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mc:AlternateContent xmlns:mc="http://schemas.openxmlformats.org/markup-compatibility/2006">
    <mc:Choice Requires="x15">
      <x15ac:absPath xmlns:x15ac="http://schemas.microsoft.com/office/spreadsheetml/2010/11/ac" url="S:\Apportionment\Michelle\2022 Session\"/>
    </mc:Choice>
  </mc:AlternateContent>
  <xr:revisionPtr revIDLastSave="0" documentId="13_ncr:1_{B6C0365A-3B28-4DE8-A4EB-0B49CEB4A7AB}" xr6:coauthVersionLast="47" xr6:coauthVersionMax="47" xr10:uidLastSave="{00000000-0000-0000-0000-000000000000}"/>
  <workbookProtection workbookAlgorithmName="SHA-512" workbookHashValue="MCeg8sSOqN0hWqJyzRNggJxqA3qA3Y6pMKVcp4UC/m9tijqJSJjLT/hD0NMsl4rVi93EoHltK4iyjSqQ5mwOHg==" workbookSaltValue="iaaEQVma8Q8FCIohu+xNBQ==" workbookSpinCount="100000" lockStructure="1"/>
  <bookViews>
    <workbookView xWindow="-27360" yWindow="1170" windowWidth="21780" windowHeight="15150" tabRatio="767" firstSheet="1" activeTab="1" xr2:uid="{00000000-000D-0000-FFFF-FFFF00000000}"/>
  </bookViews>
  <sheets>
    <sheet name="District List" sheetId="136" state="hidden" r:id="rId1"/>
    <sheet name="Totals Disclaimer" sheetId="79" r:id="rId2"/>
    <sheet name="Notes and Budget Drivers" sheetId="82" r:id="rId3"/>
    <sheet name="summary" sheetId="32" r:id="rId4"/>
    <sheet name="stabilization" sheetId="118" state="hidden" r:id="rId5"/>
    <sheet name="ESSER Funding" sheetId="137" state="hidden" r:id="rId6"/>
    <sheet name="Per Pupil Rate" sheetId="54" state="hidden" r:id="rId7"/>
    <sheet name="SpED" sheetId="78" state="hidden" r:id="rId8"/>
    <sheet name="Proto Model Changes" sheetId="76" state="hidden" r:id="rId9"/>
    <sheet name="Jan 2022 Apport Enroll" sheetId="33" state="hidden" r:id="rId10"/>
    <sheet name="Maintenance" sheetId="36" state="hidden" r:id="rId11"/>
    <sheet name="Enacted" sheetId="133" state="hidden" r:id="rId12"/>
    <sheet name="ExcessLevy" sheetId="49" state="hidden" r:id="rId13"/>
    <sheet name="Maintenance CL " sheetId="16" state="hidden" r:id="rId14"/>
    <sheet name="Enacted CL" sheetId="134" state="hidden" r:id="rId15"/>
    <sheet name="ExcessLevy CL" sheetId="25" state="hidden" r:id="rId16"/>
    <sheet name="2021-22 enroll CL" sheetId="19" state="hidden" r:id="rId17"/>
    <sheet name="2022-23 enroll CL" sheetId="20" state="hidden" r:id="rId18"/>
    <sheet name="2023-24 enroll CL" sheetId="119" state="hidden" r:id="rId19"/>
    <sheet name="2024-25 enroll CL" sheetId="7" state="hidden" r:id="rId20"/>
    <sheet name="Maintenance F195F" sheetId="124" state="hidden" r:id="rId21"/>
    <sheet name="Enacted F195F" sheetId="135" state="hidden" r:id="rId22"/>
    <sheet name="ExcessLevy F195F" sheetId="126" state="hidden" r:id="rId23"/>
    <sheet name="2021-22 enroll F195F" sheetId="121" state="hidden" r:id="rId24"/>
    <sheet name="2022-23 enroll F195F" sheetId="122" state="hidden" r:id="rId25"/>
    <sheet name="2023-24 enroll F195F" sheetId="123" state="hidden" r:id="rId26"/>
    <sheet name="2024-25 enroll F195F" sheetId="138" state="hidden" r:id="rId27"/>
    <sheet name="Jan 2022 Apport" sheetId="1" state="hidden" r:id="rId28"/>
    <sheet name="School Year 2021-22" sheetId="55" state="hidden" r:id="rId29"/>
    <sheet name="School Year 2021-22 SPED coop" sheetId="113" state="hidden" r:id="rId30"/>
  </sheets>
  <externalReferences>
    <externalReference r:id="rId31"/>
    <externalReference r:id="rId32"/>
    <externalReference r:id="rId33"/>
    <externalReference r:id="rId34"/>
  </externalReferences>
  <definedNames>
    <definedName name="__123Graph_A" localSheetId="16" hidden="1">[1]App!#REF!</definedName>
    <definedName name="__123Graph_A" localSheetId="23" hidden="1">[1]App!#REF!</definedName>
    <definedName name="__123Graph_A" localSheetId="17" hidden="1">[1]App!#REF!</definedName>
    <definedName name="__123Graph_A" localSheetId="24" hidden="1">[1]App!#REF!</definedName>
    <definedName name="__123Graph_A" localSheetId="18" hidden="1">[1]App!#REF!</definedName>
    <definedName name="__123Graph_A" localSheetId="25" hidden="1">[1]App!#REF!</definedName>
    <definedName name="__123Graph_A" localSheetId="26" hidden="1">[1]App!#REF!</definedName>
    <definedName name="__123Graph_A" localSheetId="0" hidden="1">#REF!</definedName>
    <definedName name="__123Graph_A" localSheetId="11" hidden="1">[1]App!#REF!</definedName>
    <definedName name="__123Graph_A" localSheetId="14" hidden="1">[1]App!#REF!</definedName>
    <definedName name="__123Graph_A" localSheetId="21" hidden="1">[1]App!#REF!</definedName>
    <definedName name="__123Graph_A" localSheetId="12" hidden="1">[1]App!#REF!</definedName>
    <definedName name="__123Graph_A" localSheetId="15" hidden="1">[1]App!#REF!</definedName>
    <definedName name="__123Graph_A" localSheetId="22" hidden="1">[1]App!#REF!</definedName>
    <definedName name="__123Graph_A" localSheetId="9" hidden="1">[1]App!#REF!</definedName>
    <definedName name="__123Graph_A" localSheetId="10" hidden="1">[1]App!#REF!</definedName>
    <definedName name="__123Graph_A" localSheetId="20" hidden="1">[1]App!#REF!</definedName>
    <definedName name="__123Graph_A" localSheetId="8" hidden="1">[1]App!#REF!</definedName>
    <definedName name="__123Graph_A" localSheetId="7" hidden="1">[1]App!#REF!</definedName>
    <definedName name="__123Graph_A" localSheetId="4" hidden="1">[1]App!#REF!</definedName>
    <definedName name="__123Graph_A" hidden="1">[1]App!#REF!</definedName>
    <definedName name="__123Graph_ABBO1" localSheetId="16" hidden="1">#REF!</definedName>
    <definedName name="__123Graph_ABBO1" localSheetId="23" hidden="1">#REF!</definedName>
    <definedName name="__123Graph_ABBO1" localSheetId="17" hidden="1">#REF!</definedName>
    <definedName name="__123Graph_ABBO1" localSheetId="24" hidden="1">#REF!</definedName>
    <definedName name="__123Graph_ABBO1" localSheetId="18" hidden="1">#REF!</definedName>
    <definedName name="__123Graph_ABBO1" localSheetId="25" hidden="1">#REF!</definedName>
    <definedName name="__123Graph_ABBO1" localSheetId="26" hidden="1">#REF!</definedName>
    <definedName name="__123Graph_ABBO1" localSheetId="0" hidden="1">#REF!</definedName>
    <definedName name="__123Graph_ABBO1" localSheetId="11" hidden="1">#REF!</definedName>
    <definedName name="__123Graph_ABBO1" localSheetId="14" hidden="1">#REF!</definedName>
    <definedName name="__123Graph_ABBO1" localSheetId="21" hidden="1">#REF!</definedName>
    <definedName name="__123Graph_ABBO1" localSheetId="12" hidden="1">#REF!</definedName>
    <definedName name="__123Graph_ABBO1" localSheetId="15" hidden="1">#REF!</definedName>
    <definedName name="__123Graph_ABBO1" localSheetId="22" hidden="1">#REF!</definedName>
    <definedName name="__123Graph_ABBO1" localSheetId="9" hidden="1">#REF!</definedName>
    <definedName name="__123Graph_ABBO1" localSheetId="10" hidden="1">#REF!</definedName>
    <definedName name="__123Graph_ABBO1" localSheetId="20" hidden="1">#REF!</definedName>
    <definedName name="__123Graph_ABBO1" localSheetId="8" hidden="1">#REF!</definedName>
    <definedName name="__123Graph_ABBO1" localSheetId="7" hidden="1">#REF!</definedName>
    <definedName name="__123Graph_ABBO1" localSheetId="4" hidden="1">#REF!</definedName>
    <definedName name="__123Graph_ABBO1" localSheetId="3" hidden="1">#REF!</definedName>
    <definedName name="__123Graph_ABBO1" hidden="1">#REF!</definedName>
    <definedName name="__123Graph_ADOR1" localSheetId="16" hidden="1">#REF!</definedName>
    <definedName name="__123Graph_ADOR1" localSheetId="23" hidden="1">#REF!</definedName>
    <definedName name="__123Graph_ADOR1" localSheetId="17" hidden="1">#REF!</definedName>
    <definedName name="__123Graph_ADOR1" localSheetId="24" hidden="1">#REF!</definedName>
    <definedName name="__123Graph_ADOR1" localSheetId="18" hidden="1">#REF!</definedName>
    <definedName name="__123Graph_ADOR1" localSheetId="25" hidden="1">#REF!</definedName>
    <definedName name="__123Graph_ADOR1" localSheetId="26" hidden="1">#REF!</definedName>
    <definedName name="__123Graph_ADOR1" localSheetId="0" hidden="1">#REF!</definedName>
    <definedName name="__123Graph_ADOR1" localSheetId="11" hidden="1">#REF!</definedName>
    <definedName name="__123Graph_ADOR1" localSheetId="14" hidden="1">#REF!</definedName>
    <definedName name="__123Graph_ADOR1" localSheetId="21" hidden="1">#REF!</definedName>
    <definedName name="__123Graph_ADOR1" localSheetId="12" hidden="1">#REF!</definedName>
    <definedName name="__123Graph_ADOR1" localSheetId="15" hidden="1">#REF!</definedName>
    <definedName name="__123Graph_ADOR1" localSheetId="22" hidden="1">#REF!</definedName>
    <definedName name="__123Graph_ADOR1" localSheetId="9" hidden="1">#REF!</definedName>
    <definedName name="__123Graph_ADOR1" localSheetId="10" hidden="1">#REF!</definedName>
    <definedName name="__123Graph_ADOR1" localSheetId="20" hidden="1">#REF!</definedName>
    <definedName name="__123Graph_ADOR1" localSheetId="8" hidden="1">#REF!</definedName>
    <definedName name="__123Graph_ADOR1" localSheetId="7" hidden="1">#REF!</definedName>
    <definedName name="__123Graph_ADOR1" localSheetId="4" hidden="1">#REF!</definedName>
    <definedName name="__123Graph_ADOR1" localSheetId="3" hidden="1">#REF!</definedName>
    <definedName name="__123Graph_ADOR1" hidden="1">#REF!</definedName>
    <definedName name="__123Graph_AESTATE1" localSheetId="16" hidden="1">#REF!</definedName>
    <definedName name="__123Graph_AESTATE1" localSheetId="23" hidden="1">#REF!</definedName>
    <definedName name="__123Graph_AESTATE1" localSheetId="17" hidden="1">#REF!</definedName>
    <definedName name="__123Graph_AESTATE1" localSheetId="24" hidden="1">#REF!</definedName>
    <definedName name="__123Graph_AESTATE1" localSheetId="18" hidden="1">#REF!</definedName>
    <definedName name="__123Graph_AESTATE1" localSheetId="25" hidden="1">#REF!</definedName>
    <definedName name="__123Graph_AESTATE1" localSheetId="26" hidden="1">#REF!</definedName>
    <definedName name="__123Graph_AESTATE1" localSheetId="0" hidden="1">#REF!</definedName>
    <definedName name="__123Graph_AESTATE1" localSheetId="11" hidden="1">#REF!</definedName>
    <definedName name="__123Graph_AESTATE1" localSheetId="14" hidden="1">#REF!</definedName>
    <definedName name="__123Graph_AESTATE1" localSheetId="21" hidden="1">#REF!</definedName>
    <definedName name="__123Graph_AESTATE1" localSheetId="12" hidden="1">#REF!</definedName>
    <definedName name="__123Graph_AESTATE1" localSheetId="15" hidden="1">#REF!</definedName>
    <definedName name="__123Graph_AESTATE1" localSheetId="22" hidden="1">#REF!</definedName>
    <definedName name="__123Graph_AESTATE1" localSheetId="9" hidden="1">#REF!</definedName>
    <definedName name="__123Graph_AESTATE1" localSheetId="10" hidden="1">#REF!</definedName>
    <definedName name="__123Graph_AESTATE1" localSheetId="20" hidden="1">#REF!</definedName>
    <definedName name="__123Graph_AESTATE1" localSheetId="8" hidden="1">#REF!</definedName>
    <definedName name="__123Graph_AESTATE1" localSheetId="7" hidden="1">#REF!</definedName>
    <definedName name="__123Graph_AESTATE1" localSheetId="4" hidden="1">#REF!</definedName>
    <definedName name="__123Graph_AESTATE1" localSheetId="3" hidden="1">#REF!</definedName>
    <definedName name="__123Graph_AESTATE1" hidden="1">#REF!</definedName>
    <definedName name="__123Graph_ANONREVACT1" localSheetId="16" hidden="1">#REF!</definedName>
    <definedName name="__123Graph_ANONREVACT1" localSheetId="23" hidden="1">#REF!</definedName>
    <definedName name="__123Graph_ANONREVACT1" localSheetId="17" hidden="1">#REF!</definedName>
    <definedName name="__123Graph_ANONREVACT1" localSheetId="24" hidden="1">#REF!</definedName>
    <definedName name="__123Graph_ANONREVACT1" localSheetId="18" hidden="1">#REF!</definedName>
    <definedName name="__123Graph_ANONREVACT1" localSheetId="25" hidden="1">#REF!</definedName>
    <definedName name="__123Graph_ANONREVACT1" localSheetId="26" hidden="1">#REF!</definedName>
    <definedName name="__123Graph_ANONREVACT1" localSheetId="0" hidden="1">#REF!</definedName>
    <definedName name="__123Graph_ANONREVACT1" localSheetId="11" hidden="1">#REF!</definedName>
    <definedName name="__123Graph_ANONREVACT1" localSheetId="14" hidden="1">#REF!</definedName>
    <definedName name="__123Graph_ANONREVACT1" localSheetId="21" hidden="1">#REF!</definedName>
    <definedName name="__123Graph_ANONREVACT1" localSheetId="12" hidden="1">#REF!</definedName>
    <definedName name="__123Graph_ANONREVACT1" localSheetId="15" hidden="1">#REF!</definedName>
    <definedName name="__123Graph_ANONREVACT1" localSheetId="22" hidden="1">#REF!</definedName>
    <definedName name="__123Graph_ANONREVACT1" localSheetId="9" hidden="1">#REF!</definedName>
    <definedName name="__123Graph_ANONREVACT1" localSheetId="10" hidden="1">#REF!</definedName>
    <definedName name="__123Graph_ANONREVACT1" localSheetId="20" hidden="1">#REF!</definedName>
    <definedName name="__123Graph_ANONREVACT1" localSheetId="8" hidden="1">#REF!</definedName>
    <definedName name="__123Graph_ANONREVACT1" localSheetId="7" hidden="1">#REF!</definedName>
    <definedName name="__123Graph_ANONREVACT1" localSheetId="4" hidden="1">#REF!</definedName>
    <definedName name="__123Graph_ANONREVACT1" hidden="1">#REF!</definedName>
    <definedName name="__123Graph_APU1" localSheetId="16" hidden="1">#REF!</definedName>
    <definedName name="__123Graph_APU1" localSheetId="23" hidden="1">#REF!</definedName>
    <definedName name="__123Graph_APU1" localSheetId="17" hidden="1">#REF!</definedName>
    <definedName name="__123Graph_APU1" localSheetId="24" hidden="1">#REF!</definedName>
    <definedName name="__123Graph_APU1" localSheetId="18" hidden="1">#REF!</definedName>
    <definedName name="__123Graph_APU1" localSheetId="25" hidden="1">#REF!</definedName>
    <definedName name="__123Graph_APU1" localSheetId="26" hidden="1">#REF!</definedName>
    <definedName name="__123Graph_APU1" localSheetId="0" hidden="1">#REF!</definedName>
    <definedName name="__123Graph_APU1" localSheetId="11" hidden="1">#REF!</definedName>
    <definedName name="__123Graph_APU1" localSheetId="14" hidden="1">#REF!</definedName>
    <definedName name="__123Graph_APU1" localSheetId="21" hidden="1">#REF!</definedName>
    <definedName name="__123Graph_APU1" localSheetId="12" hidden="1">#REF!</definedName>
    <definedName name="__123Graph_APU1" localSheetId="15" hidden="1">#REF!</definedName>
    <definedName name="__123Graph_APU1" localSheetId="22" hidden="1">#REF!</definedName>
    <definedName name="__123Graph_APU1" localSheetId="9" hidden="1">#REF!</definedName>
    <definedName name="__123Graph_APU1" localSheetId="10" hidden="1">#REF!</definedName>
    <definedName name="__123Graph_APU1" localSheetId="20" hidden="1">#REF!</definedName>
    <definedName name="__123Graph_APU1" localSheetId="8" hidden="1">#REF!</definedName>
    <definedName name="__123Graph_APU1" localSheetId="7" hidden="1">#REF!</definedName>
    <definedName name="__123Graph_APU1" localSheetId="4" hidden="1">#REF!</definedName>
    <definedName name="__123Graph_APU1" hidden="1">#REF!</definedName>
    <definedName name="__123Graph_AREET" localSheetId="16" hidden="1">#REF!</definedName>
    <definedName name="__123Graph_AREET" localSheetId="23" hidden="1">#REF!</definedName>
    <definedName name="__123Graph_AREET" localSheetId="17" hidden="1">#REF!</definedName>
    <definedName name="__123Graph_AREET" localSheetId="24" hidden="1">#REF!</definedName>
    <definedName name="__123Graph_AREET" localSheetId="18" hidden="1">#REF!</definedName>
    <definedName name="__123Graph_AREET" localSheetId="25" hidden="1">#REF!</definedName>
    <definedName name="__123Graph_AREET" localSheetId="26" hidden="1">#REF!</definedName>
    <definedName name="__123Graph_AREET" localSheetId="0" hidden="1">#REF!</definedName>
    <definedName name="__123Graph_AREET" localSheetId="11" hidden="1">#REF!</definedName>
    <definedName name="__123Graph_AREET" localSheetId="14" hidden="1">#REF!</definedName>
    <definedName name="__123Graph_AREET" localSheetId="21" hidden="1">#REF!</definedName>
    <definedName name="__123Graph_AREET" localSheetId="12" hidden="1">#REF!</definedName>
    <definedName name="__123Graph_AREET" localSheetId="15" hidden="1">#REF!</definedName>
    <definedName name="__123Graph_AREET" localSheetId="22" hidden="1">#REF!</definedName>
    <definedName name="__123Graph_AREET" localSheetId="9" hidden="1">#REF!</definedName>
    <definedName name="__123Graph_AREET" localSheetId="10" hidden="1">#REF!</definedName>
    <definedName name="__123Graph_AREET" localSheetId="20" hidden="1">#REF!</definedName>
    <definedName name="__123Graph_AREET" localSheetId="8" hidden="1">#REF!</definedName>
    <definedName name="__123Graph_AREET" localSheetId="7" hidden="1">#REF!</definedName>
    <definedName name="__123Graph_AREET" localSheetId="4" hidden="1">#REF!</definedName>
    <definedName name="__123Graph_AREET" hidden="1">#REF!</definedName>
    <definedName name="__123Graph_AREET2" localSheetId="16" hidden="1">#REF!</definedName>
    <definedName name="__123Graph_AREET2" localSheetId="23" hidden="1">#REF!</definedName>
    <definedName name="__123Graph_AREET2" localSheetId="17" hidden="1">#REF!</definedName>
    <definedName name="__123Graph_AREET2" localSheetId="24" hidden="1">#REF!</definedName>
    <definedName name="__123Graph_AREET2" localSheetId="18" hidden="1">#REF!</definedName>
    <definedName name="__123Graph_AREET2" localSheetId="25" hidden="1">#REF!</definedName>
    <definedName name="__123Graph_AREET2" localSheetId="26" hidden="1">#REF!</definedName>
    <definedName name="__123Graph_AREET2" localSheetId="0" hidden="1">#REF!</definedName>
    <definedName name="__123Graph_AREET2" localSheetId="11" hidden="1">#REF!</definedName>
    <definedName name="__123Graph_AREET2" localSheetId="14" hidden="1">#REF!</definedName>
    <definedName name="__123Graph_AREET2" localSheetId="21" hidden="1">#REF!</definedName>
    <definedName name="__123Graph_AREET2" localSheetId="12" hidden="1">#REF!</definedName>
    <definedName name="__123Graph_AREET2" localSheetId="15" hidden="1">#REF!</definedName>
    <definedName name="__123Graph_AREET2" localSheetId="22" hidden="1">#REF!</definedName>
    <definedName name="__123Graph_AREET2" localSheetId="9" hidden="1">#REF!</definedName>
    <definedName name="__123Graph_AREET2" localSheetId="10" hidden="1">#REF!</definedName>
    <definedName name="__123Graph_AREET2" localSheetId="20" hidden="1">#REF!</definedName>
    <definedName name="__123Graph_AREET2" localSheetId="8" hidden="1">#REF!</definedName>
    <definedName name="__123Graph_AREET2" localSheetId="7" hidden="1">#REF!</definedName>
    <definedName name="__123Graph_AREET2" localSheetId="4" hidden="1">#REF!</definedName>
    <definedName name="__123Graph_AREET2" hidden="1">#REF!</definedName>
    <definedName name="__123Graph_ARST1" localSheetId="16" hidden="1">#REF!</definedName>
    <definedName name="__123Graph_ARST1" localSheetId="23" hidden="1">#REF!</definedName>
    <definedName name="__123Graph_ARST1" localSheetId="17" hidden="1">#REF!</definedName>
    <definedName name="__123Graph_ARST1" localSheetId="24" hidden="1">#REF!</definedName>
    <definedName name="__123Graph_ARST1" localSheetId="18" hidden="1">#REF!</definedName>
    <definedName name="__123Graph_ARST1" localSheetId="25" hidden="1">#REF!</definedName>
    <definedName name="__123Graph_ARST1" localSheetId="26" hidden="1">#REF!</definedName>
    <definedName name="__123Graph_ARST1" localSheetId="0" hidden="1">#REF!</definedName>
    <definedName name="__123Graph_ARST1" localSheetId="11" hidden="1">#REF!</definedName>
    <definedName name="__123Graph_ARST1" localSheetId="14" hidden="1">#REF!</definedName>
    <definedName name="__123Graph_ARST1" localSheetId="21" hidden="1">#REF!</definedName>
    <definedName name="__123Graph_ARST1" localSheetId="12" hidden="1">#REF!</definedName>
    <definedName name="__123Graph_ARST1" localSheetId="15" hidden="1">#REF!</definedName>
    <definedName name="__123Graph_ARST1" localSheetId="22" hidden="1">#REF!</definedName>
    <definedName name="__123Graph_ARST1" localSheetId="9" hidden="1">#REF!</definedName>
    <definedName name="__123Graph_ARST1" localSheetId="10" hidden="1">#REF!</definedName>
    <definedName name="__123Graph_ARST1" localSheetId="20" hidden="1">#REF!</definedName>
    <definedName name="__123Graph_ARST1" localSheetId="8" hidden="1">#REF!</definedName>
    <definedName name="__123Graph_ARST1" localSheetId="7" hidden="1">#REF!</definedName>
    <definedName name="__123Graph_ARST1" localSheetId="4" hidden="1">#REF!</definedName>
    <definedName name="__123Graph_ARST1" hidden="1">#REF!</definedName>
    <definedName name="__123Graph_B" localSheetId="16" hidden="1">#REF!</definedName>
    <definedName name="__123Graph_B" localSheetId="23" hidden="1">#REF!</definedName>
    <definedName name="__123Graph_B" localSheetId="17" hidden="1">#REF!</definedName>
    <definedName name="__123Graph_B" localSheetId="24" hidden="1">#REF!</definedName>
    <definedName name="__123Graph_B" localSheetId="18" hidden="1">#REF!</definedName>
    <definedName name="__123Graph_B" localSheetId="25" hidden="1">#REF!</definedName>
    <definedName name="__123Graph_B" localSheetId="26" hidden="1">#REF!</definedName>
    <definedName name="__123Graph_B" localSheetId="0" hidden="1">#REF!</definedName>
    <definedName name="__123Graph_B" localSheetId="11" hidden="1">#REF!</definedName>
    <definedName name="__123Graph_B" localSheetId="14" hidden="1">#REF!</definedName>
    <definedName name="__123Graph_B" localSheetId="21" hidden="1">#REF!</definedName>
    <definedName name="__123Graph_B" localSheetId="12" hidden="1">#REF!</definedName>
    <definedName name="__123Graph_B" localSheetId="15" hidden="1">#REF!</definedName>
    <definedName name="__123Graph_B" localSheetId="22" hidden="1">#REF!</definedName>
    <definedName name="__123Graph_B" localSheetId="9" hidden="1">#REF!</definedName>
    <definedName name="__123Graph_B" localSheetId="10" hidden="1">#REF!</definedName>
    <definedName name="__123Graph_B" localSheetId="20" hidden="1">#REF!</definedName>
    <definedName name="__123Graph_B" localSheetId="8" hidden="1">#REF!</definedName>
    <definedName name="__123Graph_B" localSheetId="7" hidden="1">#REF!</definedName>
    <definedName name="__123Graph_B" localSheetId="4" hidden="1">#REF!</definedName>
    <definedName name="__123Graph_B" hidden="1">#REF!</definedName>
    <definedName name="__123Graph_C" localSheetId="16" hidden="1">[1]App!#REF!</definedName>
    <definedName name="__123Graph_C" localSheetId="23" hidden="1">[1]App!#REF!</definedName>
    <definedName name="__123Graph_C" localSheetId="17" hidden="1">[1]App!#REF!</definedName>
    <definedName name="__123Graph_C" localSheetId="24" hidden="1">[1]App!#REF!</definedName>
    <definedName name="__123Graph_C" localSheetId="18" hidden="1">[1]App!#REF!</definedName>
    <definedName name="__123Graph_C" localSheetId="25" hidden="1">[1]App!#REF!</definedName>
    <definedName name="__123Graph_C" localSheetId="26" hidden="1">[1]App!#REF!</definedName>
    <definedName name="__123Graph_C" localSheetId="0" hidden="1">#REF!</definedName>
    <definedName name="__123Graph_C" localSheetId="11" hidden="1">[1]App!#REF!</definedName>
    <definedName name="__123Graph_C" localSheetId="14" hidden="1">[1]App!#REF!</definedName>
    <definedName name="__123Graph_C" localSheetId="21" hidden="1">[1]App!#REF!</definedName>
    <definedName name="__123Graph_C" localSheetId="12" hidden="1">[1]App!#REF!</definedName>
    <definedName name="__123Graph_C" localSheetId="15" hidden="1">[1]App!#REF!</definedName>
    <definedName name="__123Graph_C" localSheetId="22" hidden="1">[1]App!#REF!</definedName>
    <definedName name="__123Graph_C" localSheetId="9" hidden="1">[1]App!#REF!</definedName>
    <definedName name="__123Graph_C" localSheetId="10" hidden="1">[1]App!#REF!</definedName>
    <definedName name="__123Graph_C" localSheetId="20" hidden="1">[1]App!#REF!</definedName>
    <definedName name="__123Graph_C" localSheetId="8" hidden="1">[1]App!#REF!</definedName>
    <definedName name="__123Graph_C" localSheetId="7" hidden="1">[1]App!#REF!</definedName>
    <definedName name="__123Graph_C" localSheetId="4" hidden="1">[1]App!#REF!</definedName>
    <definedName name="__123Graph_C" localSheetId="3" hidden="1">[1]App!#REF!</definedName>
    <definedName name="__123Graph_C" hidden="1">[1]App!#REF!</definedName>
    <definedName name="__123Graph_E" localSheetId="16" hidden="1">[2]Apportionment!#REF!</definedName>
    <definedName name="__123Graph_E" localSheetId="23" hidden="1">[2]Apportionment!#REF!</definedName>
    <definedName name="__123Graph_E" localSheetId="17" hidden="1">[2]Apportionment!#REF!</definedName>
    <definedName name="__123Graph_E" localSheetId="24" hidden="1">[2]Apportionment!#REF!</definedName>
    <definedName name="__123Graph_E" localSheetId="18" hidden="1">[2]Apportionment!#REF!</definedName>
    <definedName name="__123Graph_E" localSheetId="25" hidden="1">[2]Apportionment!#REF!</definedName>
    <definedName name="__123Graph_E" localSheetId="26" hidden="1">[2]Apportionment!#REF!</definedName>
    <definedName name="__123Graph_E" localSheetId="0" hidden="1">#REF!</definedName>
    <definedName name="__123Graph_E" localSheetId="11" hidden="1">[2]Apportionment!#REF!</definedName>
    <definedName name="__123Graph_E" localSheetId="14" hidden="1">[2]Apportionment!#REF!</definedName>
    <definedName name="__123Graph_E" localSheetId="21" hidden="1">[2]Apportionment!#REF!</definedName>
    <definedName name="__123Graph_E" localSheetId="12" hidden="1">[2]Apportionment!#REF!</definedName>
    <definedName name="__123Graph_E" localSheetId="15" hidden="1">[2]Apportionment!#REF!</definedName>
    <definedName name="__123Graph_E" localSheetId="22" hidden="1">[2]Apportionment!#REF!</definedName>
    <definedName name="__123Graph_E" localSheetId="9" hidden="1">[2]Apportionment!#REF!</definedName>
    <definedName name="__123Graph_E" localSheetId="10" hidden="1">[2]Apportionment!#REF!</definedName>
    <definedName name="__123Graph_E" localSheetId="20" hidden="1">[2]Apportionment!#REF!</definedName>
    <definedName name="__123Graph_E" localSheetId="8" hidden="1">[2]Apportionment!#REF!</definedName>
    <definedName name="__123Graph_E" localSheetId="7" hidden="1">[2]Apportionment!#REF!</definedName>
    <definedName name="__123Graph_E" localSheetId="4" hidden="1">[2]Apportionment!#REF!</definedName>
    <definedName name="__123Graph_E" localSheetId="3" hidden="1">[2]Apportionment!#REF!</definedName>
    <definedName name="__123Graph_E" hidden="1">[2]Apportionment!#REF!</definedName>
    <definedName name="__123Graph_F" localSheetId="16" hidden="1">[2]Apportionment!#REF!</definedName>
    <definedName name="__123Graph_F" localSheetId="23" hidden="1">[2]Apportionment!#REF!</definedName>
    <definedName name="__123Graph_F" localSheetId="17" hidden="1">[2]Apportionment!#REF!</definedName>
    <definedName name="__123Graph_F" localSheetId="24" hidden="1">[2]Apportionment!#REF!</definedName>
    <definedName name="__123Graph_F" localSheetId="18" hidden="1">[2]Apportionment!#REF!</definedName>
    <definedName name="__123Graph_F" localSheetId="25" hidden="1">[2]Apportionment!#REF!</definedName>
    <definedName name="__123Graph_F" localSheetId="26" hidden="1">[2]Apportionment!#REF!</definedName>
    <definedName name="__123Graph_F" localSheetId="0" hidden="1">#REF!</definedName>
    <definedName name="__123Graph_F" localSheetId="11" hidden="1">[2]Apportionment!#REF!</definedName>
    <definedName name="__123Graph_F" localSheetId="14" hidden="1">[2]Apportionment!#REF!</definedName>
    <definedName name="__123Graph_F" localSheetId="21" hidden="1">[2]Apportionment!#REF!</definedName>
    <definedName name="__123Graph_F" localSheetId="12" hidden="1">[2]Apportionment!#REF!</definedName>
    <definedName name="__123Graph_F" localSheetId="15" hidden="1">[2]Apportionment!#REF!</definedName>
    <definedName name="__123Graph_F" localSheetId="22" hidden="1">[2]Apportionment!#REF!</definedName>
    <definedName name="__123Graph_F" localSheetId="9" hidden="1">[2]Apportionment!#REF!</definedName>
    <definedName name="__123Graph_F" localSheetId="10" hidden="1">[2]Apportionment!#REF!</definedName>
    <definedName name="__123Graph_F" localSheetId="20" hidden="1">[2]Apportionment!#REF!</definedName>
    <definedName name="__123Graph_F" localSheetId="8" hidden="1">[2]Apportionment!#REF!</definedName>
    <definedName name="__123Graph_F" localSheetId="7" hidden="1">[2]Apportionment!#REF!</definedName>
    <definedName name="__123Graph_F" localSheetId="4" hidden="1">[2]Apportionment!#REF!</definedName>
    <definedName name="__123Graph_F" localSheetId="3" hidden="1">[2]Apportionment!#REF!</definedName>
    <definedName name="__123Graph_F" hidden="1">[2]Apportionment!#REF!</definedName>
    <definedName name="__123Graph_LBL_A" localSheetId="16" hidden="1">#REF!</definedName>
    <definedName name="__123Graph_LBL_A" localSheetId="23" hidden="1">#REF!</definedName>
    <definedName name="__123Graph_LBL_A" localSheetId="17" hidden="1">#REF!</definedName>
    <definedName name="__123Graph_LBL_A" localSheetId="24" hidden="1">#REF!</definedName>
    <definedName name="__123Graph_LBL_A" localSheetId="18" hidden="1">#REF!</definedName>
    <definedName name="__123Graph_LBL_A" localSheetId="25" hidden="1">#REF!</definedName>
    <definedName name="__123Graph_LBL_A" localSheetId="26" hidden="1">#REF!</definedName>
    <definedName name="__123Graph_LBL_A" localSheetId="0" hidden="1">#REF!</definedName>
    <definedName name="__123Graph_LBL_A" localSheetId="11" hidden="1">#REF!</definedName>
    <definedName name="__123Graph_LBL_A" localSheetId="14" hidden="1">#REF!</definedName>
    <definedName name="__123Graph_LBL_A" localSheetId="21" hidden="1">#REF!</definedName>
    <definedName name="__123Graph_LBL_A" localSheetId="12" hidden="1">#REF!</definedName>
    <definedName name="__123Graph_LBL_A" localSheetId="15" hidden="1">#REF!</definedName>
    <definedName name="__123Graph_LBL_A" localSheetId="22" hidden="1">#REF!</definedName>
    <definedName name="__123Graph_LBL_A" localSheetId="9" hidden="1">#REF!</definedName>
    <definedName name="__123Graph_LBL_A" localSheetId="10" hidden="1">#REF!</definedName>
    <definedName name="__123Graph_LBL_A" localSheetId="20" hidden="1">#REF!</definedName>
    <definedName name="__123Graph_LBL_A" localSheetId="8" hidden="1">#REF!</definedName>
    <definedName name="__123Graph_LBL_A" localSheetId="7" hidden="1">#REF!</definedName>
    <definedName name="__123Graph_LBL_A" localSheetId="4" hidden="1">#REF!</definedName>
    <definedName name="__123Graph_LBL_A" localSheetId="3" hidden="1">#REF!</definedName>
    <definedName name="__123Graph_LBL_A" hidden="1">#REF!</definedName>
    <definedName name="__123Graph_LBL_B" localSheetId="16" hidden="1">#REF!</definedName>
    <definedName name="__123Graph_LBL_B" localSheetId="23" hidden="1">#REF!</definedName>
    <definedName name="__123Graph_LBL_B" localSheetId="17" hidden="1">#REF!</definedName>
    <definedName name="__123Graph_LBL_B" localSheetId="24" hidden="1">#REF!</definedName>
    <definedName name="__123Graph_LBL_B" localSheetId="18" hidden="1">#REF!</definedName>
    <definedName name="__123Graph_LBL_B" localSheetId="25" hidden="1">#REF!</definedName>
    <definedName name="__123Graph_LBL_B" localSheetId="26" hidden="1">#REF!</definedName>
    <definedName name="__123Graph_LBL_B" localSheetId="0" hidden="1">#REF!</definedName>
    <definedName name="__123Graph_LBL_B" localSheetId="11" hidden="1">#REF!</definedName>
    <definedName name="__123Graph_LBL_B" localSheetId="14" hidden="1">#REF!</definedName>
    <definedName name="__123Graph_LBL_B" localSheetId="21" hidden="1">#REF!</definedName>
    <definedName name="__123Graph_LBL_B" localSheetId="12" hidden="1">#REF!</definedName>
    <definedName name="__123Graph_LBL_B" localSheetId="15" hidden="1">#REF!</definedName>
    <definedName name="__123Graph_LBL_B" localSheetId="22" hidden="1">#REF!</definedName>
    <definedName name="__123Graph_LBL_B" localSheetId="9" hidden="1">#REF!</definedName>
    <definedName name="__123Graph_LBL_B" localSheetId="10" hidden="1">#REF!</definedName>
    <definedName name="__123Graph_LBL_B" localSheetId="20" hidden="1">#REF!</definedName>
    <definedName name="__123Graph_LBL_B" localSheetId="8" hidden="1">#REF!</definedName>
    <definedName name="__123Graph_LBL_B" localSheetId="7" hidden="1">#REF!</definedName>
    <definedName name="__123Graph_LBL_B" localSheetId="4" hidden="1">#REF!</definedName>
    <definedName name="__123Graph_LBL_B" localSheetId="3" hidden="1">#REF!</definedName>
    <definedName name="__123Graph_LBL_B" hidden="1">#REF!</definedName>
    <definedName name="__123Graph_LBL_C" localSheetId="16" hidden="1">#REF!</definedName>
    <definedName name="__123Graph_LBL_C" localSheetId="23" hidden="1">#REF!</definedName>
    <definedName name="__123Graph_LBL_C" localSheetId="17" hidden="1">#REF!</definedName>
    <definedName name="__123Graph_LBL_C" localSheetId="24" hidden="1">#REF!</definedName>
    <definedName name="__123Graph_LBL_C" localSheetId="18" hidden="1">#REF!</definedName>
    <definedName name="__123Graph_LBL_C" localSheetId="25" hidden="1">#REF!</definedName>
    <definedName name="__123Graph_LBL_C" localSheetId="26" hidden="1">#REF!</definedName>
    <definedName name="__123Graph_LBL_C" localSheetId="0" hidden="1">#REF!</definedName>
    <definedName name="__123Graph_LBL_C" localSheetId="11" hidden="1">#REF!</definedName>
    <definedName name="__123Graph_LBL_C" localSheetId="14" hidden="1">#REF!</definedName>
    <definedName name="__123Graph_LBL_C" localSheetId="21" hidden="1">#REF!</definedName>
    <definedName name="__123Graph_LBL_C" localSheetId="12" hidden="1">#REF!</definedName>
    <definedName name="__123Graph_LBL_C" localSheetId="15" hidden="1">#REF!</definedName>
    <definedName name="__123Graph_LBL_C" localSheetId="22" hidden="1">#REF!</definedName>
    <definedName name="__123Graph_LBL_C" localSheetId="9" hidden="1">#REF!</definedName>
    <definedName name="__123Graph_LBL_C" localSheetId="10" hidden="1">#REF!</definedName>
    <definedName name="__123Graph_LBL_C" localSheetId="20" hidden="1">#REF!</definedName>
    <definedName name="__123Graph_LBL_C" localSheetId="8" hidden="1">#REF!</definedName>
    <definedName name="__123Graph_LBL_C" localSheetId="7" hidden="1">#REF!</definedName>
    <definedName name="__123Graph_LBL_C" localSheetId="4" hidden="1">#REF!</definedName>
    <definedName name="__123Graph_LBL_C" localSheetId="3" hidden="1">#REF!</definedName>
    <definedName name="__123Graph_LBL_C" hidden="1">#REF!</definedName>
    <definedName name="__123Graph_X" localSheetId="16" hidden="1">#REF!</definedName>
    <definedName name="__123Graph_X" localSheetId="23" hidden="1">#REF!</definedName>
    <definedName name="__123Graph_X" localSheetId="17" hidden="1">#REF!</definedName>
    <definedName name="__123Graph_X" localSheetId="24" hidden="1">#REF!</definedName>
    <definedName name="__123Graph_X" localSheetId="18" hidden="1">#REF!</definedName>
    <definedName name="__123Graph_X" localSheetId="25" hidden="1">#REF!</definedName>
    <definedName name="__123Graph_X" localSheetId="26" hidden="1">#REF!</definedName>
    <definedName name="__123Graph_X" localSheetId="0" hidden="1">#REF!</definedName>
    <definedName name="__123Graph_X" localSheetId="11" hidden="1">#REF!</definedName>
    <definedName name="__123Graph_X" localSheetId="14" hidden="1">#REF!</definedName>
    <definedName name="__123Graph_X" localSheetId="21" hidden="1">#REF!</definedName>
    <definedName name="__123Graph_X" localSheetId="12" hidden="1">#REF!</definedName>
    <definedName name="__123Graph_X" localSheetId="15" hidden="1">#REF!</definedName>
    <definedName name="__123Graph_X" localSheetId="22" hidden="1">#REF!</definedName>
    <definedName name="__123Graph_X" localSheetId="9" hidden="1">#REF!</definedName>
    <definedName name="__123Graph_X" localSheetId="10" hidden="1">#REF!</definedName>
    <definedName name="__123Graph_X" localSheetId="20" hidden="1">#REF!</definedName>
    <definedName name="__123Graph_X" localSheetId="8" hidden="1">#REF!</definedName>
    <definedName name="__123Graph_X" localSheetId="7" hidden="1">#REF!</definedName>
    <definedName name="__123Graph_X" localSheetId="4" hidden="1">#REF!</definedName>
    <definedName name="__123Graph_X" hidden="1">#REF!</definedName>
    <definedName name="__123Graph_XBBO1" localSheetId="16" hidden="1">#REF!</definedName>
    <definedName name="__123Graph_XBBO1" localSheetId="23" hidden="1">#REF!</definedName>
    <definedName name="__123Graph_XBBO1" localSheetId="17" hidden="1">#REF!</definedName>
    <definedName name="__123Graph_XBBO1" localSheetId="24" hidden="1">#REF!</definedName>
    <definedName name="__123Graph_XBBO1" localSheetId="18" hidden="1">#REF!</definedName>
    <definedName name="__123Graph_XBBO1" localSheetId="25" hidden="1">#REF!</definedName>
    <definedName name="__123Graph_XBBO1" localSheetId="26" hidden="1">#REF!</definedName>
    <definedName name="__123Graph_XBBO1" localSheetId="0" hidden="1">#REF!</definedName>
    <definedName name="__123Graph_XBBO1" localSheetId="11" hidden="1">#REF!</definedName>
    <definedName name="__123Graph_XBBO1" localSheetId="14" hidden="1">#REF!</definedName>
    <definedName name="__123Graph_XBBO1" localSheetId="21" hidden="1">#REF!</definedName>
    <definedName name="__123Graph_XBBO1" localSheetId="12" hidden="1">#REF!</definedName>
    <definedName name="__123Graph_XBBO1" localSheetId="15" hidden="1">#REF!</definedName>
    <definedName name="__123Graph_XBBO1" localSheetId="22" hidden="1">#REF!</definedName>
    <definedName name="__123Graph_XBBO1" localSheetId="9" hidden="1">#REF!</definedName>
    <definedName name="__123Graph_XBBO1" localSheetId="10" hidden="1">#REF!</definedName>
    <definedName name="__123Graph_XBBO1" localSheetId="20" hidden="1">#REF!</definedName>
    <definedName name="__123Graph_XBBO1" localSheetId="8" hidden="1">#REF!</definedName>
    <definedName name="__123Graph_XBBO1" localSheetId="7" hidden="1">#REF!</definedName>
    <definedName name="__123Graph_XBBO1" localSheetId="4" hidden="1">#REF!</definedName>
    <definedName name="__123Graph_XBBO1" hidden="1">#REF!</definedName>
    <definedName name="__123Graph_XDOR1" localSheetId="16" hidden="1">#REF!</definedName>
    <definedName name="__123Graph_XDOR1" localSheetId="23" hidden="1">#REF!</definedName>
    <definedName name="__123Graph_XDOR1" localSheetId="17" hidden="1">#REF!</definedName>
    <definedName name="__123Graph_XDOR1" localSheetId="24" hidden="1">#REF!</definedName>
    <definedName name="__123Graph_XDOR1" localSheetId="18" hidden="1">#REF!</definedName>
    <definedName name="__123Graph_XDOR1" localSheetId="25" hidden="1">#REF!</definedName>
    <definedName name="__123Graph_XDOR1" localSheetId="26" hidden="1">#REF!</definedName>
    <definedName name="__123Graph_XDOR1" localSheetId="0" hidden="1">#REF!</definedName>
    <definedName name="__123Graph_XDOR1" localSheetId="11" hidden="1">#REF!</definedName>
    <definedName name="__123Graph_XDOR1" localSheetId="14" hidden="1">#REF!</definedName>
    <definedName name="__123Graph_XDOR1" localSheetId="21" hidden="1">#REF!</definedName>
    <definedName name="__123Graph_XDOR1" localSheetId="12" hidden="1">#REF!</definedName>
    <definedName name="__123Graph_XDOR1" localSheetId="15" hidden="1">#REF!</definedName>
    <definedName name="__123Graph_XDOR1" localSheetId="22" hidden="1">#REF!</definedName>
    <definedName name="__123Graph_XDOR1" localSheetId="9" hidden="1">#REF!</definedName>
    <definedName name="__123Graph_XDOR1" localSheetId="10" hidden="1">#REF!</definedName>
    <definedName name="__123Graph_XDOR1" localSheetId="20" hidden="1">#REF!</definedName>
    <definedName name="__123Graph_XDOR1" localSheetId="8" hidden="1">#REF!</definedName>
    <definedName name="__123Graph_XDOR1" localSheetId="7" hidden="1">#REF!</definedName>
    <definedName name="__123Graph_XDOR1" localSheetId="4" hidden="1">#REF!</definedName>
    <definedName name="__123Graph_XDOR1" hidden="1">#REF!</definedName>
    <definedName name="__123Graph_XESTATE1" localSheetId="16" hidden="1">#REF!</definedName>
    <definedName name="__123Graph_XESTATE1" localSheetId="23" hidden="1">#REF!</definedName>
    <definedName name="__123Graph_XESTATE1" localSheetId="17" hidden="1">#REF!</definedName>
    <definedName name="__123Graph_XESTATE1" localSheetId="24" hidden="1">#REF!</definedName>
    <definedName name="__123Graph_XESTATE1" localSheetId="18" hidden="1">#REF!</definedName>
    <definedName name="__123Graph_XESTATE1" localSheetId="25" hidden="1">#REF!</definedName>
    <definedName name="__123Graph_XESTATE1" localSheetId="26" hidden="1">#REF!</definedName>
    <definedName name="__123Graph_XESTATE1" localSheetId="0" hidden="1">#REF!</definedName>
    <definedName name="__123Graph_XESTATE1" localSheetId="11" hidden="1">#REF!</definedName>
    <definedName name="__123Graph_XESTATE1" localSheetId="14" hidden="1">#REF!</definedName>
    <definedName name="__123Graph_XESTATE1" localSheetId="21" hidden="1">#REF!</definedName>
    <definedName name="__123Graph_XESTATE1" localSheetId="12" hidden="1">#REF!</definedName>
    <definedName name="__123Graph_XESTATE1" localSheetId="15" hidden="1">#REF!</definedName>
    <definedName name="__123Graph_XESTATE1" localSheetId="22" hidden="1">#REF!</definedName>
    <definedName name="__123Graph_XESTATE1" localSheetId="9" hidden="1">#REF!</definedName>
    <definedName name="__123Graph_XESTATE1" localSheetId="10" hidden="1">#REF!</definedName>
    <definedName name="__123Graph_XESTATE1" localSheetId="20" hidden="1">#REF!</definedName>
    <definedName name="__123Graph_XESTATE1" localSheetId="8" hidden="1">#REF!</definedName>
    <definedName name="__123Graph_XESTATE1" localSheetId="7" hidden="1">#REF!</definedName>
    <definedName name="__123Graph_XESTATE1" localSheetId="4" hidden="1">#REF!</definedName>
    <definedName name="__123Graph_XESTATE1" hidden="1">#REF!</definedName>
    <definedName name="__123Graph_XNONREVACT1" localSheetId="16" hidden="1">#REF!</definedName>
    <definedName name="__123Graph_XNONREVACT1" localSheetId="23" hidden="1">#REF!</definedName>
    <definedName name="__123Graph_XNONREVACT1" localSheetId="17" hidden="1">#REF!</definedName>
    <definedName name="__123Graph_XNONREVACT1" localSheetId="24" hidden="1">#REF!</definedName>
    <definedName name="__123Graph_XNONREVACT1" localSheetId="18" hidden="1">#REF!</definedName>
    <definedName name="__123Graph_XNONREVACT1" localSheetId="25" hidden="1">#REF!</definedName>
    <definedName name="__123Graph_XNONREVACT1" localSheetId="26" hidden="1">#REF!</definedName>
    <definedName name="__123Graph_XNONREVACT1" localSheetId="0" hidden="1">#REF!</definedName>
    <definedName name="__123Graph_XNONREVACT1" localSheetId="11" hidden="1">#REF!</definedName>
    <definedName name="__123Graph_XNONREVACT1" localSheetId="14" hidden="1">#REF!</definedName>
    <definedName name="__123Graph_XNONREVACT1" localSheetId="21" hidden="1">#REF!</definedName>
    <definedName name="__123Graph_XNONREVACT1" localSheetId="12" hidden="1">#REF!</definedName>
    <definedName name="__123Graph_XNONREVACT1" localSheetId="15" hidden="1">#REF!</definedName>
    <definedName name="__123Graph_XNONREVACT1" localSheetId="22" hidden="1">#REF!</definedName>
    <definedName name="__123Graph_XNONREVACT1" localSheetId="9" hidden="1">#REF!</definedName>
    <definedName name="__123Graph_XNONREVACT1" localSheetId="10" hidden="1">#REF!</definedName>
    <definedName name="__123Graph_XNONREVACT1" localSheetId="20" hidden="1">#REF!</definedName>
    <definedName name="__123Graph_XNONREVACT1" localSheetId="8" hidden="1">#REF!</definedName>
    <definedName name="__123Graph_XNONREVACT1" localSheetId="7" hidden="1">#REF!</definedName>
    <definedName name="__123Graph_XNONREVACT1" localSheetId="4" hidden="1">#REF!</definedName>
    <definedName name="__123Graph_XNONREVACT1" hidden="1">#REF!</definedName>
    <definedName name="__123Graph_XPU1" localSheetId="16" hidden="1">#REF!</definedName>
    <definedName name="__123Graph_XPU1" localSheetId="23" hidden="1">#REF!</definedName>
    <definedName name="__123Graph_XPU1" localSheetId="17" hidden="1">#REF!</definedName>
    <definedName name="__123Graph_XPU1" localSheetId="24" hidden="1">#REF!</definedName>
    <definedName name="__123Graph_XPU1" localSheetId="18" hidden="1">#REF!</definedName>
    <definedName name="__123Graph_XPU1" localSheetId="25" hidden="1">#REF!</definedName>
    <definedName name="__123Graph_XPU1" localSheetId="26" hidden="1">#REF!</definedName>
    <definedName name="__123Graph_XPU1" localSheetId="0" hidden="1">#REF!</definedName>
    <definedName name="__123Graph_XPU1" localSheetId="11" hidden="1">#REF!</definedName>
    <definedName name="__123Graph_XPU1" localSheetId="14" hidden="1">#REF!</definedName>
    <definedName name="__123Graph_XPU1" localSheetId="21" hidden="1">#REF!</definedName>
    <definedName name="__123Graph_XPU1" localSheetId="12" hidden="1">#REF!</definedName>
    <definedName name="__123Graph_XPU1" localSheetId="15" hidden="1">#REF!</definedName>
    <definedName name="__123Graph_XPU1" localSheetId="22" hidden="1">#REF!</definedName>
    <definedName name="__123Graph_XPU1" localSheetId="9" hidden="1">#REF!</definedName>
    <definedName name="__123Graph_XPU1" localSheetId="10" hidden="1">#REF!</definedName>
    <definedName name="__123Graph_XPU1" localSheetId="20" hidden="1">#REF!</definedName>
    <definedName name="__123Graph_XPU1" localSheetId="8" hidden="1">#REF!</definedName>
    <definedName name="__123Graph_XPU1" localSheetId="7" hidden="1">#REF!</definedName>
    <definedName name="__123Graph_XPU1" localSheetId="4" hidden="1">#REF!</definedName>
    <definedName name="__123Graph_XPU1" hidden="1">#REF!</definedName>
    <definedName name="__123Graph_XREET" localSheetId="16" hidden="1">#REF!</definedName>
    <definedName name="__123Graph_XREET" localSheetId="23" hidden="1">#REF!</definedName>
    <definedName name="__123Graph_XREET" localSheetId="17" hidden="1">#REF!</definedName>
    <definedName name="__123Graph_XREET" localSheetId="24" hidden="1">#REF!</definedName>
    <definedName name="__123Graph_XREET" localSheetId="18" hidden="1">#REF!</definedName>
    <definedName name="__123Graph_XREET" localSheetId="25" hidden="1">#REF!</definedName>
    <definedName name="__123Graph_XREET" localSheetId="26" hidden="1">#REF!</definedName>
    <definedName name="__123Graph_XREET" localSheetId="0" hidden="1">#REF!</definedName>
    <definedName name="__123Graph_XREET" localSheetId="11" hidden="1">#REF!</definedName>
    <definedName name="__123Graph_XREET" localSheetId="14" hidden="1">#REF!</definedName>
    <definedName name="__123Graph_XREET" localSheetId="21" hidden="1">#REF!</definedName>
    <definedName name="__123Graph_XREET" localSheetId="12" hidden="1">#REF!</definedName>
    <definedName name="__123Graph_XREET" localSheetId="15" hidden="1">#REF!</definedName>
    <definedName name="__123Graph_XREET" localSheetId="22" hidden="1">#REF!</definedName>
    <definedName name="__123Graph_XREET" localSheetId="9" hidden="1">#REF!</definedName>
    <definedName name="__123Graph_XREET" localSheetId="10" hidden="1">#REF!</definedName>
    <definedName name="__123Graph_XREET" localSheetId="20" hidden="1">#REF!</definedName>
    <definedName name="__123Graph_XREET" localSheetId="8" hidden="1">#REF!</definedName>
    <definedName name="__123Graph_XREET" localSheetId="7" hidden="1">#REF!</definedName>
    <definedName name="__123Graph_XREET" localSheetId="4" hidden="1">#REF!</definedName>
    <definedName name="__123Graph_XREET" hidden="1">#REF!</definedName>
    <definedName name="__123Graph_XREET2" localSheetId="16" hidden="1">#REF!</definedName>
    <definedName name="__123Graph_XREET2" localSheetId="23" hidden="1">#REF!</definedName>
    <definedName name="__123Graph_XREET2" localSheetId="17" hidden="1">#REF!</definedName>
    <definedName name="__123Graph_XREET2" localSheetId="24" hidden="1">#REF!</definedName>
    <definedName name="__123Graph_XREET2" localSheetId="18" hidden="1">#REF!</definedName>
    <definedName name="__123Graph_XREET2" localSheetId="25" hidden="1">#REF!</definedName>
    <definedName name="__123Graph_XREET2" localSheetId="26" hidden="1">#REF!</definedName>
    <definedName name="__123Graph_XREET2" localSheetId="0" hidden="1">#REF!</definedName>
    <definedName name="__123Graph_XREET2" localSheetId="11" hidden="1">#REF!</definedName>
    <definedName name="__123Graph_XREET2" localSheetId="14" hidden="1">#REF!</definedName>
    <definedName name="__123Graph_XREET2" localSheetId="21" hidden="1">#REF!</definedName>
    <definedName name="__123Graph_XREET2" localSheetId="12" hidden="1">#REF!</definedName>
    <definedName name="__123Graph_XREET2" localSheetId="15" hidden="1">#REF!</definedName>
    <definedName name="__123Graph_XREET2" localSheetId="22" hidden="1">#REF!</definedName>
    <definedName name="__123Graph_XREET2" localSheetId="9" hidden="1">#REF!</definedName>
    <definedName name="__123Graph_XREET2" localSheetId="10" hidden="1">#REF!</definedName>
    <definedName name="__123Graph_XREET2" localSheetId="20" hidden="1">#REF!</definedName>
    <definedName name="__123Graph_XREET2" localSheetId="8" hidden="1">#REF!</definedName>
    <definedName name="__123Graph_XREET2" localSheetId="7" hidden="1">#REF!</definedName>
    <definedName name="__123Graph_XREET2" localSheetId="4" hidden="1">#REF!</definedName>
    <definedName name="__123Graph_XREET2" hidden="1">#REF!</definedName>
    <definedName name="__123Graph_XRST1" localSheetId="16" hidden="1">#REF!</definedName>
    <definedName name="__123Graph_XRST1" localSheetId="23" hidden="1">#REF!</definedName>
    <definedName name="__123Graph_XRST1" localSheetId="17" hidden="1">#REF!</definedName>
    <definedName name="__123Graph_XRST1" localSheetId="24" hidden="1">#REF!</definedName>
    <definedName name="__123Graph_XRST1" localSheetId="18" hidden="1">#REF!</definedName>
    <definedName name="__123Graph_XRST1" localSheetId="25" hidden="1">#REF!</definedName>
    <definedName name="__123Graph_XRST1" localSheetId="26" hidden="1">#REF!</definedName>
    <definedName name="__123Graph_XRST1" localSheetId="0" hidden="1">#REF!</definedName>
    <definedName name="__123Graph_XRST1" localSheetId="11" hidden="1">#REF!</definedName>
    <definedName name="__123Graph_XRST1" localSheetId="14" hidden="1">#REF!</definedName>
    <definedName name="__123Graph_XRST1" localSheetId="21" hidden="1">#REF!</definedName>
    <definedName name="__123Graph_XRST1" localSheetId="12" hidden="1">#REF!</definedName>
    <definedName name="__123Graph_XRST1" localSheetId="15" hidden="1">#REF!</definedName>
    <definedName name="__123Graph_XRST1" localSheetId="22" hidden="1">#REF!</definedName>
    <definedName name="__123Graph_XRST1" localSheetId="9" hidden="1">#REF!</definedName>
    <definedName name="__123Graph_XRST1" localSheetId="10" hidden="1">#REF!</definedName>
    <definedName name="__123Graph_XRST1" localSheetId="20" hidden="1">#REF!</definedName>
    <definedName name="__123Graph_XRST1" localSheetId="8" hidden="1">#REF!</definedName>
    <definedName name="__123Graph_XRST1" localSheetId="7" hidden="1">#REF!</definedName>
    <definedName name="__123Graph_XRST1" localSheetId="4" hidden="1">#REF!</definedName>
    <definedName name="__123Graph_XRST1" hidden="1">#REF!</definedName>
    <definedName name="_ESD112">'School Year 2021-22 SPED coop'!$A$3:$O$30</definedName>
    <definedName name="_Fill" localSheetId="16" hidden="1">#REF!</definedName>
    <definedName name="_Fill" localSheetId="23" hidden="1">#REF!</definedName>
    <definedName name="_Fill" localSheetId="17" hidden="1">#REF!</definedName>
    <definedName name="_Fill" localSheetId="24" hidden="1">#REF!</definedName>
    <definedName name="_Fill" localSheetId="18" hidden="1">#REF!</definedName>
    <definedName name="_Fill" localSheetId="25" hidden="1">#REF!</definedName>
    <definedName name="_Fill" localSheetId="26" hidden="1">#REF!</definedName>
    <definedName name="_Fill" localSheetId="0" hidden="1">#REF!</definedName>
    <definedName name="_Fill" localSheetId="11" hidden="1">#REF!</definedName>
    <definedName name="_Fill" localSheetId="14" hidden="1">#REF!</definedName>
    <definedName name="_Fill" localSheetId="21" hidden="1">#REF!</definedName>
    <definedName name="_Fill" localSheetId="12" hidden="1">#REF!</definedName>
    <definedName name="_Fill" localSheetId="15" hidden="1">#REF!</definedName>
    <definedName name="_Fill" localSheetId="22" hidden="1">#REF!</definedName>
    <definedName name="_Fill" localSheetId="9" hidden="1">#REF!</definedName>
    <definedName name="_Fill" localSheetId="10" hidden="1">#REF!</definedName>
    <definedName name="_Fill" localSheetId="20" hidden="1">#REF!</definedName>
    <definedName name="_Fill" localSheetId="8" hidden="1">#REF!</definedName>
    <definedName name="_Fill" localSheetId="29" hidden="1">#REF!</definedName>
    <definedName name="_Fill" localSheetId="7" hidden="1">#REF!</definedName>
    <definedName name="_Fill" localSheetId="4" hidden="1">#REF!</definedName>
    <definedName name="_Fill" localSheetId="3" hidden="1">#REF!</definedName>
    <definedName name="_Fill" hidden="1">#REF!</definedName>
    <definedName name="_xlnm._FilterDatabase" localSheetId="16" hidden="1">'2021-22 enroll CL'!$A$7:$AE$7</definedName>
    <definedName name="_xlnm._FilterDatabase" localSheetId="23" hidden="1">'2021-22 enroll F195F'!$A$7:$AE$7</definedName>
    <definedName name="_xlnm._FilterDatabase" localSheetId="17" hidden="1">'2022-23 enroll CL'!$A$7:$AE$7</definedName>
    <definedName name="_xlnm._FilterDatabase" localSheetId="24" hidden="1">'2022-23 enroll F195F'!$A$7:$AE$7</definedName>
    <definedName name="_xlnm._FilterDatabase" localSheetId="18" hidden="1">'2023-24 enroll CL'!$A$7:$AE$7</definedName>
    <definedName name="_xlnm._FilterDatabase" localSheetId="25" hidden="1">'2023-24 enroll F195F'!$A$7:$AE$7</definedName>
    <definedName name="_xlnm._FilterDatabase" localSheetId="19" hidden="1">'2024-25 enroll CL'!$A$7:$AE$7</definedName>
    <definedName name="_xlnm._FilterDatabase" localSheetId="26" hidden="1">'2024-25 enroll F195F'!$A$7:$AE$7</definedName>
    <definedName name="_xlnm._FilterDatabase" localSheetId="0" hidden="1">'District List'!$A$1:$B$318</definedName>
    <definedName name="_xlnm._FilterDatabase" localSheetId="11" hidden="1">Enacted!$A$4:$AW$311</definedName>
    <definedName name="_xlnm._FilterDatabase" localSheetId="14" hidden="1">'Enacted CL'!$A$4:$AW$311</definedName>
    <definedName name="_xlnm._FilterDatabase" localSheetId="21" hidden="1">'Enacted F195F'!$A$4:$AW$311</definedName>
    <definedName name="_xlnm._FilterDatabase" localSheetId="5" hidden="1">'ESSER Funding'!$A$5:$F$316</definedName>
    <definedName name="_xlnm._FilterDatabase" localSheetId="12" hidden="1">ExcessLevy!$A$7:$Y$309</definedName>
    <definedName name="_xlnm._FilterDatabase" localSheetId="15" hidden="1">'ExcessLevy CL'!$A$7:$AA$302</definedName>
    <definedName name="_xlnm._FilterDatabase" localSheetId="22" hidden="1">'ExcessLevy F195F'!$A$7:$AQ$302</definedName>
    <definedName name="_xlnm._FilterDatabase" localSheetId="27" hidden="1">'Jan 2022 Apport'!$A$5:$AR$384</definedName>
    <definedName name="_xlnm._FilterDatabase" localSheetId="9" hidden="1">'Jan 2022 Apport Enroll'!$A$7:$AD$321</definedName>
    <definedName name="_xlnm._FilterDatabase" localSheetId="10" hidden="1">Maintenance!$A$4:$AT$322</definedName>
    <definedName name="_xlnm._FilterDatabase" localSheetId="13" hidden="1">'Maintenance CL '!$A$4:$BJ$318</definedName>
    <definedName name="_xlnm._FilterDatabase" localSheetId="20" hidden="1">'Maintenance F195F'!$A$4:$BJ$4</definedName>
    <definedName name="_xlnm._FilterDatabase" localSheetId="8" hidden="1">'Proto Model Changes'!$B$3:$V$322</definedName>
    <definedName name="_xlnm._FilterDatabase" localSheetId="28" hidden="1">'School Year 2021-22'!$A$6:$AQ$324</definedName>
    <definedName name="_xlnm._FilterDatabase" localSheetId="7" hidden="1">SpED!$A$3:$AO$29</definedName>
    <definedName name="_xlnm._FilterDatabase" localSheetId="4" hidden="1">stabilization!$A$7:$G$7</definedName>
    <definedName name="_Key1" localSheetId="16" hidden="1">#REF!</definedName>
    <definedName name="_Key1" localSheetId="23" hidden="1">#REF!</definedName>
    <definedName name="_Key1" localSheetId="17" hidden="1">#REF!</definedName>
    <definedName name="_Key1" localSheetId="24" hidden="1">#REF!</definedName>
    <definedName name="_Key1" localSheetId="18" hidden="1">#REF!</definedName>
    <definedName name="_Key1" localSheetId="25" hidden="1">#REF!</definedName>
    <definedName name="_Key1" localSheetId="26" hidden="1">#REF!</definedName>
    <definedName name="_Key1" localSheetId="0" hidden="1">#REF!</definedName>
    <definedName name="_Key1" localSheetId="11" hidden="1">#REF!</definedName>
    <definedName name="_Key1" localSheetId="14" hidden="1">#REF!</definedName>
    <definedName name="_Key1" localSheetId="21" hidden="1">#REF!</definedName>
    <definedName name="_Key1" localSheetId="12" hidden="1">#REF!</definedName>
    <definedName name="_Key1" localSheetId="15" hidden="1">#REF!</definedName>
    <definedName name="_Key1" localSheetId="22" hidden="1">#REF!</definedName>
    <definedName name="_Key1" localSheetId="9" hidden="1">#REF!</definedName>
    <definedName name="_Key1" localSheetId="10" hidden="1">#REF!</definedName>
    <definedName name="_Key1" localSheetId="20" hidden="1">#REF!</definedName>
    <definedName name="_Key1" localSheetId="8" hidden="1">#REF!</definedName>
    <definedName name="_Key1" localSheetId="29" hidden="1">#REF!</definedName>
    <definedName name="_Key1" localSheetId="7" hidden="1">#REF!</definedName>
    <definedName name="_Key1" localSheetId="4" hidden="1">#REF!</definedName>
    <definedName name="_Key1" localSheetId="3" hidden="1">#REF!</definedName>
    <definedName name="_Key1" hidden="1">#REF!</definedName>
    <definedName name="_Key2" localSheetId="16" hidden="1">#REF!</definedName>
    <definedName name="_Key2" localSheetId="23" hidden="1">#REF!</definedName>
    <definedName name="_Key2" localSheetId="17" hidden="1">#REF!</definedName>
    <definedName name="_Key2" localSheetId="24" hidden="1">#REF!</definedName>
    <definedName name="_Key2" localSheetId="18" hidden="1">#REF!</definedName>
    <definedName name="_Key2" localSheetId="25" hidden="1">#REF!</definedName>
    <definedName name="_Key2" localSheetId="26" hidden="1">#REF!</definedName>
    <definedName name="_Key2" localSheetId="0" hidden="1">#REF!</definedName>
    <definedName name="_Key2" localSheetId="11" hidden="1">#REF!</definedName>
    <definedName name="_Key2" localSheetId="14" hidden="1">#REF!</definedName>
    <definedName name="_Key2" localSheetId="21" hidden="1">#REF!</definedName>
    <definedName name="_Key2" localSheetId="12" hidden="1">#REF!</definedName>
    <definedName name="_Key2" localSheetId="15" hidden="1">#REF!</definedName>
    <definedName name="_Key2" localSheetId="22" hidden="1">#REF!</definedName>
    <definedName name="_Key2" localSheetId="9" hidden="1">#REF!</definedName>
    <definedName name="_Key2" localSheetId="10" hidden="1">#REF!</definedName>
    <definedName name="_Key2" localSheetId="20" hidden="1">#REF!</definedName>
    <definedName name="_Key2" localSheetId="8" hidden="1">#REF!</definedName>
    <definedName name="_Key2" localSheetId="29" hidden="1">#REF!</definedName>
    <definedName name="_Key2" localSheetId="7" hidden="1">#REF!</definedName>
    <definedName name="_Key2" localSheetId="4" hidden="1">#REF!</definedName>
    <definedName name="_Key2" localSheetId="3" hidden="1">#REF!</definedName>
    <definedName name="_Key2" hidden="1">#REF!</definedName>
    <definedName name="_Order1" localSheetId="29" hidden="1">255</definedName>
    <definedName name="_Order1" hidden="1">0</definedName>
    <definedName name="_Order2" hidden="1">255</definedName>
    <definedName name="_Sort" localSheetId="16" hidden="1">#REF!</definedName>
    <definedName name="_Sort" localSheetId="23" hidden="1">#REF!</definedName>
    <definedName name="_Sort" localSheetId="17" hidden="1">#REF!</definedName>
    <definedName name="_Sort" localSheetId="24" hidden="1">#REF!</definedName>
    <definedName name="_Sort" localSheetId="18" hidden="1">#REF!</definedName>
    <definedName name="_Sort" localSheetId="25" hidden="1">#REF!</definedName>
    <definedName name="_Sort" localSheetId="26" hidden="1">#REF!</definedName>
    <definedName name="_Sort" localSheetId="0" hidden="1">#REF!</definedName>
    <definedName name="_Sort" localSheetId="11" hidden="1">#REF!</definedName>
    <definedName name="_Sort" localSheetId="14" hidden="1">#REF!</definedName>
    <definedName name="_Sort" localSheetId="21" hidden="1">#REF!</definedName>
    <definedName name="_Sort" localSheetId="12" hidden="1">#REF!</definedName>
    <definedName name="_Sort" localSheetId="15" hidden="1">#REF!</definedName>
    <definedName name="_Sort" localSheetId="22" hidden="1">#REF!</definedName>
    <definedName name="_Sort" localSheetId="9" hidden="1">#REF!</definedName>
    <definedName name="_Sort" localSheetId="10" hidden="1">#REF!</definedName>
    <definedName name="_Sort" localSheetId="20" hidden="1">#REF!</definedName>
    <definedName name="_Sort" localSheetId="8" hidden="1">#REF!</definedName>
    <definedName name="_Sort" localSheetId="29" hidden="1">#REF!</definedName>
    <definedName name="_Sort" localSheetId="7" hidden="1">#REF!</definedName>
    <definedName name="_Sort" localSheetId="4" hidden="1">#REF!</definedName>
    <definedName name="_Sort" localSheetId="3" hidden="1">#REF!</definedName>
    <definedName name="_Sort" hidden="1">#REF!</definedName>
    <definedName name="_Table1_In1" localSheetId="16" hidden="1">'[3]&lt;65 Util_Cost'!#REF!</definedName>
    <definedName name="_Table1_In1" localSheetId="23" hidden="1">'[3]&lt;65 Util_Cost'!#REF!</definedName>
    <definedName name="_Table1_In1" localSheetId="17" hidden="1">'[3]&lt;65 Util_Cost'!#REF!</definedName>
    <definedName name="_Table1_In1" localSheetId="24" hidden="1">'[3]&lt;65 Util_Cost'!#REF!</definedName>
    <definedName name="_Table1_In1" localSheetId="18" hidden="1">'[3]&lt;65 Util_Cost'!#REF!</definedName>
    <definedName name="_Table1_In1" localSheetId="25" hidden="1">'[3]&lt;65 Util_Cost'!#REF!</definedName>
    <definedName name="_Table1_In1" localSheetId="26" hidden="1">'[3]&lt;65 Util_Cost'!#REF!</definedName>
    <definedName name="_Table1_In1" localSheetId="0" hidden="1">#REF!</definedName>
    <definedName name="_Table1_In1" localSheetId="11" hidden="1">'[3]&lt;65 Util_Cost'!#REF!</definedName>
    <definedName name="_Table1_In1" localSheetId="14" hidden="1">'[3]&lt;65 Util_Cost'!#REF!</definedName>
    <definedName name="_Table1_In1" localSheetId="21" hidden="1">'[3]&lt;65 Util_Cost'!#REF!</definedName>
    <definedName name="_Table1_In1" localSheetId="12" hidden="1">'[3]&lt;65 Util_Cost'!#REF!</definedName>
    <definedName name="_Table1_In1" localSheetId="15" hidden="1">'[3]&lt;65 Util_Cost'!#REF!</definedName>
    <definedName name="_Table1_In1" localSheetId="22" hidden="1">'[3]&lt;65 Util_Cost'!#REF!</definedName>
    <definedName name="_Table1_In1" localSheetId="9" hidden="1">'[3]&lt;65 Util_Cost'!#REF!</definedName>
    <definedName name="_Table1_In1" localSheetId="10" hidden="1">'[3]&lt;65 Util_Cost'!#REF!</definedName>
    <definedName name="_Table1_In1" localSheetId="20" hidden="1">'[3]&lt;65 Util_Cost'!#REF!</definedName>
    <definedName name="_Table1_In1" localSheetId="8" hidden="1">'[3]&lt;65 Util_Cost'!#REF!</definedName>
    <definedName name="_Table1_In1" localSheetId="7" hidden="1">'[3]&lt;65 Util_Cost'!#REF!</definedName>
    <definedName name="_Table1_In1" localSheetId="4" hidden="1">'[3]&lt;65 Util_Cost'!#REF!</definedName>
    <definedName name="_Table1_In1" localSheetId="3" hidden="1">'[3]&lt;65 Util_Cost'!#REF!</definedName>
    <definedName name="_Table1_In1" hidden="1">'[3]&lt;65 Util_Cost'!#REF!</definedName>
    <definedName name="_Table1_Out" localSheetId="16" hidden="1">#REF!</definedName>
    <definedName name="_Table1_Out" localSheetId="23" hidden="1">#REF!</definedName>
    <definedName name="_Table1_Out" localSheetId="17" hidden="1">#REF!</definedName>
    <definedName name="_Table1_Out" localSheetId="24" hidden="1">#REF!</definedName>
    <definedName name="_Table1_Out" localSheetId="18" hidden="1">#REF!</definedName>
    <definedName name="_Table1_Out" localSheetId="25" hidden="1">#REF!</definedName>
    <definedName name="_Table1_Out" localSheetId="26" hidden="1">#REF!</definedName>
    <definedName name="_Table1_Out" localSheetId="0" hidden="1">#REF!</definedName>
    <definedName name="_Table1_Out" localSheetId="11" hidden="1">#REF!</definedName>
    <definedName name="_Table1_Out" localSheetId="14" hidden="1">#REF!</definedName>
    <definedName name="_Table1_Out" localSheetId="21" hidden="1">#REF!</definedName>
    <definedName name="_Table1_Out" localSheetId="12" hidden="1">#REF!</definedName>
    <definedName name="_Table1_Out" localSheetId="15" hidden="1">#REF!</definedName>
    <definedName name="_Table1_Out" localSheetId="22" hidden="1">#REF!</definedName>
    <definedName name="_Table1_Out" localSheetId="9" hidden="1">#REF!</definedName>
    <definedName name="_Table1_Out" localSheetId="10" hidden="1">#REF!</definedName>
    <definedName name="_Table1_Out" localSheetId="20" hidden="1">#REF!</definedName>
    <definedName name="_Table1_Out" localSheetId="8" hidden="1">#REF!</definedName>
    <definedName name="_Table1_Out" localSheetId="7" hidden="1">#REF!</definedName>
    <definedName name="_Table1_Out" localSheetId="4" hidden="1">#REF!</definedName>
    <definedName name="_Table1_Out" localSheetId="3" hidden="1">#REF!</definedName>
    <definedName name="_Table1_Out" hidden="1">#REF!</definedName>
    <definedName name="CertInc">'Notes and Budget Drivers'!$D$46</definedName>
    <definedName name="Certinsfactor">'Notes and Budget Drivers'!$D$50</definedName>
    <definedName name="CertMaint">'Notes and Budget Drivers'!$D$44</definedName>
    <definedName name="ClassInc">'Notes and Budget Drivers'!$D$47</definedName>
    <definedName name="Classinsfactor">'Notes and Budget Drivers'!$D$51</definedName>
    <definedName name="ClassMaint">'Notes and Budget Drivers'!$D$45</definedName>
    <definedName name="ddd" localSheetId="16" hidden="1">#REF!</definedName>
    <definedName name="ddd" localSheetId="23" hidden="1">#REF!</definedName>
    <definedName name="ddd" localSheetId="17" hidden="1">#REF!</definedName>
    <definedName name="ddd" localSheetId="24" hidden="1">#REF!</definedName>
    <definedName name="ddd" localSheetId="18" hidden="1">#REF!</definedName>
    <definedName name="ddd" localSheetId="25" hidden="1">#REF!</definedName>
    <definedName name="ddd" localSheetId="26" hidden="1">#REF!</definedName>
    <definedName name="ddd" localSheetId="0" hidden="1">#REF!</definedName>
    <definedName name="ddd" localSheetId="11" hidden="1">#REF!</definedName>
    <definedName name="ddd" localSheetId="14" hidden="1">#REF!</definedName>
    <definedName name="ddd" localSheetId="21" hidden="1">#REF!</definedName>
    <definedName name="ddd" localSheetId="12" hidden="1">#REF!</definedName>
    <definedName name="ddd" localSheetId="15" hidden="1">#REF!</definedName>
    <definedName name="ddd" localSheetId="22" hidden="1">#REF!</definedName>
    <definedName name="ddd" localSheetId="9" hidden="1">#REF!</definedName>
    <definedName name="ddd" localSheetId="10" hidden="1">#REF!</definedName>
    <definedName name="ddd" localSheetId="20" hidden="1">#REF!</definedName>
    <definedName name="ddd" localSheetId="8" hidden="1">#REF!</definedName>
    <definedName name="ddd" localSheetId="7" hidden="1">#REF!</definedName>
    <definedName name="ddd" localSheetId="4" hidden="1">#REF!</definedName>
    <definedName name="ddd" localSheetId="3" hidden="1">#REF!</definedName>
    <definedName name="ddd" hidden="1">#REF!</definedName>
    <definedName name="EnacProto_CL">'Proto Model Changes'!$J:$O</definedName>
    <definedName name="EnacProto_F195F">'Proto Model Changes'!$Q:$V</definedName>
    <definedName name="EnacProto_Flat">'Proto Model Changes'!$C:$H</definedName>
    <definedName name="EnacSY202122">Enacted!$B:$N</definedName>
    <definedName name="EnacSY202122CL">'Enacted CL'!$B:$N</definedName>
    <definedName name="EnacSY202122F195F">'Enacted F195F'!$B:$N</definedName>
    <definedName name="EnacSY202223">Enacted!$P:$AB</definedName>
    <definedName name="EnacSY202223CL">'Enacted CL'!$P:$AB</definedName>
    <definedName name="EnacSY202223F195F">'Enacted F195F'!$P:$AB</definedName>
    <definedName name="EnacSY202324">Enacted!$AD:$AP</definedName>
    <definedName name="EnacSY202324CL">'Enacted CL'!$AD:$AP</definedName>
    <definedName name="EnacSY202324F195F">'Enacted F195F'!$AD:$AP</definedName>
    <definedName name="EnacSY202425">Enacted!$AR:$BD</definedName>
    <definedName name="EnacSY202425CL">'Enacted CL'!$AR:$BD</definedName>
    <definedName name="EnacSY202425F195F">'Enacted F195F'!$AR:$BD</definedName>
    <definedName name="ESSER">'ESSER Funding'!$A:$F</definedName>
    <definedName name="fff" localSheetId="16" hidden="1">[2]Apportionment!#REF!</definedName>
    <definedName name="fff" localSheetId="23" hidden="1">[2]Apportionment!#REF!</definedName>
    <definedName name="fff" localSheetId="17" hidden="1">[2]Apportionment!#REF!</definedName>
    <definedName name="fff" localSheetId="24" hidden="1">[2]Apportionment!#REF!</definedName>
    <definedName name="fff" localSheetId="18" hidden="1">[2]Apportionment!#REF!</definedName>
    <definedName name="fff" localSheetId="25" hidden="1">[2]Apportionment!#REF!</definedName>
    <definedName name="fff" localSheetId="26" hidden="1">[2]Apportionment!#REF!</definedName>
    <definedName name="fff" localSheetId="0" hidden="1">#REF!</definedName>
    <definedName name="fff" localSheetId="11" hidden="1">[2]Apportionment!#REF!</definedName>
    <definedName name="fff" localSheetId="14" hidden="1">[2]Apportionment!#REF!</definedName>
    <definedName name="fff" localSheetId="21" hidden="1">[2]Apportionment!#REF!</definedName>
    <definedName name="fff" localSheetId="12" hidden="1">[2]Apportionment!#REF!</definedName>
    <definedName name="fff" localSheetId="15" hidden="1">[2]Apportionment!#REF!</definedName>
    <definedName name="fff" localSheetId="22" hidden="1">[2]Apportionment!#REF!</definedName>
    <definedName name="fff" localSheetId="9" hidden="1">[2]Apportionment!#REF!</definedName>
    <definedName name="fff" localSheetId="10" hidden="1">[2]Apportionment!#REF!</definedName>
    <definedName name="fff" localSheetId="20" hidden="1">[2]Apportionment!#REF!</definedName>
    <definedName name="fff" localSheetId="2" hidden="1">[2]Apportionment!#REF!</definedName>
    <definedName name="fff" localSheetId="8" hidden="1">[2]Apportionment!#REF!</definedName>
    <definedName name="fff" localSheetId="7" hidden="1">[2]Apportionment!#REF!</definedName>
    <definedName name="fff" localSheetId="4" hidden="1">[2]Apportionment!#REF!</definedName>
    <definedName name="fff" localSheetId="3" hidden="1">[2]Apportionment!#REF!</definedName>
    <definedName name="fff" hidden="1">[2]Apportionment!#REF!</definedName>
    <definedName name="Insrate">'Notes and Budget Drivers'!$D$49</definedName>
    <definedName name="JanApport">'Jan 2022 Apport'!$A:$AU</definedName>
    <definedName name="k" localSheetId="16" hidden="1">#REF!</definedName>
    <definedName name="k" localSheetId="23" hidden="1">#REF!</definedName>
    <definedName name="k" localSheetId="17" hidden="1">#REF!</definedName>
    <definedName name="k" localSheetId="24" hidden="1">#REF!</definedName>
    <definedName name="k" localSheetId="18" hidden="1">#REF!</definedName>
    <definedName name="k" localSheetId="25" hidden="1">#REF!</definedName>
    <definedName name="k" localSheetId="26" hidden="1">#REF!</definedName>
    <definedName name="k" localSheetId="0" hidden="1">#REF!</definedName>
    <definedName name="k" localSheetId="11" hidden="1">#REF!</definedName>
    <definedName name="k" localSheetId="14" hidden="1">#REF!</definedName>
    <definedName name="k" localSheetId="21" hidden="1">#REF!</definedName>
    <definedName name="k" localSheetId="12" hidden="1">#REF!</definedName>
    <definedName name="k" localSheetId="15" hidden="1">#REF!</definedName>
    <definedName name="k" localSheetId="22" hidden="1">#REF!</definedName>
    <definedName name="k" localSheetId="9" hidden="1">#REF!</definedName>
    <definedName name="k" localSheetId="10" hidden="1">#REF!</definedName>
    <definedName name="k" localSheetId="20" hidden="1">#REF!</definedName>
    <definedName name="k" localSheetId="8" hidden="1">#REF!</definedName>
    <definedName name="k" localSheetId="7" hidden="1">#REF!</definedName>
    <definedName name="k" localSheetId="4" hidden="1">#REF!</definedName>
    <definedName name="k" localSheetId="3" hidden="1">#REF!</definedName>
    <definedName name="k" hidden="1">#REF!</definedName>
    <definedName name="levy">ExcessLevy!$A:$BF</definedName>
    <definedName name="levyCL">'ExcessLevy CL'!$A:$BY</definedName>
    <definedName name="levyF195F">'ExcessLevy F195F'!$A:$CP</definedName>
    <definedName name="MaintSY202122">Maintenance!$B:$N</definedName>
    <definedName name="MaintSY202122CL">'Maintenance CL '!$B:$N</definedName>
    <definedName name="MaintSY202122F195F">'Maintenance F195F'!$B:$N</definedName>
    <definedName name="MaintSY202223">Maintenance!$P:$AB</definedName>
    <definedName name="MaintSY202223CL">'Maintenance CL '!$P:$AB</definedName>
    <definedName name="MaintSY202223F195F">'Maintenance F195F'!$P:$AB</definedName>
    <definedName name="MaintSY202324">Maintenance!$AD:$AP</definedName>
    <definedName name="MaintSY202324CL">'Maintenance CL '!$AD:$AP</definedName>
    <definedName name="MaintSY202324F195F">'Maintenance F195F'!$AD:$ADF</definedName>
    <definedName name="MaintSY202425">Maintenance!$AR:$BD</definedName>
    <definedName name="MaintSY202425CL">'Maintenance CL '!$AR:$BD</definedName>
    <definedName name="MaintSY202425F195F">'Maintenance F195F'!$AR:$BD</definedName>
    <definedName name="MSOC">'Notes and Budget Drivers'!$D$107</definedName>
    <definedName name="MSOC912ehc">'Notes and Budget Drivers'!$D$108</definedName>
    <definedName name="MSOCcte">'Notes and Budget Drivers'!$D$125</definedName>
    <definedName name="MSOCsc">'Notes and Budget Drivers'!$D$129</definedName>
    <definedName name="nothing2" localSheetId="0" hidden="1">{"umarea",#N/A,FALSE,"Starting Cost";"umagesex",#N/A,FALSE,"Starting Cost";"umbenlim",#N/A,FALSE,"Starting Cost";"umprovdisc",#N/A,FALSE,"Starting Cost";"umother",#N/A,FALSE,"Starting Cost";"umtrend",#N/A,FALSE,"Starting Cost"}</definedName>
    <definedName name="nothing2" localSheetId="12" hidden="1">{"umarea",#N/A,FALSE,"Starting Cost";"umagesex",#N/A,FALSE,"Starting Cost";"umbenlim",#N/A,FALSE,"Starting Cost";"umprovdisc",#N/A,FALSE,"Starting Cost";"umother",#N/A,FALSE,"Starting Cost";"umtrend",#N/A,FALSE,"Starting Cost"}</definedName>
    <definedName name="nothing2" localSheetId="15" hidden="1">{"umarea",#N/A,FALSE,"Starting Cost";"umagesex",#N/A,FALSE,"Starting Cost";"umbenlim",#N/A,FALSE,"Starting Cost";"umprovdisc",#N/A,FALSE,"Starting Cost";"umother",#N/A,FALSE,"Starting Cost";"umtrend",#N/A,FALSE,"Starting Cost"}</definedName>
    <definedName name="nothing2" localSheetId="22" hidden="1">{"umarea",#N/A,FALSE,"Starting Cost";"umagesex",#N/A,FALSE,"Starting Cost";"umbenlim",#N/A,FALSE,"Starting Cost";"umprovdisc",#N/A,FALSE,"Starting Cost";"umother",#N/A,FALSE,"Starting Cost";"umtrend",#N/A,FALSE,"Starting Cost"}</definedName>
    <definedName name="nothing2" localSheetId="2" hidden="1">{"umarea",#N/A,FALSE,"Starting Cost";"umagesex",#N/A,FALSE,"Starting Cost";"umbenlim",#N/A,FALSE,"Starting Cost";"umprovdisc",#N/A,FALSE,"Starting Cost";"umother",#N/A,FALSE,"Starting Cost";"umtrend",#N/A,FALSE,"Starting Cost"}</definedName>
    <definedName name="nothing2" localSheetId="6" hidden="1">{"umarea",#N/A,FALSE,"Starting Cost";"umagesex",#N/A,FALSE,"Starting Cost";"umbenlim",#N/A,FALSE,"Starting Cost";"umprovdisc",#N/A,FALSE,"Starting Cost";"umother",#N/A,FALSE,"Starting Cost";"umtrend",#N/A,FALSE,"Starting Cost"}</definedName>
    <definedName name="nothing2" localSheetId="4" hidden="1">{"umarea",#N/A,FALSE,"Starting Cost";"umagesex",#N/A,FALSE,"Starting Cost";"umbenlim",#N/A,FALSE,"Starting Cost";"umprovdisc",#N/A,FALSE,"Starting Cost";"umother",#N/A,FALSE,"Starting Cost";"umtrend",#N/A,FALSE,"Starting Cost"}</definedName>
    <definedName name="nothing2" localSheetId="3" hidden="1">{"umarea",#N/A,FALSE,"Starting Cost";"umagesex",#N/A,FALSE,"Starting Cost";"umbenlim",#N/A,FALSE,"Starting Cost";"umprovdisc",#N/A,FALSE,"Starting Cost";"umother",#N/A,FALSE,"Starting Cost";"umtrend",#N/A,FALSE,"Starting Cost"}</definedName>
    <definedName name="nothing2" localSheetId="1" hidden="1">{"umarea",#N/A,FALSE,"Starting Cost";"umagesex",#N/A,FALSE,"Starting Cost";"umbenlim",#N/A,FALSE,"Starting Cost";"umprovdisc",#N/A,FALSE,"Starting Cost";"umother",#N/A,FALSE,"Starting Cost";"umtrend",#N/A,FALSE,"Starting Cost"}</definedName>
    <definedName name="nothing2" hidden="1">{"umarea",#N/A,FALSE,"Starting Cost";"umagesex",#N/A,FALSE,"Starting Cost";"umbenlim",#N/A,FALSE,"Starting Cost";"umprovdisc",#N/A,FALSE,"Starting Cost";"umother",#N/A,FALSE,"Starting Cost";"umtrend",#N/A,FALSE,"Starting Cost"}</definedName>
    <definedName name="_xlnm.Print_Area" localSheetId="2">'Notes and Budget Drivers'!$A$1:$K$144</definedName>
    <definedName name="_xlnm.Print_Area" localSheetId="8">'Proto Model Changes'!$B$1:$V$322</definedName>
    <definedName name="_xlnm.Print_Area" localSheetId="3">summary!$B$1:$G$72</definedName>
    <definedName name="_xlnm.Print_Titles" localSheetId="5">'ESSER Funding'!$2:$3</definedName>
    <definedName name="_xlnm.Print_Titles" localSheetId="9">'Jan 2022 Apport Enroll'!$A:$A,'Jan 2022 Apport Enroll'!$4:$4</definedName>
    <definedName name="_xlnm.Print_Titles" localSheetId="6">'Per Pupil Rate'!$B:$B,'Per Pupil Rate'!$2:$3</definedName>
    <definedName name="_xlnm.Print_Titles" localSheetId="8">'Proto Model Changes'!#REF!,'Proto Model Changes'!$1:$2</definedName>
    <definedName name="_xlnm.Print_Titles" localSheetId="7">SpED!$1:$2</definedName>
    <definedName name="_xlnm.Print_Titles" localSheetId="4">stabilization!$4:$5</definedName>
    <definedName name="Purple" localSheetId="16" hidden="1">[2]Apportionment!#REF!</definedName>
    <definedName name="Purple" localSheetId="23" hidden="1">[2]Apportionment!#REF!</definedName>
    <definedName name="Purple" localSheetId="17" hidden="1">[2]Apportionment!#REF!</definedName>
    <definedName name="Purple" localSheetId="24" hidden="1">[2]Apportionment!#REF!</definedName>
    <definedName name="Purple" localSheetId="18" hidden="1">[2]Apportionment!#REF!</definedName>
    <definedName name="Purple" localSheetId="25" hidden="1">[2]Apportionment!#REF!</definedName>
    <definedName name="Purple" localSheetId="26" hidden="1">[2]Apportionment!#REF!</definedName>
    <definedName name="Purple" localSheetId="0" hidden="1">#REF!</definedName>
    <definedName name="Purple" localSheetId="11" hidden="1">[2]Apportionment!#REF!</definedName>
    <definedName name="Purple" localSheetId="14" hidden="1">[2]Apportionment!#REF!</definedName>
    <definedName name="Purple" localSheetId="21" hidden="1">[2]Apportionment!#REF!</definedName>
    <definedName name="Purple" localSheetId="12" hidden="1">[2]Apportionment!#REF!</definedName>
    <definedName name="Purple" localSheetId="15" hidden="1">[2]Apportionment!#REF!</definedName>
    <definedName name="Purple" localSheetId="22" hidden="1">[2]Apportionment!#REF!</definedName>
    <definedName name="Purple" localSheetId="9" hidden="1">[2]Apportionment!#REF!</definedName>
    <definedName name="Purple" localSheetId="10" hidden="1">[2]Apportionment!#REF!</definedName>
    <definedName name="Purple" localSheetId="20" hidden="1">[2]Apportionment!#REF!</definedName>
    <definedName name="Purple" localSheetId="8" hidden="1">[2]Apportionment!#REF!</definedName>
    <definedName name="Purple" localSheetId="7" hidden="1">[2]Apportionment!#REF!</definedName>
    <definedName name="Purple" localSheetId="4" hidden="1">[2]Apportionment!#REF!</definedName>
    <definedName name="Purple" hidden="1">[2]Apportionment!#REF!</definedName>
    <definedName name="SpEd_Apport">SpED!$E:$H</definedName>
    <definedName name="SpEd_Enac_CL">SpED!$BB:$BK</definedName>
    <definedName name="SpEd_Enac_F195F">SpED!$BM:$BV</definedName>
    <definedName name="SpEd_Enac_Flat">SpED!$AQ:$AZ</definedName>
    <definedName name="SpEd_Maint_CL">SpED!$U:$AD</definedName>
    <definedName name="SpEd_Maint_F195F">SpED!$AF:$AO</definedName>
    <definedName name="SpEd_Maint_Flat">SpED!$J:$S</definedName>
    <definedName name="Stabilization">stabilization!$A:$G</definedName>
    <definedName name="SY202021enrollapport">'Jan 2022 Apport Enroll'!$A:$AD</definedName>
    <definedName name="SY202122Apport">'School Year 2021-22'!$A:$AR</definedName>
    <definedName name="SY202122enroll">'2021-22 enroll CL'!$A:$AB</definedName>
    <definedName name="SY202122F195Fenroll">'2021-22 enroll F195F'!$A:$AB</definedName>
    <definedName name="SY202223enroll">'2022-23 enroll CL'!$A:$AB</definedName>
    <definedName name="SY202223F195Fenroll">'2022-23 enroll F195F'!$A:$AB</definedName>
    <definedName name="SY202324enroll">'2023-24 enroll CL'!$A:$AB</definedName>
    <definedName name="SY202324F195Fenroll">'2023-24 enroll F195F'!$A:$AB</definedName>
    <definedName name="SY202425enroll">'2024-25 enroll CL'!$A:$AB</definedName>
    <definedName name="SY202425F195Fenroll">'2024-25 enroll F195F'!$A:$AB</definedName>
    <definedName name="test" localSheetId="16" hidden="1">[1]App!#REF!</definedName>
    <definedName name="test" localSheetId="23" hidden="1">[1]App!#REF!</definedName>
    <definedName name="test" localSheetId="17" hidden="1">[1]App!#REF!</definedName>
    <definedName name="test" localSheetId="24" hidden="1">[1]App!#REF!</definedName>
    <definedName name="test" localSheetId="18" hidden="1">[1]App!#REF!</definedName>
    <definedName name="test" localSheetId="25" hidden="1">[1]App!#REF!</definedName>
    <definedName name="test" localSheetId="26" hidden="1">[1]App!#REF!</definedName>
    <definedName name="test" localSheetId="0" hidden="1">#REF!</definedName>
    <definedName name="test" localSheetId="11" hidden="1">[1]App!#REF!</definedName>
    <definedName name="test" localSheetId="14" hidden="1">[1]App!#REF!</definedName>
    <definedName name="test" localSheetId="21" hidden="1">[1]App!#REF!</definedName>
    <definedName name="test" localSheetId="12" hidden="1">[1]App!#REF!</definedName>
    <definedName name="test" localSheetId="15" hidden="1">[1]App!#REF!</definedName>
    <definedName name="test" localSheetId="22" hidden="1">[1]App!#REF!</definedName>
    <definedName name="test" localSheetId="9" hidden="1">[1]App!#REF!</definedName>
    <definedName name="test" localSheetId="10" hidden="1">[1]App!#REF!</definedName>
    <definedName name="test" localSheetId="20" hidden="1">[1]App!#REF!</definedName>
    <definedName name="test" localSheetId="8" hidden="1">[1]App!#REF!</definedName>
    <definedName name="test" localSheetId="7" hidden="1">[1]App!#REF!</definedName>
    <definedName name="test" localSheetId="4" hidden="1">[1]App!#REF!</definedName>
    <definedName name="test" hidden="1">[1]App!#REF!</definedName>
    <definedName name="wrn.Adjusted._.Mod._.Managed." localSheetId="0"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5"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6"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4"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3"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1"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0" hidden="1">{"OM Visits",#N/A,TRUE,"Optimal";"OM Dollars per Hour",#N/A,TRUE,"Optimal";"OM Hours per Visit",#N/A,TRUE,"Optimal";"OM Dollars per Visit",#N/A,TRUE,"Optimal";"OM Total Visits",#N/A,TRUE,"Optimal";"OM PMPM",#N/A,TRUE,"Optimal"}</definedName>
    <definedName name="wrn.Adjusted._.Optimal." localSheetId="12" hidden="1">{"OM Visits",#N/A,TRUE,"Optimal";"OM Dollars per Hour",#N/A,TRUE,"Optimal";"OM Hours per Visit",#N/A,TRUE,"Optimal";"OM Dollars per Visit",#N/A,TRUE,"Optimal";"OM Total Visits",#N/A,TRUE,"Optimal";"OM PMPM",#N/A,TRUE,"Optimal"}</definedName>
    <definedName name="wrn.Adjusted._.Optimal." localSheetId="15" hidden="1">{"OM Visits",#N/A,TRUE,"Optimal";"OM Dollars per Hour",#N/A,TRUE,"Optimal";"OM Hours per Visit",#N/A,TRUE,"Optimal";"OM Dollars per Visit",#N/A,TRUE,"Optimal";"OM Total Visits",#N/A,TRUE,"Optimal";"OM PMPM",#N/A,TRUE,"Optimal"}</definedName>
    <definedName name="wrn.Adjusted._.Optimal." localSheetId="22" hidden="1">{"OM Visits",#N/A,TRUE,"Optimal";"OM Dollars per Hour",#N/A,TRUE,"Optimal";"OM Hours per Visit",#N/A,TRUE,"Optimal";"OM Dollars per Visit",#N/A,TRUE,"Optimal";"OM Total Visits",#N/A,TRUE,"Optimal";"OM PMPM",#N/A,TRUE,"Optimal"}</definedName>
    <definedName name="wrn.Adjusted._.Optimal." localSheetId="2" hidden="1">{"OM Visits",#N/A,TRUE,"Optimal";"OM Dollars per Hour",#N/A,TRUE,"Optimal";"OM Hours per Visit",#N/A,TRUE,"Optimal";"OM Dollars per Visit",#N/A,TRUE,"Optimal";"OM Total Visits",#N/A,TRUE,"Optimal";"OM PMPM",#N/A,TRUE,"Optimal"}</definedName>
    <definedName name="wrn.Adjusted._.Optimal." localSheetId="6" hidden="1">{"OM Visits",#N/A,TRUE,"Optimal";"OM Dollars per Hour",#N/A,TRUE,"Optimal";"OM Hours per Visit",#N/A,TRUE,"Optimal";"OM Dollars per Visit",#N/A,TRUE,"Optimal";"OM Total Visits",#N/A,TRUE,"Optimal";"OM PMPM",#N/A,TRUE,"Optimal"}</definedName>
    <definedName name="wrn.Adjusted._.Optimal." localSheetId="4" hidden="1">{"OM Visits",#N/A,TRUE,"Optimal";"OM Dollars per Hour",#N/A,TRUE,"Optimal";"OM Hours per Visit",#N/A,TRUE,"Optimal";"OM Dollars per Visit",#N/A,TRUE,"Optimal";"OM Total Visits",#N/A,TRUE,"Optimal";"OM PMPM",#N/A,TRUE,"Optimal"}</definedName>
    <definedName name="wrn.Adjusted._.Optimal." localSheetId="3" hidden="1">{"OM Visits",#N/A,TRUE,"Optimal";"OM Dollars per Hour",#N/A,TRUE,"Optimal";"OM Hours per Visit",#N/A,TRUE,"Optimal";"OM Dollars per Visit",#N/A,TRUE,"Optimal";"OM Total Visits",#N/A,TRUE,"Optimal";"OM PMPM",#N/A,TRUE,"Optimal"}</definedName>
    <definedName name="wrn.Adjusted._.Optimal." localSheetId="1"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0" hidden="1">{"UM Visits",#N/A,FALSE,"Unmanaged";"UM Dollars per Hour",#N/A,FALSE,"Unmanaged";"UM Hours per Visit",#N/A,FALSE,"Unmanaged";"UM Dollars per Visit",#N/A,FALSE,"Unmanaged";"UM Total Visits",#N/A,FALSE,"Unmanaged";"UM PMPM",#N/A,FALSE,"Unmanaged"}</definedName>
    <definedName name="wrn.Adjusted._.Unmanaged." localSheetId="12" hidden="1">{"UM Visits",#N/A,FALSE,"Unmanaged";"UM Dollars per Hour",#N/A,FALSE,"Unmanaged";"UM Hours per Visit",#N/A,FALSE,"Unmanaged";"UM Dollars per Visit",#N/A,FALSE,"Unmanaged";"UM Total Visits",#N/A,FALSE,"Unmanaged";"UM PMPM",#N/A,FALSE,"Unmanaged"}</definedName>
    <definedName name="wrn.Adjusted._.Unmanaged." localSheetId="15" hidden="1">{"UM Visits",#N/A,FALSE,"Unmanaged";"UM Dollars per Hour",#N/A,FALSE,"Unmanaged";"UM Hours per Visit",#N/A,FALSE,"Unmanaged";"UM Dollars per Visit",#N/A,FALSE,"Unmanaged";"UM Total Visits",#N/A,FALSE,"Unmanaged";"UM PMPM",#N/A,FALSE,"Unmanaged"}</definedName>
    <definedName name="wrn.Adjusted._.Unmanaged." localSheetId="22" hidden="1">{"UM Visits",#N/A,FALSE,"Unmanaged";"UM Dollars per Hour",#N/A,FALSE,"Unmanaged";"UM Hours per Visit",#N/A,FALSE,"Unmanaged";"UM Dollars per Visit",#N/A,FALSE,"Unmanaged";"UM Total Visits",#N/A,FALSE,"Unmanaged";"UM PMPM",#N/A,FALSE,"Unmanaged"}</definedName>
    <definedName name="wrn.Adjusted._.Unmanaged." localSheetId="2" hidden="1">{"UM Visits",#N/A,FALSE,"Unmanaged";"UM Dollars per Hour",#N/A,FALSE,"Unmanaged";"UM Hours per Visit",#N/A,FALSE,"Unmanaged";"UM Dollars per Visit",#N/A,FALSE,"Unmanaged";"UM Total Visits",#N/A,FALSE,"Unmanaged";"UM PMPM",#N/A,FALSE,"Unmanaged"}</definedName>
    <definedName name="wrn.Adjusted._.Unmanaged." localSheetId="6" hidden="1">{"UM Visits",#N/A,FALSE,"Unmanaged";"UM Dollars per Hour",#N/A,FALSE,"Unmanaged";"UM Hours per Visit",#N/A,FALSE,"Unmanaged";"UM Dollars per Visit",#N/A,FALSE,"Unmanaged";"UM Total Visits",#N/A,FALSE,"Unmanaged";"UM PMPM",#N/A,FALSE,"Unmanaged"}</definedName>
    <definedName name="wrn.Adjusted._.Unmanaged." localSheetId="4" hidden="1">{"UM Visits",#N/A,FALSE,"Unmanaged";"UM Dollars per Hour",#N/A,FALSE,"Unmanaged";"UM Hours per Visit",#N/A,FALSE,"Unmanaged";"UM Dollars per Visit",#N/A,FALSE,"Unmanaged";"UM Total Visits",#N/A,FALSE,"Unmanaged";"UM PMPM",#N/A,FALSE,"Unmanaged"}</definedName>
    <definedName name="wrn.Adjusted._.Unmanaged." localSheetId="3" hidden="1">{"UM Visits",#N/A,FALSE,"Unmanaged";"UM Dollars per Hour",#N/A,FALSE,"Unmanaged";"UM Hours per Visit",#N/A,FALSE,"Unmanaged";"UM Dollars per Visit",#N/A,FALSE,"Unmanaged";"UM Total Visits",#N/A,FALSE,"Unmanaged";"UM PMPM",#N/A,FALSE,"Unmanaged"}</definedName>
    <definedName name="wrn.Adjusted._.Unmanaged." localSheetId="1"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0" hidden="1">{#N/A,#N/A,FALSE,"Allocation"}</definedName>
    <definedName name="wrn.Allocation." localSheetId="12" hidden="1">{#N/A,#N/A,FALSE,"Allocation"}</definedName>
    <definedName name="wrn.Allocation." localSheetId="15" hidden="1">{#N/A,#N/A,FALSE,"Allocation"}</definedName>
    <definedName name="wrn.Allocation." localSheetId="22" hidden="1">{#N/A,#N/A,FALSE,"Allocation"}</definedName>
    <definedName name="wrn.Allocation." localSheetId="2" hidden="1">{#N/A,#N/A,FALSE,"Allocation"}</definedName>
    <definedName name="wrn.Allocation." localSheetId="6" hidden="1">{#N/A,#N/A,FALSE,"Allocation"}</definedName>
    <definedName name="wrn.Allocation." localSheetId="4" hidden="1">{#N/A,#N/A,FALSE,"Allocation"}</definedName>
    <definedName name="wrn.Allocation." localSheetId="3" hidden="1">{#N/A,#N/A,FALSE,"Allocation"}</definedName>
    <definedName name="wrn.Allocation." localSheetId="1" hidden="1">{#N/A,#N/A,FALSE,"Allocation"}</definedName>
    <definedName name="wrn.Allocation." hidden="1">{#N/A,#N/A,FALSE,"Allocation"}</definedName>
    <definedName name="wrn.Assumptions." localSheetId="0" hidden="1">{#N/A,#N/A,FALSE,"Assumptions"}</definedName>
    <definedName name="wrn.Assumptions." localSheetId="12" hidden="1">{#N/A,#N/A,FALSE,"Assumptions"}</definedName>
    <definedName name="wrn.Assumptions." localSheetId="15" hidden="1">{#N/A,#N/A,FALSE,"Assumptions"}</definedName>
    <definedName name="wrn.Assumptions." localSheetId="22" hidden="1">{#N/A,#N/A,FALSE,"Assumptions"}</definedName>
    <definedName name="wrn.Assumptions." localSheetId="2" hidden="1">{#N/A,#N/A,FALSE,"Assumptions"}</definedName>
    <definedName name="wrn.Assumptions." localSheetId="6" hidden="1">{#N/A,#N/A,FALSE,"Assumptions"}</definedName>
    <definedName name="wrn.Assumptions." localSheetId="4" hidden="1">{#N/A,#N/A,FALSE,"Assumptions"}</definedName>
    <definedName name="wrn.Assumptions." localSheetId="3" hidden="1">{#N/A,#N/A,FALSE,"Assumptions"}</definedName>
    <definedName name="wrn.Assumptions." localSheetId="1" hidden="1">{#N/A,#N/A,FALSE,"Assumptions"}</definedName>
    <definedName name="wrn.Assumptions." hidden="1">{#N/A,#N/A,FALSE,"Assumptions"}</definedName>
    <definedName name="wrn.Data._.Output." localSheetId="0" hidden="1">{#N/A,#N/A,TRUE,"General Group Info";#N/A,#N/A,TRUE,"Census";#N/A,#N/A,TRUE,"Claims Report";#N/A,#N/A,TRUE,"Prior Claims";#N/A,#N/A,TRUE,"Costs"}</definedName>
    <definedName name="wrn.Data._.Output." localSheetId="12" hidden="1">{#N/A,#N/A,TRUE,"General Group Info";#N/A,#N/A,TRUE,"Census";#N/A,#N/A,TRUE,"Claims Report";#N/A,#N/A,TRUE,"Prior Claims";#N/A,#N/A,TRUE,"Costs"}</definedName>
    <definedName name="wrn.Data._.Output." localSheetId="15" hidden="1">{#N/A,#N/A,TRUE,"General Group Info";#N/A,#N/A,TRUE,"Census";#N/A,#N/A,TRUE,"Claims Report";#N/A,#N/A,TRUE,"Prior Claims";#N/A,#N/A,TRUE,"Costs"}</definedName>
    <definedName name="wrn.Data._.Output." localSheetId="22" hidden="1">{#N/A,#N/A,TRUE,"General Group Info";#N/A,#N/A,TRUE,"Census";#N/A,#N/A,TRUE,"Claims Report";#N/A,#N/A,TRUE,"Prior Claims";#N/A,#N/A,TRUE,"Costs"}</definedName>
    <definedName name="wrn.Data._.Output." localSheetId="2" hidden="1">{#N/A,#N/A,TRUE,"General Group Info";#N/A,#N/A,TRUE,"Census";#N/A,#N/A,TRUE,"Claims Report";#N/A,#N/A,TRUE,"Prior Claims";#N/A,#N/A,TRUE,"Costs"}</definedName>
    <definedName name="wrn.Data._.Output." localSheetId="6" hidden="1">{#N/A,#N/A,TRUE,"General Group Info";#N/A,#N/A,TRUE,"Census";#N/A,#N/A,TRUE,"Claims Report";#N/A,#N/A,TRUE,"Prior Claims";#N/A,#N/A,TRUE,"Costs"}</definedName>
    <definedName name="wrn.Data._.Output." localSheetId="4" hidden="1">{#N/A,#N/A,TRUE,"General Group Info";#N/A,#N/A,TRUE,"Census";#N/A,#N/A,TRUE,"Claims Report";#N/A,#N/A,TRUE,"Prior Claims";#N/A,#N/A,TRUE,"Costs"}</definedName>
    <definedName name="wrn.Data._.Output." localSheetId="3" hidden="1">{#N/A,#N/A,TRUE,"General Group Info";#N/A,#N/A,TRUE,"Census";#N/A,#N/A,TRUE,"Claims Report";#N/A,#N/A,TRUE,"Prior Claims";#N/A,#N/A,TRUE,"Costs"}</definedName>
    <definedName name="wrn.Data._.Output." localSheetId="1" hidden="1">{#N/A,#N/A,TRUE,"General Group Info";#N/A,#N/A,TRUE,"Census";#N/A,#N/A,TRUE,"Claims Report";#N/A,#N/A,TRUE,"Prior Claims";#N/A,#N/A,TRUE,"Costs"}</definedName>
    <definedName name="wrn.Data._.Output." hidden="1">{#N/A,#N/A,TRUE,"General Group Info";#N/A,#N/A,TRUE,"Census";#N/A,#N/A,TRUE,"Claims Report";#N/A,#N/A,TRUE,"Prior Claims";#N/A,#N/A,TRUE,"Costs"}</definedName>
    <definedName name="wrn.Detail." localSheetId="0" hidden="1">{"umarea",#N/A,FALSE,"Starting Cost";"umagesex",#N/A,FALSE,"Starting Cost";"umbenlim",#N/A,FALSE,"Starting Cost";"umprovdisc",#N/A,FALSE,"Starting Cost";"umother",#N/A,FALSE,"Starting Cost";"umtrend",#N/A,FALSE,"Starting Cost"}</definedName>
    <definedName name="wrn.Detail." localSheetId="12" hidden="1">{"umarea",#N/A,FALSE,"Starting Cost";"umagesex",#N/A,FALSE,"Starting Cost";"umbenlim",#N/A,FALSE,"Starting Cost";"umprovdisc",#N/A,FALSE,"Starting Cost";"umother",#N/A,FALSE,"Starting Cost";"umtrend",#N/A,FALSE,"Starting Cost"}</definedName>
    <definedName name="wrn.Detail." localSheetId="15" hidden="1">{"umarea",#N/A,FALSE,"Starting Cost";"umagesex",#N/A,FALSE,"Starting Cost";"umbenlim",#N/A,FALSE,"Starting Cost";"umprovdisc",#N/A,FALSE,"Starting Cost";"umother",#N/A,FALSE,"Starting Cost";"umtrend",#N/A,FALSE,"Starting Cost"}</definedName>
    <definedName name="wrn.Detail." localSheetId="22" hidden="1">{"umarea",#N/A,FALSE,"Starting Cost";"umagesex",#N/A,FALSE,"Starting Cost";"umbenlim",#N/A,FALSE,"Starting Cost";"umprovdisc",#N/A,FALSE,"Starting Cost";"umother",#N/A,FALSE,"Starting Cost";"umtrend",#N/A,FALSE,"Starting Cost"}</definedName>
    <definedName name="wrn.Detail." localSheetId="2" hidden="1">{"umarea",#N/A,FALSE,"Starting Cost";"umagesex",#N/A,FALSE,"Starting Cost";"umbenlim",#N/A,FALSE,"Starting Cost";"umprovdisc",#N/A,FALSE,"Starting Cost";"umother",#N/A,FALSE,"Starting Cost";"umtrend",#N/A,FALSE,"Starting Cost"}</definedName>
    <definedName name="wrn.Detail." localSheetId="6" hidden="1">{"umarea",#N/A,FALSE,"Starting Cost";"umagesex",#N/A,FALSE,"Starting Cost";"umbenlim",#N/A,FALSE,"Starting Cost";"umprovdisc",#N/A,FALSE,"Starting Cost";"umother",#N/A,FALSE,"Starting Cost";"umtrend",#N/A,FALSE,"Starting Cost"}</definedName>
    <definedName name="wrn.Detail." localSheetId="4" hidden="1">{"umarea",#N/A,FALSE,"Starting Cost";"umagesex",#N/A,FALSE,"Starting Cost";"umbenlim",#N/A,FALSE,"Starting Cost";"umprovdisc",#N/A,FALSE,"Starting Cost";"umother",#N/A,FALSE,"Starting Cost";"umtrend",#N/A,FALSE,"Starting Cost"}</definedName>
    <definedName name="wrn.Detail." localSheetId="3" hidden="1">{"umarea",#N/A,FALSE,"Starting Cost";"umagesex",#N/A,FALSE,"Starting Cost";"umbenlim",#N/A,FALSE,"Starting Cost";"umprovdisc",#N/A,FALSE,"Starting Cost";"umother",#N/A,FALSE,"Starting Cost";"umtrend",#N/A,FALSE,"Starting Cost"}</definedName>
    <definedName name="wrn.Detail." localSheetId="1"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0" hidden="1">{#N/A,#N/A,FALSE,"Factors"}</definedName>
    <definedName name="wrn.Factors." localSheetId="12" hidden="1">{#N/A,#N/A,FALSE,"Factors"}</definedName>
    <definedName name="wrn.Factors." localSheetId="15" hidden="1">{#N/A,#N/A,FALSE,"Factors"}</definedName>
    <definedName name="wrn.Factors." localSheetId="22" hidden="1">{#N/A,#N/A,FALSE,"Factors"}</definedName>
    <definedName name="wrn.Factors." localSheetId="2" hidden="1">{#N/A,#N/A,FALSE,"Factors"}</definedName>
    <definedName name="wrn.Factors." localSheetId="6" hidden="1">{#N/A,#N/A,FALSE,"Factors"}</definedName>
    <definedName name="wrn.Factors." localSheetId="4" hidden="1">{#N/A,#N/A,FALSE,"Factors"}</definedName>
    <definedName name="wrn.Factors." localSheetId="3" hidden="1">{#N/A,#N/A,FALSE,"Factors"}</definedName>
    <definedName name="wrn.Factors." localSheetId="1" hidden="1">{#N/A,#N/A,FALSE,"Factors"}</definedName>
    <definedName name="wrn.Factors." hidden="1">{#N/A,#N/A,FALSE,"Factors"}</definedName>
    <definedName name="wrn.Model." localSheetId="0" hidden="1">{#N/A,#N/A,FALSE,"Model"}</definedName>
    <definedName name="wrn.Model." localSheetId="12" hidden="1">{#N/A,#N/A,FALSE,"Model"}</definedName>
    <definedName name="wrn.Model." localSheetId="15" hidden="1">{#N/A,#N/A,FALSE,"Model"}</definedName>
    <definedName name="wrn.Model." localSheetId="22" hidden="1">{#N/A,#N/A,FALSE,"Model"}</definedName>
    <definedName name="wrn.Model." localSheetId="2" hidden="1">{#N/A,#N/A,FALSE,"Model"}</definedName>
    <definedName name="wrn.Model." localSheetId="6" hidden="1">{#N/A,#N/A,FALSE,"Model"}</definedName>
    <definedName name="wrn.Model." localSheetId="4" hidden="1">{#N/A,#N/A,FALSE,"Model"}</definedName>
    <definedName name="wrn.Model." localSheetId="3" hidden="1">{#N/A,#N/A,FALSE,"Model"}</definedName>
    <definedName name="wrn.Model." localSheetId="1" hidden="1">{#N/A,#N/A,FALSE,"Model"}</definedName>
    <definedName name="wrn.Model." hidden="1">{#N/A,#N/A,FALSE,"Model"}</definedName>
    <definedName name="wrn.Print._.All." localSheetId="0" hidden="1">{#N/A,#N/A,FALSE,"Assumptions";#N/A,#N/A,FALSE,"Factors";#N/A,#N/A,FALSE,"Model";#N/A,#N/A,FALSE,"Allocation"}</definedName>
    <definedName name="wrn.Print._.All." localSheetId="12" hidden="1">{#N/A,#N/A,FALSE,"Assumptions";#N/A,#N/A,FALSE,"Factors";#N/A,#N/A,FALSE,"Model";#N/A,#N/A,FALSE,"Allocation"}</definedName>
    <definedName name="wrn.Print._.All." localSheetId="15" hidden="1">{#N/A,#N/A,FALSE,"Assumptions";#N/A,#N/A,FALSE,"Factors";#N/A,#N/A,FALSE,"Model";#N/A,#N/A,FALSE,"Allocation"}</definedName>
    <definedName name="wrn.Print._.All." localSheetId="22" hidden="1">{#N/A,#N/A,FALSE,"Assumptions";#N/A,#N/A,FALSE,"Factors";#N/A,#N/A,FALSE,"Model";#N/A,#N/A,FALSE,"Allocation"}</definedName>
    <definedName name="wrn.Print._.All." localSheetId="2" hidden="1">{#N/A,#N/A,FALSE,"Assumptions";#N/A,#N/A,FALSE,"Factors";#N/A,#N/A,FALSE,"Model";#N/A,#N/A,FALSE,"Allocation"}</definedName>
    <definedName name="wrn.Print._.All." localSheetId="6" hidden="1">{#N/A,#N/A,FALSE,"Assumptions";#N/A,#N/A,FALSE,"Factors";#N/A,#N/A,FALSE,"Model";#N/A,#N/A,FALSE,"Allocation"}</definedName>
    <definedName name="wrn.Print._.All." localSheetId="4" hidden="1">{#N/A,#N/A,FALSE,"Assumptions";#N/A,#N/A,FALSE,"Factors";#N/A,#N/A,FALSE,"Model";#N/A,#N/A,FALSE,"Allocation"}</definedName>
    <definedName name="wrn.Print._.All." localSheetId="3" hidden="1">{#N/A,#N/A,FALSE,"Assumptions";#N/A,#N/A,FALSE,"Factors";#N/A,#N/A,FALSE,"Model";#N/A,#N/A,FALSE,"Allocation"}</definedName>
    <definedName name="wrn.Print._.All." localSheetId="1" hidden="1">{#N/A,#N/A,FALSE,"Assumptions";#N/A,#N/A,FALSE,"Factors";#N/A,#N/A,FALSE,"Model";#N/A,#N/A,FALSE,"Allocation"}</definedName>
    <definedName name="wrn.Print._.All." hidden="1">{#N/A,#N/A,FALSE,"Assumptions";#N/A,#N/A,FALSE,"Factors";#N/A,#N/A,FALSE,"Model";#N/A,#N/A,FALSE,"Allocation"}</definedName>
    <definedName name="wrn.Print._.Full." localSheetId="0"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12"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15"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22"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2"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6"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4"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3" hidden="1">{#N/A,#N/A,FALSE,"Paid Claims";#N/A,#N/A,FALSE,"Cumulative Paid Claims";#N/A,#N/A,FALSE,"Completion Ratios";#N/A,#N/A,FALSE,"Claim Reserve Analysis";#N/A,#N/A,FALSE,"Paid Claims % of Est Inc";#N/A,#N/A,FALSE,"Trends in Pure Premium";#N/A,#N/A,FALSE,"Trends in Paid Claims";#N/A,#N/A,FALSE,"Reserve Analysis"}</definedName>
    <definedName name="wrn.Print._.Full." localSheetId="1" hidden="1">{#N/A,#N/A,FALSE,"Paid Claims";#N/A,#N/A,FALSE,"Cumulative Paid Claims";#N/A,#N/A,FALSE,"Completion Ratios";#N/A,#N/A,FALSE,"Claim Reserve Analysis";#N/A,#N/A,FALSE,"Paid Claims % of Est Inc";#N/A,#N/A,FALSE,"Trends in Pure Premium";#N/A,#N/A,FALSE,"Trends in Paid Claims";#N/A,#N/A,FALSE,"Reserve Analysis"}</definedName>
    <definedName name="wrn.Print._.Full." hidden="1">{#N/A,#N/A,FALSE,"Paid Claims";#N/A,#N/A,FALSE,"Cumulative Paid Claims";#N/A,#N/A,FALSE,"Completion Ratios";#N/A,#N/A,FALSE,"Claim Reserve Analysis";#N/A,#N/A,FALSE,"Paid Claims % of Est Inc";#N/A,#N/A,FALSE,"Trends in Pure Premium";#N/A,#N/A,FALSE,"Trends in Paid Claims";#N/A,#N/A,FALSE,"Reserve Analysis"}</definedName>
    <definedName name="wrn.Print._.Limited." localSheetId="0"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12"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15"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22"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2"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6"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4"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3"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localSheetId="1"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Print._.Limited." hidden="1">{#N/A,#N/A,TRUE,"Parameters";#N/A,#N/A,TRUE,"Paid Claims";#N/A,#N/A,TRUE,"Cumulative Paid Claims";#N/A,#N/A,TRUE,"Completion Ratios";#N/A,#N/A,TRUE,"Claim Reserve Analysis";#N/A,#N/A,TRUE,"Paid Claims % of Est Inc";#N/A,#N/A,TRUE,"Qtly Paid % of Est Inc";#N/A,#N/A,TRUE,"Trends in Pure Premium";#N/A,#N/A,TRUE,"Trends in Paid Claims";#N/A,#N/A,TRUE,"Trend Summary";#N/A,#N/A,TRUE,"Reserve Analysis"}</definedName>
    <definedName name="wrn.rates." localSheetId="0" hidden="1">{"rates",#N/A,FALSE,"Summary"}</definedName>
    <definedName name="wrn.rates." localSheetId="12" hidden="1">{"rates",#N/A,FALSE,"Summary"}</definedName>
    <definedName name="wrn.rates." localSheetId="15" hidden="1">{"rates",#N/A,FALSE,"Summary"}</definedName>
    <definedName name="wrn.rates." localSheetId="22" hidden="1">{"rates",#N/A,FALSE,"Summary"}</definedName>
    <definedName name="wrn.rates." localSheetId="2" hidden="1">{"rates",#N/A,FALSE,"Summary"}</definedName>
    <definedName name="wrn.rates." localSheetId="6" hidden="1">{"rates",#N/A,FALSE,"Summary"}</definedName>
    <definedName name="wrn.rates." localSheetId="4" hidden="1">{"rates",#N/A,FALSE,"Summary"}</definedName>
    <definedName name="wrn.rates." localSheetId="3" hidden="1">{"rates",#N/A,FALSE,"Summary"}</definedName>
    <definedName name="wrn.rates." localSheetId="1" hidden="1">{"rates",#N/A,FALSE,"Summary"}</definedName>
    <definedName name="wrn.rates." hidden="1">{"rates",#N/A,FALSE,"Summary"}</definedName>
    <definedName name="x" localSheetId="16" hidden="1">[4]App!#REF!</definedName>
    <definedName name="x" localSheetId="23" hidden="1">[4]App!#REF!</definedName>
    <definedName name="x" localSheetId="17" hidden="1">[4]App!#REF!</definedName>
    <definedName name="x" localSheetId="24" hidden="1">[4]App!#REF!</definedName>
    <definedName name="x" localSheetId="18" hidden="1">[4]App!#REF!</definedName>
    <definedName name="x" localSheetId="25" hidden="1">[4]App!#REF!</definedName>
    <definedName name="x" localSheetId="26" hidden="1">[4]App!#REF!</definedName>
    <definedName name="x" localSheetId="0" hidden="1">#REF!</definedName>
    <definedName name="x" localSheetId="11" hidden="1">[4]App!#REF!</definedName>
    <definedName name="x" localSheetId="14" hidden="1">[4]App!#REF!</definedName>
    <definedName name="x" localSheetId="21" hidden="1">[4]App!#REF!</definedName>
    <definedName name="x" localSheetId="12" hidden="1">[4]App!#REF!</definedName>
    <definedName name="x" localSheetId="15" hidden="1">[4]App!#REF!</definedName>
    <definedName name="x" localSheetId="22" hidden="1">[4]App!#REF!</definedName>
    <definedName name="x" localSheetId="9" hidden="1">[4]App!#REF!</definedName>
    <definedName name="x" localSheetId="10" hidden="1">[4]App!#REF!</definedName>
    <definedName name="x" localSheetId="20" hidden="1">[4]App!#REF!</definedName>
    <definedName name="x" localSheetId="8" hidden="1">[4]App!#REF!</definedName>
    <definedName name="x" localSheetId="7" hidden="1">[4]App!#REF!</definedName>
    <definedName name="x" localSheetId="4" hidden="1">[4]App!#REF!</definedName>
    <definedName name="x" hidden="1">[4]App!#REF!</definedName>
    <definedName name="Z_6A036DB9_801D_4FEF_B5E8_DBDD36F187C9_.wvu.PrintTitles" localSheetId="5" hidden="1">'ESSER Funding'!#REF!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 i="118" l="1"/>
  <c r="F1" i="118" s="1"/>
  <c r="G8" i="118"/>
  <c r="E6" i="118" l="1"/>
  <c r="AO309" i="126" l="1"/>
  <c r="AN309" i="126"/>
  <c r="AM309" i="126"/>
  <c r="AL309" i="126"/>
  <c r="AK309" i="126"/>
  <c r="AJ309" i="126"/>
  <c r="AI309" i="126"/>
  <c r="AH309" i="126"/>
  <c r="X309" i="126"/>
  <c r="W309" i="126"/>
  <c r="V309" i="126"/>
  <c r="U309" i="126"/>
  <c r="T309" i="126"/>
  <c r="S309" i="126"/>
  <c r="R309" i="126"/>
  <c r="Q309" i="126"/>
  <c r="AO308" i="126"/>
  <c r="AN308" i="126"/>
  <c r="AM308" i="126"/>
  <c r="AL308" i="126"/>
  <c r="AK308" i="126"/>
  <c r="AJ308" i="126"/>
  <c r="AI308" i="126"/>
  <c r="AH308" i="126"/>
  <c r="X308" i="126"/>
  <c r="W308" i="126"/>
  <c r="V308" i="126"/>
  <c r="U308" i="126"/>
  <c r="T308" i="126"/>
  <c r="S308" i="126"/>
  <c r="R308" i="126"/>
  <c r="Q308" i="126"/>
  <c r="AO307" i="126"/>
  <c r="AN307" i="126"/>
  <c r="AM307" i="126"/>
  <c r="AL307" i="126"/>
  <c r="AK307" i="126"/>
  <c r="AJ307" i="126"/>
  <c r="AI307" i="126"/>
  <c r="AH307" i="126"/>
  <c r="X307" i="126"/>
  <c r="W307" i="126"/>
  <c r="V307" i="126"/>
  <c r="U307" i="126"/>
  <c r="T307" i="126"/>
  <c r="S307" i="126"/>
  <c r="R307" i="126"/>
  <c r="Q307" i="126"/>
  <c r="AO306" i="126"/>
  <c r="AN306" i="126"/>
  <c r="AM306" i="126"/>
  <c r="AL306" i="126"/>
  <c r="AK306" i="126"/>
  <c r="AJ306" i="126"/>
  <c r="AI306" i="126"/>
  <c r="AH306" i="126"/>
  <c r="X306" i="126"/>
  <c r="W306" i="126"/>
  <c r="V306" i="126"/>
  <c r="U306" i="126"/>
  <c r="T306" i="126"/>
  <c r="S306" i="126"/>
  <c r="R306" i="126"/>
  <c r="Q306" i="126"/>
  <c r="AO305" i="126"/>
  <c r="AN305" i="126"/>
  <c r="AM305" i="126"/>
  <c r="AL305" i="126"/>
  <c r="AK305" i="126"/>
  <c r="AJ305" i="126"/>
  <c r="AI305" i="126"/>
  <c r="AH305" i="126"/>
  <c r="X305" i="126"/>
  <c r="W305" i="126"/>
  <c r="V305" i="126"/>
  <c r="U305" i="126"/>
  <c r="T305" i="126"/>
  <c r="S305" i="126"/>
  <c r="R305" i="126"/>
  <c r="Q305" i="126"/>
  <c r="AO304" i="126"/>
  <c r="AN304" i="126"/>
  <c r="AM304" i="126"/>
  <c r="AL304" i="126"/>
  <c r="AK304" i="126"/>
  <c r="AJ304" i="126"/>
  <c r="AI304" i="126"/>
  <c r="AH304" i="126"/>
  <c r="X304" i="126"/>
  <c r="W304" i="126"/>
  <c r="V304" i="126"/>
  <c r="U304" i="126"/>
  <c r="T304" i="126"/>
  <c r="S304" i="126"/>
  <c r="R304" i="126"/>
  <c r="Q304" i="126"/>
  <c r="AO303" i="126"/>
  <c r="AN303" i="126"/>
  <c r="AM303" i="126"/>
  <c r="AL303" i="126"/>
  <c r="AK303" i="126"/>
  <c r="AJ303" i="126"/>
  <c r="AI303" i="126"/>
  <c r="AH303" i="126"/>
  <c r="X303" i="126"/>
  <c r="W303" i="126"/>
  <c r="V303" i="126"/>
  <c r="U303" i="126"/>
  <c r="T303" i="126"/>
  <c r="S303" i="126"/>
  <c r="R303" i="126"/>
  <c r="Q303" i="126"/>
  <c r="AO302" i="126"/>
  <c r="AN302" i="126"/>
  <c r="AM302" i="126"/>
  <c r="AL302" i="126"/>
  <c r="AK302" i="126"/>
  <c r="AJ302" i="126"/>
  <c r="AI302" i="126"/>
  <c r="AH302" i="126"/>
  <c r="X302" i="126"/>
  <c r="W302" i="126"/>
  <c r="V302" i="126"/>
  <c r="U302" i="126"/>
  <c r="T302" i="126"/>
  <c r="S302" i="126"/>
  <c r="R302" i="126"/>
  <c r="Q302" i="126"/>
  <c r="AO301" i="126"/>
  <c r="AN301" i="126"/>
  <c r="AM301" i="126"/>
  <c r="AL301" i="126"/>
  <c r="AK301" i="126"/>
  <c r="AJ301" i="126"/>
  <c r="AI301" i="126"/>
  <c r="AH301" i="126"/>
  <c r="X301" i="126"/>
  <c r="W301" i="126"/>
  <c r="V301" i="126"/>
  <c r="U301" i="126"/>
  <c r="T301" i="126"/>
  <c r="S301" i="126"/>
  <c r="R301" i="126"/>
  <c r="Q301" i="126"/>
  <c r="AO300" i="126"/>
  <c r="AN300" i="126"/>
  <c r="AM300" i="126"/>
  <c r="AL300" i="126"/>
  <c r="AK300" i="126"/>
  <c r="AJ300" i="126"/>
  <c r="AI300" i="126"/>
  <c r="AH300" i="126"/>
  <c r="X300" i="126"/>
  <c r="W300" i="126"/>
  <c r="V300" i="126"/>
  <c r="U300" i="126"/>
  <c r="T300" i="126"/>
  <c r="S300" i="126"/>
  <c r="R300" i="126"/>
  <c r="Q300" i="126"/>
  <c r="AO299" i="126"/>
  <c r="AN299" i="126"/>
  <c r="AM299" i="126"/>
  <c r="AL299" i="126"/>
  <c r="AK299" i="126"/>
  <c r="AJ299" i="126"/>
  <c r="AI299" i="126"/>
  <c r="AH299" i="126"/>
  <c r="X299" i="126"/>
  <c r="W299" i="126"/>
  <c r="V299" i="126"/>
  <c r="U299" i="126"/>
  <c r="T299" i="126"/>
  <c r="S299" i="126"/>
  <c r="R299" i="126"/>
  <c r="Q299" i="126"/>
  <c r="AO298" i="126"/>
  <c r="AN298" i="126"/>
  <c r="AM298" i="126"/>
  <c r="AL298" i="126"/>
  <c r="AK298" i="126"/>
  <c r="AJ298" i="126"/>
  <c r="AI298" i="126"/>
  <c r="AH298" i="126"/>
  <c r="X298" i="126"/>
  <c r="W298" i="126"/>
  <c r="V298" i="126"/>
  <c r="U298" i="126"/>
  <c r="T298" i="126"/>
  <c r="S298" i="126"/>
  <c r="R298" i="126"/>
  <c r="Q298" i="126"/>
  <c r="AO297" i="126"/>
  <c r="AN297" i="126"/>
  <c r="AM297" i="126"/>
  <c r="AL297" i="126"/>
  <c r="AK297" i="126"/>
  <c r="AJ297" i="126"/>
  <c r="AI297" i="126"/>
  <c r="AH297" i="126"/>
  <c r="X297" i="126"/>
  <c r="W297" i="126"/>
  <c r="V297" i="126"/>
  <c r="U297" i="126"/>
  <c r="T297" i="126"/>
  <c r="S297" i="126"/>
  <c r="R297" i="126"/>
  <c r="Q297" i="126"/>
  <c r="AO296" i="126"/>
  <c r="AN296" i="126"/>
  <c r="AM296" i="126"/>
  <c r="AL296" i="126"/>
  <c r="AK296" i="126"/>
  <c r="AJ296" i="126"/>
  <c r="AI296" i="126"/>
  <c r="AH296" i="126"/>
  <c r="X296" i="126"/>
  <c r="W296" i="126"/>
  <c r="V296" i="126"/>
  <c r="U296" i="126"/>
  <c r="T296" i="126"/>
  <c r="S296" i="126"/>
  <c r="R296" i="126"/>
  <c r="Q296" i="126"/>
  <c r="AO295" i="126"/>
  <c r="AN295" i="126"/>
  <c r="AM295" i="126"/>
  <c r="AL295" i="126"/>
  <c r="AK295" i="126"/>
  <c r="AJ295" i="126"/>
  <c r="AI295" i="126"/>
  <c r="AH295" i="126"/>
  <c r="X295" i="126"/>
  <c r="W295" i="126"/>
  <c r="V295" i="126"/>
  <c r="U295" i="126"/>
  <c r="T295" i="126"/>
  <c r="S295" i="126"/>
  <c r="R295" i="126"/>
  <c r="Q295" i="126"/>
  <c r="AO294" i="126"/>
  <c r="AN294" i="126"/>
  <c r="AM294" i="126"/>
  <c r="AL294" i="126"/>
  <c r="AK294" i="126"/>
  <c r="AJ294" i="126"/>
  <c r="AI294" i="126"/>
  <c r="AH294" i="126"/>
  <c r="X294" i="126"/>
  <c r="W294" i="126"/>
  <c r="V294" i="126"/>
  <c r="U294" i="126"/>
  <c r="T294" i="126"/>
  <c r="S294" i="126"/>
  <c r="R294" i="126"/>
  <c r="Q294" i="126"/>
  <c r="AO293" i="126"/>
  <c r="AN293" i="126"/>
  <c r="AM293" i="126"/>
  <c r="AL293" i="126"/>
  <c r="AK293" i="126"/>
  <c r="AJ293" i="126"/>
  <c r="AI293" i="126"/>
  <c r="AH293" i="126"/>
  <c r="X293" i="126"/>
  <c r="W293" i="126"/>
  <c r="V293" i="126"/>
  <c r="U293" i="126"/>
  <c r="T293" i="126"/>
  <c r="S293" i="126"/>
  <c r="R293" i="126"/>
  <c r="Q293" i="126"/>
  <c r="AO292" i="126"/>
  <c r="AN292" i="126"/>
  <c r="AM292" i="126"/>
  <c r="AL292" i="126"/>
  <c r="AK292" i="126"/>
  <c r="AJ292" i="126"/>
  <c r="AI292" i="126"/>
  <c r="AH292" i="126"/>
  <c r="X292" i="126"/>
  <c r="W292" i="126"/>
  <c r="V292" i="126"/>
  <c r="U292" i="126"/>
  <c r="T292" i="126"/>
  <c r="S292" i="126"/>
  <c r="R292" i="126"/>
  <c r="Q292" i="126"/>
  <c r="AO291" i="126"/>
  <c r="AN291" i="126"/>
  <c r="AM291" i="126"/>
  <c r="AL291" i="126"/>
  <c r="AK291" i="126"/>
  <c r="AJ291" i="126"/>
  <c r="AI291" i="126"/>
  <c r="AH291" i="126"/>
  <c r="X291" i="126"/>
  <c r="W291" i="126"/>
  <c r="V291" i="126"/>
  <c r="U291" i="126"/>
  <c r="T291" i="126"/>
  <c r="S291" i="126"/>
  <c r="R291" i="126"/>
  <c r="Q291" i="126"/>
  <c r="AO290" i="126"/>
  <c r="AN290" i="126"/>
  <c r="AM290" i="126"/>
  <c r="AL290" i="126"/>
  <c r="AK290" i="126"/>
  <c r="AJ290" i="126"/>
  <c r="AI290" i="126"/>
  <c r="AH290" i="126"/>
  <c r="X290" i="126"/>
  <c r="W290" i="126"/>
  <c r="V290" i="126"/>
  <c r="U290" i="126"/>
  <c r="T290" i="126"/>
  <c r="S290" i="126"/>
  <c r="R290" i="126"/>
  <c r="Q290" i="126"/>
  <c r="AO289" i="126"/>
  <c r="AN289" i="126"/>
  <c r="AM289" i="126"/>
  <c r="AL289" i="126"/>
  <c r="AK289" i="126"/>
  <c r="AJ289" i="126"/>
  <c r="AI289" i="126"/>
  <c r="AH289" i="126"/>
  <c r="X289" i="126"/>
  <c r="W289" i="126"/>
  <c r="V289" i="126"/>
  <c r="U289" i="126"/>
  <c r="T289" i="126"/>
  <c r="S289" i="126"/>
  <c r="R289" i="126"/>
  <c r="Q289" i="126"/>
  <c r="AO288" i="126"/>
  <c r="AN288" i="126"/>
  <c r="AM288" i="126"/>
  <c r="AL288" i="126"/>
  <c r="AK288" i="126"/>
  <c r="AJ288" i="126"/>
  <c r="AI288" i="126"/>
  <c r="AH288" i="126"/>
  <c r="X288" i="126"/>
  <c r="W288" i="126"/>
  <c r="V288" i="126"/>
  <c r="U288" i="126"/>
  <c r="T288" i="126"/>
  <c r="S288" i="126"/>
  <c r="R288" i="126"/>
  <c r="Q288" i="126"/>
  <c r="AO287" i="126"/>
  <c r="AN287" i="126"/>
  <c r="AM287" i="126"/>
  <c r="AL287" i="126"/>
  <c r="AK287" i="126"/>
  <c r="AJ287" i="126"/>
  <c r="AI287" i="126"/>
  <c r="AH287" i="126"/>
  <c r="X287" i="126"/>
  <c r="W287" i="126"/>
  <c r="V287" i="126"/>
  <c r="U287" i="126"/>
  <c r="T287" i="126"/>
  <c r="S287" i="126"/>
  <c r="R287" i="126"/>
  <c r="Q287" i="126"/>
  <c r="AO286" i="126"/>
  <c r="AN286" i="126"/>
  <c r="AM286" i="126"/>
  <c r="AL286" i="126"/>
  <c r="AK286" i="126"/>
  <c r="AJ286" i="126"/>
  <c r="AI286" i="126"/>
  <c r="AH286" i="126"/>
  <c r="X286" i="126"/>
  <c r="W286" i="126"/>
  <c r="V286" i="126"/>
  <c r="U286" i="126"/>
  <c r="T286" i="126"/>
  <c r="S286" i="126"/>
  <c r="R286" i="126"/>
  <c r="Q286" i="126"/>
  <c r="AO285" i="126"/>
  <c r="AN285" i="126"/>
  <c r="AM285" i="126"/>
  <c r="AL285" i="126"/>
  <c r="AK285" i="126"/>
  <c r="AJ285" i="126"/>
  <c r="AI285" i="126"/>
  <c r="AH285" i="126"/>
  <c r="X285" i="126"/>
  <c r="W285" i="126"/>
  <c r="V285" i="126"/>
  <c r="U285" i="126"/>
  <c r="T285" i="126"/>
  <c r="S285" i="126"/>
  <c r="R285" i="126"/>
  <c r="Q285" i="126"/>
  <c r="AO284" i="126"/>
  <c r="AN284" i="126"/>
  <c r="AM284" i="126"/>
  <c r="AL284" i="126"/>
  <c r="AK284" i="126"/>
  <c r="AJ284" i="126"/>
  <c r="AI284" i="126"/>
  <c r="AH284" i="126"/>
  <c r="X284" i="126"/>
  <c r="W284" i="126"/>
  <c r="V284" i="126"/>
  <c r="U284" i="126"/>
  <c r="T284" i="126"/>
  <c r="S284" i="126"/>
  <c r="R284" i="126"/>
  <c r="Q284" i="126"/>
  <c r="AO283" i="126"/>
  <c r="AN283" i="126"/>
  <c r="AM283" i="126"/>
  <c r="AL283" i="126"/>
  <c r="AK283" i="126"/>
  <c r="AJ283" i="126"/>
  <c r="AI283" i="126"/>
  <c r="AH283" i="126"/>
  <c r="X283" i="126"/>
  <c r="W283" i="126"/>
  <c r="V283" i="126"/>
  <c r="U283" i="126"/>
  <c r="T283" i="126"/>
  <c r="S283" i="126"/>
  <c r="R283" i="126"/>
  <c r="Q283" i="126"/>
  <c r="AO282" i="126"/>
  <c r="AN282" i="126"/>
  <c r="AM282" i="126"/>
  <c r="AL282" i="126"/>
  <c r="AK282" i="126"/>
  <c r="AJ282" i="126"/>
  <c r="AI282" i="126"/>
  <c r="AH282" i="126"/>
  <c r="X282" i="126"/>
  <c r="W282" i="126"/>
  <c r="V282" i="126"/>
  <c r="U282" i="126"/>
  <c r="T282" i="126"/>
  <c r="S282" i="126"/>
  <c r="R282" i="126"/>
  <c r="Q282" i="126"/>
  <c r="AO281" i="126"/>
  <c r="AN281" i="126"/>
  <c r="AM281" i="126"/>
  <c r="AL281" i="126"/>
  <c r="AK281" i="126"/>
  <c r="AJ281" i="126"/>
  <c r="AI281" i="126"/>
  <c r="AH281" i="126"/>
  <c r="X281" i="126"/>
  <c r="W281" i="126"/>
  <c r="V281" i="126"/>
  <c r="U281" i="126"/>
  <c r="T281" i="126"/>
  <c r="S281" i="126"/>
  <c r="R281" i="126"/>
  <c r="Q281" i="126"/>
  <c r="AO280" i="126"/>
  <c r="AN280" i="126"/>
  <c r="AM280" i="126"/>
  <c r="AL280" i="126"/>
  <c r="AK280" i="126"/>
  <c r="AJ280" i="126"/>
  <c r="AI280" i="126"/>
  <c r="AH280" i="126"/>
  <c r="X280" i="126"/>
  <c r="W280" i="126"/>
  <c r="V280" i="126"/>
  <c r="U280" i="126"/>
  <c r="T280" i="126"/>
  <c r="S280" i="126"/>
  <c r="R280" i="126"/>
  <c r="Q280" i="126"/>
  <c r="AO279" i="126"/>
  <c r="AN279" i="126"/>
  <c r="AM279" i="126"/>
  <c r="AL279" i="126"/>
  <c r="AK279" i="126"/>
  <c r="AJ279" i="126"/>
  <c r="AI279" i="126"/>
  <c r="AH279" i="126"/>
  <c r="X279" i="126"/>
  <c r="W279" i="126"/>
  <c r="V279" i="126"/>
  <c r="U279" i="126"/>
  <c r="T279" i="126"/>
  <c r="S279" i="126"/>
  <c r="R279" i="126"/>
  <c r="Q279" i="126"/>
  <c r="AO278" i="126"/>
  <c r="AN278" i="126"/>
  <c r="AM278" i="126"/>
  <c r="AL278" i="126"/>
  <c r="AK278" i="126"/>
  <c r="AJ278" i="126"/>
  <c r="AI278" i="126"/>
  <c r="AH278" i="126"/>
  <c r="X278" i="126"/>
  <c r="W278" i="126"/>
  <c r="V278" i="126"/>
  <c r="U278" i="126"/>
  <c r="T278" i="126"/>
  <c r="S278" i="126"/>
  <c r="R278" i="126"/>
  <c r="Q278" i="126"/>
  <c r="AO277" i="126"/>
  <c r="AN277" i="126"/>
  <c r="AM277" i="126"/>
  <c r="AL277" i="126"/>
  <c r="AK277" i="126"/>
  <c r="AJ277" i="126"/>
  <c r="AI277" i="126"/>
  <c r="AH277" i="126"/>
  <c r="X277" i="126"/>
  <c r="W277" i="126"/>
  <c r="V277" i="126"/>
  <c r="U277" i="126"/>
  <c r="T277" i="126"/>
  <c r="S277" i="126"/>
  <c r="R277" i="126"/>
  <c r="Q277" i="126"/>
  <c r="AO276" i="126"/>
  <c r="AN276" i="126"/>
  <c r="AM276" i="126"/>
  <c r="AL276" i="126"/>
  <c r="AK276" i="126"/>
  <c r="AJ276" i="126"/>
  <c r="AI276" i="126"/>
  <c r="AH276" i="126"/>
  <c r="X276" i="126"/>
  <c r="W276" i="126"/>
  <c r="V276" i="126"/>
  <c r="U276" i="126"/>
  <c r="T276" i="126"/>
  <c r="S276" i="126"/>
  <c r="R276" i="126"/>
  <c r="Q276" i="126"/>
  <c r="AO275" i="126"/>
  <c r="AN275" i="126"/>
  <c r="AM275" i="126"/>
  <c r="AL275" i="126"/>
  <c r="AK275" i="126"/>
  <c r="AJ275" i="126"/>
  <c r="AI275" i="126"/>
  <c r="AH275" i="126"/>
  <c r="X275" i="126"/>
  <c r="W275" i="126"/>
  <c r="V275" i="126"/>
  <c r="U275" i="126"/>
  <c r="T275" i="126"/>
  <c r="S275" i="126"/>
  <c r="R275" i="126"/>
  <c r="Q275" i="126"/>
  <c r="AO274" i="126"/>
  <c r="AN274" i="126"/>
  <c r="AM274" i="126"/>
  <c r="AL274" i="126"/>
  <c r="AK274" i="126"/>
  <c r="AJ274" i="126"/>
  <c r="AI274" i="126"/>
  <c r="AH274" i="126"/>
  <c r="X274" i="126"/>
  <c r="W274" i="126"/>
  <c r="V274" i="126"/>
  <c r="U274" i="126"/>
  <c r="T274" i="126"/>
  <c r="S274" i="126"/>
  <c r="R274" i="126"/>
  <c r="Q274" i="126"/>
  <c r="AO273" i="126"/>
  <c r="AN273" i="126"/>
  <c r="AM273" i="126"/>
  <c r="AL273" i="126"/>
  <c r="AK273" i="126"/>
  <c r="AJ273" i="126"/>
  <c r="AI273" i="126"/>
  <c r="AH273" i="126"/>
  <c r="X273" i="126"/>
  <c r="W273" i="126"/>
  <c r="V273" i="126"/>
  <c r="U273" i="126"/>
  <c r="T273" i="126"/>
  <c r="S273" i="126"/>
  <c r="R273" i="126"/>
  <c r="Q273" i="126"/>
  <c r="AO272" i="126"/>
  <c r="AN272" i="126"/>
  <c r="AM272" i="126"/>
  <c r="AL272" i="126"/>
  <c r="AK272" i="126"/>
  <c r="AJ272" i="126"/>
  <c r="AI272" i="126"/>
  <c r="AH272" i="126"/>
  <c r="X272" i="126"/>
  <c r="W272" i="126"/>
  <c r="V272" i="126"/>
  <c r="U272" i="126"/>
  <c r="T272" i="126"/>
  <c r="S272" i="126"/>
  <c r="R272" i="126"/>
  <c r="Q272" i="126"/>
  <c r="AO271" i="126"/>
  <c r="AN271" i="126"/>
  <c r="AM271" i="126"/>
  <c r="AL271" i="126"/>
  <c r="AK271" i="126"/>
  <c r="AJ271" i="126"/>
  <c r="AI271" i="126"/>
  <c r="AH271" i="126"/>
  <c r="X271" i="126"/>
  <c r="W271" i="126"/>
  <c r="V271" i="126"/>
  <c r="U271" i="126"/>
  <c r="T271" i="126"/>
  <c r="S271" i="126"/>
  <c r="R271" i="126"/>
  <c r="Q271" i="126"/>
  <c r="AO270" i="126"/>
  <c r="AN270" i="126"/>
  <c r="AM270" i="126"/>
  <c r="AL270" i="126"/>
  <c r="AK270" i="126"/>
  <c r="AJ270" i="126"/>
  <c r="AI270" i="126"/>
  <c r="AH270" i="126"/>
  <c r="X270" i="126"/>
  <c r="W270" i="126"/>
  <c r="V270" i="126"/>
  <c r="U270" i="126"/>
  <c r="T270" i="126"/>
  <c r="S270" i="126"/>
  <c r="R270" i="126"/>
  <c r="Q270" i="126"/>
  <c r="AO269" i="126"/>
  <c r="AN269" i="126"/>
  <c r="AM269" i="126"/>
  <c r="AL269" i="126"/>
  <c r="AK269" i="126"/>
  <c r="AJ269" i="126"/>
  <c r="AI269" i="126"/>
  <c r="AH269" i="126"/>
  <c r="X269" i="126"/>
  <c r="W269" i="126"/>
  <c r="V269" i="126"/>
  <c r="U269" i="126"/>
  <c r="T269" i="126"/>
  <c r="S269" i="126"/>
  <c r="R269" i="126"/>
  <c r="Q269" i="126"/>
  <c r="AO268" i="126"/>
  <c r="AN268" i="126"/>
  <c r="AM268" i="126"/>
  <c r="AL268" i="126"/>
  <c r="AK268" i="126"/>
  <c r="AJ268" i="126"/>
  <c r="AI268" i="126"/>
  <c r="AH268" i="126"/>
  <c r="X268" i="126"/>
  <c r="W268" i="126"/>
  <c r="V268" i="126"/>
  <c r="U268" i="126"/>
  <c r="T268" i="126"/>
  <c r="S268" i="126"/>
  <c r="R268" i="126"/>
  <c r="Q268" i="126"/>
  <c r="AO267" i="126"/>
  <c r="AN267" i="126"/>
  <c r="AM267" i="126"/>
  <c r="AL267" i="126"/>
  <c r="AK267" i="126"/>
  <c r="AJ267" i="126"/>
  <c r="AI267" i="126"/>
  <c r="AH267" i="126"/>
  <c r="X267" i="126"/>
  <c r="W267" i="126"/>
  <c r="V267" i="126"/>
  <c r="U267" i="126"/>
  <c r="T267" i="126"/>
  <c r="S267" i="126"/>
  <c r="R267" i="126"/>
  <c r="Q267" i="126"/>
  <c r="AO266" i="126"/>
  <c r="AN266" i="126"/>
  <c r="AM266" i="126"/>
  <c r="AL266" i="126"/>
  <c r="AK266" i="126"/>
  <c r="AJ266" i="126"/>
  <c r="AI266" i="126"/>
  <c r="AH266" i="126"/>
  <c r="X266" i="126"/>
  <c r="W266" i="126"/>
  <c r="V266" i="126"/>
  <c r="U266" i="126"/>
  <c r="T266" i="126"/>
  <c r="S266" i="126"/>
  <c r="R266" i="126"/>
  <c r="Q266" i="126"/>
  <c r="AO265" i="126"/>
  <c r="AN265" i="126"/>
  <c r="AM265" i="126"/>
  <c r="AL265" i="126"/>
  <c r="AK265" i="126"/>
  <c r="AJ265" i="126"/>
  <c r="AI265" i="126"/>
  <c r="AH265" i="126"/>
  <c r="X265" i="126"/>
  <c r="W265" i="126"/>
  <c r="V265" i="126"/>
  <c r="U265" i="126"/>
  <c r="T265" i="126"/>
  <c r="S265" i="126"/>
  <c r="R265" i="126"/>
  <c r="Q265" i="126"/>
  <c r="AO264" i="126"/>
  <c r="AN264" i="126"/>
  <c r="AM264" i="126"/>
  <c r="AL264" i="126"/>
  <c r="AK264" i="126"/>
  <c r="AJ264" i="126"/>
  <c r="AI264" i="126"/>
  <c r="AH264" i="126"/>
  <c r="X264" i="126"/>
  <c r="W264" i="126"/>
  <c r="V264" i="126"/>
  <c r="U264" i="126"/>
  <c r="T264" i="126"/>
  <c r="S264" i="126"/>
  <c r="R264" i="126"/>
  <c r="Q264" i="126"/>
  <c r="AO263" i="126"/>
  <c r="AN263" i="126"/>
  <c r="AM263" i="126"/>
  <c r="AL263" i="126"/>
  <c r="AK263" i="126"/>
  <c r="AJ263" i="126"/>
  <c r="AI263" i="126"/>
  <c r="AH263" i="126"/>
  <c r="X263" i="126"/>
  <c r="W263" i="126"/>
  <c r="V263" i="126"/>
  <c r="U263" i="126"/>
  <c r="T263" i="126"/>
  <c r="S263" i="126"/>
  <c r="R263" i="126"/>
  <c r="Q263" i="126"/>
  <c r="AO262" i="126"/>
  <c r="AN262" i="126"/>
  <c r="AM262" i="126"/>
  <c r="AL262" i="126"/>
  <c r="AK262" i="126"/>
  <c r="AJ262" i="126"/>
  <c r="AI262" i="126"/>
  <c r="AH262" i="126"/>
  <c r="X262" i="126"/>
  <c r="W262" i="126"/>
  <c r="V262" i="126"/>
  <c r="U262" i="126"/>
  <c r="T262" i="126"/>
  <c r="S262" i="126"/>
  <c r="R262" i="126"/>
  <c r="Q262" i="126"/>
  <c r="AO261" i="126"/>
  <c r="AN261" i="126"/>
  <c r="AM261" i="126"/>
  <c r="AL261" i="126"/>
  <c r="AK261" i="126"/>
  <c r="AJ261" i="126"/>
  <c r="AI261" i="126"/>
  <c r="AH261" i="126"/>
  <c r="X261" i="126"/>
  <c r="W261" i="126"/>
  <c r="V261" i="126"/>
  <c r="U261" i="126"/>
  <c r="T261" i="126"/>
  <c r="S261" i="126"/>
  <c r="R261" i="126"/>
  <c r="Q261" i="126"/>
  <c r="AO260" i="126"/>
  <c r="AN260" i="126"/>
  <c r="AM260" i="126"/>
  <c r="AL260" i="126"/>
  <c r="AK260" i="126"/>
  <c r="AJ260" i="126"/>
  <c r="AI260" i="126"/>
  <c r="AH260" i="126"/>
  <c r="X260" i="126"/>
  <c r="W260" i="126"/>
  <c r="V260" i="126"/>
  <c r="U260" i="126"/>
  <c r="T260" i="126"/>
  <c r="S260" i="126"/>
  <c r="R260" i="126"/>
  <c r="Q260" i="126"/>
  <c r="AO259" i="126"/>
  <c r="AN259" i="126"/>
  <c r="AM259" i="126"/>
  <c r="AL259" i="126"/>
  <c r="AK259" i="126"/>
  <c r="AJ259" i="126"/>
  <c r="AI259" i="126"/>
  <c r="AH259" i="126"/>
  <c r="X259" i="126"/>
  <c r="W259" i="126"/>
  <c r="V259" i="126"/>
  <c r="U259" i="126"/>
  <c r="T259" i="126"/>
  <c r="S259" i="126"/>
  <c r="R259" i="126"/>
  <c r="Q259" i="126"/>
  <c r="AO258" i="126"/>
  <c r="AN258" i="126"/>
  <c r="AM258" i="126"/>
  <c r="AL258" i="126"/>
  <c r="AK258" i="126"/>
  <c r="AJ258" i="126"/>
  <c r="AI258" i="126"/>
  <c r="AH258" i="126"/>
  <c r="X258" i="126"/>
  <c r="W258" i="126"/>
  <c r="V258" i="126"/>
  <c r="U258" i="126"/>
  <c r="T258" i="126"/>
  <c r="S258" i="126"/>
  <c r="R258" i="126"/>
  <c r="Q258" i="126"/>
  <c r="AO257" i="126"/>
  <c r="AN257" i="126"/>
  <c r="AM257" i="126"/>
  <c r="AL257" i="126"/>
  <c r="AK257" i="126"/>
  <c r="AJ257" i="126"/>
  <c r="AI257" i="126"/>
  <c r="AH257" i="126"/>
  <c r="X257" i="126"/>
  <c r="W257" i="126"/>
  <c r="V257" i="126"/>
  <c r="U257" i="126"/>
  <c r="T257" i="126"/>
  <c r="S257" i="126"/>
  <c r="R257" i="126"/>
  <c r="Q257" i="126"/>
  <c r="AO256" i="126"/>
  <c r="AN256" i="126"/>
  <c r="AM256" i="126"/>
  <c r="AL256" i="126"/>
  <c r="AK256" i="126"/>
  <c r="AJ256" i="126"/>
  <c r="AI256" i="126"/>
  <c r="AH256" i="126"/>
  <c r="X256" i="126"/>
  <c r="W256" i="126"/>
  <c r="V256" i="126"/>
  <c r="U256" i="126"/>
  <c r="T256" i="126"/>
  <c r="S256" i="126"/>
  <c r="R256" i="126"/>
  <c r="Q256" i="126"/>
  <c r="AO255" i="126"/>
  <c r="AN255" i="126"/>
  <c r="AM255" i="126"/>
  <c r="AL255" i="126"/>
  <c r="AK255" i="126"/>
  <c r="AJ255" i="126"/>
  <c r="AI255" i="126"/>
  <c r="AH255" i="126"/>
  <c r="X255" i="126"/>
  <c r="W255" i="126"/>
  <c r="V255" i="126"/>
  <c r="U255" i="126"/>
  <c r="T255" i="126"/>
  <c r="S255" i="126"/>
  <c r="R255" i="126"/>
  <c r="Q255" i="126"/>
  <c r="AO254" i="126"/>
  <c r="AN254" i="126"/>
  <c r="AM254" i="126"/>
  <c r="AL254" i="126"/>
  <c r="AK254" i="126"/>
  <c r="AJ254" i="126"/>
  <c r="AI254" i="126"/>
  <c r="AH254" i="126"/>
  <c r="X254" i="126"/>
  <c r="W254" i="126"/>
  <c r="V254" i="126"/>
  <c r="U254" i="126"/>
  <c r="T254" i="126"/>
  <c r="S254" i="126"/>
  <c r="R254" i="126"/>
  <c r="Q254" i="126"/>
  <c r="AO253" i="126"/>
  <c r="AN253" i="126"/>
  <c r="AM253" i="126"/>
  <c r="AL253" i="126"/>
  <c r="AK253" i="126"/>
  <c r="AJ253" i="126"/>
  <c r="AI253" i="126"/>
  <c r="AH253" i="126"/>
  <c r="X253" i="126"/>
  <c r="W253" i="126"/>
  <c r="V253" i="126"/>
  <c r="U253" i="126"/>
  <c r="T253" i="126"/>
  <c r="S253" i="126"/>
  <c r="R253" i="126"/>
  <c r="Q253" i="126"/>
  <c r="AO252" i="126"/>
  <c r="AN252" i="126"/>
  <c r="AM252" i="126"/>
  <c r="AL252" i="126"/>
  <c r="AK252" i="126"/>
  <c r="AJ252" i="126"/>
  <c r="AI252" i="126"/>
  <c r="AH252" i="126"/>
  <c r="X252" i="126"/>
  <c r="W252" i="126"/>
  <c r="V252" i="126"/>
  <c r="U252" i="126"/>
  <c r="T252" i="126"/>
  <c r="S252" i="126"/>
  <c r="R252" i="126"/>
  <c r="Q252" i="126"/>
  <c r="AO251" i="126"/>
  <c r="AN251" i="126"/>
  <c r="AM251" i="126"/>
  <c r="AL251" i="126"/>
  <c r="AK251" i="126"/>
  <c r="AJ251" i="126"/>
  <c r="AI251" i="126"/>
  <c r="AH251" i="126"/>
  <c r="X251" i="126"/>
  <c r="W251" i="126"/>
  <c r="V251" i="126"/>
  <c r="U251" i="126"/>
  <c r="T251" i="126"/>
  <c r="S251" i="126"/>
  <c r="R251" i="126"/>
  <c r="Q251" i="126"/>
  <c r="AO250" i="126"/>
  <c r="AN250" i="126"/>
  <c r="AM250" i="126"/>
  <c r="AL250" i="126"/>
  <c r="AK250" i="126"/>
  <c r="AJ250" i="126"/>
  <c r="AI250" i="126"/>
  <c r="AH250" i="126"/>
  <c r="X250" i="126"/>
  <c r="W250" i="126"/>
  <c r="V250" i="126"/>
  <c r="U250" i="126"/>
  <c r="T250" i="126"/>
  <c r="S250" i="126"/>
  <c r="R250" i="126"/>
  <c r="Q250" i="126"/>
  <c r="AO249" i="126"/>
  <c r="AN249" i="126"/>
  <c r="AM249" i="126"/>
  <c r="AL249" i="126"/>
  <c r="AK249" i="126"/>
  <c r="AJ249" i="126"/>
  <c r="AI249" i="126"/>
  <c r="AH249" i="126"/>
  <c r="X249" i="126"/>
  <c r="W249" i="126"/>
  <c r="V249" i="126"/>
  <c r="U249" i="126"/>
  <c r="T249" i="126"/>
  <c r="S249" i="126"/>
  <c r="R249" i="126"/>
  <c r="Q249" i="126"/>
  <c r="AO248" i="126"/>
  <c r="AN248" i="126"/>
  <c r="AM248" i="126"/>
  <c r="AL248" i="126"/>
  <c r="AK248" i="126"/>
  <c r="AJ248" i="126"/>
  <c r="AI248" i="126"/>
  <c r="AH248" i="126"/>
  <c r="X248" i="126"/>
  <c r="W248" i="126"/>
  <c r="V248" i="126"/>
  <c r="U248" i="126"/>
  <c r="T248" i="126"/>
  <c r="S248" i="126"/>
  <c r="R248" i="126"/>
  <c r="Q248" i="126"/>
  <c r="AO247" i="126"/>
  <c r="AN247" i="126"/>
  <c r="AM247" i="126"/>
  <c r="AL247" i="126"/>
  <c r="AK247" i="126"/>
  <c r="AJ247" i="126"/>
  <c r="AI247" i="126"/>
  <c r="AH247" i="126"/>
  <c r="X247" i="126"/>
  <c r="W247" i="126"/>
  <c r="V247" i="126"/>
  <c r="U247" i="126"/>
  <c r="T247" i="126"/>
  <c r="S247" i="126"/>
  <c r="R247" i="126"/>
  <c r="Q247" i="126"/>
  <c r="AO246" i="126"/>
  <c r="AN246" i="126"/>
  <c r="AM246" i="126"/>
  <c r="AL246" i="126"/>
  <c r="AK246" i="126"/>
  <c r="AJ246" i="126"/>
  <c r="AI246" i="126"/>
  <c r="AH246" i="126"/>
  <c r="X246" i="126"/>
  <c r="W246" i="126"/>
  <c r="V246" i="126"/>
  <c r="U246" i="126"/>
  <c r="T246" i="126"/>
  <c r="S246" i="126"/>
  <c r="R246" i="126"/>
  <c r="Q246" i="126"/>
  <c r="AO245" i="126"/>
  <c r="AN245" i="126"/>
  <c r="AM245" i="126"/>
  <c r="AL245" i="126"/>
  <c r="AK245" i="126"/>
  <c r="AJ245" i="126"/>
  <c r="AI245" i="126"/>
  <c r="AH245" i="126"/>
  <c r="X245" i="126"/>
  <c r="W245" i="126"/>
  <c r="V245" i="126"/>
  <c r="U245" i="126"/>
  <c r="T245" i="126"/>
  <c r="S245" i="126"/>
  <c r="R245" i="126"/>
  <c r="Q245" i="126"/>
  <c r="AO244" i="126"/>
  <c r="AN244" i="126"/>
  <c r="AM244" i="126"/>
  <c r="AL244" i="126"/>
  <c r="AK244" i="126"/>
  <c r="AJ244" i="126"/>
  <c r="AI244" i="126"/>
  <c r="AH244" i="126"/>
  <c r="X244" i="126"/>
  <c r="W244" i="126"/>
  <c r="V244" i="126"/>
  <c r="U244" i="126"/>
  <c r="T244" i="126"/>
  <c r="S244" i="126"/>
  <c r="R244" i="126"/>
  <c r="Q244" i="126"/>
  <c r="AO243" i="126"/>
  <c r="AN243" i="126"/>
  <c r="AM243" i="126"/>
  <c r="AL243" i="126"/>
  <c r="AK243" i="126"/>
  <c r="AJ243" i="126"/>
  <c r="AI243" i="126"/>
  <c r="AH243" i="126"/>
  <c r="X243" i="126"/>
  <c r="W243" i="126"/>
  <c r="V243" i="126"/>
  <c r="U243" i="126"/>
  <c r="T243" i="126"/>
  <c r="S243" i="126"/>
  <c r="R243" i="126"/>
  <c r="Q243" i="126"/>
  <c r="AO242" i="126"/>
  <c r="AN242" i="126"/>
  <c r="AM242" i="126"/>
  <c r="AL242" i="126"/>
  <c r="AK242" i="126"/>
  <c r="AJ242" i="126"/>
  <c r="AI242" i="126"/>
  <c r="AH242" i="126"/>
  <c r="X242" i="126"/>
  <c r="W242" i="126"/>
  <c r="V242" i="126"/>
  <c r="U242" i="126"/>
  <c r="T242" i="126"/>
  <c r="S242" i="126"/>
  <c r="R242" i="126"/>
  <c r="Q242" i="126"/>
  <c r="AO241" i="126"/>
  <c r="AN241" i="126"/>
  <c r="AM241" i="126"/>
  <c r="AL241" i="126"/>
  <c r="AK241" i="126"/>
  <c r="AJ241" i="126"/>
  <c r="AI241" i="126"/>
  <c r="AH241" i="126"/>
  <c r="X241" i="126"/>
  <c r="W241" i="126"/>
  <c r="V241" i="126"/>
  <c r="U241" i="126"/>
  <c r="T241" i="126"/>
  <c r="S241" i="126"/>
  <c r="R241" i="126"/>
  <c r="Q241" i="126"/>
  <c r="AO240" i="126"/>
  <c r="AN240" i="126"/>
  <c r="AM240" i="126"/>
  <c r="AL240" i="126"/>
  <c r="AK240" i="126"/>
  <c r="AJ240" i="126"/>
  <c r="AI240" i="126"/>
  <c r="AH240" i="126"/>
  <c r="X240" i="126"/>
  <c r="W240" i="126"/>
  <c r="V240" i="126"/>
  <c r="U240" i="126"/>
  <c r="T240" i="126"/>
  <c r="S240" i="126"/>
  <c r="R240" i="126"/>
  <c r="Q240" i="126"/>
  <c r="AO239" i="126"/>
  <c r="AN239" i="126"/>
  <c r="AM239" i="126"/>
  <c r="AL239" i="126"/>
  <c r="AK239" i="126"/>
  <c r="AJ239" i="126"/>
  <c r="AI239" i="126"/>
  <c r="AH239" i="126"/>
  <c r="X239" i="126"/>
  <c r="W239" i="126"/>
  <c r="V239" i="126"/>
  <c r="U239" i="126"/>
  <c r="T239" i="126"/>
  <c r="S239" i="126"/>
  <c r="R239" i="126"/>
  <c r="Q239" i="126"/>
  <c r="AO238" i="126"/>
  <c r="AN238" i="126"/>
  <c r="AM238" i="126"/>
  <c r="AL238" i="126"/>
  <c r="AK238" i="126"/>
  <c r="AJ238" i="126"/>
  <c r="AI238" i="126"/>
  <c r="AH238" i="126"/>
  <c r="X238" i="126"/>
  <c r="W238" i="126"/>
  <c r="V238" i="126"/>
  <c r="U238" i="126"/>
  <c r="T238" i="126"/>
  <c r="S238" i="126"/>
  <c r="R238" i="126"/>
  <c r="Q238" i="126"/>
  <c r="AO237" i="126"/>
  <c r="AN237" i="126"/>
  <c r="AM237" i="126"/>
  <c r="AL237" i="126"/>
  <c r="AK237" i="126"/>
  <c r="AJ237" i="126"/>
  <c r="AI237" i="126"/>
  <c r="AH237" i="126"/>
  <c r="X237" i="126"/>
  <c r="W237" i="126"/>
  <c r="V237" i="126"/>
  <c r="U237" i="126"/>
  <c r="T237" i="126"/>
  <c r="S237" i="126"/>
  <c r="R237" i="126"/>
  <c r="Q237" i="126"/>
  <c r="AO236" i="126"/>
  <c r="AN236" i="126"/>
  <c r="AM236" i="126"/>
  <c r="AL236" i="126"/>
  <c r="AK236" i="126"/>
  <c r="AJ236" i="126"/>
  <c r="AI236" i="126"/>
  <c r="AH236" i="126"/>
  <c r="X236" i="126"/>
  <c r="W236" i="126"/>
  <c r="V236" i="126"/>
  <c r="U236" i="126"/>
  <c r="T236" i="126"/>
  <c r="S236" i="126"/>
  <c r="R236" i="126"/>
  <c r="Q236" i="126"/>
  <c r="AO235" i="126"/>
  <c r="AN235" i="126"/>
  <c r="AM235" i="126"/>
  <c r="AL235" i="126"/>
  <c r="AK235" i="126"/>
  <c r="AJ235" i="126"/>
  <c r="AI235" i="126"/>
  <c r="AH235" i="126"/>
  <c r="X235" i="126"/>
  <c r="W235" i="126"/>
  <c r="V235" i="126"/>
  <c r="U235" i="126"/>
  <c r="T235" i="126"/>
  <c r="S235" i="126"/>
  <c r="R235" i="126"/>
  <c r="Q235" i="126"/>
  <c r="AO234" i="126"/>
  <c r="AN234" i="126"/>
  <c r="AM234" i="126"/>
  <c r="AL234" i="126"/>
  <c r="AK234" i="126"/>
  <c r="AJ234" i="126"/>
  <c r="AI234" i="126"/>
  <c r="AH234" i="126"/>
  <c r="X234" i="126"/>
  <c r="W234" i="126"/>
  <c r="V234" i="126"/>
  <c r="U234" i="126"/>
  <c r="T234" i="126"/>
  <c r="S234" i="126"/>
  <c r="R234" i="126"/>
  <c r="Q234" i="126"/>
  <c r="AO233" i="126"/>
  <c r="AN233" i="126"/>
  <c r="AM233" i="126"/>
  <c r="AL233" i="126"/>
  <c r="AK233" i="126"/>
  <c r="AJ233" i="126"/>
  <c r="AI233" i="126"/>
  <c r="AH233" i="126"/>
  <c r="X233" i="126"/>
  <c r="W233" i="126"/>
  <c r="V233" i="126"/>
  <c r="U233" i="126"/>
  <c r="T233" i="126"/>
  <c r="S233" i="126"/>
  <c r="R233" i="126"/>
  <c r="Q233" i="126"/>
  <c r="AO232" i="126"/>
  <c r="AN232" i="126"/>
  <c r="AM232" i="126"/>
  <c r="AL232" i="126"/>
  <c r="AK232" i="126"/>
  <c r="AJ232" i="126"/>
  <c r="AI232" i="126"/>
  <c r="AH232" i="126"/>
  <c r="X232" i="126"/>
  <c r="W232" i="126"/>
  <c r="V232" i="126"/>
  <c r="U232" i="126"/>
  <c r="T232" i="126"/>
  <c r="S232" i="126"/>
  <c r="R232" i="126"/>
  <c r="Q232" i="126"/>
  <c r="AO231" i="126"/>
  <c r="AN231" i="126"/>
  <c r="AM231" i="126"/>
  <c r="AL231" i="126"/>
  <c r="AK231" i="126"/>
  <c r="AJ231" i="126"/>
  <c r="AI231" i="126"/>
  <c r="AH231" i="126"/>
  <c r="X231" i="126"/>
  <c r="W231" i="126"/>
  <c r="V231" i="126"/>
  <c r="U231" i="126"/>
  <c r="T231" i="126"/>
  <c r="S231" i="126"/>
  <c r="R231" i="126"/>
  <c r="Q231" i="126"/>
  <c r="AO230" i="126"/>
  <c r="AN230" i="126"/>
  <c r="AM230" i="126"/>
  <c r="AL230" i="126"/>
  <c r="AK230" i="126"/>
  <c r="AJ230" i="126"/>
  <c r="AI230" i="126"/>
  <c r="AH230" i="126"/>
  <c r="X230" i="126"/>
  <c r="W230" i="126"/>
  <c r="V230" i="126"/>
  <c r="U230" i="126"/>
  <c r="T230" i="126"/>
  <c r="S230" i="126"/>
  <c r="R230" i="126"/>
  <c r="Q230" i="126"/>
  <c r="AO229" i="126"/>
  <c r="AN229" i="126"/>
  <c r="AM229" i="126"/>
  <c r="AL229" i="126"/>
  <c r="AK229" i="126"/>
  <c r="AJ229" i="126"/>
  <c r="AI229" i="126"/>
  <c r="AH229" i="126"/>
  <c r="X229" i="126"/>
  <c r="W229" i="126"/>
  <c r="V229" i="126"/>
  <c r="U229" i="126"/>
  <c r="T229" i="126"/>
  <c r="S229" i="126"/>
  <c r="R229" i="126"/>
  <c r="Q229" i="126"/>
  <c r="AO228" i="126"/>
  <c r="AN228" i="126"/>
  <c r="AM228" i="126"/>
  <c r="AL228" i="126"/>
  <c r="AK228" i="126"/>
  <c r="AJ228" i="126"/>
  <c r="AI228" i="126"/>
  <c r="AH228" i="126"/>
  <c r="X228" i="126"/>
  <c r="W228" i="126"/>
  <c r="V228" i="126"/>
  <c r="U228" i="126"/>
  <c r="T228" i="126"/>
  <c r="S228" i="126"/>
  <c r="R228" i="126"/>
  <c r="Q228" i="126"/>
  <c r="AO227" i="126"/>
  <c r="AN227" i="126"/>
  <c r="AM227" i="126"/>
  <c r="AL227" i="126"/>
  <c r="AK227" i="126"/>
  <c r="AJ227" i="126"/>
  <c r="AI227" i="126"/>
  <c r="AH227" i="126"/>
  <c r="X227" i="126"/>
  <c r="W227" i="126"/>
  <c r="V227" i="126"/>
  <c r="U227" i="126"/>
  <c r="T227" i="126"/>
  <c r="S227" i="126"/>
  <c r="R227" i="126"/>
  <c r="Q227" i="126"/>
  <c r="AO226" i="126"/>
  <c r="AN226" i="126"/>
  <c r="AM226" i="126"/>
  <c r="AL226" i="126"/>
  <c r="AK226" i="126"/>
  <c r="AJ226" i="126"/>
  <c r="AI226" i="126"/>
  <c r="AH226" i="126"/>
  <c r="X226" i="126"/>
  <c r="W226" i="126"/>
  <c r="V226" i="126"/>
  <c r="U226" i="126"/>
  <c r="T226" i="126"/>
  <c r="S226" i="126"/>
  <c r="R226" i="126"/>
  <c r="Q226" i="126"/>
  <c r="AO225" i="126"/>
  <c r="AN225" i="126"/>
  <c r="AM225" i="126"/>
  <c r="AL225" i="126"/>
  <c r="AK225" i="126"/>
  <c r="AJ225" i="126"/>
  <c r="AI225" i="126"/>
  <c r="AH225" i="126"/>
  <c r="X225" i="126"/>
  <c r="W225" i="126"/>
  <c r="V225" i="126"/>
  <c r="U225" i="126"/>
  <c r="T225" i="126"/>
  <c r="S225" i="126"/>
  <c r="R225" i="126"/>
  <c r="Q225" i="126"/>
  <c r="AO224" i="126"/>
  <c r="AN224" i="126"/>
  <c r="AM224" i="126"/>
  <c r="AL224" i="126"/>
  <c r="AK224" i="126"/>
  <c r="AJ224" i="126"/>
  <c r="AI224" i="126"/>
  <c r="AH224" i="126"/>
  <c r="X224" i="126"/>
  <c r="W224" i="126"/>
  <c r="V224" i="126"/>
  <c r="U224" i="126"/>
  <c r="T224" i="126"/>
  <c r="S224" i="126"/>
  <c r="R224" i="126"/>
  <c r="Q224" i="126"/>
  <c r="AO223" i="126"/>
  <c r="AN223" i="126"/>
  <c r="AM223" i="126"/>
  <c r="AL223" i="126"/>
  <c r="AK223" i="126"/>
  <c r="AJ223" i="126"/>
  <c r="AI223" i="126"/>
  <c r="AH223" i="126"/>
  <c r="X223" i="126"/>
  <c r="W223" i="126"/>
  <c r="V223" i="126"/>
  <c r="U223" i="126"/>
  <c r="T223" i="126"/>
  <c r="S223" i="126"/>
  <c r="R223" i="126"/>
  <c r="Q223" i="126"/>
  <c r="AO222" i="126"/>
  <c r="AN222" i="126"/>
  <c r="AM222" i="126"/>
  <c r="AL222" i="126"/>
  <c r="AK222" i="126"/>
  <c r="AJ222" i="126"/>
  <c r="AI222" i="126"/>
  <c r="AH222" i="126"/>
  <c r="X222" i="126"/>
  <c r="W222" i="126"/>
  <c r="V222" i="126"/>
  <c r="U222" i="126"/>
  <c r="T222" i="126"/>
  <c r="S222" i="126"/>
  <c r="R222" i="126"/>
  <c r="Q222" i="126"/>
  <c r="AO221" i="126"/>
  <c r="AN221" i="126"/>
  <c r="AM221" i="126"/>
  <c r="AL221" i="126"/>
  <c r="AK221" i="126"/>
  <c r="AJ221" i="126"/>
  <c r="AI221" i="126"/>
  <c r="AH221" i="126"/>
  <c r="X221" i="126"/>
  <c r="W221" i="126"/>
  <c r="V221" i="126"/>
  <c r="U221" i="126"/>
  <c r="T221" i="126"/>
  <c r="S221" i="126"/>
  <c r="R221" i="126"/>
  <c r="Q221" i="126"/>
  <c r="AO220" i="126"/>
  <c r="AN220" i="126"/>
  <c r="AM220" i="126"/>
  <c r="AL220" i="126"/>
  <c r="AK220" i="126"/>
  <c r="AJ220" i="126"/>
  <c r="AI220" i="126"/>
  <c r="AH220" i="126"/>
  <c r="X220" i="126"/>
  <c r="W220" i="126"/>
  <c r="V220" i="126"/>
  <c r="U220" i="126"/>
  <c r="T220" i="126"/>
  <c r="S220" i="126"/>
  <c r="R220" i="126"/>
  <c r="Q220" i="126"/>
  <c r="AO219" i="126"/>
  <c r="AN219" i="126"/>
  <c r="AM219" i="126"/>
  <c r="AL219" i="126"/>
  <c r="AK219" i="126"/>
  <c r="AJ219" i="126"/>
  <c r="AI219" i="126"/>
  <c r="AH219" i="126"/>
  <c r="X219" i="126"/>
  <c r="W219" i="126"/>
  <c r="V219" i="126"/>
  <c r="U219" i="126"/>
  <c r="T219" i="126"/>
  <c r="S219" i="126"/>
  <c r="R219" i="126"/>
  <c r="Q219" i="126"/>
  <c r="AO218" i="126"/>
  <c r="AN218" i="126"/>
  <c r="AM218" i="126"/>
  <c r="AL218" i="126"/>
  <c r="AK218" i="126"/>
  <c r="AJ218" i="126"/>
  <c r="AI218" i="126"/>
  <c r="AH218" i="126"/>
  <c r="X218" i="126"/>
  <c r="W218" i="126"/>
  <c r="V218" i="126"/>
  <c r="U218" i="126"/>
  <c r="T218" i="126"/>
  <c r="S218" i="126"/>
  <c r="R218" i="126"/>
  <c r="Q218" i="126"/>
  <c r="AO217" i="126"/>
  <c r="AN217" i="126"/>
  <c r="AM217" i="126"/>
  <c r="AL217" i="126"/>
  <c r="AK217" i="126"/>
  <c r="AJ217" i="126"/>
  <c r="AI217" i="126"/>
  <c r="AH217" i="126"/>
  <c r="X217" i="126"/>
  <c r="W217" i="126"/>
  <c r="V217" i="126"/>
  <c r="U217" i="126"/>
  <c r="T217" i="126"/>
  <c r="S217" i="126"/>
  <c r="R217" i="126"/>
  <c r="Q217" i="126"/>
  <c r="AO216" i="126"/>
  <c r="AN216" i="126"/>
  <c r="AM216" i="126"/>
  <c r="AL216" i="126"/>
  <c r="AK216" i="126"/>
  <c r="AJ216" i="126"/>
  <c r="AI216" i="126"/>
  <c r="AH216" i="126"/>
  <c r="X216" i="126"/>
  <c r="W216" i="126"/>
  <c r="V216" i="126"/>
  <c r="U216" i="126"/>
  <c r="T216" i="126"/>
  <c r="S216" i="126"/>
  <c r="R216" i="126"/>
  <c r="Q216" i="126"/>
  <c r="AO215" i="126"/>
  <c r="AN215" i="126"/>
  <c r="AM215" i="126"/>
  <c r="AL215" i="126"/>
  <c r="AK215" i="126"/>
  <c r="AJ215" i="126"/>
  <c r="AI215" i="126"/>
  <c r="AH215" i="126"/>
  <c r="X215" i="126"/>
  <c r="W215" i="126"/>
  <c r="V215" i="126"/>
  <c r="U215" i="126"/>
  <c r="T215" i="126"/>
  <c r="S215" i="126"/>
  <c r="R215" i="126"/>
  <c r="Q215" i="126"/>
  <c r="AO214" i="126"/>
  <c r="AN214" i="126"/>
  <c r="AM214" i="126"/>
  <c r="AL214" i="126"/>
  <c r="AK214" i="126"/>
  <c r="AJ214" i="126"/>
  <c r="AI214" i="126"/>
  <c r="AH214" i="126"/>
  <c r="X214" i="126"/>
  <c r="W214" i="126"/>
  <c r="V214" i="126"/>
  <c r="U214" i="126"/>
  <c r="T214" i="126"/>
  <c r="S214" i="126"/>
  <c r="R214" i="126"/>
  <c r="Q214" i="126"/>
  <c r="AO213" i="126"/>
  <c r="AN213" i="126"/>
  <c r="AM213" i="126"/>
  <c r="AL213" i="126"/>
  <c r="AK213" i="126"/>
  <c r="AJ213" i="126"/>
  <c r="AI213" i="126"/>
  <c r="AH213" i="126"/>
  <c r="X213" i="126"/>
  <c r="W213" i="126"/>
  <c r="V213" i="126"/>
  <c r="U213" i="126"/>
  <c r="T213" i="126"/>
  <c r="S213" i="126"/>
  <c r="R213" i="126"/>
  <c r="Q213" i="126"/>
  <c r="AO212" i="126"/>
  <c r="AN212" i="126"/>
  <c r="AM212" i="126"/>
  <c r="AL212" i="126"/>
  <c r="AK212" i="126"/>
  <c r="AJ212" i="126"/>
  <c r="AI212" i="126"/>
  <c r="AH212" i="126"/>
  <c r="X212" i="126"/>
  <c r="W212" i="126"/>
  <c r="V212" i="126"/>
  <c r="U212" i="126"/>
  <c r="T212" i="126"/>
  <c r="S212" i="126"/>
  <c r="R212" i="126"/>
  <c r="Q212" i="126"/>
  <c r="AO211" i="126"/>
  <c r="AN211" i="126"/>
  <c r="AM211" i="126"/>
  <c r="AL211" i="126"/>
  <c r="AK211" i="126"/>
  <c r="AJ211" i="126"/>
  <c r="AI211" i="126"/>
  <c r="AH211" i="126"/>
  <c r="X211" i="126"/>
  <c r="W211" i="126"/>
  <c r="V211" i="126"/>
  <c r="U211" i="126"/>
  <c r="T211" i="126"/>
  <c r="S211" i="126"/>
  <c r="R211" i="126"/>
  <c r="Q211" i="126"/>
  <c r="AO210" i="126"/>
  <c r="AN210" i="126"/>
  <c r="AM210" i="126"/>
  <c r="AL210" i="126"/>
  <c r="AK210" i="126"/>
  <c r="AJ210" i="126"/>
  <c r="AI210" i="126"/>
  <c r="AH210" i="126"/>
  <c r="X210" i="126"/>
  <c r="W210" i="126"/>
  <c r="V210" i="126"/>
  <c r="U210" i="126"/>
  <c r="T210" i="126"/>
  <c r="S210" i="126"/>
  <c r="R210" i="126"/>
  <c r="Q210" i="126"/>
  <c r="AO209" i="126"/>
  <c r="AN209" i="126"/>
  <c r="AM209" i="126"/>
  <c r="AL209" i="126"/>
  <c r="AK209" i="126"/>
  <c r="AJ209" i="126"/>
  <c r="AI209" i="126"/>
  <c r="AH209" i="126"/>
  <c r="X209" i="126"/>
  <c r="W209" i="126"/>
  <c r="V209" i="126"/>
  <c r="U209" i="126"/>
  <c r="T209" i="126"/>
  <c r="S209" i="126"/>
  <c r="R209" i="126"/>
  <c r="Q209" i="126"/>
  <c r="AO208" i="126"/>
  <c r="AN208" i="126"/>
  <c r="AM208" i="126"/>
  <c r="AL208" i="126"/>
  <c r="AK208" i="126"/>
  <c r="AJ208" i="126"/>
  <c r="AI208" i="126"/>
  <c r="AH208" i="126"/>
  <c r="X208" i="126"/>
  <c r="W208" i="126"/>
  <c r="V208" i="126"/>
  <c r="U208" i="126"/>
  <c r="T208" i="126"/>
  <c r="S208" i="126"/>
  <c r="R208" i="126"/>
  <c r="Q208" i="126"/>
  <c r="AO207" i="126"/>
  <c r="AN207" i="126"/>
  <c r="AM207" i="126"/>
  <c r="AL207" i="126"/>
  <c r="AK207" i="126"/>
  <c r="AJ207" i="126"/>
  <c r="AI207" i="126"/>
  <c r="AH207" i="126"/>
  <c r="X207" i="126"/>
  <c r="W207" i="126"/>
  <c r="V207" i="126"/>
  <c r="U207" i="126"/>
  <c r="T207" i="126"/>
  <c r="S207" i="126"/>
  <c r="R207" i="126"/>
  <c r="Q207" i="126"/>
  <c r="AO206" i="126"/>
  <c r="AN206" i="126"/>
  <c r="AM206" i="126"/>
  <c r="AL206" i="126"/>
  <c r="AK206" i="126"/>
  <c r="AJ206" i="126"/>
  <c r="AI206" i="126"/>
  <c r="AH206" i="126"/>
  <c r="X206" i="126"/>
  <c r="W206" i="126"/>
  <c r="V206" i="126"/>
  <c r="U206" i="126"/>
  <c r="T206" i="126"/>
  <c r="S206" i="126"/>
  <c r="R206" i="126"/>
  <c r="Q206" i="126"/>
  <c r="AO205" i="126"/>
  <c r="AN205" i="126"/>
  <c r="AM205" i="126"/>
  <c r="AL205" i="126"/>
  <c r="AK205" i="126"/>
  <c r="AJ205" i="126"/>
  <c r="AI205" i="126"/>
  <c r="AH205" i="126"/>
  <c r="X205" i="126"/>
  <c r="W205" i="126"/>
  <c r="V205" i="126"/>
  <c r="U205" i="126"/>
  <c r="T205" i="126"/>
  <c r="S205" i="126"/>
  <c r="R205" i="126"/>
  <c r="Q205" i="126"/>
  <c r="AO204" i="126"/>
  <c r="AN204" i="126"/>
  <c r="AM204" i="126"/>
  <c r="AL204" i="126"/>
  <c r="AK204" i="126"/>
  <c r="AJ204" i="126"/>
  <c r="AI204" i="126"/>
  <c r="AH204" i="126"/>
  <c r="X204" i="126"/>
  <c r="W204" i="126"/>
  <c r="V204" i="126"/>
  <c r="U204" i="126"/>
  <c r="T204" i="126"/>
  <c r="S204" i="126"/>
  <c r="R204" i="126"/>
  <c r="Q204" i="126"/>
  <c r="AO203" i="126"/>
  <c r="AN203" i="126"/>
  <c r="AM203" i="126"/>
  <c r="AL203" i="126"/>
  <c r="AK203" i="126"/>
  <c r="AJ203" i="126"/>
  <c r="AI203" i="126"/>
  <c r="AH203" i="126"/>
  <c r="X203" i="126"/>
  <c r="W203" i="126"/>
  <c r="V203" i="126"/>
  <c r="U203" i="126"/>
  <c r="T203" i="126"/>
  <c r="S203" i="126"/>
  <c r="R203" i="126"/>
  <c r="Q203" i="126"/>
  <c r="AO202" i="126"/>
  <c r="AN202" i="126"/>
  <c r="AM202" i="126"/>
  <c r="AL202" i="126"/>
  <c r="AK202" i="126"/>
  <c r="AJ202" i="126"/>
  <c r="AI202" i="126"/>
  <c r="AH202" i="126"/>
  <c r="X202" i="126"/>
  <c r="W202" i="126"/>
  <c r="V202" i="126"/>
  <c r="U202" i="126"/>
  <c r="T202" i="126"/>
  <c r="S202" i="126"/>
  <c r="R202" i="126"/>
  <c r="Q202" i="126"/>
  <c r="AO201" i="126"/>
  <c r="AN201" i="126"/>
  <c r="AM201" i="126"/>
  <c r="AL201" i="126"/>
  <c r="AK201" i="126"/>
  <c r="AJ201" i="126"/>
  <c r="AI201" i="126"/>
  <c r="AH201" i="126"/>
  <c r="X201" i="126"/>
  <c r="W201" i="126"/>
  <c r="V201" i="126"/>
  <c r="U201" i="126"/>
  <c r="T201" i="126"/>
  <c r="S201" i="126"/>
  <c r="R201" i="126"/>
  <c r="Q201" i="126"/>
  <c r="AO200" i="126"/>
  <c r="AN200" i="126"/>
  <c r="AM200" i="126"/>
  <c r="AL200" i="126"/>
  <c r="AK200" i="126"/>
  <c r="AJ200" i="126"/>
  <c r="AI200" i="126"/>
  <c r="AH200" i="126"/>
  <c r="X200" i="126"/>
  <c r="W200" i="126"/>
  <c r="V200" i="126"/>
  <c r="U200" i="126"/>
  <c r="T200" i="126"/>
  <c r="S200" i="126"/>
  <c r="R200" i="126"/>
  <c r="Q200" i="126"/>
  <c r="AO199" i="126"/>
  <c r="AN199" i="126"/>
  <c r="AM199" i="126"/>
  <c r="AL199" i="126"/>
  <c r="AK199" i="126"/>
  <c r="AJ199" i="126"/>
  <c r="AI199" i="126"/>
  <c r="AH199" i="126"/>
  <c r="X199" i="126"/>
  <c r="W199" i="126"/>
  <c r="V199" i="126"/>
  <c r="U199" i="126"/>
  <c r="T199" i="126"/>
  <c r="S199" i="126"/>
  <c r="R199" i="126"/>
  <c r="Q199" i="126"/>
  <c r="AO198" i="126"/>
  <c r="AN198" i="126"/>
  <c r="AM198" i="126"/>
  <c r="AL198" i="126"/>
  <c r="AK198" i="126"/>
  <c r="AJ198" i="126"/>
  <c r="AI198" i="126"/>
  <c r="AH198" i="126"/>
  <c r="X198" i="126"/>
  <c r="W198" i="126"/>
  <c r="V198" i="126"/>
  <c r="U198" i="126"/>
  <c r="T198" i="126"/>
  <c r="S198" i="126"/>
  <c r="R198" i="126"/>
  <c r="Q198" i="126"/>
  <c r="AO197" i="126"/>
  <c r="AN197" i="126"/>
  <c r="AM197" i="126"/>
  <c r="AL197" i="126"/>
  <c r="AK197" i="126"/>
  <c r="AJ197" i="126"/>
  <c r="AI197" i="126"/>
  <c r="AH197" i="126"/>
  <c r="X197" i="126"/>
  <c r="W197" i="126"/>
  <c r="V197" i="126"/>
  <c r="U197" i="126"/>
  <c r="T197" i="126"/>
  <c r="S197" i="126"/>
  <c r="R197" i="126"/>
  <c r="Q197" i="126"/>
  <c r="AO196" i="126"/>
  <c r="AN196" i="126"/>
  <c r="AM196" i="126"/>
  <c r="AL196" i="126"/>
  <c r="AK196" i="126"/>
  <c r="AJ196" i="126"/>
  <c r="AI196" i="126"/>
  <c r="AH196" i="126"/>
  <c r="X196" i="126"/>
  <c r="W196" i="126"/>
  <c r="V196" i="126"/>
  <c r="U196" i="126"/>
  <c r="T196" i="126"/>
  <c r="S196" i="126"/>
  <c r="R196" i="126"/>
  <c r="Q196" i="126"/>
  <c r="AO195" i="126"/>
  <c r="AN195" i="126"/>
  <c r="AM195" i="126"/>
  <c r="AL195" i="126"/>
  <c r="AK195" i="126"/>
  <c r="AJ195" i="126"/>
  <c r="AI195" i="126"/>
  <c r="AH195" i="126"/>
  <c r="X195" i="126"/>
  <c r="W195" i="126"/>
  <c r="V195" i="126"/>
  <c r="U195" i="126"/>
  <c r="T195" i="126"/>
  <c r="S195" i="126"/>
  <c r="R195" i="126"/>
  <c r="Q195" i="126"/>
  <c r="AO194" i="126"/>
  <c r="AN194" i="126"/>
  <c r="AM194" i="126"/>
  <c r="AL194" i="126"/>
  <c r="AK194" i="126"/>
  <c r="AJ194" i="126"/>
  <c r="AI194" i="126"/>
  <c r="AH194" i="126"/>
  <c r="X194" i="126"/>
  <c r="W194" i="126"/>
  <c r="V194" i="126"/>
  <c r="U194" i="126"/>
  <c r="T194" i="126"/>
  <c r="S194" i="126"/>
  <c r="R194" i="126"/>
  <c r="Q194" i="126"/>
  <c r="AO193" i="126"/>
  <c r="AN193" i="126"/>
  <c r="AM193" i="126"/>
  <c r="AL193" i="126"/>
  <c r="AK193" i="126"/>
  <c r="AJ193" i="126"/>
  <c r="AI193" i="126"/>
  <c r="AH193" i="126"/>
  <c r="X193" i="126"/>
  <c r="W193" i="126"/>
  <c r="V193" i="126"/>
  <c r="U193" i="126"/>
  <c r="T193" i="126"/>
  <c r="S193" i="126"/>
  <c r="R193" i="126"/>
  <c r="Q193" i="126"/>
  <c r="AO192" i="126"/>
  <c r="AN192" i="126"/>
  <c r="AM192" i="126"/>
  <c r="AL192" i="126"/>
  <c r="AK192" i="126"/>
  <c r="AJ192" i="126"/>
  <c r="AI192" i="126"/>
  <c r="AH192" i="126"/>
  <c r="X192" i="126"/>
  <c r="W192" i="126"/>
  <c r="V192" i="126"/>
  <c r="U192" i="126"/>
  <c r="T192" i="126"/>
  <c r="S192" i="126"/>
  <c r="R192" i="126"/>
  <c r="Q192" i="126"/>
  <c r="AO191" i="126"/>
  <c r="AN191" i="126"/>
  <c r="AM191" i="126"/>
  <c r="AL191" i="126"/>
  <c r="AK191" i="126"/>
  <c r="AJ191" i="126"/>
  <c r="AI191" i="126"/>
  <c r="AH191" i="126"/>
  <c r="X191" i="126"/>
  <c r="W191" i="126"/>
  <c r="V191" i="126"/>
  <c r="U191" i="126"/>
  <c r="T191" i="126"/>
  <c r="S191" i="126"/>
  <c r="R191" i="126"/>
  <c r="Q191" i="126"/>
  <c r="AO190" i="126"/>
  <c r="AN190" i="126"/>
  <c r="AM190" i="126"/>
  <c r="AL190" i="126"/>
  <c r="AK190" i="126"/>
  <c r="AJ190" i="126"/>
  <c r="AI190" i="126"/>
  <c r="AH190" i="126"/>
  <c r="X190" i="126"/>
  <c r="W190" i="126"/>
  <c r="V190" i="126"/>
  <c r="U190" i="126"/>
  <c r="T190" i="126"/>
  <c r="S190" i="126"/>
  <c r="R190" i="126"/>
  <c r="Q190" i="126"/>
  <c r="AO189" i="126"/>
  <c r="AN189" i="126"/>
  <c r="AM189" i="126"/>
  <c r="AL189" i="126"/>
  <c r="AK189" i="126"/>
  <c r="AJ189" i="126"/>
  <c r="AI189" i="126"/>
  <c r="AH189" i="126"/>
  <c r="X189" i="126"/>
  <c r="W189" i="126"/>
  <c r="V189" i="126"/>
  <c r="U189" i="126"/>
  <c r="T189" i="126"/>
  <c r="S189" i="126"/>
  <c r="R189" i="126"/>
  <c r="Q189" i="126"/>
  <c r="AO188" i="126"/>
  <c r="AN188" i="126"/>
  <c r="AM188" i="126"/>
  <c r="AL188" i="126"/>
  <c r="AK188" i="126"/>
  <c r="AJ188" i="126"/>
  <c r="AI188" i="126"/>
  <c r="AH188" i="126"/>
  <c r="X188" i="126"/>
  <c r="W188" i="126"/>
  <c r="V188" i="126"/>
  <c r="U188" i="126"/>
  <c r="T188" i="126"/>
  <c r="S188" i="126"/>
  <c r="R188" i="126"/>
  <c r="Q188" i="126"/>
  <c r="AO187" i="126"/>
  <c r="AN187" i="126"/>
  <c r="AM187" i="126"/>
  <c r="AL187" i="126"/>
  <c r="AK187" i="126"/>
  <c r="AJ187" i="126"/>
  <c r="AI187" i="126"/>
  <c r="AH187" i="126"/>
  <c r="X187" i="126"/>
  <c r="W187" i="126"/>
  <c r="V187" i="126"/>
  <c r="U187" i="126"/>
  <c r="T187" i="126"/>
  <c r="S187" i="126"/>
  <c r="R187" i="126"/>
  <c r="Q187" i="126"/>
  <c r="AO186" i="126"/>
  <c r="AN186" i="126"/>
  <c r="AM186" i="126"/>
  <c r="AL186" i="126"/>
  <c r="AK186" i="126"/>
  <c r="AJ186" i="126"/>
  <c r="AI186" i="126"/>
  <c r="AH186" i="126"/>
  <c r="X186" i="126"/>
  <c r="W186" i="126"/>
  <c r="V186" i="126"/>
  <c r="U186" i="126"/>
  <c r="T186" i="126"/>
  <c r="S186" i="126"/>
  <c r="R186" i="126"/>
  <c r="Q186" i="126"/>
  <c r="AO185" i="126"/>
  <c r="AN185" i="126"/>
  <c r="AM185" i="126"/>
  <c r="AL185" i="126"/>
  <c r="AK185" i="126"/>
  <c r="AJ185" i="126"/>
  <c r="AI185" i="126"/>
  <c r="AH185" i="126"/>
  <c r="X185" i="126"/>
  <c r="W185" i="126"/>
  <c r="V185" i="126"/>
  <c r="U185" i="126"/>
  <c r="T185" i="126"/>
  <c r="S185" i="126"/>
  <c r="R185" i="126"/>
  <c r="Q185" i="126"/>
  <c r="AO184" i="126"/>
  <c r="AN184" i="126"/>
  <c r="AM184" i="126"/>
  <c r="AL184" i="126"/>
  <c r="AK184" i="126"/>
  <c r="AJ184" i="126"/>
  <c r="AI184" i="126"/>
  <c r="AH184" i="126"/>
  <c r="X184" i="126"/>
  <c r="W184" i="126"/>
  <c r="V184" i="126"/>
  <c r="U184" i="126"/>
  <c r="T184" i="126"/>
  <c r="S184" i="126"/>
  <c r="R184" i="126"/>
  <c r="Q184" i="126"/>
  <c r="AO183" i="126"/>
  <c r="AN183" i="126"/>
  <c r="AM183" i="126"/>
  <c r="AL183" i="126"/>
  <c r="AK183" i="126"/>
  <c r="AJ183" i="126"/>
  <c r="AI183" i="126"/>
  <c r="AH183" i="126"/>
  <c r="X183" i="126"/>
  <c r="W183" i="126"/>
  <c r="V183" i="126"/>
  <c r="U183" i="126"/>
  <c r="T183" i="126"/>
  <c r="S183" i="126"/>
  <c r="R183" i="126"/>
  <c r="Q183" i="126"/>
  <c r="AO182" i="126"/>
  <c r="AN182" i="126"/>
  <c r="AM182" i="126"/>
  <c r="AL182" i="126"/>
  <c r="AK182" i="126"/>
  <c r="AJ182" i="126"/>
  <c r="AI182" i="126"/>
  <c r="AH182" i="126"/>
  <c r="X182" i="126"/>
  <c r="W182" i="126"/>
  <c r="V182" i="126"/>
  <c r="U182" i="126"/>
  <c r="T182" i="126"/>
  <c r="S182" i="126"/>
  <c r="R182" i="126"/>
  <c r="Q182" i="126"/>
  <c r="AO181" i="126"/>
  <c r="AN181" i="126"/>
  <c r="AM181" i="126"/>
  <c r="AL181" i="126"/>
  <c r="AK181" i="126"/>
  <c r="AJ181" i="126"/>
  <c r="AI181" i="126"/>
  <c r="AH181" i="126"/>
  <c r="X181" i="126"/>
  <c r="W181" i="126"/>
  <c r="V181" i="126"/>
  <c r="U181" i="126"/>
  <c r="T181" i="126"/>
  <c r="S181" i="126"/>
  <c r="R181" i="126"/>
  <c r="Q181" i="126"/>
  <c r="AO180" i="126"/>
  <c r="AN180" i="126"/>
  <c r="AM180" i="126"/>
  <c r="AL180" i="126"/>
  <c r="AK180" i="126"/>
  <c r="AJ180" i="126"/>
  <c r="AI180" i="126"/>
  <c r="AH180" i="126"/>
  <c r="X180" i="126"/>
  <c r="W180" i="126"/>
  <c r="V180" i="126"/>
  <c r="U180" i="126"/>
  <c r="T180" i="126"/>
  <c r="S180" i="126"/>
  <c r="R180" i="126"/>
  <c r="Q180" i="126"/>
  <c r="AO179" i="126"/>
  <c r="AN179" i="126"/>
  <c r="AM179" i="126"/>
  <c r="AL179" i="126"/>
  <c r="AK179" i="126"/>
  <c r="AJ179" i="126"/>
  <c r="AI179" i="126"/>
  <c r="AH179" i="126"/>
  <c r="X179" i="126"/>
  <c r="W179" i="126"/>
  <c r="V179" i="126"/>
  <c r="U179" i="126"/>
  <c r="T179" i="126"/>
  <c r="S179" i="126"/>
  <c r="R179" i="126"/>
  <c r="Q179" i="126"/>
  <c r="AO178" i="126"/>
  <c r="AN178" i="126"/>
  <c r="AM178" i="126"/>
  <c r="AL178" i="126"/>
  <c r="AK178" i="126"/>
  <c r="AJ178" i="126"/>
  <c r="AI178" i="126"/>
  <c r="AH178" i="126"/>
  <c r="X178" i="126"/>
  <c r="W178" i="126"/>
  <c r="V178" i="126"/>
  <c r="U178" i="126"/>
  <c r="T178" i="126"/>
  <c r="S178" i="126"/>
  <c r="R178" i="126"/>
  <c r="Q178" i="126"/>
  <c r="AO177" i="126"/>
  <c r="AN177" i="126"/>
  <c r="AM177" i="126"/>
  <c r="AL177" i="126"/>
  <c r="AK177" i="126"/>
  <c r="AJ177" i="126"/>
  <c r="AI177" i="126"/>
  <c r="AH177" i="126"/>
  <c r="X177" i="126"/>
  <c r="W177" i="126"/>
  <c r="V177" i="126"/>
  <c r="U177" i="126"/>
  <c r="T177" i="126"/>
  <c r="S177" i="126"/>
  <c r="R177" i="126"/>
  <c r="Q177" i="126"/>
  <c r="AO176" i="126"/>
  <c r="AN176" i="126"/>
  <c r="AM176" i="126"/>
  <c r="AL176" i="126"/>
  <c r="AK176" i="126"/>
  <c r="AJ176" i="126"/>
  <c r="AI176" i="126"/>
  <c r="AH176" i="126"/>
  <c r="X176" i="126"/>
  <c r="W176" i="126"/>
  <c r="V176" i="126"/>
  <c r="U176" i="126"/>
  <c r="T176" i="126"/>
  <c r="S176" i="126"/>
  <c r="R176" i="126"/>
  <c r="Q176" i="126"/>
  <c r="AO175" i="126"/>
  <c r="AN175" i="126"/>
  <c r="AM175" i="126"/>
  <c r="AL175" i="126"/>
  <c r="AK175" i="126"/>
  <c r="AJ175" i="126"/>
  <c r="AI175" i="126"/>
  <c r="AH175" i="126"/>
  <c r="X175" i="126"/>
  <c r="W175" i="126"/>
  <c r="V175" i="126"/>
  <c r="U175" i="126"/>
  <c r="T175" i="126"/>
  <c r="S175" i="126"/>
  <c r="R175" i="126"/>
  <c r="Q175" i="126"/>
  <c r="AO174" i="126"/>
  <c r="AN174" i="126"/>
  <c r="AM174" i="126"/>
  <c r="AL174" i="126"/>
  <c r="AK174" i="126"/>
  <c r="AJ174" i="126"/>
  <c r="AI174" i="126"/>
  <c r="AH174" i="126"/>
  <c r="X174" i="126"/>
  <c r="W174" i="126"/>
  <c r="V174" i="126"/>
  <c r="U174" i="126"/>
  <c r="T174" i="126"/>
  <c r="S174" i="126"/>
  <c r="R174" i="126"/>
  <c r="Q174" i="126"/>
  <c r="AO173" i="126"/>
  <c r="AN173" i="126"/>
  <c r="AM173" i="126"/>
  <c r="AL173" i="126"/>
  <c r="AK173" i="126"/>
  <c r="AJ173" i="126"/>
  <c r="AI173" i="126"/>
  <c r="AH173" i="126"/>
  <c r="X173" i="126"/>
  <c r="W173" i="126"/>
  <c r="V173" i="126"/>
  <c r="U173" i="126"/>
  <c r="T173" i="126"/>
  <c r="S173" i="126"/>
  <c r="R173" i="126"/>
  <c r="Q173" i="126"/>
  <c r="AO172" i="126"/>
  <c r="AN172" i="126"/>
  <c r="AM172" i="126"/>
  <c r="AL172" i="126"/>
  <c r="AK172" i="126"/>
  <c r="AJ172" i="126"/>
  <c r="AI172" i="126"/>
  <c r="AH172" i="126"/>
  <c r="X172" i="126"/>
  <c r="W172" i="126"/>
  <c r="V172" i="126"/>
  <c r="U172" i="126"/>
  <c r="T172" i="126"/>
  <c r="S172" i="126"/>
  <c r="R172" i="126"/>
  <c r="Q172" i="126"/>
  <c r="AO171" i="126"/>
  <c r="AN171" i="126"/>
  <c r="AM171" i="126"/>
  <c r="AL171" i="126"/>
  <c r="AK171" i="126"/>
  <c r="AJ171" i="126"/>
  <c r="AI171" i="126"/>
  <c r="AH171" i="126"/>
  <c r="X171" i="126"/>
  <c r="W171" i="126"/>
  <c r="V171" i="126"/>
  <c r="U171" i="126"/>
  <c r="T171" i="126"/>
  <c r="S171" i="126"/>
  <c r="R171" i="126"/>
  <c r="Q171" i="126"/>
  <c r="AO170" i="126"/>
  <c r="AN170" i="126"/>
  <c r="AM170" i="126"/>
  <c r="AL170" i="126"/>
  <c r="AK170" i="126"/>
  <c r="AJ170" i="126"/>
  <c r="AI170" i="126"/>
  <c r="AH170" i="126"/>
  <c r="X170" i="126"/>
  <c r="W170" i="126"/>
  <c r="V170" i="126"/>
  <c r="U170" i="126"/>
  <c r="T170" i="126"/>
  <c r="S170" i="126"/>
  <c r="R170" i="126"/>
  <c r="Q170" i="126"/>
  <c r="AO169" i="126"/>
  <c r="AN169" i="126"/>
  <c r="AM169" i="126"/>
  <c r="AL169" i="126"/>
  <c r="AK169" i="126"/>
  <c r="AJ169" i="126"/>
  <c r="AI169" i="126"/>
  <c r="AH169" i="126"/>
  <c r="X169" i="126"/>
  <c r="W169" i="126"/>
  <c r="V169" i="126"/>
  <c r="U169" i="126"/>
  <c r="T169" i="126"/>
  <c r="S169" i="126"/>
  <c r="R169" i="126"/>
  <c r="Q169" i="126"/>
  <c r="AO168" i="126"/>
  <c r="AN168" i="126"/>
  <c r="AM168" i="126"/>
  <c r="AL168" i="126"/>
  <c r="AK168" i="126"/>
  <c r="AJ168" i="126"/>
  <c r="AI168" i="126"/>
  <c r="AH168" i="126"/>
  <c r="X168" i="126"/>
  <c r="W168" i="126"/>
  <c r="V168" i="126"/>
  <c r="U168" i="126"/>
  <c r="T168" i="126"/>
  <c r="S168" i="126"/>
  <c r="R168" i="126"/>
  <c r="Q168" i="126"/>
  <c r="AO167" i="126"/>
  <c r="AN167" i="126"/>
  <c r="AM167" i="126"/>
  <c r="AL167" i="126"/>
  <c r="AK167" i="126"/>
  <c r="AJ167" i="126"/>
  <c r="AI167" i="126"/>
  <c r="AH167" i="126"/>
  <c r="X167" i="126"/>
  <c r="W167" i="126"/>
  <c r="V167" i="126"/>
  <c r="U167" i="126"/>
  <c r="T167" i="126"/>
  <c r="S167" i="126"/>
  <c r="R167" i="126"/>
  <c r="Q167" i="126"/>
  <c r="AO166" i="126"/>
  <c r="AN166" i="126"/>
  <c r="AM166" i="126"/>
  <c r="AL166" i="126"/>
  <c r="AK166" i="126"/>
  <c r="AJ166" i="126"/>
  <c r="AI166" i="126"/>
  <c r="AH166" i="126"/>
  <c r="X166" i="126"/>
  <c r="W166" i="126"/>
  <c r="V166" i="126"/>
  <c r="U166" i="126"/>
  <c r="T166" i="126"/>
  <c r="S166" i="126"/>
  <c r="R166" i="126"/>
  <c r="Q166" i="126"/>
  <c r="AO165" i="126"/>
  <c r="AN165" i="126"/>
  <c r="AM165" i="126"/>
  <c r="AL165" i="126"/>
  <c r="AK165" i="126"/>
  <c r="AJ165" i="126"/>
  <c r="AI165" i="126"/>
  <c r="AH165" i="126"/>
  <c r="X165" i="126"/>
  <c r="W165" i="126"/>
  <c r="V165" i="126"/>
  <c r="U165" i="126"/>
  <c r="T165" i="126"/>
  <c r="S165" i="126"/>
  <c r="R165" i="126"/>
  <c r="Q165" i="126"/>
  <c r="AO164" i="126"/>
  <c r="AN164" i="126"/>
  <c r="AM164" i="126"/>
  <c r="AL164" i="126"/>
  <c r="AK164" i="126"/>
  <c r="AJ164" i="126"/>
  <c r="AI164" i="126"/>
  <c r="AH164" i="126"/>
  <c r="X164" i="126"/>
  <c r="W164" i="126"/>
  <c r="V164" i="126"/>
  <c r="U164" i="126"/>
  <c r="T164" i="126"/>
  <c r="S164" i="126"/>
  <c r="R164" i="126"/>
  <c r="Q164" i="126"/>
  <c r="AO163" i="126"/>
  <c r="AN163" i="126"/>
  <c r="AM163" i="126"/>
  <c r="AL163" i="126"/>
  <c r="AK163" i="126"/>
  <c r="AJ163" i="126"/>
  <c r="AI163" i="126"/>
  <c r="AH163" i="126"/>
  <c r="X163" i="126"/>
  <c r="W163" i="126"/>
  <c r="V163" i="126"/>
  <c r="U163" i="126"/>
  <c r="T163" i="126"/>
  <c r="S163" i="126"/>
  <c r="R163" i="126"/>
  <c r="Q163" i="126"/>
  <c r="AO162" i="126"/>
  <c r="AN162" i="126"/>
  <c r="AM162" i="126"/>
  <c r="AL162" i="126"/>
  <c r="AK162" i="126"/>
  <c r="AJ162" i="126"/>
  <c r="AI162" i="126"/>
  <c r="AH162" i="126"/>
  <c r="X162" i="126"/>
  <c r="W162" i="126"/>
  <c r="V162" i="126"/>
  <c r="U162" i="126"/>
  <c r="T162" i="126"/>
  <c r="S162" i="126"/>
  <c r="R162" i="126"/>
  <c r="Q162" i="126"/>
  <c r="AO161" i="126"/>
  <c r="AN161" i="126"/>
  <c r="AM161" i="126"/>
  <c r="AL161" i="126"/>
  <c r="AK161" i="126"/>
  <c r="AJ161" i="126"/>
  <c r="AI161" i="126"/>
  <c r="AH161" i="126"/>
  <c r="X161" i="126"/>
  <c r="W161" i="126"/>
  <c r="V161" i="126"/>
  <c r="U161" i="126"/>
  <c r="T161" i="126"/>
  <c r="S161" i="126"/>
  <c r="R161" i="126"/>
  <c r="Q161" i="126"/>
  <c r="AO160" i="126"/>
  <c r="AN160" i="126"/>
  <c r="AM160" i="126"/>
  <c r="AL160" i="126"/>
  <c r="AK160" i="126"/>
  <c r="AJ160" i="126"/>
  <c r="AI160" i="126"/>
  <c r="AH160" i="126"/>
  <c r="X160" i="126"/>
  <c r="W160" i="126"/>
  <c r="V160" i="126"/>
  <c r="U160" i="126"/>
  <c r="T160" i="126"/>
  <c r="S160" i="126"/>
  <c r="R160" i="126"/>
  <c r="Q160" i="126"/>
  <c r="AO159" i="126"/>
  <c r="AN159" i="126"/>
  <c r="AM159" i="126"/>
  <c r="AL159" i="126"/>
  <c r="AK159" i="126"/>
  <c r="AJ159" i="126"/>
  <c r="AI159" i="126"/>
  <c r="AH159" i="126"/>
  <c r="X159" i="126"/>
  <c r="W159" i="126"/>
  <c r="V159" i="126"/>
  <c r="U159" i="126"/>
  <c r="T159" i="126"/>
  <c r="S159" i="126"/>
  <c r="R159" i="126"/>
  <c r="Q159" i="126"/>
  <c r="AO158" i="126"/>
  <c r="AN158" i="126"/>
  <c r="AM158" i="126"/>
  <c r="AL158" i="126"/>
  <c r="AK158" i="126"/>
  <c r="AJ158" i="126"/>
  <c r="AI158" i="126"/>
  <c r="AH158" i="126"/>
  <c r="X158" i="126"/>
  <c r="W158" i="126"/>
  <c r="V158" i="126"/>
  <c r="U158" i="126"/>
  <c r="T158" i="126"/>
  <c r="S158" i="126"/>
  <c r="R158" i="126"/>
  <c r="Q158" i="126"/>
  <c r="AO157" i="126"/>
  <c r="AN157" i="126"/>
  <c r="AM157" i="126"/>
  <c r="AL157" i="126"/>
  <c r="AK157" i="126"/>
  <c r="AJ157" i="126"/>
  <c r="AI157" i="126"/>
  <c r="AH157" i="126"/>
  <c r="X157" i="126"/>
  <c r="W157" i="126"/>
  <c r="V157" i="126"/>
  <c r="U157" i="126"/>
  <c r="T157" i="126"/>
  <c r="S157" i="126"/>
  <c r="R157" i="126"/>
  <c r="Q157" i="126"/>
  <c r="AO156" i="126"/>
  <c r="AN156" i="126"/>
  <c r="AM156" i="126"/>
  <c r="AL156" i="126"/>
  <c r="AK156" i="126"/>
  <c r="AJ156" i="126"/>
  <c r="AI156" i="126"/>
  <c r="AH156" i="126"/>
  <c r="X156" i="126"/>
  <c r="W156" i="126"/>
  <c r="V156" i="126"/>
  <c r="U156" i="126"/>
  <c r="T156" i="126"/>
  <c r="S156" i="126"/>
  <c r="R156" i="126"/>
  <c r="Q156" i="126"/>
  <c r="AO155" i="126"/>
  <c r="AN155" i="126"/>
  <c r="AM155" i="126"/>
  <c r="AL155" i="126"/>
  <c r="AK155" i="126"/>
  <c r="AJ155" i="126"/>
  <c r="AI155" i="126"/>
  <c r="AH155" i="126"/>
  <c r="X155" i="126"/>
  <c r="W155" i="126"/>
  <c r="V155" i="126"/>
  <c r="U155" i="126"/>
  <c r="T155" i="126"/>
  <c r="S155" i="126"/>
  <c r="R155" i="126"/>
  <c r="Q155" i="126"/>
  <c r="AO154" i="126"/>
  <c r="AN154" i="126"/>
  <c r="AM154" i="126"/>
  <c r="AL154" i="126"/>
  <c r="AK154" i="126"/>
  <c r="AJ154" i="126"/>
  <c r="AI154" i="126"/>
  <c r="AH154" i="126"/>
  <c r="X154" i="126"/>
  <c r="W154" i="126"/>
  <c r="V154" i="126"/>
  <c r="U154" i="126"/>
  <c r="T154" i="126"/>
  <c r="S154" i="126"/>
  <c r="R154" i="126"/>
  <c r="Q154" i="126"/>
  <c r="AO153" i="126"/>
  <c r="AN153" i="126"/>
  <c r="AM153" i="126"/>
  <c r="AL153" i="126"/>
  <c r="AK153" i="126"/>
  <c r="AJ153" i="126"/>
  <c r="AI153" i="126"/>
  <c r="AH153" i="126"/>
  <c r="X153" i="126"/>
  <c r="W153" i="126"/>
  <c r="V153" i="126"/>
  <c r="U153" i="126"/>
  <c r="T153" i="126"/>
  <c r="S153" i="126"/>
  <c r="R153" i="126"/>
  <c r="Q153" i="126"/>
  <c r="AO152" i="126"/>
  <c r="AN152" i="126"/>
  <c r="AM152" i="126"/>
  <c r="AL152" i="126"/>
  <c r="AK152" i="126"/>
  <c r="AJ152" i="126"/>
  <c r="AI152" i="126"/>
  <c r="AH152" i="126"/>
  <c r="X152" i="126"/>
  <c r="W152" i="126"/>
  <c r="V152" i="126"/>
  <c r="U152" i="126"/>
  <c r="T152" i="126"/>
  <c r="S152" i="126"/>
  <c r="R152" i="126"/>
  <c r="Q152" i="126"/>
  <c r="AO151" i="126"/>
  <c r="AN151" i="126"/>
  <c r="AM151" i="126"/>
  <c r="AL151" i="126"/>
  <c r="AK151" i="126"/>
  <c r="AJ151" i="126"/>
  <c r="AI151" i="126"/>
  <c r="AH151" i="126"/>
  <c r="X151" i="126"/>
  <c r="W151" i="126"/>
  <c r="V151" i="126"/>
  <c r="U151" i="126"/>
  <c r="T151" i="126"/>
  <c r="S151" i="126"/>
  <c r="R151" i="126"/>
  <c r="Q151" i="126"/>
  <c r="AO150" i="126"/>
  <c r="AN150" i="126"/>
  <c r="AM150" i="126"/>
  <c r="AL150" i="126"/>
  <c r="AK150" i="126"/>
  <c r="AJ150" i="126"/>
  <c r="AI150" i="126"/>
  <c r="AH150" i="126"/>
  <c r="X150" i="126"/>
  <c r="W150" i="126"/>
  <c r="V150" i="126"/>
  <c r="U150" i="126"/>
  <c r="T150" i="126"/>
  <c r="S150" i="126"/>
  <c r="R150" i="126"/>
  <c r="Q150" i="126"/>
  <c r="AO149" i="126"/>
  <c r="AN149" i="126"/>
  <c r="AM149" i="126"/>
  <c r="AL149" i="126"/>
  <c r="AK149" i="126"/>
  <c r="AJ149" i="126"/>
  <c r="AI149" i="126"/>
  <c r="AH149" i="126"/>
  <c r="X149" i="126"/>
  <c r="W149" i="126"/>
  <c r="V149" i="126"/>
  <c r="U149" i="126"/>
  <c r="T149" i="126"/>
  <c r="S149" i="126"/>
  <c r="R149" i="126"/>
  <c r="Q149" i="126"/>
  <c r="AO148" i="126"/>
  <c r="AN148" i="126"/>
  <c r="AM148" i="126"/>
  <c r="AL148" i="126"/>
  <c r="AK148" i="126"/>
  <c r="AJ148" i="126"/>
  <c r="AI148" i="126"/>
  <c r="AH148" i="126"/>
  <c r="X148" i="126"/>
  <c r="W148" i="126"/>
  <c r="V148" i="126"/>
  <c r="U148" i="126"/>
  <c r="T148" i="126"/>
  <c r="S148" i="126"/>
  <c r="R148" i="126"/>
  <c r="Q148" i="126"/>
  <c r="AO147" i="126"/>
  <c r="AN147" i="126"/>
  <c r="AM147" i="126"/>
  <c r="AL147" i="126"/>
  <c r="AK147" i="126"/>
  <c r="AJ147" i="126"/>
  <c r="AI147" i="126"/>
  <c r="AH147" i="126"/>
  <c r="X147" i="126"/>
  <c r="W147" i="126"/>
  <c r="V147" i="126"/>
  <c r="U147" i="126"/>
  <c r="T147" i="126"/>
  <c r="S147" i="126"/>
  <c r="R147" i="126"/>
  <c r="Q147" i="126"/>
  <c r="AO146" i="126"/>
  <c r="AN146" i="126"/>
  <c r="AM146" i="126"/>
  <c r="AL146" i="126"/>
  <c r="AK146" i="126"/>
  <c r="AJ146" i="126"/>
  <c r="AI146" i="126"/>
  <c r="AH146" i="126"/>
  <c r="X146" i="126"/>
  <c r="W146" i="126"/>
  <c r="V146" i="126"/>
  <c r="U146" i="126"/>
  <c r="T146" i="126"/>
  <c r="S146" i="126"/>
  <c r="R146" i="126"/>
  <c r="Q146" i="126"/>
  <c r="AO145" i="126"/>
  <c r="AN145" i="126"/>
  <c r="AM145" i="126"/>
  <c r="AL145" i="126"/>
  <c r="AK145" i="126"/>
  <c r="AJ145" i="126"/>
  <c r="AI145" i="126"/>
  <c r="AH145" i="126"/>
  <c r="X145" i="126"/>
  <c r="W145" i="126"/>
  <c r="V145" i="126"/>
  <c r="U145" i="126"/>
  <c r="T145" i="126"/>
  <c r="S145" i="126"/>
  <c r="R145" i="126"/>
  <c r="Q145" i="126"/>
  <c r="AO144" i="126"/>
  <c r="AN144" i="126"/>
  <c r="AM144" i="126"/>
  <c r="AL144" i="126"/>
  <c r="AK144" i="126"/>
  <c r="AJ144" i="126"/>
  <c r="AI144" i="126"/>
  <c r="AH144" i="126"/>
  <c r="X144" i="126"/>
  <c r="W144" i="126"/>
  <c r="V144" i="126"/>
  <c r="U144" i="126"/>
  <c r="T144" i="126"/>
  <c r="S144" i="126"/>
  <c r="R144" i="126"/>
  <c r="Q144" i="126"/>
  <c r="AO143" i="126"/>
  <c r="AN143" i="126"/>
  <c r="AM143" i="126"/>
  <c r="AL143" i="126"/>
  <c r="AK143" i="126"/>
  <c r="AJ143" i="126"/>
  <c r="AI143" i="126"/>
  <c r="AH143" i="126"/>
  <c r="X143" i="126"/>
  <c r="W143" i="126"/>
  <c r="V143" i="126"/>
  <c r="U143" i="126"/>
  <c r="T143" i="126"/>
  <c r="S143" i="126"/>
  <c r="R143" i="126"/>
  <c r="Q143" i="126"/>
  <c r="AO142" i="126"/>
  <c r="AN142" i="126"/>
  <c r="AM142" i="126"/>
  <c r="AL142" i="126"/>
  <c r="AK142" i="126"/>
  <c r="AJ142" i="126"/>
  <c r="AI142" i="126"/>
  <c r="AH142" i="126"/>
  <c r="X142" i="126"/>
  <c r="W142" i="126"/>
  <c r="V142" i="126"/>
  <c r="U142" i="126"/>
  <c r="T142" i="126"/>
  <c r="S142" i="126"/>
  <c r="R142" i="126"/>
  <c r="Q142" i="126"/>
  <c r="AO141" i="126"/>
  <c r="AN141" i="126"/>
  <c r="AM141" i="126"/>
  <c r="AL141" i="126"/>
  <c r="AK141" i="126"/>
  <c r="AJ141" i="126"/>
  <c r="AI141" i="126"/>
  <c r="AH141" i="126"/>
  <c r="X141" i="126"/>
  <c r="W141" i="126"/>
  <c r="V141" i="126"/>
  <c r="U141" i="126"/>
  <c r="T141" i="126"/>
  <c r="S141" i="126"/>
  <c r="R141" i="126"/>
  <c r="Q141" i="126"/>
  <c r="AO140" i="126"/>
  <c r="AN140" i="126"/>
  <c r="AM140" i="126"/>
  <c r="AL140" i="126"/>
  <c r="AK140" i="126"/>
  <c r="AJ140" i="126"/>
  <c r="AI140" i="126"/>
  <c r="AH140" i="126"/>
  <c r="X140" i="126"/>
  <c r="W140" i="126"/>
  <c r="V140" i="126"/>
  <c r="U140" i="126"/>
  <c r="T140" i="126"/>
  <c r="S140" i="126"/>
  <c r="R140" i="126"/>
  <c r="Q140" i="126"/>
  <c r="AO139" i="126"/>
  <c r="AN139" i="126"/>
  <c r="AM139" i="126"/>
  <c r="AL139" i="126"/>
  <c r="AK139" i="126"/>
  <c r="AJ139" i="126"/>
  <c r="AI139" i="126"/>
  <c r="AH139" i="126"/>
  <c r="X139" i="126"/>
  <c r="W139" i="126"/>
  <c r="V139" i="126"/>
  <c r="U139" i="126"/>
  <c r="T139" i="126"/>
  <c r="S139" i="126"/>
  <c r="R139" i="126"/>
  <c r="Q139" i="126"/>
  <c r="AO138" i="126"/>
  <c r="AN138" i="126"/>
  <c r="AM138" i="126"/>
  <c r="AL138" i="126"/>
  <c r="AK138" i="126"/>
  <c r="AJ138" i="126"/>
  <c r="AI138" i="126"/>
  <c r="AH138" i="126"/>
  <c r="X138" i="126"/>
  <c r="W138" i="126"/>
  <c r="V138" i="126"/>
  <c r="U138" i="126"/>
  <c r="T138" i="126"/>
  <c r="S138" i="126"/>
  <c r="R138" i="126"/>
  <c r="Q138" i="126"/>
  <c r="AO137" i="126"/>
  <c r="AN137" i="126"/>
  <c r="AM137" i="126"/>
  <c r="AL137" i="126"/>
  <c r="AK137" i="126"/>
  <c r="AJ137" i="126"/>
  <c r="AI137" i="126"/>
  <c r="AH137" i="126"/>
  <c r="X137" i="126"/>
  <c r="W137" i="126"/>
  <c r="V137" i="126"/>
  <c r="U137" i="126"/>
  <c r="T137" i="126"/>
  <c r="S137" i="126"/>
  <c r="R137" i="126"/>
  <c r="Q137" i="126"/>
  <c r="AO136" i="126"/>
  <c r="AN136" i="126"/>
  <c r="AM136" i="126"/>
  <c r="AL136" i="126"/>
  <c r="AK136" i="126"/>
  <c r="AJ136" i="126"/>
  <c r="AI136" i="126"/>
  <c r="AH136" i="126"/>
  <c r="X136" i="126"/>
  <c r="W136" i="126"/>
  <c r="V136" i="126"/>
  <c r="U136" i="126"/>
  <c r="T136" i="126"/>
  <c r="S136" i="126"/>
  <c r="R136" i="126"/>
  <c r="Q136" i="126"/>
  <c r="AO135" i="126"/>
  <c r="AN135" i="126"/>
  <c r="AM135" i="126"/>
  <c r="AL135" i="126"/>
  <c r="AK135" i="126"/>
  <c r="AJ135" i="126"/>
  <c r="AI135" i="126"/>
  <c r="AH135" i="126"/>
  <c r="X135" i="126"/>
  <c r="W135" i="126"/>
  <c r="V135" i="126"/>
  <c r="U135" i="126"/>
  <c r="T135" i="126"/>
  <c r="S135" i="126"/>
  <c r="R135" i="126"/>
  <c r="Q135" i="126"/>
  <c r="AO134" i="126"/>
  <c r="AN134" i="126"/>
  <c r="AM134" i="126"/>
  <c r="AL134" i="126"/>
  <c r="AK134" i="126"/>
  <c r="AJ134" i="126"/>
  <c r="AI134" i="126"/>
  <c r="AH134" i="126"/>
  <c r="X134" i="126"/>
  <c r="W134" i="126"/>
  <c r="V134" i="126"/>
  <c r="U134" i="126"/>
  <c r="T134" i="126"/>
  <c r="S134" i="126"/>
  <c r="R134" i="126"/>
  <c r="Q134" i="126"/>
  <c r="AO133" i="126"/>
  <c r="AN133" i="126"/>
  <c r="AM133" i="126"/>
  <c r="AL133" i="126"/>
  <c r="AK133" i="126"/>
  <c r="AJ133" i="126"/>
  <c r="AI133" i="126"/>
  <c r="AH133" i="126"/>
  <c r="X133" i="126"/>
  <c r="W133" i="126"/>
  <c r="V133" i="126"/>
  <c r="U133" i="126"/>
  <c r="T133" i="126"/>
  <c r="S133" i="126"/>
  <c r="R133" i="126"/>
  <c r="Q133" i="126"/>
  <c r="AO132" i="126"/>
  <c r="AN132" i="126"/>
  <c r="AM132" i="126"/>
  <c r="AL132" i="126"/>
  <c r="AK132" i="126"/>
  <c r="AJ132" i="126"/>
  <c r="AI132" i="126"/>
  <c r="AH132" i="126"/>
  <c r="X132" i="126"/>
  <c r="W132" i="126"/>
  <c r="V132" i="126"/>
  <c r="U132" i="126"/>
  <c r="T132" i="126"/>
  <c r="S132" i="126"/>
  <c r="R132" i="126"/>
  <c r="Q132" i="126"/>
  <c r="AO131" i="126"/>
  <c r="AN131" i="126"/>
  <c r="AM131" i="126"/>
  <c r="AL131" i="126"/>
  <c r="AK131" i="126"/>
  <c r="AJ131" i="126"/>
  <c r="AI131" i="126"/>
  <c r="AH131" i="126"/>
  <c r="X131" i="126"/>
  <c r="W131" i="126"/>
  <c r="V131" i="126"/>
  <c r="U131" i="126"/>
  <c r="T131" i="126"/>
  <c r="S131" i="126"/>
  <c r="R131" i="126"/>
  <c r="Q131" i="126"/>
  <c r="AO130" i="126"/>
  <c r="AN130" i="126"/>
  <c r="AM130" i="126"/>
  <c r="AL130" i="126"/>
  <c r="AK130" i="126"/>
  <c r="AJ130" i="126"/>
  <c r="AI130" i="126"/>
  <c r="AH130" i="126"/>
  <c r="X130" i="126"/>
  <c r="W130" i="126"/>
  <c r="V130" i="126"/>
  <c r="U130" i="126"/>
  <c r="T130" i="126"/>
  <c r="S130" i="126"/>
  <c r="R130" i="126"/>
  <c r="Q130" i="126"/>
  <c r="AO129" i="126"/>
  <c r="AN129" i="126"/>
  <c r="AM129" i="126"/>
  <c r="AL129" i="126"/>
  <c r="AK129" i="126"/>
  <c r="AJ129" i="126"/>
  <c r="AI129" i="126"/>
  <c r="AH129" i="126"/>
  <c r="X129" i="126"/>
  <c r="W129" i="126"/>
  <c r="V129" i="126"/>
  <c r="U129" i="126"/>
  <c r="T129" i="126"/>
  <c r="S129" i="126"/>
  <c r="R129" i="126"/>
  <c r="Q129" i="126"/>
  <c r="AO128" i="126"/>
  <c r="AN128" i="126"/>
  <c r="AM128" i="126"/>
  <c r="AL128" i="126"/>
  <c r="AK128" i="126"/>
  <c r="AJ128" i="126"/>
  <c r="AI128" i="126"/>
  <c r="AH128" i="126"/>
  <c r="X128" i="126"/>
  <c r="W128" i="126"/>
  <c r="V128" i="126"/>
  <c r="U128" i="126"/>
  <c r="T128" i="126"/>
  <c r="S128" i="126"/>
  <c r="R128" i="126"/>
  <c r="Q128" i="126"/>
  <c r="AO127" i="126"/>
  <c r="AN127" i="126"/>
  <c r="AM127" i="126"/>
  <c r="AL127" i="126"/>
  <c r="AK127" i="126"/>
  <c r="AJ127" i="126"/>
  <c r="AI127" i="126"/>
  <c r="AH127" i="126"/>
  <c r="X127" i="126"/>
  <c r="W127" i="126"/>
  <c r="V127" i="126"/>
  <c r="U127" i="126"/>
  <c r="T127" i="126"/>
  <c r="S127" i="126"/>
  <c r="R127" i="126"/>
  <c r="Q127" i="126"/>
  <c r="AO126" i="126"/>
  <c r="AN126" i="126"/>
  <c r="AM126" i="126"/>
  <c r="AL126" i="126"/>
  <c r="AK126" i="126"/>
  <c r="AJ126" i="126"/>
  <c r="AI126" i="126"/>
  <c r="AH126" i="126"/>
  <c r="X126" i="126"/>
  <c r="W126" i="126"/>
  <c r="V126" i="126"/>
  <c r="U126" i="126"/>
  <c r="T126" i="126"/>
  <c r="S126" i="126"/>
  <c r="R126" i="126"/>
  <c r="Q126" i="126"/>
  <c r="AO125" i="126"/>
  <c r="AN125" i="126"/>
  <c r="AM125" i="126"/>
  <c r="AL125" i="126"/>
  <c r="AK125" i="126"/>
  <c r="AJ125" i="126"/>
  <c r="AI125" i="126"/>
  <c r="AH125" i="126"/>
  <c r="X125" i="126"/>
  <c r="W125" i="126"/>
  <c r="V125" i="126"/>
  <c r="U125" i="126"/>
  <c r="T125" i="126"/>
  <c r="S125" i="126"/>
  <c r="R125" i="126"/>
  <c r="Q125" i="126"/>
  <c r="AO124" i="126"/>
  <c r="AN124" i="126"/>
  <c r="AM124" i="126"/>
  <c r="AL124" i="126"/>
  <c r="AK124" i="126"/>
  <c r="AJ124" i="126"/>
  <c r="AI124" i="126"/>
  <c r="AH124" i="126"/>
  <c r="X124" i="126"/>
  <c r="W124" i="126"/>
  <c r="V124" i="126"/>
  <c r="U124" i="126"/>
  <c r="T124" i="126"/>
  <c r="S124" i="126"/>
  <c r="R124" i="126"/>
  <c r="Q124" i="126"/>
  <c r="AO123" i="126"/>
  <c r="AN123" i="126"/>
  <c r="AM123" i="126"/>
  <c r="AL123" i="126"/>
  <c r="AK123" i="126"/>
  <c r="AJ123" i="126"/>
  <c r="AI123" i="126"/>
  <c r="AH123" i="126"/>
  <c r="X123" i="126"/>
  <c r="W123" i="126"/>
  <c r="V123" i="126"/>
  <c r="U123" i="126"/>
  <c r="T123" i="126"/>
  <c r="S123" i="126"/>
  <c r="R123" i="126"/>
  <c r="Q123" i="126"/>
  <c r="AO122" i="126"/>
  <c r="AN122" i="126"/>
  <c r="AM122" i="126"/>
  <c r="AL122" i="126"/>
  <c r="AK122" i="126"/>
  <c r="AJ122" i="126"/>
  <c r="AI122" i="126"/>
  <c r="AH122" i="126"/>
  <c r="X122" i="126"/>
  <c r="W122" i="126"/>
  <c r="V122" i="126"/>
  <c r="U122" i="126"/>
  <c r="T122" i="126"/>
  <c r="S122" i="126"/>
  <c r="R122" i="126"/>
  <c r="Q122" i="126"/>
  <c r="AO121" i="126"/>
  <c r="AN121" i="126"/>
  <c r="AM121" i="126"/>
  <c r="AL121" i="126"/>
  <c r="AK121" i="126"/>
  <c r="AJ121" i="126"/>
  <c r="AI121" i="126"/>
  <c r="AH121" i="126"/>
  <c r="X121" i="126"/>
  <c r="W121" i="126"/>
  <c r="V121" i="126"/>
  <c r="U121" i="126"/>
  <c r="T121" i="126"/>
  <c r="S121" i="126"/>
  <c r="R121" i="126"/>
  <c r="Q121" i="126"/>
  <c r="AO120" i="126"/>
  <c r="AN120" i="126"/>
  <c r="AM120" i="126"/>
  <c r="AL120" i="126"/>
  <c r="AK120" i="126"/>
  <c r="AJ120" i="126"/>
  <c r="AI120" i="126"/>
  <c r="AH120" i="126"/>
  <c r="X120" i="126"/>
  <c r="W120" i="126"/>
  <c r="V120" i="126"/>
  <c r="U120" i="126"/>
  <c r="T120" i="126"/>
  <c r="S120" i="126"/>
  <c r="R120" i="126"/>
  <c r="Q120" i="126"/>
  <c r="AO119" i="126"/>
  <c r="AN119" i="126"/>
  <c r="AM119" i="126"/>
  <c r="AL119" i="126"/>
  <c r="AK119" i="126"/>
  <c r="AJ119" i="126"/>
  <c r="AI119" i="126"/>
  <c r="AH119" i="126"/>
  <c r="X119" i="126"/>
  <c r="W119" i="126"/>
  <c r="V119" i="126"/>
  <c r="U119" i="126"/>
  <c r="T119" i="126"/>
  <c r="S119" i="126"/>
  <c r="R119" i="126"/>
  <c r="Q119" i="126"/>
  <c r="AO118" i="126"/>
  <c r="AN118" i="126"/>
  <c r="AM118" i="126"/>
  <c r="AL118" i="126"/>
  <c r="AK118" i="126"/>
  <c r="AJ118" i="126"/>
  <c r="AI118" i="126"/>
  <c r="AH118" i="126"/>
  <c r="X118" i="126"/>
  <c r="W118" i="126"/>
  <c r="V118" i="126"/>
  <c r="U118" i="126"/>
  <c r="T118" i="126"/>
  <c r="S118" i="126"/>
  <c r="R118" i="126"/>
  <c r="Q118" i="126"/>
  <c r="AO117" i="126"/>
  <c r="AN117" i="126"/>
  <c r="AM117" i="126"/>
  <c r="AL117" i="126"/>
  <c r="AK117" i="126"/>
  <c r="AJ117" i="126"/>
  <c r="AI117" i="126"/>
  <c r="AH117" i="126"/>
  <c r="X117" i="126"/>
  <c r="W117" i="126"/>
  <c r="V117" i="126"/>
  <c r="U117" i="126"/>
  <c r="T117" i="126"/>
  <c r="S117" i="126"/>
  <c r="R117" i="126"/>
  <c r="Q117" i="126"/>
  <c r="AO116" i="126"/>
  <c r="AN116" i="126"/>
  <c r="AM116" i="126"/>
  <c r="AL116" i="126"/>
  <c r="AK116" i="126"/>
  <c r="AJ116" i="126"/>
  <c r="AI116" i="126"/>
  <c r="AH116" i="126"/>
  <c r="X116" i="126"/>
  <c r="W116" i="126"/>
  <c r="V116" i="126"/>
  <c r="U116" i="126"/>
  <c r="T116" i="126"/>
  <c r="S116" i="126"/>
  <c r="R116" i="126"/>
  <c r="Q116" i="126"/>
  <c r="AO115" i="126"/>
  <c r="AN115" i="126"/>
  <c r="AM115" i="126"/>
  <c r="AL115" i="126"/>
  <c r="AK115" i="126"/>
  <c r="AJ115" i="126"/>
  <c r="AI115" i="126"/>
  <c r="AH115" i="126"/>
  <c r="X115" i="126"/>
  <c r="W115" i="126"/>
  <c r="V115" i="126"/>
  <c r="U115" i="126"/>
  <c r="T115" i="126"/>
  <c r="S115" i="126"/>
  <c r="R115" i="126"/>
  <c r="Q115" i="126"/>
  <c r="AO114" i="126"/>
  <c r="AN114" i="126"/>
  <c r="AM114" i="126"/>
  <c r="AL114" i="126"/>
  <c r="AK114" i="126"/>
  <c r="AJ114" i="126"/>
  <c r="AI114" i="126"/>
  <c r="AH114" i="126"/>
  <c r="X114" i="126"/>
  <c r="W114" i="126"/>
  <c r="V114" i="126"/>
  <c r="U114" i="126"/>
  <c r="T114" i="126"/>
  <c r="S114" i="126"/>
  <c r="R114" i="126"/>
  <c r="Q114" i="126"/>
  <c r="AO113" i="126"/>
  <c r="AN113" i="126"/>
  <c r="AM113" i="126"/>
  <c r="AL113" i="126"/>
  <c r="AK113" i="126"/>
  <c r="AJ113" i="126"/>
  <c r="AI113" i="126"/>
  <c r="AH113" i="126"/>
  <c r="X113" i="126"/>
  <c r="W113" i="126"/>
  <c r="V113" i="126"/>
  <c r="U113" i="126"/>
  <c r="T113" i="126"/>
  <c r="S113" i="126"/>
  <c r="R113" i="126"/>
  <c r="Q113" i="126"/>
  <c r="AO112" i="126"/>
  <c r="AN112" i="126"/>
  <c r="AM112" i="126"/>
  <c r="AL112" i="126"/>
  <c r="AK112" i="126"/>
  <c r="AJ112" i="126"/>
  <c r="AI112" i="126"/>
  <c r="AH112" i="126"/>
  <c r="X112" i="126"/>
  <c r="W112" i="126"/>
  <c r="V112" i="126"/>
  <c r="U112" i="126"/>
  <c r="T112" i="126"/>
  <c r="S112" i="126"/>
  <c r="R112" i="126"/>
  <c r="Q112" i="126"/>
  <c r="AO111" i="126"/>
  <c r="AN111" i="126"/>
  <c r="AM111" i="126"/>
  <c r="AL111" i="126"/>
  <c r="AK111" i="126"/>
  <c r="AJ111" i="126"/>
  <c r="AI111" i="126"/>
  <c r="AH111" i="126"/>
  <c r="X111" i="126"/>
  <c r="W111" i="126"/>
  <c r="V111" i="126"/>
  <c r="U111" i="126"/>
  <c r="T111" i="126"/>
  <c r="S111" i="126"/>
  <c r="R111" i="126"/>
  <c r="Q111" i="126"/>
  <c r="AO110" i="126"/>
  <c r="AN110" i="126"/>
  <c r="AM110" i="126"/>
  <c r="AL110" i="126"/>
  <c r="AK110" i="126"/>
  <c r="AJ110" i="126"/>
  <c r="AI110" i="126"/>
  <c r="AH110" i="126"/>
  <c r="X110" i="126"/>
  <c r="W110" i="126"/>
  <c r="V110" i="126"/>
  <c r="U110" i="126"/>
  <c r="T110" i="126"/>
  <c r="S110" i="126"/>
  <c r="R110" i="126"/>
  <c r="Q110" i="126"/>
  <c r="AO109" i="126"/>
  <c r="AN109" i="126"/>
  <c r="AM109" i="126"/>
  <c r="AL109" i="126"/>
  <c r="AK109" i="126"/>
  <c r="AJ109" i="126"/>
  <c r="AI109" i="126"/>
  <c r="AH109" i="126"/>
  <c r="X109" i="126"/>
  <c r="W109" i="126"/>
  <c r="V109" i="126"/>
  <c r="U109" i="126"/>
  <c r="T109" i="126"/>
  <c r="S109" i="126"/>
  <c r="R109" i="126"/>
  <c r="Q109" i="126"/>
  <c r="AO108" i="126"/>
  <c r="AN108" i="126"/>
  <c r="AM108" i="126"/>
  <c r="AL108" i="126"/>
  <c r="AK108" i="126"/>
  <c r="AJ108" i="126"/>
  <c r="AI108" i="126"/>
  <c r="AH108" i="126"/>
  <c r="X108" i="126"/>
  <c r="W108" i="126"/>
  <c r="V108" i="126"/>
  <c r="U108" i="126"/>
  <c r="T108" i="126"/>
  <c r="S108" i="126"/>
  <c r="R108" i="126"/>
  <c r="Q108" i="126"/>
  <c r="AO107" i="126"/>
  <c r="AN107" i="126"/>
  <c r="AM107" i="126"/>
  <c r="AL107" i="126"/>
  <c r="AK107" i="126"/>
  <c r="AJ107" i="126"/>
  <c r="AI107" i="126"/>
  <c r="AH107" i="126"/>
  <c r="X107" i="126"/>
  <c r="W107" i="126"/>
  <c r="V107" i="126"/>
  <c r="U107" i="126"/>
  <c r="T107" i="126"/>
  <c r="S107" i="126"/>
  <c r="R107" i="126"/>
  <c r="Q107" i="126"/>
  <c r="AO106" i="126"/>
  <c r="AN106" i="126"/>
  <c r="AM106" i="126"/>
  <c r="AL106" i="126"/>
  <c r="AK106" i="126"/>
  <c r="AJ106" i="126"/>
  <c r="AI106" i="126"/>
  <c r="AH106" i="126"/>
  <c r="X106" i="126"/>
  <c r="W106" i="126"/>
  <c r="V106" i="126"/>
  <c r="U106" i="126"/>
  <c r="T106" i="126"/>
  <c r="S106" i="126"/>
  <c r="R106" i="126"/>
  <c r="Q106" i="126"/>
  <c r="AO105" i="126"/>
  <c r="AN105" i="126"/>
  <c r="AM105" i="126"/>
  <c r="AL105" i="126"/>
  <c r="AK105" i="126"/>
  <c r="AJ105" i="126"/>
  <c r="AI105" i="126"/>
  <c r="AH105" i="126"/>
  <c r="X105" i="126"/>
  <c r="W105" i="126"/>
  <c r="V105" i="126"/>
  <c r="U105" i="126"/>
  <c r="T105" i="126"/>
  <c r="S105" i="126"/>
  <c r="R105" i="126"/>
  <c r="Q105" i="126"/>
  <c r="AO104" i="126"/>
  <c r="AN104" i="126"/>
  <c r="AM104" i="126"/>
  <c r="AL104" i="126"/>
  <c r="AK104" i="126"/>
  <c r="AJ104" i="126"/>
  <c r="AI104" i="126"/>
  <c r="AH104" i="126"/>
  <c r="X104" i="126"/>
  <c r="W104" i="126"/>
  <c r="V104" i="126"/>
  <c r="U104" i="126"/>
  <c r="T104" i="126"/>
  <c r="S104" i="126"/>
  <c r="R104" i="126"/>
  <c r="Q104" i="126"/>
  <c r="AO103" i="126"/>
  <c r="AN103" i="126"/>
  <c r="AM103" i="126"/>
  <c r="AL103" i="126"/>
  <c r="AK103" i="126"/>
  <c r="AJ103" i="126"/>
  <c r="AI103" i="126"/>
  <c r="AH103" i="126"/>
  <c r="X103" i="126"/>
  <c r="W103" i="126"/>
  <c r="V103" i="126"/>
  <c r="U103" i="126"/>
  <c r="T103" i="126"/>
  <c r="S103" i="126"/>
  <c r="R103" i="126"/>
  <c r="Q103" i="126"/>
  <c r="AO102" i="126"/>
  <c r="AN102" i="126"/>
  <c r="AM102" i="126"/>
  <c r="AL102" i="126"/>
  <c r="AK102" i="126"/>
  <c r="AJ102" i="126"/>
  <c r="AI102" i="126"/>
  <c r="AH102" i="126"/>
  <c r="X102" i="126"/>
  <c r="W102" i="126"/>
  <c r="V102" i="126"/>
  <c r="U102" i="126"/>
  <c r="T102" i="126"/>
  <c r="S102" i="126"/>
  <c r="R102" i="126"/>
  <c r="Q102" i="126"/>
  <c r="AO101" i="126"/>
  <c r="AN101" i="126"/>
  <c r="AM101" i="126"/>
  <c r="AL101" i="126"/>
  <c r="AK101" i="126"/>
  <c r="AJ101" i="126"/>
  <c r="AI101" i="126"/>
  <c r="AH101" i="126"/>
  <c r="X101" i="126"/>
  <c r="W101" i="126"/>
  <c r="V101" i="126"/>
  <c r="U101" i="126"/>
  <c r="T101" i="126"/>
  <c r="S101" i="126"/>
  <c r="R101" i="126"/>
  <c r="Q101" i="126"/>
  <c r="AO100" i="126"/>
  <c r="AN100" i="126"/>
  <c r="AM100" i="126"/>
  <c r="AL100" i="126"/>
  <c r="AK100" i="126"/>
  <c r="AJ100" i="126"/>
  <c r="AI100" i="126"/>
  <c r="AH100" i="126"/>
  <c r="X100" i="126"/>
  <c r="W100" i="126"/>
  <c r="V100" i="126"/>
  <c r="U100" i="126"/>
  <c r="T100" i="126"/>
  <c r="S100" i="126"/>
  <c r="R100" i="126"/>
  <c r="Q100" i="126"/>
  <c r="AO99" i="126"/>
  <c r="AN99" i="126"/>
  <c r="AM99" i="126"/>
  <c r="AL99" i="126"/>
  <c r="AK99" i="126"/>
  <c r="AJ99" i="126"/>
  <c r="AI99" i="126"/>
  <c r="AH99" i="126"/>
  <c r="X99" i="126"/>
  <c r="W99" i="126"/>
  <c r="V99" i="126"/>
  <c r="U99" i="126"/>
  <c r="T99" i="126"/>
  <c r="S99" i="126"/>
  <c r="R99" i="126"/>
  <c r="Q99" i="126"/>
  <c r="AO98" i="126"/>
  <c r="AN98" i="126"/>
  <c r="AM98" i="126"/>
  <c r="AL98" i="126"/>
  <c r="AK98" i="126"/>
  <c r="AJ98" i="126"/>
  <c r="AI98" i="126"/>
  <c r="AH98" i="126"/>
  <c r="X98" i="126"/>
  <c r="W98" i="126"/>
  <c r="V98" i="126"/>
  <c r="U98" i="126"/>
  <c r="T98" i="126"/>
  <c r="S98" i="126"/>
  <c r="R98" i="126"/>
  <c r="Q98" i="126"/>
  <c r="AO97" i="126"/>
  <c r="AN97" i="126"/>
  <c r="AM97" i="126"/>
  <c r="AL97" i="126"/>
  <c r="AK97" i="126"/>
  <c r="AJ97" i="126"/>
  <c r="AI97" i="126"/>
  <c r="AH97" i="126"/>
  <c r="X97" i="126"/>
  <c r="W97" i="126"/>
  <c r="V97" i="126"/>
  <c r="U97" i="126"/>
  <c r="T97" i="126"/>
  <c r="S97" i="126"/>
  <c r="R97" i="126"/>
  <c r="Q97" i="126"/>
  <c r="AO96" i="126"/>
  <c r="AN96" i="126"/>
  <c r="AM96" i="126"/>
  <c r="AL96" i="126"/>
  <c r="AK96" i="126"/>
  <c r="AJ96" i="126"/>
  <c r="AI96" i="126"/>
  <c r="AH96" i="126"/>
  <c r="X96" i="126"/>
  <c r="W96" i="126"/>
  <c r="V96" i="126"/>
  <c r="U96" i="126"/>
  <c r="T96" i="126"/>
  <c r="S96" i="126"/>
  <c r="R96" i="126"/>
  <c r="Q96" i="126"/>
  <c r="AO95" i="126"/>
  <c r="AN95" i="126"/>
  <c r="AM95" i="126"/>
  <c r="AL95" i="126"/>
  <c r="AK95" i="126"/>
  <c r="AJ95" i="126"/>
  <c r="AI95" i="126"/>
  <c r="AH95" i="126"/>
  <c r="X95" i="126"/>
  <c r="W95" i="126"/>
  <c r="V95" i="126"/>
  <c r="U95" i="126"/>
  <c r="T95" i="126"/>
  <c r="S95" i="126"/>
  <c r="R95" i="126"/>
  <c r="Q95" i="126"/>
  <c r="AO94" i="126"/>
  <c r="AN94" i="126"/>
  <c r="AM94" i="126"/>
  <c r="AL94" i="126"/>
  <c r="AK94" i="126"/>
  <c r="AJ94" i="126"/>
  <c r="AI94" i="126"/>
  <c r="AH94" i="126"/>
  <c r="X94" i="126"/>
  <c r="W94" i="126"/>
  <c r="V94" i="126"/>
  <c r="U94" i="126"/>
  <c r="T94" i="126"/>
  <c r="S94" i="126"/>
  <c r="R94" i="126"/>
  <c r="Q94" i="126"/>
  <c r="AO93" i="126"/>
  <c r="AN93" i="126"/>
  <c r="AM93" i="126"/>
  <c r="AL93" i="126"/>
  <c r="AK93" i="126"/>
  <c r="AJ93" i="126"/>
  <c r="AI93" i="126"/>
  <c r="AH93" i="126"/>
  <c r="X93" i="126"/>
  <c r="W93" i="126"/>
  <c r="V93" i="126"/>
  <c r="U93" i="126"/>
  <c r="T93" i="126"/>
  <c r="S93" i="126"/>
  <c r="R93" i="126"/>
  <c r="Q93" i="126"/>
  <c r="AO92" i="126"/>
  <c r="AN92" i="126"/>
  <c r="AM92" i="126"/>
  <c r="AL92" i="126"/>
  <c r="AK92" i="126"/>
  <c r="AJ92" i="126"/>
  <c r="AI92" i="126"/>
  <c r="AH92" i="126"/>
  <c r="X92" i="126"/>
  <c r="W92" i="126"/>
  <c r="V92" i="126"/>
  <c r="U92" i="126"/>
  <c r="T92" i="126"/>
  <c r="S92" i="126"/>
  <c r="R92" i="126"/>
  <c r="Q92" i="126"/>
  <c r="AO91" i="126"/>
  <c r="AN91" i="126"/>
  <c r="AM91" i="126"/>
  <c r="AL91" i="126"/>
  <c r="AK91" i="126"/>
  <c r="AJ91" i="126"/>
  <c r="AI91" i="126"/>
  <c r="AH91" i="126"/>
  <c r="X91" i="126"/>
  <c r="W91" i="126"/>
  <c r="V91" i="126"/>
  <c r="U91" i="126"/>
  <c r="T91" i="126"/>
  <c r="S91" i="126"/>
  <c r="R91" i="126"/>
  <c r="Q91" i="126"/>
  <c r="AO90" i="126"/>
  <c r="AN90" i="126"/>
  <c r="AM90" i="126"/>
  <c r="AL90" i="126"/>
  <c r="AK90" i="126"/>
  <c r="AJ90" i="126"/>
  <c r="AI90" i="126"/>
  <c r="AH90" i="126"/>
  <c r="X90" i="126"/>
  <c r="W90" i="126"/>
  <c r="V90" i="126"/>
  <c r="U90" i="126"/>
  <c r="T90" i="126"/>
  <c r="S90" i="126"/>
  <c r="R90" i="126"/>
  <c r="Q90" i="126"/>
  <c r="AO89" i="126"/>
  <c r="AN89" i="126"/>
  <c r="AM89" i="126"/>
  <c r="AL89" i="126"/>
  <c r="AK89" i="126"/>
  <c r="AJ89" i="126"/>
  <c r="AI89" i="126"/>
  <c r="AH89" i="126"/>
  <c r="X89" i="126"/>
  <c r="W89" i="126"/>
  <c r="V89" i="126"/>
  <c r="U89" i="126"/>
  <c r="T89" i="126"/>
  <c r="S89" i="126"/>
  <c r="R89" i="126"/>
  <c r="Q89" i="126"/>
  <c r="AO88" i="126"/>
  <c r="AN88" i="126"/>
  <c r="AM88" i="126"/>
  <c r="AL88" i="126"/>
  <c r="AK88" i="126"/>
  <c r="AJ88" i="126"/>
  <c r="AI88" i="126"/>
  <c r="AH88" i="126"/>
  <c r="X88" i="126"/>
  <c r="W88" i="126"/>
  <c r="V88" i="126"/>
  <c r="U88" i="126"/>
  <c r="T88" i="126"/>
  <c r="S88" i="126"/>
  <c r="R88" i="126"/>
  <c r="Q88" i="126"/>
  <c r="AO87" i="126"/>
  <c r="AN87" i="126"/>
  <c r="AM87" i="126"/>
  <c r="AL87" i="126"/>
  <c r="AK87" i="126"/>
  <c r="AJ87" i="126"/>
  <c r="AI87" i="126"/>
  <c r="AH87" i="126"/>
  <c r="X87" i="126"/>
  <c r="W87" i="126"/>
  <c r="V87" i="126"/>
  <c r="U87" i="126"/>
  <c r="T87" i="126"/>
  <c r="S87" i="126"/>
  <c r="R87" i="126"/>
  <c r="Q87" i="126"/>
  <c r="AO86" i="126"/>
  <c r="AN86" i="126"/>
  <c r="AM86" i="126"/>
  <c r="AL86" i="126"/>
  <c r="AK86" i="126"/>
  <c r="AJ86" i="126"/>
  <c r="AI86" i="126"/>
  <c r="AH86" i="126"/>
  <c r="X86" i="126"/>
  <c r="W86" i="126"/>
  <c r="V86" i="126"/>
  <c r="U86" i="126"/>
  <c r="T86" i="126"/>
  <c r="S86" i="126"/>
  <c r="R86" i="126"/>
  <c r="Q86" i="126"/>
  <c r="AO85" i="126"/>
  <c r="AN85" i="126"/>
  <c r="AM85" i="126"/>
  <c r="AL85" i="126"/>
  <c r="AK85" i="126"/>
  <c r="AJ85" i="126"/>
  <c r="AI85" i="126"/>
  <c r="AH85" i="126"/>
  <c r="X85" i="126"/>
  <c r="W85" i="126"/>
  <c r="V85" i="126"/>
  <c r="U85" i="126"/>
  <c r="T85" i="126"/>
  <c r="S85" i="126"/>
  <c r="R85" i="126"/>
  <c r="Q85" i="126"/>
  <c r="AO84" i="126"/>
  <c r="AN84" i="126"/>
  <c r="AM84" i="126"/>
  <c r="AL84" i="126"/>
  <c r="AK84" i="126"/>
  <c r="AJ84" i="126"/>
  <c r="AI84" i="126"/>
  <c r="AH84" i="126"/>
  <c r="X84" i="126"/>
  <c r="W84" i="126"/>
  <c r="V84" i="126"/>
  <c r="U84" i="126"/>
  <c r="T84" i="126"/>
  <c r="S84" i="126"/>
  <c r="R84" i="126"/>
  <c r="Q84" i="126"/>
  <c r="AO83" i="126"/>
  <c r="AN83" i="126"/>
  <c r="AM83" i="126"/>
  <c r="AL83" i="126"/>
  <c r="AK83" i="126"/>
  <c r="AJ83" i="126"/>
  <c r="AI83" i="126"/>
  <c r="AH83" i="126"/>
  <c r="X83" i="126"/>
  <c r="W83" i="126"/>
  <c r="V83" i="126"/>
  <c r="U83" i="126"/>
  <c r="T83" i="126"/>
  <c r="S83" i="126"/>
  <c r="R83" i="126"/>
  <c r="Q83" i="126"/>
  <c r="AO82" i="126"/>
  <c r="AN82" i="126"/>
  <c r="AM82" i="126"/>
  <c r="AL82" i="126"/>
  <c r="AK82" i="126"/>
  <c r="AJ82" i="126"/>
  <c r="AI82" i="126"/>
  <c r="AH82" i="126"/>
  <c r="X82" i="126"/>
  <c r="W82" i="126"/>
  <c r="V82" i="126"/>
  <c r="U82" i="126"/>
  <c r="T82" i="126"/>
  <c r="S82" i="126"/>
  <c r="R82" i="126"/>
  <c r="Q82" i="126"/>
  <c r="AO81" i="126"/>
  <c r="AN81" i="126"/>
  <c r="AM81" i="126"/>
  <c r="AL81" i="126"/>
  <c r="AK81" i="126"/>
  <c r="AJ81" i="126"/>
  <c r="AI81" i="126"/>
  <c r="AH81" i="126"/>
  <c r="X81" i="126"/>
  <c r="W81" i="126"/>
  <c r="V81" i="126"/>
  <c r="U81" i="126"/>
  <c r="T81" i="126"/>
  <c r="S81" i="126"/>
  <c r="R81" i="126"/>
  <c r="Q81" i="126"/>
  <c r="AO80" i="126"/>
  <c r="AN80" i="126"/>
  <c r="AM80" i="126"/>
  <c r="AL80" i="126"/>
  <c r="AK80" i="126"/>
  <c r="AJ80" i="126"/>
  <c r="AI80" i="126"/>
  <c r="AH80" i="126"/>
  <c r="X80" i="126"/>
  <c r="W80" i="126"/>
  <c r="V80" i="126"/>
  <c r="U80" i="126"/>
  <c r="T80" i="126"/>
  <c r="S80" i="126"/>
  <c r="R80" i="126"/>
  <c r="Q80" i="126"/>
  <c r="AO79" i="126"/>
  <c r="AN79" i="126"/>
  <c r="AM79" i="126"/>
  <c r="AL79" i="126"/>
  <c r="AK79" i="126"/>
  <c r="AJ79" i="126"/>
  <c r="AI79" i="126"/>
  <c r="AH79" i="126"/>
  <c r="X79" i="126"/>
  <c r="W79" i="126"/>
  <c r="V79" i="126"/>
  <c r="U79" i="126"/>
  <c r="T79" i="126"/>
  <c r="S79" i="126"/>
  <c r="R79" i="126"/>
  <c r="Q79" i="126"/>
  <c r="AO78" i="126"/>
  <c r="AN78" i="126"/>
  <c r="AM78" i="126"/>
  <c r="AL78" i="126"/>
  <c r="AK78" i="126"/>
  <c r="AJ78" i="126"/>
  <c r="AI78" i="126"/>
  <c r="AH78" i="126"/>
  <c r="X78" i="126"/>
  <c r="W78" i="126"/>
  <c r="V78" i="126"/>
  <c r="U78" i="126"/>
  <c r="T78" i="126"/>
  <c r="S78" i="126"/>
  <c r="R78" i="126"/>
  <c r="Q78" i="126"/>
  <c r="AO77" i="126"/>
  <c r="AN77" i="126"/>
  <c r="AM77" i="126"/>
  <c r="AL77" i="126"/>
  <c r="AK77" i="126"/>
  <c r="AJ77" i="126"/>
  <c r="AI77" i="126"/>
  <c r="AH77" i="126"/>
  <c r="X77" i="126"/>
  <c r="W77" i="126"/>
  <c r="V77" i="126"/>
  <c r="U77" i="126"/>
  <c r="T77" i="126"/>
  <c r="S77" i="126"/>
  <c r="R77" i="126"/>
  <c r="Q77" i="126"/>
  <c r="AO76" i="126"/>
  <c r="AN76" i="126"/>
  <c r="AM76" i="126"/>
  <c r="AL76" i="126"/>
  <c r="AK76" i="126"/>
  <c r="AJ76" i="126"/>
  <c r="AI76" i="126"/>
  <c r="AH76" i="126"/>
  <c r="X76" i="126"/>
  <c r="W76" i="126"/>
  <c r="V76" i="126"/>
  <c r="U76" i="126"/>
  <c r="T76" i="126"/>
  <c r="S76" i="126"/>
  <c r="R76" i="126"/>
  <c r="Q76" i="126"/>
  <c r="AO75" i="126"/>
  <c r="AN75" i="126"/>
  <c r="AM75" i="126"/>
  <c r="AL75" i="126"/>
  <c r="AK75" i="126"/>
  <c r="AJ75" i="126"/>
  <c r="AI75" i="126"/>
  <c r="AH75" i="126"/>
  <c r="X75" i="126"/>
  <c r="W75" i="126"/>
  <c r="V75" i="126"/>
  <c r="U75" i="126"/>
  <c r="T75" i="126"/>
  <c r="S75" i="126"/>
  <c r="R75" i="126"/>
  <c r="Q75" i="126"/>
  <c r="AO74" i="126"/>
  <c r="AN74" i="126"/>
  <c r="AM74" i="126"/>
  <c r="AL74" i="126"/>
  <c r="AK74" i="126"/>
  <c r="AJ74" i="126"/>
  <c r="AI74" i="126"/>
  <c r="AH74" i="126"/>
  <c r="X74" i="126"/>
  <c r="W74" i="126"/>
  <c r="V74" i="126"/>
  <c r="U74" i="126"/>
  <c r="T74" i="126"/>
  <c r="S74" i="126"/>
  <c r="R74" i="126"/>
  <c r="Q74" i="126"/>
  <c r="AO73" i="126"/>
  <c r="AN73" i="126"/>
  <c r="AM73" i="126"/>
  <c r="AL73" i="126"/>
  <c r="AK73" i="126"/>
  <c r="AJ73" i="126"/>
  <c r="AI73" i="126"/>
  <c r="AH73" i="126"/>
  <c r="X73" i="126"/>
  <c r="W73" i="126"/>
  <c r="V73" i="126"/>
  <c r="U73" i="126"/>
  <c r="T73" i="126"/>
  <c r="S73" i="126"/>
  <c r="R73" i="126"/>
  <c r="Q73" i="126"/>
  <c r="AO72" i="126"/>
  <c r="AN72" i="126"/>
  <c r="AM72" i="126"/>
  <c r="AL72" i="126"/>
  <c r="AK72" i="126"/>
  <c r="AJ72" i="126"/>
  <c r="AI72" i="126"/>
  <c r="AH72" i="126"/>
  <c r="X72" i="126"/>
  <c r="W72" i="126"/>
  <c r="V72" i="126"/>
  <c r="U72" i="126"/>
  <c r="T72" i="126"/>
  <c r="S72" i="126"/>
  <c r="R72" i="126"/>
  <c r="Q72" i="126"/>
  <c r="AO71" i="126"/>
  <c r="AN71" i="126"/>
  <c r="AM71" i="126"/>
  <c r="AL71" i="126"/>
  <c r="AK71" i="126"/>
  <c r="AJ71" i="126"/>
  <c r="AI71" i="126"/>
  <c r="AH71" i="126"/>
  <c r="X71" i="126"/>
  <c r="W71" i="126"/>
  <c r="V71" i="126"/>
  <c r="U71" i="126"/>
  <c r="T71" i="126"/>
  <c r="S71" i="126"/>
  <c r="R71" i="126"/>
  <c r="Q71" i="126"/>
  <c r="AO70" i="126"/>
  <c r="AN70" i="126"/>
  <c r="AM70" i="126"/>
  <c r="AL70" i="126"/>
  <c r="AK70" i="126"/>
  <c r="AJ70" i="126"/>
  <c r="AI70" i="126"/>
  <c r="AH70" i="126"/>
  <c r="X70" i="126"/>
  <c r="W70" i="126"/>
  <c r="V70" i="126"/>
  <c r="U70" i="126"/>
  <c r="T70" i="126"/>
  <c r="S70" i="126"/>
  <c r="R70" i="126"/>
  <c r="Q70" i="126"/>
  <c r="AO69" i="126"/>
  <c r="AN69" i="126"/>
  <c r="AM69" i="126"/>
  <c r="AL69" i="126"/>
  <c r="AK69" i="126"/>
  <c r="AJ69" i="126"/>
  <c r="AI69" i="126"/>
  <c r="AH69" i="126"/>
  <c r="X69" i="126"/>
  <c r="W69" i="126"/>
  <c r="V69" i="126"/>
  <c r="U69" i="126"/>
  <c r="T69" i="126"/>
  <c r="S69" i="126"/>
  <c r="R69" i="126"/>
  <c r="Q69" i="126"/>
  <c r="AO68" i="126"/>
  <c r="AN68" i="126"/>
  <c r="AM68" i="126"/>
  <c r="AL68" i="126"/>
  <c r="AK68" i="126"/>
  <c r="AJ68" i="126"/>
  <c r="AI68" i="126"/>
  <c r="AH68" i="126"/>
  <c r="X68" i="126"/>
  <c r="W68" i="126"/>
  <c r="V68" i="126"/>
  <c r="U68" i="126"/>
  <c r="T68" i="126"/>
  <c r="S68" i="126"/>
  <c r="R68" i="126"/>
  <c r="Q68" i="126"/>
  <c r="AO67" i="126"/>
  <c r="AN67" i="126"/>
  <c r="AM67" i="126"/>
  <c r="AL67" i="126"/>
  <c r="AK67" i="126"/>
  <c r="AJ67" i="126"/>
  <c r="AI67" i="126"/>
  <c r="AH67" i="126"/>
  <c r="X67" i="126"/>
  <c r="W67" i="126"/>
  <c r="V67" i="126"/>
  <c r="U67" i="126"/>
  <c r="T67" i="126"/>
  <c r="S67" i="126"/>
  <c r="R67" i="126"/>
  <c r="Q67" i="126"/>
  <c r="AO66" i="126"/>
  <c r="AN66" i="126"/>
  <c r="AM66" i="126"/>
  <c r="AL66" i="126"/>
  <c r="AK66" i="126"/>
  <c r="AJ66" i="126"/>
  <c r="AI66" i="126"/>
  <c r="AH66" i="126"/>
  <c r="X66" i="126"/>
  <c r="W66" i="126"/>
  <c r="V66" i="126"/>
  <c r="U66" i="126"/>
  <c r="T66" i="126"/>
  <c r="S66" i="126"/>
  <c r="R66" i="126"/>
  <c r="Q66" i="126"/>
  <c r="AO65" i="126"/>
  <c r="AN65" i="126"/>
  <c r="AM65" i="126"/>
  <c r="AL65" i="126"/>
  <c r="AK65" i="126"/>
  <c r="AJ65" i="126"/>
  <c r="AI65" i="126"/>
  <c r="AH65" i="126"/>
  <c r="X65" i="126"/>
  <c r="W65" i="126"/>
  <c r="V65" i="126"/>
  <c r="U65" i="126"/>
  <c r="T65" i="126"/>
  <c r="S65" i="126"/>
  <c r="R65" i="126"/>
  <c r="Q65" i="126"/>
  <c r="AO64" i="126"/>
  <c r="AN64" i="126"/>
  <c r="AM64" i="126"/>
  <c r="AL64" i="126"/>
  <c r="AK64" i="126"/>
  <c r="AJ64" i="126"/>
  <c r="AI64" i="126"/>
  <c r="AH64" i="126"/>
  <c r="X64" i="126"/>
  <c r="W64" i="126"/>
  <c r="V64" i="126"/>
  <c r="U64" i="126"/>
  <c r="T64" i="126"/>
  <c r="S64" i="126"/>
  <c r="R64" i="126"/>
  <c r="Q64" i="126"/>
  <c r="AO63" i="126"/>
  <c r="AN63" i="126"/>
  <c r="AM63" i="126"/>
  <c r="AL63" i="126"/>
  <c r="AK63" i="126"/>
  <c r="AJ63" i="126"/>
  <c r="AI63" i="126"/>
  <c r="AH63" i="126"/>
  <c r="X63" i="126"/>
  <c r="W63" i="126"/>
  <c r="V63" i="126"/>
  <c r="U63" i="126"/>
  <c r="T63" i="126"/>
  <c r="S63" i="126"/>
  <c r="R63" i="126"/>
  <c r="Q63" i="126"/>
  <c r="AO62" i="126"/>
  <c r="AN62" i="126"/>
  <c r="AM62" i="126"/>
  <c r="AL62" i="126"/>
  <c r="AK62" i="126"/>
  <c r="AJ62" i="126"/>
  <c r="AI62" i="126"/>
  <c r="AH62" i="126"/>
  <c r="X62" i="126"/>
  <c r="W62" i="126"/>
  <c r="V62" i="126"/>
  <c r="U62" i="126"/>
  <c r="T62" i="126"/>
  <c r="S62" i="126"/>
  <c r="R62" i="126"/>
  <c r="Q62" i="126"/>
  <c r="AO61" i="126"/>
  <c r="AN61" i="126"/>
  <c r="AM61" i="126"/>
  <c r="AL61" i="126"/>
  <c r="AK61" i="126"/>
  <c r="AJ61" i="126"/>
  <c r="AI61" i="126"/>
  <c r="AH61" i="126"/>
  <c r="X61" i="126"/>
  <c r="W61" i="126"/>
  <c r="V61" i="126"/>
  <c r="U61" i="126"/>
  <c r="T61" i="126"/>
  <c r="S61" i="126"/>
  <c r="R61" i="126"/>
  <c r="Q61" i="126"/>
  <c r="AO60" i="126"/>
  <c r="AN60" i="126"/>
  <c r="AM60" i="126"/>
  <c r="AL60" i="126"/>
  <c r="AK60" i="126"/>
  <c r="AJ60" i="126"/>
  <c r="AI60" i="126"/>
  <c r="AH60" i="126"/>
  <c r="X60" i="126"/>
  <c r="W60" i="126"/>
  <c r="V60" i="126"/>
  <c r="U60" i="126"/>
  <c r="T60" i="126"/>
  <c r="S60" i="126"/>
  <c r="R60" i="126"/>
  <c r="Q60" i="126"/>
  <c r="AO59" i="126"/>
  <c r="AN59" i="126"/>
  <c r="AM59" i="126"/>
  <c r="AL59" i="126"/>
  <c r="AK59" i="126"/>
  <c r="AJ59" i="126"/>
  <c r="AI59" i="126"/>
  <c r="AH59" i="126"/>
  <c r="X59" i="126"/>
  <c r="W59" i="126"/>
  <c r="V59" i="126"/>
  <c r="U59" i="126"/>
  <c r="T59" i="126"/>
  <c r="S59" i="126"/>
  <c r="R59" i="126"/>
  <c r="Q59" i="126"/>
  <c r="AO58" i="126"/>
  <c r="AN58" i="126"/>
  <c r="AM58" i="126"/>
  <c r="AL58" i="126"/>
  <c r="AK58" i="126"/>
  <c r="AJ58" i="126"/>
  <c r="AI58" i="126"/>
  <c r="AH58" i="126"/>
  <c r="X58" i="126"/>
  <c r="W58" i="126"/>
  <c r="V58" i="126"/>
  <c r="U58" i="126"/>
  <c r="T58" i="126"/>
  <c r="S58" i="126"/>
  <c r="R58" i="126"/>
  <c r="Q58" i="126"/>
  <c r="AO57" i="126"/>
  <c r="AN57" i="126"/>
  <c r="AM57" i="126"/>
  <c r="AL57" i="126"/>
  <c r="AK57" i="126"/>
  <c r="AJ57" i="126"/>
  <c r="AI57" i="126"/>
  <c r="AH57" i="126"/>
  <c r="X57" i="126"/>
  <c r="W57" i="126"/>
  <c r="V57" i="126"/>
  <c r="U57" i="126"/>
  <c r="T57" i="126"/>
  <c r="S57" i="126"/>
  <c r="R57" i="126"/>
  <c r="Q57" i="126"/>
  <c r="AO56" i="126"/>
  <c r="AN56" i="126"/>
  <c r="AM56" i="126"/>
  <c r="AL56" i="126"/>
  <c r="AK56" i="126"/>
  <c r="AJ56" i="126"/>
  <c r="AI56" i="126"/>
  <c r="AH56" i="126"/>
  <c r="X56" i="126"/>
  <c r="W56" i="126"/>
  <c r="V56" i="126"/>
  <c r="U56" i="126"/>
  <c r="T56" i="126"/>
  <c r="S56" i="126"/>
  <c r="R56" i="126"/>
  <c r="Q56" i="126"/>
  <c r="AO55" i="126"/>
  <c r="AN55" i="126"/>
  <c r="AM55" i="126"/>
  <c r="AL55" i="126"/>
  <c r="AK55" i="126"/>
  <c r="AJ55" i="126"/>
  <c r="AI55" i="126"/>
  <c r="AH55" i="126"/>
  <c r="X55" i="126"/>
  <c r="W55" i="126"/>
  <c r="V55" i="126"/>
  <c r="U55" i="126"/>
  <c r="T55" i="126"/>
  <c r="S55" i="126"/>
  <c r="R55" i="126"/>
  <c r="Q55" i="126"/>
  <c r="AO54" i="126"/>
  <c r="AN54" i="126"/>
  <c r="AM54" i="126"/>
  <c r="AL54" i="126"/>
  <c r="AK54" i="126"/>
  <c r="AJ54" i="126"/>
  <c r="AI54" i="126"/>
  <c r="AH54" i="126"/>
  <c r="X54" i="126"/>
  <c r="W54" i="126"/>
  <c r="V54" i="126"/>
  <c r="U54" i="126"/>
  <c r="T54" i="126"/>
  <c r="S54" i="126"/>
  <c r="R54" i="126"/>
  <c r="Q54" i="126"/>
  <c r="AO53" i="126"/>
  <c r="AN53" i="126"/>
  <c r="AM53" i="126"/>
  <c r="AL53" i="126"/>
  <c r="AK53" i="126"/>
  <c r="AJ53" i="126"/>
  <c r="AI53" i="126"/>
  <c r="AH53" i="126"/>
  <c r="X53" i="126"/>
  <c r="W53" i="126"/>
  <c r="V53" i="126"/>
  <c r="U53" i="126"/>
  <c r="T53" i="126"/>
  <c r="S53" i="126"/>
  <c r="R53" i="126"/>
  <c r="Q53" i="126"/>
  <c r="AO52" i="126"/>
  <c r="AN52" i="126"/>
  <c r="AM52" i="126"/>
  <c r="AL52" i="126"/>
  <c r="AK52" i="126"/>
  <c r="AJ52" i="126"/>
  <c r="AI52" i="126"/>
  <c r="AH52" i="126"/>
  <c r="X52" i="126"/>
  <c r="W52" i="126"/>
  <c r="V52" i="126"/>
  <c r="U52" i="126"/>
  <c r="T52" i="126"/>
  <c r="S52" i="126"/>
  <c r="R52" i="126"/>
  <c r="Q52" i="126"/>
  <c r="AO51" i="126"/>
  <c r="AN51" i="126"/>
  <c r="AM51" i="126"/>
  <c r="AL51" i="126"/>
  <c r="AK51" i="126"/>
  <c r="AJ51" i="126"/>
  <c r="AI51" i="126"/>
  <c r="AH51" i="126"/>
  <c r="X51" i="126"/>
  <c r="W51" i="126"/>
  <c r="V51" i="126"/>
  <c r="U51" i="126"/>
  <c r="T51" i="126"/>
  <c r="S51" i="126"/>
  <c r="R51" i="126"/>
  <c r="Q51" i="126"/>
  <c r="AO50" i="126"/>
  <c r="AN50" i="126"/>
  <c r="AM50" i="126"/>
  <c r="AL50" i="126"/>
  <c r="AK50" i="126"/>
  <c r="AJ50" i="126"/>
  <c r="AI50" i="126"/>
  <c r="AH50" i="126"/>
  <c r="X50" i="126"/>
  <c r="W50" i="126"/>
  <c r="V50" i="126"/>
  <c r="U50" i="126"/>
  <c r="T50" i="126"/>
  <c r="S50" i="126"/>
  <c r="R50" i="126"/>
  <c r="Q50" i="126"/>
  <c r="AO49" i="126"/>
  <c r="AN49" i="126"/>
  <c r="AM49" i="126"/>
  <c r="AL49" i="126"/>
  <c r="AK49" i="126"/>
  <c r="AJ49" i="126"/>
  <c r="AI49" i="126"/>
  <c r="AH49" i="126"/>
  <c r="X49" i="126"/>
  <c r="W49" i="126"/>
  <c r="V49" i="126"/>
  <c r="U49" i="126"/>
  <c r="T49" i="126"/>
  <c r="S49" i="126"/>
  <c r="R49" i="126"/>
  <c r="Q49" i="126"/>
  <c r="AO48" i="126"/>
  <c r="AN48" i="126"/>
  <c r="AM48" i="126"/>
  <c r="AL48" i="126"/>
  <c r="AK48" i="126"/>
  <c r="AJ48" i="126"/>
  <c r="AI48" i="126"/>
  <c r="AH48" i="126"/>
  <c r="X48" i="126"/>
  <c r="W48" i="126"/>
  <c r="V48" i="126"/>
  <c r="U48" i="126"/>
  <c r="T48" i="126"/>
  <c r="S48" i="126"/>
  <c r="R48" i="126"/>
  <c r="Q48" i="126"/>
  <c r="AO47" i="126"/>
  <c r="AN47" i="126"/>
  <c r="AM47" i="126"/>
  <c r="AL47" i="126"/>
  <c r="AK47" i="126"/>
  <c r="AJ47" i="126"/>
  <c r="AI47" i="126"/>
  <c r="AH47" i="126"/>
  <c r="X47" i="126"/>
  <c r="W47" i="126"/>
  <c r="V47" i="126"/>
  <c r="U47" i="126"/>
  <c r="T47" i="126"/>
  <c r="S47" i="126"/>
  <c r="R47" i="126"/>
  <c r="Q47" i="126"/>
  <c r="AO46" i="126"/>
  <c r="AN46" i="126"/>
  <c r="AM46" i="126"/>
  <c r="AL46" i="126"/>
  <c r="AK46" i="126"/>
  <c r="AJ46" i="126"/>
  <c r="AI46" i="126"/>
  <c r="AH46" i="126"/>
  <c r="X46" i="126"/>
  <c r="W46" i="126"/>
  <c r="V46" i="126"/>
  <c r="U46" i="126"/>
  <c r="T46" i="126"/>
  <c r="S46" i="126"/>
  <c r="R46" i="126"/>
  <c r="Q46" i="126"/>
  <c r="AO45" i="126"/>
  <c r="AN45" i="126"/>
  <c r="AM45" i="126"/>
  <c r="AL45" i="126"/>
  <c r="AK45" i="126"/>
  <c r="AJ45" i="126"/>
  <c r="AI45" i="126"/>
  <c r="AH45" i="126"/>
  <c r="X45" i="126"/>
  <c r="W45" i="126"/>
  <c r="V45" i="126"/>
  <c r="U45" i="126"/>
  <c r="T45" i="126"/>
  <c r="S45" i="126"/>
  <c r="R45" i="126"/>
  <c r="Q45" i="126"/>
  <c r="AO44" i="126"/>
  <c r="AN44" i="126"/>
  <c r="AM44" i="126"/>
  <c r="AL44" i="126"/>
  <c r="AK44" i="126"/>
  <c r="AJ44" i="126"/>
  <c r="AI44" i="126"/>
  <c r="AH44" i="126"/>
  <c r="X44" i="126"/>
  <c r="W44" i="126"/>
  <c r="V44" i="126"/>
  <c r="U44" i="126"/>
  <c r="T44" i="126"/>
  <c r="S44" i="126"/>
  <c r="R44" i="126"/>
  <c r="Q44" i="126"/>
  <c r="AO43" i="126"/>
  <c r="AN43" i="126"/>
  <c r="AM43" i="126"/>
  <c r="AL43" i="126"/>
  <c r="AK43" i="126"/>
  <c r="AJ43" i="126"/>
  <c r="AI43" i="126"/>
  <c r="AH43" i="126"/>
  <c r="X43" i="126"/>
  <c r="W43" i="126"/>
  <c r="V43" i="126"/>
  <c r="U43" i="126"/>
  <c r="T43" i="126"/>
  <c r="S43" i="126"/>
  <c r="R43" i="126"/>
  <c r="Q43" i="126"/>
  <c r="AO42" i="126"/>
  <c r="AN42" i="126"/>
  <c r="AM42" i="126"/>
  <c r="AL42" i="126"/>
  <c r="AK42" i="126"/>
  <c r="AJ42" i="126"/>
  <c r="AI42" i="126"/>
  <c r="AH42" i="126"/>
  <c r="X42" i="126"/>
  <c r="W42" i="126"/>
  <c r="V42" i="126"/>
  <c r="U42" i="126"/>
  <c r="T42" i="126"/>
  <c r="S42" i="126"/>
  <c r="R42" i="126"/>
  <c r="Q42" i="126"/>
  <c r="AO41" i="126"/>
  <c r="AN41" i="126"/>
  <c r="AM41" i="126"/>
  <c r="AL41" i="126"/>
  <c r="AK41" i="126"/>
  <c r="AJ41" i="126"/>
  <c r="AI41" i="126"/>
  <c r="AH41" i="126"/>
  <c r="X41" i="126"/>
  <c r="W41" i="126"/>
  <c r="V41" i="126"/>
  <c r="U41" i="126"/>
  <c r="T41" i="126"/>
  <c r="S41" i="126"/>
  <c r="R41" i="126"/>
  <c r="Q41" i="126"/>
  <c r="AO40" i="126"/>
  <c r="AN40" i="126"/>
  <c r="AM40" i="126"/>
  <c r="AL40" i="126"/>
  <c r="AK40" i="126"/>
  <c r="AJ40" i="126"/>
  <c r="AI40" i="126"/>
  <c r="AH40" i="126"/>
  <c r="X40" i="126"/>
  <c r="W40" i="126"/>
  <c r="V40" i="126"/>
  <c r="U40" i="126"/>
  <c r="T40" i="126"/>
  <c r="S40" i="126"/>
  <c r="R40" i="126"/>
  <c r="Q40" i="126"/>
  <c r="AO39" i="126"/>
  <c r="AN39" i="126"/>
  <c r="AM39" i="126"/>
  <c r="AL39" i="126"/>
  <c r="AK39" i="126"/>
  <c r="AJ39" i="126"/>
  <c r="AI39" i="126"/>
  <c r="AH39" i="126"/>
  <c r="X39" i="126"/>
  <c r="W39" i="126"/>
  <c r="V39" i="126"/>
  <c r="U39" i="126"/>
  <c r="T39" i="126"/>
  <c r="S39" i="126"/>
  <c r="R39" i="126"/>
  <c r="Q39" i="126"/>
  <c r="AO38" i="126"/>
  <c r="AN38" i="126"/>
  <c r="AM38" i="126"/>
  <c r="AL38" i="126"/>
  <c r="AK38" i="126"/>
  <c r="AJ38" i="126"/>
  <c r="AI38" i="126"/>
  <c r="AH38" i="126"/>
  <c r="X38" i="126"/>
  <c r="W38" i="126"/>
  <c r="V38" i="126"/>
  <c r="U38" i="126"/>
  <c r="T38" i="126"/>
  <c r="S38" i="126"/>
  <c r="R38" i="126"/>
  <c r="Q38" i="126"/>
  <c r="AO37" i="126"/>
  <c r="AN37" i="126"/>
  <c r="AM37" i="126"/>
  <c r="AL37" i="126"/>
  <c r="AK37" i="126"/>
  <c r="AJ37" i="126"/>
  <c r="AI37" i="126"/>
  <c r="AH37" i="126"/>
  <c r="X37" i="126"/>
  <c r="W37" i="126"/>
  <c r="V37" i="126"/>
  <c r="U37" i="126"/>
  <c r="T37" i="126"/>
  <c r="S37" i="126"/>
  <c r="R37" i="126"/>
  <c r="Q37" i="126"/>
  <c r="AO36" i="126"/>
  <c r="AN36" i="126"/>
  <c r="AM36" i="126"/>
  <c r="AL36" i="126"/>
  <c r="AK36" i="126"/>
  <c r="AJ36" i="126"/>
  <c r="AI36" i="126"/>
  <c r="AH36" i="126"/>
  <c r="X36" i="126"/>
  <c r="W36" i="126"/>
  <c r="V36" i="126"/>
  <c r="U36" i="126"/>
  <c r="T36" i="126"/>
  <c r="S36" i="126"/>
  <c r="R36" i="126"/>
  <c r="Q36" i="126"/>
  <c r="AO35" i="126"/>
  <c r="AN35" i="126"/>
  <c r="AM35" i="126"/>
  <c r="AL35" i="126"/>
  <c r="AK35" i="126"/>
  <c r="AJ35" i="126"/>
  <c r="AI35" i="126"/>
  <c r="AH35" i="126"/>
  <c r="X35" i="126"/>
  <c r="W35" i="126"/>
  <c r="V35" i="126"/>
  <c r="U35" i="126"/>
  <c r="T35" i="126"/>
  <c r="S35" i="126"/>
  <c r="R35" i="126"/>
  <c r="Q35" i="126"/>
  <c r="AO34" i="126"/>
  <c r="AN34" i="126"/>
  <c r="AM34" i="126"/>
  <c r="AL34" i="126"/>
  <c r="AK34" i="126"/>
  <c r="AJ34" i="126"/>
  <c r="AI34" i="126"/>
  <c r="AH34" i="126"/>
  <c r="X34" i="126"/>
  <c r="W34" i="126"/>
  <c r="V34" i="126"/>
  <c r="U34" i="126"/>
  <c r="T34" i="126"/>
  <c r="S34" i="126"/>
  <c r="R34" i="126"/>
  <c r="Q34" i="126"/>
  <c r="AO33" i="126"/>
  <c r="AN33" i="126"/>
  <c r="AM33" i="126"/>
  <c r="AL33" i="126"/>
  <c r="AK33" i="126"/>
  <c r="AJ33" i="126"/>
  <c r="AI33" i="126"/>
  <c r="AH33" i="126"/>
  <c r="X33" i="126"/>
  <c r="W33" i="126"/>
  <c r="V33" i="126"/>
  <c r="U33" i="126"/>
  <c r="T33" i="126"/>
  <c r="S33" i="126"/>
  <c r="R33" i="126"/>
  <c r="Q33" i="126"/>
  <c r="AO32" i="126"/>
  <c r="AN32" i="126"/>
  <c r="AM32" i="126"/>
  <c r="AL32" i="126"/>
  <c r="AK32" i="126"/>
  <c r="AJ32" i="126"/>
  <c r="AI32" i="126"/>
  <c r="AH32" i="126"/>
  <c r="X32" i="126"/>
  <c r="W32" i="126"/>
  <c r="V32" i="126"/>
  <c r="U32" i="126"/>
  <c r="T32" i="126"/>
  <c r="S32" i="126"/>
  <c r="R32" i="126"/>
  <c r="Q32" i="126"/>
  <c r="AO31" i="126"/>
  <c r="AN31" i="126"/>
  <c r="AM31" i="126"/>
  <c r="AL31" i="126"/>
  <c r="AK31" i="126"/>
  <c r="AJ31" i="126"/>
  <c r="AI31" i="126"/>
  <c r="AH31" i="126"/>
  <c r="X31" i="126"/>
  <c r="W31" i="126"/>
  <c r="V31" i="126"/>
  <c r="U31" i="126"/>
  <c r="T31" i="126"/>
  <c r="S31" i="126"/>
  <c r="R31" i="126"/>
  <c r="Q31" i="126"/>
  <c r="AO30" i="126"/>
  <c r="AN30" i="126"/>
  <c r="AM30" i="126"/>
  <c r="AL30" i="126"/>
  <c r="AK30" i="126"/>
  <c r="AJ30" i="126"/>
  <c r="AI30" i="126"/>
  <c r="AH30" i="126"/>
  <c r="X30" i="126"/>
  <c r="W30" i="126"/>
  <c r="V30" i="126"/>
  <c r="U30" i="126"/>
  <c r="T30" i="126"/>
  <c r="S30" i="126"/>
  <c r="R30" i="126"/>
  <c r="Q30" i="126"/>
  <c r="AO29" i="126"/>
  <c r="AN29" i="126"/>
  <c r="AM29" i="126"/>
  <c r="AL29" i="126"/>
  <c r="AK29" i="126"/>
  <c r="AJ29" i="126"/>
  <c r="AI29" i="126"/>
  <c r="AH29" i="126"/>
  <c r="X29" i="126"/>
  <c r="W29" i="126"/>
  <c r="V29" i="126"/>
  <c r="U29" i="126"/>
  <c r="T29" i="126"/>
  <c r="S29" i="126"/>
  <c r="R29" i="126"/>
  <c r="Q29" i="126"/>
  <c r="AO28" i="126"/>
  <c r="AN28" i="126"/>
  <c r="AM28" i="126"/>
  <c r="AL28" i="126"/>
  <c r="AK28" i="126"/>
  <c r="AJ28" i="126"/>
  <c r="AI28" i="126"/>
  <c r="AH28" i="126"/>
  <c r="X28" i="126"/>
  <c r="W28" i="126"/>
  <c r="V28" i="126"/>
  <c r="U28" i="126"/>
  <c r="T28" i="126"/>
  <c r="S28" i="126"/>
  <c r="R28" i="126"/>
  <c r="Q28" i="126"/>
  <c r="AO27" i="126"/>
  <c r="AN27" i="126"/>
  <c r="AM27" i="126"/>
  <c r="AL27" i="126"/>
  <c r="AK27" i="126"/>
  <c r="AJ27" i="126"/>
  <c r="AI27" i="126"/>
  <c r="AH27" i="126"/>
  <c r="X27" i="126"/>
  <c r="W27" i="126"/>
  <c r="V27" i="126"/>
  <c r="U27" i="126"/>
  <c r="T27" i="126"/>
  <c r="S27" i="126"/>
  <c r="R27" i="126"/>
  <c r="Q27" i="126"/>
  <c r="AO26" i="126"/>
  <c r="AN26" i="126"/>
  <c r="AM26" i="126"/>
  <c r="AL26" i="126"/>
  <c r="AK26" i="126"/>
  <c r="AJ26" i="126"/>
  <c r="AI26" i="126"/>
  <c r="AH26" i="126"/>
  <c r="X26" i="126"/>
  <c r="W26" i="126"/>
  <c r="V26" i="126"/>
  <c r="U26" i="126"/>
  <c r="T26" i="126"/>
  <c r="S26" i="126"/>
  <c r="R26" i="126"/>
  <c r="Q26" i="126"/>
  <c r="AO25" i="126"/>
  <c r="AN25" i="126"/>
  <c r="AM25" i="126"/>
  <c r="AL25" i="126"/>
  <c r="AK25" i="126"/>
  <c r="AJ25" i="126"/>
  <c r="AI25" i="126"/>
  <c r="AH25" i="126"/>
  <c r="X25" i="126"/>
  <c r="W25" i="126"/>
  <c r="V25" i="126"/>
  <c r="U25" i="126"/>
  <c r="T25" i="126"/>
  <c r="S25" i="126"/>
  <c r="R25" i="126"/>
  <c r="Q25" i="126"/>
  <c r="AO24" i="126"/>
  <c r="AN24" i="126"/>
  <c r="AM24" i="126"/>
  <c r="AL24" i="126"/>
  <c r="AK24" i="126"/>
  <c r="AJ24" i="126"/>
  <c r="AI24" i="126"/>
  <c r="AH24" i="126"/>
  <c r="X24" i="126"/>
  <c r="W24" i="126"/>
  <c r="V24" i="126"/>
  <c r="U24" i="126"/>
  <c r="T24" i="126"/>
  <c r="S24" i="126"/>
  <c r="R24" i="126"/>
  <c r="Q24" i="126"/>
  <c r="AO23" i="126"/>
  <c r="AN23" i="126"/>
  <c r="AM23" i="126"/>
  <c r="AL23" i="126"/>
  <c r="AK23" i="126"/>
  <c r="AJ23" i="126"/>
  <c r="AI23" i="126"/>
  <c r="AH23" i="126"/>
  <c r="X23" i="126"/>
  <c r="W23" i="126"/>
  <c r="V23" i="126"/>
  <c r="U23" i="126"/>
  <c r="T23" i="126"/>
  <c r="S23" i="126"/>
  <c r="R23" i="126"/>
  <c r="Q23" i="126"/>
  <c r="AO22" i="126"/>
  <c r="AN22" i="126"/>
  <c r="AM22" i="126"/>
  <c r="AL22" i="126"/>
  <c r="AK22" i="126"/>
  <c r="AJ22" i="126"/>
  <c r="AI22" i="126"/>
  <c r="AH22" i="126"/>
  <c r="X22" i="126"/>
  <c r="W22" i="126"/>
  <c r="V22" i="126"/>
  <c r="U22" i="126"/>
  <c r="T22" i="126"/>
  <c r="S22" i="126"/>
  <c r="R22" i="126"/>
  <c r="Q22" i="126"/>
  <c r="AO21" i="126"/>
  <c r="AN21" i="126"/>
  <c r="AM21" i="126"/>
  <c r="AL21" i="126"/>
  <c r="AK21" i="126"/>
  <c r="AJ21" i="126"/>
  <c r="AI21" i="126"/>
  <c r="AH21" i="126"/>
  <c r="X21" i="126"/>
  <c r="W21" i="126"/>
  <c r="V21" i="126"/>
  <c r="U21" i="126"/>
  <c r="T21" i="126"/>
  <c r="S21" i="126"/>
  <c r="R21" i="126"/>
  <c r="Q21" i="126"/>
  <c r="AO20" i="126"/>
  <c r="AN20" i="126"/>
  <c r="AM20" i="126"/>
  <c r="AL20" i="126"/>
  <c r="AK20" i="126"/>
  <c r="AJ20" i="126"/>
  <c r="AI20" i="126"/>
  <c r="AH20" i="126"/>
  <c r="X20" i="126"/>
  <c r="W20" i="126"/>
  <c r="V20" i="126"/>
  <c r="U20" i="126"/>
  <c r="T20" i="126"/>
  <c r="S20" i="126"/>
  <c r="R20" i="126"/>
  <c r="Q20" i="126"/>
  <c r="AO19" i="126"/>
  <c r="AN19" i="126"/>
  <c r="AM19" i="126"/>
  <c r="AL19" i="126"/>
  <c r="AK19" i="126"/>
  <c r="AJ19" i="126"/>
  <c r="AI19" i="126"/>
  <c r="AH19" i="126"/>
  <c r="X19" i="126"/>
  <c r="W19" i="126"/>
  <c r="V19" i="126"/>
  <c r="U19" i="126"/>
  <c r="T19" i="126"/>
  <c r="S19" i="126"/>
  <c r="R19" i="126"/>
  <c r="Q19" i="126"/>
  <c r="AO18" i="126"/>
  <c r="AN18" i="126"/>
  <c r="AM18" i="126"/>
  <c r="AL18" i="126"/>
  <c r="AK18" i="126"/>
  <c r="AJ18" i="126"/>
  <c r="AI18" i="126"/>
  <c r="AH18" i="126"/>
  <c r="X18" i="126"/>
  <c r="W18" i="126"/>
  <c r="V18" i="126"/>
  <c r="U18" i="126"/>
  <c r="T18" i="126"/>
  <c r="S18" i="126"/>
  <c r="R18" i="126"/>
  <c r="Q18" i="126"/>
  <c r="AO17" i="126"/>
  <c r="AN17" i="126"/>
  <c r="AM17" i="126"/>
  <c r="AL17" i="126"/>
  <c r="AK17" i="126"/>
  <c r="AJ17" i="126"/>
  <c r="AI17" i="126"/>
  <c r="AH17" i="126"/>
  <c r="X17" i="126"/>
  <c r="W17" i="126"/>
  <c r="V17" i="126"/>
  <c r="U17" i="126"/>
  <c r="T17" i="126"/>
  <c r="S17" i="126"/>
  <c r="R17" i="126"/>
  <c r="Q17" i="126"/>
  <c r="AO16" i="126"/>
  <c r="AN16" i="126"/>
  <c r="AM16" i="126"/>
  <c r="AL16" i="126"/>
  <c r="AK16" i="126"/>
  <c r="AJ16" i="126"/>
  <c r="AI16" i="126"/>
  <c r="AH16" i="126"/>
  <c r="X16" i="126"/>
  <c r="W16" i="126"/>
  <c r="V16" i="126"/>
  <c r="U16" i="126"/>
  <c r="T16" i="126"/>
  <c r="S16" i="126"/>
  <c r="R16" i="126"/>
  <c r="Q16" i="126"/>
  <c r="AO15" i="126"/>
  <c r="AN15" i="126"/>
  <c r="AM15" i="126"/>
  <c r="AL15" i="126"/>
  <c r="AK15" i="126"/>
  <c r="AJ15" i="126"/>
  <c r="AI15" i="126"/>
  <c r="AH15" i="126"/>
  <c r="X15" i="126"/>
  <c r="W15" i="126"/>
  <c r="V15" i="126"/>
  <c r="U15" i="126"/>
  <c r="T15" i="126"/>
  <c r="S15" i="126"/>
  <c r="R15" i="126"/>
  <c r="Q15" i="126"/>
  <c r="AO14" i="126"/>
  <c r="AN14" i="126"/>
  <c r="AM14" i="126"/>
  <c r="AL14" i="126"/>
  <c r="AK14" i="126"/>
  <c r="AJ14" i="126"/>
  <c r="AI14" i="126"/>
  <c r="AH14" i="126"/>
  <c r="X14" i="126"/>
  <c r="W14" i="126"/>
  <c r="V14" i="126"/>
  <c r="U14" i="126"/>
  <c r="T14" i="126"/>
  <c r="S14" i="126"/>
  <c r="R14" i="126"/>
  <c r="Q14" i="126"/>
  <c r="AO13" i="126"/>
  <c r="AN13" i="126"/>
  <c r="AM13" i="126"/>
  <c r="AL13" i="126"/>
  <c r="AK13" i="126"/>
  <c r="AJ13" i="126"/>
  <c r="AI13" i="126"/>
  <c r="AH13" i="126"/>
  <c r="X13" i="126"/>
  <c r="W13" i="126"/>
  <c r="V13" i="126"/>
  <c r="U13" i="126"/>
  <c r="T13" i="126"/>
  <c r="S13" i="126"/>
  <c r="R13" i="126"/>
  <c r="Q13" i="126"/>
  <c r="AO12" i="126"/>
  <c r="AN12" i="126"/>
  <c r="AM12" i="126"/>
  <c r="AL12" i="126"/>
  <c r="AK12" i="126"/>
  <c r="AJ12" i="126"/>
  <c r="AI12" i="126"/>
  <c r="AH12" i="126"/>
  <c r="X12" i="126"/>
  <c r="W12" i="126"/>
  <c r="V12" i="126"/>
  <c r="U12" i="126"/>
  <c r="T12" i="126"/>
  <c r="S12" i="126"/>
  <c r="R12" i="126"/>
  <c r="Q12" i="126"/>
  <c r="AO11" i="126"/>
  <c r="AN11" i="126"/>
  <c r="AM11" i="126"/>
  <c r="AL11" i="126"/>
  <c r="AK11" i="126"/>
  <c r="AJ11" i="126"/>
  <c r="AI11" i="126"/>
  <c r="AH11" i="126"/>
  <c r="X11" i="126"/>
  <c r="W11" i="126"/>
  <c r="V11" i="126"/>
  <c r="U11" i="126"/>
  <c r="T11" i="126"/>
  <c r="S11" i="126"/>
  <c r="R11" i="126"/>
  <c r="Q11" i="126"/>
  <c r="AO10" i="126"/>
  <c r="AN10" i="126"/>
  <c r="AM10" i="126"/>
  <c r="AL10" i="126"/>
  <c r="AK10" i="126"/>
  <c r="AJ10" i="126"/>
  <c r="AI10" i="126"/>
  <c r="AH10" i="126"/>
  <c r="X10" i="126"/>
  <c r="W10" i="126"/>
  <c r="V10" i="126"/>
  <c r="U10" i="126"/>
  <c r="T10" i="126"/>
  <c r="S10" i="126"/>
  <c r="R10" i="126"/>
  <c r="Q10" i="126"/>
  <c r="AO9" i="126"/>
  <c r="AN9" i="126"/>
  <c r="AM9" i="126"/>
  <c r="AL9" i="126"/>
  <c r="AK9" i="126"/>
  <c r="AJ9" i="126"/>
  <c r="AI9" i="126"/>
  <c r="AH9" i="126"/>
  <c r="X9" i="126"/>
  <c r="W9" i="126"/>
  <c r="V9" i="126"/>
  <c r="U9" i="126"/>
  <c r="T9" i="126"/>
  <c r="S9" i="126"/>
  <c r="R9" i="126"/>
  <c r="Q9" i="126"/>
  <c r="AO8" i="126"/>
  <c r="AN8" i="126"/>
  <c r="AM8" i="126"/>
  <c r="AL8" i="126"/>
  <c r="AK8" i="126"/>
  <c r="AJ8" i="126"/>
  <c r="AJ6" i="126" s="1"/>
  <c r="AI8" i="126"/>
  <c r="AH8" i="126"/>
  <c r="X8" i="126"/>
  <c r="W8" i="126"/>
  <c r="V8" i="126"/>
  <c r="U8" i="126"/>
  <c r="T8" i="126"/>
  <c r="S8" i="126"/>
  <c r="S6" i="126" s="1"/>
  <c r="R8" i="126"/>
  <c r="Q8" i="126"/>
  <c r="AO6" i="126"/>
  <c r="AN6" i="126"/>
  <c r="AM6" i="126"/>
  <c r="AL6" i="126"/>
  <c r="AK6" i="126"/>
  <c r="AI6" i="126"/>
  <c r="AH6" i="126"/>
  <c r="AG6" i="126"/>
  <c r="AF6" i="126"/>
  <c r="AE6" i="126"/>
  <c r="AD6" i="126"/>
  <c r="AC6" i="126"/>
  <c r="AB6" i="126"/>
  <c r="AA6" i="126"/>
  <c r="Z6" i="126"/>
  <c r="X6" i="126"/>
  <c r="W6" i="126"/>
  <c r="V6" i="126"/>
  <c r="U6" i="126"/>
  <c r="T6" i="126"/>
  <c r="R6" i="126"/>
  <c r="Q6" i="126"/>
  <c r="P6" i="126"/>
  <c r="O6" i="126"/>
  <c r="N6" i="126"/>
  <c r="M6" i="126"/>
  <c r="L6" i="126"/>
  <c r="K6" i="126"/>
  <c r="J6" i="126"/>
  <c r="I6" i="126"/>
  <c r="G6" i="126"/>
  <c r="F6" i="126"/>
  <c r="D6" i="126"/>
  <c r="C6" i="126"/>
  <c r="C1" i="126"/>
  <c r="D1" i="126" s="1"/>
  <c r="E1" i="126" s="1"/>
  <c r="F1" i="126" s="1"/>
  <c r="G1" i="126" s="1"/>
  <c r="H1" i="126" s="1"/>
  <c r="I1" i="126" s="1"/>
  <c r="J1" i="126" s="1"/>
  <c r="K1" i="126" s="1"/>
  <c r="L1" i="126" s="1"/>
  <c r="M1" i="126" s="1"/>
  <c r="N1" i="126" s="1"/>
  <c r="O1" i="126" s="1"/>
  <c r="P1" i="126" s="1"/>
  <c r="Q1" i="126" s="1"/>
  <c r="R1" i="126" s="1"/>
  <c r="S1" i="126" s="1"/>
  <c r="T1" i="126" s="1"/>
  <c r="U1" i="126" s="1"/>
  <c r="V1" i="126" s="1"/>
  <c r="W1" i="126" s="1"/>
  <c r="X1" i="126" s="1"/>
  <c r="Y1" i="126" s="1"/>
  <c r="Z1" i="126" s="1"/>
  <c r="AA1" i="126" s="1"/>
  <c r="AB1" i="126" s="1"/>
  <c r="AC1" i="126" s="1"/>
  <c r="AD1" i="126" s="1"/>
  <c r="AE1" i="126" s="1"/>
  <c r="AF1" i="126" s="1"/>
  <c r="AG1" i="126" s="1"/>
  <c r="AH1" i="126" s="1"/>
  <c r="AI1" i="126" s="1"/>
  <c r="AJ1" i="126" s="1"/>
  <c r="AK1" i="126" s="1"/>
  <c r="AL1" i="126" s="1"/>
  <c r="AM1" i="126" s="1"/>
  <c r="AN1" i="126" s="1"/>
  <c r="AO1" i="126" s="1"/>
  <c r="B1" i="126"/>
  <c r="AO309" i="25"/>
  <c r="AN309" i="25"/>
  <c r="AM309" i="25"/>
  <c r="AL309" i="25"/>
  <c r="AK309" i="25"/>
  <c r="AJ309" i="25"/>
  <c r="AI309" i="25"/>
  <c r="AH309" i="25"/>
  <c r="X309" i="25"/>
  <c r="W309" i="25"/>
  <c r="V309" i="25"/>
  <c r="U309" i="25"/>
  <c r="T309" i="25"/>
  <c r="S309" i="25"/>
  <c r="R309" i="25"/>
  <c r="Q309" i="25"/>
  <c r="AO308" i="25"/>
  <c r="AN308" i="25"/>
  <c r="AM308" i="25"/>
  <c r="AL308" i="25"/>
  <c r="AK308" i="25"/>
  <c r="AJ308" i="25"/>
  <c r="AI308" i="25"/>
  <c r="AH308" i="25"/>
  <c r="X308" i="25"/>
  <c r="W308" i="25"/>
  <c r="V308" i="25"/>
  <c r="U308" i="25"/>
  <c r="T308" i="25"/>
  <c r="S308" i="25"/>
  <c r="R308" i="25"/>
  <c r="Q308" i="25"/>
  <c r="AO307" i="25"/>
  <c r="AN307" i="25"/>
  <c r="AM307" i="25"/>
  <c r="AL307" i="25"/>
  <c r="AK307" i="25"/>
  <c r="AJ307" i="25"/>
  <c r="AI307" i="25"/>
  <c r="AH307" i="25"/>
  <c r="X307" i="25"/>
  <c r="W307" i="25"/>
  <c r="V307" i="25"/>
  <c r="U307" i="25"/>
  <c r="T307" i="25"/>
  <c r="S307" i="25"/>
  <c r="R307" i="25"/>
  <c r="Q307" i="25"/>
  <c r="AO306" i="25"/>
  <c r="AN306" i="25"/>
  <c r="AM306" i="25"/>
  <c r="AL306" i="25"/>
  <c r="AK306" i="25"/>
  <c r="AJ306" i="25"/>
  <c r="AI306" i="25"/>
  <c r="AH306" i="25"/>
  <c r="X306" i="25"/>
  <c r="W306" i="25"/>
  <c r="V306" i="25"/>
  <c r="U306" i="25"/>
  <c r="T306" i="25"/>
  <c r="S306" i="25"/>
  <c r="R306" i="25"/>
  <c r="Q306" i="25"/>
  <c r="AO305" i="25"/>
  <c r="AN305" i="25"/>
  <c r="AM305" i="25"/>
  <c r="AL305" i="25"/>
  <c r="AK305" i="25"/>
  <c r="AJ305" i="25"/>
  <c r="AI305" i="25"/>
  <c r="AH305" i="25"/>
  <c r="X305" i="25"/>
  <c r="W305" i="25"/>
  <c r="V305" i="25"/>
  <c r="U305" i="25"/>
  <c r="T305" i="25"/>
  <c r="S305" i="25"/>
  <c r="R305" i="25"/>
  <c r="Q305" i="25"/>
  <c r="AO304" i="25"/>
  <c r="AN304" i="25"/>
  <c r="AM304" i="25"/>
  <c r="AL304" i="25"/>
  <c r="AK304" i="25"/>
  <c r="AJ304" i="25"/>
  <c r="AI304" i="25"/>
  <c r="AH304" i="25"/>
  <c r="X304" i="25"/>
  <c r="W304" i="25"/>
  <c r="V304" i="25"/>
  <c r="U304" i="25"/>
  <c r="T304" i="25"/>
  <c r="S304" i="25"/>
  <c r="R304" i="25"/>
  <c r="Q304" i="25"/>
  <c r="AO303" i="25"/>
  <c r="AN303" i="25"/>
  <c r="AM303" i="25"/>
  <c r="AL303" i="25"/>
  <c r="AK303" i="25"/>
  <c r="AJ303" i="25"/>
  <c r="AI303" i="25"/>
  <c r="AH303" i="25"/>
  <c r="X303" i="25"/>
  <c r="W303" i="25"/>
  <c r="V303" i="25"/>
  <c r="U303" i="25"/>
  <c r="T303" i="25"/>
  <c r="S303" i="25"/>
  <c r="R303" i="25"/>
  <c r="Q303" i="25"/>
  <c r="AO302" i="25"/>
  <c r="AN302" i="25"/>
  <c r="AM302" i="25"/>
  <c r="AL302" i="25"/>
  <c r="AK302" i="25"/>
  <c r="AJ302" i="25"/>
  <c r="AI302" i="25"/>
  <c r="AH302" i="25"/>
  <c r="X302" i="25"/>
  <c r="W302" i="25"/>
  <c r="V302" i="25"/>
  <c r="U302" i="25"/>
  <c r="T302" i="25"/>
  <c r="S302" i="25"/>
  <c r="R302" i="25"/>
  <c r="Q302" i="25"/>
  <c r="AO301" i="25"/>
  <c r="AN301" i="25"/>
  <c r="AM301" i="25"/>
  <c r="AL301" i="25"/>
  <c r="AK301" i="25"/>
  <c r="AJ301" i="25"/>
  <c r="AI301" i="25"/>
  <c r="AH301" i="25"/>
  <c r="X301" i="25"/>
  <c r="W301" i="25"/>
  <c r="V301" i="25"/>
  <c r="U301" i="25"/>
  <c r="T301" i="25"/>
  <c r="S301" i="25"/>
  <c r="R301" i="25"/>
  <c r="Q301" i="25"/>
  <c r="AO300" i="25"/>
  <c r="AN300" i="25"/>
  <c r="AM300" i="25"/>
  <c r="AL300" i="25"/>
  <c r="AK300" i="25"/>
  <c r="AJ300" i="25"/>
  <c r="AI300" i="25"/>
  <c r="AH300" i="25"/>
  <c r="X300" i="25"/>
  <c r="W300" i="25"/>
  <c r="V300" i="25"/>
  <c r="U300" i="25"/>
  <c r="T300" i="25"/>
  <c r="S300" i="25"/>
  <c r="R300" i="25"/>
  <c r="Q300" i="25"/>
  <c r="AO299" i="25"/>
  <c r="AN299" i="25"/>
  <c r="AM299" i="25"/>
  <c r="AL299" i="25"/>
  <c r="AK299" i="25"/>
  <c r="AJ299" i="25"/>
  <c r="AI299" i="25"/>
  <c r="AH299" i="25"/>
  <c r="X299" i="25"/>
  <c r="W299" i="25"/>
  <c r="V299" i="25"/>
  <c r="U299" i="25"/>
  <c r="T299" i="25"/>
  <c r="S299" i="25"/>
  <c r="R299" i="25"/>
  <c r="Q299" i="25"/>
  <c r="AO298" i="25"/>
  <c r="AN298" i="25"/>
  <c r="AM298" i="25"/>
  <c r="AL298" i="25"/>
  <c r="AK298" i="25"/>
  <c r="AJ298" i="25"/>
  <c r="AI298" i="25"/>
  <c r="AH298" i="25"/>
  <c r="X298" i="25"/>
  <c r="W298" i="25"/>
  <c r="V298" i="25"/>
  <c r="U298" i="25"/>
  <c r="T298" i="25"/>
  <c r="S298" i="25"/>
  <c r="R298" i="25"/>
  <c r="Q298" i="25"/>
  <c r="AO297" i="25"/>
  <c r="AN297" i="25"/>
  <c r="AM297" i="25"/>
  <c r="AL297" i="25"/>
  <c r="AK297" i="25"/>
  <c r="AJ297" i="25"/>
  <c r="AI297" i="25"/>
  <c r="AH297" i="25"/>
  <c r="X297" i="25"/>
  <c r="W297" i="25"/>
  <c r="V297" i="25"/>
  <c r="U297" i="25"/>
  <c r="T297" i="25"/>
  <c r="S297" i="25"/>
  <c r="R297" i="25"/>
  <c r="Q297" i="25"/>
  <c r="AO296" i="25"/>
  <c r="AN296" i="25"/>
  <c r="AM296" i="25"/>
  <c r="AL296" i="25"/>
  <c r="AK296" i="25"/>
  <c r="AJ296" i="25"/>
  <c r="AI296" i="25"/>
  <c r="AH296" i="25"/>
  <c r="X296" i="25"/>
  <c r="W296" i="25"/>
  <c r="V296" i="25"/>
  <c r="U296" i="25"/>
  <c r="T296" i="25"/>
  <c r="S296" i="25"/>
  <c r="R296" i="25"/>
  <c r="Q296" i="25"/>
  <c r="AO295" i="25"/>
  <c r="AN295" i="25"/>
  <c r="AM295" i="25"/>
  <c r="AL295" i="25"/>
  <c r="AK295" i="25"/>
  <c r="AJ295" i="25"/>
  <c r="AI295" i="25"/>
  <c r="AH295" i="25"/>
  <c r="X295" i="25"/>
  <c r="W295" i="25"/>
  <c r="V295" i="25"/>
  <c r="U295" i="25"/>
  <c r="T295" i="25"/>
  <c r="S295" i="25"/>
  <c r="R295" i="25"/>
  <c r="Q295" i="25"/>
  <c r="AO294" i="25"/>
  <c r="AN294" i="25"/>
  <c r="AM294" i="25"/>
  <c r="AL294" i="25"/>
  <c r="AK294" i="25"/>
  <c r="AJ294" i="25"/>
  <c r="AI294" i="25"/>
  <c r="AH294" i="25"/>
  <c r="X294" i="25"/>
  <c r="W294" i="25"/>
  <c r="V294" i="25"/>
  <c r="U294" i="25"/>
  <c r="T294" i="25"/>
  <c r="S294" i="25"/>
  <c r="R294" i="25"/>
  <c r="Q294" i="25"/>
  <c r="AO293" i="25"/>
  <c r="AN293" i="25"/>
  <c r="AM293" i="25"/>
  <c r="AL293" i="25"/>
  <c r="AK293" i="25"/>
  <c r="AJ293" i="25"/>
  <c r="AI293" i="25"/>
  <c r="AH293" i="25"/>
  <c r="X293" i="25"/>
  <c r="W293" i="25"/>
  <c r="V293" i="25"/>
  <c r="U293" i="25"/>
  <c r="T293" i="25"/>
  <c r="S293" i="25"/>
  <c r="R293" i="25"/>
  <c r="Q293" i="25"/>
  <c r="AO292" i="25"/>
  <c r="AN292" i="25"/>
  <c r="AM292" i="25"/>
  <c r="AL292" i="25"/>
  <c r="AK292" i="25"/>
  <c r="AJ292" i="25"/>
  <c r="AI292" i="25"/>
  <c r="AH292" i="25"/>
  <c r="X292" i="25"/>
  <c r="W292" i="25"/>
  <c r="V292" i="25"/>
  <c r="U292" i="25"/>
  <c r="T292" i="25"/>
  <c r="S292" i="25"/>
  <c r="R292" i="25"/>
  <c r="Q292" i="25"/>
  <c r="AO291" i="25"/>
  <c r="AN291" i="25"/>
  <c r="AM291" i="25"/>
  <c r="AL291" i="25"/>
  <c r="AK291" i="25"/>
  <c r="AJ291" i="25"/>
  <c r="AI291" i="25"/>
  <c r="AH291" i="25"/>
  <c r="X291" i="25"/>
  <c r="W291" i="25"/>
  <c r="V291" i="25"/>
  <c r="U291" i="25"/>
  <c r="T291" i="25"/>
  <c r="S291" i="25"/>
  <c r="R291" i="25"/>
  <c r="Q291" i="25"/>
  <c r="AO290" i="25"/>
  <c r="AN290" i="25"/>
  <c r="AM290" i="25"/>
  <c r="AL290" i="25"/>
  <c r="AK290" i="25"/>
  <c r="AJ290" i="25"/>
  <c r="AI290" i="25"/>
  <c r="AH290" i="25"/>
  <c r="X290" i="25"/>
  <c r="W290" i="25"/>
  <c r="V290" i="25"/>
  <c r="U290" i="25"/>
  <c r="T290" i="25"/>
  <c r="S290" i="25"/>
  <c r="R290" i="25"/>
  <c r="Q290" i="25"/>
  <c r="AO289" i="25"/>
  <c r="AN289" i="25"/>
  <c r="AM289" i="25"/>
  <c r="AL289" i="25"/>
  <c r="AK289" i="25"/>
  <c r="AJ289" i="25"/>
  <c r="AI289" i="25"/>
  <c r="AH289" i="25"/>
  <c r="X289" i="25"/>
  <c r="W289" i="25"/>
  <c r="V289" i="25"/>
  <c r="U289" i="25"/>
  <c r="T289" i="25"/>
  <c r="S289" i="25"/>
  <c r="R289" i="25"/>
  <c r="Q289" i="25"/>
  <c r="AO288" i="25"/>
  <c r="AN288" i="25"/>
  <c r="AM288" i="25"/>
  <c r="AL288" i="25"/>
  <c r="AK288" i="25"/>
  <c r="AJ288" i="25"/>
  <c r="AI288" i="25"/>
  <c r="AH288" i="25"/>
  <c r="X288" i="25"/>
  <c r="W288" i="25"/>
  <c r="V288" i="25"/>
  <c r="U288" i="25"/>
  <c r="T288" i="25"/>
  <c r="S288" i="25"/>
  <c r="R288" i="25"/>
  <c r="Q288" i="25"/>
  <c r="AO287" i="25"/>
  <c r="AN287" i="25"/>
  <c r="AM287" i="25"/>
  <c r="AL287" i="25"/>
  <c r="AK287" i="25"/>
  <c r="AJ287" i="25"/>
  <c r="AI287" i="25"/>
  <c r="AH287" i="25"/>
  <c r="X287" i="25"/>
  <c r="W287" i="25"/>
  <c r="V287" i="25"/>
  <c r="U287" i="25"/>
  <c r="T287" i="25"/>
  <c r="S287" i="25"/>
  <c r="R287" i="25"/>
  <c r="Q287" i="25"/>
  <c r="AO286" i="25"/>
  <c r="AN286" i="25"/>
  <c r="AM286" i="25"/>
  <c r="AL286" i="25"/>
  <c r="AK286" i="25"/>
  <c r="AJ286" i="25"/>
  <c r="AI286" i="25"/>
  <c r="AH286" i="25"/>
  <c r="X286" i="25"/>
  <c r="W286" i="25"/>
  <c r="V286" i="25"/>
  <c r="U286" i="25"/>
  <c r="T286" i="25"/>
  <c r="S286" i="25"/>
  <c r="R286" i="25"/>
  <c r="Q286" i="25"/>
  <c r="AO285" i="25"/>
  <c r="AN285" i="25"/>
  <c r="AM285" i="25"/>
  <c r="AL285" i="25"/>
  <c r="AK285" i="25"/>
  <c r="AJ285" i="25"/>
  <c r="AI285" i="25"/>
  <c r="AH285" i="25"/>
  <c r="X285" i="25"/>
  <c r="W285" i="25"/>
  <c r="V285" i="25"/>
  <c r="U285" i="25"/>
  <c r="T285" i="25"/>
  <c r="S285" i="25"/>
  <c r="R285" i="25"/>
  <c r="Q285" i="25"/>
  <c r="AO284" i="25"/>
  <c r="AN284" i="25"/>
  <c r="AM284" i="25"/>
  <c r="AL284" i="25"/>
  <c r="AK284" i="25"/>
  <c r="AJ284" i="25"/>
  <c r="AI284" i="25"/>
  <c r="AH284" i="25"/>
  <c r="X284" i="25"/>
  <c r="W284" i="25"/>
  <c r="V284" i="25"/>
  <c r="U284" i="25"/>
  <c r="T284" i="25"/>
  <c r="S284" i="25"/>
  <c r="R284" i="25"/>
  <c r="Q284" i="25"/>
  <c r="AO283" i="25"/>
  <c r="AN283" i="25"/>
  <c r="AM283" i="25"/>
  <c r="AL283" i="25"/>
  <c r="AK283" i="25"/>
  <c r="AJ283" i="25"/>
  <c r="AI283" i="25"/>
  <c r="AH283" i="25"/>
  <c r="X283" i="25"/>
  <c r="W283" i="25"/>
  <c r="V283" i="25"/>
  <c r="U283" i="25"/>
  <c r="T283" i="25"/>
  <c r="S283" i="25"/>
  <c r="R283" i="25"/>
  <c r="Q283" i="25"/>
  <c r="AO282" i="25"/>
  <c r="AN282" i="25"/>
  <c r="AM282" i="25"/>
  <c r="AL282" i="25"/>
  <c r="AK282" i="25"/>
  <c r="AJ282" i="25"/>
  <c r="AI282" i="25"/>
  <c r="AH282" i="25"/>
  <c r="X282" i="25"/>
  <c r="W282" i="25"/>
  <c r="V282" i="25"/>
  <c r="U282" i="25"/>
  <c r="T282" i="25"/>
  <c r="S282" i="25"/>
  <c r="R282" i="25"/>
  <c r="Q282" i="25"/>
  <c r="AO281" i="25"/>
  <c r="AN281" i="25"/>
  <c r="AM281" i="25"/>
  <c r="AL281" i="25"/>
  <c r="AK281" i="25"/>
  <c r="AJ281" i="25"/>
  <c r="AI281" i="25"/>
  <c r="AH281" i="25"/>
  <c r="X281" i="25"/>
  <c r="W281" i="25"/>
  <c r="V281" i="25"/>
  <c r="U281" i="25"/>
  <c r="T281" i="25"/>
  <c r="S281" i="25"/>
  <c r="R281" i="25"/>
  <c r="Q281" i="25"/>
  <c r="AO280" i="25"/>
  <c r="AN280" i="25"/>
  <c r="AM280" i="25"/>
  <c r="AL280" i="25"/>
  <c r="AK280" i="25"/>
  <c r="AJ280" i="25"/>
  <c r="AI280" i="25"/>
  <c r="AH280" i="25"/>
  <c r="X280" i="25"/>
  <c r="W280" i="25"/>
  <c r="V280" i="25"/>
  <c r="U280" i="25"/>
  <c r="T280" i="25"/>
  <c r="S280" i="25"/>
  <c r="R280" i="25"/>
  <c r="Q280" i="25"/>
  <c r="AO279" i="25"/>
  <c r="AN279" i="25"/>
  <c r="AM279" i="25"/>
  <c r="AL279" i="25"/>
  <c r="AK279" i="25"/>
  <c r="AJ279" i="25"/>
  <c r="AI279" i="25"/>
  <c r="AH279" i="25"/>
  <c r="X279" i="25"/>
  <c r="W279" i="25"/>
  <c r="V279" i="25"/>
  <c r="U279" i="25"/>
  <c r="T279" i="25"/>
  <c r="S279" i="25"/>
  <c r="R279" i="25"/>
  <c r="Q279" i="25"/>
  <c r="AO278" i="25"/>
  <c r="AN278" i="25"/>
  <c r="AM278" i="25"/>
  <c r="AL278" i="25"/>
  <c r="AK278" i="25"/>
  <c r="AJ278" i="25"/>
  <c r="AI278" i="25"/>
  <c r="AH278" i="25"/>
  <c r="X278" i="25"/>
  <c r="W278" i="25"/>
  <c r="V278" i="25"/>
  <c r="U278" i="25"/>
  <c r="T278" i="25"/>
  <c r="S278" i="25"/>
  <c r="R278" i="25"/>
  <c r="Q278" i="25"/>
  <c r="AO277" i="25"/>
  <c r="AN277" i="25"/>
  <c r="AM277" i="25"/>
  <c r="AL277" i="25"/>
  <c r="AK277" i="25"/>
  <c r="AJ277" i="25"/>
  <c r="AI277" i="25"/>
  <c r="AH277" i="25"/>
  <c r="X277" i="25"/>
  <c r="W277" i="25"/>
  <c r="V277" i="25"/>
  <c r="U277" i="25"/>
  <c r="T277" i="25"/>
  <c r="S277" i="25"/>
  <c r="R277" i="25"/>
  <c r="Q277" i="25"/>
  <c r="AO276" i="25"/>
  <c r="AN276" i="25"/>
  <c r="AM276" i="25"/>
  <c r="AL276" i="25"/>
  <c r="AK276" i="25"/>
  <c r="AJ276" i="25"/>
  <c r="AI276" i="25"/>
  <c r="AH276" i="25"/>
  <c r="X276" i="25"/>
  <c r="W276" i="25"/>
  <c r="V276" i="25"/>
  <c r="U276" i="25"/>
  <c r="T276" i="25"/>
  <c r="S276" i="25"/>
  <c r="R276" i="25"/>
  <c r="Q276" i="25"/>
  <c r="AO275" i="25"/>
  <c r="AN275" i="25"/>
  <c r="AM275" i="25"/>
  <c r="AL275" i="25"/>
  <c r="AK275" i="25"/>
  <c r="AJ275" i="25"/>
  <c r="AI275" i="25"/>
  <c r="AH275" i="25"/>
  <c r="X275" i="25"/>
  <c r="W275" i="25"/>
  <c r="V275" i="25"/>
  <c r="U275" i="25"/>
  <c r="T275" i="25"/>
  <c r="S275" i="25"/>
  <c r="R275" i="25"/>
  <c r="Q275" i="25"/>
  <c r="AO274" i="25"/>
  <c r="AN274" i="25"/>
  <c r="AM274" i="25"/>
  <c r="AL274" i="25"/>
  <c r="AK274" i="25"/>
  <c r="AJ274" i="25"/>
  <c r="AI274" i="25"/>
  <c r="AH274" i="25"/>
  <c r="X274" i="25"/>
  <c r="W274" i="25"/>
  <c r="V274" i="25"/>
  <c r="U274" i="25"/>
  <c r="T274" i="25"/>
  <c r="S274" i="25"/>
  <c r="R274" i="25"/>
  <c r="Q274" i="25"/>
  <c r="AO273" i="25"/>
  <c r="AN273" i="25"/>
  <c r="AM273" i="25"/>
  <c r="AL273" i="25"/>
  <c r="AK273" i="25"/>
  <c r="AJ273" i="25"/>
  <c r="AI273" i="25"/>
  <c r="AH273" i="25"/>
  <c r="X273" i="25"/>
  <c r="W273" i="25"/>
  <c r="V273" i="25"/>
  <c r="U273" i="25"/>
  <c r="T273" i="25"/>
  <c r="S273" i="25"/>
  <c r="R273" i="25"/>
  <c r="Q273" i="25"/>
  <c r="AO272" i="25"/>
  <c r="AN272" i="25"/>
  <c r="AM272" i="25"/>
  <c r="AL272" i="25"/>
  <c r="AK272" i="25"/>
  <c r="AJ272" i="25"/>
  <c r="AI272" i="25"/>
  <c r="AH272" i="25"/>
  <c r="X272" i="25"/>
  <c r="W272" i="25"/>
  <c r="V272" i="25"/>
  <c r="U272" i="25"/>
  <c r="T272" i="25"/>
  <c r="S272" i="25"/>
  <c r="R272" i="25"/>
  <c r="Q272" i="25"/>
  <c r="AO271" i="25"/>
  <c r="AN271" i="25"/>
  <c r="AM271" i="25"/>
  <c r="AL271" i="25"/>
  <c r="AK271" i="25"/>
  <c r="AJ271" i="25"/>
  <c r="AI271" i="25"/>
  <c r="AH271" i="25"/>
  <c r="X271" i="25"/>
  <c r="W271" i="25"/>
  <c r="V271" i="25"/>
  <c r="U271" i="25"/>
  <c r="T271" i="25"/>
  <c r="S271" i="25"/>
  <c r="R271" i="25"/>
  <c r="Q271" i="25"/>
  <c r="AO270" i="25"/>
  <c r="AN270" i="25"/>
  <c r="AM270" i="25"/>
  <c r="AL270" i="25"/>
  <c r="AK270" i="25"/>
  <c r="AJ270" i="25"/>
  <c r="AI270" i="25"/>
  <c r="AH270" i="25"/>
  <c r="X270" i="25"/>
  <c r="W270" i="25"/>
  <c r="V270" i="25"/>
  <c r="U270" i="25"/>
  <c r="T270" i="25"/>
  <c r="S270" i="25"/>
  <c r="R270" i="25"/>
  <c r="Q270" i="25"/>
  <c r="AO269" i="25"/>
  <c r="AN269" i="25"/>
  <c r="AM269" i="25"/>
  <c r="AL269" i="25"/>
  <c r="AK269" i="25"/>
  <c r="AJ269" i="25"/>
  <c r="AI269" i="25"/>
  <c r="AH269" i="25"/>
  <c r="X269" i="25"/>
  <c r="W269" i="25"/>
  <c r="V269" i="25"/>
  <c r="U269" i="25"/>
  <c r="T269" i="25"/>
  <c r="S269" i="25"/>
  <c r="R269" i="25"/>
  <c r="Q269" i="25"/>
  <c r="AO268" i="25"/>
  <c r="AN268" i="25"/>
  <c r="AM268" i="25"/>
  <c r="AL268" i="25"/>
  <c r="AK268" i="25"/>
  <c r="AJ268" i="25"/>
  <c r="AI268" i="25"/>
  <c r="AH268" i="25"/>
  <c r="X268" i="25"/>
  <c r="W268" i="25"/>
  <c r="V268" i="25"/>
  <c r="U268" i="25"/>
  <c r="T268" i="25"/>
  <c r="S268" i="25"/>
  <c r="R268" i="25"/>
  <c r="Q268" i="25"/>
  <c r="AO267" i="25"/>
  <c r="AN267" i="25"/>
  <c r="AM267" i="25"/>
  <c r="AL267" i="25"/>
  <c r="AK267" i="25"/>
  <c r="AJ267" i="25"/>
  <c r="AI267" i="25"/>
  <c r="AH267" i="25"/>
  <c r="X267" i="25"/>
  <c r="W267" i="25"/>
  <c r="V267" i="25"/>
  <c r="U267" i="25"/>
  <c r="T267" i="25"/>
  <c r="S267" i="25"/>
  <c r="R267" i="25"/>
  <c r="Q267" i="25"/>
  <c r="AO266" i="25"/>
  <c r="AN266" i="25"/>
  <c r="AM266" i="25"/>
  <c r="AL266" i="25"/>
  <c r="AK266" i="25"/>
  <c r="AJ266" i="25"/>
  <c r="AI266" i="25"/>
  <c r="AH266" i="25"/>
  <c r="X266" i="25"/>
  <c r="W266" i="25"/>
  <c r="V266" i="25"/>
  <c r="U266" i="25"/>
  <c r="T266" i="25"/>
  <c r="S266" i="25"/>
  <c r="R266" i="25"/>
  <c r="Q266" i="25"/>
  <c r="AO265" i="25"/>
  <c r="AN265" i="25"/>
  <c r="AM265" i="25"/>
  <c r="AL265" i="25"/>
  <c r="AK265" i="25"/>
  <c r="AJ265" i="25"/>
  <c r="AI265" i="25"/>
  <c r="AH265" i="25"/>
  <c r="X265" i="25"/>
  <c r="W265" i="25"/>
  <c r="V265" i="25"/>
  <c r="U265" i="25"/>
  <c r="T265" i="25"/>
  <c r="S265" i="25"/>
  <c r="R265" i="25"/>
  <c r="Q265" i="25"/>
  <c r="AO264" i="25"/>
  <c r="AN264" i="25"/>
  <c r="AM264" i="25"/>
  <c r="AL264" i="25"/>
  <c r="AK264" i="25"/>
  <c r="AJ264" i="25"/>
  <c r="AI264" i="25"/>
  <c r="AH264" i="25"/>
  <c r="X264" i="25"/>
  <c r="W264" i="25"/>
  <c r="V264" i="25"/>
  <c r="U264" i="25"/>
  <c r="T264" i="25"/>
  <c r="S264" i="25"/>
  <c r="R264" i="25"/>
  <c r="Q264" i="25"/>
  <c r="AO263" i="25"/>
  <c r="AN263" i="25"/>
  <c r="AM263" i="25"/>
  <c r="AL263" i="25"/>
  <c r="AK263" i="25"/>
  <c r="AJ263" i="25"/>
  <c r="AI263" i="25"/>
  <c r="AH263" i="25"/>
  <c r="X263" i="25"/>
  <c r="W263" i="25"/>
  <c r="V263" i="25"/>
  <c r="U263" i="25"/>
  <c r="T263" i="25"/>
  <c r="S263" i="25"/>
  <c r="R263" i="25"/>
  <c r="Q263" i="25"/>
  <c r="AO262" i="25"/>
  <c r="AN262" i="25"/>
  <c r="AM262" i="25"/>
  <c r="AL262" i="25"/>
  <c r="AK262" i="25"/>
  <c r="AJ262" i="25"/>
  <c r="AI262" i="25"/>
  <c r="AH262" i="25"/>
  <c r="X262" i="25"/>
  <c r="W262" i="25"/>
  <c r="V262" i="25"/>
  <c r="U262" i="25"/>
  <c r="T262" i="25"/>
  <c r="S262" i="25"/>
  <c r="R262" i="25"/>
  <c r="Q262" i="25"/>
  <c r="AO261" i="25"/>
  <c r="AN261" i="25"/>
  <c r="AM261" i="25"/>
  <c r="AL261" i="25"/>
  <c r="AK261" i="25"/>
  <c r="AJ261" i="25"/>
  <c r="AI261" i="25"/>
  <c r="AH261" i="25"/>
  <c r="X261" i="25"/>
  <c r="W261" i="25"/>
  <c r="V261" i="25"/>
  <c r="U261" i="25"/>
  <c r="T261" i="25"/>
  <c r="S261" i="25"/>
  <c r="R261" i="25"/>
  <c r="Q261" i="25"/>
  <c r="AO260" i="25"/>
  <c r="AN260" i="25"/>
  <c r="AM260" i="25"/>
  <c r="AL260" i="25"/>
  <c r="AK260" i="25"/>
  <c r="AJ260" i="25"/>
  <c r="AI260" i="25"/>
  <c r="AH260" i="25"/>
  <c r="X260" i="25"/>
  <c r="W260" i="25"/>
  <c r="V260" i="25"/>
  <c r="U260" i="25"/>
  <c r="T260" i="25"/>
  <c r="S260" i="25"/>
  <c r="R260" i="25"/>
  <c r="Q260" i="25"/>
  <c r="AO259" i="25"/>
  <c r="AN259" i="25"/>
  <c r="AM259" i="25"/>
  <c r="AL259" i="25"/>
  <c r="AK259" i="25"/>
  <c r="AJ259" i="25"/>
  <c r="AI259" i="25"/>
  <c r="AH259" i="25"/>
  <c r="X259" i="25"/>
  <c r="W259" i="25"/>
  <c r="V259" i="25"/>
  <c r="U259" i="25"/>
  <c r="T259" i="25"/>
  <c r="S259" i="25"/>
  <c r="R259" i="25"/>
  <c r="Q259" i="25"/>
  <c r="AO258" i="25"/>
  <c r="AN258" i="25"/>
  <c r="AM258" i="25"/>
  <c r="AL258" i="25"/>
  <c r="AK258" i="25"/>
  <c r="AJ258" i="25"/>
  <c r="AI258" i="25"/>
  <c r="AH258" i="25"/>
  <c r="X258" i="25"/>
  <c r="W258" i="25"/>
  <c r="V258" i="25"/>
  <c r="U258" i="25"/>
  <c r="T258" i="25"/>
  <c r="S258" i="25"/>
  <c r="R258" i="25"/>
  <c r="Q258" i="25"/>
  <c r="AO257" i="25"/>
  <c r="AN257" i="25"/>
  <c r="AM257" i="25"/>
  <c r="AL257" i="25"/>
  <c r="AK257" i="25"/>
  <c r="AJ257" i="25"/>
  <c r="AI257" i="25"/>
  <c r="AH257" i="25"/>
  <c r="X257" i="25"/>
  <c r="W257" i="25"/>
  <c r="V257" i="25"/>
  <c r="U257" i="25"/>
  <c r="T257" i="25"/>
  <c r="S257" i="25"/>
  <c r="R257" i="25"/>
  <c r="Q257" i="25"/>
  <c r="AO256" i="25"/>
  <c r="AN256" i="25"/>
  <c r="AM256" i="25"/>
  <c r="AL256" i="25"/>
  <c r="AK256" i="25"/>
  <c r="AJ256" i="25"/>
  <c r="AI256" i="25"/>
  <c r="AH256" i="25"/>
  <c r="X256" i="25"/>
  <c r="W256" i="25"/>
  <c r="V256" i="25"/>
  <c r="U256" i="25"/>
  <c r="T256" i="25"/>
  <c r="S256" i="25"/>
  <c r="R256" i="25"/>
  <c r="Q256" i="25"/>
  <c r="AO255" i="25"/>
  <c r="AN255" i="25"/>
  <c r="AM255" i="25"/>
  <c r="AL255" i="25"/>
  <c r="AK255" i="25"/>
  <c r="AJ255" i="25"/>
  <c r="AI255" i="25"/>
  <c r="AH255" i="25"/>
  <c r="X255" i="25"/>
  <c r="W255" i="25"/>
  <c r="V255" i="25"/>
  <c r="U255" i="25"/>
  <c r="T255" i="25"/>
  <c r="S255" i="25"/>
  <c r="R255" i="25"/>
  <c r="Q255" i="25"/>
  <c r="AO254" i="25"/>
  <c r="AN254" i="25"/>
  <c r="AM254" i="25"/>
  <c r="AL254" i="25"/>
  <c r="AK254" i="25"/>
  <c r="AJ254" i="25"/>
  <c r="AI254" i="25"/>
  <c r="AH254" i="25"/>
  <c r="X254" i="25"/>
  <c r="W254" i="25"/>
  <c r="V254" i="25"/>
  <c r="U254" i="25"/>
  <c r="T254" i="25"/>
  <c r="S254" i="25"/>
  <c r="R254" i="25"/>
  <c r="Q254" i="25"/>
  <c r="AO253" i="25"/>
  <c r="AN253" i="25"/>
  <c r="AM253" i="25"/>
  <c r="AL253" i="25"/>
  <c r="AK253" i="25"/>
  <c r="AJ253" i="25"/>
  <c r="AI253" i="25"/>
  <c r="AH253" i="25"/>
  <c r="X253" i="25"/>
  <c r="W253" i="25"/>
  <c r="V253" i="25"/>
  <c r="U253" i="25"/>
  <c r="T253" i="25"/>
  <c r="S253" i="25"/>
  <c r="R253" i="25"/>
  <c r="Q253" i="25"/>
  <c r="AO252" i="25"/>
  <c r="AN252" i="25"/>
  <c r="AM252" i="25"/>
  <c r="AL252" i="25"/>
  <c r="AK252" i="25"/>
  <c r="AJ252" i="25"/>
  <c r="AI252" i="25"/>
  <c r="AH252" i="25"/>
  <c r="X252" i="25"/>
  <c r="W252" i="25"/>
  <c r="V252" i="25"/>
  <c r="U252" i="25"/>
  <c r="T252" i="25"/>
  <c r="S252" i="25"/>
  <c r="R252" i="25"/>
  <c r="Q252" i="25"/>
  <c r="AO251" i="25"/>
  <c r="AN251" i="25"/>
  <c r="AM251" i="25"/>
  <c r="AL251" i="25"/>
  <c r="AK251" i="25"/>
  <c r="AJ251" i="25"/>
  <c r="AI251" i="25"/>
  <c r="AH251" i="25"/>
  <c r="X251" i="25"/>
  <c r="W251" i="25"/>
  <c r="V251" i="25"/>
  <c r="U251" i="25"/>
  <c r="T251" i="25"/>
  <c r="S251" i="25"/>
  <c r="R251" i="25"/>
  <c r="Q251" i="25"/>
  <c r="AO250" i="25"/>
  <c r="AN250" i="25"/>
  <c r="AM250" i="25"/>
  <c r="AL250" i="25"/>
  <c r="AK250" i="25"/>
  <c r="AJ250" i="25"/>
  <c r="AI250" i="25"/>
  <c r="AH250" i="25"/>
  <c r="X250" i="25"/>
  <c r="W250" i="25"/>
  <c r="V250" i="25"/>
  <c r="U250" i="25"/>
  <c r="T250" i="25"/>
  <c r="S250" i="25"/>
  <c r="R250" i="25"/>
  <c r="Q250" i="25"/>
  <c r="AO249" i="25"/>
  <c r="AN249" i="25"/>
  <c r="AM249" i="25"/>
  <c r="AL249" i="25"/>
  <c r="AK249" i="25"/>
  <c r="AJ249" i="25"/>
  <c r="AI249" i="25"/>
  <c r="AH249" i="25"/>
  <c r="X249" i="25"/>
  <c r="W249" i="25"/>
  <c r="V249" i="25"/>
  <c r="U249" i="25"/>
  <c r="T249" i="25"/>
  <c r="S249" i="25"/>
  <c r="R249" i="25"/>
  <c r="Q249" i="25"/>
  <c r="AO248" i="25"/>
  <c r="AN248" i="25"/>
  <c r="AM248" i="25"/>
  <c r="AL248" i="25"/>
  <c r="AK248" i="25"/>
  <c r="AJ248" i="25"/>
  <c r="AI248" i="25"/>
  <c r="AH248" i="25"/>
  <c r="X248" i="25"/>
  <c r="W248" i="25"/>
  <c r="V248" i="25"/>
  <c r="U248" i="25"/>
  <c r="T248" i="25"/>
  <c r="S248" i="25"/>
  <c r="R248" i="25"/>
  <c r="Q248" i="25"/>
  <c r="AO247" i="25"/>
  <c r="AN247" i="25"/>
  <c r="AM247" i="25"/>
  <c r="AL247" i="25"/>
  <c r="AK247" i="25"/>
  <c r="AJ247" i="25"/>
  <c r="AI247" i="25"/>
  <c r="AH247" i="25"/>
  <c r="X247" i="25"/>
  <c r="W247" i="25"/>
  <c r="V247" i="25"/>
  <c r="U247" i="25"/>
  <c r="T247" i="25"/>
  <c r="S247" i="25"/>
  <c r="R247" i="25"/>
  <c r="Q247" i="25"/>
  <c r="AO246" i="25"/>
  <c r="AN246" i="25"/>
  <c r="AM246" i="25"/>
  <c r="AL246" i="25"/>
  <c r="AK246" i="25"/>
  <c r="AJ246" i="25"/>
  <c r="AI246" i="25"/>
  <c r="AH246" i="25"/>
  <c r="X246" i="25"/>
  <c r="W246" i="25"/>
  <c r="V246" i="25"/>
  <c r="U246" i="25"/>
  <c r="T246" i="25"/>
  <c r="S246" i="25"/>
  <c r="R246" i="25"/>
  <c r="Q246" i="25"/>
  <c r="AO245" i="25"/>
  <c r="AN245" i="25"/>
  <c r="AM245" i="25"/>
  <c r="AL245" i="25"/>
  <c r="AK245" i="25"/>
  <c r="AJ245" i="25"/>
  <c r="AI245" i="25"/>
  <c r="AH245" i="25"/>
  <c r="X245" i="25"/>
  <c r="W245" i="25"/>
  <c r="V245" i="25"/>
  <c r="U245" i="25"/>
  <c r="T245" i="25"/>
  <c r="S245" i="25"/>
  <c r="R245" i="25"/>
  <c r="Q245" i="25"/>
  <c r="AO244" i="25"/>
  <c r="AN244" i="25"/>
  <c r="AM244" i="25"/>
  <c r="AL244" i="25"/>
  <c r="AK244" i="25"/>
  <c r="AJ244" i="25"/>
  <c r="AI244" i="25"/>
  <c r="AH244" i="25"/>
  <c r="X244" i="25"/>
  <c r="W244" i="25"/>
  <c r="V244" i="25"/>
  <c r="U244" i="25"/>
  <c r="T244" i="25"/>
  <c r="S244" i="25"/>
  <c r="R244" i="25"/>
  <c r="Q244" i="25"/>
  <c r="AO243" i="25"/>
  <c r="AN243" i="25"/>
  <c r="AM243" i="25"/>
  <c r="AL243" i="25"/>
  <c r="AK243" i="25"/>
  <c r="AJ243" i="25"/>
  <c r="AI243" i="25"/>
  <c r="AH243" i="25"/>
  <c r="X243" i="25"/>
  <c r="W243" i="25"/>
  <c r="V243" i="25"/>
  <c r="U243" i="25"/>
  <c r="T243" i="25"/>
  <c r="S243" i="25"/>
  <c r="R243" i="25"/>
  <c r="Q243" i="25"/>
  <c r="AO242" i="25"/>
  <c r="AN242" i="25"/>
  <c r="AM242" i="25"/>
  <c r="AL242" i="25"/>
  <c r="AK242" i="25"/>
  <c r="AJ242" i="25"/>
  <c r="AI242" i="25"/>
  <c r="AH242" i="25"/>
  <c r="X242" i="25"/>
  <c r="W242" i="25"/>
  <c r="V242" i="25"/>
  <c r="U242" i="25"/>
  <c r="T242" i="25"/>
  <c r="S242" i="25"/>
  <c r="R242" i="25"/>
  <c r="Q242" i="25"/>
  <c r="AO241" i="25"/>
  <c r="AN241" i="25"/>
  <c r="AM241" i="25"/>
  <c r="AL241" i="25"/>
  <c r="AK241" i="25"/>
  <c r="AJ241" i="25"/>
  <c r="AI241" i="25"/>
  <c r="AH241" i="25"/>
  <c r="X241" i="25"/>
  <c r="W241" i="25"/>
  <c r="V241" i="25"/>
  <c r="U241" i="25"/>
  <c r="T241" i="25"/>
  <c r="S241" i="25"/>
  <c r="R241" i="25"/>
  <c r="Q241" i="25"/>
  <c r="AO240" i="25"/>
  <c r="AN240" i="25"/>
  <c r="AM240" i="25"/>
  <c r="AL240" i="25"/>
  <c r="AK240" i="25"/>
  <c r="AJ240" i="25"/>
  <c r="AI240" i="25"/>
  <c r="AH240" i="25"/>
  <c r="X240" i="25"/>
  <c r="W240" i="25"/>
  <c r="V240" i="25"/>
  <c r="U240" i="25"/>
  <c r="T240" i="25"/>
  <c r="S240" i="25"/>
  <c r="R240" i="25"/>
  <c r="Q240" i="25"/>
  <c r="AO239" i="25"/>
  <c r="AN239" i="25"/>
  <c r="AM239" i="25"/>
  <c r="AL239" i="25"/>
  <c r="AK239" i="25"/>
  <c r="AJ239" i="25"/>
  <c r="AI239" i="25"/>
  <c r="AH239" i="25"/>
  <c r="X239" i="25"/>
  <c r="W239" i="25"/>
  <c r="V239" i="25"/>
  <c r="U239" i="25"/>
  <c r="T239" i="25"/>
  <c r="S239" i="25"/>
  <c r="R239" i="25"/>
  <c r="Q239" i="25"/>
  <c r="AO238" i="25"/>
  <c r="AN238" i="25"/>
  <c r="AM238" i="25"/>
  <c r="AL238" i="25"/>
  <c r="AK238" i="25"/>
  <c r="AJ238" i="25"/>
  <c r="AI238" i="25"/>
  <c r="AH238" i="25"/>
  <c r="X238" i="25"/>
  <c r="W238" i="25"/>
  <c r="V238" i="25"/>
  <c r="U238" i="25"/>
  <c r="T238" i="25"/>
  <c r="S238" i="25"/>
  <c r="R238" i="25"/>
  <c r="Q238" i="25"/>
  <c r="AO237" i="25"/>
  <c r="AN237" i="25"/>
  <c r="AM237" i="25"/>
  <c r="AL237" i="25"/>
  <c r="AK237" i="25"/>
  <c r="AJ237" i="25"/>
  <c r="AI237" i="25"/>
  <c r="AH237" i="25"/>
  <c r="X237" i="25"/>
  <c r="W237" i="25"/>
  <c r="V237" i="25"/>
  <c r="U237" i="25"/>
  <c r="T237" i="25"/>
  <c r="S237" i="25"/>
  <c r="R237" i="25"/>
  <c r="Q237" i="25"/>
  <c r="AO236" i="25"/>
  <c r="AN236" i="25"/>
  <c r="AM236" i="25"/>
  <c r="AL236" i="25"/>
  <c r="AK236" i="25"/>
  <c r="AJ236" i="25"/>
  <c r="AI236" i="25"/>
  <c r="AH236" i="25"/>
  <c r="X236" i="25"/>
  <c r="W236" i="25"/>
  <c r="V236" i="25"/>
  <c r="U236" i="25"/>
  <c r="T236" i="25"/>
  <c r="S236" i="25"/>
  <c r="R236" i="25"/>
  <c r="Q236" i="25"/>
  <c r="AO235" i="25"/>
  <c r="AN235" i="25"/>
  <c r="AM235" i="25"/>
  <c r="AL235" i="25"/>
  <c r="AK235" i="25"/>
  <c r="AJ235" i="25"/>
  <c r="AI235" i="25"/>
  <c r="AH235" i="25"/>
  <c r="X235" i="25"/>
  <c r="W235" i="25"/>
  <c r="V235" i="25"/>
  <c r="U235" i="25"/>
  <c r="T235" i="25"/>
  <c r="S235" i="25"/>
  <c r="R235" i="25"/>
  <c r="Q235" i="25"/>
  <c r="AO234" i="25"/>
  <c r="AN234" i="25"/>
  <c r="AM234" i="25"/>
  <c r="AL234" i="25"/>
  <c r="AK234" i="25"/>
  <c r="AJ234" i="25"/>
  <c r="AI234" i="25"/>
  <c r="AH234" i="25"/>
  <c r="X234" i="25"/>
  <c r="W234" i="25"/>
  <c r="V234" i="25"/>
  <c r="U234" i="25"/>
  <c r="T234" i="25"/>
  <c r="S234" i="25"/>
  <c r="R234" i="25"/>
  <c r="Q234" i="25"/>
  <c r="AO233" i="25"/>
  <c r="AN233" i="25"/>
  <c r="AM233" i="25"/>
  <c r="AL233" i="25"/>
  <c r="AK233" i="25"/>
  <c r="AJ233" i="25"/>
  <c r="AI233" i="25"/>
  <c r="AH233" i="25"/>
  <c r="X233" i="25"/>
  <c r="W233" i="25"/>
  <c r="V233" i="25"/>
  <c r="U233" i="25"/>
  <c r="T233" i="25"/>
  <c r="S233" i="25"/>
  <c r="R233" i="25"/>
  <c r="Q233" i="25"/>
  <c r="AO232" i="25"/>
  <c r="AN232" i="25"/>
  <c r="AM232" i="25"/>
  <c r="AL232" i="25"/>
  <c r="AK232" i="25"/>
  <c r="AJ232" i="25"/>
  <c r="AI232" i="25"/>
  <c r="AH232" i="25"/>
  <c r="X232" i="25"/>
  <c r="W232" i="25"/>
  <c r="V232" i="25"/>
  <c r="U232" i="25"/>
  <c r="T232" i="25"/>
  <c r="S232" i="25"/>
  <c r="R232" i="25"/>
  <c r="Q232" i="25"/>
  <c r="AO231" i="25"/>
  <c r="AN231" i="25"/>
  <c r="AM231" i="25"/>
  <c r="AL231" i="25"/>
  <c r="AK231" i="25"/>
  <c r="AJ231" i="25"/>
  <c r="AI231" i="25"/>
  <c r="AH231" i="25"/>
  <c r="X231" i="25"/>
  <c r="W231" i="25"/>
  <c r="V231" i="25"/>
  <c r="U231" i="25"/>
  <c r="T231" i="25"/>
  <c r="S231" i="25"/>
  <c r="R231" i="25"/>
  <c r="Q231" i="25"/>
  <c r="AO230" i="25"/>
  <c r="AN230" i="25"/>
  <c r="AM230" i="25"/>
  <c r="AL230" i="25"/>
  <c r="AK230" i="25"/>
  <c r="AJ230" i="25"/>
  <c r="AI230" i="25"/>
  <c r="AH230" i="25"/>
  <c r="X230" i="25"/>
  <c r="W230" i="25"/>
  <c r="V230" i="25"/>
  <c r="U230" i="25"/>
  <c r="T230" i="25"/>
  <c r="S230" i="25"/>
  <c r="R230" i="25"/>
  <c r="Q230" i="25"/>
  <c r="AO229" i="25"/>
  <c r="AN229" i="25"/>
  <c r="AM229" i="25"/>
  <c r="AL229" i="25"/>
  <c r="AK229" i="25"/>
  <c r="AJ229" i="25"/>
  <c r="AI229" i="25"/>
  <c r="AH229" i="25"/>
  <c r="X229" i="25"/>
  <c r="W229" i="25"/>
  <c r="V229" i="25"/>
  <c r="U229" i="25"/>
  <c r="T229" i="25"/>
  <c r="S229" i="25"/>
  <c r="R229" i="25"/>
  <c r="Q229" i="25"/>
  <c r="AO228" i="25"/>
  <c r="AN228" i="25"/>
  <c r="AM228" i="25"/>
  <c r="AL228" i="25"/>
  <c r="AK228" i="25"/>
  <c r="AJ228" i="25"/>
  <c r="AI228" i="25"/>
  <c r="AH228" i="25"/>
  <c r="X228" i="25"/>
  <c r="W228" i="25"/>
  <c r="V228" i="25"/>
  <c r="U228" i="25"/>
  <c r="T228" i="25"/>
  <c r="S228" i="25"/>
  <c r="R228" i="25"/>
  <c r="Q228" i="25"/>
  <c r="AO227" i="25"/>
  <c r="AN227" i="25"/>
  <c r="AM227" i="25"/>
  <c r="AL227" i="25"/>
  <c r="AK227" i="25"/>
  <c r="AJ227" i="25"/>
  <c r="AI227" i="25"/>
  <c r="AH227" i="25"/>
  <c r="X227" i="25"/>
  <c r="W227" i="25"/>
  <c r="V227" i="25"/>
  <c r="U227" i="25"/>
  <c r="T227" i="25"/>
  <c r="S227" i="25"/>
  <c r="R227" i="25"/>
  <c r="Q227" i="25"/>
  <c r="AO226" i="25"/>
  <c r="AN226" i="25"/>
  <c r="AM226" i="25"/>
  <c r="AL226" i="25"/>
  <c r="AK226" i="25"/>
  <c r="AJ226" i="25"/>
  <c r="AI226" i="25"/>
  <c r="AH226" i="25"/>
  <c r="X226" i="25"/>
  <c r="W226" i="25"/>
  <c r="V226" i="25"/>
  <c r="U226" i="25"/>
  <c r="T226" i="25"/>
  <c r="S226" i="25"/>
  <c r="R226" i="25"/>
  <c r="Q226" i="25"/>
  <c r="AO225" i="25"/>
  <c r="AN225" i="25"/>
  <c r="AM225" i="25"/>
  <c r="AL225" i="25"/>
  <c r="AK225" i="25"/>
  <c r="AJ225" i="25"/>
  <c r="AI225" i="25"/>
  <c r="AH225" i="25"/>
  <c r="X225" i="25"/>
  <c r="W225" i="25"/>
  <c r="V225" i="25"/>
  <c r="U225" i="25"/>
  <c r="T225" i="25"/>
  <c r="S225" i="25"/>
  <c r="R225" i="25"/>
  <c r="Q225" i="25"/>
  <c r="AO224" i="25"/>
  <c r="AN224" i="25"/>
  <c r="AM224" i="25"/>
  <c r="AL224" i="25"/>
  <c r="AK224" i="25"/>
  <c r="AJ224" i="25"/>
  <c r="AI224" i="25"/>
  <c r="AH224" i="25"/>
  <c r="X224" i="25"/>
  <c r="W224" i="25"/>
  <c r="V224" i="25"/>
  <c r="U224" i="25"/>
  <c r="T224" i="25"/>
  <c r="S224" i="25"/>
  <c r="R224" i="25"/>
  <c r="Q224" i="25"/>
  <c r="AO223" i="25"/>
  <c r="AN223" i="25"/>
  <c r="AM223" i="25"/>
  <c r="AL223" i="25"/>
  <c r="AK223" i="25"/>
  <c r="AJ223" i="25"/>
  <c r="AI223" i="25"/>
  <c r="AH223" i="25"/>
  <c r="X223" i="25"/>
  <c r="W223" i="25"/>
  <c r="V223" i="25"/>
  <c r="U223" i="25"/>
  <c r="T223" i="25"/>
  <c r="S223" i="25"/>
  <c r="R223" i="25"/>
  <c r="Q223" i="25"/>
  <c r="AO222" i="25"/>
  <c r="AN222" i="25"/>
  <c r="AM222" i="25"/>
  <c r="AL222" i="25"/>
  <c r="AK222" i="25"/>
  <c r="AJ222" i="25"/>
  <c r="AI222" i="25"/>
  <c r="AH222" i="25"/>
  <c r="X222" i="25"/>
  <c r="W222" i="25"/>
  <c r="V222" i="25"/>
  <c r="U222" i="25"/>
  <c r="T222" i="25"/>
  <c r="S222" i="25"/>
  <c r="R222" i="25"/>
  <c r="Q222" i="25"/>
  <c r="AO221" i="25"/>
  <c r="AN221" i="25"/>
  <c r="AM221" i="25"/>
  <c r="AL221" i="25"/>
  <c r="AK221" i="25"/>
  <c r="AJ221" i="25"/>
  <c r="AI221" i="25"/>
  <c r="AH221" i="25"/>
  <c r="X221" i="25"/>
  <c r="W221" i="25"/>
  <c r="V221" i="25"/>
  <c r="U221" i="25"/>
  <c r="T221" i="25"/>
  <c r="S221" i="25"/>
  <c r="R221" i="25"/>
  <c r="Q221" i="25"/>
  <c r="AO220" i="25"/>
  <c r="AN220" i="25"/>
  <c r="AM220" i="25"/>
  <c r="AL220" i="25"/>
  <c r="AK220" i="25"/>
  <c r="AJ220" i="25"/>
  <c r="AI220" i="25"/>
  <c r="AH220" i="25"/>
  <c r="X220" i="25"/>
  <c r="W220" i="25"/>
  <c r="V220" i="25"/>
  <c r="U220" i="25"/>
  <c r="T220" i="25"/>
  <c r="S220" i="25"/>
  <c r="R220" i="25"/>
  <c r="Q220" i="25"/>
  <c r="AO219" i="25"/>
  <c r="AN219" i="25"/>
  <c r="AM219" i="25"/>
  <c r="AL219" i="25"/>
  <c r="AK219" i="25"/>
  <c r="AJ219" i="25"/>
  <c r="AI219" i="25"/>
  <c r="AH219" i="25"/>
  <c r="X219" i="25"/>
  <c r="W219" i="25"/>
  <c r="V219" i="25"/>
  <c r="U219" i="25"/>
  <c r="T219" i="25"/>
  <c r="S219" i="25"/>
  <c r="R219" i="25"/>
  <c r="Q219" i="25"/>
  <c r="AO218" i="25"/>
  <c r="AN218" i="25"/>
  <c r="AM218" i="25"/>
  <c r="AL218" i="25"/>
  <c r="AK218" i="25"/>
  <c r="AJ218" i="25"/>
  <c r="AI218" i="25"/>
  <c r="AH218" i="25"/>
  <c r="X218" i="25"/>
  <c r="W218" i="25"/>
  <c r="V218" i="25"/>
  <c r="U218" i="25"/>
  <c r="T218" i="25"/>
  <c r="S218" i="25"/>
  <c r="R218" i="25"/>
  <c r="Q218" i="25"/>
  <c r="AO217" i="25"/>
  <c r="AN217" i="25"/>
  <c r="AM217" i="25"/>
  <c r="AL217" i="25"/>
  <c r="AK217" i="25"/>
  <c r="AJ217" i="25"/>
  <c r="AI217" i="25"/>
  <c r="AH217" i="25"/>
  <c r="X217" i="25"/>
  <c r="W217" i="25"/>
  <c r="V217" i="25"/>
  <c r="U217" i="25"/>
  <c r="T217" i="25"/>
  <c r="S217" i="25"/>
  <c r="R217" i="25"/>
  <c r="Q217" i="25"/>
  <c r="AO216" i="25"/>
  <c r="AN216" i="25"/>
  <c r="AM216" i="25"/>
  <c r="AL216" i="25"/>
  <c r="AK216" i="25"/>
  <c r="AJ216" i="25"/>
  <c r="AI216" i="25"/>
  <c r="AH216" i="25"/>
  <c r="X216" i="25"/>
  <c r="W216" i="25"/>
  <c r="V216" i="25"/>
  <c r="U216" i="25"/>
  <c r="T216" i="25"/>
  <c r="S216" i="25"/>
  <c r="R216" i="25"/>
  <c r="Q216" i="25"/>
  <c r="AO215" i="25"/>
  <c r="AN215" i="25"/>
  <c r="AM215" i="25"/>
  <c r="AL215" i="25"/>
  <c r="AK215" i="25"/>
  <c r="AJ215" i="25"/>
  <c r="AI215" i="25"/>
  <c r="AH215" i="25"/>
  <c r="X215" i="25"/>
  <c r="W215" i="25"/>
  <c r="V215" i="25"/>
  <c r="U215" i="25"/>
  <c r="T215" i="25"/>
  <c r="S215" i="25"/>
  <c r="R215" i="25"/>
  <c r="Q215" i="25"/>
  <c r="AO214" i="25"/>
  <c r="AN214" i="25"/>
  <c r="AM214" i="25"/>
  <c r="AL214" i="25"/>
  <c r="AK214" i="25"/>
  <c r="AJ214" i="25"/>
  <c r="AI214" i="25"/>
  <c r="AH214" i="25"/>
  <c r="X214" i="25"/>
  <c r="W214" i="25"/>
  <c r="V214" i="25"/>
  <c r="U214" i="25"/>
  <c r="T214" i="25"/>
  <c r="S214" i="25"/>
  <c r="R214" i="25"/>
  <c r="Q214" i="25"/>
  <c r="AO213" i="25"/>
  <c r="AN213" i="25"/>
  <c r="AM213" i="25"/>
  <c r="AL213" i="25"/>
  <c r="AK213" i="25"/>
  <c r="AJ213" i="25"/>
  <c r="AI213" i="25"/>
  <c r="AH213" i="25"/>
  <c r="X213" i="25"/>
  <c r="W213" i="25"/>
  <c r="V213" i="25"/>
  <c r="U213" i="25"/>
  <c r="T213" i="25"/>
  <c r="S213" i="25"/>
  <c r="R213" i="25"/>
  <c r="Q213" i="25"/>
  <c r="AO212" i="25"/>
  <c r="AN212" i="25"/>
  <c r="AM212" i="25"/>
  <c r="AL212" i="25"/>
  <c r="AK212" i="25"/>
  <c r="AJ212" i="25"/>
  <c r="AI212" i="25"/>
  <c r="AH212" i="25"/>
  <c r="X212" i="25"/>
  <c r="W212" i="25"/>
  <c r="V212" i="25"/>
  <c r="U212" i="25"/>
  <c r="T212" i="25"/>
  <c r="S212" i="25"/>
  <c r="R212" i="25"/>
  <c r="Q212" i="25"/>
  <c r="AO211" i="25"/>
  <c r="AN211" i="25"/>
  <c r="AM211" i="25"/>
  <c r="AL211" i="25"/>
  <c r="AK211" i="25"/>
  <c r="AJ211" i="25"/>
  <c r="AI211" i="25"/>
  <c r="AH211" i="25"/>
  <c r="X211" i="25"/>
  <c r="W211" i="25"/>
  <c r="V211" i="25"/>
  <c r="U211" i="25"/>
  <c r="T211" i="25"/>
  <c r="S211" i="25"/>
  <c r="R211" i="25"/>
  <c r="Q211" i="25"/>
  <c r="AO210" i="25"/>
  <c r="AN210" i="25"/>
  <c r="AM210" i="25"/>
  <c r="AL210" i="25"/>
  <c r="AK210" i="25"/>
  <c r="AJ210" i="25"/>
  <c r="AI210" i="25"/>
  <c r="AH210" i="25"/>
  <c r="X210" i="25"/>
  <c r="W210" i="25"/>
  <c r="V210" i="25"/>
  <c r="U210" i="25"/>
  <c r="T210" i="25"/>
  <c r="S210" i="25"/>
  <c r="R210" i="25"/>
  <c r="Q210" i="25"/>
  <c r="AO209" i="25"/>
  <c r="AN209" i="25"/>
  <c r="AM209" i="25"/>
  <c r="AL209" i="25"/>
  <c r="AK209" i="25"/>
  <c r="AJ209" i="25"/>
  <c r="AI209" i="25"/>
  <c r="AH209" i="25"/>
  <c r="X209" i="25"/>
  <c r="W209" i="25"/>
  <c r="V209" i="25"/>
  <c r="U209" i="25"/>
  <c r="T209" i="25"/>
  <c r="S209" i="25"/>
  <c r="R209" i="25"/>
  <c r="Q209" i="25"/>
  <c r="AO208" i="25"/>
  <c r="AN208" i="25"/>
  <c r="AM208" i="25"/>
  <c r="AL208" i="25"/>
  <c r="AK208" i="25"/>
  <c r="AJ208" i="25"/>
  <c r="AI208" i="25"/>
  <c r="AH208" i="25"/>
  <c r="X208" i="25"/>
  <c r="W208" i="25"/>
  <c r="V208" i="25"/>
  <c r="U208" i="25"/>
  <c r="T208" i="25"/>
  <c r="S208" i="25"/>
  <c r="R208" i="25"/>
  <c r="Q208" i="25"/>
  <c r="AO207" i="25"/>
  <c r="AN207" i="25"/>
  <c r="AM207" i="25"/>
  <c r="AL207" i="25"/>
  <c r="AK207" i="25"/>
  <c r="AJ207" i="25"/>
  <c r="AI207" i="25"/>
  <c r="AH207" i="25"/>
  <c r="X207" i="25"/>
  <c r="W207" i="25"/>
  <c r="V207" i="25"/>
  <c r="U207" i="25"/>
  <c r="T207" i="25"/>
  <c r="S207" i="25"/>
  <c r="R207" i="25"/>
  <c r="Q207" i="25"/>
  <c r="AO206" i="25"/>
  <c r="AN206" i="25"/>
  <c r="AM206" i="25"/>
  <c r="AL206" i="25"/>
  <c r="AK206" i="25"/>
  <c r="AJ206" i="25"/>
  <c r="AI206" i="25"/>
  <c r="AH206" i="25"/>
  <c r="X206" i="25"/>
  <c r="W206" i="25"/>
  <c r="V206" i="25"/>
  <c r="U206" i="25"/>
  <c r="T206" i="25"/>
  <c r="S206" i="25"/>
  <c r="R206" i="25"/>
  <c r="Q206" i="25"/>
  <c r="AO205" i="25"/>
  <c r="AN205" i="25"/>
  <c r="AM205" i="25"/>
  <c r="AL205" i="25"/>
  <c r="AK205" i="25"/>
  <c r="AJ205" i="25"/>
  <c r="AI205" i="25"/>
  <c r="AH205" i="25"/>
  <c r="X205" i="25"/>
  <c r="W205" i="25"/>
  <c r="V205" i="25"/>
  <c r="U205" i="25"/>
  <c r="T205" i="25"/>
  <c r="S205" i="25"/>
  <c r="R205" i="25"/>
  <c r="Q205" i="25"/>
  <c r="AO204" i="25"/>
  <c r="AN204" i="25"/>
  <c r="AM204" i="25"/>
  <c r="AL204" i="25"/>
  <c r="AK204" i="25"/>
  <c r="AJ204" i="25"/>
  <c r="AI204" i="25"/>
  <c r="AH204" i="25"/>
  <c r="X204" i="25"/>
  <c r="W204" i="25"/>
  <c r="V204" i="25"/>
  <c r="U204" i="25"/>
  <c r="T204" i="25"/>
  <c r="S204" i="25"/>
  <c r="R204" i="25"/>
  <c r="Q204" i="25"/>
  <c r="AO203" i="25"/>
  <c r="AN203" i="25"/>
  <c r="AM203" i="25"/>
  <c r="AL203" i="25"/>
  <c r="AK203" i="25"/>
  <c r="AJ203" i="25"/>
  <c r="AI203" i="25"/>
  <c r="AH203" i="25"/>
  <c r="X203" i="25"/>
  <c r="W203" i="25"/>
  <c r="V203" i="25"/>
  <c r="U203" i="25"/>
  <c r="T203" i="25"/>
  <c r="S203" i="25"/>
  <c r="R203" i="25"/>
  <c r="Q203" i="25"/>
  <c r="AO202" i="25"/>
  <c r="AN202" i="25"/>
  <c r="AM202" i="25"/>
  <c r="AL202" i="25"/>
  <c r="AK202" i="25"/>
  <c r="AJ202" i="25"/>
  <c r="AI202" i="25"/>
  <c r="AH202" i="25"/>
  <c r="X202" i="25"/>
  <c r="W202" i="25"/>
  <c r="V202" i="25"/>
  <c r="U202" i="25"/>
  <c r="T202" i="25"/>
  <c r="S202" i="25"/>
  <c r="R202" i="25"/>
  <c r="Q202" i="25"/>
  <c r="AO201" i="25"/>
  <c r="AN201" i="25"/>
  <c r="AM201" i="25"/>
  <c r="AL201" i="25"/>
  <c r="AK201" i="25"/>
  <c r="AJ201" i="25"/>
  <c r="AI201" i="25"/>
  <c r="AH201" i="25"/>
  <c r="X201" i="25"/>
  <c r="W201" i="25"/>
  <c r="V201" i="25"/>
  <c r="U201" i="25"/>
  <c r="T201" i="25"/>
  <c r="S201" i="25"/>
  <c r="R201" i="25"/>
  <c r="Q201" i="25"/>
  <c r="AO200" i="25"/>
  <c r="AN200" i="25"/>
  <c r="AM200" i="25"/>
  <c r="AL200" i="25"/>
  <c r="AK200" i="25"/>
  <c r="AJ200" i="25"/>
  <c r="AI200" i="25"/>
  <c r="AH200" i="25"/>
  <c r="X200" i="25"/>
  <c r="W200" i="25"/>
  <c r="V200" i="25"/>
  <c r="U200" i="25"/>
  <c r="T200" i="25"/>
  <c r="S200" i="25"/>
  <c r="R200" i="25"/>
  <c r="Q200" i="25"/>
  <c r="AO199" i="25"/>
  <c r="AN199" i="25"/>
  <c r="AM199" i="25"/>
  <c r="AL199" i="25"/>
  <c r="AK199" i="25"/>
  <c r="AJ199" i="25"/>
  <c r="AI199" i="25"/>
  <c r="AH199" i="25"/>
  <c r="X199" i="25"/>
  <c r="W199" i="25"/>
  <c r="V199" i="25"/>
  <c r="U199" i="25"/>
  <c r="T199" i="25"/>
  <c r="S199" i="25"/>
  <c r="R199" i="25"/>
  <c r="Q199" i="25"/>
  <c r="AO198" i="25"/>
  <c r="AN198" i="25"/>
  <c r="AM198" i="25"/>
  <c r="AL198" i="25"/>
  <c r="AK198" i="25"/>
  <c r="AJ198" i="25"/>
  <c r="AI198" i="25"/>
  <c r="AH198" i="25"/>
  <c r="X198" i="25"/>
  <c r="W198" i="25"/>
  <c r="V198" i="25"/>
  <c r="U198" i="25"/>
  <c r="T198" i="25"/>
  <c r="S198" i="25"/>
  <c r="R198" i="25"/>
  <c r="Q198" i="25"/>
  <c r="AO197" i="25"/>
  <c r="AN197" i="25"/>
  <c r="AM197" i="25"/>
  <c r="AL197" i="25"/>
  <c r="AK197" i="25"/>
  <c r="AJ197" i="25"/>
  <c r="AI197" i="25"/>
  <c r="AH197" i="25"/>
  <c r="X197" i="25"/>
  <c r="W197" i="25"/>
  <c r="V197" i="25"/>
  <c r="U197" i="25"/>
  <c r="T197" i="25"/>
  <c r="S197" i="25"/>
  <c r="R197" i="25"/>
  <c r="Q197" i="25"/>
  <c r="AO196" i="25"/>
  <c r="AN196" i="25"/>
  <c r="AM196" i="25"/>
  <c r="AL196" i="25"/>
  <c r="AK196" i="25"/>
  <c r="AJ196" i="25"/>
  <c r="AI196" i="25"/>
  <c r="AH196" i="25"/>
  <c r="X196" i="25"/>
  <c r="W196" i="25"/>
  <c r="V196" i="25"/>
  <c r="U196" i="25"/>
  <c r="T196" i="25"/>
  <c r="S196" i="25"/>
  <c r="R196" i="25"/>
  <c r="Q196" i="25"/>
  <c r="AO195" i="25"/>
  <c r="AN195" i="25"/>
  <c r="AM195" i="25"/>
  <c r="AL195" i="25"/>
  <c r="AK195" i="25"/>
  <c r="AJ195" i="25"/>
  <c r="AI195" i="25"/>
  <c r="AH195" i="25"/>
  <c r="X195" i="25"/>
  <c r="W195" i="25"/>
  <c r="V195" i="25"/>
  <c r="U195" i="25"/>
  <c r="T195" i="25"/>
  <c r="S195" i="25"/>
  <c r="R195" i="25"/>
  <c r="Q195" i="25"/>
  <c r="AO194" i="25"/>
  <c r="AN194" i="25"/>
  <c r="AM194" i="25"/>
  <c r="AL194" i="25"/>
  <c r="AK194" i="25"/>
  <c r="AJ194" i="25"/>
  <c r="AI194" i="25"/>
  <c r="AH194" i="25"/>
  <c r="X194" i="25"/>
  <c r="W194" i="25"/>
  <c r="V194" i="25"/>
  <c r="U194" i="25"/>
  <c r="T194" i="25"/>
  <c r="S194" i="25"/>
  <c r="R194" i="25"/>
  <c r="Q194" i="25"/>
  <c r="AO193" i="25"/>
  <c r="AN193" i="25"/>
  <c r="AM193" i="25"/>
  <c r="AL193" i="25"/>
  <c r="AK193" i="25"/>
  <c r="AJ193" i="25"/>
  <c r="AI193" i="25"/>
  <c r="AH193" i="25"/>
  <c r="X193" i="25"/>
  <c r="W193" i="25"/>
  <c r="V193" i="25"/>
  <c r="U193" i="25"/>
  <c r="T193" i="25"/>
  <c r="S193" i="25"/>
  <c r="R193" i="25"/>
  <c r="Q193" i="25"/>
  <c r="AO192" i="25"/>
  <c r="AN192" i="25"/>
  <c r="AM192" i="25"/>
  <c r="AL192" i="25"/>
  <c r="AK192" i="25"/>
  <c r="AJ192" i="25"/>
  <c r="AI192" i="25"/>
  <c r="AH192" i="25"/>
  <c r="X192" i="25"/>
  <c r="W192" i="25"/>
  <c r="V192" i="25"/>
  <c r="U192" i="25"/>
  <c r="T192" i="25"/>
  <c r="S192" i="25"/>
  <c r="R192" i="25"/>
  <c r="Q192" i="25"/>
  <c r="AO191" i="25"/>
  <c r="AN191" i="25"/>
  <c r="AM191" i="25"/>
  <c r="AL191" i="25"/>
  <c r="AK191" i="25"/>
  <c r="AJ191" i="25"/>
  <c r="AI191" i="25"/>
  <c r="AH191" i="25"/>
  <c r="X191" i="25"/>
  <c r="W191" i="25"/>
  <c r="V191" i="25"/>
  <c r="U191" i="25"/>
  <c r="T191" i="25"/>
  <c r="S191" i="25"/>
  <c r="R191" i="25"/>
  <c r="Q191" i="25"/>
  <c r="AO190" i="25"/>
  <c r="AN190" i="25"/>
  <c r="AM190" i="25"/>
  <c r="AL190" i="25"/>
  <c r="AK190" i="25"/>
  <c r="AJ190" i="25"/>
  <c r="AI190" i="25"/>
  <c r="AH190" i="25"/>
  <c r="X190" i="25"/>
  <c r="W190" i="25"/>
  <c r="V190" i="25"/>
  <c r="U190" i="25"/>
  <c r="T190" i="25"/>
  <c r="S190" i="25"/>
  <c r="R190" i="25"/>
  <c r="Q190" i="25"/>
  <c r="AO189" i="25"/>
  <c r="AN189" i="25"/>
  <c r="AM189" i="25"/>
  <c r="AL189" i="25"/>
  <c r="AK189" i="25"/>
  <c r="AJ189" i="25"/>
  <c r="AI189" i="25"/>
  <c r="AH189" i="25"/>
  <c r="X189" i="25"/>
  <c r="W189" i="25"/>
  <c r="V189" i="25"/>
  <c r="U189" i="25"/>
  <c r="T189" i="25"/>
  <c r="S189" i="25"/>
  <c r="R189" i="25"/>
  <c r="Q189" i="25"/>
  <c r="AO188" i="25"/>
  <c r="AN188" i="25"/>
  <c r="AM188" i="25"/>
  <c r="AL188" i="25"/>
  <c r="AK188" i="25"/>
  <c r="AJ188" i="25"/>
  <c r="AI188" i="25"/>
  <c r="AH188" i="25"/>
  <c r="X188" i="25"/>
  <c r="W188" i="25"/>
  <c r="V188" i="25"/>
  <c r="U188" i="25"/>
  <c r="T188" i="25"/>
  <c r="S188" i="25"/>
  <c r="R188" i="25"/>
  <c r="Q188" i="25"/>
  <c r="AO187" i="25"/>
  <c r="AN187" i="25"/>
  <c r="AM187" i="25"/>
  <c r="AL187" i="25"/>
  <c r="AK187" i="25"/>
  <c r="AJ187" i="25"/>
  <c r="AI187" i="25"/>
  <c r="AH187" i="25"/>
  <c r="X187" i="25"/>
  <c r="W187" i="25"/>
  <c r="V187" i="25"/>
  <c r="U187" i="25"/>
  <c r="T187" i="25"/>
  <c r="S187" i="25"/>
  <c r="R187" i="25"/>
  <c r="Q187" i="25"/>
  <c r="AO186" i="25"/>
  <c r="AN186" i="25"/>
  <c r="AM186" i="25"/>
  <c r="AL186" i="25"/>
  <c r="AK186" i="25"/>
  <c r="AJ186" i="25"/>
  <c r="AI186" i="25"/>
  <c r="AH186" i="25"/>
  <c r="X186" i="25"/>
  <c r="W186" i="25"/>
  <c r="V186" i="25"/>
  <c r="U186" i="25"/>
  <c r="T186" i="25"/>
  <c r="S186" i="25"/>
  <c r="R186" i="25"/>
  <c r="Q186" i="25"/>
  <c r="AO185" i="25"/>
  <c r="AN185" i="25"/>
  <c r="AM185" i="25"/>
  <c r="AL185" i="25"/>
  <c r="AK185" i="25"/>
  <c r="AJ185" i="25"/>
  <c r="AI185" i="25"/>
  <c r="AH185" i="25"/>
  <c r="X185" i="25"/>
  <c r="W185" i="25"/>
  <c r="V185" i="25"/>
  <c r="U185" i="25"/>
  <c r="T185" i="25"/>
  <c r="S185" i="25"/>
  <c r="R185" i="25"/>
  <c r="Q185" i="25"/>
  <c r="AO184" i="25"/>
  <c r="AN184" i="25"/>
  <c r="AM184" i="25"/>
  <c r="AL184" i="25"/>
  <c r="AK184" i="25"/>
  <c r="AJ184" i="25"/>
  <c r="AI184" i="25"/>
  <c r="AH184" i="25"/>
  <c r="X184" i="25"/>
  <c r="W184" i="25"/>
  <c r="V184" i="25"/>
  <c r="U184" i="25"/>
  <c r="T184" i="25"/>
  <c r="S184" i="25"/>
  <c r="R184" i="25"/>
  <c r="Q184" i="25"/>
  <c r="AO183" i="25"/>
  <c r="AN183" i="25"/>
  <c r="AM183" i="25"/>
  <c r="AL183" i="25"/>
  <c r="AK183" i="25"/>
  <c r="AJ183" i="25"/>
  <c r="AI183" i="25"/>
  <c r="AH183" i="25"/>
  <c r="X183" i="25"/>
  <c r="W183" i="25"/>
  <c r="V183" i="25"/>
  <c r="U183" i="25"/>
  <c r="T183" i="25"/>
  <c r="S183" i="25"/>
  <c r="R183" i="25"/>
  <c r="Q183" i="25"/>
  <c r="AO182" i="25"/>
  <c r="AN182" i="25"/>
  <c r="AM182" i="25"/>
  <c r="AL182" i="25"/>
  <c r="AK182" i="25"/>
  <c r="AJ182" i="25"/>
  <c r="AI182" i="25"/>
  <c r="AH182" i="25"/>
  <c r="X182" i="25"/>
  <c r="W182" i="25"/>
  <c r="V182" i="25"/>
  <c r="U182" i="25"/>
  <c r="T182" i="25"/>
  <c r="S182" i="25"/>
  <c r="R182" i="25"/>
  <c r="Q182" i="25"/>
  <c r="AO181" i="25"/>
  <c r="AN181" i="25"/>
  <c r="AM181" i="25"/>
  <c r="AL181" i="25"/>
  <c r="AK181" i="25"/>
  <c r="AJ181" i="25"/>
  <c r="AI181" i="25"/>
  <c r="AH181" i="25"/>
  <c r="X181" i="25"/>
  <c r="W181" i="25"/>
  <c r="V181" i="25"/>
  <c r="U181" i="25"/>
  <c r="T181" i="25"/>
  <c r="S181" i="25"/>
  <c r="R181" i="25"/>
  <c r="Q181" i="25"/>
  <c r="AO180" i="25"/>
  <c r="AN180" i="25"/>
  <c r="AM180" i="25"/>
  <c r="AL180" i="25"/>
  <c r="AK180" i="25"/>
  <c r="AJ180" i="25"/>
  <c r="AI180" i="25"/>
  <c r="AH180" i="25"/>
  <c r="X180" i="25"/>
  <c r="W180" i="25"/>
  <c r="V180" i="25"/>
  <c r="U180" i="25"/>
  <c r="T180" i="25"/>
  <c r="S180" i="25"/>
  <c r="R180" i="25"/>
  <c r="Q180" i="25"/>
  <c r="AO179" i="25"/>
  <c r="AN179" i="25"/>
  <c r="AM179" i="25"/>
  <c r="AL179" i="25"/>
  <c r="AK179" i="25"/>
  <c r="AJ179" i="25"/>
  <c r="AI179" i="25"/>
  <c r="AH179" i="25"/>
  <c r="X179" i="25"/>
  <c r="W179" i="25"/>
  <c r="V179" i="25"/>
  <c r="U179" i="25"/>
  <c r="T179" i="25"/>
  <c r="S179" i="25"/>
  <c r="R179" i="25"/>
  <c r="Q179" i="25"/>
  <c r="AO178" i="25"/>
  <c r="AN178" i="25"/>
  <c r="AM178" i="25"/>
  <c r="AL178" i="25"/>
  <c r="AK178" i="25"/>
  <c r="AJ178" i="25"/>
  <c r="AI178" i="25"/>
  <c r="AH178" i="25"/>
  <c r="X178" i="25"/>
  <c r="W178" i="25"/>
  <c r="V178" i="25"/>
  <c r="U178" i="25"/>
  <c r="T178" i="25"/>
  <c r="S178" i="25"/>
  <c r="R178" i="25"/>
  <c r="Q178" i="25"/>
  <c r="AO177" i="25"/>
  <c r="AN177" i="25"/>
  <c r="AM177" i="25"/>
  <c r="AL177" i="25"/>
  <c r="AK177" i="25"/>
  <c r="AJ177" i="25"/>
  <c r="AI177" i="25"/>
  <c r="AH177" i="25"/>
  <c r="X177" i="25"/>
  <c r="W177" i="25"/>
  <c r="V177" i="25"/>
  <c r="U177" i="25"/>
  <c r="T177" i="25"/>
  <c r="S177" i="25"/>
  <c r="R177" i="25"/>
  <c r="Q177" i="25"/>
  <c r="AO176" i="25"/>
  <c r="AN176" i="25"/>
  <c r="AM176" i="25"/>
  <c r="AL176" i="25"/>
  <c r="AK176" i="25"/>
  <c r="AJ176" i="25"/>
  <c r="AI176" i="25"/>
  <c r="AH176" i="25"/>
  <c r="X176" i="25"/>
  <c r="W176" i="25"/>
  <c r="V176" i="25"/>
  <c r="U176" i="25"/>
  <c r="T176" i="25"/>
  <c r="S176" i="25"/>
  <c r="R176" i="25"/>
  <c r="Q176" i="25"/>
  <c r="AO175" i="25"/>
  <c r="AN175" i="25"/>
  <c r="AM175" i="25"/>
  <c r="AL175" i="25"/>
  <c r="AK175" i="25"/>
  <c r="AJ175" i="25"/>
  <c r="AI175" i="25"/>
  <c r="AH175" i="25"/>
  <c r="X175" i="25"/>
  <c r="W175" i="25"/>
  <c r="V175" i="25"/>
  <c r="U175" i="25"/>
  <c r="T175" i="25"/>
  <c r="S175" i="25"/>
  <c r="R175" i="25"/>
  <c r="Q175" i="25"/>
  <c r="AO174" i="25"/>
  <c r="AN174" i="25"/>
  <c r="AM174" i="25"/>
  <c r="AL174" i="25"/>
  <c r="AK174" i="25"/>
  <c r="AJ174" i="25"/>
  <c r="AI174" i="25"/>
  <c r="AH174" i="25"/>
  <c r="X174" i="25"/>
  <c r="W174" i="25"/>
  <c r="V174" i="25"/>
  <c r="U174" i="25"/>
  <c r="T174" i="25"/>
  <c r="S174" i="25"/>
  <c r="R174" i="25"/>
  <c r="Q174" i="25"/>
  <c r="AO173" i="25"/>
  <c r="AN173" i="25"/>
  <c r="AM173" i="25"/>
  <c r="AL173" i="25"/>
  <c r="AK173" i="25"/>
  <c r="AJ173" i="25"/>
  <c r="AI173" i="25"/>
  <c r="AH173" i="25"/>
  <c r="X173" i="25"/>
  <c r="W173" i="25"/>
  <c r="V173" i="25"/>
  <c r="U173" i="25"/>
  <c r="T173" i="25"/>
  <c r="S173" i="25"/>
  <c r="R173" i="25"/>
  <c r="Q173" i="25"/>
  <c r="AO172" i="25"/>
  <c r="AN172" i="25"/>
  <c r="AM172" i="25"/>
  <c r="AL172" i="25"/>
  <c r="AK172" i="25"/>
  <c r="AJ172" i="25"/>
  <c r="AI172" i="25"/>
  <c r="AH172" i="25"/>
  <c r="X172" i="25"/>
  <c r="W172" i="25"/>
  <c r="V172" i="25"/>
  <c r="U172" i="25"/>
  <c r="T172" i="25"/>
  <c r="S172" i="25"/>
  <c r="R172" i="25"/>
  <c r="Q172" i="25"/>
  <c r="AO171" i="25"/>
  <c r="AN171" i="25"/>
  <c r="AM171" i="25"/>
  <c r="AL171" i="25"/>
  <c r="AK171" i="25"/>
  <c r="AJ171" i="25"/>
  <c r="AI171" i="25"/>
  <c r="AH171" i="25"/>
  <c r="X171" i="25"/>
  <c r="W171" i="25"/>
  <c r="V171" i="25"/>
  <c r="U171" i="25"/>
  <c r="T171" i="25"/>
  <c r="S171" i="25"/>
  <c r="R171" i="25"/>
  <c r="Q171" i="25"/>
  <c r="AO170" i="25"/>
  <c r="AN170" i="25"/>
  <c r="AM170" i="25"/>
  <c r="AL170" i="25"/>
  <c r="AK170" i="25"/>
  <c r="AJ170" i="25"/>
  <c r="AI170" i="25"/>
  <c r="AH170" i="25"/>
  <c r="X170" i="25"/>
  <c r="W170" i="25"/>
  <c r="V170" i="25"/>
  <c r="U170" i="25"/>
  <c r="T170" i="25"/>
  <c r="S170" i="25"/>
  <c r="R170" i="25"/>
  <c r="Q170" i="25"/>
  <c r="AO169" i="25"/>
  <c r="AN169" i="25"/>
  <c r="AM169" i="25"/>
  <c r="AL169" i="25"/>
  <c r="AK169" i="25"/>
  <c r="AJ169" i="25"/>
  <c r="AI169" i="25"/>
  <c r="AH169" i="25"/>
  <c r="X169" i="25"/>
  <c r="W169" i="25"/>
  <c r="V169" i="25"/>
  <c r="U169" i="25"/>
  <c r="T169" i="25"/>
  <c r="S169" i="25"/>
  <c r="R169" i="25"/>
  <c r="Q169" i="25"/>
  <c r="AO168" i="25"/>
  <c r="AN168" i="25"/>
  <c r="AM168" i="25"/>
  <c r="AL168" i="25"/>
  <c r="AK168" i="25"/>
  <c r="AJ168" i="25"/>
  <c r="AI168" i="25"/>
  <c r="AH168" i="25"/>
  <c r="X168" i="25"/>
  <c r="W168" i="25"/>
  <c r="V168" i="25"/>
  <c r="U168" i="25"/>
  <c r="T168" i="25"/>
  <c r="S168" i="25"/>
  <c r="R168" i="25"/>
  <c r="Q168" i="25"/>
  <c r="AO167" i="25"/>
  <c r="AN167" i="25"/>
  <c r="AM167" i="25"/>
  <c r="AL167" i="25"/>
  <c r="AK167" i="25"/>
  <c r="AJ167" i="25"/>
  <c r="AI167" i="25"/>
  <c r="AH167" i="25"/>
  <c r="X167" i="25"/>
  <c r="W167" i="25"/>
  <c r="V167" i="25"/>
  <c r="U167" i="25"/>
  <c r="T167" i="25"/>
  <c r="S167" i="25"/>
  <c r="R167" i="25"/>
  <c r="Q167" i="25"/>
  <c r="AO166" i="25"/>
  <c r="AN166" i="25"/>
  <c r="AM166" i="25"/>
  <c r="AL166" i="25"/>
  <c r="AK166" i="25"/>
  <c r="AJ166" i="25"/>
  <c r="AI166" i="25"/>
  <c r="AH166" i="25"/>
  <c r="X166" i="25"/>
  <c r="W166" i="25"/>
  <c r="V166" i="25"/>
  <c r="U166" i="25"/>
  <c r="T166" i="25"/>
  <c r="S166" i="25"/>
  <c r="R166" i="25"/>
  <c r="Q166" i="25"/>
  <c r="AO165" i="25"/>
  <c r="AN165" i="25"/>
  <c r="AM165" i="25"/>
  <c r="AL165" i="25"/>
  <c r="AK165" i="25"/>
  <c r="AJ165" i="25"/>
  <c r="AI165" i="25"/>
  <c r="AH165" i="25"/>
  <c r="X165" i="25"/>
  <c r="W165" i="25"/>
  <c r="V165" i="25"/>
  <c r="U165" i="25"/>
  <c r="T165" i="25"/>
  <c r="S165" i="25"/>
  <c r="R165" i="25"/>
  <c r="Q165" i="25"/>
  <c r="AO164" i="25"/>
  <c r="AN164" i="25"/>
  <c r="AM164" i="25"/>
  <c r="AL164" i="25"/>
  <c r="AK164" i="25"/>
  <c r="AJ164" i="25"/>
  <c r="AI164" i="25"/>
  <c r="AH164" i="25"/>
  <c r="X164" i="25"/>
  <c r="W164" i="25"/>
  <c r="V164" i="25"/>
  <c r="U164" i="25"/>
  <c r="T164" i="25"/>
  <c r="S164" i="25"/>
  <c r="R164" i="25"/>
  <c r="Q164" i="25"/>
  <c r="AO163" i="25"/>
  <c r="AN163" i="25"/>
  <c r="AM163" i="25"/>
  <c r="AL163" i="25"/>
  <c r="AK163" i="25"/>
  <c r="AJ163" i="25"/>
  <c r="AI163" i="25"/>
  <c r="AH163" i="25"/>
  <c r="X163" i="25"/>
  <c r="W163" i="25"/>
  <c r="V163" i="25"/>
  <c r="U163" i="25"/>
  <c r="T163" i="25"/>
  <c r="S163" i="25"/>
  <c r="R163" i="25"/>
  <c r="Q163" i="25"/>
  <c r="AO162" i="25"/>
  <c r="AN162" i="25"/>
  <c r="AM162" i="25"/>
  <c r="AL162" i="25"/>
  <c r="AK162" i="25"/>
  <c r="AJ162" i="25"/>
  <c r="AI162" i="25"/>
  <c r="AH162" i="25"/>
  <c r="X162" i="25"/>
  <c r="W162" i="25"/>
  <c r="V162" i="25"/>
  <c r="U162" i="25"/>
  <c r="T162" i="25"/>
  <c r="S162" i="25"/>
  <c r="R162" i="25"/>
  <c r="Q162" i="25"/>
  <c r="AO161" i="25"/>
  <c r="AN161" i="25"/>
  <c r="AM161" i="25"/>
  <c r="AL161" i="25"/>
  <c r="AK161" i="25"/>
  <c r="AJ161" i="25"/>
  <c r="AI161" i="25"/>
  <c r="AH161" i="25"/>
  <c r="X161" i="25"/>
  <c r="W161" i="25"/>
  <c r="V161" i="25"/>
  <c r="U161" i="25"/>
  <c r="T161" i="25"/>
  <c r="S161" i="25"/>
  <c r="R161" i="25"/>
  <c r="Q161" i="25"/>
  <c r="AO160" i="25"/>
  <c r="AN160" i="25"/>
  <c r="AM160" i="25"/>
  <c r="AL160" i="25"/>
  <c r="AK160" i="25"/>
  <c r="AJ160" i="25"/>
  <c r="AI160" i="25"/>
  <c r="AH160" i="25"/>
  <c r="X160" i="25"/>
  <c r="W160" i="25"/>
  <c r="V160" i="25"/>
  <c r="U160" i="25"/>
  <c r="T160" i="25"/>
  <c r="S160" i="25"/>
  <c r="R160" i="25"/>
  <c r="Q160" i="25"/>
  <c r="AO159" i="25"/>
  <c r="AN159" i="25"/>
  <c r="AM159" i="25"/>
  <c r="AL159" i="25"/>
  <c r="AK159" i="25"/>
  <c r="AJ159" i="25"/>
  <c r="AI159" i="25"/>
  <c r="AH159" i="25"/>
  <c r="X159" i="25"/>
  <c r="W159" i="25"/>
  <c r="V159" i="25"/>
  <c r="U159" i="25"/>
  <c r="T159" i="25"/>
  <c r="S159" i="25"/>
  <c r="R159" i="25"/>
  <c r="Q159" i="25"/>
  <c r="AO158" i="25"/>
  <c r="AN158" i="25"/>
  <c r="AM158" i="25"/>
  <c r="AL158" i="25"/>
  <c r="AK158" i="25"/>
  <c r="AJ158" i="25"/>
  <c r="AI158" i="25"/>
  <c r="AH158" i="25"/>
  <c r="X158" i="25"/>
  <c r="W158" i="25"/>
  <c r="V158" i="25"/>
  <c r="U158" i="25"/>
  <c r="T158" i="25"/>
  <c r="S158" i="25"/>
  <c r="R158" i="25"/>
  <c r="Q158" i="25"/>
  <c r="AO157" i="25"/>
  <c r="AN157" i="25"/>
  <c r="AM157" i="25"/>
  <c r="AL157" i="25"/>
  <c r="AK157" i="25"/>
  <c r="AJ157" i="25"/>
  <c r="AI157" i="25"/>
  <c r="AH157" i="25"/>
  <c r="X157" i="25"/>
  <c r="W157" i="25"/>
  <c r="V157" i="25"/>
  <c r="U157" i="25"/>
  <c r="T157" i="25"/>
  <c r="S157" i="25"/>
  <c r="R157" i="25"/>
  <c r="Q157" i="25"/>
  <c r="AO156" i="25"/>
  <c r="AN156" i="25"/>
  <c r="AM156" i="25"/>
  <c r="AL156" i="25"/>
  <c r="AK156" i="25"/>
  <c r="AJ156" i="25"/>
  <c r="AI156" i="25"/>
  <c r="AH156" i="25"/>
  <c r="X156" i="25"/>
  <c r="W156" i="25"/>
  <c r="V156" i="25"/>
  <c r="U156" i="25"/>
  <c r="T156" i="25"/>
  <c r="S156" i="25"/>
  <c r="R156" i="25"/>
  <c r="Q156" i="25"/>
  <c r="AO155" i="25"/>
  <c r="AN155" i="25"/>
  <c r="AM155" i="25"/>
  <c r="AL155" i="25"/>
  <c r="AK155" i="25"/>
  <c r="AJ155" i="25"/>
  <c r="AI155" i="25"/>
  <c r="AH155" i="25"/>
  <c r="X155" i="25"/>
  <c r="W155" i="25"/>
  <c r="V155" i="25"/>
  <c r="U155" i="25"/>
  <c r="T155" i="25"/>
  <c r="S155" i="25"/>
  <c r="R155" i="25"/>
  <c r="Q155" i="25"/>
  <c r="AO154" i="25"/>
  <c r="AN154" i="25"/>
  <c r="AM154" i="25"/>
  <c r="AL154" i="25"/>
  <c r="AK154" i="25"/>
  <c r="AJ154" i="25"/>
  <c r="AI154" i="25"/>
  <c r="AH154" i="25"/>
  <c r="X154" i="25"/>
  <c r="W154" i="25"/>
  <c r="V154" i="25"/>
  <c r="U154" i="25"/>
  <c r="T154" i="25"/>
  <c r="S154" i="25"/>
  <c r="R154" i="25"/>
  <c r="Q154" i="25"/>
  <c r="AO153" i="25"/>
  <c r="AN153" i="25"/>
  <c r="AM153" i="25"/>
  <c r="AL153" i="25"/>
  <c r="AK153" i="25"/>
  <c r="AJ153" i="25"/>
  <c r="AI153" i="25"/>
  <c r="AH153" i="25"/>
  <c r="X153" i="25"/>
  <c r="W153" i="25"/>
  <c r="V153" i="25"/>
  <c r="U153" i="25"/>
  <c r="T153" i="25"/>
  <c r="S153" i="25"/>
  <c r="R153" i="25"/>
  <c r="Q153" i="25"/>
  <c r="AO152" i="25"/>
  <c r="AN152" i="25"/>
  <c r="AM152" i="25"/>
  <c r="AL152" i="25"/>
  <c r="AK152" i="25"/>
  <c r="AJ152" i="25"/>
  <c r="AI152" i="25"/>
  <c r="AH152" i="25"/>
  <c r="X152" i="25"/>
  <c r="W152" i="25"/>
  <c r="V152" i="25"/>
  <c r="U152" i="25"/>
  <c r="T152" i="25"/>
  <c r="S152" i="25"/>
  <c r="R152" i="25"/>
  <c r="Q152" i="25"/>
  <c r="AO151" i="25"/>
  <c r="AN151" i="25"/>
  <c r="AM151" i="25"/>
  <c r="AL151" i="25"/>
  <c r="AK151" i="25"/>
  <c r="AJ151" i="25"/>
  <c r="AI151" i="25"/>
  <c r="AH151" i="25"/>
  <c r="X151" i="25"/>
  <c r="W151" i="25"/>
  <c r="V151" i="25"/>
  <c r="U151" i="25"/>
  <c r="T151" i="25"/>
  <c r="S151" i="25"/>
  <c r="R151" i="25"/>
  <c r="Q151" i="25"/>
  <c r="AO150" i="25"/>
  <c r="AN150" i="25"/>
  <c r="AM150" i="25"/>
  <c r="AL150" i="25"/>
  <c r="AK150" i="25"/>
  <c r="AJ150" i="25"/>
  <c r="AI150" i="25"/>
  <c r="AH150" i="25"/>
  <c r="X150" i="25"/>
  <c r="W150" i="25"/>
  <c r="V150" i="25"/>
  <c r="U150" i="25"/>
  <c r="T150" i="25"/>
  <c r="S150" i="25"/>
  <c r="R150" i="25"/>
  <c r="Q150" i="25"/>
  <c r="AO149" i="25"/>
  <c r="AN149" i="25"/>
  <c r="AM149" i="25"/>
  <c r="AL149" i="25"/>
  <c r="AK149" i="25"/>
  <c r="AJ149" i="25"/>
  <c r="AI149" i="25"/>
  <c r="AH149" i="25"/>
  <c r="X149" i="25"/>
  <c r="W149" i="25"/>
  <c r="V149" i="25"/>
  <c r="U149" i="25"/>
  <c r="T149" i="25"/>
  <c r="S149" i="25"/>
  <c r="R149" i="25"/>
  <c r="Q149" i="25"/>
  <c r="AO148" i="25"/>
  <c r="AN148" i="25"/>
  <c r="AM148" i="25"/>
  <c r="AL148" i="25"/>
  <c r="AK148" i="25"/>
  <c r="AJ148" i="25"/>
  <c r="AI148" i="25"/>
  <c r="AH148" i="25"/>
  <c r="X148" i="25"/>
  <c r="W148" i="25"/>
  <c r="V148" i="25"/>
  <c r="U148" i="25"/>
  <c r="T148" i="25"/>
  <c r="S148" i="25"/>
  <c r="R148" i="25"/>
  <c r="Q148" i="25"/>
  <c r="AO147" i="25"/>
  <c r="AN147" i="25"/>
  <c r="AM147" i="25"/>
  <c r="AL147" i="25"/>
  <c r="AK147" i="25"/>
  <c r="AJ147" i="25"/>
  <c r="AI147" i="25"/>
  <c r="AH147" i="25"/>
  <c r="X147" i="25"/>
  <c r="W147" i="25"/>
  <c r="V147" i="25"/>
  <c r="U147" i="25"/>
  <c r="T147" i="25"/>
  <c r="S147" i="25"/>
  <c r="R147" i="25"/>
  <c r="Q147" i="25"/>
  <c r="AO146" i="25"/>
  <c r="AN146" i="25"/>
  <c r="AM146" i="25"/>
  <c r="AL146" i="25"/>
  <c r="AK146" i="25"/>
  <c r="AJ146" i="25"/>
  <c r="AI146" i="25"/>
  <c r="AH146" i="25"/>
  <c r="X146" i="25"/>
  <c r="W146" i="25"/>
  <c r="V146" i="25"/>
  <c r="U146" i="25"/>
  <c r="T146" i="25"/>
  <c r="S146" i="25"/>
  <c r="R146" i="25"/>
  <c r="Q146" i="25"/>
  <c r="AO145" i="25"/>
  <c r="AN145" i="25"/>
  <c r="AM145" i="25"/>
  <c r="AL145" i="25"/>
  <c r="AK145" i="25"/>
  <c r="AJ145" i="25"/>
  <c r="AI145" i="25"/>
  <c r="AH145" i="25"/>
  <c r="X145" i="25"/>
  <c r="W145" i="25"/>
  <c r="V145" i="25"/>
  <c r="U145" i="25"/>
  <c r="T145" i="25"/>
  <c r="S145" i="25"/>
  <c r="R145" i="25"/>
  <c r="Q145" i="25"/>
  <c r="AO144" i="25"/>
  <c r="AN144" i="25"/>
  <c r="AM144" i="25"/>
  <c r="AL144" i="25"/>
  <c r="AK144" i="25"/>
  <c r="AJ144" i="25"/>
  <c r="AI144" i="25"/>
  <c r="AH144" i="25"/>
  <c r="X144" i="25"/>
  <c r="W144" i="25"/>
  <c r="V144" i="25"/>
  <c r="U144" i="25"/>
  <c r="T144" i="25"/>
  <c r="S144" i="25"/>
  <c r="R144" i="25"/>
  <c r="Q144" i="25"/>
  <c r="AO143" i="25"/>
  <c r="AN143" i="25"/>
  <c r="AM143" i="25"/>
  <c r="AL143" i="25"/>
  <c r="AK143" i="25"/>
  <c r="AJ143" i="25"/>
  <c r="AI143" i="25"/>
  <c r="AH143" i="25"/>
  <c r="X143" i="25"/>
  <c r="W143" i="25"/>
  <c r="V143" i="25"/>
  <c r="U143" i="25"/>
  <c r="T143" i="25"/>
  <c r="S143" i="25"/>
  <c r="R143" i="25"/>
  <c r="Q143" i="25"/>
  <c r="AO142" i="25"/>
  <c r="AN142" i="25"/>
  <c r="AM142" i="25"/>
  <c r="AL142" i="25"/>
  <c r="AK142" i="25"/>
  <c r="AJ142" i="25"/>
  <c r="AI142" i="25"/>
  <c r="AH142" i="25"/>
  <c r="X142" i="25"/>
  <c r="W142" i="25"/>
  <c r="V142" i="25"/>
  <c r="U142" i="25"/>
  <c r="T142" i="25"/>
  <c r="S142" i="25"/>
  <c r="R142" i="25"/>
  <c r="Q142" i="25"/>
  <c r="AO141" i="25"/>
  <c r="AN141" i="25"/>
  <c r="AM141" i="25"/>
  <c r="AL141" i="25"/>
  <c r="AK141" i="25"/>
  <c r="AJ141" i="25"/>
  <c r="AI141" i="25"/>
  <c r="AH141" i="25"/>
  <c r="X141" i="25"/>
  <c r="W141" i="25"/>
  <c r="V141" i="25"/>
  <c r="U141" i="25"/>
  <c r="T141" i="25"/>
  <c r="S141" i="25"/>
  <c r="R141" i="25"/>
  <c r="Q141" i="25"/>
  <c r="AO140" i="25"/>
  <c r="AN140" i="25"/>
  <c r="AM140" i="25"/>
  <c r="AL140" i="25"/>
  <c r="AK140" i="25"/>
  <c r="AJ140" i="25"/>
  <c r="AI140" i="25"/>
  <c r="AH140" i="25"/>
  <c r="X140" i="25"/>
  <c r="W140" i="25"/>
  <c r="V140" i="25"/>
  <c r="U140" i="25"/>
  <c r="T140" i="25"/>
  <c r="S140" i="25"/>
  <c r="R140" i="25"/>
  <c r="Q140" i="25"/>
  <c r="AO139" i="25"/>
  <c r="AN139" i="25"/>
  <c r="AM139" i="25"/>
  <c r="AL139" i="25"/>
  <c r="AK139" i="25"/>
  <c r="AJ139" i="25"/>
  <c r="AI139" i="25"/>
  <c r="AH139" i="25"/>
  <c r="X139" i="25"/>
  <c r="W139" i="25"/>
  <c r="V139" i="25"/>
  <c r="U139" i="25"/>
  <c r="T139" i="25"/>
  <c r="S139" i="25"/>
  <c r="R139" i="25"/>
  <c r="Q139" i="25"/>
  <c r="AO138" i="25"/>
  <c r="AN138" i="25"/>
  <c r="AM138" i="25"/>
  <c r="AL138" i="25"/>
  <c r="AK138" i="25"/>
  <c r="AJ138" i="25"/>
  <c r="AI138" i="25"/>
  <c r="AH138" i="25"/>
  <c r="X138" i="25"/>
  <c r="W138" i="25"/>
  <c r="V138" i="25"/>
  <c r="U138" i="25"/>
  <c r="T138" i="25"/>
  <c r="S138" i="25"/>
  <c r="R138" i="25"/>
  <c r="Q138" i="25"/>
  <c r="AO137" i="25"/>
  <c r="AN137" i="25"/>
  <c r="AM137" i="25"/>
  <c r="AL137" i="25"/>
  <c r="AK137" i="25"/>
  <c r="AJ137" i="25"/>
  <c r="AI137" i="25"/>
  <c r="AH137" i="25"/>
  <c r="X137" i="25"/>
  <c r="W137" i="25"/>
  <c r="V137" i="25"/>
  <c r="U137" i="25"/>
  <c r="T137" i="25"/>
  <c r="S137" i="25"/>
  <c r="R137" i="25"/>
  <c r="Q137" i="25"/>
  <c r="AO136" i="25"/>
  <c r="AN136" i="25"/>
  <c r="AM136" i="25"/>
  <c r="AL136" i="25"/>
  <c r="AK136" i="25"/>
  <c r="AJ136" i="25"/>
  <c r="AI136" i="25"/>
  <c r="AH136" i="25"/>
  <c r="X136" i="25"/>
  <c r="W136" i="25"/>
  <c r="V136" i="25"/>
  <c r="U136" i="25"/>
  <c r="T136" i="25"/>
  <c r="S136" i="25"/>
  <c r="R136" i="25"/>
  <c r="Q136" i="25"/>
  <c r="AO135" i="25"/>
  <c r="AN135" i="25"/>
  <c r="AM135" i="25"/>
  <c r="AL135" i="25"/>
  <c r="AK135" i="25"/>
  <c r="AJ135" i="25"/>
  <c r="AI135" i="25"/>
  <c r="AH135" i="25"/>
  <c r="X135" i="25"/>
  <c r="W135" i="25"/>
  <c r="V135" i="25"/>
  <c r="U135" i="25"/>
  <c r="T135" i="25"/>
  <c r="S135" i="25"/>
  <c r="R135" i="25"/>
  <c r="Q135" i="25"/>
  <c r="AO134" i="25"/>
  <c r="AN134" i="25"/>
  <c r="AM134" i="25"/>
  <c r="AL134" i="25"/>
  <c r="AK134" i="25"/>
  <c r="AJ134" i="25"/>
  <c r="AI134" i="25"/>
  <c r="AH134" i="25"/>
  <c r="X134" i="25"/>
  <c r="W134" i="25"/>
  <c r="V134" i="25"/>
  <c r="U134" i="25"/>
  <c r="T134" i="25"/>
  <c r="S134" i="25"/>
  <c r="R134" i="25"/>
  <c r="Q134" i="25"/>
  <c r="AO133" i="25"/>
  <c r="AN133" i="25"/>
  <c r="AM133" i="25"/>
  <c r="AL133" i="25"/>
  <c r="AK133" i="25"/>
  <c r="AJ133" i="25"/>
  <c r="AI133" i="25"/>
  <c r="AH133" i="25"/>
  <c r="X133" i="25"/>
  <c r="W133" i="25"/>
  <c r="V133" i="25"/>
  <c r="U133" i="25"/>
  <c r="T133" i="25"/>
  <c r="S133" i="25"/>
  <c r="R133" i="25"/>
  <c r="Q133" i="25"/>
  <c r="AO132" i="25"/>
  <c r="AN132" i="25"/>
  <c r="AM132" i="25"/>
  <c r="AL132" i="25"/>
  <c r="AK132" i="25"/>
  <c r="AJ132" i="25"/>
  <c r="AI132" i="25"/>
  <c r="AH132" i="25"/>
  <c r="X132" i="25"/>
  <c r="W132" i="25"/>
  <c r="V132" i="25"/>
  <c r="U132" i="25"/>
  <c r="T132" i="25"/>
  <c r="S132" i="25"/>
  <c r="R132" i="25"/>
  <c r="Q132" i="25"/>
  <c r="AO131" i="25"/>
  <c r="AN131" i="25"/>
  <c r="AM131" i="25"/>
  <c r="AL131" i="25"/>
  <c r="AK131" i="25"/>
  <c r="AJ131" i="25"/>
  <c r="AI131" i="25"/>
  <c r="AH131" i="25"/>
  <c r="X131" i="25"/>
  <c r="W131" i="25"/>
  <c r="V131" i="25"/>
  <c r="U131" i="25"/>
  <c r="T131" i="25"/>
  <c r="S131" i="25"/>
  <c r="R131" i="25"/>
  <c r="Q131" i="25"/>
  <c r="AO130" i="25"/>
  <c r="AN130" i="25"/>
  <c r="AM130" i="25"/>
  <c r="AL130" i="25"/>
  <c r="AK130" i="25"/>
  <c r="AJ130" i="25"/>
  <c r="AI130" i="25"/>
  <c r="AH130" i="25"/>
  <c r="X130" i="25"/>
  <c r="W130" i="25"/>
  <c r="V130" i="25"/>
  <c r="U130" i="25"/>
  <c r="T130" i="25"/>
  <c r="S130" i="25"/>
  <c r="R130" i="25"/>
  <c r="Q130" i="25"/>
  <c r="AO129" i="25"/>
  <c r="AN129" i="25"/>
  <c r="AM129" i="25"/>
  <c r="AL129" i="25"/>
  <c r="AK129" i="25"/>
  <c r="AJ129" i="25"/>
  <c r="AI129" i="25"/>
  <c r="AH129" i="25"/>
  <c r="X129" i="25"/>
  <c r="W129" i="25"/>
  <c r="V129" i="25"/>
  <c r="U129" i="25"/>
  <c r="T129" i="25"/>
  <c r="S129" i="25"/>
  <c r="R129" i="25"/>
  <c r="Q129" i="25"/>
  <c r="AO128" i="25"/>
  <c r="AN128" i="25"/>
  <c r="AM128" i="25"/>
  <c r="AL128" i="25"/>
  <c r="AK128" i="25"/>
  <c r="AJ128" i="25"/>
  <c r="AI128" i="25"/>
  <c r="AH128" i="25"/>
  <c r="X128" i="25"/>
  <c r="W128" i="25"/>
  <c r="V128" i="25"/>
  <c r="U128" i="25"/>
  <c r="T128" i="25"/>
  <c r="S128" i="25"/>
  <c r="R128" i="25"/>
  <c r="Q128" i="25"/>
  <c r="AO127" i="25"/>
  <c r="AN127" i="25"/>
  <c r="AM127" i="25"/>
  <c r="AL127" i="25"/>
  <c r="AK127" i="25"/>
  <c r="AJ127" i="25"/>
  <c r="AI127" i="25"/>
  <c r="AH127" i="25"/>
  <c r="X127" i="25"/>
  <c r="W127" i="25"/>
  <c r="V127" i="25"/>
  <c r="U127" i="25"/>
  <c r="T127" i="25"/>
  <c r="S127" i="25"/>
  <c r="R127" i="25"/>
  <c r="Q127" i="25"/>
  <c r="AO126" i="25"/>
  <c r="AN126" i="25"/>
  <c r="AM126" i="25"/>
  <c r="AL126" i="25"/>
  <c r="AK126" i="25"/>
  <c r="AJ126" i="25"/>
  <c r="AI126" i="25"/>
  <c r="AH126" i="25"/>
  <c r="X126" i="25"/>
  <c r="W126" i="25"/>
  <c r="V126" i="25"/>
  <c r="U126" i="25"/>
  <c r="T126" i="25"/>
  <c r="S126" i="25"/>
  <c r="R126" i="25"/>
  <c r="Q126" i="25"/>
  <c r="AO125" i="25"/>
  <c r="AN125" i="25"/>
  <c r="AM125" i="25"/>
  <c r="AL125" i="25"/>
  <c r="AK125" i="25"/>
  <c r="AJ125" i="25"/>
  <c r="AI125" i="25"/>
  <c r="AH125" i="25"/>
  <c r="X125" i="25"/>
  <c r="W125" i="25"/>
  <c r="V125" i="25"/>
  <c r="U125" i="25"/>
  <c r="T125" i="25"/>
  <c r="S125" i="25"/>
  <c r="R125" i="25"/>
  <c r="Q125" i="25"/>
  <c r="AO124" i="25"/>
  <c r="AN124" i="25"/>
  <c r="AM124" i="25"/>
  <c r="AL124" i="25"/>
  <c r="AK124" i="25"/>
  <c r="AJ124" i="25"/>
  <c r="AI124" i="25"/>
  <c r="AH124" i="25"/>
  <c r="X124" i="25"/>
  <c r="W124" i="25"/>
  <c r="V124" i="25"/>
  <c r="U124" i="25"/>
  <c r="T124" i="25"/>
  <c r="S124" i="25"/>
  <c r="R124" i="25"/>
  <c r="Q124" i="25"/>
  <c r="AO123" i="25"/>
  <c r="AN123" i="25"/>
  <c r="AM123" i="25"/>
  <c r="AL123" i="25"/>
  <c r="AK123" i="25"/>
  <c r="AJ123" i="25"/>
  <c r="AI123" i="25"/>
  <c r="AH123" i="25"/>
  <c r="X123" i="25"/>
  <c r="W123" i="25"/>
  <c r="V123" i="25"/>
  <c r="U123" i="25"/>
  <c r="T123" i="25"/>
  <c r="S123" i="25"/>
  <c r="R123" i="25"/>
  <c r="Q123" i="25"/>
  <c r="AO122" i="25"/>
  <c r="AN122" i="25"/>
  <c r="AM122" i="25"/>
  <c r="AL122" i="25"/>
  <c r="AK122" i="25"/>
  <c r="AJ122" i="25"/>
  <c r="AI122" i="25"/>
  <c r="AH122" i="25"/>
  <c r="X122" i="25"/>
  <c r="W122" i="25"/>
  <c r="V122" i="25"/>
  <c r="U122" i="25"/>
  <c r="T122" i="25"/>
  <c r="S122" i="25"/>
  <c r="R122" i="25"/>
  <c r="Q122" i="25"/>
  <c r="AO121" i="25"/>
  <c r="AN121" i="25"/>
  <c r="AM121" i="25"/>
  <c r="AL121" i="25"/>
  <c r="AK121" i="25"/>
  <c r="AJ121" i="25"/>
  <c r="AI121" i="25"/>
  <c r="AH121" i="25"/>
  <c r="X121" i="25"/>
  <c r="W121" i="25"/>
  <c r="V121" i="25"/>
  <c r="U121" i="25"/>
  <c r="T121" i="25"/>
  <c r="S121" i="25"/>
  <c r="R121" i="25"/>
  <c r="Q121" i="25"/>
  <c r="AO120" i="25"/>
  <c r="AN120" i="25"/>
  <c r="AM120" i="25"/>
  <c r="AL120" i="25"/>
  <c r="AK120" i="25"/>
  <c r="AJ120" i="25"/>
  <c r="AI120" i="25"/>
  <c r="AH120" i="25"/>
  <c r="X120" i="25"/>
  <c r="W120" i="25"/>
  <c r="V120" i="25"/>
  <c r="U120" i="25"/>
  <c r="T120" i="25"/>
  <c r="S120" i="25"/>
  <c r="R120" i="25"/>
  <c r="Q120" i="25"/>
  <c r="AO119" i="25"/>
  <c r="AN119" i="25"/>
  <c r="AM119" i="25"/>
  <c r="AL119" i="25"/>
  <c r="AK119" i="25"/>
  <c r="AJ119" i="25"/>
  <c r="AI119" i="25"/>
  <c r="AH119" i="25"/>
  <c r="X119" i="25"/>
  <c r="W119" i="25"/>
  <c r="V119" i="25"/>
  <c r="U119" i="25"/>
  <c r="T119" i="25"/>
  <c r="S119" i="25"/>
  <c r="R119" i="25"/>
  <c r="Q119" i="25"/>
  <c r="AO118" i="25"/>
  <c r="AN118" i="25"/>
  <c r="AM118" i="25"/>
  <c r="AL118" i="25"/>
  <c r="AK118" i="25"/>
  <c r="AJ118" i="25"/>
  <c r="AI118" i="25"/>
  <c r="AH118" i="25"/>
  <c r="X118" i="25"/>
  <c r="W118" i="25"/>
  <c r="V118" i="25"/>
  <c r="U118" i="25"/>
  <c r="T118" i="25"/>
  <c r="S118" i="25"/>
  <c r="R118" i="25"/>
  <c r="Q118" i="25"/>
  <c r="AO117" i="25"/>
  <c r="AN117" i="25"/>
  <c r="AM117" i="25"/>
  <c r="AL117" i="25"/>
  <c r="AK117" i="25"/>
  <c r="AJ117" i="25"/>
  <c r="AI117" i="25"/>
  <c r="AH117" i="25"/>
  <c r="X117" i="25"/>
  <c r="W117" i="25"/>
  <c r="V117" i="25"/>
  <c r="U117" i="25"/>
  <c r="T117" i="25"/>
  <c r="S117" i="25"/>
  <c r="R117" i="25"/>
  <c r="Q117" i="25"/>
  <c r="AO116" i="25"/>
  <c r="AN116" i="25"/>
  <c r="AM116" i="25"/>
  <c r="AL116" i="25"/>
  <c r="AK116" i="25"/>
  <c r="AJ116" i="25"/>
  <c r="AI116" i="25"/>
  <c r="AH116" i="25"/>
  <c r="X116" i="25"/>
  <c r="W116" i="25"/>
  <c r="V116" i="25"/>
  <c r="U116" i="25"/>
  <c r="T116" i="25"/>
  <c r="S116" i="25"/>
  <c r="R116" i="25"/>
  <c r="Q116" i="25"/>
  <c r="AO115" i="25"/>
  <c r="AN115" i="25"/>
  <c r="AM115" i="25"/>
  <c r="AL115" i="25"/>
  <c r="AK115" i="25"/>
  <c r="AJ115" i="25"/>
  <c r="AI115" i="25"/>
  <c r="AH115" i="25"/>
  <c r="X115" i="25"/>
  <c r="W115" i="25"/>
  <c r="V115" i="25"/>
  <c r="U115" i="25"/>
  <c r="T115" i="25"/>
  <c r="S115" i="25"/>
  <c r="R115" i="25"/>
  <c r="Q115" i="25"/>
  <c r="AO114" i="25"/>
  <c r="AN114" i="25"/>
  <c r="AM114" i="25"/>
  <c r="AL114" i="25"/>
  <c r="AK114" i="25"/>
  <c r="AJ114" i="25"/>
  <c r="AI114" i="25"/>
  <c r="AH114" i="25"/>
  <c r="X114" i="25"/>
  <c r="W114" i="25"/>
  <c r="V114" i="25"/>
  <c r="U114" i="25"/>
  <c r="T114" i="25"/>
  <c r="S114" i="25"/>
  <c r="R114" i="25"/>
  <c r="Q114" i="25"/>
  <c r="AO113" i="25"/>
  <c r="AN113" i="25"/>
  <c r="AM113" i="25"/>
  <c r="AL113" i="25"/>
  <c r="AK113" i="25"/>
  <c r="AJ113" i="25"/>
  <c r="AI113" i="25"/>
  <c r="AH113" i="25"/>
  <c r="X113" i="25"/>
  <c r="W113" i="25"/>
  <c r="V113" i="25"/>
  <c r="U113" i="25"/>
  <c r="T113" i="25"/>
  <c r="S113" i="25"/>
  <c r="R113" i="25"/>
  <c r="Q113" i="25"/>
  <c r="AO112" i="25"/>
  <c r="AN112" i="25"/>
  <c r="AM112" i="25"/>
  <c r="AL112" i="25"/>
  <c r="AK112" i="25"/>
  <c r="AJ112" i="25"/>
  <c r="AI112" i="25"/>
  <c r="AH112" i="25"/>
  <c r="X112" i="25"/>
  <c r="W112" i="25"/>
  <c r="V112" i="25"/>
  <c r="U112" i="25"/>
  <c r="T112" i="25"/>
  <c r="S112" i="25"/>
  <c r="R112" i="25"/>
  <c r="Q112" i="25"/>
  <c r="AO111" i="25"/>
  <c r="AN111" i="25"/>
  <c r="AM111" i="25"/>
  <c r="AL111" i="25"/>
  <c r="AK111" i="25"/>
  <c r="AJ111" i="25"/>
  <c r="AI111" i="25"/>
  <c r="AH111" i="25"/>
  <c r="X111" i="25"/>
  <c r="W111" i="25"/>
  <c r="V111" i="25"/>
  <c r="U111" i="25"/>
  <c r="T111" i="25"/>
  <c r="S111" i="25"/>
  <c r="R111" i="25"/>
  <c r="Q111" i="25"/>
  <c r="AO110" i="25"/>
  <c r="AN110" i="25"/>
  <c r="AM110" i="25"/>
  <c r="AL110" i="25"/>
  <c r="AK110" i="25"/>
  <c r="AJ110" i="25"/>
  <c r="AI110" i="25"/>
  <c r="AH110" i="25"/>
  <c r="X110" i="25"/>
  <c r="W110" i="25"/>
  <c r="V110" i="25"/>
  <c r="U110" i="25"/>
  <c r="T110" i="25"/>
  <c r="S110" i="25"/>
  <c r="R110" i="25"/>
  <c r="Q110" i="25"/>
  <c r="AO109" i="25"/>
  <c r="AN109" i="25"/>
  <c r="AM109" i="25"/>
  <c r="AL109" i="25"/>
  <c r="AK109" i="25"/>
  <c r="AJ109" i="25"/>
  <c r="AI109" i="25"/>
  <c r="AH109" i="25"/>
  <c r="X109" i="25"/>
  <c r="W109" i="25"/>
  <c r="V109" i="25"/>
  <c r="U109" i="25"/>
  <c r="T109" i="25"/>
  <c r="S109" i="25"/>
  <c r="R109" i="25"/>
  <c r="Q109" i="25"/>
  <c r="AO108" i="25"/>
  <c r="AN108" i="25"/>
  <c r="AM108" i="25"/>
  <c r="AL108" i="25"/>
  <c r="AK108" i="25"/>
  <c r="AJ108" i="25"/>
  <c r="AI108" i="25"/>
  <c r="AH108" i="25"/>
  <c r="X108" i="25"/>
  <c r="W108" i="25"/>
  <c r="V108" i="25"/>
  <c r="U108" i="25"/>
  <c r="T108" i="25"/>
  <c r="S108" i="25"/>
  <c r="R108" i="25"/>
  <c r="Q108" i="25"/>
  <c r="AO107" i="25"/>
  <c r="AN107" i="25"/>
  <c r="AM107" i="25"/>
  <c r="AL107" i="25"/>
  <c r="AK107" i="25"/>
  <c r="AJ107" i="25"/>
  <c r="AI107" i="25"/>
  <c r="AH107" i="25"/>
  <c r="X107" i="25"/>
  <c r="W107" i="25"/>
  <c r="V107" i="25"/>
  <c r="U107" i="25"/>
  <c r="T107" i="25"/>
  <c r="S107" i="25"/>
  <c r="R107" i="25"/>
  <c r="Q107" i="25"/>
  <c r="AO106" i="25"/>
  <c r="AN106" i="25"/>
  <c r="AM106" i="25"/>
  <c r="AL106" i="25"/>
  <c r="AK106" i="25"/>
  <c r="AJ106" i="25"/>
  <c r="AI106" i="25"/>
  <c r="AH106" i="25"/>
  <c r="X106" i="25"/>
  <c r="W106" i="25"/>
  <c r="V106" i="25"/>
  <c r="U106" i="25"/>
  <c r="T106" i="25"/>
  <c r="S106" i="25"/>
  <c r="R106" i="25"/>
  <c r="Q106" i="25"/>
  <c r="AO105" i="25"/>
  <c r="AN105" i="25"/>
  <c r="AM105" i="25"/>
  <c r="AL105" i="25"/>
  <c r="AK105" i="25"/>
  <c r="AJ105" i="25"/>
  <c r="AI105" i="25"/>
  <c r="AH105" i="25"/>
  <c r="X105" i="25"/>
  <c r="W105" i="25"/>
  <c r="V105" i="25"/>
  <c r="U105" i="25"/>
  <c r="T105" i="25"/>
  <c r="S105" i="25"/>
  <c r="R105" i="25"/>
  <c r="Q105" i="25"/>
  <c r="AO104" i="25"/>
  <c r="AN104" i="25"/>
  <c r="AM104" i="25"/>
  <c r="AL104" i="25"/>
  <c r="AK104" i="25"/>
  <c r="AJ104" i="25"/>
  <c r="AI104" i="25"/>
  <c r="AH104" i="25"/>
  <c r="X104" i="25"/>
  <c r="W104" i="25"/>
  <c r="V104" i="25"/>
  <c r="U104" i="25"/>
  <c r="T104" i="25"/>
  <c r="S104" i="25"/>
  <c r="R104" i="25"/>
  <c r="Q104" i="25"/>
  <c r="AO103" i="25"/>
  <c r="AN103" i="25"/>
  <c r="AM103" i="25"/>
  <c r="AL103" i="25"/>
  <c r="AK103" i="25"/>
  <c r="AJ103" i="25"/>
  <c r="AI103" i="25"/>
  <c r="AH103" i="25"/>
  <c r="X103" i="25"/>
  <c r="W103" i="25"/>
  <c r="V103" i="25"/>
  <c r="U103" i="25"/>
  <c r="T103" i="25"/>
  <c r="S103" i="25"/>
  <c r="R103" i="25"/>
  <c r="Q103" i="25"/>
  <c r="AO102" i="25"/>
  <c r="AN102" i="25"/>
  <c r="AM102" i="25"/>
  <c r="AL102" i="25"/>
  <c r="AK102" i="25"/>
  <c r="AJ102" i="25"/>
  <c r="AI102" i="25"/>
  <c r="AH102" i="25"/>
  <c r="X102" i="25"/>
  <c r="W102" i="25"/>
  <c r="V102" i="25"/>
  <c r="U102" i="25"/>
  <c r="T102" i="25"/>
  <c r="S102" i="25"/>
  <c r="R102" i="25"/>
  <c r="Q102" i="25"/>
  <c r="AO101" i="25"/>
  <c r="AN101" i="25"/>
  <c r="AM101" i="25"/>
  <c r="AL101" i="25"/>
  <c r="AK101" i="25"/>
  <c r="AJ101" i="25"/>
  <c r="AI101" i="25"/>
  <c r="AH101" i="25"/>
  <c r="X101" i="25"/>
  <c r="W101" i="25"/>
  <c r="V101" i="25"/>
  <c r="U101" i="25"/>
  <c r="T101" i="25"/>
  <c r="S101" i="25"/>
  <c r="R101" i="25"/>
  <c r="Q101" i="25"/>
  <c r="AO100" i="25"/>
  <c r="AN100" i="25"/>
  <c r="AM100" i="25"/>
  <c r="AL100" i="25"/>
  <c r="AK100" i="25"/>
  <c r="AJ100" i="25"/>
  <c r="AI100" i="25"/>
  <c r="AH100" i="25"/>
  <c r="X100" i="25"/>
  <c r="W100" i="25"/>
  <c r="V100" i="25"/>
  <c r="U100" i="25"/>
  <c r="T100" i="25"/>
  <c r="S100" i="25"/>
  <c r="R100" i="25"/>
  <c r="Q100" i="25"/>
  <c r="AO99" i="25"/>
  <c r="AN99" i="25"/>
  <c r="AM99" i="25"/>
  <c r="AL99" i="25"/>
  <c r="AK99" i="25"/>
  <c r="AJ99" i="25"/>
  <c r="AI99" i="25"/>
  <c r="AH99" i="25"/>
  <c r="X99" i="25"/>
  <c r="W99" i="25"/>
  <c r="V99" i="25"/>
  <c r="U99" i="25"/>
  <c r="T99" i="25"/>
  <c r="S99" i="25"/>
  <c r="R99" i="25"/>
  <c r="Q99" i="25"/>
  <c r="AO98" i="25"/>
  <c r="AN98" i="25"/>
  <c r="AM98" i="25"/>
  <c r="AL98" i="25"/>
  <c r="AK98" i="25"/>
  <c r="AJ98" i="25"/>
  <c r="AI98" i="25"/>
  <c r="AH98" i="25"/>
  <c r="X98" i="25"/>
  <c r="W98" i="25"/>
  <c r="V98" i="25"/>
  <c r="U98" i="25"/>
  <c r="T98" i="25"/>
  <c r="S98" i="25"/>
  <c r="R98" i="25"/>
  <c r="Q98" i="25"/>
  <c r="AO97" i="25"/>
  <c r="AN97" i="25"/>
  <c r="AM97" i="25"/>
  <c r="AL97" i="25"/>
  <c r="AK97" i="25"/>
  <c r="AJ97" i="25"/>
  <c r="AI97" i="25"/>
  <c r="AH97" i="25"/>
  <c r="X97" i="25"/>
  <c r="W97" i="25"/>
  <c r="V97" i="25"/>
  <c r="U97" i="25"/>
  <c r="T97" i="25"/>
  <c r="S97" i="25"/>
  <c r="R97" i="25"/>
  <c r="Q97" i="25"/>
  <c r="AO96" i="25"/>
  <c r="AN96" i="25"/>
  <c r="AM96" i="25"/>
  <c r="AL96" i="25"/>
  <c r="AK96" i="25"/>
  <c r="AJ96" i="25"/>
  <c r="AI96" i="25"/>
  <c r="AH96" i="25"/>
  <c r="X96" i="25"/>
  <c r="W96" i="25"/>
  <c r="V96" i="25"/>
  <c r="U96" i="25"/>
  <c r="T96" i="25"/>
  <c r="S96" i="25"/>
  <c r="R96" i="25"/>
  <c r="Q96" i="25"/>
  <c r="AO95" i="25"/>
  <c r="AN95" i="25"/>
  <c r="AM95" i="25"/>
  <c r="AL95" i="25"/>
  <c r="AK95" i="25"/>
  <c r="AJ95" i="25"/>
  <c r="AI95" i="25"/>
  <c r="AH95" i="25"/>
  <c r="X95" i="25"/>
  <c r="W95" i="25"/>
  <c r="V95" i="25"/>
  <c r="U95" i="25"/>
  <c r="T95" i="25"/>
  <c r="S95" i="25"/>
  <c r="R95" i="25"/>
  <c r="Q95" i="25"/>
  <c r="AO94" i="25"/>
  <c r="AN94" i="25"/>
  <c r="AM94" i="25"/>
  <c r="AL94" i="25"/>
  <c r="AK94" i="25"/>
  <c r="AJ94" i="25"/>
  <c r="AI94" i="25"/>
  <c r="AH94" i="25"/>
  <c r="X94" i="25"/>
  <c r="W94" i="25"/>
  <c r="V94" i="25"/>
  <c r="U94" i="25"/>
  <c r="T94" i="25"/>
  <c r="S94" i="25"/>
  <c r="R94" i="25"/>
  <c r="Q94" i="25"/>
  <c r="AO93" i="25"/>
  <c r="AN93" i="25"/>
  <c r="AM93" i="25"/>
  <c r="AL93" i="25"/>
  <c r="AK93" i="25"/>
  <c r="AJ93" i="25"/>
  <c r="AI93" i="25"/>
  <c r="AH93" i="25"/>
  <c r="X93" i="25"/>
  <c r="W93" i="25"/>
  <c r="V93" i="25"/>
  <c r="U93" i="25"/>
  <c r="T93" i="25"/>
  <c r="S93" i="25"/>
  <c r="R93" i="25"/>
  <c r="Q93" i="25"/>
  <c r="AO92" i="25"/>
  <c r="AN92" i="25"/>
  <c r="AM92" i="25"/>
  <c r="AL92" i="25"/>
  <c r="AK92" i="25"/>
  <c r="AJ92" i="25"/>
  <c r="AI92" i="25"/>
  <c r="AH92" i="25"/>
  <c r="X92" i="25"/>
  <c r="W92" i="25"/>
  <c r="V92" i="25"/>
  <c r="U92" i="25"/>
  <c r="T92" i="25"/>
  <c r="S92" i="25"/>
  <c r="R92" i="25"/>
  <c r="Q92" i="25"/>
  <c r="AO91" i="25"/>
  <c r="AN91" i="25"/>
  <c r="AM91" i="25"/>
  <c r="AL91" i="25"/>
  <c r="AK91" i="25"/>
  <c r="AJ91" i="25"/>
  <c r="AI91" i="25"/>
  <c r="AH91" i="25"/>
  <c r="X91" i="25"/>
  <c r="W91" i="25"/>
  <c r="V91" i="25"/>
  <c r="U91" i="25"/>
  <c r="T91" i="25"/>
  <c r="S91" i="25"/>
  <c r="R91" i="25"/>
  <c r="Q91" i="25"/>
  <c r="AO90" i="25"/>
  <c r="AN90" i="25"/>
  <c r="AM90" i="25"/>
  <c r="AL90" i="25"/>
  <c r="AK90" i="25"/>
  <c r="AJ90" i="25"/>
  <c r="AI90" i="25"/>
  <c r="AH90" i="25"/>
  <c r="X90" i="25"/>
  <c r="W90" i="25"/>
  <c r="V90" i="25"/>
  <c r="U90" i="25"/>
  <c r="T90" i="25"/>
  <c r="S90" i="25"/>
  <c r="R90" i="25"/>
  <c r="Q90" i="25"/>
  <c r="AO89" i="25"/>
  <c r="AN89" i="25"/>
  <c r="AM89" i="25"/>
  <c r="AL89" i="25"/>
  <c r="AK89" i="25"/>
  <c r="AJ89" i="25"/>
  <c r="AI89" i="25"/>
  <c r="AH89" i="25"/>
  <c r="X89" i="25"/>
  <c r="W89" i="25"/>
  <c r="V89" i="25"/>
  <c r="U89" i="25"/>
  <c r="T89" i="25"/>
  <c r="S89" i="25"/>
  <c r="R89" i="25"/>
  <c r="Q89" i="25"/>
  <c r="AO88" i="25"/>
  <c r="AN88" i="25"/>
  <c r="AM88" i="25"/>
  <c r="AL88" i="25"/>
  <c r="AK88" i="25"/>
  <c r="AJ88" i="25"/>
  <c r="AI88" i="25"/>
  <c r="AH88" i="25"/>
  <c r="X88" i="25"/>
  <c r="W88" i="25"/>
  <c r="V88" i="25"/>
  <c r="U88" i="25"/>
  <c r="T88" i="25"/>
  <c r="S88" i="25"/>
  <c r="R88" i="25"/>
  <c r="Q88" i="25"/>
  <c r="AO87" i="25"/>
  <c r="AN87" i="25"/>
  <c r="AM87" i="25"/>
  <c r="AL87" i="25"/>
  <c r="AK87" i="25"/>
  <c r="AJ87" i="25"/>
  <c r="AI87" i="25"/>
  <c r="AH87" i="25"/>
  <c r="X87" i="25"/>
  <c r="W87" i="25"/>
  <c r="V87" i="25"/>
  <c r="U87" i="25"/>
  <c r="T87" i="25"/>
  <c r="S87" i="25"/>
  <c r="R87" i="25"/>
  <c r="Q87" i="25"/>
  <c r="AO86" i="25"/>
  <c r="AN86" i="25"/>
  <c r="AM86" i="25"/>
  <c r="AL86" i="25"/>
  <c r="AK86" i="25"/>
  <c r="AJ86" i="25"/>
  <c r="AI86" i="25"/>
  <c r="AH86" i="25"/>
  <c r="X86" i="25"/>
  <c r="W86" i="25"/>
  <c r="V86" i="25"/>
  <c r="U86" i="25"/>
  <c r="T86" i="25"/>
  <c r="S86" i="25"/>
  <c r="R86" i="25"/>
  <c r="Q86" i="25"/>
  <c r="AO85" i="25"/>
  <c r="AN85" i="25"/>
  <c r="AM85" i="25"/>
  <c r="AL85" i="25"/>
  <c r="AK85" i="25"/>
  <c r="AJ85" i="25"/>
  <c r="AI85" i="25"/>
  <c r="AH85" i="25"/>
  <c r="X85" i="25"/>
  <c r="W85" i="25"/>
  <c r="V85" i="25"/>
  <c r="U85" i="25"/>
  <c r="T85" i="25"/>
  <c r="S85" i="25"/>
  <c r="R85" i="25"/>
  <c r="Q85" i="25"/>
  <c r="AO84" i="25"/>
  <c r="AN84" i="25"/>
  <c r="AM84" i="25"/>
  <c r="AL84" i="25"/>
  <c r="AK84" i="25"/>
  <c r="AJ84" i="25"/>
  <c r="AI84" i="25"/>
  <c r="AH84" i="25"/>
  <c r="X84" i="25"/>
  <c r="W84" i="25"/>
  <c r="V84" i="25"/>
  <c r="U84" i="25"/>
  <c r="T84" i="25"/>
  <c r="S84" i="25"/>
  <c r="R84" i="25"/>
  <c r="Q84" i="25"/>
  <c r="AO83" i="25"/>
  <c r="AN83" i="25"/>
  <c r="AM83" i="25"/>
  <c r="AL83" i="25"/>
  <c r="AK83" i="25"/>
  <c r="AJ83" i="25"/>
  <c r="AI83" i="25"/>
  <c r="AH83" i="25"/>
  <c r="X83" i="25"/>
  <c r="W83" i="25"/>
  <c r="V83" i="25"/>
  <c r="U83" i="25"/>
  <c r="T83" i="25"/>
  <c r="S83" i="25"/>
  <c r="R83" i="25"/>
  <c r="Q83" i="25"/>
  <c r="AO82" i="25"/>
  <c r="AN82" i="25"/>
  <c r="AM82" i="25"/>
  <c r="AL82" i="25"/>
  <c r="AK82" i="25"/>
  <c r="AJ82" i="25"/>
  <c r="AI82" i="25"/>
  <c r="AH82" i="25"/>
  <c r="X82" i="25"/>
  <c r="W82" i="25"/>
  <c r="V82" i="25"/>
  <c r="U82" i="25"/>
  <c r="T82" i="25"/>
  <c r="S82" i="25"/>
  <c r="R82" i="25"/>
  <c r="Q82" i="25"/>
  <c r="AO81" i="25"/>
  <c r="AN81" i="25"/>
  <c r="AM81" i="25"/>
  <c r="AL81" i="25"/>
  <c r="AK81" i="25"/>
  <c r="AJ81" i="25"/>
  <c r="AI81" i="25"/>
  <c r="AH81" i="25"/>
  <c r="X81" i="25"/>
  <c r="W81" i="25"/>
  <c r="V81" i="25"/>
  <c r="U81" i="25"/>
  <c r="T81" i="25"/>
  <c r="S81" i="25"/>
  <c r="R81" i="25"/>
  <c r="Q81" i="25"/>
  <c r="AO80" i="25"/>
  <c r="AN80" i="25"/>
  <c r="AM80" i="25"/>
  <c r="AL80" i="25"/>
  <c r="AK80" i="25"/>
  <c r="AJ80" i="25"/>
  <c r="AI80" i="25"/>
  <c r="AH80" i="25"/>
  <c r="X80" i="25"/>
  <c r="W80" i="25"/>
  <c r="V80" i="25"/>
  <c r="U80" i="25"/>
  <c r="T80" i="25"/>
  <c r="S80" i="25"/>
  <c r="R80" i="25"/>
  <c r="Q80" i="25"/>
  <c r="AO79" i="25"/>
  <c r="AN79" i="25"/>
  <c r="AM79" i="25"/>
  <c r="AL79" i="25"/>
  <c r="AK79" i="25"/>
  <c r="AJ79" i="25"/>
  <c r="AI79" i="25"/>
  <c r="AH79" i="25"/>
  <c r="X79" i="25"/>
  <c r="W79" i="25"/>
  <c r="V79" i="25"/>
  <c r="U79" i="25"/>
  <c r="T79" i="25"/>
  <c r="S79" i="25"/>
  <c r="R79" i="25"/>
  <c r="Q79" i="25"/>
  <c r="AO78" i="25"/>
  <c r="AN78" i="25"/>
  <c r="AM78" i="25"/>
  <c r="AL78" i="25"/>
  <c r="AK78" i="25"/>
  <c r="AJ78" i="25"/>
  <c r="AI78" i="25"/>
  <c r="AH78" i="25"/>
  <c r="X78" i="25"/>
  <c r="W78" i="25"/>
  <c r="V78" i="25"/>
  <c r="U78" i="25"/>
  <c r="T78" i="25"/>
  <c r="S78" i="25"/>
  <c r="R78" i="25"/>
  <c r="Q78" i="25"/>
  <c r="AO77" i="25"/>
  <c r="AN77" i="25"/>
  <c r="AM77" i="25"/>
  <c r="AL77" i="25"/>
  <c r="AK77" i="25"/>
  <c r="AJ77" i="25"/>
  <c r="AI77" i="25"/>
  <c r="AH77" i="25"/>
  <c r="X77" i="25"/>
  <c r="W77" i="25"/>
  <c r="V77" i="25"/>
  <c r="U77" i="25"/>
  <c r="T77" i="25"/>
  <c r="S77" i="25"/>
  <c r="R77" i="25"/>
  <c r="Q77" i="25"/>
  <c r="AO76" i="25"/>
  <c r="AN76" i="25"/>
  <c r="AM76" i="25"/>
  <c r="AL76" i="25"/>
  <c r="AK76" i="25"/>
  <c r="AJ76" i="25"/>
  <c r="AI76" i="25"/>
  <c r="AH76" i="25"/>
  <c r="X76" i="25"/>
  <c r="W76" i="25"/>
  <c r="V76" i="25"/>
  <c r="U76" i="25"/>
  <c r="T76" i="25"/>
  <c r="S76" i="25"/>
  <c r="R76" i="25"/>
  <c r="Q76" i="25"/>
  <c r="AO75" i="25"/>
  <c r="AN75" i="25"/>
  <c r="AM75" i="25"/>
  <c r="AL75" i="25"/>
  <c r="AK75" i="25"/>
  <c r="AJ75" i="25"/>
  <c r="AI75" i="25"/>
  <c r="AH75" i="25"/>
  <c r="X75" i="25"/>
  <c r="W75" i="25"/>
  <c r="V75" i="25"/>
  <c r="U75" i="25"/>
  <c r="T75" i="25"/>
  <c r="S75" i="25"/>
  <c r="R75" i="25"/>
  <c r="Q75" i="25"/>
  <c r="AO74" i="25"/>
  <c r="AN74" i="25"/>
  <c r="AM74" i="25"/>
  <c r="AL74" i="25"/>
  <c r="AK74" i="25"/>
  <c r="AJ74" i="25"/>
  <c r="AI74" i="25"/>
  <c r="AH74" i="25"/>
  <c r="X74" i="25"/>
  <c r="W74" i="25"/>
  <c r="V74" i="25"/>
  <c r="U74" i="25"/>
  <c r="T74" i="25"/>
  <c r="S74" i="25"/>
  <c r="R74" i="25"/>
  <c r="Q74" i="25"/>
  <c r="AO73" i="25"/>
  <c r="AN73" i="25"/>
  <c r="AM73" i="25"/>
  <c r="AL73" i="25"/>
  <c r="AK73" i="25"/>
  <c r="AJ73" i="25"/>
  <c r="AI73" i="25"/>
  <c r="AH73" i="25"/>
  <c r="X73" i="25"/>
  <c r="W73" i="25"/>
  <c r="V73" i="25"/>
  <c r="U73" i="25"/>
  <c r="T73" i="25"/>
  <c r="S73" i="25"/>
  <c r="R73" i="25"/>
  <c r="Q73" i="25"/>
  <c r="AO72" i="25"/>
  <c r="AN72" i="25"/>
  <c r="AM72" i="25"/>
  <c r="AL72" i="25"/>
  <c r="AK72" i="25"/>
  <c r="AJ72" i="25"/>
  <c r="AI72" i="25"/>
  <c r="AH72" i="25"/>
  <c r="X72" i="25"/>
  <c r="W72" i="25"/>
  <c r="V72" i="25"/>
  <c r="U72" i="25"/>
  <c r="T72" i="25"/>
  <c r="S72" i="25"/>
  <c r="R72" i="25"/>
  <c r="Q72" i="25"/>
  <c r="AO71" i="25"/>
  <c r="AN71" i="25"/>
  <c r="AM71" i="25"/>
  <c r="AL71" i="25"/>
  <c r="AK71" i="25"/>
  <c r="AJ71" i="25"/>
  <c r="AI71" i="25"/>
  <c r="AH71" i="25"/>
  <c r="X71" i="25"/>
  <c r="W71" i="25"/>
  <c r="V71" i="25"/>
  <c r="U71" i="25"/>
  <c r="T71" i="25"/>
  <c r="S71" i="25"/>
  <c r="R71" i="25"/>
  <c r="Q71" i="25"/>
  <c r="AO70" i="25"/>
  <c r="AN70" i="25"/>
  <c r="AM70" i="25"/>
  <c r="AL70" i="25"/>
  <c r="AK70" i="25"/>
  <c r="AJ70" i="25"/>
  <c r="AI70" i="25"/>
  <c r="AH70" i="25"/>
  <c r="X70" i="25"/>
  <c r="W70" i="25"/>
  <c r="V70" i="25"/>
  <c r="U70" i="25"/>
  <c r="T70" i="25"/>
  <c r="S70" i="25"/>
  <c r="R70" i="25"/>
  <c r="Q70" i="25"/>
  <c r="AO69" i="25"/>
  <c r="AN69" i="25"/>
  <c r="AM69" i="25"/>
  <c r="AL69" i="25"/>
  <c r="AK69" i="25"/>
  <c r="AJ69" i="25"/>
  <c r="AI69" i="25"/>
  <c r="AH69" i="25"/>
  <c r="X69" i="25"/>
  <c r="W69" i="25"/>
  <c r="V69" i="25"/>
  <c r="U69" i="25"/>
  <c r="T69" i="25"/>
  <c r="S69" i="25"/>
  <c r="R69" i="25"/>
  <c r="Q69" i="25"/>
  <c r="AO68" i="25"/>
  <c r="AN68" i="25"/>
  <c r="AM68" i="25"/>
  <c r="AL68" i="25"/>
  <c r="AK68" i="25"/>
  <c r="AJ68" i="25"/>
  <c r="AI68" i="25"/>
  <c r="AH68" i="25"/>
  <c r="X68" i="25"/>
  <c r="W68" i="25"/>
  <c r="V68" i="25"/>
  <c r="U68" i="25"/>
  <c r="T68" i="25"/>
  <c r="S68" i="25"/>
  <c r="R68" i="25"/>
  <c r="Q68" i="25"/>
  <c r="AO67" i="25"/>
  <c r="AN67" i="25"/>
  <c r="AM67" i="25"/>
  <c r="AL67" i="25"/>
  <c r="AK67" i="25"/>
  <c r="AJ67" i="25"/>
  <c r="AI67" i="25"/>
  <c r="AH67" i="25"/>
  <c r="X67" i="25"/>
  <c r="W67" i="25"/>
  <c r="V67" i="25"/>
  <c r="U67" i="25"/>
  <c r="T67" i="25"/>
  <c r="S67" i="25"/>
  <c r="R67" i="25"/>
  <c r="Q67" i="25"/>
  <c r="AO66" i="25"/>
  <c r="AN66" i="25"/>
  <c r="AM66" i="25"/>
  <c r="AL66" i="25"/>
  <c r="AK66" i="25"/>
  <c r="AJ66" i="25"/>
  <c r="AI66" i="25"/>
  <c r="AH66" i="25"/>
  <c r="X66" i="25"/>
  <c r="W66" i="25"/>
  <c r="V66" i="25"/>
  <c r="U66" i="25"/>
  <c r="T66" i="25"/>
  <c r="S66" i="25"/>
  <c r="R66" i="25"/>
  <c r="Q66" i="25"/>
  <c r="AO65" i="25"/>
  <c r="AN65" i="25"/>
  <c r="AM65" i="25"/>
  <c r="AL65" i="25"/>
  <c r="AK65" i="25"/>
  <c r="AJ65" i="25"/>
  <c r="AI65" i="25"/>
  <c r="AH65" i="25"/>
  <c r="X65" i="25"/>
  <c r="W65" i="25"/>
  <c r="V65" i="25"/>
  <c r="U65" i="25"/>
  <c r="T65" i="25"/>
  <c r="S65" i="25"/>
  <c r="R65" i="25"/>
  <c r="Q65" i="25"/>
  <c r="AO64" i="25"/>
  <c r="AN64" i="25"/>
  <c r="AM64" i="25"/>
  <c r="AL64" i="25"/>
  <c r="AK64" i="25"/>
  <c r="AJ64" i="25"/>
  <c r="AI64" i="25"/>
  <c r="AH64" i="25"/>
  <c r="X64" i="25"/>
  <c r="W64" i="25"/>
  <c r="V64" i="25"/>
  <c r="U64" i="25"/>
  <c r="T64" i="25"/>
  <c r="S64" i="25"/>
  <c r="R64" i="25"/>
  <c r="Q64" i="25"/>
  <c r="AO63" i="25"/>
  <c r="AN63" i="25"/>
  <c r="AM63" i="25"/>
  <c r="AL63" i="25"/>
  <c r="AK63" i="25"/>
  <c r="AJ63" i="25"/>
  <c r="AI63" i="25"/>
  <c r="AH63" i="25"/>
  <c r="X63" i="25"/>
  <c r="W63" i="25"/>
  <c r="V63" i="25"/>
  <c r="U63" i="25"/>
  <c r="T63" i="25"/>
  <c r="S63" i="25"/>
  <c r="R63" i="25"/>
  <c r="Q63" i="25"/>
  <c r="AO62" i="25"/>
  <c r="AN62" i="25"/>
  <c r="AM62" i="25"/>
  <c r="AL62" i="25"/>
  <c r="AK62" i="25"/>
  <c r="AJ62" i="25"/>
  <c r="AI62" i="25"/>
  <c r="AH62" i="25"/>
  <c r="X62" i="25"/>
  <c r="W62" i="25"/>
  <c r="V62" i="25"/>
  <c r="U62" i="25"/>
  <c r="T62" i="25"/>
  <c r="S62" i="25"/>
  <c r="R62" i="25"/>
  <c r="Q62" i="25"/>
  <c r="AO61" i="25"/>
  <c r="AN61" i="25"/>
  <c r="AM61" i="25"/>
  <c r="AL61" i="25"/>
  <c r="AK61" i="25"/>
  <c r="AJ61" i="25"/>
  <c r="AI61" i="25"/>
  <c r="AH61" i="25"/>
  <c r="X61" i="25"/>
  <c r="W61" i="25"/>
  <c r="V61" i="25"/>
  <c r="U61" i="25"/>
  <c r="T61" i="25"/>
  <c r="S61" i="25"/>
  <c r="R61" i="25"/>
  <c r="Q61" i="25"/>
  <c r="AO60" i="25"/>
  <c r="AN60" i="25"/>
  <c r="AM60" i="25"/>
  <c r="AL60" i="25"/>
  <c r="AK60" i="25"/>
  <c r="AJ60" i="25"/>
  <c r="AI60" i="25"/>
  <c r="AH60" i="25"/>
  <c r="X60" i="25"/>
  <c r="W60" i="25"/>
  <c r="V60" i="25"/>
  <c r="U60" i="25"/>
  <c r="T60" i="25"/>
  <c r="S60" i="25"/>
  <c r="R60" i="25"/>
  <c r="Q60" i="25"/>
  <c r="AO59" i="25"/>
  <c r="AN59" i="25"/>
  <c r="AM59" i="25"/>
  <c r="AL59" i="25"/>
  <c r="AK59" i="25"/>
  <c r="AJ59" i="25"/>
  <c r="AI59" i="25"/>
  <c r="AH59" i="25"/>
  <c r="X59" i="25"/>
  <c r="W59" i="25"/>
  <c r="V59" i="25"/>
  <c r="U59" i="25"/>
  <c r="T59" i="25"/>
  <c r="S59" i="25"/>
  <c r="R59" i="25"/>
  <c r="Q59" i="25"/>
  <c r="AO58" i="25"/>
  <c r="AN58" i="25"/>
  <c r="AM58" i="25"/>
  <c r="AL58" i="25"/>
  <c r="AK58" i="25"/>
  <c r="AJ58" i="25"/>
  <c r="AI58" i="25"/>
  <c r="AH58" i="25"/>
  <c r="X58" i="25"/>
  <c r="W58" i="25"/>
  <c r="V58" i="25"/>
  <c r="U58" i="25"/>
  <c r="T58" i="25"/>
  <c r="S58" i="25"/>
  <c r="R58" i="25"/>
  <c r="Q58" i="25"/>
  <c r="AO57" i="25"/>
  <c r="AN57" i="25"/>
  <c r="AM57" i="25"/>
  <c r="AL57" i="25"/>
  <c r="AK57" i="25"/>
  <c r="AJ57" i="25"/>
  <c r="AI57" i="25"/>
  <c r="AH57" i="25"/>
  <c r="X57" i="25"/>
  <c r="W57" i="25"/>
  <c r="V57" i="25"/>
  <c r="U57" i="25"/>
  <c r="T57" i="25"/>
  <c r="S57" i="25"/>
  <c r="R57" i="25"/>
  <c r="Q57" i="25"/>
  <c r="AO56" i="25"/>
  <c r="AN56" i="25"/>
  <c r="AM56" i="25"/>
  <c r="AL56" i="25"/>
  <c r="AK56" i="25"/>
  <c r="AJ56" i="25"/>
  <c r="AI56" i="25"/>
  <c r="AH56" i="25"/>
  <c r="X56" i="25"/>
  <c r="W56" i="25"/>
  <c r="V56" i="25"/>
  <c r="U56" i="25"/>
  <c r="T56" i="25"/>
  <c r="S56" i="25"/>
  <c r="R56" i="25"/>
  <c r="Q56" i="25"/>
  <c r="AO55" i="25"/>
  <c r="AN55" i="25"/>
  <c r="AM55" i="25"/>
  <c r="AL55" i="25"/>
  <c r="AK55" i="25"/>
  <c r="AJ55" i="25"/>
  <c r="AI55" i="25"/>
  <c r="AH55" i="25"/>
  <c r="X55" i="25"/>
  <c r="W55" i="25"/>
  <c r="V55" i="25"/>
  <c r="U55" i="25"/>
  <c r="T55" i="25"/>
  <c r="S55" i="25"/>
  <c r="R55" i="25"/>
  <c r="Q55" i="25"/>
  <c r="AO54" i="25"/>
  <c r="AN54" i="25"/>
  <c r="AM54" i="25"/>
  <c r="AL54" i="25"/>
  <c r="AK54" i="25"/>
  <c r="AJ54" i="25"/>
  <c r="AI54" i="25"/>
  <c r="AH54" i="25"/>
  <c r="X54" i="25"/>
  <c r="W54" i="25"/>
  <c r="V54" i="25"/>
  <c r="U54" i="25"/>
  <c r="T54" i="25"/>
  <c r="S54" i="25"/>
  <c r="R54" i="25"/>
  <c r="Q54" i="25"/>
  <c r="AO53" i="25"/>
  <c r="AN53" i="25"/>
  <c r="AM53" i="25"/>
  <c r="AL53" i="25"/>
  <c r="AK53" i="25"/>
  <c r="AJ53" i="25"/>
  <c r="AI53" i="25"/>
  <c r="AH53" i="25"/>
  <c r="X53" i="25"/>
  <c r="W53" i="25"/>
  <c r="V53" i="25"/>
  <c r="U53" i="25"/>
  <c r="T53" i="25"/>
  <c r="S53" i="25"/>
  <c r="R53" i="25"/>
  <c r="Q53" i="25"/>
  <c r="AO52" i="25"/>
  <c r="AN52" i="25"/>
  <c r="AM52" i="25"/>
  <c r="AL52" i="25"/>
  <c r="AK52" i="25"/>
  <c r="AJ52" i="25"/>
  <c r="AI52" i="25"/>
  <c r="AH52" i="25"/>
  <c r="X52" i="25"/>
  <c r="W52" i="25"/>
  <c r="V52" i="25"/>
  <c r="U52" i="25"/>
  <c r="T52" i="25"/>
  <c r="S52" i="25"/>
  <c r="R52" i="25"/>
  <c r="Q52" i="25"/>
  <c r="AO51" i="25"/>
  <c r="AN51" i="25"/>
  <c r="AM51" i="25"/>
  <c r="AL51" i="25"/>
  <c r="AK51" i="25"/>
  <c r="AJ51" i="25"/>
  <c r="AI51" i="25"/>
  <c r="AH51" i="25"/>
  <c r="X51" i="25"/>
  <c r="W51" i="25"/>
  <c r="V51" i="25"/>
  <c r="U51" i="25"/>
  <c r="T51" i="25"/>
  <c r="S51" i="25"/>
  <c r="R51" i="25"/>
  <c r="Q51" i="25"/>
  <c r="AO50" i="25"/>
  <c r="AN50" i="25"/>
  <c r="AM50" i="25"/>
  <c r="AL50" i="25"/>
  <c r="AK50" i="25"/>
  <c r="AJ50" i="25"/>
  <c r="AI50" i="25"/>
  <c r="AH50" i="25"/>
  <c r="X50" i="25"/>
  <c r="W50" i="25"/>
  <c r="V50" i="25"/>
  <c r="U50" i="25"/>
  <c r="T50" i="25"/>
  <c r="S50" i="25"/>
  <c r="R50" i="25"/>
  <c r="Q50" i="25"/>
  <c r="AO49" i="25"/>
  <c r="AN49" i="25"/>
  <c r="AM49" i="25"/>
  <c r="AL49" i="25"/>
  <c r="AK49" i="25"/>
  <c r="AJ49" i="25"/>
  <c r="AI49" i="25"/>
  <c r="AH49" i="25"/>
  <c r="X49" i="25"/>
  <c r="W49" i="25"/>
  <c r="V49" i="25"/>
  <c r="U49" i="25"/>
  <c r="T49" i="25"/>
  <c r="S49" i="25"/>
  <c r="R49" i="25"/>
  <c r="Q49" i="25"/>
  <c r="AO48" i="25"/>
  <c r="AN48" i="25"/>
  <c r="AM48" i="25"/>
  <c r="AL48" i="25"/>
  <c r="AK48" i="25"/>
  <c r="AJ48" i="25"/>
  <c r="AI48" i="25"/>
  <c r="AH48" i="25"/>
  <c r="X48" i="25"/>
  <c r="W48" i="25"/>
  <c r="V48" i="25"/>
  <c r="U48" i="25"/>
  <c r="T48" i="25"/>
  <c r="S48" i="25"/>
  <c r="R48" i="25"/>
  <c r="Q48" i="25"/>
  <c r="AO47" i="25"/>
  <c r="AN47" i="25"/>
  <c r="AM47" i="25"/>
  <c r="AL47" i="25"/>
  <c r="AK47" i="25"/>
  <c r="AJ47" i="25"/>
  <c r="AI47" i="25"/>
  <c r="AH47" i="25"/>
  <c r="X47" i="25"/>
  <c r="W47" i="25"/>
  <c r="V47" i="25"/>
  <c r="U47" i="25"/>
  <c r="T47" i="25"/>
  <c r="S47" i="25"/>
  <c r="R47" i="25"/>
  <c r="Q47" i="25"/>
  <c r="AO46" i="25"/>
  <c r="AN46" i="25"/>
  <c r="AM46" i="25"/>
  <c r="AL46" i="25"/>
  <c r="AK46" i="25"/>
  <c r="AJ46" i="25"/>
  <c r="AI46" i="25"/>
  <c r="AH46" i="25"/>
  <c r="X46" i="25"/>
  <c r="W46" i="25"/>
  <c r="V46" i="25"/>
  <c r="U46" i="25"/>
  <c r="T46" i="25"/>
  <c r="S46" i="25"/>
  <c r="R46" i="25"/>
  <c r="Q46" i="25"/>
  <c r="AO45" i="25"/>
  <c r="AN45" i="25"/>
  <c r="AM45" i="25"/>
  <c r="AL45" i="25"/>
  <c r="AK45" i="25"/>
  <c r="AJ45" i="25"/>
  <c r="AI45" i="25"/>
  <c r="AH45" i="25"/>
  <c r="X45" i="25"/>
  <c r="W45" i="25"/>
  <c r="V45" i="25"/>
  <c r="U45" i="25"/>
  <c r="T45" i="25"/>
  <c r="S45" i="25"/>
  <c r="R45" i="25"/>
  <c r="Q45" i="25"/>
  <c r="AO44" i="25"/>
  <c r="AN44" i="25"/>
  <c r="AM44" i="25"/>
  <c r="AL44" i="25"/>
  <c r="AK44" i="25"/>
  <c r="AJ44" i="25"/>
  <c r="AI44" i="25"/>
  <c r="AH44" i="25"/>
  <c r="X44" i="25"/>
  <c r="W44" i="25"/>
  <c r="V44" i="25"/>
  <c r="U44" i="25"/>
  <c r="T44" i="25"/>
  <c r="S44" i="25"/>
  <c r="R44" i="25"/>
  <c r="Q44" i="25"/>
  <c r="AO43" i="25"/>
  <c r="AN43" i="25"/>
  <c r="AM43" i="25"/>
  <c r="AL43" i="25"/>
  <c r="AK43" i="25"/>
  <c r="AJ43" i="25"/>
  <c r="AI43" i="25"/>
  <c r="AH43" i="25"/>
  <c r="X43" i="25"/>
  <c r="W43" i="25"/>
  <c r="V43" i="25"/>
  <c r="U43" i="25"/>
  <c r="T43" i="25"/>
  <c r="S43" i="25"/>
  <c r="R43" i="25"/>
  <c r="Q43" i="25"/>
  <c r="AO42" i="25"/>
  <c r="AN42" i="25"/>
  <c r="AM42" i="25"/>
  <c r="AL42" i="25"/>
  <c r="AK42" i="25"/>
  <c r="AJ42" i="25"/>
  <c r="AI42" i="25"/>
  <c r="AH42" i="25"/>
  <c r="X42" i="25"/>
  <c r="W42" i="25"/>
  <c r="V42" i="25"/>
  <c r="U42" i="25"/>
  <c r="T42" i="25"/>
  <c r="S42" i="25"/>
  <c r="R42" i="25"/>
  <c r="Q42" i="25"/>
  <c r="AO41" i="25"/>
  <c r="AN41" i="25"/>
  <c r="AM41" i="25"/>
  <c r="AL41" i="25"/>
  <c r="AK41" i="25"/>
  <c r="AJ41" i="25"/>
  <c r="AI41" i="25"/>
  <c r="AH41" i="25"/>
  <c r="X41" i="25"/>
  <c r="W41" i="25"/>
  <c r="V41" i="25"/>
  <c r="U41" i="25"/>
  <c r="T41" i="25"/>
  <c r="S41" i="25"/>
  <c r="R41" i="25"/>
  <c r="Q41" i="25"/>
  <c r="AO40" i="25"/>
  <c r="AN40" i="25"/>
  <c r="AM40" i="25"/>
  <c r="AL40" i="25"/>
  <c r="AK40" i="25"/>
  <c r="AJ40" i="25"/>
  <c r="AI40" i="25"/>
  <c r="AH40" i="25"/>
  <c r="X40" i="25"/>
  <c r="W40" i="25"/>
  <c r="V40" i="25"/>
  <c r="U40" i="25"/>
  <c r="T40" i="25"/>
  <c r="S40" i="25"/>
  <c r="R40" i="25"/>
  <c r="Q40" i="25"/>
  <c r="AO39" i="25"/>
  <c r="AN39" i="25"/>
  <c r="AM39" i="25"/>
  <c r="AL39" i="25"/>
  <c r="AK39" i="25"/>
  <c r="AJ39" i="25"/>
  <c r="AI39" i="25"/>
  <c r="AH39" i="25"/>
  <c r="X39" i="25"/>
  <c r="W39" i="25"/>
  <c r="V39" i="25"/>
  <c r="U39" i="25"/>
  <c r="T39" i="25"/>
  <c r="S39" i="25"/>
  <c r="R39" i="25"/>
  <c r="Q39" i="25"/>
  <c r="AO38" i="25"/>
  <c r="AN38" i="25"/>
  <c r="AM38" i="25"/>
  <c r="AL38" i="25"/>
  <c r="AK38" i="25"/>
  <c r="AJ38" i="25"/>
  <c r="AI38" i="25"/>
  <c r="AH38" i="25"/>
  <c r="X38" i="25"/>
  <c r="W38" i="25"/>
  <c r="V38" i="25"/>
  <c r="U38" i="25"/>
  <c r="T38" i="25"/>
  <c r="S38" i="25"/>
  <c r="R38" i="25"/>
  <c r="Q38" i="25"/>
  <c r="AO37" i="25"/>
  <c r="AN37" i="25"/>
  <c r="AM37" i="25"/>
  <c r="AL37" i="25"/>
  <c r="AK37" i="25"/>
  <c r="AJ37" i="25"/>
  <c r="AI37" i="25"/>
  <c r="AH37" i="25"/>
  <c r="X37" i="25"/>
  <c r="W37" i="25"/>
  <c r="V37" i="25"/>
  <c r="U37" i="25"/>
  <c r="T37" i="25"/>
  <c r="S37" i="25"/>
  <c r="R37" i="25"/>
  <c r="Q37" i="25"/>
  <c r="AO36" i="25"/>
  <c r="AN36" i="25"/>
  <c r="AM36" i="25"/>
  <c r="AL36" i="25"/>
  <c r="AK36" i="25"/>
  <c r="AJ36" i="25"/>
  <c r="AI36" i="25"/>
  <c r="AH36" i="25"/>
  <c r="X36" i="25"/>
  <c r="W36" i="25"/>
  <c r="V36" i="25"/>
  <c r="U36" i="25"/>
  <c r="T36" i="25"/>
  <c r="S36" i="25"/>
  <c r="R36" i="25"/>
  <c r="Q36" i="25"/>
  <c r="AO35" i="25"/>
  <c r="AN35" i="25"/>
  <c r="AM35" i="25"/>
  <c r="AL35" i="25"/>
  <c r="AK35" i="25"/>
  <c r="AJ35" i="25"/>
  <c r="AI35" i="25"/>
  <c r="AH35" i="25"/>
  <c r="X35" i="25"/>
  <c r="W35" i="25"/>
  <c r="V35" i="25"/>
  <c r="U35" i="25"/>
  <c r="T35" i="25"/>
  <c r="S35" i="25"/>
  <c r="R35" i="25"/>
  <c r="Q35" i="25"/>
  <c r="AO34" i="25"/>
  <c r="AN34" i="25"/>
  <c r="AM34" i="25"/>
  <c r="AL34" i="25"/>
  <c r="AK34" i="25"/>
  <c r="AJ34" i="25"/>
  <c r="AI34" i="25"/>
  <c r="AH34" i="25"/>
  <c r="X34" i="25"/>
  <c r="W34" i="25"/>
  <c r="V34" i="25"/>
  <c r="U34" i="25"/>
  <c r="T34" i="25"/>
  <c r="S34" i="25"/>
  <c r="R34" i="25"/>
  <c r="Q34" i="25"/>
  <c r="AO33" i="25"/>
  <c r="AN33" i="25"/>
  <c r="AM33" i="25"/>
  <c r="AL33" i="25"/>
  <c r="AK33" i="25"/>
  <c r="AJ33" i="25"/>
  <c r="AI33" i="25"/>
  <c r="AH33" i="25"/>
  <c r="X33" i="25"/>
  <c r="W33" i="25"/>
  <c r="V33" i="25"/>
  <c r="U33" i="25"/>
  <c r="T33" i="25"/>
  <c r="S33" i="25"/>
  <c r="R33" i="25"/>
  <c r="Q33" i="25"/>
  <c r="AO32" i="25"/>
  <c r="AN32" i="25"/>
  <c r="AM32" i="25"/>
  <c r="AL32" i="25"/>
  <c r="AK32" i="25"/>
  <c r="AJ32" i="25"/>
  <c r="AI32" i="25"/>
  <c r="AH32" i="25"/>
  <c r="X32" i="25"/>
  <c r="W32" i="25"/>
  <c r="V32" i="25"/>
  <c r="U32" i="25"/>
  <c r="T32" i="25"/>
  <c r="S32" i="25"/>
  <c r="R32" i="25"/>
  <c r="Q32" i="25"/>
  <c r="AO31" i="25"/>
  <c r="AN31" i="25"/>
  <c r="AM31" i="25"/>
  <c r="AL31" i="25"/>
  <c r="AK31" i="25"/>
  <c r="AJ31" i="25"/>
  <c r="AI31" i="25"/>
  <c r="AH31" i="25"/>
  <c r="X31" i="25"/>
  <c r="W31" i="25"/>
  <c r="V31" i="25"/>
  <c r="U31" i="25"/>
  <c r="T31" i="25"/>
  <c r="S31" i="25"/>
  <c r="R31" i="25"/>
  <c r="Q31" i="25"/>
  <c r="AO30" i="25"/>
  <c r="AN30" i="25"/>
  <c r="AM30" i="25"/>
  <c r="AL30" i="25"/>
  <c r="AK30" i="25"/>
  <c r="AJ30" i="25"/>
  <c r="AI30" i="25"/>
  <c r="AH30" i="25"/>
  <c r="X30" i="25"/>
  <c r="W30" i="25"/>
  <c r="V30" i="25"/>
  <c r="U30" i="25"/>
  <c r="T30" i="25"/>
  <c r="S30" i="25"/>
  <c r="R30" i="25"/>
  <c r="Q30" i="25"/>
  <c r="AO29" i="25"/>
  <c r="AN29" i="25"/>
  <c r="AM29" i="25"/>
  <c r="AL29" i="25"/>
  <c r="AK29" i="25"/>
  <c r="AJ29" i="25"/>
  <c r="AI29" i="25"/>
  <c r="AH29" i="25"/>
  <c r="X29" i="25"/>
  <c r="W29" i="25"/>
  <c r="V29" i="25"/>
  <c r="U29" i="25"/>
  <c r="T29" i="25"/>
  <c r="S29" i="25"/>
  <c r="R29" i="25"/>
  <c r="Q29" i="25"/>
  <c r="AO28" i="25"/>
  <c r="AN28" i="25"/>
  <c r="AM28" i="25"/>
  <c r="AL28" i="25"/>
  <c r="AK28" i="25"/>
  <c r="AJ28" i="25"/>
  <c r="AI28" i="25"/>
  <c r="AH28" i="25"/>
  <c r="X28" i="25"/>
  <c r="W28" i="25"/>
  <c r="V28" i="25"/>
  <c r="U28" i="25"/>
  <c r="T28" i="25"/>
  <c r="S28" i="25"/>
  <c r="R28" i="25"/>
  <c r="Q28" i="25"/>
  <c r="AO27" i="25"/>
  <c r="AN27" i="25"/>
  <c r="AM27" i="25"/>
  <c r="AL27" i="25"/>
  <c r="AK27" i="25"/>
  <c r="AJ27" i="25"/>
  <c r="AI27" i="25"/>
  <c r="AH27" i="25"/>
  <c r="X27" i="25"/>
  <c r="W27" i="25"/>
  <c r="V27" i="25"/>
  <c r="U27" i="25"/>
  <c r="T27" i="25"/>
  <c r="S27" i="25"/>
  <c r="R27" i="25"/>
  <c r="Q27" i="25"/>
  <c r="AO26" i="25"/>
  <c r="AN26" i="25"/>
  <c r="AM26" i="25"/>
  <c r="AL26" i="25"/>
  <c r="AK26" i="25"/>
  <c r="AJ26" i="25"/>
  <c r="AI26" i="25"/>
  <c r="AH26" i="25"/>
  <c r="X26" i="25"/>
  <c r="W26" i="25"/>
  <c r="V26" i="25"/>
  <c r="U26" i="25"/>
  <c r="T26" i="25"/>
  <c r="S26" i="25"/>
  <c r="R26" i="25"/>
  <c r="Q26" i="25"/>
  <c r="AO25" i="25"/>
  <c r="AN25" i="25"/>
  <c r="AM25" i="25"/>
  <c r="AL25" i="25"/>
  <c r="AK25" i="25"/>
  <c r="AJ25" i="25"/>
  <c r="AI25" i="25"/>
  <c r="AH25" i="25"/>
  <c r="X25" i="25"/>
  <c r="W25" i="25"/>
  <c r="V25" i="25"/>
  <c r="U25" i="25"/>
  <c r="T25" i="25"/>
  <c r="S25" i="25"/>
  <c r="R25" i="25"/>
  <c r="Q25" i="25"/>
  <c r="AO24" i="25"/>
  <c r="AN24" i="25"/>
  <c r="AM24" i="25"/>
  <c r="AL24" i="25"/>
  <c r="AK24" i="25"/>
  <c r="AJ24" i="25"/>
  <c r="AI24" i="25"/>
  <c r="AH24" i="25"/>
  <c r="X24" i="25"/>
  <c r="W24" i="25"/>
  <c r="V24" i="25"/>
  <c r="U24" i="25"/>
  <c r="T24" i="25"/>
  <c r="S24" i="25"/>
  <c r="R24" i="25"/>
  <c r="Q24" i="25"/>
  <c r="AO23" i="25"/>
  <c r="AN23" i="25"/>
  <c r="AM23" i="25"/>
  <c r="AL23" i="25"/>
  <c r="AK23" i="25"/>
  <c r="AJ23" i="25"/>
  <c r="AI23" i="25"/>
  <c r="AH23" i="25"/>
  <c r="X23" i="25"/>
  <c r="W23" i="25"/>
  <c r="V23" i="25"/>
  <c r="U23" i="25"/>
  <c r="T23" i="25"/>
  <c r="S23" i="25"/>
  <c r="R23" i="25"/>
  <c r="Q23" i="25"/>
  <c r="AO22" i="25"/>
  <c r="AN22" i="25"/>
  <c r="AM22" i="25"/>
  <c r="AL22" i="25"/>
  <c r="AK22" i="25"/>
  <c r="AJ22" i="25"/>
  <c r="AI22" i="25"/>
  <c r="AH22" i="25"/>
  <c r="X22" i="25"/>
  <c r="W22" i="25"/>
  <c r="V22" i="25"/>
  <c r="U22" i="25"/>
  <c r="T22" i="25"/>
  <c r="S22" i="25"/>
  <c r="R22" i="25"/>
  <c r="Q22" i="25"/>
  <c r="AO21" i="25"/>
  <c r="AN21" i="25"/>
  <c r="AM21" i="25"/>
  <c r="AL21" i="25"/>
  <c r="AK21" i="25"/>
  <c r="AJ21" i="25"/>
  <c r="AI21" i="25"/>
  <c r="AH21" i="25"/>
  <c r="X21" i="25"/>
  <c r="W21" i="25"/>
  <c r="V21" i="25"/>
  <c r="U21" i="25"/>
  <c r="T21" i="25"/>
  <c r="S21" i="25"/>
  <c r="R21" i="25"/>
  <c r="Q21" i="25"/>
  <c r="AO20" i="25"/>
  <c r="AN20" i="25"/>
  <c r="AM20" i="25"/>
  <c r="AL20" i="25"/>
  <c r="AK20" i="25"/>
  <c r="AJ20" i="25"/>
  <c r="AI20" i="25"/>
  <c r="AH20" i="25"/>
  <c r="X20" i="25"/>
  <c r="W20" i="25"/>
  <c r="V20" i="25"/>
  <c r="U20" i="25"/>
  <c r="T20" i="25"/>
  <c r="S20" i="25"/>
  <c r="R20" i="25"/>
  <c r="Q20" i="25"/>
  <c r="AO19" i="25"/>
  <c r="AN19" i="25"/>
  <c r="AM19" i="25"/>
  <c r="AL19" i="25"/>
  <c r="AK19" i="25"/>
  <c r="AJ19" i="25"/>
  <c r="AI19" i="25"/>
  <c r="AH19" i="25"/>
  <c r="X19" i="25"/>
  <c r="W19" i="25"/>
  <c r="V19" i="25"/>
  <c r="U19" i="25"/>
  <c r="T19" i="25"/>
  <c r="S19" i="25"/>
  <c r="R19" i="25"/>
  <c r="Q19" i="25"/>
  <c r="AO18" i="25"/>
  <c r="AN18" i="25"/>
  <c r="AM18" i="25"/>
  <c r="AL18" i="25"/>
  <c r="AK18" i="25"/>
  <c r="AJ18" i="25"/>
  <c r="AI18" i="25"/>
  <c r="AH18" i="25"/>
  <c r="X18" i="25"/>
  <c r="W18" i="25"/>
  <c r="V18" i="25"/>
  <c r="U18" i="25"/>
  <c r="T18" i="25"/>
  <c r="S18" i="25"/>
  <c r="R18" i="25"/>
  <c r="Q18" i="25"/>
  <c r="AO17" i="25"/>
  <c r="AN17" i="25"/>
  <c r="AM17" i="25"/>
  <c r="AL17" i="25"/>
  <c r="AK17" i="25"/>
  <c r="AJ17" i="25"/>
  <c r="AI17" i="25"/>
  <c r="AH17" i="25"/>
  <c r="X17" i="25"/>
  <c r="W17" i="25"/>
  <c r="V17" i="25"/>
  <c r="U17" i="25"/>
  <c r="T17" i="25"/>
  <c r="S17" i="25"/>
  <c r="R17" i="25"/>
  <c r="Q17" i="25"/>
  <c r="AO16" i="25"/>
  <c r="AN16" i="25"/>
  <c r="AM16" i="25"/>
  <c r="AL16" i="25"/>
  <c r="AK16" i="25"/>
  <c r="AJ16" i="25"/>
  <c r="AI16" i="25"/>
  <c r="AH16" i="25"/>
  <c r="X16" i="25"/>
  <c r="W16" i="25"/>
  <c r="V16" i="25"/>
  <c r="U16" i="25"/>
  <c r="T16" i="25"/>
  <c r="S16" i="25"/>
  <c r="R16" i="25"/>
  <c r="Q16" i="25"/>
  <c r="AO15" i="25"/>
  <c r="AN15" i="25"/>
  <c r="AM15" i="25"/>
  <c r="AL15" i="25"/>
  <c r="AK15" i="25"/>
  <c r="AJ15" i="25"/>
  <c r="AI15" i="25"/>
  <c r="AH15" i="25"/>
  <c r="X15" i="25"/>
  <c r="W15" i="25"/>
  <c r="V15" i="25"/>
  <c r="U15" i="25"/>
  <c r="T15" i="25"/>
  <c r="S15" i="25"/>
  <c r="R15" i="25"/>
  <c r="Q15" i="25"/>
  <c r="AO14" i="25"/>
  <c r="AN14" i="25"/>
  <c r="AM14" i="25"/>
  <c r="AL14" i="25"/>
  <c r="AK14" i="25"/>
  <c r="AJ14" i="25"/>
  <c r="AI14" i="25"/>
  <c r="AH14" i="25"/>
  <c r="X14" i="25"/>
  <c r="W14" i="25"/>
  <c r="V14" i="25"/>
  <c r="U14" i="25"/>
  <c r="T14" i="25"/>
  <c r="S14" i="25"/>
  <c r="R14" i="25"/>
  <c r="Q14" i="25"/>
  <c r="AO13" i="25"/>
  <c r="AN13" i="25"/>
  <c r="AM13" i="25"/>
  <c r="AL13" i="25"/>
  <c r="AK13" i="25"/>
  <c r="AJ13" i="25"/>
  <c r="AI13" i="25"/>
  <c r="AH13" i="25"/>
  <c r="X13" i="25"/>
  <c r="W13" i="25"/>
  <c r="V13" i="25"/>
  <c r="U13" i="25"/>
  <c r="T13" i="25"/>
  <c r="S13" i="25"/>
  <c r="R13" i="25"/>
  <c r="Q13" i="25"/>
  <c r="AO12" i="25"/>
  <c r="AN12" i="25"/>
  <c r="AM12" i="25"/>
  <c r="AL12" i="25"/>
  <c r="AK12" i="25"/>
  <c r="AJ12" i="25"/>
  <c r="AI12" i="25"/>
  <c r="AH12" i="25"/>
  <c r="X12" i="25"/>
  <c r="W12" i="25"/>
  <c r="V12" i="25"/>
  <c r="U12" i="25"/>
  <c r="T12" i="25"/>
  <c r="S12" i="25"/>
  <c r="R12" i="25"/>
  <c r="Q12" i="25"/>
  <c r="AO11" i="25"/>
  <c r="AN11" i="25"/>
  <c r="AM11" i="25"/>
  <c r="AL11" i="25"/>
  <c r="AK11" i="25"/>
  <c r="AJ11" i="25"/>
  <c r="AI11" i="25"/>
  <c r="AH11" i="25"/>
  <c r="X11" i="25"/>
  <c r="W11" i="25"/>
  <c r="V11" i="25"/>
  <c r="U11" i="25"/>
  <c r="T11" i="25"/>
  <c r="S11" i="25"/>
  <c r="R11" i="25"/>
  <c r="Q11" i="25"/>
  <c r="AO10" i="25"/>
  <c r="AN10" i="25"/>
  <c r="AM10" i="25"/>
  <c r="AL10" i="25"/>
  <c r="AK10" i="25"/>
  <c r="AJ10" i="25"/>
  <c r="AI10" i="25"/>
  <c r="AH10" i="25"/>
  <c r="X10" i="25"/>
  <c r="W10" i="25"/>
  <c r="V10" i="25"/>
  <c r="U10" i="25"/>
  <c r="T10" i="25"/>
  <c r="S10" i="25"/>
  <c r="R10" i="25"/>
  <c r="Q10" i="25"/>
  <c r="AO9" i="25"/>
  <c r="AN9" i="25"/>
  <c r="AM9" i="25"/>
  <c r="AL9" i="25"/>
  <c r="AK9" i="25"/>
  <c r="AJ9" i="25"/>
  <c r="AI9" i="25"/>
  <c r="AH9" i="25"/>
  <c r="X9" i="25"/>
  <c r="W9" i="25"/>
  <c r="V9" i="25"/>
  <c r="U9" i="25"/>
  <c r="T9" i="25"/>
  <c r="S9" i="25"/>
  <c r="R9" i="25"/>
  <c r="Q9" i="25"/>
  <c r="AO8" i="25"/>
  <c r="AN8" i="25"/>
  <c r="AM8" i="25"/>
  <c r="AL8" i="25"/>
  <c r="AK8" i="25"/>
  <c r="AJ8" i="25"/>
  <c r="AI8" i="25"/>
  <c r="AH8" i="25"/>
  <c r="AH6" i="25" s="1"/>
  <c r="X8" i="25"/>
  <c r="W8" i="25"/>
  <c r="V8" i="25"/>
  <c r="U8" i="25"/>
  <c r="T8" i="25"/>
  <c r="S8" i="25"/>
  <c r="R8" i="25"/>
  <c r="Q8" i="25"/>
  <c r="AO6" i="25"/>
  <c r="AN6" i="25"/>
  <c r="AM6" i="25"/>
  <c r="AL6" i="25"/>
  <c r="AK6" i="25"/>
  <c r="AJ6" i="25"/>
  <c r="AI6" i="25"/>
  <c r="AG6" i="25"/>
  <c r="AF6" i="25"/>
  <c r="AE6" i="25"/>
  <c r="AD6" i="25"/>
  <c r="AC6" i="25"/>
  <c r="AB6" i="25"/>
  <c r="AA6" i="25"/>
  <c r="Z6" i="25"/>
  <c r="X6" i="25"/>
  <c r="W6" i="25"/>
  <c r="V6" i="25"/>
  <c r="U6" i="25"/>
  <c r="T6" i="25"/>
  <c r="S6" i="25"/>
  <c r="R6" i="25"/>
  <c r="Q6" i="25"/>
  <c r="P6" i="25"/>
  <c r="O6" i="25"/>
  <c r="N6" i="25"/>
  <c r="M6" i="25"/>
  <c r="L6" i="25"/>
  <c r="K6" i="25"/>
  <c r="J6" i="25"/>
  <c r="I6" i="25"/>
  <c r="G6" i="25"/>
  <c r="F6" i="25"/>
  <c r="D6" i="25"/>
  <c r="C6" i="25"/>
  <c r="D1" i="25"/>
  <c r="E1" i="25" s="1"/>
  <c r="F1" i="25" s="1"/>
  <c r="G1" i="25" s="1"/>
  <c r="H1" i="25" s="1"/>
  <c r="I1" i="25" s="1"/>
  <c r="J1" i="25" s="1"/>
  <c r="K1" i="25" s="1"/>
  <c r="L1" i="25" s="1"/>
  <c r="M1" i="25" s="1"/>
  <c r="N1" i="25" s="1"/>
  <c r="O1" i="25" s="1"/>
  <c r="P1" i="25" s="1"/>
  <c r="Q1" i="25" s="1"/>
  <c r="R1" i="25" s="1"/>
  <c r="S1" i="25" s="1"/>
  <c r="T1" i="25" s="1"/>
  <c r="U1" i="25" s="1"/>
  <c r="V1" i="25" s="1"/>
  <c r="W1" i="25" s="1"/>
  <c r="X1" i="25" s="1"/>
  <c r="Y1" i="25" s="1"/>
  <c r="Z1" i="25" s="1"/>
  <c r="AA1" i="25" s="1"/>
  <c r="AB1" i="25" s="1"/>
  <c r="AC1" i="25" s="1"/>
  <c r="AD1" i="25" s="1"/>
  <c r="AE1" i="25" s="1"/>
  <c r="AF1" i="25" s="1"/>
  <c r="AG1" i="25" s="1"/>
  <c r="AH1" i="25" s="1"/>
  <c r="AI1" i="25" s="1"/>
  <c r="AJ1" i="25" s="1"/>
  <c r="AK1" i="25" s="1"/>
  <c r="AL1" i="25" s="1"/>
  <c r="AM1" i="25" s="1"/>
  <c r="AN1" i="25" s="1"/>
  <c r="AO1" i="25" s="1"/>
  <c r="C1" i="25"/>
  <c r="B1" i="25"/>
  <c r="AI9" i="49"/>
  <c r="AI10" i="49"/>
  <c r="AI11" i="49"/>
  <c r="AI12" i="49"/>
  <c r="AI13" i="49"/>
  <c r="AI14" i="49"/>
  <c r="AI15" i="49"/>
  <c r="AI16" i="49"/>
  <c r="AI17" i="49"/>
  <c r="AI18" i="49"/>
  <c r="AI19" i="49"/>
  <c r="AI20" i="49"/>
  <c r="AI21" i="49"/>
  <c r="AI22" i="49"/>
  <c r="AI23" i="49"/>
  <c r="AI24" i="49"/>
  <c r="AI25" i="49"/>
  <c r="AI26" i="49"/>
  <c r="AI27" i="49"/>
  <c r="AI28" i="49"/>
  <c r="AI29" i="49"/>
  <c r="AI30" i="49"/>
  <c r="AI31" i="49"/>
  <c r="AI32" i="49"/>
  <c r="AI33" i="49"/>
  <c r="AI34" i="49"/>
  <c r="AI35" i="49"/>
  <c r="AI36" i="49"/>
  <c r="AI37" i="49"/>
  <c r="AI38" i="49"/>
  <c r="AI39" i="49"/>
  <c r="AI40" i="49"/>
  <c r="AI41" i="49"/>
  <c r="AI42" i="49"/>
  <c r="AI43" i="49"/>
  <c r="AI44" i="49"/>
  <c r="AI45" i="49"/>
  <c r="AI46" i="49"/>
  <c r="AI47" i="49"/>
  <c r="AI48" i="49"/>
  <c r="AI49" i="49"/>
  <c r="AI50" i="49"/>
  <c r="AI51" i="49"/>
  <c r="AI52" i="49"/>
  <c r="AI53" i="49"/>
  <c r="AI54" i="49"/>
  <c r="AI55" i="49"/>
  <c r="AI56" i="49"/>
  <c r="AI57" i="49"/>
  <c r="AI58" i="49"/>
  <c r="AI59" i="49"/>
  <c r="AI60" i="49"/>
  <c r="AI61" i="49"/>
  <c r="AI62" i="49"/>
  <c r="AI63" i="49"/>
  <c r="AI64" i="49"/>
  <c r="AI65" i="49"/>
  <c r="AI66" i="49"/>
  <c r="AI67" i="49"/>
  <c r="AI68" i="49"/>
  <c r="AI69" i="49"/>
  <c r="AI70" i="49"/>
  <c r="AI71" i="49"/>
  <c r="AI72" i="49"/>
  <c r="AI73" i="49"/>
  <c r="AI74" i="49"/>
  <c r="AI75" i="49"/>
  <c r="AI76" i="49"/>
  <c r="AI77" i="49"/>
  <c r="AI78" i="49"/>
  <c r="AI79" i="49"/>
  <c r="AI80" i="49"/>
  <c r="AI81" i="49"/>
  <c r="AI82" i="49"/>
  <c r="AI83" i="49"/>
  <c r="AI84" i="49"/>
  <c r="AI85" i="49"/>
  <c r="AI86" i="49"/>
  <c r="AI87" i="49"/>
  <c r="AI88" i="49"/>
  <c r="AI89" i="49"/>
  <c r="AI90" i="49"/>
  <c r="AI91" i="49"/>
  <c r="AI92" i="49"/>
  <c r="AI93" i="49"/>
  <c r="AI94" i="49"/>
  <c r="AI95" i="49"/>
  <c r="AI96" i="49"/>
  <c r="AI97" i="49"/>
  <c r="AI98" i="49"/>
  <c r="AI99" i="49"/>
  <c r="AI100" i="49"/>
  <c r="AI101" i="49"/>
  <c r="AI102" i="49"/>
  <c r="AI103" i="49"/>
  <c r="AI104" i="49"/>
  <c r="AI105" i="49"/>
  <c r="AI106" i="49"/>
  <c r="AI107" i="49"/>
  <c r="AI108" i="49"/>
  <c r="AI109" i="49"/>
  <c r="AI110" i="49"/>
  <c r="AI111" i="49"/>
  <c r="AI112" i="49"/>
  <c r="AI113" i="49"/>
  <c r="AI114" i="49"/>
  <c r="AI115" i="49"/>
  <c r="AI116" i="49"/>
  <c r="AI117" i="49"/>
  <c r="AI118" i="49"/>
  <c r="AI119" i="49"/>
  <c r="AI120" i="49"/>
  <c r="AI121" i="49"/>
  <c r="AI122" i="49"/>
  <c r="AI123" i="49"/>
  <c r="AI124" i="49"/>
  <c r="AI125" i="49"/>
  <c r="AI126" i="49"/>
  <c r="AI127" i="49"/>
  <c r="AI128" i="49"/>
  <c r="AI129" i="49"/>
  <c r="AI130" i="49"/>
  <c r="AI131" i="49"/>
  <c r="AI132" i="49"/>
  <c r="AI133" i="49"/>
  <c r="AI134" i="49"/>
  <c r="AI135" i="49"/>
  <c r="AI136" i="49"/>
  <c r="AI137" i="49"/>
  <c r="AI138" i="49"/>
  <c r="AI139" i="49"/>
  <c r="AI140" i="49"/>
  <c r="AI141" i="49"/>
  <c r="AI142" i="49"/>
  <c r="AI143" i="49"/>
  <c r="AI144" i="49"/>
  <c r="AI145" i="49"/>
  <c r="AI146" i="49"/>
  <c r="AI147" i="49"/>
  <c r="AI148" i="49"/>
  <c r="AI149" i="49"/>
  <c r="AI150" i="49"/>
  <c r="AI151" i="49"/>
  <c r="AI152" i="49"/>
  <c r="AI153" i="49"/>
  <c r="AI154" i="49"/>
  <c r="AI155" i="49"/>
  <c r="AI156" i="49"/>
  <c r="AI157" i="49"/>
  <c r="AI158" i="49"/>
  <c r="AI159" i="49"/>
  <c r="AI160" i="49"/>
  <c r="AI161" i="49"/>
  <c r="AI162" i="49"/>
  <c r="AI163" i="49"/>
  <c r="AI164" i="49"/>
  <c r="AI165" i="49"/>
  <c r="AI166" i="49"/>
  <c r="AI167" i="49"/>
  <c r="AI168" i="49"/>
  <c r="AI169" i="49"/>
  <c r="AI170" i="49"/>
  <c r="AI171" i="49"/>
  <c r="AI172" i="49"/>
  <c r="AI173" i="49"/>
  <c r="AI174" i="49"/>
  <c r="AI175" i="49"/>
  <c r="AI176" i="49"/>
  <c r="AI177" i="49"/>
  <c r="AI178" i="49"/>
  <c r="AI179" i="49"/>
  <c r="AI180" i="49"/>
  <c r="AI181" i="49"/>
  <c r="AI182" i="49"/>
  <c r="AI183" i="49"/>
  <c r="AI184" i="49"/>
  <c r="AI185" i="49"/>
  <c r="AI186" i="49"/>
  <c r="AI187" i="49"/>
  <c r="AI188" i="49"/>
  <c r="AI189" i="49"/>
  <c r="AI190" i="49"/>
  <c r="AI191" i="49"/>
  <c r="AI192" i="49"/>
  <c r="AI193" i="49"/>
  <c r="AI194" i="49"/>
  <c r="AI195" i="49"/>
  <c r="AI196" i="49"/>
  <c r="AI197" i="49"/>
  <c r="AI198" i="49"/>
  <c r="AI199" i="49"/>
  <c r="AI200" i="49"/>
  <c r="AI201" i="49"/>
  <c r="AI202" i="49"/>
  <c r="AI203" i="49"/>
  <c r="AI204" i="49"/>
  <c r="AI205" i="49"/>
  <c r="AI206" i="49"/>
  <c r="AI207" i="49"/>
  <c r="AI208" i="49"/>
  <c r="AI209" i="49"/>
  <c r="AI210" i="49"/>
  <c r="AI211" i="49"/>
  <c r="AI212" i="49"/>
  <c r="AI213" i="49"/>
  <c r="AI214" i="49"/>
  <c r="AI215" i="49"/>
  <c r="AI216" i="49"/>
  <c r="AI217" i="49"/>
  <c r="AI218" i="49"/>
  <c r="AI219" i="49"/>
  <c r="AI220" i="49"/>
  <c r="AI221" i="49"/>
  <c r="AI222" i="49"/>
  <c r="AI223" i="49"/>
  <c r="AI224" i="49"/>
  <c r="AI225" i="49"/>
  <c r="AI226" i="49"/>
  <c r="AI227" i="49"/>
  <c r="AI228" i="49"/>
  <c r="AI229" i="49"/>
  <c r="AI230" i="49"/>
  <c r="AI231" i="49"/>
  <c r="AI232" i="49"/>
  <c r="AI233" i="49"/>
  <c r="AI234" i="49"/>
  <c r="AI235" i="49"/>
  <c r="AI236" i="49"/>
  <c r="AI237" i="49"/>
  <c r="AI238" i="49"/>
  <c r="AI239" i="49"/>
  <c r="AI240" i="49"/>
  <c r="AI241" i="49"/>
  <c r="AI242" i="49"/>
  <c r="AI243" i="49"/>
  <c r="AI244" i="49"/>
  <c r="AI245" i="49"/>
  <c r="AI246" i="49"/>
  <c r="AI247" i="49"/>
  <c r="AI248" i="49"/>
  <c r="AI249" i="49"/>
  <c r="AI250" i="49"/>
  <c r="AI251" i="49"/>
  <c r="AI252" i="49"/>
  <c r="AI253" i="49"/>
  <c r="AI254" i="49"/>
  <c r="AI255" i="49"/>
  <c r="AI256" i="49"/>
  <c r="AI257" i="49"/>
  <c r="AI258" i="49"/>
  <c r="AI259" i="49"/>
  <c r="AI260" i="49"/>
  <c r="AI261" i="49"/>
  <c r="AI262" i="49"/>
  <c r="AI263" i="49"/>
  <c r="AI264" i="49"/>
  <c r="AI265" i="49"/>
  <c r="AI266" i="49"/>
  <c r="AI267" i="49"/>
  <c r="AI268" i="49"/>
  <c r="AI269" i="49"/>
  <c r="AI270" i="49"/>
  <c r="AI271" i="49"/>
  <c r="AI272" i="49"/>
  <c r="AI273" i="49"/>
  <c r="AI274" i="49"/>
  <c r="AI275" i="49"/>
  <c r="AI276" i="49"/>
  <c r="AI277" i="49"/>
  <c r="AI278" i="49"/>
  <c r="AI279" i="49"/>
  <c r="AI280" i="49"/>
  <c r="AI281" i="49"/>
  <c r="AI282" i="49"/>
  <c r="AI283" i="49"/>
  <c r="AI284" i="49"/>
  <c r="AI285" i="49"/>
  <c r="AI286" i="49"/>
  <c r="AI287" i="49"/>
  <c r="AI288" i="49"/>
  <c r="AI289" i="49"/>
  <c r="AI290" i="49"/>
  <c r="AI291" i="49"/>
  <c r="AI292" i="49"/>
  <c r="AI293" i="49"/>
  <c r="AI294" i="49"/>
  <c r="AI295" i="49"/>
  <c r="AI296" i="49"/>
  <c r="AI297" i="49"/>
  <c r="AI298" i="49"/>
  <c r="AI299" i="49"/>
  <c r="AI300" i="49"/>
  <c r="AI301" i="49"/>
  <c r="AI302" i="49"/>
  <c r="AI303" i="49"/>
  <c r="AI304" i="49"/>
  <c r="AI305" i="49"/>
  <c r="AI306" i="49"/>
  <c r="AI307" i="49"/>
  <c r="AI308" i="49"/>
  <c r="AI309" i="49"/>
  <c r="AI8" i="49"/>
  <c r="AH9" i="49"/>
  <c r="AH10" i="49"/>
  <c r="AH11" i="49"/>
  <c r="AH12" i="49"/>
  <c r="AH13" i="49"/>
  <c r="AH14" i="49"/>
  <c r="AH15" i="49"/>
  <c r="AH16" i="49"/>
  <c r="AH17" i="49"/>
  <c r="AH18" i="49"/>
  <c r="AH19" i="49"/>
  <c r="AH20" i="49"/>
  <c r="AH21" i="49"/>
  <c r="AH22" i="49"/>
  <c r="AH23" i="49"/>
  <c r="AH24" i="49"/>
  <c r="AH25" i="49"/>
  <c r="AH26" i="49"/>
  <c r="AH27" i="49"/>
  <c r="AH28" i="49"/>
  <c r="AH29" i="49"/>
  <c r="AH30" i="49"/>
  <c r="AH31" i="49"/>
  <c r="AH32" i="49"/>
  <c r="AH33" i="49"/>
  <c r="AH34" i="49"/>
  <c r="AH35" i="49"/>
  <c r="AH36" i="49"/>
  <c r="AH37" i="49"/>
  <c r="AH38" i="49"/>
  <c r="AH39" i="49"/>
  <c r="AH40" i="49"/>
  <c r="AH41" i="49"/>
  <c r="AH42" i="49"/>
  <c r="AH43" i="49"/>
  <c r="AH44" i="49"/>
  <c r="AH45" i="49"/>
  <c r="AH46" i="49"/>
  <c r="AH47" i="49"/>
  <c r="AH48" i="49"/>
  <c r="AH49" i="49"/>
  <c r="AH50" i="49"/>
  <c r="AH51" i="49"/>
  <c r="AH52" i="49"/>
  <c r="AH53" i="49"/>
  <c r="AH54" i="49"/>
  <c r="AH55" i="49"/>
  <c r="AH56" i="49"/>
  <c r="AH57" i="49"/>
  <c r="AH58" i="49"/>
  <c r="AH59" i="49"/>
  <c r="AH60" i="49"/>
  <c r="AH61" i="49"/>
  <c r="AH62" i="49"/>
  <c r="AH63" i="49"/>
  <c r="AH64" i="49"/>
  <c r="AH65" i="49"/>
  <c r="AH66" i="49"/>
  <c r="AH67" i="49"/>
  <c r="AH68" i="49"/>
  <c r="AH69" i="49"/>
  <c r="AH70" i="49"/>
  <c r="AH71" i="49"/>
  <c r="AH72" i="49"/>
  <c r="AH73" i="49"/>
  <c r="AH74" i="49"/>
  <c r="AH75" i="49"/>
  <c r="AH76" i="49"/>
  <c r="AH77" i="49"/>
  <c r="AH78" i="49"/>
  <c r="AH79" i="49"/>
  <c r="AH80" i="49"/>
  <c r="AH81" i="49"/>
  <c r="AH82" i="49"/>
  <c r="AH83" i="49"/>
  <c r="AH84" i="49"/>
  <c r="AH85" i="49"/>
  <c r="AH86" i="49"/>
  <c r="AH87" i="49"/>
  <c r="AH88" i="49"/>
  <c r="AH89" i="49"/>
  <c r="AH90" i="49"/>
  <c r="AH91" i="49"/>
  <c r="AH92" i="49"/>
  <c r="AH93" i="49"/>
  <c r="AH94" i="49"/>
  <c r="AH95" i="49"/>
  <c r="AH96" i="49"/>
  <c r="AH97" i="49"/>
  <c r="AH98" i="49"/>
  <c r="AH99" i="49"/>
  <c r="AH100" i="49"/>
  <c r="AH101" i="49"/>
  <c r="AH102" i="49"/>
  <c r="AH103" i="49"/>
  <c r="AH104" i="49"/>
  <c r="AH105" i="49"/>
  <c r="AH106" i="49"/>
  <c r="AH107" i="49"/>
  <c r="AH108" i="49"/>
  <c r="AH109" i="49"/>
  <c r="AH110" i="49"/>
  <c r="AH111" i="49"/>
  <c r="AH112" i="49"/>
  <c r="AH113" i="49"/>
  <c r="AH114" i="49"/>
  <c r="AH115" i="49"/>
  <c r="AH116" i="49"/>
  <c r="AH117" i="49"/>
  <c r="AH118" i="49"/>
  <c r="AH119" i="49"/>
  <c r="AH120" i="49"/>
  <c r="AH121" i="49"/>
  <c r="AH122" i="49"/>
  <c r="AH123" i="49"/>
  <c r="AH124" i="49"/>
  <c r="AH125" i="49"/>
  <c r="AH126" i="49"/>
  <c r="AH127" i="49"/>
  <c r="AH128" i="49"/>
  <c r="AH129" i="49"/>
  <c r="AH130" i="49"/>
  <c r="AH131" i="49"/>
  <c r="AH132" i="49"/>
  <c r="AH133" i="49"/>
  <c r="AH134" i="49"/>
  <c r="AH135" i="49"/>
  <c r="AH136" i="49"/>
  <c r="AH137" i="49"/>
  <c r="AH138" i="49"/>
  <c r="AH139" i="49"/>
  <c r="AH140" i="49"/>
  <c r="AH141" i="49"/>
  <c r="AH142" i="49"/>
  <c r="AH143" i="49"/>
  <c r="AH144" i="49"/>
  <c r="AH145" i="49"/>
  <c r="AH146" i="49"/>
  <c r="AH147" i="49"/>
  <c r="AH148" i="49"/>
  <c r="AH149" i="49"/>
  <c r="AH150" i="49"/>
  <c r="AH151" i="49"/>
  <c r="AH152" i="49"/>
  <c r="AH153" i="49"/>
  <c r="AH154" i="49"/>
  <c r="AH155" i="49"/>
  <c r="AH156" i="49"/>
  <c r="AH157" i="49"/>
  <c r="AH158" i="49"/>
  <c r="AH159" i="49"/>
  <c r="AH160" i="49"/>
  <c r="AH161" i="49"/>
  <c r="AH162" i="49"/>
  <c r="AH163" i="49"/>
  <c r="AH164" i="49"/>
  <c r="AH165" i="49"/>
  <c r="AH166" i="49"/>
  <c r="AH167" i="49"/>
  <c r="AH168" i="49"/>
  <c r="AH169" i="49"/>
  <c r="AH170" i="49"/>
  <c r="AH171" i="49"/>
  <c r="AH172" i="49"/>
  <c r="AH173" i="49"/>
  <c r="AH174" i="49"/>
  <c r="AH175" i="49"/>
  <c r="AH176" i="49"/>
  <c r="AH177" i="49"/>
  <c r="AH178" i="49"/>
  <c r="AH179" i="49"/>
  <c r="AH180" i="49"/>
  <c r="AH181" i="49"/>
  <c r="AH182" i="49"/>
  <c r="AH183" i="49"/>
  <c r="AH184" i="49"/>
  <c r="AH185" i="49"/>
  <c r="AH186" i="49"/>
  <c r="AH187" i="49"/>
  <c r="AH188" i="49"/>
  <c r="AH189" i="49"/>
  <c r="AH190" i="49"/>
  <c r="AH191" i="49"/>
  <c r="AH192" i="49"/>
  <c r="AH193" i="49"/>
  <c r="AH194" i="49"/>
  <c r="AH195" i="49"/>
  <c r="AH196" i="49"/>
  <c r="AH197" i="49"/>
  <c r="AH198" i="49"/>
  <c r="AH199" i="49"/>
  <c r="AH200" i="49"/>
  <c r="AH201" i="49"/>
  <c r="AH202" i="49"/>
  <c r="AH203" i="49"/>
  <c r="AH204" i="49"/>
  <c r="AH205" i="49"/>
  <c r="AH206" i="49"/>
  <c r="AH207" i="49"/>
  <c r="AH208" i="49"/>
  <c r="AH209" i="49"/>
  <c r="AH210" i="49"/>
  <c r="AH211" i="49"/>
  <c r="AH212" i="49"/>
  <c r="AH213" i="49"/>
  <c r="AH214" i="49"/>
  <c r="AH215" i="49"/>
  <c r="AH216" i="49"/>
  <c r="AH217" i="49"/>
  <c r="AH218" i="49"/>
  <c r="AH219" i="49"/>
  <c r="AH220" i="49"/>
  <c r="AH221" i="49"/>
  <c r="AH222" i="49"/>
  <c r="AH223" i="49"/>
  <c r="AH224" i="49"/>
  <c r="AH225" i="49"/>
  <c r="AH226" i="49"/>
  <c r="AH227" i="49"/>
  <c r="AH228" i="49"/>
  <c r="AH229" i="49"/>
  <c r="AH230" i="49"/>
  <c r="AH231" i="49"/>
  <c r="AH232" i="49"/>
  <c r="AH233" i="49"/>
  <c r="AH234" i="49"/>
  <c r="AH235" i="49"/>
  <c r="AH236" i="49"/>
  <c r="AH237" i="49"/>
  <c r="AH238" i="49"/>
  <c r="AH239" i="49"/>
  <c r="AH240" i="49"/>
  <c r="AH241" i="49"/>
  <c r="AH242" i="49"/>
  <c r="AH243" i="49"/>
  <c r="AH244" i="49"/>
  <c r="AH245" i="49"/>
  <c r="AH246" i="49"/>
  <c r="AH247" i="49"/>
  <c r="AH248" i="49"/>
  <c r="AH249" i="49"/>
  <c r="AH250" i="49"/>
  <c r="AH251" i="49"/>
  <c r="AH252" i="49"/>
  <c r="AH253" i="49"/>
  <c r="AH254" i="49"/>
  <c r="AH255" i="49"/>
  <c r="AH256" i="49"/>
  <c r="AH257" i="49"/>
  <c r="AH258" i="49"/>
  <c r="AH259" i="49"/>
  <c r="AH260" i="49"/>
  <c r="AH261" i="49"/>
  <c r="AH262" i="49"/>
  <c r="AH263" i="49"/>
  <c r="AH264" i="49"/>
  <c r="AH265" i="49"/>
  <c r="AH266" i="49"/>
  <c r="AH267" i="49"/>
  <c r="AH268" i="49"/>
  <c r="AH269" i="49"/>
  <c r="AH270" i="49"/>
  <c r="AH271" i="49"/>
  <c r="AH272" i="49"/>
  <c r="AH273" i="49"/>
  <c r="AH274" i="49"/>
  <c r="AH275" i="49"/>
  <c r="AH276" i="49"/>
  <c r="AH277" i="49"/>
  <c r="AH278" i="49"/>
  <c r="AH279" i="49"/>
  <c r="AH280" i="49"/>
  <c r="AH281" i="49"/>
  <c r="AH282" i="49"/>
  <c r="AH283" i="49"/>
  <c r="AH284" i="49"/>
  <c r="AH285" i="49"/>
  <c r="AH286" i="49"/>
  <c r="AH287" i="49"/>
  <c r="AH288" i="49"/>
  <c r="AH289" i="49"/>
  <c r="AH290" i="49"/>
  <c r="AH291" i="49"/>
  <c r="AH292" i="49"/>
  <c r="AH293" i="49"/>
  <c r="AH294" i="49"/>
  <c r="AH295" i="49"/>
  <c r="AH296" i="49"/>
  <c r="AH297" i="49"/>
  <c r="AH298" i="49"/>
  <c r="AH299" i="49"/>
  <c r="AH300" i="49"/>
  <c r="AH301" i="49"/>
  <c r="AH302" i="49"/>
  <c r="AH303" i="49"/>
  <c r="AH304" i="49"/>
  <c r="AH305" i="49"/>
  <c r="AH306" i="49"/>
  <c r="AH307" i="49"/>
  <c r="AH308" i="49"/>
  <c r="AH309" i="49"/>
  <c r="AH8" i="49"/>
  <c r="R9" i="49"/>
  <c r="R10" i="49"/>
  <c r="R11" i="49"/>
  <c r="R12" i="49"/>
  <c r="R13" i="49"/>
  <c r="R14" i="49"/>
  <c r="R15" i="49"/>
  <c r="R16" i="49"/>
  <c r="R17" i="49"/>
  <c r="R18" i="49"/>
  <c r="R19" i="49"/>
  <c r="R20" i="49"/>
  <c r="R21" i="49"/>
  <c r="R22" i="49"/>
  <c r="R23" i="49"/>
  <c r="R24" i="49"/>
  <c r="R25" i="49"/>
  <c r="R26" i="49"/>
  <c r="R27" i="49"/>
  <c r="R28" i="49"/>
  <c r="R29" i="49"/>
  <c r="R30" i="49"/>
  <c r="R31" i="49"/>
  <c r="R32" i="49"/>
  <c r="R33" i="49"/>
  <c r="R34" i="49"/>
  <c r="R35" i="49"/>
  <c r="R36" i="49"/>
  <c r="R37" i="49"/>
  <c r="R38" i="49"/>
  <c r="R39" i="49"/>
  <c r="R40" i="49"/>
  <c r="R41" i="49"/>
  <c r="R42" i="49"/>
  <c r="R43" i="49"/>
  <c r="R44" i="49"/>
  <c r="R45" i="49"/>
  <c r="R46" i="49"/>
  <c r="R47" i="49"/>
  <c r="R48" i="49"/>
  <c r="R49" i="49"/>
  <c r="R50" i="49"/>
  <c r="R51" i="49"/>
  <c r="R52" i="49"/>
  <c r="R53" i="49"/>
  <c r="R54" i="49"/>
  <c r="R55" i="49"/>
  <c r="R56" i="49"/>
  <c r="R57" i="49"/>
  <c r="R58" i="49"/>
  <c r="R59" i="49"/>
  <c r="R60" i="49"/>
  <c r="R61" i="49"/>
  <c r="R62" i="49"/>
  <c r="R63" i="49"/>
  <c r="R64" i="49"/>
  <c r="R65" i="49"/>
  <c r="R66" i="49"/>
  <c r="R67" i="49"/>
  <c r="R68" i="49"/>
  <c r="R69" i="49"/>
  <c r="R70" i="49"/>
  <c r="R71" i="49"/>
  <c r="R72" i="49"/>
  <c r="R73" i="49"/>
  <c r="R74" i="49"/>
  <c r="R75" i="49"/>
  <c r="R76" i="49"/>
  <c r="R77" i="49"/>
  <c r="R78" i="49"/>
  <c r="R79" i="49"/>
  <c r="R80" i="49"/>
  <c r="R81" i="49"/>
  <c r="R82" i="49"/>
  <c r="R83" i="49"/>
  <c r="R84" i="49"/>
  <c r="R85" i="49"/>
  <c r="R86" i="49"/>
  <c r="R87" i="49"/>
  <c r="R88" i="49"/>
  <c r="R89" i="49"/>
  <c r="R90" i="49"/>
  <c r="R91" i="49"/>
  <c r="R92" i="49"/>
  <c r="R93" i="49"/>
  <c r="R94" i="49"/>
  <c r="R95" i="49"/>
  <c r="R96" i="49"/>
  <c r="R97" i="49"/>
  <c r="R98" i="49"/>
  <c r="R99" i="49"/>
  <c r="R100" i="49"/>
  <c r="R101" i="49"/>
  <c r="R102" i="49"/>
  <c r="R103" i="49"/>
  <c r="R104" i="49"/>
  <c r="R105" i="49"/>
  <c r="R106" i="49"/>
  <c r="R107" i="49"/>
  <c r="R108" i="49"/>
  <c r="R109" i="49"/>
  <c r="R110" i="49"/>
  <c r="R111" i="49"/>
  <c r="R112" i="49"/>
  <c r="R113" i="49"/>
  <c r="R114" i="49"/>
  <c r="R115" i="49"/>
  <c r="R116" i="49"/>
  <c r="R117" i="49"/>
  <c r="R118" i="49"/>
  <c r="R119" i="49"/>
  <c r="R120" i="49"/>
  <c r="R121" i="49"/>
  <c r="R122" i="49"/>
  <c r="R123" i="49"/>
  <c r="R124" i="49"/>
  <c r="R125" i="49"/>
  <c r="R126" i="49"/>
  <c r="R127" i="49"/>
  <c r="R128" i="49"/>
  <c r="R129" i="49"/>
  <c r="R130" i="49"/>
  <c r="R131" i="49"/>
  <c r="R132" i="49"/>
  <c r="R133" i="49"/>
  <c r="R134" i="49"/>
  <c r="R135" i="49"/>
  <c r="R136" i="49"/>
  <c r="R137" i="49"/>
  <c r="R138" i="49"/>
  <c r="R139" i="49"/>
  <c r="R140" i="49"/>
  <c r="R141" i="49"/>
  <c r="R142" i="49"/>
  <c r="R143" i="49"/>
  <c r="R144" i="49"/>
  <c r="R145" i="49"/>
  <c r="R146" i="49"/>
  <c r="R147" i="49"/>
  <c r="R148" i="49"/>
  <c r="R149" i="49"/>
  <c r="R150" i="49"/>
  <c r="R151" i="49"/>
  <c r="R152" i="49"/>
  <c r="R153" i="49"/>
  <c r="R154" i="49"/>
  <c r="R155" i="49"/>
  <c r="R156" i="49"/>
  <c r="R157" i="49"/>
  <c r="R158" i="49"/>
  <c r="R159" i="49"/>
  <c r="R160" i="49"/>
  <c r="R161" i="49"/>
  <c r="R162" i="49"/>
  <c r="R163" i="49"/>
  <c r="R164" i="49"/>
  <c r="R165" i="49"/>
  <c r="R166" i="49"/>
  <c r="R167" i="49"/>
  <c r="R168" i="49"/>
  <c r="R169" i="49"/>
  <c r="R170" i="49"/>
  <c r="R171" i="49"/>
  <c r="R172" i="49"/>
  <c r="R173" i="49"/>
  <c r="R174" i="49"/>
  <c r="R175" i="49"/>
  <c r="R176" i="49"/>
  <c r="R177" i="49"/>
  <c r="R178" i="49"/>
  <c r="R179" i="49"/>
  <c r="R180" i="49"/>
  <c r="R181" i="49"/>
  <c r="R182" i="49"/>
  <c r="R183" i="49"/>
  <c r="R184" i="49"/>
  <c r="R185" i="49"/>
  <c r="R186" i="49"/>
  <c r="R187" i="49"/>
  <c r="R188" i="49"/>
  <c r="R189" i="49"/>
  <c r="R190" i="49"/>
  <c r="R191" i="49"/>
  <c r="R192" i="49"/>
  <c r="R193" i="49"/>
  <c r="R194" i="49"/>
  <c r="R195" i="49"/>
  <c r="R196" i="49"/>
  <c r="R197" i="49"/>
  <c r="R198" i="49"/>
  <c r="R199" i="49"/>
  <c r="R200" i="49"/>
  <c r="R201" i="49"/>
  <c r="R202" i="49"/>
  <c r="R203" i="49"/>
  <c r="R204" i="49"/>
  <c r="R205" i="49"/>
  <c r="R206" i="49"/>
  <c r="R207" i="49"/>
  <c r="R208" i="49"/>
  <c r="R209" i="49"/>
  <c r="R210" i="49"/>
  <c r="R211" i="49"/>
  <c r="R212" i="49"/>
  <c r="R213" i="49"/>
  <c r="R214" i="49"/>
  <c r="R215" i="49"/>
  <c r="R216" i="49"/>
  <c r="R217" i="49"/>
  <c r="R218" i="49"/>
  <c r="R219" i="49"/>
  <c r="R220" i="49"/>
  <c r="R221" i="49"/>
  <c r="R222" i="49"/>
  <c r="R223" i="49"/>
  <c r="R224" i="49"/>
  <c r="R225" i="49"/>
  <c r="R226" i="49"/>
  <c r="R227" i="49"/>
  <c r="R228" i="49"/>
  <c r="R229" i="49"/>
  <c r="R230" i="49"/>
  <c r="R231" i="49"/>
  <c r="R232" i="49"/>
  <c r="R233" i="49"/>
  <c r="R234" i="49"/>
  <c r="R235" i="49"/>
  <c r="R236" i="49"/>
  <c r="R237" i="49"/>
  <c r="R238" i="49"/>
  <c r="R239" i="49"/>
  <c r="R240" i="49"/>
  <c r="R241" i="49"/>
  <c r="R242" i="49"/>
  <c r="R243" i="49"/>
  <c r="R244" i="49"/>
  <c r="R245" i="49"/>
  <c r="R246" i="49"/>
  <c r="R247" i="49"/>
  <c r="R248" i="49"/>
  <c r="R249" i="49"/>
  <c r="R250" i="49"/>
  <c r="R251" i="49"/>
  <c r="R252" i="49"/>
  <c r="R253" i="49"/>
  <c r="R254" i="49"/>
  <c r="R255" i="49"/>
  <c r="R256" i="49"/>
  <c r="R257" i="49"/>
  <c r="R258" i="49"/>
  <c r="R259" i="49"/>
  <c r="R260" i="49"/>
  <c r="R261" i="49"/>
  <c r="R262" i="49"/>
  <c r="R263" i="49"/>
  <c r="R264" i="49"/>
  <c r="R265" i="49"/>
  <c r="R266" i="49"/>
  <c r="R267" i="49"/>
  <c r="R268" i="49"/>
  <c r="R269" i="49"/>
  <c r="R270" i="49"/>
  <c r="R271" i="49"/>
  <c r="R272" i="49"/>
  <c r="R273" i="49"/>
  <c r="R274" i="49"/>
  <c r="R275" i="49"/>
  <c r="R276" i="49"/>
  <c r="R277" i="49"/>
  <c r="R278" i="49"/>
  <c r="R279" i="49"/>
  <c r="R280" i="49"/>
  <c r="R281" i="49"/>
  <c r="R282" i="49"/>
  <c r="R283" i="49"/>
  <c r="R284" i="49"/>
  <c r="R285" i="49"/>
  <c r="R286" i="49"/>
  <c r="R287" i="49"/>
  <c r="R288" i="49"/>
  <c r="R289" i="49"/>
  <c r="R290" i="49"/>
  <c r="R291" i="49"/>
  <c r="R292" i="49"/>
  <c r="R293" i="49"/>
  <c r="R294" i="49"/>
  <c r="R295" i="49"/>
  <c r="R296" i="49"/>
  <c r="R297" i="49"/>
  <c r="R298" i="49"/>
  <c r="R299" i="49"/>
  <c r="R300" i="49"/>
  <c r="R301" i="49"/>
  <c r="R302" i="49"/>
  <c r="R303" i="49"/>
  <c r="R304" i="49"/>
  <c r="R305" i="49"/>
  <c r="R306" i="49"/>
  <c r="R307" i="49"/>
  <c r="R308" i="49"/>
  <c r="R309" i="49"/>
  <c r="R8" i="49"/>
  <c r="Q9" i="49"/>
  <c r="Q10" i="49"/>
  <c r="Q11" i="49"/>
  <c r="Q12" i="49"/>
  <c r="Q13" i="49"/>
  <c r="Q14" i="49"/>
  <c r="Q15" i="49"/>
  <c r="Q16" i="49"/>
  <c r="Q17" i="49"/>
  <c r="Q18" i="49"/>
  <c r="Q19" i="49"/>
  <c r="Q20" i="49"/>
  <c r="Q21" i="49"/>
  <c r="Q22" i="49"/>
  <c r="Q23" i="49"/>
  <c r="Q24" i="49"/>
  <c r="Q25" i="49"/>
  <c r="Q26" i="49"/>
  <c r="Q27" i="49"/>
  <c r="Q28" i="49"/>
  <c r="Q29" i="49"/>
  <c r="Q30" i="49"/>
  <c r="Q31" i="49"/>
  <c r="Q32" i="49"/>
  <c r="Q33" i="49"/>
  <c r="Q34" i="49"/>
  <c r="Q35" i="49"/>
  <c r="Q36" i="49"/>
  <c r="Q37" i="49"/>
  <c r="Q38" i="49"/>
  <c r="Q39" i="49"/>
  <c r="Q40" i="49"/>
  <c r="Q41" i="49"/>
  <c r="Q42" i="49"/>
  <c r="Q43" i="49"/>
  <c r="Q44" i="49"/>
  <c r="Q45" i="49"/>
  <c r="Q46" i="49"/>
  <c r="Q47" i="49"/>
  <c r="Q48" i="49"/>
  <c r="Q49" i="49"/>
  <c r="Q50" i="49"/>
  <c r="Q51" i="49"/>
  <c r="Q52" i="49"/>
  <c r="Q53" i="49"/>
  <c r="Q54" i="49"/>
  <c r="Q55" i="49"/>
  <c r="Q56" i="49"/>
  <c r="Q57" i="49"/>
  <c r="Q58" i="49"/>
  <c r="Q59" i="49"/>
  <c r="Q60" i="49"/>
  <c r="Q61" i="49"/>
  <c r="Q62" i="49"/>
  <c r="Q63" i="49"/>
  <c r="Q64" i="49"/>
  <c r="Q65" i="49"/>
  <c r="Q66" i="49"/>
  <c r="Q67" i="49"/>
  <c r="Q68" i="49"/>
  <c r="Q69" i="49"/>
  <c r="Q70" i="49"/>
  <c r="Q71" i="49"/>
  <c r="Q72" i="49"/>
  <c r="Q73" i="49"/>
  <c r="Q74" i="49"/>
  <c r="Q75" i="49"/>
  <c r="Q76" i="49"/>
  <c r="Q77" i="49"/>
  <c r="Q78" i="49"/>
  <c r="Q79" i="49"/>
  <c r="Q80" i="49"/>
  <c r="Q81" i="49"/>
  <c r="Q82" i="49"/>
  <c r="Q83" i="49"/>
  <c r="Q84" i="49"/>
  <c r="Q85" i="49"/>
  <c r="Q86" i="49"/>
  <c r="Q87" i="49"/>
  <c r="Q88" i="49"/>
  <c r="Q89" i="49"/>
  <c r="Q90" i="49"/>
  <c r="Q91" i="49"/>
  <c r="Q92" i="49"/>
  <c r="Q93" i="49"/>
  <c r="Q94" i="49"/>
  <c r="Q95" i="49"/>
  <c r="Q96" i="49"/>
  <c r="Q97" i="49"/>
  <c r="Q98" i="49"/>
  <c r="Q99" i="49"/>
  <c r="Q100" i="49"/>
  <c r="Q101" i="49"/>
  <c r="Q102" i="49"/>
  <c r="Q103" i="49"/>
  <c r="Q104" i="49"/>
  <c r="Q105" i="49"/>
  <c r="Q106" i="49"/>
  <c r="Q107" i="49"/>
  <c r="Q108" i="49"/>
  <c r="Q109" i="49"/>
  <c r="Q110" i="49"/>
  <c r="Q111" i="49"/>
  <c r="Q112" i="49"/>
  <c r="Q113" i="49"/>
  <c r="Q114" i="49"/>
  <c r="Q115" i="49"/>
  <c r="Q116" i="49"/>
  <c r="Q117" i="49"/>
  <c r="Q118" i="49"/>
  <c r="Q119" i="49"/>
  <c r="Q120" i="49"/>
  <c r="Q121" i="49"/>
  <c r="Q122" i="49"/>
  <c r="Q123" i="49"/>
  <c r="Q124" i="49"/>
  <c r="Q125" i="49"/>
  <c r="Q126" i="49"/>
  <c r="Q127" i="49"/>
  <c r="Q128" i="49"/>
  <c r="Q129" i="49"/>
  <c r="Q130" i="49"/>
  <c r="Q131" i="49"/>
  <c r="Q132" i="49"/>
  <c r="Q133" i="49"/>
  <c r="Q134" i="49"/>
  <c r="Q135" i="49"/>
  <c r="Q136" i="49"/>
  <c r="Q137" i="49"/>
  <c r="Q138" i="49"/>
  <c r="Q139" i="49"/>
  <c r="Q140" i="49"/>
  <c r="Q141" i="49"/>
  <c r="Q142" i="49"/>
  <c r="Q143" i="49"/>
  <c r="Q144" i="49"/>
  <c r="Q145" i="49"/>
  <c r="Q146" i="49"/>
  <c r="Q147" i="49"/>
  <c r="Q148" i="49"/>
  <c r="Q149" i="49"/>
  <c r="Q150" i="49"/>
  <c r="Q151" i="49"/>
  <c r="Q152" i="49"/>
  <c r="Q153" i="49"/>
  <c r="Q154" i="49"/>
  <c r="Q155" i="49"/>
  <c r="Q156" i="49"/>
  <c r="Q157" i="49"/>
  <c r="Q158" i="49"/>
  <c r="Q159" i="49"/>
  <c r="Q160" i="49"/>
  <c r="Q161" i="49"/>
  <c r="Q162" i="49"/>
  <c r="Q163" i="49"/>
  <c r="Q164" i="49"/>
  <c r="Q165" i="49"/>
  <c r="Q166" i="49"/>
  <c r="Q167" i="49"/>
  <c r="Q168" i="49"/>
  <c r="Q169" i="49"/>
  <c r="Q170" i="49"/>
  <c r="Q171" i="49"/>
  <c r="Q172" i="49"/>
  <c r="Q173" i="49"/>
  <c r="Q174" i="49"/>
  <c r="Q175" i="49"/>
  <c r="Q176" i="49"/>
  <c r="Q177" i="49"/>
  <c r="Q178" i="49"/>
  <c r="Q179" i="49"/>
  <c r="Q180" i="49"/>
  <c r="Q181" i="49"/>
  <c r="Q182" i="49"/>
  <c r="Q183" i="49"/>
  <c r="Q184" i="49"/>
  <c r="Q185" i="49"/>
  <c r="Q186" i="49"/>
  <c r="Q187" i="49"/>
  <c r="Q188" i="49"/>
  <c r="Q189" i="49"/>
  <c r="Q190" i="49"/>
  <c r="Q191" i="49"/>
  <c r="Q192" i="49"/>
  <c r="Q193" i="49"/>
  <c r="Q194" i="49"/>
  <c r="Q195" i="49"/>
  <c r="Q196" i="49"/>
  <c r="Q197" i="49"/>
  <c r="Q198" i="49"/>
  <c r="Q199" i="49"/>
  <c r="Q200" i="49"/>
  <c r="Q201" i="49"/>
  <c r="Q202" i="49"/>
  <c r="Q203" i="49"/>
  <c r="Q204" i="49"/>
  <c r="Q205" i="49"/>
  <c r="Q206" i="49"/>
  <c r="Q207" i="49"/>
  <c r="Q208" i="49"/>
  <c r="Q209" i="49"/>
  <c r="Q210" i="49"/>
  <c r="Q211" i="49"/>
  <c r="Q212" i="49"/>
  <c r="Q213" i="49"/>
  <c r="Q214" i="49"/>
  <c r="Q215" i="49"/>
  <c r="Q216" i="49"/>
  <c r="Q217" i="49"/>
  <c r="Q218" i="49"/>
  <c r="Q219" i="49"/>
  <c r="Q220" i="49"/>
  <c r="Q221" i="49"/>
  <c r="Q222" i="49"/>
  <c r="Q223" i="49"/>
  <c r="Q224" i="49"/>
  <c r="Q225" i="49"/>
  <c r="Q226" i="49"/>
  <c r="Q227" i="49"/>
  <c r="Q228" i="49"/>
  <c r="Q229" i="49"/>
  <c r="Q230" i="49"/>
  <c r="Q231" i="49"/>
  <c r="Q232" i="49"/>
  <c r="Q233" i="49"/>
  <c r="Q234" i="49"/>
  <c r="Q235" i="49"/>
  <c r="Q236" i="49"/>
  <c r="Q237" i="49"/>
  <c r="Q238" i="49"/>
  <c r="Q239" i="49"/>
  <c r="Q240" i="49"/>
  <c r="Q241" i="49"/>
  <c r="Q242" i="49"/>
  <c r="Q243" i="49"/>
  <c r="Q244" i="49"/>
  <c r="Q245" i="49"/>
  <c r="Q246" i="49"/>
  <c r="Q247" i="49"/>
  <c r="Q248" i="49"/>
  <c r="Q249" i="49"/>
  <c r="Q250" i="49"/>
  <c r="Q251" i="49"/>
  <c r="Q252" i="49"/>
  <c r="Q253" i="49"/>
  <c r="Q254" i="49"/>
  <c r="Q255" i="49"/>
  <c r="Q256" i="49"/>
  <c r="Q257" i="49"/>
  <c r="Q258" i="49"/>
  <c r="Q259" i="49"/>
  <c r="Q260" i="49"/>
  <c r="Q261" i="49"/>
  <c r="Q262" i="49"/>
  <c r="Q263" i="49"/>
  <c r="Q264" i="49"/>
  <c r="Q265" i="49"/>
  <c r="Q266" i="49"/>
  <c r="Q267" i="49"/>
  <c r="Q268" i="49"/>
  <c r="Q269" i="49"/>
  <c r="Q270" i="49"/>
  <c r="Q271" i="49"/>
  <c r="Q272" i="49"/>
  <c r="Q273" i="49"/>
  <c r="Q274" i="49"/>
  <c r="Q275" i="49"/>
  <c r="Q276" i="49"/>
  <c r="Q277" i="49"/>
  <c r="Q278" i="49"/>
  <c r="Q279" i="49"/>
  <c r="Q280" i="49"/>
  <c r="Q281" i="49"/>
  <c r="Q282" i="49"/>
  <c r="Q283" i="49"/>
  <c r="Q284" i="49"/>
  <c r="Q285" i="49"/>
  <c r="Q286" i="49"/>
  <c r="Q287" i="49"/>
  <c r="Q288" i="49"/>
  <c r="Q289" i="49"/>
  <c r="Q290" i="49"/>
  <c r="Q291" i="49"/>
  <c r="Q292" i="49"/>
  <c r="Q293" i="49"/>
  <c r="Q294" i="49"/>
  <c r="Q295" i="49"/>
  <c r="Q296" i="49"/>
  <c r="Q297" i="49"/>
  <c r="Q298" i="49"/>
  <c r="Q299" i="49"/>
  <c r="Q300" i="49"/>
  <c r="Q301" i="49"/>
  <c r="Q302" i="49"/>
  <c r="Q303" i="49"/>
  <c r="Q304" i="49"/>
  <c r="Q305" i="49"/>
  <c r="Q306" i="49"/>
  <c r="Q307" i="49"/>
  <c r="Q308" i="49"/>
  <c r="Q309" i="49"/>
  <c r="Q8" i="49"/>
  <c r="C5" i="54" l="1"/>
  <c r="D5" i="54" s="1"/>
  <c r="E5" i="54" s="1"/>
  <c r="F5" i="54" s="1"/>
  <c r="G5" i="54" s="1"/>
  <c r="C6" i="54"/>
  <c r="D6" i="54" s="1"/>
  <c r="E6" i="54" s="1"/>
  <c r="F6" i="54" s="1"/>
  <c r="G6" i="54" s="1"/>
  <c r="C7" i="54"/>
  <c r="D7" i="54" s="1"/>
  <c r="E7" i="54" s="1"/>
  <c r="F7" i="54" s="1"/>
  <c r="G7" i="54" s="1"/>
  <c r="C8" i="54"/>
  <c r="D8" i="54" s="1"/>
  <c r="E8" i="54" s="1"/>
  <c r="F8" i="54" s="1"/>
  <c r="G8" i="54" s="1"/>
  <c r="C9" i="54"/>
  <c r="D9" i="54" s="1"/>
  <c r="E9" i="54" s="1"/>
  <c r="F9" i="54" s="1"/>
  <c r="G9" i="54"/>
  <c r="C10" i="54"/>
  <c r="D10" i="54" s="1"/>
  <c r="E10" i="54" s="1"/>
  <c r="F10" i="54" s="1"/>
  <c r="G10" i="54" s="1"/>
  <c r="C11" i="54"/>
  <c r="D11" i="54" s="1"/>
  <c r="E11" i="54" s="1"/>
  <c r="F11" i="54" s="1"/>
  <c r="G11" i="54" s="1"/>
  <c r="C12" i="54"/>
  <c r="D12" i="54" s="1"/>
  <c r="E12" i="54" s="1"/>
  <c r="F12" i="54" s="1"/>
  <c r="G12" i="54" s="1"/>
  <c r="C13" i="54"/>
  <c r="D13" i="54" s="1"/>
  <c r="E13" i="54" s="1"/>
  <c r="F13" i="54" s="1"/>
  <c r="G13" i="54" s="1"/>
  <c r="C14" i="54"/>
  <c r="D14" i="54" s="1"/>
  <c r="E14" i="54" s="1"/>
  <c r="F14" i="54" s="1"/>
  <c r="G14" i="54" s="1"/>
  <c r="C15" i="54"/>
  <c r="D15" i="54" s="1"/>
  <c r="E15" i="54" s="1"/>
  <c r="F15" i="54" s="1"/>
  <c r="G15" i="54" s="1"/>
  <c r="C16" i="54"/>
  <c r="D16" i="54"/>
  <c r="E16" i="54" s="1"/>
  <c r="F16" i="54" s="1"/>
  <c r="G16" i="54" s="1"/>
  <c r="C17" i="54"/>
  <c r="D17" i="54" s="1"/>
  <c r="E17" i="54" s="1"/>
  <c r="F17" i="54" s="1"/>
  <c r="G17" i="54" s="1"/>
  <c r="C18" i="54"/>
  <c r="D18" i="54" s="1"/>
  <c r="E18" i="54" s="1"/>
  <c r="F18" i="54" s="1"/>
  <c r="G18" i="54" s="1"/>
  <c r="C19" i="54"/>
  <c r="D19" i="54" s="1"/>
  <c r="E19" i="54" s="1"/>
  <c r="F19" i="54" s="1"/>
  <c r="G19" i="54" s="1"/>
  <c r="C20" i="54"/>
  <c r="D20" i="54" s="1"/>
  <c r="E20" i="54" s="1"/>
  <c r="F20" i="54" s="1"/>
  <c r="G20" i="54" s="1"/>
  <c r="C21" i="54"/>
  <c r="D21" i="54" s="1"/>
  <c r="E21" i="54" s="1"/>
  <c r="F21" i="54" s="1"/>
  <c r="G21" i="54" s="1"/>
  <c r="C22" i="54"/>
  <c r="D22" i="54" s="1"/>
  <c r="E22" i="54" s="1"/>
  <c r="F22" i="54" s="1"/>
  <c r="G22" i="54" s="1"/>
  <c r="C23" i="54"/>
  <c r="D23" i="54" s="1"/>
  <c r="E23" i="54" s="1"/>
  <c r="F23" i="54" s="1"/>
  <c r="G23" i="54" s="1"/>
  <c r="C24" i="54"/>
  <c r="D24" i="54" s="1"/>
  <c r="E24" i="54" s="1"/>
  <c r="F24" i="54" s="1"/>
  <c r="G24" i="54" s="1"/>
  <c r="C25" i="54"/>
  <c r="D25" i="54" s="1"/>
  <c r="E25" i="54" s="1"/>
  <c r="F25" i="54" s="1"/>
  <c r="G25" i="54" s="1"/>
  <c r="C26" i="54"/>
  <c r="D26" i="54" s="1"/>
  <c r="E26" i="54" s="1"/>
  <c r="F26" i="54" s="1"/>
  <c r="G26" i="54" s="1"/>
  <c r="C27" i="54"/>
  <c r="D27" i="54" s="1"/>
  <c r="E27" i="54" s="1"/>
  <c r="F27" i="54" s="1"/>
  <c r="G27" i="54" s="1"/>
  <c r="C28" i="54"/>
  <c r="D28" i="54" s="1"/>
  <c r="E28" i="54" s="1"/>
  <c r="F28" i="54" s="1"/>
  <c r="G28" i="54" s="1"/>
  <c r="C29" i="54"/>
  <c r="D29" i="54" s="1"/>
  <c r="E29" i="54" s="1"/>
  <c r="F29" i="54" s="1"/>
  <c r="G29" i="54" s="1"/>
  <c r="C30" i="54"/>
  <c r="D30" i="54" s="1"/>
  <c r="E30" i="54" s="1"/>
  <c r="F30" i="54" s="1"/>
  <c r="G30" i="54" s="1"/>
  <c r="C31" i="54"/>
  <c r="D31" i="54" s="1"/>
  <c r="E31" i="54" s="1"/>
  <c r="F31" i="54" s="1"/>
  <c r="G31" i="54" s="1"/>
  <c r="C32" i="54"/>
  <c r="D32" i="54" s="1"/>
  <c r="E32" i="54" s="1"/>
  <c r="F32" i="54" s="1"/>
  <c r="G32" i="54" s="1"/>
  <c r="C33" i="54"/>
  <c r="D33" i="54" s="1"/>
  <c r="E33" i="54" s="1"/>
  <c r="F33" i="54" s="1"/>
  <c r="G33" i="54"/>
  <c r="C34" i="54"/>
  <c r="D34" i="54"/>
  <c r="E34" i="54" s="1"/>
  <c r="F34" i="54" s="1"/>
  <c r="G34" i="54" s="1"/>
  <c r="C35" i="54"/>
  <c r="D35" i="54" s="1"/>
  <c r="E35" i="54" s="1"/>
  <c r="F35" i="54" s="1"/>
  <c r="G35" i="54" s="1"/>
  <c r="C36" i="54"/>
  <c r="D36" i="54" s="1"/>
  <c r="E36" i="54" s="1"/>
  <c r="F36" i="54" s="1"/>
  <c r="G36" i="54" s="1"/>
  <c r="C37" i="54"/>
  <c r="D37" i="54" s="1"/>
  <c r="E37" i="54" s="1"/>
  <c r="F37" i="54" s="1"/>
  <c r="G37" i="54" s="1"/>
  <c r="C38" i="54"/>
  <c r="D38" i="54" s="1"/>
  <c r="E38" i="54" s="1"/>
  <c r="F38" i="54" s="1"/>
  <c r="G38" i="54" s="1"/>
  <c r="C39" i="54"/>
  <c r="D39" i="54" s="1"/>
  <c r="E39" i="54" s="1"/>
  <c r="F39" i="54" s="1"/>
  <c r="G39" i="54" s="1"/>
  <c r="C40" i="54"/>
  <c r="D40" i="54" s="1"/>
  <c r="E40" i="54" s="1"/>
  <c r="F40" i="54" s="1"/>
  <c r="G40" i="54" s="1"/>
  <c r="C41" i="54"/>
  <c r="D41" i="54" s="1"/>
  <c r="E41" i="54" s="1"/>
  <c r="F41" i="54" s="1"/>
  <c r="G41" i="54"/>
  <c r="C42" i="54"/>
  <c r="D42" i="54"/>
  <c r="E42" i="54" s="1"/>
  <c r="F42" i="54" s="1"/>
  <c r="G42" i="54" s="1"/>
  <c r="C43" i="54"/>
  <c r="D43" i="54" s="1"/>
  <c r="E43" i="54" s="1"/>
  <c r="F43" i="54" s="1"/>
  <c r="G43" i="54" s="1"/>
  <c r="C44" i="54"/>
  <c r="D44" i="54" s="1"/>
  <c r="E44" i="54" s="1"/>
  <c r="F44" i="54" s="1"/>
  <c r="G44" i="54" s="1"/>
  <c r="C45" i="54"/>
  <c r="D45" i="54" s="1"/>
  <c r="E45" i="54" s="1"/>
  <c r="F45" i="54" s="1"/>
  <c r="G45" i="54" s="1"/>
  <c r="C46" i="54"/>
  <c r="D46" i="54" s="1"/>
  <c r="E46" i="54" s="1"/>
  <c r="F46" i="54" s="1"/>
  <c r="G46" i="54" s="1"/>
  <c r="C47" i="54"/>
  <c r="D47" i="54" s="1"/>
  <c r="E47" i="54" s="1"/>
  <c r="F47" i="54" s="1"/>
  <c r="G47" i="54" s="1"/>
  <c r="C48" i="54"/>
  <c r="D48" i="54" s="1"/>
  <c r="E48" i="54" s="1"/>
  <c r="F48" i="54" s="1"/>
  <c r="G48" i="54" s="1"/>
  <c r="C49" i="54"/>
  <c r="D49" i="54" s="1"/>
  <c r="E49" i="54" s="1"/>
  <c r="F49" i="54" s="1"/>
  <c r="G49" i="54" s="1"/>
  <c r="C50" i="54"/>
  <c r="D50" i="54" s="1"/>
  <c r="E50" i="54" s="1"/>
  <c r="F50" i="54" s="1"/>
  <c r="G50" i="54" s="1"/>
  <c r="C51" i="54"/>
  <c r="D51" i="54" s="1"/>
  <c r="E51" i="54" s="1"/>
  <c r="F51" i="54" s="1"/>
  <c r="G51" i="54" s="1"/>
  <c r="C52" i="54"/>
  <c r="D52" i="54" s="1"/>
  <c r="E52" i="54" s="1"/>
  <c r="F52" i="54" s="1"/>
  <c r="G52" i="54" s="1"/>
  <c r="C53" i="54"/>
  <c r="D53" i="54" s="1"/>
  <c r="E53" i="54" s="1"/>
  <c r="F53" i="54" s="1"/>
  <c r="G53" i="54" s="1"/>
  <c r="C54" i="54"/>
  <c r="D54" i="54" s="1"/>
  <c r="E54" i="54" s="1"/>
  <c r="F54" i="54" s="1"/>
  <c r="G54" i="54" s="1"/>
  <c r="C55" i="54"/>
  <c r="D55" i="54" s="1"/>
  <c r="E55" i="54" s="1"/>
  <c r="F55" i="54" s="1"/>
  <c r="G55" i="54" s="1"/>
  <c r="C56" i="54"/>
  <c r="D56" i="54" s="1"/>
  <c r="E56" i="54" s="1"/>
  <c r="F56" i="54" s="1"/>
  <c r="G56" i="54" s="1"/>
  <c r="C57" i="54"/>
  <c r="D57" i="54" s="1"/>
  <c r="E57" i="54" s="1"/>
  <c r="F57" i="54" s="1"/>
  <c r="G57" i="54" s="1"/>
  <c r="C58" i="54"/>
  <c r="D58" i="54" s="1"/>
  <c r="E58" i="54" s="1"/>
  <c r="F58" i="54" s="1"/>
  <c r="G58" i="54" s="1"/>
  <c r="C59" i="54"/>
  <c r="D59" i="54" s="1"/>
  <c r="E59" i="54" s="1"/>
  <c r="F59" i="54" s="1"/>
  <c r="G59" i="54" s="1"/>
  <c r="C60" i="54"/>
  <c r="D60" i="54" s="1"/>
  <c r="E60" i="54" s="1"/>
  <c r="F60" i="54" s="1"/>
  <c r="G60" i="54" s="1"/>
  <c r="C61" i="54"/>
  <c r="D61" i="54" s="1"/>
  <c r="E61" i="54" s="1"/>
  <c r="F61" i="54" s="1"/>
  <c r="G61" i="54" s="1"/>
  <c r="C62" i="54"/>
  <c r="D62" i="54" s="1"/>
  <c r="E62" i="54" s="1"/>
  <c r="F62" i="54" s="1"/>
  <c r="G62" i="54" s="1"/>
  <c r="C63" i="54"/>
  <c r="D63" i="54" s="1"/>
  <c r="E63" i="54" s="1"/>
  <c r="F63" i="54" s="1"/>
  <c r="G63" i="54" s="1"/>
  <c r="C64" i="54"/>
  <c r="D64" i="54" s="1"/>
  <c r="E64" i="54" s="1"/>
  <c r="F64" i="54" s="1"/>
  <c r="G64" i="54" s="1"/>
  <c r="C65" i="54"/>
  <c r="D65" i="54" s="1"/>
  <c r="E65" i="54" s="1"/>
  <c r="F65" i="54" s="1"/>
  <c r="G65" i="54" s="1"/>
  <c r="C66" i="54"/>
  <c r="D66" i="54" s="1"/>
  <c r="E66" i="54" s="1"/>
  <c r="F66" i="54" s="1"/>
  <c r="G66" i="54" s="1"/>
  <c r="C67" i="54"/>
  <c r="D67" i="54" s="1"/>
  <c r="E67" i="54" s="1"/>
  <c r="F67" i="54" s="1"/>
  <c r="G67" i="54" s="1"/>
  <c r="C68" i="54"/>
  <c r="D68" i="54" s="1"/>
  <c r="E68" i="54" s="1"/>
  <c r="F68" i="54" s="1"/>
  <c r="G68" i="54" s="1"/>
  <c r="C69" i="54"/>
  <c r="D69" i="54" s="1"/>
  <c r="E69" i="54" s="1"/>
  <c r="F69" i="54" s="1"/>
  <c r="G69" i="54" s="1"/>
  <c r="C70" i="54"/>
  <c r="D70" i="54" s="1"/>
  <c r="E70" i="54" s="1"/>
  <c r="F70" i="54" s="1"/>
  <c r="G70" i="54" s="1"/>
  <c r="C71" i="54"/>
  <c r="D71" i="54" s="1"/>
  <c r="E71" i="54" s="1"/>
  <c r="F71" i="54" s="1"/>
  <c r="G71" i="54" s="1"/>
  <c r="C72" i="54"/>
  <c r="D72" i="54" s="1"/>
  <c r="E72" i="54" s="1"/>
  <c r="F72" i="54" s="1"/>
  <c r="G72" i="54" s="1"/>
  <c r="C73" i="54"/>
  <c r="D73" i="54" s="1"/>
  <c r="E73" i="54" s="1"/>
  <c r="F73" i="54" s="1"/>
  <c r="G73" i="54" s="1"/>
  <c r="C74" i="54"/>
  <c r="D74" i="54" s="1"/>
  <c r="E74" i="54" s="1"/>
  <c r="F74" i="54" s="1"/>
  <c r="G74" i="54" s="1"/>
  <c r="C75" i="54"/>
  <c r="D75" i="54" s="1"/>
  <c r="E75" i="54" s="1"/>
  <c r="F75" i="54" s="1"/>
  <c r="G75" i="54" s="1"/>
  <c r="C76" i="54"/>
  <c r="D76" i="54" s="1"/>
  <c r="E76" i="54" s="1"/>
  <c r="F76" i="54" s="1"/>
  <c r="G76" i="54" s="1"/>
  <c r="C77" i="54"/>
  <c r="D77" i="54" s="1"/>
  <c r="E77" i="54" s="1"/>
  <c r="F77" i="54" s="1"/>
  <c r="G77" i="54" s="1"/>
  <c r="C78" i="54"/>
  <c r="D78" i="54" s="1"/>
  <c r="E78" i="54" s="1"/>
  <c r="F78" i="54" s="1"/>
  <c r="G78" i="54" s="1"/>
  <c r="C79" i="54"/>
  <c r="D79" i="54" s="1"/>
  <c r="E79" i="54" s="1"/>
  <c r="F79" i="54" s="1"/>
  <c r="G79" i="54" s="1"/>
  <c r="C80" i="54"/>
  <c r="D80" i="54"/>
  <c r="E80" i="54" s="1"/>
  <c r="F80" i="54" s="1"/>
  <c r="G80" i="54" s="1"/>
  <c r="C81" i="54"/>
  <c r="D81" i="54" s="1"/>
  <c r="E81" i="54" s="1"/>
  <c r="F81" i="54" s="1"/>
  <c r="G81" i="54" s="1"/>
  <c r="C82" i="54"/>
  <c r="D82" i="54" s="1"/>
  <c r="E82" i="54" s="1"/>
  <c r="F82" i="54" s="1"/>
  <c r="G82" i="54" s="1"/>
  <c r="C83" i="54"/>
  <c r="D83" i="54" s="1"/>
  <c r="E83" i="54" s="1"/>
  <c r="F83" i="54" s="1"/>
  <c r="G83" i="54" s="1"/>
  <c r="C84" i="54"/>
  <c r="D84" i="54" s="1"/>
  <c r="E84" i="54" s="1"/>
  <c r="F84" i="54" s="1"/>
  <c r="G84" i="54" s="1"/>
  <c r="C85" i="54"/>
  <c r="D85" i="54" s="1"/>
  <c r="E85" i="54" s="1"/>
  <c r="F85" i="54" s="1"/>
  <c r="G85" i="54" s="1"/>
  <c r="C86" i="54"/>
  <c r="D86" i="54" s="1"/>
  <c r="E86" i="54" s="1"/>
  <c r="F86" i="54" s="1"/>
  <c r="G86" i="54" s="1"/>
  <c r="C87" i="54"/>
  <c r="D87" i="54" s="1"/>
  <c r="E87" i="54" s="1"/>
  <c r="F87" i="54" s="1"/>
  <c r="G87" i="54" s="1"/>
  <c r="C88" i="54"/>
  <c r="D88" i="54" s="1"/>
  <c r="E88" i="54" s="1"/>
  <c r="F88" i="54" s="1"/>
  <c r="G88" i="54" s="1"/>
  <c r="C89" i="54"/>
  <c r="D89" i="54" s="1"/>
  <c r="E89" i="54" s="1"/>
  <c r="F89" i="54" s="1"/>
  <c r="G89" i="54"/>
  <c r="C90" i="54"/>
  <c r="D90" i="54" s="1"/>
  <c r="E90" i="54" s="1"/>
  <c r="F90" i="54" s="1"/>
  <c r="G90" i="54" s="1"/>
  <c r="C91" i="54"/>
  <c r="D91" i="54" s="1"/>
  <c r="E91" i="54" s="1"/>
  <c r="F91" i="54" s="1"/>
  <c r="G91" i="54" s="1"/>
  <c r="C92" i="54"/>
  <c r="D92" i="54" s="1"/>
  <c r="E92" i="54" s="1"/>
  <c r="F92" i="54" s="1"/>
  <c r="G92" i="54" s="1"/>
  <c r="C93" i="54"/>
  <c r="D93" i="54" s="1"/>
  <c r="E93" i="54" s="1"/>
  <c r="F93" i="54" s="1"/>
  <c r="G93" i="54" s="1"/>
  <c r="C94" i="54"/>
  <c r="D94" i="54" s="1"/>
  <c r="E94" i="54" s="1"/>
  <c r="F94" i="54" s="1"/>
  <c r="G94" i="54" s="1"/>
  <c r="C95" i="54"/>
  <c r="D95" i="54" s="1"/>
  <c r="E95" i="54" s="1"/>
  <c r="F95" i="54" s="1"/>
  <c r="G95" i="54" s="1"/>
  <c r="C96" i="54"/>
  <c r="D96" i="54" s="1"/>
  <c r="E96" i="54" s="1"/>
  <c r="F96" i="54" s="1"/>
  <c r="G96" i="54" s="1"/>
  <c r="C97" i="54"/>
  <c r="D97" i="54" s="1"/>
  <c r="E97" i="54" s="1"/>
  <c r="F97" i="54" s="1"/>
  <c r="G97" i="54" s="1"/>
  <c r="C98" i="54"/>
  <c r="D98" i="54" s="1"/>
  <c r="E98" i="54" s="1"/>
  <c r="F98" i="54" s="1"/>
  <c r="G98" i="54" s="1"/>
  <c r="C99" i="54"/>
  <c r="D99" i="54" s="1"/>
  <c r="E99" i="54" s="1"/>
  <c r="F99" i="54" s="1"/>
  <c r="G99" i="54" s="1"/>
  <c r="C100" i="54"/>
  <c r="D100" i="54"/>
  <c r="E100" i="54" s="1"/>
  <c r="F100" i="54" s="1"/>
  <c r="G100" i="54" s="1"/>
  <c r="C101" i="54"/>
  <c r="D101" i="54" s="1"/>
  <c r="E101" i="54" s="1"/>
  <c r="F101" i="54" s="1"/>
  <c r="G101" i="54" s="1"/>
  <c r="C102" i="54"/>
  <c r="D102" i="54" s="1"/>
  <c r="E102" i="54" s="1"/>
  <c r="F102" i="54"/>
  <c r="G102" i="54" s="1"/>
  <c r="C103" i="54"/>
  <c r="D103" i="54" s="1"/>
  <c r="E103" i="54" s="1"/>
  <c r="F103" i="54" s="1"/>
  <c r="G103" i="54" s="1"/>
  <c r="C104" i="54"/>
  <c r="D104" i="54" s="1"/>
  <c r="E104" i="54" s="1"/>
  <c r="F104" i="54" s="1"/>
  <c r="G104" i="54" s="1"/>
  <c r="C105" i="54"/>
  <c r="D105" i="54" s="1"/>
  <c r="E105" i="54" s="1"/>
  <c r="F105" i="54" s="1"/>
  <c r="G105" i="54" s="1"/>
  <c r="C106" i="54"/>
  <c r="D106" i="54"/>
  <c r="E106" i="54" s="1"/>
  <c r="F106" i="54" s="1"/>
  <c r="G106" i="54" s="1"/>
  <c r="C107" i="54"/>
  <c r="D107" i="54"/>
  <c r="E107" i="54" s="1"/>
  <c r="F107" i="54" s="1"/>
  <c r="G107" i="54" s="1"/>
  <c r="C108" i="54"/>
  <c r="D108" i="54" s="1"/>
  <c r="E108" i="54" s="1"/>
  <c r="F108" i="54" s="1"/>
  <c r="G108" i="54" s="1"/>
  <c r="C109" i="54"/>
  <c r="D109" i="54" s="1"/>
  <c r="E109" i="54" s="1"/>
  <c r="F109" i="54" s="1"/>
  <c r="G109" i="54" s="1"/>
  <c r="C110" i="54"/>
  <c r="D110" i="54" s="1"/>
  <c r="E110" i="54" s="1"/>
  <c r="F110" i="54" s="1"/>
  <c r="G110" i="54" s="1"/>
  <c r="C111" i="54"/>
  <c r="D111" i="54" s="1"/>
  <c r="E111" i="54" s="1"/>
  <c r="F111" i="54" s="1"/>
  <c r="G111" i="54" s="1"/>
  <c r="C112" i="54"/>
  <c r="D112" i="54"/>
  <c r="E112" i="54" s="1"/>
  <c r="F112" i="54" s="1"/>
  <c r="G112" i="54" s="1"/>
  <c r="C113" i="54"/>
  <c r="D113" i="54" s="1"/>
  <c r="E113" i="54" s="1"/>
  <c r="F113" i="54" s="1"/>
  <c r="G113" i="54" s="1"/>
  <c r="C114" i="54"/>
  <c r="D114" i="54" s="1"/>
  <c r="E114" i="54" s="1"/>
  <c r="F114" i="54" s="1"/>
  <c r="G114" i="54" s="1"/>
  <c r="C115" i="54"/>
  <c r="D115" i="54" s="1"/>
  <c r="E115" i="54" s="1"/>
  <c r="F115" i="54" s="1"/>
  <c r="G115" i="54" s="1"/>
  <c r="C116" i="54"/>
  <c r="D116" i="54" s="1"/>
  <c r="E116" i="54" s="1"/>
  <c r="F116" i="54" s="1"/>
  <c r="G116" i="54" s="1"/>
  <c r="C117" i="54"/>
  <c r="D117" i="54" s="1"/>
  <c r="E117" i="54" s="1"/>
  <c r="F117" i="54" s="1"/>
  <c r="G117" i="54" s="1"/>
  <c r="C118" i="54"/>
  <c r="D118" i="54" s="1"/>
  <c r="E118" i="54" s="1"/>
  <c r="F118" i="54" s="1"/>
  <c r="G118" i="54" s="1"/>
  <c r="C119" i="54"/>
  <c r="D119" i="54" s="1"/>
  <c r="E119" i="54" s="1"/>
  <c r="F119" i="54" s="1"/>
  <c r="G119" i="54" s="1"/>
  <c r="C120" i="54"/>
  <c r="D120" i="54" s="1"/>
  <c r="E120" i="54" s="1"/>
  <c r="F120" i="54" s="1"/>
  <c r="G120" i="54" s="1"/>
  <c r="C121" i="54"/>
  <c r="D121" i="54" s="1"/>
  <c r="E121" i="54" s="1"/>
  <c r="F121" i="54" s="1"/>
  <c r="G121" i="54" s="1"/>
  <c r="C122" i="54"/>
  <c r="D122" i="54" s="1"/>
  <c r="E122" i="54" s="1"/>
  <c r="F122" i="54" s="1"/>
  <c r="G122" i="54" s="1"/>
  <c r="C123" i="54"/>
  <c r="D123" i="54" s="1"/>
  <c r="E123" i="54" s="1"/>
  <c r="F123" i="54" s="1"/>
  <c r="G123" i="54" s="1"/>
  <c r="C124" i="54"/>
  <c r="D124" i="54" s="1"/>
  <c r="E124" i="54" s="1"/>
  <c r="F124" i="54" s="1"/>
  <c r="G124" i="54" s="1"/>
  <c r="C125" i="54"/>
  <c r="D125" i="54" s="1"/>
  <c r="E125" i="54" s="1"/>
  <c r="F125" i="54" s="1"/>
  <c r="G125" i="54" s="1"/>
  <c r="C126" i="54"/>
  <c r="D126" i="54" s="1"/>
  <c r="E126" i="54" s="1"/>
  <c r="F126" i="54" s="1"/>
  <c r="G126" i="54" s="1"/>
  <c r="C127" i="54"/>
  <c r="D127" i="54" s="1"/>
  <c r="E127" i="54" s="1"/>
  <c r="F127" i="54" s="1"/>
  <c r="G127" i="54" s="1"/>
  <c r="C128" i="54"/>
  <c r="D128" i="54" s="1"/>
  <c r="E128" i="54" s="1"/>
  <c r="F128" i="54" s="1"/>
  <c r="G128" i="54" s="1"/>
  <c r="C129" i="54"/>
  <c r="D129" i="54" s="1"/>
  <c r="E129" i="54" s="1"/>
  <c r="F129" i="54" s="1"/>
  <c r="G129" i="54" s="1"/>
  <c r="C130" i="54"/>
  <c r="D130" i="54" s="1"/>
  <c r="E130" i="54" s="1"/>
  <c r="F130" i="54" s="1"/>
  <c r="G130" i="54" s="1"/>
  <c r="C131" i="54"/>
  <c r="D131" i="54" s="1"/>
  <c r="E131" i="54" s="1"/>
  <c r="F131" i="54" s="1"/>
  <c r="G131" i="54" s="1"/>
  <c r="C132" i="54"/>
  <c r="D132" i="54" s="1"/>
  <c r="E132" i="54" s="1"/>
  <c r="F132" i="54" s="1"/>
  <c r="G132" i="54" s="1"/>
  <c r="C133" i="54"/>
  <c r="D133" i="54" s="1"/>
  <c r="E133" i="54" s="1"/>
  <c r="F133" i="54" s="1"/>
  <c r="G133" i="54" s="1"/>
  <c r="C134" i="54"/>
  <c r="D134" i="54" s="1"/>
  <c r="E134" i="54" s="1"/>
  <c r="F134" i="54" s="1"/>
  <c r="G134" i="54" s="1"/>
  <c r="C135" i="54"/>
  <c r="D135" i="54" s="1"/>
  <c r="E135" i="54" s="1"/>
  <c r="F135" i="54" s="1"/>
  <c r="G135" i="54" s="1"/>
  <c r="C136" i="54"/>
  <c r="D136" i="54" s="1"/>
  <c r="E136" i="54" s="1"/>
  <c r="F136" i="54" s="1"/>
  <c r="G136" i="54" s="1"/>
  <c r="C137" i="54"/>
  <c r="D137" i="54" s="1"/>
  <c r="E137" i="54" s="1"/>
  <c r="F137" i="54" s="1"/>
  <c r="G137" i="54" s="1"/>
  <c r="C138" i="54"/>
  <c r="D138" i="54" s="1"/>
  <c r="E138" i="54" s="1"/>
  <c r="F138" i="54" s="1"/>
  <c r="G138" i="54" s="1"/>
  <c r="C139" i="54"/>
  <c r="D139" i="54" s="1"/>
  <c r="E139" i="54" s="1"/>
  <c r="F139" i="54" s="1"/>
  <c r="G139" i="54" s="1"/>
  <c r="C140" i="54"/>
  <c r="D140" i="54" s="1"/>
  <c r="E140" i="54" s="1"/>
  <c r="F140" i="54" s="1"/>
  <c r="G140" i="54" s="1"/>
  <c r="C141" i="54"/>
  <c r="D141" i="54" s="1"/>
  <c r="E141" i="54" s="1"/>
  <c r="F141" i="54" s="1"/>
  <c r="G141" i="54" s="1"/>
  <c r="C142" i="54"/>
  <c r="D142" i="54" s="1"/>
  <c r="E142" i="54" s="1"/>
  <c r="F142" i="54" s="1"/>
  <c r="G142" i="54" s="1"/>
  <c r="C143" i="54"/>
  <c r="D143" i="54" s="1"/>
  <c r="E143" i="54" s="1"/>
  <c r="F143" i="54" s="1"/>
  <c r="G143" i="54" s="1"/>
  <c r="C144" i="54"/>
  <c r="D144" i="54" s="1"/>
  <c r="E144" i="54" s="1"/>
  <c r="F144" i="54" s="1"/>
  <c r="G144" i="54" s="1"/>
  <c r="C145" i="54"/>
  <c r="D145" i="54" s="1"/>
  <c r="E145" i="54" s="1"/>
  <c r="F145" i="54" s="1"/>
  <c r="G145" i="54" s="1"/>
  <c r="C146" i="54"/>
  <c r="D146" i="54" s="1"/>
  <c r="E146" i="54" s="1"/>
  <c r="F146" i="54" s="1"/>
  <c r="G146" i="54" s="1"/>
  <c r="C147" i="54"/>
  <c r="D147" i="54"/>
  <c r="E147" i="54" s="1"/>
  <c r="F147" i="54" s="1"/>
  <c r="G147" i="54" s="1"/>
  <c r="C148" i="54"/>
  <c r="D148" i="54" s="1"/>
  <c r="E148" i="54" s="1"/>
  <c r="F148" i="54" s="1"/>
  <c r="G148" i="54" s="1"/>
  <c r="C149" i="54"/>
  <c r="D149" i="54" s="1"/>
  <c r="E149" i="54" s="1"/>
  <c r="F149" i="54" s="1"/>
  <c r="G149" i="54" s="1"/>
  <c r="C150" i="54"/>
  <c r="D150" i="54" s="1"/>
  <c r="E150" i="54" s="1"/>
  <c r="F150" i="54" s="1"/>
  <c r="G150" i="54" s="1"/>
  <c r="C151" i="54"/>
  <c r="D151" i="54" s="1"/>
  <c r="E151" i="54" s="1"/>
  <c r="F151" i="54" s="1"/>
  <c r="G151" i="54" s="1"/>
  <c r="C152" i="54"/>
  <c r="D152" i="54" s="1"/>
  <c r="E152" i="54" s="1"/>
  <c r="F152" i="54" s="1"/>
  <c r="G152" i="54" s="1"/>
  <c r="C153" i="54"/>
  <c r="D153" i="54" s="1"/>
  <c r="E153" i="54" s="1"/>
  <c r="F153" i="54" s="1"/>
  <c r="G153" i="54" s="1"/>
  <c r="C154" i="54"/>
  <c r="D154" i="54" s="1"/>
  <c r="E154" i="54" s="1"/>
  <c r="F154" i="54" s="1"/>
  <c r="G154" i="54" s="1"/>
  <c r="C155" i="54"/>
  <c r="D155" i="54" s="1"/>
  <c r="E155" i="54" s="1"/>
  <c r="F155" i="54" s="1"/>
  <c r="G155" i="54" s="1"/>
  <c r="C156" i="54"/>
  <c r="D156" i="54" s="1"/>
  <c r="E156" i="54" s="1"/>
  <c r="F156" i="54" s="1"/>
  <c r="G156" i="54" s="1"/>
  <c r="C157" i="54"/>
  <c r="D157" i="54" s="1"/>
  <c r="E157" i="54" s="1"/>
  <c r="F157" i="54" s="1"/>
  <c r="G157" i="54" s="1"/>
  <c r="C158" i="54"/>
  <c r="D158" i="54" s="1"/>
  <c r="E158" i="54" s="1"/>
  <c r="F158" i="54" s="1"/>
  <c r="G158" i="54" s="1"/>
  <c r="C159" i="54"/>
  <c r="D159" i="54" s="1"/>
  <c r="E159" i="54" s="1"/>
  <c r="F159" i="54" s="1"/>
  <c r="G159" i="54" s="1"/>
  <c r="C160" i="54"/>
  <c r="D160" i="54" s="1"/>
  <c r="E160" i="54" s="1"/>
  <c r="F160" i="54" s="1"/>
  <c r="G160" i="54" s="1"/>
  <c r="C161" i="54"/>
  <c r="D161" i="54" s="1"/>
  <c r="E161" i="54" s="1"/>
  <c r="F161" i="54" s="1"/>
  <c r="G161" i="54" s="1"/>
  <c r="C162" i="54"/>
  <c r="D162" i="54"/>
  <c r="E162" i="54" s="1"/>
  <c r="F162" i="54" s="1"/>
  <c r="G162" i="54" s="1"/>
  <c r="C163" i="54"/>
  <c r="D163" i="54"/>
  <c r="E163" i="54" s="1"/>
  <c r="F163" i="54" s="1"/>
  <c r="G163" i="54" s="1"/>
  <c r="C164" i="54"/>
  <c r="D164" i="54" s="1"/>
  <c r="E164" i="54" s="1"/>
  <c r="F164" i="54" s="1"/>
  <c r="G164" i="54" s="1"/>
  <c r="C165" i="54"/>
  <c r="D165" i="54" s="1"/>
  <c r="E165" i="54" s="1"/>
  <c r="F165" i="54" s="1"/>
  <c r="G165" i="54" s="1"/>
  <c r="C166" i="54"/>
  <c r="D166" i="54" s="1"/>
  <c r="E166" i="54" s="1"/>
  <c r="F166" i="54" s="1"/>
  <c r="G166" i="54" s="1"/>
  <c r="C167" i="54"/>
  <c r="D167" i="54" s="1"/>
  <c r="E167" i="54" s="1"/>
  <c r="F167" i="54" s="1"/>
  <c r="G167" i="54" s="1"/>
  <c r="C168" i="54"/>
  <c r="D168" i="54" s="1"/>
  <c r="E168" i="54" s="1"/>
  <c r="F168" i="54" s="1"/>
  <c r="G168" i="54" s="1"/>
  <c r="C169" i="54"/>
  <c r="D169" i="54" s="1"/>
  <c r="E169" i="54" s="1"/>
  <c r="F169" i="54" s="1"/>
  <c r="G169" i="54" s="1"/>
  <c r="C170" i="54"/>
  <c r="D170" i="54" s="1"/>
  <c r="E170" i="54" s="1"/>
  <c r="F170" i="54" s="1"/>
  <c r="G170" i="54" s="1"/>
  <c r="C171" i="54"/>
  <c r="D171" i="54" s="1"/>
  <c r="E171" i="54" s="1"/>
  <c r="F171" i="54" s="1"/>
  <c r="G171" i="54" s="1"/>
  <c r="C172" i="54"/>
  <c r="D172" i="54" s="1"/>
  <c r="E172" i="54" s="1"/>
  <c r="F172" i="54" s="1"/>
  <c r="G172" i="54" s="1"/>
  <c r="C173" i="54"/>
  <c r="D173" i="54" s="1"/>
  <c r="E173" i="54" s="1"/>
  <c r="F173" i="54" s="1"/>
  <c r="G173" i="54" s="1"/>
  <c r="C174" i="54"/>
  <c r="D174" i="54" s="1"/>
  <c r="E174" i="54" s="1"/>
  <c r="F174" i="54" s="1"/>
  <c r="G174" i="54" s="1"/>
  <c r="C175" i="54"/>
  <c r="D175" i="54" s="1"/>
  <c r="E175" i="54" s="1"/>
  <c r="F175" i="54" s="1"/>
  <c r="G175" i="54" s="1"/>
  <c r="C176" i="54"/>
  <c r="D176" i="54" s="1"/>
  <c r="E176" i="54" s="1"/>
  <c r="F176" i="54" s="1"/>
  <c r="G176" i="54" s="1"/>
  <c r="C177" i="54"/>
  <c r="D177" i="54"/>
  <c r="E177" i="54" s="1"/>
  <c r="F177" i="54" s="1"/>
  <c r="G177" i="54" s="1"/>
  <c r="C178" i="54"/>
  <c r="D178" i="54" s="1"/>
  <c r="E178" i="54" s="1"/>
  <c r="F178" i="54" s="1"/>
  <c r="G178" i="54" s="1"/>
  <c r="C179" i="54"/>
  <c r="D179" i="54" s="1"/>
  <c r="E179" i="54" s="1"/>
  <c r="F179" i="54" s="1"/>
  <c r="G179" i="54" s="1"/>
  <c r="C180" i="54"/>
  <c r="D180" i="54" s="1"/>
  <c r="E180" i="54" s="1"/>
  <c r="F180" i="54" s="1"/>
  <c r="G180" i="54" s="1"/>
  <c r="C181" i="54"/>
  <c r="D181" i="54" s="1"/>
  <c r="E181" i="54" s="1"/>
  <c r="F181" i="54" s="1"/>
  <c r="G181" i="54" s="1"/>
  <c r="C182" i="54"/>
  <c r="D182" i="54" s="1"/>
  <c r="E182" i="54" s="1"/>
  <c r="F182" i="54" s="1"/>
  <c r="G182" i="54" s="1"/>
  <c r="C183" i="54"/>
  <c r="D183" i="54" s="1"/>
  <c r="E183" i="54" s="1"/>
  <c r="F183" i="54" s="1"/>
  <c r="G183" i="54" s="1"/>
  <c r="C184" i="54"/>
  <c r="D184" i="54" s="1"/>
  <c r="E184" i="54" s="1"/>
  <c r="F184" i="54" s="1"/>
  <c r="G184" i="54" s="1"/>
  <c r="C185" i="54"/>
  <c r="D185" i="54" s="1"/>
  <c r="E185" i="54" s="1"/>
  <c r="F185" i="54" s="1"/>
  <c r="G185" i="54" s="1"/>
  <c r="C186" i="54"/>
  <c r="D186" i="54" s="1"/>
  <c r="E186" i="54" s="1"/>
  <c r="F186" i="54" s="1"/>
  <c r="G186" i="54" s="1"/>
  <c r="C187" i="54"/>
  <c r="D187" i="54" s="1"/>
  <c r="E187" i="54" s="1"/>
  <c r="F187" i="54" s="1"/>
  <c r="G187" i="54" s="1"/>
  <c r="C188" i="54"/>
  <c r="D188" i="54"/>
  <c r="E188" i="54" s="1"/>
  <c r="F188" i="54" s="1"/>
  <c r="G188" i="54" s="1"/>
  <c r="C189" i="54"/>
  <c r="D189" i="54"/>
  <c r="E189" i="54" s="1"/>
  <c r="F189" i="54" s="1"/>
  <c r="G189" i="54" s="1"/>
  <c r="C190" i="54"/>
  <c r="D190" i="54" s="1"/>
  <c r="E190" i="54" s="1"/>
  <c r="F190" i="54" s="1"/>
  <c r="G190" i="54" s="1"/>
  <c r="C191" i="54"/>
  <c r="D191" i="54" s="1"/>
  <c r="E191" i="54" s="1"/>
  <c r="F191" i="54" s="1"/>
  <c r="G191" i="54" s="1"/>
  <c r="C192" i="54"/>
  <c r="D192" i="54" s="1"/>
  <c r="E192" i="54" s="1"/>
  <c r="F192" i="54" s="1"/>
  <c r="G192" i="54" s="1"/>
  <c r="C193" i="54"/>
  <c r="D193" i="54" s="1"/>
  <c r="E193" i="54" s="1"/>
  <c r="F193" i="54" s="1"/>
  <c r="G193" i="54" s="1"/>
  <c r="C194" i="54"/>
  <c r="D194" i="54" s="1"/>
  <c r="E194" i="54" s="1"/>
  <c r="F194" i="54" s="1"/>
  <c r="G194" i="54" s="1"/>
  <c r="C195" i="54"/>
  <c r="D195" i="54"/>
  <c r="E195" i="54" s="1"/>
  <c r="F195" i="54" s="1"/>
  <c r="G195" i="54" s="1"/>
  <c r="C196" i="54"/>
  <c r="D196" i="54" s="1"/>
  <c r="E196" i="54" s="1"/>
  <c r="F196" i="54" s="1"/>
  <c r="G196" i="54" s="1"/>
  <c r="C197" i="54"/>
  <c r="D197" i="54" s="1"/>
  <c r="E197" i="54" s="1"/>
  <c r="F197" i="54" s="1"/>
  <c r="G197" i="54" s="1"/>
  <c r="C198" i="54"/>
  <c r="D198" i="54" s="1"/>
  <c r="E198" i="54" s="1"/>
  <c r="F198" i="54" s="1"/>
  <c r="G198" i="54" s="1"/>
  <c r="C199" i="54"/>
  <c r="D199" i="54" s="1"/>
  <c r="E199" i="54" s="1"/>
  <c r="F199" i="54"/>
  <c r="G199" i="54" s="1"/>
  <c r="C200" i="54"/>
  <c r="D200" i="54" s="1"/>
  <c r="E200" i="54" s="1"/>
  <c r="F200" i="54" s="1"/>
  <c r="G200" i="54" s="1"/>
  <c r="C201" i="54"/>
  <c r="D201" i="54"/>
  <c r="E201" i="54" s="1"/>
  <c r="F201" i="54" s="1"/>
  <c r="G201" i="54" s="1"/>
  <c r="C202" i="54"/>
  <c r="D202" i="54" s="1"/>
  <c r="E202" i="54" s="1"/>
  <c r="F202" i="54" s="1"/>
  <c r="G202" i="54" s="1"/>
  <c r="C203" i="54"/>
  <c r="D203" i="54" s="1"/>
  <c r="E203" i="54" s="1"/>
  <c r="F203" i="54" s="1"/>
  <c r="G203" i="54" s="1"/>
  <c r="C204" i="54"/>
  <c r="D204" i="54" s="1"/>
  <c r="E204" i="54" s="1"/>
  <c r="F204" i="54" s="1"/>
  <c r="G204" i="54" s="1"/>
  <c r="C205" i="54"/>
  <c r="D205" i="54" s="1"/>
  <c r="E205" i="54" s="1"/>
  <c r="F205" i="54" s="1"/>
  <c r="G205" i="54" s="1"/>
  <c r="C206" i="54"/>
  <c r="D206" i="54" s="1"/>
  <c r="E206" i="54" s="1"/>
  <c r="F206" i="54" s="1"/>
  <c r="G206" i="54" s="1"/>
  <c r="C207" i="54"/>
  <c r="D207" i="54" s="1"/>
  <c r="E207" i="54" s="1"/>
  <c r="F207" i="54" s="1"/>
  <c r="G207" i="54" s="1"/>
  <c r="C208" i="54"/>
  <c r="D208" i="54" s="1"/>
  <c r="E208" i="54" s="1"/>
  <c r="F208" i="54" s="1"/>
  <c r="G208" i="54" s="1"/>
  <c r="C209" i="54"/>
  <c r="D209" i="54" s="1"/>
  <c r="E209" i="54" s="1"/>
  <c r="F209" i="54" s="1"/>
  <c r="G209" i="54" s="1"/>
  <c r="C210" i="54"/>
  <c r="D210" i="54" s="1"/>
  <c r="E210" i="54" s="1"/>
  <c r="F210" i="54" s="1"/>
  <c r="G210" i="54" s="1"/>
  <c r="C211" i="54"/>
  <c r="D211" i="54" s="1"/>
  <c r="E211" i="54" s="1"/>
  <c r="F211" i="54" s="1"/>
  <c r="G211" i="54" s="1"/>
  <c r="C212" i="54"/>
  <c r="D212" i="54" s="1"/>
  <c r="E212" i="54" s="1"/>
  <c r="F212" i="54" s="1"/>
  <c r="G212" i="54" s="1"/>
  <c r="C213" i="54"/>
  <c r="D213" i="54" s="1"/>
  <c r="E213" i="54" s="1"/>
  <c r="F213" i="54" s="1"/>
  <c r="G213" i="54" s="1"/>
  <c r="C214" i="54"/>
  <c r="D214" i="54" s="1"/>
  <c r="E214" i="54" s="1"/>
  <c r="F214" i="54" s="1"/>
  <c r="G214" i="54" s="1"/>
  <c r="C215" i="54"/>
  <c r="D215" i="54" s="1"/>
  <c r="E215" i="54" s="1"/>
  <c r="F215" i="54" s="1"/>
  <c r="G215" i="54" s="1"/>
  <c r="C216" i="54"/>
  <c r="D216" i="54" s="1"/>
  <c r="E216" i="54" s="1"/>
  <c r="F216" i="54" s="1"/>
  <c r="G216" i="54" s="1"/>
  <c r="C217" i="54"/>
  <c r="D217" i="54" s="1"/>
  <c r="E217" i="54" s="1"/>
  <c r="F217" i="54" s="1"/>
  <c r="G217" i="54" s="1"/>
  <c r="C218" i="54"/>
  <c r="D218" i="54" s="1"/>
  <c r="E218" i="54" s="1"/>
  <c r="F218" i="54" s="1"/>
  <c r="G218" i="54" s="1"/>
  <c r="C219" i="54"/>
  <c r="D219" i="54" s="1"/>
  <c r="E219" i="54" s="1"/>
  <c r="F219" i="54" s="1"/>
  <c r="G219" i="54" s="1"/>
  <c r="C220" i="54"/>
  <c r="D220" i="54" s="1"/>
  <c r="E220" i="54"/>
  <c r="F220" i="54" s="1"/>
  <c r="G220" i="54" s="1"/>
  <c r="C221" i="54"/>
  <c r="D221" i="54" s="1"/>
  <c r="E221" i="54" s="1"/>
  <c r="F221" i="54" s="1"/>
  <c r="G221" i="54" s="1"/>
  <c r="C222" i="54"/>
  <c r="D222" i="54" s="1"/>
  <c r="E222" i="54" s="1"/>
  <c r="F222" i="54" s="1"/>
  <c r="G222" i="54" s="1"/>
  <c r="C223" i="54"/>
  <c r="D223" i="54" s="1"/>
  <c r="E223" i="54" s="1"/>
  <c r="F223" i="54" s="1"/>
  <c r="G223" i="54" s="1"/>
  <c r="C224" i="54"/>
  <c r="D224" i="54" s="1"/>
  <c r="E224" i="54" s="1"/>
  <c r="F224" i="54" s="1"/>
  <c r="G224" i="54" s="1"/>
  <c r="C225" i="54"/>
  <c r="D225" i="54" s="1"/>
  <c r="E225" i="54" s="1"/>
  <c r="F225" i="54" s="1"/>
  <c r="G225" i="54" s="1"/>
  <c r="C226" i="54"/>
  <c r="D226" i="54" s="1"/>
  <c r="E226" i="54" s="1"/>
  <c r="F226" i="54" s="1"/>
  <c r="G226" i="54" s="1"/>
  <c r="C227" i="54"/>
  <c r="D227" i="54" s="1"/>
  <c r="E227" i="54" s="1"/>
  <c r="F227" i="54" s="1"/>
  <c r="G227" i="54" s="1"/>
  <c r="C228" i="54"/>
  <c r="D228" i="54" s="1"/>
  <c r="E228" i="54" s="1"/>
  <c r="F228" i="54" s="1"/>
  <c r="G228" i="54" s="1"/>
  <c r="C229" i="54"/>
  <c r="D229" i="54" s="1"/>
  <c r="E229" i="54" s="1"/>
  <c r="F229" i="54" s="1"/>
  <c r="G229" i="54" s="1"/>
  <c r="C230" i="54"/>
  <c r="D230" i="54" s="1"/>
  <c r="E230" i="54" s="1"/>
  <c r="F230" i="54" s="1"/>
  <c r="G230" i="54" s="1"/>
  <c r="C231" i="54"/>
  <c r="D231" i="54" s="1"/>
  <c r="E231" i="54" s="1"/>
  <c r="F231" i="54" s="1"/>
  <c r="G231" i="54" s="1"/>
  <c r="C232" i="54"/>
  <c r="D232" i="54" s="1"/>
  <c r="E232" i="54" s="1"/>
  <c r="F232" i="54" s="1"/>
  <c r="G232" i="54" s="1"/>
  <c r="C233" i="54"/>
  <c r="D233" i="54"/>
  <c r="E233" i="54" s="1"/>
  <c r="F233" i="54" s="1"/>
  <c r="G233" i="54" s="1"/>
  <c r="C234" i="54"/>
  <c r="D234" i="54" s="1"/>
  <c r="E234" i="54" s="1"/>
  <c r="F234" i="54" s="1"/>
  <c r="G234" i="54" s="1"/>
  <c r="C235" i="54"/>
  <c r="D235" i="54" s="1"/>
  <c r="E235" i="54" s="1"/>
  <c r="F235" i="54" s="1"/>
  <c r="G235" i="54" s="1"/>
  <c r="C236" i="54"/>
  <c r="D236" i="54" s="1"/>
  <c r="E236" i="54" s="1"/>
  <c r="F236" i="54" s="1"/>
  <c r="G236" i="54" s="1"/>
  <c r="C237" i="54"/>
  <c r="D237" i="54" s="1"/>
  <c r="E237" i="54" s="1"/>
  <c r="F237" i="54" s="1"/>
  <c r="G237" i="54" s="1"/>
  <c r="C238" i="54"/>
  <c r="D238" i="54" s="1"/>
  <c r="E238" i="54" s="1"/>
  <c r="F238" i="54" s="1"/>
  <c r="G238" i="54" s="1"/>
  <c r="C239" i="54"/>
  <c r="D239" i="54" s="1"/>
  <c r="E239" i="54" s="1"/>
  <c r="F239" i="54" s="1"/>
  <c r="G239" i="54" s="1"/>
  <c r="C240" i="54"/>
  <c r="D240" i="54" s="1"/>
  <c r="E240" i="54" s="1"/>
  <c r="F240" i="54" s="1"/>
  <c r="G240" i="54" s="1"/>
  <c r="C241" i="54"/>
  <c r="D241" i="54" s="1"/>
  <c r="E241" i="54" s="1"/>
  <c r="F241" i="54" s="1"/>
  <c r="G241" i="54" s="1"/>
  <c r="C242" i="54"/>
  <c r="D242" i="54" s="1"/>
  <c r="E242" i="54" s="1"/>
  <c r="F242" i="54" s="1"/>
  <c r="G242" i="54" s="1"/>
  <c r="C243" i="54"/>
  <c r="D243" i="54" s="1"/>
  <c r="E243" i="54" s="1"/>
  <c r="F243" i="54" s="1"/>
  <c r="G243" i="54" s="1"/>
  <c r="C244" i="54"/>
  <c r="D244" i="54" s="1"/>
  <c r="E244" i="54" s="1"/>
  <c r="F244" i="54" s="1"/>
  <c r="G244" i="54" s="1"/>
  <c r="C245" i="54"/>
  <c r="D245" i="54"/>
  <c r="E245" i="54" s="1"/>
  <c r="F245" i="54" s="1"/>
  <c r="G245" i="54" s="1"/>
  <c r="C246" i="54"/>
  <c r="D246" i="54" s="1"/>
  <c r="E246" i="54" s="1"/>
  <c r="F246" i="54" s="1"/>
  <c r="G246" i="54" s="1"/>
  <c r="C247" i="54"/>
  <c r="D247" i="54" s="1"/>
  <c r="E247" i="54" s="1"/>
  <c r="F247" i="54" s="1"/>
  <c r="G247" i="54" s="1"/>
  <c r="C248" i="54"/>
  <c r="D248" i="54" s="1"/>
  <c r="E248" i="54" s="1"/>
  <c r="F248" i="54" s="1"/>
  <c r="G248" i="54" s="1"/>
  <c r="C249" i="54"/>
  <c r="D249" i="54"/>
  <c r="E249" i="54" s="1"/>
  <c r="F249" i="54" s="1"/>
  <c r="G249" i="54" s="1"/>
  <c r="C250" i="54"/>
  <c r="D250" i="54" s="1"/>
  <c r="E250" i="54" s="1"/>
  <c r="F250" i="54" s="1"/>
  <c r="G250" i="54" s="1"/>
  <c r="C251" i="54"/>
  <c r="D251" i="54"/>
  <c r="E251" i="54" s="1"/>
  <c r="F251" i="54" s="1"/>
  <c r="G251" i="54" s="1"/>
  <c r="C252" i="54"/>
  <c r="D252" i="54" s="1"/>
  <c r="E252" i="54" s="1"/>
  <c r="F252" i="54" s="1"/>
  <c r="G252" i="54" s="1"/>
  <c r="C253" i="54"/>
  <c r="D253" i="54"/>
  <c r="E253" i="54" s="1"/>
  <c r="F253" i="54" s="1"/>
  <c r="G253" i="54" s="1"/>
  <c r="C254" i="54"/>
  <c r="D254" i="54" s="1"/>
  <c r="E254" i="54" s="1"/>
  <c r="F254" i="54" s="1"/>
  <c r="G254" i="54" s="1"/>
  <c r="C255" i="54"/>
  <c r="D255" i="54" s="1"/>
  <c r="E255" i="54" s="1"/>
  <c r="F255" i="54" s="1"/>
  <c r="G255" i="54" s="1"/>
  <c r="C256" i="54"/>
  <c r="D256" i="54" s="1"/>
  <c r="E256" i="54" s="1"/>
  <c r="F256" i="54" s="1"/>
  <c r="G256" i="54" s="1"/>
  <c r="C257" i="54"/>
  <c r="D257" i="54" s="1"/>
  <c r="E257" i="54" s="1"/>
  <c r="F257" i="54" s="1"/>
  <c r="G257" i="54" s="1"/>
  <c r="C258" i="54"/>
  <c r="D258" i="54" s="1"/>
  <c r="E258" i="54" s="1"/>
  <c r="F258" i="54" s="1"/>
  <c r="G258" i="54" s="1"/>
  <c r="C259" i="54"/>
  <c r="D259" i="54" s="1"/>
  <c r="E259" i="54" s="1"/>
  <c r="F259" i="54" s="1"/>
  <c r="G259" i="54" s="1"/>
  <c r="C260" i="54"/>
  <c r="D260" i="54"/>
  <c r="E260" i="54" s="1"/>
  <c r="F260" i="54" s="1"/>
  <c r="G260" i="54" s="1"/>
  <c r="C261" i="54"/>
  <c r="D261" i="54"/>
  <c r="E261" i="54" s="1"/>
  <c r="F261" i="54" s="1"/>
  <c r="G261" i="54" s="1"/>
  <c r="C262" i="54"/>
  <c r="D262" i="54" s="1"/>
  <c r="E262" i="54" s="1"/>
  <c r="F262" i="54" s="1"/>
  <c r="G262" i="54" s="1"/>
  <c r="C263" i="54"/>
  <c r="D263" i="54" s="1"/>
  <c r="E263" i="54" s="1"/>
  <c r="F263" i="54" s="1"/>
  <c r="G263" i="54" s="1"/>
  <c r="C264" i="54"/>
  <c r="D264" i="54" s="1"/>
  <c r="E264" i="54" s="1"/>
  <c r="F264" i="54" s="1"/>
  <c r="G264" i="54" s="1"/>
  <c r="C265" i="54"/>
  <c r="D265" i="54" s="1"/>
  <c r="E265" i="54" s="1"/>
  <c r="F265" i="54" s="1"/>
  <c r="G265" i="54" s="1"/>
  <c r="C266" i="54"/>
  <c r="D266" i="54" s="1"/>
  <c r="E266" i="54" s="1"/>
  <c r="F266" i="54" s="1"/>
  <c r="G266" i="54"/>
  <c r="C267" i="54"/>
  <c r="D267" i="54" s="1"/>
  <c r="E267" i="54" s="1"/>
  <c r="F267" i="54" s="1"/>
  <c r="G267" i="54" s="1"/>
  <c r="C268" i="54"/>
  <c r="D268" i="54"/>
  <c r="E268" i="54"/>
  <c r="F268" i="54" s="1"/>
  <c r="G268" i="54" s="1"/>
  <c r="C269" i="54"/>
  <c r="D269" i="54" s="1"/>
  <c r="E269" i="54" s="1"/>
  <c r="F269" i="54" s="1"/>
  <c r="G269" i="54" s="1"/>
  <c r="C270" i="54"/>
  <c r="D270" i="54" s="1"/>
  <c r="E270" i="54" s="1"/>
  <c r="F270" i="54" s="1"/>
  <c r="G270" i="54" s="1"/>
  <c r="C271" i="54"/>
  <c r="D271" i="54" s="1"/>
  <c r="E271" i="54" s="1"/>
  <c r="F271" i="54" s="1"/>
  <c r="G271" i="54" s="1"/>
  <c r="C272" i="54"/>
  <c r="D272" i="54" s="1"/>
  <c r="E272" i="54" s="1"/>
  <c r="F272" i="54" s="1"/>
  <c r="G272" i="54" s="1"/>
  <c r="C273" i="54"/>
  <c r="D273" i="54" s="1"/>
  <c r="E273" i="54" s="1"/>
  <c r="F273" i="54" s="1"/>
  <c r="G273" i="54" s="1"/>
  <c r="C274" i="54"/>
  <c r="D274" i="54" s="1"/>
  <c r="E274" i="54" s="1"/>
  <c r="F274" i="54" s="1"/>
  <c r="G274" i="54" s="1"/>
  <c r="C275" i="54"/>
  <c r="D275" i="54" s="1"/>
  <c r="E275" i="54" s="1"/>
  <c r="F275" i="54" s="1"/>
  <c r="G275" i="54" s="1"/>
  <c r="C276" i="54"/>
  <c r="D276" i="54" s="1"/>
  <c r="E276" i="54" s="1"/>
  <c r="F276" i="54" s="1"/>
  <c r="G276" i="54" s="1"/>
  <c r="C277" i="54"/>
  <c r="D277" i="54" s="1"/>
  <c r="E277" i="54" s="1"/>
  <c r="F277" i="54" s="1"/>
  <c r="G277" i="54" s="1"/>
  <c r="C278" i="54"/>
  <c r="D278" i="54" s="1"/>
  <c r="E278" i="54" s="1"/>
  <c r="F278" i="54" s="1"/>
  <c r="G278" i="54" s="1"/>
  <c r="C279" i="54"/>
  <c r="D279" i="54" s="1"/>
  <c r="E279" i="54" s="1"/>
  <c r="F279" i="54" s="1"/>
  <c r="G279" i="54" s="1"/>
  <c r="C280" i="54"/>
  <c r="D280" i="54" s="1"/>
  <c r="E280" i="54" s="1"/>
  <c r="F280" i="54" s="1"/>
  <c r="G280" i="54" s="1"/>
  <c r="C281" i="54"/>
  <c r="D281" i="54" s="1"/>
  <c r="E281" i="54" s="1"/>
  <c r="F281" i="54" s="1"/>
  <c r="G281" i="54" s="1"/>
  <c r="C282" i="54"/>
  <c r="D282" i="54" s="1"/>
  <c r="E282" i="54" s="1"/>
  <c r="F282" i="54" s="1"/>
  <c r="G282" i="54" s="1"/>
  <c r="C283" i="54"/>
  <c r="D283" i="54" s="1"/>
  <c r="E283" i="54" s="1"/>
  <c r="F283" i="54" s="1"/>
  <c r="G283" i="54" s="1"/>
  <c r="C284" i="54"/>
  <c r="D284" i="54"/>
  <c r="E284" i="54" s="1"/>
  <c r="F284" i="54" s="1"/>
  <c r="G284" i="54" s="1"/>
  <c r="C285" i="54"/>
  <c r="D285" i="54" s="1"/>
  <c r="E285" i="54" s="1"/>
  <c r="F285" i="54" s="1"/>
  <c r="G285" i="54" s="1"/>
  <c r="C286" i="54"/>
  <c r="D286" i="54" s="1"/>
  <c r="E286" i="54" s="1"/>
  <c r="F286" i="54" s="1"/>
  <c r="G286" i="54" s="1"/>
  <c r="C287" i="54"/>
  <c r="D287" i="54" s="1"/>
  <c r="E287" i="54" s="1"/>
  <c r="F287" i="54" s="1"/>
  <c r="G287" i="54" s="1"/>
  <c r="C288" i="54"/>
  <c r="D288" i="54" s="1"/>
  <c r="E288" i="54" s="1"/>
  <c r="F288" i="54" s="1"/>
  <c r="G288" i="54" s="1"/>
  <c r="C289" i="54"/>
  <c r="D289" i="54" s="1"/>
  <c r="E289" i="54" s="1"/>
  <c r="F289" i="54" s="1"/>
  <c r="G289" i="54" s="1"/>
  <c r="C290" i="54"/>
  <c r="D290" i="54" s="1"/>
  <c r="E290" i="54" s="1"/>
  <c r="F290" i="54" s="1"/>
  <c r="G290" i="54" s="1"/>
  <c r="C291" i="54"/>
  <c r="D291" i="54" s="1"/>
  <c r="E291" i="54" s="1"/>
  <c r="F291" i="54" s="1"/>
  <c r="G291" i="54" s="1"/>
  <c r="C292" i="54"/>
  <c r="D292" i="54" s="1"/>
  <c r="E292" i="54" s="1"/>
  <c r="F292" i="54" s="1"/>
  <c r="G292" i="54" s="1"/>
  <c r="C293" i="54"/>
  <c r="D293" i="54" s="1"/>
  <c r="E293" i="54" s="1"/>
  <c r="F293" i="54" s="1"/>
  <c r="G293" i="54" s="1"/>
  <c r="C294" i="54"/>
  <c r="D294" i="54" s="1"/>
  <c r="E294" i="54" s="1"/>
  <c r="F294" i="54" s="1"/>
  <c r="G294" i="54" s="1"/>
  <c r="C295" i="54"/>
  <c r="D295" i="54" s="1"/>
  <c r="E295" i="54" s="1"/>
  <c r="F295" i="54"/>
  <c r="G295" i="54" s="1"/>
  <c r="C296" i="54"/>
  <c r="D296" i="54" s="1"/>
  <c r="E296" i="54" s="1"/>
  <c r="F296" i="54" s="1"/>
  <c r="G296" i="54" s="1"/>
  <c r="C297" i="54"/>
  <c r="D297" i="54" s="1"/>
  <c r="E297" i="54" s="1"/>
  <c r="F297" i="54" s="1"/>
  <c r="G297" i="54" s="1"/>
  <c r="C298" i="54"/>
  <c r="D298" i="54" s="1"/>
  <c r="E298" i="54" s="1"/>
  <c r="F298" i="54" s="1"/>
  <c r="G298" i="54" s="1"/>
  <c r="C299" i="54"/>
  <c r="D299" i="54"/>
  <c r="E299" i="54" s="1"/>
  <c r="F299" i="54" s="1"/>
  <c r="G299" i="54" s="1"/>
  <c r="C300" i="54"/>
  <c r="D300" i="54" s="1"/>
  <c r="E300" i="54"/>
  <c r="F300" i="54" s="1"/>
  <c r="G300" i="54" s="1"/>
  <c r="C301" i="54"/>
  <c r="D301" i="54" s="1"/>
  <c r="E301" i="54" s="1"/>
  <c r="F301" i="54" s="1"/>
  <c r="G301" i="54" s="1"/>
  <c r="C302" i="54"/>
  <c r="D302" i="54" s="1"/>
  <c r="E302" i="54" s="1"/>
  <c r="F302" i="54" s="1"/>
  <c r="G302" i="54" s="1"/>
  <c r="C303" i="54"/>
  <c r="D303" i="54" s="1"/>
  <c r="E303" i="54" s="1"/>
  <c r="F303" i="54"/>
  <c r="G303" i="54" s="1"/>
  <c r="C304" i="54"/>
  <c r="D304" i="54" s="1"/>
  <c r="E304" i="54" s="1"/>
  <c r="F304" i="54" s="1"/>
  <c r="G304" i="54" s="1"/>
  <c r="C305" i="54"/>
  <c r="D305" i="54" s="1"/>
  <c r="E305" i="54" s="1"/>
  <c r="F305" i="54" s="1"/>
  <c r="G305" i="54" s="1"/>
  <c r="C306" i="54"/>
  <c r="D306" i="54" s="1"/>
  <c r="E306" i="54" s="1"/>
  <c r="F306" i="54" s="1"/>
  <c r="G306" i="54" s="1"/>
  <c r="C307" i="54"/>
  <c r="D307" i="54" s="1"/>
  <c r="E307" i="54" s="1"/>
  <c r="F307" i="54" s="1"/>
  <c r="G307" i="54" s="1"/>
  <c r="C308" i="54"/>
  <c r="D308" i="54"/>
  <c r="E308" i="54" s="1"/>
  <c r="F308" i="54" s="1"/>
  <c r="G308" i="54" s="1"/>
  <c r="C309" i="54"/>
  <c r="D309" i="54" s="1"/>
  <c r="E309" i="54" s="1"/>
  <c r="F309" i="54" s="1"/>
  <c r="G309" i="54" s="1"/>
  <c r="C310" i="54"/>
  <c r="D310" i="54" s="1"/>
  <c r="E310" i="54" s="1"/>
  <c r="F310" i="54" s="1"/>
  <c r="G310" i="54" s="1"/>
  <c r="C311" i="54"/>
  <c r="D311" i="54" s="1"/>
  <c r="E311" i="54" s="1"/>
  <c r="F311" i="54"/>
  <c r="G311" i="54" s="1"/>
  <c r="C312" i="54"/>
  <c r="D312" i="54" s="1"/>
  <c r="E312" i="54" s="1"/>
  <c r="F312" i="54" s="1"/>
  <c r="G312" i="54" s="1"/>
  <c r="C313" i="54"/>
  <c r="D313" i="54" s="1"/>
  <c r="E313" i="54" s="1"/>
  <c r="F313" i="54" s="1"/>
  <c r="G313" i="54" s="1"/>
  <c r="C314" i="54"/>
  <c r="D314" i="54" s="1"/>
  <c r="E314" i="54" s="1"/>
  <c r="F314" i="54" s="1"/>
  <c r="G314" i="54" s="1"/>
  <c r="C315" i="54"/>
  <c r="D315" i="54" s="1"/>
  <c r="E315" i="54" s="1"/>
  <c r="F315" i="54" s="1"/>
  <c r="G315" i="54" s="1"/>
  <c r="C316" i="54"/>
  <c r="D316" i="54" s="1"/>
  <c r="E316" i="54" s="1"/>
  <c r="F316" i="54" s="1"/>
  <c r="G316" i="54" s="1"/>
  <c r="C317" i="54"/>
  <c r="D317" i="54" s="1"/>
  <c r="E317" i="54" s="1"/>
  <c r="F317" i="54" s="1"/>
  <c r="G317" i="54" s="1"/>
  <c r="C318" i="54"/>
  <c r="D318" i="54" s="1"/>
  <c r="E318" i="54" s="1"/>
  <c r="F318" i="54" s="1"/>
  <c r="G318" i="54" s="1"/>
  <c r="C319" i="54"/>
  <c r="D319" i="54" s="1"/>
  <c r="E319" i="54" s="1"/>
  <c r="F319" i="54" s="1"/>
  <c r="G319" i="54" s="1"/>
  <c r="C320" i="54"/>
  <c r="D320" i="54" s="1"/>
  <c r="E320" i="54" s="1"/>
  <c r="F320" i="54" s="1"/>
  <c r="G320" i="54" s="1"/>
  <c r="C321" i="54"/>
  <c r="D321" i="54" s="1"/>
  <c r="E321" i="54" s="1"/>
  <c r="F321" i="54" s="1"/>
  <c r="G321" i="54" s="1"/>
  <c r="C322" i="54"/>
  <c r="D322" i="54" s="1"/>
  <c r="E322" i="54" s="1"/>
  <c r="F322" i="54" s="1"/>
  <c r="G322" i="54" s="1"/>
  <c r="BC6" i="124" l="1"/>
  <c r="BC5" i="124"/>
  <c r="S9" i="49" l="1"/>
  <c r="T9" i="49"/>
  <c r="U9" i="49"/>
  <c r="V9" i="49"/>
  <c r="W9" i="49"/>
  <c r="X9" i="49"/>
  <c r="S10" i="49"/>
  <c r="T10" i="49"/>
  <c r="U10" i="49"/>
  <c r="V10" i="49"/>
  <c r="W10" i="49"/>
  <c r="X10" i="49"/>
  <c r="S11" i="49"/>
  <c r="T11" i="49"/>
  <c r="U11" i="49"/>
  <c r="V11" i="49"/>
  <c r="W11" i="49"/>
  <c r="X11" i="49"/>
  <c r="S12" i="49"/>
  <c r="T12" i="49"/>
  <c r="U12" i="49"/>
  <c r="V12" i="49"/>
  <c r="W12" i="49"/>
  <c r="X12" i="49"/>
  <c r="S13" i="49"/>
  <c r="T13" i="49"/>
  <c r="U13" i="49"/>
  <c r="V13" i="49"/>
  <c r="W13" i="49"/>
  <c r="X13" i="49"/>
  <c r="S14" i="49"/>
  <c r="T14" i="49"/>
  <c r="U14" i="49"/>
  <c r="V14" i="49"/>
  <c r="W14" i="49"/>
  <c r="X14" i="49"/>
  <c r="S15" i="49"/>
  <c r="T15" i="49"/>
  <c r="U15" i="49"/>
  <c r="V15" i="49"/>
  <c r="W15" i="49"/>
  <c r="X15" i="49"/>
  <c r="S16" i="49"/>
  <c r="T16" i="49"/>
  <c r="U16" i="49"/>
  <c r="V16" i="49"/>
  <c r="W16" i="49"/>
  <c r="X16" i="49"/>
  <c r="S17" i="49"/>
  <c r="T17" i="49"/>
  <c r="U17" i="49"/>
  <c r="V17" i="49"/>
  <c r="W17" i="49"/>
  <c r="X17" i="49"/>
  <c r="S18" i="49"/>
  <c r="T18" i="49"/>
  <c r="U18" i="49"/>
  <c r="V18" i="49"/>
  <c r="W18" i="49"/>
  <c r="X18" i="49"/>
  <c r="S19" i="49"/>
  <c r="T19" i="49"/>
  <c r="U19" i="49"/>
  <c r="V19" i="49"/>
  <c r="W19" i="49"/>
  <c r="X19" i="49"/>
  <c r="S20" i="49"/>
  <c r="T20" i="49"/>
  <c r="U20" i="49"/>
  <c r="V20" i="49"/>
  <c r="W20" i="49"/>
  <c r="X20" i="49"/>
  <c r="S21" i="49"/>
  <c r="T21" i="49"/>
  <c r="U21" i="49"/>
  <c r="V21" i="49"/>
  <c r="W21" i="49"/>
  <c r="X21" i="49"/>
  <c r="S22" i="49"/>
  <c r="T22" i="49"/>
  <c r="U22" i="49"/>
  <c r="V22" i="49"/>
  <c r="W22" i="49"/>
  <c r="X22" i="49"/>
  <c r="S23" i="49"/>
  <c r="T23" i="49"/>
  <c r="U23" i="49"/>
  <c r="V23" i="49"/>
  <c r="W23" i="49"/>
  <c r="X23" i="49"/>
  <c r="S24" i="49"/>
  <c r="T24" i="49"/>
  <c r="U24" i="49"/>
  <c r="V24" i="49"/>
  <c r="W24" i="49"/>
  <c r="X24" i="49"/>
  <c r="S25" i="49"/>
  <c r="T25" i="49"/>
  <c r="U25" i="49"/>
  <c r="V25" i="49"/>
  <c r="W25" i="49"/>
  <c r="X25" i="49"/>
  <c r="S26" i="49"/>
  <c r="T26" i="49"/>
  <c r="U26" i="49"/>
  <c r="V26" i="49"/>
  <c r="W26" i="49"/>
  <c r="X26" i="49"/>
  <c r="S27" i="49"/>
  <c r="T27" i="49"/>
  <c r="U27" i="49"/>
  <c r="V27" i="49"/>
  <c r="W27" i="49"/>
  <c r="X27" i="49"/>
  <c r="S28" i="49"/>
  <c r="T28" i="49"/>
  <c r="U28" i="49"/>
  <c r="V28" i="49"/>
  <c r="W28" i="49"/>
  <c r="X28" i="49"/>
  <c r="S29" i="49"/>
  <c r="T29" i="49"/>
  <c r="U29" i="49"/>
  <c r="V29" i="49"/>
  <c r="W29" i="49"/>
  <c r="X29" i="49"/>
  <c r="S30" i="49"/>
  <c r="T30" i="49"/>
  <c r="U30" i="49"/>
  <c r="V30" i="49"/>
  <c r="W30" i="49"/>
  <c r="X30" i="49"/>
  <c r="S31" i="49"/>
  <c r="T31" i="49"/>
  <c r="U31" i="49"/>
  <c r="V31" i="49"/>
  <c r="W31" i="49"/>
  <c r="X31" i="49"/>
  <c r="S32" i="49"/>
  <c r="T32" i="49"/>
  <c r="U32" i="49"/>
  <c r="V32" i="49"/>
  <c r="W32" i="49"/>
  <c r="X32" i="49"/>
  <c r="S33" i="49"/>
  <c r="T33" i="49"/>
  <c r="U33" i="49"/>
  <c r="V33" i="49"/>
  <c r="W33" i="49"/>
  <c r="X33" i="49"/>
  <c r="S34" i="49"/>
  <c r="T34" i="49"/>
  <c r="U34" i="49"/>
  <c r="V34" i="49"/>
  <c r="W34" i="49"/>
  <c r="X34" i="49"/>
  <c r="S35" i="49"/>
  <c r="T35" i="49"/>
  <c r="U35" i="49"/>
  <c r="V35" i="49"/>
  <c r="W35" i="49"/>
  <c r="X35" i="49"/>
  <c r="S36" i="49"/>
  <c r="T36" i="49"/>
  <c r="U36" i="49"/>
  <c r="V36" i="49"/>
  <c r="W36" i="49"/>
  <c r="X36" i="49"/>
  <c r="S37" i="49"/>
  <c r="T37" i="49"/>
  <c r="U37" i="49"/>
  <c r="V37" i="49"/>
  <c r="W37" i="49"/>
  <c r="X37" i="49"/>
  <c r="S38" i="49"/>
  <c r="T38" i="49"/>
  <c r="U38" i="49"/>
  <c r="V38" i="49"/>
  <c r="W38" i="49"/>
  <c r="X38" i="49"/>
  <c r="S39" i="49"/>
  <c r="T39" i="49"/>
  <c r="U39" i="49"/>
  <c r="V39" i="49"/>
  <c r="W39" i="49"/>
  <c r="X39" i="49"/>
  <c r="S40" i="49"/>
  <c r="T40" i="49"/>
  <c r="U40" i="49"/>
  <c r="V40" i="49"/>
  <c r="W40" i="49"/>
  <c r="X40" i="49"/>
  <c r="S41" i="49"/>
  <c r="T41" i="49"/>
  <c r="U41" i="49"/>
  <c r="V41" i="49"/>
  <c r="W41" i="49"/>
  <c r="X41" i="49"/>
  <c r="S42" i="49"/>
  <c r="T42" i="49"/>
  <c r="U42" i="49"/>
  <c r="V42" i="49"/>
  <c r="W42" i="49"/>
  <c r="X42" i="49"/>
  <c r="S43" i="49"/>
  <c r="T43" i="49"/>
  <c r="U43" i="49"/>
  <c r="V43" i="49"/>
  <c r="W43" i="49"/>
  <c r="X43" i="49"/>
  <c r="S44" i="49"/>
  <c r="T44" i="49"/>
  <c r="U44" i="49"/>
  <c r="V44" i="49"/>
  <c r="W44" i="49"/>
  <c r="X44" i="49"/>
  <c r="S45" i="49"/>
  <c r="T45" i="49"/>
  <c r="U45" i="49"/>
  <c r="V45" i="49"/>
  <c r="W45" i="49"/>
  <c r="X45" i="49"/>
  <c r="S46" i="49"/>
  <c r="T46" i="49"/>
  <c r="U46" i="49"/>
  <c r="V46" i="49"/>
  <c r="W46" i="49"/>
  <c r="X46" i="49"/>
  <c r="S47" i="49"/>
  <c r="T47" i="49"/>
  <c r="U47" i="49"/>
  <c r="V47" i="49"/>
  <c r="W47" i="49"/>
  <c r="X47" i="49"/>
  <c r="S48" i="49"/>
  <c r="T48" i="49"/>
  <c r="U48" i="49"/>
  <c r="V48" i="49"/>
  <c r="W48" i="49"/>
  <c r="X48" i="49"/>
  <c r="S49" i="49"/>
  <c r="T49" i="49"/>
  <c r="U49" i="49"/>
  <c r="V49" i="49"/>
  <c r="W49" i="49"/>
  <c r="X49" i="49"/>
  <c r="S50" i="49"/>
  <c r="T50" i="49"/>
  <c r="U50" i="49"/>
  <c r="V50" i="49"/>
  <c r="W50" i="49"/>
  <c r="X50" i="49"/>
  <c r="S51" i="49"/>
  <c r="T51" i="49"/>
  <c r="U51" i="49"/>
  <c r="V51" i="49"/>
  <c r="W51" i="49"/>
  <c r="X51" i="49"/>
  <c r="S52" i="49"/>
  <c r="T52" i="49"/>
  <c r="U52" i="49"/>
  <c r="V52" i="49"/>
  <c r="W52" i="49"/>
  <c r="X52" i="49"/>
  <c r="S53" i="49"/>
  <c r="T53" i="49"/>
  <c r="U53" i="49"/>
  <c r="V53" i="49"/>
  <c r="W53" i="49"/>
  <c r="X53" i="49"/>
  <c r="S54" i="49"/>
  <c r="T54" i="49"/>
  <c r="U54" i="49"/>
  <c r="V54" i="49"/>
  <c r="W54" i="49"/>
  <c r="X54" i="49"/>
  <c r="S55" i="49"/>
  <c r="T55" i="49"/>
  <c r="U55" i="49"/>
  <c r="V55" i="49"/>
  <c r="W55" i="49"/>
  <c r="X55" i="49"/>
  <c r="S56" i="49"/>
  <c r="T56" i="49"/>
  <c r="U56" i="49"/>
  <c r="V56" i="49"/>
  <c r="W56" i="49"/>
  <c r="X56" i="49"/>
  <c r="S57" i="49"/>
  <c r="T57" i="49"/>
  <c r="U57" i="49"/>
  <c r="V57" i="49"/>
  <c r="W57" i="49"/>
  <c r="X57" i="49"/>
  <c r="S58" i="49"/>
  <c r="T58" i="49"/>
  <c r="U58" i="49"/>
  <c r="V58" i="49"/>
  <c r="W58" i="49"/>
  <c r="X58" i="49"/>
  <c r="S59" i="49"/>
  <c r="T59" i="49"/>
  <c r="U59" i="49"/>
  <c r="V59" i="49"/>
  <c r="W59" i="49"/>
  <c r="X59" i="49"/>
  <c r="S60" i="49"/>
  <c r="T60" i="49"/>
  <c r="U60" i="49"/>
  <c r="V60" i="49"/>
  <c r="W60" i="49"/>
  <c r="X60" i="49"/>
  <c r="S61" i="49"/>
  <c r="T61" i="49"/>
  <c r="U61" i="49"/>
  <c r="V61" i="49"/>
  <c r="W61" i="49"/>
  <c r="X61" i="49"/>
  <c r="S62" i="49"/>
  <c r="T62" i="49"/>
  <c r="U62" i="49"/>
  <c r="V62" i="49"/>
  <c r="W62" i="49"/>
  <c r="X62" i="49"/>
  <c r="S63" i="49"/>
  <c r="T63" i="49"/>
  <c r="U63" i="49"/>
  <c r="V63" i="49"/>
  <c r="W63" i="49"/>
  <c r="X63" i="49"/>
  <c r="S64" i="49"/>
  <c r="T64" i="49"/>
  <c r="U64" i="49"/>
  <c r="V64" i="49"/>
  <c r="W64" i="49"/>
  <c r="X64" i="49"/>
  <c r="S65" i="49"/>
  <c r="T65" i="49"/>
  <c r="U65" i="49"/>
  <c r="V65" i="49"/>
  <c r="W65" i="49"/>
  <c r="X65" i="49"/>
  <c r="S66" i="49"/>
  <c r="T66" i="49"/>
  <c r="U66" i="49"/>
  <c r="V66" i="49"/>
  <c r="W66" i="49"/>
  <c r="X66" i="49"/>
  <c r="S67" i="49"/>
  <c r="T67" i="49"/>
  <c r="U67" i="49"/>
  <c r="V67" i="49"/>
  <c r="W67" i="49"/>
  <c r="X67" i="49"/>
  <c r="S68" i="49"/>
  <c r="T68" i="49"/>
  <c r="U68" i="49"/>
  <c r="V68" i="49"/>
  <c r="W68" i="49"/>
  <c r="X68" i="49"/>
  <c r="S69" i="49"/>
  <c r="T69" i="49"/>
  <c r="U69" i="49"/>
  <c r="V69" i="49"/>
  <c r="W69" i="49"/>
  <c r="X69" i="49"/>
  <c r="S70" i="49"/>
  <c r="T70" i="49"/>
  <c r="U70" i="49"/>
  <c r="V70" i="49"/>
  <c r="W70" i="49"/>
  <c r="X70" i="49"/>
  <c r="S71" i="49"/>
  <c r="T71" i="49"/>
  <c r="U71" i="49"/>
  <c r="V71" i="49"/>
  <c r="W71" i="49"/>
  <c r="X71" i="49"/>
  <c r="S72" i="49"/>
  <c r="T72" i="49"/>
  <c r="U72" i="49"/>
  <c r="V72" i="49"/>
  <c r="W72" i="49"/>
  <c r="X72" i="49"/>
  <c r="S73" i="49"/>
  <c r="T73" i="49"/>
  <c r="U73" i="49"/>
  <c r="V73" i="49"/>
  <c r="W73" i="49"/>
  <c r="X73" i="49"/>
  <c r="S74" i="49"/>
  <c r="T74" i="49"/>
  <c r="U74" i="49"/>
  <c r="V74" i="49"/>
  <c r="W74" i="49"/>
  <c r="X74" i="49"/>
  <c r="S75" i="49"/>
  <c r="T75" i="49"/>
  <c r="U75" i="49"/>
  <c r="V75" i="49"/>
  <c r="W75" i="49"/>
  <c r="X75" i="49"/>
  <c r="S76" i="49"/>
  <c r="T76" i="49"/>
  <c r="U76" i="49"/>
  <c r="V76" i="49"/>
  <c r="W76" i="49"/>
  <c r="X76" i="49"/>
  <c r="S77" i="49"/>
  <c r="T77" i="49"/>
  <c r="U77" i="49"/>
  <c r="V77" i="49"/>
  <c r="W77" i="49"/>
  <c r="X77" i="49"/>
  <c r="S78" i="49"/>
  <c r="T78" i="49"/>
  <c r="U78" i="49"/>
  <c r="V78" i="49"/>
  <c r="W78" i="49"/>
  <c r="X78" i="49"/>
  <c r="S79" i="49"/>
  <c r="T79" i="49"/>
  <c r="U79" i="49"/>
  <c r="V79" i="49"/>
  <c r="W79" i="49"/>
  <c r="X79" i="49"/>
  <c r="S80" i="49"/>
  <c r="T80" i="49"/>
  <c r="U80" i="49"/>
  <c r="V80" i="49"/>
  <c r="W80" i="49"/>
  <c r="X80" i="49"/>
  <c r="S81" i="49"/>
  <c r="T81" i="49"/>
  <c r="U81" i="49"/>
  <c r="V81" i="49"/>
  <c r="W81" i="49"/>
  <c r="X81" i="49"/>
  <c r="S82" i="49"/>
  <c r="T82" i="49"/>
  <c r="U82" i="49"/>
  <c r="V82" i="49"/>
  <c r="W82" i="49"/>
  <c r="X82" i="49"/>
  <c r="S83" i="49"/>
  <c r="T83" i="49"/>
  <c r="U83" i="49"/>
  <c r="V83" i="49"/>
  <c r="W83" i="49"/>
  <c r="X83" i="49"/>
  <c r="S84" i="49"/>
  <c r="T84" i="49"/>
  <c r="U84" i="49"/>
  <c r="V84" i="49"/>
  <c r="W84" i="49"/>
  <c r="X84" i="49"/>
  <c r="S85" i="49"/>
  <c r="T85" i="49"/>
  <c r="U85" i="49"/>
  <c r="V85" i="49"/>
  <c r="W85" i="49"/>
  <c r="X85" i="49"/>
  <c r="S86" i="49"/>
  <c r="T86" i="49"/>
  <c r="U86" i="49"/>
  <c r="V86" i="49"/>
  <c r="W86" i="49"/>
  <c r="X86" i="49"/>
  <c r="S87" i="49"/>
  <c r="T87" i="49"/>
  <c r="U87" i="49"/>
  <c r="V87" i="49"/>
  <c r="W87" i="49"/>
  <c r="X87" i="49"/>
  <c r="S88" i="49"/>
  <c r="T88" i="49"/>
  <c r="U88" i="49"/>
  <c r="V88" i="49"/>
  <c r="W88" i="49"/>
  <c r="X88" i="49"/>
  <c r="S89" i="49"/>
  <c r="T89" i="49"/>
  <c r="U89" i="49"/>
  <c r="V89" i="49"/>
  <c r="W89" i="49"/>
  <c r="X89" i="49"/>
  <c r="S90" i="49"/>
  <c r="T90" i="49"/>
  <c r="U90" i="49"/>
  <c r="V90" i="49"/>
  <c r="W90" i="49"/>
  <c r="X90" i="49"/>
  <c r="S91" i="49"/>
  <c r="T91" i="49"/>
  <c r="U91" i="49"/>
  <c r="V91" i="49"/>
  <c r="W91" i="49"/>
  <c r="X91" i="49"/>
  <c r="S92" i="49"/>
  <c r="T92" i="49"/>
  <c r="U92" i="49"/>
  <c r="V92" i="49"/>
  <c r="W92" i="49"/>
  <c r="X92" i="49"/>
  <c r="S93" i="49"/>
  <c r="T93" i="49"/>
  <c r="U93" i="49"/>
  <c r="V93" i="49"/>
  <c r="W93" i="49"/>
  <c r="X93" i="49"/>
  <c r="S94" i="49"/>
  <c r="T94" i="49"/>
  <c r="U94" i="49"/>
  <c r="V94" i="49"/>
  <c r="W94" i="49"/>
  <c r="X94" i="49"/>
  <c r="S95" i="49"/>
  <c r="T95" i="49"/>
  <c r="U95" i="49"/>
  <c r="V95" i="49"/>
  <c r="W95" i="49"/>
  <c r="X95" i="49"/>
  <c r="S96" i="49"/>
  <c r="T96" i="49"/>
  <c r="U96" i="49"/>
  <c r="V96" i="49"/>
  <c r="W96" i="49"/>
  <c r="X96" i="49"/>
  <c r="S97" i="49"/>
  <c r="T97" i="49"/>
  <c r="U97" i="49"/>
  <c r="V97" i="49"/>
  <c r="W97" i="49"/>
  <c r="X97" i="49"/>
  <c r="S98" i="49"/>
  <c r="T98" i="49"/>
  <c r="U98" i="49"/>
  <c r="V98" i="49"/>
  <c r="W98" i="49"/>
  <c r="X98" i="49"/>
  <c r="S99" i="49"/>
  <c r="T99" i="49"/>
  <c r="U99" i="49"/>
  <c r="V99" i="49"/>
  <c r="W99" i="49"/>
  <c r="X99" i="49"/>
  <c r="S100" i="49"/>
  <c r="T100" i="49"/>
  <c r="U100" i="49"/>
  <c r="V100" i="49"/>
  <c r="W100" i="49"/>
  <c r="X100" i="49"/>
  <c r="S101" i="49"/>
  <c r="T101" i="49"/>
  <c r="U101" i="49"/>
  <c r="V101" i="49"/>
  <c r="W101" i="49"/>
  <c r="X101" i="49"/>
  <c r="S102" i="49"/>
  <c r="T102" i="49"/>
  <c r="U102" i="49"/>
  <c r="V102" i="49"/>
  <c r="W102" i="49"/>
  <c r="X102" i="49"/>
  <c r="S103" i="49"/>
  <c r="T103" i="49"/>
  <c r="U103" i="49"/>
  <c r="V103" i="49"/>
  <c r="W103" i="49"/>
  <c r="X103" i="49"/>
  <c r="S104" i="49"/>
  <c r="T104" i="49"/>
  <c r="U104" i="49"/>
  <c r="V104" i="49"/>
  <c r="W104" i="49"/>
  <c r="X104" i="49"/>
  <c r="S105" i="49"/>
  <c r="T105" i="49"/>
  <c r="U105" i="49"/>
  <c r="V105" i="49"/>
  <c r="W105" i="49"/>
  <c r="X105" i="49"/>
  <c r="S106" i="49"/>
  <c r="T106" i="49"/>
  <c r="U106" i="49"/>
  <c r="V106" i="49"/>
  <c r="W106" i="49"/>
  <c r="X106" i="49"/>
  <c r="S107" i="49"/>
  <c r="T107" i="49"/>
  <c r="U107" i="49"/>
  <c r="V107" i="49"/>
  <c r="W107" i="49"/>
  <c r="X107" i="49"/>
  <c r="S108" i="49"/>
  <c r="T108" i="49"/>
  <c r="U108" i="49"/>
  <c r="V108" i="49"/>
  <c r="W108" i="49"/>
  <c r="X108" i="49"/>
  <c r="S109" i="49"/>
  <c r="T109" i="49"/>
  <c r="U109" i="49"/>
  <c r="V109" i="49"/>
  <c r="W109" i="49"/>
  <c r="X109" i="49"/>
  <c r="S110" i="49"/>
  <c r="T110" i="49"/>
  <c r="U110" i="49"/>
  <c r="V110" i="49"/>
  <c r="W110" i="49"/>
  <c r="X110" i="49"/>
  <c r="S111" i="49"/>
  <c r="T111" i="49"/>
  <c r="U111" i="49"/>
  <c r="V111" i="49"/>
  <c r="W111" i="49"/>
  <c r="X111" i="49"/>
  <c r="S112" i="49"/>
  <c r="T112" i="49"/>
  <c r="U112" i="49"/>
  <c r="V112" i="49"/>
  <c r="W112" i="49"/>
  <c r="X112" i="49"/>
  <c r="S113" i="49"/>
  <c r="T113" i="49"/>
  <c r="U113" i="49"/>
  <c r="V113" i="49"/>
  <c r="W113" i="49"/>
  <c r="X113" i="49"/>
  <c r="S114" i="49"/>
  <c r="T114" i="49"/>
  <c r="U114" i="49"/>
  <c r="V114" i="49"/>
  <c r="W114" i="49"/>
  <c r="X114" i="49"/>
  <c r="S115" i="49"/>
  <c r="T115" i="49"/>
  <c r="U115" i="49"/>
  <c r="V115" i="49"/>
  <c r="W115" i="49"/>
  <c r="X115" i="49"/>
  <c r="S116" i="49"/>
  <c r="T116" i="49"/>
  <c r="U116" i="49"/>
  <c r="V116" i="49"/>
  <c r="W116" i="49"/>
  <c r="X116" i="49"/>
  <c r="S117" i="49"/>
  <c r="T117" i="49"/>
  <c r="U117" i="49"/>
  <c r="V117" i="49"/>
  <c r="W117" i="49"/>
  <c r="X117" i="49"/>
  <c r="S118" i="49"/>
  <c r="T118" i="49"/>
  <c r="U118" i="49"/>
  <c r="V118" i="49"/>
  <c r="W118" i="49"/>
  <c r="X118" i="49"/>
  <c r="S119" i="49"/>
  <c r="T119" i="49"/>
  <c r="U119" i="49"/>
  <c r="V119" i="49"/>
  <c r="W119" i="49"/>
  <c r="X119" i="49"/>
  <c r="S120" i="49"/>
  <c r="T120" i="49"/>
  <c r="U120" i="49"/>
  <c r="V120" i="49"/>
  <c r="W120" i="49"/>
  <c r="X120" i="49"/>
  <c r="S121" i="49"/>
  <c r="T121" i="49"/>
  <c r="U121" i="49"/>
  <c r="V121" i="49"/>
  <c r="W121" i="49"/>
  <c r="X121" i="49"/>
  <c r="S122" i="49"/>
  <c r="T122" i="49"/>
  <c r="U122" i="49"/>
  <c r="V122" i="49"/>
  <c r="W122" i="49"/>
  <c r="X122" i="49"/>
  <c r="S123" i="49"/>
  <c r="T123" i="49"/>
  <c r="U123" i="49"/>
  <c r="V123" i="49"/>
  <c r="W123" i="49"/>
  <c r="X123" i="49"/>
  <c r="S124" i="49"/>
  <c r="T124" i="49"/>
  <c r="U124" i="49"/>
  <c r="V124" i="49"/>
  <c r="W124" i="49"/>
  <c r="X124" i="49"/>
  <c r="S125" i="49"/>
  <c r="T125" i="49"/>
  <c r="U125" i="49"/>
  <c r="V125" i="49"/>
  <c r="W125" i="49"/>
  <c r="X125" i="49"/>
  <c r="S126" i="49"/>
  <c r="T126" i="49"/>
  <c r="U126" i="49"/>
  <c r="V126" i="49"/>
  <c r="W126" i="49"/>
  <c r="X126" i="49"/>
  <c r="S127" i="49"/>
  <c r="T127" i="49"/>
  <c r="U127" i="49"/>
  <c r="V127" i="49"/>
  <c r="W127" i="49"/>
  <c r="X127" i="49"/>
  <c r="S128" i="49"/>
  <c r="T128" i="49"/>
  <c r="U128" i="49"/>
  <c r="V128" i="49"/>
  <c r="W128" i="49"/>
  <c r="X128" i="49"/>
  <c r="S129" i="49"/>
  <c r="T129" i="49"/>
  <c r="U129" i="49"/>
  <c r="V129" i="49"/>
  <c r="W129" i="49"/>
  <c r="X129" i="49"/>
  <c r="S130" i="49"/>
  <c r="T130" i="49"/>
  <c r="U130" i="49"/>
  <c r="V130" i="49"/>
  <c r="W130" i="49"/>
  <c r="X130" i="49"/>
  <c r="S131" i="49"/>
  <c r="T131" i="49"/>
  <c r="U131" i="49"/>
  <c r="V131" i="49"/>
  <c r="W131" i="49"/>
  <c r="X131" i="49"/>
  <c r="S132" i="49"/>
  <c r="T132" i="49"/>
  <c r="U132" i="49"/>
  <c r="V132" i="49"/>
  <c r="W132" i="49"/>
  <c r="X132" i="49"/>
  <c r="S133" i="49"/>
  <c r="T133" i="49"/>
  <c r="U133" i="49"/>
  <c r="V133" i="49"/>
  <c r="W133" i="49"/>
  <c r="X133" i="49"/>
  <c r="S134" i="49"/>
  <c r="T134" i="49"/>
  <c r="U134" i="49"/>
  <c r="V134" i="49"/>
  <c r="W134" i="49"/>
  <c r="X134" i="49"/>
  <c r="S135" i="49"/>
  <c r="T135" i="49"/>
  <c r="U135" i="49"/>
  <c r="V135" i="49"/>
  <c r="W135" i="49"/>
  <c r="X135" i="49"/>
  <c r="S136" i="49"/>
  <c r="T136" i="49"/>
  <c r="U136" i="49"/>
  <c r="V136" i="49"/>
  <c r="W136" i="49"/>
  <c r="X136" i="49"/>
  <c r="S137" i="49"/>
  <c r="T137" i="49"/>
  <c r="U137" i="49"/>
  <c r="V137" i="49"/>
  <c r="W137" i="49"/>
  <c r="X137" i="49"/>
  <c r="S138" i="49"/>
  <c r="T138" i="49"/>
  <c r="U138" i="49"/>
  <c r="V138" i="49"/>
  <c r="W138" i="49"/>
  <c r="X138" i="49"/>
  <c r="S139" i="49"/>
  <c r="T139" i="49"/>
  <c r="U139" i="49"/>
  <c r="V139" i="49"/>
  <c r="W139" i="49"/>
  <c r="X139" i="49"/>
  <c r="S140" i="49"/>
  <c r="T140" i="49"/>
  <c r="U140" i="49"/>
  <c r="V140" i="49"/>
  <c r="W140" i="49"/>
  <c r="X140" i="49"/>
  <c r="S141" i="49"/>
  <c r="T141" i="49"/>
  <c r="U141" i="49"/>
  <c r="V141" i="49"/>
  <c r="W141" i="49"/>
  <c r="X141" i="49"/>
  <c r="S142" i="49"/>
  <c r="T142" i="49"/>
  <c r="U142" i="49"/>
  <c r="V142" i="49"/>
  <c r="W142" i="49"/>
  <c r="X142" i="49"/>
  <c r="S143" i="49"/>
  <c r="T143" i="49"/>
  <c r="U143" i="49"/>
  <c r="V143" i="49"/>
  <c r="W143" i="49"/>
  <c r="X143" i="49"/>
  <c r="S144" i="49"/>
  <c r="T144" i="49"/>
  <c r="U144" i="49"/>
  <c r="V144" i="49"/>
  <c r="W144" i="49"/>
  <c r="X144" i="49"/>
  <c r="S145" i="49"/>
  <c r="T145" i="49"/>
  <c r="U145" i="49"/>
  <c r="V145" i="49"/>
  <c r="W145" i="49"/>
  <c r="X145" i="49"/>
  <c r="S146" i="49"/>
  <c r="T146" i="49"/>
  <c r="U146" i="49"/>
  <c r="V146" i="49"/>
  <c r="W146" i="49"/>
  <c r="X146" i="49"/>
  <c r="S147" i="49"/>
  <c r="T147" i="49"/>
  <c r="U147" i="49"/>
  <c r="V147" i="49"/>
  <c r="W147" i="49"/>
  <c r="X147" i="49"/>
  <c r="S148" i="49"/>
  <c r="T148" i="49"/>
  <c r="U148" i="49"/>
  <c r="V148" i="49"/>
  <c r="W148" i="49"/>
  <c r="X148" i="49"/>
  <c r="S149" i="49"/>
  <c r="T149" i="49"/>
  <c r="U149" i="49"/>
  <c r="V149" i="49"/>
  <c r="W149" i="49"/>
  <c r="X149" i="49"/>
  <c r="S150" i="49"/>
  <c r="T150" i="49"/>
  <c r="U150" i="49"/>
  <c r="V150" i="49"/>
  <c r="W150" i="49"/>
  <c r="X150" i="49"/>
  <c r="S151" i="49"/>
  <c r="T151" i="49"/>
  <c r="U151" i="49"/>
  <c r="V151" i="49"/>
  <c r="W151" i="49"/>
  <c r="X151" i="49"/>
  <c r="S152" i="49"/>
  <c r="T152" i="49"/>
  <c r="U152" i="49"/>
  <c r="V152" i="49"/>
  <c r="W152" i="49"/>
  <c r="X152" i="49"/>
  <c r="S153" i="49"/>
  <c r="T153" i="49"/>
  <c r="U153" i="49"/>
  <c r="V153" i="49"/>
  <c r="W153" i="49"/>
  <c r="X153" i="49"/>
  <c r="S154" i="49"/>
  <c r="T154" i="49"/>
  <c r="U154" i="49"/>
  <c r="V154" i="49"/>
  <c r="W154" i="49"/>
  <c r="X154" i="49"/>
  <c r="S155" i="49"/>
  <c r="T155" i="49"/>
  <c r="U155" i="49"/>
  <c r="V155" i="49"/>
  <c r="W155" i="49"/>
  <c r="X155" i="49"/>
  <c r="S156" i="49"/>
  <c r="T156" i="49"/>
  <c r="U156" i="49"/>
  <c r="V156" i="49"/>
  <c r="W156" i="49"/>
  <c r="X156" i="49"/>
  <c r="S157" i="49"/>
  <c r="T157" i="49"/>
  <c r="U157" i="49"/>
  <c r="V157" i="49"/>
  <c r="W157" i="49"/>
  <c r="X157" i="49"/>
  <c r="S158" i="49"/>
  <c r="T158" i="49"/>
  <c r="U158" i="49"/>
  <c r="V158" i="49"/>
  <c r="W158" i="49"/>
  <c r="X158" i="49"/>
  <c r="S159" i="49"/>
  <c r="T159" i="49"/>
  <c r="U159" i="49"/>
  <c r="V159" i="49"/>
  <c r="W159" i="49"/>
  <c r="X159" i="49"/>
  <c r="S160" i="49"/>
  <c r="T160" i="49"/>
  <c r="U160" i="49"/>
  <c r="V160" i="49"/>
  <c r="W160" i="49"/>
  <c r="X160" i="49"/>
  <c r="S161" i="49"/>
  <c r="T161" i="49"/>
  <c r="U161" i="49"/>
  <c r="V161" i="49"/>
  <c r="W161" i="49"/>
  <c r="X161" i="49"/>
  <c r="S162" i="49"/>
  <c r="T162" i="49"/>
  <c r="U162" i="49"/>
  <c r="V162" i="49"/>
  <c r="W162" i="49"/>
  <c r="X162" i="49"/>
  <c r="S163" i="49"/>
  <c r="T163" i="49"/>
  <c r="U163" i="49"/>
  <c r="V163" i="49"/>
  <c r="W163" i="49"/>
  <c r="X163" i="49"/>
  <c r="S164" i="49"/>
  <c r="T164" i="49"/>
  <c r="U164" i="49"/>
  <c r="V164" i="49"/>
  <c r="W164" i="49"/>
  <c r="X164" i="49"/>
  <c r="S165" i="49"/>
  <c r="T165" i="49"/>
  <c r="U165" i="49"/>
  <c r="V165" i="49"/>
  <c r="W165" i="49"/>
  <c r="X165" i="49"/>
  <c r="S166" i="49"/>
  <c r="T166" i="49"/>
  <c r="U166" i="49"/>
  <c r="V166" i="49"/>
  <c r="W166" i="49"/>
  <c r="X166" i="49"/>
  <c r="S167" i="49"/>
  <c r="T167" i="49"/>
  <c r="U167" i="49"/>
  <c r="V167" i="49"/>
  <c r="W167" i="49"/>
  <c r="X167" i="49"/>
  <c r="S168" i="49"/>
  <c r="T168" i="49"/>
  <c r="U168" i="49"/>
  <c r="V168" i="49"/>
  <c r="W168" i="49"/>
  <c r="X168" i="49"/>
  <c r="S169" i="49"/>
  <c r="T169" i="49"/>
  <c r="U169" i="49"/>
  <c r="V169" i="49"/>
  <c r="W169" i="49"/>
  <c r="X169" i="49"/>
  <c r="S170" i="49"/>
  <c r="T170" i="49"/>
  <c r="U170" i="49"/>
  <c r="V170" i="49"/>
  <c r="W170" i="49"/>
  <c r="X170" i="49"/>
  <c r="S171" i="49"/>
  <c r="T171" i="49"/>
  <c r="U171" i="49"/>
  <c r="V171" i="49"/>
  <c r="W171" i="49"/>
  <c r="X171" i="49"/>
  <c r="S172" i="49"/>
  <c r="T172" i="49"/>
  <c r="U172" i="49"/>
  <c r="V172" i="49"/>
  <c r="W172" i="49"/>
  <c r="X172" i="49"/>
  <c r="S173" i="49"/>
  <c r="T173" i="49"/>
  <c r="U173" i="49"/>
  <c r="V173" i="49"/>
  <c r="W173" i="49"/>
  <c r="X173" i="49"/>
  <c r="S174" i="49"/>
  <c r="T174" i="49"/>
  <c r="U174" i="49"/>
  <c r="V174" i="49"/>
  <c r="W174" i="49"/>
  <c r="X174" i="49"/>
  <c r="S175" i="49"/>
  <c r="T175" i="49"/>
  <c r="U175" i="49"/>
  <c r="V175" i="49"/>
  <c r="W175" i="49"/>
  <c r="X175" i="49"/>
  <c r="S176" i="49"/>
  <c r="T176" i="49"/>
  <c r="U176" i="49"/>
  <c r="V176" i="49"/>
  <c r="W176" i="49"/>
  <c r="X176" i="49"/>
  <c r="S177" i="49"/>
  <c r="T177" i="49"/>
  <c r="U177" i="49"/>
  <c r="V177" i="49"/>
  <c r="W177" i="49"/>
  <c r="X177" i="49"/>
  <c r="S178" i="49"/>
  <c r="T178" i="49"/>
  <c r="U178" i="49"/>
  <c r="V178" i="49"/>
  <c r="W178" i="49"/>
  <c r="X178" i="49"/>
  <c r="S179" i="49"/>
  <c r="T179" i="49"/>
  <c r="U179" i="49"/>
  <c r="V179" i="49"/>
  <c r="W179" i="49"/>
  <c r="X179" i="49"/>
  <c r="S180" i="49"/>
  <c r="T180" i="49"/>
  <c r="U180" i="49"/>
  <c r="V180" i="49"/>
  <c r="W180" i="49"/>
  <c r="X180" i="49"/>
  <c r="S181" i="49"/>
  <c r="T181" i="49"/>
  <c r="U181" i="49"/>
  <c r="V181" i="49"/>
  <c r="W181" i="49"/>
  <c r="X181" i="49"/>
  <c r="S182" i="49"/>
  <c r="T182" i="49"/>
  <c r="U182" i="49"/>
  <c r="V182" i="49"/>
  <c r="W182" i="49"/>
  <c r="X182" i="49"/>
  <c r="S183" i="49"/>
  <c r="T183" i="49"/>
  <c r="U183" i="49"/>
  <c r="V183" i="49"/>
  <c r="W183" i="49"/>
  <c r="X183" i="49"/>
  <c r="S184" i="49"/>
  <c r="T184" i="49"/>
  <c r="U184" i="49"/>
  <c r="V184" i="49"/>
  <c r="W184" i="49"/>
  <c r="X184" i="49"/>
  <c r="S185" i="49"/>
  <c r="T185" i="49"/>
  <c r="U185" i="49"/>
  <c r="V185" i="49"/>
  <c r="W185" i="49"/>
  <c r="X185" i="49"/>
  <c r="S186" i="49"/>
  <c r="T186" i="49"/>
  <c r="U186" i="49"/>
  <c r="V186" i="49"/>
  <c r="W186" i="49"/>
  <c r="X186" i="49"/>
  <c r="S187" i="49"/>
  <c r="T187" i="49"/>
  <c r="U187" i="49"/>
  <c r="V187" i="49"/>
  <c r="W187" i="49"/>
  <c r="X187" i="49"/>
  <c r="S188" i="49"/>
  <c r="T188" i="49"/>
  <c r="U188" i="49"/>
  <c r="V188" i="49"/>
  <c r="W188" i="49"/>
  <c r="X188" i="49"/>
  <c r="S189" i="49"/>
  <c r="T189" i="49"/>
  <c r="U189" i="49"/>
  <c r="V189" i="49"/>
  <c r="W189" i="49"/>
  <c r="X189" i="49"/>
  <c r="S190" i="49"/>
  <c r="T190" i="49"/>
  <c r="U190" i="49"/>
  <c r="V190" i="49"/>
  <c r="W190" i="49"/>
  <c r="X190" i="49"/>
  <c r="S191" i="49"/>
  <c r="T191" i="49"/>
  <c r="U191" i="49"/>
  <c r="V191" i="49"/>
  <c r="W191" i="49"/>
  <c r="X191" i="49"/>
  <c r="S192" i="49"/>
  <c r="T192" i="49"/>
  <c r="U192" i="49"/>
  <c r="V192" i="49"/>
  <c r="W192" i="49"/>
  <c r="X192" i="49"/>
  <c r="S193" i="49"/>
  <c r="T193" i="49"/>
  <c r="U193" i="49"/>
  <c r="V193" i="49"/>
  <c r="W193" i="49"/>
  <c r="X193" i="49"/>
  <c r="S194" i="49"/>
  <c r="T194" i="49"/>
  <c r="U194" i="49"/>
  <c r="V194" i="49"/>
  <c r="W194" i="49"/>
  <c r="X194" i="49"/>
  <c r="S195" i="49"/>
  <c r="T195" i="49"/>
  <c r="U195" i="49"/>
  <c r="V195" i="49"/>
  <c r="W195" i="49"/>
  <c r="X195" i="49"/>
  <c r="S196" i="49"/>
  <c r="T196" i="49"/>
  <c r="U196" i="49"/>
  <c r="V196" i="49"/>
  <c r="W196" i="49"/>
  <c r="X196" i="49"/>
  <c r="S197" i="49"/>
  <c r="T197" i="49"/>
  <c r="U197" i="49"/>
  <c r="V197" i="49"/>
  <c r="W197" i="49"/>
  <c r="X197" i="49"/>
  <c r="S198" i="49"/>
  <c r="T198" i="49"/>
  <c r="U198" i="49"/>
  <c r="V198" i="49"/>
  <c r="W198" i="49"/>
  <c r="X198" i="49"/>
  <c r="S199" i="49"/>
  <c r="T199" i="49"/>
  <c r="U199" i="49"/>
  <c r="V199" i="49"/>
  <c r="W199" i="49"/>
  <c r="X199" i="49"/>
  <c r="S200" i="49"/>
  <c r="T200" i="49"/>
  <c r="U200" i="49"/>
  <c r="V200" i="49"/>
  <c r="W200" i="49"/>
  <c r="X200" i="49"/>
  <c r="S201" i="49"/>
  <c r="T201" i="49"/>
  <c r="U201" i="49"/>
  <c r="V201" i="49"/>
  <c r="W201" i="49"/>
  <c r="X201" i="49"/>
  <c r="S202" i="49"/>
  <c r="T202" i="49"/>
  <c r="U202" i="49"/>
  <c r="V202" i="49"/>
  <c r="W202" i="49"/>
  <c r="X202" i="49"/>
  <c r="S203" i="49"/>
  <c r="T203" i="49"/>
  <c r="U203" i="49"/>
  <c r="V203" i="49"/>
  <c r="W203" i="49"/>
  <c r="X203" i="49"/>
  <c r="S204" i="49"/>
  <c r="T204" i="49"/>
  <c r="U204" i="49"/>
  <c r="V204" i="49"/>
  <c r="W204" i="49"/>
  <c r="X204" i="49"/>
  <c r="S205" i="49"/>
  <c r="T205" i="49"/>
  <c r="U205" i="49"/>
  <c r="V205" i="49"/>
  <c r="W205" i="49"/>
  <c r="X205" i="49"/>
  <c r="S206" i="49"/>
  <c r="T206" i="49"/>
  <c r="U206" i="49"/>
  <c r="V206" i="49"/>
  <c r="W206" i="49"/>
  <c r="X206" i="49"/>
  <c r="S207" i="49"/>
  <c r="T207" i="49"/>
  <c r="U207" i="49"/>
  <c r="V207" i="49"/>
  <c r="W207" i="49"/>
  <c r="X207" i="49"/>
  <c r="S208" i="49"/>
  <c r="T208" i="49"/>
  <c r="U208" i="49"/>
  <c r="V208" i="49"/>
  <c r="W208" i="49"/>
  <c r="X208" i="49"/>
  <c r="S209" i="49"/>
  <c r="T209" i="49"/>
  <c r="U209" i="49"/>
  <c r="V209" i="49"/>
  <c r="W209" i="49"/>
  <c r="X209" i="49"/>
  <c r="S210" i="49"/>
  <c r="T210" i="49"/>
  <c r="U210" i="49"/>
  <c r="V210" i="49"/>
  <c r="W210" i="49"/>
  <c r="X210" i="49"/>
  <c r="S211" i="49"/>
  <c r="T211" i="49"/>
  <c r="U211" i="49"/>
  <c r="V211" i="49"/>
  <c r="W211" i="49"/>
  <c r="X211" i="49"/>
  <c r="S212" i="49"/>
  <c r="T212" i="49"/>
  <c r="U212" i="49"/>
  <c r="V212" i="49"/>
  <c r="W212" i="49"/>
  <c r="X212" i="49"/>
  <c r="S213" i="49"/>
  <c r="T213" i="49"/>
  <c r="U213" i="49"/>
  <c r="V213" i="49"/>
  <c r="W213" i="49"/>
  <c r="X213" i="49"/>
  <c r="S214" i="49"/>
  <c r="T214" i="49"/>
  <c r="U214" i="49"/>
  <c r="V214" i="49"/>
  <c r="W214" i="49"/>
  <c r="X214" i="49"/>
  <c r="S215" i="49"/>
  <c r="T215" i="49"/>
  <c r="U215" i="49"/>
  <c r="V215" i="49"/>
  <c r="W215" i="49"/>
  <c r="X215" i="49"/>
  <c r="S216" i="49"/>
  <c r="T216" i="49"/>
  <c r="U216" i="49"/>
  <c r="V216" i="49"/>
  <c r="W216" i="49"/>
  <c r="X216" i="49"/>
  <c r="S217" i="49"/>
  <c r="T217" i="49"/>
  <c r="U217" i="49"/>
  <c r="V217" i="49"/>
  <c r="W217" i="49"/>
  <c r="X217" i="49"/>
  <c r="S218" i="49"/>
  <c r="T218" i="49"/>
  <c r="U218" i="49"/>
  <c r="V218" i="49"/>
  <c r="W218" i="49"/>
  <c r="X218" i="49"/>
  <c r="S219" i="49"/>
  <c r="T219" i="49"/>
  <c r="U219" i="49"/>
  <c r="V219" i="49"/>
  <c r="W219" i="49"/>
  <c r="X219" i="49"/>
  <c r="S220" i="49"/>
  <c r="T220" i="49"/>
  <c r="U220" i="49"/>
  <c r="V220" i="49"/>
  <c r="W220" i="49"/>
  <c r="X220" i="49"/>
  <c r="S221" i="49"/>
  <c r="T221" i="49"/>
  <c r="U221" i="49"/>
  <c r="V221" i="49"/>
  <c r="W221" i="49"/>
  <c r="X221" i="49"/>
  <c r="S222" i="49"/>
  <c r="T222" i="49"/>
  <c r="U222" i="49"/>
  <c r="V222" i="49"/>
  <c r="W222" i="49"/>
  <c r="X222" i="49"/>
  <c r="S223" i="49"/>
  <c r="T223" i="49"/>
  <c r="U223" i="49"/>
  <c r="V223" i="49"/>
  <c r="W223" i="49"/>
  <c r="X223" i="49"/>
  <c r="S224" i="49"/>
  <c r="T224" i="49"/>
  <c r="U224" i="49"/>
  <c r="V224" i="49"/>
  <c r="W224" i="49"/>
  <c r="X224" i="49"/>
  <c r="S225" i="49"/>
  <c r="T225" i="49"/>
  <c r="U225" i="49"/>
  <c r="V225" i="49"/>
  <c r="W225" i="49"/>
  <c r="X225" i="49"/>
  <c r="S226" i="49"/>
  <c r="T226" i="49"/>
  <c r="U226" i="49"/>
  <c r="V226" i="49"/>
  <c r="W226" i="49"/>
  <c r="X226" i="49"/>
  <c r="S227" i="49"/>
  <c r="T227" i="49"/>
  <c r="U227" i="49"/>
  <c r="V227" i="49"/>
  <c r="W227" i="49"/>
  <c r="X227" i="49"/>
  <c r="S228" i="49"/>
  <c r="T228" i="49"/>
  <c r="U228" i="49"/>
  <c r="V228" i="49"/>
  <c r="W228" i="49"/>
  <c r="X228" i="49"/>
  <c r="S229" i="49"/>
  <c r="T229" i="49"/>
  <c r="U229" i="49"/>
  <c r="V229" i="49"/>
  <c r="W229" i="49"/>
  <c r="X229" i="49"/>
  <c r="S230" i="49"/>
  <c r="T230" i="49"/>
  <c r="U230" i="49"/>
  <c r="V230" i="49"/>
  <c r="W230" i="49"/>
  <c r="X230" i="49"/>
  <c r="S231" i="49"/>
  <c r="T231" i="49"/>
  <c r="U231" i="49"/>
  <c r="V231" i="49"/>
  <c r="W231" i="49"/>
  <c r="X231" i="49"/>
  <c r="S232" i="49"/>
  <c r="T232" i="49"/>
  <c r="U232" i="49"/>
  <c r="V232" i="49"/>
  <c r="W232" i="49"/>
  <c r="X232" i="49"/>
  <c r="S233" i="49"/>
  <c r="T233" i="49"/>
  <c r="U233" i="49"/>
  <c r="V233" i="49"/>
  <c r="W233" i="49"/>
  <c r="X233" i="49"/>
  <c r="S234" i="49"/>
  <c r="T234" i="49"/>
  <c r="U234" i="49"/>
  <c r="V234" i="49"/>
  <c r="W234" i="49"/>
  <c r="X234" i="49"/>
  <c r="S235" i="49"/>
  <c r="T235" i="49"/>
  <c r="U235" i="49"/>
  <c r="V235" i="49"/>
  <c r="W235" i="49"/>
  <c r="X235" i="49"/>
  <c r="S236" i="49"/>
  <c r="T236" i="49"/>
  <c r="U236" i="49"/>
  <c r="V236" i="49"/>
  <c r="W236" i="49"/>
  <c r="X236" i="49"/>
  <c r="S237" i="49"/>
  <c r="T237" i="49"/>
  <c r="U237" i="49"/>
  <c r="V237" i="49"/>
  <c r="W237" i="49"/>
  <c r="X237" i="49"/>
  <c r="S238" i="49"/>
  <c r="T238" i="49"/>
  <c r="U238" i="49"/>
  <c r="V238" i="49"/>
  <c r="W238" i="49"/>
  <c r="X238" i="49"/>
  <c r="S239" i="49"/>
  <c r="T239" i="49"/>
  <c r="U239" i="49"/>
  <c r="V239" i="49"/>
  <c r="W239" i="49"/>
  <c r="X239" i="49"/>
  <c r="S240" i="49"/>
  <c r="T240" i="49"/>
  <c r="U240" i="49"/>
  <c r="V240" i="49"/>
  <c r="W240" i="49"/>
  <c r="X240" i="49"/>
  <c r="S241" i="49"/>
  <c r="T241" i="49"/>
  <c r="U241" i="49"/>
  <c r="V241" i="49"/>
  <c r="W241" i="49"/>
  <c r="X241" i="49"/>
  <c r="S242" i="49"/>
  <c r="T242" i="49"/>
  <c r="U242" i="49"/>
  <c r="V242" i="49"/>
  <c r="W242" i="49"/>
  <c r="X242" i="49"/>
  <c r="S243" i="49"/>
  <c r="T243" i="49"/>
  <c r="U243" i="49"/>
  <c r="V243" i="49"/>
  <c r="W243" i="49"/>
  <c r="X243" i="49"/>
  <c r="S244" i="49"/>
  <c r="T244" i="49"/>
  <c r="U244" i="49"/>
  <c r="V244" i="49"/>
  <c r="W244" i="49"/>
  <c r="X244" i="49"/>
  <c r="S245" i="49"/>
  <c r="T245" i="49"/>
  <c r="U245" i="49"/>
  <c r="V245" i="49"/>
  <c r="W245" i="49"/>
  <c r="X245" i="49"/>
  <c r="S246" i="49"/>
  <c r="T246" i="49"/>
  <c r="U246" i="49"/>
  <c r="V246" i="49"/>
  <c r="W246" i="49"/>
  <c r="X246" i="49"/>
  <c r="S247" i="49"/>
  <c r="T247" i="49"/>
  <c r="U247" i="49"/>
  <c r="V247" i="49"/>
  <c r="W247" i="49"/>
  <c r="X247" i="49"/>
  <c r="S248" i="49"/>
  <c r="T248" i="49"/>
  <c r="U248" i="49"/>
  <c r="V248" i="49"/>
  <c r="W248" i="49"/>
  <c r="X248" i="49"/>
  <c r="S249" i="49"/>
  <c r="T249" i="49"/>
  <c r="U249" i="49"/>
  <c r="V249" i="49"/>
  <c r="W249" i="49"/>
  <c r="X249" i="49"/>
  <c r="S250" i="49"/>
  <c r="T250" i="49"/>
  <c r="U250" i="49"/>
  <c r="V250" i="49"/>
  <c r="W250" i="49"/>
  <c r="X250" i="49"/>
  <c r="S251" i="49"/>
  <c r="T251" i="49"/>
  <c r="U251" i="49"/>
  <c r="V251" i="49"/>
  <c r="W251" i="49"/>
  <c r="X251" i="49"/>
  <c r="S252" i="49"/>
  <c r="T252" i="49"/>
  <c r="U252" i="49"/>
  <c r="V252" i="49"/>
  <c r="W252" i="49"/>
  <c r="X252" i="49"/>
  <c r="S253" i="49"/>
  <c r="T253" i="49"/>
  <c r="U253" i="49"/>
  <c r="V253" i="49"/>
  <c r="W253" i="49"/>
  <c r="X253" i="49"/>
  <c r="S254" i="49"/>
  <c r="T254" i="49"/>
  <c r="U254" i="49"/>
  <c r="V254" i="49"/>
  <c r="W254" i="49"/>
  <c r="X254" i="49"/>
  <c r="S255" i="49"/>
  <c r="T255" i="49"/>
  <c r="U255" i="49"/>
  <c r="V255" i="49"/>
  <c r="W255" i="49"/>
  <c r="X255" i="49"/>
  <c r="S256" i="49"/>
  <c r="T256" i="49"/>
  <c r="U256" i="49"/>
  <c r="V256" i="49"/>
  <c r="W256" i="49"/>
  <c r="X256" i="49"/>
  <c r="S257" i="49"/>
  <c r="T257" i="49"/>
  <c r="U257" i="49"/>
  <c r="V257" i="49"/>
  <c r="W257" i="49"/>
  <c r="X257" i="49"/>
  <c r="S258" i="49"/>
  <c r="T258" i="49"/>
  <c r="U258" i="49"/>
  <c r="V258" i="49"/>
  <c r="W258" i="49"/>
  <c r="X258" i="49"/>
  <c r="S259" i="49"/>
  <c r="T259" i="49"/>
  <c r="U259" i="49"/>
  <c r="V259" i="49"/>
  <c r="W259" i="49"/>
  <c r="X259" i="49"/>
  <c r="S260" i="49"/>
  <c r="T260" i="49"/>
  <c r="U260" i="49"/>
  <c r="V260" i="49"/>
  <c r="W260" i="49"/>
  <c r="X260" i="49"/>
  <c r="S261" i="49"/>
  <c r="T261" i="49"/>
  <c r="U261" i="49"/>
  <c r="V261" i="49"/>
  <c r="W261" i="49"/>
  <c r="X261" i="49"/>
  <c r="S262" i="49"/>
  <c r="T262" i="49"/>
  <c r="U262" i="49"/>
  <c r="V262" i="49"/>
  <c r="W262" i="49"/>
  <c r="X262" i="49"/>
  <c r="S263" i="49"/>
  <c r="T263" i="49"/>
  <c r="U263" i="49"/>
  <c r="V263" i="49"/>
  <c r="W263" i="49"/>
  <c r="X263" i="49"/>
  <c r="S264" i="49"/>
  <c r="T264" i="49"/>
  <c r="U264" i="49"/>
  <c r="V264" i="49"/>
  <c r="W264" i="49"/>
  <c r="X264" i="49"/>
  <c r="S265" i="49"/>
  <c r="T265" i="49"/>
  <c r="U265" i="49"/>
  <c r="V265" i="49"/>
  <c r="W265" i="49"/>
  <c r="X265" i="49"/>
  <c r="S266" i="49"/>
  <c r="T266" i="49"/>
  <c r="U266" i="49"/>
  <c r="V266" i="49"/>
  <c r="W266" i="49"/>
  <c r="X266" i="49"/>
  <c r="S267" i="49"/>
  <c r="T267" i="49"/>
  <c r="U267" i="49"/>
  <c r="V267" i="49"/>
  <c r="W267" i="49"/>
  <c r="X267" i="49"/>
  <c r="S268" i="49"/>
  <c r="T268" i="49"/>
  <c r="U268" i="49"/>
  <c r="V268" i="49"/>
  <c r="W268" i="49"/>
  <c r="X268" i="49"/>
  <c r="S269" i="49"/>
  <c r="T269" i="49"/>
  <c r="U269" i="49"/>
  <c r="V269" i="49"/>
  <c r="W269" i="49"/>
  <c r="X269" i="49"/>
  <c r="S270" i="49"/>
  <c r="T270" i="49"/>
  <c r="U270" i="49"/>
  <c r="V270" i="49"/>
  <c r="W270" i="49"/>
  <c r="X270" i="49"/>
  <c r="S271" i="49"/>
  <c r="T271" i="49"/>
  <c r="U271" i="49"/>
  <c r="V271" i="49"/>
  <c r="W271" i="49"/>
  <c r="X271" i="49"/>
  <c r="S272" i="49"/>
  <c r="T272" i="49"/>
  <c r="U272" i="49"/>
  <c r="V272" i="49"/>
  <c r="W272" i="49"/>
  <c r="X272" i="49"/>
  <c r="S273" i="49"/>
  <c r="T273" i="49"/>
  <c r="U273" i="49"/>
  <c r="V273" i="49"/>
  <c r="W273" i="49"/>
  <c r="X273" i="49"/>
  <c r="S274" i="49"/>
  <c r="T274" i="49"/>
  <c r="U274" i="49"/>
  <c r="V274" i="49"/>
  <c r="W274" i="49"/>
  <c r="X274" i="49"/>
  <c r="S275" i="49"/>
  <c r="T275" i="49"/>
  <c r="U275" i="49"/>
  <c r="V275" i="49"/>
  <c r="W275" i="49"/>
  <c r="X275" i="49"/>
  <c r="S276" i="49"/>
  <c r="T276" i="49"/>
  <c r="U276" i="49"/>
  <c r="V276" i="49"/>
  <c r="W276" i="49"/>
  <c r="X276" i="49"/>
  <c r="S277" i="49"/>
  <c r="T277" i="49"/>
  <c r="U277" i="49"/>
  <c r="V277" i="49"/>
  <c r="W277" i="49"/>
  <c r="X277" i="49"/>
  <c r="S278" i="49"/>
  <c r="T278" i="49"/>
  <c r="U278" i="49"/>
  <c r="V278" i="49"/>
  <c r="W278" i="49"/>
  <c r="X278" i="49"/>
  <c r="S279" i="49"/>
  <c r="T279" i="49"/>
  <c r="U279" i="49"/>
  <c r="V279" i="49"/>
  <c r="W279" i="49"/>
  <c r="X279" i="49"/>
  <c r="S280" i="49"/>
  <c r="T280" i="49"/>
  <c r="U280" i="49"/>
  <c r="V280" i="49"/>
  <c r="W280" i="49"/>
  <c r="X280" i="49"/>
  <c r="S281" i="49"/>
  <c r="T281" i="49"/>
  <c r="U281" i="49"/>
  <c r="V281" i="49"/>
  <c r="W281" i="49"/>
  <c r="X281" i="49"/>
  <c r="S282" i="49"/>
  <c r="T282" i="49"/>
  <c r="U282" i="49"/>
  <c r="V282" i="49"/>
  <c r="W282" i="49"/>
  <c r="X282" i="49"/>
  <c r="S283" i="49"/>
  <c r="T283" i="49"/>
  <c r="U283" i="49"/>
  <c r="V283" i="49"/>
  <c r="W283" i="49"/>
  <c r="X283" i="49"/>
  <c r="S284" i="49"/>
  <c r="T284" i="49"/>
  <c r="U284" i="49"/>
  <c r="V284" i="49"/>
  <c r="W284" i="49"/>
  <c r="X284" i="49"/>
  <c r="S285" i="49"/>
  <c r="T285" i="49"/>
  <c r="U285" i="49"/>
  <c r="V285" i="49"/>
  <c r="W285" i="49"/>
  <c r="X285" i="49"/>
  <c r="S286" i="49"/>
  <c r="T286" i="49"/>
  <c r="U286" i="49"/>
  <c r="V286" i="49"/>
  <c r="W286" i="49"/>
  <c r="X286" i="49"/>
  <c r="S287" i="49"/>
  <c r="T287" i="49"/>
  <c r="U287" i="49"/>
  <c r="V287" i="49"/>
  <c r="W287" i="49"/>
  <c r="X287" i="49"/>
  <c r="S288" i="49"/>
  <c r="T288" i="49"/>
  <c r="U288" i="49"/>
  <c r="V288" i="49"/>
  <c r="W288" i="49"/>
  <c r="X288" i="49"/>
  <c r="S289" i="49"/>
  <c r="T289" i="49"/>
  <c r="U289" i="49"/>
  <c r="V289" i="49"/>
  <c r="W289" i="49"/>
  <c r="X289" i="49"/>
  <c r="S290" i="49"/>
  <c r="T290" i="49"/>
  <c r="U290" i="49"/>
  <c r="V290" i="49"/>
  <c r="W290" i="49"/>
  <c r="X290" i="49"/>
  <c r="S291" i="49"/>
  <c r="T291" i="49"/>
  <c r="U291" i="49"/>
  <c r="V291" i="49"/>
  <c r="W291" i="49"/>
  <c r="X291" i="49"/>
  <c r="S292" i="49"/>
  <c r="T292" i="49"/>
  <c r="U292" i="49"/>
  <c r="V292" i="49"/>
  <c r="W292" i="49"/>
  <c r="X292" i="49"/>
  <c r="S293" i="49"/>
  <c r="T293" i="49"/>
  <c r="U293" i="49"/>
  <c r="V293" i="49"/>
  <c r="W293" i="49"/>
  <c r="X293" i="49"/>
  <c r="S294" i="49"/>
  <c r="T294" i="49"/>
  <c r="U294" i="49"/>
  <c r="V294" i="49"/>
  <c r="W294" i="49"/>
  <c r="X294" i="49"/>
  <c r="S295" i="49"/>
  <c r="T295" i="49"/>
  <c r="U295" i="49"/>
  <c r="V295" i="49"/>
  <c r="W295" i="49"/>
  <c r="X295" i="49"/>
  <c r="S296" i="49"/>
  <c r="T296" i="49"/>
  <c r="U296" i="49"/>
  <c r="V296" i="49"/>
  <c r="W296" i="49"/>
  <c r="X296" i="49"/>
  <c r="S297" i="49"/>
  <c r="T297" i="49"/>
  <c r="U297" i="49"/>
  <c r="V297" i="49"/>
  <c r="W297" i="49"/>
  <c r="X297" i="49"/>
  <c r="S298" i="49"/>
  <c r="T298" i="49"/>
  <c r="U298" i="49"/>
  <c r="V298" i="49"/>
  <c r="W298" i="49"/>
  <c r="X298" i="49"/>
  <c r="S299" i="49"/>
  <c r="T299" i="49"/>
  <c r="U299" i="49"/>
  <c r="V299" i="49"/>
  <c r="W299" i="49"/>
  <c r="X299" i="49"/>
  <c r="S300" i="49"/>
  <c r="T300" i="49"/>
  <c r="U300" i="49"/>
  <c r="V300" i="49"/>
  <c r="W300" i="49"/>
  <c r="X300" i="49"/>
  <c r="S301" i="49"/>
  <c r="T301" i="49"/>
  <c r="U301" i="49"/>
  <c r="V301" i="49"/>
  <c r="W301" i="49"/>
  <c r="X301" i="49"/>
  <c r="S302" i="49"/>
  <c r="T302" i="49"/>
  <c r="U302" i="49"/>
  <c r="V302" i="49"/>
  <c r="W302" i="49"/>
  <c r="X302" i="49"/>
  <c r="S303" i="49"/>
  <c r="T303" i="49"/>
  <c r="U303" i="49"/>
  <c r="V303" i="49"/>
  <c r="W303" i="49"/>
  <c r="X303" i="49"/>
  <c r="S304" i="49"/>
  <c r="T304" i="49"/>
  <c r="U304" i="49"/>
  <c r="V304" i="49"/>
  <c r="W304" i="49"/>
  <c r="X304" i="49"/>
  <c r="S305" i="49"/>
  <c r="T305" i="49"/>
  <c r="U305" i="49"/>
  <c r="V305" i="49"/>
  <c r="W305" i="49"/>
  <c r="X305" i="49"/>
  <c r="S306" i="49"/>
  <c r="T306" i="49"/>
  <c r="U306" i="49"/>
  <c r="V306" i="49"/>
  <c r="W306" i="49"/>
  <c r="X306" i="49"/>
  <c r="S307" i="49"/>
  <c r="T307" i="49"/>
  <c r="U307" i="49"/>
  <c r="V307" i="49"/>
  <c r="W307" i="49"/>
  <c r="X307" i="49"/>
  <c r="S308" i="49"/>
  <c r="T308" i="49"/>
  <c r="U308" i="49"/>
  <c r="V308" i="49"/>
  <c r="W308" i="49"/>
  <c r="X308" i="49"/>
  <c r="S309" i="49"/>
  <c r="T309" i="49"/>
  <c r="U309" i="49"/>
  <c r="V309" i="49"/>
  <c r="W309" i="49"/>
  <c r="X309" i="49"/>
  <c r="X8" i="49"/>
  <c r="W8" i="49"/>
  <c r="V8" i="49"/>
  <c r="U8" i="49"/>
  <c r="T8" i="49"/>
  <c r="S8" i="49"/>
  <c r="AO8" i="49"/>
  <c r="AN8" i="49"/>
  <c r="AM9" i="49"/>
  <c r="AM10" i="49"/>
  <c r="AM11" i="49"/>
  <c r="AM12" i="49"/>
  <c r="AM13" i="49"/>
  <c r="AM14" i="49"/>
  <c r="AM15" i="49"/>
  <c r="AM16" i="49"/>
  <c r="AM17" i="49"/>
  <c r="AM18" i="49"/>
  <c r="AM19" i="49"/>
  <c r="AM20" i="49"/>
  <c r="AM21" i="49"/>
  <c r="AM22" i="49"/>
  <c r="AM23" i="49"/>
  <c r="AM24" i="49"/>
  <c r="AM25" i="49"/>
  <c r="AM26" i="49"/>
  <c r="AM27" i="49"/>
  <c r="AM28" i="49"/>
  <c r="AM29" i="49"/>
  <c r="AM30" i="49"/>
  <c r="AM31" i="49"/>
  <c r="AM32" i="49"/>
  <c r="AM33" i="49"/>
  <c r="AM34" i="49"/>
  <c r="AM35" i="49"/>
  <c r="AM36" i="49"/>
  <c r="AM37" i="49"/>
  <c r="AM38" i="49"/>
  <c r="AM39" i="49"/>
  <c r="AM40" i="49"/>
  <c r="AM41" i="49"/>
  <c r="AM42" i="49"/>
  <c r="AM43" i="49"/>
  <c r="AM44" i="49"/>
  <c r="AM45" i="49"/>
  <c r="AM46" i="49"/>
  <c r="AM47" i="49"/>
  <c r="AM48" i="49"/>
  <c r="AM49" i="49"/>
  <c r="AM50" i="49"/>
  <c r="AM51" i="49"/>
  <c r="AM52" i="49"/>
  <c r="AM53" i="49"/>
  <c r="AM54" i="49"/>
  <c r="AM55" i="49"/>
  <c r="AM56" i="49"/>
  <c r="AM57" i="49"/>
  <c r="AM58" i="49"/>
  <c r="AM59" i="49"/>
  <c r="AM60" i="49"/>
  <c r="AM61" i="49"/>
  <c r="AM62" i="49"/>
  <c r="AM63" i="49"/>
  <c r="AM64" i="49"/>
  <c r="AM65" i="49"/>
  <c r="AM66" i="49"/>
  <c r="AM67" i="49"/>
  <c r="AM68" i="49"/>
  <c r="AM69" i="49"/>
  <c r="AM70" i="49"/>
  <c r="AM71" i="49"/>
  <c r="AM72" i="49"/>
  <c r="AM73" i="49"/>
  <c r="AM74" i="49"/>
  <c r="AM75" i="49"/>
  <c r="AM76" i="49"/>
  <c r="AM77" i="49"/>
  <c r="AM78" i="49"/>
  <c r="AM79" i="49"/>
  <c r="AM80" i="49"/>
  <c r="AM81" i="49"/>
  <c r="AM82" i="49"/>
  <c r="AM83" i="49"/>
  <c r="AM84" i="49"/>
  <c r="AM85" i="49"/>
  <c r="AM86" i="49"/>
  <c r="AM87" i="49"/>
  <c r="AM88" i="49"/>
  <c r="AM89" i="49"/>
  <c r="AM90" i="49"/>
  <c r="AM91" i="49"/>
  <c r="AM92" i="49"/>
  <c r="AM93" i="49"/>
  <c r="AM94" i="49"/>
  <c r="AM95" i="49"/>
  <c r="AM96" i="49"/>
  <c r="AM97" i="49"/>
  <c r="AM98" i="49"/>
  <c r="AM99" i="49"/>
  <c r="AM100" i="49"/>
  <c r="AM101" i="49"/>
  <c r="AM102" i="49"/>
  <c r="AM103" i="49"/>
  <c r="AM104" i="49"/>
  <c r="AM105" i="49"/>
  <c r="AM106" i="49"/>
  <c r="AM107" i="49"/>
  <c r="AM108" i="49"/>
  <c r="AM109" i="49"/>
  <c r="AM110" i="49"/>
  <c r="AM111" i="49"/>
  <c r="AM112" i="49"/>
  <c r="AM113" i="49"/>
  <c r="AM114" i="49"/>
  <c r="AM115" i="49"/>
  <c r="AM116" i="49"/>
  <c r="AM117" i="49"/>
  <c r="AM118" i="49"/>
  <c r="AM119" i="49"/>
  <c r="AM120" i="49"/>
  <c r="AM121" i="49"/>
  <c r="AM122" i="49"/>
  <c r="AM123" i="49"/>
  <c r="AM124" i="49"/>
  <c r="AM125" i="49"/>
  <c r="AM126" i="49"/>
  <c r="AM127" i="49"/>
  <c r="AM128" i="49"/>
  <c r="AM129" i="49"/>
  <c r="AM130" i="49"/>
  <c r="AM131" i="49"/>
  <c r="AM132" i="49"/>
  <c r="AM133" i="49"/>
  <c r="AM134" i="49"/>
  <c r="AM135" i="49"/>
  <c r="AM136" i="49"/>
  <c r="AM137" i="49"/>
  <c r="AM138" i="49"/>
  <c r="AM139" i="49"/>
  <c r="AM140" i="49"/>
  <c r="AM141" i="49"/>
  <c r="AM142" i="49"/>
  <c r="AM143" i="49"/>
  <c r="AM144" i="49"/>
  <c r="AM145" i="49"/>
  <c r="AM146" i="49"/>
  <c r="AM147" i="49"/>
  <c r="AM148" i="49"/>
  <c r="AM149" i="49"/>
  <c r="AM150" i="49"/>
  <c r="AM151" i="49"/>
  <c r="AM152" i="49"/>
  <c r="AM153" i="49"/>
  <c r="AM154" i="49"/>
  <c r="AM155" i="49"/>
  <c r="AM156" i="49"/>
  <c r="AM157" i="49"/>
  <c r="AM158" i="49"/>
  <c r="AM159" i="49"/>
  <c r="AM160" i="49"/>
  <c r="AM161" i="49"/>
  <c r="AM162" i="49"/>
  <c r="AM163" i="49"/>
  <c r="AM164" i="49"/>
  <c r="AM165" i="49"/>
  <c r="AM166" i="49"/>
  <c r="AM167" i="49"/>
  <c r="AM168" i="49"/>
  <c r="AM169" i="49"/>
  <c r="AM170" i="49"/>
  <c r="AM171" i="49"/>
  <c r="AM172" i="49"/>
  <c r="AM173" i="49"/>
  <c r="AM174" i="49"/>
  <c r="AM175" i="49"/>
  <c r="AM176" i="49"/>
  <c r="AM177" i="49"/>
  <c r="AM178" i="49"/>
  <c r="AM179" i="49"/>
  <c r="AM180" i="49"/>
  <c r="AM181" i="49"/>
  <c r="AM182" i="49"/>
  <c r="AM183" i="49"/>
  <c r="AM184" i="49"/>
  <c r="AM185" i="49"/>
  <c r="AM186" i="49"/>
  <c r="AM187" i="49"/>
  <c r="AM188" i="49"/>
  <c r="AM189" i="49"/>
  <c r="AM190" i="49"/>
  <c r="AM191" i="49"/>
  <c r="AM192" i="49"/>
  <c r="AM193" i="49"/>
  <c r="AM194" i="49"/>
  <c r="AM195" i="49"/>
  <c r="AM196" i="49"/>
  <c r="AM197" i="49"/>
  <c r="AM198" i="49"/>
  <c r="AM199" i="49"/>
  <c r="AM200" i="49"/>
  <c r="AM201" i="49"/>
  <c r="AM202" i="49"/>
  <c r="AM203" i="49"/>
  <c r="AM204" i="49"/>
  <c r="AM205" i="49"/>
  <c r="AM206" i="49"/>
  <c r="AM207" i="49"/>
  <c r="AM208" i="49"/>
  <c r="AM209" i="49"/>
  <c r="AM210" i="49"/>
  <c r="AM211" i="49"/>
  <c r="AM212" i="49"/>
  <c r="AM213" i="49"/>
  <c r="AM214" i="49"/>
  <c r="AM215" i="49"/>
  <c r="AM216" i="49"/>
  <c r="AM217" i="49"/>
  <c r="AM218" i="49"/>
  <c r="AM219" i="49"/>
  <c r="AM220" i="49"/>
  <c r="AM221" i="49"/>
  <c r="AM222" i="49"/>
  <c r="AM223" i="49"/>
  <c r="AM224" i="49"/>
  <c r="AM225" i="49"/>
  <c r="AM226" i="49"/>
  <c r="AM227" i="49"/>
  <c r="AM228" i="49"/>
  <c r="AM229" i="49"/>
  <c r="AM230" i="49"/>
  <c r="AM231" i="49"/>
  <c r="AM232" i="49"/>
  <c r="AM233" i="49"/>
  <c r="AM234" i="49"/>
  <c r="AM235" i="49"/>
  <c r="AM236" i="49"/>
  <c r="AM237" i="49"/>
  <c r="AM238" i="49"/>
  <c r="AM239" i="49"/>
  <c r="AM240" i="49"/>
  <c r="AM241" i="49"/>
  <c r="AM242" i="49"/>
  <c r="AM243" i="49"/>
  <c r="AM244" i="49"/>
  <c r="AM245" i="49"/>
  <c r="AM246" i="49"/>
  <c r="AM247" i="49"/>
  <c r="AM248" i="49"/>
  <c r="AM249" i="49"/>
  <c r="AM250" i="49"/>
  <c r="AM251" i="49"/>
  <c r="AM252" i="49"/>
  <c r="AM253" i="49"/>
  <c r="AM254" i="49"/>
  <c r="AM255" i="49"/>
  <c r="AM256" i="49"/>
  <c r="AM257" i="49"/>
  <c r="AM258" i="49"/>
  <c r="AM259" i="49"/>
  <c r="AM260" i="49"/>
  <c r="AM261" i="49"/>
  <c r="AM262" i="49"/>
  <c r="AM263" i="49"/>
  <c r="AM264" i="49"/>
  <c r="AM265" i="49"/>
  <c r="AM266" i="49"/>
  <c r="AM267" i="49"/>
  <c r="AM268" i="49"/>
  <c r="AM269" i="49"/>
  <c r="AM270" i="49"/>
  <c r="AM271" i="49"/>
  <c r="AM272" i="49"/>
  <c r="AM273" i="49"/>
  <c r="AM274" i="49"/>
  <c r="AM275" i="49"/>
  <c r="AM276" i="49"/>
  <c r="AM277" i="49"/>
  <c r="AM278" i="49"/>
  <c r="AM279" i="49"/>
  <c r="AM280" i="49"/>
  <c r="AM281" i="49"/>
  <c r="AM282" i="49"/>
  <c r="AM283" i="49"/>
  <c r="AM284" i="49"/>
  <c r="AM285" i="49"/>
  <c r="AM286" i="49"/>
  <c r="AM287" i="49"/>
  <c r="AM288" i="49"/>
  <c r="AM289" i="49"/>
  <c r="AM290" i="49"/>
  <c r="AM291" i="49"/>
  <c r="AM292" i="49"/>
  <c r="AM293" i="49"/>
  <c r="AM294" i="49"/>
  <c r="AM295" i="49"/>
  <c r="AM296" i="49"/>
  <c r="AM297" i="49"/>
  <c r="AM298" i="49"/>
  <c r="AM299" i="49"/>
  <c r="AM300" i="49"/>
  <c r="AM301" i="49"/>
  <c r="AM302" i="49"/>
  <c r="AM303" i="49"/>
  <c r="AM304" i="49"/>
  <c r="AM305" i="49"/>
  <c r="AM306" i="49"/>
  <c r="AM307" i="49"/>
  <c r="AM308" i="49"/>
  <c r="AM309" i="49"/>
  <c r="AM8" i="49"/>
  <c r="AL9" i="49"/>
  <c r="AL10" i="49"/>
  <c r="AL11" i="49"/>
  <c r="AL12" i="49"/>
  <c r="AL13" i="49"/>
  <c r="AL14" i="49"/>
  <c r="AL15" i="49"/>
  <c r="AL16" i="49"/>
  <c r="AL17" i="49"/>
  <c r="AL18" i="49"/>
  <c r="AL19" i="49"/>
  <c r="AL20" i="49"/>
  <c r="AL21" i="49"/>
  <c r="AL22" i="49"/>
  <c r="AL23" i="49"/>
  <c r="AL24" i="49"/>
  <c r="AL25" i="49"/>
  <c r="AL26" i="49"/>
  <c r="AL27" i="49"/>
  <c r="AL28" i="49"/>
  <c r="AL29" i="49"/>
  <c r="AL30" i="49"/>
  <c r="AL31" i="49"/>
  <c r="AL32" i="49"/>
  <c r="AL33" i="49"/>
  <c r="AL34" i="49"/>
  <c r="AL35" i="49"/>
  <c r="AL36" i="49"/>
  <c r="AL37" i="49"/>
  <c r="AL38" i="49"/>
  <c r="AL39" i="49"/>
  <c r="AL40" i="49"/>
  <c r="AL41" i="49"/>
  <c r="AL42" i="49"/>
  <c r="AL43" i="49"/>
  <c r="AL44" i="49"/>
  <c r="AL45" i="49"/>
  <c r="AL46" i="49"/>
  <c r="AL47" i="49"/>
  <c r="AL48" i="49"/>
  <c r="AL49" i="49"/>
  <c r="AL50" i="49"/>
  <c r="AL51" i="49"/>
  <c r="AL52" i="49"/>
  <c r="AL53" i="49"/>
  <c r="AL54" i="49"/>
  <c r="AL55" i="49"/>
  <c r="AL56" i="49"/>
  <c r="AL57" i="49"/>
  <c r="AL58" i="49"/>
  <c r="AL59" i="49"/>
  <c r="AL60" i="49"/>
  <c r="AL61" i="49"/>
  <c r="AL62" i="49"/>
  <c r="AL63" i="49"/>
  <c r="AL64" i="49"/>
  <c r="AL65" i="49"/>
  <c r="AL66" i="49"/>
  <c r="AL67" i="49"/>
  <c r="AL68" i="49"/>
  <c r="AL69" i="49"/>
  <c r="AL70" i="49"/>
  <c r="AL71" i="49"/>
  <c r="AL72" i="49"/>
  <c r="AL73" i="49"/>
  <c r="AL74" i="49"/>
  <c r="AL75" i="49"/>
  <c r="AL76" i="49"/>
  <c r="AL77" i="49"/>
  <c r="AL78" i="49"/>
  <c r="AL79" i="49"/>
  <c r="AL80" i="49"/>
  <c r="AL81" i="49"/>
  <c r="AL82" i="49"/>
  <c r="AL83" i="49"/>
  <c r="AL84" i="49"/>
  <c r="AL85" i="49"/>
  <c r="AL86" i="49"/>
  <c r="AL87" i="49"/>
  <c r="AL88" i="49"/>
  <c r="AL89" i="49"/>
  <c r="AL90" i="49"/>
  <c r="AL91" i="49"/>
  <c r="AL92" i="49"/>
  <c r="AL93" i="49"/>
  <c r="AL94" i="49"/>
  <c r="AL95" i="49"/>
  <c r="AL96" i="49"/>
  <c r="AL97" i="49"/>
  <c r="AL98" i="49"/>
  <c r="AL99" i="49"/>
  <c r="AL100" i="49"/>
  <c r="AL101" i="49"/>
  <c r="AL102" i="49"/>
  <c r="AL103" i="49"/>
  <c r="AL104" i="49"/>
  <c r="AL105" i="49"/>
  <c r="AL106" i="49"/>
  <c r="AL107" i="49"/>
  <c r="AL108" i="49"/>
  <c r="AL109" i="49"/>
  <c r="AL110" i="49"/>
  <c r="AL111" i="49"/>
  <c r="AL112" i="49"/>
  <c r="AL113" i="49"/>
  <c r="AL114" i="49"/>
  <c r="AL115" i="49"/>
  <c r="AL116" i="49"/>
  <c r="AL117" i="49"/>
  <c r="AL118" i="49"/>
  <c r="AL119" i="49"/>
  <c r="AL120" i="49"/>
  <c r="AL121" i="49"/>
  <c r="AL122" i="49"/>
  <c r="AL123" i="49"/>
  <c r="AL124" i="49"/>
  <c r="AL125" i="49"/>
  <c r="AL126" i="49"/>
  <c r="AL127" i="49"/>
  <c r="AL128" i="49"/>
  <c r="AL129" i="49"/>
  <c r="AL130" i="49"/>
  <c r="AL131" i="49"/>
  <c r="AL132" i="49"/>
  <c r="AL133" i="49"/>
  <c r="AL134" i="49"/>
  <c r="AL135" i="49"/>
  <c r="AL136" i="49"/>
  <c r="AL137" i="49"/>
  <c r="AL138" i="49"/>
  <c r="AL139" i="49"/>
  <c r="AL140" i="49"/>
  <c r="AL141" i="49"/>
  <c r="AL142" i="49"/>
  <c r="AL143" i="49"/>
  <c r="AL144" i="49"/>
  <c r="AL145" i="49"/>
  <c r="AL146" i="49"/>
  <c r="AL147" i="49"/>
  <c r="AL148" i="49"/>
  <c r="AL149" i="49"/>
  <c r="AL150" i="49"/>
  <c r="AL151" i="49"/>
  <c r="AL152" i="49"/>
  <c r="AL153" i="49"/>
  <c r="AL154" i="49"/>
  <c r="AL155" i="49"/>
  <c r="AL156" i="49"/>
  <c r="AL157" i="49"/>
  <c r="AL158" i="49"/>
  <c r="AL159" i="49"/>
  <c r="AL160" i="49"/>
  <c r="AL161" i="49"/>
  <c r="AL162" i="49"/>
  <c r="AL163" i="49"/>
  <c r="AL164" i="49"/>
  <c r="AL165" i="49"/>
  <c r="AL166" i="49"/>
  <c r="AL167" i="49"/>
  <c r="AL168" i="49"/>
  <c r="AL169" i="49"/>
  <c r="AL170" i="49"/>
  <c r="AL171" i="49"/>
  <c r="AL172" i="49"/>
  <c r="AL173" i="49"/>
  <c r="AL174" i="49"/>
  <c r="AL175" i="49"/>
  <c r="AL176" i="49"/>
  <c r="AL177" i="49"/>
  <c r="AL178" i="49"/>
  <c r="AL179" i="49"/>
  <c r="AL180" i="49"/>
  <c r="AL181" i="49"/>
  <c r="AL182" i="49"/>
  <c r="AL183" i="49"/>
  <c r="AL184" i="49"/>
  <c r="AL185" i="49"/>
  <c r="AL186" i="49"/>
  <c r="AL187" i="49"/>
  <c r="AL188" i="49"/>
  <c r="AL189" i="49"/>
  <c r="AL190" i="49"/>
  <c r="AL191" i="49"/>
  <c r="AL192" i="49"/>
  <c r="AL193" i="49"/>
  <c r="AL194" i="49"/>
  <c r="AL195" i="49"/>
  <c r="AL196" i="49"/>
  <c r="AL197" i="49"/>
  <c r="AL198" i="49"/>
  <c r="AL199" i="49"/>
  <c r="AL200" i="49"/>
  <c r="AL201" i="49"/>
  <c r="AL202" i="49"/>
  <c r="AL203" i="49"/>
  <c r="AL204" i="49"/>
  <c r="AL205" i="49"/>
  <c r="AL206" i="49"/>
  <c r="AL207" i="49"/>
  <c r="AL208" i="49"/>
  <c r="AL209" i="49"/>
  <c r="AL210" i="49"/>
  <c r="AL211" i="49"/>
  <c r="AL212" i="49"/>
  <c r="AL213" i="49"/>
  <c r="AL214" i="49"/>
  <c r="AL215" i="49"/>
  <c r="AL216" i="49"/>
  <c r="AL217" i="49"/>
  <c r="AL218" i="49"/>
  <c r="AL219" i="49"/>
  <c r="AL220" i="49"/>
  <c r="AL221" i="49"/>
  <c r="AL222" i="49"/>
  <c r="AL223" i="49"/>
  <c r="AL224" i="49"/>
  <c r="AL225" i="49"/>
  <c r="AL226" i="49"/>
  <c r="AL227" i="49"/>
  <c r="AL228" i="49"/>
  <c r="AL229" i="49"/>
  <c r="AL230" i="49"/>
  <c r="AL231" i="49"/>
  <c r="AL232" i="49"/>
  <c r="AL233" i="49"/>
  <c r="AL234" i="49"/>
  <c r="AL235" i="49"/>
  <c r="AL236" i="49"/>
  <c r="AL237" i="49"/>
  <c r="AL238" i="49"/>
  <c r="AL239" i="49"/>
  <c r="AL240" i="49"/>
  <c r="AL241" i="49"/>
  <c r="AL242" i="49"/>
  <c r="AL243" i="49"/>
  <c r="AL244" i="49"/>
  <c r="AL245" i="49"/>
  <c r="AL246" i="49"/>
  <c r="AL247" i="49"/>
  <c r="AL248" i="49"/>
  <c r="AL249" i="49"/>
  <c r="AL250" i="49"/>
  <c r="AL251" i="49"/>
  <c r="AL252" i="49"/>
  <c r="AL253" i="49"/>
  <c r="AL254" i="49"/>
  <c r="AL255" i="49"/>
  <c r="AL256" i="49"/>
  <c r="AL257" i="49"/>
  <c r="AL258" i="49"/>
  <c r="AL259" i="49"/>
  <c r="AL260" i="49"/>
  <c r="AL261" i="49"/>
  <c r="AL262" i="49"/>
  <c r="AL263" i="49"/>
  <c r="AL264" i="49"/>
  <c r="AL265" i="49"/>
  <c r="AL266" i="49"/>
  <c r="AL267" i="49"/>
  <c r="AL268" i="49"/>
  <c r="AL269" i="49"/>
  <c r="AL270" i="49"/>
  <c r="AL271" i="49"/>
  <c r="AL272" i="49"/>
  <c r="AL273" i="49"/>
  <c r="AL274" i="49"/>
  <c r="AL275" i="49"/>
  <c r="AL276" i="49"/>
  <c r="AL277" i="49"/>
  <c r="AL278" i="49"/>
  <c r="AL279" i="49"/>
  <c r="AL280" i="49"/>
  <c r="AL281" i="49"/>
  <c r="AL282" i="49"/>
  <c r="AL283" i="49"/>
  <c r="AL284" i="49"/>
  <c r="AL285" i="49"/>
  <c r="AL286" i="49"/>
  <c r="AL287" i="49"/>
  <c r="AL288" i="49"/>
  <c r="AL289" i="49"/>
  <c r="AL290" i="49"/>
  <c r="AL291" i="49"/>
  <c r="AL292" i="49"/>
  <c r="AL293" i="49"/>
  <c r="AL294" i="49"/>
  <c r="AL295" i="49"/>
  <c r="AL296" i="49"/>
  <c r="AL297" i="49"/>
  <c r="AL298" i="49"/>
  <c r="AL299" i="49"/>
  <c r="AL300" i="49"/>
  <c r="AL301" i="49"/>
  <c r="AL302" i="49"/>
  <c r="AL303" i="49"/>
  <c r="AL304" i="49"/>
  <c r="AL305" i="49"/>
  <c r="AL306" i="49"/>
  <c r="AL307" i="49"/>
  <c r="AL308" i="49"/>
  <c r="AL309" i="49"/>
  <c r="AL8" i="49"/>
  <c r="AK8" i="49"/>
  <c r="AJ8" i="49"/>
  <c r="P3" i="113" l="1"/>
  <c r="H8" i="55"/>
  <c r="H9" i="55"/>
  <c r="H10" i="55"/>
  <c r="H11" i="55"/>
  <c r="H12" i="55"/>
  <c r="H13" i="55"/>
  <c r="H14" i="55"/>
  <c r="H15" i="55"/>
  <c r="H16" i="55"/>
  <c r="H17" i="55"/>
  <c r="H18" i="55"/>
  <c r="H19" i="55"/>
  <c r="H20" i="55"/>
  <c r="H21" i="55"/>
  <c r="H22" i="55"/>
  <c r="H23" i="55"/>
  <c r="H24" i="55"/>
  <c r="H25" i="55"/>
  <c r="H26" i="55"/>
  <c r="H27" i="55"/>
  <c r="H28" i="55"/>
  <c r="H29" i="55"/>
  <c r="H30" i="55"/>
  <c r="H31" i="55"/>
  <c r="H32" i="55"/>
  <c r="H33" i="55"/>
  <c r="H34" i="55"/>
  <c r="H35" i="55"/>
  <c r="H36" i="55"/>
  <c r="H37" i="55"/>
  <c r="H38" i="55"/>
  <c r="H39" i="55"/>
  <c r="H40" i="55"/>
  <c r="H41" i="55"/>
  <c r="H42" i="55"/>
  <c r="H43" i="55"/>
  <c r="H44" i="55"/>
  <c r="H45" i="55"/>
  <c r="H46" i="55"/>
  <c r="H47" i="55"/>
  <c r="H48" i="55"/>
  <c r="H49" i="55"/>
  <c r="H50" i="55"/>
  <c r="H51" i="55"/>
  <c r="H52" i="55"/>
  <c r="H53" i="55"/>
  <c r="H54" i="55"/>
  <c r="H55" i="55"/>
  <c r="H56" i="55"/>
  <c r="H57" i="55"/>
  <c r="H58" i="55"/>
  <c r="H59" i="55"/>
  <c r="H60" i="55"/>
  <c r="H61" i="55"/>
  <c r="H62" i="55"/>
  <c r="H63" i="55"/>
  <c r="H64" i="55"/>
  <c r="H65" i="55"/>
  <c r="H66" i="55"/>
  <c r="H67" i="55"/>
  <c r="H68" i="55"/>
  <c r="H69" i="55"/>
  <c r="H70" i="55"/>
  <c r="H71" i="55"/>
  <c r="H72" i="55"/>
  <c r="H73" i="55"/>
  <c r="H74" i="55"/>
  <c r="H75" i="55"/>
  <c r="H76" i="55"/>
  <c r="H77" i="55"/>
  <c r="H78" i="55"/>
  <c r="H79" i="55"/>
  <c r="H80" i="55"/>
  <c r="H81" i="55"/>
  <c r="H82" i="55"/>
  <c r="H83" i="55"/>
  <c r="H84" i="55"/>
  <c r="H85" i="55"/>
  <c r="H86" i="55"/>
  <c r="H87" i="55"/>
  <c r="H88" i="55"/>
  <c r="H89" i="55"/>
  <c r="H90" i="55"/>
  <c r="H91" i="55"/>
  <c r="H92" i="55"/>
  <c r="H93" i="55"/>
  <c r="H94" i="55"/>
  <c r="H95" i="55"/>
  <c r="H96" i="55"/>
  <c r="H97" i="55"/>
  <c r="H98" i="55"/>
  <c r="H99" i="55"/>
  <c r="H100" i="55"/>
  <c r="H101" i="55"/>
  <c r="H102" i="55"/>
  <c r="H103" i="55"/>
  <c r="H104" i="55"/>
  <c r="H105" i="55"/>
  <c r="H106" i="55"/>
  <c r="H107" i="55"/>
  <c r="H108" i="55"/>
  <c r="H109" i="55"/>
  <c r="H110" i="55"/>
  <c r="H111" i="55"/>
  <c r="H112" i="55"/>
  <c r="H113" i="55"/>
  <c r="H114" i="55"/>
  <c r="H115" i="55"/>
  <c r="H116" i="55"/>
  <c r="H117" i="55"/>
  <c r="H118" i="55"/>
  <c r="H119" i="55"/>
  <c r="H120" i="55"/>
  <c r="H121" i="55"/>
  <c r="H122" i="55"/>
  <c r="H123" i="55"/>
  <c r="H124" i="55"/>
  <c r="H125" i="55"/>
  <c r="H126" i="55"/>
  <c r="H127" i="55"/>
  <c r="H128" i="55"/>
  <c r="H129" i="55"/>
  <c r="H130" i="55"/>
  <c r="H131" i="55"/>
  <c r="H132" i="55"/>
  <c r="H133" i="55"/>
  <c r="H134" i="55"/>
  <c r="H135" i="55"/>
  <c r="H136" i="55"/>
  <c r="H137" i="55"/>
  <c r="H138" i="55"/>
  <c r="H139" i="55"/>
  <c r="H140" i="55"/>
  <c r="H141" i="55"/>
  <c r="H142" i="55"/>
  <c r="H143" i="55"/>
  <c r="H144" i="55"/>
  <c r="H145" i="55"/>
  <c r="H146" i="55"/>
  <c r="H147" i="55"/>
  <c r="H148" i="55"/>
  <c r="H149" i="55"/>
  <c r="H150" i="55"/>
  <c r="H151" i="55"/>
  <c r="H152" i="55"/>
  <c r="H153" i="55"/>
  <c r="H154" i="55"/>
  <c r="H155" i="55"/>
  <c r="H156" i="55"/>
  <c r="H157" i="55"/>
  <c r="H158" i="55"/>
  <c r="H159" i="55"/>
  <c r="H160" i="55"/>
  <c r="H161" i="55"/>
  <c r="H162" i="55"/>
  <c r="H163" i="55"/>
  <c r="H164" i="55"/>
  <c r="H165" i="55"/>
  <c r="H166" i="55"/>
  <c r="H167" i="55"/>
  <c r="H168" i="55"/>
  <c r="H169" i="55"/>
  <c r="H170" i="55"/>
  <c r="H171" i="55"/>
  <c r="H172" i="55"/>
  <c r="H173" i="55"/>
  <c r="H174" i="55"/>
  <c r="H175" i="55"/>
  <c r="H176" i="55"/>
  <c r="H177" i="55"/>
  <c r="H178" i="55"/>
  <c r="H179" i="55"/>
  <c r="H180" i="55"/>
  <c r="H181" i="55"/>
  <c r="H182" i="55"/>
  <c r="H183" i="55"/>
  <c r="H184" i="55"/>
  <c r="H185" i="55"/>
  <c r="H186" i="55"/>
  <c r="H187" i="55"/>
  <c r="H188" i="55"/>
  <c r="H189" i="55"/>
  <c r="H190" i="55"/>
  <c r="H191" i="55"/>
  <c r="H192" i="55"/>
  <c r="H193" i="55"/>
  <c r="H194" i="55"/>
  <c r="H195" i="55"/>
  <c r="H196" i="55"/>
  <c r="H197" i="55"/>
  <c r="H198" i="55"/>
  <c r="H199" i="55"/>
  <c r="H200" i="55"/>
  <c r="H201" i="55"/>
  <c r="H202" i="55"/>
  <c r="H203" i="55"/>
  <c r="H204" i="55"/>
  <c r="H205" i="55"/>
  <c r="H206" i="55"/>
  <c r="H207" i="55"/>
  <c r="H208" i="55"/>
  <c r="H209" i="55"/>
  <c r="H210" i="55"/>
  <c r="H211" i="55"/>
  <c r="H212" i="55"/>
  <c r="H213" i="55"/>
  <c r="H214" i="55"/>
  <c r="H215" i="55"/>
  <c r="H216" i="55"/>
  <c r="H217" i="55"/>
  <c r="H218" i="55"/>
  <c r="H219" i="55"/>
  <c r="H220" i="55"/>
  <c r="H221" i="55"/>
  <c r="H222" i="55"/>
  <c r="H223" i="55"/>
  <c r="H224" i="55"/>
  <c r="H225" i="55"/>
  <c r="H226" i="55"/>
  <c r="H227" i="55"/>
  <c r="H228" i="55"/>
  <c r="H229" i="55"/>
  <c r="H230" i="55"/>
  <c r="H231" i="55"/>
  <c r="H232" i="55"/>
  <c r="H233" i="55"/>
  <c r="H234" i="55"/>
  <c r="H235" i="55"/>
  <c r="H236" i="55"/>
  <c r="H237" i="55"/>
  <c r="H238" i="55"/>
  <c r="H239" i="55"/>
  <c r="H240" i="55"/>
  <c r="H241" i="55"/>
  <c r="H242" i="55"/>
  <c r="H243" i="55"/>
  <c r="H244" i="55"/>
  <c r="H245" i="55"/>
  <c r="H246" i="55"/>
  <c r="H247" i="55"/>
  <c r="H248" i="55"/>
  <c r="H249" i="55"/>
  <c r="H250" i="55"/>
  <c r="H251" i="55"/>
  <c r="H252" i="55"/>
  <c r="H253" i="55"/>
  <c r="H254" i="55"/>
  <c r="H255" i="55"/>
  <c r="H256" i="55"/>
  <c r="H257" i="55"/>
  <c r="H258" i="55"/>
  <c r="H259" i="55"/>
  <c r="H260" i="55"/>
  <c r="H261" i="55"/>
  <c r="H262" i="55"/>
  <c r="H263" i="55"/>
  <c r="H264" i="55"/>
  <c r="H265" i="55"/>
  <c r="H266" i="55"/>
  <c r="H267" i="55"/>
  <c r="H268" i="55"/>
  <c r="H269" i="55"/>
  <c r="H270" i="55"/>
  <c r="H271" i="55"/>
  <c r="H272" i="55"/>
  <c r="H273" i="55"/>
  <c r="H274" i="55"/>
  <c r="H275" i="55"/>
  <c r="H276" i="55"/>
  <c r="H277" i="55"/>
  <c r="H278" i="55"/>
  <c r="H279" i="55"/>
  <c r="H280" i="55"/>
  <c r="H281" i="55"/>
  <c r="H282" i="55"/>
  <c r="H283" i="55"/>
  <c r="H284" i="55"/>
  <c r="H285" i="55"/>
  <c r="H286" i="55"/>
  <c r="H287" i="55"/>
  <c r="H288" i="55"/>
  <c r="H289" i="55"/>
  <c r="H290" i="55"/>
  <c r="H291" i="55"/>
  <c r="H292" i="55"/>
  <c r="H293" i="55"/>
  <c r="H294" i="55"/>
  <c r="H295" i="55"/>
  <c r="H296" i="55"/>
  <c r="H297" i="55"/>
  <c r="H298" i="55"/>
  <c r="H299" i="55"/>
  <c r="H300" i="55"/>
  <c r="H301" i="55"/>
  <c r="H302" i="55"/>
  <c r="H303" i="55"/>
  <c r="H304" i="55"/>
  <c r="H305" i="55"/>
  <c r="H306" i="55"/>
  <c r="H307" i="55"/>
  <c r="H308" i="55"/>
  <c r="H309" i="55"/>
  <c r="H310" i="55"/>
  <c r="H311" i="55"/>
  <c r="H312" i="55"/>
  <c r="H313" i="55"/>
  <c r="H314" i="55"/>
  <c r="H315" i="55"/>
  <c r="H316" i="55"/>
  <c r="H317" i="55"/>
  <c r="H318" i="55"/>
  <c r="H319" i="55"/>
  <c r="H320" i="55"/>
  <c r="H321" i="55"/>
  <c r="H322" i="55"/>
  <c r="H323" i="55"/>
  <c r="H324" i="55"/>
  <c r="H7" i="55"/>
  <c r="M4" i="1"/>
  <c r="M1" i="1" l="1"/>
  <c r="N1" i="1" s="1"/>
  <c r="F6" i="49" l="1"/>
  <c r="G6" i="49"/>
  <c r="D6" i="49"/>
  <c r="C6" i="49"/>
  <c r="F318" i="137" l="1"/>
  <c r="F322" i="137"/>
  <c r="F323" i="137"/>
  <c r="F320" i="137" l="1"/>
  <c r="F319" i="137"/>
  <c r="C4" i="137"/>
  <c r="F321" i="137"/>
  <c r="E4" i="137"/>
  <c r="D4" i="137"/>
  <c r="F317" i="137"/>
  <c r="AA5" i="134" l="1"/>
  <c r="AA6" i="134"/>
  <c r="AA7" i="134"/>
  <c r="AA8" i="134"/>
  <c r="AA9" i="134"/>
  <c r="AA10" i="134"/>
  <c r="AA11" i="134"/>
  <c r="AA12" i="134"/>
  <c r="AA13" i="134"/>
  <c r="AA14" i="134"/>
  <c r="AA15" i="134"/>
  <c r="AA16" i="134"/>
  <c r="AA17" i="134"/>
  <c r="AA18" i="134"/>
  <c r="AA19" i="134"/>
  <c r="AA20" i="134"/>
  <c r="AA21" i="134"/>
  <c r="AA22" i="134"/>
  <c r="AA23" i="134"/>
  <c r="AA24" i="134"/>
  <c r="AA25" i="134"/>
  <c r="AA26" i="134"/>
  <c r="AA27" i="134"/>
  <c r="AA28" i="134"/>
  <c r="AA29" i="134"/>
  <c r="AA30" i="134"/>
  <c r="AA31" i="134"/>
  <c r="AA32" i="134"/>
  <c r="AA33" i="134"/>
  <c r="AA34" i="134"/>
  <c r="AA35" i="134"/>
  <c r="AA36" i="134"/>
  <c r="AA37" i="134"/>
  <c r="AA38" i="134"/>
  <c r="AA39" i="134"/>
  <c r="AA40" i="134"/>
  <c r="AA41" i="134"/>
  <c r="AA42" i="134"/>
  <c r="AA43" i="134"/>
  <c r="AA44" i="134"/>
  <c r="AA45" i="134"/>
  <c r="AA46" i="134"/>
  <c r="AA47" i="134"/>
  <c r="AA48" i="134"/>
  <c r="AA49" i="134"/>
  <c r="AA50" i="134"/>
  <c r="AA51" i="134"/>
  <c r="AA52" i="134"/>
  <c r="AA53" i="134"/>
  <c r="AA54" i="134"/>
  <c r="AA55" i="134"/>
  <c r="AA56" i="134"/>
  <c r="AA57" i="134"/>
  <c r="AA58" i="134"/>
  <c r="AA59" i="134"/>
  <c r="AA60" i="134"/>
  <c r="AA61" i="134"/>
  <c r="AA62" i="134"/>
  <c r="AA63" i="134"/>
  <c r="AA64" i="134"/>
  <c r="AA65" i="134"/>
  <c r="AA66" i="134"/>
  <c r="AA67" i="134"/>
  <c r="AA68" i="134"/>
  <c r="AA69" i="134"/>
  <c r="AA70" i="134"/>
  <c r="AA71" i="134"/>
  <c r="AA72" i="134"/>
  <c r="AA73" i="134"/>
  <c r="AA74" i="134"/>
  <c r="AA75" i="134"/>
  <c r="AA76" i="134"/>
  <c r="AA77" i="134"/>
  <c r="AA78" i="134"/>
  <c r="AA79" i="134"/>
  <c r="AA80" i="134"/>
  <c r="AA81" i="134"/>
  <c r="AA82" i="134"/>
  <c r="AA83" i="134"/>
  <c r="AA84" i="134"/>
  <c r="AA85" i="134"/>
  <c r="AA86" i="134"/>
  <c r="AA87" i="134"/>
  <c r="AA88" i="134"/>
  <c r="AA89" i="134"/>
  <c r="AA90" i="134"/>
  <c r="AA91" i="134"/>
  <c r="AA92" i="134"/>
  <c r="AA93" i="134"/>
  <c r="AA94" i="134"/>
  <c r="AA95" i="134"/>
  <c r="AA96" i="134"/>
  <c r="AA97" i="134"/>
  <c r="AA98" i="134"/>
  <c r="AA99" i="134"/>
  <c r="AA100" i="134"/>
  <c r="AA101" i="134"/>
  <c r="AA102" i="134"/>
  <c r="AA103" i="134"/>
  <c r="AA104" i="134"/>
  <c r="AA105" i="134"/>
  <c r="AA106" i="134"/>
  <c r="AA107" i="134"/>
  <c r="AA108" i="134"/>
  <c r="AA109" i="134"/>
  <c r="AA110" i="134"/>
  <c r="AA111" i="134"/>
  <c r="AA112" i="134"/>
  <c r="AA113" i="134"/>
  <c r="AA114" i="134"/>
  <c r="AA115" i="134"/>
  <c r="AA116" i="134"/>
  <c r="AA117" i="134"/>
  <c r="AA118" i="134"/>
  <c r="AA119" i="134"/>
  <c r="AA120" i="134"/>
  <c r="AA121" i="134"/>
  <c r="AA122" i="134"/>
  <c r="AA123" i="134"/>
  <c r="AA124" i="134"/>
  <c r="AA125" i="134"/>
  <c r="AA126" i="134"/>
  <c r="AA127" i="134"/>
  <c r="AA128" i="134"/>
  <c r="AA129" i="134"/>
  <c r="AA130" i="134"/>
  <c r="AA131" i="134"/>
  <c r="AA132" i="134"/>
  <c r="AA133" i="134"/>
  <c r="AA134" i="134"/>
  <c r="AA135" i="134"/>
  <c r="AA136" i="134"/>
  <c r="AA137" i="134"/>
  <c r="AA138" i="134"/>
  <c r="AA139" i="134"/>
  <c r="AA140" i="134"/>
  <c r="AA141" i="134"/>
  <c r="AA142" i="134"/>
  <c r="AA143" i="134"/>
  <c r="AA144" i="134"/>
  <c r="AA145" i="134"/>
  <c r="AA146" i="134"/>
  <c r="AA147" i="134"/>
  <c r="AA148" i="134"/>
  <c r="AA149" i="134"/>
  <c r="AA150" i="134"/>
  <c r="AA151" i="134"/>
  <c r="AA152" i="134"/>
  <c r="AA153" i="134"/>
  <c r="AA154" i="134"/>
  <c r="AA155" i="134"/>
  <c r="AA156" i="134"/>
  <c r="AA157" i="134"/>
  <c r="AA158" i="134"/>
  <c r="AA159" i="134"/>
  <c r="AA160" i="134"/>
  <c r="AA161" i="134"/>
  <c r="AA162" i="134"/>
  <c r="AA163" i="134"/>
  <c r="AA164" i="134"/>
  <c r="AA165" i="134"/>
  <c r="AA166" i="134"/>
  <c r="AA167" i="134"/>
  <c r="AA168" i="134"/>
  <c r="AA169" i="134"/>
  <c r="AA170" i="134"/>
  <c r="AA171" i="134"/>
  <c r="AA172" i="134"/>
  <c r="AA173" i="134"/>
  <c r="AA174" i="134"/>
  <c r="AA175" i="134"/>
  <c r="AA176" i="134"/>
  <c r="AA177" i="134"/>
  <c r="AA178" i="134"/>
  <c r="AA179" i="134"/>
  <c r="AA180" i="134"/>
  <c r="AA181" i="134"/>
  <c r="AA182" i="134"/>
  <c r="AA183" i="134"/>
  <c r="AA184" i="134"/>
  <c r="AA185" i="134"/>
  <c r="AA186" i="134"/>
  <c r="AA187" i="134"/>
  <c r="AA188" i="134"/>
  <c r="AA189" i="134"/>
  <c r="AA190" i="134"/>
  <c r="AA191" i="134"/>
  <c r="AA192" i="134"/>
  <c r="AA193" i="134"/>
  <c r="AA194" i="134"/>
  <c r="AA195" i="134"/>
  <c r="AA196" i="134"/>
  <c r="AA197" i="134"/>
  <c r="AA198" i="134"/>
  <c r="AA199" i="134"/>
  <c r="AA200" i="134"/>
  <c r="AA201" i="134"/>
  <c r="AA202" i="134"/>
  <c r="AA203" i="134"/>
  <c r="AA204" i="134"/>
  <c r="AA205" i="134"/>
  <c r="AA206" i="134"/>
  <c r="AA207" i="134"/>
  <c r="AA208" i="134"/>
  <c r="AA209" i="134"/>
  <c r="AA210" i="134"/>
  <c r="AA211" i="134"/>
  <c r="AA212" i="134"/>
  <c r="AA213" i="134"/>
  <c r="AA214" i="134"/>
  <c r="AA215" i="134"/>
  <c r="AA216" i="134"/>
  <c r="AA217" i="134"/>
  <c r="AA218" i="134"/>
  <c r="AA219" i="134"/>
  <c r="AA220" i="134"/>
  <c r="AA221" i="134"/>
  <c r="AA222" i="134"/>
  <c r="AA223" i="134"/>
  <c r="AA224" i="134"/>
  <c r="AA225" i="134"/>
  <c r="AA226" i="134"/>
  <c r="AA227" i="134"/>
  <c r="AA228" i="134"/>
  <c r="AA229" i="134"/>
  <c r="AA230" i="134"/>
  <c r="AA231" i="134"/>
  <c r="AA232" i="134"/>
  <c r="AA233" i="134"/>
  <c r="AA234" i="134"/>
  <c r="AA235" i="134"/>
  <c r="AA236" i="134"/>
  <c r="AA237" i="134"/>
  <c r="AA238" i="134"/>
  <c r="AA239" i="134"/>
  <c r="AA240" i="134"/>
  <c r="AA241" i="134"/>
  <c r="AA242" i="134"/>
  <c r="AA243" i="134"/>
  <c r="AA244" i="134"/>
  <c r="AA245" i="134"/>
  <c r="AA246" i="134"/>
  <c r="AA247" i="134"/>
  <c r="AA248" i="134"/>
  <c r="AA249" i="134"/>
  <c r="AA250" i="134"/>
  <c r="AA251" i="134"/>
  <c r="AA252" i="134"/>
  <c r="AA253" i="134"/>
  <c r="AA254" i="134"/>
  <c r="AA255" i="134"/>
  <c r="AA256" i="134"/>
  <c r="AA257" i="134"/>
  <c r="AA258" i="134"/>
  <c r="AA259" i="134"/>
  <c r="AA260" i="134"/>
  <c r="AA261" i="134"/>
  <c r="AA262" i="134"/>
  <c r="AA263" i="134"/>
  <c r="AA264" i="134"/>
  <c r="AA265" i="134"/>
  <c r="AA266" i="134"/>
  <c r="AA267" i="134"/>
  <c r="AA268" i="134"/>
  <c r="AA269" i="134"/>
  <c r="AA270" i="134"/>
  <c r="AA271" i="134"/>
  <c r="AA272" i="134"/>
  <c r="AA273" i="134"/>
  <c r="AA274" i="134"/>
  <c r="AA275" i="134"/>
  <c r="AA276" i="134"/>
  <c r="AA277" i="134"/>
  <c r="AA278" i="134"/>
  <c r="AA279" i="134"/>
  <c r="AA280" i="134"/>
  <c r="AA281" i="134"/>
  <c r="AA282" i="134"/>
  <c r="AA283" i="134"/>
  <c r="AA284" i="134"/>
  <c r="AA285" i="134"/>
  <c r="AA286" i="134"/>
  <c r="AA287" i="134"/>
  <c r="AA288" i="134"/>
  <c r="AA289" i="134"/>
  <c r="AA290" i="134"/>
  <c r="AA291" i="134"/>
  <c r="AA292" i="134"/>
  <c r="AA293" i="134"/>
  <c r="AA294" i="134"/>
  <c r="AA295" i="134"/>
  <c r="AA296" i="134"/>
  <c r="AA297" i="134"/>
  <c r="AA298" i="134"/>
  <c r="AA299" i="134"/>
  <c r="AA300" i="134"/>
  <c r="AA301" i="134"/>
  <c r="AA302" i="134"/>
  <c r="AA303" i="134"/>
  <c r="AA304" i="134"/>
  <c r="AA305" i="134"/>
  <c r="AA306" i="134"/>
  <c r="AA307" i="134"/>
  <c r="AA308" i="134"/>
  <c r="AA309" i="134"/>
  <c r="AA310" i="134"/>
  <c r="AA311" i="134"/>
  <c r="AA312" i="134"/>
  <c r="AA313" i="134"/>
  <c r="AA314" i="134"/>
  <c r="AA315" i="134"/>
  <c r="AA316" i="134"/>
  <c r="AA317" i="134"/>
  <c r="AA318" i="134"/>
  <c r="AA319" i="134"/>
  <c r="AA320" i="134"/>
  <c r="AA321" i="134"/>
  <c r="AA322" i="134"/>
  <c r="AA4" i="134" l="1"/>
  <c r="M5" i="36" l="1"/>
  <c r="M6" i="36"/>
  <c r="M7" i="36"/>
  <c r="M8" i="36"/>
  <c r="M9" i="36"/>
  <c r="M10" i="36"/>
  <c r="M11" i="36"/>
  <c r="M12" i="36"/>
  <c r="M13" i="36"/>
  <c r="M14" i="36"/>
  <c r="M15" i="36"/>
  <c r="M16" i="36"/>
  <c r="M17" i="36"/>
  <c r="M18" i="36"/>
  <c r="M19" i="36"/>
  <c r="M20" i="36"/>
  <c r="M21" i="36"/>
  <c r="M22" i="36"/>
  <c r="M23" i="36"/>
  <c r="M24" i="36"/>
  <c r="M25" i="36"/>
  <c r="M26" i="36"/>
  <c r="M27" i="36"/>
  <c r="M28" i="36"/>
  <c r="M29" i="36"/>
  <c r="M30" i="36"/>
  <c r="M31" i="36"/>
  <c r="M32" i="36"/>
  <c r="M33" i="36"/>
  <c r="M34" i="36"/>
  <c r="M35" i="36"/>
  <c r="M36" i="36"/>
  <c r="M37" i="36"/>
  <c r="M38" i="36"/>
  <c r="M39" i="36"/>
  <c r="M40" i="36"/>
  <c r="M41" i="36"/>
  <c r="M42" i="36"/>
  <c r="M43" i="36"/>
  <c r="M44" i="36"/>
  <c r="M45" i="36"/>
  <c r="M46" i="36"/>
  <c r="M47" i="36"/>
  <c r="M48" i="36"/>
  <c r="M49" i="36"/>
  <c r="M50" i="36"/>
  <c r="M51" i="36"/>
  <c r="M52" i="36"/>
  <c r="M53" i="36"/>
  <c r="M54" i="36"/>
  <c r="M55" i="36"/>
  <c r="M56" i="36"/>
  <c r="M57" i="36"/>
  <c r="M58" i="36"/>
  <c r="M59" i="36"/>
  <c r="M60" i="36"/>
  <c r="M61" i="36"/>
  <c r="M62" i="36"/>
  <c r="M63" i="36"/>
  <c r="M64" i="36"/>
  <c r="M65" i="36"/>
  <c r="M66" i="36"/>
  <c r="M67" i="36"/>
  <c r="M68" i="36"/>
  <c r="M69" i="36"/>
  <c r="M70" i="36"/>
  <c r="M71" i="36"/>
  <c r="M72" i="36"/>
  <c r="M73" i="36"/>
  <c r="M74" i="36"/>
  <c r="M75" i="36"/>
  <c r="M76" i="36"/>
  <c r="M77" i="36"/>
  <c r="M78" i="36"/>
  <c r="M79" i="36"/>
  <c r="M80" i="36"/>
  <c r="M81" i="36"/>
  <c r="M82" i="36"/>
  <c r="M83" i="36"/>
  <c r="M84" i="36"/>
  <c r="M85" i="36"/>
  <c r="M86" i="36"/>
  <c r="M87" i="36"/>
  <c r="M88" i="36"/>
  <c r="M89" i="36"/>
  <c r="M90" i="36"/>
  <c r="M91" i="36"/>
  <c r="M92" i="36"/>
  <c r="M93" i="36"/>
  <c r="M94" i="36"/>
  <c r="M95" i="36"/>
  <c r="M96" i="36"/>
  <c r="M97" i="36"/>
  <c r="M98" i="36"/>
  <c r="M99" i="36"/>
  <c r="M100" i="36"/>
  <c r="M101" i="36"/>
  <c r="M102" i="36"/>
  <c r="M103" i="36"/>
  <c r="M104" i="36"/>
  <c r="M105" i="36"/>
  <c r="M106" i="36"/>
  <c r="M107" i="36"/>
  <c r="M108" i="36"/>
  <c r="M109" i="36"/>
  <c r="M110" i="36"/>
  <c r="M111" i="36"/>
  <c r="M112" i="36"/>
  <c r="M113" i="36"/>
  <c r="M114" i="36"/>
  <c r="M115" i="36"/>
  <c r="M116" i="36"/>
  <c r="M117" i="36"/>
  <c r="M118" i="36"/>
  <c r="M119" i="36"/>
  <c r="M120" i="36"/>
  <c r="M121" i="36"/>
  <c r="M122" i="36"/>
  <c r="M123" i="36"/>
  <c r="M124" i="36"/>
  <c r="M125" i="36"/>
  <c r="M126" i="36"/>
  <c r="M127" i="36"/>
  <c r="M128" i="36"/>
  <c r="M129" i="36"/>
  <c r="M130" i="36"/>
  <c r="M131" i="36"/>
  <c r="M132" i="36"/>
  <c r="M133" i="36"/>
  <c r="M134" i="36"/>
  <c r="M135" i="36"/>
  <c r="M136" i="36"/>
  <c r="M137" i="36"/>
  <c r="M138" i="36"/>
  <c r="M139" i="36"/>
  <c r="M140" i="36"/>
  <c r="M141" i="36"/>
  <c r="M142" i="36"/>
  <c r="M143" i="36"/>
  <c r="M144" i="36"/>
  <c r="M145" i="36"/>
  <c r="M146" i="36"/>
  <c r="M147" i="36"/>
  <c r="M148" i="36"/>
  <c r="M149" i="36"/>
  <c r="M150" i="36"/>
  <c r="M151" i="36"/>
  <c r="M152" i="36"/>
  <c r="M153" i="36"/>
  <c r="M154" i="36"/>
  <c r="M155" i="36"/>
  <c r="M156" i="36"/>
  <c r="M157" i="36"/>
  <c r="M158" i="36"/>
  <c r="M159" i="36"/>
  <c r="M160" i="36"/>
  <c r="M161" i="36"/>
  <c r="M162" i="36"/>
  <c r="M163" i="36"/>
  <c r="M164" i="36"/>
  <c r="M165" i="36"/>
  <c r="M166" i="36"/>
  <c r="M167" i="36"/>
  <c r="M168" i="36"/>
  <c r="M169" i="36"/>
  <c r="M170" i="36"/>
  <c r="M171" i="36"/>
  <c r="M172" i="36"/>
  <c r="M173" i="36"/>
  <c r="M174" i="36"/>
  <c r="M175" i="36"/>
  <c r="M176" i="36"/>
  <c r="M177" i="36"/>
  <c r="M178" i="36"/>
  <c r="M179" i="36"/>
  <c r="M180" i="36"/>
  <c r="M181" i="36"/>
  <c r="M182" i="36"/>
  <c r="M183" i="36"/>
  <c r="M184" i="36"/>
  <c r="M185" i="36"/>
  <c r="M186" i="36"/>
  <c r="M187" i="36"/>
  <c r="M188" i="36"/>
  <c r="M189" i="36"/>
  <c r="M190" i="36"/>
  <c r="M191" i="36"/>
  <c r="M192" i="36"/>
  <c r="M193" i="36"/>
  <c r="M194" i="36"/>
  <c r="M195" i="36"/>
  <c r="M196" i="36"/>
  <c r="M197" i="36"/>
  <c r="M198" i="36"/>
  <c r="M199" i="36"/>
  <c r="M200" i="36"/>
  <c r="M201" i="36"/>
  <c r="M202" i="36"/>
  <c r="M203" i="36"/>
  <c r="M204" i="36"/>
  <c r="M205" i="36"/>
  <c r="M206" i="36"/>
  <c r="M207" i="36"/>
  <c r="M208" i="36"/>
  <c r="M209" i="36"/>
  <c r="M210" i="36"/>
  <c r="M211" i="36"/>
  <c r="M212" i="36"/>
  <c r="M213" i="36"/>
  <c r="M214" i="36"/>
  <c r="M215" i="36"/>
  <c r="M216" i="36"/>
  <c r="M217" i="36"/>
  <c r="M218" i="36"/>
  <c r="M219" i="36"/>
  <c r="M220" i="36"/>
  <c r="M221" i="36"/>
  <c r="M222" i="36"/>
  <c r="M223" i="36"/>
  <c r="M224" i="36"/>
  <c r="M225" i="36"/>
  <c r="M226" i="36"/>
  <c r="M227" i="36"/>
  <c r="M228" i="36"/>
  <c r="M229" i="36"/>
  <c r="M230" i="36"/>
  <c r="M231" i="36"/>
  <c r="M232" i="36"/>
  <c r="M233" i="36"/>
  <c r="M234" i="36"/>
  <c r="M235" i="36"/>
  <c r="M236" i="36"/>
  <c r="M237" i="36"/>
  <c r="M238" i="36"/>
  <c r="M239" i="36"/>
  <c r="M240" i="36"/>
  <c r="M241" i="36"/>
  <c r="M242" i="36"/>
  <c r="M243" i="36"/>
  <c r="M244" i="36"/>
  <c r="M245" i="36"/>
  <c r="M246" i="36"/>
  <c r="M247" i="36"/>
  <c r="M248" i="36"/>
  <c r="M249" i="36"/>
  <c r="M250" i="36"/>
  <c r="M251" i="36"/>
  <c r="M252" i="36"/>
  <c r="M253" i="36"/>
  <c r="M254" i="36"/>
  <c r="M255" i="36"/>
  <c r="M256" i="36"/>
  <c r="M257" i="36"/>
  <c r="M258" i="36"/>
  <c r="M259" i="36"/>
  <c r="M260" i="36"/>
  <c r="M261" i="36"/>
  <c r="M262" i="36"/>
  <c r="M263" i="36"/>
  <c r="M264" i="36"/>
  <c r="M265" i="36"/>
  <c r="M266" i="36"/>
  <c r="M267" i="36"/>
  <c r="M268" i="36"/>
  <c r="M269" i="36"/>
  <c r="M270" i="36"/>
  <c r="M271" i="36"/>
  <c r="M272" i="36"/>
  <c r="M273" i="36"/>
  <c r="M274" i="36"/>
  <c r="M275" i="36"/>
  <c r="M276" i="36"/>
  <c r="M277" i="36"/>
  <c r="M278" i="36"/>
  <c r="M279" i="36"/>
  <c r="M280" i="36"/>
  <c r="M281" i="36"/>
  <c r="M282" i="36"/>
  <c r="M283" i="36"/>
  <c r="M284" i="36"/>
  <c r="M285" i="36"/>
  <c r="M286" i="36"/>
  <c r="M287" i="36"/>
  <c r="M288" i="36"/>
  <c r="M289" i="36"/>
  <c r="M290" i="36"/>
  <c r="M291" i="36"/>
  <c r="M292" i="36"/>
  <c r="M293" i="36"/>
  <c r="M294" i="36"/>
  <c r="M295" i="36"/>
  <c r="M296" i="36"/>
  <c r="M297" i="36"/>
  <c r="M298" i="36"/>
  <c r="M299" i="36"/>
  <c r="M300" i="36"/>
  <c r="M301" i="36"/>
  <c r="M302" i="36"/>
  <c r="M303" i="36"/>
  <c r="M304" i="36"/>
  <c r="M305" i="36"/>
  <c r="M306" i="36"/>
  <c r="M307" i="36"/>
  <c r="M308" i="36"/>
  <c r="M309" i="36"/>
  <c r="M310" i="36"/>
  <c r="M311" i="36"/>
  <c r="M312" i="36"/>
  <c r="M313" i="36"/>
  <c r="M314" i="36"/>
  <c r="M315" i="36"/>
  <c r="M316" i="36"/>
  <c r="M317" i="36"/>
  <c r="M318" i="36"/>
  <c r="M319" i="36"/>
  <c r="M320" i="36"/>
  <c r="M321" i="36"/>
  <c r="M322" i="36"/>
  <c r="M4" i="36" l="1"/>
  <c r="X325" i="138" l="1"/>
  <c r="W325" i="138"/>
  <c r="T325" i="138"/>
  <c r="X324" i="138"/>
  <c r="W324" i="138"/>
  <c r="T324" i="138"/>
  <c r="X323" i="138"/>
  <c r="W323" i="138"/>
  <c r="T323" i="138"/>
  <c r="X322" i="138"/>
  <c r="W322" i="138"/>
  <c r="T322" i="138"/>
  <c r="X321" i="138"/>
  <c r="W321" i="138"/>
  <c r="T321" i="138"/>
  <c r="X320" i="138"/>
  <c r="W320" i="138"/>
  <c r="T320" i="138"/>
  <c r="X319" i="138"/>
  <c r="W319" i="138"/>
  <c r="T319" i="138"/>
  <c r="X318" i="138"/>
  <c r="W318" i="138"/>
  <c r="T318" i="138"/>
  <c r="X317" i="138"/>
  <c r="W317" i="138"/>
  <c r="T317" i="138"/>
  <c r="X316" i="138"/>
  <c r="W316" i="138"/>
  <c r="T316" i="138"/>
  <c r="X315" i="138"/>
  <c r="W315" i="138"/>
  <c r="T315" i="138"/>
  <c r="X314" i="138"/>
  <c r="W314" i="138"/>
  <c r="T314" i="138"/>
  <c r="X313" i="138"/>
  <c r="W313" i="138"/>
  <c r="T313" i="138"/>
  <c r="X312" i="138"/>
  <c r="W312" i="138"/>
  <c r="T312" i="138"/>
  <c r="X311" i="138"/>
  <c r="W311" i="138"/>
  <c r="T311" i="138"/>
  <c r="X310" i="138"/>
  <c r="W310" i="138"/>
  <c r="T310" i="138"/>
  <c r="X309" i="138"/>
  <c r="W309" i="138"/>
  <c r="T309" i="138"/>
  <c r="X308" i="138"/>
  <c r="W308" i="138"/>
  <c r="T308" i="138"/>
  <c r="X307" i="138"/>
  <c r="W307" i="138"/>
  <c r="T307" i="138"/>
  <c r="X306" i="138"/>
  <c r="W306" i="138"/>
  <c r="T306" i="138"/>
  <c r="X305" i="138"/>
  <c r="W305" i="138"/>
  <c r="T305" i="138"/>
  <c r="X304" i="138"/>
  <c r="W304" i="138"/>
  <c r="T304" i="138"/>
  <c r="X303" i="138"/>
  <c r="W303" i="138"/>
  <c r="T303" i="138"/>
  <c r="X302" i="138"/>
  <c r="W302" i="138"/>
  <c r="T302" i="138"/>
  <c r="X301" i="138"/>
  <c r="W301" i="138"/>
  <c r="T301" i="138"/>
  <c r="X300" i="138"/>
  <c r="W300" i="138"/>
  <c r="T300" i="138"/>
  <c r="X299" i="138"/>
  <c r="W299" i="138"/>
  <c r="T299" i="138"/>
  <c r="X298" i="138"/>
  <c r="W298" i="138"/>
  <c r="T298" i="138"/>
  <c r="X297" i="138"/>
  <c r="W297" i="138"/>
  <c r="T297" i="138"/>
  <c r="X296" i="138"/>
  <c r="W296" i="138"/>
  <c r="T296" i="138"/>
  <c r="X295" i="138"/>
  <c r="W295" i="138"/>
  <c r="T295" i="138"/>
  <c r="X294" i="138"/>
  <c r="W294" i="138"/>
  <c r="T294" i="138"/>
  <c r="X293" i="138"/>
  <c r="W293" i="138"/>
  <c r="T293" i="138"/>
  <c r="X292" i="138"/>
  <c r="W292" i="138"/>
  <c r="T292" i="138"/>
  <c r="X291" i="138"/>
  <c r="W291" i="138"/>
  <c r="T291" i="138"/>
  <c r="X290" i="138"/>
  <c r="W290" i="138"/>
  <c r="T290" i="138"/>
  <c r="X289" i="138"/>
  <c r="W289" i="138"/>
  <c r="T289" i="138"/>
  <c r="X288" i="138"/>
  <c r="W288" i="138"/>
  <c r="T288" i="138"/>
  <c r="X287" i="138"/>
  <c r="W287" i="138"/>
  <c r="T287" i="138"/>
  <c r="X286" i="138"/>
  <c r="W286" i="138"/>
  <c r="T286" i="138"/>
  <c r="X285" i="138"/>
  <c r="W285" i="138"/>
  <c r="T285" i="138"/>
  <c r="X284" i="138"/>
  <c r="W284" i="138"/>
  <c r="T284" i="138"/>
  <c r="X283" i="138"/>
  <c r="W283" i="138"/>
  <c r="T283" i="138"/>
  <c r="X282" i="138"/>
  <c r="W282" i="138"/>
  <c r="T282" i="138"/>
  <c r="X281" i="138"/>
  <c r="W281" i="138"/>
  <c r="T281" i="138"/>
  <c r="X280" i="138"/>
  <c r="W280" i="138"/>
  <c r="T280" i="138"/>
  <c r="X279" i="138"/>
  <c r="W279" i="138"/>
  <c r="T279" i="138"/>
  <c r="X278" i="138"/>
  <c r="W278" i="138"/>
  <c r="T278" i="138"/>
  <c r="X277" i="138"/>
  <c r="W277" i="138"/>
  <c r="T277" i="138"/>
  <c r="X276" i="138"/>
  <c r="W276" i="138"/>
  <c r="T276" i="138"/>
  <c r="X275" i="138"/>
  <c r="W275" i="138"/>
  <c r="T275" i="138"/>
  <c r="X274" i="138"/>
  <c r="W274" i="138"/>
  <c r="T274" i="138"/>
  <c r="X273" i="138"/>
  <c r="W273" i="138"/>
  <c r="T273" i="138"/>
  <c r="X272" i="138"/>
  <c r="W272" i="138"/>
  <c r="T272" i="138"/>
  <c r="X271" i="138"/>
  <c r="W271" i="138"/>
  <c r="T271" i="138"/>
  <c r="X270" i="138"/>
  <c r="W270" i="138"/>
  <c r="T270" i="138"/>
  <c r="X269" i="138"/>
  <c r="W269" i="138"/>
  <c r="T269" i="138"/>
  <c r="X268" i="138"/>
  <c r="W268" i="138"/>
  <c r="T268" i="138"/>
  <c r="X267" i="138"/>
  <c r="W267" i="138"/>
  <c r="T267" i="138"/>
  <c r="X266" i="138"/>
  <c r="W266" i="138"/>
  <c r="T266" i="138"/>
  <c r="X265" i="138"/>
  <c r="W265" i="138"/>
  <c r="T265" i="138"/>
  <c r="X264" i="138"/>
  <c r="W264" i="138"/>
  <c r="T264" i="138"/>
  <c r="X263" i="138"/>
  <c r="W263" i="138"/>
  <c r="T263" i="138"/>
  <c r="X262" i="138"/>
  <c r="W262" i="138"/>
  <c r="T262" i="138"/>
  <c r="X261" i="138"/>
  <c r="W261" i="138"/>
  <c r="T261" i="138"/>
  <c r="X260" i="138"/>
  <c r="W260" i="138"/>
  <c r="T260" i="138"/>
  <c r="X259" i="138"/>
  <c r="W259" i="138"/>
  <c r="T259" i="138"/>
  <c r="X258" i="138"/>
  <c r="W258" i="138"/>
  <c r="T258" i="138"/>
  <c r="X257" i="138"/>
  <c r="W257" i="138"/>
  <c r="T257" i="138"/>
  <c r="X256" i="138"/>
  <c r="W256" i="138"/>
  <c r="T256" i="138"/>
  <c r="X255" i="138"/>
  <c r="W255" i="138"/>
  <c r="T255" i="138"/>
  <c r="X254" i="138"/>
  <c r="W254" i="138"/>
  <c r="T254" i="138"/>
  <c r="X253" i="138"/>
  <c r="W253" i="138"/>
  <c r="T253" i="138"/>
  <c r="X252" i="138"/>
  <c r="W252" i="138"/>
  <c r="T252" i="138"/>
  <c r="X251" i="138"/>
  <c r="W251" i="138"/>
  <c r="T251" i="138"/>
  <c r="X250" i="138"/>
  <c r="W250" i="138"/>
  <c r="T250" i="138"/>
  <c r="X249" i="138"/>
  <c r="W249" i="138"/>
  <c r="T249" i="138"/>
  <c r="X248" i="138"/>
  <c r="W248" i="138"/>
  <c r="T248" i="138"/>
  <c r="X247" i="138"/>
  <c r="W247" i="138"/>
  <c r="T247" i="138"/>
  <c r="X246" i="138"/>
  <c r="W246" i="138"/>
  <c r="T246" i="138"/>
  <c r="X245" i="138"/>
  <c r="W245" i="138"/>
  <c r="T245" i="138"/>
  <c r="X244" i="138"/>
  <c r="W244" i="138"/>
  <c r="T244" i="138"/>
  <c r="X243" i="138"/>
  <c r="W243" i="138"/>
  <c r="T243" i="138"/>
  <c r="X242" i="138"/>
  <c r="W242" i="138"/>
  <c r="T242" i="138"/>
  <c r="X241" i="138"/>
  <c r="W241" i="138"/>
  <c r="T241" i="138"/>
  <c r="X240" i="138"/>
  <c r="W240" i="138"/>
  <c r="T240" i="138"/>
  <c r="X239" i="138"/>
  <c r="W239" i="138"/>
  <c r="T239" i="138"/>
  <c r="X238" i="138"/>
  <c r="W238" i="138"/>
  <c r="T238" i="138"/>
  <c r="X237" i="138"/>
  <c r="W237" i="138"/>
  <c r="T237" i="138"/>
  <c r="X236" i="138"/>
  <c r="W236" i="138"/>
  <c r="T236" i="138"/>
  <c r="X235" i="138"/>
  <c r="W235" i="138"/>
  <c r="T235" i="138"/>
  <c r="X234" i="138"/>
  <c r="W234" i="138"/>
  <c r="T234" i="138"/>
  <c r="X233" i="138"/>
  <c r="W233" i="138"/>
  <c r="T233" i="138"/>
  <c r="X232" i="138"/>
  <c r="W232" i="138"/>
  <c r="T232" i="138"/>
  <c r="X231" i="138"/>
  <c r="W231" i="138"/>
  <c r="T231" i="138"/>
  <c r="X230" i="138"/>
  <c r="W230" i="138"/>
  <c r="T230" i="138"/>
  <c r="X229" i="138"/>
  <c r="W229" i="138"/>
  <c r="T229" i="138"/>
  <c r="X228" i="138"/>
  <c r="W228" i="138"/>
  <c r="T228" i="138"/>
  <c r="X227" i="138"/>
  <c r="W227" i="138"/>
  <c r="T227" i="138"/>
  <c r="X226" i="138"/>
  <c r="W226" i="138"/>
  <c r="T226" i="138"/>
  <c r="X225" i="138"/>
  <c r="W225" i="138"/>
  <c r="T225" i="138"/>
  <c r="X224" i="138"/>
  <c r="W224" i="138"/>
  <c r="T224" i="138"/>
  <c r="X223" i="138"/>
  <c r="W223" i="138"/>
  <c r="T223" i="138"/>
  <c r="X222" i="138"/>
  <c r="W222" i="138"/>
  <c r="T222" i="138"/>
  <c r="X221" i="138"/>
  <c r="W221" i="138"/>
  <c r="T221" i="138"/>
  <c r="X220" i="138"/>
  <c r="W220" i="138"/>
  <c r="T220" i="138"/>
  <c r="X219" i="138"/>
  <c r="W219" i="138"/>
  <c r="T219" i="138"/>
  <c r="X218" i="138"/>
  <c r="W218" i="138"/>
  <c r="T218" i="138"/>
  <c r="X217" i="138"/>
  <c r="W217" i="138"/>
  <c r="T217" i="138"/>
  <c r="X216" i="138"/>
  <c r="W216" i="138"/>
  <c r="T216" i="138"/>
  <c r="X215" i="138"/>
  <c r="W215" i="138"/>
  <c r="T215" i="138"/>
  <c r="X214" i="138"/>
  <c r="W214" i="138"/>
  <c r="T214" i="138"/>
  <c r="X213" i="138"/>
  <c r="W213" i="138"/>
  <c r="T213" i="138"/>
  <c r="X212" i="138"/>
  <c r="W212" i="138"/>
  <c r="T212" i="138"/>
  <c r="X211" i="138"/>
  <c r="W211" i="138"/>
  <c r="T211" i="138"/>
  <c r="X210" i="138"/>
  <c r="W210" i="138"/>
  <c r="T210" i="138"/>
  <c r="X209" i="138"/>
  <c r="W209" i="138"/>
  <c r="T209" i="138"/>
  <c r="X208" i="138"/>
  <c r="W208" i="138"/>
  <c r="T208" i="138"/>
  <c r="X207" i="138"/>
  <c r="W207" i="138"/>
  <c r="T207" i="138"/>
  <c r="X206" i="138"/>
  <c r="W206" i="138"/>
  <c r="T206" i="138"/>
  <c r="X205" i="138"/>
  <c r="W205" i="138"/>
  <c r="T205" i="138"/>
  <c r="X204" i="138"/>
  <c r="W204" i="138"/>
  <c r="T204" i="138"/>
  <c r="X203" i="138"/>
  <c r="W203" i="138"/>
  <c r="T203" i="138"/>
  <c r="X202" i="138"/>
  <c r="W202" i="138"/>
  <c r="T202" i="138"/>
  <c r="X201" i="138"/>
  <c r="W201" i="138"/>
  <c r="T201" i="138"/>
  <c r="X200" i="138"/>
  <c r="W200" i="138"/>
  <c r="T200" i="138"/>
  <c r="X199" i="138"/>
  <c r="W199" i="138"/>
  <c r="T199" i="138"/>
  <c r="X198" i="138"/>
  <c r="W198" i="138"/>
  <c r="T198" i="138"/>
  <c r="X197" i="138"/>
  <c r="W197" i="138"/>
  <c r="T197" i="138"/>
  <c r="X196" i="138"/>
  <c r="W196" i="138"/>
  <c r="T196" i="138"/>
  <c r="X195" i="138"/>
  <c r="W195" i="138"/>
  <c r="T195" i="138"/>
  <c r="X194" i="138"/>
  <c r="W194" i="138"/>
  <c r="T194" i="138"/>
  <c r="X193" i="138"/>
  <c r="W193" i="138"/>
  <c r="T193" i="138"/>
  <c r="X192" i="138"/>
  <c r="W192" i="138"/>
  <c r="T192" i="138"/>
  <c r="X191" i="138"/>
  <c r="W191" i="138"/>
  <c r="T191" i="138"/>
  <c r="X190" i="138"/>
  <c r="W190" i="138"/>
  <c r="T190" i="138"/>
  <c r="X189" i="138"/>
  <c r="W189" i="138"/>
  <c r="T189" i="138"/>
  <c r="X188" i="138"/>
  <c r="W188" i="138"/>
  <c r="T188" i="138"/>
  <c r="X187" i="138"/>
  <c r="W187" i="138"/>
  <c r="T187" i="138"/>
  <c r="X186" i="138"/>
  <c r="W186" i="138"/>
  <c r="T186" i="138"/>
  <c r="X185" i="138"/>
  <c r="W185" i="138"/>
  <c r="T185" i="138"/>
  <c r="X184" i="138"/>
  <c r="W184" i="138"/>
  <c r="T184" i="138"/>
  <c r="X183" i="138"/>
  <c r="W183" i="138"/>
  <c r="T183" i="138"/>
  <c r="X182" i="138"/>
  <c r="W182" i="138"/>
  <c r="T182" i="138"/>
  <c r="X181" i="138"/>
  <c r="W181" i="138"/>
  <c r="T181" i="138"/>
  <c r="X180" i="138"/>
  <c r="W180" i="138"/>
  <c r="T180" i="138"/>
  <c r="X179" i="138"/>
  <c r="W179" i="138"/>
  <c r="T179" i="138"/>
  <c r="X178" i="138"/>
  <c r="W178" i="138"/>
  <c r="T178" i="138"/>
  <c r="X177" i="138"/>
  <c r="W177" i="138"/>
  <c r="T177" i="138"/>
  <c r="X176" i="138"/>
  <c r="W176" i="138"/>
  <c r="T176" i="138"/>
  <c r="X175" i="138"/>
  <c r="W175" i="138"/>
  <c r="T175" i="138"/>
  <c r="X174" i="138"/>
  <c r="W174" i="138"/>
  <c r="T174" i="138"/>
  <c r="X173" i="138"/>
  <c r="W173" i="138"/>
  <c r="T173" i="138"/>
  <c r="X172" i="138"/>
  <c r="W172" i="138"/>
  <c r="T172" i="138"/>
  <c r="X171" i="138"/>
  <c r="W171" i="138"/>
  <c r="T171" i="138"/>
  <c r="X170" i="138"/>
  <c r="W170" i="138"/>
  <c r="T170" i="138"/>
  <c r="X169" i="138"/>
  <c r="W169" i="138"/>
  <c r="T169" i="138"/>
  <c r="X168" i="138"/>
  <c r="W168" i="138"/>
  <c r="T168" i="138"/>
  <c r="X167" i="138"/>
  <c r="W167" i="138"/>
  <c r="T167" i="138"/>
  <c r="X166" i="138"/>
  <c r="W166" i="138"/>
  <c r="T166" i="138"/>
  <c r="X165" i="138"/>
  <c r="W165" i="138"/>
  <c r="T165" i="138"/>
  <c r="X164" i="138"/>
  <c r="W164" i="138"/>
  <c r="T164" i="138"/>
  <c r="X163" i="138"/>
  <c r="W163" i="138"/>
  <c r="T163" i="138"/>
  <c r="X162" i="138"/>
  <c r="W162" i="138"/>
  <c r="T162" i="138"/>
  <c r="X161" i="138"/>
  <c r="W161" i="138"/>
  <c r="T161" i="138"/>
  <c r="X160" i="138"/>
  <c r="W160" i="138"/>
  <c r="T160" i="138"/>
  <c r="X159" i="138"/>
  <c r="W159" i="138"/>
  <c r="T159" i="138"/>
  <c r="X158" i="138"/>
  <c r="W158" i="138"/>
  <c r="T158" i="138"/>
  <c r="X157" i="138"/>
  <c r="W157" i="138"/>
  <c r="T157" i="138"/>
  <c r="X156" i="138"/>
  <c r="W156" i="138"/>
  <c r="T156" i="138"/>
  <c r="X155" i="138"/>
  <c r="W155" i="138"/>
  <c r="T155" i="138"/>
  <c r="X154" i="138"/>
  <c r="W154" i="138"/>
  <c r="T154" i="138"/>
  <c r="X153" i="138"/>
  <c r="W153" i="138"/>
  <c r="T153" i="138"/>
  <c r="X152" i="138"/>
  <c r="W152" i="138"/>
  <c r="T152" i="138"/>
  <c r="X151" i="138"/>
  <c r="W151" i="138"/>
  <c r="T151" i="138"/>
  <c r="X150" i="138"/>
  <c r="W150" i="138"/>
  <c r="T150" i="138"/>
  <c r="X149" i="138"/>
  <c r="W149" i="138"/>
  <c r="T149" i="138"/>
  <c r="X148" i="138"/>
  <c r="W148" i="138"/>
  <c r="T148" i="138"/>
  <c r="X147" i="138"/>
  <c r="W147" i="138"/>
  <c r="T147" i="138"/>
  <c r="X146" i="138"/>
  <c r="W146" i="138"/>
  <c r="T146" i="138"/>
  <c r="X145" i="138"/>
  <c r="W145" i="138"/>
  <c r="T145" i="138"/>
  <c r="X144" i="138"/>
  <c r="W144" i="138"/>
  <c r="T144" i="138"/>
  <c r="X143" i="138"/>
  <c r="W143" i="138"/>
  <c r="T143" i="138"/>
  <c r="X142" i="138"/>
  <c r="W142" i="138"/>
  <c r="T142" i="138"/>
  <c r="X141" i="138"/>
  <c r="W141" i="138"/>
  <c r="T141" i="138"/>
  <c r="X140" i="138"/>
  <c r="W140" i="138"/>
  <c r="T140" i="138"/>
  <c r="X139" i="138"/>
  <c r="W139" i="138"/>
  <c r="T139" i="138"/>
  <c r="X138" i="138"/>
  <c r="W138" i="138"/>
  <c r="T138" i="138"/>
  <c r="X137" i="138"/>
  <c r="W137" i="138"/>
  <c r="T137" i="138"/>
  <c r="X136" i="138"/>
  <c r="W136" i="138"/>
  <c r="T136" i="138"/>
  <c r="X135" i="138"/>
  <c r="W135" i="138"/>
  <c r="T135" i="138"/>
  <c r="X134" i="138"/>
  <c r="W134" i="138"/>
  <c r="T134" i="138"/>
  <c r="X133" i="138"/>
  <c r="W133" i="138"/>
  <c r="T133" i="138"/>
  <c r="X132" i="138"/>
  <c r="W132" i="138"/>
  <c r="T132" i="138"/>
  <c r="X131" i="138"/>
  <c r="W131" i="138"/>
  <c r="T131" i="138"/>
  <c r="X130" i="138"/>
  <c r="W130" i="138"/>
  <c r="T130" i="138"/>
  <c r="X129" i="138"/>
  <c r="W129" i="138"/>
  <c r="T129" i="138"/>
  <c r="X128" i="138"/>
  <c r="W128" i="138"/>
  <c r="T128" i="138"/>
  <c r="X127" i="138"/>
  <c r="W127" i="138"/>
  <c r="T127" i="138"/>
  <c r="X126" i="138"/>
  <c r="W126" i="138"/>
  <c r="T126" i="138"/>
  <c r="X125" i="138"/>
  <c r="W125" i="138"/>
  <c r="T125" i="138"/>
  <c r="X124" i="138"/>
  <c r="W124" i="138"/>
  <c r="T124" i="138"/>
  <c r="X123" i="138"/>
  <c r="W123" i="138"/>
  <c r="T123" i="138"/>
  <c r="X122" i="138"/>
  <c r="W122" i="138"/>
  <c r="T122" i="138"/>
  <c r="X121" i="138"/>
  <c r="W121" i="138"/>
  <c r="T121" i="138"/>
  <c r="X120" i="138"/>
  <c r="W120" i="138"/>
  <c r="T120" i="138"/>
  <c r="X119" i="138"/>
  <c r="W119" i="138"/>
  <c r="T119" i="138"/>
  <c r="X118" i="138"/>
  <c r="W118" i="138"/>
  <c r="T118" i="138"/>
  <c r="X117" i="138"/>
  <c r="W117" i="138"/>
  <c r="T117" i="138"/>
  <c r="X116" i="138"/>
  <c r="W116" i="138"/>
  <c r="T116" i="138"/>
  <c r="X115" i="138"/>
  <c r="W115" i="138"/>
  <c r="T115" i="138"/>
  <c r="X114" i="138"/>
  <c r="W114" i="138"/>
  <c r="T114" i="138"/>
  <c r="X113" i="138"/>
  <c r="W113" i="138"/>
  <c r="T113" i="138"/>
  <c r="X112" i="138"/>
  <c r="W112" i="138"/>
  <c r="T112" i="138"/>
  <c r="X111" i="138"/>
  <c r="W111" i="138"/>
  <c r="T111" i="138"/>
  <c r="X110" i="138"/>
  <c r="W110" i="138"/>
  <c r="T110" i="138"/>
  <c r="X109" i="138"/>
  <c r="W109" i="138"/>
  <c r="T109" i="138"/>
  <c r="X108" i="138"/>
  <c r="W108" i="138"/>
  <c r="T108" i="138"/>
  <c r="X107" i="138"/>
  <c r="W107" i="138"/>
  <c r="T107" i="138"/>
  <c r="X106" i="138"/>
  <c r="W106" i="138"/>
  <c r="T106" i="138"/>
  <c r="X105" i="138"/>
  <c r="W105" i="138"/>
  <c r="T105" i="138"/>
  <c r="X104" i="138"/>
  <c r="W104" i="138"/>
  <c r="T104" i="138"/>
  <c r="X103" i="138"/>
  <c r="W103" i="138"/>
  <c r="T103" i="138"/>
  <c r="X102" i="138"/>
  <c r="W102" i="138"/>
  <c r="T102" i="138"/>
  <c r="X101" i="138"/>
  <c r="W101" i="138"/>
  <c r="T101" i="138"/>
  <c r="X100" i="138"/>
  <c r="W100" i="138"/>
  <c r="T100" i="138"/>
  <c r="X99" i="138"/>
  <c r="W99" i="138"/>
  <c r="T99" i="138"/>
  <c r="X98" i="138"/>
  <c r="W98" i="138"/>
  <c r="T98" i="138"/>
  <c r="X97" i="138"/>
  <c r="W97" i="138"/>
  <c r="T97" i="138"/>
  <c r="X96" i="138"/>
  <c r="W96" i="138"/>
  <c r="T96" i="138"/>
  <c r="X95" i="138"/>
  <c r="W95" i="138"/>
  <c r="T95" i="138"/>
  <c r="X94" i="138"/>
  <c r="W94" i="138"/>
  <c r="T94" i="138"/>
  <c r="X93" i="138"/>
  <c r="W93" i="138"/>
  <c r="T93" i="138"/>
  <c r="X92" i="138"/>
  <c r="W92" i="138"/>
  <c r="T92" i="138"/>
  <c r="X91" i="138"/>
  <c r="W91" i="138"/>
  <c r="T91" i="138"/>
  <c r="X90" i="138"/>
  <c r="W90" i="138"/>
  <c r="T90" i="138"/>
  <c r="X89" i="138"/>
  <c r="W89" i="138"/>
  <c r="T89" i="138"/>
  <c r="X88" i="138"/>
  <c r="W88" i="138"/>
  <c r="T88" i="138"/>
  <c r="X87" i="138"/>
  <c r="W87" i="138"/>
  <c r="T87" i="138"/>
  <c r="X86" i="138"/>
  <c r="W86" i="138"/>
  <c r="T86" i="138"/>
  <c r="X85" i="138"/>
  <c r="W85" i="138"/>
  <c r="T85" i="138"/>
  <c r="X84" i="138"/>
  <c r="W84" i="138"/>
  <c r="T84" i="138"/>
  <c r="X83" i="138"/>
  <c r="W83" i="138"/>
  <c r="T83" i="138"/>
  <c r="X82" i="138"/>
  <c r="W82" i="138"/>
  <c r="T82" i="138"/>
  <c r="X81" i="138"/>
  <c r="W81" i="138"/>
  <c r="T81" i="138"/>
  <c r="X80" i="138"/>
  <c r="W80" i="138"/>
  <c r="T80" i="138"/>
  <c r="X79" i="138"/>
  <c r="W79" i="138"/>
  <c r="T79" i="138"/>
  <c r="X78" i="138"/>
  <c r="W78" i="138"/>
  <c r="T78" i="138"/>
  <c r="X77" i="138"/>
  <c r="W77" i="138"/>
  <c r="T77" i="138"/>
  <c r="X76" i="138"/>
  <c r="W76" i="138"/>
  <c r="T76" i="138"/>
  <c r="X75" i="138"/>
  <c r="W75" i="138"/>
  <c r="T75" i="138"/>
  <c r="X74" i="138"/>
  <c r="W74" i="138"/>
  <c r="T74" i="138"/>
  <c r="X73" i="138"/>
  <c r="W73" i="138"/>
  <c r="T73" i="138"/>
  <c r="X72" i="138"/>
  <c r="W72" i="138"/>
  <c r="T72" i="138"/>
  <c r="X71" i="138"/>
  <c r="W71" i="138"/>
  <c r="T71" i="138"/>
  <c r="X70" i="138"/>
  <c r="W70" i="138"/>
  <c r="T70" i="138"/>
  <c r="X69" i="138"/>
  <c r="W69" i="138"/>
  <c r="T69" i="138"/>
  <c r="X68" i="138"/>
  <c r="W68" i="138"/>
  <c r="T68" i="138"/>
  <c r="X67" i="138"/>
  <c r="W67" i="138"/>
  <c r="T67" i="138"/>
  <c r="X66" i="138"/>
  <c r="W66" i="138"/>
  <c r="T66" i="138"/>
  <c r="X65" i="138"/>
  <c r="W65" i="138"/>
  <c r="T65" i="138"/>
  <c r="X64" i="138"/>
  <c r="W64" i="138"/>
  <c r="T64" i="138"/>
  <c r="X63" i="138"/>
  <c r="W63" i="138"/>
  <c r="T63" i="138"/>
  <c r="X62" i="138"/>
  <c r="W62" i="138"/>
  <c r="T62" i="138"/>
  <c r="X61" i="138"/>
  <c r="W61" i="138"/>
  <c r="T61" i="138"/>
  <c r="X60" i="138"/>
  <c r="W60" i="138"/>
  <c r="T60" i="138"/>
  <c r="X59" i="138"/>
  <c r="W59" i="138"/>
  <c r="T59" i="138"/>
  <c r="X58" i="138"/>
  <c r="W58" i="138"/>
  <c r="T58" i="138"/>
  <c r="X57" i="138"/>
  <c r="W57" i="138"/>
  <c r="T57" i="138"/>
  <c r="X56" i="138"/>
  <c r="W56" i="138"/>
  <c r="T56" i="138"/>
  <c r="X55" i="138"/>
  <c r="W55" i="138"/>
  <c r="T55" i="138"/>
  <c r="X54" i="138"/>
  <c r="W54" i="138"/>
  <c r="T54" i="138"/>
  <c r="X53" i="138"/>
  <c r="W53" i="138"/>
  <c r="T53" i="138"/>
  <c r="X52" i="138"/>
  <c r="W52" i="138"/>
  <c r="T52" i="138"/>
  <c r="X51" i="138"/>
  <c r="W51" i="138"/>
  <c r="T51" i="138"/>
  <c r="X50" i="138"/>
  <c r="W50" i="138"/>
  <c r="T50" i="138"/>
  <c r="X49" i="138"/>
  <c r="W49" i="138"/>
  <c r="T49" i="138"/>
  <c r="X48" i="138"/>
  <c r="W48" i="138"/>
  <c r="T48" i="138"/>
  <c r="X47" i="138"/>
  <c r="W47" i="138"/>
  <c r="T47" i="138"/>
  <c r="X46" i="138"/>
  <c r="W46" i="138"/>
  <c r="T46" i="138"/>
  <c r="X45" i="138"/>
  <c r="W45" i="138"/>
  <c r="T45" i="138"/>
  <c r="X44" i="138"/>
  <c r="W44" i="138"/>
  <c r="T44" i="138"/>
  <c r="X43" i="138"/>
  <c r="W43" i="138"/>
  <c r="T43" i="138"/>
  <c r="X42" i="138"/>
  <c r="W42" i="138"/>
  <c r="T42" i="138"/>
  <c r="X41" i="138"/>
  <c r="W41" i="138"/>
  <c r="T41" i="138"/>
  <c r="X40" i="138"/>
  <c r="W40" i="138"/>
  <c r="T40" i="138"/>
  <c r="X39" i="138"/>
  <c r="W39" i="138"/>
  <c r="T39" i="138"/>
  <c r="X38" i="138"/>
  <c r="W38" i="138"/>
  <c r="T38" i="138"/>
  <c r="X37" i="138"/>
  <c r="W37" i="138"/>
  <c r="T37" i="138"/>
  <c r="X36" i="138"/>
  <c r="W36" i="138"/>
  <c r="T36" i="138"/>
  <c r="X35" i="138"/>
  <c r="W35" i="138"/>
  <c r="T35" i="138"/>
  <c r="X34" i="138"/>
  <c r="W34" i="138"/>
  <c r="T34" i="138"/>
  <c r="X33" i="138"/>
  <c r="W33" i="138"/>
  <c r="T33" i="138"/>
  <c r="X32" i="138"/>
  <c r="W32" i="138"/>
  <c r="T32" i="138"/>
  <c r="X31" i="138"/>
  <c r="W31" i="138"/>
  <c r="T31" i="138"/>
  <c r="X30" i="138"/>
  <c r="W30" i="138"/>
  <c r="T30" i="138"/>
  <c r="X29" i="138"/>
  <c r="W29" i="138"/>
  <c r="T29" i="138"/>
  <c r="X28" i="138"/>
  <c r="W28" i="138"/>
  <c r="T28" i="138"/>
  <c r="X27" i="138"/>
  <c r="W27" i="138"/>
  <c r="T27" i="138"/>
  <c r="X26" i="138"/>
  <c r="W26" i="138"/>
  <c r="T26" i="138"/>
  <c r="X25" i="138"/>
  <c r="W25" i="138"/>
  <c r="T25" i="138"/>
  <c r="X24" i="138"/>
  <c r="W24" i="138"/>
  <c r="T24" i="138"/>
  <c r="X23" i="138"/>
  <c r="W23" i="138"/>
  <c r="T23" i="138"/>
  <c r="X22" i="138"/>
  <c r="W22" i="138"/>
  <c r="T22" i="138"/>
  <c r="X21" i="138"/>
  <c r="W21" i="138"/>
  <c r="T21" i="138"/>
  <c r="X20" i="138"/>
  <c r="W20" i="138"/>
  <c r="T20" i="138"/>
  <c r="X19" i="138"/>
  <c r="W19" i="138"/>
  <c r="T19" i="138"/>
  <c r="X18" i="138"/>
  <c r="W18" i="138"/>
  <c r="T18" i="138"/>
  <c r="X17" i="138"/>
  <c r="W17" i="138"/>
  <c r="T17" i="138"/>
  <c r="X16" i="138"/>
  <c r="W16" i="138"/>
  <c r="T16" i="138"/>
  <c r="X15" i="138"/>
  <c r="W15" i="138"/>
  <c r="T15" i="138"/>
  <c r="X14" i="138"/>
  <c r="W14" i="138"/>
  <c r="T14" i="138"/>
  <c r="X13" i="138"/>
  <c r="W13" i="138"/>
  <c r="T13" i="138"/>
  <c r="X12" i="138"/>
  <c r="W12" i="138"/>
  <c r="T12" i="138"/>
  <c r="X11" i="138"/>
  <c r="W11" i="138"/>
  <c r="T11" i="138"/>
  <c r="X10" i="138"/>
  <c r="W10" i="138"/>
  <c r="T10" i="138"/>
  <c r="X9" i="138"/>
  <c r="W9" i="138"/>
  <c r="T9" i="138"/>
  <c r="X8" i="138"/>
  <c r="X6" i="138" s="1"/>
  <c r="W8" i="138"/>
  <c r="T8" i="138"/>
  <c r="AD6" i="138"/>
  <c r="AC6" i="138"/>
  <c r="AB6" i="138"/>
  <c r="AA6" i="138"/>
  <c r="Z6" i="138"/>
  <c r="Y6" i="138"/>
  <c r="V6" i="138"/>
  <c r="U6" i="138"/>
  <c r="S6" i="138"/>
  <c r="R6" i="138"/>
  <c r="Q6" i="138"/>
  <c r="P6" i="138"/>
  <c r="O6" i="138"/>
  <c r="N6" i="138"/>
  <c r="M6" i="138"/>
  <c r="L6" i="138"/>
  <c r="K6" i="138"/>
  <c r="J6" i="138"/>
  <c r="I6" i="138"/>
  <c r="H6" i="138"/>
  <c r="G6" i="138"/>
  <c r="F6" i="138"/>
  <c r="E6" i="138"/>
  <c r="D6" i="138"/>
  <c r="C6" i="138"/>
  <c r="B1" i="138"/>
  <c r="C1" i="138" s="1"/>
  <c r="D1" i="138" s="1"/>
  <c r="E1" i="138" s="1"/>
  <c r="F1" i="138" s="1"/>
  <c r="G1" i="138" s="1"/>
  <c r="H1" i="138" s="1"/>
  <c r="I1" i="138" s="1"/>
  <c r="J1" i="138" s="1"/>
  <c r="K1" i="138" s="1"/>
  <c r="L1" i="138" s="1"/>
  <c r="M1" i="138" s="1"/>
  <c r="N1" i="138" s="1"/>
  <c r="O1" i="138" s="1"/>
  <c r="P1" i="138" s="1"/>
  <c r="Q1" i="138" s="1"/>
  <c r="R1" i="138" s="1"/>
  <c r="S1" i="138" s="1"/>
  <c r="T1" i="138" s="1"/>
  <c r="U1" i="138" s="1"/>
  <c r="V1" i="138" s="1"/>
  <c r="W1" i="138" s="1"/>
  <c r="X1" i="138" s="1"/>
  <c r="Y1" i="138" s="1"/>
  <c r="Z1" i="138" s="1"/>
  <c r="AA1" i="138" s="1"/>
  <c r="AB1" i="138" s="1"/>
  <c r="AC1" i="138" s="1"/>
  <c r="AD1" i="138" s="1"/>
  <c r="X325" i="121"/>
  <c r="W325" i="121"/>
  <c r="T325" i="121"/>
  <c r="X324" i="121"/>
  <c r="W324" i="121"/>
  <c r="T324" i="121"/>
  <c r="X323" i="121"/>
  <c r="W323" i="121"/>
  <c r="T323" i="121"/>
  <c r="X322" i="121"/>
  <c r="W322" i="121"/>
  <c r="T322" i="121"/>
  <c r="X321" i="121"/>
  <c r="W321" i="121"/>
  <c r="T321" i="121"/>
  <c r="X320" i="121"/>
  <c r="W320" i="121"/>
  <c r="T320" i="121"/>
  <c r="X319" i="121"/>
  <c r="W319" i="121"/>
  <c r="T319" i="121"/>
  <c r="X318" i="121"/>
  <c r="W318" i="121"/>
  <c r="T318" i="121"/>
  <c r="X317" i="121"/>
  <c r="W317" i="121"/>
  <c r="T317" i="121"/>
  <c r="X316" i="121"/>
  <c r="W316" i="121"/>
  <c r="T316" i="121"/>
  <c r="X315" i="121"/>
  <c r="W315" i="121"/>
  <c r="T315" i="121"/>
  <c r="X314" i="121"/>
  <c r="W314" i="121"/>
  <c r="T314" i="121"/>
  <c r="X313" i="121"/>
  <c r="W313" i="121"/>
  <c r="T313" i="121"/>
  <c r="X312" i="121"/>
  <c r="W312" i="121"/>
  <c r="T312" i="121"/>
  <c r="X311" i="121"/>
  <c r="W311" i="121"/>
  <c r="T311" i="121"/>
  <c r="X310" i="121"/>
  <c r="W310" i="121"/>
  <c r="T310" i="121"/>
  <c r="X309" i="121"/>
  <c r="W309" i="121"/>
  <c r="T309" i="121"/>
  <c r="X308" i="121"/>
  <c r="W308" i="121"/>
  <c r="T308" i="121"/>
  <c r="X307" i="121"/>
  <c r="W307" i="121"/>
  <c r="T307" i="121"/>
  <c r="X306" i="121"/>
  <c r="W306" i="121"/>
  <c r="T306" i="121"/>
  <c r="X305" i="121"/>
  <c r="W305" i="121"/>
  <c r="T305" i="121"/>
  <c r="X304" i="121"/>
  <c r="W304" i="121"/>
  <c r="T304" i="121"/>
  <c r="X303" i="121"/>
  <c r="W303" i="121"/>
  <c r="T303" i="121"/>
  <c r="X302" i="121"/>
  <c r="W302" i="121"/>
  <c r="T302" i="121"/>
  <c r="X301" i="121"/>
  <c r="W301" i="121"/>
  <c r="T301" i="121"/>
  <c r="X300" i="121"/>
  <c r="W300" i="121"/>
  <c r="T300" i="121"/>
  <c r="X299" i="121"/>
  <c r="W299" i="121"/>
  <c r="T299" i="121"/>
  <c r="X298" i="121"/>
  <c r="W298" i="121"/>
  <c r="T298" i="121"/>
  <c r="X297" i="121"/>
  <c r="W297" i="121"/>
  <c r="T297" i="121"/>
  <c r="X296" i="121"/>
  <c r="W296" i="121"/>
  <c r="T296" i="121"/>
  <c r="X295" i="121"/>
  <c r="W295" i="121"/>
  <c r="T295" i="121"/>
  <c r="X294" i="121"/>
  <c r="W294" i="121"/>
  <c r="T294" i="121"/>
  <c r="X293" i="121"/>
  <c r="W293" i="121"/>
  <c r="T293" i="121"/>
  <c r="X292" i="121"/>
  <c r="W292" i="121"/>
  <c r="T292" i="121"/>
  <c r="X291" i="121"/>
  <c r="W291" i="121"/>
  <c r="T291" i="121"/>
  <c r="X290" i="121"/>
  <c r="W290" i="121"/>
  <c r="T290" i="121"/>
  <c r="X289" i="121"/>
  <c r="W289" i="121"/>
  <c r="T289" i="121"/>
  <c r="X288" i="121"/>
  <c r="W288" i="121"/>
  <c r="T288" i="121"/>
  <c r="X287" i="121"/>
  <c r="W287" i="121"/>
  <c r="T287" i="121"/>
  <c r="X286" i="121"/>
  <c r="W286" i="121"/>
  <c r="T286" i="121"/>
  <c r="X285" i="121"/>
  <c r="W285" i="121"/>
  <c r="T285" i="121"/>
  <c r="X284" i="121"/>
  <c r="W284" i="121"/>
  <c r="T284" i="121"/>
  <c r="X283" i="121"/>
  <c r="W283" i="121"/>
  <c r="T283" i="121"/>
  <c r="X282" i="121"/>
  <c r="W282" i="121"/>
  <c r="T282" i="121"/>
  <c r="X281" i="121"/>
  <c r="W281" i="121"/>
  <c r="T281" i="121"/>
  <c r="X280" i="121"/>
  <c r="W280" i="121"/>
  <c r="T280" i="121"/>
  <c r="X279" i="121"/>
  <c r="W279" i="121"/>
  <c r="T279" i="121"/>
  <c r="X278" i="121"/>
  <c r="W278" i="121"/>
  <c r="T278" i="121"/>
  <c r="X277" i="121"/>
  <c r="W277" i="121"/>
  <c r="T277" i="121"/>
  <c r="X276" i="121"/>
  <c r="W276" i="121"/>
  <c r="T276" i="121"/>
  <c r="X275" i="121"/>
  <c r="W275" i="121"/>
  <c r="T275" i="121"/>
  <c r="X274" i="121"/>
  <c r="W274" i="121"/>
  <c r="T274" i="121"/>
  <c r="X273" i="121"/>
  <c r="W273" i="121"/>
  <c r="T273" i="121"/>
  <c r="X272" i="121"/>
  <c r="W272" i="121"/>
  <c r="T272" i="121"/>
  <c r="X271" i="121"/>
  <c r="W271" i="121"/>
  <c r="T271" i="121"/>
  <c r="X270" i="121"/>
  <c r="W270" i="121"/>
  <c r="T270" i="121"/>
  <c r="X269" i="121"/>
  <c r="W269" i="121"/>
  <c r="T269" i="121"/>
  <c r="X268" i="121"/>
  <c r="W268" i="121"/>
  <c r="T268" i="121"/>
  <c r="X267" i="121"/>
  <c r="W267" i="121"/>
  <c r="T267" i="121"/>
  <c r="X266" i="121"/>
  <c r="W266" i="121"/>
  <c r="T266" i="121"/>
  <c r="X265" i="121"/>
  <c r="W265" i="121"/>
  <c r="T265" i="121"/>
  <c r="X264" i="121"/>
  <c r="W264" i="121"/>
  <c r="T264" i="121"/>
  <c r="X263" i="121"/>
  <c r="W263" i="121"/>
  <c r="T263" i="121"/>
  <c r="X262" i="121"/>
  <c r="W262" i="121"/>
  <c r="T262" i="121"/>
  <c r="X261" i="121"/>
  <c r="W261" i="121"/>
  <c r="T261" i="121"/>
  <c r="X260" i="121"/>
  <c r="W260" i="121"/>
  <c r="T260" i="121"/>
  <c r="X259" i="121"/>
  <c r="W259" i="121"/>
  <c r="T259" i="121"/>
  <c r="X258" i="121"/>
  <c r="W258" i="121"/>
  <c r="T258" i="121"/>
  <c r="X257" i="121"/>
  <c r="W257" i="121"/>
  <c r="T257" i="121"/>
  <c r="X256" i="121"/>
  <c r="W256" i="121"/>
  <c r="T256" i="121"/>
  <c r="X255" i="121"/>
  <c r="W255" i="121"/>
  <c r="T255" i="121"/>
  <c r="X254" i="121"/>
  <c r="W254" i="121"/>
  <c r="T254" i="121"/>
  <c r="X253" i="121"/>
  <c r="W253" i="121"/>
  <c r="T253" i="121"/>
  <c r="X252" i="121"/>
  <c r="W252" i="121"/>
  <c r="T252" i="121"/>
  <c r="X251" i="121"/>
  <c r="W251" i="121"/>
  <c r="T251" i="121"/>
  <c r="X250" i="121"/>
  <c r="W250" i="121"/>
  <c r="T250" i="121"/>
  <c r="X249" i="121"/>
  <c r="W249" i="121"/>
  <c r="T249" i="121"/>
  <c r="X248" i="121"/>
  <c r="W248" i="121"/>
  <c r="T248" i="121"/>
  <c r="X247" i="121"/>
  <c r="W247" i="121"/>
  <c r="T247" i="121"/>
  <c r="X246" i="121"/>
  <c r="W246" i="121"/>
  <c r="T246" i="121"/>
  <c r="X245" i="121"/>
  <c r="W245" i="121"/>
  <c r="T245" i="121"/>
  <c r="X244" i="121"/>
  <c r="W244" i="121"/>
  <c r="T244" i="121"/>
  <c r="X243" i="121"/>
  <c r="W243" i="121"/>
  <c r="T243" i="121"/>
  <c r="X242" i="121"/>
  <c r="W242" i="121"/>
  <c r="T242" i="121"/>
  <c r="X241" i="121"/>
  <c r="W241" i="121"/>
  <c r="T241" i="121"/>
  <c r="X240" i="121"/>
  <c r="W240" i="121"/>
  <c r="T240" i="121"/>
  <c r="X239" i="121"/>
  <c r="W239" i="121"/>
  <c r="T239" i="121"/>
  <c r="X238" i="121"/>
  <c r="W238" i="121"/>
  <c r="T238" i="121"/>
  <c r="X237" i="121"/>
  <c r="W237" i="121"/>
  <c r="T237" i="121"/>
  <c r="X236" i="121"/>
  <c r="W236" i="121"/>
  <c r="T236" i="121"/>
  <c r="X235" i="121"/>
  <c r="W235" i="121"/>
  <c r="T235" i="121"/>
  <c r="X234" i="121"/>
  <c r="W234" i="121"/>
  <c r="T234" i="121"/>
  <c r="X233" i="121"/>
  <c r="W233" i="121"/>
  <c r="T233" i="121"/>
  <c r="X232" i="121"/>
  <c r="W232" i="121"/>
  <c r="T232" i="121"/>
  <c r="X231" i="121"/>
  <c r="W231" i="121"/>
  <c r="T231" i="121"/>
  <c r="X230" i="121"/>
  <c r="W230" i="121"/>
  <c r="T230" i="121"/>
  <c r="X229" i="121"/>
  <c r="W229" i="121"/>
  <c r="T229" i="121"/>
  <c r="X228" i="121"/>
  <c r="W228" i="121"/>
  <c r="T228" i="121"/>
  <c r="X227" i="121"/>
  <c r="W227" i="121"/>
  <c r="T227" i="121"/>
  <c r="X226" i="121"/>
  <c r="W226" i="121"/>
  <c r="T226" i="121"/>
  <c r="X225" i="121"/>
  <c r="W225" i="121"/>
  <c r="T225" i="121"/>
  <c r="X224" i="121"/>
  <c r="W224" i="121"/>
  <c r="T224" i="121"/>
  <c r="X223" i="121"/>
  <c r="W223" i="121"/>
  <c r="T223" i="121"/>
  <c r="X222" i="121"/>
  <c r="W222" i="121"/>
  <c r="T222" i="121"/>
  <c r="X221" i="121"/>
  <c r="W221" i="121"/>
  <c r="T221" i="121"/>
  <c r="X220" i="121"/>
  <c r="W220" i="121"/>
  <c r="T220" i="121"/>
  <c r="X219" i="121"/>
  <c r="W219" i="121"/>
  <c r="T219" i="121"/>
  <c r="X218" i="121"/>
  <c r="W218" i="121"/>
  <c r="T218" i="121"/>
  <c r="X217" i="121"/>
  <c r="W217" i="121"/>
  <c r="T217" i="121"/>
  <c r="X216" i="121"/>
  <c r="W216" i="121"/>
  <c r="T216" i="121"/>
  <c r="X215" i="121"/>
  <c r="W215" i="121"/>
  <c r="T215" i="121"/>
  <c r="X214" i="121"/>
  <c r="W214" i="121"/>
  <c r="T214" i="121"/>
  <c r="X213" i="121"/>
  <c r="W213" i="121"/>
  <c r="T213" i="121"/>
  <c r="X212" i="121"/>
  <c r="W212" i="121"/>
  <c r="T212" i="121"/>
  <c r="X211" i="121"/>
  <c r="W211" i="121"/>
  <c r="T211" i="121"/>
  <c r="X210" i="121"/>
  <c r="W210" i="121"/>
  <c r="T210" i="121"/>
  <c r="X209" i="121"/>
  <c r="W209" i="121"/>
  <c r="T209" i="121"/>
  <c r="X208" i="121"/>
  <c r="W208" i="121"/>
  <c r="T208" i="121"/>
  <c r="X207" i="121"/>
  <c r="W207" i="121"/>
  <c r="T207" i="121"/>
  <c r="X206" i="121"/>
  <c r="W206" i="121"/>
  <c r="T206" i="121"/>
  <c r="X205" i="121"/>
  <c r="W205" i="121"/>
  <c r="T205" i="121"/>
  <c r="X204" i="121"/>
  <c r="W204" i="121"/>
  <c r="T204" i="121"/>
  <c r="X203" i="121"/>
  <c r="W203" i="121"/>
  <c r="T203" i="121"/>
  <c r="X202" i="121"/>
  <c r="W202" i="121"/>
  <c r="T202" i="121"/>
  <c r="X201" i="121"/>
  <c r="W201" i="121"/>
  <c r="T201" i="121"/>
  <c r="X200" i="121"/>
  <c r="W200" i="121"/>
  <c r="T200" i="121"/>
  <c r="X199" i="121"/>
  <c r="W199" i="121"/>
  <c r="T199" i="121"/>
  <c r="X198" i="121"/>
  <c r="W198" i="121"/>
  <c r="T198" i="121"/>
  <c r="X197" i="121"/>
  <c r="W197" i="121"/>
  <c r="T197" i="121"/>
  <c r="X196" i="121"/>
  <c r="W196" i="121"/>
  <c r="T196" i="121"/>
  <c r="X195" i="121"/>
  <c r="W195" i="121"/>
  <c r="T195" i="121"/>
  <c r="X194" i="121"/>
  <c r="W194" i="121"/>
  <c r="T194" i="121"/>
  <c r="X193" i="121"/>
  <c r="W193" i="121"/>
  <c r="T193" i="121"/>
  <c r="X192" i="121"/>
  <c r="W192" i="121"/>
  <c r="T192" i="121"/>
  <c r="X191" i="121"/>
  <c r="W191" i="121"/>
  <c r="T191" i="121"/>
  <c r="X190" i="121"/>
  <c r="W190" i="121"/>
  <c r="T190" i="121"/>
  <c r="X189" i="121"/>
  <c r="W189" i="121"/>
  <c r="T189" i="121"/>
  <c r="X188" i="121"/>
  <c r="W188" i="121"/>
  <c r="T188" i="121"/>
  <c r="X187" i="121"/>
  <c r="W187" i="121"/>
  <c r="T187" i="121"/>
  <c r="X186" i="121"/>
  <c r="W186" i="121"/>
  <c r="T186" i="121"/>
  <c r="X185" i="121"/>
  <c r="W185" i="121"/>
  <c r="T185" i="121"/>
  <c r="X184" i="121"/>
  <c r="W184" i="121"/>
  <c r="T184" i="121"/>
  <c r="X183" i="121"/>
  <c r="W183" i="121"/>
  <c r="T183" i="121"/>
  <c r="X182" i="121"/>
  <c r="W182" i="121"/>
  <c r="T182" i="121"/>
  <c r="X181" i="121"/>
  <c r="W181" i="121"/>
  <c r="T181" i="121"/>
  <c r="X180" i="121"/>
  <c r="W180" i="121"/>
  <c r="T180" i="121"/>
  <c r="X179" i="121"/>
  <c r="W179" i="121"/>
  <c r="T179" i="121"/>
  <c r="X178" i="121"/>
  <c r="W178" i="121"/>
  <c r="T178" i="121"/>
  <c r="X177" i="121"/>
  <c r="W177" i="121"/>
  <c r="T177" i="121"/>
  <c r="X176" i="121"/>
  <c r="W176" i="121"/>
  <c r="T176" i="121"/>
  <c r="X175" i="121"/>
  <c r="W175" i="121"/>
  <c r="T175" i="121"/>
  <c r="X174" i="121"/>
  <c r="W174" i="121"/>
  <c r="T174" i="121"/>
  <c r="X173" i="121"/>
  <c r="W173" i="121"/>
  <c r="T173" i="121"/>
  <c r="X172" i="121"/>
  <c r="W172" i="121"/>
  <c r="T172" i="121"/>
  <c r="X171" i="121"/>
  <c r="W171" i="121"/>
  <c r="T171" i="121"/>
  <c r="X170" i="121"/>
  <c r="W170" i="121"/>
  <c r="T170" i="121"/>
  <c r="X169" i="121"/>
  <c r="W169" i="121"/>
  <c r="T169" i="121"/>
  <c r="X168" i="121"/>
  <c r="W168" i="121"/>
  <c r="T168" i="121"/>
  <c r="X167" i="121"/>
  <c r="W167" i="121"/>
  <c r="T167" i="121"/>
  <c r="X166" i="121"/>
  <c r="W166" i="121"/>
  <c r="T166" i="121"/>
  <c r="X165" i="121"/>
  <c r="W165" i="121"/>
  <c r="T165" i="121"/>
  <c r="X164" i="121"/>
  <c r="W164" i="121"/>
  <c r="T164" i="121"/>
  <c r="X163" i="121"/>
  <c r="W163" i="121"/>
  <c r="T163" i="121"/>
  <c r="X162" i="121"/>
  <c r="W162" i="121"/>
  <c r="T162" i="121"/>
  <c r="X161" i="121"/>
  <c r="W161" i="121"/>
  <c r="T161" i="121"/>
  <c r="X160" i="121"/>
  <c r="W160" i="121"/>
  <c r="T160" i="121"/>
  <c r="X159" i="121"/>
  <c r="W159" i="121"/>
  <c r="T159" i="121"/>
  <c r="X158" i="121"/>
  <c r="W158" i="121"/>
  <c r="T158" i="121"/>
  <c r="X157" i="121"/>
  <c r="W157" i="121"/>
  <c r="T157" i="121"/>
  <c r="X156" i="121"/>
  <c r="W156" i="121"/>
  <c r="T156" i="121"/>
  <c r="X155" i="121"/>
  <c r="W155" i="121"/>
  <c r="T155" i="121"/>
  <c r="X154" i="121"/>
  <c r="W154" i="121"/>
  <c r="T154" i="121"/>
  <c r="X153" i="121"/>
  <c r="W153" i="121"/>
  <c r="T153" i="121"/>
  <c r="X152" i="121"/>
  <c r="W152" i="121"/>
  <c r="T152" i="121"/>
  <c r="X151" i="121"/>
  <c r="W151" i="121"/>
  <c r="T151" i="121"/>
  <c r="X150" i="121"/>
  <c r="W150" i="121"/>
  <c r="T150" i="121"/>
  <c r="X149" i="121"/>
  <c r="W149" i="121"/>
  <c r="T149" i="121"/>
  <c r="X148" i="121"/>
  <c r="W148" i="121"/>
  <c r="T148" i="121"/>
  <c r="X147" i="121"/>
  <c r="W147" i="121"/>
  <c r="T147" i="121"/>
  <c r="X146" i="121"/>
  <c r="W146" i="121"/>
  <c r="T146" i="121"/>
  <c r="X145" i="121"/>
  <c r="W145" i="121"/>
  <c r="T145" i="121"/>
  <c r="X144" i="121"/>
  <c r="W144" i="121"/>
  <c r="T144" i="121"/>
  <c r="X143" i="121"/>
  <c r="W143" i="121"/>
  <c r="T143" i="121"/>
  <c r="X142" i="121"/>
  <c r="W142" i="121"/>
  <c r="T142" i="121"/>
  <c r="X141" i="121"/>
  <c r="W141" i="121"/>
  <c r="T141" i="121"/>
  <c r="X140" i="121"/>
  <c r="W140" i="121"/>
  <c r="T140" i="121"/>
  <c r="X139" i="121"/>
  <c r="W139" i="121"/>
  <c r="T139" i="121"/>
  <c r="X138" i="121"/>
  <c r="W138" i="121"/>
  <c r="T138" i="121"/>
  <c r="X137" i="121"/>
  <c r="W137" i="121"/>
  <c r="T137" i="121"/>
  <c r="X136" i="121"/>
  <c r="W136" i="121"/>
  <c r="T136" i="121"/>
  <c r="X135" i="121"/>
  <c r="W135" i="121"/>
  <c r="T135" i="121"/>
  <c r="X134" i="121"/>
  <c r="W134" i="121"/>
  <c r="T134" i="121"/>
  <c r="X133" i="121"/>
  <c r="W133" i="121"/>
  <c r="T133" i="121"/>
  <c r="X132" i="121"/>
  <c r="W132" i="121"/>
  <c r="T132" i="121"/>
  <c r="X131" i="121"/>
  <c r="W131" i="121"/>
  <c r="T131" i="121"/>
  <c r="X130" i="121"/>
  <c r="W130" i="121"/>
  <c r="T130" i="121"/>
  <c r="X129" i="121"/>
  <c r="W129" i="121"/>
  <c r="T129" i="121"/>
  <c r="X128" i="121"/>
  <c r="W128" i="121"/>
  <c r="T128" i="121"/>
  <c r="X127" i="121"/>
  <c r="W127" i="121"/>
  <c r="T127" i="121"/>
  <c r="X126" i="121"/>
  <c r="W126" i="121"/>
  <c r="T126" i="121"/>
  <c r="X125" i="121"/>
  <c r="W125" i="121"/>
  <c r="T125" i="121"/>
  <c r="X124" i="121"/>
  <c r="W124" i="121"/>
  <c r="T124" i="121"/>
  <c r="X123" i="121"/>
  <c r="W123" i="121"/>
  <c r="T123" i="121"/>
  <c r="X122" i="121"/>
  <c r="W122" i="121"/>
  <c r="T122" i="121"/>
  <c r="X121" i="121"/>
  <c r="W121" i="121"/>
  <c r="T121" i="121"/>
  <c r="X120" i="121"/>
  <c r="W120" i="121"/>
  <c r="T120" i="121"/>
  <c r="X119" i="121"/>
  <c r="W119" i="121"/>
  <c r="T119" i="121"/>
  <c r="X118" i="121"/>
  <c r="W118" i="121"/>
  <c r="T118" i="121"/>
  <c r="X117" i="121"/>
  <c r="W117" i="121"/>
  <c r="T117" i="121"/>
  <c r="X116" i="121"/>
  <c r="W116" i="121"/>
  <c r="T116" i="121"/>
  <c r="X115" i="121"/>
  <c r="W115" i="121"/>
  <c r="T115" i="121"/>
  <c r="X114" i="121"/>
  <c r="W114" i="121"/>
  <c r="T114" i="121"/>
  <c r="X113" i="121"/>
  <c r="W113" i="121"/>
  <c r="T113" i="121"/>
  <c r="X112" i="121"/>
  <c r="W112" i="121"/>
  <c r="T112" i="121"/>
  <c r="X111" i="121"/>
  <c r="W111" i="121"/>
  <c r="T111" i="121"/>
  <c r="X110" i="121"/>
  <c r="W110" i="121"/>
  <c r="T110" i="121"/>
  <c r="X109" i="121"/>
  <c r="W109" i="121"/>
  <c r="T109" i="121"/>
  <c r="X108" i="121"/>
  <c r="W108" i="121"/>
  <c r="T108" i="121"/>
  <c r="X107" i="121"/>
  <c r="W107" i="121"/>
  <c r="T107" i="121"/>
  <c r="X106" i="121"/>
  <c r="W106" i="121"/>
  <c r="T106" i="121"/>
  <c r="X105" i="121"/>
  <c r="W105" i="121"/>
  <c r="T105" i="121"/>
  <c r="X104" i="121"/>
  <c r="W104" i="121"/>
  <c r="T104" i="121"/>
  <c r="X103" i="121"/>
  <c r="W103" i="121"/>
  <c r="T103" i="121"/>
  <c r="X102" i="121"/>
  <c r="W102" i="121"/>
  <c r="T102" i="121"/>
  <c r="X101" i="121"/>
  <c r="W101" i="121"/>
  <c r="T101" i="121"/>
  <c r="X100" i="121"/>
  <c r="W100" i="121"/>
  <c r="T100" i="121"/>
  <c r="X99" i="121"/>
  <c r="W99" i="121"/>
  <c r="T99" i="121"/>
  <c r="X98" i="121"/>
  <c r="W98" i="121"/>
  <c r="T98" i="121"/>
  <c r="X97" i="121"/>
  <c r="W97" i="121"/>
  <c r="T97" i="121"/>
  <c r="X96" i="121"/>
  <c r="W96" i="121"/>
  <c r="T96" i="121"/>
  <c r="X95" i="121"/>
  <c r="W95" i="121"/>
  <c r="T95" i="121"/>
  <c r="X94" i="121"/>
  <c r="W94" i="121"/>
  <c r="T94" i="121"/>
  <c r="X93" i="121"/>
  <c r="W93" i="121"/>
  <c r="T93" i="121"/>
  <c r="X92" i="121"/>
  <c r="W92" i="121"/>
  <c r="T92" i="121"/>
  <c r="X91" i="121"/>
  <c r="W91" i="121"/>
  <c r="T91" i="121"/>
  <c r="X90" i="121"/>
  <c r="W90" i="121"/>
  <c r="T90" i="121"/>
  <c r="X89" i="121"/>
  <c r="W89" i="121"/>
  <c r="T89" i="121"/>
  <c r="X88" i="121"/>
  <c r="W88" i="121"/>
  <c r="T88" i="121"/>
  <c r="X87" i="121"/>
  <c r="W87" i="121"/>
  <c r="T87" i="121"/>
  <c r="X86" i="121"/>
  <c r="W86" i="121"/>
  <c r="T86" i="121"/>
  <c r="X85" i="121"/>
  <c r="W85" i="121"/>
  <c r="T85" i="121"/>
  <c r="X84" i="121"/>
  <c r="W84" i="121"/>
  <c r="T84" i="121"/>
  <c r="X83" i="121"/>
  <c r="W83" i="121"/>
  <c r="T83" i="121"/>
  <c r="X82" i="121"/>
  <c r="W82" i="121"/>
  <c r="T82" i="121"/>
  <c r="X81" i="121"/>
  <c r="W81" i="121"/>
  <c r="T81" i="121"/>
  <c r="X80" i="121"/>
  <c r="W80" i="121"/>
  <c r="T80" i="121"/>
  <c r="X79" i="121"/>
  <c r="W79" i="121"/>
  <c r="T79" i="121"/>
  <c r="X78" i="121"/>
  <c r="W78" i="121"/>
  <c r="T78" i="121"/>
  <c r="X77" i="121"/>
  <c r="W77" i="121"/>
  <c r="T77" i="121"/>
  <c r="X76" i="121"/>
  <c r="W76" i="121"/>
  <c r="T76" i="121"/>
  <c r="X75" i="121"/>
  <c r="W75" i="121"/>
  <c r="T75" i="121"/>
  <c r="X74" i="121"/>
  <c r="W74" i="121"/>
  <c r="T74" i="121"/>
  <c r="X73" i="121"/>
  <c r="W73" i="121"/>
  <c r="T73" i="121"/>
  <c r="X72" i="121"/>
  <c r="W72" i="121"/>
  <c r="T72" i="121"/>
  <c r="X71" i="121"/>
  <c r="W71" i="121"/>
  <c r="T71" i="121"/>
  <c r="X70" i="121"/>
  <c r="W70" i="121"/>
  <c r="T70" i="121"/>
  <c r="X69" i="121"/>
  <c r="W69" i="121"/>
  <c r="T69" i="121"/>
  <c r="X68" i="121"/>
  <c r="W68" i="121"/>
  <c r="T68" i="121"/>
  <c r="X67" i="121"/>
  <c r="W67" i="121"/>
  <c r="T67" i="121"/>
  <c r="X66" i="121"/>
  <c r="W66" i="121"/>
  <c r="T66" i="121"/>
  <c r="X65" i="121"/>
  <c r="W65" i="121"/>
  <c r="T65" i="121"/>
  <c r="X64" i="121"/>
  <c r="W64" i="121"/>
  <c r="T64" i="121"/>
  <c r="X63" i="121"/>
  <c r="W63" i="121"/>
  <c r="T63" i="121"/>
  <c r="X62" i="121"/>
  <c r="W62" i="121"/>
  <c r="T62" i="121"/>
  <c r="X61" i="121"/>
  <c r="W61" i="121"/>
  <c r="T61" i="121"/>
  <c r="X60" i="121"/>
  <c r="W60" i="121"/>
  <c r="T60" i="121"/>
  <c r="X59" i="121"/>
  <c r="W59" i="121"/>
  <c r="T59" i="121"/>
  <c r="X58" i="121"/>
  <c r="W58" i="121"/>
  <c r="T58" i="121"/>
  <c r="X57" i="121"/>
  <c r="W57" i="121"/>
  <c r="T57" i="121"/>
  <c r="X56" i="121"/>
  <c r="W56" i="121"/>
  <c r="T56" i="121"/>
  <c r="X55" i="121"/>
  <c r="W55" i="121"/>
  <c r="T55" i="121"/>
  <c r="X54" i="121"/>
  <c r="W54" i="121"/>
  <c r="T54" i="121"/>
  <c r="X53" i="121"/>
  <c r="W53" i="121"/>
  <c r="T53" i="121"/>
  <c r="X52" i="121"/>
  <c r="W52" i="121"/>
  <c r="T52" i="121"/>
  <c r="X51" i="121"/>
  <c r="W51" i="121"/>
  <c r="T51" i="121"/>
  <c r="X50" i="121"/>
  <c r="W50" i="121"/>
  <c r="T50" i="121"/>
  <c r="X49" i="121"/>
  <c r="W49" i="121"/>
  <c r="T49" i="121"/>
  <c r="X48" i="121"/>
  <c r="W48" i="121"/>
  <c r="T48" i="121"/>
  <c r="X47" i="121"/>
  <c r="W47" i="121"/>
  <c r="T47" i="121"/>
  <c r="X46" i="121"/>
  <c r="W46" i="121"/>
  <c r="T46" i="121"/>
  <c r="X45" i="121"/>
  <c r="W45" i="121"/>
  <c r="T45" i="121"/>
  <c r="X44" i="121"/>
  <c r="W44" i="121"/>
  <c r="T44" i="121"/>
  <c r="X43" i="121"/>
  <c r="W43" i="121"/>
  <c r="T43" i="121"/>
  <c r="X42" i="121"/>
  <c r="W42" i="121"/>
  <c r="T42" i="121"/>
  <c r="X41" i="121"/>
  <c r="W41" i="121"/>
  <c r="T41" i="121"/>
  <c r="X40" i="121"/>
  <c r="W40" i="121"/>
  <c r="T40" i="121"/>
  <c r="X39" i="121"/>
  <c r="W39" i="121"/>
  <c r="T39" i="121"/>
  <c r="X38" i="121"/>
  <c r="W38" i="121"/>
  <c r="T38" i="121"/>
  <c r="X37" i="121"/>
  <c r="W37" i="121"/>
  <c r="T37" i="121"/>
  <c r="X36" i="121"/>
  <c r="W36" i="121"/>
  <c r="T36" i="121"/>
  <c r="X35" i="121"/>
  <c r="W35" i="121"/>
  <c r="T35" i="121"/>
  <c r="X34" i="121"/>
  <c r="W34" i="121"/>
  <c r="T34" i="121"/>
  <c r="X33" i="121"/>
  <c r="W33" i="121"/>
  <c r="T33" i="121"/>
  <c r="X32" i="121"/>
  <c r="W32" i="121"/>
  <c r="T32" i="121"/>
  <c r="X31" i="121"/>
  <c r="W31" i="121"/>
  <c r="T31" i="121"/>
  <c r="X30" i="121"/>
  <c r="W30" i="121"/>
  <c r="T30" i="121"/>
  <c r="X29" i="121"/>
  <c r="W29" i="121"/>
  <c r="T29" i="121"/>
  <c r="X28" i="121"/>
  <c r="W28" i="121"/>
  <c r="T28" i="121"/>
  <c r="X27" i="121"/>
  <c r="W27" i="121"/>
  <c r="T27" i="121"/>
  <c r="X26" i="121"/>
  <c r="W26" i="121"/>
  <c r="T26" i="121"/>
  <c r="X25" i="121"/>
  <c r="W25" i="121"/>
  <c r="T25" i="121"/>
  <c r="X24" i="121"/>
  <c r="W24" i="121"/>
  <c r="T24" i="121"/>
  <c r="X23" i="121"/>
  <c r="W23" i="121"/>
  <c r="T23" i="121"/>
  <c r="X22" i="121"/>
  <c r="W22" i="121"/>
  <c r="T22" i="121"/>
  <c r="X21" i="121"/>
  <c r="W21" i="121"/>
  <c r="T21" i="121"/>
  <c r="X20" i="121"/>
  <c r="W20" i="121"/>
  <c r="T20" i="121"/>
  <c r="X19" i="121"/>
  <c r="W19" i="121"/>
  <c r="T19" i="121"/>
  <c r="X18" i="121"/>
  <c r="W18" i="121"/>
  <c r="T18" i="121"/>
  <c r="X17" i="121"/>
  <c r="W17" i="121"/>
  <c r="T17" i="121"/>
  <c r="X16" i="121"/>
  <c r="W16" i="121"/>
  <c r="T16" i="121"/>
  <c r="X15" i="121"/>
  <c r="W15" i="121"/>
  <c r="T15" i="121"/>
  <c r="X14" i="121"/>
  <c r="W14" i="121"/>
  <c r="T14" i="121"/>
  <c r="X13" i="121"/>
  <c r="W13" i="121"/>
  <c r="T13" i="121"/>
  <c r="X12" i="121"/>
  <c r="W12" i="121"/>
  <c r="T12" i="121"/>
  <c r="X11" i="121"/>
  <c r="W11" i="121"/>
  <c r="T11" i="121"/>
  <c r="X10" i="121"/>
  <c r="W10" i="121"/>
  <c r="T10" i="121"/>
  <c r="X9" i="121"/>
  <c r="W9" i="121"/>
  <c r="T9" i="121"/>
  <c r="X8" i="121"/>
  <c r="X6" i="121" s="1"/>
  <c r="W8" i="121"/>
  <c r="W6" i="121" s="1"/>
  <c r="T8" i="121"/>
  <c r="T6" i="121" s="1"/>
  <c r="AD6" i="121"/>
  <c r="AC6" i="121"/>
  <c r="AB6" i="121"/>
  <c r="AA6" i="121"/>
  <c r="Z6" i="121"/>
  <c r="Y6" i="121"/>
  <c r="V6" i="121"/>
  <c r="U6" i="121"/>
  <c r="S6" i="121"/>
  <c r="R6" i="121"/>
  <c r="Q6" i="121"/>
  <c r="P6" i="121"/>
  <c r="O6" i="121"/>
  <c r="N6" i="121"/>
  <c r="M6" i="121"/>
  <c r="L6" i="121"/>
  <c r="K6" i="121"/>
  <c r="J6" i="121"/>
  <c r="I6" i="121"/>
  <c r="H6" i="121"/>
  <c r="G6" i="121"/>
  <c r="F6" i="121"/>
  <c r="E6" i="121"/>
  <c r="D6" i="121"/>
  <c r="C6" i="121"/>
  <c r="B1" i="121"/>
  <c r="C1" i="121" s="1"/>
  <c r="D1" i="121" s="1"/>
  <c r="E1" i="121" s="1"/>
  <c r="F1" i="121" s="1"/>
  <c r="G1" i="121" s="1"/>
  <c r="H1" i="121" s="1"/>
  <c r="I1" i="121" s="1"/>
  <c r="J1" i="121" s="1"/>
  <c r="K1" i="121" s="1"/>
  <c r="L1" i="121" s="1"/>
  <c r="M1" i="121" s="1"/>
  <c r="N1" i="121" s="1"/>
  <c r="O1" i="121" s="1"/>
  <c r="P1" i="121" s="1"/>
  <c r="Q1" i="121" s="1"/>
  <c r="R1" i="121" s="1"/>
  <c r="S1" i="121" s="1"/>
  <c r="T1" i="121" s="1"/>
  <c r="U1" i="121" s="1"/>
  <c r="V1" i="121" s="1"/>
  <c r="W1" i="121" s="1"/>
  <c r="X1" i="121" s="1"/>
  <c r="Y1" i="121" s="1"/>
  <c r="Z1" i="121" s="1"/>
  <c r="AA1" i="121" s="1"/>
  <c r="AB1" i="121" s="1"/>
  <c r="AC1" i="121" s="1"/>
  <c r="AD1" i="121" s="1"/>
  <c r="X325" i="19"/>
  <c r="W325" i="19"/>
  <c r="T325" i="19"/>
  <c r="X324" i="19"/>
  <c r="W324" i="19"/>
  <c r="T324" i="19"/>
  <c r="X323" i="19"/>
  <c r="W323" i="19"/>
  <c r="T323" i="19"/>
  <c r="X322" i="19"/>
  <c r="W322" i="19"/>
  <c r="T322" i="19"/>
  <c r="X321" i="19"/>
  <c r="W321" i="19"/>
  <c r="T321" i="19"/>
  <c r="X320" i="19"/>
  <c r="W320" i="19"/>
  <c r="T320" i="19"/>
  <c r="X319" i="19"/>
  <c r="W319" i="19"/>
  <c r="T319" i="19"/>
  <c r="X318" i="19"/>
  <c r="W318" i="19"/>
  <c r="T318" i="19"/>
  <c r="X317" i="19"/>
  <c r="W317" i="19"/>
  <c r="T317" i="19"/>
  <c r="X316" i="19"/>
  <c r="W316" i="19"/>
  <c r="T316" i="19"/>
  <c r="X315" i="19"/>
  <c r="W315" i="19"/>
  <c r="T315" i="19"/>
  <c r="X314" i="19"/>
  <c r="W314" i="19"/>
  <c r="T314" i="19"/>
  <c r="X313" i="19"/>
  <c r="W313" i="19"/>
  <c r="T313" i="19"/>
  <c r="X312" i="19"/>
  <c r="W312" i="19"/>
  <c r="T312" i="19"/>
  <c r="X311" i="19"/>
  <c r="W311" i="19"/>
  <c r="T311" i="19"/>
  <c r="X310" i="19"/>
  <c r="W310" i="19"/>
  <c r="T310" i="19"/>
  <c r="X309" i="19"/>
  <c r="W309" i="19"/>
  <c r="T309" i="19"/>
  <c r="X308" i="19"/>
  <c r="W308" i="19"/>
  <c r="T308" i="19"/>
  <c r="X307" i="19"/>
  <c r="W307" i="19"/>
  <c r="T307" i="19"/>
  <c r="X306" i="19"/>
  <c r="W306" i="19"/>
  <c r="T306" i="19"/>
  <c r="X305" i="19"/>
  <c r="W305" i="19"/>
  <c r="T305" i="19"/>
  <c r="X304" i="19"/>
  <c r="W304" i="19"/>
  <c r="T304" i="19"/>
  <c r="X303" i="19"/>
  <c r="W303" i="19"/>
  <c r="T303" i="19"/>
  <c r="X302" i="19"/>
  <c r="W302" i="19"/>
  <c r="T302" i="19"/>
  <c r="X301" i="19"/>
  <c r="W301" i="19"/>
  <c r="T301" i="19"/>
  <c r="X300" i="19"/>
  <c r="W300" i="19"/>
  <c r="T300" i="19"/>
  <c r="X299" i="19"/>
  <c r="W299" i="19"/>
  <c r="T299" i="19"/>
  <c r="X298" i="19"/>
  <c r="W298" i="19"/>
  <c r="T298" i="19"/>
  <c r="X297" i="19"/>
  <c r="W297" i="19"/>
  <c r="T297" i="19"/>
  <c r="X296" i="19"/>
  <c r="W296" i="19"/>
  <c r="T296" i="19"/>
  <c r="X295" i="19"/>
  <c r="W295" i="19"/>
  <c r="T295" i="19"/>
  <c r="X294" i="19"/>
  <c r="W294" i="19"/>
  <c r="T294" i="19"/>
  <c r="X293" i="19"/>
  <c r="W293" i="19"/>
  <c r="T293" i="19"/>
  <c r="X292" i="19"/>
  <c r="W292" i="19"/>
  <c r="T292" i="19"/>
  <c r="X291" i="19"/>
  <c r="W291" i="19"/>
  <c r="T291" i="19"/>
  <c r="X290" i="19"/>
  <c r="W290" i="19"/>
  <c r="T290" i="19"/>
  <c r="X289" i="19"/>
  <c r="W289" i="19"/>
  <c r="T289" i="19"/>
  <c r="X288" i="19"/>
  <c r="W288" i="19"/>
  <c r="T288" i="19"/>
  <c r="X287" i="19"/>
  <c r="W287" i="19"/>
  <c r="T287" i="19"/>
  <c r="X286" i="19"/>
  <c r="W286" i="19"/>
  <c r="T286" i="19"/>
  <c r="X285" i="19"/>
  <c r="W285" i="19"/>
  <c r="T285" i="19"/>
  <c r="X284" i="19"/>
  <c r="W284" i="19"/>
  <c r="T284" i="19"/>
  <c r="X283" i="19"/>
  <c r="W283" i="19"/>
  <c r="T283" i="19"/>
  <c r="X282" i="19"/>
  <c r="W282" i="19"/>
  <c r="T282" i="19"/>
  <c r="X281" i="19"/>
  <c r="W281" i="19"/>
  <c r="T281" i="19"/>
  <c r="X280" i="19"/>
  <c r="W280" i="19"/>
  <c r="T280" i="19"/>
  <c r="X279" i="19"/>
  <c r="W279" i="19"/>
  <c r="T279" i="19"/>
  <c r="X278" i="19"/>
  <c r="W278" i="19"/>
  <c r="T278" i="19"/>
  <c r="X277" i="19"/>
  <c r="W277" i="19"/>
  <c r="T277" i="19"/>
  <c r="X276" i="19"/>
  <c r="W276" i="19"/>
  <c r="T276" i="19"/>
  <c r="X275" i="19"/>
  <c r="W275" i="19"/>
  <c r="T275" i="19"/>
  <c r="X274" i="19"/>
  <c r="W274" i="19"/>
  <c r="T274" i="19"/>
  <c r="X273" i="19"/>
  <c r="W273" i="19"/>
  <c r="T273" i="19"/>
  <c r="X272" i="19"/>
  <c r="W272" i="19"/>
  <c r="T272" i="19"/>
  <c r="X271" i="19"/>
  <c r="W271" i="19"/>
  <c r="T271" i="19"/>
  <c r="X270" i="19"/>
  <c r="W270" i="19"/>
  <c r="T270" i="19"/>
  <c r="X269" i="19"/>
  <c r="W269" i="19"/>
  <c r="T269" i="19"/>
  <c r="X268" i="19"/>
  <c r="W268" i="19"/>
  <c r="T268" i="19"/>
  <c r="X267" i="19"/>
  <c r="W267" i="19"/>
  <c r="T267" i="19"/>
  <c r="X266" i="19"/>
  <c r="W266" i="19"/>
  <c r="T266" i="19"/>
  <c r="X265" i="19"/>
  <c r="W265" i="19"/>
  <c r="T265" i="19"/>
  <c r="X264" i="19"/>
  <c r="W264" i="19"/>
  <c r="T264" i="19"/>
  <c r="X263" i="19"/>
  <c r="W263" i="19"/>
  <c r="T263" i="19"/>
  <c r="X262" i="19"/>
  <c r="W262" i="19"/>
  <c r="T262" i="19"/>
  <c r="X261" i="19"/>
  <c r="W261" i="19"/>
  <c r="T261" i="19"/>
  <c r="X260" i="19"/>
  <c r="W260" i="19"/>
  <c r="T260" i="19"/>
  <c r="X259" i="19"/>
  <c r="W259" i="19"/>
  <c r="T259" i="19"/>
  <c r="X258" i="19"/>
  <c r="W258" i="19"/>
  <c r="T258" i="19"/>
  <c r="X257" i="19"/>
  <c r="W257" i="19"/>
  <c r="T257" i="19"/>
  <c r="X256" i="19"/>
  <c r="W256" i="19"/>
  <c r="T256" i="19"/>
  <c r="X255" i="19"/>
  <c r="W255" i="19"/>
  <c r="T255" i="19"/>
  <c r="X254" i="19"/>
  <c r="W254" i="19"/>
  <c r="T254" i="19"/>
  <c r="X253" i="19"/>
  <c r="W253" i="19"/>
  <c r="T253" i="19"/>
  <c r="X252" i="19"/>
  <c r="W252" i="19"/>
  <c r="T252" i="19"/>
  <c r="X251" i="19"/>
  <c r="W251" i="19"/>
  <c r="T251" i="19"/>
  <c r="X250" i="19"/>
  <c r="W250" i="19"/>
  <c r="T250" i="19"/>
  <c r="X249" i="19"/>
  <c r="W249" i="19"/>
  <c r="T249" i="19"/>
  <c r="X248" i="19"/>
  <c r="W248" i="19"/>
  <c r="T248" i="19"/>
  <c r="X247" i="19"/>
  <c r="W247" i="19"/>
  <c r="T247" i="19"/>
  <c r="X246" i="19"/>
  <c r="W246" i="19"/>
  <c r="T246" i="19"/>
  <c r="X245" i="19"/>
  <c r="W245" i="19"/>
  <c r="T245" i="19"/>
  <c r="X244" i="19"/>
  <c r="W244" i="19"/>
  <c r="T244" i="19"/>
  <c r="X243" i="19"/>
  <c r="W243" i="19"/>
  <c r="T243" i="19"/>
  <c r="X242" i="19"/>
  <c r="W242" i="19"/>
  <c r="T242" i="19"/>
  <c r="X241" i="19"/>
  <c r="W241" i="19"/>
  <c r="T241" i="19"/>
  <c r="X240" i="19"/>
  <c r="W240" i="19"/>
  <c r="T240" i="19"/>
  <c r="X239" i="19"/>
  <c r="W239" i="19"/>
  <c r="T239" i="19"/>
  <c r="X238" i="19"/>
  <c r="W238" i="19"/>
  <c r="T238" i="19"/>
  <c r="X237" i="19"/>
  <c r="W237" i="19"/>
  <c r="T237" i="19"/>
  <c r="X236" i="19"/>
  <c r="W236" i="19"/>
  <c r="T236" i="19"/>
  <c r="X235" i="19"/>
  <c r="W235" i="19"/>
  <c r="T235" i="19"/>
  <c r="X234" i="19"/>
  <c r="W234" i="19"/>
  <c r="T234" i="19"/>
  <c r="X233" i="19"/>
  <c r="W233" i="19"/>
  <c r="T233" i="19"/>
  <c r="X232" i="19"/>
  <c r="W232" i="19"/>
  <c r="T232" i="19"/>
  <c r="X231" i="19"/>
  <c r="W231" i="19"/>
  <c r="T231" i="19"/>
  <c r="X230" i="19"/>
  <c r="W230" i="19"/>
  <c r="T230" i="19"/>
  <c r="X229" i="19"/>
  <c r="W229" i="19"/>
  <c r="T229" i="19"/>
  <c r="X228" i="19"/>
  <c r="W228" i="19"/>
  <c r="T228" i="19"/>
  <c r="X227" i="19"/>
  <c r="W227" i="19"/>
  <c r="T227" i="19"/>
  <c r="X226" i="19"/>
  <c r="W226" i="19"/>
  <c r="T226" i="19"/>
  <c r="X225" i="19"/>
  <c r="W225" i="19"/>
  <c r="T225" i="19"/>
  <c r="X224" i="19"/>
  <c r="W224" i="19"/>
  <c r="T224" i="19"/>
  <c r="X223" i="19"/>
  <c r="W223" i="19"/>
  <c r="T223" i="19"/>
  <c r="X222" i="19"/>
  <c r="W222" i="19"/>
  <c r="T222" i="19"/>
  <c r="X221" i="19"/>
  <c r="W221" i="19"/>
  <c r="T221" i="19"/>
  <c r="X220" i="19"/>
  <c r="W220" i="19"/>
  <c r="T220" i="19"/>
  <c r="X219" i="19"/>
  <c r="W219" i="19"/>
  <c r="T219" i="19"/>
  <c r="X218" i="19"/>
  <c r="W218" i="19"/>
  <c r="T218" i="19"/>
  <c r="X217" i="19"/>
  <c r="W217" i="19"/>
  <c r="T217" i="19"/>
  <c r="X216" i="19"/>
  <c r="W216" i="19"/>
  <c r="T216" i="19"/>
  <c r="X215" i="19"/>
  <c r="W215" i="19"/>
  <c r="T215" i="19"/>
  <c r="X214" i="19"/>
  <c r="W214" i="19"/>
  <c r="T214" i="19"/>
  <c r="X213" i="19"/>
  <c r="W213" i="19"/>
  <c r="T213" i="19"/>
  <c r="X212" i="19"/>
  <c r="W212" i="19"/>
  <c r="T212" i="19"/>
  <c r="X211" i="19"/>
  <c r="W211" i="19"/>
  <c r="T211" i="19"/>
  <c r="X210" i="19"/>
  <c r="W210" i="19"/>
  <c r="T210" i="19"/>
  <c r="X209" i="19"/>
  <c r="W209" i="19"/>
  <c r="T209" i="19"/>
  <c r="X208" i="19"/>
  <c r="W208" i="19"/>
  <c r="T208" i="19"/>
  <c r="X207" i="19"/>
  <c r="W207" i="19"/>
  <c r="T207" i="19"/>
  <c r="X206" i="19"/>
  <c r="W206" i="19"/>
  <c r="T206" i="19"/>
  <c r="X205" i="19"/>
  <c r="W205" i="19"/>
  <c r="T205" i="19"/>
  <c r="X204" i="19"/>
  <c r="W204" i="19"/>
  <c r="T204" i="19"/>
  <c r="X203" i="19"/>
  <c r="W203" i="19"/>
  <c r="T203" i="19"/>
  <c r="X202" i="19"/>
  <c r="W202" i="19"/>
  <c r="T202" i="19"/>
  <c r="X201" i="19"/>
  <c r="W201" i="19"/>
  <c r="T201" i="19"/>
  <c r="X200" i="19"/>
  <c r="W200" i="19"/>
  <c r="T200" i="19"/>
  <c r="X199" i="19"/>
  <c r="W199" i="19"/>
  <c r="T199" i="19"/>
  <c r="X198" i="19"/>
  <c r="W198" i="19"/>
  <c r="T198" i="19"/>
  <c r="X197" i="19"/>
  <c r="W197" i="19"/>
  <c r="T197" i="19"/>
  <c r="X196" i="19"/>
  <c r="W196" i="19"/>
  <c r="T196" i="19"/>
  <c r="X195" i="19"/>
  <c r="W195" i="19"/>
  <c r="T195" i="19"/>
  <c r="X194" i="19"/>
  <c r="W194" i="19"/>
  <c r="T194" i="19"/>
  <c r="X193" i="19"/>
  <c r="W193" i="19"/>
  <c r="T193" i="19"/>
  <c r="X192" i="19"/>
  <c r="W192" i="19"/>
  <c r="T192" i="19"/>
  <c r="X191" i="19"/>
  <c r="W191" i="19"/>
  <c r="T191" i="19"/>
  <c r="X190" i="19"/>
  <c r="W190" i="19"/>
  <c r="T190" i="19"/>
  <c r="X189" i="19"/>
  <c r="W189" i="19"/>
  <c r="T189" i="19"/>
  <c r="X188" i="19"/>
  <c r="W188" i="19"/>
  <c r="T188" i="19"/>
  <c r="X187" i="19"/>
  <c r="W187" i="19"/>
  <c r="T187" i="19"/>
  <c r="X186" i="19"/>
  <c r="W186" i="19"/>
  <c r="T186" i="19"/>
  <c r="X185" i="19"/>
  <c r="W185" i="19"/>
  <c r="T185" i="19"/>
  <c r="X184" i="19"/>
  <c r="W184" i="19"/>
  <c r="T184" i="19"/>
  <c r="X183" i="19"/>
  <c r="W183" i="19"/>
  <c r="T183" i="19"/>
  <c r="X182" i="19"/>
  <c r="W182" i="19"/>
  <c r="T182" i="19"/>
  <c r="X181" i="19"/>
  <c r="W181" i="19"/>
  <c r="T181" i="19"/>
  <c r="X180" i="19"/>
  <c r="W180" i="19"/>
  <c r="T180" i="19"/>
  <c r="X179" i="19"/>
  <c r="W179" i="19"/>
  <c r="T179" i="19"/>
  <c r="X178" i="19"/>
  <c r="W178" i="19"/>
  <c r="T178" i="19"/>
  <c r="X177" i="19"/>
  <c r="W177" i="19"/>
  <c r="T177" i="19"/>
  <c r="X176" i="19"/>
  <c r="W176" i="19"/>
  <c r="T176" i="19"/>
  <c r="X175" i="19"/>
  <c r="W175" i="19"/>
  <c r="T175" i="19"/>
  <c r="X174" i="19"/>
  <c r="W174" i="19"/>
  <c r="T174" i="19"/>
  <c r="X173" i="19"/>
  <c r="W173" i="19"/>
  <c r="T173" i="19"/>
  <c r="X172" i="19"/>
  <c r="W172" i="19"/>
  <c r="T172" i="19"/>
  <c r="X171" i="19"/>
  <c r="W171" i="19"/>
  <c r="T171" i="19"/>
  <c r="X170" i="19"/>
  <c r="W170" i="19"/>
  <c r="T170" i="19"/>
  <c r="X169" i="19"/>
  <c r="W169" i="19"/>
  <c r="T169" i="19"/>
  <c r="X168" i="19"/>
  <c r="W168" i="19"/>
  <c r="T168" i="19"/>
  <c r="X167" i="19"/>
  <c r="W167" i="19"/>
  <c r="T167" i="19"/>
  <c r="X166" i="19"/>
  <c r="W166" i="19"/>
  <c r="T166" i="19"/>
  <c r="X165" i="19"/>
  <c r="W165" i="19"/>
  <c r="T165" i="19"/>
  <c r="X164" i="19"/>
  <c r="W164" i="19"/>
  <c r="T164" i="19"/>
  <c r="X163" i="19"/>
  <c r="W163" i="19"/>
  <c r="T163" i="19"/>
  <c r="X162" i="19"/>
  <c r="W162" i="19"/>
  <c r="T162" i="19"/>
  <c r="X161" i="19"/>
  <c r="W161" i="19"/>
  <c r="T161" i="19"/>
  <c r="X160" i="19"/>
  <c r="W160" i="19"/>
  <c r="T160" i="19"/>
  <c r="X159" i="19"/>
  <c r="W159" i="19"/>
  <c r="T159" i="19"/>
  <c r="X158" i="19"/>
  <c r="W158" i="19"/>
  <c r="T158" i="19"/>
  <c r="X157" i="19"/>
  <c r="W157" i="19"/>
  <c r="T157" i="19"/>
  <c r="X156" i="19"/>
  <c r="W156" i="19"/>
  <c r="T156" i="19"/>
  <c r="X155" i="19"/>
  <c r="W155" i="19"/>
  <c r="T155" i="19"/>
  <c r="X154" i="19"/>
  <c r="W154" i="19"/>
  <c r="T154" i="19"/>
  <c r="X153" i="19"/>
  <c r="W153" i="19"/>
  <c r="T153" i="19"/>
  <c r="X152" i="19"/>
  <c r="W152" i="19"/>
  <c r="T152" i="19"/>
  <c r="X151" i="19"/>
  <c r="W151" i="19"/>
  <c r="T151" i="19"/>
  <c r="X150" i="19"/>
  <c r="W150" i="19"/>
  <c r="T150" i="19"/>
  <c r="X149" i="19"/>
  <c r="W149" i="19"/>
  <c r="T149" i="19"/>
  <c r="X148" i="19"/>
  <c r="W148" i="19"/>
  <c r="T148" i="19"/>
  <c r="X147" i="19"/>
  <c r="W147" i="19"/>
  <c r="T147" i="19"/>
  <c r="X146" i="19"/>
  <c r="W146" i="19"/>
  <c r="T146" i="19"/>
  <c r="X145" i="19"/>
  <c r="W145" i="19"/>
  <c r="T145" i="19"/>
  <c r="X144" i="19"/>
  <c r="W144" i="19"/>
  <c r="T144" i="19"/>
  <c r="X143" i="19"/>
  <c r="W143" i="19"/>
  <c r="T143" i="19"/>
  <c r="X142" i="19"/>
  <c r="W142" i="19"/>
  <c r="T142" i="19"/>
  <c r="X141" i="19"/>
  <c r="W141" i="19"/>
  <c r="T141" i="19"/>
  <c r="X140" i="19"/>
  <c r="W140" i="19"/>
  <c r="T140" i="19"/>
  <c r="X139" i="19"/>
  <c r="W139" i="19"/>
  <c r="T139" i="19"/>
  <c r="X138" i="19"/>
  <c r="W138" i="19"/>
  <c r="T138" i="19"/>
  <c r="X137" i="19"/>
  <c r="W137" i="19"/>
  <c r="T137" i="19"/>
  <c r="X136" i="19"/>
  <c r="W136" i="19"/>
  <c r="T136" i="19"/>
  <c r="X135" i="19"/>
  <c r="W135" i="19"/>
  <c r="T135" i="19"/>
  <c r="X134" i="19"/>
  <c r="W134" i="19"/>
  <c r="T134" i="19"/>
  <c r="X133" i="19"/>
  <c r="W133" i="19"/>
  <c r="T133" i="19"/>
  <c r="X132" i="19"/>
  <c r="W132" i="19"/>
  <c r="T132" i="19"/>
  <c r="X131" i="19"/>
  <c r="W131" i="19"/>
  <c r="T131" i="19"/>
  <c r="X130" i="19"/>
  <c r="W130" i="19"/>
  <c r="T130" i="19"/>
  <c r="X129" i="19"/>
  <c r="W129" i="19"/>
  <c r="T129" i="19"/>
  <c r="X128" i="19"/>
  <c r="W128" i="19"/>
  <c r="T128" i="19"/>
  <c r="X127" i="19"/>
  <c r="W127" i="19"/>
  <c r="T127" i="19"/>
  <c r="X126" i="19"/>
  <c r="W126" i="19"/>
  <c r="T126" i="19"/>
  <c r="X125" i="19"/>
  <c r="W125" i="19"/>
  <c r="T125" i="19"/>
  <c r="X124" i="19"/>
  <c r="W124" i="19"/>
  <c r="T124" i="19"/>
  <c r="X123" i="19"/>
  <c r="W123" i="19"/>
  <c r="T123" i="19"/>
  <c r="X122" i="19"/>
  <c r="W122" i="19"/>
  <c r="T122" i="19"/>
  <c r="X121" i="19"/>
  <c r="W121" i="19"/>
  <c r="T121" i="19"/>
  <c r="X120" i="19"/>
  <c r="W120" i="19"/>
  <c r="T120" i="19"/>
  <c r="X119" i="19"/>
  <c r="W119" i="19"/>
  <c r="T119" i="19"/>
  <c r="X118" i="19"/>
  <c r="W118" i="19"/>
  <c r="T118" i="19"/>
  <c r="X117" i="19"/>
  <c r="W117" i="19"/>
  <c r="T117" i="19"/>
  <c r="X116" i="19"/>
  <c r="W116" i="19"/>
  <c r="T116" i="19"/>
  <c r="X115" i="19"/>
  <c r="W115" i="19"/>
  <c r="T115" i="19"/>
  <c r="X114" i="19"/>
  <c r="W114" i="19"/>
  <c r="T114" i="19"/>
  <c r="X113" i="19"/>
  <c r="W113" i="19"/>
  <c r="T113" i="19"/>
  <c r="X112" i="19"/>
  <c r="W112" i="19"/>
  <c r="T112" i="19"/>
  <c r="X111" i="19"/>
  <c r="W111" i="19"/>
  <c r="T111" i="19"/>
  <c r="X110" i="19"/>
  <c r="W110" i="19"/>
  <c r="T110" i="19"/>
  <c r="X109" i="19"/>
  <c r="W109" i="19"/>
  <c r="T109" i="19"/>
  <c r="X108" i="19"/>
  <c r="W108" i="19"/>
  <c r="T108" i="19"/>
  <c r="X107" i="19"/>
  <c r="W107" i="19"/>
  <c r="T107" i="19"/>
  <c r="X106" i="19"/>
  <c r="W106" i="19"/>
  <c r="T106" i="19"/>
  <c r="X105" i="19"/>
  <c r="W105" i="19"/>
  <c r="T105" i="19"/>
  <c r="X104" i="19"/>
  <c r="W104" i="19"/>
  <c r="T104" i="19"/>
  <c r="X103" i="19"/>
  <c r="W103" i="19"/>
  <c r="T103" i="19"/>
  <c r="X102" i="19"/>
  <c r="W102" i="19"/>
  <c r="T102" i="19"/>
  <c r="X101" i="19"/>
  <c r="W101" i="19"/>
  <c r="T101" i="19"/>
  <c r="X100" i="19"/>
  <c r="W100" i="19"/>
  <c r="T100" i="19"/>
  <c r="X99" i="19"/>
  <c r="W99" i="19"/>
  <c r="T99" i="19"/>
  <c r="X98" i="19"/>
  <c r="W98" i="19"/>
  <c r="T98" i="19"/>
  <c r="X97" i="19"/>
  <c r="W97" i="19"/>
  <c r="T97" i="19"/>
  <c r="X96" i="19"/>
  <c r="W96" i="19"/>
  <c r="T96" i="19"/>
  <c r="X95" i="19"/>
  <c r="W95" i="19"/>
  <c r="T95" i="19"/>
  <c r="X94" i="19"/>
  <c r="W94" i="19"/>
  <c r="T94" i="19"/>
  <c r="X93" i="19"/>
  <c r="W93" i="19"/>
  <c r="T93" i="19"/>
  <c r="X92" i="19"/>
  <c r="W92" i="19"/>
  <c r="T92" i="19"/>
  <c r="X91" i="19"/>
  <c r="W91" i="19"/>
  <c r="T91" i="19"/>
  <c r="X90" i="19"/>
  <c r="W90" i="19"/>
  <c r="T90" i="19"/>
  <c r="X89" i="19"/>
  <c r="W89" i="19"/>
  <c r="T89" i="19"/>
  <c r="X88" i="19"/>
  <c r="W88" i="19"/>
  <c r="T88" i="19"/>
  <c r="X87" i="19"/>
  <c r="W87" i="19"/>
  <c r="T87" i="19"/>
  <c r="X86" i="19"/>
  <c r="W86" i="19"/>
  <c r="T86" i="19"/>
  <c r="X85" i="19"/>
  <c r="W85" i="19"/>
  <c r="T85" i="19"/>
  <c r="X84" i="19"/>
  <c r="W84" i="19"/>
  <c r="T84" i="19"/>
  <c r="X83" i="19"/>
  <c r="W83" i="19"/>
  <c r="T83" i="19"/>
  <c r="X82" i="19"/>
  <c r="W82" i="19"/>
  <c r="T82" i="19"/>
  <c r="X81" i="19"/>
  <c r="W81" i="19"/>
  <c r="T81" i="19"/>
  <c r="X80" i="19"/>
  <c r="W80" i="19"/>
  <c r="T80" i="19"/>
  <c r="X79" i="19"/>
  <c r="W79" i="19"/>
  <c r="T79" i="19"/>
  <c r="X78" i="19"/>
  <c r="W78" i="19"/>
  <c r="T78" i="19"/>
  <c r="X77" i="19"/>
  <c r="W77" i="19"/>
  <c r="T77" i="19"/>
  <c r="X76" i="19"/>
  <c r="W76" i="19"/>
  <c r="T76" i="19"/>
  <c r="X75" i="19"/>
  <c r="W75" i="19"/>
  <c r="T75" i="19"/>
  <c r="X74" i="19"/>
  <c r="W74" i="19"/>
  <c r="T74" i="19"/>
  <c r="X73" i="19"/>
  <c r="W73" i="19"/>
  <c r="T73" i="19"/>
  <c r="X72" i="19"/>
  <c r="W72" i="19"/>
  <c r="T72" i="19"/>
  <c r="X71" i="19"/>
  <c r="W71" i="19"/>
  <c r="T71" i="19"/>
  <c r="X70" i="19"/>
  <c r="W70" i="19"/>
  <c r="T70" i="19"/>
  <c r="X69" i="19"/>
  <c r="W69" i="19"/>
  <c r="T69" i="19"/>
  <c r="X68" i="19"/>
  <c r="W68" i="19"/>
  <c r="T68" i="19"/>
  <c r="X67" i="19"/>
  <c r="W67" i="19"/>
  <c r="T67" i="19"/>
  <c r="X66" i="19"/>
  <c r="W66" i="19"/>
  <c r="T66" i="19"/>
  <c r="X65" i="19"/>
  <c r="W65" i="19"/>
  <c r="T65" i="19"/>
  <c r="X64" i="19"/>
  <c r="W64" i="19"/>
  <c r="T64" i="19"/>
  <c r="X63" i="19"/>
  <c r="W63" i="19"/>
  <c r="T63" i="19"/>
  <c r="X62" i="19"/>
  <c r="W62" i="19"/>
  <c r="T62" i="19"/>
  <c r="X61" i="19"/>
  <c r="W61" i="19"/>
  <c r="T61" i="19"/>
  <c r="X60" i="19"/>
  <c r="W60" i="19"/>
  <c r="T60" i="19"/>
  <c r="X59" i="19"/>
  <c r="W59" i="19"/>
  <c r="T59" i="19"/>
  <c r="X58" i="19"/>
  <c r="W58" i="19"/>
  <c r="T58" i="19"/>
  <c r="X57" i="19"/>
  <c r="W57" i="19"/>
  <c r="T57" i="19"/>
  <c r="X56" i="19"/>
  <c r="W56" i="19"/>
  <c r="T56" i="19"/>
  <c r="X55" i="19"/>
  <c r="W55" i="19"/>
  <c r="T55" i="19"/>
  <c r="X54" i="19"/>
  <c r="W54" i="19"/>
  <c r="T54" i="19"/>
  <c r="X53" i="19"/>
  <c r="W53" i="19"/>
  <c r="T53" i="19"/>
  <c r="X52" i="19"/>
  <c r="W52" i="19"/>
  <c r="T52" i="19"/>
  <c r="X51" i="19"/>
  <c r="W51" i="19"/>
  <c r="T51" i="19"/>
  <c r="X50" i="19"/>
  <c r="W50" i="19"/>
  <c r="T50" i="19"/>
  <c r="X49" i="19"/>
  <c r="W49" i="19"/>
  <c r="T49" i="19"/>
  <c r="X48" i="19"/>
  <c r="W48" i="19"/>
  <c r="T48" i="19"/>
  <c r="X47" i="19"/>
  <c r="W47" i="19"/>
  <c r="T47" i="19"/>
  <c r="X46" i="19"/>
  <c r="W46" i="19"/>
  <c r="T46" i="19"/>
  <c r="X45" i="19"/>
  <c r="W45" i="19"/>
  <c r="T45" i="19"/>
  <c r="X44" i="19"/>
  <c r="W44" i="19"/>
  <c r="T44" i="19"/>
  <c r="X43" i="19"/>
  <c r="W43" i="19"/>
  <c r="T43" i="19"/>
  <c r="X42" i="19"/>
  <c r="W42" i="19"/>
  <c r="T42" i="19"/>
  <c r="X41" i="19"/>
  <c r="W41" i="19"/>
  <c r="T41" i="19"/>
  <c r="X40" i="19"/>
  <c r="W40" i="19"/>
  <c r="T40" i="19"/>
  <c r="X39" i="19"/>
  <c r="W39" i="19"/>
  <c r="T39" i="19"/>
  <c r="X38" i="19"/>
  <c r="W38" i="19"/>
  <c r="T38" i="19"/>
  <c r="X37" i="19"/>
  <c r="W37" i="19"/>
  <c r="T37" i="19"/>
  <c r="X36" i="19"/>
  <c r="W36" i="19"/>
  <c r="T36" i="19"/>
  <c r="X35" i="19"/>
  <c r="W35" i="19"/>
  <c r="T35" i="19"/>
  <c r="X34" i="19"/>
  <c r="W34" i="19"/>
  <c r="T34" i="19"/>
  <c r="X33" i="19"/>
  <c r="W33" i="19"/>
  <c r="T33" i="19"/>
  <c r="X32" i="19"/>
  <c r="W32" i="19"/>
  <c r="T32" i="19"/>
  <c r="X31" i="19"/>
  <c r="W31" i="19"/>
  <c r="T31" i="19"/>
  <c r="X30" i="19"/>
  <c r="W30" i="19"/>
  <c r="T30" i="19"/>
  <c r="X29" i="19"/>
  <c r="W29" i="19"/>
  <c r="T29" i="19"/>
  <c r="X28" i="19"/>
  <c r="W28" i="19"/>
  <c r="T28" i="19"/>
  <c r="X27" i="19"/>
  <c r="W27" i="19"/>
  <c r="T27" i="19"/>
  <c r="X26" i="19"/>
  <c r="W26" i="19"/>
  <c r="T26" i="19"/>
  <c r="X25" i="19"/>
  <c r="W25" i="19"/>
  <c r="T25" i="19"/>
  <c r="X24" i="19"/>
  <c r="W24" i="19"/>
  <c r="T24" i="19"/>
  <c r="X23" i="19"/>
  <c r="W23" i="19"/>
  <c r="T23" i="19"/>
  <c r="X22" i="19"/>
  <c r="W22" i="19"/>
  <c r="T22" i="19"/>
  <c r="X21" i="19"/>
  <c r="W21" i="19"/>
  <c r="T21" i="19"/>
  <c r="X20" i="19"/>
  <c r="W20" i="19"/>
  <c r="T20" i="19"/>
  <c r="X19" i="19"/>
  <c r="W19" i="19"/>
  <c r="T19" i="19"/>
  <c r="X18" i="19"/>
  <c r="W18" i="19"/>
  <c r="T18" i="19"/>
  <c r="X17" i="19"/>
  <c r="W17" i="19"/>
  <c r="T17" i="19"/>
  <c r="X16" i="19"/>
  <c r="W16" i="19"/>
  <c r="T16" i="19"/>
  <c r="X15" i="19"/>
  <c r="W15" i="19"/>
  <c r="T15" i="19"/>
  <c r="X14" i="19"/>
  <c r="W14" i="19"/>
  <c r="T14" i="19"/>
  <c r="X13" i="19"/>
  <c r="W13" i="19"/>
  <c r="T13" i="19"/>
  <c r="X12" i="19"/>
  <c r="W12" i="19"/>
  <c r="T12" i="19"/>
  <c r="X11" i="19"/>
  <c r="W11" i="19"/>
  <c r="T11" i="19"/>
  <c r="X10" i="19"/>
  <c r="W10" i="19"/>
  <c r="T10" i="19"/>
  <c r="X9" i="19"/>
  <c r="X6" i="19" s="1"/>
  <c r="W9" i="19"/>
  <c r="T9" i="19"/>
  <c r="X8" i="19"/>
  <c r="W8" i="19"/>
  <c r="T8" i="19"/>
  <c r="AD6" i="19"/>
  <c r="AC6" i="19"/>
  <c r="AB6" i="19"/>
  <c r="AA6" i="19"/>
  <c r="Z6" i="19"/>
  <c r="Y6" i="19"/>
  <c r="V6" i="19"/>
  <c r="U6" i="19"/>
  <c r="T6" i="19"/>
  <c r="S6" i="19"/>
  <c r="R6" i="19"/>
  <c r="Q6" i="19"/>
  <c r="P6" i="19"/>
  <c r="O6" i="19"/>
  <c r="N6" i="19"/>
  <c r="M6" i="19"/>
  <c r="L6" i="19"/>
  <c r="K6" i="19"/>
  <c r="J6" i="19"/>
  <c r="I6" i="19"/>
  <c r="H6" i="19"/>
  <c r="G6" i="19"/>
  <c r="F6" i="19"/>
  <c r="E6" i="19"/>
  <c r="D6" i="19"/>
  <c r="C6" i="19"/>
  <c r="B1" i="19"/>
  <c r="C1" i="19" s="1"/>
  <c r="D1" i="19" s="1"/>
  <c r="E1" i="19" s="1"/>
  <c r="F1" i="19" s="1"/>
  <c r="G1" i="19" s="1"/>
  <c r="H1" i="19" s="1"/>
  <c r="I1" i="19" s="1"/>
  <c r="J1" i="19" s="1"/>
  <c r="K1" i="19" s="1"/>
  <c r="L1" i="19" s="1"/>
  <c r="M1" i="19" s="1"/>
  <c r="N1" i="19" s="1"/>
  <c r="O1" i="19" s="1"/>
  <c r="P1" i="19" s="1"/>
  <c r="Q1" i="19" s="1"/>
  <c r="R1" i="19" s="1"/>
  <c r="S1" i="19" s="1"/>
  <c r="T1" i="19" s="1"/>
  <c r="U1" i="19" s="1"/>
  <c r="V1" i="19" s="1"/>
  <c r="W1" i="19" s="1"/>
  <c r="X1" i="19" s="1"/>
  <c r="Y1" i="19" s="1"/>
  <c r="Z1" i="19" s="1"/>
  <c r="AA1" i="19" s="1"/>
  <c r="AB1" i="19" s="1"/>
  <c r="AC1" i="19" s="1"/>
  <c r="AD1" i="19" s="1"/>
  <c r="T6" i="138" l="1"/>
  <c r="W6" i="19"/>
  <c r="W6" i="138"/>
  <c r="P8" i="55"/>
  <c r="Q8" i="55"/>
  <c r="P9" i="55"/>
  <c r="Q9" i="55"/>
  <c r="P10" i="55"/>
  <c r="Q10" i="55"/>
  <c r="P11" i="55"/>
  <c r="Q11" i="55"/>
  <c r="P12" i="55"/>
  <c r="Q12" i="55"/>
  <c r="P13" i="55"/>
  <c r="Q13" i="55"/>
  <c r="P14" i="55"/>
  <c r="Q14" i="55"/>
  <c r="P15" i="55"/>
  <c r="Q15" i="55"/>
  <c r="P16" i="55"/>
  <c r="Q16" i="55"/>
  <c r="P17" i="55"/>
  <c r="Q17" i="55"/>
  <c r="P18" i="55"/>
  <c r="Q18" i="55"/>
  <c r="P19" i="55"/>
  <c r="Q19" i="55"/>
  <c r="P20" i="55"/>
  <c r="Q20" i="55"/>
  <c r="P21" i="55"/>
  <c r="Q21" i="55"/>
  <c r="P22" i="55"/>
  <c r="Q22" i="55"/>
  <c r="P23" i="55"/>
  <c r="Q23" i="55"/>
  <c r="P24" i="55"/>
  <c r="Q24" i="55"/>
  <c r="P25" i="55"/>
  <c r="Q25" i="55"/>
  <c r="P26" i="55"/>
  <c r="Q26" i="55"/>
  <c r="P27" i="55"/>
  <c r="Q27" i="55"/>
  <c r="P28" i="55"/>
  <c r="Q28" i="55"/>
  <c r="P29" i="55"/>
  <c r="Q29" i="55"/>
  <c r="P30" i="55"/>
  <c r="Q30" i="55"/>
  <c r="P31" i="55"/>
  <c r="Q31" i="55"/>
  <c r="P32" i="55"/>
  <c r="Q32" i="55"/>
  <c r="P33" i="55"/>
  <c r="Q33" i="55"/>
  <c r="P34" i="55"/>
  <c r="Q34" i="55"/>
  <c r="P35" i="55"/>
  <c r="Q35" i="55"/>
  <c r="P36" i="55"/>
  <c r="Q36" i="55"/>
  <c r="P37" i="55"/>
  <c r="Q37" i="55"/>
  <c r="P38" i="55"/>
  <c r="Q38" i="55"/>
  <c r="P39" i="55"/>
  <c r="Q39" i="55"/>
  <c r="P40" i="55"/>
  <c r="Q40" i="55"/>
  <c r="P41" i="55"/>
  <c r="Q41" i="55"/>
  <c r="P42" i="55"/>
  <c r="Q42" i="55"/>
  <c r="P43" i="55"/>
  <c r="Q43" i="55"/>
  <c r="P44" i="55"/>
  <c r="Q44" i="55"/>
  <c r="P45" i="55"/>
  <c r="Q45" i="55"/>
  <c r="P46" i="55"/>
  <c r="Q46" i="55"/>
  <c r="P47" i="55"/>
  <c r="Q47" i="55"/>
  <c r="P48" i="55"/>
  <c r="Q48" i="55"/>
  <c r="P49" i="55"/>
  <c r="Q49" i="55"/>
  <c r="P50" i="55"/>
  <c r="Q50" i="55"/>
  <c r="P51" i="55"/>
  <c r="Q51" i="55"/>
  <c r="P52" i="55"/>
  <c r="Q52" i="55"/>
  <c r="P53" i="55"/>
  <c r="Q53" i="55"/>
  <c r="P54" i="55"/>
  <c r="Q54" i="55"/>
  <c r="P55" i="55"/>
  <c r="Q55" i="55"/>
  <c r="P56" i="55"/>
  <c r="Q56" i="55"/>
  <c r="P57" i="55"/>
  <c r="Q57" i="55"/>
  <c r="P58" i="55"/>
  <c r="Q58" i="55"/>
  <c r="P59" i="55"/>
  <c r="Q59" i="55"/>
  <c r="P60" i="55"/>
  <c r="Q60" i="55"/>
  <c r="P61" i="55"/>
  <c r="Q61" i="55"/>
  <c r="P62" i="55"/>
  <c r="Q62" i="55"/>
  <c r="P63" i="55"/>
  <c r="Q63" i="55"/>
  <c r="P64" i="55"/>
  <c r="Q64" i="55"/>
  <c r="P65" i="55"/>
  <c r="Q65" i="55"/>
  <c r="P66" i="55"/>
  <c r="Q66" i="55"/>
  <c r="P67" i="55"/>
  <c r="Q67" i="55"/>
  <c r="P68" i="55"/>
  <c r="Q68" i="55"/>
  <c r="P69" i="55"/>
  <c r="Q69" i="55"/>
  <c r="P70" i="55"/>
  <c r="Q70" i="55"/>
  <c r="P71" i="55"/>
  <c r="Q71" i="55"/>
  <c r="P72" i="55"/>
  <c r="Q72" i="55"/>
  <c r="P73" i="55"/>
  <c r="Q73" i="55"/>
  <c r="P74" i="55"/>
  <c r="Q74" i="55"/>
  <c r="P75" i="55"/>
  <c r="Q75" i="55"/>
  <c r="P76" i="55"/>
  <c r="Q76" i="55"/>
  <c r="P77" i="55"/>
  <c r="Q77" i="55"/>
  <c r="P78" i="55"/>
  <c r="Q78" i="55"/>
  <c r="P79" i="55"/>
  <c r="Q79" i="55"/>
  <c r="P80" i="55"/>
  <c r="Q80" i="55"/>
  <c r="P81" i="55"/>
  <c r="Q81" i="55"/>
  <c r="P82" i="55"/>
  <c r="Q82" i="55"/>
  <c r="P83" i="55"/>
  <c r="Q83" i="55"/>
  <c r="P84" i="55"/>
  <c r="Q84" i="55"/>
  <c r="P85" i="55"/>
  <c r="Q85" i="55"/>
  <c r="P86" i="55"/>
  <c r="Q86" i="55"/>
  <c r="P87" i="55"/>
  <c r="Q87" i="55"/>
  <c r="P88" i="55"/>
  <c r="Q88" i="55"/>
  <c r="P89" i="55"/>
  <c r="Q89" i="55"/>
  <c r="P90" i="55"/>
  <c r="Q90" i="55"/>
  <c r="P91" i="55"/>
  <c r="Q91" i="55"/>
  <c r="P92" i="55"/>
  <c r="Q92" i="55"/>
  <c r="P93" i="55"/>
  <c r="Q93" i="55"/>
  <c r="P94" i="55"/>
  <c r="Q94" i="55"/>
  <c r="P95" i="55"/>
  <c r="Q95" i="55"/>
  <c r="P96" i="55"/>
  <c r="Q96" i="55"/>
  <c r="P97" i="55"/>
  <c r="Q97" i="55"/>
  <c r="P98" i="55"/>
  <c r="Q98" i="55"/>
  <c r="P99" i="55"/>
  <c r="Q99" i="55"/>
  <c r="P100" i="55"/>
  <c r="Q100" i="55"/>
  <c r="P101" i="55"/>
  <c r="Q101" i="55"/>
  <c r="P102" i="55"/>
  <c r="Q102" i="55"/>
  <c r="P103" i="55"/>
  <c r="Q103" i="55"/>
  <c r="P104" i="55"/>
  <c r="Q104" i="55"/>
  <c r="P105" i="55"/>
  <c r="Q105" i="55"/>
  <c r="P106" i="55"/>
  <c r="Q106" i="55"/>
  <c r="P107" i="55"/>
  <c r="Q107" i="55"/>
  <c r="P108" i="55"/>
  <c r="Q108" i="55"/>
  <c r="P109" i="55"/>
  <c r="Q109" i="55"/>
  <c r="P110" i="55"/>
  <c r="Q110" i="55"/>
  <c r="P111" i="55"/>
  <c r="Q111" i="55"/>
  <c r="P112" i="55"/>
  <c r="Q112" i="55"/>
  <c r="P113" i="55"/>
  <c r="Q113" i="55"/>
  <c r="P114" i="55"/>
  <c r="Q114" i="55"/>
  <c r="P115" i="55"/>
  <c r="Q115" i="55"/>
  <c r="P116" i="55"/>
  <c r="Q116" i="55"/>
  <c r="P117" i="55"/>
  <c r="Q117" i="55"/>
  <c r="P118" i="55"/>
  <c r="Q118" i="55"/>
  <c r="P119" i="55"/>
  <c r="Q119" i="55"/>
  <c r="P120" i="55"/>
  <c r="Q120" i="55"/>
  <c r="P121" i="55"/>
  <c r="Q121" i="55"/>
  <c r="P122" i="55"/>
  <c r="Q122" i="55"/>
  <c r="P123" i="55"/>
  <c r="Q123" i="55"/>
  <c r="P124" i="55"/>
  <c r="Q124" i="55"/>
  <c r="P125" i="55"/>
  <c r="Q125" i="55"/>
  <c r="P126" i="55"/>
  <c r="Q126" i="55"/>
  <c r="P127" i="55"/>
  <c r="Q127" i="55"/>
  <c r="P128" i="55"/>
  <c r="Q128" i="55"/>
  <c r="P129" i="55"/>
  <c r="Q129" i="55"/>
  <c r="P130" i="55"/>
  <c r="Q130" i="55"/>
  <c r="P131" i="55"/>
  <c r="Q131" i="55"/>
  <c r="P132" i="55"/>
  <c r="Q132" i="55"/>
  <c r="P133" i="55"/>
  <c r="Q133" i="55"/>
  <c r="P134" i="55"/>
  <c r="Q134" i="55"/>
  <c r="P135" i="55"/>
  <c r="Q135" i="55"/>
  <c r="P136" i="55"/>
  <c r="Q136" i="55"/>
  <c r="P137" i="55"/>
  <c r="Q137" i="55"/>
  <c r="P138" i="55"/>
  <c r="Q138" i="55"/>
  <c r="P139" i="55"/>
  <c r="Q139" i="55"/>
  <c r="P140" i="55"/>
  <c r="Q140" i="55"/>
  <c r="P141" i="55"/>
  <c r="Q141" i="55"/>
  <c r="P142" i="55"/>
  <c r="Q142" i="55"/>
  <c r="P143" i="55"/>
  <c r="Q143" i="55"/>
  <c r="P144" i="55"/>
  <c r="Q144" i="55"/>
  <c r="P145" i="55"/>
  <c r="Q145" i="55"/>
  <c r="P146" i="55"/>
  <c r="Q146" i="55"/>
  <c r="P147" i="55"/>
  <c r="Q147" i="55"/>
  <c r="P148" i="55"/>
  <c r="Q148" i="55"/>
  <c r="P149" i="55"/>
  <c r="Q149" i="55"/>
  <c r="P150" i="55"/>
  <c r="Q150" i="55"/>
  <c r="P151" i="55"/>
  <c r="Q151" i="55"/>
  <c r="P152" i="55"/>
  <c r="Q152" i="55"/>
  <c r="P153" i="55"/>
  <c r="Q153" i="55"/>
  <c r="P154" i="55"/>
  <c r="Q154" i="55"/>
  <c r="P155" i="55"/>
  <c r="Q155" i="55"/>
  <c r="P156" i="55"/>
  <c r="Q156" i="55"/>
  <c r="P157" i="55"/>
  <c r="Q157" i="55"/>
  <c r="P158" i="55"/>
  <c r="Q158" i="55"/>
  <c r="P159" i="55"/>
  <c r="Q159" i="55"/>
  <c r="P160" i="55"/>
  <c r="Q160" i="55"/>
  <c r="P161" i="55"/>
  <c r="Q161" i="55"/>
  <c r="P162" i="55"/>
  <c r="Q162" i="55"/>
  <c r="P163" i="55"/>
  <c r="Q163" i="55"/>
  <c r="P164" i="55"/>
  <c r="Q164" i="55"/>
  <c r="P165" i="55"/>
  <c r="Q165" i="55"/>
  <c r="P166" i="55"/>
  <c r="Q166" i="55"/>
  <c r="P167" i="55"/>
  <c r="Q167" i="55"/>
  <c r="P168" i="55"/>
  <c r="Q168" i="55"/>
  <c r="P169" i="55"/>
  <c r="Q169" i="55"/>
  <c r="P170" i="55"/>
  <c r="Q170" i="55"/>
  <c r="P171" i="55"/>
  <c r="Q171" i="55"/>
  <c r="P172" i="55"/>
  <c r="Q172" i="55"/>
  <c r="P173" i="55"/>
  <c r="Q173" i="55"/>
  <c r="P174" i="55"/>
  <c r="Q174" i="55"/>
  <c r="P175" i="55"/>
  <c r="Q175" i="55"/>
  <c r="P176" i="55"/>
  <c r="Q176" i="55"/>
  <c r="P177" i="55"/>
  <c r="Q177" i="55"/>
  <c r="P178" i="55"/>
  <c r="Q178" i="55"/>
  <c r="P179" i="55"/>
  <c r="Q179" i="55"/>
  <c r="P180" i="55"/>
  <c r="Q180" i="55"/>
  <c r="P181" i="55"/>
  <c r="Q181" i="55"/>
  <c r="P182" i="55"/>
  <c r="Q182" i="55"/>
  <c r="P183" i="55"/>
  <c r="Q183" i="55"/>
  <c r="P184" i="55"/>
  <c r="Q184" i="55"/>
  <c r="P185" i="55"/>
  <c r="Q185" i="55"/>
  <c r="P186" i="55"/>
  <c r="Q186" i="55"/>
  <c r="P187" i="55"/>
  <c r="Q187" i="55"/>
  <c r="P188" i="55"/>
  <c r="Q188" i="55"/>
  <c r="P189" i="55"/>
  <c r="Q189" i="55"/>
  <c r="P190" i="55"/>
  <c r="Q190" i="55"/>
  <c r="P191" i="55"/>
  <c r="Q191" i="55"/>
  <c r="P192" i="55"/>
  <c r="Q192" i="55"/>
  <c r="P193" i="55"/>
  <c r="Q193" i="55"/>
  <c r="P194" i="55"/>
  <c r="Q194" i="55"/>
  <c r="P195" i="55"/>
  <c r="Q195" i="55"/>
  <c r="P196" i="55"/>
  <c r="Q196" i="55"/>
  <c r="P197" i="55"/>
  <c r="Q197" i="55"/>
  <c r="P198" i="55"/>
  <c r="Q198" i="55"/>
  <c r="P199" i="55"/>
  <c r="Q199" i="55"/>
  <c r="P200" i="55"/>
  <c r="Q200" i="55"/>
  <c r="P201" i="55"/>
  <c r="Q201" i="55"/>
  <c r="P202" i="55"/>
  <c r="Q202" i="55"/>
  <c r="P203" i="55"/>
  <c r="Q203" i="55"/>
  <c r="P204" i="55"/>
  <c r="Q204" i="55"/>
  <c r="P205" i="55"/>
  <c r="Q205" i="55"/>
  <c r="P206" i="55"/>
  <c r="Q206" i="55"/>
  <c r="P207" i="55"/>
  <c r="Q207" i="55"/>
  <c r="P208" i="55"/>
  <c r="Q208" i="55"/>
  <c r="P209" i="55"/>
  <c r="Q209" i="55"/>
  <c r="P210" i="55"/>
  <c r="Q210" i="55"/>
  <c r="P211" i="55"/>
  <c r="Q211" i="55"/>
  <c r="P212" i="55"/>
  <c r="Q212" i="55"/>
  <c r="P213" i="55"/>
  <c r="Q213" i="55"/>
  <c r="P214" i="55"/>
  <c r="Q214" i="55"/>
  <c r="P215" i="55"/>
  <c r="Q215" i="55"/>
  <c r="P216" i="55"/>
  <c r="Q216" i="55"/>
  <c r="P217" i="55"/>
  <c r="Q217" i="55"/>
  <c r="P218" i="55"/>
  <c r="Q218" i="55"/>
  <c r="P219" i="55"/>
  <c r="Q219" i="55"/>
  <c r="P220" i="55"/>
  <c r="Q220" i="55"/>
  <c r="P221" i="55"/>
  <c r="Q221" i="55"/>
  <c r="P222" i="55"/>
  <c r="Q222" i="55"/>
  <c r="P223" i="55"/>
  <c r="Q223" i="55"/>
  <c r="P224" i="55"/>
  <c r="Q224" i="55"/>
  <c r="P225" i="55"/>
  <c r="Q225" i="55"/>
  <c r="P226" i="55"/>
  <c r="Q226" i="55"/>
  <c r="P227" i="55"/>
  <c r="Q227" i="55"/>
  <c r="P228" i="55"/>
  <c r="Q228" i="55"/>
  <c r="P229" i="55"/>
  <c r="Q229" i="55"/>
  <c r="P230" i="55"/>
  <c r="Q230" i="55"/>
  <c r="P231" i="55"/>
  <c r="Q231" i="55"/>
  <c r="P232" i="55"/>
  <c r="Q232" i="55"/>
  <c r="P233" i="55"/>
  <c r="Q233" i="55"/>
  <c r="P234" i="55"/>
  <c r="Q234" i="55"/>
  <c r="P235" i="55"/>
  <c r="Q235" i="55"/>
  <c r="P236" i="55"/>
  <c r="Q236" i="55"/>
  <c r="P237" i="55"/>
  <c r="Q237" i="55"/>
  <c r="P238" i="55"/>
  <c r="Q238" i="55"/>
  <c r="P239" i="55"/>
  <c r="Q239" i="55"/>
  <c r="P240" i="55"/>
  <c r="Q240" i="55"/>
  <c r="P241" i="55"/>
  <c r="Q241" i="55"/>
  <c r="P242" i="55"/>
  <c r="Q242" i="55"/>
  <c r="P243" i="55"/>
  <c r="Q243" i="55"/>
  <c r="P244" i="55"/>
  <c r="Q244" i="55"/>
  <c r="P245" i="55"/>
  <c r="Q245" i="55"/>
  <c r="P246" i="55"/>
  <c r="Q246" i="55"/>
  <c r="P247" i="55"/>
  <c r="Q247" i="55"/>
  <c r="P248" i="55"/>
  <c r="Q248" i="55"/>
  <c r="P249" i="55"/>
  <c r="Q249" i="55"/>
  <c r="P250" i="55"/>
  <c r="Q250" i="55"/>
  <c r="P251" i="55"/>
  <c r="Q251" i="55"/>
  <c r="P252" i="55"/>
  <c r="Q252" i="55"/>
  <c r="P253" i="55"/>
  <c r="Q253" i="55"/>
  <c r="P254" i="55"/>
  <c r="Q254" i="55"/>
  <c r="P255" i="55"/>
  <c r="Q255" i="55"/>
  <c r="P256" i="55"/>
  <c r="Q256" i="55"/>
  <c r="P257" i="55"/>
  <c r="Q257" i="55"/>
  <c r="P258" i="55"/>
  <c r="Q258" i="55"/>
  <c r="P259" i="55"/>
  <c r="Q259" i="55"/>
  <c r="P260" i="55"/>
  <c r="Q260" i="55"/>
  <c r="P261" i="55"/>
  <c r="Q261" i="55"/>
  <c r="P262" i="55"/>
  <c r="Q262" i="55"/>
  <c r="P263" i="55"/>
  <c r="Q263" i="55"/>
  <c r="P264" i="55"/>
  <c r="Q264" i="55"/>
  <c r="P265" i="55"/>
  <c r="Q265" i="55"/>
  <c r="P266" i="55"/>
  <c r="Q266" i="55"/>
  <c r="P267" i="55"/>
  <c r="Q267" i="55"/>
  <c r="P268" i="55"/>
  <c r="Q268" i="55"/>
  <c r="P269" i="55"/>
  <c r="Q269" i="55"/>
  <c r="P270" i="55"/>
  <c r="Q270" i="55"/>
  <c r="P271" i="55"/>
  <c r="Q271" i="55"/>
  <c r="P272" i="55"/>
  <c r="Q272" i="55"/>
  <c r="P273" i="55"/>
  <c r="Q273" i="55"/>
  <c r="P274" i="55"/>
  <c r="Q274" i="55"/>
  <c r="P275" i="55"/>
  <c r="Q275" i="55"/>
  <c r="P276" i="55"/>
  <c r="Q276" i="55"/>
  <c r="P277" i="55"/>
  <c r="Q277" i="55"/>
  <c r="P278" i="55"/>
  <c r="Q278" i="55"/>
  <c r="P279" i="55"/>
  <c r="Q279" i="55"/>
  <c r="P280" i="55"/>
  <c r="Q280" i="55"/>
  <c r="P281" i="55"/>
  <c r="Q281" i="55"/>
  <c r="P282" i="55"/>
  <c r="Q282" i="55"/>
  <c r="P283" i="55"/>
  <c r="Q283" i="55"/>
  <c r="P284" i="55"/>
  <c r="Q284" i="55"/>
  <c r="P285" i="55"/>
  <c r="Q285" i="55"/>
  <c r="P286" i="55"/>
  <c r="Q286" i="55"/>
  <c r="P287" i="55"/>
  <c r="Q287" i="55"/>
  <c r="P288" i="55"/>
  <c r="Q288" i="55"/>
  <c r="P289" i="55"/>
  <c r="Q289" i="55"/>
  <c r="P290" i="55"/>
  <c r="Q290" i="55"/>
  <c r="P291" i="55"/>
  <c r="Q291" i="55"/>
  <c r="P292" i="55"/>
  <c r="Q292" i="55"/>
  <c r="P293" i="55"/>
  <c r="Q293" i="55"/>
  <c r="P294" i="55"/>
  <c r="Q294" i="55"/>
  <c r="P295" i="55"/>
  <c r="Q295" i="55"/>
  <c r="P296" i="55"/>
  <c r="Q296" i="55"/>
  <c r="P297" i="55"/>
  <c r="Q297" i="55"/>
  <c r="P298" i="55"/>
  <c r="Q298" i="55"/>
  <c r="P299" i="55"/>
  <c r="Q299" i="55"/>
  <c r="P300" i="55"/>
  <c r="Q300" i="55"/>
  <c r="P301" i="55"/>
  <c r="Q301" i="55"/>
  <c r="P302" i="55"/>
  <c r="Q302" i="55"/>
  <c r="P303" i="55"/>
  <c r="Q303" i="55"/>
  <c r="P304" i="55"/>
  <c r="Q304" i="55"/>
  <c r="P305" i="55"/>
  <c r="Q305" i="55"/>
  <c r="P306" i="55"/>
  <c r="Q306" i="55"/>
  <c r="P307" i="55"/>
  <c r="Q307" i="55"/>
  <c r="P308" i="55"/>
  <c r="Q308" i="55"/>
  <c r="P309" i="55"/>
  <c r="Q309" i="55"/>
  <c r="P310" i="55"/>
  <c r="Q310" i="55"/>
  <c r="P311" i="55"/>
  <c r="Q311" i="55"/>
  <c r="P312" i="55"/>
  <c r="Q312" i="55"/>
  <c r="P313" i="55"/>
  <c r="Q313" i="55"/>
  <c r="P314" i="55"/>
  <c r="Q314" i="55"/>
  <c r="P315" i="55"/>
  <c r="Q315" i="55"/>
  <c r="P316" i="55"/>
  <c r="Q316" i="55"/>
  <c r="P317" i="55"/>
  <c r="Q317" i="55"/>
  <c r="P318" i="55"/>
  <c r="Q318" i="55"/>
  <c r="P319" i="55"/>
  <c r="Q319" i="55"/>
  <c r="P320" i="55"/>
  <c r="Q320" i="55"/>
  <c r="P321" i="55"/>
  <c r="Q321" i="55"/>
  <c r="P322" i="55"/>
  <c r="Q322" i="55"/>
  <c r="P323" i="55"/>
  <c r="Q323" i="55"/>
  <c r="P324" i="55"/>
  <c r="Q324" i="55"/>
  <c r="Q7" i="55"/>
  <c r="P7" i="55"/>
  <c r="T6" i="1" l="1"/>
  <c r="X325" i="123"/>
  <c r="W325" i="123"/>
  <c r="T325" i="123"/>
  <c r="X324" i="123"/>
  <c r="W324" i="123"/>
  <c r="T324" i="123"/>
  <c r="X323" i="123"/>
  <c r="W323" i="123"/>
  <c r="T323" i="123"/>
  <c r="X322" i="123"/>
  <c r="W322" i="123"/>
  <c r="T322" i="123"/>
  <c r="X321" i="123"/>
  <c r="W321" i="123"/>
  <c r="T321" i="123"/>
  <c r="X320" i="123"/>
  <c r="W320" i="123"/>
  <c r="T320" i="123"/>
  <c r="X319" i="123"/>
  <c r="W319" i="123"/>
  <c r="T319" i="123"/>
  <c r="X318" i="123"/>
  <c r="W318" i="123"/>
  <c r="T318" i="123"/>
  <c r="X317" i="123"/>
  <c r="W317" i="123"/>
  <c r="T317" i="123"/>
  <c r="X316" i="123"/>
  <c r="W316" i="123"/>
  <c r="T316" i="123"/>
  <c r="X315" i="123"/>
  <c r="W315" i="123"/>
  <c r="T315" i="123"/>
  <c r="X314" i="123"/>
  <c r="W314" i="123"/>
  <c r="T314" i="123"/>
  <c r="X313" i="123"/>
  <c r="W313" i="123"/>
  <c r="T313" i="123"/>
  <c r="X312" i="123"/>
  <c r="W312" i="123"/>
  <c r="T312" i="123"/>
  <c r="X311" i="123"/>
  <c r="W311" i="123"/>
  <c r="T311" i="123"/>
  <c r="X310" i="123"/>
  <c r="W310" i="123"/>
  <c r="T310" i="123"/>
  <c r="X309" i="123"/>
  <c r="W309" i="123"/>
  <c r="T309" i="123"/>
  <c r="X308" i="123"/>
  <c r="W308" i="123"/>
  <c r="T308" i="123"/>
  <c r="X307" i="123"/>
  <c r="W307" i="123"/>
  <c r="T307" i="123"/>
  <c r="X306" i="123"/>
  <c r="W306" i="123"/>
  <c r="T306" i="123"/>
  <c r="X305" i="123"/>
  <c r="W305" i="123"/>
  <c r="T305" i="123"/>
  <c r="X304" i="123"/>
  <c r="W304" i="123"/>
  <c r="T304" i="123"/>
  <c r="X303" i="123"/>
  <c r="W303" i="123"/>
  <c r="T303" i="123"/>
  <c r="X302" i="123"/>
  <c r="W302" i="123"/>
  <c r="T302" i="123"/>
  <c r="X301" i="123"/>
  <c r="W301" i="123"/>
  <c r="T301" i="123"/>
  <c r="X300" i="123"/>
  <c r="W300" i="123"/>
  <c r="T300" i="123"/>
  <c r="X299" i="123"/>
  <c r="W299" i="123"/>
  <c r="T299" i="123"/>
  <c r="X298" i="123"/>
  <c r="W298" i="123"/>
  <c r="T298" i="123"/>
  <c r="X297" i="123"/>
  <c r="W297" i="123"/>
  <c r="T297" i="123"/>
  <c r="X296" i="123"/>
  <c r="W296" i="123"/>
  <c r="T296" i="123"/>
  <c r="X295" i="123"/>
  <c r="W295" i="123"/>
  <c r="T295" i="123"/>
  <c r="X294" i="123"/>
  <c r="W294" i="123"/>
  <c r="T294" i="123"/>
  <c r="X293" i="123"/>
  <c r="W293" i="123"/>
  <c r="T293" i="123"/>
  <c r="X292" i="123"/>
  <c r="W292" i="123"/>
  <c r="T292" i="123"/>
  <c r="X291" i="123"/>
  <c r="W291" i="123"/>
  <c r="T291" i="123"/>
  <c r="X290" i="123"/>
  <c r="W290" i="123"/>
  <c r="T290" i="123"/>
  <c r="X289" i="123"/>
  <c r="W289" i="123"/>
  <c r="T289" i="123"/>
  <c r="X288" i="123"/>
  <c r="W288" i="123"/>
  <c r="T288" i="123"/>
  <c r="X287" i="123"/>
  <c r="W287" i="123"/>
  <c r="T287" i="123"/>
  <c r="X286" i="123"/>
  <c r="W286" i="123"/>
  <c r="T286" i="123"/>
  <c r="X285" i="123"/>
  <c r="W285" i="123"/>
  <c r="T285" i="123"/>
  <c r="X284" i="123"/>
  <c r="W284" i="123"/>
  <c r="T284" i="123"/>
  <c r="X283" i="123"/>
  <c r="W283" i="123"/>
  <c r="T283" i="123"/>
  <c r="X282" i="123"/>
  <c r="W282" i="123"/>
  <c r="T282" i="123"/>
  <c r="X281" i="123"/>
  <c r="W281" i="123"/>
  <c r="T281" i="123"/>
  <c r="X280" i="123"/>
  <c r="W280" i="123"/>
  <c r="T280" i="123"/>
  <c r="X279" i="123"/>
  <c r="W279" i="123"/>
  <c r="T279" i="123"/>
  <c r="X278" i="123"/>
  <c r="W278" i="123"/>
  <c r="T278" i="123"/>
  <c r="X277" i="123"/>
  <c r="W277" i="123"/>
  <c r="T277" i="123"/>
  <c r="X276" i="123"/>
  <c r="W276" i="123"/>
  <c r="T276" i="123"/>
  <c r="X275" i="123"/>
  <c r="W275" i="123"/>
  <c r="T275" i="123"/>
  <c r="X274" i="123"/>
  <c r="W274" i="123"/>
  <c r="T274" i="123"/>
  <c r="X273" i="123"/>
  <c r="W273" i="123"/>
  <c r="T273" i="123"/>
  <c r="X272" i="123"/>
  <c r="W272" i="123"/>
  <c r="T272" i="123"/>
  <c r="X271" i="123"/>
  <c r="W271" i="123"/>
  <c r="T271" i="123"/>
  <c r="X270" i="123"/>
  <c r="W270" i="123"/>
  <c r="T270" i="123"/>
  <c r="X269" i="123"/>
  <c r="W269" i="123"/>
  <c r="T269" i="123"/>
  <c r="X268" i="123"/>
  <c r="W268" i="123"/>
  <c r="T268" i="123"/>
  <c r="X267" i="123"/>
  <c r="W267" i="123"/>
  <c r="T267" i="123"/>
  <c r="X266" i="123"/>
  <c r="W266" i="123"/>
  <c r="T266" i="123"/>
  <c r="X265" i="123"/>
  <c r="W265" i="123"/>
  <c r="T265" i="123"/>
  <c r="X264" i="123"/>
  <c r="W264" i="123"/>
  <c r="T264" i="123"/>
  <c r="X263" i="123"/>
  <c r="W263" i="123"/>
  <c r="T263" i="123"/>
  <c r="X262" i="123"/>
  <c r="W262" i="123"/>
  <c r="T262" i="123"/>
  <c r="X261" i="123"/>
  <c r="W261" i="123"/>
  <c r="T261" i="123"/>
  <c r="X260" i="123"/>
  <c r="W260" i="123"/>
  <c r="T260" i="123"/>
  <c r="X259" i="123"/>
  <c r="W259" i="123"/>
  <c r="T259" i="123"/>
  <c r="X258" i="123"/>
  <c r="W258" i="123"/>
  <c r="T258" i="123"/>
  <c r="X257" i="123"/>
  <c r="W257" i="123"/>
  <c r="T257" i="123"/>
  <c r="X256" i="123"/>
  <c r="W256" i="123"/>
  <c r="T256" i="123"/>
  <c r="X255" i="123"/>
  <c r="W255" i="123"/>
  <c r="T255" i="123"/>
  <c r="X254" i="123"/>
  <c r="W254" i="123"/>
  <c r="T254" i="123"/>
  <c r="X253" i="123"/>
  <c r="W253" i="123"/>
  <c r="T253" i="123"/>
  <c r="X252" i="123"/>
  <c r="W252" i="123"/>
  <c r="T252" i="123"/>
  <c r="X251" i="123"/>
  <c r="W251" i="123"/>
  <c r="T251" i="123"/>
  <c r="X250" i="123"/>
  <c r="W250" i="123"/>
  <c r="T250" i="123"/>
  <c r="X249" i="123"/>
  <c r="W249" i="123"/>
  <c r="T249" i="123"/>
  <c r="X248" i="123"/>
  <c r="W248" i="123"/>
  <c r="T248" i="123"/>
  <c r="X247" i="123"/>
  <c r="W247" i="123"/>
  <c r="T247" i="123"/>
  <c r="X246" i="123"/>
  <c r="W246" i="123"/>
  <c r="T246" i="123"/>
  <c r="X245" i="123"/>
  <c r="W245" i="123"/>
  <c r="T245" i="123"/>
  <c r="X244" i="123"/>
  <c r="W244" i="123"/>
  <c r="T244" i="123"/>
  <c r="X243" i="123"/>
  <c r="W243" i="123"/>
  <c r="T243" i="123"/>
  <c r="X242" i="123"/>
  <c r="W242" i="123"/>
  <c r="T242" i="123"/>
  <c r="X241" i="123"/>
  <c r="W241" i="123"/>
  <c r="T241" i="123"/>
  <c r="X240" i="123"/>
  <c r="W240" i="123"/>
  <c r="T240" i="123"/>
  <c r="X239" i="123"/>
  <c r="W239" i="123"/>
  <c r="T239" i="123"/>
  <c r="X238" i="123"/>
  <c r="W238" i="123"/>
  <c r="T238" i="123"/>
  <c r="X237" i="123"/>
  <c r="W237" i="123"/>
  <c r="T237" i="123"/>
  <c r="X236" i="123"/>
  <c r="W236" i="123"/>
  <c r="T236" i="123"/>
  <c r="X235" i="123"/>
  <c r="W235" i="123"/>
  <c r="T235" i="123"/>
  <c r="X234" i="123"/>
  <c r="W234" i="123"/>
  <c r="T234" i="123"/>
  <c r="X233" i="123"/>
  <c r="W233" i="123"/>
  <c r="T233" i="123"/>
  <c r="X232" i="123"/>
  <c r="W232" i="123"/>
  <c r="T232" i="123"/>
  <c r="X231" i="123"/>
  <c r="W231" i="123"/>
  <c r="T231" i="123"/>
  <c r="X230" i="123"/>
  <c r="W230" i="123"/>
  <c r="T230" i="123"/>
  <c r="X229" i="123"/>
  <c r="W229" i="123"/>
  <c r="T229" i="123"/>
  <c r="X228" i="123"/>
  <c r="W228" i="123"/>
  <c r="T228" i="123"/>
  <c r="X227" i="123"/>
  <c r="W227" i="123"/>
  <c r="T227" i="123"/>
  <c r="X226" i="123"/>
  <c r="W226" i="123"/>
  <c r="T226" i="123"/>
  <c r="X225" i="123"/>
  <c r="W225" i="123"/>
  <c r="T225" i="123"/>
  <c r="X224" i="123"/>
  <c r="W224" i="123"/>
  <c r="T224" i="123"/>
  <c r="X223" i="123"/>
  <c r="W223" i="123"/>
  <c r="T223" i="123"/>
  <c r="X222" i="123"/>
  <c r="W222" i="123"/>
  <c r="T222" i="123"/>
  <c r="X221" i="123"/>
  <c r="W221" i="123"/>
  <c r="T221" i="123"/>
  <c r="X220" i="123"/>
  <c r="W220" i="123"/>
  <c r="T220" i="123"/>
  <c r="X219" i="123"/>
  <c r="W219" i="123"/>
  <c r="T219" i="123"/>
  <c r="X218" i="123"/>
  <c r="W218" i="123"/>
  <c r="T218" i="123"/>
  <c r="X217" i="123"/>
  <c r="W217" i="123"/>
  <c r="T217" i="123"/>
  <c r="X216" i="123"/>
  <c r="W216" i="123"/>
  <c r="T216" i="123"/>
  <c r="X215" i="123"/>
  <c r="W215" i="123"/>
  <c r="T215" i="123"/>
  <c r="X214" i="123"/>
  <c r="W214" i="123"/>
  <c r="T214" i="123"/>
  <c r="X213" i="123"/>
  <c r="W213" i="123"/>
  <c r="T213" i="123"/>
  <c r="X212" i="123"/>
  <c r="W212" i="123"/>
  <c r="T212" i="123"/>
  <c r="X211" i="123"/>
  <c r="W211" i="123"/>
  <c r="T211" i="123"/>
  <c r="X210" i="123"/>
  <c r="W210" i="123"/>
  <c r="T210" i="123"/>
  <c r="X209" i="123"/>
  <c r="W209" i="123"/>
  <c r="T209" i="123"/>
  <c r="X208" i="123"/>
  <c r="W208" i="123"/>
  <c r="T208" i="123"/>
  <c r="X207" i="123"/>
  <c r="W207" i="123"/>
  <c r="T207" i="123"/>
  <c r="X206" i="123"/>
  <c r="W206" i="123"/>
  <c r="T206" i="123"/>
  <c r="X205" i="123"/>
  <c r="W205" i="123"/>
  <c r="T205" i="123"/>
  <c r="X204" i="123"/>
  <c r="W204" i="123"/>
  <c r="T204" i="123"/>
  <c r="X203" i="123"/>
  <c r="W203" i="123"/>
  <c r="T203" i="123"/>
  <c r="X202" i="123"/>
  <c r="W202" i="123"/>
  <c r="T202" i="123"/>
  <c r="X201" i="123"/>
  <c r="W201" i="123"/>
  <c r="T201" i="123"/>
  <c r="X200" i="123"/>
  <c r="W200" i="123"/>
  <c r="T200" i="123"/>
  <c r="X199" i="123"/>
  <c r="W199" i="123"/>
  <c r="T199" i="123"/>
  <c r="X198" i="123"/>
  <c r="W198" i="123"/>
  <c r="T198" i="123"/>
  <c r="X197" i="123"/>
  <c r="W197" i="123"/>
  <c r="T197" i="123"/>
  <c r="X196" i="123"/>
  <c r="W196" i="123"/>
  <c r="T196" i="123"/>
  <c r="X195" i="123"/>
  <c r="W195" i="123"/>
  <c r="T195" i="123"/>
  <c r="X194" i="123"/>
  <c r="W194" i="123"/>
  <c r="T194" i="123"/>
  <c r="X193" i="123"/>
  <c r="W193" i="123"/>
  <c r="T193" i="123"/>
  <c r="X192" i="123"/>
  <c r="W192" i="123"/>
  <c r="T192" i="123"/>
  <c r="X191" i="123"/>
  <c r="W191" i="123"/>
  <c r="T191" i="123"/>
  <c r="X190" i="123"/>
  <c r="W190" i="123"/>
  <c r="T190" i="123"/>
  <c r="X189" i="123"/>
  <c r="W189" i="123"/>
  <c r="T189" i="123"/>
  <c r="X188" i="123"/>
  <c r="W188" i="123"/>
  <c r="T188" i="123"/>
  <c r="X187" i="123"/>
  <c r="W187" i="123"/>
  <c r="T187" i="123"/>
  <c r="X186" i="123"/>
  <c r="W186" i="123"/>
  <c r="T186" i="123"/>
  <c r="X185" i="123"/>
  <c r="W185" i="123"/>
  <c r="T185" i="123"/>
  <c r="X184" i="123"/>
  <c r="W184" i="123"/>
  <c r="T184" i="123"/>
  <c r="X183" i="123"/>
  <c r="W183" i="123"/>
  <c r="T183" i="123"/>
  <c r="X182" i="123"/>
  <c r="W182" i="123"/>
  <c r="T182" i="123"/>
  <c r="X181" i="123"/>
  <c r="W181" i="123"/>
  <c r="T181" i="123"/>
  <c r="X180" i="123"/>
  <c r="W180" i="123"/>
  <c r="T180" i="123"/>
  <c r="X179" i="123"/>
  <c r="W179" i="123"/>
  <c r="T179" i="123"/>
  <c r="X178" i="123"/>
  <c r="W178" i="123"/>
  <c r="T178" i="123"/>
  <c r="X177" i="123"/>
  <c r="W177" i="123"/>
  <c r="T177" i="123"/>
  <c r="X176" i="123"/>
  <c r="W176" i="123"/>
  <c r="T176" i="123"/>
  <c r="X175" i="123"/>
  <c r="W175" i="123"/>
  <c r="T175" i="123"/>
  <c r="X174" i="123"/>
  <c r="W174" i="123"/>
  <c r="T174" i="123"/>
  <c r="X173" i="123"/>
  <c r="W173" i="123"/>
  <c r="T173" i="123"/>
  <c r="X172" i="123"/>
  <c r="W172" i="123"/>
  <c r="T172" i="123"/>
  <c r="X171" i="123"/>
  <c r="W171" i="123"/>
  <c r="T171" i="123"/>
  <c r="X170" i="123"/>
  <c r="W170" i="123"/>
  <c r="T170" i="123"/>
  <c r="X169" i="123"/>
  <c r="W169" i="123"/>
  <c r="T169" i="123"/>
  <c r="X168" i="123"/>
  <c r="W168" i="123"/>
  <c r="T168" i="123"/>
  <c r="X167" i="123"/>
  <c r="W167" i="123"/>
  <c r="T167" i="123"/>
  <c r="X166" i="123"/>
  <c r="W166" i="123"/>
  <c r="T166" i="123"/>
  <c r="X165" i="123"/>
  <c r="W165" i="123"/>
  <c r="T165" i="123"/>
  <c r="X164" i="123"/>
  <c r="W164" i="123"/>
  <c r="T164" i="123"/>
  <c r="X163" i="123"/>
  <c r="W163" i="123"/>
  <c r="T163" i="123"/>
  <c r="X162" i="123"/>
  <c r="W162" i="123"/>
  <c r="T162" i="123"/>
  <c r="X161" i="123"/>
  <c r="W161" i="123"/>
  <c r="T161" i="123"/>
  <c r="X160" i="123"/>
  <c r="W160" i="123"/>
  <c r="T160" i="123"/>
  <c r="X159" i="123"/>
  <c r="W159" i="123"/>
  <c r="T159" i="123"/>
  <c r="X158" i="123"/>
  <c r="W158" i="123"/>
  <c r="T158" i="123"/>
  <c r="X157" i="123"/>
  <c r="W157" i="123"/>
  <c r="T157" i="123"/>
  <c r="X156" i="123"/>
  <c r="W156" i="123"/>
  <c r="T156" i="123"/>
  <c r="X155" i="123"/>
  <c r="W155" i="123"/>
  <c r="T155" i="123"/>
  <c r="X154" i="123"/>
  <c r="W154" i="123"/>
  <c r="T154" i="123"/>
  <c r="X153" i="123"/>
  <c r="W153" i="123"/>
  <c r="T153" i="123"/>
  <c r="X152" i="123"/>
  <c r="W152" i="123"/>
  <c r="T152" i="123"/>
  <c r="X151" i="123"/>
  <c r="W151" i="123"/>
  <c r="T151" i="123"/>
  <c r="X150" i="123"/>
  <c r="W150" i="123"/>
  <c r="T150" i="123"/>
  <c r="X149" i="123"/>
  <c r="W149" i="123"/>
  <c r="T149" i="123"/>
  <c r="X148" i="123"/>
  <c r="W148" i="123"/>
  <c r="T148" i="123"/>
  <c r="X147" i="123"/>
  <c r="W147" i="123"/>
  <c r="T147" i="123"/>
  <c r="X146" i="123"/>
  <c r="W146" i="123"/>
  <c r="T146" i="123"/>
  <c r="X145" i="123"/>
  <c r="W145" i="123"/>
  <c r="T145" i="123"/>
  <c r="X144" i="123"/>
  <c r="W144" i="123"/>
  <c r="T144" i="123"/>
  <c r="X143" i="123"/>
  <c r="W143" i="123"/>
  <c r="T143" i="123"/>
  <c r="X142" i="123"/>
  <c r="W142" i="123"/>
  <c r="T142" i="123"/>
  <c r="X141" i="123"/>
  <c r="W141" i="123"/>
  <c r="T141" i="123"/>
  <c r="X140" i="123"/>
  <c r="W140" i="123"/>
  <c r="T140" i="123"/>
  <c r="X139" i="123"/>
  <c r="W139" i="123"/>
  <c r="T139" i="123"/>
  <c r="X138" i="123"/>
  <c r="W138" i="123"/>
  <c r="T138" i="123"/>
  <c r="X137" i="123"/>
  <c r="W137" i="123"/>
  <c r="T137" i="123"/>
  <c r="X136" i="123"/>
  <c r="W136" i="123"/>
  <c r="T136" i="123"/>
  <c r="X135" i="123"/>
  <c r="W135" i="123"/>
  <c r="T135" i="123"/>
  <c r="X134" i="123"/>
  <c r="W134" i="123"/>
  <c r="T134" i="123"/>
  <c r="X133" i="123"/>
  <c r="W133" i="123"/>
  <c r="T133" i="123"/>
  <c r="X132" i="123"/>
  <c r="W132" i="123"/>
  <c r="T132" i="123"/>
  <c r="X131" i="123"/>
  <c r="W131" i="123"/>
  <c r="T131" i="123"/>
  <c r="X130" i="123"/>
  <c r="W130" i="123"/>
  <c r="T130" i="123"/>
  <c r="X129" i="123"/>
  <c r="W129" i="123"/>
  <c r="T129" i="123"/>
  <c r="X128" i="123"/>
  <c r="W128" i="123"/>
  <c r="T128" i="123"/>
  <c r="X127" i="123"/>
  <c r="W127" i="123"/>
  <c r="T127" i="123"/>
  <c r="X126" i="123"/>
  <c r="W126" i="123"/>
  <c r="T126" i="123"/>
  <c r="X125" i="123"/>
  <c r="W125" i="123"/>
  <c r="T125" i="123"/>
  <c r="X124" i="123"/>
  <c r="W124" i="123"/>
  <c r="T124" i="123"/>
  <c r="X123" i="123"/>
  <c r="W123" i="123"/>
  <c r="T123" i="123"/>
  <c r="X122" i="123"/>
  <c r="W122" i="123"/>
  <c r="T122" i="123"/>
  <c r="X121" i="123"/>
  <c r="W121" i="123"/>
  <c r="T121" i="123"/>
  <c r="X120" i="123"/>
  <c r="W120" i="123"/>
  <c r="T120" i="123"/>
  <c r="X119" i="123"/>
  <c r="W119" i="123"/>
  <c r="T119" i="123"/>
  <c r="X118" i="123"/>
  <c r="W118" i="123"/>
  <c r="T118" i="123"/>
  <c r="X117" i="123"/>
  <c r="W117" i="123"/>
  <c r="T117" i="123"/>
  <c r="X116" i="123"/>
  <c r="W116" i="123"/>
  <c r="T116" i="123"/>
  <c r="X115" i="123"/>
  <c r="W115" i="123"/>
  <c r="T115" i="123"/>
  <c r="X114" i="123"/>
  <c r="W114" i="123"/>
  <c r="T114" i="123"/>
  <c r="X113" i="123"/>
  <c r="W113" i="123"/>
  <c r="T113" i="123"/>
  <c r="X112" i="123"/>
  <c r="W112" i="123"/>
  <c r="T112" i="123"/>
  <c r="X111" i="123"/>
  <c r="W111" i="123"/>
  <c r="T111" i="123"/>
  <c r="X110" i="123"/>
  <c r="W110" i="123"/>
  <c r="T110" i="123"/>
  <c r="X109" i="123"/>
  <c r="W109" i="123"/>
  <c r="T109" i="123"/>
  <c r="X108" i="123"/>
  <c r="W108" i="123"/>
  <c r="T108" i="123"/>
  <c r="X107" i="123"/>
  <c r="W107" i="123"/>
  <c r="T107" i="123"/>
  <c r="X106" i="123"/>
  <c r="W106" i="123"/>
  <c r="T106" i="123"/>
  <c r="X105" i="123"/>
  <c r="W105" i="123"/>
  <c r="T105" i="123"/>
  <c r="X104" i="123"/>
  <c r="W104" i="123"/>
  <c r="T104" i="123"/>
  <c r="X103" i="123"/>
  <c r="W103" i="123"/>
  <c r="T103" i="123"/>
  <c r="X102" i="123"/>
  <c r="W102" i="123"/>
  <c r="T102" i="123"/>
  <c r="X101" i="123"/>
  <c r="W101" i="123"/>
  <c r="T101" i="123"/>
  <c r="X100" i="123"/>
  <c r="W100" i="123"/>
  <c r="T100" i="123"/>
  <c r="X99" i="123"/>
  <c r="W99" i="123"/>
  <c r="T99" i="123"/>
  <c r="X98" i="123"/>
  <c r="W98" i="123"/>
  <c r="T98" i="123"/>
  <c r="X97" i="123"/>
  <c r="W97" i="123"/>
  <c r="T97" i="123"/>
  <c r="X96" i="123"/>
  <c r="W96" i="123"/>
  <c r="T96" i="123"/>
  <c r="X95" i="123"/>
  <c r="W95" i="123"/>
  <c r="T95" i="123"/>
  <c r="X94" i="123"/>
  <c r="W94" i="123"/>
  <c r="T94" i="123"/>
  <c r="X93" i="123"/>
  <c r="W93" i="123"/>
  <c r="T93" i="123"/>
  <c r="X92" i="123"/>
  <c r="W92" i="123"/>
  <c r="T92" i="123"/>
  <c r="X91" i="123"/>
  <c r="W91" i="123"/>
  <c r="T91" i="123"/>
  <c r="X90" i="123"/>
  <c r="W90" i="123"/>
  <c r="T90" i="123"/>
  <c r="X89" i="123"/>
  <c r="W89" i="123"/>
  <c r="T89" i="123"/>
  <c r="X88" i="123"/>
  <c r="W88" i="123"/>
  <c r="T88" i="123"/>
  <c r="X87" i="123"/>
  <c r="W87" i="123"/>
  <c r="T87" i="123"/>
  <c r="X86" i="123"/>
  <c r="W86" i="123"/>
  <c r="T86" i="123"/>
  <c r="X85" i="123"/>
  <c r="W85" i="123"/>
  <c r="T85" i="123"/>
  <c r="X84" i="123"/>
  <c r="W84" i="123"/>
  <c r="T84" i="123"/>
  <c r="X83" i="123"/>
  <c r="W83" i="123"/>
  <c r="T83" i="123"/>
  <c r="X82" i="123"/>
  <c r="W82" i="123"/>
  <c r="T82" i="123"/>
  <c r="X81" i="123"/>
  <c r="W81" i="123"/>
  <c r="T81" i="123"/>
  <c r="X80" i="123"/>
  <c r="W80" i="123"/>
  <c r="T80" i="123"/>
  <c r="X79" i="123"/>
  <c r="W79" i="123"/>
  <c r="T79" i="123"/>
  <c r="X78" i="123"/>
  <c r="W78" i="123"/>
  <c r="T78" i="123"/>
  <c r="X77" i="123"/>
  <c r="W77" i="123"/>
  <c r="T77" i="123"/>
  <c r="X76" i="123"/>
  <c r="W76" i="123"/>
  <c r="T76" i="123"/>
  <c r="X75" i="123"/>
  <c r="W75" i="123"/>
  <c r="T75" i="123"/>
  <c r="X74" i="123"/>
  <c r="W74" i="123"/>
  <c r="T74" i="123"/>
  <c r="X73" i="123"/>
  <c r="W73" i="123"/>
  <c r="T73" i="123"/>
  <c r="X72" i="123"/>
  <c r="W72" i="123"/>
  <c r="T72" i="123"/>
  <c r="X71" i="123"/>
  <c r="W71" i="123"/>
  <c r="T71" i="123"/>
  <c r="X70" i="123"/>
  <c r="W70" i="123"/>
  <c r="T70" i="123"/>
  <c r="X69" i="123"/>
  <c r="W69" i="123"/>
  <c r="T69" i="123"/>
  <c r="X68" i="123"/>
  <c r="W68" i="123"/>
  <c r="T68" i="123"/>
  <c r="X67" i="123"/>
  <c r="W67" i="123"/>
  <c r="T67" i="123"/>
  <c r="X66" i="123"/>
  <c r="W66" i="123"/>
  <c r="T66" i="123"/>
  <c r="X65" i="123"/>
  <c r="W65" i="123"/>
  <c r="T65" i="123"/>
  <c r="X64" i="123"/>
  <c r="W64" i="123"/>
  <c r="T64" i="123"/>
  <c r="X63" i="123"/>
  <c r="W63" i="123"/>
  <c r="T63" i="123"/>
  <c r="X62" i="123"/>
  <c r="W62" i="123"/>
  <c r="T62" i="123"/>
  <c r="X61" i="123"/>
  <c r="W61" i="123"/>
  <c r="T61" i="123"/>
  <c r="X60" i="123"/>
  <c r="W60" i="123"/>
  <c r="T60" i="123"/>
  <c r="X59" i="123"/>
  <c r="W59" i="123"/>
  <c r="T59" i="123"/>
  <c r="X58" i="123"/>
  <c r="W58" i="123"/>
  <c r="T58" i="123"/>
  <c r="X57" i="123"/>
  <c r="W57" i="123"/>
  <c r="T57" i="123"/>
  <c r="X56" i="123"/>
  <c r="W56" i="123"/>
  <c r="T56" i="123"/>
  <c r="X55" i="123"/>
  <c r="W55" i="123"/>
  <c r="T55" i="123"/>
  <c r="X54" i="123"/>
  <c r="W54" i="123"/>
  <c r="T54" i="123"/>
  <c r="X53" i="123"/>
  <c r="W53" i="123"/>
  <c r="T53" i="123"/>
  <c r="X52" i="123"/>
  <c r="W52" i="123"/>
  <c r="T52" i="123"/>
  <c r="X51" i="123"/>
  <c r="W51" i="123"/>
  <c r="T51" i="123"/>
  <c r="X50" i="123"/>
  <c r="W50" i="123"/>
  <c r="T50" i="123"/>
  <c r="X49" i="123"/>
  <c r="W49" i="123"/>
  <c r="T49" i="123"/>
  <c r="X48" i="123"/>
  <c r="W48" i="123"/>
  <c r="T48" i="123"/>
  <c r="X47" i="123"/>
  <c r="W47" i="123"/>
  <c r="T47" i="123"/>
  <c r="X46" i="123"/>
  <c r="W46" i="123"/>
  <c r="T46" i="123"/>
  <c r="X45" i="123"/>
  <c r="W45" i="123"/>
  <c r="T45" i="123"/>
  <c r="X44" i="123"/>
  <c r="W44" i="123"/>
  <c r="T44" i="123"/>
  <c r="X43" i="123"/>
  <c r="W43" i="123"/>
  <c r="T43" i="123"/>
  <c r="X42" i="123"/>
  <c r="W42" i="123"/>
  <c r="T42" i="123"/>
  <c r="X41" i="123"/>
  <c r="W41" i="123"/>
  <c r="T41" i="123"/>
  <c r="X40" i="123"/>
  <c r="W40" i="123"/>
  <c r="T40" i="123"/>
  <c r="X39" i="123"/>
  <c r="W39" i="123"/>
  <c r="T39" i="123"/>
  <c r="X38" i="123"/>
  <c r="W38" i="123"/>
  <c r="T38" i="123"/>
  <c r="X37" i="123"/>
  <c r="W37" i="123"/>
  <c r="T37" i="123"/>
  <c r="X36" i="123"/>
  <c r="W36" i="123"/>
  <c r="T36" i="123"/>
  <c r="X35" i="123"/>
  <c r="W35" i="123"/>
  <c r="T35" i="123"/>
  <c r="X34" i="123"/>
  <c r="W34" i="123"/>
  <c r="T34" i="123"/>
  <c r="X33" i="123"/>
  <c r="W33" i="123"/>
  <c r="T33" i="123"/>
  <c r="X32" i="123"/>
  <c r="W32" i="123"/>
  <c r="T32" i="123"/>
  <c r="X31" i="123"/>
  <c r="W31" i="123"/>
  <c r="T31" i="123"/>
  <c r="X30" i="123"/>
  <c r="W30" i="123"/>
  <c r="T30" i="123"/>
  <c r="X29" i="123"/>
  <c r="W29" i="123"/>
  <c r="T29" i="123"/>
  <c r="X28" i="123"/>
  <c r="W28" i="123"/>
  <c r="T28" i="123"/>
  <c r="X27" i="123"/>
  <c r="W27" i="123"/>
  <c r="T27" i="123"/>
  <c r="X26" i="123"/>
  <c r="W26" i="123"/>
  <c r="T26" i="123"/>
  <c r="X25" i="123"/>
  <c r="W25" i="123"/>
  <c r="T25" i="123"/>
  <c r="X24" i="123"/>
  <c r="W24" i="123"/>
  <c r="T24" i="123"/>
  <c r="X23" i="123"/>
  <c r="W23" i="123"/>
  <c r="T23" i="123"/>
  <c r="X22" i="123"/>
  <c r="W22" i="123"/>
  <c r="T22" i="123"/>
  <c r="X21" i="123"/>
  <c r="W21" i="123"/>
  <c r="T21" i="123"/>
  <c r="X20" i="123"/>
  <c r="W20" i="123"/>
  <c r="T20" i="123"/>
  <c r="X19" i="123"/>
  <c r="W19" i="123"/>
  <c r="T19" i="123"/>
  <c r="X18" i="123"/>
  <c r="W18" i="123"/>
  <c r="T18" i="123"/>
  <c r="X17" i="123"/>
  <c r="W17" i="123"/>
  <c r="T17" i="123"/>
  <c r="X16" i="123"/>
  <c r="W16" i="123"/>
  <c r="T16" i="123"/>
  <c r="X15" i="123"/>
  <c r="W15" i="123"/>
  <c r="T15" i="123"/>
  <c r="X14" i="123"/>
  <c r="W14" i="123"/>
  <c r="T14" i="123"/>
  <c r="X13" i="123"/>
  <c r="W13" i="123"/>
  <c r="T13" i="123"/>
  <c r="X12" i="123"/>
  <c r="W12" i="123"/>
  <c r="T12" i="123"/>
  <c r="X11" i="123"/>
  <c r="W11" i="123"/>
  <c r="T11" i="123"/>
  <c r="X10" i="123"/>
  <c r="W10" i="123"/>
  <c r="T10" i="123"/>
  <c r="X9" i="123"/>
  <c r="W9" i="123"/>
  <c r="T9" i="123"/>
  <c r="X8" i="123"/>
  <c r="W8" i="123"/>
  <c r="T8" i="123"/>
  <c r="AD6" i="123"/>
  <c r="AC6" i="123"/>
  <c r="AB6" i="123"/>
  <c r="AA6" i="123"/>
  <c r="Z6" i="123"/>
  <c r="Y6" i="123"/>
  <c r="V6" i="123"/>
  <c r="U6" i="123"/>
  <c r="S6" i="123"/>
  <c r="R6" i="123"/>
  <c r="Q6" i="123"/>
  <c r="P6" i="123"/>
  <c r="O6" i="123"/>
  <c r="N6" i="123"/>
  <c r="M6" i="123"/>
  <c r="L6" i="123"/>
  <c r="K6" i="123"/>
  <c r="J6" i="123"/>
  <c r="I6" i="123"/>
  <c r="H6" i="123"/>
  <c r="G6" i="123"/>
  <c r="F6" i="123"/>
  <c r="E6" i="123"/>
  <c r="D6" i="123"/>
  <c r="C6" i="123"/>
  <c r="B1" i="123"/>
  <c r="C1" i="123" s="1"/>
  <c r="D1" i="123" s="1"/>
  <c r="E1" i="123" s="1"/>
  <c r="F1" i="123" s="1"/>
  <c r="G1" i="123" s="1"/>
  <c r="H1" i="123" s="1"/>
  <c r="I1" i="123" s="1"/>
  <c r="J1" i="123" s="1"/>
  <c r="K1" i="123" s="1"/>
  <c r="L1" i="123" s="1"/>
  <c r="M1" i="123" s="1"/>
  <c r="N1" i="123" s="1"/>
  <c r="O1" i="123" s="1"/>
  <c r="P1" i="123" s="1"/>
  <c r="Q1" i="123" s="1"/>
  <c r="R1" i="123" s="1"/>
  <c r="S1" i="123" s="1"/>
  <c r="T1" i="123" s="1"/>
  <c r="U1" i="123" s="1"/>
  <c r="V1" i="123" s="1"/>
  <c r="W1" i="123" s="1"/>
  <c r="X1" i="123" s="1"/>
  <c r="Y1" i="123" s="1"/>
  <c r="Z1" i="123" s="1"/>
  <c r="AA1" i="123" s="1"/>
  <c r="AB1" i="123" s="1"/>
  <c r="AC1" i="123" s="1"/>
  <c r="AD1" i="123" s="1"/>
  <c r="X325" i="122"/>
  <c r="W325" i="122"/>
  <c r="T325" i="122"/>
  <c r="X324" i="122"/>
  <c r="W324" i="122"/>
  <c r="T324" i="122"/>
  <c r="X323" i="122"/>
  <c r="W323" i="122"/>
  <c r="T323" i="122"/>
  <c r="X322" i="122"/>
  <c r="W322" i="122"/>
  <c r="T322" i="122"/>
  <c r="X321" i="122"/>
  <c r="W321" i="122"/>
  <c r="T321" i="122"/>
  <c r="X320" i="122"/>
  <c r="W320" i="122"/>
  <c r="T320" i="122"/>
  <c r="X319" i="122"/>
  <c r="W319" i="122"/>
  <c r="T319" i="122"/>
  <c r="X318" i="122"/>
  <c r="W318" i="122"/>
  <c r="T318" i="122"/>
  <c r="X317" i="122"/>
  <c r="W317" i="122"/>
  <c r="T317" i="122"/>
  <c r="X316" i="122"/>
  <c r="W316" i="122"/>
  <c r="T316" i="122"/>
  <c r="X315" i="122"/>
  <c r="W315" i="122"/>
  <c r="T315" i="122"/>
  <c r="X314" i="122"/>
  <c r="W314" i="122"/>
  <c r="T314" i="122"/>
  <c r="X313" i="122"/>
  <c r="W313" i="122"/>
  <c r="T313" i="122"/>
  <c r="X312" i="122"/>
  <c r="W312" i="122"/>
  <c r="T312" i="122"/>
  <c r="X311" i="122"/>
  <c r="W311" i="122"/>
  <c r="T311" i="122"/>
  <c r="X310" i="122"/>
  <c r="W310" i="122"/>
  <c r="T310" i="122"/>
  <c r="X309" i="122"/>
  <c r="W309" i="122"/>
  <c r="T309" i="122"/>
  <c r="X308" i="122"/>
  <c r="W308" i="122"/>
  <c r="T308" i="122"/>
  <c r="X307" i="122"/>
  <c r="W307" i="122"/>
  <c r="T307" i="122"/>
  <c r="X306" i="122"/>
  <c r="W306" i="122"/>
  <c r="T306" i="122"/>
  <c r="X305" i="122"/>
  <c r="W305" i="122"/>
  <c r="T305" i="122"/>
  <c r="X304" i="122"/>
  <c r="W304" i="122"/>
  <c r="T304" i="122"/>
  <c r="X303" i="122"/>
  <c r="W303" i="122"/>
  <c r="T303" i="122"/>
  <c r="X302" i="122"/>
  <c r="W302" i="122"/>
  <c r="T302" i="122"/>
  <c r="X301" i="122"/>
  <c r="W301" i="122"/>
  <c r="T301" i="122"/>
  <c r="X300" i="122"/>
  <c r="W300" i="122"/>
  <c r="T300" i="122"/>
  <c r="X299" i="122"/>
  <c r="W299" i="122"/>
  <c r="T299" i="122"/>
  <c r="X298" i="122"/>
  <c r="W298" i="122"/>
  <c r="T298" i="122"/>
  <c r="X297" i="122"/>
  <c r="W297" i="122"/>
  <c r="T297" i="122"/>
  <c r="X296" i="122"/>
  <c r="W296" i="122"/>
  <c r="T296" i="122"/>
  <c r="X295" i="122"/>
  <c r="W295" i="122"/>
  <c r="T295" i="122"/>
  <c r="X294" i="122"/>
  <c r="W294" i="122"/>
  <c r="T294" i="122"/>
  <c r="X293" i="122"/>
  <c r="W293" i="122"/>
  <c r="T293" i="122"/>
  <c r="X292" i="122"/>
  <c r="W292" i="122"/>
  <c r="T292" i="122"/>
  <c r="X291" i="122"/>
  <c r="W291" i="122"/>
  <c r="T291" i="122"/>
  <c r="X290" i="122"/>
  <c r="W290" i="122"/>
  <c r="T290" i="122"/>
  <c r="X289" i="122"/>
  <c r="W289" i="122"/>
  <c r="T289" i="122"/>
  <c r="X288" i="122"/>
  <c r="W288" i="122"/>
  <c r="T288" i="122"/>
  <c r="X287" i="122"/>
  <c r="W287" i="122"/>
  <c r="T287" i="122"/>
  <c r="X286" i="122"/>
  <c r="W286" i="122"/>
  <c r="T286" i="122"/>
  <c r="X285" i="122"/>
  <c r="W285" i="122"/>
  <c r="T285" i="122"/>
  <c r="X284" i="122"/>
  <c r="W284" i="122"/>
  <c r="T284" i="122"/>
  <c r="X283" i="122"/>
  <c r="W283" i="122"/>
  <c r="T283" i="122"/>
  <c r="X282" i="122"/>
  <c r="W282" i="122"/>
  <c r="T282" i="122"/>
  <c r="X281" i="122"/>
  <c r="W281" i="122"/>
  <c r="T281" i="122"/>
  <c r="X280" i="122"/>
  <c r="W280" i="122"/>
  <c r="T280" i="122"/>
  <c r="X279" i="122"/>
  <c r="W279" i="122"/>
  <c r="T279" i="122"/>
  <c r="X278" i="122"/>
  <c r="W278" i="122"/>
  <c r="T278" i="122"/>
  <c r="X277" i="122"/>
  <c r="W277" i="122"/>
  <c r="T277" i="122"/>
  <c r="X276" i="122"/>
  <c r="W276" i="122"/>
  <c r="T276" i="122"/>
  <c r="X275" i="122"/>
  <c r="W275" i="122"/>
  <c r="T275" i="122"/>
  <c r="X274" i="122"/>
  <c r="W274" i="122"/>
  <c r="T274" i="122"/>
  <c r="X273" i="122"/>
  <c r="W273" i="122"/>
  <c r="T273" i="122"/>
  <c r="X272" i="122"/>
  <c r="W272" i="122"/>
  <c r="T272" i="122"/>
  <c r="X271" i="122"/>
  <c r="W271" i="122"/>
  <c r="T271" i="122"/>
  <c r="X270" i="122"/>
  <c r="W270" i="122"/>
  <c r="T270" i="122"/>
  <c r="X269" i="122"/>
  <c r="W269" i="122"/>
  <c r="T269" i="122"/>
  <c r="X268" i="122"/>
  <c r="W268" i="122"/>
  <c r="T268" i="122"/>
  <c r="X267" i="122"/>
  <c r="W267" i="122"/>
  <c r="T267" i="122"/>
  <c r="X266" i="122"/>
  <c r="W266" i="122"/>
  <c r="T266" i="122"/>
  <c r="X265" i="122"/>
  <c r="W265" i="122"/>
  <c r="T265" i="122"/>
  <c r="X264" i="122"/>
  <c r="W264" i="122"/>
  <c r="T264" i="122"/>
  <c r="X263" i="122"/>
  <c r="W263" i="122"/>
  <c r="T263" i="122"/>
  <c r="X262" i="122"/>
  <c r="W262" i="122"/>
  <c r="T262" i="122"/>
  <c r="X261" i="122"/>
  <c r="W261" i="122"/>
  <c r="T261" i="122"/>
  <c r="X260" i="122"/>
  <c r="W260" i="122"/>
  <c r="T260" i="122"/>
  <c r="X259" i="122"/>
  <c r="W259" i="122"/>
  <c r="T259" i="122"/>
  <c r="X258" i="122"/>
  <c r="W258" i="122"/>
  <c r="T258" i="122"/>
  <c r="X257" i="122"/>
  <c r="W257" i="122"/>
  <c r="T257" i="122"/>
  <c r="X256" i="122"/>
  <c r="W256" i="122"/>
  <c r="T256" i="122"/>
  <c r="X255" i="122"/>
  <c r="W255" i="122"/>
  <c r="T255" i="122"/>
  <c r="X254" i="122"/>
  <c r="W254" i="122"/>
  <c r="T254" i="122"/>
  <c r="X253" i="122"/>
  <c r="W253" i="122"/>
  <c r="T253" i="122"/>
  <c r="X252" i="122"/>
  <c r="W252" i="122"/>
  <c r="T252" i="122"/>
  <c r="X251" i="122"/>
  <c r="W251" i="122"/>
  <c r="T251" i="122"/>
  <c r="X250" i="122"/>
  <c r="W250" i="122"/>
  <c r="T250" i="122"/>
  <c r="X249" i="122"/>
  <c r="W249" i="122"/>
  <c r="T249" i="122"/>
  <c r="X248" i="122"/>
  <c r="W248" i="122"/>
  <c r="T248" i="122"/>
  <c r="X247" i="122"/>
  <c r="W247" i="122"/>
  <c r="T247" i="122"/>
  <c r="X246" i="122"/>
  <c r="W246" i="122"/>
  <c r="T246" i="122"/>
  <c r="X245" i="122"/>
  <c r="W245" i="122"/>
  <c r="T245" i="122"/>
  <c r="X244" i="122"/>
  <c r="W244" i="122"/>
  <c r="T244" i="122"/>
  <c r="X243" i="122"/>
  <c r="W243" i="122"/>
  <c r="T243" i="122"/>
  <c r="X242" i="122"/>
  <c r="W242" i="122"/>
  <c r="T242" i="122"/>
  <c r="X241" i="122"/>
  <c r="W241" i="122"/>
  <c r="T241" i="122"/>
  <c r="X240" i="122"/>
  <c r="W240" i="122"/>
  <c r="T240" i="122"/>
  <c r="X239" i="122"/>
  <c r="W239" i="122"/>
  <c r="T239" i="122"/>
  <c r="X238" i="122"/>
  <c r="W238" i="122"/>
  <c r="T238" i="122"/>
  <c r="X237" i="122"/>
  <c r="W237" i="122"/>
  <c r="T237" i="122"/>
  <c r="X236" i="122"/>
  <c r="W236" i="122"/>
  <c r="T236" i="122"/>
  <c r="X235" i="122"/>
  <c r="W235" i="122"/>
  <c r="T235" i="122"/>
  <c r="X234" i="122"/>
  <c r="W234" i="122"/>
  <c r="T234" i="122"/>
  <c r="X233" i="122"/>
  <c r="W233" i="122"/>
  <c r="T233" i="122"/>
  <c r="X232" i="122"/>
  <c r="W232" i="122"/>
  <c r="T232" i="122"/>
  <c r="X231" i="122"/>
  <c r="W231" i="122"/>
  <c r="T231" i="122"/>
  <c r="X230" i="122"/>
  <c r="W230" i="122"/>
  <c r="T230" i="122"/>
  <c r="X229" i="122"/>
  <c r="W229" i="122"/>
  <c r="T229" i="122"/>
  <c r="X228" i="122"/>
  <c r="W228" i="122"/>
  <c r="T228" i="122"/>
  <c r="X227" i="122"/>
  <c r="W227" i="122"/>
  <c r="T227" i="122"/>
  <c r="X226" i="122"/>
  <c r="W226" i="122"/>
  <c r="T226" i="122"/>
  <c r="X225" i="122"/>
  <c r="W225" i="122"/>
  <c r="T225" i="122"/>
  <c r="X224" i="122"/>
  <c r="W224" i="122"/>
  <c r="T224" i="122"/>
  <c r="X223" i="122"/>
  <c r="W223" i="122"/>
  <c r="T223" i="122"/>
  <c r="X222" i="122"/>
  <c r="W222" i="122"/>
  <c r="T222" i="122"/>
  <c r="X221" i="122"/>
  <c r="W221" i="122"/>
  <c r="T221" i="122"/>
  <c r="X220" i="122"/>
  <c r="W220" i="122"/>
  <c r="T220" i="122"/>
  <c r="X219" i="122"/>
  <c r="W219" i="122"/>
  <c r="T219" i="122"/>
  <c r="X218" i="122"/>
  <c r="W218" i="122"/>
  <c r="T218" i="122"/>
  <c r="X217" i="122"/>
  <c r="W217" i="122"/>
  <c r="T217" i="122"/>
  <c r="X216" i="122"/>
  <c r="W216" i="122"/>
  <c r="T216" i="122"/>
  <c r="X215" i="122"/>
  <c r="W215" i="122"/>
  <c r="T215" i="122"/>
  <c r="X214" i="122"/>
  <c r="W214" i="122"/>
  <c r="T214" i="122"/>
  <c r="X213" i="122"/>
  <c r="W213" i="122"/>
  <c r="T213" i="122"/>
  <c r="X212" i="122"/>
  <c r="W212" i="122"/>
  <c r="T212" i="122"/>
  <c r="X211" i="122"/>
  <c r="W211" i="122"/>
  <c r="T211" i="122"/>
  <c r="X210" i="122"/>
  <c r="W210" i="122"/>
  <c r="T210" i="122"/>
  <c r="X209" i="122"/>
  <c r="W209" i="122"/>
  <c r="T209" i="122"/>
  <c r="X208" i="122"/>
  <c r="W208" i="122"/>
  <c r="T208" i="122"/>
  <c r="X207" i="122"/>
  <c r="W207" i="122"/>
  <c r="T207" i="122"/>
  <c r="X206" i="122"/>
  <c r="W206" i="122"/>
  <c r="T206" i="122"/>
  <c r="X205" i="122"/>
  <c r="W205" i="122"/>
  <c r="T205" i="122"/>
  <c r="X204" i="122"/>
  <c r="W204" i="122"/>
  <c r="T204" i="122"/>
  <c r="X203" i="122"/>
  <c r="W203" i="122"/>
  <c r="T203" i="122"/>
  <c r="X202" i="122"/>
  <c r="W202" i="122"/>
  <c r="T202" i="122"/>
  <c r="X201" i="122"/>
  <c r="W201" i="122"/>
  <c r="T201" i="122"/>
  <c r="X200" i="122"/>
  <c r="W200" i="122"/>
  <c r="T200" i="122"/>
  <c r="X199" i="122"/>
  <c r="W199" i="122"/>
  <c r="T199" i="122"/>
  <c r="X198" i="122"/>
  <c r="W198" i="122"/>
  <c r="T198" i="122"/>
  <c r="X197" i="122"/>
  <c r="W197" i="122"/>
  <c r="T197" i="122"/>
  <c r="X196" i="122"/>
  <c r="W196" i="122"/>
  <c r="T196" i="122"/>
  <c r="X195" i="122"/>
  <c r="W195" i="122"/>
  <c r="T195" i="122"/>
  <c r="X194" i="122"/>
  <c r="W194" i="122"/>
  <c r="T194" i="122"/>
  <c r="X193" i="122"/>
  <c r="W193" i="122"/>
  <c r="T193" i="122"/>
  <c r="X192" i="122"/>
  <c r="W192" i="122"/>
  <c r="T192" i="122"/>
  <c r="X191" i="122"/>
  <c r="W191" i="122"/>
  <c r="T191" i="122"/>
  <c r="X190" i="122"/>
  <c r="W190" i="122"/>
  <c r="T190" i="122"/>
  <c r="X189" i="122"/>
  <c r="W189" i="122"/>
  <c r="T189" i="122"/>
  <c r="X188" i="122"/>
  <c r="W188" i="122"/>
  <c r="T188" i="122"/>
  <c r="X187" i="122"/>
  <c r="W187" i="122"/>
  <c r="T187" i="122"/>
  <c r="X186" i="122"/>
  <c r="W186" i="122"/>
  <c r="T186" i="122"/>
  <c r="X185" i="122"/>
  <c r="W185" i="122"/>
  <c r="T185" i="122"/>
  <c r="X184" i="122"/>
  <c r="W184" i="122"/>
  <c r="T184" i="122"/>
  <c r="X183" i="122"/>
  <c r="W183" i="122"/>
  <c r="T183" i="122"/>
  <c r="X182" i="122"/>
  <c r="W182" i="122"/>
  <c r="T182" i="122"/>
  <c r="X181" i="122"/>
  <c r="W181" i="122"/>
  <c r="T181" i="122"/>
  <c r="X180" i="122"/>
  <c r="W180" i="122"/>
  <c r="T180" i="122"/>
  <c r="X179" i="122"/>
  <c r="W179" i="122"/>
  <c r="T179" i="122"/>
  <c r="X178" i="122"/>
  <c r="W178" i="122"/>
  <c r="T178" i="122"/>
  <c r="X177" i="122"/>
  <c r="W177" i="122"/>
  <c r="T177" i="122"/>
  <c r="X176" i="122"/>
  <c r="W176" i="122"/>
  <c r="T176" i="122"/>
  <c r="X175" i="122"/>
  <c r="W175" i="122"/>
  <c r="T175" i="122"/>
  <c r="X174" i="122"/>
  <c r="W174" i="122"/>
  <c r="T174" i="122"/>
  <c r="X173" i="122"/>
  <c r="W173" i="122"/>
  <c r="T173" i="122"/>
  <c r="X172" i="122"/>
  <c r="W172" i="122"/>
  <c r="T172" i="122"/>
  <c r="X171" i="122"/>
  <c r="W171" i="122"/>
  <c r="T171" i="122"/>
  <c r="X170" i="122"/>
  <c r="W170" i="122"/>
  <c r="T170" i="122"/>
  <c r="X169" i="122"/>
  <c r="W169" i="122"/>
  <c r="T169" i="122"/>
  <c r="X168" i="122"/>
  <c r="W168" i="122"/>
  <c r="T168" i="122"/>
  <c r="X167" i="122"/>
  <c r="W167" i="122"/>
  <c r="T167" i="122"/>
  <c r="X166" i="122"/>
  <c r="W166" i="122"/>
  <c r="T166" i="122"/>
  <c r="X165" i="122"/>
  <c r="W165" i="122"/>
  <c r="T165" i="122"/>
  <c r="X164" i="122"/>
  <c r="W164" i="122"/>
  <c r="T164" i="122"/>
  <c r="X163" i="122"/>
  <c r="W163" i="122"/>
  <c r="T163" i="122"/>
  <c r="X162" i="122"/>
  <c r="W162" i="122"/>
  <c r="T162" i="122"/>
  <c r="X161" i="122"/>
  <c r="W161" i="122"/>
  <c r="T161" i="122"/>
  <c r="X160" i="122"/>
  <c r="W160" i="122"/>
  <c r="T160" i="122"/>
  <c r="X159" i="122"/>
  <c r="W159" i="122"/>
  <c r="T159" i="122"/>
  <c r="X158" i="122"/>
  <c r="W158" i="122"/>
  <c r="T158" i="122"/>
  <c r="X157" i="122"/>
  <c r="W157" i="122"/>
  <c r="T157" i="122"/>
  <c r="X156" i="122"/>
  <c r="W156" i="122"/>
  <c r="T156" i="122"/>
  <c r="X155" i="122"/>
  <c r="W155" i="122"/>
  <c r="T155" i="122"/>
  <c r="X154" i="122"/>
  <c r="W154" i="122"/>
  <c r="T154" i="122"/>
  <c r="X153" i="122"/>
  <c r="W153" i="122"/>
  <c r="T153" i="122"/>
  <c r="X152" i="122"/>
  <c r="W152" i="122"/>
  <c r="T152" i="122"/>
  <c r="X151" i="122"/>
  <c r="W151" i="122"/>
  <c r="T151" i="122"/>
  <c r="X150" i="122"/>
  <c r="W150" i="122"/>
  <c r="T150" i="122"/>
  <c r="X149" i="122"/>
  <c r="W149" i="122"/>
  <c r="T149" i="122"/>
  <c r="X148" i="122"/>
  <c r="W148" i="122"/>
  <c r="T148" i="122"/>
  <c r="X147" i="122"/>
  <c r="W147" i="122"/>
  <c r="T147" i="122"/>
  <c r="X146" i="122"/>
  <c r="W146" i="122"/>
  <c r="T146" i="122"/>
  <c r="X145" i="122"/>
  <c r="W145" i="122"/>
  <c r="T145" i="122"/>
  <c r="X144" i="122"/>
  <c r="W144" i="122"/>
  <c r="T144" i="122"/>
  <c r="X143" i="122"/>
  <c r="W143" i="122"/>
  <c r="T143" i="122"/>
  <c r="X142" i="122"/>
  <c r="W142" i="122"/>
  <c r="T142" i="122"/>
  <c r="X141" i="122"/>
  <c r="W141" i="122"/>
  <c r="T141" i="122"/>
  <c r="X140" i="122"/>
  <c r="W140" i="122"/>
  <c r="T140" i="122"/>
  <c r="X139" i="122"/>
  <c r="W139" i="122"/>
  <c r="T139" i="122"/>
  <c r="X138" i="122"/>
  <c r="W138" i="122"/>
  <c r="T138" i="122"/>
  <c r="X137" i="122"/>
  <c r="W137" i="122"/>
  <c r="T137" i="122"/>
  <c r="X136" i="122"/>
  <c r="W136" i="122"/>
  <c r="T136" i="122"/>
  <c r="X135" i="122"/>
  <c r="W135" i="122"/>
  <c r="T135" i="122"/>
  <c r="X134" i="122"/>
  <c r="W134" i="122"/>
  <c r="T134" i="122"/>
  <c r="X133" i="122"/>
  <c r="W133" i="122"/>
  <c r="T133" i="122"/>
  <c r="X132" i="122"/>
  <c r="W132" i="122"/>
  <c r="T132" i="122"/>
  <c r="X131" i="122"/>
  <c r="W131" i="122"/>
  <c r="T131" i="122"/>
  <c r="X130" i="122"/>
  <c r="W130" i="122"/>
  <c r="T130" i="122"/>
  <c r="X129" i="122"/>
  <c r="W129" i="122"/>
  <c r="T129" i="122"/>
  <c r="X128" i="122"/>
  <c r="W128" i="122"/>
  <c r="T128" i="122"/>
  <c r="X127" i="122"/>
  <c r="W127" i="122"/>
  <c r="T127" i="122"/>
  <c r="X126" i="122"/>
  <c r="W126" i="122"/>
  <c r="T126" i="122"/>
  <c r="X125" i="122"/>
  <c r="W125" i="122"/>
  <c r="T125" i="122"/>
  <c r="X124" i="122"/>
  <c r="W124" i="122"/>
  <c r="T124" i="122"/>
  <c r="X123" i="122"/>
  <c r="W123" i="122"/>
  <c r="T123" i="122"/>
  <c r="X122" i="122"/>
  <c r="W122" i="122"/>
  <c r="T122" i="122"/>
  <c r="X121" i="122"/>
  <c r="W121" i="122"/>
  <c r="T121" i="122"/>
  <c r="X120" i="122"/>
  <c r="W120" i="122"/>
  <c r="T120" i="122"/>
  <c r="X119" i="122"/>
  <c r="W119" i="122"/>
  <c r="T119" i="122"/>
  <c r="X118" i="122"/>
  <c r="W118" i="122"/>
  <c r="T118" i="122"/>
  <c r="X117" i="122"/>
  <c r="W117" i="122"/>
  <c r="T117" i="122"/>
  <c r="X116" i="122"/>
  <c r="W116" i="122"/>
  <c r="T116" i="122"/>
  <c r="X115" i="122"/>
  <c r="W115" i="122"/>
  <c r="T115" i="122"/>
  <c r="X114" i="122"/>
  <c r="W114" i="122"/>
  <c r="T114" i="122"/>
  <c r="X113" i="122"/>
  <c r="W113" i="122"/>
  <c r="T113" i="122"/>
  <c r="X112" i="122"/>
  <c r="W112" i="122"/>
  <c r="T112" i="122"/>
  <c r="X111" i="122"/>
  <c r="W111" i="122"/>
  <c r="T111" i="122"/>
  <c r="X110" i="122"/>
  <c r="W110" i="122"/>
  <c r="T110" i="122"/>
  <c r="X109" i="122"/>
  <c r="W109" i="122"/>
  <c r="T109" i="122"/>
  <c r="X108" i="122"/>
  <c r="W108" i="122"/>
  <c r="T108" i="122"/>
  <c r="X107" i="122"/>
  <c r="W107" i="122"/>
  <c r="T107" i="122"/>
  <c r="X106" i="122"/>
  <c r="W106" i="122"/>
  <c r="T106" i="122"/>
  <c r="X105" i="122"/>
  <c r="W105" i="122"/>
  <c r="T105" i="122"/>
  <c r="X104" i="122"/>
  <c r="W104" i="122"/>
  <c r="T104" i="122"/>
  <c r="X103" i="122"/>
  <c r="W103" i="122"/>
  <c r="T103" i="122"/>
  <c r="X102" i="122"/>
  <c r="W102" i="122"/>
  <c r="T102" i="122"/>
  <c r="X101" i="122"/>
  <c r="W101" i="122"/>
  <c r="T101" i="122"/>
  <c r="X100" i="122"/>
  <c r="W100" i="122"/>
  <c r="T100" i="122"/>
  <c r="X99" i="122"/>
  <c r="W99" i="122"/>
  <c r="T99" i="122"/>
  <c r="X98" i="122"/>
  <c r="W98" i="122"/>
  <c r="T98" i="122"/>
  <c r="X97" i="122"/>
  <c r="W97" i="122"/>
  <c r="T97" i="122"/>
  <c r="X96" i="122"/>
  <c r="W96" i="122"/>
  <c r="T96" i="122"/>
  <c r="X95" i="122"/>
  <c r="W95" i="122"/>
  <c r="T95" i="122"/>
  <c r="X94" i="122"/>
  <c r="W94" i="122"/>
  <c r="T94" i="122"/>
  <c r="X93" i="122"/>
  <c r="W93" i="122"/>
  <c r="T93" i="122"/>
  <c r="X92" i="122"/>
  <c r="W92" i="122"/>
  <c r="T92" i="122"/>
  <c r="X91" i="122"/>
  <c r="W91" i="122"/>
  <c r="T91" i="122"/>
  <c r="X90" i="122"/>
  <c r="W90" i="122"/>
  <c r="T90" i="122"/>
  <c r="X89" i="122"/>
  <c r="W89" i="122"/>
  <c r="T89" i="122"/>
  <c r="X88" i="122"/>
  <c r="W88" i="122"/>
  <c r="T88" i="122"/>
  <c r="X87" i="122"/>
  <c r="W87" i="122"/>
  <c r="T87" i="122"/>
  <c r="X86" i="122"/>
  <c r="W86" i="122"/>
  <c r="T86" i="122"/>
  <c r="X85" i="122"/>
  <c r="W85" i="122"/>
  <c r="T85" i="122"/>
  <c r="X84" i="122"/>
  <c r="W84" i="122"/>
  <c r="T84" i="122"/>
  <c r="X83" i="122"/>
  <c r="W83" i="122"/>
  <c r="T83" i="122"/>
  <c r="X82" i="122"/>
  <c r="W82" i="122"/>
  <c r="T82" i="122"/>
  <c r="X81" i="122"/>
  <c r="W81" i="122"/>
  <c r="T81" i="122"/>
  <c r="X80" i="122"/>
  <c r="W80" i="122"/>
  <c r="T80" i="122"/>
  <c r="X79" i="122"/>
  <c r="W79" i="122"/>
  <c r="T79" i="122"/>
  <c r="X78" i="122"/>
  <c r="W78" i="122"/>
  <c r="T78" i="122"/>
  <c r="X77" i="122"/>
  <c r="W77" i="122"/>
  <c r="T77" i="122"/>
  <c r="X76" i="122"/>
  <c r="W76" i="122"/>
  <c r="T76" i="122"/>
  <c r="X75" i="122"/>
  <c r="W75" i="122"/>
  <c r="T75" i="122"/>
  <c r="X74" i="122"/>
  <c r="W74" i="122"/>
  <c r="T74" i="122"/>
  <c r="X73" i="122"/>
  <c r="W73" i="122"/>
  <c r="T73" i="122"/>
  <c r="X72" i="122"/>
  <c r="W72" i="122"/>
  <c r="T72" i="122"/>
  <c r="X71" i="122"/>
  <c r="W71" i="122"/>
  <c r="T71" i="122"/>
  <c r="X70" i="122"/>
  <c r="W70" i="122"/>
  <c r="T70" i="122"/>
  <c r="X69" i="122"/>
  <c r="W69" i="122"/>
  <c r="T69" i="122"/>
  <c r="X68" i="122"/>
  <c r="W68" i="122"/>
  <c r="T68" i="122"/>
  <c r="X67" i="122"/>
  <c r="W67" i="122"/>
  <c r="T67" i="122"/>
  <c r="X66" i="122"/>
  <c r="W66" i="122"/>
  <c r="T66" i="122"/>
  <c r="X65" i="122"/>
  <c r="W65" i="122"/>
  <c r="T65" i="122"/>
  <c r="X64" i="122"/>
  <c r="W64" i="122"/>
  <c r="T64" i="122"/>
  <c r="X63" i="122"/>
  <c r="W63" i="122"/>
  <c r="T63" i="122"/>
  <c r="X62" i="122"/>
  <c r="W62" i="122"/>
  <c r="T62" i="122"/>
  <c r="X61" i="122"/>
  <c r="W61" i="122"/>
  <c r="T61" i="122"/>
  <c r="X60" i="122"/>
  <c r="W60" i="122"/>
  <c r="T60" i="122"/>
  <c r="X59" i="122"/>
  <c r="W59" i="122"/>
  <c r="T59" i="122"/>
  <c r="X58" i="122"/>
  <c r="W58" i="122"/>
  <c r="T58" i="122"/>
  <c r="X57" i="122"/>
  <c r="W57" i="122"/>
  <c r="T57" i="122"/>
  <c r="X56" i="122"/>
  <c r="W56" i="122"/>
  <c r="T56" i="122"/>
  <c r="X55" i="122"/>
  <c r="W55" i="122"/>
  <c r="T55" i="122"/>
  <c r="X54" i="122"/>
  <c r="W54" i="122"/>
  <c r="T54" i="122"/>
  <c r="X53" i="122"/>
  <c r="W53" i="122"/>
  <c r="T53" i="122"/>
  <c r="X52" i="122"/>
  <c r="W52" i="122"/>
  <c r="T52" i="122"/>
  <c r="X51" i="122"/>
  <c r="W51" i="122"/>
  <c r="T51" i="122"/>
  <c r="X50" i="122"/>
  <c r="W50" i="122"/>
  <c r="T50" i="122"/>
  <c r="X49" i="122"/>
  <c r="W49" i="122"/>
  <c r="T49" i="122"/>
  <c r="X48" i="122"/>
  <c r="W48" i="122"/>
  <c r="T48" i="122"/>
  <c r="X47" i="122"/>
  <c r="W47" i="122"/>
  <c r="T47" i="122"/>
  <c r="X46" i="122"/>
  <c r="W46" i="122"/>
  <c r="T46" i="122"/>
  <c r="X45" i="122"/>
  <c r="W45" i="122"/>
  <c r="T45" i="122"/>
  <c r="X44" i="122"/>
  <c r="W44" i="122"/>
  <c r="T44" i="122"/>
  <c r="X43" i="122"/>
  <c r="W43" i="122"/>
  <c r="T43" i="122"/>
  <c r="X42" i="122"/>
  <c r="W42" i="122"/>
  <c r="T42" i="122"/>
  <c r="X41" i="122"/>
  <c r="W41" i="122"/>
  <c r="T41" i="122"/>
  <c r="X40" i="122"/>
  <c r="W40" i="122"/>
  <c r="T40" i="122"/>
  <c r="X39" i="122"/>
  <c r="W39" i="122"/>
  <c r="T39" i="122"/>
  <c r="X38" i="122"/>
  <c r="W38" i="122"/>
  <c r="T38" i="122"/>
  <c r="X37" i="122"/>
  <c r="W37" i="122"/>
  <c r="T37" i="122"/>
  <c r="X36" i="122"/>
  <c r="W36" i="122"/>
  <c r="T36" i="122"/>
  <c r="X35" i="122"/>
  <c r="W35" i="122"/>
  <c r="T35" i="122"/>
  <c r="X34" i="122"/>
  <c r="W34" i="122"/>
  <c r="T34" i="122"/>
  <c r="X33" i="122"/>
  <c r="W33" i="122"/>
  <c r="T33" i="122"/>
  <c r="X32" i="122"/>
  <c r="W32" i="122"/>
  <c r="T32" i="122"/>
  <c r="X31" i="122"/>
  <c r="W31" i="122"/>
  <c r="T31" i="122"/>
  <c r="X30" i="122"/>
  <c r="W30" i="122"/>
  <c r="T30" i="122"/>
  <c r="X29" i="122"/>
  <c r="W29" i="122"/>
  <c r="T29" i="122"/>
  <c r="X28" i="122"/>
  <c r="W28" i="122"/>
  <c r="T28" i="122"/>
  <c r="X27" i="122"/>
  <c r="W27" i="122"/>
  <c r="T27" i="122"/>
  <c r="X26" i="122"/>
  <c r="W26" i="122"/>
  <c r="T26" i="122"/>
  <c r="X25" i="122"/>
  <c r="W25" i="122"/>
  <c r="T25" i="122"/>
  <c r="X24" i="122"/>
  <c r="W24" i="122"/>
  <c r="T24" i="122"/>
  <c r="X23" i="122"/>
  <c r="W23" i="122"/>
  <c r="T23" i="122"/>
  <c r="X22" i="122"/>
  <c r="W22" i="122"/>
  <c r="T22" i="122"/>
  <c r="X21" i="122"/>
  <c r="W21" i="122"/>
  <c r="T21" i="122"/>
  <c r="X20" i="122"/>
  <c r="W20" i="122"/>
  <c r="T20" i="122"/>
  <c r="X19" i="122"/>
  <c r="W19" i="122"/>
  <c r="T19" i="122"/>
  <c r="X18" i="122"/>
  <c r="W18" i="122"/>
  <c r="T18" i="122"/>
  <c r="X17" i="122"/>
  <c r="W17" i="122"/>
  <c r="T17" i="122"/>
  <c r="X16" i="122"/>
  <c r="W16" i="122"/>
  <c r="T16" i="122"/>
  <c r="X15" i="122"/>
  <c r="W15" i="122"/>
  <c r="T15" i="122"/>
  <c r="X14" i="122"/>
  <c r="W14" i="122"/>
  <c r="T14" i="122"/>
  <c r="X13" i="122"/>
  <c r="W13" i="122"/>
  <c r="T13" i="122"/>
  <c r="X12" i="122"/>
  <c r="W12" i="122"/>
  <c r="T12" i="122"/>
  <c r="X11" i="122"/>
  <c r="W11" i="122"/>
  <c r="T11" i="122"/>
  <c r="X10" i="122"/>
  <c r="W10" i="122"/>
  <c r="T10" i="122"/>
  <c r="X9" i="122"/>
  <c r="W9" i="122"/>
  <c r="T9" i="122"/>
  <c r="X8" i="122"/>
  <c r="W8" i="122"/>
  <c r="T8" i="122"/>
  <c r="AD6" i="122"/>
  <c r="AC6" i="122"/>
  <c r="AB6" i="122"/>
  <c r="AA6" i="122"/>
  <c r="Z6" i="122"/>
  <c r="Y6" i="122"/>
  <c r="V6" i="122"/>
  <c r="U6" i="122"/>
  <c r="S6" i="122"/>
  <c r="R6" i="122"/>
  <c r="Q6" i="122"/>
  <c r="P6" i="122"/>
  <c r="O6" i="122"/>
  <c r="N6" i="122"/>
  <c r="M6" i="122"/>
  <c r="L6" i="122"/>
  <c r="K6" i="122"/>
  <c r="J6" i="122"/>
  <c r="I6" i="122"/>
  <c r="H6" i="122"/>
  <c r="G6" i="122"/>
  <c r="F6" i="122"/>
  <c r="E6" i="122"/>
  <c r="D6" i="122"/>
  <c r="C6" i="122"/>
  <c r="C1" i="122"/>
  <c r="D1" i="122" s="1"/>
  <c r="E1" i="122" s="1"/>
  <c r="F1" i="122" s="1"/>
  <c r="G1" i="122" s="1"/>
  <c r="H1" i="122" s="1"/>
  <c r="I1" i="122" s="1"/>
  <c r="J1" i="122" s="1"/>
  <c r="K1" i="122" s="1"/>
  <c r="L1" i="122" s="1"/>
  <c r="M1" i="122" s="1"/>
  <c r="N1" i="122" s="1"/>
  <c r="O1" i="122" s="1"/>
  <c r="P1" i="122" s="1"/>
  <c r="Q1" i="122" s="1"/>
  <c r="R1" i="122" s="1"/>
  <c r="S1" i="122" s="1"/>
  <c r="T1" i="122" s="1"/>
  <c r="U1" i="122" s="1"/>
  <c r="V1" i="122" s="1"/>
  <c r="W1" i="122" s="1"/>
  <c r="X1" i="122" s="1"/>
  <c r="Y1" i="122" s="1"/>
  <c r="Z1" i="122" s="1"/>
  <c r="AA1" i="122" s="1"/>
  <c r="AB1" i="122" s="1"/>
  <c r="AC1" i="122" s="1"/>
  <c r="AD1" i="122" s="1"/>
  <c r="B1" i="122"/>
  <c r="X325" i="7"/>
  <c r="W325" i="7"/>
  <c r="T325" i="7"/>
  <c r="X324" i="7"/>
  <c r="W324" i="7"/>
  <c r="T324" i="7"/>
  <c r="X323" i="7"/>
  <c r="W323" i="7"/>
  <c r="T323" i="7"/>
  <c r="X322" i="7"/>
  <c r="W322" i="7"/>
  <c r="T322" i="7"/>
  <c r="X321" i="7"/>
  <c r="W321" i="7"/>
  <c r="T321" i="7"/>
  <c r="X320" i="7"/>
  <c r="W320" i="7"/>
  <c r="T320" i="7"/>
  <c r="X319" i="7"/>
  <c r="W319" i="7"/>
  <c r="T319" i="7"/>
  <c r="X318" i="7"/>
  <c r="W318" i="7"/>
  <c r="T318" i="7"/>
  <c r="X317" i="7"/>
  <c r="W317" i="7"/>
  <c r="T317" i="7"/>
  <c r="X316" i="7"/>
  <c r="W316" i="7"/>
  <c r="T316" i="7"/>
  <c r="X315" i="7"/>
  <c r="W315" i="7"/>
  <c r="T315" i="7"/>
  <c r="X314" i="7"/>
  <c r="W314" i="7"/>
  <c r="T314" i="7"/>
  <c r="X313" i="7"/>
  <c r="W313" i="7"/>
  <c r="T313" i="7"/>
  <c r="X312" i="7"/>
  <c r="W312" i="7"/>
  <c r="T312" i="7"/>
  <c r="X311" i="7"/>
  <c r="W311" i="7"/>
  <c r="T311" i="7"/>
  <c r="X310" i="7"/>
  <c r="W310" i="7"/>
  <c r="T310" i="7"/>
  <c r="X309" i="7"/>
  <c r="W309" i="7"/>
  <c r="T309" i="7"/>
  <c r="X308" i="7"/>
  <c r="W308" i="7"/>
  <c r="T308" i="7"/>
  <c r="X307" i="7"/>
  <c r="W307" i="7"/>
  <c r="T307" i="7"/>
  <c r="X306" i="7"/>
  <c r="W306" i="7"/>
  <c r="T306" i="7"/>
  <c r="X305" i="7"/>
  <c r="W305" i="7"/>
  <c r="T305" i="7"/>
  <c r="X304" i="7"/>
  <c r="W304" i="7"/>
  <c r="T304" i="7"/>
  <c r="X303" i="7"/>
  <c r="W303" i="7"/>
  <c r="T303" i="7"/>
  <c r="X302" i="7"/>
  <c r="W302" i="7"/>
  <c r="T302" i="7"/>
  <c r="X301" i="7"/>
  <c r="W301" i="7"/>
  <c r="T301" i="7"/>
  <c r="X300" i="7"/>
  <c r="W300" i="7"/>
  <c r="T300" i="7"/>
  <c r="X299" i="7"/>
  <c r="W299" i="7"/>
  <c r="T299" i="7"/>
  <c r="X298" i="7"/>
  <c r="W298" i="7"/>
  <c r="T298" i="7"/>
  <c r="X297" i="7"/>
  <c r="W297" i="7"/>
  <c r="T297" i="7"/>
  <c r="X296" i="7"/>
  <c r="W296" i="7"/>
  <c r="T296" i="7"/>
  <c r="X295" i="7"/>
  <c r="W295" i="7"/>
  <c r="T295" i="7"/>
  <c r="X294" i="7"/>
  <c r="W294" i="7"/>
  <c r="T294" i="7"/>
  <c r="X293" i="7"/>
  <c r="W293" i="7"/>
  <c r="T293" i="7"/>
  <c r="X292" i="7"/>
  <c r="W292" i="7"/>
  <c r="T292" i="7"/>
  <c r="X291" i="7"/>
  <c r="W291" i="7"/>
  <c r="T291" i="7"/>
  <c r="X290" i="7"/>
  <c r="W290" i="7"/>
  <c r="T290" i="7"/>
  <c r="X289" i="7"/>
  <c r="W289" i="7"/>
  <c r="T289" i="7"/>
  <c r="X288" i="7"/>
  <c r="W288" i="7"/>
  <c r="T288" i="7"/>
  <c r="X287" i="7"/>
  <c r="W287" i="7"/>
  <c r="T287" i="7"/>
  <c r="X286" i="7"/>
  <c r="W286" i="7"/>
  <c r="T286" i="7"/>
  <c r="X285" i="7"/>
  <c r="W285" i="7"/>
  <c r="T285" i="7"/>
  <c r="X284" i="7"/>
  <c r="W284" i="7"/>
  <c r="T284" i="7"/>
  <c r="X283" i="7"/>
  <c r="W283" i="7"/>
  <c r="T283" i="7"/>
  <c r="X282" i="7"/>
  <c r="W282" i="7"/>
  <c r="T282" i="7"/>
  <c r="X281" i="7"/>
  <c r="W281" i="7"/>
  <c r="T281" i="7"/>
  <c r="X280" i="7"/>
  <c r="W280" i="7"/>
  <c r="T280" i="7"/>
  <c r="X279" i="7"/>
  <c r="W279" i="7"/>
  <c r="T279" i="7"/>
  <c r="X278" i="7"/>
  <c r="W278" i="7"/>
  <c r="T278" i="7"/>
  <c r="X277" i="7"/>
  <c r="W277" i="7"/>
  <c r="T277" i="7"/>
  <c r="X276" i="7"/>
  <c r="W276" i="7"/>
  <c r="T276" i="7"/>
  <c r="X275" i="7"/>
  <c r="W275" i="7"/>
  <c r="T275" i="7"/>
  <c r="X274" i="7"/>
  <c r="W274" i="7"/>
  <c r="T274" i="7"/>
  <c r="X273" i="7"/>
  <c r="W273" i="7"/>
  <c r="T273" i="7"/>
  <c r="X272" i="7"/>
  <c r="W272" i="7"/>
  <c r="T272" i="7"/>
  <c r="X271" i="7"/>
  <c r="W271" i="7"/>
  <c r="T271" i="7"/>
  <c r="X270" i="7"/>
  <c r="W270" i="7"/>
  <c r="T270" i="7"/>
  <c r="X269" i="7"/>
  <c r="W269" i="7"/>
  <c r="T269" i="7"/>
  <c r="X268" i="7"/>
  <c r="W268" i="7"/>
  <c r="T268" i="7"/>
  <c r="X267" i="7"/>
  <c r="W267" i="7"/>
  <c r="T267" i="7"/>
  <c r="X266" i="7"/>
  <c r="W266" i="7"/>
  <c r="T266" i="7"/>
  <c r="X265" i="7"/>
  <c r="W265" i="7"/>
  <c r="T265" i="7"/>
  <c r="X264" i="7"/>
  <c r="W264" i="7"/>
  <c r="T264" i="7"/>
  <c r="X263" i="7"/>
  <c r="W263" i="7"/>
  <c r="T263" i="7"/>
  <c r="X262" i="7"/>
  <c r="W262" i="7"/>
  <c r="T262" i="7"/>
  <c r="X261" i="7"/>
  <c r="W261" i="7"/>
  <c r="T261" i="7"/>
  <c r="X260" i="7"/>
  <c r="W260" i="7"/>
  <c r="T260" i="7"/>
  <c r="X259" i="7"/>
  <c r="W259" i="7"/>
  <c r="T259" i="7"/>
  <c r="X258" i="7"/>
  <c r="W258" i="7"/>
  <c r="T258" i="7"/>
  <c r="X257" i="7"/>
  <c r="W257" i="7"/>
  <c r="T257" i="7"/>
  <c r="X256" i="7"/>
  <c r="W256" i="7"/>
  <c r="T256" i="7"/>
  <c r="X255" i="7"/>
  <c r="W255" i="7"/>
  <c r="T255" i="7"/>
  <c r="X254" i="7"/>
  <c r="W254" i="7"/>
  <c r="T254" i="7"/>
  <c r="X253" i="7"/>
  <c r="W253" i="7"/>
  <c r="T253" i="7"/>
  <c r="X252" i="7"/>
  <c r="W252" i="7"/>
  <c r="T252" i="7"/>
  <c r="X251" i="7"/>
  <c r="W251" i="7"/>
  <c r="T251" i="7"/>
  <c r="X250" i="7"/>
  <c r="W250" i="7"/>
  <c r="T250" i="7"/>
  <c r="X249" i="7"/>
  <c r="W249" i="7"/>
  <c r="T249" i="7"/>
  <c r="X248" i="7"/>
  <c r="W248" i="7"/>
  <c r="T248" i="7"/>
  <c r="X247" i="7"/>
  <c r="W247" i="7"/>
  <c r="T247" i="7"/>
  <c r="X246" i="7"/>
  <c r="W246" i="7"/>
  <c r="T246" i="7"/>
  <c r="X245" i="7"/>
  <c r="W245" i="7"/>
  <c r="T245" i="7"/>
  <c r="X244" i="7"/>
  <c r="W244" i="7"/>
  <c r="T244" i="7"/>
  <c r="X243" i="7"/>
  <c r="W243" i="7"/>
  <c r="T243" i="7"/>
  <c r="X242" i="7"/>
  <c r="W242" i="7"/>
  <c r="T242" i="7"/>
  <c r="X241" i="7"/>
  <c r="W241" i="7"/>
  <c r="T241" i="7"/>
  <c r="X240" i="7"/>
  <c r="W240" i="7"/>
  <c r="T240" i="7"/>
  <c r="X239" i="7"/>
  <c r="W239" i="7"/>
  <c r="T239" i="7"/>
  <c r="X238" i="7"/>
  <c r="W238" i="7"/>
  <c r="T238" i="7"/>
  <c r="X237" i="7"/>
  <c r="W237" i="7"/>
  <c r="T237" i="7"/>
  <c r="X236" i="7"/>
  <c r="W236" i="7"/>
  <c r="T236" i="7"/>
  <c r="X235" i="7"/>
  <c r="W235" i="7"/>
  <c r="T235" i="7"/>
  <c r="X234" i="7"/>
  <c r="W234" i="7"/>
  <c r="T234" i="7"/>
  <c r="X233" i="7"/>
  <c r="W233" i="7"/>
  <c r="T233" i="7"/>
  <c r="X232" i="7"/>
  <c r="W232" i="7"/>
  <c r="T232" i="7"/>
  <c r="X231" i="7"/>
  <c r="W231" i="7"/>
  <c r="T231" i="7"/>
  <c r="X230" i="7"/>
  <c r="W230" i="7"/>
  <c r="T230" i="7"/>
  <c r="X229" i="7"/>
  <c r="W229" i="7"/>
  <c r="T229" i="7"/>
  <c r="X228" i="7"/>
  <c r="W228" i="7"/>
  <c r="T228" i="7"/>
  <c r="X227" i="7"/>
  <c r="W227" i="7"/>
  <c r="T227" i="7"/>
  <c r="X226" i="7"/>
  <c r="W226" i="7"/>
  <c r="T226" i="7"/>
  <c r="X225" i="7"/>
  <c r="W225" i="7"/>
  <c r="T225" i="7"/>
  <c r="X224" i="7"/>
  <c r="W224" i="7"/>
  <c r="T224" i="7"/>
  <c r="X223" i="7"/>
  <c r="W223" i="7"/>
  <c r="T223" i="7"/>
  <c r="X222" i="7"/>
  <c r="W222" i="7"/>
  <c r="T222" i="7"/>
  <c r="X221" i="7"/>
  <c r="W221" i="7"/>
  <c r="T221" i="7"/>
  <c r="X220" i="7"/>
  <c r="W220" i="7"/>
  <c r="T220" i="7"/>
  <c r="X219" i="7"/>
  <c r="W219" i="7"/>
  <c r="T219" i="7"/>
  <c r="X218" i="7"/>
  <c r="W218" i="7"/>
  <c r="T218" i="7"/>
  <c r="X217" i="7"/>
  <c r="W217" i="7"/>
  <c r="T217" i="7"/>
  <c r="X216" i="7"/>
  <c r="W216" i="7"/>
  <c r="T216" i="7"/>
  <c r="X215" i="7"/>
  <c r="W215" i="7"/>
  <c r="T215" i="7"/>
  <c r="X214" i="7"/>
  <c r="W214" i="7"/>
  <c r="T214" i="7"/>
  <c r="X213" i="7"/>
  <c r="W213" i="7"/>
  <c r="T213" i="7"/>
  <c r="X212" i="7"/>
  <c r="W212" i="7"/>
  <c r="T212" i="7"/>
  <c r="X211" i="7"/>
  <c r="W211" i="7"/>
  <c r="T211" i="7"/>
  <c r="X210" i="7"/>
  <c r="W210" i="7"/>
  <c r="T210" i="7"/>
  <c r="X209" i="7"/>
  <c r="W209" i="7"/>
  <c r="T209" i="7"/>
  <c r="X208" i="7"/>
  <c r="W208" i="7"/>
  <c r="T208" i="7"/>
  <c r="X207" i="7"/>
  <c r="W207" i="7"/>
  <c r="T207" i="7"/>
  <c r="X206" i="7"/>
  <c r="W206" i="7"/>
  <c r="T206" i="7"/>
  <c r="X205" i="7"/>
  <c r="W205" i="7"/>
  <c r="T205" i="7"/>
  <c r="X204" i="7"/>
  <c r="W204" i="7"/>
  <c r="T204" i="7"/>
  <c r="X203" i="7"/>
  <c r="W203" i="7"/>
  <c r="T203" i="7"/>
  <c r="X202" i="7"/>
  <c r="W202" i="7"/>
  <c r="T202" i="7"/>
  <c r="X201" i="7"/>
  <c r="W201" i="7"/>
  <c r="T201" i="7"/>
  <c r="X200" i="7"/>
  <c r="W200" i="7"/>
  <c r="T200" i="7"/>
  <c r="X199" i="7"/>
  <c r="W199" i="7"/>
  <c r="T199" i="7"/>
  <c r="X198" i="7"/>
  <c r="W198" i="7"/>
  <c r="T198" i="7"/>
  <c r="X197" i="7"/>
  <c r="W197" i="7"/>
  <c r="T197" i="7"/>
  <c r="X196" i="7"/>
  <c r="W196" i="7"/>
  <c r="T196" i="7"/>
  <c r="X195" i="7"/>
  <c r="W195" i="7"/>
  <c r="T195" i="7"/>
  <c r="X194" i="7"/>
  <c r="W194" i="7"/>
  <c r="T194" i="7"/>
  <c r="X193" i="7"/>
  <c r="W193" i="7"/>
  <c r="T193" i="7"/>
  <c r="X192" i="7"/>
  <c r="W192" i="7"/>
  <c r="T192" i="7"/>
  <c r="X191" i="7"/>
  <c r="W191" i="7"/>
  <c r="T191" i="7"/>
  <c r="X190" i="7"/>
  <c r="W190" i="7"/>
  <c r="T190" i="7"/>
  <c r="X189" i="7"/>
  <c r="W189" i="7"/>
  <c r="T189" i="7"/>
  <c r="X188" i="7"/>
  <c r="W188" i="7"/>
  <c r="T188" i="7"/>
  <c r="X187" i="7"/>
  <c r="W187" i="7"/>
  <c r="T187" i="7"/>
  <c r="X186" i="7"/>
  <c r="W186" i="7"/>
  <c r="T186" i="7"/>
  <c r="X185" i="7"/>
  <c r="W185" i="7"/>
  <c r="T185" i="7"/>
  <c r="X184" i="7"/>
  <c r="W184" i="7"/>
  <c r="T184" i="7"/>
  <c r="X183" i="7"/>
  <c r="W183" i="7"/>
  <c r="T183" i="7"/>
  <c r="X182" i="7"/>
  <c r="W182" i="7"/>
  <c r="T182" i="7"/>
  <c r="X181" i="7"/>
  <c r="W181" i="7"/>
  <c r="T181" i="7"/>
  <c r="X180" i="7"/>
  <c r="W180" i="7"/>
  <c r="T180" i="7"/>
  <c r="X179" i="7"/>
  <c r="W179" i="7"/>
  <c r="T179" i="7"/>
  <c r="X178" i="7"/>
  <c r="W178" i="7"/>
  <c r="T178" i="7"/>
  <c r="X177" i="7"/>
  <c r="W177" i="7"/>
  <c r="T177" i="7"/>
  <c r="X176" i="7"/>
  <c r="W176" i="7"/>
  <c r="T176" i="7"/>
  <c r="X175" i="7"/>
  <c r="W175" i="7"/>
  <c r="T175" i="7"/>
  <c r="X174" i="7"/>
  <c r="W174" i="7"/>
  <c r="T174" i="7"/>
  <c r="X173" i="7"/>
  <c r="W173" i="7"/>
  <c r="T173" i="7"/>
  <c r="X172" i="7"/>
  <c r="W172" i="7"/>
  <c r="T172" i="7"/>
  <c r="X171" i="7"/>
  <c r="W171" i="7"/>
  <c r="T171" i="7"/>
  <c r="X170" i="7"/>
  <c r="W170" i="7"/>
  <c r="T170" i="7"/>
  <c r="X169" i="7"/>
  <c r="W169" i="7"/>
  <c r="T169" i="7"/>
  <c r="X168" i="7"/>
  <c r="W168" i="7"/>
  <c r="T168" i="7"/>
  <c r="X167" i="7"/>
  <c r="W167" i="7"/>
  <c r="T167" i="7"/>
  <c r="X166" i="7"/>
  <c r="W166" i="7"/>
  <c r="T166" i="7"/>
  <c r="X165" i="7"/>
  <c r="W165" i="7"/>
  <c r="T165" i="7"/>
  <c r="X164" i="7"/>
  <c r="W164" i="7"/>
  <c r="T164" i="7"/>
  <c r="X163" i="7"/>
  <c r="W163" i="7"/>
  <c r="T163" i="7"/>
  <c r="X162" i="7"/>
  <c r="W162" i="7"/>
  <c r="T162" i="7"/>
  <c r="X161" i="7"/>
  <c r="W161" i="7"/>
  <c r="T161" i="7"/>
  <c r="X160" i="7"/>
  <c r="W160" i="7"/>
  <c r="T160" i="7"/>
  <c r="X159" i="7"/>
  <c r="W159" i="7"/>
  <c r="T159" i="7"/>
  <c r="X158" i="7"/>
  <c r="W158" i="7"/>
  <c r="T158" i="7"/>
  <c r="X157" i="7"/>
  <c r="W157" i="7"/>
  <c r="T157" i="7"/>
  <c r="X156" i="7"/>
  <c r="W156" i="7"/>
  <c r="T156" i="7"/>
  <c r="X155" i="7"/>
  <c r="W155" i="7"/>
  <c r="T155" i="7"/>
  <c r="X154" i="7"/>
  <c r="W154" i="7"/>
  <c r="T154" i="7"/>
  <c r="X153" i="7"/>
  <c r="W153" i="7"/>
  <c r="T153" i="7"/>
  <c r="X152" i="7"/>
  <c r="W152" i="7"/>
  <c r="T152" i="7"/>
  <c r="X151" i="7"/>
  <c r="W151" i="7"/>
  <c r="T151" i="7"/>
  <c r="X150" i="7"/>
  <c r="W150" i="7"/>
  <c r="T150" i="7"/>
  <c r="X149" i="7"/>
  <c r="W149" i="7"/>
  <c r="T149" i="7"/>
  <c r="X148" i="7"/>
  <c r="W148" i="7"/>
  <c r="T148" i="7"/>
  <c r="X147" i="7"/>
  <c r="W147" i="7"/>
  <c r="T147" i="7"/>
  <c r="X146" i="7"/>
  <c r="W146" i="7"/>
  <c r="T146" i="7"/>
  <c r="X145" i="7"/>
  <c r="W145" i="7"/>
  <c r="T145" i="7"/>
  <c r="X144" i="7"/>
  <c r="W144" i="7"/>
  <c r="T144" i="7"/>
  <c r="X143" i="7"/>
  <c r="W143" i="7"/>
  <c r="T143" i="7"/>
  <c r="X142" i="7"/>
  <c r="W142" i="7"/>
  <c r="T142" i="7"/>
  <c r="X141" i="7"/>
  <c r="W141" i="7"/>
  <c r="T141" i="7"/>
  <c r="X140" i="7"/>
  <c r="W140" i="7"/>
  <c r="T140" i="7"/>
  <c r="X139" i="7"/>
  <c r="W139" i="7"/>
  <c r="T139" i="7"/>
  <c r="X138" i="7"/>
  <c r="W138" i="7"/>
  <c r="T138" i="7"/>
  <c r="X137" i="7"/>
  <c r="W137" i="7"/>
  <c r="T137" i="7"/>
  <c r="X136" i="7"/>
  <c r="W136" i="7"/>
  <c r="T136" i="7"/>
  <c r="X135" i="7"/>
  <c r="W135" i="7"/>
  <c r="T135" i="7"/>
  <c r="X134" i="7"/>
  <c r="W134" i="7"/>
  <c r="T134" i="7"/>
  <c r="X133" i="7"/>
  <c r="W133" i="7"/>
  <c r="T133" i="7"/>
  <c r="X132" i="7"/>
  <c r="W132" i="7"/>
  <c r="T132" i="7"/>
  <c r="X131" i="7"/>
  <c r="W131" i="7"/>
  <c r="T131" i="7"/>
  <c r="X130" i="7"/>
  <c r="W130" i="7"/>
  <c r="T130" i="7"/>
  <c r="X129" i="7"/>
  <c r="W129" i="7"/>
  <c r="T129" i="7"/>
  <c r="X128" i="7"/>
  <c r="W128" i="7"/>
  <c r="T128" i="7"/>
  <c r="X127" i="7"/>
  <c r="W127" i="7"/>
  <c r="T127" i="7"/>
  <c r="X126" i="7"/>
  <c r="W126" i="7"/>
  <c r="T126" i="7"/>
  <c r="X125" i="7"/>
  <c r="W125" i="7"/>
  <c r="T125" i="7"/>
  <c r="X124" i="7"/>
  <c r="W124" i="7"/>
  <c r="T124" i="7"/>
  <c r="X123" i="7"/>
  <c r="W123" i="7"/>
  <c r="T123" i="7"/>
  <c r="X122" i="7"/>
  <c r="W122" i="7"/>
  <c r="T122" i="7"/>
  <c r="X121" i="7"/>
  <c r="W121" i="7"/>
  <c r="T121" i="7"/>
  <c r="X120" i="7"/>
  <c r="W120" i="7"/>
  <c r="T120" i="7"/>
  <c r="X119" i="7"/>
  <c r="W119" i="7"/>
  <c r="T119" i="7"/>
  <c r="X118" i="7"/>
  <c r="W118" i="7"/>
  <c r="T118" i="7"/>
  <c r="X117" i="7"/>
  <c r="W117" i="7"/>
  <c r="T117" i="7"/>
  <c r="X116" i="7"/>
  <c r="W116" i="7"/>
  <c r="T116" i="7"/>
  <c r="X115" i="7"/>
  <c r="W115" i="7"/>
  <c r="T115" i="7"/>
  <c r="X114" i="7"/>
  <c r="W114" i="7"/>
  <c r="T114" i="7"/>
  <c r="X113" i="7"/>
  <c r="W113" i="7"/>
  <c r="T113" i="7"/>
  <c r="X112" i="7"/>
  <c r="W112" i="7"/>
  <c r="T112" i="7"/>
  <c r="X111" i="7"/>
  <c r="W111" i="7"/>
  <c r="T111" i="7"/>
  <c r="X110" i="7"/>
  <c r="W110" i="7"/>
  <c r="T110" i="7"/>
  <c r="X109" i="7"/>
  <c r="W109" i="7"/>
  <c r="T109" i="7"/>
  <c r="X108" i="7"/>
  <c r="W108" i="7"/>
  <c r="T108" i="7"/>
  <c r="X107" i="7"/>
  <c r="W107" i="7"/>
  <c r="T107" i="7"/>
  <c r="X106" i="7"/>
  <c r="W106" i="7"/>
  <c r="T106" i="7"/>
  <c r="X105" i="7"/>
  <c r="W105" i="7"/>
  <c r="T105" i="7"/>
  <c r="X104" i="7"/>
  <c r="W104" i="7"/>
  <c r="T104" i="7"/>
  <c r="X103" i="7"/>
  <c r="W103" i="7"/>
  <c r="T103" i="7"/>
  <c r="X102" i="7"/>
  <c r="W102" i="7"/>
  <c r="T102" i="7"/>
  <c r="X101" i="7"/>
  <c r="W101" i="7"/>
  <c r="T101" i="7"/>
  <c r="X100" i="7"/>
  <c r="W100" i="7"/>
  <c r="T100" i="7"/>
  <c r="X99" i="7"/>
  <c r="W99" i="7"/>
  <c r="T99" i="7"/>
  <c r="X98" i="7"/>
  <c r="W98" i="7"/>
  <c r="T98" i="7"/>
  <c r="X97" i="7"/>
  <c r="W97" i="7"/>
  <c r="T97" i="7"/>
  <c r="X96" i="7"/>
  <c r="W96" i="7"/>
  <c r="T96" i="7"/>
  <c r="X95" i="7"/>
  <c r="W95" i="7"/>
  <c r="T95" i="7"/>
  <c r="X94" i="7"/>
  <c r="W94" i="7"/>
  <c r="T94" i="7"/>
  <c r="X93" i="7"/>
  <c r="W93" i="7"/>
  <c r="T93" i="7"/>
  <c r="X92" i="7"/>
  <c r="W92" i="7"/>
  <c r="T92" i="7"/>
  <c r="X91" i="7"/>
  <c r="W91" i="7"/>
  <c r="T91" i="7"/>
  <c r="X90" i="7"/>
  <c r="W90" i="7"/>
  <c r="T90" i="7"/>
  <c r="X89" i="7"/>
  <c r="W89" i="7"/>
  <c r="T89" i="7"/>
  <c r="X88" i="7"/>
  <c r="W88" i="7"/>
  <c r="T88" i="7"/>
  <c r="X87" i="7"/>
  <c r="W87" i="7"/>
  <c r="T87" i="7"/>
  <c r="X86" i="7"/>
  <c r="W86" i="7"/>
  <c r="T86" i="7"/>
  <c r="X85" i="7"/>
  <c r="W85" i="7"/>
  <c r="T85" i="7"/>
  <c r="X84" i="7"/>
  <c r="W84" i="7"/>
  <c r="T84" i="7"/>
  <c r="X83" i="7"/>
  <c r="W83" i="7"/>
  <c r="T83" i="7"/>
  <c r="X82" i="7"/>
  <c r="W82" i="7"/>
  <c r="T82" i="7"/>
  <c r="X81" i="7"/>
  <c r="W81" i="7"/>
  <c r="T81" i="7"/>
  <c r="X80" i="7"/>
  <c r="W80" i="7"/>
  <c r="T80" i="7"/>
  <c r="X79" i="7"/>
  <c r="W79" i="7"/>
  <c r="T79" i="7"/>
  <c r="X78" i="7"/>
  <c r="W78" i="7"/>
  <c r="T78" i="7"/>
  <c r="X77" i="7"/>
  <c r="W77" i="7"/>
  <c r="T77" i="7"/>
  <c r="X76" i="7"/>
  <c r="W76" i="7"/>
  <c r="T76" i="7"/>
  <c r="X75" i="7"/>
  <c r="W75" i="7"/>
  <c r="T75" i="7"/>
  <c r="X74" i="7"/>
  <c r="W74" i="7"/>
  <c r="T74" i="7"/>
  <c r="X73" i="7"/>
  <c r="W73" i="7"/>
  <c r="T73" i="7"/>
  <c r="X72" i="7"/>
  <c r="W72" i="7"/>
  <c r="T72" i="7"/>
  <c r="X71" i="7"/>
  <c r="W71" i="7"/>
  <c r="T71" i="7"/>
  <c r="X70" i="7"/>
  <c r="W70" i="7"/>
  <c r="T70" i="7"/>
  <c r="X69" i="7"/>
  <c r="W69" i="7"/>
  <c r="T69" i="7"/>
  <c r="X68" i="7"/>
  <c r="W68" i="7"/>
  <c r="T68" i="7"/>
  <c r="X67" i="7"/>
  <c r="W67" i="7"/>
  <c r="T67" i="7"/>
  <c r="X66" i="7"/>
  <c r="W66" i="7"/>
  <c r="T66" i="7"/>
  <c r="X65" i="7"/>
  <c r="W65" i="7"/>
  <c r="T65" i="7"/>
  <c r="X64" i="7"/>
  <c r="W64" i="7"/>
  <c r="T64" i="7"/>
  <c r="X63" i="7"/>
  <c r="W63" i="7"/>
  <c r="T63" i="7"/>
  <c r="X62" i="7"/>
  <c r="W62" i="7"/>
  <c r="T62" i="7"/>
  <c r="X61" i="7"/>
  <c r="W61" i="7"/>
  <c r="T61" i="7"/>
  <c r="X60" i="7"/>
  <c r="W60" i="7"/>
  <c r="T60" i="7"/>
  <c r="X59" i="7"/>
  <c r="W59" i="7"/>
  <c r="T59" i="7"/>
  <c r="X58" i="7"/>
  <c r="W58" i="7"/>
  <c r="T58" i="7"/>
  <c r="X57" i="7"/>
  <c r="W57" i="7"/>
  <c r="T57" i="7"/>
  <c r="X56" i="7"/>
  <c r="W56" i="7"/>
  <c r="T56" i="7"/>
  <c r="X55" i="7"/>
  <c r="W55" i="7"/>
  <c r="T55" i="7"/>
  <c r="X54" i="7"/>
  <c r="W54" i="7"/>
  <c r="T54" i="7"/>
  <c r="X53" i="7"/>
  <c r="W53" i="7"/>
  <c r="T53" i="7"/>
  <c r="X52" i="7"/>
  <c r="W52" i="7"/>
  <c r="T52" i="7"/>
  <c r="X51" i="7"/>
  <c r="W51" i="7"/>
  <c r="T51" i="7"/>
  <c r="X50" i="7"/>
  <c r="W50" i="7"/>
  <c r="T50" i="7"/>
  <c r="X49" i="7"/>
  <c r="W49" i="7"/>
  <c r="T49" i="7"/>
  <c r="X48" i="7"/>
  <c r="W48" i="7"/>
  <c r="T48" i="7"/>
  <c r="X47" i="7"/>
  <c r="W47" i="7"/>
  <c r="T47" i="7"/>
  <c r="X46" i="7"/>
  <c r="W46" i="7"/>
  <c r="T46" i="7"/>
  <c r="X45" i="7"/>
  <c r="W45" i="7"/>
  <c r="T45" i="7"/>
  <c r="X44" i="7"/>
  <c r="W44" i="7"/>
  <c r="T44" i="7"/>
  <c r="X43" i="7"/>
  <c r="W43" i="7"/>
  <c r="T43" i="7"/>
  <c r="X42" i="7"/>
  <c r="W42" i="7"/>
  <c r="T42" i="7"/>
  <c r="X41" i="7"/>
  <c r="W41" i="7"/>
  <c r="T41" i="7"/>
  <c r="X40" i="7"/>
  <c r="W40" i="7"/>
  <c r="T40" i="7"/>
  <c r="X39" i="7"/>
  <c r="W39" i="7"/>
  <c r="T39" i="7"/>
  <c r="X38" i="7"/>
  <c r="W38" i="7"/>
  <c r="T38" i="7"/>
  <c r="X37" i="7"/>
  <c r="W37" i="7"/>
  <c r="T37" i="7"/>
  <c r="X36" i="7"/>
  <c r="W36" i="7"/>
  <c r="T36" i="7"/>
  <c r="X35" i="7"/>
  <c r="W35" i="7"/>
  <c r="T35" i="7"/>
  <c r="X34" i="7"/>
  <c r="W34" i="7"/>
  <c r="T34" i="7"/>
  <c r="X33" i="7"/>
  <c r="W33" i="7"/>
  <c r="T33" i="7"/>
  <c r="X32" i="7"/>
  <c r="W32" i="7"/>
  <c r="T32" i="7"/>
  <c r="X31" i="7"/>
  <c r="W31" i="7"/>
  <c r="T31" i="7"/>
  <c r="X30" i="7"/>
  <c r="W30" i="7"/>
  <c r="T30" i="7"/>
  <c r="X29" i="7"/>
  <c r="W29" i="7"/>
  <c r="T29" i="7"/>
  <c r="X28" i="7"/>
  <c r="W28" i="7"/>
  <c r="T28" i="7"/>
  <c r="X27" i="7"/>
  <c r="W27" i="7"/>
  <c r="T27" i="7"/>
  <c r="X26" i="7"/>
  <c r="W26" i="7"/>
  <c r="T26" i="7"/>
  <c r="X25" i="7"/>
  <c r="W25" i="7"/>
  <c r="T25" i="7"/>
  <c r="X24" i="7"/>
  <c r="W24" i="7"/>
  <c r="T24" i="7"/>
  <c r="X23" i="7"/>
  <c r="W23" i="7"/>
  <c r="T23" i="7"/>
  <c r="X22" i="7"/>
  <c r="W22" i="7"/>
  <c r="T22" i="7"/>
  <c r="X21" i="7"/>
  <c r="W21" i="7"/>
  <c r="T21" i="7"/>
  <c r="X20" i="7"/>
  <c r="W20" i="7"/>
  <c r="T20" i="7"/>
  <c r="X19" i="7"/>
  <c r="W19" i="7"/>
  <c r="T19" i="7"/>
  <c r="X18" i="7"/>
  <c r="W18" i="7"/>
  <c r="T18" i="7"/>
  <c r="X17" i="7"/>
  <c r="W17" i="7"/>
  <c r="T17" i="7"/>
  <c r="X16" i="7"/>
  <c r="W16" i="7"/>
  <c r="T16" i="7"/>
  <c r="X15" i="7"/>
  <c r="W15" i="7"/>
  <c r="T15" i="7"/>
  <c r="X14" i="7"/>
  <c r="W14" i="7"/>
  <c r="T14" i="7"/>
  <c r="X13" i="7"/>
  <c r="W13" i="7"/>
  <c r="T13" i="7"/>
  <c r="X12" i="7"/>
  <c r="W12" i="7"/>
  <c r="T12" i="7"/>
  <c r="X11" i="7"/>
  <c r="W11" i="7"/>
  <c r="T11" i="7"/>
  <c r="X10" i="7"/>
  <c r="W10" i="7"/>
  <c r="T10" i="7"/>
  <c r="X9" i="7"/>
  <c r="W9" i="7"/>
  <c r="T9" i="7"/>
  <c r="X8" i="7"/>
  <c r="W8" i="7"/>
  <c r="T8" i="7"/>
  <c r="T6" i="7" s="1"/>
  <c r="AD6" i="7"/>
  <c r="AC6" i="7"/>
  <c r="AB6" i="7"/>
  <c r="AA6" i="7"/>
  <c r="Z6" i="7"/>
  <c r="Y6" i="7"/>
  <c r="V6" i="7"/>
  <c r="U6" i="7"/>
  <c r="S6" i="7"/>
  <c r="R6" i="7"/>
  <c r="Q6" i="7"/>
  <c r="P6" i="7"/>
  <c r="O6" i="7"/>
  <c r="N6" i="7"/>
  <c r="M6" i="7"/>
  <c r="L6" i="7"/>
  <c r="K6" i="7"/>
  <c r="J6" i="7"/>
  <c r="I6" i="7"/>
  <c r="H6" i="7"/>
  <c r="G6" i="7"/>
  <c r="F6" i="7"/>
  <c r="E6" i="7"/>
  <c r="D6" i="7"/>
  <c r="C6" i="7"/>
  <c r="B1" i="7"/>
  <c r="C1" i="7" s="1"/>
  <c r="D1" i="7" s="1"/>
  <c r="E1" i="7" s="1"/>
  <c r="F1" i="7" s="1"/>
  <c r="G1" i="7" s="1"/>
  <c r="H1" i="7" s="1"/>
  <c r="I1" i="7" s="1"/>
  <c r="J1" i="7" s="1"/>
  <c r="K1" i="7" s="1"/>
  <c r="L1" i="7" s="1"/>
  <c r="M1" i="7" s="1"/>
  <c r="N1" i="7" s="1"/>
  <c r="O1" i="7" s="1"/>
  <c r="P1" i="7" s="1"/>
  <c r="Q1" i="7" s="1"/>
  <c r="R1" i="7" s="1"/>
  <c r="S1" i="7" s="1"/>
  <c r="T1" i="7" s="1"/>
  <c r="U1" i="7" s="1"/>
  <c r="V1" i="7" s="1"/>
  <c r="W1" i="7" s="1"/>
  <c r="X1" i="7" s="1"/>
  <c r="Y1" i="7" s="1"/>
  <c r="Z1" i="7" s="1"/>
  <c r="AA1" i="7" s="1"/>
  <c r="AB1" i="7" s="1"/>
  <c r="AC1" i="7" s="1"/>
  <c r="AD1" i="7" s="1"/>
  <c r="X325" i="119"/>
  <c r="W325" i="119"/>
  <c r="T325" i="119"/>
  <c r="X324" i="119"/>
  <c r="W324" i="119"/>
  <c r="T324" i="119"/>
  <c r="X323" i="119"/>
  <c r="W323" i="119"/>
  <c r="T323" i="119"/>
  <c r="X322" i="119"/>
  <c r="W322" i="119"/>
  <c r="T322" i="119"/>
  <c r="X321" i="119"/>
  <c r="W321" i="119"/>
  <c r="T321" i="119"/>
  <c r="X320" i="119"/>
  <c r="W320" i="119"/>
  <c r="T320" i="119"/>
  <c r="X319" i="119"/>
  <c r="W319" i="119"/>
  <c r="T319" i="119"/>
  <c r="X318" i="119"/>
  <c r="W318" i="119"/>
  <c r="T318" i="119"/>
  <c r="X317" i="119"/>
  <c r="W317" i="119"/>
  <c r="T317" i="119"/>
  <c r="X316" i="119"/>
  <c r="W316" i="119"/>
  <c r="T316" i="119"/>
  <c r="X315" i="119"/>
  <c r="W315" i="119"/>
  <c r="T315" i="119"/>
  <c r="X314" i="119"/>
  <c r="W314" i="119"/>
  <c r="T314" i="119"/>
  <c r="X313" i="119"/>
  <c r="W313" i="119"/>
  <c r="T313" i="119"/>
  <c r="X312" i="119"/>
  <c r="W312" i="119"/>
  <c r="T312" i="119"/>
  <c r="X311" i="119"/>
  <c r="W311" i="119"/>
  <c r="T311" i="119"/>
  <c r="X310" i="119"/>
  <c r="W310" i="119"/>
  <c r="T310" i="119"/>
  <c r="X309" i="119"/>
  <c r="W309" i="119"/>
  <c r="T309" i="119"/>
  <c r="X308" i="119"/>
  <c r="W308" i="119"/>
  <c r="T308" i="119"/>
  <c r="X307" i="119"/>
  <c r="W307" i="119"/>
  <c r="T307" i="119"/>
  <c r="X306" i="119"/>
  <c r="W306" i="119"/>
  <c r="T306" i="119"/>
  <c r="X305" i="119"/>
  <c r="W305" i="119"/>
  <c r="T305" i="119"/>
  <c r="X304" i="119"/>
  <c r="W304" i="119"/>
  <c r="T304" i="119"/>
  <c r="X303" i="119"/>
  <c r="W303" i="119"/>
  <c r="T303" i="119"/>
  <c r="X302" i="119"/>
  <c r="W302" i="119"/>
  <c r="T302" i="119"/>
  <c r="X301" i="119"/>
  <c r="W301" i="119"/>
  <c r="T301" i="119"/>
  <c r="X300" i="119"/>
  <c r="W300" i="119"/>
  <c r="T300" i="119"/>
  <c r="X299" i="119"/>
  <c r="W299" i="119"/>
  <c r="T299" i="119"/>
  <c r="X298" i="119"/>
  <c r="W298" i="119"/>
  <c r="T298" i="119"/>
  <c r="X297" i="119"/>
  <c r="W297" i="119"/>
  <c r="T297" i="119"/>
  <c r="X296" i="119"/>
  <c r="W296" i="119"/>
  <c r="T296" i="119"/>
  <c r="X295" i="119"/>
  <c r="W295" i="119"/>
  <c r="T295" i="119"/>
  <c r="X294" i="119"/>
  <c r="W294" i="119"/>
  <c r="T294" i="119"/>
  <c r="X293" i="119"/>
  <c r="W293" i="119"/>
  <c r="T293" i="119"/>
  <c r="X292" i="119"/>
  <c r="W292" i="119"/>
  <c r="T292" i="119"/>
  <c r="X291" i="119"/>
  <c r="W291" i="119"/>
  <c r="T291" i="119"/>
  <c r="X290" i="119"/>
  <c r="W290" i="119"/>
  <c r="T290" i="119"/>
  <c r="X289" i="119"/>
  <c r="W289" i="119"/>
  <c r="T289" i="119"/>
  <c r="X288" i="119"/>
  <c r="W288" i="119"/>
  <c r="T288" i="119"/>
  <c r="X287" i="119"/>
  <c r="W287" i="119"/>
  <c r="T287" i="119"/>
  <c r="X286" i="119"/>
  <c r="W286" i="119"/>
  <c r="T286" i="119"/>
  <c r="X285" i="119"/>
  <c r="W285" i="119"/>
  <c r="T285" i="119"/>
  <c r="X284" i="119"/>
  <c r="W284" i="119"/>
  <c r="T284" i="119"/>
  <c r="X283" i="119"/>
  <c r="W283" i="119"/>
  <c r="T283" i="119"/>
  <c r="X282" i="119"/>
  <c r="W282" i="119"/>
  <c r="T282" i="119"/>
  <c r="X281" i="119"/>
  <c r="W281" i="119"/>
  <c r="T281" i="119"/>
  <c r="X280" i="119"/>
  <c r="W280" i="119"/>
  <c r="T280" i="119"/>
  <c r="X279" i="119"/>
  <c r="W279" i="119"/>
  <c r="T279" i="119"/>
  <c r="X278" i="119"/>
  <c r="W278" i="119"/>
  <c r="T278" i="119"/>
  <c r="X277" i="119"/>
  <c r="W277" i="119"/>
  <c r="T277" i="119"/>
  <c r="X276" i="119"/>
  <c r="W276" i="119"/>
  <c r="T276" i="119"/>
  <c r="X275" i="119"/>
  <c r="W275" i="119"/>
  <c r="T275" i="119"/>
  <c r="X274" i="119"/>
  <c r="W274" i="119"/>
  <c r="T274" i="119"/>
  <c r="X273" i="119"/>
  <c r="W273" i="119"/>
  <c r="T273" i="119"/>
  <c r="X272" i="119"/>
  <c r="W272" i="119"/>
  <c r="T272" i="119"/>
  <c r="X271" i="119"/>
  <c r="W271" i="119"/>
  <c r="T271" i="119"/>
  <c r="X270" i="119"/>
  <c r="W270" i="119"/>
  <c r="T270" i="119"/>
  <c r="X269" i="119"/>
  <c r="W269" i="119"/>
  <c r="T269" i="119"/>
  <c r="X268" i="119"/>
  <c r="W268" i="119"/>
  <c r="T268" i="119"/>
  <c r="X267" i="119"/>
  <c r="W267" i="119"/>
  <c r="T267" i="119"/>
  <c r="X266" i="119"/>
  <c r="W266" i="119"/>
  <c r="T266" i="119"/>
  <c r="X265" i="119"/>
  <c r="W265" i="119"/>
  <c r="T265" i="119"/>
  <c r="X264" i="119"/>
  <c r="W264" i="119"/>
  <c r="T264" i="119"/>
  <c r="X263" i="119"/>
  <c r="W263" i="119"/>
  <c r="T263" i="119"/>
  <c r="X262" i="119"/>
  <c r="W262" i="119"/>
  <c r="T262" i="119"/>
  <c r="X261" i="119"/>
  <c r="W261" i="119"/>
  <c r="T261" i="119"/>
  <c r="X260" i="119"/>
  <c r="W260" i="119"/>
  <c r="T260" i="119"/>
  <c r="X259" i="119"/>
  <c r="W259" i="119"/>
  <c r="T259" i="119"/>
  <c r="X258" i="119"/>
  <c r="W258" i="119"/>
  <c r="T258" i="119"/>
  <c r="X257" i="119"/>
  <c r="W257" i="119"/>
  <c r="T257" i="119"/>
  <c r="X256" i="119"/>
  <c r="W256" i="119"/>
  <c r="T256" i="119"/>
  <c r="X255" i="119"/>
  <c r="W255" i="119"/>
  <c r="T255" i="119"/>
  <c r="X254" i="119"/>
  <c r="W254" i="119"/>
  <c r="T254" i="119"/>
  <c r="X253" i="119"/>
  <c r="W253" i="119"/>
  <c r="T253" i="119"/>
  <c r="X252" i="119"/>
  <c r="W252" i="119"/>
  <c r="T252" i="119"/>
  <c r="X251" i="119"/>
  <c r="W251" i="119"/>
  <c r="T251" i="119"/>
  <c r="X250" i="119"/>
  <c r="W250" i="119"/>
  <c r="T250" i="119"/>
  <c r="X249" i="119"/>
  <c r="W249" i="119"/>
  <c r="T249" i="119"/>
  <c r="X248" i="119"/>
  <c r="W248" i="119"/>
  <c r="T248" i="119"/>
  <c r="X247" i="119"/>
  <c r="W247" i="119"/>
  <c r="T247" i="119"/>
  <c r="X246" i="119"/>
  <c r="W246" i="119"/>
  <c r="T246" i="119"/>
  <c r="X245" i="119"/>
  <c r="W245" i="119"/>
  <c r="T245" i="119"/>
  <c r="X244" i="119"/>
  <c r="W244" i="119"/>
  <c r="T244" i="119"/>
  <c r="X243" i="119"/>
  <c r="W243" i="119"/>
  <c r="T243" i="119"/>
  <c r="X242" i="119"/>
  <c r="W242" i="119"/>
  <c r="T242" i="119"/>
  <c r="X241" i="119"/>
  <c r="W241" i="119"/>
  <c r="T241" i="119"/>
  <c r="X240" i="119"/>
  <c r="W240" i="119"/>
  <c r="T240" i="119"/>
  <c r="X239" i="119"/>
  <c r="W239" i="119"/>
  <c r="T239" i="119"/>
  <c r="X238" i="119"/>
  <c r="W238" i="119"/>
  <c r="T238" i="119"/>
  <c r="X237" i="119"/>
  <c r="W237" i="119"/>
  <c r="T237" i="119"/>
  <c r="X236" i="119"/>
  <c r="W236" i="119"/>
  <c r="T236" i="119"/>
  <c r="X235" i="119"/>
  <c r="W235" i="119"/>
  <c r="T235" i="119"/>
  <c r="X234" i="119"/>
  <c r="W234" i="119"/>
  <c r="T234" i="119"/>
  <c r="X233" i="119"/>
  <c r="W233" i="119"/>
  <c r="T233" i="119"/>
  <c r="X232" i="119"/>
  <c r="W232" i="119"/>
  <c r="T232" i="119"/>
  <c r="X231" i="119"/>
  <c r="W231" i="119"/>
  <c r="T231" i="119"/>
  <c r="X230" i="119"/>
  <c r="W230" i="119"/>
  <c r="T230" i="119"/>
  <c r="X229" i="119"/>
  <c r="W229" i="119"/>
  <c r="T229" i="119"/>
  <c r="X228" i="119"/>
  <c r="W228" i="119"/>
  <c r="T228" i="119"/>
  <c r="X227" i="119"/>
  <c r="W227" i="119"/>
  <c r="T227" i="119"/>
  <c r="X226" i="119"/>
  <c r="W226" i="119"/>
  <c r="T226" i="119"/>
  <c r="X225" i="119"/>
  <c r="W225" i="119"/>
  <c r="T225" i="119"/>
  <c r="X224" i="119"/>
  <c r="W224" i="119"/>
  <c r="T224" i="119"/>
  <c r="X223" i="119"/>
  <c r="W223" i="119"/>
  <c r="T223" i="119"/>
  <c r="X222" i="119"/>
  <c r="W222" i="119"/>
  <c r="T222" i="119"/>
  <c r="X221" i="119"/>
  <c r="W221" i="119"/>
  <c r="T221" i="119"/>
  <c r="X220" i="119"/>
  <c r="W220" i="119"/>
  <c r="T220" i="119"/>
  <c r="X219" i="119"/>
  <c r="W219" i="119"/>
  <c r="T219" i="119"/>
  <c r="X218" i="119"/>
  <c r="W218" i="119"/>
  <c r="T218" i="119"/>
  <c r="X217" i="119"/>
  <c r="W217" i="119"/>
  <c r="T217" i="119"/>
  <c r="X216" i="119"/>
  <c r="W216" i="119"/>
  <c r="T216" i="119"/>
  <c r="X215" i="119"/>
  <c r="W215" i="119"/>
  <c r="T215" i="119"/>
  <c r="X214" i="119"/>
  <c r="W214" i="119"/>
  <c r="T214" i="119"/>
  <c r="X213" i="119"/>
  <c r="W213" i="119"/>
  <c r="T213" i="119"/>
  <c r="X212" i="119"/>
  <c r="W212" i="119"/>
  <c r="T212" i="119"/>
  <c r="X211" i="119"/>
  <c r="W211" i="119"/>
  <c r="T211" i="119"/>
  <c r="X210" i="119"/>
  <c r="W210" i="119"/>
  <c r="T210" i="119"/>
  <c r="X209" i="119"/>
  <c r="W209" i="119"/>
  <c r="T209" i="119"/>
  <c r="X208" i="119"/>
  <c r="W208" i="119"/>
  <c r="T208" i="119"/>
  <c r="X207" i="119"/>
  <c r="W207" i="119"/>
  <c r="T207" i="119"/>
  <c r="X206" i="119"/>
  <c r="W206" i="119"/>
  <c r="T206" i="119"/>
  <c r="X205" i="119"/>
  <c r="W205" i="119"/>
  <c r="T205" i="119"/>
  <c r="X204" i="119"/>
  <c r="W204" i="119"/>
  <c r="T204" i="119"/>
  <c r="X203" i="119"/>
  <c r="W203" i="119"/>
  <c r="T203" i="119"/>
  <c r="X202" i="119"/>
  <c r="W202" i="119"/>
  <c r="T202" i="119"/>
  <c r="X201" i="119"/>
  <c r="W201" i="119"/>
  <c r="T201" i="119"/>
  <c r="X200" i="119"/>
  <c r="W200" i="119"/>
  <c r="T200" i="119"/>
  <c r="X199" i="119"/>
  <c r="W199" i="119"/>
  <c r="T199" i="119"/>
  <c r="X198" i="119"/>
  <c r="W198" i="119"/>
  <c r="T198" i="119"/>
  <c r="X197" i="119"/>
  <c r="W197" i="119"/>
  <c r="T197" i="119"/>
  <c r="X196" i="119"/>
  <c r="W196" i="119"/>
  <c r="T196" i="119"/>
  <c r="X195" i="119"/>
  <c r="W195" i="119"/>
  <c r="T195" i="119"/>
  <c r="X194" i="119"/>
  <c r="W194" i="119"/>
  <c r="T194" i="119"/>
  <c r="X193" i="119"/>
  <c r="W193" i="119"/>
  <c r="T193" i="119"/>
  <c r="X192" i="119"/>
  <c r="W192" i="119"/>
  <c r="T192" i="119"/>
  <c r="X191" i="119"/>
  <c r="W191" i="119"/>
  <c r="T191" i="119"/>
  <c r="X190" i="119"/>
  <c r="W190" i="119"/>
  <c r="T190" i="119"/>
  <c r="X189" i="119"/>
  <c r="W189" i="119"/>
  <c r="T189" i="119"/>
  <c r="X188" i="119"/>
  <c r="W188" i="119"/>
  <c r="T188" i="119"/>
  <c r="X187" i="119"/>
  <c r="W187" i="119"/>
  <c r="T187" i="119"/>
  <c r="X186" i="119"/>
  <c r="W186" i="119"/>
  <c r="T186" i="119"/>
  <c r="X185" i="119"/>
  <c r="W185" i="119"/>
  <c r="T185" i="119"/>
  <c r="X184" i="119"/>
  <c r="W184" i="119"/>
  <c r="T184" i="119"/>
  <c r="X183" i="119"/>
  <c r="W183" i="119"/>
  <c r="T183" i="119"/>
  <c r="X182" i="119"/>
  <c r="W182" i="119"/>
  <c r="T182" i="119"/>
  <c r="X181" i="119"/>
  <c r="W181" i="119"/>
  <c r="T181" i="119"/>
  <c r="X180" i="119"/>
  <c r="W180" i="119"/>
  <c r="T180" i="119"/>
  <c r="X179" i="119"/>
  <c r="W179" i="119"/>
  <c r="T179" i="119"/>
  <c r="X178" i="119"/>
  <c r="W178" i="119"/>
  <c r="T178" i="119"/>
  <c r="X177" i="119"/>
  <c r="W177" i="119"/>
  <c r="T177" i="119"/>
  <c r="X176" i="119"/>
  <c r="W176" i="119"/>
  <c r="T176" i="119"/>
  <c r="X175" i="119"/>
  <c r="W175" i="119"/>
  <c r="T175" i="119"/>
  <c r="X174" i="119"/>
  <c r="W174" i="119"/>
  <c r="T174" i="119"/>
  <c r="X173" i="119"/>
  <c r="W173" i="119"/>
  <c r="T173" i="119"/>
  <c r="X172" i="119"/>
  <c r="W172" i="119"/>
  <c r="T172" i="119"/>
  <c r="X171" i="119"/>
  <c r="W171" i="119"/>
  <c r="T171" i="119"/>
  <c r="X170" i="119"/>
  <c r="W170" i="119"/>
  <c r="T170" i="119"/>
  <c r="X169" i="119"/>
  <c r="W169" i="119"/>
  <c r="T169" i="119"/>
  <c r="X168" i="119"/>
  <c r="W168" i="119"/>
  <c r="T168" i="119"/>
  <c r="X167" i="119"/>
  <c r="W167" i="119"/>
  <c r="T167" i="119"/>
  <c r="X166" i="119"/>
  <c r="W166" i="119"/>
  <c r="T166" i="119"/>
  <c r="X165" i="119"/>
  <c r="W165" i="119"/>
  <c r="T165" i="119"/>
  <c r="X164" i="119"/>
  <c r="W164" i="119"/>
  <c r="T164" i="119"/>
  <c r="X163" i="119"/>
  <c r="W163" i="119"/>
  <c r="T163" i="119"/>
  <c r="X162" i="119"/>
  <c r="W162" i="119"/>
  <c r="T162" i="119"/>
  <c r="X161" i="119"/>
  <c r="W161" i="119"/>
  <c r="T161" i="119"/>
  <c r="X160" i="119"/>
  <c r="W160" i="119"/>
  <c r="T160" i="119"/>
  <c r="X159" i="119"/>
  <c r="W159" i="119"/>
  <c r="T159" i="119"/>
  <c r="X158" i="119"/>
  <c r="W158" i="119"/>
  <c r="T158" i="119"/>
  <c r="X157" i="119"/>
  <c r="W157" i="119"/>
  <c r="T157" i="119"/>
  <c r="X156" i="119"/>
  <c r="W156" i="119"/>
  <c r="T156" i="119"/>
  <c r="X155" i="119"/>
  <c r="W155" i="119"/>
  <c r="T155" i="119"/>
  <c r="X154" i="119"/>
  <c r="W154" i="119"/>
  <c r="T154" i="119"/>
  <c r="X153" i="119"/>
  <c r="W153" i="119"/>
  <c r="T153" i="119"/>
  <c r="X152" i="119"/>
  <c r="W152" i="119"/>
  <c r="T152" i="119"/>
  <c r="X151" i="119"/>
  <c r="W151" i="119"/>
  <c r="T151" i="119"/>
  <c r="X150" i="119"/>
  <c r="W150" i="119"/>
  <c r="T150" i="119"/>
  <c r="X149" i="119"/>
  <c r="W149" i="119"/>
  <c r="T149" i="119"/>
  <c r="X148" i="119"/>
  <c r="W148" i="119"/>
  <c r="T148" i="119"/>
  <c r="X147" i="119"/>
  <c r="W147" i="119"/>
  <c r="T147" i="119"/>
  <c r="X146" i="119"/>
  <c r="W146" i="119"/>
  <c r="T146" i="119"/>
  <c r="X145" i="119"/>
  <c r="W145" i="119"/>
  <c r="T145" i="119"/>
  <c r="X144" i="119"/>
  <c r="W144" i="119"/>
  <c r="T144" i="119"/>
  <c r="X143" i="119"/>
  <c r="W143" i="119"/>
  <c r="T143" i="119"/>
  <c r="X142" i="119"/>
  <c r="W142" i="119"/>
  <c r="T142" i="119"/>
  <c r="X141" i="119"/>
  <c r="W141" i="119"/>
  <c r="T141" i="119"/>
  <c r="X140" i="119"/>
  <c r="W140" i="119"/>
  <c r="T140" i="119"/>
  <c r="X139" i="119"/>
  <c r="W139" i="119"/>
  <c r="T139" i="119"/>
  <c r="X138" i="119"/>
  <c r="W138" i="119"/>
  <c r="T138" i="119"/>
  <c r="X137" i="119"/>
  <c r="W137" i="119"/>
  <c r="T137" i="119"/>
  <c r="X136" i="119"/>
  <c r="W136" i="119"/>
  <c r="T136" i="119"/>
  <c r="X135" i="119"/>
  <c r="W135" i="119"/>
  <c r="T135" i="119"/>
  <c r="X134" i="119"/>
  <c r="W134" i="119"/>
  <c r="T134" i="119"/>
  <c r="X133" i="119"/>
  <c r="W133" i="119"/>
  <c r="T133" i="119"/>
  <c r="X132" i="119"/>
  <c r="W132" i="119"/>
  <c r="T132" i="119"/>
  <c r="X131" i="119"/>
  <c r="W131" i="119"/>
  <c r="T131" i="119"/>
  <c r="X130" i="119"/>
  <c r="W130" i="119"/>
  <c r="T130" i="119"/>
  <c r="X129" i="119"/>
  <c r="W129" i="119"/>
  <c r="T129" i="119"/>
  <c r="X128" i="119"/>
  <c r="W128" i="119"/>
  <c r="T128" i="119"/>
  <c r="X127" i="119"/>
  <c r="W127" i="119"/>
  <c r="T127" i="119"/>
  <c r="X126" i="119"/>
  <c r="W126" i="119"/>
  <c r="T126" i="119"/>
  <c r="X125" i="119"/>
  <c r="W125" i="119"/>
  <c r="T125" i="119"/>
  <c r="X124" i="119"/>
  <c r="W124" i="119"/>
  <c r="T124" i="119"/>
  <c r="X123" i="119"/>
  <c r="W123" i="119"/>
  <c r="T123" i="119"/>
  <c r="X122" i="119"/>
  <c r="W122" i="119"/>
  <c r="T122" i="119"/>
  <c r="X121" i="119"/>
  <c r="W121" i="119"/>
  <c r="T121" i="119"/>
  <c r="X120" i="119"/>
  <c r="W120" i="119"/>
  <c r="T120" i="119"/>
  <c r="X119" i="119"/>
  <c r="W119" i="119"/>
  <c r="T119" i="119"/>
  <c r="X118" i="119"/>
  <c r="W118" i="119"/>
  <c r="T118" i="119"/>
  <c r="X117" i="119"/>
  <c r="W117" i="119"/>
  <c r="T117" i="119"/>
  <c r="X116" i="119"/>
  <c r="W116" i="119"/>
  <c r="T116" i="119"/>
  <c r="X115" i="119"/>
  <c r="W115" i="119"/>
  <c r="T115" i="119"/>
  <c r="X114" i="119"/>
  <c r="W114" i="119"/>
  <c r="T114" i="119"/>
  <c r="X113" i="119"/>
  <c r="W113" i="119"/>
  <c r="T113" i="119"/>
  <c r="X112" i="119"/>
  <c r="W112" i="119"/>
  <c r="T112" i="119"/>
  <c r="X111" i="119"/>
  <c r="W111" i="119"/>
  <c r="T111" i="119"/>
  <c r="X110" i="119"/>
  <c r="W110" i="119"/>
  <c r="T110" i="119"/>
  <c r="X109" i="119"/>
  <c r="W109" i="119"/>
  <c r="T109" i="119"/>
  <c r="X108" i="119"/>
  <c r="W108" i="119"/>
  <c r="T108" i="119"/>
  <c r="X107" i="119"/>
  <c r="W107" i="119"/>
  <c r="T107" i="119"/>
  <c r="X106" i="119"/>
  <c r="W106" i="119"/>
  <c r="T106" i="119"/>
  <c r="X105" i="119"/>
  <c r="W105" i="119"/>
  <c r="T105" i="119"/>
  <c r="X104" i="119"/>
  <c r="W104" i="119"/>
  <c r="T104" i="119"/>
  <c r="X103" i="119"/>
  <c r="W103" i="119"/>
  <c r="T103" i="119"/>
  <c r="X102" i="119"/>
  <c r="W102" i="119"/>
  <c r="T102" i="119"/>
  <c r="X101" i="119"/>
  <c r="W101" i="119"/>
  <c r="T101" i="119"/>
  <c r="X100" i="119"/>
  <c r="W100" i="119"/>
  <c r="T100" i="119"/>
  <c r="X99" i="119"/>
  <c r="W99" i="119"/>
  <c r="T99" i="119"/>
  <c r="X98" i="119"/>
  <c r="W98" i="119"/>
  <c r="T98" i="119"/>
  <c r="X97" i="119"/>
  <c r="W97" i="119"/>
  <c r="T97" i="119"/>
  <c r="X96" i="119"/>
  <c r="W96" i="119"/>
  <c r="T96" i="119"/>
  <c r="X95" i="119"/>
  <c r="W95" i="119"/>
  <c r="T95" i="119"/>
  <c r="X94" i="119"/>
  <c r="W94" i="119"/>
  <c r="T94" i="119"/>
  <c r="X93" i="119"/>
  <c r="W93" i="119"/>
  <c r="T93" i="119"/>
  <c r="X92" i="119"/>
  <c r="W92" i="119"/>
  <c r="T92" i="119"/>
  <c r="X91" i="119"/>
  <c r="W91" i="119"/>
  <c r="T91" i="119"/>
  <c r="X90" i="119"/>
  <c r="W90" i="119"/>
  <c r="T90" i="119"/>
  <c r="X89" i="119"/>
  <c r="W89" i="119"/>
  <c r="T89" i="119"/>
  <c r="X88" i="119"/>
  <c r="W88" i="119"/>
  <c r="T88" i="119"/>
  <c r="X87" i="119"/>
  <c r="W87" i="119"/>
  <c r="T87" i="119"/>
  <c r="X86" i="119"/>
  <c r="W86" i="119"/>
  <c r="T86" i="119"/>
  <c r="X85" i="119"/>
  <c r="W85" i="119"/>
  <c r="T85" i="119"/>
  <c r="X84" i="119"/>
  <c r="W84" i="119"/>
  <c r="T84" i="119"/>
  <c r="X83" i="119"/>
  <c r="W83" i="119"/>
  <c r="T83" i="119"/>
  <c r="X82" i="119"/>
  <c r="W82" i="119"/>
  <c r="T82" i="119"/>
  <c r="X81" i="119"/>
  <c r="W81" i="119"/>
  <c r="T81" i="119"/>
  <c r="X80" i="119"/>
  <c r="W80" i="119"/>
  <c r="T80" i="119"/>
  <c r="X79" i="119"/>
  <c r="W79" i="119"/>
  <c r="T79" i="119"/>
  <c r="X78" i="119"/>
  <c r="W78" i="119"/>
  <c r="T78" i="119"/>
  <c r="X77" i="119"/>
  <c r="W77" i="119"/>
  <c r="T77" i="119"/>
  <c r="X76" i="119"/>
  <c r="W76" i="119"/>
  <c r="T76" i="119"/>
  <c r="X75" i="119"/>
  <c r="W75" i="119"/>
  <c r="T75" i="119"/>
  <c r="X74" i="119"/>
  <c r="W74" i="119"/>
  <c r="T74" i="119"/>
  <c r="X73" i="119"/>
  <c r="W73" i="119"/>
  <c r="T73" i="119"/>
  <c r="X72" i="119"/>
  <c r="W72" i="119"/>
  <c r="T72" i="119"/>
  <c r="X71" i="119"/>
  <c r="W71" i="119"/>
  <c r="T71" i="119"/>
  <c r="X70" i="119"/>
  <c r="W70" i="119"/>
  <c r="T70" i="119"/>
  <c r="X69" i="119"/>
  <c r="W69" i="119"/>
  <c r="T69" i="119"/>
  <c r="X68" i="119"/>
  <c r="W68" i="119"/>
  <c r="T68" i="119"/>
  <c r="X67" i="119"/>
  <c r="W67" i="119"/>
  <c r="T67" i="119"/>
  <c r="X66" i="119"/>
  <c r="W66" i="119"/>
  <c r="T66" i="119"/>
  <c r="X65" i="119"/>
  <c r="W65" i="119"/>
  <c r="T65" i="119"/>
  <c r="X64" i="119"/>
  <c r="W64" i="119"/>
  <c r="T64" i="119"/>
  <c r="X63" i="119"/>
  <c r="W63" i="119"/>
  <c r="T63" i="119"/>
  <c r="X62" i="119"/>
  <c r="W62" i="119"/>
  <c r="T62" i="119"/>
  <c r="X61" i="119"/>
  <c r="W61" i="119"/>
  <c r="T61" i="119"/>
  <c r="X60" i="119"/>
  <c r="W60" i="119"/>
  <c r="T60" i="119"/>
  <c r="X59" i="119"/>
  <c r="W59" i="119"/>
  <c r="T59" i="119"/>
  <c r="X58" i="119"/>
  <c r="W58" i="119"/>
  <c r="T58" i="119"/>
  <c r="X57" i="119"/>
  <c r="W57" i="119"/>
  <c r="T57" i="119"/>
  <c r="X56" i="119"/>
  <c r="W56" i="119"/>
  <c r="T56" i="119"/>
  <c r="X55" i="119"/>
  <c r="W55" i="119"/>
  <c r="T55" i="119"/>
  <c r="X54" i="119"/>
  <c r="W54" i="119"/>
  <c r="T54" i="119"/>
  <c r="X53" i="119"/>
  <c r="W53" i="119"/>
  <c r="T53" i="119"/>
  <c r="X52" i="119"/>
  <c r="W52" i="119"/>
  <c r="T52" i="119"/>
  <c r="X51" i="119"/>
  <c r="W51" i="119"/>
  <c r="T51" i="119"/>
  <c r="X50" i="119"/>
  <c r="W50" i="119"/>
  <c r="T50" i="119"/>
  <c r="X49" i="119"/>
  <c r="W49" i="119"/>
  <c r="T49" i="119"/>
  <c r="X48" i="119"/>
  <c r="W48" i="119"/>
  <c r="T48" i="119"/>
  <c r="X47" i="119"/>
  <c r="W47" i="119"/>
  <c r="T47" i="119"/>
  <c r="X46" i="119"/>
  <c r="W46" i="119"/>
  <c r="T46" i="119"/>
  <c r="X45" i="119"/>
  <c r="W45" i="119"/>
  <c r="T45" i="119"/>
  <c r="X44" i="119"/>
  <c r="W44" i="119"/>
  <c r="T44" i="119"/>
  <c r="X43" i="119"/>
  <c r="W43" i="119"/>
  <c r="T43" i="119"/>
  <c r="X42" i="119"/>
  <c r="W42" i="119"/>
  <c r="T42" i="119"/>
  <c r="X41" i="119"/>
  <c r="W41" i="119"/>
  <c r="T41" i="119"/>
  <c r="X40" i="119"/>
  <c r="W40" i="119"/>
  <c r="T40" i="119"/>
  <c r="X39" i="119"/>
  <c r="W39" i="119"/>
  <c r="T39" i="119"/>
  <c r="X38" i="119"/>
  <c r="W38" i="119"/>
  <c r="T38" i="119"/>
  <c r="X37" i="119"/>
  <c r="W37" i="119"/>
  <c r="T37" i="119"/>
  <c r="X36" i="119"/>
  <c r="W36" i="119"/>
  <c r="T36" i="119"/>
  <c r="X35" i="119"/>
  <c r="W35" i="119"/>
  <c r="T35" i="119"/>
  <c r="X34" i="119"/>
  <c r="W34" i="119"/>
  <c r="T34" i="119"/>
  <c r="X33" i="119"/>
  <c r="W33" i="119"/>
  <c r="T33" i="119"/>
  <c r="X32" i="119"/>
  <c r="W32" i="119"/>
  <c r="T32" i="119"/>
  <c r="X31" i="119"/>
  <c r="W31" i="119"/>
  <c r="T31" i="119"/>
  <c r="X30" i="119"/>
  <c r="W30" i="119"/>
  <c r="T30" i="119"/>
  <c r="X29" i="119"/>
  <c r="W29" i="119"/>
  <c r="T29" i="119"/>
  <c r="X28" i="119"/>
  <c r="W28" i="119"/>
  <c r="T28" i="119"/>
  <c r="X27" i="119"/>
  <c r="W27" i="119"/>
  <c r="T27" i="119"/>
  <c r="X26" i="119"/>
  <c r="W26" i="119"/>
  <c r="T26" i="119"/>
  <c r="X25" i="119"/>
  <c r="W25" i="119"/>
  <c r="T25" i="119"/>
  <c r="X24" i="119"/>
  <c r="W24" i="119"/>
  <c r="T24" i="119"/>
  <c r="X23" i="119"/>
  <c r="W23" i="119"/>
  <c r="T23" i="119"/>
  <c r="X22" i="119"/>
  <c r="W22" i="119"/>
  <c r="T22" i="119"/>
  <c r="X21" i="119"/>
  <c r="W21" i="119"/>
  <c r="T21" i="119"/>
  <c r="X20" i="119"/>
  <c r="W20" i="119"/>
  <c r="T20" i="119"/>
  <c r="X19" i="119"/>
  <c r="W19" i="119"/>
  <c r="T19" i="119"/>
  <c r="X18" i="119"/>
  <c r="W18" i="119"/>
  <c r="T18" i="119"/>
  <c r="X17" i="119"/>
  <c r="W17" i="119"/>
  <c r="T17" i="119"/>
  <c r="X16" i="119"/>
  <c r="W16" i="119"/>
  <c r="T16" i="119"/>
  <c r="X15" i="119"/>
  <c r="W15" i="119"/>
  <c r="T15" i="119"/>
  <c r="X14" i="119"/>
  <c r="W14" i="119"/>
  <c r="T14" i="119"/>
  <c r="X13" i="119"/>
  <c r="W13" i="119"/>
  <c r="T13" i="119"/>
  <c r="X12" i="119"/>
  <c r="W12" i="119"/>
  <c r="T12" i="119"/>
  <c r="X11" i="119"/>
  <c r="W11" i="119"/>
  <c r="T11" i="119"/>
  <c r="X10" i="119"/>
  <c r="W10" i="119"/>
  <c r="T10" i="119"/>
  <c r="X9" i="119"/>
  <c r="W9" i="119"/>
  <c r="T9" i="119"/>
  <c r="X8" i="119"/>
  <c r="W8" i="119"/>
  <c r="T8" i="119"/>
  <c r="AD6" i="119"/>
  <c r="AC6" i="119"/>
  <c r="AB6" i="119"/>
  <c r="AA6" i="119"/>
  <c r="Z6" i="119"/>
  <c r="Y6" i="119"/>
  <c r="V6" i="119"/>
  <c r="U6" i="119"/>
  <c r="S6" i="119"/>
  <c r="R6" i="119"/>
  <c r="Q6" i="119"/>
  <c r="P6" i="119"/>
  <c r="O6" i="119"/>
  <c r="N6" i="119"/>
  <c r="M6" i="119"/>
  <c r="L6" i="119"/>
  <c r="K6" i="119"/>
  <c r="J6" i="119"/>
  <c r="I6" i="119"/>
  <c r="H6" i="119"/>
  <c r="G6" i="119"/>
  <c r="F6" i="119"/>
  <c r="E6" i="119"/>
  <c r="D6" i="119"/>
  <c r="C6" i="119"/>
  <c r="B1" i="119"/>
  <c r="C1" i="119" s="1"/>
  <c r="D1" i="119" s="1"/>
  <c r="E1" i="119" s="1"/>
  <c r="F1" i="119" s="1"/>
  <c r="G1" i="119" s="1"/>
  <c r="H1" i="119" s="1"/>
  <c r="I1" i="119" s="1"/>
  <c r="J1" i="119" s="1"/>
  <c r="K1" i="119" s="1"/>
  <c r="L1" i="119" s="1"/>
  <c r="M1" i="119" s="1"/>
  <c r="N1" i="119" s="1"/>
  <c r="O1" i="119" s="1"/>
  <c r="P1" i="119" s="1"/>
  <c r="Q1" i="119" s="1"/>
  <c r="R1" i="119" s="1"/>
  <c r="S1" i="119" s="1"/>
  <c r="T1" i="119" s="1"/>
  <c r="U1" i="119" s="1"/>
  <c r="V1" i="119" s="1"/>
  <c r="W1" i="119" s="1"/>
  <c r="X1" i="119" s="1"/>
  <c r="Y1" i="119" s="1"/>
  <c r="Z1" i="119" s="1"/>
  <c r="AA1" i="119" s="1"/>
  <c r="AB1" i="119" s="1"/>
  <c r="AC1" i="119" s="1"/>
  <c r="AD1" i="119" s="1"/>
  <c r="X325" i="20"/>
  <c r="W325" i="20"/>
  <c r="T325" i="20"/>
  <c r="X324" i="20"/>
  <c r="W324" i="20"/>
  <c r="T324" i="20"/>
  <c r="X323" i="20"/>
  <c r="W323" i="20"/>
  <c r="T323" i="20"/>
  <c r="X322" i="20"/>
  <c r="W322" i="20"/>
  <c r="T322" i="20"/>
  <c r="X321" i="20"/>
  <c r="W321" i="20"/>
  <c r="T321" i="20"/>
  <c r="X320" i="20"/>
  <c r="W320" i="20"/>
  <c r="T320" i="20"/>
  <c r="X319" i="20"/>
  <c r="W319" i="20"/>
  <c r="T319" i="20"/>
  <c r="X318" i="20"/>
  <c r="W318" i="20"/>
  <c r="T318" i="20"/>
  <c r="X317" i="20"/>
  <c r="W317" i="20"/>
  <c r="T317" i="20"/>
  <c r="X316" i="20"/>
  <c r="W316" i="20"/>
  <c r="T316" i="20"/>
  <c r="X315" i="20"/>
  <c r="W315" i="20"/>
  <c r="T315" i="20"/>
  <c r="X314" i="20"/>
  <c r="W314" i="20"/>
  <c r="T314" i="20"/>
  <c r="X313" i="20"/>
  <c r="W313" i="20"/>
  <c r="T313" i="20"/>
  <c r="X312" i="20"/>
  <c r="W312" i="20"/>
  <c r="T312" i="20"/>
  <c r="X311" i="20"/>
  <c r="W311" i="20"/>
  <c r="T311" i="20"/>
  <c r="X310" i="20"/>
  <c r="W310" i="20"/>
  <c r="T310" i="20"/>
  <c r="X309" i="20"/>
  <c r="W309" i="20"/>
  <c r="T309" i="20"/>
  <c r="X308" i="20"/>
  <c r="W308" i="20"/>
  <c r="T308" i="20"/>
  <c r="X307" i="20"/>
  <c r="W307" i="20"/>
  <c r="T307" i="20"/>
  <c r="X306" i="20"/>
  <c r="W306" i="20"/>
  <c r="T306" i="20"/>
  <c r="X305" i="20"/>
  <c r="W305" i="20"/>
  <c r="T305" i="20"/>
  <c r="X304" i="20"/>
  <c r="W304" i="20"/>
  <c r="T304" i="20"/>
  <c r="X303" i="20"/>
  <c r="W303" i="20"/>
  <c r="T303" i="20"/>
  <c r="X302" i="20"/>
  <c r="W302" i="20"/>
  <c r="T302" i="20"/>
  <c r="X301" i="20"/>
  <c r="W301" i="20"/>
  <c r="T301" i="20"/>
  <c r="X300" i="20"/>
  <c r="W300" i="20"/>
  <c r="T300" i="20"/>
  <c r="X299" i="20"/>
  <c r="W299" i="20"/>
  <c r="T299" i="20"/>
  <c r="X298" i="20"/>
  <c r="W298" i="20"/>
  <c r="T298" i="20"/>
  <c r="X297" i="20"/>
  <c r="W297" i="20"/>
  <c r="T297" i="20"/>
  <c r="X296" i="20"/>
  <c r="W296" i="20"/>
  <c r="T296" i="20"/>
  <c r="X295" i="20"/>
  <c r="W295" i="20"/>
  <c r="T295" i="20"/>
  <c r="X294" i="20"/>
  <c r="W294" i="20"/>
  <c r="T294" i="20"/>
  <c r="X293" i="20"/>
  <c r="W293" i="20"/>
  <c r="T293" i="20"/>
  <c r="X292" i="20"/>
  <c r="W292" i="20"/>
  <c r="T292" i="20"/>
  <c r="X291" i="20"/>
  <c r="W291" i="20"/>
  <c r="T291" i="20"/>
  <c r="X290" i="20"/>
  <c r="W290" i="20"/>
  <c r="T290" i="20"/>
  <c r="X289" i="20"/>
  <c r="W289" i="20"/>
  <c r="T289" i="20"/>
  <c r="X288" i="20"/>
  <c r="W288" i="20"/>
  <c r="T288" i="20"/>
  <c r="X287" i="20"/>
  <c r="W287" i="20"/>
  <c r="T287" i="20"/>
  <c r="X286" i="20"/>
  <c r="W286" i="20"/>
  <c r="T286" i="20"/>
  <c r="X285" i="20"/>
  <c r="W285" i="20"/>
  <c r="T285" i="20"/>
  <c r="X284" i="20"/>
  <c r="W284" i="20"/>
  <c r="T284" i="20"/>
  <c r="X283" i="20"/>
  <c r="W283" i="20"/>
  <c r="T283" i="20"/>
  <c r="X282" i="20"/>
  <c r="W282" i="20"/>
  <c r="T282" i="20"/>
  <c r="X281" i="20"/>
  <c r="W281" i="20"/>
  <c r="T281" i="20"/>
  <c r="X280" i="20"/>
  <c r="W280" i="20"/>
  <c r="T280" i="20"/>
  <c r="X279" i="20"/>
  <c r="W279" i="20"/>
  <c r="T279" i="20"/>
  <c r="X278" i="20"/>
  <c r="W278" i="20"/>
  <c r="T278" i="20"/>
  <c r="X277" i="20"/>
  <c r="W277" i="20"/>
  <c r="T277" i="20"/>
  <c r="X276" i="20"/>
  <c r="W276" i="20"/>
  <c r="T276" i="20"/>
  <c r="X275" i="20"/>
  <c r="W275" i="20"/>
  <c r="T275" i="20"/>
  <c r="X274" i="20"/>
  <c r="W274" i="20"/>
  <c r="T274" i="20"/>
  <c r="X273" i="20"/>
  <c r="W273" i="20"/>
  <c r="T273" i="20"/>
  <c r="X272" i="20"/>
  <c r="W272" i="20"/>
  <c r="T272" i="20"/>
  <c r="X271" i="20"/>
  <c r="W271" i="20"/>
  <c r="T271" i="20"/>
  <c r="X270" i="20"/>
  <c r="W270" i="20"/>
  <c r="T270" i="20"/>
  <c r="X269" i="20"/>
  <c r="W269" i="20"/>
  <c r="T269" i="20"/>
  <c r="X268" i="20"/>
  <c r="W268" i="20"/>
  <c r="T268" i="20"/>
  <c r="X267" i="20"/>
  <c r="W267" i="20"/>
  <c r="T267" i="20"/>
  <c r="X266" i="20"/>
  <c r="W266" i="20"/>
  <c r="T266" i="20"/>
  <c r="X265" i="20"/>
  <c r="W265" i="20"/>
  <c r="T265" i="20"/>
  <c r="X264" i="20"/>
  <c r="W264" i="20"/>
  <c r="T264" i="20"/>
  <c r="X263" i="20"/>
  <c r="W263" i="20"/>
  <c r="T263" i="20"/>
  <c r="X262" i="20"/>
  <c r="W262" i="20"/>
  <c r="T262" i="20"/>
  <c r="X261" i="20"/>
  <c r="W261" i="20"/>
  <c r="T261" i="20"/>
  <c r="X260" i="20"/>
  <c r="W260" i="20"/>
  <c r="T260" i="20"/>
  <c r="X259" i="20"/>
  <c r="W259" i="20"/>
  <c r="T259" i="20"/>
  <c r="X258" i="20"/>
  <c r="W258" i="20"/>
  <c r="T258" i="20"/>
  <c r="X257" i="20"/>
  <c r="W257" i="20"/>
  <c r="T257" i="20"/>
  <c r="X256" i="20"/>
  <c r="W256" i="20"/>
  <c r="T256" i="20"/>
  <c r="X255" i="20"/>
  <c r="W255" i="20"/>
  <c r="T255" i="20"/>
  <c r="X254" i="20"/>
  <c r="W254" i="20"/>
  <c r="T254" i="20"/>
  <c r="X253" i="20"/>
  <c r="W253" i="20"/>
  <c r="T253" i="20"/>
  <c r="X252" i="20"/>
  <c r="W252" i="20"/>
  <c r="T252" i="20"/>
  <c r="X251" i="20"/>
  <c r="W251" i="20"/>
  <c r="T251" i="20"/>
  <c r="X250" i="20"/>
  <c r="W250" i="20"/>
  <c r="T250" i="20"/>
  <c r="X249" i="20"/>
  <c r="W249" i="20"/>
  <c r="T249" i="20"/>
  <c r="X248" i="20"/>
  <c r="W248" i="20"/>
  <c r="T248" i="20"/>
  <c r="X247" i="20"/>
  <c r="W247" i="20"/>
  <c r="T247" i="20"/>
  <c r="X246" i="20"/>
  <c r="W246" i="20"/>
  <c r="T246" i="20"/>
  <c r="X245" i="20"/>
  <c r="W245" i="20"/>
  <c r="T245" i="20"/>
  <c r="X244" i="20"/>
  <c r="W244" i="20"/>
  <c r="T244" i="20"/>
  <c r="X243" i="20"/>
  <c r="W243" i="20"/>
  <c r="T243" i="20"/>
  <c r="X242" i="20"/>
  <c r="W242" i="20"/>
  <c r="T242" i="20"/>
  <c r="X241" i="20"/>
  <c r="W241" i="20"/>
  <c r="T241" i="20"/>
  <c r="X240" i="20"/>
  <c r="W240" i="20"/>
  <c r="T240" i="20"/>
  <c r="X239" i="20"/>
  <c r="W239" i="20"/>
  <c r="T239" i="20"/>
  <c r="X238" i="20"/>
  <c r="W238" i="20"/>
  <c r="T238" i="20"/>
  <c r="X237" i="20"/>
  <c r="W237" i="20"/>
  <c r="T237" i="20"/>
  <c r="X236" i="20"/>
  <c r="W236" i="20"/>
  <c r="T236" i="20"/>
  <c r="X235" i="20"/>
  <c r="W235" i="20"/>
  <c r="T235" i="20"/>
  <c r="X234" i="20"/>
  <c r="W234" i="20"/>
  <c r="T234" i="20"/>
  <c r="X233" i="20"/>
  <c r="W233" i="20"/>
  <c r="T233" i="20"/>
  <c r="X232" i="20"/>
  <c r="W232" i="20"/>
  <c r="T232" i="20"/>
  <c r="X231" i="20"/>
  <c r="W231" i="20"/>
  <c r="T231" i="20"/>
  <c r="X230" i="20"/>
  <c r="W230" i="20"/>
  <c r="T230" i="20"/>
  <c r="X229" i="20"/>
  <c r="W229" i="20"/>
  <c r="T229" i="20"/>
  <c r="X228" i="20"/>
  <c r="W228" i="20"/>
  <c r="T228" i="20"/>
  <c r="X227" i="20"/>
  <c r="W227" i="20"/>
  <c r="T227" i="20"/>
  <c r="X226" i="20"/>
  <c r="W226" i="20"/>
  <c r="T226" i="20"/>
  <c r="X225" i="20"/>
  <c r="W225" i="20"/>
  <c r="T225" i="20"/>
  <c r="X224" i="20"/>
  <c r="W224" i="20"/>
  <c r="T224" i="20"/>
  <c r="X223" i="20"/>
  <c r="W223" i="20"/>
  <c r="T223" i="20"/>
  <c r="X222" i="20"/>
  <c r="W222" i="20"/>
  <c r="T222" i="20"/>
  <c r="X221" i="20"/>
  <c r="W221" i="20"/>
  <c r="T221" i="20"/>
  <c r="X220" i="20"/>
  <c r="W220" i="20"/>
  <c r="T220" i="20"/>
  <c r="X219" i="20"/>
  <c r="W219" i="20"/>
  <c r="T219" i="20"/>
  <c r="X218" i="20"/>
  <c r="W218" i="20"/>
  <c r="T218" i="20"/>
  <c r="X217" i="20"/>
  <c r="W217" i="20"/>
  <c r="T217" i="20"/>
  <c r="X216" i="20"/>
  <c r="W216" i="20"/>
  <c r="T216" i="20"/>
  <c r="X215" i="20"/>
  <c r="W215" i="20"/>
  <c r="T215" i="20"/>
  <c r="X214" i="20"/>
  <c r="W214" i="20"/>
  <c r="T214" i="20"/>
  <c r="X213" i="20"/>
  <c r="W213" i="20"/>
  <c r="T213" i="20"/>
  <c r="X212" i="20"/>
  <c r="W212" i="20"/>
  <c r="T212" i="20"/>
  <c r="X211" i="20"/>
  <c r="W211" i="20"/>
  <c r="T211" i="20"/>
  <c r="X210" i="20"/>
  <c r="W210" i="20"/>
  <c r="T210" i="20"/>
  <c r="X209" i="20"/>
  <c r="W209" i="20"/>
  <c r="T209" i="20"/>
  <c r="X208" i="20"/>
  <c r="W208" i="20"/>
  <c r="T208" i="20"/>
  <c r="X207" i="20"/>
  <c r="W207" i="20"/>
  <c r="T207" i="20"/>
  <c r="X206" i="20"/>
  <c r="W206" i="20"/>
  <c r="T206" i="20"/>
  <c r="X205" i="20"/>
  <c r="W205" i="20"/>
  <c r="T205" i="20"/>
  <c r="X204" i="20"/>
  <c r="W204" i="20"/>
  <c r="T204" i="20"/>
  <c r="X203" i="20"/>
  <c r="W203" i="20"/>
  <c r="T203" i="20"/>
  <c r="X202" i="20"/>
  <c r="W202" i="20"/>
  <c r="T202" i="20"/>
  <c r="X201" i="20"/>
  <c r="W201" i="20"/>
  <c r="T201" i="20"/>
  <c r="X200" i="20"/>
  <c r="W200" i="20"/>
  <c r="T200" i="20"/>
  <c r="X199" i="20"/>
  <c r="W199" i="20"/>
  <c r="T199" i="20"/>
  <c r="X198" i="20"/>
  <c r="W198" i="20"/>
  <c r="T198" i="20"/>
  <c r="X197" i="20"/>
  <c r="W197" i="20"/>
  <c r="T197" i="20"/>
  <c r="X196" i="20"/>
  <c r="W196" i="20"/>
  <c r="T196" i="20"/>
  <c r="X195" i="20"/>
  <c r="W195" i="20"/>
  <c r="T195" i="20"/>
  <c r="X194" i="20"/>
  <c r="W194" i="20"/>
  <c r="T194" i="20"/>
  <c r="X193" i="20"/>
  <c r="W193" i="20"/>
  <c r="T193" i="20"/>
  <c r="X192" i="20"/>
  <c r="W192" i="20"/>
  <c r="T192" i="20"/>
  <c r="X191" i="20"/>
  <c r="W191" i="20"/>
  <c r="T191" i="20"/>
  <c r="X190" i="20"/>
  <c r="W190" i="20"/>
  <c r="T190" i="20"/>
  <c r="X189" i="20"/>
  <c r="W189" i="20"/>
  <c r="T189" i="20"/>
  <c r="X188" i="20"/>
  <c r="W188" i="20"/>
  <c r="T188" i="20"/>
  <c r="X187" i="20"/>
  <c r="W187" i="20"/>
  <c r="T187" i="20"/>
  <c r="X186" i="20"/>
  <c r="W186" i="20"/>
  <c r="T186" i="20"/>
  <c r="X185" i="20"/>
  <c r="W185" i="20"/>
  <c r="T185" i="20"/>
  <c r="X184" i="20"/>
  <c r="W184" i="20"/>
  <c r="T184" i="20"/>
  <c r="X183" i="20"/>
  <c r="W183" i="20"/>
  <c r="T183" i="20"/>
  <c r="X182" i="20"/>
  <c r="W182" i="20"/>
  <c r="T182" i="20"/>
  <c r="X181" i="20"/>
  <c r="W181" i="20"/>
  <c r="T181" i="20"/>
  <c r="X180" i="20"/>
  <c r="W180" i="20"/>
  <c r="T180" i="20"/>
  <c r="X179" i="20"/>
  <c r="W179" i="20"/>
  <c r="T179" i="20"/>
  <c r="X178" i="20"/>
  <c r="W178" i="20"/>
  <c r="T178" i="20"/>
  <c r="X177" i="20"/>
  <c r="W177" i="20"/>
  <c r="T177" i="20"/>
  <c r="X176" i="20"/>
  <c r="W176" i="20"/>
  <c r="T176" i="20"/>
  <c r="X175" i="20"/>
  <c r="W175" i="20"/>
  <c r="T175" i="20"/>
  <c r="X174" i="20"/>
  <c r="W174" i="20"/>
  <c r="T174" i="20"/>
  <c r="X173" i="20"/>
  <c r="W173" i="20"/>
  <c r="T173" i="20"/>
  <c r="X172" i="20"/>
  <c r="W172" i="20"/>
  <c r="T172" i="20"/>
  <c r="X171" i="20"/>
  <c r="W171" i="20"/>
  <c r="T171" i="20"/>
  <c r="X170" i="20"/>
  <c r="W170" i="20"/>
  <c r="T170" i="20"/>
  <c r="X169" i="20"/>
  <c r="W169" i="20"/>
  <c r="T169" i="20"/>
  <c r="X168" i="20"/>
  <c r="W168" i="20"/>
  <c r="T168" i="20"/>
  <c r="X167" i="20"/>
  <c r="W167" i="20"/>
  <c r="T167" i="20"/>
  <c r="X166" i="20"/>
  <c r="W166" i="20"/>
  <c r="T166" i="20"/>
  <c r="X165" i="20"/>
  <c r="W165" i="20"/>
  <c r="T165" i="20"/>
  <c r="X164" i="20"/>
  <c r="W164" i="20"/>
  <c r="T164" i="20"/>
  <c r="X163" i="20"/>
  <c r="W163" i="20"/>
  <c r="T163" i="20"/>
  <c r="X162" i="20"/>
  <c r="W162" i="20"/>
  <c r="T162" i="20"/>
  <c r="X161" i="20"/>
  <c r="W161" i="20"/>
  <c r="T161" i="20"/>
  <c r="X160" i="20"/>
  <c r="W160" i="20"/>
  <c r="T160" i="20"/>
  <c r="X159" i="20"/>
  <c r="W159" i="20"/>
  <c r="T159" i="20"/>
  <c r="X158" i="20"/>
  <c r="W158" i="20"/>
  <c r="T158" i="20"/>
  <c r="X157" i="20"/>
  <c r="W157" i="20"/>
  <c r="T157" i="20"/>
  <c r="X156" i="20"/>
  <c r="W156" i="20"/>
  <c r="T156" i="20"/>
  <c r="X155" i="20"/>
  <c r="W155" i="20"/>
  <c r="T155" i="20"/>
  <c r="X154" i="20"/>
  <c r="W154" i="20"/>
  <c r="T154" i="20"/>
  <c r="X153" i="20"/>
  <c r="W153" i="20"/>
  <c r="T153" i="20"/>
  <c r="X152" i="20"/>
  <c r="W152" i="20"/>
  <c r="T152" i="20"/>
  <c r="X151" i="20"/>
  <c r="W151" i="20"/>
  <c r="T151" i="20"/>
  <c r="X150" i="20"/>
  <c r="W150" i="20"/>
  <c r="T150" i="20"/>
  <c r="X149" i="20"/>
  <c r="W149" i="20"/>
  <c r="T149" i="20"/>
  <c r="X148" i="20"/>
  <c r="W148" i="20"/>
  <c r="T148" i="20"/>
  <c r="X147" i="20"/>
  <c r="W147" i="20"/>
  <c r="T147" i="20"/>
  <c r="X146" i="20"/>
  <c r="W146" i="20"/>
  <c r="T146" i="20"/>
  <c r="X145" i="20"/>
  <c r="W145" i="20"/>
  <c r="T145" i="20"/>
  <c r="X144" i="20"/>
  <c r="W144" i="20"/>
  <c r="T144" i="20"/>
  <c r="X143" i="20"/>
  <c r="W143" i="20"/>
  <c r="T143" i="20"/>
  <c r="X142" i="20"/>
  <c r="W142" i="20"/>
  <c r="T142" i="20"/>
  <c r="X141" i="20"/>
  <c r="W141" i="20"/>
  <c r="T141" i="20"/>
  <c r="X140" i="20"/>
  <c r="W140" i="20"/>
  <c r="T140" i="20"/>
  <c r="X139" i="20"/>
  <c r="W139" i="20"/>
  <c r="T139" i="20"/>
  <c r="X138" i="20"/>
  <c r="W138" i="20"/>
  <c r="T138" i="20"/>
  <c r="X137" i="20"/>
  <c r="W137" i="20"/>
  <c r="T137" i="20"/>
  <c r="X136" i="20"/>
  <c r="W136" i="20"/>
  <c r="T136" i="20"/>
  <c r="X135" i="20"/>
  <c r="W135" i="20"/>
  <c r="T135" i="20"/>
  <c r="X134" i="20"/>
  <c r="W134" i="20"/>
  <c r="T134" i="20"/>
  <c r="X133" i="20"/>
  <c r="W133" i="20"/>
  <c r="T133" i="20"/>
  <c r="X132" i="20"/>
  <c r="W132" i="20"/>
  <c r="T132" i="20"/>
  <c r="X131" i="20"/>
  <c r="W131" i="20"/>
  <c r="T131" i="20"/>
  <c r="X130" i="20"/>
  <c r="W130" i="20"/>
  <c r="T130" i="20"/>
  <c r="X129" i="20"/>
  <c r="W129" i="20"/>
  <c r="T129" i="20"/>
  <c r="X128" i="20"/>
  <c r="W128" i="20"/>
  <c r="T128" i="20"/>
  <c r="X127" i="20"/>
  <c r="W127" i="20"/>
  <c r="T127" i="20"/>
  <c r="X126" i="20"/>
  <c r="W126" i="20"/>
  <c r="T126" i="20"/>
  <c r="X125" i="20"/>
  <c r="W125" i="20"/>
  <c r="T125" i="20"/>
  <c r="X124" i="20"/>
  <c r="W124" i="20"/>
  <c r="T124" i="20"/>
  <c r="X123" i="20"/>
  <c r="W123" i="20"/>
  <c r="T123" i="20"/>
  <c r="X122" i="20"/>
  <c r="W122" i="20"/>
  <c r="T122" i="20"/>
  <c r="X121" i="20"/>
  <c r="W121" i="20"/>
  <c r="T121" i="20"/>
  <c r="X120" i="20"/>
  <c r="W120" i="20"/>
  <c r="T120" i="20"/>
  <c r="X119" i="20"/>
  <c r="W119" i="20"/>
  <c r="T119" i="20"/>
  <c r="X118" i="20"/>
  <c r="W118" i="20"/>
  <c r="T118" i="20"/>
  <c r="X117" i="20"/>
  <c r="W117" i="20"/>
  <c r="T117" i="20"/>
  <c r="X116" i="20"/>
  <c r="W116" i="20"/>
  <c r="T116" i="20"/>
  <c r="X115" i="20"/>
  <c r="W115" i="20"/>
  <c r="T115" i="20"/>
  <c r="X114" i="20"/>
  <c r="W114" i="20"/>
  <c r="T114" i="20"/>
  <c r="X113" i="20"/>
  <c r="W113" i="20"/>
  <c r="T113" i="20"/>
  <c r="X112" i="20"/>
  <c r="W112" i="20"/>
  <c r="T112" i="20"/>
  <c r="X111" i="20"/>
  <c r="W111" i="20"/>
  <c r="T111" i="20"/>
  <c r="X110" i="20"/>
  <c r="W110" i="20"/>
  <c r="T110" i="20"/>
  <c r="X109" i="20"/>
  <c r="W109" i="20"/>
  <c r="T109" i="20"/>
  <c r="X108" i="20"/>
  <c r="W108" i="20"/>
  <c r="T108" i="20"/>
  <c r="X107" i="20"/>
  <c r="W107" i="20"/>
  <c r="T107" i="20"/>
  <c r="X106" i="20"/>
  <c r="W106" i="20"/>
  <c r="T106" i="20"/>
  <c r="X105" i="20"/>
  <c r="W105" i="20"/>
  <c r="T105" i="20"/>
  <c r="X104" i="20"/>
  <c r="W104" i="20"/>
  <c r="T104" i="20"/>
  <c r="X103" i="20"/>
  <c r="W103" i="20"/>
  <c r="T103" i="20"/>
  <c r="X102" i="20"/>
  <c r="W102" i="20"/>
  <c r="T102" i="20"/>
  <c r="X101" i="20"/>
  <c r="W101" i="20"/>
  <c r="T101" i="20"/>
  <c r="X100" i="20"/>
  <c r="W100" i="20"/>
  <c r="T100" i="20"/>
  <c r="X99" i="20"/>
  <c r="W99" i="20"/>
  <c r="T99" i="20"/>
  <c r="X98" i="20"/>
  <c r="W98" i="20"/>
  <c r="T98" i="20"/>
  <c r="X97" i="20"/>
  <c r="W97" i="20"/>
  <c r="T97" i="20"/>
  <c r="X96" i="20"/>
  <c r="W96" i="20"/>
  <c r="T96" i="20"/>
  <c r="X95" i="20"/>
  <c r="W95" i="20"/>
  <c r="T95" i="20"/>
  <c r="X94" i="20"/>
  <c r="W94" i="20"/>
  <c r="T94" i="20"/>
  <c r="X93" i="20"/>
  <c r="W93" i="20"/>
  <c r="T93" i="20"/>
  <c r="X92" i="20"/>
  <c r="W92" i="20"/>
  <c r="T92" i="20"/>
  <c r="X91" i="20"/>
  <c r="W91" i="20"/>
  <c r="T91" i="20"/>
  <c r="X90" i="20"/>
  <c r="W90" i="20"/>
  <c r="T90" i="20"/>
  <c r="X89" i="20"/>
  <c r="W89" i="20"/>
  <c r="T89" i="20"/>
  <c r="X88" i="20"/>
  <c r="W88" i="20"/>
  <c r="T88" i="20"/>
  <c r="X87" i="20"/>
  <c r="W87" i="20"/>
  <c r="T87" i="20"/>
  <c r="X86" i="20"/>
  <c r="W86" i="20"/>
  <c r="T86" i="20"/>
  <c r="X85" i="20"/>
  <c r="W85" i="20"/>
  <c r="T85" i="20"/>
  <c r="X84" i="20"/>
  <c r="W84" i="20"/>
  <c r="T84" i="20"/>
  <c r="X83" i="20"/>
  <c r="W83" i="20"/>
  <c r="T83" i="20"/>
  <c r="X82" i="20"/>
  <c r="W82" i="20"/>
  <c r="T82" i="20"/>
  <c r="X81" i="20"/>
  <c r="W81" i="20"/>
  <c r="T81" i="20"/>
  <c r="X80" i="20"/>
  <c r="W80" i="20"/>
  <c r="T80" i="20"/>
  <c r="X79" i="20"/>
  <c r="W79" i="20"/>
  <c r="T79" i="20"/>
  <c r="X78" i="20"/>
  <c r="W78" i="20"/>
  <c r="T78" i="20"/>
  <c r="X77" i="20"/>
  <c r="W77" i="20"/>
  <c r="T77" i="20"/>
  <c r="X76" i="20"/>
  <c r="W76" i="20"/>
  <c r="T76" i="20"/>
  <c r="X75" i="20"/>
  <c r="W75" i="20"/>
  <c r="T75" i="20"/>
  <c r="X74" i="20"/>
  <c r="W74" i="20"/>
  <c r="T74" i="20"/>
  <c r="X73" i="20"/>
  <c r="W73" i="20"/>
  <c r="T73" i="20"/>
  <c r="X72" i="20"/>
  <c r="W72" i="20"/>
  <c r="T72" i="20"/>
  <c r="X71" i="20"/>
  <c r="W71" i="20"/>
  <c r="T71" i="20"/>
  <c r="X70" i="20"/>
  <c r="W70" i="20"/>
  <c r="T70" i="20"/>
  <c r="X69" i="20"/>
  <c r="W69" i="20"/>
  <c r="T69" i="20"/>
  <c r="X68" i="20"/>
  <c r="W68" i="20"/>
  <c r="T68" i="20"/>
  <c r="X67" i="20"/>
  <c r="W67" i="20"/>
  <c r="T67" i="20"/>
  <c r="X66" i="20"/>
  <c r="W66" i="20"/>
  <c r="T66" i="20"/>
  <c r="X65" i="20"/>
  <c r="W65" i="20"/>
  <c r="T65" i="20"/>
  <c r="X64" i="20"/>
  <c r="W64" i="20"/>
  <c r="T64" i="20"/>
  <c r="X63" i="20"/>
  <c r="W63" i="20"/>
  <c r="T63" i="20"/>
  <c r="X62" i="20"/>
  <c r="W62" i="20"/>
  <c r="T62" i="20"/>
  <c r="X61" i="20"/>
  <c r="W61" i="20"/>
  <c r="T61" i="20"/>
  <c r="X60" i="20"/>
  <c r="W60" i="20"/>
  <c r="T60" i="20"/>
  <c r="X59" i="20"/>
  <c r="W59" i="20"/>
  <c r="T59" i="20"/>
  <c r="X58" i="20"/>
  <c r="W58" i="20"/>
  <c r="T58" i="20"/>
  <c r="X57" i="20"/>
  <c r="W57" i="20"/>
  <c r="T57" i="20"/>
  <c r="X56" i="20"/>
  <c r="W56" i="20"/>
  <c r="T56" i="20"/>
  <c r="X55" i="20"/>
  <c r="W55" i="20"/>
  <c r="T55" i="20"/>
  <c r="X54" i="20"/>
  <c r="W54" i="20"/>
  <c r="T54" i="20"/>
  <c r="X53" i="20"/>
  <c r="W53" i="20"/>
  <c r="T53" i="20"/>
  <c r="X52" i="20"/>
  <c r="W52" i="20"/>
  <c r="T52" i="20"/>
  <c r="X51" i="20"/>
  <c r="W51" i="20"/>
  <c r="T51" i="20"/>
  <c r="X50" i="20"/>
  <c r="W50" i="20"/>
  <c r="T50" i="20"/>
  <c r="X49" i="20"/>
  <c r="W49" i="20"/>
  <c r="T49" i="20"/>
  <c r="X48" i="20"/>
  <c r="W48" i="20"/>
  <c r="T48" i="20"/>
  <c r="X47" i="20"/>
  <c r="W47" i="20"/>
  <c r="T47" i="20"/>
  <c r="X46" i="20"/>
  <c r="W46" i="20"/>
  <c r="T46" i="20"/>
  <c r="X45" i="20"/>
  <c r="W45" i="20"/>
  <c r="T45" i="20"/>
  <c r="X44" i="20"/>
  <c r="W44" i="20"/>
  <c r="T44" i="20"/>
  <c r="X43" i="20"/>
  <c r="W43" i="20"/>
  <c r="T43" i="20"/>
  <c r="X42" i="20"/>
  <c r="W42" i="20"/>
  <c r="T42" i="20"/>
  <c r="X41" i="20"/>
  <c r="W41" i="20"/>
  <c r="T41" i="20"/>
  <c r="X40" i="20"/>
  <c r="W40" i="20"/>
  <c r="T40" i="20"/>
  <c r="X39" i="20"/>
  <c r="W39" i="20"/>
  <c r="T39" i="20"/>
  <c r="X38" i="20"/>
  <c r="W38" i="20"/>
  <c r="T38" i="20"/>
  <c r="X37" i="20"/>
  <c r="W37" i="20"/>
  <c r="T37" i="20"/>
  <c r="X36" i="20"/>
  <c r="W36" i="20"/>
  <c r="T36" i="20"/>
  <c r="X35" i="20"/>
  <c r="W35" i="20"/>
  <c r="T35" i="20"/>
  <c r="X34" i="20"/>
  <c r="W34" i="20"/>
  <c r="T34" i="20"/>
  <c r="X33" i="20"/>
  <c r="W33" i="20"/>
  <c r="T33" i="20"/>
  <c r="X32" i="20"/>
  <c r="W32" i="20"/>
  <c r="T32" i="20"/>
  <c r="X31" i="20"/>
  <c r="W31" i="20"/>
  <c r="T31" i="20"/>
  <c r="X30" i="20"/>
  <c r="W30" i="20"/>
  <c r="T30" i="20"/>
  <c r="X29" i="20"/>
  <c r="W29" i="20"/>
  <c r="T29" i="20"/>
  <c r="X28" i="20"/>
  <c r="W28" i="20"/>
  <c r="T28" i="20"/>
  <c r="X27" i="20"/>
  <c r="W27" i="20"/>
  <c r="T27" i="20"/>
  <c r="X26" i="20"/>
  <c r="W26" i="20"/>
  <c r="T26" i="20"/>
  <c r="X25" i="20"/>
  <c r="W25" i="20"/>
  <c r="T25" i="20"/>
  <c r="X24" i="20"/>
  <c r="W24" i="20"/>
  <c r="T24" i="20"/>
  <c r="X23" i="20"/>
  <c r="W23" i="20"/>
  <c r="T23" i="20"/>
  <c r="X22" i="20"/>
  <c r="W22" i="20"/>
  <c r="T22" i="20"/>
  <c r="X21" i="20"/>
  <c r="W21" i="20"/>
  <c r="T21" i="20"/>
  <c r="X20" i="20"/>
  <c r="W20" i="20"/>
  <c r="T20" i="20"/>
  <c r="X19" i="20"/>
  <c r="W19" i="20"/>
  <c r="T19" i="20"/>
  <c r="X18" i="20"/>
  <c r="W18" i="20"/>
  <c r="T18" i="20"/>
  <c r="X17" i="20"/>
  <c r="W17" i="20"/>
  <c r="T17" i="20"/>
  <c r="X16" i="20"/>
  <c r="W16" i="20"/>
  <c r="T16" i="20"/>
  <c r="X15" i="20"/>
  <c r="W15" i="20"/>
  <c r="T15" i="20"/>
  <c r="X14" i="20"/>
  <c r="W14" i="20"/>
  <c r="T14" i="20"/>
  <c r="X13" i="20"/>
  <c r="W13" i="20"/>
  <c r="T13" i="20"/>
  <c r="X12" i="20"/>
  <c r="W12" i="20"/>
  <c r="T12" i="20"/>
  <c r="X11" i="20"/>
  <c r="W11" i="20"/>
  <c r="T11" i="20"/>
  <c r="X10" i="20"/>
  <c r="W10" i="20"/>
  <c r="T10" i="20"/>
  <c r="X9" i="20"/>
  <c r="W9" i="20"/>
  <c r="T9" i="20"/>
  <c r="X8" i="20"/>
  <c r="W8" i="20"/>
  <c r="T8" i="20"/>
  <c r="AD6" i="20"/>
  <c r="AC6" i="20"/>
  <c r="AB6" i="20"/>
  <c r="AA6" i="20"/>
  <c r="Z6" i="20"/>
  <c r="Y6" i="20"/>
  <c r="V6" i="20"/>
  <c r="U6" i="20"/>
  <c r="T6" i="20"/>
  <c r="S6" i="20"/>
  <c r="R6" i="20"/>
  <c r="Q6" i="20"/>
  <c r="P6" i="20"/>
  <c r="O6" i="20"/>
  <c r="N6" i="20"/>
  <c r="M6" i="20"/>
  <c r="L6" i="20"/>
  <c r="K6" i="20"/>
  <c r="J6" i="20"/>
  <c r="I6" i="20"/>
  <c r="H6" i="20"/>
  <c r="G6" i="20"/>
  <c r="F6" i="20"/>
  <c r="E6" i="20"/>
  <c r="D6" i="20"/>
  <c r="C6" i="20"/>
  <c r="B1" i="20"/>
  <c r="C1" i="20" s="1"/>
  <c r="D1" i="20" s="1"/>
  <c r="E1" i="20" s="1"/>
  <c r="F1" i="20" s="1"/>
  <c r="G1" i="20" s="1"/>
  <c r="H1" i="20" s="1"/>
  <c r="I1" i="20" s="1"/>
  <c r="J1" i="20" s="1"/>
  <c r="K1" i="20" s="1"/>
  <c r="L1" i="20" s="1"/>
  <c r="M1" i="20" s="1"/>
  <c r="N1" i="20" s="1"/>
  <c r="O1" i="20" s="1"/>
  <c r="P1" i="20" s="1"/>
  <c r="Q1" i="20" s="1"/>
  <c r="R1" i="20" s="1"/>
  <c r="S1" i="20" s="1"/>
  <c r="T1" i="20" s="1"/>
  <c r="U1" i="20" s="1"/>
  <c r="V1" i="20" s="1"/>
  <c r="W1" i="20" s="1"/>
  <c r="X1" i="20" s="1"/>
  <c r="Y1" i="20" s="1"/>
  <c r="Z1" i="20" s="1"/>
  <c r="AA1" i="20" s="1"/>
  <c r="AB1" i="20" s="1"/>
  <c r="AC1" i="20" s="1"/>
  <c r="AD1" i="20" s="1"/>
  <c r="X9" i="33"/>
  <c r="X10" i="33"/>
  <c r="X11" i="33"/>
  <c r="X12" i="33"/>
  <c r="X13" i="33"/>
  <c r="X14" i="33"/>
  <c r="X15" i="33"/>
  <c r="X16" i="33"/>
  <c r="X17" i="33"/>
  <c r="X18" i="33"/>
  <c r="X19" i="33"/>
  <c r="X20" i="33"/>
  <c r="X21" i="33"/>
  <c r="X22" i="33"/>
  <c r="X23" i="33"/>
  <c r="X24" i="33"/>
  <c r="X25" i="33"/>
  <c r="X26" i="33"/>
  <c r="X27" i="33"/>
  <c r="X28" i="33"/>
  <c r="X29" i="33"/>
  <c r="X30" i="33"/>
  <c r="X31" i="33"/>
  <c r="X32" i="33"/>
  <c r="X33" i="33"/>
  <c r="X34" i="33"/>
  <c r="X35" i="33"/>
  <c r="X36" i="33"/>
  <c r="X37" i="33"/>
  <c r="X38" i="33"/>
  <c r="X39" i="33"/>
  <c r="X40" i="33"/>
  <c r="X41" i="33"/>
  <c r="X42" i="33"/>
  <c r="X43" i="33"/>
  <c r="X44" i="33"/>
  <c r="X45" i="33"/>
  <c r="X46" i="33"/>
  <c r="X47" i="33"/>
  <c r="X48" i="33"/>
  <c r="X49" i="33"/>
  <c r="X50" i="33"/>
  <c r="X51" i="33"/>
  <c r="X52" i="33"/>
  <c r="X53" i="33"/>
  <c r="X54" i="33"/>
  <c r="X55" i="33"/>
  <c r="X56" i="33"/>
  <c r="X57" i="33"/>
  <c r="X58" i="33"/>
  <c r="X59" i="33"/>
  <c r="X60" i="33"/>
  <c r="X61" i="33"/>
  <c r="X62" i="33"/>
  <c r="X63" i="33"/>
  <c r="X64" i="33"/>
  <c r="X65" i="33"/>
  <c r="X66" i="33"/>
  <c r="X67" i="33"/>
  <c r="X68" i="33"/>
  <c r="X69" i="33"/>
  <c r="X70" i="33"/>
  <c r="X71" i="33"/>
  <c r="X72" i="33"/>
  <c r="X73" i="33"/>
  <c r="X74" i="33"/>
  <c r="X75" i="33"/>
  <c r="X76" i="33"/>
  <c r="X77" i="33"/>
  <c r="X78" i="33"/>
  <c r="X79" i="33"/>
  <c r="X80" i="33"/>
  <c r="X81" i="33"/>
  <c r="X82" i="33"/>
  <c r="X83" i="33"/>
  <c r="X84" i="33"/>
  <c r="X85" i="33"/>
  <c r="X86" i="33"/>
  <c r="X87" i="33"/>
  <c r="X88" i="33"/>
  <c r="X89" i="33"/>
  <c r="X90" i="33"/>
  <c r="X91" i="33"/>
  <c r="X92" i="33"/>
  <c r="X93" i="33"/>
  <c r="X94" i="33"/>
  <c r="X95" i="33"/>
  <c r="X96" i="33"/>
  <c r="X97" i="33"/>
  <c r="X98" i="33"/>
  <c r="X99" i="33"/>
  <c r="X100" i="33"/>
  <c r="X101" i="33"/>
  <c r="X102" i="33"/>
  <c r="X103" i="33"/>
  <c r="X104" i="33"/>
  <c r="X105" i="33"/>
  <c r="X106" i="33"/>
  <c r="X107" i="33"/>
  <c r="X108" i="33"/>
  <c r="X109" i="33"/>
  <c r="X110" i="33"/>
  <c r="X111" i="33"/>
  <c r="X112" i="33"/>
  <c r="X113" i="33"/>
  <c r="X114" i="33"/>
  <c r="X115" i="33"/>
  <c r="X116" i="33"/>
  <c r="X117" i="33"/>
  <c r="X118" i="33"/>
  <c r="X119" i="33"/>
  <c r="X120" i="33"/>
  <c r="X121" i="33"/>
  <c r="X122" i="33"/>
  <c r="X123" i="33"/>
  <c r="X124" i="33"/>
  <c r="X125" i="33"/>
  <c r="X126" i="33"/>
  <c r="X127" i="33"/>
  <c r="X128" i="33"/>
  <c r="X129" i="33"/>
  <c r="X130" i="33"/>
  <c r="X131" i="33"/>
  <c r="X132" i="33"/>
  <c r="X133" i="33"/>
  <c r="X134" i="33"/>
  <c r="X135" i="33"/>
  <c r="X136" i="33"/>
  <c r="X137" i="33"/>
  <c r="X138" i="33"/>
  <c r="X139" i="33"/>
  <c r="X140" i="33"/>
  <c r="X141" i="33"/>
  <c r="X142" i="33"/>
  <c r="X143" i="33"/>
  <c r="X144" i="33"/>
  <c r="X145" i="33"/>
  <c r="X146" i="33"/>
  <c r="X147" i="33"/>
  <c r="X148" i="33"/>
  <c r="X149" i="33"/>
  <c r="X150" i="33"/>
  <c r="X151" i="33"/>
  <c r="X152" i="33"/>
  <c r="X153" i="33"/>
  <c r="X154" i="33"/>
  <c r="X155" i="33"/>
  <c r="X156" i="33"/>
  <c r="X157" i="33"/>
  <c r="X158" i="33"/>
  <c r="X159" i="33"/>
  <c r="X160" i="33"/>
  <c r="X161" i="33"/>
  <c r="X162" i="33"/>
  <c r="X163" i="33"/>
  <c r="X164" i="33"/>
  <c r="X165" i="33"/>
  <c r="X166" i="33"/>
  <c r="X167" i="33"/>
  <c r="X168" i="33"/>
  <c r="X169" i="33"/>
  <c r="X170" i="33"/>
  <c r="X171" i="33"/>
  <c r="X172" i="33"/>
  <c r="X173" i="33"/>
  <c r="X174" i="33"/>
  <c r="X175" i="33"/>
  <c r="X176" i="33"/>
  <c r="X177" i="33"/>
  <c r="X178" i="33"/>
  <c r="X179" i="33"/>
  <c r="X180" i="33"/>
  <c r="X181" i="33"/>
  <c r="X182" i="33"/>
  <c r="X183" i="33"/>
  <c r="X184" i="33"/>
  <c r="X185" i="33"/>
  <c r="X186" i="33"/>
  <c r="X187" i="33"/>
  <c r="X188" i="33"/>
  <c r="X189" i="33"/>
  <c r="X190" i="33"/>
  <c r="X191" i="33"/>
  <c r="X192" i="33"/>
  <c r="X193" i="33"/>
  <c r="X194" i="33"/>
  <c r="X195" i="33"/>
  <c r="X196" i="33"/>
  <c r="X197" i="33"/>
  <c r="X198" i="33"/>
  <c r="X199" i="33"/>
  <c r="X200" i="33"/>
  <c r="X201" i="33"/>
  <c r="X202" i="33"/>
  <c r="X203" i="33"/>
  <c r="X204" i="33"/>
  <c r="X205" i="33"/>
  <c r="X206" i="33"/>
  <c r="X207" i="33"/>
  <c r="X208" i="33"/>
  <c r="X209" i="33"/>
  <c r="X210" i="33"/>
  <c r="X211" i="33"/>
  <c r="X212" i="33"/>
  <c r="X213" i="33"/>
  <c r="X214" i="33"/>
  <c r="X215" i="33"/>
  <c r="X216" i="33"/>
  <c r="X217" i="33"/>
  <c r="X218" i="33"/>
  <c r="X219" i="33"/>
  <c r="X220" i="33"/>
  <c r="X221" i="33"/>
  <c r="X222" i="33"/>
  <c r="X223" i="33"/>
  <c r="X224" i="33"/>
  <c r="X225" i="33"/>
  <c r="X226" i="33"/>
  <c r="X227" i="33"/>
  <c r="X228" i="33"/>
  <c r="X229" i="33"/>
  <c r="X230" i="33"/>
  <c r="X231" i="33"/>
  <c r="X232" i="33"/>
  <c r="X233" i="33"/>
  <c r="X234" i="33"/>
  <c r="X235" i="33"/>
  <c r="X236" i="33"/>
  <c r="X237" i="33"/>
  <c r="X238" i="33"/>
  <c r="X239" i="33"/>
  <c r="X240" i="33"/>
  <c r="X241" i="33"/>
  <c r="X242" i="33"/>
  <c r="X243" i="33"/>
  <c r="X244" i="33"/>
  <c r="X245" i="33"/>
  <c r="X246" i="33"/>
  <c r="X247" i="33"/>
  <c r="X248" i="33"/>
  <c r="X249" i="33"/>
  <c r="X250" i="33"/>
  <c r="X251" i="33"/>
  <c r="X252" i="33"/>
  <c r="X253" i="33"/>
  <c r="X254" i="33"/>
  <c r="X255" i="33"/>
  <c r="X256" i="33"/>
  <c r="X257" i="33"/>
  <c r="X258" i="33"/>
  <c r="X259" i="33"/>
  <c r="X260" i="33"/>
  <c r="X261" i="33"/>
  <c r="X262" i="33"/>
  <c r="X263" i="33"/>
  <c r="X264" i="33"/>
  <c r="X265" i="33"/>
  <c r="X266" i="33"/>
  <c r="X267" i="33"/>
  <c r="X268" i="33"/>
  <c r="X269" i="33"/>
  <c r="X270" i="33"/>
  <c r="X271" i="33"/>
  <c r="X272" i="33"/>
  <c r="X273" i="33"/>
  <c r="X274" i="33"/>
  <c r="X275" i="33"/>
  <c r="X276" i="33"/>
  <c r="X277" i="33"/>
  <c r="X278" i="33"/>
  <c r="X279" i="33"/>
  <c r="X280" i="33"/>
  <c r="X281" i="33"/>
  <c r="X282" i="33"/>
  <c r="X283" i="33"/>
  <c r="X284" i="33"/>
  <c r="X285" i="33"/>
  <c r="X286" i="33"/>
  <c r="X287" i="33"/>
  <c r="X288" i="33"/>
  <c r="X289" i="33"/>
  <c r="X290" i="33"/>
  <c r="X291" i="33"/>
  <c r="X292" i="33"/>
  <c r="X293" i="33"/>
  <c r="X294" i="33"/>
  <c r="X295" i="33"/>
  <c r="X296" i="33"/>
  <c r="X297" i="33"/>
  <c r="X298" i="33"/>
  <c r="X299" i="33"/>
  <c r="X300" i="33"/>
  <c r="X301" i="33"/>
  <c r="X302" i="33"/>
  <c r="X303" i="33"/>
  <c r="X304" i="33"/>
  <c r="X305" i="33"/>
  <c r="X306" i="33"/>
  <c r="X307" i="33"/>
  <c r="X308" i="33"/>
  <c r="X309" i="33"/>
  <c r="X310" i="33"/>
  <c r="X311" i="33"/>
  <c r="X312" i="33"/>
  <c r="X313" i="33"/>
  <c r="X314" i="33"/>
  <c r="X315" i="33"/>
  <c r="X316" i="33"/>
  <c r="X317" i="33"/>
  <c r="X318" i="33"/>
  <c r="X319" i="33"/>
  <c r="X320" i="33"/>
  <c r="X321" i="33"/>
  <c r="X322" i="33"/>
  <c r="X323" i="33"/>
  <c r="X324" i="33"/>
  <c r="X325" i="33"/>
  <c r="X8" i="33"/>
  <c r="W8" i="33"/>
  <c r="W325" i="33"/>
  <c r="W324" i="33"/>
  <c r="W323" i="33"/>
  <c r="W322" i="33"/>
  <c r="W321" i="33"/>
  <c r="W320" i="33"/>
  <c r="W319" i="33"/>
  <c r="W318" i="33"/>
  <c r="W317" i="33"/>
  <c r="W316" i="33"/>
  <c r="W315" i="33"/>
  <c r="W314" i="33"/>
  <c r="W313" i="33"/>
  <c r="W312" i="33"/>
  <c r="W311" i="33"/>
  <c r="W310" i="33"/>
  <c r="W309" i="33"/>
  <c r="W308" i="33"/>
  <c r="W307" i="33"/>
  <c r="W306" i="33"/>
  <c r="W305" i="33"/>
  <c r="W304" i="33"/>
  <c r="W303" i="33"/>
  <c r="W302" i="33"/>
  <c r="W301" i="33"/>
  <c r="W300" i="33"/>
  <c r="W299" i="33"/>
  <c r="W298" i="33"/>
  <c r="W297" i="33"/>
  <c r="W296" i="33"/>
  <c r="W295" i="33"/>
  <c r="W294" i="33"/>
  <c r="W293" i="33"/>
  <c r="W292" i="33"/>
  <c r="W291" i="33"/>
  <c r="W290" i="33"/>
  <c r="W289" i="33"/>
  <c r="W288" i="33"/>
  <c r="W287" i="33"/>
  <c r="W286" i="33"/>
  <c r="W285" i="33"/>
  <c r="W284" i="33"/>
  <c r="W283" i="33"/>
  <c r="W282" i="33"/>
  <c r="W281" i="33"/>
  <c r="W280" i="33"/>
  <c r="W279" i="33"/>
  <c r="W278" i="33"/>
  <c r="W277" i="33"/>
  <c r="W276" i="33"/>
  <c r="W275" i="33"/>
  <c r="W274" i="33"/>
  <c r="W273" i="33"/>
  <c r="W272" i="33"/>
  <c r="W271" i="33"/>
  <c r="W270" i="33"/>
  <c r="W269" i="33"/>
  <c r="W268" i="33"/>
  <c r="W267" i="33"/>
  <c r="W266" i="33"/>
  <c r="W265" i="33"/>
  <c r="W264" i="33"/>
  <c r="W263" i="33"/>
  <c r="W262" i="33"/>
  <c r="W261" i="33"/>
  <c r="W260" i="33"/>
  <c r="W259" i="33"/>
  <c r="W258" i="33"/>
  <c r="W257" i="33"/>
  <c r="W256" i="33"/>
  <c r="W255" i="33"/>
  <c r="W254" i="33"/>
  <c r="W253" i="33"/>
  <c r="W252" i="33"/>
  <c r="W251" i="33"/>
  <c r="W250" i="33"/>
  <c r="W249" i="33"/>
  <c r="W248" i="33"/>
  <c r="W247" i="33"/>
  <c r="W246" i="33"/>
  <c r="W245" i="33"/>
  <c r="W244" i="33"/>
  <c r="W243" i="33"/>
  <c r="W242" i="33"/>
  <c r="W241" i="33"/>
  <c r="W240" i="33"/>
  <c r="W239" i="33"/>
  <c r="W238" i="33"/>
  <c r="W237" i="33"/>
  <c r="W236" i="33"/>
  <c r="W235" i="33"/>
  <c r="W234" i="33"/>
  <c r="W233" i="33"/>
  <c r="W232" i="33"/>
  <c r="W231" i="33"/>
  <c r="W230" i="33"/>
  <c r="W229" i="33"/>
  <c r="W228" i="33"/>
  <c r="W227" i="33"/>
  <c r="W226" i="33"/>
  <c r="W225" i="33"/>
  <c r="W224" i="33"/>
  <c r="W223" i="33"/>
  <c r="W222" i="33"/>
  <c r="W221" i="33"/>
  <c r="W220" i="33"/>
  <c r="W219" i="33"/>
  <c r="W218" i="33"/>
  <c r="W217" i="33"/>
  <c r="W216" i="33"/>
  <c r="W215" i="33"/>
  <c r="W214" i="33"/>
  <c r="W213" i="33"/>
  <c r="W212" i="33"/>
  <c r="W211" i="33"/>
  <c r="W210" i="33"/>
  <c r="W209" i="33"/>
  <c r="W208" i="33"/>
  <c r="W207" i="33"/>
  <c r="W206" i="33"/>
  <c r="W205" i="33"/>
  <c r="W204" i="33"/>
  <c r="W203" i="33"/>
  <c r="W202" i="33"/>
  <c r="W201" i="33"/>
  <c r="W200" i="33"/>
  <c r="W199" i="33"/>
  <c r="W198" i="33"/>
  <c r="W197" i="33"/>
  <c r="W196" i="33"/>
  <c r="W195" i="33"/>
  <c r="W194" i="33"/>
  <c r="W193" i="33"/>
  <c r="W192" i="33"/>
  <c r="W191" i="33"/>
  <c r="W190" i="33"/>
  <c r="W189" i="33"/>
  <c r="W188" i="33"/>
  <c r="W187" i="33"/>
  <c r="W186" i="33"/>
  <c r="W185" i="33"/>
  <c r="W184" i="33"/>
  <c r="W183" i="33"/>
  <c r="W182" i="33"/>
  <c r="W181" i="33"/>
  <c r="W180" i="33"/>
  <c r="W179" i="33"/>
  <c r="W178" i="33"/>
  <c r="W177" i="33"/>
  <c r="W176" i="33"/>
  <c r="W175" i="33"/>
  <c r="W174" i="33"/>
  <c r="W173" i="33"/>
  <c r="W172" i="33"/>
  <c r="W171" i="33"/>
  <c r="W170" i="33"/>
  <c r="W169" i="33"/>
  <c r="W168" i="33"/>
  <c r="W167" i="33"/>
  <c r="W166" i="33"/>
  <c r="W165" i="33"/>
  <c r="W164" i="33"/>
  <c r="W163" i="33"/>
  <c r="W162" i="33"/>
  <c r="W161" i="33"/>
  <c r="W160" i="33"/>
  <c r="W159" i="33"/>
  <c r="W158" i="33"/>
  <c r="W157" i="33"/>
  <c r="W156" i="33"/>
  <c r="W155" i="33"/>
  <c r="W154" i="33"/>
  <c r="W153" i="33"/>
  <c r="W152" i="33"/>
  <c r="W151" i="33"/>
  <c r="W150" i="33"/>
  <c r="W149" i="33"/>
  <c r="W148" i="33"/>
  <c r="W147" i="33"/>
  <c r="W146" i="33"/>
  <c r="W145" i="33"/>
  <c r="W144" i="33"/>
  <c r="W143" i="33"/>
  <c r="W142" i="33"/>
  <c r="W141" i="33"/>
  <c r="W140" i="33"/>
  <c r="W139" i="33"/>
  <c r="W138" i="33"/>
  <c r="W137" i="33"/>
  <c r="W136" i="33"/>
  <c r="W135" i="33"/>
  <c r="W134" i="33"/>
  <c r="W133" i="33"/>
  <c r="W132" i="33"/>
  <c r="W131" i="33"/>
  <c r="W130" i="33"/>
  <c r="W129" i="33"/>
  <c r="W128" i="33"/>
  <c r="W127" i="33"/>
  <c r="W126" i="33"/>
  <c r="W125" i="33"/>
  <c r="W124" i="33"/>
  <c r="W123" i="33"/>
  <c r="W122" i="33"/>
  <c r="W121" i="33"/>
  <c r="W120" i="33"/>
  <c r="W119" i="33"/>
  <c r="W118" i="33"/>
  <c r="W117" i="33"/>
  <c r="W116" i="33"/>
  <c r="W115" i="33"/>
  <c r="W114" i="33"/>
  <c r="W113" i="33"/>
  <c r="W112" i="33"/>
  <c r="W111" i="33"/>
  <c r="W110" i="33"/>
  <c r="W109" i="33"/>
  <c r="W108" i="33"/>
  <c r="W107" i="33"/>
  <c r="W106" i="33"/>
  <c r="W105" i="33"/>
  <c r="W104" i="33"/>
  <c r="W103" i="33"/>
  <c r="W102" i="33"/>
  <c r="W101" i="33"/>
  <c r="W100" i="33"/>
  <c r="W99" i="33"/>
  <c r="W98" i="33"/>
  <c r="W97" i="33"/>
  <c r="W96" i="33"/>
  <c r="W95" i="33"/>
  <c r="W94" i="33"/>
  <c r="W93" i="33"/>
  <c r="W92" i="33"/>
  <c r="W91" i="33"/>
  <c r="W90" i="33"/>
  <c r="W89" i="33"/>
  <c r="W88" i="33"/>
  <c r="W87" i="33"/>
  <c r="W86" i="33"/>
  <c r="W85" i="33"/>
  <c r="W84" i="33"/>
  <c r="W83" i="33"/>
  <c r="W82" i="33"/>
  <c r="W81" i="33"/>
  <c r="W80" i="33"/>
  <c r="W79" i="33"/>
  <c r="W78" i="33"/>
  <c r="W77" i="33"/>
  <c r="W76" i="33"/>
  <c r="W75" i="33"/>
  <c r="W74" i="33"/>
  <c r="W73" i="33"/>
  <c r="W72" i="33"/>
  <c r="W71" i="33"/>
  <c r="W70" i="33"/>
  <c r="W69" i="33"/>
  <c r="W68" i="33"/>
  <c r="W67" i="33"/>
  <c r="W66" i="33"/>
  <c r="W65" i="33"/>
  <c r="W64" i="33"/>
  <c r="W63" i="33"/>
  <c r="W62" i="33"/>
  <c r="W61" i="33"/>
  <c r="W60" i="33"/>
  <c r="W59" i="33"/>
  <c r="W58" i="33"/>
  <c r="W57" i="33"/>
  <c r="W56" i="33"/>
  <c r="W55" i="33"/>
  <c r="W54" i="33"/>
  <c r="W53" i="33"/>
  <c r="W52" i="33"/>
  <c r="W51" i="33"/>
  <c r="W50" i="33"/>
  <c r="W49" i="33"/>
  <c r="W48" i="33"/>
  <c r="W47" i="33"/>
  <c r="W46" i="33"/>
  <c r="W45" i="33"/>
  <c r="W44" i="33"/>
  <c r="W43" i="33"/>
  <c r="W42" i="33"/>
  <c r="W41" i="33"/>
  <c r="W40" i="33"/>
  <c r="W39" i="33"/>
  <c r="W38" i="33"/>
  <c r="W37" i="33"/>
  <c r="W36" i="33"/>
  <c r="W35" i="33"/>
  <c r="W34" i="33"/>
  <c r="W33" i="33"/>
  <c r="W32" i="33"/>
  <c r="W31" i="33"/>
  <c r="W30" i="33"/>
  <c r="W29" i="33"/>
  <c r="W28" i="33"/>
  <c r="W27" i="33"/>
  <c r="W26" i="33"/>
  <c r="W25" i="33"/>
  <c r="W24" i="33"/>
  <c r="W23" i="33"/>
  <c r="W22" i="33"/>
  <c r="W21" i="33"/>
  <c r="W20" i="33"/>
  <c r="W19" i="33"/>
  <c r="W18" i="33"/>
  <c r="W17" i="33"/>
  <c r="W16" i="33"/>
  <c r="W15" i="33"/>
  <c r="W14" i="33"/>
  <c r="W13" i="33"/>
  <c r="W12" i="33"/>
  <c r="W11" i="33"/>
  <c r="W10" i="33"/>
  <c r="W9" i="33"/>
  <c r="T325" i="33"/>
  <c r="T324" i="33"/>
  <c r="T323" i="33"/>
  <c r="T322" i="33"/>
  <c r="T321" i="33"/>
  <c r="T320" i="33"/>
  <c r="T319" i="33"/>
  <c r="T318" i="33"/>
  <c r="T317" i="33"/>
  <c r="T316" i="33"/>
  <c r="T315" i="33"/>
  <c r="T314" i="33"/>
  <c r="T313" i="33"/>
  <c r="T312" i="33"/>
  <c r="T311" i="33"/>
  <c r="T310" i="33"/>
  <c r="T309" i="33"/>
  <c r="T308" i="33"/>
  <c r="T307" i="33"/>
  <c r="T306" i="33"/>
  <c r="T305" i="33"/>
  <c r="T304" i="33"/>
  <c r="T303" i="33"/>
  <c r="T302" i="33"/>
  <c r="T301" i="33"/>
  <c r="T300" i="33"/>
  <c r="T299" i="33"/>
  <c r="T298" i="33"/>
  <c r="T297" i="33"/>
  <c r="T296" i="33"/>
  <c r="T295" i="33"/>
  <c r="T294" i="33"/>
  <c r="T293" i="33"/>
  <c r="T292" i="33"/>
  <c r="T291" i="33"/>
  <c r="T290" i="33"/>
  <c r="T289" i="33"/>
  <c r="T288" i="33"/>
  <c r="T287" i="33"/>
  <c r="T286" i="33"/>
  <c r="T285" i="33"/>
  <c r="T284" i="33"/>
  <c r="T283" i="33"/>
  <c r="T282" i="33"/>
  <c r="T281" i="33"/>
  <c r="T280" i="33"/>
  <c r="T279" i="33"/>
  <c r="T278" i="33"/>
  <c r="T277" i="33"/>
  <c r="T276" i="33"/>
  <c r="T275" i="33"/>
  <c r="T274" i="33"/>
  <c r="T273" i="33"/>
  <c r="T272" i="33"/>
  <c r="T271" i="33"/>
  <c r="T270" i="33"/>
  <c r="T269" i="33"/>
  <c r="T268" i="33"/>
  <c r="T267" i="33"/>
  <c r="T266" i="33"/>
  <c r="T265" i="33"/>
  <c r="T264" i="33"/>
  <c r="T263" i="33"/>
  <c r="T262" i="33"/>
  <c r="T261" i="33"/>
  <c r="T260" i="33"/>
  <c r="T259" i="33"/>
  <c r="T258" i="33"/>
  <c r="T257" i="33"/>
  <c r="T256" i="33"/>
  <c r="T255" i="33"/>
  <c r="T254" i="33"/>
  <c r="T253" i="33"/>
  <c r="T252" i="33"/>
  <c r="T251" i="33"/>
  <c r="T250" i="33"/>
  <c r="T249" i="33"/>
  <c r="T248" i="33"/>
  <c r="T247" i="33"/>
  <c r="T246" i="33"/>
  <c r="T245" i="33"/>
  <c r="T244" i="33"/>
  <c r="T243" i="33"/>
  <c r="T242" i="33"/>
  <c r="T241" i="33"/>
  <c r="T240" i="33"/>
  <c r="T239" i="33"/>
  <c r="T238" i="33"/>
  <c r="T237" i="33"/>
  <c r="T236" i="33"/>
  <c r="T235" i="33"/>
  <c r="T234" i="33"/>
  <c r="T233" i="33"/>
  <c r="T232" i="33"/>
  <c r="T231" i="33"/>
  <c r="T230" i="33"/>
  <c r="T229" i="33"/>
  <c r="T228" i="33"/>
  <c r="T227" i="33"/>
  <c r="T226" i="33"/>
  <c r="T225" i="33"/>
  <c r="T224" i="33"/>
  <c r="T223" i="33"/>
  <c r="T222" i="33"/>
  <c r="T221" i="33"/>
  <c r="T220" i="33"/>
  <c r="T219" i="33"/>
  <c r="T218" i="33"/>
  <c r="T217" i="33"/>
  <c r="T216" i="33"/>
  <c r="T215" i="33"/>
  <c r="T214" i="33"/>
  <c r="T213" i="33"/>
  <c r="T212" i="33"/>
  <c r="T211" i="33"/>
  <c r="T210" i="33"/>
  <c r="T209" i="33"/>
  <c r="T208" i="33"/>
  <c r="T207" i="33"/>
  <c r="T206" i="33"/>
  <c r="T205" i="33"/>
  <c r="T204" i="33"/>
  <c r="T203" i="33"/>
  <c r="T202" i="33"/>
  <c r="T201" i="33"/>
  <c r="T200" i="33"/>
  <c r="T199" i="33"/>
  <c r="T198" i="33"/>
  <c r="T197" i="33"/>
  <c r="T196" i="33"/>
  <c r="T195" i="33"/>
  <c r="T194" i="33"/>
  <c r="T193" i="33"/>
  <c r="T192" i="33"/>
  <c r="T191" i="33"/>
  <c r="T190" i="33"/>
  <c r="T189" i="33"/>
  <c r="T188" i="33"/>
  <c r="T187" i="33"/>
  <c r="T186" i="33"/>
  <c r="T185" i="33"/>
  <c r="T184" i="33"/>
  <c r="T183" i="33"/>
  <c r="T182" i="33"/>
  <c r="T181" i="33"/>
  <c r="T180" i="33"/>
  <c r="T179" i="33"/>
  <c r="T178" i="33"/>
  <c r="T177" i="33"/>
  <c r="T176" i="33"/>
  <c r="T175" i="33"/>
  <c r="T174" i="33"/>
  <c r="T173" i="33"/>
  <c r="T172" i="33"/>
  <c r="T171" i="33"/>
  <c r="T170" i="33"/>
  <c r="T169" i="33"/>
  <c r="T168" i="33"/>
  <c r="T167" i="33"/>
  <c r="T166" i="33"/>
  <c r="T165" i="33"/>
  <c r="T164" i="33"/>
  <c r="T163" i="33"/>
  <c r="T162" i="33"/>
  <c r="T161" i="33"/>
  <c r="T160" i="33"/>
  <c r="T159" i="33"/>
  <c r="T158" i="33"/>
  <c r="T157" i="33"/>
  <c r="T156" i="33"/>
  <c r="T155" i="33"/>
  <c r="T154" i="33"/>
  <c r="T153" i="33"/>
  <c r="T152" i="33"/>
  <c r="T151" i="33"/>
  <c r="T150" i="33"/>
  <c r="T149" i="33"/>
  <c r="T148" i="33"/>
  <c r="T147" i="33"/>
  <c r="T146" i="33"/>
  <c r="T145" i="33"/>
  <c r="T144" i="33"/>
  <c r="T143" i="33"/>
  <c r="T142" i="33"/>
  <c r="T141" i="33"/>
  <c r="T140" i="33"/>
  <c r="T139" i="33"/>
  <c r="T138" i="33"/>
  <c r="T137" i="33"/>
  <c r="T136" i="33"/>
  <c r="T135" i="33"/>
  <c r="T134" i="33"/>
  <c r="T133" i="33"/>
  <c r="T132" i="33"/>
  <c r="T131" i="33"/>
  <c r="T130" i="33"/>
  <c r="T129" i="33"/>
  <c r="T128" i="33"/>
  <c r="T127" i="33"/>
  <c r="T126" i="33"/>
  <c r="T125" i="33"/>
  <c r="T124" i="33"/>
  <c r="T123" i="33"/>
  <c r="T122" i="33"/>
  <c r="T121" i="33"/>
  <c r="T120" i="33"/>
  <c r="T119" i="33"/>
  <c r="T118" i="33"/>
  <c r="T117" i="33"/>
  <c r="T116" i="33"/>
  <c r="T115" i="33"/>
  <c r="T114" i="33"/>
  <c r="T113" i="33"/>
  <c r="T112" i="33"/>
  <c r="T111" i="33"/>
  <c r="T110" i="33"/>
  <c r="T109" i="33"/>
  <c r="T108" i="33"/>
  <c r="T107" i="33"/>
  <c r="T106" i="33"/>
  <c r="T105" i="33"/>
  <c r="T104" i="33"/>
  <c r="T103" i="33"/>
  <c r="T102" i="33"/>
  <c r="T101" i="33"/>
  <c r="T100" i="33"/>
  <c r="T99" i="33"/>
  <c r="T98" i="33"/>
  <c r="T97" i="33"/>
  <c r="T96" i="33"/>
  <c r="T95" i="33"/>
  <c r="T94" i="33"/>
  <c r="T93" i="33"/>
  <c r="T92" i="33"/>
  <c r="T91" i="33"/>
  <c r="T90" i="33"/>
  <c r="T89" i="33"/>
  <c r="T88" i="33"/>
  <c r="T87" i="33"/>
  <c r="T86" i="33"/>
  <c r="T85" i="33"/>
  <c r="T84" i="33"/>
  <c r="T83" i="33"/>
  <c r="T82" i="33"/>
  <c r="T81" i="33"/>
  <c r="T80" i="33"/>
  <c r="T79" i="33"/>
  <c r="T78" i="33"/>
  <c r="T77" i="33"/>
  <c r="T76" i="33"/>
  <c r="T75" i="33"/>
  <c r="T74" i="33"/>
  <c r="T73" i="33"/>
  <c r="T72" i="33"/>
  <c r="T71" i="33"/>
  <c r="T70" i="33"/>
  <c r="T69" i="33"/>
  <c r="T68" i="33"/>
  <c r="T67" i="33"/>
  <c r="T66" i="33"/>
  <c r="T65" i="33"/>
  <c r="T64" i="33"/>
  <c r="T63" i="33"/>
  <c r="T62" i="33"/>
  <c r="T61" i="33"/>
  <c r="T60" i="33"/>
  <c r="T59" i="33"/>
  <c r="T58" i="33"/>
  <c r="T57" i="33"/>
  <c r="T56" i="33"/>
  <c r="T55" i="33"/>
  <c r="T54" i="33"/>
  <c r="T53" i="33"/>
  <c r="T52" i="33"/>
  <c r="T51" i="33"/>
  <c r="T50" i="33"/>
  <c r="T49" i="33"/>
  <c r="T48" i="33"/>
  <c r="T47" i="33"/>
  <c r="T46" i="33"/>
  <c r="T45" i="33"/>
  <c r="T44" i="33"/>
  <c r="T43" i="33"/>
  <c r="T42" i="33"/>
  <c r="T41" i="33"/>
  <c r="T40" i="33"/>
  <c r="T39" i="33"/>
  <c r="T38" i="33"/>
  <c r="T37" i="33"/>
  <c r="T36" i="33"/>
  <c r="T35" i="33"/>
  <c r="T34" i="33"/>
  <c r="T33" i="33"/>
  <c r="T32" i="33"/>
  <c r="T31" i="33"/>
  <c r="T30" i="33"/>
  <c r="T29" i="33"/>
  <c r="T28" i="33"/>
  <c r="T27" i="33"/>
  <c r="T26" i="33"/>
  <c r="T25" i="33"/>
  <c r="T24" i="33"/>
  <c r="T23" i="33"/>
  <c r="T22" i="33"/>
  <c r="T21" i="33"/>
  <c r="T20" i="33"/>
  <c r="T19" i="33"/>
  <c r="T18" i="33"/>
  <c r="T17" i="33"/>
  <c r="T16" i="33"/>
  <c r="T15" i="33"/>
  <c r="T14" i="33"/>
  <c r="T13" i="33"/>
  <c r="T12" i="33"/>
  <c r="T11" i="33"/>
  <c r="T10" i="33"/>
  <c r="T9" i="33"/>
  <c r="T8" i="33"/>
  <c r="Y6" i="33"/>
  <c r="Z6" i="33"/>
  <c r="AD6" i="33"/>
  <c r="AC6" i="33"/>
  <c r="AB6" i="33"/>
  <c r="AA6" i="33"/>
  <c r="V6" i="33"/>
  <c r="U6" i="33"/>
  <c r="S6" i="33"/>
  <c r="R6" i="33"/>
  <c r="Q6" i="33"/>
  <c r="P6" i="33"/>
  <c r="O6" i="33"/>
  <c r="N6" i="33"/>
  <c r="M6" i="33"/>
  <c r="L6" i="33"/>
  <c r="K6" i="33"/>
  <c r="J6" i="33"/>
  <c r="I6" i="33"/>
  <c r="H6" i="33"/>
  <c r="G6" i="33"/>
  <c r="F6" i="33"/>
  <c r="E6" i="33"/>
  <c r="C6" i="33"/>
  <c r="C319" i="136"/>
  <c r="D319" i="136"/>
  <c r="C320" i="136"/>
  <c r="D320" i="136"/>
  <c r="C321" i="136"/>
  <c r="D321" i="136"/>
  <c r="T6" i="123" l="1"/>
  <c r="W6" i="122"/>
  <c r="X6" i="119"/>
  <c r="X6" i="7"/>
  <c r="W6" i="123"/>
  <c r="X6" i="123"/>
  <c r="T6" i="122"/>
  <c r="X6" i="122"/>
  <c r="W6" i="119"/>
  <c r="T6" i="119"/>
  <c r="W6" i="7"/>
  <c r="W6" i="20"/>
  <c r="X6" i="20"/>
  <c r="X6" i="33"/>
  <c r="W6" i="33"/>
  <c r="T6" i="33"/>
  <c r="BC322" i="135"/>
  <c r="AO322" i="135"/>
  <c r="AA322" i="135"/>
  <c r="M322" i="135"/>
  <c r="BC321" i="135"/>
  <c r="AO321" i="135"/>
  <c r="AA321" i="135"/>
  <c r="M321" i="135"/>
  <c r="BC320" i="135"/>
  <c r="AO320" i="135"/>
  <c r="AA320" i="135"/>
  <c r="M320" i="135"/>
  <c r="BC319" i="135"/>
  <c r="AO319" i="135"/>
  <c r="AA319" i="135"/>
  <c r="M319" i="135"/>
  <c r="BC318" i="135"/>
  <c r="AO318" i="135"/>
  <c r="AA318" i="135"/>
  <c r="M318" i="135"/>
  <c r="BC317" i="135"/>
  <c r="AO317" i="135"/>
  <c r="AA317" i="135"/>
  <c r="M317" i="135"/>
  <c r="BC316" i="135"/>
  <c r="AO316" i="135"/>
  <c r="AA316" i="135"/>
  <c r="M316" i="135"/>
  <c r="BC315" i="135"/>
  <c r="AO315" i="135"/>
  <c r="AA315" i="135"/>
  <c r="M315" i="135"/>
  <c r="BC314" i="135"/>
  <c r="AO314" i="135"/>
  <c r="AA314" i="135"/>
  <c r="M314" i="135"/>
  <c r="BC313" i="135"/>
  <c r="AO313" i="135"/>
  <c r="AA313" i="135"/>
  <c r="M313" i="135"/>
  <c r="BC312" i="135"/>
  <c r="AO312" i="135"/>
  <c r="AA312" i="135"/>
  <c r="M312" i="135"/>
  <c r="BC311" i="135"/>
  <c r="AO311" i="135"/>
  <c r="AA311" i="135"/>
  <c r="M311" i="135"/>
  <c r="BC310" i="135"/>
  <c r="AO310" i="135"/>
  <c r="AA310" i="135"/>
  <c r="M310" i="135"/>
  <c r="BC309" i="135"/>
  <c r="AO309" i="135"/>
  <c r="AA309" i="135"/>
  <c r="M309" i="135"/>
  <c r="BC308" i="135"/>
  <c r="AO308" i="135"/>
  <c r="AA308" i="135"/>
  <c r="M308" i="135"/>
  <c r="BC307" i="135"/>
  <c r="AO307" i="135"/>
  <c r="AA307" i="135"/>
  <c r="M307" i="135"/>
  <c r="BC306" i="135"/>
  <c r="AO306" i="135"/>
  <c r="AA306" i="135"/>
  <c r="M306" i="135"/>
  <c r="BC305" i="135"/>
  <c r="AO305" i="135"/>
  <c r="AA305" i="135"/>
  <c r="M305" i="135"/>
  <c r="BC304" i="135"/>
  <c r="AO304" i="135"/>
  <c r="AA304" i="135"/>
  <c r="M304" i="135"/>
  <c r="BC303" i="135"/>
  <c r="AO303" i="135"/>
  <c r="AA303" i="135"/>
  <c r="M303" i="135"/>
  <c r="BC302" i="135"/>
  <c r="AO302" i="135"/>
  <c r="AA302" i="135"/>
  <c r="M302" i="135"/>
  <c r="BC301" i="135"/>
  <c r="AO301" i="135"/>
  <c r="AA301" i="135"/>
  <c r="M301" i="135"/>
  <c r="BC300" i="135"/>
  <c r="AO300" i="135"/>
  <c r="AA300" i="135"/>
  <c r="M300" i="135"/>
  <c r="BC299" i="135"/>
  <c r="AO299" i="135"/>
  <c r="AA299" i="135"/>
  <c r="M299" i="135"/>
  <c r="BC298" i="135"/>
  <c r="AO298" i="135"/>
  <c r="AA298" i="135"/>
  <c r="M298" i="135"/>
  <c r="BC297" i="135"/>
  <c r="AO297" i="135"/>
  <c r="AA297" i="135"/>
  <c r="M297" i="135"/>
  <c r="BC296" i="135"/>
  <c r="AO296" i="135"/>
  <c r="AA296" i="135"/>
  <c r="M296" i="135"/>
  <c r="BC295" i="135"/>
  <c r="AO295" i="135"/>
  <c r="AA295" i="135"/>
  <c r="M295" i="135"/>
  <c r="BC294" i="135"/>
  <c r="AO294" i="135"/>
  <c r="AA294" i="135"/>
  <c r="M294" i="135"/>
  <c r="BC293" i="135"/>
  <c r="AO293" i="135"/>
  <c r="AA293" i="135"/>
  <c r="M293" i="135"/>
  <c r="BC292" i="135"/>
  <c r="AO292" i="135"/>
  <c r="AA292" i="135"/>
  <c r="M292" i="135"/>
  <c r="BC291" i="135"/>
  <c r="AO291" i="135"/>
  <c r="AA291" i="135"/>
  <c r="M291" i="135"/>
  <c r="BC290" i="135"/>
  <c r="AO290" i="135"/>
  <c r="AA290" i="135"/>
  <c r="M290" i="135"/>
  <c r="BC289" i="135"/>
  <c r="AO289" i="135"/>
  <c r="AA289" i="135"/>
  <c r="M289" i="135"/>
  <c r="BC288" i="135"/>
  <c r="AO288" i="135"/>
  <c r="AA288" i="135"/>
  <c r="M288" i="135"/>
  <c r="BC287" i="135"/>
  <c r="AO287" i="135"/>
  <c r="AA287" i="135"/>
  <c r="M287" i="135"/>
  <c r="BC286" i="135"/>
  <c r="AO286" i="135"/>
  <c r="AA286" i="135"/>
  <c r="M286" i="135"/>
  <c r="BC285" i="135"/>
  <c r="AO285" i="135"/>
  <c r="AA285" i="135"/>
  <c r="M285" i="135"/>
  <c r="BC284" i="135"/>
  <c r="AO284" i="135"/>
  <c r="AA284" i="135"/>
  <c r="M284" i="135"/>
  <c r="BC283" i="135"/>
  <c r="AO283" i="135"/>
  <c r="AA283" i="135"/>
  <c r="M283" i="135"/>
  <c r="BC282" i="135"/>
  <c r="AO282" i="135"/>
  <c r="AA282" i="135"/>
  <c r="M282" i="135"/>
  <c r="BC281" i="135"/>
  <c r="AO281" i="135"/>
  <c r="AA281" i="135"/>
  <c r="M281" i="135"/>
  <c r="BC280" i="135"/>
  <c r="AO280" i="135"/>
  <c r="AA280" i="135"/>
  <c r="M280" i="135"/>
  <c r="BC279" i="135"/>
  <c r="AO279" i="135"/>
  <c r="AA279" i="135"/>
  <c r="M279" i="135"/>
  <c r="BC278" i="135"/>
  <c r="AO278" i="135"/>
  <c r="AA278" i="135"/>
  <c r="M278" i="135"/>
  <c r="BC277" i="135"/>
  <c r="AO277" i="135"/>
  <c r="AA277" i="135"/>
  <c r="M277" i="135"/>
  <c r="BC276" i="135"/>
  <c r="AO276" i="135"/>
  <c r="AA276" i="135"/>
  <c r="M276" i="135"/>
  <c r="BC275" i="135"/>
  <c r="AO275" i="135"/>
  <c r="AA275" i="135"/>
  <c r="M275" i="135"/>
  <c r="BC274" i="135"/>
  <c r="AO274" i="135"/>
  <c r="AA274" i="135"/>
  <c r="M274" i="135"/>
  <c r="BC273" i="135"/>
  <c r="AO273" i="135"/>
  <c r="AA273" i="135"/>
  <c r="M273" i="135"/>
  <c r="BC272" i="135"/>
  <c r="AO272" i="135"/>
  <c r="AA272" i="135"/>
  <c r="M272" i="135"/>
  <c r="BC271" i="135"/>
  <c r="AO271" i="135"/>
  <c r="AA271" i="135"/>
  <c r="M271" i="135"/>
  <c r="BC270" i="135"/>
  <c r="AO270" i="135"/>
  <c r="AA270" i="135"/>
  <c r="M270" i="135"/>
  <c r="BC269" i="135"/>
  <c r="AO269" i="135"/>
  <c r="AA269" i="135"/>
  <c r="M269" i="135"/>
  <c r="BC268" i="135"/>
  <c r="AO268" i="135"/>
  <c r="AA268" i="135"/>
  <c r="M268" i="135"/>
  <c r="BC267" i="135"/>
  <c r="AO267" i="135"/>
  <c r="AA267" i="135"/>
  <c r="M267" i="135"/>
  <c r="BC266" i="135"/>
  <c r="AO266" i="135"/>
  <c r="AA266" i="135"/>
  <c r="M266" i="135"/>
  <c r="BC265" i="135"/>
  <c r="AO265" i="135"/>
  <c r="AA265" i="135"/>
  <c r="M265" i="135"/>
  <c r="BC264" i="135"/>
  <c r="AO264" i="135"/>
  <c r="AA264" i="135"/>
  <c r="M264" i="135"/>
  <c r="BC263" i="135"/>
  <c r="AO263" i="135"/>
  <c r="AA263" i="135"/>
  <c r="M263" i="135"/>
  <c r="BC262" i="135"/>
  <c r="AO262" i="135"/>
  <c r="AA262" i="135"/>
  <c r="M262" i="135"/>
  <c r="BC261" i="135"/>
  <c r="AO261" i="135"/>
  <c r="AA261" i="135"/>
  <c r="M261" i="135"/>
  <c r="BC260" i="135"/>
  <c r="AO260" i="135"/>
  <c r="AA260" i="135"/>
  <c r="M260" i="135"/>
  <c r="BC259" i="135"/>
  <c r="AO259" i="135"/>
  <c r="AA259" i="135"/>
  <c r="M259" i="135"/>
  <c r="BC258" i="135"/>
  <c r="AO258" i="135"/>
  <c r="AA258" i="135"/>
  <c r="M258" i="135"/>
  <c r="BC257" i="135"/>
  <c r="AO257" i="135"/>
  <c r="AA257" i="135"/>
  <c r="M257" i="135"/>
  <c r="BC256" i="135"/>
  <c r="AO256" i="135"/>
  <c r="AA256" i="135"/>
  <c r="M256" i="135"/>
  <c r="BC255" i="135"/>
  <c r="AO255" i="135"/>
  <c r="AA255" i="135"/>
  <c r="M255" i="135"/>
  <c r="BC254" i="135"/>
  <c r="AO254" i="135"/>
  <c r="AA254" i="135"/>
  <c r="M254" i="135"/>
  <c r="BC253" i="135"/>
  <c r="AO253" i="135"/>
  <c r="AA253" i="135"/>
  <c r="M253" i="135"/>
  <c r="BC252" i="135"/>
  <c r="AO252" i="135"/>
  <c r="AA252" i="135"/>
  <c r="M252" i="135"/>
  <c r="BC251" i="135"/>
  <c r="AO251" i="135"/>
  <c r="AA251" i="135"/>
  <c r="M251" i="135"/>
  <c r="BC250" i="135"/>
  <c r="AO250" i="135"/>
  <c r="AA250" i="135"/>
  <c r="M250" i="135"/>
  <c r="BC249" i="135"/>
  <c r="AO249" i="135"/>
  <c r="AA249" i="135"/>
  <c r="M249" i="135"/>
  <c r="BC248" i="135"/>
  <c r="AO248" i="135"/>
  <c r="AA248" i="135"/>
  <c r="M248" i="135"/>
  <c r="BC247" i="135"/>
  <c r="AO247" i="135"/>
  <c r="AA247" i="135"/>
  <c r="M247" i="135"/>
  <c r="BC246" i="135"/>
  <c r="AO246" i="135"/>
  <c r="AA246" i="135"/>
  <c r="M246" i="135"/>
  <c r="BC245" i="135"/>
  <c r="AO245" i="135"/>
  <c r="AA245" i="135"/>
  <c r="M245" i="135"/>
  <c r="BC244" i="135"/>
  <c r="AO244" i="135"/>
  <c r="AA244" i="135"/>
  <c r="M244" i="135"/>
  <c r="BC243" i="135"/>
  <c r="AO243" i="135"/>
  <c r="AA243" i="135"/>
  <c r="M243" i="135"/>
  <c r="BC242" i="135"/>
  <c r="AO242" i="135"/>
  <c r="AA242" i="135"/>
  <c r="M242" i="135"/>
  <c r="BC241" i="135"/>
  <c r="AO241" i="135"/>
  <c r="AA241" i="135"/>
  <c r="M241" i="135"/>
  <c r="BC240" i="135"/>
  <c r="AO240" i="135"/>
  <c r="AA240" i="135"/>
  <c r="M240" i="135"/>
  <c r="BC239" i="135"/>
  <c r="AO239" i="135"/>
  <c r="AA239" i="135"/>
  <c r="M239" i="135"/>
  <c r="BC238" i="135"/>
  <c r="AO238" i="135"/>
  <c r="AA238" i="135"/>
  <c r="M238" i="135"/>
  <c r="BC237" i="135"/>
  <c r="AO237" i="135"/>
  <c r="AA237" i="135"/>
  <c r="M237" i="135"/>
  <c r="BC236" i="135"/>
  <c r="AO236" i="135"/>
  <c r="AA236" i="135"/>
  <c r="M236" i="135"/>
  <c r="BC235" i="135"/>
  <c r="AO235" i="135"/>
  <c r="AA235" i="135"/>
  <c r="M235" i="135"/>
  <c r="BC234" i="135"/>
  <c r="AO234" i="135"/>
  <c r="AA234" i="135"/>
  <c r="M234" i="135"/>
  <c r="BC233" i="135"/>
  <c r="AO233" i="135"/>
  <c r="AA233" i="135"/>
  <c r="M233" i="135"/>
  <c r="BC232" i="135"/>
  <c r="AO232" i="135"/>
  <c r="AA232" i="135"/>
  <c r="M232" i="135"/>
  <c r="BC231" i="135"/>
  <c r="AO231" i="135"/>
  <c r="AA231" i="135"/>
  <c r="M231" i="135"/>
  <c r="BC230" i="135"/>
  <c r="AO230" i="135"/>
  <c r="AA230" i="135"/>
  <c r="M230" i="135"/>
  <c r="BC229" i="135"/>
  <c r="AO229" i="135"/>
  <c r="AA229" i="135"/>
  <c r="M229" i="135"/>
  <c r="BC228" i="135"/>
  <c r="AO228" i="135"/>
  <c r="AA228" i="135"/>
  <c r="M228" i="135"/>
  <c r="BC227" i="135"/>
  <c r="AO227" i="135"/>
  <c r="AA227" i="135"/>
  <c r="M227" i="135"/>
  <c r="BC226" i="135"/>
  <c r="AO226" i="135"/>
  <c r="AA226" i="135"/>
  <c r="M226" i="135"/>
  <c r="BC225" i="135"/>
  <c r="AO225" i="135"/>
  <c r="AA225" i="135"/>
  <c r="M225" i="135"/>
  <c r="BC224" i="135"/>
  <c r="AO224" i="135"/>
  <c r="AA224" i="135"/>
  <c r="M224" i="135"/>
  <c r="BC223" i="135"/>
  <c r="AO223" i="135"/>
  <c r="AA223" i="135"/>
  <c r="M223" i="135"/>
  <c r="BC222" i="135"/>
  <c r="AO222" i="135"/>
  <c r="AA222" i="135"/>
  <c r="M222" i="135"/>
  <c r="BC221" i="135"/>
  <c r="AO221" i="135"/>
  <c r="AA221" i="135"/>
  <c r="M221" i="135"/>
  <c r="BC220" i="135"/>
  <c r="AO220" i="135"/>
  <c r="AA220" i="135"/>
  <c r="M220" i="135"/>
  <c r="BC219" i="135"/>
  <c r="AO219" i="135"/>
  <c r="AA219" i="135"/>
  <c r="M219" i="135"/>
  <c r="BC218" i="135"/>
  <c r="AO218" i="135"/>
  <c r="AA218" i="135"/>
  <c r="M218" i="135"/>
  <c r="BC217" i="135"/>
  <c r="AO217" i="135"/>
  <c r="AA217" i="135"/>
  <c r="M217" i="135"/>
  <c r="BC216" i="135"/>
  <c r="AO216" i="135"/>
  <c r="AA216" i="135"/>
  <c r="M216" i="135"/>
  <c r="BC215" i="135"/>
  <c r="AO215" i="135"/>
  <c r="AA215" i="135"/>
  <c r="M215" i="135"/>
  <c r="BC214" i="135"/>
  <c r="AO214" i="135"/>
  <c r="AA214" i="135"/>
  <c r="M214" i="135"/>
  <c r="BC213" i="135"/>
  <c r="AO213" i="135"/>
  <c r="AA213" i="135"/>
  <c r="M213" i="135"/>
  <c r="BC212" i="135"/>
  <c r="AO212" i="135"/>
  <c r="AA212" i="135"/>
  <c r="M212" i="135"/>
  <c r="BC211" i="135"/>
  <c r="AO211" i="135"/>
  <c r="AA211" i="135"/>
  <c r="M211" i="135"/>
  <c r="BC210" i="135"/>
  <c r="AO210" i="135"/>
  <c r="AA210" i="135"/>
  <c r="M210" i="135"/>
  <c r="BC209" i="135"/>
  <c r="AO209" i="135"/>
  <c r="AA209" i="135"/>
  <c r="M209" i="135"/>
  <c r="BC208" i="135"/>
  <c r="AO208" i="135"/>
  <c r="AA208" i="135"/>
  <c r="M208" i="135"/>
  <c r="BC207" i="135"/>
  <c r="AO207" i="135"/>
  <c r="AA207" i="135"/>
  <c r="M207" i="135"/>
  <c r="BC206" i="135"/>
  <c r="AO206" i="135"/>
  <c r="AA206" i="135"/>
  <c r="M206" i="135"/>
  <c r="BC205" i="135"/>
  <c r="AO205" i="135"/>
  <c r="AA205" i="135"/>
  <c r="M205" i="135"/>
  <c r="BC204" i="135"/>
  <c r="AO204" i="135"/>
  <c r="AA204" i="135"/>
  <c r="M204" i="135"/>
  <c r="BC203" i="135"/>
  <c r="AO203" i="135"/>
  <c r="AA203" i="135"/>
  <c r="M203" i="135"/>
  <c r="BC202" i="135"/>
  <c r="AO202" i="135"/>
  <c r="AA202" i="135"/>
  <c r="M202" i="135"/>
  <c r="BC201" i="135"/>
  <c r="AO201" i="135"/>
  <c r="AA201" i="135"/>
  <c r="M201" i="135"/>
  <c r="BC200" i="135"/>
  <c r="AO200" i="135"/>
  <c r="AA200" i="135"/>
  <c r="M200" i="135"/>
  <c r="BC199" i="135"/>
  <c r="AO199" i="135"/>
  <c r="AA199" i="135"/>
  <c r="M199" i="135"/>
  <c r="BC198" i="135"/>
  <c r="AO198" i="135"/>
  <c r="AA198" i="135"/>
  <c r="M198" i="135"/>
  <c r="BC197" i="135"/>
  <c r="AO197" i="135"/>
  <c r="AA197" i="135"/>
  <c r="M197" i="135"/>
  <c r="BC196" i="135"/>
  <c r="AO196" i="135"/>
  <c r="AA196" i="135"/>
  <c r="M196" i="135"/>
  <c r="BC195" i="135"/>
  <c r="AO195" i="135"/>
  <c r="AA195" i="135"/>
  <c r="M195" i="135"/>
  <c r="BC194" i="135"/>
  <c r="AO194" i="135"/>
  <c r="AA194" i="135"/>
  <c r="M194" i="135"/>
  <c r="BC193" i="135"/>
  <c r="AO193" i="135"/>
  <c r="AA193" i="135"/>
  <c r="M193" i="135"/>
  <c r="BC192" i="135"/>
  <c r="AO192" i="135"/>
  <c r="AA192" i="135"/>
  <c r="M192" i="135"/>
  <c r="BC191" i="135"/>
  <c r="AO191" i="135"/>
  <c r="AA191" i="135"/>
  <c r="M191" i="135"/>
  <c r="BC190" i="135"/>
  <c r="AO190" i="135"/>
  <c r="AA190" i="135"/>
  <c r="M190" i="135"/>
  <c r="BC189" i="135"/>
  <c r="AO189" i="135"/>
  <c r="AA189" i="135"/>
  <c r="M189" i="135"/>
  <c r="BC188" i="135"/>
  <c r="AO188" i="135"/>
  <c r="AA188" i="135"/>
  <c r="M188" i="135"/>
  <c r="BC187" i="135"/>
  <c r="AO187" i="135"/>
  <c r="AA187" i="135"/>
  <c r="M187" i="135"/>
  <c r="BC186" i="135"/>
  <c r="AO186" i="135"/>
  <c r="AA186" i="135"/>
  <c r="M186" i="135"/>
  <c r="BC185" i="135"/>
  <c r="AO185" i="135"/>
  <c r="AA185" i="135"/>
  <c r="M185" i="135"/>
  <c r="BC184" i="135"/>
  <c r="AO184" i="135"/>
  <c r="AA184" i="135"/>
  <c r="M184" i="135"/>
  <c r="BC183" i="135"/>
  <c r="AO183" i="135"/>
  <c r="AA183" i="135"/>
  <c r="M183" i="135"/>
  <c r="BC182" i="135"/>
  <c r="AO182" i="135"/>
  <c r="AA182" i="135"/>
  <c r="M182" i="135"/>
  <c r="BC181" i="135"/>
  <c r="AO181" i="135"/>
  <c r="AA181" i="135"/>
  <c r="M181" i="135"/>
  <c r="BC180" i="135"/>
  <c r="AO180" i="135"/>
  <c r="AA180" i="135"/>
  <c r="M180" i="135"/>
  <c r="BC179" i="135"/>
  <c r="AO179" i="135"/>
  <c r="AA179" i="135"/>
  <c r="M179" i="135"/>
  <c r="BC178" i="135"/>
  <c r="AO178" i="135"/>
  <c r="AA178" i="135"/>
  <c r="M178" i="135"/>
  <c r="BC177" i="135"/>
  <c r="AO177" i="135"/>
  <c r="AA177" i="135"/>
  <c r="M177" i="135"/>
  <c r="BC176" i="135"/>
  <c r="AO176" i="135"/>
  <c r="AA176" i="135"/>
  <c r="M176" i="135"/>
  <c r="BC175" i="135"/>
  <c r="AO175" i="135"/>
  <c r="AA175" i="135"/>
  <c r="M175" i="135"/>
  <c r="BC174" i="135"/>
  <c r="AO174" i="135"/>
  <c r="AA174" i="135"/>
  <c r="M174" i="135"/>
  <c r="BC173" i="135"/>
  <c r="AO173" i="135"/>
  <c r="AA173" i="135"/>
  <c r="M173" i="135"/>
  <c r="BC172" i="135"/>
  <c r="AO172" i="135"/>
  <c r="AA172" i="135"/>
  <c r="M172" i="135"/>
  <c r="BC171" i="135"/>
  <c r="AO171" i="135"/>
  <c r="AA171" i="135"/>
  <c r="M171" i="135"/>
  <c r="BC170" i="135"/>
  <c r="AO170" i="135"/>
  <c r="AA170" i="135"/>
  <c r="M170" i="135"/>
  <c r="BC169" i="135"/>
  <c r="AO169" i="135"/>
  <c r="AA169" i="135"/>
  <c r="M169" i="135"/>
  <c r="BC168" i="135"/>
  <c r="AO168" i="135"/>
  <c r="AA168" i="135"/>
  <c r="M168" i="135"/>
  <c r="BC167" i="135"/>
  <c r="AO167" i="135"/>
  <c r="AA167" i="135"/>
  <c r="M167" i="135"/>
  <c r="BC166" i="135"/>
  <c r="AO166" i="135"/>
  <c r="AA166" i="135"/>
  <c r="M166" i="135"/>
  <c r="BC165" i="135"/>
  <c r="AO165" i="135"/>
  <c r="AA165" i="135"/>
  <c r="M165" i="135"/>
  <c r="BC164" i="135"/>
  <c r="AO164" i="135"/>
  <c r="AA164" i="135"/>
  <c r="M164" i="135"/>
  <c r="BC163" i="135"/>
  <c r="AO163" i="135"/>
  <c r="AA163" i="135"/>
  <c r="M163" i="135"/>
  <c r="BC162" i="135"/>
  <c r="AO162" i="135"/>
  <c r="AA162" i="135"/>
  <c r="M162" i="135"/>
  <c r="BC161" i="135"/>
  <c r="AO161" i="135"/>
  <c r="AA161" i="135"/>
  <c r="M161" i="135"/>
  <c r="BC160" i="135"/>
  <c r="AO160" i="135"/>
  <c r="AA160" i="135"/>
  <c r="M160" i="135"/>
  <c r="BC159" i="135"/>
  <c r="AO159" i="135"/>
  <c r="AA159" i="135"/>
  <c r="M159" i="135"/>
  <c r="BC158" i="135"/>
  <c r="AO158" i="135"/>
  <c r="AA158" i="135"/>
  <c r="M158" i="135"/>
  <c r="BC157" i="135"/>
  <c r="AO157" i="135"/>
  <c r="AA157" i="135"/>
  <c r="M157" i="135"/>
  <c r="BC156" i="135"/>
  <c r="AO156" i="135"/>
  <c r="AA156" i="135"/>
  <c r="M156" i="135"/>
  <c r="BC155" i="135"/>
  <c r="AO155" i="135"/>
  <c r="AA155" i="135"/>
  <c r="M155" i="135"/>
  <c r="BC154" i="135"/>
  <c r="AO154" i="135"/>
  <c r="AA154" i="135"/>
  <c r="M154" i="135"/>
  <c r="BC153" i="135"/>
  <c r="AO153" i="135"/>
  <c r="AA153" i="135"/>
  <c r="M153" i="135"/>
  <c r="BC152" i="135"/>
  <c r="AO152" i="135"/>
  <c r="AA152" i="135"/>
  <c r="M152" i="135"/>
  <c r="BC151" i="135"/>
  <c r="AO151" i="135"/>
  <c r="AA151" i="135"/>
  <c r="M151" i="135"/>
  <c r="BC150" i="135"/>
  <c r="AO150" i="135"/>
  <c r="AA150" i="135"/>
  <c r="M150" i="135"/>
  <c r="BC149" i="135"/>
  <c r="AO149" i="135"/>
  <c r="AA149" i="135"/>
  <c r="M149" i="135"/>
  <c r="BC148" i="135"/>
  <c r="AO148" i="135"/>
  <c r="AA148" i="135"/>
  <c r="M148" i="135"/>
  <c r="BC147" i="135"/>
  <c r="AO147" i="135"/>
  <c r="AA147" i="135"/>
  <c r="M147" i="135"/>
  <c r="BC146" i="135"/>
  <c r="AO146" i="135"/>
  <c r="AA146" i="135"/>
  <c r="M146" i="135"/>
  <c r="BC145" i="135"/>
  <c r="AO145" i="135"/>
  <c r="AA145" i="135"/>
  <c r="M145" i="135"/>
  <c r="BC144" i="135"/>
  <c r="AO144" i="135"/>
  <c r="AA144" i="135"/>
  <c r="M144" i="135"/>
  <c r="BC143" i="135"/>
  <c r="AO143" i="135"/>
  <c r="AA143" i="135"/>
  <c r="M143" i="135"/>
  <c r="BC142" i="135"/>
  <c r="AO142" i="135"/>
  <c r="AA142" i="135"/>
  <c r="M142" i="135"/>
  <c r="BC141" i="135"/>
  <c r="AO141" i="135"/>
  <c r="AA141" i="135"/>
  <c r="M141" i="135"/>
  <c r="BC140" i="135"/>
  <c r="AO140" i="135"/>
  <c r="AA140" i="135"/>
  <c r="M140" i="135"/>
  <c r="BC139" i="135"/>
  <c r="AO139" i="135"/>
  <c r="AA139" i="135"/>
  <c r="M139" i="135"/>
  <c r="BC138" i="135"/>
  <c r="AO138" i="135"/>
  <c r="AA138" i="135"/>
  <c r="M138" i="135"/>
  <c r="BC137" i="135"/>
  <c r="AO137" i="135"/>
  <c r="AA137" i="135"/>
  <c r="M137" i="135"/>
  <c r="BC136" i="135"/>
  <c r="AO136" i="135"/>
  <c r="AA136" i="135"/>
  <c r="M136" i="135"/>
  <c r="BC135" i="135"/>
  <c r="AO135" i="135"/>
  <c r="AA135" i="135"/>
  <c r="M135" i="135"/>
  <c r="BC134" i="135"/>
  <c r="AO134" i="135"/>
  <c r="AA134" i="135"/>
  <c r="M134" i="135"/>
  <c r="BC133" i="135"/>
  <c r="AO133" i="135"/>
  <c r="AA133" i="135"/>
  <c r="M133" i="135"/>
  <c r="BC132" i="135"/>
  <c r="AO132" i="135"/>
  <c r="AA132" i="135"/>
  <c r="M132" i="135"/>
  <c r="BC131" i="135"/>
  <c r="AO131" i="135"/>
  <c r="AA131" i="135"/>
  <c r="M131" i="135"/>
  <c r="BC130" i="135"/>
  <c r="AO130" i="135"/>
  <c r="AA130" i="135"/>
  <c r="M130" i="135"/>
  <c r="BC129" i="135"/>
  <c r="AO129" i="135"/>
  <c r="AA129" i="135"/>
  <c r="M129" i="135"/>
  <c r="BC128" i="135"/>
  <c r="AO128" i="135"/>
  <c r="AA128" i="135"/>
  <c r="M128" i="135"/>
  <c r="BC127" i="135"/>
  <c r="AO127" i="135"/>
  <c r="AA127" i="135"/>
  <c r="M127" i="135"/>
  <c r="BC126" i="135"/>
  <c r="AO126" i="135"/>
  <c r="AA126" i="135"/>
  <c r="M126" i="135"/>
  <c r="BC125" i="135"/>
  <c r="AO125" i="135"/>
  <c r="AA125" i="135"/>
  <c r="M125" i="135"/>
  <c r="BC124" i="135"/>
  <c r="AO124" i="135"/>
  <c r="AA124" i="135"/>
  <c r="M124" i="135"/>
  <c r="BC123" i="135"/>
  <c r="AO123" i="135"/>
  <c r="AA123" i="135"/>
  <c r="M123" i="135"/>
  <c r="BC122" i="135"/>
  <c r="AO122" i="135"/>
  <c r="AA122" i="135"/>
  <c r="M122" i="135"/>
  <c r="BC121" i="135"/>
  <c r="AO121" i="135"/>
  <c r="AA121" i="135"/>
  <c r="M121" i="135"/>
  <c r="BC120" i="135"/>
  <c r="AO120" i="135"/>
  <c r="AA120" i="135"/>
  <c r="M120" i="135"/>
  <c r="BC119" i="135"/>
  <c r="AO119" i="135"/>
  <c r="AA119" i="135"/>
  <c r="M119" i="135"/>
  <c r="BC118" i="135"/>
  <c r="AO118" i="135"/>
  <c r="AA118" i="135"/>
  <c r="M118" i="135"/>
  <c r="BC117" i="135"/>
  <c r="AO117" i="135"/>
  <c r="AA117" i="135"/>
  <c r="M117" i="135"/>
  <c r="BC116" i="135"/>
  <c r="AO116" i="135"/>
  <c r="AA116" i="135"/>
  <c r="M116" i="135"/>
  <c r="BC115" i="135"/>
  <c r="AO115" i="135"/>
  <c r="AA115" i="135"/>
  <c r="M115" i="135"/>
  <c r="BC114" i="135"/>
  <c r="AO114" i="135"/>
  <c r="AA114" i="135"/>
  <c r="M114" i="135"/>
  <c r="BC113" i="135"/>
  <c r="AO113" i="135"/>
  <c r="AA113" i="135"/>
  <c r="M113" i="135"/>
  <c r="BC112" i="135"/>
  <c r="AO112" i="135"/>
  <c r="AA112" i="135"/>
  <c r="M112" i="135"/>
  <c r="BC111" i="135"/>
  <c r="AO111" i="135"/>
  <c r="AA111" i="135"/>
  <c r="M111" i="135"/>
  <c r="BC110" i="135"/>
  <c r="AO110" i="135"/>
  <c r="AA110" i="135"/>
  <c r="M110" i="135"/>
  <c r="BC109" i="135"/>
  <c r="AO109" i="135"/>
  <c r="AA109" i="135"/>
  <c r="M109" i="135"/>
  <c r="BC108" i="135"/>
  <c r="AO108" i="135"/>
  <c r="AA108" i="135"/>
  <c r="M108" i="135"/>
  <c r="BC107" i="135"/>
  <c r="AO107" i="135"/>
  <c r="AA107" i="135"/>
  <c r="M107" i="135"/>
  <c r="BC106" i="135"/>
  <c r="AO106" i="135"/>
  <c r="AA106" i="135"/>
  <c r="M106" i="135"/>
  <c r="BC105" i="135"/>
  <c r="AO105" i="135"/>
  <c r="AA105" i="135"/>
  <c r="M105" i="135"/>
  <c r="BC104" i="135"/>
  <c r="AO104" i="135"/>
  <c r="AA104" i="135"/>
  <c r="M104" i="135"/>
  <c r="BC103" i="135"/>
  <c r="AO103" i="135"/>
  <c r="AA103" i="135"/>
  <c r="M103" i="135"/>
  <c r="BC102" i="135"/>
  <c r="AO102" i="135"/>
  <c r="AA102" i="135"/>
  <c r="M102" i="135"/>
  <c r="BC101" i="135"/>
  <c r="AO101" i="135"/>
  <c r="AA101" i="135"/>
  <c r="M101" i="135"/>
  <c r="BC100" i="135"/>
  <c r="AO100" i="135"/>
  <c r="AA100" i="135"/>
  <c r="M100" i="135"/>
  <c r="BC99" i="135"/>
  <c r="AO99" i="135"/>
  <c r="AA99" i="135"/>
  <c r="M99" i="135"/>
  <c r="BC98" i="135"/>
  <c r="AO98" i="135"/>
  <c r="AA98" i="135"/>
  <c r="M98" i="135"/>
  <c r="BC97" i="135"/>
  <c r="AO97" i="135"/>
  <c r="AA97" i="135"/>
  <c r="M97" i="135"/>
  <c r="BC96" i="135"/>
  <c r="AO96" i="135"/>
  <c r="AA96" i="135"/>
  <c r="M96" i="135"/>
  <c r="BC95" i="135"/>
  <c r="AO95" i="135"/>
  <c r="AA95" i="135"/>
  <c r="M95" i="135"/>
  <c r="BC94" i="135"/>
  <c r="AO94" i="135"/>
  <c r="AA94" i="135"/>
  <c r="M94" i="135"/>
  <c r="BC93" i="135"/>
  <c r="AO93" i="135"/>
  <c r="AA93" i="135"/>
  <c r="M93" i="135"/>
  <c r="BC92" i="135"/>
  <c r="AO92" i="135"/>
  <c r="AA92" i="135"/>
  <c r="M92" i="135"/>
  <c r="BC91" i="135"/>
  <c r="AO91" i="135"/>
  <c r="AA91" i="135"/>
  <c r="M91" i="135"/>
  <c r="BC90" i="135"/>
  <c r="AO90" i="135"/>
  <c r="AA90" i="135"/>
  <c r="M90" i="135"/>
  <c r="BC89" i="135"/>
  <c r="AO89" i="135"/>
  <c r="AA89" i="135"/>
  <c r="M89" i="135"/>
  <c r="BC88" i="135"/>
  <c r="AO88" i="135"/>
  <c r="AA88" i="135"/>
  <c r="M88" i="135"/>
  <c r="BC87" i="135"/>
  <c r="AO87" i="135"/>
  <c r="AA87" i="135"/>
  <c r="M87" i="135"/>
  <c r="BC86" i="135"/>
  <c r="AO86" i="135"/>
  <c r="AA86" i="135"/>
  <c r="M86" i="135"/>
  <c r="BC85" i="135"/>
  <c r="AO85" i="135"/>
  <c r="AA85" i="135"/>
  <c r="M85" i="135"/>
  <c r="BC84" i="135"/>
  <c r="AO84" i="135"/>
  <c r="AA84" i="135"/>
  <c r="M84" i="135"/>
  <c r="BC83" i="135"/>
  <c r="AO83" i="135"/>
  <c r="AA83" i="135"/>
  <c r="M83" i="135"/>
  <c r="BC82" i="135"/>
  <c r="AO82" i="135"/>
  <c r="AA82" i="135"/>
  <c r="M82" i="135"/>
  <c r="BC81" i="135"/>
  <c r="AO81" i="135"/>
  <c r="AA81" i="135"/>
  <c r="M81" i="135"/>
  <c r="BC80" i="135"/>
  <c r="AO80" i="135"/>
  <c r="AA80" i="135"/>
  <c r="M80" i="135"/>
  <c r="BC79" i="135"/>
  <c r="AO79" i="135"/>
  <c r="AA79" i="135"/>
  <c r="M79" i="135"/>
  <c r="BC78" i="135"/>
  <c r="AO78" i="135"/>
  <c r="AA78" i="135"/>
  <c r="M78" i="135"/>
  <c r="BC77" i="135"/>
  <c r="AO77" i="135"/>
  <c r="AA77" i="135"/>
  <c r="M77" i="135"/>
  <c r="BC76" i="135"/>
  <c r="AO76" i="135"/>
  <c r="AA76" i="135"/>
  <c r="M76" i="135"/>
  <c r="BC75" i="135"/>
  <c r="AO75" i="135"/>
  <c r="AA75" i="135"/>
  <c r="M75" i="135"/>
  <c r="BC74" i="135"/>
  <c r="AO74" i="135"/>
  <c r="AA74" i="135"/>
  <c r="M74" i="135"/>
  <c r="BC73" i="135"/>
  <c r="AO73" i="135"/>
  <c r="AA73" i="135"/>
  <c r="M73" i="135"/>
  <c r="BC72" i="135"/>
  <c r="AO72" i="135"/>
  <c r="AA72" i="135"/>
  <c r="M72" i="135"/>
  <c r="BC71" i="135"/>
  <c r="AO71" i="135"/>
  <c r="AA71" i="135"/>
  <c r="M71" i="135"/>
  <c r="BC70" i="135"/>
  <c r="AO70" i="135"/>
  <c r="AA70" i="135"/>
  <c r="M70" i="135"/>
  <c r="BC69" i="135"/>
  <c r="AO69" i="135"/>
  <c r="AA69" i="135"/>
  <c r="M69" i="135"/>
  <c r="BC68" i="135"/>
  <c r="AO68" i="135"/>
  <c r="AA68" i="135"/>
  <c r="M68" i="135"/>
  <c r="BC67" i="135"/>
  <c r="AO67" i="135"/>
  <c r="AA67" i="135"/>
  <c r="M67" i="135"/>
  <c r="BC66" i="135"/>
  <c r="AO66" i="135"/>
  <c r="AA66" i="135"/>
  <c r="M66" i="135"/>
  <c r="BC65" i="135"/>
  <c r="AO65" i="135"/>
  <c r="AA65" i="135"/>
  <c r="M65" i="135"/>
  <c r="BC64" i="135"/>
  <c r="AO64" i="135"/>
  <c r="AA64" i="135"/>
  <c r="M64" i="135"/>
  <c r="BC63" i="135"/>
  <c r="AO63" i="135"/>
  <c r="AA63" i="135"/>
  <c r="M63" i="135"/>
  <c r="BC62" i="135"/>
  <c r="AO62" i="135"/>
  <c r="AA62" i="135"/>
  <c r="M62" i="135"/>
  <c r="BC61" i="135"/>
  <c r="AO61" i="135"/>
  <c r="AA61" i="135"/>
  <c r="M61" i="135"/>
  <c r="BC60" i="135"/>
  <c r="AO60" i="135"/>
  <c r="AA60" i="135"/>
  <c r="M60" i="135"/>
  <c r="BC59" i="135"/>
  <c r="AO59" i="135"/>
  <c r="AA59" i="135"/>
  <c r="M59" i="135"/>
  <c r="BC58" i="135"/>
  <c r="AO58" i="135"/>
  <c r="AA58" i="135"/>
  <c r="M58" i="135"/>
  <c r="BC57" i="135"/>
  <c r="AO57" i="135"/>
  <c r="AA57" i="135"/>
  <c r="M57" i="135"/>
  <c r="BC56" i="135"/>
  <c r="AO56" i="135"/>
  <c r="AA56" i="135"/>
  <c r="M56" i="135"/>
  <c r="BC55" i="135"/>
  <c r="AO55" i="135"/>
  <c r="AA55" i="135"/>
  <c r="M55" i="135"/>
  <c r="BC54" i="135"/>
  <c r="AO54" i="135"/>
  <c r="AA54" i="135"/>
  <c r="M54" i="135"/>
  <c r="BC53" i="135"/>
  <c r="AO53" i="135"/>
  <c r="AA53" i="135"/>
  <c r="M53" i="135"/>
  <c r="BC52" i="135"/>
  <c r="AO52" i="135"/>
  <c r="AA52" i="135"/>
  <c r="M52" i="135"/>
  <c r="BC51" i="135"/>
  <c r="AO51" i="135"/>
  <c r="AA51" i="135"/>
  <c r="M51" i="135"/>
  <c r="BC50" i="135"/>
  <c r="AO50" i="135"/>
  <c r="AA50" i="135"/>
  <c r="M50" i="135"/>
  <c r="BC49" i="135"/>
  <c r="AO49" i="135"/>
  <c r="AA49" i="135"/>
  <c r="M49" i="135"/>
  <c r="BC48" i="135"/>
  <c r="AO48" i="135"/>
  <c r="AA48" i="135"/>
  <c r="M48" i="135"/>
  <c r="BC47" i="135"/>
  <c r="AO47" i="135"/>
  <c r="AA47" i="135"/>
  <c r="M47" i="135"/>
  <c r="BC46" i="135"/>
  <c r="AO46" i="135"/>
  <c r="AA46" i="135"/>
  <c r="M46" i="135"/>
  <c r="BC45" i="135"/>
  <c r="AO45" i="135"/>
  <c r="AA45" i="135"/>
  <c r="M45" i="135"/>
  <c r="BC44" i="135"/>
  <c r="AO44" i="135"/>
  <c r="AA44" i="135"/>
  <c r="M44" i="135"/>
  <c r="BC43" i="135"/>
  <c r="AO43" i="135"/>
  <c r="AA43" i="135"/>
  <c r="M43" i="135"/>
  <c r="BC42" i="135"/>
  <c r="AO42" i="135"/>
  <c r="AA42" i="135"/>
  <c r="M42" i="135"/>
  <c r="BC41" i="135"/>
  <c r="AO41" i="135"/>
  <c r="AA41" i="135"/>
  <c r="M41" i="135"/>
  <c r="BC40" i="135"/>
  <c r="AO40" i="135"/>
  <c r="AA40" i="135"/>
  <c r="M40" i="135"/>
  <c r="BC39" i="135"/>
  <c r="AO39" i="135"/>
  <c r="AA39" i="135"/>
  <c r="M39" i="135"/>
  <c r="BC38" i="135"/>
  <c r="AO38" i="135"/>
  <c r="AA38" i="135"/>
  <c r="M38" i="135"/>
  <c r="BC37" i="135"/>
  <c r="AO37" i="135"/>
  <c r="AA37" i="135"/>
  <c r="M37" i="135"/>
  <c r="BC36" i="135"/>
  <c r="AO36" i="135"/>
  <c r="AA36" i="135"/>
  <c r="M36" i="135"/>
  <c r="BC35" i="135"/>
  <c r="AO35" i="135"/>
  <c r="AA35" i="135"/>
  <c r="M35" i="135"/>
  <c r="BC34" i="135"/>
  <c r="AO34" i="135"/>
  <c r="AA34" i="135"/>
  <c r="M34" i="135"/>
  <c r="BC33" i="135"/>
  <c r="AO33" i="135"/>
  <c r="AA33" i="135"/>
  <c r="M33" i="135"/>
  <c r="BC32" i="135"/>
  <c r="AO32" i="135"/>
  <c r="AA32" i="135"/>
  <c r="M32" i="135"/>
  <c r="BC31" i="135"/>
  <c r="AO31" i="135"/>
  <c r="AA31" i="135"/>
  <c r="M31" i="135"/>
  <c r="BC30" i="135"/>
  <c r="AO30" i="135"/>
  <c r="AA30" i="135"/>
  <c r="M30" i="135"/>
  <c r="BC29" i="135"/>
  <c r="AO29" i="135"/>
  <c r="AA29" i="135"/>
  <c r="M29" i="135"/>
  <c r="BC28" i="135"/>
  <c r="AO28" i="135"/>
  <c r="AA28" i="135"/>
  <c r="M28" i="135"/>
  <c r="BC27" i="135"/>
  <c r="AO27" i="135"/>
  <c r="AA27" i="135"/>
  <c r="M27" i="135"/>
  <c r="BC26" i="135"/>
  <c r="AO26" i="135"/>
  <c r="AA26" i="135"/>
  <c r="M26" i="135"/>
  <c r="BC25" i="135"/>
  <c r="AO25" i="135"/>
  <c r="AA25" i="135"/>
  <c r="M25" i="135"/>
  <c r="BC24" i="135"/>
  <c r="AO24" i="135"/>
  <c r="AA24" i="135"/>
  <c r="M24" i="135"/>
  <c r="BC23" i="135"/>
  <c r="AO23" i="135"/>
  <c r="AA23" i="135"/>
  <c r="M23" i="135"/>
  <c r="BC22" i="135"/>
  <c r="AO22" i="135"/>
  <c r="AA22" i="135"/>
  <c r="M22" i="135"/>
  <c r="BC21" i="135"/>
  <c r="AO21" i="135"/>
  <c r="AA21" i="135"/>
  <c r="M21" i="135"/>
  <c r="BC20" i="135"/>
  <c r="AO20" i="135"/>
  <c r="AA20" i="135"/>
  <c r="M20" i="135"/>
  <c r="BC19" i="135"/>
  <c r="AO19" i="135"/>
  <c r="AA19" i="135"/>
  <c r="M19" i="135"/>
  <c r="BC18" i="135"/>
  <c r="AO18" i="135"/>
  <c r="AA18" i="135"/>
  <c r="M18" i="135"/>
  <c r="BC17" i="135"/>
  <c r="AO17" i="135"/>
  <c r="AA17" i="135"/>
  <c r="M17" i="135"/>
  <c r="BC16" i="135"/>
  <c r="AO16" i="135"/>
  <c r="AA16" i="135"/>
  <c r="M16" i="135"/>
  <c r="BC15" i="135"/>
  <c r="AO15" i="135"/>
  <c r="AA15" i="135"/>
  <c r="M15" i="135"/>
  <c r="BC14" i="135"/>
  <c r="AO14" i="135"/>
  <c r="AA14" i="135"/>
  <c r="M14" i="135"/>
  <c r="BC13" i="135"/>
  <c r="AO13" i="135"/>
  <c r="AA13" i="135"/>
  <c r="M13" i="135"/>
  <c r="BC12" i="135"/>
  <c r="AO12" i="135"/>
  <c r="AA12" i="135"/>
  <c r="M12" i="135"/>
  <c r="BC11" i="135"/>
  <c r="AO11" i="135"/>
  <c r="AA11" i="135"/>
  <c r="M11" i="135"/>
  <c r="BC10" i="135"/>
  <c r="AO10" i="135"/>
  <c r="AA10" i="135"/>
  <c r="M10" i="135"/>
  <c r="BC9" i="135"/>
  <c r="AO9" i="135"/>
  <c r="AA9" i="135"/>
  <c r="M9" i="135"/>
  <c r="BC8" i="135"/>
  <c r="AO8" i="135"/>
  <c r="AA8" i="135"/>
  <c r="M8" i="135"/>
  <c r="BC7" i="135"/>
  <c r="AO7" i="135"/>
  <c r="AA7" i="135"/>
  <c r="M7" i="135"/>
  <c r="BC6" i="135"/>
  <c r="AO6" i="135"/>
  <c r="AA6" i="135"/>
  <c r="M6" i="135"/>
  <c r="BC5" i="135"/>
  <c r="BC4" i="135" s="1"/>
  <c r="AO5" i="135"/>
  <c r="AO4" i="135" s="1"/>
  <c r="AA5" i="135"/>
  <c r="AA4" i="135" s="1"/>
  <c r="M5" i="135"/>
  <c r="M4" i="135" s="1"/>
  <c r="AS1" i="135"/>
  <c r="AT1" i="135" s="1"/>
  <c r="AU1" i="135" s="1"/>
  <c r="AV1" i="135" s="1"/>
  <c r="AW1" i="135" s="1"/>
  <c r="AX1" i="135" s="1"/>
  <c r="AY1" i="135" s="1"/>
  <c r="AZ1" i="135" s="1"/>
  <c r="BA1" i="135" s="1"/>
  <c r="BB1" i="135" s="1"/>
  <c r="BC1" i="135" s="1"/>
  <c r="BD1" i="135" s="1"/>
  <c r="AF1" i="135"/>
  <c r="AG1" i="135" s="1"/>
  <c r="AH1" i="135" s="1"/>
  <c r="AI1" i="135" s="1"/>
  <c r="AJ1" i="135" s="1"/>
  <c r="AK1" i="135" s="1"/>
  <c r="AL1" i="135" s="1"/>
  <c r="AM1" i="135" s="1"/>
  <c r="AN1" i="135" s="1"/>
  <c r="AO1" i="135" s="1"/>
  <c r="AP1" i="135" s="1"/>
  <c r="AE1" i="135"/>
  <c r="Q1" i="135"/>
  <c r="R1" i="135" s="1"/>
  <c r="S1" i="135" s="1"/>
  <c r="T1" i="135" s="1"/>
  <c r="U1" i="135" s="1"/>
  <c r="V1" i="135" s="1"/>
  <c r="W1" i="135" s="1"/>
  <c r="X1" i="135" s="1"/>
  <c r="Y1" i="135" s="1"/>
  <c r="Z1" i="135" s="1"/>
  <c r="AA1" i="135" s="1"/>
  <c r="AB1" i="135" s="1"/>
  <c r="D1" i="135"/>
  <c r="E1" i="135" s="1"/>
  <c r="F1" i="135" s="1"/>
  <c r="G1" i="135" s="1"/>
  <c r="H1" i="135" s="1"/>
  <c r="I1" i="135" s="1"/>
  <c r="J1" i="135" s="1"/>
  <c r="K1" i="135" s="1"/>
  <c r="L1" i="135" s="1"/>
  <c r="M1" i="135" s="1"/>
  <c r="N1" i="135" s="1"/>
  <c r="C1" i="135"/>
  <c r="BC322" i="124"/>
  <c r="AO322" i="124"/>
  <c r="AA322" i="124"/>
  <c r="M322" i="124"/>
  <c r="BC321" i="124"/>
  <c r="AO321" i="124"/>
  <c r="AA321" i="124"/>
  <c r="M321" i="124"/>
  <c r="BC320" i="124"/>
  <c r="AO320" i="124"/>
  <c r="AA320" i="124"/>
  <c r="M320" i="124"/>
  <c r="BC319" i="124"/>
  <c r="AO319" i="124"/>
  <c r="AA319" i="124"/>
  <c r="M319" i="124"/>
  <c r="BC318" i="124"/>
  <c r="AO318" i="124"/>
  <c r="AA318" i="124"/>
  <c r="M318" i="124"/>
  <c r="BC317" i="124"/>
  <c r="AO317" i="124"/>
  <c r="AA317" i="124"/>
  <c r="M317" i="124"/>
  <c r="BC316" i="124"/>
  <c r="AO316" i="124"/>
  <c r="AA316" i="124"/>
  <c r="M316" i="124"/>
  <c r="BC315" i="124"/>
  <c r="AO315" i="124"/>
  <c r="AA315" i="124"/>
  <c r="M315" i="124"/>
  <c r="BC314" i="124"/>
  <c r="AO314" i="124"/>
  <c r="AA314" i="124"/>
  <c r="M314" i="124"/>
  <c r="BC313" i="124"/>
  <c r="AO313" i="124"/>
  <c r="AA313" i="124"/>
  <c r="M313" i="124"/>
  <c r="BC312" i="124"/>
  <c r="AO312" i="124"/>
  <c r="AA312" i="124"/>
  <c r="M312" i="124"/>
  <c r="BC311" i="124"/>
  <c r="AO311" i="124"/>
  <c r="AA311" i="124"/>
  <c r="M311" i="124"/>
  <c r="BC310" i="124"/>
  <c r="AO310" i="124"/>
  <c r="AA310" i="124"/>
  <c r="M310" i="124"/>
  <c r="BC309" i="124"/>
  <c r="AO309" i="124"/>
  <c r="AA309" i="124"/>
  <c r="M309" i="124"/>
  <c r="BC308" i="124"/>
  <c r="AO308" i="124"/>
  <c r="AA308" i="124"/>
  <c r="M308" i="124"/>
  <c r="BC307" i="124"/>
  <c r="AO307" i="124"/>
  <c r="AA307" i="124"/>
  <c r="M307" i="124"/>
  <c r="BC306" i="124"/>
  <c r="AO306" i="124"/>
  <c r="AA306" i="124"/>
  <c r="M306" i="124"/>
  <c r="BC305" i="124"/>
  <c r="AO305" i="124"/>
  <c r="AA305" i="124"/>
  <c r="M305" i="124"/>
  <c r="BC304" i="124"/>
  <c r="AO304" i="124"/>
  <c r="AA304" i="124"/>
  <c r="M304" i="124"/>
  <c r="BC303" i="124"/>
  <c r="AO303" i="124"/>
  <c r="AA303" i="124"/>
  <c r="M303" i="124"/>
  <c r="BC302" i="124"/>
  <c r="AO302" i="124"/>
  <c r="AA302" i="124"/>
  <c r="M302" i="124"/>
  <c r="BC301" i="124"/>
  <c r="AO301" i="124"/>
  <c r="AA301" i="124"/>
  <c r="M301" i="124"/>
  <c r="BC300" i="124"/>
  <c r="AO300" i="124"/>
  <c r="AA300" i="124"/>
  <c r="M300" i="124"/>
  <c r="BC299" i="124"/>
  <c r="AO299" i="124"/>
  <c r="AA299" i="124"/>
  <c r="M299" i="124"/>
  <c r="BC298" i="124"/>
  <c r="AO298" i="124"/>
  <c r="AA298" i="124"/>
  <c r="M298" i="124"/>
  <c r="BC297" i="124"/>
  <c r="AO297" i="124"/>
  <c r="AA297" i="124"/>
  <c r="M297" i="124"/>
  <c r="BC296" i="124"/>
  <c r="AO296" i="124"/>
  <c r="AA296" i="124"/>
  <c r="M296" i="124"/>
  <c r="BC295" i="124"/>
  <c r="AO295" i="124"/>
  <c r="AA295" i="124"/>
  <c r="M295" i="124"/>
  <c r="BC294" i="124"/>
  <c r="AO294" i="124"/>
  <c r="AA294" i="124"/>
  <c r="M294" i="124"/>
  <c r="BC293" i="124"/>
  <c r="AO293" i="124"/>
  <c r="AA293" i="124"/>
  <c r="M293" i="124"/>
  <c r="BC292" i="124"/>
  <c r="AO292" i="124"/>
  <c r="AA292" i="124"/>
  <c r="M292" i="124"/>
  <c r="BC291" i="124"/>
  <c r="AO291" i="124"/>
  <c r="AA291" i="124"/>
  <c r="M291" i="124"/>
  <c r="BC290" i="124"/>
  <c r="AO290" i="124"/>
  <c r="AA290" i="124"/>
  <c r="M290" i="124"/>
  <c r="BC289" i="124"/>
  <c r="AO289" i="124"/>
  <c r="AA289" i="124"/>
  <c r="M289" i="124"/>
  <c r="BC288" i="124"/>
  <c r="AO288" i="124"/>
  <c r="AA288" i="124"/>
  <c r="M288" i="124"/>
  <c r="BC287" i="124"/>
  <c r="AO287" i="124"/>
  <c r="AA287" i="124"/>
  <c r="M287" i="124"/>
  <c r="BC286" i="124"/>
  <c r="AO286" i="124"/>
  <c r="AA286" i="124"/>
  <c r="M286" i="124"/>
  <c r="BC285" i="124"/>
  <c r="AO285" i="124"/>
  <c r="AA285" i="124"/>
  <c r="M285" i="124"/>
  <c r="BC284" i="124"/>
  <c r="AO284" i="124"/>
  <c r="AA284" i="124"/>
  <c r="M284" i="124"/>
  <c r="BC283" i="124"/>
  <c r="AO283" i="124"/>
  <c r="AA283" i="124"/>
  <c r="M283" i="124"/>
  <c r="BC282" i="124"/>
  <c r="AO282" i="124"/>
  <c r="AA282" i="124"/>
  <c r="M282" i="124"/>
  <c r="BC281" i="124"/>
  <c r="AO281" i="124"/>
  <c r="AA281" i="124"/>
  <c r="M281" i="124"/>
  <c r="BC280" i="124"/>
  <c r="AO280" i="124"/>
  <c r="AA280" i="124"/>
  <c r="M280" i="124"/>
  <c r="BC279" i="124"/>
  <c r="AO279" i="124"/>
  <c r="AA279" i="124"/>
  <c r="M279" i="124"/>
  <c r="BC278" i="124"/>
  <c r="AO278" i="124"/>
  <c r="AA278" i="124"/>
  <c r="M278" i="124"/>
  <c r="BC277" i="124"/>
  <c r="AO277" i="124"/>
  <c r="AA277" i="124"/>
  <c r="M277" i="124"/>
  <c r="BC276" i="124"/>
  <c r="AO276" i="124"/>
  <c r="AA276" i="124"/>
  <c r="M276" i="124"/>
  <c r="BC275" i="124"/>
  <c r="AO275" i="124"/>
  <c r="AA275" i="124"/>
  <c r="M275" i="124"/>
  <c r="BC274" i="124"/>
  <c r="AO274" i="124"/>
  <c r="AA274" i="124"/>
  <c r="M274" i="124"/>
  <c r="BC273" i="124"/>
  <c r="AO273" i="124"/>
  <c r="AA273" i="124"/>
  <c r="M273" i="124"/>
  <c r="BC272" i="124"/>
  <c r="AO272" i="124"/>
  <c r="AA272" i="124"/>
  <c r="M272" i="124"/>
  <c r="BC271" i="124"/>
  <c r="AO271" i="124"/>
  <c r="AA271" i="124"/>
  <c r="M271" i="124"/>
  <c r="BC270" i="124"/>
  <c r="AO270" i="124"/>
  <c r="AA270" i="124"/>
  <c r="M270" i="124"/>
  <c r="BC269" i="124"/>
  <c r="AO269" i="124"/>
  <c r="AA269" i="124"/>
  <c r="M269" i="124"/>
  <c r="BC268" i="124"/>
  <c r="AO268" i="124"/>
  <c r="AA268" i="124"/>
  <c r="M268" i="124"/>
  <c r="BC267" i="124"/>
  <c r="AO267" i="124"/>
  <c r="AA267" i="124"/>
  <c r="M267" i="124"/>
  <c r="BC266" i="124"/>
  <c r="AO266" i="124"/>
  <c r="AA266" i="124"/>
  <c r="M266" i="124"/>
  <c r="BC265" i="124"/>
  <c r="AO265" i="124"/>
  <c r="AA265" i="124"/>
  <c r="M265" i="124"/>
  <c r="BC264" i="124"/>
  <c r="AO264" i="124"/>
  <c r="AA264" i="124"/>
  <c r="M264" i="124"/>
  <c r="BC263" i="124"/>
  <c r="AO263" i="124"/>
  <c r="AA263" i="124"/>
  <c r="M263" i="124"/>
  <c r="BC262" i="124"/>
  <c r="AO262" i="124"/>
  <c r="AA262" i="124"/>
  <c r="M262" i="124"/>
  <c r="BC261" i="124"/>
  <c r="AO261" i="124"/>
  <c r="AA261" i="124"/>
  <c r="M261" i="124"/>
  <c r="BC260" i="124"/>
  <c r="AO260" i="124"/>
  <c r="AA260" i="124"/>
  <c r="M260" i="124"/>
  <c r="BC259" i="124"/>
  <c r="AO259" i="124"/>
  <c r="AA259" i="124"/>
  <c r="M259" i="124"/>
  <c r="BC258" i="124"/>
  <c r="AO258" i="124"/>
  <c r="AA258" i="124"/>
  <c r="M258" i="124"/>
  <c r="BC257" i="124"/>
  <c r="AO257" i="124"/>
  <c r="AA257" i="124"/>
  <c r="M257" i="124"/>
  <c r="BC256" i="124"/>
  <c r="AO256" i="124"/>
  <c r="AA256" i="124"/>
  <c r="M256" i="124"/>
  <c r="BC255" i="124"/>
  <c r="AO255" i="124"/>
  <c r="AA255" i="124"/>
  <c r="M255" i="124"/>
  <c r="BC254" i="124"/>
  <c r="AO254" i="124"/>
  <c r="AA254" i="124"/>
  <c r="M254" i="124"/>
  <c r="BC253" i="124"/>
  <c r="AO253" i="124"/>
  <c r="AA253" i="124"/>
  <c r="M253" i="124"/>
  <c r="BC252" i="124"/>
  <c r="AO252" i="124"/>
  <c r="AA252" i="124"/>
  <c r="M252" i="124"/>
  <c r="BC251" i="124"/>
  <c r="AO251" i="124"/>
  <c r="AA251" i="124"/>
  <c r="M251" i="124"/>
  <c r="BC250" i="124"/>
  <c r="AO250" i="124"/>
  <c r="AA250" i="124"/>
  <c r="M250" i="124"/>
  <c r="BC249" i="124"/>
  <c r="AO249" i="124"/>
  <c r="AA249" i="124"/>
  <c r="M249" i="124"/>
  <c r="BC248" i="124"/>
  <c r="AO248" i="124"/>
  <c r="AA248" i="124"/>
  <c r="M248" i="124"/>
  <c r="BC247" i="124"/>
  <c r="AO247" i="124"/>
  <c r="AA247" i="124"/>
  <c r="M247" i="124"/>
  <c r="BC246" i="124"/>
  <c r="AO246" i="124"/>
  <c r="AA246" i="124"/>
  <c r="M246" i="124"/>
  <c r="BC245" i="124"/>
  <c r="AO245" i="124"/>
  <c r="AA245" i="124"/>
  <c r="M245" i="124"/>
  <c r="BC244" i="124"/>
  <c r="AO244" i="124"/>
  <c r="AA244" i="124"/>
  <c r="M244" i="124"/>
  <c r="BC243" i="124"/>
  <c r="AO243" i="124"/>
  <c r="AA243" i="124"/>
  <c r="M243" i="124"/>
  <c r="BC242" i="124"/>
  <c r="AO242" i="124"/>
  <c r="AA242" i="124"/>
  <c r="M242" i="124"/>
  <c r="BC241" i="124"/>
  <c r="AO241" i="124"/>
  <c r="AA241" i="124"/>
  <c r="M241" i="124"/>
  <c r="BC240" i="124"/>
  <c r="AO240" i="124"/>
  <c r="AA240" i="124"/>
  <c r="M240" i="124"/>
  <c r="BC239" i="124"/>
  <c r="AO239" i="124"/>
  <c r="AA239" i="124"/>
  <c r="M239" i="124"/>
  <c r="BC238" i="124"/>
  <c r="AO238" i="124"/>
  <c r="AA238" i="124"/>
  <c r="M238" i="124"/>
  <c r="BC237" i="124"/>
  <c r="AO237" i="124"/>
  <c r="AA237" i="124"/>
  <c r="M237" i="124"/>
  <c r="BC236" i="124"/>
  <c r="AO236" i="124"/>
  <c r="AA236" i="124"/>
  <c r="M236" i="124"/>
  <c r="BC235" i="124"/>
  <c r="AO235" i="124"/>
  <c r="AA235" i="124"/>
  <c r="M235" i="124"/>
  <c r="BC234" i="124"/>
  <c r="AO234" i="124"/>
  <c r="AA234" i="124"/>
  <c r="M234" i="124"/>
  <c r="BC233" i="124"/>
  <c r="AO233" i="124"/>
  <c r="AA233" i="124"/>
  <c r="M233" i="124"/>
  <c r="BC232" i="124"/>
  <c r="AO232" i="124"/>
  <c r="AA232" i="124"/>
  <c r="M232" i="124"/>
  <c r="BC231" i="124"/>
  <c r="AO231" i="124"/>
  <c r="AA231" i="124"/>
  <c r="M231" i="124"/>
  <c r="BC230" i="124"/>
  <c r="AO230" i="124"/>
  <c r="AA230" i="124"/>
  <c r="M230" i="124"/>
  <c r="BC229" i="124"/>
  <c r="AO229" i="124"/>
  <c r="AA229" i="124"/>
  <c r="M229" i="124"/>
  <c r="BC228" i="124"/>
  <c r="AO228" i="124"/>
  <c r="AA228" i="124"/>
  <c r="M228" i="124"/>
  <c r="BC227" i="124"/>
  <c r="AO227" i="124"/>
  <c r="AA227" i="124"/>
  <c r="M227" i="124"/>
  <c r="BC226" i="124"/>
  <c r="AO226" i="124"/>
  <c r="AA226" i="124"/>
  <c r="M226" i="124"/>
  <c r="BC225" i="124"/>
  <c r="AO225" i="124"/>
  <c r="AA225" i="124"/>
  <c r="M225" i="124"/>
  <c r="BC224" i="124"/>
  <c r="AO224" i="124"/>
  <c r="AA224" i="124"/>
  <c r="M224" i="124"/>
  <c r="BC223" i="124"/>
  <c r="AO223" i="124"/>
  <c r="AA223" i="124"/>
  <c r="M223" i="124"/>
  <c r="BC222" i="124"/>
  <c r="AO222" i="124"/>
  <c r="AA222" i="124"/>
  <c r="M222" i="124"/>
  <c r="BC221" i="124"/>
  <c r="AO221" i="124"/>
  <c r="AA221" i="124"/>
  <c r="M221" i="124"/>
  <c r="BC220" i="124"/>
  <c r="AO220" i="124"/>
  <c r="AA220" i="124"/>
  <c r="M220" i="124"/>
  <c r="BC219" i="124"/>
  <c r="AO219" i="124"/>
  <c r="AA219" i="124"/>
  <c r="M219" i="124"/>
  <c r="BC218" i="124"/>
  <c r="AO218" i="124"/>
  <c r="AA218" i="124"/>
  <c r="M218" i="124"/>
  <c r="BC217" i="124"/>
  <c r="AO217" i="124"/>
  <c r="AA217" i="124"/>
  <c r="M217" i="124"/>
  <c r="BC216" i="124"/>
  <c r="AO216" i="124"/>
  <c r="AA216" i="124"/>
  <c r="M216" i="124"/>
  <c r="BC215" i="124"/>
  <c r="AO215" i="124"/>
  <c r="AA215" i="124"/>
  <c r="M215" i="124"/>
  <c r="BC214" i="124"/>
  <c r="AO214" i="124"/>
  <c r="AA214" i="124"/>
  <c r="M214" i="124"/>
  <c r="BC213" i="124"/>
  <c r="AO213" i="124"/>
  <c r="AA213" i="124"/>
  <c r="M213" i="124"/>
  <c r="BC212" i="124"/>
  <c r="AO212" i="124"/>
  <c r="AA212" i="124"/>
  <c r="M212" i="124"/>
  <c r="BC211" i="124"/>
  <c r="AO211" i="124"/>
  <c r="AA211" i="124"/>
  <c r="M211" i="124"/>
  <c r="BC210" i="124"/>
  <c r="AO210" i="124"/>
  <c r="AA210" i="124"/>
  <c r="M210" i="124"/>
  <c r="BC209" i="124"/>
  <c r="AO209" i="124"/>
  <c r="AA209" i="124"/>
  <c r="M209" i="124"/>
  <c r="BC208" i="124"/>
  <c r="AO208" i="124"/>
  <c r="AA208" i="124"/>
  <c r="M208" i="124"/>
  <c r="BC207" i="124"/>
  <c r="AO207" i="124"/>
  <c r="AA207" i="124"/>
  <c r="M207" i="124"/>
  <c r="BC206" i="124"/>
  <c r="AO206" i="124"/>
  <c r="AA206" i="124"/>
  <c r="M206" i="124"/>
  <c r="BC205" i="124"/>
  <c r="AO205" i="124"/>
  <c r="AA205" i="124"/>
  <c r="M205" i="124"/>
  <c r="BC204" i="124"/>
  <c r="AO204" i="124"/>
  <c r="AA204" i="124"/>
  <c r="M204" i="124"/>
  <c r="BC203" i="124"/>
  <c r="AO203" i="124"/>
  <c r="AA203" i="124"/>
  <c r="M203" i="124"/>
  <c r="BC202" i="124"/>
  <c r="AO202" i="124"/>
  <c r="AA202" i="124"/>
  <c r="M202" i="124"/>
  <c r="BC201" i="124"/>
  <c r="AO201" i="124"/>
  <c r="AA201" i="124"/>
  <c r="M201" i="124"/>
  <c r="BC200" i="124"/>
  <c r="AO200" i="124"/>
  <c r="AA200" i="124"/>
  <c r="M200" i="124"/>
  <c r="BC199" i="124"/>
  <c r="AO199" i="124"/>
  <c r="AA199" i="124"/>
  <c r="M199" i="124"/>
  <c r="BC198" i="124"/>
  <c r="AO198" i="124"/>
  <c r="AA198" i="124"/>
  <c r="M198" i="124"/>
  <c r="BC197" i="124"/>
  <c r="AO197" i="124"/>
  <c r="AA197" i="124"/>
  <c r="M197" i="124"/>
  <c r="BC196" i="124"/>
  <c r="AO196" i="124"/>
  <c r="AA196" i="124"/>
  <c r="M196" i="124"/>
  <c r="BC195" i="124"/>
  <c r="AO195" i="124"/>
  <c r="AA195" i="124"/>
  <c r="M195" i="124"/>
  <c r="BC194" i="124"/>
  <c r="AO194" i="124"/>
  <c r="AA194" i="124"/>
  <c r="M194" i="124"/>
  <c r="BC193" i="124"/>
  <c r="AO193" i="124"/>
  <c r="AA193" i="124"/>
  <c r="M193" i="124"/>
  <c r="BC192" i="124"/>
  <c r="AO192" i="124"/>
  <c r="AA192" i="124"/>
  <c r="M192" i="124"/>
  <c r="BC191" i="124"/>
  <c r="AO191" i="124"/>
  <c r="AA191" i="124"/>
  <c r="M191" i="124"/>
  <c r="BC190" i="124"/>
  <c r="AO190" i="124"/>
  <c r="AA190" i="124"/>
  <c r="M190" i="124"/>
  <c r="BC189" i="124"/>
  <c r="AO189" i="124"/>
  <c r="AA189" i="124"/>
  <c r="M189" i="124"/>
  <c r="BC188" i="124"/>
  <c r="AO188" i="124"/>
  <c r="AA188" i="124"/>
  <c r="M188" i="124"/>
  <c r="BC187" i="124"/>
  <c r="AO187" i="124"/>
  <c r="AA187" i="124"/>
  <c r="M187" i="124"/>
  <c r="BC186" i="124"/>
  <c r="AO186" i="124"/>
  <c r="AA186" i="124"/>
  <c r="M186" i="124"/>
  <c r="BC185" i="124"/>
  <c r="AO185" i="124"/>
  <c r="AA185" i="124"/>
  <c r="M185" i="124"/>
  <c r="BC184" i="124"/>
  <c r="AO184" i="124"/>
  <c r="AA184" i="124"/>
  <c r="M184" i="124"/>
  <c r="BC183" i="124"/>
  <c r="AO183" i="124"/>
  <c r="AA183" i="124"/>
  <c r="M183" i="124"/>
  <c r="BC182" i="124"/>
  <c r="AO182" i="124"/>
  <c r="AA182" i="124"/>
  <c r="M182" i="124"/>
  <c r="BC181" i="124"/>
  <c r="AO181" i="124"/>
  <c r="AA181" i="124"/>
  <c r="M181" i="124"/>
  <c r="BC180" i="124"/>
  <c r="AO180" i="124"/>
  <c r="AA180" i="124"/>
  <c r="M180" i="124"/>
  <c r="BC179" i="124"/>
  <c r="AO179" i="124"/>
  <c r="AA179" i="124"/>
  <c r="M179" i="124"/>
  <c r="BC178" i="124"/>
  <c r="AO178" i="124"/>
  <c r="AA178" i="124"/>
  <c r="M178" i="124"/>
  <c r="BC177" i="124"/>
  <c r="AO177" i="124"/>
  <c r="AA177" i="124"/>
  <c r="M177" i="124"/>
  <c r="BC176" i="124"/>
  <c r="AO176" i="124"/>
  <c r="AA176" i="124"/>
  <c r="M176" i="124"/>
  <c r="BC175" i="124"/>
  <c r="AO175" i="124"/>
  <c r="AA175" i="124"/>
  <c r="M175" i="124"/>
  <c r="BC174" i="124"/>
  <c r="AO174" i="124"/>
  <c r="AA174" i="124"/>
  <c r="M174" i="124"/>
  <c r="BC173" i="124"/>
  <c r="AO173" i="124"/>
  <c r="AA173" i="124"/>
  <c r="M173" i="124"/>
  <c r="BC172" i="124"/>
  <c r="AO172" i="124"/>
  <c r="AA172" i="124"/>
  <c r="M172" i="124"/>
  <c r="BC171" i="124"/>
  <c r="AO171" i="124"/>
  <c r="AA171" i="124"/>
  <c r="M171" i="124"/>
  <c r="BC170" i="124"/>
  <c r="AO170" i="124"/>
  <c r="AA170" i="124"/>
  <c r="M170" i="124"/>
  <c r="BC169" i="124"/>
  <c r="AO169" i="124"/>
  <c r="AA169" i="124"/>
  <c r="M169" i="124"/>
  <c r="BC168" i="124"/>
  <c r="AO168" i="124"/>
  <c r="AA168" i="124"/>
  <c r="M168" i="124"/>
  <c r="BC167" i="124"/>
  <c r="AO167" i="124"/>
  <c r="AA167" i="124"/>
  <c r="M167" i="124"/>
  <c r="BC166" i="124"/>
  <c r="AO166" i="124"/>
  <c r="AA166" i="124"/>
  <c r="M166" i="124"/>
  <c r="BC165" i="124"/>
  <c r="AO165" i="124"/>
  <c r="AA165" i="124"/>
  <c r="M165" i="124"/>
  <c r="BC164" i="124"/>
  <c r="AO164" i="124"/>
  <c r="AA164" i="124"/>
  <c r="M164" i="124"/>
  <c r="BC163" i="124"/>
  <c r="AO163" i="124"/>
  <c r="AA163" i="124"/>
  <c r="M163" i="124"/>
  <c r="BC162" i="124"/>
  <c r="AO162" i="124"/>
  <c r="AA162" i="124"/>
  <c r="M162" i="124"/>
  <c r="BC161" i="124"/>
  <c r="AO161" i="124"/>
  <c r="AA161" i="124"/>
  <c r="M161" i="124"/>
  <c r="BC160" i="124"/>
  <c r="AO160" i="124"/>
  <c r="AA160" i="124"/>
  <c r="M160" i="124"/>
  <c r="BC159" i="124"/>
  <c r="AO159" i="124"/>
  <c r="AA159" i="124"/>
  <c r="M159" i="124"/>
  <c r="BC158" i="124"/>
  <c r="AO158" i="124"/>
  <c r="AA158" i="124"/>
  <c r="M158" i="124"/>
  <c r="BC157" i="124"/>
  <c r="AO157" i="124"/>
  <c r="AA157" i="124"/>
  <c r="M157" i="124"/>
  <c r="BC156" i="124"/>
  <c r="AO156" i="124"/>
  <c r="AA156" i="124"/>
  <c r="M156" i="124"/>
  <c r="BC155" i="124"/>
  <c r="AO155" i="124"/>
  <c r="AA155" i="124"/>
  <c r="M155" i="124"/>
  <c r="BC154" i="124"/>
  <c r="AO154" i="124"/>
  <c r="AA154" i="124"/>
  <c r="M154" i="124"/>
  <c r="BC153" i="124"/>
  <c r="AO153" i="124"/>
  <c r="AA153" i="124"/>
  <c r="M153" i="124"/>
  <c r="BC152" i="124"/>
  <c r="AO152" i="124"/>
  <c r="AA152" i="124"/>
  <c r="M152" i="124"/>
  <c r="BC151" i="124"/>
  <c r="AO151" i="124"/>
  <c r="AA151" i="124"/>
  <c r="M151" i="124"/>
  <c r="BC150" i="124"/>
  <c r="AO150" i="124"/>
  <c r="AA150" i="124"/>
  <c r="M150" i="124"/>
  <c r="BC149" i="124"/>
  <c r="AO149" i="124"/>
  <c r="AA149" i="124"/>
  <c r="M149" i="124"/>
  <c r="BC148" i="124"/>
  <c r="AO148" i="124"/>
  <c r="AA148" i="124"/>
  <c r="M148" i="124"/>
  <c r="BC147" i="124"/>
  <c r="AO147" i="124"/>
  <c r="AA147" i="124"/>
  <c r="M147" i="124"/>
  <c r="BC146" i="124"/>
  <c r="AO146" i="124"/>
  <c r="AA146" i="124"/>
  <c r="M146" i="124"/>
  <c r="BC145" i="124"/>
  <c r="AO145" i="124"/>
  <c r="AA145" i="124"/>
  <c r="M145" i="124"/>
  <c r="BC144" i="124"/>
  <c r="AO144" i="124"/>
  <c r="AA144" i="124"/>
  <c r="M144" i="124"/>
  <c r="BC143" i="124"/>
  <c r="AO143" i="124"/>
  <c r="AA143" i="124"/>
  <c r="M143" i="124"/>
  <c r="BC142" i="124"/>
  <c r="AO142" i="124"/>
  <c r="AA142" i="124"/>
  <c r="M142" i="124"/>
  <c r="BC141" i="124"/>
  <c r="AO141" i="124"/>
  <c r="AA141" i="124"/>
  <c r="M141" i="124"/>
  <c r="BC140" i="124"/>
  <c r="AO140" i="124"/>
  <c r="AA140" i="124"/>
  <c r="M140" i="124"/>
  <c r="BC139" i="124"/>
  <c r="AO139" i="124"/>
  <c r="AA139" i="124"/>
  <c r="M139" i="124"/>
  <c r="BC138" i="124"/>
  <c r="AO138" i="124"/>
  <c r="AA138" i="124"/>
  <c r="M138" i="124"/>
  <c r="BC137" i="124"/>
  <c r="AO137" i="124"/>
  <c r="AA137" i="124"/>
  <c r="M137" i="124"/>
  <c r="BC136" i="124"/>
  <c r="AO136" i="124"/>
  <c r="AA136" i="124"/>
  <c r="M136" i="124"/>
  <c r="BC135" i="124"/>
  <c r="AO135" i="124"/>
  <c r="AA135" i="124"/>
  <c r="M135" i="124"/>
  <c r="BC134" i="124"/>
  <c r="AO134" i="124"/>
  <c r="AA134" i="124"/>
  <c r="M134" i="124"/>
  <c r="BC133" i="124"/>
  <c r="AO133" i="124"/>
  <c r="AA133" i="124"/>
  <c r="M133" i="124"/>
  <c r="BC132" i="124"/>
  <c r="AO132" i="124"/>
  <c r="AA132" i="124"/>
  <c r="M132" i="124"/>
  <c r="BC131" i="124"/>
  <c r="AO131" i="124"/>
  <c r="AA131" i="124"/>
  <c r="M131" i="124"/>
  <c r="BC130" i="124"/>
  <c r="AO130" i="124"/>
  <c r="AA130" i="124"/>
  <c r="M130" i="124"/>
  <c r="BC129" i="124"/>
  <c r="AO129" i="124"/>
  <c r="AA129" i="124"/>
  <c r="M129" i="124"/>
  <c r="BC128" i="124"/>
  <c r="AO128" i="124"/>
  <c r="AA128" i="124"/>
  <c r="M128" i="124"/>
  <c r="BC127" i="124"/>
  <c r="AO127" i="124"/>
  <c r="AA127" i="124"/>
  <c r="M127" i="124"/>
  <c r="BC126" i="124"/>
  <c r="AO126" i="124"/>
  <c r="AA126" i="124"/>
  <c r="M126" i="124"/>
  <c r="BC125" i="124"/>
  <c r="AO125" i="124"/>
  <c r="AA125" i="124"/>
  <c r="M125" i="124"/>
  <c r="BC124" i="124"/>
  <c r="AO124" i="124"/>
  <c r="AA124" i="124"/>
  <c r="M124" i="124"/>
  <c r="BC123" i="124"/>
  <c r="AO123" i="124"/>
  <c r="AA123" i="124"/>
  <c r="M123" i="124"/>
  <c r="BC122" i="124"/>
  <c r="AO122" i="124"/>
  <c r="AA122" i="124"/>
  <c r="M122" i="124"/>
  <c r="BC121" i="124"/>
  <c r="AO121" i="124"/>
  <c r="AA121" i="124"/>
  <c r="M121" i="124"/>
  <c r="BC120" i="124"/>
  <c r="AO120" i="124"/>
  <c r="AA120" i="124"/>
  <c r="M120" i="124"/>
  <c r="BC119" i="124"/>
  <c r="AO119" i="124"/>
  <c r="AA119" i="124"/>
  <c r="M119" i="124"/>
  <c r="BC118" i="124"/>
  <c r="AO118" i="124"/>
  <c r="AA118" i="124"/>
  <c r="M118" i="124"/>
  <c r="BC117" i="124"/>
  <c r="AO117" i="124"/>
  <c r="AA117" i="124"/>
  <c r="M117" i="124"/>
  <c r="BC116" i="124"/>
  <c r="AO116" i="124"/>
  <c r="AA116" i="124"/>
  <c r="M116" i="124"/>
  <c r="BC115" i="124"/>
  <c r="AO115" i="124"/>
  <c r="AA115" i="124"/>
  <c r="M115" i="124"/>
  <c r="BC114" i="124"/>
  <c r="AO114" i="124"/>
  <c r="AA114" i="124"/>
  <c r="M114" i="124"/>
  <c r="BC113" i="124"/>
  <c r="AO113" i="124"/>
  <c r="AA113" i="124"/>
  <c r="M113" i="124"/>
  <c r="BC112" i="124"/>
  <c r="AO112" i="124"/>
  <c r="AA112" i="124"/>
  <c r="M112" i="124"/>
  <c r="BC111" i="124"/>
  <c r="AO111" i="124"/>
  <c r="AA111" i="124"/>
  <c r="M111" i="124"/>
  <c r="BC110" i="124"/>
  <c r="AO110" i="124"/>
  <c r="AA110" i="124"/>
  <c r="M110" i="124"/>
  <c r="BC109" i="124"/>
  <c r="AO109" i="124"/>
  <c r="AA109" i="124"/>
  <c r="M109" i="124"/>
  <c r="BC108" i="124"/>
  <c r="AO108" i="124"/>
  <c r="AA108" i="124"/>
  <c r="M108" i="124"/>
  <c r="BC107" i="124"/>
  <c r="AO107" i="124"/>
  <c r="AA107" i="124"/>
  <c r="M107" i="124"/>
  <c r="BC106" i="124"/>
  <c r="AO106" i="124"/>
  <c r="AA106" i="124"/>
  <c r="M106" i="124"/>
  <c r="BC105" i="124"/>
  <c r="AO105" i="124"/>
  <c r="AA105" i="124"/>
  <c r="M105" i="124"/>
  <c r="BC104" i="124"/>
  <c r="AO104" i="124"/>
  <c r="AA104" i="124"/>
  <c r="M104" i="124"/>
  <c r="BC103" i="124"/>
  <c r="AO103" i="124"/>
  <c r="AA103" i="124"/>
  <c r="M103" i="124"/>
  <c r="BC102" i="124"/>
  <c r="AO102" i="124"/>
  <c r="AA102" i="124"/>
  <c r="M102" i="124"/>
  <c r="BC101" i="124"/>
  <c r="AO101" i="124"/>
  <c r="AA101" i="124"/>
  <c r="M101" i="124"/>
  <c r="BC100" i="124"/>
  <c r="AO100" i="124"/>
  <c r="AA100" i="124"/>
  <c r="M100" i="124"/>
  <c r="BC99" i="124"/>
  <c r="AO99" i="124"/>
  <c r="AA99" i="124"/>
  <c r="M99" i="124"/>
  <c r="BC98" i="124"/>
  <c r="AO98" i="124"/>
  <c r="AA98" i="124"/>
  <c r="M98" i="124"/>
  <c r="BC97" i="124"/>
  <c r="AO97" i="124"/>
  <c r="AA97" i="124"/>
  <c r="M97" i="124"/>
  <c r="BC96" i="124"/>
  <c r="AO96" i="124"/>
  <c r="AA96" i="124"/>
  <c r="M96" i="124"/>
  <c r="BC95" i="124"/>
  <c r="AO95" i="124"/>
  <c r="AA95" i="124"/>
  <c r="M95" i="124"/>
  <c r="BC94" i="124"/>
  <c r="AO94" i="124"/>
  <c r="AA94" i="124"/>
  <c r="M94" i="124"/>
  <c r="BC93" i="124"/>
  <c r="AO93" i="124"/>
  <c r="AA93" i="124"/>
  <c r="M93" i="124"/>
  <c r="BC92" i="124"/>
  <c r="AO92" i="124"/>
  <c r="AA92" i="124"/>
  <c r="M92" i="124"/>
  <c r="BC91" i="124"/>
  <c r="AO91" i="124"/>
  <c r="AA91" i="124"/>
  <c r="M91" i="124"/>
  <c r="BC90" i="124"/>
  <c r="AO90" i="124"/>
  <c r="AA90" i="124"/>
  <c r="M90" i="124"/>
  <c r="BC89" i="124"/>
  <c r="AO89" i="124"/>
  <c r="AA89" i="124"/>
  <c r="M89" i="124"/>
  <c r="BC88" i="124"/>
  <c r="AO88" i="124"/>
  <c r="AA88" i="124"/>
  <c r="M88" i="124"/>
  <c r="BC87" i="124"/>
  <c r="AO87" i="124"/>
  <c r="AA87" i="124"/>
  <c r="M87" i="124"/>
  <c r="BC86" i="124"/>
  <c r="AO86" i="124"/>
  <c r="AA86" i="124"/>
  <c r="M86" i="124"/>
  <c r="BC85" i="124"/>
  <c r="AO85" i="124"/>
  <c r="AA85" i="124"/>
  <c r="M85" i="124"/>
  <c r="BC84" i="124"/>
  <c r="AO84" i="124"/>
  <c r="AA84" i="124"/>
  <c r="M84" i="124"/>
  <c r="BC83" i="124"/>
  <c r="AO83" i="124"/>
  <c r="AA83" i="124"/>
  <c r="M83" i="124"/>
  <c r="BC82" i="124"/>
  <c r="AO82" i="124"/>
  <c r="AA82" i="124"/>
  <c r="M82" i="124"/>
  <c r="BC81" i="124"/>
  <c r="AO81" i="124"/>
  <c r="AA81" i="124"/>
  <c r="M81" i="124"/>
  <c r="BC80" i="124"/>
  <c r="AO80" i="124"/>
  <c r="AA80" i="124"/>
  <c r="M80" i="124"/>
  <c r="BC79" i="124"/>
  <c r="AO79" i="124"/>
  <c r="AA79" i="124"/>
  <c r="M79" i="124"/>
  <c r="BC78" i="124"/>
  <c r="AO78" i="124"/>
  <c r="AA78" i="124"/>
  <c r="M78" i="124"/>
  <c r="BC77" i="124"/>
  <c r="AO77" i="124"/>
  <c r="AA77" i="124"/>
  <c r="M77" i="124"/>
  <c r="BC76" i="124"/>
  <c r="AO76" i="124"/>
  <c r="AA76" i="124"/>
  <c r="M76" i="124"/>
  <c r="BC75" i="124"/>
  <c r="AO75" i="124"/>
  <c r="AA75" i="124"/>
  <c r="M75" i="124"/>
  <c r="BC74" i="124"/>
  <c r="AO74" i="124"/>
  <c r="AA74" i="124"/>
  <c r="M74" i="124"/>
  <c r="BC73" i="124"/>
  <c r="AO73" i="124"/>
  <c r="AA73" i="124"/>
  <c r="M73" i="124"/>
  <c r="BC72" i="124"/>
  <c r="AO72" i="124"/>
  <c r="AA72" i="124"/>
  <c r="M72" i="124"/>
  <c r="BC71" i="124"/>
  <c r="AO71" i="124"/>
  <c r="AA71" i="124"/>
  <c r="M71" i="124"/>
  <c r="BC70" i="124"/>
  <c r="AO70" i="124"/>
  <c r="AA70" i="124"/>
  <c r="M70" i="124"/>
  <c r="BC69" i="124"/>
  <c r="AO69" i="124"/>
  <c r="AA69" i="124"/>
  <c r="M69" i="124"/>
  <c r="BC68" i="124"/>
  <c r="AO68" i="124"/>
  <c r="AA68" i="124"/>
  <c r="M68" i="124"/>
  <c r="BC67" i="124"/>
  <c r="AO67" i="124"/>
  <c r="AA67" i="124"/>
  <c r="M67" i="124"/>
  <c r="BC66" i="124"/>
  <c r="AO66" i="124"/>
  <c r="AA66" i="124"/>
  <c r="M66" i="124"/>
  <c r="BC65" i="124"/>
  <c r="AO65" i="124"/>
  <c r="AA65" i="124"/>
  <c r="M65" i="124"/>
  <c r="BC64" i="124"/>
  <c r="AO64" i="124"/>
  <c r="AA64" i="124"/>
  <c r="M64" i="124"/>
  <c r="BC63" i="124"/>
  <c r="AO63" i="124"/>
  <c r="AA63" i="124"/>
  <c r="M63" i="124"/>
  <c r="BC62" i="124"/>
  <c r="AO62" i="124"/>
  <c r="AA62" i="124"/>
  <c r="M62" i="124"/>
  <c r="BC61" i="124"/>
  <c r="AO61" i="124"/>
  <c r="AA61" i="124"/>
  <c r="M61" i="124"/>
  <c r="BC60" i="124"/>
  <c r="AO60" i="124"/>
  <c r="AA60" i="124"/>
  <c r="M60" i="124"/>
  <c r="BC59" i="124"/>
  <c r="AO59" i="124"/>
  <c r="AA59" i="124"/>
  <c r="M59" i="124"/>
  <c r="BC58" i="124"/>
  <c r="AO58" i="124"/>
  <c r="AA58" i="124"/>
  <c r="M58" i="124"/>
  <c r="BC57" i="124"/>
  <c r="AO57" i="124"/>
  <c r="AA57" i="124"/>
  <c r="M57" i="124"/>
  <c r="BC56" i="124"/>
  <c r="AO56" i="124"/>
  <c r="AA56" i="124"/>
  <c r="M56" i="124"/>
  <c r="BC55" i="124"/>
  <c r="AO55" i="124"/>
  <c r="AA55" i="124"/>
  <c r="M55" i="124"/>
  <c r="BC54" i="124"/>
  <c r="AO54" i="124"/>
  <c r="AA54" i="124"/>
  <c r="M54" i="124"/>
  <c r="BC53" i="124"/>
  <c r="AO53" i="124"/>
  <c r="AA53" i="124"/>
  <c r="M53" i="124"/>
  <c r="BC52" i="124"/>
  <c r="AO52" i="124"/>
  <c r="AA52" i="124"/>
  <c r="M52" i="124"/>
  <c r="BC51" i="124"/>
  <c r="AO51" i="124"/>
  <c r="AA51" i="124"/>
  <c r="M51" i="124"/>
  <c r="BC50" i="124"/>
  <c r="AO50" i="124"/>
  <c r="AA50" i="124"/>
  <c r="M50" i="124"/>
  <c r="BC49" i="124"/>
  <c r="AO49" i="124"/>
  <c r="AA49" i="124"/>
  <c r="M49" i="124"/>
  <c r="BC48" i="124"/>
  <c r="AO48" i="124"/>
  <c r="AA48" i="124"/>
  <c r="M48" i="124"/>
  <c r="BC47" i="124"/>
  <c r="AO47" i="124"/>
  <c r="AA47" i="124"/>
  <c r="M47" i="124"/>
  <c r="BC46" i="124"/>
  <c r="AO46" i="124"/>
  <c r="AA46" i="124"/>
  <c r="M46" i="124"/>
  <c r="BC45" i="124"/>
  <c r="AO45" i="124"/>
  <c r="AA45" i="124"/>
  <c r="M45" i="124"/>
  <c r="BC44" i="124"/>
  <c r="AO44" i="124"/>
  <c r="AA44" i="124"/>
  <c r="M44" i="124"/>
  <c r="BC43" i="124"/>
  <c r="AO43" i="124"/>
  <c r="AA43" i="124"/>
  <c r="M43" i="124"/>
  <c r="BC42" i="124"/>
  <c r="AO42" i="124"/>
  <c r="AA42" i="124"/>
  <c r="M42" i="124"/>
  <c r="BC41" i="124"/>
  <c r="AO41" i="124"/>
  <c r="AA41" i="124"/>
  <c r="M41" i="124"/>
  <c r="BC40" i="124"/>
  <c r="AO40" i="124"/>
  <c r="AA40" i="124"/>
  <c r="M40" i="124"/>
  <c r="BC39" i="124"/>
  <c r="AO39" i="124"/>
  <c r="AA39" i="124"/>
  <c r="M39" i="124"/>
  <c r="BC38" i="124"/>
  <c r="AO38" i="124"/>
  <c r="AA38" i="124"/>
  <c r="M38" i="124"/>
  <c r="BC37" i="124"/>
  <c r="AO37" i="124"/>
  <c r="AA37" i="124"/>
  <c r="M37" i="124"/>
  <c r="BC36" i="124"/>
  <c r="AO36" i="124"/>
  <c r="AA36" i="124"/>
  <c r="M36" i="124"/>
  <c r="BC35" i="124"/>
  <c r="AO35" i="124"/>
  <c r="AA35" i="124"/>
  <c r="M35" i="124"/>
  <c r="BC34" i="124"/>
  <c r="AO34" i="124"/>
  <c r="AA34" i="124"/>
  <c r="M34" i="124"/>
  <c r="BC33" i="124"/>
  <c r="AO33" i="124"/>
  <c r="AA33" i="124"/>
  <c r="M33" i="124"/>
  <c r="BC32" i="124"/>
  <c r="AO32" i="124"/>
  <c r="AA32" i="124"/>
  <c r="M32" i="124"/>
  <c r="BC31" i="124"/>
  <c r="AO31" i="124"/>
  <c r="AA31" i="124"/>
  <c r="M31" i="124"/>
  <c r="BC30" i="124"/>
  <c r="AO30" i="124"/>
  <c r="AA30" i="124"/>
  <c r="M30" i="124"/>
  <c r="BC29" i="124"/>
  <c r="AO29" i="124"/>
  <c r="AA29" i="124"/>
  <c r="M29" i="124"/>
  <c r="BC28" i="124"/>
  <c r="AO28" i="124"/>
  <c r="AA28" i="124"/>
  <c r="M28" i="124"/>
  <c r="BC27" i="124"/>
  <c r="AO27" i="124"/>
  <c r="AA27" i="124"/>
  <c r="M27" i="124"/>
  <c r="BC26" i="124"/>
  <c r="AO26" i="124"/>
  <c r="AA26" i="124"/>
  <c r="M26" i="124"/>
  <c r="BC25" i="124"/>
  <c r="AO25" i="124"/>
  <c r="AA25" i="124"/>
  <c r="M25" i="124"/>
  <c r="BC24" i="124"/>
  <c r="AO24" i="124"/>
  <c r="AA24" i="124"/>
  <c r="M24" i="124"/>
  <c r="BC23" i="124"/>
  <c r="AO23" i="124"/>
  <c r="AA23" i="124"/>
  <c r="M23" i="124"/>
  <c r="BC22" i="124"/>
  <c r="AO22" i="124"/>
  <c r="AA22" i="124"/>
  <c r="M22" i="124"/>
  <c r="BC21" i="124"/>
  <c r="AO21" i="124"/>
  <c r="AA21" i="124"/>
  <c r="M21" i="124"/>
  <c r="BC20" i="124"/>
  <c r="AO20" i="124"/>
  <c r="AA20" i="124"/>
  <c r="M20" i="124"/>
  <c r="BC19" i="124"/>
  <c r="AO19" i="124"/>
  <c r="AA19" i="124"/>
  <c r="M19" i="124"/>
  <c r="BC18" i="124"/>
  <c r="AO18" i="124"/>
  <c r="AA18" i="124"/>
  <c r="M18" i="124"/>
  <c r="BC17" i="124"/>
  <c r="AO17" i="124"/>
  <c r="AA17" i="124"/>
  <c r="M17" i="124"/>
  <c r="BC16" i="124"/>
  <c r="AO16" i="124"/>
  <c r="AA16" i="124"/>
  <c r="M16" i="124"/>
  <c r="BC15" i="124"/>
  <c r="AO15" i="124"/>
  <c r="AA15" i="124"/>
  <c r="M15" i="124"/>
  <c r="BC14" i="124"/>
  <c r="AO14" i="124"/>
  <c r="AA14" i="124"/>
  <c r="M14" i="124"/>
  <c r="BC13" i="124"/>
  <c r="AO13" i="124"/>
  <c r="AA13" i="124"/>
  <c r="M13" i="124"/>
  <c r="BC12" i="124"/>
  <c r="AO12" i="124"/>
  <c r="AA12" i="124"/>
  <c r="M12" i="124"/>
  <c r="BC11" i="124"/>
  <c r="AO11" i="124"/>
  <c r="AA11" i="124"/>
  <c r="M11" i="124"/>
  <c r="BC10" i="124"/>
  <c r="AO10" i="124"/>
  <c r="AA10" i="124"/>
  <c r="M10" i="124"/>
  <c r="BC9" i="124"/>
  <c r="AO9" i="124"/>
  <c r="AA9" i="124"/>
  <c r="M9" i="124"/>
  <c r="BC8" i="124"/>
  <c r="AO8" i="124"/>
  <c r="AA8" i="124"/>
  <c r="M8" i="124"/>
  <c r="BC7" i="124"/>
  <c r="AO7" i="124"/>
  <c r="AA7" i="124"/>
  <c r="M7" i="124"/>
  <c r="AO6" i="124"/>
  <c r="AA6" i="124"/>
  <c r="M6" i="124"/>
  <c r="BC4" i="124"/>
  <c r="AO5" i="124"/>
  <c r="AO4" i="124" s="1"/>
  <c r="AA5" i="124"/>
  <c r="AA4" i="124" s="1"/>
  <c r="M5" i="124"/>
  <c r="M4" i="124"/>
  <c r="AS1" i="124"/>
  <c r="AT1" i="124" s="1"/>
  <c r="AU1" i="124" s="1"/>
  <c r="AV1" i="124" s="1"/>
  <c r="AW1" i="124" s="1"/>
  <c r="AX1" i="124" s="1"/>
  <c r="AY1" i="124" s="1"/>
  <c r="AZ1" i="124" s="1"/>
  <c r="BA1" i="124" s="1"/>
  <c r="BB1" i="124" s="1"/>
  <c r="BC1" i="124" s="1"/>
  <c r="BD1" i="124" s="1"/>
  <c r="AE1" i="124"/>
  <c r="AF1" i="124" s="1"/>
  <c r="AG1" i="124" s="1"/>
  <c r="AH1" i="124" s="1"/>
  <c r="AI1" i="124" s="1"/>
  <c r="AJ1" i="124" s="1"/>
  <c r="AK1" i="124" s="1"/>
  <c r="AL1" i="124" s="1"/>
  <c r="AM1" i="124" s="1"/>
  <c r="AN1" i="124" s="1"/>
  <c r="AO1" i="124" s="1"/>
  <c r="AP1" i="124" s="1"/>
  <c r="Q1" i="124"/>
  <c r="R1" i="124" s="1"/>
  <c r="S1" i="124" s="1"/>
  <c r="T1" i="124" s="1"/>
  <c r="U1" i="124" s="1"/>
  <c r="V1" i="124" s="1"/>
  <c r="W1" i="124" s="1"/>
  <c r="X1" i="124" s="1"/>
  <c r="Y1" i="124" s="1"/>
  <c r="Z1" i="124" s="1"/>
  <c r="AA1" i="124" s="1"/>
  <c r="AB1" i="124" s="1"/>
  <c r="C1" i="124"/>
  <c r="D1" i="124" s="1"/>
  <c r="E1" i="124" s="1"/>
  <c r="F1" i="124" s="1"/>
  <c r="G1" i="124" s="1"/>
  <c r="H1" i="124" s="1"/>
  <c r="I1" i="124" s="1"/>
  <c r="J1" i="124" s="1"/>
  <c r="K1" i="124" s="1"/>
  <c r="L1" i="124" s="1"/>
  <c r="M1" i="124" s="1"/>
  <c r="N1" i="124" s="1"/>
  <c r="BC322" i="134"/>
  <c r="AO322" i="134"/>
  <c r="M322" i="134"/>
  <c r="BC321" i="134"/>
  <c r="AO321" i="134"/>
  <c r="M321" i="134"/>
  <c r="BC320" i="134"/>
  <c r="AO320" i="134"/>
  <c r="M320" i="134"/>
  <c r="BC319" i="134"/>
  <c r="AO319" i="134"/>
  <c r="M319" i="134"/>
  <c r="BC318" i="134"/>
  <c r="AO318" i="134"/>
  <c r="M318" i="134"/>
  <c r="BC317" i="134"/>
  <c r="AO317" i="134"/>
  <c r="M317" i="134"/>
  <c r="BC316" i="134"/>
  <c r="AO316" i="134"/>
  <c r="M316" i="134"/>
  <c r="BC315" i="134"/>
  <c r="AO315" i="134"/>
  <c r="M315" i="134"/>
  <c r="BC314" i="134"/>
  <c r="AO314" i="134"/>
  <c r="M314" i="134"/>
  <c r="BC313" i="134"/>
  <c r="AO313" i="134"/>
  <c r="M313" i="134"/>
  <c r="BC312" i="134"/>
  <c r="AO312" i="134"/>
  <c r="M312" i="134"/>
  <c r="BC311" i="134"/>
  <c r="AO311" i="134"/>
  <c r="M311" i="134"/>
  <c r="BC310" i="134"/>
  <c r="AO310" i="134"/>
  <c r="M310" i="134"/>
  <c r="BC309" i="134"/>
  <c r="AO309" i="134"/>
  <c r="M309" i="134"/>
  <c r="BC308" i="134"/>
  <c r="AO308" i="134"/>
  <c r="M308" i="134"/>
  <c r="BC307" i="134"/>
  <c r="AO307" i="134"/>
  <c r="M307" i="134"/>
  <c r="BC306" i="134"/>
  <c r="AO306" i="134"/>
  <c r="M306" i="134"/>
  <c r="BC305" i="134"/>
  <c r="AO305" i="134"/>
  <c r="M305" i="134"/>
  <c r="BC304" i="134"/>
  <c r="AO304" i="134"/>
  <c r="M304" i="134"/>
  <c r="BC303" i="134"/>
  <c r="AO303" i="134"/>
  <c r="M303" i="134"/>
  <c r="BC302" i="134"/>
  <c r="AO302" i="134"/>
  <c r="M302" i="134"/>
  <c r="BC301" i="134"/>
  <c r="AO301" i="134"/>
  <c r="M301" i="134"/>
  <c r="BC300" i="134"/>
  <c r="AO300" i="134"/>
  <c r="M300" i="134"/>
  <c r="BC299" i="134"/>
  <c r="AO299" i="134"/>
  <c r="M299" i="134"/>
  <c r="BC298" i="134"/>
  <c r="AO298" i="134"/>
  <c r="M298" i="134"/>
  <c r="BC297" i="134"/>
  <c r="AO297" i="134"/>
  <c r="M297" i="134"/>
  <c r="BC296" i="134"/>
  <c r="AO296" i="134"/>
  <c r="M296" i="134"/>
  <c r="BC295" i="134"/>
  <c r="AO295" i="134"/>
  <c r="M295" i="134"/>
  <c r="BC294" i="134"/>
  <c r="AO294" i="134"/>
  <c r="M294" i="134"/>
  <c r="BC293" i="134"/>
  <c r="AO293" i="134"/>
  <c r="M293" i="134"/>
  <c r="BC292" i="134"/>
  <c r="AO292" i="134"/>
  <c r="M292" i="134"/>
  <c r="BC291" i="134"/>
  <c r="AO291" i="134"/>
  <c r="M291" i="134"/>
  <c r="BC290" i="134"/>
  <c r="AO290" i="134"/>
  <c r="M290" i="134"/>
  <c r="BC289" i="134"/>
  <c r="AO289" i="134"/>
  <c r="M289" i="134"/>
  <c r="BC288" i="134"/>
  <c r="AO288" i="134"/>
  <c r="M288" i="134"/>
  <c r="BC287" i="134"/>
  <c r="AO287" i="134"/>
  <c r="M287" i="134"/>
  <c r="BC286" i="134"/>
  <c r="AO286" i="134"/>
  <c r="M286" i="134"/>
  <c r="BC285" i="134"/>
  <c r="AO285" i="134"/>
  <c r="M285" i="134"/>
  <c r="BC284" i="134"/>
  <c r="AO284" i="134"/>
  <c r="M284" i="134"/>
  <c r="BC283" i="134"/>
  <c r="AO283" i="134"/>
  <c r="M283" i="134"/>
  <c r="BC282" i="134"/>
  <c r="AO282" i="134"/>
  <c r="M282" i="134"/>
  <c r="BC281" i="134"/>
  <c r="AO281" i="134"/>
  <c r="M281" i="134"/>
  <c r="BC280" i="134"/>
  <c r="AO280" i="134"/>
  <c r="M280" i="134"/>
  <c r="BC279" i="134"/>
  <c r="AO279" i="134"/>
  <c r="M279" i="134"/>
  <c r="BC278" i="134"/>
  <c r="AO278" i="134"/>
  <c r="M278" i="134"/>
  <c r="BC277" i="134"/>
  <c r="AO277" i="134"/>
  <c r="M277" i="134"/>
  <c r="BC276" i="134"/>
  <c r="AO276" i="134"/>
  <c r="M276" i="134"/>
  <c r="BC275" i="134"/>
  <c r="AO275" i="134"/>
  <c r="M275" i="134"/>
  <c r="BC274" i="134"/>
  <c r="AO274" i="134"/>
  <c r="M274" i="134"/>
  <c r="BC273" i="134"/>
  <c r="AO273" i="134"/>
  <c r="M273" i="134"/>
  <c r="BC272" i="134"/>
  <c r="AO272" i="134"/>
  <c r="M272" i="134"/>
  <c r="BC271" i="134"/>
  <c r="AO271" i="134"/>
  <c r="M271" i="134"/>
  <c r="BC270" i="134"/>
  <c r="AO270" i="134"/>
  <c r="M270" i="134"/>
  <c r="BC269" i="134"/>
  <c r="AO269" i="134"/>
  <c r="M269" i="134"/>
  <c r="BC268" i="134"/>
  <c r="AO268" i="134"/>
  <c r="M268" i="134"/>
  <c r="BC267" i="134"/>
  <c r="AO267" i="134"/>
  <c r="M267" i="134"/>
  <c r="BC266" i="134"/>
  <c r="AO266" i="134"/>
  <c r="M266" i="134"/>
  <c r="BC265" i="134"/>
  <c r="AO265" i="134"/>
  <c r="M265" i="134"/>
  <c r="BC264" i="134"/>
  <c r="AO264" i="134"/>
  <c r="M264" i="134"/>
  <c r="BC263" i="134"/>
  <c r="AO263" i="134"/>
  <c r="M263" i="134"/>
  <c r="BC262" i="134"/>
  <c r="AO262" i="134"/>
  <c r="M262" i="134"/>
  <c r="BC261" i="134"/>
  <c r="AO261" i="134"/>
  <c r="M261" i="134"/>
  <c r="BC260" i="134"/>
  <c r="AO260" i="134"/>
  <c r="M260" i="134"/>
  <c r="BC259" i="134"/>
  <c r="AO259" i="134"/>
  <c r="M259" i="134"/>
  <c r="BC258" i="134"/>
  <c r="AO258" i="134"/>
  <c r="M258" i="134"/>
  <c r="BC257" i="134"/>
  <c r="AO257" i="134"/>
  <c r="M257" i="134"/>
  <c r="BC256" i="134"/>
  <c r="AO256" i="134"/>
  <c r="M256" i="134"/>
  <c r="BC255" i="134"/>
  <c r="AO255" i="134"/>
  <c r="M255" i="134"/>
  <c r="BC254" i="134"/>
  <c r="AO254" i="134"/>
  <c r="M254" i="134"/>
  <c r="BC253" i="134"/>
  <c r="AO253" i="134"/>
  <c r="M253" i="134"/>
  <c r="BC252" i="134"/>
  <c r="AO252" i="134"/>
  <c r="M252" i="134"/>
  <c r="BC251" i="134"/>
  <c r="AO251" i="134"/>
  <c r="M251" i="134"/>
  <c r="BC250" i="134"/>
  <c r="AO250" i="134"/>
  <c r="M250" i="134"/>
  <c r="BC249" i="134"/>
  <c r="AO249" i="134"/>
  <c r="M249" i="134"/>
  <c r="BC248" i="134"/>
  <c r="AO248" i="134"/>
  <c r="M248" i="134"/>
  <c r="BC247" i="134"/>
  <c r="AO247" i="134"/>
  <c r="M247" i="134"/>
  <c r="BC246" i="134"/>
  <c r="AO246" i="134"/>
  <c r="M246" i="134"/>
  <c r="BC245" i="134"/>
  <c r="AO245" i="134"/>
  <c r="M245" i="134"/>
  <c r="BC244" i="134"/>
  <c r="AO244" i="134"/>
  <c r="M244" i="134"/>
  <c r="BC243" i="134"/>
  <c r="AO243" i="134"/>
  <c r="M243" i="134"/>
  <c r="BC242" i="134"/>
  <c r="AO242" i="134"/>
  <c r="M242" i="134"/>
  <c r="BC241" i="134"/>
  <c r="AO241" i="134"/>
  <c r="M241" i="134"/>
  <c r="BC240" i="134"/>
  <c r="AO240" i="134"/>
  <c r="M240" i="134"/>
  <c r="BC239" i="134"/>
  <c r="AO239" i="134"/>
  <c r="M239" i="134"/>
  <c r="BC238" i="134"/>
  <c r="AO238" i="134"/>
  <c r="M238" i="134"/>
  <c r="BC237" i="134"/>
  <c r="AO237" i="134"/>
  <c r="M237" i="134"/>
  <c r="BC236" i="134"/>
  <c r="AO236" i="134"/>
  <c r="M236" i="134"/>
  <c r="BC235" i="134"/>
  <c r="AO235" i="134"/>
  <c r="M235" i="134"/>
  <c r="BC234" i="134"/>
  <c r="AO234" i="134"/>
  <c r="M234" i="134"/>
  <c r="BC233" i="134"/>
  <c r="AO233" i="134"/>
  <c r="M233" i="134"/>
  <c r="BC232" i="134"/>
  <c r="AO232" i="134"/>
  <c r="M232" i="134"/>
  <c r="BC231" i="134"/>
  <c r="AO231" i="134"/>
  <c r="M231" i="134"/>
  <c r="BC230" i="134"/>
  <c r="AO230" i="134"/>
  <c r="M230" i="134"/>
  <c r="BC229" i="134"/>
  <c r="AO229" i="134"/>
  <c r="M229" i="134"/>
  <c r="BC228" i="134"/>
  <c r="AO228" i="134"/>
  <c r="M228" i="134"/>
  <c r="BC227" i="134"/>
  <c r="AO227" i="134"/>
  <c r="M227" i="134"/>
  <c r="BC226" i="134"/>
  <c r="AO226" i="134"/>
  <c r="M226" i="134"/>
  <c r="BC225" i="134"/>
  <c r="AO225" i="134"/>
  <c r="M225" i="134"/>
  <c r="BC224" i="134"/>
  <c r="AO224" i="134"/>
  <c r="M224" i="134"/>
  <c r="BC223" i="134"/>
  <c r="AO223" i="134"/>
  <c r="M223" i="134"/>
  <c r="BC222" i="134"/>
  <c r="AO222" i="134"/>
  <c r="M222" i="134"/>
  <c r="BC221" i="134"/>
  <c r="AO221" i="134"/>
  <c r="M221" i="134"/>
  <c r="BC220" i="134"/>
  <c r="AO220" i="134"/>
  <c r="M220" i="134"/>
  <c r="BC219" i="134"/>
  <c r="AO219" i="134"/>
  <c r="M219" i="134"/>
  <c r="BC218" i="134"/>
  <c r="AO218" i="134"/>
  <c r="M218" i="134"/>
  <c r="BC217" i="134"/>
  <c r="AO217" i="134"/>
  <c r="M217" i="134"/>
  <c r="BC216" i="134"/>
  <c r="AO216" i="134"/>
  <c r="M216" i="134"/>
  <c r="BC215" i="134"/>
  <c r="AO215" i="134"/>
  <c r="M215" i="134"/>
  <c r="BC214" i="134"/>
  <c r="AO214" i="134"/>
  <c r="M214" i="134"/>
  <c r="BC213" i="134"/>
  <c r="AO213" i="134"/>
  <c r="M213" i="134"/>
  <c r="BC212" i="134"/>
  <c r="AO212" i="134"/>
  <c r="M212" i="134"/>
  <c r="BC211" i="134"/>
  <c r="AO211" i="134"/>
  <c r="M211" i="134"/>
  <c r="BC210" i="134"/>
  <c r="AO210" i="134"/>
  <c r="M210" i="134"/>
  <c r="BC209" i="134"/>
  <c r="AO209" i="134"/>
  <c r="M209" i="134"/>
  <c r="BC208" i="134"/>
  <c r="AO208" i="134"/>
  <c r="M208" i="134"/>
  <c r="BC207" i="134"/>
  <c r="AO207" i="134"/>
  <c r="M207" i="134"/>
  <c r="BC206" i="134"/>
  <c r="AO206" i="134"/>
  <c r="M206" i="134"/>
  <c r="BC205" i="134"/>
  <c r="AO205" i="134"/>
  <c r="M205" i="134"/>
  <c r="BC204" i="134"/>
  <c r="AO204" i="134"/>
  <c r="M204" i="134"/>
  <c r="BC203" i="134"/>
  <c r="AO203" i="134"/>
  <c r="M203" i="134"/>
  <c r="BC202" i="134"/>
  <c r="AO202" i="134"/>
  <c r="M202" i="134"/>
  <c r="BC201" i="134"/>
  <c r="AO201" i="134"/>
  <c r="M201" i="134"/>
  <c r="BC200" i="134"/>
  <c r="AO200" i="134"/>
  <c r="M200" i="134"/>
  <c r="BC199" i="134"/>
  <c r="AO199" i="134"/>
  <c r="M199" i="134"/>
  <c r="BC198" i="134"/>
  <c r="AO198" i="134"/>
  <c r="M198" i="134"/>
  <c r="BC197" i="134"/>
  <c r="AO197" i="134"/>
  <c r="M197" i="134"/>
  <c r="BC196" i="134"/>
  <c r="AO196" i="134"/>
  <c r="M196" i="134"/>
  <c r="BC195" i="134"/>
  <c r="AO195" i="134"/>
  <c r="M195" i="134"/>
  <c r="BC194" i="134"/>
  <c r="AO194" i="134"/>
  <c r="M194" i="134"/>
  <c r="BC193" i="134"/>
  <c r="AO193" i="134"/>
  <c r="M193" i="134"/>
  <c r="BC192" i="134"/>
  <c r="AO192" i="134"/>
  <c r="M192" i="134"/>
  <c r="BC191" i="134"/>
  <c r="AO191" i="134"/>
  <c r="M191" i="134"/>
  <c r="BC190" i="134"/>
  <c r="AO190" i="134"/>
  <c r="M190" i="134"/>
  <c r="BC189" i="134"/>
  <c r="AO189" i="134"/>
  <c r="M189" i="134"/>
  <c r="BC188" i="134"/>
  <c r="AO188" i="134"/>
  <c r="M188" i="134"/>
  <c r="BC187" i="134"/>
  <c r="AO187" i="134"/>
  <c r="M187" i="134"/>
  <c r="BC186" i="134"/>
  <c r="AO186" i="134"/>
  <c r="M186" i="134"/>
  <c r="BC185" i="134"/>
  <c r="AO185" i="134"/>
  <c r="M185" i="134"/>
  <c r="BC184" i="134"/>
  <c r="AO184" i="134"/>
  <c r="M184" i="134"/>
  <c r="BC183" i="134"/>
  <c r="AO183" i="134"/>
  <c r="M183" i="134"/>
  <c r="BC182" i="134"/>
  <c r="AO182" i="134"/>
  <c r="M182" i="134"/>
  <c r="BC181" i="134"/>
  <c r="AO181" i="134"/>
  <c r="M181" i="134"/>
  <c r="BC180" i="134"/>
  <c r="AO180" i="134"/>
  <c r="M180" i="134"/>
  <c r="BC179" i="134"/>
  <c r="AO179" i="134"/>
  <c r="M179" i="134"/>
  <c r="BC178" i="134"/>
  <c r="AO178" i="134"/>
  <c r="M178" i="134"/>
  <c r="BC177" i="134"/>
  <c r="AO177" i="134"/>
  <c r="M177" i="134"/>
  <c r="BC176" i="134"/>
  <c r="AO176" i="134"/>
  <c r="M176" i="134"/>
  <c r="BC175" i="134"/>
  <c r="AO175" i="134"/>
  <c r="M175" i="134"/>
  <c r="BC174" i="134"/>
  <c r="AO174" i="134"/>
  <c r="M174" i="134"/>
  <c r="BC173" i="134"/>
  <c r="AO173" i="134"/>
  <c r="M173" i="134"/>
  <c r="BC172" i="134"/>
  <c r="AO172" i="134"/>
  <c r="M172" i="134"/>
  <c r="BC171" i="134"/>
  <c r="AO171" i="134"/>
  <c r="M171" i="134"/>
  <c r="BC170" i="134"/>
  <c r="AO170" i="134"/>
  <c r="M170" i="134"/>
  <c r="BC169" i="134"/>
  <c r="AO169" i="134"/>
  <c r="M169" i="134"/>
  <c r="BC168" i="134"/>
  <c r="AO168" i="134"/>
  <c r="M168" i="134"/>
  <c r="BC167" i="134"/>
  <c r="AO167" i="134"/>
  <c r="M167" i="134"/>
  <c r="BC166" i="134"/>
  <c r="AO166" i="134"/>
  <c r="M166" i="134"/>
  <c r="BC165" i="134"/>
  <c r="AO165" i="134"/>
  <c r="M165" i="134"/>
  <c r="BC164" i="134"/>
  <c r="AO164" i="134"/>
  <c r="M164" i="134"/>
  <c r="BC163" i="134"/>
  <c r="AO163" i="134"/>
  <c r="M163" i="134"/>
  <c r="BC162" i="134"/>
  <c r="AO162" i="134"/>
  <c r="M162" i="134"/>
  <c r="BC161" i="134"/>
  <c r="AO161" i="134"/>
  <c r="M161" i="134"/>
  <c r="BC160" i="134"/>
  <c r="AO160" i="134"/>
  <c r="M160" i="134"/>
  <c r="BC159" i="134"/>
  <c r="AO159" i="134"/>
  <c r="M159" i="134"/>
  <c r="BC158" i="134"/>
  <c r="AO158" i="134"/>
  <c r="M158" i="134"/>
  <c r="BC157" i="134"/>
  <c r="AO157" i="134"/>
  <c r="M157" i="134"/>
  <c r="BC156" i="134"/>
  <c r="AO156" i="134"/>
  <c r="M156" i="134"/>
  <c r="BC155" i="134"/>
  <c r="AO155" i="134"/>
  <c r="M155" i="134"/>
  <c r="BC154" i="134"/>
  <c r="AO154" i="134"/>
  <c r="M154" i="134"/>
  <c r="BC153" i="134"/>
  <c r="AO153" i="134"/>
  <c r="M153" i="134"/>
  <c r="BC152" i="134"/>
  <c r="AO152" i="134"/>
  <c r="M152" i="134"/>
  <c r="BC151" i="134"/>
  <c r="AO151" i="134"/>
  <c r="M151" i="134"/>
  <c r="BC150" i="134"/>
  <c r="AO150" i="134"/>
  <c r="M150" i="134"/>
  <c r="BC149" i="134"/>
  <c r="AO149" i="134"/>
  <c r="M149" i="134"/>
  <c r="BC148" i="134"/>
  <c r="AO148" i="134"/>
  <c r="M148" i="134"/>
  <c r="BC147" i="134"/>
  <c r="AO147" i="134"/>
  <c r="M147" i="134"/>
  <c r="BC146" i="134"/>
  <c r="AO146" i="134"/>
  <c r="M146" i="134"/>
  <c r="BC145" i="134"/>
  <c r="AO145" i="134"/>
  <c r="M145" i="134"/>
  <c r="BC144" i="134"/>
  <c r="AO144" i="134"/>
  <c r="M144" i="134"/>
  <c r="BC143" i="134"/>
  <c r="AO143" i="134"/>
  <c r="M143" i="134"/>
  <c r="BC142" i="134"/>
  <c r="AO142" i="134"/>
  <c r="M142" i="134"/>
  <c r="BC141" i="134"/>
  <c r="AO141" i="134"/>
  <c r="M141" i="134"/>
  <c r="BC140" i="134"/>
  <c r="AO140" i="134"/>
  <c r="M140" i="134"/>
  <c r="BC139" i="134"/>
  <c r="AO139" i="134"/>
  <c r="M139" i="134"/>
  <c r="BC138" i="134"/>
  <c r="AO138" i="134"/>
  <c r="M138" i="134"/>
  <c r="BC137" i="134"/>
  <c r="AO137" i="134"/>
  <c r="M137" i="134"/>
  <c r="BC136" i="134"/>
  <c r="AO136" i="134"/>
  <c r="M136" i="134"/>
  <c r="BC135" i="134"/>
  <c r="AO135" i="134"/>
  <c r="M135" i="134"/>
  <c r="BC134" i="134"/>
  <c r="AO134" i="134"/>
  <c r="M134" i="134"/>
  <c r="BC133" i="134"/>
  <c r="AO133" i="134"/>
  <c r="M133" i="134"/>
  <c r="BC132" i="134"/>
  <c r="AO132" i="134"/>
  <c r="M132" i="134"/>
  <c r="BC131" i="134"/>
  <c r="AO131" i="134"/>
  <c r="M131" i="134"/>
  <c r="BC130" i="134"/>
  <c r="AO130" i="134"/>
  <c r="M130" i="134"/>
  <c r="BC129" i="134"/>
  <c r="AO129" i="134"/>
  <c r="M129" i="134"/>
  <c r="BC128" i="134"/>
  <c r="AO128" i="134"/>
  <c r="M128" i="134"/>
  <c r="BC127" i="134"/>
  <c r="AO127" i="134"/>
  <c r="M127" i="134"/>
  <c r="BC126" i="134"/>
  <c r="AO126" i="134"/>
  <c r="M126" i="134"/>
  <c r="BC125" i="134"/>
  <c r="AO125" i="134"/>
  <c r="M125" i="134"/>
  <c r="BC124" i="134"/>
  <c r="AO124" i="134"/>
  <c r="M124" i="134"/>
  <c r="BC123" i="134"/>
  <c r="AO123" i="134"/>
  <c r="M123" i="134"/>
  <c r="BC122" i="134"/>
  <c r="AO122" i="134"/>
  <c r="M122" i="134"/>
  <c r="BC121" i="134"/>
  <c r="AO121" i="134"/>
  <c r="M121" i="134"/>
  <c r="BC120" i="134"/>
  <c r="AO120" i="134"/>
  <c r="M120" i="134"/>
  <c r="BC119" i="134"/>
  <c r="AO119" i="134"/>
  <c r="M119" i="134"/>
  <c r="BC118" i="134"/>
  <c r="AO118" i="134"/>
  <c r="M118" i="134"/>
  <c r="BC117" i="134"/>
  <c r="AO117" i="134"/>
  <c r="M117" i="134"/>
  <c r="BC116" i="134"/>
  <c r="AO116" i="134"/>
  <c r="M116" i="134"/>
  <c r="BC115" i="134"/>
  <c r="AO115" i="134"/>
  <c r="M115" i="134"/>
  <c r="BC114" i="134"/>
  <c r="AO114" i="134"/>
  <c r="M114" i="134"/>
  <c r="BC113" i="134"/>
  <c r="AO113" i="134"/>
  <c r="M113" i="134"/>
  <c r="BC112" i="134"/>
  <c r="AO112" i="134"/>
  <c r="M112" i="134"/>
  <c r="BC111" i="134"/>
  <c r="AO111" i="134"/>
  <c r="M111" i="134"/>
  <c r="BC110" i="134"/>
  <c r="AO110" i="134"/>
  <c r="M110" i="134"/>
  <c r="BC109" i="134"/>
  <c r="AO109" i="134"/>
  <c r="M109" i="134"/>
  <c r="BC108" i="134"/>
  <c r="AO108" i="134"/>
  <c r="M108" i="134"/>
  <c r="BC107" i="134"/>
  <c r="AO107" i="134"/>
  <c r="M107" i="134"/>
  <c r="BC106" i="134"/>
  <c r="AO106" i="134"/>
  <c r="M106" i="134"/>
  <c r="BC105" i="134"/>
  <c r="AO105" i="134"/>
  <c r="M105" i="134"/>
  <c r="BC104" i="134"/>
  <c r="AO104" i="134"/>
  <c r="M104" i="134"/>
  <c r="BC103" i="134"/>
  <c r="AO103" i="134"/>
  <c r="M103" i="134"/>
  <c r="BC102" i="134"/>
  <c r="AO102" i="134"/>
  <c r="M102" i="134"/>
  <c r="BC101" i="134"/>
  <c r="AO101" i="134"/>
  <c r="M101" i="134"/>
  <c r="BC100" i="134"/>
  <c r="AO100" i="134"/>
  <c r="M100" i="134"/>
  <c r="BC99" i="134"/>
  <c r="AO99" i="134"/>
  <c r="M99" i="134"/>
  <c r="BC98" i="134"/>
  <c r="AO98" i="134"/>
  <c r="M98" i="134"/>
  <c r="BC97" i="134"/>
  <c r="AO97" i="134"/>
  <c r="M97" i="134"/>
  <c r="BC96" i="134"/>
  <c r="AO96" i="134"/>
  <c r="M96" i="134"/>
  <c r="BC95" i="134"/>
  <c r="AO95" i="134"/>
  <c r="M95" i="134"/>
  <c r="BC94" i="134"/>
  <c r="AO94" i="134"/>
  <c r="M94" i="134"/>
  <c r="BC93" i="134"/>
  <c r="AO93" i="134"/>
  <c r="M93" i="134"/>
  <c r="BC92" i="134"/>
  <c r="AO92" i="134"/>
  <c r="M92" i="134"/>
  <c r="BC91" i="134"/>
  <c r="AO91" i="134"/>
  <c r="M91" i="134"/>
  <c r="BC90" i="134"/>
  <c r="AO90" i="134"/>
  <c r="M90" i="134"/>
  <c r="BC89" i="134"/>
  <c r="AO89" i="134"/>
  <c r="M89" i="134"/>
  <c r="BC88" i="134"/>
  <c r="AO88" i="134"/>
  <c r="M88" i="134"/>
  <c r="BC87" i="134"/>
  <c r="AO87" i="134"/>
  <c r="M87" i="134"/>
  <c r="BC86" i="134"/>
  <c r="AO86" i="134"/>
  <c r="M86" i="134"/>
  <c r="BC85" i="134"/>
  <c r="AO85" i="134"/>
  <c r="M85" i="134"/>
  <c r="BC84" i="134"/>
  <c r="AO84" i="134"/>
  <c r="M84" i="134"/>
  <c r="BC83" i="134"/>
  <c r="AO83" i="134"/>
  <c r="M83" i="134"/>
  <c r="BC82" i="134"/>
  <c r="AO82" i="134"/>
  <c r="M82" i="134"/>
  <c r="BC81" i="134"/>
  <c r="AO81" i="134"/>
  <c r="M81" i="134"/>
  <c r="BC80" i="134"/>
  <c r="AO80" i="134"/>
  <c r="M80" i="134"/>
  <c r="BC79" i="134"/>
  <c r="AO79" i="134"/>
  <c r="M79" i="134"/>
  <c r="BC78" i="134"/>
  <c r="AO78" i="134"/>
  <c r="M78" i="134"/>
  <c r="BC77" i="134"/>
  <c r="AO77" i="134"/>
  <c r="M77" i="134"/>
  <c r="BC76" i="134"/>
  <c r="AO76" i="134"/>
  <c r="M76" i="134"/>
  <c r="BC75" i="134"/>
  <c r="AO75" i="134"/>
  <c r="M75" i="134"/>
  <c r="BC74" i="134"/>
  <c r="AO74" i="134"/>
  <c r="M74" i="134"/>
  <c r="BC73" i="134"/>
  <c r="AO73" i="134"/>
  <c r="M73" i="134"/>
  <c r="BC72" i="134"/>
  <c r="AO72" i="134"/>
  <c r="M72" i="134"/>
  <c r="BC71" i="134"/>
  <c r="AO71" i="134"/>
  <c r="M71" i="134"/>
  <c r="BC70" i="134"/>
  <c r="AO70" i="134"/>
  <c r="M70" i="134"/>
  <c r="BC69" i="134"/>
  <c r="AO69" i="134"/>
  <c r="M69" i="134"/>
  <c r="BC68" i="134"/>
  <c r="AO68" i="134"/>
  <c r="M68" i="134"/>
  <c r="BC67" i="134"/>
  <c r="AO67" i="134"/>
  <c r="M67" i="134"/>
  <c r="BC66" i="134"/>
  <c r="AO66" i="134"/>
  <c r="M66" i="134"/>
  <c r="BC65" i="134"/>
  <c r="AO65" i="134"/>
  <c r="M65" i="134"/>
  <c r="BC64" i="134"/>
  <c r="AO64" i="134"/>
  <c r="M64" i="134"/>
  <c r="BC63" i="134"/>
  <c r="AO63" i="134"/>
  <c r="M63" i="134"/>
  <c r="BC62" i="134"/>
  <c r="AO62" i="134"/>
  <c r="M62" i="134"/>
  <c r="BC61" i="134"/>
  <c r="AO61" i="134"/>
  <c r="M61" i="134"/>
  <c r="BC60" i="134"/>
  <c r="AO60" i="134"/>
  <c r="M60" i="134"/>
  <c r="BC59" i="134"/>
  <c r="AO59" i="134"/>
  <c r="M59" i="134"/>
  <c r="BC58" i="134"/>
  <c r="AO58" i="134"/>
  <c r="M58" i="134"/>
  <c r="BC57" i="134"/>
  <c r="AO57" i="134"/>
  <c r="M57" i="134"/>
  <c r="BC56" i="134"/>
  <c r="AO56" i="134"/>
  <c r="M56" i="134"/>
  <c r="BC55" i="134"/>
  <c r="AO55" i="134"/>
  <c r="M55" i="134"/>
  <c r="BC54" i="134"/>
  <c r="AO54" i="134"/>
  <c r="M54" i="134"/>
  <c r="BC53" i="134"/>
  <c r="AO53" i="134"/>
  <c r="M53" i="134"/>
  <c r="BC52" i="134"/>
  <c r="AO52" i="134"/>
  <c r="M52" i="134"/>
  <c r="BC51" i="134"/>
  <c r="AO51" i="134"/>
  <c r="M51" i="134"/>
  <c r="BC50" i="134"/>
  <c r="AO50" i="134"/>
  <c r="M50" i="134"/>
  <c r="BC49" i="134"/>
  <c r="AO49" i="134"/>
  <c r="M49" i="134"/>
  <c r="BC48" i="134"/>
  <c r="AO48" i="134"/>
  <c r="M48" i="134"/>
  <c r="BC47" i="134"/>
  <c r="AO47" i="134"/>
  <c r="M47" i="134"/>
  <c r="BC46" i="134"/>
  <c r="AO46" i="134"/>
  <c r="M46" i="134"/>
  <c r="BC45" i="134"/>
  <c r="AO45" i="134"/>
  <c r="M45" i="134"/>
  <c r="BC44" i="134"/>
  <c r="AO44" i="134"/>
  <c r="M44" i="134"/>
  <c r="BC43" i="134"/>
  <c r="AO43" i="134"/>
  <c r="M43" i="134"/>
  <c r="BC42" i="134"/>
  <c r="AO42" i="134"/>
  <c r="M42" i="134"/>
  <c r="BC41" i="134"/>
  <c r="AO41" i="134"/>
  <c r="M41" i="134"/>
  <c r="BC40" i="134"/>
  <c r="AO40" i="134"/>
  <c r="M40" i="134"/>
  <c r="BC39" i="134"/>
  <c r="AO39" i="134"/>
  <c r="M39" i="134"/>
  <c r="BC38" i="134"/>
  <c r="AO38" i="134"/>
  <c r="M38" i="134"/>
  <c r="BC37" i="134"/>
  <c r="AO37" i="134"/>
  <c r="M37" i="134"/>
  <c r="BC36" i="134"/>
  <c r="AO36" i="134"/>
  <c r="M36" i="134"/>
  <c r="BC35" i="134"/>
  <c r="AO35" i="134"/>
  <c r="M35" i="134"/>
  <c r="BC34" i="134"/>
  <c r="AO34" i="134"/>
  <c r="M34" i="134"/>
  <c r="BC33" i="134"/>
  <c r="AO33" i="134"/>
  <c r="M33" i="134"/>
  <c r="BC32" i="134"/>
  <c r="AO32" i="134"/>
  <c r="M32" i="134"/>
  <c r="BC31" i="134"/>
  <c r="AO31" i="134"/>
  <c r="M31" i="134"/>
  <c r="BC30" i="134"/>
  <c r="AO30" i="134"/>
  <c r="M30" i="134"/>
  <c r="BC29" i="134"/>
  <c r="AO29" i="134"/>
  <c r="M29" i="134"/>
  <c r="BC28" i="134"/>
  <c r="AO28" i="134"/>
  <c r="M28" i="134"/>
  <c r="BC27" i="134"/>
  <c r="AO27" i="134"/>
  <c r="M27" i="134"/>
  <c r="BC26" i="134"/>
  <c r="AO26" i="134"/>
  <c r="M26" i="134"/>
  <c r="BC25" i="134"/>
  <c r="AO25" i="134"/>
  <c r="M25" i="134"/>
  <c r="BC24" i="134"/>
  <c r="AO24" i="134"/>
  <c r="M24" i="134"/>
  <c r="BC23" i="134"/>
  <c r="AO23" i="134"/>
  <c r="M23" i="134"/>
  <c r="BC22" i="134"/>
  <c r="AO22" i="134"/>
  <c r="M22" i="134"/>
  <c r="BC21" i="134"/>
  <c r="AO21" i="134"/>
  <c r="M21" i="134"/>
  <c r="BC20" i="134"/>
  <c r="AO20" i="134"/>
  <c r="M20" i="134"/>
  <c r="BC19" i="134"/>
  <c r="AO19" i="134"/>
  <c r="M19" i="134"/>
  <c r="BC18" i="134"/>
  <c r="AO18" i="134"/>
  <c r="M18" i="134"/>
  <c r="BC17" i="134"/>
  <c r="AO17" i="134"/>
  <c r="M17" i="134"/>
  <c r="BC16" i="134"/>
  <c r="AO16" i="134"/>
  <c r="M16" i="134"/>
  <c r="BC15" i="134"/>
  <c r="AO15" i="134"/>
  <c r="M15" i="134"/>
  <c r="BC14" i="134"/>
  <c r="AO14" i="134"/>
  <c r="M14" i="134"/>
  <c r="BC13" i="134"/>
  <c r="AO13" i="134"/>
  <c r="M13" i="134"/>
  <c r="BC12" i="134"/>
  <c r="AO12" i="134"/>
  <c r="M12" i="134"/>
  <c r="BC11" i="134"/>
  <c r="AO11" i="134"/>
  <c r="M11" i="134"/>
  <c r="BC10" i="134"/>
  <c r="AO10" i="134"/>
  <c r="M10" i="134"/>
  <c r="BC9" i="134"/>
  <c r="AO9" i="134"/>
  <c r="M9" i="134"/>
  <c r="BC8" i="134"/>
  <c r="AO8" i="134"/>
  <c r="M8" i="134"/>
  <c r="BC7" i="134"/>
  <c r="AO7" i="134"/>
  <c r="M7" i="134"/>
  <c r="BC6" i="134"/>
  <c r="AO6" i="134"/>
  <c r="M6" i="134"/>
  <c r="BC5" i="134"/>
  <c r="AO5" i="134"/>
  <c r="M5" i="134"/>
  <c r="M4" i="134" s="1"/>
  <c r="AS1" i="134"/>
  <c r="AT1" i="134" s="1"/>
  <c r="AU1" i="134" s="1"/>
  <c r="AV1" i="134" s="1"/>
  <c r="AW1" i="134" s="1"/>
  <c r="AX1" i="134" s="1"/>
  <c r="AY1" i="134" s="1"/>
  <c r="AZ1" i="134" s="1"/>
  <c r="BA1" i="134" s="1"/>
  <c r="BB1" i="134" s="1"/>
  <c r="BC1" i="134" s="1"/>
  <c r="BD1" i="134" s="1"/>
  <c r="AE1" i="134"/>
  <c r="AF1" i="134" s="1"/>
  <c r="AG1" i="134" s="1"/>
  <c r="AH1" i="134" s="1"/>
  <c r="AI1" i="134" s="1"/>
  <c r="AJ1" i="134" s="1"/>
  <c r="AK1" i="134" s="1"/>
  <c r="AL1" i="134" s="1"/>
  <c r="AM1" i="134" s="1"/>
  <c r="AN1" i="134" s="1"/>
  <c r="AO1" i="134" s="1"/>
  <c r="AP1" i="134" s="1"/>
  <c r="Q1" i="134"/>
  <c r="R1" i="134" s="1"/>
  <c r="S1" i="134" s="1"/>
  <c r="T1" i="134" s="1"/>
  <c r="U1" i="134" s="1"/>
  <c r="V1" i="134" s="1"/>
  <c r="W1" i="134" s="1"/>
  <c r="X1" i="134" s="1"/>
  <c r="Y1" i="134" s="1"/>
  <c r="Z1" i="134" s="1"/>
  <c r="AA1" i="134" s="1"/>
  <c r="AB1" i="134" s="1"/>
  <c r="C1" i="134"/>
  <c r="D1" i="134" s="1"/>
  <c r="E1" i="134" s="1"/>
  <c r="F1" i="134" s="1"/>
  <c r="G1" i="134" s="1"/>
  <c r="H1" i="134" s="1"/>
  <c r="I1" i="134" s="1"/>
  <c r="J1" i="134" s="1"/>
  <c r="K1" i="134" s="1"/>
  <c r="L1" i="134" s="1"/>
  <c r="M1" i="134" s="1"/>
  <c r="N1" i="134" s="1"/>
  <c r="BC322" i="16"/>
  <c r="AO322" i="16"/>
  <c r="AA322" i="16"/>
  <c r="M322" i="16"/>
  <c r="BC321" i="16"/>
  <c r="AO321" i="16"/>
  <c r="AA321" i="16"/>
  <c r="M321" i="16"/>
  <c r="BC320" i="16"/>
  <c r="AO320" i="16"/>
  <c r="AA320" i="16"/>
  <c r="M320" i="16"/>
  <c r="BC319" i="16"/>
  <c r="AO319" i="16"/>
  <c r="AA319" i="16"/>
  <c r="M319" i="16"/>
  <c r="BC318" i="16"/>
  <c r="AO318" i="16"/>
  <c r="AA318" i="16"/>
  <c r="M318" i="16"/>
  <c r="BC317" i="16"/>
  <c r="AO317" i="16"/>
  <c r="AA317" i="16"/>
  <c r="M317" i="16"/>
  <c r="BC316" i="16"/>
  <c r="AO316" i="16"/>
  <c r="AA316" i="16"/>
  <c r="M316" i="16"/>
  <c r="BC315" i="16"/>
  <c r="AO315" i="16"/>
  <c r="AA315" i="16"/>
  <c r="M315" i="16"/>
  <c r="BC314" i="16"/>
  <c r="AO314" i="16"/>
  <c r="AA314" i="16"/>
  <c r="M314" i="16"/>
  <c r="BC313" i="16"/>
  <c r="AO313" i="16"/>
  <c r="AA313" i="16"/>
  <c r="M313" i="16"/>
  <c r="BC312" i="16"/>
  <c r="AO312" i="16"/>
  <c r="AA312" i="16"/>
  <c r="M312" i="16"/>
  <c r="BC311" i="16"/>
  <c r="AO311" i="16"/>
  <c r="AA311" i="16"/>
  <c r="M311" i="16"/>
  <c r="BC310" i="16"/>
  <c r="AO310" i="16"/>
  <c r="AA310" i="16"/>
  <c r="M310" i="16"/>
  <c r="BC309" i="16"/>
  <c r="AO309" i="16"/>
  <c r="AA309" i="16"/>
  <c r="M309" i="16"/>
  <c r="BC308" i="16"/>
  <c r="AO308" i="16"/>
  <c r="AA308" i="16"/>
  <c r="M308" i="16"/>
  <c r="BC307" i="16"/>
  <c r="AO307" i="16"/>
  <c r="AA307" i="16"/>
  <c r="M307" i="16"/>
  <c r="BC306" i="16"/>
  <c r="AO306" i="16"/>
  <c r="AA306" i="16"/>
  <c r="M306" i="16"/>
  <c r="BC305" i="16"/>
  <c r="AO305" i="16"/>
  <c r="AA305" i="16"/>
  <c r="M305" i="16"/>
  <c r="BC304" i="16"/>
  <c r="AO304" i="16"/>
  <c r="AA304" i="16"/>
  <c r="M304" i="16"/>
  <c r="BC303" i="16"/>
  <c r="AO303" i="16"/>
  <c r="AA303" i="16"/>
  <c r="M303" i="16"/>
  <c r="BC302" i="16"/>
  <c r="AO302" i="16"/>
  <c r="AA302" i="16"/>
  <c r="M302" i="16"/>
  <c r="BC301" i="16"/>
  <c r="AO301" i="16"/>
  <c r="AA301" i="16"/>
  <c r="M301" i="16"/>
  <c r="BC300" i="16"/>
  <c r="AO300" i="16"/>
  <c r="AA300" i="16"/>
  <c r="M300" i="16"/>
  <c r="BC299" i="16"/>
  <c r="AO299" i="16"/>
  <c r="AA299" i="16"/>
  <c r="M299" i="16"/>
  <c r="BC298" i="16"/>
  <c r="AO298" i="16"/>
  <c r="AA298" i="16"/>
  <c r="M298" i="16"/>
  <c r="BC297" i="16"/>
  <c r="AO297" i="16"/>
  <c r="AA297" i="16"/>
  <c r="M297" i="16"/>
  <c r="BC296" i="16"/>
  <c r="AO296" i="16"/>
  <c r="AA296" i="16"/>
  <c r="M296" i="16"/>
  <c r="BC295" i="16"/>
  <c r="AO295" i="16"/>
  <c r="AA295" i="16"/>
  <c r="M295" i="16"/>
  <c r="BC294" i="16"/>
  <c r="AO294" i="16"/>
  <c r="AA294" i="16"/>
  <c r="M294" i="16"/>
  <c r="BC293" i="16"/>
  <c r="AO293" i="16"/>
  <c r="AA293" i="16"/>
  <c r="M293" i="16"/>
  <c r="BC292" i="16"/>
  <c r="AO292" i="16"/>
  <c r="AA292" i="16"/>
  <c r="M292" i="16"/>
  <c r="BC291" i="16"/>
  <c r="AO291" i="16"/>
  <c r="AA291" i="16"/>
  <c r="M291" i="16"/>
  <c r="BC290" i="16"/>
  <c r="AO290" i="16"/>
  <c r="AA290" i="16"/>
  <c r="M290" i="16"/>
  <c r="BC289" i="16"/>
  <c r="AO289" i="16"/>
  <c r="AA289" i="16"/>
  <c r="M289" i="16"/>
  <c r="BC288" i="16"/>
  <c r="AO288" i="16"/>
  <c r="AA288" i="16"/>
  <c r="M288" i="16"/>
  <c r="BC287" i="16"/>
  <c r="AO287" i="16"/>
  <c r="AA287" i="16"/>
  <c r="M287" i="16"/>
  <c r="BC286" i="16"/>
  <c r="AO286" i="16"/>
  <c r="AA286" i="16"/>
  <c r="M286" i="16"/>
  <c r="BC285" i="16"/>
  <c r="AO285" i="16"/>
  <c r="AA285" i="16"/>
  <c r="M285" i="16"/>
  <c r="BC284" i="16"/>
  <c r="AO284" i="16"/>
  <c r="AA284" i="16"/>
  <c r="M284" i="16"/>
  <c r="BC283" i="16"/>
  <c r="AO283" i="16"/>
  <c r="AA283" i="16"/>
  <c r="M283" i="16"/>
  <c r="BC282" i="16"/>
  <c r="AO282" i="16"/>
  <c r="AA282" i="16"/>
  <c r="M282" i="16"/>
  <c r="BC281" i="16"/>
  <c r="AO281" i="16"/>
  <c r="AA281" i="16"/>
  <c r="M281" i="16"/>
  <c r="BC280" i="16"/>
  <c r="AO280" i="16"/>
  <c r="AA280" i="16"/>
  <c r="M280" i="16"/>
  <c r="BC279" i="16"/>
  <c r="AO279" i="16"/>
  <c r="AA279" i="16"/>
  <c r="M279" i="16"/>
  <c r="BC278" i="16"/>
  <c r="AO278" i="16"/>
  <c r="AA278" i="16"/>
  <c r="M278" i="16"/>
  <c r="BC277" i="16"/>
  <c r="AO277" i="16"/>
  <c r="AA277" i="16"/>
  <c r="M277" i="16"/>
  <c r="BC276" i="16"/>
  <c r="AO276" i="16"/>
  <c r="AA276" i="16"/>
  <c r="M276" i="16"/>
  <c r="BC275" i="16"/>
  <c r="AO275" i="16"/>
  <c r="AA275" i="16"/>
  <c r="M275" i="16"/>
  <c r="BC274" i="16"/>
  <c r="AO274" i="16"/>
  <c r="AA274" i="16"/>
  <c r="M274" i="16"/>
  <c r="BC273" i="16"/>
  <c r="AO273" i="16"/>
  <c r="AA273" i="16"/>
  <c r="M273" i="16"/>
  <c r="BC272" i="16"/>
  <c r="AO272" i="16"/>
  <c r="AA272" i="16"/>
  <c r="M272" i="16"/>
  <c r="BC271" i="16"/>
  <c r="AO271" i="16"/>
  <c r="AA271" i="16"/>
  <c r="M271" i="16"/>
  <c r="BC270" i="16"/>
  <c r="AO270" i="16"/>
  <c r="AA270" i="16"/>
  <c r="M270" i="16"/>
  <c r="BC269" i="16"/>
  <c r="AO269" i="16"/>
  <c r="AA269" i="16"/>
  <c r="M269" i="16"/>
  <c r="BC268" i="16"/>
  <c r="AO268" i="16"/>
  <c r="AA268" i="16"/>
  <c r="M268" i="16"/>
  <c r="BC267" i="16"/>
  <c r="AO267" i="16"/>
  <c r="AA267" i="16"/>
  <c r="M267" i="16"/>
  <c r="BC266" i="16"/>
  <c r="AO266" i="16"/>
  <c r="AA266" i="16"/>
  <c r="M266" i="16"/>
  <c r="BC265" i="16"/>
  <c r="AO265" i="16"/>
  <c r="AA265" i="16"/>
  <c r="M265" i="16"/>
  <c r="BC264" i="16"/>
  <c r="AO264" i="16"/>
  <c r="AA264" i="16"/>
  <c r="M264" i="16"/>
  <c r="BC263" i="16"/>
  <c r="AO263" i="16"/>
  <c r="AA263" i="16"/>
  <c r="M263" i="16"/>
  <c r="BC262" i="16"/>
  <c r="AO262" i="16"/>
  <c r="AA262" i="16"/>
  <c r="M262" i="16"/>
  <c r="BC261" i="16"/>
  <c r="AO261" i="16"/>
  <c r="AA261" i="16"/>
  <c r="M261" i="16"/>
  <c r="BC260" i="16"/>
  <c r="AO260" i="16"/>
  <c r="AA260" i="16"/>
  <c r="M260" i="16"/>
  <c r="BC259" i="16"/>
  <c r="AO259" i="16"/>
  <c r="AA259" i="16"/>
  <c r="M259" i="16"/>
  <c r="BC258" i="16"/>
  <c r="AO258" i="16"/>
  <c r="AA258" i="16"/>
  <c r="M258" i="16"/>
  <c r="BC257" i="16"/>
  <c r="AO257" i="16"/>
  <c r="AA257" i="16"/>
  <c r="M257" i="16"/>
  <c r="BC256" i="16"/>
  <c r="AO256" i="16"/>
  <c r="AA256" i="16"/>
  <c r="M256" i="16"/>
  <c r="BC255" i="16"/>
  <c r="AO255" i="16"/>
  <c r="AA255" i="16"/>
  <c r="M255" i="16"/>
  <c r="BC254" i="16"/>
  <c r="AO254" i="16"/>
  <c r="AA254" i="16"/>
  <c r="M254" i="16"/>
  <c r="BC253" i="16"/>
  <c r="AO253" i="16"/>
  <c r="AA253" i="16"/>
  <c r="M253" i="16"/>
  <c r="BC252" i="16"/>
  <c r="AO252" i="16"/>
  <c r="AA252" i="16"/>
  <c r="M252" i="16"/>
  <c r="BC251" i="16"/>
  <c r="AO251" i="16"/>
  <c r="AA251" i="16"/>
  <c r="M251" i="16"/>
  <c r="BC250" i="16"/>
  <c r="AO250" i="16"/>
  <c r="AA250" i="16"/>
  <c r="M250" i="16"/>
  <c r="BC249" i="16"/>
  <c r="AO249" i="16"/>
  <c r="AA249" i="16"/>
  <c r="M249" i="16"/>
  <c r="BC248" i="16"/>
  <c r="AO248" i="16"/>
  <c r="AA248" i="16"/>
  <c r="M248" i="16"/>
  <c r="BC247" i="16"/>
  <c r="AO247" i="16"/>
  <c r="AA247" i="16"/>
  <c r="M247" i="16"/>
  <c r="BC246" i="16"/>
  <c r="AO246" i="16"/>
  <c r="AA246" i="16"/>
  <c r="M246" i="16"/>
  <c r="BC245" i="16"/>
  <c r="AO245" i="16"/>
  <c r="AA245" i="16"/>
  <c r="M245" i="16"/>
  <c r="BC244" i="16"/>
  <c r="AO244" i="16"/>
  <c r="AA244" i="16"/>
  <c r="M244" i="16"/>
  <c r="BC243" i="16"/>
  <c r="AO243" i="16"/>
  <c r="AA243" i="16"/>
  <c r="M243" i="16"/>
  <c r="BC242" i="16"/>
  <c r="AO242" i="16"/>
  <c r="AA242" i="16"/>
  <c r="M242" i="16"/>
  <c r="BC241" i="16"/>
  <c r="AO241" i="16"/>
  <c r="AA241" i="16"/>
  <c r="M241" i="16"/>
  <c r="BC240" i="16"/>
  <c r="AO240" i="16"/>
  <c r="AA240" i="16"/>
  <c r="M240" i="16"/>
  <c r="BC239" i="16"/>
  <c r="AO239" i="16"/>
  <c r="AA239" i="16"/>
  <c r="M239" i="16"/>
  <c r="BC238" i="16"/>
  <c r="AO238" i="16"/>
  <c r="AA238" i="16"/>
  <c r="M238" i="16"/>
  <c r="BC237" i="16"/>
  <c r="AO237" i="16"/>
  <c r="AA237" i="16"/>
  <c r="M237" i="16"/>
  <c r="BC236" i="16"/>
  <c r="AO236" i="16"/>
  <c r="AA236" i="16"/>
  <c r="M236" i="16"/>
  <c r="BC235" i="16"/>
  <c r="AO235" i="16"/>
  <c r="AA235" i="16"/>
  <c r="M235" i="16"/>
  <c r="BC234" i="16"/>
  <c r="AO234" i="16"/>
  <c r="AA234" i="16"/>
  <c r="M234" i="16"/>
  <c r="BC233" i="16"/>
  <c r="AO233" i="16"/>
  <c r="AA233" i="16"/>
  <c r="M233" i="16"/>
  <c r="BC232" i="16"/>
  <c r="AO232" i="16"/>
  <c r="AA232" i="16"/>
  <c r="M232" i="16"/>
  <c r="BC231" i="16"/>
  <c r="AO231" i="16"/>
  <c r="AA231" i="16"/>
  <c r="M231" i="16"/>
  <c r="BC230" i="16"/>
  <c r="AO230" i="16"/>
  <c r="AA230" i="16"/>
  <c r="M230" i="16"/>
  <c r="BC229" i="16"/>
  <c r="AO229" i="16"/>
  <c r="AA229" i="16"/>
  <c r="M229" i="16"/>
  <c r="BC228" i="16"/>
  <c r="AO228" i="16"/>
  <c r="AA228" i="16"/>
  <c r="M228" i="16"/>
  <c r="BC227" i="16"/>
  <c r="AO227" i="16"/>
  <c r="AA227" i="16"/>
  <c r="M227" i="16"/>
  <c r="BC226" i="16"/>
  <c r="AO226" i="16"/>
  <c r="AA226" i="16"/>
  <c r="M226" i="16"/>
  <c r="BC225" i="16"/>
  <c r="AO225" i="16"/>
  <c r="AA225" i="16"/>
  <c r="M225" i="16"/>
  <c r="BC224" i="16"/>
  <c r="AO224" i="16"/>
  <c r="AA224" i="16"/>
  <c r="M224" i="16"/>
  <c r="BC223" i="16"/>
  <c r="AO223" i="16"/>
  <c r="AA223" i="16"/>
  <c r="M223" i="16"/>
  <c r="BC222" i="16"/>
  <c r="AO222" i="16"/>
  <c r="AA222" i="16"/>
  <c r="M222" i="16"/>
  <c r="BC221" i="16"/>
  <c r="AO221" i="16"/>
  <c r="AA221" i="16"/>
  <c r="M221" i="16"/>
  <c r="BC220" i="16"/>
  <c r="AO220" i="16"/>
  <c r="AA220" i="16"/>
  <c r="M220" i="16"/>
  <c r="BC219" i="16"/>
  <c r="AO219" i="16"/>
  <c r="AA219" i="16"/>
  <c r="M219" i="16"/>
  <c r="BC218" i="16"/>
  <c r="AO218" i="16"/>
  <c r="AA218" i="16"/>
  <c r="M218" i="16"/>
  <c r="BC217" i="16"/>
  <c r="AO217" i="16"/>
  <c r="AA217" i="16"/>
  <c r="M217" i="16"/>
  <c r="BC216" i="16"/>
  <c r="AO216" i="16"/>
  <c r="AA216" i="16"/>
  <c r="M216" i="16"/>
  <c r="BC215" i="16"/>
  <c r="AO215" i="16"/>
  <c r="AA215" i="16"/>
  <c r="M215" i="16"/>
  <c r="BC214" i="16"/>
  <c r="AO214" i="16"/>
  <c r="AA214" i="16"/>
  <c r="M214" i="16"/>
  <c r="BC213" i="16"/>
  <c r="AO213" i="16"/>
  <c r="AA213" i="16"/>
  <c r="M213" i="16"/>
  <c r="BC212" i="16"/>
  <c r="AO212" i="16"/>
  <c r="AA212" i="16"/>
  <c r="M212" i="16"/>
  <c r="BC211" i="16"/>
  <c r="AO211" i="16"/>
  <c r="AA211" i="16"/>
  <c r="M211" i="16"/>
  <c r="BC210" i="16"/>
  <c r="AO210" i="16"/>
  <c r="AA210" i="16"/>
  <c r="M210" i="16"/>
  <c r="BC209" i="16"/>
  <c r="AO209" i="16"/>
  <c r="AA209" i="16"/>
  <c r="M209" i="16"/>
  <c r="BC208" i="16"/>
  <c r="AO208" i="16"/>
  <c r="AA208" i="16"/>
  <c r="M208" i="16"/>
  <c r="BC207" i="16"/>
  <c r="AO207" i="16"/>
  <c r="AA207" i="16"/>
  <c r="M207" i="16"/>
  <c r="BC206" i="16"/>
  <c r="AO206" i="16"/>
  <c r="AA206" i="16"/>
  <c r="M206" i="16"/>
  <c r="BC205" i="16"/>
  <c r="AO205" i="16"/>
  <c r="AA205" i="16"/>
  <c r="M205" i="16"/>
  <c r="BC204" i="16"/>
  <c r="AO204" i="16"/>
  <c r="AA204" i="16"/>
  <c r="M204" i="16"/>
  <c r="BC203" i="16"/>
  <c r="AO203" i="16"/>
  <c r="AA203" i="16"/>
  <c r="M203" i="16"/>
  <c r="BC202" i="16"/>
  <c r="AO202" i="16"/>
  <c r="AA202" i="16"/>
  <c r="M202" i="16"/>
  <c r="BC201" i="16"/>
  <c r="AO201" i="16"/>
  <c r="AA201" i="16"/>
  <c r="M201" i="16"/>
  <c r="BC200" i="16"/>
  <c r="AO200" i="16"/>
  <c r="AA200" i="16"/>
  <c r="M200" i="16"/>
  <c r="BC199" i="16"/>
  <c r="AO199" i="16"/>
  <c r="AA199" i="16"/>
  <c r="M199" i="16"/>
  <c r="BC198" i="16"/>
  <c r="AO198" i="16"/>
  <c r="AA198" i="16"/>
  <c r="M198" i="16"/>
  <c r="BC197" i="16"/>
  <c r="AO197" i="16"/>
  <c r="AA197" i="16"/>
  <c r="M197" i="16"/>
  <c r="BC196" i="16"/>
  <c r="AO196" i="16"/>
  <c r="AA196" i="16"/>
  <c r="M196" i="16"/>
  <c r="BC195" i="16"/>
  <c r="AO195" i="16"/>
  <c r="AA195" i="16"/>
  <c r="M195" i="16"/>
  <c r="BC194" i="16"/>
  <c r="AO194" i="16"/>
  <c r="AA194" i="16"/>
  <c r="M194" i="16"/>
  <c r="BC193" i="16"/>
  <c r="AO193" i="16"/>
  <c r="AA193" i="16"/>
  <c r="M193" i="16"/>
  <c r="BC192" i="16"/>
  <c r="AO192" i="16"/>
  <c r="AA192" i="16"/>
  <c r="M192" i="16"/>
  <c r="BC191" i="16"/>
  <c r="AO191" i="16"/>
  <c r="AA191" i="16"/>
  <c r="M191" i="16"/>
  <c r="BC190" i="16"/>
  <c r="AO190" i="16"/>
  <c r="AA190" i="16"/>
  <c r="M190" i="16"/>
  <c r="BC189" i="16"/>
  <c r="AO189" i="16"/>
  <c r="AA189" i="16"/>
  <c r="M189" i="16"/>
  <c r="BC188" i="16"/>
  <c r="AO188" i="16"/>
  <c r="AA188" i="16"/>
  <c r="M188" i="16"/>
  <c r="BC187" i="16"/>
  <c r="AO187" i="16"/>
  <c r="AA187" i="16"/>
  <c r="M187" i="16"/>
  <c r="BC186" i="16"/>
  <c r="AO186" i="16"/>
  <c r="AA186" i="16"/>
  <c r="M186" i="16"/>
  <c r="BC185" i="16"/>
  <c r="AO185" i="16"/>
  <c r="AA185" i="16"/>
  <c r="M185" i="16"/>
  <c r="BC184" i="16"/>
  <c r="AO184" i="16"/>
  <c r="AA184" i="16"/>
  <c r="M184" i="16"/>
  <c r="BC183" i="16"/>
  <c r="AO183" i="16"/>
  <c r="AA183" i="16"/>
  <c r="M183" i="16"/>
  <c r="BC182" i="16"/>
  <c r="AO182" i="16"/>
  <c r="AA182" i="16"/>
  <c r="M182" i="16"/>
  <c r="BC181" i="16"/>
  <c r="AO181" i="16"/>
  <c r="AA181" i="16"/>
  <c r="M181" i="16"/>
  <c r="BC180" i="16"/>
  <c r="AO180" i="16"/>
  <c r="AA180" i="16"/>
  <c r="M180" i="16"/>
  <c r="BC179" i="16"/>
  <c r="AO179" i="16"/>
  <c r="AA179" i="16"/>
  <c r="M179" i="16"/>
  <c r="BC178" i="16"/>
  <c r="AO178" i="16"/>
  <c r="AA178" i="16"/>
  <c r="M178" i="16"/>
  <c r="BC177" i="16"/>
  <c r="AO177" i="16"/>
  <c r="AA177" i="16"/>
  <c r="M177" i="16"/>
  <c r="BC176" i="16"/>
  <c r="AO176" i="16"/>
  <c r="AA176" i="16"/>
  <c r="M176" i="16"/>
  <c r="BC175" i="16"/>
  <c r="AO175" i="16"/>
  <c r="AA175" i="16"/>
  <c r="M175" i="16"/>
  <c r="BC174" i="16"/>
  <c r="AO174" i="16"/>
  <c r="AA174" i="16"/>
  <c r="M174" i="16"/>
  <c r="BC173" i="16"/>
  <c r="AO173" i="16"/>
  <c r="AA173" i="16"/>
  <c r="M173" i="16"/>
  <c r="BC172" i="16"/>
  <c r="AO172" i="16"/>
  <c r="AA172" i="16"/>
  <c r="M172" i="16"/>
  <c r="BC171" i="16"/>
  <c r="AO171" i="16"/>
  <c r="AA171" i="16"/>
  <c r="M171" i="16"/>
  <c r="BC170" i="16"/>
  <c r="AO170" i="16"/>
  <c r="AA170" i="16"/>
  <c r="M170" i="16"/>
  <c r="BC169" i="16"/>
  <c r="AO169" i="16"/>
  <c r="AA169" i="16"/>
  <c r="M169" i="16"/>
  <c r="BC168" i="16"/>
  <c r="AO168" i="16"/>
  <c r="AA168" i="16"/>
  <c r="M168" i="16"/>
  <c r="BC167" i="16"/>
  <c r="AO167" i="16"/>
  <c r="AA167" i="16"/>
  <c r="M167" i="16"/>
  <c r="BC166" i="16"/>
  <c r="AO166" i="16"/>
  <c r="AA166" i="16"/>
  <c r="M166" i="16"/>
  <c r="BC165" i="16"/>
  <c r="AO165" i="16"/>
  <c r="AA165" i="16"/>
  <c r="M165" i="16"/>
  <c r="BC164" i="16"/>
  <c r="AO164" i="16"/>
  <c r="AA164" i="16"/>
  <c r="M164" i="16"/>
  <c r="BC163" i="16"/>
  <c r="AO163" i="16"/>
  <c r="AA163" i="16"/>
  <c r="M163" i="16"/>
  <c r="BC162" i="16"/>
  <c r="AO162" i="16"/>
  <c r="AA162" i="16"/>
  <c r="M162" i="16"/>
  <c r="BC161" i="16"/>
  <c r="AO161" i="16"/>
  <c r="AA161" i="16"/>
  <c r="M161" i="16"/>
  <c r="BC160" i="16"/>
  <c r="AO160" i="16"/>
  <c r="AA160" i="16"/>
  <c r="M160" i="16"/>
  <c r="BC159" i="16"/>
  <c r="AO159" i="16"/>
  <c r="AA159" i="16"/>
  <c r="M159" i="16"/>
  <c r="BC158" i="16"/>
  <c r="AO158" i="16"/>
  <c r="AA158" i="16"/>
  <c r="M158" i="16"/>
  <c r="BC157" i="16"/>
  <c r="AO157" i="16"/>
  <c r="AA157" i="16"/>
  <c r="M157" i="16"/>
  <c r="BC156" i="16"/>
  <c r="AO156" i="16"/>
  <c r="AA156" i="16"/>
  <c r="M156" i="16"/>
  <c r="BC155" i="16"/>
  <c r="AO155" i="16"/>
  <c r="AA155" i="16"/>
  <c r="M155" i="16"/>
  <c r="BC154" i="16"/>
  <c r="AO154" i="16"/>
  <c r="AA154" i="16"/>
  <c r="M154" i="16"/>
  <c r="BC153" i="16"/>
  <c r="AO153" i="16"/>
  <c r="AA153" i="16"/>
  <c r="M153" i="16"/>
  <c r="BC152" i="16"/>
  <c r="AO152" i="16"/>
  <c r="AA152" i="16"/>
  <c r="M152" i="16"/>
  <c r="BC151" i="16"/>
  <c r="AO151" i="16"/>
  <c r="AA151" i="16"/>
  <c r="M151" i="16"/>
  <c r="BC150" i="16"/>
  <c r="AO150" i="16"/>
  <c r="AA150" i="16"/>
  <c r="M150" i="16"/>
  <c r="BC149" i="16"/>
  <c r="AO149" i="16"/>
  <c r="AA149" i="16"/>
  <c r="M149" i="16"/>
  <c r="BC148" i="16"/>
  <c r="AO148" i="16"/>
  <c r="AA148" i="16"/>
  <c r="M148" i="16"/>
  <c r="BC147" i="16"/>
  <c r="AO147" i="16"/>
  <c r="AA147" i="16"/>
  <c r="M147" i="16"/>
  <c r="BC146" i="16"/>
  <c r="AO146" i="16"/>
  <c r="AA146" i="16"/>
  <c r="M146" i="16"/>
  <c r="BC145" i="16"/>
  <c r="AO145" i="16"/>
  <c r="AA145" i="16"/>
  <c r="M145" i="16"/>
  <c r="BC144" i="16"/>
  <c r="AO144" i="16"/>
  <c r="AA144" i="16"/>
  <c r="M144" i="16"/>
  <c r="BC143" i="16"/>
  <c r="AO143" i="16"/>
  <c r="AA143" i="16"/>
  <c r="M143" i="16"/>
  <c r="BC142" i="16"/>
  <c r="AO142" i="16"/>
  <c r="AA142" i="16"/>
  <c r="M142" i="16"/>
  <c r="BC141" i="16"/>
  <c r="AO141" i="16"/>
  <c r="AA141" i="16"/>
  <c r="M141" i="16"/>
  <c r="BC140" i="16"/>
  <c r="AO140" i="16"/>
  <c r="AA140" i="16"/>
  <c r="M140" i="16"/>
  <c r="BC139" i="16"/>
  <c r="AO139" i="16"/>
  <c r="AA139" i="16"/>
  <c r="M139" i="16"/>
  <c r="BC138" i="16"/>
  <c r="AO138" i="16"/>
  <c r="AA138" i="16"/>
  <c r="M138" i="16"/>
  <c r="BC137" i="16"/>
  <c r="AO137" i="16"/>
  <c r="AA137" i="16"/>
  <c r="M137" i="16"/>
  <c r="BC136" i="16"/>
  <c r="AO136" i="16"/>
  <c r="AA136" i="16"/>
  <c r="M136" i="16"/>
  <c r="BC135" i="16"/>
  <c r="AO135" i="16"/>
  <c r="AA135" i="16"/>
  <c r="M135" i="16"/>
  <c r="BC134" i="16"/>
  <c r="AO134" i="16"/>
  <c r="AA134" i="16"/>
  <c r="M134" i="16"/>
  <c r="BC133" i="16"/>
  <c r="AO133" i="16"/>
  <c r="AA133" i="16"/>
  <c r="M133" i="16"/>
  <c r="BC132" i="16"/>
  <c r="AO132" i="16"/>
  <c r="AA132" i="16"/>
  <c r="M132" i="16"/>
  <c r="BC131" i="16"/>
  <c r="AO131" i="16"/>
  <c r="AA131" i="16"/>
  <c r="M131" i="16"/>
  <c r="BC130" i="16"/>
  <c r="AO130" i="16"/>
  <c r="AA130" i="16"/>
  <c r="M130" i="16"/>
  <c r="BC129" i="16"/>
  <c r="AO129" i="16"/>
  <c r="AA129" i="16"/>
  <c r="M129" i="16"/>
  <c r="BC128" i="16"/>
  <c r="AO128" i="16"/>
  <c r="AA128" i="16"/>
  <c r="M128" i="16"/>
  <c r="BC127" i="16"/>
  <c r="AO127" i="16"/>
  <c r="AA127" i="16"/>
  <c r="M127" i="16"/>
  <c r="BC126" i="16"/>
  <c r="AO126" i="16"/>
  <c r="AA126" i="16"/>
  <c r="M126" i="16"/>
  <c r="BC125" i="16"/>
  <c r="AO125" i="16"/>
  <c r="AA125" i="16"/>
  <c r="M125" i="16"/>
  <c r="BC124" i="16"/>
  <c r="AO124" i="16"/>
  <c r="AA124" i="16"/>
  <c r="M124" i="16"/>
  <c r="BC123" i="16"/>
  <c r="AO123" i="16"/>
  <c r="AA123" i="16"/>
  <c r="M123" i="16"/>
  <c r="BC122" i="16"/>
  <c r="AO122" i="16"/>
  <c r="AA122" i="16"/>
  <c r="M122" i="16"/>
  <c r="BC121" i="16"/>
  <c r="AO121" i="16"/>
  <c r="AA121" i="16"/>
  <c r="M121" i="16"/>
  <c r="BC120" i="16"/>
  <c r="AO120" i="16"/>
  <c r="AA120" i="16"/>
  <c r="M120" i="16"/>
  <c r="BC119" i="16"/>
  <c r="AO119" i="16"/>
  <c r="AA119" i="16"/>
  <c r="M119" i="16"/>
  <c r="BC118" i="16"/>
  <c r="AO118" i="16"/>
  <c r="AA118" i="16"/>
  <c r="M118" i="16"/>
  <c r="BC117" i="16"/>
  <c r="AO117" i="16"/>
  <c r="AA117" i="16"/>
  <c r="M117" i="16"/>
  <c r="BC116" i="16"/>
  <c r="AO116" i="16"/>
  <c r="AA116" i="16"/>
  <c r="M116" i="16"/>
  <c r="BC115" i="16"/>
  <c r="AO115" i="16"/>
  <c r="AA115" i="16"/>
  <c r="M115" i="16"/>
  <c r="BC114" i="16"/>
  <c r="AO114" i="16"/>
  <c r="AA114" i="16"/>
  <c r="M114" i="16"/>
  <c r="BC113" i="16"/>
  <c r="AO113" i="16"/>
  <c r="AA113" i="16"/>
  <c r="M113" i="16"/>
  <c r="BC112" i="16"/>
  <c r="AO112" i="16"/>
  <c r="AA112" i="16"/>
  <c r="M112" i="16"/>
  <c r="BC111" i="16"/>
  <c r="AO111" i="16"/>
  <c r="AA111" i="16"/>
  <c r="M111" i="16"/>
  <c r="BC110" i="16"/>
  <c r="AO110" i="16"/>
  <c r="AA110" i="16"/>
  <c r="M110" i="16"/>
  <c r="BC109" i="16"/>
  <c r="AO109" i="16"/>
  <c r="AA109" i="16"/>
  <c r="M109" i="16"/>
  <c r="BC108" i="16"/>
  <c r="AO108" i="16"/>
  <c r="AA108" i="16"/>
  <c r="M108" i="16"/>
  <c r="BC107" i="16"/>
  <c r="AO107" i="16"/>
  <c r="AA107" i="16"/>
  <c r="M107" i="16"/>
  <c r="BC106" i="16"/>
  <c r="AO106" i="16"/>
  <c r="AA106" i="16"/>
  <c r="M106" i="16"/>
  <c r="BC105" i="16"/>
  <c r="AO105" i="16"/>
  <c r="AA105" i="16"/>
  <c r="M105" i="16"/>
  <c r="BC104" i="16"/>
  <c r="AO104" i="16"/>
  <c r="AA104" i="16"/>
  <c r="M104" i="16"/>
  <c r="BC103" i="16"/>
  <c r="AO103" i="16"/>
  <c r="AA103" i="16"/>
  <c r="M103" i="16"/>
  <c r="BC102" i="16"/>
  <c r="AO102" i="16"/>
  <c r="AA102" i="16"/>
  <c r="M102" i="16"/>
  <c r="BC101" i="16"/>
  <c r="AO101" i="16"/>
  <c r="AA101" i="16"/>
  <c r="M101" i="16"/>
  <c r="BC100" i="16"/>
  <c r="AO100" i="16"/>
  <c r="AA100" i="16"/>
  <c r="M100" i="16"/>
  <c r="BC99" i="16"/>
  <c r="AO99" i="16"/>
  <c r="AA99" i="16"/>
  <c r="M99" i="16"/>
  <c r="BC98" i="16"/>
  <c r="AO98" i="16"/>
  <c r="AA98" i="16"/>
  <c r="M98" i="16"/>
  <c r="BC97" i="16"/>
  <c r="AO97" i="16"/>
  <c r="AA97" i="16"/>
  <c r="M97" i="16"/>
  <c r="BC96" i="16"/>
  <c r="AO96" i="16"/>
  <c r="AA96" i="16"/>
  <c r="M96" i="16"/>
  <c r="BC95" i="16"/>
  <c r="AO95" i="16"/>
  <c r="AA95" i="16"/>
  <c r="M95" i="16"/>
  <c r="BC94" i="16"/>
  <c r="AO94" i="16"/>
  <c r="AA94" i="16"/>
  <c r="M94" i="16"/>
  <c r="BC93" i="16"/>
  <c r="AO93" i="16"/>
  <c r="AA93" i="16"/>
  <c r="M93" i="16"/>
  <c r="BC92" i="16"/>
  <c r="AO92" i="16"/>
  <c r="AA92" i="16"/>
  <c r="M92" i="16"/>
  <c r="BC91" i="16"/>
  <c r="AO91" i="16"/>
  <c r="AA91" i="16"/>
  <c r="M91" i="16"/>
  <c r="BC90" i="16"/>
  <c r="AO90" i="16"/>
  <c r="AA90" i="16"/>
  <c r="M90" i="16"/>
  <c r="BC89" i="16"/>
  <c r="AO89" i="16"/>
  <c r="AA89" i="16"/>
  <c r="M89" i="16"/>
  <c r="BC88" i="16"/>
  <c r="AO88" i="16"/>
  <c r="AA88" i="16"/>
  <c r="M88" i="16"/>
  <c r="BC87" i="16"/>
  <c r="AO87" i="16"/>
  <c r="AA87" i="16"/>
  <c r="M87" i="16"/>
  <c r="BC86" i="16"/>
  <c r="AO86" i="16"/>
  <c r="AA86" i="16"/>
  <c r="M86" i="16"/>
  <c r="BC85" i="16"/>
  <c r="AO85" i="16"/>
  <c r="AA85" i="16"/>
  <c r="M85" i="16"/>
  <c r="BC84" i="16"/>
  <c r="AO84" i="16"/>
  <c r="AA84" i="16"/>
  <c r="M84" i="16"/>
  <c r="BC83" i="16"/>
  <c r="AO83" i="16"/>
  <c r="AA83" i="16"/>
  <c r="M83" i="16"/>
  <c r="BC82" i="16"/>
  <c r="AO82" i="16"/>
  <c r="AA82" i="16"/>
  <c r="M82" i="16"/>
  <c r="BC81" i="16"/>
  <c r="AO81" i="16"/>
  <c r="AA81" i="16"/>
  <c r="M81" i="16"/>
  <c r="BC80" i="16"/>
  <c r="AO80" i="16"/>
  <c r="AA80" i="16"/>
  <c r="M80" i="16"/>
  <c r="BC79" i="16"/>
  <c r="AO79" i="16"/>
  <c r="AA79" i="16"/>
  <c r="M79" i="16"/>
  <c r="BC78" i="16"/>
  <c r="AO78" i="16"/>
  <c r="AA78" i="16"/>
  <c r="M78" i="16"/>
  <c r="BC77" i="16"/>
  <c r="AO77" i="16"/>
  <c r="AA77" i="16"/>
  <c r="M77" i="16"/>
  <c r="BC76" i="16"/>
  <c r="AO76" i="16"/>
  <c r="AA76" i="16"/>
  <c r="M76" i="16"/>
  <c r="BC75" i="16"/>
  <c r="AO75" i="16"/>
  <c r="AA75" i="16"/>
  <c r="M75" i="16"/>
  <c r="BC74" i="16"/>
  <c r="AO74" i="16"/>
  <c r="AA74" i="16"/>
  <c r="M74" i="16"/>
  <c r="BC73" i="16"/>
  <c r="AO73" i="16"/>
  <c r="AA73" i="16"/>
  <c r="M73" i="16"/>
  <c r="BC72" i="16"/>
  <c r="AO72" i="16"/>
  <c r="AA72" i="16"/>
  <c r="M72" i="16"/>
  <c r="BC71" i="16"/>
  <c r="AO71" i="16"/>
  <c r="AA71" i="16"/>
  <c r="M71" i="16"/>
  <c r="BC70" i="16"/>
  <c r="AO70" i="16"/>
  <c r="AA70" i="16"/>
  <c r="M70" i="16"/>
  <c r="BC69" i="16"/>
  <c r="AO69" i="16"/>
  <c r="AA69" i="16"/>
  <c r="M69" i="16"/>
  <c r="BC68" i="16"/>
  <c r="AO68" i="16"/>
  <c r="AA68" i="16"/>
  <c r="M68" i="16"/>
  <c r="BC67" i="16"/>
  <c r="AO67" i="16"/>
  <c r="AA67" i="16"/>
  <c r="M67" i="16"/>
  <c r="BC66" i="16"/>
  <c r="AO66" i="16"/>
  <c r="AA66" i="16"/>
  <c r="M66" i="16"/>
  <c r="BC65" i="16"/>
  <c r="AO65" i="16"/>
  <c r="AA65" i="16"/>
  <c r="M65" i="16"/>
  <c r="BC64" i="16"/>
  <c r="AO64" i="16"/>
  <c r="AA64" i="16"/>
  <c r="M64" i="16"/>
  <c r="BC63" i="16"/>
  <c r="AO63" i="16"/>
  <c r="AA63" i="16"/>
  <c r="M63" i="16"/>
  <c r="BC62" i="16"/>
  <c r="AO62" i="16"/>
  <c r="AA62" i="16"/>
  <c r="M62" i="16"/>
  <c r="BC61" i="16"/>
  <c r="AO61" i="16"/>
  <c r="AA61" i="16"/>
  <c r="M61" i="16"/>
  <c r="BC60" i="16"/>
  <c r="AO60" i="16"/>
  <c r="AA60" i="16"/>
  <c r="M60" i="16"/>
  <c r="BC59" i="16"/>
  <c r="AO59" i="16"/>
  <c r="AA59" i="16"/>
  <c r="M59" i="16"/>
  <c r="BC58" i="16"/>
  <c r="AO58" i="16"/>
  <c r="AA58" i="16"/>
  <c r="M58" i="16"/>
  <c r="BC57" i="16"/>
  <c r="AO57" i="16"/>
  <c r="AA57" i="16"/>
  <c r="M57" i="16"/>
  <c r="BC56" i="16"/>
  <c r="AO56" i="16"/>
  <c r="AA56" i="16"/>
  <c r="M56" i="16"/>
  <c r="BC55" i="16"/>
  <c r="AO55" i="16"/>
  <c r="AA55" i="16"/>
  <c r="M55" i="16"/>
  <c r="BC54" i="16"/>
  <c r="AO54" i="16"/>
  <c r="AA54" i="16"/>
  <c r="M54" i="16"/>
  <c r="BC53" i="16"/>
  <c r="AO53" i="16"/>
  <c r="AA53" i="16"/>
  <c r="M53" i="16"/>
  <c r="BC52" i="16"/>
  <c r="AO52" i="16"/>
  <c r="AA52" i="16"/>
  <c r="M52" i="16"/>
  <c r="BC51" i="16"/>
  <c r="AO51" i="16"/>
  <c r="AA51" i="16"/>
  <c r="M51" i="16"/>
  <c r="BC50" i="16"/>
  <c r="AO50" i="16"/>
  <c r="AA50" i="16"/>
  <c r="M50" i="16"/>
  <c r="BC49" i="16"/>
  <c r="AO49" i="16"/>
  <c r="AA49" i="16"/>
  <c r="M49" i="16"/>
  <c r="BC48" i="16"/>
  <c r="AO48" i="16"/>
  <c r="AA48" i="16"/>
  <c r="M48" i="16"/>
  <c r="BC47" i="16"/>
  <c r="AO47" i="16"/>
  <c r="AA47" i="16"/>
  <c r="M47" i="16"/>
  <c r="BC46" i="16"/>
  <c r="AO46" i="16"/>
  <c r="AA46" i="16"/>
  <c r="M46" i="16"/>
  <c r="BC45" i="16"/>
  <c r="AO45" i="16"/>
  <c r="AA45" i="16"/>
  <c r="M45" i="16"/>
  <c r="BC44" i="16"/>
  <c r="AO44" i="16"/>
  <c r="AA44" i="16"/>
  <c r="M44" i="16"/>
  <c r="BC43" i="16"/>
  <c r="AO43" i="16"/>
  <c r="AA43" i="16"/>
  <c r="M43" i="16"/>
  <c r="BC42" i="16"/>
  <c r="AO42" i="16"/>
  <c r="AA42" i="16"/>
  <c r="M42" i="16"/>
  <c r="BC41" i="16"/>
  <c r="AO41" i="16"/>
  <c r="AA41" i="16"/>
  <c r="M41" i="16"/>
  <c r="BC40" i="16"/>
  <c r="AO40" i="16"/>
  <c r="AA40" i="16"/>
  <c r="M40" i="16"/>
  <c r="BC39" i="16"/>
  <c r="AO39" i="16"/>
  <c r="AA39" i="16"/>
  <c r="M39" i="16"/>
  <c r="BC38" i="16"/>
  <c r="AO38" i="16"/>
  <c r="AA38" i="16"/>
  <c r="M38" i="16"/>
  <c r="BC37" i="16"/>
  <c r="AO37" i="16"/>
  <c r="AA37" i="16"/>
  <c r="M37" i="16"/>
  <c r="BC36" i="16"/>
  <c r="AO36" i="16"/>
  <c r="AA36" i="16"/>
  <c r="M36" i="16"/>
  <c r="BC35" i="16"/>
  <c r="AO35" i="16"/>
  <c r="AA35" i="16"/>
  <c r="M35" i="16"/>
  <c r="BC34" i="16"/>
  <c r="AO34" i="16"/>
  <c r="AA34" i="16"/>
  <c r="M34" i="16"/>
  <c r="BC33" i="16"/>
  <c r="AO33" i="16"/>
  <c r="AA33" i="16"/>
  <c r="M33" i="16"/>
  <c r="BC32" i="16"/>
  <c r="AO32" i="16"/>
  <c r="AA32" i="16"/>
  <c r="M32" i="16"/>
  <c r="BC31" i="16"/>
  <c r="AO31" i="16"/>
  <c r="AA31" i="16"/>
  <c r="M31" i="16"/>
  <c r="BC30" i="16"/>
  <c r="AO30" i="16"/>
  <c r="AA30" i="16"/>
  <c r="M30" i="16"/>
  <c r="BC29" i="16"/>
  <c r="AO29" i="16"/>
  <c r="AA29" i="16"/>
  <c r="M29" i="16"/>
  <c r="BC28" i="16"/>
  <c r="AO28" i="16"/>
  <c r="AA28" i="16"/>
  <c r="M28" i="16"/>
  <c r="BC27" i="16"/>
  <c r="AO27" i="16"/>
  <c r="AA27" i="16"/>
  <c r="M27" i="16"/>
  <c r="BC26" i="16"/>
  <c r="AO26" i="16"/>
  <c r="AA26" i="16"/>
  <c r="M26" i="16"/>
  <c r="BC25" i="16"/>
  <c r="AO25" i="16"/>
  <c r="AA25" i="16"/>
  <c r="M25" i="16"/>
  <c r="BC24" i="16"/>
  <c r="AO24" i="16"/>
  <c r="AA24" i="16"/>
  <c r="M24" i="16"/>
  <c r="BC23" i="16"/>
  <c r="AO23" i="16"/>
  <c r="AA23" i="16"/>
  <c r="M23" i="16"/>
  <c r="BC22" i="16"/>
  <c r="AO22" i="16"/>
  <c r="AA22" i="16"/>
  <c r="M22" i="16"/>
  <c r="BC21" i="16"/>
  <c r="AO21" i="16"/>
  <c r="AA21" i="16"/>
  <c r="M21" i="16"/>
  <c r="BC20" i="16"/>
  <c r="AO20" i="16"/>
  <c r="AA20" i="16"/>
  <c r="M20" i="16"/>
  <c r="BC19" i="16"/>
  <c r="AO19" i="16"/>
  <c r="AA19" i="16"/>
  <c r="M19" i="16"/>
  <c r="BC18" i="16"/>
  <c r="AO18" i="16"/>
  <c r="AA18" i="16"/>
  <c r="M18" i="16"/>
  <c r="BC17" i="16"/>
  <c r="AO17" i="16"/>
  <c r="AA17" i="16"/>
  <c r="M17" i="16"/>
  <c r="BC16" i="16"/>
  <c r="AO16" i="16"/>
  <c r="AA16" i="16"/>
  <c r="M16" i="16"/>
  <c r="BC15" i="16"/>
  <c r="AO15" i="16"/>
  <c r="AA15" i="16"/>
  <c r="M15" i="16"/>
  <c r="BC14" i="16"/>
  <c r="AO14" i="16"/>
  <c r="AA14" i="16"/>
  <c r="M14" i="16"/>
  <c r="BC13" i="16"/>
  <c r="AO13" i="16"/>
  <c r="AA13" i="16"/>
  <c r="M13" i="16"/>
  <c r="BC12" i="16"/>
  <c r="AO12" i="16"/>
  <c r="AA12" i="16"/>
  <c r="M12" i="16"/>
  <c r="BC11" i="16"/>
  <c r="AO11" i="16"/>
  <c r="AA11" i="16"/>
  <c r="M11" i="16"/>
  <c r="BC10" i="16"/>
  <c r="AO10" i="16"/>
  <c r="AA10" i="16"/>
  <c r="M10" i="16"/>
  <c r="BC9" i="16"/>
  <c r="AO9" i="16"/>
  <c r="AA9" i="16"/>
  <c r="M9" i="16"/>
  <c r="BC8" i="16"/>
  <c r="AO8" i="16"/>
  <c r="AA8" i="16"/>
  <c r="M8" i="16"/>
  <c r="BC7" i="16"/>
  <c r="AO7" i="16"/>
  <c r="AA7" i="16"/>
  <c r="M7" i="16"/>
  <c r="BC6" i="16"/>
  <c r="AO6" i="16"/>
  <c r="AA6" i="16"/>
  <c r="M6" i="16"/>
  <c r="M4" i="16" s="1"/>
  <c r="BC5" i="16"/>
  <c r="BC4" i="16" s="1"/>
  <c r="AO5" i="16"/>
  <c r="AO4" i="16" s="1"/>
  <c r="AA5" i="16"/>
  <c r="AA4" i="16" s="1"/>
  <c r="M5" i="16"/>
  <c r="AT1" i="16"/>
  <c r="AU1" i="16" s="1"/>
  <c r="AV1" i="16" s="1"/>
  <c r="AW1" i="16" s="1"/>
  <c r="AX1" i="16" s="1"/>
  <c r="AY1" i="16" s="1"/>
  <c r="AZ1" i="16" s="1"/>
  <c r="BA1" i="16" s="1"/>
  <c r="BB1" i="16" s="1"/>
  <c r="BC1" i="16" s="1"/>
  <c r="BD1" i="16" s="1"/>
  <c r="AS1" i="16"/>
  <c r="AE1" i="16"/>
  <c r="AF1" i="16" s="1"/>
  <c r="AG1" i="16" s="1"/>
  <c r="AH1" i="16" s="1"/>
  <c r="AI1" i="16" s="1"/>
  <c r="AJ1" i="16" s="1"/>
  <c r="AK1" i="16" s="1"/>
  <c r="AL1" i="16" s="1"/>
  <c r="AM1" i="16" s="1"/>
  <c r="AN1" i="16" s="1"/>
  <c r="AO1" i="16" s="1"/>
  <c r="AP1" i="16" s="1"/>
  <c r="R1" i="16"/>
  <c r="S1" i="16" s="1"/>
  <c r="T1" i="16" s="1"/>
  <c r="U1" i="16" s="1"/>
  <c r="V1" i="16" s="1"/>
  <c r="W1" i="16" s="1"/>
  <c r="X1" i="16" s="1"/>
  <c r="Y1" i="16" s="1"/>
  <c r="Z1" i="16" s="1"/>
  <c r="AA1" i="16" s="1"/>
  <c r="AB1" i="16" s="1"/>
  <c r="Q1" i="16"/>
  <c r="C1" i="16"/>
  <c r="D1" i="16" s="1"/>
  <c r="E1" i="16" s="1"/>
  <c r="F1" i="16" s="1"/>
  <c r="G1" i="16" s="1"/>
  <c r="H1" i="16" s="1"/>
  <c r="I1" i="16" s="1"/>
  <c r="J1" i="16" s="1"/>
  <c r="K1" i="16" s="1"/>
  <c r="L1" i="16" s="1"/>
  <c r="M1" i="16" s="1"/>
  <c r="N1" i="16" s="1"/>
  <c r="BC322" i="133"/>
  <c r="AO322" i="133"/>
  <c r="AA322" i="133"/>
  <c r="M322" i="133"/>
  <c r="BC321" i="133"/>
  <c r="AO321" i="133"/>
  <c r="AA321" i="133"/>
  <c r="M321" i="133"/>
  <c r="BC320" i="133"/>
  <c r="AO320" i="133"/>
  <c r="AA320" i="133"/>
  <c r="M320" i="133"/>
  <c r="BC319" i="133"/>
  <c r="AO319" i="133"/>
  <c r="AA319" i="133"/>
  <c r="M319" i="133"/>
  <c r="BC318" i="133"/>
  <c r="AO318" i="133"/>
  <c r="AA318" i="133"/>
  <c r="M318" i="133"/>
  <c r="BC317" i="133"/>
  <c r="AO317" i="133"/>
  <c r="AA317" i="133"/>
  <c r="M317" i="133"/>
  <c r="BC316" i="133"/>
  <c r="AO316" i="133"/>
  <c r="AA316" i="133"/>
  <c r="M316" i="133"/>
  <c r="BC315" i="133"/>
  <c r="AO315" i="133"/>
  <c r="AA315" i="133"/>
  <c r="M315" i="133"/>
  <c r="BC314" i="133"/>
  <c r="AO314" i="133"/>
  <c r="AA314" i="133"/>
  <c r="M314" i="133"/>
  <c r="BC313" i="133"/>
  <c r="AO313" i="133"/>
  <c r="AA313" i="133"/>
  <c r="M313" i="133"/>
  <c r="BC312" i="133"/>
  <c r="AO312" i="133"/>
  <c r="AA312" i="133"/>
  <c r="M312" i="133"/>
  <c r="BC311" i="133"/>
  <c r="AO311" i="133"/>
  <c r="AA311" i="133"/>
  <c r="M311" i="133"/>
  <c r="BC310" i="133"/>
  <c r="AO310" i="133"/>
  <c r="AA310" i="133"/>
  <c r="M310" i="133"/>
  <c r="BC309" i="133"/>
  <c r="AO309" i="133"/>
  <c r="AA309" i="133"/>
  <c r="M309" i="133"/>
  <c r="BC308" i="133"/>
  <c r="AO308" i="133"/>
  <c r="AA308" i="133"/>
  <c r="M308" i="133"/>
  <c r="BC307" i="133"/>
  <c r="AO307" i="133"/>
  <c r="AA307" i="133"/>
  <c r="M307" i="133"/>
  <c r="BC306" i="133"/>
  <c r="AO306" i="133"/>
  <c r="AA306" i="133"/>
  <c r="M306" i="133"/>
  <c r="BC305" i="133"/>
  <c r="AO305" i="133"/>
  <c r="AA305" i="133"/>
  <c r="M305" i="133"/>
  <c r="BC304" i="133"/>
  <c r="AO304" i="133"/>
  <c r="AA304" i="133"/>
  <c r="M304" i="133"/>
  <c r="BC303" i="133"/>
  <c r="AO303" i="133"/>
  <c r="AA303" i="133"/>
  <c r="M303" i="133"/>
  <c r="BC302" i="133"/>
  <c r="AO302" i="133"/>
  <c r="AA302" i="133"/>
  <c r="M302" i="133"/>
  <c r="BC301" i="133"/>
  <c r="AO301" i="133"/>
  <c r="AA301" i="133"/>
  <c r="M301" i="133"/>
  <c r="BC300" i="133"/>
  <c r="AO300" i="133"/>
  <c r="AA300" i="133"/>
  <c r="M300" i="133"/>
  <c r="BC299" i="133"/>
  <c r="AO299" i="133"/>
  <c r="AA299" i="133"/>
  <c r="M299" i="133"/>
  <c r="BC298" i="133"/>
  <c r="AO298" i="133"/>
  <c r="AA298" i="133"/>
  <c r="M298" i="133"/>
  <c r="BC297" i="133"/>
  <c r="AO297" i="133"/>
  <c r="AA297" i="133"/>
  <c r="M297" i="133"/>
  <c r="BC296" i="133"/>
  <c r="AO296" i="133"/>
  <c r="AA296" i="133"/>
  <c r="M296" i="133"/>
  <c r="BC295" i="133"/>
  <c r="AO295" i="133"/>
  <c r="AA295" i="133"/>
  <c r="M295" i="133"/>
  <c r="BC294" i="133"/>
  <c r="AO294" i="133"/>
  <c r="AA294" i="133"/>
  <c r="M294" i="133"/>
  <c r="BC293" i="133"/>
  <c r="AO293" i="133"/>
  <c r="AA293" i="133"/>
  <c r="M293" i="133"/>
  <c r="BC292" i="133"/>
  <c r="AO292" i="133"/>
  <c r="AA292" i="133"/>
  <c r="M292" i="133"/>
  <c r="BC291" i="133"/>
  <c r="AO291" i="133"/>
  <c r="AA291" i="133"/>
  <c r="M291" i="133"/>
  <c r="BC290" i="133"/>
  <c r="AO290" i="133"/>
  <c r="AA290" i="133"/>
  <c r="M290" i="133"/>
  <c r="BC289" i="133"/>
  <c r="AO289" i="133"/>
  <c r="AA289" i="133"/>
  <c r="M289" i="133"/>
  <c r="BC288" i="133"/>
  <c r="AO288" i="133"/>
  <c r="AA288" i="133"/>
  <c r="M288" i="133"/>
  <c r="BC287" i="133"/>
  <c r="AO287" i="133"/>
  <c r="AA287" i="133"/>
  <c r="M287" i="133"/>
  <c r="BC286" i="133"/>
  <c r="AO286" i="133"/>
  <c r="AA286" i="133"/>
  <c r="M286" i="133"/>
  <c r="BC285" i="133"/>
  <c r="AO285" i="133"/>
  <c r="AA285" i="133"/>
  <c r="M285" i="133"/>
  <c r="BC284" i="133"/>
  <c r="AO284" i="133"/>
  <c r="AA284" i="133"/>
  <c r="M284" i="133"/>
  <c r="BC283" i="133"/>
  <c r="AO283" i="133"/>
  <c r="AA283" i="133"/>
  <c r="M283" i="133"/>
  <c r="BC282" i="133"/>
  <c r="AO282" i="133"/>
  <c r="AA282" i="133"/>
  <c r="M282" i="133"/>
  <c r="BC281" i="133"/>
  <c r="AO281" i="133"/>
  <c r="AA281" i="133"/>
  <c r="M281" i="133"/>
  <c r="BC280" i="133"/>
  <c r="AO280" i="133"/>
  <c r="AA280" i="133"/>
  <c r="M280" i="133"/>
  <c r="BC279" i="133"/>
  <c r="AO279" i="133"/>
  <c r="AA279" i="133"/>
  <c r="M279" i="133"/>
  <c r="BC278" i="133"/>
  <c r="AO278" i="133"/>
  <c r="AA278" i="133"/>
  <c r="M278" i="133"/>
  <c r="BC277" i="133"/>
  <c r="AO277" i="133"/>
  <c r="AA277" i="133"/>
  <c r="M277" i="133"/>
  <c r="BC276" i="133"/>
  <c r="AO276" i="133"/>
  <c r="AA276" i="133"/>
  <c r="M276" i="133"/>
  <c r="BC275" i="133"/>
  <c r="AO275" i="133"/>
  <c r="AA275" i="133"/>
  <c r="M275" i="133"/>
  <c r="BC274" i="133"/>
  <c r="AO274" i="133"/>
  <c r="AA274" i="133"/>
  <c r="M274" i="133"/>
  <c r="BC273" i="133"/>
  <c r="AO273" i="133"/>
  <c r="AA273" i="133"/>
  <c r="M273" i="133"/>
  <c r="BC272" i="133"/>
  <c r="AO272" i="133"/>
  <c r="AA272" i="133"/>
  <c r="M272" i="133"/>
  <c r="BC271" i="133"/>
  <c r="AO271" i="133"/>
  <c r="AA271" i="133"/>
  <c r="M271" i="133"/>
  <c r="BC270" i="133"/>
  <c r="AO270" i="133"/>
  <c r="AA270" i="133"/>
  <c r="M270" i="133"/>
  <c r="BC269" i="133"/>
  <c r="AO269" i="133"/>
  <c r="AA269" i="133"/>
  <c r="M269" i="133"/>
  <c r="BC268" i="133"/>
  <c r="AO268" i="133"/>
  <c r="AA268" i="133"/>
  <c r="M268" i="133"/>
  <c r="BC267" i="133"/>
  <c r="AO267" i="133"/>
  <c r="AA267" i="133"/>
  <c r="M267" i="133"/>
  <c r="BC266" i="133"/>
  <c r="AO266" i="133"/>
  <c r="AA266" i="133"/>
  <c r="M266" i="133"/>
  <c r="BC265" i="133"/>
  <c r="AO265" i="133"/>
  <c r="AA265" i="133"/>
  <c r="M265" i="133"/>
  <c r="BC264" i="133"/>
  <c r="AO264" i="133"/>
  <c r="AA264" i="133"/>
  <c r="M264" i="133"/>
  <c r="BC263" i="133"/>
  <c r="AO263" i="133"/>
  <c r="AA263" i="133"/>
  <c r="M263" i="133"/>
  <c r="BC262" i="133"/>
  <c r="AO262" i="133"/>
  <c r="AA262" i="133"/>
  <c r="M262" i="133"/>
  <c r="BC261" i="133"/>
  <c r="AO261" i="133"/>
  <c r="AA261" i="133"/>
  <c r="M261" i="133"/>
  <c r="BC260" i="133"/>
  <c r="AO260" i="133"/>
  <c r="AA260" i="133"/>
  <c r="M260" i="133"/>
  <c r="BC259" i="133"/>
  <c r="AO259" i="133"/>
  <c r="AA259" i="133"/>
  <c r="M259" i="133"/>
  <c r="BC258" i="133"/>
  <c r="AO258" i="133"/>
  <c r="AA258" i="133"/>
  <c r="M258" i="133"/>
  <c r="BC257" i="133"/>
  <c r="AO257" i="133"/>
  <c r="AA257" i="133"/>
  <c r="M257" i="133"/>
  <c r="BC256" i="133"/>
  <c r="AO256" i="133"/>
  <c r="AA256" i="133"/>
  <c r="M256" i="133"/>
  <c r="BC255" i="133"/>
  <c r="AO255" i="133"/>
  <c r="AA255" i="133"/>
  <c r="M255" i="133"/>
  <c r="BC254" i="133"/>
  <c r="AO254" i="133"/>
  <c r="AA254" i="133"/>
  <c r="M254" i="133"/>
  <c r="BC253" i="133"/>
  <c r="AO253" i="133"/>
  <c r="AA253" i="133"/>
  <c r="M253" i="133"/>
  <c r="BC252" i="133"/>
  <c r="AO252" i="133"/>
  <c r="AA252" i="133"/>
  <c r="M252" i="133"/>
  <c r="BC251" i="133"/>
  <c r="AO251" i="133"/>
  <c r="AA251" i="133"/>
  <c r="M251" i="133"/>
  <c r="BC250" i="133"/>
  <c r="AO250" i="133"/>
  <c r="AA250" i="133"/>
  <c r="M250" i="133"/>
  <c r="BC249" i="133"/>
  <c r="AO249" i="133"/>
  <c r="AA249" i="133"/>
  <c r="M249" i="133"/>
  <c r="BC248" i="133"/>
  <c r="AO248" i="133"/>
  <c r="AA248" i="133"/>
  <c r="M248" i="133"/>
  <c r="BC247" i="133"/>
  <c r="AO247" i="133"/>
  <c r="AA247" i="133"/>
  <c r="M247" i="133"/>
  <c r="BC246" i="133"/>
  <c r="AO246" i="133"/>
  <c r="AA246" i="133"/>
  <c r="M246" i="133"/>
  <c r="BC245" i="133"/>
  <c r="AO245" i="133"/>
  <c r="AA245" i="133"/>
  <c r="M245" i="133"/>
  <c r="BC244" i="133"/>
  <c r="AO244" i="133"/>
  <c r="AA244" i="133"/>
  <c r="M244" i="133"/>
  <c r="BC243" i="133"/>
  <c r="AO243" i="133"/>
  <c r="AA243" i="133"/>
  <c r="M243" i="133"/>
  <c r="BC242" i="133"/>
  <c r="AO242" i="133"/>
  <c r="AA242" i="133"/>
  <c r="M242" i="133"/>
  <c r="BC241" i="133"/>
  <c r="AO241" i="133"/>
  <c r="AA241" i="133"/>
  <c r="M241" i="133"/>
  <c r="BC240" i="133"/>
  <c r="AO240" i="133"/>
  <c r="AA240" i="133"/>
  <c r="M240" i="133"/>
  <c r="BC239" i="133"/>
  <c r="AO239" i="133"/>
  <c r="AA239" i="133"/>
  <c r="M239" i="133"/>
  <c r="BC238" i="133"/>
  <c r="AO238" i="133"/>
  <c r="AA238" i="133"/>
  <c r="M238" i="133"/>
  <c r="BC237" i="133"/>
  <c r="AO237" i="133"/>
  <c r="AA237" i="133"/>
  <c r="M237" i="133"/>
  <c r="BC236" i="133"/>
  <c r="AO236" i="133"/>
  <c r="AA236" i="133"/>
  <c r="M236" i="133"/>
  <c r="BC235" i="133"/>
  <c r="AO235" i="133"/>
  <c r="AA235" i="133"/>
  <c r="M235" i="133"/>
  <c r="BC234" i="133"/>
  <c r="AO234" i="133"/>
  <c r="AA234" i="133"/>
  <c r="M234" i="133"/>
  <c r="BC233" i="133"/>
  <c r="AO233" i="133"/>
  <c r="AA233" i="133"/>
  <c r="M233" i="133"/>
  <c r="BC232" i="133"/>
  <c r="AO232" i="133"/>
  <c r="AA232" i="133"/>
  <c r="M232" i="133"/>
  <c r="BC231" i="133"/>
  <c r="AO231" i="133"/>
  <c r="AA231" i="133"/>
  <c r="M231" i="133"/>
  <c r="BC230" i="133"/>
  <c r="AO230" i="133"/>
  <c r="AA230" i="133"/>
  <c r="M230" i="133"/>
  <c r="BC229" i="133"/>
  <c r="AO229" i="133"/>
  <c r="AA229" i="133"/>
  <c r="M229" i="133"/>
  <c r="BC228" i="133"/>
  <c r="AO228" i="133"/>
  <c r="AA228" i="133"/>
  <c r="M228" i="133"/>
  <c r="BC227" i="133"/>
  <c r="AO227" i="133"/>
  <c r="AA227" i="133"/>
  <c r="M227" i="133"/>
  <c r="BC226" i="133"/>
  <c r="AO226" i="133"/>
  <c r="AA226" i="133"/>
  <c r="M226" i="133"/>
  <c r="BC225" i="133"/>
  <c r="AO225" i="133"/>
  <c r="AA225" i="133"/>
  <c r="M225" i="133"/>
  <c r="BC224" i="133"/>
  <c r="AO224" i="133"/>
  <c r="AA224" i="133"/>
  <c r="M224" i="133"/>
  <c r="BC223" i="133"/>
  <c r="AO223" i="133"/>
  <c r="AA223" i="133"/>
  <c r="M223" i="133"/>
  <c r="BC222" i="133"/>
  <c r="AO222" i="133"/>
  <c r="AA222" i="133"/>
  <c r="M222" i="133"/>
  <c r="BC221" i="133"/>
  <c r="AO221" i="133"/>
  <c r="AA221" i="133"/>
  <c r="M221" i="133"/>
  <c r="BC220" i="133"/>
  <c r="AO220" i="133"/>
  <c r="AA220" i="133"/>
  <c r="M220" i="133"/>
  <c r="BC219" i="133"/>
  <c r="AO219" i="133"/>
  <c r="AA219" i="133"/>
  <c r="M219" i="133"/>
  <c r="BC218" i="133"/>
  <c r="AO218" i="133"/>
  <c r="AA218" i="133"/>
  <c r="M218" i="133"/>
  <c r="BC217" i="133"/>
  <c r="AO217" i="133"/>
  <c r="AA217" i="133"/>
  <c r="M217" i="133"/>
  <c r="BC216" i="133"/>
  <c r="AO216" i="133"/>
  <c r="AA216" i="133"/>
  <c r="M216" i="133"/>
  <c r="BC215" i="133"/>
  <c r="AO215" i="133"/>
  <c r="AA215" i="133"/>
  <c r="M215" i="133"/>
  <c r="BC214" i="133"/>
  <c r="AO214" i="133"/>
  <c r="AA214" i="133"/>
  <c r="M214" i="133"/>
  <c r="BC213" i="133"/>
  <c r="AO213" i="133"/>
  <c r="AA213" i="133"/>
  <c r="M213" i="133"/>
  <c r="BC212" i="133"/>
  <c r="AO212" i="133"/>
  <c r="AA212" i="133"/>
  <c r="M212" i="133"/>
  <c r="BC211" i="133"/>
  <c r="AO211" i="133"/>
  <c r="AA211" i="133"/>
  <c r="M211" i="133"/>
  <c r="BC210" i="133"/>
  <c r="AO210" i="133"/>
  <c r="AA210" i="133"/>
  <c r="M210" i="133"/>
  <c r="BC209" i="133"/>
  <c r="AO209" i="133"/>
  <c r="AA209" i="133"/>
  <c r="M209" i="133"/>
  <c r="BC208" i="133"/>
  <c r="AO208" i="133"/>
  <c r="AA208" i="133"/>
  <c r="M208" i="133"/>
  <c r="BC207" i="133"/>
  <c r="AO207" i="133"/>
  <c r="AA207" i="133"/>
  <c r="M207" i="133"/>
  <c r="BC206" i="133"/>
  <c r="AO206" i="133"/>
  <c r="AA206" i="133"/>
  <c r="M206" i="133"/>
  <c r="BC205" i="133"/>
  <c r="AO205" i="133"/>
  <c r="AA205" i="133"/>
  <c r="M205" i="133"/>
  <c r="BC204" i="133"/>
  <c r="AO204" i="133"/>
  <c r="AA204" i="133"/>
  <c r="M204" i="133"/>
  <c r="BC203" i="133"/>
  <c r="AO203" i="133"/>
  <c r="AA203" i="133"/>
  <c r="M203" i="133"/>
  <c r="BC202" i="133"/>
  <c r="AO202" i="133"/>
  <c r="AA202" i="133"/>
  <c r="M202" i="133"/>
  <c r="BC201" i="133"/>
  <c r="AO201" i="133"/>
  <c r="AA201" i="133"/>
  <c r="M201" i="133"/>
  <c r="BC200" i="133"/>
  <c r="AO200" i="133"/>
  <c r="AA200" i="133"/>
  <c r="M200" i="133"/>
  <c r="BC199" i="133"/>
  <c r="AO199" i="133"/>
  <c r="AA199" i="133"/>
  <c r="M199" i="133"/>
  <c r="BC198" i="133"/>
  <c r="AO198" i="133"/>
  <c r="AA198" i="133"/>
  <c r="M198" i="133"/>
  <c r="BC197" i="133"/>
  <c r="AO197" i="133"/>
  <c r="AA197" i="133"/>
  <c r="M197" i="133"/>
  <c r="BC196" i="133"/>
  <c r="AO196" i="133"/>
  <c r="AA196" i="133"/>
  <c r="M196" i="133"/>
  <c r="BC195" i="133"/>
  <c r="AO195" i="133"/>
  <c r="AA195" i="133"/>
  <c r="M195" i="133"/>
  <c r="BC194" i="133"/>
  <c r="AO194" i="133"/>
  <c r="AA194" i="133"/>
  <c r="M194" i="133"/>
  <c r="BC193" i="133"/>
  <c r="AO193" i="133"/>
  <c r="AA193" i="133"/>
  <c r="M193" i="133"/>
  <c r="BC192" i="133"/>
  <c r="AO192" i="133"/>
  <c r="AA192" i="133"/>
  <c r="M192" i="133"/>
  <c r="BC191" i="133"/>
  <c r="AO191" i="133"/>
  <c r="AA191" i="133"/>
  <c r="M191" i="133"/>
  <c r="BC190" i="133"/>
  <c r="AO190" i="133"/>
  <c r="AA190" i="133"/>
  <c r="M190" i="133"/>
  <c r="BC189" i="133"/>
  <c r="AO189" i="133"/>
  <c r="AA189" i="133"/>
  <c r="M189" i="133"/>
  <c r="BC188" i="133"/>
  <c r="AO188" i="133"/>
  <c r="AA188" i="133"/>
  <c r="M188" i="133"/>
  <c r="BC187" i="133"/>
  <c r="AO187" i="133"/>
  <c r="AA187" i="133"/>
  <c r="M187" i="133"/>
  <c r="BC186" i="133"/>
  <c r="AO186" i="133"/>
  <c r="AA186" i="133"/>
  <c r="M186" i="133"/>
  <c r="BC185" i="133"/>
  <c r="AO185" i="133"/>
  <c r="AA185" i="133"/>
  <c r="M185" i="133"/>
  <c r="BC184" i="133"/>
  <c r="AO184" i="133"/>
  <c r="AA184" i="133"/>
  <c r="M184" i="133"/>
  <c r="BC183" i="133"/>
  <c r="AO183" i="133"/>
  <c r="AA183" i="133"/>
  <c r="M183" i="133"/>
  <c r="BC182" i="133"/>
  <c r="AO182" i="133"/>
  <c r="AA182" i="133"/>
  <c r="M182" i="133"/>
  <c r="BC181" i="133"/>
  <c r="AO181" i="133"/>
  <c r="AA181" i="133"/>
  <c r="M181" i="133"/>
  <c r="BC180" i="133"/>
  <c r="AO180" i="133"/>
  <c r="AA180" i="133"/>
  <c r="M180" i="133"/>
  <c r="BC179" i="133"/>
  <c r="AO179" i="133"/>
  <c r="AA179" i="133"/>
  <c r="M179" i="133"/>
  <c r="BC178" i="133"/>
  <c r="AO178" i="133"/>
  <c r="AA178" i="133"/>
  <c r="M178" i="133"/>
  <c r="BC177" i="133"/>
  <c r="AO177" i="133"/>
  <c r="AA177" i="133"/>
  <c r="M177" i="133"/>
  <c r="BC176" i="133"/>
  <c r="AO176" i="133"/>
  <c r="AA176" i="133"/>
  <c r="M176" i="133"/>
  <c r="BC175" i="133"/>
  <c r="AO175" i="133"/>
  <c r="AA175" i="133"/>
  <c r="M175" i="133"/>
  <c r="BC174" i="133"/>
  <c r="AO174" i="133"/>
  <c r="AA174" i="133"/>
  <c r="M174" i="133"/>
  <c r="BC173" i="133"/>
  <c r="AO173" i="133"/>
  <c r="AA173" i="133"/>
  <c r="M173" i="133"/>
  <c r="BC172" i="133"/>
  <c r="AO172" i="133"/>
  <c r="AA172" i="133"/>
  <c r="M172" i="133"/>
  <c r="BC171" i="133"/>
  <c r="AO171" i="133"/>
  <c r="AA171" i="133"/>
  <c r="M171" i="133"/>
  <c r="BC170" i="133"/>
  <c r="AO170" i="133"/>
  <c r="AA170" i="133"/>
  <c r="M170" i="133"/>
  <c r="BC169" i="133"/>
  <c r="AO169" i="133"/>
  <c r="AA169" i="133"/>
  <c r="M169" i="133"/>
  <c r="BC168" i="133"/>
  <c r="AO168" i="133"/>
  <c r="AA168" i="133"/>
  <c r="M168" i="133"/>
  <c r="BC167" i="133"/>
  <c r="AO167" i="133"/>
  <c r="AA167" i="133"/>
  <c r="M167" i="133"/>
  <c r="BC166" i="133"/>
  <c r="AO166" i="133"/>
  <c r="AA166" i="133"/>
  <c r="M166" i="133"/>
  <c r="BC165" i="133"/>
  <c r="AO165" i="133"/>
  <c r="AA165" i="133"/>
  <c r="M165" i="133"/>
  <c r="BC164" i="133"/>
  <c r="AO164" i="133"/>
  <c r="AA164" i="133"/>
  <c r="M164" i="133"/>
  <c r="BC163" i="133"/>
  <c r="AO163" i="133"/>
  <c r="AA163" i="133"/>
  <c r="M163" i="133"/>
  <c r="BC162" i="133"/>
  <c r="AO162" i="133"/>
  <c r="AA162" i="133"/>
  <c r="M162" i="133"/>
  <c r="BC161" i="133"/>
  <c r="AO161" i="133"/>
  <c r="AA161" i="133"/>
  <c r="M161" i="133"/>
  <c r="BC160" i="133"/>
  <c r="AO160" i="133"/>
  <c r="AA160" i="133"/>
  <c r="M160" i="133"/>
  <c r="BC159" i="133"/>
  <c r="AO159" i="133"/>
  <c r="AA159" i="133"/>
  <c r="M159" i="133"/>
  <c r="BC158" i="133"/>
  <c r="AO158" i="133"/>
  <c r="AA158" i="133"/>
  <c r="M158" i="133"/>
  <c r="BC157" i="133"/>
  <c r="AO157" i="133"/>
  <c r="AA157" i="133"/>
  <c r="M157" i="133"/>
  <c r="BC156" i="133"/>
  <c r="AO156" i="133"/>
  <c r="AA156" i="133"/>
  <c r="M156" i="133"/>
  <c r="BC155" i="133"/>
  <c r="AO155" i="133"/>
  <c r="AA155" i="133"/>
  <c r="M155" i="133"/>
  <c r="BC154" i="133"/>
  <c r="AO154" i="133"/>
  <c r="AA154" i="133"/>
  <c r="M154" i="133"/>
  <c r="BC153" i="133"/>
  <c r="AO153" i="133"/>
  <c r="AA153" i="133"/>
  <c r="M153" i="133"/>
  <c r="BC152" i="133"/>
  <c r="AO152" i="133"/>
  <c r="AA152" i="133"/>
  <c r="M152" i="133"/>
  <c r="BC151" i="133"/>
  <c r="AO151" i="133"/>
  <c r="AA151" i="133"/>
  <c r="M151" i="133"/>
  <c r="BC150" i="133"/>
  <c r="AO150" i="133"/>
  <c r="AA150" i="133"/>
  <c r="M150" i="133"/>
  <c r="BC149" i="133"/>
  <c r="AO149" i="133"/>
  <c r="AA149" i="133"/>
  <c r="M149" i="133"/>
  <c r="BC148" i="133"/>
  <c r="AO148" i="133"/>
  <c r="AA148" i="133"/>
  <c r="M148" i="133"/>
  <c r="BC147" i="133"/>
  <c r="AO147" i="133"/>
  <c r="AA147" i="133"/>
  <c r="M147" i="133"/>
  <c r="BC146" i="133"/>
  <c r="AO146" i="133"/>
  <c r="AA146" i="133"/>
  <c r="M146" i="133"/>
  <c r="BC145" i="133"/>
  <c r="AO145" i="133"/>
  <c r="AA145" i="133"/>
  <c r="M145" i="133"/>
  <c r="BC144" i="133"/>
  <c r="AO144" i="133"/>
  <c r="AA144" i="133"/>
  <c r="M144" i="133"/>
  <c r="BC143" i="133"/>
  <c r="AO143" i="133"/>
  <c r="AA143" i="133"/>
  <c r="M143" i="133"/>
  <c r="BC142" i="133"/>
  <c r="AO142" i="133"/>
  <c r="AA142" i="133"/>
  <c r="M142" i="133"/>
  <c r="BC141" i="133"/>
  <c r="AO141" i="133"/>
  <c r="AA141" i="133"/>
  <c r="M141" i="133"/>
  <c r="BC140" i="133"/>
  <c r="AO140" i="133"/>
  <c r="AA140" i="133"/>
  <c r="M140" i="133"/>
  <c r="BC139" i="133"/>
  <c r="AO139" i="133"/>
  <c r="AA139" i="133"/>
  <c r="M139" i="133"/>
  <c r="BC138" i="133"/>
  <c r="AO138" i="133"/>
  <c r="AA138" i="133"/>
  <c r="M138" i="133"/>
  <c r="BC137" i="133"/>
  <c r="AO137" i="133"/>
  <c r="AA137" i="133"/>
  <c r="M137" i="133"/>
  <c r="BC136" i="133"/>
  <c r="AO136" i="133"/>
  <c r="AA136" i="133"/>
  <c r="M136" i="133"/>
  <c r="BC135" i="133"/>
  <c r="AO135" i="133"/>
  <c r="AA135" i="133"/>
  <c r="M135" i="133"/>
  <c r="BC134" i="133"/>
  <c r="AO134" i="133"/>
  <c r="AA134" i="133"/>
  <c r="M134" i="133"/>
  <c r="BC133" i="133"/>
  <c r="AO133" i="133"/>
  <c r="AA133" i="133"/>
  <c r="M133" i="133"/>
  <c r="BC132" i="133"/>
  <c r="AO132" i="133"/>
  <c r="AA132" i="133"/>
  <c r="M132" i="133"/>
  <c r="BC131" i="133"/>
  <c r="AO131" i="133"/>
  <c r="AA131" i="133"/>
  <c r="M131" i="133"/>
  <c r="BC130" i="133"/>
  <c r="AO130" i="133"/>
  <c r="AA130" i="133"/>
  <c r="M130" i="133"/>
  <c r="BC129" i="133"/>
  <c r="AO129" i="133"/>
  <c r="AA129" i="133"/>
  <c r="M129" i="133"/>
  <c r="BC128" i="133"/>
  <c r="AO128" i="133"/>
  <c r="AA128" i="133"/>
  <c r="M128" i="133"/>
  <c r="BC127" i="133"/>
  <c r="AO127" i="133"/>
  <c r="AA127" i="133"/>
  <c r="M127" i="133"/>
  <c r="BC126" i="133"/>
  <c r="AO126" i="133"/>
  <c r="AA126" i="133"/>
  <c r="M126" i="133"/>
  <c r="BC125" i="133"/>
  <c r="AO125" i="133"/>
  <c r="AA125" i="133"/>
  <c r="M125" i="133"/>
  <c r="BC124" i="133"/>
  <c r="AO124" i="133"/>
  <c r="AA124" i="133"/>
  <c r="M124" i="133"/>
  <c r="BC123" i="133"/>
  <c r="AO123" i="133"/>
  <c r="AA123" i="133"/>
  <c r="M123" i="133"/>
  <c r="BC122" i="133"/>
  <c r="AO122" i="133"/>
  <c r="AA122" i="133"/>
  <c r="M122" i="133"/>
  <c r="BC121" i="133"/>
  <c r="AO121" i="133"/>
  <c r="AA121" i="133"/>
  <c r="M121" i="133"/>
  <c r="BC120" i="133"/>
  <c r="AO120" i="133"/>
  <c r="AA120" i="133"/>
  <c r="M120" i="133"/>
  <c r="BC119" i="133"/>
  <c r="AO119" i="133"/>
  <c r="AA119" i="133"/>
  <c r="M119" i="133"/>
  <c r="BC118" i="133"/>
  <c r="AO118" i="133"/>
  <c r="AA118" i="133"/>
  <c r="M118" i="133"/>
  <c r="BC117" i="133"/>
  <c r="AO117" i="133"/>
  <c r="AA117" i="133"/>
  <c r="M117" i="133"/>
  <c r="BC116" i="133"/>
  <c r="AO116" i="133"/>
  <c r="AA116" i="133"/>
  <c r="M116" i="133"/>
  <c r="BC115" i="133"/>
  <c r="AO115" i="133"/>
  <c r="AA115" i="133"/>
  <c r="M115" i="133"/>
  <c r="BC114" i="133"/>
  <c r="AO114" i="133"/>
  <c r="AA114" i="133"/>
  <c r="M114" i="133"/>
  <c r="BC113" i="133"/>
  <c r="AO113" i="133"/>
  <c r="AA113" i="133"/>
  <c r="M113" i="133"/>
  <c r="BC112" i="133"/>
  <c r="AO112" i="133"/>
  <c r="AA112" i="133"/>
  <c r="M112" i="133"/>
  <c r="BC111" i="133"/>
  <c r="AO111" i="133"/>
  <c r="AA111" i="133"/>
  <c r="M111" i="133"/>
  <c r="BC110" i="133"/>
  <c r="AO110" i="133"/>
  <c r="AA110" i="133"/>
  <c r="M110" i="133"/>
  <c r="BC109" i="133"/>
  <c r="AO109" i="133"/>
  <c r="AA109" i="133"/>
  <c r="M109" i="133"/>
  <c r="BC108" i="133"/>
  <c r="AO108" i="133"/>
  <c r="AA108" i="133"/>
  <c r="M108" i="133"/>
  <c r="BC107" i="133"/>
  <c r="AO107" i="133"/>
  <c r="AA107" i="133"/>
  <c r="M107" i="133"/>
  <c r="BC106" i="133"/>
  <c r="AO106" i="133"/>
  <c r="AA106" i="133"/>
  <c r="M106" i="133"/>
  <c r="BC105" i="133"/>
  <c r="AO105" i="133"/>
  <c r="AA105" i="133"/>
  <c r="M105" i="133"/>
  <c r="BC104" i="133"/>
  <c r="AO104" i="133"/>
  <c r="AA104" i="133"/>
  <c r="M104" i="133"/>
  <c r="BC103" i="133"/>
  <c r="AO103" i="133"/>
  <c r="AA103" i="133"/>
  <c r="M103" i="133"/>
  <c r="BC102" i="133"/>
  <c r="AO102" i="133"/>
  <c r="AA102" i="133"/>
  <c r="M102" i="133"/>
  <c r="BC101" i="133"/>
  <c r="AO101" i="133"/>
  <c r="AA101" i="133"/>
  <c r="M101" i="133"/>
  <c r="BC100" i="133"/>
  <c r="AO100" i="133"/>
  <c r="AA100" i="133"/>
  <c r="M100" i="133"/>
  <c r="BC99" i="133"/>
  <c r="AO99" i="133"/>
  <c r="AA99" i="133"/>
  <c r="M99" i="133"/>
  <c r="BC98" i="133"/>
  <c r="AO98" i="133"/>
  <c r="AA98" i="133"/>
  <c r="M98" i="133"/>
  <c r="BC97" i="133"/>
  <c r="AO97" i="133"/>
  <c r="AA97" i="133"/>
  <c r="M97" i="133"/>
  <c r="BC96" i="133"/>
  <c r="AO96" i="133"/>
  <c r="AA96" i="133"/>
  <c r="M96" i="133"/>
  <c r="BC95" i="133"/>
  <c r="AO95" i="133"/>
  <c r="AA95" i="133"/>
  <c r="M95" i="133"/>
  <c r="BC94" i="133"/>
  <c r="AO94" i="133"/>
  <c r="AA94" i="133"/>
  <c r="M94" i="133"/>
  <c r="BC93" i="133"/>
  <c r="AO93" i="133"/>
  <c r="AA93" i="133"/>
  <c r="M93" i="133"/>
  <c r="BC92" i="133"/>
  <c r="AO92" i="133"/>
  <c r="AA92" i="133"/>
  <c r="M92" i="133"/>
  <c r="BC91" i="133"/>
  <c r="AO91" i="133"/>
  <c r="AA91" i="133"/>
  <c r="M91" i="133"/>
  <c r="BC90" i="133"/>
  <c r="AO90" i="133"/>
  <c r="AA90" i="133"/>
  <c r="M90" i="133"/>
  <c r="BC89" i="133"/>
  <c r="AO89" i="133"/>
  <c r="AA89" i="133"/>
  <c r="M89" i="133"/>
  <c r="BC88" i="133"/>
  <c r="AO88" i="133"/>
  <c r="AA88" i="133"/>
  <c r="M88" i="133"/>
  <c r="BC87" i="133"/>
  <c r="AO87" i="133"/>
  <c r="AA87" i="133"/>
  <c r="M87" i="133"/>
  <c r="BC86" i="133"/>
  <c r="AO86" i="133"/>
  <c r="AA86" i="133"/>
  <c r="M86" i="133"/>
  <c r="BC85" i="133"/>
  <c r="AO85" i="133"/>
  <c r="AA85" i="133"/>
  <c r="M85" i="133"/>
  <c r="BC84" i="133"/>
  <c r="AO84" i="133"/>
  <c r="AA84" i="133"/>
  <c r="M84" i="133"/>
  <c r="BC83" i="133"/>
  <c r="AO83" i="133"/>
  <c r="AA83" i="133"/>
  <c r="M83" i="133"/>
  <c r="BC82" i="133"/>
  <c r="AO82" i="133"/>
  <c r="AA82" i="133"/>
  <c r="M82" i="133"/>
  <c r="BC81" i="133"/>
  <c r="AO81" i="133"/>
  <c r="AA81" i="133"/>
  <c r="M81" i="133"/>
  <c r="BC80" i="133"/>
  <c r="AO80" i="133"/>
  <c r="AA80" i="133"/>
  <c r="M80" i="133"/>
  <c r="BC79" i="133"/>
  <c r="AO79" i="133"/>
  <c r="AA79" i="133"/>
  <c r="M79" i="133"/>
  <c r="BC78" i="133"/>
  <c r="AO78" i="133"/>
  <c r="AA78" i="133"/>
  <c r="M78" i="133"/>
  <c r="BC77" i="133"/>
  <c r="AO77" i="133"/>
  <c r="AA77" i="133"/>
  <c r="M77" i="133"/>
  <c r="BC76" i="133"/>
  <c r="AO76" i="133"/>
  <c r="AA76" i="133"/>
  <c r="M76" i="133"/>
  <c r="BC75" i="133"/>
  <c r="AO75" i="133"/>
  <c r="AA75" i="133"/>
  <c r="M75" i="133"/>
  <c r="BC74" i="133"/>
  <c r="AO74" i="133"/>
  <c r="AA74" i="133"/>
  <c r="M74" i="133"/>
  <c r="BC73" i="133"/>
  <c r="AO73" i="133"/>
  <c r="AA73" i="133"/>
  <c r="M73" i="133"/>
  <c r="BC72" i="133"/>
  <c r="AO72" i="133"/>
  <c r="AA72" i="133"/>
  <c r="M72" i="133"/>
  <c r="BC71" i="133"/>
  <c r="AO71" i="133"/>
  <c r="AA71" i="133"/>
  <c r="M71" i="133"/>
  <c r="BC70" i="133"/>
  <c r="AO70" i="133"/>
  <c r="AA70" i="133"/>
  <c r="M70" i="133"/>
  <c r="BC69" i="133"/>
  <c r="AO69" i="133"/>
  <c r="AA69" i="133"/>
  <c r="M69" i="133"/>
  <c r="BC68" i="133"/>
  <c r="AO68" i="133"/>
  <c r="AA68" i="133"/>
  <c r="M68" i="133"/>
  <c r="BC67" i="133"/>
  <c r="AO67" i="133"/>
  <c r="AA67" i="133"/>
  <c r="M67" i="133"/>
  <c r="BC66" i="133"/>
  <c r="AO66" i="133"/>
  <c r="AA66" i="133"/>
  <c r="M66" i="133"/>
  <c r="BC65" i="133"/>
  <c r="AO65" i="133"/>
  <c r="AA65" i="133"/>
  <c r="M65" i="133"/>
  <c r="BC64" i="133"/>
  <c r="AO64" i="133"/>
  <c r="AA64" i="133"/>
  <c r="M64" i="133"/>
  <c r="BC63" i="133"/>
  <c r="AO63" i="133"/>
  <c r="AA63" i="133"/>
  <c r="M63" i="133"/>
  <c r="BC62" i="133"/>
  <c r="AO62" i="133"/>
  <c r="AA62" i="133"/>
  <c r="M62" i="133"/>
  <c r="BC61" i="133"/>
  <c r="AO61" i="133"/>
  <c r="AA61" i="133"/>
  <c r="M61" i="133"/>
  <c r="BC60" i="133"/>
  <c r="AO60" i="133"/>
  <c r="AA60" i="133"/>
  <c r="M60" i="133"/>
  <c r="BC59" i="133"/>
  <c r="AO59" i="133"/>
  <c r="AA59" i="133"/>
  <c r="M59" i="133"/>
  <c r="BC58" i="133"/>
  <c r="AO58" i="133"/>
  <c r="AA58" i="133"/>
  <c r="M58" i="133"/>
  <c r="BC57" i="133"/>
  <c r="AO57" i="133"/>
  <c r="AA57" i="133"/>
  <c r="M57" i="133"/>
  <c r="BC56" i="133"/>
  <c r="AO56" i="133"/>
  <c r="AA56" i="133"/>
  <c r="M56" i="133"/>
  <c r="BC55" i="133"/>
  <c r="AO55" i="133"/>
  <c r="AA55" i="133"/>
  <c r="M55" i="133"/>
  <c r="BC54" i="133"/>
  <c r="AO54" i="133"/>
  <c r="AA54" i="133"/>
  <c r="M54" i="133"/>
  <c r="BC53" i="133"/>
  <c r="AO53" i="133"/>
  <c r="AA53" i="133"/>
  <c r="M53" i="133"/>
  <c r="BC52" i="133"/>
  <c r="AO52" i="133"/>
  <c r="AA52" i="133"/>
  <c r="M52" i="133"/>
  <c r="BC51" i="133"/>
  <c r="AO51" i="133"/>
  <c r="AA51" i="133"/>
  <c r="M51" i="133"/>
  <c r="BC50" i="133"/>
  <c r="AO50" i="133"/>
  <c r="AA50" i="133"/>
  <c r="M50" i="133"/>
  <c r="BC49" i="133"/>
  <c r="AO49" i="133"/>
  <c r="AA49" i="133"/>
  <c r="M49" i="133"/>
  <c r="BC48" i="133"/>
  <c r="AO48" i="133"/>
  <c r="AA48" i="133"/>
  <c r="M48" i="133"/>
  <c r="BC47" i="133"/>
  <c r="AO47" i="133"/>
  <c r="AA47" i="133"/>
  <c r="M47" i="133"/>
  <c r="BC46" i="133"/>
  <c r="AO46" i="133"/>
  <c r="AA46" i="133"/>
  <c r="M46" i="133"/>
  <c r="BC45" i="133"/>
  <c r="AO45" i="133"/>
  <c r="AA45" i="133"/>
  <c r="M45" i="133"/>
  <c r="BC44" i="133"/>
  <c r="AO44" i="133"/>
  <c r="AA44" i="133"/>
  <c r="M44" i="133"/>
  <c r="BC43" i="133"/>
  <c r="AO43" i="133"/>
  <c r="AA43" i="133"/>
  <c r="M43" i="133"/>
  <c r="BC42" i="133"/>
  <c r="AO42" i="133"/>
  <c r="AA42" i="133"/>
  <c r="M42" i="133"/>
  <c r="BC41" i="133"/>
  <c r="AO41" i="133"/>
  <c r="AA41" i="133"/>
  <c r="M41" i="133"/>
  <c r="BC40" i="133"/>
  <c r="AO40" i="133"/>
  <c r="AA40" i="133"/>
  <c r="M40" i="133"/>
  <c r="BC39" i="133"/>
  <c r="AO39" i="133"/>
  <c r="AA39" i="133"/>
  <c r="M39" i="133"/>
  <c r="BC38" i="133"/>
  <c r="AO38" i="133"/>
  <c r="AA38" i="133"/>
  <c r="M38" i="133"/>
  <c r="BC37" i="133"/>
  <c r="AO37" i="133"/>
  <c r="AA37" i="133"/>
  <c r="M37" i="133"/>
  <c r="BC36" i="133"/>
  <c r="AO36" i="133"/>
  <c r="AA36" i="133"/>
  <c r="M36" i="133"/>
  <c r="BC35" i="133"/>
  <c r="AO35" i="133"/>
  <c r="AA35" i="133"/>
  <c r="M35" i="133"/>
  <c r="BC34" i="133"/>
  <c r="AO34" i="133"/>
  <c r="AA34" i="133"/>
  <c r="M34" i="133"/>
  <c r="BC33" i="133"/>
  <c r="AO33" i="133"/>
  <c r="AA33" i="133"/>
  <c r="M33" i="133"/>
  <c r="BC32" i="133"/>
  <c r="AO32" i="133"/>
  <c r="AA32" i="133"/>
  <c r="M32" i="133"/>
  <c r="BC31" i="133"/>
  <c r="AO31" i="133"/>
  <c r="AA31" i="133"/>
  <c r="M31" i="133"/>
  <c r="BC30" i="133"/>
  <c r="AO30" i="133"/>
  <c r="AA30" i="133"/>
  <c r="M30" i="133"/>
  <c r="BC29" i="133"/>
  <c r="AO29" i="133"/>
  <c r="AA29" i="133"/>
  <c r="M29" i="133"/>
  <c r="BC28" i="133"/>
  <c r="AO28" i="133"/>
  <c r="AA28" i="133"/>
  <c r="M28" i="133"/>
  <c r="BC27" i="133"/>
  <c r="AO27" i="133"/>
  <c r="AA27" i="133"/>
  <c r="M27" i="133"/>
  <c r="BC26" i="133"/>
  <c r="AO26" i="133"/>
  <c r="AA26" i="133"/>
  <c r="M26" i="133"/>
  <c r="BC25" i="133"/>
  <c r="AO25" i="133"/>
  <c r="AA25" i="133"/>
  <c r="M25" i="133"/>
  <c r="BC24" i="133"/>
  <c r="AO24" i="133"/>
  <c r="AA24" i="133"/>
  <c r="M24" i="133"/>
  <c r="BC23" i="133"/>
  <c r="AO23" i="133"/>
  <c r="AA23" i="133"/>
  <c r="M23" i="133"/>
  <c r="BC22" i="133"/>
  <c r="AO22" i="133"/>
  <c r="AA22" i="133"/>
  <c r="M22" i="133"/>
  <c r="BC21" i="133"/>
  <c r="AO21" i="133"/>
  <c r="AA21" i="133"/>
  <c r="M21" i="133"/>
  <c r="BC20" i="133"/>
  <c r="AO20" i="133"/>
  <c r="AA20" i="133"/>
  <c r="M20" i="133"/>
  <c r="BC19" i="133"/>
  <c r="AO19" i="133"/>
  <c r="AA19" i="133"/>
  <c r="M19" i="133"/>
  <c r="BC18" i="133"/>
  <c r="AO18" i="133"/>
  <c r="AA18" i="133"/>
  <c r="M18" i="133"/>
  <c r="BC17" i="133"/>
  <c r="AO17" i="133"/>
  <c r="AA17" i="133"/>
  <c r="M17" i="133"/>
  <c r="BC16" i="133"/>
  <c r="AO16" i="133"/>
  <c r="AA16" i="133"/>
  <c r="M16" i="133"/>
  <c r="BC15" i="133"/>
  <c r="AO15" i="133"/>
  <c r="AA15" i="133"/>
  <c r="M15" i="133"/>
  <c r="BC14" i="133"/>
  <c r="AO14" i="133"/>
  <c r="AA14" i="133"/>
  <c r="M14" i="133"/>
  <c r="BC13" i="133"/>
  <c r="AO13" i="133"/>
  <c r="AA13" i="133"/>
  <c r="M13" i="133"/>
  <c r="BC12" i="133"/>
  <c r="AO12" i="133"/>
  <c r="AA12" i="133"/>
  <c r="M12" i="133"/>
  <c r="BC11" i="133"/>
  <c r="AO11" i="133"/>
  <c r="AA11" i="133"/>
  <c r="M11" i="133"/>
  <c r="BC10" i="133"/>
  <c r="AO10" i="133"/>
  <c r="AA10" i="133"/>
  <c r="M10" i="133"/>
  <c r="BC9" i="133"/>
  <c r="AO9" i="133"/>
  <c r="AA9" i="133"/>
  <c r="M9" i="133"/>
  <c r="BC8" i="133"/>
  <c r="AO8" i="133"/>
  <c r="AA8" i="133"/>
  <c r="M8" i="133"/>
  <c r="BC7" i="133"/>
  <c r="AO7" i="133"/>
  <c r="AA7" i="133"/>
  <c r="M7" i="133"/>
  <c r="BC6" i="133"/>
  <c r="AO6" i="133"/>
  <c r="AA6" i="133"/>
  <c r="M6" i="133"/>
  <c r="BC5" i="133"/>
  <c r="BC4" i="133" s="1"/>
  <c r="AO5" i="133"/>
  <c r="AA5" i="133"/>
  <c r="M5" i="133"/>
  <c r="M4" i="133" s="1"/>
  <c r="AA4" i="133"/>
  <c r="AS1" i="133"/>
  <c r="AT1" i="133" s="1"/>
  <c r="AU1" i="133" s="1"/>
  <c r="AV1" i="133" s="1"/>
  <c r="AW1" i="133" s="1"/>
  <c r="AX1" i="133" s="1"/>
  <c r="AY1" i="133" s="1"/>
  <c r="AZ1" i="133" s="1"/>
  <c r="BA1" i="133" s="1"/>
  <c r="BB1" i="133" s="1"/>
  <c r="BC1" i="133" s="1"/>
  <c r="BD1" i="133" s="1"/>
  <c r="AF1" i="133"/>
  <c r="AG1" i="133" s="1"/>
  <c r="AH1" i="133" s="1"/>
  <c r="AI1" i="133" s="1"/>
  <c r="AJ1" i="133" s="1"/>
  <c r="AK1" i="133" s="1"/>
  <c r="AL1" i="133" s="1"/>
  <c r="AM1" i="133" s="1"/>
  <c r="AN1" i="133" s="1"/>
  <c r="AO1" i="133" s="1"/>
  <c r="AP1" i="133" s="1"/>
  <c r="AE1" i="133"/>
  <c r="Q1" i="133"/>
  <c r="R1" i="133" s="1"/>
  <c r="S1" i="133" s="1"/>
  <c r="T1" i="133" s="1"/>
  <c r="U1" i="133" s="1"/>
  <c r="V1" i="133" s="1"/>
  <c r="W1" i="133" s="1"/>
  <c r="X1" i="133" s="1"/>
  <c r="Y1" i="133" s="1"/>
  <c r="Z1" i="133" s="1"/>
  <c r="AA1" i="133" s="1"/>
  <c r="AB1" i="133" s="1"/>
  <c r="D1" i="133"/>
  <c r="E1" i="133" s="1"/>
  <c r="F1" i="133" s="1"/>
  <c r="G1" i="133" s="1"/>
  <c r="H1" i="133" s="1"/>
  <c r="I1" i="133" s="1"/>
  <c r="J1" i="133" s="1"/>
  <c r="K1" i="133" s="1"/>
  <c r="L1" i="133" s="1"/>
  <c r="M1" i="133" s="1"/>
  <c r="N1" i="133" s="1"/>
  <c r="C1" i="133"/>
  <c r="AO4" i="133" l="1"/>
  <c r="BC4" i="134"/>
  <c r="AO4" i="134"/>
  <c r="BU318" i="78"/>
  <c r="BV318" i="78" s="1"/>
  <c r="BS318" i="78"/>
  <c r="BT318" i="78" s="1"/>
  <c r="BQ318" i="78"/>
  <c r="BR318" i="78" s="1"/>
  <c r="BO318" i="78"/>
  <c r="BP318" i="78" s="1"/>
  <c r="BJ318" i="78"/>
  <c r="BK318" i="78" s="1"/>
  <c r="BH318" i="78"/>
  <c r="BI318" i="78" s="1"/>
  <c r="BF318" i="78"/>
  <c r="BG318" i="78" s="1"/>
  <c r="BD318" i="78"/>
  <c r="BE318" i="78" s="1"/>
  <c r="AY318" i="78"/>
  <c r="AZ318" i="78" s="1"/>
  <c r="AW318" i="78"/>
  <c r="AX318" i="78" s="1"/>
  <c r="AU318" i="78"/>
  <c r="AV318" i="78" s="1"/>
  <c r="AS318" i="78"/>
  <c r="AT318" i="78" s="1"/>
  <c r="AN318" i="78"/>
  <c r="AO318" i="78" s="1"/>
  <c r="AL318" i="78"/>
  <c r="AM318" i="78" s="1"/>
  <c r="AJ318" i="78"/>
  <c r="AK318" i="78" s="1"/>
  <c r="AH318" i="78"/>
  <c r="AI318" i="78" s="1"/>
  <c r="AC318" i="78"/>
  <c r="AD318" i="78" s="1"/>
  <c r="AA318" i="78"/>
  <c r="AB318" i="78" s="1"/>
  <c r="Y318" i="78"/>
  <c r="Z318" i="78" s="1"/>
  <c r="W318" i="78"/>
  <c r="X318" i="78" s="1"/>
  <c r="R318" i="78"/>
  <c r="S318" i="78" s="1"/>
  <c r="P318" i="78"/>
  <c r="Q318" i="78" s="1"/>
  <c r="N318" i="78"/>
  <c r="O318" i="78" s="1"/>
  <c r="L318" i="78"/>
  <c r="M318" i="78" s="1"/>
  <c r="G318" i="78"/>
  <c r="BO319" i="78"/>
  <c r="BP319" i="78" s="1"/>
  <c r="BQ319" i="78"/>
  <c r="BR319" i="78" s="1"/>
  <c r="BS319" i="78"/>
  <c r="BT319" i="78" s="1"/>
  <c r="BU319" i="78"/>
  <c r="BV319" i="78" s="1"/>
  <c r="BO320" i="78"/>
  <c r="BP320" i="78" s="1"/>
  <c r="BQ320" i="78"/>
  <c r="BR320" i="78" s="1"/>
  <c r="BS320" i="78"/>
  <c r="BT320" i="78" s="1"/>
  <c r="BU320" i="78"/>
  <c r="BV320" i="78"/>
  <c r="BO321" i="78"/>
  <c r="BP321" i="78" s="1"/>
  <c r="BQ321" i="78"/>
  <c r="BR321" i="78" s="1"/>
  <c r="BS321" i="78"/>
  <c r="BT321" i="78" s="1"/>
  <c r="BU321" i="78"/>
  <c r="BV321" i="78" s="1"/>
  <c r="BO322" i="78"/>
  <c r="BP322" i="78" s="1"/>
  <c r="BQ322" i="78"/>
  <c r="BR322" i="78" s="1"/>
  <c r="BS322" i="78"/>
  <c r="BT322" i="78" s="1"/>
  <c r="BU322" i="78"/>
  <c r="BV322" i="78" s="1"/>
  <c r="BD319" i="78"/>
  <c r="BE319" i="78" s="1"/>
  <c r="BF319" i="78"/>
  <c r="BG319" i="78" s="1"/>
  <c r="BH319" i="78"/>
  <c r="BI319" i="78" s="1"/>
  <c r="BJ319" i="78"/>
  <c r="BK319" i="78" s="1"/>
  <c r="BD320" i="78"/>
  <c r="BE320" i="78" s="1"/>
  <c r="BF320" i="78"/>
  <c r="BG320" i="78" s="1"/>
  <c r="BH320" i="78"/>
  <c r="BI320" i="78" s="1"/>
  <c r="BJ320" i="78"/>
  <c r="BK320" i="78" s="1"/>
  <c r="BD321" i="78"/>
  <c r="BE321" i="78" s="1"/>
  <c r="BF321" i="78"/>
  <c r="BG321" i="78" s="1"/>
  <c r="BH321" i="78"/>
  <c r="BI321" i="78" s="1"/>
  <c r="BJ321" i="78"/>
  <c r="BK321" i="78" s="1"/>
  <c r="BD322" i="78"/>
  <c r="BE322" i="78" s="1"/>
  <c r="BF322" i="78"/>
  <c r="BG322" i="78" s="1"/>
  <c r="BH322" i="78"/>
  <c r="BI322" i="78" s="1"/>
  <c r="BJ322" i="78"/>
  <c r="BK322" i="78" s="1"/>
  <c r="AS319" i="78"/>
  <c r="AT319" i="78" s="1"/>
  <c r="AU319" i="78"/>
  <c r="AV319" i="78" s="1"/>
  <c r="AW319" i="78"/>
  <c r="AX319" i="78" s="1"/>
  <c r="AY319" i="78"/>
  <c r="AZ319" i="78" s="1"/>
  <c r="AS320" i="78"/>
  <c r="AT320" i="78" s="1"/>
  <c r="AU320" i="78"/>
  <c r="AV320" i="78" s="1"/>
  <c r="AW320" i="78"/>
  <c r="AX320" i="78" s="1"/>
  <c r="AY320" i="78"/>
  <c r="AZ320" i="78" s="1"/>
  <c r="AS321" i="78"/>
  <c r="AT321" i="78" s="1"/>
  <c r="AU321" i="78"/>
  <c r="AV321" i="78" s="1"/>
  <c r="AW321" i="78"/>
  <c r="AX321" i="78" s="1"/>
  <c r="AY321" i="78"/>
  <c r="AZ321" i="78" s="1"/>
  <c r="AS322" i="78"/>
  <c r="AT322" i="78" s="1"/>
  <c r="AU322" i="78"/>
  <c r="AV322" i="78" s="1"/>
  <c r="AW322" i="78"/>
  <c r="AX322" i="78" s="1"/>
  <c r="AY322" i="78"/>
  <c r="AZ322" i="78" s="1"/>
  <c r="AH319" i="78"/>
  <c r="AI319" i="78" s="1"/>
  <c r="AJ319" i="78"/>
  <c r="AK319" i="78" s="1"/>
  <c r="AL319" i="78"/>
  <c r="AM319" i="78" s="1"/>
  <c r="AN319" i="78"/>
  <c r="AO319" i="78" s="1"/>
  <c r="AH320" i="78"/>
  <c r="AI320" i="78" s="1"/>
  <c r="AJ320" i="78"/>
  <c r="AK320" i="78" s="1"/>
  <c r="AL320" i="78"/>
  <c r="AM320" i="78" s="1"/>
  <c r="AN320" i="78"/>
  <c r="AO320" i="78" s="1"/>
  <c r="AH321" i="78"/>
  <c r="AI321" i="78" s="1"/>
  <c r="AJ321" i="78"/>
  <c r="AK321" i="78" s="1"/>
  <c r="AL321" i="78"/>
  <c r="AM321" i="78" s="1"/>
  <c r="AN321" i="78"/>
  <c r="AO321" i="78" s="1"/>
  <c r="AH322" i="78"/>
  <c r="AI322" i="78" s="1"/>
  <c r="AJ322" i="78"/>
  <c r="AK322" i="78" s="1"/>
  <c r="AL322" i="78"/>
  <c r="AM322" i="78" s="1"/>
  <c r="AN322" i="78"/>
  <c r="AO322" i="78" s="1"/>
  <c r="W319" i="78"/>
  <c r="X319" i="78" s="1"/>
  <c r="Y319" i="78"/>
  <c r="Z319" i="78" s="1"/>
  <c r="AA319" i="78"/>
  <c r="AB319" i="78" s="1"/>
  <c r="AC319" i="78"/>
  <c r="AD319" i="78" s="1"/>
  <c r="W320" i="78"/>
  <c r="X320" i="78" s="1"/>
  <c r="Y320" i="78"/>
  <c r="Z320" i="78" s="1"/>
  <c r="AA320" i="78"/>
  <c r="AB320" i="78" s="1"/>
  <c r="AC320" i="78"/>
  <c r="AD320" i="78" s="1"/>
  <c r="W321" i="78"/>
  <c r="X321" i="78" s="1"/>
  <c r="Y321" i="78"/>
  <c r="Z321" i="78" s="1"/>
  <c r="AA321" i="78"/>
  <c r="AB321" i="78" s="1"/>
  <c r="AC321" i="78"/>
  <c r="AD321" i="78" s="1"/>
  <c r="W322" i="78"/>
  <c r="X322" i="78" s="1"/>
  <c r="Y322" i="78"/>
  <c r="Z322" i="78" s="1"/>
  <c r="AA322" i="78"/>
  <c r="AB322" i="78" s="1"/>
  <c r="AC322" i="78"/>
  <c r="AD322" i="78" s="1"/>
  <c r="L319" i="78"/>
  <c r="M319" i="78" s="1"/>
  <c r="N319" i="78"/>
  <c r="O319" i="78" s="1"/>
  <c r="P319" i="78"/>
  <c r="Q319" i="78" s="1"/>
  <c r="R319" i="78"/>
  <c r="S319" i="78" s="1"/>
  <c r="L320" i="78"/>
  <c r="M320" i="78" s="1"/>
  <c r="N320" i="78"/>
  <c r="O320" i="78" s="1"/>
  <c r="P320" i="78"/>
  <c r="Q320" i="78" s="1"/>
  <c r="R320" i="78"/>
  <c r="S320" i="78" s="1"/>
  <c r="L321" i="78"/>
  <c r="M321" i="78" s="1"/>
  <c r="N321" i="78"/>
  <c r="O321" i="78" s="1"/>
  <c r="P321" i="78"/>
  <c r="Q321" i="78" s="1"/>
  <c r="R321" i="78"/>
  <c r="S321" i="78" s="1"/>
  <c r="L322" i="78"/>
  <c r="M322" i="78" s="1"/>
  <c r="N322" i="78"/>
  <c r="O322" i="78" s="1"/>
  <c r="P322" i="78"/>
  <c r="Q322" i="78" s="1"/>
  <c r="R322" i="78"/>
  <c r="S322" i="78" s="1"/>
  <c r="G319" i="78"/>
  <c r="G320" i="78"/>
  <c r="G321" i="78"/>
  <c r="G322" i="78"/>
  <c r="G9" i="118" l="1"/>
  <c r="G10" i="118"/>
  <c r="G11" i="118"/>
  <c r="G12" i="118"/>
  <c r="G13" i="118"/>
  <c r="G14" i="118"/>
  <c r="G15" i="118"/>
  <c r="G16" i="118"/>
  <c r="G17" i="118"/>
  <c r="G18" i="118"/>
  <c r="G19" i="118"/>
  <c r="G20" i="118"/>
  <c r="G21" i="118"/>
  <c r="G22" i="118"/>
  <c r="G23" i="118"/>
  <c r="G24" i="118"/>
  <c r="G25" i="118"/>
  <c r="G26" i="118"/>
  <c r="G27" i="118"/>
  <c r="G28" i="118"/>
  <c r="G29" i="118"/>
  <c r="G30" i="118"/>
  <c r="G31" i="118"/>
  <c r="G32" i="118"/>
  <c r="G33" i="118"/>
  <c r="G34" i="118"/>
  <c r="G35" i="118"/>
  <c r="G36" i="118"/>
  <c r="G37" i="118"/>
  <c r="G38" i="118"/>
  <c r="G39" i="118"/>
  <c r="G40" i="118"/>
  <c r="G41" i="118"/>
  <c r="G42" i="118"/>
  <c r="G43" i="118"/>
  <c r="G44" i="118"/>
  <c r="G45" i="118"/>
  <c r="G46" i="118"/>
  <c r="G47" i="118"/>
  <c r="G48" i="118"/>
  <c r="G49" i="118"/>
  <c r="G50" i="118"/>
  <c r="G51" i="118"/>
  <c r="G52" i="118"/>
  <c r="G53" i="118"/>
  <c r="G54" i="118"/>
  <c r="G55" i="118"/>
  <c r="G56" i="118"/>
  <c r="G57" i="118"/>
  <c r="G58" i="118"/>
  <c r="G59" i="118"/>
  <c r="G60" i="118"/>
  <c r="G61" i="118"/>
  <c r="G62" i="118"/>
  <c r="G63" i="118"/>
  <c r="G64" i="118"/>
  <c r="G65" i="118"/>
  <c r="G66" i="118"/>
  <c r="G67" i="118"/>
  <c r="G68" i="118"/>
  <c r="G69" i="118"/>
  <c r="G70" i="118"/>
  <c r="G71" i="118"/>
  <c r="G72" i="118"/>
  <c r="G73" i="118"/>
  <c r="G74" i="118"/>
  <c r="G75" i="118"/>
  <c r="G76" i="118"/>
  <c r="G77" i="118"/>
  <c r="G78" i="118"/>
  <c r="G79" i="118"/>
  <c r="G80" i="118"/>
  <c r="G81" i="118"/>
  <c r="G82" i="118"/>
  <c r="G83" i="118"/>
  <c r="G84" i="118"/>
  <c r="G85" i="118"/>
  <c r="G86" i="118"/>
  <c r="G87" i="118"/>
  <c r="G88" i="118"/>
  <c r="G89" i="118"/>
  <c r="G90" i="118"/>
  <c r="G91" i="118"/>
  <c r="G92" i="118"/>
  <c r="G93" i="118"/>
  <c r="G94" i="118"/>
  <c r="G95" i="118"/>
  <c r="G96" i="118"/>
  <c r="G97" i="118"/>
  <c r="G98" i="118"/>
  <c r="G99" i="118"/>
  <c r="G100" i="118"/>
  <c r="G101" i="118"/>
  <c r="G102" i="118"/>
  <c r="G103" i="118"/>
  <c r="G104" i="118"/>
  <c r="G105" i="118"/>
  <c r="G106" i="118"/>
  <c r="G107" i="118"/>
  <c r="G108" i="118"/>
  <c r="G109" i="118"/>
  <c r="G110" i="118"/>
  <c r="G111" i="118"/>
  <c r="G112" i="118"/>
  <c r="G113" i="118"/>
  <c r="G114" i="118"/>
  <c r="G115" i="118"/>
  <c r="G116" i="118"/>
  <c r="G117" i="118"/>
  <c r="G118" i="118"/>
  <c r="G119" i="118"/>
  <c r="G120" i="118"/>
  <c r="G121" i="118"/>
  <c r="G122" i="118"/>
  <c r="G123" i="118"/>
  <c r="G124" i="118"/>
  <c r="G125" i="118"/>
  <c r="G126" i="118"/>
  <c r="G127" i="118"/>
  <c r="G128" i="118"/>
  <c r="G129" i="118"/>
  <c r="G130" i="118"/>
  <c r="G131" i="118"/>
  <c r="G132" i="118"/>
  <c r="G133" i="118"/>
  <c r="G134" i="118"/>
  <c r="G135" i="118"/>
  <c r="G136" i="118"/>
  <c r="G137" i="118"/>
  <c r="G138" i="118"/>
  <c r="G139" i="118"/>
  <c r="G140" i="118"/>
  <c r="G141" i="118"/>
  <c r="G142" i="118"/>
  <c r="G143" i="118"/>
  <c r="G144" i="118"/>
  <c r="G145" i="118"/>
  <c r="G146" i="118"/>
  <c r="G147" i="118"/>
  <c r="G148" i="118"/>
  <c r="G149" i="118"/>
  <c r="G150" i="118"/>
  <c r="G151" i="118"/>
  <c r="G152" i="118"/>
  <c r="G153" i="118"/>
  <c r="G154" i="118"/>
  <c r="G155" i="118"/>
  <c r="G156" i="118"/>
  <c r="G157" i="118"/>
  <c r="G158" i="118"/>
  <c r="G159" i="118"/>
  <c r="G160" i="118"/>
  <c r="G161" i="118"/>
  <c r="G162" i="118"/>
  <c r="G163" i="118"/>
  <c r="G164" i="118"/>
  <c r="G165" i="118"/>
  <c r="G166" i="118"/>
  <c r="G167" i="118"/>
  <c r="G168" i="118"/>
  <c r="G169" i="118"/>
  <c r="G170" i="118"/>
  <c r="G171" i="118"/>
  <c r="G172" i="118"/>
  <c r="G173" i="118"/>
  <c r="G174" i="118"/>
  <c r="G175" i="118"/>
  <c r="G176" i="118"/>
  <c r="G177" i="118"/>
  <c r="G178" i="118"/>
  <c r="G179" i="118"/>
  <c r="G180" i="118"/>
  <c r="G181" i="118"/>
  <c r="G182" i="118"/>
  <c r="G183" i="118"/>
  <c r="G184" i="118"/>
  <c r="G185" i="118"/>
  <c r="G186" i="118"/>
  <c r="G187" i="118"/>
  <c r="G188" i="118"/>
  <c r="G189" i="118"/>
  <c r="G190" i="118"/>
  <c r="G191" i="118"/>
  <c r="G192" i="118"/>
  <c r="G193" i="118"/>
  <c r="G194" i="118"/>
  <c r="G195" i="118"/>
  <c r="G196" i="118"/>
  <c r="G197" i="118"/>
  <c r="G198" i="118"/>
  <c r="G199" i="118"/>
  <c r="G200" i="118"/>
  <c r="G201" i="118"/>
  <c r="G202" i="118"/>
  <c r="G203" i="118"/>
  <c r="G204" i="118"/>
  <c r="G205" i="118"/>
  <c r="G206" i="118"/>
  <c r="G207" i="118"/>
  <c r="G208" i="118"/>
  <c r="G209" i="118"/>
  <c r="G210" i="118"/>
  <c r="G211" i="118"/>
  <c r="G212" i="118"/>
  <c r="G213" i="118"/>
  <c r="G214" i="118"/>
  <c r="G215" i="118"/>
  <c r="G216" i="118"/>
  <c r="G217" i="118"/>
  <c r="G218" i="118"/>
  <c r="G219" i="118"/>
  <c r="G220" i="118"/>
  <c r="G221" i="118"/>
  <c r="G222" i="118"/>
  <c r="G223" i="118"/>
  <c r="G224" i="118"/>
  <c r="G225" i="118"/>
  <c r="G226" i="118"/>
  <c r="G227" i="118"/>
  <c r="G228" i="118"/>
  <c r="G229" i="118"/>
  <c r="G230" i="118"/>
  <c r="G231" i="118"/>
  <c r="G232" i="118"/>
  <c r="G233" i="118"/>
  <c r="G234" i="118"/>
  <c r="G235" i="118"/>
  <c r="G236" i="118"/>
  <c r="G237" i="118"/>
  <c r="G238" i="118"/>
  <c r="G239" i="118"/>
  <c r="G240" i="118"/>
  <c r="G241" i="118"/>
  <c r="G242" i="118"/>
  <c r="G243" i="118"/>
  <c r="G244" i="118"/>
  <c r="G245" i="118"/>
  <c r="G246" i="118"/>
  <c r="G247" i="118"/>
  <c r="G248" i="118"/>
  <c r="G249" i="118"/>
  <c r="G250" i="118"/>
  <c r="G251" i="118"/>
  <c r="G252" i="118"/>
  <c r="G253" i="118"/>
  <c r="G254" i="118"/>
  <c r="G255" i="118"/>
  <c r="G256" i="118"/>
  <c r="G257" i="118"/>
  <c r="G258" i="118"/>
  <c r="G259" i="118"/>
  <c r="G260" i="118"/>
  <c r="G261" i="118"/>
  <c r="G262" i="118"/>
  <c r="G263" i="118"/>
  <c r="G264" i="118"/>
  <c r="G265" i="118"/>
  <c r="G266" i="118"/>
  <c r="G267" i="118"/>
  <c r="G268" i="118"/>
  <c r="G269" i="118"/>
  <c r="G270" i="118"/>
  <c r="G271" i="118"/>
  <c r="G272" i="118"/>
  <c r="G273" i="118"/>
  <c r="G274" i="118"/>
  <c r="G275" i="118"/>
  <c r="G276" i="118"/>
  <c r="G277" i="118"/>
  <c r="G278" i="118"/>
  <c r="G279" i="118"/>
  <c r="G280" i="118"/>
  <c r="G281" i="118"/>
  <c r="G282" i="118"/>
  <c r="G283" i="118"/>
  <c r="G284" i="118"/>
  <c r="G285" i="118"/>
  <c r="G286" i="118"/>
  <c r="G287" i="118"/>
  <c r="G288" i="118"/>
  <c r="G289" i="118"/>
  <c r="G290" i="118"/>
  <c r="G291" i="118"/>
  <c r="G292" i="118"/>
  <c r="G293" i="118"/>
  <c r="G294" i="118"/>
  <c r="G295" i="118"/>
  <c r="G296" i="118"/>
  <c r="G297" i="118"/>
  <c r="G298" i="118"/>
  <c r="G299" i="118"/>
  <c r="G300" i="118"/>
  <c r="G301" i="118"/>
  <c r="G302" i="118"/>
  <c r="G303" i="118"/>
  <c r="G304" i="118"/>
  <c r="G305" i="118"/>
  <c r="G306" i="118"/>
  <c r="G307" i="118"/>
  <c r="G308" i="118"/>
  <c r="G309" i="118"/>
  <c r="G310" i="118"/>
  <c r="G311" i="118"/>
  <c r="G312" i="118"/>
  <c r="G313" i="118"/>
  <c r="G314" i="118"/>
  <c r="G315" i="118"/>
  <c r="G316" i="118"/>
  <c r="G317" i="118"/>
  <c r="G318" i="118"/>
  <c r="G319" i="118"/>
  <c r="G320" i="118"/>
  <c r="G321" i="118"/>
  <c r="G322" i="118"/>
  <c r="G323" i="118"/>
  <c r="G324" i="118"/>
  <c r="G325" i="118"/>
  <c r="F6" i="118" l="1"/>
  <c r="G6" i="118" s="1"/>
  <c r="R7" i="55" l="1"/>
  <c r="AO309" i="49" l="1"/>
  <c r="AN309" i="49"/>
  <c r="AK309" i="49"/>
  <c r="AJ309" i="49"/>
  <c r="AO308" i="49"/>
  <c r="AN308" i="49"/>
  <c r="AK308" i="49"/>
  <c r="AJ308" i="49"/>
  <c r="AO307" i="49"/>
  <c r="AN307" i="49"/>
  <c r="AK307" i="49"/>
  <c r="AJ307" i="49"/>
  <c r="AO306" i="49"/>
  <c r="AN306" i="49"/>
  <c r="AK306" i="49"/>
  <c r="AJ306" i="49"/>
  <c r="AO305" i="49"/>
  <c r="AN305" i="49"/>
  <c r="AK305" i="49"/>
  <c r="AJ305" i="49"/>
  <c r="AO304" i="49"/>
  <c r="AN304" i="49"/>
  <c r="AK304" i="49"/>
  <c r="AJ304" i="49"/>
  <c r="AO303" i="49"/>
  <c r="AN303" i="49"/>
  <c r="AK303" i="49"/>
  <c r="AJ303" i="49"/>
  <c r="AO302" i="49"/>
  <c r="AN302" i="49"/>
  <c r="AK302" i="49"/>
  <c r="AJ302" i="49"/>
  <c r="AO301" i="49"/>
  <c r="AN301" i="49"/>
  <c r="AK301" i="49"/>
  <c r="AJ301" i="49"/>
  <c r="AO300" i="49"/>
  <c r="AN300" i="49"/>
  <c r="AK300" i="49"/>
  <c r="AJ300" i="49"/>
  <c r="AO299" i="49"/>
  <c r="AN299" i="49"/>
  <c r="AK299" i="49"/>
  <c r="AJ299" i="49"/>
  <c r="AO298" i="49"/>
  <c r="AN298" i="49"/>
  <c r="AK298" i="49"/>
  <c r="AJ298" i="49"/>
  <c r="AO297" i="49"/>
  <c r="AN297" i="49"/>
  <c r="AK297" i="49"/>
  <c r="AJ297" i="49"/>
  <c r="AO296" i="49"/>
  <c r="AN296" i="49"/>
  <c r="AK296" i="49"/>
  <c r="AJ296" i="49"/>
  <c r="AO295" i="49"/>
  <c r="AN295" i="49"/>
  <c r="AK295" i="49"/>
  <c r="AJ295" i="49"/>
  <c r="AO294" i="49"/>
  <c r="AN294" i="49"/>
  <c r="AK294" i="49"/>
  <c r="AJ294" i="49"/>
  <c r="AO293" i="49"/>
  <c r="AN293" i="49"/>
  <c r="AK293" i="49"/>
  <c r="AJ293" i="49"/>
  <c r="AO292" i="49"/>
  <c r="AN292" i="49"/>
  <c r="AK292" i="49"/>
  <c r="AJ292" i="49"/>
  <c r="AO291" i="49"/>
  <c r="AN291" i="49"/>
  <c r="AK291" i="49"/>
  <c r="AJ291" i="49"/>
  <c r="AO290" i="49"/>
  <c r="AN290" i="49"/>
  <c r="AK290" i="49"/>
  <c r="AJ290" i="49"/>
  <c r="AO289" i="49"/>
  <c r="AN289" i="49"/>
  <c r="AK289" i="49"/>
  <c r="AJ289" i="49"/>
  <c r="AO288" i="49"/>
  <c r="AN288" i="49"/>
  <c r="AK288" i="49"/>
  <c r="AJ288" i="49"/>
  <c r="AO287" i="49"/>
  <c r="AN287" i="49"/>
  <c r="AK287" i="49"/>
  <c r="AJ287" i="49"/>
  <c r="AO286" i="49"/>
  <c r="AN286" i="49"/>
  <c r="AK286" i="49"/>
  <c r="AJ286" i="49"/>
  <c r="AO285" i="49"/>
  <c r="AN285" i="49"/>
  <c r="AK285" i="49"/>
  <c r="AJ285" i="49"/>
  <c r="AO284" i="49"/>
  <c r="AN284" i="49"/>
  <c r="AK284" i="49"/>
  <c r="AJ284" i="49"/>
  <c r="AO283" i="49"/>
  <c r="AN283" i="49"/>
  <c r="AK283" i="49"/>
  <c r="AJ283" i="49"/>
  <c r="AO282" i="49"/>
  <c r="AN282" i="49"/>
  <c r="AK282" i="49"/>
  <c r="AJ282" i="49"/>
  <c r="AO281" i="49"/>
  <c r="AN281" i="49"/>
  <c r="AK281" i="49"/>
  <c r="AJ281" i="49"/>
  <c r="AO280" i="49"/>
  <c r="AN280" i="49"/>
  <c r="AK280" i="49"/>
  <c r="AJ280" i="49"/>
  <c r="AO279" i="49"/>
  <c r="AN279" i="49"/>
  <c r="AK279" i="49"/>
  <c r="AJ279" i="49"/>
  <c r="AO278" i="49"/>
  <c r="AN278" i="49"/>
  <c r="AK278" i="49"/>
  <c r="AJ278" i="49"/>
  <c r="AO277" i="49"/>
  <c r="AN277" i="49"/>
  <c r="AK277" i="49"/>
  <c r="AJ277" i="49"/>
  <c r="AO276" i="49"/>
  <c r="AN276" i="49"/>
  <c r="AK276" i="49"/>
  <c r="AJ276" i="49"/>
  <c r="AO275" i="49"/>
  <c r="AN275" i="49"/>
  <c r="AK275" i="49"/>
  <c r="AJ275" i="49"/>
  <c r="AO274" i="49"/>
  <c r="AN274" i="49"/>
  <c r="AK274" i="49"/>
  <c r="AJ274" i="49"/>
  <c r="AO273" i="49"/>
  <c r="AN273" i="49"/>
  <c r="AK273" i="49"/>
  <c r="AJ273" i="49"/>
  <c r="AO272" i="49"/>
  <c r="AN272" i="49"/>
  <c r="AK272" i="49"/>
  <c r="AJ272" i="49"/>
  <c r="AO271" i="49"/>
  <c r="AN271" i="49"/>
  <c r="AK271" i="49"/>
  <c r="AJ271" i="49"/>
  <c r="AO270" i="49"/>
  <c r="AN270" i="49"/>
  <c r="AK270" i="49"/>
  <c r="AJ270" i="49"/>
  <c r="AO269" i="49"/>
  <c r="AN269" i="49"/>
  <c r="AK269" i="49"/>
  <c r="AJ269" i="49"/>
  <c r="AO268" i="49"/>
  <c r="AN268" i="49"/>
  <c r="AK268" i="49"/>
  <c r="AJ268" i="49"/>
  <c r="AO267" i="49"/>
  <c r="AN267" i="49"/>
  <c r="AK267" i="49"/>
  <c r="AJ267" i="49"/>
  <c r="AO266" i="49"/>
  <c r="AN266" i="49"/>
  <c r="AK266" i="49"/>
  <c r="AJ266" i="49"/>
  <c r="AO265" i="49"/>
  <c r="AN265" i="49"/>
  <c r="AK265" i="49"/>
  <c r="AJ265" i="49"/>
  <c r="AO264" i="49"/>
  <c r="AN264" i="49"/>
  <c r="AK264" i="49"/>
  <c r="AJ264" i="49"/>
  <c r="AO263" i="49"/>
  <c r="AN263" i="49"/>
  <c r="AK263" i="49"/>
  <c r="AJ263" i="49"/>
  <c r="AO262" i="49"/>
  <c r="AN262" i="49"/>
  <c r="AK262" i="49"/>
  <c r="AJ262" i="49"/>
  <c r="AO261" i="49"/>
  <c r="AN261" i="49"/>
  <c r="AK261" i="49"/>
  <c r="AJ261" i="49"/>
  <c r="AO260" i="49"/>
  <c r="AN260" i="49"/>
  <c r="AK260" i="49"/>
  <c r="AJ260" i="49"/>
  <c r="AO259" i="49"/>
  <c r="AN259" i="49"/>
  <c r="AK259" i="49"/>
  <c r="AJ259" i="49"/>
  <c r="AO258" i="49"/>
  <c r="AN258" i="49"/>
  <c r="AK258" i="49"/>
  <c r="AJ258" i="49"/>
  <c r="AO257" i="49"/>
  <c r="AN257" i="49"/>
  <c r="AK257" i="49"/>
  <c r="AJ257" i="49"/>
  <c r="AO256" i="49"/>
  <c r="AN256" i="49"/>
  <c r="AK256" i="49"/>
  <c r="AJ256" i="49"/>
  <c r="AO255" i="49"/>
  <c r="AN255" i="49"/>
  <c r="AK255" i="49"/>
  <c r="AJ255" i="49"/>
  <c r="AO254" i="49"/>
  <c r="AN254" i="49"/>
  <c r="AK254" i="49"/>
  <c r="AJ254" i="49"/>
  <c r="AO253" i="49"/>
  <c r="AN253" i="49"/>
  <c r="AK253" i="49"/>
  <c r="AJ253" i="49"/>
  <c r="AO252" i="49"/>
  <c r="AN252" i="49"/>
  <c r="AK252" i="49"/>
  <c r="AJ252" i="49"/>
  <c r="AO251" i="49"/>
  <c r="AN251" i="49"/>
  <c r="AK251" i="49"/>
  <c r="AJ251" i="49"/>
  <c r="AO250" i="49"/>
  <c r="AN250" i="49"/>
  <c r="AK250" i="49"/>
  <c r="AJ250" i="49"/>
  <c r="AO249" i="49"/>
  <c r="AN249" i="49"/>
  <c r="AK249" i="49"/>
  <c r="AJ249" i="49"/>
  <c r="AO248" i="49"/>
  <c r="AN248" i="49"/>
  <c r="AK248" i="49"/>
  <c r="AJ248" i="49"/>
  <c r="AO247" i="49"/>
  <c r="AN247" i="49"/>
  <c r="AK247" i="49"/>
  <c r="AJ247" i="49"/>
  <c r="AO246" i="49"/>
  <c r="AN246" i="49"/>
  <c r="AK246" i="49"/>
  <c r="AJ246" i="49"/>
  <c r="AO245" i="49"/>
  <c r="AN245" i="49"/>
  <c r="AK245" i="49"/>
  <c r="AJ245" i="49"/>
  <c r="AO244" i="49"/>
  <c r="AN244" i="49"/>
  <c r="AK244" i="49"/>
  <c r="AJ244" i="49"/>
  <c r="AO243" i="49"/>
  <c r="AN243" i="49"/>
  <c r="AK243" i="49"/>
  <c r="AJ243" i="49"/>
  <c r="AO242" i="49"/>
  <c r="AN242" i="49"/>
  <c r="AK242" i="49"/>
  <c r="AJ242" i="49"/>
  <c r="AO241" i="49"/>
  <c r="AN241" i="49"/>
  <c r="AK241" i="49"/>
  <c r="AJ241" i="49"/>
  <c r="AO240" i="49"/>
  <c r="AN240" i="49"/>
  <c r="AK240" i="49"/>
  <c r="AJ240" i="49"/>
  <c r="AO239" i="49"/>
  <c r="AN239" i="49"/>
  <c r="AK239" i="49"/>
  <c r="AJ239" i="49"/>
  <c r="AO238" i="49"/>
  <c r="AN238" i="49"/>
  <c r="AK238" i="49"/>
  <c r="AJ238" i="49"/>
  <c r="AO237" i="49"/>
  <c r="AN237" i="49"/>
  <c r="AK237" i="49"/>
  <c r="AJ237" i="49"/>
  <c r="AO236" i="49"/>
  <c r="AN236" i="49"/>
  <c r="AK236" i="49"/>
  <c r="AJ236" i="49"/>
  <c r="AO235" i="49"/>
  <c r="AN235" i="49"/>
  <c r="AK235" i="49"/>
  <c r="AJ235" i="49"/>
  <c r="AO234" i="49"/>
  <c r="AN234" i="49"/>
  <c r="AK234" i="49"/>
  <c r="AJ234" i="49"/>
  <c r="AO233" i="49"/>
  <c r="AN233" i="49"/>
  <c r="AK233" i="49"/>
  <c r="AJ233" i="49"/>
  <c r="AO232" i="49"/>
  <c r="AN232" i="49"/>
  <c r="AK232" i="49"/>
  <c r="AJ232" i="49"/>
  <c r="AO231" i="49"/>
  <c r="AN231" i="49"/>
  <c r="AK231" i="49"/>
  <c r="AJ231" i="49"/>
  <c r="AO230" i="49"/>
  <c r="AN230" i="49"/>
  <c r="AK230" i="49"/>
  <c r="AJ230" i="49"/>
  <c r="AO229" i="49"/>
  <c r="AN229" i="49"/>
  <c r="AK229" i="49"/>
  <c r="AJ229" i="49"/>
  <c r="AO228" i="49"/>
  <c r="AN228" i="49"/>
  <c r="AK228" i="49"/>
  <c r="AJ228" i="49"/>
  <c r="AO227" i="49"/>
  <c r="AN227" i="49"/>
  <c r="AK227" i="49"/>
  <c r="AJ227" i="49"/>
  <c r="AO226" i="49"/>
  <c r="AN226" i="49"/>
  <c r="AK226" i="49"/>
  <c r="AJ226" i="49"/>
  <c r="AO225" i="49"/>
  <c r="AN225" i="49"/>
  <c r="AK225" i="49"/>
  <c r="AJ225" i="49"/>
  <c r="AO224" i="49"/>
  <c r="AN224" i="49"/>
  <c r="AK224" i="49"/>
  <c r="AJ224" i="49"/>
  <c r="AO223" i="49"/>
  <c r="AN223" i="49"/>
  <c r="AK223" i="49"/>
  <c r="AJ223" i="49"/>
  <c r="AO222" i="49"/>
  <c r="AN222" i="49"/>
  <c r="AK222" i="49"/>
  <c r="AJ222" i="49"/>
  <c r="AO221" i="49"/>
  <c r="AN221" i="49"/>
  <c r="AK221" i="49"/>
  <c r="AJ221" i="49"/>
  <c r="AO220" i="49"/>
  <c r="AN220" i="49"/>
  <c r="AK220" i="49"/>
  <c r="AJ220" i="49"/>
  <c r="AO219" i="49"/>
  <c r="AN219" i="49"/>
  <c r="AK219" i="49"/>
  <c r="AJ219" i="49"/>
  <c r="AO218" i="49"/>
  <c r="AN218" i="49"/>
  <c r="AK218" i="49"/>
  <c r="AJ218" i="49"/>
  <c r="AO217" i="49"/>
  <c r="AN217" i="49"/>
  <c r="AK217" i="49"/>
  <c r="AJ217" i="49"/>
  <c r="AO216" i="49"/>
  <c r="AN216" i="49"/>
  <c r="AK216" i="49"/>
  <c r="AJ216" i="49"/>
  <c r="AO215" i="49"/>
  <c r="AN215" i="49"/>
  <c r="AK215" i="49"/>
  <c r="AJ215" i="49"/>
  <c r="AO214" i="49"/>
  <c r="AN214" i="49"/>
  <c r="AK214" i="49"/>
  <c r="AJ214" i="49"/>
  <c r="AO213" i="49"/>
  <c r="AN213" i="49"/>
  <c r="AK213" i="49"/>
  <c r="AJ213" i="49"/>
  <c r="AO212" i="49"/>
  <c r="AN212" i="49"/>
  <c r="AK212" i="49"/>
  <c r="AJ212" i="49"/>
  <c r="AO211" i="49"/>
  <c r="AN211" i="49"/>
  <c r="AK211" i="49"/>
  <c r="AJ211" i="49"/>
  <c r="AO210" i="49"/>
  <c r="AN210" i="49"/>
  <c r="AK210" i="49"/>
  <c r="AJ210" i="49"/>
  <c r="AO209" i="49"/>
  <c r="AN209" i="49"/>
  <c r="AK209" i="49"/>
  <c r="AJ209" i="49"/>
  <c r="AO208" i="49"/>
  <c r="AN208" i="49"/>
  <c r="AK208" i="49"/>
  <c r="AJ208" i="49"/>
  <c r="AO207" i="49"/>
  <c r="AN207" i="49"/>
  <c r="AK207" i="49"/>
  <c r="AJ207" i="49"/>
  <c r="AO206" i="49"/>
  <c r="AN206" i="49"/>
  <c r="AK206" i="49"/>
  <c r="AJ206" i="49"/>
  <c r="AO205" i="49"/>
  <c r="AN205" i="49"/>
  <c r="AK205" i="49"/>
  <c r="AJ205" i="49"/>
  <c r="AO204" i="49"/>
  <c r="AN204" i="49"/>
  <c r="AK204" i="49"/>
  <c r="AJ204" i="49"/>
  <c r="AO203" i="49"/>
  <c r="AN203" i="49"/>
  <c r="AK203" i="49"/>
  <c r="AJ203" i="49"/>
  <c r="AO202" i="49"/>
  <c r="AN202" i="49"/>
  <c r="AK202" i="49"/>
  <c r="AJ202" i="49"/>
  <c r="AO201" i="49"/>
  <c r="AN201" i="49"/>
  <c r="AK201" i="49"/>
  <c r="AJ201" i="49"/>
  <c r="AO200" i="49"/>
  <c r="AN200" i="49"/>
  <c r="AK200" i="49"/>
  <c r="AJ200" i="49"/>
  <c r="AO199" i="49"/>
  <c r="AN199" i="49"/>
  <c r="AK199" i="49"/>
  <c r="AJ199" i="49"/>
  <c r="AO198" i="49"/>
  <c r="AN198" i="49"/>
  <c r="AK198" i="49"/>
  <c r="AJ198" i="49"/>
  <c r="AO197" i="49"/>
  <c r="AN197" i="49"/>
  <c r="AK197" i="49"/>
  <c r="AJ197" i="49"/>
  <c r="AO196" i="49"/>
  <c r="AN196" i="49"/>
  <c r="AK196" i="49"/>
  <c r="AJ196" i="49"/>
  <c r="AO195" i="49"/>
  <c r="AN195" i="49"/>
  <c r="AK195" i="49"/>
  <c r="AJ195" i="49"/>
  <c r="AO194" i="49"/>
  <c r="AN194" i="49"/>
  <c r="AK194" i="49"/>
  <c r="AJ194" i="49"/>
  <c r="AO193" i="49"/>
  <c r="AN193" i="49"/>
  <c r="AK193" i="49"/>
  <c r="AJ193" i="49"/>
  <c r="AO192" i="49"/>
  <c r="AN192" i="49"/>
  <c r="AK192" i="49"/>
  <c r="AJ192" i="49"/>
  <c r="AO191" i="49"/>
  <c r="AN191" i="49"/>
  <c r="AK191" i="49"/>
  <c r="AJ191" i="49"/>
  <c r="AO190" i="49"/>
  <c r="AN190" i="49"/>
  <c r="AK190" i="49"/>
  <c r="AJ190" i="49"/>
  <c r="AO189" i="49"/>
  <c r="AN189" i="49"/>
  <c r="AK189" i="49"/>
  <c r="AJ189" i="49"/>
  <c r="AO188" i="49"/>
  <c r="AN188" i="49"/>
  <c r="AK188" i="49"/>
  <c r="AJ188" i="49"/>
  <c r="AO187" i="49"/>
  <c r="AN187" i="49"/>
  <c r="AK187" i="49"/>
  <c r="AJ187" i="49"/>
  <c r="AO186" i="49"/>
  <c r="AN186" i="49"/>
  <c r="AK186" i="49"/>
  <c r="AJ186" i="49"/>
  <c r="AO185" i="49"/>
  <c r="AN185" i="49"/>
  <c r="AK185" i="49"/>
  <c r="AJ185" i="49"/>
  <c r="AO184" i="49"/>
  <c r="AN184" i="49"/>
  <c r="AK184" i="49"/>
  <c r="AJ184" i="49"/>
  <c r="AO183" i="49"/>
  <c r="AN183" i="49"/>
  <c r="AK183" i="49"/>
  <c r="AJ183" i="49"/>
  <c r="AO182" i="49"/>
  <c r="AN182" i="49"/>
  <c r="AK182" i="49"/>
  <c r="AJ182" i="49"/>
  <c r="AO181" i="49"/>
  <c r="AN181" i="49"/>
  <c r="AK181" i="49"/>
  <c r="AJ181" i="49"/>
  <c r="AO180" i="49"/>
  <c r="AN180" i="49"/>
  <c r="AK180" i="49"/>
  <c r="AJ180" i="49"/>
  <c r="AO179" i="49"/>
  <c r="AN179" i="49"/>
  <c r="AK179" i="49"/>
  <c r="AJ179" i="49"/>
  <c r="AO178" i="49"/>
  <c r="AN178" i="49"/>
  <c r="AK178" i="49"/>
  <c r="AJ178" i="49"/>
  <c r="AO177" i="49"/>
  <c r="AN177" i="49"/>
  <c r="AK177" i="49"/>
  <c r="AJ177" i="49"/>
  <c r="AO176" i="49"/>
  <c r="AN176" i="49"/>
  <c r="AK176" i="49"/>
  <c r="AJ176" i="49"/>
  <c r="AO175" i="49"/>
  <c r="AN175" i="49"/>
  <c r="AK175" i="49"/>
  <c r="AJ175" i="49"/>
  <c r="AO174" i="49"/>
  <c r="AN174" i="49"/>
  <c r="AK174" i="49"/>
  <c r="AJ174" i="49"/>
  <c r="AO173" i="49"/>
  <c r="AN173" i="49"/>
  <c r="AK173" i="49"/>
  <c r="AJ173" i="49"/>
  <c r="AO172" i="49"/>
  <c r="AN172" i="49"/>
  <c r="AK172" i="49"/>
  <c r="AJ172" i="49"/>
  <c r="AO171" i="49"/>
  <c r="AN171" i="49"/>
  <c r="AK171" i="49"/>
  <c r="AJ171" i="49"/>
  <c r="AO170" i="49"/>
  <c r="AN170" i="49"/>
  <c r="AK170" i="49"/>
  <c r="AJ170" i="49"/>
  <c r="AO169" i="49"/>
  <c r="AN169" i="49"/>
  <c r="AK169" i="49"/>
  <c r="AJ169" i="49"/>
  <c r="AO168" i="49"/>
  <c r="AN168" i="49"/>
  <c r="AK168" i="49"/>
  <c r="AJ168" i="49"/>
  <c r="AO167" i="49"/>
  <c r="AN167" i="49"/>
  <c r="AK167" i="49"/>
  <c r="AJ167" i="49"/>
  <c r="AO166" i="49"/>
  <c r="AN166" i="49"/>
  <c r="AK166" i="49"/>
  <c r="AJ166" i="49"/>
  <c r="AO165" i="49"/>
  <c r="AN165" i="49"/>
  <c r="AK165" i="49"/>
  <c r="AJ165" i="49"/>
  <c r="AO164" i="49"/>
  <c r="AN164" i="49"/>
  <c r="AK164" i="49"/>
  <c r="AJ164" i="49"/>
  <c r="AO163" i="49"/>
  <c r="AN163" i="49"/>
  <c r="AK163" i="49"/>
  <c r="AJ163" i="49"/>
  <c r="AO162" i="49"/>
  <c r="AN162" i="49"/>
  <c r="AK162" i="49"/>
  <c r="AJ162" i="49"/>
  <c r="AO161" i="49"/>
  <c r="AN161" i="49"/>
  <c r="AK161" i="49"/>
  <c r="AJ161" i="49"/>
  <c r="AO160" i="49"/>
  <c r="AN160" i="49"/>
  <c r="AK160" i="49"/>
  <c r="AJ160" i="49"/>
  <c r="AO159" i="49"/>
  <c r="AN159" i="49"/>
  <c r="AK159" i="49"/>
  <c r="AJ159" i="49"/>
  <c r="AO158" i="49"/>
  <c r="AN158" i="49"/>
  <c r="AK158" i="49"/>
  <c r="AJ158" i="49"/>
  <c r="AO157" i="49"/>
  <c r="AN157" i="49"/>
  <c r="AK157" i="49"/>
  <c r="AJ157" i="49"/>
  <c r="AO156" i="49"/>
  <c r="AN156" i="49"/>
  <c r="AK156" i="49"/>
  <c r="AJ156" i="49"/>
  <c r="AO155" i="49"/>
  <c r="AN155" i="49"/>
  <c r="AK155" i="49"/>
  <c r="AJ155" i="49"/>
  <c r="AO154" i="49"/>
  <c r="AN154" i="49"/>
  <c r="AK154" i="49"/>
  <c r="AJ154" i="49"/>
  <c r="AO153" i="49"/>
  <c r="AN153" i="49"/>
  <c r="AK153" i="49"/>
  <c r="AJ153" i="49"/>
  <c r="AO152" i="49"/>
  <c r="AN152" i="49"/>
  <c r="AK152" i="49"/>
  <c r="AJ152" i="49"/>
  <c r="AO151" i="49"/>
  <c r="AN151" i="49"/>
  <c r="AK151" i="49"/>
  <c r="AJ151" i="49"/>
  <c r="AO150" i="49"/>
  <c r="AN150" i="49"/>
  <c r="AK150" i="49"/>
  <c r="AJ150" i="49"/>
  <c r="AO149" i="49"/>
  <c r="AN149" i="49"/>
  <c r="AK149" i="49"/>
  <c r="AJ149" i="49"/>
  <c r="AO148" i="49"/>
  <c r="AN148" i="49"/>
  <c r="AK148" i="49"/>
  <c r="AJ148" i="49"/>
  <c r="AO147" i="49"/>
  <c r="AN147" i="49"/>
  <c r="AK147" i="49"/>
  <c r="AJ147" i="49"/>
  <c r="AO146" i="49"/>
  <c r="AN146" i="49"/>
  <c r="AK146" i="49"/>
  <c r="AJ146" i="49"/>
  <c r="AO145" i="49"/>
  <c r="AN145" i="49"/>
  <c r="AK145" i="49"/>
  <c r="AJ145" i="49"/>
  <c r="AO144" i="49"/>
  <c r="AN144" i="49"/>
  <c r="AK144" i="49"/>
  <c r="AJ144" i="49"/>
  <c r="AO143" i="49"/>
  <c r="AN143" i="49"/>
  <c r="AK143" i="49"/>
  <c r="AJ143" i="49"/>
  <c r="AO142" i="49"/>
  <c r="AN142" i="49"/>
  <c r="AK142" i="49"/>
  <c r="AJ142" i="49"/>
  <c r="AO141" i="49"/>
  <c r="AN141" i="49"/>
  <c r="AK141" i="49"/>
  <c r="AJ141" i="49"/>
  <c r="AO140" i="49"/>
  <c r="AN140" i="49"/>
  <c r="AK140" i="49"/>
  <c r="AJ140" i="49"/>
  <c r="AO139" i="49"/>
  <c r="AN139" i="49"/>
  <c r="AK139" i="49"/>
  <c r="AJ139" i="49"/>
  <c r="AO138" i="49"/>
  <c r="AN138" i="49"/>
  <c r="AK138" i="49"/>
  <c r="AJ138" i="49"/>
  <c r="AO137" i="49"/>
  <c r="AN137" i="49"/>
  <c r="AK137" i="49"/>
  <c r="AJ137" i="49"/>
  <c r="AO136" i="49"/>
  <c r="AN136" i="49"/>
  <c r="AK136" i="49"/>
  <c r="AJ136" i="49"/>
  <c r="AO135" i="49"/>
  <c r="AN135" i="49"/>
  <c r="AK135" i="49"/>
  <c r="AJ135" i="49"/>
  <c r="AO134" i="49"/>
  <c r="AN134" i="49"/>
  <c r="AK134" i="49"/>
  <c r="AJ134" i="49"/>
  <c r="AO133" i="49"/>
  <c r="AN133" i="49"/>
  <c r="AK133" i="49"/>
  <c r="AJ133" i="49"/>
  <c r="AO132" i="49"/>
  <c r="AN132" i="49"/>
  <c r="AK132" i="49"/>
  <c r="AJ132" i="49"/>
  <c r="AO131" i="49"/>
  <c r="AN131" i="49"/>
  <c r="AK131" i="49"/>
  <c r="AJ131" i="49"/>
  <c r="AO130" i="49"/>
  <c r="AN130" i="49"/>
  <c r="AK130" i="49"/>
  <c r="AJ130" i="49"/>
  <c r="AO129" i="49"/>
  <c r="AN129" i="49"/>
  <c r="AK129" i="49"/>
  <c r="AJ129" i="49"/>
  <c r="AO128" i="49"/>
  <c r="AN128" i="49"/>
  <c r="AK128" i="49"/>
  <c r="AJ128" i="49"/>
  <c r="AO127" i="49"/>
  <c r="AN127" i="49"/>
  <c r="AK127" i="49"/>
  <c r="AJ127" i="49"/>
  <c r="AO126" i="49"/>
  <c r="AN126" i="49"/>
  <c r="AK126" i="49"/>
  <c r="AJ126" i="49"/>
  <c r="AO125" i="49"/>
  <c r="AN125" i="49"/>
  <c r="AK125" i="49"/>
  <c r="AJ125" i="49"/>
  <c r="AO124" i="49"/>
  <c r="AN124" i="49"/>
  <c r="AK124" i="49"/>
  <c r="AJ124" i="49"/>
  <c r="AO123" i="49"/>
  <c r="AN123" i="49"/>
  <c r="AK123" i="49"/>
  <c r="AJ123" i="49"/>
  <c r="AO122" i="49"/>
  <c r="AN122" i="49"/>
  <c r="AK122" i="49"/>
  <c r="AJ122" i="49"/>
  <c r="AO121" i="49"/>
  <c r="AN121" i="49"/>
  <c r="AK121" i="49"/>
  <c r="AJ121" i="49"/>
  <c r="AO120" i="49"/>
  <c r="AN120" i="49"/>
  <c r="AK120" i="49"/>
  <c r="AJ120" i="49"/>
  <c r="AO119" i="49"/>
  <c r="AN119" i="49"/>
  <c r="AK119" i="49"/>
  <c r="AJ119" i="49"/>
  <c r="AO118" i="49"/>
  <c r="AN118" i="49"/>
  <c r="AK118" i="49"/>
  <c r="AJ118" i="49"/>
  <c r="AO117" i="49"/>
  <c r="AN117" i="49"/>
  <c r="AK117" i="49"/>
  <c r="AJ117" i="49"/>
  <c r="AO116" i="49"/>
  <c r="AN116" i="49"/>
  <c r="AK116" i="49"/>
  <c r="AJ116" i="49"/>
  <c r="AO115" i="49"/>
  <c r="AN115" i="49"/>
  <c r="AK115" i="49"/>
  <c r="AJ115" i="49"/>
  <c r="AO114" i="49"/>
  <c r="AN114" i="49"/>
  <c r="AK114" i="49"/>
  <c r="AJ114" i="49"/>
  <c r="AO113" i="49"/>
  <c r="AN113" i="49"/>
  <c r="AK113" i="49"/>
  <c r="AJ113" i="49"/>
  <c r="AO112" i="49"/>
  <c r="AN112" i="49"/>
  <c r="AK112" i="49"/>
  <c r="AJ112" i="49"/>
  <c r="AO111" i="49"/>
  <c r="AN111" i="49"/>
  <c r="AK111" i="49"/>
  <c r="AJ111" i="49"/>
  <c r="AO110" i="49"/>
  <c r="AN110" i="49"/>
  <c r="AK110" i="49"/>
  <c r="AJ110" i="49"/>
  <c r="AO109" i="49"/>
  <c r="AN109" i="49"/>
  <c r="AK109" i="49"/>
  <c r="AJ109" i="49"/>
  <c r="AO108" i="49"/>
  <c r="AN108" i="49"/>
  <c r="AK108" i="49"/>
  <c r="AJ108" i="49"/>
  <c r="AO107" i="49"/>
  <c r="AN107" i="49"/>
  <c r="AK107" i="49"/>
  <c r="AJ107" i="49"/>
  <c r="AO106" i="49"/>
  <c r="AN106" i="49"/>
  <c r="AK106" i="49"/>
  <c r="AJ106" i="49"/>
  <c r="AO105" i="49"/>
  <c r="AN105" i="49"/>
  <c r="AK105" i="49"/>
  <c r="AJ105" i="49"/>
  <c r="AO104" i="49"/>
  <c r="AN104" i="49"/>
  <c r="AK104" i="49"/>
  <c r="AJ104" i="49"/>
  <c r="AO103" i="49"/>
  <c r="AN103" i="49"/>
  <c r="AK103" i="49"/>
  <c r="AJ103" i="49"/>
  <c r="AO102" i="49"/>
  <c r="AN102" i="49"/>
  <c r="AK102" i="49"/>
  <c r="AJ102" i="49"/>
  <c r="AO101" i="49"/>
  <c r="AN101" i="49"/>
  <c r="AK101" i="49"/>
  <c r="AJ101" i="49"/>
  <c r="AO100" i="49"/>
  <c r="AN100" i="49"/>
  <c r="AK100" i="49"/>
  <c r="AJ100" i="49"/>
  <c r="AO99" i="49"/>
  <c r="AN99" i="49"/>
  <c r="AK99" i="49"/>
  <c r="AJ99" i="49"/>
  <c r="AO98" i="49"/>
  <c r="AN98" i="49"/>
  <c r="AK98" i="49"/>
  <c r="AJ98" i="49"/>
  <c r="AO97" i="49"/>
  <c r="AN97" i="49"/>
  <c r="AK97" i="49"/>
  <c r="AJ97" i="49"/>
  <c r="AO96" i="49"/>
  <c r="AN96" i="49"/>
  <c r="AK96" i="49"/>
  <c r="AJ96" i="49"/>
  <c r="AO95" i="49"/>
  <c r="AN95" i="49"/>
  <c r="AK95" i="49"/>
  <c r="AJ95" i="49"/>
  <c r="AO94" i="49"/>
  <c r="AN94" i="49"/>
  <c r="AK94" i="49"/>
  <c r="AJ94" i="49"/>
  <c r="AO93" i="49"/>
  <c r="AN93" i="49"/>
  <c r="AK93" i="49"/>
  <c r="AJ93" i="49"/>
  <c r="AO92" i="49"/>
  <c r="AN92" i="49"/>
  <c r="AK92" i="49"/>
  <c r="AJ92" i="49"/>
  <c r="AO91" i="49"/>
  <c r="AN91" i="49"/>
  <c r="AK91" i="49"/>
  <c r="AJ91" i="49"/>
  <c r="AO90" i="49"/>
  <c r="AN90" i="49"/>
  <c r="AK90" i="49"/>
  <c r="AJ90" i="49"/>
  <c r="AO89" i="49"/>
  <c r="AN89" i="49"/>
  <c r="AK89" i="49"/>
  <c r="AJ89" i="49"/>
  <c r="AO88" i="49"/>
  <c r="AN88" i="49"/>
  <c r="AK88" i="49"/>
  <c r="AJ88" i="49"/>
  <c r="AO87" i="49"/>
  <c r="AN87" i="49"/>
  <c r="AK87" i="49"/>
  <c r="AJ87" i="49"/>
  <c r="AO86" i="49"/>
  <c r="AN86" i="49"/>
  <c r="AK86" i="49"/>
  <c r="AJ86" i="49"/>
  <c r="AO85" i="49"/>
  <c r="AN85" i="49"/>
  <c r="AK85" i="49"/>
  <c r="AJ85" i="49"/>
  <c r="AO84" i="49"/>
  <c r="AN84" i="49"/>
  <c r="AK84" i="49"/>
  <c r="AJ84" i="49"/>
  <c r="AO83" i="49"/>
  <c r="AN83" i="49"/>
  <c r="AK83" i="49"/>
  <c r="AJ83" i="49"/>
  <c r="AO82" i="49"/>
  <c r="AN82" i="49"/>
  <c r="AK82" i="49"/>
  <c r="AJ82" i="49"/>
  <c r="AO81" i="49"/>
  <c r="AN81" i="49"/>
  <c r="AK81" i="49"/>
  <c r="AJ81" i="49"/>
  <c r="AO80" i="49"/>
  <c r="AN80" i="49"/>
  <c r="AK80" i="49"/>
  <c r="AJ80" i="49"/>
  <c r="AO79" i="49"/>
  <c r="AN79" i="49"/>
  <c r="AK79" i="49"/>
  <c r="AJ79" i="49"/>
  <c r="AO78" i="49"/>
  <c r="AN78" i="49"/>
  <c r="AK78" i="49"/>
  <c r="AJ78" i="49"/>
  <c r="AO77" i="49"/>
  <c r="AN77" i="49"/>
  <c r="AK77" i="49"/>
  <c r="AJ77" i="49"/>
  <c r="AO76" i="49"/>
  <c r="AN76" i="49"/>
  <c r="AK76" i="49"/>
  <c r="AJ76" i="49"/>
  <c r="AO75" i="49"/>
  <c r="AN75" i="49"/>
  <c r="AK75" i="49"/>
  <c r="AJ75" i="49"/>
  <c r="AO74" i="49"/>
  <c r="AN74" i="49"/>
  <c r="AK74" i="49"/>
  <c r="AJ74" i="49"/>
  <c r="AO73" i="49"/>
  <c r="AN73" i="49"/>
  <c r="AK73" i="49"/>
  <c r="AJ73" i="49"/>
  <c r="AO72" i="49"/>
  <c r="AN72" i="49"/>
  <c r="AK72" i="49"/>
  <c r="AJ72" i="49"/>
  <c r="AO71" i="49"/>
  <c r="AN71" i="49"/>
  <c r="AK71" i="49"/>
  <c r="AJ71" i="49"/>
  <c r="AO70" i="49"/>
  <c r="AN70" i="49"/>
  <c r="AK70" i="49"/>
  <c r="AJ70" i="49"/>
  <c r="AO69" i="49"/>
  <c r="AN69" i="49"/>
  <c r="AK69" i="49"/>
  <c r="AJ69" i="49"/>
  <c r="AO68" i="49"/>
  <c r="AN68" i="49"/>
  <c r="AK68" i="49"/>
  <c r="AJ68" i="49"/>
  <c r="AO67" i="49"/>
  <c r="AN67" i="49"/>
  <c r="AK67" i="49"/>
  <c r="AJ67" i="49"/>
  <c r="AO66" i="49"/>
  <c r="AN66" i="49"/>
  <c r="AK66" i="49"/>
  <c r="AJ66" i="49"/>
  <c r="AO65" i="49"/>
  <c r="AN65" i="49"/>
  <c r="AK65" i="49"/>
  <c r="AJ65" i="49"/>
  <c r="AO64" i="49"/>
  <c r="AN64" i="49"/>
  <c r="AK64" i="49"/>
  <c r="AJ64" i="49"/>
  <c r="AO63" i="49"/>
  <c r="AN63" i="49"/>
  <c r="AK63" i="49"/>
  <c r="AJ63" i="49"/>
  <c r="AO62" i="49"/>
  <c r="AN62" i="49"/>
  <c r="AK62" i="49"/>
  <c r="AJ62" i="49"/>
  <c r="AO61" i="49"/>
  <c r="AN61" i="49"/>
  <c r="AK61" i="49"/>
  <c r="AJ61" i="49"/>
  <c r="AO60" i="49"/>
  <c r="AN60" i="49"/>
  <c r="AK60" i="49"/>
  <c r="AJ60" i="49"/>
  <c r="AO59" i="49"/>
  <c r="AN59" i="49"/>
  <c r="AK59" i="49"/>
  <c r="AJ59" i="49"/>
  <c r="AO58" i="49"/>
  <c r="AN58" i="49"/>
  <c r="AK58" i="49"/>
  <c r="AJ58" i="49"/>
  <c r="AO57" i="49"/>
  <c r="AN57" i="49"/>
  <c r="AK57" i="49"/>
  <c r="AJ57" i="49"/>
  <c r="AO56" i="49"/>
  <c r="AN56" i="49"/>
  <c r="AK56" i="49"/>
  <c r="AJ56" i="49"/>
  <c r="AO55" i="49"/>
  <c r="AN55" i="49"/>
  <c r="AK55" i="49"/>
  <c r="AJ55" i="49"/>
  <c r="AO54" i="49"/>
  <c r="AN54" i="49"/>
  <c r="AK54" i="49"/>
  <c r="AJ54" i="49"/>
  <c r="AO53" i="49"/>
  <c r="AN53" i="49"/>
  <c r="AK53" i="49"/>
  <c r="AJ53" i="49"/>
  <c r="AO52" i="49"/>
  <c r="AN52" i="49"/>
  <c r="AK52" i="49"/>
  <c r="AJ52" i="49"/>
  <c r="AO51" i="49"/>
  <c r="AN51" i="49"/>
  <c r="AK51" i="49"/>
  <c r="AJ51" i="49"/>
  <c r="AO50" i="49"/>
  <c r="AN50" i="49"/>
  <c r="AK50" i="49"/>
  <c r="AJ50" i="49"/>
  <c r="AO49" i="49"/>
  <c r="AN49" i="49"/>
  <c r="AK49" i="49"/>
  <c r="AJ49" i="49"/>
  <c r="AO48" i="49"/>
  <c r="AN48" i="49"/>
  <c r="AK48" i="49"/>
  <c r="AJ48" i="49"/>
  <c r="AO47" i="49"/>
  <c r="AN47" i="49"/>
  <c r="AK47" i="49"/>
  <c r="AJ47" i="49"/>
  <c r="AO46" i="49"/>
  <c r="AN46" i="49"/>
  <c r="AK46" i="49"/>
  <c r="AJ46" i="49"/>
  <c r="AO45" i="49"/>
  <c r="AN45" i="49"/>
  <c r="AK45" i="49"/>
  <c r="AJ45" i="49"/>
  <c r="AO44" i="49"/>
  <c r="AN44" i="49"/>
  <c r="AK44" i="49"/>
  <c r="AJ44" i="49"/>
  <c r="AO43" i="49"/>
  <c r="AN43" i="49"/>
  <c r="AK43" i="49"/>
  <c r="AJ43" i="49"/>
  <c r="AO42" i="49"/>
  <c r="AN42" i="49"/>
  <c r="AK42" i="49"/>
  <c r="AJ42" i="49"/>
  <c r="AO41" i="49"/>
  <c r="AN41" i="49"/>
  <c r="AK41" i="49"/>
  <c r="AJ41" i="49"/>
  <c r="AO40" i="49"/>
  <c r="AN40" i="49"/>
  <c r="AK40" i="49"/>
  <c r="AJ40" i="49"/>
  <c r="AO39" i="49"/>
  <c r="AN39" i="49"/>
  <c r="AK39" i="49"/>
  <c r="AJ39" i="49"/>
  <c r="AO38" i="49"/>
  <c r="AN38" i="49"/>
  <c r="AK38" i="49"/>
  <c r="AJ38" i="49"/>
  <c r="AO37" i="49"/>
  <c r="AN37" i="49"/>
  <c r="AK37" i="49"/>
  <c r="AJ37" i="49"/>
  <c r="AO36" i="49"/>
  <c r="AN36" i="49"/>
  <c r="AK36" i="49"/>
  <c r="AJ36" i="49"/>
  <c r="AO35" i="49"/>
  <c r="AN35" i="49"/>
  <c r="AK35" i="49"/>
  <c r="AJ35" i="49"/>
  <c r="AO34" i="49"/>
  <c r="AN34" i="49"/>
  <c r="AK34" i="49"/>
  <c r="AJ34" i="49"/>
  <c r="AO33" i="49"/>
  <c r="AN33" i="49"/>
  <c r="AK33" i="49"/>
  <c r="AJ33" i="49"/>
  <c r="AO32" i="49"/>
  <c r="AN32" i="49"/>
  <c r="AK32" i="49"/>
  <c r="AJ32" i="49"/>
  <c r="AO31" i="49"/>
  <c r="AN31" i="49"/>
  <c r="AK31" i="49"/>
  <c r="AJ31" i="49"/>
  <c r="AO30" i="49"/>
  <c r="AN30" i="49"/>
  <c r="AK30" i="49"/>
  <c r="AJ30" i="49"/>
  <c r="AO29" i="49"/>
  <c r="AN29" i="49"/>
  <c r="AK29" i="49"/>
  <c r="AJ29" i="49"/>
  <c r="AO28" i="49"/>
  <c r="AN28" i="49"/>
  <c r="AK28" i="49"/>
  <c r="AJ28" i="49"/>
  <c r="AO27" i="49"/>
  <c r="AN27" i="49"/>
  <c r="AK27" i="49"/>
  <c r="AJ27" i="49"/>
  <c r="AO26" i="49"/>
  <c r="AN26" i="49"/>
  <c r="AK26" i="49"/>
  <c r="AJ26" i="49"/>
  <c r="AO25" i="49"/>
  <c r="AN25" i="49"/>
  <c r="AK25" i="49"/>
  <c r="AJ25" i="49"/>
  <c r="AO24" i="49"/>
  <c r="AN24" i="49"/>
  <c r="AK24" i="49"/>
  <c r="AJ24" i="49"/>
  <c r="AO23" i="49"/>
  <c r="AN23" i="49"/>
  <c r="AK23" i="49"/>
  <c r="AJ23" i="49"/>
  <c r="AO22" i="49"/>
  <c r="AN22" i="49"/>
  <c r="AK22" i="49"/>
  <c r="AJ22" i="49"/>
  <c r="AO21" i="49"/>
  <c r="AN21" i="49"/>
  <c r="AK21" i="49"/>
  <c r="AJ21" i="49"/>
  <c r="AO20" i="49"/>
  <c r="AN20" i="49"/>
  <c r="AK20" i="49"/>
  <c r="AJ20" i="49"/>
  <c r="AO19" i="49"/>
  <c r="AN19" i="49"/>
  <c r="AK19" i="49"/>
  <c r="AJ19" i="49"/>
  <c r="AO18" i="49"/>
  <c r="AN18" i="49"/>
  <c r="AK18" i="49"/>
  <c r="AJ18" i="49"/>
  <c r="AO17" i="49"/>
  <c r="AN17" i="49"/>
  <c r="AK17" i="49"/>
  <c r="AJ17" i="49"/>
  <c r="AO16" i="49"/>
  <c r="AN16" i="49"/>
  <c r="AK16" i="49"/>
  <c r="AJ16" i="49"/>
  <c r="AO15" i="49"/>
  <c r="AN15" i="49"/>
  <c r="AK15" i="49"/>
  <c r="AJ15" i="49"/>
  <c r="AO14" i="49"/>
  <c r="AN14" i="49"/>
  <c r="AK14" i="49"/>
  <c r="AJ14" i="49"/>
  <c r="AO13" i="49"/>
  <c r="AN13" i="49"/>
  <c r="AK13" i="49"/>
  <c r="AJ13" i="49"/>
  <c r="AO12" i="49"/>
  <c r="AN12" i="49"/>
  <c r="AK12" i="49"/>
  <c r="AJ12" i="49"/>
  <c r="AO11" i="49"/>
  <c r="AN11" i="49"/>
  <c r="AK11" i="49"/>
  <c r="AJ11" i="49"/>
  <c r="AO10" i="49"/>
  <c r="AN10" i="49"/>
  <c r="AK10" i="49"/>
  <c r="AJ10" i="49"/>
  <c r="AO9" i="49"/>
  <c r="AN9" i="49"/>
  <c r="AK9" i="49"/>
  <c r="AJ9" i="49"/>
  <c r="AI6" i="49"/>
  <c r="AG6" i="49"/>
  <c r="AF6" i="49"/>
  <c r="AE6" i="49"/>
  <c r="AD6" i="49"/>
  <c r="AC6" i="49"/>
  <c r="AB6" i="49"/>
  <c r="AA6" i="49"/>
  <c r="Z6" i="49"/>
  <c r="P6" i="49"/>
  <c r="O6" i="49"/>
  <c r="N6" i="49"/>
  <c r="M6" i="49"/>
  <c r="L6" i="49"/>
  <c r="K6" i="49"/>
  <c r="J6" i="49"/>
  <c r="I6" i="49"/>
  <c r="B1" i="49"/>
  <c r="C1" i="49" s="1"/>
  <c r="D1" i="49" s="1"/>
  <c r="E1" i="49" s="1"/>
  <c r="F1" i="49" s="1"/>
  <c r="G1" i="49" s="1"/>
  <c r="H1" i="49" s="1"/>
  <c r="I1" i="49" s="1"/>
  <c r="J1" i="49" s="1"/>
  <c r="K1" i="49" s="1"/>
  <c r="L1" i="49" s="1"/>
  <c r="M1" i="49" s="1"/>
  <c r="N1" i="49" s="1"/>
  <c r="O1" i="49" s="1"/>
  <c r="P1" i="49" s="1"/>
  <c r="Q1" i="49" l="1"/>
  <c r="R1" i="49" s="1"/>
  <c r="S1" i="49" s="1"/>
  <c r="T1" i="49" s="1"/>
  <c r="AK6" i="49"/>
  <c r="AN6" i="49"/>
  <c r="AL6" i="49"/>
  <c r="AJ6" i="49"/>
  <c r="AM6" i="49"/>
  <c r="AH6" i="49"/>
  <c r="W6" i="49"/>
  <c r="AO6" i="49"/>
  <c r="S6" i="49"/>
  <c r="Q6" i="49"/>
  <c r="X6" i="49"/>
  <c r="V6" i="49"/>
  <c r="U6" i="49"/>
  <c r="T6" i="49"/>
  <c r="R6" i="49"/>
  <c r="U1" i="49" l="1"/>
  <c r="V1" i="49" s="1"/>
  <c r="W1" i="49" s="1"/>
  <c r="X1" i="49" s="1"/>
  <c r="Y1" i="49" s="1"/>
  <c r="Z1" i="49" s="1"/>
  <c r="AA1" i="49" s="1"/>
  <c r="AB1" i="49" s="1"/>
  <c r="AC1" i="49" s="1"/>
  <c r="AD1" i="49" s="1"/>
  <c r="AE1" i="49" s="1"/>
  <c r="AF1" i="49" s="1"/>
  <c r="AG1" i="49" s="1"/>
  <c r="AH1" i="49" s="1"/>
  <c r="AI1" i="49" s="1"/>
  <c r="AJ1" i="49" s="1"/>
  <c r="AK1" i="49" s="1"/>
  <c r="AL1" i="49" s="1"/>
  <c r="AM1" i="49" s="1"/>
  <c r="AN1" i="49" s="1"/>
  <c r="AO1" i="49" s="1"/>
  <c r="F6" i="137"/>
  <c r="F7" i="137"/>
  <c r="F8" i="137"/>
  <c r="F9" i="137"/>
  <c r="F10" i="137"/>
  <c r="F11" i="137"/>
  <c r="F12" i="137"/>
  <c r="F13" i="137"/>
  <c r="F14" i="137"/>
  <c r="F15" i="137"/>
  <c r="F16" i="137"/>
  <c r="F17" i="137"/>
  <c r="F18" i="137"/>
  <c r="F19" i="137"/>
  <c r="F20" i="137"/>
  <c r="F21" i="137"/>
  <c r="F22" i="137"/>
  <c r="F23" i="137"/>
  <c r="F24" i="137"/>
  <c r="F25" i="137"/>
  <c r="F26" i="137"/>
  <c r="F27" i="137"/>
  <c r="F28" i="137"/>
  <c r="F29" i="137"/>
  <c r="F30" i="137"/>
  <c r="F31" i="137"/>
  <c r="F32" i="137"/>
  <c r="F33" i="137"/>
  <c r="F34" i="137"/>
  <c r="F35" i="137"/>
  <c r="F36" i="137"/>
  <c r="F37" i="137"/>
  <c r="F38" i="137"/>
  <c r="F39" i="137"/>
  <c r="F40" i="137"/>
  <c r="F41" i="137"/>
  <c r="F42" i="137"/>
  <c r="F43" i="137"/>
  <c r="F44" i="137"/>
  <c r="F45" i="137"/>
  <c r="F46" i="137"/>
  <c r="F47" i="137"/>
  <c r="F48" i="137"/>
  <c r="F49" i="137"/>
  <c r="F50" i="137"/>
  <c r="F51" i="137"/>
  <c r="F52" i="137"/>
  <c r="F53" i="137"/>
  <c r="F54" i="137"/>
  <c r="F55" i="137"/>
  <c r="F56" i="137"/>
  <c r="F57" i="137"/>
  <c r="F58" i="137"/>
  <c r="F59" i="137"/>
  <c r="F60" i="137"/>
  <c r="F61" i="137"/>
  <c r="F62" i="137"/>
  <c r="F63" i="137"/>
  <c r="F64" i="137"/>
  <c r="F65" i="137"/>
  <c r="F66" i="137"/>
  <c r="F67" i="137"/>
  <c r="F68" i="137"/>
  <c r="F69" i="137"/>
  <c r="F70" i="137"/>
  <c r="F71" i="137"/>
  <c r="F72" i="137"/>
  <c r="F73" i="137"/>
  <c r="F74" i="137"/>
  <c r="F75" i="137"/>
  <c r="F76" i="137"/>
  <c r="F77" i="137"/>
  <c r="F78" i="137"/>
  <c r="F79" i="137"/>
  <c r="F80" i="137"/>
  <c r="F81" i="137"/>
  <c r="F82" i="137"/>
  <c r="F83" i="137"/>
  <c r="F84" i="137"/>
  <c r="F85" i="137"/>
  <c r="F86" i="137"/>
  <c r="F87" i="137"/>
  <c r="F88" i="137"/>
  <c r="F89" i="137"/>
  <c r="F90" i="137"/>
  <c r="F91" i="137"/>
  <c r="F92" i="137"/>
  <c r="F93" i="137"/>
  <c r="F94" i="137"/>
  <c r="F95" i="137"/>
  <c r="F96" i="137"/>
  <c r="F97" i="137"/>
  <c r="F98" i="137"/>
  <c r="F99" i="137"/>
  <c r="F100" i="137"/>
  <c r="F101" i="137"/>
  <c r="F102" i="137"/>
  <c r="F103" i="137"/>
  <c r="F104" i="137"/>
  <c r="F105" i="137"/>
  <c r="F106" i="137"/>
  <c r="F107" i="137"/>
  <c r="F108" i="137"/>
  <c r="F109" i="137"/>
  <c r="F110" i="137"/>
  <c r="F111" i="137"/>
  <c r="F112" i="137"/>
  <c r="F113" i="137"/>
  <c r="F114" i="137"/>
  <c r="F115" i="137"/>
  <c r="F116" i="137"/>
  <c r="F117" i="137"/>
  <c r="F118" i="137"/>
  <c r="F119" i="137"/>
  <c r="F120" i="137"/>
  <c r="F121" i="137"/>
  <c r="F122" i="137"/>
  <c r="F123" i="137"/>
  <c r="F124" i="137"/>
  <c r="F125" i="137"/>
  <c r="F126" i="137"/>
  <c r="F127" i="137"/>
  <c r="F128" i="137"/>
  <c r="F129" i="137"/>
  <c r="F130" i="137"/>
  <c r="F131" i="137"/>
  <c r="F132" i="137"/>
  <c r="F133" i="137"/>
  <c r="F134" i="137"/>
  <c r="F135" i="137"/>
  <c r="F136" i="137"/>
  <c r="F137" i="137"/>
  <c r="F138" i="137"/>
  <c r="F139" i="137"/>
  <c r="F140" i="137"/>
  <c r="F141" i="137"/>
  <c r="F142" i="137"/>
  <c r="F143" i="137"/>
  <c r="F144" i="137"/>
  <c r="F145" i="137"/>
  <c r="F146" i="137"/>
  <c r="F147" i="137"/>
  <c r="F148" i="137"/>
  <c r="F149" i="137"/>
  <c r="F150" i="137"/>
  <c r="F151" i="137"/>
  <c r="F152" i="137"/>
  <c r="F153" i="137"/>
  <c r="F154" i="137"/>
  <c r="F155" i="137"/>
  <c r="F156" i="137"/>
  <c r="F157" i="137"/>
  <c r="F158" i="137"/>
  <c r="F159" i="137"/>
  <c r="F160" i="137"/>
  <c r="F161" i="137"/>
  <c r="F162" i="137"/>
  <c r="F163" i="137"/>
  <c r="F164" i="137"/>
  <c r="F165" i="137"/>
  <c r="F166" i="137"/>
  <c r="F167" i="137"/>
  <c r="F168" i="137"/>
  <c r="F169" i="137"/>
  <c r="F170" i="137"/>
  <c r="F171" i="137"/>
  <c r="F172" i="137"/>
  <c r="F173" i="137"/>
  <c r="F174" i="137"/>
  <c r="F175" i="137"/>
  <c r="F176" i="137"/>
  <c r="F177" i="137"/>
  <c r="F178" i="137"/>
  <c r="F179" i="137"/>
  <c r="F180" i="137"/>
  <c r="F181" i="137"/>
  <c r="F182" i="137"/>
  <c r="F183" i="137"/>
  <c r="F184" i="137"/>
  <c r="F185" i="137"/>
  <c r="F186" i="137"/>
  <c r="F187" i="137"/>
  <c r="F188" i="137"/>
  <c r="F189" i="137"/>
  <c r="F190" i="137"/>
  <c r="F191" i="137"/>
  <c r="F192" i="137"/>
  <c r="F193" i="137"/>
  <c r="F194" i="137"/>
  <c r="F195" i="137"/>
  <c r="F196" i="137"/>
  <c r="F197" i="137"/>
  <c r="F198" i="137"/>
  <c r="F199" i="137"/>
  <c r="F200" i="137"/>
  <c r="F201" i="137"/>
  <c r="F202" i="137"/>
  <c r="F203" i="137"/>
  <c r="F204" i="137"/>
  <c r="F205" i="137"/>
  <c r="F206" i="137"/>
  <c r="F207" i="137"/>
  <c r="F208" i="137"/>
  <c r="F209" i="137"/>
  <c r="F210" i="137"/>
  <c r="F211" i="137"/>
  <c r="F212" i="137"/>
  <c r="F213" i="137"/>
  <c r="F214" i="137"/>
  <c r="F215" i="137"/>
  <c r="F216" i="137"/>
  <c r="F217" i="137"/>
  <c r="F218" i="137"/>
  <c r="F219" i="137"/>
  <c r="F220" i="137"/>
  <c r="F221" i="137"/>
  <c r="F222" i="137"/>
  <c r="F223" i="137"/>
  <c r="F224" i="137"/>
  <c r="F225" i="137"/>
  <c r="F226" i="137"/>
  <c r="F227" i="137"/>
  <c r="F228" i="137"/>
  <c r="F229" i="137"/>
  <c r="F230" i="137"/>
  <c r="F231" i="137"/>
  <c r="F232" i="137"/>
  <c r="F233" i="137"/>
  <c r="F234" i="137"/>
  <c r="F235" i="137"/>
  <c r="F236" i="137"/>
  <c r="F237" i="137"/>
  <c r="F238" i="137"/>
  <c r="F239" i="137"/>
  <c r="F240" i="137"/>
  <c r="F241" i="137"/>
  <c r="F242" i="137"/>
  <c r="F243" i="137"/>
  <c r="F244" i="137"/>
  <c r="F245" i="137"/>
  <c r="F246" i="137"/>
  <c r="F247" i="137"/>
  <c r="F248" i="137"/>
  <c r="F249" i="137"/>
  <c r="F250" i="137"/>
  <c r="F251" i="137"/>
  <c r="F252" i="137"/>
  <c r="F253" i="137"/>
  <c r="F254" i="137"/>
  <c r="F255" i="137"/>
  <c r="F256" i="137"/>
  <c r="F257" i="137"/>
  <c r="F258" i="137"/>
  <c r="F259" i="137"/>
  <c r="F260" i="137"/>
  <c r="F261" i="137"/>
  <c r="F262" i="137"/>
  <c r="F263" i="137"/>
  <c r="F264" i="137"/>
  <c r="F265" i="137"/>
  <c r="F266" i="137"/>
  <c r="F267" i="137"/>
  <c r="F268" i="137"/>
  <c r="F269" i="137"/>
  <c r="F270" i="137"/>
  <c r="F271" i="137"/>
  <c r="F272" i="137"/>
  <c r="F273" i="137"/>
  <c r="F274" i="137"/>
  <c r="F275" i="137"/>
  <c r="F276" i="137"/>
  <c r="F277" i="137"/>
  <c r="F278" i="137"/>
  <c r="F279" i="137"/>
  <c r="F280" i="137"/>
  <c r="F281" i="137"/>
  <c r="F282" i="137"/>
  <c r="F283" i="137"/>
  <c r="F284" i="137"/>
  <c r="F285" i="137"/>
  <c r="F286" i="137"/>
  <c r="F287" i="137"/>
  <c r="F288" i="137"/>
  <c r="F289" i="137"/>
  <c r="F290" i="137"/>
  <c r="F291" i="137"/>
  <c r="F292" i="137"/>
  <c r="F293" i="137"/>
  <c r="F294" i="137"/>
  <c r="F295" i="137"/>
  <c r="F296" i="137"/>
  <c r="F297" i="137"/>
  <c r="F298" i="137"/>
  <c r="F299" i="137"/>
  <c r="F300" i="137"/>
  <c r="F301" i="137"/>
  <c r="F302" i="137"/>
  <c r="F303" i="137"/>
  <c r="F304" i="137"/>
  <c r="F305" i="137"/>
  <c r="F306" i="137"/>
  <c r="F307" i="137"/>
  <c r="F308" i="137"/>
  <c r="F309" i="137"/>
  <c r="F310" i="137"/>
  <c r="F311" i="137"/>
  <c r="F312" i="137"/>
  <c r="F313" i="137"/>
  <c r="F314" i="137"/>
  <c r="F315" i="137"/>
  <c r="F316" i="137"/>
  <c r="F4" i="137" l="1"/>
  <c r="W34" i="78"/>
  <c r="G6" i="78" l="1"/>
  <c r="G7" i="78"/>
  <c r="G8" i="78"/>
  <c r="G9" i="78"/>
  <c r="G10" i="78"/>
  <c r="G11" i="78"/>
  <c r="G12" i="78"/>
  <c r="G13" i="78"/>
  <c r="G14" i="78"/>
  <c r="G15" i="78"/>
  <c r="G16" i="78"/>
  <c r="G17" i="78"/>
  <c r="G19" i="78"/>
  <c r="G20" i="78"/>
  <c r="G21" i="78"/>
  <c r="G22" i="78"/>
  <c r="G23" i="78"/>
  <c r="G24" i="78"/>
  <c r="G25" i="78"/>
  <c r="G26" i="78"/>
  <c r="G27" i="78"/>
  <c r="G28" i="78"/>
  <c r="G29" i="78"/>
  <c r="G30" i="78"/>
  <c r="G31" i="78"/>
  <c r="G32" i="78"/>
  <c r="G33" i="78"/>
  <c r="G35" i="78"/>
  <c r="G36" i="78"/>
  <c r="G37" i="78"/>
  <c r="G38" i="78"/>
  <c r="G39" i="78"/>
  <c r="G41" i="78"/>
  <c r="G42" i="78"/>
  <c r="G44" i="78"/>
  <c r="G46" i="78"/>
  <c r="G47" i="78"/>
  <c r="G49" i="78"/>
  <c r="G50" i="78"/>
  <c r="G51" i="78"/>
  <c r="G52" i="78"/>
  <c r="G54" i="78"/>
  <c r="G55" i="78"/>
  <c r="G56" i="78"/>
  <c r="G57" i="78"/>
  <c r="G58" i="78"/>
  <c r="G59" i="78"/>
  <c r="G60" i="78"/>
  <c r="G61" i="78"/>
  <c r="G63" i="78"/>
  <c r="G65" i="78"/>
  <c r="G66" i="78"/>
  <c r="G68" i="78"/>
  <c r="G69" i="78"/>
  <c r="G70" i="78"/>
  <c r="G71" i="78"/>
  <c r="G72" i="78"/>
  <c r="G73" i="78"/>
  <c r="G74" i="78"/>
  <c r="G75" i="78"/>
  <c r="G76" i="78"/>
  <c r="G77" i="78"/>
  <c r="G78" i="78"/>
  <c r="G79" i="78"/>
  <c r="G80" i="78"/>
  <c r="G82" i="78"/>
  <c r="G83" i="78"/>
  <c r="G84" i="78"/>
  <c r="G85" i="78"/>
  <c r="G86" i="78"/>
  <c r="G87" i="78"/>
  <c r="G88" i="78"/>
  <c r="G89" i="78"/>
  <c r="G90" i="78"/>
  <c r="G93" i="78"/>
  <c r="G94" i="78"/>
  <c r="G95" i="78"/>
  <c r="G96" i="78"/>
  <c r="G97" i="78"/>
  <c r="G98" i="78"/>
  <c r="G99" i="78"/>
  <c r="G101" i="78"/>
  <c r="G102" i="78"/>
  <c r="G103" i="78"/>
  <c r="G104" i="78"/>
  <c r="G105" i="78"/>
  <c r="G106" i="78"/>
  <c r="G107" i="78"/>
  <c r="G108" i="78"/>
  <c r="G109" i="78"/>
  <c r="G110" i="78"/>
  <c r="G111" i="78"/>
  <c r="G112" i="78"/>
  <c r="G113" i="78"/>
  <c r="G116" i="78"/>
  <c r="G117" i="78"/>
  <c r="G118" i="78"/>
  <c r="G119" i="78"/>
  <c r="G120" i="78"/>
  <c r="G121" i="78"/>
  <c r="G122" i="78"/>
  <c r="G124" i="78"/>
  <c r="G125" i="78"/>
  <c r="G126" i="78"/>
  <c r="G127" i="78"/>
  <c r="G129" i="78"/>
  <c r="G130" i="78"/>
  <c r="G131" i="78"/>
  <c r="G132" i="78"/>
  <c r="G143" i="78"/>
  <c r="G144" i="78"/>
  <c r="G145" i="78"/>
  <c r="G146" i="78"/>
  <c r="G147" i="78"/>
  <c r="G148" i="78"/>
  <c r="G149" i="78"/>
  <c r="G150" i="78"/>
  <c r="G151" i="78"/>
  <c r="G152" i="78"/>
  <c r="G155" i="78"/>
  <c r="G156" i="78"/>
  <c r="G157" i="78"/>
  <c r="G158" i="78"/>
  <c r="G159" i="78"/>
  <c r="G160" i="78"/>
  <c r="G161" i="78"/>
  <c r="G163" i="78"/>
  <c r="G164" i="78"/>
  <c r="G165" i="78"/>
  <c r="G166" i="78"/>
  <c r="G167" i="78"/>
  <c r="G169" i="78"/>
  <c r="G170" i="78"/>
  <c r="G171" i="78"/>
  <c r="G172" i="78"/>
  <c r="G173" i="78"/>
  <c r="G174" i="78"/>
  <c r="G175" i="78"/>
  <c r="G177" i="78"/>
  <c r="G178" i="78"/>
  <c r="G181" i="78"/>
  <c r="G183" i="78"/>
  <c r="G185" i="78"/>
  <c r="G186" i="78"/>
  <c r="G187" i="78"/>
  <c r="G188" i="78"/>
  <c r="G189" i="78"/>
  <c r="G190" i="78"/>
  <c r="G191" i="78"/>
  <c r="G192" i="78"/>
  <c r="G193" i="78"/>
  <c r="G194" i="78"/>
  <c r="G196" i="78"/>
  <c r="G197" i="78"/>
  <c r="G198" i="78"/>
  <c r="G199" i="78"/>
  <c r="G200" i="78"/>
  <c r="G201" i="78"/>
  <c r="G202" i="78"/>
  <c r="G203" i="78"/>
  <c r="G204" i="78"/>
  <c r="G205" i="78"/>
  <c r="G206" i="78"/>
  <c r="G207" i="78"/>
  <c r="G208" i="78"/>
  <c r="G209" i="78"/>
  <c r="G210" i="78"/>
  <c r="G211" i="78"/>
  <c r="G212" i="78"/>
  <c r="G213" i="78"/>
  <c r="G214" i="78"/>
  <c r="G215" i="78"/>
  <c r="G216" i="78"/>
  <c r="G217" i="78"/>
  <c r="G222" i="78"/>
  <c r="G223" i="78"/>
  <c r="G225" i="78"/>
  <c r="G226" i="78"/>
  <c r="G227" i="78"/>
  <c r="G228" i="78"/>
  <c r="G229" i="78"/>
  <c r="G230" i="78"/>
  <c r="G231" i="78"/>
  <c r="G232" i="78"/>
  <c r="G233" i="78"/>
  <c r="G235" i="78"/>
  <c r="G236" i="78"/>
  <c r="G237" i="78"/>
  <c r="G238" i="78"/>
  <c r="G239" i="78"/>
  <c r="G240" i="78"/>
  <c r="G241" i="78"/>
  <c r="G242" i="78"/>
  <c r="G243" i="78"/>
  <c r="G244" i="78"/>
  <c r="G245" i="78"/>
  <c r="G246" i="78"/>
  <c r="G248" i="78"/>
  <c r="G249" i="78"/>
  <c r="G250" i="78"/>
  <c r="G251" i="78"/>
  <c r="G252" i="78"/>
  <c r="G253" i="78"/>
  <c r="G254" i="78"/>
  <c r="G255" i="78"/>
  <c r="G256" i="78"/>
  <c r="G257" i="78"/>
  <c r="G258" i="78"/>
  <c r="G259" i="78"/>
  <c r="G260" i="78"/>
  <c r="G261" i="78"/>
  <c r="G262" i="78"/>
  <c r="G263" i="78"/>
  <c r="G264" i="78"/>
  <c r="G265" i="78"/>
  <c r="G267" i="78"/>
  <c r="G268" i="78"/>
  <c r="G269" i="78"/>
  <c r="G270" i="78"/>
  <c r="G271" i="78"/>
  <c r="G272" i="78"/>
  <c r="G275" i="78"/>
  <c r="G276" i="78"/>
  <c r="G277" i="78"/>
  <c r="G278" i="78"/>
  <c r="G279" i="78"/>
  <c r="G280" i="78"/>
  <c r="G281" i="78"/>
  <c r="G282" i="78"/>
  <c r="G283" i="78"/>
  <c r="G284" i="78"/>
  <c r="G287" i="78"/>
  <c r="G288" i="78"/>
  <c r="G289" i="78"/>
  <c r="G290" i="78"/>
  <c r="G291" i="78"/>
  <c r="G292" i="78"/>
  <c r="G293" i="78"/>
  <c r="G294" i="78"/>
  <c r="G296" i="78"/>
  <c r="G297" i="78"/>
  <c r="G298" i="78"/>
  <c r="G299" i="78"/>
  <c r="G300" i="78"/>
  <c r="G301" i="78"/>
  <c r="G302" i="78"/>
  <c r="G304" i="78"/>
  <c r="G305" i="78"/>
  <c r="G306" i="78"/>
  <c r="G307" i="78"/>
  <c r="G308" i="78"/>
  <c r="G309" i="78"/>
  <c r="G310" i="78"/>
  <c r="G312" i="78"/>
  <c r="G313" i="78"/>
  <c r="G314" i="78"/>
  <c r="G315" i="78"/>
  <c r="G316" i="78"/>
  <c r="G5" i="78"/>
  <c r="AA319" i="36" l="1"/>
  <c r="AA320" i="36"/>
  <c r="AA321" i="36"/>
  <c r="AA322" i="36"/>
  <c r="AO319" i="36"/>
  <c r="AO320" i="36"/>
  <c r="AO321" i="36"/>
  <c r="AO322" i="36"/>
  <c r="BC319" i="36"/>
  <c r="BC320" i="36"/>
  <c r="BC321" i="36"/>
  <c r="BC322" i="36"/>
  <c r="P31" i="113"/>
  <c r="P4" i="113"/>
  <c r="P5" i="113"/>
  <c r="P6" i="113"/>
  <c r="P7" i="113"/>
  <c r="P8" i="113"/>
  <c r="P9" i="113"/>
  <c r="P10" i="113"/>
  <c r="P11" i="113"/>
  <c r="P12" i="113"/>
  <c r="P13" i="113"/>
  <c r="G135" i="78" s="1"/>
  <c r="P14" i="113"/>
  <c r="P15" i="113"/>
  <c r="P16" i="113"/>
  <c r="P17" i="113"/>
  <c r="P18" i="113"/>
  <c r="P19" i="113"/>
  <c r="P20" i="113"/>
  <c r="G142" i="78" s="1"/>
  <c r="P21" i="113"/>
  <c r="P22" i="113"/>
  <c r="P23" i="113"/>
  <c r="P24" i="113"/>
  <c r="P25" i="113"/>
  <c r="P26" i="113"/>
  <c r="P27" i="113"/>
  <c r="P28" i="113"/>
  <c r="P29" i="113"/>
  <c r="P30" i="113"/>
  <c r="G8" i="55"/>
  <c r="G9" i="55"/>
  <c r="G10" i="55"/>
  <c r="G11" i="55"/>
  <c r="G12" i="55"/>
  <c r="G13" i="55"/>
  <c r="G14" i="55"/>
  <c r="G15" i="55"/>
  <c r="G16" i="55"/>
  <c r="G17" i="55"/>
  <c r="G18" i="55"/>
  <c r="G19" i="55"/>
  <c r="G20" i="55"/>
  <c r="G21" i="55"/>
  <c r="G22" i="55"/>
  <c r="G23" i="55"/>
  <c r="G24" i="55"/>
  <c r="G25" i="55"/>
  <c r="G26" i="55"/>
  <c r="G27" i="55"/>
  <c r="G28" i="55"/>
  <c r="G29" i="55"/>
  <c r="G30" i="55"/>
  <c r="G31" i="55"/>
  <c r="G32" i="55"/>
  <c r="G33" i="55"/>
  <c r="G34" i="55"/>
  <c r="G35" i="55"/>
  <c r="G36" i="55"/>
  <c r="G37" i="55"/>
  <c r="G38" i="55"/>
  <c r="G39" i="55"/>
  <c r="G40" i="55"/>
  <c r="G41" i="55"/>
  <c r="G42" i="55"/>
  <c r="G43" i="55"/>
  <c r="G44" i="55"/>
  <c r="G45" i="55"/>
  <c r="G46" i="55"/>
  <c r="G47" i="55"/>
  <c r="G48" i="55"/>
  <c r="G49" i="55"/>
  <c r="G50" i="55"/>
  <c r="G51" i="55"/>
  <c r="G52" i="55"/>
  <c r="G53" i="55"/>
  <c r="G54" i="55"/>
  <c r="G55" i="55"/>
  <c r="G56" i="55"/>
  <c r="G57" i="55"/>
  <c r="G58" i="55"/>
  <c r="G59" i="55"/>
  <c r="G60" i="55"/>
  <c r="G61" i="55"/>
  <c r="G62" i="55"/>
  <c r="G63" i="55"/>
  <c r="G64" i="55"/>
  <c r="G65" i="55"/>
  <c r="G66" i="55"/>
  <c r="G67" i="55"/>
  <c r="G68" i="55"/>
  <c r="G69" i="55"/>
  <c r="G70" i="55"/>
  <c r="G71" i="55"/>
  <c r="G72" i="55"/>
  <c r="G73" i="55"/>
  <c r="G74" i="55"/>
  <c r="G75" i="55"/>
  <c r="G76" i="55"/>
  <c r="G77" i="55"/>
  <c r="G78" i="55"/>
  <c r="G79" i="55"/>
  <c r="G80" i="55"/>
  <c r="G81" i="55"/>
  <c r="G82" i="55"/>
  <c r="G83" i="55"/>
  <c r="G84" i="55"/>
  <c r="G85" i="55"/>
  <c r="G86" i="55"/>
  <c r="G87" i="55"/>
  <c r="G88" i="55"/>
  <c r="G89" i="55"/>
  <c r="G90" i="55"/>
  <c r="G91" i="55"/>
  <c r="G92" i="55"/>
  <c r="G93" i="55"/>
  <c r="G94" i="55"/>
  <c r="G95" i="55"/>
  <c r="G96" i="55"/>
  <c r="G97" i="55"/>
  <c r="G98" i="55"/>
  <c r="G99" i="55"/>
  <c r="G100" i="55"/>
  <c r="G101" i="55"/>
  <c r="G102" i="55"/>
  <c r="G103" i="55"/>
  <c r="G104" i="55"/>
  <c r="G105" i="55"/>
  <c r="G106" i="55"/>
  <c r="G107" i="55"/>
  <c r="G108" i="55"/>
  <c r="G109" i="55"/>
  <c r="G110" i="55"/>
  <c r="G111" i="55"/>
  <c r="G112" i="55"/>
  <c r="G113" i="55"/>
  <c r="G114" i="55"/>
  <c r="G115" i="55"/>
  <c r="G116" i="55"/>
  <c r="G117" i="55"/>
  <c r="G118" i="55"/>
  <c r="G119" i="55"/>
  <c r="G120" i="55"/>
  <c r="G121" i="55"/>
  <c r="G122" i="55"/>
  <c r="G123" i="55"/>
  <c r="G124" i="55"/>
  <c r="G125" i="55"/>
  <c r="G126" i="55"/>
  <c r="G127" i="55"/>
  <c r="G128" i="55"/>
  <c r="G129" i="55"/>
  <c r="G130" i="55"/>
  <c r="G131" i="55"/>
  <c r="G132" i="55"/>
  <c r="G133" i="55"/>
  <c r="G134" i="55"/>
  <c r="G135" i="55"/>
  <c r="G136" i="55"/>
  <c r="G137" i="55"/>
  <c r="G138" i="55"/>
  <c r="G139" i="55"/>
  <c r="G140" i="55"/>
  <c r="G141" i="55"/>
  <c r="G142" i="55"/>
  <c r="G143" i="55"/>
  <c r="G144" i="55"/>
  <c r="G145" i="55"/>
  <c r="G146" i="55"/>
  <c r="G147" i="55"/>
  <c r="G148" i="55"/>
  <c r="G149" i="55"/>
  <c r="G150" i="55"/>
  <c r="G151" i="55"/>
  <c r="G152" i="55"/>
  <c r="G153" i="55"/>
  <c r="G154" i="55"/>
  <c r="G155" i="55"/>
  <c r="G156" i="55"/>
  <c r="G157" i="55"/>
  <c r="G158" i="55"/>
  <c r="G159" i="55"/>
  <c r="G160" i="55"/>
  <c r="G161" i="55"/>
  <c r="G162" i="55"/>
  <c r="G163" i="55"/>
  <c r="G164" i="55"/>
  <c r="G165" i="55"/>
  <c r="G166" i="55"/>
  <c r="G167" i="55"/>
  <c r="G168" i="55"/>
  <c r="G169" i="55"/>
  <c r="G170" i="55"/>
  <c r="G171" i="55"/>
  <c r="G172" i="55"/>
  <c r="G173" i="55"/>
  <c r="G174" i="55"/>
  <c r="G175" i="55"/>
  <c r="G176" i="55"/>
  <c r="G177" i="55"/>
  <c r="G178" i="55"/>
  <c r="G179" i="55"/>
  <c r="G180" i="55"/>
  <c r="G181" i="55"/>
  <c r="G182" i="55"/>
  <c r="G183" i="55"/>
  <c r="G184" i="55"/>
  <c r="G185" i="55"/>
  <c r="G186" i="55"/>
  <c r="G187" i="55"/>
  <c r="G188" i="55"/>
  <c r="G189" i="55"/>
  <c r="G190" i="55"/>
  <c r="G191" i="55"/>
  <c r="G192" i="55"/>
  <c r="G193" i="55"/>
  <c r="G194" i="55"/>
  <c r="G195" i="55"/>
  <c r="G196" i="55"/>
  <c r="G197" i="55"/>
  <c r="G198" i="55"/>
  <c r="G199" i="55"/>
  <c r="G200" i="55"/>
  <c r="G201" i="55"/>
  <c r="G202" i="55"/>
  <c r="G203" i="55"/>
  <c r="G204" i="55"/>
  <c r="G205" i="55"/>
  <c r="G206" i="55"/>
  <c r="G207" i="55"/>
  <c r="G208" i="55"/>
  <c r="G209" i="55"/>
  <c r="G210" i="55"/>
  <c r="G211" i="55"/>
  <c r="G212" i="55"/>
  <c r="G213" i="55"/>
  <c r="G214" i="55"/>
  <c r="G215" i="55"/>
  <c r="G216" i="55"/>
  <c r="G217" i="55"/>
  <c r="G218" i="55"/>
  <c r="G219" i="55"/>
  <c r="G220" i="55"/>
  <c r="G221" i="55"/>
  <c r="G222" i="55"/>
  <c r="G223" i="55"/>
  <c r="G224" i="55"/>
  <c r="G225" i="55"/>
  <c r="G226" i="55"/>
  <c r="G227" i="55"/>
  <c r="G228" i="55"/>
  <c r="G229" i="55"/>
  <c r="G230" i="55"/>
  <c r="G231" i="55"/>
  <c r="G232" i="55"/>
  <c r="G233" i="55"/>
  <c r="G234" i="55"/>
  <c r="G235" i="55"/>
  <c r="G236" i="55"/>
  <c r="G237" i="55"/>
  <c r="G238" i="55"/>
  <c r="G239" i="55"/>
  <c r="G240" i="55"/>
  <c r="G241" i="55"/>
  <c r="G242" i="55"/>
  <c r="G243" i="55"/>
  <c r="G244" i="55"/>
  <c r="G245" i="55"/>
  <c r="G246" i="55"/>
  <c r="G247" i="55"/>
  <c r="G248" i="55"/>
  <c r="G249" i="55"/>
  <c r="G250" i="55"/>
  <c r="G251" i="55"/>
  <c r="G252" i="55"/>
  <c r="G253" i="55"/>
  <c r="G254" i="55"/>
  <c r="G255" i="55"/>
  <c r="G256" i="55"/>
  <c r="G257" i="55"/>
  <c r="G258" i="55"/>
  <c r="G259" i="55"/>
  <c r="G260" i="55"/>
  <c r="G261" i="55"/>
  <c r="G262" i="55"/>
  <c r="G263" i="55"/>
  <c r="G264" i="55"/>
  <c r="G265" i="55"/>
  <c r="G266" i="55"/>
  <c r="G267" i="55"/>
  <c r="G268" i="55"/>
  <c r="G269" i="55"/>
  <c r="G270" i="55"/>
  <c r="G271" i="55"/>
  <c r="G272" i="55"/>
  <c r="G273" i="55"/>
  <c r="G274" i="55"/>
  <c r="G275" i="55"/>
  <c r="G276" i="55"/>
  <c r="G277" i="55"/>
  <c r="G278" i="55"/>
  <c r="G279" i="55"/>
  <c r="G280" i="55"/>
  <c r="G281" i="55"/>
  <c r="G282" i="55"/>
  <c r="G283" i="55"/>
  <c r="G284" i="55"/>
  <c r="G285" i="55"/>
  <c r="G286" i="55"/>
  <c r="G287" i="55"/>
  <c r="G288" i="55"/>
  <c r="G289" i="55"/>
  <c r="G290" i="55"/>
  <c r="G291" i="55"/>
  <c r="G292" i="55"/>
  <c r="G293" i="55"/>
  <c r="G294" i="55"/>
  <c r="G295" i="55"/>
  <c r="G296" i="55"/>
  <c r="G297" i="55"/>
  <c r="G298" i="55"/>
  <c r="G299" i="55"/>
  <c r="G300" i="55"/>
  <c r="G301" i="55"/>
  <c r="G302" i="55"/>
  <c r="G303" i="55"/>
  <c r="G304" i="55"/>
  <c r="G305" i="55"/>
  <c r="G306" i="55"/>
  <c r="G307" i="55"/>
  <c r="G308" i="55"/>
  <c r="G309" i="55"/>
  <c r="G310" i="55"/>
  <c r="G311" i="55"/>
  <c r="G312" i="55"/>
  <c r="G313" i="55"/>
  <c r="G314" i="55"/>
  <c r="G315" i="55"/>
  <c r="G316" i="55"/>
  <c r="G317" i="55"/>
  <c r="G318" i="55"/>
  <c r="G319" i="55"/>
  <c r="G320" i="55"/>
  <c r="G321" i="55"/>
  <c r="G322" i="55"/>
  <c r="I322" i="55" s="1"/>
  <c r="G323" i="55"/>
  <c r="I323" i="55" s="1"/>
  <c r="G324" i="55"/>
  <c r="I324" i="55" s="1"/>
  <c r="G7" i="55"/>
  <c r="D8" i="55"/>
  <c r="D9" i="55"/>
  <c r="D10" i="55"/>
  <c r="D11" i="55"/>
  <c r="D12" i="55"/>
  <c r="D13" i="55"/>
  <c r="D14" i="55"/>
  <c r="D15" i="55"/>
  <c r="D16" i="55"/>
  <c r="D17" i="55"/>
  <c r="D18" i="55"/>
  <c r="D19" i="55"/>
  <c r="D20" i="55"/>
  <c r="D21" i="55"/>
  <c r="D22" i="55"/>
  <c r="D23" i="55"/>
  <c r="D24" i="55"/>
  <c r="D25" i="55"/>
  <c r="D26" i="55"/>
  <c r="D27" i="55"/>
  <c r="D28" i="55"/>
  <c r="D29" i="55"/>
  <c r="D30" i="55"/>
  <c r="D31" i="55"/>
  <c r="D32" i="55"/>
  <c r="D33" i="55"/>
  <c r="D34" i="55"/>
  <c r="D35" i="55"/>
  <c r="D36" i="55"/>
  <c r="D37" i="55"/>
  <c r="D38" i="55"/>
  <c r="D39" i="55"/>
  <c r="D40" i="55"/>
  <c r="D41" i="55"/>
  <c r="D42" i="55"/>
  <c r="D43" i="55"/>
  <c r="D44" i="55"/>
  <c r="D45" i="55"/>
  <c r="D46" i="55"/>
  <c r="D47" i="55"/>
  <c r="D48" i="55"/>
  <c r="D49" i="55"/>
  <c r="D50" i="55"/>
  <c r="D51" i="55"/>
  <c r="D52" i="55"/>
  <c r="D53" i="55"/>
  <c r="D54" i="55"/>
  <c r="D55" i="55"/>
  <c r="D56" i="55"/>
  <c r="D57" i="55"/>
  <c r="D58" i="55"/>
  <c r="D59" i="55"/>
  <c r="D60" i="55"/>
  <c r="D61" i="55"/>
  <c r="D62" i="55"/>
  <c r="D63" i="55"/>
  <c r="D64" i="55"/>
  <c r="D65" i="55"/>
  <c r="D66" i="55"/>
  <c r="D67" i="55"/>
  <c r="D68" i="55"/>
  <c r="D69" i="55"/>
  <c r="D70" i="55"/>
  <c r="D71" i="55"/>
  <c r="D72" i="55"/>
  <c r="D73" i="55"/>
  <c r="D74" i="55"/>
  <c r="D75" i="55"/>
  <c r="D76" i="55"/>
  <c r="D77" i="55"/>
  <c r="D78" i="55"/>
  <c r="D79" i="55"/>
  <c r="D80" i="55"/>
  <c r="D81" i="55"/>
  <c r="D82" i="55"/>
  <c r="D83" i="55"/>
  <c r="D84" i="55"/>
  <c r="D85" i="55"/>
  <c r="D86" i="55"/>
  <c r="D87" i="55"/>
  <c r="D88" i="55"/>
  <c r="D89" i="55"/>
  <c r="D90" i="55"/>
  <c r="D91" i="55"/>
  <c r="D92" i="55"/>
  <c r="D93" i="55"/>
  <c r="D94" i="55"/>
  <c r="D95" i="55"/>
  <c r="D96" i="55"/>
  <c r="D97" i="55"/>
  <c r="D98" i="55"/>
  <c r="D99" i="55"/>
  <c r="D100" i="55"/>
  <c r="D101" i="55"/>
  <c r="D102" i="55"/>
  <c r="D103" i="55"/>
  <c r="D104" i="55"/>
  <c r="D105" i="55"/>
  <c r="D106" i="55"/>
  <c r="D107" i="55"/>
  <c r="D108" i="55"/>
  <c r="D109" i="55"/>
  <c r="D110" i="55"/>
  <c r="D111" i="55"/>
  <c r="D112" i="55"/>
  <c r="D113" i="55"/>
  <c r="D114" i="55"/>
  <c r="D115" i="55"/>
  <c r="D116" i="55"/>
  <c r="D117" i="55"/>
  <c r="D118" i="55"/>
  <c r="D119" i="55"/>
  <c r="D120" i="55"/>
  <c r="D121" i="55"/>
  <c r="D122" i="55"/>
  <c r="D123" i="55"/>
  <c r="D124" i="55"/>
  <c r="D125" i="55"/>
  <c r="D126" i="55"/>
  <c r="D127" i="55"/>
  <c r="D128" i="55"/>
  <c r="D129" i="55"/>
  <c r="D130" i="55"/>
  <c r="D131" i="55"/>
  <c r="D132" i="55"/>
  <c r="D133" i="55"/>
  <c r="D134" i="55"/>
  <c r="D135" i="55"/>
  <c r="D136" i="55"/>
  <c r="D137" i="55"/>
  <c r="D138" i="55"/>
  <c r="D139" i="55"/>
  <c r="D140" i="55"/>
  <c r="D141" i="55"/>
  <c r="D142" i="55"/>
  <c r="D143" i="55"/>
  <c r="D144" i="55"/>
  <c r="D145" i="55"/>
  <c r="D146" i="55"/>
  <c r="D147" i="55"/>
  <c r="D148" i="55"/>
  <c r="D149" i="55"/>
  <c r="D150" i="55"/>
  <c r="D151" i="55"/>
  <c r="D152" i="55"/>
  <c r="D153" i="55"/>
  <c r="D154" i="55"/>
  <c r="D155" i="55"/>
  <c r="D156" i="55"/>
  <c r="D157" i="55"/>
  <c r="D158" i="55"/>
  <c r="D159" i="55"/>
  <c r="D160" i="55"/>
  <c r="D161" i="55"/>
  <c r="D162" i="55"/>
  <c r="D163" i="55"/>
  <c r="D164" i="55"/>
  <c r="D165" i="55"/>
  <c r="D166" i="55"/>
  <c r="D167" i="55"/>
  <c r="D168" i="55"/>
  <c r="D169" i="55"/>
  <c r="D170" i="55"/>
  <c r="D171" i="55"/>
  <c r="D172" i="55"/>
  <c r="D173" i="55"/>
  <c r="D174" i="55"/>
  <c r="D175" i="55"/>
  <c r="D176" i="55"/>
  <c r="D177" i="55"/>
  <c r="D178" i="55"/>
  <c r="D179" i="55"/>
  <c r="D180" i="55"/>
  <c r="D181" i="55"/>
  <c r="D182" i="55"/>
  <c r="D183" i="55"/>
  <c r="D184" i="55"/>
  <c r="D185" i="55"/>
  <c r="D186" i="55"/>
  <c r="D187" i="55"/>
  <c r="D188" i="55"/>
  <c r="D189" i="55"/>
  <c r="D190" i="55"/>
  <c r="D191" i="55"/>
  <c r="D192" i="55"/>
  <c r="D193" i="55"/>
  <c r="D194" i="55"/>
  <c r="D195" i="55"/>
  <c r="D196" i="55"/>
  <c r="D197" i="55"/>
  <c r="D198" i="55"/>
  <c r="D199" i="55"/>
  <c r="D200" i="55"/>
  <c r="D201" i="55"/>
  <c r="D202" i="55"/>
  <c r="D203" i="55"/>
  <c r="D204" i="55"/>
  <c r="D205" i="55"/>
  <c r="D206" i="55"/>
  <c r="D207" i="55"/>
  <c r="D208" i="55"/>
  <c r="D209" i="55"/>
  <c r="D210" i="55"/>
  <c r="D211" i="55"/>
  <c r="D212" i="55"/>
  <c r="D213" i="55"/>
  <c r="D214" i="55"/>
  <c r="D215" i="55"/>
  <c r="D216" i="55"/>
  <c r="D217" i="55"/>
  <c r="D218" i="55"/>
  <c r="D219" i="55"/>
  <c r="D220" i="55"/>
  <c r="D221" i="55"/>
  <c r="D222" i="55"/>
  <c r="D223" i="55"/>
  <c r="D224" i="55"/>
  <c r="D225" i="55"/>
  <c r="D226" i="55"/>
  <c r="D227" i="55"/>
  <c r="D228" i="55"/>
  <c r="D229" i="55"/>
  <c r="D230" i="55"/>
  <c r="D231" i="55"/>
  <c r="D232" i="55"/>
  <c r="D233" i="55"/>
  <c r="D234" i="55"/>
  <c r="D235" i="55"/>
  <c r="D236" i="55"/>
  <c r="D237" i="55"/>
  <c r="D238" i="55"/>
  <c r="D239" i="55"/>
  <c r="D240" i="55"/>
  <c r="D241" i="55"/>
  <c r="D242" i="55"/>
  <c r="D243" i="55"/>
  <c r="D244" i="55"/>
  <c r="D245" i="55"/>
  <c r="D246" i="55"/>
  <c r="D247" i="55"/>
  <c r="D248" i="55"/>
  <c r="D249" i="55"/>
  <c r="D250" i="55"/>
  <c r="D251" i="55"/>
  <c r="D252" i="55"/>
  <c r="D253" i="55"/>
  <c r="D254" i="55"/>
  <c r="D255" i="55"/>
  <c r="D256" i="55"/>
  <c r="D257" i="55"/>
  <c r="D258" i="55"/>
  <c r="D259" i="55"/>
  <c r="D260" i="55"/>
  <c r="D261" i="55"/>
  <c r="D262" i="55"/>
  <c r="D263" i="55"/>
  <c r="D264" i="55"/>
  <c r="D265" i="55"/>
  <c r="D266" i="55"/>
  <c r="D267" i="55"/>
  <c r="D268" i="55"/>
  <c r="D269" i="55"/>
  <c r="D270" i="55"/>
  <c r="D271" i="55"/>
  <c r="D272" i="55"/>
  <c r="D273" i="55"/>
  <c r="D274" i="55"/>
  <c r="D275" i="55"/>
  <c r="D276" i="55"/>
  <c r="D277" i="55"/>
  <c r="D278" i="55"/>
  <c r="D279" i="55"/>
  <c r="D280" i="55"/>
  <c r="D281" i="55"/>
  <c r="D282" i="55"/>
  <c r="D283" i="55"/>
  <c r="D284" i="55"/>
  <c r="D285" i="55"/>
  <c r="D286" i="55"/>
  <c r="D287" i="55"/>
  <c r="D288" i="55"/>
  <c r="D289" i="55"/>
  <c r="D290" i="55"/>
  <c r="D291" i="55"/>
  <c r="D292" i="55"/>
  <c r="D293" i="55"/>
  <c r="D294" i="55"/>
  <c r="D295" i="55"/>
  <c r="D296" i="55"/>
  <c r="D297" i="55"/>
  <c r="D298" i="55"/>
  <c r="D299" i="55"/>
  <c r="D300" i="55"/>
  <c r="D301" i="55"/>
  <c r="D302" i="55"/>
  <c r="D303" i="55"/>
  <c r="D304" i="55"/>
  <c r="D305" i="55"/>
  <c r="D306" i="55"/>
  <c r="D307" i="55"/>
  <c r="D308" i="55"/>
  <c r="D309" i="55"/>
  <c r="D310" i="55"/>
  <c r="D311" i="55"/>
  <c r="D312" i="55"/>
  <c r="D313" i="55"/>
  <c r="D314" i="55"/>
  <c r="D315" i="55"/>
  <c r="D316" i="55"/>
  <c r="D317" i="55"/>
  <c r="D318" i="55"/>
  <c r="D319" i="55"/>
  <c r="D320" i="55"/>
  <c r="D321" i="55"/>
  <c r="D322" i="55"/>
  <c r="D323" i="55"/>
  <c r="D324" i="55"/>
  <c r="D7" i="55"/>
  <c r="AN324" i="55"/>
  <c r="AM324" i="55"/>
  <c r="AK324" i="55"/>
  <c r="AJ324" i="55"/>
  <c r="AF324" i="55"/>
  <c r="AE324" i="55"/>
  <c r="AD324" i="55"/>
  <c r="AC324" i="55"/>
  <c r="AB324" i="55"/>
  <c r="AA324" i="55"/>
  <c r="Z324" i="55"/>
  <c r="Y324" i="55"/>
  <c r="X324" i="55"/>
  <c r="T324" i="55"/>
  <c r="S324" i="55"/>
  <c r="R324" i="55"/>
  <c r="O324" i="55"/>
  <c r="N324" i="55"/>
  <c r="M324" i="55"/>
  <c r="K324" i="55"/>
  <c r="J324" i="55"/>
  <c r="E324" i="55"/>
  <c r="AN323" i="55"/>
  <c r="AM323" i="55"/>
  <c r="AK323" i="55"/>
  <c r="AJ323" i="55"/>
  <c r="AF323" i="55"/>
  <c r="AE323" i="55"/>
  <c r="AD323" i="55"/>
  <c r="AC323" i="55"/>
  <c r="AB323" i="55"/>
  <c r="AA323" i="55"/>
  <c r="Z323" i="55"/>
  <c r="Y323" i="55"/>
  <c r="X323" i="55"/>
  <c r="T323" i="55"/>
  <c r="S323" i="55"/>
  <c r="R323" i="55"/>
  <c r="U323" i="55" s="1"/>
  <c r="O323" i="55"/>
  <c r="N323" i="55"/>
  <c r="M323" i="55"/>
  <c r="K323" i="55"/>
  <c r="J323" i="55"/>
  <c r="E323" i="55"/>
  <c r="AN322" i="55"/>
  <c r="AM322" i="55"/>
  <c r="AK322" i="55"/>
  <c r="AJ322" i="55"/>
  <c r="AF322" i="55"/>
  <c r="AE322" i="55"/>
  <c r="AD322" i="55"/>
  <c r="AC322" i="55"/>
  <c r="AB322" i="55"/>
  <c r="AA322" i="55"/>
  <c r="Z322" i="55"/>
  <c r="Y322" i="55"/>
  <c r="X322" i="55"/>
  <c r="T322" i="55"/>
  <c r="S322" i="55"/>
  <c r="R322" i="55"/>
  <c r="U322" i="55" s="1"/>
  <c r="O322" i="55"/>
  <c r="N322" i="55"/>
  <c r="M322" i="55"/>
  <c r="K322" i="55"/>
  <c r="J322" i="55"/>
  <c r="E322" i="55"/>
  <c r="AN321" i="55"/>
  <c r="AM321" i="55"/>
  <c r="AK321" i="55"/>
  <c r="AJ321" i="55"/>
  <c r="AF321" i="55"/>
  <c r="AE321" i="55"/>
  <c r="AD321" i="55"/>
  <c r="AC321" i="55"/>
  <c r="AB321" i="55"/>
  <c r="AA321" i="55"/>
  <c r="Z321" i="55"/>
  <c r="Y321" i="55"/>
  <c r="X321" i="55"/>
  <c r="T321" i="55"/>
  <c r="S321" i="55"/>
  <c r="R321" i="55"/>
  <c r="U321" i="55" s="1"/>
  <c r="O321" i="55"/>
  <c r="N321" i="55"/>
  <c r="M321" i="55"/>
  <c r="K321" i="55"/>
  <c r="J321" i="55"/>
  <c r="E321" i="55"/>
  <c r="AB4" i="1"/>
  <c r="AC4" i="1"/>
  <c r="AA4" i="1"/>
  <c r="AU4" i="1"/>
  <c r="AE4" i="1"/>
  <c r="AT4" i="1"/>
  <c r="AS4" i="1"/>
  <c r="AQ4" i="1"/>
  <c r="AP4" i="1"/>
  <c r="O4" i="1"/>
  <c r="E4" i="1"/>
  <c r="D4" i="1"/>
  <c r="C4" i="1"/>
  <c r="G219" i="78" l="1"/>
  <c r="G162" i="78"/>
  <c r="G140" i="78"/>
  <c r="G92" i="78"/>
  <c r="G81" i="78"/>
  <c r="G128" i="78"/>
  <c r="G218" i="78"/>
  <c r="G247" i="78"/>
  <c r="G139" i="78"/>
  <c r="G234" i="78"/>
  <c r="G62" i="78"/>
  <c r="G114" i="78"/>
  <c r="G182" i="78"/>
  <c r="G168" i="78"/>
  <c r="G138" i="78"/>
  <c r="G123" i="78"/>
  <c r="G53" i="78"/>
  <c r="G303" i="78"/>
  <c r="G34" i="78"/>
  <c r="G100" i="78"/>
  <c r="G180" i="78"/>
  <c r="G224" i="78"/>
  <c r="G137" i="78"/>
  <c r="G91" i="78"/>
  <c r="G48" i="78"/>
  <c r="G195" i="78"/>
  <c r="G274" i="78"/>
  <c r="G67" i="78"/>
  <c r="G179" i="78"/>
  <c r="G184" i="78"/>
  <c r="G136" i="78"/>
  <c r="G286" i="78"/>
  <c r="G45" i="78"/>
  <c r="G115" i="78"/>
  <c r="G273" i="78"/>
  <c r="G295" i="78"/>
  <c r="G176" i="78"/>
  <c r="G153" i="78"/>
  <c r="G43" i="78"/>
  <c r="G285" i="78"/>
  <c r="G221" i="78"/>
  <c r="G266" i="78"/>
  <c r="G134" i="78"/>
  <c r="G18" i="78"/>
  <c r="G40" i="78"/>
  <c r="G64" i="78"/>
  <c r="G220" i="78"/>
  <c r="G154" i="78"/>
  <c r="G141" i="78"/>
  <c r="G311" i="78"/>
  <c r="G133" i="78"/>
  <c r="G317" i="78"/>
  <c r="I321" i="55"/>
  <c r="U324" i="55"/>
  <c r="V324" i="55"/>
  <c r="AH323" i="55"/>
  <c r="F321" i="55"/>
  <c r="L321" i="55"/>
  <c r="V321" i="55"/>
  <c r="F323" i="55"/>
  <c r="AG324" i="55"/>
  <c r="V322" i="55"/>
  <c r="F324" i="55"/>
  <c r="AH321" i="55"/>
  <c r="F322" i="55"/>
  <c r="L324" i="55"/>
  <c r="AH322" i="55"/>
  <c r="AH324" i="55"/>
  <c r="L322" i="55"/>
  <c r="AG321" i="55"/>
  <c r="AG322" i="55"/>
  <c r="AI321" i="55"/>
  <c r="AI322" i="55"/>
  <c r="AG323" i="55"/>
  <c r="AI324" i="55"/>
  <c r="L323" i="55"/>
  <c r="V323" i="55"/>
  <c r="AI323" i="55"/>
  <c r="AG4" i="1"/>
  <c r="Z4" i="1"/>
  <c r="AR4" i="1"/>
  <c r="V4" i="1"/>
  <c r="AF4" i="1"/>
  <c r="X4" i="1"/>
  <c r="Y4" i="1"/>
  <c r="U4" i="1"/>
  <c r="AD4" i="1"/>
  <c r="T314" i="1"/>
  <c r="T306" i="1"/>
  <c r="T298" i="1"/>
  <c r="T290" i="1"/>
  <c r="T282" i="1"/>
  <c r="T274" i="1"/>
  <c r="T266" i="1"/>
  <c r="T258" i="1"/>
  <c r="T250" i="1"/>
  <c r="T242" i="1"/>
  <c r="T234" i="1"/>
  <c r="T226" i="1"/>
  <c r="T218" i="1"/>
  <c r="T210" i="1"/>
  <c r="T202" i="1"/>
  <c r="T194" i="1"/>
  <c r="T186" i="1"/>
  <c r="T178" i="1"/>
  <c r="T170" i="1"/>
  <c r="T162" i="1"/>
  <c r="T154" i="1"/>
  <c r="T146" i="1"/>
  <c r="T138" i="1"/>
  <c r="T130" i="1"/>
  <c r="T122" i="1"/>
  <c r="T114" i="1"/>
  <c r="T106" i="1"/>
  <c r="T98" i="1"/>
  <c r="T90" i="1"/>
  <c r="T82" i="1"/>
  <c r="T74" i="1"/>
  <c r="T66" i="1"/>
  <c r="T58" i="1"/>
  <c r="T50" i="1"/>
  <c r="T42" i="1"/>
  <c r="T34" i="1"/>
  <c r="T26" i="1"/>
  <c r="T18" i="1"/>
  <c r="T10" i="1"/>
  <c r="T289" i="1"/>
  <c r="T281" i="1"/>
  <c r="T273" i="1"/>
  <c r="T265" i="1"/>
  <c r="T260" i="1"/>
  <c r="T257" i="1"/>
  <c r="T249" i="1"/>
  <c r="T241" i="1"/>
  <c r="T233" i="1"/>
  <c r="T225" i="1"/>
  <c r="T217" i="1"/>
  <c r="T209" i="1"/>
  <c r="T201" i="1"/>
  <c r="T196" i="1"/>
  <c r="T193" i="1"/>
  <c r="T185" i="1"/>
  <c r="T177" i="1"/>
  <c r="T169" i="1"/>
  <c r="T161" i="1"/>
  <c r="T153" i="1"/>
  <c r="T145" i="1"/>
  <c r="T137" i="1"/>
  <c r="T132" i="1"/>
  <c r="T129" i="1"/>
  <c r="T121" i="1"/>
  <c r="T113" i="1"/>
  <c r="T105" i="1"/>
  <c r="T97" i="1"/>
  <c r="T89" i="1"/>
  <c r="T81" i="1"/>
  <c r="T73" i="1"/>
  <c r="T68" i="1"/>
  <c r="T65" i="1"/>
  <c r="T57" i="1"/>
  <c r="T49" i="1"/>
  <c r="T41" i="1"/>
  <c r="T36" i="1"/>
  <c r="T33" i="1"/>
  <c r="T25" i="1"/>
  <c r="T17" i="1"/>
  <c r="T9" i="1"/>
  <c r="W4" i="1"/>
  <c r="T377" i="1"/>
  <c r="T369" i="1"/>
  <c r="T361" i="1"/>
  <c r="T353" i="1"/>
  <c r="T345" i="1"/>
  <c r="T337" i="1"/>
  <c r="T329" i="1"/>
  <c r="T324" i="1"/>
  <c r="T321" i="1"/>
  <c r="T313" i="1"/>
  <c r="T305" i="1"/>
  <c r="T297" i="1"/>
  <c r="T380" i="1"/>
  <c r="T372" i="1"/>
  <c r="T364" i="1"/>
  <c r="T356" i="1"/>
  <c r="T348" i="1"/>
  <c r="T340" i="1"/>
  <c r="T332" i="1"/>
  <c r="T316" i="1"/>
  <c r="T308" i="1"/>
  <c r="T300" i="1"/>
  <c r="T292" i="1"/>
  <c r="T284" i="1"/>
  <c r="T276" i="1"/>
  <c r="T268" i="1"/>
  <c r="T252" i="1"/>
  <c r="T244" i="1"/>
  <c r="T236" i="1"/>
  <c r="T228" i="1"/>
  <c r="T220" i="1"/>
  <c r="T212" i="1"/>
  <c r="T204" i="1"/>
  <c r="T188" i="1"/>
  <c r="T180" i="1"/>
  <c r="T172" i="1"/>
  <c r="T164" i="1"/>
  <c r="T156" i="1"/>
  <c r="T148" i="1"/>
  <c r="T140" i="1"/>
  <c r="T124" i="1"/>
  <c r="T116" i="1"/>
  <c r="T108" i="1"/>
  <c r="T100" i="1"/>
  <c r="T92" i="1"/>
  <c r="T84" i="1"/>
  <c r="T76" i="1"/>
  <c r="T60" i="1"/>
  <c r="T52" i="1"/>
  <c r="T44" i="1"/>
  <c r="T28" i="1"/>
  <c r="T20" i="1"/>
  <c r="T12" i="1"/>
  <c r="T379" i="1"/>
  <c r="T371" i="1"/>
  <c r="T363" i="1"/>
  <c r="T355" i="1"/>
  <c r="T347" i="1"/>
  <c r="T339" i="1"/>
  <c r="T331" i="1"/>
  <c r="T323" i="1"/>
  <c r="T315" i="1"/>
  <c r="T22" i="1"/>
  <c r="T14" i="1"/>
  <c r="T381" i="1"/>
  <c r="T373" i="1"/>
  <c r="T365" i="1"/>
  <c r="T357" i="1"/>
  <c r="T349" i="1"/>
  <c r="T341" i="1"/>
  <c r="T333" i="1"/>
  <c r="T325" i="1"/>
  <c r="T317" i="1"/>
  <c r="T309" i="1"/>
  <c r="T301" i="1"/>
  <c r="T293" i="1"/>
  <c r="T285" i="1"/>
  <c r="T277" i="1"/>
  <c r="T269" i="1"/>
  <c r="T261" i="1"/>
  <c r="T253" i="1"/>
  <c r="T245" i="1"/>
  <c r="T237" i="1"/>
  <c r="T229" i="1"/>
  <c r="T221" i="1"/>
  <c r="T213" i="1"/>
  <c r="T205" i="1"/>
  <c r="T197" i="1"/>
  <c r="T189" i="1"/>
  <c r="T181" i="1"/>
  <c r="T173" i="1"/>
  <c r="T165" i="1"/>
  <c r="T157" i="1"/>
  <c r="T149" i="1"/>
  <c r="T141" i="1"/>
  <c r="T133" i="1"/>
  <c r="T125" i="1"/>
  <c r="T117" i="1"/>
  <c r="T109" i="1"/>
  <c r="T101" i="1"/>
  <c r="T93" i="1"/>
  <c r="T85" i="1"/>
  <c r="T77" i="1"/>
  <c r="T69" i="1"/>
  <c r="T61" i="1"/>
  <c r="T53" i="1"/>
  <c r="T45" i="1"/>
  <c r="T37" i="1"/>
  <c r="T29" i="1"/>
  <c r="T21" i="1"/>
  <c r="T13" i="1"/>
  <c r="T382" i="1"/>
  <c r="T374" i="1"/>
  <c r="T366" i="1"/>
  <c r="T358" i="1"/>
  <c r="T350" i="1"/>
  <c r="T342" i="1"/>
  <c r="T334" i="1"/>
  <c r="T326" i="1"/>
  <c r="T318" i="1"/>
  <c r="T310" i="1"/>
  <c r="T302" i="1"/>
  <c r="T294" i="1"/>
  <c r="T286" i="1"/>
  <c r="T278" i="1"/>
  <c r="T270" i="1"/>
  <c r="T262" i="1"/>
  <c r="T254" i="1"/>
  <c r="T246" i="1"/>
  <c r="T238" i="1"/>
  <c r="T230" i="1"/>
  <c r="T222" i="1"/>
  <c r="T214" i="1"/>
  <c r="T206" i="1"/>
  <c r="T198" i="1"/>
  <c r="T190" i="1"/>
  <c r="T182" i="1"/>
  <c r="T174" i="1"/>
  <c r="T166" i="1"/>
  <c r="T158" i="1"/>
  <c r="T150" i="1"/>
  <c r="T142" i="1"/>
  <c r="T134" i="1"/>
  <c r="T126" i="1"/>
  <c r="T118" i="1"/>
  <c r="T110" i="1"/>
  <c r="T102" i="1"/>
  <c r="T94" i="1"/>
  <c r="T86" i="1"/>
  <c r="T78" i="1"/>
  <c r="T70" i="1"/>
  <c r="T62" i="1"/>
  <c r="T54" i="1"/>
  <c r="T46" i="1"/>
  <c r="T38" i="1"/>
  <c r="T30" i="1"/>
  <c r="T307" i="1"/>
  <c r="T299" i="1"/>
  <c r="T291" i="1"/>
  <c r="T283" i="1"/>
  <c r="T275" i="1"/>
  <c r="T267" i="1"/>
  <c r="T259" i="1"/>
  <c r="T251" i="1"/>
  <c r="T243" i="1"/>
  <c r="T235" i="1"/>
  <c r="T227" i="1"/>
  <c r="T219" i="1"/>
  <c r="T211" i="1"/>
  <c r="T203" i="1"/>
  <c r="T195" i="1"/>
  <c r="T187" i="1"/>
  <c r="T179" i="1"/>
  <c r="T171" i="1"/>
  <c r="T163" i="1"/>
  <c r="T155" i="1"/>
  <c r="T147" i="1"/>
  <c r="T139" i="1"/>
  <c r="T131" i="1"/>
  <c r="T123" i="1"/>
  <c r="T115" i="1"/>
  <c r="T107" i="1"/>
  <c r="T99" i="1"/>
  <c r="T91" i="1"/>
  <c r="T83" i="1"/>
  <c r="T75" i="1"/>
  <c r="T67" i="1"/>
  <c r="T59" i="1"/>
  <c r="T51" i="1"/>
  <c r="T43" i="1"/>
  <c r="T35" i="1"/>
  <c r="T27" i="1"/>
  <c r="T19" i="1"/>
  <c r="T11" i="1"/>
  <c r="T376" i="1"/>
  <c r="T368" i="1"/>
  <c r="T360" i="1"/>
  <c r="T352" i="1"/>
  <c r="T344" i="1"/>
  <c r="T336" i="1"/>
  <c r="T328" i="1"/>
  <c r="T320" i="1"/>
  <c r="T312" i="1"/>
  <c r="T304" i="1"/>
  <c r="T296" i="1"/>
  <c r="T288" i="1"/>
  <c r="T280" i="1"/>
  <c r="T272" i="1"/>
  <c r="T264" i="1"/>
  <c r="T256" i="1"/>
  <c r="T248" i="1"/>
  <c r="T240" i="1"/>
  <c r="T232" i="1"/>
  <c r="T224" i="1"/>
  <c r="T216" i="1"/>
  <c r="T208" i="1"/>
  <c r="T200" i="1"/>
  <c r="T192" i="1"/>
  <c r="T184" i="1"/>
  <c r="T176" i="1"/>
  <c r="T168" i="1"/>
  <c r="T160" i="1"/>
  <c r="T152" i="1"/>
  <c r="T144" i="1"/>
  <c r="T136" i="1"/>
  <c r="T128" i="1"/>
  <c r="T120" i="1"/>
  <c r="T112" i="1"/>
  <c r="T104" i="1"/>
  <c r="T96" i="1"/>
  <c r="T88" i="1"/>
  <c r="T80" i="1"/>
  <c r="T72" i="1"/>
  <c r="T64" i="1"/>
  <c r="T56" i="1"/>
  <c r="T48" i="1"/>
  <c r="T40" i="1"/>
  <c r="T32" i="1"/>
  <c r="T24" i="1"/>
  <c r="T16" i="1"/>
  <c r="T8" i="1"/>
  <c r="T378" i="1"/>
  <c r="T370" i="1"/>
  <c r="T362" i="1"/>
  <c r="T354" i="1"/>
  <c r="T346" i="1"/>
  <c r="T338" i="1"/>
  <c r="T330" i="1"/>
  <c r="T322" i="1"/>
  <c r="T375" i="1"/>
  <c r="T367" i="1"/>
  <c r="T359" i="1"/>
  <c r="T351" i="1"/>
  <c r="T343" i="1"/>
  <c r="T335" i="1"/>
  <c r="T327" i="1"/>
  <c r="T319" i="1"/>
  <c r="T311" i="1"/>
  <c r="T303" i="1"/>
  <c r="T295" i="1"/>
  <c r="T287" i="1"/>
  <c r="T279" i="1"/>
  <c r="T271" i="1"/>
  <c r="T263" i="1"/>
  <c r="T255" i="1"/>
  <c r="T247" i="1"/>
  <c r="T239" i="1"/>
  <c r="T231" i="1"/>
  <c r="T223" i="1"/>
  <c r="T215" i="1"/>
  <c r="T207" i="1"/>
  <c r="T199" i="1"/>
  <c r="T191" i="1"/>
  <c r="T183" i="1"/>
  <c r="T175" i="1"/>
  <c r="T167" i="1"/>
  <c r="T159" i="1"/>
  <c r="T151" i="1"/>
  <c r="T143" i="1"/>
  <c r="T135" i="1"/>
  <c r="T127" i="1"/>
  <c r="T119" i="1"/>
  <c r="T111" i="1"/>
  <c r="T103" i="1"/>
  <c r="T95" i="1"/>
  <c r="T87" i="1"/>
  <c r="T79" i="1"/>
  <c r="T71" i="1"/>
  <c r="T63" i="1"/>
  <c r="T55" i="1"/>
  <c r="T47" i="1"/>
  <c r="T39" i="1"/>
  <c r="T31" i="1"/>
  <c r="T23" i="1"/>
  <c r="T15" i="1"/>
  <c r="T7" i="1"/>
  <c r="R4" i="1"/>
  <c r="Q4" i="1"/>
  <c r="S4" i="1"/>
  <c r="P4" i="1"/>
  <c r="G4" i="78" l="1"/>
  <c r="H322" i="78"/>
  <c r="W324" i="55"/>
  <c r="W321" i="55"/>
  <c r="W322" i="55"/>
  <c r="W323" i="55"/>
  <c r="D6" i="33" l="1"/>
  <c r="AS62" i="32" l="1"/>
  <c r="AR62" i="32"/>
  <c r="AS61" i="32"/>
  <c r="AR61" i="32"/>
  <c r="AS45" i="32"/>
  <c r="AR45" i="32"/>
  <c r="AS43" i="32"/>
  <c r="AR43" i="32"/>
  <c r="AS42" i="32"/>
  <c r="AR42" i="32"/>
  <c r="AS41" i="32"/>
  <c r="AR41" i="32"/>
  <c r="AS38" i="32"/>
  <c r="AR38" i="32"/>
  <c r="AS37" i="32"/>
  <c r="AR37" i="32"/>
  <c r="D49" i="32"/>
  <c r="B49" i="32"/>
  <c r="B3" i="32"/>
  <c r="C2" i="136"/>
  <c r="D2" i="136"/>
  <c r="C5" i="136"/>
  <c r="D5" i="136"/>
  <c r="C6" i="136"/>
  <c r="D6" i="136"/>
  <c r="C7" i="136"/>
  <c r="D7" i="136"/>
  <c r="C8" i="136"/>
  <c r="D8" i="136"/>
  <c r="C9" i="136"/>
  <c r="D9" i="136"/>
  <c r="C10" i="136"/>
  <c r="D10" i="136"/>
  <c r="C11" i="136"/>
  <c r="D11" i="136"/>
  <c r="C12" i="136"/>
  <c r="D12" i="136"/>
  <c r="C13" i="136"/>
  <c r="D13" i="136"/>
  <c r="C14" i="136"/>
  <c r="D14" i="136"/>
  <c r="C15" i="136"/>
  <c r="D15" i="136"/>
  <c r="C16" i="136"/>
  <c r="D16" i="136"/>
  <c r="C17" i="136"/>
  <c r="D17" i="136"/>
  <c r="C18" i="136"/>
  <c r="D18" i="136"/>
  <c r="C19" i="136"/>
  <c r="D19" i="136"/>
  <c r="C20" i="136"/>
  <c r="D20" i="136"/>
  <c r="C21" i="136"/>
  <c r="D21" i="136"/>
  <c r="C22" i="136"/>
  <c r="D22" i="136"/>
  <c r="C23" i="136"/>
  <c r="D23" i="136"/>
  <c r="C24" i="136"/>
  <c r="D24" i="136"/>
  <c r="C25" i="136"/>
  <c r="D25" i="136"/>
  <c r="C26" i="136"/>
  <c r="D26" i="136"/>
  <c r="C27" i="136"/>
  <c r="D27" i="136"/>
  <c r="C28" i="136"/>
  <c r="D28" i="136"/>
  <c r="C29" i="136"/>
  <c r="D29" i="136"/>
  <c r="C30" i="136"/>
  <c r="D30" i="136"/>
  <c r="C31" i="136"/>
  <c r="D31" i="136"/>
  <c r="C32" i="136"/>
  <c r="D32" i="136"/>
  <c r="C33" i="136"/>
  <c r="D33" i="136"/>
  <c r="C34" i="136"/>
  <c r="D34" i="136"/>
  <c r="C35" i="136"/>
  <c r="D35" i="136"/>
  <c r="C36" i="136"/>
  <c r="D36" i="136"/>
  <c r="C37" i="136"/>
  <c r="D37" i="136"/>
  <c r="C38" i="136"/>
  <c r="D38" i="136"/>
  <c r="C39" i="136"/>
  <c r="D39" i="136"/>
  <c r="C40" i="136"/>
  <c r="D40" i="136"/>
  <c r="C41" i="136"/>
  <c r="D41" i="136"/>
  <c r="C42" i="136"/>
  <c r="D42" i="136"/>
  <c r="C43" i="136"/>
  <c r="D43" i="136"/>
  <c r="C44" i="136"/>
  <c r="D44" i="136"/>
  <c r="C45" i="136"/>
  <c r="D45" i="136"/>
  <c r="C46" i="136"/>
  <c r="D46" i="136"/>
  <c r="C47" i="136"/>
  <c r="D47" i="136"/>
  <c r="C48" i="136"/>
  <c r="D48" i="136"/>
  <c r="C49" i="136"/>
  <c r="D49" i="136"/>
  <c r="C50" i="136"/>
  <c r="D50" i="136"/>
  <c r="C51" i="136"/>
  <c r="D51" i="136"/>
  <c r="C52" i="136"/>
  <c r="D52" i="136"/>
  <c r="C53" i="136"/>
  <c r="D53" i="136"/>
  <c r="C54" i="136"/>
  <c r="D54" i="136"/>
  <c r="C55" i="136"/>
  <c r="D55" i="136"/>
  <c r="C56" i="136"/>
  <c r="D56" i="136"/>
  <c r="C57" i="136"/>
  <c r="D57" i="136"/>
  <c r="C58" i="136"/>
  <c r="D58" i="136"/>
  <c r="C59" i="136"/>
  <c r="D59" i="136"/>
  <c r="C60" i="136"/>
  <c r="D60" i="136"/>
  <c r="C61" i="136"/>
  <c r="D61" i="136"/>
  <c r="C62" i="136"/>
  <c r="D62" i="136"/>
  <c r="C63" i="136"/>
  <c r="D63" i="136"/>
  <c r="C64" i="136"/>
  <c r="D64" i="136"/>
  <c r="C65" i="136"/>
  <c r="D65" i="136"/>
  <c r="C66" i="136"/>
  <c r="D66" i="136"/>
  <c r="C67" i="136"/>
  <c r="D67" i="136"/>
  <c r="C68" i="136"/>
  <c r="D68" i="136"/>
  <c r="C69" i="136"/>
  <c r="D69" i="136"/>
  <c r="C70" i="136"/>
  <c r="D70" i="136"/>
  <c r="C71" i="136"/>
  <c r="D71" i="136"/>
  <c r="C72" i="136"/>
  <c r="D72" i="136"/>
  <c r="C73" i="136"/>
  <c r="D73" i="136"/>
  <c r="C74" i="136"/>
  <c r="D74" i="136"/>
  <c r="C75" i="136"/>
  <c r="D75" i="136"/>
  <c r="C76" i="136"/>
  <c r="D76" i="136"/>
  <c r="C77" i="136"/>
  <c r="D77" i="136"/>
  <c r="C78" i="136"/>
  <c r="D78" i="136"/>
  <c r="C79" i="136"/>
  <c r="D79" i="136"/>
  <c r="C80" i="136"/>
  <c r="D80" i="136"/>
  <c r="C81" i="136"/>
  <c r="D81" i="136"/>
  <c r="C82" i="136"/>
  <c r="D82" i="136"/>
  <c r="C83" i="136"/>
  <c r="D83" i="136"/>
  <c r="C84" i="136"/>
  <c r="D84" i="136"/>
  <c r="C85" i="136"/>
  <c r="D85" i="136"/>
  <c r="C86" i="136"/>
  <c r="D86" i="136"/>
  <c r="C87" i="136"/>
  <c r="D87" i="136"/>
  <c r="C88" i="136"/>
  <c r="D88" i="136"/>
  <c r="C89" i="136"/>
  <c r="D89" i="136"/>
  <c r="C90" i="136"/>
  <c r="D90" i="136"/>
  <c r="C91" i="136"/>
  <c r="D91" i="136"/>
  <c r="C92" i="136"/>
  <c r="D92" i="136"/>
  <c r="C93" i="136"/>
  <c r="D93" i="136"/>
  <c r="C94" i="136"/>
  <c r="D94" i="136"/>
  <c r="C95" i="136"/>
  <c r="D95" i="136"/>
  <c r="C96" i="136"/>
  <c r="D96" i="136"/>
  <c r="C97" i="136"/>
  <c r="D97" i="136"/>
  <c r="C98" i="136"/>
  <c r="D98" i="136"/>
  <c r="C99" i="136"/>
  <c r="D99" i="136"/>
  <c r="C100" i="136"/>
  <c r="D100" i="136"/>
  <c r="C101" i="136"/>
  <c r="D101" i="136"/>
  <c r="C102" i="136"/>
  <c r="D102" i="136"/>
  <c r="C103" i="136"/>
  <c r="D103" i="136"/>
  <c r="C104" i="136"/>
  <c r="D104" i="136"/>
  <c r="C105" i="136"/>
  <c r="D105" i="136"/>
  <c r="C106" i="136"/>
  <c r="D106" i="136"/>
  <c r="C107" i="136"/>
  <c r="D107" i="136"/>
  <c r="C108" i="136"/>
  <c r="D108" i="136"/>
  <c r="C109" i="136"/>
  <c r="D109" i="136"/>
  <c r="C110" i="136"/>
  <c r="D110" i="136"/>
  <c r="C111" i="136"/>
  <c r="D111" i="136"/>
  <c r="C112" i="136"/>
  <c r="D112" i="136"/>
  <c r="C113" i="136"/>
  <c r="D113" i="136"/>
  <c r="C114" i="136"/>
  <c r="D114" i="136"/>
  <c r="C115" i="136"/>
  <c r="D115" i="136"/>
  <c r="C116" i="136"/>
  <c r="D116" i="136"/>
  <c r="C117" i="136"/>
  <c r="D117" i="136"/>
  <c r="C118" i="136"/>
  <c r="D118" i="136"/>
  <c r="C119" i="136"/>
  <c r="D119" i="136"/>
  <c r="C120" i="136"/>
  <c r="D120" i="136"/>
  <c r="C121" i="136"/>
  <c r="D121" i="136"/>
  <c r="C122" i="136"/>
  <c r="D122" i="136"/>
  <c r="C123" i="136"/>
  <c r="D123" i="136"/>
  <c r="C124" i="136"/>
  <c r="D124" i="136"/>
  <c r="C125" i="136"/>
  <c r="D125" i="136"/>
  <c r="C126" i="136"/>
  <c r="D126" i="136"/>
  <c r="C127" i="136"/>
  <c r="D127" i="136"/>
  <c r="C128" i="136"/>
  <c r="D128" i="136"/>
  <c r="C129" i="136"/>
  <c r="D129" i="136"/>
  <c r="C130" i="136"/>
  <c r="D130" i="136"/>
  <c r="C131" i="136"/>
  <c r="D131" i="136"/>
  <c r="C132" i="136"/>
  <c r="D132" i="136"/>
  <c r="C133" i="136"/>
  <c r="D133" i="136"/>
  <c r="C134" i="136"/>
  <c r="D134" i="136"/>
  <c r="C135" i="136"/>
  <c r="D135" i="136"/>
  <c r="C136" i="136"/>
  <c r="D136" i="136"/>
  <c r="C137" i="136"/>
  <c r="D137" i="136"/>
  <c r="C138" i="136"/>
  <c r="D138" i="136"/>
  <c r="C139" i="136"/>
  <c r="D139" i="136"/>
  <c r="C140" i="136"/>
  <c r="D140" i="136"/>
  <c r="C141" i="136"/>
  <c r="D141" i="136"/>
  <c r="C142" i="136"/>
  <c r="D142" i="136"/>
  <c r="C143" i="136"/>
  <c r="D143" i="136"/>
  <c r="C144" i="136"/>
  <c r="D144" i="136"/>
  <c r="C145" i="136"/>
  <c r="D145" i="136"/>
  <c r="C146" i="136"/>
  <c r="D146" i="136"/>
  <c r="C147" i="136"/>
  <c r="D147" i="136"/>
  <c r="C148" i="136"/>
  <c r="D148" i="136"/>
  <c r="C149" i="136"/>
  <c r="D149" i="136"/>
  <c r="C150" i="136"/>
  <c r="D150" i="136"/>
  <c r="C151" i="136"/>
  <c r="D151" i="136"/>
  <c r="C152" i="136"/>
  <c r="D152" i="136"/>
  <c r="C153" i="136"/>
  <c r="D153" i="136"/>
  <c r="C154" i="136"/>
  <c r="D154" i="136"/>
  <c r="C155" i="136"/>
  <c r="D155" i="136"/>
  <c r="C156" i="136"/>
  <c r="D156" i="136"/>
  <c r="C157" i="136"/>
  <c r="D157" i="136"/>
  <c r="C158" i="136"/>
  <c r="D158" i="136"/>
  <c r="C159" i="136"/>
  <c r="D159" i="136"/>
  <c r="C160" i="136"/>
  <c r="D160" i="136"/>
  <c r="C161" i="136"/>
  <c r="D161" i="136"/>
  <c r="C162" i="136"/>
  <c r="D162" i="136"/>
  <c r="C163" i="136"/>
  <c r="D163" i="136"/>
  <c r="C164" i="136"/>
  <c r="D164" i="136"/>
  <c r="C165" i="136"/>
  <c r="D165" i="136"/>
  <c r="C166" i="136"/>
  <c r="D166" i="136"/>
  <c r="C167" i="136"/>
  <c r="D167" i="136"/>
  <c r="C168" i="136"/>
  <c r="D168" i="136"/>
  <c r="C169" i="136"/>
  <c r="D169" i="136"/>
  <c r="C170" i="136"/>
  <c r="D170" i="136"/>
  <c r="C171" i="136"/>
  <c r="D171" i="136"/>
  <c r="C172" i="136"/>
  <c r="D172" i="136"/>
  <c r="C173" i="136"/>
  <c r="D173" i="136"/>
  <c r="C174" i="136"/>
  <c r="D174" i="136"/>
  <c r="C175" i="136"/>
  <c r="D175" i="136"/>
  <c r="C176" i="136"/>
  <c r="D176" i="136"/>
  <c r="C177" i="136"/>
  <c r="D177" i="136"/>
  <c r="C178" i="136"/>
  <c r="D178" i="136"/>
  <c r="C179" i="136"/>
  <c r="D179" i="136"/>
  <c r="C180" i="136"/>
  <c r="D180" i="136"/>
  <c r="C181" i="136"/>
  <c r="D181" i="136"/>
  <c r="C182" i="136"/>
  <c r="D182" i="136"/>
  <c r="C183" i="136"/>
  <c r="D183" i="136"/>
  <c r="C184" i="136"/>
  <c r="D184" i="136"/>
  <c r="C185" i="136"/>
  <c r="D185" i="136"/>
  <c r="C186" i="136"/>
  <c r="D186" i="136"/>
  <c r="C187" i="136"/>
  <c r="D187" i="136"/>
  <c r="C188" i="136"/>
  <c r="D188" i="136"/>
  <c r="C189" i="136"/>
  <c r="D189" i="136"/>
  <c r="C190" i="136"/>
  <c r="D190" i="136"/>
  <c r="C191" i="136"/>
  <c r="D191" i="136"/>
  <c r="C192" i="136"/>
  <c r="D192" i="136"/>
  <c r="C193" i="136"/>
  <c r="D193" i="136"/>
  <c r="C194" i="136"/>
  <c r="D194" i="136"/>
  <c r="C195" i="136"/>
  <c r="D195" i="136"/>
  <c r="C196" i="136"/>
  <c r="D196" i="136"/>
  <c r="C197" i="136"/>
  <c r="D197" i="136"/>
  <c r="C198" i="136"/>
  <c r="D198" i="136"/>
  <c r="C199" i="136"/>
  <c r="D199" i="136"/>
  <c r="C200" i="136"/>
  <c r="D200" i="136"/>
  <c r="C201" i="136"/>
  <c r="D201" i="136"/>
  <c r="C202" i="136"/>
  <c r="D202" i="136"/>
  <c r="C203" i="136"/>
  <c r="D203" i="136"/>
  <c r="C204" i="136"/>
  <c r="D204" i="136"/>
  <c r="C205" i="136"/>
  <c r="D205" i="136"/>
  <c r="C206" i="136"/>
  <c r="D206" i="136"/>
  <c r="C207" i="136"/>
  <c r="D207" i="136"/>
  <c r="C208" i="136"/>
  <c r="D208" i="136"/>
  <c r="C209" i="136"/>
  <c r="D209" i="136"/>
  <c r="C210" i="136"/>
  <c r="D210" i="136"/>
  <c r="C211" i="136"/>
  <c r="D211" i="136"/>
  <c r="C212" i="136"/>
  <c r="D212" i="136"/>
  <c r="C213" i="136"/>
  <c r="D213" i="136"/>
  <c r="C214" i="136"/>
  <c r="D214" i="136"/>
  <c r="C215" i="136"/>
  <c r="D215" i="136"/>
  <c r="C216" i="136"/>
  <c r="D216" i="136"/>
  <c r="C217" i="136"/>
  <c r="D217" i="136"/>
  <c r="C218" i="136"/>
  <c r="D218" i="136"/>
  <c r="C219" i="136"/>
  <c r="D219" i="136"/>
  <c r="C220" i="136"/>
  <c r="D220" i="136"/>
  <c r="C221" i="136"/>
  <c r="D221" i="136"/>
  <c r="C222" i="136"/>
  <c r="D222" i="136"/>
  <c r="C223" i="136"/>
  <c r="D223" i="136"/>
  <c r="C224" i="136"/>
  <c r="D224" i="136"/>
  <c r="C225" i="136"/>
  <c r="D225" i="136"/>
  <c r="C226" i="136"/>
  <c r="D226" i="136"/>
  <c r="C227" i="136"/>
  <c r="D227" i="136"/>
  <c r="C228" i="136"/>
  <c r="D228" i="136"/>
  <c r="C229" i="136"/>
  <c r="D229" i="136"/>
  <c r="C230" i="136"/>
  <c r="D230" i="136"/>
  <c r="C231" i="136"/>
  <c r="D231" i="136"/>
  <c r="C232" i="136"/>
  <c r="D232" i="136"/>
  <c r="C233" i="136"/>
  <c r="D233" i="136"/>
  <c r="C234" i="136"/>
  <c r="D234" i="136"/>
  <c r="C235" i="136"/>
  <c r="D235" i="136"/>
  <c r="C236" i="136"/>
  <c r="D236" i="136"/>
  <c r="C237" i="136"/>
  <c r="D237" i="136"/>
  <c r="C238" i="136"/>
  <c r="D238" i="136"/>
  <c r="C239" i="136"/>
  <c r="D239" i="136"/>
  <c r="C240" i="136"/>
  <c r="D240" i="136"/>
  <c r="C241" i="136"/>
  <c r="D241" i="136"/>
  <c r="C242" i="136"/>
  <c r="D242" i="136"/>
  <c r="C243" i="136"/>
  <c r="D243" i="136"/>
  <c r="C244" i="136"/>
  <c r="D244" i="136"/>
  <c r="C245" i="136"/>
  <c r="D245" i="136"/>
  <c r="C246" i="136"/>
  <c r="D246" i="136"/>
  <c r="C247" i="136"/>
  <c r="D247" i="136"/>
  <c r="C248" i="136"/>
  <c r="D248" i="136"/>
  <c r="C249" i="136"/>
  <c r="D249" i="136"/>
  <c r="C250" i="136"/>
  <c r="D250" i="136"/>
  <c r="C251" i="136"/>
  <c r="D251" i="136"/>
  <c r="C252" i="136"/>
  <c r="D252" i="136"/>
  <c r="C253" i="136"/>
  <c r="D253" i="136"/>
  <c r="C254" i="136"/>
  <c r="D254" i="136"/>
  <c r="C255" i="136"/>
  <c r="D255" i="136"/>
  <c r="C256" i="136"/>
  <c r="D256" i="136"/>
  <c r="C257" i="136"/>
  <c r="D257" i="136"/>
  <c r="C258" i="136"/>
  <c r="D258" i="136"/>
  <c r="C259" i="136"/>
  <c r="D259" i="136"/>
  <c r="C260" i="136"/>
  <c r="D260" i="136"/>
  <c r="C261" i="136"/>
  <c r="D261" i="136"/>
  <c r="C262" i="136"/>
  <c r="D262" i="136"/>
  <c r="C263" i="136"/>
  <c r="D263" i="136"/>
  <c r="C264" i="136"/>
  <c r="D264" i="136"/>
  <c r="C265" i="136"/>
  <c r="D265" i="136"/>
  <c r="C266" i="136"/>
  <c r="D266" i="136"/>
  <c r="C267" i="136"/>
  <c r="D267" i="136"/>
  <c r="C268" i="136"/>
  <c r="D268" i="136"/>
  <c r="C269" i="136"/>
  <c r="D269" i="136"/>
  <c r="C270" i="136"/>
  <c r="D270" i="136"/>
  <c r="C271" i="136"/>
  <c r="D271" i="136"/>
  <c r="C272" i="136"/>
  <c r="D272" i="136"/>
  <c r="C273" i="136"/>
  <c r="D273" i="136"/>
  <c r="C274" i="136"/>
  <c r="D274" i="136"/>
  <c r="C275" i="136"/>
  <c r="D275" i="136"/>
  <c r="C276" i="136"/>
  <c r="D276" i="136"/>
  <c r="C277" i="136"/>
  <c r="D277" i="136"/>
  <c r="C278" i="136"/>
  <c r="D278" i="136"/>
  <c r="C279" i="136"/>
  <c r="D279" i="136"/>
  <c r="C280" i="136"/>
  <c r="D280" i="136"/>
  <c r="C281" i="136"/>
  <c r="D281" i="136"/>
  <c r="C282" i="136"/>
  <c r="D282" i="136"/>
  <c r="C283" i="136"/>
  <c r="D283" i="136"/>
  <c r="C284" i="136"/>
  <c r="D284" i="136"/>
  <c r="C285" i="136"/>
  <c r="D285" i="136"/>
  <c r="C286" i="136"/>
  <c r="D286" i="136"/>
  <c r="C287" i="136"/>
  <c r="D287" i="136"/>
  <c r="C288" i="136"/>
  <c r="D288" i="136"/>
  <c r="C289" i="136"/>
  <c r="D289" i="136"/>
  <c r="C290" i="136"/>
  <c r="D290" i="136"/>
  <c r="C291" i="136"/>
  <c r="D291" i="136"/>
  <c r="C292" i="136"/>
  <c r="D292" i="136"/>
  <c r="C293" i="136"/>
  <c r="D293" i="136"/>
  <c r="C294" i="136"/>
  <c r="D294" i="136"/>
  <c r="C295" i="136"/>
  <c r="D295" i="136"/>
  <c r="C296" i="136"/>
  <c r="D296" i="136"/>
  <c r="C297" i="136"/>
  <c r="D297" i="136"/>
  <c r="C298" i="136"/>
  <c r="D298" i="136"/>
  <c r="C299" i="136"/>
  <c r="D299" i="136"/>
  <c r="C300" i="136"/>
  <c r="D300" i="136"/>
  <c r="C301" i="136"/>
  <c r="D301" i="136"/>
  <c r="C302" i="136"/>
  <c r="D302" i="136"/>
  <c r="C303" i="136"/>
  <c r="D303" i="136"/>
  <c r="C304" i="136"/>
  <c r="D304" i="136"/>
  <c r="C305" i="136"/>
  <c r="D305" i="136"/>
  <c r="C306" i="136"/>
  <c r="D306" i="136"/>
  <c r="C307" i="136"/>
  <c r="D307" i="136"/>
  <c r="C308" i="136"/>
  <c r="D308" i="136"/>
  <c r="C309" i="136"/>
  <c r="D309" i="136"/>
  <c r="C310" i="136"/>
  <c r="D310" i="136"/>
  <c r="C311" i="136"/>
  <c r="D311" i="136"/>
  <c r="C312" i="136"/>
  <c r="D312" i="136"/>
  <c r="C313" i="136"/>
  <c r="D313" i="136"/>
  <c r="C314" i="136"/>
  <c r="D314" i="136"/>
  <c r="C315" i="136"/>
  <c r="D315" i="136"/>
  <c r="C316" i="136"/>
  <c r="D316" i="136"/>
  <c r="C317" i="136"/>
  <c r="D317" i="136"/>
  <c r="C318" i="136"/>
  <c r="D318" i="136"/>
  <c r="D4" i="136"/>
  <c r="C4" i="136"/>
  <c r="D26" i="32" l="1"/>
  <c r="D25" i="32"/>
  <c r="F30" i="32"/>
  <c r="F26" i="32"/>
  <c r="E30" i="32"/>
  <c r="E26" i="32"/>
  <c r="D30" i="32"/>
  <c r="D24" i="32"/>
  <c r="F21" i="32"/>
  <c r="F51" i="32"/>
  <c r="E55" i="32"/>
  <c r="F55" i="32"/>
  <c r="E6" i="32"/>
  <c r="D55" i="32"/>
  <c r="E39" i="32"/>
  <c r="F18" i="32"/>
  <c r="D41" i="32"/>
  <c r="E41" i="32"/>
  <c r="E18" i="32"/>
  <c r="D40" i="32"/>
  <c r="E40" i="32"/>
  <c r="D39" i="32"/>
  <c r="F40" i="32"/>
  <c r="F39" i="32"/>
  <c r="F41" i="32"/>
  <c r="F17" i="32"/>
  <c r="F16" i="32"/>
  <c r="F53" i="32" s="1"/>
  <c r="F15" i="32"/>
  <c r="F52" i="32" s="1"/>
  <c r="F14" i="32"/>
  <c r="F12" i="32"/>
  <c r="F13" i="32"/>
  <c r="E17" i="32"/>
  <c r="E14" i="32"/>
  <c r="E15" i="32"/>
  <c r="E52" i="32" s="1"/>
  <c r="E16" i="32"/>
  <c r="E53" i="32" s="1"/>
  <c r="E21" i="32"/>
  <c r="E12" i="32"/>
  <c r="B9" i="32"/>
  <c r="BO6" i="78"/>
  <c r="BP6" i="78" s="1"/>
  <c r="BQ6" i="78"/>
  <c r="BR6" i="78" s="1"/>
  <c r="BS6" i="78"/>
  <c r="BT6" i="78" s="1"/>
  <c r="BU6" i="78"/>
  <c r="BV6" i="78" s="1"/>
  <c r="BO7" i="78"/>
  <c r="BP7" i="78" s="1"/>
  <c r="BQ7" i="78"/>
  <c r="BR7" i="78" s="1"/>
  <c r="BS7" i="78"/>
  <c r="BT7" i="78" s="1"/>
  <c r="BU7" i="78"/>
  <c r="BV7" i="78" s="1"/>
  <c r="BO8" i="78"/>
  <c r="BP8" i="78" s="1"/>
  <c r="BQ8" i="78"/>
  <c r="BR8" i="78" s="1"/>
  <c r="BS8" i="78"/>
  <c r="BT8" i="78" s="1"/>
  <c r="BU8" i="78"/>
  <c r="BV8" i="78" s="1"/>
  <c r="BO9" i="78"/>
  <c r="BP9" i="78" s="1"/>
  <c r="BQ9" i="78"/>
  <c r="BR9" i="78" s="1"/>
  <c r="BS9" i="78"/>
  <c r="BT9" i="78" s="1"/>
  <c r="BU9" i="78"/>
  <c r="BV9" i="78" s="1"/>
  <c r="BO10" i="78"/>
  <c r="BP10" i="78" s="1"/>
  <c r="BQ10" i="78"/>
  <c r="BR10" i="78" s="1"/>
  <c r="BS10" i="78"/>
  <c r="BT10" i="78" s="1"/>
  <c r="BU10" i="78"/>
  <c r="BV10" i="78" s="1"/>
  <c r="BO11" i="78"/>
  <c r="BP11" i="78" s="1"/>
  <c r="BQ11" i="78"/>
  <c r="BR11" i="78" s="1"/>
  <c r="BS11" i="78"/>
  <c r="BT11" i="78" s="1"/>
  <c r="BU11" i="78"/>
  <c r="BV11" i="78" s="1"/>
  <c r="BO12" i="78"/>
  <c r="BP12" i="78" s="1"/>
  <c r="BQ12" i="78"/>
  <c r="BR12" i="78" s="1"/>
  <c r="BS12" i="78"/>
  <c r="BT12" i="78" s="1"/>
  <c r="BU12" i="78"/>
  <c r="BV12" i="78" s="1"/>
  <c r="BO13" i="78"/>
  <c r="BP13" i="78" s="1"/>
  <c r="BQ13" i="78"/>
  <c r="BR13" i="78" s="1"/>
  <c r="BS13" i="78"/>
  <c r="BT13" i="78" s="1"/>
  <c r="BU13" i="78"/>
  <c r="BV13" i="78" s="1"/>
  <c r="BO14" i="78"/>
  <c r="BP14" i="78" s="1"/>
  <c r="BQ14" i="78"/>
  <c r="BR14" i="78" s="1"/>
  <c r="BS14" i="78"/>
  <c r="BT14" i="78" s="1"/>
  <c r="BU14" i="78"/>
  <c r="BV14" i="78" s="1"/>
  <c r="BO15" i="78"/>
  <c r="BP15" i="78" s="1"/>
  <c r="BQ15" i="78"/>
  <c r="BR15" i="78" s="1"/>
  <c r="BS15" i="78"/>
  <c r="BT15" i="78" s="1"/>
  <c r="BU15" i="78"/>
  <c r="BV15" i="78" s="1"/>
  <c r="BO16" i="78"/>
  <c r="BP16" i="78" s="1"/>
  <c r="BQ16" i="78"/>
  <c r="BR16" i="78" s="1"/>
  <c r="BS16" i="78"/>
  <c r="BT16" i="78" s="1"/>
  <c r="BU16" i="78"/>
  <c r="BV16" i="78" s="1"/>
  <c r="BO17" i="78"/>
  <c r="BP17" i="78" s="1"/>
  <c r="BQ17" i="78"/>
  <c r="BR17" i="78" s="1"/>
  <c r="BS17" i="78"/>
  <c r="BT17" i="78" s="1"/>
  <c r="BU17" i="78"/>
  <c r="BV17" i="78" s="1"/>
  <c r="BO18" i="78"/>
  <c r="BP18" i="78" s="1"/>
  <c r="BQ18" i="78"/>
  <c r="BR18" i="78" s="1"/>
  <c r="BS18" i="78"/>
  <c r="BT18" i="78" s="1"/>
  <c r="BU18" i="78"/>
  <c r="BV18" i="78" s="1"/>
  <c r="BO19" i="78"/>
  <c r="BP19" i="78" s="1"/>
  <c r="BQ19" i="78"/>
  <c r="BR19" i="78" s="1"/>
  <c r="BS19" i="78"/>
  <c r="BT19" i="78" s="1"/>
  <c r="BU19" i="78"/>
  <c r="BV19" i="78" s="1"/>
  <c r="BO20" i="78"/>
  <c r="BP20" i="78" s="1"/>
  <c r="BQ20" i="78"/>
  <c r="BR20" i="78" s="1"/>
  <c r="BS20" i="78"/>
  <c r="BT20" i="78" s="1"/>
  <c r="BU20" i="78"/>
  <c r="BV20" i="78" s="1"/>
  <c r="BO21" i="78"/>
  <c r="BP21" i="78" s="1"/>
  <c r="BQ21" i="78"/>
  <c r="BR21" i="78" s="1"/>
  <c r="BS21" i="78"/>
  <c r="BT21" i="78" s="1"/>
  <c r="BU21" i="78"/>
  <c r="BV21" i="78" s="1"/>
  <c r="BO22" i="78"/>
  <c r="BP22" i="78" s="1"/>
  <c r="BQ22" i="78"/>
  <c r="BR22" i="78" s="1"/>
  <c r="BS22" i="78"/>
  <c r="BT22" i="78" s="1"/>
  <c r="BU22" i="78"/>
  <c r="BV22" i="78" s="1"/>
  <c r="BO23" i="78"/>
  <c r="BP23" i="78" s="1"/>
  <c r="BQ23" i="78"/>
  <c r="BR23" i="78" s="1"/>
  <c r="BS23" i="78"/>
  <c r="BT23" i="78" s="1"/>
  <c r="BU23" i="78"/>
  <c r="BV23" i="78" s="1"/>
  <c r="BO24" i="78"/>
  <c r="BP24" i="78" s="1"/>
  <c r="BQ24" i="78"/>
  <c r="BR24" i="78" s="1"/>
  <c r="BS24" i="78"/>
  <c r="BT24" i="78" s="1"/>
  <c r="BU24" i="78"/>
  <c r="BV24" i="78" s="1"/>
  <c r="BO25" i="78"/>
  <c r="BP25" i="78" s="1"/>
  <c r="BQ25" i="78"/>
  <c r="BR25" i="78" s="1"/>
  <c r="BS25" i="78"/>
  <c r="BT25" i="78" s="1"/>
  <c r="BU25" i="78"/>
  <c r="BV25" i="78" s="1"/>
  <c r="BO26" i="78"/>
  <c r="BP26" i="78" s="1"/>
  <c r="BQ26" i="78"/>
  <c r="BR26" i="78" s="1"/>
  <c r="BS26" i="78"/>
  <c r="BT26" i="78" s="1"/>
  <c r="BU26" i="78"/>
  <c r="BV26" i="78" s="1"/>
  <c r="BO27" i="78"/>
  <c r="BP27" i="78" s="1"/>
  <c r="BQ27" i="78"/>
  <c r="BR27" i="78" s="1"/>
  <c r="BS27" i="78"/>
  <c r="BT27" i="78" s="1"/>
  <c r="BU27" i="78"/>
  <c r="BV27" i="78" s="1"/>
  <c r="BO28" i="78"/>
  <c r="BP28" i="78" s="1"/>
  <c r="BQ28" i="78"/>
  <c r="BR28" i="78" s="1"/>
  <c r="BS28" i="78"/>
  <c r="BT28" i="78" s="1"/>
  <c r="BU28" i="78"/>
  <c r="BV28" i="78" s="1"/>
  <c r="BO29" i="78"/>
  <c r="BP29" i="78" s="1"/>
  <c r="BQ29" i="78"/>
  <c r="BR29" i="78" s="1"/>
  <c r="BS29" i="78"/>
  <c r="BT29" i="78" s="1"/>
  <c r="BU29" i="78"/>
  <c r="BV29" i="78" s="1"/>
  <c r="BO30" i="78"/>
  <c r="BP30" i="78" s="1"/>
  <c r="BQ30" i="78"/>
  <c r="BR30" i="78" s="1"/>
  <c r="BS30" i="78"/>
  <c r="BT30" i="78" s="1"/>
  <c r="BU30" i="78"/>
  <c r="BV30" i="78" s="1"/>
  <c r="BO31" i="78"/>
  <c r="BP31" i="78" s="1"/>
  <c r="BQ31" i="78"/>
  <c r="BR31" i="78" s="1"/>
  <c r="BS31" i="78"/>
  <c r="BT31" i="78" s="1"/>
  <c r="BU31" i="78"/>
  <c r="BV31" i="78" s="1"/>
  <c r="BO32" i="78"/>
  <c r="BP32" i="78" s="1"/>
  <c r="BQ32" i="78"/>
  <c r="BR32" i="78" s="1"/>
  <c r="BS32" i="78"/>
  <c r="BT32" i="78" s="1"/>
  <c r="BU32" i="78"/>
  <c r="BV32" i="78" s="1"/>
  <c r="BO33" i="78"/>
  <c r="BP33" i="78" s="1"/>
  <c r="BQ33" i="78"/>
  <c r="BR33" i="78" s="1"/>
  <c r="BS33" i="78"/>
  <c r="BT33" i="78" s="1"/>
  <c r="BU33" i="78"/>
  <c r="BV33" i="78" s="1"/>
  <c r="BO34" i="78"/>
  <c r="BP34" i="78" s="1"/>
  <c r="BQ34" i="78"/>
  <c r="BR34" i="78" s="1"/>
  <c r="BS34" i="78"/>
  <c r="BT34" i="78" s="1"/>
  <c r="BU34" i="78"/>
  <c r="BV34" i="78" s="1"/>
  <c r="BO35" i="78"/>
  <c r="BP35" i="78" s="1"/>
  <c r="BQ35" i="78"/>
  <c r="BR35" i="78" s="1"/>
  <c r="BS35" i="78"/>
  <c r="BT35" i="78" s="1"/>
  <c r="BU35" i="78"/>
  <c r="BV35" i="78" s="1"/>
  <c r="BO36" i="78"/>
  <c r="BP36" i="78" s="1"/>
  <c r="BQ36" i="78"/>
  <c r="BR36" i="78" s="1"/>
  <c r="BS36" i="78"/>
  <c r="BT36" i="78" s="1"/>
  <c r="BU36" i="78"/>
  <c r="BV36" i="78" s="1"/>
  <c r="BO37" i="78"/>
  <c r="BP37" i="78" s="1"/>
  <c r="BQ37" i="78"/>
  <c r="BR37" i="78" s="1"/>
  <c r="BS37" i="78"/>
  <c r="BT37" i="78" s="1"/>
  <c r="BU37" i="78"/>
  <c r="BV37" i="78" s="1"/>
  <c r="BO38" i="78"/>
  <c r="BP38" i="78" s="1"/>
  <c r="BQ38" i="78"/>
  <c r="BR38" i="78" s="1"/>
  <c r="BS38" i="78"/>
  <c r="BT38" i="78" s="1"/>
  <c r="BU38" i="78"/>
  <c r="BV38" i="78" s="1"/>
  <c r="BO39" i="78"/>
  <c r="BP39" i="78" s="1"/>
  <c r="BQ39" i="78"/>
  <c r="BR39" i="78" s="1"/>
  <c r="BS39" i="78"/>
  <c r="BT39" i="78" s="1"/>
  <c r="BU39" i="78"/>
  <c r="BV39" i="78" s="1"/>
  <c r="BO40" i="78"/>
  <c r="BP40" i="78" s="1"/>
  <c r="BQ40" i="78"/>
  <c r="BR40" i="78" s="1"/>
  <c r="BS40" i="78"/>
  <c r="BT40" i="78" s="1"/>
  <c r="BU40" i="78"/>
  <c r="BV40" i="78" s="1"/>
  <c r="BO41" i="78"/>
  <c r="BP41" i="78" s="1"/>
  <c r="BQ41" i="78"/>
  <c r="BR41" i="78" s="1"/>
  <c r="BS41" i="78"/>
  <c r="BT41" i="78" s="1"/>
  <c r="BU41" i="78"/>
  <c r="BV41" i="78" s="1"/>
  <c r="BO42" i="78"/>
  <c r="BP42" i="78" s="1"/>
  <c r="BQ42" i="78"/>
  <c r="BR42" i="78" s="1"/>
  <c r="BS42" i="78"/>
  <c r="BT42" i="78" s="1"/>
  <c r="BU42" i="78"/>
  <c r="BV42" i="78" s="1"/>
  <c r="BO43" i="78"/>
  <c r="BP43" i="78" s="1"/>
  <c r="BQ43" i="78"/>
  <c r="BR43" i="78" s="1"/>
  <c r="BS43" i="78"/>
  <c r="BT43" i="78" s="1"/>
  <c r="BU43" i="78"/>
  <c r="BV43" i="78" s="1"/>
  <c r="BO44" i="78"/>
  <c r="BP44" i="78" s="1"/>
  <c r="BQ44" i="78"/>
  <c r="BR44" i="78" s="1"/>
  <c r="BS44" i="78"/>
  <c r="BT44" i="78" s="1"/>
  <c r="BU44" i="78"/>
  <c r="BV44" i="78" s="1"/>
  <c r="BO45" i="78"/>
  <c r="BP45" i="78" s="1"/>
  <c r="BQ45" i="78"/>
  <c r="BR45" i="78" s="1"/>
  <c r="BS45" i="78"/>
  <c r="BT45" i="78" s="1"/>
  <c r="BU45" i="78"/>
  <c r="BV45" i="78" s="1"/>
  <c r="BO46" i="78"/>
  <c r="BP46" i="78" s="1"/>
  <c r="BQ46" i="78"/>
  <c r="BR46" i="78" s="1"/>
  <c r="BS46" i="78"/>
  <c r="BT46" i="78" s="1"/>
  <c r="BU46" i="78"/>
  <c r="BV46" i="78" s="1"/>
  <c r="BO47" i="78"/>
  <c r="BP47" i="78" s="1"/>
  <c r="BQ47" i="78"/>
  <c r="BR47" i="78" s="1"/>
  <c r="BS47" i="78"/>
  <c r="BT47" i="78" s="1"/>
  <c r="BU47" i="78"/>
  <c r="BV47" i="78" s="1"/>
  <c r="BO48" i="78"/>
  <c r="BP48" i="78" s="1"/>
  <c r="BQ48" i="78"/>
  <c r="BR48" i="78" s="1"/>
  <c r="BS48" i="78"/>
  <c r="BT48" i="78" s="1"/>
  <c r="BU48" i="78"/>
  <c r="BV48" i="78" s="1"/>
  <c r="BO49" i="78"/>
  <c r="BP49" i="78" s="1"/>
  <c r="BQ49" i="78"/>
  <c r="BR49" i="78" s="1"/>
  <c r="BS49" i="78"/>
  <c r="BT49" i="78" s="1"/>
  <c r="BU49" i="78"/>
  <c r="BV49" i="78" s="1"/>
  <c r="BO50" i="78"/>
  <c r="BP50" i="78" s="1"/>
  <c r="BQ50" i="78"/>
  <c r="BR50" i="78" s="1"/>
  <c r="BS50" i="78"/>
  <c r="BT50" i="78" s="1"/>
  <c r="BU50" i="78"/>
  <c r="BV50" i="78" s="1"/>
  <c r="BO51" i="78"/>
  <c r="BP51" i="78" s="1"/>
  <c r="BQ51" i="78"/>
  <c r="BR51" i="78" s="1"/>
  <c r="BS51" i="78"/>
  <c r="BT51" i="78" s="1"/>
  <c r="BU51" i="78"/>
  <c r="BV51" i="78" s="1"/>
  <c r="BO52" i="78"/>
  <c r="BP52" i="78" s="1"/>
  <c r="BQ52" i="78"/>
  <c r="BR52" i="78" s="1"/>
  <c r="BS52" i="78"/>
  <c r="BT52" i="78" s="1"/>
  <c r="BU52" i="78"/>
  <c r="BV52" i="78" s="1"/>
  <c r="BO53" i="78"/>
  <c r="BP53" i="78" s="1"/>
  <c r="BQ53" i="78"/>
  <c r="BR53" i="78" s="1"/>
  <c r="BS53" i="78"/>
  <c r="BT53" i="78" s="1"/>
  <c r="BU53" i="78"/>
  <c r="BV53" i="78" s="1"/>
  <c r="BO54" i="78"/>
  <c r="BP54" i="78" s="1"/>
  <c r="BQ54" i="78"/>
  <c r="BR54" i="78" s="1"/>
  <c r="BS54" i="78"/>
  <c r="BT54" i="78" s="1"/>
  <c r="BU54" i="78"/>
  <c r="BV54" i="78" s="1"/>
  <c r="BO55" i="78"/>
  <c r="BP55" i="78" s="1"/>
  <c r="BQ55" i="78"/>
  <c r="BR55" i="78" s="1"/>
  <c r="BS55" i="78"/>
  <c r="BT55" i="78" s="1"/>
  <c r="BU55" i="78"/>
  <c r="BV55" i="78" s="1"/>
  <c r="BO56" i="78"/>
  <c r="BP56" i="78" s="1"/>
  <c r="BQ56" i="78"/>
  <c r="BR56" i="78" s="1"/>
  <c r="BS56" i="78"/>
  <c r="BT56" i="78" s="1"/>
  <c r="BU56" i="78"/>
  <c r="BV56" i="78" s="1"/>
  <c r="BO57" i="78"/>
  <c r="BP57" i="78" s="1"/>
  <c r="BQ57" i="78"/>
  <c r="BR57" i="78" s="1"/>
  <c r="BS57" i="78"/>
  <c r="BT57" i="78" s="1"/>
  <c r="BU57" i="78"/>
  <c r="BV57" i="78" s="1"/>
  <c r="BO58" i="78"/>
  <c r="BP58" i="78" s="1"/>
  <c r="BQ58" i="78"/>
  <c r="BR58" i="78" s="1"/>
  <c r="BS58" i="78"/>
  <c r="BT58" i="78" s="1"/>
  <c r="BU58" i="78"/>
  <c r="BV58" i="78" s="1"/>
  <c r="BO59" i="78"/>
  <c r="BP59" i="78" s="1"/>
  <c r="BQ59" i="78"/>
  <c r="BR59" i="78" s="1"/>
  <c r="BS59" i="78"/>
  <c r="BT59" i="78" s="1"/>
  <c r="BU59" i="78"/>
  <c r="BV59" i="78" s="1"/>
  <c r="BO60" i="78"/>
  <c r="BP60" i="78" s="1"/>
  <c r="BQ60" i="78"/>
  <c r="BR60" i="78" s="1"/>
  <c r="BS60" i="78"/>
  <c r="BT60" i="78" s="1"/>
  <c r="BU60" i="78"/>
  <c r="BV60" i="78" s="1"/>
  <c r="BO61" i="78"/>
  <c r="BP61" i="78" s="1"/>
  <c r="BQ61" i="78"/>
  <c r="BR61" i="78" s="1"/>
  <c r="BS61" i="78"/>
  <c r="BT61" i="78" s="1"/>
  <c r="BU61" i="78"/>
  <c r="BV61" i="78" s="1"/>
  <c r="BO62" i="78"/>
  <c r="BP62" i="78" s="1"/>
  <c r="BQ62" i="78"/>
  <c r="BR62" i="78" s="1"/>
  <c r="BS62" i="78"/>
  <c r="BT62" i="78" s="1"/>
  <c r="BU62" i="78"/>
  <c r="BV62" i="78" s="1"/>
  <c r="BO63" i="78"/>
  <c r="BP63" i="78" s="1"/>
  <c r="BQ63" i="78"/>
  <c r="BR63" i="78" s="1"/>
  <c r="BS63" i="78"/>
  <c r="BT63" i="78" s="1"/>
  <c r="BU63" i="78"/>
  <c r="BV63" i="78" s="1"/>
  <c r="BO64" i="78"/>
  <c r="BP64" i="78" s="1"/>
  <c r="BQ64" i="78"/>
  <c r="BR64" i="78" s="1"/>
  <c r="BS64" i="78"/>
  <c r="BT64" i="78" s="1"/>
  <c r="BU64" i="78"/>
  <c r="BV64" i="78" s="1"/>
  <c r="BO65" i="78"/>
  <c r="BP65" i="78" s="1"/>
  <c r="BQ65" i="78"/>
  <c r="BR65" i="78" s="1"/>
  <c r="BS65" i="78"/>
  <c r="BT65" i="78" s="1"/>
  <c r="BU65" i="78"/>
  <c r="BV65" i="78" s="1"/>
  <c r="BO66" i="78"/>
  <c r="BP66" i="78" s="1"/>
  <c r="BQ66" i="78"/>
  <c r="BR66" i="78" s="1"/>
  <c r="BS66" i="78"/>
  <c r="BT66" i="78" s="1"/>
  <c r="BU66" i="78"/>
  <c r="BV66" i="78" s="1"/>
  <c r="BO67" i="78"/>
  <c r="BP67" i="78" s="1"/>
  <c r="BQ67" i="78"/>
  <c r="BR67" i="78" s="1"/>
  <c r="BS67" i="78"/>
  <c r="BT67" i="78" s="1"/>
  <c r="BU67" i="78"/>
  <c r="BV67" i="78" s="1"/>
  <c r="BO68" i="78"/>
  <c r="BP68" i="78" s="1"/>
  <c r="BQ68" i="78"/>
  <c r="BR68" i="78" s="1"/>
  <c r="BS68" i="78"/>
  <c r="BT68" i="78" s="1"/>
  <c r="BU68" i="78"/>
  <c r="BV68" i="78" s="1"/>
  <c r="BO69" i="78"/>
  <c r="BP69" i="78" s="1"/>
  <c r="BQ69" i="78"/>
  <c r="BR69" i="78" s="1"/>
  <c r="BS69" i="78"/>
  <c r="BT69" i="78" s="1"/>
  <c r="BU69" i="78"/>
  <c r="BV69" i="78" s="1"/>
  <c r="BO70" i="78"/>
  <c r="BP70" i="78" s="1"/>
  <c r="BQ70" i="78"/>
  <c r="BR70" i="78" s="1"/>
  <c r="BS70" i="78"/>
  <c r="BT70" i="78" s="1"/>
  <c r="BU70" i="78"/>
  <c r="BV70" i="78" s="1"/>
  <c r="BO71" i="78"/>
  <c r="BP71" i="78" s="1"/>
  <c r="BQ71" i="78"/>
  <c r="BR71" i="78" s="1"/>
  <c r="BS71" i="78"/>
  <c r="BT71" i="78" s="1"/>
  <c r="BU71" i="78"/>
  <c r="BV71" i="78" s="1"/>
  <c r="BO72" i="78"/>
  <c r="BP72" i="78" s="1"/>
  <c r="BQ72" i="78"/>
  <c r="BR72" i="78" s="1"/>
  <c r="BS72" i="78"/>
  <c r="BT72" i="78" s="1"/>
  <c r="BU72" i="78"/>
  <c r="BV72" i="78" s="1"/>
  <c r="BO73" i="78"/>
  <c r="BP73" i="78" s="1"/>
  <c r="BQ73" i="78"/>
  <c r="BR73" i="78" s="1"/>
  <c r="BS73" i="78"/>
  <c r="BT73" i="78" s="1"/>
  <c r="BU73" i="78"/>
  <c r="BV73" i="78" s="1"/>
  <c r="BO74" i="78"/>
  <c r="BP74" i="78" s="1"/>
  <c r="BQ74" i="78"/>
  <c r="BR74" i="78" s="1"/>
  <c r="BS74" i="78"/>
  <c r="BT74" i="78" s="1"/>
  <c r="BU74" i="78"/>
  <c r="BV74" i="78" s="1"/>
  <c r="BO75" i="78"/>
  <c r="BP75" i="78" s="1"/>
  <c r="BQ75" i="78"/>
  <c r="BR75" i="78" s="1"/>
  <c r="BS75" i="78"/>
  <c r="BT75" i="78" s="1"/>
  <c r="BU75" i="78"/>
  <c r="BV75" i="78" s="1"/>
  <c r="BO76" i="78"/>
  <c r="BP76" i="78" s="1"/>
  <c r="BQ76" i="78"/>
  <c r="BR76" i="78" s="1"/>
  <c r="BS76" i="78"/>
  <c r="BT76" i="78" s="1"/>
  <c r="BU76" i="78"/>
  <c r="BV76" i="78" s="1"/>
  <c r="BO77" i="78"/>
  <c r="BP77" i="78" s="1"/>
  <c r="BQ77" i="78"/>
  <c r="BR77" i="78" s="1"/>
  <c r="BS77" i="78"/>
  <c r="BT77" i="78" s="1"/>
  <c r="BU77" i="78"/>
  <c r="BV77" i="78" s="1"/>
  <c r="BO78" i="78"/>
  <c r="BP78" i="78" s="1"/>
  <c r="BQ78" i="78"/>
  <c r="BR78" i="78" s="1"/>
  <c r="BS78" i="78"/>
  <c r="BT78" i="78" s="1"/>
  <c r="BU78" i="78"/>
  <c r="BV78" i="78" s="1"/>
  <c r="BO79" i="78"/>
  <c r="BP79" i="78" s="1"/>
  <c r="BQ79" i="78"/>
  <c r="BR79" i="78" s="1"/>
  <c r="BS79" i="78"/>
  <c r="BT79" i="78" s="1"/>
  <c r="BU79" i="78"/>
  <c r="BV79" i="78" s="1"/>
  <c r="BO80" i="78"/>
  <c r="BP80" i="78" s="1"/>
  <c r="BQ80" i="78"/>
  <c r="BR80" i="78" s="1"/>
  <c r="BS80" i="78"/>
  <c r="BT80" i="78" s="1"/>
  <c r="BU80" i="78"/>
  <c r="BV80" i="78" s="1"/>
  <c r="BO81" i="78"/>
  <c r="BP81" i="78" s="1"/>
  <c r="BQ81" i="78"/>
  <c r="BR81" i="78" s="1"/>
  <c r="BS81" i="78"/>
  <c r="BT81" i="78" s="1"/>
  <c r="BU81" i="78"/>
  <c r="BV81" i="78" s="1"/>
  <c r="BO82" i="78"/>
  <c r="BP82" i="78" s="1"/>
  <c r="BQ82" i="78"/>
  <c r="BR82" i="78" s="1"/>
  <c r="BS82" i="78"/>
  <c r="BT82" i="78" s="1"/>
  <c r="BU82" i="78"/>
  <c r="BV82" i="78" s="1"/>
  <c r="BO83" i="78"/>
  <c r="BP83" i="78" s="1"/>
  <c r="BQ83" i="78"/>
  <c r="BR83" i="78" s="1"/>
  <c r="BS83" i="78"/>
  <c r="BT83" i="78" s="1"/>
  <c r="BU83" i="78"/>
  <c r="BV83" i="78" s="1"/>
  <c r="BO84" i="78"/>
  <c r="BP84" i="78" s="1"/>
  <c r="BQ84" i="78"/>
  <c r="BR84" i="78" s="1"/>
  <c r="BS84" i="78"/>
  <c r="BT84" i="78" s="1"/>
  <c r="BU84" i="78"/>
  <c r="BV84" i="78" s="1"/>
  <c r="BO85" i="78"/>
  <c r="BP85" i="78" s="1"/>
  <c r="BQ85" i="78"/>
  <c r="BR85" i="78" s="1"/>
  <c r="BS85" i="78"/>
  <c r="BT85" i="78" s="1"/>
  <c r="BU85" i="78"/>
  <c r="BV85" i="78" s="1"/>
  <c r="BO86" i="78"/>
  <c r="BP86" i="78" s="1"/>
  <c r="BQ86" i="78"/>
  <c r="BR86" i="78" s="1"/>
  <c r="BS86" i="78"/>
  <c r="BT86" i="78" s="1"/>
  <c r="BU86" i="78"/>
  <c r="BV86" i="78" s="1"/>
  <c r="BO87" i="78"/>
  <c r="BP87" i="78" s="1"/>
  <c r="BQ87" i="78"/>
  <c r="BR87" i="78" s="1"/>
  <c r="BS87" i="78"/>
  <c r="BT87" i="78" s="1"/>
  <c r="BU87" i="78"/>
  <c r="BV87" i="78" s="1"/>
  <c r="BO88" i="78"/>
  <c r="BP88" i="78" s="1"/>
  <c r="BQ88" i="78"/>
  <c r="BR88" i="78" s="1"/>
  <c r="BS88" i="78"/>
  <c r="BT88" i="78" s="1"/>
  <c r="BU88" i="78"/>
  <c r="BV88" i="78" s="1"/>
  <c r="BO89" i="78"/>
  <c r="BP89" i="78" s="1"/>
  <c r="BQ89" i="78"/>
  <c r="BR89" i="78" s="1"/>
  <c r="BS89" i="78"/>
  <c r="BT89" i="78" s="1"/>
  <c r="BU89" i="78"/>
  <c r="BV89" i="78" s="1"/>
  <c r="BO90" i="78"/>
  <c r="BP90" i="78" s="1"/>
  <c r="BQ90" i="78"/>
  <c r="BR90" i="78" s="1"/>
  <c r="BS90" i="78"/>
  <c r="BT90" i="78" s="1"/>
  <c r="BU90" i="78"/>
  <c r="BV90" i="78" s="1"/>
  <c r="BO91" i="78"/>
  <c r="BP91" i="78" s="1"/>
  <c r="BQ91" i="78"/>
  <c r="BR91" i="78" s="1"/>
  <c r="BS91" i="78"/>
  <c r="BT91" i="78" s="1"/>
  <c r="BU91" i="78"/>
  <c r="BV91" i="78" s="1"/>
  <c r="BO92" i="78"/>
  <c r="BP92" i="78" s="1"/>
  <c r="BQ92" i="78"/>
  <c r="BR92" i="78" s="1"/>
  <c r="BS92" i="78"/>
  <c r="BT92" i="78" s="1"/>
  <c r="BU92" i="78"/>
  <c r="BV92" i="78" s="1"/>
  <c r="BO93" i="78"/>
  <c r="BP93" i="78" s="1"/>
  <c r="BQ93" i="78"/>
  <c r="BR93" i="78" s="1"/>
  <c r="BS93" i="78"/>
  <c r="BT93" i="78" s="1"/>
  <c r="BU93" i="78"/>
  <c r="BV93" i="78" s="1"/>
  <c r="BO94" i="78"/>
  <c r="BP94" i="78" s="1"/>
  <c r="BQ94" i="78"/>
  <c r="BR94" i="78" s="1"/>
  <c r="BS94" i="78"/>
  <c r="BT94" i="78" s="1"/>
  <c r="BU94" i="78"/>
  <c r="BV94" i="78" s="1"/>
  <c r="BO95" i="78"/>
  <c r="BP95" i="78" s="1"/>
  <c r="BQ95" i="78"/>
  <c r="BR95" i="78" s="1"/>
  <c r="BS95" i="78"/>
  <c r="BT95" i="78" s="1"/>
  <c r="BU95" i="78"/>
  <c r="BV95" i="78" s="1"/>
  <c r="BO96" i="78"/>
  <c r="BP96" i="78" s="1"/>
  <c r="BQ96" i="78"/>
  <c r="BR96" i="78" s="1"/>
  <c r="BS96" i="78"/>
  <c r="BT96" i="78" s="1"/>
  <c r="BU96" i="78"/>
  <c r="BV96" i="78" s="1"/>
  <c r="BO97" i="78"/>
  <c r="BP97" i="78" s="1"/>
  <c r="BQ97" i="78"/>
  <c r="BR97" i="78" s="1"/>
  <c r="BS97" i="78"/>
  <c r="BT97" i="78" s="1"/>
  <c r="BU97" i="78"/>
  <c r="BV97" i="78" s="1"/>
  <c r="BO98" i="78"/>
  <c r="BP98" i="78" s="1"/>
  <c r="BQ98" i="78"/>
  <c r="BR98" i="78" s="1"/>
  <c r="BS98" i="78"/>
  <c r="BT98" i="78" s="1"/>
  <c r="BU98" i="78"/>
  <c r="BV98" i="78" s="1"/>
  <c r="BO99" i="78"/>
  <c r="BP99" i="78" s="1"/>
  <c r="BQ99" i="78"/>
  <c r="BR99" i="78" s="1"/>
  <c r="BS99" i="78"/>
  <c r="BT99" i="78" s="1"/>
  <c r="BU99" i="78"/>
  <c r="BV99" i="78" s="1"/>
  <c r="BO100" i="78"/>
  <c r="BP100" i="78" s="1"/>
  <c r="BQ100" i="78"/>
  <c r="BR100" i="78" s="1"/>
  <c r="BS100" i="78"/>
  <c r="BT100" i="78" s="1"/>
  <c r="BU100" i="78"/>
  <c r="BV100" i="78" s="1"/>
  <c r="BO101" i="78"/>
  <c r="BP101" i="78" s="1"/>
  <c r="BQ101" i="78"/>
  <c r="BR101" i="78" s="1"/>
  <c r="BS101" i="78"/>
  <c r="BT101" i="78" s="1"/>
  <c r="BU101" i="78"/>
  <c r="BV101" i="78" s="1"/>
  <c r="BO102" i="78"/>
  <c r="BP102" i="78" s="1"/>
  <c r="BQ102" i="78"/>
  <c r="BR102" i="78" s="1"/>
  <c r="BS102" i="78"/>
  <c r="BT102" i="78" s="1"/>
  <c r="BU102" i="78"/>
  <c r="BV102" i="78" s="1"/>
  <c r="BO103" i="78"/>
  <c r="BP103" i="78" s="1"/>
  <c r="BQ103" i="78"/>
  <c r="BR103" i="78" s="1"/>
  <c r="BS103" i="78"/>
  <c r="BT103" i="78" s="1"/>
  <c r="BU103" i="78"/>
  <c r="BV103" i="78" s="1"/>
  <c r="BO104" i="78"/>
  <c r="BP104" i="78" s="1"/>
  <c r="BQ104" i="78"/>
  <c r="BR104" i="78" s="1"/>
  <c r="BS104" i="78"/>
  <c r="BT104" i="78" s="1"/>
  <c r="BU104" i="78"/>
  <c r="BV104" i="78" s="1"/>
  <c r="BO105" i="78"/>
  <c r="BP105" i="78" s="1"/>
  <c r="BQ105" i="78"/>
  <c r="BR105" i="78" s="1"/>
  <c r="BS105" i="78"/>
  <c r="BT105" i="78" s="1"/>
  <c r="BU105" i="78"/>
  <c r="BV105" i="78" s="1"/>
  <c r="BO106" i="78"/>
  <c r="BP106" i="78" s="1"/>
  <c r="BQ106" i="78"/>
  <c r="BR106" i="78" s="1"/>
  <c r="BS106" i="78"/>
  <c r="BT106" i="78" s="1"/>
  <c r="BU106" i="78"/>
  <c r="BV106" i="78" s="1"/>
  <c r="BO107" i="78"/>
  <c r="BP107" i="78" s="1"/>
  <c r="BQ107" i="78"/>
  <c r="BR107" i="78" s="1"/>
  <c r="BS107" i="78"/>
  <c r="BT107" i="78" s="1"/>
  <c r="BU107" i="78"/>
  <c r="BV107" i="78" s="1"/>
  <c r="BO108" i="78"/>
  <c r="BP108" i="78" s="1"/>
  <c r="BQ108" i="78"/>
  <c r="BR108" i="78" s="1"/>
  <c r="BS108" i="78"/>
  <c r="BT108" i="78" s="1"/>
  <c r="BU108" i="78"/>
  <c r="BV108" i="78" s="1"/>
  <c r="BO109" i="78"/>
  <c r="BP109" i="78" s="1"/>
  <c r="BQ109" i="78"/>
  <c r="BR109" i="78" s="1"/>
  <c r="BS109" i="78"/>
  <c r="BT109" i="78" s="1"/>
  <c r="BU109" i="78"/>
  <c r="BV109" i="78" s="1"/>
  <c r="BO110" i="78"/>
  <c r="BP110" i="78" s="1"/>
  <c r="BQ110" i="78"/>
  <c r="BR110" i="78" s="1"/>
  <c r="BS110" i="78"/>
  <c r="BT110" i="78" s="1"/>
  <c r="BU110" i="78"/>
  <c r="BV110" i="78" s="1"/>
  <c r="BO111" i="78"/>
  <c r="BP111" i="78" s="1"/>
  <c r="BQ111" i="78"/>
  <c r="BR111" i="78" s="1"/>
  <c r="BS111" i="78"/>
  <c r="BT111" i="78" s="1"/>
  <c r="BU111" i="78"/>
  <c r="BV111" i="78" s="1"/>
  <c r="BO112" i="78"/>
  <c r="BP112" i="78" s="1"/>
  <c r="BQ112" i="78"/>
  <c r="BR112" i="78" s="1"/>
  <c r="BS112" i="78"/>
  <c r="BT112" i="78" s="1"/>
  <c r="BU112" i="78"/>
  <c r="BV112" i="78" s="1"/>
  <c r="BO113" i="78"/>
  <c r="BP113" i="78" s="1"/>
  <c r="BQ113" i="78"/>
  <c r="BR113" i="78" s="1"/>
  <c r="BS113" i="78"/>
  <c r="BT113" i="78" s="1"/>
  <c r="BU113" i="78"/>
  <c r="BV113" i="78" s="1"/>
  <c r="BO114" i="78"/>
  <c r="BP114" i="78" s="1"/>
  <c r="BQ114" i="78"/>
  <c r="BR114" i="78" s="1"/>
  <c r="BS114" i="78"/>
  <c r="BT114" i="78" s="1"/>
  <c r="BU114" i="78"/>
  <c r="BV114" i="78" s="1"/>
  <c r="BO115" i="78"/>
  <c r="BP115" i="78" s="1"/>
  <c r="BQ115" i="78"/>
  <c r="BR115" i="78" s="1"/>
  <c r="BS115" i="78"/>
  <c r="BT115" i="78" s="1"/>
  <c r="BU115" i="78"/>
  <c r="BV115" i="78" s="1"/>
  <c r="BO116" i="78"/>
  <c r="BP116" i="78" s="1"/>
  <c r="BQ116" i="78"/>
  <c r="BR116" i="78" s="1"/>
  <c r="BS116" i="78"/>
  <c r="BT116" i="78" s="1"/>
  <c r="BU116" i="78"/>
  <c r="BV116" i="78" s="1"/>
  <c r="BO117" i="78"/>
  <c r="BP117" i="78" s="1"/>
  <c r="BQ117" i="78"/>
  <c r="BR117" i="78" s="1"/>
  <c r="BS117" i="78"/>
  <c r="BT117" i="78" s="1"/>
  <c r="BU117" i="78"/>
  <c r="BV117" i="78" s="1"/>
  <c r="BO118" i="78"/>
  <c r="BP118" i="78" s="1"/>
  <c r="BQ118" i="78"/>
  <c r="BR118" i="78" s="1"/>
  <c r="BS118" i="78"/>
  <c r="BT118" i="78" s="1"/>
  <c r="BU118" i="78"/>
  <c r="BV118" i="78" s="1"/>
  <c r="BO119" i="78"/>
  <c r="BP119" i="78" s="1"/>
  <c r="BQ119" i="78"/>
  <c r="BR119" i="78" s="1"/>
  <c r="BS119" i="78"/>
  <c r="BT119" i="78" s="1"/>
  <c r="BU119" i="78"/>
  <c r="BV119" i="78" s="1"/>
  <c r="BO120" i="78"/>
  <c r="BP120" i="78" s="1"/>
  <c r="BQ120" i="78"/>
  <c r="BR120" i="78" s="1"/>
  <c r="BS120" i="78"/>
  <c r="BT120" i="78" s="1"/>
  <c r="BU120" i="78"/>
  <c r="BV120" i="78" s="1"/>
  <c r="BO121" i="78"/>
  <c r="BP121" i="78" s="1"/>
  <c r="BQ121" i="78"/>
  <c r="BR121" i="78" s="1"/>
  <c r="BS121" i="78"/>
  <c r="BT121" i="78" s="1"/>
  <c r="BU121" i="78"/>
  <c r="BV121" i="78" s="1"/>
  <c r="BO122" i="78"/>
  <c r="BP122" i="78" s="1"/>
  <c r="BQ122" i="78"/>
  <c r="BR122" i="78" s="1"/>
  <c r="BS122" i="78"/>
  <c r="BT122" i="78" s="1"/>
  <c r="BU122" i="78"/>
  <c r="BV122" i="78" s="1"/>
  <c r="BO123" i="78"/>
  <c r="BP123" i="78" s="1"/>
  <c r="BQ123" i="78"/>
  <c r="BR123" i="78" s="1"/>
  <c r="BS123" i="78"/>
  <c r="BT123" i="78" s="1"/>
  <c r="BU123" i="78"/>
  <c r="BV123" i="78" s="1"/>
  <c r="BO124" i="78"/>
  <c r="BP124" i="78" s="1"/>
  <c r="BQ124" i="78"/>
  <c r="BR124" i="78" s="1"/>
  <c r="BS124" i="78"/>
  <c r="BT124" i="78" s="1"/>
  <c r="BU124" i="78"/>
  <c r="BV124" i="78" s="1"/>
  <c r="BO125" i="78"/>
  <c r="BP125" i="78" s="1"/>
  <c r="BQ125" i="78"/>
  <c r="BR125" i="78" s="1"/>
  <c r="BS125" i="78"/>
  <c r="BT125" i="78" s="1"/>
  <c r="BU125" i="78"/>
  <c r="BV125" i="78" s="1"/>
  <c r="BO126" i="78"/>
  <c r="BP126" i="78" s="1"/>
  <c r="BQ126" i="78"/>
  <c r="BR126" i="78" s="1"/>
  <c r="BS126" i="78"/>
  <c r="BT126" i="78" s="1"/>
  <c r="BU126" i="78"/>
  <c r="BV126" i="78" s="1"/>
  <c r="BO127" i="78"/>
  <c r="BP127" i="78" s="1"/>
  <c r="BQ127" i="78"/>
  <c r="BR127" i="78" s="1"/>
  <c r="BS127" i="78"/>
  <c r="BT127" i="78" s="1"/>
  <c r="BU127" i="78"/>
  <c r="BV127" i="78" s="1"/>
  <c r="BO128" i="78"/>
  <c r="BP128" i="78" s="1"/>
  <c r="BQ128" i="78"/>
  <c r="BR128" i="78" s="1"/>
  <c r="BS128" i="78"/>
  <c r="BT128" i="78" s="1"/>
  <c r="BU128" i="78"/>
  <c r="BV128" i="78" s="1"/>
  <c r="BO129" i="78"/>
  <c r="BP129" i="78" s="1"/>
  <c r="BQ129" i="78"/>
  <c r="BR129" i="78" s="1"/>
  <c r="BS129" i="78"/>
  <c r="BT129" i="78" s="1"/>
  <c r="BU129" i="78"/>
  <c r="BV129" i="78" s="1"/>
  <c r="BO130" i="78"/>
  <c r="BP130" i="78" s="1"/>
  <c r="BQ130" i="78"/>
  <c r="BR130" i="78" s="1"/>
  <c r="BS130" i="78"/>
  <c r="BT130" i="78" s="1"/>
  <c r="BU130" i="78"/>
  <c r="BV130" i="78" s="1"/>
  <c r="BO131" i="78"/>
  <c r="BP131" i="78" s="1"/>
  <c r="BQ131" i="78"/>
  <c r="BR131" i="78" s="1"/>
  <c r="BS131" i="78"/>
  <c r="BT131" i="78" s="1"/>
  <c r="BU131" i="78"/>
  <c r="BV131" i="78" s="1"/>
  <c r="BO132" i="78"/>
  <c r="BP132" i="78" s="1"/>
  <c r="BQ132" i="78"/>
  <c r="BR132" i="78" s="1"/>
  <c r="BS132" i="78"/>
  <c r="BT132" i="78" s="1"/>
  <c r="BU132" i="78"/>
  <c r="BV132" i="78" s="1"/>
  <c r="BO133" i="78"/>
  <c r="BP133" i="78" s="1"/>
  <c r="BQ133" i="78"/>
  <c r="BR133" i="78" s="1"/>
  <c r="BS133" i="78"/>
  <c r="BT133" i="78" s="1"/>
  <c r="BU133" i="78"/>
  <c r="BV133" i="78" s="1"/>
  <c r="BO134" i="78"/>
  <c r="BP134" i="78" s="1"/>
  <c r="BQ134" i="78"/>
  <c r="BR134" i="78" s="1"/>
  <c r="BS134" i="78"/>
  <c r="BT134" i="78" s="1"/>
  <c r="BU134" i="78"/>
  <c r="BV134" i="78" s="1"/>
  <c r="BO135" i="78"/>
  <c r="BP135" i="78" s="1"/>
  <c r="BQ135" i="78"/>
  <c r="BR135" i="78" s="1"/>
  <c r="BS135" i="78"/>
  <c r="BT135" i="78" s="1"/>
  <c r="BU135" i="78"/>
  <c r="BV135" i="78" s="1"/>
  <c r="BO136" i="78"/>
  <c r="BP136" i="78" s="1"/>
  <c r="BQ136" i="78"/>
  <c r="BR136" i="78" s="1"/>
  <c r="BS136" i="78"/>
  <c r="BT136" i="78" s="1"/>
  <c r="BU136" i="78"/>
  <c r="BV136" i="78" s="1"/>
  <c r="BO137" i="78"/>
  <c r="BP137" i="78" s="1"/>
  <c r="BQ137" i="78"/>
  <c r="BR137" i="78" s="1"/>
  <c r="BS137" i="78"/>
  <c r="BT137" i="78" s="1"/>
  <c r="BU137" i="78"/>
  <c r="BV137" i="78" s="1"/>
  <c r="BO138" i="78"/>
  <c r="BP138" i="78" s="1"/>
  <c r="BQ138" i="78"/>
  <c r="BR138" i="78" s="1"/>
  <c r="BS138" i="78"/>
  <c r="BT138" i="78" s="1"/>
  <c r="BU138" i="78"/>
  <c r="BV138" i="78" s="1"/>
  <c r="BO139" i="78"/>
  <c r="BP139" i="78" s="1"/>
  <c r="BQ139" i="78"/>
  <c r="BR139" i="78" s="1"/>
  <c r="BS139" i="78"/>
  <c r="BT139" i="78" s="1"/>
  <c r="BU139" i="78"/>
  <c r="BV139" i="78" s="1"/>
  <c r="BO140" i="78"/>
  <c r="BP140" i="78" s="1"/>
  <c r="BQ140" i="78"/>
  <c r="BR140" i="78" s="1"/>
  <c r="BS140" i="78"/>
  <c r="BT140" i="78" s="1"/>
  <c r="BU140" i="78"/>
  <c r="BV140" i="78" s="1"/>
  <c r="BO141" i="78"/>
  <c r="BP141" i="78" s="1"/>
  <c r="BQ141" i="78"/>
  <c r="BR141" i="78" s="1"/>
  <c r="BS141" i="78"/>
  <c r="BT141" i="78" s="1"/>
  <c r="BU141" i="78"/>
  <c r="BV141" i="78" s="1"/>
  <c r="BO142" i="78"/>
  <c r="BP142" i="78" s="1"/>
  <c r="BQ142" i="78"/>
  <c r="BR142" i="78" s="1"/>
  <c r="BS142" i="78"/>
  <c r="BT142" i="78" s="1"/>
  <c r="BU142" i="78"/>
  <c r="BV142" i="78" s="1"/>
  <c r="BO143" i="78"/>
  <c r="BP143" i="78" s="1"/>
  <c r="BQ143" i="78"/>
  <c r="BR143" i="78" s="1"/>
  <c r="BS143" i="78"/>
  <c r="BT143" i="78" s="1"/>
  <c r="BU143" i="78"/>
  <c r="BV143" i="78" s="1"/>
  <c r="BO144" i="78"/>
  <c r="BP144" i="78" s="1"/>
  <c r="BQ144" i="78"/>
  <c r="BR144" i="78" s="1"/>
  <c r="BS144" i="78"/>
  <c r="BT144" i="78" s="1"/>
  <c r="BU144" i="78"/>
  <c r="BV144" i="78" s="1"/>
  <c r="BO145" i="78"/>
  <c r="BP145" i="78" s="1"/>
  <c r="BQ145" i="78"/>
  <c r="BR145" i="78" s="1"/>
  <c r="BS145" i="78"/>
  <c r="BT145" i="78" s="1"/>
  <c r="BU145" i="78"/>
  <c r="BV145" i="78" s="1"/>
  <c r="BO146" i="78"/>
  <c r="BP146" i="78" s="1"/>
  <c r="BQ146" i="78"/>
  <c r="BR146" i="78" s="1"/>
  <c r="BS146" i="78"/>
  <c r="BT146" i="78" s="1"/>
  <c r="BU146" i="78"/>
  <c r="BV146" i="78" s="1"/>
  <c r="BO147" i="78"/>
  <c r="BP147" i="78" s="1"/>
  <c r="BQ147" i="78"/>
  <c r="BR147" i="78" s="1"/>
  <c r="BS147" i="78"/>
  <c r="BT147" i="78" s="1"/>
  <c r="BU147" i="78"/>
  <c r="BV147" i="78" s="1"/>
  <c r="BO148" i="78"/>
  <c r="BP148" i="78" s="1"/>
  <c r="BQ148" i="78"/>
  <c r="BR148" i="78" s="1"/>
  <c r="BS148" i="78"/>
  <c r="BT148" i="78" s="1"/>
  <c r="BU148" i="78"/>
  <c r="BV148" i="78" s="1"/>
  <c r="BO149" i="78"/>
  <c r="BP149" i="78" s="1"/>
  <c r="BQ149" i="78"/>
  <c r="BR149" i="78" s="1"/>
  <c r="BS149" i="78"/>
  <c r="BT149" i="78" s="1"/>
  <c r="BU149" i="78"/>
  <c r="BV149" i="78" s="1"/>
  <c r="BO150" i="78"/>
  <c r="BP150" i="78" s="1"/>
  <c r="BQ150" i="78"/>
  <c r="BR150" i="78" s="1"/>
  <c r="BS150" i="78"/>
  <c r="BT150" i="78" s="1"/>
  <c r="BU150" i="78"/>
  <c r="BV150" i="78" s="1"/>
  <c r="BO151" i="78"/>
  <c r="BP151" i="78" s="1"/>
  <c r="BQ151" i="78"/>
  <c r="BR151" i="78" s="1"/>
  <c r="BS151" i="78"/>
  <c r="BT151" i="78" s="1"/>
  <c r="BU151" i="78"/>
  <c r="BV151" i="78" s="1"/>
  <c r="BO152" i="78"/>
  <c r="BP152" i="78" s="1"/>
  <c r="BQ152" i="78"/>
  <c r="BR152" i="78" s="1"/>
  <c r="BS152" i="78"/>
  <c r="BT152" i="78" s="1"/>
  <c r="BU152" i="78"/>
  <c r="BV152" i="78" s="1"/>
  <c r="BO153" i="78"/>
  <c r="BP153" i="78" s="1"/>
  <c r="BQ153" i="78"/>
  <c r="BR153" i="78" s="1"/>
  <c r="BS153" i="78"/>
  <c r="BT153" i="78" s="1"/>
  <c r="BU153" i="78"/>
  <c r="BV153" i="78" s="1"/>
  <c r="BO154" i="78"/>
  <c r="BP154" i="78" s="1"/>
  <c r="BQ154" i="78"/>
  <c r="BR154" i="78" s="1"/>
  <c r="BS154" i="78"/>
  <c r="BT154" i="78" s="1"/>
  <c r="BU154" i="78"/>
  <c r="BV154" i="78" s="1"/>
  <c r="BO155" i="78"/>
  <c r="BP155" i="78" s="1"/>
  <c r="BQ155" i="78"/>
  <c r="BR155" i="78" s="1"/>
  <c r="BS155" i="78"/>
  <c r="BT155" i="78" s="1"/>
  <c r="BU155" i="78"/>
  <c r="BV155" i="78" s="1"/>
  <c r="BO156" i="78"/>
  <c r="BP156" i="78" s="1"/>
  <c r="BQ156" i="78"/>
  <c r="BR156" i="78" s="1"/>
  <c r="BS156" i="78"/>
  <c r="BT156" i="78" s="1"/>
  <c r="BU156" i="78"/>
  <c r="BV156" i="78" s="1"/>
  <c r="BO157" i="78"/>
  <c r="BP157" i="78" s="1"/>
  <c r="BQ157" i="78"/>
  <c r="BR157" i="78" s="1"/>
  <c r="BS157" i="78"/>
  <c r="BT157" i="78" s="1"/>
  <c r="BU157" i="78"/>
  <c r="BV157" i="78" s="1"/>
  <c r="BO158" i="78"/>
  <c r="BP158" i="78" s="1"/>
  <c r="BQ158" i="78"/>
  <c r="BR158" i="78" s="1"/>
  <c r="BS158" i="78"/>
  <c r="BT158" i="78" s="1"/>
  <c r="BU158" i="78"/>
  <c r="BV158" i="78" s="1"/>
  <c r="BO159" i="78"/>
  <c r="BP159" i="78" s="1"/>
  <c r="BQ159" i="78"/>
  <c r="BR159" i="78" s="1"/>
  <c r="BS159" i="78"/>
  <c r="BT159" i="78" s="1"/>
  <c r="BU159" i="78"/>
  <c r="BV159" i="78" s="1"/>
  <c r="BO160" i="78"/>
  <c r="BP160" i="78" s="1"/>
  <c r="BQ160" i="78"/>
  <c r="BR160" i="78" s="1"/>
  <c r="BS160" i="78"/>
  <c r="BT160" i="78" s="1"/>
  <c r="BU160" i="78"/>
  <c r="BV160" i="78" s="1"/>
  <c r="BO161" i="78"/>
  <c r="BP161" i="78" s="1"/>
  <c r="BQ161" i="78"/>
  <c r="BR161" i="78" s="1"/>
  <c r="BS161" i="78"/>
  <c r="BT161" i="78" s="1"/>
  <c r="BU161" i="78"/>
  <c r="BV161" i="78" s="1"/>
  <c r="BO162" i="78"/>
  <c r="BP162" i="78" s="1"/>
  <c r="BQ162" i="78"/>
  <c r="BR162" i="78" s="1"/>
  <c r="BS162" i="78"/>
  <c r="BT162" i="78" s="1"/>
  <c r="BU162" i="78"/>
  <c r="BV162" i="78" s="1"/>
  <c r="BO163" i="78"/>
  <c r="BP163" i="78" s="1"/>
  <c r="BQ163" i="78"/>
  <c r="BR163" i="78" s="1"/>
  <c r="BS163" i="78"/>
  <c r="BT163" i="78" s="1"/>
  <c r="BU163" i="78"/>
  <c r="BV163" i="78" s="1"/>
  <c r="BO164" i="78"/>
  <c r="BP164" i="78" s="1"/>
  <c r="BQ164" i="78"/>
  <c r="BR164" i="78" s="1"/>
  <c r="BS164" i="78"/>
  <c r="BT164" i="78" s="1"/>
  <c r="BU164" i="78"/>
  <c r="BV164" i="78" s="1"/>
  <c r="BO165" i="78"/>
  <c r="BP165" i="78" s="1"/>
  <c r="BQ165" i="78"/>
  <c r="BR165" i="78" s="1"/>
  <c r="BS165" i="78"/>
  <c r="BT165" i="78" s="1"/>
  <c r="BU165" i="78"/>
  <c r="BV165" i="78" s="1"/>
  <c r="BO166" i="78"/>
  <c r="BP166" i="78" s="1"/>
  <c r="BQ166" i="78"/>
  <c r="BR166" i="78" s="1"/>
  <c r="BS166" i="78"/>
  <c r="BT166" i="78" s="1"/>
  <c r="BU166" i="78"/>
  <c r="BV166" i="78" s="1"/>
  <c r="BO167" i="78"/>
  <c r="BP167" i="78" s="1"/>
  <c r="BQ167" i="78"/>
  <c r="BR167" i="78" s="1"/>
  <c r="BS167" i="78"/>
  <c r="BT167" i="78" s="1"/>
  <c r="BU167" i="78"/>
  <c r="BV167" i="78" s="1"/>
  <c r="BO168" i="78"/>
  <c r="BP168" i="78" s="1"/>
  <c r="BQ168" i="78"/>
  <c r="BR168" i="78" s="1"/>
  <c r="BS168" i="78"/>
  <c r="BT168" i="78" s="1"/>
  <c r="BU168" i="78"/>
  <c r="BV168" i="78" s="1"/>
  <c r="BO169" i="78"/>
  <c r="BP169" i="78" s="1"/>
  <c r="BQ169" i="78"/>
  <c r="BR169" i="78" s="1"/>
  <c r="BS169" i="78"/>
  <c r="BT169" i="78" s="1"/>
  <c r="BU169" i="78"/>
  <c r="BV169" i="78" s="1"/>
  <c r="BO170" i="78"/>
  <c r="BP170" i="78" s="1"/>
  <c r="BQ170" i="78"/>
  <c r="BR170" i="78" s="1"/>
  <c r="BS170" i="78"/>
  <c r="BT170" i="78" s="1"/>
  <c r="BU170" i="78"/>
  <c r="BV170" i="78" s="1"/>
  <c r="BO171" i="78"/>
  <c r="BP171" i="78" s="1"/>
  <c r="BQ171" i="78"/>
  <c r="BR171" i="78" s="1"/>
  <c r="BS171" i="78"/>
  <c r="BT171" i="78" s="1"/>
  <c r="BU171" i="78"/>
  <c r="BV171" i="78" s="1"/>
  <c r="BO172" i="78"/>
  <c r="BP172" i="78" s="1"/>
  <c r="BQ172" i="78"/>
  <c r="BR172" i="78" s="1"/>
  <c r="BS172" i="78"/>
  <c r="BT172" i="78" s="1"/>
  <c r="BU172" i="78"/>
  <c r="BV172" i="78" s="1"/>
  <c r="BO173" i="78"/>
  <c r="BP173" i="78" s="1"/>
  <c r="BQ173" i="78"/>
  <c r="BR173" i="78" s="1"/>
  <c r="BS173" i="78"/>
  <c r="BT173" i="78" s="1"/>
  <c r="BU173" i="78"/>
  <c r="BV173" i="78" s="1"/>
  <c r="BO174" i="78"/>
  <c r="BP174" i="78" s="1"/>
  <c r="BQ174" i="78"/>
  <c r="BR174" i="78" s="1"/>
  <c r="BS174" i="78"/>
  <c r="BT174" i="78" s="1"/>
  <c r="BU174" i="78"/>
  <c r="BV174" i="78" s="1"/>
  <c r="BO175" i="78"/>
  <c r="BP175" i="78" s="1"/>
  <c r="BQ175" i="78"/>
  <c r="BR175" i="78" s="1"/>
  <c r="BS175" i="78"/>
  <c r="BT175" i="78" s="1"/>
  <c r="BU175" i="78"/>
  <c r="BV175" i="78" s="1"/>
  <c r="BO176" i="78"/>
  <c r="BP176" i="78" s="1"/>
  <c r="BQ176" i="78"/>
  <c r="BR176" i="78" s="1"/>
  <c r="BS176" i="78"/>
  <c r="BT176" i="78" s="1"/>
  <c r="BU176" i="78"/>
  <c r="BV176" i="78" s="1"/>
  <c r="BO177" i="78"/>
  <c r="BP177" i="78" s="1"/>
  <c r="BQ177" i="78"/>
  <c r="BR177" i="78" s="1"/>
  <c r="BS177" i="78"/>
  <c r="BT177" i="78" s="1"/>
  <c r="BU177" i="78"/>
  <c r="BV177" i="78" s="1"/>
  <c r="BO178" i="78"/>
  <c r="BP178" i="78" s="1"/>
  <c r="BQ178" i="78"/>
  <c r="BR178" i="78" s="1"/>
  <c r="BS178" i="78"/>
  <c r="BT178" i="78" s="1"/>
  <c r="BU178" i="78"/>
  <c r="BV178" i="78" s="1"/>
  <c r="BO179" i="78"/>
  <c r="BP179" i="78" s="1"/>
  <c r="BQ179" i="78"/>
  <c r="BR179" i="78" s="1"/>
  <c r="BS179" i="78"/>
  <c r="BT179" i="78" s="1"/>
  <c r="BU179" i="78"/>
  <c r="BV179" i="78" s="1"/>
  <c r="BO180" i="78"/>
  <c r="BP180" i="78" s="1"/>
  <c r="BQ180" i="78"/>
  <c r="BR180" i="78" s="1"/>
  <c r="BS180" i="78"/>
  <c r="BT180" i="78" s="1"/>
  <c r="BU180" i="78"/>
  <c r="BV180" i="78" s="1"/>
  <c r="BO181" i="78"/>
  <c r="BP181" i="78" s="1"/>
  <c r="BQ181" i="78"/>
  <c r="BR181" i="78" s="1"/>
  <c r="BS181" i="78"/>
  <c r="BT181" i="78" s="1"/>
  <c r="BU181" i="78"/>
  <c r="BV181" i="78" s="1"/>
  <c r="BO182" i="78"/>
  <c r="BP182" i="78" s="1"/>
  <c r="BQ182" i="78"/>
  <c r="BR182" i="78" s="1"/>
  <c r="BS182" i="78"/>
  <c r="BT182" i="78" s="1"/>
  <c r="BU182" i="78"/>
  <c r="BV182" i="78" s="1"/>
  <c r="BO183" i="78"/>
  <c r="BP183" i="78" s="1"/>
  <c r="BQ183" i="78"/>
  <c r="BR183" i="78" s="1"/>
  <c r="BS183" i="78"/>
  <c r="BT183" i="78" s="1"/>
  <c r="BU183" i="78"/>
  <c r="BV183" i="78" s="1"/>
  <c r="BO184" i="78"/>
  <c r="BP184" i="78" s="1"/>
  <c r="BQ184" i="78"/>
  <c r="BR184" i="78" s="1"/>
  <c r="BS184" i="78"/>
  <c r="BT184" i="78" s="1"/>
  <c r="BU184" i="78"/>
  <c r="BV184" i="78" s="1"/>
  <c r="BO185" i="78"/>
  <c r="BP185" i="78" s="1"/>
  <c r="BQ185" i="78"/>
  <c r="BR185" i="78" s="1"/>
  <c r="BS185" i="78"/>
  <c r="BT185" i="78" s="1"/>
  <c r="BU185" i="78"/>
  <c r="BV185" i="78" s="1"/>
  <c r="BO186" i="78"/>
  <c r="BP186" i="78" s="1"/>
  <c r="BQ186" i="78"/>
  <c r="BR186" i="78" s="1"/>
  <c r="BS186" i="78"/>
  <c r="BT186" i="78" s="1"/>
  <c r="BU186" i="78"/>
  <c r="BV186" i="78" s="1"/>
  <c r="BO187" i="78"/>
  <c r="BP187" i="78" s="1"/>
  <c r="BQ187" i="78"/>
  <c r="BR187" i="78" s="1"/>
  <c r="BS187" i="78"/>
  <c r="BT187" i="78" s="1"/>
  <c r="BU187" i="78"/>
  <c r="BV187" i="78" s="1"/>
  <c r="BO188" i="78"/>
  <c r="BP188" i="78" s="1"/>
  <c r="BQ188" i="78"/>
  <c r="BR188" i="78" s="1"/>
  <c r="BS188" i="78"/>
  <c r="BT188" i="78" s="1"/>
  <c r="BU188" i="78"/>
  <c r="BV188" i="78" s="1"/>
  <c r="BO189" i="78"/>
  <c r="BP189" i="78" s="1"/>
  <c r="BQ189" i="78"/>
  <c r="BR189" i="78" s="1"/>
  <c r="BS189" i="78"/>
  <c r="BT189" i="78" s="1"/>
  <c r="BU189" i="78"/>
  <c r="BV189" i="78" s="1"/>
  <c r="BO190" i="78"/>
  <c r="BP190" i="78" s="1"/>
  <c r="BQ190" i="78"/>
  <c r="BR190" i="78" s="1"/>
  <c r="BS190" i="78"/>
  <c r="BT190" i="78" s="1"/>
  <c r="BU190" i="78"/>
  <c r="BV190" i="78" s="1"/>
  <c r="BO191" i="78"/>
  <c r="BP191" i="78" s="1"/>
  <c r="BQ191" i="78"/>
  <c r="BR191" i="78" s="1"/>
  <c r="BS191" i="78"/>
  <c r="BT191" i="78" s="1"/>
  <c r="BU191" i="78"/>
  <c r="BV191" i="78" s="1"/>
  <c r="BO192" i="78"/>
  <c r="BP192" i="78" s="1"/>
  <c r="BQ192" i="78"/>
  <c r="BR192" i="78" s="1"/>
  <c r="BS192" i="78"/>
  <c r="BT192" i="78" s="1"/>
  <c r="BU192" i="78"/>
  <c r="BV192" i="78" s="1"/>
  <c r="BO193" i="78"/>
  <c r="BP193" i="78" s="1"/>
  <c r="BQ193" i="78"/>
  <c r="BR193" i="78" s="1"/>
  <c r="BS193" i="78"/>
  <c r="BT193" i="78" s="1"/>
  <c r="BU193" i="78"/>
  <c r="BV193" i="78" s="1"/>
  <c r="BO194" i="78"/>
  <c r="BP194" i="78" s="1"/>
  <c r="BQ194" i="78"/>
  <c r="BR194" i="78" s="1"/>
  <c r="BS194" i="78"/>
  <c r="BT194" i="78" s="1"/>
  <c r="BU194" i="78"/>
  <c r="BV194" i="78" s="1"/>
  <c r="BO195" i="78"/>
  <c r="BP195" i="78" s="1"/>
  <c r="BQ195" i="78"/>
  <c r="BR195" i="78" s="1"/>
  <c r="BS195" i="78"/>
  <c r="BT195" i="78" s="1"/>
  <c r="BU195" i="78"/>
  <c r="BV195" i="78" s="1"/>
  <c r="BO196" i="78"/>
  <c r="BP196" i="78" s="1"/>
  <c r="BQ196" i="78"/>
  <c r="BR196" i="78" s="1"/>
  <c r="BS196" i="78"/>
  <c r="BT196" i="78" s="1"/>
  <c r="BU196" i="78"/>
  <c r="BV196" i="78" s="1"/>
  <c r="BO197" i="78"/>
  <c r="BP197" i="78" s="1"/>
  <c r="BQ197" i="78"/>
  <c r="BR197" i="78" s="1"/>
  <c r="BS197" i="78"/>
  <c r="BT197" i="78" s="1"/>
  <c r="BU197" i="78"/>
  <c r="BV197" i="78" s="1"/>
  <c r="BO198" i="78"/>
  <c r="BP198" i="78" s="1"/>
  <c r="BQ198" i="78"/>
  <c r="BR198" i="78" s="1"/>
  <c r="BS198" i="78"/>
  <c r="BT198" i="78" s="1"/>
  <c r="BU198" i="78"/>
  <c r="BV198" i="78" s="1"/>
  <c r="BO199" i="78"/>
  <c r="BP199" i="78" s="1"/>
  <c r="BQ199" i="78"/>
  <c r="BR199" i="78" s="1"/>
  <c r="BS199" i="78"/>
  <c r="BT199" i="78" s="1"/>
  <c r="BU199" i="78"/>
  <c r="BV199" i="78" s="1"/>
  <c r="BO200" i="78"/>
  <c r="BP200" i="78" s="1"/>
  <c r="BQ200" i="78"/>
  <c r="BR200" i="78" s="1"/>
  <c r="BS200" i="78"/>
  <c r="BT200" i="78" s="1"/>
  <c r="BU200" i="78"/>
  <c r="BV200" i="78" s="1"/>
  <c r="BO201" i="78"/>
  <c r="BP201" i="78" s="1"/>
  <c r="BQ201" i="78"/>
  <c r="BR201" i="78" s="1"/>
  <c r="BS201" i="78"/>
  <c r="BT201" i="78" s="1"/>
  <c r="BU201" i="78"/>
  <c r="BV201" i="78" s="1"/>
  <c r="BO202" i="78"/>
  <c r="BP202" i="78" s="1"/>
  <c r="BQ202" i="78"/>
  <c r="BR202" i="78" s="1"/>
  <c r="BS202" i="78"/>
  <c r="BT202" i="78" s="1"/>
  <c r="BU202" i="78"/>
  <c r="BV202" i="78" s="1"/>
  <c r="BO203" i="78"/>
  <c r="BP203" i="78" s="1"/>
  <c r="BQ203" i="78"/>
  <c r="BR203" i="78" s="1"/>
  <c r="BS203" i="78"/>
  <c r="BT203" i="78" s="1"/>
  <c r="BU203" i="78"/>
  <c r="BV203" i="78" s="1"/>
  <c r="BO204" i="78"/>
  <c r="BP204" i="78" s="1"/>
  <c r="BQ204" i="78"/>
  <c r="BR204" i="78" s="1"/>
  <c r="BS204" i="78"/>
  <c r="BT204" i="78" s="1"/>
  <c r="BU204" i="78"/>
  <c r="BV204" i="78" s="1"/>
  <c r="BO205" i="78"/>
  <c r="BP205" i="78" s="1"/>
  <c r="BQ205" i="78"/>
  <c r="BR205" i="78" s="1"/>
  <c r="BS205" i="78"/>
  <c r="BT205" i="78" s="1"/>
  <c r="BU205" i="78"/>
  <c r="BV205" i="78" s="1"/>
  <c r="BO206" i="78"/>
  <c r="BP206" i="78" s="1"/>
  <c r="BQ206" i="78"/>
  <c r="BR206" i="78" s="1"/>
  <c r="BS206" i="78"/>
  <c r="BT206" i="78" s="1"/>
  <c r="BU206" i="78"/>
  <c r="BV206" i="78" s="1"/>
  <c r="BO207" i="78"/>
  <c r="BP207" i="78" s="1"/>
  <c r="BQ207" i="78"/>
  <c r="BR207" i="78" s="1"/>
  <c r="BS207" i="78"/>
  <c r="BT207" i="78" s="1"/>
  <c r="BU207" i="78"/>
  <c r="BV207" i="78" s="1"/>
  <c r="BO208" i="78"/>
  <c r="BP208" i="78" s="1"/>
  <c r="BQ208" i="78"/>
  <c r="BR208" i="78" s="1"/>
  <c r="BS208" i="78"/>
  <c r="BT208" i="78" s="1"/>
  <c r="BU208" i="78"/>
  <c r="BV208" i="78" s="1"/>
  <c r="BO209" i="78"/>
  <c r="BP209" i="78" s="1"/>
  <c r="BQ209" i="78"/>
  <c r="BR209" i="78" s="1"/>
  <c r="BS209" i="78"/>
  <c r="BT209" i="78" s="1"/>
  <c r="BU209" i="78"/>
  <c r="BV209" i="78" s="1"/>
  <c r="BO210" i="78"/>
  <c r="BP210" i="78" s="1"/>
  <c r="BQ210" i="78"/>
  <c r="BR210" i="78" s="1"/>
  <c r="BS210" i="78"/>
  <c r="BT210" i="78" s="1"/>
  <c r="BU210" i="78"/>
  <c r="BV210" i="78" s="1"/>
  <c r="BO211" i="78"/>
  <c r="BP211" i="78" s="1"/>
  <c r="BQ211" i="78"/>
  <c r="BR211" i="78" s="1"/>
  <c r="BS211" i="78"/>
  <c r="BT211" i="78" s="1"/>
  <c r="BU211" i="78"/>
  <c r="BV211" i="78" s="1"/>
  <c r="BO212" i="78"/>
  <c r="BP212" i="78" s="1"/>
  <c r="BQ212" i="78"/>
  <c r="BR212" i="78" s="1"/>
  <c r="BS212" i="78"/>
  <c r="BT212" i="78" s="1"/>
  <c r="BU212" i="78"/>
  <c r="BV212" i="78" s="1"/>
  <c r="BO213" i="78"/>
  <c r="BP213" i="78" s="1"/>
  <c r="BQ213" i="78"/>
  <c r="BR213" i="78" s="1"/>
  <c r="BS213" i="78"/>
  <c r="BT213" i="78" s="1"/>
  <c r="BU213" i="78"/>
  <c r="BV213" i="78" s="1"/>
  <c r="BO214" i="78"/>
  <c r="BP214" i="78" s="1"/>
  <c r="BQ214" i="78"/>
  <c r="BR214" i="78" s="1"/>
  <c r="BS214" i="78"/>
  <c r="BT214" i="78" s="1"/>
  <c r="BU214" i="78"/>
  <c r="BV214" i="78" s="1"/>
  <c r="BO215" i="78"/>
  <c r="BP215" i="78" s="1"/>
  <c r="BQ215" i="78"/>
  <c r="BR215" i="78" s="1"/>
  <c r="BS215" i="78"/>
  <c r="BT215" i="78" s="1"/>
  <c r="BU215" i="78"/>
  <c r="BV215" i="78" s="1"/>
  <c r="BO216" i="78"/>
  <c r="BP216" i="78" s="1"/>
  <c r="BQ216" i="78"/>
  <c r="BR216" i="78" s="1"/>
  <c r="BS216" i="78"/>
  <c r="BT216" i="78" s="1"/>
  <c r="BU216" i="78"/>
  <c r="BV216" i="78" s="1"/>
  <c r="BO217" i="78"/>
  <c r="BP217" i="78" s="1"/>
  <c r="BQ217" i="78"/>
  <c r="BR217" i="78" s="1"/>
  <c r="BS217" i="78"/>
  <c r="BT217" i="78" s="1"/>
  <c r="BU217" i="78"/>
  <c r="BV217" i="78" s="1"/>
  <c r="BO218" i="78"/>
  <c r="BP218" i="78" s="1"/>
  <c r="BQ218" i="78"/>
  <c r="BR218" i="78" s="1"/>
  <c r="BS218" i="78"/>
  <c r="BT218" i="78" s="1"/>
  <c r="BU218" i="78"/>
  <c r="BV218" i="78" s="1"/>
  <c r="BO219" i="78"/>
  <c r="BP219" i="78" s="1"/>
  <c r="BQ219" i="78"/>
  <c r="BR219" i="78" s="1"/>
  <c r="BS219" i="78"/>
  <c r="BT219" i="78" s="1"/>
  <c r="BU219" i="78"/>
  <c r="BV219" i="78" s="1"/>
  <c r="BO220" i="78"/>
  <c r="BP220" i="78" s="1"/>
  <c r="BQ220" i="78"/>
  <c r="BR220" i="78" s="1"/>
  <c r="BS220" i="78"/>
  <c r="BT220" i="78" s="1"/>
  <c r="BU220" i="78"/>
  <c r="BV220" i="78" s="1"/>
  <c r="BO221" i="78"/>
  <c r="BP221" i="78" s="1"/>
  <c r="BQ221" i="78"/>
  <c r="BR221" i="78" s="1"/>
  <c r="BS221" i="78"/>
  <c r="BT221" i="78" s="1"/>
  <c r="BU221" i="78"/>
  <c r="BV221" i="78" s="1"/>
  <c r="BO222" i="78"/>
  <c r="BP222" i="78" s="1"/>
  <c r="BQ222" i="78"/>
  <c r="BR222" i="78" s="1"/>
  <c r="BS222" i="78"/>
  <c r="BT222" i="78" s="1"/>
  <c r="BU222" i="78"/>
  <c r="BV222" i="78" s="1"/>
  <c r="BO223" i="78"/>
  <c r="BP223" i="78" s="1"/>
  <c r="BQ223" i="78"/>
  <c r="BR223" i="78" s="1"/>
  <c r="BS223" i="78"/>
  <c r="BT223" i="78" s="1"/>
  <c r="BU223" i="78"/>
  <c r="BV223" i="78" s="1"/>
  <c r="BO224" i="78"/>
  <c r="BP224" i="78" s="1"/>
  <c r="BQ224" i="78"/>
  <c r="BR224" i="78" s="1"/>
  <c r="BS224" i="78"/>
  <c r="BT224" i="78" s="1"/>
  <c r="BU224" i="78"/>
  <c r="BV224" i="78" s="1"/>
  <c r="BO225" i="78"/>
  <c r="BP225" i="78" s="1"/>
  <c r="BQ225" i="78"/>
  <c r="BR225" i="78" s="1"/>
  <c r="BS225" i="78"/>
  <c r="BT225" i="78" s="1"/>
  <c r="BU225" i="78"/>
  <c r="BV225" i="78" s="1"/>
  <c r="BO226" i="78"/>
  <c r="BP226" i="78" s="1"/>
  <c r="BQ226" i="78"/>
  <c r="BR226" i="78" s="1"/>
  <c r="BS226" i="78"/>
  <c r="BT226" i="78" s="1"/>
  <c r="BU226" i="78"/>
  <c r="BV226" i="78" s="1"/>
  <c r="BO227" i="78"/>
  <c r="BP227" i="78" s="1"/>
  <c r="BQ227" i="78"/>
  <c r="BR227" i="78" s="1"/>
  <c r="BS227" i="78"/>
  <c r="BT227" i="78" s="1"/>
  <c r="BU227" i="78"/>
  <c r="BV227" i="78" s="1"/>
  <c r="BO228" i="78"/>
  <c r="BP228" i="78" s="1"/>
  <c r="BQ228" i="78"/>
  <c r="BR228" i="78" s="1"/>
  <c r="BS228" i="78"/>
  <c r="BT228" i="78" s="1"/>
  <c r="BU228" i="78"/>
  <c r="BV228" i="78" s="1"/>
  <c r="BO229" i="78"/>
  <c r="BP229" i="78" s="1"/>
  <c r="BQ229" i="78"/>
  <c r="BR229" i="78" s="1"/>
  <c r="BS229" i="78"/>
  <c r="BT229" i="78" s="1"/>
  <c r="BU229" i="78"/>
  <c r="BV229" i="78" s="1"/>
  <c r="BO230" i="78"/>
  <c r="BP230" i="78" s="1"/>
  <c r="BQ230" i="78"/>
  <c r="BR230" i="78" s="1"/>
  <c r="BS230" i="78"/>
  <c r="BT230" i="78" s="1"/>
  <c r="BU230" i="78"/>
  <c r="BV230" i="78" s="1"/>
  <c r="BO231" i="78"/>
  <c r="BP231" i="78" s="1"/>
  <c r="BQ231" i="78"/>
  <c r="BR231" i="78" s="1"/>
  <c r="BS231" i="78"/>
  <c r="BT231" i="78" s="1"/>
  <c r="BU231" i="78"/>
  <c r="BV231" i="78" s="1"/>
  <c r="BO232" i="78"/>
  <c r="BP232" i="78" s="1"/>
  <c r="BQ232" i="78"/>
  <c r="BR232" i="78" s="1"/>
  <c r="BS232" i="78"/>
  <c r="BT232" i="78" s="1"/>
  <c r="BU232" i="78"/>
  <c r="BV232" i="78" s="1"/>
  <c r="BO233" i="78"/>
  <c r="BP233" i="78" s="1"/>
  <c r="BQ233" i="78"/>
  <c r="BR233" i="78" s="1"/>
  <c r="BS233" i="78"/>
  <c r="BT233" i="78" s="1"/>
  <c r="BU233" i="78"/>
  <c r="BV233" i="78" s="1"/>
  <c r="BO234" i="78"/>
  <c r="BP234" i="78" s="1"/>
  <c r="BQ234" i="78"/>
  <c r="BR234" i="78" s="1"/>
  <c r="BS234" i="78"/>
  <c r="BT234" i="78" s="1"/>
  <c r="BU234" i="78"/>
  <c r="BV234" i="78" s="1"/>
  <c r="BO235" i="78"/>
  <c r="BP235" i="78" s="1"/>
  <c r="BQ235" i="78"/>
  <c r="BR235" i="78" s="1"/>
  <c r="BS235" i="78"/>
  <c r="BT235" i="78" s="1"/>
  <c r="BU235" i="78"/>
  <c r="BV235" i="78" s="1"/>
  <c r="BO236" i="78"/>
  <c r="BP236" i="78" s="1"/>
  <c r="BQ236" i="78"/>
  <c r="BR236" i="78" s="1"/>
  <c r="BS236" i="78"/>
  <c r="BT236" i="78" s="1"/>
  <c r="BU236" i="78"/>
  <c r="BV236" i="78" s="1"/>
  <c r="BO237" i="78"/>
  <c r="BP237" i="78" s="1"/>
  <c r="BQ237" i="78"/>
  <c r="BR237" i="78" s="1"/>
  <c r="BS237" i="78"/>
  <c r="BT237" i="78" s="1"/>
  <c r="BU237" i="78"/>
  <c r="BV237" i="78" s="1"/>
  <c r="BO238" i="78"/>
  <c r="BP238" i="78" s="1"/>
  <c r="BQ238" i="78"/>
  <c r="BR238" i="78" s="1"/>
  <c r="BS238" i="78"/>
  <c r="BT238" i="78" s="1"/>
  <c r="BU238" i="78"/>
  <c r="BV238" i="78" s="1"/>
  <c r="BO239" i="78"/>
  <c r="BP239" i="78" s="1"/>
  <c r="BQ239" i="78"/>
  <c r="BR239" i="78" s="1"/>
  <c r="BS239" i="78"/>
  <c r="BT239" i="78" s="1"/>
  <c r="BU239" i="78"/>
  <c r="BV239" i="78" s="1"/>
  <c r="BO240" i="78"/>
  <c r="BP240" i="78" s="1"/>
  <c r="BQ240" i="78"/>
  <c r="BR240" i="78" s="1"/>
  <c r="BS240" i="78"/>
  <c r="BT240" i="78" s="1"/>
  <c r="BU240" i="78"/>
  <c r="BV240" i="78" s="1"/>
  <c r="BO241" i="78"/>
  <c r="BP241" i="78" s="1"/>
  <c r="BQ241" i="78"/>
  <c r="BR241" i="78" s="1"/>
  <c r="BS241" i="78"/>
  <c r="BT241" i="78" s="1"/>
  <c r="BU241" i="78"/>
  <c r="BV241" i="78" s="1"/>
  <c r="BO242" i="78"/>
  <c r="BP242" i="78" s="1"/>
  <c r="BQ242" i="78"/>
  <c r="BR242" i="78" s="1"/>
  <c r="BS242" i="78"/>
  <c r="BT242" i="78" s="1"/>
  <c r="BU242" i="78"/>
  <c r="BV242" i="78" s="1"/>
  <c r="BO243" i="78"/>
  <c r="BP243" i="78" s="1"/>
  <c r="BQ243" i="78"/>
  <c r="BR243" i="78" s="1"/>
  <c r="BS243" i="78"/>
  <c r="BT243" i="78" s="1"/>
  <c r="BU243" i="78"/>
  <c r="BV243" i="78" s="1"/>
  <c r="BO244" i="78"/>
  <c r="BP244" i="78" s="1"/>
  <c r="BQ244" i="78"/>
  <c r="BR244" i="78" s="1"/>
  <c r="BS244" i="78"/>
  <c r="BT244" i="78" s="1"/>
  <c r="BU244" i="78"/>
  <c r="BV244" i="78" s="1"/>
  <c r="BO245" i="78"/>
  <c r="BP245" i="78" s="1"/>
  <c r="BQ245" i="78"/>
  <c r="BR245" i="78" s="1"/>
  <c r="BS245" i="78"/>
  <c r="BT245" i="78" s="1"/>
  <c r="BU245" i="78"/>
  <c r="BV245" i="78" s="1"/>
  <c r="BO246" i="78"/>
  <c r="BP246" i="78" s="1"/>
  <c r="BQ246" i="78"/>
  <c r="BR246" i="78" s="1"/>
  <c r="BS246" i="78"/>
  <c r="BT246" i="78" s="1"/>
  <c r="BU246" i="78"/>
  <c r="BV246" i="78" s="1"/>
  <c r="BO247" i="78"/>
  <c r="BP247" i="78" s="1"/>
  <c r="BQ247" i="78"/>
  <c r="BR247" i="78" s="1"/>
  <c r="BS247" i="78"/>
  <c r="BT247" i="78" s="1"/>
  <c r="BU247" i="78"/>
  <c r="BV247" i="78" s="1"/>
  <c r="BO248" i="78"/>
  <c r="BP248" i="78" s="1"/>
  <c r="BQ248" i="78"/>
  <c r="BR248" i="78" s="1"/>
  <c r="BS248" i="78"/>
  <c r="BT248" i="78" s="1"/>
  <c r="BU248" i="78"/>
  <c r="BV248" i="78" s="1"/>
  <c r="BO249" i="78"/>
  <c r="BP249" i="78" s="1"/>
  <c r="BQ249" i="78"/>
  <c r="BR249" i="78" s="1"/>
  <c r="BS249" i="78"/>
  <c r="BT249" i="78" s="1"/>
  <c r="BU249" i="78"/>
  <c r="BV249" i="78" s="1"/>
  <c r="BO250" i="78"/>
  <c r="BP250" i="78" s="1"/>
  <c r="BQ250" i="78"/>
  <c r="BR250" i="78" s="1"/>
  <c r="BS250" i="78"/>
  <c r="BT250" i="78" s="1"/>
  <c r="BU250" i="78"/>
  <c r="BV250" i="78" s="1"/>
  <c r="BO251" i="78"/>
  <c r="BP251" i="78" s="1"/>
  <c r="BQ251" i="78"/>
  <c r="BR251" i="78" s="1"/>
  <c r="BS251" i="78"/>
  <c r="BT251" i="78" s="1"/>
  <c r="BU251" i="78"/>
  <c r="BV251" i="78" s="1"/>
  <c r="BO252" i="78"/>
  <c r="BP252" i="78" s="1"/>
  <c r="BQ252" i="78"/>
  <c r="BR252" i="78" s="1"/>
  <c r="BS252" i="78"/>
  <c r="BT252" i="78" s="1"/>
  <c r="BU252" i="78"/>
  <c r="BV252" i="78" s="1"/>
  <c r="BO253" i="78"/>
  <c r="BP253" i="78" s="1"/>
  <c r="BQ253" i="78"/>
  <c r="BR253" i="78" s="1"/>
  <c r="BS253" i="78"/>
  <c r="BT253" i="78" s="1"/>
  <c r="BU253" i="78"/>
  <c r="BV253" i="78" s="1"/>
  <c r="BO254" i="78"/>
  <c r="BP254" i="78" s="1"/>
  <c r="BQ254" i="78"/>
  <c r="BR254" i="78" s="1"/>
  <c r="BS254" i="78"/>
  <c r="BT254" i="78" s="1"/>
  <c r="BU254" i="78"/>
  <c r="BV254" i="78" s="1"/>
  <c r="BO255" i="78"/>
  <c r="BP255" i="78" s="1"/>
  <c r="BQ255" i="78"/>
  <c r="BR255" i="78" s="1"/>
  <c r="BS255" i="78"/>
  <c r="BT255" i="78" s="1"/>
  <c r="BU255" i="78"/>
  <c r="BV255" i="78" s="1"/>
  <c r="BO256" i="78"/>
  <c r="BP256" i="78" s="1"/>
  <c r="BQ256" i="78"/>
  <c r="BR256" i="78" s="1"/>
  <c r="BS256" i="78"/>
  <c r="BT256" i="78" s="1"/>
  <c r="BU256" i="78"/>
  <c r="BV256" i="78" s="1"/>
  <c r="BO257" i="78"/>
  <c r="BP257" i="78" s="1"/>
  <c r="BQ257" i="78"/>
  <c r="BR257" i="78" s="1"/>
  <c r="BS257" i="78"/>
  <c r="BT257" i="78" s="1"/>
  <c r="BU257" i="78"/>
  <c r="BV257" i="78" s="1"/>
  <c r="BO258" i="78"/>
  <c r="BP258" i="78" s="1"/>
  <c r="BQ258" i="78"/>
  <c r="BR258" i="78" s="1"/>
  <c r="BS258" i="78"/>
  <c r="BT258" i="78" s="1"/>
  <c r="BU258" i="78"/>
  <c r="BV258" i="78" s="1"/>
  <c r="BO259" i="78"/>
  <c r="BP259" i="78" s="1"/>
  <c r="BQ259" i="78"/>
  <c r="BR259" i="78" s="1"/>
  <c r="BS259" i="78"/>
  <c r="BT259" i="78" s="1"/>
  <c r="BU259" i="78"/>
  <c r="BV259" i="78" s="1"/>
  <c r="BO260" i="78"/>
  <c r="BP260" i="78" s="1"/>
  <c r="BQ260" i="78"/>
  <c r="BR260" i="78" s="1"/>
  <c r="BS260" i="78"/>
  <c r="BT260" i="78" s="1"/>
  <c r="BU260" i="78"/>
  <c r="BV260" i="78" s="1"/>
  <c r="BO261" i="78"/>
  <c r="BQ261" i="78"/>
  <c r="BS261" i="78"/>
  <c r="BU261" i="78"/>
  <c r="BO262" i="78"/>
  <c r="BP262" i="78" s="1"/>
  <c r="BQ262" i="78"/>
  <c r="BR262" i="78" s="1"/>
  <c r="BS262" i="78"/>
  <c r="BT262" i="78" s="1"/>
  <c r="BU262" i="78"/>
  <c r="BV262" i="78" s="1"/>
  <c r="BO263" i="78"/>
  <c r="BP263" i="78" s="1"/>
  <c r="BQ263" i="78"/>
  <c r="BR263" i="78" s="1"/>
  <c r="BS263" i="78"/>
  <c r="BT263" i="78" s="1"/>
  <c r="BU263" i="78"/>
  <c r="BV263" i="78" s="1"/>
  <c r="BO264" i="78"/>
  <c r="BP264" i="78" s="1"/>
  <c r="BQ264" i="78"/>
  <c r="BR264" i="78" s="1"/>
  <c r="BS264" i="78"/>
  <c r="BT264" i="78" s="1"/>
  <c r="BU264" i="78"/>
  <c r="BV264" i="78" s="1"/>
  <c r="BO265" i="78"/>
  <c r="BP265" i="78" s="1"/>
  <c r="BQ265" i="78"/>
  <c r="BR265" i="78" s="1"/>
  <c r="BS265" i="78"/>
  <c r="BT265" i="78" s="1"/>
  <c r="BU265" i="78"/>
  <c r="BV265" i="78" s="1"/>
  <c r="BO266" i="78"/>
  <c r="BP266" i="78" s="1"/>
  <c r="BQ266" i="78"/>
  <c r="BR266" i="78" s="1"/>
  <c r="BS266" i="78"/>
  <c r="BT266" i="78" s="1"/>
  <c r="BU266" i="78"/>
  <c r="BV266" i="78" s="1"/>
  <c r="BO267" i="78"/>
  <c r="BP267" i="78" s="1"/>
  <c r="BQ267" i="78"/>
  <c r="BR267" i="78" s="1"/>
  <c r="BS267" i="78"/>
  <c r="BT267" i="78" s="1"/>
  <c r="BU267" i="78"/>
  <c r="BV267" i="78" s="1"/>
  <c r="BO268" i="78"/>
  <c r="BP268" i="78" s="1"/>
  <c r="BQ268" i="78"/>
  <c r="BR268" i="78" s="1"/>
  <c r="BS268" i="78"/>
  <c r="BT268" i="78" s="1"/>
  <c r="BU268" i="78"/>
  <c r="BV268" i="78" s="1"/>
  <c r="BO269" i="78"/>
  <c r="BP269" i="78" s="1"/>
  <c r="BQ269" i="78"/>
  <c r="BR269" i="78" s="1"/>
  <c r="BS269" i="78"/>
  <c r="BT269" i="78" s="1"/>
  <c r="BU269" i="78"/>
  <c r="BV269" i="78" s="1"/>
  <c r="BO270" i="78"/>
  <c r="BP270" i="78" s="1"/>
  <c r="BQ270" i="78"/>
  <c r="BR270" i="78" s="1"/>
  <c r="BS270" i="78"/>
  <c r="BT270" i="78" s="1"/>
  <c r="BU270" i="78"/>
  <c r="BV270" i="78" s="1"/>
  <c r="BO271" i="78"/>
  <c r="BP271" i="78" s="1"/>
  <c r="BQ271" i="78"/>
  <c r="BR271" i="78" s="1"/>
  <c r="BS271" i="78"/>
  <c r="BT271" i="78" s="1"/>
  <c r="BU271" i="78"/>
  <c r="BV271" i="78" s="1"/>
  <c r="BO272" i="78"/>
  <c r="BP272" i="78" s="1"/>
  <c r="BQ272" i="78"/>
  <c r="BR272" i="78" s="1"/>
  <c r="BS272" i="78"/>
  <c r="BT272" i="78" s="1"/>
  <c r="BU272" i="78"/>
  <c r="BV272" i="78" s="1"/>
  <c r="BO273" i="78"/>
  <c r="BP273" i="78" s="1"/>
  <c r="BQ273" i="78"/>
  <c r="BR273" i="78" s="1"/>
  <c r="BS273" i="78"/>
  <c r="BT273" i="78" s="1"/>
  <c r="BU273" i="78"/>
  <c r="BV273" i="78" s="1"/>
  <c r="BO274" i="78"/>
  <c r="BP274" i="78" s="1"/>
  <c r="BQ274" i="78"/>
  <c r="BR274" i="78" s="1"/>
  <c r="BS274" i="78"/>
  <c r="BT274" i="78" s="1"/>
  <c r="BU274" i="78"/>
  <c r="BV274" i="78" s="1"/>
  <c r="BO275" i="78"/>
  <c r="BP275" i="78" s="1"/>
  <c r="BQ275" i="78"/>
  <c r="BR275" i="78" s="1"/>
  <c r="BS275" i="78"/>
  <c r="BT275" i="78" s="1"/>
  <c r="BU275" i="78"/>
  <c r="BV275" i="78" s="1"/>
  <c r="BO276" i="78"/>
  <c r="BP276" i="78" s="1"/>
  <c r="BQ276" i="78"/>
  <c r="BR276" i="78" s="1"/>
  <c r="BS276" i="78"/>
  <c r="BT276" i="78" s="1"/>
  <c r="BU276" i="78"/>
  <c r="BV276" i="78" s="1"/>
  <c r="BO277" i="78"/>
  <c r="BP277" i="78" s="1"/>
  <c r="BQ277" i="78"/>
  <c r="BR277" i="78" s="1"/>
  <c r="BS277" i="78"/>
  <c r="BT277" i="78" s="1"/>
  <c r="BU277" i="78"/>
  <c r="BV277" i="78" s="1"/>
  <c r="BO278" i="78"/>
  <c r="BP278" i="78" s="1"/>
  <c r="BQ278" i="78"/>
  <c r="BR278" i="78" s="1"/>
  <c r="BS278" i="78"/>
  <c r="BT278" i="78" s="1"/>
  <c r="BU278" i="78"/>
  <c r="BV278" i="78" s="1"/>
  <c r="BO279" i="78"/>
  <c r="BP279" i="78" s="1"/>
  <c r="BQ279" i="78"/>
  <c r="BR279" i="78" s="1"/>
  <c r="BS279" i="78"/>
  <c r="BT279" i="78" s="1"/>
  <c r="BU279" i="78"/>
  <c r="BV279" i="78" s="1"/>
  <c r="BO280" i="78"/>
  <c r="BP280" i="78" s="1"/>
  <c r="BQ280" i="78"/>
  <c r="BR280" i="78" s="1"/>
  <c r="BS280" i="78"/>
  <c r="BT280" i="78" s="1"/>
  <c r="BU280" i="78"/>
  <c r="BV280" i="78" s="1"/>
  <c r="BO281" i="78"/>
  <c r="BP281" i="78" s="1"/>
  <c r="BQ281" i="78"/>
  <c r="BR281" i="78" s="1"/>
  <c r="BS281" i="78"/>
  <c r="BT281" i="78" s="1"/>
  <c r="BU281" i="78"/>
  <c r="BV281" i="78" s="1"/>
  <c r="BO282" i="78"/>
  <c r="BP282" i="78" s="1"/>
  <c r="BQ282" i="78"/>
  <c r="BR282" i="78" s="1"/>
  <c r="BS282" i="78"/>
  <c r="BT282" i="78" s="1"/>
  <c r="BU282" i="78"/>
  <c r="BV282" i="78" s="1"/>
  <c r="BO283" i="78"/>
  <c r="BP283" i="78" s="1"/>
  <c r="BQ283" i="78"/>
  <c r="BR283" i="78" s="1"/>
  <c r="BS283" i="78"/>
  <c r="BT283" i="78" s="1"/>
  <c r="BU283" i="78"/>
  <c r="BV283" i="78" s="1"/>
  <c r="BO284" i="78"/>
  <c r="BP284" i="78" s="1"/>
  <c r="BQ284" i="78"/>
  <c r="BR284" i="78" s="1"/>
  <c r="BS284" i="78"/>
  <c r="BT284" i="78" s="1"/>
  <c r="BU284" i="78"/>
  <c r="BV284" i="78" s="1"/>
  <c r="BO285" i="78"/>
  <c r="BP285" i="78" s="1"/>
  <c r="BQ285" i="78"/>
  <c r="BR285" i="78" s="1"/>
  <c r="BS285" i="78"/>
  <c r="BT285" i="78" s="1"/>
  <c r="BU285" i="78"/>
  <c r="BV285" i="78" s="1"/>
  <c r="BO286" i="78"/>
  <c r="BP286" i="78" s="1"/>
  <c r="BQ286" i="78"/>
  <c r="BR286" i="78" s="1"/>
  <c r="BS286" i="78"/>
  <c r="BT286" i="78" s="1"/>
  <c r="BU286" i="78"/>
  <c r="BV286" i="78" s="1"/>
  <c r="BO287" i="78"/>
  <c r="BP287" i="78" s="1"/>
  <c r="BQ287" i="78"/>
  <c r="BR287" i="78" s="1"/>
  <c r="BS287" i="78"/>
  <c r="BT287" i="78" s="1"/>
  <c r="BU287" i="78"/>
  <c r="BV287" i="78" s="1"/>
  <c r="BO288" i="78"/>
  <c r="BP288" i="78" s="1"/>
  <c r="BQ288" i="78"/>
  <c r="BR288" i="78" s="1"/>
  <c r="BS288" i="78"/>
  <c r="BT288" i="78" s="1"/>
  <c r="BU288" i="78"/>
  <c r="BV288" i="78" s="1"/>
  <c r="BO289" i="78"/>
  <c r="BP289" i="78" s="1"/>
  <c r="BQ289" i="78"/>
  <c r="BR289" i="78" s="1"/>
  <c r="BS289" i="78"/>
  <c r="BT289" i="78" s="1"/>
  <c r="BU289" i="78"/>
  <c r="BV289" i="78" s="1"/>
  <c r="BO290" i="78"/>
  <c r="BP290" i="78" s="1"/>
  <c r="BQ290" i="78"/>
  <c r="BR290" i="78" s="1"/>
  <c r="BS290" i="78"/>
  <c r="BT290" i="78" s="1"/>
  <c r="BU290" i="78"/>
  <c r="BV290" i="78" s="1"/>
  <c r="BO291" i="78"/>
  <c r="BP291" i="78" s="1"/>
  <c r="BQ291" i="78"/>
  <c r="BR291" i="78" s="1"/>
  <c r="BS291" i="78"/>
  <c r="BT291" i="78" s="1"/>
  <c r="BU291" i="78"/>
  <c r="BV291" i="78" s="1"/>
  <c r="BO292" i="78"/>
  <c r="BP292" i="78" s="1"/>
  <c r="BQ292" i="78"/>
  <c r="BR292" i="78" s="1"/>
  <c r="BS292" i="78"/>
  <c r="BT292" i="78" s="1"/>
  <c r="BU292" i="78"/>
  <c r="BV292" i="78" s="1"/>
  <c r="BO293" i="78"/>
  <c r="BP293" i="78" s="1"/>
  <c r="BQ293" i="78"/>
  <c r="BR293" i="78" s="1"/>
  <c r="BS293" i="78"/>
  <c r="BT293" i="78" s="1"/>
  <c r="BU293" i="78"/>
  <c r="BV293" i="78" s="1"/>
  <c r="BO294" i="78"/>
  <c r="BP294" i="78" s="1"/>
  <c r="BQ294" i="78"/>
  <c r="BR294" i="78" s="1"/>
  <c r="BS294" i="78"/>
  <c r="BT294" i="78" s="1"/>
  <c r="BU294" i="78"/>
  <c r="BV294" i="78" s="1"/>
  <c r="BO295" i="78"/>
  <c r="BP295" i="78" s="1"/>
  <c r="BQ295" i="78"/>
  <c r="BR295" i="78" s="1"/>
  <c r="BS295" i="78"/>
  <c r="BT295" i="78" s="1"/>
  <c r="BU295" i="78"/>
  <c r="BV295" i="78" s="1"/>
  <c r="BO296" i="78"/>
  <c r="BP296" i="78" s="1"/>
  <c r="BQ296" i="78"/>
  <c r="BR296" i="78" s="1"/>
  <c r="BS296" i="78"/>
  <c r="BT296" i="78" s="1"/>
  <c r="BU296" i="78"/>
  <c r="BV296" i="78" s="1"/>
  <c r="BO297" i="78"/>
  <c r="BP297" i="78" s="1"/>
  <c r="BQ297" i="78"/>
  <c r="BR297" i="78" s="1"/>
  <c r="BS297" i="78"/>
  <c r="BT297" i="78" s="1"/>
  <c r="BU297" i="78"/>
  <c r="BV297" i="78" s="1"/>
  <c r="BO298" i="78"/>
  <c r="BP298" i="78" s="1"/>
  <c r="BQ298" i="78"/>
  <c r="BR298" i="78" s="1"/>
  <c r="BS298" i="78"/>
  <c r="BT298" i="78" s="1"/>
  <c r="BU298" i="78"/>
  <c r="BV298" i="78" s="1"/>
  <c r="BO299" i="78"/>
  <c r="BP299" i="78" s="1"/>
  <c r="BQ299" i="78"/>
  <c r="BR299" i="78" s="1"/>
  <c r="BS299" i="78"/>
  <c r="BT299" i="78" s="1"/>
  <c r="BU299" i="78"/>
  <c r="BV299" i="78" s="1"/>
  <c r="BO300" i="78"/>
  <c r="BP300" i="78" s="1"/>
  <c r="BQ300" i="78"/>
  <c r="BR300" i="78" s="1"/>
  <c r="BS300" i="78"/>
  <c r="BT300" i="78" s="1"/>
  <c r="BU300" i="78"/>
  <c r="BV300" i="78" s="1"/>
  <c r="BO301" i="78"/>
  <c r="BP301" i="78" s="1"/>
  <c r="BQ301" i="78"/>
  <c r="BR301" i="78" s="1"/>
  <c r="BS301" i="78"/>
  <c r="BT301" i="78" s="1"/>
  <c r="BU301" i="78"/>
  <c r="BV301" i="78" s="1"/>
  <c r="BO302" i="78"/>
  <c r="BP302" i="78" s="1"/>
  <c r="BQ302" i="78"/>
  <c r="BR302" i="78" s="1"/>
  <c r="BS302" i="78"/>
  <c r="BT302" i="78" s="1"/>
  <c r="BU302" i="78"/>
  <c r="BV302" i="78" s="1"/>
  <c r="BO303" i="78"/>
  <c r="BP303" i="78" s="1"/>
  <c r="BQ303" i="78"/>
  <c r="BR303" i="78" s="1"/>
  <c r="BS303" i="78"/>
  <c r="BT303" i="78" s="1"/>
  <c r="BU303" i="78"/>
  <c r="BV303" i="78" s="1"/>
  <c r="BO304" i="78"/>
  <c r="BP304" i="78" s="1"/>
  <c r="BQ304" i="78"/>
  <c r="BR304" i="78" s="1"/>
  <c r="BS304" i="78"/>
  <c r="BT304" i="78" s="1"/>
  <c r="BU304" i="78"/>
  <c r="BV304" i="78" s="1"/>
  <c r="BO305" i="78"/>
  <c r="BP305" i="78" s="1"/>
  <c r="BQ305" i="78"/>
  <c r="BR305" i="78" s="1"/>
  <c r="BS305" i="78"/>
  <c r="BT305" i="78" s="1"/>
  <c r="BU305" i="78"/>
  <c r="BV305" i="78" s="1"/>
  <c r="BO306" i="78"/>
  <c r="BP306" i="78" s="1"/>
  <c r="BQ306" i="78"/>
  <c r="BR306" i="78" s="1"/>
  <c r="BS306" i="78"/>
  <c r="BT306" i="78" s="1"/>
  <c r="BU306" i="78"/>
  <c r="BV306" i="78" s="1"/>
  <c r="BO307" i="78"/>
  <c r="BP307" i="78" s="1"/>
  <c r="BQ307" i="78"/>
  <c r="BR307" i="78" s="1"/>
  <c r="BS307" i="78"/>
  <c r="BT307" i="78" s="1"/>
  <c r="BU307" i="78"/>
  <c r="BV307" i="78" s="1"/>
  <c r="BO308" i="78"/>
  <c r="BP308" i="78" s="1"/>
  <c r="BQ308" i="78"/>
  <c r="BR308" i="78" s="1"/>
  <c r="BS308" i="78"/>
  <c r="BT308" i="78" s="1"/>
  <c r="BU308" i="78"/>
  <c r="BV308" i="78" s="1"/>
  <c r="BO309" i="78"/>
  <c r="BP309" i="78" s="1"/>
  <c r="BQ309" i="78"/>
  <c r="BR309" i="78" s="1"/>
  <c r="BS309" i="78"/>
  <c r="BT309" i="78" s="1"/>
  <c r="BU309" i="78"/>
  <c r="BV309" i="78" s="1"/>
  <c r="BO310" i="78"/>
  <c r="BP310" i="78" s="1"/>
  <c r="BQ310" i="78"/>
  <c r="BR310" i="78" s="1"/>
  <c r="BS310" i="78"/>
  <c r="BT310" i="78" s="1"/>
  <c r="BU310" i="78"/>
  <c r="BV310" i="78" s="1"/>
  <c r="BO311" i="78"/>
  <c r="BP311" i="78" s="1"/>
  <c r="BQ311" i="78"/>
  <c r="BR311" i="78" s="1"/>
  <c r="BS311" i="78"/>
  <c r="BT311" i="78" s="1"/>
  <c r="BU311" i="78"/>
  <c r="BV311" i="78" s="1"/>
  <c r="BO312" i="78"/>
  <c r="BP312" i="78" s="1"/>
  <c r="BQ312" i="78"/>
  <c r="BR312" i="78" s="1"/>
  <c r="BS312" i="78"/>
  <c r="BT312" i="78" s="1"/>
  <c r="BU312" i="78"/>
  <c r="BV312" i="78" s="1"/>
  <c r="BO313" i="78"/>
  <c r="BP313" i="78" s="1"/>
  <c r="BQ313" i="78"/>
  <c r="BR313" i="78" s="1"/>
  <c r="BS313" i="78"/>
  <c r="BT313" i="78" s="1"/>
  <c r="BU313" i="78"/>
  <c r="BV313" i="78" s="1"/>
  <c r="BO314" i="78"/>
  <c r="BP314" i="78" s="1"/>
  <c r="BQ314" i="78"/>
  <c r="BR314" i="78" s="1"/>
  <c r="BS314" i="78"/>
  <c r="BT314" i="78" s="1"/>
  <c r="BU314" i="78"/>
  <c r="BV314" i="78" s="1"/>
  <c r="BO315" i="78"/>
  <c r="BP315" i="78" s="1"/>
  <c r="BQ315" i="78"/>
  <c r="BR315" i="78" s="1"/>
  <c r="BS315" i="78"/>
  <c r="BT315" i="78" s="1"/>
  <c r="BU315" i="78"/>
  <c r="BV315" i="78" s="1"/>
  <c r="BO316" i="78"/>
  <c r="BP316" i="78" s="1"/>
  <c r="BQ316" i="78"/>
  <c r="BR316" i="78" s="1"/>
  <c r="BS316" i="78"/>
  <c r="BT316" i="78" s="1"/>
  <c r="BU316" i="78"/>
  <c r="BV316" i="78" s="1"/>
  <c r="BO317" i="78"/>
  <c r="BP317" i="78" s="1"/>
  <c r="BQ317" i="78"/>
  <c r="BR317" i="78" s="1"/>
  <c r="BS317" i="78"/>
  <c r="BT317" i="78" s="1"/>
  <c r="BU317" i="78"/>
  <c r="BV317" i="78" s="1"/>
  <c r="BU5" i="78"/>
  <c r="BS5" i="78"/>
  <c r="BQ5" i="78"/>
  <c r="BO5" i="78"/>
  <c r="BD6" i="78"/>
  <c r="BE6" i="78" s="1"/>
  <c r="BF6" i="78"/>
  <c r="BG6" i="78" s="1"/>
  <c r="BH6" i="78"/>
  <c r="BI6" i="78" s="1"/>
  <c r="BJ6" i="78"/>
  <c r="BK6" i="78" s="1"/>
  <c r="BD7" i="78"/>
  <c r="BE7" i="78" s="1"/>
  <c r="BF7" i="78"/>
  <c r="BG7" i="78" s="1"/>
  <c r="BH7" i="78"/>
  <c r="BI7" i="78" s="1"/>
  <c r="BJ7" i="78"/>
  <c r="BK7" i="78" s="1"/>
  <c r="BD8" i="78"/>
  <c r="BE8" i="78" s="1"/>
  <c r="BF8" i="78"/>
  <c r="BG8" i="78" s="1"/>
  <c r="BH8" i="78"/>
  <c r="BI8" i="78" s="1"/>
  <c r="BJ8" i="78"/>
  <c r="BK8" i="78" s="1"/>
  <c r="BD9" i="78"/>
  <c r="BE9" i="78" s="1"/>
  <c r="BF9" i="78"/>
  <c r="BG9" i="78" s="1"/>
  <c r="BH9" i="78"/>
  <c r="BI9" i="78" s="1"/>
  <c r="BJ9" i="78"/>
  <c r="BK9" i="78" s="1"/>
  <c r="BD10" i="78"/>
  <c r="BE10" i="78" s="1"/>
  <c r="BF10" i="78"/>
  <c r="BG10" i="78" s="1"/>
  <c r="BH10" i="78"/>
  <c r="BI10" i="78" s="1"/>
  <c r="BJ10" i="78"/>
  <c r="BK10" i="78" s="1"/>
  <c r="BD11" i="78"/>
  <c r="BE11" i="78" s="1"/>
  <c r="BF11" i="78"/>
  <c r="BG11" i="78" s="1"/>
  <c r="BH11" i="78"/>
  <c r="BI11" i="78" s="1"/>
  <c r="BJ11" i="78"/>
  <c r="BK11" i="78" s="1"/>
  <c r="BD12" i="78"/>
  <c r="BE12" i="78" s="1"/>
  <c r="BF12" i="78"/>
  <c r="BG12" i="78" s="1"/>
  <c r="BH12" i="78"/>
  <c r="BI12" i="78" s="1"/>
  <c r="BJ12" i="78"/>
  <c r="BK12" i="78" s="1"/>
  <c r="BD13" i="78"/>
  <c r="BE13" i="78" s="1"/>
  <c r="BF13" i="78"/>
  <c r="BG13" i="78" s="1"/>
  <c r="BH13" i="78"/>
  <c r="BI13" i="78" s="1"/>
  <c r="BJ13" i="78"/>
  <c r="BK13" i="78" s="1"/>
  <c r="BD14" i="78"/>
  <c r="BE14" i="78" s="1"/>
  <c r="BF14" i="78"/>
  <c r="BG14" i="78" s="1"/>
  <c r="BH14" i="78"/>
  <c r="BI14" i="78" s="1"/>
  <c r="BJ14" i="78"/>
  <c r="BK14" i="78" s="1"/>
  <c r="BD15" i="78"/>
  <c r="BE15" i="78" s="1"/>
  <c r="BF15" i="78"/>
  <c r="BG15" i="78" s="1"/>
  <c r="BH15" i="78"/>
  <c r="BI15" i="78" s="1"/>
  <c r="BJ15" i="78"/>
  <c r="BK15" i="78" s="1"/>
  <c r="BD16" i="78"/>
  <c r="BE16" i="78" s="1"/>
  <c r="BF16" i="78"/>
  <c r="BG16" i="78" s="1"/>
  <c r="BH16" i="78"/>
  <c r="BI16" i="78" s="1"/>
  <c r="BJ16" i="78"/>
  <c r="BK16" i="78" s="1"/>
  <c r="BD17" i="78"/>
  <c r="BE17" i="78" s="1"/>
  <c r="BF17" i="78"/>
  <c r="BG17" i="78" s="1"/>
  <c r="BH17" i="78"/>
  <c r="BI17" i="78" s="1"/>
  <c r="BJ17" i="78"/>
  <c r="BK17" i="78" s="1"/>
  <c r="BD18" i="78"/>
  <c r="BE18" i="78" s="1"/>
  <c r="BF18" i="78"/>
  <c r="BG18" i="78" s="1"/>
  <c r="BH18" i="78"/>
  <c r="BI18" i="78" s="1"/>
  <c r="BJ18" i="78"/>
  <c r="BK18" i="78" s="1"/>
  <c r="BD19" i="78"/>
  <c r="BE19" i="78" s="1"/>
  <c r="BF19" i="78"/>
  <c r="BG19" i="78" s="1"/>
  <c r="BH19" i="78"/>
  <c r="BI19" i="78" s="1"/>
  <c r="BJ19" i="78"/>
  <c r="BK19" i="78" s="1"/>
  <c r="BD20" i="78"/>
  <c r="BE20" i="78" s="1"/>
  <c r="BF20" i="78"/>
  <c r="BG20" i="78" s="1"/>
  <c r="BH20" i="78"/>
  <c r="BI20" i="78" s="1"/>
  <c r="BJ20" i="78"/>
  <c r="BK20" i="78" s="1"/>
  <c r="BD21" i="78"/>
  <c r="BE21" i="78" s="1"/>
  <c r="BF21" i="78"/>
  <c r="BG21" i="78" s="1"/>
  <c r="BH21" i="78"/>
  <c r="BI21" i="78" s="1"/>
  <c r="BJ21" i="78"/>
  <c r="BK21" i="78" s="1"/>
  <c r="BD22" i="78"/>
  <c r="BE22" i="78" s="1"/>
  <c r="BF22" i="78"/>
  <c r="BG22" i="78" s="1"/>
  <c r="BH22" i="78"/>
  <c r="BI22" i="78" s="1"/>
  <c r="BJ22" i="78"/>
  <c r="BK22" i="78" s="1"/>
  <c r="BD23" i="78"/>
  <c r="BE23" i="78" s="1"/>
  <c r="BF23" i="78"/>
  <c r="BG23" i="78" s="1"/>
  <c r="BH23" i="78"/>
  <c r="BI23" i="78" s="1"/>
  <c r="BJ23" i="78"/>
  <c r="BK23" i="78" s="1"/>
  <c r="BD24" i="78"/>
  <c r="BE24" i="78" s="1"/>
  <c r="BF24" i="78"/>
  <c r="BG24" i="78" s="1"/>
  <c r="BH24" i="78"/>
  <c r="BI24" i="78" s="1"/>
  <c r="BJ24" i="78"/>
  <c r="BK24" i="78" s="1"/>
  <c r="BD25" i="78"/>
  <c r="BE25" i="78" s="1"/>
  <c r="BF25" i="78"/>
  <c r="BG25" i="78" s="1"/>
  <c r="BH25" i="78"/>
  <c r="BI25" i="78" s="1"/>
  <c r="BJ25" i="78"/>
  <c r="BK25" i="78" s="1"/>
  <c r="BD26" i="78"/>
  <c r="BE26" i="78" s="1"/>
  <c r="BF26" i="78"/>
  <c r="BG26" i="78" s="1"/>
  <c r="BH26" i="78"/>
  <c r="BI26" i="78" s="1"/>
  <c r="BJ26" i="78"/>
  <c r="BK26" i="78" s="1"/>
  <c r="BD27" i="78"/>
  <c r="BE27" i="78" s="1"/>
  <c r="BF27" i="78"/>
  <c r="BG27" i="78" s="1"/>
  <c r="BH27" i="78"/>
  <c r="BI27" i="78" s="1"/>
  <c r="BJ27" i="78"/>
  <c r="BK27" i="78" s="1"/>
  <c r="BD28" i="78"/>
  <c r="BE28" i="78" s="1"/>
  <c r="BF28" i="78"/>
  <c r="BG28" i="78" s="1"/>
  <c r="BH28" i="78"/>
  <c r="BI28" i="78" s="1"/>
  <c r="BJ28" i="78"/>
  <c r="BK28" i="78" s="1"/>
  <c r="BD29" i="78"/>
  <c r="BE29" i="78" s="1"/>
  <c r="BF29" i="78"/>
  <c r="BG29" i="78" s="1"/>
  <c r="BH29" i="78"/>
  <c r="BI29" i="78" s="1"/>
  <c r="BJ29" i="78"/>
  <c r="BK29" i="78" s="1"/>
  <c r="BD30" i="78"/>
  <c r="BE30" i="78" s="1"/>
  <c r="BF30" i="78"/>
  <c r="BG30" i="78" s="1"/>
  <c r="BH30" i="78"/>
  <c r="BI30" i="78" s="1"/>
  <c r="BJ30" i="78"/>
  <c r="BK30" i="78" s="1"/>
  <c r="BD31" i="78"/>
  <c r="BE31" i="78" s="1"/>
  <c r="BF31" i="78"/>
  <c r="BG31" i="78" s="1"/>
  <c r="BH31" i="78"/>
  <c r="BI31" i="78" s="1"/>
  <c r="BJ31" i="78"/>
  <c r="BK31" i="78" s="1"/>
  <c r="BD32" i="78"/>
  <c r="BE32" i="78" s="1"/>
  <c r="BF32" i="78"/>
  <c r="BG32" i="78" s="1"/>
  <c r="BH32" i="78"/>
  <c r="BI32" i="78" s="1"/>
  <c r="BJ32" i="78"/>
  <c r="BK32" i="78" s="1"/>
  <c r="BD33" i="78"/>
  <c r="BE33" i="78" s="1"/>
  <c r="BF33" i="78"/>
  <c r="BG33" i="78" s="1"/>
  <c r="BH33" i="78"/>
  <c r="BI33" i="78" s="1"/>
  <c r="BJ33" i="78"/>
  <c r="BK33" i="78" s="1"/>
  <c r="BD34" i="78"/>
  <c r="BE34" i="78" s="1"/>
  <c r="BF34" i="78"/>
  <c r="BG34" i="78" s="1"/>
  <c r="BH34" i="78"/>
  <c r="BI34" i="78" s="1"/>
  <c r="BJ34" i="78"/>
  <c r="BK34" i="78" s="1"/>
  <c r="BD35" i="78"/>
  <c r="BE35" i="78" s="1"/>
  <c r="BF35" i="78"/>
  <c r="BG35" i="78" s="1"/>
  <c r="BH35" i="78"/>
  <c r="BI35" i="78" s="1"/>
  <c r="BJ35" i="78"/>
  <c r="BK35" i="78" s="1"/>
  <c r="BD36" i="78"/>
  <c r="BE36" i="78" s="1"/>
  <c r="BF36" i="78"/>
  <c r="BG36" i="78" s="1"/>
  <c r="BH36" i="78"/>
  <c r="BI36" i="78" s="1"/>
  <c r="BJ36" i="78"/>
  <c r="BK36" i="78" s="1"/>
  <c r="BD37" i="78"/>
  <c r="BE37" i="78" s="1"/>
  <c r="BF37" i="78"/>
  <c r="BG37" i="78" s="1"/>
  <c r="BH37" i="78"/>
  <c r="BI37" i="78" s="1"/>
  <c r="BJ37" i="78"/>
  <c r="BK37" i="78" s="1"/>
  <c r="BD38" i="78"/>
  <c r="BE38" i="78" s="1"/>
  <c r="BF38" i="78"/>
  <c r="BG38" i="78" s="1"/>
  <c r="BH38" i="78"/>
  <c r="BI38" i="78" s="1"/>
  <c r="BJ38" i="78"/>
  <c r="BK38" i="78" s="1"/>
  <c r="BD39" i="78"/>
  <c r="BE39" i="78" s="1"/>
  <c r="BF39" i="78"/>
  <c r="BG39" i="78" s="1"/>
  <c r="BH39" i="78"/>
  <c r="BI39" i="78" s="1"/>
  <c r="BJ39" i="78"/>
  <c r="BK39" i="78" s="1"/>
  <c r="BD40" i="78"/>
  <c r="BE40" i="78" s="1"/>
  <c r="BF40" i="78"/>
  <c r="BG40" i="78" s="1"/>
  <c r="BH40" i="78"/>
  <c r="BI40" i="78" s="1"/>
  <c r="BJ40" i="78"/>
  <c r="BK40" i="78" s="1"/>
  <c r="BD41" i="78"/>
  <c r="BE41" i="78" s="1"/>
  <c r="BF41" i="78"/>
  <c r="BG41" i="78" s="1"/>
  <c r="BH41" i="78"/>
  <c r="BI41" i="78" s="1"/>
  <c r="BJ41" i="78"/>
  <c r="BK41" i="78" s="1"/>
  <c r="BD42" i="78"/>
  <c r="BE42" i="78" s="1"/>
  <c r="BF42" i="78"/>
  <c r="BG42" i="78" s="1"/>
  <c r="BH42" i="78"/>
  <c r="BI42" i="78" s="1"/>
  <c r="BJ42" i="78"/>
  <c r="BK42" i="78" s="1"/>
  <c r="BD43" i="78"/>
  <c r="BE43" i="78" s="1"/>
  <c r="BF43" i="78"/>
  <c r="BG43" i="78" s="1"/>
  <c r="BH43" i="78"/>
  <c r="BI43" i="78" s="1"/>
  <c r="BJ43" i="78"/>
  <c r="BK43" i="78" s="1"/>
  <c r="BD44" i="78"/>
  <c r="BE44" i="78" s="1"/>
  <c r="BF44" i="78"/>
  <c r="BG44" i="78" s="1"/>
  <c r="BH44" i="78"/>
  <c r="BI44" i="78" s="1"/>
  <c r="BJ44" i="78"/>
  <c r="BK44" i="78" s="1"/>
  <c r="BD45" i="78"/>
  <c r="BE45" i="78" s="1"/>
  <c r="BF45" i="78"/>
  <c r="BG45" i="78" s="1"/>
  <c r="BH45" i="78"/>
  <c r="BI45" i="78" s="1"/>
  <c r="BJ45" i="78"/>
  <c r="BK45" i="78" s="1"/>
  <c r="BD46" i="78"/>
  <c r="BF46" i="78"/>
  <c r="BH46" i="78"/>
  <c r="BJ46" i="78"/>
  <c r="BD47" i="78"/>
  <c r="BE47" i="78" s="1"/>
  <c r="BF47" i="78"/>
  <c r="BG47" i="78" s="1"/>
  <c r="BH47" i="78"/>
  <c r="BI47" i="78" s="1"/>
  <c r="BJ47" i="78"/>
  <c r="BK47" i="78" s="1"/>
  <c r="BD48" i="78"/>
  <c r="BE48" i="78" s="1"/>
  <c r="BF48" i="78"/>
  <c r="BG48" i="78" s="1"/>
  <c r="BH48" i="78"/>
  <c r="BI48" i="78" s="1"/>
  <c r="BJ48" i="78"/>
  <c r="BK48" i="78" s="1"/>
  <c r="BD49" i="78"/>
  <c r="BE49" i="78" s="1"/>
  <c r="BF49" i="78"/>
  <c r="BG49" i="78" s="1"/>
  <c r="BH49" i="78"/>
  <c r="BI49" i="78" s="1"/>
  <c r="BJ49" i="78"/>
  <c r="BK49" i="78" s="1"/>
  <c r="BD50" i="78"/>
  <c r="BE50" i="78" s="1"/>
  <c r="BF50" i="78"/>
  <c r="BG50" i="78" s="1"/>
  <c r="BH50" i="78"/>
  <c r="BI50" i="78" s="1"/>
  <c r="BJ50" i="78"/>
  <c r="BK50" i="78" s="1"/>
  <c r="BD51" i="78"/>
  <c r="BE51" i="78" s="1"/>
  <c r="BF51" i="78"/>
  <c r="BG51" i="78" s="1"/>
  <c r="BH51" i="78"/>
  <c r="BI51" i="78" s="1"/>
  <c r="BJ51" i="78"/>
  <c r="BK51" i="78" s="1"/>
  <c r="BD52" i="78"/>
  <c r="BE52" i="78" s="1"/>
  <c r="BF52" i="78"/>
  <c r="BG52" i="78" s="1"/>
  <c r="BH52" i="78"/>
  <c r="BI52" i="78" s="1"/>
  <c r="BJ52" i="78"/>
  <c r="BK52" i="78" s="1"/>
  <c r="BD53" i="78"/>
  <c r="BE53" i="78" s="1"/>
  <c r="BF53" i="78"/>
  <c r="BG53" i="78" s="1"/>
  <c r="BH53" i="78"/>
  <c r="BI53" i="78" s="1"/>
  <c r="BJ53" i="78"/>
  <c r="BK53" i="78" s="1"/>
  <c r="BD54" i="78"/>
  <c r="BE54" i="78" s="1"/>
  <c r="BF54" i="78"/>
  <c r="BG54" i="78" s="1"/>
  <c r="BH54" i="78"/>
  <c r="BI54" i="78" s="1"/>
  <c r="BJ54" i="78"/>
  <c r="BK54" i="78" s="1"/>
  <c r="BD55" i="78"/>
  <c r="BE55" i="78" s="1"/>
  <c r="BF55" i="78"/>
  <c r="BG55" i="78" s="1"/>
  <c r="BH55" i="78"/>
  <c r="BI55" i="78" s="1"/>
  <c r="BJ55" i="78"/>
  <c r="BK55" i="78" s="1"/>
  <c r="BD56" i="78"/>
  <c r="BE56" i="78" s="1"/>
  <c r="BF56" i="78"/>
  <c r="BG56" i="78" s="1"/>
  <c r="BH56" i="78"/>
  <c r="BI56" i="78" s="1"/>
  <c r="BJ56" i="78"/>
  <c r="BK56" i="78" s="1"/>
  <c r="BD57" i="78"/>
  <c r="BE57" i="78" s="1"/>
  <c r="BF57" i="78"/>
  <c r="BG57" i="78" s="1"/>
  <c r="BH57" i="78"/>
  <c r="BI57" i="78" s="1"/>
  <c r="BJ57" i="78"/>
  <c r="BK57" i="78" s="1"/>
  <c r="BD58" i="78"/>
  <c r="BE58" i="78" s="1"/>
  <c r="BF58" i="78"/>
  <c r="BG58" i="78" s="1"/>
  <c r="BH58" i="78"/>
  <c r="BI58" i="78" s="1"/>
  <c r="BJ58" i="78"/>
  <c r="BK58" i="78" s="1"/>
  <c r="BD59" i="78"/>
  <c r="BE59" i="78" s="1"/>
  <c r="BF59" i="78"/>
  <c r="BG59" i="78" s="1"/>
  <c r="BH59" i="78"/>
  <c r="BI59" i="78" s="1"/>
  <c r="BJ59" i="78"/>
  <c r="BK59" i="78" s="1"/>
  <c r="BD60" i="78"/>
  <c r="BE60" i="78" s="1"/>
  <c r="BF60" i="78"/>
  <c r="BG60" i="78" s="1"/>
  <c r="BH60" i="78"/>
  <c r="BI60" i="78" s="1"/>
  <c r="BJ60" i="78"/>
  <c r="BK60" i="78" s="1"/>
  <c r="BD61" i="78"/>
  <c r="BE61" i="78" s="1"/>
  <c r="BF61" i="78"/>
  <c r="BG61" i="78" s="1"/>
  <c r="BH61" i="78"/>
  <c r="BI61" i="78" s="1"/>
  <c r="BJ61" i="78"/>
  <c r="BK61" i="78" s="1"/>
  <c r="BD62" i="78"/>
  <c r="BE62" i="78" s="1"/>
  <c r="BF62" i="78"/>
  <c r="BG62" i="78" s="1"/>
  <c r="BH62" i="78"/>
  <c r="BI62" i="78" s="1"/>
  <c r="BJ62" i="78"/>
  <c r="BK62" i="78" s="1"/>
  <c r="BD63" i="78"/>
  <c r="BE63" i="78" s="1"/>
  <c r="BF63" i="78"/>
  <c r="BG63" i="78" s="1"/>
  <c r="BH63" i="78"/>
  <c r="BI63" i="78" s="1"/>
  <c r="BJ63" i="78"/>
  <c r="BK63" i="78" s="1"/>
  <c r="BD64" i="78"/>
  <c r="BE64" i="78" s="1"/>
  <c r="BF64" i="78"/>
  <c r="BG64" i="78" s="1"/>
  <c r="BH64" i="78"/>
  <c r="BI64" i="78" s="1"/>
  <c r="BJ64" i="78"/>
  <c r="BK64" i="78" s="1"/>
  <c r="BD65" i="78"/>
  <c r="BE65" i="78" s="1"/>
  <c r="BF65" i="78"/>
  <c r="BG65" i="78" s="1"/>
  <c r="BH65" i="78"/>
  <c r="BI65" i="78" s="1"/>
  <c r="BJ65" i="78"/>
  <c r="BK65" i="78" s="1"/>
  <c r="BD66" i="78"/>
  <c r="BE66" i="78" s="1"/>
  <c r="BF66" i="78"/>
  <c r="BG66" i="78" s="1"/>
  <c r="BH66" i="78"/>
  <c r="BI66" i="78" s="1"/>
  <c r="BJ66" i="78"/>
  <c r="BK66" i="78" s="1"/>
  <c r="BD67" i="78"/>
  <c r="BE67" i="78" s="1"/>
  <c r="BF67" i="78"/>
  <c r="BG67" i="78" s="1"/>
  <c r="BH67" i="78"/>
  <c r="BI67" i="78" s="1"/>
  <c r="BJ67" i="78"/>
  <c r="BK67" i="78" s="1"/>
  <c r="BD68" i="78"/>
  <c r="BE68" i="78" s="1"/>
  <c r="BF68" i="78"/>
  <c r="BG68" i="78" s="1"/>
  <c r="BH68" i="78"/>
  <c r="BI68" i="78" s="1"/>
  <c r="BJ68" i="78"/>
  <c r="BK68" i="78" s="1"/>
  <c r="BD69" i="78"/>
  <c r="BE69" i="78" s="1"/>
  <c r="BF69" i="78"/>
  <c r="BG69" i="78" s="1"/>
  <c r="BH69" i="78"/>
  <c r="BI69" i="78" s="1"/>
  <c r="BJ69" i="78"/>
  <c r="BK69" i="78" s="1"/>
  <c r="BD70" i="78"/>
  <c r="BE70" i="78" s="1"/>
  <c r="BF70" i="78"/>
  <c r="BG70" i="78" s="1"/>
  <c r="BH70" i="78"/>
  <c r="BI70" i="78" s="1"/>
  <c r="BJ70" i="78"/>
  <c r="BK70" i="78" s="1"/>
  <c r="BD71" i="78"/>
  <c r="BE71" i="78" s="1"/>
  <c r="BF71" i="78"/>
  <c r="BG71" i="78" s="1"/>
  <c r="BH71" i="78"/>
  <c r="BI71" i="78" s="1"/>
  <c r="BJ71" i="78"/>
  <c r="BK71" i="78" s="1"/>
  <c r="BD72" i="78"/>
  <c r="BE72" i="78" s="1"/>
  <c r="BF72" i="78"/>
  <c r="BG72" i="78" s="1"/>
  <c r="BH72" i="78"/>
  <c r="BI72" i="78" s="1"/>
  <c r="BJ72" i="78"/>
  <c r="BK72" i="78" s="1"/>
  <c r="BD73" i="78"/>
  <c r="BE73" i="78" s="1"/>
  <c r="BF73" i="78"/>
  <c r="BG73" i="78" s="1"/>
  <c r="BH73" i="78"/>
  <c r="BI73" i="78" s="1"/>
  <c r="BJ73" i="78"/>
  <c r="BK73" i="78" s="1"/>
  <c r="BD74" i="78"/>
  <c r="BE74" i="78" s="1"/>
  <c r="BF74" i="78"/>
  <c r="BG74" i="78" s="1"/>
  <c r="BH74" i="78"/>
  <c r="BI74" i="78" s="1"/>
  <c r="BJ74" i="78"/>
  <c r="BK74" i="78" s="1"/>
  <c r="BD75" i="78"/>
  <c r="BE75" i="78" s="1"/>
  <c r="BF75" i="78"/>
  <c r="BG75" i="78" s="1"/>
  <c r="BH75" i="78"/>
  <c r="BI75" i="78" s="1"/>
  <c r="BJ75" i="78"/>
  <c r="BK75" i="78" s="1"/>
  <c r="BD76" i="78"/>
  <c r="BE76" i="78" s="1"/>
  <c r="BF76" i="78"/>
  <c r="BG76" i="78" s="1"/>
  <c r="BH76" i="78"/>
  <c r="BI76" i="78" s="1"/>
  <c r="BJ76" i="78"/>
  <c r="BK76" i="78" s="1"/>
  <c r="BD77" i="78"/>
  <c r="BE77" i="78" s="1"/>
  <c r="BF77" i="78"/>
  <c r="BG77" i="78" s="1"/>
  <c r="BH77" i="78"/>
  <c r="BI77" i="78" s="1"/>
  <c r="BJ77" i="78"/>
  <c r="BK77" i="78" s="1"/>
  <c r="BD78" i="78"/>
  <c r="BE78" i="78" s="1"/>
  <c r="BF78" i="78"/>
  <c r="BG78" i="78" s="1"/>
  <c r="BH78" i="78"/>
  <c r="BI78" i="78" s="1"/>
  <c r="BJ78" i="78"/>
  <c r="BK78" i="78" s="1"/>
  <c r="BD79" i="78"/>
  <c r="BE79" i="78" s="1"/>
  <c r="BF79" i="78"/>
  <c r="BG79" i="78" s="1"/>
  <c r="BH79" i="78"/>
  <c r="BI79" i="78" s="1"/>
  <c r="BJ79" i="78"/>
  <c r="BK79" i="78" s="1"/>
  <c r="BD80" i="78"/>
  <c r="BE80" i="78" s="1"/>
  <c r="BF80" i="78"/>
  <c r="BG80" i="78" s="1"/>
  <c r="BH80" i="78"/>
  <c r="BI80" i="78" s="1"/>
  <c r="BJ80" i="78"/>
  <c r="BK80" i="78" s="1"/>
  <c r="BD81" i="78"/>
  <c r="BE81" i="78" s="1"/>
  <c r="BF81" i="78"/>
  <c r="BG81" i="78" s="1"/>
  <c r="BH81" i="78"/>
  <c r="BI81" i="78" s="1"/>
  <c r="BJ81" i="78"/>
  <c r="BK81" i="78" s="1"/>
  <c r="BD82" i="78"/>
  <c r="BE82" i="78" s="1"/>
  <c r="BF82" i="78"/>
  <c r="BG82" i="78" s="1"/>
  <c r="BH82" i="78"/>
  <c r="BI82" i="78" s="1"/>
  <c r="BJ82" i="78"/>
  <c r="BK82" i="78" s="1"/>
  <c r="BD83" i="78"/>
  <c r="BE83" i="78" s="1"/>
  <c r="BF83" i="78"/>
  <c r="BG83" i="78" s="1"/>
  <c r="BH83" i="78"/>
  <c r="BI83" i="78" s="1"/>
  <c r="BJ83" i="78"/>
  <c r="BK83" i="78" s="1"/>
  <c r="BD84" i="78"/>
  <c r="BE84" i="78" s="1"/>
  <c r="BF84" i="78"/>
  <c r="BG84" i="78" s="1"/>
  <c r="BH84" i="78"/>
  <c r="BI84" i="78" s="1"/>
  <c r="BJ84" i="78"/>
  <c r="BK84" i="78" s="1"/>
  <c r="BD85" i="78"/>
  <c r="BE85" i="78" s="1"/>
  <c r="BF85" i="78"/>
  <c r="BG85" i="78" s="1"/>
  <c r="BH85" i="78"/>
  <c r="BI85" i="78" s="1"/>
  <c r="BJ85" i="78"/>
  <c r="BK85" i="78" s="1"/>
  <c r="BD86" i="78"/>
  <c r="BE86" i="78" s="1"/>
  <c r="BF86" i="78"/>
  <c r="BG86" i="78" s="1"/>
  <c r="BH86" i="78"/>
  <c r="BI86" i="78" s="1"/>
  <c r="BJ86" i="78"/>
  <c r="BK86" i="78" s="1"/>
  <c r="BD87" i="78"/>
  <c r="BE87" i="78" s="1"/>
  <c r="BF87" i="78"/>
  <c r="BG87" i="78" s="1"/>
  <c r="BH87" i="78"/>
  <c r="BI87" i="78" s="1"/>
  <c r="BJ87" i="78"/>
  <c r="BK87" i="78" s="1"/>
  <c r="BD88" i="78"/>
  <c r="BE88" i="78" s="1"/>
  <c r="BF88" i="78"/>
  <c r="BG88" i="78" s="1"/>
  <c r="BH88" i="78"/>
  <c r="BI88" i="78" s="1"/>
  <c r="BJ88" i="78"/>
  <c r="BK88" i="78" s="1"/>
  <c r="BD89" i="78"/>
  <c r="BE89" i="78" s="1"/>
  <c r="BF89" i="78"/>
  <c r="BG89" i="78" s="1"/>
  <c r="BH89" i="78"/>
  <c r="BI89" i="78" s="1"/>
  <c r="BJ89" i="78"/>
  <c r="BK89" i="78" s="1"/>
  <c r="BD90" i="78"/>
  <c r="BE90" i="78" s="1"/>
  <c r="BF90" i="78"/>
  <c r="BG90" i="78" s="1"/>
  <c r="BH90" i="78"/>
  <c r="BI90" i="78" s="1"/>
  <c r="BJ90" i="78"/>
  <c r="BK90" i="78" s="1"/>
  <c r="BD91" i="78"/>
  <c r="BE91" i="78" s="1"/>
  <c r="BF91" i="78"/>
  <c r="BG91" i="78" s="1"/>
  <c r="BH91" i="78"/>
  <c r="BI91" i="78" s="1"/>
  <c r="BJ91" i="78"/>
  <c r="BK91" i="78" s="1"/>
  <c r="BD92" i="78"/>
  <c r="BE92" i="78" s="1"/>
  <c r="BF92" i="78"/>
  <c r="BG92" i="78" s="1"/>
  <c r="BH92" i="78"/>
  <c r="BI92" i="78" s="1"/>
  <c r="BJ92" i="78"/>
  <c r="BK92" i="78" s="1"/>
  <c r="BD93" i="78"/>
  <c r="BE93" i="78" s="1"/>
  <c r="BF93" i="78"/>
  <c r="BG93" i="78" s="1"/>
  <c r="BH93" i="78"/>
  <c r="BI93" i="78" s="1"/>
  <c r="BJ93" i="78"/>
  <c r="BK93" i="78" s="1"/>
  <c r="BD94" i="78"/>
  <c r="BE94" i="78" s="1"/>
  <c r="BF94" i="78"/>
  <c r="BG94" i="78" s="1"/>
  <c r="BH94" i="78"/>
  <c r="BI94" i="78" s="1"/>
  <c r="BJ94" i="78"/>
  <c r="BK94" i="78" s="1"/>
  <c r="BD95" i="78"/>
  <c r="BE95" i="78" s="1"/>
  <c r="BF95" i="78"/>
  <c r="BG95" i="78" s="1"/>
  <c r="BH95" i="78"/>
  <c r="BI95" i="78" s="1"/>
  <c r="BJ95" i="78"/>
  <c r="BK95" i="78" s="1"/>
  <c r="BD96" i="78"/>
  <c r="BE96" i="78" s="1"/>
  <c r="BF96" i="78"/>
  <c r="BG96" i="78" s="1"/>
  <c r="BH96" i="78"/>
  <c r="BI96" i="78" s="1"/>
  <c r="BJ96" i="78"/>
  <c r="BK96" i="78" s="1"/>
  <c r="BD97" i="78"/>
  <c r="BE97" i="78" s="1"/>
  <c r="BF97" i="78"/>
  <c r="BG97" i="78" s="1"/>
  <c r="BH97" i="78"/>
  <c r="BI97" i="78" s="1"/>
  <c r="BJ97" i="78"/>
  <c r="BK97" i="78" s="1"/>
  <c r="BD98" i="78"/>
  <c r="BE98" i="78" s="1"/>
  <c r="BF98" i="78"/>
  <c r="BG98" i="78" s="1"/>
  <c r="BH98" i="78"/>
  <c r="BI98" i="78" s="1"/>
  <c r="BJ98" i="78"/>
  <c r="BK98" i="78" s="1"/>
  <c r="BD99" i="78"/>
  <c r="BE99" i="78" s="1"/>
  <c r="BF99" i="78"/>
  <c r="BG99" i="78" s="1"/>
  <c r="BH99" i="78"/>
  <c r="BI99" i="78" s="1"/>
  <c r="BJ99" i="78"/>
  <c r="BK99" i="78" s="1"/>
  <c r="BD100" i="78"/>
  <c r="BE100" i="78" s="1"/>
  <c r="BF100" i="78"/>
  <c r="BG100" i="78" s="1"/>
  <c r="BH100" i="78"/>
  <c r="BI100" i="78" s="1"/>
  <c r="BJ100" i="78"/>
  <c r="BK100" i="78" s="1"/>
  <c r="BD101" i="78"/>
  <c r="BE101" i="78" s="1"/>
  <c r="BF101" i="78"/>
  <c r="BG101" i="78" s="1"/>
  <c r="BH101" i="78"/>
  <c r="BI101" i="78" s="1"/>
  <c r="BJ101" i="78"/>
  <c r="BK101" i="78" s="1"/>
  <c r="BD102" i="78"/>
  <c r="BE102" i="78" s="1"/>
  <c r="BF102" i="78"/>
  <c r="BG102" i="78" s="1"/>
  <c r="BH102" i="78"/>
  <c r="BI102" i="78" s="1"/>
  <c r="BJ102" i="78"/>
  <c r="BK102" i="78" s="1"/>
  <c r="BD103" i="78"/>
  <c r="BE103" i="78" s="1"/>
  <c r="BF103" i="78"/>
  <c r="BG103" i="78" s="1"/>
  <c r="BH103" i="78"/>
  <c r="BI103" i="78" s="1"/>
  <c r="BJ103" i="78"/>
  <c r="BK103" i="78" s="1"/>
  <c r="BD104" i="78"/>
  <c r="BE104" i="78" s="1"/>
  <c r="BF104" i="78"/>
  <c r="BG104" i="78" s="1"/>
  <c r="BH104" i="78"/>
  <c r="BI104" i="78" s="1"/>
  <c r="BJ104" i="78"/>
  <c r="BK104" i="78" s="1"/>
  <c r="BD105" i="78"/>
  <c r="BE105" i="78" s="1"/>
  <c r="BF105" i="78"/>
  <c r="BG105" i="78" s="1"/>
  <c r="BH105" i="78"/>
  <c r="BI105" i="78" s="1"/>
  <c r="BJ105" i="78"/>
  <c r="BK105" i="78" s="1"/>
  <c r="BD106" i="78"/>
  <c r="BE106" i="78" s="1"/>
  <c r="BF106" i="78"/>
  <c r="BG106" i="78" s="1"/>
  <c r="BH106" i="78"/>
  <c r="BI106" i="78" s="1"/>
  <c r="BJ106" i="78"/>
  <c r="BK106" i="78" s="1"/>
  <c r="BD107" i="78"/>
  <c r="BE107" i="78" s="1"/>
  <c r="BF107" i="78"/>
  <c r="BG107" i="78" s="1"/>
  <c r="BH107" i="78"/>
  <c r="BI107" i="78" s="1"/>
  <c r="BJ107" i="78"/>
  <c r="BK107" i="78" s="1"/>
  <c r="BD108" i="78"/>
  <c r="BE108" i="78" s="1"/>
  <c r="BF108" i="78"/>
  <c r="BG108" i="78" s="1"/>
  <c r="BH108" i="78"/>
  <c r="BI108" i="78" s="1"/>
  <c r="BJ108" i="78"/>
  <c r="BK108" i="78" s="1"/>
  <c r="BD109" i="78"/>
  <c r="BE109" i="78" s="1"/>
  <c r="BF109" i="78"/>
  <c r="BG109" i="78" s="1"/>
  <c r="BH109" i="78"/>
  <c r="BI109" i="78" s="1"/>
  <c r="BJ109" i="78"/>
  <c r="BK109" i="78" s="1"/>
  <c r="BD110" i="78"/>
  <c r="BE110" i="78" s="1"/>
  <c r="BF110" i="78"/>
  <c r="BG110" i="78" s="1"/>
  <c r="BH110" i="78"/>
  <c r="BI110" i="78" s="1"/>
  <c r="BJ110" i="78"/>
  <c r="BK110" i="78" s="1"/>
  <c r="BD111" i="78"/>
  <c r="BE111" i="78" s="1"/>
  <c r="BF111" i="78"/>
  <c r="BG111" i="78" s="1"/>
  <c r="BH111" i="78"/>
  <c r="BI111" i="78" s="1"/>
  <c r="BJ111" i="78"/>
  <c r="BK111" i="78" s="1"/>
  <c r="BD112" i="78"/>
  <c r="BE112" i="78" s="1"/>
  <c r="BF112" i="78"/>
  <c r="BG112" i="78" s="1"/>
  <c r="BH112" i="78"/>
  <c r="BI112" i="78" s="1"/>
  <c r="BJ112" i="78"/>
  <c r="BK112" i="78" s="1"/>
  <c r="BD113" i="78"/>
  <c r="BE113" i="78" s="1"/>
  <c r="BF113" i="78"/>
  <c r="BG113" i="78" s="1"/>
  <c r="BH113" i="78"/>
  <c r="BI113" i="78" s="1"/>
  <c r="BJ113" i="78"/>
  <c r="BK113" i="78" s="1"/>
  <c r="BD114" i="78"/>
  <c r="BE114" i="78" s="1"/>
  <c r="BF114" i="78"/>
  <c r="BG114" i="78" s="1"/>
  <c r="BH114" i="78"/>
  <c r="BI114" i="78" s="1"/>
  <c r="BJ114" i="78"/>
  <c r="BK114" i="78" s="1"/>
  <c r="BD115" i="78"/>
  <c r="BE115" i="78" s="1"/>
  <c r="BF115" i="78"/>
  <c r="BG115" i="78" s="1"/>
  <c r="BH115" i="78"/>
  <c r="BI115" i="78" s="1"/>
  <c r="BJ115" i="78"/>
  <c r="BK115" i="78" s="1"/>
  <c r="BD116" i="78"/>
  <c r="BE116" i="78" s="1"/>
  <c r="BF116" i="78"/>
  <c r="BG116" i="78" s="1"/>
  <c r="BH116" i="78"/>
  <c r="BI116" i="78" s="1"/>
  <c r="BJ116" i="78"/>
  <c r="BK116" i="78" s="1"/>
  <c r="BD117" i="78"/>
  <c r="BE117" i="78" s="1"/>
  <c r="BF117" i="78"/>
  <c r="BG117" i="78" s="1"/>
  <c r="BH117" i="78"/>
  <c r="BI117" i="78" s="1"/>
  <c r="BJ117" i="78"/>
  <c r="BK117" i="78" s="1"/>
  <c r="BD118" i="78"/>
  <c r="BE118" i="78" s="1"/>
  <c r="BF118" i="78"/>
  <c r="BG118" i="78" s="1"/>
  <c r="BH118" i="78"/>
  <c r="BI118" i="78" s="1"/>
  <c r="BJ118" i="78"/>
  <c r="BK118" i="78" s="1"/>
  <c r="BD119" i="78"/>
  <c r="BE119" i="78" s="1"/>
  <c r="BF119" i="78"/>
  <c r="BG119" i="78" s="1"/>
  <c r="BH119" i="78"/>
  <c r="BI119" i="78" s="1"/>
  <c r="BJ119" i="78"/>
  <c r="BK119" i="78" s="1"/>
  <c r="BD120" i="78"/>
  <c r="BE120" i="78" s="1"/>
  <c r="BF120" i="78"/>
  <c r="BG120" i="78" s="1"/>
  <c r="BH120" i="78"/>
  <c r="BI120" i="78" s="1"/>
  <c r="BJ120" i="78"/>
  <c r="BK120" i="78" s="1"/>
  <c r="BD121" i="78"/>
  <c r="BE121" i="78" s="1"/>
  <c r="BF121" i="78"/>
  <c r="BG121" i="78" s="1"/>
  <c r="BH121" i="78"/>
  <c r="BI121" i="78" s="1"/>
  <c r="BJ121" i="78"/>
  <c r="BK121" i="78" s="1"/>
  <c r="BD122" i="78"/>
  <c r="BE122" i="78" s="1"/>
  <c r="BF122" i="78"/>
  <c r="BG122" i="78" s="1"/>
  <c r="BH122" i="78"/>
  <c r="BI122" i="78" s="1"/>
  <c r="BJ122" i="78"/>
  <c r="BK122" i="78" s="1"/>
  <c r="BD123" i="78"/>
  <c r="BE123" i="78" s="1"/>
  <c r="BF123" i="78"/>
  <c r="BG123" i="78" s="1"/>
  <c r="BH123" i="78"/>
  <c r="BI123" i="78" s="1"/>
  <c r="BJ123" i="78"/>
  <c r="BK123" i="78" s="1"/>
  <c r="BD124" i="78"/>
  <c r="BE124" i="78" s="1"/>
  <c r="BF124" i="78"/>
  <c r="BG124" i="78" s="1"/>
  <c r="BH124" i="78"/>
  <c r="BI124" i="78" s="1"/>
  <c r="BJ124" i="78"/>
  <c r="BK124" i="78" s="1"/>
  <c r="BD125" i="78"/>
  <c r="BE125" i="78" s="1"/>
  <c r="BF125" i="78"/>
  <c r="BG125" i="78" s="1"/>
  <c r="BH125" i="78"/>
  <c r="BI125" i="78" s="1"/>
  <c r="BJ125" i="78"/>
  <c r="BK125" i="78" s="1"/>
  <c r="BD126" i="78"/>
  <c r="BE126" i="78" s="1"/>
  <c r="BF126" i="78"/>
  <c r="BG126" i="78" s="1"/>
  <c r="BH126" i="78"/>
  <c r="BI126" i="78" s="1"/>
  <c r="BJ126" i="78"/>
  <c r="BK126" i="78" s="1"/>
  <c r="BD127" i="78"/>
  <c r="BE127" i="78" s="1"/>
  <c r="BF127" i="78"/>
  <c r="BG127" i="78" s="1"/>
  <c r="BH127" i="78"/>
  <c r="BI127" i="78" s="1"/>
  <c r="BJ127" i="78"/>
  <c r="BK127" i="78" s="1"/>
  <c r="BD128" i="78"/>
  <c r="BE128" i="78" s="1"/>
  <c r="BF128" i="78"/>
  <c r="BG128" i="78" s="1"/>
  <c r="BH128" i="78"/>
  <c r="BI128" i="78" s="1"/>
  <c r="BJ128" i="78"/>
  <c r="BK128" i="78" s="1"/>
  <c r="BD129" i="78"/>
  <c r="BE129" i="78" s="1"/>
  <c r="BF129" i="78"/>
  <c r="BG129" i="78" s="1"/>
  <c r="BH129" i="78"/>
  <c r="BI129" i="78" s="1"/>
  <c r="BJ129" i="78"/>
  <c r="BK129" i="78" s="1"/>
  <c r="BD130" i="78"/>
  <c r="BE130" i="78" s="1"/>
  <c r="BF130" i="78"/>
  <c r="BG130" i="78" s="1"/>
  <c r="BH130" i="78"/>
  <c r="BI130" i="78" s="1"/>
  <c r="BJ130" i="78"/>
  <c r="BK130" i="78" s="1"/>
  <c r="BD131" i="78"/>
  <c r="BE131" i="78" s="1"/>
  <c r="BF131" i="78"/>
  <c r="BG131" i="78" s="1"/>
  <c r="BH131" i="78"/>
  <c r="BI131" i="78" s="1"/>
  <c r="BJ131" i="78"/>
  <c r="BK131" i="78" s="1"/>
  <c r="BD132" i="78"/>
  <c r="BE132" i="78" s="1"/>
  <c r="BF132" i="78"/>
  <c r="BG132" i="78" s="1"/>
  <c r="BH132" i="78"/>
  <c r="BI132" i="78" s="1"/>
  <c r="BJ132" i="78"/>
  <c r="BK132" i="78" s="1"/>
  <c r="BD133" i="78"/>
  <c r="BE133" i="78" s="1"/>
  <c r="BF133" i="78"/>
  <c r="BG133" i="78" s="1"/>
  <c r="BH133" i="78"/>
  <c r="BI133" i="78" s="1"/>
  <c r="BJ133" i="78"/>
  <c r="BK133" i="78" s="1"/>
  <c r="BD134" i="78"/>
  <c r="BE134" i="78" s="1"/>
  <c r="BF134" i="78"/>
  <c r="BG134" i="78" s="1"/>
  <c r="BH134" i="78"/>
  <c r="BI134" i="78" s="1"/>
  <c r="BJ134" i="78"/>
  <c r="BK134" i="78" s="1"/>
  <c r="BD135" i="78"/>
  <c r="BE135" i="78" s="1"/>
  <c r="BF135" i="78"/>
  <c r="BG135" i="78" s="1"/>
  <c r="BH135" i="78"/>
  <c r="BI135" i="78" s="1"/>
  <c r="BJ135" i="78"/>
  <c r="BK135" i="78" s="1"/>
  <c r="BD136" i="78"/>
  <c r="BE136" i="78" s="1"/>
  <c r="BF136" i="78"/>
  <c r="BG136" i="78" s="1"/>
  <c r="BH136" i="78"/>
  <c r="BI136" i="78" s="1"/>
  <c r="BJ136" i="78"/>
  <c r="BK136" i="78" s="1"/>
  <c r="BD137" i="78"/>
  <c r="BE137" i="78" s="1"/>
  <c r="BF137" i="78"/>
  <c r="BG137" i="78" s="1"/>
  <c r="BH137" i="78"/>
  <c r="BI137" i="78" s="1"/>
  <c r="BJ137" i="78"/>
  <c r="BK137" i="78" s="1"/>
  <c r="BD138" i="78"/>
  <c r="BE138" i="78" s="1"/>
  <c r="BF138" i="78"/>
  <c r="BG138" i="78" s="1"/>
  <c r="BH138" i="78"/>
  <c r="BI138" i="78" s="1"/>
  <c r="BJ138" i="78"/>
  <c r="BK138" i="78" s="1"/>
  <c r="BD139" i="78"/>
  <c r="BE139" i="78" s="1"/>
  <c r="BF139" i="78"/>
  <c r="BG139" i="78" s="1"/>
  <c r="BH139" i="78"/>
  <c r="BI139" i="78" s="1"/>
  <c r="BJ139" i="78"/>
  <c r="BK139" i="78" s="1"/>
  <c r="BD140" i="78"/>
  <c r="BE140" i="78" s="1"/>
  <c r="BF140" i="78"/>
  <c r="BG140" i="78" s="1"/>
  <c r="BH140" i="78"/>
  <c r="BI140" i="78" s="1"/>
  <c r="BJ140" i="78"/>
  <c r="BK140" i="78" s="1"/>
  <c r="BD141" i="78"/>
  <c r="BE141" i="78" s="1"/>
  <c r="BF141" i="78"/>
  <c r="BG141" i="78" s="1"/>
  <c r="BH141" i="78"/>
  <c r="BI141" i="78" s="1"/>
  <c r="BJ141" i="78"/>
  <c r="BK141" i="78" s="1"/>
  <c r="BD142" i="78"/>
  <c r="BE142" i="78" s="1"/>
  <c r="BF142" i="78"/>
  <c r="BG142" i="78" s="1"/>
  <c r="BH142" i="78"/>
  <c r="BI142" i="78" s="1"/>
  <c r="BJ142" i="78"/>
  <c r="BK142" i="78" s="1"/>
  <c r="BD143" i="78"/>
  <c r="BE143" i="78" s="1"/>
  <c r="BF143" i="78"/>
  <c r="BG143" i="78" s="1"/>
  <c r="BH143" i="78"/>
  <c r="BI143" i="78" s="1"/>
  <c r="BJ143" i="78"/>
  <c r="BK143" i="78" s="1"/>
  <c r="BD144" i="78"/>
  <c r="BE144" i="78" s="1"/>
  <c r="BF144" i="78"/>
  <c r="BG144" i="78" s="1"/>
  <c r="BH144" i="78"/>
  <c r="BI144" i="78" s="1"/>
  <c r="BJ144" i="78"/>
  <c r="BK144" i="78" s="1"/>
  <c r="BD145" i="78"/>
  <c r="BE145" i="78" s="1"/>
  <c r="BF145" i="78"/>
  <c r="BG145" i="78" s="1"/>
  <c r="BH145" i="78"/>
  <c r="BI145" i="78" s="1"/>
  <c r="BJ145" i="78"/>
  <c r="BK145" i="78" s="1"/>
  <c r="BD146" i="78"/>
  <c r="BE146" i="78" s="1"/>
  <c r="BF146" i="78"/>
  <c r="BG146" i="78" s="1"/>
  <c r="BH146" i="78"/>
  <c r="BI146" i="78" s="1"/>
  <c r="BJ146" i="78"/>
  <c r="BK146" i="78" s="1"/>
  <c r="BD147" i="78"/>
  <c r="BE147" i="78" s="1"/>
  <c r="BF147" i="78"/>
  <c r="BG147" i="78" s="1"/>
  <c r="BH147" i="78"/>
  <c r="BI147" i="78" s="1"/>
  <c r="BJ147" i="78"/>
  <c r="BK147" i="78" s="1"/>
  <c r="BD148" i="78"/>
  <c r="BE148" i="78" s="1"/>
  <c r="BF148" i="78"/>
  <c r="BG148" i="78" s="1"/>
  <c r="BH148" i="78"/>
  <c r="BI148" i="78" s="1"/>
  <c r="BJ148" i="78"/>
  <c r="BK148" i="78" s="1"/>
  <c r="BD149" i="78"/>
  <c r="BE149" i="78" s="1"/>
  <c r="BF149" i="78"/>
  <c r="BG149" i="78" s="1"/>
  <c r="BH149" i="78"/>
  <c r="BI149" i="78" s="1"/>
  <c r="BJ149" i="78"/>
  <c r="BK149" i="78" s="1"/>
  <c r="BD150" i="78"/>
  <c r="BE150" i="78" s="1"/>
  <c r="BF150" i="78"/>
  <c r="BG150" i="78" s="1"/>
  <c r="BH150" i="78"/>
  <c r="BI150" i="78" s="1"/>
  <c r="BJ150" i="78"/>
  <c r="BK150" i="78" s="1"/>
  <c r="BD151" i="78"/>
  <c r="BE151" i="78" s="1"/>
  <c r="BF151" i="78"/>
  <c r="BG151" i="78" s="1"/>
  <c r="BH151" i="78"/>
  <c r="BI151" i="78" s="1"/>
  <c r="BJ151" i="78"/>
  <c r="BK151" i="78" s="1"/>
  <c r="BD152" i="78"/>
  <c r="BE152" i="78" s="1"/>
  <c r="BF152" i="78"/>
  <c r="BG152" i="78" s="1"/>
  <c r="BH152" i="78"/>
  <c r="BI152" i="78" s="1"/>
  <c r="BJ152" i="78"/>
  <c r="BK152" i="78" s="1"/>
  <c r="BD153" i="78"/>
  <c r="BE153" i="78" s="1"/>
  <c r="BF153" i="78"/>
  <c r="BG153" i="78" s="1"/>
  <c r="BH153" i="78"/>
  <c r="BI153" i="78" s="1"/>
  <c r="BJ153" i="78"/>
  <c r="BK153" i="78" s="1"/>
  <c r="BD154" i="78"/>
  <c r="BE154" i="78" s="1"/>
  <c r="BF154" i="78"/>
  <c r="BG154" i="78" s="1"/>
  <c r="BH154" i="78"/>
  <c r="BI154" i="78" s="1"/>
  <c r="BJ154" i="78"/>
  <c r="BK154" i="78" s="1"/>
  <c r="BD155" i="78"/>
  <c r="BE155" i="78" s="1"/>
  <c r="BF155" i="78"/>
  <c r="BG155" i="78" s="1"/>
  <c r="BH155" i="78"/>
  <c r="BI155" i="78" s="1"/>
  <c r="BJ155" i="78"/>
  <c r="BK155" i="78" s="1"/>
  <c r="BD156" i="78"/>
  <c r="BE156" i="78" s="1"/>
  <c r="BF156" i="78"/>
  <c r="BG156" i="78" s="1"/>
  <c r="BH156" i="78"/>
  <c r="BI156" i="78" s="1"/>
  <c r="BJ156" i="78"/>
  <c r="BK156" i="78" s="1"/>
  <c r="BD157" i="78"/>
  <c r="BE157" i="78" s="1"/>
  <c r="BF157" i="78"/>
  <c r="BG157" i="78" s="1"/>
  <c r="BH157" i="78"/>
  <c r="BI157" i="78" s="1"/>
  <c r="BJ157" i="78"/>
  <c r="BK157" i="78" s="1"/>
  <c r="BD158" i="78"/>
  <c r="BE158" i="78" s="1"/>
  <c r="BF158" i="78"/>
  <c r="BG158" i="78" s="1"/>
  <c r="BH158" i="78"/>
  <c r="BI158" i="78" s="1"/>
  <c r="BJ158" i="78"/>
  <c r="BK158" i="78" s="1"/>
  <c r="BD159" i="78"/>
  <c r="BE159" i="78" s="1"/>
  <c r="BF159" i="78"/>
  <c r="BG159" i="78" s="1"/>
  <c r="BH159" i="78"/>
  <c r="BI159" i="78" s="1"/>
  <c r="BJ159" i="78"/>
  <c r="BK159" i="78" s="1"/>
  <c r="BD160" i="78"/>
  <c r="BE160" i="78" s="1"/>
  <c r="BF160" i="78"/>
  <c r="BG160" i="78" s="1"/>
  <c r="BH160" i="78"/>
  <c r="BI160" i="78" s="1"/>
  <c r="BJ160" i="78"/>
  <c r="BK160" i="78" s="1"/>
  <c r="BD161" i="78"/>
  <c r="BE161" i="78" s="1"/>
  <c r="BF161" i="78"/>
  <c r="BG161" i="78" s="1"/>
  <c r="BH161" i="78"/>
  <c r="BI161" i="78" s="1"/>
  <c r="BJ161" i="78"/>
  <c r="BK161" i="78" s="1"/>
  <c r="BD162" i="78"/>
  <c r="BE162" i="78" s="1"/>
  <c r="BF162" i="78"/>
  <c r="BG162" i="78" s="1"/>
  <c r="BH162" i="78"/>
  <c r="BI162" i="78" s="1"/>
  <c r="BJ162" i="78"/>
  <c r="BK162" i="78" s="1"/>
  <c r="BD163" i="78"/>
  <c r="BE163" i="78" s="1"/>
  <c r="BF163" i="78"/>
  <c r="BG163" i="78" s="1"/>
  <c r="BH163" i="78"/>
  <c r="BI163" i="78" s="1"/>
  <c r="BJ163" i="78"/>
  <c r="BK163" i="78" s="1"/>
  <c r="BD164" i="78"/>
  <c r="BE164" i="78" s="1"/>
  <c r="BF164" i="78"/>
  <c r="BG164" i="78" s="1"/>
  <c r="BH164" i="78"/>
  <c r="BI164" i="78" s="1"/>
  <c r="BJ164" i="78"/>
  <c r="BK164" i="78" s="1"/>
  <c r="BD165" i="78"/>
  <c r="BE165" i="78" s="1"/>
  <c r="BF165" i="78"/>
  <c r="BG165" i="78" s="1"/>
  <c r="BH165" i="78"/>
  <c r="BI165" i="78" s="1"/>
  <c r="BJ165" i="78"/>
  <c r="BK165" i="78" s="1"/>
  <c r="BD166" i="78"/>
  <c r="BE166" i="78" s="1"/>
  <c r="BF166" i="78"/>
  <c r="BG166" i="78" s="1"/>
  <c r="BH166" i="78"/>
  <c r="BI166" i="78" s="1"/>
  <c r="BJ166" i="78"/>
  <c r="BK166" i="78" s="1"/>
  <c r="BD167" i="78"/>
  <c r="BE167" i="78" s="1"/>
  <c r="BF167" i="78"/>
  <c r="BG167" i="78" s="1"/>
  <c r="BH167" i="78"/>
  <c r="BI167" i="78" s="1"/>
  <c r="BJ167" i="78"/>
  <c r="BK167" i="78" s="1"/>
  <c r="BD168" i="78"/>
  <c r="BE168" i="78" s="1"/>
  <c r="BF168" i="78"/>
  <c r="BG168" i="78" s="1"/>
  <c r="BH168" i="78"/>
  <c r="BI168" i="78" s="1"/>
  <c r="BJ168" i="78"/>
  <c r="BK168" i="78" s="1"/>
  <c r="BD169" i="78"/>
  <c r="BE169" i="78" s="1"/>
  <c r="BF169" i="78"/>
  <c r="BG169" i="78" s="1"/>
  <c r="BH169" i="78"/>
  <c r="BI169" i="78" s="1"/>
  <c r="BJ169" i="78"/>
  <c r="BK169" i="78" s="1"/>
  <c r="BD170" i="78"/>
  <c r="BE170" i="78" s="1"/>
  <c r="BF170" i="78"/>
  <c r="BG170" i="78" s="1"/>
  <c r="BH170" i="78"/>
  <c r="BI170" i="78" s="1"/>
  <c r="BJ170" i="78"/>
  <c r="BK170" i="78" s="1"/>
  <c r="BD171" i="78"/>
  <c r="BE171" i="78" s="1"/>
  <c r="BF171" i="78"/>
  <c r="BG171" i="78" s="1"/>
  <c r="BH171" i="78"/>
  <c r="BI171" i="78" s="1"/>
  <c r="BJ171" i="78"/>
  <c r="BK171" i="78" s="1"/>
  <c r="BD172" i="78"/>
  <c r="BE172" i="78" s="1"/>
  <c r="BF172" i="78"/>
  <c r="BG172" i="78" s="1"/>
  <c r="BH172" i="78"/>
  <c r="BI172" i="78" s="1"/>
  <c r="BJ172" i="78"/>
  <c r="BK172" i="78" s="1"/>
  <c r="BD173" i="78"/>
  <c r="BE173" i="78" s="1"/>
  <c r="BF173" i="78"/>
  <c r="BG173" i="78" s="1"/>
  <c r="BH173" i="78"/>
  <c r="BI173" i="78" s="1"/>
  <c r="BJ173" i="78"/>
  <c r="BK173" i="78" s="1"/>
  <c r="BD174" i="78"/>
  <c r="BE174" i="78" s="1"/>
  <c r="BF174" i="78"/>
  <c r="BG174" i="78" s="1"/>
  <c r="BH174" i="78"/>
  <c r="BI174" i="78" s="1"/>
  <c r="BJ174" i="78"/>
  <c r="BK174" i="78" s="1"/>
  <c r="BD175" i="78"/>
  <c r="BE175" i="78" s="1"/>
  <c r="BF175" i="78"/>
  <c r="BG175" i="78" s="1"/>
  <c r="BH175" i="78"/>
  <c r="BI175" i="78" s="1"/>
  <c r="BJ175" i="78"/>
  <c r="BK175" i="78" s="1"/>
  <c r="BD176" i="78"/>
  <c r="BE176" i="78" s="1"/>
  <c r="BF176" i="78"/>
  <c r="BG176" i="78" s="1"/>
  <c r="BH176" i="78"/>
  <c r="BI176" i="78" s="1"/>
  <c r="BJ176" i="78"/>
  <c r="BK176" i="78" s="1"/>
  <c r="BD177" i="78"/>
  <c r="BE177" i="78" s="1"/>
  <c r="BF177" i="78"/>
  <c r="BG177" i="78" s="1"/>
  <c r="BH177" i="78"/>
  <c r="BI177" i="78" s="1"/>
  <c r="BJ177" i="78"/>
  <c r="BK177" i="78" s="1"/>
  <c r="BD178" i="78"/>
  <c r="BE178" i="78" s="1"/>
  <c r="BF178" i="78"/>
  <c r="BG178" i="78" s="1"/>
  <c r="BH178" i="78"/>
  <c r="BI178" i="78" s="1"/>
  <c r="BJ178" i="78"/>
  <c r="BK178" i="78" s="1"/>
  <c r="BD179" i="78"/>
  <c r="BE179" i="78" s="1"/>
  <c r="BF179" i="78"/>
  <c r="BG179" i="78" s="1"/>
  <c r="BH179" i="78"/>
  <c r="BI179" i="78" s="1"/>
  <c r="BJ179" i="78"/>
  <c r="BK179" i="78" s="1"/>
  <c r="BD180" i="78"/>
  <c r="BE180" i="78" s="1"/>
  <c r="BF180" i="78"/>
  <c r="BG180" i="78" s="1"/>
  <c r="BH180" i="78"/>
  <c r="BI180" i="78" s="1"/>
  <c r="BJ180" i="78"/>
  <c r="BK180" i="78" s="1"/>
  <c r="BD181" i="78"/>
  <c r="BE181" i="78" s="1"/>
  <c r="BF181" i="78"/>
  <c r="BG181" i="78" s="1"/>
  <c r="BH181" i="78"/>
  <c r="BI181" i="78" s="1"/>
  <c r="BJ181" i="78"/>
  <c r="BK181" i="78" s="1"/>
  <c r="BD182" i="78"/>
  <c r="BE182" i="78" s="1"/>
  <c r="BF182" i="78"/>
  <c r="BG182" i="78" s="1"/>
  <c r="BH182" i="78"/>
  <c r="BI182" i="78" s="1"/>
  <c r="BJ182" i="78"/>
  <c r="BK182" i="78" s="1"/>
  <c r="BD183" i="78"/>
  <c r="BE183" i="78" s="1"/>
  <c r="BF183" i="78"/>
  <c r="BG183" i="78" s="1"/>
  <c r="BH183" i="78"/>
  <c r="BI183" i="78" s="1"/>
  <c r="BJ183" i="78"/>
  <c r="BK183" i="78" s="1"/>
  <c r="BD184" i="78"/>
  <c r="BE184" i="78" s="1"/>
  <c r="BF184" i="78"/>
  <c r="BG184" i="78" s="1"/>
  <c r="BH184" i="78"/>
  <c r="BI184" i="78" s="1"/>
  <c r="BJ184" i="78"/>
  <c r="BK184" i="78" s="1"/>
  <c r="BD185" i="78"/>
  <c r="BE185" i="78" s="1"/>
  <c r="BF185" i="78"/>
  <c r="BG185" i="78" s="1"/>
  <c r="BH185" i="78"/>
  <c r="BI185" i="78" s="1"/>
  <c r="BJ185" i="78"/>
  <c r="BK185" i="78" s="1"/>
  <c r="BD186" i="78"/>
  <c r="BE186" i="78" s="1"/>
  <c r="BF186" i="78"/>
  <c r="BG186" i="78" s="1"/>
  <c r="BH186" i="78"/>
  <c r="BI186" i="78" s="1"/>
  <c r="BJ186" i="78"/>
  <c r="BK186" i="78" s="1"/>
  <c r="BD187" i="78"/>
  <c r="BE187" i="78" s="1"/>
  <c r="BF187" i="78"/>
  <c r="BG187" i="78" s="1"/>
  <c r="BH187" i="78"/>
  <c r="BI187" i="78" s="1"/>
  <c r="BJ187" i="78"/>
  <c r="BK187" i="78" s="1"/>
  <c r="BD188" i="78"/>
  <c r="BE188" i="78" s="1"/>
  <c r="BF188" i="78"/>
  <c r="BG188" i="78" s="1"/>
  <c r="BH188" i="78"/>
  <c r="BI188" i="78" s="1"/>
  <c r="BJ188" i="78"/>
  <c r="BK188" i="78" s="1"/>
  <c r="BD189" i="78"/>
  <c r="BE189" i="78" s="1"/>
  <c r="BF189" i="78"/>
  <c r="BG189" i="78" s="1"/>
  <c r="BH189" i="78"/>
  <c r="BI189" i="78" s="1"/>
  <c r="BJ189" i="78"/>
  <c r="BK189" i="78" s="1"/>
  <c r="BD190" i="78"/>
  <c r="BE190" i="78" s="1"/>
  <c r="BF190" i="78"/>
  <c r="BG190" i="78" s="1"/>
  <c r="BH190" i="78"/>
  <c r="BI190" i="78" s="1"/>
  <c r="BJ190" i="78"/>
  <c r="BK190" i="78" s="1"/>
  <c r="BD191" i="78"/>
  <c r="BE191" i="78" s="1"/>
  <c r="BF191" i="78"/>
  <c r="BG191" i="78" s="1"/>
  <c r="BH191" i="78"/>
  <c r="BI191" i="78" s="1"/>
  <c r="BJ191" i="78"/>
  <c r="BK191" i="78" s="1"/>
  <c r="BD192" i="78"/>
  <c r="BE192" i="78" s="1"/>
  <c r="BF192" i="78"/>
  <c r="BG192" i="78" s="1"/>
  <c r="BH192" i="78"/>
  <c r="BI192" i="78" s="1"/>
  <c r="BJ192" i="78"/>
  <c r="BK192" i="78" s="1"/>
  <c r="BD193" i="78"/>
  <c r="BE193" i="78" s="1"/>
  <c r="BF193" i="78"/>
  <c r="BG193" i="78" s="1"/>
  <c r="BH193" i="78"/>
  <c r="BI193" i="78" s="1"/>
  <c r="BJ193" i="78"/>
  <c r="BK193" i="78" s="1"/>
  <c r="BD194" i="78"/>
  <c r="BE194" i="78" s="1"/>
  <c r="BF194" i="78"/>
  <c r="BG194" i="78" s="1"/>
  <c r="BH194" i="78"/>
  <c r="BI194" i="78" s="1"/>
  <c r="BJ194" i="78"/>
  <c r="BK194" i="78" s="1"/>
  <c r="BD195" i="78"/>
  <c r="BE195" i="78" s="1"/>
  <c r="BF195" i="78"/>
  <c r="BG195" i="78" s="1"/>
  <c r="BH195" i="78"/>
  <c r="BI195" i="78" s="1"/>
  <c r="BJ195" i="78"/>
  <c r="BK195" i="78" s="1"/>
  <c r="BD196" i="78"/>
  <c r="BE196" i="78" s="1"/>
  <c r="BF196" i="78"/>
  <c r="BG196" i="78" s="1"/>
  <c r="BH196" i="78"/>
  <c r="BI196" i="78" s="1"/>
  <c r="BJ196" i="78"/>
  <c r="BK196" i="78" s="1"/>
  <c r="BD197" i="78"/>
  <c r="BE197" i="78" s="1"/>
  <c r="BF197" i="78"/>
  <c r="BG197" i="78" s="1"/>
  <c r="BH197" i="78"/>
  <c r="BI197" i="78" s="1"/>
  <c r="BJ197" i="78"/>
  <c r="BK197" i="78" s="1"/>
  <c r="BD198" i="78"/>
  <c r="BE198" i="78" s="1"/>
  <c r="BF198" i="78"/>
  <c r="BG198" i="78" s="1"/>
  <c r="BH198" i="78"/>
  <c r="BI198" i="78" s="1"/>
  <c r="BJ198" i="78"/>
  <c r="BK198" i="78" s="1"/>
  <c r="BD199" i="78"/>
  <c r="BE199" i="78" s="1"/>
  <c r="BF199" i="78"/>
  <c r="BG199" i="78" s="1"/>
  <c r="BH199" i="78"/>
  <c r="BI199" i="78" s="1"/>
  <c r="BJ199" i="78"/>
  <c r="BK199" i="78" s="1"/>
  <c r="BD200" i="78"/>
  <c r="BE200" i="78" s="1"/>
  <c r="BF200" i="78"/>
  <c r="BG200" i="78" s="1"/>
  <c r="BH200" i="78"/>
  <c r="BI200" i="78" s="1"/>
  <c r="BJ200" i="78"/>
  <c r="BK200" i="78" s="1"/>
  <c r="BD201" i="78"/>
  <c r="BE201" i="78" s="1"/>
  <c r="BF201" i="78"/>
  <c r="BG201" i="78" s="1"/>
  <c r="BH201" i="78"/>
  <c r="BI201" i="78" s="1"/>
  <c r="BJ201" i="78"/>
  <c r="BK201" i="78" s="1"/>
  <c r="BD202" i="78"/>
  <c r="BE202" i="78" s="1"/>
  <c r="BF202" i="78"/>
  <c r="BG202" i="78" s="1"/>
  <c r="BH202" i="78"/>
  <c r="BI202" i="78" s="1"/>
  <c r="BJ202" i="78"/>
  <c r="BK202" i="78" s="1"/>
  <c r="BD203" i="78"/>
  <c r="BE203" i="78" s="1"/>
  <c r="BF203" i="78"/>
  <c r="BG203" i="78" s="1"/>
  <c r="BH203" i="78"/>
  <c r="BI203" i="78" s="1"/>
  <c r="BJ203" i="78"/>
  <c r="BK203" i="78" s="1"/>
  <c r="BD204" i="78"/>
  <c r="BE204" i="78" s="1"/>
  <c r="BF204" i="78"/>
  <c r="BG204" i="78" s="1"/>
  <c r="BH204" i="78"/>
  <c r="BI204" i="78" s="1"/>
  <c r="BJ204" i="78"/>
  <c r="BK204" i="78" s="1"/>
  <c r="BD205" i="78"/>
  <c r="BE205" i="78" s="1"/>
  <c r="BF205" i="78"/>
  <c r="BG205" i="78" s="1"/>
  <c r="BH205" i="78"/>
  <c r="BI205" i="78" s="1"/>
  <c r="BJ205" i="78"/>
  <c r="BK205" i="78" s="1"/>
  <c r="BD206" i="78"/>
  <c r="BE206" i="78" s="1"/>
  <c r="BF206" i="78"/>
  <c r="BG206" i="78" s="1"/>
  <c r="BH206" i="78"/>
  <c r="BI206" i="78" s="1"/>
  <c r="BJ206" i="78"/>
  <c r="BK206" i="78" s="1"/>
  <c r="BD207" i="78"/>
  <c r="BE207" i="78" s="1"/>
  <c r="BF207" i="78"/>
  <c r="BG207" i="78" s="1"/>
  <c r="BH207" i="78"/>
  <c r="BI207" i="78" s="1"/>
  <c r="BJ207" i="78"/>
  <c r="BK207" i="78" s="1"/>
  <c r="BD208" i="78"/>
  <c r="BE208" i="78" s="1"/>
  <c r="BF208" i="78"/>
  <c r="BG208" i="78" s="1"/>
  <c r="BH208" i="78"/>
  <c r="BI208" i="78" s="1"/>
  <c r="BJ208" i="78"/>
  <c r="BK208" i="78" s="1"/>
  <c r="BD209" i="78"/>
  <c r="BE209" i="78" s="1"/>
  <c r="BF209" i="78"/>
  <c r="BG209" i="78" s="1"/>
  <c r="BH209" i="78"/>
  <c r="BI209" i="78" s="1"/>
  <c r="BJ209" i="78"/>
  <c r="BK209" i="78" s="1"/>
  <c r="BD210" i="78"/>
  <c r="BE210" i="78" s="1"/>
  <c r="BF210" i="78"/>
  <c r="BG210" i="78" s="1"/>
  <c r="BH210" i="78"/>
  <c r="BI210" i="78" s="1"/>
  <c r="BJ210" i="78"/>
  <c r="BK210" i="78" s="1"/>
  <c r="BD211" i="78"/>
  <c r="BE211" i="78" s="1"/>
  <c r="BF211" i="78"/>
  <c r="BG211" i="78" s="1"/>
  <c r="BH211" i="78"/>
  <c r="BI211" i="78" s="1"/>
  <c r="BJ211" i="78"/>
  <c r="BK211" i="78" s="1"/>
  <c r="BD212" i="78"/>
  <c r="BE212" i="78" s="1"/>
  <c r="BF212" i="78"/>
  <c r="BG212" i="78" s="1"/>
  <c r="BH212" i="78"/>
  <c r="BI212" i="78" s="1"/>
  <c r="BJ212" i="78"/>
  <c r="BK212" i="78" s="1"/>
  <c r="BD213" i="78"/>
  <c r="BE213" i="78" s="1"/>
  <c r="BF213" i="78"/>
  <c r="BG213" i="78" s="1"/>
  <c r="BH213" i="78"/>
  <c r="BI213" i="78" s="1"/>
  <c r="BJ213" i="78"/>
  <c r="BK213" i="78" s="1"/>
  <c r="BD214" i="78"/>
  <c r="BE214" i="78" s="1"/>
  <c r="BF214" i="78"/>
  <c r="BG214" i="78" s="1"/>
  <c r="BH214" i="78"/>
  <c r="BI214" i="78" s="1"/>
  <c r="BJ214" i="78"/>
  <c r="BK214" i="78" s="1"/>
  <c r="BD215" i="78"/>
  <c r="BE215" i="78" s="1"/>
  <c r="BF215" i="78"/>
  <c r="BG215" i="78" s="1"/>
  <c r="BH215" i="78"/>
  <c r="BI215" i="78" s="1"/>
  <c r="BJ215" i="78"/>
  <c r="BK215" i="78" s="1"/>
  <c r="BD216" i="78"/>
  <c r="BE216" i="78" s="1"/>
  <c r="BF216" i="78"/>
  <c r="BG216" i="78" s="1"/>
  <c r="BH216" i="78"/>
  <c r="BI216" i="78" s="1"/>
  <c r="BJ216" i="78"/>
  <c r="BK216" i="78" s="1"/>
  <c r="BD217" i="78"/>
  <c r="BE217" i="78" s="1"/>
  <c r="BF217" i="78"/>
  <c r="BG217" i="78" s="1"/>
  <c r="BH217" i="78"/>
  <c r="BI217" i="78" s="1"/>
  <c r="BJ217" i="78"/>
  <c r="BK217" i="78" s="1"/>
  <c r="BD218" i="78"/>
  <c r="BE218" i="78" s="1"/>
  <c r="BF218" i="78"/>
  <c r="BG218" i="78" s="1"/>
  <c r="BH218" i="78"/>
  <c r="BI218" i="78" s="1"/>
  <c r="BJ218" i="78"/>
  <c r="BK218" i="78" s="1"/>
  <c r="BD219" i="78"/>
  <c r="BE219" i="78" s="1"/>
  <c r="BF219" i="78"/>
  <c r="BG219" i="78" s="1"/>
  <c r="BH219" i="78"/>
  <c r="BI219" i="78" s="1"/>
  <c r="BJ219" i="78"/>
  <c r="BK219" i="78" s="1"/>
  <c r="BD220" i="78"/>
  <c r="BE220" i="78" s="1"/>
  <c r="BF220" i="78"/>
  <c r="BG220" i="78" s="1"/>
  <c r="BH220" i="78"/>
  <c r="BI220" i="78" s="1"/>
  <c r="BJ220" i="78"/>
  <c r="BK220" i="78" s="1"/>
  <c r="BD221" i="78"/>
  <c r="BE221" i="78" s="1"/>
  <c r="BF221" i="78"/>
  <c r="BG221" i="78" s="1"/>
  <c r="BH221" i="78"/>
  <c r="BI221" i="78" s="1"/>
  <c r="BJ221" i="78"/>
  <c r="BK221" i="78" s="1"/>
  <c r="BD222" i="78"/>
  <c r="BE222" i="78" s="1"/>
  <c r="BF222" i="78"/>
  <c r="BG222" i="78" s="1"/>
  <c r="BH222" i="78"/>
  <c r="BI222" i="78" s="1"/>
  <c r="BJ222" i="78"/>
  <c r="BK222" i="78" s="1"/>
  <c r="BD223" i="78"/>
  <c r="BE223" i="78" s="1"/>
  <c r="BF223" i="78"/>
  <c r="BG223" i="78" s="1"/>
  <c r="BH223" i="78"/>
  <c r="BI223" i="78" s="1"/>
  <c r="BJ223" i="78"/>
  <c r="BK223" i="78" s="1"/>
  <c r="BD224" i="78"/>
  <c r="BE224" i="78" s="1"/>
  <c r="BF224" i="78"/>
  <c r="BG224" i="78" s="1"/>
  <c r="BH224" i="78"/>
  <c r="BI224" i="78" s="1"/>
  <c r="BJ224" i="78"/>
  <c r="BK224" i="78" s="1"/>
  <c r="BD225" i="78"/>
  <c r="BE225" i="78" s="1"/>
  <c r="BF225" i="78"/>
  <c r="BG225" i="78" s="1"/>
  <c r="BH225" i="78"/>
  <c r="BI225" i="78" s="1"/>
  <c r="BJ225" i="78"/>
  <c r="BK225" i="78" s="1"/>
  <c r="BD226" i="78"/>
  <c r="BE226" i="78" s="1"/>
  <c r="BF226" i="78"/>
  <c r="BG226" i="78" s="1"/>
  <c r="BH226" i="78"/>
  <c r="BI226" i="78" s="1"/>
  <c r="BJ226" i="78"/>
  <c r="BK226" i="78" s="1"/>
  <c r="BD227" i="78"/>
  <c r="BE227" i="78" s="1"/>
  <c r="BF227" i="78"/>
  <c r="BG227" i="78" s="1"/>
  <c r="BH227" i="78"/>
  <c r="BI227" i="78" s="1"/>
  <c r="BJ227" i="78"/>
  <c r="BK227" i="78" s="1"/>
  <c r="BD228" i="78"/>
  <c r="BE228" i="78" s="1"/>
  <c r="BF228" i="78"/>
  <c r="BG228" i="78" s="1"/>
  <c r="BH228" i="78"/>
  <c r="BI228" i="78" s="1"/>
  <c r="BJ228" i="78"/>
  <c r="BK228" i="78" s="1"/>
  <c r="BD229" i="78"/>
  <c r="BE229" i="78" s="1"/>
  <c r="BF229" i="78"/>
  <c r="BG229" i="78" s="1"/>
  <c r="BH229" i="78"/>
  <c r="BI229" i="78" s="1"/>
  <c r="BJ229" i="78"/>
  <c r="BK229" i="78" s="1"/>
  <c r="BD230" i="78"/>
  <c r="BE230" i="78" s="1"/>
  <c r="BF230" i="78"/>
  <c r="BG230" i="78" s="1"/>
  <c r="BH230" i="78"/>
  <c r="BI230" i="78" s="1"/>
  <c r="BJ230" i="78"/>
  <c r="BK230" i="78" s="1"/>
  <c r="BD231" i="78"/>
  <c r="BE231" i="78" s="1"/>
  <c r="BF231" i="78"/>
  <c r="BG231" i="78" s="1"/>
  <c r="BH231" i="78"/>
  <c r="BI231" i="78" s="1"/>
  <c r="BJ231" i="78"/>
  <c r="BK231" i="78" s="1"/>
  <c r="BD232" i="78"/>
  <c r="BE232" i="78" s="1"/>
  <c r="BF232" i="78"/>
  <c r="BG232" i="78" s="1"/>
  <c r="BH232" i="78"/>
  <c r="BI232" i="78" s="1"/>
  <c r="BJ232" i="78"/>
  <c r="BK232" i="78" s="1"/>
  <c r="BD233" i="78"/>
  <c r="BE233" i="78" s="1"/>
  <c r="BF233" i="78"/>
  <c r="BG233" i="78" s="1"/>
  <c r="BH233" i="78"/>
  <c r="BI233" i="78" s="1"/>
  <c r="BJ233" i="78"/>
  <c r="BK233" i="78" s="1"/>
  <c r="BD234" i="78"/>
  <c r="BE234" i="78" s="1"/>
  <c r="BF234" i="78"/>
  <c r="BG234" i="78" s="1"/>
  <c r="BH234" i="78"/>
  <c r="BI234" i="78" s="1"/>
  <c r="BJ234" i="78"/>
  <c r="BK234" i="78" s="1"/>
  <c r="BD235" i="78"/>
  <c r="BE235" i="78" s="1"/>
  <c r="BF235" i="78"/>
  <c r="BG235" i="78" s="1"/>
  <c r="BH235" i="78"/>
  <c r="BI235" i="78" s="1"/>
  <c r="BJ235" i="78"/>
  <c r="BK235" i="78" s="1"/>
  <c r="BD236" i="78"/>
  <c r="BE236" i="78" s="1"/>
  <c r="BF236" i="78"/>
  <c r="BG236" i="78" s="1"/>
  <c r="BH236" i="78"/>
  <c r="BI236" i="78" s="1"/>
  <c r="BJ236" i="78"/>
  <c r="BK236" i="78" s="1"/>
  <c r="BD237" i="78"/>
  <c r="BE237" i="78" s="1"/>
  <c r="BF237" i="78"/>
  <c r="BG237" i="78" s="1"/>
  <c r="BH237" i="78"/>
  <c r="BI237" i="78" s="1"/>
  <c r="BJ237" i="78"/>
  <c r="BK237" i="78" s="1"/>
  <c r="BD238" i="78"/>
  <c r="BE238" i="78" s="1"/>
  <c r="BF238" i="78"/>
  <c r="BG238" i="78" s="1"/>
  <c r="BH238" i="78"/>
  <c r="BI238" i="78" s="1"/>
  <c r="BJ238" i="78"/>
  <c r="BK238" i="78" s="1"/>
  <c r="BD239" i="78"/>
  <c r="BE239" i="78" s="1"/>
  <c r="BF239" i="78"/>
  <c r="BG239" i="78" s="1"/>
  <c r="BH239" i="78"/>
  <c r="BI239" i="78" s="1"/>
  <c r="BJ239" i="78"/>
  <c r="BK239" i="78" s="1"/>
  <c r="BD240" i="78"/>
  <c r="BE240" i="78" s="1"/>
  <c r="BF240" i="78"/>
  <c r="BG240" i="78" s="1"/>
  <c r="BH240" i="78"/>
  <c r="BI240" i="78" s="1"/>
  <c r="BJ240" i="78"/>
  <c r="BK240" i="78" s="1"/>
  <c r="BD241" i="78"/>
  <c r="BE241" i="78" s="1"/>
  <c r="BF241" i="78"/>
  <c r="BG241" i="78" s="1"/>
  <c r="BH241" i="78"/>
  <c r="BI241" i="78" s="1"/>
  <c r="BJ241" i="78"/>
  <c r="BK241" i="78" s="1"/>
  <c r="BD242" i="78"/>
  <c r="BE242" i="78" s="1"/>
  <c r="BF242" i="78"/>
  <c r="BG242" i="78" s="1"/>
  <c r="BH242" i="78"/>
  <c r="BI242" i="78" s="1"/>
  <c r="BJ242" i="78"/>
  <c r="BK242" i="78" s="1"/>
  <c r="BD243" i="78"/>
  <c r="BE243" i="78" s="1"/>
  <c r="BF243" i="78"/>
  <c r="BG243" i="78" s="1"/>
  <c r="BH243" i="78"/>
  <c r="BI243" i="78" s="1"/>
  <c r="BJ243" i="78"/>
  <c r="BK243" i="78" s="1"/>
  <c r="BD244" i="78"/>
  <c r="BE244" i="78" s="1"/>
  <c r="BF244" i="78"/>
  <c r="BG244" i="78" s="1"/>
  <c r="BH244" i="78"/>
  <c r="BI244" i="78" s="1"/>
  <c r="BJ244" i="78"/>
  <c r="BK244" i="78" s="1"/>
  <c r="BD245" i="78"/>
  <c r="BE245" i="78" s="1"/>
  <c r="BF245" i="78"/>
  <c r="BG245" i="78" s="1"/>
  <c r="BH245" i="78"/>
  <c r="BI245" i="78" s="1"/>
  <c r="BJ245" i="78"/>
  <c r="BK245" i="78" s="1"/>
  <c r="BD246" i="78"/>
  <c r="BE246" i="78" s="1"/>
  <c r="BF246" i="78"/>
  <c r="BG246" i="78" s="1"/>
  <c r="BH246" i="78"/>
  <c r="BI246" i="78" s="1"/>
  <c r="BJ246" i="78"/>
  <c r="BK246" i="78" s="1"/>
  <c r="BD247" i="78"/>
  <c r="BE247" i="78" s="1"/>
  <c r="BF247" i="78"/>
  <c r="BG247" i="78" s="1"/>
  <c r="BH247" i="78"/>
  <c r="BI247" i="78" s="1"/>
  <c r="BJ247" i="78"/>
  <c r="BK247" i="78" s="1"/>
  <c r="BD248" i="78"/>
  <c r="BE248" i="78" s="1"/>
  <c r="BF248" i="78"/>
  <c r="BG248" i="78" s="1"/>
  <c r="BH248" i="78"/>
  <c r="BI248" i="78" s="1"/>
  <c r="BJ248" i="78"/>
  <c r="BK248" i="78" s="1"/>
  <c r="BD249" i="78"/>
  <c r="BE249" i="78" s="1"/>
  <c r="BF249" i="78"/>
  <c r="BG249" i="78" s="1"/>
  <c r="BH249" i="78"/>
  <c r="BI249" i="78" s="1"/>
  <c r="BJ249" i="78"/>
  <c r="BK249" i="78" s="1"/>
  <c r="BD250" i="78"/>
  <c r="BE250" i="78" s="1"/>
  <c r="BF250" i="78"/>
  <c r="BG250" i="78" s="1"/>
  <c r="BH250" i="78"/>
  <c r="BI250" i="78" s="1"/>
  <c r="BJ250" i="78"/>
  <c r="BK250" i="78" s="1"/>
  <c r="BD251" i="78"/>
  <c r="BE251" i="78" s="1"/>
  <c r="BF251" i="78"/>
  <c r="BG251" i="78" s="1"/>
  <c r="BH251" i="78"/>
  <c r="BI251" i="78" s="1"/>
  <c r="BJ251" i="78"/>
  <c r="BK251" i="78" s="1"/>
  <c r="BD252" i="78"/>
  <c r="BE252" i="78" s="1"/>
  <c r="BF252" i="78"/>
  <c r="BG252" i="78" s="1"/>
  <c r="BH252" i="78"/>
  <c r="BI252" i="78" s="1"/>
  <c r="BJ252" i="78"/>
  <c r="BK252" i="78" s="1"/>
  <c r="BD253" i="78"/>
  <c r="BE253" i="78" s="1"/>
  <c r="BF253" i="78"/>
  <c r="BG253" i="78" s="1"/>
  <c r="BH253" i="78"/>
  <c r="BI253" i="78" s="1"/>
  <c r="BJ253" i="78"/>
  <c r="BK253" i="78" s="1"/>
  <c r="BD254" i="78"/>
  <c r="BE254" i="78" s="1"/>
  <c r="BF254" i="78"/>
  <c r="BG254" i="78" s="1"/>
  <c r="BH254" i="78"/>
  <c r="BI254" i="78" s="1"/>
  <c r="BJ254" i="78"/>
  <c r="BK254" i="78" s="1"/>
  <c r="BD255" i="78"/>
  <c r="BE255" i="78" s="1"/>
  <c r="BF255" i="78"/>
  <c r="BG255" i="78" s="1"/>
  <c r="BH255" i="78"/>
  <c r="BI255" i="78" s="1"/>
  <c r="BJ255" i="78"/>
  <c r="BK255" i="78" s="1"/>
  <c r="BD256" i="78"/>
  <c r="BE256" i="78" s="1"/>
  <c r="BF256" i="78"/>
  <c r="BG256" i="78" s="1"/>
  <c r="BH256" i="78"/>
  <c r="BI256" i="78" s="1"/>
  <c r="BJ256" i="78"/>
  <c r="BK256" i="78" s="1"/>
  <c r="BD257" i="78"/>
  <c r="BE257" i="78" s="1"/>
  <c r="BF257" i="78"/>
  <c r="BG257" i="78" s="1"/>
  <c r="BH257" i="78"/>
  <c r="BI257" i="78" s="1"/>
  <c r="BJ257" i="78"/>
  <c r="BK257" i="78" s="1"/>
  <c r="BD258" i="78"/>
  <c r="BE258" i="78" s="1"/>
  <c r="BF258" i="78"/>
  <c r="BG258" i="78" s="1"/>
  <c r="BH258" i="78"/>
  <c r="BI258" i="78" s="1"/>
  <c r="BJ258" i="78"/>
  <c r="BK258" i="78" s="1"/>
  <c r="BD259" i="78"/>
  <c r="BE259" i="78" s="1"/>
  <c r="BF259" i="78"/>
  <c r="BG259" i="78" s="1"/>
  <c r="BH259" i="78"/>
  <c r="BI259" i="78" s="1"/>
  <c r="BJ259" i="78"/>
  <c r="BK259" i="78" s="1"/>
  <c r="BD260" i="78"/>
  <c r="BE260" i="78" s="1"/>
  <c r="BF260" i="78"/>
  <c r="BG260" i="78" s="1"/>
  <c r="BH260" i="78"/>
  <c r="BI260" i="78" s="1"/>
  <c r="BJ260" i="78"/>
  <c r="BK260" i="78" s="1"/>
  <c r="BD261" i="78"/>
  <c r="BF261" i="78"/>
  <c r="BH261" i="78"/>
  <c r="BJ261" i="78"/>
  <c r="BD262" i="78"/>
  <c r="BE262" i="78" s="1"/>
  <c r="BF262" i="78"/>
  <c r="BG262" i="78" s="1"/>
  <c r="BH262" i="78"/>
  <c r="BI262" i="78" s="1"/>
  <c r="BJ262" i="78"/>
  <c r="BK262" i="78" s="1"/>
  <c r="BD263" i="78"/>
  <c r="BE263" i="78" s="1"/>
  <c r="BF263" i="78"/>
  <c r="BG263" i="78" s="1"/>
  <c r="BH263" i="78"/>
  <c r="BI263" i="78" s="1"/>
  <c r="BJ263" i="78"/>
  <c r="BK263" i="78" s="1"/>
  <c r="BD264" i="78"/>
  <c r="BE264" i="78" s="1"/>
  <c r="BF264" i="78"/>
  <c r="BG264" i="78" s="1"/>
  <c r="BH264" i="78"/>
  <c r="BI264" i="78" s="1"/>
  <c r="BJ264" i="78"/>
  <c r="BK264" i="78" s="1"/>
  <c r="BD265" i="78"/>
  <c r="BE265" i="78" s="1"/>
  <c r="BF265" i="78"/>
  <c r="BG265" i="78" s="1"/>
  <c r="BH265" i="78"/>
  <c r="BI265" i="78" s="1"/>
  <c r="BJ265" i="78"/>
  <c r="BK265" i="78" s="1"/>
  <c r="BD266" i="78"/>
  <c r="BE266" i="78" s="1"/>
  <c r="BF266" i="78"/>
  <c r="BG266" i="78" s="1"/>
  <c r="BH266" i="78"/>
  <c r="BI266" i="78" s="1"/>
  <c r="BJ266" i="78"/>
  <c r="BK266" i="78" s="1"/>
  <c r="BD267" i="78"/>
  <c r="BE267" i="78" s="1"/>
  <c r="BF267" i="78"/>
  <c r="BG267" i="78" s="1"/>
  <c r="BH267" i="78"/>
  <c r="BI267" i="78" s="1"/>
  <c r="BJ267" i="78"/>
  <c r="BK267" i="78" s="1"/>
  <c r="BD268" i="78"/>
  <c r="BE268" i="78" s="1"/>
  <c r="BF268" i="78"/>
  <c r="BG268" i="78" s="1"/>
  <c r="BH268" i="78"/>
  <c r="BI268" i="78" s="1"/>
  <c r="BJ268" i="78"/>
  <c r="BK268" i="78" s="1"/>
  <c r="BD269" i="78"/>
  <c r="BE269" i="78" s="1"/>
  <c r="BF269" i="78"/>
  <c r="BG269" i="78" s="1"/>
  <c r="BH269" i="78"/>
  <c r="BI269" i="78" s="1"/>
  <c r="BJ269" i="78"/>
  <c r="BK269" i="78" s="1"/>
  <c r="BD270" i="78"/>
  <c r="BE270" i="78" s="1"/>
  <c r="BF270" i="78"/>
  <c r="BG270" i="78" s="1"/>
  <c r="BH270" i="78"/>
  <c r="BI270" i="78" s="1"/>
  <c r="BJ270" i="78"/>
  <c r="BK270" i="78" s="1"/>
  <c r="BD271" i="78"/>
  <c r="BE271" i="78" s="1"/>
  <c r="BF271" i="78"/>
  <c r="BG271" i="78" s="1"/>
  <c r="BH271" i="78"/>
  <c r="BI271" i="78" s="1"/>
  <c r="BJ271" i="78"/>
  <c r="BK271" i="78" s="1"/>
  <c r="BD272" i="78"/>
  <c r="BE272" i="78" s="1"/>
  <c r="BF272" i="78"/>
  <c r="BG272" i="78" s="1"/>
  <c r="BH272" i="78"/>
  <c r="BI272" i="78" s="1"/>
  <c r="BJ272" i="78"/>
  <c r="BK272" i="78" s="1"/>
  <c r="BD273" i="78"/>
  <c r="BE273" i="78" s="1"/>
  <c r="BF273" i="78"/>
  <c r="BG273" i="78" s="1"/>
  <c r="BH273" i="78"/>
  <c r="BI273" i="78" s="1"/>
  <c r="BJ273" i="78"/>
  <c r="BK273" i="78" s="1"/>
  <c r="BD274" i="78"/>
  <c r="BE274" i="78" s="1"/>
  <c r="BF274" i="78"/>
  <c r="BG274" i="78" s="1"/>
  <c r="BH274" i="78"/>
  <c r="BI274" i="78" s="1"/>
  <c r="BJ274" i="78"/>
  <c r="BK274" i="78" s="1"/>
  <c r="BD275" i="78"/>
  <c r="BE275" i="78" s="1"/>
  <c r="BF275" i="78"/>
  <c r="BG275" i="78" s="1"/>
  <c r="BH275" i="78"/>
  <c r="BI275" i="78" s="1"/>
  <c r="BJ275" i="78"/>
  <c r="BK275" i="78" s="1"/>
  <c r="BD276" i="78"/>
  <c r="BE276" i="78" s="1"/>
  <c r="BF276" i="78"/>
  <c r="BG276" i="78" s="1"/>
  <c r="BH276" i="78"/>
  <c r="BI276" i="78" s="1"/>
  <c r="BJ276" i="78"/>
  <c r="BK276" i="78" s="1"/>
  <c r="BD277" i="78"/>
  <c r="BE277" i="78" s="1"/>
  <c r="BF277" i="78"/>
  <c r="BG277" i="78" s="1"/>
  <c r="BH277" i="78"/>
  <c r="BI277" i="78" s="1"/>
  <c r="BJ277" i="78"/>
  <c r="BK277" i="78" s="1"/>
  <c r="BD278" i="78"/>
  <c r="BE278" i="78" s="1"/>
  <c r="BF278" i="78"/>
  <c r="BG278" i="78" s="1"/>
  <c r="BH278" i="78"/>
  <c r="BI278" i="78" s="1"/>
  <c r="BJ278" i="78"/>
  <c r="BK278" i="78" s="1"/>
  <c r="BD279" i="78"/>
  <c r="BE279" i="78" s="1"/>
  <c r="BF279" i="78"/>
  <c r="BG279" i="78" s="1"/>
  <c r="BH279" i="78"/>
  <c r="BI279" i="78" s="1"/>
  <c r="BJ279" i="78"/>
  <c r="BK279" i="78" s="1"/>
  <c r="BD280" i="78"/>
  <c r="BE280" i="78" s="1"/>
  <c r="BF280" i="78"/>
  <c r="BG280" i="78" s="1"/>
  <c r="BH280" i="78"/>
  <c r="BI280" i="78" s="1"/>
  <c r="BJ280" i="78"/>
  <c r="BK280" i="78" s="1"/>
  <c r="BD281" i="78"/>
  <c r="BE281" i="78" s="1"/>
  <c r="BF281" i="78"/>
  <c r="BG281" i="78" s="1"/>
  <c r="BH281" i="78"/>
  <c r="BI281" i="78" s="1"/>
  <c r="BJ281" i="78"/>
  <c r="BK281" i="78" s="1"/>
  <c r="BD282" i="78"/>
  <c r="BE282" i="78" s="1"/>
  <c r="BF282" i="78"/>
  <c r="BG282" i="78" s="1"/>
  <c r="BH282" i="78"/>
  <c r="BI282" i="78" s="1"/>
  <c r="BJ282" i="78"/>
  <c r="BK282" i="78" s="1"/>
  <c r="BD283" i="78"/>
  <c r="BE283" i="78" s="1"/>
  <c r="BF283" i="78"/>
  <c r="BG283" i="78" s="1"/>
  <c r="BH283" i="78"/>
  <c r="BI283" i="78" s="1"/>
  <c r="BJ283" i="78"/>
  <c r="BK283" i="78" s="1"/>
  <c r="BD284" i="78"/>
  <c r="BE284" i="78" s="1"/>
  <c r="BF284" i="78"/>
  <c r="BG284" i="78" s="1"/>
  <c r="BH284" i="78"/>
  <c r="BI284" i="78" s="1"/>
  <c r="BJ284" i="78"/>
  <c r="BK284" i="78" s="1"/>
  <c r="BD285" i="78"/>
  <c r="BE285" i="78" s="1"/>
  <c r="BF285" i="78"/>
  <c r="BG285" i="78" s="1"/>
  <c r="BH285" i="78"/>
  <c r="BI285" i="78" s="1"/>
  <c r="BJ285" i="78"/>
  <c r="BK285" i="78" s="1"/>
  <c r="BD286" i="78"/>
  <c r="BE286" i="78" s="1"/>
  <c r="BF286" i="78"/>
  <c r="BG286" i="78" s="1"/>
  <c r="BH286" i="78"/>
  <c r="BI286" i="78" s="1"/>
  <c r="BJ286" i="78"/>
  <c r="BK286" i="78" s="1"/>
  <c r="BD287" i="78"/>
  <c r="BE287" i="78" s="1"/>
  <c r="BF287" i="78"/>
  <c r="BG287" i="78" s="1"/>
  <c r="BH287" i="78"/>
  <c r="BI287" i="78" s="1"/>
  <c r="BJ287" i="78"/>
  <c r="BK287" i="78" s="1"/>
  <c r="BD288" i="78"/>
  <c r="BE288" i="78" s="1"/>
  <c r="BF288" i="78"/>
  <c r="BG288" i="78" s="1"/>
  <c r="BH288" i="78"/>
  <c r="BI288" i="78" s="1"/>
  <c r="BJ288" i="78"/>
  <c r="BK288" i="78" s="1"/>
  <c r="BD289" i="78"/>
  <c r="BE289" i="78" s="1"/>
  <c r="BF289" i="78"/>
  <c r="BG289" i="78" s="1"/>
  <c r="BH289" i="78"/>
  <c r="BI289" i="78" s="1"/>
  <c r="BJ289" i="78"/>
  <c r="BK289" i="78" s="1"/>
  <c r="BD290" i="78"/>
  <c r="BE290" i="78" s="1"/>
  <c r="BF290" i="78"/>
  <c r="BG290" i="78" s="1"/>
  <c r="BH290" i="78"/>
  <c r="BI290" i="78" s="1"/>
  <c r="BJ290" i="78"/>
  <c r="BK290" i="78" s="1"/>
  <c r="BD291" i="78"/>
  <c r="BE291" i="78" s="1"/>
  <c r="BF291" i="78"/>
  <c r="BG291" i="78" s="1"/>
  <c r="BH291" i="78"/>
  <c r="BI291" i="78" s="1"/>
  <c r="BJ291" i="78"/>
  <c r="BK291" i="78" s="1"/>
  <c r="BD292" i="78"/>
  <c r="BE292" i="78" s="1"/>
  <c r="BF292" i="78"/>
  <c r="BG292" i="78" s="1"/>
  <c r="BH292" i="78"/>
  <c r="BI292" i="78" s="1"/>
  <c r="BJ292" i="78"/>
  <c r="BK292" i="78" s="1"/>
  <c r="BD293" i="78"/>
  <c r="BE293" i="78" s="1"/>
  <c r="BF293" i="78"/>
  <c r="BG293" i="78" s="1"/>
  <c r="BH293" i="78"/>
  <c r="BI293" i="78" s="1"/>
  <c r="BJ293" i="78"/>
  <c r="BK293" i="78" s="1"/>
  <c r="BD294" i="78"/>
  <c r="BE294" i="78" s="1"/>
  <c r="BF294" i="78"/>
  <c r="BG294" i="78" s="1"/>
  <c r="BH294" i="78"/>
  <c r="BI294" i="78" s="1"/>
  <c r="BJ294" i="78"/>
  <c r="BK294" i="78" s="1"/>
  <c r="BD295" i="78"/>
  <c r="BE295" i="78" s="1"/>
  <c r="BF295" i="78"/>
  <c r="BG295" i="78" s="1"/>
  <c r="BH295" i="78"/>
  <c r="BI295" i="78" s="1"/>
  <c r="BJ295" i="78"/>
  <c r="BK295" i="78" s="1"/>
  <c r="BD296" i="78"/>
  <c r="BE296" i="78" s="1"/>
  <c r="BF296" i="78"/>
  <c r="BG296" i="78" s="1"/>
  <c r="BH296" i="78"/>
  <c r="BI296" i="78" s="1"/>
  <c r="BJ296" i="78"/>
  <c r="BK296" i="78" s="1"/>
  <c r="BD297" i="78"/>
  <c r="BE297" i="78" s="1"/>
  <c r="BF297" i="78"/>
  <c r="BG297" i="78" s="1"/>
  <c r="BH297" i="78"/>
  <c r="BI297" i="78" s="1"/>
  <c r="BJ297" i="78"/>
  <c r="BK297" i="78" s="1"/>
  <c r="BD298" i="78"/>
  <c r="BE298" i="78" s="1"/>
  <c r="BF298" i="78"/>
  <c r="BG298" i="78" s="1"/>
  <c r="BH298" i="78"/>
  <c r="BI298" i="78" s="1"/>
  <c r="BJ298" i="78"/>
  <c r="BK298" i="78" s="1"/>
  <c r="BD299" i="78"/>
  <c r="BE299" i="78" s="1"/>
  <c r="BF299" i="78"/>
  <c r="BG299" i="78" s="1"/>
  <c r="BH299" i="78"/>
  <c r="BI299" i="78" s="1"/>
  <c r="BJ299" i="78"/>
  <c r="BK299" i="78" s="1"/>
  <c r="BD300" i="78"/>
  <c r="BE300" i="78" s="1"/>
  <c r="BF300" i="78"/>
  <c r="BG300" i="78" s="1"/>
  <c r="BH300" i="78"/>
  <c r="BI300" i="78" s="1"/>
  <c r="BJ300" i="78"/>
  <c r="BK300" i="78" s="1"/>
  <c r="BD301" i="78"/>
  <c r="BE301" i="78" s="1"/>
  <c r="BF301" i="78"/>
  <c r="BG301" i="78" s="1"/>
  <c r="BH301" i="78"/>
  <c r="BI301" i="78" s="1"/>
  <c r="BJ301" i="78"/>
  <c r="BK301" i="78" s="1"/>
  <c r="BD302" i="78"/>
  <c r="BE302" i="78" s="1"/>
  <c r="BF302" i="78"/>
  <c r="BG302" i="78" s="1"/>
  <c r="BH302" i="78"/>
  <c r="BI302" i="78" s="1"/>
  <c r="BJ302" i="78"/>
  <c r="BK302" i="78" s="1"/>
  <c r="BD303" i="78"/>
  <c r="BE303" i="78" s="1"/>
  <c r="BF303" i="78"/>
  <c r="BG303" i="78" s="1"/>
  <c r="BH303" i="78"/>
  <c r="BI303" i="78" s="1"/>
  <c r="BJ303" i="78"/>
  <c r="BK303" i="78" s="1"/>
  <c r="BD304" i="78"/>
  <c r="BE304" i="78" s="1"/>
  <c r="BF304" i="78"/>
  <c r="BG304" i="78" s="1"/>
  <c r="BH304" i="78"/>
  <c r="BI304" i="78" s="1"/>
  <c r="BJ304" i="78"/>
  <c r="BK304" i="78" s="1"/>
  <c r="BD305" i="78"/>
  <c r="BE305" i="78" s="1"/>
  <c r="BF305" i="78"/>
  <c r="BG305" i="78" s="1"/>
  <c r="BH305" i="78"/>
  <c r="BI305" i="78" s="1"/>
  <c r="BJ305" i="78"/>
  <c r="BK305" i="78" s="1"/>
  <c r="BD306" i="78"/>
  <c r="BE306" i="78" s="1"/>
  <c r="BF306" i="78"/>
  <c r="BG306" i="78" s="1"/>
  <c r="BH306" i="78"/>
  <c r="BI306" i="78" s="1"/>
  <c r="BJ306" i="78"/>
  <c r="BK306" i="78" s="1"/>
  <c r="BD307" i="78"/>
  <c r="BE307" i="78" s="1"/>
  <c r="BF307" i="78"/>
  <c r="BG307" i="78" s="1"/>
  <c r="BH307" i="78"/>
  <c r="BI307" i="78" s="1"/>
  <c r="BJ307" i="78"/>
  <c r="BK307" i="78" s="1"/>
  <c r="BD308" i="78"/>
  <c r="BE308" i="78" s="1"/>
  <c r="BF308" i="78"/>
  <c r="BG308" i="78" s="1"/>
  <c r="BH308" i="78"/>
  <c r="BI308" i="78" s="1"/>
  <c r="BJ308" i="78"/>
  <c r="BK308" i="78" s="1"/>
  <c r="BD309" i="78"/>
  <c r="BE309" i="78" s="1"/>
  <c r="BF309" i="78"/>
  <c r="BG309" i="78" s="1"/>
  <c r="BH309" i="78"/>
  <c r="BI309" i="78" s="1"/>
  <c r="BJ309" i="78"/>
  <c r="BK309" i="78" s="1"/>
  <c r="BD310" i="78"/>
  <c r="BE310" i="78" s="1"/>
  <c r="BF310" i="78"/>
  <c r="BG310" i="78" s="1"/>
  <c r="BH310" i="78"/>
  <c r="BI310" i="78" s="1"/>
  <c r="BJ310" i="78"/>
  <c r="BK310" i="78" s="1"/>
  <c r="BD311" i="78"/>
  <c r="BE311" i="78" s="1"/>
  <c r="BF311" i="78"/>
  <c r="BG311" i="78" s="1"/>
  <c r="BH311" i="78"/>
  <c r="BI311" i="78" s="1"/>
  <c r="BJ311" i="78"/>
  <c r="BK311" i="78" s="1"/>
  <c r="BD312" i="78"/>
  <c r="BE312" i="78" s="1"/>
  <c r="BF312" i="78"/>
  <c r="BG312" i="78" s="1"/>
  <c r="BH312" i="78"/>
  <c r="BI312" i="78" s="1"/>
  <c r="BJ312" i="78"/>
  <c r="BK312" i="78" s="1"/>
  <c r="BD313" i="78"/>
  <c r="BE313" i="78" s="1"/>
  <c r="BF313" i="78"/>
  <c r="BG313" i="78" s="1"/>
  <c r="BH313" i="78"/>
  <c r="BI313" i="78" s="1"/>
  <c r="BJ313" i="78"/>
  <c r="BK313" i="78" s="1"/>
  <c r="BD314" i="78"/>
  <c r="BE314" i="78" s="1"/>
  <c r="BF314" i="78"/>
  <c r="BG314" i="78" s="1"/>
  <c r="BH314" i="78"/>
  <c r="BI314" i="78" s="1"/>
  <c r="BJ314" i="78"/>
  <c r="BK314" i="78" s="1"/>
  <c r="BD315" i="78"/>
  <c r="BE315" i="78" s="1"/>
  <c r="BF315" i="78"/>
  <c r="BG315" i="78" s="1"/>
  <c r="BH315" i="78"/>
  <c r="BI315" i="78" s="1"/>
  <c r="BJ315" i="78"/>
  <c r="BK315" i="78" s="1"/>
  <c r="BD316" i="78"/>
  <c r="BE316" i="78" s="1"/>
  <c r="BF316" i="78"/>
  <c r="BG316" i="78" s="1"/>
  <c r="BH316" i="78"/>
  <c r="BI316" i="78" s="1"/>
  <c r="BJ316" i="78"/>
  <c r="BK316" i="78" s="1"/>
  <c r="BD317" i="78"/>
  <c r="BE317" i="78" s="1"/>
  <c r="BF317" i="78"/>
  <c r="BG317" i="78" s="1"/>
  <c r="BH317" i="78"/>
  <c r="BI317" i="78" s="1"/>
  <c r="BJ317" i="78"/>
  <c r="BK317" i="78" s="1"/>
  <c r="BJ5" i="78"/>
  <c r="BH5" i="78"/>
  <c r="BF5" i="78"/>
  <c r="BD5" i="78"/>
  <c r="AS6" i="78"/>
  <c r="AT6" i="78" s="1"/>
  <c r="AU6" i="78"/>
  <c r="AV6" i="78" s="1"/>
  <c r="AW6" i="78"/>
  <c r="AX6" i="78" s="1"/>
  <c r="AY6" i="78"/>
  <c r="AZ6" i="78" s="1"/>
  <c r="AS7" i="78"/>
  <c r="AT7" i="78" s="1"/>
  <c r="AU7" i="78"/>
  <c r="AV7" i="78" s="1"/>
  <c r="AW7" i="78"/>
  <c r="AX7" i="78" s="1"/>
  <c r="AY7" i="78"/>
  <c r="AZ7" i="78" s="1"/>
  <c r="AS8" i="78"/>
  <c r="AT8" i="78" s="1"/>
  <c r="AU8" i="78"/>
  <c r="AV8" i="78" s="1"/>
  <c r="AW8" i="78"/>
  <c r="AX8" i="78" s="1"/>
  <c r="AY8" i="78"/>
  <c r="AZ8" i="78" s="1"/>
  <c r="AS9" i="78"/>
  <c r="AT9" i="78" s="1"/>
  <c r="AU9" i="78"/>
  <c r="AV9" i="78" s="1"/>
  <c r="AW9" i="78"/>
  <c r="AX9" i="78" s="1"/>
  <c r="AY9" i="78"/>
  <c r="AZ9" i="78" s="1"/>
  <c r="AS10" i="78"/>
  <c r="AT10" i="78" s="1"/>
  <c r="AU10" i="78"/>
  <c r="AV10" i="78" s="1"/>
  <c r="AW10" i="78"/>
  <c r="AX10" i="78" s="1"/>
  <c r="AY10" i="78"/>
  <c r="AZ10" i="78" s="1"/>
  <c r="AS11" i="78"/>
  <c r="AT11" i="78" s="1"/>
  <c r="AU11" i="78"/>
  <c r="AV11" i="78" s="1"/>
  <c r="AW11" i="78"/>
  <c r="AX11" i="78" s="1"/>
  <c r="AY11" i="78"/>
  <c r="AZ11" i="78" s="1"/>
  <c r="AS12" i="78"/>
  <c r="AT12" i="78" s="1"/>
  <c r="AU12" i="78"/>
  <c r="AV12" i="78" s="1"/>
  <c r="AW12" i="78"/>
  <c r="AX12" i="78" s="1"/>
  <c r="AY12" i="78"/>
  <c r="AZ12" i="78" s="1"/>
  <c r="AS13" i="78"/>
  <c r="AT13" i="78" s="1"/>
  <c r="AU13" i="78"/>
  <c r="AV13" i="78" s="1"/>
  <c r="AW13" i="78"/>
  <c r="AX13" i="78" s="1"/>
  <c r="AY13" i="78"/>
  <c r="AZ13" i="78" s="1"/>
  <c r="AS14" i="78"/>
  <c r="AT14" i="78" s="1"/>
  <c r="AU14" i="78"/>
  <c r="AV14" i="78" s="1"/>
  <c r="AW14" i="78"/>
  <c r="AX14" i="78" s="1"/>
  <c r="AY14" i="78"/>
  <c r="AZ14" i="78" s="1"/>
  <c r="AS15" i="78"/>
  <c r="AT15" i="78" s="1"/>
  <c r="AU15" i="78"/>
  <c r="AV15" i="78" s="1"/>
  <c r="AW15" i="78"/>
  <c r="AX15" i="78" s="1"/>
  <c r="AY15" i="78"/>
  <c r="AZ15" i="78" s="1"/>
  <c r="AS16" i="78"/>
  <c r="AT16" i="78" s="1"/>
  <c r="AU16" i="78"/>
  <c r="AV16" i="78" s="1"/>
  <c r="AW16" i="78"/>
  <c r="AX16" i="78" s="1"/>
  <c r="AY16" i="78"/>
  <c r="AZ16" i="78" s="1"/>
  <c r="AS17" i="78"/>
  <c r="AT17" i="78" s="1"/>
  <c r="AU17" i="78"/>
  <c r="AV17" i="78" s="1"/>
  <c r="AW17" i="78"/>
  <c r="AX17" i="78" s="1"/>
  <c r="AY17" i="78"/>
  <c r="AZ17" i="78" s="1"/>
  <c r="AS18" i="78"/>
  <c r="AT18" i="78" s="1"/>
  <c r="AU18" i="78"/>
  <c r="AV18" i="78" s="1"/>
  <c r="AW18" i="78"/>
  <c r="AX18" i="78" s="1"/>
  <c r="AY18" i="78"/>
  <c r="AZ18" i="78" s="1"/>
  <c r="AS19" i="78"/>
  <c r="AT19" i="78" s="1"/>
  <c r="AU19" i="78"/>
  <c r="AV19" i="78" s="1"/>
  <c r="AW19" i="78"/>
  <c r="AX19" i="78" s="1"/>
  <c r="AY19" i="78"/>
  <c r="AZ19" i="78" s="1"/>
  <c r="AS20" i="78"/>
  <c r="AT20" i="78" s="1"/>
  <c r="AU20" i="78"/>
  <c r="AV20" i="78" s="1"/>
  <c r="AW20" i="78"/>
  <c r="AX20" i="78" s="1"/>
  <c r="AY20" i="78"/>
  <c r="AZ20" i="78" s="1"/>
  <c r="AS21" i="78"/>
  <c r="AT21" i="78" s="1"/>
  <c r="AU21" i="78"/>
  <c r="AV21" i="78" s="1"/>
  <c r="AW21" i="78"/>
  <c r="AX21" i="78" s="1"/>
  <c r="AY21" i="78"/>
  <c r="AZ21" i="78" s="1"/>
  <c r="AS22" i="78"/>
  <c r="AT22" i="78" s="1"/>
  <c r="AU22" i="78"/>
  <c r="AV22" i="78" s="1"/>
  <c r="AW22" i="78"/>
  <c r="AX22" i="78" s="1"/>
  <c r="AY22" i="78"/>
  <c r="AZ22" i="78" s="1"/>
  <c r="AS23" i="78"/>
  <c r="AT23" i="78" s="1"/>
  <c r="AU23" i="78"/>
  <c r="AV23" i="78" s="1"/>
  <c r="AW23" i="78"/>
  <c r="AX23" i="78" s="1"/>
  <c r="AY23" i="78"/>
  <c r="AZ23" i="78" s="1"/>
  <c r="AS24" i="78"/>
  <c r="AT24" i="78" s="1"/>
  <c r="AU24" i="78"/>
  <c r="AV24" i="78" s="1"/>
  <c r="AW24" i="78"/>
  <c r="AX24" i="78" s="1"/>
  <c r="AY24" i="78"/>
  <c r="AZ24" i="78" s="1"/>
  <c r="AS25" i="78"/>
  <c r="AT25" i="78" s="1"/>
  <c r="AU25" i="78"/>
  <c r="AV25" i="78" s="1"/>
  <c r="AW25" i="78"/>
  <c r="AX25" i="78" s="1"/>
  <c r="AY25" i="78"/>
  <c r="AZ25" i="78" s="1"/>
  <c r="AS26" i="78"/>
  <c r="AT26" i="78" s="1"/>
  <c r="AU26" i="78"/>
  <c r="AV26" i="78" s="1"/>
  <c r="AW26" i="78"/>
  <c r="AX26" i="78" s="1"/>
  <c r="AY26" i="78"/>
  <c r="AZ26" i="78" s="1"/>
  <c r="AS27" i="78"/>
  <c r="AT27" i="78" s="1"/>
  <c r="AU27" i="78"/>
  <c r="AV27" i="78" s="1"/>
  <c r="AW27" i="78"/>
  <c r="AX27" i="78" s="1"/>
  <c r="AY27" i="78"/>
  <c r="AZ27" i="78" s="1"/>
  <c r="AS28" i="78"/>
  <c r="AT28" i="78" s="1"/>
  <c r="AU28" i="78"/>
  <c r="AV28" i="78" s="1"/>
  <c r="AW28" i="78"/>
  <c r="AX28" i="78" s="1"/>
  <c r="AY28" i="78"/>
  <c r="AZ28" i="78" s="1"/>
  <c r="AS29" i="78"/>
  <c r="AT29" i="78" s="1"/>
  <c r="AU29" i="78"/>
  <c r="AV29" i="78" s="1"/>
  <c r="AW29" i="78"/>
  <c r="AX29" i="78" s="1"/>
  <c r="AY29" i="78"/>
  <c r="AZ29" i="78" s="1"/>
  <c r="AS30" i="78"/>
  <c r="AT30" i="78" s="1"/>
  <c r="AU30" i="78"/>
  <c r="AV30" i="78" s="1"/>
  <c r="AW30" i="78"/>
  <c r="AX30" i="78" s="1"/>
  <c r="AY30" i="78"/>
  <c r="AZ30" i="78" s="1"/>
  <c r="AS31" i="78"/>
  <c r="AT31" i="78" s="1"/>
  <c r="AU31" i="78"/>
  <c r="AV31" i="78" s="1"/>
  <c r="AW31" i="78"/>
  <c r="AX31" i="78" s="1"/>
  <c r="AY31" i="78"/>
  <c r="AZ31" i="78" s="1"/>
  <c r="AS32" i="78"/>
  <c r="AT32" i="78" s="1"/>
  <c r="AU32" i="78"/>
  <c r="AV32" i="78" s="1"/>
  <c r="AW32" i="78"/>
  <c r="AX32" i="78" s="1"/>
  <c r="AY32" i="78"/>
  <c r="AZ32" i="78" s="1"/>
  <c r="AS33" i="78"/>
  <c r="AT33" i="78" s="1"/>
  <c r="AU33" i="78"/>
  <c r="AV33" i="78" s="1"/>
  <c r="AW33" i="78"/>
  <c r="AX33" i="78" s="1"/>
  <c r="AY33" i="78"/>
  <c r="AZ33" i="78" s="1"/>
  <c r="AS34" i="78"/>
  <c r="AT34" i="78" s="1"/>
  <c r="AU34" i="78"/>
  <c r="AV34" i="78" s="1"/>
  <c r="AW34" i="78"/>
  <c r="AX34" i="78" s="1"/>
  <c r="AY34" i="78"/>
  <c r="AZ34" i="78" s="1"/>
  <c r="AS35" i="78"/>
  <c r="AT35" i="78" s="1"/>
  <c r="AU35" i="78"/>
  <c r="AV35" i="78" s="1"/>
  <c r="AW35" i="78"/>
  <c r="AX35" i="78" s="1"/>
  <c r="AY35" i="78"/>
  <c r="AZ35" i="78" s="1"/>
  <c r="AS36" i="78"/>
  <c r="AT36" i="78" s="1"/>
  <c r="AU36" i="78"/>
  <c r="AV36" i="78" s="1"/>
  <c r="AW36" i="78"/>
  <c r="AX36" i="78" s="1"/>
  <c r="AY36" i="78"/>
  <c r="AZ36" i="78" s="1"/>
  <c r="AS37" i="78"/>
  <c r="AT37" i="78" s="1"/>
  <c r="AU37" i="78"/>
  <c r="AV37" i="78" s="1"/>
  <c r="AW37" i="78"/>
  <c r="AX37" i="78" s="1"/>
  <c r="AY37" i="78"/>
  <c r="AZ37" i="78" s="1"/>
  <c r="AS38" i="78"/>
  <c r="AT38" i="78" s="1"/>
  <c r="AU38" i="78"/>
  <c r="AV38" i="78" s="1"/>
  <c r="AW38" i="78"/>
  <c r="AX38" i="78" s="1"/>
  <c r="AY38" i="78"/>
  <c r="AZ38" i="78" s="1"/>
  <c r="AS39" i="78"/>
  <c r="AT39" i="78" s="1"/>
  <c r="AU39" i="78"/>
  <c r="AV39" i="78" s="1"/>
  <c r="AW39" i="78"/>
  <c r="AX39" i="78" s="1"/>
  <c r="AY39" i="78"/>
  <c r="AZ39" i="78" s="1"/>
  <c r="AS40" i="78"/>
  <c r="AT40" i="78" s="1"/>
  <c r="AU40" i="78"/>
  <c r="AV40" i="78" s="1"/>
  <c r="AW40" i="78"/>
  <c r="AX40" i="78" s="1"/>
  <c r="AY40" i="78"/>
  <c r="AZ40" i="78" s="1"/>
  <c r="AS41" i="78"/>
  <c r="AT41" i="78" s="1"/>
  <c r="AU41" i="78"/>
  <c r="AV41" i="78" s="1"/>
  <c r="AW41" i="78"/>
  <c r="AX41" i="78" s="1"/>
  <c r="AY41" i="78"/>
  <c r="AZ41" i="78" s="1"/>
  <c r="AS42" i="78"/>
  <c r="AT42" i="78" s="1"/>
  <c r="AU42" i="78"/>
  <c r="AV42" i="78" s="1"/>
  <c r="AW42" i="78"/>
  <c r="AX42" i="78" s="1"/>
  <c r="AY42" i="78"/>
  <c r="AZ42" i="78" s="1"/>
  <c r="AS43" i="78"/>
  <c r="AT43" i="78" s="1"/>
  <c r="AU43" i="78"/>
  <c r="AV43" i="78" s="1"/>
  <c r="AW43" i="78"/>
  <c r="AX43" i="78" s="1"/>
  <c r="AY43" i="78"/>
  <c r="AZ43" i="78" s="1"/>
  <c r="AS44" i="78"/>
  <c r="AT44" i="78" s="1"/>
  <c r="AU44" i="78"/>
  <c r="AV44" i="78" s="1"/>
  <c r="AW44" i="78"/>
  <c r="AX44" i="78" s="1"/>
  <c r="AY44" i="78"/>
  <c r="AZ44" i="78" s="1"/>
  <c r="AS45" i="78"/>
  <c r="AT45" i="78" s="1"/>
  <c r="AU45" i="78"/>
  <c r="AV45" i="78" s="1"/>
  <c r="AW45" i="78"/>
  <c r="AX45" i="78" s="1"/>
  <c r="AY45" i="78"/>
  <c r="AZ45" i="78" s="1"/>
  <c r="AS46" i="78"/>
  <c r="AT46" i="78" s="1"/>
  <c r="AU46" i="78"/>
  <c r="AV46" i="78" s="1"/>
  <c r="AW46" i="78"/>
  <c r="AX46" i="78" s="1"/>
  <c r="AY46" i="78"/>
  <c r="AZ46" i="78" s="1"/>
  <c r="AS47" i="78"/>
  <c r="AT47" i="78" s="1"/>
  <c r="AU47" i="78"/>
  <c r="AV47" i="78" s="1"/>
  <c r="AW47" i="78"/>
  <c r="AX47" i="78" s="1"/>
  <c r="AY47" i="78"/>
  <c r="AZ47" i="78" s="1"/>
  <c r="AS48" i="78"/>
  <c r="AT48" i="78" s="1"/>
  <c r="AU48" i="78"/>
  <c r="AV48" i="78" s="1"/>
  <c r="AW48" i="78"/>
  <c r="AX48" i="78" s="1"/>
  <c r="AY48" i="78"/>
  <c r="AZ48" i="78" s="1"/>
  <c r="AS49" i="78"/>
  <c r="AT49" i="78" s="1"/>
  <c r="AU49" i="78"/>
  <c r="AV49" i="78" s="1"/>
  <c r="AW49" i="78"/>
  <c r="AX49" i="78" s="1"/>
  <c r="AY49" i="78"/>
  <c r="AZ49" i="78" s="1"/>
  <c r="AS50" i="78"/>
  <c r="AT50" i="78" s="1"/>
  <c r="AU50" i="78"/>
  <c r="AV50" i="78" s="1"/>
  <c r="AW50" i="78"/>
  <c r="AX50" i="78" s="1"/>
  <c r="AY50" i="78"/>
  <c r="AZ50" i="78" s="1"/>
  <c r="AS51" i="78"/>
  <c r="AT51" i="78" s="1"/>
  <c r="AU51" i="78"/>
  <c r="AV51" i="78" s="1"/>
  <c r="AW51" i="78"/>
  <c r="AX51" i="78" s="1"/>
  <c r="AY51" i="78"/>
  <c r="AZ51" i="78" s="1"/>
  <c r="AS52" i="78"/>
  <c r="AT52" i="78" s="1"/>
  <c r="AU52" i="78"/>
  <c r="AV52" i="78" s="1"/>
  <c r="AW52" i="78"/>
  <c r="AX52" i="78" s="1"/>
  <c r="AY52" i="78"/>
  <c r="AZ52" i="78" s="1"/>
  <c r="AS53" i="78"/>
  <c r="AT53" i="78" s="1"/>
  <c r="AU53" i="78"/>
  <c r="AV53" i="78" s="1"/>
  <c r="AW53" i="78"/>
  <c r="AX53" i="78" s="1"/>
  <c r="AY53" i="78"/>
  <c r="AZ53" i="78" s="1"/>
  <c r="AS54" i="78"/>
  <c r="AT54" i="78" s="1"/>
  <c r="AU54" i="78"/>
  <c r="AV54" i="78" s="1"/>
  <c r="AW54" i="78"/>
  <c r="AX54" i="78" s="1"/>
  <c r="AY54" i="78"/>
  <c r="AZ54" i="78" s="1"/>
  <c r="AS55" i="78"/>
  <c r="AT55" i="78" s="1"/>
  <c r="AU55" i="78"/>
  <c r="AV55" i="78" s="1"/>
  <c r="AW55" i="78"/>
  <c r="AX55" i="78" s="1"/>
  <c r="AY55" i="78"/>
  <c r="AZ55" i="78" s="1"/>
  <c r="AS56" i="78"/>
  <c r="AT56" i="78" s="1"/>
  <c r="AU56" i="78"/>
  <c r="AV56" i="78" s="1"/>
  <c r="AW56" i="78"/>
  <c r="AX56" i="78" s="1"/>
  <c r="AY56" i="78"/>
  <c r="AZ56" i="78" s="1"/>
  <c r="AS57" i="78"/>
  <c r="AT57" i="78" s="1"/>
  <c r="AU57" i="78"/>
  <c r="AV57" i="78" s="1"/>
  <c r="AW57" i="78"/>
  <c r="AX57" i="78" s="1"/>
  <c r="AY57" i="78"/>
  <c r="AZ57" i="78" s="1"/>
  <c r="AS58" i="78"/>
  <c r="AT58" i="78" s="1"/>
  <c r="AU58" i="78"/>
  <c r="AV58" i="78" s="1"/>
  <c r="AW58" i="78"/>
  <c r="AX58" i="78" s="1"/>
  <c r="AY58" i="78"/>
  <c r="AZ58" i="78" s="1"/>
  <c r="AS59" i="78"/>
  <c r="AT59" i="78" s="1"/>
  <c r="AU59" i="78"/>
  <c r="AV59" i="78" s="1"/>
  <c r="AW59" i="78"/>
  <c r="AX59" i="78" s="1"/>
  <c r="AY59" i="78"/>
  <c r="AZ59" i="78" s="1"/>
  <c r="AS60" i="78"/>
  <c r="AT60" i="78" s="1"/>
  <c r="AU60" i="78"/>
  <c r="AV60" i="78" s="1"/>
  <c r="AW60" i="78"/>
  <c r="AX60" i="78" s="1"/>
  <c r="AY60" i="78"/>
  <c r="AZ60" i="78" s="1"/>
  <c r="AS61" i="78"/>
  <c r="AT61" i="78" s="1"/>
  <c r="AU61" i="78"/>
  <c r="AV61" i="78" s="1"/>
  <c r="AW61" i="78"/>
  <c r="AX61" i="78" s="1"/>
  <c r="AY61" i="78"/>
  <c r="AZ61" i="78" s="1"/>
  <c r="AS62" i="78"/>
  <c r="AT62" i="78" s="1"/>
  <c r="AU62" i="78"/>
  <c r="AV62" i="78" s="1"/>
  <c r="AW62" i="78"/>
  <c r="AX62" i="78" s="1"/>
  <c r="AY62" i="78"/>
  <c r="AZ62" i="78" s="1"/>
  <c r="AS63" i="78"/>
  <c r="AT63" i="78" s="1"/>
  <c r="AU63" i="78"/>
  <c r="AV63" i="78" s="1"/>
  <c r="AW63" i="78"/>
  <c r="AX63" i="78" s="1"/>
  <c r="AY63" i="78"/>
  <c r="AZ63" i="78" s="1"/>
  <c r="AS64" i="78"/>
  <c r="AT64" i="78" s="1"/>
  <c r="AU64" i="78"/>
  <c r="AV64" i="78" s="1"/>
  <c r="AW64" i="78"/>
  <c r="AX64" i="78" s="1"/>
  <c r="AY64" i="78"/>
  <c r="AZ64" i="78" s="1"/>
  <c r="AS65" i="78"/>
  <c r="AT65" i="78" s="1"/>
  <c r="AU65" i="78"/>
  <c r="AV65" i="78" s="1"/>
  <c r="AW65" i="78"/>
  <c r="AX65" i="78" s="1"/>
  <c r="AY65" i="78"/>
  <c r="AZ65" i="78" s="1"/>
  <c r="AS66" i="78"/>
  <c r="AT66" i="78" s="1"/>
  <c r="AU66" i="78"/>
  <c r="AV66" i="78" s="1"/>
  <c r="AW66" i="78"/>
  <c r="AX66" i="78" s="1"/>
  <c r="AY66" i="78"/>
  <c r="AZ66" i="78" s="1"/>
  <c r="AS67" i="78"/>
  <c r="AT67" i="78" s="1"/>
  <c r="AU67" i="78"/>
  <c r="AV67" i="78" s="1"/>
  <c r="AW67" i="78"/>
  <c r="AX67" i="78" s="1"/>
  <c r="AY67" i="78"/>
  <c r="AZ67" i="78" s="1"/>
  <c r="AS68" i="78"/>
  <c r="AT68" i="78" s="1"/>
  <c r="AU68" i="78"/>
  <c r="AV68" i="78" s="1"/>
  <c r="AW68" i="78"/>
  <c r="AX68" i="78" s="1"/>
  <c r="AY68" i="78"/>
  <c r="AZ68" i="78" s="1"/>
  <c r="AS69" i="78"/>
  <c r="AT69" i="78" s="1"/>
  <c r="AU69" i="78"/>
  <c r="AV69" i="78" s="1"/>
  <c r="AW69" i="78"/>
  <c r="AX69" i="78" s="1"/>
  <c r="AY69" i="78"/>
  <c r="AZ69" i="78" s="1"/>
  <c r="AS70" i="78"/>
  <c r="AT70" i="78" s="1"/>
  <c r="AU70" i="78"/>
  <c r="AV70" i="78" s="1"/>
  <c r="AW70" i="78"/>
  <c r="AX70" i="78" s="1"/>
  <c r="AY70" i="78"/>
  <c r="AZ70" i="78" s="1"/>
  <c r="AS71" i="78"/>
  <c r="AT71" i="78" s="1"/>
  <c r="AU71" i="78"/>
  <c r="AV71" i="78" s="1"/>
  <c r="AW71" i="78"/>
  <c r="AX71" i="78" s="1"/>
  <c r="AY71" i="78"/>
  <c r="AZ71" i="78" s="1"/>
  <c r="AS72" i="78"/>
  <c r="AT72" i="78" s="1"/>
  <c r="AU72" i="78"/>
  <c r="AV72" i="78" s="1"/>
  <c r="AW72" i="78"/>
  <c r="AX72" i="78" s="1"/>
  <c r="AY72" i="78"/>
  <c r="AZ72" i="78" s="1"/>
  <c r="AS73" i="78"/>
  <c r="AT73" i="78" s="1"/>
  <c r="AU73" i="78"/>
  <c r="AV73" i="78" s="1"/>
  <c r="AW73" i="78"/>
  <c r="AX73" i="78" s="1"/>
  <c r="AY73" i="78"/>
  <c r="AZ73" i="78" s="1"/>
  <c r="AS74" i="78"/>
  <c r="AT74" i="78" s="1"/>
  <c r="AU74" i="78"/>
  <c r="AV74" i="78" s="1"/>
  <c r="AW74" i="78"/>
  <c r="AX74" i="78" s="1"/>
  <c r="AY74" i="78"/>
  <c r="AZ74" i="78" s="1"/>
  <c r="AS75" i="78"/>
  <c r="AT75" i="78" s="1"/>
  <c r="AU75" i="78"/>
  <c r="AV75" i="78" s="1"/>
  <c r="AW75" i="78"/>
  <c r="AX75" i="78" s="1"/>
  <c r="AY75" i="78"/>
  <c r="AZ75" i="78" s="1"/>
  <c r="AS76" i="78"/>
  <c r="AT76" i="78" s="1"/>
  <c r="AU76" i="78"/>
  <c r="AV76" i="78" s="1"/>
  <c r="AW76" i="78"/>
  <c r="AX76" i="78" s="1"/>
  <c r="AY76" i="78"/>
  <c r="AZ76" i="78" s="1"/>
  <c r="AS77" i="78"/>
  <c r="AT77" i="78" s="1"/>
  <c r="AU77" i="78"/>
  <c r="AV77" i="78" s="1"/>
  <c r="AW77" i="78"/>
  <c r="AX77" i="78" s="1"/>
  <c r="AY77" i="78"/>
  <c r="AZ77" i="78" s="1"/>
  <c r="AS78" i="78"/>
  <c r="AT78" i="78" s="1"/>
  <c r="AU78" i="78"/>
  <c r="AV78" i="78" s="1"/>
  <c r="AW78" i="78"/>
  <c r="AX78" i="78" s="1"/>
  <c r="AY78" i="78"/>
  <c r="AZ78" i="78" s="1"/>
  <c r="AS79" i="78"/>
  <c r="AT79" i="78" s="1"/>
  <c r="AU79" i="78"/>
  <c r="AV79" i="78" s="1"/>
  <c r="AW79" i="78"/>
  <c r="AX79" i="78" s="1"/>
  <c r="AY79" i="78"/>
  <c r="AZ79" i="78" s="1"/>
  <c r="AS80" i="78"/>
  <c r="AT80" i="78" s="1"/>
  <c r="AU80" i="78"/>
  <c r="AV80" i="78" s="1"/>
  <c r="AW80" i="78"/>
  <c r="AX80" i="78" s="1"/>
  <c r="AY80" i="78"/>
  <c r="AZ80" i="78" s="1"/>
  <c r="AS81" i="78"/>
  <c r="AT81" i="78" s="1"/>
  <c r="AU81" i="78"/>
  <c r="AV81" i="78" s="1"/>
  <c r="AW81" i="78"/>
  <c r="AX81" i="78" s="1"/>
  <c r="AY81" i="78"/>
  <c r="AZ81" i="78" s="1"/>
  <c r="AS82" i="78"/>
  <c r="AT82" i="78" s="1"/>
  <c r="AU82" i="78"/>
  <c r="AV82" i="78" s="1"/>
  <c r="AW82" i="78"/>
  <c r="AX82" i="78" s="1"/>
  <c r="AY82" i="78"/>
  <c r="AZ82" i="78" s="1"/>
  <c r="AS83" i="78"/>
  <c r="AT83" i="78" s="1"/>
  <c r="AU83" i="78"/>
  <c r="AV83" i="78" s="1"/>
  <c r="AW83" i="78"/>
  <c r="AX83" i="78" s="1"/>
  <c r="AY83" i="78"/>
  <c r="AZ83" i="78" s="1"/>
  <c r="AS84" i="78"/>
  <c r="AT84" i="78" s="1"/>
  <c r="AU84" i="78"/>
  <c r="AV84" i="78" s="1"/>
  <c r="AW84" i="78"/>
  <c r="AX84" i="78" s="1"/>
  <c r="AY84" i="78"/>
  <c r="AZ84" i="78" s="1"/>
  <c r="AS85" i="78"/>
  <c r="AT85" i="78" s="1"/>
  <c r="AU85" i="78"/>
  <c r="AV85" i="78" s="1"/>
  <c r="AW85" i="78"/>
  <c r="AX85" i="78" s="1"/>
  <c r="AY85" i="78"/>
  <c r="AZ85" i="78" s="1"/>
  <c r="AS86" i="78"/>
  <c r="AT86" i="78" s="1"/>
  <c r="AU86" i="78"/>
  <c r="AV86" i="78" s="1"/>
  <c r="AW86" i="78"/>
  <c r="AX86" i="78" s="1"/>
  <c r="AY86" i="78"/>
  <c r="AZ86" i="78" s="1"/>
  <c r="AS87" i="78"/>
  <c r="AT87" i="78" s="1"/>
  <c r="AU87" i="78"/>
  <c r="AV87" i="78" s="1"/>
  <c r="AW87" i="78"/>
  <c r="AX87" i="78" s="1"/>
  <c r="AY87" i="78"/>
  <c r="AZ87" i="78" s="1"/>
  <c r="AS88" i="78"/>
  <c r="AT88" i="78" s="1"/>
  <c r="AU88" i="78"/>
  <c r="AV88" i="78" s="1"/>
  <c r="AW88" i="78"/>
  <c r="AX88" i="78" s="1"/>
  <c r="AY88" i="78"/>
  <c r="AZ88" i="78" s="1"/>
  <c r="AS89" i="78"/>
  <c r="AT89" i="78" s="1"/>
  <c r="AU89" i="78"/>
  <c r="AV89" i="78" s="1"/>
  <c r="AW89" i="78"/>
  <c r="AX89" i="78" s="1"/>
  <c r="AY89" i="78"/>
  <c r="AZ89" i="78" s="1"/>
  <c r="AS90" i="78"/>
  <c r="AT90" i="78" s="1"/>
  <c r="AU90" i="78"/>
  <c r="AV90" i="78" s="1"/>
  <c r="AW90" i="78"/>
  <c r="AX90" i="78" s="1"/>
  <c r="AY90" i="78"/>
  <c r="AZ90" i="78" s="1"/>
  <c r="AS91" i="78"/>
  <c r="AT91" i="78" s="1"/>
  <c r="AU91" i="78"/>
  <c r="AV91" i="78" s="1"/>
  <c r="AW91" i="78"/>
  <c r="AX91" i="78" s="1"/>
  <c r="AY91" i="78"/>
  <c r="AZ91" i="78" s="1"/>
  <c r="AS92" i="78"/>
  <c r="AT92" i="78" s="1"/>
  <c r="AU92" i="78"/>
  <c r="AV92" i="78" s="1"/>
  <c r="AW92" i="78"/>
  <c r="AX92" i="78" s="1"/>
  <c r="AY92" i="78"/>
  <c r="AZ92" i="78" s="1"/>
  <c r="AS93" i="78"/>
  <c r="AT93" i="78" s="1"/>
  <c r="AU93" i="78"/>
  <c r="AV93" i="78" s="1"/>
  <c r="AW93" i="78"/>
  <c r="AX93" i="78" s="1"/>
  <c r="AY93" i="78"/>
  <c r="AZ93" i="78" s="1"/>
  <c r="AS94" i="78"/>
  <c r="AT94" i="78" s="1"/>
  <c r="AU94" i="78"/>
  <c r="AV94" i="78" s="1"/>
  <c r="AW94" i="78"/>
  <c r="AX94" i="78" s="1"/>
  <c r="AY94" i="78"/>
  <c r="AZ94" i="78" s="1"/>
  <c r="AS95" i="78"/>
  <c r="AT95" i="78" s="1"/>
  <c r="AU95" i="78"/>
  <c r="AV95" i="78" s="1"/>
  <c r="AW95" i="78"/>
  <c r="AX95" i="78" s="1"/>
  <c r="AY95" i="78"/>
  <c r="AZ95" i="78" s="1"/>
  <c r="AS96" i="78"/>
  <c r="AT96" i="78" s="1"/>
  <c r="AU96" i="78"/>
  <c r="AV96" i="78" s="1"/>
  <c r="AW96" i="78"/>
  <c r="AX96" i="78" s="1"/>
  <c r="AY96" i="78"/>
  <c r="AZ96" i="78" s="1"/>
  <c r="AS97" i="78"/>
  <c r="AT97" i="78" s="1"/>
  <c r="AU97" i="78"/>
  <c r="AV97" i="78" s="1"/>
  <c r="AW97" i="78"/>
  <c r="AX97" i="78" s="1"/>
  <c r="AY97" i="78"/>
  <c r="AZ97" i="78" s="1"/>
  <c r="AS98" i="78"/>
  <c r="AT98" i="78" s="1"/>
  <c r="AU98" i="78"/>
  <c r="AV98" i="78" s="1"/>
  <c r="AW98" i="78"/>
  <c r="AX98" i="78" s="1"/>
  <c r="AY98" i="78"/>
  <c r="AZ98" i="78" s="1"/>
  <c r="AS99" i="78"/>
  <c r="AT99" i="78" s="1"/>
  <c r="AU99" i="78"/>
  <c r="AV99" i="78" s="1"/>
  <c r="AW99" i="78"/>
  <c r="AX99" i="78" s="1"/>
  <c r="AY99" i="78"/>
  <c r="AZ99" i="78" s="1"/>
  <c r="AS100" i="78"/>
  <c r="AT100" i="78" s="1"/>
  <c r="AU100" i="78"/>
  <c r="AV100" i="78" s="1"/>
  <c r="AW100" i="78"/>
  <c r="AX100" i="78" s="1"/>
  <c r="AY100" i="78"/>
  <c r="AZ100" i="78" s="1"/>
  <c r="AS101" i="78"/>
  <c r="AT101" i="78" s="1"/>
  <c r="AU101" i="78"/>
  <c r="AV101" i="78" s="1"/>
  <c r="AW101" i="78"/>
  <c r="AX101" i="78" s="1"/>
  <c r="AY101" i="78"/>
  <c r="AZ101" i="78" s="1"/>
  <c r="AS102" i="78"/>
  <c r="AT102" i="78" s="1"/>
  <c r="AU102" i="78"/>
  <c r="AV102" i="78" s="1"/>
  <c r="AW102" i="78"/>
  <c r="AX102" i="78" s="1"/>
  <c r="AY102" i="78"/>
  <c r="AZ102" i="78" s="1"/>
  <c r="AS103" i="78"/>
  <c r="AT103" i="78" s="1"/>
  <c r="AU103" i="78"/>
  <c r="AV103" i="78" s="1"/>
  <c r="AW103" i="78"/>
  <c r="AX103" i="78" s="1"/>
  <c r="AY103" i="78"/>
  <c r="AZ103" i="78" s="1"/>
  <c r="AS104" i="78"/>
  <c r="AT104" i="78" s="1"/>
  <c r="AU104" i="78"/>
  <c r="AV104" i="78" s="1"/>
  <c r="AW104" i="78"/>
  <c r="AX104" i="78" s="1"/>
  <c r="AY104" i="78"/>
  <c r="AZ104" i="78" s="1"/>
  <c r="AS105" i="78"/>
  <c r="AT105" i="78" s="1"/>
  <c r="AU105" i="78"/>
  <c r="AV105" i="78" s="1"/>
  <c r="AW105" i="78"/>
  <c r="AX105" i="78" s="1"/>
  <c r="AY105" i="78"/>
  <c r="AZ105" i="78" s="1"/>
  <c r="AS106" i="78"/>
  <c r="AT106" i="78" s="1"/>
  <c r="AU106" i="78"/>
  <c r="AV106" i="78" s="1"/>
  <c r="AW106" i="78"/>
  <c r="AX106" i="78" s="1"/>
  <c r="AY106" i="78"/>
  <c r="AZ106" i="78" s="1"/>
  <c r="AS107" i="78"/>
  <c r="AT107" i="78" s="1"/>
  <c r="AU107" i="78"/>
  <c r="AV107" i="78" s="1"/>
  <c r="AW107" i="78"/>
  <c r="AX107" i="78" s="1"/>
  <c r="AY107" i="78"/>
  <c r="AZ107" i="78" s="1"/>
  <c r="AS108" i="78"/>
  <c r="AT108" i="78" s="1"/>
  <c r="AU108" i="78"/>
  <c r="AV108" i="78" s="1"/>
  <c r="AW108" i="78"/>
  <c r="AX108" i="78" s="1"/>
  <c r="AY108" i="78"/>
  <c r="AZ108" i="78" s="1"/>
  <c r="AS109" i="78"/>
  <c r="AT109" i="78" s="1"/>
  <c r="AU109" i="78"/>
  <c r="AV109" i="78" s="1"/>
  <c r="AW109" i="78"/>
  <c r="AX109" i="78" s="1"/>
  <c r="AY109" i="78"/>
  <c r="AZ109" i="78" s="1"/>
  <c r="AS110" i="78"/>
  <c r="AT110" i="78" s="1"/>
  <c r="AU110" i="78"/>
  <c r="AV110" i="78" s="1"/>
  <c r="AW110" i="78"/>
  <c r="AX110" i="78" s="1"/>
  <c r="AY110" i="78"/>
  <c r="AZ110" i="78" s="1"/>
  <c r="AS111" i="78"/>
  <c r="AT111" i="78" s="1"/>
  <c r="AU111" i="78"/>
  <c r="AV111" i="78" s="1"/>
  <c r="AW111" i="78"/>
  <c r="AX111" i="78" s="1"/>
  <c r="AY111" i="78"/>
  <c r="AZ111" i="78" s="1"/>
  <c r="AS112" i="78"/>
  <c r="AT112" i="78" s="1"/>
  <c r="AU112" i="78"/>
  <c r="AV112" i="78" s="1"/>
  <c r="AW112" i="78"/>
  <c r="AX112" i="78" s="1"/>
  <c r="AY112" i="78"/>
  <c r="AZ112" i="78" s="1"/>
  <c r="AS113" i="78"/>
  <c r="AT113" i="78" s="1"/>
  <c r="AU113" i="78"/>
  <c r="AV113" i="78" s="1"/>
  <c r="AW113" i="78"/>
  <c r="AX113" i="78" s="1"/>
  <c r="AY113" i="78"/>
  <c r="AZ113" i="78" s="1"/>
  <c r="AS114" i="78"/>
  <c r="AT114" i="78" s="1"/>
  <c r="AU114" i="78"/>
  <c r="AV114" i="78" s="1"/>
  <c r="AW114" i="78"/>
  <c r="AX114" i="78" s="1"/>
  <c r="AY114" i="78"/>
  <c r="AZ114" i="78" s="1"/>
  <c r="AS115" i="78"/>
  <c r="AT115" i="78" s="1"/>
  <c r="AU115" i="78"/>
  <c r="AV115" i="78" s="1"/>
  <c r="AW115" i="78"/>
  <c r="AX115" i="78" s="1"/>
  <c r="AY115" i="78"/>
  <c r="AZ115" i="78" s="1"/>
  <c r="AS116" i="78"/>
  <c r="AT116" i="78" s="1"/>
  <c r="AU116" i="78"/>
  <c r="AV116" i="78" s="1"/>
  <c r="AW116" i="78"/>
  <c r="AX116" i="78" s="1"/>
  <c r="AY116" i="78"/>
  <c r="AZ116" i="78" s="1"/>
  <c r="AS117" i="78"/>
  <c r="AT117" i="78" s="1"/>
  <c r="AU117" i="78"/>
  <c r="AV117" i="78" s="1"/>
  <c r="AW117" i="78"/>
  <c r="AX117" i="78" s="1"/>
  <c r="AY117" i="78"/>
  <c r="AZ117" i="78" s="1"/>
  <c r="AS118" i="78"/>
  <c r="AT118" i="78" s="1"/>
  <c r="AU118" i="78"/>
  <c r="AV118" i="78" s="1"/>
  <c r="AW118" i="78"/>
  <c r="AX118" i="78" s="1"/>
  <c r="AY118" i="78"/>
  <c r="AZ118" i="78" s="1"/>
  <c r="AS119" i="78"/>
  <c r="AT119" i="78" s="1"/>
  <c r="AU119" i="78"/>
  <c r="AV119" i="78" s="1"/>
  <c r="AW119" i="78"/>
  <c r="AX119" i="78" s="1"/>
  <c r="AY119" i="78"/>
  <c r="AZ119" i="78" s="1"/>
  <c r="AS120" i="78"/>
  <c r="AT120" i="78" s="1"/>
  <c r="AU120" i="78"/>
  <c r="AV120" i="78" s="1"/>
  <c r="AW120" i="78"/>
  <c r="AX120" i="78" s="1"/>
  <c r="AY120" i="78"/>
  <c r="AZ120" i="78" s="1"/>
  <c r="AS121" i="78"/>
  <c r="AT121" i="78" s="1"/>
  <c r="AU121" i="78"/>
  <c r="AV121" i="78" s="1"/>
  <c r="AW121" i="78"/>
  <c r="AX121" i="78" s="1"/>
  <c r="AY121" i="78"/>
  <c r="AZ121" i="78" s="1"/>
  <c r="AS122" i="78"/>
  <c r="AT122" i="78" s="1"/>
  <c r="AU122" i="78"/>
  <c r="AV122" i="78" s="1"/>
  <c r="AW122" i="78"/>
  <c r="AX122" i="78" s="1"/>
  <c r="AY122" i="78"/>
  <c r="AZ122" i="78" s="1"/>
  <c r="AS123" i="78"/>
  <c r="AT123" i="78" s="1"/>
  <c r="AU123" i="78"/>
  <c r="AV123" i="78" s="1"/>
  <c r="AW123" i="78"/>
  <c r="AX123" i="78" s="1"/>
  <c r="AY123" i="78"/>
  <c r="AZ123" i="78" s="1"/>
  <c r="AS124" i="78"/>
  <c r="AT124" i="78" s="1"/>
  <c r="AU124" i="78"/>
  <c r="AV124" i="78" s="1"/>
  <c r="AW124" i="78"/>
  <c r="AX124" i="78" s="1"/>
  <c r="AY124" i="78"/>
  <c r="AZ124" i="78" s="1"/>
  <c r="AS125" i="78"/>
  <c r="AT125" i="78" s="1"/>
  <c r="AU125" i="78"/>
  <c r="AV125" i="78" s="1"/>
  <c r="AW125" i="78"/>
  <c r="AX125" i="78" s="1"/>
  <c r="AY125" i="78"/>
  <c r="AZ125" i="78" s="1"/>
  <c r="AS126" i="78"/>
  <c r="AT126" i="78" s="1"/>
  <c r="AU126" i="78"/>
  <c r="AV126" i="78" s="1"/>
  <c r="AW126" i="78"/>
  <c r="AX126" i="78" s="1"/>
  <c r="AY126" i="78"/>
  <c r="AZ126" i="78" s="1"/>
  <c r="AS127" i="78"/>
  <c r="AT127" i="78" s="1"/>
  <c r="AU127" i="78"/>
  <c r="AV127" i="78" s="1"/>
  <c r="AW127" i="78"/>
  <c r="AX127" i="78" s="1"/>
  <c r="AY127" i="78"/>
  <c r="AZ127" i="78" s="1"/>
  <c r="AS128" i="78"/>
  <c r="AT128" i="78" s="1"/>
  <c r="AU128" i="78"/>
  <c r="AV128" i="78" s="1"/>
  <c r="AW128" i="78"/>
  <c r="AX128" i="78" s="1"/>
  <c r="AY128" i="78"/>
  <c r="AZ128" i="78" s="1"/>
  <c r="AS129" i="78"/>
  <c r="AT129" i="78" s="1"/>
  <c r="AU129" i="78"/>
  <c r="AV129" i="78" s="1"/>
  <c r="AW129" i="78"/>
  <c r="AX129" i="78" s="1"/>
  <c r="AY129" i="78"/>
  <c r="AZ129" i="78" s="1"/>
  <c r="AS130" i="78"/>
  <c r="AT130" i="78" s="1"/>
  <c r="AU130" i="78"/>
  <c r="AV130" i="78" s="1"/>
  <c r="AW130" i="78"/>
  <c r="AX130" i="78" s="1"/>
  <c r="AY130" i="78"/>
  <c r="AZ130" i="78" s="1"/>
  <c r="AS131" i="78"/>
  <c r="AT131" i="78" s="1"/>
  <c r="AU131" i="78"/>
  <c r="AV131" i="78" s="1"/>
  <c r="AW131" i="78"/>
  <c r="AX131" i="78" s="1"/>
  <c r="AY131" i="78"/>
  <c r="AZ131" i="78" s="1"/>
  <c r="AS132" i="78"/>
  <c r="AT132" i="78" s="1"/>
  <c r="AU132" i="78"/>
  <c r="AV132" i="78" s="1"/>
  <c r="AW132" i="78"/>
  <c r="AX132" i="78" s="1"/>
  <c r="AY132" i="78"/>
  <c r="AZ132" i="78" s="1"/>
  <c r="AS133" i="78"/>
  <c r="AT133" i="78" s="1"/>
  <c r="AU133" i="78"/>
  <c r="AV133" i="78" s="1"/>
  <c r="AW133" i="78"/>
  <c r="AX133" i="78" s="1"/>
  <c r="AY133" i="78"/>
  <c r="AZ133" i="78" s="1"/>
  <c r="AS134" i="78"/>
  <c r="AT134" i="78" s="1"/>
  <c r="AU134" i="78"/>
  <c r="AV134" i="78" s="1"/>
  <c r="AW134" i="78"/>
  <c r="AX134" i="78" s="1"/>
  <c r="AY134" i="78"/>
  <c r="AZ134" i="78" s="1"/>
  <c r="AS135" i="78"/>
  <c r="AT135" i="78" s="1"/>
  <c r="AU135" i="78"/>
  <c r="AV135" i="78" s="1"/>
  <c r="AW135" i="78"/>
  <c r="AX135" i="78" s="1"/>
  <c r="AY135" i="78"/>
  <c r="AZ135" i="78" s="1"/>
  <c r="AS136" i="78"/>
  <c r="AT136" i="78" s="1"/>
  <c r="AU136" i="78"/>
  <c r="AV136" i="78" s="1"/>
  <c r="AW136" i="78"/>
  <c r="AX136" i="78" s="1"/>
  <c r="AY136" i="78"/>
  <c r="AZ136" i="78" s="1"/>
  <c r="AS137" i="78"/>
  <c r="AT137" i="78" s="1"/>
  <c r="AU137" i="78"/>
  <c r="AV137" i="78" s="1"/>
  <c r="AW137" i="78"/>
  <c r="AX137" i="78" s="1"/>
  <c r="AY137" i="78"/>
  <c r="AZ137" i="78" s="1"/>
  <c r="AS138" i="78"/>
  <c r="AT138" i="78" s="1"/>
  <c r="AU138" i="78"/>
  <c r="AV138" i="78" s="1"/>
  <c r="AW138" i="78"/>
  <c r="AX138" i="78" s="1"/>
  <c r="AY138" i="78"/>
  <c r="AZ138" i="78" s="1"/>
  <c r="AS139" i="78"/>
  <c r="AT139" i="78" s="1"/>
  <c r="AU139" i="78"/>
  <c r="AV139" i="78" s="1"/>
  <c r="AW139" i="78"/>
  <c r="AX139" i="78" s="1"/>
  <c r="AY139" i="78"/>
  <c r="AZ139" i="78" s="1"/>
  <c r="AS140" i="78"/>
  <c r="AT140" i="78" s="1"/>
  <c r="AU140" i="78"/>
  <c r="AV140" i="78" s="1"/>
  <c r="AW140" i="78"/>
  <c r="AX140" i="78" s="1"/>
  <c r="AY140" i="78"/>
  <c r="AZ140" i="78" s="1"/>
  <c r="AS141" i="78"/>
  <c r="AT141" i="78" s="1"/>
  <c r="AU141" i="78"/>
  <c r="AV141" i="78" s="1"/>
  <c r="AW141" i="78"/>
  <c r="AX141" i="78" s="1"/>
  <c r="AY141" i="78"/>
  <c r="AZ141" i="78" s="1"/>
  <c r="AS142" i="78"/>
  <c r="AT142" i="78" s="1"/>
  <c r="AU142" i="78"/>
  <c r="AV142" i="78" s="1"/>
  <c r="AW142" i="78"/>
  <c r="AX142" i="78" s="1"/>
  <c r="AY142" i="78"/>
  <c r="AZ142" i="78" s="1"/>
  <c r="AS143" i="78"/>
  <c r="AT143" i="78" s="1"/>
  <c r="AU143" i="78"/>
  <c r="AV143" i="78" s="1"/>
  <c r="AW143" i="78"/>
  <c r="AX143" i="78" s="1"/>
  <c r="AY143" i="78"/>
  <c r="AZ143" i="78" s="1"/>
  <c r="AS144" i="78"/>
  <c r="AT144" i="78" s="1"/>
  <c r="AU144" i="78"/>
  <c r="AV144" i="78" s="1"/>
  <c r="AW144" i="78"/>
  <c r="AX144" i="78" s="1"/>
  <c r="AY144" i="78"/>
  <c r="AZ144" i="78" s="1"/>
  <c r="AS145" i="78"/>
  <c r="AT145" i="78" s="1"/>
  <c r="AU145" i="78"/>
  <c r="AV145" i="78" s="1"/>
  <c r="AW145" i="78"/>
  <c r="AX145" i="78" s="1"/>
  <c r="AY145" i="78"/>
  <c r="AZ145" i="78" s="1"/>
  <c r="AS146" i="78"/>
  <c r="AT146" i="78" s="1"/>
  <c r="AU146" i="78"/>
  <c r="AV146" i="78" s="1"/>
  <c r="AW146" i="78"/>
  <c r="AX146" i="78" s="1"/>
  <c r="AY146" i="78"/>
  <c r="AZ146" i="78" s="1"/>
  <c r="AS147" i="78"/>
  <c r="AT147" i="78" s="1"/>
  <c r="AU147" i="78"/>
  <c r="AV147" i="78" s="1"/>
  <c r="AW147" i="78"/>
  <c r="AX147" i="78" s="1"/>
  <c r="AY147" i="78"/>
  <c r="AZ147" i="78" s="1"/>
  <c r="AS148" i="78"/>
  <c r="AT148" i="78" s="1"/>
  <c r="AU148" i="78"/>
  <c r="AV148" i="78" s="1"/>
  <c r="AW148" i="78"/>
  <c r="AX148" i="78" s="1"/>
  <c r="AY148" i="78"/>
  <c r="AZ148" i="78" s="1"/>
  <c r="AS149" i="78"/>
  <c r="AT149" i="78" s="1"/>
  <c r="AU149" i="78"/>
  <c r="AV149" i="78" s="1"/>
  <c r="AW149" i="78"/>
  <c r="AX149" i="78" s="1"/>
  <c r="AY149" i="78"/>
  <c r="AZ149" i="78" s="1"/>
  <c r="AS150" i="78"/>
  <c r="AT150" i="78" s="1"/>
  <c r="AU150" i="78"/>
  <c r="AV150" i="78" s="1"/>
  <c r="AW150" i="78"/>
  <c r="AX150" i="78" s="1"/>
  <c r="AY150" i="78"/>
  <c r="AZ150" i="78" s="1"/>
  <c r="AS151" i="78"/>
  <c r="AT151" i="78" s="1"/>
  <c r="AU151" i="78"/>
  <c r="AV151" i="78" s="1"/>
  <c r="AW151" i="78"/>
  <c r="AX151" i="78" s="1"/>
  <c r="AY151" i="78"/>
  <c r="AZ151" i="78" s="1"/>
  <c r="AS152" i="78"/>
  <c r="AT152" i="78" s="1"/>
  <c r="AU152" i="78"/>
  <c r="AV152" i="78" s="1"/>
  <c r="AW152" i="78"/>
  <c r="AX152" i="78" s="1"/>
  <c r="AY152" i="78"/>
  <c r="AZ152" i="78" s="1"/>
  <c r="AS153" i="78"/>
  <c r="AT153" i="78" s="1"/>
  <c r="AU153" i="78"/>
  <c r="AV153" i="78" s="1"/>
  <c r="AW153" i="78"/>
  <c r="AX153" i="78" s="1"/>
  <c r="AY153" i="78"/>
  <c r="AZ153" i="78" s="1"/>
  <c r="AS154" i="78"/>
  <c r="AT154" i="78" s="1"/>
  <c r="AU154" i="78"/>
  <c r="AV154" i="78" s="1"/>
  <c r="AW154" i="78"/>
  <c r="AX154" i="78" s="1"/>
  <c r="AY154" i="78"/>
  <c r="AZ154" i="78" s="1"/>
  <c r="AS155" i="78"/>
  <c r="AT155" i="78" s="1"/>
  <c r="AU155" i="78"/>
  <c r="AV155" i="78" s="1"/>
  <c r="AW155" i="78"/>
  <c r="AX155" i="78" s="1"/>
  <c r="AY155" i="78"/>
  <c r="AZ155" i="78" s="1"/>
  <c r="AS156" i="78"/>
  <c r="AT156" i="78" s="1"/>
  <c r="AU156" i="78"/>
  <c r="AV156" i="78" s="1"/>
  <c r="AW156" i="78"/>
  <c r="AX156" i="78" s="1"/>
  <c r="AY156" i="78"/>
  <c r="AZ156" i="78" s="1"/>
  <c r="AS157" i="78"/>
  <c r="AT157" i="78" s="1"/>
  <c r="AU157" i="78"/>
  <c r="AV157" i="78" s="1"/>
  <c r="AW157" i="78"/>
  <c r="AX157" i="78" s="1"/>
  <c r="AY157" i="78"/>
  <c r="AZ157" i="78" s="1"/>
  <c r="AS158" i="78"/>
  <c r="AT158" i="78" s="1"/>
  <c r="AU158" i="78"/>
  <c r="AV158" i="78" s="1"/>
  <c r="AW158" i="78"/>
  <c r="AX158" i="78" s="1"/>
  <c r="AY158" i="78"/>
  <c r="AZ158" i="78" s="1"/>
  <c r="AS159" i="78"/>
  <c r="AT159" i="78" s="1"/>
  <c r="AU159" i="78"/>
  <c r="AV159" i="78" s="1"/>
  <c r="AW159" i="78"/>
  <c r="AX159" i="78" s="1"/>
  <c r="AY159" i="78"/>
  <c r="AZ159" i="78" s="1"/>
  <c r="AS160" i="78"/>
  <c r="AT160" i="78" s="1"/>
  <c r="AU160" i="78"/>
  <c r="AV160" i="78" s="1"/>
  <c r="AW160" i="78"/>
  <c r="AX160" i="78" s="1"/>
  <c r="AY160" i="78"/>
  <c r="AZ160" i="78" s="1"/>
  <c r="AS161" i="78"/>
  <c r="AT161" i="78" s="1"/>
  <c r="AU161" i="78"/>
  <c r="AV161" i="78" s="1"/>
  <c r="AW161" i="78"/>
  <c r="AX161" i="78" s="1"/>
  <c r="AY161" i="78"/>
  <c r="AZ161" i="78" s="1"/>
  <c r="AS162" i="78"/>
  <c r="AT162" i="78" s="1"/>
  <c r="AU162" i="78"/>
  <c r="AV162" i="78" s="1"/>
  <c r="AW162" i="78"/>
  <c r="AX162" i="78" s="1"/>
  <c r="AY162" i="78"/>
  <c r="AZ162" i="78" s="1"/>
  <c r="AS163" i="78"/>
  <c r="AT163" i="78" s="1"/>
  <c r="AU163" i="78"/>
  <c r="AV163" i="78" s="1"/>
  <c r="AW163" i="78"/>
  <c r="AX163" i="78" s="1"/>
  <c r="AY163" i="78"/>
  <c r="AZ163" i="78" s="1"/>
  <c r="AS164" i="78"/>
  <c r="AT164" i="78" s="1"/>
  <c r="AU164" i="78"/>
  <c r="AV164" i="78" s="1"/>
  <c r="AW164" i="78"/>
  <c r="AX164" i="78" s="1"/>
  <c r="AY164" i="78"/>
  <c r="AZ164" i="78" s="1"/>
  <c r="AS165" i="78"/>
  <c r="AT165" i="78" s="1"/>
  <c r="AU165" i="78"/>
  <c r="AV165" i="78" s="1"/>
  <c r="AW165" i="78"/>
  <c r="AX165" i="78" s="1"/>
  <c r="AY165" i="78"/>
  <c r="AZ165" i="78" s="1"/>
  <c r="AS166" i="78"/>
  <c r="AT166" i="78" s="1"/>
  <c r="AU166" i="78"/>
  <c r="AV166" i="78" s="1"/>
  <c r="AW166" i="78"/>
  <c r="AX166" i="78" s="1"/>
  <c r="AY166" i="78"/>
  <c r="AZ166" i="78" s="1"/>
  <c r="AS167" i="78"/>
  <c r="AT167" i="78" s="1"/>
  <c r="AU167" i="78"/>
  <c r="AV167" i="78" s="1"/>
  <c r="AW167" i="78"/>
  <c r="AX167" i="78" s="1"/>
  <c r="AY167" i="78"/>
  <c r="AZ167" i="78" s="1"/>
  <c r="AS168" i="78"/>
  <c r="AT168" i="78" s="1"/>
  <c r="AU168" i="78"/>
  <c r="AV168" i="78" s="1"/>
  <c r="AW168" i="78"/>
  <c r="AX168" i="78" s="1"/>
  <c r="AY168" i="78"/>
  <c r="AZ168" i="78" s="1"/>
  <c r="AS169" i="78"/>
  <c r="AT169" i="78" s="1"/>
  <c r="AU169" i="78"/>
  <c r="AV169" i="78" s="1"/>
  <c r="AW169" i="78"/>
  <c r="AX169" i="78" s="1"/>
  <c r="AY169" i="78"/>
  <c r="AZ169" i="78" s="1"/>
  <c r="AS170" i="78"/>
  <c r="AT170" i="78" s="1"/>
  <c r="AU170" i="78"/>
  <c r="AV170" i="78" s="1"/>
  <c r="AW170" i="78"/>
  <c r="AX170" i="78" s="1"/>
  <c r="AY170" i="78"/>
  <c r="AZ170" i="78" s="1"/>
  <c r="AS171" i="78"/>
  <c r="AT171" i="78" s="1"/>
  <c r="AU171" i="78"/>
  <c r="AV171" i="78" s="1"/>
  <c r="AW171" i="78"/>
  <c r="AX171" i="78" s="1"/>
  <c r="AY171" i="78"/>
  <c r="AZ171" i="78" s="1"/>
  <c r="AS172" i="78"/>
  <c r="AT172" i="78" s="1"/>
  <c r="AU172" i="78"/>
  <c r="AV172" i="78" s="1"/>
  <c r="AW172" i="78"/>
  <c r="AX172" i="78" s="1"/>
  <c r="AY172" i="78"/>
  <c r="AZ172" i="78" s="1"/>
  <c r="AS173" i="78"/>
  <c r="AT173" i="78" s="1"/>
  <c r="AU173" i="78"/>
  <c r="AV173" i="78" s="1"/>
  <c r="AW173" i="78"/>
  <c r="AX173" i="78" s="1"/>
  <c r="AY173" i="78"/>
  <c r="AZ173" i="78" s="1"/>
  <c r="AS174" i="78"/>
  <c r="AT174" i="78" s="1"/>
  <c r="AU174" i="78"/>
  <c r="AV174" i="78" s="1"/>
  <c r="AW174" i="78"/>
  <c r="AX174" i="78" s="1"/>
  <c r="AY174" i="78"/>
  <c r="AZ174" i="78" s="1"/>
  <c r="AS175" i="78"/>
  <c r="AT175" i="78" s="1"/>
  <c r="AU175" i="78"/>
  <c r="AV175" i="78" s="1"/>
  <c r="AW175" i="78"/>
  <c r="AX175" i="78" s="1"/>
  <c r="AY175" i="78"/>
  <c r="AZ175" i="78" s="1"/>
  <c r="AS176" i="78"/>
  <c r="AT176" i="78" s="1"/>
  <c r="AU176" i="78"/>
  <c r="AV176" i="78" s="1"/>
  <c r="AW176" i="78"/>
  <c r="AX176" i="78" s="1"/>
  <c r="AY176" i="78"/>
  <c r="AZ176" i="78" s="1"/>
  <c r="AS177" i="78"/>
  <c r="AT177" i="78" s="1"/>
  <c r="AU177" i="78"/>
  <c r="AV177" i="78" s="1"/>
  <c r="AW177" i="78"/>
  <c r="AX177" i="78" s="1"/>
  <c r="AY177" i="78"/>
  <c r="AZ177" i="78" s="1"/>
  <c r="AS178" i="78"/>
  <c r="AT178" i="78" s="1"/>
  <c r="AU178" i="78"/>
  <c r="AV178" i="78" s="1"/>
  <c r="AW178" i="78"/>
  <c r="AX178" i="78" s="1"/>
  <c r="AY178" i="78"/>
  <c r="AZ178" i="78" s="1"/>
  <c r="AS179" i="78"/>
  <c r="AT179" i="78" s="1"/>
  <c r="AU179" i="78"/>
  <c r="AV179" i="78" s="1"/>
  <c r="AW179" i="78"/>
  <c r="AX179" i="78" s="1"/>
  <c r="AY179" i="78"/>
  <c r="AZ179" i="78" s="1"/>
  <c r="AS180" i="78"/>
  <c r="AT180" i="78" s="1"/>
  <c r="AU180" i="78"/>
  <c r="AV180" i="78" s="1"/>
  <c r="AW180" i="78"/>
  <c r="AX180" i="78" s="1"/>
  <c r="AY180" i="78"/>
  <c r="AZ180" i="78" s="1"/>
  <c r="AS181" i="78"/>
  <c r="AT181" i="78" s="1"/>
  <c r="AU181" i="78"/>
  <c r="AV181" i="78" s="1"/>
  <c r="AW181" i="78"/>
  <c r="AX181" i="78" s="1"/>
  <c r="AY181" i="78"/>
  <c r="AZ181" i="78" s="1"/>
  <c r="AS182" i="78"/>
  <c r="AT182" i="78" s="1"/>
  <c r="AU182" i="78"/>
  <c r="AV182" i="78" s="1"/>
  <c r="AW182" i="78"/>
  <c r="AX182" i="78" s="1"/>
  <c r="AY182" i="78"/>
  <c r="AZ182" i="78" s="1"/>
  <c r="AS183" i="78"/>
  <c r="AT183" i="78" s="1"/>
  <c r="AU183" i="78"/>
  <c r="AV183" i="78" s="1"/>
  <c r="AW183" i="78"/>
  <c r="AX183" i="78" s="1"/>
  <c r="AY183" i="78"/>
  <c r="AZ183" i="78" s="1"/>
  <c r="AS184" i="78"/>
  <c r="AT184" i="78" s="1"/>
  <c r="AU184" i="78"/>
  <c r="AV184" i="78" s="1"/>
  <c r="AW184" i="78"/>
  <c r="AX184" i="78" s="1"/>
  <c r="AY184" i="78"/>
  <c r="AZ184" i="78" s="1"/>
  <c r="AS185" i="78"/>
  <c r="AT185" i="78" s="1"/>
  <c r="AU185" i="78"/>
  <c r="AV185" i="78" s="1"/>
  <c r="AW185" i="78"/>
  <c r="AX185" i="78" s="1"/>
  <c r="AY185" i="78"/>
  <c r="AZ185" i="78" s="1"/>
  <c r="AS186" i="78"/>
  <c r="AT186" i="78" s="1"/>
  <c r="AU186" i="78"/>
  <c r="AV186" i="78" s="1"/>
  <c r="AW186" i="78"/>
  <c r="AX186" i="78" s="1"/>
  <c r="AY186" i="78"/>
  <c r="AZ186" i="78" s="1"/>
  <c r="AS187" i="78"/>
  <c r="AT187" i="78" s="1"/>
  <c r="AU187" i="78"/>
  <c r="AV187" i="78" s="1"/>
  <c r="AW187" i="78"/>
  <c r="AX187" i="78" s="1"/>
  <c r="AY187" i="78"/>
  <c r="AZ187" i="78" s="1"/>
  <c r="AS188" i="78"/>
  <c r="AT188" i="78" s="1"/>
  <c r="AU188" i="78"/>
  <c r="AV188" i="78" s="1"/>
  <c r="AW188" i="78"/>
  <c r="AX188" i="78" s="1"/>
  <c r="AY188" i="78"/>
  <c r="AZ188" i="78" s="1"/>
  <c r="AS189" i="78"/>
  <c r="AT189" i="78" s="1"/>
  <c r="AU189" i="78"/>
  <c r="AV189" i="78" s="1"/>
  <c r="AW189" i="78"/>
  <c r="AX189" i="78" s="1"/>
  <c r="AY189" i="78"/>
  <c r="AZ189" i="78" s="1"/>
  <c r="AS190" i="78"/>
  <c r="AT190" i="78" s="1"/>
  <c r="AU190" i="78"/>
  <c r="AV190" i="78" s="1"/>
  <c r="AW190" i="78"/>
  <c r="AX190" i="78" s="1"/>
  <c r="AY190" i="78"/>
  <c r="AZ190" i="78" s="1"/>
  <c r="AS191" i="78"/>
  <c r="AT191" i="78" s="1"/>
  <c r="AU191" i="78"/>
  <c r="AV191" i="78" s="1"/>
  <c r="AW191" i="78"/>
  <c r="AX191" i="78" s="1"/>
  <c r="AY191" i="78"/>
  <c r="AZ191" i="78" s="1"/>
  <c r="AS192" i="78"/>
  <c r="AT192" i="78" s="1"/>
  <c r="AU192" i="78"/>
  <c r="AV192" i="78" s="1"/>
  <c r="AW192" i="78"/>
  <c r="AX192" i="78" s="1"/>
  <c r="AY192" i="78"/>
  <c r="AZ192" i="78" s="1"/>
  <c r="AS193" i="78"/>
  <c r="AT193" i="78" s="1"/>
  <c r="AU193" i="78"/>
  <c r="AV193" i="78" s="1"/>
  <c r="AW193" i="78"/>
  <c r="AX193" i="78" s="1"/>
  <c r="AY193" i="78"/>
  <c r="AZ193" i="78" s="1"/>
  <c r="AS194" i="78"/>
  <c r="AT194" i="78" s="1"/>
  <c r="AU194" i="78"/>
  <c r="AV194" i="78" s="1"/>
  <c r="AW194" i="78"/>
  <c r="AX194" i="78" s="1"/>
  <c r="AY194" i="78"/>
  <c r="AZ194" i="78" s="1"/>
  <c r="AS195" i="78"/>
  <c r="AT195" i="78" s="1"/>
  <c r="AU195" i="78"/>
  <c r="AV195" i="78" s="1"/>
  <c r="AW195" i="78"/>
  <c r="AX195" i="78" s="1"/>
  <c r="AY195" i="78"/>
  <c r="AZ195" i="78" s="1"/>
  <c r="AS196" i="78"/>
  <c r="AT196" i="78" s="1"/>
  <c r="AU196" i="78"/>
  <c r="AV196" i="78" s="1"/>
  <c r="AW196" i="78"/>
  <c r="AX196" i="78" s="1"/>
  <c r="AY196" i="78"/>
  <c r="AZ196" i="78" s="1"/>
  <c r="AS197" i="78"/>
  <c r="AT197" i="78" s="1"/>
  <c r="AU197" i="78"/>
  <c r="AV197" i="78" s="1"/>
  <c r="AW197" i="78"/>
  <c r="AX197" i="78" s="1"/>
  <c r="AY197" i="78"/>
  <c r="AZ197" i="78" s="1"/>
  <c r="AS198" i="78"/>
  <c r="AT198" i="78" s="1"/>
  <c r="AU198" i="78"/>
  <c r="AV198" i="78" s="1"/>
  <c r="AW198" i="78"/>
  <c r="AX198" i="78" s="1"/>
  <c r="AY198" i="78"/>
  <c r="AZ198" i="78" s="1"/>
  <c r="AS199" i="78"/>
  <c r="AT199" i="78" s="1"/>
  <c r="AU199" i="78"/>
  <c r="AV199" i="78" s="1"/>
  <c r="AW199" i="78"/>
  <c r="AX199" i="78" s="1"/>
  <c r="AY199" i="78"/>
  <c r="AZ199" i="78" s="1"/>
  <c r="AS200" i="78"/>
  <c r="AT200" i="78" s="1"/>
  <c r="AU200" i="78"/>
  <c r="AV200" i="78" s="1"/>
  <c r="AW200" i="78"/>
  <c r="AX200" i="78" s="1"/>
  <c r="AY200" i="78"/>
  <c r="AZ200" i="78" s="1"/>
  <c r="AS201" i="78"/>
  <c r="AT201" i="78" s="1"/>
  <c r="AU201" i="78"/>
  <c r="AV201" i="78" s="1"/>
  <c r="AW201" i="78"/>
  <c r="AX201" i="78" s="1"/>
  <c r="AY201" i="78"/>
  <c r="AZ201" i="78" s="1"/>
  <c r="AS202" i="78"/>
  <c r="AT202" i="78" s="1"/>
  <c r="AU202" i="78"/>
  <c r="AV202" i="78" s="1"/>
  <c r="AW202" i="78"/>
  <c r="AX202" i="78" s="1"/>
  <c r="AY202" i="78"/>
  <c r="AZ202" i="78" s="1"/>
  <c r="AS203" i="78"/>
  <c r="AT203" i="78" s="1"/>
  <c r="AU203" i="78"/>
  <c r="AV203" i="78" s="1"/>
  <c r="AW203" i="78"/>
  <c r="AX203" i="78" s="1"/>
  <c r="AY203" i="78"/>
  <c r="AZ203" i="78" s="1"/>
  <c r="AS204" i="78"/>
  <c r="AT204" i="78" s="1"/>
  <c r="AU204" i="78"/>
  <c r="AV204" i="78" s="1"/>
  <c r="AW204" i="78"/>
  <c r="AX204" i="78" s="1"/>
  <c r="AY204" i="78"/>
  <c r="AZ204" i="78" s="1"/>
  <c r="AS205" i="78"/>
  <c r="AT205" i="78" s="1"/>
  <c r="AU205" i="78"/>
  <c r="AV205" i="78" s="1"/>
  <c r="AW205" i="78"/>
  <c r="AX205" i="78" s="1"/>
  <c r="AY205" i="78"/>
  <c r="AZ205" i="78" s="1"/>
  <c r="AS206" i="78"/>
  <c r="AT206" i="78" s="1"/>
  <c r="AU206" i="78"/>
  <c r="AV206" i="78" s="1"/>
  <c r="AW206" i="78"/>
  <c r="AX206" i="78" s="1"/>
  <c r="AY206" i="78"/>
  <c r="AZ206" i="78" s="1"/>
  <c r="AS207" i="78"/>
  <c r="AT207" i="78" s="1"/>
  <c r="AU207" i="78"/>
  <c r="AV207" i="78" s="1"/>
  <c r="AW207" i="78"/>
  <c r="AX207" i="78" s="1"/>
  <c r="AY207" i="78"/>
  <c r="AZ207" i="78" s="1"/>
  <c r="AS208" i="78"/>
  <c r="AT208" i="78" s="1"/>
  <c r="AU208" i="78"/>
  <c r="AV208" i="78" s="1"/>
  <c r="AW208" i="78"/>
  <c r="AX208" i="78" s="1"/>
  <c r="AY208" i="78"/>
  <c r="AZ208" i="78" s="1"/>
  <c r="AS209" i="78"/>
  <c r="AT209" i="78" s="1"/>
  <c r="AU209" i="78"/>
  <c r="AV209" i="78" s="1"/>
  <c r="AW209" i="78"/>
  <c r="AX209" i="78" s="1"/>
  <c r="AY209" i="78"/>
  <c r="AZ209" i="78" s="1"/>
  <c r="AS210" i="78"/>
  <c r="AT210" i="78" s="1"/>
  <c r="AU210" i="78"/>
  <c r="AV210" i="78" s="1"/>
  <c r="AW210" i="78"/>
  <c r="AX210" i="78" s="1"/>
  <c r="AY210" i="78"/>
  <c r="AZ210" i="78" s="1"/>
  <c r="AS211" i="78"/>
  <c r="AT211" i="78" s="1"/>
  <c r="AU211" i="78"/>
  <c r="AV211" i="78" s="1"/>
  <c r="AW211" i="78"/>
  <c r="AX211" i="78" s="1"/>
  <c r="AY211" i="78"/>
  <c r="AZ211" i="78" s="1"/>
  <c r="AS212" i="78"/>
  <c r="AT212" i="78" s="1"/>
  <c r="AU212" i="78"/>
  <c r="AV212" i="78" s="1"/>
  <c r="AW212" i="78"/>
  <c r="AX212" i="78" s="1"/>
  <c r="AY212" i="78"/>
  <c r="AZ212" i="78" s="1"/>
  <c r="AS213" i="78"/>
  <c r="AT213" i="78" s="1"/>
  <c r="AU213" i="78"/>
  <c r="AV213" i="78" s="1"/>
  <c r="AW213" i="78"/>
  <c r="AX213" i="78" s="1"/>
  <c r="AY213" i="78"/>
  <c r="AZ213" i="78" s="1"/>
  <c r="AS214" i="78"/>
  <c r="AT214" i="78" s="1"/>
  <c r="AU214" i="78"/>
  <c r="AV214" i="78" s="1"/>
  <c r="AW214" i="78"/>
  <c r="AX214" i="78" s="1"/>
  <c r="AY214" i="78"/>
  <c r="AZ214" i="78" s="1"/>
  <c r="AS215" i="78"/>
  <c r="AT215" i="78" s="1"/>
  <c r="AU215" i="78"/>
  <c r="AV215" i="78" s="1"/>
  <c r="AW215" i="78"/>
  <c r="AX215" i="78" s="1"/>
  <c r="AY215" i="78"/>
  <c r="AZ215" i="78" s="1"/>
  <c r="AS216" i="78"/>
  <c r="AT216" i="78" s="1"/>
  <c r="AU216" i="78"/>
  <c r="AV216" i="78" s="1"/>
  <c r="AW216" i="78"/>
  <c r="AX216" i="78" s="1"/>
  <c r="AY216" i="78"/>
  <c r="AZ216" i="78" s="1"/>
  <c r="AS217" i="78"/>
  <c r="AT217" i="78" s="1"/>
  <c r="AU217" i="78"/>
  <c r="AV217" i="78" s="1"/>
  <c r="AW217" i="78"/>
  <c r="AX217" i="78" s="1"/>
  <c r="AY217" i="78"/>
  <c r="AZ217" i="78" s="1"/>
  <c r="AS218" i="78"/>
  <c r="AT218" i="78" s="1"/>
  <c r="AU218" i="78"/>
  <c r="AV218" i="78" s="1"/>
  <c r="AW218" i="78"/>
  <c r="AX218" i="78" s="1"/>
  <c r="AY218" i="78"/>
  <c r="AZ218" i="78" s="1"/>
  <c r="AS219" i="78"/>
  <c r="AT219" i="78" s="1"/>
  <c r="AU219" i="78"/>
  <c r="AV219" i="78" s="1"/>
  <c r="AW219" i="78"/>
  <c r="AX219" i="78" s="1"/>
  <c r="AY219" i="78"/>
  <c r="AZ219" i="78" s="1"/>
  <c r="AS220" i="78"/>
  <c r="AT220" i="78" s="1"/>
  <c r="AU220" i="78"/>
  <c r="AV220" i="78" s="1"/>
  <c r="AW220" i="78"/>
  <c r="AX220" i="78" s="1"/>
  <c r="AY220" i="78"/>
  <c r="AZ220" i="78" s="1"/>
  <c r="AS221" i="78"/>
  <c r="AT221" i="78" s="1"/>
  <c r="AU221" i="78"/>
  <c r="AV221" i="78" s="1"/>
  <c r="AW221" i="78"/>
  <c r="AX221" i="78" s="1"/>
  <c r="AY221" i="78"/>
  <c r="AZ221" i="78" s="1"/>
  <c r="AS222" i="78"/>
  <c r="AT222" i="78" s="1"/>
  <c r="AU222" i="78"/>
  <c r="AV222" i="78" s="1"/>
  <c r="AW222" i="78"/>
  <c r="AX222" i="78" s="1"/>
  <c r="AY222" i="78"/>
  <c r="AZ222" i="78" s="1"/>
  <c r="AS223" i="78"/>
  <c r="AT223" i="78" s="1"/>
  <c r="AU223" i="78"/>
  <c r="AV223" i="78" s="1"/>
  <c r="AW223" i="78"/>
  <c r="AX223" i="78" s="1"/>
  <c r="AY223" i="78"/>
  <c r="AZ223" i="78" s="1"/>
  <c r="AS224" i="78"/>
  <c r="AT224" i="78" s="1"/>
  <c r="AU224" i="78"/>
  <c r="AV224" i="78" s="1"/>
  <c r="AW224" i="78"/>
  <c r="AX224" i="78" s="1"/>
  <c r="AY224" i="78"/>
  <c r="AZ224" i="78" s="1"/>
  <c r="AS225" i="78"/>
  <c r="AT225" i="78" s="1"/>
  <c r="AU225" i="78"/>
  <c r="AV225" i="78" s="1"/>
  <c r="AW225" i="78"/>
  <c r="AX225" i="78" s="1"/>
  <c r="AY225" i="78"/>
  <c r="AZ225" i="78" s="1"/>
  <c r="AS226" i="78"/>
  <c r="AT226" i="78" s="1"/>
  <c r="AU226" i="78"/>
  <c r="AV226" i="78" s="1"/>
  <c r="AW226" i="78"/>
  <c r="AX226" i="78" s="1"/>
  <c r="AY226" i="78"/>
  <c r="AZ226" i="78" s="1"/>
  <c r="AS227" i="78"/>
  <c r="AT227" i="78" s="1"/>
  <c r="AU227" i="78"/>
  <c r="AV227" i="78" s="1"/>
  <c r="AW227" i="78"/>
  <c r="AX227" i="78" s="1"/>
  <c r="AY227" i="78"/>
  <c r="AZ227" i="78" s="1"/>
  <c r="AS228" i="78"/>
  <c r="AT228" i="78" s="1"/>
  <c r="AU228" i="78"/>
  <c r="AV228" i="78" s="1"/>
  <c r="AW228" i="78"/>
  <c r="AX228" i="78" s="1"/>
  <c r="AY228" i="78"/>
  <c r="AZ228" i="78" s="1"/>
  <c r="AS229" i="78"/>
  <c r="AT229" i="78" s="1"/>
  <c r="AU229" i="78"/>
  <c r="AV229" i="78" s="1"/>
  <c r="AW229" i="78"/>
  <c r="AX229" i="78" s="1"/>
  <c r="AY229" i="78"/>
  <c r="AZ229" i="78" s="1"/>
  <c r="AS230" i="78"/>
  <c r="AT230" i="78" s="1"/>
  <c r="AU230" i="78"/>
  <c r="AV230" i="78" s="1"/>
  <c r="AW230" i="78"/>
  <c r="AX230" i="78" s="1"/>
  <c r="AY230" i="78"/>
  <c r="AZ230" i="78" s="1"/>
  <c r="AS231" i="78"/>
  <c r="AT231" i="78" s="1"/>
  <c r="AU231" i="78"/>
  <c r="AV231" i="78" s="1"/>
  <c r="AW231" i="78"/>
  <c r="AX231" i="78" s="1"/>
  <c r="AY231" i="78"/>
  <c r="AZ231" i="78" s="1"/>
  <c r="AS232" i="78"/>
  <c r="AT232" i="78" s="1"/>
  <c r="AU232" i="78"/>
  <c r="AV232" i="78" s="1"/>
  <c r="AW232" i="78"/>
  <c r="AX232" i="78" s="1"/>
  <c r="AY232" i="78"/>
  <c r="AZ232" i="78" s="1"/>
  <c r="AS233" i="78"/>
  <c r="AT233" i="78" s="1"/>
  <c r="AU233" i="78"/>
  <c r="AV233" i="78" s="1"/>
  <c r="AW233" i="78"/>
  <c r="AX233" i="78" s="1"/>
  <c r="AY233" i="78"/>
  <c r="AZ233" i="78" s="1"/>
  <c r="AS234" i="78"/>
  <c r="AT234" i="78" s="1"/>
  <c r="AU234" i="78"/>
  <c r="AV234" i="78" s="1"/>
  <c r="AW234" i="78"/>
  <c r="AX234" i="78" s="1"/>
  <c r="AY234" i="78"/>
  <c r="AZ234" i="78" s="1"/>
  <c r="AS235" i="78"/>
  <c r="AT235" i="78" s="1"/>
  <c r="AU235" i="78"/>
  <c r="AV235" i="78" s="1"/>
  <c r="AW235" i="78"/>
  <c r="AX235" i="78" s="1"/>
  <c r="AY235" i="78"/>
  <c r="AZ235" i="78" s="1"/>
  <c r="AS236" i="78"/>
  <c r="AT236" i="78" s="1"/>
  <c r="AU236" i="78"/>
  <c r="AV236" i="78" s="1"/>
  <c r="AW236" i="78"/>
  <c r="AX236" i="78" s="1"/>
  <c r="AY236" i="78"/>
  <c r="AZ236" i="78" s="1"/>
  <c r="AS237" i="78"/>
  <c r="AT237" i="78" s="1"/>
  <c r="AU237" i="78"/>
  <c r="AV237" i="78" s="1"/>
  <c r="AW237" i="78"/>
  <c r="AX237" i="78" s="1"/>
  <c r="AY237" i="78"/>
  <c r="AZ237" i="78" s="1"/>
  <c r="AS238" i="78"/>
  <c r="AT238" i="78" s="1"/>
  <c r="AU238" i="78"/>
  <c r="AV238" i="78" s="1"/>
  <c r="AW238" i="78"/>
  <c r="AX238" i="78" s="1"/>
  <c r="AY238" i="78"/>
  <c r="AZ238" i="78" s="1"/>
  <c r="AS239" i="78"/>
  <c r="AT239" i="78" s="1"/>
  <c r="AU239" i="78"/>
  <c r="AV239" i="78" s="1"/>
  <c r="AW239" i="78"/>
  <c r="AX239" i="78" s="1"/>
  <c r="AY239" i="78"/>
  <c r="AZ239" i="78" s="1"/>
  <c r="AS240" i="78"/>
  <c r="AT240" i="78" s="1"/>
  <c r="AU240" i="78"/>
  <c r="AV240" i="78" s="1"/>
  <c r="AW240" i="78"/>
  <c r="AX240" i="78" s="1"/>
  <c r="AY240" i="78"/>
  <c r="AZ240" i="78" s="1"/>
  <c r="AS241" i="78"/>
  <c r="AT241" i="78" s="1"/>
  <c r="AU241" i="78"/>
  <c r="AV241" i="78" s="1"/>
  <c r="AW241" i="78"/>
  <c r="AX241" i="78" s="1"/>
  <c r="AY241" i="78"/>
  <c r="AZ241" i="78" s="1"/>
  <c r="AS242" i="78"/>
  <c r="AT242" i="78" s="1"/>
  <c r="AU242" i="78"/>
  <c r="AV242" i="78" s="1"/>
  <c r="AW242" i="78"/>
  <c r="AX242" i="78" s="1"/>
  <c r="AY242" i="78"/>
  <c r="AZ242" i="78" s="1"/>
  <c r="AS243" i="78"/>
  <c r="AT243" i="78" s="1"/>
  <c r="AU243" i="78"/>
  <c r="AV243" i="78" s="1"/>
  <c r="AW243" i="78"/>
  <c r="AX243" i="78" s="1"/>
  <c r="AY243" i="78"/>
  <c r="AZ243" i="78" s="1"/>
  <c r="AS244" i="78"/>
  <c r="AT244" i="78" s="1"/>
  <c r="AU244" i="78"/>
  <c r="AV244" i="78" s="1"/>
  <c r="AW244" i="78"/>
  <c r="AX244" i="78" s="1"/>
  <c r="AY244" i="78"/>
  <c r="AZ244" i="78" s="1"/>
  <c r="AS245" i="78"/>
  <c r="AT245" i="78" s="1"/>
  <c r="AU245" i="78"/>
  <c r="AV245" i="78" s="1"/>
  <c r="AW245" i="78"/>
  <c r="AX245" i="78" s="1"/>
  <c r="AY245" i="78"/>
  <c r="AZ245" i="78" s="1"/>
  <c r="AS246" i="78"/>
  <c r="AT246" i="78" s="1"/>
  <c r="AU246" i="78"/>
  <c r="AV246" i="78" s="1"/>
  <c r="AW246" i="78"/>
  <c r="AX246" i="78" s="1"/>
  <c r="AY246" i="78"/>
  <c r="AZ246" i="78" s="1"/>
  <c r="AS247" i="78"/>
  <c r="AT247" i="78" s="1"/>
  <c r="AU247" i="78"/>
  <c r="AV247" i="78" s="1"/>
  <c r="AW247" i="78"/>
  <c r="AX247" i="78" s="1"/>
  <c r="AY247" i="78"/>
  <c r="AZ247" i="78" s="1"/>
  <c r="AS248" i="78"/>
  <c r="AT248" i="78" s="1"/>
  <c r="AU248" i="78"/>
  <c r="AV248" i="78" s="1"/>
  <c r="AW248" i="78"/>
  <c r="AX248" i="78" s="1"/>
  <c r="AY248" i="78"/>
  <c r="AZ248" i="78" s="1"/>
  <c r="AS249" i="78"/>
  <c r="AT249" i="78" s="1"/>
  <c r="AU249" i="78"/>
  <c r="AV249" i="78" s="1"/>
  <c r="AW249" i="78"/>
  <c r="AX249" i="78" s="1"/>
  <c r="AY249" i="78"/>
  <c r="AZ249" i="78" s="1"/>
  <c r="AS250" i="78"/>
  <c r="AT250" i="78" s="1"/>
  <c r="AU250" i="78"/>
  <c r="AV250" i="78" s="1"/>
  <c r="AW250" i="78"/>
  <c r="AX250" i="78" s="1"/>
  <c r="AY250" i="78"/>
  <c r="AZ250" i="78" s="1"/>
  <c r="AS251" i="78"/>
  <c r="AT251" i="78" s="1"/>
  <c r="AU251" i="78"/>
  <c r="AV251" i="78" s="1"/>
  <c r="AW251" i="78"/>
  <c r="AX251" i="78" s="1"/>
  <c r="AY251" i="78"/>
  <c r="AZ251" i="78" s="1"/>
  <c r="AS252" i="78"/>
  <c r="AT252" i="78" s="1"/>
  <c r="AU252" i="78"/>
  <c r="AV252" i="78" s="1"/>
  <c r="AW252" i="78"/>
  <c r="AX252" i="78" s="1"/>
  <c r="AY252" i="78"/>
  <c r="AZ252" i="78" s="1"/>
  <c r="AS253" i="78"/>
  <c r="AT253" i="78" s="1"/>
  <c r="AU253" i="78"/>
  <c r="AV253" i="78" s="1"/>
  <c r="AW253" i="78"/>
  <c r="AX253" i="78" s="1"/>
  <c r="AY253" i="78"/>
  <c r="AZ253" i="78" s="1"/>
  <c r="AS254" i="78"/>
  <c r="AT254" i="78" s="1"/>
  <c r="AU254" i="78"/>
  <c r="AV254" i="78" s="1"/>
  <c r="AW254" i="78"/>
  <c r="AX254" i="78" s="1"/>
  <c r="AY254" i="78"/>
  <c r="AZ254" i="78" s="1"/>
  <c r="AS255" i="78"/>
  <c r="AT255" i="78" s="1"/>
  <c r="AU255" i="78"/>
  <c r="AV255" i="78" s="1"/>
  <c r="AW255" i="78"/>
  <c r="AX255" i="78" s="1"/>
  <c r="AY255" i="78"/>
  <c r="AZ255" i="78" s="1"/>
  <c r="AS256" i="78"/>
  <c r="AT256" i="78" s="1"/>
  <c r="AU256" i="78"/>
  <c r="AV256" i="78" s="1"/>
  <c r="AW256" i="78"/>
  <c r="AX256" i="78" s="1"/>
  <c r="AY256" i="78"/>
  <c r="AZ256" i="78" s="1"/>
  <c r="AS257" i="78"/>
  <c r="AT257" i="78" s="1"/>
  <c r="AU257" i="78"/>
  <c r="AV257" i="78" s="1"/>
  <c r="AW257" i="78"/>
  <c r="AX257" i="78" s="1"/>
  <c r="AY257" i="78"/>
  <c r="AZ257" i="78" s="1"/>
  <c r="AS258" i="78"/>
  <c r="AT258" i="78" s="1"/>
  <c r="AU258" i="78"/>
  <c r="AV258" i="78" s="1"/>
  <c r="AW258" i="78"/>
  <c r="AX258" i="78" s="1"/>
  <c r="AY258" i="78"/>
  <c r="AZ258" i="78" s="1"/>
  <c r="AS259" i="78"/>
  <c r="AT259" i="78" s="1"/>
  <c r="AU259" i="78"/>
  <c r="AV259" i="78" s="1"/>
  <c r="AW259" i="78"/>
  <c r="AX259" i="78" s="1"/>
  <c r="AY259" i="78"/>
  <c r="AZ259" i="78" s="1"/>
  <c r="AS260" i="78"/>
  <c r="AT260" i="78" s="1"/>
  <c r="AU260" i="78"/>
  <c r="AV260" i="78" s="1"/>
  <c r="AW260" i="78"/>
  <c r="AX260" i="78" s="1"/>
  <c r="AY260" i="78"/>
  <c r="AZ260" i="78" s="1"/>
  <c r="AS261" i="78"/>
  <c r="AU261" i="78"/>
  <c r="AW261" i="78"/>
  <c r="AY261" i="78"/>
  <c r="AS262" i="78"/>
  <c r="AT262" i="78" s="1"/>
  <c r="AU262" i="78"/>
  <c r="AV262" i="78" s="1"/>
  <c r="AW262" i="78"/>
  <c r="AX262" i="78" s="1"/>
  <c r="AY262" i="78"/>
  <c r="AZ262" i="78" s="1"/>
  <c r="AS263" i="78"/>
  <c r="AT263" i="78" s="1"/>
  <c r="AU263" i="78"/>
  <c r="AV263" i="78" s="1"/>
  <c r="AW263" i="78"/>
  <c r="AX263" i="78" s="1"/>
  <c r="AY263" i="78"/>
  <c r="AZ263" i="78" s="1"/>
  <c r="AS264" i="78"/>
  <c r="AT264" i="78" s="1"/>
  <c r="AU264" i="78"/>
  <c r="AV264" i="78" s="1"/>
  <c r="AW264" i="78"/>
  <c r="AX264" i="78" s="1"/>
  <c r="AY264" i="78"/>
  <c r="AZ264" i="78" s="1"/>
  <c r="AS265" i="78"/>
  <c r="AT265" i="78" s="1"/>
  <c r="AU265" i="78"/>
  <c r="AV265" i="78" s="1"/>
  <c r="AW265" i="78"/>
  <c r="AX265" i="78" s="1"/>
  <c r="AY265" i="78"/>
  <c r="AZ265" i="78" s="1"/>
  <c r="AS266" i="78"/>
  <c r="AT266" i="78" s="1"/>
  <c r="AU266" i="78"/>
  <c r="AV266" i="78" s="1"/>
  <c r="AW266" i="78"/>
  <c r="AX266" i="78" s="1"/>
  <c r="AY266" i="78"/>
  <c r="AZ266" i="78" s="1"/>
  <c r="AS267" i="78"/>
  <c r="AT267" i="78" s="1"/>
  <c r="AU267" i="78"/>
  <c r="AV267" i="78" s="1"/>
  <c r="AW267" i="78"/>
  <c r="AX267" i="78" s="1"/>
  <c r="AY267" i="78"/>
  <c r="AZ267" i="78" s="1"/>
  <c r="AS268" i="78"/>
  <c r="AT268" i="78" s="1"/>
  <c r="AU268" i="78"/>
  <c r="AV268" i="78" s="1"/>
  <c r="AW268" i="78"/>
  <c r="AX268" i="78" s="1"/>
  <c r="AY268" i="78"/>
  <c r="AZ268" i="78" s="1"/>
  <c r="AS269" i="78"/>
  <c r="AT269" i="78" s="1"/>
  <c r="AU269" i="78"/>
  <c r="AV269" i="78" s="1"/>
  <c r="AW269" i="78"/>
  <c r="AX269" i="78" s="1"/>
  <c r="AY269" i="78"/>
  <c r="AZ269" i="78" s="1"/>
  <c r="AS270" i="78"/>
  <c r="AT270" i="78" s="1"/>
  <c r="AU270" i="78"/>
  <c r="AV270" i="78" s="1"/>
  <c r="AW270" i="78"/>
  <c r="AX270" i="78" s="1"/>
  <c r="AY270" i="78"/>
  <c r="AZ270" i="78" s="1"/>
  <c r="AS271" i="78"/>
  <c r="AT271" i="78" s="1"/>
  <c r="AU271" i="78"/>
  <c r="AV271" i="78" s="1"/>
  <c r="AW271" i="78"/>
  <c r="AX271" i="78" s="1"/>
  <c r="AY271" i="78"/>
  <c r="AZ271" i="78" s="1"/>
  <c r="AS272" i="78"/>
  <c r="AT272" i="78" s="1"/>
  <c r="AU272" i="78"/>
  <c r="AV272" i="78" s="1"/>
  <c r="AW272" i="78"/>
  <c r="AX272" i="78" s="1"/>
  <c r="AY272" i="78"/>
  <c r="AZ272" i="78" s="1"/>
  <c r="AS273" i="78"/>
  <c r="AT273" i="78" s="1"/>
  <c r="AU273" i="78"/>
  <c r="AV273" i="78" s="1"/>
  <c r="AW273" i="78"/>
  <c r="AX273" i="78" s="1"/>
  <c r="AY273" i="78"/>
  <c r="AZ273" i="78" s="1"/>
  <c r="AS274" i="78"/>
  <c r="AT274" i="78" s="1"/>
  <c r="AU274" i="78"/>
  <c r="AV274" i="78" s="1"/>
  <c r="AW274" i="78"/>
  <c r="AX274" i="78" s="1"/>
  <c r="AY274" i="78"/>
  <c r="AZ274" i="78" s="1"/>
  <c r="AS275" i="78"/>
  <c r="AT275" i="78" s="1"/>
  <c r="AU275" i="78"/>
  <c r="AV275" i="78" s="1"/>
  <c r="AW275" i="78"/>
  <c r="AX275" i="78" s="1"/>
  <c r="AY275" i="78"/>
  <c r="AZ275" i="78" s="1"/>
  <c r="AS276" i="78"/>
  <c r="AT276" i="78" s="1"/>
  <c r="AU276" i="78"/>
  <c r="AV276" i="78" s="1"/>
  <c r="AW276" i="78"/>
  <c r="AX276" i="78" s="1"/>
  <c r="AY276" i="78"/>
  <c r="AZ276" i="78" s="1"/>
  <c r="AS277" i="78"/>
  <c r="AT277" i="78" s="1"/>
  <c r="AU277" i="78"/>
  <c r="AV277" i="78" s="1"/>
  <c r="AW277" i="78"/>
  <c r="AX277" i="78" s="1"/>
  <c r="AY277" i="78"/>
  <c r="AZ277" i="78" s="1"/>
  <c r="AS278" i="78"/>
  <c r="AT278" i="78" s="1"/>
  <c r="AU278" i="78"/>
  <c r="AV278" i="78" s="1"/>
  <c r="AW278" i="78"/>
  <c r="AX278" i="78" s="1"/>
  <c r="AY278" i="78"/>
  <c r="AZ278" i="78" s="1"/>
  <c r="AS279" i="78"/>
  <c r="AT279" i="78" s="1"/>
  <c r="AU279" i="78"/>
  <c r="AV279" i="78" s="1"/>
  <c r="AW279" i="78"/>
  <c r="AX279" i="78" s="1"/>
  <c r="AY279" i="78"/>
  <c r="AZ279" i="78" s="1"/>
  <c r="AS280" i="78"/>
  <c r="AT280" i="78" s="1"/>
  <c r="AU280" i="78"/>
  <c r="AV280" i="78" s="1"/>
  <c r="AW280" i="78"/>
  <c r="AX280" i="78" s="1"/>
  <c r="AY280" i="78"/>
  <c r="AZ280" i="78" s="1"/>
  <c r="AS281" i="78"/>
  <c r="AT281" i="78" s="1"/>
  <c r="AU281" i="78"/>
  <c r="AV281" i="78" s="1"/>
  <c r="AW281" i="78"/>
  <c r="AX281" i="78" s="1"/>
  <c r="AY281" i="78"/>
  <c r="AZ281" i="78" s="1"/>
  <c r="AS282" i="78"/>
  <c r="AT282" i="78" s="1"/>
  <c r="AU282" i="78"/>
  <c r="AV282" i="78" s="1"/>
  <c r="AW282" i="78"/>
  <c r="AX282" i="78" s="1"/>
  <c r="AY282" i="78"/>
  <c r="AZ282" i="78" s="1"/>
  <c r="AS283" i="78"/>
  <c r="AT283" i="78" s="1"/>
  <c r="AU283" i="78"/>
  <c r="AV283" i="78" s="1"/>
  <c r="AW283" i="78"/>
  <c r="AX283" i="78" s="1"/>
  <c r="AY283" i="78"/>
  <c r="AZ283" i="78" s="1"/>
  <c r="AS284" i="78"/>
  <c r="AT284" i="78" s="1"/>
  <c r="AU284" i="78"/>
  <c r="AV284" i="78" s="1"/>
  <c r="AW284" i="78"/>
  <c r="AX284" i="78" s="1"/>
  <c r="AY284" i="78"/>
  <c r="AZ284" i="78" s="1"/>
  <c r="AS285" i="78"/>
  <c r="AT285" i="78" s="1"/>
  <c r="AU285" i="78"/>
  <c r="AV285" i="78" s="1"/>
  <c r="AW285" i="78"/>
  <c r="AX285" i="78" s="1"/>
  <c r="AY285" i="78"/>
  <c r="AZ285" i="78" s="1"/>
  <c r="AS286" i="78"/>
  <c r="AT286" i="78" s="1"/>
  <c r="AU286" i="78"/>
  <c r="AV286" i="78" s="1"/>
  <c r="AW286" i="78"/>
  <c r="AX286" i="78" s="1"/>
  <c r="AY286" i="78"/>
  <c r="AZ286" i="78" s="1"/>
  <c r="AS287" i="78"/>
  <c r="AT287" i="78" s="1"/>
  <c r="AU287" i="78"/>
  <c r="AV287" i="78" s="1"/>
  <c r="AW287" i="78"/>
  <c r="AX287" i="78" s="1"/>
  <c r="AY287" i="78"/>
  <c r="AZ287" i="78" s="1"/>
  <c r="AS288" i="78"/>
  <c r="AT288" i="78" s="1"/>
  <c r="AU288" i="78"/>
  <c r="AV288" i="78" s="1"/>
  <c r="AW288" i="78"/>
  <c r="AX288" i="78" s="1"/>
  <c r="AY288" i="78"/>
  <c r="AZ288" i="78" s="1"/>
  <c r="AS289" i="78"/>
  <c r="AT289" i="78" s="1"/>
  <c r="AU289" i="78"/>
  <c r="AV289" i="78" s="1"/>
  <c r="AW289" i="78"/>
  <c r="AX289" i="78" s="1"/>
  <c r="AY289" i="78"/>
  <c r="AZ289" i="78" s="1"/>
  <c r="AS290" i="78"/>
  <c r="AT290" i="78" s="1"/>
  <c r="AU290" i="78"/>
  <c r="AV290" i="78" s="1"/>
  <c r="AW290" i="78"/>
  <c r="AX290" i="78" s="1"/>
  <c r="AY290" i="78"/>
  <c r="AZ290" i="78" s="1"/>
  <c r="AS291" i="78"/>
  <c r="AT291" i="78" s="1"/>
  <c r="AU291" i="78"/>
  <c r="AV291" i="78" s="1"/>
  <c r="AW291" i="78"/>
  <c r="AX291" i="78" s="1"/>
  <c r="AY291" i="78"/>
  <c r="AZ291" i="78" s="1"/>
  <c r="AS292" i="78"/>
  <c r="AT292" i="78" s="1"/>
  <c r="AU292" i="78"/>
  <c r="AV292" i="78" s="1"/>
  <c r="AW292" i="78"/>
  <c r="AX292" i="78" s="1"/>
  <c r="AY292" i="78"/>
  <c r="AZ292" i="78" s="1"/>
  <c r="AS293" i="78"/>
  <c r="AT293" i="78" s="1"/>
  <c r="AU293" i="78"/>
  <c r="AV293" i="78" s="1"/>
  <c r="AW293" i="78"/>
  <c r="AX293" i="78" s="1"/>
  <c r="AY293" i="78"/>
  <c r="AZ293" i="78" s="1"/>
  <c r="AS294" i="78"/>
  <c r="AT294" i="78" s="1"/>
  <c r="AU294" i="78"/>
  <c r="AV294" i="78" s="1"/>
  <c r="AW294" i="78"/>
  <c r="AX294" i="78" s="1"/>
  <c r="AY294" i="78"/>
  <c r="AZ294" i="78" s="1"/>
  <c r="AS295" i="78"/>
  <c r="AT295" i="78" s="1"/>
  <c r="AU295" i="78"/>
  <c r="AV295" i="78" s="1"/>
  <c r="AW295" i="78"/>
  <c r="AX295" i="78" s="1"/>
  <c r="AY295" i="78"/>
  <c r="AZ295" i="78" s="1"/>
  <c r="AS296" i="78"/>
  <c r="AT296" i="78" s="1"/>
  <c r="AU296" i="78"/>
  <c r="AV296" i="78" s="1"/>
  <c r="AW296" i="78"/>
  <c r="AX296" i="78" s="1"/>
  <c r="AY296" i="78"/>
  <c r="AZ296" i="78" s="1"/>
  <c r="AS297" i="78"/>
  <c r="AT297" i="78" s="1"/>
  <c r="AU297" i="78"/>
  <c r="AV297" i="78" s="1"/>
  <c r="AW297" i="78"/>
  <c r="AX297" i="78" s="1"/>
  <c r="AY297" i="78"/>
  <c r="AZ297" i="78" s="1"/>
  <c r="AS298" i="78"/>
  <c r="AT298" i="78" s="1"/>
  <c r="AU298" i="78"/>
  <c r="AV298" i="78" s="1"/>
  <c r="AW298" i="78"/>
  <c r="AX298" i="78" s="1"/>
  <c r="AY298" i="78"/>
  <c r="AZ298" i="78" s="1"/>
  <c r="AS299" i="78"/>
  <c r="AT299" i="78" s="1"/>
  <c r="AU299" i="78"/>
  <c r="AV299" i="78" s="1"/>
  <c r="AW299" i="78"/>
  <c r="AX299" i="78" s="1"/>
  <c r="AY299" i="78"/>
  <c r="AZ299" i="78" s="1"/>
  <c r="AS300" i="78"/>
  <c r="AT300" i="78" s="1"/>
  <c r="AU300" i="78"/>
  <c r="AV300" i="78" s="1"/>
  <c r="AW300" i="78"/>
  <c r="AX300" i="78" s="1"/>
  <c r="AY300" i="78"/>
  <c r="AZ300" i="78" s="1"/>
  <c r="AS301" i="78"/>
  <c r="AT301" i="78" s="1"/>
  <c r="AU301" i="78"/>
  <c r="AV301" i="78" s="1"/>
  <c r="AW301" i="78"/>
  <c r="AX301" i="78" s="1"/>
  <c r="AY301" i="78"/>
  <c r="AZ301" i="78" s="1"/>
  <c r="AS302" i="78"/>
  <c r="AT302" i="78" s="1"/>
  <c r="AU302" i="78"/>
  <c r="AV302" i="78" s="1"/>
  <c r="AW302" i="78"/>
  <c r="AX302" i="78" s="1"/>
  <c r="AY302" i="78"/>
  <c r="AZ302" i="78" s="1"/>
  <c r="AS303" i="78"/>
  <c r="AT303" i="78" s="1"/>
  <c r="AU303" i="78"/>
  <c r="AV303" i="78" s="1"/>
  <c r="AW303" i="78"/>
  <c r="AX303" i="78" s="1"/>
  <c r="AY303" i="78"/>
  <c r="AZ303" i="78" s="1"/>
  <c r="AS304" i="78"/>
  <c r="AT304" i="78" s="1"/>
  <c r="AU304" i="78"/>
  <c r="AV304" i="78" s="1"/>
  <c r="AW304" i="78"/>
  <c r="AX304" i="78" s="1"/>
  <c r="AY304" i="78"/>
  <c r="AZ304" i="78" s="1"/>
  <c r="AS305" i="78"/>
  <c r="AT305" i="78" s="1"/>
  <c r="AU305" i="78"/>
  <c r="AV305" i="78" s="1"/>
  <c r="AW305" i="78"/>
  <c r="AX305" i="78" s="1"/>
  <c r="AY305" i="78"/>
  <c r="AZ305" i="78" s="1"/>
  <c r="AS306" i="78"/>
  <c r="AT306" i="78" s="1"/>
  <c r="AU306" i="78"/>
  <c r="AV306" i="78" s="1"/>
  <c r="AW306" i="78"/>
  <c r="AX306" i="78" s="1"/>
  <c r="AY306" i="78"/>
  <c r="AZ306" i="78" s="1"/>
  <c r="AS307" i="78"/>
  <c r="AT307" i="78" s="1"/>
  <c r="AU307" i="78"/>
  <c r="AV307" i="78" s="1"/>
  <c r="AW307" i="78"/>
  <c r="AX307" i="78" s="1"/>
  <c r="AY307" i="78"/>
  <c r="AZ307" i="78" s="1"/>
  <c r="AS308" i="78"/>
  <c r="AT308" i="78" s="1"/>
  <c r="AU308" i="78"/>
  <c r="AV308" i="78" s="1"/>
  <c r="AW308" i="78"/>
  <c r="AX308" i="78" s="1"/>
  <c r="AY308" i="78"/>
  <c r="AZ308" i="78" s="1"/>
  <c r="AS309" i="78"/>
  <c r="AT309" i="78" s="1"/>
  <c r="AU309" i="78"/>
  <c r="AV309" i="78" s="1"/>
  <c r="AW309" i="78"/>
  <c r="AX309" i="78" s="1"/>
  <c r="AY309" i="78"/>
  <c r="AZ309" i="78" s="1"/>
  <c r="AS310" i="78"/>
  <c r="AT310" i="78" s="1"/>
  <c r="AU310" i="78"/>
  <c r="AV310" i="78" s="1"/>
  <c r="AW310" i="78"/>
  <c r="AX310" i="78" s="1"/>
  <c r="AY310" i="78"/>
  <c r="AZ310" i="78" s="1"/>
  <c r="AS311" i="78"/>
  <c r="AT311" i="78" s="1"/>
  <c r="AU311" i="78"/>
  <c r="AV311" i="78" s="1"/>
  <c r="AW311" i="78"/>
  <c r="AX311" i="78" s="1"/>
  <c r="AY311" i="78"/>
  <c r="AZ311" i="78" s="1"/>
  <c r="AS312" i="78"/>
  <c r="AT312" i="78" s="1"/>
  <c r="AU312" i="78"/>
  <c r="AV312" i="78" s="1"/>
  <c r="AW312" i="78"/>
  <c r="AX312" i="78" s="1"/>
  <c r="AY312" i="78"/>
  <c r="AZ312" i="78" s="1"/>
  <c r="AS313" i="78"/>
  <c r="AT313" i="78" s="1"/>
  <c r="AU313" i="78"/>
  <c r="AV313" i="78" s="1"/>
  <c r="AW313" i="78"/>
  <c r="AX313" i="78" s="1"/>
  <c r="AY313" i="78"/>
  <c r="AZ313" i="78" s="1"/>
  <c r="AS314" i="78"/>
  <c r="AT314" i="78" s="1"/>
  <c r="AU314" i="78"/>
  <c r="AV314" i="78" s="1"/>
  <c r="AW314" i="78"/>
  <c r="AX314" i="78" s="1"/>
  <c r="AY314" i="78"/>
  <c r="AZ314" i="78" s="1"/>
  <c r="AS315" i="78"/>
  <c r="AT315" i="78" s="1"/>
  <c r="AU315" i="78"/>
  <c r="AV315" i="78" s="1"/>
  <c r="AW315" i="78"/>
  <c r="AX315" i="78" s="1"/>
  <c r="AY315" i="78"/>
  <c r="AZ315" i="78" s="1"/>
  <c r="AS316" i="78"/>
  <c r="AT316" i="78" s="1"/>
  <c r="AU316" i="78"/>
  <c r="AV316" i="78" s="1"/>
  <c r="AW316" i="78"/>
  <c r="AX316" i="78" s="1"/>
  <c r="AY316" i="78"/>
  <c r="AZ316" i="78" s="1"/>
  <c r="AS317" i="78"/>
  <c r="AT317" i="78" s="1"/>
  <c r="AU317" i="78"/>
  <c r="AV317" i="78" s="1"/>
  <c r="AW317" i="78"/>
  <c r="AX317" i="78" s="1"/>
  <c r="AY317" i="78"/>
  <c r="AZ317" i="78" s="1"/>
  <c r="AY5" i="78"/>
  <c r="AW5" i="78"/>
  <c r="AU5" i="78"/>
  <c r="AS5" i="78"/>
  <c r="F54" i="32" l="1"/>
  <c r="E54" i="32"/>
  <c r="D42" i="32"/>
  <c r="AV5" i="78"/>
  <c r="AU4" i="78"/>
  <c r="BR5" i="78"/>
  <c r="BQ4" i="78"/>
  <c r="AX5" i="78"/>
  <c r="AW4" i="78"/>
  <c r="BT5" i="78"/>
  <c r="BS4" i="78"/>
  <c r="AZ5" i="78"/>
  <c r="AY4" i="78"/>
  <c r="BV5" i="78"/>
  <c r="BU4" i="78"/>
  <c r="BE5" i="78"/>
  <c r="BD4" i="78"/>
  <c r="BG5" i="78"/>
  <c r="BF4" i="78"/>
  <c r="BI5" i="78"/>
  <c r="BH4" i="78"/>
  <c r="BK5" i="78"/>
  <c r="BJ4" i="78"/>
  <c r="AT5" i="78"/>
  <c r="AS4" i="78"/>
  <c r="BP5" i="78"/>
  <c r="BO4" i="78"/>
  <c r="BI261" i="78"/>
  <c r="BG261" i="78"/>
  <c r="BE261" i="78"/>
  <c r="AZ261" i="78"/>
  <c r="BV261" i="78"/>
  <c r="BT261" i="78"/>
  <c r="AV261" i="78"/>
  <c r="BR261" i="78"/>
  <c r="AT261" i="78"/>
  <c r="BP261" i="78"/>
  <c r="AX261" i="78"/>
  <c r="BK261" i="78"/>
  <c r="F42" i="32"/>
  <c r="E42" i="32"/>
  <c r="BI46" i="78"/>
  <c r="BG46" i="78"/>
  <c r="BE46" i="78"/>
  <c r="BK46" i="78"/>
  <c r="O4" i="54"/>
  <c r="N4" i="54"/>
  <c r="M4" i="54"/>
  <c r="L4" i="54"/>
  <c r="AX4" i="78" l="1"/>
  <c r="BK4" i="78"/>
  <c r="BV4" i="78"/>
  <c r="BR4" i="78"/>
  <c r="AZ4" i="78"/>
  <c r="AV4" i="78"/>
  <c r="BP4" i="78"/>
  <c r="BG4" i="78"/>
  <c r="BT4" i="78"/>
  <c r="BI4" i="78"/>
  <c r="AT4" i="78"/>
  <c r="F19" i="32" s="1"/>
  <c r="BE4" i="78"/>
  <c r="F20" i="32"/>
  <c r="F56" i="32" l="1"/>
  <c r="BC5" i="36" l="1"/>
  <c r="BC318" i="36"/>
  <c r="AO318" i="36"/>
  <c r="AA318" i="36"/>
  <c r="BC317" i="36"/>
  <c r="AO317" i="36"/>
  <c r="AA317" i="36"/>
  <c r="BC316" i="36"/>
  <c r="AO316" i="36"/>
  <c r="AA316" i="36"/>
  <c r="BC315" i="36"/>
  <c r="AO315" i="36"/>
  <c r="AA315" i="36"/>
  <c r="BC314" i="36"/>
  <c r="AO314" i="36"/>
  <c r="AA314" i="36"/>
  <c r="BC313" i="36"/>
  <c r="AO313" i="36"/>
  <c r="AA313" i="36"/>
  <c r="BC312" i="36"/>
  <c r="AO312" i="36"/>
  <c r="AA312" i="36"/>
  <c r="BC311" i="36"/>
  <c r="AO311" i="36"/>
  <c r="AA311" i="36"/>
  <c r="BC310" i="36"/>
  <c r="AO310" i="36"/>
  <c r="AA310" i="36"/>
  <c r="BC309" i="36"/>
  <c r="AO309" i="36"/>
  <c r="AA309" i="36"/>
  <c r="BC308" i="36"/>
  <c r="AO308" i="36"/>
  <c r="AA308" i="36"/>
  <c r="BC307" i="36"/>
  <c r="AO307" i="36"/>
  <c r="AA307" i="36"/>
  <c r="BC306" i="36"/>
  <c r="AO306" i="36"/>
  <c r="AA306" i="36"/>
  <c r="BC305" i="36"/>
  <c r="AO305" i="36"/>
  <c r="AA305" i="36"/>
  <c r="BC304" i="36"/>
  <c r="AO304" i="36"/>
  <c r="AA304" i="36"/>
  <c r="BC303" i="36"/>
  <c r="AO303" i="36"/>
  <c r="AA303" i="36"/>
  <c r="BC302" i="36"/>
  <c r="AO302" i="36"/>
  <c r="AA302" i="36"/>
  <c r="BC301" i="36"/>
  <c r="AO301" i="36"/>
  <c r="AA301" i="36"/>
  <c r="BC300" i="36"/>
  <c r="AO300" i="36"/>
  <c r="AA300" i="36"/>
  <c r="BC299" i="36"/>
  <c r="AO299" i="36"/>
  <c r="AA299" i="36"/>
  <c r="BC298" i="36"/>
  <c r="AO298" i="36"/>
  <c r="AA298" i="36"/>
  <c r="BC297" i="36"/>
  <c r="AO297" i="36"/>
  <c r="AA297" i="36"/>
  <c r="BC296" i="36"/>
  <c r="AO296" i="36"/>
  <c r="AA296" i="36"/>
  <c r="BC295" i="36"/>
  <c r="AO295" i="36"/>
  <c r="AA295" i="36"/>
  <c r="BC294" i="36"/>
  <c r="AO294" i="36"/>
  <c r="AA294" i="36"/>
  <c r="BC293" i="36"/>
  <c r="AO293" i="36"/>
  <c r="AA293" i="36"/>
  <c r="BC292" i="36"/>
  <c r="AO292" i="36"/>
  <c r="AA292" i="36"/>
  <c r="BC291" i="36"/>
  <c r="AO291" i="36"/>
  <c r="AA291" i="36"/>
  <c r="BC290" i="36"/>
  <c r="AO290" i="36"/>
  <c r="AA290" i="36"/>
  <c r="BC289" i="36"/>
  <c r="AO289" i="36"/>
  <c r="AA289" i="36"/>
  <c r="BC288" i="36"/>
  <c r="AO288" i="36"/>
  <c r="AA288" i="36"/>
  <c r="BC287" i="36"/>
  <c r="AO287" i="36"/>
  <c r="AA287" i="36"/>
  <c r="BC286" i="36"/>
  <c r="AO286" i="36"/>
  <c r="AA286" i="36"/>
  <c r="BC285" i="36"/>
  <c r="AO285" i="36"/>
  <c r="AA285" i="36"/>
  <c r="BC284" i="36"/>
  <c r="AO284" i="36"/>
  <c r="AA284" i="36"/>
  <c r="BC283" i="36"/>
  <c r="AO283" i="36"/>
  <c r="AA283" i="36"/>
  <c r="BC282" i="36"/>
  <c r="AO282" i="36"/>
  <c r="AA282" i="36"/>
  <c r="BC281" i="36"/>
  <c r="AO281" i="36"/>
  <c r="AA281" i="36"/>
  <c r="BC280" i="36"/>
  <c r="AO280" i="36"/>
  <c r="AA280" i="36"/>
  <c r="BC279" i="36"/>
  <c r="AO279" i="36"/>
  <c r="AA279" i="36"/>
  <c r="BC278" i="36"/>
  <c r="AO278" i="36"/>
  <c r="AA278" i="36"/>
  <c r="BC277" i="36"/>
  <c r="AO277" i="36"/>
  <c r="AA277" i="36"/>
  <c r="BC276" i="36"/>
  <c r="AO276" i="36"/>
  <c r="AA276" i="36"/>
  <c r="BC275" i="36"/>
  <c r="AO275" i="36"/>
  <c r="AA275" i="36"/>
  <c r="BC274" i="36"/>
  <c r="AO274" i="36"/>
  <c r="AA274" i="36"/>
  <c r="BC273" i="36"/>
  <c r="AO273" i="36"/>
  <c r="AA273" i="36"/>
  <c r="BC272" i="36"/>
  <c r="AO272" i="36"/>
  <c r="AA272" i="36"/>
  <c r="BC271" i="36"/>
  <c r="AO271" i="36"/>
  <c r="AA271" i="36"/>
  <c r="BC270" i="36"/>
  <c r="AO270" i="36"/>
  <c r="AA270" i="36"/>
  <c r="BC269" i="36"/>
  <c r="AO269" i="36"/>
  <c r="AA269" i="36"/>
  <c r="BC268" i="36"/>
  <c r="AO268" i="36"/>
  <c r="AA268" i="36"/>
  <c r="BC267" i="36"/>
  <c r="AO267" i="36"/>
  <c r="AA267" i="36"/>
  <c r="BC266" i="36"/>
  <c r="AO266" i="36"/>
  <c r="AA266" i="36"/>
  <c r="BC265" i="36"/>
  <c r="AO265" i="36"/>
  <c r="AA265" i="36"/>
  <c r="BC264" i="36"/>
  <c r="AO264" i="36"/>
  <c r="AA264" i="36"/>
  <c r="BC263" i="36"/>
  <c r="AO263" i="36"/>
  <c r="AA263" i="36"/>
  <c r="BC262" i="36"/>
  <c r="AO262" i="36"/>
  <c r="AA262" i="36"/>
  <c r="BC261" i="36"/>
  <c r="AO261" i="36"/>
  <c r="AA261" i="36"/>
  <c r="BC260" i="36"/>
  <c r="AO260" i="36"/>
  <c r="AA260" i="36"/>
  <c r="BC259" i="36"/>
  <c r="AO259" i="36"/>
  <c r="AA259" i="36"/>
  <c r="BC258" i="36"/>
  <c r="AO258" i="36"/>
  <c r="AA258" i="36"/>
  <c r="BC257" i="36"/>
  <c r="AO257" i="36"/>
  <c r="AA257" i="36"/>
  <c r="BC256" i="36"/>
  <c r="AO256" i="36"/>
  <c r="AA256" i="36"/>
  <c r="BC255" i="36"/>
  <c r="AO255" i="36"/>
  <c r="AA255" i="36"/>
  <c r="BC254" i="36"/>
  <c r="AO254" i="36"/>
  <c r="AA254" i="36"/>
  <c r="BC253" i="36"/>
  <c r="AO253" i="36"/>
  <c r="AA253" i="36"/>
  <c r="BC252" i="36"/>
  <c r="AO252" i="36"/>
  <c r="AA252" i="36"/>
  <c r="BC251" i="36"/>
  <c r="AO251" i="36"/>
  <c r="AA251" i="36"/>
  <c r="BC250" i="36"/>
  <c r="AO250" i="36"/>
  <c r="AA250" i="36"/>
  <c r="BC249" i="36"/>
  <c r="AO249" i="36"/>
  <c r="AA249" i="36"/>
  <c r="BC248" i="36"/>
  <c r="AO248" i="36"/>
  <c r="AA248" i="36"/>
  <c r="BC247" i="36"/>
  <c r="AO247" i="36"/>
  <c r="AA247" i="36"/>
  <c r="BC246" i="36"/>
  <c r="AO246" i="36"/>
  <c r="AA246" i="36"/>
  <c r="BC245" i="36"/>
  <c r="AO245" i="36"/>
  <c r="AA245" i="36"/>
  <c r="BC244" i="36"/>
  <c r="AO244" i="36"/>
  <c r="AA244" i="36"/>
  <c r="BC243" i="36"/>
  <c r="AO243" i="36"/>
  <c r="AA243" i="36"/>
  <c r="BC242" i="36"/>
  <c r="AO242" i="36"/>
  <c r="AA242" i="36"/>
  <c r="BC241" i="36"/>
  <c r="AO241" i="36"/>
  <c r="AA241" i="36"/>
  <c r="BC240" i="36"/>
  <c r="AO240" i="36"/>
  <c r="AA240" i="36"/>
  <c r="BC239" i="36"/>
  <c r="AO239" i="36"/>
  <c r="AA239" i="36"/>
  <c r="BC238" i="36"/>
  <c r="AO238" i="36"/>
  <c r="AA238" i="36"/>
  <c r="BC237" i="36"/>
  <c r="AO237" i="36"/>
  <c r="AA237" i="36"/>
  <c r="BC236" i="36"/>
  <c r="AO236" i="36"/>
  <c r="AA236" i="36"/>
  <c r="BC235" i="36"/>
  <c r="AO235" i="36"/>
  <c r="AA235" i="36"/>
  <c r="BC234" i="36"/>
  <c r="AO234" i="36"/>
  <c r="AA234" i="36"/>
  <c r="BC233" i="36"/>
  <c r="AO233" i="36"/>
  <c r="AA233" i="36"/>
  <c r="BC232" i="36"/>
  <c r="AO232" i="36"/>
  <c r="AA232" i="36"/>
  <c r="BC231" i="36"/>
  <c r="AO231" i="36"/>
  <c r="AA231" i="36"/>
  <c r="BC230" i="36"/>
  <c r="AO230" i="36"/>
  <c r="AA230" i="36"/>
  <c r="BC229" i="36"/>
  <c r="AO229" i="36"/>
  <c r="AA229" i="36"/>
  <c r="BC228" i="36"/>
  <c r="AO228" i="36"/>
  <c r="AA228" i="36"/>
  <c r="BC227" i="36"/>
  <c r="AO227" i="36"/>
  <c r="AA227" i="36"/>
  <c r="BC226" i="36"/>
  <c r="AO226" i="36"/>
  <c r="AA226" i="36"/>
  <c r="BC225" i="36"/>
  <c r="AO225" i="36"/>
  <c r="AA225" i="36"/>
  <c r="BC224" i="36"/>
  <c r="AO224" i="36"/>
  <c r="AA224" i="36"/>
  <c r="BC223" i="36"/>
  <c r="AO223" i="36"/>
  <c r="AA223" i="36"/>
  <c r="BC222" i="36"/>
  <c r="AO222" i="36"/>
  <c r="AA222" i="36"/>
  <c r="BC221" i="36"/>
  <c r="AO221" i="36"/>
  <c r="AA221" i="36"/>
  <c r="BC220" i="36"/>
  <c r="AO220" i="36"/>
  <c r="AA220" i="36"/>
  <c r="BC219" i="36"/>
  <c r="AO219" i="36"/>
  <c r="AA219" i="36"/>
  <c r="BC218" i="36"/>
  <c r="AO218" i="36"/>
  <c r="AA218" i="36"/>
  <c r="BC217" i="36"/>
  <c r="AO217" i="36"/>
  <c r="AA217" i="36"/>
  <c r="BC216" i="36"/>
  <c r="AO216" i="36"/>
  <c r="AA216" i="36"/>
  <c r="BC215" i="36"/>
  <c r="AO215" i="36"/>
  <c r="AA215" i="36"/>
  <c r="BC214" i="36"/>
  <c r="AO214" i="36"/>
  <c r="AA214" i="36"/>
  <c r="BC213" i="36"/>
  <c r="AO213" i="36"/>
  <c r="AA213" i="36"/>
  <c r="BC212" i="36"/>
  <c r="AO212" i="36"/>
  <c r="AA212" i="36"/>
  <c r="BC211" i="36"/>
  <c r="AO211" i="36"/>
  <c r="AA211" i="36"/>
  <c r="BC210" i="36"/>
  <c r="AO210" i="36"/>
  <c r="AA210" i="36"/>
  <c r="BC209" i="36"/>
  <c r="AO209" i="36"/>
  <c r="AA209" i="36"/>
  <c r="BC208" i="36"/>
  <c r="AO208" i="36"/>
  <c r="AA208" i="36"/>
  <c r="BC207" i="36"/>
  <c r="AO207" i="36"/>
  <c r="AA207" i="36"/>
  <c r="BC206" i="36"/>
  <c r="AO206" i="36"/>
  <c r="AA206" i="36"/>
  <c r="BC205" i="36"/>
  <c r="AO205" i="36"/>
  <c r="AA205" i="36"/>
  <c r="BC204" i="36"/>
  <c r="AO204" i="36"/>
  <c r="AA204" i="36"/>
  <c r="BC203" i="36"/>
  <c r="AO203" i="36"/>
  <c r="AA203" i="36"/>
  <c r="BC202" i="36"/>
  <c r="AO202" i="36"/>
  <c r="AA202" i="36"/>
  <c r="BC201" i="36"/>
  <c r="AO201" i="36"/>
  <c r="AA201" i="36"/>
  <c r="BC200" i="36"/>
  <c r="AO200" i="36"/>
  <c r="AA200" i="36"/>
  <c r="BC199" i="36"/>
  <c r="AO199" i="36"/>
  <c r="AA199" i="36"/>
  <c r="BC198" i="36"/>
  <c r="AO198" i="36"/>
  <c r="AA198" i="36"/>
  <c r="BC197" i="36"/>
  <c r="AO197" i="36"/>
  <c r="AA197" i="36"/>
  <c r="BC196" i="36"/>
  <c r="AO196" i="36"/>
  <c r="AA196" i="36"/>
  <c r="BC195" i="36"/>
  <c r="AO195" i="36"/>
  <c r="AA195" i="36"/>
  <c r="BC194" i="36"/>
  <c r="AO194" i="36"/>
  <c r="AA194" i="36"/>
  <c r="BC193" i="36"/>
  <c r="AO193" i="36"/>
  <c r="AA193" i="36"/>
  <c r="BC192" i="36"/>
  <c r="AO192" i="36"/>
  <c r="AA192" i="36"/>
  <c r="BC191" i="36"/>
  <c r="AO191" i="36"/>
  <c r="AA191" i="36"/>
  <c r="BC190" i="36"/>
  <c r="AO190" i="36"/>
  <c r="AA190" i="36"/>
  <c r="BC189" i="36"/>
  <c r="AO189" i="36"/>
  <c r="AA189" i="36"/>
  <c r="BC188" i="36"/>
  <c r="AO188" i="36"/>
  <c r="AA188" i="36"/>
  <c r="BC187" i="36"/>
  <c r="AO187" i="36"/>
  <c r="AA187" i="36"/>
  <c r="BC186" i="36"/>
  <c r="AO186" i="36"/>
  <c r="AA186" i="36"/>
  <c r="BC185" i="36"/>
  <c r="AO185" i="36"/>
  <c r="AA185" i="36"/>
  <c r="BC184" i="36"/>
  <c r="AO184" i="36"/>
  <c r="AA184" i="36"/>
  <c r="BC183" i="36"/>
  <c r="AO183" i="36"/>
  <c r="AA183" i="36"/>
  <c r="BC182" i="36"/>
  <c r="AO182" i="36"/>
  <c r="AA182" i="36"/>
  <c r="BC181" i="36"/>
  <c r="AO181" i="36"/>
  <c r="AA181" i="36"/>
  <c r="BC180" i="36"/>
  <c r="AO180" i="36"/>
  <c r="AA180" i="36"/>
  <c r="BC179" i="36"/>
  <c r="AO179" i="36"/>
  <c r="AA179" i="36"/>
  <c r="BC178" i="36"/>
  <c r="AO178" i="36"/>
  <c r="AA178" i="36"/>
  <c r="BC177" i="36"/>
  <c r="AO177" i="36"/>
  <c r="AA177" i="36"/>
  <c r="BC176" i="36"/>
  <c r="AO176" i="36"/>
  <c r="AA176" i="36"/>
  <c r="BC175" i="36"/>
  <c r="AO175" i="36"/>
  <c r="AA175" i="36"/>
  <c r="BC174" i="36"/>
  <c r="AO174" i="36"/>
  <c r="AA174" i="36"/>
  <c r="BC173" i="36"/>
  <c r="AO173" i="36"/>
  <c r="AA173" i="36"/>
  <c r="BC172" i="36"/>
  <c r="AO172" i="36"/>
  <c r="AA172" i="36"/>
  <c r="BC171" i="36"/>
  <c r="AO171" i="36"/>
  <c r="AA171" i="36"/>
  <c r="BC170" i="36"/>
  <c r="AO170" i="36"/>
  <c r="AA170" i="36"/>
  <c r="BC169" i="36"/>
  <c r="AO169" i="36"/>
  <c r="AA169" i="36"/>
  <c r="BC168" i="36"/>
  <c r="AO168" i="36"/>
  <c r="AA168" i="36"/>
  <c r="BC167" i="36"/>
  <c r="AO167" i="36"/>
  <c r="AA167" i="36"/>
  <c r="BC166" i="36"/>
  <c r="AO166" i="36"/>
  <c r="AA166" i="36"/>
  <c r="BC165" i="36"/>
  <c r="AO165" i="36"/>
  <c r="AA165" i="36"/>
  <c r="BC164" i="36"/>
  <c r="AO164" i="36"/>
  <c r="AA164" i="36"/>
  <c r="BC163" i="36"/>
  <c r="AO163" i="36"/>
  <c r="AA163" i="36"/>
  <c r="BC162" i="36"/>
  <c r="AO162" i="36"/>
  <c r="AA162" i="36"/>
  <c r="BC161" i="36"/>
  <c r="AO161" i="36"/>
  <c r="AA161" i="36"/>
  <c r="BC160" i="36"/>
  <c r="AO160" i="36"/>
  <c r="AA160" i="36"/>
  <c r="BC159" i="36"/>
  <c r="AO159" i="36"/>
  <c r="AA159" i="36"/>
  <c r="BC158" i="36"/>
  <c r="AO158" i="36"/>
  <c r="AA158" i="36"/>
  <c r="BC157" i="36"/>
  <c r="AO157" i="36"/>
  <c r="AA157" i="36"/>
  <c r="BC156" i="36"/>
  <c r="AO156" i="36"/>
  <c r="AA156" i="36"/>
  <c r="BC155" i="36"/>
  <c r="AO155" i="36"/>
  <c r="AA155" i="36"/>
  <c r="BC154" i="36"/>
  <c r="AO154" i="36"/>
  <c r="AA154" i="36"/>
  <c r="BC153" i="36"/>
  <c r="AO153" i="36"/>
  <c r="AA153" i="36"/>
  <c r="BC152" i="36"/>
  <c r="AO152" i="36"/>
  <c r="AA152" i="36"/>
  <c r="BC151" i="36"/>
  <c r="AO151" i="36"/>
  <c r="AA151" i="36"/>
  <c r="BC150" i="36"/>
  <c r="AO150" i="36"/>
  <c r="AA150" i="36"/>
  <c r="BC149" i="36"/>
  <c r="AO149" i="36"/>
  <c r="AA149" i="36"/>
  <c r="BC148" i="36"/>
  <c r="AO148" i="36"/>
  <c r="AA148" i="36"/>
  <c r="BC147" i="36"/>
  <c r="AO147" i="36"/>
  <c r="AA147" i="36"/>
  <c r="BC146" i="36"/>
  <c r="AO146" i="36"/>
  <c r="AA146" i="36"/>
  <c r="BC145" i="36"/>
  <c r="AO145" i="36"/>
  <c r="AA145" i="36"/>
  <c r="BC144" i="36"/>
  <c r="AO144" i="36"/>
  <c r="AA144" i="36"/>
  <c r="BC143" i="36"/>
  <c r="AO143" i="36"/>
  <c r="AA143" i="36"/>
  <c r="BC142" i="36"/>
  <c r="AO142" i="36"/>
  <c r="AA142" i="36"/>
  <c r="BC141" i="36"/>
  <c r="AO141" i="36"/>
  <c r="AA141" i="36"/>
  <c r="BC140" i="36"/>
  <c r="AO140" i="36"/>
  <c r="AA140" i="36"/>
  <c r="BC139" i="36"/>
  <c r="AO139" i="36"/>
  <c r="AA139" i="36"/>
  <c r="BC138" i="36"/>
  <c r="AO138" i="36"/>
  <c r="AA138" i="36"/>
  <c r="BC137" i="36"/>
  <c r="AO137" i="36"/>
  <c r="AA137" i="36"/>
  <c r="BC136" i="36"/>
  <c r="AO136" i="36"/>
  <c r="AA136" i="36"/>
  <c r="BC135" i="36"/>
  <c r="AO135" i="36"/>
  <c r="AA135" i="36"/>
  <c r="BC134" i="36"/>
  <c r="AO134" i="36"/>
  <c r="AA134" i="36"/>
  <c r="BC133" i="36"/>
  <c r="AO133" i="36"/>
  <c r="AA133" i="36"/>
  <c r="BC132" i="36"/>
  <c r="AO132" i="36"/>
  <c r="AA132" i="36"/>
  <c r="BC131" i="36"/>
  <c r="AO131" i="36"/>
  <c r="AA131" i="36"/>
  <c r="BC130" i="36"/>
  <c r="AO130" i="36"/>
  <c r="AA130" i="36"/>
  <c r="BC129" i="36"/>
  <c r="AO129" i="36"/>
  <c r="AA129" i="36"/>
  <c r="BC128" i="36"/>
  <c r="AO128" i="36"/>
  <c r="AA128" i="36"/>
  <c r="BC127" i="36"/>
  <c r="AO127" i="36"/>
  <c r="AA127" i="36"/>
  <c r="BC126" i="36"/>
  <c r="AO126" i="36"/>
  <c r="AA126" i="36"/>
  <c r="BC125" i="36"/>
  <c r="AO125" i="36"/>
  <c r="AA125" i="36"/>
  <c r="BC124" i="36"/>
  <c r="AO124" i="36"/>
  <c r="AA124" i="36"/>
  <c r="BC123" i="36"/>
  <c r="AO123" i="36"/>
  <c r="AA123" i="36"/>
  <c r="BC122" i="36"/>
  <c r="AO122" i="36"/>
  <c r="AA122" i="36"/>
  <c r="BC121" i="36"/>
  <c r="AO121" i="36"/>
  <c r="AA121" i="36"/>
  <c r="BC120" i="36"/>
  <c r="AO120" i="36"/>
  <c r="AA120" i="36"/>
  <c r="BC119" i="36"/>
  <c r="AO119" i="36"/>
  <c r="AA119" i="36"/>
  <c r="BC118" i="36"/>
  <c r="AO118" i="36"/>
  <c r="AA118" i="36"/>
  <c r="BC117" i="36"/>
  <c r="AO117" i="36"/>
  <c r="AA117" i="36"/>
  <c r="BC116" i="36"/>
  <c r="AO116" i="36"/>
  <c r="AA116" i="36"/>
  <c r="BC115" i="36"/>
  <c r="AO115" i="36"/>
  <c r="AA115" i="36"/>
  <c r="BC114" i="36"/>
  <c r="AO114" i="36"/>
  <c r="AA114" i="36"/>
  <c r="BC113" i="36"/>
  <c r="AO113" i="36"/>
  <c r="AA113" i="36"/>
  <c r="BC112" i="36"/>
  <c r="AO112" i="36"/>
  <c r="AA112" i="36"/>
  <c r="BC111" i="36"/>
  <c r="AO111" i="36"/>
  <c r="AA111" i="36"/>
  <c r="BC110" i="36"/>
  <c r="AO110" i="36"/>
  <c r="AA110" i="36"/>
  <c r="BC109" i="36"/>
  <c r="AO109" i="36"/>
  <c r="AA109" i="36"/>
  <c r="BC108" i="36"/>
  <c r="AO108" i="36"/>
  <c r="AA108" i="36"/>
  <c r="BC107" i="36"/>
  <c r="AO107" i="36"/>
  <c r="AA107" i="36"/>
  <c r="BC106" i="36"/>
  <c r="AO106" i="36"/>
  <c r="AA106" i="36"/>
  <c r="BC105" i="36"/>
  <c r="AO105" i="36"/>
  <c r="AA105" i="36"/>
  <c r="BC104" i="36"/>
  <c r="AO104" i="36"/>
  <c r="AA104" i="36"/>
  <c r="BC103" i="36"/>
  <c r="AO103" i="36"/>
  <c r="AA103" i="36"/>
  <c r="BC102" i="36"/>
  <c r="AO102" i="36"/>
  <c r="AA102" i="36"/>
  <c r="BC101" i="36"/>
  <c r="AO101" i="36"/>
  <c r="AA101" i="36"/>
  <c r="BC100" i="36"/>
  <c r="AO100" i="36"/>
  <c r="AA100" i="36"/>
  <c r="BC99" i="36"/>
  <c r="AO99" i="36"/>
  <c r="AA99" i="36"/>
  <c r="BC98" i="36"/>
  <c r="AO98" i="36"/>
  <c r="AA98" i="36"/>
  <c r="BC97" i="36"/>
  <c r="AO97" i="36"/>
  <c r="AA97" i="36"/>
  <c r="BC96" i="36"/>
  <c r="AO96" i="36"/>
  <c r="AA96" i="36"/>
  <c r="BC95" i="36"/>
  <c r="AO95" i="36"/>
  <c r="AA95" i="36"/>
  <c r="BC94" i="36"/>
  <c r="AO94" i="36"/>
  <c r="AA94" i="36"/>
  <c r="BC93" i="36"/>
  <c r="AO93" i="36"/>
  <c r="AA93" i="36"/>
  <c r="BC92" i="36"/>
  <c r="AO92" i="36"/>
  <c r="AA92" i="36"/>
  <c r="BC91" i="36"/>
  <c r="AO91" i="36"/>
  <c r="AA91" i="36"/>
  <c r="BC90" i="36"/>
  <c r="AO90" i="36"/>
  <c r="AA90" i="36"/>
  <c r="BC89" i="36"/>
  <c r="AO89" i="36"/>
  <c r="AA89" i="36"/>
  <c r="BC88" i="36"/>
  <c r="AO88" i="36"/>
  <c r="AA88" i="36"/>
  <c r="BC87" i="36"/>
  <c r="AO87" i="36"/>
  <c r="AA87" i="36"/>
  <c r="BC86" i="36"/>
  <c r="AO86" i="36"/>
  <c r="AA86" i="36"/>
  <c r="BC85" i="36"/>
  <c r="AO85" i="36"/>
  <c r="AA85" i="36"/>
  <c r="BC84" i="36"/>
  <c r="AO84" i="36"/>
  <c r="AA84" i="36"/>
  <c r="BC83" i="36"/>
  <c r="AO83" i="36"/>
  <c r="AA83" i="36"/>
  <c r="BC82" i="36"/>
  <c r="AO82" i="36"/>
  <c r="AA82" i="36"/>
  <c r="BC81" i="36"/>
  <c r="AO81" i="36"/>
  <c r="AA81" i="36"/>
  <c r="BC80" i="36"/>
  <c r="AO80" i="36"/>
  <c r="AA80" i="36"/>
  <c r="BC79" i="36"/>
  <c r="AO79" i="36"/>
  <c r="AA79" i="36"/>
  <c r="BC78" i="36"/>
  <c r="AO78" i="36"/>
  <c r="AA78" i="36"/>
  <c r="BC77" i="36"/>
  <c r="AO77" i="36"/>
  <c r="AA77" i="36"/>
  <c r="BC76" i="36"/>
  <c r="AO76" i="36"/>
  <c r="AA76" i="36"/>
  <c r="BC75" i="36"/>
  <c r="AO75" i="36"/>
  <c r="AA75" i="36"/>
  <c r="BC74" i="36"/>
  <c r="AO74" i="36"/>
  <c r="AA74" i="36"/>
  <c r="BC73" i="36"/>
  <c r="AO73" i="36"/>
  <c r="AA73" i="36"/>
  <c r="BC72" i="36"/>
  <c r="AO72" i="36"/>
  <c r="AA72" i="36"/>
  <c r="BC71" i="36"/>
  <c r="AO71" i="36"/>
  <c r="AA71" i="36"/>
  <c r="BC70" i="36"/>
  <c r="AO70" i="36"/>
  <c r="AA70" i="36"/>
  <c r="BC69" i="36"/>
  <c r="AO69" i="36"/>
  <c r="AA69" i="36"/>
  <c r="BC68" i="36"/>
  <c r="AO68" i="36"/>
  <c r="AA68" i="36"/>
  <c r="BC67" i="36"/>
  <c r="AO67" i="36"/>
  <c r="AA67" i="36"/>
  <c r="BC66" i="36"/>
  <c r="AO66" i="36"/>
  <c r="AA66" i="36"/>
  <c r="BC65" i="36"/>
  <c r="AO65" i="36"/>
  <c r="AA65" i="36"/>
  <c r="BC64" i="36"/>
  <c r="AO64" i="36"/>
  <c r="AA64" i="36"/>
  <c r="BC63" i="36"/>
  <c r="AO63" i="36"/>
  <c r="AA63" i="36"/>
  <c r="BC62" i="36"/>
  <c r="AO62" i="36"/>
  <c r="AA62" i="36"/>
  <c r="BC61" i="36"/>
  <c r="AO61" i="36"/>
  <c r="AA61" i="36"/>
  <c r="BC60" i="36"/>
  <c r="AO60" i="36"/>
  <c r="AA60" i="36"/>
  <c r="BC59" i="36"/>
  <c r="AO59" i="36"/>
  <c r="AA59" i="36"/>
  <c r="BC58" i="36"/>
  <c r="AO58" i="36"/>
  <c r="AA58" i="36"/>
  <c r="BC57" i="36"/>
  <c r="AO57" i="36"/>
  <c r="AA57" i="36"/>
  <c r="BC56" i="36"/>
  <c r="AO56" i="36"/>
  <c r="AA56" i="36"/>
  <c r="BC55" i="36"/>
  <c r="AO55" i="36"/>
  <c r="AA55" i="36"/>
  <c r="BC54" i="36"/>
  <c r="AO54" i="36"/>
  <c r="AA54" i="36"/>
  <c r="BC53" i="36"/>
  <c r="AO53" i="36"/>
  <c r="AA53" i="36"/>
  <c r="BC52" i="36"/>
  <c r="AO52" i="36"/>
  <c r="AA52" i="36"/>
  <c r="BC51" i="36"/>
  <c r="AO51" i="36"/>
  <c r="AA51" i="36"/>
  <c r="BC50" i="36"/>
  <c r="AO50" i="36"/>
  <c r="AA50" i="36"/>
  <c r="BC49" i="36"/>
  <c r="AO49" i="36"/>
  <c r="AA49" i="36"/>
  <c r="BC48" i="36"/>
  <c r="AO48" i="36"/>
  <c r="AA48" i="36"/>
  <c r="BC47" i="36"/>
  <c r="AO47" i="36"/>
  <c r="AA47" i="36"/>
  <c r="BC46" i="36"/>
  <c r="AO46" i="36"/>
  <c r="AA46" i="36"/>
  <c r="BC45" i="36"/>
  <c r="AO45" i="36"/>
  <c r="AA45" i="36"/>
  <c r="BC44" i="36"/>
  <c r="AO44" i="36"/>
  <c r="AA44" i="36"/>
  <c r="BC43" i="36"/>
  <c r="AO43" i="36"/>
  <c r="AA43" i="36"/>
  <c r="BC42" i="36"/>
  <c r="AO42" i="36"/>
  <c r="AA42" i="36"/>
  <c r="BC41" i="36"/>
  <c r="AO41" i="36"/>
  <c r="AA41" i="36"/>
  <c r="BC40" i="36"/>
  <c r="AO40" i="36"/>
  <c r="AA40" i="36"/>
  <c r="BC39" i="36"/>
  <c r="AO39" i="36"/>
  <c r="AA39" i="36"/>
  <c r="BC38" i="36"/>
  <c r="AO38" i="36"/>
  <c r="AA38" i="36"/>
  <c r="BC37" i="36"/>
  <c r="AO37" i="36"/>
  <c r="AA37" i="36"/>
  <c r="BC36" i="36"/>
  <c r="AO36" i="36"/>
  <c r="AA36" i="36"/>
  <c r="BC35" i="36"/>
  <c r="AO35" i="36"/>
  <c r="AA35" i="36"/>
  <c r="BC34" i="36"/>
  <c r="AO34" i="36"/>
  <c r="AA34" i="36"/>
  <c r="BC33" i="36"/>
  <c r="AO33" i="36"/>
  <c r="AA33" i="36"/>
  <c r="BC32" i="36"/>
  <c r="AO32" i="36"/>
  <c r="AA32" i="36"/>
  <c r="BC31" i="36"/>
  <c r="AO31" i="36"/>
  <c r="AA31" i="36"/>
  <c r="BC30" i="36"/>
  <c r="AO30" i="36"/>
  <c r="AA30" i="36"/>
  <c r="BC29" i="36"/>
  <c r="AO29" i="36"/>
  <c r="AA29" i="36"/>
  <c r="BC28" i="36"/>
  <c r="AO28" i="36"/>
  <c r="AA28" i="36"/>
  <c r="BC27" i="36"/>
  <c r="AO27" i="36"/>
  <c r="AA27" i="36"/>
  <c r="BC26" i="36"/>
  <c r="AO26" i="36"/>
  <c r="AA26" i="36"/>
  <c r="BC25" i="36"/>
  <c r="AO25" i="36"/>
  <c r="AA25" i="36"/>
  <c r="BC24" i="36"/>
  <c r="AO24" i="36"/>
  <c r="AA24" i="36"/>
  <c r="BC23" i="36"/>
  <c r="AO23" i="36"/>
  <c r="AA23" i="36"/>
  <c r="BC22" i="36"/>
  <c r="AO22" i="36"/>
  <c r="AA22" i="36"/>
  <c r="BC21" i="36"/>
  <c r="AO21" i="36"/>
  <c r="AA21" i="36"/>
  <c r="BC20" i="36"/>
  <c r="AO20" i="36"/>
  <c r="AA20" i="36"/>
  <c r="BC19" i="36"/>
  <c r="AO19" i="36"/>
  <c r="AA19" i="36"/>
  <c r="BC18" i="36"/>
  <c r="AO18" i="36"/>
  <c r="AA18" i="36"/>
  <c r="BC17" i="36"/>
  <c r="AO17" i="36"/>
  <c r="AA17" i="36"/>
  <c r="BC16" i="36"/>
  <c r="AO16" i="36"/>
  <c r="AA16" i="36"/>
  <c r="BC15" i="36"/>
  <c r="AO15" i="36"/>
  <c r="AA15" i="36"/>
  <c r="BC14" i="36"/>
  <c r="AO14" i="36"/>
  <c r="AA14" i="36"/>
  <c r="BC13" i="36"/>
  <c r="AO13" i="36"/>
  <c r="AA13" i="36"/>
  <c r="BC12" i="36"/>
  <c r="AO12" i="36"/>
  <c r="AA12" i="36"/>
  <c r="BC11" i="36"/>
  <c r="AO11" i="36"/>
  <c r="AA11" i="36"/>
  <c r="BC10" i="36"/>
  <c r="AO10" i="36"/>
  <c r="AA10" i="36"/>
  <c r="BC9" i="36"/>
  <c r="AO9" i="36"/>
  <c r="AA9" i="36"/>
  <c r="BC8" i="36"/>
  <c r="AO8" i="36"/>
  <c r="AA8" i="36"/>
  <c r="BC7" i="36"/>
  <c r="AO7" i="36"/>
  <c r="AA7" i="36"/>
  <c r="BC6" i="36"/>
  <c r="AO6" i="36"/>
  <c r="AA6" i="36"/>
  <c r="AO5" i="36"/>
  <c r="AA5" i="36"/>
  <c r="AS1" i="36"/>
  <c r="AT1" i="36" s="1"/>
  <c r="AU1" i="36" s="1"/>
  <c r="AV1" i="36" s="1"/>
  <c r="AW1" i="36" s="1"/>
  <c r="AX1" i="36" s="1"/>
  <c r="AY1" i="36" s="1"/>
  <c r="AZ1" i="36" s="1"/>
  <c r="BA1" i="36" s="1"/>
  <c r="BB1" i="36" s="1"/>
  <c r="BC1" i="36" s="1"/>
  <c r="BD1" i="36" s="1"/>
  <c r="AE1" i="36"/>
  <c r="AF1" i="36" s="1"/>
  <c r="AG1" i="36" s="1"/>
  <c r="AH1" i="36" s="1"/>
  <c r="AI1" i="36" s="1"/>
  <c r="AJ1" i="36" s="1"/>
  <c r="AK1" i="36" s="1"/>
  <c r="AL1" i="36" s="1"/>
  <c r="AM1" i="36" s="1"/>
  <c r="AN1" i="36" s="1"/>
  <c r="AO1" i="36" s="1"/>
  <c r="AP1" i="36" s="1"/>
  <c r="Q1" i="36"/>
  <c r="R1" i="36" s="1"/>
  <c r="S1" i="36" s="1"/>
  <c r="T1" i="36" s="1"/>
  <c r="U1" i="36" s="1"/>
  <c r="V1" i="36" s="1"/>
  <c r="W1" i="36" s="1"/>
  <c r="X1" i="36" s="1"/>
  <c r="Y1" i="36" s="1"/>
  <c r="Z1" i="36" s="1"/>
  <c r="AA1" i="36" s="1"/>
  <c r="AB1" i="36" s="1"/>
  <c r="C1" i="36"/>
  <c r="D1" i="36" s="1"/>
  <c r="E1" i="36" s="1"/>
  <c r="F1" i="36" s="1"/>
  <c r="G1" i="36" s="1"/>
  <c r="H1" i="36" s="1"/>
  <c r="I1" i="36" s="1"/>
  <c r="J1" i="36" s="1"/>
  <c r="K1" i="36" s="1"/>
  <c r="L1" i="36" s="1"/>
  <c r="M1" i="36" s="1"/>
  <c r="N1" i="36" s="1"/>
  <c r="AO4" i="36" l="1"/>
  <c r="BC4" i="36"/>
  <c r="AA4" i="36"/>
  <c r="AH6" i="78"/>
  <c r="AI6" i="78" s="1"/>
  <c r="AJ6" i="78"/>
  <c r="AK6" i="78" s="1"/>
  <c r="AL6" i="78"/>
  <c r="AM6" i="78" s="1"/>
  <c r="AN6" i="78"/>
  <c r="AO6" i="78" s="1"/>
  <c r="AH7" i="78"/>
  <c r="AI7" i="78" s="1"/>
  <c r="AJ7" i="78"/>
  <c r="AK7" i="78" s="1"/>
  <c r="AL7" i="78"/>
  <c r="AM7" i="78" s="1"/>
  <c r="AN7" i="78"/>
  <c r="AO7" i="78" s="1"/>
  <c r="AH8" i="78"/>
  <c r="AI8" i="78" s="1"/>
  <c r="AJ8" i="78"/>
  <c r="AK8" i="78" s="1"/>
  <c r="AL8" i="78"/>
  <c r="AM8" i="78" s="1"/>
  <c r="AN8" i="78"/>
  <c r="AO8" i="78" s="1"/>
  <c r="AH9" i="78"/>
  <c r="AI9" i="78" s="1"/>
  <c r="AJ9" i="78"/>
  <c r="AK9" i="78" s="1"/>
  <c r="AL9" i="78"/>
  <c r="AM9" i="78" s="1"/>
  <c r="AN9" i="78"/>
  <c r="AO9" i="78" s="1"/>
  <c r="AH10" i="78"/>
  <c r="AI10" i="78" s="1"/>
  <c r="AJ10" i="78"/>
  <c r="AK10" i="78" s="1"/>
  <c r="AL10" i="78"/>
  <c r="AM10" i="78" s="1"/>
  <c r="AN10" i="78"/>
  <c r="AO10" i="78" s="1"/>
  <c r="AH11" i="78"/>
  <c r="AI11" i="78" s="1"/>
  <c r="AJ11" i="78"/>
  <c r="AK11" i="78" s="1"/>
  <c r="AL11" i="78"/>
  <c r="AM11" i="78" s="1"/>
  <c r="AN11" i="78"/>
  <c r="AO11" i="78" s="1"/>
  <c r="AH12" i="78"/>
  <c r="AI12" i="78" s="1"/>
  <c r="AJ12" i="78"/>
  <c r="AK12" i="78" s="1"/>
  <c r="AL12" i="78"/>
  <c r="AM12" i="78" s="1"/>
  <c r="AN12" i="78"/>
  <c r="AO12" i="78" s="1"/>
  <c r="AH13" i="78"/>
  <c r="AI13" i="78" s="1"/>
  <c r="AJ13" i="78"/>
  <c r="AK13" i="78" s="1"/>
  <c r="AL13" i="78"/>
  <c r="AM13" i="78" s="1"/>
  <c r="AN13" i="78"/>
  <c r="AO13" i="78" s="1"/>
  <c r="AH14" i="78"/>
  <c r="AI14" i="78" s="1"/>
  <c r="AJ14" i="78"/>
  <c r="AK14" i="78" s="1"/>
  <c r="AL14" i="78"/>
  <c r="AM14" i="78" s="1"/>
  <c r="AN14" i="78"/>
  <c r="AO14" i="78" s="1"/>
  <c r="AH15" i="78"/>
  <c r="AI15" i="78" s="1"/>
  <c r="AJ15" i="78"/>
  <c r="AK15" i="78" s="1"/>
  <c r="AL15" i="78"/>
  <c r="AM15" i="78" s="1"/>
  <c r="AN15" i="78"/>
  <c r="AO15" i="78" s="1"/>
  <c r="AH16" i="78"/>
  <c r="AI16" i="78" s="1"/>
  <c r="AJ16" i="78"/>
  <c r="AK16" i="78" s="1"/>
  <c r="AL16" i="78"/>
  <c r="AM16" i="78" s="1"/>
  <c r="AN16" i="78"/>
  <c r="AO16" i="78" s="1"/>
  <c r="AH17" i="78"/>
  <c r="AI17" i="78" s="1"/>
  <c r="AJ17" i="78"/>
  <c r="AK17" i="78" s="1"/>
  <c r="AL17" i="78"/>
  <c r="AM17" i="78" s="1"/>
  <c r="AN17" i="78"/>
  <c r="AO17" i="78" s="1"/>
  <c r="AH18" i="78"/>
  <c r="AI18" i="78" s="1"/>
  <c r="AJ18" i="78"/>
  <c r="AK18" i="78" s="1"/>
  <c r="AL18" i="78"/>
  <c r="AM18" i="78" s="1"/>
  <c r="AN18" i="78"/>
  <c r="AO18" i="78" s="1"/>
  <c r="AH19" i="78"/>
  <c r="AI19" i="78" s="1"/>
  <c r="AJ19" i="78"/>
  <c r="AK19" i="78" s="1"/>
  <c r="AL19" i="78"/>
  <c r="AM19" i="78" s="1"/>
  <c r="AN19" i="78"/>
  <c r="AO19" i="78" s="1"/>
  <c r="AH20" i="78"/>
  <c r="AI20" i="78" s="1"/>
  <c r="AJ20" i="78"/>
  <c r="AK20" i="78" s="1"/>
  <c r="AL20" i="78"/>
  <c r="AM20" i="78" s="1"/>
  <c r="AN20" i="78"/>
  <c r="AO20" i="78" s="1"/>
  <c r="AH21" i="78"/>
  <c r="AI21" i="78" s="1"/>
  <c r="AJ21" i="78"/>
  <c r="AK21" i="78" s="1"/>
  <c r="AL21" i="78"/>
  <c r="AM21" i="78" s="1"/>
  <c r="AN21" i="78"/>
  <c r="AO21" i="78" s="1"/>
  <c r="AH22" i="78"/>
  <c r="AI22" i="78" s="1"/>
  <c r="AJ22" i="78"/>
  <c r="AK22" i="78" s="1"/>
  <c r="AL22" i="78"/>
  <c r="AM22" i="78" s="1"/>
  <c r="AN22" i="78"/>
  <c r="AO22" i="78" s="1"/>
  <c r="AH23" i="78"/>
  <c r="AI23" i="78" s="1"/>
  <c r="AJ23" i="78"/>
  <c r="AK23" i="78" s="1"/>
  <c r="AL23" i="78"/>
  <c r="AM23" i="78" s="1"/>
  <c r="AN23" i="78"/>
  <c r="AO23" i="78" s="1"/>
  <c r="AH24" i="78"/>
  <c r="AI24" i="78" s="1"/>
  <c r="AJ24" i="78"/>
  <c r="AK24" i="78" s="1"/>
  <c r="AL24" i="78"/>
  <c r="AM24" i="78" s="1"/>
  <c r="AN24" i="78"/>
  <c r="AO24" i="78" s="1"/>
  <c r="AH25" i="78"/>
  <c r="AI25" i="78" s="1"/>
  <c r="AJ25" i="78"/>
  <c r="AK25" i="78" s="1"/>
  <c r="AL25" i="78"/>
  <c r="AM25" i="78" s="1"/>
  <c r="AN25" i="78"/>
  <c r="AO25" i="78" s="1"/>
  <c r="AH26" i="78"/>
  <c r="AI26" i="78" s="1"/>
  <c r="AJ26" i="78"/>
  <c r="AK26" i="78" s="1"/>
  <c r="AL26" i="78"/>
  <c r="AM26" i="78" s="1"/>
  <c r="AN26" i="78"/>
  <c r="AO26" i="78" s="1"/>
  <c r="AH27" i="78"/>
  <c r="AI27" i="78" s="1"/>
  <c r="AJ27" i="78"/>
  <c r="AK27" i="78" s="1"/>
  <c r="AL27" i="78"/>
  <c r="AM27" i="78" s="1"/>
  <c r="AN27" i="78"/>
  <c r="AO27" i="78" s="1"/>
  <c r="AH28" i="78"/>
  <c r="AI28" i="78" s="1"/>
  <c r="AJ28" i="78"/>
  <c r="AK28" i="78" s="1"/>
  <c r="AL28" i="78"/>
  <c r="AM28" i="78" s="1"/>
  <c r="AN28" i="78"/>
  <c r="AO28" i="78" s="1"/>
  <c r="AH29" i="78"/>
  <c r="AI29" i="78" s="1"/>
  <c r="AJ29" i="78"/>
  <c r="AK29" i="78" s="1"/>
  <c r="AL29" i="78"/>
  <c r="AM29" i="78" s="1"/>
  <c r="AN29" i="78"/>
  <c r="AO29" i="78" s="1"/>
  <c r="AH30" i="78"/>
  <c r="AI30" i="78" s="1"/>
  <c r="AJ30" i="78"/>
  <c r="AK30" i="78" s="1"/>
  <c r="AL30" i="78"/>
  <c r="AM30" i="78" s="1"/>
  <c r="AN30" i="78"/>
  <c r="AO30" i="78" s="1"/>
  <c r="AH31" i="78"/>
  <c r="AI31" i="78" s="1"/>
  <c r="AJ31" i="78"/>
  <c r="AK31" i="78" s="1"/>
  <c r="AL31" i="78"/>
  <c r="AM31" i="78" s="1"/>
  <c r="AN31" i="78"/>
  <c r="AO31" i="78" s="1"/>
  <c r="AH32" i="78"/>
  <c r="AI32" i="78" s="1"/>
  <c r="AJ32" i="78"/>
  <c r="AK32" i="78" s="1"/>
  <c r="AL32" i="78"/>
  <c r="AM32" i="78" s="1"/>
  <c r="AN32" i="78"/>
  <c r="AO32" i="78" s="1"/>
  <c r="AH33" i="78"/>
  <c r="AI33" i="78" s="1"/>
  <c r="AJ33" i="78"/>
  <c r="AK33" i="78" s="1"/>
  <c r="AL33" i="78"/>
  <c r="AM33" i="78" s="1"/>
  <c r="AN33" i="78"/>
  <c r="AO33" i="78" s="1"/>
  <c r="AH34" i="78"/>
  <c r="AI34" i="78" s="1"/>
  <c r="AJ34" i="78"/>
  <c r="AK34" i="78" s="1"/>
  <c r="AL34" i="78"/>
  <c r="AM34" i="78" s="1"/>
  <c r="AN34" i="78"/>
  <c r="AO34" i="78" s="1"/>
  <c r="AH35" i="78"/>
  <c r="AI35" i="78" s="1"/>
  <c r="AJ35" i="78"/>
  <c r="AK35" i="78" s="1"/>
  <c r="AL35" i="78"/>
  <c r="AM35" i="78" s="1"/>
  <c r="AN35" i="78"/>
  <c r="AO35" i="78" s="1"/>
  <c r="AH36" i="78"/>
  <c r="AI36" i="78" s="1"/>
  <c r="AJ36" i="78"/>
  <c r="AK36" i="78" s="1"/>
  <c r="AL36" i="78"/>
  <c r="AM36" i="78" s="1"/>
  <c r="AN36" i="78"/>
  <c r="AO36" i="78" s="1"/>
  <c r="AH37" i="78"/>
  <c r="AI37" i="78" s="1"/>
  <c r="AJ37" i="78"/>
  <c r="AK37" i="78" s="1"/>
  <c r="AL37" i="78"/>
  <c r="AM37" i="78" s="1"/>
  <c r="AN37" i="78"/>
  <c r="AO37" i="78" s="1"/>
  <c r="AH38" i="78"/>
  <c r="AI38" i="78" s="1"/>
  <c r="AJ38" i="78"/>
  <c r="AK38" i="78" s="1"/>
  <c r="AL38" i="78"/>
  <c r="AM38" i="78" s="1"/>
  <c r="AN38" i="78"/>
  <c r="AO38" i="78" s="1"/>
  <c r="AH39" i="78"/>
  <c r="AI39" i="78" s="1"/>
  <c r="AJ39" i="78"/>
  <c r="AK39" i="78" s="1"/>
  <c r="AL39" i="78"/>
  <c r="AM39" i="78" s="1"/>
  <c r="AN39" i="78"/>
  <c r="AO39" i="78" s="1"/>
  <c r="AH40" i="78"/>
  <c r="AI40" i="78" s="1"/>
  <c r="AJ40" i="78"/>
  <c r="AK40" i="78" s="1"/>
  <c r="AL40" i="78"/>
  <c r="AM40" i="78" s="1"/>
  <c r="AN40" i="78"/>
  <c r="AO40" i="78" s="1"/>
  <c r="AH41" i="78"/>
  <c r="AI41" i="78" s="1"/>
  <c r="AJ41" i="78"/>
  <c r="AK41" i="78" s="1"/>
  <c r="AL41" i="78"/>
  <c r="AM41" i="78" s="1"/>
  <c r="AN41" i="78"/>
  <c r="AO41" i="78" s="1"/>
  <c r="AH42" i="78"/>
  <c r="AI42" i="78" s="1"/>
  <c r="AJ42" i="78"/>
  <c r="AK42" i="78" s="1"/>
  <c r="AL42" i="78"/>
  <c r="AM42" i="78" s="1"/>
  <c r="AN42" i="78"/>
  <c r="AO42" i="78" s="1"/>
  <c r="AH43" i="78"/>
  <c r="AI43" i="78" s="1"/>
  <c r="AJ43" i="78"/>
  <c r="AK43" i="78" s="1"/>
  <c r="AL43" i="78"/>
  <c r="AM43" i="78" s="1"/>
  <c r="AN43" i="78"/>
  <c r="AO43" i="78" s="1"/>
  <c r="AH44" i="78"/>
  <c r="AI44" i="78" s="1"/>
  <c r="AJ44" i="78"/>
  <c r="AK44" i="78" s="1"/>
  <c r="AL44" i="78"/>
  <c r="AM44" i="78" s="1"/>
  <c r="AN44" i="78"/>
  <c r="AO44" i="78" s="1"/>
  <c r="AH45" i="78"/>
  <c r="AI45" i="78" s="1"/>
  <c r="AJ45" i="78"/>
  <c r="AK45" i="78" s="1"/>
  <c r="AL45" i="78"/>
  <c r="AM45" i="78" s="1"/>
  <c r="AN45" i="78"/>
  <c r="AO45" i="78" s="1"/>
  <c r="AH46" i="78"/>
  <c r="AI46" i="78" s="1"/>
  <c r="AJ46" i="78"/>
  <c r="AK46" i="78" s="1"/>
  <c r="AL46" i="78"/>
  <c r="AM46" i="78" s="1"/>
  <c r="AN46" i="78"/>
  <c r="AO46" i="78" s="1"/>
  <c r="AH47" i="78"/>
  <c r="AI47" i="78" s="1"/>
  <c r="AJ47" i="78"/>
  <c r="AK47" i="78" s="1"/>
  <c r="AL47" i="78"/>
  <c r="AM47" i="78" s="1"/>
  <c r="AN47" i="78"/>
  <c r="AO47" i="78" s="1"/>
  <c r="AH48" i="78"/>
  <c r="AI48" i="78" s="1"/>
  <c r="AJ48" i="78"/>
  <c r="AK48" i="78" s="1"/>
  <c r="AL48" i="78"/>
  <c r="AM48" i="78" s="1"/>
  <c r="AN48" i="78"/>
  <c r="AO48" i="78" s="1"/>
  <c r="AH49" i="78"/>
  <c r="AI49" i="78" s="1"/>
  <c r="AJ49" i="78"/>
  <c r="AK49" i="78" s="1"/>
  <c r="AL49" i="78"/>
  <c r="AM49" i="78" s="1"/>
  <c r="AN49" i="78"/>
  <c r="AO49" i="78" s="1"/>
  <c r="AH50" i="78"/>
  <c r="AI50" i="78" s="1"/>
  <c r="AJ50" i="78"/>
  <c r="AK50" i="78" s="1"/>
  <c r="AL50" i="78"/>
  <c r="AM50" i="78" s="1"/>
  <c r="AN50" i="78"/>
  <c r="AO50" i="78" s="1"/>
  <c r="AH51" i="78"/>
  <c r="AI51" i="78" s="1"/>
  <c r="AJ51" i="78"/>
  <c r="AK51" i="78" s="1"/>
  <c r="AL51" i="78"/>
  <c r="AM51" i="78" s="1"/>
  <c r="AN51" i="78"/>
  <c r="AO51" i="78" s="1"/>
  <c r="AH52" i="78"/>
  <c r="AI52" i="78" s="1"/>
  <c r="AJ52" i="78"/>
  <c r="AK52" i="78" s="1"/>
  <c r="AL52" i="78"/>
  <c r="AM52" i="78" s="1"/>
  <c r="AN52" i="78"/>
  <c r="AO52" i="78" s="1"/>
  <c r="AH53" i="78"/>
  <c r="AI53" i="78" s="1"/>
  <c r="AJ53" i="78"/>
  <c r="AK53" i="78" s="1"/>
  <c r="AL53" i="78"/>
  <c r="AM53" i="78" s="1"/>
  <c r="AN53" i="78"/>
  <c r="AO53" i="78" s="1"/>
  <c r="AH54" i="78"/>
  <c r="AI54" i="78" s="1"/>
  <c r="AJ54" i="78"/>
  <c r="AK54" i="78" s="1"/>
  <c r="AL54" i="78"/>
  <c r="AM54" i="78" s="1"/>
  <c r="AN54" i="78"/>
  <c r="AO54" i="78" s="1"/>
  <c r="AH55" i="78"/>
  <c r="AI55" i="78" s="1"/>
  <c r="AJ55" i="78"/>
  <c r="AK55" i="78" s="1"/>
  <c r="AL55" i="78"/>
  <c r="AM55" i="78" s="1"/>
  <c r="AN55" i="78"/>
  <c r="AO55" i="78" s="1"/>
  <c r="AH56" i="78"/>
  <c r="AI56" i="78" s="1"/>
  <c r="AJ56" i="78"/>
  <c r="AK56" i="78" s="1"/>
  <c r="AL56" i="78"/>
  <c r="AM56" i="78" s="1"/>
  <c r="AN56" i="78"/>
  <c r="AO56" i="78" s="1"/>
  <c r="AH57" i="78"/>
  <c r="AI57" i="78" s="1"/>
  <c r="AJ57" i="78"/>
  <c r="AK57" i="78" s="1"/>
  <c r="AL57" i="78"/>
  <c r="AM57" i="78" s="1"/>
  <c r="AN57" i="78"/>
  <c r="AO57" i="78" s="1"/>
  <c r="AH58" i="78"/>
  <c r="AI58" i="78" s="1"/>
  <c r="AJ58" i="78"/>
  <c r="AK58" i="78" s="1"/>
  <c r="AL58" i="78"/>
  <c r="AM58" i="78" s="1"/>
  <c r="AN58" i="78"/>
  <c r="AO58" i="78" s="1"/>
  <c r="AH59" i="78"/>
  <c r="AI59" i="78" s="1"/>
  <c r="AJ59" i="78"/>
  <c r="AK59" i="78" s="1"/>
  <c r="AL59" i="78"/>
  <c r="AM59" i="78" s="1"/>
  <c r="AN59" i="78"/>
  <c r="AO59" i="78" s="1"/>
  <c r="AH60" i="78"/>
  <c r="AI60" i="78" s="1"/>
  <c r="AJ60" i="78"/>
  <c r="AK60" i="78" s="1"/>
  <c r="AL60" i="78"/>
  <c r="AM60" i="78" s="1"/>
  <c r="AN60" i="78"/>
  <c r="AO60" i="78" s="1"/>
  <c r="AH61" i="78"/>
  <c r="AI61" i="78" s="1"/>
  <c r="AJ61" i="78"/>
  <c r="AK61" i="78" s="1"/>
  <c r="AL61" i="78"/>
  <c r="AM61" i="78" s="1"/>
  <c r="AN61" i="78"/>
  <c r="AO61" i="78" s="1"/>
  <c r="AH62" i="78"/>
  <c r="AI62" i="78" s="1"/>
  <c r="AJ62" i="78"/>
  <c r="AK62" i="78" s="1"/>
  <c r="AL62" i="78"/>
  <c r="AM62" i="78" s="1"/>
  <c r="AN62" i="78"/>
  <c r="AO62" i="78" s="1"/>
  <c r="AH63" i="78"/>
  <c r="AI63" i="78" s="1"/>
  <c r="AJ63" i="78"/>
  <c r="AK63" i="78" s="1"/>
  <c r="AL63" i="78"/>
  <c r="AM63" i="78" s="1"/>
  <c r="AN63" i="78"/>
  <c r="AO63" i="78" s="1"/>
  <c r="AH64" i="78"/>
  <c r="AI64" i="78" s="1"/>
  <c r="AJ64" i="78"/>
  <c r="AK64" i="78" s="1"/>
  <c r="AL64" i="78"/>
  <c r="AM64" i="78" s="1"/>
  <c r="AN64" i="78"/>
  <c r="AO64" i="78" s="1"/>
  <c r="AH65" i="78"/>
  <c r="AI65" i="78" s="1"/>
  <c r="AJ65" i="78"/>
  <c r="AK65" i="78" s="1"/>
  <c r="AL65" i="78"/>
  <c r="AM65" i="78" s="1"/>
  <c r="AN65" i="78"/>
  <c r="AO65" i="78" s="1"/>
  <c r="AH66" i="78"/>
  <c r="AI66" i="78" s="1"/>
  <c r="AJ66" i="78"/>
  <c r="AK66" i="78" s="1"/>
  <c r="AL66" i="78"/>
  <c r="AM66" i="78" s="1"/>
  <c r="AN66" i="78"/>
  <c r="AO66" i="78" s="1"/>
  <c r="AH67" i="78"/>
  <c r="AI67" i="78" s="1"/>
  <c r="AJ67" i="78"/>
  <c r="AK67" i="78" s="1"/>
  <c r="AL67" i="78"/>
  <c r="AM67" i="78" s="1"/>
  <c r="AN67" i="78"/>
  <c r="AO67" i="78" s="1"/>
  <c r="AH68" i="78"/>
  <c r="AI68" i="78" s="1"/>
  <c r="AJ68" i="78"/>
  <c r="AK68" i="78" s="1"/>
  <c r="AL68" i="78"/>
  <c r="AM68" i="78" s="1"/>
  <c r="AN68" i="78"/>
  <c r="AO68" i="78" s="1"/>
  <c r="AH69" i="78"/>
  <c r="AI69" i="78" s="1"/>
  <c r="AJ69" i="78"/>
  <c r="AK69" i="78" s="1"/>
  <c r="AL69" i="78"/>
  <c r="AM69" i="78" s="1"/>
  <c r="AN69" i="78"/>
  <c r="AO69" i="78" s="1"/>
  <c r="AH70" i="78"/>
  <c r="AI70" i="78" s="1"/>
  <c r="AJ70" i="78"/>
  <c r="AK70" i="78" s="1"/>
  <c r="AL70" i="78"/>
  <c r="AM70" i="78" s="1"/>
  <c r="AN70" i="78"/>
  <c r="AO70" i="78" s="1"/>
  <c r="AH71" i="78"/>
  <c r="AI71" i="78" s="1"/>
  <c r="AJ71" i="78"/>
  <c r="AK71" i="78" s="1"/>
  <c r="AL71" i="78"/>
  <c r="AM71" i="78" s="1"/>
  <c r="AN71" i="78"/>
  <c r="AO71" i="78" s="1"/>
  <c r="AH72" i="78"/>
  <c r="AI72" i="78" s="1"/>
  <c r="AJ72" i="78"/>
  <c r="AK72" i="78" s="1"/>
  <c r="AL72" i="78"/>
  <c r="AM72" i="78" s="1"/>
  <c r="AN72" i="78"/>
  <c r="AO72" i="78" s="1"/>
  <c r="AH73" i="78"/>
  <c r="AI73" i="78" s="1"/>
  <c r="AJ73" i="78"/>
  <c r="AK73" i="78" s="1"/>
  <c r="AL73" i="78"/>
  <c r="AM73" i="78" s="1"/>
  <c r="AN73" i="78"/>
  <c r="AO73" i="78" s="1"/>
  <c r="AH74" i="78"/>
  <c r="AI74" i="78" s="1"/>
  <c r="AJ74" i="78"/>
  <c r="AK74" i="78" s="1"/>
  <c r="AL74" i="78"/>
  <c r="AM74" i="78" s="1"/>
  <c r="AN74" i="78"/>
  <c r="AO74" i="78" s="1"/>
  <c r="AH75" i="78"/>
  <c r="AI75" i="78" s="1"/>
  <c r="AJ75" i="78"/>
  <c r="AK75" i="78" s="1"/>
  <c r="AL75" i="78"/>
  <c r="AM75" i="78" s="1"/>
  <c r="AN75" i="78"/>
  <c r="AO75" i="78" s="1"/>
  <c r="AH76" i="78"/>
  <c r="AI76" i="78" s="1"/>
  <c r="AJ76" i="78"/>
  <c r="AK76" i="78" s="1"/>
  <c r="AL76" i="78"/>
  <c r="AM76" i="78" s="1"/>
  <c r="AN76" i="78"/>
  <c r="AO76" i="78" s="1"/>
  <c r="AH77" i="78"/>
  <c r="AI77" i="78" s="1"/>
  <c r="AJ77" i="78"/>
  <c r="AK77" i="78" s="1"/>
  <c r="AL77" i="78"/>
  <c r="AM77" i="78" s="1"/>
  <c r="AN77" i="78"/>
  <c r="AO77" i="78" s="1"/>
  <c r="AH78" i="78"/>
  <c r="AI78" i="78" s="1"/>
  <c r="AJ78" i="78"/>
  <c r="AK78" i="78" s="1"/>
  <c r="AL78" i="78"/>
  <c r="AM78" i="78" s="1"/>
  <c r="AN78" i="78"/>
  <c r="AO78" i="78" s="1"/>
  <c r="AH79" i="78"/>
  <c r="AI79" i="78" s="1"/>
  <c r="AJ79" i="78"/>
  <c r="AK79" i="78" s="1"/>
  <c r="AL79" i="78"/>
  <c r="AM79" i="78" s="1"/>
  <c r="AN79" i="78"/>
  <c r="AO79" i="78" s="1"/>
  <c r="AH80" i="78"/>
  <c r="AI80" i="78" s="1"/>
  <c r="AJ80" i="78"/>
  <c r="AK80" i="78" s="1"/>
  <c r="AL80" i="78"/>
  <c r="AM80" i="78" s="1"/>
  <c r="AN80" i="78"/>
  <c r="AO80" i="78" s="1"/>
  <c r="AH81" i="78"/>
  <c r="AI81" i="78" s="1"/>
  <c r="AJ81" i="78"/>
  <c r="AK81" i="78" s="1"/>
  <c r="AL81" i="78"/>
  <c r="AM81" i="78" s="1"/>
  <c r="AN81" i="78"/>
  <c r="AO81" i="78" s="1"/>
  <c r="AH82" i="78"/>
  <c r="AI82" i="78" s="1"/>
  <c r="AJ82" i="78"/>
  <c r="AK82" i="78" s="1"/>
  <c r="AL82" i="78"/>
  <c r="AM82" i="78" s="1"/>
  <c r="AN82" i="78"/>
  <c r="AO82" i="78" s="1"/>
  <c r="AH83" i="78"/>
  <c r="AI83" i="78" s="1"/>
  <c r="AJ83" i="78"/>
  <c r="AK83" i="78" s="1"/>
  <c r="AL83" i="78"/>
  <c r="AM83" i="78" s="1"/>
  <c r="AN83" i="78"/>
  <c r="AO83" i="78" s="1"/>
  <c r="AH84" i="78"/>
  <c r="AI84" i="78" s="1"/>
  <c r="AJ84" i="78"/>
  <c r="AK84" i="78" s="1"/>
  <c r="AL84" i="78"/>
  <c r="AM84" i="78" s="1"/>
  <c r="AN84" i="78"/>
  <c r="AO84" i="78" s="1"/>
  <c r="AH85" i="78"/>
  <c r="AI85" i="78" s="1"/>
  <c r="AJ85" i="78"/>
  <c r="AK85" i="78" s="1"/>
  <c r="AL85" i="78"/>
  <c r="AM85" i="78" s="1"/>
  <c r="AN85" i="78"/>
  <c r="AO85" i="78" s="1"/>
  <c r="AH86" i="78"/>
  <c r="AI86" i="78" s="1"/>
  <c r="AJ86" i="78"/>
  <c r="AK86" i="78" s="1"/>
  <c r="AL86" i="78"/>
  <c r="AM86" i="78" s="1"/>
  <c r="AN86" i="78"/>
  <c r="AO86" i="78" s="1"/>
  <c r="AH87" i="78"/>
  <c r="AI87" i="78" s="1"/>
  <c r="AJ87" i="78"/>
  <c r="AK87" i="78" s="1"/>
  <c r="AL87" i="78"/>
  <c r="AM87" i="78" s="1"/>
  <c r="AN87" i="78"/>
  <c r="AO87" i="78" s="1"/>
  <c r="AH88" i="78"/>
  <c r="AI88" i="78" s="1"/>
  <c r="AJ88" i="78"/>
  <c r="AK88" i="78" s="1"/>
  <c r="AL88" i="78"/>
  <c r="AM88" i="78" s="1"/>
  <c r="AN88" i="78"/>
  <c r="AO88" i="78" s="1"/>
  <c r="AH89" i="78"/>
  <c r="AI89" i="78" s="1"/>
  <c r="AJ89" i="78"/>
  <c r="AK89" i="78" s="1"/>
  <c r="AL89" i="78"/>
  <c r="AM89" i="78" s="1"/>
  <c r="AN89" i="78"/>
  <c r="AO89" i="78" s="1"/>
  <c r="AH90" i="78"/>
  <c r="AI90" i="78" s="1"/>
  <c r="AJ90" i="78"/>
  <c r="AK90" i="78" s="1"/>
  <c r="AL90" i="78"/>
  <c r="AM90" i="78" s="1"/>
  <c r="AN90" i="78"/>
  <c r="AO90" i="78" s="1"/>
  <c r="AH91" i="78"/>
  <c r="AI91" i="78" s="1"/>
  <c r="AJ91" i="78"/>
  <c r="AK91" i="78" s="1"/>
  <c r="AL91" i="78"/>
  <c r="AM91" i="78" s="1"/>
  <c r="AN91" i="78"/>
  <c r="AO91" i="78" s="1"/>
  <c r="AH92" i="78"/>
  <c r="AI92" i="78" s="1"/>
  <c r="AJ92" i="78"/>
  <c r="AK92" i="78" s="1"/>
  <c r="AL92" i="78"/>
  <c r="AM92" i="78" s="1"/>
  <c r="AN92" i="78"/>
  <c r="AO92" i="78" s="1"/>
  <c r="AH93" i="78"/>
  <c r="AI93" i="78" s="1"/>
  <c r="AJ93" i="78"/>
  <c r="AK93" i="78" s="1"/>
  <c r="AL93" i="78"/>
  <c r="AM93" i="78" s="1"/>
  <c r="AN93" i="78"/>
  <c r="AO93" i="78" s="1"/>
  <c r="AH94" i="78"/>
  <c r="AI94" i="78" s="1"/>
  <c r="AJ94" i="78"/>
  <c r="AK94" i="78" s="1"/>
  <c r="AL94" i="78"/>
  <c r="AM94" i="78" s="1"/>
  <c r="AN94" i="78"/>
  <c r="AO94" i="78" s="1"/>
  <c r="AH95" i="78"/>
  <c r="AI95" i="78" s="1"/>
  <c r="AJ95" i="78"/>
  <c r="AK95" i="78" s="1"/>
  <c r="AL95" i="78"/>
  <c r="AM95" i="78" s="1"/>
  <c r="AN95" i="78"/>
  <c r="AO95" i="78" s="1"/>
  <c r="AH96" i="78"/>
  <c r="AI96" i="78" s="1"/>
  <c r="AJ96" i="78"/>
  <c r="AK96" i="78" s="1"/>
  <c r="AL96" i="78"/>
  <c r="AM96" i="78" s="1"/>
  <c r="AN96" i="78"/>
  <c r="AO96" i="78" s="1"/>
  <c r="AH97" i="78"/>
  <c r="AI97" i="78" s="1"/>
  <c r="AJ97" i="78"/>
  <c r="AK97" i="78" s="1"/>
  <c r="AL97" i="78"/>
  <c r="AM97" i="78" s="1"/>
  <c r="AN97" i="78"/>
  <c r="AO97" i="78" s="1"/>
  <c r="AH98" i="78"/>
  <c r="AI98" i="78" s="1"/>
  <c r="AJ98" i="78"/>
  <c r="AK98" i="78" s="1"/>
  <c r="AL98" i="78"/>
  <c r="AM98" i="78" s="1"/>
  <c r="AN98" i="78"/>
  <c r="AO98" i="78" s="1"/>
  <c r="AH99" i="78"/>
  <c r="AI99" i="78" s="1"/>
  <c r="AJ99" i="78"/>
  <c r="AK99" i="78" s="1"/>
  <c r="AL99" i="78"/>
  <c r="AM99" i="78" s="1"/>
  <c r="AN99" i="78"/>
  <c r="AO99" i="78" s="1"/>
  <c r="AH100" i="78"/>
  <c r="AI100" i="78" s="1"/>
  <c r="AJ100" i="78"/>
  <c r="AK100" i="78" s="1"/>
  <c r="AL100" i="78"/>
  <c r="AM100" i="78" s="1"/>
  <c r="AN100" i="78"/>
  <c r="AO100" i="78" s="1"/>
  <c r="AH101" i="78"/>
  <c r="AI101" i="78" s="1"/>
  <c r="AJ101" i="78"/>
  <c r="AK101" i="78" s="1"/>
  <c r="AL101" i="78"/>
  <c r="AM101" i="78" s="1"/>
  <c r="AN101" i="78"/>
  <c r="AO101" i="78" s="1"/>
  <c r="AH102" i="78"/>
  <c r="AI102" i="78" s="1"/>
  <c r="AJ102" i="78"/>
  <c r="AK102" i="78" s="1"/>
  <c r="AL102" i="78"/>
  <c r="AM102" i="78" s="1"/>
  <c r="AN102" i="78"/>
  <c r="AO102" i="78" s="1"/>
  <c r="AH103" i="78"/>
  <c r="AI103" i="78" s="1"/>
  <c r="AJ103" i="78"/>
  <c r="AK103" i="78" s="1"/>
  <c r="AL103" i="78"/>
  <c r="AM103" i="78" s="1"/>
  <c r="AN103" i="78"/>
  <c r="AO103" i="78" s="1"/>
  <c r="AH104" i="78"/>
  <c r="AI104" i="78" s="1"/>
  <c r="AJ104" i="78"/>
  <c r="AK104" i="78" s="1"/>
  <c r="AL104" i="78"/>
  <c r="AM104" i="78" s="1"/>
  <c r="AN104" i="78"/>
  <c r="AO104" i="78" s="1"/>
  <c r="AH105" i="78"/>
  <c r="AI105" i="78" s="1"/>
  <c r="AJ105" i="78"/>
  <c r="AK105" i="78" s="1"/>
  <c r="AL105" i="78"/>
  <c r="AM105" i="78" s="1"/>
  <c r="AN105" i="78"/>
  <c r="AO105" i="78" s="1"/>
  <c r="AH106" i="78"/>
  <c r="AI106" i="78" s="1"/>
  <c r="AJ106" i="78"/>
  <c r="AK106" i="78" s="1"/>
  <c r="AL106" i="78"/>
  <c r="AM106" i="78" s="1"/>
  <c r="AN106" i="78"/>
  <c r="AO106" i="78" s="1"/>
  <c r="AH107" i="78"/>
  <c r="AI107" i="78" s="1"/>
  <c r="AJ107" i="78"/>
  <c r="AK107" i="78" s="1"/>
  <c r="AL107" i="78"/>
  <c r="AM107" i="78" s="1"/>
  <c r="AN107" i="78"/>
  <c r="AO107" i="78" s="1"/>
  <c r="AH108" i="78"/>
  <c r="AI108" i="78" s="1"/>
  <c r="AJ108" i="78"/>
  <c r="AK108" i="78" s="1"/>
  <c r="AL108" i="78"/>
  <c r="AM108" i="78" s="1"/>
  <c r="AN108" i="78"/>
  <c r="AO108" i="78" s="1"/>
  <c r="AH109" i="78"/>
  <c r="AI109" i="78" s="1"/>
  <c r="AJ109" i="78"/>
  <c r="AK109" i="78" s="1"/>
  <c r="AL109" i="78"/>
  <c r="AM109" i="78" s="1"/>
  <c r="AN109" i="78"/>
  <c r="AO109" i="78" s="1"/>
  <c r="AH110" i="78"/>
  <c r="AI110" i="78" s="1"/>
  <c r="AJ110" i="78"/>
  <c r="AK110" i="78" s="1"/>
  <c r="AL110" i="78"/>
  <c r="AM110" i="78" s="1"/>
  <c r="AN110" i="78"/>
  <c r="AO110" i="78" s="1"/>
  <c r="AH111" i="78"/>
  <c r="AI111" i="78" s="1"/>
  <c r="AJ111" i="78"/>
  <c r="AK111" i="78" s="1"/>
  <c r="AL111" i="78"/>
  <c r="AM111" i="78" s="1"/>
  <c r="AN111" i="78"/>
  <c r="AO111" i="78" s="1"/>
  <c r="AH112" i="78"/>
  <c r="AI112" i="78" s="1"/>
  <c r="AJ112" i="78"/>
  <c r="AK112" i="78" s="1"/>
  <c r="AL112" i="78"/>
  <c r="AM112" i="78" s="1"/>
  <c r="AN112" i="78"/>
  <c r="AO112" i="78" s="1"/>
  <c r="AH113" i="78"/>
  <c r="AI113" i="78" s="1"/>
  <c r="AJ113" i="78"/>
  <c r="AK113" i="78" s="1"/>
  <c r="AL113" i="78"/>
  <c r="AM113" i="78" s="1"/>
  <c r="AN113" i="78"/>
  <c r="AO113" i="78" s="1"/>
  <c r="AH114" i="78"/>
  <c r="AI114" i="78" s="1"/>
  <c r="AJ114" i="78"/>
  <c r="AK114" i="78" s="1"/>
  <c r="AL114" i="78"/>
  <c r="AM114" i="78" s="1"/>
  <c r="AN114" i="78"/>
  <c r="AO114" i="78" s="1"/>
  <c r="AH115" i="78"/>
  <c r="AI115" i="78" s="1"/>
  <c r="AJ115" i="78"/>
  <c r="AK115" i="78" s="1"/>
  <c r="AL115" i="78"/>
  <c r="AM115" i="78" s="1"/>
  <c r="AN115" i="78"/>
  <c r="AO115" i="78" s="1"/>
  <c r="AH116" i="78"/>
  <c r="AI116" i="78" s="1"/>
  <c r="AJ116" i="78"/>
  <c r="AK116" i="78" s="1"/>
  <c r="AL116" i="78"/>
  <c r="AM116" i="78" s="1"/>
  <c r="AN116" i="78"/>
  <c r="AO116" i="78" s="1"/>
  <c r="AH117" i="78"/>
  <c r="AI117" i="78" s="1"/>
  <c r="AJ117" i="78"/>
  <c r="AK117" i="78" s="1"/>
  <c r="AL117" i="78"/>
  <c r="AM117" i="78" s="1"/>
  <c r="AN117" i="78"/>
  <c r="AO117" i="78" s="1"/>
  <c r="AH118" i="78"/>
  <c r="AI118" i="78" s="1"/>
  <c r="AJ118" i="78"/>
  <c r="AK118" i="78" s="1"/>
  <c r="AL118" i="78"/>
  <c r="AM118" i="78" s="1"/>
  <c r="AN118" i="78"/>
  <c r="AO118" i="78" s="1"/>
  <c r="AH119" i="78"/>
  <c r="AI119" i="78" s="1"/>
  <c r="AJ119" i="78"/>
  <c r="AK119" i="78" s="1"/>
  <c r="AL119" i="78"/>
  <c r="AM119" i="78" s="1"/>
  <c r="AN119" i="78"/>
  <c r="AO119" i="78" s="1"/>
  <c r="AH120" i="78"/>
  <c r="AI120" i="78" s="1"/>
  <c r="AJ120" i="78"/>
  <c r="AK120" i="78" s="1"/>
  <c r="AL120" i="78"/>
  <c r="AM120" i="78" s="1"/>
  <c r="AN120" i="78"/>
  <c r="AO120" i="78" s="1"/>
  <c r="AH121" i="78"/>
  <c r="AI121" i="78" s="1"/>
  <c r="AJ121" i="78"/>
  <c r="AK121" i="78" s="1"/>
  <c r="AL121" i="78"/>
  <c r="AM121" i="78" s="1"/>
  <c r="AN121" i="78"/>
  <c r="AO121" i="78" s="1"/>
  <c r="AH122" i="78"/>
  <c r="AI122" i="78" s="1"/>
  <c r="AJ122" i="78"/>
  <c r="AK122" i="78" s="1"/>
  <c r="AL122" i="78"/>
  <c r="AM122" i="78" s="1"/>
  <c r="AN122" i="78"/>
  <c r="AO122" i="78" s="1"/>
  <c r="AH123" i="78"/>
  <c r="AI123" i="78" s="1"/>
  <c r="AJ123" i="78"/>
  <c r="AK123" i="78" s="1"/>
  <c r="AL123" i="78"/>
  <c r="AM123" i="78" s="1"/>
  <c r="AN123" i="78"/>
  <c r="AO123" i="78" s="1"/>
  <c r="AH124" i="78"/>
  <c r="AI124" i="78" s="1"/>
  <c r="AJ124" i="78"/>
  <c r="AK124" i="78" s="1"/>
  <c r="AL124" i="78"/>
  <c r="AM124" i="78" s="1"/>
  <c r="AN124" i="78"/>
  <c r="AO124" i="78" s="1"/>
  <c r="AH125" i="78"/>
  <c r="AI125" i="78" s="1"/>
  <c r="AJ125" i="78"/>
  <c r="AK125" i="78" s="1"/>
  <c r="AL125" i="78"/>
  <c r="AM125" i="78" s="1"/>
  <c r="AN125" i="78"/>
  <c r="AO125" i="78" s="1"/>
  <c r="AH126" i="78"/>
  <c r="AI126" i="78" s="1"/>
  <c r="AJ126" i="78"/>
  <c r="AK126" i="78" s="1"/>
  <c r="AL126" i="78"/>
  <c r="AM126" i="78" s="1"/>
  <c r="AN126" i="78"/>
  <c r="AO126" i="78" s="1"/>
  <c r="AH127" i="78"/>
  <c r="AI127" i="78" s="1"/>
  <c r="AJ127" i="78"/>
  <c r="AK127" i="78" s="1"/>
  <c r="AL127" i="78"/>
  <c r="AM127" i="78" s="1"/>
  <c r="AN127" i="78"/>
  <c r="AO127" i="78" s="1"/>
  <c r="AH128" i="78"/>
  <c r="AI128" i="78" s="1"/>
  <c r="AJ128" i="78"/>
  <c r="AK128" i="78" s="1"/>
  <c r="AL128" i="78"/>
  <c r="AM128" i="78" s="1"/>
  <c r="AN128" i="78"/>
  <c r="AO128" i="78" s="1"/>
  <c r="AH129" i="78"/>
  <c r="AI129" i="78" s="1"/>
  <c r="AJ129" i="78"/>
  <c r="AK129" i="78" s="1"/>
  <c r="AL129" i="78"/>
  <c r="AM129" i="78" s="1"/>
  <c r="AN129" i="78"/>
  <c r="AO129" i="78" s="1"/>
  <c r="AH130" i="78"/>
  <c r="AI130" i="78" s="1"/>
  <c r="AJ130" i="78"/>
  <c r="AK130" i="78" s="1"/>
  <c r="AL130" i="78"/>
  <c r="AM130" i="78" s="1"/>
  <c r="AN130" i="78"/>
  <c r="AO130" i="78" s="1"/>
  <c r="AH131" i="78"/>
  <c r="AI131" i="78" s="1"/>
  <c r="AJ131" i="78"/>
  <c r="AK131" i="78" s="1"/>
  <c r="AL131" i="78"/>
  <c r="AM131" i="78" s="1"/>
  <c r="AN131" i="78"/>
  <c r="AO131" i="78" s="1"/>
  <c r="AH132" i="78"/>
  <c r="AI132" i="78" s="1"/>
  <c r="AJ132" i="78"/>
  <c r="AK132" i="78" s="1"/>
  <c r="AL132" i="78"/>
  <c r="AM132" i="78" s="1"/>
  <c r="AN132" i="78"/>
  <c r="AO132" i="78" s="1"/>
  <c r="AH133" i="78"/>
  <c r="AI133" i="78" s="1"/>
  <c r="AJ133" i="78"/>
  <c r="AK133" i="78" s="1"/>
  <c r="AL133" i="78"/>
  <c r="AM133" i="78" s="1"/>
  <c r="AN133" i="78"/>
  <c r="AO133" i="78" s="1"/>
  <c r="AH134" i="78"/>
  <c r="AI134" i="78" s="1"/>
  <c r="AJ134" i="78"/>
  <c r="AK134" i="78" s="1"/>
  <c r="AL134" i="78"/>
  <c r="AM134" i="78" s="1"/>
  <c r="AN134" i="78"/>
  <c r="AO134" i="78" s="1"/>
  <c r="AH135" i="78"/>
  <c r="AI135" i="78" s="1"/>
  <c r="AJ135" i="78"/>
  <c r="AK135" i="78" s="1"/>
  <c r="AL135" i="78"/>
  <c r="AM135" i="78" s="1"/>
  <c r="AN135" i="78"/>
  <c r="AO135" i="78" s="1"/>
  <c r="AH136" i="78"/>
  <c r="AI136" i="78" s="1"/>
  <c r="AJ136" i="78"/>
  <c r="AK136" i="78" s="1"/>
  <c r="AL136" i="78"/>
  <c r="AM136" i="78" s="1"/>
  <c r="AN136" i="78"/>
  <c r="AO136" i="78" s="1"/>
  <c r="AH137" i="78"/>
  <c r="AI137" i="78" s="1"/>
  <c r="AJ137" i="78"/>
  <c r="AK137" i="78" s="1"/>
  <c r="AL137" i="78"/>
  <c r="AM137" i="78" s="1"/>
  <c r="AN137" i="78"/>
  <c r="AO137" i="78" s="1"/>
  <c r="AH138" i="78"/>
  <c r="AI138" i="78" s="1"/>
  <c r="AJ138" i="78"/>
  <c r="AK138" i="78" s="1"/>
  <c r="AL138" i="78"/>
  <c r="AM138" i="78" s="1"/>
  <c r="AN138" i="78"/>
  <c r="AO138" i="78" s="1"/>
  <c r="AH139" i="78"/>
  <c r="AI139" i="78" s="1"/>
  <c r="AJ139" i="78"/>
  <c r="AK139" i="78" s="1"/>
  <c r="AL139" i="78"/>
  <c r="AM139" i="78" s="1"/>
  <c r="AN139" i="78"/>
  <c r="AO139" i="78" s="1"/>
  <c r="AH140" i="78"/>
  <c r="AI140" i="78" s="1"/>
  <c r="AJ140" i="78"/>
  <c r="AK140" i="78" s="1"/>
  <c r="AL140" i="78"/>
  <c r="AM140" i="78" s="1"/>
  <c r="AN140" i="78"/>
  <c r="AO140" i="78" s="1"/>
  <c r="AH141" i="78"/>
  <c r="AI141" i="78" s="1"/>
  <c r="AJ141" i="78"/>
  <c r="AK141" i="78" s="1"/>
  <c r="AL141" i="78"/>
  <c r="AM141" i="78" s="1"/>
  <c r="AN141" i="78"/>
  <c r="AO141" i="78" s="1"/>
  <c r="AH142" i="78"/>
  <c r="AI142" i="78" s="1"/>
  <c r="AJ142" i="78"/>
  <c r="AK142" i="78" s="1"/>
  <c r="AL142" i="78"/>
  <c r="AM142" i="78" s="1"/>
  <c r="AN142" i="78"/>
  <c r="AO142" i="78" s="1"/>
  <c r="AH143" i="78"/>
  <c r="AI143" i="78" s="1"/>
  <c r="AJ143" i="78"/>
  <c r="AK143" i="78" s="1"/>
  <c r="AL143" i="78"/>
  <c r="AM143" i="78" s="1"/>
  <c r="AN143" i="78"/>
  <c r="AO143" i="78" s="1"/>
  <c r="AH144" i="78"/>
  <c r="AI144" i="78" s="1"/>
  <c r="AJ144" i="78"/>
  <c r="AK144" i="78" s="1"/>
  <c r="AL144" i="78"/>
  <c r="AM144" i="78" s="1"/>
  <c r="AN144" i="78"/>
  <c r="AO144" i="78" s="1"/>
  <c r="AH145" i="78"/>
  <c r="AI145" i="78" s="1"/>
  <c r="AJ145" i="78"/>
  <c r="AK145" i="78" s="1"/>
  <c r="AL145" i="78"/>
  <c r="AM145" i="78" s="1"/>
  <c r="AN145" i="78"/>
  <c r="AO145" i="78" s="1"/>
  <c r="AH146" i="78"/>
  <c r="AI146" i="78" s="1"/>
  <c r="AJ146" i="78"/>
  <c r="AK146" i="78" s="1"/>
  <c r="AL146" i="78"/>
  <c r="AM146" i="78" s="1"/>
  <c r="AN146" i="78"/>
  <c r="AO146" i="78" s="1"/>
  <c r="AH147" i="78"/>
  <c r="AI147" i="78" s="1"/>
  <c r="AJ147" i="78"/>
  <c r="AK147" i="78" s="1"/>
  <c r="AL147" i="78"/>
  <c r="AM147" i="78" s="1"/>
  <c r="AN147" i="78"/>
  <c r="AO147" i="78" s="1"/>
  <c r="AH148" i="78"/>
  <c r="AI148" i="78" s="1"/>
  <c r="AJ148" i="78"/>
  <c r="AK148" i="78" s="1"/>
  <c r="AL148" i="78"/>
  <c r="AM148" i="78" s="1"/>
  <c r="AN148" i="78"/>
  <c r="AO148" i="78" s="1"/>
  <c r="AH149" i="78"/>
  <c r="AI149" i="78" s="1"/>
  <c r="AJ149" i="78"/>
  <c r="AK149" i="78" s="1"/>
  <c r="AL149" i="78"/>
  <c r="AM149" i="78" s="1"/>
  <c r="AN149" i="78"/>
  <c r="AO149" i="78" s="1"/>
  <c r="AH150" i="78"/>
  <c r="AI150" i="78" s="1"/>
  <c r="AJ150" i="78"/>
  <c r="AK150" i="78" s="1"/>
  <c r="AL150" i="78"/>
  <c r="AM150" i="78" s="1"/>
  <c r="AN150" i="78"/>
  <c r="AO150" i="78" s="1"/>
  <c r="AH151" i="78"/>
  <c r="AI151" i="78" s="1"/>
  <c r="AJ151" i="78"/>
  <c r="AK151" i="78" s="1"/>
  <c r="AL151" i="78"/>
  <c r="AM151" i="78" s="1"/>
  <c r="AN151" i="78"/>
  <c r="AO151" i="78" s="1"/>
  <c r="AH152" i="78"/>
  <c r="AI152" i="78" s="1"/>
  <c r="AJ152" i="78"/>
  <c r="AK152" i="78" s="1"/>
  <c r="AL152" i="78"/>
  <c r="AM152" i="78" s="1"/>
  <c r="AN152" i="78"/>
  <c r="AO152" i="78" s="1"/>
  <c r="AH153" i="78"/>
  <c r="AI153" i="78" s="1"/>
  <c r="AJ153" i="78"/>
  <c r="AK153" i="78" s="1"/>
  <c r="AL153" i="78"/>
  <c r="AM153" i="78" s="1"/>
  <c r="AN153" i="78"/>
  <c r="AO153" i="78" s="1"/>
  <c r="AH154" i="78"/>
  <c r="AI154" i="78" s="1"/>
  <c r="AJ154" i="78"/>
  <c r="AK154" i="78" s="1"/>
  <c r="AL154" i="78"/>
  <c r="AM154" i="78" s="1"/>
  <c r="AN154" i="78"/>
  <c r="AO154" i="78" s="1"/>
  <c r="AH155" i="78"/>
  <c r="AI155" i="78" s="1"/>
  <c r="AJ155" i="78"/>
  <c r="AK155" i="78" s="1"/>
  <c r="AL155" i="78"/>
  <c r="AM155" i="78" s="1"/>
  <c r="AN155" i="78"/>
  <c r="AO155" i="78" s="1"/>
  <c r="AH156" i="78"/>
  <c r="AI156" i="78" s="1"/>
  <c r="AJ156" i="78"/>
  <c r="AK156" i="78" s="1"/>
  <c r="AL156" i="78"/>
  <c r="AM156" i="78" s="1"/>
  <c r="AN156" i="78"/>
  <c r="AO156" i="78" s="1"/>
  <c r="AH157" i="78"/>
  <c r="AI157" i="78" s="1"/>
  <c r="AJ157" i="78"/>
  <c r="AK157" i="78" s="1"/>
  <c r="AL157" i="78"/>
  <c r="AM157" i="78" s="1"/>
  <c r="AN157" i="78"/>
  <c r="AO157" i="78" s="1"/>
  <c r="AH158" i="78"/>
  <c r="AI158" i="78" s="1"/>
  <c r="AJ158" i="78"/>
  <c r="AK158" i="78" s="1"/>
  <c r="AL158" i="78"/>
  <c r="AM158" i="78" s="1"/>
  <c r="AN158" i="78"/>
  <c r="AO158" i="78" s="1"/>
  <c r="AH159" i="78"/>
  <c r="AI159" i="78" s="1"/>
  <c r="AJ159" i="78"/>
  <c r="AK159" i="78" s="1"/>
  <c r="AL159" i="78"/>
  <c r="AM159" i="78" s="1"/>
  <c r="AN159" i="78"/>
  <c r="AO159" i="78" s="1"/>
  <c r="AH160" i="78"/>
  <c r="AI160" i="78" s="1"/>
  <c r="AJ160" i="78"/>
  <c r="AK160" i="78" s="1"/>
  <c r="AL160" i="78"/>
  <c r="AM160" i="78" s="1"/>
  <c r="AN160" i="78"/>
  <c r="AO160" i="78" s="1"/>
  <c r="AH161" i="78"/>
  <c r="AI161" i="78" s="1"/>
  <c r="AJ161" i="78"/>
  <c r="AK161" i="78" s="1"/>
  <c r="AL161" i="78"/>
  <c r="AM161" i="78" s="1"/>
  <c r="AN161" i="78"/>
  <c r="AO161" i="78" s="1"/>
  <c r="AH162" i="78"/>
  <c r="AI162" i="78" s="1"/>
  <c r="AJ162" i="78"/>
  <c r="AK162" i="78" s="1"/>
  <c r="AL162" i="78"/>
  <c r="AM162" i="78" s="1"/>
  <c r="AN162" i="78"/>
  <c r="AO162" i="78" s="1"/>
  <c r="AH163" i="78"/>
  <c r="AI163" i="78" s="1"/>
  <c r="AJ163" i="78"/>
  <c r="AK163" i="78" s="1"/>
  <c r="AL163" i="78"/>
  <c r="AM163" i="78" s="1"/>
  <c r="AN163" i="78"/>
  <c r="AO163" i="78" s="1"/>
  <c r="AH164" i="78"/>
  <c r="AI164" i="78" s="1"/>
  <c r="AJ164" i="78"/>
  <c r="AK164" i="78" s="1"/>
  <c r="AL164" i="78"/>
  <c r="AM164" i="78" s="1"/>
  <c r="AN164" i="78"/>
  <c r="AO164" i="78" s="1"/>
  <c r="AH165" i="78"/>
  <c r="AI165" i="78" s="1"/>
  <c r="AJ165" i="78"/>
  <c r="AK165" i="78" s="1"/>
  <c r="AL165" i="78"/>
  <c r="AM165" i="78" s="1"/>
  <c r="AN165" i="78"/>
  <c r="AO165" i="78" s="1"/>
  <c r="AH166" i="78"/>
  <c r="AI166" i="78" s="1"/>
  <c r="AJ166" i="78"/>
  <c r="AK166" i="78" s="1"/>
  <c r="AL166" i="78"/>
  <c r="AM166" i="78" s="1"/>
  <c r="AN166" i="78"/>
  <c r="AO166" i="78" s="1"/>
  <c r="AH167" i="78"/>
  <c r="AI167" i="78" s="1"/>
  <c r="AJ167" i="78"/>
  <c r="AK167" i="78" s="1"/>
  <c r="AL167" i="78"/>
  <c r="AM167" i="78" s="1"/>
  <c r="AN167" i="78"/>
  <c r="AO167" i="78" s="1"/>
  <c r="AH168" i="78"/>
  <c r="AI168" i="78" s="1"/>
  <c r="AJ168" i="78"/>
  <c r="AK168" i="78" s="1"/>
  <c r="AL168" i="78"/>
  <c r="AM168" i="78" s="1"/>
  <c r="AN168" i="78"/>
  <c r="AO168" i="78" s="1"/>
  <c r="AH169" i="78"/>
  <c r="AI169" i="78" s="1"/>
  <c r="AJ169" i="78"/>
  <c r="AK169" i="78" s="1"/>
  <c r="AL169" i="78"/>
  <c r="AM169" i="78" s="1"/>
  <c r="AN169" i="78"/>
  <c r="AO169" i="78" s="1"/>
  <c r="AH170" i="78"/>
  <c r="AI170" i="78" s="1"/>
  <c r="AJ170" i="78"/>
  <c r="AK170" i="78" s="1"/>
  <c r="AL170" i="78"/>
  <c r="AM170" i="78" s="1"/>
  <c r="AN170" i="78"/>
  <c r="AO170" i="78" s="1"/>
  <c r="AH171" i="78"/>
  <c r="AI171" i="78" s="1"/>
  <c r="AJ171" i="78"/>
  <c r="AK171" i="78" s="1"/>
  <c r="AL171" i="78"/>
  <c r="AM171" i="78" s="1"/>
  <c r="AN171" i="78"/>
  <c r="AO171" i="78" s="1"/>
  <c r="AH172" i="78"/>
  <c r="AI172" i="78" s="1"/>
  <c r="AJ172" i="78"/>
  <c r="AK172" i="78" s="1"/>
  <c r="AL172" i="78"/>
  <c r="AM172" i="78" s="1"/>
  <c r="AN172" i="78"/>
  <c r="AO172" i="78" s="1"/>
  <c r="AH173" i="78"/>
  <c r="AI173" i="78" s="1"/>
  <c r="AJ173" i="78"/>
  <c r="AK173" i="78" s="1"/>
  <c r="AL173" i="78"/>
  <c r="AM173" i="78" s="1"/>
  <c r="AN173" i="78"/>
  <c r="AO173" i="78" s="1"/>
  <c r="AH174" i="78"/>
  <c r="AI174" i="78" s="1"/>
  <c r="AJ174" i="78"/>
  <c r="AK174" i="78" s="1"/>
  <c r="AL174" i="78"/>
  <c r="AM174" i="78" s="1"/>
  <c r="AN174" i="78"/>
  <c r="AO174" i="78" s="1"/>
  <c r="AH175" i="78"/>
  <c r="AI175" i="78" s="1"/>
  <c r="AJ175" i="78"/>
  <c r="AK175" i="78" s="1"/>
  <c r="AL175" i="78"/>
  <c r="AM175" i="78" s="1"/>
  <c r="AN175" i="78"/>
  <c r="AO175" i="78" s="1"/>
  <c r="AH176" i="78"/>
  <c r="AI176" i="78" s="1"/>
  <c r="AJ176" i="78"/>
  <c r="AK176" i="78" s="1"/>
  <c r="AL176" i="78"/>
  <c r="AM176" i="78" s="1"/>
  <c r="AN176" i="78"/>
  <c r="AO176" i="78" s="1"/>
  <c r="AH177" i="78"/>
  <c r="AI177" i="78" s="1"/>
  <c r="AJ177" i="78"/>
  <c r="AK177" i="78" s="1"/>
  <c r="AL177" i="78"/>
  <c r="AM177" i="78" s="1"/>
  <c r="AN177" i="78"/>
  <c r="AO177" i="78" s="1"/>
  <c r="AH178" i="78"/>
  <c r="AI178" i="78" s="1"/>
  <c r="AJ178" i="78"/>
  <c r="AK178" i="78" s="1"/>
  <c r="AL178" i="78"/>
  <c r="AM178" i="78" s="1"/>
  <c r="AN178" i="78"/>
  <c r="AO178" i="78" s="1"/>
  <c r="AH179" i="78"/>
  <c r="AI179" i="78" s="1"/>
  <c r="AJ179" i="78"/>
  <c r="AK179" i="78" s="1"/>
  <c r="AL179" i="78"/>
  <c r="AM179" i="78" s="1"/>
  <c r="AN179" i="78"/>
  <c r="AO179" i="78" s="1"/>
  <c r="AH180" i="78"/>
  <c r="AI180" i="78" s="1"/>
  <c r="AJ180" i="78"/>
  <c r="AK180" i="78" s="1"/>
  <c r="AL180" i="78"/>
  <c r="AM180" i="78" s="1"/>
  <c r="AN180" i="78"/>
  <c r="AO180" i="78" s="1"/>
  <c r="AH181" i="78"/>
  <c r="AI181" i="78" s="1"/>
  <c r="AJ181" i="78"/>
  <c r="AK181" i="78" s="1"/>
  <c r="AL181" i="78"/>
  <c r="AM181" i="78" s="1"/>
  <c r="AN181" i="78"/>
  <c r="AO181" i="78" s="1"/>
  <c r="AH182" i="78"/>
  <c r="AI182" i="78" s="1"/>
  <c r="AJ182" i="78"/>
  <c r="AK182" i="78" s="1"/>
  <c r="AL182" i="78"/>
  <c r="AM182" i="78" s="1"/>
  <c r="AN182" i="78"/>
  <c r="AO182" i="78" s="1"/>
  <c r="AH183" i="78"/>
  <c r="AI183" i="78" s="1"/>
  <c r="AJ183" i="78"/>
  <c r="AK183" i="78" s="1"/>
  <c r="AL183" i="78"/>
  <c r="AM183" i="78" s="1"/>
  <c r="AN183" i="78"/>
  <c r="AO183" i="78" s="1"/>
  <c r="AH184" i="78"/>
  <c r="AI184" i="78" s="1"/>
  <c r="AJ184" i="78"/>
  <c r="AK184" i="78" s="1"/>
  <c r="AL184" i="78"/>
  <c r="AM184" i="78" s="1"/>
  <c r="AN184" i="78"/>
  <c r="AO184" i="78" s="1"/>
  <c r="AH185" i="78"/>
  <c r="AI185" i="78" s="1"/>
  <c r="AJ185" i="78"/>
  <c r="AK185" i="78" s="1"/>
  <c r="AL185" i="78"/>
  <c r="AM185" i="78" s="1"/>
  <c r="AN185" i="78"/>
  <c r="AO185" i="78" s="1"/>
  <c r="AH186" i="78"/>
  <c r="AI186" i="78" s="1"/>
  <c r="AJ186" i="78"/>
  <c r="AK186" i="78" s="1"/>
  <c r="AL186" i="78"/>
  <c r="AM186" i="78" s="1"/>
  <c r="AN186" i="78"/>
  <c r="AO186" i="78" s="1"/>
  <c r="AH187" i="78"/>
  <c r="AI187" i="78" s="1"/>
  <c r="AJ187" i="78"/>
  <c r="AK187" i="78" s="1"/>
  <c r="AL187" i="78"/>
  <c r="AM187" i="78" s="1"/>
  <c r="AN187" i="78"/>
  <c r="AO187" i="78" s="1"/>
  <c r="AH188" i="78"/>
  <c r="AI188" i="78" s="1"/>
  <c r="AJ188" i="78"/>
  <c r="AK188" i="78" s="1"/>
  <c r="AL188" i="78"/>
  <c r="AM188" i="78" s="1"/>
  <c r="AN188" i="78"/>
  <c r="AO188" i="78" s="1"/>
  <c r="AH189" i="78"/>
  <c r="AI189" i="78" s="1"/>
  <c r="AJ189" i="78"/>
  <c r="AK189" i="78" s="1"/>
  <c r="AL189" i="78"/>
  <c r="AM189" i="78" s="1"/>
  <c r="AN189" i="78"/>
  <c r="AO189" i="78" s="1"/>
  <c r="AH190" i="78"/>
  <c r="AI190" i="78" s="1"/>
  <c r="AJ190" i="78"/>
  <c r="AK190" i="78" s="1"/>
  <c r="AL190" i="78"/>
  <c r="AM190" i="78" s="1"/>
  <c r="AN190" i="78"/>
  <c r="AO190" i="78" s="1"/>
  <c r="AH191" i="78"/>
  <c r="AI191" i="78" s="1"/>
  <c r="AJ191" i="78"/>
  <c r="AK191" i="78" s="1"/>
  <c r="AL191" i="78"/>
  <c r="AM191" i="78" s="1"/>
  <c r="AN191" i="78"/>
  <c r="AO191" i="78" s="1"/>
  <c r="AH192" i="78"/>
  <c r="AI192" i="78" s="1"/>
  <c r="AJ192" i="78"/>
  <c r="AK192" i="78" s="1"/>
  <c r="AL192" i="78"/>
  <c r="AM192" i="78" s="1"/>
  <c r="AN192" i="78"/>
  <c r="AO192" i="78" s="1"/>
  <c r="AH193" i="78"/>
  <c r="AI193" i="78" s="1"/>
  <c r="AJ193" i="78"/>
  <c r="AK193" i="78" s="1"/>
  <c r="AL193" i="78"/>
  <c r="AM193" i="78" s="1"/>
  <c r="AN193" i="78"/>
  <c r="AO193" i="78" s="1"/>
  <c r="AH194" i="78"/>
  <c r="AI194" i="78" s="1"/>
  <c r="AJ194" i="78"/>
  <c r="AK194" i="78" s="1"/>
  <c r="AL194" i="78"/>
  <c r="AM194" i="78" s="1"/>
  <c r="AN194" i="78"/>
  <c r="AO194" i="78" s="1"/>
  <c r="AH195" i="78"/>
  <c r="AI195" i="78" s="1"/>
  <c r="AJ195" i="78"/>
  <c r="AK195" i="78" s="1"/>
  <c r="AL195" i="78"/>
  <c r="AM195" i="78" s="1"/>
  <c r="AN195" i="78"/>
  <c r="AO195" i="78" s="1"/>
  <c r="AH196" i="78"/>
  <c r="AI196" i="78" s="1"/>
  <c r="AJ196" i="78"/>
  <c r="AK196" i="78" s="1"/>
  <c r="AL196" i="78"/>
  <c r="AM196" i="78" s="1"/>
  <c r="AN196" i="78"/>
  <c r="AO196" i="78" s="1"/>
  <c r="AH197" i="78"/>
  <c r="AI197" i="78" s="1"/>
  <c r="AJ197" i="78"/>
  <c r="AK197" i="78" s="1"/>
  <c r="AL197" i="78"/>
  <c r="AM197" i="78" s="1"/>
  <c r="AN197" i="78"/>
  <c r="AO197" i="78" s="1"/>
  <c r="AH198" i="78"/>
  <c r="AI198" i="78" s="1"/>
  <c r="AJ198" i="78"/>
  <c r="AK198" i="78" s="1"/>
  <c r="AL198" i="78"/>
  <c r="AM198" i="78" s="1"/>
  <c r="AN198" i="78"/>
  <c r="AO198" i="78" s="1"/>
  <c r="AH199" i="78"/>
  <c r="AI199" i="78" s="1"/>
  <c r="AJ199" i="78"/>
  <c r="AK199" i="78" s="1"/>
  <c r="AL199" i="78"/>
  <c r="AM199" i="78" s="1"/>
  <c r="AN199" i="78"/>
  <c r="AO199" i="78" s="1"/>
  <c r="AH200" i="78"/>
  <c r="AI200" i="78" s="1"/>
  <c r="AJ200" i="78"/>
  <c r="AK200" i="78" s="1"/>
  <c r="AL200" i="78"/>
  <c r="AM200" i="78" s="1"/>
  <c r="AN200" i="78"/>
  <c r="AO200" i="78" s="1"/>
  <c r="AH201" i="78"/>
  <c r="AI201" i="78" s="1"/>
  <c r="AJ201" i="78"/>
  <c r="AK201" i="78" s="1"/>
  <c r="AL201" i="78"/>
  <c r="AM201" i="78" s="1"/>
  <c r="AN201" i="78"/>
  <c r="AO201" i="78" s="1"/>
  <c r="AH202" i="78"/>
  <c r="AI202" i="78" s="1"/>
  <c r="AJ202" i="78"/>
  <c r="AK202" i="78" s="1"/>
  <c r="AL202" i="78"/>
  <c r="AM202" i="78" s="1"/>
  <c r="AN202" i="78"/>
  <c r="AO202" i="78" s="1"/>
  <c r="AH203" i="78"/>
  <c r="AI203" i="78" s="1"/>
  <c r="AJ203" i="78"/>
  <c r="AK203" i="78" s="1"/>
  <c r="AL203" i="78"/>
  <c r="AM203" i="78" s="1"/>
  <c r="AN203" i="78"/>
  <c r="AO203" i="78" s="1"/>
  <c r="AH204" i="78"/>
  <c r="AI204" i="78" s="1"/>
  <c r="AJ204" i="78"/>
  <c r="AK204" i="78" s="1"/>
  <c r="AL204" i="78"/>
  <c r="AM204" i="78" s="1"/>
  <c r="AN204" i="78"/>
  <c r="AO204" i="78" s="1"/>
  <c r="AH205" i="78"/>
  <c r="AI205" i="78" s="1"/>
  <c r="AJ205" i="78"/>
  <c r="AK205" i="78" s="1"/>
  <c r="AL205" i="78"/>
  <c r="AM205" i="78" s="1"/>
  <c r="AN205" i="78"/>
  <c r="AO205" i="78" s="1"/>
  <c r="AH206" i="78"/>
  <c r="AI206" i="78" s="1"/>
  <c r="AJ206" i="78"/>
  <c r="AK206" i="78" s="1"/>
  <c r="AL206" i="78"/>
  <c r="AM206" i="78" s="1"/>
  <c r="AN206" i="78"/>
  <c r="AO206" i="78" s="1"/>
  <c r="AH207" i="78"/>
  <c r="AI207" i="78" s="1"/>
  <c r="AJ207" i="78"/>
  <c r="AK207" i="78" s="1"/>
  <c r="AL207" i="78"/>
  <c r="AM207" i="78" s="1"/>
  <c r="AN207" i="78"/>
  <c r="AO207" i="78" s="1"/>
  <c r="AH208" i="78"/>
  <c r="AI208" i="78" s="1"/>
  <c r="AJ208" i="78"/>
  <c r="AK208" i="78" s="1"/>
  <c r="AL208" i="78"/>
  <c r="AM208" i="78" s="1"/>
  <c r="AN208" i="78"/>
  <c r="AO208" i="78" s="1"/>
  <c r="AH209" i="78"/>
  <c r="AI209" i="78" s="1"/>
  <c r="AJ209" i="78"/>
  <c r="AK209" i="78" s="1"/>
  <c r="AL209" i="78"/>
  <c r="AM209" i="78" s="1"/>
  <c r="AN209" i="78"/>
  <c r="AO209" i="78" s="1"/>
  <c r="AH210" i="78"/>
  <c r="AI210" i="78" s="1"/>
  <c r="AJ210" i="78"/>
  <c r="AK210" i="78" s="1"/>
  <c r="AL210" i="78"/>
  <c r="AM210" i="78" s="1"/>
  <c r="AN210" i="78"/>
  <c r="AO210" i="78" s="1"/>
  <c r="AH211" i="78"/>
  <c r="AI211" i="78" s="1"/>
  <c r="AJ211" i="78"/>
  <c r="AK211" i="78" s="1"/>
  <c r="AL211" i="78"/>
  <c r="AM211" i="78" s="1"/>
  <c r="AN211" i="78"/>
  <c r="AO211" i="78" s="1"/>
  <c r="AH212" i="78"/>
  <c r="AI212" i="78" s="1"/>
  <c r="AJ212" i="78"/>
  <c r="AK212" i="78" s="1"/>
  <c r="AL212" i="78"/>
  <c r="AM212" i="78" s="1"/>
  <c r="AN212" i="78"/>
  <c r="AO212" i="78" s="1"/>
  <c r="AH213" i="78"/>
  <c r="AI213" i="78" s="1"/>
  <c r="AJ213" i="78"/>
  <c r="AK213" i="78" s="1"/>
  <c r="AL213" i="78"/>
  <c r="AM213" i="78" s="1"/>
  <c r="AN213" i="78"/>
  <c r="AO213" i="78" s="1"/>
  <c r="AH214" i="78"/>
  <c r="AI214" i="78" s="1"/>
  <c r="AJ214" i="78"/>
  <c r="AK214" i="78" s="1"/>
  <c r="AL214" i="78"/>
  <c r="AM214" i="78" s="1"/>
  <c r="AN214" i="78"/>
  <c r="AO214" i="78" s="1"/>
  <c r="AH215" i="78"/>
  <c r="AI215" i="78" s="1"/>
  <c r="AJ215" i="78"/>
  <c r="AK215" i="78" s="1"/>
  <c r="AL215" i="78"/>
  <c r="AM215" i="78" s="1"/>
  <c r="AN215" i="78"/>
  <c r="AO215" i="78" s="1"/>
  <c r="AH216" i="78"/>
  <c r="AI216" i="78" s="1"/>
  <c r="AJ216" i="78"/>
  <c r="AK216" i="78" s="1"/>
  <c r="AL216" i="78"/>
  <c r="AM216" i="78" s="1"/>
  <c r="AN216" i="78"/>
  <c r="AO216" i="78" s="1"/>
  <c r="AH217" i="78"/>
  <c r="AI217" i="78" s="1"/>
  <c r="AJ217" i="78"/>
  <c r="AK217" i="78" s="1"/>
  <c r="AL217" i="78"/>
  <c r="AM217" i="78" s="1"/>
  <c r="AN217" i="78"/>
  <c r="AO217" i="78" s="1"/>
  <c r="AH218" i="78"/>
  <c r="AI218" i="78" s="1"/>
  <c r="AJ218" i="78"/>
  <c r="AK218" i="78" s="1"/>
  <c r="AL218" i="78"/>
  <c r="AM218" i="78" s="1"/>
  <c r="AN218" i="78"/>
  <c r="AO218" i="78" s="1"/>
  <c r="AH219" i="78"/>
  <c r="AI219" i="78" s="1"/>
  <c r="AJ219" i="78"/>
  <c r="AK219" i="78" s="1"/>
  <c r="AL219" i="78"/>
  <c r="AM219" i="78" s="1"/>
  <c r="AN219" i="78"/>
  <c r="AO219" i="78" s="1"/>
  <c r="AH220" i="78"/>
  <c r="AI220" i="78" s="1"/>
  <c r="AJ220" i="78"/>
  <c r="AK220" i="78" s="1"/>
  <c r="AL220" i="78"/>
  <c r="AM220" i="78" s="1"/>
  <c r="AN220" i="78"/>
  <c r="AO220" i="78" s="1"/>
  <c r="AH221" i="78"/>
  <c r="AI221" i="78" s="1"/>
  <c r="AJ221" i="78"/>
  <c r="AK221" i="78" s="1"/>
  <c r="AL221" i="78"/>
  <c r="AM221" i="78" s="1"/>
  <c r="AN221" i="78"/>
  <c r="AO221" i="78" s="1"/>
  <c r="AH222" i="78"/>
  <c r="AI222" i="78" s="1"/>
  <c r="AJ222" i="78"/>
  <c r="AK222" i="78" s="1"/>
  <c r="AL222" i="78"/>
  <c r="AM222" i="78" s="1"/>
  <c r="AN222" i="78"/>
  <c r="AO222" i="78" s="1"/>
  <c r="AH223" i="78"/>
  <c r="AI223" i="78" s="1"/>
  <c r="AJ223" i="78"/>
  <c r="AK223" i="78" s="1"/>
  <c r="AL223" i="78"/>
  <c r="AM223" i="78" s="1"/>
  <c r="AN223" i="78"/>
  <c r="AO223" i="78" s="1"/>
  <c r="AH224" i="78"/>
  <c r="AI224" i="78" s="1"/>
  <c r="AJ224" i="78"/>
  <c r="AK224" i="78" s="1"/>
  <c r="AL224" i="78"/>
  <c r="AM224" i="78" s="1"/>
  <c r="AN224" i="78"/>
  <c r="AO224" i="78" s="1"/>
  <c r="AH225" i="78"/>
  <c r="AI225" i="78" s="1"/>
  <c r="AJ225" i="78"/>
  <c r="AK225" i="78" s="1"/>
  <c r="AL225" i="78"/>
  <c r="AM225" i="78" s="1"/>
  <c r="AN225" i="78"/>
  <c r="AO225" i="78" s="1"/>
  <c r="AH226" i="78"/>
  <c r="AI226" i="78" s="1"/>
  <c r="AJ226" i="78"/>
  <c r="AK226" i="78" s="1"/>
  <c r="AL226" i="78"/>
  <c r="AM226" i="78" s="1"/>
  <c r="AN226" i="78"/>
  <c r="AO226" i="78" s="1"/>
  <c r="AH227" i="78"/>
  <c r="AI227" i="78" s="1"/>
  <c r="AJ227" i="78"/>
  <c r="AK227" i="78" s="1"/>
  <c r="AL227" i="78"/>
  <c r="AM227" i="78" s="1"/>
  <c r="AN227" i="78"/>
  <c r="AO227" i="78" s="1"/>
  <c r="AH228" i="78"/>
  <c r="AI228" i="78" s="1"/>
  <c r="AJ228" i="78"/>
  <c r="AK228" i="78" s="1"/>
  <c r="AL228" i="78"/>
  <c r="AM228" i="78" s="1"/>
  <c r="AN228" i="78"/>
  <c r="AO228" i="78" s="1"/>
  <c r="AH229" i="78"/>
  <c r="AI229" i="78" s="1"/>
  <c r="AJ229" i="78"/>
  <c r="AK229" i="78" s="1"/>
  <c r="AL229" i="78"/>
  <c r="AM229" i="78" s="1"/>
  <c r="AN229" i="78"/>
  <c r="AO229" i="78" s="1"/>
  <c r="AH230" i="78"/>
  <c r="AI230" i="78" s="1"/>
  <c r="AJ230" i="78"/>
  <c r="AK230" i="78" s="1"/>
  <c r="AL230" i="78"/>
  <c r="AM230" i="78" s="1"/>
  <c r="AN230" i="78"/>
  <c r="AO230" i="78" s="1"/>
  <c r="AH231" i="78"/>
  <c r="AI231" i="78" s="1"/>
  <c r="AJ231" i="78"/>
  <c r="AK231" i="78" s="1"/>
  <c r="AL231" i="78"/>
  <c r="AM231" i="78" s="1"/>
  <c r="AN231" i="78"/>
  <c r="AO231" i="78" s="1"/>
  <c r="AH232" i="78"/>
  <c r="AI232" i="78" s="1"/>
  <c r="AJ232" i="78"/>
  <c r="AK232" i="78" s="1"/>
  <c r="AL232" i="78"/>
  <c r="AM232" i="78" s="1"/>
  <c r="AN232" i="78"/>
  <c r="AO232" i="78" s="1"/>
  <c r="AH233" i="78"/>
  <c r="AI233" i="78" s="1"/>
  <c r="AJ233" i="78"/>
  <c r="AK233" i="78" s="1"/>
  <c r="AL233" i="78"/>
  <c r="AM233" i="78" s="1"/>
  <c r="AN233" i="78"/>
  <c r="AO233" i="78" s="1"/>
  <c r="AH234" i="78"/>
  <c r="AI234" i="78" s="1"/>
  <c r="AJ234" i="78"/>
  <c r="AK234" i="78" s="1"/>
  <c r="AL234" i="78"/>
  <c r="AM234" i="78" s="1"/>
  <c r="AN234" i="78"/>
  <c r="AO234" i="78" s="1"/>
  <c r="AH235" i="78"/>
  <c r="AI235" i="78" s="1"/>
  <c r="AJ235" i="78"/>
  <c r="AK235" i="78" s="1"/>
  <c r="AL235" i="78"/>
  <c r="AM235" i="78" s="1"/>
  <c r="AN235" i="78"/>
  <c r="AO235" i="78" s="1"/>
  <c r="AH236" i="78"/>
  <c r="AI236" i="78" s="1"/>
  <c r="AJ236" i="78"/>
  <c r="AK236" i="78" s="1"/>
  <c r="AL236" i="78"/>
  <c r="AM236" i="78" s="1"/>
  <c r="AN236" i="78"/>
  <c r="AO236" i="78" s="1"/>
  <c r="AH237" i="78"/>
  <c r="AI237" i="78" s="1"/>
  <c r="AJ237" i="78"/>
  <c r="AK237" i="78" s="1"/>
  <c r="AL237" i="78"/>
  <c r="AM237" i="78" s="1"/>
  <c r="AN237" i="78"/>
  <c r="AO237" i="78" s="1"/>
  <c r="AH238" i="78"/>
  <c r="AI238" i="78" s="1"/>
  <c r="AJ238" i="78"/>
  <c r="AK238" i="78" s="1"/>
  <c r="AL238" i="78"/>
  <c r="AM238" i="78" s="1"/>
  <c r="AN238" i="78"/>
  <c r="AO238" i="78" s="1"/>
  <c r="AH239" i="78"/>
  <c r="AI239" i="78" s="1"/>
  <c r="AJ239" i="78"/>
  <c r="AK239" i="78" s="1"/>
  <c r="AL239" i="78"/>
  <c r="AM239" i="78" s="1"/>
  <c r="AN239" i="78"/>
  <c r="AO239" i="78" s="1"/>
  <c r="AH240" i="78"/>
  <c r="AI240" i="78" s="1"/>
  <c r="AJ240" i="78"/>
  <c r="AK240" i="78" s="1"/>
  <c r="AL240" i="78"/>
  <c r="AM240" i="78" s="1"/>
  <c r="AN240" i="78"/>
  <c r="AO240" i="78" s="1"/>
  <c r="AH241" i="78"/>
  <c r="AI241" i="78" s="1"/>
  <c r="AJ241" i="78"/>
  <c r="AK241" i="78" s="1"/>
  <c r="AL241" i="78"/>
  <c r="AM241" i="78" s="1"/>
  <c r="AN241" i="78"/>
  <c r="AO241" i="78" s="1"/>
  <c r="AH242" i="78"/>
  <c r="AI242" i="78" s="1"/>
  <c r="AJ242" i="78"/>
  <c r="AK242" i="78" s="1"/>
  <c r="AL242" i="78"/>
  <c r="AM242" i="78" s="1"/>
  <c r="AN242" i="78"/>
  <c r="AO242" i="78" s="1"/>
  <c r="AH243" i="78"/>
  <c r="AI243" i="78" s="1"/>
  <c r="AJ243" i="78"/>
  <c r="AK243" i="78" s="1"/>
  <c r="AL243" i="78"/>
  <c r="AM243" i="78" s="1"/>
  <c r="AN243" i="78"/>
  <c r="AO243" i="78" s="1"/>
  <c r="AH244" i="78"/>
  <c r="AI244" i="78" s="1"/>
  <c r="AJ244" i="78"/>
  <c r="AK244" i="78" s="1"/>
  <c r="AL244" i="78"/>
  <c r="AM244" i="78" s="1"/>
  <c r="AN244" i="78"/>
  <c r="AO244" i="78" s="1"/>
  <c r="AH245" i="78"/>
  <c r="AI245" i="78" s="1"/>
  <c r="AJ245" i="78"/>
  <c r="AK245" i="78" s="1"/>
  <c r="AL245" i="78"/>
  <c r="AM245" i="78" s="1"/>
  <c r="AN245" i="78"/>
  <c r="AO245" i="78" s="1"/>
  <c r="AH246" i="78"/>
  <c r="AI246" i="78" s="1"/>
  <c r="AJ246" i="78"/>
  <c r="AK246" i="78" s="1"/>
  <c r="AL246" i="78"/>
  <c r="AM246" i="78" s="1"/>
  <c r="AN246" i="78"/>
  <c r="AO246" i="78" s="1"/>
  <c r="AH247" i="78"/>
  <c r="AI247" i="78" s="1"/>
  <c r="AJ247" i="78"/>
  <c r="AK247" i="78" s="1"/>
  <c r="AL247" i="78"/>
  <c r="AM247" i="78" s="1"/>
  <c r="AN247" i="78"/>
  <c r="AO247" i="78" s="1"/>
  <c r="AH248" i="78"/>
  <c r="AI248" i="78" s="1"/>
  <c r="AJ248" i="78"/>
  <c r="AK248" i="78" s="1"/>
  <c r="AL248" i="78"/>
  <c r="AM248" i="78" s="1"/>
  <c r="AN248" i="78"/>
  <c r="AO248" i="78" s="1"/>
  <c r="AH249" i="78"/>
  <c r="AI249" i="78" s="1"/>
  <c r="AJ249" i="78"/>
  <c r="AK249" i="78" s="1"/>
  <c r="AL249" i="78"/>
  <c r="AM249" i="78" s="1"/>
  <c r="AN249" i="78"/>
  <c r="AO249" i="78" s="1"/>
  <c r="AH250" i="78"/>
  <c r="AI250" i="78" s="1"/>
  <c r="AJ250" i="78"/>
  <c r="AK250" i="78" s="1"/>
  <c r="AL250" i="78"/>
  <c r="AM250" i="78" s="1"/>
  <c r="AN250" i="78"/>
  <c r="AO250" i="78" s="1"/>
  <c r="AH251" i="78"/>
  <c r="AI251" i="78" s="1"/>
  <c r="AJ251" i="78"/>
  <c r="AK251" i="78" s="1"/>
  <c r="AL251" i="78"/>
  <c r="AM251" i="78" s="1"/>
  <c r="AN251" i="78"/>
  <c r="AO251" i="78" s="1"/>
  <c r="AH252" i="78"/>
  <c r="AI252" i="78" s="1"/>
  <c r="AJ252" i="78"/>
  <c r="AK252" i="78" s="1"/>
  <c r="AL252" i="78"/>
  <c r="AM252" i="78" s="1"/>
  <c r="AN252" i="78"/>
  <c r="AO252" i="78" s="1"/>
  <c r="AH253" i="78"/>
  <c r="AI253" i="78" s="1"/>
  <c r="AJ253" i="78"/>
  <c r="AK253" i="78" s="1"/>
  <c r="AL253" i="78"/>
  <c r="AM253" i="78" s="1"/>
  <c r="AN253" i="78"/>
  <c r="AO253" i="78" s="1"/>
  <c r="AH254" i="78"/>
  <c r="AI254" i="78" s="1"/>
  <c r="AJ254" i="78"/>
  <c r="AK254" i="78" s="1"/>
  <c r="AL254" i="78"/>
  <c r="AM254" i="78" s="1"/>
  <c r="AN254" i="78"/>
  <c r="AO254" i="78" s="1"/>
  <c r="AH255" i="78"/>
  <c r="AI255" i="78" s="1"/>
  <c r="AJ255" i="78"/>
  <c r="AK255" i="78" s="1"/>
  <c r="AL255" i="78"/>
  <c r="AM255" i="78" s="1"/>
  <c r="AN255" i="78"/>
  <c r="AO255" i="78" s="1"/>
  <c r="AH256" i="78"/>
  <c r="AI256" i="78" s="1"/>
  <c r="AJ256" i="78"/>
  <c r="AK256" i="78" s="1"/>
  <c r="AL256" i="78"/>
  <c r="AM256" i="78" s="1"/>
  <c r="AN256" i="78"/>
  <c r="AO256" i="78" s="1"/>
  <c r="AH257" i="78"/>
  <c r="AI257" i="78" s="1"/>
  <c r="AJ257" i="78"/>
  <c r="AK257" i="78" s="1"/>
  <c r="AL257" i="78"/>
  <c r="AM257" i="78" s="1"/>
  <c r="AN257" i="78"/>
  <c r="AO257" i="78" s="1"/>
  <c r="AH258" i="78"/>
  <c r="AI258" i="78" s="1"/>
  <c r="AJ258" i="78"/>
  <c r="AK258" i="78" s="1"/>
  <c r="AL258" i="78"/>
  <c r="AM258" i="78" s="1"/>
  <c r="AN258" i="78"/>
  <c r="AO258" i="78" s="1"/>
  <c r="AH259" i="78"/>
  <c r="AI259" i="78" s="1"/>
  <c r="AJ259" i="78"/>
  <c r="AK259" i="78" s="1"/>
  <c r="AL259" i="78"/>
  <c r="AM259" i="78" s="1"/>
  <c r="AN259" i="78"/>
  <c r="AO259" i="78" s="1"/>
  <c r="AH260" i="78"/>
  <c r="AI260" i="78" s="1"/>
  <c r="AJ260" i="78"/>
  <c r="AK260" i="78" s="1"/>
  <c r="AL260" i="78"/>
  <c r="AM260" i="78" s="1"/>
  <c r="AN260" i="78"/>
  <c r="AO260" i="78" s="1"/>
  <c r="AH261" i="78"/>
  <c r="AJ261" i="78"/>
  <c r="AL261" i="78"/>
  <c r="AN261" i="78"/>
  <c r="AH262" i="78"/>
  <c r="AI262" i="78" s="1"/>
  <c r="AJ262" i="78"/>
  <c r="AK262" i="78" s="1"/>
  <c r="AL262" i="78"/>
  <c r="AM262" i="78" s="1"/>
  <c r="AN262" i="78"/>
  <c r="AO262" i="78" s="1"/>
  <c r="AH263" i="78"/>
  <c r="AI263" i="78" s="1"/>
  <c r="AJ263" i="78"/>
  <c r="AK263" i="78" s="1"/>
  <c r="AL263" i="78"/>
  <c r="AM263" i="78" s="1"/>
  <c r="AN263" i="78"/>
  <c r="AO263" i="78" s="1"/>
  <c r="AH264" i="78"/>
  <c r="AI264" i="78" s="1"/>
  <c r="AJ264" i="78"/>
  <c r="AK264" i="78" s="1"/>
  <c r="AL264" i="78"/>
  <c r="AM264" i="78" s="1"/>
  <c r="AN264" i="78"/>
  <c r="AO264" i="78" s="1"/>
  <c r="AH265" i="78"/>
  <c r="AI265" i="78" s="1"/>
  <c r="AJ265" i="78"/>
  <c r="AK265" i="78" s="1"/>
  <c r="AL265" i="78"/>
  <c r="AM265" i="78" s="1"/>
  <c r="AN265" i="78"/>
  <c r="AO265" i="78" s="1"/>
  <c r="AH266" i="78"/>
  <c r="AI266" i="78" s="1"/>
  <c r="AJ266" i="78"/>
  <c r="AK266" i="78" s="1"/>
  <c r="AL266" i="78"/>
  <c r="AM266" i="78" s="1"/>
  <c r="AN266" i="78"/>
  <c r="AO266" i="78" s="1"/>
  <c r="AH267" i="78"/>
  <c r="AI267" i="78" s="1"/>
  <c r="AJ267" i="78"/>
  <c r="AK267" i="78" s="1"/>
  <c r="AL267" i="78"/>
  <c r="AM267" i="78" s="1"/>
  <c r="AN267" i="78"/>
  <c r="AO267" i="78" s="1"/>
  <c r="AH268" i="78"/>
  <c r="AI268" i="78" s="1"/>
  <c r="AJ268" i="78"/>
  <c r="AK268" i="78" s="1"/>
  <c r="AL268" i="78"/>
  <c r="AM268" i="78" s="1"/>
  <c r="AN268" i="78"/>
  <c r="AO268" i="78" s="1"/>
  <c r="AH269" i="78"/>
  <c r="AI269" i="78" s="1"/>
  <c r="AJ269" i="78"/>
  <c r="AK269" i="78" s="1"/>
  <c r="AL269" i="78"/>
  <c r="AM269" i="78" s="1"/>
  <c r="AN269" i="78"/>
  <c r="AO269" i="78" s="1"/>
  <c r="AH270" i="78"/>
  <c r="AI270" i="78" s="1"/>
  <c r="AJ270" i="78"/>
  <c r="AK270" i="78" s="1"/>
  <c r="AL270" i="78"/>
  <c r="AM270" i="78" s="1"/>
  <c r="AN270" i="78"/>
  <c r="AO270" i="78" s="1"/>
  <c r="AH271" i="78"/>
  <c r="AI271" i="78" s="1"/>
  <c r="AJ271" i="78"/>
  <c r="AK271" i="78" s="1"/>
  <c r="AL271" i="78"/>
  <c r="AM271" i="78" s="1"/>
  <c r="AN271" i="78"/>
  <c r="AO271" i="78" s="1"/>
  <c r="AH272" i="78"/>
  <c r="AI272" i="78" s="1"/>
  <c r="AJ272" i="78"/>
  <c r="AK272" i="78" s="1"/>
  <c r="AL272" i="78"/>
  <c r="AM272" i="78" s="1"/>
  <c r="AN272" i="78"/>
  <c r="AO272" i="78" s="1"/>
  <c r="AH273" i="78"/>
  <c r="AI273" i="78" s="1"/>
  <c r="AJ273" i="78"/>
  <c r="AK273" i="78" s="1"/>
  <c r="AL273" i="78"/>
  <c r="AM273" i="78" s="1"/>
  <c r="AN273" i="78"/>
  <c r="AO273" i="78" s="1"/>
  <c r="AH274" i="78"/>
  <c r="AI274" i="78" s="1"/>
  <c r="AJ274" i="78"/>
  <c r="AK274" i="78" s="1"/>
  <c r="AL274" i="78"/>
  <c r="AM274" i="78" s="1"/>
  <c r="AN274" i="78"/>
  <c r="AO274" i="78" s="1"/>
  <c r="AH275" i="78"/>
  <c r="AI275" i="78" s="1"/>
  <c r="AJ275" i="78"/>
  <c r="AK275" i="78" s="1"/>
  <c r="AL275" i="78"/>
  <c r="AM275" i="78" s="1"/>
  <c r="AN275" i="78"/>
  <c r="AO275" i="78" s="1"/>
  <c r="AH276" i="78"/>
  <c r="AI276" i="78" s="1"/>
  <c r="AJ276" i="78"/>
  <c r="AK276" i="78" s="1"/>
  <c r="AL276" i="78"/>
  <c r="AM276" i="78" s="1"/>
  <c r="AN276" i="78"/>
  <c r="AO276" i="78" s="1"/>
  <c r="AH277" i="78"/>
  <c r="AI277" i="78" s="1"/>
  <c r="AJ277" i="78"/>
  <c r="AK277" i="78" s="1"/>
  <c r="AL277" i="78"/>
  <c r="AM277" i="78" s="1"/>
  <c r="AN277" i="78"/>
  <c r="AO277" i="78" s="1"/>
  <c r="AH278" i="78"/>
  <c r="AI278" i="78" s="1"/>
  <c r="AJ278" i="78"/>
  <c r="AK278" i="78" s="1"/>
  <c r="AL278" i="78"/>
  <c r="AM278" i="78" s="1"/>
  <c r="AN278" i="78"/>
  <c r="AO278" i="78" s="1"/>
  <c r="AH279" i="78"/>
  <c r="AI279" i="78" s="1"/>
  <c r="AJ279" i="78"/>
  <c r="AK279" i="78" s="1"/>
  <c r="AL279" i="78"/>
  <c r="AM279" i="78" s="1"/>
  <c r="AN279" i="78"/>
  <c r="AO279" i="78" s="1"/>
  <c r="AH280" i="78"/>
  <c r="AI280" i="78" s="1"/>
  <c r="AJ280" i="78"/>
  <c r="AK280" i="78" s="1"/>
  <c r="AL280" i="78"/>
  <c r="AM280" i="78" s="1"/>
  <c r="AN280" i="78"/>
  <c r="AO280" i="78" s="1"/>
  <c r="AH281" i="78"/>
  <c r="AI281" i="78" s="1"/>
  <c r="AJ281" i="78"/>
  <c r="AK281" i="78" s="1"/>
  <c r="AL281" i="78"/>
  <c r="AM281" i="78" s="1"/>
  <c r="AN281" i="78"/>
  <c r="AO281" i="78" s="1"/>
  <c r="AH282" i="78"/>
  <c r="AI282" i="78" s="1"/>
  <c r="AJ282" i="78"/>
  <c r="AK282" i="78" s="1"/>
  <c r="AL282" i="78"/>
  <c r="AM282" i="78" s="1"/>
  <c r="AN282" i="78"/>
  <c r="AO282" i="78" s="1"/>
  <c r="AH283" i="78"/>
  <c r="AI283" i="78" s="1"/>
  <c r="AJ283" i="78"/>
  <c r="AK283" i="78" s="1"/>
  <c r="AL283" i="78"/>
  <c r="AM283" i="78" s="1"/>
  <c r="AN283" i="78"/>
  <c r="AO283" i="78" s="1"/>
  <c r="AH284" i="78"/>
  <c r="AI284" i="78" s="1"/>
  <c r="AJ284" i="78"/>
  <c r="AK284" i="78" s="1"/>
  <c r="AL284" i="78"/>
  <c r="AM284" i="78" s="1"/>
  <c r="AN284" i="78"/>
  <c r="AO284" i="78" s="1"/>
  <c r="AH285" i="78"/>
  <c r="AI285" i="78" s="1"/>
  <c r="AJ285" i="78"/>
  <c r="AK285" i="78" s="1"/>
  <c r="AL285" i="78"/>
  <c r="AM285" i="78" s="1"/>
  <c r="AN285" i="78"/>
  <c r="AO285" i="78" s="1"/>
  <c r="AH286" i="78"/>
  <c r="AI286" i="78" s="1"/>
  <c r="AJ286" i="78"/>
  <c r="AK286" i="78" s="1"/>
  <c r="AL286" i="78"/>
  <c r="AM286" i="78" s="1"/>
  <c r="AN286" i="78"/>
  <c r="AO286" i="78" s="1"/>
  <c r="AH287" i="78"/>
  <c r="AI287" i="78" s="1"/>
  <c r="AJ287" i="78"/>
  <c r="AK287" i="78" s="1"/>
  <c r="AL287" i="78"/>
  <c r="AM287" i="78" s="1"/>
  <c r="AN287" i="78"/>
  <c r="AO287" i="78" s="1"/>
  <c r="AH288" i="78"/>
  <c r="AI288" i="78" s="1"/>
  <c r="AJ288" i="78"/>
  <c r="AK288" i="78" s="1"/>
  <c r="AL288" i="78"/>
  <c r="AM288" i="78" s="1"/>
  <c r="AN288" i="78"/>
  <c r="AO288" i="78" s="1"/>
  <c r="AH289" i="78"/>
  <c r="AI289" i="78" s="1"/>
  <c r="AJ289" i="78"/>
  <c r="AK289" i="78" s="1"/>
  <c r="AL289" i="78"/>
  <c r="AM289" i="78" s="1"/>
  <c r="AN289" i="78"/>
  <c r="AO289" i="78" s="1"/>
  <c r="AH290" i="78"/>
  <c r="AI290" i="78" s="1"/>
  <c r="AJ290" i="78"/>
  <c r="AK290" i="78" s="1"/>
  <c r="AL290" i="78"/>
  <c r="AM290" i="78" s="1"/>
  <c r="AN290" i="78"/>
  <c r="AO290" i="78" s="1"/>
  <c r="AH291" i="78"/>
  <c r="AI291" i="78" s="1"/>
  <c r="AJ291" i="78"/>
  <c r="AK291" i="78" s="1"/>
  <c r="AL291" i="78"/>
  <c r="AM291" i="78" s="1"/>
  <c r="AN291" i="78"/>
  <c r="AO291" i="78" s="1"/>
  <c r="AH292" i="78"/>
  <c r="AI292" i="78" s="1"/>
  <c r="AJ292" i="78"/>
  <c r="AK292" i="78" s="1"/>
  <c r="AL292" i="78"/>
  <c r="AM292" i="78" s="1"/>
  <c r="AN292" i="78"/>
  <c r="AO292" i="78" s="1"/>
  <c r="AH293" i="78"/>
  <c r="AI293" i="78" s="1"/>
  <c r="AJ293" i="78"/>
  <c r="AK293" i="78" s="1"/>
  <c r="AL293" i="78"/>
  <c r="AM293" i="78" s="1"/>
  <c r="AN293" i="78"/>
  <c r="AO293" i="78" s="1"/>
  <c r="AH294" i="78"/>
  <c r="AI294" i="78" s="1"/>
  <c r="AJ294" i="78"/>
  <c r="AK294" i="78" s="1"/>
  <c r="AL294" i="78"/>
  <c r="AM294" i="78" s="1"/>
  <c r="AN294" i="78"/>
  <c r="AO294" i="78" s="1"/>
  <c r="AH295" i="78"/>
  <c r="AI295" i="78" s="1"/>
  <c r="AJ295" i="78"/>
  <c r="AK295" i="78" s="1"/>
  <c r="AL295" i="78"/>
  <c r="AM295" i="78" s="1"/>
  <c r="AN295" i="78"/>
  <c r="AO295" i="78" s="1"/>
  <c r="AH296" i="78"/>
  <c r="AI296" i="78" s="1"/>
  <c r="AJ296" i="78"/>
  <c r="AK296" i="78" s="1"/>
  <c r="AL296" i="78"/>
  <c r="AM296" i="78" s="1"/>
  <c r="AN296" i="78"/>
  <c r="AO296" i="78" s="1"/>
  <c r="AH297" i="78"/>
  <c r="AI297" i="78" s="1"/>
  <c r="AJ297" i="78"/>
  <c r="AK297" i="78" s="1"/>
  <c r="AL297" i="78"/>
  <c r="AM297" i="78" s="1"/>
  <c r="AN297" i="78"/>
  <c r="AO297" i="78" s="1"/>
  <c r="AH298" i="78"/>
  <c r="AI298" i="78" s="1"/>
  <c r="AJ298" i="78"/>
  <c r="AK298" i="78" s="1"/>
  <c r="AL298" i="78"/>
  <c r="AM298" i="78" s="1"/>
  <c r="AN298" i="78"/>
  <c r="AO298" i="78" s="1"/>
  <c r="AH299" i="78"/>
  <c r="AI299" i="78" s="1"/>
  <c r="AJ299" i="78"/>
  <c r="AK299" i="78" s="1"/>
  <c r="AL299" i="78"/>
  <c r="AM299" i="78" s="1"/>
  <c r="AN299" i="78"/>
  <c r="AO299" i="78" s="1"/>
  <c r="AH300" i="78"/>
  <c r="AI300" i="78" s="1"/>
  <c r="AJ300" i="78"/>
  <c r="AK300" i="78" s="1"/>
  <c r="AL300" i="78"/>
  <c r="AM300" i="78" s="1"/>
  <c r="AN300" i="78"/>
  <c r="AO300" i="78" s="1"/>
  <c r="AH301" i="78"/>
  <c r="AI301" i="78" s="1"/>
  <c r="AJ301" i="78"/>
  <c r="AK301" i="78" s="1"/>
  <c r="AL301" i="78"/>
  <c r="AM301" i="78" s="1"/>
  <c r="AN301" i="78"/>
  <c r="AO301" i="78" s="1"/>
  <c r="AH302" i="78"/>
  <c r="AI302" i="78" s="1"/>
  <c r="AJ302" i="78"/>
  <c r="AK302" i="78" s="1"/>
  <c r="AL302" i="78"/>
  <c r="AM302" i="78" s="1"/>
  <c r="AN302" i="78"/>
  <c r="AO302" i="78" s="1"/>
  <c r="AH303" i="78"/>
  <c r="AI303" i="78" s="1"/>
  <c r="AJ303" i="78"/>
  <c r="AK303" i="78" s="1"/>
  <c r="AL303" i="78"/>
  <c r="AM303" i="78" s="1"/>
  <c r="AN303" i="78"/>
  <c r="AO303" i="78" s="1"/>
  <c r="AH304" i="78"/>
  <c r="AI304" i="78" s="1"/>
  <c r="AJ304" i="78"/>
  <c r="AK304" i="78" s="1"/>
  <c r="AL304" i="78"/>
  <c r="AM304" i="78" s="1"/>
  <c r="AN304" i="78"/>
  <c r="AO304" i="78" s="1"/>
  <c r="AH305" i="78"/>
  <c r="AI305" i="78" s="1"/>
  <c r="AJ305" i="78"/>
  <c r="AK305" i="78" s="1"/>
  <c r="AL305" i="78"/>
  <c r="AM305" i="78" s="1"/>
  <c r="AN305" i="78"/>
  <c r="AO305" i="78" s="1"/>
  <c r="AH306" i="78"/>
  <c r="AI306" i="78" s="1"/>
  <c r="AJ306" i="78"/>
  <c r="AK306" i="78" s="1"/>
  <c r="AL306" i="78"/>
  <c r="AM306" i="78" s="1"/>
  <c r="AN306" i="78"/>
  <c r="AO306" i="78" s="1"/>
  <c r="AH307" i="78"/>
  <c r="AI307" i="78" s="1"/>
  <c r="AJ307" i="78"/>
  <c r="AK307" i="78" s="1"/>
  <c r="AL307" i="78"/>
  <c r="AM307" i="78" s="1"/>
  <c r="AN307" i="78"/>
  <c r="AO307" i="78" s="1"/>
  <c r="AH308" i="78"/>
  <c r="AI308" i="78" s="1"/>
  <c r="AJ308" i="78"/>
  <c r="AK308" i="78" s="1"/>
  <c r="AL308" i="78"/>
  <c r="AM308" i="78" s="1"/>
  <c r="AN308" i="78"/>
  <c r="AO308" i="78" s="1"/>
  <c r="AH309" i="78"/>
  <c r="AI309" i="78" s="1"/>
  <c r="AJ309" i="78"/>
  <c r="AK309" i="78" s="1"/>
  <c r="AL309" i="78"/>
  <c r="AM309" i="78" s="1"/>
  <c r="AN309" i="78"/>
  <c r="AO309" i="78" s="1"/>
  <c r="AH310" i="78"/>
  <c r="AI310" i="78" s="1"/>
  <c r="AJ310" i="78"/>
  <c r="AK310" i="78" s="1"/>
  <c r="AL310" i="78"/>
  <c r="AM310" i="78" s="1"/>
  <c r="AN310" i="78"/>
  <c r="AO310" i="78" s="1"/>
  <c r="AH311" i="78"/>
  <c r="AI311" i="78" s="1"/>
  <c r="AJ311" i="78"/>
  <c r="AK311" i="78" s="1"/>
  <c r="AL311" i="78"/>
  <c r="AM311" i="78" s="1"/>
  <c r="AN311" i="78"/>
  <c r="AO311" i="78" s="1"/>
  <c r="AH312" i="78"/>
  <c r="AI312" i="78" s="1"/>
  <c r="AJ312" i="78"/>
  <c r="AK312" i="78" s="1"/>
  <c r="AL312" i="78"/>
  <c r="AM312" i="78" s="1"/>
  <c r="AN312" i="78"/>
  <c r="AO312" i="78" s="1"/>
  <c r="AH313" i="78"/>
  <c r="AI313" i="78" s="1"/>
  <c r="AJ313" i="78"/>
  <c r="AK313" i="78" s="1"/>
  <c r="AL313" i="78"/>
  <c r="AM313" i="78" s="1"/>
  <c r="AN313" i="78"/>
  <c r="AO313" i="78" s="1"/>
  <c r="AH314" i="78"/>
  <c r="AI314" i="78" s="1"/>
  <c r="AJ314" i="78"/>
  <c r="AK314" i="78" s="1"/>
  <c r="AL314" i="78"/>
  <c r="AM314" i="78" s="1"/>
  <c r="AN314" i="78"/>
  <c r="AO314" i="78" s="1"/>
  <c r="AH315" i="78"/>
  <c r="AI315" i="78" s="1"/>
  <c r="AJ315" i="78"/>
  <c r="AK315" i="78" s="1"/>
  <c r="AL315" i="78"/>
  <c r="AM315" i="78" s="1"/>
  <c r="AN315" i="78"/>
  <c r="AO315" i="78" s="1"/>
  <c r="AH316" i="78"/>
  <c r="AI316" i="78" s="1"/>
  <c r="AJ316" i="78"/>
  <c r="AK316" i="78" s="1"/>
  <c r="AL316" i="78"/>
  <c r="AM316" i="78" s="1"/>
  <c r="AN316" i="78"/>
  <c r="AO316" i="78" s="1"/>
  <c r="AH317" i="78"/>
  <c r="AI317" i="78" s="1"/>
  <c r="AJ317" i="78"/>
  <c r="AK317" i="78" s="1"/>
  <c r="AL317" i="78"/>
  <c r="AM317" i="78" s="1"/>
  <c r="AN317" i="78"/>
  <c r="AO317" i="78" s="1"/>
  <c r="AN5" i="78"/>
  <c r="AL5" i="78"/>
  <c r="AJ5" i="78"/>
  <c r="AH5" i="78"/>
  <c r="W6" i="78"/>
  <c r="W7" i="78"/>
  <c r="W8" i="78"/>
  <c r="W9" i="78"/>
  <c r="W10" i="78"/>
  <c r="W11" i="78"/>
  <c r="W12" i="78"/>
  <c r="W13" i="78"/>
  <c r="W14" i="78"/>
  <c r="W15" i="78"/>
  <c r="W16" i="78"/>
  <c r="W17" i="78"/>
  <c r="W18" i="78"/>
  <c r="W19" i="78"/>
  <c r="W20" i="78"/>
  <c r="W21" i="78"/>
  <c r="W22" i="78"/>
  <c r="W23" i="78"/>
  <c r="W24" i="78"/>
  <c r="W25" i="78"/>
  <c r="W26" i="78"/>
  <c r="W27" i="78"/>
  <c r="W28" i="78"/>
  <c r="W29" i="78"/>
  <c r="W30" i="78"/>
  <c r="W31" i="78"/>
  <c r="W32" i="78"/>
  <c r="W33" i="78"/>
  <c r="W35" i="78"/>
  <c r="W36" i="78"/>
  <c r="W37" i="78"/>
  <c r="W38" i="78"/>
  <c r="W39" i="78"/>
  <c r="W40" i="78"/>
  <c r="W41" i="78"/>
  <c r="W42" i="78"/>
  <c r="W43" i="78"/>
  <c r="W44" i="78"/>
  <c r="W45" i="78"/>
  <c r="W46" i="78"/>
  <c r="W47" i="78"/>
  <c r="W48" i="78"/>
  <c r="W49" i="78"/>
  <c r="W50" i="78"/>
  <c r="W51" i="78"/>
  <c r="W52" i="78"/>
  <c r="W53" i="78"/>
  <c r="W54" i="78"/>
  <c r="W55" i="78"/>
  <c r="W56" i="78"/>
  <c r="W57" i="78"/>
  <c r="W58" i="78"/>
  <c r="W59" i="78"/>
  <c r="W60" i="78"/>
  <c r="W61" i="78"/>
  <c r="W62" i="78"/>
  <c r="W63" i="78"/>
  <c r="W64" i="78"/>
  <c r="W65" i="78"/>
  <c r="W66" i="78"/>
  <c r="W67" i="78"/>
  <c r="W68" i="78"/>
  <c r="W69" i="78"/>
  <c r="W70" i="78"/>
  <c r="W71" i="78"/>
  <c r="W72" i="78"/>
  <c r="W73" i="78"/>
  <c r="W74" i="78"/>
  <c r="W75" i="78"/>
  <c r="W76" i="78"/>
  <c r="W77" i="78"/>
  <c r="W78" i="78"/>
  <c r="W79" i="78"/>
  <c r="W80" i="78"/>
  <c r="W81" i="78"/>
  <c r="W82" i="78"/>
  <c r="W83" i="78"/>
  <c r="W84" i="78"/>
  <c r="W85" i="78"/>
  <c r="W86" i="78"/>
  <c r="W87" i="78"/>
  <c r="W88" i="78"/>
  <c r="W89" i="78"/>
  <c r="W90" i="78"/>
  <c r="W91" i="78"/>
  <c r="W92" i="78"/>
  <c r="W93" i="78"/>
  <c r="W94" i="78"/>
  <c r="W95" i="78"/>
  <c r="W96" i="78"/>
  <c r="W97" i="78"/>
  <c r="W98" i="78"/>
  <c r="W99" i="78"/>
  <c r="W100" i="78"/>
  <c r="W101" i="78"/>
  <c r="W102" i="78"/>
  <c r="W103" i="78"/>
  <c r="W104" i="78"/>
  <c r="W105" i="78"/>
  <c r="W106" i="78"/>
  <c r="W107" i="78"/>
  <c r="W108" i="78"/>
  <c r="W109" i="78"/>
  <c r="W110" i="78"/>
  <c r="W111" i="78"/>
  <c r="W112" i="78"/>
  <c r="W113" i="78"/>
  <c r="W114" i="78"/>
  <c r="W115" i="78"/>
  <c r="W116" i="78"/>
  <c r="W117" i="78"/>
  <c r="W118" i="78"/>
  <c r="W119" i="78"/>
  <c r="W120" i="78"/>
  <c r="W121" i="78"/>
  <c r="W122" i="78"/>
  <c r="W123" i="78"/>
  <c r="W124" i="78"/>
  <c r="W125" i="78"/>
  <c r="W126" i="78"/>
  <c r="W127" i="78"/>
  <c r="W128" i="78"/>
  <c r="W129" i="78"/>
  <c r="W130" i="78"/>
  <c r="W131" i="78"/>
  <c r="W132" i="78"/>
  <c r="W133" i="78"/>
  <c r="W134" i="78"/>
  <c r="W135" i="78"/>
  <c r="W136" i="78"/>
  <c r="W137" i="78"/>
  <c r="W138" i="78"/>
  <c r="W139" i="78"/>
  <c r="W140" i="78"/>
  <c r="W141" i="78"/>
  <c r="W142" i="78"/>
  <c r="W143" i="78"/>
  <c r="W144" i="78"/>
  <c r="W145" i="78"/>
  <c r="W146" i="78"/>
  <c r="W147" i="78"/>
  <c r="W148" i="78"/>
  <c r="W149" i="78"/>
  <c r="W150" i="78"/>
  <c r="W151" i="78"/>
  <c r="W152" i="78"/>
  <c r="W153" i="78"/>
  <c r="W154" i="78"/>
  <c r="W155" i="78"/>
  <c r="W156" i="78"/>
  <c r="W157" i="78"/>
  <c r="W158" i="78"/>
  <c r="W159" i="78"/>
  <c r="W160" i="78"/>
  <c r="W161" i="78"/>
  <c r="W162" i="78"/>
  <c r="W163" i="78"/>
  <c r="W164" i="78"/>
  <c r="W165" i="78"/>
  <c r="W166" i="78"/>
  <c r="W167" i="78"/>
  <c r="W168" i="78"/>
  <c r="W169" i="78"/>
  <c r="W170" i="78"/>
  <c r="W171" i="78"/>
  <c r="W172" i="78"/>
  <c r="W173" i="78"/>
  <c r="W174" i="78"/>
  <c r="W175" i="78"/>
  <c r="W176" i="78"/>
  <c r="W177" i="78"/>
  <c r="W178" i="78"/>
  <c r="W179" i="78"/>
  <c r="W180" i="78"/>
  <c r="W181" i="78"/>
  <c r="W182" i="78"/>
  <c r="W183" i="78"/>
  <c r="W184" i="78"/>
  <c r="W185" i="78"/>
  <c r="W186" i="78"/>
  <c r="W187" i="78"/>
  <c r="W188" i="78"/>
  <c r="W189" i="78"/>
  <c r="W190" i="78"/>
  <c r="W191" i="78"/>
  <c r="W192" i="78"/>
  <c r="W193" i="78"/>
  <c r="W194" i="78"/>
  <c r="W195" i="78"/>
  <c r="W196" i="78"/>
  <c r="W197" i="78"/>
  <c r="W198" i="78"/>
  <c r="W199" i="78"/>
  <c r="W200" i="78"/>
  <c r="W201" i="78"/>
  <c r="W202" i="78"/>
  <c r="W203" i="78"/>
  <c r="W204" i="78"/>
  <c r="W205" i="78"/>
  <c r="W206" i="78"/>
  <c r="W207" i="78"/>
  <c r="W208" i="78"/>
  <c r="W209" i="78"/>
  <c r="W210" i="78"/>
  <c r="W211" i="78"/>
  <c r="W212" i="78"/>
  <c r="W213" i="78"/>
  <c r="W214" i="78"/>
  <c r="W215" i="78"/>
  <c r="W216" i="78"/>
  <c r="W217" i="78"/>
  <c r="W218" i="78"/>
  <c r="W219" i="78"/>
  <c r="W220" i="78"/>
  <c r="W221" i="78"/>
  <c r="W222" i="78"/>
  <c r="W223" i="78"/>
  <c r="W224" i="78"/>
  <c r="W225" i="78"/>
  <c r="W226" i="78"/>
  <c r="W227" i="78"/>
  <c r="W228" i="78"/>
  <c r="W229" i="78"/>
  <c r="W230" i="78"/>
  <c r="W231" i="78"/>
  <c r="W232" i="78"/>
  <c r="W233" i="78"/>
  <c r="W234" i="78"/>
  <c r="W235" i="78"/>
  <c r="W236" i="78"/>
  <c r="W237" i="78"/>
  <c r="W238" i="78"/>
  <c r="W239" i="78"/>
  <c r="W240" i="78"/>
  <c r="W241" i="78"/>
  <c r="W242" i="78"/>
  <c r="W243" i="78"/>
  <c r="W244" i="78"/>
  <c r="W245" i="78"/>
  <c r="W246" i="78"/>
  <c r="W247" i="78"/>
  <c r="W248" i="78"/>
  <c r="W249" i="78"/>
  <c r="W250" i="78"/>
  <c r="W251" i="78"/>
  <c r="W252" i="78"/>
  <c r="W253" i="78"/>
  <c r="W254" i="78"/>
  <c r="W255" i="78"/>
  <c r="W256" i="78"/>
  <c r="W257" i="78"/>
  <c r="W258" i="78"/>
  <c r="W259" i="78"/>
  <c r="W260" i="78"/>
  <c r="W261" i="78"/>
  <c r="W262" i="78"/>
  <c r="W263" i="78"/>
  <c r="W264" i="78"/>
  <c r="W265" i="78"/>
  <c r="W266" i="78"/>
  <c r="W267" i="78"/>
  <c r="W268" i="78"/>
  <c r="W269" i="78"/>
  <c r="W270" i="78"/>
  <c r="W271" i="78"/>
  <c r="W272" i="78"/>
  <c r="W273" i="78"/>
  <c r="W274" i="78"/>
  <c r="W275" i="78"/>
  <c r="W276" i="78"/>
  <c r="W277" i="78"/>
  <c r="W278" i="78"/>
  <c r="W279" i="78"/>
  <c r="W280" i="78"/>
  <c r="W281" i="78"/>
  <c r="W282" i="78"/>
  <c r="W283" i="78"/>
  <c r="W284" i="78"/>
  <c r="W285" i="78"/>
  <c r="W286" i="78"/>
  <c r="W287" i="78"/>
  <c r="W288" i="78"/>
  <c r="W289" i="78"/>
  <c r="W290" i="78"/>
  <c r="W291" i="78"/>
  <c r="W292" i="78"/>
  <c r="W293" i="78"/>
  <c r="W294" i="78"/>
  <c r="W295" i="78"/>
  <c r="W296" i="78"/>
  <c r="W297" i="78"/>
  <c r="W298" i="78"/>
  <c r="W299" i="78"/>
  <c r="W300" i="78"/>
  <c r="W301" i="78"/>
  <c r="W302" i="78"/>
  <c r="W303" i="78"/>
  <c r="W304" i="78"/>
  <c r="W305" i="78"/>
  <c r="W306" i="78"/>
  <c r="W307" i="78"/>
  <c r="W308" i="78"/>
  <c r="W309" i="78"/>
  <c r="W310" i="78"/>
  <c r="W311" i="78"/>
  <c r="W312" i="78"/>
  <c r="W313" i="78"/>
  <c r="W314" i="78"/>
  <c r="W315" i="78"/>
  <c r="W316" i="78"/>
  <c r="W317" i="78"/>
  <c r="W5" i="78"/>
  <c r="AO5" i="78" l="1"/>
  <c r="AN4" i="78"/>
  <c r="AM5" i="78"/>
  <c r="AL4" i="78"/>
  <c r="W4" i="78"/>
  <c r="AI5" i="78"/>
  <c r="AH4" i="78"/>
  <c r="AK5" i="78"/>
  <c r="AJ4" i="78"/>
  <c r="AM261" i="78"/>
  <c r="AO261" i="78"/>
  <c r="AK261" i="78"/>
  <c r="AI261" i="78"/>
  <c r="F49" i="32"/>
  <c r="AK4" i="78" l="1"/>
  <c r="AM4" i="78"/>
  <c r="AO4" i="78"/>
  <c r="AI4" i="78"/>
  <c r="AF5" i="55"/>
  <c r="AE5" i="55"/>
  <c r="AD5" i="55"/>
  <c r="AC5" i="55"/>
  <c r="AB5" i="55"/>
  <c r="AA5" i="55"/>
  <c r="AN8" i="55"/>
  <c r="AN9" i="55"/>
  <c r="AN10" i="55"/>
  <c r="AN11" i="55"/>
  <c r="AN12" i="55"/>
  <c r="AN13" i="55"/>
  <c r="AN14" i="55"/>
  <c r="AN15" i="55"/>
  <c r="AN16" i="55"/>
  <c r="AN17" i="55"/>
  <c r="AN18" i="55"/>
  <c r="AN19" i="55"/>
  <c r="AN20" i="55"/>
  <c r="AN21" i="55"/>
  <c r="AN22" i="55"/>
  <c r="AN23" i="55"/>
  <c r="AN24" i="55"/>
  <c r="AN25" i="55"/>
  <c r="AN26" i="55"/>
  <c r="AN27" i="55"/>
  <c r="AN28" i="55"/>
  <c r="AN29" i="55"/>
  <c r="AN30" i="55"/>
  <c r="AN31" i="55"/>
  <c r="AN32" i="55"/>
  <c r="AN33" i="55"/>
  <c r="AN34" i="55"/>
  <c r="AN35" i="55"/>
  <c r="AN36" i="55"/>
  <c r="AN37" i="55"/>
  <c r="AN38" i="55"/>
  <c r="AN39" i="55"/>
  <c r="AN40" i="55"/>
  <c r="AN41" i="55"/>
  <c r="AN42" i="55"/>
  <c r="AN43" i="55"/>
  <c r="AN44" i="55"/>
  <c r="AN45" i="55"/>
  <c r="AN46" i="55"/>
  <c r="AN47" i="55"/>
  <c r="AN48" i="55"/>
  <c r="AN49" i="55"/>
  <c r="AN50" i="55"/>
  <c r="AN51" i="55"/>
  <c r="AN52" i="55"/>
  <c r="AN53" i="55"/>
  <c r="AN54" i="55"/>
  <c r="AN55" i="55"/>
  <c r="AN56" i="55"/>
  <c r="AN57" i="55"/>
  <c r="AN58" i="55"/>
  <c r="AN59" i="55"/>
  <c r="AN60" i="55"/>
  <c r="AN61" i="55"/>
  <c r="AN62" i="55"/>
  <c r="AN63" i="55"/>
  <c r="AN64" i="55"/>
  <c r="AN65" i="55"/>
  <c r="AN66" i="55"/>
  <c r="AN67" i="55"/>
  <c r="AN68" i="55"/>
  <c r="AN69" i="55"/>
  <c r="AN70" i="55"/>
  <c r="AN71" i="55"/>
  <c r="AN72" i="55"/>
  <c r="AN73" i="55"/>
  <c r="AN74" i="55"/>
  <c r="AN75" i="55"/>
  <c r="AN76" i="55"/>
  <c r="AN77" i="55"/>
  <c r="AN78" i="55"/>
  <c r="AN79" i="55"/>
  <c r="AN80" i="55"/>
  <c r="AN81" i="55"/>
  <c r="AN82" i="55"/>
  <c r="AN83" i="55"/>
  <c r="AN84" i="55"/>
  <c r="AN85" i="55"/>
  <c r="AN86" i="55"/>
  <c r="AN87" i="55"/>
  <c r="AN88" i="55"/>
  <c r="AN89" i="55"/>
  <c r="AN90" i="55"/>
  <c r="AN91" i="55"/>
  <c r="AN92" i="55"/>
  <c r="AN93" i="55"/>
  <c r="AN94" i="55"/>
  <c r="AN95" i="55"/>
  <c r="AN96" i="55"/>
  <c r="AN97" i="55"/>
  <c r="AN98" i="55"/>
  <c r="AN99" i="55"/>
  <c r="AN100" i="55"/>
  <c r="AN101" i="55"/>
  <c r="AN102" i="55"/>
  <c r="AN103" i="55"/>
  <c r="AN104" i="55"/>
  <c r="AN105" i="55"/>
  <c r="AN106" i="55"/>
  <c r="AN107" i="55"/>
  <c r="AN108" i="55"/>
  <c r="AN109" i="55"/>
  <c r="AN110" i="55"/>
  <c r="AN111" i="55"/>
  <c r="AN112" i="55"/>
  <c r="AN113" i="55"/>
  <c r="AN114" i="55"/>
  <c r="AN115" i="55"/>
  <c r="AN116" i="55"/>
  <c r="AN117" i="55"/>
  <c r="AN118" i="55"/>
  <c r="AN119" i="55"/>
  <c r="AN120" i="55"/>
  <c r="AN121" i="55"/>
  <c r="AN122" i="55"/>
  <c r="AN123" i="55"/>
  <c r="AN124" i="55"/>
  <c r="AN125" i="55"/>
  <c r="AN126" i="55"/>
  <c r="AN127" i="55"/>
  <c r="AN128" i="55"/>
  <c r="AN129" i="55"/>
  <c r="AN130" i="55"/>
  <c r="AN131" i="55"/>
  <c r="AN132" i="55"/>
  <c r="AN133" i="55"/>
  <c r="AN134" i="55"/>
  <c r="AN135" i="55"/>
  <c r="AN136" i="55"/>
  <c r="AN137" i="55"/>
  <c r="AN138" i="55"/>
  <c r="AN139" i="55"/>
  <c r="AN140" i="55"/>
  <c r="AN141" i="55"/>
  <c r="AN142" i="55"/>
  <c r="AN143" i="55"/>
  <c r="AN144" i="55"/>
  <c r="AN145" i="55"/>
  <c r="AN146" i="55"/>
  <c r="AN147" i="55"/>
  <c r="AN148" i="55"/>
  <c r="AN149" i="55"/>
  <c r="AN150" i="55"/>
  <c r="AN151" i="55"/>
  <c r="AN152" i="55"/>
  <c r="AN153" i="55"/>
  <c r="AN154" i="55"/>
  <c r="AN155" i="55"/>
  <c r="AN156" i="55"/>
  <c r="AN157" i="55"/>
  <c r="AN158" i="55"/>
  <c r="AN159" i="55"/>
  <c r="AN160" i="55"/>
  <c r="AN161" i="55"/>
  <c r="AN162" i="55"/>
  <c r="AN163" i="55"/>
  <c r="AN164" i="55"/>
  <c r="AN165" i="55"/>
  <c r="AN166" i="55"/>
  <c r="AN167" i="55"/>
  <c r="AN168" i="55"/>
  <c r="AN169" i="55"/>
  <c r="AN170" i="55"/>
  <c r="AN171" i="55"/>
  <c r="AN172" i="55"/>
  <c r="AN173" i="55"/>
  <c r="AN174" i="55"/>
  <c r="AN175" i="55"/>
  <c r="AN176" i="55"/>
  <c r="AN177" i="55"/>
  <c r="AN178" i="55"/>
  <c r="AN179" i="55"/>
  <c r="AN180" i="55"/>
  <c r="AN181" i="55"/>
  <c r="AN182" i="55"/>
  <c r="AN183" i="55"/>
  <c r="AN184" i="55"/>
  <c r="AN185" i="55"/>
  <c r="AN186" i="55"/>
  <c r="AN187" i="55"/>
  <c r="AN188" i="55"/>
  <c r="AN189" i="55"/>
  <c r="AN190" i="55"/>
  <c r="AN191" i="55"/>
  <c r="AN192" i="55"/>
  <c r="AN193" i="55"/>
  <c r="AN194" i="55"/>
  <c r="AN195" i="55"/>
  <c r="AN196" i="55"/>
  <c r="AN197" i="55"/>
  <c r="AN198" i="55"/>
  <c r="AN199" i="55"/>
  <c r="AN200" i="55"/>
  <c r="AN201" i="55"/>
  <c r="AN202" i="55"/>
  <c r="AN203" i="55"/>
  <c r="AN204" i="55"/>
  <c r="AN205" i="55"/>
  <c r="AN206" i="55"/>
  <c r="AN207" i="55"/>
  <c r="AN208" i="55"/>
  <c r="AN209" i="55"/>
  <c r="AN210" i="55"/>
  <c r="AN211" i="55"/>
  <c r="AN212" i="55"/>
  <c r="AN213" i="55"/>
  <c r="AN214" i="55"/>
  <c r="AN215" i="55"/>
  <c r="AN216" i="55"/>
  <c r="AN217" i="55"/>
  <c r="AN218" i="55"/>
  <c r="AN219" i="55"/>
  <c r="AN220" i="55"/>
  <c r="AN221" i="55"/>
  <c r="AN222" i="55"/>
  <c r="AN223" i="55"/>
  <c r="AN224" i="55"/>
  <c r="AN225" i="55"/>
  <c r="AN226" i="55"/>
  <c r="AN227" i="55"/>
  <c r="AN228" i="55"/>
  <c r="AN229" i="55"/>
  <c r="AN230" i="55"/>
  <c r="AN231" i="55"/>
  <c r="AN232" i="55"/>
  <c r="AN233" i="55"/>
  <c r="AN234" i="55"/>
  <c r="AN235" i="55"/>
  <c r="AN236" i="55"/>
  <c r="AN237" i="55"/>
  <c r="AN238" i="55"/>
  <c r="AN239" i="55"/>
  <c r="AN240" i="55"/>
  <c r="AN241" i="55"/>
  <c r="AN242" i="55"/>
  <c r="AN243" i="55"/>
  <c r="AN244" i="55"/>
  <c r="AN245" i="55"/>
  <c r="AN246" i="55"/>
  <c r="AN247" i="55"/>
  <c r="AN248" i="55"/>
  <c r="AN249" i="55"/>
  <c r="AN250" i="55"/>
  <c r="AN251" i="55"/>
  <c r="AN252" i="55"/>
  <c r="AN253" i="55"/>
  <c r="AN254" i="55"/>
  <c r="AN255" i="55"/>
  <c r="AN256" i="55"/>
  <c r="AN257" i="55"/>
  <c r="AN258" i="55"/>
  <c r="AN259" i="55"/>
  <c r="AN260" i="55"/>
  <c r="AN261" i="55"/>
  <c r="AN262" i="55"/>
  <c r="AN263" i="55"/>
  <c r="AN264" i="55"/>
  <c r="AN265" i="55"/>
  <c r="AN266" i="55"/>
  <c r="AN267" i="55"/>
  <c r="AN268" i="55"/>
  <c r="AN269" i="55"/>
  <c r="AN270" i="55"/>
  <c r="AN271" i="55"/>
  <c r="AN272" i="55"/>
  <c r="AN273" i="55"/>
  <c r="AN274" i="55"/>
  <c r="AN275" i="55"/>
  <c r="AN276" i="55"/>
  <c r="AN277" i="55"/>
  <c r="AN278" i="55"/>
  <c r="AN279" i="55"/>
  <c r="AN280" i="55"/>
  <c r="AN281" i="55"/>
  <c r="AN282" i="55"/>
  <c r="AN283" i="55"/>
  <c r="AN284" i="55"/>
  <c r="AN285" i="55"/>
  <c r="AN286" i="55"/>
  <c r="AN287" i="55"/>
  <c r="AN288" i="55"/>
  <c r="AN289" i="55"/>
  <c r="AN290" i="55"/>
  <c r="AN291" i="55"/>
  <c r="AN292" i="55"/>
  <c r="AN293" i="55"/>
  <c r="AN294" i="55"/>
  <c r="AN295" i="55"/>
  <c r="AN296" i="55"/>
  <c r="AN297" i="55"/>
  <c r="AN298" i="55"/>
  <c r="AN299" i="55"/>
  <c r="AN300" i="55"/>
  <c r="AN301" i="55"/>
  <c r="AN302" i="55"/>
  <c r="AN303" i="55"/>
  <c r="AN304" i="55"/>
  <c r="AN305" i="55"/>
  <c r="AN306" i="55"/>
  <c r="AN307" i="55"/>
  <c r="AN308" i="55"/>
  <c r="AN309" i="55"/>
  <c r="AN310" i="55"/>
  <c r="AN311" i="55"/>
  <c r="AN312" i="55"/>
  <c r="AN313" i="55"/>
  <c r="AN314" i="55"/>
  <c r="AN315" i="55"/>
  <c r="AN316" i="55"/>
  <c r="AN317" i="55"/>
  <c r="AN318" i="55"/>
  <c r="AN319" i="55"/>
  <c r="AN320" i="55"/>
  <c r="AN7" i="55"/>
  <c r="AM8" i="55"/>
  <c r="AM9" i="55"/>
  <c r="AM10" i="55"/>
  <c r="AM11" i="55"/>
  <c r="AM12" i="55"/>
  <c r="AM13" i="55"/>
  <c r="AM14" i="55"/>
  <c r="AM15" i="55"/>
  <c r="AM16" i="55"/>
  <c r="AM17" i="55"/>
  <c r="AM18" i="55"/>
  <c r="AM19" i="55"/>
  <c r="AM20" i="55"/>
  <c r="AM21" i="55"/>
  <c r="AM22" i="55"/>
  <c r="AM23" i="55"/>
  <c r="AM24" i="55"/>
  <c r="AM25" i="55"/>
  <c r="AM26" i="55"/>
  <c r="AM27" i="55"/>
  <c r="AM28" i="55"/>
  <c r="AM29" i="55"/>
  <c r="AM30" i="55"/>
  <c r="AM31" i="55"/>
  <c r="AM32" i="55"/>
  <c r="AM33" i="55"/>
  <c r="AM34" i="55"/>
  <c r="AM35" i="55"/>
  <c r="AM36" i="55"/>
  <c r="AM37" i="55"/>
  <c r="AM38" i="55"/>
  <c r="AM39" i="55"/>
  <c r="AM40" i="55"/>
  <c r="AM41" i="55"/>
  <c r="AM42" i="55"/>
  <c r="AM43" i="55"/>
  <c r="AM44" i="55"/>
  <c r="AM45" i="55"/>
  <c r="AM46" i="55"/>
  <c r="AM47" i="55"/>
  <c r="AM48" i="55"/>
  <c r="AM49" i="55"/>
  <c r="AM50" i="55"/>
  <c r="AM51" i="55"/>
  <c r="AM52" i="55"/>
  <c r="AM53" i="55"/>
  <c r="AM54" i="55"/>
  <c r="AM55" i="55"/>
  <c r="AM56" i="55"/>
  <c r="AM57" i="55"/>
  <c r="AM58" i="55"/>
  <c r="AM59" i="55"/>
  <c r="AM60" i="55"/>
  <c r="AM61" i="55"/>
  <c r="AM62" i="55"/>
  <c r="AM63" i="55"/>
  <c r="AM64" i="55"/>
  <c r="AM65" i="55"/>
  <c r="AM66" i="55"/>
  <c r="AM67" i="55"/>
  <c r="AM68" i="55"/>
  <c r="AM69" i="55"/>
  <c r="AM70" i="55"/>
  <c r="AM71" i="55"/>
  <c r="AM72" i="55"/>
  <c r="AM73" i="55"/>
  <c r="AM74" i="55"/>
  <c r="AM75" i="55"/>
  <c r="AM76" i="55"/>
  <c r="AM77" i="55"/>
  <c r="AM78" i="55"/>
  <c r="AM79" i="55"/>
  <c r="AM80" i="55"/>
  <c r="AM81" i="55"/>
  <c r="AM82" i="55"/>
  <c r="AM83" i="55"/>
  <c r="AM84" i="55"/>
  <c r="AM85" i="55"/>
  <c r="AM86" i="55"/>
  <c r="AM87" i="55"/>
  <c r="AM88" i="55"/>
  <c r="AM89" i="55"/>
  <c r="AM90" i="55"/>
  <c r="AM91" i="55"/>
  <c r="AM92" i="55"/>
  <c r="AM93" i="55"/>
  <c r="AM94" i="55"/>
  <c r="AM95" i="55"/>
  <c r="AM96" i="55"/>
  <c r="AM97" i="55"/>
  <c r="AM98" i="55"/>
  <c r="AM99" i="55"/>
  <c r="AM100" i="55"/>
  <c r="AM101" i="55"/>
  <c r="AM102" i="55"/>
  <c r="AM103" i="55"/>
  <c r="AM104" i="55"/>
  <c r="AM105" i="55"/>
  <c r="AM106" i="55"/>
  <c r="AM107" i="55"/>
  <c r="AM108" i="55"/>
  <c r="AM109" i="55"/>
  <c r="AM110" i="55"/>
  <c r="AM111" i="55"/>
  <c r="AM112" i="55"/>
  <c r="AM113" i="55"/>
  <c r="AM114" i="55"/>
  <c r="AM115" i="55"/>
  <c r="AM116" i="55"/>
  <c r="AM117" i="55"/>
  <c r="AM118" i="55"/>
  <c r="AM119" i="55"/>
  <c r="AM120" i="55"/>
  <c r="AM121" i="55"/>
  <c r="AM122" i="55"/>
  <c r="AM123" i="55"/>
  <c r="AM124" i="55"/>
  <c r="AM125" i="55"/>
  <c r="AM126" i="55"/>
  <c r="AM127" i="55"/>
  <c r="AM128" i="55"/>
  <c r="AM129" i="55"/>
  <c r="AM130" i="55"/>
  <c r="AM131" i="55"/>
  <c r="AM132" i="55"/>
  <c r="AM133" i="55"/>
  <c r="AM134" i="55"/>
  <c r="AM135" i="55"/>
  <c r="AM136" i="55"/>
  <c r="AM137" i="55"/>
  <c r="AM138" i="55"/>
  <c r="AM139" i="55"/>
  <c r="AM140" i="55"/>
  <c r="AM141" i="55"/>
  <c r="AM142" i="55"/>
  <c r="AM143" i="55"/>
  <c r="AM144" i="55"/>
  <c r="AM145" i="55"/>
  <c r="AM146" i="55"/>
  <c r="AM147" i="55"/>
  <c r="AM148" i="55"/>
  <c r="AM149" i="55"/>
  <c r="AM150" i="55"/>
  <c r="AM151" i="55"/>
  <c r="AM152" i="55"/>
  <c r="AM153" i="55"/>
  <c r="AM154" i="55"/>
  <c r="AM155" i="55"/>
  <c r="AM156" i="55"/>
  <c r="AM157" i="55"/>
  <c r="AM158" i="55"/>
  <c r="AM159" i="55"/>
  <c r="AM160" i="55"/>
  <c r="AM161" i="55"/>
  <c r="AM162" i="55"/>
  <c r="AM163" i="55"/>
  <c r="AM164" i="55"/>
  <c r="AM165" i="55"/>
  <c r="AM166" i="55"/>
  <c r="AM167" i="55"/>
  <c r="AM168" i="55"/>
  <c r="AM169" i="55"/>
  <c r="AM170" i="55"/>
  <c r="AM171" i="55"/>
  <c r="AM172" i="55"/>
  <c r="AM173" i="55"/>
  <c r="AM174" i="55"/>
  <c r="AM175" i="55"/>
  <c r="AM176" i="55"/>
  <c r="AM177" i="55"/>
  <c r="AM178" i="55"/>
  <c r="AM179" i="55"/>
  <c r="AM180" i="55"/>
  <c r="AM181" i="55"/>
  <c r="AM182" i="55"/>
  <c r="AM183" i="55"/>
  <c r="AM184" i="55"/>
  <c r="AM185" i="55"/>
  <c r="AM186" i="55"/>
  <c r="AM187" i="55"/>
  <c r="AM188" i="55"/>
  <c r="AM189" i="55"/>
  <c r="AM190" i="55"/>
  <c r="AM191" i="55"/>
  <c r="AM192" i="55"/>
  <c r="AM193" i="55"/>
  <c r="AM194" i="55"/>
  <c r="AM195" i="55"/>
  <c r="AM196" i="55"/>
  <c r="AM197" i="55"/>
  <c r="AM198" i="55"/>
  <c r="AM199" i="55"/>
  <c r="AM200" i="55"/>
  <c r="AM201" i="55"/>
  <c r="AM202" i="55"/>
  <c r="AM203" i="55"/>
  <c r="AM204" i="55"/>
  <c r="AM205" i="55"/>
  <c r="AM206" i="55"/>
  <c r="AM207" i="55"/>
  <c r="AM208" i="55"/>
  <c r="AM209" i="55"/>
  <c r="AM210" i="55"/>
  <c r="AM211" i="55"/>
  <c r="AM212" i="55"/>
  <c r="AM213" i="55"/>
  <c r="AM214" i="55"/>
  <c r="AM215" i="55"/>
  <c r="AM216" i="55"/>
  <c r="AM217" i="55"/>
  <c r="AM218" i="55"/>
  <c r="AM219" i="55"/>
  <c r="AM220" i="55"/>
  <c r="AM221" i="55"/>
  <c r="AM222" i="55"/>
  <c r="AM223" i="55"/>
  <c r="AM224" i="55"/>
  <c r="AM225" i="55"/>
  <c r="AM226" i="55"/>
  <c r="AM227" i="55"/>
  <c r="AM228" i="55"/>
  <c r="AM229" i="55"/>
  <c r="AM230" i="55"/>
  <c r="AM231" i="55"/>
  <c r="AM232" i="55"/>
  <c r="AM233" i="55"/>
  <c r="AM234" i="55"/>
  <c r="AM235" i="55"/>
  <c r="AM236" i="55"/>
  <c r="AM237" i="55"/>
  <c r="AM238" i="55"/>
  <c r="AM239" i="55"/>
  <c r="AM240" i="55"/>
  <c r="AM241" i="55"/>
  <c r="AM242" i="55"/>
  <c r="AM243" i="55"/>
  <c r="AM244" i="55"/>
  <c r="AM245" i="55"/>
  <c r="AM246" i="55"/>
  <c r="AM247" i="55"/>
  <c r="AM248" i="55"/>
  <c r="AM249" i="55"/>
  <c r="AM250" i="55"/>
  <c r="AM251" i="55"/>
  <c r="AM252" i="55"/>
  <c r="AM253" i="55"/>
  <c r="AM254" i="55"/>
  <c r="AM255" i="55"/>
  <c r="AM256" i="55"/>
  <c r="AM257" i="55"/>
  <c r="AM258" i="55"/>
  <c r="AM259" i="55"/>
  <c r="AM260" i="55"/>
  <c r="AM261" i="55"/>
  <c r="AM262" i="55"/>
  <c r="AM263" i="55"/>
  <c r="AM264" i="55"/>
  <c r="AM265" i="55"/>
  <c r="AM266" i="55"/>
  <c r="AM267" i="55"/>
  <c r="AM268" i="55"/>
  <c r="AM269" i="55"/>
  <c r="AM270" i="55"/>
  <c r="AM271" i="55"/>
  <c r="AM272" i="55"/>
  <c r="AM273" i="55"/>
  <c r="AM274" i="55"/>
  <c r="AM275" i="55"/>
  <c r="AM276" i="55"/>
  <c r="AM277" i="55"/>
  <c r="AM278" i="55"/>
  <c r="AM279" i="55"/>
  <c r="AM280" i="55"/>
  <c r="AM281" i="55"/>
  <c r="AM282" i="55"/>
  <c r="AM283" i="55"/>
  <c r="AM284" i="55"/>
  <c r="AM285" i="55"/>
  <c r="AM286" i="55"/>
  <c r="AM287" i="55"/>
  <c r="AM288" i="55"/>
  <c r="AM289" i="55"/>
  <c r="AM290" i="55"/>
  <c r="AM291" i="55"/>
  <c r="AM292" i="55"/>
  <c r="AM293" i="55"/>
  <c r="AM294" i="55"/>
  <c r="AM295" i="55"/>
  <c r="AM296" i="55"/>
  <c r="AM297" i="55"/>
  <c r="AM298" i="55"/>
  <c r="AM299" i="55"/>
  <c r="AM300" i="55"/>
  <c r="AM301" i="55"/>
  <c r="AM302" i="55"/>
  <c r="AM303" i="55"/>
  <c r="AM304" i="55"/>
  <c r="AM305" i="55"/>
  <c r="AM306" i="55"/>
  <c r="AM307" i="55"/>
  <c r="AM308" i="55"/>
  <c r="AM309" i="55"/>
  <c r="AM310" i="55"/>
  <c r="AM311" i="55"/>
  <c r="AM312" i="55"/>
  <c r="AM313" i="55"/>
  <c r="AM314" i="55"/>
  <c r="AM315" i="55"/>
  <c r="AM316" i="55"/>
  <c r="AM317" i="55"/>
  <c r="AM318" i="55"/>
  <c r="AM319" i="55"/>
  <c r="AM320" i="55"/>
  <c r="AM7" i="55"/>
  <c r="AK8" i="55"/>
  <c r="AK9" i="55"/>
  <c r="AK10" i="55"/>
  <c r="AK11" i="55"/>
  <c r="AK12" i="55"/>
  <c r="AK13" i="55"/>
  <c r="AK14" i="55"/>
  <c r="AK15" i="55"/>
  <c r="AK16" i="55"/>
  <c r="AK17" i="55"/>
  <c r="AK18" i="55"/>
  <c r="AK19" i="55"/>
  <c r="AK20" i="55"/>
  <c r="AK21" i="55"/>
  <c r="AK22" i="55"/>
  <c r="AK23" i="55"/>
  <c r="AK24" i="55"/>
  <c r="AK25" i="55"/>
  <c r="AK26" i="55"/>
  <c r="AK27" i="55"/>
  <c r="AK28" i="55"/>
  <c r="AK29" i="55"/>
  <c r="AK30" i="55"/>
  <c r="AK31" i="55"/>
  <c r="AK32" i="55"/>
  <c r="AK33" i="55"/>
  <c r="AK34" i="55"/>
  <c r="AK35" i="55"/>
  <c r="AK36" i="55"/>
  <c r="AK37" i="55"/>
  <c r="AK38" i="55"/>
  <c r="AK39" i="55"/>
  <c r="AK40" i="55"/>
  <c r="AK41" i="55"/>
  <c r="AK42" i="55"/>
  <c r="AK43" i="55"/>
  <c r="AK44" i="55"/>
  <c r="AK45" i="55"/>
  <c r="AK46" i="55"/>
  <c r="AK47" i="55"/>
  <c r="AK48" i="55"/>
  <c r="AK49" i="55"/>
  <c r="AK50" i="55"/>
  <c r="AK51" i="55"/>
  <c r="AK52" i="55"/>
  <c r="AK53" i="55"/>
  <c r="AK54" i="55"/>
  <c r="AK55" i="55"/>
  <c r="AK56" i="55"/>
  <c r="AK57" i="55"/>
  <c r="AK58" i="55"/>
  <c r="AK59" i="55"/>
  <c r="AK60" i="55"/>
  <c r="AK61" i="55"/>
  <c r="AK62" i="55"/>
  <c r="AK63" i="55"/>
  <c r="AK64" i="55"/>
  <c r="AK65" i="55"/>
  <c r="AK66" i="55"/>
  <c r="AK67" i="55"/>
  <c r="AK68" i="55"/>
  <c r="AK69" i="55"/>
  <c r="AK70" i="55"/>
  <c r="AK71" i="55"/>
  <c r="AK72" i="55"/>
  <c r="AK73" i="55"/>
  <c r="AK74" i="55"/>
  <c r="AK75" i="55"/>
  <c r="AK76" i="55"/>
  <c r="AK77" i="55"/>
  <c r="AK78" i="55"/>
  <c r="AK79" i="55"/>
  <c r="AK80" i="55"/>
  <c r="AK81" i="55"/>
  <c r="AK82" i="55"/>
  <c r="AK83" i="55"/>
  <c r="AK84" i="55"/>
  <c r="AK85" i="55"/>
  <c r="AK86" i="55"/>
  <c r="AK87" i="55"/>
  <c r="AK88" i="55"/>
  <c r="AK89" i="55"/>
  <c r="AK90" i="55"/>
  <c r="AK91" i="55"/>
  <c r="AK92" i="55"/>
  <c r="AK93" i="55"/>
  <c r="AK94" i="55"/>
  <c r="AK95" i="55"/>
  <c r="AK96" i="55"/>
  <c r="AK97" i="55"/>
  <c r="AK98" i="55"/>
  <c r="AK99" i="55"/>
  <c r="AK100" i="55"/>
  <c r="AK101" i="55"/>
  <c r="AK102" i="55"/>
  <c r="AK103" i="55"/>
  <c r="AK104" i="55"/>
  <c r="AK105" i="55"/>
  <c r="AK106" i="55"/>
  <c r="AK107" i="55"/>
  <c r="AK108" i="55"/>
  <c r="AK109" i="55"/>
  <c r="AK110" i="55"/>
  <c r="AK111" i="55"/>
  <c r="AK112" i="55"/>
  <c r="AK113" i="55"/>
  <c r="AK114" i="55"/>
  <c r="AK115" i="55"/>
  <c r="AK116" i="55"/>
  <c r="AK117" i="55"/>
  <c r="AK118" i="55"/>
  <c r="AK119" i="55"/>
  <c r="AK120" i="55"/>
  <c r="AK121" i="55"/>
  <c r="AK122" i="55"/>
  <c r="AK123" i="55"/>
  <c r="AK124" i="55"/>
  <c r="AK125" i="55"/>
  <c r="AK126" i="55"/>
  <c r="AK127" i="55"/>
  <c r="AK128" i="55"/>
  <c r="AK129" i="55"/>
  <c r="AK130" i="55"/>
  <c r="AK131" i="55"/>
  <c r="AK132" i="55"/>
  <c r="AK133" i="55"/>
  <c r="AK134" i="55"/>
  <c r="AK135" i="55"/>
  <c r="AK136" i="55"/>
  <c r="AK137" i="55"/>
  <c r="AK138" i="55"/>
  <c r="AK139" i="55"/>
  <c r="AK140" i="55"/>
  <c r="AK141" i="55"/>
  <c r="AK142" i="55"/>
  <c r="AK143" i="55"/>
  <c r="AK144" i="55"/>
  <c r="AK145" i="55"/>
  <c r="AK146" i="55"/>
  <c r="AK147" i="55"/>
  <c r="AK148" i="55"/>
  <c r="AK149" i="55"/>
  <c r="AK150" i="55"/>
  <c r="AK151" i="55"/>
  <c r="AK152" i="55"/>
  <c r="AK153" i="55"/>
  <c r="AK154" i="55"/>
  <c r="AK155" i="55"/>
  <c r="AK156" i="55"/>
  <c r="AK157" i="55"/>
  <c r="AK158" i="55"/>
  <c r="AK159" i="55"/>
  <c r="AK160" i="55"/>
  <c r="AK161" i="55"/>
  <c r="AK162" i="55"/>
  <c r="AK163" i="55"/>
  <c r="AK164" i="55"/>
  <c r="AK165" i="55"/>
  <c r="AK166" i="55"/>
  <c r="AK167" i="55"/>
  <c r="AK168" i="55"/>
  <c r="AK169" i="55"/>
  <c r="AK170" i="55"/>
  <c r="AK171" i="55"/>
  <c r="AK172" i="55"/>
  <c r="AK173" i="55"/>
  <c r="AK174" i="55"/>
  <c r="AK175" i="55"/>
  <c r="AK176" i="55"/>
  <c r="AK177" i="55"/>
  <c r="AK178" i="55"/>
  <c r="AK179" i="55"/>
  <c r="AK180" i="55"/>
  <c r="AK181" i="55"/>
  <c r="AK182" i="55"/>
  <c r="AK183" i="55"/>
  <c r="AK184" i="55"/>
  <c r="AK185" i="55"/>
  <c r="AK186" i="55"/>
  <c r="AK187" i="55"/>
  <c r="AK188" i="55"/>
  <c r="AK189" i="55"/>
  <c r="AK190" i="55"/>
  <c r="AK191" i="55"/>
  <c r="AK192" i="55"/>
  <c r="AK193" i="55"/>
  <c r="AK194" i="55"/>
  <c r="AK195" i="55"/>
  <c r="AK196" i="55"/>
  <c r="AK197" i="55"/>
  <c r="AK198" i="55"/>
  <c r="AK199" i="55"/>
  <c r="AK200" i="55"/>
  <c r="AK201" i="55"/>
  <c r="AK202" i="55"/>
  <c r="AK203" i="55"/>
  <c r="AK204" i="55"/>
  <c r="AK205" i="55"/>
  <c r="AK206" i="55"/>
  <c r="AK207" i="55"/>
  <c r="AK208" i="55"/>
  <c r="AK209" i="55"/>
  <c r="AK210" i="55"/>
  <c r="AK211" i="55"/>
  <c r="AK212" i="55"/>
  <c r="AK213" i="55"/>
  <c r="AK214" i="55"/>
  <c r="AK215" i="55"/>
  <c r="AK216" i="55"/>
  <c r="AK217" i="55"/>
  <c r="AK218" i="55"/>
  <c r="AK219" i="55"/>
  <c r="AK220" i="55"/>
  <c r="AK221" i="55"/>
  <c r="AK222" i="55"/>
  <c r="AK223" i="55"/>
  <c r="AK224" i="55"/>
  <c r="AK225" i="55"/>
  <c r="AK226" i="55"/>
  <c r="AK227" i="55"/>
  <c r="AK228" i="55"/>
  <c r="AK229" i="55"/>
  <c r="AK230" i="55"/>
  <c r="AK231" i="55"/>
  <c r="AK232" i="55"/>
  <c r="AK233" i="55"/>
  <c r="AK234" i="55"/>
  <c r="AK235" i="55"/>
  <c r="AK236" i="55"/>
  <c r="AK237" i="55"/>
  <c r="AK238" i="55"/>
  <c r="AK239" i="55"/>
  <c r="AK240" i="55"/>
  <c r="AK241" i="55"/>
  <c r="AK242" i="55"/>
  <c r="AK243" i="55"/>
  <c r="AK244" i="55"/>
  <c r="AK245" i="55"/>
  <c r="AK246" i="55"/>
  <c r="AK247" i="55"/>
  <c r="AK248" i="55"/>
  <c r="AK249" i="55"/>
  <c r="AK250" i="55"/>
  <c r="AK251" i="55"/>
  <c r="AK252" i="55"/>
  <c r="AK253" i="55"/>
  <c r="AK254" i="55"/>
  <c r="AK255" i="55"/>
  <c r="AK256" i="55"/>
  <c r="AK257" i="55"/>
  <c r="AK258" i="55"/>
  <c r="AK259" i="55"/>
  <c r="AK260" i="55"/>
  <c r="AK261" i="55"/>
  <c r="AK262" i="55"/>
  <c r="AK263" i="55"/>
  <c r="AK264" i="55"/>
  <c r="AK265" i="55"/>
  <c r="AK266" i="55"/>
  <c r="AK267" i="55"/>
  <c r="AK268" i="55"/>
  <c r="AK269" i="55"/>
  <c r="AK270" i="55"/>
  <c r="AK271" i="55"/>
  <c r="AK272" i="55"/>
  <c r="AK273" i="55"/>
  <c r="AK274" i="55"/>
  <c r="AK275" i="55"/>
  <c r="AK276" i="55"/>
  <c r="AK277" i="55"/>
  <c r="AK278" i="55"/>
  <c r="AK279" i="55"/>
  <c r="AK280" i="55"/>
  <c r="AK281" i="55"/>
  <c r="AK282" i="55"/>
  <c r="AK283" i="55"/>
  <c r="AK284" i="55"/>
  <c r="AK285" i="55"/>
  <c r="AK286" i="55"/>
  <c r="AK287" i="55"/>
  <c r="AK288" i="55"/>
  <c r="AK289" i="55"/>
  <c r="AK290" i="55"/>
  <c r="AK291" i="55"/>
  <c r="AK292" i="55"/>
  <c r="AK293" i="55"/>
  <c r="AK294" i="55"/>
  <c r="AK295" i="55"/>
  <c r="AK296" i="55"/>
  <c r="AK297" i="55"/>
  <c r="AK298" i="55"/>
  <c r="AK299" i="55"/>
  <c r="AK300" i="55"/>
  <c r="AK301" i="55"/>
  <c r="AK302" i="55"/>
  <c r="AK303" i="55"/>
  <c r="AK304" i="55"/>
  <c r="AK305" i="55"/>
  <c r="AK306" i="55"/>
  <c r="AK307" i="55"/>
  <c r="AK308" i="55"/>
  <c r="AK309" i="55"/>
  <c r="AK310" i="55"/>
  <c r="AK311" i="55"/>
  <c r="AK312" i="55"/>
  <c r="AK313" i="55"/>
  <c r="AK314" i="55"/>
  <c r="AK315" i="55"/>
  <c r="AK316" i="55"/>
  <c r="AK317" i="55"/>
  <c r="AK318" i="55"/>
  <c r="AK319" i="55"/>
  <c r="AK320" i="55"/>
  <c r="AK7" i="55"/>
  <c r="AJ8" i="55"/>
  <c r="AJ9" i="55"/>
  <c r="AJ10" i="55"/>
  <c r="AJ11" i="55"/>
  <c r="AJ12" i="55"/>
  <c r="AJ13" i="55"/>
  <c r="AJ14" i="55"/>
  <c r="AJ15" i="55"/>
  <c r="AJ16" i="55"/>
  <c r="AJ17" i="55"/>
  <c r="AJ18" i="55"/>
  <c r="AJ19" i="55"/>
  <c r="AJ20" i="55"/>
  <c r="AJ21" i="55"/>
  <c r="AJ22" i="55"/>
  <c r="AJ23" i="55"/>
  <c r="AJ24" i="55"/>
  <c r="AJ25" i="55"/>
  <c r="AJ26" i="55"/>
  <c r="AJ27" i="55"/>
  <c r="AJ28" i="55"/>
  <c r="AJ29" i="55"/>
  <c r="AJ30" i="55"/>
  <c r="AJ31" i="55"/>
  <c r="AJ32" i="55"/>
  <c r="AJ33" i="55"/>
  <c r="AJ34" i="55"/>
  <c r="AJ35" i="55"/>
  <c r="AJ36" i="55"/>
  <c r="AJ37" i="55"/>
  <c r="AJ38" i="55"/>
  <c r="AJ39" i="55"/>
  <c r="AJ40" i="55"/>
  <c r="AJ41" i="55"/>
  <c r="AJ42" i="55"/>
  <c r="AJ43" i="55"/>
  <c r="AJ44" i="55"/>
  <c r="AJ45" i="55"/>
  <c r="AJ46" i="55"/>
  <c r="AJ47" i="55"/>
  <c r="AJ48" i="55"/>
  <c r="AJ49" i="55"/>
  <c r="AJ50" i="55"/>
  <c r="AJ51" i="55"/>
  <c r="AJ52" i="55"/>
  <c r="AJ53" i="55"/>
  <c r="AJ54" i="55"/>
  <c r="AJ55" i="55"/>
  <c r="AJ56" i="55"/>
  <c r="AJ57" i="55"/>
  <c r="AJ58" i="55"/>
  <c r="AJ59" i="55"/>
  <c r="AJ60" i="55"/>
  <c r="AJ61" i="55"/>
  <c r="AJ62" i="55"/>
  <c r="AJ63" i="55"/>
  <c r="AJ64" i="55"/>
  <c r="AJ65" i="55"/>
  <c r="AJ66" i="55"/>
  <c r="AJ67" i="55"/>
  <c r="AJ68" i="55"/>
  <c r="AJ69" i="55"/>
  <c r="AJ70" i="55"/>
  <c r="AJ71" i="55"/>
  <c r="AJ72" i="55"/>
  <c r="AJ73" i="55"/>
  <c r="AJ74" i="55"/>
  <c r="AJ75" i="55"/>
  <c r="AJ76" i="55"/>
  <c r="AJ77" i="55"/>
  <c r="AJ78" i="55"/>
  <c r="AJ79" i="55"/>
  <c r="AJ80" i="55"/>
  <c r="AJ81" i="55"/>
  <c r="AJ82" i="55"/>
  <c r="AJ83" i="55"/>
  <c r="AJ84" i="55"/>
  <c r="AJ85" i="55"/>
  <c r="AJ86" i="55"/>
  <c r="AJ87" i="55"/>
  <c r="AJ88" i="55"/>
  <c r="AJ89" i="55"/>
  <c r="AJ90" i="55"/>
  <c r="AJ91" i="55"/>
  <c r="AJ92" i="55"/>
  <c r="AJ93" i="55"/>
  <c r="AJ94" i="55"/>
  <c r="AJ95" i="55"/>
  <c r="AJ96" i="55"/>
  <c r="AJ97" i="55"/>
  <c r="AJ98" i="55"/>
  <c r="AJ99" i="55"/>
  <c r="AJ100" i="55"/>
  <c r="AJ101" i="55"/>
  <c r="AJ102" i="55"/>
  <c r="AJ103" i="55"/>
  <c r="AJ104" i="55"/>
  <c r="AJ105" i="55"/>
  <c r="AJ106" i="55"/>
  <c r="AJ107" i="55"/>
  <c r="AJ108" i="55"/>
  <c r="AJ109" i="55"/>
  <c r="AJ110" i="55"/>
  <c r="AJ111" i="55"/>
  <c r="AJ112" i="55"/>
  <c r="AJ113" i="55"/>
  <c r="AJ114" i="55"/>
  <c r="AJ115" i="55"/>
  <c r="AJ116" i="55"/>
  <c r="AJ117" i="55"/>
  <c r="AJ118" i="55"/>
  <c r="AJ119" i="55"/>
  <c r="AJ120" i="55"/>
  <c r="AJ121" i="55"/>
  <c r="AJ122" i="55"/>
  <c r="AJ123" i="55"/>
  <c r="AJ124" i="55"/>
  <c r="AJ125" i="55"/>
  <c r="AJ126" i="55"/>
  <c r="AJ127" i="55"/>
  <c r="AJ128" i="55"/>
  <c r="AJ129" i="55"/>
  <c r="AJ130" i="55"/>
  <c r="AJ131" i="55"/>
  <c r="AJ132" i="55"/>
  <c r="AJ133" i="55"/>
  <c r="AJ134" i="55"/>
  <c r="AJ135" i="55"/>
  <c r="AJ136" i="55"/>
  <c r="AJ137" i="55"/>
  <c r="AJ138" i="55"/>
  <c r="AJ139" i="55"/>
  <c r="AJ140" i="55"/>
  <c r="AJ141" i="55"/>
  <c r="AJ142" i="55"/>
  <c r="AJ143" i="55"/>
  <c r="AJ144" i="55"/>
  <c r="AJ145" i="55"/>
  <c r="AJ146" i="55"/>
  <c r="AJ147" i="55"/>
  <c r="AJ148" i="55"/>
  <c r="AJ149" i="55"/>
  <c r="AJ150" i="55"/>
  <c r="AJ151" i="55"/>
  <c r="AJ152" i="55"/>
  <c r="AJ153" i="55"/>
  <c r="AJ154" i="55"/>
  <c r="AJ155" i="55"/>
  <c r="AJ156" i="55"/>
  <c r="AJ157" i="55"/>
  <c r="AJ158" i="55"/>
  <c r="AJ159" i="55"/>
  <c r="AJ160" i="55"/>
  <c r="AJ161" i="55"/>
  <c r="AJ162" i="55"/>
  <c r="AJ163" i="55"/>
  <c r="AJ164" i="55"/>
  <c r="AJ165" i="55"/>
  <c r="AJ166" i="55"/>
  <c r="AJ167" i="55"/>
  <c r="AJ168" i="55"/>
  <c r="AJ169" i="55"/>
  <c r="AJ170" i="55"/>
  <c r="AJ171" i="55"/>
  <c r="AJ172" i="55"/>
  <c r="AJ173" i="55"/>
  <c r="AJ174" i="55"/>
  <c r="AJ175" i="55"/>
  <c r="AJ176" i="55"/>
  <c r="AJ177" i="55"/>
  <c r="AJ178" i="55"/>
  <c r="AJ179" i="55"/>
  <c r="AJ180" i="55"/>
  <c r="AJ181" i="55"/>
  <c r="AJ182" i="55"/>
  <c r="AJ183" i="55"/>
  <c r="AJ184" i="55"/>
  <c r="AJ185" i="55"/>
  <c r="AJ186" i="55"/>
  <c r="AJ187" i="55"/>
  <c r="AJ188" i="55"/>
  <c r="AJ189" i="55"/>
  <c r="AJ190" i="55"/>
  <c r="AJ191" i="55"/>
  <c r="AJ192" i="55"/>
  <c r="AJ193" i="55"/>
  <c r="AJ194" i="55"/>
  <c r="AJ195" i="55"/>
  <c r="AJ196" i="55"/>
  <c r="AJ197" i="55"/>
  <c r="AJ198" i="55"/>
  <c r="AJ199" i="55"/>
  <c r="AJ200" i="55"/>
  <c r="AJ201" i="55"/>
  <c r="AJ202" i="55"/>
  <c r="AJ203" i="55"/>
  <c r="AJ204" i="55"/>
  <c r="AJ205" i="55"/>
  <c r="AJ206" i="55"/>
  <c r="AJ207" i="55"/>
  <c r="AJ208" i="55"/>
  <c r="AJ209" i="55"/>
  <c r="AJ210" i="55"/>
  <c r="AJ211" i="55"/>
  <c r="AJ212" i="55"/>
  <c r="AJ213" i="55"/>
  <c r="AJ214" i="55"/>
  <c r="AJ215" i="55"/>
  <c r="AJ216" i="55"/>
  <c r="AJ217" i="55"/>
  <c r="AJ218" i="55"/>
  <c r="AJ219" i="55"/>
  <c r="AJ220" i="55"/>
  <c r="AJ221" i="55"/>
  <c r="AJ222" i="55"/>
  <c r="AJ223" i="55"/>
  <c r="AJ224" i="55"/>
  <c r="AJ225" i="55"/>
  <c r="AJ226" i="55"/>
  <c r="AJ227" i="55"/>
  <c r="AJ228" i="55"/>
  <c r="AJ229" i="55"/>
  <c r="AJ230" i="55"/>
  <c r="AJ231" i="55"/>
  <c r="AJ232" i="55"/>
  <c r="AJ233" i="55"/>
  <c r="AJ234" i="55"/>
  <c r="AJ235" i="55"/>
  <c r="AJ236" i="55"/>
  <c r="AJ237" i="55"/>
  <c r="AJ238" i="55"/>
  <c r="AJ239" i="55"/>
  <c r="AJ240" i="55"/>
  <c r="AJ241" i="55"/>
  <c r="AJ242" i="55"/>
  <c r="AJ243" i="55"/>
  <c r="AJ244" i="55"/>
  <c r="AJ245" i="55"/>
  <c r="AJ246" i="55"/>
  <c r="AJ247" i="55"/>
  <c r="AJ248" i="55"/>
  <c r="AJ249" i="55"/>
  <c r="AJ250" i="55"/>
  <c r="AJ251" i="55"/>
  <c r="AJ252" i="55"/>
  <c r="AJ253" i="55"/>
  <c r="AJ254" i="55"/>
  <c r="AJ255" i="55"/>
  <c r="AJ256" i="55"/>
  <c r="AJ257" i="55"/>
  <c r="AJ258" i="55"/>
  <c r="AJ259" i="55"/>
  <c r="AJ260" i="55"/>
  <c r="AJ261" i="55"/>
  <c r="AJ262" i="55"/>
  <c r="AJ263" i="55"/>
  <c r="AJ264" i="55"/>
  <c r="AJ265" i="55"/>
  <c r="AJ266" i="55"/>
  <c r="AJ267" i="55"/>
  <c r="AJ268" i="55"/>
  <c r="AJ269" i="55"/>
  <c r="AJ270" i="55"/>
  <c r="AJ271" i="55"/>
  <c r="AJ272" i="55"/>
  <c r="AJ273" i="55"/>
  <c r="AJ274" i="55"/>
  <c r="AJ275" i="55"/>
  <c r="AJ276" i="55"/>
  <c r="AJ277" i="55"/>
  <c r="AJ278" i="55"/>
  <c r="AJ279" i="55"/>
  <c r="AJ280" i="55"/>
  <c r="AJ281" i="55"/>
  <c r="AJ282" i="55"/>
  <c r="AJ283" i="55"/>
  <c r="AJ284" i="55"/>
  <c r="AJ285" i="55"/>
  <c r="AJ286" i="55"/>
  <c r="AJ287" i="55"/>
  <c r="AJ288" i="55"/>
  <c r="AJ289" i="55"/>
  <c r="AJ290" i="55"/>
  <c r="AJ291" i="55"/>
  <c r="AJ292" i="55"/>
  <c r="AJ293" i="55"/>
  <c r="AJ294" i="55"/>
  <c r="AJ295" i="55"/>
  <c r="AJ296" i="55"/>
  <c r="AJ297" i="55"/>
  <c r="AJ298" i="55"/>
  <c r="AJ299" i="55"/>
  <c r="AJ300" i="55"/>
  <c r="AJ301" i="55"/>
  <c r="AJ302" i="55"/>
  <c r="AJ303" i="55"/>
  <c r="AJ304" i="55"/>
  <c r="AJ305" i="55"/>
  <c r="AJ306" i="55"/>
  <c r="AJ307" i="55"/>
  <c r="AJ308" i="55"/>
  <c r="AJ309" i="55"/>
  <c r="AJ310" i="55"/>
  <c r="AJ311" i="55"/>
  <c r="AJ312" i="55"/>
  <c r="AJ313" i="55"/>
  <c r="AJ314" i="55"/>
  <c r="AJ315" i="55"/>
  <c r="AJ316" i="55"/>
  <c r="AJ317" i="55"/>
  <c r="AJ318" i="55"/>
  <c r="AJ319" i="55"/>
  <c r="AJ320" i="55"/>
  <c r="AJ7" i="55"/>
  <c r="AE8" i="55"/>
  <c r="AE9" i="55"/>
  <c r="AE10" i="55"/>
  <c r="AE11" i="55"/>
  <c r="AE12" i="55"/>
  <c r="AE13" i="55"/>
  <c r="AE14" i="55"/>
  <c r="AE15" i="55"/>
  <c r="AE16" i="55"/>
  <c r="AE17" i="55"/>
  <c r="AE18" i="55"/>
  <c r="AE19" i="55"/>
  <c r="AE20" i="55"/>
  <c r="AE21" i="55"/>
  <c r="AE22" i="55"/>
  <c r="AE23" i="55"/>
  <c r="AE24" i="55"/>
  <c r="AE25" i="55"/>
  <c r="AE26" i="55"/>
  <c r="AE27" i="55"/>
  <c r="AE28" i="55"/>
  <c r="AE29" i="55"/>
  <c r="AE30" i="55"/>
  <c r="AE31" i="55"/>
  <c r="AE32" i="55"/>
  <c r="AE33" i="55"/>
  <c r="AE34" i="55"/>
  <c r="AE35" i="55"/>
  <c r="AE36" i="55"/>
  <c r="AE37" i="55"/>
  <c r="AE38" i="55"/>
  <c r="AE39" i="55"/>
  <c r="AE40" i="55"/>
  <c r="AE41" i="55"/>
  <c r="AE42" i="55"/>
  <c r="AE43" i="55"/>
  <c r="AE44" i="55"/>
  <c r="AE45" i="55"/>
  <c r="AE46" i="55"/>
  <c r="AE47" i="55"/>
  <c r="AE48" i="55"/>
  <c r="AE49" i="55"/>
  <c r="AE50" i="55"/>
  <c r="AE51" i="55"/>
  <c r="AE52" i="55"/>
  <c r="AE53" i="55"/>
  <c r="AE54" i="55"/>
  <c r="AE55" i="55"/>
  <c r="AE56" i="55"/>
  <c r="AE57" i="55"/>
  <c r="AE58" i="55"/>
  <c r="AE59" i="55"/>
  <c r="AE60" i="55"/>
  <c r="AE61" i="55"/>
  <c r="AE62" i="55"/>
  <c r="AE63" i="55"/>
  <c r="AE64" i="55"/>
  <c r="AE65" i="55"/>
  <c r="AE66" i="55"/>
  <c r="AE67" i="55"/>
  <c r="AE68" i="55"/>
  <c r="AE69" i="55"/>
  <c r="AE70" i="55"/>
  <c r="AE71" i="55"/>
  <c r="AE72" i="55"/>
  <c r="AE73" i="55"/>
  <c r="AE74" i="55"/>
  <c r="AE75" i="55"/>
  <c r="AE76" i="55"/>
  <c r="AE77" i="55"/>
  <c r="AE78" i="55"/>
  <c r="AE79" i="55"/>
  <c r="AE80" i="55"/>
  <c r="AE81" i="55"/>
  <c r="AE82" i="55"/>
  <c r="AE83" i="55"/>
  <c r="AE84" i="55"/>
  <c r="AE85" i="55"/>
  <c r="AE86" i="55"/>
  <c r="AE87" i="55"/>
  <c r="AE88" i="55"/>
  <c r="AE89" i="55"/>
  <c r="AE90" i="55"/>
  <c r="AE91" i="55"/>
  <c r="AE92" i="55"/>
  <c r="AE93" i="55"/>
  <c r="AE94" i="55"/>
  <c r="AE95" i="55"/>
  <c r="AE96" i="55"/>
  <c r="AE97" i="55"/>
  <c r="AE98" i="55"/>
  <c r="AE99" i="55"/>
  <c r="AE100" i="55"/>
  <c r="AE101" i="55"/>
  <c r="AE102" i="55"/>
  <c r="AE103" i="55"/>
  <c r="AE104" i="55"/>
  <c r="AE105" i="55"/>
  <c r="AE106" i="55"/>
  <c r="AE107" i="55"/>
  <c r="AE108" i="55"/>
  <c r="AE109" i="55"/>
  <c r="AE110" i="55"/>
  <c r="AE111" i="55"/>
  <c r="AE112" i="55"/>
  <c r="AE113" i="55"/>
  <c r="AE114" i="55"/>
  <c r="AE115" i="55"/>
  <c r="AE116" i="55"/>
  <c r="AE117" i="55"/>
  <c r="AE118" i="55"/>
  <c r="AE119" i="55"/>
  <c r="AE120" i="55"/>
  <c r="AE121" i="55"/>
  <c r="AE122" i="55"/>
  <c r="AE123" i="55"/>
  <c r="AE124" i="55"/>
  <c r="AE125" i="55"/>
  <c r="AE126" i="55"/>
  <c r="AE127" i="55"/>
  <c r="AE128" i="55"/>
  <c r="AE129" i="55"/>
  <c r="AE130" i="55"/>
  <c r="AE131" i="55"/>
  <c r="AE132" i="55"/>
  <c r="AE133" i="55"/>
  <c r="AE134" i="55"/>
  <c r="AE135" i="55"/>
  <c r="AE136" i="55"/>
  <c r="AE137" i="55"/>
  <c r="AE138" i="55"/>
  <c r="AE139" i="55"/>
  <c r="AE140" i="55"/>
  <c r="AE141" i="55"/>
  <c r="AE142" i="55"/>
  <c r="AE143" i="55"/>
  <c r="AE144" i="55"/>
  <c r="AE145" i="55"/>
  <c r="AE146" i="55"/>
  <c r="AE147" i="55"/>
  <c r="AE148" i="55"/>
  <c r="AE149" i="55"/>
  <c r="AE150" i="55"/>
  <c r="AE151" i="55"/>
  <c r="AE152" i="55"/>
  <c r="AE153" i="55"/>
  <c r="AE154" i="55"/>
  <c r="AE155" i="55"/>
  <c r="AE156" i="55"/>
  <c r="AE157" i="55"/>
  <c r="AE158" i="55"/>
  <c r="AE159" i="55"/>
  <c r="AE160" i="55"/>
  <c r="AE161" i="55"/>
  <c r="AE162" i="55"/>
  <c r="AE163" i="55"/>
  <c r="AE164" i="55"/>
  <c r="AE165" i="55"/>
  <c r="AE166" i="55"/>
  <c r="AE167" i="55"/>
  <c r="AE168" i="55"/>
  <c r="AE169" i="55"/>
  <c r="AE170" i="55"/>
  <c r="AE171" i="55"/>
  <c r="AE172" i="55"/>
  <c r="AE173" i="55"/>
  <c r="AE174" i="55"/>
  <c r="AE175" i="55"/>
  <c r="AE176" i="55"/>
  <c r="AE177" i="55"/>
  <c r="AE178" i="55"/>
  <c r="AE179" i="55"/>
  <c r="AE180" i="55"/>
  <c r="AE181" i="55"/>
  <c r="AE182" i="55"/>
  <c r="AE183" i="55"/>
  <c r="AE184" i="55"/>
  <c r="AE185" i="55"/>
  <c r="AE186" i="55"/>
  <c r="AE187" i="55"/>
  <c r="AE188" i="55"/>
  <c r="AE189" i="55"/>
  <c r="AE190" i="55"/>
  <c r="AE191" i="55"/>
  <c r="AE192" i="55"/>
  <c r="AE193" i="55"/>
  <c r="AE194" i="55"/>
  <c r="AE195" i="55"/>
  <c r="AE196" i="55"/>
  <c r="AE197" i="55"/>
  <c r="AE198" i="55"/>
  <c r="AE199" i="55"/>
  <c r="AE200" i="55"/>
  <c r="AE201" i="55"/>
  <c r="AE202" i="55"/>
  <c r="AE203" i="55"/>
  <c r="AE204" i="55"/>
  <c r="AE205" i="55"/>
  <c r="AE206" i="55"/>
  <c r="AE207" i="55"/>
  <c r="AE208" i="55"/>
  <c r="AE209" i="55"/>
  <c r="AE210" i="55"/>
  <c r="AE211" i="55"/>
  <c r="AE212" i="55"/>
  <c r="AE213" i="55"/>
  <c r="AE214" i="55"/>
  <c r="AE215" i="55"/>
  <c r="AE216" i="55"/>
  <c r="AE217" i="55"/>
  <c r="AE218" i="55"/>
  <c r="AE219" i="55"/>
  <c r="AE220" i="55"/>
  <c r="AE221" i="55"/>
  <c r="AE222" i="55"/>
  <c r="AE223" i="55"/>
  <c r="AE224" i="55"/>
  <c r="AE225" i="55"/>
  <c r="AE226" i="55"/>
  <c r="AE227" i="55"/>
  <c r="AE228" i="55"/>
  <c r="AE229" i="55"/>
  <c r="AE230" i="55"/>
  <c r="AE231" i="55"/>
  <c r="AE232" i="55"/>
  <c r="AE233" i="55"/>
  <c r="AE234" i="55"/>
  <c r="AE235" i="55"/>
  <c r="AE236" i="55"/>
  <c r="AE237" i="55"/>
  <c r="AE238" i="55"/>
  <c r="AE239" i="55"/>
  <c r="AE240" i="55"/>
  <c r="AE241" i="55"/>
  <c r="AE242" i="55"/>
  <c r="AE243" i="55"/>
  <c r="AE244" i="55"/>
  <c r="AE245" i="55"/>
  <c r="AE246" i="55"/>
  <c r="AE247" i="55"/>
  <c r="AE248" i="55"/>
  <c r="AE249" i="55"/>
  <c r="AE250" i="55"/>
  <c r="AE251" i="55"/>
  <c r="AE252" i="55"/>
  <c r="AE253" i="55"/>
  <c r="AE254" i="55"/>
  <c r="AE255" i="55"/>
  <c r="AE256" i="55"/>
  <c r="AE257" i="55"/>
  <c r="AE258" i="55"/>
  <c r="AE259" i="55"/>
  <c r="AE260" i="55"/>
  <c r="AE261" i="55"/>
  <c r="AE262" i="55"/>
  <c r="AE263" i="55"/>
  <c r="AE264" i="55"/>
  <c r="AE265" i="55"/>
  <c r="AE266" i="55"/>
  <c r="AE267" i="55"/>
  <c r="AE268" i="55"/>
  <c r="AE269" i="55"/>
  <c r="AE270" i="55"/>
  <c r="AE271" i="55"/>
  <c r="AE272" i="55"/>
  <c r="AE273" i="55"/>
  <c r="AE274" i="55"/>
  <c r="AE275" i="55"/>
  <c r="AE276" i="55"/>
  <c r="AE277" i="55"/>
  <c r="AE278" i="55"/>
  <c r="AE279" i="55"/>
  <c r="AE280" i="55"/>
  <c r="AE281" i="55"/>
  <c r="AE282" i="55"/>
  <c r="AE283" i="55"/>
  <c r="AE284" i="55"/>
  <c r="AE285" i="55"/>
  <c r="AE286" i="55"/>
  <c r="AE287" i="55"/>
  <c r="AE288" i="55"/>
  <c r="AE289" i="55"/>
  <c r="AE290" i="55"/>
  <c r="AE291" i="55"/>
  <c r="AE292" i="55"/>
  <c r="AE293" i="55"/>
  <c r="AE294" i="55"/>
  <c r="AE295" i="55"/>
  <c r="AE296" i="55"/>
  <c r="AE297" i="55"/>
  <c r="AE298" i="55"/>
  <c r="AE299" i="55"/>
  <c r="AE300" i="55"/>
  <c r="AE301" i="55"/>
  <c r="AE302" i="55"/>
  <c r="AE303" i="55"/>
  <c r="AE304" i="55"/>
  <c r="AE305" i="55"/>
  <c r="AE306" i="55"/>
  <c r="AE307" i="55"/>
  <c r="AE308" i="55"/>
  <c r="AE309" i="55"/>
  <c r="AE310" i="55"/>
  <c r="AE311" i="55"/>
  <c r="AE312" i="55"/>
  <c r="AE313" i="55"/>
  <c r="AE314" i="55"/>
  <c r="AE315" i="55"/>
  <c r="AE316" i="55"/>
  <c r="AE317" i="55"/>
  <c r="AE318" i="55"/>
  <c r="AE319" i="55"/>
  <c r="AE320" i="55"/>
  <c r="AE7" i="55"/>
  <c r="AC8" i="55"/>
  <c r="AC9" i="55"/>
  <c r="AC10" i="55"/>
  <c r="AC11" i="55"/>
  <c r="AC12" i="55"/>
  <c r="AC13" i="55"/>
  <c r="AC14" i="55"/>
  <c r="AC15" i="55"/>
  <c r="AC16" i="55"/>
  <c r="AC17" i="55"/>
  <c r="AC18" i="55"/>
  <c r="AC19" i="55"/>
  <c r="AC20" i="55"/>
  <c r="AC21" i="55"/>
  <c r="AC22" i="55"/>
  <c r="AC23" i="55"/>
  <c r="AC24" i="55"/>
  <c r="AC25" i="55"/>
  <c r="AC26" i="55"/>
  <c r="AC27" i="55"/>
  <c r="AC28" i="55"/>
  <c r="AC29" i="55"/>
  <c r="AC30" i="55"/>
  <c r="AC31" i="55"/>
  <c r="AC32" i="55"/>
  <c r="AC33" i="55"/>
  <c r="AC34" i="55"/>
  <c r="AC35" i="55"/>
  <c r="AC36" i="55"/>
  <c r="AC37" i="55"/>
  <c r="AC38" i="55"/>
  <c r="AC39" i="55"/>
  <c r="AC40" i="55"/>
  <c r="AC41" i="55"/>
  <c r="AC42" i="55"/>
  <c r="AC43" i="55"/>
  <c r="AC44" i="55"/>
  <c r="AC45" i="55"/>
  <c r="AC46" i="55"/>
  <c r="AC47" i="55"/>
  <c r="AC48" i="55"/>
  <c r="AC49" i="55"/>
  <c r="AC50" i="55"/>
  <c r="AC51" i="55"/>
  <c r="AC52" i="55"/>
  <c r="AC53" i="55"/>
  <c r="AC54" i="55"/>
  <c r="AC55" i="55"/>
  <c r="AC56" i="55"/>
  <c r="AC57" i="55"/>
  <c r="AC58" i="55"/>
  <c r="AC59" i="55"/>
  <c r="AC60" i="55"/>
  <c r="AC61" i="55"/>
  <c r="AC62" i="55"/>
  <c r="AC63" i="55"/>
  <c r="AC64" i="55"/>
  <c r="AC65" i="55"/>
  <c r="AC66" i="55"/>
  <c r="AC67" i="55"/>
  <c r="AC68" i="55"/>
  <c r="AC69" i="55"/>
  <c r="AC70" i="55"/>
  <c r="AC71" i="55"/>
  <c r="AC72" i="55"/>
  <c r="AC73" i="55"/>
  <c r="AC74" i="55"/>
  <c r="AC75" i="55"/>
  <c r="AC76" i="55"/>
  <c r="AC77" i="55"/>
  <c r="AC78" i="55"/>
  <c r="AC79" i="55"/>
  <c r="AC80" i="55"/>
  <c r="AC81" i="55"/>
  <c r="AC82" i="55"/>
  <c r="AC83" i="55"/>
  <c r="AC84" i="55"/>
  <c r="AC85" i="55"/>
  <c r="AC86" i="55"/>
  <c r="AC87" i="55"/>
  <c r="AC88" i="55"/>
  <c r="AC89" i="55"/>
  <c r="AC90" i="55"/>
  <c r="AC91" i="55"/>
  <c r="AC92" i="55"/>
  <c r="AC93" i="55"/>
  <c r="AC94" i="55"/>
  <c r="AC95" i="55"/>
  <c r="AC96" i="55"/>
  <c r="AC97" i="55"/>
  <c r="AC98" i="55"/>
  <c r="AC99" i="55"/>
  <c r="AC100" i="55"/>
  <c r="AC101" i="55"/>
  <c r="AC102" i="55"/>
  <c r="AC103" i="55"/>
  <c r="AC104" i="55"/>
  <c r="AC105" i="55"/>
  <c r="AC106" i="55"/>
  <c r="AC107" i="55"/>
  <c r="AC108" i="55"/>
  <c r="AC109" i="55"/>
  <c r="AC110" i="55"/>
  <c r="AC111" i="55"/>
  <c r="AC112" i="55"/>
  <c r="AC113" i="55"/>
  <c r="AC114" i="55"/>
  <c r="AC115" i="55"/>
  <c r="AC116" i="55"/>
  <c r="AC117" i="55"/>
  <c r="AC118" i="55"/>
  <c r="AC119" i="55"/>
  <c r="AC120" i="55"/>
  <c r="AC121" i="55"/>
  <c r="AC122" i="55"/>
  <c r="AC123" i="55"/>
  <c r="AC124" i="55"/>
  <c r="AC125" i="55"/>
  <c r="AC126" i="55"/>
  <c r="AC127" i="55"/>
  <c r="AC128" i="55"/>
  <c r="AC129" i="55"/>
  <c r="AC130" i="55"/>
  <c r="AC131" i="55"/>
  <c r="AC132" i="55"/>
  <c r="AC133" i="55"/>
  <c r="AC134" i="55"/>
  <c r="AC135" i="55"/>
  <c r="AC136" i="55"/>
  <c r="AC137" i="55"/>
  <c r="AC138" i="55"/>
  <c r="AC139" i="55"/>
  <c r="AC140" i="55"/>
  <c r="AC141" i="55"/>
  <c r="AC142" i="55"/>
  <c r="AC143" i="55"/>
  <c r="AC144" i="55"/>
  <c r="AC145" i="55"/>
  <c r="AC146" i="55"/>
  <c r="AC147" i="55"/>
  <c r="AC148" i="55"/>
  <c r="AC149" i="55"/>
  <c r="AC150" i="55"/>
  <c r="AC151" i="55"/>
  <c r="AC152" i="55"/>
  <c r="AC153" i="55"/>
  <c r="AC154" i="55"/>
  <c r="AC155" i="55"/>
  <c r="AC156" i="55"/>
  <c r="AC157" i="55"/>
  <c r="AC158" i="55"/>
  <c r="AC159" i="55"/>
  <c r="AC160" i="55"/>
  <c r="AC161" i="55"/>
  <c r="AC162" i="55"/>
  <c r="AC163" i="55"/>
  <c r="AC164" i="55"/>
  <c r="AC165" i="55"/>
  <c r="AC166" i="55"/>
  <c r="AC167" i="55"/>
  <c r="AC168" i="55"/>
  <c r="AC169" i="55"/>
  <c r="AC170" i="55"/>
  <c r="AC171" i="55"/>
  <c r="AC172" i="55"/>
  <c r="AC173" i="55"/>
  <c r="AC174" i="55"/>
  <c r="AC175" i="55"/>
  <c r="AC176" i="55"/>
  <c r="AC177" i="55"/>
  <c r="AC178" i="55"/>
  <c r="AC179" i="55"/>
  <c r="AC180" i="55"/>
  <c r="AC181" i="55"/>
  <c r="AC182" i="55"/>
  <c r="AC183" i="55"/>
  <c r="AC184" i="55"/>
  <c r="AC185" i="55"/>
  <c r="AC186" i="55"/>
  <c r="AC187" i="55"/>
  <c r="AC188" i="55"/>
  <c r="AC189" i="55"/>
  <c r="AC190" i="55"/>
  <c r="AC191" i="55"/>
  <c r="AC192" i="55"/>
  <c r="AC193" i="55"/>
  <c r="AC194" i="55"/>
  <c r="AC195" i="55"/>
  <c r="AC196" i="55"/>
  <c r="AC197" i="55"/>
  <c r="AC198" i="55"/>
  <c r="AC199" i="55"/>
  <c r="AC200" i="55"/>
  <c r="AC201" i="55"/>
  <c r="AC202" i="55"/>
  <c r="AC203" i="55"/>
  <c r="AC204" i="55"/>
  <c r="AC205" i="55"/>
  <c r="AC206" i="55"/>
  <c r="AC207" i="55"/>
  <c r="AC208" i="55"/>
  <c r="AC209" i="55"/>
  <c r="AC210" i="55"/>
  <c r="AC211" i="55"/>
  <c r="AC212" i="55"/>
  <c r="AC213" i="55"/>
  <c r="AC214" i="55"/>
  <c r="AC215" i="55"/>
  <c r="AC216" i="55"/>
  <c r="AC217" i="55"/>
  <c r="AC218" i="55"/>
  <c r="AC219" i="55"/>
  <c r="AC220" i="55"/>
  <c r="AC221" i="55"/>
  <c r="AC222" i="55"/>
  <c r="AC223" i="55"/>
  <c r="AC224" i="55"/>
  <c r="AC225" i="55"/>
  <c r="AC226" i="55"/>
  <c r="AC227" i="55"/>
  <c r="AC228" i="55"/>
  <c r="AC229" i="55"/>
  <c r="AC230" i="55"/>
  <c r="AC231" i="55"/>
  <c r="AC232" i="55"/>
  <c r="AC233" i="55"/>
  <c r="AC234" i="55"/>
  <c r="AC235" i="55"/>
  <c r="AC236" i="55"/>
  <c r="AC237" i="55"/>
  <c r="AC238" i="55"/>
  <c r="AC239" i="55"/>
  <c r="AC240" i="55"/>
  <c r="AC241" i="55"/>
  <c r="AC242" i="55"/>
  <c r="AC243" i="55"/>
  <c r="AC244" i="55"/>
  <c r="AC245" i="55"/>
  <c r="AC246" i="55"/>
  <c r="AC247" i="55"/>
  <c r="AC248" i="55"/>
  <c r="AC249" i="55"/>
  <c r="AC250" i="55"/>
  <c r="AC251" i="55"/>
  <c r="AC252" i="55"/>
  <c r="AC253" i="55"/>
  <c r="AC254" i="55"/>
  <c r="AC255" i="55"/>
  <c r="AC256" i="55"/>
  <c r="AC257" i="55"/>
  <c r="AC258" i="55"/>
  <c r="AC259" i="55"/>
  <c r="AC260" i="55"/>
  <c r="AC261" i="55"/>
  <c r="AC262" i="55"/>
  <c r="AC263" i="55"/>
  <c r="AC264" i="55"/>
  <c r="AC265" i="55"/>
  <c r="AC266" i="55"/>
  <c r="AC267" i="55"/>
  <c r="AC268" i="55"/>
  <c r="AC269" i="55"/>
  <c r="AC270" i="55"/>
  <c r="AC271" i="55"/>
  <c r="AC272" i="55"/>
  <c r="AC273" i="55"/>
  <c r="AC274" i="55"/>
  <c r="AC275" i="55"/>
  <c r="AC276" i="55"/>
  <c r="AC277" i="55"/>
  <c r="AC278" i="55"/>
  <c r="AC279" i="55"/>
  <c r="AC280" i="55"/>
  <c r="AC281" i="55"/>
  <c r="AC282" i="55"/>
  <c r="AC283" i="55"/>
  <c r="AC284" i="55"/>
  <c r="AC285" i="55"/>
  <c r="AC286" i="55"/>
  <c r="AC287" i="55"/>
  <c r="AC288" i="55"/>
  <c r="AC289" i="55"/>
  <c r="AC290" i="55"/>
  <c r="AC291" i="55"/>
  <c r="AC292" i="55"/>
  <c r="AC293" i="55"/>
  <c r="AC294" i="55"/>
  <c r="AC295" i="55"/>
  <c r="AC296" i="55"/>
  <c r="AC297" i="55"/>
  <c r="AC298" i="55"/>
  <c r="AC299" i="55"/>
  <c r="AC300" i="55"/>
  <c r="AC301" i="55"/>
  <c r="AC302" i="55"/>
  <c r="AC303" i="55"/>
  <c r="AC304" i="55"/>
  <c r="AC305" i="55"/>
  <c r="AC306" i="55"/>
  <c r="AC307" i="55"/>
  <c r="AC308" i="55"/>
  <c r="AC309" i="55"/>
  <c r="AC310" i="55"/>
  <c r="AC311" i="55"/>
  <c r="AC312" i="55"/>
  <c r="AC313" i="55"/>
  <c r="AC314" i="55"/>
  <c r="AC315" i="55"/>
  <c r="AC316" i="55"/>
  <c r="AC317" i="55"/>
  <c r="AC318" i="55"/>
  <c r="AC319" i="55"/>
  <c r="AC320" i="55"/>
  <c r="AC7" i="55"/>
  <c r="AB7" i="55"/>
  <c r="AF8" i="55"/>
  <c r="AF9" i="55"/>
  <c r="AF10" i="55"/>
  <c r="AF11" i="55"/>
  <c r="AF12" i="55"/>
  <c r="AF13" i="55"/>
  <c r="AF14" i="55"/>
  <c r="AF15" i="55"/>
  <c r="AF16" i="55"/>
  <c r="AF17" i="55"/>
  <c r="AF18" i="55"/>
  <c r="AF19" i="55"/>
  <c r="AF20" i="55"/>
  <c r="AF21" i="55"/>
  <c r="AF22" i="55"/>
  <c r="AF23" i="55"/>
  <c r="AF24" i="55"/>
  <c r="AF25" i="55"/>
  <c r="AF26" i="55"/>
  <c r="AF27" i="55"/>
  <c r="AF28" i="55"/>
  <c r="AF29" i="55"/>
  <c r="AF30" i="55"/>
  <c r="AF31" i="55"/>
  <c r="AF32" i="55"/>
  <c r="AF33" i="55"/>
  <c r="AF34" i="55"/>
  <c r="AF35" i="55"/>
  <c r="AF36" i="55"/>
  <c r="AF37" i="55"/>
  <c r="AF38" i="55"/>
  <c r="AF39" i="55"/>
  <c r="AF40" i="55"/>
  <c r="AF41" i="55"/>
  <c r="AF42" i="55"/>
  <c r="AF43" i="55"/>
  <c r="AF44" i="55"/>
  <c r="AF45" i="55"/>
  <c r="AF46" i="55"/>
  <c r="AF47" i="55"/>
  <c r="AF48" i="55"/>
  <c r="AF49" i="55"/>
  <c r="AF50" i="55"/>
  <c r="AF51" i="55"/>
  <c r="AF52" i="55"/>
  <c r="AF53" i="55"/>
  <c r="AF54" i="55"/>
  <c r="AF55" i="55"/>
  <c r="AF56" i="55"/>
  <c r="AF57" i="55"/>
  <c r="AF58" i="55"/>
  <c r="AF59" i="55"/>
  <c r="AF60" i="55"/>
  <c r="AF61" i="55"/>
  <c r="AF62" i="55"/>
  <c r="AF63" i="55"/>
  <c r="AF64" i="55"/>
  <c r="AF65" i="55"/>
  <c r="AF66" i="55"/>
  <c r="AF67" i="55"/>
  <c r="AF68" i="55"/>
  <c r="AF69" i="55"/>
  <c r="AF70" i="55"/>
  <c r="AF71" i="55"/>
  <c r="AF72" i="55"/>
  <c r="AF73" i="55"/>
  <c r="AF74" i="55"/>
  <c r="AF75" i="55"/>
  <c r="AF76" i="55"/>
  <c r="AF77" i="55"/>
  <c r="AF78" i="55"/>
  <c r="AF79" i="55"/>
  <c r="AF80" i="55"/>
  <c r="AF81" i="55"/>
  <c r="AF82" i="55"/>
  <c r="AF83" i="55"/>
  <c r="AF84" i="55"/>
  <c r="AF85" i="55"/>
  <c r="AF86" i="55"/>
  <c r="AF87" i="55"/>
  <c r="AF88" i="55"/>
  <c r="AF89" i="55"/>
  <c r="AF90" i="55"/>
  <c r="AF91" i="55"/>
  <c r="AF92" i="55"/>
  <c r="AF93" i="55"/>
  <c r="AF94" i="55"/>
  <c r="AF95" i="55"/>
  <c r="AF96" i="55"/>
  <c r="AF97" i="55"/>
  <c r="AF98" i="55"/>
  <c r="AF99" i="55"/>
  <c r="AF100" i="55"/>
  <c r="AF101" i="55"/>
  <c r="AF102" i="55"/>
  <c r="AF103" i="55"/>
  <c r="AF104" i="55"/>
  <c r="AF105" i="55"/>
  <c r="AF106" i="55"/>
  <c r="AF107" i="55"/>
  <c r="AF108" i="55"/>
  <c r="AF109" i="55"/>
  <c r="AF110" i="55"/>
  <c r="AF111" i="55"/>
  <c r="AF112" i="55"/>
  <c r="AF113" i="55"/>
  <c r="AF114" i="55"/>
  <c r="AF115" i="55"/>
  <c r="AF116" i="55"/>
  <c r="AF117" i="55"/>
  <c r="AF118" i="55"/>
  <c r="AF119" i="55"/>
  <c r="AF120" i="55"/>
  <c r="AF121" i="55"/>
  <c r="AF122" i="55"/>
  <c r="AF123" i="55"/>
  <c r="AF124" i="55"/>
  <c r="AF125" i="55"/>
  <c r="AF126" i="55"/>
  <c r="AF127" i="55"/>
  <c r="AF128" i="55"/>
  <c r="AF129" i="55"/>
  <c r="AF130" i="55"/>
  <c r="AF131" i="55"/>
  <c r="AF132" i="55"/>
  <c r="AF133" i="55"/>
  <c r="AF134" i="55"/>
  <c r="AF135" i="55"/>
  <c r="AF136" i="55"/>
  <c r="AF137" i="55"/>
  <c r="AF138" i="55"/>
  <c r="AF139" i="55"/>
  <c r="AF140" i="55"/>
  <c r="AF141" i="55"/>
  <c r="AF142" i="55"/>
  <c r="AF143" i="55"/>
  <c r="AF144" i="55"/>
  <c r="AF145" i="55"/>
  <c r="AF146" i="55"/>
  <c r="AF147" i="55"/>
  <c r="AF148" i="55"/>
  <c r="AF149" i="55"/>
  <c r="AF150" i="55"/>
  <c r="AF151" i="55"/>
  <c r="AF152" i="55"/>
  <c r="AF153" i="55"/>
  <c r="AF154" i="55"/>
  <c r="AF155" i="55"/>
  <c r="AF156" i="55"/>
  <c r="AF157" i="55"/>
  <c r="AF158" i="55"/>
  <c r="AF159" i="55"/>
  <c r="AF160" i="55"/>
  <c r="AF161" i="55"/>
  <c r="AF162" i="55"/>
  <c r="AF163" i="55"/>
  <c r="AF164" i="55"/>
  <c r="AF165" i="55"/>
  <c r="AF166" i="55"/>
  <c r="AF167" i="55"/>
  <c r="AF168" i="55"/>
  <c r="AF169" i="55"/>
  <c r="AF170" i="55"/>
  <c r="AF171" i="55"/>
  <c r="AF172" i="55"/>
  <c r="AF173" i="55"/>
  <c r="AF174" i="55"/>
  <c r="AF175" i="55"/>
  <c r="AF176" i="55"/>
  <c r="AF177" i="55"/>
  <c r="AF178" i="55"/>
  <c r="AF179" i="55"/>
  <c r="AF180" i="55"/>
  <c r="AF181" i="55"/>
  <c r="AF182" i="55"/>
  <c r="AF183" i="55"/>
  <c r="AF184" i="55"/>
  <c r="AF185" i="55"/>
  <c r="AF186" i="55"/>
  <c r="AF187" i="55"/>
  <c r="AF188" i="55"/>
  <c r="AF189" i="55"/>
  <c r="AF190" i="55"/>
  <c r="AF191" i="55"/>
  <c r="AF192" i="55"/>
  <c r="AF193" i="55"/>
  <c r="AF194" i="55"/>
  <c r="AF195" i="55"/>
  <c r="AF196" i="55"/>
  <c r="AF197" i="55"/>
  <c r="AF198" i="55"/>
  <c r="AF199" i="55"/>
  <c r="AF200" i="55"/>
  <c r="AF201" i="55"/>
  <c r="AF202" i="55"/>
  <c r="AF203" i="55"/>
  <c r="AF204" i="55"/>
  <c r="AF205" i="55"/>
  <c r="AF206" i="55"/>
  <c r="AF207" i="55"/>
  <c r="AF208" i="55"/>
  <c r="AF209" i="55"/>
  <c r="AF210" i="55"/>
  <c r="AF211" i="55"/>
  <c r="AF212" i="55"/>
  <c r="AF213" i="55"/>
  <c r="AF214" i="55"/>
  <c r="AF215" i="55"/>
  <c r="AF216" i="55"/>
  <c r="AF217" i="55"/>
  <c r="AF218" i="55"/>
  <c r="AF219" i="55"/>
  <c r="AF220" i="55"/>
  <c r="AF221" i="55"/>
  <c r="AF222" i="55"/>
  <c r="AF223" i="55"/>
  <c r="AF224" i="55"/>
  <c r="AF225" i="55"/>
  <c r="AF226" i="55"/>
  <c r="AF227" i="55"/>
  <c r="AF228" i="55"/>
  <c r="AF229" i="55"/>
  <c r="AF230" i="55"/>
  <c r="AF231" i="55"/>
  <c r="AF232" i="55"/>
  <c r="AF233" i="55"/>
  <c r="AF234" i="55"/>
  <c r="AF235" i="55"/>
  <c r="AF236" i="55"/>
  <c r="AF237" i="55"/>
  <c r="AF238" i="55"/>
  <c r="AF239" i="55"/>
  <c r="AF240" i="55"/>
  <c r="AF241" i="55"/>
  <c r="AF242" i="55"/>
  <c r="AF243" i="55"/>
  <c r="AF244" i="55"/>
  <c r="AF245" i="55"/>
  <c r="AF246" i="55"/>
  <c r="AF247" i="55"/>
  <c r="AF248" i="55"/>
  <c r="AF249" i="55"/>
  <c r="AF250" i="55"/>
  <c r="AF251" i="55"/>
  <c r="AF252" i="55"/>
  <c r="AF253" i="55"/>
  <c r="AF254" i="55"/>
  <c r="AF255" i="55"/>
  <c r="AF256" i="55"/>
  <c r="AF257" i="55"/>
  <c r="AF258" i="55"/>
  <c r="AF259" i="55"/>
  <c r="AF260" i="55"/>
  <c r="AF261" i="55"/>
  <c r="AF262" i="55"/>
  <c r="AF263" i="55"/>
  <c r="AF264" i="55"/>
  <c r="AF265" i="55"/>
  <c r="AF266" i="55"/>
  <c r="AF267" i="55"/>
  <c r="AF268" i="55"/>
  <c r="AF269" i="55"/>
  <c r="AF270" i="55"/>
  <c r="AF271" i="55"/>
  <c r="AF272" i="55"/>
  <c r="AF273" i="55"/>
  <c r="AF274" i="55"/>
  <c r="AF275" i="55"/>
  <c r="AF276" i="55"/>
  <c r="AF277" i="55"/>
  <c r="AF278" i="55"/>
  <c r="AF279" i="55"/>
  <c r="AF280" i="55"/>
  <c r="AF281" i="55"/>
  <c r="AF282" i="55"/>
  <c r="AF283" i="55"/>
  <c r="AF284" i="55"/>
  <c r="AF285" i="55"/>
  <c r="AF286" i="55"/>
  <c r="AF287" i="55"/>
  <c r="AF288" i="55"/>
  <c r="AF289" i="55"/>
  <c r="AF290" i="55"/>
  <c r="AF291" i="55"/>
  <c r="AF292" i="55"/>
  <c r="AF293" i="55"/>
  <c r="AF294" i="55"/>
  <c r="AF295" i="55"/>
  <c r="AF296" i="55"/>
  <c r="AF297" i="55"/>
  <c r="AF298" i="55"/>
  <c r="AF299" i="55"/>
  <c r="AF300" i="55"/>
  <c r="AF301" i="55"/>
  <c r="AF302" i="55"/>
  <c r="AF303" i="55"/>
  <c r="AF304" i="55"/>
  <c r="AF305" i="55"/>
  <c r="AF306" i="55"/>
  <c r="AF307" i="55"/>
  <c r="AF308" i="55"/>
  <c r="AF309" i="55"/>
  <c r="AF310" i="55"/>
  <c r="AF311" i="55"/>
  <c r="AF312" i="55"/>
  <c r="AF313" i="55"/>
  <c r="AF314" i="55"/>
  <c r="AF315" i="55"/>
  <c r="AF316" i="55"/>
  <c r="AF317" i="55"/>
  <c r="AF318" i="55"/>
  <c r="AF319" i="55"/>
  <c r="AF320" i="55"/>
  <c r="AF7" i="55"/>
  <c r="AD8" i="55"/>
  <c r="AD9" i="55"/>
  <c r="AD10" i="55"/>
  <c r="AD11" i="55"/>
  <c r="AD12" i="55"/>
  <c r="AD13" i="55"/>
  <c r="AD14" i="55"/>
  <c r="AD15" i="55"/>
  <c r="AD16" i="55"/>
  <c r="AD17" i="55"/>
  <c r="AD18" i="55"/>
  <c r="AD19" i="55"/>
  <c r="AD20" i="55"/>
  <c r="AD21" i="55"/>
  <c r="AD22" i="55"/>
  <c r="AD23" i="55"/>
  <c r="AD24" i="55"/>
  <c r="AD25" i="55"/>
  <c r="AD26" i="55"/>
  <c r="AD27" i="55"/>
  <c r="AD28" i="55"/>
  <c r="AD29" i="55"/>
  <c r="AD30" i="55"/>
  <c r="AD31" i="55"/>
  <c r="AD32" i="55"/>
  <c r="AD33" i="55"/>
  <c r="AD34" i="55"/>
  <c r="AD35" i="55"/>
  <c r="AD36" i="55"/>
  <c r="AD37" i="55"/>
  <c r="AD38" i="55"/>
  <c r="AD39" i="55"/>
  <c r="AD40" i="55"/>
  <c r="AD41" i="55"/>
  <c r="AD42" i="55"/>
  <c r="AD43" i="55"/>
  <c r="AD44" i="55"/>
  <c r="AD45" i="55"/>
  <c r="AD46" i="55"/>
  <c r="AD47" i="55"/>
  <c r="AD48" i="55"/>
  <c r="AD49" i="55"/>
  <c r="AD50" i="55"/>
  <c r="AD51" i="55"/>
  <c r="AD52" i="55"/>
  <c r="AD53" i="55"/>
  <c r="AD54" i="55"/>
  <c r="AD55" i="55"/>
  <c r="AD56" i="55"/>
  <c r="AD57" i="55"/>
  <c r="AD58" i="55"/>
  <c r="AD59" i="55"/>
  <c r="AD60" i="55"/>
  <c r="AD61" i="55"/>
  <c r="AD62" i="55"/>
  <c r="AD63" i="55"/>
  <c r="AD64" i="55"/>
  <c r="AD65" i="55"/>
  <c r="AD66" i="55"/>
  <c r="AD67" i="55"/>
  <c r="AD68" i="55"/>
  <c r="AD69" i="55"/>
  <c r="AD70" i="55"/>
  <c r="AD71" i="55"/>
  <c r="AD72" i="55"/>
  <c r="AD73" i="55"/>
  <c r="AD74" i="55"/>
  <c r="AD75" i="55"/>
  <c r="AD76" i="55"/>
  <c r="AD77" i="55"/>
  <c r="AD78" i="55"/>
  <c r="AD79" i="55"/>
  <c r="AD80" i="55"/>
  <c r="AD81" i="55"/>
  <c r="AD82" i="55"/>
  <c r="AD83" i="55"/>
  <c r="AD84" i="55"/>
  <c r="AD85" i="55"/>
  <c r="AD86" i="55"/>
  <c r="AD87" i="55"/>
  <c r="AD88" i="55"/>
  <c r="AD89" i="55"/>
  <c r="AD90" i="55"/>
  <c r="AD91" i="55"/>
  <c r="AD92" i="55"/>
  <c r="AD93" i="55"/>
  <c r="AD94" i="55"/>
  <c r="AD95" i="55"/>
  <c r="AD96" i="55"/>
  <c r="AD97" i="55"/>
  <c r="AD98" i="55"/>
  <c r="AD99" i="55"/>
  <c r="AD100" i="55"/>
  <c r="AD101" i="55"/>
  <c r="AD102" i="55"/>
  <c r="AD103" i="55"/>
  <c r="AD104" i="55"/>
  <c r="AD105" i="55"/>
  <c r="AD106" i="55"/>
  <c r="AD107" i="55"/>
  <c r="AD108" i="55"/>
  <c r="AD109" i="55"/>
  <c r="AD110" i="55"/>
  <c r="AD111" i="55"/>
  <c r="AD112" i="55"/>
  <c r="AD113" i="55"/>
  <c r="AD114" i="55"/>
  <c r="AD115" i="55"/>
  <c r="AD116" i="55"/>
  <c r="AD117" i="55"/>
  <c r="AD118" i="55"/>
  <c r="AD119" i="55"/>
  <c r="AD120" i="55"/>
  <c r="AD121" i="55"/>
  <c r="AD122" i="55"/>
  <c r="AD123" i="55"/>
  <c r="AD124" i="55"/>
  <c r="AD125" i="55"/>
  <c r="AD126" i="55"/>
  <c r="AD127" i="55"/>
  <c r="AD128" i="55"/>
  <c r="AD129" i="55"/>
  <c r="AD130" i="55"/>
  <c r="AD131" i="55"/>
  <c r="AD132" i="55"/>
  <c r="AD133" i="55"/>
  <c r="AD134" i="55"/>
  <c r="AD135" i="55"/>
  <c r="AD136" i="55"/>
  <c r="AD137" i="55"/>
  <c r="AD138" i="55"/>
  <c r="AD139" i="55"/>
  <c r="AD140" i="55"/>
  <c r="AD141" i="55"/>
  <c r="AD142" i="55"/>
  <c r="AD143" i="55"/>
  <c r="AD144" i="55"/>
  <c r="AD145" i="55"/>
  <c r="AD146" i="55"/>
  <c r="AD147" i="55"/>
  <c r="AD148" i="55"/>
  <c r="AD149" i="55"/>
  <c r="AD150" i="55"/>
  <c r="AD151" i="55"/>
  <c r="AD152" i="55"/>
  <c r="AD153" i="55"/>
  <c r="AD154" i="55"/>
  <c r="AD155" i="55"/>
  <c r="AD156" i="55"/>
  <c r="AD157" i="55"/>
  <c r="AD158" i="55"/>
  <c r="AD159" i="55"/>
  <c r="AD160" i="55"/>
  <c r="AD161" i="55"/>
  <c r="AD162" i="55"/>
  <c r="AD163" i="55"/>
  <c r="AD164" i="55"/>
  <c r="AD165" i="55"/>
  <c r="AD166" i="55"/>
  <c r="AD167" i="55"/>
  <c r="AD168" i="55"/>
  <c r="AD169" i="55"/>
  <c r="AD170" i="55"/>
  <c r="AD171" i="55"/>
  <c r="AD172" i="55"/>
  <c r="AD173" i="55"/>
  <c r="AD174" i="55"/>
  <c r="AD175" i="55"/>
  <c r="AD176" i="55"/>
  <c r="AD177" i="55"/>
  <c r="AD178" i="55"/>
  <c r="AD179" i="55"/>
  <c r="AD180" i="55"/>
  <c r="AD181" i="55"/>
  <c r="AD182" i="55"/>
  <c r="AD183" i="55"/>
  <c r="AD184" i="55"/>
  <c r="AD185" i="55"/>
  <c r="AD186" i="55"/>
  <c r="AD187" i="55"/>
  <c r="AD188" i="55"/>
  <c r="AD189" i="55"/>
  <c r="AD190" i="55"/>
  <c r="AD191" i="55"/>
  <c r="AD192" i="55"/>
  <c r="AD193" i="55"/>
  <c r="AD194" i="55"/>
  <c r="AD195" i="55"/>
  <c r="AD196" i="55"/>
  <c r="AD197" i="55"/>
  <c r="AD198" i="55"/>
  <c r="AD199" i="55"/>
  <c r="AD200" i="55"/>
  <c r="AD201" i="55"/>
  <c r="AD202" i="55"/>
  <c r="AD203" i="55"/>
  <c r="AD204" i="55"/>
  <c r="AD205" i="55"/>
  <c r="AD206" i="55"/>
  <c r="AD207" i="55"/>
  <c r="AD208" i="55"/>
  <c r="AD209" i="55"/>
  <c r="AD210" i="55"/>
  <c r="AD211" i="55"/>
  <c r="AD212" i="55"/>
  <c r="AD213" i="55"/>
  <c r="AD214" i="55"/>
  <c r="AD215" i="55"/>
  <c r="AD216" i="55"/>
  <c r="AD217" i="55"/>
  <c r="AD218" i="55"/>
  <c r="AD219" i="55"/>
  <c r="AD220" i="55"/>
  <c r="AD221" i="55"/>
  <c r="AD222" i="55"/>
  <c r="AD223" i="55"/>
  <c r="AD224" i="55"/>
  <c r="AD225" i="55"/>
  <c r="AD226" i="55"/>
  <c r="AD227" i="55"/>
  <c r="AD228" i="55"/>
  <c r="AD229" i="55"/>
  <c r="AD230" i="55"/>
  <c r="AD231" i="55"/>
  <c r="AD232" i="55"/>
  <c r="AD233" i="55"/>
  <c r="AD234" i="55"/>
  <c r="AD235" i="55"/>
  <c r="AD236" i="55"/>
  <c r="AD237" i="55"/>
  <c r="AD238" i="55"/>
  <c r="AD239" i="55"/>
  <c r="AD240" i="55"/>
  <c r="AD241" i="55"/>
  <c r="AD242" i="55"/>
  <c r="AD243" i="55"/>
  <c r="AD244" i="55"/>
  <c r="AD245" i="55"/>
  <c r="AD246" i="55"/>
  <c r="AD247" i="55"/>
  <c r="AD248" i="55"/>
  <c r="AD249" i="55"/>
  <c r="AD250" i="55"/>
  <c r="AD251" i="55"/>
  <c r="AD252" i="55"/>
  <c r="AD253" i="55"/>
  <c r="AD254" i="55"/>
  <c r="AD255" i="55"/>
  <c r="AD256" i="55"/>
  <c r="AD257" i="55"/>
  <c r="AD258" i="55"/>
  <c r="AD259" i="55"/>
  <c r="AD260" i="55"/>
  <c r="AD261" i="55"/>
  <c r="AD262" i="55"/>
  <c r="AD263" i="55"/>
  <c r="AD264" i="55"/>
  <c r="AD265" i="55"/>
  <c r="AD266" i="55"/>
  <c r="AD267" i="55"/>
  <c r="AD268" i="55"/>
  <c r="AD269" i="55"/>
  <c r="AD270" i="55"/>
  <c r="AD271" i="55"/>
  <c r="AD272" i="55"/>
  <c r="AD273" i="55"/>
  <c r="AD274" i="55"/>
  <c r="AD275" i="55"/>
  <c r="AD276" i="55"/>
  <c r="AD277" i="55"/>
  <c r="AD278" i="55"/>
  <c r="AD279" i="55"/>
  <c r="AD280" i="55"/>
  <c r="AD281" i="55"/>
  <c r="AD282" i="55"/>
  <c r="AD283" i="55"/>
  <c r="AD284" i="55"/>
  <c r="AD285" i="55"/>
  <c r="AD286" i="55"/>
  <c r="AD287" i="55"/>
  <c r="AD288" i="55"/>
  <c r="AD289" i="55"/>
  <c r="AD290" i="55"/>
  <c r="AD291" i="55"/>
  <c r="AD292" i="55"/>
  <c r="AD293" i="55"/>
  <c r="AD294" i="55"/>
  <c r="AD295" i="55"/>
  <c r="AD296" i="55"/>
  <c r="AD297" i="55"/>
  <c r="AD298" i="55"/>
  <c r="AD299" i="55"/>
  <c r="AD300" i="55"/>
  <c r="AD301" i="55"/>
  <c r="AD302" i="55"/>
  <c r="AD303" i="55"/>
  <c r="AD304" i="55"/>
  <c r="AD305" i="55"/>
  <c r="AD306" i="55"/>
  <c r="AD307" i="55"/>
  <c r="AD308" i="55"/>
  <c r="AD309" i="55"/>
  <c r="AD310" i="55"/>
  <c r="AD311" i="55"/>
  <c r="AD312" i="55"/>
  <c r="AD313" i="55"/>
  <c r="AD314" i="55"/>
  <c r="AD315" i="55"/>
  <c r="AD316" i="55"/>
  <c r="AD317" i="55"/>
  <c r="AD318" i="55"/>
  <c r="AD319" i="55"/>
  <c r="AD320" i="55"/>
  <c r="AD7" i="55"/>
  <c r="AB8" i="55"/>
  <c r="AB9" i="55"/>
  <c r="AB10" i="55"/>
  <c r="AB11" i="55"/>
  <c r="AB12" i="55"/>
  <c r="AB13" i="55"/>
  <c r="AB14" i="55"/>
  <c r="AB15" i="55"/>
  <c r="AB16" i="55"/>
  <c r="AB17" i="55"/>
  <c r="AB18" i="55"/>
  <c r="AB19" i="55"/>
  <c r="AB20" i="55"/>
  <c r="AB21" i="55"/>
  <c r="AB22" i="55"/>
  <c r="AB23" i="55"/>
  <c r="AB24" i="55"/>
  <c r="AB25" i="55"/>
  <c r="AB26" i="55"/>
  <c r="AB27" i="55"/>
  <c r="AB28" i="55"/>
  <c r="AB29" i="55"/>
  <c r="AB30" i="55"/>
  <c r="AB31" i="55"/>
  <c r="AB32" i="55"/>
  <c r="AB33" i="55"/>
  <c r="AB34" i="55"/>
  <c r="AB35" i="55"/>
  <c r="AB36" i="55"/>
  <c r="AB37" i="55"/>
  <c r="AB38" i="55"/>
  <c r="AB39" i="55"/>
  <c r="AB40" i="55"/>
  <c r="AB41" i="55"/>
  <c r="AB42" i="55"/>
  <c r="AB43" i="55"/>
  <c r="AB44" i="55"/>
  <c r="AB45" i="55"/>
  <c r="AB46" i="55"/>
  <c r="AB47" i="55"/>
  <c r="AB48" i="55"/>
  <c r="AB49" i="55"/>
  <c r="AB50" i="55"/>
  <c r="AB51" i="55"/>
  <c r="AB52" i="55"/>
  <c r="AB53" i="55"/>
  <c r="AB54" i="55"/>
  <c r="AB55" i="55"/>
  <c r="AB56" i="55"/>
  <c r="AB57" i="55"/>
  <c r="AB58" i="55"/>
  <c r="AB59" i="55"/>
  <c r="AB60" i="55"/>
  <c r="AB61" i="55"/>
  <c r="AB62" i="55"/>
  <c r="AB63" i="55"/>
  <c r="AB64" i="55"/>
  <c r="AB65" i="55"/>
  <c r="AB66" i="55"/>
  <c r="AB67" i="55"/>
  <c r="AB68" i="55"/>
  <c r="AB69" i="55"/>
  <c r="AB70" i="55"/>
  <c r="AB71" i="55"/>
  <c r="AB72" i="55"/>
  <c r="AB73" i="55"/>
  <c r="AB74" i="55"/>
  <c r="AB75" i="55"/>
  <c r="AB76" i="55"/>
  <c r="AB77" i="55"/>
  <c r="AB78" i="55"/>
  <c r="AB79" i="55"/>
  <c r="AB80" i="55"/>
  <c r="AB81" i="55"/>
  <c r="AB82" i="55"/>
  <c r="AB83" i="55"/>
  <c r="AB84" i="55"/>
  <c r="AB85" i="55"/>
  <c r="AB86" i="55"/>
  <c r="AB87" i="55"/>
  <c r="AB88" i="55"/>
  <c r="AB89" i="55"/>
  <c r="AB90" i="55"/>
  <c r="AB91" i="55"/>
  <c r="AB92" i="55"/>
  <c r="AB93" i="55"/>
  <c r="AB94" i="55"/>
  <c r="AB95" i="55"/>
  <c r="AB96" i="55"/>
  <c r="AB97" i="55"/>
  <c r="AB98" i="55"/>
  <c r="AB99" i="55"/>
  <c r="AB100" i="55"/>
  <c r="AB101" i="55"/>
  <c r="AB102" i="55"/>
  <c r="AB103" i="55"/>
  <c r="AB104" i="55"/>
  <c r="AB105" i="55"/>
  <c r="AB106" i="55"/>
  <c r="AB107" i="55"/>
  <c r="AB108" i="55"/>
  <c r="AB109" i="55"/>
  <c r="AB110" i="55"/>
  <c r="AB111" i="55"/>
  <c r="AB112" i="55"/>
  <c r="AB113" i="55"/>
  <c r="AB114" i="55"/>
  <c r="AB115" i="55"/>
  <c r="AB116" i="55"/>
  <c r="AB117" i="55"/>
  <c r="AB118" i="55"/>
  <c r="AB119" i="55"/>
  <c r="AB120" i="55"/>
  <c r="AB121" i="55"/>
  <c r="AB122" i="55"/>
  <c r="AB123" i="55"/>
  <c r="AB124" i="55"/>
  <c r="AB125" i="55"/>
  <c r="AB126" i="55"/>
  <c r="AB127" i="55"/>
  <c r="AB128" i="55"/>
  <c r="AB129" i="55"/>
  <c r="AB130" i="55"/>
  <c r="AB131" i="55"/>
  <c r="AB132" i="55"/>
  <c r="AB133" i="55"/>
  <c r="AB134" i="55"/>
  <c r="AB135" i="55"/>
  <c r="AB136" i="55"/>
  <c r="AB137" i="55"/>
  <c r="AB138" i="55"/>
  <c r="AB139" i="55"/>
  <c r="AB140" i="55"/>
  <c r="AB141" i="55"/>
  <c r="AB142" i="55"/>
  <c r="AB143" i="55"/>
  <c r="AB144" i="55"/>
  <c r="AB145" i="55"/>
  <c r="AB146" i="55"/>
  <c r="AB147" i="55"/>
  <c r="AB148" i="55"/>
  <c r="AB149" i="55"/>
  <c r="AB150" i="55"/>
  <c r="AB151" i="55"/>
  <c r="AB152" i="55"/>
  <c r="AB153" i="55"/>
  <c r="AB154" i="55"/>
  <c r="AB155" i="55"/>
  <c r="AB156" i="55"/>
  <c r="AB157" i="55"/>
  <c r="AB158" i="55"/>
  <c r="AB159" i="55"/>
  <c r="AB160" i="55"/>
  <c r="AB161" i="55"/>
  <c r="AB162" i="55"/>
  <c r="AB163" i="55"/>
  <c r="AB164" i="55"/>
  <c r="AB165" i="55"/>
  <c r="AB166" i="55"/>
  <c r="AB167" i="55"/>
  <c r="AB168" i="55"/>
  <c r="AB169" i="55"/>
  <c r="AB170" i="55"/>
  <c r="AB171" i="55"/>
  <c r="AB172" i="55"/>
  <c r="AB173" i="55"/>
  <c r="AB174" i="55"/>
  <c r="AB175" i="55"/>
  <c r="AB176" i="55"/>
  <c r="AB177" i="55"/>
  <c r="AB178" i="55"/>
  <c r="AB179" i="55"/>
  <c r="AB180" i="55"/>
  <c r="AB181" i="55"/>
  <c r="AB182" i="55"/>
  <c r="AB183" i="55"/>
  <c r="AB184" i="55"/>
  <c r="AB185" i="55"/>
  <c r="AB186" i="55"/>
  <c r="AB187" i="55"/>
  <c r="AB188" i="55"/>
  <c r="AB189" i="55"/>
  <c r="AB190" i="55"/>
  <c r="AB191" i="55"/>
  <c r="AB192" i="55"/>
  <c r="AB193" i="55"/>
  <c r="AB194" i="55"/>
  <c r="AB195" i="55"/>
  <c r="AB196" i="55"/>
  <c r="AB197" i="55"/>
  <c r="AB198" i="55"/>
  <c r="AB199" i="55"/>
  <c r="AB200" i="55"/>
  <c r="AB201" i="55"/>
  <c r="AB202" i="55"/>
  <c r="AB203" i="55"/>
  <c r="AB204" i="55"/>
  <c r="AB205" i="55"/>
  <c r="AB206" i="55"/>
  <c r="AB207" i="55"/>
  <c r="AB208" i="55"/>
  <c r="AB209" i="55"/>
  <c r="AB210" i="55"/>
  <c r="AB211" i="55"/>
  <c r="AB212" i="55"/>
  <c r="AB213" i="55"/>
  <c r="AB214" i="55"/>
  <c r="AB215" i="55"/>
  <c r="AB216" i="55"/>
  <c r="AB217" i="55"/>
  <c r="AB218" i="55"/>
  <c r="AB219" i="55"/>
  <c r="AB220" i="55"/>
  <c r="AB221" i="55"/>
  <c r="AB222" i="55"/>
  <c r="AB223" i="55"/>
  <c r="AB224" i="55"/>
  <c r="AB225" i="55"/>
  <c r="AB226" i="55"/>
  <c r="AB227" i="55"/>
  <c r="AB228" i="55"/>
  <c r="AB229" i="55"/>
  <c r="AB230" i="55"/>
  <c r="AB231" i="55"/>
  <c r="AB232" i="55"/>
  <c r="AB233" i="55"/>
  <c r="AB234" i="55"/>
  <c r="AB235" i="55"/>
  <c r="AB236" i="55"/>
  <c r="AB237" i="55"/>
  <c r="AB238" i="55"/>
  <c r="AB239" i="55"/>
  <c r="AB240" i="55"/>
  <c r="AB241" i="55"/>
  <c r="AB242" i="55"/>
  <c r="AB243" i="55"/>
  <c r="AB244" i="55"/>
  <c r="AB245" i="55"/>
  <c r="AB246" i="55"/>
  <c r="AB247" i="55"/>
  <c r="AB248" i="55"/>
  <c r="AB249" i="55"/>
  <c r="AB250" i="55"/>
  <c r="AB251" i="55"/>
  <c r="AB252" i="55"/>
  <c r="AB253" i="55"/>
  <c r="AB254" i="55"/>
  <c r="AB255" i="55"/>
  <c r="AB256" i="55"/>
  <c r="AB257" i="55"/>
  <c r="AB258" i="55"/>
  <c r="AB259" i="55"/>
  <c r="AB260" i="55"/>
  <c r="AB261" i="55"/>
  <c r="AB262" i="55"/>
  <c r="AB263" i="55"/>
  <c r="AB264" i="55"/>
  <c r="AB265" i="55"/>
  <c r="AB266" i="55"/>
  <c r="AB267" i="55"/>
  <c r="AB268" i="55"/>
  <c r="AB269" i="55"/>
  <c r="AB270" i="55"/>
  <c r="AB271" i="55"/>
  <c r="AB272" i="55"/>
  <c r="AB273" i="55"/>
  <c r="AB274" i="55"/>
  <c r="AB275" i="55"/>
  <c r="AB276" i="55"/>
  <c r="AB277" i="55"/>
  <c r="AB278" i="55"/>
  <c r="AB279" i="55"/>
  <c r="AB280" i="55"/>
  <c r="AB281" i="55"/>
  <c r="AB282" i="55"/>
  <c r="AB283" i="55"/>
  <c r="AB284" i="55"/>
  <c r="AB285" i="55"/>
  <c r="AB286" i="55"/>
  <c r="AB287" i="55"/>
  <c r="AB288" i="55"/>
  <c r="AB289" i="55"/>
  <c r="AB290" i="55"/>
  <c r="AB291" i="55"/>
  <c r="AB292" i="55"/>
  <c r="AB293" i="55"/>
  <c r="AB294" i="55"/>
  <c r="AB295" i="55"/>
  <c r="AB296" i="55"/>
  <c r="AB297" i="55"/>
  <c r="AB298" i="55"/>
  <c r="AB299" i="55"/>
  <c r="AB300" i="55"/>
  <c r="AB301" i="55"/>
  <c r="AB302" i="55"/>
  <c r="AB303" i="55"/>
  <c r="AB304" i="55"/>
  <c r="AB305" i="55"/>
  <c r="AB306" i="55"/>
  <c r="AB307" i="55"/>
  <c r="AB308" i="55"/>
  <c r="AB309" i="55"/>
  <c r="AB310" i="55"/>
  <c r="AB311" i="55"/>
  <c r="AB312" i="55"/>
  <c r="AB313" i="55"/>
  <c r="AB314" i="55"/>
  <c r="AB315" i="55"/>
  <c r="AB316" i="55"/>
  <c r="AB317" i="55"/>
  <c r="AB318" i="55"/>
  <c r="AB319" i="55"/>
  <c r="AB320" i="55"/>
  <c r="AA8" i="55"/>
  <c r="AA9" i="55"/>
  <c r="AA10" i="55"/>
  <c r="AA11" i="55"/>
  <c r="AA12" i="55"/>
  <c r="AA13" i="55"/>
  <c r="AA14" i="55"/>
  <c r="AA15" i="55"/>
  <c r="AA16" i="55"/>
  <c r="AA17" i="55"/>
  <c r="AA18" i="55"/>
  <c r="AA19" i="55"/>
  <c r="AA20" i="55"/>
  <c r="AA21" i="55"/>
  <c r="AA22" i="55"/>
  <c r="AA23" i="55"/>
  <c r="AA24" i="55"/>
  <c r="AA25" i="55"/>
  <c r="AA26" i="55"/>
  <c r="AA27" i="55"/>
  <c r="AA28" i="55"/>
  <c r="AA29" i="55"/>
  <c r="AA30" i="55"/>
  <c r="AA31" i="55"/>
  <c r="AA32" i="55"/>
  <c r="AA33" i="55"/>
  <c r="AA34" i="55"/>
  <c r="AA35" i="55"/>
  <c r="AA36" i="55"/>
  <c r="AA37" i="55"/>
  <c r="AA38" i="55"/>
  <c r="AA39" i="55"/>
  <c r="AA40" i="55"/>
  <c r="AA41" i="55"/>
  <c r="AA42" i="55"/>
  <c r="AA43" i="55"/>
  <c r="AA44" i="55"/>
  <c r="AA45" i="55"/>
  <c r="AA46" i="55"/>
  <c r="AA47" i="55"/>
  <c r="AA48" i="55"/>
  <c r="AA49" i="55"/>
  <c r="AA50" i="55"/>
  <c r="AA51" i="55"/>
  <c r="AA52" i="55"/>
  <c r="AA53" i="55"/>
  <c r="AA54" i="55"/>
  <c r="AA55" i="55"/>
  <c r="AA56" i="55"/>
  <c r="AA57" i="55"/>
  <c r="AA58" i="55"/>
  <c r="AA59" i="55"/>
  <c r="AA60" i="55"/>
  <c r="AA61" i="55"/>
  <c r="AA62" i="55"/>
  <c r="AA63" i="55"/>
  <c r="AA64" i="55"/>
  <c r="AA65" i="55"/>
  <c r="AA66" i="55"/>
  <c r="AA67" i="55"/>
  <c r="AA68" i="55"/>
  <c r="AA69" i="55"/>
  <c r="AA70" i="55"/>
  <c r="AA71" i="55"/>
  <c r="AA72" i="55"/>
  <c r="AA73" i="55"/>
  <c r="AA74" i="55"/>
  <c r="AA75" i="55"/>
  <c r="AA76" i="55"/>
  <c r="AA77" i="55"/>
  <c r="AA78" i="55"/>
  <c r="AA79" i="55"/>
  <c r="AA80" i="55"/>
  <c r="AA81" i="55"/>
  <c r="AA82" i="55"/>
  <c r="AA83" i="55"/>
  <c r="AA84" i="55"/>
  <c r="AA85" i="55"/>
  <c r="AA86" i="55"/>
  <c r="AA87" i="55"/>
  <c r="AA88" i="55"/>
  <c r="AA89" i="55"/>
  <c r="AA90" i="55"/>
  <c r="AA91" i="55"/>
  <c r="AA92" i="55"/>
  <c r="AA93" i="55"/>
  <c r="AA94" i="55"/>
  <c r="AA95" i="55"/>
  <c r="AA96" i="55"/>
  <c r="AA97" i="55"/>
  <c r="AA98" i="55"/>
  <c r="AA99" i="55"/>
  <c r="AA100" i="55"/>
  <c r="AA101" i="55"/>
  <c r="AA102" i="55"/>
  <c r="AA103" i="55"/>
  <c r="AA104" i="55"/>
  <c r="AA105" i="55"/>
  <c r="AA106" i="55"/>
  <c r="AA107" i="55"/>
  <c r="AA108" i="55"/>
  <c r="AA109" i="55"/>
  <c r="AA110" i="55"/>
  <c r="AA111" i="55"/>
  <c r="AA112" i="55"/>
  <c r="AA113" i="55"/>
  <c r="AA114" i="55"/>
  <c r="AA115" i="55"/>
  <c r="AA116" i="55"/>
  <c r="AA117" i="55"/>
  <c r="AA118" i="55"/>
  <c r="AA119" i="55"/>
  <c r="AA120" i="55"/>
  <c r="AA121" i="55"/>
  <c r="AA122" i="55"/>
  <c r="AA123" i="55"/>
  <c r="AA124" i="55"/>
  <c r="AA125" i="55"/>
  <c r="AA126" i="55"/>
  <c r="AA127" i="55"/>
  <c r="AA128" i="55"/>
  <c r="AA129" i="55"/>
  <c r="AA130" i="55"/>
  <c r="AA131" i="55"/>
  <c r="AA132" i="55"/>
  <c r="AA133" i="55"/>
  <c r="AA134" i="55"/>
  <c r="AA135" i="55"/>
  <c r="AA136" i="55"/>
  <c r="AA137" i="55"/>
  <c r="AA138" i="55"/>
  <c r="AA139" i="55"/>
  <c r="AA140" i="55"/>
  <c r="AA141" i="55"/>
  <c r="AA142" i="55"/>
  <c r="AA143" i="55"/>
  <c r="AA144" i="55"/>
  <c r="AA145" i="55"/>
  <c r="AA146" i="55"/>
  <c r="AA147" i="55"/>
  <c r="AA148" i="55"/>
  <c r="AA149" i="55"/>
  <c r="AA150" i="55"/>
  <c r="AA151" i="55"/>
  <c r="AA152" i="55"/>
  <c r="AA153" i="55"/>
  <c r="AA154" i="55"/>
  <c r="AA155" i="55"/>
  <c r="AA156" i="55"/>
  <c r="AA157" i="55"/>
  <c r="AA158" i="55"/>
  <c r="AA159" i="55"/>
  <c r="AA160" i="55"/>
  <c r="AA161" i="55"/>
  <c r="AA162" i="55"/>
  <c r="AA163" i="55"/>
  <c r="AA164" i="55"/>
  <c r="AA165" i="55"/>
  <c r="AA166" i="55"/>
  <c r="AA167" i="55"/>
  <c r="AA168" i="55"/>
  <c r="AA169" i="55"/>
  <c r="AA170" i="55"/>
  <c r="AA171" i="55"/>
  <c r="AA172" i="55"/>
  <c r="AA173" i="55"/>
  <c r="AA174" i="55"/>
  <c r="AA175" i="55"/>
  <c r="AA176" i="55"/>
  <c r="AA177" i="55"/>
  <c r="AA178" i="55"/>
  <c r="AA179" i="55"/>
  <c r="AA180" i="55"/>
  <c r="AA181" i="55"/>
  <c r="AA182" i="55"/>
  <c r="AA183" i="55"/>
  <c r="AA184" i="55"/>
  <c r="AA185" i="55"/>
  <c r="AA186" i="55"/>
  <c r="AA187" i="55"/>
  <c r="AA188" i="55"/>
  <c r="AA189" i="55"/>
  <c r="AA190" i="55"/>
  <c r="AA191" i="55"/>
  <c r="AA192" i="55"/>
  <c r="AA193" i="55"/>
  <c r="AA194" i="55"/>
  <c r="AA195" i="55"/>
  <c r="AA196" i="55"/>
  <c r="AA197" i="55"/>
  <c r="AA198" i="55"/>
  <c r="AA199" i="55"/>
  <c r="AA200" i="55"/>
  <c r="AA201" i="55"/>
  <c r="AA202" i="55"/>
  <c r="AA203" i="55"/>
  <c r="AA204" i="55"/>
  <c r="AA205" i="55"/>
  <c r="AA206" i="55"/>
  <c r="AA207" i="55"/>
  <c r="AA208" i="55"/>
  <c r="AA209" i="55"/>
  <c r="AA210" i="55"/>
  <c r="AA211" i="55"/>
  <c r="AA212" i="55"/>
  <c r="AA213" i="55"/>
  <c r="AA214" i="55"/>
  <c r="AA215" i="55"/>
  <c r="AA216" i="55"/>
  <c r="AA217" i="55"/>
  <c r="AA218" i="55"/>
  <c r="AA219" i="55"/>
  <c r="AA220" i="55"/>
  <c r="AA221" i="55"/>
  <c r="AA222" i="55"/>
  <c r="AA223" i="55"/>
  <c r="AA224" i="55"/>
  <c r="AA225" i="55"/>
  <c r="AA226" i="55"/>
  <c r="AA227" i="55"/>
  <c r="AA228" i="55"/>
  <c r="AA229" i="55"/>
  <c r="AA230" i="55"/>
  <c r="AA231" i="55"/>
  <c r="AA232" i="55"/>
  <c r="AA233" i="55"/>
  <c r="AA234" i="55"/>
  <c r="AA235" i="55"/>
  <c r="AA236" i="55"/>
  <c r="AA237" i="55"/>
  <c r="AA238" i="55"/>
  <c r="AA239" i="55"/>
  <c r="AA240" i="55"/>
  <c r="AA241" i="55"/>
  <c r="AA242" i="55"/>
  <c r="AA243" i="55"/>
  <c r="AA244" i="55"/>
  <c r="AA245" i="55"/>
  <c r="AA246" i="55"/>
  <c r="AA247" i="55"/>
  <c r="AA248" i="55"/>
  <c r="AA249" i="55"/>
  <c r="AA250" i="55"/>
  <c r="AA251" i="55"/>
  <c r="AA252" i="55"/>
  <c r="AA253" i="55"/>
  <c r="AA254" i="55"/>
  <c r="AA255" i="55"/>
  <c r="AA256" i="55"/>
  <c r="AA257" i="55"/>
  <c r="AA258" i="55"/>
  <c r="AA259" i="55"/>
  <c r="AA260" i="55"/>
  <c r="AA261" i="55"/>
  <c r="AA262" i="55"/>
  <c r="AA263" i="55"/>
  <c r="AA264" i="55"/>
  <c r="AA265" i="55"/>
  <c r="AA266" i="55"/>
  <c r="AA267" i="55"/>
  <c r="AA268" i="55"/>
  <c r="AA269" i="55"/>
  <c r="AA270" i="55"/>
  <c r="AA271" i="55"/>
  <c r="AA272" i="55"/>
  <c r="AA273" i="55"/>
  <c r="AA274" i="55"/>
  <c r="AA275" i="55"/>
  <c r="AA276" i="55"/>
  <c r="AA277" i="55"/>
  <c r="AA278" i="55"/>
  <c r="AA279" i="55"/>
  <c r="AA280" i="55"/>
  <c r="AA281" i="55"/>
  <c r="AA282" i="55"/>
  <c r="AA283" i="55"/>
  <c r="AA284" i="55"/>
  <c r="AA285" i="55"/>
  <c r="AA286" i="55"/>
  <c r="AA287" i="55"/>
  <c r="AA288" i="55"/>
  <c r="AA289" i="55"/>
  <c r="AA290" i="55"/>
  <c r="AA291" i="55"/>
  <c r="AA292" i="55"/>
  <c r="AA293" i="55"/>
  <c r="AA294" i="55"/>
  <c r="AA295" i="55"/>
  <c r="AA296" i="55"/>
  <c r="AA297" i="55"/>
  <c r="AA298" i="55"/>
  <c r="AA299" i="55"/>
  <c r="AA300" i="55"/>
  <c r="AA301" i="55"/>
  <c r="AA302" i="55"/>
  <c r="AA303" i="55"/>
  <c r="AA304" i="55"/>
  <c r="AA305" i="55"/>
  <c r="AA306" i="55"/>
  <c r="AA307" i="55"/>
  <c r="AA308" i="55"/>
  <c r="AA309" i="55"/>
  <c r="AA310" i="55"/>
  <c r="AA311" i="55"/>
  <c r="AA312" i="55"/>
  <c r="AA313" i="55"/>
  <c r="AA314" i="55"/>
  <c r="AA315" i="55"/>
  <c r="AA316" i="55"/>
  <c r="AA317" i="55"/>
  <c r="AA318" i="55"/>
  <c r="AA319" i="55"/>
  <c r="AA320" i="55"/>
  <c r="AA7" i="55"/>
  <c r="X8" i="55"/>
  <c r="Y8" i="55"/>
  <c r="Z8" i="55"/>
  <c r="X9" i="55"/>
  <c r="Y9" i="55"/>
  <c r="Z9" i="55"/>
  <c r="X10" i="55"/>
  <c r="Y10" i="55"/>
  <c r="Z10" i="55"/>
  <c r="X11" i="55"/>
  <c r="Y11" i="55"/>
  <c r="Z11" i="55"/>
  <c r="X12" i="55"/>
  <c r="Y12" i="55"/>
  <c r="Z12" i="55"/>
  <c r="X13" i="55"/>
  <c r="Y13" i="55"/>
  <c r="Z13" i="55"/>
  <c r="X14" i="55"/>
  <c r="Y14" i="55"/>
  <c r="Z14" i="55"/>
  <c r="X15" i="55"/>
  <c r="Y15" i="55"/>
  <c r="Z15" i="55"/>
  <c r="X16" i="55"/>
  <c r="Y16" i="55"/>
  <c r="Z16" i="55"/>
  <c r="X17" i="55"/>
  <c r="Y17" i="55"/>
  <c r="Z17" i="55"/>
  <c r="X18" i="55"/>
  <c r="Y18" i="55"/>
  <c r="Z18" i="55"/>
  <c r="X19" i="55"/>
  <c r="Y19" i="55"/>
  <c r="Z19" i="55"/>
  <c r="X20" i="55"/>
  <c r="Y20" i="55"/>
  <c r="Z20" i="55"/>
  <c r="X21" i="55"/>
  <c r="Y21" i="55"/>
  <c r="Z21" i="55"/>
  <c r="X22" i="55"/>
  <c r="Y22" i="55"/>
  <c r="Z22" i="55"/>
  <c r="X23" i="55"/>
  <c r="Y23" i="55"/>
  <c r="Z23" i="55"/>
  <c r="X24" i="55"/>
  <c r="Y24" i="55"/>
  <c r="Z24" i="55"/>
  <c r="X25" i="55"/>
  <c r="Y25" i="55"/>
  <c r="Z25" i="55"/>
  <c r="X26" i="55"/>
  <c r="Y26" i="55"/>
  <c r="Z26" i="55"/>
  <c r="X27" i="55"/>
  <c r="Y27" i="55"/>
  <c r="Z27" i="55"/>
  <c r="X28" i="55"/>
  <c r="Y28" i="55"/>
  <c r="Z28" i="55"/>
  <c r="X29" i="55"/>
  <c r="Y29" i="55"/>
  <c r="Z29" i="55"/>
  <c r="X30" i="55"/>
  <c r="Y30" i="55"/>
  <c r="Z30" i="55"/>
  <c r="X31" i="55"/>
  <c r="Y31" i="55"/>
  <c r="Z31" i="55"/>
  <c r="X32" i="55"/>
  <c r="Y32" i="55"/>
  <c r="Z32" i="55"/>
  <c r="X33" i="55"/>
  <c r="Y33" i="55"/>
  <c r="Z33" i="55"/>
  <c r="X34" i="55"/>
  <c r="Y34" i="55"/>
  <c r="Z34" i="55"/>
  <c r="X35" i="55"/>
  <c r="Y35" i="55"/>
  <c r="Z35" i="55"/>
  <c r="X36" i="55"/>
  <c r="Y36" i="55"/>
  <c r="Z36" i="55"/>
  <c r="X37" i="55"/>
  <c r="Y37" i="55"/>
  <c r="Z37" i="55"/>
  <c r="X38" i="55"/>
  <c r="Y38" i="55"/>
  <c r="Z38" i="55"/>
  <c r="X39" i="55"/>
  <c r="Y39" i="55"/>
  <c r="Z39" i="55"/>
  <c r="X40" i="55"/>
  <c r="Y40" i="55"/>
  <c r="Z40" i="55"/>
  <c r="X41" i="55"/>
  <c r="Y41" i="55"/>
  <c r="Z41" i="55"/>
  <c r="X42" i="55"/>
  <c r="Y42" i="55"/>
  <c r="Z42" i="55"/>
  <c r="X43" i="55"/>
  <c r="Y43" i="55"/>
  <c r="Z43" i="55"/>
  <c r="X44" i="55"/>
  <c r="Y44" i="55"/>
  <c r="Z44" i="55"/>
  <c r="X45" i="55"/>
  <c r="Y45" i="55"/>
  <c r="Z45" i="55"/>
  <c r="X46" i="55"/>
  <c r="Y46" i="55"/>
  <c r="Z46" i="55"/>
  <c r="X47" i="55"/>
  <c r="Y47" i="55"/>
  <c r="Z47" i="55"/>
  <c r="X48" i="55"/>
  <c r="Y48" i="55"/>
  <c r="Z48" i="55"/>
  <c r="X49" i="55"/>
  <c r="Y49" i="55"/>
  <c r="Z49" i="55"/>
  <c r="X50" i="55"/>
  <c r="Y50" i="55"/>
  <c r="Z50" i="55"/>
  <c r="X51" i="55"/>
  <c r="Y51" i="55"/>
  <c r="Z51" i="55"/>
  <c r="X52" i="55"/>
  <c r="Y52" i="55"/>
  <c r="Z52" i="55"/>
  <c r="X53" i="55"/>
  <c r="Y53" i="55"/>
  <c r="Z53" i="55"/>
  <c r="X54" i="55"/>
  <c r="Y54" i="55"/>
  <c r="Z54" i="55"/>
  <c r="X55" i="55"/>
  <c r="Y55" i="55"/>
  <c r="Z55" i="55"/>
  <c r="X56" i="55"/>
  <c r="Y56" i="55"/>
  <c r="Z56" i="55"/>
  <c r="X57" i="55"/>
  <c r="Y57" i="55"/>
  <c r="Z57" i="55"/>
  <c r="X58" i="55"/>
  <c r="Y58" i="55"/>
  <c r="Z58" i="55"/>
  <c r="X59" i="55"/>
  <c r="Y59" i="55"/>
  <c r="Z59" i="55"/>
  <c r="X60" i="55"/>
  <c r="Y60" i="55"/>
  <c r="Z60" i="55"/>
  <c r="X61" i="55"/>
  <c r="Y61" i="55"/>
  <c r="Z61" i="55"/>
  <c r="X62" i="55"/>
  <c r="Y62" i="55"/>
  <c r="Z62" i="55"/>
  <c r="X63" i="55"/>
  <c r="Y63" i="55"/>
  <c r="Z63" i="55"/>
  <c r="X64" i="55"/>
  <c r="Y64" i="55"/>
  <c r="Z64" i="55"/>
  <c r="X65" i="55"/>
  <c r="Y65" i="55"/>
  <c r="Z65" i="55"/>
  <c r="X66" i="55"/>
  <c r="Y66" i="55"/>
  <c r="Z66" i="55"/>
  <c r="X67" i="55"/>
  <c r="Y67" i="55"/>
  <c r="Z67" i="55"/>
  <c r="X68" i="55"/>
  <c r="Y68" i="55"/>
  <c r="Z68" i="55"/>
  <c r="X69" i="55"/>
  <c r="Y69" i="55"/>
  <c r="Z69" i="55"/>
  <c r="X70" i="55"/>
  <c r="Y70" i="55"/>
  <c r="Z70" i="55"/>
  <c r="X71" i="55"/>
  <c r="Y71" i="55"/>
  <c r="Z71" i="55"/>
  <c r="X72" i="55"/>
  <c r="Y72" i="55"/>
  <c r="Z72" i="55"/>
  <c r="X73" i="55"/>
  <c r="Y73" i="55"/>
  <c r="Z73" i="55"/>
  <c r="X74" i="55"/>
  <c r="Y74" i="55"/>
  <c r="Z74" i="55"/>
  <c r="X75" i="55"/>
  <c r="Y75" i="55"/>
  <c r="Z75" i="55"/>
  <c r="X76" i="55"/>
  <c r="Y76" i="55"/>
  <c r="Z76" i="55"/>
  <c r="X77" i="55"/>
  <c r="Y77" i="55"/>
  <c r="Z77" i="55"/>
  <c r="X78" i="55"/>
  <c r="Y78" i="55"/>
  <c r="Z78" i="55"/>
  <c r="X79" i="55"/>
  <c r="Y79" i="55"/>
  <c r="Z79" i="55"/>
  <c r="X80" i="55"/>
  <c r="Y80" i="55"/>
  <c r="Z80" i="55"/>
  <c r="X81" i="55"/>
  <c r="Y81" i="55"/>
  <c r="Z81" i="55"/>
  <c r="X82" i="55"/>
  <c r="Y82" i="55"/>
  <c r="Z82" i="55"/>
  <c r="X83" i="55"/>
  <c r="Y83" i="55"/>
  <c r="Z83" i="55"/>
  <c r="X84" i="55"/>
  <c r="Y84" i="55"/>
  <c r="Z84" i="55"/>
  <c r="X85" i="55"/>
  <c r="Y85" i="55"/>
  <c r="Z85" i="55"/>
  <c r="X86" i="55"/>
  <c r="Y86" i="55"/>
  <c r="Z86" i="55"/>
  <c r="X87" i="55"/>
  <c r="Y87" i="55"/>
  <c r="Z87" i="55"/>
  <c r="X88" i="55"/>
  <c r="Y88" i="55"/>
  <c r="Z88" i="55"/>
  <c r="X89" i="55"/>
  <c r="Y89" i="55"/>
  <c r="Z89" i="55"/>
  <c r="X90" i="55"/>
  <c r="Y90" i="55"/>
  <c r="Z90" i="55"/>
  <c r="X91" i="55"/>
  <c r="Y91" i="55"/>
  <c r="Z91" i="55"/>
  <c r="X92" i="55"/>
  <c r="Y92" i="55"/>
  <c r="Z92" i="55"/>
  <c r="X93" i="55"/>
  <c r="Y93" i="55"/>
  <c r="Z93" i="55"/>
  <c r="X94" i="55"/>
  <c r="Y94" i="55"/>
  <c r="Z94" i="55"/>
  <c r="X95" i="55"/>
  <c r="Y95" i="55"/>
  <c r="Z95" i="55"/>
  <c r="X96" i="55"/>
  <c r="Y96" i="55"/>
  <c r="Z96" i="55"/>
  <c r="X97" i="55"/>
  <c r="Y97" i="55"/>
  <c r="Z97" i="55"/>
  <c r="X98" i="55"/>
  <c r="Y98" i="55"/>
  <c r="Z98" i="55"/>
  <c r="X99" i="55"/>
  <c r="Y99" i="55"/>
  <c r="Z99" i="55"/>
  <c r="X100" i="55"/>
  <c r="Y100" i="55"/>
  <c r="Z100" i="55"/>
  <c r="X101" i="55"/>
  <c r="Y101" i="55"/>
  <c r="Z101" i="55"/>
  <c r="X102" i="55"/>
  <c r="Y102" i="55"/>
  <c r="Z102" i="55"/>
  <c r="X103" i="55"/>
  <c r="Y103" i="55"/>
  <c r="Z103" i="55"/>
  <c r="X104" i="55"/>
  <c r="Y104" i="55"/>
  <c r="Z104" i="55"/>
  <c r="X105" i="55"/>
  <c r="Y105" i="55"/>
  <c r="Z105" i="55"/>
  <c r="X106" i="55"/>
  <c r="Y106" i="55"/>
  <c r="Z106" i="55"/>
  <c r="X107" i="55"/>
  <c r="Y107" i="55"/>
  <c r="Z107" i="55"/>
  <c r="X108" i="55"/>
  <c r="Y108" i="55"/>
  <c r="Z108" i="55"/>
  <c r="X109" i="55"/>
  <c r="Y109" i="55"/>
  <c r="Z109" i="55"/>
  <c r="X110" i="55"/>
  <c r="Y110" i="55"/>
  <c r="Z110" i="55"/>
  <c r="X111" i="55"/>
  <c r="Y111" i="55"/>
  <c r="Z111" i="55"/>
  <c r="X112" i="55"/>
  <c r="Y112" i="55"/>
  <c r="Z112" i="55"/>
  <c r="X113" i="55"/>
  <c r="Y113" i="55"/>
  <c r="Z113" i="55"/>
  <c r="X114" i="55"/>
  <c r="Y114" i="55"/>
  <c r="Z114" i="55"/>
  <c r="X115" i="55"/>
  <c r="Y115" i="55"/>
  <c r="Z115" i="55"/>
  <c r="X116" i="55"/>
  <c r="Y116" i="55"/>
  <c r="Z116" i="55"/>
  <c r="X117" i="55"/>
  <c r="Y117" i="55"/>
  <c r="Z117" i="55"/>
  <c r="X118" i="55"/>
  <c r="Y118" i="55"/>
  <c r="Z118" i="55"/>
  <c r="X119" i="55"/>
  <c r="Y119" i="55"/>
  <c r="Z119" i="55"/>
  <c r="X120" i="55"/>
  <c r="Y120" i="55"/>
  <c r="Z120" i="55"/>
  <c r="X121" i="55"/>
  <c r="Y121" i="55"/>
  <c r="Z121" i="55"/>
  <c r="X122" i="55"/>
  <c r="Y122" i="55"/>
  <c r="Z122" i="55"/>
  <c r="X123" i="55"/>
  <c r="Y123" i="55"/>
  <c r="Z123" i="55"/>
  <c r="X124" i="55"/>
  <c r="Y124" i="55"/>
  <c r="Z124" i="55"/>
  <c r="X125" i="55"/>
  <c r="Y125" i="55"/>
  <c r="Z125" i="55"/>
  <c r="X126" i="55"/>
  <c r="Y126" i="55"/>
  <c r="Z126" i="55"/>
  <c r="X127" i="55"/>
  <c r="Y127" i="55"/>
  <c r="Z127" i="55"/>
  <c r="X128" i="55"/>
  <c r="Y128" i="55"/>
  <c r="Z128" i="55"/>
  <c r="X129" i="55"/>
  <c r="Y129" i="55"/>
  <c r="Z129" i="55"/>
  <c r="X130" i="55"/>
  <c r="Y130" i="55"/>
  <c r="Z130" i="55"/>
  <c r="X131" i="55"/>
  <c r="Y131" i="55"/>
  <c r="Z131" i="55"/>
  <c r="X132" i="55"/>
  <c r="Y132" i="55"/>
  <c r="Z132" i="55"/>
  <c r="X133" i="55"/>
  <c r="Y133" i="55"/>
  <c r="Z133" i="55"/>
  <c r="X134" i="55"/>
  <c r="Y134" i="55"/>
  <c r="Z134" i="55"/>
  <c r="X135" i="55"/>
  <c r="Y135" i="55"/>
  <c r="Z135" i="55"/>
  <c r="X136" i="55"/>
  <c r="Y136" i="55"/>
  <c r="Z136" i="55"/>
  <c r="X137" i="55"/>
  <c r="Y137" i="55"/>
  <c r="Z137" i="55"/>
  <c r="X138" i="55"/>
  <c r="Y138" i="55"/>
  <c r="Z138" i="55"/>
  <c r="X139" i="55"/>
  <c r="Y139" i="55"/>
  <c r="Z139" i="55"/>
  <c r="X140" i="55"/>
  <c r="Y140" i="55"/>
  <c r="Z140" i="55"/>
  <c r="X141" i="55"/>
  <c r="Y141" i="55"/>
  <c r="Z141" i="55"/>
  <c r="X142" i="55"/>
  <c r="Y142" i="55"/>
  <c r="Z142" i="55"/>
  <c r="X143" i="55"/>
  <c r="Y143" i="55"/>
  <c r="Z143" i="55"/>
  <c r="X144" i="55"/>
  <c r="Y144" i="55"/>
  <c r="Z144" i="55"/>
  <c r="X145" i="55"/>
  <c r="Y145" i="55"/>
  <c r="Z145" i="55"/>
  <c r="X146" i="55"/>
  <c r="Y146" i="55"/>
  <c r="Z146" i="55"/>
  <c r="X147" i="55"/>
  <c r="Y147" i="55"/>
  <c r="Z147" i="55"/>
  <c r="X148" i="55"/>
  <c r="Y148" i="55"/>
  <c r="Z148" i="55"/>
  <c r="X149" i="55"/>
  <c r="Y149" i="55"/>
  <c r="Z149" i="55"/>
  <c r="X150" i="55"/>
  <c r="Y150" i="55"/>
  <c r="Z150" i="55"/>
  <c r="X151" i="55"/>
  <c r="Y151" i="55"/>
  <c r="Z151" i="55"/>
  <c r="X152" i="55"/>
  <c r="Y152" i="55"/>
  <c r="Z152" i="55"/>
  <c r="X153" i="55"/>
  <c r="Y153" i="55"/>
  <c r="Z153" i="55"/>
  <c r="X154" i="55"/>
  <c r="Y154" i="55"/>
  <c r="Z154" i="55"/>
  <c r="X155" i="55"/>
  <c r="Y155" i="55"/>
  <c r="Z155" i="55"/>
  <c r="X156" i="55"/>
  <c r="Y156" i="55"/>
  <c r="Z156" i="55"/>
  <c r="X157" i="55"/>
  <c r="Y157" i="55"/>
  <c r="Z157" i="55"/>
  <c r="X158" i="55"/>
  <c r="Y158" i="55"/>
  <c r="Z158" i="55"/>
  <c r="X159" i="55"/>
  <c r="Y159" i="55"/>
  <c r="Z159" i="55"/>
  <c r="X160" i="55"/>
  <c r="Y160" i="55"/>
  <c r="Z160" i="55"/>
  <c r="X161" i="55"/>
  <c r="Y161" i="55"/>
  <c r="Z161" i="55"/>
  <c r="X162" i="55"/>
  <c r="Y162" i="55"/>
  <c r="Z162" i="55"/>
  <c r="X163" i="55"/>
  <c r="Y163" i="55"/>
  <c r="Z163" i="55"/>
  <c r="X164" i="55"/>
  <c r="Y164" i="55"/>
  <c r="Z164" i="55"/>
  <c r="X165" i="55"/>
  <c r="Y165" i="55"/>
  <c r="Z165" i="55"/>
  <c r="X166" i="55"/>
  <c r="Y166" i="55"/>
  <c r="Z166" i="55"/>
  <c r="X167" i="55"/>
  <c r="Y167" i="55"/>
  <c r="Z167" i="55"/>
  <c r="X168" i="55"/>
  <c r="Y168" i="55"/>
  <c r="Z168" i="55"/>
  <c r="X169" i="55"/>
  <c r="Y169" i="55"/>
  <c r="Z169" i="55"/>
  <c r="X170" i="55"/>
  <c r="Y170" i="55"/>
  <c r="Z170" i="55"/>
  <c r="X171" i="55"/>
  <c r="Y171" i="55"/>
  <c r="Z171" i="55"/>
  <c r="X172" i="55"/>
  <c r="Y172" i="55"/>
  <c r="Z172" i="55"/>
  <c r="X173" i="55"/>
  <c r="Y173" i="55"/>
  <c r="Z173" i="55"/>
  <c r="X174" i="55"/>
  <c r="Y174" i="55"/>
  <c r="Z174" i="55"/>
  <c r="X175" i="55"/>
  <c r="Y175" i="55"/>
  <c r="Z175" i="55"/>
  <c r="X176" i="55"/>
  <c r="Y176" i="55"/>
  <c r="Z176" i="55"/>
  <c r="X177" i="55"/>
  <c r="Y177" i="55"/>
  <c r="Z177" i="55"/>
  <c r="X178" i="55"/>
  <c r="Y178" i="55"/>
  <c r="Z178" i="55"/>
  <c r="X179" i="55"/>
  <c r="Y179" i="55"/>
  <c r="Z179" i="55"/>
  <c r="X180" i="55"/>
  <c r="Y180" i="55"/>
  <c r="Z180" i="55"/>
  <c r="X181" i="55"/>
  <c r="Y181" i="55"/>
  <c r="Z181" i="55"/>
  <c r="X182" i="55"/>
  <c r="Y182" i="55"/>
  <c r="Z182" i="55"/>
  <c r="X183" i="55"/>
  <c r="Y183" i="55"/>
  <c r="Z183" i="55"/>
  <c r="X184" i="55"/>
  <c r="Y184" i="55"/>
  <c r="Z184" i="55"/>
  <c r="X185" i="55"/>
  <c r="Y185" i="55"/>
  <c r="Z185" i="55"/>
  <c r="X186" i="55"/>
  <c r="Y186" i="55"/>
  <c r="Z186" i="55"/>
  <c r="X187" i="55"/>
  <c r="Y187" i="55"/>
  <c r="Z187" i="55"/>
  <c r="X188" i="55"/>
  <c r="Y188" i="55"/>
  <c r="Z188" i="55"/>
  <c r="X189" i="55"/>
  <c r="Y189" i="55"/>
  <c r="Z189" i="55"/>
  <c r="X190" i="55"/>
  <c r="Y190" i="55"/>
  <c r="Z190" i="55"/>
  <c r="X191" i="55"/>
  <c r="Y191" i="55"/>
  <c r="Z191" i="55"/>
  <c r="X192" i="55"/>
  <c r="Y192" i="55"/>
  <c r="Z192" i="55"/>
  <c r="X193" i="55"/>
  <c r="Y193" i="55"/>
  <c r="Z193" i="55"/>
  <c r="X194" i="55"/>
  <c r="Y194" i="55"/>
  <c r="Z194" i="55"/>
  <c r="X195" i="55"/>
  <c r="Y195" i="55"/>
  <c r="Z195" i="55"/>
  <c r="X196" i="55"/>
  <c r="Y196" i="55"/>
  <c r="Z196" i="55"/>
  <c r="X197" i="55"/>
  <c r="Y197" i="55"/>
  <c r="Z197" i="55"/>
  <c r="X198" i="55"/>
  <c r="Y198" i="55"/>
  <c r="Z198" i="55"/>
  <c r="X199" i="55"/>
  <c r="Y199" i="55"/>
  <c r="Z199" i="55"/>
  <c r="X200" i="55"/>
  <c r="Y200" i="55"/>
  <c r="Z200" i="55"/>
  <c r="X201" i="55"/>
  <c r="Y201" i="55"/>
  <c r="Z201" i="55"/>
  <c r="X202" i="55"/>
  <c r="Y202" i="55"/>
  <c r="Z202" i="55"/>
  <c r="X203" i="55"/>
  <c r="Y203" i="55"/>
  <c r="Z203" i="55"/>
  <c r="X204" i="55"/>
  <c r="Y204" i="55"/>
  <c r="Z204" i="55"/>
  <c r="X205" i="55"/>
  <c r="Y205" i="55"/>
  <c r="Z205" i="55"/>
  <c r="X206" i="55"/>
  <c r="Y206" i="55"/>
  <c r="Z206" i="55"/>
  <c r="X207" i="55"/>
  <c r="Y207" i="55"/>
  <c r="Z207" i="55"/>
  <c r="X208" i="55"/>
  <c r="Y208" i="55"/>
  <c r="Z208" i="55"/>
  <c r="X209" i="55"/>
  <c r="Y209" i="55"/>
  <c r="Z209" i="55"/>
  <c r="X210" i="55"/>
  <c r="Y210" i="55"/>
  <c r="Z210" i="55"/>
  <c r="X211" i="55"/>
  <c r="Y211" i="55"/>
  <c r="Z211" i="55"/>
  <c r="X212" i="55"/>
  <c r="Y212" i="55"/>
  <c r="Z212" i="55"/>
  <c r="X213" i="55"/>
  <c r="Y213" i="55"/>
  <c r="Z213" i="55"/>
  <c r="X214" i="55"/>
  <c r="Y214" i="55"/>
  <c r="Z214" i="55"/>
  <c r="X215" i="55"/>
  <c r="Y215" i="55"/>
  <c r="Z215" i="55"/>
  <c r="X216" i="55"/>
  <c r="Y216" i="55"/>
  <c r="Z216" i="55"/>
  <c r="X217" i="55"/>
  <c r="Y217" i="55"/>
  <c r="Z217" i="55"/>
  <c r="X218" i="55"/>
  <c r="Y218" i="55"/>
  <c r="Z218" i="55"/>
  <c r="X219" i="55"/>
  <c r="Y219" i="55"/>
  <c r="Z219" i="55"/>
  <c r="X220" i="55"/>
  <c r="Y220" i="55"/>
  <c r="Z220" i="55"/>
  <c r="X221" i="55"/>
  <c r="Y221" i="55"/>
  <c r="Z221" i="55"/>
  <c r="X222" i="55"/>
  <c r="Y222" i="55"/>
  <c r="Z222" i="55"/>
  <c r="X223" i="55"/>
  <c r="Y223" i="55"/>
  <c r="Z223" i="55"/>
  <c r="X224" i="55"/>
  <c r="Y224" i="55"/>
  <c r="Z224" i="55"/>
  <c r="X225" i="55"/>
  <c r="Y225" i="55"/>
  <c r="Z225" i="55"/>
  <c r="X226" i="55"/>
  <c r="Y226" i="55"/>
  <c r="Z226" i="55"/>
  <c r="X227" i="55"/>
  <c r="Y227" i="55"/>
  <c r="Z227" i="55"/>
  <c r="X228" i="55"/>
  <c r="Y228" i="55"/>
  <c r="Z228" i="55"/>
  <c r="X229" i="55"/>
  <c r="Y229" i="55"/>
  <c r="Z229" i="55"/>
  <c r="X230" i="55"/>
  <c r="Y230" i="55"/>
  <c r="Z230" i="55"/>
  <c r="X231" i="55"/>
  <c r="Y231" i="55"/>
  <c r="Z231" i="55"/>
  <c r="X232" i="55"/>
  <c r="Y232" i="55"/>
  <c r="Z232" i="55"/>
  <c r="X233" i="55"/>
  <c r="Y233" i="55"/>
  <c r="Z233" i="55"/>
  <c r="X234" i="55"/>
  <c r="Y234" i="55"/>
  <c r="Z234" i="55"/>
  <c r="X235" i="55"/>
  <c r="Y235" i="55"/>
  <c r="Z235" i="55"/>
  <c r="X236" i="55"/>
  <c r="Y236" i="55"/>
  <c r="Z236" i="55"/>
  <c r="X237" i="55"/>
  <c r="Y237" i="55"/>
  <c r="Z237" i="55"/>
  <c r="X238" i="55"/>
  <c r="Y238" i="55"/>
  <c r="Z238" i="55"/>
  <c r="X239" i="55"/>
  <c r="Y239" i="55"/>
  <c r="Z239" i="55"/>
  <c r="X240" i="55"/>
  <c r="Y240" i="55"/>
  <c r="Z240" i="55"/>
  <c r="X241" i="55"/>
  <c r="Y241" i="55"/>
  <c r="Z241" i="55"/>
  <c r="X242" i="55"/>
  <c r="Y242" i="55"/>
  <c r="Z242" i="55"/>
  <c r="X243" i="55"/>
  <c r="Y243" i="55"/>
  <c r="Z243" i="55"/>
  <c r="X244" i="55"/>
  <c r="Y244" i="55"/>
  <c r="Z244" i="55"/>
  <c r="X245" i="55"/>
  <c r="Y245" i="55"/>
  <c r="Z245" i="55"/>
  <c r="X246" i="55"/>
  <c r="Y246" i="55"/>
  <c r="Z246" i="55"/>
  <c r="X247" i="55"/>
  <c r="Y247" i="55"/>
  <c r="Z247" i="55"/>
  <c r="X248" i="55"/>
  <c r="Y248" i="55"/>
  <c r="Z248" i="55"/>
  <c r="X249" i="55"/>
  <c r="Y249" i="55"/>
  <c r="Z249" i="55"/>
  <c r="X250" i="55"/>
  <c r="Y250" i="55"/>
  <c r="Z250" i="55"/>
  <c r="X251" i="55"/>
  <c r="Y251" i="55"/>
  <c r="Z251" i="55"/>
  <c r="X252" i="55"/>
  <c r="Y252" i="55"/>
  <c r="Z252" i="55"/>
  <c r="X253" i="55"/>
  <c r="Y253" i="55"/>
  <c r="Z253" i="55"/>
  <c r="X254" i="55"/>
  <c r="Y254" i="55"/>
  <c r="Z254" i="55"/>
  <c r="X255" i="55"/>
  <c r="Y255" i="55"/>
  <c r="Z255" i="55"/>
  <c r="X256" i="55"/>
  <c r="Y256" i="55"/>
  <c r="Z256" i="55"/>
  <c r="X257" i="55"/>
  <c r="Y257" i="55"/>
  <c r="Z257" i="55"/>
  <c r="X258" i="55"/>
  <c r="Y258" i="55"/>
  <c r="Z258" i="55"/>
  <c r="X259" i="55"/>
  <c r="Y259" i="55"/>
  <c r="Z259" i="55"/>
  <c r="X260" i="55"/>
  <c r="Y260" i="55"/>
  <c r="Z260" i="55"/>
  <c r="X261" i="55"/>
  <c r="Y261" i="55"/>
  <c r="Z261" i="55"/>
  <c r="X262" i="55"/>
  <c r="Y262" i="55"/>
  <c r="Z262" i="55"/>
  <c r="X263" i="55"/>
  <c r="Y263" i="55"/>
  <c r="Z263" i="55"/>
  <c r="X264" i="55"/>
  <c r="Y264" i="55"/>
  <c r="Z264" i="55"/>
  <c r="X265" i="55"/>
  <c r="Y265" i="55"/>
  <c r="Z265" i="55"/>
  <c r="X266" i="55"/>
  <c r="Y266" i="55"/>
  <c r="Z266" i="55"/>
  <c r="X267" i="55"/>
  <c r="Y267" i="55"/>
  <c r="Z267" i="55"/>
  <c r="X268" i="55"/>
  <c r="Y268" i="55"/>
  <c r="Z268" i="55"/>
  <c r="X269" i="55"/>
  <c r="Y269" i="55"/>
  <c r="Z269" i="55"/>
  <c r="X270" i="55"/>
  <c r="Y270" i="55"/>
  <c r="Z270" i="55"/>
  <c r="X271" i="55"/>
  <c r="Y271" i="55"/>
  <c r="Z271" i="55"/>
  <c r="X272" i="55"/>
  <c r="Y272" i="55"/>
  <c r="Z272" i="55"/>
  <c r="X273" i="55"/>
  <c r="Y273" i="55"/>
  <c r="Z273" i="55"/>
  <c r="X274" i="55"/>
  <c r="Y274" i="55"/>
  <c r="Z274" i="55"/>
  <c r="X275" i="55"/>
  <c r="Y275" i="55"/>
  <c r="Z275" i="55"/>
  <c r="X276" i="55"/>
  <c r="Y276" i="55"/>
  <c r="Z276" i="55"/>
  <c r="X277" i="55"/>
  <c r="Y277" i="55"/>
  <c r="Z277" i="55"/>
  <c r="X278" i="55"/>
  <c r="Y278" i="55"/>
  <c r="Z278" i="55"/>
  <c r="X279" i="55"/>
  <c r="Y279" i="55"/>
  <c r="Z279" i="55"/>
  <c r="X280" i="55"/>
  <c r="Y280" i="55"/>
  <c r="Z280" i="55"/>
  <c r="X281" i="55"/>
  <c r="Y281" i="55"/>
  <c r="Z281" i="55"/>
  <c r="X282" i="55"/>
  <c r="Y282" i="55"/>
  <c r="Z282" i="55"/>
  <c r="X283" i="55"/>
  <c r="Y283" i="55"/>
  <c r="Z283" i="55"/>
  <c r="X284" i="55"/>
  <c r="Y284" i="55"/>
  <c r="Z284" i="55"/>
  <c r="X285" i="55"/>
  <c r="Y285" i="55"/>
  <c r="Z285" i="55"/>
  <c r="X286" i="55"/>
  <c r="Y286" i="55"/>
  <c r="Z286" i="55"/>
  <c r="X287" i="55"/>
  <c r="Y287" i="55"/>
  <c r="Z287" i="55"/>
  <c r="X288" i="55"/>
  <c r="Y288" i="55"/>
  <c r="Z288" i="55"/>
  <c r="X289" i="55"/>
  <c r="Y289" i="55"/>
  <c r="Z289" i="55"/>
  <c r="X290" i="55"/>
  <c r="Y290" i="55"/>
  <c r="Z290" i="55"/>
  <c r="X291" i="55"/>
  <c r="Y291" i="55"/>
  <c r="Z291" i="55"/>
  <c r="X292" i="55"/>
  <c r="Y292" i="55"/>
  <c r="Z292" i="55"/>
  <c r="X293" i="55"/>
  <c r="Y293" i="55"/>
  <c r="Z293" i="55"/>
  <c r="X294" i="55"/>
  <c r="Y294" i="55"/>
  <c r="Z294" i="55"/>
  <c r="X295" i="55"/>
  <c r="Y295" i="55"/>
  <c r="Z295" i="55"/>
  <c r="X296" i="55"/>
  <c r="Y296" i="55"/>
  <c r="Z296" i="55"/>
  <c r="X297" i="55"/>
  <c r="Y297" i="55"/>
  <c r="Z297" i="55"/>
  <c r="X298" i="55"/>
  <c r="Y298" i="55"/>
  <c r="Z298" i="55"/>
  <c r="X299" i="55"/>
  <c r="Y299" i="55"/>
  <c r="Z299" i="55"/>
  <c r="X300" i="55"/>
  <c r="Y300" i="55"/>
  <c r="Z300" i="55"/>
  <c r="X301" i="55"/>
  <c r="Y301" i="55"/>
  <c r="Z301" i="55"/>
  <c r="X302" i="55"/>
  <c r="Y302" i="55"/>
  <c r="Z302" i="55"/>
  <c r="X303" i="55"/>
  <c r="Y303" i="55"/>
  <c r="Z303" i="55"/>
  <c r="X304" i="55"/>
  <c r="Y304" i="55"/>
  <c r="Z304" i="55"/>
  <c r="X305" i="55"/>
  <c r="Y305" i="55"/>
  <c r="Z305" i="55"/>
  <c r="X306" i="55"/>
  <c r="Y306" i="55"/>
  <c r="Z306" i="55"/>
  <c r="X307" i="55"/>
  <c r="Y307" i="55"/>
  <c r="Z307" i="55"/>
  <c r="X308" i="55"/>
  <c r="Y308" i="55"/>
  <c r="Z308" i="55"/>
  <c r="X309" i="55"/>
  <c r="Y309" i="55"/>
  <c r="Z309" i="55"/>
  <c r="X310" i="55"/>
  <c r="Y310" i="55"/>
  <c r="Z310" i="55"/>
  <c r="X311" i="55"/>
  <c r="Y311" i="55"/>
  <c r="Z311" i="55"/>
  <c r="X312" i="55"/>
  <c r="Y312" i="55"/>
  <c r="Z312" i="55"/>
  <c r="X313" i="55"/>
  <c r="Y313" i="55"/>
  <c r="Z313" i="55"/>
  <c r="X314" i="55"/>
  <c r="Y314" i="55"/>
  <c r="Z314" i="55"/>
  <c r="X315" i="55"/>
  <c r="Y315" i="55"/>
  <c r="Z315" i="55"/>
  <c r="X316" i="55"/>
  <c r="Y316" i="55"/>
  <c r="Z316" i="55"/>
  <c r="X317" i="55"/>
  <c r="Y317" i="55"/>
  <c r="Z317" i="55"/>
  <c r="X318" i="55"/>
  <c r="Y318" i="55"/>
  <c r="Z318" i="55"/>
  <c r="X319" i="55"/>
  <c r="Y319" i="55"/>
  <c r="Z319" i="55"/>
  <c r="X320" i="55"/>
  <c r="Y320" i="55"/>
  <c r="Z320" i="55"/>
  <c r="Z7" i="55"/>
  <c r="Y7" i="55"/>
  <c r="Y5" i="55" s="1"/>
  <c r="X7" i="55"/>
  <c r="X5" i="55" s="1"/>
  <c r="T7" i="55"/>
  <c r="T8" i="55"/>
  <c r="T9" i="55"/>
  <c r="T10" i="55"/>
  <c r="T11" i="55"/>
  <c r="T12" i="55"/>
  <c r="T13" i="55"/>
  <c r="T14" i="55"/>
  <c r="T15" i="55"/>
  <c r="T16" i="55"/>
  <c r="T17" i="55"/>
  <c r="T18" i="55"/>
  <c r="T19" i="55"/>
  <c r="T20" i="55"/>
  <c r="T21" i="55"/>
  <c r="T22" i="55"/>
  <c r="T23" i="55"/>
  <c r="T24" i="55"/>
  <c r="T25" i="55"/>
  <c r="T26" i="55"/>
  <c r="T27" i="55"/>
  <c r="T28" i="55"/>
  <c r="T29" i="55"/>
  <c r="T30" i="55"/>
  <c r="T31" i="55"/>
  <c r="T32" i="55"/>
  <c r="T33" i="55"/>
  <c r="T34" i="55"/>
  <c r="T35" i="55"/>
  <c r="T36" i="55"/>
  <c r="T37" i="55"/>
  <c r="T38" i="55"/>
  <c r="T39" i="55"/>
  <c r="T40" i="55"/>
  <c r="T41" i="55"/>
  <c r="T42" i="55"/>
  <c r="T43" i="55"/>
  <c r="T44" i="55"/>
  <c r="T45" i="55"/>
  <c r="T46" i="55"/>
  <c r="T47" i="55"/>
  <c r="T48" i="55"/>
  <c r="T49" i="55"/>
  <c r="T50" i="55"/>
  <c r="T51" i="55"/>
  <c r="T52" i="55"/>
  <c r="T53" i="55"/>
  <c r="T54" i="55"/>
  <c r="T55" i="55"/>
  <c r="T56" i="55"/>
  <c r="T57" i="55"/>
  <c r="T58" i="55"/>
  <c r="T59" i="55"/>
  <c r="T60" i="55"/>
  <c r="T61" i="55"/>
  <c r="T62" i="55"/>
  <c r="T63" i="55"/>
  <c r="T64" i="55"/>
  <c r="T65" i="55"/>
  <c r="T66" i="55"/>
  <c r="T67" i="55"/>
  <c r="T68" i="55"/>
  <c r="T69" i="55"/>
  <c r="T70" i="55"/>
  <c r="T71" i="55"/>
  <c r="T72" i="55"/>
  <c r="T73" i="55"/>
  <c r="T74" i="55"/>
  <c r="T75" i="55"/>
  <c r="T76" i="55"/>
  <c r="T77" i="55"/>
  <c r="T78" i="55"/>
  <c r="T79" i="55"/>
  <c r="T80" i="55"/>
  <c r="T81" i="55"/>
  <c r="T82" i="55"/>
  <c r="T83" i="55"/>
  <c r="T84" i="55"/>
  <c r="T85" i="55"/>
  <c r="T86" i="55"/>
  <c r="T87" i="55"/>
  <c r="T88" i="55"/>
  <c r="T89" i="55"/>
  <c r="T90" i="55"/>
  <c r="T91" i="55"/>
  <c r="T92" i="55"/>
  <c r="T93" i="55"/>
  <c r="T94" i="55"/>
  <c r="T95" i="55"/>
  <c r="T96" i="55"/>
  <c r="T97" i="55"/>
  <c r="T98" i="55"/>
  <c r="T99" i="55"/>
  <c r="T100" i="55"/>
  <c r="T101" i="55"/>
  <c r="T102" i="55"/>
  <c r="T103" i="55"/>
  <c r="T104" i="55"/>
  <c r="T105" i="55"/>
  <c r="T106" i="55"/>
  <c r="T107" i="55"/>
  <c r="T108" i="55"/>
  <c r="T109" i="55"/>
  <c r="T110" i="55"/>
  <c r="T111" i="55"/>
  <c r="T112" i="55"/>
  <c r="T113" i="55"/>
  <c r="T114" i="55"/>
  <c r="T115" i="55"/>
  <c r="T116" i="55"/>
  <c r="T117" i="55"/>
  <c r="T118" i="55"/>
  <c r="T119" i="55"/>
  <c r="T120" i="55"/>
  <c r="T121" i="55"/>
  <c r="T122" i="55"/>
  <c r="T123" i="55"/>
  <c r="T124" i="55"/>
  <c r="T125" i="55"/>
  <c r="T126" i="55"/>
  <c r="T127" i="55"/>
  <c r="T128" i="55"/>
  <c r="T129" i="55"/>
  <c r="T130" i="55"/>
  <c r="T131" i="55"/>
  <c r="T132" i="55"/>
  <c r="T133" i="55"/>
  <c r="T134" i="55"/>
  <c r="T135" i="55"/>
  <c r="T136" i="55"/>
  <c r="T137" i="55"/>
  <c r="T138" i="55"/>
  <c r="T139" i="55"/>
  <c r="T140" i="55"/>
  <c r="T141" i="55"/>
  <c r="T142" i="55"/>
  <c r="T143" i="55"/>
  <c r="T144" i="55"/>
  <c r="T145" i="55"/>
  <c r="T146" i="55"/>
  <c r="T147" i="55"/>
  <c r="T148" i="55"/>
  <c r="T149" i="55"/>
  <c r="T150" i="55"/>
  <c r="T151" i="55"/>
  <c r="T152" i="55"/>
  <c r="T153" i="55"/>
  <c r="T154" i="55"/>
  <c r="T155" i="55"/>
  <c r="T156" i="55"/>
  <c r="T157" i="55"/>
  <c r="T158" i="55"/>
  <c r="T159" i="55"/>
  <c r="T160" i="55"/>
  <c r="T161" i="55"/>
  <c r="T162" i="55"/>
  <c r="T163" i="55"/>
  <c r="T164" i="55"/>
  <c r="T165" i="55"/>
  <c r="T166" i="55"/>
  <c r="T167" i="55"/>
  <c r="T168" i="55"/>
  <c r="T169" i="55"/>
  <c r="T170" i="55"/>
  <c r="T171" i="55"/>
  <c r="T172" i="55"/>
  <c r="T173" i="55"/>
  <c r="T174" i="55"/>
  <c r="T175" i="55"/>
  <c r="T176" i="55"/>
  <c r="T177" i="55"/>
  <c r="T178" i="55"/>
  <c r="T179" i="55"/>
  <c r="T180" i="55"/>
  <c r="T181" i="55"/>
  <c r="T182" i="55"/>
  <c r="T183" i="55"/>
  <c r="T184" i="55"/>
  <c r="T185" i="55"/>
  <c r="T186" i="55"/>
  <c r="T187" i="55"/>
  <c r="T188" i="55"/>
  <c r="T189" i="55"/>
  <c r="T190" i="55"/>
  <c r="T191" i="55"/>
  <c r="T192" i="55"/>
  <c r="T193" i="55"/>
  <c r="T194" i="55"/>
  <c r="T195" i="55"/>
  <c r="T196" i="55"/>
  <c r="T197" i="55"/>
  <c r="T198" i="55"/>
  <c r="T199" i="55"/>
  <c r="T200" i="55"/>
  <c r="T201" i="55"/>
  <c r="T202" i="55"/>
  <c r="T203" i="55"/>
  <c r="T204" i="55"/>
  <c r="T205" i="55"/>
  <c r="T206" i="55"/>
  <c r="T207" i="55"/>
  <c r="T208" i="55"/>
  <c r="T209" i="55"/>
  <c r="T210" i="55"/>
  <c r="T211" i="55"/>
  <c r="T212" i="55"/>
  <c r="T213" i="55"/>
  <c r="T214" i="55"/>
  <c r="T215" i="55"/>
  <c r="T216" i="55"/>
  <c r="T217" i="55"/>
  <c r="T218" i="55"/>
  <c r="T219" i="55"/>
  <c r="T220" i="55"/>
  <c r="T221" i="55"/>
  <c r="T222" i="55"/>
  <c r="T223" i="55"/>
  <c r="T224" i="55"/>
  <c r="T225" i="55"/>
  <c r="T226" i="55"/>
  <c r="T227" i="55"/>
  <c r="T228" i="55"/>
  <c r="T229" i="55"/>
  <c r="T230" i="55"/>
  <c r="T231" i="55"/>
  <c r="T232" i="55"/>
  <c r="T233" i="55"/>
  <c r="T234" i="55"/>
  <c r="T235" i="55"/>
  <c r="T236" i="55"/>
  <c r="T237" i="55"/>
  <c r="T238" i="55"/>
  <c r="T239" i="55"/>
  <c r="T240" i="55"/>
  <c r="T241" i="55"/>
  <c r="T242" i="55"/>
  <c r="T243" i="55"/>
  <c r="T244" i="55"/>
  <c r="T245" i="55"/>
  <c r="T246" i="55"/>
  <c r="T247" i="55"/>
  <c r="T248" i="55"/>
  <c r="T249" i="55"/>
  <c r="T250" i="55"/>
  <c r="T251" i="55"/>
  <c r="T252" i="55"/>
  <c r="T253" i="55"/>
  <c r="T254" i="55"/>
  <c r="T255" i="55"/>
  <c r="T256" i="55"/>
  <c r="T257" i="55"/>
  <c r="T258" i="55"/>
  <c r="T259" i="55"/>
  <c r="T260" i="55"/>
  <c r="T261" i="55"/>
  <c r="T262" i="55"/>
  <c r="T263" i="55"/>
  <c r="T264" i="55"/>
  <c r="T265" i="55"/>
  <c r="T266" i="55"/>
  <c r="T267" i="55"/>
  <c r="T268" i="55"/>
  <c r="T269" i="55"/>
  <c r="T270" i="55"/>
  <c r="T271" i="55"/>
  <c r="T272" i="55"/>
  <c r="T273" i="55"/>
  <c r="T274" i="55"/>
  <c r="T275" i="55"/>
  <c r="T276" i="55"/>
  <c r="T277" i="55"/>
  <c r="T278" i="55"/>
  <c r="T279" i="55"/>
  <c r="T280" i="55"/>
  <c r="T281" i="55"/>
  <c r="T282" i="55"/>
  <c r="T283" i="55"/>
  <c r="T284" i="55"/>
  <c r="T285" i="55"/>
  <c r="T286" i="55"/>
  <c r="T287" i="55"/>
  <c r="T288" i="55"/>
  <c r="T289" i="55"/>
  <c r="T290" i="55"/>
  <c r="T291" i="55"/>
  <c r="T292" i="55"/>
  <c r="T293" i="55"/>
  <c r="T294" i="55"/>
  <c r="T295" i="55"/>
  <c r="T296" i="55"/>
  <c r="T297" i="55"/>
  <c r="T298" i="55"/>
  <c r="T299" i="55"/>
  <c r="T300" i="55"/>
  <c r="T301" i="55"/>
  <c r="T302" i="55"/>
  <c r="T303" i="55"/>
  <c r="T304" i="55"/>
  <c r="T305" i="55"/>
  <c r="T306" i="55"/>
  <c r="T307" i="55"/>
  <c r="T308" i="55"/>
  <c r="T309" i="55"/>
  <c r="T310" i="55"/>
  <c r="T311" i="55"/>
  <c r="T312" i="55"/>
  <c r="T313" i="55"/>
  <c r="T314" i="55"/>
  <c r="T315" i="55"/>
  <c r="T316" i="55"/>
  <c r="T317" i="55"/>
  <c r="T318" i="55"/>
  <c r="T319" i="55"/>
  <c r="T320" i="55"/>
  <c r="S8" i="55"/>
  <c r="S9" i="55"/>
  <c r="S10" i="55"/>
  <c r="S11" i="55"/>
  <c r="S12" i="55"/>
  <c r="S13" i="55"/>
  <c r="S14" i="55"/>
  <c r="S15" i="55"/>
  <c r="S16" i="55"/>
  <c r="S17" i="55"/>
  <c r="S18" i="55"/>
  <c r="S19" i="55"/>
  <c r="S20" i="55"/>
  <c r="S21" i="55"/>
  <c r="S22" i="55"/>
  <c r="S23" i="55"/>
  <c r="S24" i="55"/>
  <c r="S25" i="55"/>
  <c r="S26" i="55"/>
  <c r="S27" i="55"/>
  <c r="S28" i="55"/>
  <c r="S29" i="55"/>
  <c r="S30" i="55"/>
  <c r="S31" i="55"/>
  <c r="S32" i="55"/>
  <c r="S33" i="55"/>
  <c r="S34" i="55"/>
  <c r="S35" i="55"/>
  <c r="S36" i="55"/>
  <c r="S37" i="55"/>
  <c r="S38" i="55"/>
  <c r="S39" i="55"/>
  <c r="S40" i="55"/>
  <c r="S41" i="55"/>
  <c r="S42" i="55"/>
  <c r="S43" i="55"/>
  <c r="S44" i="55"/>
  <c r="S45" i="55"/>
  <c r="S46" i="55"/>
  <c r="S47" i="55"/>
  <c r="S48" i="55"/>
  <c r="S49" i="55"/>
  <c r="S50" i="55"/>
  <c r="S51" i="55"/>
  <c r="S52" i="55"/>
  <c r="S53" i="55"/>
  <c r="S54" i="55"/>
  <c r="S55" i="55"/>
  <c r="S56" i="55"/>
  <c r="S57" i="55"/>
  <c r="S58" i="55"/>
  <c r="S59" i="55"/>
  <c r="S60" i="55"/>
  <c r="S61" i="55"/>
  <c r="S62" i="55"/>
  <c r="S63" i="55"/>
  <c r="S64" i="55"/>
  <c r="S65" i="55"/>
  <c r="S66" i="55"/>
  <c r="S67" i="55"/>
  <c r="S68" i="55"/>
  <c r="S69" i="55"/>
  <c r="S70" i="55"/>
  <c r="S71" i="55"/>
  <c r="S72" i="55"/>
  <c r="S73" i="55"/>
  <c r="S74" i="55"/>
  <c r="S75" i="55"/>
  <c r="S76" i="55"/>
  <c r="S77" i="55"/>
  <c r="S78" i="55"/>
  <c r="S79" i="55"/>
  <c r="S80" i="55"/>
  <c r="S81" i="55"/>
  <c r="S82" i="55"/>
  <c r="S83" i="55"/>
  <c r="S84" i="55"/>
  <c r="S85" i="55"/>
  <c r="S86" i="55"/>
  <c r="S87" i="55"/>
  <c r="S88" i="55"/>
  <c r="S89" i="55"/>
  <c r="S90" i="55"/>
  <c r="S91" i="55"/>
  <c r="S92" i="55"/>
  <c r="S93" i="55"/>
  <c r="S94" i="55"/>
  <c r="S95" i="55"/>
  <c r="S96" i="55"/>
  <c r="S97" i="55"/>
  <c r="S98" i="55"/>
  <c r="S99" i="55"/>
  <c r="S100" i="55"/>
  <c r="S101" i="55"/>
  <c r="S102" i="55"/>
  <c r="S103" i="55"/>
  <c r="S104" i="55"/>
  <c r="S105" i="55"/>
  <c r="S106" i="55"/>
  <c r="S107" i="55"/>
  <c r="S108" i="55"/>
  <c r="S109" i="55"/>
  <c r="S110" i="55"/>
  <c r="S111" i="55"/>
  <c r="S112" i="55"/>
  <c r="S113" i="55"/>
  <c r="S114" i="55"/>
  <c r="S115" i="55"/>
  <c r="S116" i="55"/>
  <c r="S117" i="55"/>
  <c r="S118" i="55"/>
  <c r="S119" i="55"/>
  <c r="S120" i="55"/>
  <c r="S121" i="55"/>
  <c r="S122" i="55"/>
  <c r="S123" i="55"/>
  <c r="S124" i="55"/>
  <c r="S125" i="55"/>
  <c r="S126" i="55"/>
  <c r="S127" i="55"/>
  <c r="S128" i="55"/>
  <c r="S129" i="55"/>
  <c r="S130" i="55"/>
  <c r="S131" i="55"/>
  <c r="S132" i="55"/>
  <c r="S133" i="55"/>
  <c r="S134" i="55"/>
  <c r="S135" i="55"/>
  <c r="S136" i="55"/>
  <c r="S137" i="55"/>
  <c r="S138" i="55"/>
  <c r="S139" i="55"/>
  <c r="S140" i="55"/>
  <c r="S141" i="55"/>
  <c r="S142" i="55"/>
  <c r="S143" i="55"/>
  <c r="S144" i="55"/>
  <c r="S145" i="55"/>
  <c r="S146" i="55"/>
  <c r="S147" i="55"/>
  <c r="S148" i="55"/>
  <c r="S149" i="55"/>
  <c r="S150" i="55"/>
  <c r="S151" i="55"/>
  <c r="S152" i="55"/>
  <c r="S153" i="55"/>
  <c r="S154" i="55"/>
  <c r="S155" i="55"/>
  <c r="S156" i="55"/>
  <c r="S157" i="55"/>
  <c r="S158" i="55"/>
  <c r="S159" i="55"/>
  <c r="S160" i="55"/>
  <c r="S161" i="55"/>
  <c r="S162" i="55"/>
  <c r="S163" i="55"/>
  <c r="S164" i="55"/>
  <c r="S165" i="55"/>
  <c r="S166" i="55"/>
  <c r="S167" i="55"/>
  <c r="S168" i="55"/>
  <c r="S169" i="55"/>
  <c r="S170" i="55"/>
  <c r="S171" i="55"/>
  <c r="S172" i="55"/>
  <c r="S173" i="55"/>
  <c r="S174" i="55"/>
  <c r="S175" i="55"/>
  <c r="S176" i="55"/>
  <c r="S177" i="55"/>
  <c r="S178" i="55"/>
  <c r="S179" i="55"/>
  <c r="S180" i="55"/>
  <c r="S181" i="55"/>
  <c r="S182" i="55"/>
  <c r="S183" i="55"/>
  <c r="S184" i="55"/>
  <c r="S185" i="55"/>
  <c r="S186" i="55"/>
  <c r="S187" i="55"/>
  <c r="S188" i="55"/>
  <c r="S189" i="55"/>
  <c r="S190" i="55"/>
  <c r="S191" i="55"/>
  <c r="S192" i="55"/>
  <c r="S193" i="55"/>
  <c r="S194" i="55"/>
  <c r="S195" i="55"/>
  <c r="S196" i="55"/>
  <c r="S197" i="55"/>
  <c r="S198" i="55"/>
  <c r="S199" i="55"/>
  <c r="S200" i="55"/>
  <c r="S201" i="55"/>
  <c r="S202" i="55"/>
  <c r="S203" i="55"/>
  <c r="S204" i="55"/>
  <c r="S205" i="55"/>
  <c r="S206" i="55"/>
  <c r="S207" i="55"/>
  <c r="S208" i="55"/>
  <c r="S209" i="55"/>
  <c r="S210" i="55"/>
  <c r="S211" i="55"/>
  <c r="S212" i="55"/>
  <c r="S213" i="55"/>
  <c r="S214" i="55"/>
  <c r="S215" i="55"/>
  <c r="S216" i="55"/>
  <c r="S217" i="55"/>
  <c r="S218" i="55"/>
  <c r="S219" i="55"/>
  <c r="S220" i="55"/>
  <c r="S221" i="55"/>
  <c r="S222" i="55"/>
  <c r="S223" i="55"/>
  <c r="S224" i="55"/>
  <c r="S225" i="55"/>
  <c r="S226" i="55"/>
  <c r="S227" i="55"/>
  <c r="S228" i="55"/>
  <c r="S229" i="55"/>
  <c r="S230" i="55"/>
  <c r="S231" i="55"/>
  <c r="S232" i="55"/>
  <c r="S233" i="55"/>
  <c r="S234" i="55"/>
  <c r="S235" i="55"/>
  <c r="S236" i="55"/>
  <c r="S237" i="55"/>
  <c r="S238" i="55"/>
  <c r="S239" i="55"/>
  <c r="S240" i="55"/>
  <c r="S241" i="55"/>
  <c r="S242" i="55"/>
  <c r="S243" i="55"/>
  <c r="S244" i="55"/>
  <c r="S245" i="55"/>
  <c r="S246" i="55"/>
  <c r="S247" i="55"/>
  <c r="S248" i="55"/>
  <c r="S249" i="55"/>
  <c r="S250" i="55"/>
  <c r="S251" i="55"/>
  <c r="S252" i="55"/>
  <c r="S253" i="55"/>
  <c r="S254" i="55"/>
  <c r="S255" i="55"/>
  <c r="S256" i="55"/>
  <c r="S257" i="55"/>
  <c r="S258" i="55"/>
  <c r="S259" i="55"/>
  <c r="S260" i="55"/>
  <c r="S261" i="55"/>
  <c r="S262" i="55"/>
  <c r="S263" i="55"/>
  <c r="S264" i="55"/>
  <c r="S265" i="55"/>
  <c r="S266" i="55"/>
  <c r="S267" i="55"/>
  <c r="S268" i="55"/>
  <c r="S269" i="55"/>
  <c r="S270" i="55"/>
  <c r="S271" i="55"/>
  <c r="S272" i="55"/>
  <c r="S273" i="55"/>
  <c r="S274" i="55"/>
  <c r="S275" i="55"/>
  <c r="S276" i="55"/>
  <c r="S277" i="55"/>
  <c r="S278" i="55"/>
  <c r="S279" i="55"/>
  <c r="S280" i="55"/>
  <c r="S281" i="55"/>
  <c r="S282" i="55"/>
  <c r="S283" i="55"/>
  <c r="S284" i="55"/>
  <c r="S285" i="55"/>
  <c r="S286" i="55"/>
  <c r="S287" i="55"/>
  <c r="S288" i="55"/>
  <c r="S289" i="55"/>
  <c r="S290" i="55"/>
  <c r="S291" i="55"/>
  <c r="S292" i="55"/>
  <c r="S293" i="55"/>
  <c r="S294" i="55"/>
  <c r="S295" i="55"/>
  <c r="S296" i="55"/>
  <c r="S297" i="55"/>
  <c r="S298" i="55"/>
  <c r="S299" i="55"/>
  <c r="S300" i="55"/>
  <c r="S301" i="55"/>
  <c r="S302" i="55"/>
  <c r="S303" i="55"/>
  <c r="S304" i="55"/>
  <c r="S305" i="55"/>
  <c r="S306" i="55"/>
  <c r="S307" i="55"/>
  <c r="S308" i="55"/>
  <c r="S309" i="55"/>
  <c r="S310" i="55"/>
  <c r="S311" i="55"/>
  <c r="S312" i="55"/>
  <c r="S313" i="55"/>
  <c r="S314" i="55"/>
  <c r="S315" i="55"/>
  <c r="S316" i="55"/>
  <c r="S317" i="55"/>
  <c r="S318" i="55"/>
  <c r="S319" i="55"/>
  <c r="S320" i="55"/>
  <c r="S7" i="55"/>
  <c r="R8" i="55"/>
  <c r="R9" i="55"/>
  <c r="U9" i="55" s="1"/>
  <c r="R10" i="55"/>
  <c r="U10" i="55" s="1"/>
  <c r="R11" i="55"/>
  <c r="U11" i="55" s="1"/>
  <c r="R12" i="55"/>
  <c r="U12" i="55" s="1"/>
  <c r="R13" i="55"/>
  <c r="U13" i="55" s="1"/>
  <c r="R14" i="55"/>
  <c r="U14" i="55" s="1"/>
  <c r="R15" i="55"/>
  <c r="R16" i="55"/>
  <c r="U16" i="55" s="1"/>
  <c r="R17" i="55"/>
  <c r="U17" i="55" s="1"/>
  <c r="R18" i="55"/>
  <c r="U18" i="55" s="1"/>
  <c r="R19" i="55"/>
  <c r="U19" i="55" s="1"/>
  <c r="R20" i="55"/>
  <c r="U20" i="55" s="1"/>
  <c r="R21" i="55"/>
  <c r="R22" i="55"/>
  <c r="R23" i="55"/>
  <c r="U23" i="55" s="1"/>
  <c r="R24" i="55"/>
  <c r="U24" i="55" s="1"/>
  <c r="R25" i="55"/>
  <c r="U25" i="55" s="1"/>
  <c r="R26" i="55"/>
  <c r="U26" i="55" s="1"/>
  <c r="R27" i="55"/>
  <c r="U27" i="55" s="1"/>
  <c r="R28" i="55"/>
  <c r="R29" i="55"/>
  <c r="U29" i="55" s="1"/>
  <c r="R30" i="55"/>
  <c r="U30" i="55" s="1"/>
  <c r="R31" i="55"/>
  <c r="U31" i="55" s="1"/>
  <c r="R32" i="55"/>
  <c r="U32" i="55" s="1"/>
  <c r="R33" i="55"/>
  <c r="U33" i="55" s="1"/>
  <c r="R34" i="55"/>
  <c r="U34" i="55" s="1"/>
  <c r="R35" i="55"/>
  <c r="U35" i="55" s="1"/>
  <c r="R36" i="55"/>
  <c r="R37" i="55"/>
  <c r="U37" i="55" s="1"/>
  <c r="R38" i="55"/>
  <c r="U38" i="55" s="1"/>
  <c r="R39" i="55"/>
  <c r="U39" i="55" s="1"/>
  <c r="R40" i="55"/>
  <c r="U40" i="55" s="1"/>
  <c r="R41" i="55"/>
  <c r="U41" i="55" s="1"/>
  <c r="R42" i="55"/>
  <c r="U42" i="55" s="1"/>
  <c r="R43" i="55"/>
  <c r="R44" i="55"/>
  <c r="U44" i="55" s="1"/>
  <c r="R45" i="55"/>
  <c r="U45" i="55" s="1"/>
  <c r="R46" i="55"/>
  <c r="U46" i="55" s="1"/>
  <c r="R47" i="55"/>
  <c r="U47" i="55" s="1"/>
  <c r="R48" i="55"/>
  <c r="U48" i="55" s="1"/>
  <c r="R49" i="55"/>
  <c r="U49" i="55" s="1"/>
  <c r="R50" i="55"/>
  <c r="R51" i="55"/>
  <c r="U51" i="55" s="1"/>
  <c r="R52" i="55"/>
  <c r="R53" i="55"/>
  <c r="U53" i="55" s="1"/>
  <c r="R54" i="55"/>
  <c r="U54" i="55" s="1"/>
  <c r="R55" i="55"/>
  <c r="U55" i="55" s="1"/>
  <c r="R56" i="55"/>
  <c r="R57" i="55"/>
  <c r="U57" i="55" s="1"/>
  <c r="R58" i="55"/>
  <c r="R59" i="55"/>
  <c r="R60" i="55"/>
  <c r="U60" i="55" s="1"/>
  <c r="R61" i="55"/>
  <c r="U61" i="55" s="1"/>
  <c r="R62" i="55"/>
  <c r="U62" i="55" s="1"/>
  <c r="R63" i="55"/>
  <c r="R64" i="55"/>
  <c r="U64" i="55" s="1"/>
  <c r="R65" i="55"/>
  <c r="U65" i="55" s="1"/>
  <c r="R66" i="55"/>
  <c r="U66" i="55" s="1"/>
  <c r="R67" i="55"/>
  <c r="U67" i="55" s="1"/>
  <c r="R68" i="55"/>
  <c r="U68" i="55" s="1"/>
  <c r="R69" i="55"/>
  <c r="U69" i="55" s="1"/>
  <c r="R70" i="55"/>
  <c r="U70" i="55" s="1"/>
  <c r="R71" i="55"/>
  <c r="U71" i="55" s="1"/>
  <c r="R72" i="55"/>
  <c r="U72" i="55" s="1"/>
  <c r="R73" i="55"/>
  <c r="U73" i="55" s="1"/>
  <c r="R74" i="55"/>
  <c r="U74" i="55" s="1"/>
  <c r="R75" i="55"/>
  <c r="U75" i="55" s="1"/>
  <c r="R76" i="55"/>
  <c r="U76" i="55" s="1"/>
  <c r="R77" i="55"/>
  <c r="U77" i="55" s="1"/>
  <c r="R78" i="55"/>
  <c r="U78" i="55" s="1"/>
  <c r="R79" i="55"/>
  <c r="R80" i="55"/>
  <c r="U80" i="55" s="1"/>
  <c r="R81" i="55"/>
  <c r="U81" i="55" s="1"/>
  <c r="R82" i="55"/>
  <c r="U82" i="55" s="1"/>
  <c r="R83" i="55"/>
  <c r="U83" i="55" s="1"/>
  <c r="R84" i="55"/>
  <c r="R85" i="55"/>
  <c r="R86" i="55"/>
  <c r="U86" i="55" s="1"/>
  <c r="R87" i="55"/>
  <c r="U87" i="55" s="1"/>
  <c r="R88" i="55"/>
  <c r="U88" i="55" s="1"/>
  <c r="R89" i="55"/>
  <c r="U89" i="55" s="1"/>
  <c r="R90" i="55"/>
  <c r="U90" i="55" s="1"/>
  <c r="R91" i="55"/>
  <c r="U91" i="55" s="1"/>
  <c r="R92" i="55"/>
  <c r="R93" i="55"/>
  <c r="R94" i="55"/>
  <c r="U94" i="55" s="1"/>
  <c r="R95" i="55"/>
  <c r="U95" i="55" s="1"/>
  <c r="R96" i="55"/>
  <c r="U96" i="55" s="1"/>
  <c r="R97" i="55"/>
  <c r="U97" i="55" s="1"/>
  <c r="R98" i="55"/>
  <c r="U98" i="55" s="1"/>
  <c r="R99" i="55"/>
  <c r="U99" i="55" s="1"/>
  <c r="R100" i="55"/>
  <c r="U100" i="55" s="1"/>
  <c r="R101" i="55"/>
  <c r="U101" i="55" s="1"/>
  <c r="R102" i="55"/>
  <c r="U102" i="55" s="1"/>
  <c r="R103" i="55"/>
  <c r="U103" i="55" s="1"/>
  <c r="R104" i="55"/>
  <c r="R105" i="55"/>
  <c r="U105" i="55" s="1"/>
  <c r="R106" i="55"/>
  <c r="U106" i="55" s="1"/>
  <c r="R107" i="55"/>
  <c r="U107" i="55" s="1"/>
  <c r="R108" i="55"/>
  <c r="U108" i="55" s="1"/>
  <c r="R109" i="55"/>
  <c r="U109" i="55" s="1"/>
  <c r="R110" i="55"/>
  <c r="U110" i="55" s="1"/>
  <c r="R111" i="55"/>
  <c r="U111" i="55" s="1"/>
  <c r="R112" i="55"/>
  <c r="U112" i="55" s="1"/>
  <c r="R113" i="55"/>
  <c r="U113" i="55" s="1"/>
  <c r="R114" i="55"/>
  <c r="U114" i="55" s="1"/>
  <c r="R115" i="55"/>
  <c r="U115" i="55" s="1"/>
  <c r="R116" i="55"/>
  <c r="R117" i="55"/>
  <c r="U117" i="55" s="1"/>
  <c r="R118" i="55"/>
  <c r="R119" i="55"/>
  <c r="R120" i="55"/>
  <c r="R121" i="55"/>
  <c r="R122" i="55"/>
  <c r="R123" i="55"/>
  <c r="R124" i="55"/>
  <c r="R125" i="55"/>
  <c r="U125" i="55" s="1"/>
  <c r="R126" i="55"/>
  <c r="U126" i="55" s="1"/>
  <c r="R127" i="55"/>
  <c r="U127" i="55" s="1"/>
  <c r="R128" i="55"/>
  <c r="U128" i="55" s="1"/>
  <c r="R129" i="55"/>
  <c r="U129" i="55" s="1"/>
  <c r="R130" i="55"/>
  <c r="R131" i="55"/>
  <c r="U131" i="55" s="1"/>
  <c r="R132" i="55"/>
  <c r="R133" i="55"/>
  <c r="R134" i="55"/>
  <c r="U134" i="55" s="1"/>
  <c r="R135" i="55"/>
  <c r="U135" i="55" s="1"/>
  <c r="R136" i="55"/>
  <c r="U136" i="55" s="1"/>
  <c r="R137" i="55"/>
  <c r="U137" i="55" s="1"/>
  <c r="R138" i="55"/>
  <c r="U138" i="55" s="1"/>
  <c r="R139" i="55"/>
  <c r="R140" i="55"/>
  <c r="R141" i="55"/>
  <c r="R142" i="55"/>
  <c r="R143" i="55"/>
  <c r="R144" i="55"/>
  <c r="R145" i="55"/>
  <c r="U145" i="55" s="1"/>
  <c r="R146" i="55"/>
  <c r="U146" i="55" s="1"/>
  <c r="R147" i="55"/>
  <c r="U147" i="55" s="1"/>
  <c r="R148" i="55"/>
  <c r="U148" i="55" s="1"/>
  <c r="R149" i="55"/>
  <c r="R150" i="55"/>
  <c r="U150" i="55" s="1"/>
  <c r="R151" i="55"/>
  <c r="U151" i="55" s="1"/>
  <c r="R152" i="55"/>
  <c r="U152" i="55" s="1"/>
  <c r="R153" i="55"/>
  <c r="U153" i="55" s="1"/>
  <c r="R154" i="55"/>
  <c r="R155" i="55"/>
  <c r="U155" i="55" s="1"/>
  <c r="R156" i="55"/>
  <c r="U156" i="55" s="1"/>
  <c r="R157" i="55"/>
  <c r="U157" i="55" s="1"/>
  <c r="R158" i="55"/>
  <c r="U158" i="55" s="1"/>
  <c r="R159" i="55"/>
  <c r="U159" i="55" s="1"/>
  <c r="R160" i="55"/>
  <c r="U160" i="55" s="1"/>
  <c r="R161" i="55"/>
  <c r="U161" i="55" s="1"/>
  <c r="R162" i="55"/>
  <c r="U162" i="55" s="1"/>
  <c r="R163" i="55"/>
  <c r="R164" i="55"/>
  <c r="U164" i="55" s="1"/>
  <c r="R165" i="55"/>
  <c r="U165" i="55" s="1"/>
  <c r="R166" i="55"/>
  <c r="U166" i="55" s="1"/>
  <c r="R167" i="55"/>
  <c r="U167" i="55" s="1"/>
  <c r="R168" i="55"/>
  <c r="U168" i="55" s="1"/>
  <c r="R169" i="55"/>
  <c r="R170" i="55"/>
  <c r="R171" i="55"/>
  <c r="U171" i="55" s="1"/>
  <c r="R172" i="55"/>
  <c r="U172" i="55" s="1"/>
  <c r="R173" i="55"/>
  <c r="R174" i="55"/>
  <c r="U174" i="55" s="1"/>
  <c r="R175" i="55"/>
  <c r="R176" i="55"/>
  <c r="R177" i="55"/>
  <c r="U177" i="55" s="1"/>
  <c r="R178" i="55"/>
  <c r="U178" i="55" s="1"/>
  <c r="R179" i="55"/>
  <c r="U179" i="55" s="1"/>
  <c r="R180" i="55"/>
  <c r="U180" i="55" s="1"/>
  <c r="R181" i="55"/>
  <c r="U181" i="55" s="1"/>
  <c r="R182" i="55"/>
  <c r="U182" i="55" s="1"/>
  <c r="R183" i="55"/>
  <c r="U183" i="55" s="1"/>
  <c r="R184" i="55"/>
  <c r="U184" i="55" s="1"/>
  <c r="R185" i="55"/>
  <c r="U185" i="55" s="1"/>
  <c r="R186" i="55"/>
  <c r="U186" i="55" s="1"/>
  <c r="R187" i="55"/>
  <c r="U187" i="55" s="1"/>
  <c r="R188" i="55"/>
  <c r="U188" i="55" s="1"/>
  <c r="R189" i="55"/>
  <c r="R190" i="55"/>
  <c r="U190" i="55" s="1"/>
  <c r="R191" i="55"/>
  <c r="U191" i="55" s="1"/>
  <c r="R192" i="55"/>
  <c r="U192" i="55" s="1"/>
  <c r="R193" i="55"/>
  <c r="U193" i="55" s="1"/>
  <c r="R194" i="55"/>
  <c r="U194" i="55" s="1"/>
  <c r="R195" i="55"/>
  <c r="U195" i="55" s="1"/>
  <c r="R196" i="55"/>
  <c r="R197" i="55"/>
  <c r="U197" i="55" s="1"/>
  <c r="R198" i="55"/>
  <c r="U198" i="55" s="1"/>
  <c r="R199" i="55"/>
  <c r="U199" i="55" s="1"/>
  <c r="R200" i="55"/>
  <c r="U200" i="55" s="1"/>
  <c r="R201" i="55"/>
  <c r="U201" i="55" s="1"/>
  <c r="R202" i="55"/>
  <c r="U202" i="55" s="1"/>
  <c r="R203" i="55"/>
  <c r="U203" i="55" s="1"/>
  <c r="R204" i="55"/>
  <c r="U204" i="55" s="1"/>
  <c r="R205" i="55"/>
  <c r="U205" i="55" s="1"/>
  <c r="R206" i="55"/>
  <c r="U206" i="55" s="1"/>
  <c r="R207" i="55"/>
  <c r="U207" i="55" s="1"/>
  <c r="R208" i="55"/>
  <c r="U208" i="55" s="1"/>
  <c r="R209" i="55"/>
  <c r="R210" i="55"/>
  <c r="R211" i="55"/>
  <c r="R212" i="55"/>
  <c r="R213" i="55"/>
  <c r="U213" i="55" s="1"/>
  <c r="R214" i="55"/>
  <c r="U214" i="55" s="1"/>
  <c r="R215" i="55"/>
  <c r="U215" i="55" s="1"/>
  <c r="R216" i="55"/>
  <c r="U216" i="55" s="1"/>
  <c r="R217" i="55"/>
  <c r="U217" i="55" s="1"/>
  <c r="R218" i="55"/>
  <c r="U218" i="55" s="1"/>
  <c r="R219" i="55"/>
  <c r="U219" i="55" s="1"/>
  <c r="R220" i="55"/>
  <c r="U220" i="55" s="1"/>
  <c r="R221" i="55"/>
  <c r="R222" i="55"/>
  <c r="U222" i="55" s="1"/>
  <c r="R223" i="55"/>
  <c r="R224" i="55"/>
  <c r="R225" i="55"/>
  <c r="R226" i="55"/>
  <c r="U226" i="55" s="1"/>
  <c r="R227" i="55"/>
  <c r="U227" i="55" s="1"/>
  <c r="R228" i="55"/>
  <c r="U228" i="55" s="1"/>
  <c r="R229" i="55"/>
  <c r="U229" i="55" s="1"/>
  <c r="R230" i="55"/>
  <c r="U230" i="55" s="1"/>
  <c r="R231" i="55"/>
  <c r="U231" i="55" s="1"/>
  <c r="R232" i="55"/>
  <c r="U232" i="55" s="1"/>
  <c r="R233" i="55"/>
  <c r="R234" i="55"/>
  <c r="U234" i="55" s="1"/>
  <c r="R235" i="55"/>
  <c r="U235" i="55" s="1"/>
  <c r="R236" i="55"/>
  <c r="U236" i="55" s="1"/>
  <c r="R237" i="55"/>
  <c r="U237" i="55" s="1"/>
  <c r="R238" i="55"/>
  <c r="U238" i="55" s="1"/>
  <c r="R239" i="55"/>
  <c r="U239" i="55" s="1"/>
  <c r="R240" i="55"/>
  <c r="U240" i="55" s="1"/>
  <c r="R241" i="55"/>
  <c r="U241" i="55" s="1"/>
  <c r="R242" i="55"/>
  <c r="R243" i="55"/>
  <c r="R244" i="55"/>
  <c r="U244" i="55" s="1"/>
  <c r="R245" i="55"/>
  <c r="U245" i="55" s="1"/>
  <c r="R246" i="55"/>
  <c r="U246" i="55" s="1"/>
  <c r="R247" i="55"/>
  <c r="U247" i="55" s="1"/>
  <c r="R248" i="55"/>
  <c r="U248" i="55" s="1"/>
  <c r="R249" i="55"/>
  <c r="U249" i="55" s="1"/>
  <c r="R250" i="55"/>
  <c r="U250" i="55" s="1"/>
  <c r="R251" i="55"/>
  <c r="U251" i="55" s="1"/>
  <c r="R252" i="55"/>
  <c r="U252" i="55" s="1"/>
  <c r="R253" i="55"/>
  <c r="U253" i="55" s="1"/>
  <c r="R254" i="55"/>
  <c r="U254" i="55" s="1"/>
  <c r="R255" i="55"/>
  <c r="R256" i="55"/>
  <c r="R257" i="55"/>
  <c r="U257" i="55" s="1"/>
  <c r="R258" i="55"/>
  <c r="R259" i="55"/>
  <c r="U259" i="55" s="1"/>
  <c r="R260" i="55"/>
  <c r="U260" i="55" s="1"/>
  <c r="R261" i="55"/>
  <c r="R262" i="55"/>
  <c r="U262" i="55" s="1"/>
  <c r="R263" i="55"/>
  <c r="R264" i="55"/>
  <c r="R265" i="55"/>
  <c r="R266" i="55"/>
  <c r="U266" i="55" s="1"/>
  <c r="R267" i="55"/>
  <c r="U267" i="55" s="1"/>
  <c r="R268" i="55"/>
  <c r="U268" i="55" s="1"/>
  <c r="R269" i="55"/>
  <c r="U269" i="55" s="1"/>
  <c r="R270" i="55"/>
  <c r="U270" i="55" s="1"/>
  <c r="R271" i="55"/>
  <c r="U271" i="55" s="1"/>
  <c r="R272" i="55"/>
  <c r="U272" i="55" s="1"/>
  <c r="R273" i="55"/>
  <c r="U273" i="55" s="1"/>
  <c r="R274" i="55"/>
  <c r="U274" i="55" s="1"/>
  <c r="R275" i="55"/>
  <c r="R276" i="55"/>
  <c r="U276" i="55" s="1"/>
  <c r="R277" i="55"/>
  <c r="U277" i="55" s="1"/>
  <c r="R278" i="55"/>
  <c r="R279" i="55"/>
  <c r="U279" i="55" s="1"/>
  <c r="R280" i="55"/>
  <c r="R281" i="55"/>
  <c r="U281" i="55" s="1"/>
  <c r="R282" i="55"/>
  <c r="U282" i="55" s="1"/>
  <c r="R283" i="55"/>
  <c r="U283" i="55" s="1"/>
  <c r="R284" i="55"/>
  <c r="U284" i="55" s="1"/>
  <c r="R285" i="55"/>
  <c r="U285" i="55" s="1"/>
  <c r="R286" i="55"/>
  <c r="U286" i="55" s="1"/>
  <c r="R287" i="55"/>
  <c r="R288" i="55"/>
  <c r="U288" i="55" s="1"/>
  <c r="R289" i="55"/>
  <c r="U289" i="55" s="1"/>
  <c r="R290" i="55"/>
  <c r="U290" i="55" s="1"/>
  <c r="R291" i="55"/>
  <c r="U291" i="55" s="1"/>
  <c r="R292" i="55"/>
  <c r="U292" i="55" s="1"/>
  <c r="R293" i="55"/>
  <c r="U293" i="55" s="1"/>
  <c r="R294" i="55"/>
  <c r="U294" i="55" s="1"/>
  <c r="R295" i="55"/>
  <c r="R296" i="55"/>
  <c r="U296" i="55" s="1"/>
  <c r="R297" i="55"/>
  <c r="R298" i="55"/>
  <c r="U298" i="55" s="1"/>
  <c r="R299" i="55"/>
  <c r="U299" i="55" s="1"/>
  <c r="R300" i="55"/>
  <c r="U300" i="55" s="1"/>
  <c r="R301" i="55"/>
  <c r="U301" i="55" s="1"/>
  <c r="R302" i="55"/>
  <c r="U302" i="55" s="1"/>
  <c r="R303" i="55"/>
  <c r="R304" i="55"/>
  <c r="U304" i="55" s="1"/>
  <c r="R305" i="55"/>
  <c r="R306" i="55"/>
  <c r="U306" i="55" s="1"/>
  <c r="R307" i="55"/>
  <c r="U307" i="55" s="1"/>
  <c r="R308" i="55"/>
  <c r="U308" i="55" s="1"/>
  <c r="R309" i="55"/>
  <c r="R310" i="55"/>
  <c r="U310" i="55" s="1"/>
  <c r="R311" i="55"/>
  <c r="U311" i="55" s="1"/>
  <c r="R312" i="55"/>
  <c r="U312" i="55" s="1"/>
  <c r="R313" i="55"/>
  <c r="U313" i="55" s="1"/>
  <c r="R314" i="55"/>
  <c r="U314" i="55" s="1"/>
  <c r="R315" i="55"/>
  <c r="U315" i="55" s="1"/>
  <c r="R316" i="55"/>
  <c r="U316" i="55" s="1"/>
  <c r="R317" i="55"/>
  <c r="U317" i="55" s="1"/>
  <c r="R318" i="55"/>
  <c r="U318" i="55" s="1"/>
  <c r="R319" i="55"/>
  <c r="U319" i="55" s="1"/>
  <c r="R320" i="55"/>
  <c r="U320" i="55" s="1"/>
  <c r="U7" i="55"/>
  <c r="O7" i="55"/>
  <c r="N8" i="55"/>
  <c r="O8" i="55"/>
  <c r="N9" i="55"/>
  <c r="O9" i="55"/>
  <c r="N10" i="55"/>
  <c r="O10" i="55"/>
  <c r="N11" i="55"/>
  <c r="O11" i="55"/>
  <c r="N12" i="55"/>
  <c r="O12" i="55"/>
  <c r="N13" i="55"/>
  <c r="O13" i="55"/>
  <c r="N14" i="55"/>
  <c r="O14" i="55"/>
  <c r="N15" i="55"/>
  <c r="O15" i="55"/>
  <c r="N16" i="55"/>
  <c r="O16" i="55"/>
  <c r="N17" i="55"/>
  <c r="O17" i="55"/>
  <c r="N18" i="55"/>
  <c r="O18" i="55"/>
  <c r="N19" i="55"/>
  <c r="O19" i="55"/>
  <c r="N20" i="55"/>
  <c r="O20" i="55"/>
  <c r="N21" i="55"/>
  <c r="O21" i="55"/>
  <c r="N22" i="55"/>
  <c r="O22" i="55"/>
  <c r="N23" i="55"/>
  <c r="O23" i="55"/>
  <c r="N24" i="55"/>
  <c r="O24" i="55"/>
  <c r="N25" i="55"/>
  <c r="O25" i="55"/>
  <c r="N26" i="55"/>
  <c r="O26" i="55"/>
  <c r="N27" i="55"/>
  <c r="O27" i="55"/>
  <c r="N28" i="55"/>
  <c r="O28" i="55"/>
  <c r="N29" i="55"/>
  <c r="O29" i="55"/>
  <c r="N30" i="55"/>
  <c r="O30" i="55"/>
  <c r="N31" i="55"/>
  <c r="O31" i="55"/>
  <c r="N32" i="55"/>
  <c r="O32" i="55"/>
  <c r="N33" i="55"/>
  <c r="O33" i="55"/>
  <c r="N34" i="55"/>
  <c r="O34" i="55"/>
  <c r="N35" i="55"/>
  <c r="O35" i="55"/>
  <c r="N36" i="55"/>
  <c r="O36" i="55"/>
  <c r="N37" i="55"/>
  <c r="O37" i="55"/>
  <c r="N38" i="55"/>
  <c r="O38" i="55"/>
  <c r="N39" i="55"/>
  <c r="O39" i="55"/>
  <c r="N40" i="55"/>
  <c r="O40" i="55"/>
  <c r="N41" i="55"/>
  <c r="O41" i="55"/>
  <c r="N42" i="55"/>
  <c r="O42" i="55"/>
  <c r="N43" i="55"/>
  <c r="O43" i="55"/>
  <c r="N44" i="55"/>
  <c r="O44" i="55"/>
  <c r="N45" i="55"/>
  <c r="O45" i="55"/>
  <c r="N46" i="55"/>
  <c r="O46" i="55"/>
  <c r="N47" i="55"/>
  <c r="O47" i="55"/>
  <c r="N48" i="55"/>
  <c r="O48" i="55"/>
  <c r="N49" i="55"/>
  <c r="O49" i="55"/>
  <c r="N50" i="55"/>
  <c r="O50" i="55"/>
  <c r="N51" i="55"/>
  <c r="O51" i="55"/>
  <c r="N52" i="55"/>
  <c r="O52" i="55"/>
  <c r="N53" i="55"/>
  <c r="O53" i="55"/>
  <c r="N54" i="55"/>
  <c r="O54" i="55"/>
  <c r="N55" i="55"/>
  <c r="O55" i="55"/>
  <c r="N56" i="55"/>
  <c r="O56" i="55"/>
  <c r="N57" i="55"/>
  <c r="O57" i="55"/>
  <c r="N58" i="55"/>
  <c r="O58" i="55"/>
  <c r="N59" i="55"/>
  <c r="O59" i="55"/>
  <c r="N60" i="55"/>
  <c r="O60" i="55"/>
  <c r="N61" i="55"/>
  <c r="O61" i="55"/>
  <c r="N62" i="55"/>
  <c r="O62" i="55"/>
  <c r="N63" i="55"/>
  <c r="O63" i="55"/>
  <c r="N64" i="55"/>
  <c r="O64" i="55"/>
  <c r="N65" i="55"/>
  <c r="O65" i="55"/>
  <c r="N66" i="55"/>
  <c r="O66" i="55"/>
  <c r="N67" i="55"/>
  <c r="O67" i="55"/>
  <c r="N68" i="55"/>
  <c r="O68" i="55"/>
  <c r="N69" i="55"/>
  <c r="O69" i="55"/>
  <c r="N70" i="55"/>
  <c r="O70" i="55"/>
  <c r="N71" i="55"/>
  <c r="O71" i="55"/>
  <c r="N72" i="55"/>
  <c r="O72" i="55"/>
  <c r="N73" i="55"/>
  <c r="O73" i="55"/>
  <c r="N74" i="55"/>
  <c r="O74" i="55"/>
  <c r="N75" i="55"/>
  <c r="O75" i="55"/>
  <c r="N76" i="55"/>
  <c r="O76" i="55"/>
  <c r="N77" i="55"/>
  <c r="O77" i="55"/>
  <c r="N78" i="55"/>
  <c r="O78" i="55"/>
  <c r="N79" i="55"/>
  <c r="O79" i="55"/>
  <c r="N80" i="55"/>
  <c r="O80" i="55"/>
  <c r="N81" i="55"/>
  <c r="O81" i="55"/>
  <c r="N82" i="55"/>
  <c r="O82" i="55"/>
  <c r="N83" i="55"/>
  <c r="O83" i="55"/>
  <c r="N84" i="55"/>
  <c r="O84" i="55"/>
  <c r="N85" i="55"/>
  <c r="O85" i="55"/>
  <c r="N86" i="55"/>
  <c r="O86" i="55"/>
  <c r="N87" i="55"/>
  <c r="O87" i="55"/>
  <c r="N88" i="55"/>
  <c r="O88" i="55"/>
  <c r="N89" i="55"/>
  <c r="O89" i="55"/>
  <c r="N90" i="55"/>
  <c r="O90" i="55"/>
  <c r="N91" i="55"/>
  <c r="O91" i="55"/>
  <c r="N92" i="55"/>
  <c r="O92" i="55"/>
  <c r="N93" i="55"/>
  <c r="O93" i="55"/>
  <c r="N94" i="55"/>
  <c r="O94" i="55"/>
  <c r="N95" i="55"/>
  <c r="O95" i="55"/>
  <c r="N96" i="55"/>
  <c r="O96" i="55"/>
  <c r="N97" i="55"/>
  <c r="O97" i="55"/>
  <c r="N98" i="55"/>
  <c r="O98" i="55"/>
  <c r="N99" i="55"/>
  <c r="O99" i="55"/>
  <c r="N100" i="55"/>
  <c r="O100" i="55"/>
  <c r="N101" i="55"/>
  <c r="O101" i="55"/>
  <c r="N102" i="55"/>
  <c r="O102" i="55"/>
  <c r="N103" i="55"/>
  <c r="O103" i="55"/>
  <c r="N104" i="55"/>
  <c r="O104" i="55"/>
  <c r="N105" i="55"/>
  <c r="O105" i="55"/>
  <c r="N106" i="55"/>
  <c r="O106" i="55"/>
  <c r="N107" i="55"/>
  <c r="O107" i="55"/>
  <c r="N108" i="55"/>
  <c r="O108" i="55"/>
  <c r="N109" i="55"/>
  <c r="O109" i="55"/>
  <c r="N110" i="55"/>
  <c r="O110" i="55"/>
  <c r="N111" i="55"/>
  <c r="O111" i="55"/>
  <c r="N112" i="55"/>
  <c r="O112" i="55"/>
  <c r="N113" i="55"/>
  <c r="O113" i="55"/>
  <c r="N114" i="55"/>
  <c r="O114" i="55"/>
  <c r="N115" i="55"/>
  <c r="O115" i="55"/>
  <c r="N116" i="55"/>
  <c r="O116" i="55"/>
  <c r="N117" i="55"/>
  <c r="O117" i="55"/>
  <c r="N118" i="55"/>
  <c r="O118" i="55"/>
  <c r="N119" i="55"/>
  <c r="O119" i="55"/>
  <c r="N120" i="55"/>
  <c r="O120" i="55"/>
  <c r="N121" i="55"/>
  <c r="O121" i="55"/>
  <c r="N122" i="55"/>
  <c r="O122" i="55"/>
  <c r="N123" i="55"/>
  <c r="O123" i="55"/>
  <c r="N124" i="55"/>
  <c r="O124" i="55"/>
  <c r="N125" i="55"/>
  <c r="O125" i="55"/>
  <c r="N126" i="55"/>
  <c r="O126" i="55"/>
  <c r="N127" i="55"/>
  <c r="O127" i="55"/>
  <c r="N128" i="55"/>
  <c r="O128" i="55"/>
  <c r="N129" i="55"/>
  <c r="O129" i="55"/>
  <c r="N130" i="55"/>
  <c r="O130" i="55"/>
  <c r="N131" i="55"/>
  <c r="O131" i="55"/>
  <c r="N132" i="55"/>
  <c r="O132" i="55"/>
  <c r="N133" i="55"/>
  <c r="O133" i="55"/>
  <c r="N134" i="55"/>
  <c r="O134" i="55"/>
  <c r="N135" i="55"/>
  <c r="O135" i="55"/>
  <c r="N136" i="55"/>
  <c r="O136" i="55"/>
  <c r="N137" i="55"/>
  <c r="O137" i="55"/>
  <c r="N138" i="55"/>
  <c r="O138" i="55"/>
  <c r="N139" i="55"/>
  <c r="O139" i="55"/>
  <c r="N140" i="55"/>
  <c r="O140" i="55"/>
  <c r="N141" i="55"/>
  <c r="O141" i="55"/>
  <c r="N142" i="55"/>
  <c r="O142" i="55"/>
  <c r="N143" i="55"/>
  <c r="O143" i="55"/>
  <c r="N144" i="55"/>
  <c r="O144" i="55"/>
  <c r="N145" i="55"/>
  <c r="O145" i="55"/>
  <c r="N146" i="55"/>
  <c r="O146" i="55"/>
  <c r="N147" i="55"/>
  <c r="O147" i="55"/>
  <c r="N148" i="55"/>
  <c r="O148" i="55"/>
  <c r="N149" i="55"/>
  <c r="O149" i="55"/>
  <c r="N150" i="55"/>
  <c r="O150" i="55"/>
  <c r="N151" i="55"/>
  <c r="O151" i="55"/>
  <c r="N152" i="55"/>
  <c r="O152" i="55"/>
  <c r="N153" i="55"/>
  <c r="O153" i="55"/>
  <c r="N154" i="55"/>
  <c r="O154" i="55"/>
  <c r="N155" i="55"/>
  <c r="O155" i="55"/>
  <c r="N156" i="55"/>
  <c r="O156" i="55"/>
  <c r="N157" i="55"/>
  <c r="O157" i="55"/>
  <c r="N158" i="55"/>
  <c r="O158" i="55"/>
  <c r="N159" i="55"/>
  <c r="O159" i="55"/>
  <c r="N160" i="55"/>
  <c r="O160" i="55"/>
  <c r="N161" i="55"/>
  <c r="O161" i="55"/>
  <c r="N162" i="55"/>
  <c r="O162" i="55"/>
  <c r="N163" i="55"/>
  <c r="O163" i="55"/>
  <c r="N164" i="55"/>
  <c r="O164" i="55"/>
  <c r="N165" i="55"/>
  <c r="O165" i="55"/>
  <c r="N166" i="55"/>
  <c r="O166" i="55"/>
  <c r="N167" i="55"/>
  <c r="O167" i="55"/>
  <c r="N168" i="55"/>
  <c r="O168" i="55"/>
  <c r="N169" i="55"/>
  <c r="O169" i="55"/>
  <c r="N170" i="55"/>
  <c r="O170" i="55"/>
  <c r="N171" i="55"/>
  <c r="O171" i="55"/>
  <c r="N172" i="55"/>
  <c r="O172" i="55"/>
  <c r="N173" i="55"/>
  <c r="O173" i="55"/>
  <c r="N174" i="55"/>
  <c r="O174" i="55"/>
  <c r="N175" i="55"/>
  <c r="O175" i="55"/>
  <c r="N176" i="55"/>
  <c r="O176" i="55"/>
  <c r="N177" i="55"/>
  <c r="O177" i="55"/>
  <c r="N178" i="55"/>
  <c r="O178" i="55"/>
  <c r="N179" i="55"/>
  <c r="O179" i="55"/>
  <c r="N180" i="55"/>
  <c r="O180" i="55"/>
  <c r="N181" i="55"/>
  <c r="O181" i="55"/>
  <c r="N182" i="55"/>
  <c r="O182" i="55"/>
  <c r="N183" i="55"/>
  <c r="O183" i="55"/>
  <c r="N184" i="55"/>
  <c r="O184" i="55"/>
  <c r="N185" i="55"/>
  <c r="O185" i="55"/>
  <c r="N186" i="55"/>
  <c r="O186" i="55"/>
  <c r="N187" i="55"/>
  <c r="O187" i="55"/>
  <c r="N188" i="55"/>
  <c r="O188" i="55"/>
  <c r="N189" i="55"/>
  <c r="O189" i="55"/>
  <c r="N190" i="55"/>
  <c r="O190" i="55"/>
  <c r="N191" i="55"/>
  <c r="O191" i="55"/>
  <c r="N192" i="55"/>
  <c r="O192" i="55"/>
  <c r="N193" i="55"/>
  <c r="O193" i="55"/>
  <c r="N194" i="55"/>
  <c r="O194" i="55"/>
  <c r="N195" i="55"/>
  <c r="O195" i="55"/>
  <c r="N196" i="55"/>
  <c r="O196" i="55"/>
  <c r="N197" i="55"/>
  <c r="O197" i="55"/>
  <c r="N198" i="55"/>
  <c r="O198" i="55"/>
  <c r="N199" i="55"/>
  <c r="O199" i="55"/>
  <c r="N200" i="55"/>
  <c r="O200" i="55"/>
  <c r="N201" i="55"/>
  <c r="O201" i="55"/>
  <c r="N202" i="55"/>
  <c r="O202" i="55"/>
  <c r="N203" i="55"/>
  <c r="O203" i="55"/>
  <c r="N204" i="55"/>
  <c r="O204" i="55"/>
  <c r="N205" i="55"/>
  <c r="O205" i="55"/>
  <c r="N206" i="55"/>
  <c r="O206" i="55"/>
  <c r="N207" i="55"/>
  <c r="O207" i="55"/>
  <c r="N208" i="55"/>
  <c r="O208" i="55"/>
  <c r="N209" i="55"/>
  <c r="O209" i="55"/>
  <c r="N210" i="55"/>
  <c r="O210" i="55"/>
  <c r="N211" i="55"/>
  <c r="O211" i="55"/>
  <c r="N212" i="55"/>
  <c r="O212" i="55"/>
  <c r="N213" i="55"/>
  <c r="O213" i="55"/>
  <c r="N214" i="55"/>
  <c r="O214" i="55"/>
  <c r="N215" i="55"/>
  <c r="O215" i="55"/>
  <c r="N216" i="55"/>
  <c r="O216" i="55"/>
  <c r="N217" i="55"/>
  <c r="O217" i="55"/>
  <c r="N218" i="55"/>
  <c r="O218" i="55"/>
  <c r="N219" i="55"/>
  <c r="O219" i="55"/>
  <c r="N220" i="55"/>
  <c r="O220" i="55"/>
  <c r="N221" i="55"/>
  <c r="O221" i="55"/>
  <c r="N222" i="55"/>
  <c r="O222" i="55"/>
  <c r="N223" i="55"/>
  <c r="O223" i="55"/>
  <c r="N224" i="55"/>
  <c r="O224" i="55"/>
  <c r="N225" i="55"/>
  <c r="O225" i="55"/>
  <c r="N226" i="55"/>
  <c r="O226" i="55"/>
  <c r="N227" i="55"/>
  <c r="O227" i="55"/>
  <c r="N228" i="55"/>
  <c r="O228" i="55"/>
  <c r="N229" i="55"/>
  <c r="O229" i="55"/>
  <c r="N230" i="55"/>
  <c r="O230" i="55"/>
  <c r="N231" i="55"/>
  <c r="O231" i="55"/>
  <c r="N232" i="55"/>
  <c r="O232" i="55"/>
  <c r="N233" i="55"/>
  <c r="O233" i="55"/>
  <c r="N234" i="55"/>
  <c r="O234" i="55"/>
  <c r="N235" i="55"/>
  <c r="O235" i="55"/>
  <c r="N236" i="55"/>
  <c r="O236" i="55"/>
  <c r="N237" i="55"/>
  <c r="O237" i="55"/>
  <c r="N238" i="55"/>
  <c r="O238" i="55"/>
  <c r="N239" i="55"/>
  <c r="O239" i="55"/>
  <c r="N240" i="55"/>
  <c r="O240" i="55"/>
  <c r="N241" i="55"/>
  <c r="O241" i="55"/>
  <c r="N242" i="55"/>
  <c r="O242" i="55"/>
  <c r="N243" i="55"/>
  <c r="O243" i="55"/>
  <c r="N244" i="55"/>
  <c r="O244" i="55"/>
  <c r="N245" i="55"/>
  <c r="O245" i="55"/>
  <c r="N246" i="55"/>
  <c r="O246" i="55"/>
  <c r="N247" i="55"/>
  <c r="O247" i="55"/>
  <c r="N248" i="55"/>
  <c r="O248" i="55"/>
  <c r="N249" i="55"/>
  <c r="O249" i="55"/>
  <c r="N250" i="55"/>
  <c r="O250" i="55"/>
  <c r="N251" i="55"/>
  <c r="O251" i="55"/>
  <c r="N252" i="55"/>
  <c r="O252" i="55"/>
  <c r="N253" i="55"/>
  <c r="O253" i="55"/>
  <c r="N254" i="55"/>
  <c r="O254" i="55"/>
  <c r="N255" i="55"/>
  <c r="O255" i="55"/>
  <c r="N256" i="55"/>
  <c r="O256" i="55"/>
  <c r="N257" i="55"/>
  <c r="O257" i="55"/>
  <c r="N258" i="55"/>
  <c r="O258" i="55"/>
  <c r="N259" i="55"/>
  <c r="O259" i="55"/>
  <c r="N260" i="55"/>
  <c r="O260" i="55"/>
  <c r="N261" i="55"/>
  <c r="O261" i="55"/>
  <c r="N262" i="55"/>
  <c r="O262" i="55"/>
  <c r="N263" i="55"/>
  <c r="O263" i="55"/>
  <c r="N264" i="55"/>
  <c r="O264" i="55"/>
  <c r="N265" i="55"/>
  <c r="O265" i="55"/>
  <c r="N266" i="55"/>
  <c r="O266" i="55"/>
  <c r="N267" i="55"/>
  <c r="O267" i="55"/>
  <c r="N268" i="55"/>
  <c r="O268" i="55"/>
  <c r="N269" i="55"/>
  <c r="O269" i="55"/>
  <c r="N270" i="55"/>
  <c r="O270" i="55"/>
  <c r="N271" i="55"/>
  <c r="O271" i="55"/>
  <c r="N272" i="55"/>
  <c r="O272" i="55"/>
  <c r="N273" i="55"/>
  <c r="O273" i="55"/>
  <c r="N274" i="55"/>
  <c r="O274" i="55"/>
  <c r="N275" i="55"/>
  <c r="O275" i="55"/>
  <c r="N276" i="55"/>
  <c r="O276" i="55"/>
  <c r="N277" i="55"/>
  <c r="O277" i="55"/>
  <c r="N278" i="55"/>
  <c r="O278" i="55"/>
  <c r="N279" i="55"/>
  <c r="O279" i="55"/>
  <c r="N280" i="55"/>
  <c r="O280" i="55"/>
  <c r="N281" i="55"/>
  <c r="O281" i="55"/>
  <c r="N282" i="55"/>
  <c r="O282" i="55"/>
  <c r="N283" i="55"/>
  <c r="O283" i="55"/>
  <c r="N284" i="55"/>
  <c r="O284" i="55"/>
  <c r="N285" i="55"/>
  <c r="O285" i="55"/>
  <c r="N286" i="55"/>
  <c r="O286" i="55"/>
  <c r="N287" i="55"/>
  <c r="O287" i="55"/>
  <c r="N288" i="55"/>
  <c r="O288" i="55"/>
  <c r="N289" i="55"/>
  <c r="O289" i="55"/>
  <c r="N290" i="55"/>
  <c r="O290" i="55"/>
  <c r="N291" i="55"/>
  <c r="O291" i="55"/>
  <c r="N292" i="55"/>
  <c r="O292" i="55"/>
  <c r="N293" i="55"/>
  <c r="O293" i="55"/>
  <c r="N294" i="55"/>
  <c r="O294" i="55"/>
  <c r="N295" i="55"/>
  <c r="O295" i="55"/>
  <c r="N296" i="55"/>
  <c r="O296" i="55"/>
  <c r="N297" i="55"/>
  <c r="O297" i="55"/>
  <c r="N298" i="55"/>
  <c r="O298" i="55"/>
  <c r="N299" i="55"/>
  <c r="O299" i="55"/>
  <c r="N300" i="55"/>
  <c r="O300" i="55"/>
  <c r="N301" i="55"/>
  <c r="O301" i="55"/>
  <c r="N302" i="55"/>
  <c r="O302" i="55"/>
  <c r="N303" i="55"/>
  <c r="O303" i="55"/>
  <c r="N304" i="55"/>
  <c r="O304" i="55"/>
  <c r="N305" i="55"/>
  <c r="O305" i="55"/>
  <c r="N306" i="55"/>
  <c r="O306" i="55"/>
  <c r="N307" i="55"/>
  <c r="O307" i="55"/>
  <c r="N308" i="55"/>
  <c r="O308" i="55"/>
  <c r="N309" i="55"/>
  <c r="O309" i="55"/>
  <c r="N310" i="55"/>
  <c r="O310" i="55"/>
  <c r="N311" i="55"/>
  <c r="O311" i="55"/>
  <c r="N312" i="55"/>
  <c r="O312" i="55"/>
  <c r="N313" i="55"/>
  <c r="O313" i="55"/>
  <c r="N314" i="55"/>
  <c r="O314" i="55"/>
  <c r="N315" i="55"/>
  <c r="O315" i="55"/>
  <c r="N316" i="55"/>
  <c r="O316" i="55"/>
  <c r="N317" i="55"/>
  <c r="O317" i="55"/>
  <c r="N318" i="55"/>
  <c r="O318" i="55"/>
  <c r="N319" i="55"/>
  <c r="O319" i="55"/>
  <c r="N320" i="55"/>
  <c r="O320" i="55"/>
  <c r="N7" i="55"/>
  <c r="M7" i="55"/>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M55" i="55"/>
  <c r="M56" i="55"/>
  <c r="M57" i="55"/>
  <c r="M58" i="55"/>
  <c r="M59" i="55"/>
  <c r="M60" i="55"/>
  <c r="M61" i="55"/>
  <c r="M62" i="55"/>
  <c r="M63" i="55"/>
  <c r="M64" i="55"/>
  <c r="M65" i="55"/>
  <c r="M66" i="55"/>
  <c r="M67" i="55"/>
  <c r="M68" i="55"/>
  <c r="M69" i="55"/>
  <c r="M70" i="55"/>
  <c r="M71" i="55"/>
  <c r="M72" i="55"/>
  <c r="M73" i="55"/>
  <c r="M74" i="55"/>
  <c r="M75" i="55"/>
  <c r="M76" i="55"/>
  <c r="M77" i="55"/>
  <c r="M78" i="55"/>
  <c r="M79" i="55"/>
  <c r="M80" i="55"/>
  <c r="M81" i="55"/>
  <c r="M82" i="55"/>
  <c r="M83" i="55"/>
  <c r="M84" i="55"/>
  <c r="M85" i="55"/>
  <c r="M86" i="55"/>
  <c r="M87" i="55"/>
  <c r="M88" i="55"/>
  <c r="M89" i="55"/>
  <c r="M90" i="55"/>
  <c r="M91" i="55"/>
  <c r="M92" i="55"/>
  <c r="M93" i="55"/>
  <c r="M94" i="55"/>
  <c r="M95" i="55"/>
  <c r="M96" i="55"/>
  <c r="M97" i="55"/>
  <c r="M98" i="55"/>
  <c r="M99" i="55"/>
  <c r="M100" i="55"/>
  <c r="M101" i="55"/>
  <c r="M102" i="55"/>
  <c r="M103" i="55"/>
  <c r="M104" i="55"/>
  <c r="M105" i="55"/>
  <c r="M106" i="55"/>
  <c r="M107" i="55"/>
  <c r="M108" i="55"/>
  <c r="M109" i="55"/>
  <c r="M110" i="55"/>
  <c r="M111" i="55"/>
  <c r="M112" i="55"/>
  <c r="M113" i="55"/>
  <c r="M114" i="55"/>
  <c r="M115" i="55"/>
  <c r="M116" i="55"/>
  <c r="M117" i="55"/>
  <c r="M118" i="55"/>
  <c r="M119" i="55"/>
  <c r="M120" i="55"/>
  <c r="M121" i="55"/>
  <c r="M122" i="55"/>
  <c r="M123" i="55"/>
  <c r="M124" i="55"/>
  <c r="M125" i="55"/>
  <c r="M126" i="55"/>
  <c r="M127" i="55"/>
  <c r="M128" i="55"/>
  <c r="M129" i="55"/>
  <c r="M130" i="55"/>
  <c r="M131" i="55"/>
  <c r="M132" i="55"/>
  <c r="M133" i="55"/>
  <c r="M134" i="55"/>
  <c r="M135" i="55"/>
  <c r="M136" i="55"/>
  <c r="M137" i="55"/>
  <c r="M138" i="55"/>
  <c r="M139" i="55"/>
  <c r="M140" i="55"/>
  <c r="M141" i="55"/>
  <c r="M142" i="55"/>
  <c r="M143" i="55"/>
  <c r="M144" i="55"/>
  <c r="M145" i="55"/>
  <c r="M146" i="55"/>
  <c r="M147" i="55"/>
  <c r="M148" i="55"/>
  <c r="M149" i="55"/>
  <c r="M150" i="55"/>
  <c r="M151" i="55"/>
  <c r="M152" i="55"/>
  <c r="M153" i="55"/>
  <c r="M154" i="55"/>
  <c r="M155" i="55"/>
  <c r="M156" i="55"/>
  <c r="M157" i="55"/>
  <c r="M158" i="55"/>
  <c r="M159" i="55"/>
  <c r="M160" i="55"/>
  <c r="M161" i="55"/>
  <c r="M162" i="55"/>
  <c r="M163" i="55"/>
  <c r="M164" i="55"/>
  <c r="M165" i="55"/>
  <c r="M166" i="55"/>
  <c r="M167" i="55"/>
  <c r="M168" i="55"/>
  <c r="M169" i="55"/>
  <c r="M170" i="55"/>
  <c r="M171" i="55"/>
  <c r="M172" i="55"/>
  <c r="M173" i="55"/>
  <c r="M174" i="55"/>
  <c r="M175" i="55"/>
  <c r="M176" i="55"/>
  <c r="M177" i="55"/>
  <c r="M178" i="55"/>
  <c r="M179" i="55"/>
  <c r="M180" i="55"/>
  <c r="M181" i="55"/>
  <c r="M182" i="55"/>
  <c r="M183" i="55"/>
  <c r="M184" i="55"/>
  <c r="M185" i="55"/>
  <c r="M186" i="55"/>
  <c r="M187" i="55"/>
  <c r="M188" i="55"/>
  <c r="M189" i="55"/>
  <c r="M190" i="55"/>
  <c r="M191" i="55"/>
  <c r="M192" i="55"/>
  <c r="M193" i="55"/>
  <c r="M194" i="55"/>
  <c r="M195" i="55"/>
  <c r="M196" i="55"/>
  <c r="M197" i="55"/>
  <c r="M198" i="55"/>
  <c r="M199" i="55"/>
  <c r="M200" i="55"/>
  <c r="M201" i="55"/>
  <c r="M202" i="55"/>
  <c r="M203" i="55"/>
  <c r="M204" i="55"/>
  <c r="M205" i="55"/>
  <c r="M206" i="55"/>
  <c r="M207" i="55"/>
  <c r="M208" i="55"/>
  <c r="M209" i="55"/>
  <c r="M210" i="55"/>
  <c r="M211" i="55"/>
  <c r="M212" i="55"/>
  <c r="M213" i="55"/>
  <c r="M214" i="55"/>
  <c r="M215" i="55"/>
  <c r="M216" i="55"/>
  <c r="M217" i="55"/>
  <c r="M218" i="55"/>
  <c r="M219" i="55"/>
  <c r="M220" i="55"/>
  <c r="M221" i="55"/>
  <c r="M222" i="55"/>
  <c r="M223" i="55"/>
  <c r="M224" i="55"/>
  <c r="M225" i="55"/>
  <c r="M226" i="55"/>
  <c r="M227" i="55"/>
  <c r="M228" i="55"/>
  <c r="M229" i="55"/>
  <c r="M230" i="55"/>
  <c r="M231" i="55"/>
  <c r="M232" i="55"/>
  <c r="M233" i="55"/>
  <c r="M234" i="55"/>
  <c r="M235" i="55"/>
  <c r="M236" i="55"/>
  <c r="M237" i="55"/>
  <c r="M238" i="55"/>
  <c r="M239" i="55"/>
  <c r="M240" i="55"/>
  <c r="M241" i="55"/>
  <c r="M242" i="55"/>
  <c r="M243" i="55"/>
  <c r="M244" i="55"/>
  <c r="M245" i="55"/>
  <c r="M246" i="55"/>
  <c r="M247" i="55"/>
  <c r="M248" i="55"/>
  <c r="M249" i="55"/>
  <c r="M250" i="55"/>
  <c r="M251" i="55"/>
  <c r="M252" i="55"/>
  <c r="M253" i="55"/>
  <c r="M254" i="55"/>
  <c r="M255" i="55"/>
  <c r="M256" i="55"/>
  <c r="M257" i="55"/>
  <c r="M258" i="55"/>
  <c r="M259" i="55"/>
  <c r="M260" i="55"/>
  <c r="M261" i="55"/>
  <c r="M262" i="55"/>
  <c r="M263" i="55"/>
  <c r="M264" i="55"/>
  <c r="M265" i="55"/>
  <c r="M266" i="55"/>
  <c r="M267" i="55"/>
  <c r="M268" i="55"/>
  <c r="M269" i="55"/>
  <c r="M270" i="55"/>
  <c r="M271" i="55"/>
  <c r="M272" i="55"/>
  <c r="M273" i="55"/>
  <c r="M274" i="55"/>
  <c r="M275" i="55"/>
  <c r="M276" i="55"/>
  <c r="M277" i="55"/>
  <c r="M278" i="55"/>
  <c r="M279" i="55"/>
  <c r="M280" i="55"/>
  <c r="M281" i="55"/>
  <c r="M282" i="55"/>
  <c r="M283" i="55"/>
  <c r="M284" i="55"/>
  <c r="M285" i="55"/>
  <c r="M286" i="55"/>
  <c r="M287" i="55"/>
  <c r="M288" i="55"/>
  <c r="M289" i="55"/>
  <c r="M290" i="55"/>
  <c r="M291" i="55"/>
  <c r="M292" i="55"/>
  <c r="M293" i="55"/>
  <c r="M294" i="55"/>
  <c r="M295" i="55"/>
  <c r="M296" i="55"/>
  <c r="M297" i="55"/>
  <c r="M298" i="55"/>
  <c r="M299" i="55"/>
  <c r="M300" i="55"/>
  <c r="M301" i="55"/>
  <c r="M302" i="55"/>
  <c r="M303" i="55"/>
  <c r="M304" i="55"/>
  <c r="M305" i="55"/>
  <c r="M306" i="55"/>
  <c r="M307" i="55"/>
  <c r="M308" i="55"/>
  <c r="M309" i="55"/>
  <c r="M310" i="55"/>
  <c r="M311" i="55"/>
  <c r="M312" i="55"/>
  <c r="M313" i="55"/>
  <c r="M314" i="55"/>
  <c r="M315" i="55"/>
  <c r="M316" i="55"/>
  <c r="M317" i="55"/>
  <c r="M318" i="55"/>
  <c r="M319" i="55"/>
  <c r="M320" i="55"/>
  <c r="J7" i="55"/>
  <c r="J8" i="55"/>
  <c r="K8" i="55"/>
  <c r="J9" i="55"/>
  <c r="K9" i="55"/>
  <c r="J10" i="55"/>
  <c r="K10" i="55"/>
  <c r="J11" i="55"/>
  <c r="K11" i="55"/>
  <c r="J12" i="55"/>
  <c r="K12" i="55"/>
  <c r="J13" i="55"/>
  <c r="K13" i="55"/>
  <c r="J14" i="55"/>
  <c r="K14" i="55"/>
  <c r="J15" i="55"/>
  <c r="K15" i="55"/>
  <c r="J16" i="55"/>
  <c r="K16" i="55"/>
  <c r="J17" i="55"/>
  <c r="K17" i="55"/>
  <c r="J18" i="55"/>
  <c r="K18" i="55"/>
  <c r="J19" i="55"/>
  <c r="K19" i="55"/>
  <c r="J20" i="55"/>
  <c r="K20" i="55"/>
  <c r="J21"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J147" i="55"/>
  <c r="K147" i="55"/>
  <c r="J148" i="55"/>
  <c r="K148" i="55"/>
  <c r="J149" i="55"/>
  <c r="K149" i="55"/>
  <c r="J150"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72" i="55"/>
  <c r="K172" i="55"/>
  <c r="J173" i="55"/>
  <c r="K173" i="55"/>
  <c r="J174" i="55"/>
  <c r="K174" i="55"/>
  <c r="J175" i="55"/>
  <c r="K175" i="55"/>
  <c r="J176" i="55"/>
  <c r="K176" i="55"/>
  <c r="J177" i="55"/>
  <c r="K177" i="55"/>
  <c r="J178" i="55"/>
  <c r="K178" i="55"/>
  <c r="J179" i="55"/>
  <c r="K179" i="55"/>
  <c r="J180"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22" i="55"/>
  <c r="K222" i="55"/>
  <c r="J223" i="55"/>
  <c r="K223" i="55"/>
  <c r="J224" i="55"/>
  <c r="K224" i="55"/>
  <c r="J225" i="55"/>
  <c r="K225" i="55"/>
  <c r="J226" i="55"/>
  <c r="K226" i="55"/>
  <c r="J227" i="55"/>
  <c r="K227" i="55"/>
  <c r="J228" i="55"/>
  <c r="K228" i="55"/>
  <c r="J229" i="55"/>
  <c r="K229" i="55"/>
  <c r="J230" i="55"/>
  <c r="K230" i="55"/>
  <c r="J231" i="55"/>
  <c r="K231" i="55"/>
  <c r="J232" i="55"/>
  <c r="K232" i="55"/>
  <c r="J233" i="55"/>
  <c r="K233" i="55"/>
  <c r="J234" i="55"/>
  <c r="K234" i="55"/>
  <c r="J235" i="55"/>
  <c r="K235" i="55"/>
  <c r="J236" i="55"/>
  <c r="K236" i="55"/>
  <c r="J237" i="55"/>
  <c r="K237" i="55"/>
  <c r="J238" i="55"/>
  <c r="K238" i="55"/>
  <c r="J239" i="55"/>
  <c r="D21" i="32" s="1"/>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15" i="55"/>
  <c r="K315" i="55"/>
  <c r="J316" i="55"/>
  <c r="K316" i="55"/>
  <c r="J317" i="55"/>
  <c r="K317" i="55"/>
  <c r="J318" i="55"/>
  <c r="K318" i="55"/>
  <c r="J319" i="55"/>
  <c r="K319" i="55"/>
  <c r="J320" i="55"/>
  <c r="K320" i="55"/>
  <c r="K7" i="55"/>
  <c r="E7" i="55"/>
  <c r="F7" i="55" s="1"/>
  <c r="E8" i="55"/>
  <c r="E9" i="55"/>
  <c r="E10" i="55"/>
  <c r="E11" i="55"/>
  <c r="E12" i="55"/>
  <c r="E13" i="55"/>
  <c r="E14" i="55"/>
  <c r="E15" i="55"/>
  <c r="E16" i="55"/>
  <c r="E17" i="55"/>
  <c r="E18" i="55"/>
  <c r="E19" i="55"/>
  <c r="E20" i="55"/>
  <c r="E21" i="55"/>
  <c r="E22" i="55"/>
  <c r="E23" i="55"/>
  <c r="E24" i="55"/>
  <c r="E25" i="55"/>
  <c r="E26" i="55"/>
  <c r="E27" i="55"/>
  <c r="E28" i="55"/>
  <c r="E29" i="55"/>
  <c r="E30" i="55"/>
  <c r="E31" i="55"/>
  <c r="E32" i="55"/>
  <c r="E33" i="55"/>
  <c r="E34" i="55"/>
  <c r="E35" i="55"/>
  <c r="E36" i="55"/>
  <c r="E37" i="55"/>
  <c r="E38" i="55"/>
  <c r="E39" i="55"/>
  <c r="E40" i="55"/>
  <c r="E41" i="55"/>
  <c r="E42" i="55"/>
  <c r="E43" i="55"/>
  <c r="E44" i="55"/>
  <c r="E45" i="55"/>
  <c r="E46" i="55"/>
  <c r="E47" i="55"/>
  <c r="E48" i="55"/>
  <c r="E49" i="55"/>
  <c r="E50" i="55"/>
  <c r="E51" i="55"/>
  <c r="E52" i="55"/>
  <c r="E53" i="55"/>
  <c r="E54" i="55"/>
  <c r="E55" i="55"/>
  <c r="E56" i="55"/>
  <c r="E57" i="55"/>
  <c r="E58" i="55"/>
  <c r="E59" i="55"/>
  <c r="E60" i="55"/>
  <c r="E61" i="55"/>
  <c r="E62" i="55"/>
  <c r="E63" i="55"/>
  <c r="E64" i="55"/>
  <c r="E65" i="55"/>
  <c r="E66" i="55"/>
  <c r="E67" i="55"/>
  <c r="E68" i="55"/>
  <c r="E69" i="55"/>
  <c r="E70" i="55"/>
  <c r="E71" i="55"/>
  <c r="E72" i="55"/>
  <c r="E73" i="55"/>
  <c r="E74" i="55"/>
  <c r="E75" i="55"/>
  <c r="E76" i="55"/>
  <c r="E77" i="55"/>
  <c r="E78" i="55"/>
  <c r="E79" i="55"/>
  <c r="E80" i="55"/>
  <c r="E81" i="55"/>
  <c r="E82" i="55"/>
  <c r="E83" i="55"/>
  <c r="E84" i="55"/>
  <c r="E85" i="55"/>
  <c r="E86" i="55"/>
  <c r="E87" i="55"/>
  <c r="E88" i="55"/>
  <c r="E89" i="55"/>
  <c r="E90" i="55"/>
  <c r="E91" i="55"/>
  <c r="E92" i="55"/>
  <c r="E93" i="55"/>
  <c r="E94" i="55"/>
  <c r="E95" i="55"/>
  <c r="E96" i="55"/>
  <c r="E97" i="55"/>
  <c r="E98" i="55"/>
  <c r="E99" i="55"/>
  <c r="E100" i="55"/>
  <c r="E101" i="55"/>
  <c r="E102" i="55"/>
  <c r="E103" i="55"/>
  <c r="E104" i="55"/>
  <c r="E105" i="55"/>
  <c r="E106" i="55"/>
  <c r="E107" i="55"/>
  <c r="E108" i="55"/>
  <c r="E109" i="55"/>
  <c r="E110" i="55"/>
  <c r="E111" i="55"/>
  <c r="E112" i="55"/>
  <c r="E113" i="55"/>
  <c r="E114" i="55"/>
  <c r="E115" i="55"/>
  <c r="E116" i="55"/>
  <c r="E117" i="55"/>
  <c r="E118" i="55"/>
  <c r="E119" i="55"/>
  <c r="E120" i="55"/>
  <c r="E121" i="55"/>
  <c r="E122" i="55"/>
  <c r="E123" i="55"/>
  <c r="E124" i="55"/>
  <c r="E125" i="55"/>
  <c r="E126" i="55"/>
  <c r="E127" i="55"/>
  <c r="E128" i="55"/>
  <c r="E129" i="55"/>
  <c r="E130" i="55"/>
  <c r="E131" i="55"/>
  <c r="E132" i="55"/>
  <c r="E133" i="55"/>
  <c r="E134" i="55"/>
  <c r="E135" i="55"/>
  <c r="E136" i="55"/>
  <c r="E137" i="55"/>
  <c r="E138" i="55"/>
  <c r="E139" i="55"/>
  <c r="E140" i="55"/>
  <c r="E141" i="55"/>
  <c r="E142" i="55"/>
  <c r="E143" i="55"/>
  <c r="E144" i="55"/>
  <c r="E145" i="55"/>
  <c r="E146" i="55"/>
  <c r="E147" i="55"/>
  <c r="E148" i="55"/>
  <c r="E149" i="55"/>
  <c r="E150" i="55"/>
  <c r="E151" i="55"/>
  <c r="E152" i="55"/>
  <c r="E153" i="55"/>
  <c r="E154" i="55"/>
  <c r="E155" i="55"/>
  <c r="E156" i="55"/>
  <c r="E157" i="55"/>
  <c r="E158" i="55"/>
  <c r="E159" i="55"/>
  <c r="E160" i="55"/>
  <c r="E161" i="55"/>
  <c r="E162" i="55"/>
  <c r="E163" i="55"/>
  <c r="E164" i="55"/>
  <c r="E165" i="55"/>
  <c r="E166" i="55"/>
  <c r="E167" i="55"/>
  <c r="E168" i="55"/>
  <c r="E169" i="55"/>
  <c r="E170" i="55"/>
  <c r="E171" i="55"/>
  <c r="E172" i="55"/>
  <c r="E173" i="55"/>
  <c r="E174" i="55"/>
  <c r="E175" i="55"/>
  <c r="E176" i="55"/>
  <c r="E177" i="55"/>
  <c r="E178" i="55"/>
  <c r="E179" i="55"/>
  <c r="E180" i="55"/>
  <c r="E181" i="55"/>
  <c r="E182" i="55"/>
  <c r="E183" i="55"/>
  <c r="E184" i="55"/>
  <c r="E185" i="55"/>
  <c r="E186" i="55"/>
  <c r="E187" i="55"/>
  <c r="E188" i="55"/>
  <c r="E189" i="55"/>
  <c r="E190" i="55"/>
  <c r="E191" i="55"/>
  <c r="E192" i="55"/>
  <c r="E193" i="55"/>
  <c r="E194" i="55"/>
  <c r="E195" i="55"/>
  <c r="E196" i="55"/>
  <c r="E197" i="55"/>
  <c r="E198" i="55"/>
  <c r="E199" i="55"/>
  <c r="E200" i="55"/>
  <c r="E201" i="55"/>
  <c r="E202" i="55"/>
  <c r="E203" i="55"/>
  <c r="E204" i="55"/>
  <c r="E205" i="55"/>
  <c r="E206" i="55"/>
  <c r="E207" i="55"/>
  <c r="E208" i="55"/>
  <c r="E209" i="55"/>
  <c r="E210" i="55"/>
  <c r="E211" i="55"/>
  <c r="E212" i="55"/>
  <c r="E213" i="55"/>
  <c r="E214" i="55"/>
  <c r="E215" i="55"/>
  <c r="E216" i="55"/>
  <c r="E217" i="55"/>
  <c r="E218" i="55"/>
  <c r="E219" i="55"/>
  <c r="E220" i="55"/>
  <c r="E221" i="55"/>
  <c r="E222" i="55"/>
  <c r="E223" i="55"/>
  <c r="E224" i="55"/>
  <c r="E225" i="55"/>
  <c r="E226" i="55"/>
  <c r="E227" i="55"/>
  <c r="E228" i="55"/>
  <c r="E229" i="55"/>
  <c r="E230" i="55"/>
  <c r="E231" i="55"/>
  <c r="E232" i="55"/>
  <c r="E233" i="55"/>
  <c r="E234" i="55"/>
  <c r="E235" i="55"/>
  <c r="E236" i="55"/>
  <c r="E237" i="55"/>
  <c r="E238" i="55"/>
  <c r="E239" i="55"/>
  <c r="E240" i="55"/>
  <c r="E241" i="55"/>
  <c r="E242" i="55"/>
  <c r="E243" i="55"/>
  <c r="E244" i="55"/>
  <c r="E245" i="55"/>
  <c r="E246" i="55"/>
  <c r="E247" i="55"/>
  <c r="E248" i="55"/>
  <c r="E249" i="55"/>
  <c r="E250" i="55"/>
  <c r="E251" i="55"/>
  <c r="E252" i="55"/>
  <c r="E253" i="55"/>
  <c r="E254" i="55"/>
  <c r="E255" i="55"/>
  <c r="E256" i="55"/>
  <c r="E257" i="55"/>
  <c r="E258" i="55"/>
  <c r="E259" i="55"/>
  <c r="E260" i="55"/>
  <c r="E261" i="55"/>
  <c r="E262" i="55"/>
  <c r="E263" i="55"/>
  <c r="E264" i="55"/>
  <c r="E265" i="55"/>
  <c r="E266" i="55"/>
  <c r="E267" i="55"/>
  <c r="E268" i="55"/>
  <c r="E269" i="55"/>
  <c r="E270" i="55"/>
  <c r="E271" i="55"/>
  <c r="E272" i="55"/>
  <c r="E273" i="55"/>
  <c r="E274" i="55"/>
  <c r="E275" i="55"/>
  <c r="E276" i="55"/>
  <c r="E277" i="55"/>
  <c r="E278" i="55"/>
  <c r="E279" i="55"/>
  <c r="E280" i="55"/>
  <c r="E281" i="55"/>
  <c r="E282" i="55"/>
  <c r="E283" i="55"/>
  <c r="E284" i="55"/>
  <c r="E285" i="55"/>
  <c r="E286" i="55"/>
  <c r="E287" i="55"/>
  <c r="E288" i="55"/>
  <c r="E289" i="55"/>
  <c r="E290" i="55"/>
  <c r="E291" i="55"/>
  <c r="E292" i="55"/>
  <c r="E293" i="55"/>
  <c r="E294" i="55"/>
  <c r="E295" i="55"/>
  <c r="E296" i="55"/>
  <c r="E297" i="55"/>
  <c r="E298" i="55"/>
  <c r="E299" i="55"/>
  <c r="E300" i="55"/>
  <c r="E301" i="55"/>
  <c r="E302" i="55"/>
  <c r="E303" i="55"/>
  <c r="E304" i="55"/>
  <c r="E305" i="55"/>
  <c r="E306" i="55"/>
  <c r="E307" i="55"/>
  <c r="E308" i="55"/>
  <c r="E309" i="55"/>
  <c r="E310" i="55"/>
  <c r="E311" i="55"/>
  <c r="E312" i="55"/>
  <c r="E313" i="55"/>
  <c r="E314" i="55"/>
  <c r="E315" i="55"/>
  <c r="E316" i="55"/>
  <c r="E317" i="55"/>
  <c r="E318" i="55"/>
  <c r="E319" i="55"/>
  <c r="E320" i="55"/>
  <c r="Z5" i="55"/>
  <c r="V8" i="55" l="1"/>
  <c r="U309" i="55"/>
  <c r="U305" i="55"/>
  <c r="U297" i="55"/>
  <c r="U265" i="55"/>
  <c r="U261" i="55"/>
  <c r="U233" i="55"/>
  <c r="U225" i="55"/>
  <c r="U221" i="55"/>
  <c r="U209" i="55"/>
  <c r="U189" i="55"/>
  <c r="U173" i="55"/>
  <c r="U169" i="55"/>
  <c r="U149" i="55"/>
  <c r="U141" i="55"/>
  <c r="U133" i="55"/>
  <c r="U121" i="55"/>
  <c r="U93" i="55"/>
  <c r="U85" i="55"/>
  <c r="U21" i="55"/>
  <c r="U280" i="55"/>
  <c r="U264" i="55"/>
  <c r="U256" i="55"/>
  <c r="U224" i="55"/>
  <c r="U212" i="55"/>
  <c r="U196" i="55"/>
  <c r="U176" i="55"/>
  <c r="U144" i="55"/>
  <c r="U140" i="55"/>
  <c r="U132" i="55"/>
  <c r="U124" i="55"/>
  <c r="U120" i="55"/>
  <c r="U116" i="55"/>
  <c r="U104" i="55"/>
  <c r="U92" i="55"/>
  <c r="U84" i="55"/>
  <c r="U56" i="55"/>
  <c r="U52" i="55"/>
  <c r="U36" i="55"/>
  <c r="U28" i="55"/>
  <c r="U8" i="55"/>
  <c r="U303" i="55"/>
  <c r="U295" i="55"/>
  <c r="U287" i="55"/>
  <c r="U275" i="55"/>
  <c r="U263" i="55"/>
  <c r="U255" i="55"/>
  <c r="U243" i="55"/>
  <c r="U223" i="55"/>
  <c r="U211" i="55"/>
  <c r="U175" i="55"/>
  <c r="U163" i="55"/>
  <c r="U143" i="55"/>
  <c r="U139" i="55"/>
  <c r="U123" i="55"/>
  <c r="U119" i="55"/>
  <c r="U79" i="55"/>
  <c r="U63" i="55"/>
  <c r="U59" i="55"/>
  <c r="U43" i="55"/>
  <c r="U15" i="55"/>
  <c r="U278" i="55"/>
  <c r="U258" i="55"/>
  <c r="U242" i="55"/>
  <c r="U210" i="55"/>
  <c r="U170" i="55"/>
  <c r="U154" i="55"/>
  <c r="U142" i="55"/>
  <c r="U130" i="55"/>
  <c r="U122" i="55"/>
  <c r="U118" i="55"/>
  <c r="U58" i="55"/>
  <c r="U50" i="55"/>
  <c r="U22" i="55"/>
  <c r="AG7" i="55"/>
  <c r="V320" i="55"/>
  <c r="V316" i="55"/>
  <c r="V312" i="55"/>
  <c r="V308" i="55"/>
  <c r="V304" i="55"/>
  <c r="V300" i="55"/>
  <c r="V296" i="55"/>
  <c r="V292" i="55"/>
  <c r="V288" i="55"/>
  <c r="V284" i="55"/>
  <c r="V280" i="55"/>
  <c r="V276" i="55"/>
  <c r="V272" i="55"/>
  <c r="V268" i="55"/>
  <c r="V264" i="55"/>
  <c r="V260" i="55"/>
  <c r="V256" i="55"/>
  <c r="V252" i="55"/>
  <c r="V248" i="55"/>
  <c r="V244" i="55"/>
  <c r="V240" i="55"/>
  <c r="V236" i="55"/>
  <c r="V232" i="55"/>
  <c r="V228" i="55"/>
  <c r="V224" i="55"/>
  <c r="V220" i="55"/>
  <c r="V216" i="55"/>
  <c r="V212" i="55"/>
  <c r="V208" i="55"/>
  <c r="V204" i="55"/>
  <c r="V200" i="55"/>
  <c r="V196" i="55"/>
  <c r="V192" i="55"/>
  <c r="V188" i="55"/>
  <c r="V184" i="55"/>
  <c r="V180" i="55"/>
  <c r="V176" i="55"/>
  <c r="V172" i="55"/>
  <c r="V168" i="55"/>
  <c r="V164" i="55"/>
  <c r="V160" i="55"/>
  <c r="V156" i="55"/>
  <c r="V152" i="55"/>
  <c r="V148" i="55"/>
  <c r="V144" i="55"/>
  <c r="V140" i="55"/>
  <c r="V136" i="55"/>
  <c r="V132" i="55"/>
  <c r="V128" i="55"/>
  <c r="V124" i="55"/>
  <c r="V120" i="55"/>
  <c r="V116" i="55"/>
  <c r="V112" i="55"/>
  <c r="V108" i="55"/>
  <c r="V104" i="55"/>
  <c r="V100" i="55"/>
  <c r="V96" i="55"/>
  <c r="V92" i="55"/>
  <c r="V88" i="55"/>
  <c r="V84" i="55"/>
  <c r="V80" i="55"/>
  <c r="V76" i="55"/>
  <c r="V72" i="55"/>
  <c r="V68" i="55"/>
  <c r="V64" i="55"/>
  <c r="V60" i="55"/>
  <c r="V56" i="55"/>
  <c r="V52" i="55"/>
  <c r="V48" i="55"/>
  <c r="V44" i="55"/>
  <c r="V40" i="55"/>
  <c r="V36" i="55"/>
  <c r="V32" i="55"/>
  <c r="V28" i="55"/>
  <c r="V24" i="55"/>
  <c r="V20" i="55"/>
  <c r="V16" i="55"/>
  <c r="V12" i="55"/>
  <c r="V319" i="55"/>
  <c r="V315" i="55"/>
  <c r="V311" i="55"/>
  <c r="V307" i="55"/>
  <c r="V303" i="55"/>
  <c r="V299" i="55"/>
  <c r="V295" i="55"/>
  <c r="V291" i="55"/>
  <c r="V287" i="55"/>
  <c r="V283" i="55"/>
  <c r="V279" i="55"/>
  <c r="V275" i="55"/>
  <c r="V271" i="55"/>
  <c r="V267" i="55"/>
  <c r="V263" i="55"/>
  <c r="V259" i="55"/>
  <c r="V255" i="55"/>
  <c r="V251" i="55"/>
  <c r="V247" i="55"/>
  <c r="V243" i="55"/>
  <c r="V239" i="55"/>
  <c r="V235" i="55"/>
  <c r="V231" i="55"/>
  <c r="V227" i="55"/>
  <c r="V223" i="55"/>
  <c r="V219" i="55"/>
  <c r="V215" i="55"/>
  <c r="V211" i="55"/>
  <c r="V207" i="55"/>
  <c r="V203" i="55"/>
  <c r="V199" i="55"/>
  <c r="V195" i="55"/>
  <c r="V191" i="55"/>
  <c r="V187" i="55"/>
  <c r="V183" i="55"/>
  <c r="V179" i="55"/>
  <c r="V175" i="55"/>
  <c r="V171" i="55"/>
  <c r="V167" i="55"/>
  <c r="V163" i="55"/>
  <c r="V159" i="55"/>
  <c r="V155" i="55"/>
  <c r="V151" i="55"/>
  <c r="V147" i="55"/>
  <c r="V143" i="55"/>
  <c r="V139" i="55"/>
  <c r="V135" i="55"/>
  <c r="V131" i="55"/>
  <c r="V127" i="55"/>
  <c r="V123" i="55"/>
  <c r="V119" i="55"/>
  <c r="V115" i="55"/>
  <c r="V111" i="55"/>
  <c r="V107" i="55"/>
  <c r="V103" i="55"/>
  <c r="V99" i="55"/>
  <c r="V95" i="55"/>
  <c r="V91" i="55"/>
  <c r="V87" i="55"/>
  <c r="V83" i="55"/>
  <c r="V79" i="55"/>
  <c r="V75" i="55"/>
  <c r="V71" i="55"/>
  <c r="V67" i="55"/>
  <c r="V63" i="55"/>
  <c r="V59" i="55"/>
  <c r="V55" i="55"/>
  <c r="V51" i="55"/>
  <c r="V47" i="55"/>
  <c r="V43" i="55"/>
  <c r="V39" i="55"/>
  <c r="V35" i="55"/>
  <c r="V31" i="55"/>
  <c r="V27" i="55"/>
  <c r="V23" i="55"/>
  <c r="V19" i="55"/>
  <c r="V15" i="55"/>
  <c r="V11" i="55"/>
  <c r="V7" i="55"/>
  <c r="V317" i="55"/>
  <c r="V313" i="55"/>
  <c r="V309" i="55"/>
  <c r="V305" i="55"/>
  <c r="V301" i="55"/>
  <c r="V297" i="55"/>
  <c r="V293" i="55"/>
  <c r="V289" i="55"/>
  <c r="V285" i="55"/>
  <c r="V281" i="55"/>
  <c r="V277" i="55"/>
  <c r="V273" i="55"/>
  <c r="V269" i="55"/>
  <c r="V265" i="55"/>
  <c r="V261" i="55"/>
  <c r="V257" i="55"/>
  <c r="V253" i="55"/>
  <c r="V249" i="55"/>
  <c r="V245" i="55"/>
  <c r="V241" i="55"/>
  <c r="V237" i="55"/>
  <c r="V233" i="55"/>
  <c r="V229" i="55"/>
  <c r="V225" i="55"/>
  <c r="V221" i="55"/>
  <c r="V217" i="55"/>
  <c r="V213" i="55"/>
  <c r="V209" i="55"/>
  <c r="V205" i="55"/>
  <c r="V201" i="55"/>
  <c r="V197" i="55"/>
  <c r="V193" i="55"/>
  <c r="V189" i="55"/>
  <c r="V185" i="55"/>
  <c r="V181" i="55"/>
  <c r="V177" i="55"/>
  <c r="V173" i="55"/>
  <c r="V169" i="55"/>
  <c r="V165" i="55"/>
  <c r="V161" i="55"/>
  <c r="V157" i="55"/>
  <c r="V153" i="55"/>
  <c r="V149" i="55"/>
  <c r="V145" i="55"/>
  <c r="V141" i="55"/>
  <c r="V137" i="55"/>
  <c r="V133" i="55"/>
  <c r="V129" i="55"/>
  <c r="V125" i="55"/>
  <c r="V121" i="55"/>
  <c r="V117" i="55"/>
  <c r="V113" i="55"/>
  <c r="V109" i="55"/>
  <c r="V105" i="55"/>
  <c r="V101" i="55"/>
  <c r="V97" i="55"/>
  <c r="V93" i="55"/>
  <c r="V89" i="55"/>
  <c r="V85" i="55"/>
  <c r="V81" i="55"/>
  <c r="V77" i="55"/>
  <c r="V73" i="55"/>
  <c r="V69" i="55"/>
  <c r="V65" i="55"/>
  <c r="V61" i="55"/>
  <c r="V57" i="55"/>
  <c r="V53" i="55"/>
  <c r="V49" i="55"/>
  <c r="V45" i="55"/>
  <c r="V41" i="55"/>
  <c r="V37" i="55"/>
  <c r="V33" i="55"/>
  <c r="V29" i="55"/>
  <c r="V25" i="55"/>
  <c r="V21" i="55"/>
  <c r="V17" i="55"/>
  <c r="V13" i="55"/>
  <c r="V9" i="55"/>
  <c r="V318" i="55"/>
  <c r="V314" i="55"/>
  <c r="V310" i="55"/>
  <c r="V306" i="55"/>
  <c r="V302" i="55"/>
  <c r="V298" i="55"/>
  <c r="V294" i="55"/>
  <c r="V290" i="55"/>
  <c r="V286" i="55"/>
  <c r="V282" i="55"/>
  <c r="V278" i="55"/>
  <c r="V274" i="55"/>
  <c r="V270" i="55"/>
  <c r="V266" i="55"/>
  <c r="V262" i="55"/>
  <c r="V258" i="55"/>
  <c r="V254" i="55"/>
  <c r="V250" i="55"/>
  <c r="V246" i="55"/>
  <c r="V242" i="55"/>
  <c r="V238" i="55"/>
  <c r="V234" i="55"/>
  <c r="V230" i="55"/>
  <c r="V226" i="55"/>
  <c r="V222" i="55"/>
  <c r="V218" i="55"/>
  <c r="V214" i="55"/>
  <c r="V210" i="55"/>
  <c r="V206" i="55"/>
  <c r="V202" i="55"/>
  <c r="V198" i="55"/>
  <c r="V194" i="55"/>
  <c r="V190" i="55"/>
  <c r="V186" i="55"/>
  <c r="V182" i="55"/>
  <c r="V178" i="55"/>
  <c r="V174" i="55"/>
  <c r="V170" i="55"/>
  <c r="V166" i="55"/>
  <c r="V162" i="55"/>
  <c r="V158" i="55"/>
  <c r="V154" i="55"/>
  <c r="V150" i="55"/>
  <c r="V146" i="55"/>
  <c r="V142" i="55"/>
  <c r="V138" i="55"/>
  <c r="V134" i="55"/>
  <c r="V130" i="55"/>
  <c r="V126" i="55"/>
  <c r="V122" i="55"/>
  <c r="V118" i="55"/>
  <c r="V114" i="55"/>
  <c r="V110" i="55"/>
  <c r="V106" i="55"/>
  <c r="V102" i="55"/>
  <c r="V98" i="55"/>
  <c r="V94" i="55"/>
  <c r="V90" i="55"/>
  <c r="V86" i="55"/>
  <c r="V82" i="55"/>
  <c r="V78" i="55"/>
  <c r="V74" i="55"/>
  <c r="V70" i="55"/>
  <c r="V66" i="55"/>
  <c r="V62" i="55"/>
  <c r="V58" i="55"/>
  <c r="V54" i="55"/>
  <c r="V50" i="55"/>
  <c r="V46" i="55"/>
  <c r="V42" i="55"/>
  <c r="V38" i="55"/>
  <c r="V34" i="55"/>
  <c r="V30" i="55"/>
  <c r="V26" i="55"/>
  <c r="V22" i="55"/>
  <c r="V18" i="55"/>
  <c r="V14" i="55"/>
  <c r="V10" i="55"/>
  <c r="T4" i="1" l="1"/>
  <c r="E59" i="32" l="1"/>
  <c r="D59" i="32"/>
  <c r="D33" i="32"/>
  <c r="E34" i="32"/>
  <c r="D34" i="32"/>
  <c r="D13" i="32"/>
  <c r="AN5" i="55" l="1"/>
  <c r="J4" i="54" l="1"/>
  <c r="AC317" i="78" l="1"/>
  <c r="AA317" i="78"/>
  <c r="Y317" i="78"/>
  <c r="AC316" i="78"/>
  <c r="AA316" i="78"/>
  <c r="Y316" i="78"/>
  <c r="AC315" i="78"/>
  <c r="AA315" i="78"/>
  <c r="Y315" i="78"/>
  <c r="AC314" i="78"/>
  <c r="AA314" i="78"/>
  <c r="Y314" i="78"/>
  <c r="AC313" i="78"/>
  <c r="AA313" i="78"/>
  <c r="Y313" i="78"/>
  <c r="AC312" i="78"/>
  <c r="AA312" i="78"/>
  <c r="Y312" i="78"/>
  <c r="X312" i="78"/>
  <c r="AC311" i="78"/>
  <c r="AA311" i="78"/>
  <c r="Y311" i="78"/>
  <c r="AC310" i="78"/>
  <c r="AA310" i="78"/>
  <c r="Y310" i="78"/>
  <c r="AC309" i="78"/>
  <c r="AA309" i="78"/>
  <c r="Y309" i="78"/>
  <c r="AC308" i="78"/>
  <c r="AA308" i="78"/>
  <c r="Y308" i="78"/>
  <c r="AC307" i="78"/>
  <c r="AA307" i="78"/>
  <c r="Y307" i="78"/>
  <c r="X307" i="78"/>
  <c r="AC306" i="78"/>
  <c r="AA306" i="78"/>
  <c r="Y306" i="78"/>
  <c r="AC305" i="78"/>
  <c r="AA305" i="78"/>
  <c r="Y305" i="78"/>
  <c r="AC304" i="78"/>
  <c r="AA304" i="78"/>
  <c r="Y304" i="78"/>
  <c r="AC303" i="78"/>
  <c r="AA303" i="78"/>
  <c r="Y303" i="78"/>
  <c r="X303" i="78"/>
  <c r="AC302" i="78"/>
  <c r="AA302" i="78"/>
  <c r="Y302" i="78"/>
  <c r="AC301" i="78"/>
  <c r="AA301" i="78"/>
  <c r="Y301" i="78"/>
  <c r="AC300" i="78"/>
  <c r="AA300" i="78"/>
  <c r="Y300" i="78"/>
  <c r="AC299" i="78"/>
  <c r="AA299" i="78"/>
  <c r="Y299" i="78"/>
  <c r="AC298" i="78"/>
  <c r="AA298" i="78"/>
  <c r="Y298" i="78"/>
  <c r="AC297" i="78"/>
  <c r="AA297" i="78"/>
  <c r="Y297" i="78"/>
  <c r="AC296" i="78"/>
  <c r="AA296" i="78"/>
  <c r="Y296" i="78"/>
  <c r="AC295" i="78"/>
  <c r="AA295" i="78"/>
  <c r="Y295" i="78"/>
  <c r="AC294" i="78"/>
  <c r="AA294" i="78"/>
  <c r="Y294" i="78"/>
  <c r="AC293" i="78"/>
  <c r="AA293" i="78"/>
  <c r="Y293" i="78"/>
  <c r="AC292" i="78"/>
  <c r="AA292" i="78"/>
  <c r="Y292" i="78"/>
  <c r="AC291" i="78"/>
  <c r="AA291" i="78"/>
  <c r="Y291" i="78"/>
  <c r="X291" i="78"/>
  <c r="AC290" i="78"/>
  <c r="AA290" i="78"/>
  <c r="Y290" i="78"/>
  <c r="AC289" i="78"/>
  <c r="AA289" i="78"/>
  <c r="Y289" i="78"/>
  <c r="AC288" i="78"/>
  <c r="AA288" i="78"/>
  <c r="Y288" i="78"/>
  <c r="AC287" i="78"/>
  <c r="AA287" i="78"/>
  <c r="Y287" i="78"/>
  <c r="X287" i="78"/>
  <c r="AC286" i="78"/>
  <c r="AA286" i="78"/>
  <c r="Y286" i="78"/>
  <c r="AC285" i="78"/>
  <c r="AA285" i="78"/>
  <c r="Y285" i="78"/>
  <c r="AC284" i="78"/>
  <c r="AA284" i="78"/>
  <c r="Y284" i="78"/>
  <c r="AC283" i="78"/>
  <c r="AA283" i="78"/>
  <c r="Y283" i="78"/>
  <c r="AC282" i="78"/>
  <c r="AA282" i="78"/>
  <c r="Y282" i="78"/>
  <c r="AC281" i="78"/>
  <c r="AA281" i="78"/>
  <c r="Y281" i="78"/>
  <c r="AC280" i="78"/>
  <c r="AA280" i="78"/>
  <c r="Y280" i="78"/>
  <c r="X280" i="78"/>
  <c r="AC279" i="78"/>
  <c r="AA279" i="78"/>
  <c r="Y279" i="78"/>
  <c r="AC278" i="78"/>
  <c r="AA278" i="78"/>
  <c r="Y278" i="78"/>
  <c r="AC277" i="78"/>
  <c r="AA277" i="78"/>
  <c r="Y277" i="78"/>
  <c r="AC276" i="78"/>
  <c r="AA276" i="78"/>
  <c r="Y276" i="78"/>
  <c r="AC275" i="78"/>
  <c r="AA275" i="78"/>
  <c r="Y275" i="78"/>
  <c r="AC274" i="78"/>
  <c r="AA274" i="78"/>
  <c r="Y274" i="78"/>
  <c r="AC273" i="78"/>
  <c r="AA273" i="78"/>
  <c r="Y273" i="78"/>
  <c r="AC272" i="78"/>
  <c r="AA272" i="78"/>
  <c r="Y272" i="78"/>
  <c r="AC271" i="78"/>
  <c r="AA271" i="78"/>
  <c r="Y271" i="78"/>
  <c r="AC270" i="78"/>
  <c r="AA270" i="78"/>
  <c r="Y270" i="78"/>
  <c r="AC269" i="78"/>
  <c r="AA269" i="78"/>
  <c r="Y269" i="78"/>
  <c r="AC268" i="78"/>
  <c r="AA268" i="78"/>
  <c r="Y268" i="78"/>
  <c r="AC267" i="78"/>
  <c r="AA267" i="78"/>
  <c r="Y267" i="78"/>
  <c r="X267" i="78"/>
  <c r="AC266" i="78"/>
  <c r="AA266" i="78"/>
  <c r="Y266" i="78"/>
  <c r="AC265" i="78"/>
  <c r="AA265" i="78"/>
  <c r="Y265" i="78"/>
  <c r="AC264" i="78"/>
  <c r="AA264" i="78"/>
  <c r="Y264" i="78"/>
  <c r="AC263" i="78"/>
  <c r="AA263" i="78"/>
  <c r="Y263" i="78"/>
  <c r="AC262" i="78"/>
  <c r="AA262" i="78"/>
  <c r="Y262" i="78"/>
  <c r="AC261" i="78"/>
  <c r="AA261" i="78"/>
  <c r="Y261" i="78"/>
  <c r="AC260" i="78"/>
  <c r="AA260" i="78"/>
  <c r="Y260" i="78"/>
  <c r="AC259" i="78"/>
  <c r="AA259" i="78"/>
  <c r="Y259" i="78"/>
  <c r="X259" i="78"/>
  <c r="AC258" i="78"/>
  <c r="AA258" i="78"/>
  <c r="Y258" i="78"/>
  <c r="AC257" i="78"/>
  <c r="AA257" i="78"/>
  <c r="Y257" i="78"/>
  <c r="AC256" i="78"/>
  <c r="AA256" i="78"/>
  <c r="Y256" i="78"/>
  <c r="AC255" i="78"/>
  <c r="AA255" i="78"/>
  <c r="Y255" i="78"/>
  <c r="AC254" i="78"/>
  <c r="AA254" i="78"/>
  <c r="Y254" i="78"/>
  <c r="AC253" i="78"/>
  <c r="AA253" i="78"/>
  <c r="Y253" i="78"/>
  <c r="AC252" i="78"/>
  <c r="AA252" i="78"/>
  <c r="Y252" i="78"/>
  <c r="AC251" i="78"/>
  <c r="AA251" i="78"/>
  <c r="Y251" i="78"/>
  <c r="X251" i="78"/>
  <c r="AC250" i="78"/>
  <c r="AA250" i="78"/>
  <c r="Y250" i="78"/>
  <c r="AC249" i="78"/>
  <c r="AA249" i="78"/>
  <c r="Y249" i="78"/>
  <c r="AC248" i="78"/>
  <c r="AA248" i="78"/>
  <c r="Y248" i="78"/>
  <c r="AC247" i="78"/>
  <c r="AA247" i="78"/>
  <c r="Y247" i="78"/>
  <c r="AC246" i="78"/>
  <c r="AA246" i="78"/>
  <c r="Y246" i="78"/>
  <c r="AC245" i="78"/>
  <c r="AA245" i="78"/>
  <c r="Y245" i="78"/>
  <c r="AC244" i="78"/>
  <c r="AA244" i="78"/>
  <c r="Y244" i="78"/>
  <c r="AC243" i="78"/>
  <c r="AA243" i="78"/>
  <c r="Y243" i="78"/>
  <c r="AC242" i="78"/>
  <c r="AA242" i="78"/>
  <c r="Y242" i="78"/>
  <c r="AC241" i="78"/>
  <c r="AA241" i="78"/>
  <c r="Y241" i="78"/>
  <c r="AC240" i="78"/>
  <c r="AA240" i="78"/>
  <c r="Y240" i="78"/>
  <c r="AC239" i="78"/>
  <c r="AA239" i="78"/>
  <c r="Y239" i="78"/>
  <c r="AC238" i="78"/>
  <c r="AA238" i="78"/>
  <c r="Y238" i="78"/>
  <c r="AC237" i="78"/>
  <c r="AA237" i="78"/>
  <c r="Y237" i="78"/>
  <c r="AC236" i="78"/>
  <c r="AA236" i="78"/>
  <c r="Y236" i="78"/>
  <c r="AC235" i="78"/>
  <c r="AA235" i="78"/>
  <c r="Y235" i="78"/>
  <c r="X235" i="78"/>
  <c r="AC234" i="78"/>
  <c r="AA234" i="78"/>
  <c r="Y234" i="78"/>
  <c r="AC233" i="78"/>
  <c r="AA233" i="78"/>
  <c r="Y233" i="78"/>
  <c r="AC232" i="78"/>
  <c r="AA232" i="78"/>
  <c r="Y232" i="78"/>
  <c r="AC231" i="78"/>
  <c r="AA231" i="78"/>
  <c r="Y231" i="78"/>
  <c r="AC230" i="78"/>
  <c r="AA230" i="78"/>
  <c r="Y230" i="78"/>
  <c r="AC229" i="78"/>
  <c r="AA229" i="78"/>
  <c r="Y229" i="78"/>
  <c r="AC228" i="78"/>
  <c r="AA228" i="78"/>
  <c r="Y228" i="78"/>
  <c r="AC227" i="78"/>
  <c r="AA227" i="78"/>
  <c r="Y227" i="78"/>
  <c r="X227" i="78"/>
  <c r="AC226" i="78"/>
  <c r="AA226" i="78"/>
  <c r="Y226" i="78"/>
  <c r="AC225" i="78"/>
  <c r="AA225" i="78"/>
  <c r="Y225" i="78"/>
  <c r="AC224" i="78"/>
  <c r="AA224" i="78"/>
  <c r="Y224" i="78"/>
  <c r="AC223" i="78"/>
  <c r="AA223" i="78"/>
  <c r="Y223" i="78"/>
  <c r="AC222" i="78"/>
  <c r="AA222" i="78"/>
  <c r="Y222" i="78"/>
  <c r="AC221" i="78"/>
  <c r="AA221" i="78"/>
  <c r="Y221" i="78"/>
  <c r="X221" i="78"/>
  <c r="AC220" i="78"/>
  <c r="AA220" i="78"/>
  <c r="Y220" i="78"/>
  <c r="AC219" i="78"/>
  <c r="AA219" i="78"/>
  <c r="Y219" i="78"/>
  <c r="AC218" i="78"/>
  <c r="AA218" i="78"/>
  <c r="Y218" i="78"/>
  <c r="AC217" i="78"/>
  <c r="AA217" i="78"/>
  <c r="Y217" i="78"/>
  <c r="AC216" i="78"/>
  <c r="AA216" i="78"/>
  <c r="Y216" i="78"/>
  <c r="AC215" i="78"/>
  <c r="AA215" i="78"/>
  <c r="Y215" i="78"/>
  <c r="AC214" i="78"/>
  <c r="AA214" i="78"/>
  <c r="Y214" i="78"/>
  <c r="AC213" i="78"/>
  <c r="AA213" i="78"/>
  <c r="Y213" i="78"/>
  <c r="AC212" i="78"/>
  <c r="AA212" i="78"/>
  <c r="Y212" i="78"/>
  <c r="AC211" i="78"/>
  <c r="AA211" i="78"/>
  <c r="Y211" i="78"/>
  <c r="X211" i="78"/>
  <c r="AC210" i="78"/>
  <c r="AA210" i="78"/>
  <c r="Y210" i="78"/>
  <c r="AC209" i="78"/>
  <c r="AA209" i="78"/>
  <c r="Y209" i="78"/>
  <c r="AC208" i="78"/>
  <c r="AA208" i="78"/>
  <c r="Y208" i="78"/>
  <c r="AC207" i="78"/>
  <c r="AA207" i="78"/>
  <c r="Y207" i="78"/>
  <c r="AC206" i="78"/>
  <c r="AA206" i="78"/>
  <c r="Y206" i="78"/>
  <c r="AC205" i="78"/>
  <c r="AA205" i="78"/>
  <c r="Y205" i="78"/>
  <c r="X205" i="78"/>
  <c r="AC204" i="78"/>
  <c r="AA204" i="78"/>
  <c r="Y204" i="78"/>
  <c r="AC203" i="78"/>
  <c r="AA203" i="78"/>
  <c r="Y203" i="78"/>
  <c r="AC202" i="78"/>
  <c r="AA202" i="78"/>
  <c r="Y202" i="78"/>
  <c r="AC201" i="78"/>
  <c r="AA201" i="78"/>
  <c r="Y201" i="78"/>
  <c r="X201" i="78"/>
  <c r="AC200" i="78"/>
  <c r="AA200" i="78"/>
  <c r="Y200" i="78"/>
  <c r="AC199" i="78"/>
  <c r="AA199" i="78"/>
  <c r="Y199" i="78"/>
  <c r="AC198" i="78"/>
  <c r="AA198" i="78"/>
  <c r="Y198" i="78"/>
  <c r="AC197" i="78"/>
  <c r="AA197" i="78"/>
  <c r="Y197" i="78"/>
  <c r="AC196" i="78"/>
  <c r="AA196" i="78"/>
  <c r="Y196" i="78"/>
  <c r="AC195" i="78"/>
  <c r="AA195" i="78"/>
  <c r="Y195" i="78"/>
  <c r="AC194" i="78"/>
  <c r="AA194" i="78"/>
  <c r="Y194" i="78"/>
  <c r="AC193" i="78"/>
  <c r="AA193" i="78"/>
  <c r="Y193" i="78"/>
  <c r="AC192" i="78"/>
  <c r="AA192" i="78"/>
  <c r="Y192" i="78"/>
  <c r="AC191" i="78"/>
  <c r="AA191" i="78"/>
  <c r="Y191" i="78"/>
  <c r="AC190" i="78"/>
  <c r="AA190" i="78"/>
  <c r="Y190" i="78"/>
  <c r="AC189" i="78"/>
  <c r="AA189" i="78"/>
  <c r="Y189" i="78"/>
  <c r="X189" i="78"/>
  <c r="AC188" i="78"/>
  <c r="AA188" i="78"/>
  <c r="Y188" i="78"/>
  <c r="AC187" i="78"/>
  <c r="AA187" i="78"/>
  <c r="Y187" i="78"/>
  <c r="AC186" i="78"/>
  <c r="AA186" i="78"/>
  <c r="Y186" i="78"/>
  <c r="AC185" i="78"/>
  <c r="AA185" i="78"/>
  <c r="Y185" i="78"/>
  <c r="X185" i="78"/>
  <c r="AC184" i="78"/>
  <c r="AA184" i="78"/>
  <c r="Y184" i="78"/>
  <c r="AC183" i="78"/>
  <c r="AA183" i="78"/>
  <c r="Y183" i="78"/>
  <c r="AC182" i="78"/>
  <c r="AA182" i="78"/>
  <c r="Y182" i="78"/>
  <c r="AC181" i="78"/>
  <c r="AA181" i="78"/>
  <c r="Y181" i="78"/>
  <c r="AC180" i="78"/>
  <c r="AA180" i="78"/>
  <c r="Y180" i="78"/>
  <c r="AC179" i="78"/>
  <c r="AA179" i="78"/>
  <c r="Y179" i="78"/>
  <c r="X179" i="78"/>
  <c r="AC178" i="78"/>
  <c r="AA178" i="78"/>
  <c r="Y178" i="78"/>
  <c r="AC177" i="78"/>
  <c r="AA177" i="78"/>
  <c r="Y177" i="78"/>
  <c r="AC176" i="78"/>
  <c r="AA176" i="78"/>
  <c r="Y176" i="78"/>
  <c r="AC175" i="78"/>
  <c r="AA175" i="78"/>
  <c r="Y175" i="78"/>
  <c r="AC174" i="78"/>
  <c r="AA174" i="78"/>
  <c r="Y174" i="78"/>
  <c r="AC173" i="78"/>
  <c r="AA173" i="78"/>
  <c r="Y173" i="78"/>
  <c r="AC172" i="78"/>
  <c r="AA172" i="78"/>
  <c r="Y172" i="78"/>
  <c r="AC171" i="78"/>
  <c r="AA171" i="78"/>
  <c r="Y171" i="78"/>
  <c r="AC170" i="78"/>
  <c r="AA170" i="78"/>
  <c r="Y170" i="78"/>
  <c r="AC169" i="78"/>
  <c r="AA169" i="78"/>
  <c r="Y169" i="78"/>
  <c r="AC168" i="78"/>
  <c r="AA168" i="78"/>
  <c r="Y168" i="78"/>
  <c r="AC167" i="78"/>
  <c r="AA167" i="78"/>
  <c r="Y167" i="78"/>
  <c r="AC166" i="78"/>
  <c r="AA166" i="78"/>
  <c r="Y166" i="78"/>
  <c r="AC165" i="78"/>
  <c r="AA165" i="78"/>
  <c r="Y165" i="78"/>
  <c r="X165" i="78"/>
  <c r="AC164" i="78"/>
  <c r="AA164" i="78"/>
  <c r="Y164" i="78"/>
  <c r="AC163" i="78"/>
  <c r="AA163" i="78"/>
  <c r="Y163" i="78"/>
  <c r="AC162" i="78"/>
  <c r="AA162" i="78"/>
  <c r="Y162" i="78"/>
  <c r="AC161" i="78"/>
  <c r="AA161" i="78"/>
  <c r="Y161" i="78"/>
  <c r="AC160" i="78"/>
  <c r="AA160" i="78"/>
  <c r="Y160" i="78"/>
  <c r="AC159" i="78"/>
  <c r="AA159" i="78"/>
  <c r="Y159" i="78"/>
  <c r="AC158" i="78"/>
  <c r="AA158" i="78"/>
  <c r="Y158" i="78"/>
  <c r="AC157" i="78"/>
  <c r="AA157" i="78"/>
  <c r="Y157" i="78"/>
  <c r="X157" i="78"/>
  <c r="AC156" i="78"/>
  <c r="AA156" i="78"/>
  <c r="Y156" i="78"/>
  <c r="AC155" i="78"/>
  <c r="AA155" i="78"/>
  <c r="Y155" i="78"/>
  <c r="AC154" i="78"/>
  <c r="AA154" i="78"/>
  <c r="Y154" i="78"/>
  <c r="AC153" i="78"/>
  <c r="AA153" i="78"/>
  <c r="Y153" i="78"/>
  <c r="AC152" i="78"/>
  <c r="AA152" i="78"/>
  <c r="Y152" i="78"/>
  <c r="AC151" i="78"/>
  <c r="AA151" i="78"/>
  <c r="Y151" i="78"/>
  <c r="AC150" i="78"/>
  <c r="AA150" i="78"/>
  <c r="Y150" i="78"/>
  <c r="AC149" i="78"/>
  <c r="AA149" i="78"/>
  <c r="Y149" i="78"/>
  <c r="X149" i="78"/>
  <c r="AC148" i="78"/>
  <c r="AA148" i="78"/>
  <c r="Y148" i="78"/>
  <c r="AC147" i="78"/>
  <c r="AA147" i="78"/>
  <c r="Y147" i="78"/>
  <c r="AC146" i="78"/>
  <c r="AA146" i="78"/>
  <c r="Y146" i="78"/>
  <c r="AC145" i="78"/>
  <c r="AA145" i="78"/>
  <c r="Y145" i="78"/>
  <c r="AC144" i="78"/>
  <c r="AA144" i="78"/>
  <c r="Y144" i="78"/>
  <c r="AC143" i="78"/>
  <c r="AA143" i="78"/>
  <c r="Y143" i="78"/>
  <c r="AC142" i="78"/>
  <c r="AA142" i="78"/>
  <c r="Y142" i="78"/>
  <c r="AC141" i="78"/>
  <c r="AA141" i="78"/>
  <c r="Y141" i="78"/>
  <c r="AC140" i="78"/>
  <c r="AA140" i="78"/>
  <c r="Y140" i="78"/>
  <c r="AC139" i="78"/>
  <c r="AA139" i="78"/>
  <c r="Y139" i="78"/>
  <c r="AC138" i="78"/>
  <c r="AA138" i="78"/>
  <c r="Y138" i="78"/>
  <c r="AC137" i="78"/>
  <c r="AA137" i="78"/>
  <c r="Y137" i="78"/>
  <c r="AC136" i="78"/>
  <c r="AA136" i="78"/>
  <c r="Y136" i="78"/>
  <c r="AC135" i="78"/>
  <c r="AA135" i="78"/>
  <c r="Y135" i="78"/>
  <c r="AC134" i="78"/>
  <c r="AA134" i="78"/>
  <c r="Y134" i="78"/>
  <c r="AC133" i="78"/>
  <c r="AA133" i="78"/>
  <c r="Y133" i="78"/>
  <c r="X133" i="78"/>
  <c r="AC132" i="78"/>
  <c r="AA132" i="78"/>
  <c r="Y132" i="78"/>
  <c r="AC131" i="78"/>
  <c r="AA131" i="78"/>
  <c r="Y131" i="78"/>
  <c r="AC130" i="78"/>
  <c r="AA130" i="78"/>
  <c r="Y130" i="78"/>
  <c r="AC129" i="78"/>
  <c r="AA129" i="78"/>
  <c r="Y129" i="78"/>
  <c r="AC128" i="78"/>
  <c r="AA128" i="78"/>
  <c r="Y128" i="78"/>
  <c r="AC127" i="78"/>
  <c r="AA127" i="78"/>
  <c r="Y127" i="78"/>
  <c r="AC126" i="78"/>
  <c r="AA126" i="78"/>
  <c r="Y126" i="78"/>
  <c r="AC125" i="78"/>
  <c r="AA125" i="78"/>
  <c r="Y125" i="78"/>
  <c r="X125" i="78"/>
  <c r="AC124" i="78"/>
  <c r="AA124" i="78"/>
  <c r="Y124" i="78"/>
  <c r="AC123" i="78"/>
  <c r="AA123" i="78"/>
  <c r="Y123" i="78"/>
  <c r="AC122" i="78"/>
  <c r="AA122" i="78"/>
  <c r="Y122" i="78"/>
  <c r="AC121" i="78"/>
  <c r="AA121" i="78"/>
  <c r="Y121" i="78"/>
  <c r="AC120" i="78"/>
  <c r="AA120" i="78"/>
  <c r="Y120" i="78"/>
  <c r="AC119" i="78"/>
  <c r="AA119" i="78"/>
  <c r="Y119" i="78"/>
  <c r="AC118" i="78"/>
  <c r="AA118" i="78"/>
  <c r="Y118" i="78"/>
  <c r="AC117" i="78"/>
  <c r="AA117" i="78"/>
  <c r="Y117" i="78"/>
  <c r="X117" i="78"/>
  <c r="AC116" i="78"/>
  <c r="AA116" i="78"/>
  <c r="Y116" i="78"/>
  <c r="AC115" i="78"/>
  <c r="AA115" i="78"/>
  <c r="Y115" i="78"/>
  <c r="AC114" i="78"/>
  <c r="AA114" i="78"/>
  <c r="Y114" i="78"/>
  <c r="AC113" i="78"/>
  <c r="AA113" i="78"/>
  <c r="Y113" i="78"/>
  <c r="AC112" i="78"/>
  <c r="AA112" i="78"/>
  <c r="Y112" i="78"/>
  <c r="AC111" i="78"/>
  <c r="AA111" i="78"/>
  <c r="Y111" i="78"/>
  <c r="AC110" i="78"/>
  <c r="AA110" i="78"/>
  <c r="Y110" i="78"/>
  <c r="AC109" i="78"/>
  <c r="AA109" i="78"/>
  <c r="Y109" i="78"/>
  <c r="AC108" i="78"/>
  <c r="AA108" i="78"/>
  <c r="Y108" i="78"/>
  <c r="AC107" i="78"/>
  <c r="AA107" i="78"/>
  <c r="Y107" i="78"/>
  <c r="AC106" i="78"/>
  <c r="AA106" i="78"/>
  <c r="Y106" i="78"/>
  <c r="AC105" i="78"/>
  <c r="AA105" i="78"/>
  <c r="Y105" i="78"/>
  <c r="AC104" i="78"/>
  <c r="AA104" i="78"/>
  <c r="Y104" i="78"/>
  <c r="AC103" i="78"/>
  <c r="AA103" i="78"/>
  <c r="Y103" i="78"/>
  <c r="AC102" i="78"/>
  <c r="AA102" i="78"/>
  <c r="Y102" i="78"/>
  <c r="AC101" i="78"/>
  <c r="AA101" i="78"/>
  <c r="Y101" i="78"/>
  <c r="X101" i="78"/>
  <c r="AC100" i="78"/>
  <c r="AA100" i="78"/>
  <c r="Y100" i="78"/>
  <c r="AC99" i="78"/>
  <c r="AA99" i="78"/>
  <c r="Y99" i="78"/>
  <c r="AC98" i="78"/>
  <c r="AA98" i="78"/>
  <c r="Y98" i="78"/>
  <c r="AC97" i="78"/>
  <c r="AA97" i="78"/>
  <c r="Y97" i="78"/>
  <c r="AC96" i="78"/>
  <c r="AA96" i="78"/>
  <c r="Y96" i="78"/>
  <c r="AC95" i="78"/>
  <c r="AA95" i="78"/>
  <c r="Y95" i="78"/>
  <c r="AC94" i="78"/>
  <c r="AA94" i="78"/>
  <c r="Y94" i="78"/>
  <c r="AC93" i="78"/>
  <c r="AA93" i="78"/>
  <c r="Y93" i="78"/>
  <c r="X93" i="78"/>
  <c r="AC92" i="78"/>
  <c r="AA92" i="78"/>
  <c r="Y92" i="78"/>
  <c r="AC91" i="78"/>
  <c r="AA91" i="78"/>
  <c r="Y91" i="78"/>
  <c r="AC90" i="78"/>
  <c r="AA90" i="78"/>
  <c r="Y90" i="78"/>
  <c r="AC89" i="78"/>
  <c r="AA89" i="78"/>
  <c r="Y89" i="78"/>
  <c r="AC88" i="78"/>
  <c r="AA88" i="78"/>
  <c r="Y88" i="78"/>
  <c r="AC87" i="78"/>
  <c r="AA87" i="78"/>
  <c r="Y87" i="78"/>
  <c r="AC86" i="78"/>
  <c r="AA86" i="78"/>
  <c r="Y86" i="78"/>
  <c r="AC85" i="78"/>
  <c r="AA85" i="78"/>
  <c r="Y85" i="78"/>
  <c r="X85" i="78"/>
  <c r="AC84" i="78"/>
  <c r="AA84" i="78"/>
  <c r="Y84" i="78"/>
  <c r="AC83" i="78"/>
  <c r="AA83" i="78"/>
  <c r="Y83" i="78"/>
  <c r="AC82" i="78"/>
  <c r="AA82" i="78"/>
  <c r="Y82" i="78"/>
  <c r="AC81" i="78"/>
  <c r="AA81" i="78"/>
  <c r="Y81" i="78"/>
  <c r="AC80" i="78"/>
  <c r="AA80" i="78"/>
  <c r="Y80" i="78"/>
  <c r="AC79" i="78"/>
  <c r="AA79" i="78"/>
  <c r="Y79" i="78"/>
  <c r="AC78" i="78"/>
  <c r="AA78" i="78"/>
  <c r="Y78" i="78"/>
  <c r="AC77" i="78"/>
  <c r="AA77" i="78"/>
  <c r="Y77" i="78"/>
  <c r="AC76" i="78"/>
  <c r="AA76" i="78"/>
  <c r="Y76" i="78"/>
  <c r="AC75" i="78"/>
  <c r="AA75" i="78"/>
  <c r="Y75" i="78"/>
  <c r="AC74" i="78"/>
  <c r="AA74" i="78"/>
  <c r="Y74" i="78"/>
  <c r="AC73" i="78"/>
  <c r="AA73" i="78"/>
  <c r="Y73" i="78"/>
  <c r="AC72" i="78"/>
  <c r="AA72" i="78"/>
  <c r="Y72" i="78"/>
  <c r="AC71" i="78"/>
  <c r="AA71" i="78"/>
  <c r="Y71" i="78"/>
  <c r="AC70" i="78"/>
  <c r="AA70" i="78"/>
  <c r="Y70" i="78"/>
  <c r="AC69" i="78"/>
  <c r="AA69" i="78"/>
  <c r="Y69" i="78"/>
  <c r="AC68" i="78"/>
  <c r="AA68" i="78"/>
  <c r="Y68" i="78"/>
  <c r="AC67" i="78"/>
  <c r="AA67" i="78"/>
  <c r="Y67" i="78"/>
  <c r="AC66" i="78"/>
  <c r="AA66" i="78"/>
  <c r="Y66" i="78"/>
  <c r="AC65" i="78"/>
  <c r="AA65" i="78"/>
  <c r="Y65" i="78"/>
  <c r="AC64" i="78"/>
  <c r="AA64" i="78"/>
  <c r="Y64" i="78"/>
  <c r="AC63" i="78"/>
  <c r="AA63" i="78"/>
  <c r="Y63" i="78"/>
  <c r="AC62" i="78"/>
  <c r="AA62" i="78"/>
  <c r="Y62" i="78"/>
  <c r="AC61" i="78"/>
  <c r="AA61" i="78"/>
  <c r="Y61" i="78"/>
  <c r="AC60" i="78"/>
  <c r="AA60" i="78"/>
  <c r="Y60" i="78"/>
  <c r="AC59" i="78"/>
  <c r="AA59" i="78"/>
  <c r="Y59" i="78"/>
  <c r="AC58" i="78"/>
  <c r="AA58" i="78"/>
  <c r="Y58" i="78"/>
  <c r="AC57" i="78"/>
  <c r="AA57" i="78"/>
  <c r="Y57" i="78"/>
  <c r="AC56" i="78"/>
  <c r="AA56" i="78"/>
  <c r="Y56" i="78"/>
  <c r="AC55" i="78"/>
  <c r="AA55" i="78"/>
  <c r="Y55" i="78"/>
  <c r="AC54" i="78"/>
  <c r="AA54" i="78"/>
  <c r="Y54" i="78"/>
  <c r="AC53" i="78"/>
  <c r="AA53" i="78"/>
  <c r="Y53" i="78"/>
  <c r="AC52" i="78"/>
  <c r="AA52" i="78"/>
  <c r="Y52" i="78"/>
  <c r="AC51" i="78"/>
  <c r="AA51" i="78"/>
  <c r="Y51" i="78"/>
  <c r="AC50" i="78"/>
  <c r="AA50" i="78"/>
  <c r="Y50" i="78"/>
  <c r="AC49" i="78"/>
  <c r="AA49" i="78"/>
  <c r="Y49" i="78"/>
  <c r="AC48" i="78"/>
  <c r="AA48" i="78"/>
  <c r="Y48" i="78"/>
  <c r="AC47" i="78"/>
  <c r="AA47" i="78"/>
  <c r="Y47" i="78"/>
  <c r="AC46" i="78"/>
  <c r="AA46" i="78"/>
  <c r="Y46" i="78"/>
  <c r="AC45" i="78"/>
  <c r="AA45" i="78"/>
  <c r="Y45" i="78"/>
  <c r="AC44" i="78"/>
  <c r="AA44" i="78"/>
  <c r="Y44" i="78"/>
  <c r="AC43" i="78"/>
  <c r="AA43" i="78"/>
  <c r="Y43" i="78"/>
  <c r="AC42" i="78"/>
  <c r="AA42" i="78"/>
  <c r="Y42" i="78"/>
  <c r="AC41" i="78"/>
  <c r="AA41" i="78"/>
  <c r="Y41" i="78"/>
  <c r="AC40" i="78"/>
  <c r="AA40" i="78"/>
  <c r="Y40" i="78"/>
  <c r="AC39" i="78"/>
  <c r="AA39" i="78"/>
  <c r="Y39" i="78"/>
  <c r="AC38" i="78"/>
  <c r="AA38" i="78"/>
  <c r="Y38" i="78"/>
  <c r="AC37" i="78"/>
  <c r="AA37" i="78"/>
  <c r="Y37" i="78"/>
  <c r="AC36" i="78"/>
  <c r="AA36" i="78"/>
  <c r="Y36" i="78"/>
  <c r="AC35" i="78"/>
  <c r="AA35" i="78"/>
  <c r="Y35" i="78"/>
  <c r="AC34" i="78"/>
  <c r="AA34" i="78"/>
  <c r="Y34" i="78"/>
  <c r="AC33" i="78"/>
  <c r="AA33" i="78"/>
  <c r="Y33" i="78"/>
  <c r="AC32" i="78"/>
  <c r="AA32" i="78"/>
  <c r="Y32" i="78"/>
  <c r="AC31" i="78"/>
  <c r="AA31" i="78"/>
  <c r="Y31" i="78"/>
  <c r="AC30" i="78"/>
  <c r="AA30" i="78"/>
  <c r="Y30" i="78"/>
  <c r="AC29" i="78"/>
  <c r="AA29" i="78"/>
  <c r="Y29" i="78"/>
  <c r="AC28" i="78"/>
  <c r="AA28" i="78"/>
  <c r="Y28" i="78"/>
  <c r="AC27" i="78"/>
  <c r="AA27" i="78"/>
  <c r="Y27" i="78"/>
  <c r="AC26" i="78"/>
  <c r="AA26" i="78"/>
  <c r="Y26" i="78"/>
  <c r="AC25" i="78"/>
  <c r="AA25" i="78"/>
  <c r="Y25" i="78"/>
  <c r="AC24" i="78"/>
  <c r="AA24" i="78"/>
  <c r="Y24" i="78"/>
  <c r="AC23" i="78"/>
  <c r="AA23" i="78"/>
  <c r="Y23" i="78"/>
  <c r="AC22" i="78"/>
  <c r="AA22" i="78"/>
  <c r="Y22" i="78"/>
  <c r="AC21" i="78"/>
  <c r="AA21" i="78"/>
  <c r="Y21" i="78"/>
  <c r="AC20" i="78"/>
  <c r="AA20" i="78"/>
  <c r="Y20" i="78"/>
  <c r="AC19" i="78"/>
  <c r="AA19" i="78"/>
  <c r="Y19" i="78"/>
  <c r="AC18" i="78"/>
  <c r="AA18" i="78"/>
  <c r="Y18" i="78"/>
  <c r="AC17" i="78"/>
  <c r="AA17" i="78"/>
  <c r="Y17" i="78"/>
  <c r="AC16" i="78"/>
  <c r="AA16" i="78"/>
  <c r="Y16" i="78"/>
  <c r="AC15" i="78"/>
  <c r="AA15" i="78"/>
  <c r="Y15" i="78"/>
  <c r="AC14" i="78"/>
  <c r="AA14" i="78"/>
  <c r="Y14" i="78"/>
  <c r="AC13" i="78"/>
  <c r="AA13" i="78"/>
  <c r="Y13" i="78"/>
  <c r="AC12" i="78"/>
  <c r="AA12" i="78"/>
  <c r="Y12" i="78"/>
  <c r="AC11" i="78"/>
  <c r="AA11" i="78"/>
  <c r="Y11" i="78"/>
  <c r="AC10" i="78"/>
  <c r="AA10" i="78"/>
  <c r="Y10" i="78"/>
  <c r="AC9" i="78"/>
  <c r="AA9" i="78"/>
  <c r="Y9" i="78"/>
  <c r="AC8" i="78"/>
  <c r="AA8" i="78"/>
  <c r="Y8" i="78"/>
  <c r="AC7" i="78"/>
  <c r="AA7" i="78"/>
  <c r="Y7" i="78"/>
  <c r="AC6" i="78"/>
  <c r="AA6" i="78"/>
  <c r="Y6" i="78"/>
  <c r="L312" i="78"/>
  <c r="M312" i="78" s="1"/>
  <c r="N312" i="78"/>
  <c r="O312" i="78" s="1"/>
  <c r="P312" i="78"/>
  <c r="Q312" i="78" s="1"/>
  <c r="R312" i="78"/>
  <c r="S312" i="78" s="1"/>
  <c r="L313" i="78"/>
  <c r="M313" i="78" s="1"/>
  <c r="N313" i="78"/>
  <c r="O313" i="78" s="1"/>
  <c r="P313" i="78"/>
  <c r="Q313" i="78" s="1"/>
  <c r="R313" i="78"/>
  <c r="S313" i="78" s="1"/>
  <c r="L314" i="78"/>
  <c r="M314" i="78" s="1"/>
  <c r="N314" i="78"/>
  <c r="O314" i="78" s="1"/>
  <c r="P314" i="78"/>
  <c r="Q314" i="78" s="1"/>
  <c r="R314" i="78"/>
  <c r="S314" i="78" s="1"/>
  <c r="L315" i="78"/>
  <c r="M315" i="78" s="1"/>
  <c r="N315" i="78"/>
  <c r="O315" i="78" s="1"/>
  <c r="P315" i="78"/>
  <c r="Q315" i="78" s="1"/>
  <c r="R315" i="78"/>
  <c r="S315" i="78" s="1"/>
  <c r="L316" i="78"/>
  <c r="M316" i="78" s="1"/>
  <c r="N316" i="78"/>
  <c r="O316" i="78" s="1"/>
  <c r="P316" i="78"/>
  <c r="Q316" i="78" s="1"/>
  <c r="R316" i="78"/>
  <c r="S316" i="78" s="1"/>
  <c r="L317" i="78"/>
  <c r="M317" i="78" s="1"/>
  <c r="N317" i="78"/>
  <c r="O317" i="78" s="1"/>
  <c r="P317" i="78"/>
  <c r="Q317" i="78" s="1"/>
  <c r="R317" i="78"/>
  <c r="S317" i="78" s="1"/>
  <c r="H140" i="78"/>
  <c r="Z30" i="78" l="1"/>
  <c r="Z14" i="78"/>
  <c r="Z6" i="78"/>
  <c r="Z22" i="78"/>
  <c r="X109" i="78"/>
  <c r="X141" i="78"/>
  <c r="X173" i="78"/>
  <c r="X195" i="78"/>
  <c r="X217" i="78"/>
  <c r="X243" i="78"/>
  <c r="X275" i="78"/>
  <c r="X296" i="78"/>
  <c r="Z18" i="78"/>
  <c r="X89" i="78"/>
  <c r="X105" i="78"/>
  <c r="X121" i="78"/>
  <c r="X137" i="78"/>
  <c r="X153" i="78"/>
  <c r="X169" i="78"/>
  <c r="X181" i="78"/>
  <c r="X193" i="78"/>
  <c r="X203" i="78"/>
  <c r="X213" i="78"/>
  <c r="X225" i="78"/>
  <c r="X239" i="78"/>
  <c r="X255" i="78"/>
  <c r="X271" i="78"/>
  <c r="X283" i="78"/>
  <c r="X295" i="78"/>
  <c r="X304" i="78"/>
  <c r="X316" i="78"/>
  <c r="Z10" i="78"/>
  <c r="Z26" i="78"/>
  <c r="X97" i="78"/>
  <c r="X113" i="78"/>
  <c r="X129" i="78"/>
  <c r="X145" i="78"/>
  <c r="X161" i="78"/>
  <c r="X177" i="78"/>
  <c r="X187" i="78"/>
  <c r="X197" i="78"/>
  <c r="X209" i="78"/>
  <c r="X219" i="78"/>
  <c r="X229" i="78"/>
  <c r="X247" i="78"/>
  <c r="X263" i="78"/>
  <c r="X279" i="78"/>
  <c r="X288" i="78"/>
  <c r="X299" i="78"/>
  <c r="X311" i="78"/>
  <c r="Z8" i="78"/>
  <c r="Z16" i="78"/>
  <c r="Z24" i="78"/>
  <c r="Z32" i="78"/>
  <c r="X83" i="78"/>
  <c r="X91" i="78"/>
  <c r="X99" i="78"/>
  <c r="X107" i="78"/>
  <c r="X115" i="78"/>
  <c r="X123" i="78"/>
  <c r="X131" i="78"/>
  <c r="X139" i="78"/>
  <c r="X147" i="78"/>
  <c r="X155" i="78"/>
  <c r="X163" i="78"/>
  <c r="X171" i="78"/>
  <c r="Z12" i="78"/>
  <c r="Z20" i="78"/>
  <c r="Z28" i="78"/>
  <c r="X87" i="78"/>
  <c r="X95" i="78"/>
  <c r="X103" i="78"/>
  <c r="X111" i="78"/>
  <c r="X119" i="78"/>
  <c r="X127" i="78"/>
  <c r="X135" i="78"/>
  <c r="X143" i="78"/>
  <c r="X151" i="78"/>
  <c r="X159" i="78"/>
  <c r="X167" i="78"/>
  <c r="X175" i="78"/>
  <c r="X183" i="78"/>
  <c r="X191" i="78"/>
  <c r="X199" i="78"/>
  <c r="X207" i="78"/>
  <c r="X215" i="78"/>
  <c r="X223" i="78"/>
  <c r="X231" i="78"/>
  <c r="AB9" i="78"/>
  <c r="AD12" i="78"/>
  <c r="AB21" i="78"/>
  <c r="AD32" i="78"/>
  <c r="AB35" i="78"/>
  <c r="AB39" i="78"/>
  <c r="AB41" i="78"/>
  <c r="AB42" i="78"/>
  <c r="AB45" i="78"/>
  <c r="AB48" i="78"/>
  <c r="AB49" i="78"/>
  <c r="AB51" i="78"/>
  <c r="AB52" i="78"/>
  <c r="AB54" i="78"/>
  <c r="AB56" i="78"/>
  <c r="AB58" i="78"/>
  <c r="AB60" i="78"/>
  <c r="AB61" i="78"/>
  <c r="AB63" i="78"/>
  <c r="AB65" i="78"/>
  <c r="AB67" i="78"/>
  <c r="AB69" i="78"/>
  <c r="AB71" i="78"/>
  <c r="AB73" i="78"/>
  <c r="AB75" i="78"/>
  <c r="AB77" i="78"/>
  <c r="AB79" i="78"/>
  <c r="AB80" i="78"/>
  <c r="AD96" i="78"/>
  <c r="AB97" i="78"/>
  <c r="Z98" i="78"/>
  <c r="AD108" i="78"/>
  <c r="AB109" i="78"/>
  <c r="Z110" i="78"/>
  <c r="AB121" i="78"/>
  <c r="Z122" i="78"/>
  <c r="AB6" i="78"/>
  <c r="Z7" i="78"/>
  <c r="X9" i="78"/>
  <c r="AD9" i="78"/>
  <c r="AB10" i="78"/>
  <c r="Z11" i="78"/>
  <c r="X13" i="78"/>
  <c r="AD13" i="78"/>
  <c r="AB14" i="78"/>
  <c r="Z15" i="78"/>
  <c r="X17" i="78"/>
  <c r="AD17" i="78"/>
  <c r="AB18" i="78"/>
  <c r="Z19" i="78"/>
  <c r="X21" i="78"/>
  <c r="AD21" i="78"/>
  <c r="AB22" i="78"/>
  <c r="Z23" i="78"/>
  <c r="X25" i="78"/>
  <c r="AD25" i="78"/>
  <c r="AB26" i="78"/>
  <c r="Z27" i="78"/>
  <c r="X29" i="78"/>
  <c r="AD29" i="78"/>
  <c r="AB30" i="78"/>
  <c r="Z31" i="78"/>
  <c r="X33" i="78"/>
  <c r="AD33" i="78"/>
  <c r="AD34" i="78"/>
  <c r="AD35" i="78"/>
  <c r="AD36" i="78"/>
  <c r="AD37" i="78"/>
  <c r="AD38" i="78"/>
  <c r="AD39" i="78"/>
  <c r="AD40" i="78"/>
  <c r="AD41" i="78"/>
  <c r="AD42" i="78"/>
  <c r="AD43" i="78"/>
  <c r="AD44" i="78"/>
  <c r="AD45" i="78"/>
  <c r="AD46" i="78"/>
  <c r="AD47" i="78"/>
  <c r="AD48" i="78"/>
  <c r="AD49" i="78"/>
  <c r="AD50" i="78"/>
  <c r="AD51" i="78"/>
  <c r="AD52" i="78"/>
  <c r="AD53" i="78"/>
  <c r="AD54" i="78"/>
  <c r="AD55" i="78"/>
  <c r="AD56" i="78"/>
  <c r="AD57" i="78"/>
  <c r="AD58" i="78"/>
  <c r="AD59" i="78"/>
  <c r="AD60" i="78"/>
  <c r="AD61" i="78"/>
  <c r="AD62" i="78"/>
  <c r="AD63" i="78"/>
  <c r="AD64" i="78"/>
  <c r="AD65" i="78"/>
  <c r="AD66" i="78"/>
  <c r="AD67" i="78"/>
  <c r="AD68" i="78"/>
  <c r="AD69" i="78"/>
  <c r="AD70" i="78"/>
  <c r="AD71" i="78"/>
  <c r="AD72" i="78"/>
  <c r="AD73" i="78"/>
  <c r="AD74" i="78"/>
  <c r="AD75" i="78"/>
  <c r="AD76" i="78"/>
  <c r="AD77" i="78"/>
  <c r="AD78" i="78"/>
  <c r="AD79" i="78"/>
  <c r="AD80" i="78"/>
  <c r="AD81" i="78"/>
  <c r="AB82" i="78"/>
  <c r="Z83" i="78"/>
  <c r="X84" i="78"/>
  <c r="AD85" i="78"/>
  <c r="AB86" i="78"/>
  <c r="Z87" i="78"/>
  <c r="X88" i="78"/>
  <c r="AD89" i="78"/>
  <c r="AB90" i="78"/>
  <c r="Z91" i="78"/>
  <c r="X92" i="78"/>
  <c r="AD93" i="78"/>
  <c r="AB94" i="78"/>
  <c r="Z95" i="78"/>
  <c r="X96" i="78"/>
  <c r="AD97" i="78"/>
  <c r="AB98" i="78"/>
  <c r="Z99" i="78"/>
  <c r="X100" i="78"/>
  <c r="AD101" i="78"/>
  <c r="AB102" i="78"/>
  <c r="Z103" i="78"/>
  <c r="X104" i="78"/>
  <c r="AD105" i="78"/>
  <c r="AB106" i="78"/>
  <c r="Z107" i="78"/>
  <c r="X108" i="78"/>
  <c r="AD109" i="78"/>
  <c r="AB110" i="78"/>
  <c r="Z111" i="78"/>
  <c r="X112" i="78"/>
  <c r="AD113" i="78"/>
  <c r="AB114" i="78"/>
  <c r="Z115" i="78"/>
  <c r="X116" i="78"/>
  <c r="AD117" i="78"/>
  <c r="AB118" i="78"/>
  <c r="Z119" i="78"/>
  <c r="X120" i="78"/>
  <c r="AD121" i="78"/>
  <c r="AB122" i="78"/>
  <c r="Z123" i="78"/>
  <c r="X124" i="78"/>
  <c r="AD125" i="78"/>
  <c r="AB126" i="78"/>
  <c r="Z127" i="78"/>
  <c r="X128" i="78"/>
  <c r="AD129" i="78"/>
  <c r="AB130" i="78"/>
  <c r="Z131" i="78"/>
  <c r="X132" i="78"/>
  <c r="AD133" i="78"/>
  <c r="AB134" i="78"/>
  <c r="Z135" i="78"/>
  <c r="X136" i="78"/>
  <c r="AD137" i="78"/>
  <c r="AB138" i="78"/>
  <c r="Z139" i="78"/>
  <c r="X140" i="78"/>
  <c r="AD141" i="78"/>
  <c r="AB142" i="78"/>
  <c r="Z143" i="78"/>
  <c r="X144" i="78"/>
  <c r="AD145" i="78"/>
  <c r="AB146" i="78"/>
  <c r="Z147" i="78"/>
  <c r="X148" i="78"/>
  <c r="AD149" i="78"/>
  <c r="AB150" i="78"/>
  <c r="Z151" i="78"/>
  <c r="X152" i="78"/>
  <c r="AD153" i="78"/>
  <c r="AB154" i="78"/>
  <c r="Z155" i="78"/>
  <c r="X156" i="78"/>
  <c r="AD157" i="78"/>
  <c r="AB158" i="78"/>
  <c r="Z159" i="78"/>
  <c r="X160" i="78"/>
  <c r="AD161" i="78"/>
  <c r="AB162" i="78"/>
  <c r="Z163" i="78"/>
  <c r="X164" i="78"/>
  <c r="AD165" i="78"/>
  <c r="AB166" i="78"/>
  <c r="Z167" i="78"/>
  <c r="X168" i="78"/>
  <c r="AD169" i="78"/>
  <c r="AB170" i="78"/>
  <c r="Z171" i="78"/>
  <c r="X172" i="78"/>
  <c r="AD173" i="78"/>
  <c r="AB174" i="78"/>
  <c r="Z175" i="78"/>
  <c r="X176" i="78"/>
  <c r="AD177" i="78"/>
  <c r="AB178" i="78"/>
  <c r="Z179" i="78"/>
  <c r="X180" i="78"/>
  <c r="AD181" i="78"/>
  <c r="AB182" i="78"/>
  <c r="Z183" i="78"/>
  <c r="X184" i="78"/>
  <c r="AD185" i="78"/>
  <c r="AB186" i="78"/>
  <c r="Z187" i="78"/>
  <c r="X188" i="78"/>
  <c r="AD189" i="78"/>
  <c r="AB190" i="78"/>
  <c r="Z191" i="78"/>
  <c r="X192" i="78"/>
  <c r="AD193" i="78"/>
  <c r="AB194" i="78"/>
  <c r="Z195" i="78"/>
  <c r="X196" i="78"/>
  <c r="AD197" i="78"/>
  <c r="AB198" i="78"/>
  <c r="Z199" i="78"/>
  <c r="X200" i="78"/>
  <c r="AD201" i="78"/>
  <c r="AB202" i="78"/>
  <c r="Z203" i="78"/>
  <c r="X204" i="78"/>
  <c r="AD205" i="78"/>
  <c r="AB206" i="78"/>
  <c r="Z207" i="78"/>
  <c r="X208" i="78"/>
  <c r="AD209" i="78"/>
  <c r="AB210" i="78"/>
  <c r="Z211" i="78"/>
  <c r="X212" i="78"/>
  <c r="AD213" i="78"/>
  <c r="AB214" i="78"/>
  <c r="Z215" i="78"/>
  <c r="X216" i="78"/>
  <c r="AD217" i="78"/>
  <c r="AB218" i="78"/>
  <c r="Z219" i="78"/>
  <c r="X220" i="78"/>
  <c r="AD221" i="78"/>
  <c r="AB222" i="78"/>
  <c r="Z223" i="78"/>
  <c r="X224" i="78"/>
  <c r="AD225" i="78"/>
  <c r="AB226" i="78"/>
  <c r="Z227" i="78"/>
  <c r="X228" i="78"/>
  <c r="AD229" i="78"/>
  <c r="AB230" i="78"/>
  <c r="Z231" i="78"/>
  <c r="X232" i="78"/>
  <c r="X233" i="78"/>
  <c r="X234" i="78"/>
  <c r="AD235" i="78"/>
  <c r="AB236" i="78"/>
  <c r="AB237" i="78"/>
  <c r="AB238" i="78"/>
  <c r="Z239" i="78"/>
  <c r="X240" i="78"/>
  <c r="X241" i="78"/>
  <c r="X242" i="78"/>
  <c r="AD243" i="78"/>
  <c r="AB244" i="78"/>
  <c r="AB245" i="78"/>
  <c r="AB246" i="78"/>
  <c r="Z247" i="78"/>
  <c r="X248" i="78"/>
  <c r="X249" i="78"/>
  <c r="X250" i="78"/>
  <c r="AD251" i="78"/>
  <c r="AB252" i="78"/>
  <c r="AB253" i="78"/>
  <c r="AB254" i="78"/>
  <c r="Z255" i="78"/>
  <c r="X256" i="78"/>
  <c r="X257" i="78"/>
  <c r="X258" i="78"/>
  <c r="AD259" i="78"/>
  <c r="AB260" i="78"/>
  <c r="AB261" i="78"/>
  <c r="AB262" i="78"/>
  <c r="Z263" i="78"/>
  <c r="X264" i="78"/>
  <c r="X265" i="78"/>
  <c r="X266" i="78"/>
  <c r="AD267" i="78"/>
  <c r="AB268" i="78"/>
  <c r="AB269" i="78"/>
  <c r="AB270" i="78"/>
  <c r="Z271" i="78"/>
  <c r="X272" i="78"/>
  <c r="X273" i="78"/>
  <c r="X274" i="78"/>
  <c r="AD275" i="78"/>
  <c r="AB276" i="78"/>
  <c r="AB277" i="78"/>
  <c r="AB278" i="78"/>
  <c r="Z279" i="78"/>
  <c r="X281" i="78"/>
  <c r="X282" i="78"/>
  <c r="AD283" i="78"/>
  <c r="AB284" i="78"/>
  <c r="AB285" i="78"/>
  <c r="AB286" i="78"/>
  <c r="Z287" i="78"/>
  <c r="X289" i="78"/>
  <c r="X290" i="78"/>
  <c r="AD291" i="78"/>
  <c r="AB292" i="78"/>
  <c r="AB293" i="78"/>
  <c r="AB294" i="78"/>
  <c r="Z295" i="78"/>
  <c r="X297" i="78"/>
  <c r="X298" i="78"/>
  <c r="AD299" i="78"/>
  <c r="AB300" i="78"/>
  <c r="AB301" i="78"/>
  <c r="AB302" i="78"/>
  <c r="Z303" i="78"/>
  <c r="X305" i="78"/>
  <c r="X306" i="78"/>
  <c r="AD307" i="78"/>
  <c r="AB308" i="78"/>
  <c r="AB309" i="78"/>
  <c r="AB310" i="78"/>
  <c r="Z311" i="78"/>
  <c r="X313" i="78"/>
  <c r="X314" i="78"/>
  <c r="X315" i="78"/>
  <c r="AD316" i="78"/>
  <c r="AB317" i="78"/>
  <c r="AD8" i="78"/>
  <c r="AB17" i="78"/>
  <c r="AD20" i="78"/>
  <c r="X24" i="78"/>
  <c r="AB33" i="78"/>
  <c r="AB37" i="78"/>
  <c r="X6" i="78"/>
  <c r="AB7" i="78"/>
  <c r="X10" i="78"/>
  <c r="AD14" i="78"/>
  <c r="AB15" i="78"/>
  <c r="X18" i="78"/>
  <c r="AB19" i="78"/>
  <c r="X22" i="78"/>
  <c r="AD26" i="78"/>
  <c r="AB27" i="78"/>
  <c r="X30" i="78"/>
  <c r="X35" i="78"/>
  <c r="X37" i="78"/>
  <c r="X40" i="78"/>
  <c r="X43" i="78"/>
  <c r="X44" i="78"/>
  <c r="X46" i="78"/>
  <c r="X47" i="78"/>
  <c r="X49" i="78"/>
  <c r="X51" i="78"/>
  <c r="X52" i="78"/>
  <c r="X54" i="78"/>
  <c r="X56" i="78"/>
  <c r="X58" i="78"/>
  <c r="X60" i="78"/>
  <c r="X61" i="78"/>
  <c r="X63" i="78"/>
  <c r="X65" i="78"/>
  <c r="X67" i="78"/>
  <c r="X69" i="78"/>
  <c r="X71" i="78"/>
  <c r="X73" i="78"/>
  <c r="X75" i="78"/>
  <c r="X77" i="78"/>
  <c r="X79" i="78"/>
  <c r="X80" i="78"/>
  <c r="X81" i="78"/>
  <c r="AD82" i="78"/>
  <c r="AB83" i="78"/>
  <c r="Z84" i="78"/>
  <c r="AD86" i="78"/>
  <c r="AB87" i="78"/>
  <c r="Z88" i="78"/>
  <c r="AD94" i="78"/>
  <c r="AB95" i="78"/>
  <c r="Z96" i="78"/>
  <c r="AD98" i="78"/>
  <c r="AB99" i="78"/>
  <c r="Z100" i="78"/>
  <c r="AD102" i="78"/>
  <c r="AB103" i="78"/>
  <c r="Z104" i="78"/>
  <c r="AD110" i="78"/>
  <c r="AB111" i="78"/>
  <c r="Z112" i="78"/>
  <c r="AD114" i="78"/>
  <c r="AB115" i="78"/>
  <c r="Z116" i="78"/>
  <c r="AD122" i="78"/>
  <c r="AB123" i="78"/>
  <c r="Z124" i="78"/>
  <c r="AD126" i="78"/>
  <c r="AB127" i="78"/>
  <c r="AD130" i="78"/>
  <c r="AB131" i="78"/>
  <c r="Z132" i="78"/>
  <c r="AD134" i="78"/>
  <c r="AB135" i="78"/>
  <c r="Z136" i="78"/>
  <c r="AD138" i="78"/>
  <c r="AB139" i="78"/>
  <c r="Z140" i="78"/>
  <c r="AD142" i="78"/>
  <c r="AB143" i="78"/>
  <c r="Z144" i="78"/>
  <c r="AD146" i="78"/>
  <c r="AB147" i="78"/>
  <c r="Z148" i="78"/>
  <c r="AD150" i="78"/>
  <c r="AB151" i="78"/>
  <c r="Z152" i="78"/>
  <c r="AD154" i="78"/>
  <c r="AB155" i="78"/>
  <c r="Z156" i="78"/>
  <c r="AD158" i="78"/>
  <c r="AB159" i="78"/>
  <c r="Z160" i="78"/>
  <c r="AD162" i="78"/>
  <c r="AB163" i="78"/>
  <c r="Z164" i="78"/>
  <c r="AD166" i="78"/>
  <c r="AB167" i="78"/>
  <c r="Z168" i="78"/>
  <c r="AD170" i="78"/>
  <c r="AB171" i="78"/>
  <c r="Z172" i="78"/>
  <c r="AD174" i="78"/>
  <c r="AB175" i="78"/>
  <c r="Z176" i="78"/>
  <c r="AD178" i="78"/>
  <c r="AB179" i="78"/>
  <c r="Z180" i="78"/>
  <c r="AD182" i="78"/>
  <c r="AB183" i="78"/>
  <c r="Z184" i="78"/>
  <c r="AD186" i="78"/>
  <c r="AB187" i="78"/>
  <c r="Z188" i="78"/>
  <c r="AD190" i="78"/>
  <c r="AB191" i="78"/>
  <c r="Z192" i="78"/>
  <c r="AD194" i="78"/>
  <c r="AB195" i="78"/>
  <c r="Z196" i="78"/>
  <c r="AD198" i="78"/>
  <c r="AB199" i="78"/>
  <c r="Z200" i="78"/>
  <c r="AD202" i="78"/>
  <c r="AB203" i="78"/>
  <c r="Z204" i="78"/>
  <c r="AD206" i="78"/>
  <c r="AB207" i="78"/>
  <c r="Z208" i="78"/>
  <c r="AD210" i="78"/>
  <c r="AB211" i="78"/>
  <c r="Z212" i="78"/>
  <c r="AD214" i="78"/>
  <c r="AB215" i="78"/>
  <c r="Z216" i="78"/>
  <c r="AD218" i="78"/>
  <c r="AB219" i="78"/>
  <c r="Z220" i="78"/>
  <c r="AD222" i="78"/>
  <c r="AB223" i="78"/>
  <c r="Z224" i="78"/>
  <c r="AD226" i="78"/>
  <c r="AB227" i="78"/>
  <c r="Z228" i="78"/>
  <c r="AD230" i="78"/>
  <c r="AB231" i="78"/>
  <c r="Z232" i="78"/>
  <c r="Z233" i="78"/>
  <c r="Z234" i="78"/>
  <c r="AD236" i="78"/>
  <c r="AD237" i="78"/>
  <c r="AD238" i="78"/>
  <c r="AB239" i="78"/>
  <c r="Z240" i="78"/>
  <c r="Z241" i="78"/>
  <c r="Z242" i="78"/>
  <c r="AD244" i="78"/>
  <c r="AD245" i="78"/>
  <c r="AD246" i="78"/>
  <c r="AB247" i="78"/>
  <c r="Z248" i="78"/>
  <c r="Z249" i="78"/>
  <c r="Z250" i="78"/>
  <c r="AD252" i="78"/>
  <c r="AD253" i="78"/>
  <c r="AD254" i="78"/>
  <c r="AB255" i="78"/>
  <c r="Z256" i="78"/>
  <c r="Z257" i="78"/>
  <c r="Z258" i="78"/>
  <c r="AD260" i="78"/>
  <c r="AD261" i="78"/>
  <c r="AD262" i="78"/>
  <c r="AB263" i="78"/>
  <c r="Z264" i="78"/>
  <c r="Z265" i="78"/>
  <c r="Z266" i="78"/>
  <c r="AD268" i="78"/>
  <c r="AD269" i="78"/>
  <c r="AD270" i="78"/>
  <c r="AB271" i="78"/>
  <c r="Z272" i="78"/>
  <c r="Z273" i="78"/>
  <c r="Z274" i="78"/>
  <c r="AD276" i="78"/>
  <c r="AD277" i="78"/>
  <c r="AD278" i="78"/>
  <c r="AB279" i="78"/>
  <c r="Z280" i="78"/>
  <c r="Z281" i="78"/>
  <c r="Z282" i="78"/>
  <c r="AD284" i="78"/>
  <c r="AD285" i="78"/>
  <c r="AD286" i="78"/>
  <c r="AB287" i="78"/>
  <c r="Z288" i="78"/>
  <c r="Z289" i="78"/>
  <c r="Z290" i="78"/>
  <c r="AD292" i="78"/>
  <c r="AD293" i="78"/>
  <c r="AD294" i="78"/>
  <c r="AB295" i="78"/>
  <c r="Z296" i="78"/>
  <c r="Z297" i="78"/>
  <c r="Z298" i="78"/>
  <c r="AD300" i="78"/>
  <c r="AD301" i="78"/>
  <c r="AD302" i="78"/>
  <c r="AB303" i="78"/>
  <c r="Z304" i="78"/>
  <c r="Z305" i="78"/>
  <c r="Z306" i="78"/>
  <c r="AD308" i="78"/>
  <c r="AD309" i="78"/>
  <c r="AD310" i="78"/>
  <c r="AB311" i="78"/>
  <c r="Z312" i="78"/>
  <c r="Z313" i="78"/>
  <c r="Z314" i="78"/>
  <c r="Z315" i="78"/>
  <c r="AD317" i="78"/>
  <c r="X8" i="78"/>
  <c r="X12" i="78"/>
  <c r="X16" i="78"/>
  <c r="X20" i="78"/>
  <c r="AD24" i="78"/>
  <c r="AD28" i="78"/>
  <c r="AB34" i="78"/>
  <c r="AB38" i="78"/>
  <c r="AD6" i="78"/>
  <c r="AD10" i="78"/>
  <c r="AB11" i="78"/>
  <c r="X14" i="78"/>
  <c r="AD18" i="78"/>
  <c r="AD22" i="78"/>
  <c r="AB23" i="78"/>
  <c r="X26" i="78"/>
  <c r="AD30" i="78"/>
  <c r="AB31" i="78"/>
  <c r="X34" i="78"/>
  <c r="X36" i="78"/>
  <c r="X38" i="78"/>
  <c r="X39" i="78"/>
  <c r="X41" i="78"/>
  <c r="X42" i="78"/>
  <c r="X45" i="78"/>
  <c r="X48" i="78"/>
  <c r="X50" i="78"/>
  <c r="X53" i="78"/>
  <c r="X55" i="78"/>
  <c r="X57" i="78"/>
  <c r="X59" i="78"/>
  <c r="X62" i="78"/>
  <c r="X64" i="78"/>
  <c r="X66" i="78"/>
  <c r="X68" i="78"/>
  <c r="X70" i="78"/>
  <c r="X72" i="78"/>
  <c r="X74" i="78"/>
  <c r="X76" i="78"/>
  <c r="X78" i="78"/>
  <c r="AD90" i="78"/>
  <c r="AB91" i="78"/>
  <c r="Z92" i="78"/>
  <c r="AD106" i="78"/>
  <c r="AB107" i="78"/>
  <c r="Z108" i="78"/>
  <c r="AD118" i="78"/>
  <c r="AB119" i="78"/>
  <c r="Z120" i="78"/>
  <c r="Z128" i="78"/>
  <c r="X7" i="78"/>
  <c r="AD7" i="78"/>
  <c r="AB8" i="78"/>
  <c r="Z9" i="78"/>
  <c r="X11" i="78"/>
  <c r="AD11" i="78"/>
  <c r="AB12" i="78"/>
  <c r="Z13" i="78"/>
  <c r="X15" i="78"/>
  <c r="AD15" i="78"/>
  <c r="AB16" i="78"/>
  <c r="Z17" i="78"/>
  <c r="X19" i="78"/>
  <c r="AD19" i="78"/>
  <c r="AB20" i="78"/>
  <c r="Z21" i="78"/>
  <c r="X23" i="78"/>
  <c r="AD23" i="78"/>
  <c r="AB24" i="78"/>
  <c r="Z25" i="78"/>
  <c r="X27" i="78"/>
  <c r="AD27" i="78"/>
  <c r="AB28" i="78"/>
  <c r="Z29" i="78"/>
  <c r="X31" i="78"/>
  <c r="AD31" i="78"/>
  <c r="AB32" i="78"/>
  <c r="Z33" i="78"/>
  <c r="Z34" i="78"/>
  <c r="Z35" i="78"/>
  <c r="Z36" i="78"/>
  <c r="Z37" i="78"/>
  <c r="Z38" i="78"/>
  <c r="Z39" i="78"/>
  <c r="Z40" i="78"/>
  <c r="Z41" i="78"/>
  <c r="Z42" i="78"/>
  <c r="Z43" i="78"/>
  <c r="Z44" i="78"/>
  <c r="Z45" i="78"/>
  <c r="Z46" i="78"/>
  <c r="Z47" i="78"/>
  <c r="Z48" i="78"/>
  <c r="Z49" i="78"/>
  <c r="Z50" i="78"/>
  <c r="Z51" i="78"/>
  <c r="Z52" i="78"/>
  <c r="Z53" i="78"/>
  <c r="Z54" i="78"/>
  <c r="Z55" i="78"/>
  <c r="Z56" i="78"/>
  <c r="Z57" i="78"/>
  <c r="Z58" i="78"/>
  <c r="Z59" i="78"/>
  <c r="Z60" i="78"/>
  <c r="Z61" i="78"/>
  <c r="Z62" i="78"/>
  <c r="Z63" i="78"/>
  <c r="Z64" i="78"/>
  <c r="Z65" i="78"/>
  <c r="Z66" i="78"/>
  <c r="Z67" i="78"/>
  <c r="Z68" i="78"/>
  <c r="Z69" i="78"/>
  <c r="Z70" i="78"/>
  <c r="Z71" i="78"/>
  <c r="Z72" i="78"/>
  <c r="Z73" i="78"/>
  <c r="Z74" i="78"/>
  <c r="Z75" i="78"/>
  <c r="Z76" i="78"/>
  <c r="Z77" i="78"/>
  <c r="Z78" i="78"/>
  <c r="Z79" i="78"/>
  <c r="Z80" i="78"/>
  <c r="Z81" i="78"/>
  <c r="X82" i="78"/>
  <c r="AD83" i="78"/>
  <c r="AB84" i="78"/>
  <c r="Z85" i="78"/>
  <c r="X86" i="78"/>
  <c r="AD87" i="78"/>
  <c r="AB88" i="78"/>
  <c r="Z89" i="78"/>
  <c r="X90" i="78"/>
  <c r="AD91" i="78"/>
  <c r="AB92" i="78"/>
  <c r="Z93" i="78"/>
  <c r="X94" i="78"/>
  <c r="AD95" i="78"/>
  <c r="AB96" i="78"/>
  <c r="Z97" i="78"/>
  <c r="X98" i="78"/>
  <c r="AD99" i="78"/>
  <c r="AB100" i="78"/>
  <c r="Z101" i="78"/>
  <c r="X102" i="78"/>
  <c r="AD103" i="78"/>
  <c r="AB104" i="78"/>
  <c r="Z105" i="78"/>
  <c r="X106" i="78"/>
  <c r="AD107" i="78"/>
  <c r="AB108" i="78"/>
  <c r="Z109" i="78"/>
  <c r="X110" i="78"/>
  <c r="AD111" i="78"/>
  <c r="AB112" i="78"/>
  <c r="Z113" i="78"/>
  <c r="X114" i="78"/>
  <c r="AD115" i="78"/>
  <c r="AB116" i="78"/>
  <c r="Z117" i="78"/>
  <c r="X118" i="78"/>
  <c r="AD119" i="78"/>
  <c r="AB120" i="78"/>
  <c r="Z121" i="78"/>
  <c r="X122" i="78"/>
  <c r="AD123" i="78"/>
  <c r="AB124" i="78"/>
  <c r="Z125" i="78"/>
  <c r="X126" i="78"/>
  <c r="AD127" i="78"/>
  <c r="AB128" i="78"/>
  <c r="Z129" i="78"/>
  <c r="X130" i="78"/>
  <c r="AD131" i="78"/>
  <c r="AB132" i="78"/>
  <c r="Z133" i="78"/>
  <c r="X134" i="78"/>
  <c r="AD135" i="78"/>
  <c r="AB136" i="78"/>
  <c r="Z137" i="78"/>
  <c r="X138" i="78"/>
  <c r="AD139" i="78"/>
  <c r="AB140" i="78"/>
  <c r="Z141" i="78"/>
  <c r="X142" i="78"/>
  <c r="AD143" i="78"/>
  <c r="AB144" i="78"/>
  <c r="Z145" i="78"/>
  <c r="X146" i="78"/>
  <c r="AD147" i="78"/>
  <c r="AB148" i="78"/>
  <c r="Z149" i="78"/>
  <c r="X150" i="78"/>
  <c r="AD151" i="78"/>
  <c r="AB152" i="78"/>
  <c r="Z153" i="78"/>
  <c r="X154" i="78"/>
  <c r="AD155" i="78"/>
  <c r="AB156" i="78"/>
  <c r="Z157" i="78"/>
  <c r="X158" i="78"/>
  <c r="AD159" i="78"/>
  <c r="AB160" i="78"/>
  <c r="Z161" i="78"/>
  <c r="X162" i="78"/>
  <c r="AD163" i="78"/>
  <c r="AB164" i="78"/>
  <c r="Z165" i="78"/>
  <c r="X166" i="78"/>
  <c r="AD167" i="78"/>
  <c r="AB168" i="78"/>
  <c r="Z169" i="78"/>
  <c r="X170" i="78"/>
  <c r="AD171" i="78"/>
  <c r="AB172" i="78"/>
  <c r="Z173" i="78"/>
  <c r="X174" i="78"/>
  <c r="AD175" i="78"/>
  <c r="AB176" i="78"/>
  <c r="Z177" i="78"/>
  <c r="X178" i="78"/>
  <c r="AD179" i="78"/>
  <c r="AB180" i="78"/>
  <c r="Z181" i="78"/>
  <c r="X182" i="78"/>
  <c r="AD183" i="78"/>
  <c r="AB184" i="78"/>
  <c r="Z185" i="78"/>
  <c r="X186" i="78"/>
  <c r="AD187" i="78"/>
  <c r="AB188" i="78"/>
  <c r="Z189" i="78"/>
  <c r="X190" i="78"/>
  <c r="AD191" i="78"/>
  <c r="AB192" i="78"/>
  <c r="Z193" i="78"/>
  <c r="X194" i="78"/>
  <c r="AD195" i="78"/>
  <c r="AB196" i="78"/>
  <c r="Z197" i="78"/>
  <c r="X198" i="78"/>
  <c r="AD199" i="78"/>
  <c r="AB200" i="78"/>
  <c r="Z201" i="78"/>
  <c r="X202" i="78"/>
  <c r="AD203" i="78"/>
  <c r="AB204" i="78"/>
  <c r="Z205" i="78"/>
  <c r="X206" i="78"/>
  <c r="AD207" i="78"/>
  <c r="AB208" i="78"/>
  <c r="Z209" i="78"/>
  <c r="X210" i="78"/>
  <c r="AD211" i="78"/>
  <c r="AB212" i="78"/>
  <c r="Z213" i="78"/>
  <c r="X214" i="78"/>
  <c r="AD215" i="78"/>
  <c r="AB216" i="78"/>
  <c r="Z217" i="78"/>
  <c r="X218" i="78"/>
  <c r="AD219" i="78"/>
  <c r="AB220" i="78"/>
  <c r="Z221" i="78"/>
  <c r="X222" i="78"/>
  <c r="AD223" i="78"/>
  <c r="AB224" i="78"/>
  <c r="Z225" i="78"/>
  <c r="X226" i="78"/>
  <c r="AD227" i="78"/>
  <c r="AB228" i="78"/>
  <c r="Z229" i="78"/>
  <c r="X230" i="78"/>
  <c r="AD231" i="78"/>
  <c r="AB232" i="78"/>
  <c r="AB233" i="78"/>
  <c r="AB234" i="78"/>
  <c r="Z235" i="78"/>
  <c r="X236" i="78"/>
  <c r="X237" i="78"/>
  <c r="X238" i="78"/>
  <c r="AD239" i="78"/>
  <c r="AB240" i="78"/>
  <c r="AB241" i="78"/>
  <c r="AB242" i="78"/>
  <c r="Z243" i="78"/>
  <c r="X244" i="78"/>
  <c r="X245" i="78"/>
  <c r="X246" i="78"/>
  <c r="AD247" i="78"/>
  <c r="AB248" i="78"/>
  <c r="AB249" i="78"/>
  <c r="AB250" i="78"/>
  <c r="Z251" i="78"/>
  <c r="X252" i="78"/>
  <c r="X253" i="78"/>
  <c r="X254" i="78"/>
  <c r="AD255" i="78"/>
  <c r="AB256" i="78"/>
  <c r="AB257" i="78"/>
  <c r="AB258" i="78"/>
  <c r="Z259" i="78"/>
  <c r="X260" i="78"/>
  <c r="X261" i="78"/>
  <c r="X262" i="78"/>
  <c r="AD263" i="78"/>
  <c r="AB264" i="78"/>
  <c r="AB265" i="78"/>
  <c r="AB266" i="78"/>
  <c r="Z267" i="78"/>
  <c r="X268" i="78"/>
  <c r="X269" i="78"/>
  <c r="X270" i="78"/>
  <c r="AD271" i="78"/>
  <c r="AB272" i="78"/>
  <c r="AB273" i="78"/>
  <c r="AB274" i="78"/>
  <c r="Z275" i="78"/>
  <c r="X276" i="78"/>
  <c r="X277" i="78"/>
  <c r="X278" i="78"/>
  <c r="AD279" i="78"/>
  <c r="AB280" i="78"/>
  <c r="AB281" i="78"/>
  <c r="AB282" i="78"/>
  <c r="Z283" i="78"/>
  <c r="X284" i="78"/>
  <c r="X285" i="78"/>
  <c r="X286" i="78"/>
  <c r="AD287" i="78"/>
  <c r="AB288" i="78"/>
  <c r="AB289" i="78"/>
  <c r="AB290" i="78"/>
  <c r="Z291" i="78"/>
  <c r="X292" i="78"/>
  <c r="X293" i="78"/>
  <c r="X294" i="78"/>
  <c r="AD295" i="78"/>
  <c r="AB296" i="78"/>
  <c r="AB297" i="78"/>
  <c r="AB298" i="78"/>
  <c r="Z299" i="78"/>
  <c r="X300" i="78"/>
  <c r="X301" i="78"/>
  <c r="X302" i="78"/>
  <c r="AD303" i="78"/>
  <c r="AB304" i="78"/>
  <c r="AB305" i="78"/>
  <c r="AB306" i="78"/>
  <c r="Z307" i="78"/>
  <c r="X308" i="78"/>
  <c r="X309" i="78"/>
  <c r="X310" i="78"/>
  <c r="AD311" i="78"/>
  <c r="AB312" i="78"/>
  <c r="AB313" i="78"/>
  <c r="AB314" i="78"/>
  <c r="AB315" i="78"/>
  <c r="Z316" i="78"/>
  <c r="X317" i="78"/>
  <c r="AB13" i="78"/>
  <c r="AD16" i="78"/>
  <c r="AB25" i="78"/>
  <c r="X28" i="78"/>
  <c r="AB29" i="78"/>
  <c r="X32" i="78"/>
  <c r="AB36" i="78"/>
  <c r="AB40" i="78"/>
  <c r="AB43" i="78"/>
  <c r="AB44" i="78"/>
  <c r="AB46" i="78"/>
  <c r="AB47" i="78"/>
  <c r="AB50" i="78"/>
  <c r="AB53" i="78"/>
  <c r="AB55" i="78"/>
  <c r="AB57" i="78"/>
  <c r="AB59" i="78"/>
  <c r="AB62" i="78"/>
  <c r="AB64" i="78"/>
  <c r="AB66" i="78"/>
  <c r="AB68" i="78"/>
  <c r="AB70" i="78"/>
  <c r="AB72" i="78"/>
  <c r="AB74" i="78"/>
  <c r="AB76" i="78"/>
  <c r="AB78" i="78"/>
  <c r="AB81" i="78"/>
  <c r="Z82" i="78"/>
  <c r="AD84" i="78"/>
  <c r="AB85" i="78"/>
  <c r="Z86" i="78"/>
  <c r="AD88" i="78"/>
  <c r="AB89" i="78"/>
  <c r="Z90" i="78"/>
  <c r="AD92" i="78"/>
  <c r="AB93" i="78"/>
  <c r="Z94" i="78"/>
  <c r="AD100" i="78"/>
  <c r="AB101" i="78"/>
  <c r="Z102" i="78"/>
  <c r="AD104" i="78"/>
  <c r="AB105" i="78"/>
  <c r="Z106" i="78"/>
  <c r="AD112" i="78"/>
  <c r="AB113" i="78"/>
  <c r="Z114" i="78"/>
  <c r="AD116" i="78"/>
  <c r="AB117" i="78"/>
  <c r="Z118" i="78"/>
  <c r="AD120" i="78"/>
  <c r="AD124" i="78"/>
  <c r="AB125" i="78"/>
  <c r="Z126" i="78"/>
  <c r="AD128" i="78"/>
  <c r="AB129" i="78"/>
  <c r="Z130" i="78"/>
  <c r="AD132" i="78"/>
  <c r="AB133" i="78"/>
  <c r="Z134" i="78"/>
  <c r="AD136" i="78"/>
  <c r="AB137" i="78"/>
  <c r="Z138" i="78"/>
  <c r="AD140" i="78"/>
  <c r="AB141" i="78"/>
  <c r="Z142" i="78"/>
  <c r="AD144" i="78"/>
  <c r="AB145" i="78"/>
  <c r="Z146" i="78"/>
  <c r="AD148" i="78"/>
  <c r="AB149" i="78"/>
  <c r="Z150" i="78"/>
  <c r="AD152" i="78"/>
  <c r="AB153" i="78"/>
  <c r="Z154" i="78"/>
  <c r="AD156" i="78"/>
  <c r="AB157" i="78"/>
  <c r="Z158" i="78"/>
  <c r="AD160" i="78"/>
  <c r="AB161" i="78"/>
  <c r="Z162" i="78"/>
  <c r="AD164" i="78"/>
  <c r="AB165" i="78"/>
  <c r="Z166" i="78"/>
  <c r="AD168" i="78"/>
  <c r="AB169" i="78"/>
  <c r="Z170" i="78"/>
  <c r="AD172" i="78"/>
  <c r="AB173" i="78"/>
  <c r="Z174" i="78"/>
  <c r="AD176" i="78"/>
  <c r="AB177" i="78"/>
  <c r="Z178" i="78"/>
  <c r="AD180" i="78"/>
  <c r="AB181" i="78"/>
  <c r="Z182" i="78"/>
  <c r="AD184" i="78"/>
  <c r="AB185" i="78"/>
  <c r="Z186" i="78"/>
  <c r="AD188" i="78"/>
  <c r="AB189" i="78"/>
  <c r="Z190" i="78"/>
  <c r="AD192" i="78"/>
  <c r="AB193" i="78"/>
  <c r="Z194" i="78"/>
  <c r="AD196" i="78"/>
  <c r="AB197" i="78"/>
  <c r="Z198" i="78"/>
  <c r="AD200" i="78"/>
  <c r="AB201" i="78"/>
  <c r="Z202" i="78"/>
  <c r="AD204" i="78"/>
  <c r="AB205" i="78"/>
  <c r="Z206" i="78"/>
  <c r="AD208" i="78"/>
  <c r="AB209" i="78"/>
  <c r="Z210" i="78"/>
  <c r="AD212" i="78"/>
  <c r="AB213" i="78"/>
  <c r="Z214" i="78"/>
  <c r="AD216" i="78"/>
  <c r="AB217" i="78"/>
  <c r="Z218" i="78"/>
  <c r="AD220" i="78"/>
  <c r="AB221" i="78"/>
  <c r="Z222" i="78"/>
  <c r="AD224" i="78"/>
  <c r="AB225" i="78"/>
  <c r="Z226" i="78"/>
  <c r="AD228" i="78"/>
  <c r="AB229" i="78"/>
  <c r="Z230" i="78"/>
  <c r="AD232" i="78"/>
  <c r="AD233" i="78"/>
  <c r="AD234" i="78"/>
  <c r="AB235" i="78"/>
  <c r="Z236" i="78"/>
  <c r="Z237" i="78"/>
  <c r="Z238" i="78"/>
  <c r="AD240" i="78"/>
  <c r="AD241" i="78"/>
  <c r="AD242" i="78"/>
  <c r="AB243" i="78"/>
  <c r="Z244" i="78"/>
  <c r="Z245" i="78"/>
  <c r="Z246" i="78"/>
  <c r="AD248" i="78"/>
  <c r="AD249" i="78"/>
  <c r="AD250" i="78"/>
  <c r="AB251" i="78"/>
  <c r="Z252" i="78"/>
  <c r="Z253" i="78"/>
  <c r="Z254" i="78"/>
  <c r="AD256" i="78"/>
  <c r="AD257" i="78"/>
  <c r="AD258" i="78"/>
  <c r="AB259" i="78"/>
  <c r="Z260" i="78"/>
  <c r="Z261" i="78"/>
  <c r="Z262" i="78"/>
  <c r="AD264" i="78"/>
  <c r="AD265" i="78"/>
  <c r="AD266" i="78"/>
  <c r="AB267" i="78"/>
  <c r="Z268" i="78"/>
  <c r="Z269" i="78"/>
  <c r="Z270" i="78"/>
  <c r="AD272" i="78"/>
  <c r="AD273" i="78"/>
  <c r="AD274" i="78"/>
  <c r="AB275" i="78"/>
  <c r="Z276" i="78"/>
  <c r="Z277" i="78"/>
  <c r="Z278" i="78"/>
  <c r="AD280" i="78"/>
  <c r="AD281" i="78"/>
  <c r="AD282" i="78"/>
  <c r="AB283" i="78"/>
  <c r="Z284" i="78"/>
  <c r="Z285" i="78"/>
  <c r="Z286" i="78"/>
  <c r="AD288" i="78"/>
  <c r="AD289" i="78"/>
  <c r="AD290" i="78"/>
  <c r="AB291" i="78"/>
  <c r="Z292" i="78"/>
  <c r="Z293" i="78"/>
  <c r="Z294" i="78"/>
  <c r="AD296" i="78"/>
  <c r="AD297" i="78"/>
  <c r="AD298" i="78"/>
  <c r="AB299" i="78"/>
  <c r="Z300" i="78"/>
  <c r="Z301" i="78"/>
  <c r="Z302" i="78"/>
  <c r="AD304" i="78"/>
  <c r="AD305" i="78"/>
  <c r="AD306" i="78"/>
  <c r="AB307" i="78"/>
  <c r="Z308" i="78"/>
  <c r="Z309" i="78"/>
  <c r="Z310" i="78"/>
  <c r="AD312" i="78"/>
  <c r="AD313" i="78"/>
  <c r="AD314" i="78"/>
  <c r="AD315" i="78"/>
  <c r="AB316" i="78"/>
  <c r="Z317" i="78"/>
  <c r="AC5" i="78" l="1"/>
  <c r="AC4" i="78" s="1"/>
  <c r="AA5" i="78"/>
  <c r="AA4" i="78" s="1"/>
  <c r="Y5" i="78"/>
  <c r="Y4" i="78" s="1"/>
  <c r="P6" i="78"/>
  <c r="Q6" i="78" s="1"/>
  <c r="R6" i="78"/>
  <c r="S6" i="78" s="1"/>
  <c r="P7" i="78"/>
  <c r="Q7" i="78" s="1"/>
  <c r="R7" i="78"/>
  <c r="S7" i="78" s="1"/>
  <c r="P8" i="78"/>
  <c r="Q8" i="78" s="1"/>
  <c r="R8" i="78"/>
  <c r="S8" i="78" s="1"/>
  <c r="P9" i="78"/>
  <c r="Q9" i="78" s="1"/>
  <c r="R9" i="78"/>
  <c r="S9" i="78" s="1"/>
  <c r="P10" i="78"/>
  <c r="Q10" i="78" s="1"/>
  <c r="R10" i="78"/>
  <c r="S10" i="78" s="1"/>
  <c r="P11" i="78"/>
  <c r="Q11" i="78" s="1"/>
  <c r="R11" i="78"/>
  <c r="S11" i="78" s="1"/>
  <c r="P12" i="78"/>
  <c r="Q12" i="78" s="1"/>
  <c r="R12" i="78"/>
  <c r="S12" i="78" s="1"/>
  <c r="P13" i="78"/>
  <c r="Q13" i="78" s="1"/>
  <c r="R13" i="78"/>
  <c r="S13" i="78" s="1"/>
  <c r="P14" i="78"/>
  <c r="Q14" i="78" s="1"/>
  <c r="R14" i="78"/>
  <c r="S14" i="78" s="1"/>
  <c r="P15" i="78"/>
  <c r="Q15" i="78" s="1"/>
  <c r="R15" i="78"/>
  <c r="S15" i="78" s="1"/>
  <c r="P16" i="78"/>
  <c r="Q16" i="78" s="1"/>
  <c r="R16" i="78"/>
  <c r="S16" i="78" s="1"/>
  <c r="P17" i="78"/>
  <c r="Q17" i="78" s="1"/>
  <c r="R17" i="78"/>
  <c r="S17" i="78" s="1"/>
  <c r="P18" i="78"/>
  <c r="Q18" i="78" s="1"/>
  <c r="R18" i="78"/>
  <c r="S18" i="78" s="1"/>
  <c r="P19" i="78"/>
  <c r="Q19" i="78" s="1"/>
  <c r="R19" i="78"/>
  <c r="S19" i="78" s="1"/>
  <c r="P20" i="78"/>
  <c r="Q20" i="78" s="1"/>
  <c r="R20" i="78"/>
  <c r="S20" i="78" s="1"/>
  <c r="P21" i="78"/>
  <c r="Q21" i="78" s="1"/>
  <c r="R21" i="78"/>
  <c r="S21" i="78" s="1"/>
  <c r="P22" i="78"/>
  <c r="Q22" i="78" s="1"/>
  <c r="R22" i="78"/>
  <c r="S22" i="78" s="1"/>
  <c r="P23" i="78"/>
  <c r="Q23" i="78" s="1"/>
  <c r="R23" i="78"/>
  <c r="S23" i="78" s="1"/>
  <c r="P24" i="78"/>
  <c r="Q24" i="78" s="1"/>
  <c r="R24" i="78"/>
  <c r="S24" i="78" s="1"/>
  <c r="P25" i="78"/>
  <c r="Q25" i="78" s="1"/>
  <c r="R25" i="78"/>
  <c r="S25" i="78" s="1"/>
  <c r="P26" i="78"/>
  <c r="Q26" i="78" s="1"/>
  <c r="R26" i="78"/>
  <c r="S26" i="78" s="1"/>
  <c r="P27" i="78"/>
  <c r="Q27" i="78" s="1"/>
  <c r="R27" i="78"/>
  <c r="S27" i="78" s="1"/>
  <c r="P28" i="78"/>
  <c r="Q28" i="78" s="1"/>
  <c r="R28" i="78"/>
  <c r="S28" i="78" s="1"/>
  <c r="P29" i="78"/>
  <c r="Q29" i="78" s="1"/>
  <c r="R29" i="78"/>
  <c r="S29" i="78" s="1"/>
  <c r="P30" i="78"/>
  <c r="Q30" i="78" s="1"/>
  <c r="R30" i="78"/>
  <c r="S30" i="78" s="1"/>
  <c r="P31" i="78"/>
  <c r="Q31" i="78" s="1"/>
  <c r="R31" i="78"/>
  <c r="S31" i="78" s="1"/>
  <c r="P32" i="78"/>
  <c r="Q32" i="78" s="1"/>
  <c r="R32" i="78"/>
  <c r="S32" i="78" s="1"/>
  <c r="P33" i="78"/>
  <c r="Q33" i="78" s="1"/>
  <c r="R33" i="78"/>
  <c r="S33" i="78" s="1"/>
  <c r="P34" i="78"/>
  <c r="Q34" i="78" s="1"/>
  <c r="R34" i="78"/>
  <c r="S34" i="78" s="1"/>
  <c r="P35" i="78"/>
  <c r="Q35" i="78" s="1"/>
  <c r="R35" i="78"/>
  <c r="S35" i="78" s="1"/>
  <c r="P36" i="78"/>
  <c r="Q36" i="78" s="1"/>
  <c r="R36" i="78"/>
  <c r="S36" i="78" s="1"/>
  <c r="P37" i="78"/>
  <c r="Q37" i="78" s="1"/>
  <c r="R37" i="78"/>
  <c r="S37" i="78" s="1"/>
  <c r="P38" i="78"/>
  <c r="Q38" i="78" s="1"/>
  <c r="R38" i="78"/>
  <c r="S38" i="78" s="1"/>
  <c r="P39" i="78"/>
  <c r="Q39" i="78" s="1"/>
  <c r="R39" i="78"/>
  <c r="S39" i="78" s="1"/>
  <c r="P40" i="78"/>
  <c r="Q40" i="78" s="1"/>
  <c r="R40" i="78"/>
  <c r="S40" i="78" s="1"/>
  <c r="P41" i="78"/>
  <c r="Q41" i="78" s="1"/>
  <c r="R41" i="78"/>
  <c r="S41" i="78" s="1"/>
  <c r="P42" i="78"/>
  <c r="Q42" i="78" s="1"/>
  <c r="R42" i="78"/>
  <c r="S42" i="78" s="1"/>
  <c r="P43" i="78"/>
  <c r="Q43" i="78" s="1"/>
  <c r="R43" i="78"/>
  <c r="S43" i="78" s="1"/>
  <c r="P44" i="78"/>
  <c r="Q44" i="78" s="1"/>
  <c r="R44" i="78"/>
  <c r="S44" i="78" s="1"/>
  <c r="P45" i="78"/>
  <c r="Q45" i="78" s="1"/>
  <c r="R45" i="78"/>
  <c r="S45" i="78" s="1"/>
  <c r="P46" i="78"/>
  <c r="Q46" i="78" s="1"/>
  <c r="R46" i="78"/>
  <c r="S46" i="78" s="1"/>
  <c r="P47" i="78"/>
  <c r="Q47" i="78" s="1"/>
  <c r="R47" i="78"/>
  <c r="S47" i="78" s="1"/>
  <c r="P48" i="78"/>
  <c r="Q48" i="78" s="1"/>
  <c r="R48" i="78"/>
  <c r="S48" i="78" s="1"/>
  <c r="P49" i="78"/>
  <c r="Q49" i="78" s="1"/>
  <c r="R49" i="78"/>
  <c r="S49" i="78" s="1"/>
  <c r="P50" i="78"/>
  <c r="Q50" i="78" s="1"/>
  <c r="R50" i="78"/>
  <c r="S50" i="78" s="1"/>
  <c r="P51" i="78"/>
  <c r="Q51" i="78" s="1"/>
  <c r="R51" i="78"/>
  <c r="S51" i="78" s="1"/>
  <c r="P52" i="78"/>
  <c r="Q52" i="78" s="1"/>
  <c r="R52" i="78"/>
  <c r="S52" i="78" s="1"/>
  <c r="P53" i="78"/>
  <c r="Q53" i="78" s="1"/>
  <c r="R53" i="78"/>
  <c r="S53" i="78" s="1"/>
  <c r="P54" i="78"/>
  <c r="Q54" i="78" s="1"/>
  <c r="R54" i="78"/>
  <c r="S54" i="78" s="1"/>
  <c r="P55" i="78"/>
  <c r="Q55" i="78" s="1"/>
  <c r="R55" i="78"/>
  <c r="S55" i="78" s="1"/>
  <c r="P56" i="78"/>
  <c r="Q56" i="78" s="1"/>
  <c r="R56" i="78"/>
  <c r="S56" i="78" s="1"/>
  <c r="P57" i="78"/>
  <c r="Q57" i="78" s="1"/>
  <c r="R57" i="78"/>
  <c r="S57" i="78" s="1"/>
  <c r="P58" i="78"/>
  <c r="Q58" i="78" s="1"/>
  <c r="R58" i="78"/>
  <c r="S58" i="78" s="1"/>
  <c r="P59" i="78"/>
  <c r="Q59" i="78" s="1"/>
  <c r="R59" i="78"/>
  <c r="S59" i="78" s="1"/>
  <c r="P60" i="78"/>
  <c r="Q60" i="78" s="1"/>
  <c r="R60" i="78"/>
  <c r="S60" i="78" s="1"/>
  <c r="P61" i="78"/>
  <c r="Q61" i="78" s="1"/>
  <c r="R61" i="78"/>
  <c r="S61" i="78" s="1"/>
  <c r="P62" i="78"/>
  <c r="Q62" i="78" s="1"/>
  <c r="R62" i="78"/>
  <c r="S62" i="78" s="1"/>
  <c r="P63" i="78"/>
  <c r="Q63" i="78" s="1"/>
  <c r="R63" i="78"/>
  <c r="S63" i="78" s="1"/>
  <c r="P64" i="78"/>
  <c r="Q64" i="78" s="1"/>
  <c r="R64" i="78"/>
  <c r="S64" i="78" s="1"/>
  <c r="P65" i="78"/>
  <c r="Q65" i="78" s="1"/>
  <c r="R65" i="78"/>
  <c r="S65" i="78" s="1"/>
  <c r="P66" i="78"/>
  <c r="Q66" i="78" s="1"/>
  <c r="R66" i="78"/>
  <c r="S66" i="78" s="1"/>
  <c r="P67" i="78"/>
  <c r="Q67" i="78" s="1"/>
  <c r="R67" i="78"/>
  <c r="S67" i="78" s="1"/>
  <c r="P68" i="78"/>
  <c r="Q68" i="78" s="1"/>
  <c r="R68" i="78"/>
  <c r="S68" i="78" s="1"/>
  <c r="P69" i="78"/>
  <c r="Q69" i="78" s="1"/>
  <c r="R69" i="78"/>
  <c r="S69" i="78" s="1"/>
  <c r="P70" i="78"/>
  <c r="Q70" i="78" s="1"/>
  <c r="R70" i="78"/>
  <c r="S70" i="78" s="1"/>
  <c r="P71" i="78"/>
  <c r="Q71" i="78" s="1"/>
  <c r="R71" i="78"/>
  <c r="S71" i="78" s="1"/>
  <c r="P72" i="78"/>
  <c r="Q72" i="78" s="1"/>
  <c r="R72" i="78"/>
  <c r="S72" i="78" s="1"/>
  <c r="P73" i="78"/>
  <c r="Q73" i="78" s="1"/>
  <c r="R73" i="78"/>
  <c r="S73" i="78" s="1"/>
  <c r="P74" i="78"/>
  <c r="Q74" i="78" s="1"/>
  <c r="R74" i="78"/>
  <c r="S74" i="78" s="1"/>
  <c r="P75" i="78"/>
  <c r="Q75" i="78" s="1"/>
  <c r="R75" i="78"/>
  <c r="S75" i="78" s="1"/>
  <c r="P76" i="78"/>
  <c r="Q76" i="78" s="1"/>
  <c r="R76" i="78"/>
  <c r="S76" i="78" s="1"/>
  <c r="P77" i="78"/>
  <c r="Q77" i="78" s="1"/>
  <c r="R77" i="78"/>
  <c r="S77" i="78" s="1"/>
  <c r="P78" i="78"/>
  <c r="Q78" i="78" s="1"/>
  <c r="R78" i="78"/>
  <c r="S78" i="78" s="1"/>
  <c r="P79" i="78"/>
  <c r="Q79" i="78" s="1"/>
  <c r="R79" i="78"/>
  <c r="S79" i="78" s="1"/>
  <c r="P80" i="78"/>
  <c r="Q80" i="78" s="1"/>
  <c r="R80" i="78"/>
  <c r="S80" i="78" s="1"/>
  <c r="P81" i="78"/>
  <c r="Q81" i="78" s="1"/>
  <c r="R81" i="78"/>
  <c r="S81" i="78" s="1"/>
  <c r="P82" i="78"/>
  <c r="Q82" i="78" s="1"/>
  <c r="R82" i="78"/>
  <c r="S82" i="78" s="1"/>
  <c r="P83" i="78"/>
  <c r="Q83" i="78" s="1"/>
  <c r="R83" i="78"/>
  <c r="S83" i="78" s="1"/>
  <c r="P84" i="78"/>
  <c r="Q84" i="78" s="1"/>
  <c r="R84" i="78"/>
  <c r="S84" i="78" s="1"/>
  <c r="P85" i="78"/>
  <c r="Q85" i="78" s="1"/>
  <c r="R85" i="78"/>
  <c r="S85" i="78" s="1"/>
  <c r="P86" i="78"/>
  <c r="Q86" i="78" s="1"/>
  <c r="R86" i="78"/>
  <c r="S86" i="78" s="1"/>
  <c r="P87" i="78"/>
  <c r="Q87" i="78" s="1"/>
  <c r="R87" i="78"/>
  <c r="S87" i="78" s="1"/>
  <c r="P88" i="78"/>
  <c r="Q88" i="78" s="1"/>
  <c r="R88" i="78"/>
  <c r="S88" i="78" s="1"/>
  <c r="P89" i="78"/>
  <c r="Q89" i="78" s="1"/>
  <c r="R89" i="78"/>
  <c r="S89" i="78" s="1"/>
  <c r="P90" i="78"/>
  <c r="Q90" i="78" s="1"/>
  <c r="R90" i="78"/>
  <c r="S90" i="78" s="1"/>
  <c r="P91" i="78"/>
  <c r="Q91" i="78" s="1"/>
  <c r="R91" i="78"/>
  <c r="S91" i="78" s="1"/>
  <c r="P92" i="78"/>
  <c r="Q92" i="78" s="1"/>
  <c r="R92" i="78"/>
  <c r="S92" i="78" s="1"/>
  <c r="P93" i="78"/>
  <c r="Q93" i="78" s="1"/>
  <c r="R93" i="78"/>
  <c r="S93" i="78" s="1"/>
  <c r="P94" i="78"/>
  <c r="Q94" i="78" s="1"/>
  <c r="R94" i="78"/>
  <c r="S94" i="78" s="1"/>
  <c r="P95" i="78"/>
  <c r="Q95" i="78" s="1"/>
  <c r="R95" i="78"/>
  <c r="S95" i="78" s="1"/>
  <c r="P96" i="78"/>
  <c r="Q96" i="78" s="1"/>
  <c r="R96" i="78"/>
  <c r="S96" i="78" s="1"/>
  <c r="P97" i="78"/>
  <c r="Q97" i="78" s="1"/>
  <c r="R97" i="78"/>
  <c r="S97" i="78" s="1"/>
  <c r="P98" i="78"/>
  <c r="Q98" i="78" s="1"/>
  <c r="R98" i="78"/>
  <c r="S98" i="78" s="1"/>
  <c r="P99" i="78"/>
  <c r="Q99" i="78" s="1"/>
  <c r="R99" i="78"/>
  <c r="S99" i="78" s="1"/>
  <c r="P100" i="78"/>
  <c r="Q100" i="78" s="1"/>
  <c r="R100" i="78"/>
  <c r="S100" i="78" s="1"/>
  <c r="P101" i="78"/>
  <c r="Q101" i="78" s="1"/>
  <c r="R101" i="78"/>
  <c r="S101" i="78" s="1"/>
  <c r="P102" i="78"/>
  <c r="Q102" i="78" s="1"/>
  <c r="R102" i="78"/>
  <c r="S102" i="78" s="1"/>
  <c r="P103" i="78"/>
  <c r="Q103" i="78" s="1"/>
  <c r="R103" i="78"/>
  <c r="S103" i="78" s="1"/>
  <c r="P104" i="78"/>
  <c r="Q104" i="78" s="1"/>
  <c r="R104" i="78"/>
  <c r="S104" i="78" s="1"/>
  <c r="P105" i="78"/>
  <c r="Q105" i="78" s="1"/>
  <c r="R105" i="78"/>
  <c r="S105" i="78" s="1"/>
  <c r="P106" i="78"/>
  <c r="Q106" i="78" s="1"/>
  <c r="R106" i="78"/>
  <c r="S106" i="78" s="1"/>
  <c r="P107" i="78"/>
  <c r="Q107" i="78" s="1"/>
  <c r="R107" i="78"/>
  <c r="S107" i="78" s="1"/>
  <c r="P108" i="78"/>
  <c r="Q108" i="78" s="1"/>
  <c r="R108" i="78"/>
  <c r="S108" i="78" s="1"/>
  <c r="P109" i="78"/>
  <c r="Q109" i="78" s="1"/>
  <c r="R109" i="78"/>
  <c r="S109" i="78" s="1"/>
  <c r="P110" i="78"/>
  <c r="Q110" i="78" s="1"/>
  <c r="R110" i="78"/>
  <c r="S110" i="78" s="1"/>
  <c r="P111" i="78"/>
  <c r="Q111" i="78" s="1"/>
  <c r="R111" i="78"/>
  <c r="S111" i="78" s="1"/>
  <c r="P112" i="78"/>
  <c r="Q112" i="78" s="1"/>
  <c r="R112" i="78"/>
  <c r="S112" i="78" s="1"/>
  <c r="P113" i="78"/>
  <c r="Q113" i="78" s="1"/>
  <c r="R113" i="78"/>
  <c r="S113" i="78" s="1"/>
  <c r="P114" i="78"/>
  <c r="Q114" i="78" s="1"/>
  <c r="R114" i="78"/>
  <c r="S114" i="78" s="1"/>
  <c r="P115" i="78"/>
  <c r="Q115" i="78" s="1"/>
  <c r="R115" i="78"/>
  <c r="S115" i="78" s="1"/>
  <c r="P116" i="78"/>
  <c r="Q116" i="78" s="1"/>
  <c r="R116" i="78"/>
  <c r="S116" i="78" s="1"/>
  <c r="P117" i="78"/>
  <c r="Q117" i="78" s="1"/>
  <c r="R117" i="78"/>
  <c r="S117" i="78" s="1"/>
  <c r="P118" i="78"/>
  <c r="Q118" i="78" s="1"/>
  <c r="R118" i="78"/>
  <c r="S118" i="78" s="1"/>
  <c r="P119" i="78"/>
  <c r="Q119" i="78" s="1"/>
  <c r="R119" i="78"/>
  <c r="S119" i="78" s="1"/>
  <c r="P120" i="78"/>
  <c r="Q120" i="78" s="1"/>
  <c r="R120" i="78"/>
  <c r="S120" i="78" s="1"/>
  <c r="P121" i="78"/>
  <c r="Q121" i="78" s="1"/>
  <c r="R121" i="78"/>
  <c r="S121" i="78" s="1"/>
  <c r="P122" i="78"/>
  <c r="Q122" i="78" s="1"/>
  <c r="R122" i="78"/>
  <c r="S122" i="78" s="1"/>
  <c r="P123" i="78"/>
  <c r="Q123" i="78" s="1"/>
  <c r="R123" i="78"/>
  <c r="S123" i="78" s="1"/>
  <c r="P124" i="78"/>
  <c r="Q124" i="78" s="1"/>
  <c r="R124" i="78"/>
  <c r="S124" i="78" s="1"/>
  <c r="P125" i="78"/>
  <c r="Q125" i="78" s="1"/>
  <c r="R125" i="78"/>
  <c r="S125" i="78" s="1"/>
  <c r="P126" i="78"/>
  <c r="Q126" i="78" s="1"/>
  <c r="R126" i="78"/>
  <c r="S126" i="78" s="1"/>
  <c r="P127" i="78"/>
  <c r="Q127" i="78" s="1"/>
  <c r="R127" i="78"/>
  <c r="S127" i="78" s="1"/>
  <c r="P128" i="78"/>
  <c r="Q128" i="78" s="1"/>
  <c r="R128" i="78"/>
  <c r="S128" i="78" s="1"/>
  <c r="P129" i="78"/>
  <c r="Q129" i="78" s="1"/>
  <c r="R129" i="78"/>
  <c r="S129" i="78" s="1"/>
  <c r="P130" i="78"/>
  <c r="Q130" i="78" s="1"/>
  <c r="R130" i="78"/>
  <c r="S130" i="78" s="1"/>
  <c r="P131" i="78"/>
  <c r="Q131" i="78" s="1"/>
  <c r="R131" i="78"/>
  <c r="S131" i="78" s="1"/>
  <c r="P132" i="78"/>
  <c r="Q132" i="78" s="1"/>
  <c r="R132" i="78"/>
  <c r="S132" i="78" s="1"/>
  <c r="P133" i="78"/>
  <c r="Q133" i="78" s="1"/>
  <c r="R133" i="78"/>
  <c r="S133" i="78" s="1"/>
  <c r="P134" i="78"/>
  <c r="Q134" i="78" s="1"/>
  <c r="R134" i="78"/>
  <c r="S134" i="78" s="1"/>
  <c r="P135" i="78"/>
  <c r="Q135" i="78" s="1"/>
  <c r="R135" i="78"/>
  <c r="S135" i="78" s="1"/>
  <c r="P136" i="78"/>
  <c r="Q136" i="78" s="1"/>
  <c r="R136" i="78"/>
  <c r="S136" i="78" s="1"/>
  <c r="P137" i="78"/>
  <c r="Q137" i="78" s="1"/>
  <c r="R137" i="78"/>
  <c r="S137" i="78" s="1"/>
  <c r="P138" i="78"/>
  <c r="Q138" i="78" s="1"/>
  <c r="R138" i="78"/>
  <c r="S138" i="78" s="1"/>
  <c r="P139" i="78"/>
  <c r="Q139" i="78" s="1"/>
  <c r="R139" i="78"/>
  <c r="S139" i="78" s="1"/>
  <c r="P140" i="78"/>
  <c r="Q140" i="78" s="1"/>
  <c r="R140" i="78"/>
  <c r="S140" i="78" s="1"/>
  <c r="P141" i="78"/>
  <c r="Q141" i="78" s="1"/>
  <c r="R141" i="78"/>
  <c r="S141" i="78" s="1"/>
  <c r="P142" i="78"/>
  <c r="Q142" i="78" s="1"/>
  <c r="R142" i="78"/>
  <c r="S142" i="78" s="1"/>
  <c r="P143" i="78"/>
  <c r="Q143" i="78" s="1"/>
  <c r="R143" i="78"/>
  <c r="S143" i="78" s="1"/>
  <c r="P144" i="78"/>
  <c r="Q144" i="78" s="1"/>
  <c r="R144" i="78"/>
  <c r="S144" i="78" s="1"/>
  <c r="P145" i="78"/>
  <c r="Q145" i="78" s="1"/>
  <c r="R145" i="78"/>
  <c r="S145" i="78" s="1"/>
  <c r="P146" i="78"/>
  <c r="Q146" i="78" s="1"/>
  <c r="R146" i="78"/>
  <c r="S146" i="78" s="1"/>
  <c r="P147" i="78"/>
  <c r="Q147" i="78" s="1"/>
  <c r="R147" i="78"/>
  <c r="S147" i="78" s="1"/>
  <c r="P148" i="78"/>
  <c r="Q148" i="78" s="1"/>
  <c r="R148" i="78"/>
  <c r="S148" i="78" s="1"/>
  <c r="P149" i="78"/>
  <c r="Q149" i="78" s="1"/>
  <c r="R149" i="78"/>
  <c r="S149" i="78" s="1"/>
  <c r="P150" i="78"/>
  <c r="Q150" i="78" s="1"/>
  <c r="R150" i="78"/>
  <c r="S150" i="78" s="1"/>
  <c r="P151" i="78"/>
  <c r="Q151" i="78" s="1"/>
  <c r="R151" i="78"/>
  <c r="S151" i="78" s="1"/>
  <c r="P152" i="78"/>
  <c r="Q152" i="78" s="1"/>
  <c r="R152" i="78"/>
  <c r="S152" i="78" s="1"/>
  <c r="P153" i="78"/>
  <c r="Q153" i="78" s="1"/>
  <c r="R153" i="78"/>
  <c r="S153" i="78" s="1"/>
  <c r="P154" i="78"/>
  <c r="Q154" i="78" s="1"/>
  <c r="R154" i="78"/>
  <c r="S154" i="78" s="1"/>
  <c r="P155" i="78"/>
  <c r="Q155" i="78" s="1"/>
  <c r="R155" i="78"/>
  <c r="S155" i="78" s="1"/>
  <c r="P156" i="78"/>
  <c r="Q156" i="78" s="1"/>
  <c r="R156" i="78"/>
  <c r="S156" i="78" s="1"/>
  <c r="P157" i="78"/>
  <c r="Q157" i="78" s="1"/>
  <c r="R157" i="78"/>
  <c r="S157" i="78" s="1"/>
  <c r="P158" i="78"/>
  <c r="Q158" i="78" s="1"/>
  <c r="R158" i="78"/>
  <c r="S158" i="78" s="1"/>
  <c r="P159" i="78"/>
  <c r="Q159" i="78" s="1"/>
  <c r="R159" i="78"/>
  <c r="S159" i="78" s="1"/>
  <c r="P160" i="78"/>
  <c r="Q160" i="78" s="1"/>
  <c r="R160" i="78"/>
  <c r="S160" i="78" s="1"/>
  <c r="P161" i="78"/>
  <c r="Q161" i="78" s="1"/>
  <c r="R161" i="78"/>
  <c r="S161" i="78" s="1"/>
  <c r="P162" i="78"/>
  <c r="Q162" i="78" s="1"/>
  <c r="R162" i="78"/>
  <c r="S162" i="78" s="1"/>
  <c r="P163" i="78"/>
  <c r="Q163" i="78" s="1"/>
  <c r="R163" i="78"/>
  <c r="S163" i="78" s="1"/>
  <c r="P164" i="78"/>
  <c r="Q164" i="78" s="1"/>
  <c r="R164" i="78"/>
  <c r="S164" i="78" s="1"/>
  <c r="P165" i="78"/>
  <c r="Q165" i="78" s="1"/>
  <c r="R165" i="78"/>
  <c r="S165" i="78" s="1"/>
  <c r="P166" i="78"/>
  <c r="Q166" i="78" s="1"/>
  <c r="R166" i="78"/>
  <c r="S166" i="78" s="1"/>
  <c r="P167" i="78"/>
  <c r="Q167" i="78" s="1"/>
  <c r="R167" i="78"/>
  <c r="S167" i="78" s="1"/>
  <c r="P168" i="78"/>
  <c r="Q168" i="78" s="1"/>
  <c r="R168" i="78"/>
  <c r="S168" i="78" s="1"/>
  <c r="P169" i="78"/>
  <c r="Q169" i="78" s="1"/>
  <c r="R169" i="78"/>
  <c r="S169" i="78" s="1"/>
  <c r="P170" i="78"/>
  <c r="Q170" i="78" s="1"/>
  <c r="R170" i="78"/>
  <c r="S170" i="78" s="1"/>
  <c r="P171" i="78"/>
  <c r="Q171" i="78" s="1"/>
  <c r="R171" i="78"/>
  <c r="S171" i="78" s="1"/>
  <c r="P172" i="78"/>
  <c r="Q172" i="78" s="1"/>
  <c r="R172" i="78"/>
  <c r="S172" i="78" s="1"/>
  <c r="P173" i="78"/>
  <c r="Q173" i="78" s="1"/>
  <c r="R173" i="78"/>
  <c r="S173" i="78" s="1"/>
  <c r="P174" i="78"/>
  <c r="Q174" i="78" s="1"/>
  <c r="R174" i="78"/>
  <c r="S174" i="78" s="1"/>
  <c r="P175" i="78"/>
  <c r="Q175" i="78" s="1"/>
  <c r="R175" i="78"/>
  <c r="S175" i="78" s="1"/>
  <c r="P176" i="78"/>
  <c r="Q176" i="78" s="1"/>
  <c r="R176" i="78"/>
  <c r="S176" i="78" s="1"/>
  <c r="P177" i="78"/>
  <c r="Q177" i="78" s="1"/>
  <c r="R177" i="78"/>
  <c r="S177" i="78" s="1"/>
  <c r="P178" i="78"/>
  <c r="Q178" i="78" s="1"/>
  <c r="R178" i="78"/>
  <c r="S178" i="78" s="1"/>
  <c r="P179" i="78"/>
  <c r="Q179" i="78" s="1"/>
  <c r="R179" i="78"/>
  <c r="S179" i="78" s="1"/>
  <c r="P180" i="78"/>
  <c r="Q180" i="78" s="1"/>
  <c r="R180" i="78"/>
  <c r="S180" i="78" s="1"/>
  <c r="P181" i="78"/>
  <c r="Q181" i="78" s="1"/>
  <c r="R181" i="78"/>
  <c r="S181" i="78" s="1"/>
  <c r="P182" i="78"/>
  <c r="Q182" i="78" s="1"/>
  <c r="R182" i="78"/>
  <c r="S182" i="78" s="1"/>
  <c r="P183" i="78"/>
  <c r="Q183" i="78" s="1"/>
  <c r="R183" i="78"/>
  <c r="S183" i="78" s="1"/>
  <c r="P184" i="78"/>
  <c r="Q184" i="78" s="1"/>
  <c r="R184" i="78"/>
  <c r="S184" i="78" s="1"/>
  <c r="P185" i="78"/>
  <c r="Q185" i="78" s="1"/>
  <c r="R185" i="78"/>
  <c r="S185" i="78" s="1"/>
  <c r="P186" i="78"/>
  <c r="Q186" i="78" s="1"/>
  <c r="R186" i="78"/>
  <c r="S186" i="78" s="1"/>
  <c r="P187" i="78"/>
  <c r="Q187" i="78" s="1"/>
  <c r="R187" i="78"/>
  <c r="S187" i="78" s="1"/>
  <c r="P188" i="78"/>
  <c r="Q188" i="78" s="1"/>
  <c r="R188" i="78"/>
  <c r="S188" i="78" s="1"/>
  <c r="P189" i="78"/>
  <c r="Q189" i="78" s="1"/>
  <c r="R189" i="78"/>
  <c r="S189" i="78" s="1"/>
  <c r="P190" i="78"/>
  <c r="Q190" i="78" s="1"/>
  <c r="R190" i="78"/>
  <c r="S190" i="78" s="1"/>
  <c r="P191" i="78"/>
  <c r="Q191" i="78" s="1"/>
  <c r="R191" i="78"/>
  <c r="S191" i="78" s="1"/>
  <c r="P192" i="78"/>
  <c r="Q192" i="78" s="1"/>
  <c r="R192" i="78"/>
  <c r="S192" i="78" s="1"/>
  <c r="P193" i="78"/>
  <c r="Q193" i="78" s="1"/>
  <c r="R193" i="78"/>
  <c r="S193" i="78" s="1"/>
  <c r="P194" i="78"/>
  <c r="Q194" i="78" s="1"/>
  <c r="R194" i="78"/>
  <c r="S194" i="78" s="1"/>
  <c r="P195" i="78"/>
  <c r="Q195" i="78" s="1"/>
  <c r="R195" i="78"/>
  <c r="S195" i="78" s="1"/>
  <c r="P196" i="78"/>
  <c r="Q196" i="78" s="1"/>
  <c r="R196" i="78"/>
  <c r="S196" i="78" s="1"/>
  <c r="P197" i="78"/>
  <c r="Q197" i="78" s="1"/>
  <c r="R197" i="78"/>
  <c r="S197" i="78" s="1"/>
  <c r="P198" i="78"/>
  <c r="Q198" i="78" s="1"/>
  <c r="R198" i="78"/>
  <c r="S198" i="78" s="1"/>
  <c r="P199" i="78"/>
  <c r="Q199" i="78" s="1"/>
  <c r="R199" i="78"/>
  <c r="S199" i="78" s="1"/>
  <c r="P200" i="78"/>
  <c r="Q200" i="78" s="1"/>
  <c r="R200" i="78"/>
  <c r="S200" i="78" s="1"/>
  <c r="P201" i="78"/>
  <c r="Q201" i="78" s="1"/>
  <c r="R201" i="78"/>
  <c r="S201" i="78" s="1"/>
  <c r="P202" i="78"/>
  <c r="Q202" i="78" s="1"/>
  <c r="R202" i="78"/>
  <c r="S202" i="78" s="1"/>
  <c r="P203" i="78"/>
  <c r="Q203" i="78" s="1"/>
  <c r="R203" i="78"/>
  <c r="S203" i="78" s="1"/>
  <c r="P204" i="78"/>
  <c r="Q204" i="78" s="1"/>
  <c r="R204" i="78"/>
  <c r="S204" i="78" s="1"/>
  <c r="P205" i="78"/>
  <c r="Q205" i="78" s="1"/>
  <c r="R205" i="78"/>
  <c r="S205" i="78" s="1"/>
  <c r="P206" i="78"/>
  <c r="Q206" i="78" s="1"/>
  <c r="R206" i="78"/>
  <c r="S206" i="78" s="1"/>
  <c r="P207" i="78"/>
  <c r="Q207" i="78" s="1"/>
  <c r="R207" i="78"/>
  <c r="S207" i="78" s="1"/>
  <c r="P208" i="78"/>
  <c r="Q208" i="78" s="1"/>
  <c r="R208" i="78"/>
  <c r="S208" i="78" s="1"/>
  <c r="P209" i="78"/>
  <c r="Q209" i="78" s="1"/>
  <c r="R209" i="78"/>
  <c r="S209" i="78" s="1"/>
  <c r="P210" i="78"/>
  <c r="Q210" i="78" s="1"/>
  <c r="R210" i="78"/>
  <c r="S210" i="78" s="1"/>
  <c r="P211" i="78"/>
  <c r="Q211" i="78" s="1"/>
  <c r="R211" i="78"/>
  <c r="S211" i="78" s="1"/>
  <c r="P212" i="78"/>
  <c r="Q212" i="78" s="1"/>
  <c r="R212" i="78"/>
  <c r="S212" i="78" s="1"/>
  <c r="P213" i="78"/>
  <c r="Q213" i="78" s="1"/>
  <c r="R213" i="78"/>
  <c r="S213" i="78" s="1"/>
  <c r="P214" i="78"/>
  <c r="Q214" i="78" s="1"/>
  <c r="R214" i="78"/>
  <c r="S214" i="78" s="1"/>
  <c r="P215" i="78"/>
  <c r="Q215" i="78" s="1"/>
  <c r="R215" i="78"/>
  <c r="S215" i="78" s="1"/>
  <c r="P216" i="78"/>
  <c r="Q216" i="78" s="1"/>
  <c r="R216" i="78"/>
  <c r="S216" i="78" s="1"/>
  <c r="P217" i="78"/>
  <c r="Q217" i="78" s="1"/>
  <c r="R217" i="78"/>
  <c r="S217" i="78" s="1"/>
  <c r="P218" i="78"/>
  <c r="Q218" i="78" s="1"/>
  <c r="R218" i="78"/>
  <c r="S218" i="78" s="1"/>
  <c r="P219" i="78"/>
  <c r="Q219" i="78" s="1"/>
  <c r="R219" i="78"/>
  <c r="S219" i="78" s="1"/>
  <c r="P220" i="78"/>
  <c r="Q220" i="78" s="1"/>
  <c r="R220" i="78"/>
  <c r="S220" i="78" s="1"/>
  <c r="P221" i="78"/>
  <c r="Q221" i="78" s="1"/>
  <c r="R221" i="78"/>
  <c r="S221" i="78" s="1"/>
  <c r="P222" i="78"/>
  <c r="Q222" i="78" s="1"/>
  <c r="R222" i="78"/>
  <c r="S222" i="78" s="1"/>
  <c r="P223" i="78"/>
  <c r="Q223" i="78" s="1"/>
  <c r="R223" i="78"/>
  <c r="S223" i="78" s="1"/>
  <c r="P224" i="78"/>
  <c r="Q224" i="78" s="1"/>
  <c r="R224" i="78"/>
  <c r="S224" i="78" s="1"/>
  <c r="P225" i="78"/>
  <c r="Q225" i="78" s="1"/>
  <c r="R225" i="78"/>
  <c r="S225" i="78" s="1"/>
  <c r="P226" i="78"/>
  <c r="Q226" i="78" s="1"/>
  <c r="R226" i="78"/>
  <c r="S226" i="78" s="1"/>
  <c r="P227" i="78"/>
  <c r="Q227" i="78" s="1"/>
  <c r="R227" i="78"/>
  <c r="S227" i="78" s="1"/>
  <c r="P228" i="78"/>
  <c r="Q228" i="78" s="1"/>
  <c r="R228" i="78"/>
  <c r="S228" i="78" s="1"/>
  <c r="P229" i="78"/>
  <c r="Q229" i="78" s="1"/>
  <c r="R229" i="78"/>
  <c r="S229" i="78" s="1"/>
  <c r="P230" i="78"/>
  <c r="Q230" i="78" s="1"/>
  <c r="R230" i="78"/>
  <c r="S230" i="78" s="1"/>
  <c r="P231" i="78"/>
  <c r="Q231" i="78" s="1"/>
  <c r="R231" i="78"/>
  <c r="S231" i="78" s="1"/>
  <c r="P232" i="78"/>
  <c r="Q232" i="78" s="1"/>
  <c r="R232" i="78"/>
  <c r="S232" i="78" s="1"/>
  <c r="P233" i="78"/>
  <c r="Q233" i="78" s="1"/>
  <c r="R233" i="78"/>
  <c r="S233" i="78" s="1"/>
  <c r="P234" i="78"/>
  <c r="Q234" i="78" s="1"/>
  <c r="R234" i="78"/>
  <c r="S234" i="78" s="1"/>
  <c r="P235" i="78"/>
  <c r="Q235" i="78" s="1"/>
  <c r="R235" i="78"/>
  <c r="S235" i="78" s="1"/>
  <c r="P236" i="78"/>
  <c r="Q236" i="78" s="1"/>
  <c r="R236" i="78"/>
  <c r="S236" i="78" s="1"/>
  <c r="P237" i="78"/>
  <c r="Q237" i="78" s="1"/>
  <c r="R237" i="78"/>
  <c r="S237" i="78" s="1"/>
  <c r="P238" i="78"/>
  <c r="Q238" i="78" s="1"/>
  <c r="R238" i="78"/>
  <c r="S238" i="78" s="1"/>
  <c r="P239" i="78"/>
  <c r="Q239" i="78" s="1"/>
  <c r="R239" i="78"/>
  <c r="S239" i="78" s="1"/>
  <c r="P240" i="78"/>
  <c r="Q240" i="78" s="1"/>
  <c r="R240" i="78"/>
  <c r="S240" i="78" s="1"/>
  <c r="P241" i="78"/>
  <c r="Q241" i="78" s="1"/>
  <c r="R241" i="78"/>
  <c r="S241" i="78" s="1"/>
  <c r="P242" i="78"/>
  <c r="Q242" i="78" s="1"/>
  <c r="R242" i="78"/>
  <c r="S242" i="78" s="1"/>
  <c r="P243" i="78"/>
  <c r="Q243" i="78" s="1"/>
  <c r="R243" i="78"/>
  <c r="S243" i="78" s="1"/>
  <c r="P244" i="78"/>
  <c r="Q244" i="78" s="1"/>
  <c r="R244" i="78"/>
  <c r="S244" i="78" s="1"/>
  <c r="P245" i="78"/>
  <c r="Q245" i="78" s="1"/>
  <c r="R245" i="78"/>
  <c r="S245" i="78" s="1"/>
  <c r="P246" i="78"/>
  <c r="Q246" i="78" s="1"/>
  <c r="R246" i="78"/>
  <c r="S246" i="78" s="1"/>
  <c r="P247" i="78"/>
  <c r="Q247" i="78" s="1"/>
  <c r="R247" i="78"/>
  <c r="S247" i="78" s="1"/>
  <c r="P248" i="78"/>
  <c r="Q248" i="78" s="1"/>
  <c r="R248" i="78"/>
  <c r="S248" i="78" s="1"/>
  <c r="P249" i="78"/>
  <c r="Q249" i="78" s="1"/>
  <c r="R249" i="78"/>
  <c r="S249" i="78" s="1"/>
  <c r="P250" i="78"/>
  <c r="Q250" i="78" s="1"/>
  <c r="R250" i="78"/>
  <c r="S250" i="78" s="1"/>
  <c r="P251" i="78"/>
  <c r="Q251" i="78" s="1"/>
  <c r="R251" i="78"/>
  <c r="S251" i="78" s="1"/>
  <c r="P252" i="78"/>
  <c r="Q252" i="78" s="1"/>
  <c r="R252" i="78"/>
  <c r="S252" i="78" s="1"/>
  <c r="P253" i="78"/>
  <c r="Q253" i="78" s="1"/>
  <c r="R253" i="78"/>
  <c r="S253" i="78" s="1"/>
  <c r="P254" i="78"/>
  <c r="Q254" i="78" s="1"/>
  <c r="R254" i="78"/>
  <c r="S254" i="78" s="1"/>
  <c r="P255" i="78"/>
  <c r="Q255" i="78" s="1"/>
  <c r="R255" i="78"/>
  <c r="S255" i="78" s="1"/>
  <c r="P256" i="78"/>
  <c r="Q256" i="78" s="1"/>
  <c r="R256" i="78"/>
  <c r="S256" i="78" s="1"/>
  <c r="P257" i="78"/>
  <c r="Q257" i="78" s="1"/>
  <c r="R257" i="78"/>
  <c r="S257" i="78" s="1"/>
  <c r="P258" i="78"/>
  <c r="Q258" i="78" s="1"/>
  <c r="R258" i="78"/>
  <c r="S258" i="78" s="1"/>
  <c r="P259" i="78"/>
  <c r="Q259" i="78" s="1"/>
  <c r="R259" i="78"/>
  <c r="S259" i="78" s="1"/>
  <c r="P260" i="78"/>
  <c r="Q260" i="78" s="1"/>
  <c r="R260" i="78"/>
  <c r="S260" i="78" s="1"/>
  <c r="P261" i="78"/>
  <c r="R261" i="78"/>
  <c r="P262" i="78"/>
  <c r="Q262" i="78" s="1"/>
  <c r="R262" i="78"/>
  <c r="S262" i="78" s="1"/>
  <c r="P263" i="78"/>
  <c r="Q263" i="78" s="1"/>
  <c r="R263" i="78"/>
  <c r="S263" i="78" s="1"/>
  <c r="P264" i="78"/>
  <c r="Q264" i="78" s="1"/>
  <c r="R264" i="78"/>
  <c r="S264" i="78" s="1"/>
  <c r="P265" i="78"/>
  <c r="Q265" i="78" s="1"/>
  <c r="R265" i="78"/>
  <c r="S265" i="78" s="1"/>
  <c r="P266" i="78"/>
  <c r="Q266" i="78" s="1"/>
  <c r="R266" i="78"/>
  <c r="S266" i="78" s="1"/>
  <c r="P267" i="78"/>
  <c r="Q267" i="78" s="1"/>
  <c r="R267" i="78"/>
  <c r="S267" i="78" s="1"/>
  <c r="P268" i="78"/>
  <c r="Q268" i="78" s="1"/>
  <c r="R268" i="78"/>
  <c r="S268" i="78" s="1"/>
  <c r="P269" i="78"/>
  <c r="Q269" i="78" s="1"/>
  <c r="R269" i="78"/>
  <c r="S269" i="78" s="1"/>
  <c r="P270" i="78"/>
  <c r="Q270" i="78" s="1"/>
  <c r="R270" i="78"/>
  <c r="S270" i="78" s="1"/>
  <c r="P271" i="78"/>
  <c r="Q271" i="78" s="1"/>
  <c r="R271" i="78"/>
  <c r="S271" i="78" s="1"/>
  <c r="P272" i="78"/>
  <c r="Q272" i="78" s="1"/>
  <c r="R272" i="78"/>
  <c r="S272" i="78" s="1"/>
  <c r="P273" i="78"/>
  <c r="Q273" i="78" s="1"/>
  <c r="R273" i="78"/>
  <c r="S273" i="78" s="1"/>
  <c r="P274" i="78"/>
  <c r="Q274" i="78" s="1"/>
  <c r="R274" i="78"/>
  <c r="S274" i="78" s="1"/>
  <c r="P275" i="78"/>
  <c r="Q275" i="78" s="1"/>
  <c r="R275" i="78"/>
  <c r="S275" i="78" s="1"/>
  <c r="P276" i="78"/>
  <c r="Q276" i="78" s="1"/>
  <c r="R276" i="78"/>
  <c r="S276" i="78" s="1"/>
  <c r="P277" i="78"/>
  <c r="Q277" i="78" s="1"/>
  <c r="R277" i="78"/>
  <c r="S277" i="78" s="1"/>
  <c r="P278" i="78"/>
  <c r="Q278" i="78" s="1"/>
  <c r="R278" i="78"/>
  <c r="S278" i="78" s="1"/>
  <c r="P279" i="78"/>
  <c r="Q279" i="78" s="1"/>
  <c r="R279" i="78"/>
  <c r="S279" i="78" s="1"/>
  <c r="P280" i="78"/>
  <c r="Q280" i="78" s="1"/>
  <c r="R280" i="78"/>
  <c r="S280" i="78" s="1"/>
  <c r="P281" i="78"/>
  <c r="Q281" i="78" s="1"/>
  <c r="R281" i="78"/>
  <c r="S281" i="78" s="1"/>
  <c r="P282" i="78"/>
  <c r="Q282" i="78" s="1"/>
  <c r="R282" i="78"/>
  <c r="S282" i="78" s="1"/>
  <c r="P283" i="78"/>
  <c r="Q283" i="78" s="1"/>
  <c r="R283" i="78"/>
  <c r="S283" i="78" s="1"/>
  <c r="P284" i="78"/>
  <c r="Q284" i="78" s="1"/>
  <c r="R284" i="78"/>
  <c r="S284" i="78" s="1"/>
  <c r="P285" i="78"/>
  <c r="Q285" i="78" s="1"/>
  <c r="R285" i="78"/>
  <c r="S285" i="78" s="1"/>
  <c r="P286" i="78"/>
  <c r="Q286" i="78" s="1"/>
  <c r="R286" i="78"/>
  <c r="S286" i="78" s="1"/>
  <c r="P287" i="78"/>
  <c r="Q287" i="78" s="1"/>
  <c r="R287" i="78"/>
  <c r="S287" i="78" s="1"/>
  <c r="P288" i="78"/>
  <c r="Q288" i="78" s="1"/>
  <c r="R288" i="78"/>
  <c r="S288" i="78" s="1"/>
  <c r="P289" i="78"/>
  <c r="Q289" i="78" s="1"/>
  <c r="R289" i="78"/>
  <c r="S289" i="78" s="1"/>
  <c r="P290" i="78"/>
  <c r="Q290" i="78" s="1"/>
  <c r="R290" i="78"/>
  <c r="S290" i="78" s="1"/>
  <c r="P291" i="78"/>
  <c r="Q291" i="78" s="1"/>
  <c r="R291" i="78"/>
  <c r="S291" i="78" s="1"/>
  <c r="P292" i="78"/>
  <c r="Q292" i="78" s="1"/>
  <c r="R292" i="78"/>
  <c r="S292" i="78" s="1"/>
  <c r="P293" i="78"/>
  <c r="Q293" i="78" s="1"/>
  <c r="R293" i="78"/>
  <c r="S293" i="78" s="1"/>
  <c r="P294" i="78"/>
  <c r="Q294" i="78" s="1"/>
  <c r="R294" i="78"/>
  <c r="S294" i="78" s="1"/>
  <c r="P295" i="78"/>
  <c r="Q295" i="78" s="1"/>
  <c r="R295" i="78"/>
  <c r="S295" i="78" s="1"/>
  <c r="P296" i="78"/>
  <c r="Q296" i="78" s="1"/>
  <c r="R296" i="78"/>
  <c r="S296" i="78" s="1"/>
  <c r="P297" i="78"/>
  <c r="Q297" i="78" s="1"/>
  <c r="R297" i="78"/>
  <c r="S297" i="78" s="1"/>
  <c r="P298" i="78"/>
  <c r="Q298" i="78" s="1"/>
  <c r="R298" i="78"/>
  <c r="S298" i="78" s="1"/>
  <c r="P299" i="78"/>
  <c r="Q299" i="78" s="1"/>
  <c r="R299" i="78"/>
  <c r="S299" i="78" s="1"/>
  <c r="P300" i="78"/>
  <c r="Q300" i="78" s="1"/>
  <c r="R300" i="78"/>
  <c r="S300" i="78" s="1"/>
  <c r="P301" i="78"/>
  <c r="Q301" i="78" s="1"/>
  <c r="R301" i="78"/>
  <c r="S301" i="78" s="1"/>
  <c r="P302" i="78"/>
  <c r="Q302" i="78" s="1"/>
  <c r="R302" i="78"/>
  <c r="S302" i="78" s="1"/>
  <c r="P303" i="78"/>
  <c r="Q303" i="78" s="1"/>
  <c r="R303" i="78"/>
  <c r="S303" i="78" s="1"/>
  <c r="P304" i="78"/>
  <c r="Q304" i="78" s="1"/>
  <c r="R304" i="78"/>
  <c r="S304" i="78" s="1"/>
  <c r="P305" i="78"/>
  <c r="Q305" i="78" s="1"/>
  <c r="R305" i="78"/>
  <c r="S305" i="78" s="1"/>
  <c r="P306" i="78"/>
  <c r="Q306" i="78" s="1"/>
  <c r="R306" i="78"/>
  <c r="S306" i="78" s="1"/>
  <c r="P307" i="78"/>
  <c r="Q307" i="78" s="1"/>
  <c r="R307" i="78"/>
  <c r="S307" i="78" s="1"/>
  <c r="P308" i="78"/>
  <c r="Q308" i="78" s="1"/>
  <c r="R308" i="78"/>
  <c r="S308" i="78" s="1"/>
  <c r="P309" i="78"/>
  <c r="Q309" i="78" s="1"/>
  <c r="R309" i="78"/>
  <c r="S309" i="78" s="1"/>
  <c r="P310" i="78"/>
  <c r="Q310" i="78" s="1"/>
  <c r="R310" i="78"/>
  <c r="S310" i="78" s="1"/>
  <c r="P311" i="78"/>
  <c r="Q311" i="78" s="1"/>
  <c r="R311" i="78"/>
  <c r="S311" i="78" s="1"/>
  <c r="R5" i="78"/>
  <c r="P5" i="78"/>
  <c r="N6" i="78"/>
  <c r="O6" i="78" s="1"/>
  <c r="N7" i="78"/>
  <c r="O7" i="78" s="1"/>
  <c r="N8" i="78"/>
  <c r="O8" i="78" s="1"/>
  <c r="N9" i="78"/>
  <c r="O9" i="78" s="1"/>
  <c r="N10" i="78"/>
  <c r="O10" i="78" s="1"/>
  <c r="N11" i="78"/>
  <c r="O11" i="78" s="1"/>
  <c r="N12" i="78"/>
  <c r="O12" i="78" s="1"/>
  <c r="N13" i="78"/>
  <c r="O13" i="78" s="1"/>
  <c r="N14" i="78"/>
  <c r="O14" i="78" s="1"/>
  <c r="N15" i="78"/>
  <c r="O15" i="78" s="1"/>
  <c r="N16" i="78"/>
  <c r="O16" i="78" s="1"/>
  <c r="N17" i="78"/>
  <c r="O17" i="78" s="1"/>
  <c r="N18" i="78"/>
  <c r="O18" i="78" s="1"/>
  <c r="N19" i="78"/>
  <c r="O19" i="78" s="1"/>
  <c r="N20" i="78"/>
  <c r="O20" i="78" s="1"/>
  <c r="N21" i="78"/>
  <c r="O21" i="78" s="1"/>
  <c r="N22" i="78"/>
  <c r="O22" i="78" s="1"/>
  <c r="N23" i="78"/>
  <c r="O23" i="78" s="1"/>
  <c r="N24" i="78"/>
  <c r="O24" i="78" s="1"/>
  <c r="N25" i="78"/>
  <c r="O25" i="78" s="1"/>
  <c r="N26" i="78"/>
  <c r="O26" i="78" s="1"/>
  <c r="N27" i="78"/>
  <c r="O27" i="78" s="1"/>
  <c r="N28" i="78"/>
  <c r="O28" i="78" s="1"/>
  <c r="N29" i="78"/>
  <c r="O29" i="78" s="1"/>
  <c r="N30" i="78"/>
  <c r="O30" i="78" s="1"/>
  <c r="N31" i="78"/>
  <c r="O31" i="78" s="1"/>
  <c r="N32" i="78"/>
  <c r="O32" i="78" s="1"/>
  <c r="N33" i="78"/>
  <c r="O33" i="78" s="1"/>
  <c r="N34" i="78"/>
  <c r="O34" i="78" s="1"/>
  <c r="N35" i="78"/>
  <c r="O35" i="78" s="1"/>
  <c r="N36" i="78"/>
  <c r="O36" i="78" s="1"/>
  <c r="N37" i="78"/>
  <c r="O37" i="78" s="1"/>
  <c r="N38" i="78"/>
  <c r="O38" i="78" s="1"/>
  <c r="N39" i="78"/>
  <c r="O39" i="78" s="1"/>
  <c r="N40" i="78"/>
  <c r="O40" i="78" s="1"/>
  <c r="N41" i="78"/>
  <c r="O41" i="78" s="1"/>
  <c r="N42" i="78"/>
  <c r="O42" i="78" s="1"/>
  <c r="N43" i="78"/>
  <c r="O43" i="78" s="1"/>
  <c r="N44" i="78"/>
  <c r="O44" i="78" s="1"/>
  <c r="N45" i="78"/>
  <c r="O45" i="78" s="1"/>
  <c r="N46" i="78"/>
  <c r="O46" i="78" s="1"/>
  <c r="N47" i="78"/>
  <c r="O47" i="78" s="1"/>
  <c r="N48" i="78"/>
  <c r="O48" i="78" s="1"/>
  <c r="N49" i="78"/>
  <c r="O49" i="78" s="1"/>
  <c r="N50" i="78"/>
  <c r="O50" i="78" s="1"/>
  <c r="N51" i="78"/>
  <c r="O51" i="78" s="1"/>
  <c r="N52" i="78"/>
  <c r="O52" i="78" s="1"/>
  <c r="N53" i="78"/>
  <c r="O53" i="78" s="1"/>
  <c r="N54" i="78"/>
  <c r="O54" i="78" s="1"/>
  <c r="N55" i="78"/>
  <c r="O55" i="78" s="1"/>
  <c r="N56" i="78"/>
  <c r="O56" i="78" s="1"/>
  <c r="N57" i="78"/>
  <c r="O57" i="78" s="1"/>
  <c r="N58" i="78"/>
  <c r="O58" i="78" s="1"/>
  <c r="N59" i="78"/>
  <c r="O59" i="78" s="1"/>
  <c r="N60" i="78"/>
  <c r="O60" i="78" s="1"/>
  <c r="N61" i="78"/>
  <c r="O61" i="78" s="1"/>
  <c r="N62" i="78"/>
  <c r="O62" i="78" s="1"/>
  <c r="N63" i="78"/>
  <c r="O63" i="78" s="1"/>
  <c r="N64" i="78"/>
  <c r="O64" i="78" s="1"/>
  <c r="N65" i="78"/>
  <c r="O65" i="78" s="1"/>
  <c r="N66" i="78"/>
  <c r="O66" i="78" s="1"/>
  <c r="N67" i="78"/>
  <c r="O67" i="78" s="1"/>
  <c r="N68" i="78"/>
  <c r="O68" i="78" s="1"/>
  <c r="N69" i="78"/>
  <c r="O69" i="78" s="1"/>
  <c r="N70" i="78"/>
  <c r="O70" i="78" s="1"/>
  <c r="N71" i="78"/>
  <c r="O71" i="78" s="1"/>
  <c r="N72" i="78"/>
  <c r="O72" i="78" s="1"/>
  <c r="N73" i="78"/>
  <c r="O73" i="78" s="1"/>
  <c r="N74" i="78"/>
  <c r="O74" i="78" s="1"/>
  <c r="N75" i="78"/>
  <c r="O75" i="78" s="1"/>
  <c r="N76" i="78"/>
  <c r="O76" i="78" s="1"/>
  <c r="N77" i="78"/>
  <c r="O77" i="78" s="1"/>
  <c r="N78" i="78"/>
  <c r="O78" i="78" s="1"/>
  <c r="N79" i="78"/>
  <c r="O79" i="78" s="1"/>
  <c r="N80" i="78"/>
  <c r="O80" i="78" s="1"/>
  <c r="N81" i="78"/>
  <c r="O81" i="78" s="1"/>
  <c r="N82" i="78"/>
  <c r="O82" i="78" s="1"/>
  <c r="N83" i="78"/>
  <c r="O83" i="78" s="1"/>
  <c r="N84" i="78"/>
  <c r="O84" i="78" s="1"/>
  <c r="N85" i="78"/>
  <c r="O85" i="78" s="1"/>
  <c r="N86" i="78"/>
  <c r="O86" i="78" s="1"/>
  <c r="N87" i="78"/>
  <c r="O87" i="78" s="1"/>
  <c r="N88" i="78"/>
  <c r="O88" i="78" s="1"/>
  <c r="N89" i="78"/>
  <c r="O89" i="78" s="1"/>
  <c r="N90" i="78"/>
  <c r="O90" i="78" s="1"/>
  <c r="N91" i="78"/>
  <c r="O91" i="78" s="1"/>
  <c r="N92" i="78"/>
  <c r="O92" i="78" s="1"/>
  <c r="N93" i="78"/>
  <c r="O93" i="78" s="1"/>
  <c r="N94" i="78"/>
  <c r="O94" i="78" s="1"/>
  <c r="N95" i="78"/>
  <c r="O95" i="78" s="1"/>
  <c r="N96" i="78"/>
  <c r="O96" i="78" s="1"/>
  <c r="N97" i="78"/>
  <c r="O97" i="78" s="1"/>
  <c r="N98" i="78"/>
  <c r="O98" i="78" s="1"/>
  <c r="N99" i="78"/>
  <c r="O99" i="78" s="1"/>
  <c r="N100" i="78"/>
  <c r="O100" i="78" s="1"/>
  <c r="N101" i="78"/>
  <c r="O101" i="78" s="1"/>
  <c r="N102" i="78"/>
  <c r="O102" i="78" s="1"/>
  <c r="N103" i="78"/>
  <c r="O103" i="78" s="1"/>
  <c r="N104" i="78"/>
  <c r="O104" i="78" s="1"/>
  <c r="N105" i="78"/>
  <c r="O105" i="78" s="1"/>
  <c r="N106" i="78"/>
  <c r="O106" i="78" s="1"/>
  <c r="N107" i="78"/>
  <c r="O107" i="78" s="1"/>
  <c r="N108" i="78"/>
  <c r="O108" i="78" s="1"/>
  <c r="N109" i="78"/>
  <c r="O109" i="78" s="1"/>
  <c r="N110" i="78"/>
  <c r="O110" i="78" s="1"/>
  <c r="N111" i="78"/>
  <c r="O111" i="78" s="1"/>
  <c r="N112" i="78"/>
  <c r="O112" i="78" s="1"/>
  <c r="N113" i="78"/>
  <c r="O113" i="78" s="1"/>
  <c r="N114" i="78"/>
  <c r="O114" i="78" s="1"/>
  <c r="N115" i="78"/>
  <c r="O115" i="78" s="1"/>
  <c r="N116" i="78"/>
  <c r="O116" i="78" s="1"/>
  <c r="N117" i="78"/>
  <c r="O117" i="78" s="1"/>
  <c r="N118" i="78"/>
  <c r="O118" i="78" s="1"/>
  <c r="N119" i="78"/>
  <c r="O119" i="78" s="1"/>
  <c r="N120" i="78"/>
  <c r="O120" i="78" s="1"/>
  <c r="N121" i="78"/>
  <c r="O121" i="78" s="1"/>
  <c r="N122" i="78"/>
  <c r="O122" i="78" s="1"/>
  <c r="N123" i="78"/>
  <c r="O123" i="78" s="1"/>
  <c r="N124" i="78"/>
  <c r="O124" i="78" s="1"/>
  <c r="N125" i="78"/>
  <c r="O125" i="78" s="1"/>
  <c r="N126" i="78"/>
  <c r="O126" i="78" s="1"/>
  <c r="N127" i="78"/>
  <c r="O127" i="78" s="1"/>
  <c r="N128" i="78"/>
  <c r="O128" i="78" s="1"/>
  <c r="N129" i="78"/>
  <c r="O129" i="78" s="1"/>
  <c r="N130" i="78"/>
  <c r="O130" i="78" s="1"/>
  <c r="N131" i="78"/>
  <c r="O131" i="78" s="1"/>
  <c r="N132" i="78"/>
  <c r="O132" i="78" s="1"/>
  <c r="N133" i="78"/>
  <c r="O133" i="78" s="1"/>
  <c r="N134" i="78"/>
  <c r="O134" i="78" s="1"/>
  <c r="N135" i="78"/>
  <c r="O135" i="78" s="1"/>
  <c r="N136" i="78"/>
  <c r="O136" i="78" s="1"/>
  <c r="N137" i="78"/>
  <c r="O137" i="78" s="1"/>
  <c r="N138" i="78"/>
  <c r="O138" i="78" s="1"/>
  <c r="N139" i="78"/>
  <c r="O139" i="78" s="1"/>
  <c r="N140" i="78"/>
  <c r="O140" i="78" s="1"/>
  <c r="N141" i="78"/>
  <c r="O141" i="78" s="1"/>
  <c r="N142" i="78"/>
  <c r="O142" i="78" s="1"/>
  <c r="N143" i="78"/>
  <c r="O143" i="78" s="1"/>
  <c r="N144" i="78"/>
  <c r="O144" i="78" s="1"/>
  <c r="N145" i="78"/>
  <c r="O145" i="78" s="1"/>
  <c r="N146" i="78"/>
  <c r="O146" i="78" s="1"/>
  <c r="N147" i="78"/>
  <c r="O147" i="78" s="1"/>
  <c r="N148" i="78"/>
  <c r="O148" i="78" s="1"/>
  <c r="N149" i="78"/>
  <c r="O149" i="78" s="1"/>
  <c r="N150" i="78"/>
  <c r="O150" i="78" s="1"/>
  <c r="N151" i="78"/>
  <c r="O151" i="78" s="1"/>
  <c r="N152" i="78"/>
  <c r="O152" i="78" s="1"/>
  <c r="N153" i="78"/>
  <c r="O153" i="78" s="1"/>
  <c r="N154" i="78"/>
  <c r="O154" i="78" s="1"/>
  <c r="N155" i="78"/>
  <c r="O155" i="78" s="1"/>
  <c r="N156" i="78"/>
  <c r="O156" i="78" s="1"/>
  <c r="N157" i="78"/>
  <c r="O157" i="78" s="1"/>
  <c r="N158" i="78"/>
  <c r="O158" i="78" s="1"/>
  <c r="N159" i="78"/>
  <c r="O159" i="78" s="1"/>
  <c r="N160" i="78"/>
  <c r="O160" i="78" s="1"/>
  <c r="N161" i="78"/>
  <c r="O161" i="78" s="1"/>
  <c r="N162" i="78"/>
  <c r="O162" i="78" s="1"/>
  <c r="N163" i="78"/>
  <c r="O163" i="78" s="1"/>
  <c r="N164" i="78"/>
  <c r="O164" i="78" s="1"/>
  <c r="N165" i="78"/>
  <c r="O165" i="78" s="1"/>
  <c r="N166" i="78"/>
  <c r="O166" i="78" s="1"/>
  <c r="N167" i="78"/>
  <c r="O167" i="78" s="1"/>
  <c r="N168" i="78"/>
  <c r="O168" i="78" s="1"/>
  <c r="N169" i="78"/>
  <c r="O169" i="78" s="1"/>
  <c r="N170" i="78"/>
  <c r="O170" i="78" s="1"/>
  <c r="N171" i="78"/>
  <c r="O171" i="78" s="1"/>
  <c r="N172" i="78"/>
  <c r="O172" i="78" s="1"/>
  <c r="N173" i="78"/>
  <c r="O173" i="78" s="1"/>
  <c r="N174" i="78"/>
  <c r="O174" i="78" s="1"/>
  <c r="N175" i="78"/>
  <c r="O175" i="78" s="1"/>
  <c r="N176" i="78"/>
  <c r="O176" i="78" s="1"/>
  <c r="N177" i="78"/>
  <c r="O177" i="78" s="1"/>
  <c r="N178" i="78"/>
  <c r="O178" i="78" s="1"/>
  <c r="N179" i="78"/>
  <c r="O179" i="78" s="1"/>
  <c r="N180" i="78"/>
  <c r="O180" i="78" s="1"/>
  <c r="N181" i="78"/>
  <c r="O181" i="78" s="1"/>
  <c r="N182" i="78"/>
  <c r="O182" i="78" s="1"/>
  <c r="N183" i="78"/>
  <c r="O183" i="78" s="1"/>
  <c r="N184" i="78"/>
  <c r="O184" i="78" s="1"/>
  <c r="N185" i="78"/>
  <c r="O185" i="78" s="1"/>
  <c r="N186" i="78"/>
  <c r="O186" i="78" s="1"/>
  <c r="N187" i="78"/>
  <c r="O187" i="78" s="1"/>
  <c r="N188" i="78"/>
  <c r="O188" i="78" s="1"/>
  <c r="N189" i="78"/>
  <c r="O189" i="78" s="1"/>
  <c r="N190" i="78"/>
  <c r="O190" i="78" s="1"/>
  <c r="N191" i="78"/>
  <c r="O191" i="78" s="1"/>
  <c r="N192" i="78"/>
  <c r="O192" i="78" s="1"/>
  <c r="N193" i="78"/>
  <c r="O193" i="78" s="1"/>
  <c r="N194" i="78"/>
  <c r="O194" i="78" s="1"/>
  <c r="N195" i="78"/>
  <c r="O195" i="78" s="1"/>
  <c r="N196" i="78"/>
  <c r="O196" i="78" s="1"/>
  <c r="N197" i="78"/>
  <c r="O197" i="78" s="1"/>
  <c r="N198" i="78"/>
  <c r="O198" i="78" s="1"/>
  <c r="N199" i="78"/>
  <c r="O199" i="78" s="1"/>
  <c r="N200" i="78"/>
  <c r="O200" i="78" s="1"/>
  <c r="N201" i="78"/>
  <c r="O201" i="78" s="1"/>
  <c r="N202" i="78"/>
  <c r="O202" i="78" s="1"/>
  <c r="N203" i="78"/>
  <c r="O203" i="78" s="1"/>
  <c r="N204" i="78"/>
  <c r="O204" i="78" s="1"/>
  <c r="N205" i="78"/>
  <c r="O205" i="78" s="1"/>
  <c r="N206" i="78"/>
  <c r="O206" i="78" s="1"/>
  <c r="N207" i="78"/>
  <c r="O207" i="78" s="1"/>
  <c r="N208" i="78"/>
  <c r="O208" i="78" s="1"/>
  <c r="N209" i="78"/>
  <c r="O209" i="78" s="1"/>
  <c r="N210" i="78"/>
  <c r="O210" i="78" s="1"/>
  <c r="N211" i="78"/>
  <c r="O211" i="78" s="1"/>
  <c r="N212" i="78"/>
  <c r="O212" i="78" s="1"/>
  <c r="N213" i="78"/>
  <c r="O213" i="78" s="1"/>
  <c r="N214" i="78"/>
  <c r="O214" i="78" s="1"/>
  <c r="N215" i="78"/>
  <c r="O215" i="78" s="1"/>
  <c r="N216" i="78"/>
  <c r="O216" i="78" s="1"/>
  <c r="N217" i="78"/>
  <c r="O217" i="78" s="1"/>
  <c r="N218" i="78"/>
  <c r="O218" i="78" s="1"/>
  <c r="N219" i="78"/>
  <c r="O219" i="78" s="1"/>
  <c r="N220" i="78"/>
  <c r="O220" i="78" s="1"/>
  <c r="N221" i="78"/>
  <c r="O221" i="78" s="1"/>
  <c r="N222" i="78"/>
  <c r="O222" i="78" s="1"/>
  <c r="N223" i="78"/>
  <c r="O223" i="78" s="1"/>
  <c r="N224" i="78"/>
  <c r="O224" i="78" s="1"/>
  <c r="N225" i="78"/>
  <c r="O225" i="78" s="1"/>
  <c r="N226" i="78"/>
  <c r="O226" i="78" s="1"/>
  <c r="N227" i="78"/>
  <c r="O227" i="78" s="1"/>
  <c r="N228" i="78"/>
  <c r="O228" i="78" s="1"/>
  <c r="N229" i="78"/>
  <c r="O229" i="78" s="1"/>
  <c r="N230" i="78"/>
  <c r="O230" i="78" s="1"/>
  <c r="N231" i="78"/>
  <c r="O231" i="78" s="1"/>
  <c r="N232" i="78"/>
  <c r="O232" i="78" s="1"/>
  <c r="N233" i="78"/>
  <c r="O233" i="78" s="1"/>
  <c r="N234" i="78"/>
  <c r="O234" i="78" s="1"/>
  <c r="N235" i="78"/>
  <c r="O235" i="78" s="1"/>
  <c r="N236" i="78"/>
  <c r="O236" i="78" s="1"/>
  <c r="N237" i="78"/>
  <c r="O237" i="78" s="1"/>
  <c r="N238" i="78"/>
  <c r="O238" i="78" s="1"/>
  <c r="N239" i="78"/>
  <c r="O239" i="78" s="1"/>
  <c r="N240" i="78"/>
  <c r="O240" i="78" s="1"/>
  <c r="N241" i="78"/>
  <c r="O241" i="78" s="1"/>
  <c r="N242" i="78"/>
  <c r="O242" i="78" s="1"/>
  <c r="N243" i="78"/>
  <c r="O243" i="78" s="1"/>
  <c r="N244" i="78"/>
  <c r="O244" i="78" s="1"/>
  <c r="N245" i="78"/>
  <c r="O245" i="78" s="1"/>
  <c r="N246" i="78"/>
  <c r="O246" i="78" s="1"/>
  <c r="N247" i="78"/>
  <c r="O247" i="78" s="1"/>
  <c r="N248" i="78"/>
  <c r="O248" i="78" s="1"/>
  <c r="N249" i="78"/>
  <c r="O249" i="78" s="1"/>
  <c r="N250" i="78"/>
  <c r="O250" i="78" s="1"/>
  <c r="N251" i="78"/>
  <c r="O251" i="78" s="1"/>
  <c r="N252" i="78"/>
  <c r="O252" i="78" s="1"/>
  <c r="N253" i="78"/>
  <c r="O253" i="78" s="1"/>
  <c r="N254" i="78"/>
  <c r="O254" i="78" s="1"/>
  <c r="N255" i="78"/>
  <c r="O255" i="78" s="1"/>
  <c r="N256" i="78"/>
  <c r="O256" i="78" s="1"/>
  <c r="N257" i="78"/>
  <c r="O257" i="78" s="1"/>
  <c r="N258" i="78"/>
  <c r="O258" i="78" s="1"/>
  <c r="N259" i="78"/>
  <c r="O259" i="78" s="1"/>
  <c r="N260" i="78"/>
  <c r="O260" i="78" s="1"/>
  <c r="N261" i="78"/>
  <c r="N262" i="78"/>
  <c r="O262" i="78" s="1"/>
  <c r="N263" i="78"/>
  <c r="O263" i="78" s="1"/>
  <c r="N264" i="78"/>
  <c r="O264" i="78" s="1"/>
  <c r="N265" i="78"/>
  <c r="O265" i="78" s="1"/>
  <c r="N266" i="78"/>
  <c r="O266" i="78" s="1"/>
  <c r="N267" i="78"/>
  <c r="O267" i="78" s="1"/>
  <c r="N268" i="78"/>
  <c r="O268" i="78" s="1"/>
  <c r="N269" i="78"/>
  <c r="O269" i="78" s="1"/>
  <c r="N270" i="78"/>
  <c r="O270" i="78" s="1"/>
  <c r="N271" i="78"/>
  <c r="O271" i="78" s="1"/>
  <c r="N272" i="78"/>
  <c r="O272" i="78" s="1"/>
  <c r="N273" i="78"/>
  <c r="O273" i="78" s="1"/>
  <c r="N274" i="78"/>
  <c r="O274" i="78" s="1"/>
  <c r="N275" i="78"/>
  <c r="O275" i="78" s="1"/>
  <c r="N276" i="78"/>
  <c r="O276" i="78" s="1"/>
  <c r="N277" i="78"/>
  <c r="O277" i="78" s="1"/>
  <c r="N278" i="78"/>
  <c r="O278" i="78" s="1"/>
  <c r="N279" i="78"/>
  <c r="O279" i="78" s="1"/>
  <c r="N280" i="78"/>
  <c r="O280" i="78" s="1"/>
  <c r="N281" i="78"/>
  <c r="O281" i="78" s="1"/>
  <c r="N282" i="78"/>
  <c r="O282" i="78" s="1"/>
  <c r="N283" i="78"/>
  <c r="O283" i="78" s="1"/>
  <c r="N284" i="78"/>
  <c r="O284" i="78" s="1"/>
  <c r="N285" i="78"/>
  <c r="O285" i="78" s="1"/>
  <c r="N286" i="78"/>
  <c r="O286" i="78" s="1"/>
  <c r="N287" i="78"/>
  <c r="O287" i="78" s="1"/>
  <c r="N288" i="78"/>
  <c r="O288" i="78" s="1"/>
  <c r="N289" i="78"/>
  <c r="O289" i="78" s="1"/>
  <c r="N290" i="78"/>
  <c r="O290" i="78" s="1"/>
  <c r="N291" i="78"/>
  <c r="O291" i="78" s="1"/>
  <c r="N292" i="78"/>
  <c r="O292" i="78" s="1"/>
  <c r="N293" i="78"/>
  <c r="O293" i="78" s="1"/>
  <c r="N294" i="78"/>
  <c r="O294" i="78" s="1"/>
  <c r="N295" i="78"/>
  <c r="O295" i="78" s="1"/>
  <c r="N296" i="78"/>
  <c r="O296" i="78" s="1"/>
  <c r="N297" i="78"/>
  <c r="O297" i="78" s="1"/>
  <c r="N298" i="78"/>
  <c r="O298" i="78" s="1"/>
  <c r="N299" i="78"/>
  <c r="O299" i="78" s="1"/>
  <c r="N300" i="78"/>
  <c r="O300" i="78" s="1"/>
  <c r="N301" i="78"/>
  <c r="O301" i="78" s="1"/>
  <c r="N302" i="78"/>
  <c r="O302" i="78" s="1"/>
  <c r="N303" i="78"/>
  <c r="O303" i="78" s="1"/>
  <c r="N304" i="78"/>
  <c r="O304" i="78" s="1"/>
  <c r="N305" i="78"/>
  <c r="O305" i="78" s="1"/>
  <c r="N306" i="78"/>
  <c r="O306" i="78" s="1"/>
  <c r="N307" i="78"/>
  <c r="O307" i="78" s="1"/>
  <c r="N308" i="78"/>
  <c r="O308" i="78" s="1"/>
  <c r="N309" i="78"/>
  <c r="O309" i="78" s="1"/>
  <c r="N310" i="78"/>
  <c r="O310" i="78" s="1"/>
  <c r="N311" i="78"/>
  <c r="O311" i="78" s="1"/>
  <c r="N5" i="78"/>
  <c r="L6" i="78"/>
  <c r="M6" i="78" s="1"/>
  <c r="L7" i="78"/>
  <c r="M7" i="78" s="1"/>
  <c r="L8" i="78"/>
  <c r="M8" i="78" s="1"/>
  <c r="L9" i="78"/>
  <c r="M9" i="78" s="1"/>
  <c r="L10" i="78"/>
  <c r="M10" i="78" s="1"/>
  <c r="L11" i="78"/>
  <c r="M11" i="78" s="1"/>
  <c r="L12" i="78"/>
  <c r="M12" i="78" s="1"/>
  <c r="L13" i="78"/>
  <c r="M13" i="78" s="1"/>
  <c r="L14" i="78"/>
  <c r="M14" i="78" s="1"/>
  <c r="L15" i="78"/>
  <c r="M15" i="78" s="1"/>
  <c r="L16" i="78"/>
  <c r="M16" i="78" s="1"/>
  <c r="L17" i="78"/>
  <c r="M17" i="78" s="1"/>
  <c r="L18" i="78"/>
  <c r="M18" i="78" s="1"/>
  <c r="L19" i="78"/>
  <c r="M19" i="78" s="1"/>
  <c r="L20" i="78"/>
  <c r="M20" i="78" s="1"/>
  <c r="L21" i="78"/>
  <c r="M21" i="78" s="1"/>
  <c r="L22" i="78"/>
  <c r="M22" i="78" s="1"/>
  <c r="L23" i="78"/>
  <c r="M23" i="78" s="1"/>
  <c r="L24" i="78"/>
  <c r="M24" i="78" s="1"/>
  <c r="L25" i="78"/>
  <c r="M25" i="78" s="1"/>
  <c r="L26" i="78"/>
  <c r="M26" i="78" s="1"/>
  <c r="L27" i="78"/>
  <c r="M27" i="78" s="1"/>
  <c r="L28" i="78"/>
  <c r="M28" i="78" s="1"/>
  <c r="L29" i="78"/>
  <c r="M29" i="78" s="1"/>
  <c r="L30" i="78"/>
  <c r="M30" i="78" s="1"/>
  <c r="L31" i="78"/>
  <c r="M31" i="78" s="1"/>
  <c r="L32" i="78"/>
  <c r="M32" i="78" s="1"/>
  <c r="L33" i="78"/>
  <c r="M33" i="78" s="1"/>
  <c r="L34" i="78"/>
  <c r="M34" i="78" s="1"/>
  <c r="L35" i="78"/>
  <c r="M35" i="78" s="1"/>
  <c r="L36" i="78"/>
  <c r="M36" i="78" s="1"/>
  <c r="L37" i="78"/>
  <c r="M37" i="78" s="1"/>
  <c r="L38" i="78"/>
  <c r="M38" i="78" s="1"/>
  <c r="L39" i="78"/>
  <c r="M39" i="78" s="1"/>
  <c r="L40" i="78"/>
  <c r="M40" i="78" s="1"/>
  <c r="L41" i="78"/>
  <c r="M41" i="78" s="1"/>
  <c r="L42" i="78"/>
  <c r="M42" i="78" s="1"/>
  <c r="L43" i="78"/>
  <c r="M43" i="78" s="1"/>
  <c r="L44" i="78"/>
  <c r="M44" i="78" s="1"/>
  <c r="L45" i="78"/>
  <c r="M45" i="78" s="1"/>
  <c r="L46" i="78"/>
  <c r="M46" i="78" s="1"/>
  <c r="L47" i="78"/>
  <c r="M47" i="78" s="1"/>
  <c r="L48" i="78"/>
  <c r="M48" i="78" s="1"/>
  <c r="L49" i="78"/>
  <c r="M49" i="78" s="1"/>
  <c r="L50" i="78"/>
  <c r="M50" i="78" s="1"/>
  <c r="L51" i="78"/>
  <c r="M51" i="78" s="1"/>
  <c r="L52" i="78"/>
  <c r="M52" i="78" s="1"/>
  <c r="L53" i="78"/>
  <c r="M53" i="78" s="1"/>
  <c r="L54" i="78"/>
  <c r="M54" i="78" s="1"/>
  <c r="L55" i="78"/>
  <c r="M55" i="78" s="1"/>
  <c r="L56" i="78"/>
  <c r="M56" i="78" s="1"/>
  <c r="L57" i="78"/>
  <c r="M57" i="78" s="1"/>
  <c r="L58" i="78"/>
  <c r="M58" i="78" s="1"/>
  <c r="L59" i="78"/>
  <c r="M59" i="78" s="1"/>
  <c r="L60" i="78"/>
  <c r="M60" i="78" s="1"/>
  <c r="L61" i="78"/>
  <c r="M61" i="78" s="1"/>
  <c r="L62" i="78"/>
  <c r="M62" i="78" s="1"/>
  <c r="L63" i="78"/>
  <c r="M63" i="78" s="1"/>
  <c r="L64" i="78"/>
  <c r="M64" i="78" s="1"/>
  <c r="L65" i="78"/>
  <c r="M65" i="78" s="1"/>
  <c r="L66" i="78"/>
  <c r="M66" i="78" s="1"/>
  <c r="L67" i="78"/>
  <c r="M67" i="78" s="1"/>
  <c r="L68" i="78"/>
  <c r="M68" i="78" s="1"/>
  <c r="L69" i="78"/>
  <c r="M69" i="78" s="1"/>
  <c r="L70" i="78"/>
  <c r="M70" i="78" s="1"/>
  <c r="L71" i="78"/>
  <c r="M71" i="78" s="1"/>
  <c r="L72" i="78"/>
  <c r="M72" i="78" s="1"/>
  <c r="L73" i="78"/>
  <c r="M73" i="78" s="1"/>
  <c r="L74" i="78"/>
  <c r="M74" i="78" s="1"/>
  <c r="L75" i="78"/>
  <c r="M75" i="78" s="1"/>
  <c r="L76" i="78"/>
  <c r="M76" i="78" s="1"/>
  <c r="L77" i="78"/>
  <c r="M77" i="78" s="1"/>
  <c r="L78" i="78"/>
  <c r="M78" i="78" s="1"/>
  <c r="L79" i="78"/>
  <c r="M79" i="78" s="1"/>
  <c r="L80" i="78"/>
  <c r="M80" i="78" s="1"/>
  <c r="L81" i="78"/>
  <c r="M81" i="78" s="1"/>
  <c r="L82" i="78"/>
  <c r="M82" i="78" s="1"/>
  <c r="L83" i="78"/>
  <c r="M83" i="78" s="1"/>
  <c r="L84" i="78"/>
  <c r="M84" i="78" s="1"/>
  <c r="L85" i="78"/>
  <c r="M85" i="78" s="1"/>
  <c r="L86" i="78"/>
  <c r="M86" i="78" s="1"/>
  <c r="L87" i="78"/>
  <c r="M87" i="78" s="1"/>
  <c r="L88" i="78"/>
  <c r="M88" i="78" s="1"/>
  <c r="L89" i="78"/>
  <c r="M89" i="78" s="1"/>
  <c r="L90" i="78"/>
  <c r="M90" i="78" s="1"/>
  <c r="L91" i="78"/>
  <c r="M91" i="78" s="1"/>
  <c r="L92" i="78"/>
  <c r="M92" i="78" s="1"/>
  <c r="L93" i="78"/>
  <c r="M93" i="78" s="1"/>
  <c r="L94" i="78"/>
  <c r="M94" i="78" s="1"/>
  <c r="L95" i="78"/>
  <c r="L96" i="78"/>
  <c r="M96" i="78" s="1"/>
  <c r="L97" i="78"/>
  <c r="M97" i="78" s="1"/>
  <c r="L98" i="78"/>
  <c r="M98" i="78" s="1"/>
  <c r="L99" i="78"/>
  <c r="M99" i="78" s="1"/>
  <c r="L100" i="78"/>
  <c r="M100" i="78" s="1"/>
  <c r="L101" i="78"/>
  <c r="M101" i="78" s="1"/>
  <c r="L102" i="78"/>
  <c r="M102" i="78" s="1"/>
  <c r="L103" i="78"/>
  <c r="M103" i="78" s="1"/>
  <c r="L104" i="78"/>
  <c r="M104" i="78" s="1"/>
  <c r="L105" i="78"/>
  <c r="M105" i="78" s="1"/>
  <c r="L106" i="78"/>
  <c r="M106" i="78" s="1"/>
  <c r="L107" i="78"/>
  <c r="M107" i="78" s="1"/>
  <c r="L108" i="78"/>
  <c r="M108" i="78" s="1"/>
  <c r="L109" i="78"/>
  <c r="M109" i="78" s="1"/>
  <c r="L110" i="78"/>
  <c r="M110" i="78" s="1"/>
  <c r="L111" i="78"/>
  <c r="M111" i="78" s="1"/>
  <c r="L112" i="78"/>
  <c r="M112" i="78" s="1"/>
  <c r="L113" i="78"/>
  <c r="M113" i="78" s="1"/>
  <c r="L114" i="78"/>
  <c r="M114" i="78" s="1"/>
  <c r="L115" i="78"/>
  <c r="M115" i="78" s="1"/>
  <c r="L116" i="78"/>
  <c r="M116" i="78" s="1"/>
  <c r="L117" i="78"/>
  <c r="M117" i="78" s="1"/>
  <c r="L118" i="78"/>
  <c r="M118" i="78" s="1"/>
  <c r="L119" i="78"/>
  <c r="M119" i="78" s="1"/>
  <c r="L120" i="78"/>
  <c r="M120" i="78" s="1"/>
  <c r="L121" i="78"/>
  <c r="M121" i="78" s="1"/>
  <c r="L122" i="78"/>
  <c r="M122" i="78" s="1"/>
  <c r="L123" i="78"/>
  <c r="M123" i="78" s="1"/>
  <c r="L124" i="78"/>
  <c r="M124" i="78" s="1"/>
  <c r="L125" i="78"/>
  <c r="M125" i="78" s="1"/>
  <c r="L126" i="78"/>
  <c r="M126" i="78" s="1"/>
  <c r="L127" i="78"/>
  <c r="M127" i="78" s="1"/>
  <c r="L128" i="78"/>
  <c r="M128" i="78" s="1"/>
  <c r="L129" i="78"/>
  <c r="M129" i="78" s="1"/>
  <c r="L130" i="78"/>
  <c r="M130" i="78" s="1"/>
  <c r="L131" i="78"/>
  <c r="M131" i="78" s="1"/>
  <c r="L132" i="78"/>
  <c r="M132" i="78" s="1"/>
  <c r="L133" i="78"/>
  <c r="M133" i="78" s="1"/>
  <c r="L134" i="78"/>
  <c r="M134" i="78" s="1"/>
  <c r="L135" i="78"/>
  <c r="M135" i="78" s="1"/>
  <c r="L136" i="78"/>
  <c r="M136" i="78" s="1"/>
  <c r="L137" i="78"/>
  <c r="M137" i="78" s="1"/>
  <c r="L138" i="78"/>
  <c r="M138" i="78" s="1"/>
  <c r="L139" i="78"/>
  <c r="M139" i="78" s="1"/>
  <c r="L140" i="78"/>
  <c r="M140" i="78" s="1"/>
  <c r="L141" i="78"/>
  <c r="M141" i="78" s="1"/>
  <c r="L142" i="78"/>
  <c r="M142" i="78" s="1"/>
  <c r="L143" i="78"/>
  <c r="M143" i="78" s="1"/>
  <c r="L144" i="78"/>
  <c r="M144" i="78" s="1"/>
  <c r="L145" i="78"/>
  <c r="M145" i="78" s="1"/>
  <c r="L146" i="78"/>
  <c r="M146" i="78" s="1"/>
  <c r="L147" i="78"/>
  <c r="M147" i="78" s="1"/>
  <c r="L148" i="78"/>
  <c r="M148" i="78" s="1"/>
  <c r="L149" i="78"/>
  <c r="M149" i="78" s="1"/>
  <c r="L150" i="78"/>
  <c r="M150" i="78" s="1"/>
  <c r="L151" i="78"/>
  <c r="M151" i="78" s="1"/>
  <c r="L152" i="78"/>
  <c r="M152" i="78" s="1"/>
  <c r="L153" i="78"/>
  <c r="M153" i="78" s="1"/>
  <c r="L154" i="78"/>
  <c r="M154" i="78" s="1"/>
  <c r="L155" i="78"/>
  <c r="M155" i="78" s="1"/>
  <c r="L156" i="78"/>
  <c r="M156" i="78" s="1"/>
  <c r="L157" i="78"/>
  <c r="M157" i="78" s="1"/>
  <c r="L158" i="78"/>
  <c r="M158" i="78" s="1"/>
  <c r="L159" i="78"/>
  <c r="M159" i="78" s="1"/>
  <c r="L160" i="78"/>
  <c r="M160" i="78" s="1"/>
  <c r="L161" i="78"/>
  <c r="M161" i="78" s="1"/>
  <c r="L162" i="78"/>
  <c r="M162" i="78" s="1"/>
  <c r="L163" i="78"/>
  <c r="M163" i="78" s="1"/>
  <c r="L164" i="78"/>
  <c r="M164" i="78" s="1"/>
  <c r="L165" i="78"/>
  <c r="M165" i="78" s="1"/>
  <c r="L166" i="78"/>
  <c r="M166" i="78" s="1"/>
  <c r="L167" i="78"/>
  <c r="M167" i="78" s="1"/>
  <c r="L168" i="78"/>
  <c r="M168" i="78" s="1"/>
  <c r="L169" i="78"/>
  <c r="M169" i="78" s="1"/>
  <c r="L170" i="78"/>
  <c r="M170" i="78" s="1"/>
  <c r="L171" i="78"/>
  <c r="M171" i="78" s="1"/>
  <c r="L172" i="78"/>
  <c r="M172" i="78" s="1"/>
  <c r="L173" i="78"/>
  <c r="M173" i="78" s="1"/>
  <c r="L174" i="78"/>
  <c r="M174" i="78" s="1"/>
  <c r="L175" i="78"/>
  <c r="M175" i="78" s="1"/>
  <c r="L176" i="78"/>
  <c r="M176" i="78" s="1"/>
  <c r="L177" i="78"/>
  <c r="M177" i="78" s="1"/>
  <c r="L178" i="78"/>
  <c r="M178" i="78" s="1"/>
  <c r="L179" i="78"/>
  <c r="M179" i="78" s="1"/>
  <c r="L180" i="78"/>
  <c r="M180" i="78" s="1"/>
  <c r="L181" i="78"/>
  <c r="M181" i="78" s="1"/>
  <c r="L182" i="78"/>
  <c r="M182" i="78" s="1"/>
  <c r="L183" i="78"/>
  <c r="M183" i="78" s="1"/>
  <c r="L184" i="78"/>
  <c r="M184" i="78" s="1"/>
  <c r="L185" i="78"/>
  <c r="M185" i="78" s="1"/>
  <c r="L186" i="78"/>
  <c r="M186" i="78" s="1"/>
  <c r="L187" i="78"/>
  <c r="M187" i="78" s="1"/>
  <c r="L188" i="78"/>
  <c r="M188" i="78" s="1"/>
  <c r="L189" i="78"/>
  <c r="M189" i="78" s="1"/>
  <c r="L190" i="78"/>
  <c r="M190" i="78" s="1"/>
  <c r="L191" i="78"/>
  <c r="M191" i="78" s="1"/>
  <c r="L192" i="78"/>
  <c r="M192" i="78" s="1"/>
  <c r="L193" i="78"/>
  <c r="M193" i="78" s="1"/>
  <c r="L194" i="78"/>
  <c r="M194" i="78" s="1"/>
  <c r="L195" i="78"/>
  <c r="M195" i="78" s="1"/>
  <c r="L196" i="78"/>
  <c r="M196" i="78" s="1"/>
  <c r="L197" i="78"/>
  <c r="M197" i="78" s="1"/>
  <c r="L198" i="78"/>
  <c r="M198" i="78" s="1"/>
  <c r="L199" i="78"/>
  <c r="M199" i="78" s="1"/>
  <c r="L200" i="78"/>
  <c r="M200" i="78" s="1"/>
  <c r="L201" i="78"/>
  <c r="M201" i="78" s="1"/>
  <c r="L202" i="78"/>
  <c r="M202" i="78" s="1"/>
  <c r="L203" i="78"/>
  <c r="M203" i="78" s="1"/>
  <c r="L204" i="78"/>
  <c r="M204" i="78" s="1"/>
  <c r="L205" i="78"/>
  <c r="M205" i="78" s="1"/>
  <c r="L206" i="78"/>
  <c r="M206" i="78" s="1"/>
  <c r="L207" i="78"/>
  <c r="M207" i="78" s="1"/>
  <c r="L208" i="78"/>
  <c r="M208" i="78" s="1"/>
  <c r="L209" i="78"/>
  <c r="M209" i="78" s="1"/>
  <c r="L210" i="78"/>
  <c r="M210" i="78" s="1"/>
  <c r="L211" i="78"/>
  <c r="M211" i="78" s="1"/>
  <c r="L212" i="78"/>
  <c r="M212" i="78" s="1"/>
  <c r="L213" i="78"/>
  <c r="M213" i="78" s="1"/>
  <c r="L214" i="78"/>
  <c r="M214" i="78" s="1"/>
  <c r="L215" i="78"/>
  <c r="M215" i="78" s="1"/>
  <c r="L216" i="78"/>
  <c r="M216" i="78" s="1"/>
  <c r="L217" i="78"/>
  <c r="M217" i="78" s="1"/>
  <c r="L218" i="78"/>
  <c r="M218" i="78" s="1"/>
  <c r="L219" i="78"/>
  <c r="M219" i="78" s="1"/>
  <c r="L220" i="78"/>
  <c r="M220" i="78" s="1"/>
  <c r="L221" i="78"/>
  <c r="M221" i="78" s="1"/>
  <c r="L222" i="78"/>
  <c r="M222" i="78" s="1"/>
  <c r="L223" i="78"/>
  <c r="M223" i="78" s="1"/>
  <c r="L224" i="78"/>
  <c r="M224" i="78" s="1"/>
  <c r="L225" i="78"/>
  <c r="M225" i="78" s="1"/>
  <c r="L226" i="78"/>
  <c r="M226" i="78" s="1"/>
  <c r="L227" i="78"/>
  <c r="M227" i="78" s="1"/>
  <c r="L228" i="78"/>
  <c r="M228" i="78" s="1"/>
  <c r="L229" i="78"/>
  <c r="M229" i="78" s="1"/>
  <c r="L230" i="78"/>
  <c r="M230" i="78" s="1"/>
  <c r="L231" i="78"/>
  <c r="M231" i="78" s="1"/>
  <c r="L232" i="78"/>
  <c r="M232" i="78" s="1"/>
  <c r="L233" i="78"/>
  <c r="M233" i="78" s="1"/>
  <c r="L234" i="78"/>
  <c r="M234" i="78" s="1"/>
  <c r="L235" i="78"/>
  <c r="M235" i="78" s="1"/>
  <c r="L236" i="78"/>
  <c r="M236" i="78" s="1"/>
  <c r="L237" i="78"/>
  <c r="M237" i="78" s="1"/>
  <c r="L238" i="78"/>
  <c r="M238" i="78" s="1"/>
  <c r="L239" i="78"/>
  <c r="M239" i="78" s="1"/>
  <c r="L240" i="78"/>
  <c r="M240" i="78" s="1"/>
  <c r="L241" i="78"/>
  <c r="M241" i="78" s="1"/>
  <c r="L242" i="78"/>
  <c r="M242" i="78" s="1"/>
  <c r="L243" i="78"/>
  <c r="M243" i="78" s="1"/>
  <c r="L244" i="78"/>
  <c r="M244" i="78" s="1"/>
  <c r="L245" i="78"/>
  <c r="M245" i="78" s="1"/>
  <c r="L246" i="78"/>
  <c r="M246" i="78" s="1"/>
  <c r="L247" i="78"/>
  <c r="M247" i="78" s="1"/>
  <c r="L248" i="78"/>
  <c r="M248" i="78" s="1"/>
  <c r="L249" i="78"/>
  <c r="M249" i="78" s="1"/>
  <c r="L250" i="78"/>
  <c r="M250" i="78" s="1"/>
  <c r="L251" i="78"/>
  <c r="M251" i="78" s="1"/>
  <c r="L252" i="78"/>
  <c r="M252" i="78" s="1"/>
  <c r="L253" i="78"/>
  <c r="M253" i="78" s="1"/>
  <c r="L254" i="78"/>
  <c r="M254" i="78" s="1"/>
  <c r="L255" i="78"/>
  <c r="M255" i="78" s="1"/>
  <c r="L256" i="78"/>
  <c r="M256" i="78" s="1"/>
  <c r="L257" i="78"/>
  <c r="M257" i="78" s="1"/>
  <c r="L258" i="78"/>
  <c r="M258" i="78" s="1"/>
  <c r="L259" i="78"/>
  <c r="M259" i="78" s="1"/>
  <c r="L260" i="78"/>
  <c r="M260" i="78" s="1"/>
  <c r="L261" i="78"/>
  <c r="L262" i="78"/>
  <c r="M262" i="78" s="1"/>
  <c r="L263" i="78"/>
  <c r="M263" i="78" s="1"/>
  <c r="L264" i="78"/>
  <c r="M264" i="78" s="1"/>
  <c r="L265" i="78"/>
  <c r="M265" i="78" s="1"/>
  <c r="L266" i="78"/>
  <c r="M266" i="78" s="1"/>
  <c r="L267" i="78"/>
  <c r="M267" i="78" s="1"/>
  <c r="L268" i="78"/>
  <c r="M268" i="78" s="1"/>
  <c r="L269" i="78"/>
  <c r="M269" i="78" s="1"/>
  <c r="L270" i="78"/>
  <c r="M270" i="78" s="1"/>
  <c r="L271" i="78"/>
  <c r="M271" i="78" s="1"/>
  <c r="L272" i="78"/>
  <c r="M272" i="78" s="1"/>
  <c r="L273" i="78"/>
  <c r="M273" i="78" s="1"/>
  <c r="L274" i="78"/>
  <c r="M274" i="78" s="1"/>
  <c r="L275" i="78"/>
  <c r="M275" i="78" s="1"/>
  <c r="L276" i="78"/>
  <c r="M276" i="78" s="1"/>
  <c r="L277" i="78"/>
  <c r="M277" i="78" s="1"/>
  <c r="L278" i="78"/>
  <c r="M278" i="78" s="1"/>
  <c r="L279" i="78"/>
  <c r="M279" i="78" s="1"/>
  <c r="L280" i="78"/>
  <c r="M280" i="78" s="1"/>
  <c r="L281" i="78"/>
  <c r="M281" i="78" s="1"/>
  <c r="L282" i="78"/>
  <c r="M282" i="78" s="1"/>
  <c r="L283" i="78"/>
  <c r="M283" i="78" s="1"/>
  <c r="L284" i="78"/>
  <c r="M284" i="78" s="1"/>
  <c r="L285" i="78"/>
  <c r="M285" i="78" s="1"/>
  <c r="L286" i="78"/>
  <c r="M286" i="78" s="1"/>
  <c r="L287" i="78"/>
  <c r="M287" i="78" s="1"/>
  <c r="L288" i="78"/>
  <c r="M288" i="78" s="1"/>
  <c r="L289" i="78"/>
  <c r="M289" i="78" s="1"/>
  <c r="L290" i="78"/>
  <c r="M290" i="78" s="1"/>
  <c r="L291" i="78"/>
  <c r="M291" i="78" s="1"/>
  <c r="L292" i="78"/>
  <c r="M292" i="78" s="1"/>
  <c r="L293" i="78"/>
  <c r="M293" i="78" s="1"/>
  <c r="L294" i="78"/>
  <c r="M294" i="78" s="1"/>
  <c r="L295" i="78"/>
  <c r="M295" i="78" s="1"/>
  <c r="L296" i="78"/>
  <c r="M296" i="78" s="1"/>
  <c r="L297" i="78"/>
  <c r="M297" i="78" s="1"/>
  <c r="L298" i="78"/>
  <c r="M298" i="78" s="1"/>
  <c r="L299" i="78"/>
  <c r="M299" i="78" s="1"/>
  <c r="L300" i="78"/>
  <c r="M300" i="78" s="1"/>
  <c r="L301" i="78"/>
  <c r="M301" i="78" s="1"/>
  <c r="L302" i="78"/>
  <c r="M302" i="78" s="1"/>
  <c r="L303" i="78"/>
  <c r="M303" i="78" s="1"/>
  <c r="L304" i="78"/>
  <c r="M304" i="78" s="1"/>
  <c r="L305" i="78"/>
  <c r="M305" i="78" s="1"/>
  <c r="L306" i="78"/>
  <c r="M306" i="78" s="1"/>
  <c r="L307" i="78"/>
  <c r="M307" i="78" s="1"/>
  <c r="L308" i="78"/>
  <c r="M308" i="78" s="1"/>
  <c r="L309" i="78"/>
  <c r="M309" i="78" s="1"/>
  <c r="L310" i="78"/>
  <c r="M310" i="78" s="1"/>
  <c r="L311" i="78"/>
  <c r="M311" i="78" s="1"/>
  <c r="L5" i="78"/>
  <c r="R4" i="78" l="1"/>
  <c r="L4" i="78"/>
  <c r="E20" i="32" s="1"/>
  <c r="N4" i="78"/>
  <c r="P4" i="78"/>
  <c r="M261" i="78"/>
  <c r="S261" i="78"/>
  <c r="Q261" i="78"/>
  <c r="O261" i="78"/>
  <c r="M95" i="78"/>
  <c r="O5" i="78"/>
  <c r="Z5" i="78"/>
  <c r="Z4" i="78" s="1"/>
  <c r="Q5" i="78"/>
  <c r="S5" i="78"/>
  <c r="AD5" i="78"/>
  <c r="AD4" i="78" s="1"/>
  <c r="M5" i="78"/>
  <c r="X5" i="78"/>
  <c r="X4" i="78" s="1"/>
  <c r="AB5" i="78"/>
  <c r="AB4" i="78" s="1"/>
  <c r="S4" i="78" l="1"/>
  <c r="M4" i="78"/>
  <c r="Q4" i="78"/>
  <c r="O4" i="78"/>
  <c r="E19" i="32" s="1"/>
  <c r="E56" i="32" s="1"/>
  <c r="D44" i="32" l="1"/>
  <c r="E44" i="32" l="1"/>
  <c r="F44" i="32"/>
  <c r="AI13" i="55"/>
  <c r="AG13" i="55"/>
  <c r="AH12" i="55"/>
  <c r="AI11" i="55"/>
  <c r="AH10" i="55"/>
  <c r="AI9" i="55"/>
  <c r="AH8" i="55"/>
  <c r="AI7" i="55"/>
  <c r="AI14" i="55"/>
  <c r="AG5" i="55"/>
  <c r="AI8" i="55" l="1"/>
  <c r="AI10" i="55"/>
  <c r="AI12" i="55"/>
  <c r="AH13" i="55"/>
  <c r="W13" i="55" s="1"/>
  <c r="AG9" i="55"/>
  <c r="AI5" i="55"/>
  <c r="AG11" i="55"/>
  <c r="AG14" i="55"/>
  <c r="AG8" i="55"/>
  <c r="AH9" i="55"/>
  <c r="AG10" i="55"/>
  <c r="AH11" i="55"/>
  <c r="AG12" i="55"/>
  <c r="AH7" i="55"/>
  <c r="W7" i="55" s="1"/>
  <c r="I7" i="55"/>
  <c r="L13" i="55"/>
  <c r="F8" i="55"/>
  <c r="I13" i="55"/>
  <c r="L7" i="55"/>
  <c r="I10" i="55"/>
  <c r="I12" i="55"/>
  <c r="F13" i="55"/>
  <c r="F12" i="55"/>
  <c r="L8" i="55"/>
  <c r="I9" i="55"/>
  <c r="I8" i="55"/>
  <c r="F9" i="55"/>
  <c r="L9" i="55"/>
  <c r="L10" i="55"/>
  <c r="L11" i="55"/>
  <c r="F11" i="55"/>
  <c r="F10" i="55"/>
  <c r="I11" i="55"/>
  <c r="L12" i="55"/>
  <c r="W10" i="55" l="1"/>
  <c r="W12" i="55"/>
  <c r="W8" i="55"/>
  <c r="W9" i="55"/>
  <c r="W11" i="55"/>
  <c r="AM5" i="55" l="1"/>
  <c r="M5" i="55"/>
  <c r="B1" i="118" l="1"/>
  <c r="C1" i="118" s="1"/>
  <c r="D1" i="118" s="1"/>
  <c r="G1" i="118" s="1"/>
  <c r="K4" i="54" l="1"/>
  <c r="I4" i="54"/>
  <c r="H4" i="54"/>
  <c r="E51" i="32" s="1"/>
  <c r="AH5" i="55" l="1"/>
  <c r="W5" i="55" s="1"/>
  <c r="AH15" i="55"/>
  <c r="AI15" i="55"/>
  <c r="AH16" i="55"/>
  <c r="AI16" i="55"/>
  <c r="AH17" i="55"/>
  <c r="AI17" i="55"/>
  <c r="AH18" i="55"/>
  <c r="AI18" i="55"/>
  <c r="AH19" i="55"/>
  <c r="AI19" i="55"/>
  <c r="AH20" i="55"/>
  <c r="AI20" i="55"/>
  <c r="AH21" i="55"/>
  <c r="AI21" i="55"/>
  <c r="AH22" i="55"/>
  <c r="AI22" i="55"/>
  <c r="AH23" i="55"/>
  <c r="AI23" i="55"/>
  <c r="AH24" i="55"/>
  <c r="AI24" i="55"/>
  <c r="AH25" i="55"/>
  <c r="AI25" i="55"/>
  <c r="AH26" i="55"/>
  <c r="AI26" i="55"/>
  <c r="AH27" i="55"/>
  <c r="AI27" i="55"/>
  <c r="AH28" i="55"/>
  <c r="AI28" i="55"/>
  <c r="AH29" i="55"/>
  <c r="AI29" i="55"/>
  <c r="AH30" i="55"/>
  <c r="AI30" i="55"/>
  <c r="AH31" i="55"/>
  <c r="AI31" i="55"/>
  <c r="AH32" i="55"/>
  <c r="AI32" i="55"/>
  <c r="AH33" i="55"/>
  <c r="AI33" i="55"/>
  <c r="AH34" i="55"/>
  <c r="AI34" i="55"/>
  <c r="AH35" i="55"/>
  <c r="AI35" i="55"/>
  <c r="AH36" i="55"/>
  <c r="AI36" i="55"/>
  <c r="AH37" i="55"/>
  <c r="AI37" i="55"/>
  <c r="AH38" i="55"/>
  <c r="AI38" i="55"/>
  <c r="AH39" i="55"/>
  <c r="AI39" i="55"/>
  <c r="AH40" i="55"/>
  <c r="AI40" i="55"/>
  <c r="AH41" i="55"/>
  <c r="AI41" i="55"/>
  <c r="AH42" i="55"/>
  <c r="AI42" i="55"/>
  <c r="AH43" i="55"/>
  <c r="AI43" i="55"/>
  <c r="AH44" i="55"/>
  <c r="AI44" i="55"/>
  <c r="AH45" i="55"/>
  <c r="AI45" i="55"/>
  <c r="AH46" i="55"/>
  <c r="AI46" i="55"/>
  <c r="AH47" i="55"/>
  <c r="AI47" i="55"/>
  <c r="AH48" i="55"/>
  <c r="AI48" i="55"/>
  <c r="AH49" i="55"/>
  <c r="AI49" i="55"/>
  <c r="AH50" i="55"/>
  <c r="AI50" i="55"/>
  <c r="AH51" i="55"/>
  <c r="AI51" i="55"/>
  <c r="AH52" i="55"/>
  <c r="AI52" i="55"/>
  <c r="AH53" i="55"/>
  <c r="AI53" i="55"/>
  <c r="AH54" i="55"/>
  <c r="AI54" i="55"/>
  <c r="AH55" i="55"/>
  <c r="AI55" i="55"/>
  <c r="AH56" i="55"/>
  <c r="AI56" i="55"/>
  <c r="AH57" i="55"/>
  <c r="AI57" i="55"/>
  <c r="AH58" i="55"/>
  <c r="AI58" i="55"/>
  <c r="AH59" i="55"/>
  <c r="AI59" i="55"/>
  <c r="AH60" i="55"/>
  <c r="AI60" i="55"/>
  <c r="AH61" i="55"/>
  <c r="AI61" i="55"/>
  <c r="AH62" i="55"/>
  <c r="AI62" i="55"/>
  <c r="AH63" i="55"/>
  <c r="AI63" i="55"/>
  <c r="AH64" i="55"/>
  <c r="AI64" i="55"/>
  <c r="AH65" i="55"/>
  <c r="AI65" i="55"/>
  <c r="AH66" i="55"/>
  <c r="AI66" i="55"/>
  <c r="AH67" i="55"/>
  <c r="AI67" i="55"/>
  <c r="AH68" i="55"/>
  <c r="AI68" i="55"/>
  <c r="AH69" i="55"/>
  <c r="AI69" i="55"/>
  <c r="AH70" i="55"/>
  <c r="AI70" i="55"/>
  <c r="AH71" i="55"/>
  <c r="AI71" i="55"/>
  <c r="AH72" i="55"/>
  <c r="AI72" i="55"/>
  <c r="AH73" i="55"/>
  <c r="AI73" i="55"/>
  <c r="AH74" i="55"/>
  <c r="AI74" i="55"/>
  <c r="AH75" i="55"/>
  <c r="AI75" i="55"/>
  <c r="AH76" i="55"/>
  <c r="AI76" i="55"/>
  <c r="AH77" i="55"/>
  <c r="AI77" i="55"/>
  <c r="AH78" i="55"/>
  <c r="AI78" i="55"/>
  <c r="AH79" i="55"/>
  <c r="AI79" i="55"/>
  <c r="AH80" i="55"/>
  <c r="AI80" i="55"/>
  <c r="AH81" i="55"/>
  <c r="AI81" i="55"/>
  <c r="AH82" i="55"/>
  <c r="AI82" i="55"/>
  <c r="AH83" i="55"/>
  <c r="AI83" i="55"/>
  <c r="AH84" i="55"/>
  <c r="AI84" i="55"/>
  <c r="AH85" i="55"/>
  <c r="AI85" i="55"/>
  <c r="AH86" i="55"/>
  <c r="AI86" i="55"/>
  <c r="AH87" i="55"/>
  <c r="AI87" i="55"/>
  <c r="AH88" i="55"/>
  <c r="AI88" i="55"/>
  <c r="AH89" i="55"/>
  <c r="AI89" i="55"/>
  <c r="AH90" i="55"/>
  <c r="AI90" i="55"/>
  <c r="AH91" i="55"/>
  <c r="AI91" i="55"/>
  <c r="AH92" i="55"/>
  <c r="AI92" i="55"/>
  <c r="AH93" i="55"/>
  <c r="AI93" i="55"/>
  <c r="AH94" i="55"/>
  <c r="AI94" i="55"/>
  <c r="AH95" i="55"/>
  <c r="AI95" i="55"/>
  <c r="AH96" i="55"/>
  <c r="AI96" i="55"/>
  <c r="AH97" i="55"/>
  <c r="AI97" i="55"/>
  <c r="AH98" i="55"/>
  <c r="AI98" i="55"/>
  <c r="AH99" i="55"/>
  <c r="AI99" i="55"/>
  <c r="AH100" i="55"/>
  <c r="AI100" i="55"/>
  <c r="AH101" i="55"/>
  <c r="AI101" i="55"/>
  <c r="AH102" i="55"/>
  <c r="AI102" i="55"/>
  <c r="AH103" i="55"/>
  <c r="AI103" i="55"/>
  <c r="AH104" i="55"/>
  <c r="AI104" i="55"/>
  <c r="AH105" i="55"/>
  <c r="AI105" i="55"/>
  <c r="AH106" i="55"/>
  <c r="AI106" i="55"/>
  <c r="AH107" i="55"/>
  <c r="AI107" i="55"/>
  <c r="AH108" i="55"/>
  <c r="AI108" i="55"/>
  <c r="AH109" i="55"/>
  <c r="AI109" i="55"/>
  <c r="AH110" i="55"/>
  <c r="AI110" i="55"/>
  <c r="AH111" i="55"/>
  <c r="AI111" i="55"/>
  <c r="AH112" i="55"/>
  <c r="AI112" i="55"/>
  <c r="AH113" i="55"/>
  <c r="AI113" i="55"/>
  <c r="AH114" i="55"/>
  <c r="AI114" i="55"/>
  <c r="AH115" i="55"/>
  <c r="AI115" i="55"/>
  <c r="AH116" i="55"/>
  <c r="AI116" i="55"/>
  <c r="AH117" i="55"/>
  <c r="AI117" i="55"/>
  <c r="AH118" i="55"/>
  <c r="AI118" i="55"/>
  <c r="AH119" i="55"/>
  <c r="AI119" i="55"/>
  <c r="AH120" i="55"/>
  <c r="AI120" i="55"/>
  <c r="AH121" i="55"/>
  <c r="AI121" i="55"/>
  <c r="AH122" i="55"/>
  <c r="AI122" i="55"/>
  <c r="AH123" i="55"/>
  <c r="AI123" i="55"/>
  <c r="AH124" i="55"/>
  <c r="AI124" i="55"/>
  <c r="AH125" i="55"/>
  <c r="AI125" i="55"/>
  <c r="AH126" i="55"/>
  <c r="AI126" i="55"/>
  <c r="AH127" i="55"/>
  <c r="AI127" i="55"/>
  <c r="AH128" i="55"/>
  <c r="AI128" i="55"/>
  <c r="AH129" i="55"/>
  <c r="AI129" i="55"/>
  <c r="AH130" i="55"/>
  <c r="AI130" i="55"/>
  <c r="AH131" i="55"/>
  <c r="AI131" i="55"/>
  <c r="AH132" i="55"/>
  <c r="AI132" i="55"/>
  <c r="AH133" i="55"/>
  <c r="AI133" i="55"/>
  <c r="AH134" i="55"/>
  <c r="AI134" i="55"/>
  <c r="AH135" i="55"/>
  <c r="AI135" i="55"/>
  <c r="AH136" i="55"/>
  <c r="AI136" i="55"/>
  <c r="AH137" i="55"/>
  <c r="AI137" i="55"/>
  <c r="AH138" i="55"/>
  <c r="AI138" i="55"/>
  <c r="AH139" i="55"/>
  <c r="AI139" i="55"/>
  <c r="AH140" i="55"/>
  <c r="AI140" i="55"/>
  <c r="AH141" i="55"/>
  <c r="AI141" i="55"/>
  <c r="AH142" i="55"/>
  <c r="AI142" i="55"/>
  <c r="AH143" i="55"/>
  <c r="AI143" i="55"/>
  <c r="AH144" i="55"/>
  <c r="AI144" i="55"/>
  <c r="AH145" i="55"/>
  <c r="AI145" i="55"/>
  <c r="AH146" i="55"/>
  <c r="AI146" i="55"/>
  <c r="AH147" i="55"/>
  <c r="AI147" i="55"/>
  <c r="AH148" i="55"/>
  <c r="AI148" i="55"/>
  <c r="AH149" i="55"/>
  <c r="AI149" i="55"/>
  <c r="AH150" i="55"/>
  <c r="AI150" i="55"/>
  <c r="AH151" i="55"/>
  <c r="AI151" i="55"/>
  <c r="AH152" i="55"/>
  <c r="AI152" i="55"/>
  <c r="AH153" i="55"/>
  <c r="AI153" i="55"/>
  <c r="AH154" i="55"/>
  <c r="AI154" i="55"/>
  <c r="AH155" i="55"/>
  <c r="AI155" i="55"/>
  <c r="AH156" i="55"/>
  <c r="AI156" i="55"/>
  <c r="AH157" i="55"/>
  <c r="AI157" i="55"/>
  <c r="AH158" i="55"/>
  <c r="AI158" i="55"/>
  <c r="AH159" i="55"/>
  <c r="AI159" i="55"/>
  <c r="AH160" i="55"/>
  <c r="AI160" i="55"/>
  <c r="AH161" i="55"/>
  <c r="AI161" i="55"/>
  <c r="AH162" i="55"/>
  <c r="AI162" i="55"/>
  <c r="AH163" i="55"/>
  <c r="AI163" i="55"/>
  <c r="AH164" i="55"/>
  <c r="AI164" i="55"/>
  <c r="AH165" i="55"/>
  <c r="AI165" i="55"/>
  <c r="AH166" i="55"/>
  <c r="AI166" i="55"/>
  <c r="AH167" i="55"/>
  <c r="AI167" i="55"/>
  <c r="AH168" i="55"/>
  <c r="AI168" i="55"/>
  <c r="AH169" i="55"/>
  <c r="AI169" i="55"/>
  <c r="AH170" i="55"/>
  <c r="AI170" i="55"/>
  <c r="AH171" i="55"/>
  <c r="AI171" i="55"/>
  <c r="AH172" i="55"/>
  <c r="AI172" i="55"/>
  <c r="AH173" i="55"/>
  <c r="AI173" i="55"/>
  <c r="AH174" i="55"/>
  <c r="AI174" i="55"/>
  <c r="AH175" i="55"/>
  <c r="AI175" i="55"/>
  <c r="AH176" i="55"/>
  <c r="AI176" i="55"/>
  <c r="AH177" i="55"/>
  <c r="AI177" i="55"/>
  <c r="AH178" i="55"/>
  <c r="AI178" i="55"/>
  <c r="AH179" i="55"/>
  <c r="AI179" i="55"/>
  <c r="AH180" i="55"/>
  <c r="AI180" i="55"/>
  <c r="AH181" i="55"/>
  <c r="AI181" i="55"/>
  <c r="AH182" i="55"/>
  <c r="AI182" i="55"/>
  <c r="AH183" i="55"/>
  <c r="AI183" i="55"/>
  <c r="AH184" i="55"/>
  <c r="AI184" i="55"/>
  <c r="AH185" i="55"/>
  <c r="AI185" i="55"/>
  <c r="AH186" i="55"/>
  <c r="AI186" i="55"/>
  <c r="AH187" i="55"/>
  <c r="AI187" i="55"/>
  <c r="AH188" i="55"/>
  <c r="AI188" i="55"/>
  <c r="AH189" i="55"/>
  <c r="AI189" i="55"/>
  <c r="AH190" i="55"/>
  <c r="AI190" i="55"/>
  <c r="AH191" i="55"/>
  <c r="AI191" i="55"/>
  <c r="AH192" i="55"/>
  <c r="AI192" i="55"/>
  <c r="AH193" i="55"/>
  <c r="AI193" i="55"/>
  <c r="AH194" i="55"/>
  <c r="AI194" i="55"/>
  <c r="AH195" i="55"/>
  <c r="AI195" i="55"/>
  <c r="AH196" i="55"/>
  <c r="AI196" i="55"/>
  <c r="AH197" i="55"/>
  <c r="AI197" i="55"/>
  <c r="AH198" i="55"/>
  <c r="AI198" i="55"/>
  <c r="AH199" i="55"/>
  <c r="AI199" i="55"/>
  <c r="AH200" i="55"/>
  <c r="AI200" i="55"/>
  <c r="AH201" i="55"/>
  <c r="AI201" i="55"/>
  <c r="AH202" i="55"/>
  <c r="AI202" i="55"/>
  <c r="AH203" i="55"/>
  <c r="AI203" i="55"/>
  <c r="AH204" i="55"/>
  <c r="AI204" i="55"/>
  <c r="AH205" i="55"/>
  <c r="AI205" i="55"/>
  <c r="AH206" i="55"/>
  <c r="AI206" i="55"/>
  <c r="AH207" i="55"/>
  <c r="AI207" i="55"/>
  <c r="AH208" i="55"/>
  <c r="AI208" i="55"/>
  <c r="AH209" i="55"/>
  <c r="AI209" i="55"/>
  <c r="AH210" i="55"/>
  <c r="AI210" i="55"/>
  <c r="AH211" i="55"/>
  <c r="AI211" i="55"/>
  <c r="AH212" i="55"/>
  <c r="AI212" i="55"/>
  <c r="AH213" i="55"/>
  <c r="AI213" i="55"/>
  <c r="AH214" i="55"/>
  <c r="AI214" i="55"/>
  <c r="AH215" i="55"/>
  <c r="AI215" i="55"/>
  <c r="AH216" i="55"/>
  <c r="AI216" i="55"/>
  <c r="AH217" i="55"/>
  <c r="AI217" i="55"/>
  <c r="AH218" i="55"/>
  <c r="AI218" i="55"/>
  <c r="AH219" i="55"/>
  <c r="AI219" i="55"/>
  <c r="AH220" i="55"/>
  <c r="AI220" i="55"/>
  <c r="AH221" i="55"/>
  <c r="AI221" i="55"/>
  <c r="AH222" i="55"/>
  <c r="AI222" i="55"/>
  <c r="AH223" i="55"/>
  <c r="AI223" i="55"/>
  <c r="AH224" i="55"/>
  <c r="AI224" i="55"/>
  <c r="AH225" i="55"/>
  <c r="AI225" i="55"/>
  <c r="AH226" i="55"/>
  <c r="AI226" i="55"/>
  <c r="AH227" i="55"/>
  <c r="AI227" i="55"/>
  <c r="AH228" i="55"/>
  <c r="AI228" i="55"/>
  <c r="AH229" i="55"/>
  <c r="AI229" i="55"/>
  <c r="AH230" i="55"/>
  <c r="AI230" i="55"/>
  <c r="AH231" i="55"/>
  <c r="AI231" i="55"/>
  <c r="AH232" i="55"/>
  <c r="AI232" i="55"/>
  <c r="AH233" i="55"/>
  <c r="AI233" i="55"/>
  <c r="AH234" i="55"/>
  <c r="AI234" i="55"/>
  <c r="AH235" i="55"/>
  <c r="AI235" i="55"/>
  <c r="AH236" i="55"/>
  <c r="AI236" i="55"/>
  <c r="AH237" i="55"/>
  <c r="AI237" i="55"/>
  <c r="AH238" i="55"/>
  <c r="AI238" i="55"/>
  <c r="AH239" i="55"/>
  <c r="AI239" i="55"/>
  <c r="AH240" i="55"/>
  <c r="AI240" i="55"/>
  <c r="AH241" i="55"/>
  <c r="AI241" i="55"/>
  <c r="AH242" i="55"/>
  <c r="AI242" i="55"/>
  <c r="AH243" i="55"/>
  <c r="AI243" i="55"/>
  <c r="AH244" i="55"/>
  <c r="AI244" i="55"/>
  <c r="AH245" i="55"/>
  <c r="AI245" i="55"/>
  <c r="AH246" i="55"/>
  <c r="AI246" i="55"/>
  <c r="AH247" i="55"/>
  <c r="AI247" i="55"/>
  <c r="AH248" i="55"/>
  <c r="AI248" i="55"/>
  <c r="AH249" i="55"/>
  <c r="AI249" i="55"/>
  <c r="AH250" i="55"/>
  <c r="AI250" i="55"/>
  <c r="AH251" i="55"/>
  <c r="AI251" i="55"/>
  <c r="AH252" i="55"/>
  <c r="AI252" i="55"/>
  <c r="AH253" i="55"/>
  <c r="AI253" i="55"/>
  <c r="AH254" i="55"/>
  <c r="AI254" i="55"/>
  <c r="AH255" i="55"/>
  <c r="AI255" i="55"/>
  <c r="AH256" i="55"/>
  <c r="AI256" i="55"/>
  <c r="AH257" i="55"/>
  <c r="AI257" i="55"/>
  <c r="AH258" i="55"/>
  <c r="AI258" i="55"/>
  <c r="AH259" i="55"/>
  <c r="AI259" i="55"/>
  <c r="AH260" i="55"/>
  <c r="AI260" i="55"/>
  <c r="AH261" i="55"/>
  <c r="AI261" i="55"/>
  <c r="AH262" i="55"/>
  <c r="AI262" i="55"/>
  <c r="AH263" i="55"/>
  <c r="AI263" i="55"/>
  <c r="AH264" i="55"/>
  <c r="AI264" i="55"/>
  <c r="AH265" i="55"/>
  <c r="AI265" i="55"/>
  <c r="AH266" i="55"/>
  <c r="AI266" i="55"/>
  <c r="AH267" i="55"/>
  <c r="AI267" i="55"/>
  <c r="AH268" i="55"/>
  <c r="AI268" i="55"/>
  <c r="AH269" i="55"/>
  <c r="AI269" i="55"/>
  <c r="AH270" i="55"/>
  <c r="AI270" i="55"/>
  <c r="AH271" i="55"/>
  <c r="AI271" i="55"/>
  <c r="AH272" i="55"/>
  <c r="AI272" i="55"/>
  <c r="AH273" i="55"/>
  <c r="AI273" i="55"/>
  <c r="AH274" i="55"/>
  <c r="AI274" i="55"/>
  <c r="AH275" i="55"/>
  <c r="AI275" i="55"/>
  <c r="AH276" i="55"/>
  <c r="AI276" i="55"/>
  <c r="AH277" i="55"/>
  <c r="AI277" i="55"/>
  <c r="AH278" i="55"/>
  <c r="AI278" i="55"/>
  <c r="AH279" i="55"/>
  <c r="AI279" i="55"/>
  <c r="AH280" i="55"/>
  <c r="AI280" i="55"/>
  <c r="AH281" i="55"/>
  <c r="AI281" i="55"/>
  <c r="AH282" i="55"/>
  <c r="AI282" i="55"/>
  <c r="AH283" i="55"/>
  <c r="AI283" i="55"/>
  <c r="AH284" i="55"/>
  <c r="AI284" i="55"/>
  <c r="AH285" i="55"/>
  <c r="AI285" i="55"/>
  <c r="AH286" i="55"/>
  <c r="AI286" i="55"/>
  <c r="AH287" i="55"/>
  <c r="AI287" i="55"/>
  <c r="AH288" i="55"/>
  <c r="AI288" i="55"/>
  <c r="AH289" i="55"/>
  <c r="AI289" i="55"/>
  <c r="AH290" i="55"/>
  <c r="AI290" i="55"/>
  <c r="AH291" i="55"/>
  <c r="AI291" i="55"/>
  <c r="AH292" i="55"/>
  <c r="AI292" i="55"/>
  <c r="AH293" i="55"/>
  <c r="AI293" i="55"/>
  <c r="AH294" i="55"/>
  <c r="AI294" i="55"/>
  <c r="AH295" i="55"/>
  <c r="AI295" i="55"/>
  <c r="AH296" i="55"/>
  <c r="AI296" i="55"/>
  <c r="AH297" i="55"/>
  <c r="AI297" i="55"/>
  <c r="AH298" i="55"/>
  <c r="AI298" i="55"/>
  <c r="AH299" i="55"/>
  <c r="AI299" i="55"/>
  <c r="AH300" i="55"/>
  <c r="AI300" i="55"/>
  <c r="AH301" i="55"/>
  <c r="AI301" i="55"/>
  <c r="AH302" i="55"/>
  <c r="AI302" i="55"/>
  <c r="AH303" i="55"/>
  <c r="AI303" i="55"/>
  <c r="AH304" i="55"/>
  <c r="AI304" i="55"/>
  <c r="AH305" i="55"/>
  <c r="AI305" i="55"/>
  <c r="AH306" i="55"/>
  <c r="AI306" i="55"/>
  <c r="AH307" i="55"/>
  <c r="AI307" i="55"/>
  <c r="AH308" i="55"/>
  <c r="AI308" i="55"/>
  <c r="AH309" i="55"/>
  <c r="AI309" i="55"/>
  <c r="AH310" i="55"/>
  <c r="AI310" i="55"/>
  <c r="AH311" i="55"/>
  <c r="AI311" i="55"/>
  <c r="AH312" i="55"/>
  <c r="AI312" i="55"/>
  <c r="AH313" i="55"/>
  <c r="AI313" i="55"/>
  <c r="AH314" i="55"/>
  <c r="AI314" i="55"/>
  <c r="AH315" i="55"/>
  <c r="AI315" i="55"/>
  <c r="AH316" i="55"/>
  <c r="AI316" i="55"/>
  <c r="AH317" i="55"/>
  <c r="AI317" i="55"/>
  <c r="AH318" i="55"/>
  <c r="AI318" i="55"/>
  <c r="AH319" i="55"/>
  <c r="AI319" i="55"/>
  <c r="AH320" i="55"/>
  <c r="AI320" i="55"/>
  <c r="AH14" i="55"/>
  <c r="W14" i="55" s="1"/>
  <c r="AG15" i="55"/>
  <c r="W15" i="55" s="1"/>
  <c r="AG16" i="55"/>
  <c r="AG17" i="55"/>
  <c r="AG18" i="55"/>
  <c r="AG19" i="55"/>
  <c r="W19" i="55" s="1"/>
  <c r="AG20" i="55"/>
  <c r="AG21" i="55"/>
  <c r="AG22" i="55"/>
  <c r="AG23" i="55"/>
  <c r="W23" i="55" s="1"/>
  <c r="AG24" i="55"/>
  <c r="AG25" i="55"/>
  <c r="AG26" i="55"/>
  <c r="AG27" i="55"/>
  <c r="W27" i="55" s="1"/>
  <c r="AG28" i="55"/>
  <c r="AG29" i="55"/>
  <c r="AG30" i="55"/>
  <c r="AG31" i="55"/>
  <c r="W31" i="55" s="1"/>
  <c r="AG32" i="55"/>
  <c r="AG33" i="55"/>
  <c r="AG34" i="55"/>
  <c r="AG35" i="55"/>
  <c r="W35" i="55" s="1"/>
  <c r="AG36" i="55"/>
  <c r="AG37" i="55"/>
  <c r="AG38" i="55"/>
  <c r="AG39" i="55"/>
  <c r="W39" i="55" s="1"/>
  <c r="AG40" i="55"/>
  <c r="AG41" i="55"/>
  <c r="AG42" i="55"/>
  <c r="AG43" i="55"/>
  <c r="W43" i="55" s="1"/>
  <c r="AG44" i="55"/>
  <c r="AG45" i="55"/>
  <c r="AG46" i="55"/>
  <c r="AG47" i="55"/>
  <c r="W47" i="55" s="1"/>
  <c r="AG48" i="55"/>
  <c r="AG49" i="55"/>
  <c r="AG50" i="55"/>
  <c r="AG51" i="55"/>
  <c r="W51" i="55" s="1"/>
  <c r="AG52" i="55"/>
  <c r="AG53" i="55"/>
  <c r="AG54" i="55"/>
  <c r="AG55" i="55"/>
  <c r="W55" i="55" s="1"/>
  <c r="AG56" i="55"/>
  <c r="AG57" i="55"/>
  <c r="AG58" i="55"/>
  <c r="AG59" i="55"/>
  <c r="W59" i="55" s="1"/>
  <c r="AG60" i="55"/>
  <c r="AG61" i="55"/>
  <c r="AG62" i="55"/>
  <c r="AG63" i="55"/>
  <c r="W63" i="55" s="1"/>
  <c r="AG64" i="55"/>
  <c r="AG65" i="55"/>
  <c r="AG66" i="55"/>
  <c r="AG67" i="55"/>
  <c r="W67" i="55" s="1"/>
  <c r="AG68" i="55"/>
  <c r="AG69" i="55"/>
  <c r="AG70" i="55"/>
  <c r="AG71" i="55"/>
  <c r="W71" i="55" s="1"/>
  <c r="AG72" i="55"/>
  <c r="AG73" i="55"/>
  <c r="AG74" i="55"/>
  <c r="AG75" i="55"/>
  <c r="W75" i="55" s="1"/>
  <c r="AG76" i="55"/>
  <c r="AG77" i="55"/>
  <c r="AG78" i="55"/>
  <c r="AG79" i="55"/>
  <c r="W79" i="55" s="1"/>
  <c r="AG80" i="55"/>
  <c r="AG81" i="55"/>
  <c r="AG82" i="55"/>
  <c r="AG83" i="55"/>
  <c r="W83" i="55" s="1"/>
  <c r="AG84" i="55"/>
  <c r="AG85" i="55"/>
  <c r="AG86" i="55"/>
  <c r="AG87" i="55"/>
  <c r="W87" i="55" s="1"/>
  <c r="AG88" i="55"/>
  <c r="AG89" i="55"/>
  <c r="AG90" i="55"/>
  <c r="AG91" i="55"/>
  <c r="W91" i="55" s="1"/>
  <c r="AG92" i="55"/>
  <c r="AG93" i="55"/>
  <c r="AG94" i="55"/>
  <c r="AG95" i="55"/>
  <c r="W95" i="55" s="1"/>
  <c r="AG96" i="55"/>
  <c r="AG97" i="55"/>
  <c r="AG98" i="55"/>
  <c r="AG99" i="55"/>
  <c r="AG100" i="55"/>
  <c r="AG101" i="55"/>
  <c r="AG102" i="55"/>
  <c r="AG103" i="55"/>
  <c r="W103" i="55" s="1"/>
  <c r="AG104" i="55"/>
  <c r="AG105" i="55"/>
  <c r="AG106" i="55"/>
  <c r="AG107" i="55"/>
  <c r="AG108" i="55"/>
  <c r="AG109" i="55"/>
  <c r="AG110" i="55"/>
  <c r="AG111" i="55"/>
  <c r="W111" i="55" s="1"/>
  <c r="AG112" i="55"/>
  <c r="AG113" i="55"/>
  <c r="AG114" i="55"/>
  <c r="AG115" i="55"/>
  <c r="AG116" i="55"/>
  <c r="AG117" i="55"/>
  <c r="AG118" i="55"/>
  <c r="AG119" i="55"/>
  <c r="W119" i="55" s="1"/>
  <c r="AG120" i="55"/>
  <c r="AG121" i="55"/>
  <c r="AG122" i="55"/>
  <c r="AG123" i="55"/>
  <c r="AG124" i="55"/>
  <c r="AG125" i="55"/>
  <c r="AG126" i="55"/>
  <c r="AG127" i="55"/>
  <c r="W127" i="55" s="1"/>
  <c r="AG128" i="55"/>
  <c r="AG129" i="55"/>
  <c r="AG130" i="55"/>
  <c r="AG131" i="55"/>
  <c r="AG132" i="55"/>
  <c r="AG133" i="55"/>
  <c r="AG134" i="55"/>
  <c r="AG135" i="55"/>
  <c r="W135" i="55" s="1"/>
  <c r="AG136" i="55"/>
  <c r="AG137" i="55"/>
  <c r="AG138" i="55"/>
  <c r="AG139" i="55"/>
  <c r="AG140" i="55"/>
  <c r="AG141" i="55"/>
  <c r="AG142" i="55"/>
  <c r="AG143" i="55"/>
  <c r="W143" i="55" s="1"/>
  <c r="AG144" i="55"/>
  <c r="AG145" i="55"/>
  <c r="AG146" i="55"/>
  <c r="AG147" i="55"/>
  <c r="AG148" i="55"/>
  <c r="AG149" i="55"/>
  <c r="AG150" i="55"/>
  <c r="AG151" i="55"/>
  <c r="W151" i="55" s="1"/>
  <c r="AG152" i="55"/>
  <c r="AG153" i="55"/>
  <c r="AG154" i="55"/>
  <c r="AG155" i="55"/>
  <c r="AG156" i="55"/>
  <c r="AG157" i="55"/>
  <c r="AG158" i="55"/>
  <c r="AG159" i="55"/>
  <c r="W159" i="55" s="1"/>
  <c r="AG160" i="55"/>
  <c r="AG161" i="55"/>
  <c r="AG162" i="55"/>
  <c r="AG163" i="55"/>
  <c r="AG164" i="55"/>
  <c r="AG165" i="55"/>
  <c r="AG166" i="55"/>
  <c r="AG167" i="55"/>
  <c r="W167" i="55" s="1"/>
  <c r="AG168" i="55"/>
  <c r="AG169" i="55"/>
  <c r="AG170" i="55"/>
  <c r="AG171" i="55"/>
  <c r="AG172" i="55"/>
  <c r="AG173" i="55"/>
  <c r="AG174" i="55"/>
  <c r="AG175" i="55"/>
  <c r="W175" i="55" s="1"/>
  <c r="AG176" i="55"/>
  <c r="AG177" i="55"/>
  <c r="AG178" i="55"/>
  <c r="AG179" i="55"/>
  <c r="AG180" i="55"/>
  <c r="AG181" i="55"/>
  <c r="AG182" i="55"/>
  <c r="AG183" i="55"/>
  <c r="W183" i="55" s="1"/>
  <c r="AG184" i="55"/>
  <c r="AG185" i="55"/>
  <c r="AG186" i="55"/>
  <c r="AG187" i="55"/>
  <c r="W187" i="55" s="1"/>
  <c r="AG188" i="55"/>
  <c r="AG189" i="55"/>
  <c r="AG190" i="55"/>
  <c r="AG191" i="55"/>
  <c r="W191" i="55" s="1"/>
  <c r="AG192" i="55"/>
  <c r="AG193" i="55"/>
  <c r="AG194" i="55"/>
  <c r="AG195" i="55"/>
  <c r="W195" i="55" s="1"/>
  <c r="AG196" i="55"/>
  <c r="AG197" i="55"/>
  <c r="AG198" i="55"/>
  <c r="AG199" i="55"/>
  <c r="W199" i="55" s="1"/>
  <c r="AG200" i="55"/>
  <c r="AG201" i="55"/>
  <c r="AG202" i="55"/>
  <c r="AG203" i="55"/>
  <c r="W203" i="55" s="1"/>
  <c r="AG204" i="55"/>
  <c r="AG205" i="55"/>
  <c r="AG206" i="55"/>
  <c r="AG207" i="55"/>
  <c r="W207" i="55" s="1"/>
  <c r="AG208" i="55"/>
  <c r="AG209" i="55"/>
  <c r="AG210" i="55"/>
  <c r="AG211" i="55"/>
  <c r="W211" i="55" s="1"/>
  <c r="AG212" i="55"/>
  <c r="AG213" i="55"/>
  <c r="AG214" i="55"/>
  <c r="AG215" i="55"/>
  <c r="W215" i="55" s="1"/>
  <c r="AG216" i="55"/>
  <c r="AG217" i="55"/>
  <c r="AG218" i="55"/>
  <c r="AG219" i="55"/>
  <c r="W219" i="55" s="1"/>
  <c r="AG220" i="55"/>
  <c r="AG221" i="55"/>
  <c r="AG222" i="55"/>
  <c r="AG223" i="55"/>
  <c r="W223" i="55" s="1"/>
  <c r="AG224" i="55"/>
  <c r="AG225" i="55"/>
  <c r="AG226" i="55"/>
  <c r="AG227" i="55"/>
  <c r="W227" i="55" s="1"/>
  <c r="AG228" i="55"/>
  <c r="AG229" i="55"/>
  <c r="AG230" i="55"/>
  <c r="AG231" i="55"/>
  <c r="W231" i="55" s="1"/>
  <c r="AG232" i="55"/>
  <c r="AG233" i="55"/>
  <c r="AG234" i="55"/>
  <c r="AG235" i="55"/>
  <c r="W235" i="55" s="1"/>
  <c r="AG236" i="55"/>
  <c r="AG237" i="55"/>
  <c r="AG238" i="55"/>
  <c r="AG239" i="55"/>
  <c r="W239" i="55" s="1"/>
  <c r="AG240" i="55"/>
  <c r="AG241" i="55"/>
  <c r="AG242" i="55"/>
  <c r="AG243" i="55"/>
  <c r="W243" i="55" s="1"/>
  <c r="AG244" i="55"/>
  <c r="AG245" i="55"/>
  <c r="AG246" i="55"/>
  <c r="AG247" i="55"/>
  <c r="W247" i="55" s="1"/>
  <c r="AG248" i="55"/>
  <c r="AG249" i="55"/>
  <c r="AG250" i="55"/>
  <c r="AG251" i="55"/>
  <c r="W251" i="55" s="1"/>
  <c r="AG252" i="55"/>
  <c r="AG253" i="55"/>
  <c r="AG254" i="55"/>
  <c r="AG255" i="55"/>
  <c r="W255" i="55" s="1"/>
  <c r="AG256" i="55"/>
  <c r="AG257" i="55"/>
  <c r="AG258" i="55"/>
  <c r="AG259" i="55"/>
  <c r="W259" i="55" s="1"/>
  <c r="AG260" i="55"/>
  <c r="AG261" i="55"/>
  <c r="AG262" i="55"/>
  <c r="AG263" i="55"/>
  <c r="W263" i="55" s="1"/>
  <c r="AG264" i="55"/>
  <c r="AG265" i="55"/>
  <c r="AG266" i="55"/>
  <c r="AG267" i="55"/>
  <c r="W267" i="55" s="1"/>
  <c r="AG268" i="55"/>
  <c r="AG269" i="55"/>
  <c r="AG270" i="55"/>
  <c r="AG271" i="55"/>
  <c r="W271" i="55" s="1"/>
  <c r="AG272" i="55"/>
  <c r="AG273" i="55"/>
  <c r="AG274" i="55"/>
  <c r="AG275" i="55"/>
  <c r="W275" i="55" s="1"/>
  <c r="AG276" i="55"/>
  <c r="AG277" i="55"/>
  <c r="AG278" i="55"/>
  <c r="AG279" i="55"/>
  <c r="W279" i="55" s="1"/>
  <c r="AG280" i="55"/>
  <c r="AG281" i="55"/>
  <c r="AG282" i="55"/>
  <c r="AG283" i="55"/>
  <c r="W283" i="55" s="1"/>
  <c r="AG284" i="55"/>
  <c r="AG285" i="55"/>
  <c r="AG286" i="55"/>
  <c r="AG287" i="55"/>
  <c r="W287" i="55" s="1"/>
  <c r="AG288" i="55"/>
  <c r="AG289" i="55"/>
  <c r="AG290" i="55"/>
  <c r="AG291" i="55"/>
  <c r="W291" i="55" s="1"/>
  <c r="AG292" i="55"/>
  <c r="AG293" i="55"/>
  <c r="AG294" i="55"/>
  <c r="AG295" i="55"/>
  <c r="W295" i="55" s="1"/>
  <c r="AG296" i="55"/>
  <c r="AG297" i="55"/>
  <c r="AG298" i="55"/>
  <c r="AG299" i="55"/>
  <c r="W299" i="55" s="1"/>
  <c r="AG300" i="55"/>
  <c r="AG301" i="55"/>
  <c r="AG302" i="55"/>
  <c r="AG303" i="55"/>
  <c r="W303" i="55" s="1"/>
  <c r="AG304" i="55"/>
  <c r="AG305" i="55"/>
  <c r="AG306" i="55"/>
  <c r="AG307" i="55"/>
  <c r="W307" i="55" s="1"/>
  <c r="AG308" i="55"/>
  <c r="AG309" i="55"/>
  <c r="AG310" i="55"/>
  <c r="AG311" i="55"/>
  <c r="W311" i="55" s="1"/>
  <c r="AG312" i="55"/>
  <c r="AG313" i="55"/>
  <c r="AG314" i="55"/>
  <c r="AG315" i="55"/>
  <c r="W315" i="55" s="1"/>
  <c r="AG316" i="55"/>
  <c r="AG317" i="55"/>
  <c r="AG318" i="55"/>
  <c r="AG319" i="55"/>
  <c r="W319" i="55" s="1"/>
  <c r="AG320" i="55"/>
  <c r="B1" i="1"/>
  <c r="C1" i="1" s="1"/>
  <c r="D1" i="1" s="1"/>
  <c r="E1" i="1" s="1"/>
  <c r="F1" i="1" s="1"/>
  <c r="G1" i="1" s="1"/>
  <c r="H1" i="1" s="1"/>
  <c r="I1" i="1" s="1"/>
  <c r="J1" i="1" s="1"/>
  <c r="K1" i="1" s="1"/>
  <c r="L1" i="1" s="1"/>
  <c r="O1" i="1" s="1"/>
  <c r="P1" i="1" s="1"/>
  <c r="W310" i="55" l="1"/>
  <c r="W286" i="55"/>
  <c r="W270" i="55"/>
  <c r="W254" i="55"/>
  <c r="W238" i="55"/>
  <c r="W230" i="55"/>
  <c r="W214" i="55"/>
  <c r="W206" i="55"/>
  <c r="W198" i="55"/>
  <c r="W190" i="55"/>
  <c r="W182" i="55"/>
  <c r="W174" i="55"/>
  <c r="W166" i="55"/>
  <c r="W158" i="55"/>
  <c r="W150" i="55"/>
  <c r="W142" i="55"/>
  <c r="W134" i="55"/>
  <c r="W126" i="55"/>
  <c r="W118" i="55"/>
  <c r="W110" i="55"/>
  <c r="W102" i="55"/>
  <c r="W94" i="55"/>
  <c r="W86" i="55"/>
  <c r="W78" i="55"/>
  <c r="W70" i="55"/>
  <c r="W62" i="55"/>
  <c r="W54" i="55"/>
  <c r="W46" i="55"/>
  <c r="W38" i="55"/>
  <c r="W30" i="55"/>
  <c r="W22" i="55"/>
  <c r="W302" i="55"/>
  <c r="W294" i="55"/>
  <c r="W278" i="55"/>
  <c r="W262" i="55"/>
  <c r="W246" i="55"/>
  <c r="W222" i="55"/>
  <c r="W66" i="55"/>
  <c r="W50" i="55"/>
  <c r="W42" i="55"/>
  <c r="W34" i="55"/>
  <c r="W26" i="55"/>
  <c r="W18" i="55"/>
  <c r="W58" i="55"/>
  <c r="W179" i="55"/>
  <c r="W171" i="55"/>
  <c r="W163" i="55"/>
  <c r="W155" i="55"/>
  <c r="W147" i="55"/>
  <c r="W139" i="55"/>
  <c r="W131" i="55"/>
  <c r="W123" i="55"/>
  <c r="W115" i="55"/>
  <c r="W107" i="55"/>
  <c r="W99" i="55"/>
  <c r="W308" i="55"/>
  <c r="W300" i="55"/>
  <c r="W292" i="55"/>
  <c r="W284" i="55"/>
  <c r="W276" i="55"/>
  <c r="W268" i="55"/>
  <c r="W260" i="55"/>
  <c r="W252" i="55"/>
  <c r="W244" i="55"/>
  <c r="W236" i="55"/>
  <c r="W228" i="55"/>
  <c r="W220" i="55"/>
  <c r="W212" i="55"/>
  <c r="W204" i="55"/>
  <c r="W196" i="55"/>
  <c r="W188" i="55"/>
  <c r="W180" i="55"/>
  <c r="W172" i="55"/>
  <c r="W164" i="55"/>
  <c r="W156" i="55"/>
  <c r="W148" i="55"/>
  <c r="W140" i="55"/>
  <c r="W132" i="55"/>
  <c r="W124" i="55"/>
  <c r="W116" i="55"/>
  <c r="W108" i="55"/>
  <c r="W100" i="55"/>
  <c r="W92" i="55"/>
  <c r="W84" i="55"/>
  <c r="W76" i="55"/>
  <c r="W68" i="55"/>
  <c r="W60" i="55"/>
  <c r="W52" i="55"/>
  <c r="W44" i="55"/>
  <c r="W36" i="55"/>
  <c r="W28" i="55"/>
  <c r="W20" i="55"/>
  <c r="W316" i="55"/>
  <c r="W312" i="55"/>
  <c r="W296" i="55"/>
  <c r="W288" i="55"/>
  <c r="W280" i="55"/>
  <c r="W272" i="55"/>
  <c r="W264" i="55"/>
  <c r="W256" i="55"/>
  <c r="W248" i="55"/>
  <c r="W240" i="55"/>
  <c r="W232" i="55"/>
  <c r="W224" i="55"/>
  <c r="W216" i="55"/>
  <c r="W208" i="55"/>
  <c r="W200" i="55"/>
  <c r="W192" i="55"/>
  <c r="W184" i="55"/>
  <c r="W176" i="55"/>
  <c r="W168" i="55"/>
  <c r="W160" i="55"/>
  <c r="W152" i="55"/>
  <c r="W144" i="55"/>
  <c r="W136" i="55"/>
  <c r="W128" i="55"/>
  <c r="W120" i="55"/>
  <c r="W112" i="55"/>
  <c r="W104" i="55"/>
  <c r="W96" i="55"/>
  <c r="W88" i="55"/>
  <c r="W80" i="55"/>
  <c r="W72" i="55"/>
  <c r="W64" i="55"/>
  <c r="W56" i="55"/>
  <c r="W48" i="55"/>
  <c r="W40" i="55"/>
  <c r="W32" i="55"/>
  <c r="W24" i="55"/>
  <c r="W16" i="55"/>
  <c r="W320" i="55"/>
  <c r="W304" i="55"/>
  <c r="W318" i="55"/>
  <c r="W314" i="55"/>
  <c r="W306" i="55"/>
  <c r="W298" i="55"/>
  <c r="W290" i="55"/>
  <c r="W282" i="55"/>
  <c r="W274" i="55"/>
  <c r="W266" i="55"/>
  <c r="W258" i="55"/>
  <c r="W250" i="55"/>
  <c r="W242" i="55"/>
  <c r="W234" i="55"/>
  <c r="W226" i="55"/>
  <c r="W218" i="55"/>
  <c r="W210" i="55"/>
  <c r="W202" i="55"/>
  <c r="W194" i="55"/>
  <c r="W186" i="55"/>
  <c r="W178" i="55"/>
  <c r="W170" i="55"/>
  <c r="W162" i="55"/>
  <c r="W154" i="55"/>
  <c r="W146" i="55"/>
  <c r="W138" i="55"/>
  <c r="W130" i="55"/>
  <c r="W122" i="55"/>
  <c r="W114" i="55"/>
  <c r="W106" i="55"/>
  <c r="W98" i="55"/>
  <c r="W90" i="55"/>
  <c r="W82" i="55"/>
  <c r="W74" i="55"/>
  <c r="Q1" i="1"/>
  <c r="R1" i="1" s="1"/>
  <c r="S1" i="1" s="1"/>
  <c r="T1" i="1" s="1"/>
  <c r="U1" i="1" s="1"/>
  <c r="V1" i="1" s="1"/>
  <c r="W1" i="1" s="1"/>
  <c r="X1" i="1" s="1"/>
  <c r="Y1" i="1" s="1"/>
  <c r="Z1" i="1" s="1"/>
  <c r="AA1" i="1" s="1"/>
  <c r="AB1" i="1" s="1"/>
  <c r="AC1" i="1" s="1"/>
  <c r="AD1" i="1" s="1"/>
  <c r="AE1" i="1" s="1"/>
  <c r="AF1" i="1" s="1"/>
  <c r="AG1" i="1" s="1"/>
  <c r="W317" i="55"/>
  <c r="W309" i="55"/>
  <c r="W301" i="55"/>
  <c r="W293" i="55"/>
  <c r="W285" i="55"/>
  <c r="W277" i="55"/>
  <c r="W269" i="55"/>
  <c r="W261" i="55"/>
  <c r="W253" i="55"/>
  <c r="W245" i="55"/>
  <c r="W237" i="55"/>
  <c r="W229" i="55"/>
  <c r="W221" i="55"/>
  <c r="W213" i="55"/>
  <c r="W205" i="55"/>
  <c r="W197" i="55"/>
  <c r="W189" i="55"/>
  <c r="W181" i="55"/>
  <c r="W173" i="55"/>
  <c r="W165" i="55"/>
  <c r="W157" i="55"/>
  <c r="W149" i="55"/>
  <c r="W141" i="55"/>
  <c r="W133" i="55"/>
  <c r="W125" i="55"/>
  <c r="W117" i="55"/>
  <c r="W109" i="55"/>
  <c r="W101" i="55"/>
  <c r="W93" i="55"/>
  <c r="W85" i="55"/>
  <c r="W77" i="55"/>
  <c r="W69" i="55"/>
  <c r="W61" i="55"/>
  <c r="W53" i="55"/>
  <c r="W45" i="55"/>
  <c r="W37" i="55"/>
  <c r="W29" i="55"/>
  <c r="W21" i="55"/>
  <c r="W313" i="55"/>
  <c r="W305" i="55"/>
  <c r="W297" i="55"/>
  <c r="W289" i="55"/>
  <c r="W281" i="55"/>
  <c r="W273" i="55"/>
  <c r="W265" i="55"/>
  <c r="W257" i="55"/>
  <c r="W249" i="55"/>
  <c r="W241" i="55"/>
  <c r="W233" i="55"/>
  <c r="W225" i="55"/>
  <c r="W217" i="55"/>
  <c r="W209" i="55"/>
  <c r="W201" i="55"/>
  <c r="W193" i="55"/>
  <c r="W185" i="55"/>
  <c r="W177" i="55"/>
  <c r="W169" i="55"/>
  <c r="W161" i="55"/>
  <c r="W153" i="55"/>
  <c r="W145" i="55"/>
  <c r="W137" i="55"/>
  <c r="W129" i="55"/>
  <c r="W121" i="55"/>
  <c r="W113" i="55"/>
  <c r="W105" i="55"/>
  <c r="W97" i="55"/>
  <c r="W89" i="55"/>
  <c r="W81" i="55"/>
  <c r="W73" i="55"/>
  <c r="W65" i="55"/>
  <c r="W57" i="55"/>
  <c r="W49" i="55"/>
  <c r="W41" i="55"/>
  <c r="W33" i="55"/>
  <c r="W25" i="55"/>
  <c r="W17" i="55"/>
  <c r="F127" i="55"/>
  <c r="I14" i="55"/>
  <c r="AH1" i="1" l="1"/>
  <c r="AI1" i="1" s="1"/>
  <c r="AJ1" i="1" s="1"/>
  <c r="AK1" i="1" s="1"/>
  <c r="AL1" i="1" s="1"/>
  <c r="AM1" i="1" s="1"/>
  <c r="AN1" i="1" s="1"/>
  <c r="AO1" i="1" s="1"/>
  <c r="AP1" i="1" s="1"/>
  <c r="AQ1" i="1" s="1"/>
  <c r="AR1" i="1" s="1"/>
  <c r="AS1" i="1" s="1"/>
  <c r="AT1" i="1" s="1"/>
  <c r="AU1" i="1" s="1"/>
  <c r="E49" i="32"/>
  <c r="F15" i="55" l="1"/>
  <c r="F16" i="55"/>
  <c r="F17" i="55"/>
  <c r="F18" i="55"/>
  <c r="F19" i="55"/>
  <c r="F20" i="55"/>
  <c r="F21" i="55"/>
  <c r="F22" i="55"/>
  <c r="F23" i="55"/>
  <c r="F24" i="55"/>
  <c r="F25" i="55"/>
  <c r="F26" i="55"/>
  <c r="F27" i="55"/>
  <c r="F28" i="55"/>
  <c r="F29" i="55"/>
  <c r="F30" i="55"/>
  <c r="F31" i="55"/>
  <c r="F32" i="55"/>
  <c r="F33" i="55"/>
  <c r="F34" i="55"/>
  <c r="F35" i="55"/>
  <c r="F36" i="55"/>
  <c r="F37" i="55"/>
  <c r="F38" i="55"/>
  <c r="F39" i="55"/>
  <c r="F40" i="55"/>
  <c r="F41" i="55"/>
  <c r="F42" i="55"/>
  <c r="F43" i="55"/>
  <c r="F44" i="55"/>
  <c r="F45" i="55"/>
  <c r="F46" i="55"/>
  <c r="F47" i="55"/>
  <c r="F48" i="55"/>
  <c r="F49" i="55"/>
  <c r="F50" i="55"/>
  <c r="F51" i="55"/>
  <c r="F52" i="55"/>
  <c r="F53" i="55"/>
  <c r="F54" i="55"/>
  <c r="F55" i="55"/>
  <c r="F56" i="55"/>
  <c r="F57" i="55"/>
  <c r="F58" i="55"/>
  <c r="F59" i="55"/>
  <c r="F60" i="55"/>
  <c r="F61" i="55"/>
  <c r="F62" i="55"/>
  <c r="F63" i="55"/>
  <c r="F64" i="55"/>
  <c r="F65" i="55"/>
  <c r="F66" i="55"/>
  <c r="F67" i="55"/>
  <c r="F68" i="55"/>
  <c r="F69" i="55"/>
  <c r="F70" i="55"/>
  <c r="F71" i="55"/>
  <c r="F72" i="55"/>
  <c r="F73" i="55"/>
  <c r="F74" i="55"/>
  <c r="F75" i="55"/>
  <c r="F76" i="55"/>
  <c r="F77" i="55"/>
  <c r="F78" i="55"/>
  <c r="F79" i="55"/>
  <c r="F80" i="55"/>
  <c r="F81" i="55"/>
  <c r="F82" i="55"/>
  <c r="F83" i="55"/>
  <c r="F84" i="55"/>
  <c r="F85" i="55"/>
  <c r="F86" i="55"/>
  <c r="F87" i="55"/>
  <c r="F88" i="55"/>
  <c r="F89" i="55"/>
  <c r="F90" i="55"/>
  <c r="F91" i="55"/>
  <c r="F92" i="55"/>
  <c r="F93" i="55"/>
  <c r="F94" i="55"/>
  <c r="F95" i="55"/>
  <c r="F96" i="55"/>
  <c r="F97" i="55"/>
  <c r="F98" i="55"/>
  <c r="F99" i="55"/>
  <c r="F100" i="55"/>
  <c r="F101" i="55"/>
  <c r="F102" i="55"/>
  <c r="F103" i="55"/>
  <c r="F104" i="55"/>
  <c r="F105" i="55"/>
  <c r="F106" i="55"/>
  <c r="F107" i="55"/>
  <c r="F108" i="55"/>
  <c r="F109" i="55"/>
  <c r="F110" i="55"/>
  <c r="F111" i="55"/>
  <c r="F112" i="55"/>
  <c r="F113" i="55"/>
  <c r="F114" i="55"/>
  <c r="F115" i="55"/>
  <c r="F116" i="55"/>
  <c r="F117" i="55"/>
  <c r="F118" i="55"/>
  <c r="F119" i="55"/>
  <c r="F120" i="55"/>
  <c r="F121" i="55"/>
  <c r="F122" i="55"/>
  <c r="F123" i="55"/>
  <c r="F124" i="55"/>
  <c r="F125" i="55"/>
  <c r="F126" i="55"/>
  <c r="F128" i="55"/>
  <c r="F129" i="55"/>
  <c r="F130" i="55"/>
  <c r="F131" i="55"/>
  <c r="F132" i="55"/>
  <c r="F133" i="55"/>
  <c r="F134" i="55"/>
  <c r="F135" i="55"/>
  <c r="F136" i="55"/>
  <c r="F137" i="55"/>
  <c r="F138" i="55"/>
  <c r="F139" i="55"/>
  <c r="F140" i="55"/>
  <c r="F141" i="55"/>
  <c r="F142" i="55"/>
  <c r="F143" i="55"/>
  <c r="F144" i="55"/>
  <c r="F145" i="55"/>
  <c r="F146" i="55"/>
  <c r="F147" i="55"/>
  <c r="F148" i="55"/>
  <c r="F149" i="55"/>
  <c r="F150" i="55"/>
  <c r="F151" i="55"/>
  <c r="F152" i="55"/>
  <c r="F153" i="55"/>
  <c r="F154" i="55"/>
  <c r="F155" i="55"/>
  <c r="F156" i="55"/>
  <c r="F157" i="55"/>
  <c r="F158" i="55"/>
  <c r="F159" i="55"/>
  <c r="F160" i="55"/>
  <c r="F161" i="55"/>
  <c r="F162" i="55"/>
  <c r="F163" i="55"/>
  <c r="F164" i="55"/>
  <c r="F165" i="55"/>
  <c r="F166" i="55"/>
  <c r="F167" i="55"/>
  <c r="F168" i="55"/>
  <c r="F169" i="55"/>
  <c r="F170" i="55"/>
  <c r="F171" i="55"/>
  <c r="F172" i="55"/>
  <c r="F173" i="55"/>
  <c r="F174" i="55"/>
  <c r="F175" i="55"/>
  <c r="F176" i="55"/>
  <c r="F177" i="55"/>
  <c r="F178" i="55"/>
  <c r="F179" i="55"/>
  <c r="F180" i="55"/>
  <c r="F181" i="55"/>
  <c r="F182" i="55"/>
  <c r="F183" i="55"/>
  <c r="F184" i="55"/>
  <c r="F185" i="55"/>
  <c r="F186" i="55"/>
  <c r="F187" i="55"/>
  <c r="F188" i="55"/>
  <c r="F189" i="55"/>
  <c r="F190" i="55"/>
  <c r="F191" i="55"/>
  <c r="F192" i="55"/>
  <c r="F193" i="55"/>
  <c r="F194" i="55"/>
  <c r="F195" i="55"/>
  <c r="F196" i="55"/>
  <c r="F197" i="55"/>
  <c r="F198" i="55"/>
  <c r="F199" i="55"/>
  <c r="F200" i="55"/>
  <c r="F201" i="55"/>
  <c r="F202" i="55"/>
  <c r="F203" i="55"/>
  <c r="F204" i="55"/>
  <c r="F205" i="55"/>
  <c r="F206" i="55"/>
  <c r="F207" i="55"/>
  <c r="F208" i="55"/>
  <c r="F209" i="55"/>
  <c r="F210" i="55"/>
  <c r="F211" i="55"/>
  <c r="F212" i="55"/>
  <c r="F213" i="55"/>
  <c r="F214" i="55"/>
  <c r="F215" i="55"/>
  <c r="F216" i="55"/>
  <c r="F217" i="55"/>
  <c r="F218" i="55"/>
  <c r="F219" i="55"/>
  <c r="F220" i="55"/>
  <c r="F221" i="55"/>
  <c r="F222" i="55"/>
  <c r="F223" i="55"/>
  <c r="F224" i="55"/>
  <c r="F225" i="55"/>
  <c r="F226" i="55"/>
  <c r="F227" i="55"/>
  <c r="F228" i="55"/>
  <c r="F229" i="55"/>
  <c r="F230" i="55"/>
  <c r="F231" i="55"/>
  <c r="F232" i="55"/>
  <c r="F233" i="55"/>
  <c r="F234" i="55"/>
  <c r="F235" i="55"/>
  <c r="F236" i="55"/>
  <c r="F237" i="55"/>
  <c r="F238" i="55"/>
  <c r="F239" i="55"/>
  <c r="F240" i="55"/>
  <c r="F241" i="55"/>
  <c r="F242" i="55"/>
  <c r="F243" i="55"/>
  <c r="F244" i="55"/>
  <c r="F245" i="55"/>
  <c r="F246" i="55"/>
  <c r="F247" i="55"/>
  <c r="F248" i="55"/>
  <c r="F249" i="55"/>
  <c r="F250" i="55"/>
  <c r="F251" i="55"/>
  <c r="F252" i="55"/>
  <c r="F253" i="55"/>
  <c r="F254" i="55"/>
  <c r="F255" i="55"/>
  <c r="F256" i="55"/>
  <c r="F257" i="55"/>
  <c r="F258" i="55"/>
  <c r="F259" i="55"/>
  <c r="F260" i="55"/>
  <c r="F261" i="55"/>
  <c r="F262" i="55"/>
  <c r="F263" i="55"/>
  <c r="F264" i="55"/>
  <c r="F265" i="55"/>
  <c r="F266" i="55"/>
  <c r="F267" i="55"/>
  <c r="F268" i="55"/>
  <c r="F269" i="55"/>
  <c r="F270" i="55"/>
  <c r="F271" i="55"/>
  <c r="F272" i="55"/>
  <c r="F273" i="55"/>
  <c r="F274" i="55"/>
  <c r="F275" i="55"/>
  <c r="F276" i="55"/>
  <c r="F277" i="55"/>
  <c r="F278" i="55"/>
  <c r="F279" i="55"/>
  <c r="F280" i="55"/>
  <c r="F281" i="55"/>
  <c r="F282" i="55"/>
  <c r="F283" i="55"/>
  <c r="F284" i="55"/>
  <c r="F285" i="55"/>
  <c r="F286" i="55"/>
  <c r="F287" i="55"/>
  <c r="F288" i="55"/>
  <c r="F289" i="55"/>
  <c r="F290" i="55"/>
  <c r="F291" i="55"/>
  <c r="F292" i="55"/>
  <c r="F293" i="55"/>
  <c r="F294" i="55"/>
  <c r="F295" i="55"/>
  <c r="F296" i="55"/>
  <c r="F297" i="55"/>
  <c r="F298" i="55"/>
  <c r="F299" i="55"/>
  <c r="F300" i="55"/>
  <c r="F301" i="55"/>
  <c r="F302" i="55"/>
  <c r="F303" i="55"/>
  <c r="F304" i="55"/>
  <c r="F305" i="55"/>
  <c r="F306" i="55"/>
  <c r="F307" i="55"/>
  <c r="F308" i="55"/>
  <c r="F309" i="55"/>
  <c r="F310" i="55"/>
  <c r="F311" i="55"/>
  <c r="F312" i="55"/>
  <c r="F313" i="55"/>
  <c r="F314" i="55"/>
  <c r="F315" i="55"/>
  <c r="F316" i="55"/>
  <c r="F317" i="55"/>
  <c r="F318" i="55"/>
  <c r="F319" i="55"/>
  <c r="F320" i="55"/>
  <c r="F14" i="55"/>
  <c r="J5" i="55"/>
  <c r="N5" i="55"/>
  <c r="O5" i="55"/>
  <c r="Q5" i="55"/>
  <c r="E5" i="55"/>
  <c r="D5" i="55"/>
  <c r="B1" i="54"/>
  <c r="C1" i="54" s="1"/>
  <c r="D1" i="54" s="1"/>
  <c r="E1" i="54" s="1"/>
  <c r="F1" i="54" s="1"/>
  <c r="G1" i="54" s="1"/>
  <c r="H1" i="54" s="1"/>
  <c r="I1" i="54" s="1"/>
  <c r="J1" i="54" s="1"/>
  <c r="K1" i="54" s="1"/>
  <c r="L1" i="54" s="1"/>
  <c r="B1" i="55"/>
  <c r="C1" i="55" s="1"/>
  <c r="D1" i="55" s="1"/>
  <c r="E1" i="55" s="1"/>
  <c r="F1" i="55" s="1"/>
  <c r="G1" i="55" s="1"/>
  <c r="H1" i="55" s="1"/>
  <c r="I1" i="55" s="1"/>
  <c r="J1" i="55" s="1"/>
  <c r="K1" i="55" s="1"/>
  <c r="L1" i="55" s="1"/>
  <c r="M1" i="55" s="1"/>
  <c r="N1" i="55" s="1"/>
  <c r="O1" i="55" s="1"/>
  <c r="P1" i="55" s="1"/>
  <c r="Q1" i="55" s="1"/>
  <c r="R1" i="55" s="1"/>
  <c r="AK5" i="55"/>
  <c r="AJ5" i="55"/>
  <c r="B1" i="33"/>
  <c r="C1" i="33" s="1"/>
  <c r="D1" i="33" s="1"/>
  <c r="E1" i="33" s="1"/>
  <c r="F1" i="33" s="1"/>
  <c r="G1" i="33" s="1"/>
  <c r="H1" i="33" s="1"/>
  <c r="I1" i="33" s="1"/>
  <c r="J1" i="33" s="1"/>
  <c r="K1" i="33" s="1"/>
  <c r="L1" i="33" s="1"/>
  <c r="M1" i="33" s="1"/>
  <c r="N1" i="33" s="1"/>
  <c r="O1" i="33" s="1"/>
  <c r="P1" i="33" s="1"/>
  <c r="Q1" i="33" s="1"/>
  <c r="R1" i="33" s="1"/>
  <c r="S1" i="33" s="1"/>
  <c r="L320" i="55"/>
  <c r="I320" i="55"/>
  <c r="H318" i="78" s="1"/>
  <c r="AL324" i="55" s="1"/>
  <c r="L319" i="55"/>
  <c r="I319" i="55"/>
  <c r="L318" i="55"/>
  <c r="I318" i="55"/>
  <c r="H315" i="78" s="1"/>
  <c r="AL321" i="55" s="1"/>
  <c r="L317" i="55"/>
  <c r="I317" i="55"/>
  <c r="L316" i="55"/>
  <c r="I316" i="55"/>
  <c r="L315" i="55"/>
  <c r="I315" i="55"/>
  <c r="L314" i="55"/>
  <c r="I314" i="55"/>
  <c r="L313" i="55"/>
  <c r="I313" i="55"/>
  <c r="L312" i="55"/>
  <c r="I312" i="55"/>
  <c r="L311" i="55"/>
  <c r="I311" i="55"/>
  <c r="L310" i="55"/>
  <c r="I310" i="55"/>
  <c r="L309" i="55"/>
  <c r="I309" i="55"/>
  <c r="H320" i="78" s="1"/>
  <c r="L308" i="55"/>
  <c r="I308" i="55"/>
  <c r="L307" i="55"/>
  <c r="I307" i="55"/>
  <c r="L306" i="55"/>
  <c r="I306" i="55"/>
  <c r="L305" i="55"/>
  <c r="I305" i="55"/>
  <c r="L304" i="55"/>
  <c r="I304" i="55"/>
  <c r="H5" i="78" s="1"/>
  <c r="L303" i="55"/>
  <c r="I303" i="55"/>
  <c r="L302" i="55"/>
  <c r="I302" i="55"/>
  <c r="L301" i="55"/>
  <c r="I301" i="55"/>
  <c r="H319" i="78" s="1"/>
  <c r="L300" i="55"/>
  <c r="I300" i="55"/>
  <c r="L299" i="55"/>
  <c r="I299" i="55"/>
  <c r="L298" i="55"/>
  <c r="I298" i="55"/>
  <c r="L297" i="55"/>
  <c r="I297" i="55"/>
  <c r="L296" i="55"/>
  <c r="I296" i="55"/>
  <c r="L295" i="55"/>
  <c r="I295" i="55"/>
  <c r="L294" i="55"/>
  <c r="I294" i="55"/>
  <c r="L293" i="55"/>
  <c r="I293" i="55"/>
  <c r="L292" i="55"/>
  <c r="I292" i="55"/>
  <c r="L291" i="55"/>
  <c r="I291" i="55"/>
  <c r="L290" i="55"/>
  <c r="I290" i="55"/>
  <c r="L289" i="55"/>
  <c r="I289" i="55"/>
  <c r="L288" i="55"/>
  <c r="I288" i="55"/>
  <c r="H285" i="78" s="1"/>
  <c r="L287" i="55"/>
  <c r="I287" i="55"/>
  <c r="L286" i="55"/>
  <c r="I286" i="55"/>
  <c r="L285" i="55"/>
  <c r="I285" i="55"/>
  <c r="L284" i="55"/>
  <c r="I284" i="55"/>
  <c r="L283" i="55"/>
  <c r="I283" i="55"/>
  <c r="L282" i="55"/>
  <c r="I282" i="55"/>
  <c r="L281" i="55"/>
  <c r="I281" i="55"/>
  <c r="L280" i="55"/>
  <c r="I280" i="55"/>
  <c r="L279" i="55"/>
  <c r="I279" i="55"/>
  <c r="L278" i="55"/>
  <c r="I278" i="55"/>
  <c r="L277" i="55"/>
  <c r="I277" i="55"/>
  <c r="L276" i="55"/>
  <c r="I276" i="55"/>
  <c r="L275" i="55"/>
  <c r="I275" i="55"/>
  <c r="L274" i="55"/>
  <c r="I274" i="55"/>
  <c r="L273" i="55"/>
  <c r="I273" i="55"/>
  <c r="L272" i="55"/>
  <c r="I272" i="55"/>
  <c r="L271" i="55"/>
  <c r="I271" i="55"/>
  <c r="L270" i="55"/>
  <c r="I270" i="55"/>
  <c r="L269" i="55"/>
  <c r="I269" i="55"/>
  <c r="L268" i="55"/>
  <c r="I268" i="55"/>
  <c r="L267" i="55"/>
  <c r="I267" i="55"/>
  <c r="L266" i="55"/>
  <c r="I266" i="55"/>
  <c r="L265" i="55"/>
  <c r="I265" i="55"/>
  <c r="L264" i="55"/>
  <c r="I264" i="55"/>
  <c r="H262" i="78" s="1"/>
  <c r="L263" i="55"/>
  <c r="I263" i="55"/>
  <c r="L262" i="55"/>
  <c r="I262" i="55"/>
  <c r="L261" i="55"/>
  <c r="I261" i="55"/>
  <c r="L260" i="55"/>
  <c r="I260" i="55"/>
  <c r="L259" i="55"/>
  <c r="I259" i="55"/>
  <c r="L258" i="55"/>
  <c r="I258" i="55"/>
  <c r="L257" i="55"/>
  <c r="I257" i="55"/>
  <c r="L256" i="55"/>
  <c r="I256" i="55"/>
  <c r="L255" i="55"/>
  <c r="I255" i="55"/>
  <c r="L254" i="55"/>
  <c r="I254" i="55"/>
  <c r="L253" i="55"/>
  <c r="I253" i="55"/>
  <c r="L252" i="55"/>
  <c r="I252" i="55"/>
  <c r="L251" i="55"/>
  <c r="I251" i="55"/>
  <c r="L250" i="55"/>
  <c r="I250" i="55"/>
  <c r="L249" i="55"/>
  <c r="I249" i="55"/>
  <c r="L248" i="55"/>
  <c r="I248" i="55"/>
  <c r="L247" i="55"/>
  <c r="I247" i="55"/>
  <c r="L246" i="55"/>
  <c r="I246" i="55"/>
  <c r="L245" i="55"/>
  <c r="I245" i="55"/>
  <c r="L244" i="55"/>
  <c r="I244" i="55"/>
  <c r="L243" i="55"/>
  <c r="I243" i="55"/>
  <c r="L242" i="55"/>
  <c r="I242" i="55"/>
  <c r="L241" i="55"/>
  <c r="I241" i="55"/>
  <c r="L240" i="55"/>
  <c r="I240" i="55"/>
  <c r="L239" i="55"/>
  <c r="I239" i="55"/>
  <c r="L238" i="55"/>
  <c r="I238" i="55"/>
  <c r="L237" i="55"/>
  <c r="I237" i="55"/>
  <c r="L236" i="55"/>
  <c r="I236" i="55"/>
  <c r="L235" i="55"/>
  <c r="I235" i="55"/>
  <c r="L234" i="55"/>
  <c r="I234" i="55"/>
  <c r="L233" i="55"/>
  <c r="I233" i="55"/>
  <c r="L232" i="55"/>
  <c r="I232" i="55"/>
  <c r="L231" i="55"/>
  <c r="I231" i="55"/>
  <c r="L230" i="55"/>
  <c r="I230" i="55"/>
  <c r="L229" i="55"/>
  <c r="I229" i="55"/>
  <c r="L228" i="55"/>
  <c r="I228" i="55"/>
  <c r="L227" i="55"/>
  <c r="I227" i="55"/>
  <c r="L226" i="55"/>
  <c r="I226" i="55"/>
  <c r="L225" i="55"/>
  <c r="I225" i="55"/>
  <c r="L224" i="55"/>
  <c r="I224" i="55"/>
  <c r="L223" i="55"/>
  <c r="I223" i="55"/>
  <c r="H221" i="78" s="1"/>
  <c r="L222" i="55"/>
  <c r="I222" i="55"/>
  <c r="L221" i="55"/>
  <c r="I221" i="55"/>
  <c r="L220" i="55"/>
  <c r="I220" i="55"/>
  <c r="L219" i="55"/>
  <c r="I219" i="55"/>
  <c r="L218" i="55"/>
  <c r="I218" i="55"/>
  <c r="L217" i="55"/>
  <c r="I217" i="55"/>
  <c r="L216" i="55"/>
  <c r="I216" i="55"/>
  <c r="L215" i="55"/>
  <c r="I215" i="55"/>
  <c r="L214" i="55"/>
  <c r="I214" i="55"/>
  <c r="L213" i="55"/>
  <c r="I213" i="55"/>
  <c r="L212" i="55"/>
  <c r="I212" i="55"/>
  <c r="L211" i="55"/>
  <c r="I211" i="55"/>
  <c r="L210" i="55"/>
  <c r="I210" i="55"/>
  <c r="L209" i="55"/>
  <c r="I209" i="55"/>
  <c r="L208" i="55"/>
  <c r="I208" i="55"/>
  <c r="L207" i="55"/>
  <c r="I207" i="55"/>
  <c r="L206" i="55"/>
  <c r="I206" i="55"/>
  <c r="H200" i="78" s="1"/>
  <c r="L205" i="55"/>
  <c r="I205" i="55"/>
  <c r="L204" i="55"/>
  <c r="I204" i="55"/>
  <c r="L203" i="55"/>
  <c r="I203" i="55"/>
  <c r="L202" i="55"/>
  <c r="I202" i="55"/>
  <c r="L201" i="55"/>
  <c r="I201" i="55"/>
  <c r="L200" i="55"/>
  <c r="I200" i="55"/>
  <c r="L199" i="55"/>
  <c r="I199" i="55"/>
  <c r="L198" i="55"/>
  <c r="I198" i="55"/>
  <c r="L197" i="55"/>
  <c r="I197" i="55"/>
  <c r="L196" i="55"/>
  <c r="I196" i="55"/>
  <c r="L195" i="55"/>
  <c r="I195" i="55"/>
  <c r="L194" i="55"/>
  <c r="I194" i="55"/>
  <c r="H188" i="78" s="1"/>
  <c r="L193" i="55"/>
  <c r="I193" i="55"/>
  <c r="L192" i="55"/>
  <c r="I192" i="55"/>
  <c r="L191" i="55"/>
  <c r="I191" i="55"/>
  <c r="L190" i="55"/>
  <c r="I190" i="55"/>
  <c r="H184" i="78" s="1"/>
  <c r="L189" i="55"/>
  <c r="I189" i="55"/>
  <c r="L188" i="55"/>
  <c r="I188" i="55"/>
  <c r="L187" i="55"/>
  <c r="I187" i="55"/>
  <c r="L186" i="55"/>
  <c r="I186" i="55"/>
  <c r="L185" i="55"/>
  <c r="I185" i="55"/>
  <c r="L184" i="55"/>
  <c r="I184" i="55"/>
  <c r="H182" i="78" s="1"/>
  <c r="L183" i="55"/>
  <c r="I183" i="55"/>
  <c r="L182" i="55"/>
  <c r="I182" i="55"/>
  <c r="L181" i="55"/>
  <c r="I181" i="55"/>
  <c r="H179" i="78" s="1"/>
  <c r="L180" i="55"/>
  <c r="I180" i="55"/>
  <c r="L179" i="55"/>
  <c r="I179" i="55"/>
  <c r="L178" i="55"/>
  <c r="I178" i="55"/>
  <c r="L177" i="55"/>
  <c r="I177" i="55"/>
  <c r="L176" i="55"/>
  <c r="I176" i="55"/>
  <c r="L175" i="55"/>
  <c r="I175" i="55"/>
  <c r="L174" i="55"/>
  <c r="I174" i="55"/>
  <c r="H168" i="78" s="1"/>
  <c r="L173" i="55"/>
  <c r="I173" i="55"/>
  <c r="L172" i="55"/>
  <c r="I172" i="55"/>
  <c r="L171" i="55"/>
  <c r="I171" i="55"/>
  <c r="L170" i="55"/>
  <c r="I170" i="55"/>
  <c r="H164" i="78" s="1"/>
  <c r="L169" i="55"/>
  <c r="I169" i="55"/>
  <c r="L168" i="55"/>
  <c r="I168" i="55"/>
  <c r="L167" i="55"/>
  <c r="I167" i="55"/>
  <c r="L166" i="55"/>
  <c r="I166" i="55"/>
  <c r="H160" i="78" s="1"/>
  <c r="L165" i="55"/>
  <c r="I165" i="55"/>
  <c r="L164" i="55"/>
  <c r="I164" i="55"/>
  <c r="L163" i="55"/>
  <c r="I163" i="55"/>
  <c r="L162" i="55"/>
  <c r="I162" i="55"/>
  <c r="L161" i="55"/>
  <c r="I161" i="55"/>
  <c r="L160" i="55"/>
  <c r="I160" i="55"/>
  <c r="L159" i="55"/>
  <c r="I159" i="55"/>
  <c r="L158" i="55"/>
  <c r="I158" i="55"/>
  <c r="L157" i="55"/>
  <c r="I157" i="55"/>
  <c r="L156" i="55"/>
  <c r="I156" i="55"/>
  <c r="L155" i="55"/>
  <c r="I155" i="55"/>
  <c r="L154" i="55"/>
  <c r="I154" i="55"/>
  <c r="H148" i="78" s="1"/>
  <c r="L153" i="55"/>
  <c r="I153" i="55"/>
  <c r="L152" i="55"/>
  <c r="I152" i="55"/>
  <c r="L151" i="55"/>
  <c r="I151" i="55"/>
  <c r="L150" i="55"/>
  <c r="I150" i="55"/>
  <c r="L149" i="55"/>
  <c r="I149" i="55"/>
  <c r="L148" i="55"/>
  <c r="I148" i="55"/>
  <c r="L147" i="55"/>
  <c r="I147" i="55"/>
  <c r="L146" i="55"/>
  <c r="I146" i="55"/>
  <c r="L145" i="55"/>
  <c r="I145" i="55"/>
  <c r="L144" i="55"/>
  <c r="I144" i="55"/>
  <c r="H142" i="78" s="1"/>
  <c r="L143" i="55"/>
  <c r="I143" i="55"/>
  <c r="H141" i="78" s="1"/>
  <c r="L142" i="55"/>
  <c r="I142" i="55"/>
  <c r="H136" i="78" s="1"/>
  <c r="L141" i="55"/>
  <c r="I141" i="55"/>
  <c r="L140" i="55"/>
  <c r="I140" i="55"/>
  <c r="H138" i="78" s="1"/>
  <c r="L139" i="55"/>
  <c r="I139" i="55"/>
  <c r="H137" i="78" s="1"/>
  <c r="L138" i="55"/>
  <c r="I138" i="55"/>
  <c r="H132" i="78" s="1"/>
  <c r="L137" i="55"/>
  <c r="I137" i="55"/>
  <c r="L136" i="55"/>
  <c r="I136" i="55"/>
  <c r="L135" i="55"/>
  <c r="I135" i="55"/>
  <c r="L134" i="55"/>
  <c r="I134" i="55"/>
  <c r="L133" i="55"/>
  <c r="I133" i="55"/>
  <c r="L132" i="55"/>
  <c r="I132" i="55"/>
  <c r="L131" i="55"/>
  <c r="I131" i="55"/>
  <c r="L130" i="55"/>
  <c r="I130" i="55"/>
  <c r="H124" i="78" s="1"/>
  <c r="L129" i="55"/>
  <c r="I129" i="55"/>
  <c r="L128" i="55"/>
  <c r="I128" i="55"/>
  <c r="L127" i="55"/>
  <c r="I127" i="55"/>
  <c r="L126" i="55"/>
  <c r="I126" i="55"/>
  <c r="H118" i="78" s="1"/>
  <c r="L125" i="55"/>
  <c r="I125" i="55"/>
  <c r="L124" i="55"/>
  <c r="I124" i="55"/>
  <c r="L123" i="55"/>
  <c r="I123" i="55"/>
  <c r="L122" i="55"/>
  <c r="I122" i="55"/>
  <c r="L121" i="55"/>
  <c r="I121" i="55"/>
  <c r="L120" i="55"/>
  <c r="I120" i="55"/>
  <c r="L119" i="55"/>
  <c r="I119" i="55"/>
  <c r="L118" i="55"/>
  <c r="I118" i="55"/>
  <c r="H116" i="78" s="1"/>
  <c r="L117" i="55"/>
  <c r="I117" i="55"/>
  <c r="L116" i="55"/>
  <c r="I116" i="55"/>
  <c r="L115" i="55"/>
  <c r="I115" i="55"/>
  <c r="L114" i="55"/>
  <c r="I114" i="55"/>
  <c r="H105" i="78" s="1"/>
  <c r="L113" i="55"/>
  <c r="I113" i="55"/>
  <c r="L112" i="55"/>
  <c r="I112" i="55"/>
  <c r="L111" i="55"/>
  <c r="I111" i="55"/>
  <c r="L110" i="55"/>
  <c r="I110" i="55"/>
  <c r="L109" i="55"/>
  <c r="I109" i="55"/>
  <c r="L108" i="55"/>
  <c r="I108" i="55"/>
  <c r="L107" i="55"/>
  <c r="I107" i="55"/>
  <c r="L106" i="55"/>
  <c r="I106" i="55"/>
  <c r="H97" i="78" s="1"/>
  <c r="L105" i="55"/>
  <c r="I105" i="55"/>
  <c r="L104" i="55"/>
  <c r="I104" i="55"/>
  <c r="L103" i="55"/>
  <c r="I103" i="55"/>
  <c r="L102" i="55"/>
  <c r="I102" i="55"/>
  <c r="L101" i="55"/>
  <c r="I101" i="55"/>
  <c r="L100" i="55"/>
  <c r="I100" i="55"/>
  <c r="L99" i="55"/>
  <c r="I99" i="55"/>
  <c r="L98" i="55"/>
  <c r="I98" i="55"/>
  <c r="H89" i="78" s="1"/>
  <c r="L97" i="55"/>
  <c r="I97" i="55"/>
  <c r="L96" i="55"/>
  <c r="I96" i="55"/>
  <c r="L95" i="55"/>
  <c r="I95" i="55"/>
  <c r="L94" i="55"/>
  <c r="I94" i="55"/>
  <c r="H85" i="78" s="1"/>
  <c r="L93" i="55"/>
  <c r="I93" i="55"/>
  <c r="L92" i="55"/>
  <c r="I92" i="55"/>
  <c r="L91" i="55"/>
  <c r="I91" i="55"/>
  <c r="L90" i="55"/>
  <c r="I90" i="55"/>
  <c r="L89" i="55"/>
  <c r="I89" i="55"/>
  <c r="L88" i="55"/>
  <c r="I88" i="55"/>
  <c r="L87" i="55"/>
  <c r="I87" i="55"/>
  <c r="L86" i="55"/>
  <c r="I86" i="55"/>
  <c r="L85" i="55"/>
  <c r="I85" i="55"/>
  <c r="L84" i="55"/>
  <c r="I84" i="55"/>
  <c r="L83" i="55"/>
  <c r="I83" i="55"/>
  <c r="H81" i="78" s="1"/>
  <c r="L82" i="55"/>
  <c r="I82" i="55"/>
  <c r="H73" i="78" s="1"/>
  <c r="L81" i="55"/>
  <c r="I81" i="55"/>
  <c r="L80" i="55"/>
  <c r="I80" i="55"/>
  <c r="L79" i="55"/>
  <c r="I79" i="55"/>
  <c r="L78" i="55"/>
  <c r="I78" i="55"/>
  <c r="L77" i="55"/>
  <c r="I77" i="55"/>
  <c r="L76" i="55"/>
  <c r="I76" i="55"/>
  <c r="L75" i="55"/>
  <c r="I75" i="55"/>
  <c r="L74" i="55"/>
  <c r="I74" i="55"/>
  <c r="H65" i="78" s="1"/>
  <c r="L73" i="55"/>
  <c r="I73" i="55"/>
  <c r="L72" i="55"/>
  <c r="I72" i="55"/>
  <c r="L71" i="55"/>
  <c r="I71" i="55"/>
  <c r="L70" i="55"/>
  <c r="I70" i="55"/>
  <c r="H61" i="78" s="1"/>
  <c r="L69" i="55"/>
  <c r="I69" i="55"/>
  <c r="L68" i="55"/>
  <c r="I68" i="55"/>
  <c r="L67" i="55"/>
  <c r="I67" i="55"/>
  <c r="L66" i="55"/>
  <c r="I66" i="55"/>
  <c r="H57" i="78" s="1"/>
  <c r="L65" i="55"/>
  <c r="I65" i="55"/>
  <c r="L64" i="55"/>
  <c r="I64" i="55"/>
  <c r="L63" i="55"/>
  <c r="I63" i="55"/>
  <c r="L62" i="55"/>
  <c r="I62" i="55"/>
  <c r="L61" i="55"/>
  <c r="I61" i="55"/>
  <c r="L60" i="55"/>
  <c r="I60" i="55"/>
  <c r="L59" i="55"/>
  <c r="I59" i="55"/>
  <c r="L58" i="55"/>
  <c r="I58" i="55"/>
  <c r="H49" i="78" s="1"/>
  <c r="L57" i="55"/>
  <c r="I57" i="55"/>
  <c r="L56" i="55"/>
  <c r="I56" i="55"/>
  <c r="L55" i="55"/>
  <c r="I55" i="55"/>
  <c r="H53" i="78" s="1"/>
  <c r="L54" i="55"/>
  <c r="I54" i="55"/>
  <c r="L53" i="55"/>
  <c r="I53" i="55"/>
  <c r="L52" i="55"/>
  <c r="I52" i="55"/>
  <c r="L51" i="55"/>
  <c r="I51" i="55"/>
  <c r="L50" i="55"/>
  <c r="I50" i="55"/>
  <c r="L49" i="55"/>
  <c r="I49" i="55"/>
  <c r="L48" i="55"/>
  <c r="I48" i="55"/>
  <c r="L47" i="55"/>
  <c r="I47" i="55"/>
  <c r="H45" i="78" s="1"/>
  <c r="L46" i="55"/>
  <c r="I46" i="55"/>
  <c r="H37" i="78" s="1"/>
  <c r="L45" i="55"/>
  <c r="I45" i="55"/>
  <c r="H43" i="78" s="1"/>
  <c r="L44" i="55"/>
  <c r="I44" i="55"/>
  <c r="L43" i="55"/>
  <c r="I43" i="55"/>
  <c r="H34" i="78" s="1"/>
  <c r="L42" i="55"/>
  <c r="I42" i="55"/>
  <c r="L41" i="55"/>
  <c r="I41" i="55"/>
  <c r="L40" i="55"/>
  <c r="I40" i="55"/>
  <c r="L39" i="55"/>
  <c r="I39" i="55"/>
  <c r="L38" i="55"/>
  <c r="I38" i="55"/>
  <c r="H29" i="78" s="1"/>
  <c r="L37" i="55"/>
  <c r="I37" i="55"/>
  <c r="L36" i="55"/>
  <c r="I36" i="55"/>
  <c r="L35" i="55"/>
  <c r="I35" i="55"/>
  <c r="L34" i="55"/>
  <c r="I34" i="55"/>
  <c r="H25" i="78" s="1"/>
  <c r="L33" i="55"/>
  <c r="I33" i="55"/>
  <c r="L32" i="55"/>
  <c r="I32" i="55"/>
  <c r="L31" i="55"/>
  <c r="I31" i="55"/>
  <c r="L30" i="55"/>
  <c r="I30" i="55"/>
  <c r="H21" i="78" s="1"/>
  <c r="L29" i="55"/>
  <c r="I29" i="55"/>
  <c r="L28" i="55"/>
  <c r="I28" i="55"/>
  <c r="L27" i="55"/>
  <c r="I27" i="55"/>
  <c r="L26" i="55"/>
  <c r="I26" i="55"/>
  <c r="L25" i="55"/>
  <c r="I25" i="55"/>
  <c r="L24" i="55"/>
  <c r="I24" i="55"/>
  <c r="L23" i="55"/>
  <c r="I23" i="55"/>
  <c r="L22" i="55"/>
  <c r="I22" i="55"/>
  <c r="H13" i="78" s="1"/>
  <c r="L21" i="55"/>
  <c r="I21" i="55"/>
  <c r="L20" i="55"/>
  <c r="I20" i="55"/>
  <c r="L19" i="55"/>
  <c r="I19" i="55"/>
  <c r="L18" i="55"/>
  <c r="I18" i="55"/>
  <c r="L17" i="55"/>
  <c r="I17" i="55"/>
  <c r="L16" i="55"/>
  <c r="I16" i="55"/>
  <c r="L15" i="55"/>
  <c r="I15" i="55"/>
  <c r="L14" i="55"/>
  <c r="R5" i="55"/>
  <c r="U5" i="55" s="1"/>
  <c r="T5" i="55"/>
  <c r="S5" i="55"/>
  <c r="K5" i="55"/>
  <c r="H5" i="55"/>
  <c r="G5" i="55"/>
  <c r="H180" i="78" l="1"/>
  <c r="H192" i="78"/>
  <c r="H209" i="78"/>
  <c r="H213" i="78"/>
  <c r="H225" i="78"/>
  <c r="H229" i="78"/>
  <c r="H233" i="78"/>
  <c r="H249" i="78"/>
  <c r="H139" i="78"/>
  <c r="H278" i="78"/>
  <c r="H41" i="78"/>
  <c r="H48" i="78"/>
  <c r="H33" i="78"/>
  <c r="H40" i="78"/>
  <c r="H62" i="78"/>
  <c r="H152" i="78"/>
  <c r="H156" i="78"/>
  <c r="H321" i="78"/>
  <c r="H203" i="78"/>
  <c r="H119" i="78"/>
  <c r="H219" i="78"/>
  <c r="H135" i="78"/>
  <c r="H237" i="78"/>
  <c r="H245" i="78"/>
  <c r="H257" i="78"/>
  <c r="H269" i="78"/>
  <c r="AL138" i="55"/>
  <c r="H133" i="78"/>
  <c r="H218" i="78"/>
  <c r="H261" i="78"/>
  <c r="H273" i="78"/>
  <c r="H172" i="78"/>
  <c r="H176" i="78"/>
  <c r="H217" i="78"/>
  <c r="AL222" i="55" s="1"/>
  <c r="H220" i="78"/>
  <c r="H281" i="78"/>
  <c r="T1" i="33"/>
  <c r="U1" i="33" s="1"/>
  <c r="V1" i="33" s="1"/>
  <c r="W1" i="33" s="1"/>
  <c r="X1" i="33" s="1"/>
  <c r="Y1" i="33" s="1"/>
  <c r="Z1" i="33" s="1"/>
  <c r="AA1" i="33" s="1"/>
  <c r="AB1" i="33" s="1"/>
  <c r="AC1" i="33" s="1"/>
  <c r="AD1" i="33" s="1"/>
  <c r="H283" i="78"/>
  <c r="H287" i="78"/>
  <c r="H291" i="78"/>
  <c r="H295" i="78"/>
  <c r="H303" i="78"/>
  <c r="H307" i="78"/>
  <c r="M1" i="54"/>
  <c r="N1" i="54" s="1"/>
  <c r="O1" i="54" s="1"/>
  <c r="H113" i="78"/>
  <c r="H120" i="78"/>
  <c r="H274" i="78"/>
  <c r="H272" i="78"/>
  <c r="AL144" i="55"/>
  <c r="AL223" i="55"/>
  <c r="V5" i="55"/>
  <c r="S1" i="55"/>
  <c r="T1" i="55" s="1"/>
  <c r="U1" i="55" s="1"/>
  <c r="V1" i="55" s="1"/>
  <c r="F31" i="32"/>
  <c r="D20" i="32"/>
  <c r="D31" i="32"/>
  <c r="W1" i="55"/>
  <c r="X1" i="55" s="1"/>
  <c r="Y1" i="55" s="1"/>
  <c r="Z1" i="55" s="1"/>
  <c r="AA1" i="55" s="1"/>
  <c r="AB1" i="55" s="1"/>
  <c r="AC1" i="55" s="1"/>
  <c r="AD1" i="55" s="1"/>
  <c r="AE1" i="55" s="1"/>
  <c r="AF1" i="55" s="1"/>
  <c r="D15" i="32"/>
  <c r="D52" i="32" s="1"/>
  <c r="D14" i="32"/>
  <c r="D17" i="32"/>
  <c r="D16" i="32"/>
  <c r="D53" i="32" s="1"/>
  <c r="H7" i="78"/>
  <c r="H9" i="78"/>
  <c r="H11" i="78"/>
  <c r="H38" i="78"/>
  <c r="H42" i="78"/>
  <c r="H44" i="78"/>
  <c r="H46" i="78"/>
  <c r="AL55" i="55" s="1"/>
  <c r="H50" i="78"/>
  <c r="H52" i="78"/>
  <c r="H54" i="78"/>
  <c r="AL63" i="55" s="1"/>
  <c r="H56" i="78"/>
  <c r="H58" i="78"/>
  <c r="H60" i="78"/>
  <c r="H78" i="78"/>
  <c r="AL87" i="55" s="1"/>
  <c r="H80" i="78"/>
  <c r="H82" i="78"/>
  <c r="H84" i="78"/>
  <c r="H86" i="78"/>
  <c r="H91" i="78"/>
  <c r="H93" i="78"/>
  <c r="H95" i="78"/>
  <c r="H99" i="78"/>
  <c r="H101" i="78"/>
  <c r="H108" i="78"/>
  <c r="H110" i="78"/>
  <c r="H112" i="78"/>
  <c r="AL121" i="55" s="1"/>
  <c r="H114" i="78"/>
  <c r="H122" i="78"/>
  <c r="H131" i="78"/>
  <c r="AL137" i="55" s="1"/>
  <c r="H144" i="78"/>
  <c r="AL146" i="55" s="1"/>
  <c r="H151" i="78"/>
  <c r="H153" i="78"/>
  <c r="H155" i="78"/>
  <c r="H166" i="78"/>
  <c r="H170" i="78"/>
  <c r="H175" i="78"/>
  <c r="H177" i="78"/>
  <c r="H181" i="78"/>
  <c r="H183" i="78"/>
  <c r="H185" i="78"/>
  <c r="H187" i="78"/>
  <c r="H189" i="78"/>
  <c r="H202" i="78"/>
  <c r="H205" i="78"/>
  <c r="H207" i="78"/>
  <c r="H216" i="78"/>
  <c r="AL221" i="55" s="1"/>
  <c r="H231" i="78"/>
  <c r="H235" i="78"/>
  <c r="H239" i="78"/>
  <c r="H242" i="78"/>
  <c r="H255" i="78"/>
  <c r="H260" i="78"/>
  <c r="H276" i="78"/>
  <c r="H290" i="78"/>
  <c r="H293" i="78"/>
  <c r="AL141" i="55" s="1"/>
  <c r="H300" i="78"/>
  <c r="H308" i="78"/>
  <c r="H310" i="78"/>
  <c r="H313" i="78"/>
  <c r="H15" i="78"/>
  <c r="H17" i="78"/>
  <c r="H19" i="78"/>
  <c r="H23" i="78"/>
  <c r="H27" i="78"/>
  <c r="AL36" i="55" s="1"/>
  <c r="H31" i="78"/>
  <c r="H35" i="78"/>
  <c r="H67" i="78"/>
  <c r="H69" i="78"/>
  <c r="H71" i="78"/>
  <c r="H75" i="78"/>
  <c r="H77" i="78"/>
  <c r="H88" i="78"/>
  <c r="H103" i="78"/>
  <c r="H117" i="78"/>
  <c r="H121" i="78"/>
  <c r="H126" i="78"/>
  <c r="H128" i="78"/>
  <c r="AL130" i="55" s="1"/>
  <c r="H146" i="78"/>
  <c r="H150" i="78"/>
  <c r="H157" i="78"/>
  <c r="H159" i="78"/>
  <c r="H161" i="78"/>
  <c r="AL166" i="55" s="1"/>
  <c r="H163" i="78"/>
  <c r="H165" i="78"/>
  <c r="AL170" i="55" s="1"/>
  <c r="H191" i="78"/>
  <c r="H193" i="78"/>
  <c r="H195" i="78"/>
  <c r="H197" i="78"/>
  <c r="H199" i="78"/>
  <c r="AL205" i="55" s="1"/>
  <c r="H211" i="78"/>
  <c r="H222" i="78"/>
  <c r="AL227" i="55" s="1"/>
  <c r="H224" i="78"/>
  <c r="AL226" i="55" s="1"/>
  <c r="H226" i="78"/>
  <c r="AL231" i="55" s="1"/>
  <c r="H228" i="78"/>
  <c r="H244" i="78"/>
  <c r="H246" i="78"/>
  <c r="AL251" i="55" s="1"/>
  <c r="H248" i="78"/>
  <c r="H250" i="78"/>
  <c r="H252" i="78"/>
  <c r="AL254" i="55" s="1"/>
  <c r="H254" i="78"/>
  <c r="H259" i="78"/>
  <c r="H264" i="78"/>
  <c r="H266" i="78"/>
  <c r="H268" i="78"/>
  <c r="H270" i="78"/>
  <c r="H280" i="78"/>
  <c r="H292" i="78"/>
  <c r="H297" i="78"/>
  <c r="H302" i="78"/>
  <c r="AL50" i="55" s="1"/>
  <c r="H304" i="78"/>
  <c r="H305" i="78"/>
  <c r="H312" i="78"/>
  <c r="H6" i="78"/>
  <c r="H8" i="78"/>
  <c r="H10" i="78"/>
  <c r="H39" i="78"/>
  <c r="H47" i="78"/>
  <c r="H51" i="78"/>
  <c r="H55" i="78"/>
  <c r="H59" i="78"/>
  <c r="H79" i="78"/>
  <c r="H83" i="78"/>
  <c r="H90" i="78"/>
  <c r="AL99" i="55" s="1"/>
  <c r="H92" i="78"/>
  <c r="H94" i="78"/>
  <c r="AL103" i="55" s="1"/>
  <c r="H96" i="78"/>
  <c r="H98" i="78"/>
  <c r="H100" i="78"/>
  <c r="H102" i="78"/>
  <c r="H107" i="78"/>
  <c r="H109" i="78"/>
  <c r="H111" i="78"/>
  <c r="H115" i="78"/>
  <c r="H123" i="78"/>
  <c r="H130" i="78"/>
  <c r="H143" i="78"/>
  <c r="AL145" i="55" s="1"/>
  <c r="H145" i="78"/>
  <c r="AL142" i="55" s="1"/>
  <c r="H154" i="78"/>
  <c r="H167" i="78"/>
  <c r="H169" i="78"/>
  <c r="H171" i="78"/>
  <c r="H174" i="78"/>
  <c r="H178" i="78"/>
  <c r="H186" i="78"/>
  <c r="H201" i="78"/>
  <c r="H204" i="78"/>
  <c r="H206" i="78"/>
  <c r="AL211" i="55" s="1"/>
  <c r="H208" i="78"/>
  <c r="H215" i="78"/>
  <c r="AL220" i="55" s="1"/>
  <c r="H230" i="78"/>
  <c r="AL235" i="55" s="1"/>
  <c r="H232" i="78"/>
  <c r="H234" i="78"/>
  <c r="AL239" i="55" s="1"/>
  <c r="H236" i="78"/>
  <c r="H238" i="78"/>
  <c r="H240" i="78"/>
  <c r="H241" i="78"/>
  <c r="H256" i="78"/>
  <c r="AL261" i="55" s="1"/>
  <c r="H258" i="78"/>
  <c r="AL263" i="55" s="1"/>
  <c r="H275" i="78"/>
  <c r="H277" i="78"/>
  <c r="H279" i="78"/>
  <c r="AL283" i="55" s="1"/>
  <c r="H289" i="78"/>
  <c r="AL143" i="55" s="1"/>
  <c r="H294" i="78"/>
  <c r="H296" i="78"/>
  <c r="H299" i="78"/>
  <c r="H309" i="78"/>
  <c r="H314" i="78"/>
  <c r="H317" i="78"/>
  <c r="H12" i="78"/>
  <c r="H14" i="78"/>
  <c r="H16" i="78"/>
  <c r="H18" i="78"/>
  <c r="H20" i="78"/>
  <c r="H22" i="78"/>
  <c r="AL31" i="55" s="1"/>
  <c r="H24" i="78"/>
  <c r="H26" i="78"/>
  <c r="H28" i="78"/>
  <c r="H30" i="78"/>
  <c r="H32" i="78"/>
  <c r="H36" i="78"/>
  <c r="AL45" i="55" s="1"/>
  <c r="H63" i="78"/>
  <c r="H64" i="78"/>
  <c r="H66" i="78"/>
  <c r="H68" i="78"/>
  <c r="H70" i="78"/>
  <c r="H72" i="78"/>
  <c r="H74" i="78"/>
  <c r="H76" i="78"/>
  <c r="H87" i="78"/>
  <c r="AL96" i="55" s="1"/>
  <c r="H104" i="78"/>
  <c r="H106" i="78"/>
  <c r="H125" i="78"/>
  <c r="H127" i="78"/>
  <c r="H129" i="78"/>
  <c r="H134" i="78"/>
  <c r="AL140" i="55" s="1"/>
  <c r="H147" i="78"/>
  <c r="AL153" i="55" s="1"/>
  <c r="H149" i="78"/>
  <c r="H158" i="78"/>
  <c r="H162" i="78"/>
  <c r="H173" i="78"/>
  <c r="H190" i="78"/>
  <c r="H194" i="78"/>
  <c r="H196" i="78"/>
  <c r="H198" i="78"/>
  <c r="H210" i="78"/>
  <c r="AL215" i="55" s="1"/>
  <c r="H212" i="78"/>
  <c r="H214" i="78"/>
  <c r="AL219" i="55" s="1"/>
  <c r="H223" i="78"/>
  <c r="H227" i="78"/>
  <c r="H243" i="78"/>
  <c r="H247" i="78"/>
  <c r="H251" i="78"/>
  <c r="AL256" i="55" s="1"/>
  <c r="H253" i="78"/>
  <c r="AL258" i="55" s="1"/>
  <c r="H263" i="78"/>
  <c r="H265" i="78"/>
  <c r="H267" i="78"/>
  <c r="H271" i="78"/>
  <c r="H282" i="78"/>
  <c r="H284" i="78"/>
  <c r="AL287" i="55" s="1"/>
  <c r="H286" i="78"/>
  <c r="H288" i="78"/>
  <c r="H298" i="78"/>
  <c r="H301" i="78"/>
  <c r="H306" i="78"/>
  <c r="AL309" i="55" s="1"/>
  <c r="H311" i="78"/>
  <c r="H316" i="78"/>
  <c r="E31" i="32"/>
  <c r="I5" i="55"/>
  <c r="L5" i="55"/>
  <c r="F5" i="55"/>
  <c r="D12" i="32" s="1"/>
  <c r="AL247" i="55" l="1"/>
  <c r="AL101" i="55"/>
  <c r="AL42" i="55"/>
  <c r="AL233" i="55"/>
  <c r="AL297" i="55"/>
  <c r="AL228" i="55"/>
  <c r="AL301" i="55"/>
  <c r="AL217" i="55"/>
  <c r="AL314" i="55"/>
  <c r="AL289" i="55"/>
  <c r="AL83" i="55"/>
  <c r="AL7" i="55"/>
  <c r="AL242" i="55"/>
  <c r="AL118" i="55"/>
  <c r="AL39" i="55"/>
  <c r="AL276" i="55"/>
  <c r="AL275" i="55"/>
  <c r="AL35" i="55"/>
  <c r="AL90" i="55"/>
  <c r="AL91" i="55"/>
  <c r="AL59" i="55"/>
  <c r="AL23" i="55"/>
  <c r="AL75" i="55"/>
  <c r="AL184" i="55"/>
  <c r="AL107" i="55"/>
  <c r="AL64" i="55"/>
  <c r="AL86" i="55"/>
  <c r="AL185" i="55"/>
  <c r="AL62" i="55"/>
  <c r="AL51" i="55"/>
  <c r="AL43" i="55"/>
  <c r="AL27" i="55"/>
  <c r="AL120" i="55"/>
  <c r="AL71" i="55"/>
  <c r="AL181" i="55"/>
  <c r="AL67" i="55"/>
  <c r="AL47" i="55"/>
  <c r="AL173" i="55"/>
  <c r="H4" i="78"/>
  <c r="AL209" i="55"/>
  <c r="AL244" i="55"/>
  <c r="AL279" i="55"/>
  <c r="AL84" i="55"/>
  <c r="AL207" i="55"/>
  <c r="AL291" i="55"/>
  <c r="AL177" i="55"/>
  <c r="AL124" i="55"/>
  <c r="AL213" i="55"/>
  <c r="AL37" i="55"/>
  <c r="AL252" i="55"/>
  <c r="AL232" i="55"/>
  <c r="AL21" i="55"/>
  <c r="AL237" i="55"/>
  <c r="AL115" i="55"/>
  <c r="AL5" i="55"/>
  <c r="AL165" i="55"/>
  <c r="AL302" i="55"/>
  <c r="AL246" i="55"/>
  <c r="AL187" i="55"/>
  <c r="AL288" i="55"/>
  <c r="AL248" i="55"/>
  <c r="AL200" i="55"/>
  <c r="AL243" i="55"/>
  <c r="AL79" i="55"/>
  <c r="AL241" i="55"/>
  <c r="AL151" i="55"/>
  <c r="AL253" i="55"/>
  <c r="AL208" i="55"/>
  <c r="AL123" i="55"/>
  <c r="AL192" i="55"/>
  <c r="AL249" i="55"/>
  <c r="AL193" i="55"/>
  <c r="AL161" i="55"/>
  <c r="AL218" i="55"/>
  <c r="AL313" i="55"/>
  <c r="AL240" i="55"/>
  <c r="AL250" i="55"/>
  <c r="AL224" i="55"/>
  <c r="AL147" i="55"/>
  <c r="AL197" i="55"/>
  <c r="AL293" i="55"/>
  <c r="AL236" i="55"/>
  <c r="AL189" i="55"/>
  <c r="AL157" i="55"/>
  <c r="AL234" i="55"/>
  <c r="AL229" i="55"/>
  <c r="AL225" i="55"/>
  <c r="AL238" i="55"/>
  <c r="AL245" i="55"/>
  <c r="AL169" i="55"/>
  <c r="AL267" i="55"/>
  <c r="AL212" i="55"/>
  <c r="AL230" i="55"/>
  <c r="AL214" i="55"/>
  <c r="AL160" i="55"/>
  <c r="AL116" i="55"/>
  <c r="AL284" i="55"/>
  <c r="AL255" i="55"/>
  <c r="AL216" i="55"/>
  <c r="AL266" i="55"/>
  <c r="AL210" i="55"/>
  <c r="AL128" i="55"/>
  <c r="AL180" i="55"/>
  <c r="AL60" i="55"/>
  <c r="AL280" i="55"/>
  <c r="AL155" i="55"/>
  <c r="AL29" i="55"/>
  <c r="AL202" i="55"/>
  <c r="AL25" i="55"/>
  <c r="AL88" i="55"/>
  <c r="AL112" i="55"/>
  <c r="AL40" i="55"/>
  <c r="AL272" i="55"/>
  <c r="AL135" i="55"/>
  <c r="AL111" i="55"/>
  <c r="AL122" i="55"/>
  <c r="AL72" i="55"/>
  <c r="AL133" i="55"/>
  <c r="AL196" i="55"/>
  <c r="AL85" i="55"/>
  <c r="AL48" i="55"/>
  <c r="AL156" i="55"/>
  <c r="AL73" i="55"/>
  <c r="AL299" i="55"/>
  <c r="AL179" i="55"/>
  <c r="AL77" i="55"/>
  <c r="AL270" i="55"/>
  <c r="AL41" i="55"/>
  <c r="AL131" i="55"/>
  <c r="AL149" i="55"/>
  <c r="AL113" i="55"/>
  <c r="AL80" i="55"/>
  <c r="AL281" i="55"/>
  <c r="AL304" i="55"/>
  <c r="AL66" i="55"/>
  <c r="AL110" i="55"/>
  <c r="AL57" i="55"/>
  <c r="AL295" i="55"/>
  <c r="AL257" i="55"/>
  <c r="AL127" i="55"/>
  <c r="AL183" i="55"/>
  <c r="AL52" i="55"/>
  <c r="AL260" i="55"/>
  <c r="AL109" i="55"/>
  <c r="AL68" i="55"/>
  <c r="AL315" i="55"/>
  <c r="AL203" i="55"/>
  <c r="AL163" i="55"/>
  <c r="AL311" i="55"/>
  <c r="AL95" i="55"/>
  <c r="AL126" i="55"/>
  <c r="AL195" i="55"/>
  <c r="AL182" i="55"/>
  <c r="AL168" i="55"/>
  <c r="AL33" i="55"/>
  <c r="AL317" i="55"/>
  <c r="AL136" i="55"/>
  <c r="AL308" i="55"/>
  <c r="AL271" i="55"/>
  <c r="AL201" i="55"/>
  <c r="AL32" i="55"/>
  <c r="AL303" i="55"/>
  <c r="AL119" i="55"/>
  <c r="AL93" i="55"/>
  <c r="AL61" i="55"/>
  <c r="AL16" i="55"/>
  <c r="AL9" i="55"/>
  <c r="AL290" i="55"/>
  <c r="AL278" i="55"/>
  <c r="AL14" i="55"/>
  <c r="AL54" i="55"/>
  <c r="AL34" i="55"/>
  <c r="AL139" i="55"/>
  <c r="AL15" i="55"/>
  <c r="AL8" i="55"/>
  <c r="AL176" i="55"/>
  <c r="AL320" i="55"/>
  <c r="AL323" i="55"/>
  <c r="AL273" i="55"/>
  <c r="AL97" i="55"/>
  <c r="AL172" i="55"/>
  <c r="AL18" i="55"/>
  <c r="AL11" i="55"/>
  <c r="AL298" i="55"/>
  <c r="AL114" i="55"/>
  <c r="AL268" i="55"/>
  <c r="AL164" i="55"/>
  <c r="AL312" i="55"/>
  <c r="AL129" i="55"/>
  <c r="AL105" i="55"/>
  <c r="AL307" i="55"/>
  <c r="AL269" i="55"/>
  <c r="AL199" i="55"/>
  <c r="AL152" i="55"/>
  <c r="AL28" i="55"/>
  <c r="AL296" i="55"/>
  <c r="AL191" i="55"/>
  <c r="AL159" i="55"/>
  <c r="AL117" i="55"/>
  <c r="AL282" i="55"/>
  <c r="AL262" i="55"/>
  <c r="AL186" i="55"/>
  <c r="AL206" i="55"/>
  <c r="AL148" i="55"/>
  <c r="AL277" i="55"/>
  <c r="AL56" i="55"/>
  <c r="AL305" i="55"/>
  <c r="AL264" i="55"/>
  <c r="AL134" i="55"/>
  <c r="AL26" i="55"/>
  <c r="AL89" i="55"/>
  <c r="AL318" i="55"/>
  <c r="AL274" i="55"/>
  <c r="AL198" i="55"/>
  <c r="AL154" i="55"/>
  <c r="AL188" i="55"/>
  <c r="AL178" i="55"/>
  <c r="AL194" i="55"/>
  <c r="AL204" i="55"/>
  <c r="AL175" i="55"/>
  <c r="AL300" i="55"/>
  <c r="AL259" i="55"/>
  <c r="AL171" i="55"/>
  <c r="AL132" i="55"/>
  <c r="AL78" i="55"/>
  <c r="AL24" i="55"/>
  <c r="AL150" i="55"/>
  <c r="AL108" i="55"/>
  <c r="AL53" i="55"/>
  <c r="AL310" i="55"/>
  <c r="AL106" i="55"/>
  <c r="AL46" i="55"/>
  <c r="AL162" i="55"/>
  <c r="AL98" i="55"/>
  <c r="AL19" i="55"/>
  <c r="AL12" i="55"/>
  <c r="AL76" i="55"/>
  <c r="AL104" i="55"/>
  <c r="AL69" i="55"/>
  <c r="AL294" i="55"/>
  <c r="AL319" i="55"/>
  <c r="AL322" i="55"/>
  <c r="AL285" i="55"/>
  <c r="AL81" i="55"/>
  <c r="AL292" i="55"/>
  <c r="AL92" i="55"/>
  <c r="AL17" i="55"/>
  <c r="AL10" i="55"/>
  <c r="AL167" i="55"/>
  <c r="AL125" i="55"/>
  <c r="AL44" i="55"/>
  <c r="AL316" i="55"/>
  <c r="AL265" i="55"/>
  <c r="AL102" i="55"/>
  <c r="AL286" i="55"/>
  <c r="AL74" i="55"/>
  <c r="AL22" i="55"/>
  <c r="AL190" i="55"/>
  <c r="AL174" i="55"/>
  <c r="AL94" i="55"/>
  <c r="AL70" i="55"/>
  <c r="AL100" i="55"/>
  <c r="AL65" i="55"/>
  <c r="AL20" i="55"/>
  <c r="AL13" i="55"/>
  <c r="AL306" i="55"/>
  <c r="AL38" i="55"/>
  <c r="AL49" i="55"/>
  <c r="AL158" i="55"/>
  <c r="AL82" i="55"/>
  <c r="AL58" i="55"/>
  <c r="AL30" i="55"/>
  <c r="F27" i="32"/>
  <c r="F22" i="32"/>
  <c r="AG1" i="55"/>
  <c r="AH1" i="55" s="1"/>
  <c r="AI1" i="55" s="1"/>
  <c r="AJ1" i="55" s="1"/>
  <c r="AK1" i="55" s="1"/>
  <c r="AL1" i="55" s="1"/>
  <c r="E27" i="32"/>
  <c r="C4" i="54" l="1"/>
  <c r="D51" i="32" s="1"/>
  <c r="F28" i="32"/>
  <c r="F32" i="32" s="1"/>
  <c r="F57" i="32" s="1"/>
  <c r="AM1" i="55"/>
  <c r="D19" i="32"/>
  <c r="D56" i="32" s="1"/>
  <c r="G4" i="54"/>
  <c r="F4" i="54"/>
  <c r="E22" i="32"/>
  <c r="E28" i="32" s="1"/>
  <c r="D4" i="54"/>
  <c r="E4" i="54"/>
  <c r="F43" i="32" l="1"/>
  <c r="F61" i="32" s="1"/>
  <c r="AN1" i="55"/>
  <c r="D18" i="32"/>
  <c r="D54" i="32" s="1"/>
  <c r="E32" i="32"/>
  <c r="E57" i="32" s="1"/>
  <c r="D22" i="32" l="1"/>
  <c r="E43" i="32"/>
  <c r="E61" i="32" s="1"/>
  <c r="D27" i="32"/>
  <c r="F33" i="32"/>
  <c r="D28" i="32" l="1"/>
  <c r="D32" i="32" s="1"/>
  <c r="F58" i="32"/>
  <c r="D43" i="32" l="1"/>
  <c r="D61" i="32" s="1"/>
  <c r="D57" i="32"/>
  <c r="F34" i="32"/>
  <c r="F59" i="32" l="1"/>
  <c r="P5" i="55"/>
  <c r="N4" i="1" l="1"/>
  <c r="G4" i="1"/>
  <c r="J4" i="1"/>
  <c r="F4" i="1"/>
  <c r="K4" i="1"/>
  <c r="L4" i="1"/>
  <c r="H4" i="1"/>
  <c r="I4" i="1" l="1"/>
</calcChain>
</file>

<file path=xl/sharedStrings.xml><?xml version="1.0" encoding="utf-8"?>
<sst xmlns="http://schemas.openxmlformats.org/spreadsheetml/2006/main" count="42874" uniqueCount="1394">
  <si>
    <t>Z457
Guar Entlmnt per Student</t>
  </si>
  <si>
    <t>OSPILegacyCode</t>
  </si>
  <si>
    <t>OrganizationName</t>
  </si>
  <si>
    <t>01109</t>
  </si>
  <si>
    <t>Washtucna School District</t>
  </si>
  <si>
    <t>01122</t>
  </si>
  <si>
    <t>Benge School District</t>
  </si>
  <si>
    <t>01147</t>
  </si>
  <si>
    <t>Othello School District</t>
  </si>
  <si>
    <t>01158</t>
  </si>
  <si>
    <t>Lind School District</t>
  </si>
  <si>
    <t>01160</t>
  </si>
  <si>
    <t>Ritzville School District</t>
  </si>
  <si>
    <t>02250</t>
  </si>
  <si>
    <t>Clarkston School District</t>
  </si>
  <si>
    <t>02420</t>
  </si>
  <si>
    <t>Asotin-Anatone School District</t>
  </si>
  <si>
    <t>03017</t>
  </si>
  <si>
    <t>Kennewick School District</t>
  </si>
  <si>
    <t>03050</t>
  </si>
  <si>
    <t>Paterson School District</t>
  </si>
  <si>
    <t>03052</t>
  </si>
  <si>
    <t>Kiona-Benton City School District</t>
  </si>
  <si>
    <t>03053</t>
  </si>
  <si>
    <t>Finley School District</t>
  </si>
  <si>
    <t>03116</t>
  </si>
  <si>
    <t>Prosser School District</t>
  </si>
  <si>
    <t>03400</t>
  </si>
  <si>
    <t>Richland School District</t>
  </si>
  <si>
    <t>04019</t>
  </si>
  <si>
    <t>Manson School District</t>
  </si>
  <si>
    <t>04069</t>
  </si>
  <si>
    <t>Stehekin School District</t>
  </si>
  <si>
    <t>04127</t>
  </si>
  <si>
    <t>Entiat School District</t>
  </si>
  <si>
    <t>04129</t>
  </si>
  <si>
    <t>Lake Chelan School District</t>
  </si>
  <si>
    <t>04222</t>
  </si>
  <si>
    <t>CASHMERE SCHOOL DISTRICT</t>
  </si>
  <si>
    <t>04228</t>
  </si>
  <si>
    <t>Cascade School District</t>
  </si>
  <si>
    <t>04246</t>
  </si>
  <si>
    <t>Wenatchee School District</t>
  </si>
  <si>
    <t>05121</t>
  </si>
  <si>
    <t>Port Angeles School District</t>
  </si>
  <si>
    <t>05313</t>
  </si>
  <si>
    <t>Crescent School District</t>
  </si>
  <si>
    <t>05323</t>
  </si>
  <si>
    <t>Sequim School District</t>
  </si>
  <si>
    <t>05401</t>
  </si>
  <si>
    <t>Cape Flattery School District</t>
  </si>
  <si>
    <t>05402</t>
  </si>
  <si>
    <t>Quillayute Valley School District</t>
  </si>
  <si>
    <t>05903</t>
  </si>
  <si>
    <t>Quileute Tribal School District</t>
  </si>
  <si>
    <t>06037</t>
  </si>
  <si>
    <t>Vancouver School District</t>
  </si>
  <si>
    <t>06098</t>
  </si>
  <si>
    <t>Hockinson School District</t>
  </si>
  <si>
    <t>06101</t>
  </si>
  <si>
    <t>La Center School District</t>
  </si>
  <si>
    <t>06103</t>
  </si>
  <si>
    <t>Green Mountain School District</t>
  </si>
  <si>
    <t>06112</t>
  </si>
  <si>
    <t>Washougal School District</t>
  </si>
  <si>
    <t>06114</t>
  </si>
  <si>
    <t>Evergreen School District (Clark)</t>
  </si>
  <si>
    <t>06117</t>
  </si>
  <si>
    <t>Camas School District</t>
  </si>
  <si>
    <t>06119</t>
  </si>
  <si>
    <t>Battle Ground School District</t>
  </si>
  <si>
    <t>06122</t>
  </si>
  <si>
    <t>Ridgefield School District</t>
  </si>
  <si>
    <t>07002</t>
  </si>
  <si>
    <t>Dayton School District</t>
  </si>
  <si>
    <t>07035</t>
  </si>
  <si>
    <t>Starbuck School District</t>
  </si>
  <si>
    <t>08122</t>
  </si>
  <si>
    <t>Longview School District</t>
  </si>
  <si>
    <t>08130</t>
  </si>
  <si>
    <t>Toutle Lake School District</t>
  </si>
  <si>
    <t>08401</t>
  </si>
  <si>
    <t>Castle Rock School District</t>
  </si>
  <si>
    <t>08402</t>
  </si>
  <si>
    <t>Kalama School District</t>
  </si>
  <si>
    <t>08404</t>
  </si>
  <si>
    <t>Woodland School District</t>
  </si>
  <si>
    <t>08458</t>
  </si>
  <si>
    <t>Kelso School District</t>
  </si>
  <si>
    <t>09013</t>
  </si>
  <si>
    <t>Orondo School District</t>
  </si>
  <si>
    <t>09075</t>
  </si>
  <si>
    <t>Bridgeport School District</t>
  </si>
  <si>
    <t>09102</t>
  </si>
  <si>
    <t>Palisades School District</t>
  </si>
  <si>
    <t>09206</t>
  </si>
  <si>
    <t>Eastmont School District</t>
  </si>
  <si>
    <t>09207</t>
  </si>
  <si>
    <t>Mansfield School District</t>
  </si>
  <si>
    <t>09209</t>
  </si>
  <si>
    <t>Waterville School District</t>
  </si>
  <si>
    <t>10003</t>
  </si>
  <si>
    <t>Keller School District</t>
  </si>
  <si>
    <t>10050</t>
  </si>
  <si>
    <t>Curlew School District</t>
  </si>
  <si>
    <t>10065</t>
  </si>
  <si>
    <t>Orient School District</t>
  </si>
  <si>
    <t>10070</t>
  </si>
  <si>
    <t>Inchelium School District</t>
  </si>
  <si>
    <t>10309</t>
  </si>
  <si>
    <t>Republic School District</t>
  </si>
  <si>
    <t>11001</t>
  </si>
  <si>
    <t>Pasco School District</t>
  </si>
  <si>
    <t>11051</t>
  </si>
  <si>
    <t>North Franklin School District</t>
  </si>
  <si>
    <t>11054</t>
  </si>
  <si>
    <t>Star School District No. 054</t>
  </si>
  <si>
    <t>11056</t>
  </si>
  <si>
    <t>Kahlotus School District</t>
  </si>
  <si>
    <t>12110</t>
  </si>
  <si>
    <t>Pomeroy School District</t>
  </si>
  <si>
    <t>13073</t>
  </si>
  <si>
    <t>Wahluke School District</t>
  </si>
  <si>
    <t>13144</t>
  </si>
  <si>
    <t>Quincy School District</t>
  </si>
  <si>
    <t>13146</t>
  </si>
  <si>
    <t>Warden School District</t>
  </si>
  <si>
    <t>13151</t>
  </si>
  <si>
    <t>Coulee-Hartline School District</t>
  </si>
  <si>
    <t>13156</t>
  </si>
  <si>
    <t>Soap Lake School District</t>
  </si>
  <si>
    <t>13160</t>
  </si>
  <si>
    <t>Royal School District</t>
  </si>
  <si>
    <t>13161</t>
  </si>
  <si>
    <t>Moses Lake School District</t>
  </si>
  <si>
    <t>13165</t>
  </si>
  <si>
    <t>Ephrata School District</t>
  </si>
  <si>
    <t>13167</t>
  </si>
  <si>
    <t>Wilson Creek School District</t>
  </si>
  <si>
    <t>13301</t>
  </si>
  <si>
    <t>Grand Coulee Dam School District</t>
  </si>
  <si>
    <t>14005</t>
  </si>
  <si>
    <t>Aberdeen School District</t>
  </si>
  <si>
    <t>14028</t>
  </si>
  <si>
    <t>Hoquiam School District</t>
  </si>
  <si>
    <t>14064</t>
  </si>
  <si>
    <t>North Beach School District</t>
  </si>
  <si>
    <t>14065</t>
  </si>
  <si>
    <t>McCleary School District</t>
  </si>
  <si>
    <t>14066</t>
  </si>
  <si>
    <t>Montesano School District</t>
  </si>
  <si>
    <t>14068</t>
  </si>
  <si>
    <t>Elma School District</t>
  </si>
  <si>
    <t>14077</t>
  </si>
  <si>
    <t>Taholah School District</t>
  </si>
  <si>
    <t>14097</t>
  </si>
  <si>
    <t>Lake Quinault School District</t>
  </si>
  <si>
    <t>14099</t>
  </si>
  <si>
    <t>Cosmopolis School District</t>
  </si>
  <si>
    <t>14104</t>
  </si>
  <si>
    <t>Satsop School District</t>
  </si>
  <si>
    <t>14117</t>
  </si>
  <si>
    <t>Wishkah Valley School District</t>
  </si>
  <si>
    <t>14172</t>
  </si>
  <si>
    <t>Ocosta School District</t>
  </si>
  <si>
    <t>14400</t>
  </si>
  <si>
    <t>Oakville School District</t>
  </si>
  <si>
    <t>15201</t>
  </si>
  <si>
    <t>Oak Harbor School District</t>
  </si>
  <si>
    <t>15204</t>
  </si>
  <si>
    <t>Coupeville School District</t>
  </si>
  <si>
    <t>15206</t>
  </si>
  <si>
    <t>South Whidbey School District</t>
  </si>
  <si>
    <t>16020</t>
  </si>
  <si>
    <t>Queets-Clearwater School District</t>
  </si>
  <si>
    <t>16046</t>
  </si>
  <si>
    <t>Brinnon School District</t>
  </si>
  <si>
    <t>16048</t>
  </si>
  <si>
    <t>Quilcene School District</t>
  </si>
  <si>
    <t>16049</t>
  </si>
  <si>
    <t>Chimacum School District</t>
  </si>
  <si>
    <t>16050</t>
  </si>
  <si>
    <t>Port Townsend School District</t>
  </si>
  <si>
    <t>17001</t>
  </si>
  <si>
    <t>Seattle Public Schools</t>
  </si>
  <si>
    <t>17210</t>
  </si>
  <si>
    <t>Federal Way School District</t>
  </si>
  <si>
    <t>17216</t>
  </si>
  <si>
    <t>Enumclaw School District</t>
  </si>
  <si>
    <t>17400</t>
  </si>
  <si>
    <t>Mercer Island School District</t>
  </si>
  <si>
    <t>17401</t>
  </si>
  <si>
    <t>Highline School District</t>
  </si>
  <si>
    <t>17402</t>
  </si>
  <si>
    <t>Vashon Island School District</t>
  </si>
  <si>
    <t>17403</t>
  </si>
  <si>
    <t>Renton School District</t>
  </si>
  <si>
    <t>17404</t>
  </si>
  <si>
    <t>Skykomish School District</t>
  </si>
  <si>
    <t>17405</t>
  </si>
  <si>
    <t>Bellevue School District</t>
  </si>
  <si>
    <t>17406</t>
  </si>
  <si>
    <t>Tukwila School District</t>
  </si>
  <si>
    <t>17407</t>
  </si>
  <si>
    <t>Riverview School District</t>
  </si>
  <si>
    <t>17408</t>
  </si>
  <si>
    <t>Auburn School District</t>
  </si>
  <si>
    <t>17409</t>
  </si>
  <si>
    <t>Tahoma School District</t>
  </si>
  <si>
    <t>17410</t>
  </si>
  <si>
    <t>Snoqualmie Valley School District</t>
  </si>
  <si>
    <t>17411</t>
  </si>
  <si>
    <t>Issaquah School District</t>
  </si>
  <si>
    <t>17412</t>
  </si>
  <si>
    <t>Shoreline School District</t>
  </si>
  <si>
    <t>17414</t>
  </si>
  <si>
    <t>Lake Washington School District</t>
  </si>
  <si>
    <t>17415</t>
  </si>
  <si>
    <t>Kent School District</t>
  </si>
  <si>
    <t>17417</t>
  </si>
  <si>
    <t>Northshore School District</t>
  </si>
  <si>
    <t>17902</t>
  </si>
  <si>
    <t>Summit Public School: Sierra</t>
  </si>
  <si>
    <t>17903</t>
  </si>
  <si>
    <t>Muckleshoot Indian Tribe</t>
  </si>
  <si>
    <t>17908</t>
  </si>
  <si>
    <t>Rainier Prep Charter School District</t>
  </si>
  <si>
    <t>18100</t>
  </si>
  <si>
    <t>Bremerton School District</t>
  </si>
  <si>
    <t>18303</t>
  </si>
  <si>
    <t>Bainbridge Island School District</t>
  </si>
  <si>
    <t>18400</t>
  </si>
  <si>
    <t>North Kitsap School District</t>
  </si>
  <si>
    <t>18401</t>
  </si>
  <si>
    <t>Central Kitsap School District</t>
  </si>
  <si>
    <t>18402</t>
  </si>
  <si>
    <t>South Kitsap School District</t>
  </si>
  <si>
    <t>18902</t>
  </si>
  <si>
    <t>Suquamish Tribal Education Department</t>
  </si>
  <si>
    <t>19007</t>
  </si>
  <si>
    <t>Damman School District</t>
  </si>
  <si>
    <t>19028</t>
  </si>
  <si>
    <t>Easton School District</t>
  </si>
  <si>
    <t>19400</t>
  </si>
  <si>
    <t>Thorp School District</t>
  </si>
  <si>
    <t>19401</t>
  </si>
  <si>
    <t>Ellensburg School District</t>
  </si>
  <si>
    <t>19403</t>
  </si>
  <si>
    <t>Kittitas School District</t>
  </si>
  <si>
    <t>19404</t>
  </si>
  <si>
    <t>Cle Elum-Roslyn School District</t>
  </si>
  <si>
    <t>20094</t>
  </si>
  <si>
    <t>Wishram School District</t>
  </si>
  <si>
    <t>20203</t>
  </si>
  <si>
    <t>Bickleton School District</t>
  </si>
  <si>
    <t>20215</t>
  </si>
  <si>
    <t>Centerville School District</t>
  </si>
  <si>
    <t>20400</t>
  </si>
  <si>
    <t>Trout Lake School District</t>
  </si>
  <si>
    <t>20401</t>
  </si>
  <si>
    <t>Glenwood School District</t>
  </si>
  <si>
    <t>20402</t>
  </si>
  <si>
    <t>Klickitat School District</t>
  </si>
  <si>
    <t>20403</t>
  </si>
  <si>
    <t>Roosevelt School District</t>
  </si>
  <si>
    <t>20404</t>
  </si>
  <si>
    <t>Goldendale School District</t>
  </si>
  <si>
    <t>20405</t>
  </si>
  <si>
    <t>White Salmon Valley School District</t>
  </si>
  <si>
    <t>20406</t>
  </si>
  <si>
    <t>Lyle School District</t>
  </si>
  <si>
    <t>21014</t>
  </si>
  <si>
    <t>Napavine School District</t>
  </si>
  <si>
    <t>21036</t>
  </si>
  <si>
    <t>Evaline School District</t>
  </si>
  <si>
    <t>21206</t>
  </si>
  <si>
    <t>Mossyrock School District</t>
  </si>
  <si>
    <t>21214</t>
  </si>
  <si>
    <t>Morton School District</t>
  </si>
  <si>
    <t>21226</t>
  </si>
  <si>
    <t>Adna School District</t>
  </si>
  <si>
    <t>21232</t>
  </si>
  <si>
    <t>Winlock School District</t>
  </si>
  <si>
    <t>21234</t>
  </si>
  <si>
    <t>Boistfort School District</t>
  </si>
  <si>
    <t>21237</t>
  </si>
  <si>
    <t>Toledo School District</t>
  </si>
  <si>
    <t>21300</t>
  </si>
  <si>
    <t>Onalaska School District</t>
  </si>
  <si>
    <t>21301</t>
  </si>
  <si>
    <t>Pe Ell School District</t>
  </si>
  <si>
    <t>21302</t>
  </si>
  <si>
    <t>Chehalis School District</t>
  </si>
  <si>
    <t>21303</t>
  </si>
  <si>
    <t>White Pass School District</t>
  </si>
  <si>
    <t>21401</t>
  </si>
  <si>
    <t>Centralia School District</t>
  </si>
  <si>
    <t>22008</t>
  </si>
  <si>
    <t>Sprague School District</t>
  </si>
  <si>
    <t>22009</t>
  </si>
  <si>
    <t>Reardan-Edwall School District</t>
  </si>
  <si>
    <t>22017</t>
  </si>
  <si>
    <t>Almira School District</t>
  </si>
  <si>
    <t>22073</t>
  </si>
  <si>
    <t>Creston School District</t>
  </si>
  <si>
    <t>22105</t>
  </si>
  <si>
    <t>Odessa School District</t>
  </si>
  <si>
    <t>22200</t>
  </si>
  <si>
    <t>Wilbur School District</t>
  </si>
  <si>
    <t>22204</t>
  </si>
  <si>
    <t>Harrington School District</t>
  </si>
  <si>
    <t>22207</t>
  </si>
  <si>
    <t>Davenport School District</t>
  </si>
  <si>
    <t>23042</t>
  </si>
  <si>
    <t>Southside School District</t>
  </si>
  <si>
    <t>23054</t>
  </si>
  <si>
    <t>Grapeview School District</t>
  </si>
  <si>
    <t>23309</t>
  </si>
  <si>
    <t>Shelton School District</t>
  </si>
  <si>
    <t>23311</t>
  </si>
  <si>
    <t>Mary M Knight School District</t>
  </si>
  <si>
    <t>23402</t>
  </si>
  <si>
    <t>Pioneer School District</t>
  </si>
  <si>
    <t>23403</t>
  </si>
  <si>
    <t>North Mason School District</t>
  </si>
  <si>
    <t>23404</t>
  </si>
  <si>
    <t>Hood Canal School District</t>
  </si>
  <si>
    <t>24014</t>
  </si>
  <si>
    <t>Nespelem School District</t>
  </si>
  <si>
    <t>24019</t>
  </si>
  <si>
    <t>Omak School District</t>
  </si>
  <si>
    <t>24105</t>
  </si>
  <si>
    <t>Okanogan School District</t>
  </si>
  <si>
    <t>24111</t>
  </si>
  <si>
    <t>Brewster School District</t>
  </si>
  <si>
    <t>24122</t>
  </si>
  <si>
    <t>Pateros School District</t>
  </si>
  <si>
    <t>24350</t>
  </si>
  <si>
    <t>Methow Valley School District</t>
  </si>
  <si>
    <t>24404</t>
  </si>
  <si>
    <t>Tonasket School District</t>
  </si>
  <si>
    <t>24410</t>
  </si>
  <si>
    <t>Oroville School District</t>
  </si>
  <si>
    <t>25101</t>
  </si>
  <si>
    <t>Ocean Beach School District</t>
  </si>
  <si>
    <t>25116</t>
  </si>
  <si>
    <t>Raymond School District</t>
  </si>
  <si>
    <t>25118</t>
  </si>
  <si>
    <t>South Bend School District</t>
  </si>
  <si>
    <t>25155</t>
  </si>
  <si>
    <t>Naselle-Grays River Valley School District</t>
  </si>
  <si>
    <t>25160</t>
  </si>
  <si>
    <t>Willapa Valley School District</t>
  </si>
  <si>
    <t>25200</t>
  </si>
  <si>
    <t>North River School District</t>
  </si>
  <si>
    <t>26056</t>
  </si>
  <si>
    <t>Newport School District</t>
  </si>
  <si>
    <t>26059</t>
  </si>
  <si>
    <t>Cusick School District</t>
  </si>
  <si>
    <t>26070</t>
  </si>
  <si>
    <t>Selkirk School District</t>
  </si>
  <si>
    <t>27001</t>
  </si>
  <si>
    <t>Steilacoom Hist. School District</t>
  </si>
  <si>
    <t>27003</t>
  </si>
  <si>
    <t>Puyallup School District</t>
  </si>
  <si>
    <t>27010</t>
  </si>
  <si>
    <t>Tacoma School District</t>
  </si>
  <si>
    <t>27019</t>
  </si>
  <si>
    <t>Carbonado School District</t>
  </si>
  <si>
    <t>27083</t>
  </si>
  <si>
    <t>University Place School District</t>
  </si>
  <si>
    <t>27320</t>
  </si>
  <si>
    <t>Sumner School District</t>
  </si>
  <si>
    <t>27343</t>
  </si>
  <si>
    <t>Dieringer School District</t>
  </si>
  <si>
    <t>27344</t>
  </si>
  <si>
    <t>Orting School District</t>
  </si>
  <si>
    <t>27400</t>
  </si>
  <si>
    <t>Clover Park School District</t>
  </si>
  <si>
    <t>27401</t>
  </si>
  <si>
    <t>Peninsula School District</t>
  </si>
  <si>
    <t>27402</t>
  </si>
  <si>
    <t>Franklin Pierce School District</t>
  </si>
  <si>
    <t>27403</t>
  </si>
  <si>
    <t>Bethel School District</t>
  </si>
  <si>
    <t>27404</t>
  </si>
  <si>
    <t>Eatonville School District</t>
  </si>
  <si>
    <t>27416</t>
  </si>
  <si>
    <t>White River School District</t>
  </si>
  <si>
    <t>27417</t>
  </si>
  <si>
    <t>Fife School District</t>
  </si>
  <si>
    <t>27905</t>
  </si>
  <si>
    <t>Summit Public School: Olympus</t>
  </si>
  <si>
    <t>28010</t>
  </si>
  <si>
    <t>Shaw Island School District</t>
  </si>
  <si>
    <t>28137</t>
  </si>
  <si>
    <t>Orcas Island School District</t>
  </si>
  <si>
    <t>28144</t>
  </si>
  <si>
    <t>Lopez School District</t>
  </si>
  <si>
    <t>28149</t>
  </si>
  <si>
    <t>San Juan Island School District</t>
  </si>
  <si>
    <t>29011</t>
  </si>
  <si>
    <t>Concrete School District</t>
  </si>
  <si>
    <t>29100</t>
  </si>
  <si>
    <t>Burlington-Edison School District</t>
  </si>
  <si>
    <t>29101</t>
  </si>
  <si>
    <t>Sedro-Woolley School District</t>
  </si>
  <si>
    <t>29103</t>
  </si>
  <si>
    <t>Anacortes School District</t>
  </si>
  <si>
    <t>29311</t>
  </si>
  <si>
    <t>La Conner School District</t>
  </si>
  <si>
    <t>29317</t>
  </si>
  <si>
    <t>Conway School District</t>
  </si>
  <si>
    <t>29320</t>
  </si>
  <si>
    <t>Mount Vernon School District</t>
  </si>
  <si>
    <t>30002</t>
  </si>
  <si>
    <t>Skamania School District</t>
  </si>
  <si>
    <t>30029</t>
  </si>
  <si>
    <t>Mount Pleasant School District</t>
  </si>
  <si>
    <t>30031</t>
  </si>
  <si>
    <t>Mill A School District</t>
  </si>
  <si>
    <t>30303</t>
  </si>
  <si>
    <t>Stevenson-Carson School District</t>
  </si>
  <si>
    <t>31002</t>
  </si>
  <si>
    <t>Everett School District</t>
  </si>
  <si>
    <t>31004</t>
  </si>
  <si>
    <t>Lake Stevens School District</t>
  </si>
  <si>
    <t>31006</t>
  </si>
  <si>
    <t>Mukilteo School District</t>
  </si>
  <si>
    <t>31015</t>
  </si>
  <si>
    <t>Edmonds School District</t>
  </si>
  <si>
    <t>31016</t>
  </si>
  <si>
    <t>Arlington School District</t>
  </si>
  <si>
    <t>31025</t>
  </si>
  <si>
    <t>Marysville School District</t>
  </si>
  <si>
    <t>31063</t>
  </si>
  <si>
    <t>Index School District</t>
  </si>
  <si>
    <t>31103</t>
  </si>
  <si>
    <t>Monroe School District</t>
  </si>
  <si>
    <t>31201</t>
  </si>
  <si>
    <t>Snohomish School District</t>
  </si>
  <si>
    <t>31306</t>
  </si>
  <si>
    <t>Lakewood School District</t>
  </si>
  <si>
    <t>31311</t>
  </si>
  <si>
    <t>Sultan School District</t>
  </si>
  <si>
    <t>31330</t>
  </si>
  <si>
    <t>Darrington School District</t>
  </si>
  <si>
    <t>31332</t>
  </si>
  <si>
    <t>Granite Falls School District</t>
  </si>
  <si>
    <t>31401</t>
  </si>
  <si>
    <t>Stanwood-Camano School District</t>
  </si>
  <si>
    <t>32081</t>
  </si>
  <si>
    <t>Spokane School District</t>
  </si>
  <si>
    <t>32123</t>
  </si>
  <si>
    <t>Orchard Prairie School District</t>
  </si>
  <si>
    <t>32312</t>
  </si>
  <si>
    <t>Great Northern School District</t>
  </si>
  <si>
    <t>32325</t>
  </si>
  <si>
    <t>Nine Mile Falls School District</t>
  </si>
  <si>
    <t>32326</t>
  </si>
  <si>
    <t>Medical Lake School District</t>
  </si>
  <si>
    <t>32354</t>
  </si>
  <si>
    <t>Mead School District</t>
  </si>
  <si>
    <t>32356</t>
  </si>
  <si>
    <t>Central Valley School District</t>
  </si>
  <si>
    <t>32358</t>
  </si>
  <si>
    <t>Freeman School District</t>
  </si>
  <si>
    <t>32360</t>
  </si>
  <si>
    <t>Cheney School District</t>
  </si>
  <si>
    <t>32361</t>
  </si>
  <si>
    <t>East Valley School District (Spokane)</t>
  </si>
  <si>
    <t>32362</t>
  </si>
  <si>
    <t>Liberty School District</t>
  </si>
  <si>
    <t>32363</t>
  </si>
  <si>
    <t>West Valley School District (Spokane)</t>
  </si>
  <si>
    <t>32414</t>
  </si>
  <si>
    <t>Deer Park School District</t>
  </si>
  <si>
    <t>32416</t>
  </si>
  <si>
    <t>Riverside School District</t>
  </si>
  <si>
    <t>32901</t>
  </si>
  <si>
    <t>Spokane International Academy</t>
  </si>
  <si>
    <t>32907</t>
  </si>
  <si>
    <t>PRIDE Prep Charter School District</t>
  </si>
  <si>
    <t>33030</t>
  </si>
  <si>
    <t>Onion Creek School District</t>
  </si>
  <si>
    <t>33036</t>
  </si>
  <si>
    <t>Chewelah School District</t>
  </si>
  <si>
    <t>33049</t>
  </si>
  <si>
    <t>Wellpinit School District</t>
  </si>
  <si>
    <t>33070</t>
  </si>
  <si>
    <t>Valley School District</t>
  </si>
  <si>
    <t>33115</t>
  </si>
  <si>
    <t>Colville School District</t>
  </si>
  <si>
    <t>33183</t>
  </si>
  <si>
    <t>Loon Lake School District</t>
  </si>
  <si>
    <t>33202</t>
  </si>
  <si>
    <t>Summit Valley School District</t>
  </si>
  <si>
    <t>33205</t>
  </si>
  <si>
    <t>Evergreen School District (Stevens)</t>
  </si>
  <si>
    <t>33206</t>
  </si>
  <si>
    <t>Columbia (Stevens) School District</t>
  </si>
  <si>
    <t>33207</t>
  </si>
  <si>
    <t>Mary Walker School District</t>
  </si>
  <si>
    <t>33211</t>
  </si>
  <si>
    <t>Northport School District</t>
  </si>
  <si>
    <t>33212</t>
  </si>
  <si>
    <t>Kettle Falls School District</t>
  </si>
  <si>
    <t>34002</t>
  </si>
  <si>
    <t>Yelm School District</t>
  </si>
  <si>
    <t>34003</t>
  </si>
  <si>
    <t>North Thurston Public Schools</t>
  </si>
  <si>
    <t>34033</t>
  </si>
  <si>
    <t>Tumwater School District</t>
  </si>
  <si>
    <t>34111</t>
  </si>
  <si>
    <t>Olympia School District</t>
  </si>
  <si>
    <t>34307</t>
  </si>
  <si>
    <t>Rainier School District</t>
  </si>
  <si>
    <t>34324</t>
  </si>
  <si>
    <t>Griffin School District</t>
  </si>
  <si>
    <t>34401</t>
  </si>
  <si>
    <t>Rochester School District</t>
  </si>
  <si>
    <t>34402</t>
  </si>
  <si>
    <t>Tenino School District</t>
  </si>
  <si>
    <t>35200</t>
  </si>
  <si>
    <t>Wahkiakum School District</t>
  </si>
  <si>
    <t>36101</t>
  </si>
  <si>
    <t>Dixie School District</t>
  </si>
  <si>
    <t>36140</t>
  </si>
  <si>
    <t>Walla Walla Public Schools</t>
  </si>
  <si>
    <t>36250</t>
  </si>
  <si>
    <t>College Place School District</t>
  </si>
  <si>
    <t>36300</t>
  </si>
  <si>
    <t>Touchet School District</t>
  </si>
  <si>
    <t>36400</t>
  </si>
  <si>
    <t>Columbia (Walla Walla) School District</t>
  </si>
  <si>
    <t>36401</t>
  </si>
  <si>
    <t>Waitsburg School District</t>
  </si>
  <si>
    <t>36402</t>
  </si>
  <si>
    <t>Prescott School District</t>
  </si>
  <si>
    <t>37501</t>
  </si>
  <si>
    <t>Bellingham School District</t>
  </si>
  <si>
    <t>37502</t>
  </si>
  <si>
    <t>Ferndale School District</t>
  </si>
  <si>
    <t>37503</t>
  </si>
  <si>
    <t>Blaine School District</t>
  </si>
  <si>
    <t>37504</t>
  </si>
  <si>
    <t>Lynden School District</t>
  </si>
  <si>
    <t>37505</t>
  </si>
  <si>
    <t>Meridian School District</t>
  </si>
  <si>
    <t>37506</t>
  </si>
  <si>
    <t>Nooksack Valley School District</t>
  </si>
  <si>
    <t>37507</t>
  </si>
  <si>
    <t>Mount Baker School District</t>
  </si>
  <si>
    <t>37903</t>
  </si>
  <si>
    <t>Lummi Tribal Agency</t>
  </si>
  <si>
    <t>38126</t>
  </si>
  <si>
    <t>LaCrosse School District</t>
  </si>
  <si>
    <t>38264</t>
  </si>
  <si>
    <t>Lamont School District</t>
  </si>
  <si>
    <t>38265</t>
  </si>
  <si>
    <t>Tekoa School District</t>
  </si>
  <si>
    <t>38267</t>
  </si>
  <si>
    <t>Pullman School District</t>
  </si>
  <si>
    <t>38300</t>
  </si>
  <si>
    <t>Colfax School District</t>
  </si>
  <si>
    <t>38301</t>
  </si>
  <si>
    <t>Palouse School District</t>
  </si>
  <si>
    <t>38302</t>
  </si>
  <si>
    <t>Garfield School District</t>
  </si>
  <si>
    <t>38304</t>
  </si>
  <si>
    <t>Steptoe School District</t>
  </si>
  <si>
    <t>38306</t>
  </si>
  <si>
    <t>Colton School District</t>
  </si>
  <si>
    <t>38308</t>
  </si>
  <si>
    <t>Endicott School District</t>
  </si>
  <si>
    <t>38320</t>
  </si>
  <si>
    <t>Rosalia School District</t>
  </si>
  <si>
    <t>38322</t>
  </si>
  <si>
    <t>St. John School District</t>
  </si>
  <si>
    <t>38324</t>
  </si>
  <si>
    <t>Oakesdale School District</t>
  </si>
  <si>
    <t>39002</t>
  </si>
  <si>
    <t>Union Gap School District</t>
  </si>
  <si>
    <t>39003</t>
  </si>
  <si>
    <t>Naches Valley School District</t>
  </si>
  <si>
    <t>39007</t>
  </si>
  <si>
    <t>Yakima School District</t>
  </si>
  <si>
    <t>39090</t>
  </si>
  <si>
    <t>East Valley School District (Yakima)</t>
  </si>
  <si>
    <t>39119</t>
  </si>
  <si>
    <t>Selah School District</t>
  </si>
  <si>
    <t>39120</t>
  </si>
  <si>
    <t>Mabton School District</t>
  </si>
  <si>
    <t>39200</t>
  </si>
  <si>
    <t>Grandview School District</t>
  </si>
  <si>
    <t>39201</t>
  </si>
  <si>
    <t>Sunnyside School District</t>
  </si>
  <si>
    <t>39202</t>
  </si>
  <si>
    <t>Toppenish School District</t>
  </si>
  <si>
    <t>39203</t>
  </si>
  <si>
    <t>Highland School District</t>
  </si>
  <si>
    <t>39204</t>
  </si>
  <si>
    <t>Granger School District</t>
  </si>
  <si>
    <t>39205</t>
  </si>
  <si>
    <t>Zillah School District</t>
  </si>
  <si>
    <t>39207</t>
  </si>
  <si>
    <t>Wapato School District</t>
  </si>
  <si>
    <t>39208</t>
  </si>
  <si>
    <t>West Valley School District (Yakima)</t>
  </si>
  <si>
    <t>39209</t>
  </si>
  <si>
    <t>Mount Adams School District</t>
  </si>
  <si>
    <t>A17
Enroll Total w/ Run Start</t>
  </si>
  <si>
    <t>M49
Total Guaranteed Entitlement</t>
  </si>
  <si>
    <t>Total SpEd Enroll</t>
  </si>
  <si>
    <t>Z085
TBIP TOTAL</t>
  </si>
  <si>
    <t>Total TBIP Enroll</t>
  </si>
  <si>
    <t>Z086
HiCap Students</t>
  </si>
  <si>
    <t>Z095
HiCap TOTAL</t>
  </si>
  <si>
    <t>E55
Enroll 9-12 CTE Exp</t>
  </si>
  <si>
    <t>E54
Enroll 7-8 CTE</t>
  </si>
  <si>
    <t>Z137
CTE 9-12 Total</t>
  </si>
  <si>
    <t>Z123
CTE 7-8 Total</t>
  </si>
  <si>
    <t>Z109
Skills Center Total</t>
  </si>
  <si>
    <t>CCDDD</t>
  </si>
  <si>
    <t>District</t>
  </si>
  <si>
    <t>ENR ALE</t>
  </si>
  <si>
    <t>HiCap</t>
  </si>
  <si>
    <t>00000</t>
  </si>
  <si>
    <t>LAP</t>
  </si>
  <si>
    <t>Total</t>
  </si>
  <si>
    <t>Special Education</t>
  </si>
  <si>
    <t>Aberdeen</t>
  </si>
  <si>
    <t>Adna</t>
  </si>
  <si>
    <t>Anacortes</t>
  </si>
  <si>
    <t>Arlington</t>
  </si>
  <si>
    <t>Asotin-Anatone</t>
  </si>
  <si>
    <t>Auburn</t>
  </si>
  <si>
    <t>Battle Ground</t>
  </si>
  <si>
    <t>Bellevue</t>
  </si>
  <si>
    <t>Bellingham</t>
  </si>
  <si>
    <t>Bethel</t>
  </si>
  <si>
    <t>Blaine</t>
  </si>
  <si>
    <t>Bremerton</t>
  </si>
  <si>
    <t>Brewster</t>
  </si>
  <si>
    <t>Bridgeport</t>
  </si>
  <si>
    <t>Camas</t>
  </si>
  <si>
    <t>Cape Flattery</t>
  </si>
  <si>
    <t>Cascade</t>
  </si>
  <si>
    <t>Cashmere</t>
  </si>
  <si>
    <t>Castle Rock</t>
  </si>
  <si>
    <t>Central Kitsap</t>
  </si>
  <si>
    <t>Central Valley</t>
  </si>
  <si>
    <t>Centralia</t>
  </si>
  <si>
    <t>Chehalis</t>
  </si>
  <si>
    <t>Cheney</t>
  </si>
  <si>
    <t>Chewelah</t>
  </si>
  <si>
    <t>Chimacum</t>
  </si>
  <si>
    <t>Clarkston</t>
  </si>
  <si>
    <t>Cle Elum-Roslyn</t>
  </si>
  <si>
    <t>Clover Park</t>
  </si>
  <si>
    <t>Colfax</t>
  </si>
  <si>
    <t>College Place</t>
  </si>
  <si>
    <t>Colton</t>
  </si>
  <si>
    <t>Colville</t>
  </si>
  <si>
    <t>Concrete</t>
  </si>
  <si>
    <t>Conway</t>
  </si>
  <si>
    <t>Cosmopolis</t>
  </si>
  <si>
    <t>Coupeville</t>
  </si>
  <si>
    <t>Creston</t>
  </si>
  <si>
    <t>Curlew</t>
  </si>
  <si>
    <t>Cusick</t>
  </si>
  <si>
    <t>Darrington</t>
  </si>
  <si>
    <t>Davenport</t>
  </si>
  <si>
    <t>Dayton</t>
  </si>
  <si>
    <t>Deer Park</t>
  </si>
  <si>
    <t>Dieringer</t>
  </si>
  <si>
    <t>Dixie</t>
  </si>
  <si>
    <t>Eastmont</t>
  </si>
  <si>
    <t>Easton</t>
  </si>
  <si>
    <t>Eatonville</t>
  </si>
  <si>
    <t>Edmonds</t>
  </si>
  <si>
    <t>Ellensburg</t>
  </si>
  <si>
    <t>Elma</t>
  </si>
  <si>
    <t>Entiat</t>
  </si>
  <si>
    <t>Enumclaw</t>
  </si>
  <si>
    <t>Ephrata</t>
  </si>
  <si>
    <t>Everett</t>
  </si>
  <si>
    <t>Evergreen (Clark)</t>
  </si>
  <si>
    <t>Federal Way</t>
  </si>
  <si>
    <t>Ferndale</t>
  </si>
  <si>
    <t>Fife</t>
  </si>
  <si>
    <t>Finley</t>
  </si>
  <si>
    <t>Franklin Pierce</t>
  </si>
  <si>
    <t>Freeman</t>
  </si>
  <si>
    <t>Garfield</t>
  </si>
  <si>
    <t>Glenwood</t>
  </si>
  <si>
    <t>Goldendale</t>
  </si>
  <si>
    <t>Grand Coulee Dam</t>
  </si>
  <si>
    <t>Grandview</t>
  </si>
  <si>
    <t>Granger</t>
  </si>
  <si>
    <t>Granite Falls</t>
  </si>
  <si>
    <t>Grapeview</t>
  </si>
  <si>
    <t>Griffin</t>
  </si>
  <si>
    <t>Highland</t>
  </si>
  <si>
    <t>Highline</t>
  </si>
  <si>
    <t>Hockinson</t>
  </si>
  <si>
    <t>Hood Canal</t>
  </si>
  <si>
    <t>Hoquiam</t>
  </si>
  <si>
    <t>Inchelium</t>
  </si>
  <si>
    <t>Index</t>
  </si>
  <si>
    <t>Issaquah</t>
  </si>
  <si>
    <t>Kalama</t>
  </si>
  <si>
    <t>Keller</t>
  </si>
  <si>
    <t>Kelso</t>
  </si>
  <si>
    <t>Kennewick</t>
  </si>
  <si>
    <t>Kent</t>
  </si>
  <si>
    <t>Kettle Falls</t>
  </si>
  <si>
    <t>Kittitas</t>
  </si>
  <si>
    <t>Klickitat</t>
  </si>
  <si>
    <t>La Conner</t>
  </si>
  <si>
    <t>Lake Chelan</t>
  </si>
  <si>
    <t>Lake Stevens</t>
  </si>
  <si>
    <t>Lake Washington</t>
  </si>
  <si>
    <t>Lakewood</t>
  </si>
  <si>
    <t>Lamont</t>
  </si>
  <si>
    <t>Liberty</t>
  </si>
  <si>
    <t>Lind</t>
  </si>
  <si>
    <t>Longview</t>
  </si>
  <si>
    <t>Loon Lake</t>
  </si>
  <si>
    <t>Lopez</t>
  </si>
  <si>
    <t>Lyle</t>
  </si>
  <si>
    <t>Lynden</t>
  </si>
  <si>
    <t>Mabton</t>
  </si>
  <si>
    <t>Mansfield</t>
  </si>
  <si>
    <t>Manson</t>
  </si>
  <si>
    <t>Mary M Knight</t>
  </si>
  <si>
    <t>Mary Walker</t>
  </si>
  <si>
    <t>Marysville</t>
  </si>
  <si>
    <t>Mead</t>
  </si>
  <si>
    <t>Medical Lake</t>
  </si>
  <si>
    <t>Mercer Island</t>
  </si>
  <si>
    <t>Meridian</t>
  </si>
  <si>
    <t>Methow Valley</t>
  </si>
  <si>
    <t>Mill A</t>
  </si>
  <si>
    <t>Monroe</t>
  </si>
  <si>
    <t>Montesano</t>
  </si>
  <si>
    <t>Morton</t>
  </si>
  <si>
    <t>Moses Lake</t>
  </si>
  <si>
    <t>Mossyrock</t>
  </si>
  <si>
    <t>Mount Adams</t>
  </si>
  <si>
    <t>Mount Baker</t>
  </si>
  <si>
    <t>Mount Pleasant</t>
  </si>
  <si>
    <t>Mukilteo</t>
  </si>
  <si>
    <t>Naches Valley</t>
  </si>
  <si>
    <t>Napavine</t>
  </si>
  <si>
    <t>Nespelem</t>
  </si>
  <si>
    <t>Newport</t>
  </si>
  <si>
    <t>Nine Mile Falls</t>
  </si>
  <si>
    <t>Nooksack Valley</t>
  </si>
  <si>
    <t>North Beach</t>
  </si>
  <si>
    <t>North Franklin</t>
  </si>
  <si>
    <t>North Kitsap</t>
  </si>
  <si>
    <t>North Mason</t>
  </si>
  <si>
    <t>North Thurston</t>
  </si>
  <si>
    <t>Northport</t>
  </si>
  <si>
    <t>Northshore</t>
  </si>
  <si>
    <t>Oak Harbor</t>
  </si>
  <si>
    <t>Oakesdale</t>
  </si>
  <si>
    <t>Oakville</t>
  </si>
  <si>
    <t>Ocean Beach</t>
  </si>
  <si>
    <t>Ocosta</t>
  </si>
  <si>
    <t>Okanogan</t>
  </si>
  <si>
    <t>Olympia</t>
  </si>
  <si>
    <t>Omak</t>
  </si>
  <si>
    <t>Onalaska</t>
  </si>
  <si>
    <t>Onion Creek</t>
  </si>
  <si>
    <t>Orient</t>
  </si>
  <si>
    <t>Orondo</t>
  </si>
  <si>
    <t>Oroville</t>
  </si>
  <si>
    <t>Orting</t>
  </si>
  <si>
    <t>Othello</t>
  </si>
  <si>
    <t>Palisades</t>
  </si>
  <si>
    <t>Pasco</t>
  </si>
  <si>
    <t>Pateros</t>
  </si>
  <si>
    <t>Pe Ell</t>
  </si>
  <si>
    <t>Peninsula</t>
  </si>
  <si>
    <t>Pioneer</t>
  </si>
  <si>
    <t>Port Angeles</t>
  </si>
  <si>
    <t>Port Townsend</t>
  </si>
  <si>
    <t>Prosser</t>
  </si>
  <si>
    <t>Pullman</t>
  </si>
  <si>
    <t>Puyallup</t>
  </si>
  <si>
    <t>Queets-Clearwater</t>
  </si>
  <si>
    <t>Quilcene</t>
  </si>
  <si>
    <t>Quillayute Valley</t>
  </si>
  <si>
    <t>Quincy</t>
  </si>
  <si>
    <t>Rainier</t>
  </si>
  <si>
    <t>Raymond</t>
  </si>
  <si>
    <t>Renton</t>
  </si>
  <si>
    <t>Republic</t>
  </si>
  <si>
    <t>Richland</t>
  </si>
  <si>
    <t>Ridgefield</t>
  </si>
  <si>
    <t>Ritzville</t>
  </si>
  <si>
    <t>Riverside</t>
  </si>
  <si>
    <t>Riverview</t>
  </si>
  <si>
    <t>Rochester</t>
  </si>
  <si>
    <t>Roosevelt</t>
  </si>
  <si>
    <t>Rosalia</t>
  </si>
  <si>
    <t>Royal</t>
  </si>
  <si>
    <t>Satsop</t>
  </si>
  <si>
    <t>Seattle</t>
  </si>
  <si>
    <t>Selah</t>
  </si>
  <si>
    <t>Selkirk</t>
  </si>
  <si>
    <t>Sequim</t>
  </si>
  <si>
    <t>Shelton</t>
  </si>
  <si>
    <t>Shoreline</t>
  </si>
  <si>
    <t>Skamania</t>
  </si>
  <si>
    <t>Snohomish</t>
  </si>
  <si>
    <t>Snoqualmie Valley</t>
  </si>
  <si>
    <t>Soap Lake</t>
  </si>
  <si>
    <t>South Bend</t>
  </si>
  <si>
    <t>South Kitsap</t>
  </si>
  <si>
    <t>South Whidbey</t>
  </si>
  <si>
    <t>Southside</t>
  </si>
  <si>
    <t>Spokane</t>
  </si>
  <si>
    <t>Sprague</t>
  </si>
  <si>
    <t>Stanwood-Camano</t>
  </si>
  <si>
    <t>Steilacoom Hist.</t>
  </si>
  <si>
    <t>Stevenson-Carson</t>
  </si>
  <si>
    <t>Sultan</t>
  </si>
  <si>
    <t>Sumner</t>
  </si>
  <si>
    <t>Sunnyside</t>
  </si>
  <si>
    <t>Tacoma</t>
  </si>
  <si>
    <t>Taholah</t>
  </si>
  <si>
    <t>Tahoma</t>
  </si>
  <si>
    <t>Tekoa</t>
  </si>
  <si>
    <t>Tenino</t>
  </si>
  <si>
    <t>Thorp</t>
  </si>
  <si>
    <t>Toledo</t>
  </si>
  <si>
    <t>Tonasket</t>
  </si>
  <si>
    <t>Toppenish</t>
  </si>
  <si>
    <t>Touchet</t>
  </si>
  <si>
    <t>Toutle Lake</t>
  </si>
  <si>
    <t>Trout Lake</t>
  </si>
  <si>
    <t>Tukwila</t>
  </si>
  <si>
    <t>Tumwater</t>
  </si>
  <si>
    <t>Union Gap</t>
  </si>
  <si>
    <t>University Place</t>
  </si>
  <si>
    <t>Valley</t>
  </si>
  <si>
    <t>Vancouver</t>
  </si>
  <si>
    <t>Vashon Island</t>
  </si>
  <si>
    <t>Wahkiakum</t>
  </si>
  <si>
    <t>Wahluke</t>
  </si>
  <si>
    <t>Waitsburg</t>
  </si>
  <si>
    <t>Walla Walla</t>
  </si>
  <si>
    <t>Wapato</t>
  </si>
  <si>
    <t>Warden</t>
  </si>
  <si>
    <t>Washougal</t>
  </si>
  <si>
    <t>Waterville</t>
  </si>
  <si>
    <t>Wellpinit</t>
  </si>
  <si>
    <t>Wenatchee</t>
  </si>
  <si>
    <t>White Pass</t>
  </si>
  <si>
    <t>White River</t>
  </si>
  <si>
    <t>Willapa Valley</t>
  </si>
  <si>
    <t>Winlock</t>
  </si>
  <si>
    <t>Wishkah Valley</t>
  </si>
  <si>
    <t>Wishram</t>
  </si>
  <si>
    <t>Woodland</t>
  </si>
  <si>
    <t>Yakima</t>
  </si>
  <si>
    <t>Yelm</t>
  </si>
  <si>
    <t>Zillah</t>
  </si>
  <si>
    <t>State Summary</t>
  </si>
  <si>
    <t>West Valley (Yak)</t>
  </si>
  <si>
    <t>East Valley (Yak)</t>
  </si>
  <si>
    <t>Endicott</t>
  </si>
  <si>
    <t>Steptoe</t>
  </si>
  <si>
    <t>Palouse</t>
  </si>
  <si>
    <t>Prescott</t>
  </si>
  <si>
    <t>Summit Valley</t>
  </si>
  <si>
    <t>West Valley (Spo)</t>
  </si>
  <si>
    <t>Great Northern</t>
  </si>
  <si>
    <t>Orchard Prairie</t>
  </si>
  <si>
    <t>Mt Vernon</t>
  </si>
  <si>
    <t>Carbonado</t>
  </si>
  <si>
    <t>North River</t>
  </si>
  <si>
    <t>Harrington</t>
  </si>
  <si>
    <t>Wilbur</t>
  </si>
  <si>
    <t>Odessa</t>
  </si>
  <si>
    <t>Almira</t>
  </si>
  <si>
    <t>Reardan</t>
  </si>
  <si>
    <t>Boistfort</t>
  </si>
  <si>
    <t>Evaline</t>
  </si>
  <si>
    <t>White Salmon</t>
  </si>
  <si>
    <t>Centerville</t>
  </si>
  <si>
    <t>Bickleton</t>
  </si>
  <si>
    <t>Damman</t>
  </si>
  <si>
    <t>Bainbridge</t>
  </si>
  <si>
    <t>Skykomish</t>
  </si>
  <si>
    <t>Brinnon</t>
  </si>
  <si>
    <t>Wilson Creek</t>
  </si>
  <si>
    <t>Pomeroy</t>
  </si>
  <si>
    <t>Kahlotus</t>
  </si>
  <si>
    <t>Star</t>
  </si>
  <si>
    <t>Starbuck</t>
  </si>
  <si>
    <t>Green Mountain</t>
  </si>
  <si>
    <t>Lacenter</t>
  </si>
  <si>
    <t>Crescent</t>
  </si>
  <si>
    <t>Stehekin</t>
  </si>
  <si>
    <t>Paterson</t>
  </si>
  <si>
    <t>Benge</t>
  </si>
  <si>
    <t>Washtucna</t>
  </si>
  <si>
    <t>District Name</t>
  </si>
  <si>
    <t>2020-21</t>
  </si>
  <si>
    <t>LEA</t>
  </si>
  <si>
    <t>Levy</t>
  </si>
  <si>
    <t>CY 2021</t>
  </si>
  <si>
    <t>SY</t>
  </si>
  <si>
    <t>Version</t>
  </si>
  <si>
    <t>TBIP</t>
  </si>
  <si>
    <t>SpEd</t>
  </si>
  <si>
    <t>Transpo</t>
  </si>
  <si>
    <t xml:space="preserve">  State Totals:</t>
  </si>
  <si>
    <t>Burlington Edison</t>
  </si>
  <si>
    <t>Columbia (Stev)</t>
  </si>
  <si>
    <t>Columbia (Walla)</t>
  </si>
  <si>
    <t>Coulee/Hartline</t>
  </si>
  <si>
    <t>East Valley</t>
  </si>
  <si>
    <t>Evergreen (Stev)</t>
  </si>
  <si>
    <t>Kiona Benton</t>
  </si>
  <si>
    <t>Lacrosse Joint</t>
  </si>
  <si>
    <t>Mc Cleary</t>
  </si>
  <si>
    <t>Naselle Grays Riv</t>
  </si>
  <si>
    <t>Orcas</t>
  </si>
  <si>
    <t>Quinault</t>
  </si>
  <si>
    <t>San Juan</t>
  </si>
  <si>
    <t>Sedro Woolley</t>
  </si>
  <si>
    <t>Shaw</t>
  </si>
  <si>
    <t>St John</t>
  </si>
  <si>
    <t>LEA School Year</t>
  </si>
  <si>
    <t>Levy School Year</t>
  </si>
  <si>
    <t>&lt;-------(Select School Year here)</t>
  </si>
  <si>
    <t>Total Local</t>
  </si>
  <si>
    <t>Total Other</t>
  </si>
  <si>
    <t>Other Programs / Changes</t>
  </si>
  <si>
    <t>Local Funding</t>
  </si>
  <si>
    <t>Total Apportionment</t>
  </si>
  <si>
    <t>Per Pupil Total State &amp; Local Funding (does NOT include federal funds)</t>
  </si>
  <si>
    <t>Learning Assistance Program (LAP)</t>
  </si>
  <si>
    <t>Highly Capable (HiCap)</t>
  </si>
  <si>
    <t>Bilingual (TBIP)</t>
  </si>
  <si>
    <t>Career &amp; Technical &amp; Skills Center (CTE &amp; SC)</t>
  </si>
  <si>
    <t>Estimated Change in Funding Per Pupil</t>
  </si>
  <si>
    <t>TBIP enroll &amp; Exited</t>
  </si>
  <si>
    <t>Per Pupil Program Enhancement:</t>
  </si>
  <si>
    <t>Lap Enrollment</t>
  </si>
  <si>
    <t>Basic Education Program Total</t>
  </si>
  <si>
    <t>&lt;-------(Select District here)</t>
  </si>
  <si>
    <t>Maintenance</t>
  </si>
  <si>
    <t>New Money (variance to Maintenance)</t>
  </si>
  <si>
    <t>Total Transportation</t>
  </si>
  <si>
    <t>Apportionment Less CTE &amp; Skills</t>
  </si>
  <si>
    <t>SchoolYearCode</t>
  </si>
  <si>
    <t>Variance compared to current school year</t>
  </si>
  <si>
    <t>BEA RATE</t>
  </si>
  <si>
    <t>ABOUT THE DATA AND ASSUMPTIONS USED FOR THIS MODEL</t>
  </si>
  <si>
    <t>Instructions for use:</t>
  </si>
  <si>
    <t>Select District in drop down menu in row 3</t>
  </si>
  <si>
    <t>Select School Year in drop down menu in row 4</t>
  </si>
  <si>
    <t>Caseload:</t>
  </si>
  <si>
    <t xml:space="preserve">Caseload is based on the state caseload forecast council enrollment projections.  This is calculated on the projected enrollment budgeted numbers % growth by grade level used in the state budget.  </t>
  </si>
  <si>
    <t>Maintenance:</t>
  </si>
  <si>
    <t>Apportionment</t>
  </si>
  <si>
    <t>Per Pupil estimated change current school year</t>
  </si>
  <si>
    <t>Definitions:</t>
  </si>
  <si>
    <t>current</t>
  </si>
  <si>
    <t>Maint, Supplies &amp; Op (MSOC)</t>
  </si>
  <si>
    <t>CTE Class Size</t>
  </si>
  <si>
    <t>SC Class Size</t>
  </si>
  <si>
    <t>Salary Increases:</t>
  </si>
  <si>
    <t>Career &amp; Technical Education (CTE):</t>
  </si>
  <si>
    <t>Skills Center (SC):</t>
  </si>
  <si>
    <t>Students Generating LAP Program Funds:</t>
  </si>
  <si>
    <t>COOP</t>
  </si>
  <si>
    <t>SpED Maintenance Flat Enrollment</t>
  </si>
  <si>
    <t>SpEd Maintenance CaseLoad Enrollment</t>
  </si>
  <si>
    <t>Important Disclaimer Language Below</t>
  </si>
  <si>
    <t>Prototypical Model Increases:</t>
  </si>
  <si>
    <t>Materials, Supplies, and Operating Costs</t>
  </si>
  <si>
    <t>General Education</t>
  </si>
  <si>
    <t>Grades 9-12 Enhancement</t>
  </si>
  <si>
    <t xml:space="preserve">Small School NERC </t>
  </si>
  <si>
    <t>Learning Assistance Program (Hours Per Week)</t>
  </si>
  <si>
    <t>Learning Assistance Program</t>
  </si>
  <si>
    <t>High Poverty Schools</t>
  </si>
  <si>
    <t>Transitional Bilingual (Hours Per Week)</t>
  </si>
  <si>
    <t>Grades K-6</t>
  </si>
  <si>
    <t>Grades 7-12</t>
  </si>
  <si>
    <t>Highly Capable (Eligible Student %)</t>
  </si>
  <si>
    <t>YES</t>
  </si>
  <si>
    <t>COOP District Name</t>
  </si>
  <si>
    <t>SPED COOP District List</t>
  </si>
  <si>
    <t>J1
Prgm 4499 Alloc Trans Deprec</t>
  </si>
  <si>
    <t>154A
TRN 4199 Total Amount Due</t>
  </si>
  <si>
    <t>O7hp
LAP HiPov TOTAL</t>
  </si>
  <si>
    <t>O7
LAP Regular TOTAL</t>
  </si>
  <si>
    <t>223X
CAS - Salary Maint</t>
  </si>
  <si>
    <t>52X
CAS - Salary Inc</t>
  </si>
  <si>
    <t>224X
CLS - Salary Maint</t>
  </si>
  <si>
    <t>53X
CLS - Salary Inc</t>
  </si>
  <si>
    <t>ccddd</t>
  </si>
  <si>
    <t>dname</t>
  </si>
  <si>
    <t>06701</t>
  </si>
  <si>
    <t>Statutory Coop Total</t>
  </si>
  <si>
    <t xml:space="preserve">Maintenance Level </t>
  </si>
  <si>
    <t>Benefits Increases:</t>
  </si>
  <si>
    <t>Fringe Benefits in Percent</t>
  </si>
  <si>
    <t>Certificated Maintenance</t>
  </si>
  <si>
    <t>Classified Maintenance</t>
  </si>
  <si>
    <t>Certificated Increase</t>
  </si>
  <si>
    <t>Classified Increase</t>
  </si>
  <si>
    <t>Base Rate for Insurance Benefits Allocation</t>
  </si>
  <si>
    <t>Current</t>
  </si>
  <si>
    <t>17905</t>
  </si>
  <si>
    <t>17910</t>
  </si>
  <si>
    <t>34901</t>
  </si>
  <si>
    <t>Total State</t>
  </si>
  <si>
    <t>I-732 COLA (CPI)</t>
  </si>
  <si>
    <t>Classified Benefits Factor</t>
  </si>
  <si>
    <t>Vocational</t>
  </si>
  <si>
    <t>Non-Vocational</t>
  </si>
  <si>
    <t>ALE Per Pupil Funding Rate*</t>
  </si>
  <si>
    <t>Running Start BEA Rates*</t>
  </si>
  <si>
    <t>17911</t>
  </si>
  <si>
    <t>(formula)</t>
  </si>
  <si>
    <t>A33r
Regionalization</t>
  </si>
  <si>
    <t>142X
CIS Sal Inc</t>
  </si>
  <si>
    <t>118X
CIS Biennial Base Salary</t>
  </si>
  <si>
    <t>Total Funds 
3121 + 4121</t>
  </si>
  <si>
    <t>27901</t>
  </si>
  <si>
    <t>39901</t>
  </si>
  <si>
    <t>Summit Public School: Atlas</t>
  </si>
  <si>
    <t>Green Dot Public Schools Rainier Valley</t>
  </si>
  <si>
    <t>Impact Public Schools</t>
  </si>
  <si>
    <t>Chief Leschi Tribal Compact</t>
  </si>
  <si>
    <t>WA HE LUT Indian School Agency</t>
  </si>
  <si>
    <t>Yakama Nation Tribal Compact</t>
  </si>
  <si>
    <t>Maintenance Level</t>
  </si>
  <si>
    <r>
      <t>Apportionment (does not include CTE, SC, &amp; Proto model policy enh)</t>
    </r>
    <r>
      <rPr>
        <vertAlign val="superscript"/>
        <sz val="11"/>
        <color theme="1"/>
        <rFont val="Calibri"/>
        <family val="2"/>
        <scheme val="minor"/>
      </rPr>
      <t>1</t>
    </r>
  </si>
  <si>
    <t>CTE/Skills</t>
  </si>
  <si>
    <t>2021-22</t>
  </si>
  <si>
    <t>2022-23</t>
  </si>
  <si>
    <t>2022-23 COOP</t>
  </si>
  <si>
    <t>CY 2022</t>
  </si>
  <si>
    <t>CY 2023</t>
  </si>
  <si>
    <t>3100pd
Total Program 01 PD</t>
  </si>
  <si>
    <t>LAP Concentration</t>
  </si>
  <si>
    <r>
      <t>Apportionment Enhancements to Prototypical Model</t>
    </r>
    <r>
      <rPr>
        <vertAlign val="superscript"/>
        <sz val="11"/>
        <color theme="1"/>
        <rFont val="Calibri"/>
        <family val="2"/>
        <scheme val="minor"/>
      </rPr>
      <t>2</t>
    </r>
  </si>
  <si>
    <t>Enrichment Levy:</t>
  </si>
  <si>
    <t>Funded Salaries</t>
  </si>
  <si>
    <t>Certificated Salary Allocation^</t>
  </si>
  <si>
    <t>Classified Salary Allocation^</t>
  </si>
  <si>
    <t>Administrative Salary Allocation^</t>
  </si>
  <si>
    <t>3 days</t>
  </si>
  <si>
    <t>CIS Professional Learning Days</t>
  </si>
  <si>
    <t>Certificated Benefits Factor</t>
  </si>
  <si>
    <t>Principals</t>
  </si>
  <si>
    <t>Teacher Librarian</t>
  </si>
  <si>
    <t>Guidance Counselors</t>
  </si>
  <si>
    <t>Heath and Social Services</t>
  </si>
  <si>
    <t>Teaching Assistance</t>
  </si>
  <si>
    <t>Office Support</t>
  </si>
  <si>
    <t>Custodians</t>
  </si>
  <si>
    <t>Student and Staff Safety</t>
  </si>
  <si>
    <t>Parent Involvement Coordinators</t>
  </si>
  <si>
    <t>School Nurses</t>
  </si>
  <si>
    <t>Social Workers</t>
  </si>
  <si>
    <t>Psychologists</t>
  </si>
  <si>
    <t>Special Education Enhancement Multiplier</t>
  </si>
  <si>
    <r>
      <t xml:space="preserve">The purpose of this model is to provide school districts and interested members of the public </t>
    </r>
    <r>
      <rPr>
        <b/>
        <i/>
        <u/>
        <sz val="11"/>
        <color theme="1"/>
        <rFont val="Calibri"/>
        <family val="2"/>
        <scheme val="minor"/>
      </rPr>
      <t>estimated</t>
    </r>
    <r>
      <rPr>
        <sz val="11"/>
        <color theme="1"/>
        <rFont val="Calibri"/>
        <family val="2"/>
        <scheme val="minor"/>
      </rPr>
      <t xml:space="preserve"> impacts of the budget on a district-by-district level. Due to the methods of calculation in the district-by-district estimate model and the fact that certain state funding cannot be projected at a district-by-district level at this time, the</t>
    </r>
    <r>
      <rPr>
        <u/>
        <sz val="11"/>
        <color theme="1"/>
        <rFont val="Calibri"/>
        <family val="2"/>
        <scheme val="minor"/>
      </rPr>
      <t xml:space="preserve"> statewide totals of this model will not reconcile to the state budget documents.
</t>
    </r>
    <r>
      <rPr>
        <b/>
        <i/>
        <u/>
        <sz val="11"/>
        <color theme="1"/>
        <rFont val="Calibri"/>
        <family val="2"/>
        <scheme val="minor"/>
      </rPr>
      <t xml:space="preserve">This model in no way represents a guarantee of future funding for any school district.  It is intended to be a projection tool for budgeting and analysis purposes only. </t>
    </r>
  </si>
  <si>
    <t>SpEd Maintenance F195F Enrollment</t>
  </si>
  <si>
    <t>&lt;-------(Select Enrollment here)</t>
  </si>
  <si>
    <t>School Year Projection:</t>
  </si>
  <si>
    <t>Basic Ed</t>
  </si>
  <si>
    <t>Misc</t>
  </si>
  <si>
    <t>Header</t>
  </si>
  <si>
    <t>04801</t>
  </si>
  <si>
    <t>North Central Educational Service District 171</t>
  </si>
  <si>
    <t>04951</t>
  </si>
  <si>
    <t>Wenatchee Vally College</t>
  </si>
  <si>
    <t>05940</t>
  </si>
  <si>
    <t>Peninsula College</t>
  </si>
  <si>
    <t>ESA 112</t>
  </si>
  <si>
    <t>06801</t>
  </si>
  <si>
    <t>Educational Service District 112</t>
  </si>
  <si>
    <t>06927</t>
  </si>
  <si>
    <t>Clark College</t>
  </si>
  <si>
    <t>08937</t>
  </si>
  <si>
    <t>Lower Columbia College</t>
  </si>
  <si>
    <t>11801</t>
  </si>
  <si>
    <t>Educational Service District 123</t>
  </si>
  <si>
    <t>11928</t>
  </si>
  <si>
    <t>Columbia Basin College</t>
  </si>
  <si>
    <t>13925</t>
  </si>
  <si>
    <t>Big Bend Community College</t>
  </si>
  <si>
    <t>14934</t>
  </si>
  <si>
    <t>Grays Harbor College</t>
  </si>
  <si>
    <t>17801</t>
  </si>
  <si>
    <t>Puget Sound Educational Service District 121</t>
  </si>
  <si>
    <t>17904</t>
  </si>
  <si>
    <t>University of Washington (17904)</t>
  </si>
  <si>
    <t>17924</t>
  </si>
  <si>
    <t>Bellevue Community College</t>
  </si>
  <si>
    <t>17935</t>
  </si>
  <si>
    <t>17936</t>
  </si>
  <si>
    <t>Highline College</t>
  </si>
  <si>
    <t>17937</t>
  </si>
  <si>
    <t>Lake Washington Institute of Technology</t>
  </si>
  <si>
    <t>17938</t>
  </si>
  <si>
    <t>North Seattle Community College</t>
  </si>
  <si>
    <t>17941</t>
  </si>
  <si>
    <t>Renton Technical College</t>
  </si>
  <si>
    <t>17942</t>
  </si>
  <si>
    <t xml:space="preserve">Seattle Central Community College </t>
  </si>
  <si>
    <t>17943</t>
  </si>
  <si>
    <t>Shoreline Community College</t>
  </si>
  <si>
    <t>17946</t>
  </si>
  <si>
    <t>South Seattle Community College (CC Dist #6)</t>
  </si>
  <si>
    <t>18801</t>
  </si>
  <si>
    <t>Olympic Educational Service District 114</t>
  </si>
  <si>
    <t>18939</t>
  </si>
  <si>
    <t>Olympic College</t>
  </si>
  <si>
    <t>19901</t>
  </si>
  <si>
    <t>Central Washington University</t>
  </si>
  <si>
    <t>21018</t>
  </si>
  <si>
    <t>Vader School District</t>
  </si>
  <si>
    <t>21926</t>
  </si>
  <si>
    <t>Centralia College</t>
  </si>
  <si>
    <t>27931</t>
  </si>
  <si>
    <t>Bates Technical College</t>
  </si>
  <si>
    <t>27932</t>
  </si>
  <si>
    <t>Clover Park Technical College</t>
  </si>
  <si>
    <t>27941</t>
  </si>
  <si>
    <t>Pierce College</t>
  </si>
  <si>
    <t>27949</t>
  </si>
  <si>
    <t>Tacoma Community College</t>
  </si>
  <si>
    <t>29801</t>
  </si>
  <si>
    <t>Northwest Educational Service District 189</t>
  </si>
  <si>
    <t>29944</t>
  </si>
  <si>
    <t>Skagit Valley College</t>
  </si>
  <si>
    <t>31932</t>
  </si>
  <si>
    <t>Edmonds Community College</t>
  </si>
  <si>
    <t>31933</t>
  </si>
  <si>
    <t>Everett Community College</t>
  </si>
  <si>
    <t>32801</t>
  </si>
  <si>
    <t>Educational Service District 101</t>
  </si>
  <si>
    <t>32902</t>
  </si>
  <si>
    <t>Eastern Washington University</t>
  </si>
  <si>
    <t>32911</t>
  </si>
  <si>
    <t>Spokane Public Schools Charter Authorizer</t>
  </si>
  <si>
    <t>32931</t>
  </si>
  <si>
    <t>Community Colleges of Spokane</t>
  </si>
  <si>
    <t>32948</t>
  </si>
  <si>
    <t>Spokane Falls Community College</t>
  </si>
  <si>
    <t>34801</t>
  </si>
  <si>
    <t>Capital Region ESD 113</t>
  </si>
  <si>
    <t>34903</t>
  </si>
  <si>
    <t>Evergreen State College</t>
  </si>
  <si>
    <t>34945</t>
  </si>
  <si>
    <t>Puget Sound Community College</t>
  </si>
  <si>
    <t>34950</t>
  </si>
  <si>
    <t>Washington State Charter School Commission</t>
  </si>
  <si>
    <t>34970</t>
  </si>
  <si>
    <t>DSHS</t>
  </si>
  <si>
    <t>34973</t>
  </si>
  <si>
    <t>Department of Corrections</t>
  </si>
  <si>
    <t>34974</t>
  </si>
  <si>
    <t>Office of the Governor (Sch for Blind)</t>
  </si>
  <si>
    <t>34975</t>
  </si>
  <si>
    <t>34977</t>
  </si>
  <si>
    <t>Department of Health</t>
  </si>
  <si>
    <t>34979</t>
  </si>
  <si>
    <t>Washington Military Department</t>
  </si>
  <si>
    <t>36950</t>
  </si>
  <si>
    <t>Walla Walla Community College</t>
  </si>
  <si>
    <t>37901</t>
  </si>
  <si>
    <t>Bellingham Technical College</t>
  </si>
  <si>
    <t>37906</t>
  </si>
  <si>
    <t>Western Washington University</t>
  </si>
  <si>
    <t>37952</t>
  </si>
  <si>
    <t>Whatcom Community College</t>
  </si>
  <si>
    <t>38905</t>
  </si>
  <si>
    <t>Washington State University</t>
  </si>
  <si>
    <t>39801</t>
  </si>
  <si>
    <t>Educational Service District 105</t>
  </si>
  <si>
    <t>39953</t>
  </si>
  <si>
    <t>Yakima Valley Community College</t>
  </si>
  <si>
    <t>Caseload Forecasted Enrollment Growth (Yes), Flat Enrollment (No), or District Projected Enrollment (F195F):</t>
  </si>
  <si>
    <t>216A
Pupil 9-12 CIS</t>
  </si>
  <si>
    <t>217A
Pupil 9-12 CAS</t>
  </si>
  <si>
    <t>218A
Pupil 9-12 CLS</t>
  </si>
  <si>
    <t>RATE:</t>
  </si>
  <si>
    <t>CIS Maint</t>
  </si>
  <si>
    <t>CIS Inc</t>
  </si>
  <si>
    <t>CAS Maint</t>
  </si>
  <si>
    <t>CAS Inc</t>
  </si>
  <si>
    <t>CLS Maint</t>
  </si>
  <si>
    <t>CLS Inc</t>
  </si>
  <si>
    <t>CIS</t>
  </si>
  <si>
    <t>CAS</t>
  </si>
  <si>
    <t>CLS</t>
  </si>
  <si>
    <t>CIS w/ Ben</t>
  </si>
  <si>
    <t>CAS W/ Ben</t>
  </si>
  <si>
    <t>CLS w/ Ben</t>
  </si>
  <si>
    <t>School Year Program / Fund:</t>
  </si>
  <si>
    <t>Before viewing the values in this tool please read the information on the red Tools Disclaimer Tab of this workbook.</t>
  </si>
  <si>
    <t>F195F:</t>
  </si>
  <si>
    <t>Current Law:</t>
  </si>
  <si>
    <t>Enacted Budget</t>
  </si>
  <si>
    <t>Enacted</t>
  </si>
  <si>
    <t>SpEd Enacted Flat Enrollment</t>
  </si>
  <si>
    <t>SpEd Enacted Caseload Enrollment</t>
  </si>
  <si>
    <t>SpEd Enacted F195F Enrollment</t>
  </si>
  <si>
    <t>Enacted Flat Enrollment - Prototypical Model</t>
  </si>
  <si>
    <t>Enacted Caseload Enrollment - Prototypical Model</t>
  </si>
  <si>
    <t>Enacted F195F Enrollment - Prototypical Model</t>
  </si>
  <si>
    <t>District/Tribal/Charter</t>
  </si>
  <si>
    <t>17917</t>
  </si>
  <si>
    <t>Cascade Public Schools</t>
  </si>
  <si>
    <t>18901</t>
  </si>
  <si>
    <t>Catalyst Public Schools</t>
  </si>
  <si>
    <t>17916</t>
  </si>
  <si>
    <t>Impact | Salish Sea Elementary</t>
  </si>
  <si>
    <t>32903</t>
  </si>
  <si>
    <t>Lumen Public School</t>
  </si>
  <si>
    <t>CCDDD + name</t>
  </si>
  <si>
    <t>Federal ESSER Funding</t>
  </si>
  <si>
    <t xml:space="preserve">ESSER I </t>
  </si>
  <si>
    <t>ESSER II</t>
  </si>
  <si>
    <t>ESSER III</t>
  </si>
  <si>
    <t>Total ESSER (FEDERAL)</t>
  </si>
  <si>
    <t>ESSER Funds Per pupil</t>
  </si>
  <si>
    <t>B1
Enroll SpEd 3-PK</t>
  </si>
  <si>
    <t>B2L1
Enroll SpEd K-21 LRE1</t>
  </si>
  <si>
    <t>B2
Enroll SpEd K-21 Other</t>
  </si>
  <si>
    <t>SpEd Calcs</t>
  </si>
  <si>
    <t xml:space="preserve">Rainier Valley Leadership Academy </t>
  </si>
  <si>
    <t>Impact | Puget Sound Elementary</t>
  </si>
  <si>
    <t>17918</t>
  </si>
  <si>
    <t>University of Washington Early Entrance Program</t>
  </si>
  <si>
    <t>Green River College</t>
  </si>
  <si>
    <t>Washington Center for Deaf and Hard of Hearing Youth</t>
  </si>
  <si>
    <t>34978</t>
  </si>
  <si>
    <t>Department of Children Youth and Families</t>
  </si>
  <si>
    <t>37902</t>
  </si>
  <si>
    <t>Whatcom Intergenerational High School</t>
  </si>
  <si>
    <t>Z277
SpEd 3-PK Allocation</t>
  </si>
  <si>
    <t>Z280L1
SpEd K-21 LRE1 Allocation</t>
  </si>
  <si>
    <t>Z280
SpEd K-21 Other Allocation</t>
  </si>
  <si>
    <t>116A
SpEd General Apport 3121</t>
  </si>
  <si>
    <t>Z284
SpEd Gen Apport</t>
  </si>
  <si>
    <t>A53Ie
Enroll TBIP K-6 Import</t>
  </si>
  <si>
    <t>A53Imh
Enroll TBIP 7-12 Import</t>
  </si>
  <si>
    <t>A65i
Enroll TBIP Exited Import</t>
  </si>
  <si>
    <t>E57
Enroll Skill 9-12</t>
  </si>
  <si>
    <t>Z018
Teachers K-3</t>
  </si>
  <si>
    <t>Z390
Total GenEd MSOC</t>
  </si>
  <si>
    <t>A33rb
Regionalization Base</t>
  </si>
  <si>
    <t>2020-2021</t>
  </si>
  <si>
    <t>Total 4121 Sped</t>
  </si>
  <si>
    <t>Z272
Enroll BEA Resident</t>
  </si>
  <si>
    <t>Z273
Enroll SpEd% K-21</t>
  </si>
  <si>
    <t>Z274E
Excess Enroll SpEd% K-21</t>
  </si>
  <si>
    <t>Z246
SpEd BEA Rate</t>
  </si>
  <si>
    <t>Z280E
SpEd K-21 Exceeds Max Fund%</t>
  </si>
  <si>
    <t>N7T
4121 Coop Transfer</t>
  </si>
  <si>
    <t>2023-24</t>
  </si>
  <si>
    <t>2024-25</t>
  </si>
  <si>
    <t>2021-22 COOP</t>
  </si>
  <si>
    <t>2024-25 COOP</t>
  </si>
  <si>
    <t>2023-24 COOP</t>
  </si>
  <si>
    <t>CoDistID</t>
  </si>
  <si>
    <t>Total Combined 
ESSER Funds</t>
  </si>
  <si>
    <t>ESSER II Final</t>
  </si>
  <si>
    <t>ESSER I Final</t>
  </si>
  <si>
    <t>Stabilization funding - State Totals</t>
  </si>
  <si>
    <t>Yakama Nation Tribal</t>
  </si>
  <si>
    <t>Chief Leschi Tribal</t>
  </si>
  <si>
    <t>Wa He Lut Indian</t>
  </si>
  <si>
    <t>Quileute Tribal</t>
  </si>
  <si>
    <t>Muckleshoot</t>
  </si>
  <si>
    <t>Suquamish</t>
  </si>
  <si>
    <t>Lummi</t>
  </si>
  <si>
    <t>Calendar Year 2021 Levy &amp; LEA (F780)</t>
  </si>
  <si>
    <t>CY 2024</t>
  </si>
  <si>
    <t>CY 2025</t>
  </si>
  <si>
    <t>Tier 1 Mult (5-21 yr. olds) =&gt;80% time in BEA</t>
  </si>
  <si>
    <t>Tier 2 Mult (5-21 yr. olds) &lt; 80% time in BEA</t>
  </si>
  <si>
    <t>Middle School Other Staffing Ratios (Grades 7-8 Enrollment 432 FTE)</t>
  </si>
  <si>
    <t>Drivers Behind Maintenance Budget in Model:</t>
  </si>
  <si>
    <t>High School Other Staffing Ratios (Grades 9-12 Enrollment 600 FTE)</t>
  </si>
  <si>
    <t>Drivers Behind Enacted Budget in Model:</t>
  </si>
  <si>
    <t>Conference</t>
  </si>
  <si>
    <r>
      <t>ESA 112 Special Education Cooperative</t>
    </r>
    <r>
      <rPr>
        <vertAlign val="superscript"/>
        <sz val="11"/>
        <color theme="1"/>
        <rFont val="Calibri"/>
        <family val="2"/>
        <scheme val="minor"/>
      </rPr>
      <t>4</t>
    </r>
  </si>
  <si>
    <r>
      <t>Career &amp; Technical &amp; Skills Center (CTE &amp; SC)</t>
    </r>
    <r>
      <rPr>
        <vertAlign val="superscript"/>
        <sz val="11"/>
        <color theme="1"/>
        <rFont val="Calibri"/>
        <family val="2"/>
        <scheme val="minor"/>
      </rPr>
      <t>7</t>
    </r>
  </si>
  <si>
    <r>
      <t>Bilingual (TBIP)</t>
    </r>
    <r>
      <rPr>
        <vertAlign val="superscript"/>
        <sz val="11"/>
        <color theme="1"/>
        <rFont val="Calibri"/>
        <family val="2"/>
        <scheme val="minor"/>
      </rPr>
      <t>8</t>
    </r>
  </si>
  <si>
    <t>NO</t>
  </si>
  <si>
    <r>
      <rPr>
        <vertAlign val="superscript"/>
        <sz val="12"/>
        <color theme="1"/>
        <rFont val="Calibri"/>
        <family val="2"/>
        <scheme val="minor"/>
      </rPr>
      <t>1</t>
    </r>
    <r>
      <rPr>
        <sz val="12"/>
        <color theme="1"/>
        <rFont val="Calibri"/>
        <family val="2"/>
        <scheme val="minor"/>
      </rPr>
      <t>Total Includes inflation increases and changes to Running Start Rates (see "Notes and Budget Drivers" tab).</t>
    </r>
  </si>
  <si>
    <r>
      <rPr>
        <vertAlign val="superscript"/>
        <sz val="12"/>
        <color theme="1"/>
        <rFont val="Calibri"/>
        <family val="2"/>
        <scheme val="minor"/>
      </rPr>
      <t>2</t>
    </r>
    <r>
      <rPr>
        <sz val="12"/>
        <color theme="1"/>
        <rFont val="Calibri"/>
        <family val="2"/>
        <scheme val="minor"/>
      </rPr>
      <t>Amount includes any policy level changes to the prototypical model including staff units and MSOC (see "Notes and Budget Drivers" tab).</t>
    </r>
  </si>
  <si>
    <r>
      <rPr>
        <vertAlign val="superscript"/>
        <sz val="12"/>
        <color theme="1"/>
        <rFont val="Calibri"/>
        <family val="2"/>
        <scheme val="minor"/>
      </rPr>
      <t>4</t>
    </r>
    <r>
      <rPr>
        <sz val="12"/>
        <color theme="1"/>
        <rFont val="Calibri"/>
        <family val="2"/>
        <scheme val="minor"/>
      </rPr>
      <t>Special Education funds for Districts that are part of the special education coop ESA 112 are shown only on this line and not at an individual district level.</t>
    </r>
  </si>
  <si>
    <r>
      <rPr>
        <vertAlign val="superscript"/>
        <sz val="12"/>
        <color theme="1"/>
        <rFont val="Calibri"/>
        <family val="2"/>
        <scheme val="minor"/>
      </rPr>
      <t>6</t>
    </r>
    <r>
      <rPr>
        <sz val="12"/>
        <color theme="1"/>
        <rFont val="Calibri"/>
        <family val="2"/>
        <scheme val="minor"/>
      </rPr>
      <t>Assumes the lesser of Voter Approved Levy or maximum Enrichment Levy available in budget language.</t>
    </r>
  </si>
  <si>
    <r>
      <rPr>
        <vertAlign val="superscript"/>
        <sz val="12"/>
        <color theme="1"/>
        <rFont val="Calibri"/>
        <family val="2"/>
        <scheme val="minor"/>
      </rPr>
      <t>7</t>
    </r>
    <r>
      <rPr>
        <sz val="12"/>
        <color theme="1"/>
        <rFont val="Calibri"/>
        <family val="2"/>
        <scheme val="minor"/>
      </rPr>
      <t>For Districts who have both CTE and SC students; per pupil enhancement amounts are added together.</t>
    </r>
  </si>
  <si>
    <r>
      <rPr>
        <vertAlign val="superscript"/>
        <sz val="12"/>
        <color theme="1"/>
        <rFont val="Calibri"/>
        <family val="2"/>
        <scheme val="minor"/>
      </rPr>
      <t>8</t>
    </r>
    <r>
      <rPr>
        <sz val="12"/>
        <color theme="1"/>
        <rFont val="Calibri"/>
        <family val="2"/>
        <scheme val="minor"/>
      </rPr>
      <t>Transitional Bilingual Program enrollment includes exited students.</t>
    </r>
  </si>
  <si>
    <t>Elementary School Other Staffing Ratios (Grades K-6 Enrollment 400 FTE)</t>
  </si>
  <si>
    <t>^Salaries without regionalization, experience factor, or professional learning days</t>
  </si>
  <si>
    <t>School Year 2021-22</t>
  </si>
  <si>
    <t>27902</t>
  </si>
  <si>
    <t>Impact | Commencement Bay Elementary</t>
  </si>
  <si>
    <t>04901</t>
  </si>
  <si>
    <t>Pinnacles Prep Charter</t>
  </si>
  <si>
    <t>38901</t>
  </si>
  <si>
    <t>Pullman Community Montessori</t>
  </si>
  <si>
    <t>General Ed - Categorical - CTE - Skill Centers - January 2022 Apportionment</t>
  </si>
  <si>
    <t>A39
Enrollment Grades K-3</t>
  </si>
  <si>
    <t>Z458
Enroll CTE Total</t>
  </si>
  <si>
    <t>A16
Enroll Run Start</t>
  </si>
  <si>
    <t>A15
Enroll Run Start CTE</t>
  </si>
  <si>
    <t>A13
Enroll Reengage</t>
  </si>
  <si>
    <t>A14
Enroll Reengage CTE</t>
  </si>
  <si>
    <t>Enroll Total with RS Dropout ALE</t>
  </si>
  <si>
    <t>48X
LAP District Poverty %</t>
  </si>
  <si>
    <t>Enroll LAP at Schools Greater than 50% Poverty</t>
  </si>
  <si>
    <t>A53
Enroll TBIP K-12</t>
  </si>
  <si>
    <t>Mighty tab:</t>
  </si>
  <si>
    <t>enroll</t>
  </si>
  <si>
    <t>LAP_TBIP_HiCAP</t>
  </si>
  <si>
    <t>Excess Enroll SpEd Deduction</t>
  </si>
  <si>
    <t>CALCULATED</t>
  </si>
  <si>
    <t>Z067
LAP Students</t>
  </si>
  <si>
    <t>Total SpED K-21 Enroll</t>
  </si>
  <si>
    <t>Pinnacles Prep</t>
  </si>
  <si>
    <t>Why Not You Academy (formerly Cascade: Midway charter)</t>
  </si>
  <si>
    <t xml:space="preserve">Nespelem School District  </t>
  </si>
  <si>
    <t>4120pd
Total SpEd BEA PD</t>
  </si>
  <si>
    <t>Calendar Year 2022 Levy &amp; LEA (F780)</t>
  </si>
  <si>
    <t>SY 2021-22 Levy</t>
  </si>
  <si>
    <t>SY 2021-22 LEA</t>
  </si>
  <si>
    <t>District Level Comparison Budgets: 2022 Supplemental</t>
  </si>
  <si>
    <t>2021-22 School Year:</t>
  </si>
  <si>
    <t>All totals taken from January 2022 Apportionment.  These totals will not appear if "YES" is selected in row 5 to use caseload forecasted enrollment.</t>
  </si>
  <si>
    <t>Maintenance level calculations include assumed increases for IPD and the current law prototypical formula funding values; Note for SY 2022-23, maintenance level inflation is 2.8% and enacted rate is 5.5%.</t>
  </si>
  <si>
    <t>Select "YES",  "NO", or "F195F" in row 5.  "NO" in this selection will use enrollment from January 2022 apportionment (school year 2021-22) for all calculations.  "Yes" will use caseload projected enrollment for all districts will an enrollment higher than 100 AAFTE for SY 2020-21 in January 2022 Apportionment. "F195F" will use enrollment for all fields projected by districts in their four year budgeted system submitted by no later than September 2021, any fields not in projection tool will be held flat at SY 2021-22 AAFTE enrollment amount.</t>
  </si>
  <si>
    <t>Inflation Rates as of March 2022:</t>
  </si>
  <si>
    <t>Implicit Price Deflator (I.P.D.)</t>
  </si>
  <si>
    <t>Applied to LEA &amp; Levy per pupil inflators</t>
  </si>
  <si>
    <t>Applied to salary alloc, NATB, and MSOC</t>
  </si>
  <si>
    <t>4.7%*</t>
  </si>
  <si>
    <t>5.5%**</t>
  </si>
  <si>
    <t>*ESSB 5251 Levy CPI rate for 2022 CY is 5.2% with the most recent 12 month  period prior to 2022CY as of Sept 25 - Aug 2020 - Aug 2021</t>
  </si>
  <si>
    <t>HP Counselors (total not incr)</t>
  </si>
  <si>
    <t>Note on Compliance: All calculations within this tool assume maximum K-3 class size funding and maximim funding for all SEL ratios (Counselors, Health &amp; Social Services, Student &amp; Staff Safety, and Parent Involvement Coordinators).  While it is required, compliance impacts are not projected in this tool.  Please refer to posted individual Compliance Calculators and FAQ on the budget prep page for more information.</t>
  </si>
  <si>
    <t>*Note: The 2023-25 biennium running start rates are estimated based on current funding levels and are subject to change based on the 2023-25 biennium budget.</t>
  </si>
  <si>
    <t>Schools with a prior three year rolling average of greater than 50% are eligible for a LAP high poverty enhancement.  All students at eligible schools generate this funding, and the funding must be spent at the schools which generate it. 
Note: SY 2022-23 includes hold harmless language for LAP, for regular LAP, districts will be allowed to use SY 2019-20 FRPL % or SY 2021-22 FRPL%, whichever is greater. For HiPov Lap, if a school qualifies for HiPov Lap in SY 2021-22, but it is guarunteed to qualify in SY 2022-23
For more on LAP funding and on CEP hold harmless, see the "narrative" tab of the Preliminary Poverty Percentage file posted on the SAFS Budget Page</t>
  </si>
  <si>
    <t>Four year Budgeting Projection System used by Districts to report four year projections to OSPI.  This tool pulls K-12 enrollment projections for SY 2022-23 through SY 2024-25 out of this tool for an alternate enrollment growth option (Actual enrollment for SY 2021-22 is used in place of tool).  Selecting this option will keep SpEd, vocational, and categorical program enrollment FLAT as it is not collected in the F195F system at this time.</t>
  </si>
  <si>
    <t>Small District, Charter, Tribal Urban Support</t>
  </si>
  <si>
    <t>General Ed - Categorical - CTE - Skill Centers</t>
  </si>
  <si>
    <t xml:space="preserve">General Ed - Categorical - CTE - Skill Centers </t>
  </si>
  <si>
    <r>
      <rPr>
        <vertAlign val="superscript"/>
        <sz val="12"/>
        <color theme="1"/>
        <rFont val="Calibri"/>
        <family val="2"/>
        <scheme val="minor"/>
      </rPr>
      <t>3</t>
    </r>
    <r>
      <rPr>
        <sz val="12"/>
        <color theme="1"/>
        <rFont val="Calibri"/>
        <family val="2"/>
        <scheme val="minor"/>
      </rPr>
      <t>Poverty data as of October 1st, 2021 with changes made through March 14th used for all versions.  CEP and LAP and HiPov LAP hold harmless language included.</t>
    </r>
  </si>
  <si>
    <r>
      <t>Transportation</t>
    </r>
    <r>
      <rPr>
        <vertAlign val="superscript"/>
        <sz val="11"/>
        <color theme="1"/>
        <rFont val="Calibri"/>
        <family val="2"/>
        <scheme val="minor"/>
      </rPr>
      <t>5</t>
    </r>
  </si>
  <si>
    <r>
      <t>ESSER Funding</t>
    </r>
    <r>
      <rPr>
        <vertAlign val="superscript"/>
        <sz val="11"/>
        <color theme="1"/>
        <rFont val="Calibri"/>
        <family val="2"/>
        <scheme val="minor"/>
      </rPr>
      <t>9</t>
    </r>
  </si>
  <si>
    <r>
      <t>9</t>
    </r>
    <r>
      <rPr>
        <sz val="12"/>
        <color theme="1"/>
        <rFont val="Calibri"/>
        <family val="2"/>
        <scheme val="minor"/>
      </rPr>
      <t>ESSER funding not adjusted for any amounts previously claimed.</t>
    </r>
  </si>
  <si>
    <t>Total Enrollment used for Displayed Projections:</t>
  </si>
  <si>
    <r>
      <t xml:space="preserve">Notes: 
</t>
    </r>
    <r>
      <rPr>
        <b/>
        <i/>
        <sz val="11"/>
        <color theme="1"/>
        <rFont val="Calibri"/>
        <family val="2"/>
        <scheme val="minor"/>
      </rPr>
      <t xml:space="preserve">   </t>
    </r>
    <r>
      <rPr>
        <i/>
        <sz val="11"/>
        <color theme="1"/>
        <rFont val="Calibri"/>
        <family val="2"/>
        <scheme val="minor"/>
      </rPr>
      <t xml:space="preserve"> Stabilization amounts are not yet finalized and will be updated at a district level by May apportionment.</t>
    </r>
  </si>
  <si>
    <t>Small Dist Urban Support</t>
  </si>
  <si>
    <t>Stabilization Funding
SY 2021-22</t>
  </si>
  <si>
    <t>Enroll Stabilization 
SY 2021-22</t>
  </si>
  <si>
    <t>Transportation Safety Net
SY 2020-21</t>
  </si>
  <si>
    <r>
      <t>5</t>
    </r>
    <r>
      <rPr>
        <sz val="12"/>
        <color theme="1"/>
        <rFont val="Calibri"/>
        <family val="2"/>
        <scheme val="minor"/>
      </rPr>
      <t>OSPI is still working through the details of how the $13million transportation safety net will be allocated. This amount is included in the state total only.</t>
    </r>
  </si>
  <si>
    <t>Maintenance Budget</t>
  </si>
  <si>
    <t>All local Enrichment Levy calculations assume the smaller of the maximum authority in the associated budget bill or the current voter approved levy amount.  Calendar Year levies are estimated into school year amounts by a percentage of 52.62% the first school year and 47.38% the second school year collection in the model. Enrollment for outyears is projected on all versions using caseload forecast councel. To  model different enrichment levy &amp; LEA versions, see 4 year levy &amp; LEA projection tool on SAFS Budget Prep page.</t>
  </si>
  <si>
    <t>**IPD is currently forcasted at 2.8% for this time period, but the budget funds 5.5% to catch up to IPD inflation since the 2017-18 school year.</t>
  </si>
  <si>
    <t>SpED January Apportionment</t>
  </si>
  <si>
    <t>Total Apportionment &amp; Other Funding</t>
  </si>
  <si>
    <t>Total Funding Above</t>
  </si>
  <si>
    <t>Total Estimated Funding with ESSER</t>
  </si>
  <si>
    <t>TOTAL PER PUPIL FUNDING: All Including ESSER</t>
  </si>
  <si>
    <t>Total Funding Per Pupil (w/o ESSER, includes stabilization)</t>
  </si>
  <si>
    <r>
      <t>10</t>
    </r>
    <r>
      <rPr>
        <sz val="12"/>
        <color theme="1"/>
        <rFont val="Calibri"/>
        <family val="2"/>
        <scheme val="minor"/>
      </rPr>
      <t>Enrichment Levy &amp; LEA for Calendar Year 2022 amounts included in totals.  Estimates include Levy &amp; LEA stabilization amounts for CY 2022 &amp; CY 2023. Out year estimates use caseload forecast enrollment growth for all versions. For additional Levy and/or LEA projections or estimates, refer to the 4-year enrichment levy and LEA projection tool on SAFS Budget Prep page.</t>
    </r>
  </si>
  <si>
    <r>
      <t>Stabilization Funding</t>
    </r>
    <r>
      <rPr>
        <vertAlign val="superscript"/>
        <sz val="11"/>
        <color theme="1"/>
        <rFont val="Calibri"/>
        <family val="2"/>
        <scheme val="minor"/>
      </rPr>
      <t>5,11</t>
    </r>
  </si>
  <si>
    <r>
      <t>Local Effort Assistance (LEA)</t>
    </r>
    <r>
      <rPr>
        <vertAlign val="superscript"/>
        <sz val="11"/>
        <color theme="1"/>
        <rFont val="Calibri"/>
        <family val="2"/>
        <scheme val="minor"/>
      </rPr>
      <t>10,11</t>
    </r>
  </si>
  <si>
    <r>
      <t>M&amp;O Levy / Enrichment Levy</t>
    </r>
    <r>
      <rPr>
        <vertAlign val="superscript"/>
        <sz val="11"/>
        <color theme="1"/>
        <rFont val="Calibri"/>
        <family val="2"/>
        <scheme val="minor"/>
      </rPr>
      <t>6,10,11</t>
    </r>
  </si>
  <si>
    <r>
      <t>LAP Concentration</t>
    </r>
    <r>
      <rPr>
        <vertAlign val="superscript"/>
        <sz val="11"/>
        <color theme="1"/>
        <rFont val="Calibri"/>
        <family val="2"/>
        <scheme val="minor"/>
      </rPr>
      <t>3,11</t>
    </r>
  </si>
  <si>
    <r>
      <t>Learning Assistance Program (LAP)</t>
    </r>
    <r>
      <rPr>
        <vertAlign val="superscript"/>
        <sz val="11"/>
        <color theme="1"/>
        <rFont val="Calibri"/>
        <family val="2"/>
        <scheme val="minor"/>
      </rPr>
      <t>3,11</t>
    </r>
  </si>
  <si>
    <r>
      <t>11</t>
    </r>
    <r>
      <rPr>
        <sz val="12"/>
        <color theme="1"/>
        <rFont val="Calibri"/>
        <family val="2"/>
        <scheme val="minor"/>
      </rPr>
      <t>Stabilization funding for Local Effort Assistance, Learning Assistance Program (LAP), and Enrollment Stabilization is included. This funding is federal, not state. OSPI is currently in discussions with OFM and SAO to determine the reporting requirements for this federal funding. Please stay turned for more information. For the LAP program, please refer to the LAP Budget Calculator on the SAFS Bud Prep webpage to see funding split between regular and stabilization funding.</t>
    </r>
  </si>
  <si>
    <t>LEA Stabilization Funding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</si>
</sst>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_(* #,##0.000_);_(* \(#,##0.000\);_(* &quot;-&quot;??_);_(@_)"/>
    <numFmt numFmtId="165" formatCode="_(&quot;$&quot;* #,##0_);_(&quot;$&quot;* \(#,##0\);_(&quot;$&quot;* &quot;-&quot;??_);_(@_)"/>
    <numFmt numFmtId="166" formatCode="_(* #,##0_);_(* \(#,##0\);_(* &quot;-&quot;??_);_(@_)"/>
    <numFmt numFmtId="167" formatCode="0.0%"/>
    <numFmt numFmtId="168" formatCode="&quot;$&quot;#,##0.00"/>
    <numFmt numFmtId="169" formatCode="&quot;$&quot;#,##0"/>
    <numFmt numFmtId="170" formatCode="_(* #,##0.0_);_(* \(#,##0.0\);_(* &quot;-&quot;??_);_(@_)"/>
    <numFmt numFmtId="171" formatCode="_(* #,##0.000000_);_(* \(#,##0.000000\);_(* &quot;-&quot;??_);_(@_)"/>
    <numFmt numFmtId="172" formatCode="0.000"/>
    <numFmt numFmtId="173" formatCode="0.00000"/>
    <numFmt numFmtId="174" formatCode="0.0000"/>
    <numFmt numFmtId="175" formatCode="0.000%"/>
    <numFmt numFmtId="176" formatCode="_(* #,##0.00000_);_(* \(#,##0.00000\);_(* &quot;-&quot;??_);_(@_)"/>
    <numFmt numFmtId="177" formatCode="#,##0.0"/>
  </numFmts>
  <fonts count="84">
    <font>
      <sz val="11"/>
      <color theme="1"/>
      <name val="Calibri"/>
      <family val="2"/>
      <scheme val="minor"/>
    </font>
    <font>
      <sz val="11"/>
      <color theme="1"/>
      <name val="Calibri"/>
      <family val="2"/>
      <scheme val="minor"/>
    </font>
    <font>
      <b/>
      <sz val="11"/>
      <name val="Calibri"/>
      <family val="2"/>
    </font>
    <font>
      <sz val="10"/>
      <name val="SWISS"/>
    </font>
    <font>
      <sz val="11"/>
      <name val="Calibri"/>
      <family val="2"/>
    </font>
    <font>
      <sz val="12"/>
      <name val="Arial"/>
      <family val="2"/>
    </font>
    <font>
      <b/>
      <sz val="10"/>
      <name val="SWISS"/>
    </font>
    <font>
      <b/>
      <sz val="11"/>
      <color theme="1"/>
      <name val="Calibri"/>
      <family val="2"/>
      <scheme val="minor"/>
    </font>
    <font>
      <sz val="8"/>
      <color theme="2" tint="-0.249977111117893"/>
      <name val="Calibri"/>
      <family val="2"/>
      <scheme val="minor"/>
    </font>
    <font>
      <b/>
      <sz val="16"/>
      <name val="Calibri"/>
      <family val="2"/>
      <scheme val="minor"/>
    </font>
    <font>
      <sz val="8"/>
      <color theme="4" tint="0.39997558519241921"/>
      <name val="Calibri"/>
      <family val="2"/>
      <scheme val="minor"/>
    </font>
    <font>
      <sz val="8"/>
      <color theme="6"/>
      <name val="Calibri"/>
      <family val="2"/>
      <scheme val="minor"/>
    </font>
    <font>
      <i/>
      <sz val="11"/>
      <color theme="1"/>
      <name val="Calibri"/>
      <family val="2"/>
      <scheme val="minor"/>
    </font>
    <font>
      <b/>
      <u/>
      <sz val="11"/>
      <color theme="1"/>
      <name val="Calibri"/>
      <family val="2"/>
      <scheme val="minor"/>
    </font>
    <font>
      <sz val="8"/>
      <color theme="1"/>
      <name val="Calibri"/>
      <family val="2"/>
      <scheme val="minor"/>
    </font>
    <font>
      <sz val="10"/>
      <color theme="1"/>
      <name val="Calibri"/>
      <family val="2"/>
      <scheme val="minor"/>
    </font>
    <font>
      <sz val="8"/>
      <name val="Calibri"/>
      <family val="2"/>
      <scheme val="minor"/>
    </font>
    <font>
      <sz val="11"/>
      <name val="Calibri"/>
      <family val="2"/>
      <scheme val="minor"/>
    </font>
    <font>
      <sz val="10"/>
      <name val="Arial"/>
      <family val="2"/>
    </font>
    <font>
      <sz val="10"/>
      <name val="Calibri"/>
      <family val="2"/>
      <scheme val="minor"/>
    </font>
    <font>
      <sz val="10"/>
      <color indexed="8"/>
      <name val="MS Sans Serif"/>
    </font>
    <font>
      <sz val="10"/>
      <color theme="1"/>
      <name val="Tw Cen MT"/>
      <family val="2"/>
    </font>
    <font>
      <sz val="10"/>
      <name val="Calibri Light"/>
      <family val="2"/>
      <scheme val="major"/>
    </font>
    <font>
      <sz val="8"/>
      <color theme="1"/>
      <name val="Calibri Light"/>
      <family val="2"/>
      <scheme val="major"/>
    </font>
    <font>
      <sz val="8"/>
      <name val="Calibri Light"/>
      <family val="2"/>
      <scheme val="major"/>
    </font>
    <font>
      <sz val="10"/>
      <name val="Tw Cen MT"/>
      <family val="2"/>
    </font>
    <font>
      <sz val="8"/>
      <color theme="1"/>
      <name val="Tw Cen MT"/>
      <family val="2"/>
    </font>
    <font>
      <sz val="8"/>
      <color theme="6"/>
      <name val="Calibri Light"/>
      <family val="2"/>
      <scheme val="major"/>
    </font>
    <font>
      <b/>
      <sz val="10"/>
      <name val="Calibri"/>
      <family val="2"/>
      <scheme val="minor"/>
    </font>
    <font>
      <b/>
      <sz val="10"/>
      <color theme="0"/>
      <name val="Calibri"/>
      <family val="2"/>
      <scheme val="minor"/>
    </font>
    <font>
      <b/>
      <sz val="10"/>
      <color theme="0"/>
      <name val="Tw Cen MT"/>
      <family val="2"/>
    </font>
    <font>
      <b/>
      <u/>
      <sz val="14"/>
      <color theme="1"/>
      <name val="Calibri"/>
      <family val="2"/>
      <scheme val="minor"/>
    </font>
    <font>
      <sz val="8"/>
      <color theme="8"/>
      <name val="Calibri"/>
      <family val="2"/>
      <scheme val="minor"/>
    </font>
    <font>
      <b/>
      <sz val="10"/>
      <color rgb="FFC00000"/>
      <name val="Calibri"/>
      <family val="2"/>
    </font>
    <font>
      <vertAlign val="superscript"/>
      <sz val="11"/>
      <color theme="1"/>
      <name val="Calibri"/>
      <family val="2"/>
      <scheme val="minor"/>
    </font>
    <font>
      <b/>
      <sz val="18"/>
      <color theme="1"/>
      <name val="Calibri"/>
      <family val="2"/>
      <scheme val="minor"/>
    </font>
    <font>
      <b/>
      <sz val="22"/>
      <color theme="1"/>
      <name val="Calibri"/>
      <family val="2"/>
      <scheme val="minor"/>
    </font>
    <font>
      <b/>
      <sz val="10"/>
      <color rgb="FFFF0000"/>
      <name val="Calibri"/>
      <family val="2"/>
    </font>
    <font>
      <b/>
      <sz val="14"/>
      <name val="Calibri"/>
      <family val="2"/>
      <scheme val="minor"/>
    </font>
    <font>
      <b/>
      <sz val="11"/>
      <name val="Calibri"/>
      <family val="2"/>
      <scheme val="minor"/>
    </font>
    <font>
      <b/>
      <sz val="14"/>
      <color theme="3" tint="0.59999389629810485"/>
      <name val="Calibri"/>
      <family val="2"/>
      <scheme val="minor"/>
    </font>
    <font>
      <b/>
      <sz val="16"/>
      <color theme="9"/>
      <name val="Calibri"/>
      <family val="2"/>
    </font>
    <font>
      <b/>
      <sz val="11"/>
      <color rgb="FF1F497D"/>
      <name val="Calibri"/>
      <family val="2"/>
      <scheme val="minor"/>
    </font>
    <font>
      <b/>
      <sz val="11"/>
      <color theme="0"/>
      <name val="Calibri"/>
      <family val="2"/>
      <scheme val="minor"/>
    </font>
    <font>
      <b/>
      <sz val="11"/>
      <color theme="9" tint="-0.249977111117893"/>
      <name val="Calibri"/>
      <family val="2"/>
      <scheme val="minor"/>
    </font>
    <font>
      <b/>
      <u/>
      <sz val="11"/>
      <name val="Calibri"/>
      <family val="2"/>
      <scheme val="minor"/>
    </font>
    <font>
      <i/>
      <sz val="10"/>
      <color theme="1"/>
      <name val="Calibri"/>
      <family val="2"/>
      <scheme val="minor"/>
    </font>
    <font>
      <sz val="11"/>
      <name val="Calibri"/>
      <family val="2"/>
    </font>
    <font>
      <u/>
      <sz val="11"/>
      <color theme="1"/>
      <name val="Calibri"/>
      <family val="2"/>
      <scheme val="minor"/>
    </font>
    <font>
      <u val="singleAccounting"/>
      <sz val="11"/>
      <color theme="1"/>
      <name val="Calibri"/>
      <family val="2"/>
      <scheme val="minor"/>
    </font>
    <font>
      <b/>
      <sz val="11"/>
      <color rgb="FFFF0000"/>
      <name val="Calibri"/>
      <family val="2"/>
      <scheme val="minor"/>
    </font>
    <font>
      <i/>
      <sz val="11"/>
      <name val="Calibri"/>
      <family val="2"/>
      <scheme val="minor"/>
    </font>
    <font>
      <sz val="11"/>
      <color theme="0"/>
      <name val="Calibri"/>
      <family val="2"/>
      <scheme val="minor"/>
    </font>
    <font>
      <b/>
      <sz val="16"/>
      <color theme="9" tint="-0.249977111117893"/>
      <name val="Calibri"/>
      <family val="2"/>
    </font>
    <font>
      <b/>
      <i/>
      <u/>
      <sz val="18"/>
      <color theme="1"/>
      <name val="Calibri"/>
      <family val="2"/>
      <scheme val="minor"/>
    </font>
    <font>
      <b/>
      <i/>
      <u/>
      <sz val="11"/>
      <color theme="1"/>
      <name val="Calibri"/>
      <family val="2"/>
      <scheme val="minor"/>
    </font>
    <font>
      <b/>
      <sz val="16"/>
      <color theme="0"/>
      <name val="Calibri"/>
      <family val="2"/>
      <scheme val="minor"/>
    </font>
    <font>
      <b/>
      <i/>
      <sz val="11"/>
      <color theme="1"/>
      <name val="Calibri"/>
      <family val="2"/>
      <scheme val="minor"/>
    </font>
    <font>
      <sz val="10"/>
      <color theme="4"/>
      <name val="Calibri"/>
      <family val="2"/>
      <scheme val="minor"/>
    </font>
    <font>
      <sz val="10"/>
      <name val="Arial MT"/>
    </font>
    <font>
      <b/>
      <sz val="14"/>
      <name val="Swiss"/>
    </font>
    <font>
      <sz val="18"/>
      <name val="SWISS"/>
    </font>
    <font>
      <sz val="10"/>
      <name val="DUTCH"/>
    </font>
    <font>
      <sz val="11"/>
      <color theme="4"/>
      <name val="Calibri"/>
      <family val="2"/>
      <scheme val="minor"/>
    </font>
    <font>
      <b/>
      <sz val="14"/>
      <color rgb="FFFF0000"/>
      <name val="Calibri"/>
      <family val="2"/>
    </font>
    <font>
      <b/>
      <sz val="36"/>
      <name val="Calibri"/>
      <family val="2"/>
      <scheme val="minor"/>
    </font>
    <font>
      <b/>
      <sz val="36"/>
      <color rgb="FFFF0000"/>
      <name val="Calibri"/>
      <family val="2"/>
      <scheme val="minor"/>
    </font>
    <font>
      <sz val="9"/>
      <color theme="1"/>
      <name val="Calibri"/>
      <family val="2"/>
      <scheme val="minor"/>
    </font>
    <font>
      <b/>
      <sz val="12"/>
      <color rgb="FF1F497D"/>
      <name val="Calibri"/>
      <family val="2"/>
      <scheme val="minor"/>
    </font>
    <font>
      <u/>
      <sz val="10"/>
      <color theme="1"/>
      <name val="Calibri"/>
      <family val="2"/>
      <scheme val="minor"/>
    </font>
    <font>
      <b/>
      <sz val="10"/>
      <color indexed="8"/>
      <name val="Arial MT"/>
    </font>
    <font>
      <b/>
      <sz val="10"/>
      <color indexed="8"/>
      <name val="Arial MT"/>
      <family val="2"/>
    </font>
    <font>
      <b/>
      <sz val="10.5"/>
      <color rgb="FFFF0000"/>
      <name val="Calibri"/>
      <family val="2"/>
      <scheme val="minor"/>
    </font>
    <font>
      <b/>
      <sz val="26"/>
      <name val="Calibri"/>
      <family val="2"/>
      <scheme val="minor"/>
    </font>
    <font>
      <b/>
      <sz val="12"/>
      <color theme="1"/>
      <name val="Calibri"/>
      <family val="2"/>
      <scheme val="minor"/>
    </font>
    <font>
      <b/>
      <sz val="16"/>
      <color rgb="FFFF0000"/>
      <name val="Calibri"/>
      <family val="2"/>
      <scheme val="minor"/>
    </font>
    <font>
      <b/>
      <u/>
      <sz val="8"/>
      <color theme="1"/>
      <name val="Calibri"/>
      <family val="2"/>
      <scheme val="minor"/>
    </font>
    <font>
      <b/>
      <sz val="11"/>
      <color theme="4"/>
      <name val="Calibri"/>
      <family val="2"/>
      <scheme val="minor"/>
    </font>
    <font>
      <sz val="9"/>
      <color rgb="FF00B0F0"/>
      <name val="Calibri"/>
      <family val="2"/>
      <scheme val="minor"/>
    </font>
    <font>
      <sz val="12"/>
      <color theme="1"/>
      <name val="Calibri"/>
      <family val="2"/>
      <scheme val="minor"/>
    </font>
    <font>
      <vertAlign val="superscript"/>
      <sz val="12"/>
      <color theme="1"/>
      <name val="Calibri"/>
      <family val="2"/>
      <scheme val="minor"/>
    </font>
    <font>
      <sz val="12"/>
      <name val="Calibri Light"/>
      <family val="2"/>
      <scheme val="major"/>
    </font>
    <font>
      <sz val="9"/>
      <color theme="4"/>
      <name val="Calibri"/>
      <family val="2"/>
      <scheme val="minor"/>
    </font>
    <font>
      <b/>
      <i/>
      <u/>
      <sz val="11"/>
      <name val="Calibri"/>
      <family val="2"/>
      <scheme val="minor"/>
    </font>
  </fonts>
  <fills count="26">
    <fill>
      <patternFill patternType="none"/>
    </fill>
    <fill>
      <patternFill patternType="gray125"/>
    </fill>
    <fill>
      <patternFill patternType="solid">
        <fgColor theme="9" tint="0.79998168889431442"/>
        <bgColor indexed="64"/>
      </patternFill>
    </fill>
    <fill>
      <patternFill patternType="solid">
        <fgColor theme="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9"/>
        <bgColor indexed="64"/>
      </patternFill>
    </fill>
    <fill>
      <patternFill patternType="solid">
        <fgColor theme="8"/>
        <bgColor indexed="64"/>
      </patternFill>
    </fill>
    <fill>
      <patternFill patternType="solid">
        <fgColor theme="6"/>
        <bgColor indexed="64"/>
      </patternFill>
    </fill>
    <fill>
      <patternFill patternType="solid">
        <fgColor rgb="FFFDECE9"/>
        <bgColor indexed="64"/>
      </patternFill>
    </fill>
    <fill>
      <patternFill patternType="solid">
        <fgColor rgb="FFFDE7E3"/>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8" tint="-0.499984740745262"/>
        <bgColor indexed="64"/>
      </patternFill>
    </fill>
    <fill>
      <patternFill patternType="solid">
        <fgColor theme="0" tint="-4.9989318521683403E-2"/>
        <bgColor indexed="64"/>
      </patternFill>
    </fill>
    <fill>
      <patternFill patternType="solid">
        <fgColor theme="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39997558519241921"/>
        <bgColor indexed="64"/>
      </patternFill>
    </fill>
    <fill>
      <patternFill patternType="solid">
        <fgColor theme="2" tint="-9.9978637043366805E-2"/>
        <bgColor indexed="64"/>
      </patternFill>
    </fill>
  </fills>
  <borders count="42">
    <border>
      <left/>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style="thin">
        <color theme="0" tint="-0.499984740745262"/>
      </left>
      <right/>
      <top style="medium">
        <color theme="0" tint="-0.499984740745262"/>
      </top>
      <bottom/>
      <diagonal/>
    </border>
    <border>
      <left style="medium">
        <color theme="0" tint="-0.499984740745262"/>
      </left>
      <right/>
      <top/>
      <bottom/>
      <diagonal/>
    </border>
    <border>
      <left style="thin">
        <color theme="0" tint="-0.499984740745262"/>
      </left>
      <right/>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medium">
        <color indexed="64"/>
      </bottom>
      <diagonal/>
    </border>
    <border>
      <left/>
      <right style="thick">
        <color theme="0"/>
      </right>
      <top/>
      <bottom/>
      <diagonal/>
    </border>
    <border>
      <left/>
      <right style="thin">
        <color theme="4"/>
      </right>
      <top/>
      <bottom/>
      <diagonal/>
    </border>
    <border>
      <left style="thin">
        <color theme="9" tint="0.59996337778862885"/>
      </left>
      <right style="thin">
        <color theme="9" tint="0.59996337778862885"/>
      </right>
      <top/>
      <bottom style="thin">
        <color theme="9" tint="0.59996337778862885"/>
      </bottom>
      <diagonal/>
    </border>
    <border>
      <left style="thin">
        <color theme="9" tint="0.59996337778862885"/>
      </left>
      <right style="thick">
        <color theme="0"/>
      </right>
      <top/>
      <bottom style="thin">
        <color theme="9" tint="0.59996337778862885"/>
      </bottom>
      <diagonal/>
    </border>
    <border>
      <left style="thick">
        <color theme="0"/>
      </left>
      <right style="thin">
        <color theme="9" tint="0.59996337778862885"/>
      </right>
      <top/>
      <bottom style="thin">
        <color theme="9" tint="0.59996337778862885"/>
      </bottom>
      <diagonal/>
    </border>
    <border>
      <left style="thin">
        <color theme="9" tint="0.59996337778862885"/>
      </left>
      <right style="thin">
        <color theme="4"/>
      </right>
      <top/>
      <bottom style="thin">
        <color theme="9" tint="0.59996337778862885"/>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thin">
        <color theme="9" tint="0.59996337778862885"/>
      </left>
      <right style="thick">
        <color theme="0"/>
      </right>
      <top style="thin">
        <color theme="9" tint="0.59996337778862885"/>
      </top>
      <bottom style="thin">
        <color theme="9" tint="0.59996337778862885"/>
      </bottom>
      <diagonal/>
    </border>
    <border>
      <left style="thick">
        <color theme="0"/>
      </left>
      <right style="thin">
        <color theme="9" tint="0.59996337778862885"/>
      </right>
      <top style="thin">
        <color theme="9" tint="0.59996337778862885"/>
      </top>
      <bottom style="thin">
        <color theme="9" tint="0.59996337778862885"/>
      </bottom>
      <diagonal/>
    </border>
    <border>
      <left style="thin">
        <color theme="9" tint="0.59996337778862885"/>
      </left>
      <right style="thin">
        <color theme="4"/>
      </right>
      <top style="thin">
        <color theme="9" tint="0.59996337778862885"/>
      </top>
      <bottom style="thin">
        <color theme="9" tint="0.59996337778862885"/>
      </bottom>
      <diagonal/>
    </border>
    <border>
      <left/>
      <right style="medium">
        <color theme="0"/>
      </right>
      <top/>
      <bottom/>
      <diagonal/>
    </border>
    <border>
      <left style="thin">
        <color theme="9" tint="0.59996337778862885"/>
      </left>
      <right/>
      <top style="thin">
        <color theme="9" tint="0.59996337778862885"/>
      </top>
      <bottom style="thin">
        <color theme="9" tint="0.59996337778862885"/>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auto="1"/>
      </left>
      <right/>
      <top/>
      <bottom/>
      <diagonal/>
    </border>
    <border>
      <left/>
      <right style="hair">
        <color auto="1"/>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9" tint="0.59996337778862885"/>
      </left>
      <right/>
      <top/>
      <bottom style="thin">
        <color theme="9" tint="0.59996337778862885"/>
      </bottom>
      <diagonal/>
    </border>
    <border>
      <left style="medium">
        <color theme="0" tint="-0.499984740745262"/>
      </left>
      <right style="medium">
        <color theme="0" tint="-0.499984740745262"/>
      </right>
      <top style="medium">
        <color theme="0" tint="-0.499984740745262"/>
      </top>
      <bottom/>
      <diagonal/>
    </border>
    <border>
      <left style="medium">
        <color theme="0" tint="-0.499984740745262"/>
      </left>
      <right style="medium">
        <color theme="0" tint="-0.499984740745262"/>
      </right>
      <top/>
      <bottom/>
      <diagonal/>
    </border>
    <border>
      <left style="medium">
        <color theme="0" tint="-0.499984740745262"/>
      </left>
      <right/>
      <top style="thin">
        <color indexed="64"/>
      </top>
      <bottom style="medium">
        <color theme="0" tint="-0.499984740745262"/>
      </bottom>
      <diagonal/>
    </border>
    <border>
      <left/>
      <right/>
      <top style="thin">
        <color indexed="64"/>
      </top>
      <bottom style="medium">
        <color theme="0" tint="-0.499984740745262"/>
      </bottom>
      <diagonal/>
    </border>
    <border>
      <left/>
      <right/>
      <top style="thin">
        <color indexed="64"/>
      </top>
      <bottom style="medium">
        <color indexed="64"/>
      </bottom>
      <diagonal/>
    </border>
  </borders>
  <cellStyleXfs count="24">
    <xf numFmtId="0" fontId="0" fillId="0" borderId="0"/>
    <xf numFmtId="43" fontId="1" fillId="0" borderId="0" applyFont="0" applyFill="0" applyBorder="0" applyAlignment="0" applyProtection="0"/>
    <xf numFmtId="0" fontId="5" fillId="0" borderId="0"/>
    <xf numFmtId="44" fontId="1" fillId="0" borderId="0" applyFont="0" applyFill="0" applyBorder="0" applyAlignment="0" applyProtection="0"/>
    <xf numFmtId="9" fontId="1" fillId="0" borderId="0" applyFont="0" applyFill="0" applyBorder="0" applyAlignment="0" applyProtection="0"/>
    <xf numFmtId="0" fontId="18" fillId="0" borderId="0"/>
    <xf numFmtId="9" fontId="18" fillId="0" borderId="0" applyFont="0" applyFill="0" applyBorder="0" applyAlignment="0" applyProtection="0"/>
    <xf numFmtId="0" fontId="1" fillId="0" borderId="0"/>
    <xf numFmtId="0" fontId="4" fillId="0" borderId="0"/>
    <xf numFmtId="0" fontId="20" fillId="0" borderId="0"/>
    <xf numFmtId="0" fontId="1" fillId="0" borderId="0"/>
    <xf numFmtId="0" fontId="1" fillId="0" borderId="0"/>
    <xf numFmtId="43" fontId="18" fillId="0" borderId="0" applyFont="0" applyFill="0" applyBorder="0" applyAlignment="0" applyProtection="0"/>
    <xf numFmtId="0" fontId="21" fillId="0" borderId="0"/>
    <xf numFmtId="43" fontId="21" fillId="0" borderId="0" applyFont="0" applyFill="0" applyBorder="0" applyAlignment="0" applyProtection="0"/>
    <xf numFmtId="44" fontId="21" fillId="0" borderId="0" applyFont="0" applyFill="0" applyBorder="0" applyAlignment="0" applyProtection="0"/>
    <xf numFmtId="9" fontId="21" fillId="0" borderId="0" applyFont="0" applyFill="0" applyBorder="0" applyAlignment="0" applyProtection="0"/>
    <xf numFmtId="0" fontId="47" fillId="0" borderId="0"/>
    <xf numFmtId="9" fontId="4" fillId="0" borderId="0" applyFont="0" applyFill="0" applyBorder="0" applyAlignment="0" applyProtection="0"/>
    <xf numFmtId="0" fontId="59" fillId="0" borderId="0"/>
    <xf numFmtId="0" fontId="62" fillId="0" borderId="0"/>
    <xf numFmtId="0" fontId="1" fillId="0" borderId="0"/>
    <xf numFmtId="43" fontId="18" fillId="0" borderId="0" applyFont="0" applyFill="0" applyBorder="0" applyAlignment="0" applyProtection="0"/>
    <xf numFmtId="0" fontId="1" fillId="0" borderId="0"/>
  </cellStyleXfs>
  <cellXfs count="492">
    <xf numFmtId="0" fontId="0" fillId="0" borderId="0" xfId="0"/>
    <xf numFmtId="0" fontId="2" fillId="0" borderId="0" xfId="0" applyNumberFormat="1" applyFont="1" applyAlignment="1">
      <alignment wrapText="1"/>
    </xf>
    <xf numFmtId="0" fontId="0" fillId="0" borderId="0" xfId="0" applyNumberFormat="1" applyFont="1"/>
    <xf numFmtId="43" fontId="0" fillId="0" borderId="0" xfId="1" applyFont="1"/>
    <xf numFmtId="43" fontId="0" fillId="0" borderId="0" xfId="0" applyNumberFormat="1"/>
    <xf numFmtId="43" fontId="2" fillId="0" borderId="0" xfId="0" applyNumberFormat="1" applyFont="1" applyAlignment="1">
      <alignment wrapText="1"/>
    </xf>
    <xf numFmtId="0" fontId="4" fillId="0" borderId="0" xfId="0" applyNumberFormat="1" applyFont="1" applyAlignment="1">
      <alignment wrapText="1"/>
    </xf>
    <xf numFmtId="0" fontId="6" fillId="0" borderId="0" xfId="2" applyNumberFormat="1" applyFont="1" applyFill="1" applyBorder="1" applyAlignment="1">
      <alignment horizontal="right" wrapText="1"/>
    </xf>
    <xf numFmtId="0" fontId="8" fillId="0" borderId="0" xfId="0" applyFont="1" applyAlignment="1">
      <alignment horizontal="center"/>
    </xf>
    <xf numFmtId="0" fontId="9" fillId="0" borderId="0" xfId="0" applyFont="1" applyAlignment="1">
      <alignment horizontal="left"/>
    </xf>
    <xf numFmtId="0" fontId="10" fillId="0" borderId="0" xfId="0" applyFont="1" applyAlignment="1">
      <alignment horizontal="center"/>
    </xf>
    <xf numFmtId="0" fontId="12" fillId="0" borderId="0" xfId="0" applyFont="1"/>
    <xf numFmtId="0" fontId="0" fillId="0" borderId="0" xfId="0" applyFont="1"/>
    <xf numFmtId="0" fontId="11" fillId="5" borderId="0" xfId="0" applyFont="1" applyFill="1" applyBorder="1" applyAlignment="1">
      <alignment horizontal="center"/>
    </xf>
    <xf numFmtId="43" fontId="0" fillId="3" borderId="1" xfId="0" quotePrefix="1" applyNumberFormat="1" applyFill="1" applyBorder="1"/>
    <xf numFmtId="43" fontId="0" fillId="3" borderId="2" xfId="0" applyNumberFormat="1" applyFont="1" applyFill="1" applyBorder="1"/>
    <xf numFmtId="43" fontId="0" fillId="4" borderId="2" xfId="1" applyNumberFormat="1" applyFont="1" applyFill="1" applyBorder="1"/>
    <xf numFmtId="43" fontId="0" fillId="4" borderId="3" xfId="1" applyNumberFormat="1" applyFont="1" applyFill="1" applyBorder="1"/>
    <xf numFmtId="0" fontId="0" fillId="0" borderId="4" xfId="0" applyFont="1" applyBorder="1"/>
    <xf numFmtId="0" fontId="0" fillId="0" borderId="0" xfId="0" applyFont="1" applyBorder="1"/>
    <xf numFmtId="0" fontId="0" fillId="0" borderId="5" xfId="0" applyFont="1" applyBorder="1"/>
    <xf numFmtId="0" fontId="14" fillId="0" borderId="0" xfId="0" applyFont="1"/>
    <xf numFmtId="43" fontId="15" fillId="0" borderId="0" xfId="1" applyFont="1" applyBorder="1"/>
    <xf numFmtId="43" fontId="15" fillId="0" borderId="5" xfId="1" applyFont="1" applyBorder="1"/>
    <xf numFmtId="2" fontId="15" fillId="0" borderId="0" xfId="4" applyNumberFormat="1" applyFont="1" applyBorder="1"/>
    <xf numFmtId="10" fontId="15" fillId="0" borderId="0" xfId="4" applyNumberFormat="1" applyFont="1" applyBorder="1"/>
    <xf numFmtId="0" fontId="17" fillId="0" borderId="0" xfId="0" applyFont="1"/>
    <xf numFmtId="0" fontId="0" fillId="0" borderId="0" xfId="0" applyBorder="1"/>
    <xf numFmtId="43" fontId="0" fillId="4" borderId="2" xfId="1" applyFont="1" applyFill="1" applyBorder="1"/>
    <xf numFmtId="0" fontId="19" fillId="0" borderId="0" xfId="8" applyFont="1"/>
    <xf numFmtId="44" fontId="0" fillId="0" borderId="0" xfId="3" applyFont="1"/>
    <xf numFmtId="165" fontId="0" fillId="0" borderId="0" xfId="3" applyNumberFormat="1" applyFont="1"/>
    <xf numFmtId="43" fontId="22" fillId="0" borderId="10" xfId="1" applyFont="1" applyFill="1" applyBorder="1" applyAlignment="1">
      <alignment horizontal="left" wrapText="1"/>
    </xf>
    <xf numFmtId="43" fontId="19" fillId="0" borderId="10" xfId="1" applyFont="1" applyFill="1" applyBorder="1" applyAlignment="1">
      <alignment horizontal="center" wrapText="1"/>
    </xf>
    <xf numFmtId="43" fontId="22" fillId="0" borderId="10" xfId="1" applyFont="1" applyFill="1" applyBorder="1" applyAlignment="1">
      <alignment horizontal="center" wrapText="1"/>
    </xf>
    <xf numFmtId="43" fontId="23" fillId="0" borderId="0" xfId="1" applyFont="1"/>
    <xf numFmtId="0" fontId="24" fillId="0" borderId="0" xfId="0" applyFont="1" applyFill="1" applyAlignment="1">
      <alignment horizontal="center"/>
    </xf>
    <xf numFmtId="0" fontId="22" fillId="6" borderId="0" xfId="0" quotePrefix="1" applyFont="1" applyFill="1"/>
    <xf numFmtId="0" fontId="22" fillId="6" borderId="0" xfId="0" applyFont="1" applyFill="1"/>
    <xf numFmtId="37" fontId="25" fillId="6" borderId="0" xfId="0" applyNumberFormat="1" applyFont="1" applyFill="1" applyAlignment="1">
      <alignment horizontal="center"/>
    </xf>
    <xf numFmtId="49" fontId="25" fillId="6" borderId="0" xfId="0" applyNumberFormat="1" applyFont="1" applyFill="1" applyAlignment="1">
      <alignment horizontal="center"/>
    </xf>
    <xf numFmtId="165" fontId="26" fillId="6" borderId="0" xfId="3" applyNumberFormat="1" applyFont="1" applyFill="1"/>
    <xf numFmtId="0" fontId="22" fillId="0" borderId="0" xfId="0" applyFont="1"/>
    <xf numFmtId="37" fontId="25" fillId="0" borderId="0" xfId="0" applyNumberFormat="1" applyFont="1" applyAlignment="1">
      <alignment horizontal="center"/>
    </xf>
    <xf numFmtId="49" fontId="25" fillId="0" borderId="0" xfId="0" applyNumberFormat="1" applyFont="1" applyAlignment="1">
      <alignment horizontal="center"/>
    </xf>
    <xf numFmtId="166" fontId="27" fillId="0" borderId="0" xfId="1" applyNumberFormat="1" applyFont="1" applyFill="1" applyBorder="1" applyAlignment="1">
      <alignment horizontal="left" wrapText="1"/>
    </xf>
    <xf numFmtId="0" fontId="28" fillId="0" borderId="0" xfId="8" applyFont="1"/>
    <xf numFmtId="0" fontId="21" fillId="0" borderId="0" xfId="13"/>
    <xf numFmtId="0" fontId="28" fillId="0" borderId="0" xfId="8" applyFont="1" applyAlignment="1">
      <alignment horizontal="right" wrapText="1"/>
    </xf>
    <xf numFmtId="0" fontId="28" fillId="0" borderId="0" xfId="8" applyFont="1" applyAlignment="1">
      <alignment horizontal="center" wrapText="1"/>
    </xf>
    <xf numFmtId="0" fontId="30" fillId="7" borderId="0" xfId="13" applyFont="1" applyFill="1" applyBorder="1" applyAlignment="1">
      <alignment horizontal="center"/>
    </xf>
    <xf numFmtId="0" fontId="30" fillId="7" borderId="11" xfId="13" applyFont="1" applyFill="1" applyBorder="1" applyAlignment="1">
      <alignment horizontal="center"/>
    </xf>
    <xf numFmtId="0" fontId="30" fillId="8" borderId="0" xfId="13" applyFont="1" applyFill="1" applyBorder="1" applyAlignment="1">
      <alignment horizontal="center"/>
    </xf>
    <xf numFmtId="0" fontId="30" fillId="9" borderId="0" xfId="13" applyFont="1" applyFill="1" applyBorder="1" applyAlignment="1">
      <alignment horizontal="center"/>
    </xf>
    <xf numFmtId="0" fontId="30" fillId="9" borderId="11" xfId="13" applyFont="1" applyFill="1" applyBorder="1" applyAlignment="1">
      <alignment horizontal="center"/>
    </xf>
    <xf numFmtId="0" fontId="19" fillId="0" borderId="0" xfId="8" applyFont="1" applyBorder="1"/>
    <xf numFmtId="0" fontId="19" fillId="0" borderId="11" xfId="8" applyFont="1" applyBorder="1"/>
    <xf numFmtId="0" fontId="19" fillId="0" borderId="0" xfId="8" quotePrefix="1" applyFont="1"/>
    <xf numFmtId="165" fontId="19" fillId="10" borderId="13" xfId="8" applyNumberFormat="1" applyFont="1" applyFill="1" applyBorder="1"/>
    <xf numFmtId="165" fontId="19" fillId="10" borderId="14" xfId="8" applyNumberFormat="1" applyFont="1" applyFill="1" applyBorder="1"/>
    <xf numFmtId="165" fontId="19" fillId="11" borderId="15" xfId="8" applyNumberFormat="1" applyFont="1" applyFill="1" applyBorder="1"/>
    <xf numFmtId="165" fontId="19" fillId="11" borderId="16" xfId="8" applyNumberFormat="1" applyFont="1" applyFill="1" applyBorder="1"/>
    <xf numFmtId="165" fontId="19" fillId="12" borderId="13" xfId="8" applyNumberFormat="1" applyFont="1" applyFill="1" applyBorder="1"/>
    <xf numFmtId="165" fontId="19" fillId="10" borderId="17" xfId="8" applyNumberFormat="1" applyFont="1" applyFill="1" applyBorder="1"/>
    <xf numFmtId="165" fontId="19" fillId="10" borderId="18" xfId="8" applyNumberFormat="1" applyFont="1" applyFill="1" applyBorder="1"/>
    <xf numFmtId="165" fontId="19" fillId="11" borderId="19" xfId="8" applyNumberFormat="1" applyFont="1" applyFill="1" applyBorder="1"/>
    <xf numFmtId="165" fontId="19" fillId="11" borderId="20" xfId="8" applyNumberFormat="1" applyFont="1" applyFill="1" applyBorder="1"/>
    <xf numFmtId="165" fontId="19" fillId="12" borderId="17" xfId="8" applyNumberFormat="1" applyFont="1" applyFill="1" applyBorder="1"/>
    <xf numFmtId="165" fontId="19" fillId="12" borderId="18" xfId="8" applyNumberFormat="1" applyFont="1" applyFill="1" applyBorder="1"/>
    <xf numFmtId="165" fontId="19" fillId="12" borderId="19" xfId="8" applyNumberFormat="1" applyFont="1" applyFill="1" applyBorder="1"/>
    <xf numFmtId="165" fontId="19" fillId="12" borderId="20" xfId="8" applyNumberFormat="1" applyFont="1" applyFill="1" applyBorder="1"/>
    <xf numFmtId="0" fontId="21" fillId="0" borderId="0" xfId="13" applyNumberFormat="1" applyFont="1"/>
    <xf numFmtId="165" fontId="0" fillId="0" borderId="0" xfId="3" applyNumberFormat="1" applyFont="1" applyBorder="1"/>
    <xf numFmtId="165" fontId="7" fillId="0" borderId="0" xfId="3" applyNumberFormat="1" applyFont="1" applyBorder="1"/>
    <xf numFmtId="0" fontId="29" fillId="8" borderId="0" xfId="8" applyFont="1" applyFill="1" applyBorder="1" applyAlignment="1">
      <alignment horizontal="left"/>
    </xf>
    <xf numFmtId="165" fontId="19" fillId="0" borderId="0" xfId="8" applyNumberFormat="1" applyFont="1" applyBorder="1"/>
    <xf numFmtId="165" fontId="0" fillId="0" borderId="0" xfId="0" applyNumberFormat="1"/>
    <xf numFmtId="166" fontId="0" fillId="0" borderId="0" xfId="1" applyNumberFormat="1" applyFont="1"/>
    <xf numFmtId="165" fontId="19" fillId="0" borderId="0" xfId="8" applyNumberFormat="1" applyFont="1"/>
    <xf numFmtId="0" fontId="30" fillId="14" borderId="0" xfId="13" applyFont="1" applyFill="1" applyBorder="1" applyAlignment="1">
      <alignment horizontal="center"/>
    </xf>
    <xf numFmtId="0" fontId="30" fillId="14" borderId="11" xfId="13" applyFont="1" applyFill="1" applyBorder="1" applyAlignment="1">
      <alignment horizontal="center"/>
    </xf>
    <xf numFmtId="0" fontId="30" fillId="14" borderId="12" xfId="13" applyFont="1" applyFill="1" applyBorder="1" applyAlignment="1">
      <alignment horizontal="center"/>
    </xf>
    <xf numFmtId="165" fontId="19" fillId="0" borderId="11" xfId="8" applyNumberFormat="1" applyFont="1" applyBorder="1"/>
    <xf numFmtId="165" fontId="19" fillId="10" borderId="22" xfId="8" applyNumberFormat="1" applyFont="1" applyFill="1" applyBorder="1"/>
    <xf numFmtId="0" fontId="7" fillId="0" borderId="0" xfId="0" applyFont="1"/>
    <xf numFmtId="43" fontId="19" fillId="0" borderId="10" xfId="14" applyFont="1" applyFill="1" applyBorder="1" applyAlignment="1">
      <alignment horizontal="left" wrapText="1"/>
    </xf>
    <xf numFmtId="43" fontId="19" fillId="0" borderId="10" xfId="14" applyFont="1" applyFill="1" applyBorder="1" applyAlignment="1">
      <alignment horizontal="center" wrapText="1"/>
    </xf>
    <xf numFmtId="0" fontId="21" fillId="0" borderId="0" xfId="13" applyFont="1"/>
    <xf numFmtId="43" fontId="32" fillId="0" borderId="0" xfId="14" applyFont="1" applyFill="1" applyAlignment="1">
      <alignment horizontal="center"/>
    </xf>
    <xf numFmtId="0" fontId="21" fillId="6" borderId="0" xfId="13" quotePrefix="1" applyFont="1" applyFill="1"/>
    <xf numFmtId="0" fontId="21" fillId="6" borderId="0" xfId="13" applyFont="1" applyFill="1"/>
    <xf numFmtId="165" fontId="16" fillId="15" borderId="0" xfId="15" applyNumberFormat="1" applyFont="1" applyFill="1"/>
    <xf numFmtId="0" fontId="25" fillId="0" borderId="0" xfId="13" applyFont="1"/>
    <xf numFmtId="0" fontId="0" fillId="0" borderId="0" xfId="0" applyFill="1" applyBorder="1"/>
    <xf numFmtId="0" fontId="0" fillId="0" borderId="0" xfId="0" applyAlignment="1">
      <alignment vertical="center"/>
    </xf>
    <xf numFmtId="0" fontId="33" fillId="0" borderId="0" xfId="9" applyFont="1" applyAlignment="1"/>
    <xf numFmtId="0" fontId="7" fillId="0" borderId="0" xfId="0" applyFont="1" applyBorder="1" applyAlignment="1">
      <alignment horizontal="right"/>
    </xf>
    <xf numFmtId="0" fontId="0" fillId="0" borderId="0" xfId="0" applyFill="1" applyBorder="1" applyAlignment="1">
      <alignment horizontal="left"/>
    </xf>
    <xf numFmtId="165" fontId="1" fillId="0" borderId="0" xfId="3" applyNumberFormat="1" applyFont="1" applyBorder="1"/>
    <xf numFmtId="0" fontId="0" fillId="0" borderId="0" xfId="0" quotePrefix="1"/>
    <xf numFmtId="0" fontId="35" fillId="0" borderId="0" xfId="0" applyFont="1" applyAlignment="1">
      <alignment horizontal="center"/>
    </xf>
    <xf numFmtId="44" fontId="7" fillId="0" borderId="0" xfId="3" applyFont="1" applyFill="1" applyAlignment="1">
      <alignment horizontal="center"/>
    </xf>
    <xf numFmtId="0" fontId="29" fillId="16" borderId="0" xfId="8" applyFont="1" applyFill="1" applyBorder="1" applyAlignment="1">
      <alignment horizontal="left"/>
    </xf>
    <xf numFmtId="0" fontId="30" fillId="16" borderId="0" xfId="13" applyFont="1" applyFill="1" applyBorder="1" applyAlignment="1">
      <alignment horizontal="center"/>
    </xf>
    <xf numFmtId="0" fontId="30" fillId="16" borderId="11" xfId="13" applyFont="1" applyFill="1" applyBorder="1" applyAlignment="1">
      <alignment horizontal="center"/>
    </xf>
    <xf numFmtId="165" fontId="19" fillId="4" borderId="13" xfId="8" applyNumberFormat="1" applyFont="1" applyFill="1" applyBorder="1"/>
    <xf numFmtId="165" fontId="19" fillId="4" borderId="14" xfId="8" applyNumberFormat="1" applyFont="1" applyFill="1" applyBorder="1"/>
    <xf numFmtId="165" fontId="19" fillId="4" borderId="17" xfId="8" applyNumberFormat="1" applyFont="1" applyFill="1" applyBorder="1"/>
    <xf numFmtId="165" fontId="19" fillId="4" borderId="18" xfId="8" applyNumberFormat="1" applyFont="1" applyFill="1" applyBorder="1"/>
    <xf numFmtId="0" fontId="37" fillId="17" borderId="0" xfId="9" applyFont="1" applyFill="1" applyBorder="1" applyAlignment="1"/>
    <xf numFmtId="0" fontId="17" fillId="17" borderId="0" xfId="0" applyFont="1" applyFill="1" applyBorder="1"/>
    <xf numFmtId="0" fontId="7" fillId="4" borderId="0" xfId="0" applyFont="1" applyFill="1" applyBorder="1" applyAlignment="1">
      <alignment horizontal="center" wrapText="1"/>
    </xf>
    <xf numFmtId="0" fontId="7" fillId="0" borderId="0" xfId="0" quotePrefix="1" applyFont="1"/>
    <xf numFmtId="165" fontId="7" fillId="0" borderId="27" xfId="3" applyNumberFormat="1" applyFont="1" applyBorder="1"/>
    <xf numFmtId="165" fontId="0" fillId="0" borderId="27" xfId="3" applyNumberFormat="1" applyFont="1" applyBorder="1"/>
    <xf numFmtId="165" fontId="0" fillId="0" borderId="28" xfId="3" applyNumberFormat="1" applyFont="1" applyBorder="1"/>
    <xf numFmtId="0" fontId="7" fillId="0" borderId="0" xfId="0" applyFont="1" applyAlignment="1">
      <alignment horizontal="center"/>
    </xf>
    <xf numFmtId="168" fontId="0" fillId="0" borderId="0" xfId="0" applyNumberFormat="1"/>
    <xf numFmtId="168" fontId="0" fillId="0" borderId="0" xfId="3" applyNumberFormat="1" applyFont="1"/>
    <xf numFmtId="0" fontId="7" fillId="13" borderId="0" xfId="0" applyFont="1" applyFill="1" applyAlignment="1">
      <alignment horizontal="center"/>
    </xf>
    <xf numFmtId="0" fontId="2" fillId="13" borderId="0" xfId="0" applyNumberFormat="1" applyFont="1" applyFill="1" applyAlignment="1">
      <alignment horizontal="center" wrapText="1"/>
    </xf>
    <xf numFmtId="169" fontId="0" fillId="0" borderId="0" xfId="0" applyNumberFormat="1"/>
    <xf numFmtId="0" fontId="2" fillId="0" borderId="0" xfId="0" applyNumberFormat="1" applyFont="1" applyFill="1" applyAlignment="1">
      <alignment wrapText="1"/>
    </xf>
    <xf numFmtId="0" fontId="0" fillId="0" borderId="0" xfId="0" applyFill="1"/>
    <xf numFmtId="0" fontId="2" fillId="0" borderId="0" xfId="0" quotePrefix="1" applyNumberFormat="1" applyFont="1" applyFill="1" applyAlignment="1">
      <alignment wrapText="1"/>
    </xf>
    <xf numFmtId="168" fontId="2" fillId="0" borderId="0" xfId="0" applyNumberFormat="1" applyFont="1" applyFill="1" applyAlignment="1">
      <alignment wrapText="1"/>
    </xf>
    <xf numFmtId="44" fontId="2" fillId="0" borderId="0" xfId="3" applyFont="1" applyFill="1" applyAlignment="1">
      <alignment horizontal="center" wrapText="1"/>
    </xf>
    <xf numFmtId="44" fontId="7" fillId="0" borderId="0" xfId="3" applyFont="1" applyFill="1"/>
    <xf numFmtId="44" fontId="7" fillId="0" borderId="0" xfId="3" applyFont="1" applyFill="1" applyAlignment="1">
      <alignment horizontal="center" vertical="center"/>
    </xf>
    <xf numFmtId="170" fontId="7" fillId="0" borderId="0" xfId="1" applyNumberFormat="1" applyFont="1" applyFill="1"/>
    <xf numFmtId="165" fontId="7" fillId="0" borderId="0" xfId="3" applyNumberFormat="1" applyFont="1" applyFill="1"/>
    <xf numFmtId="0" fontId="2" fillId="0" borderId="0" xfId="0" quotePrefix="1" applyNumberFormat="1" applyFont="1" applyAlignment="1">
      <alignment wrapText="1"/>
    </xf>
    <xf numFmtId="44" fontId="0" fillId="0" borderId="0" xfId="3" applyNumberFormat="1" applyFont="1"/>
    <xf numFmtId="0" fontId="7" fillId="0" borderId="28" xfId="0" applyFont="1" applyBorder="1" applyAlignment="1">
      <alignment horizontal="center"/>
    </xf>
    <xf numFmtId="0" fontId="42" fillId="0" borderId="0" xfId="0" applyFont="1" applyAlignment="1">
      <alignment vertical="center"/>
    </xf>
    <xf numFmtId="0" fontId="17" fillId="0" borderId="0" xfId="0" applyFont="1" applyAlignment="1">
      <alignment vertical="center"/>
    </xf>
    <xf numFmtId="0" fontId="7" fillId="0" borderId="0" xfId="0" applyFont="1" applyFill="1"/>
    <xf numFmtId="171" fontId="7" fillId="0" borderId="0" xfId="1" applyNumberFormat="1" applyFont="1" applyFill="1"/>
    <xf numFmtId="0" fontId="44" fillId="0" borderId="0" xfId="0" applyFont="1"/>
    <xf numFmtId="0" fontId="39" fillId="0" borderId="9" xfId="0" applyFont="1" applyBorder="1" applyAlignment="1">
      <alignment horizontal="center"/>
    </xf>
    <xf numFmtId="0" fontId="39" fillId="0" borderId="0" xfId="0" applyFont="1" applyBorder="1" applyAlignment="1">
      <alignment horizontal="center"/>
    </xf>
    <xf numFmtId="0" fontId="39" fillId="0" borderId="29" xfId="0" applyFont="1" applyBorder="1" applyAlignment="1">
      <alignment horizontal="center"/>
    </xf>
    <xf numFmtId="0" fontId="0" fillId="0" borderId="0" xfId="0" applyFill="1" applyBorder="1" applyAlignment="1">
      <alignment horizontal="left" indent="2"/>
    </xf>
    <xf numFmtId="170" fontId="46" fillId="0" borderId="0" xfId="1" applyNumberFormat="1" applyFont="1" applyBorder="1"/>
    <xf numFmtId="166" fontId="0" fillId="0" borderId="0" xfId="1" applyNumberFormat="1" applyFont="1" applyBorder="1"/>
    <xf numFmtId="166" fontId="0" fillId="0" borderId="0" xfId="0" applyNumberFormat="1" applyBorder="1"/>
    <xf numFmtId="166" fontId="49" fillId="0" borderId="0" xfId="1" applyNumberFormat="1" applyFont="1" applyBorder="1"/>
    <xf numFmtId="43" fontId="0" fillId="0" borderId="0" xfId="1" applyFont="1" applyBorder="1"/>
    <xf numFmtId="43" fontId="17" fillId="0" borderId="0" xfId="1" applyFont="1" applyBorder="1" applyAlignment="1">
      <alignment horizontal="center"/>
    </xf>
    <xf numFmtId="165" fontId="0" fillId="0" borderId="0" xfId="0" applyNumberFormat="1" applyBorder="1"/>
    <xf numFmtId="0" fontId="48" fillId="0" borderId="0" xfId="0" applyFont="1" applyBorder="1" applyAlignment="1"/>
    <xf numFmtId="10" fontId="0" fillId="0" borderId="0" xfId="4" applyNumberFormat="1" applyFont="1" applyBorder="1"/>
    <xf numFmtId="172" fontId="0" fillId="0" borderId="0" xfId="0" applyNumberFormat="1"/>
    <xf numFmtId="2" fontId="0" fillId="0" borderId="0" xfId="0" applyNumberFormat="1"/>
    <xf numFmtId="0" fontId="17" fillId="0" borderId="0" xfId="0" applyFont="1" applyAlignment="1">
      <alignment vertical="center" wrapText="1"/>
    </xf>
    <xf numFmtId="0" fontId="53" fillId="0" borderId="0" xfId="9" applyFont="1"/>
    <xf numFmtId="0" fontId="40" fillId="17" borderId="0" xfId="0" quotePrefix="1" applyFont="1" applyFill="1" applyBorder="1" applyAlignment="1">
      <alignment horizontal="left"/>
    </xf>
    <xf numFmtId="0" fontId="38" fillId="17" borderId="0" xfId="0" applyFont="1" applyFill="1" applyBorder="1" applyAlignment="1"/>
    <xf numFmtId="0" fontId="0" fillId="4" borderId="0" xfId="0" applyFill="1" applyBorder="1"/>
    <xf numFmtId="0" fontId="7" fillId="4" borderId="0" xfId="0" applyFont="1" applyFill="1" applyBorder="1" applyAlignment="1">
      <alignment horizontal="right"/>
    </xf>
    <xf numFmtId="165" fontId="7" fillId="4" borderId="0" xfId="3" applyNumberFormat="1" applyFont="1" applyFill="1" applyBorder="1"/>
    <xf numFmtId="165" fontId="7" fillId="0" borderId="0" xfId="3" applyNumberFormat="1" applyFont="1" applyBorder="1" applyAlignment="1">
      <alignment horizontal="right"/>
    </xf>
    <xf numFmtId="0" fontId="7" fillId="4" borderId="0" xfId="0" applyFont="1" applyFill="1" applyBorder="1" applyAlignment="1">
      <alignment horizontal="right" wrapText="1"/>
    </xf>
    <xf numFmtId="165" fontId="7" fillId="4" borderId="0" xfId="0" applyNumberFormat="1" applyFont="1" applyFill="1" applyBorder="1" applyAlignment="1">
      <alignment horizontal="right"/>
    </xf>
    <xf numFmtId="165" fontId="7" fillId="4" borderId="0" xfId="0" applyNumberFormat="1" applyFont="1" applyFill="1" applyBorder="1"/>
    <xf numFmtId="0" fontId="7" fillId="0" borderId="0" xfId="0" applyFont="1" applyFill="1" applyBorder="1" applyAlignment="1">
      <alignment horizontal="center"/>
    </xf>
    <xf numFmtId="165" fontId="7" fillId="0" borderId="0" xfId="0" applyNumberFormat="1" applyFont="1" applyBorder="1"/>
    <xf numFmtId="0" fontId="43" fillId="0" borderId="0" xfId="0" applyFont="1" applyFill="1" applyBorder="1" applyAlignment="1">
      <alignment horizontal="center"/>
    </xf>
    <xf numFmtId="166" fontId="19" fillId="0" borderId="0" xfId="1" applyNumberFormat="1" applyFont="1" applyBorder="1"/>
    <xf numFmtId="166" fontId="19" fillId="0" borderId="11" xfId="1" applyNumberFormat="1" applyFont="1" applyBorder="1"/>
    <xf numFmtId="166" fontId="19" fillId="0" borderId="0" xfId="1" applyNumberFormat="1" applyFont="1"/>
    <xf numFmtId="0" fontId="0" fillId="0" borderId="0" xfId="0" applyBorder="1" applyAlignment="1">
      <alignment horizontal="left" indent="2"/>
    </xf>
    <xf numFmtId="0" fontId="0" fillId="0" borderId="7" xfId="0" applyBorder="1"/>
    <xf numFmtId="165" fontId="19" fillId="0" borderId="0" xfId="15" applyNumberFormat="1" applyFont="1" applyFill="1"/>
    <xf numFmtId="43" fontId="7" fillId="0" borderId="0" xfId="1" applyFont="1" applyFill="1"/>
    <xf numFmtId="166" fontId="7" fillId="0" borderId="0" xfId="1" applyNumberFormat="1" applyFont="1" applyFill="1"/>
    <xf numFmtId="0" fontId="0" fillId="0" borderId="0" xfId="0" applyAlignment="1"/>
    <xf numFmtId="0" fontId="7" fillId="2" borderId="32" xfId="0" applyFont="1" applyFill="1" applyBorder="1" applyAlignment="1">
      <alignment horizontal="center" vertical="center" wrapText="1"/>
    </xf>
    <xf numFmtId="0" fontId="7" fillId="2" borderId="34" xfId="0" applyFont="1" applyFill="1" applyBorder="1" applyAlignment="1">
      <alignment horizontal="center" vertical="center" wrapText="1"/>
    </xf>
    <xf numFmtId="165" fontId="0" fillId="0" borderId="0" xfId="3" applyNumberFormat="1" applyFont="1" applyFill="1" applyBorder="1"/>
    <xf numFmtId="165" fontId="0" fillId="0" borderId="9" xfId="0" applyNumberFormat="1" applyBorder="1"/>
    <xf numFmtId="165" fontId="0" fillId="0" borderId="29" xfId="0" applyNumberFormat="1" applyBorder="1"/>
    <xf numFmtId="0" fontId="13" fillId="6" borderId="0" xfId="0" applyFont="1" applyFill="1" applyAlignment="1">
      <alignment horizontal="center"/>
    </xf>
    <xf numFmtId="0" fontId="0" fillId="0" borderId="0" xfId="0" applyAlignment="1">
      <alignment horizontal="left" vertical="top" wrapText="1"/>
    </xf>
    <xf numFmtId="0" fontId="7" fillId="0" borderId="0" xfId="0" applyFont="1" applyFill="1" applyAlignment="1">
      <alignment horizontal="center"/>
    </xf>
    <xf numFmtId="0" fontId="7" fillId="0" borderId="0" xfId="0" applyFont="1" applyAlignment="1"/>
    <xf numFmtId="10" fontId="0" fillId="0" borderId="0" xfId="4" applyNumberFormat="1" applyFont="1"/>
    <xf numFmtId="173" fontId="0" fillId="0" borderId="0" xfId="0" applyNumberFormat="1"/>
    <xf numFmtId="0" fontId="0" fillId="0" borderId="0" xfId="0" applyFont="1" applyAlignment="1">
      <alignment horizontal="left" vertical="top" wrapText="1"/>
    </xf>
    <xf numFmtId="0" fontId="7" fillId="0" borderId="0" xfId="0" applyFont="1" applyAlignment="1">
      <alignment horizontal="left" vertical="top" wrapText="1"/>
    </xf>
    <xf numFmtId="0" fontId="51" fillId="0" borderId="0" xfId="0" applyFont="1" applyAlignment="1">
      <alignment vertical="center" wrapText="1"/>
    </xf>
    <xf numFmtId="0" fontId="41" fillId="0" borderId="0" xfId="9" applyFont="1" applyAlignment="1"/>
    <xf numFmtId="0" fontId="0" fillId="0" borderId="0" xfId="0" applyAlignment="1">
      <alignment horizontal="center"/>
    </xf>
    <xf numFmtId="43" fontId="19" fillId="0" borderId="0" xfId="14" applyFont="1" applyFill="1" applyBorder="1" applyAlignment="1">
      <alignment horizontal="left" wrapText="1"/>
    </xf>
    <xf numFmtId="43" fontId="19" fillId="0" borderId="0" xfId="14" applyFont="1" applyFill="1" applyBorder="1" applyAlignment="1">
      <alignment horizontal="center" wrapText="1"/>
    </xf>
    <xf numFmtId="168" fontId="7" fillId="0" borderId="0" xfId="3" applyNumberFormat="1" applyFont="1" applyFill="1" applyAlignment="1">
      <alignment horizontal="center"/>
    </xf>
    <xf numFmtId="0" fontId="39" fillId="6" borderId="23" xfId="0" applyFont="1" applyFill="1" applyBorder="1" applyAlignment="1">
      <alignment horizontal="center" vertical="center"/>
    </xf>
    <xf numFmtId="168" fontId="7" fillId="0" borderId="0" xfId="0" applyNumberFormat="1" applyFont="1" applyFill="1"/>
    <xf numFmtId="0" fontId="52" fillId="0" borderId="0" xfId="0" applyFont="1" applyFill="1"/>
    <xf numFmtId="0" fontId="7" fillId="0" borderId="7" xfId="0" applyFont="1" applyBorder="1"/>
    <xf numFmtId="165" fontId="7" fillId="0" borderId="29" xfId="0" applyNumberFormat="1" applyFont="1" applyBorder="1"/>
    <xf numFmtId="0" fontId="7" fillId="4" borderId="0" xfId="0" applyFont="1" applyFill="1" applyBorder="1" applyAlignment="1">
      <alignment horizontal="center" wrapText="1"/>
    </xf>
    <xf numFmtId="0" fontId="58" fillId="0" borderId="0" xfId="0" applyFont="1"/>
    <xf numFmtId="0" fontId="58" fillId="0" borderId="0" xfId="0" applyFont="1" applyFill="1"/>
    <xf numFmtId="43" fontId="7" fillId="19" borderId="0" xfId="1" applyFont="1" applyFill="1" applyAlignment="1">
      <alignment wrapText="1"/>
    </xf>
    <xf numFmtId="0" fontId="3" fillId="0" borderId="0" xfId="2" applyNumberFormat="1" applyFont="1" applyAlignment="1"/>
    <xf numFmtId="0" fontId="3" fillId="0" borderId="0" xfId="2" applyNumberFormat="1" applyFont="1" applyFill="1" applyAlignment="1"/>
    <xf numFmtId="10" fontId="3" fillId="0" borderId="0" xfId="2" applyNumberFormat="1" applyFont="1"/>
    <xf numFmtId="4" fontId="3" fillId="0" borderId="0" xfId="2" quotePrefix="1" applyNumberFormat="1" applyFont="1"/>
    <xf numFmtId="4" fontId="3" fillId="0" borderId="0" xfId="2" applyNumberFormat="1" applyFont="1"/>
    <xf numFmtId="168" fontId="3" fillId="0" borderId="0" xfId="2" applyNumberFormat="1" applyFont="1" applyAlignment="1">
      <alignment horizontal="right"/>
    </xf>
    <xf numFmtId="4" fontId="3" fillId="0" borderId="0" xfId="2" applyNumberFormat="1" applyFont="1" applyAlignment="1"/>
    <xf numFmtId="49" fontId="59" fillId="0" borderId="0" xfId="19" applyNumberFormat="1" applyProtection="1"/>
    <xf numFmtId="0" fontId="3" fillId="0" borderId="0" xfId="2" quotePrefix="1" applyNumberFormat="1" applyFont="1" applyAlignment="1"/>
    <xf numFmtId="0" fontId="60" fillId="0" borderId="0" xfId="2" applyNumberFormat="1" applyFont="1" applyAlignment="1"/>
    <xf numFmtId="0" fontId="60" fillId="0" borderId="0" xfId="2" applyNumberFormat="1" applyFont="1" applyFill="1" applyAlignment="1"/>
    <xf numFmtId="10" fontId="60" fillId="0" borderId="0" xfId="2" applyNumberFormat="1" applyFont="1" applyAlignment="1"/>
    <xf numFmtId="4" fontId="60" fillId="0" borderId="0" xfId="2" applyNumberFormat="1" applyFont="1" applyAlignment="1"/>
    <xf numFmtId="167" fontId="60" fillId="0" borderId="0" xfId="2" applyNumberFormat="1" applyFont="1" applyAlignment="1"/>
    <xf numFmtId="0" fontId="61" fillId="0" borderId="0" xfId="2" applyNumberFormat="1" applyFont="1" applyFill="1" applyAlignment="1"/>
    <xf numFmtId="0" fontId="6" fillId="0" borderId="0" xfId="2" applyNumberFormat="1" applyFont="1" applyAlignment="1"/>
    <xf numFmtId="4" fontId="6" fillId="0" borderId="0" xfId="2" applyNumberFormat="1" applyFont="1" applyAlignment="1"/>
    <xf numFmtId="0" fontId="29" fillId="9" borderId="0" xfId="8" applyFont="1" applyFill="1" applyBorder="1" applyAlignment="1"/>
    <xf numFmtId="0" fontId="0" fillId="0" borderId="0" xfId="0" applyAlignment="1"/>
    <xf numFmtId="0" fontId="13" fillId="6" borderId="0" xfId="0" applyFont="1" applyFill="1" applyAlignment="1">
      <alignment horizontal="center"/>
    </xf>
    <xf numFmtId="174" fontId="0" fillId="0" borderId="0" xfId="4" applyNumberFormat="1" applyFont="1"/>
    <xf numFmtId="0" fontId="17" fillId="0" borderId="0" xfId="0" applyFont="1" applyAlignment="1">
      <alignment horizontal="left" vertical="center" wrapText="1"/>
    </xf>
    <xf numFmtId="43" fontId="19" fillId="0" borderId="0" xfId="1" applyFont="1"/>
    <xf numFmtId="0" fontId="17" fillId="0" borderId="0" xfId="0" applyFont="1" applyAlignment="1">
      <alignment horizontal="left" vertical="center" wrapText="1" indent="4"/>
    </xf>
    <xf numFmtId="167" fontId="17" fillId="0" borderId="30" xfId="4" applyNumberFormat="1" applyFont="1" applyBorder="1" applyAlignment="1">
      <alignment horizontal="center"/>
    </xf>
    <xf numFmtId="167" fontId="17" fillId="0" borderId="6" xfId="4" applyNumberFormat="1" applyFont="1" applyBorder="1" applyAlignment="1">
      <alignment horizontal="center"/>
    </xf>
    <xf numFmtId="167" fontId="17" fillId="0" borderId="31" xfId="4" applyNumberFormat="1" applyFont="1" applyBorder="1" applyAlignment="1">
      <alignment horizontal="center"/>
    </xf>
    <xf numFmtId="167" fontId="0" fillId="0" borderId="0" xfId="4" applyNumberFormat="1" applyFont="1" applyBorder="1"/>
    <xf numFmtId="0" fontId="37" fillId="17" borderId="0" xfId="9" applyFont="1" applyFill="1" applyBorder="1" applyAlignment="1">
      <alignment vertical="center"/>
    </xf>
    <xf numFmtId="0" fontId="0" fillId="0" borderId="0" xfId="0" applyAlignment="1">
      <alignment horizontal="left" indent="1"/>
    </xf>
    <xf numFmtId="0" fontId="63" fillId="0" borderId="0" xfId="0" applyFont="1" applyFill="1"/>
    <xf numFmtId="0" fontId="63" fillId="0" borderId="0" xfId="0" applyFont="1"/>
    <xf numFmtId="177" fontId="64" fillId="17" borderId="0" xfId="1" applyNumberFormat="1" applyFont="1" applyFill="1" applyBorder="1" applyAlignment="1">
      <alignment horizontal="center"/>
    </xf>
    <xf numFmtId="168" fontId="7" fillId="0" borderId="0" xfId="3" applyNumberFormat="1" applyFont="1" applyFill="1" applyAlignment="1">
      <alignment horizontal="center" vertical="center"/>
    </xf>
    <xf numFmtId="0" fontId="0" fillId="0" borderId="0" xfId="0" applyFill="1" applyBorder="1" applyAlignment="1">
      <alignment horizontal="center"/>
    </xf>
    <xf numFmtId="0" fontId="7" fillId="4" borderId="0" xfId="0" applyFont="1" applyFill="1" applyBorder="1" applyAlignment="1">
      <alignment horizontal="center" wrapText="1"/>
    </xf>
    <xf numFmtId="176" fontId="2" fillId="13" borderId="0" xfId="0" applyNumberFormat="1" applyFont="1" applyFill="1" applyAlignment="1">
      <alignment wrapText="1"/>
    </xf>
    <xf numFmtId="43" fontId="2" fillId="13" borderId="0" xfId="0" applyNumberFormat="1" applyFont="1" applyFill="1" applyAlignment="1">
      <alignment wrapText="1"/>
    </xf>
    <xf numFmtId="172" fontId="58" fillId="0" borderId="0" xfId="0" applyNumberFormat="1" applyFont="1" applyFill="1"/>
    <xf numFmtId="0" fontId="0" fillId="0" borderId="0" xfId="0" quotePrefix="1" applyNumberFormat="1" applyFont="1"/>
    <xf numFmtId="164" fontId="0" fillId="4" borderId="2" xfId="1" applyNumberFormat="1" applyFont="1" applyFill="1" applyBorder="1"/>
    <xf numFmtId="0" fontId="6" fillId="0" borderId="0" xfId="2" applyNumberFormat="1" applyFont="1" applyFill="1" applyAlignment="1">
      <alignment horizontal="right"/>
    </xf>
    <xf numFmtId="0" fontId="7" fillId="0" borderId="0" xfId="0" applyFont="1" applyBorder="1" applyAlignment="1">
      <alignment horizontal="center"/>
    </xf>
    <xf numFmtId="0" fontId="7" fillId="0" borderId="28" xfId="0" applyFont="1" applyBorder="1" applyAlignment="1">
      <alignment horizontal="center"/>
    </xf>
    <xf numFmtId="165" fontId="19" fillId="10" borderId="36" xfId="8" applyNumberFormat="1" applyFont="1" applyFill="1" applyBorder="1"/>
    <xf numFmtId="165" fontId="19" fillId="11" borderId="36" xfId="8" applyNumberFormat="1" applyFont="1" applyFill="1" applyBorder="1"/>
    <xf numFmtId="165" fontId="19" fillId="11" borderId="22" xfId="8" applyNumberFormat="1" applyFont="1" applyFill="1" applyBorder="1"/>
    <xf numFmtId="44" fontId="2" fillId="0" borderId="0" xfId="3" applyFont="1" applyAlignment="1">
      <alignment wrapText="1"/>
    </xf>
    <xf numFmtId="165" fontId="7" fillId="0" borderId="0" xfId="0" applyNumberFormat="1" applyFont="1"/>
    <xf numFmtId="10" fontId="67" fillId="0" borderId="0" xfId="4" applyNumberFormat="1" applyFont="1"/>
    <xf numFmtId="0" fontId="0" fillId="0" borderId="0" xfId="3" applyNumberFormat="1" applyFont="1" applyAlignment="1">
      <alignment horizontal="center"/>
    </xf>
    <xf numFmtId="0" fontId="15" fillId="0" borderId="0" xfId="0" applyFont="1"/>
    <xf numFmtId="0" fontId="69" fillId="0" borderId="0" xfId="0" applyFont="1"/>
    <xf numFmtId="172" fontId="0" fillId="0" borderId="0" xfId="0" applyNumberFormat="1" applyAlignment="1">
      <alignment horizontal="center"/>
    </xf>
    <xf numFmtId="0" fontId="0" fillId="0" borderId="0" xfId="0" applyFont="1" applyAlignment="1">
      <alignment horizontal="left" indent="9"/>
    </xf>
    <xf numFmtId="0" fontId="67" fillId="0" borderId="0" xfId="0" applyFont="1" applyAlignment="1">
      <alignment horizontal="left"/>
    </xf>
    <xf numFmtId="174" fontId="0" fillId="0" borderId="0" xfId="4" applyNumberFormat="1" applyFont="1" applyAlignment="1">
      <alignment horizontal="center"/>
    </xf>
    <xf numFmtId="2" fontId="0" fillId="0" borderId="0" xfId="0" applyNumberFormat="1" applyAlignment="1">
      <alignment horizontal="center"/>
    </xf>
    <xf numFmtId="174" fontId="0" fillId="0" borderId="0" xfId="0" applyNumberFormat="1" applyAlignment="1">
      <alignment horizontal="center"/>
    </xf>
    <xf numFmtId="0" fontId="17" fillId="0" borderId="0" xfId="0" applyFont="1" applyAlignment="1">
      <alignment horizontal="center" vertical="center" wrapText="1"/>
    </xf>
    <xf numFmtId="0" fontId="0" fillId="0" borderId="0" xfId="0" applyFont="1" applyAlignment="1">
      <alignment horizontal="center"/>
    </xf>
    <xf numFmtId="0" fontId="41" fillId="0" borderId="0" xfId="9" applyFont="1" applyAlignment="1">
      <alignment horizontal="center"/>
    </xf>
    <xf numFmtId="175" fontId="1" fillId="0" borderId="0" xfId="4" applyNumberFormat="1" applyFont="1" applyAlignment="1">
      <alignment horizontal="center"/>
    </xf>
    <xf numFmtId="0" fontId="7" fillId="2" borderId="33" xfId="0" applyFont="1" applyFill="1" applyBorder="1" applyAlignment="1">
      <alignment horizontal="center" vertical="center" wrapText="1"/>
    </xf>
    <xf numFmtId="165" fontId="0" fillId="5" borderId="0" xfId="3" applyNumberFormat="1" applyFont="1" applyFill="1" applyBorder="1"/>
    <xf numFmtId="0" fontId="0" fillId="0" borderId="0" xfId="0" applyAlignment="1">
      <alignment horizontal="center"/>
    </xf>
    <xf numFmtId="0" fontId="38" fillId="4" borderId="0" xfId="0" applyFont="1" applyFill="1" applyBorder="1" applyAlignment="1" applyProtection="1">
      <alignment horizontal="center"/>
      <protection locked="0"/>
    </xf>
    <xf numFmtId="0" fontId="58" fillId="19" borderId="0" xfId="0" applyFont="1" applyFill="1"/>
    <xf numFmtId="0" fontId="7" fillId="19" borderId="0" xfId="0" applyFont="1" applyFill="1" applyAlignment="1">
      <alignment wrapText="1"/>
    </xf>
    <xf numFmtId="43" fontId="0" fillId="19" borderId="0" xfId="0" applyNumberFormat="1" applyFill="1"/>
    <xf numFmtId="0" fontId="70" fillId="0" borderId="0" xfId="0" applyFont="1" applyAlignment="1" applyProtection="1">
      <alignment horizontal="left" wrapText="1"/>
    </xf>
    <xf numFmtId="44" fontId="70" fillId="0" borderId="0" xfId="3" applyFont="1" applyAlignment="1" applyProtection="1">
      <alignment horizontal="left" wrapText="1"/>
    </xf>
    <xf numFmtId="43" fontId="2" fillId="0" borderId="0" xfId="1" applyFont="1" applyAlignment="1">
      <alignment wrapText="1"/>
    </xf>
    <xf numFmtId="10" fontId="28" fillId="0" borderId="0" xfId="6" applyNumberFormat="1" applyFont="1" applyAlignment="1"/>
    <xf numFmtId="43" fontId="2" fillId="0" borderId="0" xfId="0" applyNumberFormat="1" applyFont="1" applyFill="1" applyAlignment="1">
      <alignment wrapText="1"/>
    </xf>
    <xf numFmtId="176" fontId="2" fillId="0" borderId="0" xfId="0" applyNumberFormat="1" applyFont="1" applyFill="1" applyAlignment="1">
      <alignment wrapText="1"/>
    </xf>
    <xf numFmtId="44" fontId="2" fillId="0" borderId="0" xfId="3" applyFont="1" applyFill="1" applyAlignment="1">
      <alignment wrapText="1"/>
    </xf>
    <xf numFmtId="43" fontId="2" fillId="0" borderId="0" xfId="1" applyFont="1" applyFill="1" applyAlignment="1">
      <alignment wrapText="1"/>
    </xf>
    <xf numFmtId="0" fontId="72" fillId="17" borderId="0" xfId="0" applyFont="1" applyFill="1" applyBorder="1" applyAlignment="1">
      <alignment vertical="center" wrapText="1"/>
    </xf>
    <xf numFmtId="0" fontId="7" fillId="0" borderId="0" xfId="0" applyFont="1" applyFill="1" applyAlignment="1">
      <alignment wrapText="1"/>
    </xf>
    <xf numFmtId="0" fontId="2" fillId="0" borderId="0" xfId="0" applyNumberFormat="1" applyFont="1" applyAlignment="1">
      <alignment horizontal="center" wrapText="1"/>
    </xf>
    <xf numFmtId="0" fontId="6" fillId="0" borderId="0" xfId="2" applyNumberFormat="1" applyFont="1" applyFill="1" applyBorder="1" applyAlignment="1">
      <alignment horizontal="center" wrapText="1"/>
    </xf>
    <xf numFmtId="0" fontId="7" fillId="0" borderId="0" xfId="0" applyFont="1" applyAlignment="1">
      <alignment horizontal="center" wrapText="1"/>
    </xf>
    <xf numFmtId="0" fontId="7" fillId="13" borderId="0" xfId="0" applyFont="1" applyFill="1" applyAlignment="1">
      <alignment horizontal="center" wrapText="1"/>
    </xf>
    <xf numFmtId="166" fontId="7" fillId="0" borderId="0" xfId="1" applyNumberFormat="1" applyFont="1" applyAlignment="1">
      <alignment horizontal="center" wrapText="1"/>
    </xf>
    <xf numFmtId="166" fontId="7" fillId="13" borderId="0" xfId="1" applyNumberFormat="1" applyFont="1" applyFill="1" applyAlignment="1">
      <alignment horizontal="center" wrapText="1"/>
    </xf>
    <xf numFmtId="43" fontId="7" fillId="0" borderId="0" xfId="1" applyFont="1" applyFill="1" applyAlignment="1">
      <alignment horizontal="center" wrapText="1"/>
    </xf>
    <xf numFmtId="43" fontId="7" fillId="19" borderId="0" xfId="1" applyFont="1" applyFill="1" applyAlignment="1">
      <alignment horizontal="center" wrapText="1"/>
    </xf>
    <xf numFmtId="0" fontId="6" fillId="0" borderId="0" xfId="2" applyNumberFormat="1" applyFont="1" applyFill="1" applyBorder="1" applyAlignment="1">
      <alignment horizontal="center"/>
    </xf>
    <xf numFmtId="0" fontId="7" fillId="0" borderId="0" xfId="0" applyFont="1" applyFill="1" applyAlignment="1">
      <alignment horizontal="center" vertical="center"/>
    </xf>
    <xf numFmtId="0" fontId="7" fillId="0" borderId="0" xfId="0" applyFont="1" applyFill="1" applyAlignment="1">
      <alignment horizontal="center" wrapText="1"/>
    </xf>
    <xf numFmtId="0" fontId="7" fillId="0" borderId="0" xfId="0" applyFont="1" applyFill="1" applyAlignment="1">
      <alignment horizontal="left" wrapText="1"/>
    </xf>
    <xf numFmtId="0" fontId="71" fillId="0" borderId="0" xfId="0" applyFont="1" applyAlignment="1" applyProtection="1">
      <alignment horizontal="left" wrapText="1"/>
    </xf>
    <xf numFmtId="0" fontId="13" fillId="6"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vertical="top" wrapText="1"/>
    </xf>
    <xf numFmtId="0" fontId="0" fillId="0" borderId="0" xfId="0" applyAlignment="1">
      <alignment wrapText="1"/>
    </xf>
    <xf numFmtId="0" fontId="68" fillId="0" borderId="0" xfId="0" applyFont="1" applyAlignment="1">
      <alignment vertical="center" wrapText="1"/>
    </xf>
    <xf numFmtId="172" fontId="0" fillId="0" borderId="0" xfId="0" applyNumberFormat="1" applyFill="1" applyAlignment="1">
      <alignment horizontal="center"/>
    </xf>
    <xf numFmtId="0" fontId="0" fillId="0" borderId="0" xfId="0" applyFill="1" applyBorder="1" applyAlignment="1">
      <alignment horizontal="center"/>
    </xf>
    <xf numFmtId="2" fontId="0" fillId="0" borderId="0" xfId="0" applyNumberFormat="1" applyAlignment="1">
      <alignment wrapText="1"/>
    </xf>
    <xf numFmtId="0" fontId="14" fillId="0" borderId="0" xfId="21" applyFont="1"/>
    <xf numFmtId="0" fontId="1" fillId="0" borderId="0" xfId="21"/>
    <xf numFmtId="0" fontId="14" fillId="0" borderId="0" xfId="21" applyFont="1" applyAlignment="1">
      <alignment horizontal="center"/>
    </xf>
    <xf numFmtId="0" fontId="1" fillId="0" borderId="0" xfId="21" applyAlignment="1">
      <alignment horizontal="center"/>
    </xf>
    <xf numFmtId="0" fontId="76" fillId="0" borderId="0" xfId="21" applyFont="1"/>
    <xf numFmtId="0" fontId="76" fillId="0" borderId="0" xfId="21" applyFont="1" applyAlignment="1">
      <alignment horizontal="center"/>
    </xf>
    <xf numFmtId="0" fontId="13" fillId="0" borderId="0" xfId="21" applyFont="1"/>
    <xf numFmtId="0" fontId="7" fillId="0" borderId="0" xfId="0" applyFont="1" applyAlignment="1">
      <alignment horizontal="right"/>
    </xf>
    <xf numFmtId="165" fontId="1" fillId="0" borderId="0" xfId="3" applyNumberFormat="1" applyFont="1" applyFill="1" applyBorder="1"/>
    <xf numFmtId="0" fontId="0" fillId="0" borderId="0" xfId="0" applyAlignment="1">
      <alignment horizontal="left"/>
    </xf>
    <xf numFmtId="0" fontId="7" fillId="4" borderId="0" xfId="0" applyFont="1" applyFill="1" applyAlignment="1">
      <alignment horizontal="right" wrapText="1"/>
    </xf>
    <xf numFmtId="165" fontId="7" fillId="4" borderId="0" xfId="0" applyNumberFormat="1" applyFont="1" applyFill="1" applyAlignment="1">
      <alignment horizontal="right"/>
    </xf>
    <xf numFmtId="165" fontId="7" fillId="4" borderId="0" xfId="0" applyNumberFormat="1" applyFont="1" applyFill="1"/>
    <xf numFmtId="165" fontId="77" fillId="0" borderId="0" xfId="3" applyNumberFormat="1" applyFont="1" applyBorder="1" applyAlignment="1">
      <alignment horizontal="right"/>
    </xf>
    <xf numFmtId="0" fontId="7" fillId="4" borderId="0" xfId="0" applyFont="1" applyFill="1" applyAlignment="1">
      <alignment wrapText="1"/>
    </xf>
    <xf numFmtId="44" fontId="7" fillId="4" borderId="0" xfId="3" applyFont="1" applyFill="1" applyAlignment="1">
      <alignment horizontal="center" wrapText="1"/>
    </xf>
    <xf numFmtId="0" fontId="2" fillId="0" borderId="0" xfId="0" applyFont="1" applyAlignment="1">
      <alignment wrapText="1"/>
    </xf>
    <xf numFmtId="0" fontId="6" fillId="0" borderId="0" xfId="2" applyNumberFormat="1" applyFont="1" applyFill="1" applyBorder="1" applyAlignment="1">
      <alignment horizontal="left" wrapText="1"/>
    </xf>
    <xf numFmtId="0" fontId="3" fillId="0" borderId="0" xfId="2" applyNumberFormat="1" applyFont="1" applyAlignment="1">
      <alignment horizontal="right" wrapText="1"/>
    </xf>
    <xf numFmtId="0" fontId="3" fillId="0" borderId="0" xfId="2" applyNumberFormat="1" applyFont="1" applyAlignment="1">
      <alignment wrapText="1"/>
    </xf>
    <xf numFmtId="0" fontId="3" fillId="0" borderId="0" xfId="2" applyNumberFormat="1" applyFont="1" applyFill="1" applyAlignment="1">
      <alignment wrapText="1"/>
    </xf>
    <xf numFmtId="0" fontId="7" fillId="0" borderId="0" xfId="0" applyFont="1" applyBorder="1" applyAlignment="1">
      <alignment horizontal="center"/>
    </xf>
    <xf numFmtId="0" fontId="7" fillId="0" borderId="28" xfId="0" applyFont="1" applyBorder="1" applyAlignment="1">
      <alignment horizontal="center"/>
    </xf>
    <xf numFmtId="0" fontId="29" fillId="8" borderId="0" xfId="8" applyFont="1" applyFill="1" applyBorder="1" applyAlignment="1">
      <alignment horizontal="center" wrapText="1"/>
    </xf>
    <xf numFmtId="0" fontId="29" fillId="16" borderId="0" xfId="8" applyFont="1" applyFill="1" applyBorder="1" applyAlignment="1">
      <alignment horizontal="center" wrapText="1"/>
    </xf>
    <xf numFmtId="0" fontId="19" fillId="0" borderId="0" xfId="5" applyFont="1"/>
    <xf numFmtId="49" fontId="28" fillId="0" borderId="0" xfId="5" applyNumberFormat="1" applyFont="1"/>
    <xf numFmtId="49" fontId="28" fillId="0" borderId="0" xfId="5" quotePrefix="1" applyNumberFormat="1" applyFont="1"/>
    <xf numFmtId="165" fontId="28" fillId="0" borderId="23" xfId="3" applyNumberFormat="1" applyFont="1" applyFill="1" applyBorder="1" applyAlignment="1">
      <alignment horizontal="center"/>
    </xf>
    <xf numFmtId="165" fontId="28" fillId="0" borderId="23" xfId="3" applyNumberFormat="1" applyFont="1" applyFill="1" applyBorder="1"/>
    <xf numFmtId="165" fontId="19" fillId="0" borderId="23" xfId="3" applyNumberFormat="1" applyFont="1" applyBorder="1"/>
    <xf numFmtId="165" fontId="19" fillId="0" borderId="23" xfId="5" applyNumberFormat="1" applyFont="1" applyBorder="1"/>
    <xf numFmtId="0" fontId="19" fillId="0" borderId="0" xfId="5" quotePrefix="1" applyFont="1"/>
    <xf numFmtId="0" fontId="15" fillId="0" borderId="0" xfId="5" applyFont="1"/>
    <xf numFmtId="0" fontId="17" fillId="0" borderId="0" xfId="5" applyFont="1"/>
    <xf numFmtId="0" fontId="9" fillId="21" borderId="25" xfId="0" quotePrefix="1" applyFont="1" applyFill="1" applyBorder="1" applyAlignment="1"/>
    <xf numFmtId="0" fontId="19" fillId="2" borderId="0" xfId="5" applyFont="1" applyFill="1"/>
    <xf numFmtId="0" fontId="0" fillId="0" borderId="0" xfId="0" applyAlignment="1">
      <alignment horizontal="left" vertical="top" wrapText="1"/>
    </xf>
    <xf numFmtId="0" fontId="13" fillId="6"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indent="1"/>
    </xf>
    <xf numFmtId="0" fontId="78" fillId="0" borderId="0" xfId="5" applyFont="1"/>
    <xf numFmtId="165" fontId="7" fillId="0" borderId="0" xfId="3" applyNumberFormat="1" applyFont="1" applyFill="1" applyBorder="1"/>
    <xf numFmtId="0" fontId="0" fillId="0" borderId="0" xfId="0" applyAlignment="1">
      <alignment vertical="top" wrapText="1"/>
    </xf>
    <xf numFmtId="0" fontId="50" fillId="0" borderId="0" xfId="0" applyFont="1" applyAlignment="1">
      <alignment wrapText="1"/>
    </xf>
    <xf numFmtId="0" fontId="50" fillId="0" borderId="0" xfId="0" applyFont="1" applyAlignment="1">
      <alignment vertical="top" wrapText="1"/>
    </xf>
    <xf numFmtId="0" fontId="0" fillId="20" borderId="7" xfId="0" applyFill="1" applyBorder="1" applyAlignment="1">
      <alignment wrapText="1"/>
    </xf>
    <xf numFmtId="0" fontId="0" fillId="20" borderId="7" xfId="0" applyFill="1" applyBorder="1"/>
    <xf numFmtId="0" fontId="15" fillId="0" borderId="0" xfId="0" applyFont="1" applyAlignment="1">
      <alignment horizontal="left" indent="1"/>
    </xf>
    <xf numFmtId="165" fontId="7" fillId="0" borderId="9" xfId="0" applyNumberFormat="1" applyFont="1" applyBorder="1"/>
    <xf numFmtId="44" fontId="0" fillId="0" borderId="0" xfId="0" applyNumberFormat="1" applyBorder="1"/>
    <xf numFmtId="166" fontId="10" fillId="0" borderId="0" xfId="1" applyNumberFormat="1" applyFont="1" applyAlignment="1">
      <alignment horizontal="center"/>
    </xf>
    <xf numFmtId="166" fontId="11" fillId="5" borderId="0" xfId="1" applyNumberFormat="1" applyFont="1" applyFill="1" applyBorder="1" applyAlignment="1">
      <alignment horizontal="center"/>
    </xf>
    <xf numFmtId="44" fontId="0" fillId="0" borderId="0" xfId="4" applyNumberFormat="1" applyFont="1"/>
    <xf numFmtId="0" fontId="78" fillId="0" borderId="0" xfId="5" applyFont="1" applyFill="1"/>
    <xf numFmtId="0" fontId="19" fillId="0" borderId="0" xfId="5" applyFont="1" applyFill="1"/>
    <xf numFmtId="165" fontId="19" fillId="0" borderId="23" xfId="5" applyNumberFormat="1" applyFont="1" applyFill="1" applyBorder="1"/>
    <xf numFmtId="165" fontId="19" fillId="0" borderId="23" xfId="3" applyNumberFormat="1" applyFont="1" applyFill="1" applyBorder="1"/>
    <xf numFmtId="165" fontId="17" fillId="0" borderId="0" xfId="3" applyNumberFormat="1" applyFont="1" applyFill="1" applyBorder="1"/>
    <xf numFmtId="0" fontId="82" fillId="0" borderId="0" xfId="0" applyFont="1" applyAlignment="1">
      <alignment horizontal="right"/>
    </xf>
    <xf numFmtId="167" fontId="82" fillId="0" borderId="0" xfId="4" applyNumberFormat="1" applyFont="1" applyAlignment="1">
      <alignment horizontal="center"/>
    </xf>
    <xf numFmtId="43" fontId="10" fillId="0" borderId="0" xfId="1" applyFont="1" applyAlignment="1">
      <alignment horizontal="center"/>
    </xf>
    <xf numFmtId="43" fontId="82" fillId="0" borderId="0" xfId="1" applyFont="1" applyAlignment="1">
      <alignment horizontal="center"/>
    </xf>
    <xf numFmtId="43" fontId="11" fillId="5" borderId="0" xfId="1" applyFont="1" applyFill="1" applyBorder="1" applyAlignment="1">
      <alignment horizontal="center"/>
    </xf>
    <xf numFmtId="166" fontId="0" fillId="4" borderId="2" xfId="1" applyNumberFormat="1" applyFont="1" applyFill="1" applyBorder="1"/>
    <xf numFmtId="166" fontId="15" fillId="0" borderId="0" xfId="1" applyNumberFormat="1" applyFont="1" applyBorder="1"/>
    <xf numFmtId="43" fontId="10" fillId="0" borderId="0" xfId="1" applyNumberFormat="1" applyFont="1" applyAlignment="1">
      <alignment horizontal="center"/>
    </xf>
    <xf numFmtId="43" fontId="82" fillId="0" borderId="0" xfId="1" applyNumberFormat="1" applyFont="1" applyAlignment="1">
      <alignment horizontal="center"/>
    </xf>
    <xf numFmtId="43" fontId="11" fillId="5" borderId="0" xfId="1" applyNumberFormat="1" applyFont="1" applyFill="1" applyBorder="1" applyAlignment="1">
      <alignment horizontal="center"/>
    </xf>
    <xf numFmtId="43" fontId="0" fillId="0" borderId="0" xfId="1" applyNumberFormat="1" applyFont="1" applyBorder="1"/>
    <xf numFmtId="43" fontId="15" fillId="0" borderId="0" xfId="1" applyNumberFormat="1" applyFont="1" applyBorder="1"/>
    <xf numFmtId="43" fontId="0" fillId="0" borderId="0" xfId="1" applyNumberFormat="1" applyFont="1"/>
    <xf numFmtId="43" fontId="11" fillId="0" borderId="0" xfId="1" applyFont="1" applyAlignment="1">
      <alignment horizontal="center"/>
    </xf>
    <xf numFmtId="44" fontId="10" fillId="0" borderId="0" xfId="3" applyFont="1" applyAlignment="1">
      <alignment horizontal="center"/>
    </xf>
    <xf numFmtId="44" fontId="82" fillId="0" borderId="0" xfId="3" applyFont="1" applyAlignment="1">
      <alignment horizontal="center"/>
    </xf>
    <xf numFmtId="44" fontId="11" fillId="5" borderId="0" xfId="3" applyFont="1" applyFill="1" applyBorder="1" applyAlignment="1">
      <alignment horizontal="center"/>
    </xf>
    <xf numFmtId="44" fontId="0" fillId="4" borderId="2" xfId="3" applyFont="1" applyFill="1" applyBorder="1"/>
    <xf numFmtId="44" fontId="0" fillId="0" borderId="0" xfId="3" applyFont="1" applyBorder="1"/>
    <xf numFmtId="44" fontId="15" fillId="0" borderId="0" xfId="3" applyFont="1" applyBorder="1"/>
    <xf numFmtId="10" fontId="0" fillId="4" borderId="2" xfId="1" applyNumberFormat="1" applyFont="1" applyFill="1" applyBorder="1"/>
    <xf numFmtId="43" fontId="0" fillId="4" borderId="37" xfId="1" applyNumberFormat="1" applyFont="1" applyFill="1" applyBorder="1"/>
    <xf numFmtId="0" fontId="0" fillId="0" borderId="38" xfId="0" applyFont="1" applyBorder="1"/>
    <xf numFmtId="43" fontId="15" fillId="0" borderId="38" xfId="1" applyFont="1" applyBorder="1"/>
    <xf numFmtId="0" fontId="8" fillId="0" borderId="0" xfId="0" applyFont="1" applyFill="1" applyAlignment="1">
      <alignment horizontal="center"/>
    </xf>
    <xf numFmtId="0" fontId="0" fillId="3" borderId="39" xfId="0" applyFont="1" applyFill="1" applyBorder="1"/>
    <xf numFmtId="0" fontId="0" fillId="3" borderId="40" xfId="0" applyFont="1" applyFill="1" applyBorder="1"/>
    <xf numFmtId="0" fontId="19" fillId="4" borderId="41" xfId="8" applyFont="1" applyFill="1" applyBorder="1" applyAlignment="1">
      <alignment wrapText="1"/>
    </xf>
    <xf numFmtId="43" fontId="19" fillId="4" borderId="41" xfId="14" applyFont="1" applyFill="1" applyBorder="1" applyAlignment="1">
      <alignment wrapText="1"/>
    </xf>
    <xf numFmtId="43" fontId="28" fillId="24" borderId="41" xfId="14" applyFont="1" applyFill="1" applyBorder="1" applyAlignment="1">
      <alignment wrapText="1"/>
    </xf>
    <xf numFmtId="43" fontId="0" fillId="23" borderId="40" xfId="1" applyNumberFormat="1" applyFont="1" applyFill="1" applyBorder="1" applyAlignment="1">
      <alignment wrapText="1"/>
    </xf>
    <xf numFmtId="0" fontId="0" fillId="22" borderId="40" xfId="0" applyFont="1" applyFill="1" applyBorder="1" applyAlignment="1">
      <alignment wrapText="1"/>
    </xf>
    <xf numFmtId="43" fontId="0" fillId="22" borderId="40" xfId="1" applyFont="1" applyFill="1" applyBorder="1" applyAlignment="1">
      <alignment wrapText="1"/>
    </xf>
    <xf numFmtId="44" fontId="0" fillId="22" borderId="40" xfId="3" applyFont="1" applyFill="1" applyBorder="1" applyAlignment="1">
      <alignment wrapText="1"/>
    </xf>
    <xf numFmtId="0" fontId="28" fillId="25" borderId="41" xfId="8" applyFont="1" applyFill="1" applyBorder="1" applyAlignment="1">
      <alignment wrapText="1"/>
    </xf>
    <xf numFmtId="0" fontId="11" fillId="5" borderId="0" xfId="0" applyFont="1" applyFill="1" applyAlignment="1">
      <alignment horizontal="center"/>
    </xf>
    <xf numFmtId="43" fontId="28" fillId="25" borderId="41" xfId="1" applyFont="1" applyFill="1" applyBorder="1" applyAlignment="1">
      <alignment wrapText="1"/>
    </xf>
    <xf numFmtId="43" fontId="11" fillId="5" borderId="0" xfId="1" applyFont="1" applyFill="1" applyAlignment="1">
      <alignment horizontal="center"/>
    </xf>
    <xf numFmtId="44" fontId="7" fillId="4" borderId="0" xfId="3" applyNumberFormat="1" applyFont="1" applyFill="1" applyAlignment="1">
      <alignment horizontal="center" wrapText="1"/>
    </xf>
    <xf numFmtId="0" fontId="2" fillId="13" borderId="0" xfId="0" applyNumberFormat="1" applyFont="1" applyFill="1" applyAlignment="1">
      <alignment wrapText="1"/>
    </xf>
    <xf numFmtId="0" fontId="0" fillId="0" borderId="0" xfId="0" applyAlignment="1">
      <alignment horizontal="center" vertical="top" wrapText="1"/>
    </xf>
    <xf numFmtId="0" fontId="75" fillId="17" borderId="0" xfId="0" applyFont="1" applyFill="1" applyBorder="1" applyAlignment="1"/>
    <xf numFmtId="166" fontId="49" fillId="4" borderId="0" xfId="1" applyNumberFormat="1" applyFont="1" applyFill="1" applyBorder="1"/>
    <xf numFmtId="10" fontId="0" fillId="4" borderId="0" xfId="4" applyNumberFormat="1" applyFont="1" applyFill="1" applyBorder="1"/>
    <xf numFmtId="0" fontId="0" fillId="4" borderId="0" xfId="0" applyFill="1"/>
    <xf numFmtId="0" fontId="0" fillId="20" borderId="0" xfId="0" applyFill="1" applyAlignment="1">
      <alignment horizontal="center" vertical="top" wrapText="1"/>
    </xf>
    <xf numFmtId="0" fontId="0" fillId="0" borderId="0" xfId="0" applyFill="1" applyAlignment="1">
      <alignment vertical="top" wrapText="1"/>
    </xf>
    <xf numFmtId="172" fontId="0" fillId="0" borderId="0" xfId="0" applyNumberFormat="1" applyFill="1"/>
    <xf numFmtId="172" fontId="0" fillId="22" borderId="0" xfId="0" applyNumberFormat="1" applyFill="1" applyAlignment="1">
      <alignment horizontal="center"/>
    </xf>
    <xf numFmtId="44" fontId="0" fillId="22" borderId="0" xfId="3" applyFont="1" applyFill="1"/>
    <xf numFmtId="165" fontId="0" fillId="22" borderId="0" xfId="3" applyNumberFormat="1" applyFont="1" applyFill="1"/>
    <xf numFmtId="0" fontId="39" fillId="0" borderId="0" xfId="0" applyFont="1" applyAlignment="1">
      <alignment vertical="center"/>
    </xf>
    <xf numFmtId="0" fontId="79" fillId="0" borderId="0" xfId="0" applyFont="1" applyFill="1"/>
    <xf numFmtId="0" fontId="81" fillId="0" borderId="0" xfId="0" applyFont="1" applyFill="1"/>
    <xf numFmtId="44" fontId="0" fillId="0" borderId="0" xfId="0" applyNumberFormat="1"/>
    <xf numFmtId="0" fontId="29" fillId="8" borderId="0" xfId="8" applyFont="1" applyFill="1" applyBorder="1" applyAlignment="1">
      <alignment horizontal="center" wrapText="1"/>
    </xf>
    <xf numFmtId="0" fontId="29" fillId="16" borderId="0" xfId="8" applyFont="1" applyFill="1" applyBorder="1" applyAlignment="1">
      <alignment horizontal="center" wrapText="1"/>
    </xf>
    <xf numFmtId="0" fontId="54" fillId="0" borderId="0" xfId="0" applyFont="1" applyAlignment="1">
      <alignment horizontal="center"/>
    </xf>
    <xf numFmtId="0" fontId="0" fillId="0" borderId="25" xfId="0" applyBorder="1" applyAlignment="1">
      <alignment horizontal="left" vertical="top" wrapText="1"/>
    </xf>
    <xf numFmtId="0" fontId="0" fillId="0" borderId="24" xfId="0" applyBorder="1" applyAlignment="1">
      <alignment horizontal="left" vertical="top" wrapText="1"/>
    </xf>
    <xf numFmtId="0" fontId="0" fillId="0" borderId="26" xfId="0" applyBorder="1" applyAlignment="1">
      <alignment horizontal="left" vertical="top" wrapText="1"/>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29" xfId="0" applyBorder="1" applyAlignment="1">
      <alignment horizontal="left" vertical="top" wrapText="1"/>
    </xf>
    <xf numFmtId="0" fontId="0" fillId="0" borderId="30" xfId="0" applyBorder="1" applyAlignment="1">
      <alignment horizontal="left" vertical="top" wrapText="1"/>
    </xf>
    <xf numFmtId="0" fontId="0" fillId="0" borderId="6" xfId="0" applyBorder="1" applyAlignment="1">
      <alignment horizontal="left" vertical="top" wrapText="1"/>
    </xf>
    <xf numFmtId="0" fontId="0" fillId="0" borderId="31" xfId="0" applyBorder="1" applyAlignment="1">
      <alignment horizontal="left" vertical="top" wrapText="1"/>
    </xf>
    <xf numFmtId="167" fontId="17" fillId="0" borderId="0" xfId="4" applyNumberFormat="1" applyFont="1" applyBorder="1" applyAlignment="1">
      <alignment horizontal="left"/>
    </xf>
    <xf numFmtId="0" fontId="17" fillId="0" borderId="0" xfId="0" applyFont="1" applyAlignment="1">
      <alignment horizontal="left" vertical="center" wrapText="1"/>
    </xf>
    <xf numFmtId="0" fontId="13" fillId="6" borderId="0" xfId="0" applyFont="1" applyFill="1" applyAlignment="1">
      <alignment horizontal="center"/>
    </xf>
    <xf numFmtId="0" fontId="7" fillId="0" borderId="0" xfId="0" applyFont="1" applyAlignment="1">
      <alignment horizontal="left" vertical="top" wrapText="1"/>
    </xf>
    <xf numFmtId="0" fontId="0" fillId="0" borderId="0" xfId="0" applyAlignment="1">
      <alignment horizontal="left" indent="1"/>
    </xf>
    <xf numFmtId="0" fontId="7" fillId="2" borderId="0" xfId="0" applyFont="1" applyFill="1" applyAlignment="1">
      <alignment horizontal="left" vertical="center" wrapText="1"/>
    </xf>
    <xf numFmtId="0" fontId="39" fillId="2" borderId="0" xfId="0" applyFont="1" applyFill="1" applyAlignment="1">
      <alignment vertical="center" wrapText="1"/>
    </xf>
    <xf numFmtId="0" fontId="68" fillId="2" borderId="0" xfId="0" applyFont="1" applyFill="1" applyAlignment="1">
      <alignment horizontal="center" vertical="center" wrapText="1"/>
    </xf>
    <xf numFmtId="0" fontId="68" fillId="2" borderId="29" xfId="0" applyFont="1" applyFill="1" applyBorder="1" applyAlignment="1">
      <alignment horizontal="center" vertical="center" wrapText="1"/>
    </xf>
    <xf numFmtId="0" fontId="45" fillId="0" borderId="25" xfId="0" applyFont="1" applyBorder="1" applyAlignment="1">
      <alignment horizontal="center"/>
    </xf>
    <xf numFmtId="0" fontId="45" fillId="0" borderId="24" xfId="0" applyFont="1" applyBorder="1" applyAlignment="1">
      <alignment horizontal="center"/>
    </xf>
    <xf numFmtId="0" fontId="45" fillId="0" borderId="26" xfId="0" applyFont="1" applyBorder="1" applyAlignment="1">
      <alignment horizontal="center"/>
    </xf>
    <xf numFmtId="10" fontId="15" fillId="0" borderId="0" xfId="4" applyNumberFormat="1" applyFont="1" applyAlignment="1">
      <alignment horizontal="center"/>
    </xf>
    <xf numFmtId="0" fontId="39" fillId="0" borderId="0" xfId="0" applyFont="1" applyBorder="1" applyAlignment="1">
      <alignment horizontal="center"/>
    </xf>
    <xf numFmtId="167" fontId="17" fillId="0" borderId="6" xfId="4" applyNumberFormat="1" applyFont="1" applyBorder="1" applyAlignment="1">
      <alignment horizontal="center"/>
    </xf>
    <xf numFmtId="0" fontId="51" fillId="0" borderId="9" xfId="0" applyFont="1" applyBorder="1" applyAlignment="1">
      <alignment horizontal="center"/>
    </xf>
    <xf numFmtId="0" fontId="17" fillId="0" borderId="0" xfId="0" applyFont="1" applyBorder="1" applyAlignment="1">
      <alignment horizontal="center"/>
    </xf>
    <xf numFmtId="0" fontId="17" fillId="0" borderId="29" xfId="0" applyFont="1" applyBorder="1" applyAlignment="1">
      <alignment horizontal="center"/>
    </xf>
    <xf numFmtId="0" fontId="83" fillId="0" borderId="0" xfId="0" applyFont="1" applyBorder="1" applyAlignment="1">
      <alignment horizontal="center"/>
    </xf>
    <xf numFmtId="0" fontId="83" fillId="0" borderId="29" xfId="0" applyFont="1" applyBorder="1" applyAlignment="1">
      <alignment horizontal="center"/>
    </xf>
    <xf numFmtId="167" fontId="17" fillId="0" borderId="24" xfId="4" applyNumberFormat="1" applyFont="1" applyBorder="1" applyAlignment="1">
      <alignment horizontal="left"/>
    </xf>
    <xf numFmtId="0" fontId="36" fillId="4" borderId="0" xfId="0" applyFont="1" applyFill="1" applyBorder="1" applyAlignment="1">
      <alignment horizontal="center" vertical="center"/>
    </xf>
    <xf numFmtId="0" fontId="31" fillId="4" borderId="0" xfId="0" applyFont="1" applyFill="1" applyBorder="1" applyAlignment="1">
      <alignment horizontal="center" vertical="center"/>
    </xf>
    <xf numFmtId="0" fontId="79" fillId="0" borderId="0" xfId="0" applyFont="1" applyFill="1" applyAlignment="1">
      <alignment horizontal="left" wrapText="1"/>
    </xf>
    <xf numFmtId="0" fontId="74" fillId="4" borderId="0" xfId="0" applyFont="1" applyFill="1" applyBorder="1" applyAlignment="1">
      <alignment horizontal="center"/>
    </xf>
    <xf numFmtId="0" fontId="31" fillId="4" borderId="0" xfId="0" applyFont="1" applyFill="1" applyAlignment="1">
      <alignment horizontal="center" vertical="center"/>
    </xf>
    <xf numFmtId="0" fontId="7" fillId="4" borderId="0" xfId="0" applyFont="1" applyFill="1" applyBorder="1" applyAlignment="1">
      <alignment horizontal="center" wrapText="1"/>
    </xf>
    <xf numFmtId="0" fontId="65" fillId="0" borderId="0" xfId="0" applyFont="1" applyAlignment="1">
      <alignment horizontal="center" wrapText="1"/>
    </xf>
    <xf numFmtId="0" fontId="66" fillId="0" borderId="0" xfId="0" applyFont="1" applyAlignment="1">
      <alignment horizontal="center" wrapText="1"/>
    </xf>
    <xf numFmtId="0" fontId="73" fillId="17" borderId="0" xfId="0" applyFont="1" applyFill="1" applyBorder="1" applyAlignment="1" applyProtection="1">
      <alignment horizontal="center"/>
      <protection locked="0"/>
    </xf>
    <xf numFmtId="0" fontId="38" fillId="17" borderId="0" xfId="0" applyFont="1" applyFill="1" applyBorder="1" applyAlignment="1">
      <alignment horizontal="right"/>
    </xf>
    <xf numFmtId="0" fontId="38" fillId="17" borderId="0" xfId="0" applyFont="1" applyFill="1" applyBorder="1" applyAlignment="1" applyProtection="1">
      <alignment horizontal="right"/>
      <protection locked="0"/>
    </xf>
    <xf numFmtId="0" fontId="80" fillId="0" borderId="0" xfId="0" applyFont="1" applyFill="1" applyAlignment="1">
      <alignment horizontal="left" wrapText="1"/>
    </xf>
    <xf numFmtId="0" fontId="56" fillId="18" borderId="0" xfId="0" quotePrefix="1" applyFont="1" applyFill="1" applyBorder="1" applyAlignment="1">
      <alignment horizontal="center"/>
    </xf>
    <xf numFmtId="0" fontId="9" fillId="21" borderId="30" xfId="0" quotePrefix="1" applyFont="1" applyFill="1" applyBorder="1" applyAlignment="1">
      <alignment horizontal="center"/>
    </xf>
    <xf numFmtId="0" fontId="9" fillId="21" borderId="6" xfId="0" quotePrefix="1" applyFont="1" applyFill="1" applyBorder="1" applyAlignment="1">
      <alignment horizontal="center"/>
    </xf>
    <xf numFmtId="0" fontId="55" fillId="0" borderId="0" xfId="0" applyFont="1" applyAlignment="1">
      <alignment horizontal="left" vertical="center" wrapText="1"/>
    </xf>
    <xf numFmtId="9" fontId="28" fillId="0" borderId="35" xfId="4" applyFont="1" applyFill="1" applyBorder="1" applyAlignment="1">
      <alignment horizontal="center" vertical="center" wrapText="1"/>
    </xf>
    <xf numFmtId="9" fontId="28" fillId="0" borderId="8" xfId="4" applyFont="1" applyFill="1" applyBorder="1" applyAlignment="1">
      <alignment horizontal="center" vertical="center" wrapText="1"/>
    </xf>
    <xf numFmtId="0" fontId="28" fillId="0" borderId="35" xfId="5" applyFont="1" applyFill="1" applyBorder="1" applyAlignment="1">
      <alignment horizontal="center" vertical="center" wrapText="1"/>
    </xf>
    <xf numFmtId="0" fontId="28" fillId="0" borderId="8" xfId="5" applyFont="1" applyFill="1" applyBorder="1" applyAlignment="1">
      <alignment horizontal="center" vertical="center"/>
    </xf>
    <xf numFmtId="0" fontId="28" fillId="0" borderId="23" xfId="5" applyFont="1" applyBorder="1" applyAlignment="1">
      <alignment horizontal="center" vertical="center"/>
    </xf>
    <xf numFmtId="0" fontId="28" fillId="0" borderId="23" xfId="5" applyFont="1" applyBorder="1" applyAlignment="1">
      <alignment horizontal="center" wrapText="1"/>
    </xf>
    <xf numFmtId="0" fontId="28" fillId="0" borderId="23" xfId="5" applyFont="1" applyBorder="1" applyAlignment="1">
      <alignment horizontal="center"/>
    </xf>
    <xf numFmtId="0" fontId="7" fillId="0" borderId="0" xfId="0" applyFont="1" applyBorder="1" applyAlignment="1">
      <alignment horizontal="center"/>
    </xf>
    <xf numFmtId="0" fontId="7" fillId="0" borderId="28" xfId="0" applyFont="1" applyBorder="1" applyAlignment="1">
      <alignment horizontal="center"/>
    </xf>
    <xf numFmtId="0" fontId="7" fillId="0" borderId="27" xfId="0" applyFont="1" applyBorder="1" applyAlignment="1">
      <alignment horizontal="center"/>
    </xf>
    <xf numFmtId="0" fontId="0" fillId="0" borderId="0" xfId="0" applyAlignment="1">
      <alignment horizontal="center"/>
    </xf>
    <xf numFmtId="0" fontId="29" fillId="16" borderId="0" xfId="8" applyFont="1" applyFill="1" applyBorder="1" applyAlignment="1">
      <alignment horizontal="center" wrapText="1"/>
    </xf>
    <xf numFmtId="0" fontId="29" fillId="7" borderId="0" xfId="8" applyFont="1" applyFill="1" applyBorder="1" applyAlignment="1">
      <alignment horizontal="center" wrapText="1"/>
    </xf>
    <xf numFmtId="0" fontId="29" fillId="7" borderId="12" xfId="8" applyFont="1" applyFill="1" applyBorder="1" applyAlignment="1">
      <alignment horizontal="center" wrapText="1"/>
    </xf>
    <xf numFmtId="0" fontId="29" fillId="7" borderId="11" xfId="8" applyFont="1" applyFill="1" applyBorder="1" applyAlignment="1">
      <alignment horizontal="center" wrapText="1"/>
    </xf>
    <xf numFmtId="0" fontId="29" fillId="8" borderId="0" xfId="8" applyFont="1" applyFill="1" applyBorder="1" applyAlignment="1">
      <alignment horizontal="center" wrapText="1"/>
    </xf>
    <xf numFmtId="0" fontId="29" fillId="8" borderId="11" xfId="8" applyFont="1" applyFill="1" applyBorder="1" applyAlignment="1">
      <alignment horizontal="center" wrapText="1"/>
    </xf>
    <xf numFmtId="0" fontId="29" fillId="9" borderId="0" xfId="8" applyFont="1" applyFill="1" applyBorder="1" applyAlignment="1">
      <alignment horizontal="center" wrapText="1"/>
    </xf>
    <xf numFmtId="0" fontId="29" fillId="9" borderId="21" xfId="8" applyFont="1" applyFill="1" applyBorder="1" applyAlignment="1">
      <alignment horizontal="center" wrapText="1"/>
    </xf>
    <xf numFmtId="0" fontId="29" fillId="7" borderId="0" xfId="8" applyFont="1" applyFill="1" applyBorder="1" applyAlignment="1">
      <alignment horizontal="left" wrapText="1"/>
    </xf>
    <xf numFmtId="0" fontId="29" fillId="14" borderId="0" xfId="8" applyFont="1" applyFill="1" applyBorder="1" applyAlignment="1">
      <alignment horizontal="left" wrapText="1"/>
    </xf>
    <xf numFmtId="0" fontId="29" fillId="14" borderId="0" xfId="8" applyFont="1" applyFill="1" applyBorder="1" applyAlignment="1">
      <alignment horizontal="center" wrapText="1"/>
    </xf>
    <xf numFmtId="0" fontId="29" fillId="14" borderId="11" xfId="8" applyFont="1" applyFill="1" applyBorder="1" applyAlignment="1">
      <alignment horizontal="center" wrapText="1"/>
    </xf>
  </cellXfs>
  <cellStyles count="24">
    <cellStyle name="Comma" xfId="1" builtinId="3"/>
    <cellStyle name="Comma 10" xfId="12" xr:uid="{00000000-0005-0000-0000-000001000000}"/>
    <cellStyle name="Comma 2" xfId="14" xr:uid="{00000000-0005-0000-0000-000002000000}"/>
    <cellStyle name="Comma 2 2" xfId="22" xr:uid="{00000000-0005-0000-0000-000003000000}"/>
    <cellStyle name="Currency" xfId="3" builtinId="4"/>
    <cellStyle name="Currency 2" xfId="15" xr:uid="{00000000-0005-0000-0000-000005000000}"/>
    <cellStyle name="Normal" xfId="0" builtinId="0"/>
    <cellStyle name="Normal 12" xfId="10" xr:uid="{00000000-0005-0000-0000-000007000000}"/>
    <cellStyle name="Normal 19 2" xfId="7" xr:uid="{00000000-0005-0000-0000-000008000000}"/>
    <cellStyle name="Normal 2" xfId="5" xr:uid="{00000000-0005-0000-0000-000009000000}"/>
    <cellStyle name="Normal 2 2" xfId="8" xr:uid="{00000000-0005-0000-0000-00000A000000}"/>
    <cellStyle name="Normal 2 2 2 2 2 2" xfId="23" xr:uid="{8B4997D7-9C41-40E4-916D-C24A7F8B9777}"/>
    <cellStyle name="Normal 27" xfId="21" xr:uid="{00000000-0005-0000-0000-00000B000000}"/>
    <cellStyle name="Normal 3" xfId="9" xr:uid="{00000000-0005-0000-0000-00000C000000}"/>
    <cellStyle name="Normal 3 2" xfId="20" xr:uid="{00000000-0005-0000-0000-00000D000000}"/>
    <cellStyle name="Normal 4" xfId="13" xr:uid="{00000000-0005-0000-0000-00000E000000}"/>
    <cellStyle name="Normal 4 4" xfId="11" xr:uid="{00000000-0005-0000-0000-00000F000000}"/>
    <cellStyle name="Normal 5" xfId="17" xr:uid="{00000000-0005-0000-0000-000010000000}"/>
    <cellStyle name="Normal 6" xfId="19" xr:uid="{00000000-0005-0000-0000-000011000000}"/>
    <cellStyle name="Normal_1220R10" xfId="2" xr:uid="{00000000-0005-0000-0000-000012000000}"/>
    <cellStyle name="Percent" xfId="4" builtinId="5"/>
    <cellStyle name="Percent 2" xfId="6" xr:uid="{00000000-0005-0000-0000-000014000000}"/>
    <cellStyle name="Percent 3" xfId="16" xr:uid="{00000000-0005-0000-0000-000015000000}"/>
    <cellStyle name="Percent 4" xfId="18" xr:uid="{00000000-0005-0000-0000-000016000000}"/>
  </cellStyles>
  <dxfs count="14">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
      <fill>
        <patternFill>
          <bgColor theme="2" tint="-9.9948118533890809E-2"/>
        </patternFill>
      </fill>
    </dxf>
  </dxfs>
  <tableStyles count="0" defaultTableStyle="TableStyleMedium2" defaultPivotStyle="PivotStyleLight16"/>
  <colors>
    <mruColors>
      <color rgb="FFE6B6F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waleg-my.sharepoint.com/My%20Documents/08%20session/Federal%20way%20Ruling/Grandfathered%20salary%20districtsblowu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fmapoly006\ftp_leg\K-12\2012%20Supp\New%20Stuff\option%202%20four%20fewer%20day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aleg-my.sharepoint.com/TSB%20Projects/DSH/17%20WMIP%20Update/WMIP%20RatingModel_20060414%20MP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fm\gwu\Documents%20and%20Settings\mann_mi\Desktop\09-11_MegaModel_ML_03.09.09_MarchLegM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M page"/>
      <sheetName val="Calc Page"/>
      <sheetName val="Master Results - 2007-09"/>
      <sheetName val="Master Results - &quot;Raise Water&quot; "/>
      <sheetName val="Master Results - Melt Iceberg"/>
      <sheetName val="AsmMG"/>
      <sheetName val="RatesPg"/>
      <sheetName val="All Staff"/>
      <sheetName val="LEAP doc 2007session"/>
      <sheetName val="CIS Staff in all Programs S275"/>
      <sheetName val="BCP"/>
      <sheetName val="HouseItems"/>
      <sheetName val="WinsumItems"/>
      <sheetName val="OldTitles"/>
      <sheetName val="Titles"/>
      <sheetName val="Stp"/>
      <sheetName val="Tot"/>
      <sheetName val="PAS"/>
      <sheetName val="SPI"/>
      <sheetName val="App"/>
      <sheetName val="Spe"/>
      <sheetName val="Trn"/>
      <sheetName val="ESD"/>
      <sheetName val="LEA"/>
      <sheetName val="Ins"/>
      <sheetName val="Gft"/>
      <sheetName val="Bil"/>
      <sheetName val="Ref"/>
      <sheetName val="LAP"/>
      <sheetName val="SAF"/>
      <sheetName val="Cmp"/>
      <sheetName val="MiscLoad"/>
      <sheetName val="WinSum"/>
      <sheetName val="CFL"/>
      <sheetName val="SalSch"/>
      <sheetName val="Allotments"/>
      <sheetName val="Source Notes"/>
      <sheetName val="Mac"/>
      <sheetName val="Mix"/>
      <sheetName val="1% exta each year"/>
      <sheetName val="1% w prorate at 25% of top4"/>
      <sheetName val="All at once in 09"/>
      <sheetName val="Utilities"/>
      <sheetName val="WinSumVBA"/>
      <sheetName val="Globa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Pension Rates"/>
      <sheetName val="Global Uploads Reconcilliation"/>
      <sheetName val="Apportionment Delay"/>
      <sheetName val="Small School NERC"/>
      <sheetName val="Cross Walk"/>
      <sheetName val="Cross Walk (2)"/>
      <sheetName val="School Days"/>
      <sheetName val="Preview"/>
      <sheetName val="Estimate Steps"/>
      <sheetName val="PivotStepTableNGFS"/>
      <sheetName val="BCP"/>
      <sheetName val="WinSum"/>
      <sheetName val="Titles"/>
      <sheetName val="Assumptions"/>
      <sheetName val="Totals"/>
      <sheetName val="Apportionment"/>
      <sheetName val="BEARate2261"/>
      <sheetName val="Transportation"/>
      <sheetName val="Comp"/>
      <sheetName val="SpecEd"/>
      <sheetName val="LAP"/>
      <sheetName val="Bilingual"/>
      <sheetName val="HighlyCapable"/>
      <sheetName val="LEA"/>
      <sheetName val="ESD"/>
      <sheetName val="SAF"/>
      <sheetName val="SPI"/>
      <sheetName val="EdReform"/>
      <sheetName val="Institutions"/>
      <sheetName val="StpDB"/>
      <sheetName val="Stp"/>
      <sheetName val="Misc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Item</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ims"/>
      <sheetName val="MM"/>
      <sheetName val="CSDB"/>
      <sheetName val="NHCS"/>
      <sheetName val="1"/>
      <sheetName val="MO_VT"/>
      <sheetName val="DE_VT"/>
      <sheetName val="MO_TBI"/>
      <sheetName val="DE_TBI"/>
      <sheetName val="Index"/>
      <sheetName val="Summary"/>
      <sheetName val="Costmodel"/>
      <sheetName val="Rates"/>
      <sheetName val="TableIndex"/>
      <sheetName val="C-1"/>
      <sheetName val="C-2"/>
      <sheetName val="C-3"/>
      <sheetName val="C-4"/>
      <sheetName val="D-1"/>
      <sheetName val="D-2"/>
      <sheetName val="D-3"/>
      <sheetName val="E-1"/>
      <sheetName val="F-1"/>
      <sheetName val="D-1a"/>
      <sheetName val="D-2a"/>
      <sheetName val="D-1b"/>
      <sheetName val="D-2b"/>
      <sheetName val="Age_Gender"/>
      <sheetName val="Well Managed"/>
      <sheetName val="HMO_CY05"/>
      <sheetName val="HMO_CY06"/>
      <sheetName val="WM Adj."/>
      <sheetName val="65+ AF"/>
      <sheetName val="65+ Util"/>
      <sheetName val="65+ Cost"/>
      <sheetName val="65+ AG"/>
      <sheetName val="&lt;65 AG"/>
      <sheetName val="&lt;65 Util_Cost"/>
      <sheetName val="&lt;65 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P"/>
      <sheetName val="HouseItems"/>
      <sheetName val="WinsumItems"/>
      <sheetName val="OldTitles"/>
      <sheetName val="XTitles26Jan2009"/>
      <sheetName val="Titles"/>
      <sheetName val="StpPTTotal"/>
      <sheetName val="StpPTGFS"/>
      <sheetName val="StpPTNGFS"/>
      <sheetName val="Stp"/>
      <sheetName val="Asm"/>
      <sheetName val="Ref"/>
      <sheetName val="RatesPg"/>
      <sheetName val="Transparency"/>
      <sheetName val="Tot"/>
      <sheetName val="ReductionTarget"/>
      <sheetName val="PAS"/>
      <sheetName val="SPI"/>
      <sheetName val="App"/>
      <sheetName val="Spe"/>
      <sheetName val="Trn"/>
      <sheetName val="ESD"/>
      <sheetName val="LEA"/>
      <sheetName val="Ins"/>
      <sheetName val="Gft"/>
      <sheetName val="Bil"/>
      <sheetName val="LAP"/>
      <sheetName val="SAF"/>
      <sheetName val="Cmp"/>
      <sheetName val="MiscLoad"/>
      <sheetName val="WinSum"/>
      <sheetName val="CFL"/>
      <sheetName val="SalSch"/>
      <sheetName val="Allotments"/>
      <sheetName val="Mac"/>
      <sheetName val="Utilities"/>
      <sheetName val="WinSumVBA"/>
      <sheetName val="Globals"/>
      <sheetName val="StpDB"/>
      <sheetName val="Proviso.Work"/>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 sheetId="15"/>
      <sheetData sheetId="16"/>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dimension ref="A1:D321"/>
  <sheetViews>
    <sheetView workbookViewId="0"/>
  </sheetViews>
  <sheetFormatPr defaultColWidth="8.77734375" defaultRowHeight="14.4"/>
  <cols>
    <col min="1" max="1" width="8.77734375" style="307"/>
    <col min="2" max="2" width="26.21875" style="307" customWidth="1"/>
    <col min="3" max="3" width="33.21875" style="307" bestFit="1" customWidth="1"/>
    <col min="4" max="4" width="8.77734375" style="309"/>
    <col min="5" max="16384" width="8.77734375" style="307"/>
  </cols>
  <sheetData>
    <row r="1" spans="1:4" s="312" customFormat="1">
      <c r="A1" s="310" t="s">
        <v>623</v>
      </c>
      <c r="B1" s="310" t="s">
        <v>1225</v>
      </c>
      <c r="C1" s="310" t="s">
        <v>1234</v>
      </c>
      <c r="D1" s="311" t="s">
        <v>623</v>
      </c>
    </row>
    <row r="2" spans="1:4">
      <c r="A2" s="306" t="s">
        <v>627</v>
      </c>
      <c r="B2" s="306" t="s">
        <v>871</v>
      </c>
      <c r="C2" s="306" t="str">
        <f>CONCATENATE(A2," - ",B2)</f>
        <v>00000 - State Summary</v>
      </c>
      <c r="D2" s="308" t="str">
        <f>A2</f>
        <v>00000</v>
      </c>
    </row>
    <row r="3" spans="1:4" s="312" customFormat="1" ht="8.5500000000000007" customHeight="1">
      <c r="A3" s="310"/>
      <c r="B3" s="310"/>
      <c r="C3" s="310"/>
      <c r="D3" s="311"/>
    </row>
    <row r="4" spans="1:4">
      <c r="A4" s="306" t="s">
        <v>141</v>
      </c>
      <c r="B4" s="306" t="s">
        <v>142</v>
      </c>
      <c r="C4" s="306" t="str">
        <f>CONCATENATE(A4," - ",B4)</f>
        <v>14005 - Aberdeen School District</v>
      </c>
      <c r="D4" s="308" t="str">
        <f>A4</f>
        <v>14005</v>
      </c>
    </row>
    <row r="5" spans="1:4">
      <c r="A5" s="306" t="s">
        <v>279</v>
      </c>
      <c r="B5" s="306" t="s">
        <v>280</v>
      </c>
      <c r="C5" s="306" t="str">
        <f t="shared" ref="C5:C68" si="0">CONCATENATE(A5," - ",B5)</f>
        <v>21226 - Adna School District</v>
      </c>
      <c r="D5" s="308" t="str">
        <f t="shared" ref="D5:D68" si="1">A5</f>
        <v>21226</v>
      </c>
    </row>
    <row r="6" spans="1:4">
      <c r="A6" s="306" t="s">
        <v>301</v>
      </c>
      <c r="B6" s="306" t="s">
        <v>302</v>
      </c>
      <c r="C6" s="306" t="str">
        <f t="shared" si="0"/>
        <v>22017 - Almira School District</v>
      </c>
      <c r="D6" s="308" t="str">
        <f t="shared" si="1"/>
        <v>22017</v>
      </c>
    </row>
    <row r="7" spans="1:4">
      <c r="A7" s="306" t="s">
        <v>407</v>
      </c>
      <c r="B7" s="306" t="s">
        <v>408</v>
      </c>
      <c r="C7" s="306" t="str">
        <f t="shared" si="0"/>
        <v>29103 - Anacortes School District</v>
      </c>
      <c r="D7" s="308" t="str">
        <f t="shared" si="1"/>
        <v>29103</v>
      </c>
    </row>
    <row r="8" spans="1:4">
      <c r="A8" s="306" t="s">
        <v>431</v>
      </c>
      <c r="B8" s="306" t="s">
        <v>432</v>
      </c>
      <c r="C8" s="306" t="str">
        <f t="shared" si="0"/>
        <v>31016 - Arlington School District</v>
      </c>
      <c r="D8" s="308" t="str">
        <f t="shared" si="1"/>
        <v>31016</v>
      </c>
    </row>
    <row r="9" spans="1:4">
      <c r="A9" s="306" t="s">
        <v>15</v>
      </c>
      <c r="B9" s="306" t="s">
        <v>16</v>
      </c>
      <c r="C9" s="306" t="str">
        <f t="shared" si="0"/>
        <v>02420 - Asotin-Anatone School District</v>
      </c>
      <c r="D9" s="308" t="str">
        <f t="shared" si="1"/>
        <v>02420</v>
      </c>
    </row>
    <row r="10" spans="1:4">
      <c r="A10" s="306" t="s">
        <v>205</v>
      </c>
      <c r="B10" s="306" t="s">
        <v>206</v>
      </c>
      <c r="C10" s="306" t="str">
        <f t="shared" si="0"/>
        <v>17408 - Auburn School District</v>
      </c>
      <c r="D10" s="308" t="str">
        <f t="shared" si="1"/>
        <v>17408</v>
      </c>
    </row>
    <row r="11" spans="1:4">
      <c r="A11" s="306" t="s">
        <v>229</v>
      </c>
      <c r="B11" s="306" t="s">
        <v>230</v>
      </c>
      <c r="C11" s="306" t="str">
        <f t="shared" si="0"/>
        <v>18303 - Bainbridge Island School District</v>
      </c>
      <c r="D11" s="308" t="str">
        <f t="shared" si="1"/>
        <v>18303</v>
      </c>
    </row>
    <row r="12" spans="1:4">
      <c r="A12" s="306" t="s">
        <v>69</v>
      </c>
      <c r="B12" s="306" t="s">
        <v>70</v>
      </c>
      <c r="C12" s="306" t="str">
        <f t="shared" si="0"/>
        <v>06119 - Battle Ground School District</v>
      </c>
      <c r="D12" s="308" t="str">
        <f t="shared" si="1"/>
        <v>06119</v>
      </c>
    </row>
    <row r="13" spans="1:4">
      <c r="A13" s="306" t="s">
        <v>199</v>
      </c>
      <c r="B13" s="306" t="s">
        <v>200</v>
      </c>
      <c r="C13" s="306" t="str">
        <f t="shared" si="0"/>
        <v>17405 - Bellevue School District</v>
      </c>
      <c r="D13" s="308" t="str">
        <f t="shared" si="1"/>
        <v>17405</v>
      </c>
    </row>
    <row r="14" spans="1:4">
      <c r="A14" s="306" t="s">
        <v>539</v>
      </c>
      <c r="B14" s="306" t="s">
        <v>540</v>
      </c>
      <c r="C14" s="306" t="str">
        <f t="shared" si="0"/>
        <v>37501 - Bellingham School District</v>
      </c>
      <c r="D14" s="308" t="str">
        <f t="shared" si="1"/>
        <v>37501</v>
      </c>
    </row>
    <row r="15" spans="1:4">
      <c r="A15" s="306" t="s">
        <v>5</v>
      </c>
      <c r="B15" s="306" t="s">
        <v>6</v>
      </c>
      <c r="C15" s="306" t="str">
        <f t="shared" si="0"/>
        <v>01122 - Benge School District</v>
      </c>
      <c r="D15" s="308" t="str">
        <f t="shared" si="1"/>
        <v>01122</v>
      </c>
    </row>
    <row r="16" spans="1:4">
      <c r="A16" s="306" t="s">
        <v>383</v>
      </c>
      <c r="B16" s="306" t="s">
        <v>384</v>
      </c>
      <c r="C16" s="306" t="str">
        <f t="shared" si="0"/>
        <v>27403 - Bethel School District</v>
      </c>
      <c r="D16" s="308" t="str">
        <f t="shared" si="1"/>
        <v>27403</v>
      </c>
    </row>
    <row r="17" spans="1:4">
      <c r="A17" s="306" t="s">
        <v>253</v>
      </c>
      <c r="B17" s="306" t="s">
        <v>254</v>
      </c>
      <c r="C17" s="306" t="str">
        <f t="shared" si="0"/>
        <v>20203 - Bickleton School District</v>
      </c>
      <c r="D17" s="308" t="str">
        <f t="shared" si="1"/>
        <v>20203</v>
      </c>
    </row>
    <row r="18" spans="1:4">
      <c r="A18" s="306" t="s">
        <v>543</v>
      </c>
      <c r="B18" s="306" t="s">
        <v>544</v>
      </c>
      <c r="C18" s="306" t="str">
        <f t="shared" si="0"/>
        <v>37503 - Blaine School District</v>
      </c>
      <c r="D18" s="308" t="str">
        <f t="shared" si="1"/>
        <v>37503</v>
      </c>
    </row>
    <row r="19" spans="1:4">
      <c r="A19" s="306" t="s">
        <v>283</v>
      </c>
      <c r="B19" s="306" t="s">
        <v>284</v>
      </c>
      <c r="C19" s="306" t="str">
        <f t="shared" si="0"/>
        <v>21234 - Boistfort School District</v>
      </c>
      <c r="D19" s="308" t="str">
        <f t="shared" si="1"/>
        <v>21234</v>
      </c>
    </row>
    <row r="20" spans="1:4">
      <c r="A20" s="306" t="s">
        <v>227</v>
      </c>
      <c r="B20" s="306" t="s">
        <v>228</v>
      </c>
      <c r="C20" s="306" t="str">
        <f t="shared" si="0"/>
        <v>18100 - Bremerton School District</v>
      </c>
      <c r="D20" s="308" t="str">
        <f t="shared" si="1"/>
        <v>18100</v>
      </c>
    </row>
    <row r="21" spans="1:4">
      <c r="A21" s="306" t="s">
        <v>333</v>
      </c>
      <c r="B21" s="306" t="s">
        <v>334</v>
      </c>
      <c r="C21" s="306" t="str">
        <f t="shared" si="0"/>
        <v>24111 - Brewster School District</v>
      </c>
      <c r="D21" s="308" t="str">
        <f t="shared" si="1"/>
        <v>24111</v>
      </c>
    </row>
    <row r="22" spans="1:4">
      <c r="A22" s="306" t="s">
        <v>91</v>
      </c>
      <c r="B22" s="306" t="s">
        <v>92</v>
      </c>
      <c r="C22" s="306" t="str">
        <f t="shared" si="0"/>
        <v>09075 - Bridgeport School District</v>
      </c>
      <c r="D22" s="308" t="str">
        <f t="shared" si="1"/>
        <v>09075</v>
      </c>
    </row>
    <row r="23" spans="1:4">
      <c r="A23" s="306" t="s">
        <v>175</v>
      </c>
      <c r="B23" s="306" t="s">
        <v>176</v>
      </c>
      <c r="C23" s="306" t="str">
        <f t="shared" si="0"/>
        <v>16046 - Brinnon School District</v>
      </c>
      <c r="D23" s="308" t="str">
        <f t="shared" si="1"/>
        <v>16046</v>
      </c>
    </row>
    <row r="24" spans="1:4">
      <c r="A24" s="306" t="s">
        <v>403</v>
      </c>
      <c r="B24" s="306" t="s">
        <v>404</v>
      </c>
      <c r="C24" s="306" t="str">
        <f t="shared" si="0"/>
        <v>29100 - Burlington-Edison School District</v>
      </c>
      <c r="D24" s="308" t="str">
        <f t="shared" si="1"/>
        <v>29100</v>
      </c>
    </row>
    <row r="25" spans="1:4">
      <c r="A25" s="306" t="s">
        <v>67</v>
      </c>
      <c r="B25" s="306" t="s">
        <v>68</v>
      </c>
      <c r="C25" s="306" t="str">
        <f t="shared" si="0"/>
        <v>06117 - Camas School District</v>
      </c>
      <c r="D25" s="308" t="str">
        <f t="shared" si="1"/>
        <v>06117</v>
      </c>
    </row>
    <row r="26" spans="1:4">
      <c r="A26" s="306" t="s">
        <v>49</v>
      </c>
      <c r="B26" s="306" t="s">
        <v>50</v>
      </c>
      <c r="C26" s="306" t="str">
        <f t="shared" si="0"/>
        <v>05401 - Cape Flattery School District</v>
      </c>
      <c r="D26" s="308" t="str">
        <f t="shared" si="1"/>
        <v>05401</v>
      </c>
    </row>
    <row r="27" spans="1:4">
      <c r="A27" s="306" t="s">
        <v>367</v>
      </c>
      <c r="B27" s="306" t="s">
        <v>368</v>
      </c>
      <c r="C27" s="306" t="str">
        <f t="shared" si="0"/>
        <v>27019 - Carbonado School District</v>
      </c>
      <c r="D27" s="308" t="str">
        <f t="shared" si="1"/>
        <v>27019</v>
      </c>
    </row>
    <row r="28" spans="1:4">
      <c r="A28" s="306" t="s">
        <v>1226</v>
      </c>
      <c r="B28" s="306" t="s">
        <v>1227</v>
      </c>
      <c r="C28" s="306" t="str">
        <f t="shared" si="0"/>
        <v>17917 - Cascade Public Schools</v>
      </c>
      <c r="D28" s="308" t="str">
        <f t="shared" si="1"/>
        <v>17917</v>
      </c>
    </row>
    <row r="29" spans="1:4">
      <c r="A29" s="306" t="s">
        <v>39</v>
      </c>
      <c r="B29" s="306" t="s">
        <v>40</v>
      </c>
      <c r="C29" s="306" t="str">
        <f t="shared" si="0"/>
        <v>04228 - Cascade School District</v>
      </c>
      <c r="D29" s="308" t="str">
        <f t="shared" si="1"/>
        <v>04228</v>
      </c>
    </row>
    <row r="30" spans="1:4">
      <c r="A30" s="306" t="s">
        <v>37</v>
      </c>
      <c r="B30" s="306" t="s">
        <v>38</v>
      </c>
      <c r="C30" s="306" t="str">
        <f t="shared" si="0"/>
        <v>04222 - CASHMERE SCHOOL DISTRICT</v>
      </c>
      <c r="D30" s="308" t="str">
        <f t="shared" si="1"/>
        <v>04222</v>
      </c>
    </row>
    <row r="31" spans="1:4">
      <c r="A31" s="306" t="s">
        <v>81</v>
      </c>
      <c r="B31" s="306" t="s">
        <v>82</v>
      </c>
      <c r="C31" s="306" t="str">
        <f t="shared" si="0"/>
        <v>08401 - Castle Rock School District</v>
      </c>
      <c r="D31" s="308" t="str">
        <f t="shared" si="1"/>
        <v>08401</v>
      </c>
    </row>
    <row r="32" spans="1:4">
      <c r="A32" s="306" t="s">
        <v>1228</v>
      </c>
      <c r="B32" s="306" t="s">
        <v>1229</v>
      </c>
      <c r="C32" s="306" t="str">
        <f t="shared" si="0"/>
        <v>18901 - Catalyst Public Schools</v>
      </c>
      <c r="D32" s="308" t="str">
        <f t="shared" si="1"/>
        <v>18901</v>
      </c>
    </row>
    <row r="33" spans="1:4">
      <c r="A33" s="306" t="s">
        <v>255</v>
      </c>
      <c r="B33" s="306" t="s">
        <v>256</v>
      </c>
      <c r="C33" s="306" t="str">
        <f t="shared" si="0"/>
        <v>20215 - Centerville School District</v>
      </c>
      <c r="D33" s="308" t="str">
        <f t="shared" si="1"/>
        <v>20215</v>
      </c>
    </row>
    <row r="34" spans="1:4">
      <c r="A34" s="306" t="s">
        <v>233</v>
      </c>
      <c r="B34" s="306" t="s">
        <v>234</v>
      </c>
      <c r="C34" s="306" t="str">
        <f t="shared" si="0"/>
        <v>18401 - Central Kitsap School District</v>
      </c>
      <c r="D34" s="308" t="str">
        <f t="shared" si="1"/>
        <v>18401</v>
      </c>
    </row>
    <row r="35" spans="1:4">
      <c r="A35" s="306" t="s">
        <v>463</v>
      </c>
      <c r="B35" s="306" t="s">
        <v>464</v>
      </c>
      <c r="C35" s="306" t="str">
        <f t="shared" si="0"/>
        <v>32356 - Central Valley School District</v>
      </c>
      <c r="D35" s="308" t="str">
        <f t="shared" si="1"/>
        <v>32356</v>
      </c>
    </row>
    <row r="36" spans="1:4">
      <c r="A36" s="306" t="s">
        <v>295</v>
      </c>
      <c r="B36" s="306" t="s">
        <v>296</v>
      </c>
      <c r="C36" s="306" t="str">
        <f t="shared" si="0"/>
        <v>21401 - Centralia School District</v>
      </c>
      <c r="D36" s="308" t="str">
        <f t="shared" si="1"/>
        <v>21401</v>
      </c>
    </row>
    <row r="37" spans="1:4">
      <c r="A37" s="306" t="s">
        <v>291</v>
      </c>
      <c r="B37" s="306" t="s">
        <v>292</v>
      </c>
      <c r="C37" s="306" t="str">
        <f t="shared" si="0"/>
        <v>21302 - Chehalis School District</v>
      </c>
      <c r="D37" s="308" t="str">
        <f t="shared" si="1"/>
        <v>21302</v>
      </c>
    </row>
    <row r="38" spans="1:4">
      <c r="A38" s="306" t="s">
        <v>467</v>
      </c>
      <c r="B38" s="306" t="s">
        <v>468</v>
      </c>
      <c r="C38" s="306" t="str">
        <f t="shared" si="0"/>
        <v>32360 - Cheney School District</v>
      </c>
      <c r="D38" s="308" t="str">
        <f t="shared" si="1"/>
        <v>32360</v>
      </c>
    </row>
    <row r="39" spans="1:4">
      <c r="A39" s="306" t="s">
        <v>485</v>
      </c>
      <c r="B39" s="306" t="s">
        <v>486</v>
      </c>
      <c r="C39" s="306" t="str">
        <f t="shared" si="0"/>
        <v>33036 - Chewelah School District</v>
      </c>
      <c r="D39" s="308" t="str">
        <f t="shared" si="1"/>
        <v>33036</v>
      </c>
    </row>
    <row r="40" spans="1:4">
      <c r="A40" s="306" t="s">
        <v>1038</v>
      </c>
      <c r="B40" s="306" t="s">
        <v>1043</v>
      </c>
      <c r="C40" s="306" t="str">
        <f t="shared" si="0"/>
        <v>27901 - Chief Leschi Tribal Compact</v>
      </c>
      <c r="D40" s="308" t="str">
        <f t="shared" si="1"/>
        <v>27901</v>
      </c>
    </row>
    <row r="41" spans="1:4">
      <c r="A41" s="306" t="s">
        <v>179</v>
      </c>
      <c r="B41" s="306" t="s">
        <v>180</v>
      </c>
      <c r="C41" s="306" t="str">
        <f t="shared" si="0"/>
        <v>16049 - Chimacum School District</v>
      </c>
      <c r="D41" s="308" t="str">
        <f t="shared" si="1"/>
        <v>16049</v>
      </c>
    </row>
    <row r="42" spans="1:4">
      <c r="A42" s="306" t="s">
        <v>13</v>
      </c>
      <c r="B42" s="306" t="s">
        <v>14</v>
      </c>
      <c r="C42" s="306" t="str">
        <f t="shared" si="0"/>
        <v>02250 - Clarkston School District</v>
      </c>
      <c r="D42" s="308" t="str">
        <f t="shared" si="1"/>
        <v>02250</v>
      </c>
    </row>
    <row r="43" spans="1:4">
      <c r="A43" s="306" t="s">
        <v>249</v>
      </c>
      <c r="B43" s="306" t="s">
        <v>250</v>
      </c>
      <c r="C43" s="306" t="str">
        <f t="shared" si="0"/>
        <v>19404 - Cle Elum-Roslyn School District</v>
      </c>
      <c r="D43" s="308" t="str">
        <f t="shared" si="1"/>
        <v>19404</v>
      </c>
    </row>
    <row r="44" spans="1:4">
      <c r="A44" s="306" t="s">
        <v>377</v>
      </c>
      <c r="B44" s="306" t="s">
        <v>378</v>
      </c>
      <c r="C44" s="306" t="str">
        <f t="shared" si="0"/>
        <v>27400 - Clover Park School District</v>
      </c>
      <c r="D44" s="308" t="str">
        <f t="shared" si="1"/>
        <v>27400</v>
      </c>
    </row>
    <row r="45" spans="1:4">
      <c r="A45" s="306" t="s">
        <v>563</v>
      </c>
      <c r="B45" s="306" t="s">
        <v>564</v>
      </c>
      <c r="C45" s="306" t="str">
        <f t="shared" si="0"/>
        <v>38300 - Colfax School District</v>
      </c>
      <c r="D45" s="308" t="str">
        <f t="shared" si="1"/>
        <v>38300</v>
      </c>
    </row>
    <row r="46" spans="1:4">
      <c r="A46" s="306" t="s">
        <v>529</v>
      </c>
      <c r="B46" s="306" t="s">
        <v>530</v>
      </c>
      <c r="C46" s="306" t="str">
        <f t="shared" si="0"/>
        <v>36250 - College Place School District</v>
      </c>
      <c r="D46" s="308" t="str">
        <f t="shared" si="1"/>
        <v>36250</v>
      </c>
    </row>
    <row r="47" spans="1:4">
      <c r="A47" s="306" t="s">
        <v>571</v>
      </c>
      <c r="B47" s="306" t="s">
        <v>572</v>
      </c>
      <c r="C47" s="306" t="str">
        <f t="shared" si="0"/>
        <v>38306 - Colton School District</v>
      </c>
      <c r="D47" s="308" t="str">
        <f t="shared" si="1"/>
        <v>38306</v>
      </c>
    </row>
    <row r="48" spans="1:4">
      <c r="A48" s="306" t="s">
        <v>499</v>
      </c>
      <c r="B48" s="306" t="s">
        <v>500</v>
      </c>
      <c r="C48" s="306" t="str">
        <f t="shared" si="0"/>
        <v>33206 - Columbia (Stevens) School District</v>
      </c>
      <c r="D48" s="308" t="str">
        <f t="shared" si="1"/>
        <v>33206</v>
      </c>
    </row>
    <row r="49" spans="1:4">
      <c r="A49" s="306" t="s">
        <v>533</v>
      </c>
      <c r="B49" s="306" t="s">
        <v>534</v>
      </c>
      <c r="C49" s="306" t="str">
        <f t="shared" si="0"/>
        <v>36400 - Columbia (Walla Walla) School District</v>
      </c>
      <c r="D49" s="308" t="str">
        <f t="shared" si="1"/>
        <v>36400</v>
      </c>
    </row>
    <row r="50" spans="1:4">
      <c r="A50" s="306" t="s">
        <v>491</v>
      </c>
      <c r="B50" s="306" t="s">
        <v>492</v>
      </c>
      <c r="C50" s="306" t="str">
        <f t="shared" si="0"/>
        <v>33115 - Colville School District</v>
      </c>
      <c r="D50" s="308" t="str">
        <f t="shared" si="1"/>
        <v>33115</v>
      </c>
    </row>
    <row r="51" spans="1:4">
      <c r="A51" s="306" t="s">
        <v>401</v>
      </c>
      <c r="B51" s="306" t="s">
        <v>402</v>
      </c>
      <c r="C51" s="306" t="str">
        <f t="shared" si="0"/>
        <v>29011 - Concrete School District</v>
      </c>
      <c r="D51" s="308" t="str">
        <f t="shared" si="1"/>
        <v>29011</v>
      </c>
    </row>
    <row r="52" spans="1:4">
      <c r="A52" s="306" t="s">
        <v>411</v>
      </c>
      <c r="B52" s="306" t="s">
        <v>412</v>
      </c>
      <c r="C52" s="306" t="str">
        <f t="shared" si="0"/>
        <v>29317 - Conway School District</v>
      </c>
      <c r="D52" s="308" t="str">
        <f t="shared" si="1"/>
        <v>29317</v>
      </c>
    </row>
    <row r="53" spans="1:4">
      <c r="A53" s="306" t="s">
        <v>157</v>
      </c>
      <c r="B53" s="306" t="s">
        <v>158</v>
      </c>
      <c r="C53" s="306" t="str">
        <f t="shared" si="0"/>
        <v>14099 - Cosmopolis School District</v>
      </c>
      <c r="D53" s="308" t="str">
        <f t="shared" si="1"/>
        <v>14099</v>
      </c>
    </row>
    <row r="54" spans="1:4">
      <c r="A54" s="306" t="s">
        <v>127</v>
      </c>
      <c r="B54" s="306" t="s">
        <v>128</v>
      </c>
      <c r="C54" s="306" t="str">
        <f t="shared" si="0"/>
        <v>13151 - Coulee-Hartline School District</v>
      </c>
      <c r="D54" s="308" t="str">
        <f t="shared" si="1"/>
        <v>13151</v>
      </c>
    </row>
    <row r="55" spans="1:4">
      <c r="A55" s="306" t="s">
        <v>169</v>
      </c>
      <c r="B55" s="306" t="s">
        <v>170</v>
      </c>
      <c r="C55" s="306" t="str">
        <f t="shared" si="0"/>
        <v>15204 - Coupeville School District</v>
      </c>
      <c r="D55" s="308" t="str">
        <f t="shared" si="1"/>
        <v>15204</v>
      </c>
    </row>
    <row r="56" spans="1:4">
      <c r="A56" s="306" t="s">
        <v>45</v>
      </c>
      <c r="B56" s="306" t="s">
        <v>46</v>
      </c>
      <c r="C56" s="306" t="str">
        <f t="shared" si="0"/>
        <v>05313 - Crescent School District</v>
      </c>
      <c r="D56" s="308" t="str">
        <f t="shared" si="1"/>
        <v>05313</v>
      </c>
    </row>
    <row r="57" spans="1:4">
      <c r="A57" s="306" t="s">
        <v>303</v>
      </c>
      <c r="B57" s="306" t="s">
        <v>304</v>
      </c>
      <c r="C57" s="306" t="str">
        <f t="shared" si="0"/>
        <v>22073 - Creston School District</v>
      </c>
      <c r="D57" s="308" t="str">
        <f t="shared" si="1"/>
        <v>22073</v>
      </c>
    </row>
    <row r="58" spans="1:4">
      <c r="A58" s="306" t="s">
        <v>103</v>
      </c>
      <c r="B58" s="306" t="s">
        <v>104</v>
      </c>
      <c r="C58" s="306" t="str">
        <f t="shared" si="0"/>
        <v>10050 - Curlew School District</v>
      </c>
      <c r="D58" s="308" t="str">
        <f t="shared" si="1"/>
        <v>10050</v>
      </c>
    </row>
    <row r="59" spans="1:4">
      <c r="A59" s="306" t="s">
        <v>357</v>
      </c>
      <c r="B59" s="306" t="s">
        <v>358</v>
      </c>
      <c r="C59" s="306" t="str">
        <f t="shared" si="0"/>
        <v>26059 - Cusick School District</v>
      </c>
      <c r="D59" s="308" t="str">
        <f t="shared" si="1"/>
        <v>26059</v>
      </c>
    </row>
    <row r="60" spans="1:4">
      <c r="A60" s="306" t="s">
        <v>239</v>
      </c>
      <c r="B60" s="306" t="s">
        <v>240</v>
      </c>
      <c r="C60" s="306" t="str">
        <f t="shared" si="0"/>
        <v>19007 - Damman School District</v>
      </c>
      <c r="D60" s="308" t="str">
        <f t="shared" si="1"/>
        <v>19007</v>
      </c>
    </row>
    <row r="61" spans="1:4">
      <c r="A61" s="306" t="s">
        <v>445</v>
      </c>
      <c r="B61" s="306" t="s">
        <v>446</v>
      </c>
      <c r="C61" s="306" t="str">
        <f t="shared" si="0"/>
        <v>31330 - Darrington School District</v>
      </c>
      <c r="D61" s="308" t="str">
        <f t="shared" si="1"/>
        <v>31330</v>
      </c>
    </row>
    <row r="62" spans="1:4">
      <c r="A62" s="306" t="s">
        <v>311</v>
      </c>
      <c r="B62" s="306" t="s">
        <v>312</v>
      </c>
      <c r="C62" s="306" t="str">
        <f t="shared" si="0"/>
        <v>22207 - Davenport School District</v>
      </c>
      <c r="D62" s="308" t="str">
        <f t="shared" si="1"/>
        <v>22207</v>
      </c>
    </row>
    <row r="63" spans="1:4">
      <c r="A63" s="306" t="s">
        <v>73</v>
      </c>
      <c r="B63" s="306" t="s">
        <v>74</v>
      </c>
      <c r="C63" s="306" t="str">
        <f t="shared" si="0"/>
        <v>07002 - Dayton School District</v>
      </c>
      <c r="D63" s="308" t="str">
        <f t="shared" si="1"/>
        <v>07002</v>
      </c>
    </row>
    <row r="64" spans="1:4">
      <c r="A64" s="306" t="s">
        <v>475</v>
      </c>
      <c r="B64" s="306" t="s">
        <v>476</v>
      </c>
      <c r="C64" s="306" t="str">
        <f t="shared" si="0"/>
        <v>32414 - Deer Park School District</v>
      </c>
      <c r="D64" s="308" t="str">
        <f t="shared" si="1"/>
        <v>32414</v>
      </c>
    </row>
    <row r="65" spans="1:4">
      <c r="A65" s="306" t="s">
        <v>373</v>
      </c>
      <c r="B65" s="306" t="s">
        <v>374</v>
      </c>
      <c r="C65" s="306" t="str">
        <f t="shared" si="0"/>
        <v>27343 - Dieringer School District</v>
      </c>
      <c r="D65" s="308" t="str">
        <f t="shared" si="1"/>
        <v>27343</v>
      </c>
    </row>
    <row r="66" spans="1:4">
      <c r="A66" s="306" t="s">
        <v>525</v>
      </c>
      <c r="B66" s="306" t="s">
        <v>526</v>
      </c>
      <c r="C66" s="306" t="str">
        <f t="shared" si="0"/>
        <v>36101 - Dixie School District</v>
      </c>
      <c r="D66" s="308" t="str">
        <f t="shared" si="1"/>
        <v>36101</v>
      </c>
    </row>
    <row r="67" spans="1:4">
      <c r="A67" s="306" t="s">
        <v>469</v>
      </c>
      <c r="B67" s="306" t="s">
        <v>470</v>
      </c>
      <c r="C67" s="306" t="str">
        <f t="shared" si="0"/>
        <v>32361 - East Valley School District (Spokane)</v>
      </c>
      <c r="D67" s="308" t="str">
        <f t="shared" si="1"/>
        <v>32361</v>
      </c>
    </row>
    <row r="68" spans="1:4">
      <c r="A68" s="306" t="s">
        <v>587</v>
      </c>
      <c r="B68" s="306" t="s">
        <v>588</v>
      </c>
      <c r="C68" s="306" t="str">
        <f t="shared" si="0"/>
        <v>39090 - East Valley School District (Yakima)</v>
      </c>
      <c r="D68" s="308" t="str">
        <f t="shared" si="1"/>
        <v>39090</v>
      </c>
    </row>
    <row r="69" spans="1:4">
      <c r="A69" s="306" t="s">
        <v>95</v>
      </c>
      <c r="B69" s="306" t="s">
        <v>96</v>
      </c>
      <c r="C69" s="306" t="str">
        <f t="shared" ref="C69:C132" si="2">CONCATENATE(A69," - ",B69)</f>
        <v>09206 - Eastmont School District</v>
      </c>
      <c r="D69" s="308" t="str">
        <f t="shared" ref="D69:D132" si="3">A69</f>
        <v>09206</v>
      </c>
    </row>
    <row r="70" spans="1:4">
      <c r="A70" s="306" t="s">
        <v>241</v>
      </c>
      <c r="B70" s="306" t="s">
        <v>242</v>
      </c>
      <c r="C70" s="306" t="str">
        <f t="shared" si="2"/>
        <v>19028 - Easton School District</v>
      </c>
      <c r="D70" s="308" t="str">
        <f t="shared" si="3"/>
        <v>19028</v>
      </c>
    </row>
    <row r="71" spans="1:4">
      <c r="A71" s="306" t="s">
        <v>385</v>
      </c>
      <c r="B71" s="306" t="s">
        <v>386</v>
      </c>
      <c r="C71" s="306" t="str">
        <f t="shared" si="2"/>
        <v>27404 - Eatonville School District</v>
      </c>
      <c r="D71" s="308" t="str">
        <f t="shared" si="3"/>
        <v>27404</v>
      </c>
    </row>
    <row r="72" spans="1:4">
      <c r="A72" s="306" t="s">
        <v>429</v>
      </c>
      <c r="B72" s="306" t="s">
        <v>430</v>
      </c>
      <c r="C72" s="306" t="str">
        <f t="shared" si="2"/>
        <v>31015 - Edmonds School District</v>
      </c>
      <c r="D72" s="308" t="str">
        <f t="shared" si="3"/>
        <v>31015</v>
      </c>
    </row>
    <row r="73" spans="1:4">
      <c r="A73" s="306" t="s">
        <v>245</v>
      </c>
      <c r="B73" s="306" t="s">
        <v>246</v>
      </c>
      <c r="C73" s="306" t="str">
        <f t="shared" si="2"/>
        <v>19401 - Ellensburg School District</v>
      </c>
      <c r="D73" s="308" t="str">
        <f t="shared" si="3"/>
        <v>19401</v>
      </c>
    </row>
    <row r="74" spans="1:4">
      <c r="A74" s="306" t="s">
        <v>151</v>
      </c>
      <c r="B74" s="306" t="s">
        <v>152</v>
      </c>
      <c r="C74" s="306" t="str">
        <f t="shared" si="2"/>
        <v>14068 - Elma School District</v>
      </c>
      <c r="D74" s="308" t="str">
        <f t="shared" si="3"/>
        <v>14068</v>
      </c>
    </row>
    <row r="75" spans="1:4">
      <c r="A75" s="306" t="s">
        <v>573</v>
      </c>
      <c r="B75" s="306" t="s">
        <v>574</v>
      </c>
      <c r="C75" s="306" t="str">
        <f t="shared" si="2"/>
        <v>38308 - Endicott School District</v>
      </c>
      <c r="D75" s="308" t="str">
        <f t="shared" si="3"/>
        <v>38308</v>
      </c>
    </row>
    <row r="76" spans="1:4">
      <c r="A76" s="306" t="s">
        <v>33</v>
      </c>
      <c r="B76" s="306" t="s">
        <v>34</v>
      </c>
      <c r="C76" s="306" t="str">
        <f t="shared" si="2"/>
        <v>04127 - Entiat School District</v>
      </c>
      <c r="D76" s="308" t="str">
        <f t="shared" si="3"/>
        <v>04127</v>
      </c>
    </row>
    <row r="77" spans="1:4">
      <c r="A77" s="306" t="s">
        <v>187</v>
      </c>
      <c r="B77" s="306" t="s">
        <v>188</v>
      </c>
      <c r="C77" s="306" t="str">
        <f t="shared" si="2"/>
        <v>17216 - Enumclaw School District</v>
      </c>
      <c r="D77" s="308" t="str">
        <f t="shared" si="3"/>
        <v>17216</v>
      </c>
    </row>
    <row r="78" spans="1:4">
      <c r="A78" s="306" t="s">
        <v>135</v>
      </c>
      <c r="B78" s="306" t="s">
        <v>136</v>
      </c>
      <c r="C78" s="306" t="str">
        <f t="shared" si="2"/>
        <v>13165 - Ephrata School District</v>
      </c>
      <c r="D78" s="308" t="str">
        <f t="shared" si="3"/>
        <v>13165</v>
      </c>
    </row>
    <row r="79" spans="1:4">
      <c r="A79" s="306" t="s">
        <v>273</v>
      </c>
      <c r="B79" s="306" t="s">
        <v>274</v>
      </c>
      <c r="C79" s="306" t="str">
        <f t="shared" si="2"/>
        <v>21036 - Evaline School District</v>
      </c>
      <c r="D79" s="308" t="str">
        <f t="shared" si="3"/>
        <v>21036</v>
      </c>
    </row>
    <row r="80" spans="1:4">
      <c r="A80" s="306" t="s">
        <v>423</v>
      </c>
      <c r="B80" s="306" t="s">
        <v>424</v>
      </c>
      <c r="C80" s="306" t="str">
        <f t="shared" si="2"/>
        <v>31002 - Everett School District</v>
      </c>
      <c r="D80" s="308" t="str">
        <f t="shared" si="3"/>
        <v>31002</v>
      </c>
    </row>
    <row r="81" spans="1:4">
      <c r="A81" s="306" t="s">
        <v>65</v>
      </c>
      <c r="B81" s="306" t="s">
        <v>66</v>
      </c>
      <c r="C81" s="306" t="str">
        <f t="shared" si="2"/>
        <v>06114 - Evergreen School District (Clark)</v>
      </c>
      <c r="D81" s="308" t="str">
        <f t="shared" si="3"/>
        <v>06114</v>
      </c>
    </row>
    <row r="82" spans="1:4">
      <c r="A82" s="306" t="s">
        <v>497</v>
      </c>
      <c r="B82" s="306" t="s">
        <v>498</v>
      </c>
      <c r="C82" s="306" t="str">
        <f t="shared" si="2"/>
        <v>33205 - Evergreen School District (Stevens)</v>
      </c>
      <c r="D82" s="308" t="str">
        <f t="shared" si="3"/>
        <v>33205</v>
      </c>
    </row>
    <row r="83" spans="1:4">
      <c r="A83" s="306" t="s">
        <v>185</v>
      </c>
      <c r="B83" s="306" t="s">
        <v>186</v>
      </c>
      <c r="C83" s="306" t="str">
        <f t="shared" si="2"/>
        <v>17210 - Federal Way School District</v>
      </c>
      <c r="D83" s="308" t="str">
        <f t="shared" si="3"/>
        <v>17210</v>
      </c>
    </row>
    <row r="84" spans="1:4">
      <c r="A84" s="306" t="s">
        <v>541</v>
      </c>
      <c r="B84" s="306" t="s">
        <v>542</v>
      </c>
      <c r="C84" s="306" t="str">
        <f t="shared" si="2"/>
        <v>37502 - Ferndale School District</v>
      </c>
      <c r="D84" s="308" t="str">
        <f t="shared" si="3"/>
        <v>37502</v>
      </c>
    </row>
    <row r="85" spans="1:4">
      <c r="A85" s="306" t="s">
        <v>389</v>
      </c>
      <c r="B85" s="306" t="s">
        <v>390</v>
      </c>
      <c r="C85" s="306" t="str">
        <f t="shared" si="2"/>
        <v>27417 - Fife School District</v>
      </c>
      <c r="D85" s="308" t="str">
        <f t="shared" si="3"/>
        <v>27417</v>
      </c>
    </row>
    <row r="86" spans="1:4">
      <c r="A86" s="306" t="s">
        <v>23</v>
      </c>
      <c r="B86" s="306" t="s">
        <v>24</v>
      </c>
      <c r="C86" s="306" t="str">
        <f t="shared" si="2"/>
        <v>03053 - Finley School District</v>
      </c>
      <c r="D86" s="308" t="str">
        <f t="shared" si="3"/>
        <v>03053</v>
      </c>
    </row>
    <row r="87" spans="1:4">
      <c r="A87" s="306" t="s">
        <v>381</v>
      </c>
      <c r="B87" s="306" t="s">
        <v>382</v>
      </c>
      <c r="C87" s="306" t="str">
        <f t="shared" si="2"/>
        <v>27402 - Franklin Pierce School District</v>
      </c>
      <c r="D87" s="308" t="str">
        <f t="shared" si="3"/>
        <v>27402</v>
      </c>
    </row>
    <row r="88" spans="1:4">
      <c r="A88" s="306" t="s">
        <v>465</v>
      </c>
      <c r="B88" s="306" t="s">
        <v>466</v>
      </c>
      <c r="C88" s="306" t="str">
        <f t="shared" si="2"/>
        <v>32358 - Freeman School District</v>
      </c>
      <c r="D88" s="308" t="str">
        <f t="shared" si="3"/>
        <v>32358</v>
      </c>
    </row>
    <row r="89" spans="1:4">
      <c r="A89" s="306" t="s">
        <v>567</v>
      </c>
      <c r="B89" s="306" t="s">
        <v>568</v>
      </c>
      <c r="C89" s="306" t="str">
        <f t="shared" si="2"/>
        <v>38302 - Garfield School District</v>
      </c>
      <c r="D89" s="308" t="str">
        <f t="shared" si="3"/>
        <v>38302</v>
      </c>
    </row>
    <row r="90" spans="1:4">
      <c r="A90" s="306" t="s">
        <v>259</v>
      </c>
      <c r="B90" s="306" t="s">
        <v>260</v>
      </c>
      <c r="C90" s="306" t="str">
        <f t="shared" si="2"/>
        <v>20401 - Glenwood School District</v>
      </c>
      <c r="D90" s="308" t="str">
        <f t="shared" si="3"/>
        <v>20401</v>
      </c>
    </row>
    <row r="91" spans="1:4">
      <c r="A91" s="306" t="s">
        <v>265</v>
      </c>
      <c r="B91" s="306" t="s">
        <v>266</v>
      </c>
      <c r="C91" s="306" t="str">
        <f t="shared" si="2"/>
        <v>20404 - Goldendale School District</v>
      </c>
      <c r="D91" s="308" t="str">
        <f t="shared" si="3"/>
        <v>20404</v>
      </c>
    </row>
    <row r="92" spans="1:4">
      <c r="A92" s="306" t="s">
        <v>139</v>
      </c>
      <c r="B92" s="306" t="s">
        <v>140</v>
      </c>
      <c r="C92" s="306" t="str">
        <f t="shared" si="2"/>
        <v>13301 - Grand Coulee Dam School District</v>
      </c>
      <c r="D92" s="308" t="str">
        <f t="shared" si="3"/>
        <v>13301</v>
      </c>
    </row>
    <row r="93" spans="1:4">
      <c r="A93" s="306" t="s">
        <v>593</v>
      </c>
      <c r="B93" s="306" t="s">
        <v>594</v>
      </c>
      <c r="C93" s="306" t="str">
        <f t="shared" si="2"/>
        <v>39200 - Grandview School District</v>
      </c>
      <c r="D93" s="308" t="str">
        <f t="shared" si="3"/>
        <v>39200</v>
      </c>
    </row>
    <row r="94" spans="1:4">
      <c r="A94" s="306" t="s">
        <v>601</v>
      </c>
      <c r="B94" s="306" t="s">
        <v>602</v>
      </c>
      <c r="C94" s="306" t="str">
        <f t="shared" si="2"/>
        <v>39204 - Granger School District</v>
      </c>
      <c r="D94" s="308" t="str">
        <f t="shared" si="3"/>
        <v>39204</v>
      </c>
    </row>
    <row r="95" spans="1:4">
      <c r="A95" s="306" t="s">
        <v>447</v>
      </c>
      <c r="B95" s="306" t="s">
        <v>448</v>
      </c>
      <c r="C95" s="306" t="str">
        <f t="shared" si="2"/>
        <v>31332 - Granite Falls School District</v>
      </c>
      <c r="D95" s="308" t="str">
        <f t="shared" si="3"/>
        <v>31332</v>
      </c>
    </row>
    <row r="96" spans="1:4">
      <c r="A96" s="306" t="s">
        <v>315</v>
      </c>
      <c r="B96" s="306" t="s">
        <v>316</v>
      </c>
      <c r="C96" s="306" t="str">
        <f t="shared" si="2"/>
        <v>23054 - Grapeview School District</v>
      </c>
      <c r="D96" s="308" t="str">
        <f t="shared" si="3"/>
        <v>23054</v>
      </c>
    </row>
    <row r="97" spans="1:4">
      <c r="A97" s="306" t="s">
        <v>455</v>
      </c>
      <c r="B97" s="306" t="s">
        <v>456</v>
      </c>
      <c r="C97" s="306" t="str">
        <f t="shared" si="2"/>
        <v>32312 - Great Northern School District</v>
      </c>
      <c r="D97" s="308" t="str">
        <f t="shared" si="3"/>
        <v>32312</v>
      </c>
    </row>
    <row r="98" spans="1:4">
      <c r="A98" s="306" t="s">
        <v>1023</v>
      </c>
      <c r="B98" s="306" t="s">
        <v>1041</v>
      </c>
      <c r="C98" s="306" t="str">
        <f t="shared" si="2"/>
        <v>17910 - Green Dot Public Schools Rainier Valley</v>
      </c>
      <c r="D98" s="308" t="str">
        <f t="shared" si="3"/>
        <v>17910</v>
      </c>
    </row>
    <row r="99" spans="1:4">
      <c r="A99" s="306" t="s">
        <v>61</v>
      </c>
      <c r="B99" s="306" t="s">
        <v>62</v>
      </c>
      <c r="C99" s="306" t="str">
        <f t="shared" si="2"/>
        <v>06103 - Green Mountain School District</v>
      </c>
      <c r="D99" s="308" t="str">
        <f t="shared" si="3"/>
        <v>06103</v>
      </c>
    </row>
    <row r="100" spans="1:4">
      <c r="A100" s="306" t="s">
        <v>517</v>
      </c>
      <c r="B100" s="306" t="s">
        <v>518</v>
      </c>
      <c r="C100" s="306" t="str">
        <f t="shared" si="2"/>
        <v>34324 - Griffin School District</v>
      </c>
      <c r="D100" s="308" t="str">
        <f t="shared" si="3"/>
        <v>34324</v>
      </c>
    </row>
    <row r="101" spans="1:4">
      <c r="A101" s="306" t="s">
        <v>309</v>
      </c>
      <c r="B101" s="306" t="s">
        <v>310</v>
      </c>
      <c r="C101" s="306" t="str">
        <f t="shared" si="2"/>
        <v>22204 - Harrington School District</v>
      </c>
      <c r="D101" s="308" t="str">
        <f t="shared" si="3"/>
        <v>22204</v>
      </c>
    </row>
    <row r="102" spans="1:4">
      <c r="A102" s="306" t="s">
        <v>599</v>
      </c>
      <c r="B102" s="306" t="s">
        <v>600</v>
      </c>
      <c r="C102" s="306" t="str">
        <f t="shared" si="2"/>
        <v>39203 - Highland School District</v>
      </c>
      <c r="D102" s="308" t="str">
        <f t="shared" si="3"/>
        <v>39203</v>
      </c>
    </row>
    <row r="103" spans="1:4">
      <c r="A103" s="306" t="s">
        <v>191</v>
      </c>
      <c r="B103" s="306" t="s">
        <v>192</v>
      </c>
      <c r="C103" s="306" t="str">
        <f t="shared" si="2"/>
        <v>17401 - Highline School District</v>
      </c>
      <c r="D103" s="308" t="str">
        <f t="shared" si="3"/>
        <v>17401</v>
      </c>
    </row>
    <row r="104" spans="1:4">
      <c r="A104" s="306" t="s">
        <v>57</v>
      </c>
      <c r="B104" s="306" t="s">
        <v>58</v>
      </c>
      <c r="C104" s="306" t="str">
        <f t="shared" si="2"/>
        <v>06098 - Hockinson School District</v>
      </c>
      <c r="D104" s="308" t="str">
        <f t="shared" si="3"/>
        <v>06098</v>
      </c>
    </row>
    <row r="105" spans="1:4">
      <c r="A105" s="306" t="s">
        <v>325</v>
      </c>
      <c r="B105" s="306" t="s">
        <v>326</v>
      </c>
      <c r="C105" s="306" t="str">
        <f t="shared" si="2"/>
        <v>23404 - Hood Canal School District</v>
      </c>
      <c r="D105" s="308" t="str">
        <f t="shared" si="3"/>
        <v>23404</v>
      </c>
    </row>
    <row r="106" spans="1:4">
      <c r="A106" s="306" t="s">
        <v>143</v>
      </c>
      <c r="B106" s="306" t="s">
        <v>144</v>
      </c>
      <c r="C106" s="306" t="str">
        <f t="shared" si="2"/>
        <v>14028 - Hoquiam School District</v>
      </c>
      <c r="D106" s="308" t="str">
        <f t="shared" si="3"/>
        <v>14028</v>
      </c>
    </row>
    <row r="107" spans="1:4">
      <c r="A107" s="306" t="s">
        <v>1315</v>
      </c>
      <c r="B107" s="306" t="s">
        <v>1316</v>
      </c>
      <c r="C107" s="306" t="str">
        <f t="shared" si="2"/>
        <v>27902 - Impact | Commencement Bay Elementary</v>
      </c>
      <c r="D107" s="308" t="str">
        <f t="shared" si="3"/>
        <v>27902</v>
      </c>
    </row>
    <row r="108" spans="1:4">
      <c r="A108" s="306" t="s">
        <v>1230</v>
      </c>
      <c r="B108" s="306" t="s">
        <v>1231</v>
      </c>
      <c r="C108" s="306" t="str">
        <f t="shared" si="2"/>
        <v>17916 - Impact | Salish Sea Elementary</v>
      </c>
      <c r="D108" s="308" t="str">
        <f t="shared" si="3"/>
        <v>17916</v>
      </c>
    </row>
    <row r="109" spans="1:4">
      <c r="A109" s="306" t="s">
        <v>1032</v>
      </c>
      <c r="B109" s="306" t="s">
        <v>1042</v>
      </c>
      <c r="C109" s="306" t="str">
        <f t="shared" si="2"/>
        <v>17911 - Impact Public Schools</v>
      </c>
      <c r="D109" s="308" t="str">
        <f t="shared" si="3"/>
        <v>17911</v>
      </c>
    </row>
    <row r="110" spans="1:4">
      <c r="A110" s="306" t="s">
        <v>107</v>
      </c>
      <c r="B110" s="306" t="s">
        <v>108</v>
      </c>
      <c r="C110" s="306" t="str">
        <f t="shared" si="2"/>
        <v>10070 - Inchelium School District</v>
      </c>
      <c r="D110" s="308" t="str">
        <f t="shared" si="3"/>
        <v>10070</v>
      </c>
    </row>
    <row r="111" spans="1:4">
      <c r="A111" s="306" t="s">
        <v>435</v>
      </c>
      <c r="B111" s="306" t="s">
        <v>436</v>
      </c>
      <c r="C111" s="306" t="str">
        <f t="shared" si="2"/>
        <v>31063 - Index School District</v>
      </c>
      <c r="D111" s="308" t="str">
        <f t="shared" si="3"/>
        <v>31063</v>
      </c>
    </row>
    <row r="112" spans="1:4">
      <c r="A112" s="306" t="s">
        <v>211</v>
      </c>
      <c r="B112" s="306" t="s">
        <v>212</v>
      </c>
      <c r="C112" s="306" t="str">
        <f t="shared" si="2"/>
        <v>17411 - Issaquah School District</v>
      </c>
      <c r="D112" s="308" t="str">
        <f t="shared" si="3"/>
        <v>17411</v>
      </c>
    </row>
    <row r="113" spans="1:4">
      <c r="A113" s="306" t="s">
        <v>117</v>
      </c>
      <c r="B113" s="306" t="s">
        <v>118</v>
      </c>
      <c r="C113" s="306" t="str">
        <f t="shared" si="2"/>
        <v>11056 - Kahlotus School District</v>
      </c>
      <c r="D113" s="308" t="str">
        <f t="shared" si="3"/>
        <v>11056</v>
      </c>
    </row>
    <row r="114" spans="1:4">
      <c r="A114" s="306" t="s">
        <v>83</v>
      </c>
      <c r="B114" s="306" t="s">
        <v>84</v>
      </c>
      <c r="C114" s="306" t="str">
        <f t="shared" si="2"/>
        <v>08402 - Kalama School District</v>
      </c>
      <c r="D114" s="308" t="str">
        <f t="shared" si="3"/>
        <v>08402</v>
      </c>
    </row>
    <row r="115" spans="1:4">
      <c r="A115" s="306" t="s">
        <v>101</v>
      </c>
      <c r="B115" s="306" t="s">
        <v>102</v>
      </c>
      <c r="C115" s="306" t="str">
        <f t="shared" si="2"/>
        <v>10003 - Keller School District</v>
      </c>
      <c r="D115" s="308" t="str">
        <f t="shared" si="3"/>
        <v>10003</v>
      </c>
    </row>
    <row r="116" spans="1:4">
      <c r="A116" s="306" t="s">
        <v>87</v>
      </c>
      <c r="B116" s="306" t="s">
        <v>88</v>
      </c>
      <c r="C116" s="306" t="str">
        <f t="shared" si="2"/>
        <v>08458 - Kelso School District</v>
      </c>
      <c r="D116" s="308" t="str">
        <f t="shared" si="3"/>
        <v>08458</v>
      </c>
    </row>
    <row r="117" spans="1:4">
      <c r="A117" s="306" t="s">
        <v>17</v>
      </c>
      <c r="B117" s="306" t="s">
        <v>18</v>
      </c>
      <c r="C117" s="306" t="str">
        <f t="shared" si="2"/>
        <v>03017 - Kennewick School District</v>
      </c>
      <c r="D117" s="308" t="str">
        <f t="shared" si="3"/>
        <v>03017</v>
      </c>
    </row>
    <row r="118" spans="1:4">
      <c r="A118" s="306" t="s">
        <v>217</v>
      </c>
      <c r="B118" s="306" t="s">
        <v>218</v>
      </c>
      <c r="C118" s="306" t="str">
        <f t="shared" si="2"/>
        <v>17415 - Kent School District</v>
      </c>
      <c r="D118" s="308" t="str">
        <f t="shared" si="3"/>
        <v>17415</v>
      </c>
    </row>
    <row r="119" spans="1:4">
      <c r="A119" s="306" t="s">
        <v>505</v>
      </c>
      <c r="B119" s="306" t="s">
        <v>506</v>
      </c>
      <c r="C119" s="306" t="str">
        <f t="shared" si="2"/>
        <v>33212 - Kettle Falls School District</v>
      </c>
      <c r="D119" s="308" t="str">
        <f t="shared" si="3"/>
        <v>33212</v>
      </c>
    </row>
    <row r="120" spans="1:4">
      <c r="A120" s="306" t="s">
        <v>21</v>
      </c>
      <c r="B120" s="306" t="s">
        <v>22</v>
      </c>
      <c r="C120" s="306" t="str">
        <f t="shared" si="2"/>
        <v>03052 - Kiona-Benton City School District</v>
      </c>
      <c r="D120" s="308" t="str">
        <f t="shared" si="3"/>
        <v>03052</v>
      </c>
    </row>
    <row r="121" spans="1:4">
      <c r="A121" s="306" t="s">
        <v>247</v>
      </c>
      <c r="B121" s="306" t="s">
        <v>248</v>
      </c>
      <c r="C121" s="306" t="str">
        <f t="shared" si="2"/>
        <v>19403 - Kittitas School District</v>
      </c>
      <c r="D121" s="308" t="str">
        <f t="shared" si="3"/>
        <v>19403</v>
      </c>
    </row>
    <row r="122" spans="1:4">
      <c r="A122" s="306" t="s">
        <v>261</v>
      </c>
      <c r="B122" s="306" t="s">
        <v>262</v>
      </c>
      <c r="C122" s="306" t="str">
        <f t="shared" si="2"/>
        <v>20402 - Klickitat School District</v>
      </c>
      <c r="D122" s="308" t="str">
        <f t="shared" si="3"/>
        <v>20402</v>
      </c>
    </row>
    <row r="123" spans="1:4">
      <c r="A123" s="306" t="s">
        <v>59</v>
      </c>
      <c r="B123" s="306" t="s">
        <v>60</v>
      </c>
      <c r="C123" s="306" t="str">
        <f t="shared" si="2"/>
        <v>06101 - La Center School District</v>
      </c>
      <c r="D123" s="308" t="str">
        <f t="shared" si="3"/>
        <v>06101</v>
      </c>
    </row>
    <row r="124" spans="1:4">
      <c r="A124" s="306" t="s">
        <v>409</v>
      </c>
      <c r="B124" s="306" t="s">
        <v>410</v>
      </c>
      <c r="C124" s="306" t="str">
        <f t="shared" si="2"/>
        <v>29311 - La Conner School District</v>
      </c>
      <c r="D124" s="308" t="str">
        <f t="shared" si="3"/>
        <v>29311</v>
      </c>
    </row>
    <row r="125" spans="1:4">
      <c r="A125" s="306" t="s">
        <v>555</v>
      </c>
      <c r="B125" s="306" t="s">
        <v>556</v>
      </c>
      <c r="C125" s="306" t="str">
        <f t="shared" si="2"/>
        <v>38126 - LaCrosse School District</v>
      </c>
      <c r="D125" s="308" t="str">
        <f t="shared" si="3"/>
        <v>38126</v>
      </c>
    </row>
    <row r="126" spans="1:4">
      <c r="A126" s="306" t="s">
        <v>35</v>
      </c>
      <c r="B126" s="306" t="s">
        <v>36</v>
      </c>
      <c r="C126" s="306" t="str">
        <f t="shared" si="2"/>
        <v>04129 - Lake Chelan School District</v>
      </c>
      <c r="D126" s="308" t="str">
        <f t="shared" si="3"/>
        <v>04129</v>
      </c>
    </row>
    <row r="127" spans="1:4">
      <c r="A127" s="306" t="s">
        <v>155</v>
      </c>
      <c r="B127" s="306" t="s">
        <v>156</v>
      </c>
      <c r="C127" s="306" t="str">
        <f t="shared" si="2"/>
        <v>14097 - Lake Quinault School District</v>
      </c>
      <c r="D127" s="308" t="str">
        <f t="shared" si="3"/>
        <v>14097</v>
      </c>
    </row>
    <row r="128" spans="1:4">
      <c r="A128" s="306" t="s">
        <v>425</v>
      </c>
      <c r="B128" s="306" t="s">
        <v>426</v>
      </c>
      <c r="C128" s="306" t="str">
        <f t="shared" si="2"/>
        <v>31004 - Lake Stevens School District</v>
      </c>
      <c r="D128" s="308" t="str">
        <f t="shared" si="3"/>
        <v>31004</v>
      </c>
    </row>
    <row r="129" spans="1:4">
      <c r="A129" s="306" t="s">
        <v>215</v>
      </c>
      <c r="B129" s="306" t="s">
        <v>216</v>
      </c>
      <c r="C129" s="306" t="str">
        <f t="shared" si="2"/>
        <v>17414 - Lake Washington School District</v>
      </c>
      <c r="D129" s="308" t="str">
        <f t="shared" si="3"/>
        <v>17414</v>
      </c>
    </row>
    <row r="130" spans="1:4">
      <c r="A130" s="306" t="s">
        <v>441</v>
      </c>
      <c r="B130" s="306" t="s">
        <v>442</v>
      </c>
      <c r="C130" s="306" t="str">
        <f t="shared" si="2"/>
        <v>31306 - Lakewood School District</v>
      </c>
      <c r="D130" s="308" t="str">
        <f t="shared" si="3"/>
        <v>31306</v>
      </c>
    </row>
    <row r="131" spans="1:4">
      <c r="A131" s="306" t="s">
        <v>557</v>
      </c>
      <c r="B131" s="306" t="s">
        <v>558</v>
      </c>
      <c r="C131" s="306" t="str">
        <f t="shared" si="2"/>
        <v>38264 - Lamont School District</v>
      </c>
      <c r="D131" s="308" t="str">
        <f t="shared" si="3"/>
        <v>38264</v>
      </c>
    </row>
    <row r="132" spans="1:4">
      <c r="A132" s="306" t="s">
        <v>471</v>
      </c>
      <c r="B132" s="306" t="s">
        <v>472</v>
      </c>
      <c r="C132" s="306" t="str">
        <f t="shared" si="2"/>
        <v>32362 - Liberty School District</v>
      </c>
      <c r="D132" s="308" t="str">
        <f t="shared" si="3"/>
        <v>32362</v>
      </c>
    </row>
    <row r="133" spans="1:4">
      <c r="A133" s="306" t="s">
        <v>9</v>
      </c>
      <c r="B133" s="306" t="s">
        <v>10</v>
      </c>
      <c r="C133" s="306" t="str">
        <f t="shared" ref="C133:C196" si="4">CONCATENATE(A133," - ",B133)</f>
        <v>01158 - Lind School District</v>
      </c>
      <c r="D133" s="308" t="str">
        <f t="shared" ref="D133:D196" si="5">A133</f>
        <v>01158</v>
      </c>
    </row>
    <row r="134" spans="1:4">
      <c r="A134" s="306" t="s">
        <v>77</v>
      </c>
      <c r="B134" s="306" t="s">
        <v>78</v>
      </c>
      <c r="C134" s="306" t="str">
        <f t="shared" si="4"/>
        <v>08122 - Longview School District</v>
      </c>
      <c r="D134" s="308" t="str">
        <f t="shared" si="5"/>
        <v>08122</v>
      </c>
    </row>
    <row r="135" spans="1:4">
      <c r="A135" s="306" t="s">
        <v>493</v>
      </c>
      <c r="B135" s="306" t="s">
        <v>494</v>
      </c>
      <c r="C135" s="306" t="str">
        <f t="shared" si="4"/>
        <v>33183 - Loon Lake School District</v>
      </c>
      <c r="D135" s="308" t="str">
        <f t="shared" si="5"/>
        <v>33183</v>
      </c>
    </row>
    <row r="136" spans="1:4">
      <c r="A136" s="306" t="s">
        <v>397</v>
      </c>
      <c r="B136" s="306" t="s">
        <v>398</v>
      </c>
      <c r="C136" s="306" t="str">
        <f t="shared" si="4"/>
        <v>28144 - Lopez School District</v>
      </c>
      <c r="D136" s="308" t="str">
        <f t="shared" si="5"/>
        <v>28144</v>
      </c>
    </row>
    <row r="137" spans="1:4">
      <c r="A137" s="306" t="s">
        <v>1232</v>
      </c>
      <c r="B137" s="306" t="s">
        <v>1233</v>
      </c>
      <c r="C137" s="306" t="str">
        <f t="shared" si="4"/>
        <v>32903 - Lumen Public School</v>
      </c>
      <c r="D137" s="308" t="str">
        <f t="shared" si="5"/>
        <v>32903</v>
      </c>
    </row>
    <row r="138" spans="1:4">
      <c r="A138" s="306" t="s">
        <v>553</v>
      </c>
      <c r="B138" s="306" t="s">
        <v>554</v>
      </c>
      <c r="C138" s="306" t="str">
        <f t="shared" si="4"/>
        <v>37903 - Lummi Tribal Agency</v>
      </c>
      <c r="D138" s="308" t="str">
        <f t="shared" si="5"/>
        <v>37903</v>
      </c>
    </row>
    <row r="139" spans="1:4">
      <c r="A139" s="306" t="s">
        <v>269</v>
      </c>
      <c r="B139" s="306" t="s">
        <v>270</v>
      </c>
      <c r="C139" s="306" t="str">
        <f t="shared" si="4"/>
        <v>20406 - Lyle School District</v>
      </c>
      <c r="D139" s="308" t="str">
        <f t="shared" si="5"/>
        <v>20406</v>
      </c>
    </row>
    <row r="140" spans="1:4">
      <c r="A140" s="306" t="s">
        <v>545</v>
      </c>
      <c r="B140" s="306" t="s">
        <v>546</v>
      </c>
      <c r="C140" s="306" t="str">
        <f t="shared" si="4"/>
        <v>37504 - Lynden School District</v>
      </c>
      <c r="D140" s="308" t="str">
        <f t="shared" si="5"/>
        <v>37504</v>
      </c>
    </row>
    <row r="141" spans="1:4">
      <c r="A141" s="306" t="s">
        <v>591</v>
      </c>
      <c r="B141" s="306" t="s">
        <v>592</v>
      </c>
      <c r="C141" s="306" t="str">
        <f t="shared" si="4"/>
        <v>39120 - Mabton School District</v>
      </c>
      <c r="D141" s="308" t="str">
        <f t="shared" si="5"/>
        <v>39120</v>
      </c>
    </row>
    <row r="142" spans="1:4">
      <c r="A142" s="306" t="s">
        <v>97</v>
      </c>
      <c r="B142" s="306" t="s">
        <v>98</v>
      </c>
      <c r="C142" s="306" t="str">
        <f t="shared" si="4"/>
        <v>09207 - Mansfield School District</v>
      </c>
      <c r="D142" s="308" t="str">
        <f t="shared" si="5"/>
        <v>09207</v>
      </c>
    </row>
    <row r="143" spans="1:4">
      <c r="A143" s="306" t="s">
        <v>29</v>
      </c>
      <c r="B143" s="306" t="s">
        <v>30</v>
      </c>
      <c r="C143" s="306" t="str">
        <f t="shared" si="4"/>
        <v>04019 - Manson School District</v>
      </c>
      <c r="D143" s="308" t="str">
        <f t="shared" si="5"/>
        <v>04019</v>
      </c>
    </row>
    <row r="144" spans="1:4">
      <c r="A144" s="306" t="s">
        <v>319</v>
      </c>
      <c r="B144" s="306" t="s">
        <v>320</v>
      </c>
      <c r="C144" s="306" t="str">
        <f t="shared" si="4"/>
        <v>23311 - Mary M Knight School District</v>
      </c>
      <c r="D144" s="308" t="str">
        <f t="shared" si="5"/>
        <v>23311</v>
      </c>
    </row>
    <row r="145" spans="1:4">
      <c r="A145" s="306" t="s">
        <v>501</v>
      </c>
      <c r="B145" s="306" t="s">
        <v>502</v>
      </c>
      <c r="C145" s="306" t="str">
        <f t="shared" si="4"/>
        <v>33207 - Mary Walker School District</v>
      </c>
      <c r="D145" s="308" t="str">
        <f t="shared" si="5"/>
        <v>33207</v>
      </c>
    </row>
    <row r="146" spans="1:4">
      <c r="A146" s="306" t="s">
        <v>433</v>
      </c>
      <c r="B146" s="306" t="s">
        <v>434</v>
      </c>
      <c r="C146" s="306" t="str">
        <f t="shared" si="4"/>
        <v>31025 - Marysville School District</v>
      </c>
      <c r="D146" s="308" t="str">
        <f t="shared" si="5"/>
        <v>31025</v>
      </c>
    </row>
    <row r="147" spans="1:4">
      <c r="A147" s="306" t="s">
        <v>147</v>
      </c>
      <c r="B147" s="306" t="s">
        <v>148</v>
      </c>
      <c r="C147" s="306" t="str">
        <f t="shared" si="4"/>
        <v>14065 - McCleary School District</v>
      </c>
      <c r="D147" s="308" t="str">
        <f t="shared" si="5"/>
        <v>14065</v>
      </c>
    </row>
    <row r="148" spans="1:4">
      <c r="A148" s="306" t="s">
        <v>461</v>
      </c>
      <c r="B148" s="306" t="s">
        <v>462</v>
      </c>
      <c r="C148" s="306" t="str">
        <f t="shared" si="4"/>
        <v>32354 - Mead School District</v>
      </c>
      <c r="D148" s="308" t="str">
        <f t="shared" si="5"/>
        <v>32354</v>
      </c>
    </row>
    <row r="149" spans="1:4">
      <c r="A149" s="306" t="s">
        <v>459</v>
      </c>
      <c r="B149" s="306" t="s">
        <v>460</v>
      </c>
      <c r="C149" s="306" t="str">
        <f t="shared" si="4"/>
        <v>32326 - Medical Lake School District</v>
      </c>
      <c r="D149" s="308" t="str">
        <f t="shared" si="5"/>
        <v>32326</v>
      </c>
    </row>
    <row r="150" spans="1:4">
      <c r="A150" s="306" t="s">
        <v>189</v>
      </c>
      <c r="B150" s="306" t="s">
        <v>190</v>
      </c>
      <c r="C150" s="306" t="str">
        <f t="shared" si="4"/>
        <v>17400 - Mercer Island School District</v>
      </c>
      <c r="D150" s="308" t="str">
        <f t="shared" si="5"/>
        <v>17400</v>
      </c>
    </row>
    <row r="151" spans="1:4">
      <c r="A151" s="306" t="s">
        <v>547</v>
      </c>
      <c r="B151" s="306" t="s">
        <v>548</v>
      </c>
      <c r="C151" s="306" t="str">
        <f t="shared" si="4"/>
        <v>37505 - Meridian School District</v>
      </c>
      <c r="D151" s="308" t="str">
        <f t="shared" si="5"/>
        <v>37505</v>
      </c>
    </row>
    <row r="152" spans="1:4">
      <c r="A152" s="306" t="s">
        <v>337</v>
      </c>
      <c r="B152" s="306" t="s">
        <v>338</v>
      </c>
      <c r="C152" s="306" t="str">
        <f t="shared" si="4"/>
        <v>24350 - Methow Valley School District</v>
      </c>
      <c r="D152" s="308" t="str">
        <f t="shared" si="5"/>
        <v>24350</v>
      </c>
    </row>
    <row r="153" spans="1:4">
      <c r="A153" s="306" t="s">
        <v>419</v>
      </c>
      <c r="B153" s="306" t="s">
        <v>420</v>
      </c>
      <c r="C153" s="306" t="str">
        <f t="shared" si="4"/>
        <v>30031 - Mill A School District</v>
      </c>
      <c r="D153" s="308" t="str">
        <f t="shared" si="5"/>
        <v>30031</v>
      </c>
    </row>
    <row r="154" spans="1:4">
      <c r="A154" s="306" t="s">
        <v>437</v>
      </c>
      <c r="B154" s="306" t="s">
        <v>438</v>
      </c>
      <c r="C154" s="306" t="str">
        <f t="shared" si="4"/>
        <v>31103 - Monroe School District</v>
      </c>
      <c r="D154" s="308" t="str">
        <f t="shared" si="5"/>
        <v>31103</v>
      </c>
    </row>
    <row r="155" spans="1:4">
      <c r="A155" s="306" t="s">
        <v>149</v>
      </c>
      <c r="B155" s="306" t="s">
        <v>150</v>
      </c>
      <c r="C155" s="306" t="str">
        <f t="shared" si="4"/>
        <v>14066 - Montesano School District</v>
      </c>
      <c r="D155" s="308" t="str">
        <f t="shared" si="5"/>
        <v>14066</v>
      </c>
    </row>
    <row r="156" spans="1:4">
      <c r="A156" s="306" t="s">
        <v>277</v>
      </c>
      <c r="B156" s="306" t="s">
        <v>278</v>
      </c>
      <c r="C156" s="306" t="str">
        <f t="shared" si="4"/>
        <v>21214 - Morton School District</v>
      </c>
      <c r="D156" s="308" t="str">
        <f t="shared" si="5"/>
        <v>21214</v>
      </c>
    </row>
    <row r="157" spans="1:4">
      <c r="A157" s="306" t="s">
        <v>133</v>
      </c>
      <c r="B157" s="306" t="s">
        <v>134</v>
      </c>
      <c r="C157" s="306" t="str">
        <f t="shared" si="4"/>
        <v>13161 - Moses Lake School District</v>
      </c>
      <c r="D157" s="308" t="str">
        <f t="shared" si="5"/>
        <v>13161</v>
      </c>
    </row>
    <row r="158" spans="1:4">
      <c r="A158" s="306" t="s">
        <v>275</v>
      </c>
      <c r="B158" s="306" t="s">
        <v>276</v>
      </c>
      <c r="C158" s="306" t="str">
        <f t="shared" si="4"/>
        <v>21206 - Mossyrock School District</v>
      </c>
      <c r="D158" s="308" t="str">
        <f t="shared" si="5"/>
        <v>21206</v>
      </c>
    </row>
    <row r="159" spans="1:4">
      <c r="A159" s="306" t="s">
        <v>609</v>
      </c>
      <c r="B159" s="306" t="s">
        <v>610</v>
      </c>
      <c r="C159" s="306" t="str">
        <f t="shared" si="4"/>
        <v>39209 - Mount Adams School District</v>
      </c>
      <c r="D159" s="308" t="str">
        <f t="shared" si="5"/>
        <v>39209</v>
      </c>
    </row>
    <row r="160" spans="1:4">
      <c r="A160" s="306" t="s">
        <v>551</v>
      </c>
      <c r="B160" s="306" t="s">
        <v>552</v>
      </c>
      <c r="C160" s="306" t="str">
        <f t="shared" si="4"/>
        <v>37507 - Mount Baker School District</v>
      </c>
      <c r="D160" s="308" t="str">
        <f t="shared" si="5"/>
        <v>37507</v>
      </c>
    </row>
    <row r="161" spans="1:4">
      <c r="A161" s="306" t="s">
        <v>417</v>
      </c>
      <c r="B161" s="306" t="s">
        <v>418</v>
      </c>
      <c r="C161" s="306" t="str">
        <f t="shared" si="4"/>
        <v>30029 - Mount Pleasant School District</v>
      </c>
      <c r="D161" s="308" t="str">
        <f t="shared" si="5"/>
        <v>30029</v>
      </c>
    </row>
    <row r="162" spans="1:4">
      <c r="A162" s="306" t="s">
        <v>413</v>
      </c>
      <c r="B162" s="306" t="s">
        <v>414</v>
      </c>
      <c r="C162" s="306" t="str">
        <f t="shared" si="4"/>
        <v>29320 - Mount Vernon School District</v>
      </c>
      <c r="D162" s="308" t="str">
        <f t="shared" si="5"/>
        <v>29320</v>
      </c>
    </row>
    <row r="163" spans="1:4">
      <c r="A163" s="306" t="s">
        <v>223</v>
      </c>
      <c r="B163" s="306" t="s">
        <v>224</v>
      </c>
      <c r="C163" s="306" t="str">
        <f t="shared" si="4"/>
        <v>17903 - Muckleshoot Indian Tribe</v>
      </c>
      <c r="D163" s="308" t="str">
        <f t="shared" si="5"/>
        <v>17903</v>
      </c>
    </row>
    <row r="164" spans="1:4">
      <c r="A164" s="306" t="s">
        <v>427</v>
      </c>
      <c r="B164" s="306" t="s">
        <v>428</v>
      </c>
      <c r="C164" s="306" t="str">
        <f t="shared" si="4"/>
        <v>31006 - Mukilteo School District</v>
      </c>
      <c r="D164" s="308" t="str">
        <f t="shared" si="5"/>
        <v>31006</v>
      </c>
    </row>
    <row r="165" spans="1:4">
      <c r="A165" s="306" t="s">
        <v>583</v>
      </c>
      <c r="B165" s="306" t="s">
        <v>584</v>
      </c>
      <c r="C165" s="306" t="str">
        <f t="shared" si="4"/>
        <v>39003 - Naches Valley School District</v>
      </c>
      <c r="D165" s="308" t="str">
        <f t="shared" si="5"/>
        <v>39003</v>
      </c>
    </row>
    <row r="166" spans="1:4">
      <c r="A166" s="306" t="s">
        <v>271</v>
      </c>
      <c r="B166" s="306" t="s">
        <v>272</v>
      </c>
      <c r="C166" s="306" t="str">
        <f t="shared" si="4"/>
        <v>21014 - Napavine School District</v>
      </c>
      <c r="D166" s="308" t="str">
        <f t="shared" si="5"/>
        <v>21014</v>
      </c>
    </row>
    <row r="167" spans="1:4">
      <c r="A167" s="306" t="s">
        <v>349</v>
      </c>
      <c r="B167" s="306" t="s">
        <v>350</v>
      </c>
      <c r="C167" s="306" t="str">
        <f t="shared" si="4"/>
        <v>25155 - Naselle-Grays River Valley School District</v>
      </c>
      <c r="D167" s="308" t="str">
        <f t="shared" si="5"/>
        <v>25155</v>
      </c>
    </row>
    <row r="168" spans="1:4">
      <c r="A168" s="306" t="s">
        <v>327</v>
      </c>
      <c r="B168" s="306" t="s">
        <v>328</v>
      </c>
      <c r="C168" s="306" t="str">
        <f t="shared" si="4"/>
        <v>24014 - Nespelem School District</v>
      </c>
      <c r="D168" s="308" t="str">
        <f t="shared" si="5"/>
        <v>24014</v>
      </c>
    </row>
    <row r="169" spans="1:4">
      <c r="A169" s="306" t="s">
        <v>355</v>
      </c>
      <c r="B169" s="306" t="s">
        <v>356</v>
      </c>
      <c r="C169" s="306" t="str">
        <f t="shared" si="4"/>
        <v>26056 - Newport School District</v>
      </c>
      <c r="D169" s="308" t="str">
        <f t="shared" si="5"/>
        <v>26056</v>
      </c>
    </row>
    <row r="170" spans="1:4">
      <c r="A170" s="306" t="s">
        <v>457</v>
      </c>
      <c r="B170" s="306" t="s">
        <v>458</v>
      </c>
      <c r="C170" s="306" t="str">
        <f t="shared" si="4"/>
        <v>32325 - Nine Mile Falls School District</v>
      </c>
      <c r="D170" s="308" t="str">
        <f t="shared" si="5"/>
        <v>32325</v>
      </c>
    </row>
    <row r="171" spans="1:4">
      <c r="A171" s="306" t="s">
        <v>549</v>
      </c>
      <c r="B171" s="306" t="s">
        <v>550</v>
      </c>
      <c r="C171" s="306" t="str">
        <f t="shared" si="4"/>
        <v>37506 - Nooksack Valley School District</v>
      </c>
      <c r="D171" s="308" t="str">
        <f t="shared" si="5"/>
        <v>37506</v>
      </c>
    </row>
    <row r="172" spans="1:4">
      <c r="A172" s="306" t="s">
        <v>145</v>
      </c>
      <c r="B172" s="306" t="s">
        <v>146</v>
      </c>
      <c r="C172" s="306" t="str">
        <f t="shared" si="4"/>
        <v>14064 - North Beach School District</v>
      </c>
      <c r="D172" s="308" t="str">
        <f t="shared" si="5"/>
        <v>14064</v>
      </c>
    </row>
    <row r="173" spans="1:4">
      <c r="A173" s="306" t="s">
        <v>113</v>
      </c>
      <c r="B173" s="306" t="s">
        <v>114</v>
      </c>
      <c r="C173" s="306" t="str">
        <f t="shared" si="4"/>
        <v>11051 - North Franklin School District</v>
      </c>
      <c r="D173" s="308" t="str">
        <f t="shared" si="5"/>
        <v>11051</v>
      </c>
    </row>
    <row r="174" spans="1:4">
      <c r="A174" s="306" t="s">
        <v>231</v>
      </c>
      <c r="B174" s="306" t="s">
        <v>232</v>
      </c>
      <c r="C174" s="306" t="str">
        <f t="shared" si="4"/>
        <v>18400 - North Kitsap School District</v>
      </c>
      <c r="D174" s="308" t="str">
        <f t="shared" si="5"/>
        <v>18400</v>
      </c>
    </row>
    <row r="175" spans="1:4">
      <c r="A175" s="306" t="s">
        <v>323</v>
      </c>
      <c r="B175" s="306" t="s">
        <v>324</v>
      </c>
      <c r="C175" s="306" t="str">
        <f t="shared" si="4"/>
        <v>23403 - North Mason School District</v>
      </c>
      <c r="D175" s="308" t="str">
        <f t="shared" si="5"/>
        <v>23403</v>
      </c>
    </row>
    <row r="176" spans="1:4">
      <c r="A176" s="306" t="s">
        <v>353</v>
      </c>
      <c r="B176" s="306" t="s">
        <v>354</v>
      </c>
      <c r="C176" s="306" t="str">
        <f t="shared" si="4"/>
        <v>25200 - North River School District</v>
      </c>
      <c r="D176" s="308" t="str">
        <f t="shared" si="5"/>
        <v>25200</v>
      </c>
    </row>
    <row r="177" spans="1:4">
      <c r="A177" s="306" t="s">
        <v>509</v>
      </c>
      <c r="B177" s="306" t="s">
        <v>510</v>
      </c>
      <c r="C177" s="306" t="str">
        <f t="shared" si="4"/>
        <v>34003 - North Thurston Public Schools</v>
      </c>
      <c r="D177" s="308" t="str">
        <f t="shared" si="5"/>
        <v>34003</v>
      </c>
    </row>
    <row r="178" spans="1:4">
      <c r="A178" s="306" t="s">
        <v>503</v>
      </c>
      <c r="B178" s="306" t="s">
        <v>504</v>
      </c>
      <c r="C178" s="306" t="str">
        <f t="shared" si="4"/>
        <v>33211 - Northport School District</v>
      </c>
      <c r="D178" s="308" t="str">
        <f t="shared" si="5"/>
        <v>33211</v>
      </c>
    </row>
    <row r="179" spans="1:4">
      <c r="A179" s="306" t="s">
        <v>219</v>
      </c>
      <c r="B179" s="306" t="s">
        <v>220</v>
      </c>
      <c r="C179" s="306" t="str">
        <f t="shared" si="4"/>
        <v>17417 - Northshore School District</v>
      </c>
      <c r="D179" s="308" t="str">
        <f t="shared" si="5"/>
        <v>17417</v>
      </c>
    </row>
    <row r="180" spans="1:4">
      <c r="A180" s="306" t="s">
        <v>167</v>
      </c>
      <c r="B180" s="306" t="s">
        <v>168</v>
      </c>
      <c r="C180" s="306" t="str">
        <f t="shared" si="4"/>
        <v>15201 - Oak Harbor School District</v>
      </c>
      <c r="D180" s="308" t="str">
        <f t="shared" si="5"/>
        <v>15201</v>
      </c>
    </row>
    <row r="181" spans="1:4">
      <c r="A181" s="306" t="s">
        <v>579</v>
      </c>
      <c r="B181" s="306" t="s">
        <v>580</v>
      </c>
      <c r="C181" s="306" t="str">
        <f t="shared" si="4"/>
        <v>38324 - Oakesdale School District</v>
      </c>
      <c r="D181" s="308" t="str">
        <f t="shared" si="5"/>
        <v>38324</v>
      </c>
    </row>
    <row r="182" spans="1:4">
      <c r="A182" s="306" t="s">
        <v>165</v>
      </c>
      <c r="B182" s="306" t="s">
        <v>166</v>
      </c>
      <c r="C182" s="306" t="str">
        <f t="shared" si="4"/>
        <v>14400 - Oakville School District</v>
      </c>
      <c r="D182" s="308" t="str">
        <f t="shared" si="5"/>
        <v>14400</v>
      </c>
    </row>
    <row r="183" spans="1:4">
      <c r="A183" s="306" t="s">
        <v>343</v>
      </c>
      <c r="B183" s="306" t="s">
        <v>344</v>
      </c>
      <c r="C183" s="306" t="str">
        <f t="shared" si="4"/>
        <v>25101 - Ocean Beach School District</v>
      </c>
      <c r="D183" s="308" t="str">
        <f t="shared" si="5"/>
        <v>25101</v>
      </c>
    </row>
    <row r="184" spans="1:4">
      <c r="A184" s="306" t="s">
        <v>163</v>
      </c>
      <c r="B184" s="306" t="s">
        <v>164</v>
      </c>
      <c r="C184" s="306" t="str">
        <f t="shared" si="4"/>
        <v>14172 - Ocosta School District</v>
      </c>
      <c r="D184" s="308" t="str">
        <f t="shared" si="5"/>
        <v>14172</v>
      </c>
    </row>
    <row r="185" spans="1:4">
      <c r="A185" s="306" t="s">
        <v>305</v>
      </c>
      <c r="B185" s="306" t="s">
        <v>306</v>
      </c>
      <c r="C185" s="306" t="str">
        <f t="shared" si="4"/>
        <v>22105 - Odessa School District</v>
      </c>
      <c r="D185" s="308" t="str">
        <f t="shared" si="5"/>
        <v>22105</v>
      </c>
    </row>
    <row r="186" spans="1:4">
      <c r="A186" s="306" t="s">
        <v>331</v>
      </c>
      <c r="B186" s="306" t="s">
        <v>332</v>
      </c>
      <c r="C186" s="306" t="str">
        <f t="shared" si="4"/>
        <v>24105 - Okanogan School District</v>
      </c>
      <c r="D186" s="308" t="str">
        <f t="shared" si="5"/>
        <v>24105</v>
      </c>
    </row>
    <row r="187" spans="1:4">
      <c r="A187" s="306" t="s">
        <v>513</v>
      </c>
      <c r="B187" s="306" t="s">
        <v>514</v>
      </c>
      <c r="C187" s="306" t="str">
        <f t="shared" si="4"/>
        <v>34111 - Olympia School District</v>
      </c>
      <c r="D187" s="308" t="str">
        <f t="shared" si="5"/>
        <v>34111</v>
      </c>
    </row>
    <row r="188" spans="1:4">
      <c r="A188" s="306" t="s">
        <v>329</v>
      </c>
      <c r="B188" s="306" t="s">
        <v>330</v>
      </c>
      <c r="C188" s="306" t="str">
        <f t="shared" si="4"/>
        <v>24019 - Omak School District</v>
      </c>
      <c r="D188" s="308" t="str">
        <f t="shared" si="5"/>
        <v>24019</v>
      </c>
    </row>
    <row r="189" spans="1:4">
      <c r="A189" s="306" t="s">
        <v>287</v>
      </c>
      <c r="B189" s="306" t="s">
        <v>288</v>
      </c>
      <c r="C189" s="306" t="str">
        <f t="shared" si="4"/>
        <v>21300 - Onalaska School District</v>
      </c>
      <c r="D189" s="308" t="str">
        <f t="shared" si="5"/>
        <v>21300</v>
      </c>
    </row>
    <row r="190" spans="1:4">
      <c r="A190" s="306" t="s">
        <v>483</v>
      </c>
      <c r="B190" s="306" t="s">
        <v>484</v>
      </c>
      <c r="C190" s="306" t="str">
        <f t="shared" si="4"/>
        <v>33030 - Onion Creek School District</v>
      </c>
      <c r="D190" s="308" t="str">
        <f t="shared" si="5"/>
        <v>33030</v>
      </c>
    </row>
    <row r="191" spans="1:4">
      <c r="A191" s="306" t="s">
        <v>395</v>
      </c>
      <c r="B191" s="306" t="s">
        <v>396</v>
      </c>
      <c r="C191" s="306" t="str">
        <f t="shared" si="4"/>
        <v>28137 - Orcas Island School District</v>
      </c>
      <c r="D191" s="308" t="str">
        <f t="shared" si="5"/>
        <v>28137</v>
      </c>
    </row>
    <row r="192" spans="1:4">
      <c r="A192" s="306" t="s">
        <v>453</v>
      </c>
      <c r="B192" s="306" t="s">
        <v>454</v>
      </c>
      <c r="C192" s="306" t="str">
        <f t="shared" si="4"/>
        <v>32123 - Orchard Prairie School District</v>
      </c>
      <c r="D192" s="308" t="str">
        <f t="shared" si="5"/>
        <v>32123</v>
      </c>
    </row>
    <row r="193" spans="1:4">
      <c r="A193" s="306" t="s">
        <v>105</v>
      </c>
      <c r="B193" s="306" t="s">
        <v>106</v>
      </c>
      <c r="C193" s="306" t="str">
        <f t="shared" si="4"/>
        <v>10065 - Orient School District</v>
      </c>
      <c r="D193" s="308" t="str">
        <f t="shared" si="5"/>
        <v>10065</v>
      </c>
    </row>
    <row r="194" spans="1:4">
      <c r="A194" s="306" t="s">
        <v>89</v>
      </c>
      <c r="B194" s="306" t="s">
        <v>90</v>
      </c>
      <c r="C194" s="306" t="str">
        <f t="shared" si="4"/>
        <v>09013 - Orondo School District</v>
      </c>
      <c r="D194" s="308" t="str">
        <f t="shared" si="5"/>
        <v>09013</v>
      </c>
    </row>
    <row r="195" spans="1:4">
      <c r="A195" s="306" t="s">
        <v>341</v>
      </c>
      <c r="B195" s="306" t="s">
        <v>342</v>
      </c>
      <c r="C195" s="306" t="str">
        <f t="shared" si="4"/>
        <v>24410 - Oroville School District</v>
      </c>
      <c r="D195" s="308" t="str">
        <f t="shared" si="5"/>
        <v>24410</v>
      </c>
    </row>
    <row r="196" spans="1:4">
      <c r="A196" s="306" t="s">
        <v>375</v>
      </c>
      <c r="B196" s="306" t="s">
        <v>376</v>
      </c>
      <c r="C196" s="306" t="str">
        <f t="shared" si="4"/>
        <v>27344 - Orting School District</v>
      </c>
      <c r="D196" s="308" t="str">
        <f t="shared" si="5"/>
        <v>27344</v>
      </c>
    </row>
    <row r="197" spans="1:4">
      <c r="A197" s="306" t="s">
        <v>7</v>
      </c>
      <c r="B197" s="306" t="s">
        <v>8</v>
      </c>
      <c r="C197" s="306" t="str">
        <f t="shared" ref="C197:C260" si="6">CONCATENATE(A197," - ",B197)</f>
        <v>01147 - Othello School District</v>
      </c>
      <c r="D197" s="308" t="str">
        <f t="shared" ref="D197:D260" si="7">A197</f>
        <v>01147</v>
      </c>
    </row>
    <row r="198" spans="1:4">
      <c r="A198" s="306" t="s">
        <v>93</v>
      </c>
      <c r="B198" s="306" t="s">
        <v>94</v>
      </c>
      <c r="C198" s="306" t="str">
        <f t="shared" si="6"/>
        <v>09102 - Palisades School District</v>
      </c>
      <c r="D198" s="308" t="str">
        <f t="shared" si="7"/>
        <v>09102</v>
      </c>
    </row>
    <row r="199" spans="1:4">
      <c r="A199" s="306" t="s">
        <v>565</v>
      </c>
      <c r="B199" s="306" t="s">
        <v>566</v>
      </c>
      <c r="C199" s="306" t="str">
        <f t="shared" si="6"/>
        <v>38301 - Palouse School District</v>
      </c>
      <c r="D199" s="308" t="str">
        <f t="shared" si="7"/>
        <v>38301</v>
      </c>
    </row>
    <row r="200" spans="1:4">
      <c r="A200" s="306" t="s">
        <v>111</v>
      </c>
      <c r="B200" s="306" t="s">
        <v>112</v>
      </c>
      <c r="C200" s="306" t="str">
        <f t="shared" si="6"/>
        <v>11001 - Pasco School District</v>
      </c>
      <c r="D200" s="308" t="str">
        <f t="shared" si="7"/>
        <v>11001</v>
      </c>
    </row>
    <row r="201" spans="1:4">
      <c r="A201" s="306" t="s">
        <v>335</v>
      </c>
      <c r="B201" s="306" t="s">
        <v>336</v>
      </c>
      <c r="C201" s="306" t="str">
        <f t="shared" si="6"/>
        <v>24122 - Pateros School District</v>
      </c>
      <c r="D201" s="308" t="str">
        <f t="shared" si="7"/>
        <v>24122</v>
      </c>
    </row>
    <row r="202" spans="1:4">
      <c r="A202" s="306" t="s">
        <v>19</v>
      </c>
      <c r="B202" s="306" t="s">
        <v>20</v>
      </c>
      <c r="C202" s="306" t="str">
        <f t="shared" si="6"/>
        <v>03050 - Paterson School District</v>
      </c>
      <c r="D202" s="308" t="str">
        <f t="shared" si="7"/>
        <v>03050</v>
      </c>
    </row>
    <row r="203" spans="1:4">
      <c r="A203" s="306" t="s">
        <v>289</v>
      </c>
      <c r="B203" s="306" t="s">
        <v>290</v>
      </c>
      <c r="C203" s="306" t="str">
        <f t="shared" si="6"/>
        <v>21301 - Pe Ell School District</v>
      </c>
      <c r="D203" s="308" t="str">
        <f t="shared" si="7"/>
        <v>21301</v>
      </c>
    </row>
    <row r="204" spans="1:4">
      <c r="A204" s="306" t="s">
        <v>379</v>
      </c>
      <c r="B204" s="306" t="s">
        <v>380</v>
      </c>
      <c r="C204" s="306" t="str">
        <f t="shared" si="6"/>
        <v>27401 - Peninsula School District</v>
      </c>
      <c r="D204" s="308" t="str">
        <f t="shared" si="7"/>
        <v>27401</v>
      </c>
    </row>
    <row r="205" spans="1:4">
      <c r="A205" s="306" t="s">
        <v>1317</v>
      </c>
      <c r="B205" s="306" t="s">
        <v>1318</v>
      </c>
      <c r="C205" s="306" t="str">
        <f t="shared" si="6"/>
        <v>04901 - Pinnacles Prep Charter</v>
      </c>
      <c r="D205" s="308" t="str">
        <f t="shared" si="7"/>
        <v>04901</v>
      </c>
    </row>
    <row r="206" spans="1:4">
      <c r="A206" s="306" t="s">
        <v>321</v>
      </c>
      <c r="B206" s="306" t="s">
        <v>322</v>
      </c>
      <c r="C206" s="306" t="str">
        <f t="shared" si="6"/>
        <v>23402 - Pioneer School District</v>
      </c>
      <c r="D206" s="308" t="str">
        <f t="shared" si="7"/>
        <v>23402</v>
      </c>
    </row>
    <row r="207" spans="1:4">
      <c r="A207" s="306" t="s">
        <v>119</v>
      </c>
      <c r="B207" s="306" t="s">
        <v>120</v>
      </c>
      <c r="C207" s="306" t="str">
        <f t="shared" si="6"/>
        <v>12110 - Pomeroy School District</v>
      </c>
      <c r="D207" s="308" t="str">
        <f t="shared" si="7"/>
        <v>12110</v>
      </c>
    </row>
    <row r="208" spans="1:4">
      <c r="A208" s="306" t="s">
        <v>43</v>
      </c>
      <c r="B208" s="306" t="s">
        <v>44</v>
      </c>
      <c r="C208" s="306" t="str">
        <f t="shared" si="6"/>
        <v>05121 - Port Angeles School District</v>
      </c>
      <c r="D208" s="308" t="str">
        <f t="shared" si="7"/>
        <v>05121</v>
      </c>
    </row>
    <row r="209" spans="1:4">
      <c r="A209" s="306" t="s">
        <v>181</v>
      </c>
      <c r="B209" s="306" t="s">
        <v>182</v>
      </c>
      <c r="C209" s="306" t="str">
        <f t="shared" si="6"/>
        <v>16050 - Port Townsend School District</v>
      </c>
      <c r="D209" s="308" t="str">
        <f t="shared" si="7"/>
        <v>16050</v>
      </c>
    </row>
    <row r="210" spans="1:4">
      <c r="A210" s="306" t="s">
        <v>537</v>
      </c>
      <c r="B210" s="306" t="s">
        <v>538</v>
      </c>
      <c r="C210" s="306" t="str">
        <f t="shared" si="6"/>
        <v>36402 - Prescott School District</v>
      </c>
      <c r="D210" s="308" t="str">
        <f t="shared" si="7"/>
        <v>36402</v>
      </c>
    </row>
    <row r="211" spans="1:4">
      <c r="A211" s="306" t="s">
        <v>481</v>
      </c>
      <c r="B211" s="306" t="s">
        <v>482</v>
      </c>
      <c r="C211" s="306" t="str">
        <f t="shared" si="6"/>
        <v>32907 - PRIDE Prep Charter School District</v>
      </c>
      <c r="D211" s="308" t="str">
        <f t="shared" si="7"/>
        <v>32907</v>
      </c>
    </row>
    <row r="212" spans="1:4">
      <c r="A212" s="306" t="s">
        <v>25</v>
      </c>
      <c r="B212" s="306" t="s">
        <v>26</v>
      </c>
      <c r="C212" s="306" t="str">
        <f t="shared" si="6"/>
        <v>03116 - Prosser School District</v>
      </c>
      <c r="D212" s="308" t="str">
        <f t="shared" si="7"/>
        <v>03116</v>
      </c>
    </row>
    <row r="213" spans="1:4">
      <c r="A213" s="306" t="s">
        <v>1319</v>
      </c>
      <c r="B213" s="306" t="s">
        <v>1320</v>
      </c>
      <c r="C213" s="306" t="str">
        <f t="shared" si="6"/>
        <v>38901 - Pullman Community Montessori</v>
      </c>
      <c r="D213" s="308" t="str">
        <f t="shared" si="7"/>
        <v>38901</v>
      </c>
    </row>
    <row r="214" spans="1:4">
      <c r="A214" s="306" t="s">
        <v>561</v>
      </c>
      <c r="B214" s="306" t="s">
        <v>562</v>
      </c>
      <c r="C214" s="306" t="str">
        <f t="shared" si="6"/>
        <v>38267 - Pullman School District</v>
      </c>
      <c r="D214" s="308" t="str">
        <f t="shared" si="7"/>
        <v>38267</v>
      </c>
    </row>
    <row r="215" spans="1:4">
      <c r="A215" s="306" t="s">
        <v>363</v>
      </c>
      <c r="B215" s="306" t="s">
        <v>364</v>
      </c>
      <c r="C215" s="306" t="str">
        <f t="shared" si="6"/>
        <v>27003 - Puyallup School District</v>
      </c>
      <c r="D215" s="308" t="str">
        <f t="shared" si="7"/>
        <v>27003</v>
      </c>
    </row>
    <row r="216" spans="1:4">
      <c r="A216" s="306" t="s">
        <v>173</v>
      </c>
      <c r="B216" s="306" t="s">
        <v>174</v>
      </c>
      <c r="C216" s="306" t="str">
        <f t="shared" si="6"/>
        <v>16020 - Queets-Clearwater School District</v>
      </c>
      <c r="D216" s="308" t="str">
        <f t="shared" si="7"/>
        <v>16020</v>
      </c>
    </row>
    <row r="217" spans="1:4">
      <c r="A217" s="306" t="s">
        <v>177</v>
      </c>
      <c r="B217" s="306" t="s">
        <v>178</v>
      </c>
      <c r="C217" s="306" t="str">
        <f t="shared" si="6"/>
        <v>16048 - Quilcene School District</v>
      </c>
      <c r="D217" s="308" t="str">
        <f t="shared" si="7"/>
        <v>16048</v>
      </c>
    </row>
    <row r="218" spans="1:4">
      <c r="A218" s="306" t="s">
        <v>53</v>
      </c>
      <c r="B218" s="306" t="s">
        <v>54</v>
      </c>
      <c r="C218" s="306" t="str">
        <f t="shared" si="6"/>
        <v>05903 - Quileute Tribal School District</v>
      </c>
      <c r="D218" s="308" t="str">
        <f t="shared" si="7"/>
        <v>05903</v>
      </c>
    </row>
    <row r="219" spans="1:4">
      <c r="A219" s="306" t="s">
        <v>51</v>
      </c>
      <c r="B219" s="306" t="s">
        <v>52</v>
      </c>
      <c r="C219" s="306" t="str">
        <f t="shared" si="6"/>
        <v>05402 - Quillayute Valley School District</v>
      </c>
      <c r="D219" s="308" t="str">
        <f t="shared" si="7"/>
        <v>05402</v>
      </c>
    </row>
    <row r="220" spans="1:4">
      <c r="A220" s="306" t="s">
        <v>123</v>
      </c>
      <c r="B220" s="306" t="s">
        <v>124</v>
      </c>
      <c r="C220" s="306" t="str">
        <f t="shared" si="6"/>
        <v>13144 - Quincy School District</v>
      </c>
      <c r="D220" s="308" t="str">
        <f t="shared" si="7"/>
        <v>13144</v>
      </c>
    </row>
    <row r="221" spans="1:4">
      <c r="A221" s="306" t="s">
        <v>225</v>
      </c>
      <c r="B221" s="306" t="s">
        <v>226</v>
      </c>
      <c r="C221" s="306" t="str">
        <f t="shared" si="6"/>
        <v>17908 - Rainier Prep Charter School District</v>
      </c>
      <c r="D221" s="308" t="str">
        <f t="shared" si="7"/>
        <v>17908</v>
      </c>
    </row>
    <row r="222" spans="1:4">
      <c r="A222" s="306" t="s">
        <v>515</v>
      </c>
      <c r="B222" s="306" t="s">
        <v>516</v>
      </c>
      <c r="C222" s="306" t="str">
        <f t="shared" si="6"/>
        <v>34307 - Rainier School District</v>
      </c>
      <c r="D222" s="308" t="str">
        <f t="shared" si="7"/>
        <v>34307</v>
      </c>
    </row>
    <row r="223" spans="1:4">
      <c r="A223" s="306" t="s">
        <v>345</v>
      </c>
      <c r="B223" s="306" t="s">
        <v>346</v>
      </c>
      <c r="C223" s="306" t="str">
        <f t="shared" si="6"/>
        <v>25116 - Raymond School District</v>
      </c>
      <c r="D223" s="308" t="str">
        <f t="shared" si="7"/>
        <v>25116</v>
      </c>
    </row>
    <row r="224" spans="1:4">
      <c r="A224" s="306" t="s">
        <v>299</v>
      </c>
      <c r="B224" s="306" t="s">
        <v>300</v>
      </c>
      <c r="C224" s="306" t="str">
        <f t="shared" si="6"/>
        <v>22009 - Reardan-Edwall School District</v>
      </c>
      <c r="D224" s="308" t="str">
        <f t="shared" si="7"/>
        <v>22009</v>
      </c>
    </row>
    <row r="225" spans="1:4">
      <c r="A225" s="306" t="s">
        <v>195</v>
      </c>
      <c r="B225" s="306" t="s">
        <v>196</v>
      </c>
      <c r="C225" s="306" t="str">
        <f t="shared" si="6"/>
        <v>17403 - Renton School District</v>
      </c>
      <c r="D225" s="308" t="str">
        <f t="shared" si="7"/>
        <v>17403</v>
      </c>
    </row>
    <row r="226" spans="1:4">
      <c r="A226" s="306" t="s">
        <v>109</v>
      </c>
      <c r="B226" s="306" t="s">
        <v>110</v>
      </c>
      <c r="C226" s="306" t="str">
        <f t="shared" si="6"/>
        <v>10309 - Republic School District</v>
      </c>
      <c r="D226" s="308" t="str">
        <f t="shared" si="7"/>
        <v>10309</v>
      </c>
    </row>
    <row r="227" spans="1:4">
      <c r="A227" s="306" t="s">
        <v>27</v>
      </c>
      <c r="B227" s="306" t="s">
        <v>28</v>
      </c>
      <c r="C227" s="306" t="str">
        <f t="shared" si="6"/>
        <v>03400 - Richland School District</v>
      </c>
      <c r="D227" s="308" t="str">
        <f t="shared" si="7"/>
        <v>03400</v>
      </c>
    </row>
    <row r="228" spans="1:4">
      <c r="A228" s="306" t="s">
        <v>71</v>
      </c>
      <c r="B228" s="306" t="s">
        <v>72</v>
      </c>
      <c r="C228" s="306" t="str">
        <f t="shared" si="6"/>
        <v>06122 - Ridgefield School District</v>
      </c>
      <c r="D228" s="308" t="str">
        <f t="shared" si="7"/>
        <v>06122</v>
      </c>
    </row>
    <row r="229" spans="1:4">
      <c r="A229" s="306" t="s">
        <v>11</v>
      </c>
      <c r="B229" s="306" t="s">
        <v>12</v>
      </c>
      <c r="C229" s="306" t="str">
        <f t="shared" si="6"/>
        <v>01160 - Ritzville School District</v>
      </c>
      <c r="D229" s="308" t="str">
        <f t="shared" si="7"/>
        <v>01160</v>
      </c>
    </row>
    <row r="230" spans="1:4">
      <c r="A230" s="306" t="s">
        <v>477</v>
      </c>
      <c r="B230" s="306" t="s">
        <v>478</v>
      </c>
      <c r="C230" s="306" t="str">
        <f t="shared" si="6"/>
        <v>32416 - Riverside School District</v>
      </c>
      <c r="D230" s="308" t="str">
        <f t="shared" si="7"/>
        <v>32416</v>
      </c>
    </row>
    <row r="231" spans="1:4">
      <c r="A231" s="306" t="s">
        <v>203</v>
      </c>
      <c r="B231" s="306" t="s">
        <v>204</v>
      </c>
      <c r="C231" s="306" t="str">
        <f t="shared" si="6"/>
        <v>17407 - Riverview School District</v>
      </c>
      <c r="D231" s="308" t="str">
        <f t="shared" si="7"/>
        <v>17407</v>
      </c>
    </row>
    <row r="232" spans="1:4">
      <c r="A232" s="306" t="s">
        <v>519</v>
      </c>
      <c r="B232" s="306" t="s">
        <v>520</v>
      </c>
      <c r="C232" s="306" t="str">
        <f t="shared" si="6"/>
        <v>34401 - Rochester School District</v>
      </c>
      <c r="D232" s="308" t="str">
        <f t="shared" si="7"/>
        <v>34401</v>
      </c>
    </row>
    <row r="233" spans="1:4">
      <c r="A233" s="306" t="s">
        <v>263</v>
      </c>
      <c r="B233" s="306" t="s">
        <v>264</v>
      </c>
      <c r="C233" s="306" t="str">
        <f t="shared" si="6"/>
        <v>20403 - Roosevelt School District</v>
      </c>
      <c r="D233" s="308" t="str">
        <f t="shared" si="7"/>
        <v>20403</v>
      </c>
    </row>
    <row r="234" spans="1:4">
      <c r="A234" s="306" t="s">
        <v>575</v>
      </c>
      <c r="B234" s="306" t="s">
        <v>576</v>
      </c>
      <c r="C234" s="306" t="str">
        <f t="shared" si="6"/>
        <v>38320 - Rosalia School District</v>
      </c>
      <c r="D234" s="308" t="str">
        <f t="shared" si="7"/>
        <v>38320</v>
      </c>
    </row>
    <row r="235" spans="1:4">
      <c r="A235" s="306" t="s">
        <v>131</v>
      </c>
      <c r="B235" s="306" t="s">
        <v>132</v>
      </c>
      <c r="C235" s="306" t="str">
        <f t="shared" si="6"/>
        <v>13160 - Royal School District</v>
      </c>
      <c r="D235" s="308" t="str">
        <f t="shared" si="7"/>
        <v>13160</v>
      </c>
    </row>
    <row r="236" spans="1:4">
      <c r="A236" s="306" t="s">
        <v>399</v>
      </c>
      <c r="B236" s="306" t="s">
        <v>400</v>
      </c>
      <c r="C236" s="306" t="str">
        <f t="shared" si="6"/>
        <v>28149 - San Juan Island School District</v>
      </c>
      <c r="D236" s="308" t="str">
        <f t="shared" si="7"/>
        <v>28149</v>
      </c>
    </row>
    <row r="237" spans="1:4">
      <c r="A237" s="306" t="s">
        <v>159</v>
      </c>
      <c r="B237" s="306" t="s">
        <v>160</v>
      </c>
      <c r="C237" s="306" t="str">
        <f t="shared" si="6"/>
        <v>14104 - Satsop School District</v>
      </c>
      <c r="D237" s="308" t="str">
        <f t="shared" si="7"/>
        <v>14104</v>
      </c>
    </row>
    <row r="238" spans="1:4">
      <c r="A238" s="306" t="s">
        <v>183</v>
      </c>
      <c r="B238" s="306" t="s">
        <v>184</v>
      </c>
      <c r="C238" s="306" t="str">
        <f t="shared" si="6"/>
        <v>17001 - Seattle Public Schools</v>
      </c>
      <c r="D238" s="308" t="str">
        <f t="shared" si="7"/>
        <v>17001</v>
      </c>
    </row>
    <row r="239" spans="1:4">
      <c r="A239" s="306" t="s">
        <v>405</v>
      </c>
      <c r="B239" s="306" t="s">
        <v>406</v>
      </c>
      <c r="C239" s="306" t="str">
        <f t="shared" si="6"/>
        <v>29101 - Sedro-Woolley School District</v>
      </c>
      <c r="D239" s="308" t="str">
        <f t="shared" si="7"/>
        <v>29101</v>
      </c>
    </row>
    <row r="240" spans="1:4">
      <c r="A240" s="306" t="s">
        <v>589</v>
      </c>
      <c r="B240" s="306" t="s">
        <v>590</v>
      </c>
      <c r="C240" s="306" t="str">
        <f t="shared" si="6"/>
        <v>39119 - Selah School District</v>
      </c>
      <c r="D240" s="308" t="str">
        <f t="shared" si="7"/>
        <v>39119</v>
      </c>
    </row>
    <row r="241" spans="1:4">
      <c r="A241" s="306" t="s">
        <v>359</v>
      </c>
      <c r="B241" s="306" t="s">
        <v>360</v>
      </c>
      <c r="C241" s="306" t="str">
        <f t="shared" si="6"/>
        <v>26070 - Selkirk School District</v>
      </c>
      <c r="D241" s="308" t="str">
        <f t="shared" si="7"/>
        <v>26070</v>
      </c>
    </row>
    <row r="242" spans="1:4">
      <c r="A242" s="306" t="s">
        <v>47</v>
      </c>
      <c r="B242" s="306" t="s">
        <v>48</v>
      </c>
      <c r="C242" s="306" t="str">
        <f t="shared" si="6"/>
        <v>05323 - Sequim School District</v>
      </c>
      <c r="D242" s="308" t="str">
        <f t="shared" si="7"/>
        <v>05323</v>
      </c>
    </row>
    <row r="243" spans="1:4">
      <c r="A243" s="306" t="s">
        <v>393</v>
      </c>
      <c r="B243" s="306" t="s">
        <v>394</v>
      </c>
      <c r="C243" s="306" t="str">
        <f t="shared" si="6"/>
        <v>28010 - Shaw Island School District</v>
      </c>
      <c r="D243" s="308" t="str">
        <f t="shared" si="7"/>
        <v>28010</v>
      </c>
    </row>
    <row r="244" spans="1:4">
      <c r="A244" s="306" t="s">
        <v>317</v>
      </c>
      <c r="B244" s="306" t="s">
        <v>318</v>
      </c>
      <c r="C244" s="306" t="str">
        <f t="shared" si="6"/>
        <v>23309 - Shelton School District</v>
      </c>
      <c r="D244" s="308" t="str">
        <f t="shared" si="7"/>
        <v>23309</v>
      </c>
    </row>
    <row r="245" spans="1:4">
      <c r="A245" s="306" t="s">
        <v>213</v>
      </c>
      <c r="B245" s="306" t="s">
        <v>214</v>
      </c>
      <c r="C245" s="306" t="str">
        <f t="shared" si="6"/>
        <v>17412 - Shoreline School District</v>
      </c>
      <c r="D245" s="308" t="str">
        <f t="shared" si="7"/>
        <v>17412</v>
      </c>
    </row>
    <row r="246" spans="1:4">
      <c r="A246" s="306" t="s">
        <v>415</v>
      </c>
      <c r="B246" s="306" t="s">
        <v>416</v>
      </c>
      <c r="C246" s="306" t="str">
        <f t="shared" si="6"/>
        <v>30002 - Skamania School District</v>
      </c>
      <c r="D246" s="308" t="str">
        <f t="shared" si="7"/>
        <v>30002</v>
      </c>
    </row>
    <row r="247" spans="1:4">
      <c r="A247" s="306" t="s">
        <v>197</v>
      </c>
      <c r="B247" s="306" t="s">
        <v>198</v>
      </c>
      <c r="C247" s="306" t="str">
        <f t="shared" si="6"/>
        <v>17404 - Skykomish School District</v>
      </c>
      <c r="D247" s="308" t="str">
        <f t="shared" si="7"/>
        <v>17404</v>
      </c>
    </row>
    <row r="248" spans="1:4">
      <c r="A248" s="306" t="s">
        <v>439</v>
      </c>
      <c r="B248" s="306" t="s">
        <v>440</v>
      </c>
      <c r="C248" s="306" t="str">
        <f t="shared" si="6"/>
        <v>31201 - Snohomish School District</v>
      </c>
      <c r="D248" s="308" t="str">
        <f t="shared" si="7"/>
        <v>31201</v>
      </c>
    </row>
    <row r="249" spans="1:4">
      <c r="A249" s="306" t="s">
        <v>209</v>
      </c>
      <c r="B249" s="306" t="s">
        <v>210</v>
      </c>
      <c r="C249" s="306" t="str">
        <f t="shared" si="6"/>
        <v>17410 - Snoqualmie Valley School District</v>
      </c>
      <c r="D249" s="308" t="str">
        <f t="shared" si="7"/>
        <v>17410</v>
      </c>
    </row>
    <row r="250" spans="1:4">
      <c r="A250" s="306" t="s">
        <v>129</v>
      </c>
      <c r="B250" s="306" t="s">
        <v>130</v>
      </c>
      <c r="C250" s="306" t="str">
        <f t="shared" si="6"/>
        <v>13156 - Soap Lake School District</v>
      </c>
      <c r="D250" s="308" t="str">
        <f t="shared" si="7"/>
        <v>13156</v>
      </c>
    </row>
    <row r="251" spans="1:4">
      <c r="A251" s="306" t="s">
        <v>347</v>
      </c>
      <c r="B251" s="306" t="s">
        <v>348</v>
      </c>
      <c r="C251" s="306" t="str">
        <f t="shared" si="6"/>
        <v>25118 - South Bend School District</v>
      </c>
      <c r="D251" s="308" t="str">
        <f t="shared" si="7"/>
        <v>25118</v>
      </c>
    </row>
    <row r="252" spans="1:4">
      <c r="A252" s="306" t="s">
        <v>235</v>
      </c>
      <c r="B252" s="306" t="s">
        <v>236</v>
      </c>
      <c r="C252" s="306" t="str">
        <f t="shared" si="6"/>
        <v>18402 - South Kitsap School District</v>
      </c>
      <c r="D252" s="308" t="str">
        <f t="shared" si="7"/>
        <v>18402</v>
      </c>
    </row>
    <row r="253" spans="1:4">
      <c r="A253" s="306" t="s">
        <v>171</v>
      </c>
      <c r="B253" s="306" t="s">
        <v>172</v>
      </c>
      <c r="C253" s="306" t="str">
        <f t="shared" si="6"/>
        <v>15206 - South Whidbey School District</v>
      </c>
      <c r="D253" s="308" t="str">
        <f t="shared" si="7"/>
        <v>15206</v>
      </c>
    </row>
    <row r="254" spans="1:4">
      <c r="A254" s="306" t="s">
        <v>313</v>
      </c>
      <c r="B254" s="306" t="s">
        <v>314</v>
      </c>
      <c r="C254" s="306" t="str">
        <f t="shared" si="6"/>
        <v>23042 - Southside School District</v>
      </c>
      <c r="D254" s="308" t="str">
        <f t="shared" si="7"/>
        <v>23042</v>
      </c>
    </row>
    <row r="255" spans="1:4">
      <c r="A255" s="306" t="s">
        <v>479</v>
      </c>
      <c r="B255" s="306" t="s">
        <v>480</v>
      </c>
      <c r="C255" s="306" t="str">
        <f t="shared" si="6"/>
        <v>32901 - Spokane International Academy</v>
      </c>
      <c r="D255" s="308" t="str">
        <f t="shared" si="7"/>
        <v>32901</v>
      </c>
    </row>
    <row r="256" spans="1:4">
      <c r="A256" s="306" t="s">
        <v>451</v>
      </c>
      <c r="B256" s="306" t="s">
        <v>452</v>
      </c>
      <c r="C256" s="306" t="str">
        <f t="shared" si="6"/>
        <v>32081 - Spokane School District</v>
      </c>
      <c r="D256" s="308" t="str">
        <f t="shared" si="7"/>
        <v>32081</v>
      </c>
    </row>
    <row r="257" spans="1:4">
      <c r="A257" s="306" t="s">
        <v>297</v>
      </c>
      <c r="B257" s="306" t="s">
        <v>298</v>
      </c>
      <c r="C257" s="306" t="str">
        <f t="shared" si="6"/>
        <v>22008 - Sprague School District</v>
      </c>
      <c r="D257" s="308" t="str">
        <f t="shared" si="7"/>
        <v>22008</v>
      </c>
    </row>
    <row r="258" spans="1:4">
      <c r="A258" s="306" t="s">
        <v>577</v>
      </c>
      <c r="B258" s="306" t="s">
        <v>578</v>
      </c>
      <c r="C258" s="306" t="str">
        <f t="shared" si="6"/>
        <v>38322 - St. John School District</v>
      </c>
      <c r="D258" s="308" t="str">
        <f t="shared" si="7"/>
        <v>38322</v>
      </c>
    </row>
    <row r="259" spans="1:4">
      <c r="A259" s="306" t="s">
        <v>449</v>
      </c>
      <c r="B259" s="306" t="s">
        <v>450</v>
      </c>
      <c r="C259" s="306" t="str">
        <f t="shared" si="6"/>
        <v>31401 - Stanwood-Camano School District</v>
      </c>
      <c r="D259" s="308" t="str">
        <f t="shared" si="7"/>
        <v>31401</v>
      </c>
    </row>
    <row r="260" spans="1:4">
      <c r="A260" s="306" t="s">
        <v>115</v>
      </c>
      <c r="B260" s="306" t="s">
        <v>116</v>
      </c>
      <c r="C260" s="306" t="str">
        <f t="shared" si="6"/>
        <v>11054 - Star School District No. 054</v>
      </c>
      <c r="D260" s="308" t="str">
        <f t="shared" si="7"/>
        <v>11054</v>
      </c>
    </row>
    <row r="261" spans="1:4">
      <c r="A261" s="306" t="s">
        <v>75</v>
      </c>
      <c r="B261" s="306" t="s">
        <v>76</v>
      </c>
      <c r="C261" s="306" t="str">
        <f t="shared" ref="C261:C318" si="8">CONCATENATE(A261," - ",B261)</f>
        <v>07035 - Starbuck School District</v>
      </c>
      <c r="D261" s="308" t="str">
        <f t="shared" ref="D261:D318" si="9">A261</f>
        <v>07035</v>
      </c>
    </row>
    <row r="262" spans="1:4">
      <c r="A262" s="306" t="s">
        <v>31</v>
      </c>
      <c r="B262" s="306" t="s">
        <v>32</v>
      </c>
      <c r="C262" s="306" t="str">
        <f t="shared" si="8"/>
        <v>04069 - Stehekin School District</v>
      </c>
      <c r="D262" s="308" t="str">
        <f t="shared" si="9"/>
        <v>04069</v>
      </c>
    </row>
    <row r="263" spans="1:4">
      <c r="A263" s="306" t="s">
        <v>361</v>
      </c>
      <c r="B263" s="306" t="s">
        <v>362</v>
      </c>
      <c r="C263" s="306" t="str">
        <f t="shared" si="8"/>
        <v>27001 - Steilacoom Hist. School District</v>
      </c>
      <c r="D263" s="308" t="str">
        <f t="shared" si="9"/>
        <v>27001</v>
      </c>
    </row>
    <row r="264" spans="1:4">
      <c r="A264" s="306" t="s">
        <v>569</v>
      </c>
      <c r="B264" s="306" t="s">
        <v>570</v>
      </c>
      <c r="C264" s="306" t="str">
        <f t="shared" si="8"/>
        <v>38304 - Steptoe School District</v>
      </c>
      <c r="D264" s="308" t="str">
        <f t="shared" si="9"/>
        <v>38304</v>
      </c>
    </row>
    <row r="265" spans="1:4">
      <c r="A265" s="306" t="s">
        <v>421</v>
      </c>
      <c r="B265" s="306" t="s">
        <v>422</v>
      </c>
      <c r="C265" s="306" t="str">
        <f t="shared" si="8"/>
        <v>30303 - Stevenson-Carson School District</v>
      </c>
      <c r="D265" s="308" t="str">
        <f t="shared" si="9"/>
        <v>30303</v>
      </c>
    </row>
    <row r="266" spans="1:4">
      <c r="A266" s="306" t="s">
        <v>443</v>
      </c>
      <c r="B266" s="306" t="s">
        <v>444</v>
      </c>
      <c r="C266" s="306" t="str">
        <f t="shared" si="8"/>
        <v>31311 - Sultan School District</v>
      </c>
      <c r="D266" s="308" t="str">
        <f t="shared" si="9"/>
        <v>31311</v>
      </c>
    </row>
    <row r="267" spans="1:4">
      <c r="A267" s="306" t="s">
        <v>1022</v>
      </c>
      <c r="B267" s="306" t="s">
        <v>1040</v>
      </c>
      <c r="C267" s="306" t="str">
        <f t="shared" si="8"/>
        <v>17905 - Summit Public School: Atlas</v>
      </c>
      <c r="D267" s="308" t="str">
        <f t="shared" si="9"/>
        <v>17905</v>
      </c>
    </row>
    <row r="268" spans="1:4">
      <c r="A268" s="306" t="s">
        <v>391</v>
      </c>
      <c r="B268" s="306" t="s">
        <v>392</v>
      </c>
      <c r="C268" s="306" t="str">
        <f t="shared" si="8"/>
        <v>27905 - Summit Public School: Olympus</v>
      </c>
      <c r="D268" s="308" t="str">
        <f t="shared" si="9"/>
        <v>27905</v>
      </c>
    </row>
    <row r="269" spans="1:4">
      <c r="A269" s="306" t="s">
        <v>221</v>
      </c>
      <c r="B269" s="306" t="s">
        <v>222</v>
      </c>
      <c r="C269" s="306" t="str">
        <f t="shared" si="8"/>
        <v>17902 - Summit Public School: Sierra</v>
      </c>
      <c r="D269" s="308" t="str">
        <f t="shared" si="9"/>
        <v>17902</v>
      </c>
    </row>
    <row r="270" spans="1:4">
      <c r="A270" s="306" t="s">
        <v>495</v>
      </c>
      <c r="B270" s="306" t="s">
        <v>496</v>
      </c>
      <c r="C270" s="306" t="str">
        <f t="shared" si="8"/>
        <v>33202 - Summit Valley School District</v>
      </c>
      <c r="D270" s="308" t="str">
        <f t="shared" si="9"/>
        <v>33202</v>
      </c>
    </row>
    <row r="271" spans="1:4">
      <c r="A271" s="306" t="s">
        <v>371</v>
      </c>
      <c r="B271" s="306" t="s">
        <v>372</v>
      </c>
      <c r="C271" s="306" t="str">
        <f t="shared" si="8"/>
        <v>27320 - Sumner School District</v>
      </c>
      <c r="D271" s="308" t="str">
        <f t="shared" si="9"/>
        <v>27320</v>
      </c>
    </row>
    <row r="272" spans="1:4">
      <c r="A272" s="306" t="s">
        <v>595</v>
      </c>
      <c r="B272" s="306" t="s">
        <v>596</v>
      </c>
      <c r="C272" s="306" t="str">
        <f t="shared" si="8"/>
        <v>39201 - Sunnyside School District</v>
      </c>
      <c r="D272" s="308" t="str">
        <f t="shared" si="9"/>
        <v>39201</v>
      </c>
    </row>
    <row r="273" spans="1:4">
      <c r="A273" s="306" t="s">
        <v>237</v>
      </c>
      <c r="B273" s="306" t="s">
        <v>238</v>
      </c>
      <c r="C273" s="306" t="str">
        <f t="shared" si="8"/>
        <v>18902 - Suquamish Tribal Education Department</v>
      </c>
      <c r="D273" s="308" t="str">
        <f t="shared" si="9"/>
        <v>18902</v>
      </c>
    </row>
    <row r="274" spans="1:4">
      <c r="A274" s="306" t="s">
        <v>365</v>
      </c>
      <c r="B274" s="306" t="s">
        <v>366</v>
      </c>
      <c r="C274" s="306" t="str">
        <f t="shared" si="8"/>
        <v>27010 - Tacoma School District</v>
      </c>
      <c r="D274" s="308" t="str">
        <f t="shared" si="9"/>
        <v>27010</v>
      </c>
    </row>
    <row r="275" spans="1:4">
      <c r="A275" s="306" t="s">
        <v>153</v>
      </c>
      <c r="B275" s="306" t="s">
        <v>154</v>
      </c>
      <c r="C275" s="306" t="str">
        <f t="shared" si="8"/>
        <v>14077 - Taholah School District</v>
      </c>
      <c r="D275" s="308" t="str">
        <f t="shared" si="9"/>
        <v>14077</v>
      </c>
    </row>
    <row r="276" spans="1:4">
      <c r="A276" s="306" t="s">
        <v>207</v>
      </c>
      <c r="B276" s="306" t="s">
        <v>208</v>
      </c>
      <c r="C276" s="306" t="str">
        <f t="shared" si="8"/>
        <v>17409 - Tahoma School District</v>
      </c>
      <c r="D276" s="308" t="str">
        <f t="shared" si="9"/>
        <v>17409</v>
      </c>
    </row>
    <row r="277" spans="1:4">
      <c r="A277" s="306" t="s">
        <v>559</v>
      </c>
      <c r="B277" s="306" t="s">
        <v>560</v>
      </c>
      <c r="C277" s="306" t="str">
        <f t="shared" si="8"/>
        <v>38265 - Tekoa School District</v>
      </c>
      <c r="D277" s="308" t="str">
        <f t="shared" si="9"/>
        <v>38265</v>
      </c>
    </row>
    <row r="278" spans="1:4">
      <c r="A278" s="306" t="s">
        <v>521</v>
      </c>
      <c r="B278" s="306" t="s">
        <v>522</v>
      </c>
      <c r="C278" s="306" t="str">
        <f t="shared" si="8"/>
        <v>34402 - Tenino School District</v>
      </c>
      <c r="D278" s="308" t="str">
        <f t="shared" si="9"/>
        <v>34402</v>
      </c>
    </row>
    <row r="279" spans="1:4">
      <c r="A279" s="306" t="s">
        <v>243</v>
      </c>
      <c r="B279" s="306" t="s">
        <v>244</v>
      </c>
      <c r="C279" s="306" t="str">
        <f t="shared" si="8"/>
        <v>19400 - Thorp School District</v>
      </c>
      <c r="D279" s="308" t="str">
        <f t="shared" si="9"/>
        <v>19400</v>
      </c>
    </row>
    <row r="280" spans="1:4">
      <c r="A280" s="306" t="s">
        <v>285</v>
      </c>
      <c r="B280" s="306" t="s">
        <v>286</v>
      </c>
      <c r="C280" s="306" t="str">
        <f t="shared" si="8"/>
        <v>21237 - Toledo School District</v>
      </c>
      <c r="D280" s="308" t="str">
        <f t="shared" si="9"/>
        <v>21237</v>
      </c>
    </row>
    <row r="281" spans="1:4">
      <c r="A281" s="306" t="s">
        <v>339</v>
      </c>
      <c r="B281" s="306" t="s">
        <v>340</v>
      </c>
      <c r="C281" s="306" t="str">
        <f t="shared" si="8"/>
        <v>24404 - Tonasket School District</v>
      </c>
      <c r="D281" s="308" t="str">
        <f t="shared" si="9"/>
        <v>24404</v>
      </c>
    </row>
    <row r="282" spans="1:4">
      <c r="A282" s="306" t="s">
        <v>597</v>
      </c>
      <c r="B282" s="306" t="s">
        <v>598</v>
      </c>
      <c r="C282" s="306" t="str">
        <f t="shared" si="8"/>
        <v>39202 - Toppenish School District</v>
      </c>
      <c r="D282" s="308" t="str">
        <f t="shared" si="9"/>
        <v>39202</v>
      </c>
    </row>
    <row r="283" spans="1:4">
      <c r="A283" s="306" t="s">
        <v>531</v>
      </c>
      <c r="B283" s="306" t="s">
        <v>532</v>
      </c>
      <c r="C283" s="306" t="str">
        <f t="shared" si="8"/>
        <v>36300 - Touchet School District</v>
      </c>
      <c r="D283" s="308" t="str">
        <f t="shared" si="9"/>
        <v>36300</v>
      </c>
    </row>
    <row r="284" spans="1:4">
      <c r="A284" s="306" t="s">
        <v>79</v>
      </c>
      <c r="B284" s="306" t="s">
        <v>80</v>
      </c>
      <c r="C284" s="306" t="str">
        <f t="shared" si="8"/>
        <v>08130 - Toutle Lake School District</v>
      </c>
      <c r="D284" s="308" t="str">
        <f t="shared" si="9"/>
        <v>08130</v>
      </c>
    </row>
    <row r="285" spans="1:4">
      <c r="A285" s="306" t="s">
        <v>257</v>
      </c>
      <c r="B285" s="306" t="s">
        <v>258</v>
      </c>
      <c r="C285" s="306" t="str">
        <f t="shared" si="8"/>
        <v>20400 - Trout Lake School District</v>
      </c>
      <c r="D285" s="308" t="str">
        <f t="shared" si="9"/>
        <v>20400</v>
      </c>
    </row>
    <row r="286" spans="1:4">
      <c r="A286" s="306" t="s">
        <v>201</v>
      </c>
      <c r="B286" s="306" t="s">
        <v>202</v>
      </c>
      <c r="C286" s="306" t="str">
        <f t="shared" si="8"/>
        <v>17406 - Tukwila School District</v>
      </c>
      <c r="D286" s="308" t="str">
        <f t="shared" si="9"/>
        <v>17406</v>
      </c>
    </row>
    <row r="287" spans="1:4">
      <c r="A287" s="306" t="s">
        <v>511</v>
      </c>
      <c r="B287" s="306" t="s">
        <v>512</v>
      </c>
      <c r="C287" s="306" t="str">
        <f t="shared" si="8"/>
        <v>34033 - Tumwater School District</v>
      </c>
      <c r="D287" s="308" t="str">
        <f t="shared" si="9"/>
        <v>34033</v>
      </c>
    </row>
    <row r="288" spans="1:4">
      <c r="A288" s="306" t="s">
        <v>581</v>
      </c>
      <c r="B288" s="306" t="s">
        <v>582</v>
      </c>
      <c r="C288" s="306" t="str">
        <f t="shared" si="8"/>
        <v>39002 - Union Gap School District</v>
      </c>
      <c r="D288" s="308" t="str">
        <f t="shared" si="9"/>
        <v>39002</v>
      </c>
    </row>
    <row r="289" spans="1:4">
      <c r="A289" s="306" t="s">
        <v>369</v>
      </c>
      <c r="B289" s="306" t="s">
        <v>370</v>
      </c>
      <c r="C289" s="306" t="str">
        <f t="shared" si="8"/>
        <v>27083 - University Place School District</v>
      </c>
      <c r="D289" s="308" t="str">
        <f t="shared" si="9"/>
        <v>27083</v>
      </c>
    </row>
    <row r="290" spans="1:4">
      <c r="A290" s="306" t="s">
        <v>489</v>
      </c>
      <c r="B290" s="306" t="s">
        <v>490</v>
      </c>
      <c r="C290" s="306" t="str">
        <f t="shared" si="8"/>
        <v>33070 - Valley School District</v>
      </c>
      <c r="D290" s="308" t="str">
        <f t="shared" si="9"/>
        <v>33070</v>
      </c>
    </row>
    <row r="291" spans="1:4">
      <c r="A291" s="306" t="s">
        <v>55</v>
      </c>
      <c r="B291" s="306" t="s">
        <v>56</v>
      </c>
      <c r="C291" s="306" t="str">
        <f t="shared" si="8"/>
        <v>06037 - Vancouver School District</v>
      </c>
      <c r="D291" s="308" t="str">
        <f t="shared" si="9"/>
        <v>06037</v>
      </c>
    </row>
    <row r="292" spans="1:4">
      <c r="A292" s="306" t="s">
        <v>193</v>
      </c>
      <c r="B292" s="306" t="s">
        <v>194</v>
      </c>
      <c r="C292" s="306" t="str">
        <f t="shared" si="8"/>
        <v>17402 - Vashon Island School District</v>
      </c>
      <c r="D292" s="308" t="str">
        <f t="shared" si="9"/>
        <v>17402</v>
      </c>
    </row>
    <row r="293" spans="1:4">
      <c r="A293" s="306" t="s">
        <v>1024</v>
      </c>
      <c r="B293" s="306" t="s">
        <v>1044</v>
      </c>
      <c r="C293" s="306" t="str">
        <f t="shared" si="8"/>
        <v>34901 - WA HE LUT Indian School Agency</v>
      </c>
      <c r="D293" s="308" t="str">
        <f t="shared" si="9"/>
        <v>34901</v>
      </c>
    </row>
    <row r="294" spans="1:4">
      <c r="A294" s="306" t="s">
        <v>523</v>
      </c>
      <c r="B294" s="306" t="s">
        <v>524</v>
      </c>
      <c r="C294" s="306" t="str">
        <f t="shared" si="8"/>
        <v>35200 - Wahkiakum School District</v>
      </c>
      <c r="D294" s="308" t="str">
        <f t="shared" si="9"/>
        <v>35200</v>
      </c>
    </row>
    <row r="295" spans="1:4">
      <c r="A295" s="306" t="s">
        <v>121</v>
      </c>
      <c r="B295" s="306" t="s">
        <v>122</v>
      </c>
      <c r="C295" s="306" t="str">
        <f t="shared" si="8"/>
        <v>13073 - Wahluke School District</v>
      </c>
      <c r="D295" s="308" t="str">
        <f t="shared" si="9"/>
        <v>13073</v>
      </c>
    </row>
    <row r="296" spans="1:4">
      <c r="A296" s="306" t="s">
        <v>535</v>
      </c>
      <c r="B296" s="306" t="s">
        <v>536</v>
      </c>
      <c r="C296" s="306" t="str">
        <f t="shared" si="8"/>
        <v>36401 - Waitsburg School District</v>
      </c>
      <c r="D296" s="308" t="str">
        <f t="shared" si="9"/>
        <v>36401</v>
      </c>
    </row>
    <row r="297" spans="1:4">
      <c r="A297" s="306" t="s">
        <v>527</v>
      </c>
      <c r="B297" s="306" t="s">
        <v>528</v>
      </c>
      <c r="C297" s="306" t="str">
        <f t="shared" si="8"/>
        <v>36140 - Walla Walla Public Schools</v>
      </c>
      <c r="D297" s="308" t="str">
        <f t="shared" si="9"/>
        <v>36140</v>
      </c>
    </row>
    <row r="298" spans="1:4">
      <c r="A298" s="306" t="s">
        <v>605</v>
      </c>
      <c r="B298" s="306" t="s">
        <v>606</v>
      </c>
      <c r="C298" s="306" t="str">
        <f t="shared" si="8"/>
        <v>39207 - Wapato School District</v>
      </c>
      <c r="D298" s="308" t="str">
        <f t="shared" si="9"/>
        <v>39207</v>
      </c>
    </row>
    <row r="299" spans="1:4">
      <c r="A299" s="306" t="s">
        <v>125</v>
      </c>
      <c r="B299" s="306" t="s">
        <v>126</v>
      </c>
      <c r="C299" s="306" t="str">
        <f t="shared" si="8"/>
        <v>13146 - Warden School District</v>
      </c>
      <c r="D299" s="308" t="str">
        <f t="shared" si="9"/>
        <v>13146</v>
      </c>
    </row>
    <row r="300" spans="1:4">
      <c r="A300" s="306" t="s">
        <v>63</v>
      </c>
      <c r="B300" s="306" t="s">
        <v>64</v>
      </c>
      <c r="C300" s="306" t="str">
        <f t="shared" si="8"/>
        <v>06112 - Washougal School District</v>
      </c>
      <c r="D300" s="308" t="str">
        <f t="shared" si="9"/>
        <v>06112</v>
      </c>
    </row>
    <row r="301" spans="1:4">
      <c r="A301" s="306" t="s">
        <v>3</v>
      </c>
      <c r="B301" s="306" t="s">
        <v>4</v>
      </c>
      <c r="C301" s="306" t="str">
        <f t="shared" si="8"/>
        <v>01109 - Washtucna School District</v>
      </c>
      <c r="D301" s="308" t="str">
        <f t="shared" si="9"/>
        <v>01109</v>
      </c>
    </row>
    <row r="302" spans="1:4">
      <c r="A302" s="306" t="s">
        <v>99</v>
      </c>
      <c r="B302" s="306" t="s">
        <v>100</v>
      </c>
      <c r="C302" s="306" t="str">
        <f t="shared" si="8"/>
        <v>09209 - Waterville School District</v>
      </c>
      <c r="D302" s="308" t="str">
        <f t="shared" si="9"/>
        <v>09209</v>
      </c>
    </row>
    <row r="303" spans="1:4">
      <c r="A303" s="306" t="s">
        <v>487</v>
      </c>
      <c r="B303" s="306" t="s">
        <v>488</v>
      </c>
      <c r="C303" s="306" t="str">
        <f t="shared" si="8"/>
        <v>33049 - Wellpinit School District</v>
      </c>
      <c r="D303" s="308" t="str">
        <f t="shared" si="9"/>
        <v>33049</v>
      </c>
    </row>
    <row r="304" spans="1:4">
      <c r="A304" s="306" t="s">
        <v>41</v>
      </c>
      <c r="B304" s="306" t="s">
        <v>42</v>
      </c>
      <c r="C304" s="306" t="str">
        <f t="shared" si="8"/>
        <v>04246 - Wenatchee School District</v>
      </c>
      <c r="D304" s="308" t="str">
        <f t="shared" si="9"/>
        <v>04246</v>
      </c>
    </row>
    <row r="305" spans="1:4">
      <c r="A305" s="306" t="s">
        <v>473</v>
      </c>
      <c r="B305" s="306" t="s">
        <v>474</v>
      </c>
      <c r="C305" s="306" t="str">
        <f t="shared" si="8"/>
        <v>32363 - West Valley School District (Spokane)</v>
      </c>
      <c r="D305" s="308" t="str">
        <f t="shared" si="9"/>
        <v>32363</v>
      </c>
    </row>
    <row r="306" spans="1:4">
      <c r="A306" s="306" t="s">
        <v>607</v>
      </c>
      <c r="B306" s="306" t="s">
        <v>608</v>
      </c>
      <c r="C306" s="306" t="str">
        <f t="shared" si="8"/>
        <v>39208 - West Valley School District (Yakima)</v>
      </c>
      <c r="D306" s="308" t="str">
        <f t="shared" si="9"/>
        <v>39208</v>
      </c>
    </row>
    <row r="307" spans="1:4">
      <c r="A307" s="306" t="s">
        <v>1253</v>
      </c>
      <c r="B307" s="306" t="s">
        <v>1254</v>
      </c>
      <c r="C307" s="306" t="str">
        <f t="shared" si="8"/>
        <v>37902 - Whatcom Intergenerational High School</v>
      </c>
      <c r="D307" s="308" t="str">
        <f t="shared" si="9"/>
        <v>37902</v>
      </c>
    </row>
    <row r="308" spans="1:4">
      <c r="A308" s="306" t="s">
        <v>293</v>
      </c>
      <c r="B308" s="306" t="s">
        <v>294</v>
      </c>
      <c r="C308" s="306" t="str">
        <f t="shared" si="8"/>
        <v>21303 - White Pass School District</v>
      </c>
      <c r="D308" s="308" t="str">
        <f t="shared" si="9"/>
        <v>21303</v>
      </c>
    </row>
    <row r="309" spans="1:4">
      <c r="A309" s="306" t="s">
        <v>387</v>
      </c>
      <c r="B309" s="306" t="s">
        <v>388</v>
      </c>
      <c r="C309" s="306" t="str">
        <f t="shared" si="8"/>
        <v>27416 - White River School District</v>
      </c>
      <c r="D309" s="308" t="str">
        <f t="shared" si="9"/>
        <v>27416</v>
      </c>
    </row>
    <row r="310" spans="1:4">
      <c r="A310" s="306" t="s">
        <v>267</v>
      </c>
      <c r="B310" s="306" t="s">
        <v>268</v>
      </c>
      <c r="C310" s="306" t="str">
        <f t="shared" si="8"/>
        <v>20405 - White Salmon Valley School District</v>
      </c>
      <c r="D310" s="308" t="str">
        <f t="shared" si="9"/>
        <v>20405</v>
      </c>
    </row>
    <row r="311" spans="1:4">
      <c r="A311" s="306" t="s">
        <v>307</v>
      </c>
      <c r="B311" s="306" t="s">
        <v>308</v>
      </c>
      <c r="C311" s="306" t="str">
        <f t="shared" si="8"/>
        <v>22200 - Wilbur School District</v>
      </c>
      <c r="D311" s="308" t="str">
        <f t="shared" si="9"/>
        <v>22200</v>
      </c>
    </row>
    <row r="312" spans="1:4">
      <c r="A312" s="306" t="s">
        <v>351</v>
      </c>
      <c r="B312" s="306" t="s">
        <v>352</v>
      </c>
      <c r="C312" s="306" t="str">
        <f t="shared" si="8"/>
        <v>25160 - Willapa Valley School District</v>
      </c>
      <c r="D312" s="308" t="str">
        <f t="shared" si="9"/>
        <v>25160</v>
      </c>
    </row>
    <row r="313" spans="1:4">
      <c r="A313" s="306" t="s">
        <v>137</v>
      </c>
      <c r="B313" s="306" t="s">
        <v>138</v>
      </c>
      <c r="C313" s="306" t="str">
        <f t="shared" si="8"/>
        <v>13167 - Wilson Creek School District</v>
      </c>
      <c r="D313" s="308" t="str">
        <f t="shared" si="9"/>
        <v>13167</v>
      </c>
    </row>
    <row r="314" spans="1:4">
      <c r="A314" s="306" t="s">
        <v>281</v>
      </c>
      <c r="B314" s="306" t="s">
        <v>282</v>
      </c>
      <c r="C314" s="306" t="str">
        <f t="shared" si="8"/>
        <v>21232 - Winlock School District</v>
      </c>
      <c r="D314" s="308" t="str">
        <f t="shared" si="9"/>
        <v>21232</v>
      </c>
    </row>
    <row r="315" spans="1:4">
      <c r="A315" s="306" t="s">
        <v>161</v>
      </c>
      <c r="B315" s="306" t="s">
        <v>162</v>
      </c>
      <c r="C315" s="306" t="str">
        <f t="shared" si="8"/>
        <v>14117 - Wishkah Valley School District</v>
      </c>
      <c r="D315" s="308" t="str">
        <f t="shared" si="9"/>
        <v>14117</v>
      </c>
    </row>
    <row r="316" spans="1:4">
      <c r="A316" s="306" t="s">
        <v>251</v>
      </c>
      <c r="B316" s="306" t="s">
        <v>252</v>
      </c>
      <c r="C316" s="306" t="str">
        <f t="shared" si="8"/>
        <v>20094 - Wishram School District</v>
      </c>
      <c r="D316" s="308" t="str">
        <f t="shared" si="9"/>
        <v>20094</v>
      </c>
    </row>
    <row r="317" spans="1:4">
      <c r="A317" s="306" t="s">
        <v>85</v>
      </c>
      <c r="B317" s="306" t="s">
        <v>86</v>
      </c>
      <c r="C317" s="306" t="str">
        <f t="shared" si="8"/>
        <v>08404 - Woodland School District</v>
      </c>
      <c r="D317" s="308" t="str">
        <f t="shared" si="9"/>
        <v>08404</v>
      </c>
    </row>
    <row r="318" spans="1:4">
      <c r="A318" s="306" t="s">
        <v>1039</v>
      </c>
      <c r="B318" s="306" t="s">
        <v>1045</v>
      </c>
      <c r="C318" s="306" t="str">
        <f t="shared" si="8"/>
        <v>39901 - Yakama Nation Tribal Compact</v>
      </c>
      <c r="D318" s="308" t="str">
        <f t="shared" si="9"/>
        <v>39901</v>
      </c>
    </row>
    <row r="319" spans="1:4">
      <c r="A319" s="306" t="s">
        <v>585</v>
      </c>
      <c r="B319" s="306" t="s">
        <v>586</v>
      </c>
      <c r="C319" s="306" t="str">
        <f>CONCATENATE(A319," - ",B319)</f>
        <v>39007 - Yakima School District</v>
      </c>
      <c r="D319" s="308" t="str">
        <f>A319</f>
        <v>39007</v>
      </c>
    </row>
    <row r="320" spans="1:4">
      <c r="A320" s="306" t="s">
        <v>507</v>
      </c>
      <c r="B320" s="306" t="s">
        <v>508</v>
      </c>
      <c r="C320" s="306" t="str">
        <f>CONCATENATE(A320," - ",B320)</f>
        <v>34002 - Yelm School District</v>
      </c>
      <c r="D320" s="308" t="str">
        <f>A320</f>
        <v>34002</v>
      </c>
    </row>
    <row r="321" spans="1:4">
      <c r="A321" s="306" t="s">
        <v>603</v>
      </c>
      <c r="B321" s="306" t="s">
        <v>604</v>
      </c>
      <c r="C321" s="306" t="str">
        <f>CONCATENATE(A321," - ",B321)</f>
        <v>39205 - Zillah School District</v>
      </c>
      <c r="D321" s="308" t="str">
        <f>A321</f>
        <v>39205</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tabColor theme="9" tint="0.59999389629810485"/>
  </sheetPr>
  <dimension ref="A1:AE325"/>
  <sheetViews>
    <sheetView zoomScaleNormal="100" workbookViewId="0">
      <pane xSplit="2" ySplit="7" topLeftCell="C8"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 t="shared" ref="R1:AD1" si="1">Q1+1</f>
        <v>18</v>
      </c>
      <c r="S1" s="389">
        <f t="shared" si="1"/>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1321</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301246.51999999996</v>
      </c>
      <c r="D6" s="16">
        <f t="shared" si="2"/>
        <v>11894.569999999991</v>
      </c>
      <c r="E6" s="16">
        <f t="shared" si="2"/>
        <v>59932.950000000004</v>
      </c>
      <c r="F6" s="16">
        <f t="shared" si="2"/>
        <v>71827.520000000019</v>
      </c>
      <c r="G6" s="16">
        <f t="shared" si="2"/>
        <v>4696.07</v>
      </c>
      <c r="H6" s="16">
        <f t="shared" si="2"/>
        <v>20956.299999999996</v>
      </c>
      <c r="I6" s="16">
        <f t="shared" si="2"/>
        <v>1355.1900000000012</v>
      </c>
      <c r="J6" s="16">
        <f t="shared" si="2"/>
        <v>49284.890000000021</v>
      </c>
      <c r="K6" s="16">
        <f t="shared" si="2"/>
        <v>3775.5699999999993</v>
      </c>
      <c r="L6" s="16">
        <f t="shared" si="2"/>
        <v>49.53</v>
      </c>
      <c r="M6" s="386">
        <f t="shared" si="2"/>
        <v>1062338.2399999993</v>
      </c>
      <c r="N6" s="385">
        <f>AVERAGE(N7:N325)</f>
        <v>0.5342172955974841</v>
      </c>
      <c r="O6" s="16">
        <f t="shared" ref="O6:AD6" si="3">SUM(O8:O325)</f>
        <v>160557</v>
      </c>
      <c r="P6" s="16">
        <f t="shared" si="3"/>
        <v>128008.26999999999</v>
      </c>
      <c r="Q6" s="16">
        <f t="shared" si="3"/>
        <v>83405.240000000005</v>
      </c>
      <c r="R6" s="16">
        <f t="shared" si="3"/>
        <v>44603.03</v>
      </c>
      <c r="S6" s="28">
        <f t="shared" si="3"/>
        <v>22685.010000000002</v>
      </c>
      <c r="T6" s="28">
        <f t="shared" si="3"/>
        <v>150693.27999999997</v>
      </c>
      <c r="U6" s="16">
        <f t="shared" si="3"/>
        <v>488899.52000000037</v>
      </c>
      <c r="V6" s="16">
        <f t="shared" si="3"/>
        <v>46734.46</v>
      </c>
      <c r="W6" s="28">
        <f t="shared" si="3"/>
        <v>266892.01574299997</v>
      </c>
      <c r="X6" s="28">
        <f t="shared" si="3"/>
        <v>136833.96999999997</v>
      </c>
      <c r="Y6" s="28">
        <f t="shared" si="3"/>
        <v>85540.97</v>
      </c>
      <c r="Z6" s="28">
        <f t="shared" si="3"/>
        <v>51293</v>
      </c>
      <c r="AA6" s="370">
        <f t="shared" si="3"/>
        <v>1063423.909999999</v>
      </c>
      <c r="AB6" s="245">
        <f t="shared" si="3"/>
        <v>42.692500644765786</v>
      </c>
      <c r="AC6" s="245">
        <f t="shared" si="3"/>
        <v>4.3544101765149703</v>
      </c>
      <c r="AD6" s="382">
        <f t="shared" si="3"/>
        <v>-44975321.375530876</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845.76</v>
      </c>
      <c r="D8" s="147">
        <v>60.32</v>
      </c>
      <c r="E8" s="22">
        <v>264.47000000000003</v>
      </c>
      <c r="F8" s="22">
        <v>324.79000000000002</v>
      </c>
      <c r="G8" s="22">
        <v>21.12</v>
      </c>
      <c r="H8" s="22">
        <v>52.75</v>
      </c>
      <c r="I8" s="22">
        <v>1.42</v>
      </c>
      <c r="J8" s="22">
        <v>109.48</v>
      </c>
      <c r="K8" s="22">
        <v>10.6</v>
      </c>
      <c r="L8" s="22">
        <v>0</v>
      </c>
      <c r="M8" s="388">
        <v>3115.65</v>
      </c>
      <c r="N8" s="25">
        <v>0.72540000000000004</v>
      </c>
      <c r="O8" s="24">
        <v>576</v>
      </c>
      <c r="P8" s="24">
        <v>405</v>
      </c>
      <c r="Q8" s="24">
        <v>254</v>
      </c>
      <c r="R8" s="22">
        <v>151</v>
      </c>
      <c r="S8" s="24">
        <v>72</v>
      </c>
      <c r="T8" s="24">
        <f>S8+P8</f>
        <v>477</v>
      </c>
      <c r="U8" s="376">
        <v>2260.09</v>
      </c>
      <c r="V8" s="376">
        <v>155.78</v>
      </c>
      <c r="W8" s="22">
        <f>U8*N8</f>
        <v>1639.4692860000002</v>
      </c>
      <c r="X8" s="22">
        <f>Y8+Z8</f>
        <v>480.5</v>
      </c>
      <c r="Y8" s="22">
        <v>268.5</v>
      </c>
      <c r="Z8" s="22">
        <v>212</v>
      </c>
      <c r="AA8" s="371">
        <v>3110.7</v>
      </c>
      <c r="AB8" s="22">
        <v>0.15446684026103449</v>
      </c>
      <c r="AC8" s="24">
        <v>1.9466840261034485E-2</v>
      </c>
      <c r="AD8" s="384">
        <v>-526865.30447185319</v>
      </c>
    </row>
    <row r="9" spans="1:31">
      <c r="A9" s="21" t="s">
        <v>279</v>
      </c>
      <c r="B9" s="21" t="s">
        <v>280</v>
      </c>
      <c r="C9" s="23">
        <v>164.9</v>
      </c>
      <c r="D9" s="147">
        <v>18.940000000000001</v>
      </c>
      <c r="E9" s="22">
        <v>32.119999999999997</v>
      </c>
      <c r="F9" s="22">
        <v>51.06</v>
      </c>
      <c r="G9" s="22">
        <v>0</v>
      </c>
      <c r="H9" s="22">
        <v>12.53</v>
      </c>
      <c r="I9" s="22">
        <v>2.15</v>
      </c>
      <c r="J9" s="22">
        <v>0.8</v>
      </c>
      <c r="K9" s="22">
        <v>0.2</v>
      </c>
      <c r="L9" s="22">
        <v>0</v>
      </c>
      <c r="M9" s="388">
        <v>616.50999999999988</v>
      </c>
      <c r="N9" s="25">
        <v>0.2676</v>
      </c>
      <c r="O9" s="24">
        <v>497</v>
      </c>
      <c r="P9" s="24">
        <v>0</v>
      </c>
      <c r="Q9" s="24">
        <v>0</v>
      </c>
      <c r="R9" s="22">
        <v>0</v>
      </c>
      <c r="S9" s="24">
        <v>0</v>
      </c>
      <c r="T9" s="24">
        <f t="shared" ref="T9:T72" si="4">S9+P9</f>
        <v>0</v>
      </c>
      <c r="U9" s="376">
        <v>164.98</v>
      </c>
      <c r="V9" s="376">
        <v>30.83</v>
      </c>
      <c r="W9" s="22">
        <f t="shared" ref="W9:W72" si="5">U9*N9</f>
        <v>44.148648000000001</v>
      </c>
      <c r="X9" s="22">
        <f t="shared" ref="X9:X72" si="6">Y9+Z9</f>
        <v>73</v>
      </c>
      <c r="Y9" s="22">
        <v>46</v>
      </c>
      <c r="Z9" s="22">
        <v>27</v>
      </c>
      <c r="AA9" s="371">
        <v>623.91999999999996</v>
      </c>
      <c r="AB9" s="22">
        <v>0.11700217976663675</v>
      </c>
      <c r="AC9" s="24">
        <v>0</v>
      </c>
      <c r="AD9" s="384">
        <v>0</v>
      </c>
    </row>
    <row r="10" spans="1:31">
      <c r="A10" s="21" t="s">
        <v>301</v>
      </c>
      <c r="B10" s="21" t="s">
        <v>302</v>
      </c>
      <c r="C10" s="23">
        <v>37.799999999999997</v>
      </c>
      <c r="D10" s="147">
        <v>0</v>
      </c>
      <c r="E10" s="22">
        <v>3.36</v>
      </c>
      <c r="F10" s="22">
        <v>3.36</v>
      </c>
      <c r="G10" s="22">
        <v>0</v>
      </c>
      <c r="H10" s="22">
        <v>0</v>
      </c>
      <c r="I10" s="22">
        <v>0</v>
      </c>
      <c r="J10" s="22">
        <v>0</v>
      </c>
      <c r="K10" s="22">
        <v>0</v>
      </c>
      <c r="L10" s="22">
        <v>0</v>
      </c>
      <c r="M10" s="388">
        <v>95.25</v>
      </c>
      <c r="N10" s="25">
        <v>0.37959999999999999</v>
      </c>
      <c r="O10" s="24">
        <v>497</v>
      </c>
      <c r="P10" s="24">
        <v>0</v>
      </c>
      <c r="Q10" s="24">
        <v>0</v>
      </c>
      <c r="R10" s="22">
        <v>0</v>
      </c>
      <c r="S10" s="24">
        <v>0</v>
      </c>
      <c r="T10" s="24">
        <f t="shared" si="4"/>
        <v>0</v>
      </c>
      <c r="U10" s="376">
        <v>36.159999999999997</v>
      </c>
      <c r="V10" s="376">
        <v>0</v>
      </c>
      <c r="W10" s="22">
        <f t="shared" si="5"/>
        <v>13.726335999999998</v>
      </c>
      <c r="X10" s="22">
        <f t="shared" si="6"/>
        <v>9</v>
      </c>
      <c r="Y10" s="22">
        <v>9</v>
      </c>
      <c r="Z10" s="22">
        <v>0</v>
      </c>
      <c r="AA10" s="371">
        <v>95.26</v>
      </c>
      <c r="AB10" s="22">
        <v>9.4478269997900474E-2</v>
      </c>
      <c r="AC10" s="24">
        <v>0</v>
      </c>
      <c r="AD10" s="384">
        <v>0</v>
      </c>
    </row>
    <row r="11" spans="1:31">
      <c r="A11" s="21" t="s">
        <v>407</v>
      </c>
      <c r="B11" s="21" t="s">
        <v>408</v>
      </c>
      <c r="C11" s="23">
        <v>730.43</v>
      </c>
      <c r="D11" s="147">
        <v>7.63</v>
      </c>
      <c r="E11" s="22">
        <v>111.21</v>
      </c>
      <c r="F11" s="22">
        <v>118.83999999999999</v>
      </c>
      <c r="G11" s="22">
        <v>0</v>
      </c>
      <c r="H11" s="22">
        <v>36.880000000000003</v>
      </c>
      <c r="I11" s="22">
        <v>1.78</v>
      </c>
      <c r="J11" s="22">
        <v>106.92</v>
      </c>
      <c r="K11" s="22">
        <v>5.4</v>
      </c>
      <c r="L11" s="22">
        <v>0.2</v>
      </c>
      <c r="M11" s="388">
        <v>2510.2800000000002</v>
      </c>
      <c r="N11" s="25">
        <v>0.28970000000000001</v>
      </c>
      <c r="O11" s="24">
        <v>497</v>
      </c>
      <c r="P11" s="24">
        <v>48</v>
      </c>
      <c r="Q11" s="24">
        <v>29.75</v>
      </c>
      <c r="R11" s="22">
        <v>18.25</v>
      </c>
      <c r="S11" s="24">
        <v>16</v>
      </c>
      <c r="T11" s="24">
        <f t="shared" si="4"/>
        <v>64</v>
      </c>
      <c r="U11" s="376">
        <v>727.23</v>
      </c>
      <c r="V11" s="376">
        <v>125.51</v>
      </c>
      <c r="W11" s="22">
        <f t="shared" si="5"/>
        <v>210.67853100000002</v>
      </c>
      <c r="X11" s="22">
        <f t="shared" si="6"/>
        <v>273.25</v>
      </c>
      <c r="Y11" s="22">
        <v>161.5</v>
      </c>
      <c r="Z11" s="22">
        <v>111.75</v>
      </c>
      <c r="AA11" s="371">
        <v>2534.66</v>
      </c>
      <c r="AB11" s="22">
        <v>0.1078053861267389</v>
      </c>
      <c r="AC11" s="24">
        <v>0</v>
      </c>
      <c r="AD11" s="384">
        <v>0</v>
      </c>
    </row>
    <row r="12" spans="1:31">
      <c r="A12" s="21" t="s">
        <v>431</v>
      </c>
      <c r="B12" s="21" t="s">
        <v>432</v>
      </c>
      <c r="C12" s="23">
        <v>1446.89</v>
      </c>
      <c r="D12" s="147">
        <v>31.07</v>
      </c>
      <c r="E12" s="22">
        <v>347.91</v>
      </c>
      <c r="F12" s="22">
        <v>378.98</v>
      </c>
      <c r="G12" s="22">
        <v>0</v>
      </c>
      <c r="H12" s="22">
        <v>69.209999999999994</v>
      </c>
      <c r="I12" s="22">
        <v>3.83</v>
      </c>
      <c r="J12" s="22">
        <v>216.67000000000002</v>
      </c>
      <c r="K12" s="22">
        <v>32.6</v>
      </c>
      <c r="L12" s="22">
        <v>0</v>
      </c>
      <c r="M12" s="388">
        <v>5354.920000000001</v>
      </c>
      <c r="N12" s="25">
        <v>0.32919999999999999</v>
      </c>
      <c r="O12" s="24">
        <v>497</v>
      </c>
      <c r="P12" s="24">
        <v>269.75</v>
      </c>
      <c r="Q12" s="24">
        <v>153.75</v>
      </c>
      <c r="R12" s="22">
        <v>116</v>
      </c>
      <c r="S12" s="24">
        <v>59.75</v>
      </c>
      <c r="T12" s="24">
        <f t="shared" si="4"/>
        <v>329.5</v>
      </c>
      <c r="U12" s="376">
        <v>1762.84</v>
      </c>
      <c r="V12" s="376">
        <v>267.75</v>
      </c>
      <c r="W12" s="22">
        <f t="shared" si="5"/>
        <v>580.32692799999995</v>
      </c>
      <c r="X12" s="22">
        <f t="shared" si="6"/>
        <v>784.25</v>
      </c>
      <c r="Y12" s="22">
        <v>474.25</v>
      </c>
      <c r="Z12" s="22">
        <v>310</v>
      </c>
      <c r="AA12" s="371">
        <v>5403.02</v>
      </c>
      <c r="AB12" s="22">
        <v>0.14515030482952127</v>
      </c>
      <c r="AC12" s="24">
        <v>1.0150304829521256E-2</v>
      </c>
      <c r="AD12" s="384">
        <v>-532582.76835567213</v>
      </c>
    </row>
    <row r="13" spans="1:31">
      <c r="A13" s="21" t="s">
        <v>15</v>
      </c>
      <c r="B13" s="21" t="s">
        <v>16</v>
      </c>
      <c r="C13" s="23">
        <v>210.4</v>
      </c>
      <c r="D13" s="147">
        <v>4.72</v>
      </c>
      <c r="E13" s="22">
        <v>44.03</v>
      </c>
      <c r="F13" s="22">
        <v>48.75</v>
      </c>
      <c r="G13" s="22">
        <v>0</v>
      </c>
      <c r="H13" s="22">
        <v>13.01</v>
      </c>
      <c r="I13" s="22">
        <v>0.75</v>
      </c>
      <c r="J13" s="22">
        <v>0</v>
      </c>
      <c r="K13" s="22">
        <v>0</v>
      </c>
      <c r="L13" s="22">
        <v>0</v>
      </c>
      <c r="M13" s="388">
        <v>607.07000000000005</v>
      </c>
      <c r="N13" s="25">
        <v>0.31240000000000001</v>
      </c>
      <c r="O13" s="24">
        <v>0</v>
      </c>
      <c r="P13" s="24">
        <v>0</v>
      </c>
      <c r="Q13" s="24">
        <v>0</v>
      </c>
      <c r="R13" s="22">
        <v>0</v>
      </c>
      <c r="S13" s="24">
        <v>0</v>
      </c>
      <c r="T13" s="24">
        <f t="shared" si="4"/>
        <v>0</v>
      </c>
      <c r="U13" s="376">
        <v>189.65</v>
      </c>
      <c r="V13" s="376">
        <v>30.35</v>
      </c>
      <c r="W13" s="22">
        <f t="shared" si="5"/>
        <v>59.246660000000006</v>
      </c>
      <c r="X13" s="22">
        <f t="shared" si="6"/>
        <v>83</v>
      </c>
      <c r="Y13" s="22">
        <v>45</v>
      </c>
      <c r="Z13" s="22">
        <v>38</v>
      </c>
      <c r="AA13" s="371">
        <v>607.07000000000005</v>
      </c>
      <c r="AB13" s="22">
        <v>0.13672228902762448</v>
      </c>
      <c r="AC13" s="24">
        <v>1.722289027624474E-3</v>
      </c>
      <c r="AD13" s="384">
        <v>-9267.444405796452</v>
      </c>
    </row>
    <row r="14" spans="1:31">
      <c r="A14" s="21" t="s">
        <v>205</v>
      </c>
      <c r="B14" s="21" t="s">
        <v>206</v>
      </c>
      <c r="C14" s="23">
        <v>4911.2299999999996</v>
      </c>
      <c r="D14" s="147">
        <v>216.88</v>
      </c>
      <c r="E14" s="22">
        <v>757.96</v>
      </c>
      <c r="F14" s="22">
        <v>974.84</v>
      </c>
      <c r="G14" s="22">
        <v>0</v>
      </c>
      <c r="H14" s="22">
        <v>391.45</v>
      </c>
      <c r="I14" s="22">
        <v>30.43</v>
      </c>
      <c r="J14" s="22">
        <v>59.2</v>
      </c>
      <c r="K14" s="22">
        <v>47.81</v>
      </c>
      <c r="L14" s="22">
        <v>5.36</v>
      </c>
      <c r="M14" s="388">
        <v>16785.930000000004</v>
      </c>
      <c r="N14" s="25">
        <v>0.56830000000000003</v>
      </c>
      <c r="O14" s="24">
        <v>497</v>
      </c>
      <c r="P14" s="24">
        <v>4009.75</v>
      </c>
      <c r="Q14" s="24">
        <v>2679</v>
      </c>
      <c r="R14" s="22">
        <v>1330.75</v>
      </c>
      <c r="S14" s="24">
        <v>506.75</v>
      </c>
      <c r="T14" s="24">
        <f t="shared" si="4"/>
        <v>4516.5</v>
      </c>
      <c r="U14" s="376">
        <v>9539.44</v>
      </c>
      <c r="V14" s="376">
        <v>839.3</v>
      </c>
      <c r="W14" s="22">
        <f t="shared" si="5"/>
        <v>5421.2637520000007</v>
      </c>
      <c r="X14" s="22">
        <f t="shared" si="6"/>
        <v>1746.5</v>
      </c>
      <c r="Y14" s="22">
        <v>981.25</v>
      </c>
      <c r="Z14" s="22">
        <v>765.25</v>
      </c>
      <c r="AA14" s="371">
        <v>16806.63</v>
      </c>
      <c r="AB14" s="22">
        <v>0.10391732310403691</v>
      </c>
      <c r="AC14" s="24">
        <v>0</v>
      </c>
      <c r="AD14" s="384">
        <v>0</v>
      </c>
    </row>
    <row r="15" spans="1:31">
      <c r="A15" s="21" t="s">
        <v>229</v>
      </c>
      <c r="B15" s="21" t="s">
        <v>230</v>
      </c>
      <c r="C15" s="23">
        <v>869.8</v>
      </c>
      <c r="D15" s="147">
        <v>49.6</v>
      </c>
      <c r="E15" s="22">
        <v>275.68</v>
      </c>
      <c r="F15" s="22">
        <v>325.28000000000003</v>
      </c>
      <c r="G15" s="22">
        <v>0</v>
      </c>
      <c r="H15" s="22">
        <v>62.83</v>
      </c>
      <c r="I15" s="22">
        <v>1.67</v>
      </c>
      <c r="J15" s="22">
        <v>97.78</v>
      </c>
      <c r="K15" s="22">
        <v>0</v>
      </c>
      <c r="L15" s="22">
        <v>0</v>
      </c>
      <c r="M15" s="388">
        <v>3597.84</v>
      </c>
      <c r="N15" s="25">
        <v>6.9699999999999998E-2</v>
      </c>
      <c r="O15" s="24">
        <v>497</v>
      </c>
      <c r="P15" s="24">
        <v>38.75</v>
      </c>
      <c r="Q15" s="24">
        <v>22.25</v>
      </c>
      <c r="R15" s="22">
        <v>16.5</v>
      </c>
      <c r="S15" s="24">
        <v>8</v>
      </c>
      <c r="T15" s="24">
        <f t="shared" si="4"/>
        <v>46.75</v>
      </c>
      <c r="U15" s="376">
        <v>250.77</v>
      </c>
      <c r="V15" s="376">
        <v>179.89</v>
      </c>
      <c r="W15" s="22">
        <f t="shared" si="5"/>
        <v>17.478669</v>
      </c>
      <c r="X15" s="22">
        <f t="shared" si="6"/>
        <v>422</v>
      </c>
      <c r="Y15" s="22">
        <v>281.25</v>
      </c>
      <c r="Z15" s="22">
        <v>140.75</v>
      </c>
      <c r="AA15" s="371">
        <v>3605.32</v>
      </c>
      <c r="AB15" s="22">
        <v>0.11704924944249054</v>
      </c>
      <c r="AC15" s="24">
        <v>0</v>
      </c>
      <c r="AD15" s="384">
        <v>0</v>
      </c>
    </row>
    <row r="16" spans="1:31">
      <c r="A16" s="21" t="s">
        <v>69</v>
      </c>
      <c r="B16" s="21" t="s">
        <v>70</v>
      </c>
      <c r="C16" s="23">
        <v>2923.92</v>
      </c>
      <c r="D16" s="147">
        <v>73.3</v>
      </c>
      <c r="E16" s="22">
        <v>889.14</v>
      </c>
      <c r="F16" s="22">
        <v>962.43999999999994</v>
      </c>
      <c r="G16" s="22">
        <v>0</v>
      </c>
      <c r="H16" s="22">
        <v>298.83999999999997</v>
      </c>
      <c r="I16" s="22">
        <v>5.32</v>
      </c>
      <c r="J16" s="22">
        <v>1622.42</v>
      </c>
      <c r="K16" s="22">
        <v>16.8</v>
      </c>
      <c r="L16" s="22">
        <v>0</v>
      </c>
      <c r="M16" s="388">
        <v>11744.859999999999</v>
      </c>
      <c r="N16" s="25">
        <v>0.34389999999999998</v>
      </c>
      <c r="O16" s="24">
        <v>0</v>
      </c>
      <c r="P16" s="24">
        <v>732.75</v>
      </c>
      <c r="Q16" s="24">
        <v>471</v>
      </c>
      <c r="R16" s="22">
        <v>261.75</v>
      </c>
      <c r="S16" s="24">
        <v>184.75</v>
      </c>
      <c r="T16" s="24">
        <f t="shared" si="4"/>
        <v>917.5</v>
      </c>
      <c r="U16" s="376">
        <v>4039.06</v>
      </c>
      <c r="V16" s="376">
        <v>587.24</v>
      </c>
      <c r="W16" s="22">
        <f t="shared" si="5"/>
        <v>1389.0327339999999</v>
      </c>
      <c r="X16" s="22">
        <f t="shared" si="6"/>
        <v>1568.5</v>
      </c>
      <c r="Y16" s="22">
        <v>1021.25</v>
      </c>
      <c r="Z16" s="22">
        <v>547.25</v>
      </c>
      <c r="AA16" s="371">
        <v>11855.88</v>
      </c>
      <c r="AB16" s="22">
        <v>0.13229722298133922</v>
      </c>
      <c r="AC16" s="24">
        <v>0</v>
      </c>
      <c r="AD16" s="384">
        <v>0</v>
      </c>
    </row>
    <row r="17" spans="1:30">
      <c r="A17" s="21" t="s">
        <v>199</v>
      </c>
      <c r="B17" s="21" t="s">
        <v>200</v>
      </c>
      <c r="C17" s="23">
        <v>4768.1400000000003</v>
      </c>
      <c r="D17" s="147">
        <v>248.93</v>
      </c>
      <c r="E17" s="22">
        <v>765.04</v>
      </c>
      <c r="F17" s="22">
        <v>1013.97</v>
      </c>
      <c r="G17" s="22">
        <v>0</v>
      </c>
      <c r="H17" s="22">
        <v>395.6</v>
      </c>
      <c r="I17" s="22">
        <v>44.31</v>
      </c>
      <c r="J17" s="22">
        <v>563.48</v>
      </c>
      <c r="K17" s="22">
        <v>29</v>
      </c>
      <c r="L17" s="22">
        <v>0</v>
      </c>
      <c r="M17" s="388">
        <v>18956.59</v>
      </c>
      <c r="N17" s="25">
        <v>0.1741</v>
      </c>
      <c r="O17" s="24">
        <v>497</v>
      </c>
      <c r="P17" s="24">
        <v>2968</v>
      </c>
      <c r="Q17" s="24">
        <v>2086</v>
      </c>
      <c r="R17" s="22">
        <v>882</v>
      </c>
      <c r="S17" s="24">
        <v>914</v>
      </c>
      <c r="T17" s="24">
        <f t="shared" si="4"/>
        <v>3882</v>
      </c>
      <c r="U17" s="376">
        <v>3300.34</v>
      </c>
      <c r="V17" s="376">
        <v>947.83</v>
      </c>
      <c r="W17" s="22">
        <f t="shared" si="5"/>
        <v>574.58919400000002</v>
      </c>
      <c r="X17" s="22">
        <f t="shared" si="6"/>
        <v>1605.5</v>
      </c>
      <c r="Y17" s="22">
        <v>1069.5</v>
      </c>
      <c r="Z17" s="22">
        <v>536</v>
      </c>
      <c r="AA17" s="371">
        <v>19094.22</v>
      </c>
      <c r="AB17" s="22">
        <v>8.4083036646692033E-2</v>
      </c>
      <c r="AC17" s="24">
        <v>0</v>
      </c>
      <c r="AD17" s="384">
        <v>0</v>
      </c>
    </row>
    <row r="18" spans="1:30">
      <c r="A18" s="21" t="s">
        <v>539</v>
      </c>
      <c r="B18" s="21" t="s">
        <v>540</v>
      </c>
      <c r="C18" s="23">
        <v>3066.34</v>
      </c>
      <c r="D18" s="147">
        <v>102.15</v>
      </c>
      <c r="E18" s="22">
        <v>661.27</v>
      </c>
      <c r="F18" s="22">
        <v>763.42</v>
      </c>
      <c r="G18" s="22">
        <v>0</v>
      </c>
      <c r="H18" s="22">
        <v>275.64999999999998</v>
      </c>
      <c r="I18" s="22">
        <v>26.74</v>
      </c>
      <c r="J18" s="22">
        <v>478.03</v>
      </c>
      <c r="K18" s="22">
        <v>67.75</v>
      </c>
      <c r="L18" s="22">
        <v>4.45</v>
      </c>
      <c r="M18" s="388">
        <v>11238.42</v>
      </c>
      <c r="N18" s="25">
        <v>0.38069999999999998</v>
      </c>
      <c r="O18" s="24">
        <v>497</v>
      </c>
      <c r="P18" s="24">
        <v>769</v>
      </c>
      <c r="Q18" s="24">
        <v>476.25</v>
      </c>
      <c r="R18" s="22">
        <v>292.75</v>
      </c>
      <c r="S18" s="24">
        <v>127.75</v>
      </c>
      <c r="T18" s="24">
        <f t="shared" si="4"/>
        <v>896.75</v>
      </c>
      <c r="U18" s="376">
        <v>4278.47</v>
      </c>
      <c r="V18" s="376">
        <v>561.91999999999996</v>
      </c>
      <c r="W18" s="22">
        <f t="shared" si="5"/>
        <v>1628.813529</v>
      </c>
      <c r="X18" s="22">
        <f t="shared" si="6"/>
        <v>1627</v>
      </c>
      <c r="Y18" s="22">
        <v>1215.75</v>
      </c>
      <c r="Z18" s="22">
        <v>411.25</v>
      </c>
      <c r="AA18" s="371">
        <v>11260.28</v>
      </c>
      <c r="AB18" s="22">
        <v>0.14449019029722174</v>
      </c>
      <c r="AC18" s="24">
        <v>9.4901902972217289E-3</v>
      </c>
      <c r="AD18" s="384">
        <v>-1000076.2100095166</v>
      </c>
    </row>
    <row r="19" spans="1:30">
      <c r="A19" s="21" t="s">
        <v>5</v>
      </c>
      <c r="B19" s="21" t="s">
        <v>6</v>
      </c>
      <c r="C19" s="23">
        <v>9.8000000000000007</v>
      </c>
      <c r="D19" s="147">
        <v>0</v>
      </c>
      <c r="E19" s="22">
        <v>0</v>
      </c>
      <c r="F19" s="22">
        <v>0</v>
      </c>
      <c r="G19" s="22">
        <v>0</v>
      </c>
      <c r="H19" s="22">
        <v>0</v>
      </c>
      <c r="I19" s="22">
        <v>0</v>
      </c>
      <c r="J19" s="22">
        <v>0</v>
      </c>
      <c r="K19" s="22">
        <v>0</v>
      </c>
      <c r="L19" s="22">
        <v>0</v>
      </c>
      <c r="M19" s="388">
        <v>11.8</v>
      </c>
      <c r="N19" s="25">
        <v>0.21429999999999999</v>
      </c>
      <c r="O19" s="24">
        <v>0</v>
      </c>
      <c r="P19" s="24">
        <v>0</v>
      </c>
      <c r="Q19" s="24">
        <v>0</v>
      </c>
      <c r="R19" s="22">
        <v>0</v>
      </c>
      <c r="S19" s="24">
        <v>0</v>
      </c>
      <c r="T19" s="24">
        <f t="shared" si="4"/>
        <v>0</v>
      </c>
      <c r="U19" s="376">
        <v>0</v>
      </c>
      <c r="V19" s="376">
        <v>0.59</v>
      </c>
      <c r="W19" s="22">
        <f t="shared" si="5"/>
        <v>0</v>
      </c>
      <c r="X19" s="22">
        <f t="shared" si="6"/>
        <v>0</v>
      </c>
      <c r="Y19" s="22">
        <v>0</v>
      </c>
      <c r="Z19" s="22">
        <v>0</v>
      </c>
      <c r="AA19" s="371">
        <v>11.8</v>
      </c>
      <c r="AB19" s="22">
        <v>0</v>
      </c>
      <c r="AC19" s="24">
        <v>0</v>
      </c>
      <c r="AD19" s="384">
        <v>0</v>
      </c>
    </row>
    <row r="20" spans="1:30">
      <c r="A20" s="21" t="s">
        <v>383</v>
      </c>
      <c r="B20" s="21" t="s">
        <v>384</v>
      </c>
      <c r="C20" s="23">
        <v>5837.54</v>
      </c>
      <c r="D20" s="147">
        <v>259.69</v>
      </c>
      <c r="E20" s="22">
        <v>1014.88</v>
      </c>
      <c r="F20" s="22">
        <v>1274.57</v>
      </c>
      <c r="G20" s="22">
        <v>263.58999999999997</v>
      </c>
      <c r="H20" s="22">
        <v>283.07</v>
      </c>
      <c r="I20" s="22">
        <v>18.350000000000001</v>
      </c>
      <c r="J20" s="22">
        <v>1124.47</v>
      </c>
      <c r="K20" s="22">
        <v>231.6</v>
      </c>
      <c r="L20" s="22">
        <v>0</v>
      </c>
      <c r="M20" s="388">
        <v>20151.559999999998</v>
      </c>
      <c r="N20" s="25">
        <v>0.49569999999999997</v>
      </c>
      <c r="O20" s="24">
        <v>497</v>
      </c>
      <c r="P20" s="24">
        <v>1233.5</v>
      </c>
      <c r="Q20" s="24">
        <v>791.75</v>
      </c>
      <c r="R20" s="22">
        <v>441.75</v>
      </c>
      <c r="S20" s="24">
        <v>208.75</v>
      </c>
      <c r="T20" s="24">
        <f t="shared" si="4"/>
        <v>1442.25</v>
      </c>
      <c r="U20" s="376">
        <v>9989.1299999999992</v>
      </c>
      <c r="V20" s="376">
        <v>1007.58</v>
      </c>
      <c r="W20" s="22">
        <f t="shared" si="5"/>
        <v>4951.6117409999997</v>
      </c>
      <c r="X20" s="22">
        <f t="shared" si="6"/>
        <v>2577.75</v>
      </c>
      <c r="Y20" s="22">
        <v>1412</v>
      </c>
      <c r="Z20" s="22">
        <v>1165.75</v>
      </c>
      <c r="AA20" s="371">
        <v>20090.669999999998</v>
      </c>
      <c r="AB20" s="22">
        <v>0.12830582553991482</v>
      </c>
      <c r="AC20" s="24">
        <v>0</v>
      </c>
      <c r="AD20" s="384">
        <v>0</v>
      </c>
    </row>
    <row r="21" spans="1:30">
      <c r="A21" s="21" t="s">
        <v>253</v>
      </c>
      <c r="B21" s="21" t="s">
        <v>254</v>
      </c>
      <c r="C21" s="23">
        <v>32.799999999999997</v>
      </c>
      <c r="D21" s="147">
        <v>0</v>
      </c>
      <c r="E21" s="22">
        <v>0</v>
      </c>
      <c r="F21" s="22">
        <v>0</v>
      </c>
      <c r="G21" s="22">
        <v>0</v>
      </c>
      <c r="H21" s="22">
        <v>0</v>
      </c>
      <c r="I21" s="22">
        <v>0</v>
      </c>
      <c r="J21" s="22">
        <v>0</v>
      </c>
      <c r="K21" s="22">
        <v>0</v>
      </c>
      <c r="L21" s="22">
        <v>0</v>
      </c>
      <c r="M21" s="388">
        <v>113.39999999999999</v>
      </c>
      <c r="N21" s="25">
        <v>0.47370000000000001</v>
      </c>
      <c r="O21" s="24">
        <v>497</v>
      </c>
      <c r="P21" s="24">
        <v>0</v>
      </c>
      <c r="Q21" s="24">
        <v>0</v>
      </c>
      <c r="R21" s="22">
        <v>0</v>
      </c>
      <c r="S21" s="24">
        <v>0</v>
      </c>
      <c r="T21" s="24">
        <f t="shared" si="4"/>
        <v>0</v>
      </c>
      <c r="U21" s="376">
        <v>0</v>
      </c>
      <c r="V21" s="376">
        <v>5.67</v>
      </c>
      <c r="W21" s="22">
        <f t="shared" si="5"/>
        <v>0</v>
      </c>
      <c r="X21" s="22">
        <f t="shared" si="6"/>
        <v>19.5</v>
      </c>
      <c r="Y21" s="22">
        <v>12.5</v>
      </c>
      <c r="Z21" s="22">
        <v>7</v>
      </c>
      <c r="AA21" s="371">
        <v>113.4</v>
      </c>
      <c r="AB21" s="22">
        <v>0.17195767195767195</v>
      </c>
      <c r="AC21" s="24">
        <v>3.6957671957671939E-2</v>
      </c>
      <c r="AD21" s="384">
        <v>-36622.88457977301</v>
      </c>
    </row>
    <row r="22" spans="1:30">
      <c r="A22" s="21" t="s">
        <v>543</v>
      </c>
      <c r="B22" s="21" t="s">
        <v>544</v>
      </c>
      <c r="C22" s="23">
        <v>620.97</v>
      </c>
      <c r="D22" s="147">
        <v>16.88</v>
      </c>
      <c r="E22" s="22">
        <v>110.88</v>
      </c>
      <c r="F22" s="22">
        <v>127.75999999999999</v>
      </c>
      <c r="G22" s="22">
        <v>0</v>
      </c>
      <c r="H22" s="22">
        <v>44.16</v>
      </c>
      <c r="I22" s="22">
        <v>5.46</v>
      </c>
      <c r="J22" s="22">
        <v>76.55</v>
      </c>
      <c r="K22" s="22">
        <v>14.49</v>
      </c>
      <c r="L22" s="22">
        <v>0.31</v>
      </c>
      <c r="M22" s="388">
        <v>2105</v>
      </c>
      <c r="N22" s="25">
        <v>0.46639999999999998</v>
      </c>
      <c r="O22" s="24">
        <v>497</v>
      </c>
      <c r="P22" s="24">
        <v>90</v>
      </c>
      <c r="Q22" s="24">
        <v>68.5</v>
      </c>
      <c r="R22" s="22">
        <v>21.5</v>
      </c>
      <c r="S22" s="24">
        <v>17.25</v>
      </c>
      <c r="T22" s="24">
        <f t="shared" si="4"/>
        <v>107.25</v>
      </c>
      <c r="U22" s="376">
        <v>981.77</v>
      </c>
      <c r="V22" s="376">
        <v>105.25</v>
      </c>
      <c r="W22" s="22">
        <f t="shared" si="5"/>
        <v>457.89752799999997</v>
      </c>
      <c r="X22" s="22">
        <f t="shared" si="6"/>
        <v>293.25</v>
      </c>
      <c r="Y22" s="22">
        <v>236</v>
      </c>
      <c r="Z22" s="22">
        <v>57.25</v>
      </c>
      <c r="AA22" s="371">
        <v>2107.79</v>
      </c>
      <c r="AB22" s="22">
        <v>0.13912676310258612</v>
      </c>
      <c r="AC22" s="24">
        <v>4.1267631025861118E-3</v>
      </c>
      <c r="AD22" s="384">
        <v>-84657.010845258934</v>
      </c>
    </row>
    <row r="23" spans="1:30">
      <c r="A23" s="21" t="s">
        <v>283</v>
      </c>
      <c r="B23" s="21" t="s">
        <v>284</v>
      </c>
      <c r="C23" s="23">
        <v>29.8</v>
      </c>
      <c r="D23" s="147">
        <v>0</v>
      </c>
      <c r="E23" s="22">
        <v>0</v>
      </c>
      <c r="F23" s="22">
        <v>0</v>
      </c>
      <c r="G23" s="22">
        <v>0</v>
      </c>
      <c r="H23" s="22">
        <v>0</v>
      </c>
      <c r="I23" s="22">
        <v>0</v>
      </c>
      <c r="J23" s="22">
        <v>0</v>
      </c>
      <c r="K23" s="22">
        <v>0</v>
      </c>
      <c r="L23" s="22">
        <v>0</v>
      </c>
      <c r="M23" s="388">
        <v>85.68</v>
      </c>
      <c r="N23" s="25">
        <v>0.52580000000000005</v>
      </c>
      <c r="O23" s="24">
        <v>497</v>
      </c>
      <c r="P23" s="24">
        <v>7</v>
      </c>
      <c r="Q23" s="24">
        <v>5</v>
      </c>
      <c r="R23" s="22">
        <v>2</v>
      </c>
      <c r="S23" s="24">
        <v>1</v>
      </c>
      <c r="T23" s="24">
        <f t="shared" si="4"/>
        <v>8</v>
      </c>
      <c r="U23" s="376">
        <v>45.05</v>
      </c>
      <c r="V23" s="376">
        <v>0</v>
      </c>
      <c r="W23" s="22">
        <f t="shared" si="5"/>
        <v>23.687290000000001</v>
      </c>
      <c r="X23" s="22">
        <f t="shared" si="6"/>
        <v>19.75</v>
      </c>
      <c r="Y23" s="22">
        <v>14.75</v>
      </c>
      <c r="Z23" s="22">
        <v>5</v>
      </c>
      <c r="AA23" s="371">
        <v>85.68</v>
      </c>
      <c r="AB23" s="22">
        <v>0.23050887021475255</v>
      </c>
      <c r="AC23" s="24">
        <v>9.5508870214752545E-2</v>
      </c>
      <c r="AD23" s="384">
        <v>-71747.618385123773</v>
      </c>
    </row>
    <row r="24" spans="1:30">
      <c r="A24" s="21" t="s">
        <v>227</v>
      </c>
      <c r="B24" s="21" t="s">
        <v>228</v>
      </c>
      <c r="C24" s="23">
        <v>1384.77</v>
      </c>
      <c r="D24" s="147">
        <v>85.98</v>
      </c>
      <c r="E24" s="22">
        <v>323.31</v>
      </c>
      <c r="F24" s="22">
        <v>409.29</v>
      </c>
      <c r="G24" s="22">
        <v>257.43</v>
      </c>
      <c r="H24" s="22">
        <v>39.36</v>
      </c>
      <c r="I24" s="22">
        <v>2.67</v>
      </c>
      <c r="J24" s="22">
        <v>311.09000000000003</v>
      </c>
      <c r="K24" s="22">
        <v>31.2</v>
      </c>
      <c r="L24" s="22">
        <v>0</v>
      </c>
      <c r="M24" s="388">
        <v>4560.8900000000003</v>
      </c>
      <c r="N24" s="25">
        <v>0.64710000000000001</v>
      </c>
      <c r="O24" s="24">
        <v>497</v>
      </c>
      <c r="P24" s="24">
        <v>454</v>
      </c>
      <c r="Q24" s="24">
        <v>319.5</v>
      </c>
      <c r="R24" s="22">
        <v>134.5</v>
      </c>
      <c r="S24" s="24">
        <v>39.25</v>
      </c>
      <c r="T24" s="24">
        <f t="shared" si="4"/>
        <v>493.25</v>
      </c>
      <c r="U24" s="376">
        <v>2951.35</v>
      </c>
      <c r="V24" s="376">
        <v>228.04</v>
      </c>
      <c r="W24" s="22">
        <f t="shared" si="5"/>
        <v>1909.818585</v>
      </c>
      <c r="X24" s="22">
        <f t="shared" si="6"/>
        <v>636.25</v>
      </c>
      <c r="Y24" s="22">
        <v>410.75</v>
      </c>
      <c r="Z24" s="22">
        <v>225.5</v>
      </c>
      <c r="AA24" s="371">
        <v>4387.3900000000003</v>
      </c>
      <c r="AB24" s="22">
        <v>0.14501788079017364</v>
      </c>
      <c r="AC24" s="24">
        <v>1.0017880790173628E-2</v>
      </c>
      <c r="AD24" s="384">
        <v>-437303.833323028</v>
      </c>
    </row>
    <row r="25" spans="1:30">
      <c r="A25" s="21" t="s">
        <v>333</v>
      </c>
      <c r="B25" s="21" t="s">
        <v>334</v>
      </c>
      <c r="C25" s="23">
        <v>290.8</v>
      </c>
      <c r="D25" s="147">
        <v>0</v>
      </c>
      <c r="E25" s="22">
        <v>91.65</v>
      </c>
      <c r="F25" s="22">
        <v>91.65</v>
      </c>
      <c r="G25" s="22">
        <v>0</v>
      </c>
      <c r="H25" s="22">
        <v>13.47</v>
      </c>
      <c r="I25" s="22">
        <v>0.97</v>
      </c>
      <c r="J25" s="22">
        <v>10.02</v>
      </c>
      <c r="K25" s="22">
        <v>0</v>
      </c>
      <c r="L25" s="22">
        <v>0</v>
      </c>
      <c r="M25" s="388">
        <v>980.34000000000015</v>
      </c>
      <c r="N25" s="25">
        <v>0.94989999999999997</v>
      </c>
      <c r="O25" s="24">
        <v>497</v>
      </c>
      <c r="P25" s="24">
        <v>324.75</v>
      </c>
      <c r="Q25" s="24">
        <v>219</v>
      </c>
      <c r="R25" s="22">
        <v>105.75</v>
      </c>
      <c r="S25" s="24">
        <v>95.75</v>
      </c>
      <c r="T25" s="24">
        <f t="shared" si="4"/>
        <v>420.5</v>
      </c>
      <c r="U25" s="376">
        <v>931.22</v>
      </c>
      <c r="V25" s="376">
        <v>49.02</v>
      </c>
      <c r="W25" s="22">
        <f t="shared" si="5"/>
        <v>884.565878</v>
      </c>
      <c r="X25" s="22">
        <f t="shared" si="6"/>
        <v>97.75</v>
      </c>
      <c r="Y25" s="22">
        <v>73.75</v>
      </c>
      <c r="Z25" s="22">
        <v>24</v>
      </c>
      <c r="AA25" s="371">
        <v>980.34</v>
      </c>
      <c r="AB25" s="22">
        <v>9.9710304588204096E-2</v>
      </c>
      <c r="AC25" s="24">
        <v>0</v>
      </c>
      <c r="AD25" s="384">
        <v>0</v>
      </c>
    </row>
    <row r="26" spans="1:30">
      <c r="A26" s="21" t="s">
        <v>91</v>
      </c>
      <c r="B26" s="21" t="s">
        <v>92</v>
      </c>
      <c r="C26" s="23">
        <v>207</v>
      </c>
      <c r="D26" s="147">
        <v>0</v>
      </c>
      <c r="E26" s="22">
        <v>28.14</v>
      </c>
      <c r="F26" s="22">
        <v>28.14</v>
      </c>
      <c r="G26" s="22">
        <v>0</v>
      </c>
      <c r="H26" s="22">
        <v>0</v>
      </c>
      <c r="I26" s="22">
        <v>0</v>
      </c>
      <c r="J26" s="22">
        <v>27.8</v>
      </c>
      <c r="K26" s="22">
        <v>0</v>
      </c>
      <c r="L26" s="22">
        <v>0</v>
      </c>
      <c r="M26" s="388">
        <v>745.77</v>
      </c>
      <c r="N26" s="25">
        <v>0.95469999999999999</v>
      </c>
      <c r="O26" s="24">
        <v>576</v>
      </c>
      <c r="P26" s="24">
        <v>352.5</v>
      </c>
      <c r="Q26" s="24">
        <v>215.25</v>
      </c>
      <c r="R26" s="22">
        <v>137.25</v>
      </c>
      <c r="S26" s="24">
        <v>34</v>
      </c>
      <c r="T26" s="24">
        <f t="shared" si="4"/>
        <v>386.5</v>
      </c>
      <c r="U26" s="376">
        <v>711.99</v>
      </c>
      <c r="V26" s="376">
        <v>37.29</v>
      </c>
      <c r="W26" s="22">
        <f t="shared" si="5"/>
        <v>679.736853</v>
      </c>
      <c r="X26" s="22">
        <f t="shared" si="6"/>
        <v>66.25</v>
      </c>
      <c r="Y26" s="22">
        <v>50.5</v>
      </c>
      <c r="Z26" s="22">
        <v>15.75</v>
      </c>
      <c r="AA26" s="371">
        <v>745.77</v>
      </c>
      <c r="AB26" s="22">
        <v>8.8834359118763154E-2</v>
      </c>
      <c r="AC26" s="24">
        <v>0</v>
      </c>
      <c r="AD26" s="384">
        <v>0</v>
      </c>
    </row>
    <row r="27" spans="1:30">
      <c r="A27" s="21" t="s">
        <v>175</v>
      </c>
      <c r="B27" s="21" t="s">
        <v>176</v>
      </c>
      <c r="C27" s="23">
        <v>29.2</v>
      </c>
      <c r="D27" s="147">
        <v>0</v>
      </c>
      <c r="E27" s="22">
        <v>0</v>
      </c>
      <c r="F27" s="22">
        <v>0</v>
      </c>
      <c r="G27" s="22">
        <v>0</v>
      </c>
      <c r="H27" s="22">
        <v>0</v>
      </c>
      <c r="I27" s="22">
        <v>0</v>
      </c>
      <c r="J27" s="22">
        <v>0.4</v>
      </c>
      <c r="K27" s="22">
        <v>0</v>
      </c>
      <c r="L27" s="22">
        <v>0</v>
      </c>
      <c r="M27" s="388">
        <v>72.800000000000011</v>
      </c>
      <c r="N27" s="25">
        <v>0.78210000000000002</v>
      </c>
      <c r="O27" s="24">
        <v>497</v>
      </c>
      <c r="P27" s="24">
        <v>0.5</v>
      </c>
      <c r="Q27" s="24">
        <v>0.5</v>
      </c>
      <c r="R27" s="22">
        <v>0</v>
      </c>
      <c r="S27" s="24">
        <v>0</v>
      </c>
      <c r="T27" s="24">
        <f t="shared" si="4"/>
        <v>0.5</v>
      </c>
      <c r="U27" s="376">
        <v>56.94</v>
      </c>
      <c r="V27" s="376">
        <v>3.64</v>
      </c>
      <c r="W27" s="22">
        <f t="shared" si="5"/>
        <v>44.532773999999996</v>
      </c>
      <c r="X27" s="22">
        <f t="shared" si="6"/>
        <v>7</v>
      </c>
      <c r="Y27" s="22">
        <v>0</v>
      </c>
      <c r="Z27" s="22">
        <v>7</v>
      </c>
      <c r="AA27" s="371">
        <v>72.8</v>
      </c>
      <c r="AB27" s="22">
        <v>9.6153846153846159E-2</v>
      </c>
      <c r="AC27" s="24">
        <v>0</v>
      </c>
      <c r="AD27" s="384">
        <v>0</v>
      </c>
    </row>
    <row r="28" spans="1:30">
      <c r="A28" s="21" t="s">
        <v>403</v>
      </c>
      <c r="B28" s="21" t="s">
        <v>404</v>
      </c>
      <c r="C28" s="23">
        <v>885.95</v>
      </c>
      <c r="D28" s="147">
        <v>81.25</v>
      </c>
      <c r="E28" s="22">
        <v>316.22000000000003</v>
      </c>
      <c r="F28" s="22">
        <v>397.47</v>
      </c>
      <c r="G28" s="22">
        <v>0</v>
      </c>
      <c r="H28" s="22">
        <v>51.27</v>
      </c>
      <c r="I28" s="22">
        <v>4.2</v>
      </c>
      <c r="J28" s="22">
        <v>21.84</v>
      </c>
      <c r="K28" s="22">
        <v>10</v>
      </c>
      <c r="L28" s="22">
        <v>0.2</v>
      </c>
      <c r="M28" s="388">
        <v>3274.7400000000002</v>
      </c>
      <c r="N28" s="25">
        <v>0.54569999999999996</v>
      </c>
      <c r="O28" s="24">
        <v>497</v>
      </c>
      <c r="P28" s="24">
        <v>734.75</v>
      </c>
      <c r="Q28" s="24">
        <v>424</v>
      </c>
      <c r="R28" s="22">
        <v>310.75</v>
      </c>
      <c r="S28" s="24">
        <v>73.75</v>
      </c>
      <c r="T28" s="24">
        <f t="shared" si="4"/>
        <v>808.5</v>
      </c>
      <c r="U28" s="376">
        <v>1787.03</v>
      </c>
      <c r="V28" s="376">
        <v>163.74</v>
      </c>
      <c r="W28" s="22">
        <f t="shared" si="5"/>
        <v>975.1822709999999</v>
      </c>
      <c r="X28" s="22">
        <f t="shared" si="6"/>
        <v>487.25</v>
      </c>
      <c r="Y28" s="22">
        <v>350.25</v>
      </c>
      <c r="Z28" s="22">
        <v>137</v>
      </c>
      <c r="AA28" s="371">
        <v>3306.02</v>
      </c>
      <c r="AB28" s="22">
        <v>0.14738265346247148</v>
      </c>
      <c r="AC28" s="24">
        <v>1.2382653462471471E-2</v>
      </c>
      <c r="AD28" s="384">
        <v>-397700.50788328145</v>
      </c>
    </row>
    <row r="29" spans="1:30">
      <c r="A29" s="21" t="s">
        <v>67</v>
      </c>
      <c r="B29" s="21" t="s">
        <v>68</v>
      </c>
      <c r="C29" s="23">
        <v>1838.24</v>
      </c>
      <c r="D29" s="147">
        <v>34.78</v>
      </c>
      <c r="E29" s="22">
        <v>396.16</v>
      </c>
      <c r="F29" s="22">
        <v>430.94000000000005</v>
      </c>
      <c r="G29" s="22">
        <v>0</v>
      </c>
      <c r="H29" s="22">
        <v>170.96</v>
      </c>
      <c r="I29" s="22">
        <v>1.91</v>
      </c>
      <c r="J29" s="22">
        <v>120.72</v>
      </c>
      <c r="K29" s="22">
        <v>6.6</v>
      </c>
      <c r="L29" s="22">
        <v>0</v>
      </c>
      <c r="M29" s="388">
        <v>7039.41</v>
      </c>
      <c r="N29" s="25">
        <v>0.152</v>
      </c>
      <c r="O29" s="24">
        <v>0</v>
      </c>
      <c r="P29" s="24">
        <v>187.75</v>
      </c>
      <c r="Q29" s="24">
        <v>139.75</v>
      </c>
      <c r="R29" s="22">
        <v>48</v>
      </c>
      <c r="S29" s="24">
        <v>116.5</v>
      </c>
      <c r="T29" s="24">
        <f t="shared" si="4"/>
        <v>304.25</v>
      </c>
      <c r="U29" s="376">
        <v>1069.99</v>
      </c>
      <c r="V29" s="376">
        <v>351.97</v>
      </c>
      <c r="W29" s="22">
        <f t="shared" si="5"/>
        <v>162.63847999999999</v>
      </c>
      <c r="X29" s="22">
        <f t="shared" si="6"/>
        <v>732.5</v>
      </c>
      <c r="Y29" s="22">
        <v>541.25</v>
      </c>
      <c r="Z29" s="22">
        <v>191.25</v>
      </c>
      <c r="AA29" s="371">
        <v>7095.41</v>
      </c>
      <c r="AB29" s="22">
        <v>0.10323575381831353</v>
      </c>
      <c r="AC29" s="24">
        <v>0</v>
      </c>
      <c r="AD29" s="384">
        <v>0</v>
      </c>
    </row>
    <row r="30" spans="1:30">
      <c r="A30" s="21" t="s">
        <v>49</v>
      </c>
      <c r="B30" s="21" t="s">
        <v>50</v>
      </c>
      <c r="C30" s="23">
        <v>160.79</v>
      </c>
      <c r="D30" s="147">
        <v>0</v>
      </c>
      <c r="E30" s="22">
        <v>7.62</v>
      </c>
      <c r="F30" s="22">
        <v>7.62</v>
      </c>
      <c r="G30" s="22">
        <v>0</v>
      </c>
      <c r="H30" s="22">
        <v>9.5</v>
      </c>
      <c r="I30" s="22">
        <v>0.74</v>
      </c>
      <c r="J30" s="22">
        <v>1.96</v>
      </c>
      <c r="K30" s="22">
        <v>0</v>
      </c>
      <c r="L30" s="22">
        <v>0</v>
      </c>
      <c r="M30" s="388">
        <v>483.21</v>
      </c>
      <c r="N30" s="25">
        <v>0.72089999999999999</v>
      </c>
      <c r="O30" s="24">
        <v>0</v>
      </c>
      <c r="P30" s="24">
        <v>0</v>
      </c>
      <c r="Q30" s="24">
        <v>0</v>
      </c>
      <c r="R30" s="22">
        <v>0</v>
      </c>
      <c r="S30" s="24">
        <v>0</v>
      </c>
      <c r="T30" s="24">
        <f t="shared" si="4"/>
        <v>0</v>
      </c>
      <c r="U30" s="376">
        <v>348.35</v>
      </c>
      <c r="V30" s="376">
        <v>0</v>
      </c>
      <c r="W30" s="22">
        <f t="shared" si="5"/>
        <v>251.12551500000001</v>
      </c>
      <c r="X30" s="22">
        <f t="shared" si="6"/>
        <v>72</v>
      </c>
      <c r="Y30" s="22">
        <v>52</v>
      </c>
      <c r="Z30" s="22">
        <v>20</v>
      </c>
      <c r="AA30" s="371">
        <v>483.21</v>
      </c>
      <c r="AB30" s="22">
        <v>0.14900353883404732</v>
      </c>
      <c r="AC30" s="24">
        <v>1.4003538834047313E-2</v>
      </c>
      <c r="AD30" s="384">
        <v>-59801.55585500053</v>
      </c>
    </row>
    <row r="31" spans="1:30">
      <c r="A31" s="21" t="s">
        <v>367</v>
      </c>
      <c r="B31" s="21" t="s">
        <v>368</v>
      </c>
      <c r="C31" s="23">
        <v>78.2</v>
      </c>
      <c r="D31" s="147">
        <v>0</v>
      </c>
      <c r="E31" s="22">
        <v>0</v>
      </c>
      <c r="F31" s="22">
        <v>0</v>
      </c>
      <c r="G31" s="22">
        <v>0</v>
      </c>
      <c r="H31" s="22">
        <v>0</v>
      </c>
      <c r="I31" s="22">
        <v>0</v>
      </c>
      <c r="J31" s="22">
        <v>0</v>
      </c>
      <c r="K31" s="22">
        <v>0</v>
      </c>
      <c r="L31" s="22">
        <v>0</v>
      </c>
      <c r="M31" s="388">
        <v>177.76000000000002</v>
      </c>
      <c r="N31" s="25">
        <v>0.3034</v>
      </c>
      <c r="O31" s="24">
        <v>497</v>
      </c>
      <c r="P31" s="24">
        <v>0</v>
      </c>
      <c r="Q31" s="24">
        <v>0</v>
      </c>
      <c r="R31" s="22">
        <v>0</v>
      </c>
      <c r="S31" s="24">
        <v>0</v>
      </c>
      <c r="T31" s="24">
        <f t="shared" si="4"/>
        <v>0</v>
      </c>
      <c r="U31" s="376">
        <v>53.93</v>
      </c>
      <c r="V31" s="376">
        <v>8.89</v>
      </c>
      <c r="W31" s="22">
        <f t="shared" si="5"/>
        <v>16.362362000000001</v>
      </c>
      <c r="X31" s="22">
        <f t="shared" si="6"/>
        <v>25.5</v>
      </c>
      <c r="Y31" s="22">
        <v>22.75</v>
      </c>
      <c r="Z31" s="22">
        <v>2.75</v>
      </c>
      <c r="AA31" s="371">
        <v>178.76</v>
      </c>
      <c r="AB31" s="22">
        <v>0.14264936227343925</v>
      </c>
      <c r="AC31" s="24">
        <v>7.6493622734392364E-3</v>
      </c>
      <c r="AD31" s="384">
        <v>-13162.29627455984</v>
      </c>
    </row>
    <row r="32" spans="1:30">
      <c r="A32" s="21" t="s">
        <v>1226</v>
      </c>
      <c r="B32" s="21" t="s">
        <v>1227</v>
      </c>
      <c r="C32" s="23">
        <v>0</v>
      </c>
      <c r="D32" s="147">
        <v>0</v>
      </c>
      <c r="E32" s="22">
        <v>0</v>
      </c>
      <c r="F32" s="22">
        <v>0</v>
      </c>
      <c r="G32" s="22">
        <v>0</v>
      </c>
      <c r="H32" s="22">
        <v>0</v>
      </c>
      <c r="I32" s="22">
        <v>0</v>
      </c>
      <c r="J32" s="22">
        <v>0</v>
      </c>
      <c r="K32" s="22">
        <v>0</v>
      </c>
      <c r="L32" s="22">
        <v>0</v>
      </c>
      <c r="M32" s="388">
        <v>104</v>
      </c>
      <c r="N32" s="25">
        <v>0.67649999999999999</v>
      </c>
      <c r="O32" s="24">
        <v>497</v>
      </c>
      <c r="P32" s="24">
        <v>4.99</v>
      </c>
      <c r="Q32" s="24">
        <v>0</v>
      </c>
      <c r="R32" s="22">
        <v>4.99</v>
      </c>
      <c r="S32" s="24">
        <v>6.76</v>
      </c>
      <c r="T32" s="24">
        <f t="shared" si="4"/>
        <v>11.75</v>
      </c>
      <c r="U32" s="376">
        <v>70.36</v>
      </c>
      <c r="V32" s="376">
        <v>0</v>
      </c>
      <c r="W32" s="22">
        <f t="shared" si="5"/>
        <v>47.59854</v>
      </c>
      <c r="X32" s="22">
        <f t="shared" si="6"/>
        <v>19</v>
      </c>
      <c r="Y32" s="22">
        <v>19</v>
      </c>
      <c r="Z32" s="22">
        <v>0</v>
      </c>
      <c r="AA32" s="371">
        <v>104</v>
      </c>
      <c r="AB32" s="22">
        <v>0.18269230769230768</v>
      </c>
      <c r="AC32" s="24">
        <v>4.7692307692307673E-2</v>
      </c>
      <c r="AD32" s="384">
        <v>-46424.224963958513</v>
      </c>
    </row>
    <row r="33" spans="1:30">
      <c r="A33" s="21" t="s">
        <v>39</v>
      </c>
      <c r="B33" s="21" t="s">
        <v>40</v>
      </c>
      <c r="C33" s="23">
        <v>328.8</v>
      </c>
      <c r="D33" s="147">
        <v>44.46</v>
      </c>
      <c r="E33" s="22">
        <v>130.35</v>
      </c>
      <c r="F33" s="22">
        <v>174.81</v>
      </c>
      <c r="G33" s="22">
        <v>0</v>
      </c>
      <c r="H33" s="22">
        <v>29.82</v>
      </c>
      <c r="I33" s="22">
        <v>0.75</v>
      </c>
      <c r="J33" s="22">
        <v>61.67</v>
      </c>
      <c r="K33" s="22">
        <v>0</v>
      </c>
      <c r="L33" s="22">
        <v>0</v>
      </c>
      <c r="M33" s="388">
        <v>1235.76</v>
      </c>
      <c r="N33" s="25">
        <v>0.40339999999999998</v>
      </c>
      <c r="O33" s="24">
        <v>19</v>
      </c>
      <c r="P33" s="24">
        <v>135.5</v>
      </c>
      <c r="Q33" s="24">
        <v>89</v>
      </c>
      <c r="R33" s="22">
        <v>46.5</v>
      </c>
      <c r="S33" s="24">
        <v>51</v>
      </c>
      <c r="T33" s="24">
        <f t="shared" si="4"/>
        <v>186.5</v>
      </c>
      <c r="U33" s="376">
        <v>498.51</v>
      </c>
      <c r="V33" s="376">
        <v>0</v>
      </c>
      <c r="W33" s="22">
        <f t="shared" si="5"/>
        <v>201.09893399999999</v>
      </c>
      <c r="X33" s="22">
        <f t="shared" si="6"/>
        <v>110.75</v>
      </c>
      <c r="Y33" s="22">
        <v>71</v>
      </c>
      <c r="Z33" s="22">
        <v>39.75</v>
      </c>
      <c r="AA33" s="371">
        <v>1237.5899999999999</v>
      </c>
      <c r="AB33" s="22">
        <v>8.9488441244677155E-2</v>
      </c>
      <c r="AC33" s="24">
        <v>0</v>
      </c>
      <c r="AD33" s="384">
        <v>0</v>
      </c>
    </row>
    <row r="34" spans="1:30">
      <c r="A34" s="21" t="s">
        <v>37</v>
      </c>
      <c r="B34" s="21" t="s">
        <v>38</v>
      </c>
      <c r="C34" s="23">
        <v>469.51</v>
      </c>
      <c r="D34" s="147">
        <v>54.57</v>
      </c>
      <c r="E34" s="22">
        <v>124.28</v>
      </c>
      <c r="F34" s="22">
        <v>178.85</v>
      </c>
      <c r="G34" s="22">
        <v>0</v>
      </c>
      <c r="H34" s="22">
        <v>34.67</v>
      </c>
      <c r="I34" s="22">
        <v>1.3</v>
      </c>
      <c r="J34" s="22">
        <v>0</v>
      </c>
      <c r="K34" s="22">
        <v>0</v>
      </c>
      <c r="L34" s="22">
        <v>0</v>
      </c>
      <c r="M34" s="388">
        <v>1567.21</v>
      </c>
      <c r="N34" s="25">
        <v>0.4365</v>
      </c>
      <c r="O34" s="24">
        <v>0</v>
      </c>
      <c r="P34" s="24">
        <v>186</v>
      </c>
      <c r="Q34" s="24">
        <v>152.25</v>
      </c>
      <c r="R34" s="22">
        <v>33.75</v>
      </c>
      <c r="S34" s="24">
        <v>65.5</v>
      </c>
      <c r="T34" s="24">
        <f t="shared" si="4"/>
        <v>251.5</v>
      </c>
      <c r="U34" s="376">
        <v>684.09</v>
      </c>
      <c r="V34" s="376">
        <v>78.36</v>
      </c>
      <c r="W34" s="22">
        <f t="shared" si="5"/>
        <v>298.60528500000004</v>
      </c>
      <c r="X34" s="22">
        <f t="shared" si="6"/>
        <v>185</v>
      </c>
      <c r="Y34" s="22">
        <v>159</v>
      </c>
      <c r="Z34" s="22">
        <v>26</v>
      </c>
      <c r="AA34" s="371">
        <v>1578.32</v>
      </c>
      <c r="AB34" s="22">
        <v>0.11721323939378581</v>
      </c>
      <c r="AC34" s="24">
        <v>0</v>
      </c>
      <c r="AD34" s="384">
        <v>0</v>
      </c>
    </row>
    <row r="35" spans="1:30">
      <c r="A35" s="21" t="s">
        <v>81</v>
      </c>
      <c r="B35" s="21" t="s">
        <v>82</v>
      </c>
      <c r="C35" s="23">
        <v>416.7</v>
      </c>
      <c r="D35" s="147">
        <v>5.44</v>
      </c>
      <c r="E35" s="22">
        <v>70.650000000000006</v>
      </c>
      <c r="F35" s="22">
        <v>76.09</v>
      </c>
      <c r="G35" s="22">
        <v>0</v>
      </c>
      <c r="H35" s="22">
        <v>23.14</v>
      </c>
      <c r="I35" s="22">
        <v>2.37</v>
      </c>
      <c r="J35" s="22">
        <v>46.43</v>
      </c>
      <c r="K35" s="22">
        <v>0</v>
      </c>
      <c r="L35" s="22">
        <v>0</v>
      </c>
      <c r="M35" s="388">
        <v>1405.16</v>
      </c>
      <c r="N35" s="25">
        <v>0.52590000000000003</v>
      </c>
      <c r="O35" s="24">
        <v>576</v>
      </c>
      <c r="P35" s="24">
        <v>20.25</v>
      </c>
      <c r="Q35" s="24">
        <v>10.25</v>
      </c>
      <c r="R35" s="22">
        <v>10</v>
      </c>
      <c r="S35" s="24">
        <v>3</v>
      </c>
      <c r="T35" s="24">
        <f t="shared" si="4"/>
        <v>23.25</v>
      </c>
      <c r="U35" s="376">
        <v>738.97</v>
      </c>
      <c r="V35" s="376">
        <v>70.260000000000005</v>
      </c>
      <c r="W35" s="22">
        <f t="shared" si="5"/>
        <v>388.62432300000006</v>
      </c>
      <c r="X35" s="22">
        <f t="shared" si="6"/>
        <v>231.75</v>
      </c>
      <c r="Y35" s="22">
        <v>146.5</v>
      </c>
      <c r="Z35" s="22">
        <v>85.25</v>
      </c>
      <c r="AA35" s="371">
        <v>1408.8</v>
      </c>
      <c r="AB35" s="22">
        <v>0.16450170357751279</v>
      </c>
      <c r="AC35" s="24">
        <v>2.9501703577512778E-2</v>
      </c>
      <c r="AD35" s="384">
        <v>-364599.00761114532</v>
      </c>
    </row>
    <row r="36" spans="1:30">
      <c r="A36" s="21" t="s">
        <v>1228</v>
      </c>
      <c r="B36" s="21" t="s">
        <v>1229</v>
      </c>
      <c r="C36" s="23">
        <v>198.2</v>
      </c>
      <c r="D36" s="147">
        <v>0</v>
      </c>
      <c r="E36" s="22">
        <v>0</v>
      </c>
      <c r="F36" s="22">
        <v>0</v>
      </c>
      <c r="G36" s="22">
        <v>0</v>
      </c>
      <c r="H36" s="22">
        <v>0</v>
      </c>
      <c r="I36" s="22">
        <v>0</v>
      </c>
      <c r="J36" s="22">
        <v>0</v>
      </c>
      <c r="K36" s="22">
        <v>0</v>
      </c>
      <c r="L36" s="22">
        <v>0</v>
      </c>
      <c r="M36" s="388">
        <v>301.39999999999998</v>
      </c>
      <c r="N36" s="25">
        <v>0.51339999999999997</v>
      </c>
      <c r="O36" s="24">
        <v>497</v>
      </c>
      <c r="P36" s="24">
        <v>1</v>
      </c>
      <c r="Q36" s="24">
        <v>0</v>
      </c>
      <c r="R36" s="22">
        <v>1</v>
      </c>
      <c r="S36" s="24">
        <v>0</v>
      </c>
      <c r="T36" s="24">
        <f t="shared" si="4"/>
        <v>1</v>
      </c>
      <c r="U36" s="376">
        <v>154.74</v>
      </c>
      <c r="V36" s="376">
        <v>15.07</v>
      </c>
      <c r="W36" s="22">
        <f t="shared" si="5"/>
        <v>79.443516000000002</v>
      </c>
      <c r="X36" s="22">
        <f t="shared" si="6"/>
        <v>29.5</v>
      </c>
      <c r="Y36" s="22">
        <v>28.75</v>
      </c>
      <c r="Z36" s="22">
        <v>0.75</v>
      </c>
      <c r="AA36" s="371">
        <v>301.39999999999998</v>
      </c>
      <c r="AB36" s="22">
        <v>9.787657597876577E-2</v>
      </c>
      <c r="AC36" s="24">
        <v>0</v>
      </c>
      <c r="AD36" s="384">
        <v>0</v>
      </c>
    </row>
    <row r="37" spans="1:30">
      <c r="A37" s="21" t="s">
        <v>255</v>
      </c>
      <c r="B37" s="21" t="s">
        <v>256</v>
      </c>
      <c r="C37" s="23">
        <v>42</v>
      </c>
      <c r="D37" s="147">
        <v>0</v>
      </c>
      <c r="E37" s="22">
        <v>0</v>
      </c>
      <c r="F37" s="22">
        <v>0</v>
      </c>
      <c r="G37" s="22">
        <v>0</v>
      </c>
      <c r="H37" s="22">
        <v>0</v>
      </c>
      <c r="I37" s="22">
        <v>0</v>
      </c>
      <c r="J37" s="22">
        <v>0</v>
      </c>
      <c r="K37" s="22">
        <v>0</v>
      </c>
      <c r="L37" s="22">
        <v>0</v>
      </c>
      <c r="M37" s="388">
        <v>86.8</v>
      </c>
      <c r="N37" s="25">
        <v>0.33329999999999999</v>
      </c>
      <c r="O37" s="24">
        <v>497</v>
      </c>
      <c r="P37" s="24">
        <v>0</v>
      </c>
      <c r="Q37" s="24">
        <v>0</v>
      </c>
      <c r="R37" s="22">
        <v>0</v>
      </c>
      <c r="S37" s="24">
        <v>0</v>
      </c>
      <c r="T37" s="24">
        <f t="shared" si="4"/>
        <v>0</v>
      </c>
      <c r="U37" s="376">
        <v>28.93</v>
      </c>
      <c r="V37" s="376">
        <v>0</v>
      </c>
      <c r="W37" s="22">
        <f t="shared" si="5"/>
        <v>9.6423689999999986</v>
      </c>
      <c r="X37" s="22">
        <f t="shared" si="6"/>
        <v>7.75</v>
      </c>
      <c r="Y37" s="22">
        <v>7</v>
      </c>
      <c r="Z37" s="22">
        <v>0.75</v>
      </c>
      <c r="AA37" s="371">
        <v>86.8</v>
      </c>
      <c r="AB37" s="22">
        <v>8.9285714285714288E-2</v>
      </c>
      <c r="AC37" s="24">
        <v>0</v>
      </c>
      <c r="AD37" s="384">
        <v>0</v>
      </c>
    </row>
    <row r="38" spans="1:30">
      <c r="A38" s="21" t="s">
        <v>233</v>
      </c>
      <c r="B38" s="21" t="s">
        <v>234</v>
      </c>
      <c r="C38" s="23">
        <v>3116.95</v>
      </c>
      <c r="D38" s="147">
        <v>113.01</v>
      </c>
      <c r="E38" s="22">
        <v>662.91</v>
      </c>
      <c r="F38" s="22">
        <v>775.92</v>
      </c>
      <c r="G38" s="22">
        <v>0</v>
      </c>
      <c r="H38" s="22">
        <v>272.89</v>
      </c>
      <c r="I38" s="22">
        <v>10.93</v>
      </c>
      <c r="J38" s="22">
        <v>686.12</v>
      </c>
      <c r="K38" s="22">
        <v>0</v>
      </c>
      <c r="L38" s="22">
        <v>0</v>
      </c>
      <c r="M38" s="388">
        <v>11134.289999999999</v>
      </c>
      <c r="N38" s="25">
        <v>0.38040000000000002</v>
      </c>
      <c r="O38" s="24">
        <v>497</v>
      </c>
      <c r="P38" s="24">
        <v>410.5</v>
      </c>
      <c r="Q38" s="24">
        <v>235</v>
      </c>
      <c r="R38" s="22">
        <v>175.5</v>
      </c>
      <c r="S38" s="24">
        <v>74.25</v>
      </c>
      <c r="T38" s="24">
        <f t="shared" si="4"/>
        <v>484.75</v>
      </c>
      <c r="U38" s="376">
        <v>4235.4799999999996</v>
      </c>
      <c r="V38" s="376">
        <v>556.71</v>
      </c>
      <c r="W38" s="22">
        <f t="shared" si="5"/>
        <v>1611.1765919999998</v>
      </c>
      <c r="X38" s="22">
        <f t="shared" si="6"/>
        <v>1497.75</v>
      </c>
      <c r="Y38" s="22">
        <v>959</v>
      </c>
      <c r="Z38" s="22">
        <v>538.75</v>
      </c>
      <c r="AA38" s="371">
        <v>11101.92</v>
      </c>
      <c r="AB38" s="22">
        <v>0.134909096804877</v>
      </c>
      <c r="AC38" s="24">
        <v>0</v>
      </c>
      <c r="AD38" s="384">
        <v>0</v>
      </c>
    </row>
    <row r="39" spans="1:30">
      <c r="A39" s="21" t="s">
        <v>463</v>
      </c>
      <c r="B39" s="21" t="s">
        <v>464</v>
      </c>
      <c r="C39" s="23">
        <v>4166.8999999999996</v>
      </c>
      <c r="D39" s="147">
        <v>54.24</v>
      </c>
      <c r="E39" s="22">
        <v>638.70000000000005</v>
      </c>
      <c r="F39" s="22">
        <v>692.94</v>
      </c>
      <c r="G39" s="22">
        <v>52.27</v>
      </c>
      <c r="H39" s="22">
        <v>273.26</v>
      </c>
      <c r="I39" s="22">
        <v>10.78</v>
      </c>
      <c r="J39" s="22">
        <v>228</v>
      </c>
      <c r="K39" s="22">
        <v>91.8</v>
      </c>
      <c r="L39" s="22">
        <v>0</v>
      </c>
      <c r="M39" s="388">
        <v>14077.22</v>
      </c>
      <c r="N39" s="25">
        <v>0.38200000000000001</v>
      </c>
      <c r="O39" s="24">
        <v>497</v>
      </c>
      <c r="P39" s="24">
        <v>476</v>
      </c>
      <c r="Q39" s="24">
        <v>288.75</v>
      </c>
      <c r="R39" s="22">
        <v>187.25</v>
      </c>
      <c r="S39" s="24">
        <v>96.25</v>
      </c>
      <c r="T39" s="24">
        <f t="shared" si="4"/>
        <v>572.25</v>
      </c>
      <c r="U39" s="376">
        <v>5377.5</v>
      </c>
      <c r="V39" s="376">
        <v>703.86</v>
      </c>
      <c r="W39" s="22">
        <f t="shared" si="5"/>
        <v>2054.2049999999999</v>
      </c>
      <c r="X39" s="22">
        <f t="shared" si="6"/>
        <v>2012</v>
      </c>
      <c r="Y39" s="22">
        <v>915.25</v>
      </c>
      <c r="Z39" s="22">
        <v>1096.75</v>
      </c>
      <c r="AA39" s="371">
        <v>14268.61</v>
      </c>
      <c r="AB39" s="22">
        <v>0.14100882987200575</v>
      </c>
      <c r="AC39" s="24">
        <v>6.0088298720057387E-3</v>
      </c>
      <c r="AD39" s="384">
        <v>-749374.27536408417</v>
      </c>
    </row>
    <row r="40" spans="1:30">
      <c r="A40" s="21" t="s">
        <v>295</v>
      </c>
      <c r="B40" s="21" t="s">
        <v>296</v>
      </c>
      <c r="C40" s="23">
        <v>1046.33</v>
      </c>
      <c r="D40" s="147">
        <v>48.87</v>
      </c>
      <c r="E40" s="22">
        <v>228.67</v>
      </c>
      <c r="F40" s="22">
        <v>277.53999999999996</v>
      </c>
      <c r="G40" s="22">
        <v>0</v>
      </c>
      <c r="H40" s="22">
        <v>52.42</v>
      </c>
      <c r="I40" s="22">
        <v>7.57</v>
      </c>
      <c r="J40" s="22">
        <v>52.77</v>
      </c>
      <c r="K40" s="22">
        <v>8.6</v>
      </c>
      <c r="L40" s="22">
        <v>0</v>
      </c>
      <c r="M40" s="388">
        <v>3375.91</v>
      </c>
      <c r="N40" s="25">
        <v>0.80720000000000003</v>
      </c>
      <c r="O40" s="24">
        <v>497</v>
      </c>
      <c r="P40" s="24">
        <v>482.5</v>
      </c>
      <c r="Q40" s="24">
        <v>312.5</v>
      </c>
      <c r="R40" s="22">
        <v>170</v>
      </c>
      <c r="S40" s="24">
        <v>67</v>
      </c>
      <c r="T40" s="24">
        <f t="shared" si="4"/>
        <v>549.5</v>
      </c>
      <c r="U40" s="376">
        <v>2725.03</v>
      </c>
      <c r="V40" s="376">
        <v>168.8</v>
      </c>
      <c r="W40" s="22">
        <f t="shared" si="5"/>
        <v>2199.6442160000001</v>
      </c>
      <c r="X40" s="22">
        <f t="shared" si="6"/>
        <v>465.75</v>
      </c>
      <c r="Y40" s="22">
        <v>271.25</v>
      </c>
      <c r="Z40" s="22">
        <v>194.5</v>
      </c>
      <c r="AA40" s="371">
        <v>3390.27</v>
      </c>
      <c r="AB40" s="22">
        <v>0.1373784388853985</v>
      </c>
      <c r="AC40" s="24">
        <v>2.3784388853984872E-3</v>
      </c>
      <c r="AD40" s="384">
        <v>-70799.244817219223</v>
      </c>
    </row>
    <row r="41" spans="1:30">
      <c r="A41" s="21" t="s">
        <v>291</v>
      </c>
      <c r="B41" s="21" t="s">
        <v>292</v>
      </c>
      <c r="C41" s="23">
        <v>806.21</v>
      </c>
      <c r="D41" s="147">
        <v>0</v>
      </c>
      <c r="E41" s="22">
        <v>171.26</v>
      </c>
      <c r="F41" s="22">
        <v>171.26</v>
      </c>
      <c r="G41" s="22">
        <v>0</v>
      </c>
      <c r="H41" s="22">
        <v>75.150000000000006</v>
      </c>
      <c r="I41" s="22">
        <v>7.15</v>
      </c>
      <c r="J41" s="22">
        <v>25.77</v>
      </c>
      <c r="K41" s="22">
        <v>5.4</v>
      </c>
      <c r="L41" s="22">
        <v>0</v>
      </c>
      <c r="M41" s="388">
        <v>2845.2100000000009</v>
      </c>
      <c r="N41" s="25">
        <v>0.46789999999999998</v>
      </c>
      <c r="O41" s="24">
        <v>497</v>
      </c>
      <c r="P41" s="24">
        <v>108.5</v>
      </c>
      <c r="Q41" s="24">
        <v>56.25</v>
      </c>
      <c r="R41" s="22">
        <v>52.25</v>
      </c>
      <c r="S41" s="24">
        <v>16</v>
      </c>
      <c r="T41" s="24">
        <f t="shared" si="4"/>
        <v>124.5</v>
      </c>
      <c r="U41" s="376">
        <v>1331.27</v>
      </c>
      <c r="V41" s="376">
        <v>142.26</v>
      </c>
      <c r="W41" s="22">
        <f t="shared" si="5"/>
        <v>622.90123299999993</v>
      </c>
      <c r="X41" s="22">
        <f t="shared" si="6"/>
        <v>388.5</v>
      </c>
      <c r="Y41" s="22">
        <v>210.25</v>
      </c>
      <c r="Z41" s="22">
        <v>178.25</v>
      </c>
      <c r="AA41" s="371">
        <v>2850.93</v>
      </c>
      <c r="AB41" s="22">
        <v>0.13627132198966654</v>
      </c>
      <c r="AC41" s="24">
        <v>1.2713219896665351E-3</v>
      </c>
      <c r="AD41" s="384">
        <v>-32310.670892935945</v>
      </c>
    </row>
    <row r="42" spans="1:30">
      <c r="A42" s="21" t="s">
        <v>467</v>
      </c>
      <c r="B42" s="21" t="s">
        <v>468</v>
      </c>
      <c r="C42" s="23">
        <v>1515.2</v>
      </c>
      <c r="D42" s="147">
        <v>97.13</v>
      </c>
      <c r="E42" s="22">
        <v>400.93</v>
      </c>
      <c r="F42" s="22">
        <v>498.06</v>
      </c>
      <c r="G42" s="22">
        <v>0</v>
      </c>
      <c r="H42" s="22">
        <v>98.97</v>
      </c>
      <c r="I42" s="22">
        <v>2.41</v>
      </c>
      <c r="J42" s="22">
        <v>311.99</v>
      </c>
      <c r="K42" s="22">
        <v>8.16</v>
      </c>
      <c r="L42" s="22">
        <v>1</v>
      </c>
      <c r="M42" s="388">
        <v>5158.13</v>
      </c>
      <c r="N42" s="25">
        <v>0.49630000000000002</v>
      </c>
      <c r="O42" s="24">
        <v>497</v>
      </c>
      <c r="P42" s="24">
        <v>238.25</v>
      </c>
      <c r="Q42" s="24">
        <v>168.75</v>
      </c>
      <c r="R42" s="22">
        <v>69.5</v>
      </c>
      <c r="S42" s="24">
        <v>41.25</v>
      </c>
      <c r="T42" s="24">
        <f t="shared" si="4"/>
        <v>279.5</v>
      </c>
      <c r="U42" s="376">
        <v>2559.98</v>
      </c>
      <c r="V42" s="376">
        <v>257.91000000000003</v>
      </c>
      <c r="W42" s="22">
        <f t="shared" si="5"/>
        <v>1270.5180740000001</v>
      </c>
      <c r="X42" s="22">
        <f t="shared" si="6"/>
        <v>804.75</v>
      </c>
      <c r="Y42" s="22">
        <v>600.75</v>
      </c>
      <c r="Z42" s="22">
        <v>204</v>
      </c>
      <c r="AA42" s="371">
        <v>5179.01</v>
      </c>
      <c r="AB42" s="22">
        <v>0.15538684034207309</v>
      </c>
      <c r="AC42" s="24">
        <v>2.0386840342073081E-2</v>
      </c>
      <c r="AD42" s="384">
        <v>-925991.89723034168</v>
      </c>
    </row>
    <row r="43" spans="1:30">
      <c r="A43" s="21" t="s">
        <v>485</v>
      </c>
      <c r="B43" s="21" t="s">
        <v>486</v>
      </c>
      <c r="C43" s="23">
        <v>185</v>
      </c>
      <c r="D43" s="147">
        <v>10.06</v>
      </c>
      <c r="E43" s="22">
        <v>60.72</v>
      </c>
      <c r="F43" s="22">
        <v>70.78</v>
      </c>
      <c r="G43" s="22">
        <v>0</v>
      </c>
      <c r="H43" s="22">
        <v>23.68</v>
      </c>
      <c r="I43" s="22">
        <v>0.46</v>
      </c>
      <c r="J43" s="22">
        <v>118.30000000000001</v>
      </c>
      <c r="K43" s="22">
        <v>14.4</v>
      </c>
      <c r="L43" s="22">
        <v>0</v>
      </c>
      <c r="M43" s="388">
        <v>766.06000000000006</v>
      </c>
      <c r="N43" s="25">
        <v>0.58240000000000003</v>
      </c>
      <c r="O43" s="24">
        <v>497</v>
      </c>
      <c r="P43" s="24">
        <v>1</v>
      </c>
      <c r="Q43" s="24">
        <v>0</v>
      </c>
      <c r="R43" s="22">
        <v>1</v>
      </c>
      <c r="S43" s="24">
        <v>0</v>
      </c>
      <c r="T43" s="24">
        <f t="shared" si="4"/>
        <v>1</v>
      </c>
      <c r="U43" s="376">
        <v>446.15</v>
      </c>
      <c r="V43" s="376">
        <v>38.299999999999997</v>
      </c>
      <c r="W43" s="22">
        <f t="shared" si="5"/>
        <v>259.83776</v>
      </c>
      <c r="X43" s="22">
        <f t="shared" si="6"/>
        <v>132.75</v>
      </c>
      <c r="Y43" s="22">
        <v>91.25</v>
      </c>
      <c r="Z43" s="22">
        <v>41.5</v>
      </c>
      <c r="AA43" s="371">
        <v>766.06</v>
      </c>
      <c r="AB43" s="22">
        <v>0.17328929848836908</v>
      </c>
      <c r="AC43" s="24">
        <v>3.8289298488369067E-2</v>
      </c>
      <c r="AD43" s="384">
        <v>-254753.23095605348</v>
      </c>
    </row>
    <row r="44" spans="1:30">
      <c r="A44" s="21" t="s">
        <v>1038</v>
      </c>
      <c r="B44" s="21" t="s">
        <v>1043</v>
      </c>
      <c r="C44" s="23">
        <v>172.2</v>
      </c>
      <c r="D44" s="147">
        <v>0</v>
      </c>
      <c r="E44" s="22">
        <v>28.78</v>
      </c>
      <c r="F44" s="22">
        <v>28.78</v>
      </c>
      <c r="G44" s="22">
        <v>0</v>
      </c>
      <c r="H44" s="22">
        <v>0.85</v>
      </c>
      <c r="I44" s="22">
        <v>0</v>
      </c>
      <c r="J44" s="22">
        <v>0</v>
      </c>
      <c r="K44" s="22">
        <v>0</v>
      </c>
      <c r="L44" s="22">
        <v>0</v>
      </c>
      <c r="M44" s="388">
        <v>580.26</v>
      </c>
      <c r="N44" s="25">
        <v>0.53029999999999999</v>
      </c>
      <c r="O44" s="24">
        <v>497</v>
      </c>
      <c r="P44" s="24">
        <v>0</v>
      </c>
      <c r="Q44" s="24">
        <v>0</v>
      </c>
      <c r="R44" s="22">
        <v>0</v>
      </c>
      <c r="S44" s="24">
        <v>0</v>
      </c>
      <c r="T44" s="24">
        <f t="shared" si="4"/>
        <v>0</v>
      </c>
      <c r="U44" s="376">
        <v>307.70999999999998</v>
      </c>
      <c r="V44" s="376">
        <v>0</v>
      </c>
      <c r="W44" s="22">
        <f t="shared" si="5"/>
        <v>163.17861299999998</v>
      </c>
      <c r="X44" s="22">
        <f t="shared" si="6"/>
        <v>0</v>
      </c>
      <c r="Y44" s="22">
        <v>0</v>
      </c>
      <c r="Z44" s="22">
        <v>0</v>
      </c>
      <c r="AA44" s="371">
        <v>580.25</v>
      </c>
      <c r="AB44" s="22">
        <v>0</v>
      </c>
      <c r="AC44" s="24">
        <v>0</v>
      </c>
      <c r="AD44" s="384">
        <v>0</v>
      </c>
    </row>
    <row r="45" spans="1:30">
      <c r="A45" s="21" t="s">
        <v>179</v>
      </c>
      <c r="B45" s="21" t="s">
        <v>180</v>
      </c>
      <c r="C45" s="23">
        <v>178.4</v>
      </c>
      <c r="D45" s="147">
        <v>0</v>
      </c>
      <c r="E45" s="22">
        <v>13.75</v>
      </c>
      <c r="F45" s="22">
        <v>13.75</v>
      </c>
      <c r="G45" s="22">
        <v>0</v>
      </c>
      <c r="H45" s="22">
        <v>9.02</v>
      </c>
      <c r="I45" s="22">
        <v>1.03</v>
      </c>
      <c r="J45" s="22">
        <v>79.349999999999994</v>
      </c>
      <c r="K45" s="22">
        <v>0</v>
      </c>
      <c r="L45" s="22">
        <v>0</v>
      </c>
      <c r="M45" s="388">
        <v>672.93999999999994</v>
      </c>
      <c r="N45" s="25">
        <v>0.51649999999999996</v>
      </c>
      <c r="O45" s="24">
        <v>497</v>
      </c>
      <c r="P45" s="24">
        <v>17.25</v>
      </c>
      <c r="Q45" s="24">
        <v>16.75</v>
      </c>
      <c r="R45" s="22">
        <v>0.5</v>
      </c>
      <c r="S45" s="24">
        <v>1.75</v>
      </c>
      <c r="T45" s="24">
        <f t="shared" si="4"/>
        <v>19</v>
      </c>
      <c r="U45" s="376">
        <v>347.57</v>
      </c>
      <c r="V45" s="376">
        <v>0</v>
      </c>
      <c r="W45" s="22">
        <f t="shared" si="5"/>
        <v>179.51990499999999</v>
      </c>
      <c r="X45" s="22">
        <f t="shared" si="6"/>
        <v>110.75</v>
      </c>
      <c r="Y45" s="22">
        <v>77</v>
      </c>
      <c r="Z45" s="22">
        <v>33.75</v>
      </c>
      <c r="AA45" s="371">
        <v>685.95</v>
      </c>
      <c r="AB45" s="22">
        <v>0.16145491653910635</v>
      </c>
      <c r="AC45" s="24">
        <v>2.6454916539106338E-2</v>
      </c>
      <c r="AD45" s="384">
        <v>-171576.492091725</v>
      </c>
    </row>
    <row r="46" spans="1:30">
      <c r="A46" s="21" t="s">
        <v>13</v>
      </c>
      <c r="B46" s="21" t="s">
        <v>14</v>
      </c>
      <c r="C46" s="23">
        <v>725.11</v>
      </c>
      <c r="D46" s="147">
        <v>0</v>
      </c>
      <c r="E46" s="22">
        <v>154.96</v>
      </c>
      <c r="F46" s="22">
        <v>154.96</v>
      </c>
      <c r="G46" s="22">
        <v>0</v>
      </c>
      <c r="H46" s="22">
        <v>25.16</v>
      </c>
      <c r="I46" s="22">
        <v>2.37</v>
      </c>
      <c r="J46" s="22">
        <v>175.07999999999998</v>
      </c>
      <c r="K46" s="22">
        <v>3.8</v>
      </c>
      <c r="L46" s="22">
        <v>0</v>
      </c>
      <c r="M46" s="388">
        <v>2438.7799999999997</v>
      </c>
      <c r="N46" s="25">
        <v>0.57350000000000001</v>
      </c>
      <c r="O46" s="24">
        <v>0</v>
      </c>
      <c r="P46" s="24">
        <v>18.25</v>
      </c>
      <c r="Q46" s="24">
        <v>15.25</v>
      </c>
      <c r="R46" s="22">
        <v>3</v>
      </c>
      <c r="S46" s="24">
        <v>6</v>
      </c>
      <c r="T46" s="24">
        <f t="shared" si="4"/>
        <v>24.25</v>
      </c>
      <c r="U46" s="376">
        <v>1398.64</v>
      </c>
      <c r="V46" s="376">
        <v>121.94</v>
      </c>
      <c r="W46" s="22">
        <f t="shared" si="5"/>
        <v>802.12004000000002</v>
      </c>
      <c r="X46" s="22">
        <f t="shared" si="6"/>
        <v>385.75</v>
      </c>
      <c r="Y46" s="22">
        <v>264.75</v>
      </c>
      <c r="Z46" s="22">
        <v>121</v>
      </c>
      <c r="AA46" s="371">
        <v>2438.7800000000002</v>
      </c>
      <c r="AB46" s="22">
        <v>0.15817334896956672</v>
      </c>
      <c r="AC46" s="24">
        <v>2.3173348969566715E-2</v>
      </c>
      <c r="AD46" s="384">
        <v>-496817.75654332561</v>
      </c>
    </row>
    <row r="47" spans="1:30">
      <c r="A47" s="21" t="s">
        <v>249</v>
      </c>
      <c r="B47" s="21" t="s">
        <v>250</v>
      </c>
      <c r="C47" s="23">
        <v>267.52999999999997</v>
      </c>
      <c r="D47" s="147">
        <v>8.83</v>
      </c>
      <c r="E47" s="22">
        <v>61.15</v>
      </c>
      <c r="F47" s="22">
        <v>69.98</v>
      </c>
      <c r="G47" s="22">
        <v>0</v>
      </c>
      <c r="H47" s="22">
        <v>13.99</v>
      </c>
      <c r="I47" s="22">
        <v>0</v>
      </c>
      <c r="J47" s="22">
        <v>22.3</v>
      </c>
      <c r="K47" s="22">
        <v>0</v>
      </c>
      <c r="L47" s="22">
        <v>0</v>
      </c>
      <c r="M47" s="388">
        <v>884.75</v>
      </c>
      <c r="N47" s="25">
        <v>0.40670000000000001</v>
      </c>
      <c r="O47" s="24">
        <v>497</v>
      </c>
      <c r="P47" s="24">
        <v>13</v>
      </c>
      <c r="Q47" s="24">
        <v>7.25</v>
      </c>
      <c r="R47" s="22">
        <v>5.75</v>
      </c>
      <c r="S47" s="24">
        <v>1</v>
      </c>
      <c r="T47" s="24">
        <f t="shared" si="4"/>
        <v>14</v>
      </c>
      <c r="U47" s="376">
        <v>359.83</v>
      </c>
      <c r="V47" s="376">
        <v>44.24</v>
      </c>
      <c r="W47" s="22">
        <f t="shared" si="5"/>
        <v>146.342861</v>
      </c>
      <c r="X47" s="22">
        <f t="shared" si="6"/>
        <v>130.75</v>
      </c>
      <c r="Y47" s="22">
        <v>106</v>
      </c>
      <c r="Z47" s="22">
        <v>24.75</v>
      </c>
      <c r="AA47" s="371">
        <v>883.74</v>
      </c>
      <c r="AB47" s="22">
        <v>0.14795075474687125</v>
      </c>
      <c r="AC47" s="24">
        <v>1.295075474687124E-2</v>
      </c>
      <c r="AD47" s="384">
        <v>-100545.99826962117</v>
      </c>
    </row>
    <row r="48" spans="1:30">
      <c r="A48" s="21" t="s">
        <v>377</v>
      </c>
      <c r="B48" s="21" t="s">
        <v>378</v>
      </c>
      <c r="C48" s="23">
        <v>4258.93</v>
      </c>
      <c r="D48" s="147">
        <v>369.97</v>
      </c>
      <c r="E48" s="22">
        <v>571.04</v>
      </c>
      <c r="F48" s="22">
        <v>941.01</v>
      </c>
      <c r="G48" s="22">
        <v>0</v>
      </c>
      <c r="H48" s="22">
        <v>148.94999999999999</v>
      </c>
      <c r="I48" s="22">
        <v>8.98</v>
      </c>
      <c r="J48" s="22">
        <v>549.36</v>
      </c>
      <c r="K48" s="22">
        <v>193.6</v>
      </c>
      <c r="L48" s="22">
        <v>0</v>
      </c>
      <c r="M48" s="388">
        <v>12024.210000000001</v>
      </c>
      <c r="N48" s="25">
        <v>0.68879999999999997</v>
      </c>
      <c r="O48" s="24">
        <v>497</v>
      </c>
      <c r="P48" s="24">
        <v>1585.5</v>
      </c>
      <c r="Q48" s="24">
        <v>1102.75</v>
      </c>
      <c r="R48" s="22">
        <v>482.75</v>
      </c>
      <c r="S48" s="24">
        <v>416</v>
      </c>
      <c r="T48" s="24">
        <f t="shared" si="4"/>
        <v>2001.5</v>
      </c>
      <c r="U48" s="376">
        <v>8282.2800000000007</v>
      </c>
      <c r="V48" s="376">
        <v>601.21</v>
      </c>
      <c r="W48" s="22">
        <f t="shared" si="5"/>
        <v>5704.8344640000005</v>
      </c>
      <c r="X48" s="22">
        <f t="shared" si="6"/>
        <v>1759.25</v>
      </c>
      <c r="Y48" s="22">
        <v>888.75</v>
      </c>
      <c r="Z48" s="22">
        <v>870.5</v>
      </c>
      <c r="AA48" s="371">
        <v>12069.44</v>
      </c>
      <c r="AB48" s="22">
        <v>0.14576069809369779</v>
      </c>
      <c r="AC48" s="24">
        <v>1.0760698093697785E-2</v>
      </c>
      <c r="AD48" s="384">
        <v>-1204289.8922519998</v>
      </c>
    </row>
    <row r="49" spans="1:30">
      <c r="A49" s="21" t="s">
        <v>563</v>
      </c>
      <c r="B49" s="21" t="s">
        <v>564</v>
      </c>
      <c r="C49" s="23">
        <v>136</v>
      </c>
      <c r="D49" s="147">
        <v>6.88</v>
      </c>
      <c r="E49" s="22">
        <v>49.3</v>
      </c>
      <c r="F49" s="22">
        <v>56.18</v>
      </c>
      <c r="G49" s="22">
        <v>0</v>
      </c>
      <c r="H49" s="22">
        <v>2.02</v>
      </c>
      <c r="I49" s="22">
        <v>0.25</v>
      </c>
      <c r="J49" s="22">
        <v>0</v>
      </c>
      <c r="K49" s="22">
        <v>0</v>
      </c>
      <c r="L49" s="22">
        <v>0</v>
      </c>
      <c r="M49" s="388">
        <v>518.04999999999995</v>
      </c>
      <c r="N49" s="25">
        <v>0.32319999999999999</v>
      </c>
      <c r="O49" s="24">
        <v>497</v>
      </c>
      <c r="P49" s="24">
        <v>0</v>
      </c>
      <c r="Q49" s="24">
        <v>0</v>
      </c>
      <c r="R49" s="22">
        <v>0</v>
      </c>
      <c r="S49" s="24">
        <v>0</v>
      </c>
      <c r="T49" s="24">
        <f t="shared" si="4"/>
        <v>0</v>
      </c>
      <c r="U49" s="376">
        <v>167.43</v>
      </c>
      <c r="V49" s="376">
        <v>25.9</v>
      </c>
      <c r="W49" s="22">
        <f t="shared" si="5"/>
        <v>54.113376000000002</v>
      </c>
      <c r="X49" s="22">
        <f t="shared" si="6"/>
        <v>77.75</v>
      </c>
      <c r="Y49" s="22">
        <v>50</v>
      </c>
      <c r="Z49" s="22">
        <v>27.75</v>
      </c>
      <c r="AA49" s="371">
        <v>518.04999999999995</v>
      </c>
      <c r="AB49" s="22">
        <v>0.15008203841328058</v>
      </c>
      <c r="AC49" s="24">
        <v>1.5082038413280568E-2</v>
      </c>
      <c r="AD49" s="384">
        <v>-67808.193406779144</v>
      </c>
    </row>
    <row r="50" spans="1:30">
      <c r="A50" s="21" t="s">
        <v>529</v>
      </c>
      <c r="B50" s="21" t="s">
        <v>530</v>
      </c>
      <c r="C50" s="23">
        <v>428.33</v>
      </c>
      <c r="D50" s="147">
        <v>0</v>
      </c>
      <c r="E50" s="22">
        <v>131.59</v>
      </c>
      <c r="F50" s="22">
        <v>131.59</v>
      </c>
      <c r="G50" s="22">
        <v>0</v>
      </c>
      <c r="H50" s="22">
        <v>36.81</v>
      </c>
      <c r="I50" s="22">
        <v>3.89</v>
      </c>
      <c r="J50" s="22">
        <v>0</v>
      </c>
      <c r="K50" s="22">
        <v>8.33</v>
      </c>
      <c r="L50" s="22">
        <v>0.87</v>
      </c>
      <c r="M50" s="388">
        <v>1523.4399999999998</v>
      </c>
      <c r="N50" s="25">
        <v>0.56679999999999997</v>
      </c>
      <c r="O50" s="24">
        <v>497</v>
      </c>
      <c r="P50" s="24">
        <v>292.25</v>
      </c>
      <c r="Q50" s="24">
        <v>178.25</v>
      </c>
      <c r="R50" s="22">
        <v>114</v>
      </c>
      <c r="S50" s="24">
        <v>44.25</v>
      </c>
      <c r="T50" s="24">
        <f t="shared" si="4"/>
        <v>336.5</v>
      </c>
      <c r="U50" s="376">
        <v>863.49</v>
      </c>
      <c r="V50" s="376">
        <v>76.17</v>
      </c>
      <c r="W50" s="22">
        <f t="shared" si="5"/>
        <v>489.426132</v>
      </c>
      <c r="X50" s="22">
        <f t="shared" si="6"/>
        <v>210</v>
      </c>
      <c r="Y50" s="22">
        <v>103.5</v>
      </c>
      <c r="Z50" s="22">
        <v>106.5</v>
      </c>
      <c r="AA50" s="371">
        <v>1529.2</v>
      </c>
      <c r="AB50" s="22">
        <v>0.1373267067747842</v>
      </c>
      <c r="AC50" s="24">
        <v>2.326706774784193E-3</v>
      </c>
      <c r="AD50" s="384">
        <v>-30963.679062224437</v>
      </c>
    </row>
    <row r="51" spans="1:30">
      <c r="A51" s="21" t="s">
        <v>571</v>
      </c>
      <c r="B51" s="21" t="s">
        <v>572</v>
      </c>
      <c r="C51" s="23">
        <v>64.400000000000006</v>
      </c>
      <c r="D51" s="147">
        <v>0</v>
      </c>
      <c r="E51" s="22">
        <v>9.4600000000000009</v>
      </c>
      <c r="F51" s="22">
        <v>9.4600000000000009</v>
      </c>
      <c r="G51" s="22">
        <v>0</v>
      </c>
      <c r="H51" s="22">
        <v>1.23</v>
      </c>
      <c r="I51" s="22">
        <v>0</v>
      </c>
      <c r="J51" s="22">
        <v>0</v>
      </c>
      <c r="K51" s="22">
        <v>0</v>
      </c>
      <c r="L51" s="22">
        <v>0</v>
      </c>
      <c r="M51" s="388">
        <v>158.57000000000002</v>
      </c>
      <c r="N51" s="25">
        <v>0.31009999999999999</v>
      </c>
      <c r="O51" s="24">
        <v>497</v>
      </c>
      <c r="P51" s="24">
        <v>0</v>
      </c>
      <c r="Q51" s="24">
        <v>0</v>
      </c>
      <c r="R51" s="22">
        <v>0</v>
      </c>
      <c r="S51" s="24">
        <v>0</v>
      </c>
      <c r="T51" s="24">
        <f t="shared" si="4"/>
        <v>0</v>
      </c>
      <c r="U51" s="376">
        <v>49.17</v>
      </c>
      <c r="V51" s="376">
        <v>0</v>
      </c>
      <c r="W51" s="22">
        <f t="shared" si="5"/>
        <v>15.247617</v>
      </c>
      <c r="X51" s="22">
        <f t="shared" si="6"/>
        <v>29.25</v>
      </c>
      <c r="Y51" s="22">
        <v>27.75</v>
      </c>
      <c r="Z51" s="22">
        <v>1.5</v>
      </c>
      <c r="AA51" s="371">
        <v>158.57</v>
      </c>
      <c r="AB51" s="22">
        <v>0.18446112127136283</v>
      </c>
      <c r="AC51" s="24">
        <v>4.9461121271362818E-2</v>
      </c>
      <c r="AD51" s="384">
        <v>-72529.693548178417</v>
      </c>
    </row>
    <row r="52" spans="1:30">
      <c r="A52" s="21" t="s">
        <v>499</v>
      </c>
      <c r="B52" s="21" t="s">
        <v>500</v>
      </c>
      <c r="C52" s="23">
        <v>28</v>
      </c>
      <c r="D52" s="147">
        <v>0</v>
      </c>
      <c r="E52" s="22">
        <v>7.42</v>
      </c>
      <c r="F52" s="22">
        <v>7.42</v>
      </c>
      <c r="G52" s="22">
        <v>0</v>
      </c>
      <c r="H52" s="22">
        <v>0.5</v>
      </c>
      <c r="I52" s="22">
        <v>0</v>
      </c>
      <c r="J52" s="22">
        <v>0</v>
      </c>
      <c r="K52" s="22">
        <v>0</v>
      </c>
      <c r="L52" s="22">
        <v>0</v>
      </c>
      <c r="M52" s="388">
        <v>104.46000000000001</v>
      </c>
      <c r="N52" s="25">
        <v>0.8</v>
      </c>
      <c r="O52" s="24">
        <v>497</v>
      </c>
      <c r="P52" s="24">
        <v>0</v>
      </c>
      <c r="Q52" s="24">
        <v>0</v>
      </c>
      <c r="R52" s="22">
        <v>0</v>
      </c>
      <c r="S52" s="24">
        <v>0</v>
      </c>
      <c r="T52" s="24">
        <f t="shared" si="4"/>
        <v>0</v>
      </c>
      <c r="U52" s="376">
        <v>83.57</v>
      </c>
      <c r="V52" s="376">
        <v>5.22</v>
      </c>
      <c r="W52" s="22">
        <f t="shared" si="5"/>
        <v>66.855999999999995</v>
      </c>
      <c r="X52" s="22">
        <f t="shared" si="6"/>
        <v>16.5</v>
      </c>
      <c r="Y52" s="22">
        <v>16</v>
      </c>
      <c r="Z52" s="22">
        <v>0.5</v>
      </c>
      <c r="AA52" s="371">
        <v>104.46</v>
      </c>
      <c r="AB52" s="22">
        <v>0.1579551981619759</v>
      </c>
      <c r="AC52" s="24">
        <v>2.2955198161975887E-2</v>
      </c>
      <c r="AD52" s="384">
        <v>-20986.321473656772</v>
      </c>
    </row>
    <row r="53" spans="1:30">
      <c r="A53" s="21" t="s">
        <v>533</v>
      </c>
      <c r="B53" s="21" t="s">
        <v>534</v>
      </c>
      <c r="C53" s="23">
        <v>209.2</v>
      </c>
      <c r="D53" s="147">
        <v>0</v>
      </c>
      <c r="E53" s="22">
        <v>54.43</v>
      </c>
      <c r="F53" s="22">
        <v>54.43</v>
      </c>
      <c r="G53" s="22">
        <v>0</v>
      </c>
      <c r="H53" s="22">
        <v>14.08</v>
      </c>
      <c r="I53" s="22">
        <v>0.5</v>
      </c>
      <c r="J53" s="22">
        <v>0</v>
      </c>
      <c r="K53" s="22">
        <v>2.8</v>
      </c>
      <c r="L53" s="22">
        <v>0</v>
      </c>
      <c r="M53" s="388">
        <v>708.86</v>
      </c>
      <c r="N53" s="25">
        <v>0.55069999999999997</v>
      </c>
      <c r="O53" s="24">
        <v>497</v>
      </c>
      <c r="P53" s="24">
        <v>132.5</v>
      </c>
      <c r="Q53" s="24">
        <v>80.75</v>
      </c>
      <c r="R53" s="22">
        <v>51.75</v>
      </c>
      <c r="S53" s="24">
        <v>22</v>
      </c>
      <c r="T53" s="24">
        <f t="shared" si="4"/>
        <v>154.5</v>
      </c>
      <c r="U53" s="376">
        <v>390.37</v>
      </c>
      <c r="V53" s="376">
        <v>35.44</v>
      </c>
      <c r="W53" s="22">
        <f t="shared" si="5"/>
        <v>214.97675899999999</v>
      </c>
      <c r="X53" s="22">
        <f t="shared" si="6"/>
        <v>96.25</v>
      </c>
      <c r="Y53" s="22">
        <v>71.75</v>
      </c>
      <c r="Z53" s="22">
        <v>24.5</v>
      </c>
      <c r="AA53" s="371">
        <v>714.02</v>
      </c>
      <c r="AB53" s="22">
        <v>0.13480014565418336</v>
      </c>
      <c r="AC53" s="24">
        <v>0</v>
      </c>
      <c r="AD53" s="384">
        <v>0</v>
      </c>
    </row>
    <row r="54" spans="1:30">
      <c r="A54" s="21" t="s">
        <v>491</v>
      </c>
      <c r="B54" s="21" t="s">
        <v>492</v>
      </c>
      <c r="C54" s="23">
        <v>428.1</v>
      </c>
      <c r="D54" s="147">
        <v>14.62</v>
      </c>
      <c r="E54" s="22">
        <v>113.13</v>
      </c>
      <c r="F54" s="22">
        <v>127.75</v>
      </c>
      <c r="G54" s="22">
        <v>14.15</v>
      </c>
      <c r="H54" s="22">
        <v>21.99</v>
      </c>
      <c r="I54" s="22">
        <v>1.56</v>
      </c>
      <c r="J54" s="22">
        <v>65.830000000000013</v>
      </c>
      <c r="K54" s="22">
        <v>8.6</v>
      </c>
      <c r="L54" s="22">
        <v>0</v>
      </c>
      <c r="M54" s="388">
        <v>1634.53</v>
      </c>
      <c r="N54" s="25">
        <v>0.51900000000000002</v>
      </c>
      <c r="O54" s="24">
        <v>497</v>
      </c>
      <c r="P54" s="24">
        <v>16.5</v>
      </c>
      <c r="Q54" s="24">
        <v>14.5</v>
      </c>
      <c r="R54" s="22">
        <v>2</v>
      </c>
      <c r="S54" s="24">
        <v>1.75</v>
      </c>
      <c r="T54" s="24">
        <f t="shared" si="4"/>
        <v>18.25</v>
      </c>
      <c r="U54" s="376">
        <v>848.32</v>
      </c>
      <c r="V54" s="376">
        <v>81.73</v>
      </c>
      <c r="W54" s="22">
        <f t="shared" si="5"/>
        <v>440.27808000000005</v>
      </c>
      <c r="X54" s="22">
        <f t="shared" si="6"/>
        <v>238.5</v>
      </c>
      <c r="Y54" s="22">
        <v>153.5</v>
      </c>
      <c r="Z54" s="22">
        <v>85</v>
      </c>
      <c r="AA54" s="371">
        <v>1634.52</v>
      </c>
      <c r="AB54" s="22">
        <v>0.14591439688715954</v>
      </c>
      <c r="AC54" s="24">
        <v>1.0914396887159533E-2</v>
      </c>
      <c r="AD54" s="384">
        <v>-158414.54486364062</v>
      </c>
    </row>
    <row r="55" spans="1:30">
      <c r="A55" s="21" t="s">
        <v>401</v>
      </c>
      <c r="B55" s="21" t="s">
        <v>402</v>
      </c>
      <c r="C55" s="23">
        <v>169.21</v>
      </c>
      <c r="D55" s="147">
        <v>6.05</v>
      </c>
      <c r="E55" s="22">
        <v>44.06</v>
      </c>
      <c r="F55" s="22">
        <v>50.11</v>
      </c>
      <c r="G55" s="22">
        <v>0</v>
      </c>
      <c r="H55" s="22">
        <v>1.02</v>
      </c>
      <c r="I55" s="22">
        <v>1.98</v>
      </c>
      <c r="J55" s="22">
        <v>4.05</v>
      </c>
      <c r="K55" s="22">
        <v>0</v>
      </c>
      <c r="L55" s="22">
        <v>0</v>
      </c>
      <c r="M55" s="388">
        <v>487.69000000000005</v>
      </c>
      <c r="N55" s="25">
        <v>0.70440000000000003</v>
      </c>
      <c r="O55" s="24">
        <v>497</v>
      </c>
      <c r="P55" s="24">
        <v>0</v>
      </c>
      <c r="Q55" s="24">
        <v>0</v>
      </c>
      <c r="R55" s="22">
        <v>0</v>
      </c>
      <c r="S55" s="24">
        <v>0</v>
      </c>
      <c r="T55" s="24">
        <f t="shared" si="4"/>
        <v>0</v>
      </c>
      <c r="U55" s="376">
        <v>343.53</v>
      </c>
      <c r="V55" s="376">
        <v>24.38</v>
      </c>
      <c r="W55" s="22">
        <f t="shared" si="5"/>
        <v>241.98253199999999</v>
      </c>
      <c r="X55" s="22">
        <f t="shared" si="6"/>
        <v>85</v>
      </c>
      <c r="Y55" s="22">
        <v>53.5</v>
      </c>
      <c r="Z55" s="22">
        <v>31.5</v>
      </c>
      <c r="AA55" s="371">
        <v>497.53</v>
      </c>
      <c r="AB55" s="22">
        <v>0.17084396920788697</v>
      </c>
      <c r="AC55" s="24">
        <v>3.5843969207886961E-2</v>
      </c>
      <c r="AD55" s="384">
        <v>-171886.74819231473</v>
      </c>
    </row>
    <row r="56" spans="1:30">
      <c r="A56" s="21" t="s">
        <v>411</v>
      </c>
      <c r="B56" s="21" t="s">
        <v>412</v>
      </c>
      <c r="C56" s="23">
        <v>205.8</v>
      </c>
      <c r="D56" s="147">
        <v>0</v>
      </c>
      <c r="E56" s="22">
        <v>0</v>
      </c>
      <c r="F56" s="22">
        <v>0</v>
      </c>
      <c r="G56" s="22">
        <v>0</v>
      </c>
      <c r="H56" s="22">
        <v>0</v>
      </c>
      <c r="I56" s="22">
        <v>0</v>
      </c>
      <c r="J56" s="22">
        <v>0</v>
      </c>
      <c r="K56" s="22">
        <v>0</v>
      </c>
      <c r="L56" s="22">
        <v>0</v>
      </c>
      <c r="M56" s="388">
        <v>450.66999999999996</v>
      </c>
      <c r="N56" s="25">
        <v>0.19209999999999999</v>
      </c>
      <c r="O56" s="24">
        <v>497</v>
      </c>
      <c r="P56" s="24">
        <v>31.75</v>
      </c>
      <c r="Q56" s="24">
        <v>24.75</v>
      </c>
      <c r="R56" s="22">
        <v>7</v>
      </c>
      <c r="S56" s="24">
        <v>0</v>
      </c>
      <c r="T56" s="24">
        <f t="shared" si="4"/>
        <v>31.75</v>
      </c>
      <c r="U56" s="376">
        <v>86.57</v>
      </c>
      <c r="V56" s="376">
        <v>22.53</v>
      </c>
      <c r="W56" s="22">
        <f t="shared" si="5"/>
        <v>16.630096999999999</v>
      </c>
      <c r="X56" s="22">
        <f t="shared" si="6"/>
        <v>43.25</v>
      </c>
      <c r="Y56" s="22">
        <v>36.25</v>
      </c>
      <c r="Z56" s="22">
        <v>7</v>
      </c>
      <c r="AA56" s="371">
        <v>451.67</v>
      </c>
      <c r="AB56" s="22">
        <v>9.5755750880067297E-2</v>
      </c>
      <c r="AC56" s="24">
        <v>0</v>
      </c>
      <c r="AD56" s="384">
        <v>0</v>
      </c>
    </row>
    <row r="57" spans="1:30">
      <c r="A57" s="21" t="s">
        <v>157</v>
      </c>
      <c r="B57" s="21" t="s">
        <v>158</v>
      </c>
      <c r="C57" s="23">
        <v>104.4</v>
      </c>
      <c r="D57" s="147">
        <v>0</v>
      </c>
      <c r="E57" s="22">
        <v>0</v>
      </c>
      <c r="F57" s="22">
        <v>0</v>
      </c>
      <c r="G57" s="22">
        <v>0</v>
      </c>
      <c r="H57" s="22">
        <v>0</v>
      </c>
      <c r="I57" s="22">
        <v>0</v>
      </c>
      <c r="J57" s="22">
        <v>0</v>
      </c>
      <c r="K57" s="22">
        <v>0</v>
      </c>
      <c r="L57" s="22">
        <v>0</v>
      </c>
      <c r="M57" s="388">
        <v>163.80000000000001</v>
      </c>
      <c r="N57" s="25">
        <v>0.50329999999999997</v>
      </c>
      <c r="O57" s="24">
        <v>576</v>
      </c>
      <c r="P57" s="24">
        <v>2</v>
      </c>
      <c r="Q57" s="24">
        <v>2</v>
      </c>
      <c r="R57" s="22">
        <v>0</v>
      </c>
      <c r="S57" s="24">
        <v>1</v>
      </c>
      <c r="T57" s="24">
        <f t="shared" si="4"/>
        <v>3</v>
      </c>
      <c r="U57" s="376">
        <v>82.44</v>
      </c>
      <c r="V57" s="376">
        <v>8.19</v>
      </c>
      <c r="W57" s="22">
        <f t="shared" si="5"/>
        <v>41.492051999999994</v>
      </c>
      <c r="X57" s="22">
        <f t="shared" si="6"/>
        <v>23</v>
      </c>
      <c r="Y57" s="22">
        <v>15</v>
      </c>
      <c r="Z57" s="22">
        <v>8</v>
      </c>
      <c r="AA57" s="371">
        <v>163.80000000000001</v>
      </c>
      <c r="AB57" s="22">
        <v>0.14041514041514042</v>
      </c>
      <c r="AC57" s="24">
        <v>5.415140415140407E-3</v>
      </c>
      <c r="AD57" s="384">
        <v>-8444.9635838013292</v>
      </c>
    </row>
    <row r="58" spans="1:30">
      <c r="A58" s="21" t="s">
        <v>127</v>
      </c>
      <c r="B58" s="21" t="s">
        <v>128</v>
      </c>
      <c r="C58" s="23">
        <v>55.4</v>
      </c>
      <c r="D58" s="147">
        <v>0</v>
      </c>
      <c r="E58" s="22">
        <v>17.09</v>
      </c>
      <c r="F58" s="22">
        <v>17.09</v>
      </c>
      <c r="G58" s="22">
        <v>0</v>
      </c>
      <c r="H58" s="22">
        <v>3.97</v>
      </c>
      <c r="I58" s="22">
        <v>0.03</v>
      </c>
      <c r="J58" s="22">
        <v>0</v>
      </c>
      <c r="K58" s="22">
        <v>0</v>
      </c>
      <c r="L58" s="22">
        <v>0</v>
      </c>
      <c r="M58" s="388">
        <v>217.93</v>
      </c>
      <c r="N58" s="25">
        <v>0.4098</v>
      </c>
      <c r="O58" s="24">
        <v>576</v>
      </c>
      <c r="P58" s="24">
        <v>0</v>
      </c>
      <c r="Q58" s="24">
        <v>0</v>
      </c>
      <c r="R58" s="22">
        <v>0</v>
      </c>
      <c r="S58" s="24">
        <v>0</v>
      </c>
      <c r="T58" s="24">
        <f t="shared" si="4"/>
        <v>0</v>
      </c>
      <c r="U58" s="376">
        <v>89.31</v>
      </c>
      <c r="V58" s="376">
        <v>10.9</v>
      </c>
      <c r="W58" s="22">
        <f t="shared" si="5"/>
        <v>36.599238</v>
      </c>
      <c r="X58" s="22">
        <f t="shared" si="6"/>
        <v>21.25</v>
      </c>
      <c r="Y58" s="22">
        <v>9.75</v>
      </c>
      <c r="Z58" s="22">
        <v>11.5</v>
      </c>
      <c r="AA58" s="371">
        <v>217.93</v>
      </c>
      <c r="AB58" s="22">
        <v>9.7508374248611931E-2</v>
      </c>
      <c r="AC58" s="24">
        <v>0</v>
      </c>
      <c r="AD58" s="384">
        <v>0</v>
      </c>
    </row>
    <row r="59" spans="1:30">
      <c r="A59" s="21" t="s">
        <v>169</v>
      </c>
      <c r="B59" s="21" t="s">
        <v>170</v>
      </c>
      <c r="C59" s="23">
        <v>281.39999999999998</v>
      </c>
      <c r="D59" s="147">
        <v>0.81</v>
      </c>
      <c r="E59" s="22">
        <v>14.28</v>
      </c>
      <c r="F59" s="22">
        <v>15.09</v>
      </c>
      <c r="G59" s="22">
        <v>0</v>
      </c>
      <c r="H59" s="22">
        <v>36.74</v>
      </c>
      <c r="I59" s="22">
        <v>1.1200000000000001</v>
      </c>
      <c r="J59" s="22">
        <v>0</v>
      </c>
      <c r="K59" s="22">
        <v>51.8</v>
      </c>
      <c r="L59" s="22">
        <v>0</v>
      </c>
      <c r="M59" s="388">
        <v>965.86</v>
      </c>
      <c r="N59" s="25">
        <v>0.3422</v>
      </c>
      <c r="O59" s="24">
        <v>576</v>
      </c>
      <c r="P59" s="24">
        <v>27.75</v>
      </c>
      <c r="Q59" s="24">
        <v>16.75</v>
      </c>
      <c r="R59" s="22">
        <v>11</v>
      </c>
      <c r="S59" s="24">
        <v>3.75</v>
      </c>
      <c r="T59" s="24">
        <f t="shared" si="4"/>
        <v>31.5</v>
      </c>
      <c r="U59" s="376">
        <v>330.52</v>
      </c>
      <c r="V59" s="376">
        <v>48.29</v>
      </c>
      <c r="W59" s="22">
        <f t="shared" si="5"/>
        <v>113.103944</v>
      </c>
      <c r="X59" s="22">
        <f t="shared" si="6"/>
        <v>144</v>
      </c>
      <c r="Y59" s="22">
        <v>99.25</v>
      </c>
      <c r="Z59" s="22">
        <v>44.75</v>
      </c>
      <c r="AA59" s="371">
        <v>967.86</v>
      </c>
      <c r="AB59" s="22">
        <v>0.14878184861446903</v>
      </c>
      <c r="AC59" s="24">
        <v>1.3781848614469017E-2</v>
      </c>
      <c r="AD59" s="384">
        <v>-129636.01278894188</v>
      </c>
    </row>
    <row r="60" spans="1:30">
      <c r="A60" s="21" t="s">
        <v>45</v>
      </c>
      <c r="B60" s="21" t="s">
        <v>46</v>
      </c>
      <c r="C60" s="23">
        <v>56.6</v>
      </c>
      <c r="D60" s="147">
        <v>0</v>
      </c>
      <c r="E60" s="22">
        <v>3.8</v>
      </c>
      <c r="F60" s="22">
        <v>3.8</v>
      </c>
      <c r="G60" s="22">
        <v>0</v>
      </c>
      <c r="H60" s="22">
        <v>4.4000000000000004</v>
      </c>
      <c r="I60" s="22">
        <v>0</v>
      </c>
      <c r="J60" s="22">
        <v>88.58</v>
      </c>
      <c r="K60" s="22">
        <v>0</v>
      </c>
      <c r="L60" s="22">
        <v>0</v>
      </c>
      <c r="M60" s="388">
        <v>307.8</v>
      </c>
      <c r="N60" s="25">
        <v>0.59550000000000003</v>
      </c>
      <c r="O60" s="24">
        <v>0</v>
      </c>
      <c r="P60" s="24">
        <v>0</v>
      </c>
      <c r="Q60" s="24">
        <v>0</v>
      </c>
      <c r="R60" s="22">
        <v>0</v>
      </c>
      <c r="S60" s="24">
        <v>0</v>
      </c>
      <c r="T60" s="24">
        <f t="shared" si="4"/>
        <v>0</v>
      </c>
      <c r="U60" s="376">
        <v>183.29</v>
      </c>
      <c r="V60" s="376">
        <v>15.39</v>
      </c>
      <c r="W60" s="22">
        <f t="shared" si="5"/>
        <v>109.14919500000001</v>
      </c>
      <c r="X60" s="22">
        <f t="shared" si="6"/>
        <v>31.25</v>
      </c>
      <c r="Y60" s="22">
        <v>23.75</v>
      </c>
      <c r="Z60" s="22">
        <v>7.5</v>
      </c>
      <c r="AA60" s="371">
        <v>307.8</v>
      </c>
      <c r="AB60" s="22">
        <v>0.10152696556205328</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86.8</v>
      </c>
      <c r="N61" s="25">
        <v>0.4884</v>
      </c>
      <c r="O61" s="24">
        <v>497</v>
      </c>
      <c r="P61" s="24">
        <v>0</v>
      </c>
      <c r="Q61" s="24">
        <v>0</v>
      </c>
      <c r="R61" s="22">
        <v>0</v>
      </c>
      <c r="S61" s="24">
        <v>0</v>
      </c>
      <c r="T61" s="24">
        <f t="shared" si="4"/>
        <v>0</v>
      </c>
      <c r="U61" s="376">
        <v>42.39</v>
      </c>
      <c r="V61" s="376">
        <v>4.34</v>
      </c>
      <c r="W61" s="22">
        <f t="shared" si="5"/>
        <v>20.703275999999999</v>
      </c>
      <c r="X61" s="22">
        <f t="shared" si="6"/>
        <v>22</v>
      </c>
      <c r="Y61" s="22">
        <v>17.5</v>
      </c>
      <c r="Z61" s="22">
        <v>4.5</v>
      </c>
      <c r="AA61" s="371">
        <v>86.8</v>
      </c>
      <c r="AB61" s="22">
        <v>0.25345622119815669</v>
      </c>
      <c r="AC61" s="24">
        <v>0.11845622119815669</v>
      </c>
      <c r="AD61" s="384">
        <v>-90198.354959279517</v>
      </c>
    </row>
    <row r="62" spans="1:30">
      <c r="A62" s="21" t="s">
        <v>103</v>
      </c>
      <c r="B62" s="21" t="s">
        <v>104</v>
      </c>
      <c r="C62" s="23">
        <v>46</v>
      </c>
      <c r="D62" s="147">
        <v>0</v>
      </c>
      <c r="E62" s="22">
        <v>8.14</v>
      </c>
      <c r="F62" s="22">
        <v>8.14</v>
      </c>
      <c r="G62" s="22">
        <v>0</v>
      </c>
      <c r="H62" s="22">
        <v>0</v>
      </c>
      <c r="I62" s="22">
        <v>0</v>
      </c>
      <c r="J62" s="22">
        <v>34.090000000000003</v>
      </c>
      <c r="K62" s="22">
        <v>26</v>
      </c>
      <c r="L62" s="22">
        <v>0</v>
      </c>
      <c r="M62" s="388">
        <v>242.10999999999999</v>
      </c>
      <c r="N62" s="25">
        <v>0.53210000000000002</v>
      </c>
      <c r="O62" s="24">
        <v>576</v>
      </c>
      <c r="P62" s="24">
        <v>0</v>
      </c>
      <c r="Q62" s="24">
        <v>0</v>
      </c>
      <c r="R62" s="22">
        <v>0</v>
      </c>
      <c r="S62" s="24">
        <v>0</v>
      </c>
      <c r="T62" s="24">
        <f t="shared" si="4"/>
        <v>0</v>
      </c>
      <c r="U62" s="376">
        <v>128.83000000000001</v>
      </c>
      <c r="V62" s="376">
        <v>0</v>
      </c>
      <c r="W62" s="22">
        <f t="shared" si="5"/>
        <v>68.550443000000016</v>
      </c>
      <c r="X62" s="22">
        <f t="shared" si="6"/>
        <v>26</v>
      </c>
      <c r="Y62" s="22">
        <v>23</v>
      </c>
      <c r="Z62" s="22">
        <v>3</v>
      </c>
      <c r="AA62" s="371">
        <v>242.11</v>
      </c>
      <c r="AB62" s="22">
        <v>0.10738920325471893</v>
      </c>
      <c r="AC62" s="24">
        <v>0</v>
      </c>
      <c r="AD62" s="384">
        <v>0</v>
      </c>
    </row>
    <row r="63" spans="1:30">
      <c r="A63" s="21" t="s">
        <v>357</v>
      </c>
      <c r="B63" s="21" t="s">
        <v>358</v>
      </c>
      <c r="C63" s="23">
        <v>61.9</v>
      </c>
      <c r="D63" s="147">
        <v>0</v>
      </c>
      <c r="E63" s="22">
        <v>12.18</v>
      </c>
      <c r="F63" s="22">
        <v>12.18</v>
      </c>
      <c r="G63" s="22">
        <v>0</v>
      </c>
      <c r="H63" s="22">
        <v>0</v>
      </c>
      <c r="I63" s="22">
        <v>0</v>
      </c>
      <c r="J63" s="22">
        <v>104.00999999999999</v>
      </c>
      <c r="K63" s="22">
        <v>0</v>
      </c>
      <c r="L63" s="22">
        <v>0</v>
      </c>
      <c r="M63" s="388">
        <v>321.44</v>
      </c>
      <c r="N63" s="25">
        <v>0.69210000000000005</v>
      </c>
      <c r="O63" s="24">
        <v>497</v>
      </c>
      <c r="P63" s="24">
        <v>0</v>
      </c>
      <c r="Q63" s="24">
        <v>0</v>
      </c>
      <c r="R63" s="22">
        <v>0</v>
      </c>
      <c r="S63" s="24">
        <v>0</v>
      </c>
      <c r="T63" s="24">
        <f t="shared" si="4"/>
        <v>0</v>
      </c>
      <c r="U63" s="376">
        <v>222.47</v>
      </c>
      <c r="V63" s="376">
        <v>16.07</v>
      </c>
      <c r="W63" s="22">
        <f t="shared" si="5"/>
        <v>153.971487</v>
      </c>
      <c r="X63" s="22">
        <f t="shared" si="6"/>
        <v>46.25</v>
      </c>
      <c r="Y63" s="22">
        <v>36</v>
      </c>
      <c r="Z63" s="22">
        <v>10.25</v>
      </c>
      <c r="AA63" s="371">
        <v>321.44</v>
      </c>
      <c r="AB63" s="22">
        <v>0.14388377302140368</v>
      </c>
      <c r="AC63" s="24">
        <v>8.8837730214036681E-3</v>
      </c>
      <c r="AD63" s="384">
        <v>-24597.664327940776</v>
      </c>
    </row>
    <row r="64" spans="1:30">
      <c r="A64" s="21" t="s">
        <v>239</v>
      </c>
      <c r="B64" s="21" t="s">
        <v>240</v>
      </c>
      <c r="C64" s="23">
        <v>25.6</v>
      </c>
      <c r="D64" s="147">
        <v>0</v>
      </c>
      <c r="E64" s="22">
        <v>0</v>
      </c>
      <c r="F64" s="22">
        <v>0</v>
      </c>
      <c r="G64" s="22">
        <v>0</v>
      </c>
      <c r="H64" s="22">
        <v>0</v>
      </c>
      <c r="I64" s="22">
        <v>0</v>
      </c>
      <c r="J64" s="22">
        <v>0</v>
      </c>
      <c r="K64" s="22">
        <v>0</v>
      </c>
      <c r="L64" s="22">
        <v>0</v>
      </c>
      <c r="M64" s="388">
        <v>41.400000000000006</v>
      </c>
      <c r="N64" s="25">
        <v>0</v>
      </c>
      <c r="O64" s="24">
        <v>497</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150.11000000000001</v>
      </c>
      <c r="D65" s="147">
        <v>0</v>
      </c>
      <c r="E65" s="22">
        <v>24.27</v>
      </c>
      <c r="F65" s="22">
        <v>24.27</v>
      </c>
      <c r="G65" s="22">
        <v>0</v>
      </c>
      <c r="H65" s="22">
        <v>1.5</v>
      </c>
      <c r="I65" s="22">
        <v>0</v>
      </c>
      <c r="J65" s="22">
        <v>4.88</v>
      </c>
      <c r="K65" s="22">
        <v>0</v>
      </c>
      <c r="L65" s="22">
        <v>0</v>
      </c>
      <c r="M65" s="388">
        <v>403.39</v>
      </c>
      <c r="N65" s="25">
        <v>0.47520000000000001</v>
      </c>
      <c r="O65" s="24">
        <v>497</v>
      </c>
      <c r="P65" s="24">
        <v>5</v>
      </c>
      <c r="Q65" s="24">
        <v>4</v>
      </c>
      <c r="R65" s="22">
        <v>1</v>
      </c>
      <c r="S65" s="24">
        <v>0</v>
      </c>
      <c r="T65" s="24">
        <f t="shared" si="4"/>
        <v>5</v>
      </c>
      <c r="U65" s="376">
        <v>191.69</v>
      </c>
      <c r="V65" s="376">
        <v>20.170000000000002</v>
      </c>
      <c r="W65" s="22">
        <f t="shared" si="5"/>
        <v>91.091087999999999</v>
      </c>
      <c r="X65" s="22">
        <f t="shared" si="6"/>
        <v>73.25</v>
      </c>
      <c r="Y65" s="22">
        <v>66.75</v>
      </c>
      <c r="Z65" s="22">
        <v>6.5</v>
      </c>
      <c r="AA65" s="371">
        <v>407.35</v>
      </c>
      <c r="AB65" s="22">
        <v>0.17982079292991285</v>
      </c>
      <c r="AC65" s="24">
        <v>4.4820792929912839E-2</v>
      </c>
      <c r="AD65" s="384">
        <v>-178252.52447629019</v>
      </c>
    </row>
    <row r="66" spans="1:30">
      <c r="A66" s="21" t="s">
        <v>311</v>
      </c>
      <c r="B66" s="21" t="s">
        <v>312</v>
      </c>
      <c r="C66" s="23">
        <v>188.8</v>
      </c>
      <c r="D66" s="147">
        <v>23.83</v>
      </c>
      <c r="E66" s="22">
        <v>61.61</v>
      </c>
      <c r="F66" s="22">
        <v>85.44</v>
      </c>
      <c r="G66" s="22">
        <v>1.73</v>
      </c>
      <c r="H66" s="22">
        <v>6.76</v>
      </c>
      <c r="I66" s="22">
        <v>0.5</v>
      </c>
      <c r="J66" s="22">
        <v>14.760000000000002</v>
      </c>
      <c r="K66" s="22">
        <v>0</v>
      </c>
      <c r="L66" s="22">
        <v>0</v>
      </c>
      <c r="M66" s="388">
        <v>570.99</v>
      </c>
      <c r="N66" s="25">
        <v>0.55049999999999999</v>
      </c>
      <c r="O66" s="24">
        <v>497</v>
      </c>
      <c r="P66" s="24">
        <v>0</v>
      </c>
      <c r="Q66" s="24">
        <v>0</v>
      </c>
      <c r="R66" s="22">
        <v>0</v>
      </c>
      <c r="S66" s="24">
        <v>0</v>
      </c>
      <c r="T66" s="24">
        <f t="shared" si="4"/>
        <v>0</v>
      </c>
      <c r="U66" s="376">
        <v>314.33</v>
      </c>
      <c r="V66" s="376">
        <v>0</v>
      </c>
      <c r="W66" s="22">
        <f t="shared" si="5"/>
        <v>173.03866499999998</v>
      </c>
      <c r="X66" s="22">
        <f t="shared" si="6"/>
        <v>71.5</v>
      </c>
      <c r="Y66" s="22">
        <v>51.5</v>
      </c>
      <c r="Z66" s="22">
        <v>20</v>
      </c>
      <c r="AA66" s="371">
        <v>570.98</v>
      </c>
      <c r="AB66" s="22">
        <v>0.12522330029072823</v>
      </c>
      <c r="AC66" s="24">
        <v>0</v>
      </c>
      <c r="AD66" s="384">
        <v>0</v>
      </c>
    </row>
    <row r="67" spans="1:30">
      <c r="A67" s="21" t="s">
        <v>73</v>
      </c>
      <c r="B67" s="21" t="s">
        <v>74</v>
      </c>
      <c r="C67" s="23">
        <v>120.8</v>
      </c>
      <c r="D67" s="147">
        <v>13.22</v>
      </c>
      <c r="E67" s="22">
        <v>32.86</v>
      </c>
      <c r="F67" s="22">
        <v>46.08</v>
      </c>
      <c r="G67" s="22">
        <v>0</v>
      </c>
      <c r="H67" s="22">
        <v>5.62</v>
      </c>
      <c r="I67" s="22">
        <v>0.43</v>
      </c>
      <c r="J67" s="22">
        <v>0</v>
      </c>
      <c r="K67" s="22">
        <v>1.93</v>
      </c>
      <c r="L67" s="22">
        <v>7.0000000000000007E-2</v>
      </c>
      <c r="M67" s="388">
        <v>356.25</v>
      </c>
      <c r="N67" s="25">
        <v>0.53320000000000001</v>
      </c>
      <c r="O67" s="24">
        <v>0</v>
      </c>
      <c r="P67" s="24">
        <v>1.75</v>
      </c>
      <c r="Q67" s="24">
        <v>1.75</v>
      </c>
      <c r="R67" s="22">
        <v>0</v>
      </c>
      <c r="S67" s="24">
        <v>1</v>
      </c>
      <c r="T67" s="24">
        <f t="shared" si="4"/>
        <v>2.75</v>
      </c>
      <c r="U67" s="376">
        <v>189.95</v>
      </c>
      <c r="V67" s="376">
        <v>17.809999999999999</v>
      </c>
      <c r="W67" s="22">
        <f t="shared" si="5"/>
        <v>101.28134</v>
      </c>
      <c r="X67" s="22">
        <f t="shared" si="6"/>
        <v>47.5</v>
      </c>
      <c r="Y67" s="22">
        <v>35.5</v>
      </c>
      <c r="Z67" s="22">
        <v>12</v>
      </c>
      <c r="AA67" s="371">
        <v>356.89</v>
      </c>
      <c r="AB67" s="22">
        <v>0.13309423071534646</v>
      </c>
      <c r="AC67" s="24">
        <v>0</v>
      </c>
      <c r="AD67" s="384">
        <v>0</v>
      </c>
    </row>
    <row r="68" spans="1:30">
      <c r="A68" s="21" t="s">
        <v>475</v>
      </c>
      <c r="B68" s="21" t="s">
        <v>476</v>
      </c>
      <c r="C68" s="23">
        <v>566.64</v>
      </c>
      <c r="D68" s="147">
        <v>0</v>
      </c>
      <c r="E68" s="22">
        <v>111.04</v>
      </c>
      <c r="F68" s="22">
        <v>111.04</v>
      </c>
      <c r="G68" s="22">
        <v>0</v>
      </c>
      <c r="H68" s="22">
        <v>77.94</v>
      </c>
      <c r="I68" s="22">
        <v>6.53</v>
      </c>
      <c r="J68" s="22">
        <v>561.75</v>
      </c>
      <c r="K68" s="22">
        <v>4.5999999999999996</v>
      </c>
      <c r="L68" s="22">
        <v>0</v>
      </c>
      <c r="M68" s="388">
        <v>2514.6999999999998</v>
      </c>
      <c r="N68" s="25">
        <v>0.48470000000000002</v>
      </c>
      <c r="O68" s="24">
        <v>497</v>
      </c>
      <c r="P68" s="24">
        <v>24.25</v>
      </c>
      <c r="Q68" s="24">
        <v>16.75</v>
      </c>
      <c r="R68" s="22">
        <v>7.5</v>
      </c>
      <c r="S68" s="24">
        <v>4.25</v>
      </c>
      <c r="T68" s="24">
        <f t="shared" si="4"/>
        <v>28.5</v>
      </c>
      <c r="U68" s="376">
        <v>1218.8800000000001</v>
      </c>
      <c r="V68" s="376">
        <v>125.74</v>
      </c>
      <c r="W68" s="22">
        <f t="shared" si="5"/>
        <v>590.79113600000005</v>
      </c>
      <c r="X68" s="22">
        <f t="shared" si="6"/>
        <v>285</v>
      </c>
      <c r="Y68" s="22">
        <v>180.75</v>
      </c>
      <c r="Z68" s="22">
        <v>104.25</v>
      </c>
      <c r="AA68" s="371">
        <v>2527.89</v>
      </c>
      <c r="AB68" s="22">
        <v>0.11274224748703465</v>
      </c>
      <c r="AC68" s="24">
        <v>0</v>
      </c>
      <c r="AD68" s="384">
        <v>0</v>
      </c>
    </row>
    <row r="69" spans="1:30">
      <c r="A69" s="21" t="s">
        <v>373</v>
      </c>
      <c r="B69" s="21" t="s">
        <v>374</v>
      </c>
      <c r="C69" s="23">
        <v>547.96</v>
      </c>
      <c r="D69" s="147">
        <v>29.72</v>
      </c>
      <c r="E69" s="22">
        <v>0</v>
      </c>
      <c r="F69" s="22">
        <v>29.72</v>
      </c>
      <c r="G69" s="22">
        <v>0</v>
      </c>
      <c r="H69" s="22">
        <v>0</v>
      </c>
      <c r="I69" s="22">
        <v>0</v>
      </c>
      <c r="J69" s="22">
        <v>0</v>
      </c>
      <c r="K69" s="22">
        <v>0</v>
      </c>
      <c r="L69" s="22">
        <v>0</v>
      </c>
      <c r="M69" s="388">
        <v>1365.5600000000002</v>
      </c>
      <c r="N69" s="25">
        <v>0.1739</v>
      </c>
      <c r="O69" s="24">
        <v>497</v>
      </c>
      <c r="P69" s="24">
        <v>56.5</v>
      </c>
      <c r="Q69" s="24">
        <v>48.75</v>
      </c>
      <c r="R69" s="22">
        <v>7.75</v>
      </c>
      <c r="S69" s="24">
        <v>37.75</v>
      </c>
      <c r="T69" s="24">
        <f t="shared" si="4"/>
        <v>94.25</v>
      </c>
      <c r="U69" s="376">
        <v>237.47</v>
      </c>
      <c r="V69" s="376">
        <v>68.28</v>
      </c>
      <c r="W69" s="22">
        <f t="shared" si="5"/>
        <v>41.296033000000001</v>
      </c>
      <c r="X69" s="22">
        <f t="shared" si="6"/>
        <v>155.25</v>
      </c>
      <c r="Y69" s="22">
        <v>82.5</v>
      </c>
      <c r="Z69" s="22">
        <v>72.75</v>
      </c>
      <c r="AA69" s="371">
        <v>1367.06</v>
      </c>
      <c r="AB69" s="22">
        <v>0.11356487645019239</v>
      </c>
      <c r="AC69" s="24">
        <v>0</v>
      </c>
      <c r="AD69" s="384">
        <v>0</v>
      </c>
    </row>
    <row r="70" spans="1:30">
      <c r="A70" s="21" t="s">
        <v>525</v>
      </c>
      <c r="B70" s="21" t="s">
        <v>526</v>
      </c>
      <c r="C70" s="23">
        <v>12.6</v>
      </c>
      <c r="D70" s="147">
        <v>0</v>
      </c>
      <c r="E70" s="22">
        <v>0</v>
      </c>
      <c r="F70" s="22">
        <v>0</v>
      </c>
      <c r="G70" s="22">
        <v>0</v>
      </c>
      <c r="H70" s="22">
        <v>0</v>
      </c>
      <c r="I70" s="22">
        <v>0</v>
      </c>
      <c r="J70" s="22">
        <v>0</v>
      </c>
      <c r="K70" s="22">
        <v>0</v>
      </c>
      <c r="L70" s="22">
        <v>0</v>
      </c>
      <c r="M70" s="388">
        <v>17.600000000000001</v>
      </c>
      <c r="N70" s="25">
        <v>1</v>
      </c>
      <c r="O70" s="24">
        <v>497</v>
      </c>
      <c r="P70" s="24">
        <v>0</v>
      </c>
      <c r="Q70" s="24">
        <v>0</v>
      </c>
      <c r="R70" s="22">
        <v>0</v>
      </c>
      <c r="S70" s="24">
        <v>0</v>
      </c>
      <c r="T70" s="24">
        <f t="shared" si="4"/>
        <v>0</v>
      </c>
      <c r="U70" s="376">
        <v>17.600000000000001</v>
      </c>
      <c r="V70" s="376">
        <v>0</v>
      </c>
      <c r="W70" s="22">
        <f t="shared" si="5"/>
        <v>17.600000000000001</v>
      </c>
      <c r="X70" s="22">
        <f t="shared" si="6"/>
        <v>2</v>
      </c>
      <c r="Y70" s="22">
        <v>2</v>
      </c>
      <c r="Z70" s="22">
        <v>0</v>
      </c>
      <c r="AA70" s="371">
        <v>17.600000000000001</v>
      </c>
      <c r="AB70" s="22">
        <v>0.11363636363636363</v>
      </c>
      <c r="AC70" s="24">
        <v>0</v>
      </c>
      <c r="AD70" s="384">
        <v>0</v>
      </c>
    </row>
    <row r="71" spans="1:30">
      <c r="A71" s="21" t="s">
        <v>469</v>
      </c>
      <c r="B71" s="21" t="s">
        <v>470</v>
      </c>
      <c r="C71" s="23">
        <v>976.02</v>
      </c>
      <c r="D71" s="147">
        <v>30.59</v>
      </c>
      <c r="E71" s="22">
        <v>212.13</v>
      </c>
      <c r="F71" s="22">
        <v>242.72</v>
      </c>
      <c r="G71" s="22">
        <v>0</v>
      </c>
      <c r="H71" s="22">
        <v>80.459999999999994</v>
      </c>
      <c r="I71" s="22">
        <v>6.41</v>
      </c>
      <c r="J71" s="22">
        <v>289.70000000000005</v>
      </c>
      <c r="K71" s="22">
        <v>2.8</v>
      </c>
      <c r="L71" s="22">
        <v>0</v>
      </c>
      <c r="M71" s="388">
        <v>3502.74</v>
      </c>
      <c r="N71" s="25">
        <v>0.54810000000000003</v>
      </c>
      <c r="O71" s="24">
        <v>497</v>
      </c>
      <c r="P71" s="24">
        <v>90.75</v>
      </c>
      <c r="Q71" s="24">
        <v>63</v>
      </c>
      <c r="R71" s="22">
        <v>27.75</v>
      </c>
      <c r="S71" s="24">
        <v>32</v>
      </c>
      <c r="T71" s="24">
        <f t="shared" si="4"/>
        <v>122.75</v>
      </c>
      <c r="U71" s="376">
        <v>1919.85</v>
      </c>
      <c r="V71" s="376">
        <v>175.14</v>
      </c>
      <c r="W71" s="22">
        <f t="shared" si="5"/>
        <v>1052.269785</v>
      </c>
      <c r="X71" s="22">
        <f t="shared" si="6"/>
        <v>536</v>
      </c>
      <c r="Y71" s="22">
        <v>303.25</v>
      </c>
      <c r="Z71" s="22">
        <v>232.75</v>
      </c>
      <c r="AA71" s="371">
        <v>3598.35</v>
      </c>
      <c r="AB71" s="22">
        <v>0.14895716092097766</v>
      </c>
      <c r="AC71" s="24">
        <v>1.3957160920977651E-2</v>
      </c>
      <c r="AD71" s="384">
        <v>-447484.90159460338</v>
      </c>
    </row>
    <row r="72" spans="1:30">
      <c r="A72" s="21" t="s">
        <v>587</v>
      </c>
      <c r="B72" s="21" t="s">
        <v>588</v>
      </c>
      <c r="C72" s="23">
        <v>983.59</v>
      </c>
      <c r="D72" s="147">
        <v>24.9</v>
      </c>
      <c r="E72" s="22">
        <v>181.58</v>
      </c>
      <c r="F72" s="22">
        <v>206.48000000000002</v>
      </c>
      <c r="G72" s="22">
        <v>0</v>
      </c>
      <c r="H72" s="22">
        <v>49.65</v>
      </c>
      <c r="I72" s="22">
        <v>3.28</v>
      </c>
      <c r="J72" s="22">
        <v>3.2</v>
      </c>
      <c r="K72" s="22">
        <v>14.2</v>
      </c>
      <c r="L72" s="22">
        <v>0</v>
      </c>
      <c r="M72" s="388">
        <v>3259.06</v>
      </c>
      <c r="N72" s="25">
        <v>0.58460000000000001</v>
      </c>
      <c r="O72" s="24">
        <v>523</v>
      </c>
      <c r="P72" s="24">
        <v>343.75</v>
      </c>
      <c r="Q72" s="24">
        <v>249</v>
      </c>
      <c r="R72" s="22">
        <v>94.75</v>
      </c>
      <c r="S72" s="24">
        <v>80.5</v>
      </c>
      <c r="T72" s="24">
        <f t="shared" si="4"/>
        <v>424.25</v>
      </c>
      <c r="U72" s="376">
        <v>1905.25</v>
      </c>
      <c r="V72" s="376">
        <v>162.94999999999999</v>
      </c>
      <c r="W72" s="22">
        <f t="shared" si="5"/>
        <v>1113.80915</v>
      </c>
      <c r="X72" s="22">
        <f t="shared" si="6"/>
        <v>380</v>
      </c>
      <c r="Y72" s="22">
        <v>206.25</v>
      </c>
      <c r="Z72" s="22">
        <v>173.75</v>
      </c>
      <c r="AA72" s="371">
        <v>3311.05</v>
      </c>
      <c r="AB72" s="22">
        <v>0.11476721885806616</v>
      </c>
      <c r="AC72" s="24">
        <v>0</v>
      </c>
      <c r="AD72" s="384">
        <v>0</v>
      </c>
    </row>
    <row r="73" spans="1:30">
      <c r="A73" s="21" t="s">
        <v>95</v>
      </c>
      <c r="B73" s="21" t="s">
        <v>96</v>
      </c>
      <c r="C73" s="23">
        <v>1570.46</v>
      </c>
      <c r="D73" s="147">
        <v>131.41999999999999</v>
      </c>
      <c r="E73" s="22">
        <v>344.87</v>
      </c>
      <c r="F73" s="22">
        <v>476.28999999999996</v>
      </c>
      <c r="G73" s="22">
        <v>0</v>
      </c>
      <c r="H73" s="22">
        <v>128.69999999999999</v>
      </c>
      <c r="I73" s="22">
        <v>6.2</v>
      </c>
      <c r="J73" s="22">
        <v>205.97</v>
      </c>
      <c r="K73" s="22">
        <v>0</v>
      </c>
      <c r="L73" s="22">
        <v>0</v>
      </c>
      <c r="M73" s="388">
        <v>5822.79</v>
      </c>
      <c r="N73" s="25">
        <v>0.58520000000000005</v>
      </c>
      <c r="O73" s="24">
        <v>576</v>
      </c>
      <c r="P73" s="24">
        <v>1040.5</v>
      </c>
      <c r="Q73" s="24">
        <v>680.5</v>
      </c>
      <c r="R73" s="22">
        <v>360</v>
      </c>
      <c r="S73" s="24">
        <v>243.75</v>
      </c>
      <c r="T73" s="24">
        <f t="shared" ref="T73:T136" si="7">S73+P73</f>
        <v>1284.25</v>
      </c>
      <c r="U73" s="376">
        <v>3407.5</v>
      </c>
      <c r="V73" s="376">
        <v>291.14</v>
      </c>
      <c r="W73" s="22">
        <f t="shared" ref="W73:W136" si="8">U73*N73</f>
        <v>1994.0690000000002</v>
      </c>
      <c r="X73" s="22">
        <f t="shared" ref="X73:X136" si="9">Y73+Z73</f>
        <v>658.25</v>
      </c>
      <c r="Y73" s="22">
        <v>460.75</v>
      </c>
      <c r="Z73" s="22">
        <v>197.5</v>
      </c>
      <c r="AA73" s="371">
        <v>5858.31</v>
      </c>
      <c r="AB73" s="22">
        <v>0.11236175620614135</v>
      </c>
      <c r="AC73" s="24">
        <v>0</v>
      </c>
      <c r="AD73" s="384">
        <v>0</v>
      </c>
    </row>
    <row r="74" spans="1:30">
      <c r="A74" s="21" t="s">
        <v>241</v>
      </c>
      <c r="B74" s="21" t="s">
        <v>242</v>
      </c>
      <c r="C74" s="23">
        <v>17.96</v>
      </c>
      <c r="D74" s="147">
        <v>0</v>
      </c>
      <c r="E74" s="22">
        <v>0</v>
      </c>
      <c r="F74" s="22">
        <v>0</v>
      </c>
      <c r="G74" s="22">
        <v>0</v>
      </c>
      <c r="H74" s="22">
        <v>2.82</v>
      </c>
      <c r="I74" s="22">
        <v>0</v>
      </c>
      <c r="J74" s="22">
        <v>0</v>
      </c>
      <c r="K74" s="22">
        <v>0</v>
      </c>
      <c r="L74" s="22">
        <v>0</v>
      </c>
      <c r="M74" s="388">
        <v>83.259999999999991</v>
      </c>
      <c r="N74" s="25">
        <v>0.74419999999999997</v>
      </c>
      <c r="O74" s="24">
        <v>497</v>
      </c>
      <c r="P74" s="24">
        <v>6</v>
      </c>
      <c r="Q74" s="24">
        <v>1</v>
      </c>
      <c r="R74" s="22">
        <v>5</v>
      </c>
      <c r="S74" s="24">
        <v>5</v>
      </c>
      <c r="T74" s="24">
        <f t="shared" si="7"/>
        <v>11</v>
      </c>
      <c r="U74" s="376">
        <v>61.96</v>
      </c>
      <c r="V74" s="376">
        <v>0</v>
      </c>
      <c r="W74" s="22">
        <f t="shared" si="8"/>
        <v>46.110631999999995</v>
      </c>
      <c r="X74" s="22">
        <f t="shared" si="9"/>
        <v>7.75</v>
      </c>
      <c r="Y74" s="22">
        <v>5.75</v>
      </c>
      <c r="Z74" s="22">
        <v>2</v>
      </c>
      <c r="AA74" s="371">
        <v>83.26</v>
      </c>
      <c r="AB74" s="22">
        <v>9.3081912082632709E-2</v>
      </c>
      <c r="AC74" s="24">
        <v>0</v>
      </c>
      <c r="AD74" s="384">
        <v>0</v>
      </c>
    </row>
    <row r="75" spans="1:30">
      <c r="A75" s="21" t="s">
        <v>385</v>
      </c>
      <c r="B75" s="21" t="s">
        <v>386</v>
      </c>
      <c r="C75" s="23">
        <v>572.20000000000005</v>
      </c>
      <c r="D75" s="147">
        <v>25.24</v>
      </c>
      <c r="E75" s="22">
        <v>131.85</v>
      </c>
      <c r="F75" s="22">
        <v>157.09</v>
      </c>
      <c r="G75" s="22">
        <v>0</v>
      </c>
      <c r="H75" s="22">
        <v>38.44</v>
      </c>
      <c r="I75" s="22">
        <v>2.38</v>
      </c>
      <c r="J75" s="22">
        <v>64.600000000000009</v>
      </c>
      <c r="K75" s="22">
        <v>24.4</v>
      </c>
      <c r="L75" s="22">
        <v>0</v>
      </c>
      <c r="M75" s="388">
        <v>1907.3200000000002</v>
      </c>
      <c r="N75" s="25">
        <v>0.41880000000000001</v>
      </c>
      <c r="O75" s="24">
        <v>497</v>
      </c>
      <c r="P75" s="24">
        <v>15.25</v>
      </c>
      <c r="Q75" s="24">
        <v>6.25</v>
      </c>
      <c r="R75" s="22">
        <v>9</v>
      </c>
      <c r="S75" s="24">
        <v>1</v>
      </c>
      <c r="T75" s="24">
        <f t="shared" si="7"/>
        <v>16.25</v>
      </c>
      <c r="U75" s="376">
        <v>798.79</v>
      </c>
      <c r="V75" s="376">
        <v>95.37</v>
      </c>
      <c r="W75" s="22">
        <f t="shared" si="8"/>
        <v>334.533252</v>
      </c>
      <c r="X75" s="22">
        <f t="shared" si="9"/>
        <v>211</v>
      </c>
      <c r="Y75" s="22">
        <v>132</v>
      </c>
      <c r="Z75" s="22">
        <v>79</v>
      </c>
      <c r="AA75" s="371">
        <v>1937.62</v>
      </c>
      <c r="AB75" s="22">
        <v>0.10889648125019354</v>
      </c>
      <c r="AC75" s="24">
        <v>0</v>
      </c>
      <c r="AD75" s="384">
        <v>0</v>
      </c>
    </row>
    <row r="76" spans="1:30">
      <c r="A76" s="21" t="s">
        <v>429</v>
      </c>
      <c r="B76" s="21" t="s">
        <v>430</v>
      </c>
      <c r="C76" s="23">
        <v>5927.35</v>
      </c>
      <c r="D76" s="147">
        <v>113.59</v>
      </c>
      <c r="E76" s="22">
        <v>925.87</v>
      </c>
      <c r="F76" s="22">
        <v>1039.46</v>
      </c>
      <c r="G76" s="22">
        <v>0</v>
      </c>
      <c r="H76" s="22">
        <v>358.56</v>
      </c>
      <c r="I76" s="22">
        <v>41.34</v>
      </c>
      <c r="J76" s="22">
        <v>884.1400000000001</v>
      </c>
      <c r="K76" s="22">
        <v>115.72</v>
      </c>
      <c r="L76" s="22">
        <v>0</v>
      </c>
      <c r="M76" s="388">
        <v>20060.140000000003</v>
      </c>
      <c r="N76" s="25">
        <v>0.36670000000000003</v>
      </c>
      <c r="O76" s="24">
        <v>497</v>
      </c>
      <c r="P76" s="24">
        <v>3298</v>
      </c>
      <c r="Q76" s="24">
        <v>2127.25</v>
      </c>
      <c r="R76" s="22">
        <v>1170.75</v>
      </c>
      <c r="S76" s="24">
        <v>488.25</v>
      </c>
      <c r="T76" s="24">
        <f t="shared" si="7"/>
        <v>3786.25</v>
      </c>
      <c r="U76" s="376">
        <v>7356.05</v>
      </c>
      <c r="V76" s="376">
        <v>1003.01</v>
      </c>
      <c r="W76" s="22">
        <f t="shared" si="8"/>
        <v>2697.4635350000003</v>
      </c>
      <c r="X76" s="22">
        <f t="shared" si="9"/>
        <v>2726.75</v>
      </c>
      <c r="Y76" s="22">
        <v>1427</v>
      </c>
      <c r="Z76" s="22">
        <v>1299.75</v>
      </c>
      <c r="AA76" s="371">
        <v>20082.439999999999</v>
      </c>
      <c r="AB76" s="22">
        <v>0.13577782381025413</v>
      </c>
      <c r="AC76" s="24">
        <v>7.7782381025412461E-4</v>
      </c>
      <c r="AD76" s="384">
        <v>-154545.07614489141</v>
      </c>
    </row>
    <row r="77" spans="1:30">
      <c r="A77" s="21" t="s">
        <v>245</v>
      </c>
      <c r="B77" s="21" t="s">
        <v>246</v>
      </c>
      <c r="C77" s="23">
        <v>923.04</v>
      </c>
      <c r="D77" s="147">
        <v>27.46</v>
      </c>
      <c r="E77" s="22">
        <v>199.46</v>
      </c>
      <c r="F77" s="22">
        <v>226.92000000000002</v>
      </c>
      <c r="G77" s="22">
        <v>0</v>
      </c>
      <c r="H77" s="22">
        <v>91.81</v>
      </c>
      <c r="I77" s="22">
        <v>0.54</v>
      </c>
      <c r="J77" s="22">
        <v>89.78</v>
      </c>
      <c r="K77" s="22">
        <v>2.2000000000000002</v>
      </c>
      <c r="L77" s="22">
        <v>0</v>
      </c>
      <c r="M77" s="388">
        <v>3232.5299999999997</v>
      </c>
      <c r="N77" s="25">
        <v>0.40749999999999997</v>
      </c>
      <c r="O77" s="24">
        <v>497</v>
      </c>
      <c r="P77" s="24">
        <v>218.5</v>
      </c>
      <c r="Q77" s="24">
        <v>148</v>
      </c>
      <c r="R77" s="22">
        <v>70.5</v>
      </c>
      <c r="S77" s="24">
        <v>38</v>
      </c>
      <c r="T77" s="24">
        <f t="shared" si="7"/>
        <v>256.5</v>
      </c>
      <c r="U77" s="376">
        <v>1317.26</v>
      </c>
      <c r="V77" s="376">
        <v>161.63</v>
      </c>
      <c r="W77" s="22">
        <f t="shared" si="8"/>
        <v>536.78345000000002</v>
      </c>
      <c r="X77" s="22">
        <f t="shared" si="9"/>
        <v>384.25</v>
      </c>
      <c r="Y77" s="22">
        <v>251.75</v>
      </c>
      <c r="Z77" s="22">
        <v>132.5</v>
      </c>
      <c r="AA77" s="371">
        <v>3234.11</v>
      </c>
      <c r="AB77" s="22">
        <v>0.11881166688826292</v>
      </c>
      <c r="AC77" s="24">
        <v>0</v>
      </c>
      <c r="AD77" s="384">
        <v>0</v>
      </c>
    </row>
    <row r="78" spans="1:30">
      <c r="A78" s="21" t="s">
        <v>151</v>
      </c>
      <c r="B78" s="21" t="s">
        <v>152</v>
      </c>
      <c r="C78" s="23">
        <v>419.87</v>
      </c>
      <c r="D78" s="147">
        <v>69.92</v>
      </c>
      <c r="E78" s="22">
        <v>191.86</v>
      </c>
      <c r="F78" s="22">
        <v>261.78000000000003</v>
      </c>
      <c r="G78" s="22">
        <v>0</v>
      </c>
      <c r="H78" s="22">
        <v>33.700000000000003</v>
      </c>
      <c r="I78" s="22">
        <v>1.02</v>
      </c>
      <c r="J78" s="22">
        <v>69.36</v>
      </c>
      <c r="K78" s="22">
        <v>38.4</v>
      </c>
      <c r="L78" s="22">
        <v>0</v>
      </c>
      <c r="M78" s="388">
        <v>1559.33</v>
      </c>
      <c r="N78" s="25">
        <v>0.77210000000000001</v>
      </c>
      <c r="O78" s="24">
        <v>576</v>
      </c>
      <c r="P78" s="24">
        <v>121.5</v>
      </c>
      <c r="Q78" s="24">
        <v>81.25</v>
      </c>
      <c r="R78" s="22">
        <v>40.25</v>
      </c>
      <c r="S78" s="24">
        <v>19</v>
      </c>
      <c r="T78" s="24">
        <f t="shared" si="7"/>
        <v>140.5</v>
      </c>
      <c r="U78" s="376">
        <v>1203.96</v>
      </c>
      <c r="V78" s="376">
        <v>77.97</v>
      </c>
      <c r="W78" s="22">
        <f t="shared" si="8"/>
        <v>929.57751600000006</v>
      </c>
      <c r="X78" s="22">
        <f t="shared" si="9"/>
        <v>268.25</v>
      </c>
      <c r="Y78" s="22">
        <v>116</v>
      </c>
      <c r="Z78" s="22">
        <v>152.25</v>
      </c>
      <c r="AA78" s="371">
        <v>1567.5</v>
      </c>
      <c r="AB78" s="22">
        <v>0.1711323763955343</v>
      </c>
      <c r="AC78" s="24">
        <v>3.6132376395534294E-2</v>
      </c>
      <c r="AD78" s="384">
        <v>-502921.82990498678</v>
      </c>
    </row>
    <row r="79" spans="1:30">
      <c r="A79" s="21" t="s">
        <v>573</v>
      </c>
      <c r="B79" s="21" t="s">
        <v>574</v>
      </c>
      <c r="C79" s="23">
        <v>21</v>
      </c>
      <c r="D79" s="147">
        <v>0</v>
      </c>
      <c r="E79" s="22">
        <v>0</v>
      </c>
      <c r="F79" s="22">
        <v>0</v>
      </c>
      <c r="G79" s="22">
        <v>0</v>
      </c>
      <c r="H79" s="22">
        <v>1.36</v>
      </c>
      <c r="I79" s="22">
        <v>0</v>
      </c>
      <c r="J79" s="22">
        <v>0</v>
      </c>
      <c r="K79" s="22">
        <v>0</v>
      </c>
      <c r="L79" s="22">
        <v>0</v>
      </c>
      <c r="M79" s="388">
        <v>74.679999999999993</v>
      </c>
      <c r="N79" s="25">
        <v>0.59379999999999999</v>
      </c>
      <c r="O79" s="24">
        <v>497</v>
      </c>
      <c r="P79" s="24">
        <v>0</v>
      </c>
      <c r="Q79" s="24">
        <v>0</v>
      </c>
      <c r="R79" s="22">
        <v>0</v>
      </c>
      <c r="S79" s="24">
        <v>0</v>
      </c>
      <c r="T79" s="24">
        <f t="shared" si="7"/>
        <v>0</v>
      </c>
      <c r="U79" s="376">
        <v>44.34</v>
      </c>
      <c r="V79" s="376">
        <v>3.73</v>
      </c>
      <c r="W79" s="22">
        <f t="shared" si="8"/>
        <v>26.329092000000003</v>
      </c>
      <c r="X79" s="22">
        <f t="shared" si="9"/>
        <v>9.25</v>
      </c>
      <c r="Y79" s="22">
        <v>5.25</v>
      </c>
      <c r="Z79" s="22">
        <v>4</v>
      </c>
      <c r="AA79" s="371">
        <v>74.67</v>
      </c>
      <c r="AB79" s="22">
        <v>0.12387839828579081</v>
      </c>
      <c r="AC79" s="24">
        <v>0</v>
      </c>
      <c r="AD79" s="384">
        <v>0</v>
      </c>
    </row>
    <row r="80" spans="1:30">
      <c r="A80" s="21" t="s">
        <v>33</v>
      </c>
      <c r="B80" s="21" t="s">
        <v>34</v>
      </c>
      <c r="C80" s="23">
        <v>115.2</v>
      </c>
      <c r="D80" s="147">
        <v>0</v>
      </c>
      <c r="E80" s="22">
        <v>0</v>
      </c>
      <c r="F80" s="22">
        <v>0</v>
      </c>
      <c r="G80" s="22">
        <v>0</v>
      </c>
      <c r="H80" s="22">
        <v>8.8000000000000007</v>
      </c>
      <c r="I80" s="22">
        <v>0.65</v>
      </c>
      <c r="J80" s="22">
        <v>0</v>
      </c>
      <c r="K80" s="22">
        <v>0</v>
      </c>
      <c r="L80" s="22">
        <v>0</v>
      </c>
      <c r="M80" s="388">
        <v>312.99</v>
      </c>
      <c r="N80" s="25">
        <v>0.64759999999999995</v>
      </c>
      <c r="O80" s="24">
        <v>0</v>
      </c>
      <c r="P80" s="24">
        <v>50.75</v>
      </c>
      <c r="Q80" s="24">
        <v>29.5</v>
      </c>
      <c r="R80" s="22">
        <v>21.25</v>
      </c>
      <c r="S80" s="24">
        <v>6</v>
      </c>
      <c r="T80" s="24">
        <f t="shared" si="7"/>
        <v>56.75</v>
      </c>
      <c r="U80" s="376">
        <v>202.69</v>
      </c>
      <c r="V80" s="376">
        <v>15.65</v>
      </c>
      <c r="W80" s="22">
        <f t="shared" si="8"/>
        <v>131.262044</v>
      </c>
      <c r="X80" s="22">
        <f t="shared" si="9"/>
        <v>36.25</v>
      </c>
      <c r="Y80" s="22">
        <v>31.25</v>
      </c>
      <c r="Z80" s="22">
        <v>5</v>
      </c>
      <c r="AA80" s="371">
        <v>316.87</v>
      </c>
      <c r="AB80" s="22">
        <v>0.11440022722252027</v>
      </c>
      <c r="AC80" s="24">
        <v>0</v>
      </c>
      <c r="AD80" s="384">
        <v>0</v>
      </c>
    </row>
    <row r="81" spans="1:30">
      <c r="A81" s="21" t="s">
        <v>187</v>
      </c>
      <c r="B81" s="21" t="s">
        <v>188</v>
      </c>
      <c r="C81" s="23">
        <v>1201.97</v>
      </c>
      <c r="D81" s="147">
        <v>24.11</v>
      </c>
      <c r="E81" s="22">
        <v>418.76</v>
      </c>
      <c r="F81" s="22">
        <v>442.87</v>
      </c>
      <c r="G81" s="22">
        <v>0</v>
      </c>
      <c r="H81" s="22">
        <v>88.71</v>
      </c>
      <c r="I81" s="22">
        <v>5.31</v>
      </c>
      <c r="J81" s="22">
        <v>0</v>
      </c>
      <c r="K81" s="22">
        <v>8.1999999999999993</v>
      </c>
      <c r="L81" s="22">
        <v>0</v>
      </c>
      <c r="M81" s="388">
        <v>4086.2400000000002</v>
      </c>
      <c r="N81" s="25">
        <v>0.29820000000000002</v>
      </c>
      <c r="O81" s="24">
        <v>497</v>
      </c>
      <c r="P81" s="24">
        <v>277.5</v>
      </c>
      <c r="Q81" s="24">
        <v>191.25</v>
      </c>
      <c r="R81" s="22">
        <v>86.25</v>
      </c>
      <c r="S81" s="24">
        <v>51.25</v>
      </c>
      <c r="T81" s="24">
        <f t="shared" si="7"/>
        <v>328.75</v>
      </c>
      <c r="U81" s="376">
        <v>1218.52</v>
      </c>
      <c r="V81" s="376">
        <v>204.31</v>
      </c>
      <c r="W81" s="22">
        <f t="shared" si="8"/>
        <v>363.362664</v>
      </c>
      <c r="X81" s="22">
        <f t="shared" si="9"/>
        <v>594.5</v>
      </c>
      <c r="Y81" s="22">
        <v>346.75</v>
      </c>
      <c r="Z81" s="22">
        <v>247.75</v>
      </c>
      <c r="AA81" s="371">
        <v>4073.36</v>
      </c>
      <c r="AB81" s="22">
        <v>0.14594830803071665</v>
      </c>
      <c r="AC81" s="24">
        <v>1.0948308030716641E-2</v>
      </c>
      <c r="AD81" s="384">
        <v>-432407.8927834591</v>
      </c>
    </row>
    <row r="82" spans="1:30">
      <c r="A82" s="21" t="s">
        <v>135</v>
      </c>
      <c r="B82" s="21" t="s">
        <v>136</v>
      </c>
      <c r="C82" s="23">
        <v>724.77</v>
      </c>
      <c r="D82" s="147">
        <v>40.92</v>
      </c>
      <c r="E82" s="22">
        <v>205.02</v>
      </c>
      <c r="F82" s="22">
        <v>245.94</v>
      </c>
      <c r="G82" s="22">
        <v>0</v>
      </c>
      <c r="H82" s="22">
        <v>44.81</v>
      </c>
      <c r="I82" s="22">
        <v>3.64</v>
      </c>
      <c r="J82" s="22">
        <v>4.9800000000000004</v>
      </c>
      <c r="K82" s="22">
        <v>12.4</v>
      </c>
      <c r="L82" s="22">
        <v>0</v>
      </c>
      <c r="M82" s="388">
        <v>2582.81</v>
      </c>
      <c r="N82" s="25">
        <v>0.56030000000000002</v>
      </c>
      <c r="O82" s="24">
        <v>576</v>
      </c>
      <c r="P82" s="24">
        <v>359.5</v>
      </c>
      <c r="Q82" s="24">
        <v>224.75</v>
      </c>
      <c r="R82" s="22">
        <v>134.75</v>
      </c>
      <c r="S82" s="24">
        <v>61</v>
      </c>
      <c r="T82" s="24">
        <f t="shared" si="7"/>
        <v>420.5</v>
      </c>
      <c r="U82" s="376">
        <v>1447.15</v>
      </c>
      <c r="V82" s="376">
        <v>0</v>
      </c>
      <c r="W82" s="22">
        <f t="shared" si="8"/>
        <v>810.83814500000005</v>
      </c>
      <c r="X82" s="22">
        <f t="shared" si="9"/>
        <v>332</v>
      </c>
      <c r="Y82" s="22">
        <v>239.5</v>
      </c>
      <c r="Z82" s="22">
        <v>92.5</v>
      </c>
      <c r="AA82" s="371">
        <v>2597.35</v>
      </c>
      <c r="AB82" s="22">
        <v>0.12782258840741526</v>
      </c>
      <c r="AC82" s="24">
        <v>0</v>
      </c>
      <c r="AD82" s="384">
        <v>0</v>
      </c>
    </row>
    <row r="83" spans="1:30">
      <c r="A83" s="21" t="s">
        <v>273</v>
      </c>
      <c r="B83" s="21" t="s">
        <v>274</v>
      </c>
      <c r="C83" s="23">
        <v>21.2</v>
      </c>
      <c r="D83" s="147">
        <v>0</v>
      </c>
      <c r="E83" s="22">
        <v>0</v>
      </c>
      <c r="F83" s="22">
        <v>0</v>
      </c>
      <c r="G83" s="22">
        <v>0</v>
      </c>
      <c r="H83" s="22">
        <v>0</v>
      </c>
      <c r="I83" s="22">
        <v>0</v>
      </c>
      <c r="J83" s="22">
        <v>0</v>
      </c>
      <c r="K83" s="22">
        <v>0</v>
      </c>
      <c r="L83" s="22">
        <v>0</v>
      </c>
      <c r="M83" s="388">
        <v>46</v>
      </c>
      <c r="N83" s="25">
        <v>0.6038</v>
      </c>
      <c r="O83" s="24">
        <v>497</v>
      </c>
      <c r="P83" s="24">
        <v>2</v>
      </c>
      <c r="Q83" s="24">
        <v>2</v>
      </c>
      <c r="R83" s="22">
        <v>0</v>
      </c>
      <c r="S83" s="24">
        <v>1.75</v>
      </c>
      <c r="T83" s="24">
        <f t="shared" si="7"/>
        <v>3.75</v>
      </c>
      <c r="U83" s="376">
        <v>27.77</v>
      </c>
      <c r="V83" s="376">
        <v>2.2999999999999998</v>
      </c>
      <c r="W83" s="22">
        <f t="shared" si="8"/>
        <v>16.767526</v>
      </c>
      <c r="X83" s="22">
        <f t="shared" si="9"/>
        <v>6</v>
      </c>
      <c r="Y83" s="22">
        <v>5</v>
      </c>
      <c r="Z83" s="22">
        <v>1</v>
      </c>
      <c r="AA83" s="371">
        <v>46</v>
      </c>
      <c r="AB83" s="22">
        <v>0.13043478260869565</v>
      </c>
      <c r="AC83" s="24">
        <v>0</v>
      </c>
      <c r="AD83" s="384">
        <v>0</v>
      </c>
    </row>
    <row r="84" spans="1:30">
      <c r="A84" s="21" t="s">
        <v>423</v>
      </c>
      <c r="B84" s="21" t="s">
        <v>424</v>
      </c>
      <c r="C84" s="23">
        <v>6286.54</v>
      </c>
      <c r="D84" s="147">
        <v>416.83</v>
      </c>
      <c r="E84" s="22">
        <v>1098.77</v>
      </c>
      <c r="F84" s="22">
        <v>1515.6</v>
      </c>
      <c r="G84" s="22">
        <v>0</v>
      </c>
      <c r="H84" s="22">
        <v>320.67</v>
      </c>
      <c r="I84" s="22">
        <v>17.16</v>
      </c>
      <c r="J84" s="22">
        <v>255.17000000000002</v>
      </c>
      <c r="K84" s="22">
        <v>114.4</v>
      </c>
      <c r="L84" s="22">
        <v>0</v>
      </c>
      <c r="M84" s="388">
        <v>19752.27</v>
      </c>
      <c r="N84" s="25">
        <v>0.38140000000000002</v>
      </c>
      <c r="O84" s="24">
        <v>497</v>
      </c>
      <c r="P84" s="24">
        <v>3154.25</v>
      </c>
      <c r="Q84" s="24">
        <v>2337.5</v>
      </c>
      <c r="R84" s="22">
        <v>816.75</v>
      </c>
      <c r="S84" s="24">
        <v>751.75</v>
      </c>
      <c r="T84" s="24">
        <f t="shared" si="7"/>
        <v>3906</v>
      </c>
      <c r="U84" s="376">
        <v>7533.52</v>
      </c>
      <c r="V84" s="376">
        <v>987.61</v>
      </c>
      <c r="W84" s="22">
        <f t="shared" si="8"/>
        <v>2873.2845280000001</v>
      </c>
      <c r="X84" s="22">
        <f t="shared" si="9"/>
        <v>2405.5</v>
      </c>
      <c r="Y84" s="22">
        <v>1133.25</v>
      </c>
      <c r="Z84" s="22">
        <v>1272.25</v>
      </c>
      <c r="AA84" s="371">
        <v>19847.490000000002</v>
      </c>
      <c r="AB84" s="22">
        <v>0.12119920453417535</v>
      </c>
      <c r="AC84" s="24">
        <v>0</v>
      </c>
      <c r="AD84" s="384">
        <v>0</v>
      </c>
    </row>
    <row r="85" spans="1:30">
      <c r="A85" s="21" t="s">
        <v>65</v>
      </c>
      <c r="B85" s="21" t="s">
        <v>66</v>
      </c>
      <c r="C85" s="23">
        <v>5946.67</v>
      </c>
      <c r="D85" s="147">
        <v>213.52</v>
      </c>
      <c r="E85" s="22">
        <v>2172.5300000000002</v>
      </c>
      <c r="F85" s="22">
        <v>2386.0500000000002</v>
      </c>
      <c r="G85" s="22">
        <v>561.57000000000005</v>
      </c>
      <c r="H85" s="22">
        <v>357.02</v>
      </c>
      <c r="I85" s="22">
        <v>4.8099999999999996</v>
      </c>
      <c r="J85" s="22">
        <v>632.16</v>
      </c>
      <c r="K85" s="22">
        <v>72.8</v>
      </c>
      <c r="L85" s="22">
        <v>0</v>
      </c>
      <c r="M85" s="388">
        <v>22954.33</v>
      </c>
      <c r="N85" s="25">
        <v>0.53759999999999997</v>
      </c>
      <c r="O85" s="24">
        <v>0</v>
      </c>
      <c r="P85" s="24">
        <v>3283.25</v>
      </c>
      <c r="Q85" s="24">
        <v>2124.5</v>
      </c>
      <c r="R85" s="22">
        <v>1158.75</v>
      </c>
      <c r="S85" s="24">
        <v>606.25</v>
      </c>
      <c r="T85" s="24">
        <f t="shared" si="7"/>
        <v>3889.5</v>
      </c>
      <c r="U85" s="376">
        <v>12340.25</v>
      </c>
      <c r="V85" s="376">
        <v>1147.72</v>
      </c>
      <c r="W85" s="22">
        <f t="shared" si="8"/>
        <v>6634.1183999999994</v>
      </c>
      <c r="X85" s="22">
        <f t="shared" si="9"/>
        <v>3096.5</v>
      </c>
      <c r="Y85" s="22">
        <v>2420.75</v>
      </c>
      <c r="Z85" s="22">
        <v>675.75</v>
      </c>
      <c r="AA85" s="371">
        <v>22566.85</v>
      </c>
      <c r="AB85" s="22">
        <v>0.13721454257018592</v>
      </c>
      <c r="AC85" s="24">
        <v>2.2145425701859123E-3</v>
      </c>
      <c r="AD85" s="384">
        <v>-453749.41115325008</v>
      </c>
    </row>
    <row r="86" spans="1:30">
      <c r="A86" s="21" t="s">
        <v>497</v>
      </c>
      <c r="B86" s="21" t="s">
        <v>498</v>
      </c>
      <c r="C86" s="23">
        <v>13.2</v>
      </c>
      <c r="D86" s="147">
        <v>0</v>
      </c>
      <c r="E86" s="22">
        <v>0</v>
      </c>
      <c r="F86" s="22">
        <v>0</v>
      </c>
      <c r="G86" s="22">
        <v>0</v>
      </c>
      <c r="H86" s="22">
        <v>0</v>
      </c>
      <c r="I86" s="22">
        <v>0</v>
      </c>
      <c r="J86" s="22">
        <v>0</v>
      </c>
      <c r="K86" s="22">
        <v>0</v>
      </c>
      <c r="L86" s="22">
        <v>0</v>
      </c>
      <c r="M86" s="388">
        <v>25.799999999999997</v>
      </c>
      <c r="N86" s="25">
        <v>0.83330000000000004</v>
      </c>
      <c r="O86" s="24">
        <v>497</v>
      </c>
      <c r="P86" s="24">
        <v>0</v>
      </c>
      <c r="Q86" s="24">
        <v>0</v>
      </c>
      <c r="R86" s="22">
        <v>0</v>
      </c>
      <c r="S86" s="24">
        <v>0</v>
      </c>
      <c r="T86" s="24">
        <f t="shared" si="7"/>
        <v>0</v>
      </c>
      <c r="U86" s="376">
        <v>21.5</v>
      </c>
      <c r="V86" s="376">
        <v>1.29</v>
      </c>
      <c r="W86" s="22">
        <f t="shared" si="8"/>
        <v>17.915950000000002</v>
      </c>
      <c r="X86" s="22">
        <f t="shared" si="9"/>
        <v>1</v>
      </c>
      <c r="Y86" s="22">
        <v>1</v>
      </c>
      <c r="Z86" s="22">
        <v>0</v>
      </c>
      <c r="AA86" s="371">
        <v>25.8</v>
      </c>
      <c r="AB86" s="22">
        <v>3.875968992248062E-2</v>
      </c>
      <c r="AC86" s="24">
        <v>0</v>
      </c>
      <c r="AD86" s="384">
        <v>0</v>
      </c>
    </row>
    <row r="87" spans="1:30">
      <c r="A87" s="21" t="s">
        <v>185</v>
      </c>
      <c r="B87" s="21" t="s">
        <v>186</v>
      </c>
      <c r="C87" s="23">
        <v>5729.63</v>
      </c>
      <c r="D87" s="147">
        <v>89.12</v>
      </c>
      <c r="E87" s="22">
        <v>1275.18</v>
      </c>
      <c r="F87" s="22">
        <v>1364.3000000000002</v>
      </c>
      <c r="G87" s="22">
        <v>0</v>
      </c>
      <c r="H87" s="22">
        <v>529.64</v>
      </c>
      <c r="I87" s="22">
        <v>47.73</v>
      </c>
      <c r="J87" s="22">
        <v>829.95</v>
      </c>
      <c r="K87" s="22">
        <v>120.12</v>
      </c>
      <c r="L87" s="22">
        <v>0</v>
      </c>
      <c r="M87" s="388">
        <v>20447.68</v>
      </c>
      <c r="N87" s="25">
        <v>0.62490000000000001</v>
      </c>
      <c r="O87" s="24">
        <v>497</v>
      </c>
      <c r="P87" s="24">
        <v>5052.25</v>
      </c>
      <c r="Q87" s="24">
        <v>3239.75</v>
      </c>
      <c r="R87" s="22">
        <v>1812.5</v>
      </c>
      <c r="S87" s="24">
        <v>656.75</v>
      </c>
      <c r="T87" s="24">
        <f t="shared" si="7"/>
        <v>5709</v>
      </c>
      <c r="U87" s="376">
        <v>12777.76</v>
      </c>
      <c r="V87" s="376">
        <v>1022.38</v>
      </c>
      <c r="W87" s="22">
        <f t="shared" si="8"/>
        <v>7984.8222240000005</v>
      </c>
      <c r="X87" s="22">
        <f t="shared" si="9"/>
        <v>2656</v>
      </c>
      <c r="Y87" s="22">
        <v>1323.5</v>
      </c>
      <c r="Z87" s="22">
        <v>1332.5</v>
      </c>
      <c r="AA87" s="371">
        <v>20545.96</v>
      </c>
      <c r="AB87" s="22">
        <v>0.12927115598395014</v>
      </c>
      <c r="AC87" s="24">
        <v>0</v>
      </c>
      <c r="AD87" s="384">
        <v>0</v>
      </c>
    </row>
    <row r="88" spans="1:30">
      <c r="A88" s="21" t="s">
        <v>541</v>
      </c>
      <c r="B88" s="21" t="s">
        <v>542</v>
      </c>
      <c r="C88" s="23">
        <v>1343.51</v>
      </c>
      <c r="D88" s="147">
        <v>17.98</v>
      </c>
      <c r="E88" s="22">
        <v>252.22</v>
      </c>
      <c r="F88" s="22">
        <v>270.2</v>
      </c>
      <c r="G88" s="22">
        <v>0</v>
      </c>
      <c r="H88" s="22">
        <v>94.16</v>
      </c>
      <c r="I88" s="22">
        <v>17.37</v>
      </c>
      <c r="J88" s="22">
        <v>97.02000000000001</v>
      </c>
      <c r="K88" s="22">
        <v>36.659999999999997</v>
      </c>
      <c r="L88" s="22">
        <v>3.14</v>
      </c>
      <c r="M88" s="388">
        <v>4375.380000000001</v>
      </c>
      <c r="N88" s="25">
        <v>0.48680000000000001</v>
      </c>
      <c r="O88" s="24">
        <v>497</v>
      </c>
      <c r="P88" s="24">
        <v>336</v>
      </c>
      <c r="Q88" s="24">
        <v>223</v>
      </c>
      <c r="R88" s="22">
        <v>113</v>
      </c>
      <c r="S88" s="24">
        <v>57.25</v>
      </c>
      <c r="T88" s="24">
        <f t="shared" si="7"/>
        <v>393.25</v>
      </c>
      <c r="U88" s="376">
        <v>2129.9299999999998</v>
      </c>
      <c r="V88" s="376">
        <v>218.77</v>
      </c>
      <c r="W88" s="22">
        <f t="shared" si="8"/>
        <v>1036.8499239999999</v>
      </c>
      <c r="X88" s="22">
        <f t="shared" si="9"/>
        <v>611.5</v>
      </c>
      <c r="Y88" s="22">
        <v>348.75</v>
      </c>
      <c r="Z88" s="22">
        <v>262.75</v>
      </c>
      <c r="AA88" s="371">
        <v>4378.47</v>
      </c>
      <c r="AB88" s="22">
        <v>0.13966065771833538</v>
      </c>
      <c r="AC88" s="24">
        <v>4.6606577183353759E-3</v>
      </c>
      <c r="AD88" s="384">
        <v>-192126.95739651989</v>
      </c>
    </row>
    <row r="89" spans="1:30">
      <c r="A89" s="21" t="s">
        <v>389</v>
      </c>
      <c r="B89" s="21" t="s">
        <v>390</v>
      </c>
      <c r="C89" s="23">
        <v>1083.5999999999999</v>
      </c>
      <c r="D89" s="147">
        <v>47.73</v>
      </c>
      <c r="E89" s="22">
        <v>315.07</v>
      </c>
      <c r="F89" s="22">
        <v>362.8</v>
      </c>
      <c r="G89" s="22">
        <v>0</v>
      </c>
      <c r="H89" s="22">
        <v>61.52</v>
      </c>
      <c r="I89" s="22">
        <v>2.36</v>
      </c>
      <c r="J89" s="22">
        <v>6.89</v>
      </c>
      <c r="K89" s="22">
        <v>17.760000000000002</v>
      </c>
      <c r="L89" s="22">
        <v>0</v>
      </c>
      <c r="M89" s="388">
        <v>3706.1400000000003</v>
      </c>
      <c r="N89" s="25">
        <v>0.45729999999999998</v>
      </c>
      <c r="O89" s="24">
        <v>497</v>
      </c>
      <c r="P89" s="24">
        <v>518</v>
      </c>
      <c r="Q89" s="24">
        <v>355.5</v>
      </c>
      <c r="R89" s="22">
        <v>162.5</v>
      </c>
      <c r="S89" s="24">
        <v>106.5</v>
      </c>
      <c r="T89" s="24">
        <f t="shared" si="7"/>
        <v>624.5</v>
      </c>
      <c r="U89" s="376">
        <v>1694.82</v>
      </c>
      <c r="V89" s="376">
        <v>185.31</v>
      </c>
      <c r="W89" s="22">
        <f t="shared" si="8"/>
        <v>775.04118599999993</v>
      </c>
      <c r="X89" s="22">
        <f t="shared" si="9"/>
        <v>389</v>
      </c>
      <c r="Y89" s="22">
        <v>178.25</v>
      </c>
      <c r="Z89" s="22">
        <v>210.75</v>
      </c>
      <c r="AA89" s="371">
        <v>3719.9</v>
      </c>
      <c r="AB89" s="22">
        <v>0.1045727035673002</v>
      </c>
      <c r="AC89" s="24">
        <v>0</v>
      </c>
      <c r="AD89" s="384">
        <v>0</v>
      </c>
    </row>
    <row r="90" spans="1:30">
      <c r="A90" s="21" t="s">
        <v>23</v>
      </c>
      <c r="B90" s="21" t="s">
        <v>24</v>
      </c>
      <c r="C90" s="23">
        <v>220.18</v>
      </c>
      <c r="D90" s="147">
        <v>5.68</v>
      </c>
      <c r="E90" s="22">
        <v>64.5</v>
      </c>
      <c r="F90" s="22">
        <v>70.180000000000007</v>
      </c>
      <c r="G90" s="22">
        <v>0</v>
      </c>
      <c r="H90" s="22">
        <v>13.36</v>
      </c>
      <c r="I90" s="22">
        <v>0.53</v>
      </c>
      <c r="J90" s="22">
        <v>17.07</v>
      </c>
      <c r="K90" s="22">
        <v>0</v>
      </c>
      <c r="L90" s="22">
        <v>0</v>
      </c>
      <c r="M90" s="388">
        <v>846.00000000000023</v>
      </c>
      <c r="N90" s="25">
        <v>0.79310000000000003</v>
      </c>
      <c r="O90" s="24">
        <v>0</v>
      </c>
      <c r="P90" s="24">
        <v>167</v>
      </c>
      <c r="Q90" s="24">
        <v>113.25</v>
      </c>
      <c r="R90" s="22">
        <v>53.75</v>
      </c>
      <c r="S90" s="24">
        <v>29</v>
      </c>
      <c r="T90" s="24">
        <f t="shared" si="7"/>
        <v>196</v>
      </c>
      <c r="U90" s="376">
        <v>670.96</v>
      </c>
      <c r="V90" s="376">
        <v>42.3</v>
      </c>
      <c r="W90" s="22">
        <f t="shared" si="8"/>
        <v>532.13837599999999</v>
      </c>
      <c r="X90" s="22">
        <f t="shared" si="9"/>
        <v>100.5</v>
      </c>
      <c r="Y90" s="22">
        <v>61.5</v>
      </c>
      <c r="Z90" s="22">
        <v>39</v>
      </c>
      <c r="AA90" s="371">
        <v>863.49</v>
      </c>
      <c r="AB90" s="22">
        <v>0.11638814578049543</v>
      </c>
      <c r="AC90" s="24">
        <v>0</v>
      </c>
      <c r="AD90" s="384">
        <v>0</v>
      </c>
    </row>
    <row r="91" spans="1:30">
      <c r="A91" s="21" t="s">
        <v>381</v>
      </c>
      <c r="B91" s="21" t="s">
        <v>382</v>
      </c>
      <c r="C91" s="23">
        <v>2186.65</v>
      </c>
      <c r="D91" s="147">
        <v>107.61</v>
      </c>
      <c r="E91" s="22">
        <v>528.71</v>
      </c>
      <c r="F91" s="22">
        <v>636.32000000000005</v>
      </c>
      <c r="G91" s="22">
        <v>0</v>
      </c>
      <c r="H91" s="22">
        <v>134.72999999999999</v>
      </c>
      <c r="I91" s="22">
        <v>13.05</v>
      </c>
      <c r="J91" s="22">
        <v>97.800000000000011</v>
      </c>
      <c r="K91" s="22">
        <v>0</v>
      </c>
      <c r="L91" s="22">
        <v>0</v>
      </c>
      <c r="M91" s="388">
        <v>7315.3799999999992</v>
      </c>
      <c r="N91" s="25">
        <v>0.7823</v>
      </c>
      <c r="O91" s="24">
        <v>497</v>
      </c>
      <c r="P91" s="24">
        <v>924</v>
      </c>
      <c r="Q91" s="24">
        <v>603</v>
      </c>
      <c r="R91" s="22">
        <v>321</v>
      </c>
      <c r="S91" s="24">
        <v>173.5</v>
      </c>
      <c r="T91" s="24">
        <f t="shared" si="7"/>
        <v>1097.5</v>
      </c>
      <c r="U91" s="376">
        <v>5722.82</v>
      </c>
      <c r="V91" s="376">
        <v>365.77</v>
      </c>
      <c r="W91" s="22">
        <f t="shared" si="8"/>
        <v>4476.9620859999995</v>
      </c>
      <c r="X91" s="22">
        <f t="shared" si="9"/>
        <v>954.5</v>
      </c>
      <c r="Y91" s="22">
        <v>475.5</v>
      </c>
      <c r="Z91" s="22">
        <v>479</v>
      </c>
      <c r="AA91" s="371">
        <v>7378.21</v>
      </c>
      <c r="AB91" s="22">
        <v>0.12936742109536054</v>
      </c>
      <c r="AC91" s="24">
        <v>0</v>
      </c>
      <c r="AD91" s="384">
        <v>0</v>
      </c>
    </row>
    <row r="92" spans="1:30">
      <c r="A92" s="21" t="s">
        <v>465</v>
      </c>
      <c r="B92" s="21" t="s">
        <v>466</v>
      </c>
      <c r="C92" s="23">
        <v>210.2</v>
      </c>
      <c r="D92" s="147">
        <v>34.31</v>
      </c>
      <c r="E92" s="22">
        <v>88.61</v>
      </c>
      <c r="F92" s="22">
        <v>122.92</v>
      </c>
      <c r="G92" s="22">
        <v>0</v>
      </c>
      <c r="H92" s="22">
        <v>21.67</v>
      </c>
      <c r="I92" s="22">
        <v>0.33</v>
      </c>
      <c r="J92" s="22">
        <v>1.8</v>
      </c>
      <c r="K92" s="22">
        <v>0.8</v>
      </c>
      <c r="L92" s="22">
        <v>0</v>
      </c>
      <c r="M92" s="388">
        <v>857.86999999999989</v>
      </c>
      <c r="N92" s="25">
        <v>0.2266</v>
      </c>
      <c r="O92" s="24">
        <v>497</v>
      </c>
      <c r="P92" s="24">
        <v>0</v>
      </c>
      <c r="Q92" s="24">
        <v>0</v>
      </c>
      <c r="R92" s="22">
        <v>0</v>
      </c>
      <c r="S92" s="24">
        <v>0</v>
      </c>
      <c r="T92" s="24">
        <f t="shared" si="7"/>
        <v>0</v>
      </c>
      <c r="U92" s="376">
        <v>194.39</v>
      </c>
      <c r="V92" s="376">
        <v>0</v>
      </c>
      <c r="W92" s="22">
        <f t="shared" si="8"/>
        <v>44.048773999999995</v>
      </c>
      <c r="X92" s="22">
        <f t="shared" si="9"/>
        <v>102.5</v>
      </c>
      <c r="Y92" s="22">
        <v>75.25</v>
      </c>
      <c r="Z92" s="22">
        <v>27.25</v>
      </c>
      <c r="AA92" s="371">
        <v>862.72</v>
      </c>
      <c r="AB92" s="22">
        <v>0.11881027448071216</v>
      </c>
      <c r="AC92" s="24">
        <v>0</v>
      </c>
      <c r="AD92" s="384">
        <v>0</v>
      </c>
    </row>
    <row r="93" spans="1:30">
      <c r="A93" s="21" t="s">
        <v>567</v>
      </c>
      <c r="B93" s="21" t="s">
        <v>568</v>
      </c>
      <c r="C93" s="23">
        <v>37.200000000000003</v>
      </c>
      <c r="D93" s="147">
        <v>0</v>
      </c>
      <c r="E93" s="22">
        <v>4.87</v>
      </c>
      <c r="F93" s="22">
        <v>4.87</v>
      </c>
      <c r="G93" s="22">
        <v>0</v>
      </c>
      <c r="H93" s="22">
        <v>2.75</v>
      </c>
      <c r="I93" s="22">
        <v>0</v>
      </c>
      <c r="J93" s="22">
        <v>0</v>
      </c>
      <c r="K93" s="22">
        <v>0</v>
      </c>
      <c r="L93" s="22">
        <v>0</v>
      </c>
      <c r="M93" s="388">
        <v>105.26</v>
      </c>
      <c r="N93" s="25">
        <v>0.52249999999999996</v>
      </c>
      <c r="O93" s="24">
        <v>497</v>
      </c>
      <c r="P93" s="24">
        <v>0</v>
      </c>
      <c r="Q93" s="24">
        <v>0</v>
      </c>
      <c r="R93" s="22">
        <v>0</v>
      </c>
      <c r="S93" s="24">
        <v>0</v>
      </c>
      <c r="T93" s="24">
        <f t="shared" si="7"/>
        <v>0</v>
      </c>
      <c r="U93" s="376">
        <v>55</v>
      </c>
      <c r="V93" s="376">
        <v>0</v>
      </c>
      <c r="W93" s="22">
        <f t="shared" si="8"/>
        <v>28.737499999999997</v>
      </c>
      <c r="X93" s="22">
        <f t="shared" si="9"/>
        <v>13.5</v>
      </c>
      <c r="Y93" s="22">
        <v>11</v>
      </c>
      <c r="Z93" s="22">
        <v>2.5</v>
      </c>
      <c r="AA93" s="371">
        <v>105.26</v>
      </c>
      <c r="AB93" s="22">
        <v>0.12825384761542846</v>
      </c>
      <c r="AC93" s="24">
        <v>0</v>
      </c>
      <c r="AD93" s="384">
        <v>0</v>
      </c>
    </row>
    <row r="94" spans="1:30">
      <c r="A94" s="21" t="s">
        <v>259</v>
      </c>
      <c r="B94" s="21" t="s">
        <v>260</v>
      </c>
      <c r="C94" s="23">
        <v>10.57</v>
      </c>
      <c r="D94" s="147">
        <v>0</v>
      </c>
      <c r="E94" s="22">
        <v>0</v>
      </c>
      <c r="F94" s="22">
        <v>0</v>
      </c>
      <c r="G94" s="22">
        <v>0</v>
      </c>
      <c r="H94" s="22">
        <v>1</v>
      </c>
      <c r="I94" s="22">
        <v>0</v>
      </c>
      <c r="J94" s="22">
        <v>0</v>
      </c>
      <c r="K94" s="22">
        <v>0</v>
      </c>
      <c r="L94" s="22">
        <v>0</v>
      </c>
      <c r="M94" s="388">
        <v>51.97</v>
      </c>
      <c r="N94" s="25">
        <v>0.56599999999999995</v>
      </c>
      <c r="O94" s="24">
        <v>497</v>
      </c>
      <c r="P94" s="24">
        <v>0</v>
      </c>
      <c r="Q94" s="24">
        <v>0</v>
      </c>
      <c r="R94" s="22">
        <v>0</v>
      </c>
      <c r="S94" s="24">
        <v>0</v>
      </c>
      <c r="T94" s="24">
        <f t="shared" si="7"/>
        <v>0</v>
      </c>
      <c r="U94" s="376">
        <v>29.42</v>
      </c>
      <c r="V94" s="376">
        <v>0</v>
      </c>
      <c r="W94" s="22">
        <f t="shared" si="8"/>
        <v>16.651720000000001</v>
      </c>
      <c r="X94" s="22">
        <f t="shared" si="9"/>
        <v>12</v>
      </c>
      <c r="Y94" s="22">
        <v>9</v>
      </c>
      <c r="Z94" s="22">
        <v>3</v>
      </c>
      <c r="AA94" s="371">
        <v>51.97</v>
      </c>
      <c r="AB94" s="22">
        <v>0.23090244371752935</v>
      </c>
      <c r="AC94" s="24">
        <v>9.5902443717529345E-2</v>
      </c>
      <c r="AD94" s="384">
        <v>-43685.802527614745</v>
      </c>
    </row>
    <row r="95" spans="1:30">
      <c r="A95" s="21" t="s">
        <v>265</v>
      </c>
      <c r="B95" s="21" t="s">
        <v>266</v>
      </c>
      <c r="C95" s="23">
        <v>217</v>
      </c>
      <c r="D95" s="147">
        <v>27.1</v>
      </c>
      <c r="E95" s="22">
        <v>80.260000000000005</v>
      </c>
      <c r="F95" s="22">
        <v>107.36000000000001</v>
      </c>
      <c r="G95" s="22">
        <v>0</v>
      </c>
      <c r="H95" s="22">
        <v>6.71</v>
      </c>
      <c r="I95" s="22">
        <v>1.34</v>
      </c>
      <c r="J95" s="22">
        <v>1378.9</v>
      </c>
      <c r="K95" s="22">
        <v>0</v>
      </c>
      <c r="L95" s="22">
        <v>0</v>
      </c>
      <c r="M95" s="388">
        <v>2240.65</v>
      </c>
      <c r="N95" s="25">
        <v>0.59160000000000001</v>
      </c>
      <c r="O95" s="24">
        <v>497</v>
      </c>
      <c r="P95" s="24">
        <v>71.25</v>
      </c>
      <c r="Q95" s="24">
        <v>39.5</v>
      </c>
      <c r="R95" s="22">
        <v>31.75</v>
      </c>
      <c r="S95" s="24">
        <v>5</v>
      </c>
      <c r="T95" s="24">
        <f t="shared" si="7"/>
        <v>76.25</v>
      </c>
      <c r="U95" s="376">
        <v>1325.57</v>
      </c>
      <c r="V95" s="376">
        <v>0</v>
      </c>
      <c r="W95" s="22">
        <f t="shared" si="8"/>
        <v>784.20721200000003</v>
      </c>
      <c r="X95" s="22">
        <f t="shared" si="9"/>
        <v>304</v>
      </c>
      <c r="Y95" s="22">
        <v>224.25</v>
      </c>
      <c r="Z95" s="22">
        <v>79.75</v>
      </c>
      <c r="AA95" s="371">
        <v>2240.66</v>
      </c>
      <c r="AB95" s="22">
        <v>0.13567431024787341</v>
      </c>
      <c r="AC95" s="24">
        <v>6.7431024787339977E-4</v>
      </c>
      <c r="AD95" s="384">
        <v>-12742.698415637025</v>
      </c>
    </row>
    <row r="96" spans="1:30">
      <c r="A96" s="21" t="s">
        <v>139</v>
      </c>
      <c r="B96" s="21" t="s">
        <v>140</v>
      </c>
      <c r="C96" s="23">
        <v>194.36</v>
      </c>
      <c r="D96" s="147">
        <v>7.56</v>
      </c>
      <c r="E96" s="22">
        <v>26.32</v>
      </c>
      <c r="F96" s="22">
        <v>33.880000000000003</v>
      </c>
      <c r="G96" s="22">
        <v>0</v>
      </c>
      <c r="H96" s="22">
        <v>11.57</v>
      </c>
      <c r="I96" s="22">
        <v>1.07</v>
      </c>
      <c r="J96" s="22">
        <v>33.32</v>
      </c>
      <c r="K96" s="22">
        <v>0</v>
      </c>
      <c r="L96" s="22">
        <v>0</v>
      </c>
      <c r="M96" s="388">
        <v>719.05000000000018</v>
      </c>
      <c r="N96" s="25">
        <v>0.73499999999999999</v>
      </c>
      <c r="O96" s="24">
        <v>576</v>
      </c>
      <c r="P96" s="24">
        <v>0</v>
      </c>
      <c r="Q96" s="24">
        <v>0</v>
      </c>
      <c r="R96" s="22">
        <v>0</v>
      </c>
      <c r="S96" s="24">
        <v>0</v>
      </c>
      <c r="T96" s="24">
        <f t="shared" si="7"/>
        <v>0</v>
      </c>
      <c r="U96" s="376">
        <v>528.5</v>
      </c>
      <c r="V96" s="376">
        <v>35.950000000000003</v>
      </c>
      <c r="W96" s="22">
        <f t="shared" si="8"/>
        <v>388.44749999999999</v>
      </c>
      <c r="X96" s="22">
        <f t="shared" si="9"/>
        <v>103.25</v>
      </c>
      <c r="Y96" s="22">
        <v>64.5</v>
      </c>
      <c r="Z96" s="22">
        <v>38.75</v>
      </c>
      <c r="AA96" s="371">
        <v>719.06</v>
      </c>
      <c r="AB96" s="22">
        <v>0.1435902428170111</v>
      </c>
      <c r="AC96" s="24">
        <v>8.5902428170110956E-3</v>
      </c>
      <c r="AD96" s="384">
        <v>-53826.077053843073</v>
      </c>
    </row>
    <row r="97" spans="1:30">
      <c r="A97" s="21" t="s">
        <v>593</v>
      </c>
      <c r="B97" s="21" t="s">
        <v>594</v>
      </c>
      <c r="C97" s="23">
        <v>971.41</v>
      </c>
      <c r="D97" s="147">
        <v>41.76</v>
      </c>
      <c r="E97" s="22">
        <v>277.12</v>
      </c>
      <c r="F97" s="22">
        <v>318.88</v>
      </c>
      <c r="G97" s="22">
        <v>0</v>
      </c>
      <c r="H97" s="22">
        <v>35</v>
      </c>
      <c r="I97" s="22">
        <v>4.17</v>
      </c>
      <c r="J97" s="22">
        <v>44.199999999999996</v>
      </c>
      <c r="K97" s="22">
        <v>7.2</v>
      </c>
      <c r="L97" s="22">
        <v>0</v>
      </c>
      <c r="M97" s="388">
        <v>3508.0599999999995</v>
      </c>
      <c r="N97" s="25">
        <v>0.85250000000000004</v>
      </c>
      <c r="O97" s="24">
        <v>523</v>
      </c>
      <c r="P97" s="24">
        <v>1094.25</v>
      </c>
      <c r="Q97" s="24">
        <v>679.5</v>
      </c>
      <c r="R97" s="22">
        <v>414.75</v>
      </c>
      <c r="S97" s="24">
        <v>192.75</v>
      </c>
      <c r="T97" s="24">
        <f t="shared" si="7"/>
        <v>1287</v>
      </c>
      <c r="U97" s="376">
        <v>2990.62</v>
      </c>
      <c r="V97" s="376">
        <v>175.4</v>
      </c>
      <c r="W97" s="22">
        <f t="shared" si="8"/>
        <v>2549.5035499999999</v>
      </c>
      <c r="X97" s="22">
        <f t="shared" si="9"/>
        <v>511.5</v>
      </c>
      <c r="Y97" s="22">
        <v>234.5</v>
      </c>
      <c r="Z97" s="22">
        <v>277</v>
      </c>
      <c r="AA97" s="371">
        <v>3518.33</v>
      </c>
      <c r="AB97" s="22">
        <v>0.1453814735968485</v>
      </c>
      <c r="AC97" s="24">
        <v>1.0381473596848489E-2</v>
      </c>
      <c r="AD97" s="384">
        <v>-317325.18161112774</v>
      </c>
    </row>
    <row r="98" spans="1:30">
      <c r="A98" s="21" t="s">
        <v>601</v>
      </c>
      <c r="B98" s="21" t="s">
        <v>602</v>
      </c>
      <c r="C98" s="23">
        <v>429</v>
      </c>
      <c r="D98" s="147">
        <v>21.06</v>
      </c>
      <c r="E98" s="22">
        <v>165.61</v>
      </c>
      <c r="F98" s="22">
        <v>186.67000000000002</v>
      </c>
      <c r="G98" s="22">
        <v>0</v>
      </c>
      <c r="H98" s="22">
        <v>19.579999999999998</v>
      </c>
      <c r="I98" s="22">
        <v>0.8</v>
      </c>
      <c r="J98" s="22">
        <v>0</v>
      </c>
      <c r="K98" s="22">
        <v>0</v>
      </c>
      <c r="L98" s="22">
        <v>0</v>
      </c>
      <c r="M98" s="388">
        <v>1457.05</v>
      </c>
      <c r="N98" s="25">
        <v>0.90959999999999996</v>
      </c>
      <c r="O98" s="24">
        <v>523</v>
      </c>
      <c r="P98" s="24">
        <v>568.75</v>
      </c>
      <c r="Q98" s="24">
        <v>354.25</v>
      </c>
      <c r="R98" s="22">
        <v>214.5</v>
      </c>
      <c r="S98" s="24">
        <v>107</v>
      </c>
      <c r="T98" s="24">
        <f t="shared" si="7"/>
        <v>675.75</v>
      </c>
      <c r="U98" s="376">
        <v>1325.33</v>
      </c>
      <c r="V98" s="376">
        <v>72.849999999999994</v>
      </c>
      <c r="W98" s="22">
        <f t="shared" si="8"/>
        <v>1205.5201679999998</v>
      </c>
      <c r="X98" s="22">
        <f t="shared" si="9"/>
        <v>190.25</v>
      </c>
      <c r="Y98" s="22">
        <v>88.25</v>
      </c>
      <c r="Z98" s="22">
        <v>102</v>
      </c>
      <c r="AA98" s="371">
        <v>1483.52</v>
      </c>
      <c r="AB98" s="22">
        <v>0.12824228861087145</v>
      </c>
      <c r="AC98" s="24">
        <v>0</v>
      </c>
      <c r="AD98" s="384">
        <v>0</v>
      </c>
    </row>
    <row r="99" spans="1:30">
      <c r="A99" s="21" t="s">
        <v>447</v>
      </c>
      <c r="B99" s="21" t="s">
        <v>448</v>
      </c>
      <c r="C99" s="23">
        <v>633.20000000000005</v>
      </c>
      <c r="D99" s="147">
        <v>71.14</v>
      </c>
      <c r="E99" s="22">
        <v>133.44999999999999</v>
      </c>
      <c r="F99" s="22">
        <v>204.58999999999997</v>
      </c>
      <c r="G99" s="22">
        <v>0</v>
      </c>
      <c r="H99" s="22">
        <v>12.07</v>
      </c>
      <c r="I99" s="22">
        <v>0.08</v>
      </c>
      <c r="J99" s="22">
        <v>139.46</v>
      </c>
      <c r="K99" s="22">
        <v>50.2</v>
      </c>
      <c r="L99" s="22">
        <v>0</v>
      </c>
      <c r="M99" s="388">
        <v>2169.1799999999998</v>
      </c>
      <c r="N99" s="25">
        <v>0.46089999999999998</v>
      </c>
      <c r="O99" s="24">
        <v>497</v>
      </c>
      <c r="P99" s="24">
        <v>83.25</v>
      </c>
      <c r="Q99" s="24">
        <v>51.5</v>
      </c>
      <c r="R99" s="22">
        <v>31.75</v>
      </c>
      <c r="S99" s="24">
        <v>7.75</v>
      </c>
      <c r="T99" s="24">
        <f t="shared" si="7"/>
        <v>91</v>
      </c>
      <c r="U99" s="376">
        <v>999.78</v>
      </c>
      <c r="V99" s="376">
        <v>108.46</v>
      </c>
      <c r="W99" s="22">
        <f t="shared" si="8"/>
        <v>460.79860199999996</v>
      </c>
      <c r="X99" s="22">
        <f t="shared" si="9"/>
        <v>366</v>
      </c>
      <c r="Y99" s="22">
        <v>182.25</v>
      </c>
      <c r="Z99" s="22">
        <v>183.75</v>
      </c>
      <c r="AA99" s="371">
        <v>2180.04</v>
      </c>
      <c r="AB99" s="22">
        <v>0.16788682776462818</v>
      </c>
      <c r="AC99" s="24">
        <v>3.2886827764628174E-2</v>
      </c>
      <c r="AD99" s="384">
        <v>-681742.45727665513</v>
      </c>
    </row>
    <row r="100" spans="1:30">
      <c r="A100" s="21" t="s">
        <v>315</v>
      </c>
      <c r="B100" s="21" t="s">
        <v>316</v>
      </c>
      <c r="C100" s="23">
        <v>99.8</v>
      </c>
      <c r="D100" s="147">
        <v>0</v>
      </c>
      <c r="E100" s="22">
        <v>0</v>
      </c>
      <c r="F100" s="22">
        <v>0</v>
      </c>
      <c r="G100" s="22">
        <v>0</v>
      </c>
      <c r="H100" s="22">
        <v>0</v>
      </c>
      <c r="I100" s="22">
        <v>0</v>
      </c>
      <c r="J100" s="22">
        <v>0</v>
      </c>
      <c r="K100" s="22">
        <v>0</v>
      </c>
      <c r="L100" s="22">
        <v>0</v>
      </c>
      <c r="M100" s="388">
        <v>214.6</v>
      </c>
      <c r="N100" s="25">
        <v>0.45540000000000003</v>
      </c>
      <c r="O100" s="24">
        <v>497</v>
      </c>
      <c r="P100" s="24">
        <v>0</v>
      </c>
      <c r="Q100" s="24">
        <v>0</v>
      </c>
      <c r="R100" s="22">
        <v>0</v>
      </c>
      <c r="S100" s="24">
        <v>0</v>
      </c>
      <c r="T100" s="24">
        <f t="shared" si="7"/>
        <v>0</v>
      </c>
      <c r="U100" s="376">
        <v>97.73</v>
      </c>
      <c r="V100" s="376">
        <v>10.73</v>
      </c>
      <c r="W100" s="22">
        <f t="shared" si="8"/>
        <v>44.506242000000007</v>
      </c>
      <c r="X100" s="22">
        <f t="shared" si="9"/>
        <v>24.5</v>
      </c>
      <c r="Y100" s="22">
        <v>24.5</v>
      </c>
      <c r="Z100" s="22">
        <v>0</v>
      </c>
      <c r="AA100" s="371">
        <v>214.6</v>
      </c>
      <c r="AB100" s="22">
        <v>0.114165890027959</v>
      </c>
      <c r="AC100" s="24">
        <v>0</v>
      </c>
      <c r="AD100" s="384">
        <v>0</v>
      </c>
    </row>
    <row r="101" spans="1:30">
      <c r="A101" s="21" t="s">
        <v>455</v>
      </c>
      <c r="B101" s="21" t="s">
        <v>456</v>
      </c>
      <c r="C101" s="23">
        <v>17.399999999999999</v>
      </c>
      <c r="D101" s="147">
        <v>0</v>
      </c>
      <c r="E101" s="22">
        <v>0</v>
      </c>
      <c r="F101" s="22">
        <v>0</v>
      </c>
      <c r="G101" s="22">
        <v>0</v>
      </c>
      <c r="H101" s="22">
        <v>0</v>
      </c>
      <c r="I101" s="22">
        <v>0</v>
      </c>
      <c r="J101" s="22">
        <v>0</v>
      </c>
      <c r="K101" s="22">
        <v>0</v>
      </c>
      <c r="L101" s="22">
        <v>0</v>
      </c>
      <c r="M101" s="388">
        <v>28</v>
      </c>
      <c r="N101" s="25">
        <v>0.43330000000000002</v>
      </c>
      <c r="O101" s="24">
        <v>497</v>
      </c>
      <c r="P101" s="24">
        <v>0</v>
      </c>
      <c r="Q101" s="24">
        <v>0</v>
      </c>
      <c r="R101" s="22">
        <v>0</v>
      </c>
      <c r="S101" s="24">
        <v>0</v>
      </c>
      <c r="T101" s="24">
        <f t="shared" si="7"/>
        <v>0</v>
      </c>
      <c r="U101" s="376">
        <v>12.13</v>
      </c>
      <c r="V101" s="376">
        <v>0</v>
      </c>
      <c r="W101" s="22">
        <f t="shared" si="8"/>
        <v>5.255929000000001</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160.80000000000001</v>
      </c>
      <c r="N102" s="25">
        <v>0.74380000000000002</v>
      </c>
      <c r="O102" s="24">
        <v>497</v>
      </c>
      <c r="P102" s="24">
        <v>22</v>
      </c>
      <c r="Q102" s="24">
        <v>1</v>
      </c>
      <c r="R102" s="22">
        <v>21</v>
      </c>
      <c r="S102" s="24">
        <v>2</v>
      </c>
      <c r="T102" s="24">
        <f t="shared" si="7"/>
        <v>24</v>
      </c>
      <c r="U102" s="376">
        <v>0</v>
      </c>
      <c r="V102" s="376">
        <v>0</v>
      </c>
      <c r="W102" s="22">
        <f t="shared" si="8"/>
        <v>0</v>
      </c>
      <c r="X102" s="22">
        <f t="shared" si="9"/>
        <v>37.25</v>
      </c>
      <c r="Y102" s="22">
        <v>17.75</v>
      </c>
      <c r="Z102" s="22">
        <v>19.5</v>
      </c>
      <c r="AA102" s="371">
        <v>160.80000000000001</v>
      </c>
      <c r="AB102" s="22">
        <v>0.23165422885572137</v>
      </c>
      <c r="AC102" s="24">
        <v>9.6654228855721364E-2</v>
      </c>
      <c r="AD102" s="384">
        <v>-141054.3927454784</v>
      </c>
    </row>
    <row r="103" spans="1:30">
      <c r="A103" s="21" t="s">
        <v>61</v>
      </c>
      <c r="B103" s="21" t="s">
        <v>62</v>
      </c>
      <c r="C103" s="23">
        <v>70.400000000000006</v>
      </c>
      <c r="D103" s="147">
        <v>0</v>
      </c>
      <c r="E103" s="22">
        <v>0</v>
      </c>
      <c r="F103" s="22">
        <v>0</v>
      </c>
      <c r="G103" s="22">
        <v>0</v>
      </c>
      <c r="H103" s="22">
        <v>0</v>
      </c>
      <c r="I103" s="22">
        <v>0</v>
      </c>
      <c r="J103" s="22">
        <v>0</v>
      </c>
      <c r="K103" s="22">
        <v>0</v>
      </c>
      <c r="L103" s="22">
        <v>0</v>
      </c>
      <c r="M103" s="388">
        <v>153.02000000000001</v>
      </c>
      <c r="N103" s="25">
        <v>0.50919999999999999</v>
      </c>
      <c r="O103" s="24">
        <v>0</v>
      </c>
      <c r="P103" s="24">
        <v>3</v>
      </c>
      <c r="Q103" s="24">
        <v>2</v>
      </c>
      <c r="R103" s="22">
        <v>1</v>
      </c>
      <c r="S103" s="24">
        <v>1</v>
      </c>
      <c r="T103" s="24">
        <f t="shared" si="7"/>
        <v>4</v>
      </c>
      <c r="U103" s="376">
        <v>77.92</v>
      </c>
      <c r="V103" s="376">
        <v>7.65</v>
      </c>
      <c r="W103" s="22">
        <f t="shared" si="8"/>
        <v>39.676864000000002</v>
      </c>
      <c r="X103" s="22">
        <f t="shared" si="9"/>
        <v>20.5</v>
      </c>
      <c r="Y103" s="22">
        <v>17.5</v>
      </c>
      <c r="Z103" s="22">
        <v>3</v>
      </c>
      <c r="AA103" s="371">
        <v>153.02000000000001</v>
      </c>
      <c r="AB103" s="22">
        <v>0.1339694157626454</v>
      </c>
      <c r="AC103" s="24">
        <v>0</v>
      </c>
      <c r="AD103" s="384">
        <v>0</v>
      </c>
    </row>
    <row r="104" spans="1:30">
      <c r="A104" s="21" t="s">
        <v>517</v>
      </c>
      <c r="B104" s="21" t="s">
        <v>518</v>
      </c>
      <c r="C104" s="23">
        <v>239.21</v>
      </c>
      <c r="D104" s="147">
        <v>0</v>
      </c>
      <c r="E104" s="22">
        <v>0</v>
      </c>
      <c r="F104" s="22">
        <v>0</v>
      </c>
      <c r="G104" s="22">
        <v>0</v>
      </c>
      <c r="H104" s="22">
        <v>0</v>
      </c>
      <c r="I104" s="22">
        <v>0</v>
      </c>
      <c r="J104" s="22">
        <v>0</v>
      </c>
      <c r="K104" s="22">
        <v>0</v>
      </c>
      <c r="L104" s="22">
        <v>0</v>
      </c>
      <c r="M104" s="388">
        <v>603.01</v>
      </c>
      <c r="N104" s="25">
        <v>0.17130000000000001</v>
      </c>
      <c r="O104" s="24">
        <v>497</v>
      </c>
      <c r="P104" s="24">
        <v>1.5</v>
      </c>
      <c r="Q104" s="24">
        <v>0</v>
      </c>
      <c r="R104" s="22">
        <v>1.5</v>
      </c>
      <c r="S104" s="24">
        <v>1</v>
      </c>
      <c r="T104" s="24">
        <f t="shared" si="7"/>
        <v>2.5</v>
      </c>
      <c r="U104" s="376">
        <v>103.3</v>
      </c>
      <c r="V104" s="376">
        <v>30.15</v>
      </c>
      <c r="W104" s="22">
        <f t="shared" si="8"/>
        <v>17.69529</v>
      </c>
      <c r="X104" s="22">
        <f t="shared" si="9"/>
        <v>76.25</v>
      </c>
      <c r="Y104" s="22">
        <v>59.5</v>
      </c>
      <c r="Z104" s="22">
        <v>16.75</v>
      </c>
      <c r="AA104" s="371">
        <v>603.01</v>
      </c>
      <c r="AB104" s="22">
        <v>0.12644898094558962</v>
      </c>
      <c r="AC104" s="24">
        <v>0</v>
      </c>
      <c r="AD104" s="384">
        <v>0</v>
      </c>
    </row>
    <row r="105" spans="1:30">
      <c r="A105" s="21" t="s">
        <v>309</v>
      </c>
      <c r="B105" s="21" t="s">
        <v>310</v>
      </c>
      <c r="C105" s="23">
        <v>43.6</v>
      </c>
      <c r="D105" s="147">
        <v>1.06</v>
      </c>
      <c r="E105" s="22">
        <v>4.45</v>
      </c>
      <c r="F105" s="22">
        <v>5.51</v>
      </c>
      <c r="G105" s="22">
        <v>0</v>
      </c>
      <c r="H105" s="22">
        <v>1</v>
      </c>
      <c r="I105" s="22">
        <v>0</v>
      </c>
      <c r="J105" s="22">
        <v>0</v>
      </c>
      <c r="K105" s="22">
        <v>0</v>
      </c>
      <c r="L105" s="22">
        <v>0</v>
      </c>
      <c r="M105" s="388">
        <v>112.51</v>
      </c>
      <c r="N105" s="25">
        <v>0.52</v>
      </c>
      <c r="O105" s="24">
        <v>497</v>
      </c>
      <c r="P105" s="24">
        <v>0</v>
      </c>
      <c r="Q105" s="24">
        <v>0</v>
      </c>
      <c r="R105" s="22">
        <v>0</v>
      </c>
      <c r="S105" s="24">
        <v>0</v>
      </c>
      <c r="T105" s="24">
        <f t="shared" si="7"/>
        <v>0</v>
      </c>
      <c r="U105" s="376">
        <v>58.51</v>
      </c>
      <c r="V105" s="376">
        <v>0</v>
      </c>
      <c r="W105" s="22">
        <f t="shared" si="8"/>
        <v>30.4252</v>
      </c>
      <c r="X105" s="22">
        <f t="shared" si="9"/>
        <v>23.75</v>
      </c>
      <c r="Y105" s="22">
        <v>21.25</v>
      </c>
      <c r="Z105" s="22">
        <v>2.5</v>
      </c>
      <c r="AA105" s="371">
        <v>112.51</v>
      </c>
      <c r="AB105" s="22">
        <v>0.21109234734690249</v>
      </c>
      <c r="AC105" s="24">
        <v>7.6092347346902484E-2</v>
      </c>
      <c r="AD105" s="384">
        <v>-78551.001766501518</v>
      </c>
    </row>
    <row r="106" spans="1:30">
      <c r="A106" s="21" t="s">
        <v>599</v>
      </c>
      <c r="B106" s="21" t="s">
        <v>600</v>
      </c>
      <c r="C106" s="23">
        <v>256.8</v>
      </c>
      <c r="D106" s="147">
        <v>0</v>
      </c>
      <c r="E106" s="22">
        <v>46.3</v>
      </c>
      <c r="F106" s="22">
        <v>46.3</v>
      </c>
      <c r="G106" s="22">
        <v>0</v>
      </c>
      <c r="H106" s="22">
        <v>9.92</v>
      </c>
      <c r="I106" s="22">
        <v>0.42</v>
      </c>
      <c r="J106" s="22">
        <v>0</v>
      </c>
      <c r="K106" s="22">
        <v>5.4</v>
      </c>
      <c r="L106" s="22">
        <v>0</v>
      </c>
      <c r="M106" s="388">
        <v>1032.9400000000003</v>
      </c>
      <c r="N106" s="25">
        <v>0.82350000000000001</v>
      </c>
      <c r="O106" s="24">
        <v>523</v>
      </c>
      <c r="P106" s="24">
        <v>298.5</v>
      </c>
      <c r="Q106" s="24">
        <v>202.5</v>
      </c>
      <c r="R106" s="22">
        <v>96</v>
      </c>
      <c r="S106" s="24">
        <v>81.75</v>
      </c>
      <c r="T106" s="24">
        <f t="shared" si="7"/>
        <v>380.25</v>
      </c>
      <c r="U106" s="376">
        <v>850.63</v>
      </c>
      <c r="V106" s="376">
        <v>51.65</v>
      </c>
      <c r="W106" s="22">
        <f t="shared" si="8"/>
        <v>700.49380499999995</v>
      </c>
      <c r="X106" s="22">
        <f t="shared" si="9"/>
        <v>123.25</v>
      </c>
      <c r="Y106" s="22">
        <v>81.5</v>
      </c>
      <c r="Z106" s="22">
        <v>41.75</v>
      </c>
      <c r="AA106" s="371">
        <v>1054.1099999999999</v>
      </c>
      <c r="AB106" s="22">
        <v>0.11692328125148231</v>
      </c>
      <c r="AC106" s="24">
        <v>0</v>
      </c>
      <c r="AD106" s="384">
        <v>0</v>
      </c>
    </row>
    <row r="107" spans="1:30">
      <c r="A107" s="21" t="s">
        <v>191</v>
      </c>
      <c r="B107" s="21" t="s">
        <v>192</v>
      </c>
      <c r="C107" s="23">
        <v>5214.53</v>
      </c>
      <c r="D107" s="147">
        <v>125.7</v>
      </c>
      <c r="E107" s="22">
        <v>655.34</v>
      </c>
      <c r="F107" s="22">
        <v>781.04000000000008</v>
      </c>
      <c r="G107" s="22">
        <v>360.64</v>
      </c>
      <c r="H107" s="22">
        <v>385.54</v>
      </c>
      <c r="I107" s="22">
        <v>31.37</v>
      </c>
      <c r="J107" s="22">
        <v>622.56999999999994</v>
      </c>
      <c r="K107" s="22">
        <v>160.18</v>
      </c>
      <c r="L107" s="22">
        <v>0</v>
      </c>
      <c r="M107" s="388">
        <v>17619.04</v>
      </c>
      <c r="N107" s="25">
        <v>0.70820000000000005</v>
      </c>
      <c r="O107" s="24">
        <v>497</v>
      </c>
      <c r="P107" s="24">
        <v>5679</v>
      </c>
      <c r="Q107" s="24">
        <v>3443.75</v>
      </c>
      <c r="R107" s="22">
        <v>2235.25</v>
      </c>
      <c r="S107" s="24">
        <v>510.5</v>
      </c>
      <c r="T107" s="24">
        <f t="shared" si="7"/>
        <v>6189.5</v>
      </c>
      <c r="U107" s="376">
        <v>12477.8</v>
      </c>
      <c r="V107" s="376">
        <v>880.95</v>
      </c>
      <c r="W107" s="22">
        <f t="shared" si="8"/>
        <v>8836.7779599999994</v>
      </c>
      <c r="X107" s="22">
        <f t="shared" si="9"/>
        <v>2499.25</v>
      </c>
      <c r="Y107" s="22">
        <v>1760.75</v>
      </c>
      <c r="Z107" s="22">
        <v>738.5</v>
      </c>
      <c r="AA107" s="371">
        <v>17460.7</v>
      </c>
      <c r="AB107" s="22">
        <v>0.14313572766269392</v>
      </c>
      <c r="AC107" s="24">
        <v>8.135727662693909E-3</v>
      </c>
      <c r="AD107" s="384">
        <v>-1409615.2284091595</v>
      </c>
    </row>
    <row r="108" spans="1:30">
      <c r="A108" s="21" t="s">
        <v>57</v>
      </c>
      <c r="B108" s="21" t="s">
        <v>58</v>
      </c>
      <c r="C108" s="23">
        <v>538.16999999999996</v>
      </c>
      <c r="D108" s="147">
        <v>9.2200000000000006</v>
      </c>
      <c r="E108" s="22">
        <v>41.28</v>
      </c>
      <c r="F108" s="22">
        <v>50.5</v>
      </c>
      <c r="G108" s="22">
        <v>0</v>
      </c>
      <c r="H108" s="22">
        <v>64.099999999999994</v>
      </c>
      <c r="I108" s="22">
        <v>0.55000000000000004</v>
      </c>
      <c r="J108" s="22">
        <v>0</v>
      </c>
      <c r="K108" s="22">
        <v>3.4</v>
      </c>
      <c r="L108" s="22">
        <v>0</v>
      </c>
      <c r="M108" s="388">
        <v>1919.72</v>
      </c>
      <c r="N108" s="25">
        <v>0.18160000000000001</v>
      </c>
      <c r="O108" s="24">
        <v>0</v>
      </c>
      <c r="P108" s="24">
        <v>71.5</v>
      </c>
      <c r="Q108" s="24">
        <v>49.25</v>
      </c>
      <c r="R108" s="22">
        <v>22.25</v>
      </c>
      <c r="S108" s="24">
        <v>11</v>
      </c>
      <c r="T108" s="24">
        <f t="shared" si="7"/>
        <v>82.5</v>
      </c>
      <c r="U108" s="376">
        <v>348.62</v>
      </c>
      <c r="V108" s="376">
        <v>95.99</v>
      </c>
      <c r="W108" s="22">
        <f t="shared" si="8"/>
        <v>63.309392000000003</v>
      </c>
      <c r="X108" s="22">
        <f t="shared" si="9"/>
        <v>175.75</v>
      </c>
      <c r="Y108" s="22">
        <v>108</v>
      </c>
      <c r="Z108" s="22">
        <v>67.75</v>
      </c>
      <c r="AA108" s="371">
        <v>1934.62</v>
      </c>
      <c r="AB108" s="22">
        <v>9.084471369054388E-2</v>
      </c>
      <c r="AC108" s="24">
        <v>0</v>
      </c>
      <c r="AD108" s="384">
        <v>0</v>
      </c>
    </row>
    <row r="109" spans="1:30">
      <c r="A109" s="21" t="s">
        <v>325</v>
      </c>
      <c r="B109" s="21" t="s">
        <v>326</v>
      </c>
      <c r="C109" s="23">
        <v>129.19999999999999</v>
      </c>
      <c r="D109" s="147">
        <v>0</v>
      </c>
      <c r="E109" s="22">
        <v>0</v>
      </c>
      <c r="F109" s="22">
        <v>0</v>
      </c>
      <c r="G109" s="22">
        <v>0</v>
      </c>
      <c r="H109" s="22">
        <v>0</v>
      </c>
      <c r="I109" s="22">
        <v>0</v>
      </c>
      <c r="J109" s="22">
        <v>0</v>
      </c>
      <c r="K109" s="22">
        <v>0</v>
      </c>
      <c r="L109" s="22">
        <v>0</v>
      </c>
      <c r="M109" s="388">
        <v>300.60000000000002</v>
      </c>
      <c r="N109" s="25">
        <v>0.8034</v>
      </c>
      <c r="O109" s="24">
        <v>497</v>
      </c>
      <c r="P109" s="24">
        <v>7.5</v>
      </c>
      <c r="Q109" s="24">
        <v>7.5</v>
      </c>
      <c r="R109" s="22">
        <v>0</v>
      </c>
      <c r="S109" s="24">
        <v>0</v>
      </c>
      <c r="T109" s="24">
        <f t="shared" si="7"/>
        <v>7.5</v>
      </c>
      <c r="U109" s="376">
        <v>241.5</v>
      </c>
      <c r="V109" s="376">
        <v>15.03</v>
      </c>
      <c r="W109" s="22">
        <f t="shared" si="8"/>
        <v>194.02109999999999</v>
      </c>
      <c r="X109" s="22">
        <f t="shared" si="9"/>
        <v>36.75</v>
      </c>
      <c r="Y109" s="22">
        <v>31</v>
      </c>
      <c r="Z109" s="22">
        <v>5.75</v>
      </c>
      <c r="AA109" s="371">
        <v>300.60000000000002</v>
      </c>
      <c r="AB109" s="22">
        <v>0.12225548902195608</v>
      </c>
      <c r="AC109" s="24">
        <v>0</v>
      </c>
      <c r="AD109" s="384">
        <v>0</v>
      </c>
    </row>
    <row r="110" spans="1:30">
      <c r="A110" s="21" t="s">
        <v>143</v>
      </c>
      <c r="B110" s="21" t="s">
        <v>144</v>
      </c>
      <c r="C110" s="23">
        <v>420.8</v>
      </c>
      <c r="D110" s="147">
        <v>16.989999999999998</v>
      </c>
      <c r="E110" s="22">
        <v>126.88</v>
      </c>
      <c r="F110" s="22">
        <v>143.87</v>
      </c>
      <c r="G110" s="22">
        <v>0</v>
      </c>
      <c r="H110" s="22">
        <v>21.82</v>
      </c>
      <c r="I110" s="22">
        <v>0.98</v>
      </c>
      <c r="J110" s="22">
        <v>123.67</v>
      </c>
      <c r="K110" s="22">
        <v>12.08</v>
      </c>
      <c r="L110" s="22">
        <v>0</v>
      </c>
      <c r="M110" s="388">
        <v>1569.03</v>
      </c>
      <c r="N110" s="25">
        <v>0.76549999999999996</v>
      </c>
      <c r="O110" s="24">
        <v>576</v>
      </c>
      <c r="P110" s="24">
        <v>98.25</v>
      </c>
      <c r="Q110" s="24">
        <v>71</v>
      </c>
      <c r="R110" s="22">
        <v>27.25</v>
      </c>
      <c r="S110" s="24">
        <v>11.75</v>
      </c>
      <c r="T110" s="24">
        <f t="shared" si="7"/>
        <v>110</v>
      </c>
      <c r="U110" s="376">
        <v>1201.0899999999999</v>
      </c>
      <c r="V110" s="376">
        <v>78.45</v>
      </c>
      <c r="W110" s="22">
        <f t="shared" si="8"/>
        <v>919.43439499999988</v>
      </c>
      <c r="X110" s="22">
        <f t="shared" si="9"/>
        <v>236</v>
      </c>
      <c r="Y110" s="22">
        <v>190.75</v>
      </c>
      <c r="Z110" s="22">
        <v>45.25</v>
      </c>
      <c r="AA110" s="371">
        <v>1573.59</v>
      </c>
      <c r="AB110" s="22">
        <v>0.14997553365234909</v>
      </c>
      <c r="AC110" s="24">
        <v>1.4975533652349077E-2</v>
      </c>
      <c r="AD110" s="384">
        <v>-205654.90136433387</v>
      </c>
    </row>
    <row r="111" spans="1:30">
      <c r="A111" s="21" t="s">
        <v>1315</v>
      </c>
      <c r="B111" s="21" t="s">
        <v>1316</v>
      </c>
      <c r="C111" s="23">
        <v>252</v>
      </c>
      <c r="D111" s="147">
        <v>0</v>
      </c>
      <c r="E111" s="22">
        <v>0</v>
      </c>
      <c r="F111" s="22">
        <v>0</v>
      </c>
      <c r="G111" s="22">
        <v>0</v>
      </c>
      <c r="H111" s="22">
        <v>0</v>
      </c>
      <c r="I111" s="22">
        <v>0</v>
      </c>
      <c r="J111" s="22">
        <v>0</v>
      </c>
      <c r="K111" s="22">
        <v>0</v>
      </c>
      <c r="L111" s="22">
        <v>0</v>
      </c>
      <c r="M111" s="388">
        <v>252</v>
      </c>
      <c r="N111" s="25">
        <v>0.54679999999999995</v>
      </c>
      <c r="O111" s="24">
        <v>497</v>
      </c>
      <c r="P111" s="24">
        <v>30.24</v>
      </c>
      <c r="Q111" s="24">
        <v>30.24</v>
      </c>
      <c r="R111" s="22">
        <v>0</v>
      </c>
      <c r="S111" s="24">
        <v>0</v>
      </c>
      <c r="T111" s="24">
        <f t="shared" si="7"/>
        <v>30.24</v>
      </c>
      <c r="U111" s="376">
        <v>137.79</v>
      </c>
      <c r="V111" s="376">
        <v>0</v>
      </c>
      <c r="W111" s="22">
        <f t="shared" si="8"/>
        <v>75.343571999999995</v>
      </c>
      <c r="X111" s="22">
        <f t="shared" si="9"/>
        <v>2.52</v>
      </c>
      <c r="Y111" s="22">
        <v>2.52</v>
      </c>
      <c r="Z111" s="22">
        <v>0</v>
      </c>
      <c r="AA111" s="371">
        <v>252</v>
      </c>
      <c r="AB111" s="22">
        <v>0.01</v>
      </c>
      <c r="AC111" s="24">
        <v>0</v>
      </c>
      <c r="AD111" s="384">
        <v>0</v>
      </c>
    </row>
    <row r="112" spans="1:30">
      <c r="A112" s="21" t="s">
        <v>1230</v>
      </c>
      <c r="B112" s="21" t="s">
        <v>1231</v>
      </c>
      <c r="C112" s="23">
        <v>292.2</v>
      </c>
      <c r="D112" s="147">
        <v>0</v>
      </c>
      <c r="E112" s="22">
        <v>0</v>
      </c>
      <c r="F112" s="22">
        <v>0</v>
      </c>
      <c r="G112" s="22">
        <v>0</v>
      </c>
      <c r="H112" s="22">
        <v>0</v>
      </c>
      <c r="I112" s="22">
        <v>0</v>
      </c>
      <c r="J112" s="22">
        <v>0</v>
      </c>
      <c r="K112" s="22">
        <v>0</v>
      </c>
      <c r="L112" s="22">
        <v>0</v>
      </c>
      <c r="M112" s="388">
        <v>292.2</v>
      </c>
      <c r="N112" s="25">
        <v>0.59</v>
      </c>
      <c r="O112" s="24">
        <v>497</v>
      </c>
      <c r="P112" s="24">
        <v>46</v>
      </c>
      <c r="Q112" s="24">
        <v>46</v>
      </c>
      <c r="R112" s="22">
        <v>0</v>
      </c>
      <c r="S112" s="24">
        <v>0</v>
      </c>
      <c r="T112" s="24">
        <f t="shared" si="7"/>
        <v>46</v>
      </c>
      <c r="U112" s="376">
        <v>172.4</v>
      </c>
      <c r="V112" s="376">
        <v>14.61</v>
      </c>
      <c r="W112" s="22">
        <f t="shared" si="8"/>
        <v>101.71599999999999</v>
      </c>
      <c r="X112" s="22">
        <f t="shared" si="9"/>
        <v>7.75</v>
      </c>
      <c r="Y112" s="22">
        <v>7</v>
      </c>
      <c r="Z112" s="22">
        <v>0.75</v>
      </c>
      <c r="AA112" s="371">
        <v>292.2</v>
      </c>
      <c r="AB112" s="22">
        <v>2.6522929500342234E-2</v>
      </c>
      <c r="AC112" s="24">
        <v>0</v>
      </c>
      <c r="AD112" s="384">
        <v>0</v>
      </c>
    </row>
    <row r="113" spans="1:30">
      <c r="A113" s="21" t="s">
        <v>1032</v>
      </c>
      <c r="B113" s="21" t="s">
        <v>1042</v>
      </c>
      <c r="C113" s="23">
        <v>526.6</v>
      </c>
      <c r="D113" s="147">
        <v>0</v>
      </c>
      <c r="E113" s="22">
        <v>0</v>
      </c>
      <c r="F113" s="22">
        <v>0</v>
      </c>
      <c r="G113" s="22">
        <v>0</v>
      </c>
      <c r="H113" s="22">
        <v>0</v>
      </c>
      <c r="I113" s="22">
        <v>0</v>
      </c>
      <c r="J113" s="22">
        <v>0</v>
      </c>
      <c r="K113" s="22">
        <v>0</v>
      </c>
      <c r="L113" s="22">
        <v>0</v>
      </c>
      <c r="M113" s="388">
        <v>597.80000000000007</v>
      </c>
      <c r="N113" s="25">
        <v>0.65</v>
      </c>
      <c r="O113" s="24">
        <v>497</v>
      </c>
      <c r="P113" s="24">
        <v>151</v>
      </c>
      <c r="Q113" s="24">
        <v>151</v>
      </c>
      <c r="R113" s="22">
        <v>0</v>
      </c>
      <c r="S113" s="24">
        <v>26.75</v>
      </c>
      <c r="T113" s="24">
        <f t="shared" si="7"/>
        <v>177.75</v>
      </c>
      <c r="U113" s="376">
        <v>388.57</v>
      </c>
      <c r="V113" s="376">
        <v>29.89</v>
      </c>
      <c r="W113" s="22">
        <f t="shared" si="8"/>
        <v>252.57050000000001</v>
      </c>
      <c r="X113" s="22">
        <f t="shared" si="9"/>
        <v>23</v>
      </c>
      <c r="Y113" s="22">
        <v>23</v>
      </c>
      <c r="Z113" s="22">
        <v>0</v>
      </c>
      <c r="AA113" s="371">
        <v>597.79999999999995</v>
      </c>
      <c r="AB113" s="22">
        <v>3.8474406155904986E-2</v>
      </c>
      <c r="AC113" s="24">
        <v>0</v>
      </c>
      <c r="AD113" s="384">
        <v>0</v>
      </c>
    </row>
    <row r="114" spans="1:30">
      <c r="A114" s="21" t="s">
        <v>107</v>
      </c>
      <c r="B114" s="21" t="s">
        <v>108</v>
      </c>
      <c r="C114" s="23">
        <v>66.599999999999994</v>
      </c>
      <c r="D114" s="147">
        <v>0</v>
      </c>
      <c r="E114" s="22">
        <v>0</v>
      </c>
      <c r="F114" s="22">
        <v>0</v>
      </c>
      <c r="G114" s="22">
        <v>0</v>
      </c>
      <c r="H114" s="22">
        <v>4.3899999999999997</v>
      </c>
      <c r="I114" s="22">
        <v>0.6</v>
      </c>
      <c r="J114" s="22">
        <v>0</v>
      </c>
      <c r="K114" s="22">
        <v>0</v>
      </c>
      <c r="L114" s="22">
        <v>0</v>
      </c>
      <c r="M114" s="388">
        <v>226.23999999999998</v>
      </c>
      <c r="N114" s="25">
        <v>0.82379999999999998</v>
      </c>
      <c r="O114" s="24">
        <v>576</v>
      </c>
      <c r="P114" s="24">
        <v>0</v>
      </c>
      <c r="Q114" s="24">
        <v>0</v>
      </c>
      <c r="R114" s="22">
        <v>0</v>
      </c>
      <c r="S114" s="24">
        <v>0</v>
      </c>
      <c r="T114" s="24">
        <f t="shared" si="7"/>
        <v>0</v>
      </c>
      <c r="U114" s="376">
        <v>186.38</v>
      </c>
      <c r="V114" s="376">
        <v>0</v>
      </c>
      <c r="W114" s="22">
        <f t="shared" si="8"/>
        <v>153.53984399999999</v>
      </c>
      <c r="X114" s="22">
        <f t="shared" si="9"/>
        <v>24.25</v>
      </c>
      <c r="Y114" s="22">
        <v>18.75</v>
      </c>
      <c r="Z114" s="22">
        <v>5.5</v>
      </c>
      <c r="AA114" s="371">
        <v>226.23</v>
      </c>
      <c r="AB114" s="22">
        <v>0.10719179595986386</v>
      </c>
      <c r="AC114" s="24">
        <v>0</v>
      </c>
      <c r="AD114" s="384">
        <v>0</v>
      </c>
    </row>
    <row r="115" spans="1:30">
      <c r="A115" s="21" t="s">
        <v>435</v>
      </c>
      <c r="B115" s="21" t="s">
        <v>436</v>
      </c>
      <c r="C115" s="23">
        <v>17.48</v>
      </c>
      <c r="D115" s="147">
        <v>0</v>
      </c>
      <c r="E115" s="22">
        <v>0</v>
      </c>
      <c r="F115" s="22">
        <v>0</v>
      </c>
      <c r="G115" s="22">
        <v>0</v>
      </c>
      <c r="H115" s="22">
        <v>0</v>
      </c>
      <c r="I115" s="22">
        <v>0</v>
      </c>
      <c r="J115" s="22">
        <v>0</v>
      </c>
      <c r="K115" s="22">
        <v>0</v>
      </c>
      <c r="L115" s="22">
        <v>0</v>
      </c>
      <c r="M115" s="388">
        <v>23.68</v>
      </c>
      <c r="N115" s="25">
        <v>0.5</v>
      </c>
      <c r="O115" s="24">
        <v>497</v>
      </c>
      <c r="P115" s="24">
        <v>0</v>
      </c>
      <c r="Q115" s="24">
        <v>0</v>
      </c>
      <c r="R115" s="22">
        <v>0</v>
      </c>
      <c r="S115" s="24">
        <v>0</v>
      </c>
      <c r="T115" s="24">
        <f t="shared" si="7"/>
        <v>0</v>
      </c>
      <c r="U115" s="376">
        <v>11.84</v>
      </c>
      <c r="V115" s="376">
        <v>0</v>
      </c>
      <c r="W115" s="22">
        <f t="shared" si="8"/>
        <v>5.92</v>
      </c>
      <c r="X115" s="22">
        <f t="shared" si="9"/>
        <v>4</v>
      </c>
      <c r="Y115" s="22">
        <v>3</v>
      </c>
      <c r="Z115" s="22">
        <v>1</v>
      </c>
      <c r="AA115" s="371">
        <v>23.68</v>
      </c>
      <c r="AB115" s="22">
        <v>0.16891891891891891</v>
      </c>
      <c r="AC115" s="24">
        <v>3.3918918918918906E-2</v>
      </c>
      <c r="AD115" s="384">
        <v>-8576.0324719840391</v>
      </c>
    </row>
    <row r="116" spans="1:30">
      <c r="A116" s="21" t="s">
        <v>211</v>
      </c>
      <c r="B116" s="21" t="s">
        <v>212</v>
      </c>
      <c r="C116" s="23">
        <v>5203.26</v>
      </c>
      <c r="D116" s="147">
        <v>100.48</v>
      </c>
      <c r="E116" s="22">
        <v>1053.8399999999999</v>
      </c>
      <c r="F116" s="22">
        <v>1154.32</v>
      </c>
      <c r="G116" s="22">
        <v>0</v>
      </c>
      <c r="H116" s="22">
        <v>580.16999999999996</v>
      </c>
      <c r="I116" s="22">
        <v>59.98</v>
      </c>
      <c r="J116" s="22">
        <v>8.34</v>
      </c>
      <c r="K116" s="22">
        <v>0</v>
      </c>
      <c r="L116" s="22">
        <v>0</v>
      </c>
      <c r="M116" s="388">
        <v>19237.55</v>
      </c>
      <c r="N116" s="25">
        <v>0.10150000000000001</v>
      </c>
      <c r="O116" s="24">
        <v>497</v>
      </c>
      <c r="P116" s="24">
        <v>1265.25</v>
      </c>
      <c r="Q116" s="24">
        <v>1025.75</v>
      </c>
      <c r="R116" s="22">
        <v>239.5</v>
      </c>
      <c r="S116" s="24">
        <v>657</v>
      </c>
      <c r="T116" s="24">
        <f t="shared" si="7"/>
        <v>1922.25</v>
      </c>
      <c r="U116" s="376">
        <v>1952.61</v>
      </c>
      <c r="V116" s="376">
        <v>961.88</v>
      </c>
      <c r="W116" s="22">
        <f t="shared" si="8"/>
        <v>198.18991500000001</v>
      </c>
      <c r="X116" s="22">
        <f t="shared" si="9"/>
        <v>1567.25</v>
      </c>
      <c r="Y116" s="22">
        <v>1022</v>
      </c>
      <c r="Z116" s="22">
        <v>545.25</v>
      </c>
      <c r="AA116" s="371">
        <v>19348.47</v>
      </c>
      <c r="AB116" s="22">
        <v>8.1001236790299178E-2</v>
      </c>
      <c r="AC116" s="24">
        <v>0</v>
      </c>
      <c r="AD116" s="384">
        <v>0</v>
      </c>
    </row>
    <row r="117" spans="1:30">
      <c r="A117" s="21" t="s">
        <v>117</v>
      </c>
      <c r="B117" s="21" t="s">
        <v>118</v>
      </c>
      <c r="C117" s="23">
        <v>13</v>
      </c>
      <c r="D117" s="147">
        <v>0</v>
      </c>
      <c r="E117" s="22">
        <v>3.68</v>
      </c>
      <c r="F117" s="22">
        <v>3.68</v>
      </c>
      <c r="G117" s="22">
        <v>0</v>
      </c>
      <c r="H117" s="22">
        <v>0</v>
      </c>
      <c r="I117" s="22">
        <v>0</v>
      </c>
      <c r="J117" s="22">
        <v>0</v>
      </c>
      <c r="K117" s="22">
        <v>0</v>
      </c>
      <c r="L117" s="22">
        <v>0</v>
      </c>
      <c r="M117" s="388">
        <v>36.4</v>
      </c>
      <c r="N117" s="25">
        <v>0.68179999999999996</v>
      </c>
      <c r="O117" s="24">
        <v>576</v>
      </c>
      <c r="P117" s="24">
        <v>0</v>
      </c>
      <c r="Q117" s="24">
        <v>0</v>
      </c>
      <c r="R117" s="22">
        <v>0</v>
      </c>
      <c r="S117" s="24">
        <v>1</v>
      </c>
      <c r="T117" s="24">
        <f t="shared" si="7"/>
        <v>1</v>
      </c>
      <c r="U117" s="376">
        <v>24.82</v>
      </c>
      <c r="V117" s="376">
        <v>0</v>
      </c>
      <c r="W117" s="22">
        <f t="shared" si="8"/>
        <v>16.922276</v>
      </c>
      <c r="X117" s="22">
        <f t="shared" si="9"/>
        <v>4</v>
      </c>
      <c r="Y117" s="22">
        <v>4</v>
      </c>
      <c r="Z117" s="22">
        <v>0</v>
      </c>
      <c r="AA117" s="371">
        <v>36.4</v>
      </c>
      <c r="AB117" s="22">
        <v>0.10989010989010989</v>
      </c>
      <c r="AC117" s="24">
        <v>0</v>
      </c>
      <c r="AD117" s="384">
        <v>0</v>
      </c>
    </row>
    <row r="118" spans="1:30">
      <c r="A118" s="21" t="s">
        <v>83</v>
      </c>
      <c r="B118" s="21" t="s">
        <v>84</v>
      </c>
      <c r="C118" s="23">
        <v>325.27999999999997</v>
      </c>
      <c r="D118" s="147">
        <v>17.07</v>
      </c>
      <c r="E118" s="22">
        <v>37.68</v>
      </c>
      <c r="F118" s="22">
        <v>54.75</v>
      </c>
      <c r="G118" s="22">
        <v>0</v>
      </c>
      <c r="H118" s="22">
        <v>37.549999999999997</v>
      </c>
      <c r="I118" s="22">
        <v>1.45</v>
      </c>
      <c r="J118" s="22">
        <v>37.6</v>
      </c>
      <c r="K118" s="22">
        <v>0</v>
      </c>
      <c r="L118" s="22">
        <v>0</v>
      </c>
      <c r="M118" s="388">
        <v>1041.82</v>
      </c>
      <c r="N118" s="25">
        <v>0.32329999999999998</v>
      </c>
      <c r="O118" s="24">
        <v>576</v>
      </c>
      <c r="P118" s="24">
        <v>28.75</v>
      </c>
      <c r="Q118" s="24">
        <v>20.75</v>
      </c>
      <c r="R118" s="22">
        <v>8</v>
      </c>
      <c r="S118" s="24">
        <v>2</v>
      </c>
      <c r="T118" s="24">
        <f t="shared" si="7"/>
        <v>30.75</v>
      </c>
      <c r="U118" s="376">
        <v>336.82</v>
      </c>
      <c r="V118" s="376">
        <v>0</v>
      </c>
      <c r="W118" s="22">
        <f t="shared" si="8"/>
        <v>108.89390599999999</v>
      </c>
      <c r="X118" s="22">
        <f t="shared" si="9"/>
        <v>183</v>
      </c>
      <c r="Y118" s="22">
        <v>127.25</v>
      </c>
      <c r="Z118" s="22">
        <v>55.75</v>
      </c>
      <c r="AA118" s="371">
        <v>1043.6099999999999</v>
      </c>
      <c r="AB118" s="22">
        <v>0.17535286170121023</v>
      </c>
      <c r="AC118" s="24">
        <v>4.0352861701210219E-2</v>
      </c>
      <c r="AD118" s="384">
        <v>-370365.46756246657</v>
      </c>
    </row>
    <row r="119" spans="1:30">
      <c r="A119" s="21" t="s">
        <v>101</v>
      </c>
      <c r="B119" s="21" t="s">
        <v>102</v>
      </c>
      <c r="C119" s="23">
        <v>22.2</v>
      </c>
      <c r="D119" s="147">
        <v>0</v>
      </c>
      <c r="E119" s="22">
        <v>0</v>
      </c>
      <c r="F119" s="22">
        <v>0</v>
      </c>
      <c r="G119" s="22">
        <v>0</v>
      </c>
      <c r="H119" s="22">
        <v>0</v>
      </c>
      <c r="I119" s="22">
        <v>0</v>
      </c>
      <c r="J119" s="22">
        <v>0</v>
      </c>
      <c r="K119" s="22">
        <v>0</v>
      </c>
      <c r="L119" s="22">
        <v>0</v>
      </c>
      <c r="M119" s="388">
        <v>33.4</v>
      </c>
      <c r="N119" s="25">
        <v>0.93940000000000001</v>
      </c>
      <c r="O119" s="24">
        <v>576</v>
      </c>
      <c r="P119" s="24">
        <v>0</v>
      </c>
      <c r="Q119" s="24">
        <v>0</v>
      </c>
      <c r="R119" s="22">
        <v>0</v>
      </c>
      <c r="S119" s="24">
        <v>0</v>
      </c>
      <c r="T119" s="24">
        <f t="shared" si="7"/>
        <v>0</v>
      </c>
      <c r="U119" s="376">
        <v>31.38</v>
      </c>
      <c r="V119" s="376">
        <v>0</v>
      </c>
      <c r="W119" s="22">
        <f t="shared" si="8"/>
        <v>29.478372</v>
      </c>
      <c r="X119" s="22">
        <f t="shared" si="9"/>
        <v>3.5</v>
      </c>
      <c r="Y119" s="22">
        <v>3.5</v>
      </c>
      <c r="Z119" s="22">
        <v>0</v>
      </c>
      <c r="AA119" s="371">
        <v>33.4</v>
      </c>
      <c r="AB119" s="22">
        <v>0.10479041916167665</v>
      </c>
      <c r="AC119" s="24">
        <v>0</v>
      </c>
      <c r="AD119" s="384">
        <v>0</v>
      </c>
    </row>
    <row r="120" spans="1:30">
      <c r="A120" s="21" t="s">
        <v>87</v>
      </c>
      <c r="B120" s="21" t="s">
        <v>88</v>
      </c>
      <c r="C120" s="23">
        <v>1360.64</v>
      </c>
      <c r="D120" s="147">
        <v>63.76</v>
      </c>
      <c r="E120" s="22">
        <v>357.56</v>
      </c>
      <c r="F120" s="22">
        <v>421.32</v>
      </c>
      <c r="G120" s="22">
        <v>0</v>
      </c>
      <c r="H120" s="22">
        <v>80.760000000000005</v>
      </c>
      <c r="I120" s="22">
        <v>8.16</v>
      </c>
      <c r="J120" s="22">
        <v>234.93</v>
      </c>
      <c r="K120" s="22">
        <v>15.24</v>
      </c>
      <c r="L120" s="22">
        <v>1.22</v>
      </c>
      <c r="M120" s="388">
        <v>4788.51</v>
      </c>
      <c r="N120" s="25">
        <v>0.61309999999999998</v>
      </c>
      <c r="O120" s="24">
        <v>576</v>
      </c>
      <c r="P120" s="24">
        <v>305.75</v>
      </c>
      <c r="Q120" s="24">
        <v>195.5</v>
      </c>
      <c r="R120" s="22">
        <v>110.25</v>
      </c>
      <c r="S120" s="24">
        <v>23.5</v>
      </c>
      <c r="T120" s="24">
        <f t="shared" si="7"/>
        <v>329.25</v>
      </c>
      <c r="U120" s="376">
        <v>2935.84</v>
      </c>
      <c r="V120" s="376">
        <v>239.43</v>
      </c>
      <c r="W120" s="22">
        <f t="shared" si="8"/>
        <v>1799.9635040000001</v>
      </c>
      <c r="X120" s="22">
        <f t="shared" si="9"/>
        <v>682.25</v>
      </c>
      <c r="Y120" s="22">
        <v>354.5</v>
      </c>
      <c r="Z120" s="22">
        <v>327.75</v>
      </c>
      <c r="AA120" s="371">
        <v>4781.29</v>
      </c>
      <c r="AB120" s="22">
        <v>0.14269161669758579</v>
      </c>
      <c r="AC120" s="24">
        <v>7.6916166975857791E-3</v>
      </c>
      <c r="AD120" s="384">
        <v>-320879.94817918958</v>
      </c>
    </row>
    <row r="121" spans="1:30">
      <c r="A121" s="21" t="s">
        <v>17</v>
      </c>
      <c r="B121" s="21" t="s">
        <v>18</v>
      </c>
      <c r="C121" s="23">
        <v>5149.1099999999997</v>
      </c>
      <c r="D121" s="147">
        <v>161.62</v>
      </c>
      <c r="E121" s="22">
        <v>961.01</v>
      </c>
      <c r="F121" s="22">
        <v>1122.6300000000001</v>
      </c>
      <c r="G121" s="22">
        <v>437.59</v>
      </c>
      <c r="H121" s="22">
        <v>269.67</v>
      </c>
      <c r="I121" s="22">
        <v>13.25</v>
      </c>
      <c r="J121" s="22">
        <v>791.23</v>
      </c>
      <c r="K121" s="22">
        <v>28.6</v>
      </c>
      <c r="L121" s="22">
        <v>0</v>
      </c>
      <c r="M121" s="388">
        <v>18323.689999999995</v>
      </c>
      <c r="N121" s="25">
        <v>0.58799999999999997</v>
      </c>
      <c r="O121" s="24">
        <v>0</v>
      </c>
      <c r="P121" s="24">
        <v>2584.25</v>
      </c>
      <c r="Q121" s="24">
        <v>1687.75</v>
      </c>
      <c r="R121" s="22">
        <v>896.5</v>
      </c>
      <c r="S121" s="24">
        <v>492</v>
      </c>
      <c r="T121" s="24">
        <f t="shared" si="7"/>
        <v>3076.25</v>
      </c>
      <c r="U121" s="376">
        <v>10774.33</v>
      </c>
      <c r="V121" s="376">
        <v>916.18</v>
      </c>
      <c r="W121" s="22">
        <f t="shared" si="8"/>
        <v>6335.3060399999995</v>
      </c>
      <c r="X121" s="22">
        <f t="shared" si="9"/>
        <v>2171.75</v>
      </c>
      <c r="Y121" s="22">
        <v>1055</v>
      </c>
      <c r="Z121" s="22">
        <v>1116.75</v>
      </c>
      <c r="AA121" s="371">
        <v>18041.61</v>
      </c>
      <c r="AB121" s="22">
        <v>0.12037451203079991</v>
      </c>
      <c r="AC121" s="24">
        <v>0</v>
      </c>
      <c r="AD121" s="384">
        <v>0</v>
      </c>
    </row>
    <row r="122" spans="1:30">
      <c r="A122" s="21" t="s">
        <v>217</v>
      </c>
      <c r="B122" s="21" t="s">
        <v>218</v>
      </c>
      <c r="C122" s="23">
        <v>7328.96</v>
      </c>
      <c r="D122" s="147">
        <v>189.54</v>
      </c>
      <c r="E122" s="22">
        <v>1439.41</v>
      </c>
      <c r="F122" s="22">
        <v>1628.95</v>
      </c>
      <c r="G122" s="22">
        <v>0</v>
      </c>
      <c r="H122" s="22">
        <v>734.36</v>
      </c>
      <c r="I122" s="22">
        <v>52.82</v>
      </c>
      <c r="J122" s="22">
        <v>52.16</v>
      </c>
      <c r="K122" s="22">
        <v>187.09</v>
      </c>
      <c r="L122" s="22">
        <v>6.68</v>
      </c>
      <c r="M122" s="388">
        <v>24699.13</v>
      </c>
      <c r="N122" s="25">
        <v>0.5212</v>
      </c>
      <c r="O122" s="24">
        <v>497</v>
      </c>
      <c r="P122" s="24">
        <v>5805.75</v>
      </c>
      <c r="Q122" s="24">
        <v>3871.75</v>
      </c>
      <c r="R122" s="22">
        <v>1934</v>
      </c>
      <c r="S122" s="24">
        <v>734.5</v>
      </c>
      <c r="T122" s="24">
        <f t="shared" si="7"/>
        <v>6540.25</v>
      </c>
      <c r="U122" s="376">
        <v>12873.19</v>
      </c>
      <c r="V122" s="376">
        <v>1234.96</v>
      </c>
      <c r="W122" s="22">
        <f t="shared" si="8"/>
        <v>6709.5066280000001</v>
      </c>
      <c r="X122" s="22">
        <f t="shared" si="9"/>
        <v>2656.5</v>
      </c>
      <c r="Y122" s="22">
        <v>1480.75</v>
      </c>
      <c r="Z122" s="22">
        <v>1175.75</v>
      </c>
      <c r="AA122" s="371">
        <v>24742.76</v>
      </c>
      <c r="AB122" s="22">
        <v>0.10736474023108175</v>
      </c>
      <c r="AC122" s="24">
        <v>0</v>
      </c>
      <c r="AD122" s="384">
        <v>0</v>
      </c>
    </row>
    <row r="123" spans="1:30">
      <c r="A123" s="21" t="s">
        <v>505</v>
      </c>
      <c r="B123" s="21" t="s">
        <v>506</v>
      </c>
      <c r="C123" s="23">
        <v>218.2</v>
      </c>
      <c r="D123" s="147">
        <v>0</v>
      </c>
      <c r="E123" s="22">
        <v>55.25</v>
      </c>
      <c r="F123" s="22">
        <v>55.25</v>
      </c>
      <c r="G123" s="22">
        <v>0</v>
      </c>
      <c r="H123" s="22">
        <v>15.87</v>
      </c>
      <c r="I123" s="22">
        <v>1.4</v>
      </c>
      <c r="J123" s="22">
        <v>327.06</v>
      </c>
      <c r="K123" s="22">
        <v>0</v>
      </c>
      <c r="L123" s="22">
        <v>0</v>
      </c>
      <c r="M123" s="388">
        <v>1050.5999999999999</v>
      </c>
      <c r="N123" s="25">
        <v>0.48980000000000001</v>
      </c>
      <c r="O123" s="24">
        <v>497</v>
      </c>
      <c r="P123" s="24">
        <v>3</v>
      </c>
      <c r="Q123" s="24">
        <v>0</v>
      </c>
      <c r="R123" s="22">
        <v>3</v>
      </c>
      <c r="S123" s="24">
        <v>0</v>
      </c>
      <c r="T123" s="24">
        <f t="shared" si="7"/>
        <v>3</v>
      </c>
      <c r="U123" s="376">
        <v>514.58000000000004</v>
      </c>
      <c r="V123" s="376">
        <v>52.53</v>
      </c>
      <c r="W123" s="22">
        <f t="shared" si="8"/>
        <v>252.04128400000002</v>
      </c>
      <c r="X123" s="22">
        <f t="shared" si="9"/>
        <v>138.5</v>
      </c>
      <c r="Y123" s="22">
        <v>115.75</v>
      </c>
      <c r="Z123" s="22">
        <v>22.75</v>
      </c>
      <c r="AA123" s="371">
        <v>1051.67</v>
      </c>
      <c r="AB123" s="22">
        <v>0.13169530365989329</v>
      </c>
      <c r="AC123" s="24">
        <v>0</v>
      </c>
      <c r="AD123" s="384">
        <v>0</v>
      </c>
    </row>
    <row r="124" spans="1:30">
      <c r="A124" s="21" t="s">
        <v>21</v>
      </c>
      <c r="B124" s="21" t="s">
        <v>22</v>
      </c>
      <c r="C124" s="23">
        <v>433.8</v>
      </c>
      <c r="D124" s="147">
        <v>0</v>
      </c>
      <c r="E124" s="22">
        <v>85.13</v>
      </c>
      <c r="F124" s="22">
        <v>85.13</v>
      </c>
      <c r="G124" s="22">
        <v>0</v>
      </c>
      <c r="H124" s="22">
        <v>25.8</v>
      </c>
      <c r="I124" s="22">
        <v>0.3</v>
      </c>
      <c r="J124" s="22">
        <v>0</v>
      </c>
      <c r="K124" s="22">
        <v>2.8</v>
      </c>
      <c r="L124" s="22">
        <v>0</v>
      </c>
      <c r="M124" s="388">
        <v>1391.51</v>
      </c>
      <c r="N124" s="25">
        <v>0.70530000000000004</v>
      </c>
      <c r="O124" s="24">
        <v>0</v>
      </c>
      <c r="P124" s="24">
        <v>343.5</v>
      </c>
      <c r="Q124" s="24">
        <v>219.5</v>
      </c>
      <c r="R124" s="22">
        <v>124</v>
      </c>
      <c r="S124" s="24">
        <v>68</v>
      </c>
      <c r="T124" s="24">
        <f t="shared" si="7"/>
        <v>411.5</v>
      </c>
      <c r="U124" s="376">
        <v>981.43</v>
      </c>
      <c r="V124" s="376">
        <v>69.58</v>
      </c>
      <c r="W124" s="22">
        <f t="shared" si="8"/>
        <v>692.20257900000001</v>
      </c>
      <c r="X124" s="22">
        <f t="shared" si="9"/>
        <v>177.5</v>
      </c>
      <c r="Y124" s="22">
        <v>129.75</v>
      </c>
      <c r="Z124" s="22">
        <v>47.75</v>
      </c>
      <c r="AA124" s="371">
        <v>1414.66</v>
      </c>
      <c r="AB124" s="22">
        <v>0.12547184482490492</v>
      </c>
      <c r="AC124" s="24">
        <v>0</v>
      </c>
      <c r="AD124" s="384">
        <v>0</v>
      </c>
    </row>
    <row r="125" spans="1:30">
      <c r="A125" s="21" t="s">
        <v>247</v>
      </c>
      <c r="B125" s="21" t="s">
        <v>248</v>
      </c>
      <c r="C125" s="23">
        <v>156.19999999999999</v>
      </c>
      <c r="D125" s="147">
        <v>14.66</v>
      </c>
      <c r="E125" s="22">
        <v>40.69</v>
      </c>
      <c r="F125" s="22">
        <v>55.349999999999994</v>
      </c>
      <c r="G125" s="22">
        <v>0</v>
      </c>
      <c r="H125" s="22">
        <v>12.64</v>
      </c>
      <c r="I125" s="22">
        <v>0</v>
      </c>
      <c r="J125" s="22">
        <v>0</v>
      </c>
      <c r="K125" s="22">
        <v>0</v>
      </c>
      <c r="L125" s="22">
        <v>0</v>
      </c>
      <c r="M125" s="388">
        <v>577.94999999999993</v>
      </c>
      <c r="N125" s="25">
        <v>0.47520000000000001</v>
      </c>
      <c r="O125" s="24">
        <v>497</v>
      </c>
      <c r="P125" s="24">
        <v>32.25</v>
      </c>
      <c r="Q125" s="24">
        <v>13</v>
      </c>
      <c r="R125" s="22">
        <v>19.25</v>
      </c>
      <c r="S125" s="24">
        <v>5.75</v>
      </c>
      <c r="T125" s="24">
        <f t="shared" si="7"/>
        <v>38</v>
      </c>
      <c r="U125" s="376">
        <v>274.64</v>
      </c>
      <c r="V125" s="376">
        <v>0</v>
      </c>
      <c r="W125" s="22">
        <f t="shared" si="8"/>
        <v>130.508928</v>
      </c>
      <c r="X125" s="22">
        <f t="shared" si="9"/>
        <v>82.75</v>
      </c>
      <c r="Y125" s="22">
        <v>61</v>
      </c>
      <c r="Z125" s="22">
        <v>21.75</v>
      </c>
      <c r="AA125" s="371">
        <v>578.49</v>
      </c>
      <c r="AB125" s="22">
        <v>0.14304482359245621</v>
      </c>
      <c r="AC125" s="24">
        <v>8.0448235924562017E-3</v>
      </c>
      <c r="AD125" s="384">
        <v>-40517.009898499746</v>
      </c>
    </row>
    <row r="126" spans="1:30">
      <c r="A126" s="21" t="s">
        <v>261</v>
      </c>
      <c r="B126" s="21" t="s">
        <v>262</v>
      </c>
      <c r="C126" s="23">
        <v>28</v>
      </c>
      <c r="D126" s="147">
        <v>0</v>
      </c>
      <c r="E126" s="22">
        <v>0</v>
      </c>
      <c r="F126" s="22">
        <v>0</v>
      </c>
      <c r="G126" s="22">
        <v>0</v>
      </c>
      <c r="H126" s="22">
        <v>0.64</v>
      </c>
      <c r="I126" s="22">
        <v>0</v>
      </c>
      <c r="J126" s="22">
        <v>0</v>
      </c>
      <c r="K126" s="22">
        <v>0</v>
      </c>
      <c r="L126" s="22">
        <v>0</v>
      </c>
      <c r="M126" s="388">
        <v>92.7</v>
      </c>
      <c r="N126" s="25">
        <v>0.51759999999999995</v>
      </c>
      <c r="O126" s="24">
        <v>497</v>
      </c>
      <c r="P126" s="24">
        <v>0</v>
      </c>
      <c r="Q126" s="24">
        <v>0</v>
      </c>
      <c r="R126" s="22">
        <v>0</v>
      </c>
      <c r="S126" s="24">
        <v>0</v>
      </c>
      <c r="T126" s="24">
        <f t="shared" si="7"/>
        <v>0</v>
      </c>
      <c r="U126" s="376">
        <v>47.98</v>
      </c>
      <c r="V126" s="376">
        <v>4.6399999999999997</v>
      </c>
      <c r="W126" s="22">
        <f t="shared" si="8"/>
        <v>24.834447999999995</v>
      </c>
      <c r="X126" s="22">
        <f t="shared" si="9"/>
        <v>9.5</v>
      </c>
      <c r="Y126" s="22">
        <v>9.25</v>
      </c>
      <c r="Z126" s="22">
        <v>0.25</v>
      </c>
      <c r="AA126" s="371">
        <v>92.7</v>
      </c>
      <c r="AB126" s="22">
        <v>0.10248112189859762</v>
      </c>
      <c r="AC126" s="24">
        <v>0</v>
      </c>
      <c r="AD126" s="384">
        <v>0</v>
      </c>
    </row>
    <row r="127" spans="1:30">
      <c r="A127" s="21" t="s">
        <v>59</v>
      </c>
      <c r="B127" s="21" t="s">
        <v>60</v>
      </c>
      <c r="C127" s="23">
        <v>465.12</v>
      </c>
      <c r="D127" s="147">
        <v>0</v>
      </c>
      <c r="E127" s="22">
        <v>44.81</v>
      </c>
      <c r="F127" s="22">
        <v>44.81</v>
      </c>
      <c r="G127" s="22">
        <v>0</v>
      </c>
      <c r="H127" s="22">
        <v>46.09</v>
      </c>
      <c r="I127" s="22">
        <v>1.4</v>
      </c>
      <c r="J127" s="22">
        <v>85.94</v>
      </c>
      <c r="K127" s="22">
        <v>3</v>
      </c>
      <c r="L127" s="22">
        <v>0</v>
      </c>
      <c r="M127" s="388">
        <v>1672.64</v>
      </c>
      <c r="N127" s="25">
        <v>0.25490000000000002</v>
      </c>
      <c r="O127" s="24">
        <v>0</v>
      </c>
      <c r="P127" s="24">
        <v>43.25</v>
      </c>
      <c r="Q127" s="24">
        <v>26.5</v>
      </c>
      <c r="R127" s="22">
        <v>16.75</v>
      </c>
      <c r="S127" s="24">
        <v>4.25</v>
      </c>
      <c r="T127" s="24">
        <f t="shared" si="7"/>
        <v>47.5</v>
      </c>
      <c r="U127" s="376">
        <v>426.36</v>
      </c>
      <c r="V127" s="376">
        <v>83.63</v>
      </c>
      <c r="W127" s="22">
        <f t="shared" si="8"/>
        <v>108.67916400000001</v>
      </c>
      <c r="X127" s="22">
        <f t="shared" si="9"/>
        <v>221.25</v>
      </c>
      <c r="Y127" s="22">
        <v>108.5</v>
      </c>
      <c r="Z127" s="22">
        <v>112.75</v>
      </c>
      <c r="AA127" s="371">
        <v>1702.47</v>
      </c>
      <c r="AB127" s="22">
        <v>0.12995823714955329</v>
      </c>
      <c r="AC127" s="24">
        <v>0</v>
      </c>
      <c r="AD127" s="384">
        <v>0</v>
      </c>
    </row>
    <row r="128" spans="1:30">
      <c r="A128" s="21" t="s">
        <v>409</v>
      </c>
      <c r="B128" s="21" t="s">
        <v>410</v>
      </c>
      <c r="C128" s="23">
        <v>152.6</v>
      </c>
      <c r="D128" s="147">
        <v>0</v>
      </c>
      <c r="E128" s="22">
        <v>15.18</v>
      </c>
      <c r="F128" s="22">
        <v>15.18</v>
      </c>
      <c r="G128" s="22">
        <v>0</v>
      </c>
      <c r="H128" s="22">
        <v>15.63</v>
      </c>
      <c r="I128" s="22">
        <v>1.27</v>
      </c>
      <c r="J128" s="22">
        <v>0</v>
      </c>
      <c r="K128" s="22">
        <v>0.8</v>
      </c>
      <c r="L128" s="22">
        <v>0</v>
      </c>
      <c r="M128" s="388">
        <v>577.56999999999994</v>
      </c>
      <c r="N128" s="25">
        <v>0.58089999999999997</v>
      </c>
      <c r="O128" s="24">
        <v>497</v>
      </c>
      <c r="P128" s="24">
        <v>11</v>
      </c>
      <c r="Q128" s="24">
        <v>4.25</v>
      </c>
      <c r="R128" s="22">
        <v>6.75</v>
      </c>
      <c r="S128" s="24">
        <v>1</v>
      </c>
      <c r="T128" s="24">
        <f t="shared" si="7"/>
        <v>12</v>
      </c>
      <c r="U128" s="376">
        <v>335.51</v>
      </c>
      <c r="V128" s="376">
        <v>28.88</v>
      </c>
      <c r="W128" s="22">
        <f t="shared" si="8"/>
        <v>194.89775899999998</v>
      </c>
      <c r="X128" s="22">
        <f t="shared" si="9"/>
        <v>86.5</v>
      </c>
      <c r="Y128" s="22">
        <v>74.25</v>
      </c>
      <c r="Z128" s="22">
        <v>12.25</v>
      </c>
      <c r="AA128" s="371">
        <v>590.12</v>
      </c>
      <c r="AB128" s="22">
        <v>0.14658035653765336</v>
      </c>
      <c r="AC128" s="24">
        <v>1.1580356537653352E-2</v>
      </c>
      <c r="AD128" s="384">
        <v>-66037.546821286742</v>
      </c>
    </row>
    <row r="129" spans="1:30">
      <c r="A129" s="21" t="s">
        <v>555</v>
      </c>
      <c r="B129" s="21" t="s">
        <v>556</v>
      </c>
      <c r="C129" s="23">
        <v>26</v>
      </c>
      <c r="D129" s="147">
        <v>0</v>
      </c>
      <c r="E129" s="22">
        <v>3.74</v>
      </c>
      <c r="F129" s="22">
        <v>3.74</v>
      </c>
      <c r="G129" s="22">
        <v>0</v>
      </c>
      <c r="H129" s="22">
        <v>0</v>
      </c>
      <c r="I129" s="22">
        <v>0</v>
      </c>
      <c r="J129" s="22">
        <v>0</v>
      </c>
      <c r="K129" s="22">
        <v>0</v>
      </c>
      <c r="L129" s="22">
        <v>0</v>
      </c>
      <c r="M129" s="388">
        <v>79.400000000000006</v>
      </c>
      <c r="N129" s="25">
        <v>0.42470000000000002</v>
      </c>
      <c r="O129" s="24">
        <v>497</v>
      </c>
      <c r="P129" s="24">
        <v>0</v>
      </c>
      <c r="Q129" s="24">
        <v>0</v>
      </c>
      <c r="R129" s="22">
        <v>0</v>
      </c>
      <c r="S129" s="24">
        <v>0</v>
      </c>
      <c r="T129" s="24">
        <f t="shared" si="7"/>
        <v>0</v>
      </c>
      <c r="U129" s="376">
        <v>33.72</v>
      </c>
      <c r="V129" s="376">
        <v>3.97</v>
      </c>
      <c r="W129" s="22">
        <f t="shared" si="8"/>
        <v>14.320884</v>
      </c>
      <c r="X129" s="22">
        <f t="shared" si="9"/>
        <v>10.5</v>
      </c>
      <c r="Y129" s="22">
        <v>8.5</v>
      </c>
      <c r="Z129" s="22">
        <v>2</v>
      </c>
      <c r="AA129" s="371">
        <v>79.400000000000006</v>
      </c>
      <c r="AB129" s="22">
        <v>0.13224181360201509</v>
      </c>
      <c r="AC129" s="24">
        <v>0</v>
      </c>
      <c r="AD129" s="384">
        <v>0</v>
      </c>
    </row>
    <row r="130" spans="1:30">
      <c r="A130" s="21" t="s">
        <v>35</v>
      </c>
      <c r="B130" s="21" t="s">
        <v>36</v>
      </c>
      <c r="C130" s="23">
        <v>308.60000000000002</v>
      </c>
      <c r="D130" s="147">
        <v>0</v>
      </c>
      <c r="E130" s="22">
        <v>101.2</v>
      </c>
      <c r="F130" s="22">
        <v>101.2</v>
      </c>
      <c r="G130" s="22">
        <v>0</v>
      </c>
      <c r="H130" s="22">
        <v>18.77</v>
      </c>
      <c r="I130" s="22">
        <v>0.05</v>
      </c>
      <c r="J130" s="22">
        <v>6.3999999999999995</v>
      </c>
      <c r="K130" s="22">
        <v>0</v>
      </c>
      <c r="L130" s="22">
        <v>0</v>
      </c>
      <c r="M130" s="388">
        <v>1254.82</v>
      </c>
      <c r="N130" s="25">
        <v>0.61150000000000004</v>
      </c>
      <c r="O130" s="24">
        <v>0</v>
      </c>
      <c r="P130" s="24">
        <v>358</v>
      </c>
      <c r="Q130" s="24">
        <v>230.25</v>
      </c>
      <c r="R130" s="22">
        <v>127.75</v>
      </c>
      <c r="S130" s="24">
        <v>33</v>
      </c>
      <c r="T130" s="24">
        <f t="shared" si="7"/>
        <v>391</v>
      </c>
      <c r="U130" s="376">
        <v>767.32</v>
      </c>
      <c r="V130" s="376">
        <v>62.74</v>
      </c>
      <c r="W130" s="22">
        <f t="shared" si="8"/>
        <v>469.21618000000007</v>
      </c>
      <c r="X130" s="22">
        <f t="shared" si="9"/>
        <v>128</v>
      </c>
      <c r="Y130" s="22">
        <v>108.25</v>
      </c>
      <c r="Z130" s="22">
        <v>19.75</v>
      </c>
      <c r="AA130" s="371">
        <v>1255.95</v>
      </c>
      <c r="AB130" s="22">
        <v>0.1019148851467017</v>
      </c>
      <c r="AC130" s="24">
        <v>0</v>
      </c>
      <c r="AD130" s="384">
        <v>0</v>
      </c>
    </row>
    <row r="131" spans="1:30">
      <c r="A131" s="21" t="s">
        <v>155</v>
      </c>
      <c r="B131" s="21" t="s">
        <v>156</v>
      </c>
      <c r="C131" s="23">
        <v>50.2</v>
      </c>
      <c r="D131" s="147">
        <v>0</v>
      </c>
      <c r="E131" s="22">
        <v>5</v>
      </c>
      <c r="F131" s="22">
        <v>5</v>
      </c>
      <c r="G131" s="22">
        <v>0</v>
      </c>
      <c r="H131" s="22">
        <v>6.63</v>
      </c>
      <c r="I131" s="22">
        <v>1.08</v>
      </c>
      <c r="J131" s="22">
        <v>0</v>
      </c>
      <c r="K131" s="22">
        <v>0</v>
      </c>
      <c r="L131" s="22">
        <v>0</v>
      </c>
      <c r="M131" s="388">
        <v>174.77</v>
      </c>
      <c r="N131" s="25">
        <v>1</v>
      </c>
      <c r="O131" s="24">
        <v>576</v>
      </c>
      <c r="P131" s="24">
        <v>48</v>
      </c>
      <c r="Q131" s="24">
        <v>27</v>
      </c>
      <c r="R131" s="22">
        <v>21</v>
      </c>
      <c r="S131" s="24">
        <v>3</v>
      </c>
      <c r="T131" s="24">
        <f t="shared" si="7"/>
        <v>51</v>
      </c>
      <c r="U131" s="376">
        <v>174.77</v>
      </c>
      <c r="V131" s="376">
        <v>0</v>
      </c>
      <c r="W131" s="22">
        <f t="shared" si="8"/>
        <v>174.77</v>
      </c>
      <c r="X131" s="22">
        <f t="shared" si="9"/>
        <v>32.5</v>
      </c>
      <c r="Y131" s="22">
        <v>17</v>
      </c>
      <c r="Z131" s="22">
        <v>15.5</v>
      </c>
      <c r="AA131" s="371">
        <v>174.77</v>
      </c>
      <c r="AB131" s="22">
        <v>0.1859586885621102</v>
      </c>
      <c r="AC131" s="24">
        <v>5.0958688562110194E-2</v>
      </c>
      <c r="AD131" s="384">
        <v>-77711.283843212092</v>
      </c>
    </row>
    <row r="132" spans="1:30">
      <c r="A132" s="21" t="s">
        <v>425</v>
      </c>
      <c r="B132" s="21" t="s">
        <v>426</v>
      </c>
      <c r="C132" s="23">
        <v>2870.76</v>
      </c>
      <c r="D132" s="147">
        <v>132.18</v>
      </c>
      <c r="E132" s="22">
        <v>482.6</v>
      </c>
      <c r="F132" s="22">
        <v>614.78</v>
      </c>
      <c r="G132" s="22">
        <v>0</v>
      </c>
      <c r="H132" s="22">
        <v>153.97</v>
      </c>
      <c r="I132" s="22">
        <v>8.15</v>
      </c>
      <c r="J132" s="22">
        <v>70.739999999999995</v>
      </c>
      <c r="K132" s="22">
        <v>0</v>
      </c>
      <c r="L132" s="22">
        <v>0</v>
      </c>
      <c r="M132" s="388">
        <v>9296.1999999999989</v>
      </c>
      <c r="N132" s="25">
        <v>0.25</v>
      </c>
      <c r="O132" s="24">
        <v>497</v>
      </c>
      <c r="P132" s="24">
        <v>589.75</v>
      </c>
      <c r="Q132" s="24">
        <v>446</v>
      </c>
      <c r="R132" s="22">
        <v>143.75</v>
      </c>
      <c r="S132" s="24">
        <v>148.75</v>
      </c>
      <c r="T132" s="24">
        <f t="shared" si="7"/>
        <v>738.5</v>
      </c>
      <c r="U132" s="376">
        <v>2324.0500000000002</v>
      </c>
      <c r="V132" s="376">
        <v>464.81</v>
      </c>
      <c r="W132" s="22">
        <f t="shared" si="8"/>
        <v>581.01250000000005</v>
      </c>
      <c r="X132" s="22">
        <f t="shared" si="9"/>
        <v>1274</v>
      </c>
      <c r="Y132" s="22">
        <v>707.75</v>
      </c>
      <c r="Z132" s="22">
        <v>566.25</v>
      </c>
      <c r="AA132" s="371">
        <v>9346.59</v>
      </c>
      <c r="AB132" s="22">
        <v>0.13630639623648838</v>
      </c>
      <c r="AC132" s="24">
        <v>1.3063962364883719E-3</v>
      </c>
      <c r="AD132" s="384">
        <v>-122697.0919904497</v>
      </c>
    </row>
    <row r="133" spans="1:30">
      <c r="A133" s="21" t="s">
        <v>215</v>
      </c>
      <c r="B133" s="21" t="s">
        <v>216</v>
      </c>
      <c r="C133" s="23">
        <v>9352.93</v>
      </c>
      <c r="D133" s="147">
        <v>317.70999999999998</v>
      </c>
      <c r="E133" s="22">
        <v>1625.12</v>
      </c>
      <c r="F133" s="22">
        <v>1942.83</v>
      </c>
      <c r="G133" s="22">
        <v>312.97000000000003</v>
      </c>
      <c r="H133" s="22">
        <v>508.55</v>
      </c>
      <c r="I133" s="22">
        <v>41.71</v>
      </c>
      <c r="J133" s="22">
        <v>290.98</v>
      </c>
      <c r="K133" s="22">
        <v>0</v>
      </c>
      <c r="L133" s="22">
        <v>0</v>
      </c>
      <c r="M133" s="388">
        <v>30577.479999999996</v>
      </c>
      <c r="N133" s="25">
        <v>0.10920000000000001</v>
      </c>
      <c r="O133" s="24">
        <v>497</v>
      </c>
      <c r="P133" s="24">
        <v>3466</v>
      </c>
      <c r="Q133" s="24">
        <v>2776.5</v>
      </c>
      <c r="R133" s="22">
        <v>689.5</v>
      </c>
      <c r="S133" s="24">
        <v>1325.5</v>
      </c>
      <c r="T133" s="24">
        <f t="shared" si="7"/>
        <v>4791.5</v>
      </c>
      <c r="U133" s="376">
        <v>3339.06</v>
      </c>
      <c r="V133" s="376">
        <v>1528.87</v>
      </c>
      <c r="W133" s="22">
        <f t="shared" si="8"/>
        <v>364.62535200000002</v>
      </c>
      <c r="X133" s="22">
        <f t="shared" si="9"/>
        <v>2745</v>
      </c>
      <c r="Y133" s="22">
        <v>1818.75</v>
      </c>
      <c r="Z133" s="22">
        <v>926.25</v>
      </c>
      <c r="AA133" s="371">
        <v>30482.65</v>
      </c>
      <c r="AB133" s="22">
        <v>9.0051225861268624E-2</v>
      </c>
      <c r="AC133" s="24">
        <v>0</v>
      </c>
      <c r="AD133" s="384">
        <v>0</v>
      </c>
    </row>
    <row r="134" spans="1:30">
      <c r="A134" s="21" t="s">
        <v>441</v>
      </c>
      <c r="B134" s="21" t="s">
        <v>442</v>
      </c>
      <c r="C134" s="23">
        <v>714.84</v>
      </c>
      <c r="D134" s="147">
        <v>18.41</v>
      </c>
      <c r="E134" s="22">
        <v>103.32</v>
      </c>
      <c r="F134" s="22">
        <v>121.72999999999999</v>
      </c>
      <c r="G134" s="22">
        <v>0</v>
      </c>
      <c r="H134" s="22">
        <v>33.369999999999997</v>
      </c>
      <c r="I134" s="22">
        <v>1.61</v>
      </c>
      <c r="J134" s="22">
        <v>79.430000000000007</v>
      </c>
      <c r="K134" s="22">
        <v>0</v>
      </c>
      <c r="L134" s="22">
        <v>0</v>
      </c>
      <c r="M134" s="388">
        <v>2541.9699999999998</v>
      </c>
      <c r="N134" s="25">
        <v>0.43109999999999998</v>
      </c>
      <c r="O134" s="24">
        <v>497</v>
      </c>
      <c r="P134" s="24">
        <v>207.75</v>
      </c>
      <c r="Q134" s="24">
        <v>124.5</v>
      </c>
      <c r="R134" s="22">
        <v>83.25</v>
      </c>
      <c r="S134" s="24">
        <v>25</v>
      </c>
      <c r="T134" s="24">
        <f t="shared" si="7"/>
        <v>232.75</v>
      </c>
      <c r="U134" s="376">
        <v>1095.8399999999999</v>
      </c>
      <c r="V134" s="376">
        <v>127.1</v>
      </c>
      <c r="W134" s="22">
        <f t="shared" si="8"/>
        <v>472.41662399999996</v>
      </c>
      <c r="X134" s="22">
        <f t="shared" si="9"/>
        <v>403</v>
      </c>
      <c r="Y134" s="22">
        <v>238</v>
      </c>
      <c r="Z134" s="22">
        <v>165</v>
      </c>
      <c r="AA134" s="371">
        <v>2556.42</v>
      </c>
      <c r="AB134" s="22">
        <v>0.15764232794298277</v>
      </c>
      <c r="AC134" s="24">
        <v>2.2642327942982765E-2</v>
      </c>
      <c r="AD134" s="384">
        <v>-563393.0248110533</v>
      </c>
    </row>
    <row r="135" spans="1:30">
      <c r="A135" s="21" t="s">
        <v>557</v>
      </c>
      <c r="B135" s="21" t="s">
        <v>558</v>
      </c>
      <c r="C135" s="23">
        <v>0</v>
      </c>
      <c r="D135" s="147">
        <v>0</v>
      </c>
      <c r="E135" s="22">
        <v>0</v>
      </c>
      <c r="F135" s="22">
        <v>0</v>
      </c>
      <c r="G135" s="22">
        <v>0</v>
      </c>
      <c r="H135" s="22">
        <v>0</v>
      </c>
      <c r="I135" s="22">
        <v>0</v>
      </c>
      <c r="J135" s="22">
        <v>0</v>
      </c>
      <c r="K135" s="22">
        <v>0</v>
      </c>
      <c r="L135" s="22">
        <v>0</v>
      </c>
      <c r="M135" s="388">
        <v>36.799999999999997</v>
      </c>
      <c r="N135" s="25">
        <v>0.73529999999999995</v>
      </c>
      <c r="O135" s="24">
        <v>497</v>
      </c>
      <c r="P135" s="24">
        <v>0</v>
      </c>
      <c r="Q135" s="24">
        <v>0</v>
      </c>
      <c r="R135" s="22">
        <v>0</v>
      </c>
      <c r="S135" s="24">
        <v>0</v>
      </c>
      <c r="T135" s="24">
        <f t="shared" si="7"/>
        <v>0</v>
      </c>
      <c r="U135" s="376">
        <v>27.06</v>
      </c>
      <c r="V135" s="376">
        <v>1.84</v>
      </c>
      <c r="W135" s="22">
        <f t="shared" si="8"/>
        <v>19.897217999999999</v>
      </c>
      <c r="X135" s="22">
        <f t="shared" si="9"/>
        <v>8</v>
      </c>
      <c r="Y135" s="22">
        <v>3.75</v>
      </c>
      <c r="Z135" s="22">
        <v>4.25</v>
      </c>
      <c r="AA135" s="371">
        <v>36.799999999999997</v>
      </c>
      <c r="AB135" s="22">
        <v>0.21739130434782611</v>
      </c>
      <c r="AC135" s="24">
        <v>8.23913043478261E-2</v>
      </c>
      <c r="AD135" s="384">
        <v>-23710.641967020612</v>
      </c>
    </row>
    <row r="136" spans="1:30">
      <c r="A136" s="21" t="s">
        <v>471</v>
      </c>
      <c r="B136" s="21" t="s">
        <v>472</v>
      </c>
      <c r="C136" s="23">
        <v>186.6</v>
      </c>
      <c r="D136" s="147">
        <v>0</v>
      </c>
      <c r="E136" s="22">
        <v>30.08</v>
      </c>
      <c r="F136" s="22">
        <v>30.08</v>
      </c>
      <c r="G136" s="22">
        <v>0</v>
      </c>
      <c r="H136" s="22">
        <v>7.62</v>
      </c>
      <c r="I136" s="22">
        <v>0</v>
      </c>
      <c r="J136" s="22">
        <v>4.5999999999999996</v>
      </c>
      <c r="K136" s="22">
        <v>0</v>
      </c>
      <c r="L136" s="22">
        <v>0</v>
      </c>
      <c r="M136" s="388">
        <v>567.97</v>
      </c>
      <c r="N136" s="25">
        <v>0.32419999999999999</v>
      </c>
      <c r="O136" s="24">
        <v>497</v>
      </c>
      <c r="P136" s="24">
        <v>1</v>
      </c>
      <c r="Q136" s="24">
        <v>0</v>
      </c>
      <c r="R136" s="22">
        <v>1</v>
      </c>
      <c r="S136" s="24">
        <v>0</v>
      </c>
      <c r="T136" s="24">
        <f t="shared" si="7"/>
        <v>1</v>
      </c>
      <c r="U136" s="376">
        <v>184.14</v>
      </c>
      <c r="V136" s="376">
        <v>0</v>
      </c>
      <c r="W136" s="22">
        <f t="shared" si="8"/>
        <v>59.698187999999995</v>
      </c>
      <c r="X136" s="22">
        <f t="shared" si="9"/>
        <v>64.5</v>
      </c>
      <c r="Y136" s="22">
        <v>48.75</v>
      </c>
      <c r="Z136" s="22">
        <v>15.75</v>
      </c>
      <c r="AA136" s="371">
        <v>568.51</v>
      </c>
      <c r="AB136" s="22">
        <v>0.11345446869887953</v>
      </c>
      <c r="AC136" s="24">
        <v>0</v>
      </c>
      <c r="AD136" s="384">
        <v>0</v>
      </c>
    </row>
    <row r="137" spans="1:30">
      <c r="A137" s="21" t="s">
        <v>9</v>
      </c>
      <c r="B137" s="21" t="s">
        <v>10</v>
      </c>
      <c r="C137" s="23">
        <v>52</v>
      </c>
      <c r="D137" s="147">
        <v>4.72</v>
      </c>
      <c r="E137" s="22">
        <v>13.05</v>
      </c>
      <c r="F137" s="22">
        <v>17.77</v>
      </c>
      <c r="G137" s="22">
        <v>0</v>
      </c>
      <c r="H137" s="22">
        <v>1</v>
      </c>
      <c r="I137" s="22">
        <v>0</v>
      </c>
      <c r="J137" s="22">
        <v>0</v>
      </c>
      <c r="K137" s="22">
        <v>0</v>
      </c>
      <c r="L137" s="22">
        <v>0</v>
      </c>
      <c r="M137" s="388">
        <v>188.2</v>
      </c>
      <c r="N137" s="25">
        <v>0.70589999999999997</v>
      </c>
      <c r="O137" s="24">
        <v>0</v>
      </c>
      <c r="P137" s="24">
        <v>29</v>
      </c>
      <c r="Q137" s="24">
        <v>18</v>
      </c>
      <c r="R137" s="22">
        <v>11</v>
      </c>
      <c r="S137" s="24">
        <v>4</v>
      </c>
      <c r="T137" s="24">
        <f t="shared" ref="T137:T200" si="10">S137+P137</f>
        <v>33</v>
      </c>
      <c r="U137" s="376">
        <v>132.85</v>
      </c>
      <c r="V137" s="376">
        <v>0</v>
      </c>
      <c r="W137" s="22">
        <f t="shared" ref="W137:W200" si="11">U137*N137</f>
        <v>93.778814999999994</v>
      </c>
      <c r="X137" s="22">
        <f t="shared" ref="X137:X200" si="12">Y137+Z137</f>
        <v>18.5</v>
      </c>
      <c r="Y137" s="22">
        <v>16</v>
      </c>
      <c r="Z137" s="22">
        <v>2.5</v>
      </c>
      <c r="AA137" s="371">
        <v>188.2</v>
      </c>
      <c r="AB137" s="22">
        <v>9.829968119022317E-2</v>
      </c>
      <c r="AC137" s="24">
        <v>0</v>
      </c>
      <c r="AD137" s="384">
        <v>0</v>
      </c>
    </row>
    <row r="138" spans="1:30">
      <c r="A138" s="21" t="s">
        <v>77</v>
      </c>
      <c r="B138" s="21" t="s">
        <v>78</v>
      </c>
      <c r="C138" s="23">
        <v>1859.02</v>
      </c>
      <c r="D138" s="147">
        <v>46.14</v>
      </c>
      <c r="E138" s="22">
        <v>376.42</v>
      </c>
      <c r="F138" s="22">
        <v>422.56</v>
      </c>
      <c r="G138" s="22">
        <v>0</v>
      </c>
      <c r="H138" s="22">
        <v>133.12</v>
      </c>
      <c r="I138" s="22">
        <v>10.94</v>
      </c>
      <c r="J138" s="22">
        <v>108.23</v>
      </c>
      <c r="K138" s="22">
        <v>27.96</v>
      </c>
      <c r="L138" s="22">
        <v>1.44</v>
      </c>
      <c r="M138" s="388">
        <v>6168.8799999999992</v>
      </c>
      <c r="N138" s="25">
        <v>0.62729999999999997</v>
      </c>
      <c r="O138" s="24">
        <v>0</v>
      </c>
      <c r="P138" s="24">
        <v>402.75</v>
      </c>
      <c r="Q138" s="24">
        <v>267.25</v>
      </c>
      <c r="R138" s="22">
        <v>135.5</v>
      </c>
      <c r="S138" s="24">
        <v>69.25</v>
      </c>
      <c r="T138" s="24">
        <f t="shared" si="10"/>
        <v>472</v>
      </c>
      <c r="U138" s="376">
        <v>3869.74</v>
      </c>
      <c r="V138" s="376">
        <v>308.44</v>
      </c>
      <c r="W138" s="22">
        <f t="shared" si="11"/>
        <v>2427.4879019999998</v>
      </c>
      <c r="X138" s="22">
        <f t="shared" si="12"/>
        <v>997.25</v>
      </c>
      <c r="Y138" s="22">
        <v>560</v>
      </c>
      <c r="Z138" s="22">
        <v>437.25</v>
      </c>
      <c r="AA138" s="371">
        <v>6173.13</v>
      </c>
      <c r="AB138" s="22">
        <v>0.16154689760299881</v>
      </c>
      <c r="AC138" s="24">
        <v>2.6546897602998804E-2</v>
      </c>
      <c r="AD138" s="384">
        <v>-1436449.5074793682</v>
      </c>
    </row>
    <row r="139" spans="1:30">
      <c r="A139" s="21" t="s">
        <v>493</v>
      </c>
      <c r="B139" s="21" t="s">
        <v>494</v>
      </c>
      <c r="C139" s="23">
        <v>59</v>
      </c>
      <c r="D139" s="147">
        <v>0</v>
      </c>
      <c r="E139" s="22">
        <v>0</v>
      </c>
      <c r="F139" s="22">
        <v>0</v>
      </c>
      <c r="G139" s="22">
        <v>0</v>
      </c>
      <c r="H139" s="22">
        <v>0</v>
      </c>
      <c r="I139" s="22">
        <v>0</v>
      </c>
      <c r="J139" s="22">
        <v>126.3</v>
      </c>
      <c r="K139" s="22">
        <v>0</v>
      </c>
      <c r="L139" s="22">
        <v>0</v>
      </c>
      <c r="M139" s="388">
        <v>231.1</v>
      </c>
      <c r="N139" s="25">
        <v>0.55789999999999995</v>
      </c>
      <c r="O139" s="24">
        <v>497</v>
      </c>
      <c r="P139" s="24">
        <v>0</v>
      </c>
      <c r="Q139" s="24">
        <v>0</v>
      </c>
      <c r="R139" s="22">
        <v>0</v>
      </c>
      <c r="S139" s="24">
        <v>0</v>
      </c>
      <c r="T139" s="24">
        <f t="shared" si="10"/>
        <v>0</v>
      </c>
      <c r="U139" s="376">
        <v>128.93</v>
      </c>
      <c r="V139" s="376">
        <v>0</v>
      </c>
      <c r="W139" s="22">
        <f t="shared" si="11"/>
        <v>71.930047000000002</v>
      </c>
      <c r="X139" s="22">
        <f t="shared" si="12"/>
        <v>17.5</v>
      </c>
      <c r="Y139" s="22">
        <v>10.25</v>
      </c>
      <c r="Z139" s="22">
        <v>7.25</v>
      </c>
      <c r="AA139" s="371">
        <v>231.1</v>
      </c>
      <c r="AB139" s="22">
        <v>7.5724794461272185E-2</v>
      </c>
      <c r="AC139" s="24">
        <v>0</v>
      </c>
      <c r="AD139" s="384">
        <v>0</v>
      </c>
    </row>
    <row r="140" spans="1:30">
      <c r="A140" s="21" t="s">
        <v>397</v>
      </c>
      <c r="B140" s="21" t="s">
        <v>398</v>
      </c>
      <c r="C140" s="23">
        <v>63.2</v>
      </c>
      <c r="D140" s="147">
        <v>0.7</v>
      </c>
      <c r="E140" s="22">
        <v>12.57</v>
      </c>
      <c r="F140" s="22">
        <v>13.27</v>
      </c>
      <c r="G140" s="22">
        <v>0</v>
      </c>
      <c r="H140" s="22">
        <v>1.32</v>
      </c>
      <c r="I140" s="22">
        <v>0.1</v>
      </c>
      <c r="J140" s="22">
        <v>19.75</v>
      </c>
      <c r="K140" s="22">
        <v>0</v>
      </c>
      <c r="L140" s="22">
        <v>0</v>
      </c>
      <c r="M140" s="388">
        <v>241.82</v>
      </c>
      <c r="N140" s="25">
        <v>0.44</v>
      </c>
      <c r="O140" s="24">
        <v>497</v>
      </c>
      <c r="P140" s="24">
        <v>18</v>
      </c>
      <c r="Q140" s="24">
        <v>14</v>
      </c>
      <c r="R140" s="22">
        <v>4</v>
      </c>
      <c r="S140" s="24">
        <v>0</v>
      </c>
      <c r="T140" s="24">
        <f t="shared" si="10"/>
        <v>18</v>
      </c>
      <c r="U140" s="376">
        <v>106.4</v>
      </c>
      <c r="V140" s="376">
        <v>12.09</v>
      </c>
      <c r="W140" s="22">
        <f t="shared" si="11"/>
        <v>46.816000000000003</v>
      </c>
      <c r="X140" s="22">
        <f t="shared" si="12"/>
        <v>42.75</v>
      </c>
      <c r="Y140" s="22">
        <v>38</v>
      </c>
      <c r="Z140" s="22">
        <v>4.75</v>
      </c>
      <c r="AA140" s="371">
        <v>241.82</v>
      </c>
      <c r="AB140" s="22">
        <v>0.17678438507981142</v>
      </c>
      <c r="AC140" s="24">
        <v>4.1784385079811415E-2</v>
      </c>
      <c r="AD140" s="384">
        <v>-95615.324766120757</v>
      </c>
    </row>
    <row r="141" spans="1:30">
      <c r="A141" s="21" t="s">
        <v>1232</v>
      </c>
      <c r="B141" s="21" t="s">
        <v>1233</v>
      </c>
      <c r="C141" s="23">
        <v>0</v>
      </c>
      <c r="D141" s="147">
        <v>0</v>
      </c>
      <c r="E141" s="22">
        <v>0</v>
      </c>
      <c r="F141" s="22">
        <v>0</v>
      </c>
      <c r="G141" s="22">
        <v>0</v>
      </c>
      <c r="H141" s="22">
        <v>0</v>
      </c>
      <c r="I141" s="22">
        <v>0</v>
      </c>
      <c r="J141" s="22">
        <v>0</v>
      </c>
      <c r="K141" s="22">
        <v>0.8</v>
      </c>
      <c r="L141" s="22">
        <v>0</v>
      </c>
      <c r="M141" s="388">
        <v>34.599999999999994</v>
      </c>
      <c r="N141" s="25">
        <v>0.84619999999999995</v>
      </c>
      <c r="O141" s="24">
        <v>497</v>
      </c>
      <c r="P141" s="24">
        <v>0</v>
      </c>
      <c r="Q141" s="24">
        <v>0</v>
      </c>
      <c r="R141" s="22">
        <v>0</v>
      </c>
      <c r="S141" s="24">
        <v>0</v>
      </c>
      <c r="T141" s="24">
        <f t="shared" si="10"/>
        <v>0</v>
      </c>
      <c r="U141" s="376">
        <v>29.28</v>
      </c>
      <c r="V141" s="376">
        <v>0</v>
      </c>
      <c r="W141" s="22">
        <f t="shared" si="11"/>
        <v>24.776736</v>
      </c>
      <c r="X141" s="22">
        <f t="shared" si="12"/>
        <v>6.75</v>
      </c>
      <c r="Y141" s="22">
        <v>6.5</v>
      </c>
      <c r="Z141" s="22">
        <v>0.25</v>
      </c>
      <c r="AA141" s="371">
        <v>34.6</v>
      </c>
      <c r="AB141" s="22">
        <v>0.19508670520231214</v>
      </c>
      <c r="AC141" s="24">
        <v>6.008670520231213E-2</v>
      </c>
      <c r="AD141" s="384">
        <v>-17753.011919335677</v>
      </c>
    </row>
    <row r="142" spans="1:30">
      <c r="A142" s="21" t="s">
        <v>553</v>
      </c>
      <c r="B142" s="21" t="s">
        <v>554</v>
      </c>
      <c r="C142" s="23">
        <v>122.6</v>
      </c>
      <c r="D142" s="147">
        <v>0</v>
      </c>
      <c r="E142" s="22">
        <v>0</v>
      </c>
      <c r="F142" s="22">
        <v>0</v>
      </c>
      <c r="G142" s="22">
        <v>0</v>
      </c>
      <c r="H142" s="22">
        <v>2.0099999999999998</v>
      </c>
      <c r="I142" s="22">
        <v>0</v>
      </c>
      <c r="J142" s="22">
        <v>0</v>
      </c>
      <c r="K142" s="22">
        <v>0</v>
      </c>
      <c r="L142" s="22">
        <v>0</v>
      </c>
      <c r="M142" s="388">
        <v>399.13</v>
      </c>
      <c r="N142" s="25">
        <v>0.9375</v>
      </c>
      <c r="O142" s="24">
        <v>497</v>
      </c>
      <c r="P142" s="24">
        <v>0</v>
      </c>
      <c r="Q142" s="24">
        <v>0</v>
      </c>
      <c r="R142" s="22">
        <v>0</v>
      </c>
      <c r="S142" s="24">
        <v>0</v>
      </c>
      <c r="T142" s="24">
        <f t="shared" si="10"/>
        <v>0</v>
      </c>
      <c r="U142" s="376">
        <v>374.18</v>
      </c>
      <c r="V142" s="376">
        <v>0</v>
      </c>
      <c r="W142" s="22">
        <f t="shared" si="11"/>
        <v>350.79374999999999</v>
      </c>
      <c r="X142" s="22">
        <f t="shared" si="12"/>
        <v>112</v>
      </c>
      <c r="Y142" s="22">
        <v>88.25</v>
      </c>
      <c r="Z142" s="22">
        <v>23.75</v>
      </c>
      <c r="AA142" s="371">
        <v>399.13</v>
      </c>
      <c r="AB142" s="22">
        <v>0.28061032746223036</v>
      </c>
      <c r="AC142" s="24">
        <v>0.14561032746223035</v>
      </c>
      <c r="AD142" s="384">
        <v>-549065.80042489187</v>
      </c>
    </row>
    <row r="143" spans="1:30">
      <c r="A143" s="21" t="s">
        <v>269</v>
      </c>
      <c r="B143" s="21" t="s">
        <v>270</v>
      </c>
      <c r="C143" s="23">
        <v>62.4</v>
      </c>
      <c r="D143" s="147">
        <v>0</v>
      </c>
      <c r="E143" s="22">
        <v>0</v>
      </c>
      <c r="F143" s="22">
        <v>0</v>
      </c>
      <c r="G143" s="22">
        <v>0</v>
      </c>
      <c r="H143" s="22">
        <v>13.71</v>
      </c>
      <c r="I143" s="22">
        <v>0</v>
      </c>
      <c r="J143" s="22">
        <v>0</v>
      </c>
      <c r="K143" s="22">
        <v>0</v>
      </c>
      <c r="L143" s="22">
        <v>0</v>
      </c>
      <c r="M143" s="388">
        <v>214.04000000000002</v>
      </c>
      <c r="N143" s="25">
        <v>0.88690000000000002</v>
      </c>
      <c r="O143" s="24">
        <v>497</v>
      </c>
      <c r="P143" s="24">
        <v>8</v>
      </c>
      <c r="Q143" s="24">
        <v>6</v>
      </c>
      <c r="R143" s="22">
        <v>2</v>
      </c>
      <c r="S143" s="24">
        <v>0</v>
      </c>
      <c r="T143" s="24">
        <f t="shared" si="10"/>
        <v>8</v>
      </c>
      <c r="U143" s="376">
        <v>189.83</v>
      </c>
      <c r="V143" s="376">
        <v>0</v>
      </c>
      <c r="W143" s="22">
        <f t="shared" si="11"/>
        <v>168.36022700000001</v>
      </c>
      <c r="X143" s="22">
        <f t="shared" si="12"/>
        <v>39.5</v>
      </c>
      <c r="Y143" s="22">
        <v>35</v>
      </c>
      <c r="Z143" s="22">
        <v>4.5</v>
      </c>
      <c r="AA143" s="371">
        <v>214.04</v>
      </c>
      <c r="AB143" s="22">
        <v>0.18454494487011774</v>
      </c>
      <c r="AC143" s="24">
        <v>4.9544944870117735E-2</v>
      </c>
      <c r="AD143" s="384">
        <v>-93019.662381445218</v>
      </c>
    </row>
    <row r="144" spans="1:30">
      <c r="A144" s="21" t="s">
        <v>545</v>
      </c>
      <c r="B144" s="21" t="s">
        <v>546</v>
      </c>
      <c r="C144" s="23">
        <v>873.85</v>
      </c>
      <c r="D144" s="147">
        <v>14.93</v>
      </c>
      <c r="E144" s="22">
        <v>218.72</v>
      </c>
      <c r="F144" s="22">
        <v>233.65</v>
      </c>
      <c r="G144" s="22">
        <v>0</v>
      </c>
      <c r="H144" s="22">
        <v>106.19</v>
      </c>
      <c r="I144" s="22">
        <v>6.4</v>
      </c>
      <c r="J144" s="22">
        <v>388.61</v>
      </c>
      <c r="K144" s="22">
        <v>17.260000000000002</v>
      </c>
      <c r="L144" s="22">
        <v>1.54</v>
      </c>
      <c r="M144" s="388">
        <v>3319.4400000000005</v>
      </c>
      <c r="N144" s="25">
        <v>0.32329999999999998</v>
      </c>
      <c r="O144" s="24">
        <v>497</v>
      </c>
      <c r="P144" s="24">
        <v>342.25</v>
      </c>
      <c r="Q144" s="24">
        <v>230</v>
      </c>
      <c r="R144" s="22">
        <v>112.25</v>
      </c>
      <c r="S144" s="24">
        <v>82.25</v>
      </c>
      <c r="T144" s="24">
        <f t="shared" si="10"/>
        <v>424.5</v>
      </c>
      <c r="U144" s="376">
        <v>1073.17</v>
      </c>
      <c r="V144" s="376">
        <v>165.97</v>
      </c>
      <c r="W144" s="22">
        <f t="shared" si="11"/>
        <v>346.95586099999997</v>
      </c>
      <c r="X144" s="22">
        <f t="shared" si="12"/>
        <v>447.5</v>
      </c>
      <c r="Y144" s="22">
        <v>332.25</v>
      </c>
      <c r="Z144" s="22">
        <v>115.25</v>
      </c>
      <c r="AA144" s="371">
        <v>3322.08</v>
      </c>
      <c r="AB144" s="22">
        <v>0.13470476328083611</v>
      </c>
      <c r="AC144" s="24">
        <v>0</v>
      </c>
      <c r="AD144" s="384">
        <v>0</v>
      </c>
    </row>
    <row r="145" spans="1:30">
      <c r="A145" s="21" t="s">
        <v>591</v>
      </c>
      <c r="B145" s="21" t="s">
        <v>592</v>
      </c>
      <c r="C145" s="23">
        <v>237.6</v>
      </c>
      <c r="D145" s="147">
        <v>0</v>
      </c>
      <c r="E145" s="22">
        <v>77.38</v>
      </c>
      <c r="F145" s="22">
        <v>77.38</v>
      </c>
      <c r="G145" s="22">
        <v>0</v>
      </c>
      <c r="H145" s="22">
        <v>10.58</v>
      </c>
      <c r="I145" s="22">
        <v>0.92</v>
      </c>
      <c r="J145" s="22">
        <v>0</v>
      </c>
      <c r="K145" s="22">
        <v>3.6</v>
      </c>
      <c r="L145" s="22">
        <v>0</v>
      </c>
      <c r="M145" s="388">
        <v>808.32</v>
      </c>
      <c r="N145" s="25">
        <v>0.99119999999999997</v>
      </c>
      <c r="O145" s="24">
        <v>523</v>
      </c>
      <c r="P145" s="24">
        <v>329.75</v>
      </c>
      <c r="Q145" s="24">
        <v>144.75</v>
      </c>
      <c r="R145" s="22">
        <v>185</v>
      </c>
      <c r="S145" s="24">
        <v>29</v>
      </c>
      <c r="T145" s="24">
        <f t="shared" si="10"/>
        <v>358.75</v>
      </c>
      <c r="U145" s="376">
        <v>801.21</v>
      </c>
      <c r="V145" s="376">
        <v>40.42</v>
      </c>
      <c r="W145" s="22">
        <f t="shared" si="11"/>
        <v>794.15935200000001</v>
      </c>
      <c r="X145" s="22">
        <f t="shared" si="12"/>
        <v>83.5</v>
      </c>
      <c r="Y145" s="22">
        <v>31.5</v>
      </c>
      <c r="Z145" s="22">
        <v>52</v>
      </c>
      <c r="AA145" s="371">
        <v>811.56</v>
      </c>
      <c r="AB145" s="22">
        <v>0.10288826457686431</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91.399999999999991</v>
      </c>
      <c r="N146" s="25">
        <v>0.73629999999999995</v>
      </c>
      <c r="O146" s="24">
        <v>576</v>
      </c>
      <c r="P146" s="24">
        <v>5</v>
      </c>
      <c r="Q146" s="24">
        <v>2</v>
      </c>
      <c r="R146" s="22">
        <v>3</v>
      </c>
      <c r="S146" s="24">
        <v>1</v>
      </c>
      <c r="T146" s="24">
        <f t="shared" si="10"/>
        <v>6</v>
      </c>
      <c r="U146" s="376">
        <v>67.3</v>
      </c>
      <c r="V146" s="376">
        <v>0</v>
      </c>
      <c r="W146" s="22">
        <f t="shared" si="11"/>
        <v>49.552989999999994</v>
      </c>
      <c r="X146" s="22">
        <f t="shared" si="12"/>
        <v>9.75</v>
      </c>
      <c r="Y146" s="22">
        <v>7.75</v>
      </c>
      <c r="Z146" s="22">
        <v>2</v>
      </c>
      <c r="AA146" s="371">
        <v>91.4</v>
      </c>
      <c r="AB146" s="22">
        <v>0.10667396061269147</v>
      </c>
      <c r="AC146" s="24">
        <v>0</v>
      </c>
      <c r="AD146" s="384">
        <v>0</v>
      </c>
    </row>
    <row r="147" spans="1:30">
      <c r="A147" s="21" t="s">
        <v>29</v>
      </c>
      <c r="B147" s="21" t="s">
        <v>30</v>
      </c>
      <c r="C147" s="23">
        <v>161.97999999999999</v>
      </c>
      <c r="D147" s="147">
        <v>4.6100000000000003</v>
      </c>
      <c r="E147" s="22">
        <v>12.35</v>
      </c>
      <c r="F147" s="22">
        <v>16.96</v>
      </c>
      <c r="G147" s="22">
        <v>0</v>
      </c>
      <c r="H147" s="22">
        <v>0</v>
      </c>
      <c r="I147" s="22">
        <v>0</v>
      </c>
      <c r="J147" s="22">
        <v>0</v>
      </c>
      <c r="K147" s="22">
        <v>0</v>
      </c>
      <c r="L147" s="22">
        <v>0</v>
      </c>
      <c r="M147" s="388">
        <v>598.66</v>
      </c>
      <c r="N147" s="25">
        <v>0.70520000000000005</v>
      </c>
      <c r="O147" s="24">
        <v>0</v>
      </c>
      <c r="P147" s="24">
        <v>214.25</v>
      </c>
      <c r="Q147" s="24">
        <v>132.5</v>
      </c>
      <c r="R147" s="22">
        <v>81.75</v>
      </c>
      <c r="S147" s="24">
        <v>33</v>
      </c>
      <c r="T147" s="24">
        <f t="shared" si="10"/>
        <v>247.25</v>
      </c>
      <c r="U147" s="376">
        <v>422.18</v>
      </c>
      <c r="V147" s="376">
        <v>29.93</v>
      </c>
      <c r="W147" s="22">
        <f t="shared" si="11"/>
        <v>297.72133600000001</v>
      </c>
      <c r="X147" s="22">
        <f t="shared" si="12"/>
        <v>72</v>
      </c>
      <c r="Y147" s="22">
        <v>57.75</v>
      </c>
      <c r="Z147" s="22">
        <v>14.25</v>
      </c>
      <c r="AA147" s="371">
        <v>598.66</v>
      </c>
      <c r="AB147" s="22">
        <v>0.12026859987304982</v>
      </c>
      <c r="AC147" s="24">
        <v>0</v>
      </c>
      <c r="AD147" s="384">
        <v>0</v>
      </c>
    </row>
    <row r="148" spans="1:30">
      <c r="A148" s="21" t="s">
        <v>319</v>
      </c>
      <c r="B148" s="21" t="s">
        <v>320</v>
      </c>
      <c r="C148" s="23">
        <v>58.8</v>
      </c>
      <c r="D148" s="147">
        <v>4.8600000000000003</v>
      </c>
      <c r="E148" s="22">
        <v>18.62</v>
      </c>
      <c r="F148" s="22">
        <v>23.48</v>
      </c>
      <c r="G148" s="22">
        <v>0</v>
      </c>
      <c r="H148" s="22">
        <v>4.47</v>
      </c>
      <c r="I148" s="22">
        <v>0.33</v>
      </c>
      <c r="J148" s="22">
        <v>1274.4000000000001</v>
      </c>
      <c r="K148" s="22">
        <v>0</v>
      </c>
      <c r="L148" s="22">
        <v>0</v>
      </c>
      <c r="M148" s="388">
        <v>1440.42</v>
      </c>
      <c r="N148" s="25">
        <v>0.20680000000000001</v>
      </c>
      <c r="O148" s="24">
        <v>497</v>
      </c>
      <c r="P148" s="24">
        <v>31.25</v>
      </c>
      <c r="Q148" s="24">
        <v>27.75</v>
      </c>
      <c r="R148" s="22">
        <v>3.5</v>
      </c>
      <c r="S148" s="24">
        <v>5.25</v>
      </c>
      <c r="T148" s="24">
        <f t="shared" si="10"/>
        <v>36.5</v>
      </c>
      <c r="U148" s="376">
        <v>297.88</v>
      </c>
      <c r="V148" s="376">
        <v>72.02</v>
      </c>
      <c r="W148" s="22">
        <f t="shared" si="11"/>
        <v>61.601584000000003</v>
      </c>
      <c r="X148" s="22">
        <f t="shared" si="12"/>
        <v>246.25</v>
      </c>
      <c r="Y148" s="22">
        <v>212</v>
      </c>
      <c r="Z148" s="22">
        <v>34.25</v>
      </c>
      <c r="AA148" s="371">
        <v>1441.96</v>
      </c>
      <c r="AB148" s="22">
        <v>0.17077450137313102</v>
      </c>
      <c r="AC148" s="24">
        <v>3.5774501373131012E-2</v>
      </c>
      <c r="AD148" s="384">
        <v>-431552.38947815518</v>
      </c>
    </row>
    <row r="149" spans="1:30">
      <c r="A149" s="21" t="s">
        <v>501</v>
      </c>
      <c r="B149" s="21" t="s">
        <v>502</v>
      </c>
      <c r="C149" s="23">
        <v>118.2</v>
      </c>
      <c r="D149" s="147">
        <v>0</v>
      </c>
      <c r="E149" s="22">
        <v>39.33</v>
      </c>
      <c r="F149" s="22">
        <v>39.33</v>
      </c>
      <c r="G149" s="22">
        <v>0</v>
      </c>
      <c r="H149" s="22">
        <v>5.92</v>
      </c>
      <c r="I149" s="22">
        <v>1.02</v>
      </c>
      <c r="J149" s="22">
        <v>37.78</v>
      </c>
      <c r="K149" s="22">
        <v>0</v>
      </c>
      <c r="L149" s="22">
        <v>0</v>
      </c>
      <c r="M149" s="388">
        <v>450.72</v>
      </c>
      <c r="N149" s="25">
        <v>0.78349999999999997</v>
      </c>
      <c r="O149" s="24">
        <v>497</v>
      </c>
      <c r="P149" s="24">
        <v>1</v>
      </c>
      <c r="Q149" s="24">
        <v>0</v>
      </c>
      <c r="R149" s="22">
        <v>1</v>
      </c>
      <c r="S149" s="24">
        <v>0</v>
      </c>
      <c r="T149" s="24">
        <f t="shared" si="10"/>
        <v>1</v>
      </c>
      <c r="U149" s="376">
        <v>353.14</v>
      </c>
      <c r="V149" s="376">
        <v>22.54</v>
      </c>
      <c r="W149" s="22">
        <f t="shared" si="11"/>
        <v>276.68518999999998</v>
      </c>
      <c r="X149" s="22">
        <f t="shared" si="12"/>
        <v>71</v>
      </c>
      <c r="Y149" s="22">
        <v>52</v>
      </c>
      <c r="Z149" s="22">
        <v>19</v>
      </c>
      <c r="AA149" s="371">
        <v>450.72</v>
      </c>
      <c r="AB149" s="22">
        <v>0.15752573659921901</v>
      </c>
      <c r="AC149" s="24">
        <v>2.2525736599218998E-2</v>
      </c>
      <c r="AD149" s="384">
        <v>-88490.915271153848</v>
      </c>
    </row>
    <row r="150" spans="1:30">
      <c r="A150" s="21" t="s">
        <v>433</v>
      </c>
      <c r="B150" s="21" t="s">
        <v>434</v>
      </c>
      <c r="C150" s="23">
        <v>2864.18</v>
      </c>
      <c r="D150" s="147">
        <v>201.04</v>
      </c>
      <c r="E150" s="22">
        <v>586.42999999999995</v>
      </c>
      <c r="F150" s="22">
        <v>787.46999999999991</v>
      </c>
      <c r="G150" s="22">
        <v>0</v>
      </c>
      <c r="H150" s="22">
        <v>154.68</v>
      </c>
      <c r="I150" s="22">
        <v>8.43</v>
      </c>
      <c r="J150" s="22">
        <v>336.75</v>
      </c>
      <c r="K150" s="22">
        <v>76.52</v>
      </c>
      <c r="L150" s="22">
        <v>0</v>
      </c>
      <c r="M150" s="388">
        <v>9923.5600000000013</v>
      </c>
      <c r="N150" s="25">
        <v>0.50639999999999996</v>
      </c>
      <c r="O150" s="24">
        <v>497</v>
      </c>
      <c r="P150" s="24">
        <v>1016.5</v>
      </c>
      <c r="Q150" s="24">
        <v>619.75</v>
      </c>
      <c r="R150" s="22">
        <v>396.75</v>
      </c>
      <c r="S150" s="24">
        <v>196.5</v>
      </c>
      <c r="T150" s="24">
        <f t="shared" si="10"/>
        <v>1213</v>
      </c>
      <c r="U150" s="376">
        <v>5025.29</v>
      </c>
      <c r="V150" s="376">
        <v>496.18</v>
      </c>
      <c r="W150" s="22">
        <f t="shared" si="11"/>
        <v>2544.8068559999997</v>
      </c>
      <c r="X150" s="22">
        <f t="shared" si="12"/>
        <v>1503.5</v>
      </c>
      <c r="Y150" s="22">
        <v>730</v>
      </c>
      <c r="Z150" s="22">
        <v>773.5</v>
      </c>
      <c r="AA150" s="371">
        <v>9953.17</v>
      </c>
      <c r="AB150" s="22">
        <v>0.15105740181268881</v>
      </c>
      <c r="AC150" s="24">
        <v>1.6057401812688804E-2</v>
      </c>
      <c r="AD150" s="384">
        <v>-1556287.6691872284</v>
      </c>
    </row>
    <row r="151" spans="1:30">
      <c r="A151" s="21" t="s">
        <v>147</v>
      </c>
      <c r="B151" s="21" t="s">
        <v>148</v>
      </c>
      <c r="C151" s="23">
        <v>125.41</v>
      </c>
      <c r="D151" s="147">
        <v>0</v>
      </c>
      <c r="E151" s="22">
        <v>0</v>
      </c>
      <c r="F151" s="22">
        <v>0</v>
      </c>
      <c r="G151" s="22">
        <v>0</v>
      </c>
      <c r="H151" s="22">
        <v>0</v>
      </c>
      <c r="I151" s="22">
        <v>0</v>
      </c>
      <c r="J151" s="22">
        <v>0</v>
      </c>
      <c r="K151" s="22">
        <v>0</v>
      </c>
      <c r="L151" s="22">
        <v>0</v>
      </c>
      <c r="M151" s="388">
        <v>291.75</v>
      </c>
      <c r="N151" s="25">
        <v>0.60860000000000003</v>
      </c>
      <c r="O151" s="24">
        <v>576</v>
      </c>
      <c r="P151" s="24">
        <v>2.25</v>
      </c>
      <c r="Q151" s="24">
        <v>2.25</v>
      </c>
      <c r="R151" s="22">
        <v>0</v>
      </c>
      <c r="S151" s="24">
        <v>0</v>
      </c>
      <c r="T151" s="24">
        <f t="shared" si="10"/>
        <v>2.25</v>
      </c>
      <c r="U151" s="376">
        <v>177.56</v>
      </c>
      <c r="V151" s="376">
        <v>14.59</v>
      </c>
      <c r="W151" s="22">
        <f t="shared" si="11"/>
        <v>108.063016</v>
      </c>
      <c r="X151" s="22">
        <f t="shared" si="12"/>
        <v>61.5</v>
      </c>
      <c r="Y151" s="22">
        <v>51.5</v>
      </c>
      <c r="Z151" s="22">
        <v>10</v>
      </c>
      <c r="AA151" s="371">
        <v>291.75</v>
      </c>
      <c r="AB151" s="22">
        <v>0.21079691516709512</v>
      </c>
      <c r="AC151" s="24">
        <v>7.5796915167095108E-2</v>
      </c>
      <c r="AD151" s="384">
        <v>-198898.32415362209</v>
      </c>
    </row>
    <row r="152" spans="1:30">
      <c r="A152" s="21" t="s">
        <v>461</v>
      </c>
      <c r="B152" s="21" t="s">
        <v>462</v>
      </c>
      <c r="C152" s="23">
        <v>2631.62</v>
      </c>
      <c r="D152" s="147">
        <v>406.12</v>
      </c>
      <c r="E152" s="22">
        <v>321.83999999999997</v>
      </c>
      <c r="F152" s="22">
        <v>727.96</v>
      </c>
      <c r="G152" s="22">
        <v>0</v>
      </c>
      <c r="H152" s="22">
        <v>302.37</v>
      </c>
      <c r="I152" s="22">
        <v>12.32</v>
      </c>
      <c r="J152" s="22">
        <v>538.24</v>
      </c>
      <c r="K152" s="22">
        <v>9.93</v>
      </c>
      <c r="L152" s="22">
        <v>1.7</v>
      </c>
      <c r="M152" s="388">
        <v>10187.290000000001</v>
      </c>
      <c r="N152" s="25">
        <v>0.29310000000000003</v>
      </c>
      <c r="O152" s="24">
        <v>497</v>
      </c>
      <c r="P152" s="24">
        <v>283</v>
      </c>
      <c r="Q152" s="24">
        <v>164.5</v>
      </c>
      <c r="R152" s="22">
        <v>118.5</v>
      </c>
      <c r="S152" s="24">
        <v>84</v>
      </c>
      <c r="T152" s="24">
        <f t="shared" si="10"/>
        <v>367</v>
      </c>
      <c r="U152" s="376">
        <v>2985.89</v>
      </c>
      <c r="V152" s="376">
        <v>509.36</v>
      </c>
      <c r="W152" s="22">
        <f t="shared" si="11"/>
        <v>875.16435899999999</v>
      </c>
      <c r="X152" s="22">
        <f t="shared" si="12"/>
        <v>1347.5</v>
      </c>
      <c r="Y152" s="22">
        <v>626</v>
      </c>
      <c r="Z152" s="22">
        <v>721.5</v>
      </c>
      <c r="AA152" s="371">
        <v>10243.16</v>
      </c>
      <c r="AB152" s="22">
        <v>0.13155120099656747</v>
      </c>
      <c r="AC152" s="24">
        <v>0</v>
      </c>
      <c r="AD152" s="384">
        <v>0</v>
      </c>
    </row>
    <row r="153" spans="1:30">
      <c r="A153" s="21" t="s">
        <v>459</v>
      </c>
      <c r="B153" s="21" t="s">
        <v>460</v>
      </c>
      <c r="C153" s="23">
        <v>565.32000000000005</v>
      </c>
      <c r="D153" s="147">
        <v>1.82</v>
      </c>
      <c r="E153" s="22">
        <v>128.52000000000001</v>
      </c>
      <c r="F153" s="22">
        <v>130.34</v>
      </c>
      <c r="G153" s="22">
        <v>0</v>
      </c>
      <c r="H153" s="22">
        <v>23.43</v>
      </c>
      <c r="I153" s="22">
        <v>1.3</v>
      </c>
      <c r="J153" s="22">
        <v>83.67</v>
      </c>
      <c r="K153" s="22">
        <v>0</v>
      </c>
      <c r="L153" s="22">
        <v>0</v>
      </c>
      <c r="M153" s="388">
        <v>1756.0400000000004</v>
      </c>
      <c r="N153" s="25">
        <v>0.38279999999999997</v>
      </c>
      <c r="O153" s="24">
        <v>497</v>
      </c>
      <c r="P153" s="24">
        <v>21</v>
      </c>
      <c r="Q153" s="24">
        <v>16.5</v>
      </c>
      <c r="R153" s="22">
        <v>4.5</v>
      </c>
      <c r="S153" s="24">
        <v>0</v>
      </c>
      <c r="T153" s="24">
        <f t="shared" si="10"/>
        <v>21</v>
      </c>
      <c r="U153" s="376">
        <v>672.21</v>
      </c>
      <c r="V153" s="376">
        <v>87.8</v>
      </c>
      <c r="W153" s="22">
        <f t="shared" si="11"/>
        <v>257.32198799999998</v>
      </c>
      <c r="X153" s="22">
        <f t="shared" si="12"/>
        <v>230.5</v>
      </c>
      <c r="Y153" s="22">
        <v>185.25</v>
      </c>
      <c r="Z153" s="22">
        <v>45.25</v>
      </c>
      <c r="AA153" s="371">
        <v>1769.29</v>
      </c>
      <c r="AB153" s="22">
        <v>0.13027824720650658</v>
      </c>
      <c r="AC153" s="24">
        <v>0</v>
      </c>
      <c r="AD153" s="384">
        <v>0</v>
      </c>
    </row>
    <row r="154" spans="1:30">
      <c r="A154" s="21" t="s">
        <v>189</v>
      </c>
      <c r="B154" s="21" t="s">
        <v>190</v>
      </c>
      <c r="C154" s="23">
        <v>948.09</v>
      </c>
      <c r="D154" s="147">
        <v>16.190000000000001</v>
      </c>
      <c r="E154" s="22">
        <v>288.45</v>
      </c>
      <c r="F154" s="22">
        <v>304.64</v>
      </c>
      <c r="G154" s="22">
        <v>0</v>
      </c>
      <c r="H154" s="22">
        <v>47.02</v>
      </c>
      <c r="I154" s="22">
        <v>3.21</v>
      </c>
      <c r="J154" s="22">
        <v>12.61</v>
      </c>
      <c r="K154" s="22">
        <v>0</v>
      </c>
      <c r="L154" s="22">
        <v>0</v>
      </c>
      <c r="M154" s="388">
        <v>3990.6800000000003</v>
      </c>
      <c r="N154" s="25">
        <v>3.4500000000000003E-2</v>
      </c>
      <c r="O154" s="24">
        <v>497</v>
      </c>
      <c r="P154" s="24">
        <v>114.25</v>
      </c>
      <c r="Q154" s="24">
        <v>88.75</v>
      </c>
      <c r="R154" s="22">
        <v>25.5</v>
      </c>
      <c r="S154" s="24">
        <v>112</v>
      </c>
      <c r="T154" s="24">
        <f t="shared" si="10"/>
        <v>226.25</v>
      </c>
      <c r="U154" s="376">
        <v>137.68</v>
      </c>
      <c r="V154" s="376">
        <v>199.53</v>
      </c>
      <c r="W154" s="22">
        <f t="shared" si="11"/>
        <v>4.7499600000000006</v>
      </c>
      <c r="X154" s="22">
        <f t="shared" si="12"/>
        <v>388.25</v>
      </c>
      <c r="Y154" s="22">
        <v>260.25</v>
      </c>
      <c r="Z154" s="22">
        <v>128</v>
      </c>
      <c r="AA154" s="371">
        <v>4005.48</v>
      </c>
      <c r="AB154" s="22">
        <v>9.6929706302365762E-2</v>
      </c>
      <c r="AC154" s="24">
        <v>0</v>
      </c>
      <c r="AD154" s="384">
        <v>0</v>
      </c>
    </row>
    <row r="155" spans="1:30">
      <c r="A155" s="21" t="s">
        <v>547</v>
      </c>
      <c r="B155" s="21" t="s">
        <v>548</v>
      </c>
      <c r="C155" s="23">
        <v>444.77</v>
      </c>
      <c r="D155" s="147">
        <v>0</v>
      </c>
      <c r="E155" s="22">
        <v>61.67</v>
      </c>
      <c r="F155" s="22">
        <v>61.67</v>
      </c>
      <c r="G155" s="22">
        <v>0</v>
      </c>
      <c r="H155" s="22">
        <v>43.95</v>
      </c>
      <c r="I155" s="22">
        <v>2.4500000000000002</v>
      </c>
      <c r="J155" s="22">
        <v>224.32999999999998</v>
      </c>
      <c r="K155" s="22">
        <v>8.6999999999999993</v>
      </c>
      <c r="L155" s="22">
        <v>0.9</v>
      </c>
      <c r="M155" s="388">
        <v>1741.69</v>
      </c>
      <c r="N155" s="25">
        <v>0.37790000000000001</v>
      </c>
      <c r="O155" s="24">
        <v>497</v>
      </c>
      <c r="P155" s="24">
        <v>189.5</v>
      </c>
      <c r="Q155" s="24">
        <v>133.5</v>
      </c>
      <c r="R155" s="22">
        <v>56</v>
      </c>
      <c r="S155" s="24">
        <v>24</v>
      </c>
      <c r="T155" s="24">
        <f t="shared" si="10"/>
        <v>213.5</v>
      </c>
      <c r="U155" s="376">
        <v>658.18</v>
      </c>
      <c r="V155" s="376">
        <v>87.08</v>
      </c>
      <c r="W155" s="22">
        <f t="shared" si="11"/>
        <v>248.72622199999998</v>
      </c>
      <c r="X155" s="22">
        <f t="shared" si="12"/>
        <v>191.25</v>
      </c>
      <c r="Y155" s="22">
        <v>134.25</v>
      </c>
      <c r="Z155" s="22">
        <v>57</v>
      </c>
      <c r="AA155" s="371">
        <v>1745.05</v>
      </c>
      <c r="AB155" s="22">
        <v>0.10959571358986848</v>
      </c>
      <c r="AC155" s="24">
        <v>0</v>
      </c>
      <c r="AD155" s="384">
        <v>0</v>
      </c>
    </row>
    <row r="156" spans="1:30">
      <c r="A156" s="21" t="s">
        <v>337</v>
      </c>
      <c r="B156" s="21" t="s">
        <v>338</v>
      </c>
      <c r="C156" s="23">
        <v>212.66</v>
      </c>
      <c r="D156" s="147">
        <v>0</v>
      </c>
      <c r="E156" s="22">
        <v>39.130000000000003</v>
      </c>
      <c r="F156" s="22">
        <v>39.130000000000003</v>
      </c>
      <c r="G156" s="22">
        <v>0</v>
      </c>
      <c r="H156" s="22">
        <v>7.07</v>
      </c>
      <c r="I156" s="22">
        <v>0.28000000000000003</v>
      </c>
      <c r="J156" s="22">
        <v>25.700000000000003</v>
      </c>
      <c r="K156" s="22">
        <v>0</v>
      </c>
      <c r="L156" s="22">
        <v>0</v>
      </c>
      <c r="M156" s="388">
        <v>716.15</v>
      </c>
      <c r="N156" s="25">
        <v>0.39369999999999999</v>
      </c>
      <c r="O156" s="24">
        <v>497</v>
      </c>
      <c r="P156" s="24">
        <v>24</v>
      </c>
      <c r="Q156" s="24">
        <v>16</v>
      </c>
      <c r="R156" s="22">
        <v>8</v>
      </c>
      <c r="S156" s="24">
        <v>3.25</v>
      </c>
      <c r="T156" s="24">
        <f t="shared" si="10"/>
        <v>27.25</v>
      </c>
      <c r="U156" s="376">
        <v>281.95</v>
      </c>
      <c r="V156" s="376">
        <v>35.81</v>
      </c>
      <c r="W156" s="22">
        <f t="shared" si="11"/>
        <v>111.003715</v>
      </c>
      <c r="X156" s="22">
        <f t="shared" si="12"/>
        <v>77.25</v>
      </c>
      <c r="Y156" s="22">
        <v>68.25</v>
      </c>
      <c r="Z156" s="22">
        <v>9</v>
      </c>
      <c r="AA156" s="371">
        <v>716.16</v>
      </c>
      <c r="AB156" s="22">
        <v>0.10786695710455764</v>
      </c>
      <c r="AC156" s="24">
        <v>0</v>
      </c>
      <c r="AD156" s="384">
        <v>0</v>
      </c>
    </row>
    <row r="157" spans="1:30">
      <c r="A157" s="21" t="s">
        <v>419</v>
      </c>
      <c r="B157" s="21" t="s">
        <v>420</v>
      </c>
      <c r="C157" s="23">
        <v>10.27</v>
      </c>
      <c r="D157" s="147">
        <v>0</v>
      </c>
      <c r="E157" s="22">
        <v>0</v>
      </c>
      <c r="F157" s="22">
        <v>0</v>
      </c>
      <c r="G157" s="22">
        <v>0</v>
      </c>
      <c r="H157" s="22">
        <v>0</v>
      </c>
      <c r="I157" s="22">
        <v>0</v>
      </c>
      <c r="J157" s="22">
        <v>0</v>
      </c>
      <c r="K157" s="22">
        <v>0</v>
      </c>
      <c r="L157" s="22">
        <v>0</v>
      </c>
      <c r="M157" s="388">
        <v>25.989999999999995</v>
      </c>
      <c r="N157" s="25">
        <v>0.51160000000000005</v>
      </c>
      <c r="O157" s="24">
        <v>497</v>
      </c>
      <c r="P157" s="24">
        <v>0</v>
      </c>
      <c r="Q157" s="24">
        <v>0</v>
      </c>
      <c r="R157" s="22">
        <v>0</v>
      </c>
      <c r="S157" s="24">
        <v>0</v>
      </c>
      <c r="T157" s="24">
        <f t="shared" si="10"/>
        <v>0</v>
      </c>
      <c r="U157" s="376">
        <v>13.3</v>
      </c>
      <c r="V157" s="376">
        <v>0</v>
      </c>
      <c r="W157" s="22">
        <f t="shared" si="11"/>
        <v>6.8042800000000012</v>
      </c>
      <c r="X157" s="22">
        <f t="shared" si="12"/>
        <v>5.25</v>
      </c>
      <c r="Y157" s="22">
        <v>4.25</v>
      </c>
      <c r="Z157" s="22">
        <v>1</v>
      </c>
      <c r="AA157" s="371">
        <v>25.99</v>
      </c>
      <c r="AB157" s="22">
        <v>0.20200076952674106</v>
      </c>
      <c r="AC157" s="24">
        <v>6.7000769526741055E-2</v>
      </c>
      <c r="AD157" s="384">
        <v>-15611.956123050531</v>
      </c>
    </row>
    <row r="158" spans="1:30">
      <c r="A158" s="21" t="s">
        <v>437</v>
      </c>
      <c r="B158" s="21" t="s">
        <v>438</v>
      </c>
      <c r="C158" s="23">
        <v>1383.4</v>
      </c>
      <c r="D158" s="147">
        <v>74.430000000000007</v>
      </c>
      <c r="E158" s="22">
        <v>384.65</v>
      </c>
      <c r="F158" s="22">
        <v>459.08</v>
      </c>
      <c r="G158" s="22">
        <v>0</v>
      </c>
      <c r="H158" s="22">
        <v>160.72</v>
      </c>
      <c r="I158" s="22">
        <v>13.71</v>
      </c>
      <c r="J158" s="22">
        <v>763.31999999999994</v>
      </c>
      <c r="K158" s="22">
        <v>0</v>
      </c>
      <c r="L158" s="22">
        <v>0</v>
      </c>
      <c r="M158" s="388">
        <v>5792.95</v>
      </c>
      <c r="N158" s="25">
        <v>0.31140000000000001</v>
      </c>
      <c r="O158" s="24">
        <v>497</v>
      </c>
      <c r="P158" s="24">
        <v>661.25</v>
      </c>
      <c r="Q158" s="24">
        <v>432.5</v>
      </c>
      <c r="R158" s="22">
        <v>228.75</v>
      </c>
      <c r="S158" s="24">
        <v>118.5</v>
      </c>
      <c r="T158" s="24">
        <f t="shared" si="10"/>
        <v>779.75</v>
      </c>
      <c r="U158" s="376">
        <v>1803.92</v>
      </c>
      <c r="V158" s="376">
        <v>289.64999999999998</v>
      </c>
      <c r="W158" s="22">
        <f t="shared" si="11"/>
        <v>561.74068800000009</v>
      </c>
      <c r="X158" s="22">
        <f t="shared" si="12"/>
        <v>708</v>
      </c>
      <c r="Y158" s="22">
        <v>546</v>
      </c>
      <c r="Z158" s="22">
        <v>162</v>
      </c>
      <c r="AA158" s="371">
        <v>5847.81</v>
      </c>
      <c r="AB158" s="22">
        <v>0.12107096502793352</v>
      </c>
      <c r="AC158" s="24">
        <v>0</v>
      </c>
      <c r="AD158" s="384">
        <v>0</v>
      </c>
    </row>
    <row r="159" spans="1:30">
      <c r="A159" s="21" t="s">
        <v>149</v>
      </c>
      <c r="B159" s="21" t="s">
        <v>150</v>
      </c>
      <c r="C159" s="23">
        <v>361.18</v>
      </c>
      <c r="D159" s="147">
        <v>21.92</v>
      </c>
      <c r="E159" s="22">
        <v>146.30000000000001</v>
      </c>
      <c r="F159" s="22">
        <v>168.22000000000003</v>
      </c>
      <c r="G159" s="22">
        <v>0</v>
      </c>
      <c r="H159" s="22">
        <v>49.04</v>
      </c>
      <c r="I159" s="22">
        <v>2.3199999999999998</v>
      </c>
      <c r="J159" s="22">
        <v>0</v>
      </c>
      <c r="K159" s="22">
        <v>12</v>
      </c>
      <c r="L159" s="22">
        <v>0</v>
      </c>
      <c r="M159" s="388">
        <v>1355.7599999999998</v>
      </c>
      <c r="N159" s="25">
        <v>0.3649</v>
      </c>
      <c r="O159" s="24">
        <v>576</v>
      </c>
      <c r="P159" s="24">
        <v>24</v>
      </c>
      <c r="Q159" s="24">
        <v>15</v>
      </c>
      <c r="R159" s="22">
        <v>9</v>
      </c>
      <c r="S159" s="24">
        <v>8</v>
      </c>
      <c r="T159" s="24">
        <f t="shared" si="10"/>
        <v>32</v>
      </c>
      <c r="U159" s="376">
        <v>494.72</v>
      </c>
      <c r="V159" s="376">
        <v>67.790000000000006</v>
      </c>
      <c r="W159" s="22">
        <f t="shared" si="11"/>
        <v>180.52332800000002</v>
      </c>
      <c r="X159" s="22">
        <f t="shared" si="12"/>
        <v>190</v>
      </c>
      <c r="Y159" s="22">
        <v>102.25</v>
      </c>
      <c r="Z159" s="22">
        <v>87.75</v>
      </c>
      <c r="AA159" s="371">
        <v>1356.66</v>
      </c>
      <c r="AB159" s="22">
        <v>0.14004982825468429</v>
      </c>
      <c r="AC159" s="24">
        <v>5.0498282546842799E-3</v>
      </c>
      <c r="AD159" s="384">
        <v>-60692.000537186796</v>
      </c>
    </row>
    <row r="160" spans="1:30">
      <c r="A160" s="21" t="s">
        <v>277</v>
      </c>
      <c r="B160" s="21" t="s">
        <v>278</v>
      </c>
      <c r="C160" s="23">
        <v>129</v>
      </c>
      <c r="D160" s="147">
        <v>26.31</v>
      </c>
      <c r="E160" s="22">
        <v>55.96</v>
      </c>
      <c r="F160" s="22">
        <v>82.27</v>
      </c>
      <c r="G160" s="22">
        <v>0</v>
      </c>
      <c r="H160" s="22">
        <v>5.83</v>
      </c>
      <c r="I160" s="22">
        <v>1.9</v>
      </c>
      <c r="J160" s="22">
        <v>0</v>
      </c>
      <c r="K160" s="22">
        <v>1</v>
      </c>
      <c r="L160" s="22">
        <v>0</v>
      </c>
      <c r="M160" s="388">
        <v>380.54999999999995</v>
      </c>
      <c r="N160" s="25">
        <v>0.59050000000000002</v>
      </c>
      <c r="O160" s="24">
        <v>497</v>
      </c>
      <c r="P160" s="24">
        <v>0</v>
      </c>
      <c r="Q160" s="24">
        <v>0</v>
      </c>
      <c r="R160" s="22">
        <v>0</v>
      </c>
      <c r="S160" s="24">
        <v>0</v>
      </c>
      <c r="T160" s="24">
        <f t="shared" si="10"/>
        <v>0</v>
      </c>
      <c r="U160" s="376">
        <v>224.71</v>
      </c>
      <c r="V160" s="376">
        <v>19.03</v>
      </c>
      <c r="W160" s="22">
        <f t="shared" si="11"/>
        <v>132.69125500000001</v>
      </c>
      <c r="X160" s="22">
        <f t="shared" si="12"/>
        <v>44.5</v>
      </c>
      <c r="Y160" s="22">
        <v>30</v>
      </c>
      <c r="Z160" s="22">
        <v>14.5</v>
      </c>
      <c r="AA160" s="371">
        <v>380.56</v>
      </c>
      <c r="AB160" s="22">
        <v>0.11693294092915703</v>
      </c>
      <c r="AC160" s="24">
        <v>0</v>
      </c>
      <c r="AD160" s="384">
        <v>0</v>
      </c>
    </row>
    <row r="161" spans="1:30">
      <c r="A161" s="21" t="s">
        <v>133</v>
      </c>
      <c r="B161" s="21" t="s">
        <v>134</v>
      </c>
      <c r="C161" s="23">
        <v>2535.36</v>
      </c>
      <c r="D161" s="147">
        <v>33.65</v>
      </c>
      <c r="E161" s="22">
        <v>416.27</v>
      </c>
      <c r="F161" s="22">
        <v>449.91999999999996</v>
      </c>
      <c r="G161" s="22">
        <v>210</v>
      </c>
      <c r="H161" s="22">
        <v>211.64</v>
      </c>
      <c r="I161" s="22">
        <v>12.59</v>
      </c>
      <c r="J161" s="22">
        <v>184.47</v>
      </c>
      <c r="K161" s="22">
        <v>103.56</v>
      </c>
      <c r="L161" s="22">
        <v>0</v>
      </c>
      <c r="M161" s="388">
        <v>8368.840000000002</v>
      </c>
      <c r="N161" s="25">
        <v>0.63880000000000003</v>
      </c>
      <c r="O161" s="24">
        <v>576</v>
      </c>
      <c r="P161" s="24">
        <v>1095.5</v>
      </c>
      <c r="Q161" s="24">
        <v>653.25</v>
      </c>
      <c r="R161" s="22">
        <v>442.25</v>
      </c>
      <c r="S161" s="24">
        <v>303.75</v>
      </c>
      <c r="T161" s="24">
        <f t="shared" si="10"/>
        <v>1399.25</v>
      </c>
      <c r="U161" s="376">
        <v>5346.01</v>
      </c>
      <c r="V161" s="376">
        <v>418.44</v>
      </c>
      <c r="W161" s="22">
        <f t="shared" si="11"/>
        <v>3415.0311880000004</v>
      </c>
      <c r="X161" s="22">
        <f t="shared" si="12"/>
        <v>1115.75</v>
      </c>
      <c r="Y161" s="22">
        <v>750.75</v>
      </c>
      <c r="Z161" s="22">
        <v>365</v>
      </c>
      <c r="AA161" s="371">
        <v>8286.33</v>
      </c>
      <c r="AB161" s="22">
        <v>0.13464947690956069</v>
      </c>
      <c r="AC161" s="24">
        <v>0</v>
      </c>
      <c r="AD161" s="384">
        <v>0</v>
      </c>
    </row>
    <row r="162" spans="1:30">
      <c r="A162" s="21" t="s">
        <v>275</v>
      </c>
      <c r="B162" s="21" t="s">
        <v>276</v>
      </c>
      <c r="C162" s="23">
        <v>174</v>
      </c>
      <c r="D162" s="147">
        <v>14.56</v>
      </c>
      <c r="E162" s="22">
        <v>34.28</v>
      </c>
      <c r="F162" s="22">
        <v>48.84</v>
      </c>
      <c r="G162" s="22">
        <v>0</v>
      </c>
      <c r="H162" s="22">
        <v>6.05</v>
      </c>
      <c r="I162" s="22">
        <v>0.17</v>
      </c>
      <c r="J162" s="22">
        <v>13.36</v>
      </c>
      <c r="K162" s="22">
        <v>0</v>
      </c>
      <c r="L162" s="22">
        <v>0</v>
      </c>
      <c r="M162" s="388">
        <v>576.91999999999996</v>
      </c>
      <c r="N162" s="25">
        <v>0.65010000000000001</v>
      </c>
      <c r="O162" s="24">
        <v>497</v>
      </c>
      <c r="P162" s="24">
        <v>54.75</v>
      </c>
      <c r="Q162" s="24">
        <v>30.25</v>
      </c>
      <c r="R162" s="22">
        <v>24.5</v>
      </c>
      <c r="S162" s="24">
        <v>10</v>
      </c>
      <c r="T162" s="24">
        <f t="shared" si="10"/>
        <v>64.75</v>
      </c>
      <c r="U162" s="376">
        <v>375.06</v>
      </c>
      <c r="V162" s="376">
        <v>28.85</v>
      </c>
      <c r="W162" s="22">
        <f t="shared" si="11"/>
        <v>243.82650599999999</v>
      </c>
      <c r="X162" s="22">
        <f t="shared" si="12"/>
        <v>91.25</v>
      </c>
      <c r="Y162" s="22">
        <v>42.5</v>
      </c>
      <c r="Z162" s="22">
        <v>48.75</v>
      </c>
      <c r="AA162" s="371">
        <v>576.91999999999996</v>
      </c>
      <c r="AB162" s="22">
        <v>0.15816751022672121</v>
      </c>
      <c r="AC162" s="24">
        <v>2.31675102267212E-2</v>
      </c>
      <c r="AD162" s="384">
        <v>-116900.8118576186</v>
      </c>
    </row>
    <row r="163" spans="1:30">
      <c r="A163" s="21" t="s">
        <v>609</v>
      </c>
      <c r="B163" s="21" t="s">
        <v>610</v>
      </c>
      <c r="C163" s="23">
        <v>239.4</v>
      </c>
      <c r="D163" s="147">
        <v>2.3199999999999998</v>
      </c>
      <c r="E163" s="22">
        <v>22.8</v>
      </c>
      <c r="F163" s="22">
        <v>25.12</v>
      </c>
      <c r="G163" s="22">
        <v>0</v>
      </c>
      <c r="H163" s="22">
        <v>2.42</v>
      </c>
      <c r="I163" s="22">
        <v>0.38</v>
      </c>
      <c r="J163" s="22">
        <v>21.599999999999998</v>
      </c>
      <c r="K163" s="22">
        <v>1.2</v>
      </c>
      <c r="L163" s="22">
        <v>0</v>
      </c>
      <c r="M163" s="388">
        <v>822.54000000000008</v>
      </c>
      <c r="N163" s="25">
        <v>0.996</v>
      </c>
      <c r="O163" s="24">
        <v>1260</v>
      </c>
      <c r="P163" s="24">
        <v>124.5</v>
      </c>
      <c r="Q163" s="24">
        <v>75.5</v>
      </c>
      <c r="R163" s="22">
        <v>49</v>
      </c>
      <c r="S163" s="24">
        <v>17</v>
      </c>
      <c r="T163" s="24">
        <f t="shared" si="10"/>
        <v>141.5</v>
      </c>
      <c r="U163" s="376">
        <v>819.25</v>
      </c>
      <c r="V163" s="376">
        <v>41.13</v>
      </c>
      <c r="W163" s="22">
        <f t="shared" si="11"/>
        <v>815.97299999999996</v>
      </c>
      <c r="X163" s="22">
        <f t="shared" si="12"/>
        <v>122.5</v>
      </c>
      <c r="Y163" s="22">
        <v>71</v>
      </c>
      <c r="Z163" s="22">
        <v>51.5</v>
      </c>
      <c r="AA163" s="371">
        <v>823.08</v>
      </c>
      <c r="AB163" s="22">
        <v>0.14883121932254459</v>
      </c>
      <c r="AC163" s="24">
        <v>1.383121932254458E-2</v>
      </c>
      <c r="AD163" s="384">
        <v>-99522.733995505143</v>
      </c>
    </row>
    <row r="164" spans="1:30">
      <c r="A164" s="21" t="s">
        <v>551</v>
      </c>
      <c r="B164" s="21" t="s">
        <v>552</v>
      </c>
      <c r="C164" s="23">
        <v>440.03</v>
      </c>
      <c r="D164" s="147">
        <v>7.49</v>
      </c>
      <c r="E164" s="22">
        <v>87.8</v>
      </c>
      <c r="F164" s="22">
        <v>95.289999999999992</v>
      </c>
      <c r="G164" s="22">
        <v>0</v>
      </c>
      <c r="H164" s="22">
        <v>40.83</v>
      </c>
      <c r="I164" s="22">
        <v>3.7</v>
      </c>
      <c r="J164" s="22">
        <v>80.45</v>
      </c>
      <c r="K164" s="22">
        <v>14.37</v>
      </c>
      <c r="L164" s="22">
        <v>0.43</v>
      </c>
      <c r="M164" s="388">
        <v>1642.07</v>
      </c>
      <c r="N164" s="25">
        <v>0.55310000000000004</v>
      </c>
      <c r="O164" s="24">
        <v>497</v>
      </c>
      <c r="P164" s="24">
        <v>87.25</v>
      </c>
      <c r="Q164" s="24">
        <v>51.25</v>
      </c>
      <c r="R164" s="22">
        <v>36</v>
      </c>
      <c r="S164" s="24">
        <v>17</v>
      </c>
      <c r="T164" s="24">
        <f t="shared" si="10"/>
        <v>104.25</v>
      </c>
      <c r="U164" s="376">
        <v>908.23</v>
      </c>
      <c r="V164" s="376">
        <v>82.1</v>
      </c>
      <c r="W164" s="22">
        <f t="shared" si="11"/>
        <v>502.34201300000007</v>
      </c>
      <c r="X164" s="22">
        <f t="shared" si="12"/>
        <v>285.75</v>
      </c>
      <c r="Y164" s="22">
        <v>207.75</v>
      </c>
      <c r="Z164" s="22">
        <v>78</v>
      </c>
      <c r="AA164" s="371">
        <v>1642.18</v>
      </c>
      <c r="AB164" s="22">
        <v>0.17400650355015893</v>
      </c>
      <c r="AC164" s="24">
        <v>3.9006503550158916E-2</v>
      </c>
      <c r="AD164" s="384">
        <v>-605961.32756081072</v>
      </c>
    </row>
    <row r="165" spans="1:30">
      <c r="A165" s="21" t="s">
        <v>417</v>
      </c>
      <c r="B165" s="21" t="s">
        <v>418</v>
      </c>
      <c r="C165" s="23">
        <v>26.8</v>
      </c>
      <c r="D165" s="147">
        <v>0</v>
      </c>
      <c r="E165" s="22">
        <v>0</v>
      </c>
      <c r="F165" s="22">
        <v>0</v>
      </c>
      <c r="G165" s="22">
        <v>0</v>
      </c>
      <c r="H165" s="22">
        <v>0</v>
      </c>
      <c r="I165" s="22">
        <v>0</v>
      </c>
      <c r="J165" s="22">
        <v>0</v>
      </c>
      <c r="K165" s="22">
        <v>0</v>
      </c>
      <c r="L165" s="22">
        <v>0</v>
      </c>
      <c r="M165" s="388">
        <v>59.8</v>
      </c>
      <c r="N165" s="25">
        <v>0.22409999999999999</v>
      </c>
      <c r="O165" s="24">
        <v>497</v>
      </c>
      <c r="P165" s="24">
        <v>0</v>
      </c>
      <c r="Q165" s="24">
        <v>0</v>
      </c>
      <c r="R165" s="22">
        <v>0</v>
      </c>
      <c r="S165" s="24">
        <v>0</v>
      </c>
      <c r="T165" s="24">
        <f t="shared" si="10"/>
        <v>0</v>
      </c>
      <c r="U165" s="376">
        <v>13.4</v>
      </c>
      <c r="V165" s="376">
        <v>2.99</v>
      </c>
      <c r="W165" s="22">
        <f t="shared" si="11"/>
        <v>3.0029400000000002</v>
      </c>
      <c r="X165" s="22">
        <f t="shared" si="12"/>
        <v>4.5</v>
      </c>
      <c r="Y165" s="22">
        <v>4.5</v>
      </c>
      <c r="Z165" s="22">
        <v>0</v>
      </c>
      <c r="AA165" s="371">
        <v>59.8</v>
      </c>
      <c r="AB165" s="22">
        <v>7.5250836120401343E-2</v>
      </c>
      <c r="AC165" s="24">
        <v>0</v>
      </c>
      <c r="AD165" s="384">
        <v>0</v>
      </c>
    </row>
    <row r="166" spans="1:30">
      <c r="A166" s="21" t="s">
        <v>413</v>
      </c>
      <c r="B166" s="21" t="s">
        <v>414</v>
      </c>
      <c r="C166" s="23">
        <v>1792.34</v>
      </c>
      <c r="D166" s="147">
        <v>0</v>
      </c>
      <c r="E166" s="22">
        <v>421.29</v>
      </c>
      <c r="F166" s="22">
        <v>421.29</v>
      </c>
      <c r="G166" s="22">
        <v>191.36</v>
      </c>
      <c r="H166" s="22">
        <v>113.13</v>
      </c>
      <c r="I166" s="22">
        <v>6.42</v>
      </c>
      <c r="J166" s="22">
        <v>403.72</v>
      </c>
      <c r="K166" s="22">
        <v>23.2</v>
      </c>
      <c r="L166" s="22">
        <v>0</v>
      </c>
      <c r="M166" s="388">
        <v>6582.57</v>
      </c>
      <c r="N166" s="25">
        <v>0.63229999999999997</v>
      </c>
      <c r="O166" s="24">
        <v>497</v>
      </c>
      <c r="P166" s="24">
        <v>1568.5</v>
      </c>
      <c r="Q166" s="24">
        <v>989.25</v>
      </c>
      <c r="R166" s="22">
        <v>579.25</v>
      </c>
      <c r="S166" s="24">
        <v>182.75</v>
      </c>
      <c r="T166" s="24">
        <f t="shared" si="10"/>
        <v>1751.25</v>
      </c>
      <c r="U166" s="376">
        <v>4162.16</v>
      </c>
      <c r="V166" s="376">
        <v>329.13</v>
      </c>
      <c r="W166" s="22">
        <f t="shared" si="11"/>
        <v>2631.7337679999996</v>
      </c>
      <c r="X166" s="22">
        <f t="shared" si="12"/>
        <v>858</v>
      </c>
      <c r="Y166" s="22">
        <v>514</v>
      </c>
      <c r="Z166" s="22">
        <v>344</v>
      </c>
      <c r="AA166" s="371">
        <v>6418.03</v>
      </c>
      <c r="AB166" s="22">
        <v>0.13368588180485289</v>
      </c>
      <c r="AC166" s="24">
        <v>0</v>
      </c>
      <c r="AD166" s="384">
        <v>0</v>
      </c>
    </row>
    <row r="167" spans="1:30">
      <c r="A167" s="21" t="s">
        <v>223</v>
      </c>
      <c r="B167" s="21" t="s">
        <v>224</v>
      </c>
      <c r="C167" s="23">
        <v>160.19999999999999</v>
      </c>
      <c r="D167" s="147">
        <v>0.27</v>
      </c>
      <c r="E167" s="22">
        <v>6.56</v>
      </c>
      <c r="F167" s="22">
        <v>6.83</v>
      </c>
      <c r="G167" s="22">
        <v>0</v>
      </c>
      <c r="H167" s="22">
        <v>2.69</v>
      </c>
      <c r="I167" s="22">
        <v>0.33</v>
      </c>
      <c r="J167" s="22">
        <v>0</v>
      </c>
      <c r="K167" s="22">
        <v>0</v>
      </c>
      <c r="L167" s="22">
        <v>0</v>
      </c>
      <c r="M167" s="388">
        <v>526.33000000000015</v>
      </c>
      <c r="N167" s="25">
        <v>0.82310000000000005</v>
      </c>
      <c r="O167" s="24">
        <v>497</v>
      </c>
      <c r="P167" s="24">
        <v>0</v>
      </c>
      <c r="Q167" s="24">
        <v>0</v>
      </c>
      <c r="R167" s="22">
        <v>0</v>
      </c>
      <c r="S167" s="24">
        <v>0</v>
      </c>
      <c r="T167" s="24">
        <f t="shared" si="10"/>
        <v>0</v>
      </c>
      <c r="U167" s="376">
        <v>433.22</v>
      </c>
      <c r="V167" s="376">
        <v>0</v>
      </c>
      <c r="W167" s="22">
        <f t="shared" si="11"/>
        <v>356.58338200000003</v>
      </c>
      <c r="X167" s="22">
        <f t="shared" si="12"/>
        <v>0</v>
      </c>
      <c r="Y167" s="22">
        <v>0</v>
      </c>
      <c r="Z167" s="22">
        <v>0</v>
      </c>
      <c r="AA167" s="371">
        <v>526.87</v>
      </c>
      <c r="AB167" s="22">
        <v>0</v>
      </c>
      <c r="AC167" s="24">
        <v>0</v>
      </c>
      <c r="AD167" s="384">
        <v>0</v>
      </c>
    </row>
    <row r="168" spans="1:30">
      <c r="A168" s="21" t="s">
        <v>427</v>
      </c>
      <c r="B168" s="21" t="s">
        <v>428</v>
      </c>
      <c r="C168" s="23">
        <v>4398.29</v>
      </c>
      <c r="D168" s="147">
        <v>166.94</v>
      </c>
      <c r="E168" s="22">
        <v>554.14</v>
      </c>
      <c r="F168" s="22">
        <v>721.07999999999993</v>
      </c>
      <c r="G168" s="22">
        <v>482.67</v>
      </c>
      <c r="H168" s="22">
        <v>288</v>
      </c>
      <c r="I168" s="22">
        <v>26.01</v>
      </c>
      <c r="J168" s="22">
        <v>0</v>
      </c>
      <c r="K168" s="22">
        <v>37.4</v>
      </c>
      <c r="L168" s="22">
        <v>0</v>
      </c>
      <c r="M168" s="388">
        <v>15034.829999999998</v>
      </c>
      <c r="N168" s="25">
        <v>0.49740000000000001</v>
      </c>
      <c r="O168" s="24">
        <v>497</v>
      </c>
      <c r="P168" s="24">
        <v>3253.75</v>
      </c>
      <c r="Q168" s="24">
        <v>2258.25</v>
      </c>
      <c r="R168" s="22">
        <v>995.5</v>
      </c>
      <c r="S168" s="24">
        <v>546.75</v>
      </c>
      <c r="T168" s="24">
        <f t="shared" si="10"/>
        <v>3800.5</v>
      </c>
      <c r="U168" s="376">
        <v>7478.32</v>
      </c>
      <c r="V168" s="376">
        <v>751.74</v>
      </c>
      <c r="W168" s="22">
        <f t="shared" si="11"/>
        <v>3719.7163679999999</v>
      </c>
      <c r="X168" s="22">
        <f t="shared" si="12"/>
        <v>1979</v>
      </c>
      <c r="Y168" s="22">
        <v>1223.25</v>
      </c>
      <c r="Z168" s="22">
        <v>755.75</v>
      </c>
      <c r="AA168" s="371">
        <v>14647.94</v>
      </c>
      <c r="AB168" s="22">
        <v>0.13510432183638107</v>
      </c>
      <c r="AC168" s="24">
        <v>1.0432183638106607E-4</v>
      </c>
      <c r="AD168" s="384">
        <v>-15314.284996707212</v>
      </c>
    </row>
    <row r="169" spans="1:30">
      <c r="A169" s="21" t="s">
        <v>583</v>
      </c>
      <c r="B169" s="21" t="s">
        <v>584</v>
      </c>
      <c r="C169" s="23">
        <v>360.39</v>
      </c>
      <c r="D169" s="147">
        <v>20.63</v>
      </c>
      <c r="E169" s="22">
        <v>63.17</v>
      </c>
      <c r="F169" s="22">
        <v>83.8</v>
      </c>
      <c r="G169" s="22">
        <v>0</v>
      </c>
      <c r="H169" s="22">
        <v>20.399999999999999</v>
      </c>
      <c r="I169" s="22">
        <v>2.65</v>
      </c>
      <c r="J169" s="22">
        <v>40.160000000000004</v>
      </c>
      <c r="K169" s="22">
        <v>2.8</v>
      </c>
      <c r="L169" s="22">
        <v>0</v>
      </c>
      <c r="M169" s="388">
        <v>1223.7900000000002</v>
      </c>
      <c r="N169" s="25">
        <v>0.52349999999999997</v>
      </c>
      <c r="O169" s="24">
        <v>497</v>
      </c>
      <c r="P169" s="24">
        <v>72.75</v>
      </c>
      <c r="Q169" s="24">
        <v>41</v>
      </c>
      <c r="R169" s="22">
        <v>31.75</v>
      </c>
      <c r="S169" s="24">
        <v>26.25</v>
      </c>
      <c r="T169" s="24">
        <f t="shared" si="10"/>
        <v>99</v>
      </c>
      <c r="U169" s="376">
        <v>640.65</v>
      </c>
      <c r="V169" s="376">
        <v>61.19</v>
      </c>
      <c r="W169" s="22">
        <f t="shared" si="11"/>
        <v>335.38027499999998</v>
      </c>
      <c r="X169" s="22">
        <f t="shared" si="12"/>
        <v>158.25</v>
      </c>
      <c r="Y169" s="22">
        <v>120.75</v>
      </c>
      <c r="Z169" s="22">
        <v>37.5</v>
      </c>
      <c r="AA169" s="371">
        <v>1237.22</v>
      </c>
      <c r="AB169" s="22">
        <v>0.12790772861738414</v>
      </c>
      <c r="AC169" s="24">
        <v>0</v>
      </c>
      <c r="AD169" s="384">
        <v>0</v>
      </c>
    </row>
    <row r="170" spans="1:30">
      <c r="A170" s="21" t="s">
        <v>271</v>
      </c>
      <c r="B170" s="21" t="s">
        <v>272</v>
      </c>
      <c r="C170" s="23">
        <v>200.6</v>
      </c>
      <c r="D170" s="147">
        <v>42.48</v>
      </c>
      <c r="E170" s="22">
        <v>77.87</v>
      </c>
      <c r="F170" s="22">
        <v>120.35</v>
      </c>
      <c r="G170" s="22">
        <v>0</v>
      </c>
      <c r="H170" s="22">
        <v>13.9</v>
      </c>
      <c r="I170" s="22">
        <v>1.45</v>
      </c>
      <c r="J170" s="22">
        <v>0.8</v>
      </c>
      <c r="K170" s="22">
        <v>2.4</v>
      </c>
      <c r="L170" s="22">
        <v>0</v>
      </c>
      <c r="M170" s="388">
        <v>767.12999999999988</v>
      </c>
      <c r="N170" s="25">
        <v>0.46410000000000001</v>
      </c>
      <c r="O170" s="24">
        <v>497</v>
      </c>
      <c r="P170" s="24">
        <v>18</v>
      </c>
      <c r="Q170" s="24">
        <v>12</v>
      </c>
      <c r="R170" s="22">
        <v>6</v>
      </c>
      <c r="S170" s="24">
        <v>2.75</v>
      </c>
      <c r="T170" s="24">
        <f t="shared" si="10"/>
        <v>20.75</v>
      </c>
      <c r="U170" s="376">
        <v>356.03</v>
      </c>
      <c r="V170" s="376">
        <v>38.36</v>
      </c>
      <c r="W170" s="22">
        <f t="shared" si="11"/>
        <v>165.23352299999999</v>
      </c>
      <c r="X170" s="22">
        <f t="shared" si="12"/>
        <v>76.75</v>
      </c>
      <c r="Y170" s="22">
        <v>52.75</v>
      </c>
      <c r="Z170" s="22">
        <v>24</v>
      </c>
      <c r="AA170" s="371">
        <v>770.63</v>
      </c>
      <c r="AB170" s="22">
        <v>9.9593838807209692E-2</v>
      </c>
      <c r="AC170" s="24">
        <v>0</v>
      </c>
      <c r="AD170" s="384">
        <v>0</v>
      </c>
    </row>
    <row r="171" spans="1:30">
      <c r="A171" s="21" t="s">
        <v>349</v>
      </c>
      <c r="B171" s="21" t="s">
        <v>350</v>
      </c>
      <c r="C171" s="23">
        <v>77.8</v>
      </c>
      <c r="D171" s="147">
        <v>2.02</v>
      </c>
      <c r="E171" s="22">
        <v>10.82</v>
      </c>
      <c r="F171" s="22">
        <v>12.84</v>
      </c>
      <c r="G171" s="22">
        <v>0</v>
      </c>
      <c r="H171" s="22">
        <v>7.83</v>
      </c>
      <c r="I171" s="22">
        <v>0.71</v>
      </c>
      <c r="J171" s="22">
        <v>0</v>
      </c>
      <c r="K171" s="22">
        <v>0</v>
      </c>
      <c r="L171" s="22">
        <v>0</v>
      </c>
      <c r="M171" s="388">
        <v>312.36999999999995</v>
      </c>
      <c r="N171" s="25">
        <v>0.52969999999999995</v>
      </c>
      <c r="O171" s="24">
        <v>497</v>
      </c>
      <c r="P171" s="24">
        <v>13</v>
      </c>
      <c r="Q171" s="24">
        <v>2</v>
      </c>
      <c r="R171" s="22">
        <v>11</v>
      </c>
      <c r="S171" s="24">
        <v>0</v>
      </c>
      <c r="T171" s="24">
        <f t="shared" si="10"/>
        <v>13</v>
      </c>
      <c r="U171" s="376">
        <v>165.46</v>
      </c>
      <c r="V171" s="376">
        <v>15.62</v>
      </c>
      <c r="W171" s="22">
        <f t="shared" si="11"/>
        <v>87.644161999999994</v>
      </c>
      <c r="X171" s="22">
        <f t="shared" si="12"/>
        <v>41.75</v>
      </c>
      <c r="Y171" s="22">
        <v>25.5</v>
      </c>
      <c r="Z171" s="22">
        <v>16.25</v>
      </c>
      <c r="AA171" s="371">
        <v>312.37</v>
      </c>
      <c r="AB171" s="22">
        <v>0.13365560072990365</v>
      </c>
      <c r="AC171" s="24">
        <v>0</v>
      </c>
      <c r="AD171" s="384">
        <v>0</v>
      </c>
    </row>
    <row r="172" spans="1:30">
      <c r="A172" s="21" t="s">
        <v>327</v>
      </c>
      <c r="B172" s="21" t="s">
        <v>328</v>
      </c>
      <c r="C172" s="23">
        <v>63</v>
      </c>
      <c r="D172" s="147">
        <v>0</v>
      </c>
      <c r="E172" s="22">
        <v>0</v>
      </c>
      <c r="F172" s="22">
        <v>0</v>
      </c>
      <c r="G172" s="22">
        <v>0</v>
      </c>
      <c r="H172" s="22">
        <v>0</v>
      </c>
      <c r="I172" s="22">
        <v>0</v>
      </c>
      <c r="J172" s="22">
        <v>0</v>
      </c>
      <c r="K172" s="22">
        <v>0</v>
      </c>
      <c r="L172" s="22">
        <v>0</v>
      </c>
      <c r="M172" s="388">
        <v>128.4</v>
      </c>
      <c r="N172" s="25">
        <v>1</v>
      </c>
      <c r="O172" s="24">
        <v>497</v>
      </c>
      <c r="P172" s="24">
        <v>0</v>
      </c>
      <c r="Q172" s="24">
        <v>0</v>
      </c>
      <c r="R172" s="22">
        <v>0</v>
      </c>
      <c r="S172" s="24">
        <v>0</v>
      </c>
      <c r="T172" s="24">
        <f t="shared" si="10"/>
        <v>0</v>
      </c>
      <c r="U172" s="376">
        <v>128.4</v>
      </c>
      <c r="V172" s="376">
        <v>0</v>
      </c>
      <c r="W172" s="22">
        <f t="shared" si="11"/>
        <v>128.4</v>
      </c>
      <c r="X172" s="22">
        <f t="shared" si="12"/>
        <v>25.5</v>
      </c>
      <c r="Y172" s="22">
        <v>25</v>
      </c>
      <c r="Z172" s="22">
        <v>0.5</v>
      </c>
      <c r="AA172" s="371">
        <v>128.4</v>
      </c>
      <c r="AB172" s="22">
        <v>0.19859813084112149</v>
      </c>
      <c r="AC172" s="24">
        <v>6.3598130841121481E-2</v>
      </c>
      <c r="AD172" s="384">
        <v>-74892.997444041073</v>
      </c>
    </row>
    <row r="173" spans="1:30">
      <c r="A173" s="21" t="s">
        <v>355</v>
      </c>
      <c r="B173" s="21" t="s">
        <v>356</v>
      </c>
      <c r="C173" s="23">
        <v>249.8</v>
      </c>
      <c r="D173" s="147">
        <v>31.55</v>
      </c>
      <c r="E173" s="22">
        <v>101.91</v>
      </c>
      <c r="F173" s="22">
        <v>133.46</v>
      </c>
      <c r="G173" s="22">
        <v>0</v>
      </c>
      <c r="H173" s="22">
        <v>17.47</v>
      </c>
      <c r="I173" s="22">
        <v>0.5</v>
      </c>
      <c r="J173" s="22">
        <v>108.42</v>
      </c>
      <c r="K173" s="22">
        <v>0</v>
      </c>
      <c r="L173" s="22">
        <v>0</v>
      </c>
      <c r="M173" s="388">
        <v>1023.4</v>
      </c>
      <c r="N173" s="25">
        <v>0.60260000000000002</v>
      </c>
      <c r="O173" s="24">
        <v>497</v>
      </c>
      <c r="P173" s="24">
        <v>0</v>
      </c>
      <c r="Q173" s="24">
        <v>0</v>
      </c>
      <c r="R173" s="22">
        <v>0</v>
      </c>
      <c r="S173" s="24">
        <v>0</v>
      </c>
      <c r="T173" s="24">
        <f t="shared" si="10"/>
        <v>0</v>
      </c>
      <c r="U173" s="376">
        <v>616.70000000000005</v>
      </c>
      <c r="V173" s="376">
        <v>51.17</v>
      </c>
      <c r="W173" s="22">
        <f t="shared" si="11"/>
        <v>371.62342000000007</v>
      </c>
      <c r="X173" s="22">
        <f t="shared" si="12"/>
        <v>168.75</v>
      </c>
      <c r="Y173" s="22">
        <v>59.5</v>
      </c>
      <c r="Z173" s="22">
        <v>109.25</v>
      </c>
      <c r="AA173" s="371">
        <v>1023.4</v>
      </c>
      <c r="AB173" s="22">
        <v>0.16489153801055306</v>
      </c>
      <c r="AC173" s="24">
        <v>2.9891538010553054E-2</v>
      </c>
      <c r="AD173" s="384">
        <v>-264096.45931569242</v>
      </c>
    </row>
    <row r="174" spans="1:30">
      <c r="A174" s="21" t="s">
        <v>457</v>
      </c>
      <c r="B174" s="21" t="s">
        <v>458</v>
      </c>
      <c r="C174" s="23">
        <v>344.43</v>
      </c>
      <c r="D174" s="147">
        <v>2.48</v>
      </c>
      <c r="E174" s="22">
        <v>96.56</v>
      </c>
      <c r="F174" s="22">
        <v>99.04</v>
      </c>
      <c r="G174" s="22">
        <v>0</v>
      </c>
      <c r="H174" s="22">
        <v>56.85</v>
      </c>
      <c r="I174" s="22">
        <v>1.7</v>
      </c>
      <c r="J174" s="22">
        <v>53.800000000000004</v>
      </c>
      <c r="K174" s="22">
        <v>0.86</v>
      </c>
      <c r="L174" s="22">
        <v>0</v>
      </c>
      <c r="M174" s="388">
        <v>1390.8799999999997</v>
      </c>
      <c r="N174" s="25">
        <v>0.2505</v>
      </c>
      <c r="O174" s="24">
        <v>497</v>
      </c>
      <c r="P174" s="24">
        <v>10.75</v>
      </c>
      <c r="Q174" s="24">
        <v>5.25</v>
      </c>
      <c r="R174" s="22">
        <v>5.5</v>
      </c>
      <c r="S174" s="24">
        <v>0</v>
      </c>
      <c r="T174" s="24">
        <f t="shared" si="10"/>
        <v>10.75</v>
      </c>
      <c r="U174" s="376">
        <v>348.42</v>
      </c>
      <c r="V174" s="376">
        <v>69.540000000000006</v>
      </c>
      <c r="W174" s="22">
        <f t="shared" si="11"/>
        <v>87.279210000000006</v>
      </c>
      <c r="X174" s="22">
        <f t="shared" si="12"/>
        <v>183.5</v>
      </c>
      <c r="Y174" s="22">
        <v>111.5</v>
      </c>
      <c r="Z174" s="22">
        <v>72</v>
      </c>
      <c r="AA174" s="371">
        <v>1399.49</v>
      </c>
      <c r="AB174" s="22">
        <v>0.1311191934204603</v>
      </c>
      <c r="AC174" s="24">
        <v>0</v>
      </c>
      <c r="AD174" s="384">
        <v>0</v>
      </c>
    </row>
    <row r="175" spans="1:30">
      <c r="A175" s="21" t="s">
        <v>549</v>
      </c>
      <c r="B175" s="21" t="s">
        <v>550</v>
      </c>
      <c r="C175" s="23">
        <v>599.30999999999995</v>
      </c>
      <c r="D175" s="147">
        <v>12.82</v>
      </c>
      <c r="E175" s="22">
        <v>74.8</v>
      </c>
      <c r="F175" s="22">
        <v>87.62</v>
      </c>
      <c r="G175" s="22">
        <v>0</v>
      </c>
      <c r="H175" s="22">
        <v>19.079999999999998</v>
      </c>
      <c r="I175" s="22">
        <v>2.1800000000000002</v>
      </c>
      <c r="J175" s="22">
        <v>0</v>
      </c>
      <c r="K175" s="22">
        <v>5.71</v>
      </c>
      <c r="L175" s="22">
        <v>0.89</v>
      </c>
      <c r="M175" s="388">
        <v>1801.7200000000003</v>
      </c>
      <c r="N175" s="25">
        <v>0.5454</v>
      </c>
      <c r="O175" s="24">
        <v>497</v>
      </c>
      <c r="P175" s="24">
        <v>243.5</v>
      </c>
      <c r="Q175" s="24">
        <v>162.25</v>
      </c>
      <c r="R175" s="22">
        <v>81.25</v>
      </c>
      <c r="S175" s="24">
        <v>37</v>
      </c>
      <c r="T175" s="24">
        <f t="shared" si="10"/>
        <v>280.5</v>
      </c>
      <c r="U175" s="376">
        <v>982.66</v>
      </c>
      <c r="V175" s="376">
        <v>90.09</v>
      </c>
      <c r="W175" s="22">
        <f t="shared" si="11"/>
        <v>535.94276400000001</v>
      </c>
      <c r="X175" s="22">
        <f t="shared" si="12"/>
        <v>275.75</v>
      </c>
      <c r="Y175" s="22">
        <v>187.5</v>
      </c>
      <c r="Z175" s="22">
        <v>88.25</v>
      </c>
      <c r="AA175" s="371">
        <v>1801.72</v>
      </c>
      <c r="AB175" s="22">
        <v>0.15304819838820682</v>
      </c>
      <c r="AC175" s="24">
        <v>1.8048198388206815E-2</v>
      </c>
      <c r="AD175" s="384">
        <v>-299595.30617859989</v>
      </c>
    </row>
    <row r="176" spans="1:30">
      <c r="A176" s="21" t="s">
        <v>145</v>
      </c>
      <c r="B176" s="21" t="s">
        <v>146</v>
      </c>
      <c r="C176" s="23">
        <v>242.46</v>
      </c>
      <c r="D176" s="147">
        <v>14.74</v>
      </c>
      <c r="E176" s="22">
        <v>24.34</v>
      </c>
      <c r="F176" s="22">
        <v>39.08</v>
      </c>
      <c r="G176" s="22">
        <v>0</v>
      </c>
      <c r="H176" s="22">
        <v>9.82</v>
      </c>
      <c r="I176" s="22">
        <v>1.08</v>
      </c>
      <c r="J176" s="22">
        <v>0</v>
      </c>
      <c r="K176" s="22">
        <v>3.2</v>
      </c>
      <c r="L176" s="22">
        <v>0</v>
      </c>
      <c r="M176" s="388">
        <v>724.34000000000015</v>
      </c>
      <c r="N176" s="25">
        <v>0.75539999999999996</v>
      </c>
      <c r="O176" s="24">
        <v>576</v>
      </c>
      <c r="P176" s="24">
        <v>17.75</v>
      </c>
      <c r="Q176" s="24">
        <v>13.75</v>
      </c>
      <c r="R176" s="22">
        <v>4</v>
      </c>
      <c r="S176" s="24">
        <v>6</v>
      </c>
      <c r="T176" s="24">
        <f t="shared" si="10"/>
        <v>23.75</v>
      </c>
      <c r="U176" s="376">
        <v>547.16999999999996</v>
      </c>
      <c r="V176" s="376">
        <v>36.22</v>
      </c>
      <c r="W176" s="22">
        <f t="shared" si="11"/>
        <v>413.33221799999995</v>
      </c>
      <c r="X176" s="22">
        <f t="shared" si="12"/>
        <v>123.5</v>
      </c>
      <c r="Y176" s="22">
        <v>90</v>
      </c>
      <c r="Z176" s="22">
        <v>33.5</v>
      </c>
      <c r="AA176" s="371">
        <v>724.35</v>
      </c>
      <c r="AB176" s="22">
        <v>0.17049768758197004</v>
      </c>
      <c r="AC176" s="24">
        <v>3.5497687581970028E-2</v>
      </c>
      <c r="AD176" s="384">
        <v>-227494.26018192823</v>
      </c>
    </row>
    <row r="177" spans="1:30">
      <c r="A177" s="21" t="s">
        <v>113</v>
      </c>
      <c r="B177" s="21" t="s">
        <v>114</v>
      </c>
      <c r="C177" s="23">
        <v>594.64</v>
      </c>
      <c r="D177" s="147">
        <v>7.41</v>
      </c>
      <c r="E177" s="22">
        <v>104.04</v>
      </c>
      <c r="F177" s="22">
        <v>111.45</v>
      </c>
      <c r="G177" s="22">
        <v>0</v>
      </c>
      <c r="H177" s="22">
        <v>29.05</v>
      </c>
      <c r="I177" s="22">
        <v>1.1000000000000001</v>
      </c>
      <c r="J177" s="22">
        <v>37.9</v>
      </c>
      <c r="K177" s="22">
        <v>3</v>
      </c>
      <c r="L177" s="22">
        <v>0</v>
      </c>
      <c r="M177" s="388">
        <v>2037.73</v>
      </c>
      <c r="N177" s="25">
        <v>0.75470000000000004</v>
      </c>
      <c r="O177" s="24">
        <v>576</v>
      </c>
      <c r="P177" s="24">
        <v>721</v>
      </c>
      <c r="Q177" s="24">
        <v>430.75</v>
      </c>
      <c r="R177" s="22">
        <v>290.25</v>
      </c>
      <c r="S177" s="24">
        <v>105.75</v>
      </c>
      <c r="T177" s="24">
        <f t="shared" si="10"/>
        <v>826.75</v>
      </c>
      <c r="U177" s="376">
        <v>1537.87</v>
      </c>
      <c r="V177" s="376">
        <v>101.89</v>
      </c>
      <c r="W177" s="22">
        <f t="shared" si="11"/>
        <v>1160.6304889999999</v>
      </c>
      <c r="X177" s="22">
        <f t="shared" si="12"/>
        <v>288.25</v>
      </c>
      <c r="Y177" s="22">
        <v>152.25</v>
      </c>
      <c r="Z177" s="22">
        <v>136</v>
      </c>
      <c r="AA177" s="371">
        <v>2060.73</v>
      </c>
      <c r="AB177" s="22">
        <v>0.13987761618455596</v>
      </c>
      <c r="AC177" s="24">
        <v>4.8776161845559551E-3</v>
      </c>
      <c r="AD177" s="384">
        <v>-87859.09131135403</v>
      </c>
    </row>
    <row r="178" spans="1:30">
      <c r="A178" s="21" t="s">
        <v>231</v>
      </c>
      <c r="B178" s="21" t="s">
        <v>232</v>
      </c>
      <c r="C178" s="23">
        <v>1477.58</v>
      </c>
      <c r="D178" s="147">
        <v>85.33</v>
      </c>
      <c r="E178" s="22">
        <v>262.3</v>
      </c>
      <c r="F178" s="22">
        <v>347.63</v>
      </c>
      <c r="G178" s="22">
        <v>0</v>
      </c>
      <c r="H178" s="22">
        <v>180.11</v>
      </c>
      <c r="I178" s="22">
        <v>7.82</v>
      </c>
      <c r="J178" s="22">
        <v>222.51</v>
      </c>
      <c r="K178" s="22">
        <v>0</v>
      </c>
      <c r="L178" s="22">
        <v>0</v>
      </c>
      <c r="M178" s="388">
        <v>5427.1699999999992</v>
      </c>
      <c r="N178" s="25">
        <v>0.33160000000000001</v>
      </c>
      <c r="O178" s="24">
        <v>497</v>
      </c>
      <c r="P178" s="24">
        <v>238.5</v>
      </c>
      <c r="Q178" s="24">
        <v>164.75</v>
      </c>
      <c r="R178" s="22">
        <v>73.75</v>
      </c>
      <c r="S178" s="24">
        <v>43</v>
      </c>
      <c r="T178" s="24">
        <f t="shared" si="10"/>
        <v>281.5</v>
      </c>
      <c r="U178" s="376">
        <v>1799.65</v>
      </c>
      <c r="V178" s="376">
        <v>271.36</v>
      </c>
      <c r="W178" s="22">
        <f t="shared" si="11"/>
        <v>596.76394000000005</v>
      </c>
      <c r="X178" s="22">
        <f t="shared" si="12"/>
        <v>707.5</v>
      </c>
      <c r="Y178" s="22">
        <v>486.5</v>
      </c>
      <c r="Z178" s="22">
        <v>221</v>
      </c>
      <c r="AA178" s="371">
        <v>5480.32</v>
      </c>
      <c r="AB178" s="22">
        <v>0.12909830082914867</v>
      </c>
      <c r="AC178" s="24">
        <v>0</v>
      </c>
      <c r="AD178" s="384">
        <v>0</v>
      </c>
    </row>
    <row r="179" spans="1:30">
      <c r="A179" s="21" t="s">
        <v>323</v>
      </c>
      <c r="B179" s="21" t="s">
        <v>324</v>
      </c>
      <c r="C179" s="23">
        <v>638.19000000000005</v>
      </c>
      <c r="D179" s="147">
        <v>84.23</v>
      </c>
      <c r="E179" s="22">
        <v>150.52000000000001</v>
      </c>
      <c r="F179" s="22">
        <v>234.75</v>
      </c>
      <c r="G179" s="22">
        <v>0</v>
      </c>
      <c r="H179" s="22">
        <v>59.58</v>
      </c>
      <c r="I179" s="22">
        <v>3.85</v>
      </c>
      <c r="J179" s="22">
        <v>152.79</v>
      </c>
      <c r="K179" s="22">
        <v>0</v>
      </c>
      <c r="L179" s="22">
        <v>0</v>
      </c>
      <c r="M179" s="388">
        <v>2261.5099999999998</v>
      </c>
      <c r="N179" s="25">
        <v>0.56899999999999995</v>
      </c>
      <c r="O179" s="24">
        <v>497</v>
      </c>
      <c r="P179" s="24">
        <v>301.5</v>
      </c>
      <c r="Q179" s="24">
        <v>185.75</v>
      </c>
      <c r="R179" s="22">
        <v>115.75</v>
      </c>
      <c r="S179" s="24">
        <v>30</v>
      </c>
      <c r="T179" s="24">
        <f t="shared" si="10"/>
        <v>331.5</v>
      </c>
      <c r="U179" s="376">
        <v>1286.8</v>
      </c>
      <c r="V179" s="376">
        <v>113.08</v>
      </c>
      <c r="W179" s="22">
        <f t="shared" si="11"/>
        <v>732.18919999999991</v>
      </c>
      <c r="X179" s="22">
        <f t="shared" si="12"/>
        <v>340.75</v>
      </c>
      <c r="Y179" s="22">
        <v>266</v>
      </c>
      <c r="Z179" s="22">
        <v>74.75</v>
      </c>
      <c r="AA179" s="371">
        <v>2277.7399999999998</v>
      </c>
      <c r="AB179" s="22">
        <v>0.14960004214704051</v>
      </c>
      <c r="AC179" s="24">
        <v>1.4600042147040498E-2</v>
      </c>
      <c r="AD179" s="384">
        <v>-304102.94674671954</v>
      </c>
    </row>
    <row r="180" spans="1:30">
      <c r="A180" s="21" t="s">
        <v>353</v>
      </c>
      <c r="B180" s="21" t="s">
        <v>354</v>
      </c>
      <c r="C180" s="23">
        <v>26.2</v>
      </c>
      <c r="D180" s="147">
        <v>0</v>
      </c>
      <c r="E180" s="22">
        <v>0</v>
      </c>
      <c r="F180" s="22">
        <v>0</v>
      </c>
      <c r="G180" s="22">
        <v>0</v>
      </c>
      <c r="H180" s="22">
        <v>3.35</v>
      </c>
      <c r="I180" s="22">
        <v>0</v>
      </c>
      <c r="J180" s="22">
        <v>0</v>
      </c>
      <c r="K180" s="22">
        <v>0</v>
      </c>
      <c r="L180" s="22">
        <v>0</v>
      </c>
      <c r="M180" s="388">
        <v>86.429999999999993</v>
      </c>
      <c r="N180" s="25">
        <v>0.70589999999999997</v>
      </c>
      <c r="O180" s="24">
        <v>497</v>
      </c>
      <c r="P180" s="24">
        <v>0</v>
      </c>
      <c r="Q180" s="24">
        <v>0</v>
      </c>
      <c r="R180" s="22">
        <v>0</v>
      </c>
      <c r="S180" s="24">
        <v>0</v>
      </c>
      <c r="T180" s="24">
        <f t="shared" si="10"/>
        <v>0</v>
      </c>
      <c r="U180" s="376">
        <v>61.01</v>
      </c>
      <c r="V180" s="376">
        <v>0</v>
      </c>
      <c r="W180" s="22">
        <f t="shared" si="11"/>
        <v>43.066958999999997</v>
      </c>
      <c r="X180" s="22">
        <f t="shared" si="12"/>
        <v>8.5</v>
      </c>
      <c r="Y180" s="22">
        <v>8.25</v>
      </c>
      <c r="Z180" s="22">
        <v>0.25</v>
      </c>
      <c r="AA180" s="371">
        <v>86.43</v>
      </c>
      <c r="AB180" s="22">
        <v>9.834548189286127E-2</v>
      </c>
      <c r="AC180" s="24">
        <v>0</v>
      </c>
      <c r="AD180" s="384">
        <v>0</v>
      </c>
    </row>
    <row r="181" spans="1:30">
      <c r="A181" s="21" t="s">
        <v>509</v>
      </c>
      <c r="B181" s="21" t="s">
        <v>510</v>
      </c>
      <c r="C181" s="23">
        <v>4283.75</v>
      </c>
      <c r="D181" s="147">
        <v>224.06</v>
      </c>
      <c r="E181" s="22">
        <v>799.18</v>
      </c>
      <c r="F181" s="22">
        <v>1023.24</v>
      </c>
      <c r="G181" s="22">
        <v>0</v>
      </c>
      <c r="H181" s="22">
        <v>304.32</v>
      </c>
      <c r="I181" s="22">
        <v>31.37</v>
      </c>
      <c r="J181" s="22">
        <v>647.01</v>
      </c>
      <c r="K181" s="22">
        <v>72.8</v>
      </c>
      <c r="L181" s="22">
        <v>0</v>
      </c>
      <c r="M181" s="388">
        <v>14824.02</v>
      </c>
      <c r="N181" s="25">
        <v>0.43180000000000002</v>
      </c>
      <c r="O181" s="24">
        <v>497</v>
      </c>
      <c r="P181" s="24">
        <v>867</v>
      </c>
      <c r="Q181" s="24">
        <v>584.75</v>
      </c>
      <c r="R181" s="22">
        <v>282.25</v>
      </c>
      <c r="S181" s="24">
        <v>155</v>
      </c>
      <c r="T181" s="24">
        <f t="shared" si="10"/>
        <v>1022</v>
      </c>
      <c r="U181" s="376">
        <v>6401.01</v>
      </c>
      <c r="V181" s="376">
        <v>741.2</v>
      </c>
      <c r="W181" s="22">
        <f t="shared" si="11"/>
        <v>2763.9561180000001</v>
      </c>
      <c r="X181" s="22">
        <f t="shared" si="12"/>
        <v>2119.75</v>
      </c>
      <c r="Y181" s="22">
        <v>1235.5</v>
      </c>
      <c r="Z181" s="22">
        <v>884.25</v>
      </c>
      <c r="AA181" s="371">
        <v>14884.12</v>
      </c>
      <c r="AB181" s="22">
        <v>0.14241688457228241</v>
      </c>
      <c r="AC181" s="24">
        <v>7.4168845722824006E-3</v>
      </c>
      <c r="AD181" s="384">
        <v>-993166.58633132651</v>
      </c>
    </row>
    <row r="182" spans="1:30">
      <c r="A182" s="21" t="s">
        <v>503</v>
      </c>
      <c r="B182" s="21" t="s">
        <v>504</v>
      </c>
      <c r="C182" s="23">
        <v>41.4</v>
      </c>
      <c r="D182" s="147">
        <v>0</v>
      </c>
      <c r="E182" s="22">
        <v>6.96</v>
      </c>
      <c r="F182" s="22">
        <v>6.96</v>
      </c>
      <c r="G182" s="22">
        <v>0</v>
      </c>
      <c r="H182" s="22">
        <v>1.18</v>
      </c>
      <c r="I182" s="22">
        <v>0.42</v>
      </c>
      <c r="J182" s="22">
        <v>106.76</v>
      </c>
      <c r="K182" s="22">
        <v>0</v>
      </c>
      <c r="L182" s="22">
        <v>0</v>
      </c>
      <c r="M182" s="388">
        <v>251.93</v>
      </c>
      <c r="N182" s="25">
        <v>0.66810000000000003</v>
      </c>
      <c r="O182" s="24">
        <v>497</v>
      </c>
      <c r="P182" s="24">
        <v>0</v>
      </c>
      <c r="Q182" s="24">
        <v>0</v>
      </c>
      <c r="R182" s="22">
        <v>0</v>
      </c>
      <c r="S182" s="24">
        <v>0</v>
      </c>
      <c r="T182" s="24">
        <f t="shared" si="10"/>
        <v>0</v>
      </c>
      <c r="U182" s="376">
        <v>168.31</v>
      </c>
      <c r="V182" s="376">
        <v>0</v>
      </c>
      <c r="W182" s="22">
        <f t="shared" si="11"/>
        <v>112.447911</v>
      </c>
      <c r="X182" s="22">
        <f t="shared" si="12"/>
        <v>24.25</v>
      </c>
      <c r="Y182" s="22">
        <v>20.75</v>
      </c>
      <c r="Z182" s="22">
        <v>3.5</v>
      </c>
      <c r="AA182" s="371">
        <v>251.67</v>
      </c>
      <c r="AB182" s="22">
        <v>9.6356339651130454E-2</v>
      </c>
      <c r="AC182" s="24">
        <v>0</v>
      </c>
      <c r="AD182" s="384">
        <v>0</v>
      </c>
    </row>
    <row r="183" spans="1:30">
      <c r="A183" s="21" t="s">
        <v>219</v>
      </c>
      <c r="B183" s="21" t="s">
        <v>220</v>
      </c>
      <c r="C183" s="23">
        <v>6604.02</v>
      </c>
      <c r="D183" s="147">
        <v>204.85</v>
      </c>
      <c r="E183" s="22">
        <v>874.87</v>
      </c>
      <c r="F183" s="22">
        <v>1079.72</v>
      </c>
      <c r="G183" s="22">
        <v>0</v>
      </c>
      <c r="H183" s="22">
        <v>384.28</v>
      </c>
      <c r="I183" s="22">
        <v>20.440000000000001</v>
      </c>
      <c r="J183" s="22">
        <v>592.69999999999993</v>
      </c>
      <c r="K183" s="22">
        <v>4.2</v>
      </c>
      <c r="L183" s="22">
        <v>0</v>
      </c>
      <c r="M183" s="388">
        <v>22467.399999999998</v>
      </c>
      <c r="N183" s="25">
        <v>0.14180000000000001</v>
      </c>
      <c r="O183" s="24">
        <v>497</v>
      </c>
      <c r="P183" s="24">
        <v>2078.75</v>
      </c>
      <c r="Q183" s="24">
        <v>1565.5</v>
      </c>
      <c r="R183" s="22">
        <v>513.25</v>
      </c>
      <c r="S183" s="24">
        <v>552.75</v>
      </c>
      <c r="T183" s="24">
        <f t="shared" si="10"/>
        <v>2631.5</v>
      </c>
      <c r="U183" s="376">
        <v>3185.88</v>
      </c>
      <c r="V183" s="376">
        <v>1123.3699999999999</v>
      </c>
      <c r="W183" s="22">
        <f t="shared" si="11"/>
        <v>451.75778400000007</v>
      </c>
      <c r="X183" s="22">
        <f t="shared" si="12"/>
        <v>2620.75</v>
      </c>
      <c r="Y183" s="22">
        <v>1695.25</v>
      </c>
      <c r="Z183" s="22">
        <v>925.5</v>
      </c>
      <c r="AA183" s="371">
        <v>22589.87</v>
      </c>
      <c r="AB183" s="22">
        <v>0.11601439052106099</v>
      </c>
      <c r="AC183" s="24">
        <v>0</v>
      </c>
      <c r="AD183" s="384">
        <v>0</v>
      </c>
    </row>
    <row r="184" spans="1:30">
      <c r="A184" s="21" t="s">
        <v>167</v>
      </c>
      <c r="B184" s="21" t="s">
        <v>168</v>
      </c>
      <c r="C184" s="23">
        <v>1704.32</v>
      </c>
      <c r="D184" s="147">
        <v>46.11</v>
      </c>
      <c r="E184" s="22">
        <v>415.88</v>
      </c>
      <c r="F184" s="22">
        <v>461.99</v>
      </c>
      <c r="G184" s="22">
        <v>0</v>
      </c>
      <c r="H184" s="22">
        <v>93.34</v>
      </c>
      <c r="I184" s="22">
        <v>3.49</v>
      </c>
      <c r="J184" s="22">
        <v>293.84999999999997</v>
      </c>
      <c r="K184" s="22">
        <v>9.4</v>
      </c>
      <c r="L184" s="22">
        <v>0</v>
      </c>
      <c r="M184" s="388">
        <v>5503.49</v>
      </c>
      <c r="N184" s="25">
        <v>0.3856</v>
      </c>
      <c r="O184" s="24">
        <v>576</v>
      </c>
      <c r="P184" s="24">
        <v>207.5</v>
      </c>
      <c r="Q184" s="24">
        <v>117.25</v>
      </c>
      <c r="R184" s="22">
        <v>90.25</v>
      </c>
      <c r="S184" s="24">
        <v>38</v>
      </c>
      <c r="T184" s="24">
        <f t="shared" si="10"/>
        <v>245.5</v>
      </c>
      <c r="U184" s="376">
        <v>2122.15</v>
      </c>
      <c r="V184" s="376">
        <v>275.17</v>
      </c>
      <c r="W184" s="22">
        <f t="shared" si="11"/>
        <v>818.30104000000006</v>
      </c>
      <c r="X184" s="22">
        <f t="shared" si="12"/>
        <v>889.5</v>
      </c>
      <c r="Y184" s="22">
        <v>500.5</v>
      </c>
      <c r="Z184" s="22">
        <v>389</v>
      </c>
      <c r="AA184" s="371">
        <v>5501.48</v>
      </c>
      <c r="AB184" s="22">
        <v>0.16168376509593782</v>
      </c>
      <c r="AC184" s="24">
        <v>2.6683765095937811E-2</v>
      </c>
      <c r="AD184" s="384">
        <v>-1403410.209024206</v>
      </c>
    </row>
    <row r="185" spans="1:30">
      <c r="A185" s="21" t="s">
        <v>579</v>
      </c>
      <c r="B185" s="21" t="s">
        <v>580</v>
      </c>
      <c r="C185" s="23">
        <v>52.82</v>
      </c>
      <c r="D185" s="147">
        <v>0.61</v>
      </c>
      <c r="E185" s="22">
        <v>5.38</v>
      </c>
      <c r="F185" s="22">
        <v>5.99</v>
      </c>
      <c r="G185" s="22">
        <v>0</v>
      </c>
      <c r="H185" s="22">
        <v>3.65</v>
      </c>
      <c r="I185" s="22">
        <v>0</v>
      </c>
      <c r="J185" s="22">
        <v>0</v>
      </c>
      <c r="K185" s="22">
        <v>0</v>
      </c>
      <c r="L185" s="22">
        <v>0</v>
      </c>
      <c r="M185" s="388">
        <v>147.49</v>
      </c>
      <c r="N185" s="25">
        <v>0.3987</v>
      </c>
      <c r="O185" s="24">
        <v>497</v>
      </c>
      <c r="P185" s="24">
        <v>0</v>
      </c>
      <c r="Q185" s="24">
        <v>0</v>
      </c>
      <c r="R185" s="22">
        <v>0</v>
      </c>
      <c r="S185" s="24">
        <v>0</v>
      </c>
      <c r="T185" s="24">
        <f t="shared" si="10"/>
        <v>0</v>
      </c>
      <c r="U185" s="376">
        <v>58.8</v>
      </c>
      <c r="V185" s="376">
        <v>0</v>
      </c>
      <c r="W185" s="22">
        <f t="shared" si="11"/>
        <v>23.443559999999998</v>
      </c>
      <c r="X185" s="22">
        <f t="shared" si="12"/>
        <v>19.25</v>
      </c>
      <c r="Y185" s="22">
        <v>10.5</v>
      </c>
      <c r="Z185" s="22">
        <v>8.75</v>
      </c>
      <c r="AA185" s="371">
        <v>147.47999999999999</v>
      </c>
      <c r="AB185" s="22">
        <v>0.13052617304041228</v>
      </c>
      <c r="AC185" s="24">
        <v>0</v>
      </c>
      <c r="AD185" s="384">
        <v>0</v>
      </c>
    </row>
    <row r="186" spans="1:30">
      <c r="A186" s="21" t="s">
        <v>165</v>
      </c>
      <c r="B186" s="21" t="s">
        <v>166</v>
      </c>
      <c r="C186" s="23">
        <v>97</v>
      </c>
      <c r="D186" s="147">
        <v>8.4</v>
      </c>
      <c r="E186" s="22">
        <v>20.329999999999998</v>
      </c>
      <c r="F186" s="22">
        <v>28.729999999999997</v>
      </c>
      <c r="G186" s="22">
        <v>0</v>
      </c>
      <c r="H186" s="22">
        <v>3.32</v>
      </c>
      <c r="I186" s="22">
        <v>1.1499999999999999</v>
      </c>
      <c r="J186" s="22">
        <v>24.700000000000003</v>
      </c>
      <c r="K186" s="22">
        <v>2.8</v>
      </c>
      <c r="L186" s="22">
        <v>0</v>
      </c>
      <c r="M186" s="388">
        <v>330.96999999999997</v>
      </c>
      <c r="N186" s="25">
        <v>0.749</v>
      </c>
      <c r="O186" s="24">
        <v>576</v>
      </c>
      <c r="P186" s="24">
        <v>6</v>
      </c>
      <c r="Q186" s="24">
        <v>3</v>
      </c>
      <c r="R186" s="22">
        <v>3</v>
      </c>
      <c r="S186" s="24">
        <v>0</v>
      </c>
      <c r="T186" s="24">
        <f t="shared" si="10"/>
        <v>6</v>
      </c>
      <c r="U186" s="376">
        <v>247.9</v>
      </c>
      <c r="V186" s="376">
        <v>16.55</v>
      </c>
      <c r="W186" s="22">
        <f t="shared" si="11"/>
        <v>185.6771</v>
      </c>
      <c r="X186" s="22">
        <f t="shared" si="12"/>
        <v>58.75</v>
      </c>
      <c r="Y186" s="22">
        <v>51.5</v>
      </c>
      <c r="Z186" s="22">
        <v>7.25</v>
      </c>
      <c r="AA186" s="371">
        <v>332.59</v>
      </c>
      <c r="AB186" s="22">
        <v>0.17664391593252957</v>
      </c>
      <c r="AC186" s="24">
        <v>4.1643915932529557E-2</v>
      </c>
      <c r="AD186" s="384">
        <v>-121826.37534189952</v>
      </c>
    </row>
    <row r="187" spans="1:30">
      <c r="A187" s="21" t="s">
        <v>343</v>
      </c>
      <c r="B187" s="21" t="s">
        <v>344</v>
      </c>
      <c r="C187" s="23">
        <v>258.54000000000002</v>
      </c>
      <c r="D187" s="147">
        <v>0</v>
      </c>
      <c r="E187" s="22">
        <v>83.38</v>
      </c>
      <c r="F187" s="22">
        <v>83.38</v>
      </c>
      <c r="G187" s="22">
        <v>0</v>
      </c>
      <c r="H187" s="22">
        <v>12.43</v>
      </c>
      <c r="I187" s="22">
        <v>0.44</v>
      </c>
      <c r="J187" s="22">
        <v>91.15</v>
      </c>
      <c r="K187" s="22">
        <v>3.6</v>
      </c>
      <c r="L187" s="22">
        <v>0</v>
      </c>
      <c r="M187" s="388">
        <v>1024.1699999999998</v>
      </c>
      <c r="N187" s="25">
        <v>0.64239999999999997</v>
      </c>
      <c r="O187" s="24">
        <v>497</v>
      </c>
      <c r="P187" s="24">
        <v>45.75</v>
      </c>
      <c r="Q187" s="24">
        <v>26.5</v>
      </c>
      <c r="R187" s="22">
        <v>19.25</v>
      </c>
      <c r="S187" s="24">
        <v>0</v>
      </c>
      <c r="T187" s="24">
        <f t="shared" si="10"/>
        <v>45.75</v>
      </c>
      <c r="U187" s="376">
        <v>657.93</v>
      </c>
      <c r="V187" s="376">
        <v>51.21</v>
      </c>
      <c r="W187" s="22">
        <f t="shared" si="11"/>
        <v>422.65423199999992</v>
      </c>
      <c r="X187" s="22">
        <f t="shared" si="12"/>
        <v>230.5</v>
      </c>
      <c r="Y187" s="22">
        <v>173.75</v>
      </c>
      <c r="Z187" s="22">
        <v>56.75</v>
      </c>
      <c r="AA187" s="371">
        <v>1024.17</v>
      </c>
      <c r="AB187" s="22">
        <v>0.2250602927248406</v>
      </c>
      <c r="AC187" s="24">
        <v>9.006029272484059E-2</v>
      </c>
      <c r="AD187" s="384">
        <v>-801116.55801144708</v>
      </c>
    </row>
    <row r="188" spans="1:30">
      <c r="A188" s="21" t="s">
        <v>163</v>
      </c>
      <c r="B188" s="21" t="s">
        <v>164</v>
      </c>
      <c r="C188" s="23">
        <v>168.08</v>
      </c>
      <c r="D188" s="147">
        <v>14.69</v>
      </c>
      <c r="E188" s="22">
        <v>29.37</v>
      </c>
      <c r="F188" s="22">
        <v>44.06</v>
      </c>
      <c r="G188" s="22">
        <v>0</v>
      </c>
      <c r="H188" s="22">
        <v>16.18</v>
      </c>
      <c r="I188" s="22">
        <v>0.97</v>
      </c>
      <c r="J188" s="22">
        <v>21.23</v>
      </c>
      <c r="K188" s="22">
        <v>2.2000000000000002</v>
      </c>
      <c r="L188" s="22">
        <v>0</v>
      </c>
      <c r="M188" s="388">
        <v>568.65</v>
      </c>
      <c r="N188" s="25">
        <v>0.76590000000000003</v>
      </c>
      <c r="O188" s="24">
        <v>576</v>
      </c>
      <c r="P188" s="24">
        <v>50.5</v>
      </c>
      <c r="Q188" s="24">
        <v>31.5</v>
      </c>
      <c r="R188" s="22">
        <v>19</v>
      </c>
      <c r="S188" s="24">
        <v>2</v>
      </c>
      <c r="T188" s="24">
        <f t="shared" si="10"/>
        <v>52.5</v>
      </c>
      <c r="U188" s="376">
        <v>435.53</v>
      </c>
      <c r="V188" s="376">
        <v>28.43</v>
      </c>
      <c r="W188" s="22">
        <f t="shared" si="11"/>
        <v>333.572427</v>
      </c>
      <c r="X188" s="22">
        <f t="shared" si="12"/>
        <v>67.25</v>
      </c>
      <c r="Y188" s="22">
        <v>57.5</v>
      </c>
      <c r="Z188" s="22">
        <v>9.75</v>
      </c>
      <c r="AA188" s="371">
        <v>568.65</v>
      </c>
      <c r="AB188" s="22">
        <v>0.11826255165743428</v>
      </c>
      <c r="AC188" s="24">
        <v>0</v>
      </c>
      <c r="AD188" s="384">
        <v>0</v>
      </c>
    </row>
    <row r="189" spans="1:30">
      <c r="A189" s="21" t="s">
        <v>305</v>
      </c>
      <c r="B189" s="21" t="s">
        <v>306</v>
      </c>
      <c r="C189" s="23">
        <v>58.2</v>
      </c>
      <c r="D189" s="147">
        <v>0</v>
      </c>
      <c r="E189" s="22">
        <v>13.98</v>
      </c>
      <c r="F189" s="22">
        <v>13.98</v>
      </c>
      <c r="G189" s="22">
        <v>0</v>
      </c>
      <c r="H189" s="22">
        <v>3.66</v>
      </c>
      <c r="I189" s="22">
        <v>0</v>
      </c>
      <c r="J189" s="22">
        <v>0</v>
      </c>
      <c r="K189" s="22">
        <v>0</v>
      </c>
      <c r="L189" s="22">
        <v>0</v>
      </c>
      <c r="M189" s="388">
        <v>218.75</v>
      </c>
      <c r="N189" s="25">
        <v>0.53200000000000003</v>
      </c>
      <c r="O189" s="24">
        <v>497</v>
      </c>
      <c r="P189" s="24">
        <v>0</v>
      </c>
      <c r="Q189" s="24">
        <v>0</v>
      </c>
      <c r="R189" s="22">
        <v>0</v>
      </c>
      <c r="S189" s="24">
        <v>0</v>
      </c>
      <c r="T189" s="24">
        <f t="shared" si="10"/>
        <v>0</v>
      </c>
      <c r="U189" s="376">
        <v>116.38</v>
      </c>
      <c r="V189" s="376">
        <v>10.94</v>
      </c>
      <c r="W189" s="22">
        <f t="shared" si="11"/>
        <v>61.914160000000003</v>
      </c>
      <c r="X189" s="22">
        <f t="shared" si="12"/>
        <v>23</v>
      </c>
      <c r="Y189" s="22">
        <v>13.5</v>
      </c>
      <c r="Z189" s="22">
        <v>9.5</v>
      </c>
      <c r="AA189" s="371">
        <v>218.75</v>
      </c>
      <c r="AB189" s="22">
        <v>0.10514285714285715</v>
      </c>
      <c r="AC189" s="24">
        <v>0</v>
      </c>
      <c r="AD189" s="384">
        <v>0</v>
      </c>
    </row>
    <row r="190" spans="1:30">
      <c r="A190" s="21" t="s">
        <v>331</v>
      </c>
      <c r="B190" s="21" t="s">
        <v>332</v>
      </c>
      <c r="C190" s="23">
        <v>259</v>
      </c>
      <c r="D190" s="147">
        <v>6.22</v>
      </c>
      <c r="E190" s="22">
        <v>70.56</v>
      </c>
      <c r="F190" s="22">
        <v>76.78</v>
      </c>
      <c r="G190" s="22">
        <v>0</v>
      </c>
      <c r="H190" s="22">
        <v>17.649999999999999</v>
      </c>
      <c r="I190" s="22">
        <v>0.35</v>
      </c>
      <c r="J190" s="22">
        <v>89.83</v>
      </c>
      <c r="K190" s="22">
        <v>0</v>
      </c>
      <c r="L190" s="22">
        <v>0</v>
      </c>
      <c r="M190" s="388">
        <v>1036.31</v>
      </c>
      <c r="N190" s="25">
        <v>0.70109999999999995</v>
      </c>
      <c r="O190" s="24">
        <v>497</v>
      </c>
      <c r="P190" s="24">
        <v>71.5</v>
      </c>
      <c r="Q190" s="24">
        <v>41</v>
      </c>
      <c r="R190" s="22">
        <v>30.5</v>
      </c>
      <c r="S190" s="24">
        <v>28</v>
      </c>
      <c r="T190" s="24">
        <f t="shared" si="10"/>
        <v>99.5</v>
      </c>
      <c r="U190" s="376">
        <v>726.56</v>
      </c>
      <c r="V190" s="376">
        <v>51.82</v>
      </c>
      <c r="W190" s="22">
        <f t="shared" si="11"/>
        <v>509.39121599999993</v>
      </c>
      <c r="X190" s="22">
        <f t="shared" si="12"/>
        <v>152.5</v>
      </c>
      <c r="Y190" s="22">
        <v>124.5</v>
      </c>
      <c r="Z190" s="22">
        <v>28</v>
      </c>
      <c r="AA190" s="371">
        <v>1036.31</v>
      </c>
      <c r="AB190" s="22">
        <v>0.14715673881367544</v>
      </c>
      <c r="AC190" s="24">
        <v>1.2156738813675433E-2</v>
      </c>
      <c r="AD190" s="384">
        <v>-111800.16860719341</v>
      </c>
    </row>
    <row r="191" spans="1:30">
      <c r="A191" s="21" t="s">
        <v>513</v>
      </c>
      <c r="B191" s="21" t="s">
        <v>514</v>
      </c>
      <c r="C191" s="23">
        <v>2292.6999999999998</v>
      </c>
      <c r="D191" s="147">
        <v>138.66999999999999</v>
      </c>
      <c r="E191" s="22">
        <v>585.29</v>
      </c>
      <c r="F191" s="22">
        <v>723.95999999999992</v>
      </c>
      <c r="G191" s="22">
        <v>0</v>
      </c>
      <c r="H191" s="22">
        <v>343.24</v>
      </c>
      <c r="I191" s="22">
        <v>42.16</v>
      </c>
      <c r="J191" s="22">
        <v>832.66</v>
      </c>
      <c r="K191" s="22">
        <v>36.119999999999997</v>
      </c>
      <c r="L191" s="22">
        <v>0</v>
      </c>
      <c r="M191" s="388">
        <v>9638.36</v>
      </c>
      <c r="N191" s="25">
        <v>0.30070000000000002</v>
      </c>
      <c r="O191" s="24">
        <v>497</v>
      </c>
      <c r="P191" s="24">
        <v>295.75</v>
      </c>
      <c r="Q191" s="24">
        <v>184.25</v>
      </c>
      <c r="R191" s="22">
        <v>111.5</v>
      </c>
      <c r="S191" s="24">
        <v>62</v>
      </c>
      <c r="T191" s="24">
        <f t="shared" si="10"/>
        <v>357.75</v>
      </c>
      <c r="U191" s="376">
        <v>2898.25</v>
      </c>
      <c r="V191" s="376">
        <v>0</v>
      </c>
      <c r="W191" s="22">
        <f t="shared" si="11"/>
        <v>871.50377500000002</v>
      </c>
      <c r="X191" s="22">
        <f t="shared" si="12"/>
        <v>1420.25</v>
      </c>
      <c r="Y191" s="22">
        <v>812.5</v>
      </c>
      <c r="Z191" s="22">
        <v>607.75</v>
      </c>
      <c r="AA191" s="371">
        <v>9700.44</v>
      </c>
      <c r="AB191" s="22">
        <v>0.14641088445472575</v>
      </c>
      <c r="AC191" s="24">
        <v>1.1410884454725739E-2</v>
      </c>
      <c r="AD191" s="384">
        <v>-977184.08888594492</v>
      </c>
    </row>
    <row r="192" spans="1:30">
      <c r="A192" s="21" t="s">
        <v>329</v>
      </c>
      <c r="B192" s="21" t="s">
        <v>330</v>
      </c>
      <c r="C192" s="23">
        <v>509.68</v>
      </c>
      <c r="D192" s="147">
        <v>32.74</v>
      </c>
      <c r="E192" s="22">
        <v>138.75</v>
      </c>
      <c r="F192" s="22">
        <v>171.49</v>
      </c>
      <c r="G192" s="22">
        <v>0</v>
      </c>
      <c r="H192" s="22">
        <v>133.05000000000001</v>
      </c>
      <c r="I192" s="22">
        <v>10.95</v>
      </c>
      <c r="J192" s="22">
        <v>4866.97</v>
      </c>
      <c r="K192" s="22">
        <v>0</v>
      </c>
      <c r="L192" s="22">
        <v>0</v>
      </c>
      <c r="M192" s="388">
        <v>6612.34</v>
      </c>
      <c r="N192" s="25">
        <v>0.54249999999999998</v>
      </c>
      <c r="O192" s="24">
        <v>497</v>
      </c>
      <c r="P192" s="24">
        <v>268.75</v>
      </c>
      <c r="Q192" s="24">
        <v>161.5</v>
      </c>
      <c r="R192" s="22">
        <v>107.25</v>
      </c>
      <c r="S192" s="24">
        <v>78.5</v>
      </c>
      <c r="T192" s="24">
        <f t="shared" si="10"/>
        <v>347.25</v>
      </c>
      <c r="U192" s="376">
        <v>3587.19</v>
      </c>
      <c r="V192" s="376">
        <v>330.62</v>
      </c>
      <c r="W192" s="22">
        <f t="shared" si="11"/>
        <v>1946.050575</v>
      </c>
      <c r="X192" s="22">
        <f t="shared" si="12"/>
        <v>911</v>
      </c>
      <c r="Y192" s="22">
        <v>756</v>
      </c>
      <c r="Z192" s="22">
        <v>155</v>
      </c>
      <c r="AA192" s="371">
        <v>6592.51</v>
      </c>
      <c r="AB192" s="22">
        <v>0.13818712447914375</v>
      </c>
      <c r="AC192" s="24">
        <v>3.1871244791437381E-3</v>
      </c>
      <c r="AD192" s="384">
        <v>-176899.58743764838</v>
      </c>
    </row>
    <row r="193" spans="1:30">
      <c r="A193" s="21" t="s">
        <v>287</v>
      </c>
      <c r="B193" s="21" t="s">
        <v>288</v>
      </c>
      <c r="C193" s="23">
        <v>217.8</v>
      </c>
      <c r="D193" s="147">
        <v>9.91</v>
      </c>
      <c r="E193" s="22">
        <v>97.92</v>
      </c>
      <c r="F193" s="22">
        <v>107.83</v>
      </c>
      <c r="G193" s="22">
        <v>0</v>
      </c>
      <c r="H193" s="22">
        <v>13.04</v>
      </c>
      <c r="I193" s="22">
        <v>1</v>
      </c>
      <c r="J193" s="22">
        <v>0</v>
      </c>
      <c r="K193" s="22">
        <v>0.8</v>
      </c>
      <c r="L193" s="22">
        <v>0</v>
      </c>
      <c r="M193" s="388">
        <v>791.7199999999998</v>
      </c>
      <c r="N193" s="25">
        <v>0.57830000000000004</v>
      </c>
      <c r="O193" s="24">
        <v>497</v>
      </c>
      <c r="P193" s="24">
        <v>20</v>
      </c>
      <c r="Q193" s="24">
        <v>7.75</v>
      </c>
      <c r="R193" s="22">
        <v>12.25</v>
      </c>
      <c r="S193" s="24">
        <v>6</v>
      </c>
      <c r="T193" s="24">
        <f t="shared" si="10"/>
        <v>26</v>
      </c>
      <c r="U193" s="376">
        <v>457.85</v>
      </c>
      <c r="V193" s="376">
        <v>39.590000000000003</v>
      </c>
      <c r="W193" s="22">
        <f t="shared" si="11"/>
        <v>264.77465500000005</v>
      </c>
      <c r="X193" s="22">
        <f t="shared" si="12"/>
        <v>138.25</v>
      </c>
      <c r="Y193" s="22">
        <v>82</v>
      </c>
      <c r="Z193" s="22">
        <v>56.25</v>
      </c>
      <c r="AA193" s="371">
        <v>794.79</v>
      </c>
      <c r="AB193" s="22">
        <v>0.17394531888926634</v>
      </c>
      <c r="AC193" s="24">
        <v>3.8945318889266334E-2</v>
      </c>
      <c r="AD193" s="384">
        <v>-269586.06781631534</v>
      </c>
    </row>
    <row r="194" spans="1:30">
      <c r="A194" s="21" t="s">
        <v>483</v>
      </c>
      <c r="B194" s="21" t="s">
        <v>484</v>
      </c>
      <c r="C194" s="23">
        <v>21.4</v>
      </c>
      <c r="D194" s="147">
        <v>0</v>
      </c>
      <c r="E194" s="22">
        <v>0</v>
      </c>
      <c r="F194" s="22">
        <v>0</v>
      </c>
      <c r="G194" s="22">
        <v>0</v>
      </c>
      <c r="H194" s="22">
        <v>0</v>
      </c>
      <c r="I194" s="22">
        <v>0</v>
      </c>
      <c r="J194" s="22">
        <v>0</v>
      </c>
      <c r="K194" s="22">
        <v>0</v>
      </c>
      <c r="L194" s="22">
        <v>0</v>
      </c>
      <c r="M194" s="388">
        <v>48.8</v>
      </c>
      <c r="N194" s="25">
        <v>0.77080000000000004</v>
      </c>
      <c r="O194" s="24">
        <v>497</v>
      </c>
      <c r="P194" s="24">
        <v>0</v>
      </c>
      <c r="Q194" s="24">
        <v>0</v>
      </c>
      <c r="R194" s="22">
        <v>0</v>
      </c>
      <c r="S194" s="24">
        <v>0</v>
      </c>
      <c r="T194" s="24">
        <f t="shared" si="10"/>
        <v>0</v>
      </c>
      <c r="U194" s="376">
        <v>37.619999999999997</v>
      </c>
      <c r="V194" s="376">
        <v>2.44</v>
      </c>
      <c r="W194" s="22">
        <f t="shared" si="11"/>
        <v>28.997495999999998</v>
      </c>
      <c r="X194" s="22">
        <f t="shared" si="12"/>
        <v>5.5</v>
      </c>
      <c r="Y194" s="22">
        <v>5.5</v>
      </c>
      <c r="Z194" s="22">
        <v>0</v>
      </c>
      <c r="AA194" s="371">
        <v>48.8</v>
      </c>
      <c r="AB194" s="22">
        <v>0.11270491803278689</v>
      </c>
      <c r="AC194" s="24">
        <v>0</v>
      </c>
      <c r="AD194" s="384">
        <v>0</v>
      </c>
    </row>
    <row r="195" spans="1:30">
      <c r="A195" s="21" t="s">
        <v>395</v>
      </c>
      <c r="B195" s="21" t="s">
        <v>396</v>
      </c>
      <c r="C195" s="23">
        <v>109.65</v>
      </c>
      <c r="D195" s="147">
        <v>0</v>
      </c>
      <c r="E195" s="22">
        <v>11.78</v>
      </c>
      <c r="F195" s="22">
        <v>11.78</v>
      </c>
      <c r="G195" s="22">
        <v>0</v>
      </c>
      <c r="H195" s="22">
        <v>0</v>
      </c>
      <c r="I195" s="22">
        <v>0</v>
      </c>
      <c r="J195" s="22">
        <v>313.81</v>
      </c>
      <c r="K195" s="22">
        <v>0</v>
      </c>
      <c r="L195" s="22">
        <v>0</v>
      </c>
      <c r="M195" s="388">
        <v>723.35</v>
      </c>
      <c r="N195" s="25">
        <v>0.30020000000000002</v>
      </c>
      <c r="O195" s="24">
        <v>497</v>
      </c>
      <c r="P195" s="24">
        <v>35</v>
      </c>
      <c r="Q195" s="24">
        <v>21</v>
      </c>
      <c r="R195" s="22">
        <v>14</v>
      </c>
      <c r="S195" s="24">
        <v>2</v>
      </c>
      <c r="T195" s="24">
        <f t="shared" si="10"/>
        <v>37</v>
      </c>
      <c r="U195" s="376">
        <v>217.15</v>
      </c>
      <c r="V195" s="376">
        <v>36.17</v>
      </c>
      <c r="W195" s="22">
        <f t="shared" si="11"/>
        <v>65.188430000000011</v>
      </c>
      <c r="X195" s="22">
        <f t="shared" si="12"/>
        <v>79.25</v>
      </c>
      <c r="Y195" s="22">
        <v>71</v>
      </c>
      <c r="Z195" s="22">
        <v>8.25</v>
      </c>
      <c r="AA195" s="371">
        <v>723.34</v>
      </c>
      <c r="AB195" s="22">
        <v>0.10956120220090138</v>
      </c>
      <c r="AC195" s="24">
        <v>0</v>
      </c>
      <c r="AD195" s="384">
        <v>0</v>
      </c>
    </row>
    <row r="196" spans="1:30">
      <c r="A196" s="21" t="s">
        <v>453</v>
      </c>
      <c r="B196" s="21" t="s">
        <v>454</v>
      </c>
      <c r="C196" s="23">
        <v>46</v>
      </c>
      <c r="D196" s="147">
        <v>0</v>
      </c>
      <c r="E196" s="22">
        <v>0</v>
      </c>
      <c r="F196" s="22">
        <v>0</v>
      </c>
      <c r="G196" s="22">
        <v>0</v>
      </c>
      <c r="H196" s="22">
        <v>0</v>
      </c>
      <c r="I196" s="22">
        <v>0</v>
      </c>
      <c r="J196" s="22">
        <v>0</v>
      </c>
      <c r="K196" s="22">
        <v>0</v>
      </c>
      <c r="L196" s="22">
        <v>0</v>
      </c>
      <c r="M196" s="388">
        <v>68.400000000000006</v>
      </c>
      <c r="N196" s="25">
        <v>0.15579999999999999</v>
      </c>
      <c r="O196" s="24">
        <v>497</v>
      </c>
      <c r="P196" s="24">
        <v>0</v>
      </c>
      <c r="Q196" s="24">
        <v>0</v>
      </c>
      <c r="R196" s="22">
        <v>0</v>
      </c>
      <c r="S196" s="24">
        <v>0</v>
      </c>
      <c r="T196" s="24">
        <f t="shared" si="10"/>
        <v>0</v>
      </c>
      <c r="U196" s="376">
        <v>10.66</v>
      </c>
      <c r="V196" s="376">
        <v>0</v>
      </c>
      <c r="W196" s="22">
        <f t="shared" si="11"/>
        <v>1.660828</v>
      </c>
      <c r="X196" s="22">
        <f t="shared" si="12"/>
        <v>4</v>
      </c>
      <c r="Y196" s="22">
        <v>0</v>
      </c>
      <c r="Z196" s="22">
        <v>4</v>
      </c>
      <c r="AA196" s="371">
        <v>68.400000000000006</v>
      </c>
      <c r="AB196" s="22">
        <v>5.8479532163742687E-2</v>
      </c>
      <c r="AC196" s="24">
        <v>0</v>
      </c>
      <c r="AD196" s="384">
        <v>0</v>
      </c>
    </row>
    <row r="197" spans="1:30">
      <c r="A197" s="21" t="s">
        <v>105</v>
      </c>
      <c r="B197" s="21" t="s">
        <v>106</v>
      </c>
      <c r="C197" s="23">
        <v>16.8</v>
      </c>
      <c r="D197" s="147">
        <v>0</v>
      </c>
      <c r="E197" s="22">
        <v>0</v>
      </c>
      <c r="F197" s="22">
        <v>0</v>
      </c>
      <c r="G197" s="22">
        <v>0</v>
      </c>
      <c r="H197" s="22">
        <v>0</v>
      </c>
      <c r="I197" s="22">
        <v>0</v>
      </c>
      <c r="J197" s="22">
        <v>0</v>
      </c>
      <c r="K197" s="22">
        <v>0</v>
      </c>
      <c r="L197" s="22">
        <v>0</v>
      </c>
      <c r="M197" s="388">
        <v>33.4</v>
      </c>
      <c r="N197" s="25">
        <v>0.71879999999999999</v>
      </c>
      <c r="O197" s="24">
        <v>576</v>
      </c>
      <c r="P197" s="24">
        <v>0</v>
      </c>
      <c r="Q197" s="24">
        <v>0</v>
      </c>
      <c r="R197" s="22">
        <v>0</v>
      </c>
      <c r="S197" s="24">
        <v>0</v>
      </c>
      <c r="T197" s="24">
        <f t="shared" si="10"/>
        <v>0</v>
      </c>
      <c r="U197" s="376">
        <v>24.01</v>
      </c>
      <c r="V197" s="376">
        <v>1.67</v>
      </c>
      <c r="W197" s="22">
        <f t="shared" si="11"/>
        <v>17.258388</v>
      </c>
      <c r="X197" s="22">
        <f t="shared" si="12"/>
        <v>6.25</v>
      </c>
      <c r="Y197" s="22">
        <v>6.25</v>
      </c>
      <c r="Z197" s="22">
        <v>0</v>
      </c>
      <c r="AA197" s="371">
        <v>33.4</v>
      </c>
      <c r="AB197" s="22">
        <v>0.18712574850299402</v>
      </c>
      <c r="AC197" s="24">
        <v>5.2125748502994007E-2</v>
      </c>
      <c r="AD197" s="384">
        <v>-16384.763416197969</v>
      </c>
    </row>
    <row r="198" spans="1:30">
      <c r="A198" s="21" t="s">
        <v>89</v>
      </c>
      <c r="B198" s="21" t="s">
        <v>90</v>
      </c>
      <c r="C198" s="23">
        <v>57.4</v>
      </c>
      <c r="D198" s="147">
        <v>1.44</v>
      </c>
      <c r="E198" s="22">
        <v>0</v>
      </c>
      <c r="F198" s="22">
        <v>1.44</v>
      </c>
      <c r="G198" s="22">
        <v>0</v>
      </c>
      <c r="H198" s="22">
        <v>0</v>
      </c>
      <c r="I198" s="22">
        <v>0</v>
      </c>
      <c r="J198" s="22">
        <v>0</v>
      </c>
      <c r="K198" s="22">
        <v>0</v>
      </c>
      <c r="L198" s="22">
        <v>0</v>
      </c>
      <c r="M198" s="388">
        <v>138.07999999999998</v>
      </c>
      <c r="N198" s="25">
        <v>0.89300000000000002</v>
      </c>
      <c r="O198" s="24">
        <v>576</v>
      </c>
      <c r="P198" s="24">
        <v>59</v>
      </c>
      <c r="Q198" s="24">
        <v>49.75</v>
      </c>
      <c r="R198" s="22">
        <v>9.25</v>
      </c>
      <c r="S198" s="24">
        <v>15</v>
      </c>
      <c r="T198" s="24">
        <f t="shared" si="10"/>
        <v>74</v>
      </c>
      <c r="U198" s="376">
        <v>123.31</v>
      </c>
      <c r="V198" s="376">
        <v>6.9</v>
      </c>
      <c r="W198" s="22">
        <f t="shared" si="11"/>
        <v>110.11583</v>
      </c>
      <c r="X198" s="22">
        <f t="shared" si="12"/>
        <v>14.75</v>
      </c>
      <c r="Y198" s="22">
        <v>12</v>
      </c>
      <c r="Z198" s="22">
        <v>2.75</v>
      </c>
      <c r="AA198" s="371">
        <v>138.08000000000001</v>
      </c>
      <c r="AB198" s="22">
        <v>0.10682213209733486</v>
      </c>
      <c r="AC198" s="24">
        <v>0</v>
      </c>
      <c r="AD198" s="384">
        <v>0</v>
      </c>
    </row>
    <row r="199" spans="1:30">
      <c r="A199" s="21" t="s">
        <v>341</v>
      </c>
      <c r="B199" s="21" t="s">
        <v>342</v>
      </c>
      <c r="C199" s="23">
        <v>143.63999999999999</v>
      </c>
      <c r="D199" s="147">
        <v>5.17</v>
      </c>
      <c r="E199" s="22">
        <v>23.63</v>
      </c>
      <c r="F199" s="22">
        <v>28.799999999999997</v>
      </c>
      <c r="G199" s="22">
        <v>0</v>
      </c>
      <c r="H199" s="22">
        <v>13.32</v>
      </c>
      <c r="I199" s="22">
        <v>0.9</v>
      </c>
      <c r="J199" s="22">
        <v>15.4</v>
      </c>
      <c r="K199" s="22">
        <v>0</v>
      </c>
      <c r="L199" s="22">
        <v>0</v>
      </c>
      <c r="M199" s="388">
        <v>517.82999999999993</v>
      </c>
      <c r="N199" s="25">
        <v>0.73799999999999999</v>
      </c>
      <c r="O199" s="24">
        <v>497</v>
      </c>
      <c r="P199" s="24">
        <v>64.5</v>
      </c>
      <c r="Q199" s="24">
        <v>41.25</v>
      </c>
      <c r="R199" s="22">
        <v>23.25</v>
      </c>
      <c r="S199" s="24">
        <v>12</v>
      </c>
      <c r="T199" s="24">
        <f t="shared" si="10"/>
        <v>76.5</v>
      </c>
      <c r="U199" s="376">
        <v>382.16</v>
      </c>
      <c r="V199" s="376">
        <v>0</v>
      </c>
      <c r="W199" s="22">
        <f t="shared" si="11"/>
        <v>282.03408000000002</v>
      </c>
      <c r="X199" s="22">
        <f t="shared" si="12"/>
        <v>65.25</v>
      </c>
      <c r="Y199" s="22">
        <v>49.75</v>
      </c>
      <c r="Z199" s="22">
        <v>15.5</v>
      </c>
      <c r="AA199" s="371">
        <v>517.82000000000005</v>
      </c>
      <c r="AB199" s="22">
        <v>0.12600903788961415</v>
      </c>
      <c r="AC199" s="24">
        <v>0</v>
      </c>
      <c r="AD199" s="384">
        <v>0</v>
      </c>
    </row>
    <row r="200" spans="1:30">
      <c r="A200" s="21" t="s">
        <v>375</v>
      </c>
      <c r="B200" s="21" t="s">
        <v>376</v>
      </c>
      <c r="C200" s="23">
        <v>720.61</v>
      </c>
      <c r="D200" s="147">
        <v>54.03</v>
      </c>
      <c r="E200" s="22">
        <v>223.82</v>
      </c>
      <c r="F200" s="22">
        <v>277.85000000000002</v>
      </c>
      <c r="G200" s="22">
        <v>0</v>
      </c>
      <c r="H200" s="22">
        <v>55.07</v>
      </c>
      <c r="I200" s="22">
        <v>2.33</v>
      </c>
      <c r="J200" s="22">
        <v>21.67</v>
      </c>
      <c r="K200" s="22">
        <v>4.5999999999999996</v>
      </c>
      <c r="L200" s="22">
        <v>0</v>
      </c>
      <c r="M200" s="388">
        <v>2604.17</v>
      </c>
      <c r="N200" s="25">
        <v>0.31490000000000001</v>
      </c>
      <c r="O200" s="24">
        <v>497</v>
      </c>
      <c r="P200" s="24">
        <v>68.5</v>
      </c>
      <c r="Q200" s="24">
        <v>48</v>
      </c>
      <c r="R200" s="22">
        <v>20.5</v>
      </c>
      <c r="S200" s="24">
        <v>7</v>
      </c>
      <c r="T200" s="24">
        <f t="shared" si="10"/>
        <v>75.5</v>
      </c>
      <c r="U200" s="376">
        <v>820.05</v>
      </c>
      <c r="V200" s="376">
        <v>130.21</v>
      </c>
      <c r="W200" s="22">
        <f t="shared" si="11"/>
        <v>258.233745</v>
      </c>
      <c r="X200" s="22">
        <f t="shared" si="12"/>
        <v>388.75</v>
      </c>
      <c r="Y200" s="22">
        <v>210.5</v>
      </c>
      <c r="Z200" s="22">
        <v>178.25</v>
      </c>
      <c r="AA200" s="371">
        <v>2616.88</v>
      </c>
      <c r="AB200" s="22">
        <v>0.1485547675094005</v>
      </c>
      <c r="AC200" s="24">
        <v>1.3554767509400489E-2</v>
      </c>
      <c r="AD200" s="384">
        <v>-322076.68834568613</v>
      </c>
    </row>
    <row r="201" spans="1:30">
      <c r="A201" s="21" t="s">
        <v>7</v>
      </c>
      <c r="B201" s="21" t="s">
        <v>8</v>
      </c>
      <c r="C201" s="23">
        <v>1299.21</v>
      </c>
      <c r="D201" s="147">
        <v>20.58</v>
      </c>
      <c r="E201" s="22">
        <v>241.1</v>
      </c>
      <c r="F201" s="22">
        <v>261.68</v>
      </c>
      <c r="G201" s="22">
        <v>0</v>
      </c>
      <c r="H201" s="22">
        <v>59.94</v>
      </c>
      <c r="I201" s="22">
        <v>6.6</v>
      </c>
      <c r="J201" s="22">
        <v>12.33</v>
      </c>
      <c r="K201" s="22">
        <v>20</v>
      </c>
      <c r="L201" s="22">
        <v>0</v>
      </c>
      <c r="M201" s="388">
        <v>4461.37</v>
      </c>
      <c r="N201" s="25">
        <v>0.81569999999999998</v>
      </c>
      <c r="O201" s="24">
        <v>0</v>
      </c>
      <c r="P201" s="24">
        <v>1769.25</v>
      </c>
      <c r="Q201" s="24">
        <v>1150.75</v>
      </c>
      <c r="R201" s="22">
        <v>618.5</v>
      </c>
      <c r="S201" s="24">
        <v>274.5</v>
      </c>
      <c r="T201" s="24">
        <f t="shared" ref="T201:T264" si="13">S201+P201</f>
        <v>2043.75</v>
      </c>
      <c r="U201" s="376">
        <v>3639.14</v>
      </c>
      <c r="V201" s="376">
        <v>223.07</v>
      </c>
      <c r="W201" s="22">
        <f t="shared" ref="W201:W264" si="14">U201*N201</f>
        <v>2968.4464979999998</v>
      </c>
      <c r="X201" s="22">
        <f t="shared" ref="X201:X264" si="15">Y201+Z201</f>
        <v>567.75</v>
      </c>
      <c r="Y201" s="22">
        <v>377.25</v>
      </c>
      <c r="Z201" s="22">
        <v>190.5</v>
      </c>
      <c r="AA201" s="371">
        <v>4482.8500000000004</v>
      </c>
      <c r="AB201" s="22">
        <v>0.12664934137881034</v>
      </c>
      <c r="AC201" s="24">
        <v>0</v>
      </c>
      <c r="AD201" s="384">
        <v>0</v>
      </c>
    </row>
    <row r="202" spans="1:30">
      <c r="A202" s="21" t="s">
        <v>93</v>
      </c>
      <c r="B202" s="21" t="s">
        <v>94</v>
      </c>
      <c r="C202" s="23">
        <v>12</v>
      </c>
      <c r="D202" s="147">
        <v>0</v>
      </c>
      <c r="E202" s="22">
        <v>0</v>
      </c>
      <c r="F202" s="22">
        <v>0</v>
      </c>
      <c r="G202" s="22">
        <v>0</v>
      </c>
      <c r="H202" s="22">
        <v>0</v>
      </c>
      <c r="I202" s="22">
        <v>0</v>
      </c>
      <c r="J202" s="22">
        <v>0</v>
      </c>
      <c r="K202" s="22">
        <v>0</v>
      </c>
      <c r="L202" s="22">
        <v>0</v>
      </c>
      <c r="M202" s="388">
        <v>22</v>
      </c>
      <c r="N202" s="25">
        <v>0.91300000000000003</v>
      </c>
      <c r="O202" s="24">
        <v>576</v>
      </c>
      <c r="P202" s="24">
        <v>8.25</v>
      </c>
      <c r="Q202" s="24">
        <v>8.25</v>
      </c>
      <c r="R202" s="22">
        <v>0</v>
      </c>
      <c r="S202" s="24">
        <v>3</v>
      </c>
      <c r="T202" s="24">
        <f t="shared" si="13"/>
        <v>11.25</v>
      </c>
      <c r="U202" s="376">
        <v>20.09</v>
      </c>
      <c r="V202" s="376">
        <v>0</v>
      </c>
      <c r="W202" s="22">
        <f t="shared" si="14"/>
        <v>18.342169999999999</v>
      </c>
      <c r="X202" s="22">
        <f t="shared" si="15"/>
        <v>4</v>
      </c>
      <c r="Y202" s="22">
        <v>4</v>
      </c>
      <c r="Z202" s="22">
        <v>0</v>
      </c>
      <c r="AA202" s="371">
        <v>22</v>
      </c>
      <c r="AB202" s="22">
        <v>0.18181818181818182</v>
      </c>
      <c r="AC202" s="24">
        <v>4.6818181818181814E-2</v>
      </c>
      <c r="AD202" s="384">
        <v>-9598.6514388803935</v>
      </c>
    </row>
    <row r="203" spans="1:30">
      <c r="A203" s="21" t="s">
        <v>565</v>
      </c>
      <c r="B203" s="21" t="s">
        <v>566</v>
      </c>
      <c r="C203" s="23">
        <v>49.1</v>
      </c>
      <c r="D203" s="147">
        <v>0</v>
      </c>
      <c r="E203" s="22">
        <v>9.6</v>
      </c>
      <c r="F203" s="22">
        <v>9.6</v>
      </c>
      <c r="G203" s="22">
        <v>0</v>
      </c>
      <c r="H203" s="22">
        <v>1.75</v>
      </c>
      <c r="I203" s="22">
        <v>0</v>
      </c>
      <c r="J203" s="22">
        <v>0</v>
      </c>
      <c r="K203" s="22">
        <v>0</v>
      </c>
      <c r="L203" s="22">
        <v>0</v>
      </c>
      <c r="M203" s="388">
        <v>152.88999999999999</v>
      </c>
      <c r="N203" s="25">
        <v>0.36420000000000002</v>
      </c>
      <c r="O203" s="24">
        <v>497</v>
      </c>
      <c r="P203" s="24">
        <v>0</v>
      </c>
      <c r="Q203" s="24">
        <v>0</v>
      </c>
      <c r="R203" s="22">
        <v>0</v>
      </c>
      <c r="S203" s="24">
        <v>0</v>
      </c>
      <c r="T203" s="24">
        <f t="shared" si="13"/>
        <v>0</v>
      </c>
      <c r="U203" s="376">
        <v>55.68</v>
      </c>
      <c r="V203" s="376">
        <v>0</v>
      </c>
      <c r="W203" s="22">
        <f t="shared" si="14"/>
        <v>20.278656000000002</v>
      </c>
      <c r="X203" s="22">
        <f t="shared" si="15"/>
        <v>18.5</v>
      </c>
      <c r="Y203" s="22">
        <v>14.5</v>
      </c>
      <c r="Z203" s="22">
        <v>4</v>
      </c>
      <c r="AA203" s="371">
        <v>152.88999999999999</v>
      </c>
      <c r="AB203" s="22">
        <v>0.1210020276015436</v>
      </c>
      <c r="AC203" s="24">
        <v>0</v>
      </c>
      <c r="AD203" s="384">
        <v>0</v>
      </c>
    </row>
    <row r="204" spans="1:30">
      <c r="A204" s="21" t="s">
        <v>111</v>
      </c>
      <c r="B204" s="21" t="s">
        <v>112</v>
      </c>
      <c r="C204" s="23">
        <v>5307.87</v>
      </c>
      <c r="D204" s="147">
        <v>159.84</v>
      </c>
      <c r="E204" s="22">
        <v>1031.3499999999999</v>
      </c>
      <c r="F204" s="22">
        <v>1191.1899999999998</v>
      </c>
      <c r="G204" s="22">
        <v>0</v>
      </c>
      <c r="H204" s="22">
        <v>348.55</v>
      </c>
      <c r="I204" s="22">
        <v>15.35</v>
      </c>
      <c r="J204" s="22">
        <v>223.57999999999998</v>
      </c>
      <c r="K204" s="22">
        <v>21.29</v>
      </c>
      <c r="L204" s="22">
        <v>0</v>
      </c>
      <c r="M204" s="388">
        <v>18091.530000000002</v>
      </c>
      <c r="N204" s="25">
        <v>0.73440000000000005</v>
      </c>
      <c r="O204" s="24">
        <v>576</v>
      </c>
      <c r="P204" s="24">
        <v>6328.5</v>
      </c>
      <c r="Q204" s="24">
        <v>3441.75</v>
      </c>
      <c r="R204" s="22">
        <v>2886.75</v>
      </c>
      <c r="S204" s="24">
        <v>798.5</v>
      </c>
      <c r="T204" s="24">
        <f t="shared" si="13"/>
        <v>7127</v>
      </c>
      <c r="U204" s="376">
        <v>13286.42</v>
      </c>
      <c r="V204" s="376">
        <v>904.58</v>
      </c>
      <c r="W204" s="22">
        <f t="shared" si="14"/>
        <v>9757.546848</v>
      </c>
      <c r="X204" s="22">
        <f t="shared" si="15"/>
        <v>2257.5</v>
      </c>
      <c r="Y204" s="22">
        <v>1186.5</v>
      </c>
      <c r="Z204" s="22">
        <v>1071</v>
      </c>
      <c r="AA204" s="371">
        <v>18205.89</v>
      </c>
      <c r="AB204" s="22">
        <v>0.12399833240780869</v>
      </c>
      <c r="AC204" s="24">
        <v>0</v>
      </c>
      <c r="AD204" s="384">
        <v>0</v>
      </c>
    </row>
    <row r="205" spans="1:30">
      <c r="A205" s="21" t="s">
        <v>335</v>
      </c>
      <c r="B205" s="21" t="s">
        <v>336</v>
      </c>
      <c r="C205" s="23">
        <v>75.02</v>
      </c>
      <c r="D205" s="147">
        <v>0</v>
      </c>
      <c r="E205" s="22">
        <v>11.24</v>
      </c>
      <c r="F205" s="22">
        <v>11.24</v>
      </c>
      <c r="G205" s="22">
        <v>0</v>
      </c>
      <c r="H205" s="22">
        <v>8.17</v>
      </c>
      <c r="I205" s="22">
        <v>0.59</v>
      </c>
      <c r="J205" s="22">
        <v>7.56</v>
      </c>
      <c r="K205" s="22">
        <v>0</v>
      </c>
      <c r="L205" s="22">
        <v>0</v>
      </c>
      <c r="M205" s="388">
        <v>295</v>
      </c>
      <c r="N205" s="25">
        <v>0.72289999999999999</v>
      </c>
      <c r="O205" s="24">
        <v>497</v>
      </c>
      <c r="P205" s="24">
        <v>32</v>
      </c>
      <c r="Q205" s="24">
        <v>20</v>
      </c>
      <c r="R205" s="22">
        <v>12</v>
      </c>
      <c r="S205" s="24">
        <v>12</v>
      </c>
      <c r="T205" s="24">
        <f t="shared" si="13"/>
        <v>44</v>
      </c>
      <c r="U205" s="376">
        <v>213.26</v>
      </c>
      <c r="V205" s="376">
        <v>14.75</v>
      </c>
      <c r="W205" s="22">
        <f t="shared" si="14"/>
        <v>154.16565399999999</v>
      </c>
      <c r="X205" s="22">
        <f t="shared" si="15"/>
        <v>41.5</v>
      </c>
      <c r="Y205" s="22">
        <v>31.25</v>
      </c>
      <c r="Z205" s="22">
        <v>10.25</v>
      </c>
      <c r="AA205" s="371">
        <v>294.99</v>
      </c>
      <c r="AB205" s="22">
        <v>0.14068273500796638</v>
      </c>
      <c r="AC205" s="24">
        <v>5.6827350079663719E-3</v>
      </c>
      <c r="AD205" s="384">
        <v>-14849.511595372127</v>
      </c>
    </row>
    <row r="206" spans="1:30">
      <c r="A206" s="21" t="s">
        <v>19</v>
      </c>
      <c r="B206" s="21" t="s">
        <v>20</v>
      </c>
      <c r="C206" s="23">
        <v>58</v>
      </c>
      <c r="D206" s="147">
        <v>0</v>
      </c>
      <c r="E206" s="22">
        <v>0</v>
      </c>
      <c r="F206" s="22">
        <v>0</v>
      </c>
      <c r="G206" s="22">
        <v>0</v>
      </c>
      <c r="H206" s="22">
        <v>0</v>
      </c>
      <c r="I206" s="22">
        <v>0</v>
      </c>
      <c r="J206" s="22">
        <v>0</v>
      </c>
      <c r="K206" s="22">
        <v>0</v>
      </c>
      <c r="L206" s="22">
        <v>0</v>
      </c>
      <c r="M206" s="388">
        <v>141.4</v>
      </c>
      <c r="N206" s="25">
        <v>1</v>
      </c>
      <c r="O206" s="24">
        <v>0</v>
      </c>
      <c r="P206" s="24">
        <v>25.5</v>
      </c>
      <c r="Q206" s="24">
        <v>20.25</v>
      </c>
      <c r="R206" s="22">
        <v>5.25</v>
      </c>
      <c r="S206" s="24">
        <v>11</v>
      </c>
      <c r="T206" s="24">
        <f t="shared" si="13"/>
        <v>36.5</v>
      </c>
      <c r="U206" s="376">
        <v>141.4</v>
      </c>
      <c r="V206" s="376">
        <v>0</v>
      </c>
      <c r="W206" s="22">
        <f t="shared" si="14"/>
        <v>141.4</v>
      </c>
      <c r="X206" s="22">
        <f t="shared" si="15"/>
        <v>22.75</v>
      </c>
      <c r="Y206" s="22">
        <v>22.75</v>
      </c>
      <c r="Z206" s="22">
        <v>0</v>
      </c>
      <c r="AA206" s="371">
        <v>141.4</v>
      </c>
      <c r="AB206" s="22">
        <v>0.1608910891089109</v>
      </c>
      <c r="AC206" s="24">
        <v>2.5891089108910886E-2</v>
      </c>
      <c r="AD206" s="384">
        <v>-32805.705188958142</v>
      </c>
    </row>
    <row r="207" spans="1:30">
      <c r="A207" s="21" t="s">
        <v>289</v>
      </c>
      <c r="B207" s="21" t="s">
        <v>290</v>
      </c>
      <c r="C207" s="23">
        <v>76.400000000000006</v>
      </c>
      <c r="D207" s="147">
        <v>6.29</v>
      </c>
      <c r="E207" s="22">
        <v>15.14</v>
      </c>
      <c r="F207" s="22">
        <v>21.43</v>
      </c>
      <c r="G207" s="22">
        <v>0</v>
      </c>
      <c r="H207" s="22">
        <v>2.74</v>
      </c>
      <c r="I207" s="22">
        <v>0.27</v>
      </c>
      <c r="J207" s="22">
        <v>0</v>
      </c>
      <c r="K207" s="22">
        <v>0</v>
      </c>
      <c r="L207" s="22">
        <v>0</v>
      </c>
      <c r="M207" s="388">
        <v>247.95000000000002</v>
      </c>
      <c r="N207" s="25">
        <v>0.59130000000000005</v>
      </c>
      <c r="O207" s="24">
        <v>497</v>
      </c>
      <c r="P207" s="24">
        <v>0</v>
      </c>
      <c r="Q207" s="24">
        <v>0</v>
      </c>
      <c r="R207" s="22">
        <v>0</v>
      </c>
      <c r="S207" s="24">
        <v>0</v>
      </c>
      <c r="T207" s="24">
        <f t="shared" si="13"/>
        <v>0</v>
      </c>
      <c r="U207" s="376">
        <v>146.61000000000001</v>
      </c>
      <c r="V207" s="376">
        <v>12.4</v>
      </c>
      <c r="W207" s="22">
        <f t="shared" si="14"/>
        <v>86.690493000000018</v>
      </c>
      <c r="X207" s="22">
        <f t="shared" si="15"/>
        <v>47.25</v>
      </c>
      <c r="Y207" s="22">
        <v>29.5</v>
      </c>
      <c r="Z207" s="22">
        <v>17.75</v>
      </c>
      <c r="AA207" s="371">
        <v>247.95</v>
      </c>
      <c r="AB207" s="22">
        <v>0.19056261343012704</v>
      </c>
      <c r="AC207" s="24">
        <v>5.5562613430127028E-2</v>
      </c>
      <c r="AD207" s="384">
        <v>-123509.77318057131</v>
      </c>
    </row>
    <row r="208" spans="1:30">
      <c r="A208" s="21" t="s">
        <v>379</v>
      </c>
      <c r="B208" s="21" t="s">
        <v>380</v>
      </c>
      <c r="C208" s="23">
        <v>2370.9699999999998</v>
      </c>
      <c r="D208" s="147">
        <v>82.41</v>
      </c>
      <c r="E208" s="22">
        <v>472.17</v>
      </c>
      <c r="F208" s="22">
        <v>554.58000000000004</v>
      </c>
      <c r="G208" s="22">
        <v>0</v>
      </c>
      <c r="H208" s="22">
        <v>355.14</v>
      </c>
      <c r="I208" s="22">
        <v>13.69</v>
      </c>
      <c r="J208" s="22">
        <v>177.01</v>
      </c>
      <c r="K208" s="22">
        <v>10.89</v>
      </c>
      <c r="L208" s="22">
        <v>3.27</v>
      </c>
      <c r="M208" s="388">
        <v>8612.32</v>
      </c>
      <c r="N208" s="25">
        <v>0.2082</v>
      </c>
      <c r="O208" s="24">
        <v>497</v>
      </c>
      <c r="P208" s="24">
        <v>197.75</v>
      </c>
      <c r="Q208" s="24">
        <v>138.5</v>
      </c>
      <c r="R208" s="22">
        <v>59.25</v>
      </c>
      <c r="S208" s="24">
        <v>34.5</v>
      </c>
      <c r="T208" s="24">
        <f t="shared" si="13"/>
        <v>232.25</v>
      </c>
      <c r="U208" s="376">
        <v>1793.09</v>
      </c>
      <c r="V208" s="376">
        <v>430.62</v>
      </c>
      <c r="W208" s="22">
        <f t="shared" si="14"/>
        <v>373.32133799999997</v>
      </c>
      <c r="X208" s="22">
        <f t="shared" si="15"/>
        <v>1107.5</v>
      </c>
      <c r="Y208" s="22">
        <v>722.25</v>
      </c>
      <c r="Z208" s="22">
        <v>385.25</v>
      </c>
      <c r="AA208" s="371">
        <v>8671.06</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120</v>
      </c>
      <c r="N209" s="25">
        <v>0.42480000000000001</v>
      </c>
      <c r="O209" s="24">
        <v>0</v>
      </c>
      <c r="P209" s="24">
        <v>8</v>
      </c>
      <c r="Q209" s="24">
        <v>5</v>
      </c>
      <c r="R209" s="22">
        <v>3</v>
      </c>
      <c r="S209" s="24">
        <v>0</v>
      </c>
      <c r="T209" s="24">
        <f t="shared" si="13"/>
        <v>8</v>
      </c>
      <c r="U209" s="376">
        <v>50.98</v>
      </c>
      <c r="V209" s="376">
        <v>0</v>
      </c>
      <c r="W209" s="22">
        <f t="shared" si="14"/>
        <v>21.656303999999999</v>
      </c>
      <c r="X209" s="22">
        <f t="shared" si="15"/>
        <v>16.2</v>
      </c>
      <c r="Y209" s="22">
        <v>16.2</v>
      </c>
      <c r="Z209" s="22">
        <v>0</v>
      </c>
      <c r="AA209" s="371">
        <v>120</v>
      </c>
      <c r="AB209" s="22">
        <v>0.13499999999999998</v>
      </c>
      <c r="AC209" s="24">
        <v>0</v>
      </c>
      <c r="AD209" s="384">
        <v>0</v>
      </c>
    </row>
    <row r="210" spans="1:30">
      <c r="A210" s="21" t="s">
        <v>321</v>
      </c>
      <c r="B210" s="21" t="s">
        <v>322</v>
      </c>
      <c r="C210" s="23">
        <v>297.57</v>
      </c>
      <c r="D210" s="147">
        <v>0</v>
      </c>
      <c r="E210" s="22">
        <v>0</v>
      </c>
      <c r="F210" s="22">
        <v>0</v>
      </c>
      <c r="G210" s="22">
        <v>0</v>
      </c>
      <c r="H210" s="22">
        <v>0</v>
      </c>
      <c r="I210" s="22">
        <v>0</v>
      </c>
      <c r="J210" s="22">
        <v>39.799999999999997</v>
      </c>
      <c r="K210" s="22">
        <v>0</v>
      </c>
      <c r="L210" s="22">
        <v>0</v>
      </c>
      <c r="M210" s="388">
        <v>689.6099999999999</v>
      </c>
      <c r="N210" s="25">
        <v>0.65090000000000003</v>
      </c>
      <c r="O210" s="24">
        <v>497</v>
      </c>
      <c r="P210" s="24">
        <v>31.75</v>
      </c>
      <c r="Q210" s="24">
        <v>18</v>
      </c>
      <c r="R210" s="22">
        <v>13.75</v>
      </c>
      <c r="S210" s="24">
        <v>4.5</v>
      </c>
      <c r="T210" s="24">
        <f t="shared" si="13"/>
        <v>36.25</v>
      </c>
      <c r="U210" s="376">
        <v>448.87</v>
      </c>
      <c r="V210" s="376">
        <v>34.479999999999997</v>
      </c>
      <c r="W210" s="22">
        <f t="shared" si="14"/>
        <v>292.16948300000001</v>
      </c>
      <c r="X210" s="22">
        <f t="shared" si="15"/>
        <v>99.5</v>
      </c>
      <c r="Y210" s="22">
        <v>88.25</v>
      </c>
      <c r="Z210" s="22">
        <v>11.25</v>
      </c>
      <c r="AA210" s="371">
        <v>689.6</v>
      </c>
      <c r="AB210" s="22">
        <v>0.14428654292343387</v>
      </c>
      <c r="AC210" s="24">
        <v>9.2865429234338659E-3</v>
      </c>
      <c r="AD210" s="384">
        <v>-57826.077145787633</v>
      </c>
    </row>
    <row r="211" spans="1:30">
      <c r="A211" s="21" t="s">
        <v>119</v>
      </c>
      <c r="B211" s="21" t="s">
        <v>120</v>
      </c>
      <c r="C211" s="23">
        <v>127.4</v>
      </c>
      <c r="D211" s="147">
        <v>13.18</v>
      </c>
      <c r="E211" s="22">
        <v>39.29</v>
      </c>
      <c r="F211" s="22">
        <v>52.47</v>
      </c>
      <c r="G211" s="22">
        <v>0</v>
      </c>
      <c r="H211" s="22">
        <v>1.22</v>
      </c>
      <c r="I211" s="22">
        <v>1.08</v>
      </c>
      <c r="J211" s="22">
        <v>0</v>
      </c>
      <c r="K211" s="22">
        <v>0</v>
      </c>
      <c r="L211" s="22">
        <v>0</v>
      </c>
      <c r="M211" s="388">
        <v>355.34000000000009</v>
      </c>
      <c r="N211" s="25">
        <v>0.51839999999999997</v>
      </c>
      <c r="O211" s="24">
        <v>576</v>
      </c>
      <c r="P211" s="24">
        <v>3</v>
      </c>
      <c r="Q211" s="24">
        <v>2</v>
      </c>
      <c r="R211" s="22">
        <v>1</v>
      </c>
      <c r="S211" s="24">
        <v>1</v>
      </c>
      <c r="T211" s="24">
        <f t="shared" si="13"/>
        <v>4</v>
      </c>
      <c r="U211" s="376">
        <v>184.21</v>
      </c>
      <c r="V211" s="376">
        <v>0</v>
      </c>
      <c r="W211" s="22">
        <f t="shared" si="14"/>
        <v>95.494463999999994</v>
      </c>
      <c r="X211" s="22">
        <f t="shared" si="15"/>
        <v>53.5</v>
      </c>
      <c r="Y211" s="22">
        <v>21</v>
      </c>
      <c r="Z211" s="22">
        <v>32.5</v>
      </c>
      <c r="AA211" s="371">
        <v>355.34</v>
      </c>
      <c r="AB211" s="22">
        <v>0.15056002701637869</v>
      </c>
      <c r="AC211" s="24">
        <v>1.556002701637868E-2</v>
      </c>
      <c r="AD211" s="384">
        <v>-50141.087657640157</v>
      </c>
    </row>
    <row r="212" spans="1:30">
      <c r="A212" s="21" t="s">
        <v>43</v>
      </c>
      <c r="B212" s="21" t="s">
        <v>44</v>
      </c>
      <c r="C212" s="23">
        <v>969.89</v>
      </c>
      <c r="D212" s="147">
        <v>72.28</v>
      </c>
      <c r="E212" s="22">
        <v>229.55</v>
      </c>
      <c r="F212" s="22">
        <v>301.83000000000004</v>
      </c>
      <c r="G212" s="22">
        <v>0</v>
      </c>
      <c r="H212" s="22">
        <v>96.37</v>
      </c>
      <c r="I212" s="22">
        <v>8.33</v>
      </c>
      <c r="J212" s="22">
        <v>359.36</v>
      </c>
      <c r="K212" s="22">
        <v>0</v>
      </c>
      <c r="L212" s="22">
        <v>0</v>
      </c>
      <c r="M212" s="388">
        <v>3493.54</v>
      </c>
      <c r="N212" s="25">
        <v>0.5262</v>
      </c>
      <c r="O212" s="24">
        <v>0</v>
      </c>
      <c r="P212" s="24">
        <v>53.5</v>
      </c>
      <c r="Q212" s="24">
        <v>37</v>
      </c>
      <c r="R212" s="22">
        <v>16.5</v>
      </c>
      <c r="S212" s="24">
        <v>9.5</v>
      </c>
      <c r="T212" s="24">
        <f t="shared" si="13"/>
        <v>63</v>
      </c>
      <c r="U212" s="376">
        <v>1838.3</v>
      </c>
      <c r="V212" s="376">
        <v>174.68</v>
      </c>
      <c r="W212" s="22">
        <f t="shared" si="14"/>
        <v>967.31345999999996</v>
      </c>
      <c r="X212" s="22">
        <f t="shared" si="15"/>
        <v>550</v>
      </c>
      <c r="Y212" s="22">
        <v>398.75</v>
      </c>
      <c r="Z212" s="22">
        <v>151.25</v>
      </c>
      <c r="AA212" s="371">
        <v>3493.54</v>
      </c>
      <c r="AB212" s="22">
        <v>0.15743343428155968</v>
      </c>
      <c r="AC212" s="24">
        <v>2.2433434281559667E-2</v>
      </c>
      <c r="AD212" s="384">
        <v>-705320.93136839103</v>
      </c>
    </row>
    <row r="213" spans="1:30">
      <c r="A213" s="21" t="s">
        <v>181</v>
      </c>
      <c r="B213" s="21" t="s">
        <v>182</v>
      </c>
      <c r="C213" s="23">
        <v>268.24</v>
      </c>
      <c r="D213" s="147">
        <v>0</v>
      </c>
      <c r="E213" s="22">
        <v>54.97</v>
      </c>
      <c r="F213" s="22">
        <v>54.97</v>
      </c>
      <c r="G213" s="22">
        <v>0</v>
      </c>
      <c r="H213" s="22">
        <v>27.91</v>
      </c>
      <c r="I213" s="22">
        <v>2.3199999999999998</v>
      </c>
      <c r="J213" s="22">
        <v>135.22999999999999</v>
      </c>
      <c r="K213" s="22">
        <v>0</v>
      </c>
      <c r="L213" s="22">
        <v>0</v>
      </c>
      <c r="M213" s="388">
        <v>1178.02</v>
      </c>
      <c r="N213" s="25">
        <v>0.51739999999999997</v>
      </c>
      <c r="O213" s="24">
        <v>497</v>
      </c>
      <c r="P213" s="24">
        <v>36.25</v>
      </c>
      <c r="Q213" s="24">
        <v>22</v>
      </c>
      <c r="R213" s="22">
        <v>14.25</v>
      </c>
      <c r="S213" s="24">
        <v>2.25</v>
      </c>
      <c r="T213" s="24">
        <f t="shared" si="13"/>
        <v>38.5</v>
      </c>
      <c r="U213" s="376">
        <v>609.51</v>
      </c>
      <c r="V213" s="376">
        <v>58.9</v>
      </c>
      <c r="W213" s="22">
        <f t="shared" si="14"/>
        <v>315.36047399999995</v>
      </c>
      <c r="X213" s="22">
        <f t="shared" si="15"/>
        <v>141.75</v>
      </c>
      <c r="Y213" s="22">
        <v>101.75</v>
      </c>
      <c r="Z213" s="22">
        <v>40</v>
      </c>
      <c r="AA213" s="371">
        <v>1196.08</v>
      </c>
      <c r="AB213" s="22">
        <v>0.1185121396562103</v>
      </c>
      <c r="AC213" s="24">
        <v>0</v>
      </c>
      <c r="AD213" s="384">
        <v>0</v>
      </c>
    </row>
    <row r="214" spans="1:30">
      <c r="A214" s="21" t="s">
        <v>537</v>
      </c>
      <c r="B214" s="21" t="s">
        <v>538</v>
      </c>
      <c r="C214" s="23">
        <v>83.03</v>
      </c>
      <c r="D214" s="147">
        <v>0</v>
      </c>
      <c r="E214" s="22">
        <v>5.24</v>
      </c>
      <c r="F214" s="22">
        <v>5.24</v>
      </c>
      <c r="G214" s="22">
        <v>0</v>
      </c>
      <c r="H214" s="22">
        <v>1</v>
      </c>
      <c r="I214" s="22">
        <v>0</v>
      </c>
      <c r="J214" s="22">
        <v>0</v>
      </c>
      <c r="K214" s="22">
        <v>1</v>
      </c>
      <c r="L214" s="22">
        <v>0</v>
      </c>
      <c r="M214" s="388">
        <v>248.31</v>
      </c>
      <c r="N214" s="25">
        <v>0.93959999999999999</v>
      </c>
      <c r="O214" s="24">
        <v>497</v>
      </c>
      <c r="P214" s="24">
        <v>91</v>
      </c>
      <c r="Q214" s="24">
        <v>63.5</v>
      </c>
      <c r="R214" s="22">
        <v>27.5</v>
      </c>
      <c r="S214" s="24">
        <v>11</v>
      </c>
      <c r="T214" s="24">
        <f t="shared" si="13"/>
        <v>102</v>
      </c>
      <c r="U214" s="376">
        <v>233.31</v>
      </c>
      <c r="V214" s="376">
        <v>0</v>
      </c>
      <c r="W214" s="22">
        <f t="shared" si="14"/>
        <v>219.218076</v>
      </c>
      <c r="X214" s="22">
        <f t="shared" si="15"/>
        <v>35</v>
      </c>
      <c r="Y214" s="22">
        <v>25.75</v>
      </c>
      <c r="Z214" s="22">
        <v>9.25</v>
      </c>
      <c r="AA214" s="371">
        <v>248.31</v>
      </c>
      <c r="AB214" s="22">
        <v>0.14095284120655632</v>
      </c>
      <c r="AC214" s="24">
        <v>5.9528412065563141E-3</v>
      </c>
      <c r="AD214" s="384">
        <v>-13093.016402331308</v>
      </c>
    </row>
    <row r="215" spans="1:30">
      <c r="A215" s="21" t="s">
        <v>481</v>
      </c>
      <c r="B215" s="21" t="s">
        <v>482</v>
      </c>
      <c r="C215" s="23">
        <v>0</v>
      </c>
      <c r="D215" s="147">
        <v>0</v>
      </c>
      <c r="E215" s="22">
        <v>12.01</v>
      </c>
      <c r="F215" s="22">
        <v>12.01</v>
      </c>
      <c r="G215" s="22">
        <v>0</v>
      </c>
      <c r="H215" s="22">
        <v>12.71</v>
      </c>
      <c r="I215" s="22">
        <v>1</v>
      </c>
      <c r="J215" s="22">
        <v>0</v>
      </c>
      <c r="K215" s="22">
        <v>0</v>
      </c>
      <c r="L215" s="22">
        <v>0</v>
      </c>
      <c r="M215" s="388">
        <v>645.70000000000005</v>
      </c>
      <c r="N215" s="25">
        <v>0.58220000000000005</v>
      </c>
      <c r="O215" s="24">
        <v>497</v>
      </c>
      <c r="P215" s="24">
        <v>0</v>
      </c>
      <c r="Q215" s="24">
        <v>0</v>
      </c>
      <c r="R215" s="22">
        <v>0</v>
      </c>
      <c r="S215" s="24">
        <v>0</v>
      </c>
      <c r="T215" s="24">
        <f t="shared" si="13"/>
        <v>0</v>
      </c>
      <c r="U215" s="376">
        <v>375.93</v>
      </c>
      <c r="V215" s="376">
        <v>0</v>
      </c>
      <c r="W215" s="22">
        <f t="shared" si="14"/>
        <v>218.86644600000002</v>
      </c>
      <c r="X215" s="22">
        <f t="shared" si="15"/>
        <v>103.25</v>
      </c>
      <c r="Y215" s="22">
        <v>102.25</v>
      </c>
      <c r="Z215" s="22">
        <v>1</v>
      </c>
      <c r="AA215" s="371">
        <v>648.44000000000005</v>
      </c>
      <c r="AB215" s="22">
        <v>0.15922830177040279</v>
      </c>
      <c r="AC215" s="24">
        <v>2.4228301770402777E-2</v>
      </c>
      <c r="AD215" s="384">
        <v>-131073.44069497273</v>
      </c>
    </row>
    <row r="216" spans="1:30">
      <c r="A216" s="21" t="s">
        <v>25</v>
      </c>
      <c r="B216" s="21" t="s">
        <v>26</v>
      </c>
      <c r="C216" s="23">
        <v>627.26</v>
      </c>
      <c r="D216" s="147">
        <v>29.81</v>
      </c>
      <c r="E216" s="22">
        <v>229.08</v>
      </c>
      <c r="F216" s="22">
        <v>258.89</v>
      </c>
      <c r="G216" s="22">
        <v>0</v>
      </c>
      <c r="H216" s="22">
        <v>38.36</v>
      </c>
      <c r="I216" s="22">
        <v>2.69</v>
      </c>
      <c r="J216" s="22">
        <v>0</v>
      </c>
      <c r="K216" s="22">
        <v>12.6</v>
      </c>
      <c r="L216" s="22">
        <v>0</v>
      </c>
      <c r="M216" s="388">
        <v>2455.8000000000002</v>
      </c>
      <c r="N216" s="25">
        <v>0.71960000000000002</v>
      </c>
      <c r="O216" s="24">
        <v>0</v>
      </c>
      <c r="P216" s="24">
        <v>586.75</v>
      </c>
      <c r="Q216" s="24">
        <v>378.25</v>
      </c>
      <c r="R216" s="22">
        <v>208.5</v>
      </c>
      <c r="S216" s="24">
        <v>71</v>
      </c>
      <c r="T216" s="24">
        <f t="shared" si="13"/>
        <v>657.75</v>
      </c>
      <c r="U216" s="376">
        <v>1767.19</v>
      </c>
      <c r="V216" s="376">
        <v>122.79</v>
      </c>
      <c r="W216" s="22">
        <f t="shared" si="14"/>
        <v>1271.669924</v>
      </c>
      <c r="X216" s="22">
        <f t="shared" si="15"/>
        <v>314.75</v>
      </c>
      <c r="Y216" s="22">
        <v>143.75</v>
      </c>
      <c r="Z216" s="22">
        <v>171</v>
      </c>
      <c r="AA216" s="371">
        <v>2475.6799999999998</v>
      </c>
      <c r="AB216" s="22">
        <v>0.12713678666063466</v>
      </c>
      <c r="AC216" s="24">
        <v>0</v>
      </c>
      <c r="AD216" s="384">
        <v>0</v>
      </c>
    </row>
    <row r="217" spans="1:30">
      <c r="A217" s="21" t="s">
        <v>1319</v>
      </c>
      <c r="B217" s="21" t="s">
        <v>1320</v>
      </c>
      <c r="C217" s="23">
        <v>52.2</v>
      </c>
      <c r="D217" s="147">
        <v>0</v>
      </c>
      <c r="E217" s="22">
        <v>0</v>
      </c>
      <c r="F217" s="22">
        <v>0</v>
      </c>
      <c r="G217" s="22">
        <v>0</v>
      </c>
      <c r="H217" s="22">
        <v>0</v>
      </c>
      <c r="I217" s="22">
        <v>0</v>
      </c>
      <c r="J217" s="22">
        <v>0</v>
      </c>
      <c r="K217" s="22">
        <v>0</v>
      </c>
      <c r="L217" s="22">
        <v>0</v>
      </c>
      <c r="M217" s="388">
        <v>77</v>
      </c>
      <c r="N217" s="25">
        <v>2.53E-2</v>
      </c>
      <c r="O217" s="24">
        <v>497</v>
      </c>
      <c r="P217" s="24">
        <v>3</v>
      </c>
      <c r="Q217" s="24">
        <v>3</v>
      </c>
      <c r="R217" s="22">
        <v>0</v>
      </c>
      <c r="S217" s="24">
        <v>0</v>
      </c>
      <c r="T217" s="24">
        <f t="shared" si="13"/>
        <v>3</v>
      </c>
      <c r="U217" s="376">
        <v>1.95</v>
      </c>
      <c r="V217" s="376">
        <v>0</v>
      </c>
      <c r="W217" s="22">
        <f t="shared" si="14"/>
        <v>4.9334999999999997E-2</v>
      </c>
      <c r="X217" s="22">
        <f t="shared" si="15"/>
        <v>11.75</v>
      </c>
      <c r="Y217" s="22">
        <v>11.75</v>
      </c>
      <c r="Z217" s="22">
        <v>0</v>
      </c>
      <c r="AA217" s="371">
        <v>77</v>
      </c>
      <c r="AB217" s="22">
        <v>0.15259740259740259</v>
      </c>
      <c r="AC217" s="24">
        <v>1.7597402597402584E-2</v>
      </c>
      <c r="AD217" s="384">
        <v>-13100.960453416885</v>
      </c>
    </row>
    <row r="218" spans="1:30">
      <c r="A218" s="21" t="s">
        <v>561</v>
      </c>
      <c r="B218" s="21" t="s">
        <v>562</v>
      </c>
      <c r="C218" s="23">
        <v>779.01</v>
      </c>
      <c r="D218" s="147">
        <v>44.01</v>
      </c>
      <c r="E218" s="22">
        <v>131.38</v>
      </c>
      <c r="F218" s="22">
        <v>175.39</v>
      </c>
      <c r="G218" s="22">
        <v>0</v>
      </c>
      <c r="H218" s="22">
        <v>36.26</v>
      </c>
      <c r="I218" s="22">
        <v>0.6</v>
      </c>
      <c r="J218" s="22">
        <v>7.75</v>
      </c>
      <c r="K218" s="22">
        <v>0.8</v>
      </c>
      <c r="L218" s="22">
        <v>0</v>
      </c>
      <c r="M218" s="388">
        <v>2617.0100000000007</v>
      </c>
      <c r="N218" s="25">
        <v>0.3155</v>
      </c>
      <c r="O218" s="24">
        <v>497</v>
      </c>
      <c r="P218" s="24">
        <v>121.25</v>
      </c>
      <c r="Q218" s="24">
        <v>93.5</v>
      </c>
      <c r="R218" s="22">
        <v>27.75</v>
      </c>
      <c r="S218" s="24">
        <v>42.75</v>
      </c>
      <c r="T218" s="24">
        <f t="shared" si="13"/>
        <v>164</v>
      </c>
      <c r="U218" s="376">
        <v>825.67</v>
      </c>
      <c r="V218" s="376">
        <v>130.85</v>
      </c>
      <c r="W218" s="22">
        <f t="shared" si="14"/>
        <v>260.49888499999997</v>
      </c>
      <c r="X218" s="22">
        <f t="shared" si="15"/>
        <v>317</v>
      </c>
      <c r="Y218" s="22">
        <v>236.75</v>
      </c>
      <c r="Z218" s="22">
        <v>80.25</v>
      </c>
      <c r="AA218" s="371">
        <v>2617.1999999999998</v>
      </c>
      <c r="AB218" s="22">
        <v>0.1211218095674767</v>
      </c>
      <c r="AC218" s="24">
        <v>0</v>
      </c>
      <c r="AD218" s="384">
        <v>0</v>
      </c>
    </row>
    <row r="219" spans="1:30">
      <c r="A219" s="21" t="s">
        <v>363</v>
      </c>
      <c r="B219" s="21" t="s">
        <v>364</v>
      </c>
      <c r="C219" s="23">
        <v>6368.81</v>
      </c>
      <c r="D219" s="147">
        <v>359.2</v>
      </c>
      <c r="E219" s="22">
        <v>1267.8</v>
      </c>
      <c r="F219" s="22">
        <v>1627</v>
      </c>
      <c r="G219" s="22">
        <v>0</v>
      </c>
      <c r="H219" s="22">
        <v>626.98</v>
      </c>
      <c r="I219" s="22">
        <v>18.7</v>
      </c>
      <c r="J219" s="22">
        <v>740.55</v>
      </c>
      <c r="K219" s="22">
        <v>51.6</v>
      </c>
      <c r="L219" s="22">
        <v>0</v>
      </c>
      <c r="M219" s="388">
        <v>22317.139999999996</v>
      </c>
      <c r="N219" s="25">
        <v>0.39810000000000001</v>
      </c>
      <c r="O219" s="24">
        <v>497</v>
      </c>
      <c r="P219" s="24">
        <v>1441.25</v>
      </c>
      <c r="Q219" s="24">
        <v>926.25</v>
      </c>
      <c r="R219" s="22">
        <v>515</v>
      </c>
      <c r="S219" s="24">
        <v>339.5</v>
      </c>
      <c r="T219" s="24">
        <f t="shared" si="13"/>
        <v>1780.75</v>
      </c>
      <c r="U219" s="376">
        <v>8884.4500000000007</v>
      </c>
      <c r="V219" s="376">
        <v>1115.8599999999999</v>
      </c>
      <c r="W219" s="22">
        <f t="shared" si="14"/>
        <v>3536.8995450000002</v>
      </c>
      <c r="X219" s="22">
        <f t="shared" si="15"/>
        <v>2490.5</v>
      </c>
      <c r="Y219" s="22">
        <v>1339.25</v>
      </c>
      <c r="Z219" s="22">
        <v>1151.25</v>
      </c>
      <c r="AA219" s="371">
        <v>22353.34</v>
      </c>
      <c r="AB219" s="22">
        <v>0.11141511738290565</v>
      </c>
      <c r="AC219" s="24">
        <v>0</v>
      </c>
      <c r="AD219" s="384">
        <v>0</v>
      </c>
    </row>
    <row r="220" spans="1:30">
      <c r="A220" s="21" t="s">
        <v>173</v>
      </c>
      <c r="B220" s="21" t="s">
        <v>174</v>
      </c>
      <c r="C220" s="23">
        <v>21</v>
      </c>
      <c r="D220" s="147">
        <v>0</v>
      </c>
      <c r="E220" s="22">
        <v>0</v>
      </c>
      <c r="F220" s="22">
        <v>0</v>
      </c>
      <c r="G220" s="22">
        <v>0</v>
      </c>
      <c r="H220" s="22">
        <v>0</v>
      </c>
      <c r="I220" s="22">
        <v>0</v>
      </c>
      <c r="J220" s="22">
        <v>0</v>
      </c>
      <c r="K220" s="22">
        <v>0</v>
      </c>
      <c r="L220" s="22">
        <v>0</v>
      </c>
      <c r="M220" s="388">
        <v>50.8</v>
      </c>
      <c r="N220" s="25">
        <v>1</v>
      </c>
      <c r="O220" s="24">
        <v>497</v>
      </c>
      <c r="P220" s="24">
        <v>0</v>
      </c>
      <c r="Q220" s="24">
        <v>0</v>
      </c>
      <c r="R220" s="22">
        <v>0</v>
      </c>
      <c r="S220" s="24">
        <v>0</v>
      </c>
      <c r="T220" s="24">
        <f t="shared" si="13"/>
        <v>0</v>
      </c>
      <c r="U220" s="376">
        <v>50.8</v>
      </c>
      <c r="V220" s="376">
        <v>0</v>
      </c>
      <c r="W220" s="22">
        <f t="shared" si="14"/>
        <v>50.8</v>
      </c>
      <c r="X220" s="22">
        <f t="shared" si="15"/>
        <v>8.75</v>
      </c>
      <c r="Y220" s="22">
        <v>0</v>
      </c>
      <c r="Z220" s="22">
        <v>8.75</v>
      </c>
      <c r="AA220" s="371">
        <v>50.8</v>
      </c>
      <c r="AB220" s="22">
        <v>0.17224409448818898</v>
      </c>
      <c r="AC220" s="24">
        <v>3.7244094488188967E-2</v>
      </c>
      <c r="AD220" s="384">
        <v>-16758.989514631372</v>
      </c>
    </row>
    <row r="221" spans="1:30">
      <c r="A221" s="21" t="s">
        <v>177</v>
      </c>
      <c r="B221" s="21" t="s">
        <v>178</v>
      </c>
      <c r="C221" s="23">
        <v>45.1</v>
      </c>
      <c r="D221" s="147">
        <v>0</v>
      </c>
      <c r="E221" s="22">
        <v>7.66</v>
      </c>
      <c r="F221" s="22">
        <v>7.66</v>
      </c>
      <c r="G221" s="22">
        <v>0</v>
      </c>
      <c r="H221" s="22">
        <v>4.34</v>
      </c>
      <c r="I221" s="22">
        <v>0</v>
      </c>
      <c r="J221" s="22">
        <v>436.06</v>
      </c>
      <c r="K221" s="22">
        <v>0</v>
      </c>
      <c r="L221" s="22">
        <v>0</v>
      </c>
      <c r="M221" s="388">
        <v>646.78</v>
      </c>
      <c r="N221" s="25">
        <v>0.31130000000000002</v>
      </c>
      <c r="O221" s="24">
        <v>497</v>
      </c>
      <c r="P221" s="24">
        <v>0</v>
      </c>
      <c r="Q221" s="24">
        <v>0</v>
      </c>
      <c r="R221" s="22">
        <v>0</v>
      </c>
      <c r="S221" s="24">
        <v>0</v>
      </c>
      <c r="T221" s="24">
        <f t="shared" si="13"/>
        <v>0</v>
      </c>
      <c r="U221" s="376">
        <v>201.34</v>
      </c>
      <c r="V221" s="376">
        <v>32.340000000000003</v>
      </c>
      <c r="W221" s="22">
        <f t="shared" si="14"/>
        <v>62.677142000000003</v>
      </c>
      <c r="X221" s="22">
        <f t="shared" si="15"/>
        <v>55.75</v>
      </c>
      <c r="Y221" s="22">
        <v>53</v>
      </c>
      <c r="Z221" s="22">
        <v>2.75</v>
      </c>
      <c r="AA221" s="371">
        <v>653.72</v>
      </c>
      <c r="AB221" s="22">
        <v>8.5281160129719147E-2</v>
      </c>
      <c r="AC221" s="24">
        <v>0</v>
      </c>
      <c r="AD221" s="384">
        <v>0</v>
      </c>
    </row>
    <row r="222" spans="1:30">
      <c r="A222" s="21" t="s">
        <v>53</v>
      </c>
      <c r="B222" s="21" t="s">
        <v>54</v>
      </c>
      <c r="C222" s="23">
        <v>30.4</v>
      </c>
      <c r="D222" s="147">
        <v>1.65</v>
      </c>
      <c r="E222" s="22">
        <v>8.7899999999999991</v>
      </c>
      <c r="F222" s="22">
        <v>10.44</v>
      </c>
      <c r="G222" s="22">
        <v>0</v>
      </c>
      <c r="H222" s="22">
        <v>0.33</v>
      </c>
      <c r="I222" s="22">
        <v>0</v>
      </c>
      <c r="J222" s="22">
        <v>0</v>
      </c>
      <c r="K222" s="22">
        <v>0</v>
      </c>
      <c r="L222" s="22">
        <v>0</v>
      </c>
      <c r="M222" s="388">
        <v>116.49</v>
      </c>
      <c r="N222" s="25">
        <v>0.93910000000000005</v>
      </c>
      <c r="O222" s="24">
        <v>0</v>
      </c>
      <c r="P222" s="24">
        <v>0</v>
      </c>
      <c r="Q222" s="24">
        <v>0</v>
      </c>
      <c r="R222" s="22">
        <v>0</v>
      </c>
      <c r="S222" s="24">
        <v>0</v>
      </c>
      <c r="T222" s="24">
        <f t="shared" si="13"/>
        <v>0</v>
      </c>
      <c r="U222" s="376">
        <v>109.4</v>
      </c>
      <c r="V222" s="376">
        <v>0</v>
      </c>
      <c r="W222" s="22">
        <f t="shared" si="14"/>
        <v>102.73754000000001</v>
      </c>
      <c r="X222" s="22">
        <f t="shared" si="15"/>
        <v>28.25</v>
      </c>
      <c r="Y222" s="22">
        <v>27</v>
      </c>
      <c r="Z222" s="22">
        <v>1.25</v>
      </c>
      <c r="AA222" s="371">
        <v>116.49</v>
      </c>
      <c r="AB222" s="22">
        <v>0.24251008670272128</v>
      </c>
      <c r="AC222" s="24">
        <v>0.10751008670272127</v>
      </c>
      <c r="AD222" s="384">
        <v>-109346.38863899252</v>
      </c>
    </row>
    <row r="223" spans="1:30">
      <c r="A223" s="21" t="s">
        <v>51</v>
      </c>
      <c r="B223" s="21" t="s">
        <v>52</v>
      </c>
      <c r="C223" s="23">
        <v>274.88</v>
      </c>
      <c r="D223" s="147">
        <v>13.1</v>
      </c>
      <c r="E223" s="22">
        <v>43.4</v>
      </c>
      <c r="F223" s="22">
        <v>56.5</v>
      </c>
      <c r="G223" s="22">
        <v>0</v>
      </c>
      <c r="H223" s="22">
        <v>82.68</v>
      </c>
      <c r="I223" s="22">
        <v>9.52</v>
      </c>
      <c r="J223" s="22">
        <v>2271.44</v>
      </c>
      <c r="K223" s="22">
        <v>6.8</v>
      </c>
      <c r="L223" s="22">
        <v>0</v>
      </c>
      <c r="M223" s="388">
        <v>3267.08</v>
      </c>
      <c r="N223" s="25">
        <v>0.53159999999999996</v>
      </c>
      <c r="O223" s="24">
        <v>0</v>
      </c>
      <c r="P223" s="24">
        <v>231</v>
      </c>
      <c r="Q223" s="24">
        <v>119</v>
      </c>
      <c r="R223" s="22">
        <v>112</v>
      </c>
      <c r="S223" s="24">
        <v>31</v>
      </c>
      <c r="T223" s="24">
        <f t="shared" si="13"/>
        <v>262</v>
      </c>
      <c r="U223" s="376">
        <v>1736.78</v>
      </c>
      <c r="V223" s="376">
        <v>0</v>
      </c>
      <c r="W223" s="22">
        <f t="shared" si="14"/>
        <v>923.27224799999988</v>
      </c>
      <c r="X223" s="22">
        <f t="shared" si="15"/>
        <v>565.75</v>
      </c>
      <c r="Y223" s="22">
        <v>502</v>
      </c>
      <c r="Z223" s="22">
        <v>63.75</v>
      </c>
      <c r="AA223" s="371">
        <v>3270.9</v>
      </c>
      <c r="AB223" s="22">
        <v>0.17296462747256106</v>
      </c>
      <c r="AC223" s="24">
        <v>3.7964627472561047E-2</v>
      </c>
      <c r="AD223" s="384">
        <v>-1047845.1594923758</v>
      </c>
    </row>
    <row r="224" spans="1:30">
      <c r="A224" s="21" t="s">
        <v>123</v>
      </c>
      <c r="B224" s="21" t="s">
        <v>124</v>
      </c>
      <c r="C224" s="23">
        <v>903.12</v>
      </c>
      <c r="D224" s="147">
        <v>51.71</v>
      </c>
      <c r="E224" s="22">
        <v>223.35</v>
      </c>
      <c r="F224" s="22">
        <v>275.06</v>
      </c>
      <c r="G224" s="22">
        <v>0</v>
      </c>
      <c r="H224" s="22">
        <v>50.26</v>
      </c>
      <c r="I224" s="22">
        <v>2.91</v>
      </c>
      <c r="J224" s="22">
        <v>58.04</v>
      </c>
      <c r="K224" s="22">
        <v>4.2</v>
      </c>
      <c r="L224" s="22">
        <v>0</v>
      </c>
      <c r="M224" s="388">
        <v>3144.2</v>
      </c>
      <c r="N224" s="25">
        <v>0.82869999999999999</v>
      </c>
      <c r="O224" s="24">
        <v>576</v>
      </c>
      <c r="P224" s="24">
        <v>1196</v>
      </c>
      <c r="Q224" s="24">
        <v>762.75</v>
      </c>
      <c r="R224" s="22">
        <v>433.25</v>
      </c>
      <c r="S224" s="24">
        <v>243.25</v>
      </c>
      <c r="T224" s="24">
        <f t="shared" si="13"/>
        <v>1439.25</v>
      </c>
      <c r="U224" s="376">
        <v>2605.6</v>
      </c>
      <c r="V224" s="376">
        <v>157.21</v>
      </c>
      <c r="W224" s="22">
        <f t="shared" si="14"/>
        <v>2159.2607199999998</v>
      </c>
      <c r="X224" s="22">
        <f t="shared" si="15"/>
        <v>427</v>
      </c>
      <c r="Y224" s="22">
        <v>338</v>
      </c>
      <c r="Z224" s="22">
        <v>89</v>
      </c>
      <c r="AA224" s="371">
        <v>3149.58</v>
      </c>
      <c r="AB224" s="22">
        <v>0.13557363203982753</v>
      </c>
      <c r="AC224" s="24">
        <v>5.7363203982752076E-4</v>
      </c>
      <c r="AD224" s="384">
        <v>-15802.005895841872</v>
      </c>
    </row>
    <row r="225" spans="1:30">
      <c r="A225" s="21" t="s">
        <v>225</v>
      </c>
      <c r="B225" s="21" t="s">
        <v>226</v>
      </c>
      <c r="C225" s="23">
        <v>0</v>
      </c>
      <c r="D225" s="147">
        <v>0</v>
      </c>
      <c r="E225" s="22">
        <v>0</v>
      </c>
      <c r="F225" s="22">
        <v>0</v>
      </c>
      <c r="G225" s="22">
        <v>0</v>
      </c>
      <c r="H225" s="22">
        <v>0</v>
      </c>
      <c r="I225" s="22">
        <v>0</v>
      </c>
      <c r="J225" s="22">
        <v>0</v>
      </c>
      <c r="K225" s="22">
        <v>0</v>
      </c>
      <c r="L225" s="22">
        <v>0</v>
      </c>
      <c r="M225" s="388">
        <v>329</v>
      </c>
      <c r="N225" s="25">
        <v>0.76190000000000002</v>
      </c>
      <c r="O225" s="24">
        <v>497</v>
      </c>
      <c r="P225" s="24">
        <v>96.75</v>
      </c>
      <c r="Q225" s="24">
        <v>54.75</v>
      </c>
      <c r="R225" s="22">
        <v>42</v>
      </c>
      <c r="S225" s="24">
        <v>21</v>
      </c>
      <c r="T225" s="24">
        <f t="shared" si="13"/>
        <v>117.75</v>
      </c>
      <c r="U225" s="376">
        <v>250.67</v>
      </c>
      <c r="V225" s="376">
        <v>0</v>
      </c>
      <c r="W225" s="22">
        <f t="shared" si="14"/>
        <v>190.98547299999998</v>
      </c>
      <c r="X225" s="22">
        <f t="shared" si="15"/>
        <v>24.75</v>
      </c>
      <c r="Y225" s="22">
        <v>24.75</v>
      </c>
      <c r="Z225" s="22">
        <v>0</v>
      </c>
      <c r="AA225" s="371">
        <v>329</v>
      </c>
      <c r="AB225" s="22">
        <v>7.522796352583587E-2</v>
      </c>
      <c r="AC225" s="24">
        <v>0</v>
      </c>
      <c r="AD225" s="384">
        <v>0</v>
      </c>
    </row>
    <row r="226" spans="1:30">
      <c r="A226" s="21" t="s">
        <v>515</v>
      </c>
      <c r="B226" s="21" t="s">
        <v>516</v>
      </c>
      <c r="C226" s="23">
        <v>284.02</v>
      </c>
      <c r="D226" s="147">
        <v>14.94</v>
      </c>
      <c r="E226" s="22">
        <v>63.58</v>
      </c>
      <c r="F226" s="22">
        <v>78.52</v>
      </c>
      <c r="G226" s="22">
        <v>0</v>
      </c>
      <c r="H226" s="22">
        <v>17.89</v>
      </c>
      <c r="I226" s="22">
        <v>1.35</v>
      </c>
      <c r="J226" s="22">
        <v>0</v>
      </c>
      <c r="K226" s="22">
        <v>4.4000000000000004</v>
      </c>
      <c r="L226" s="22">
        <v>0</v>
      </c>
      <c r="M226" s="388">
        <v>886.79</v>
      </c>
      <c r="N226" s="25">
        <v>0.4415</v>
      </c>
      <c r="O226" s="24">
        <v>497</v>
      </c>
      <c r="P226" s="24">
        <v>0</v>
      </c>
      <c r="Q226" s="24">
        <v>0</v>
      </c>
      <c r="R226" s="22">
        <v>0</v>
      </c>
      <c r="S226" s="24">
        <v>0</v>
      </c>
      <c r="T226" s="24">
        <f t="shared" si="13"/>
        <v>0</v>
      </c>
      <c r="U226" s="376">
        <v>391.52</v>
      </c>
      <c r="V226" s="376">
        <v>44.34</v>
      </c>
      <c r="W226" s="22">
        <f t="shared" si="14"/>
        <v>172.85607999999999</v>
      </c>
      <c r="X226" s="22">
        <f t="shared" si="15"/>
        <v>126.75</v>
      </c>
      <c r="Y226" s="22">
        <v>88</v>
      </c>
      <c r="Z226" s="22">
        <v>38.75</v>
      </c>
      <c r="AA226" s="371">
        <v>886.79</v>
      </c>
      <c r="AB226" s="22">
        <v>0.14293124640557517</v>
      </c>
      <c r="AC226" s="24">
        <v>7.9312464055751597E-3</v>
      </c>
      <c r="AD226" s="384">
        <v>-61968.069276755661</v>
      </c>
    </row>
    <row r="227" spans="1:30">
      <c r="A227" s="21" t="s">
        <v>345</v>
      </c>
      <c r="B227" s="21" t="s">
        <v>346</v>
      </c>
      <c r="C227" s="23">
        <v>145.25</v>
      </c>
      <c r="D227" s="147">
        <v>0</v>
      </c>
      <c r="E227" s="22">
        <v>38.950000000000003</v>
      </c>
      <c r="F227" s="22">
        <v>38.950000000000003</v>
      </c>
      <c r="G227" s="22">
        <v>0</v>
      </c>
      <c r="H227" s="22">
        <v>19.68</v>
      </c>
      <c r="I227" s="22">
        <v>0.17</v>
      </c>
      <c r="J227" s="22">
        <v>2</v>
      </c>
      <c r="K227" s="22">
        <v>2</v>
      </c>
      <c r="L227" s="22">
        <v>0</v>
      </c>
      <c r="M227" s="388">
        <v>522.98</v>
      </c>
      <c r="N227" s="25">
        <v>0.70309999999999995</v>
      </c>
      <c r="O227" s="24">
        <v>497</v>
      </c>
      <c r="P227" s="24">
        <v>61.5</v>
      </c>
      <c r="Q227" s="24">
        <v>37.25</v>
      </c>
      <c r="R227" s="22">
        <v>24.25</v>
      </c>
      <c r="S227" s="24">
        <v>9</v>
      </c>
      <c r="T227" s="24">
        <f t="shared" si="13"/>
        <v>70.5</v>
      </c>
      <c r="U227" s="376">
        <v>367.71</v>
      </c>
      <c r="V227" s="376">
        <v>26.15</v>
      </c>
      <c r="W227" s="22">
        <f t="shared" si="14"/>
        <v>258.53690099999994</v>
      </c>
      <c r="X227" s="22">
        <f t="shared" si="15"/>
        <v>81.5</v>
      </c>
      <c r="Y227" s="22">
        <v>50.5</v>
      </c>
      <c r="Z227" s="22">
        <v>31</v>
      </c>
      <c r="AA227" s="371">
        <v>522.97</v>
      </c>
      <c r="AB227" s="22">
        <v>0.15584067919765951</v>
      </c>
      <c r="AC227" s="24">
        <v>2.0840679197659501E-2</v>
      </c>
      <c r="AD227" s="384">
        <v>-95055.150274777392</v>
      </c>
    </row>
    <row r="228" spans="1:30">
      <c r="A228" s="21" t="s">
        <v>299</v>
      </c>
      <c r="B228" s="21" t="s">
        <v>300</v>
      </c>
      <c r="C228" s="23">
        <v>207.3</v>
      </c>
      <c r="D228" s="147">
        <v>10.23</v>
      </c>
      <c r="E228" s="22">
        <v>50.04</v>
      </c>
      <c r="F228" s="22">
        <v>60.269999999999996</v>
      </c>
      <c r="G228" s="22">
        <v>0</v>
      </c>
      <c r="H228" s="22">
        <v>13.68</v>
      </c>
      <c r="I228" s="22">
        <v>0.05</v>
      </c>
      <c r="J228" s="22">
        <v>27.4</v>
      </c>
      <c r="K228" s="22">
        <v>0</v>
      </c>
      <c r="L228" s="22">
        <v>0</v>
      </c>
      <c r="M228" s="388">
        <v>720.36999999999989</v>
      </c>
      <c r="N228" s="25">
        <v>0.4466</v>
      </c>
      <c r="O228" s="24">
        <v>497</v>
      </c>
      <c r="P228" s="24">
        <v>6</v>
      </c>
      <c r="Q228" s="24">
        <v>5.75</v>
      </c>
      <c r="R228" s="22">
        <v>0.25</v>
      </c>
      <c r="S228" s="24">
        <v>4.75</v>
      </c>
      <c r="T228" s="24">
        <f t="shared" si="13"/>
        <v>10.75</v>
      </c>
      <c r="U228" s="376">
        <v>321.72000000000003</v>
      </c>
      <c r="V228" s="376">
        <v>0</v>
      </c>
      <c r="W228" s="22">
        <f t="shared" si="14"/>
        <v>143.68015200000002</v>
      </c>
      <c r="X228" s="22">
        <f t="shared" si="15"/>
        <v>78.75</v>
      </c>
      <c r="Y228" s="22">
        <v>45.75</v>
      </c>
      <c r="Z228" s="22">
        <v>33</v>
      </c>
      <c r="AA228" s="371">
        <v>720.37</v>
      </c>
      <c r="AB228" s="22">
        <v>0.10931882227188806</v>
      </c>
      <c r="AC228" s="24">
        <v>0</v>
      </c>
      <c r="AD228" s="384">
        <v>0</v>
      </c>
    </row>
    <row r="229" spans="1:30">
      <c r="A229" s="21" t="s">
        <v>195</v>
      </c>
      <c r="B229" s="21" t="s">
        <v>196</v>
      </c>
      <c r="C229" s="23">
        <v>4501.8599999999997</v>
      </c>
      <c r="D229" s="147">
        <v>190.06</v>
      </c>
      <c r="E229" s="22">
        <v>1252.92</v>
      </c>
      <c r="F229" s="22">
        <v>1442.98</v>
      </c>
      <c r="G229" s="22">
        <v>0</v>
      </c>
      <c r="H229" s="22">
        <v>413.14</v>
      </c>
      <c r="I229" s="22">
        <v>39.92</v>
      </c>
      <c r="J229" s="22">
        <v>540.91000000000008</v>
      </c>
      <c r="K229" s="22">
        <v>12.99</v>
      </c>
      <c r="L229" s="22">
        <v>0</v>
      </c>
      <c r="M229" s="388">
        <v>14798.939999999999</v>
      </c>
      <c r="N229" s="25">
        <v>0.53410000000000002</v>
      </c>
      <c r="O229" s="24">
        <v>497</v>
      </c>
      <c r="P229" s="24">
        <v>3034</v>
      </c>
      <c r="Q229" s="24">
        <v>2059.25</v>
      </c>
      <c r="R229" s="22">
        <v>974.75</v>
      </c>
      <c r="S229" s="24">
        <v>459</v>
      </c>
      <c r="T229" s="24">
        <f t="shared" si="13"/>
        <v>3493</v>
      </c>
      <c r="U229" s="376">
        <v>7904.11</v>
      </c>
      <c r="V229" s="376">
        <v>739.95</v>
      </c>
      <c r="W229" s="22">
        <f t="shared" si="14"/>
        <v>4221.5851510000002</v>
      </c>
      <c r="X229" s="22">
        <f t="shared" si="15"/>
        <v>1961.75</v>
      </c>
      <c r="Y229" s="22">
        <v>1012.75</v>
      </c>
      <c r="Z229" s="22">
        <v>949</v>
      </c>
      <c r="AA229" s="371">
        <v>14860.81</v>
      </c>
      <c r="AB229" s="22">
        <v>0.13200828218650262</v>
      </c>
      <c r="AC229" s="24">
        <v>0</v>
      </c>
      <c r="AD229" s="384">
        <v>0</v>
      </c>
    </row>
    <row r="230" spans="1:30">
      <c r="A230" s="21" t="s">
        <v>109</v>
      </c>
      <c r="B230" s="21" t="s">
        <v>110</v>
      </c>
      <c r="C230" s="23">
        <v>81.400000000000006</v>
      </c>
      <c r="D230" s="147">
        <v>0</v>
      </c>
      <c r="E230" s="22">
        <v>12.1</v>
      </c>
      <c r="F230" s="22">
        <v>12.1</v>
      </c>
      <c r="G230" s="22">
        <v>0</v>
      </c>
      <c r="H230" s="22">
        <v>9.91</v>
      </c>
      <c r="I230" s="22">
        <v>0.7</v>
      </c>
      <c r="J230" s="22">
        <v>59.230000000000004</v>
      </c>
      <c r="K230" s="22">
        <v>0</v>
      </c>
      <c r="L230" s="22">
        <v>0</v>
      </c>
      <c r="M230" s="388">
        <v>364.34000000000003</v>
      </c>
      <c r="N230" s="25">
        <v>0.71550000000000002</v>
      </c>
      <c r="O230" s="24">
        <v>576</v>
      </c>
      <c r="P230" s="24">
        <v>0</v>
      </c>
      <c r="Q230" s="24">
        <v>0</v>
      </c>
      <c r="R230" s="22">
        <v>0</v>
      </c>
      <c r="S230" s="24">
        <v>0</v>
      </c>
      <c r="T230" s="24">
        <f t="shared" si="13"/>
        <v>0</v>
      </c>
      <c r="U230" s="376">
        <v>260.69</v>
      </c>
      <c r="V230" s="376">
        <v>18.22</v>
      </c>
      <c r="W230" s="22">
        <f t="shared" si="14"/>
        <v>186.523695</v>
      </c>
      <c r="X230" s="22">
        <f t="shared" si="15"/>
        <v>60.25</v>
      </c>
      <c r="Y230" s="22">
        <v>48.25</v>
      </c>
      <c r="Z230" s="22">
        <v>12</v>
      </c>
      <c r="AA230" s="371">
        <v>364.34</v>
      </c>
      <c r="AB230" s="22">
        <v>0.1653675138606796</v>
      </c>
      <c r="AC230" s="24">
        <v>3.0367513860679596E-2</v>
      </c>
      <c r="AD230" s="384">
        <v>-97601.465647600096</v>
      </c>
    </row>
    <row r="231" spans="1:30">
      <c r="A231" s="21" t="s">
        <v>27</v>
      </c>
      <c r="B231" s="21" t="s">
        <v>28</v>
      </c>
      <c r="C231" s="23">
        <v>3460.81</v>
      </c>
      <c r="D231" s="147">
        <v>76.97</v>
      </c>
      <c r="E231" s="22">
        <v>667.34</v>
      </c>
      <c r="F231" s="22">
        <v>744.31000000000006</v>
      </c>
      <c r="G231" s="22">
        <v>0</v>
      </c>
      <c r="H231" s="22">
        <v>184.6</v>
      </c>
      <c r="I231" s="22">
        <v>19.96</v>
      </c>
      <c r="J231" s="22">
        <v>1146.56</v>
      </c>
      <c r="K231" s="22">
        <v>51.29</v>
      </c>
      <c r="L231" s="22">
        <v>0</v>
      </c>
      <c r="M231" s="388">
        <v>13424.679999999998</v>
      </c>
      <c r="N231" s="25">
        <v>0.38919999999999999</v>
      </c>
      <c r="O231" s="24">
        <v>0</v>
      </c>
      <c r="P231" s="24">
        <v>791.5</v>
      </c>
      <c r="Q231" s="24">
        <v>491.5</v>
      </c>
      <c r="R231" s="22">
        <v>300</v>
      </c>
      <c r="S231" s="24">
        <v>126.5</v>
      </c>
      <c r="T231" s="24">
        <f t="shared" si="13"/>
        <v>918</v>
      </c>
      <c r="U231" s="376">
        <v>5224.8900000000003</v>
      </c>
      <c r="V231" s="376">
        <v>671.23</v>
      </c>
      <c r="W231" s="22">
        <f t="shared" si="14"/>
        <v>2033.527188</v>
      </c>
      <c r="X231" s="22">
        <f t="shared" si="15"/>
        <v>1602.75</v>
      </c>
      <c r="Y231" s="22">
        <v>991.75</v>
      </c>
      <c r="Z231" s="22">
        <v>611</v>
      </c>
      <c r="AA231" s="371">
        <v>13504.03</v>
      </c>
      <c r="AB231" s="22">
        <v>0.11868679201690162</v>
      </c>
      <c r="AC231" s="24">
        <v>0</v>
      </c>
      <c r="AD231" s="384">
        <v>0</v>
      </c>
    </row>
    <row r="232" spans="1:30">
      <c r="A232" s="21" t="s">
        <v>71</v>
      </c>
      <c r="B232" s="21" t="s">
        <v>72</v>
      </c>
      <c r="C232" s="23">
        <v>1088.92</v>
      </c>
      <c r="D232" s="147">
        <v>68.81</v>
      </c>
      <c r="E232" s="22">
        <v>197.23</v>
      </c>
      <c r="F232" s="22">
        <v>266.03999999999996</v>
      </c>
      <c r="G232" s="22">
        <v>0</v>
      </c>
      <c r="H232" s="22">
        <v>48.4</v>
      </c>
      <c r="I232" s="22">
        <v>0.25</v>
      </c>
      <c r="J232" s="22">
        <v>155.03</v>
      </c>
      <c r="K232" s="22">
        <v>3.4</v>
      </c>
      <c r="L232" s="22">
        <v>0</v>
      </c>
      <c r="M232" s="388">
        <v>3724.7400000000002</v>
      </c>
      <c r="N232" s="25">
        <v>0.23899999999999999</v>
      </c>
      <c r="O232" s="24">
        <v>0</v>
      </c>
      <c r="P232" s="24">
        <v>115.25</v>
      </c>
      <c r="Q232" s="24">
        <v>85.5</v>
      </c>
      <c r="R232" s="22">
        <v>29.75</v>
      </c>
      <c r="S232" s="24">
        <v>27.25</v>
      </c>
      <c r="T232" s="24">
        <f t="shared" si="13"/>
        <v>142.5</v>
      </c>
      <c r="U232" s="376">
        <v>890.21</v>
      </c>
      <c r="V232" s="376">
        <v>186.24</v>
      </c>
      <c r="W232" s="22">
        <f t="shared" si="14"/>
        <v>212.76018999999999</v>
      </c>
      <c r="X232" s="22">
        <f t="shared" si="15"/>
        <v>394.25</v>
      </c>
      <c r="Y232" s="22">
        <v>291.25</v>
      </c>
      <c r="Z232" s="22">
        <v>103</v>
      </c>
      <c r="AA232" s="371">
        <v>3755.83</v>
      </c>
      <c r="AB232" s="22">
        <v>0.10497013975605925</v>
      </c>
      <c r="AC232" s="24">
        <v>0</v>
      </c>
      <c r="AD232" s="384">
        <v>0</v>
      </c>
    </row>
    <row r="233" spans="1:30">
      <c r="A233" s="21" t="s">
        <v>11</v>
      </c>
      <c r="B233" s="21" t="s">
        <v>12</v>
      </c>
      <c r="C233" s="23">
        <v>95.9</v>
      </c>
      <c r="D233" s="147">
        <v>9.07</v>
      </c>
      <c r="E233" s="22">
        <v>21.78</v>
      </c>
      <c r="F233" s="22">
        <v>30.85</v>
      </c>
      <c r="G233" s="22">
        <v>0</v>
      </c>
      <c r="H233" s="22">
        <v>1.7</v>
      </c>
      <c r="I233" s="22">
        <v>0</v>
      </c>
      <c r="J233" s="22">
        <v>30.200000000000003</v>
      </c>
      <c r="K233" s="22">
        <v>0</v>
      </c>
      <c r="L233" s="22">
        <v>0</v>
      </c>
      <c r="M233" s="388">
        <v>356.94</v>
      </c>
      <c r="N233" s="25">
        <v>0.45860000000000001</v>
      </c>
      <c r="O233" s="24">
        <v>0</v>
      </c>
      <c r="P233" s="24">
        <v>0</v>
      </c>
      <c r="Q233" s="24">
        <v>0</v>
      </c>
      <c r="R233" s="22">
        <v>0</v>
      </c>
      <c r="S233" s="24">
        <v>0</v>
      </c>
      <c r="T233" s="24">
        <f t="shared" si="13"/>
        <v>0</v>
      </c>
      <c r="U233" s="376">
        <v>163.69</v>
      </c>
      <c r="V233" s="376">
        <v>0</v>
      </c>
      <c r="W233" s="22">
        <f t="shared" si="14"/>
        <v>75.068234000000004</v>
      </c>
      <c r="X233" s="22">
        <f t="shared" si="15"/>
        <v>29.5</v>
      </c>
      <c r="Y233" s="22">
        <v>23.75</v>
      </c>
      <c r="Z233" s="22">
        <v>5.75</v>
      </c>
      <c r="AA233" s="371">
        <v>356.94</v>
      </c>
      <c r="AB233" s="22">
        <v>8.2646943463887484E-2</v>
      </c>
      <c r="AC233" s="24">
        <v>0</v>
      </c>
      <c r="AD233" s="384">
        <v>0</v>
      </c>
    </row>
    <row r="234" spans="1:30">
      <c r="A234" s="21" t="s">
        <v>477</v>
      </c>
      <c r="B234" s="21" t="s">
        <v>478</v>
      </c>
      <c r="C234" s="23">
        <v>374.77</v>
      </c>
      <c r="D234" s="147">
        <v>54.07</v>
      </c>
      <c r="E234" s="22">
        <v>115.25</v>
      </c>
      <c r="F234" s="22">
        <v>169.32</v>
      </c>
      <c r="G234" s="22">
        <v>0</v>
      </c>
      <c r="H234" s="22">
        <v>18.899999999999999</v>
      </c>
      <c r="I234" s="22">
        <v>3.9</v>
      </c>
      <c r="J234" s="22">
        <v>142.76</v>
      </c>
      <c r="K234" s="22">
        <v>4.8</v>
      </c>
      <c r="L234" s="22">
        <v>0</v>
      </c>
      <c r="M234" s="388">
        <v>1440.6000000000001</v>
      </c>
      <c r="N234" s="25">
        <v>0.50660000000000005</v>
      </c>
      <c r="O234" s="24">
        <v>497</v>
      </c>
      <c r="P234" s="24">
        <v>18.75</v>
      </c>
      <c r="Q234" s="24">
        <v>16.25</v>
      </c>
      <c r="R234" s="22">
        <v>2.5</v>
      </c>
      <c r="S234" s="24">
        <v>0.75</v>
      </c>
      <c r="T234" s="24">
        <f t="shared" si="13"/>
        <v>19.5</v>
      </c>
      <c r="U234" s="376">
        <v>729.81</v>
      </c>
      <c r="V234" s="376">
        <v>72.03</v>
      </c>
      <c r="W234" s="22">
        <f t="shared" si="14"/>
        <v>369.721746</v>
      </c>
      <c r="X234" s="22">
        <f t="shared" si="15"/>
        <v>192.25</v>
      </c>
      <c r="Y234" s="22">
        <v>134</v>
      </c>
      <c r="Z234" s="22">
        <v>58.25</v>
      </c>
      <c r="AA234" s="371">
        <v>1453.6</v>
      </c>
      <c r="AB234" s="22">
        <v>0.1322578425976885</v>
      </c>
      <c r="AC234" s="24">
        <v>0</v>
      </c>
      <c r="AD234" s="384">
        <v>0</v>
      </c>
    </row>
    <row r="235" spans="1:30">
      <c r="A235" s="21" t="s">
        <v>203</v>
      </c>
      <c r="B235" s="21" t="s">
        <v>204</v>
      </c>
      <c r="C235" s="23">
        <v>836.47</v>
      </c>
      <c r="D235" s="147">
        <v>31.78</v>
      </c>
      <c r="E235" s="22">
        <v>158.94</v>
      </c>
      <c r="F235" s="22">
        <v>190.72</v>
      </c>
      <c r="G235" s="22">
        <v>0</v>
      </c>
      <c r="H235" s="22">
        <v>71.19</v>
      </c>
      <c r="I235" s="22">
        <v>5.53</v>
      </c>
      <c r="J235" s="22">
        <v>189.19</v>
      </c>
      <c r="K235" s="22">
        <v>0</v>
      </c>
      <c r="L235" s="22">
        <v>0</v>
      </c>
      <c r="M235" s="388">
        <v>3012.01</v>
      </c>
      <c r="N235" s="25">
        <v>0.1303</v>
      </c>
      <c r="O235" s="24">
        <v>497</v>
      </c>
      <c r="P235" s="24">
        <v>193.75</v>
      </c>
      <c r="Q235" s="24">
        <v>144</v>
      </c>
      <c r="R235" s="22">
        <v>49.75</v>
      </c>
      <c r="S235" s="24">
        <v>48.25</v>
      </c>
      <c r="T235" s="24">
        <f t="shared" si="13"/>
        <v>242</v>
      </c>
      <c r="U235" s="376">
        <v>392.46</v>
      </c>
      <c r="V235" s="376">
        <v>150.6</v>
      </c>
      <c r="W235" s="22">
        <f t="shared" si="14"/>
        <v>51.137537999999999</v>
      </c>
      <c r="X235" s="22">
        <f t="shared" si="15"/>
        <v>313.5</v>
      </c>
      <c r="Y235" s="22">
        <v>238</v>
      </c>
      <c r="Z235" s="22">
        <v>75.5</v>
      </c>
      <c r="AA235" s="371">
        <v>3036.45</v>
      </c>
      <c r="AB235" s="22">
        <v>0.10324556636862126</v>
      </c>
      <c r="AC235" s="24">
        <v>0</v>
      </c>
      <c r="AD235" s="384">
        <v>0</v>
      </c>
    </row>
    <row r="236" spans="1:30">
      <c r="A236" s="21" t="s">
        <v>519</v>
      </c>
      <c r="B236" s="21" t="s">
        <v>520</v>
      </c>
      <c r="C236" s="23">
        <v>653.63</v>
      </c>
      <c r="D236" s="147">
        <v>0</v>
      </c>
      <c r="E236" s="22">
        <v>109.39</v>
      </c>
      <c r="F236" s="22">
        <v>109.39</v>
      </c>
      <c r="G236" s="22">
        <v>0</v>
      </c>
      <c r="H236" s="22">
        <v>55.12</v>
      </c>
      <c r="I236" s="22">
        <v>5.73</v>
      </c>
      <c r="J236" s="22">
        <v>29</v>
      </c>
      <c r="K236" s="22">
        <v>8.6</v>
      </c>
      <c r="L236" s="22">
        <v>0</v>
      </c>
      <c r="M236" s="388">
        <v>2084.5599999999995</v>
      </c>
      <c r="N236" s="25">
        <v>0.51419999999999999</v>
      </c>
      <c r="O236" s="24">
        <v>497</v>
      </c>
      <c r="P236" s="24">
        <v>203</v>
      </c>
      <c r="Q236" s="24">
        <v>140.5</v>
      </c>
      <c r="R236" s="22">
        <v>62.5</v>
      </c>
      <c r="S236" s="24">
        <v>22.5</v>
      </c>
      <c r="T236" s="24">
        <f t="shared" si="13"/>
        <v>225.5</v>
      </c>
      <c r="U236" s="376">
        <v>1071.8800000000001</v>
      </c>
      <c r="V236" s="376">
        <v>104.23</v>
      </c>
      <c r="W236" s="22">
        <f t="shared" si="14"/>
        <v>551.16069600000003</v>
      </c>
      <c r="X236" s="22">
        <f t="shared" si="15"/>
        <v>272.5</v>
      </c>
      <c r="Y236" s="22">
        <v>176.5</v>
      </c>
      <c r="Z236" s="22">
        <v>96</v>
      </c>
      <c r="AA236" s="371">
        <v>2099.4699999999998</v>
      </c>
      <c r="AB236" s="22">
        <v>0.12979466246243102</v>
      </c>
      <c r="AC236" s="24">
        <v>0</v>
      </c>
      <c r="AD236" s="384">
        <v>0</v>
      </c>
    </row>
    <row r="237" spans="1:30">
      <c r="A237" s="21" t="s">
        <v>263</v>
      </c>
      <c r="B237" s="21" t="s">
        <v>264</v>
      </c>
      <c r="C237" s="23">
        <v>16</v>
      </c>
      <c r="D237" s="147">
        <v>0</v>
      </c>
      <c r="E237" s="22">
        <v>0</v>
      </c>
      <c r="F237" s="22">
        <v>0</v>
      </c>
      <c r="G237" s="22">
        <v>0</v>
      </c>
      <c r="H237" s="22">
        <v>0</v>
      </c>
      <c r="I237" s="22">
        <v>0</v>
      </c>
      <c r="J237" s="22">
        <v>0</v>
      </c>
      <c r="K237" s="22">
        <v>0</v>
      </c>
      <c r="L237" s="22">
        <v>0</v>
      </c>
      <c r="M237" s="388">
        <v>34.4</v>
      </c>
      <c r="N237" s="25">
        <v>0</v>
      </c>
      <c r="O237" s="24">
        <v>497</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-5504.2515286147891</v>
      </c>
    </row>
    <row r="238" spans="1:30">
      <c r="A238" s="21" t="s">
        <v>575</v>
      </c>
      <c r="B238" s="21" t="s">
        <v>576</v>
      </c>
      <c r="C238" s="23">
        <v>46.6</v>
      </c>
      <c r="D238" s="147">
        <v>2.35</v>
      </c>
      <c r="E238" s="22">
        <v>5.3</v>
      </c>
      <c r="F238" s="22">
        <v>7.65</v>
      </c>
      <c r="G238" s="22">
        <v>0</v>
      </c>
      <c r="H238" s="22">
        <v>3.85</v>
      </c>
      <c r="I238" s="22">
        <v>0</v>
      </c>
      <c r="J238" s="22">
        <v>0</v>
      </c>
      <c r="K238" s="22">
        <v>0</v>
      </c>
      <c r="L238" s="22">
        <v>0</v>
      </c>
      <c r="M238" s="388">
        <v>153.38</v>
      </c>
      <c r="N238" s="25">
        <v>0.63690000000000002</v>
      </c>
      <c r="O238" s="24">
        <v>497</v>
      </c>
      <c r="P238" s="24">
        <v>0</v>
      </c>
      <c r="Q238" s="24">
        <v>0</v>
      </c>
      <c r="R238" s="22">
        <v>0</v>
      </c>
      <c r="S238" s="24">
        <v>0</v>
      </c>
      <c r="T238" s="24">
        <f t="shared" si="13"/>
        <v>0</v>
      </c>
      <c r="U238" s="376">
        <v>97.69</v>
      </c>
      <c r="V238" s="376">
        <v>0</v>
      </c>
      <c r="W238" s="22">
        <f t="shared" si="14"/>
        <v>62.218761000000001</v>
      </c>
      <c r="X238" s="22">
        <f t="shared" si="15"/>
        <v>18.25</v>
      </c>
      <c r="Y238" s="22">
        <v>14</v>
      </c>
      <c r="Z238" s="22">
        <v>4.25</v>
      </c>
      <c r="AA238" s="371">
        <v>153.38</v>
      </c>
      <c r="AB238" s="22">
        <v>0.11898552614421698</v>
      </c>
      <c r="AC238" s="24">
        <v>0</v>
      </c>
      <c r="AD238" s="384">
        <v>0</v>
      </c>
    </row>
    <row r="239" spans="1:30">
      <c r="A239" s="21" t="s">
        <v>131</v>
      </c>
      <c r="B239" s="21" t="s">
        <v>132</v>
      </c>
      <c r="C239" s="23">
        <v>496.8</v>
      </c>
      <c r="D239" s="147">
        <v>29.34</v>
      </c>
      <c r="E239" s="22">
        <v>89.68</v>
      </c>
      <c r="F239" s="22">
        <v>119.02000000000001</v>
      </c>
      <c r="G239" s="22">
        <v>0</v>
      </c>
      <c r="H239" s="22">
        <v>41.75</v>
      </c>
      <c r="I239" s="22">
        <v>1.98</v>
      </c>
      <c r="J239" s="22">
        <v>0</v>
      </c>
      <c r="K239" s="22">
        <v>6.6</v>
      </c>
      <c r="L239" s="22">
        <v>0</v>
      </c>
      <c r="M239" s="388">
        <v>1756.8799999999999</v>
      </c>
      <c r="N239" s="25">
        <v>0.78449999999999998</v>
      </c>
      <c r="O239" s="24">
        <v>576</v>
      </c>
      <c r="P239" s="24">
        <v>749.75</v>
      </c>
      <c r="Q239" s="24">
        <v>458.25</v>
      </c>
      <c r="R239" s="22">
        <v>291.5</v>
      </c>
      <c r="S239" s="24">
        <v>135</v>
      </c>
      <c r="T239" s="24">
        <f t="shared" si="13"/>
        <v>884.75</v>
      </c>
      <c r="U239" s="376">
        <v>1378.27</v>
      </c>
      <c r="V239" s="376">
        <v>87.84</v>
      </c>
      <c r="W239" s="22">
        <f t="shared" si="14"/>
        <v>1081.2528150000001</v>
      </c>
      <c r="X239" s="22">
        <f t="shared" si="15"/>
        <v>238.25</v>
      </c>
      <c r="Y239" s="22">
        <v>142.75</v>
      </c>
      <c r="Z239" s="22">
        <v>95.5</v>
      </c>
      <c r="AA239" s="371">
        <v>1767.14</v>
      </c>
      <c r="AB239" s="22">
        <v>0.13482236834659392</v>
      </c>
      <c r="AC239" s="24">
        <v>0</v>
      </c>
      <c r="AD239" s="384">
        <v>0</v>
      </c>
    </row>
    <row r="240" spans="1:30">
      <c r="A240" s="21" t="s">
        <v>399</v>
      </c>
      <c r="B240" s="21" t="s">
        <v>400</v>
      </c>
      <c r="C240" s="23">
        <v>198.74</v>
      </c>
      <c r="D240" s="147">
        <v>0</v>
      </c>
      <c r="E240" s="22">
        <v>23.73</v>
      </c>
      <c r="F240" s="22">
        <v>23.73</v>
      </c>
      <c r="G240" s="22">
        <v>0</v>
      </c>
      <c r="H240" s="22">
        <v>6.44</v>
      </c>
      <c r="I240" s="22">
        <v>0.62</v>
      </c>
      <c r="J240" s="22">
        <v>37.19</v>
      </c>
      <c r="K240" s="22">
        <v>4.5999999999999996</v>
      </c>
      <c r="L240" s="22">
        <v>0</v>
      </c>
      <c r="M240" s="388">
        <v>777.83</v>
      </c>
      <c r="N240" s="25">
        <v>0.4</v>
      </c>
      <c r="O240" s="24">
        <v>497</v>
      </c>
      <c r="P240" s="24">
        <v>48.5</v>
      </c>
      <c r="Q240" s="24">
        <v>30.5</v>
      </c>
      <c r="R240" s="22">
        <v>18</v>
      </c>
      <c r="S240" s="24">
        <v>12.5</v>
      </c>
      <c r="T240" s="24">
        <f t="shared" si="13"/>
        <v>61</v>
      </c>
      <c r="U240" s="376">
        <v>311.13</v>
      </c>
      <c r="V240" s="376">
        <v>38.89</v>
      </c>
      <c r="W240" s="22">
        <f t="shared" si="14"/>
        <v>124.452</v>
      </c>
      <c r="X240" s="22">
        <f t="shared" si="15"/>
        <v>137.25</v>
      </c>
      <c r="Y240" s="22">
        <v>118</v>
      </c>
      <c r="Z240" s="22">
        <v>19.25</v>
      </c>
      <c r="AA240" s="371">
        <v>777.82</v>
      </c>
      <c r="AB240" s="22">
        <v>0.17645470674449101</v>
      </c>
      <c r="AC240" s="24">
        <v>4.1454706744491004E-2</v>
      </c>
      <c r="AD240" s="384">
        <v>-304927.4150999416</v>
      </c>
    </row>
    <row r="241" spans="1:30">
      <c r="A241" s="21" t="s">
        <v>159</v>
      </c>
      <c r="B241" s="21" t="s">
        <v>160</v>
      </c>
      <c r="C241" s="23">
        <v>30</v>
      </c>
      <c r="D241" s="147">
        <v>0</v>
      </c>
      <c r="E241" s="22">
        <v>0</v>
      </c>
      <c r="F241" s="22">
        <v>0</v>
      </c>
      <c r="G241" s="22">
        <v>0</v>
      </c>
      <c r="H241" s="22">
        <v>0</v>
      </c>
      <c r="I241" s="22">
        <v>0</v>
      </c>
      <c r="J241" s="22">
        <v>0</v>
      </c>
      <c r="K241" s="22">
        <v>0</v>
      </c>
      <c r="L241" s="22">
        <v>0</v>
      </c>
      <c r="M241" s="388">
        <v>54</v>
      </c>
      <c r="N241" s="25">
        <v>0.62960000000000005</v>
      </c>
      <c r="O241" s="24">
        <v>576</v>
      </c>
      <c r="P241" s="24">
        <v>0</v>
      </c>
      <c r="Q241" s="24">
        <v>0</v>
      </c>
      <c r="R241" s="22">
        <v>0</v>
      </c>
      <c r="S241" s="24">
        <v>0</v>
      </c>
      <c r="T241" s="24">
        <f t="shared" si="13"/>
        <v>0</v>
      </c>
      <c r="U241" s="376">
        <v>34</v>
      </c>
      <c r="V241" s="376">
        <v>0</v>
      </c>
      <c r="W241" s="22">
        <f t="shared" si="14"/>
        <v>21.406400000000001</v>
      </c>
      <c r="X241" s="22">
        <f t="shared" si="15"/>
        <v>9.5</v>
      </c>
      <c r="Y241" s="22">
        <v>9.5</v>
      </c>
      <c r="Z241" s="22">
        <v>0</v>
      </c>
      <c r="AA241" s="371">
        <v>54</v>
      </c>
      <c r="AB241" s="22">
        <v>0.17592592592592593</v>
      </c>
      <c r="AC241" s="24">
        <v>4.0925925925925921E-2</v>
      </c>
      <c r="AD241" s="384">
        <v>-20649.444443723645</v>
      </c>
    </row>
    <row r="242" spans="1:30">
      <c r="A242" s="21" t="s">
        <v>183</v>
      </c>
      <c r="B242" s="21" t="s">
        <v>184</v>
      </c>
      <c r="C242" s="23">
        <v>15820.4</v>
      </c>
      <c r="D242" s="147">
        <v>172.69</v>
      </c>
      <c r="E242" s="22">
        <v>1541.82</v>
      </c>
      <c r="F242" s="22">
        <v>1714.51</v>
      </c>
      <c r="G242" s="22">
        <v>102.69</v>
      </c>
      <c r="H242" s="22">
        <v>889.52</v>
      </c>
      <c r="I242" s="22">
        <v>26.6</v>
      </c>
      <c r="J242" s="22">
        <v>695.67000000000007</v>
      </c>
      <c r="K242" s="22">
        <v>63.4</v>
      </c>
      <c r="L242" s="22">
        <v>0</v>
      </c>
      <c r="M242" s="388">
        <v>50572.71</v>
      </c>
      <c r="N242" s="25">
        <v>0.40450000000000003</v>
      </c>
      <c r="O242" s="24">
        <v>497</v>
      </c>
      <c r="P242" s="24">
        <v>6642.5</v>
      </c>
      <c r="Q242" s="24">
        <v>4369.75</v>
      </c>
      <c r="R242" s="22">
        <v>2272.75</v>
      </c>
      <c r="S242" s="24">
        <v>729.5</v>
      </c>
      <c r="T242" s="24">
        <f t="shared" si="13"/>
        <v>7372</v>
      </c>
      <c r="U242" s="376">
        <v>20456.66</v>
      </c>
      <c r="V242" s="376">
        <v>0</v>
      </c>
      <c r="W242" s="22">
        <f t="shared" si="14"/>
        <v>8274.7189699999999</v>
      </c>
      <c r="X242" s="22">
        <f t="shared" si="15"/>
        <v>6762</v>
      </c>
      <c r="Y242" s="22">
        <v>4672.5</v>
      </c>
      <c r="Z242" s="22">
        <v>2089.5</v>
      </c>
      <c r="AA242" s="371">
        <v>50600.91</v>
      </c>
      <c r="AB242" s="22">
        <v>0.13363396033786742</v>
      </c>
      <c r="AC242" s="24">
        <v>0</v>
      </c>
      <c r="AD242" s="384">
        <v>0</v>
      </c>
    </row>
    <row r="243" spans="1:30">
      <c r="A243" s="21" t="s">
        <v>405</v>
      </c>
      <c r="B243" s="21" t="s">
        <v>406</v>
      </c>
      <c r="C243" s="23">
        <v>1216.73</v>
      </c>
      <c r="D243" s="147">
        <v>23.22</v>
      </c>
      <c r="E243" s="22">
        <v>304.77</v>
      </c>
      <c r="F243" s="22">
        <v>327.99</v>
      </c>
      <c r="G243" s="22">
        <v>0</v>
      </c>
      <c r="H243" s="22">
        <v>52.35</v>
      </c>
      <c r="I243" s="22">
        <v>4.5</v>
      </c>
      <c r="J243" s="22">
        <v>169.23000000000002</v>
      </c>
      <c r="K243" s="22">
        <v>29.6</v>
      </c>
      <c r="L243" s="22">
        <v>0</v>
      </c>
      <c r="M243" s="388">
        <v>4285.75</v>
      </c>
      <c r="N243" s="25">
        <v>0.51629999999999998</v>
      </c>
      <c r="O243" s="24">
        <v>497</v>
      </c>
      <c r="P243" s="24">
        <v>338.75</v>
      </c>
      <c r="Q243" s="24">
        <v>221</v>
      </c>
      <c r="R243" s="22">
        <v>117.75</v>
      </c>
      <c r="S243" s="24">
        <v>43.25</v>
      </c>
      <c r="T243" s="24">
        <f t="shared" si="13"/>
        <v>382</v>
      </c>
      <c r="U243" s="376">
        <v>2212.73</v>
      </c>
      <c r="V243" s="376">
        <v>214.29</v>
      </c>
      <c r="W243" s="22">
        <f t="shared" si="14"/>
        <v>1142.432499</v>
      </c>
      <c r="X243" s="22">
        <f t="shared" si="15"/>
        <v>749.25</v>
      </c>
      <c r="Y243" s="22">
        <v>521.5</v>
      </c>
      <c r="Z243" s="22">
        <v>227.75</v>
      </c>
      <c r="AA243" s="371">
        <v>4341.6899999999996</v>
      </c>
      <c r="AB243" s="22">
        <v>0.17257104952219068</v>
      </c>
      <c r="AC243" s="24">
        <v>3.7571049522190675E-2</v>
      </c>
      <c r="AD243" s="384">
        <v>-1549225.6523850614</v>
      </c>
    </row>
    <row r="244" spans="1:30">
      <c r="A244" s="21" t="s">
        <v>589</v>
      </c>
      <c r="B244" s="21" t="s">
        <v>590</v>
      </c>
      <c r="C244" s="23">
        <v>1046.23</v>
      </c>
      <c r="D244" s="147">
        <v>22.18</v>
      </c>
      <c r="E244" s="22">
        <v>371.88</v>
      </c>
      <c r="F244" s="22">
        <v>394.06</v>
      </c>
      <c r="G244" s="22">
        <v>0</v>
      </c>
      <c r="H244" s="22">
        <v>34.54</v>
      </c>
      <c r="I244" s="22">
        <v>2.69</v>
      </c>
      <c r="J244" s="22">
        <v>98.5</v>
      </c>
      <c r="K244" s="22">
        <v>11.8</v>
      </c>
      <c r="L244" s="22">
        <v>0</v>
      </c>
      <c r="M244" s="388">
        <v>3618.7400000000002</v>
      </c>
      <c r="N244" s="25">
        <v>0.55530000000000002</v>
      </c>
      <c r="O244" s="24">
        <v>523</v>
      </c>
      <c r="P244" s="24">
        <v>333.5</v>
      </c>
      <c r="Q244" s="24">
        <v>233.25</v>
      </c>
      <c r="R244" s="22">
        <v>100.25</v>
      </c>
      <c r="S244" s="24">
        <v>48</v>
      </c>
      <c r="T244" s="24">
        <f t="shared" si="13"/>
        <v>381.5</v>
      </c>
      <c r="U244" s="376">
        <v>2009.49</v>
      </c>
      <c r="V244" s="376">
        <v>180.94</v>
      </c>
      <c r="W244" s="22">
        <f t="shared" si="14"/>
        <v>1115.8697970000001</v>
      </c>
      <c r="X244" s="22">
        <f t="shared" si="15"/>
        <v>437.5</v>
      </c>
      <c r="Y244" s="22">
        <v>373.5</v>
      </c>
      <c r="Z244" s="22">
        <v>64</v>
      </c>
      <c r="AA244" s="371">
        <v>3654.15</v>
      </c>
      <c r="AB244" s="22">
        <v>0.11972688586949085</v>
      </c>
      <c r="AC244" s="24">
        <v>0</v>
      </c>
      <c r="AD244" s="384">
        <v>0</v>
      </c>
    </row>
    <row r="245" spans="1:30">
      <c r="A245" s="21" t="s">
        <v>359</v>
      </c>
      <c r="B245" s="21" t="s">
        <v>360</v>
      </c>
      <c r="C245" s="23">
        <v>76.25</v>
      </c>
      <c r="D245" s="147">
        <v>5.86</v>
      </c>
      <c r="E245" s="22">
        <v>12.2</v>
      </c>
      <c r="F245" s="22">
        <v>18.059999999999999</v>
      </c>
      <c r="G245" s="22">
        <v>0</v>
      </c>
      <c r="H245" s="22">
        <v>4.66</v>
      </c>
      <c r="I245" s="22">
        <v>0.2</v>
      </c>
      <c r="J245" s="22">
        <v>0</v>
      </c>
      <c r="K245" s="22">
        <v>0</v>
      </c>
      <c r="L245" s="22">
        <v>0</v>
      </c>
      <c r="M245" s="388">
        <v>234.57</v>
      </c>
      <c r="N245" s="25">
        <v>0.58299999999999996</v>
      </c>
      <c r="O245" s="24">
        <v>497</v>
      </c>
      <c r="P245" s="24">
        <v>0</v>
      </c>
      <c r="Q245" s="24">
        <v>0</v>
      </c>
      <c r="R245" s="22">
        <v>0</v>
      </c>
      <c r="S245" s="24">
        <v>0</v>
      </c>
      <c r="T245" s="24">
        <f t="shared" si="13"/>
        <v>0</v>
      </c>
      <c r="U245" s="376">
        <v>136.75</v>
      </c>
      <c r="V245" s="376">
        <v>0</v>
      </c>
      <c r="W245" s="22">
        <f t="shared" si="14"/>
        <v>79.725249999999988</v>
      </c>
      <c r="X245" s="22">
        <f t="shared" si="15"/>
        <v>44.25</v>
      </c>
      <c r="Y245" s="22">
        <v>28.75</v>
      </c>
      <c r="Z245" s="22">
        <v>15.5</v>
      </c>
      <c r="AA245" s="371">
        <v>234.57</v>
      </c>
      <c r="AB245" s="22">
        <v>0.18864304898324594</v>
      </c>
      <c r="AC245" s="24">
        <v>5.3643048983245928E-2</v>
      </c>
      <c r="AD245" s="384">
        <v>-110872.68802361521</v>
      </c>
    </row>
    <row r="246" spans="1:30">
      <c r="A246" s="21" t="s">
        <v>47</v>
      </c>
      <c r="B246" s="21" t="s">
        <v>48</v>
      </c>
      <c r="C246" s="23">
        <v>656.46</v>
      </c>
      <c r="D246" s="147">
        <v>11.93</v>
      </c>
      <c r="E246" s="22">
        <v>212.51</v>
      </c>
      <c r="F246" s="22">
        <v>224.44</v>
      </c>
      <c r="G246" s="22">
        <v>0</v>
      </c>
      <c r="H246" s="22">
        <v>56.32</v>
      </c>
      <c r="I246" s="22">
        <v>7.55</v>
      </c>
      <c r="J246" s="22">
        <v>219.85</v>
      </c>
      <c r="K246" s="22">
        <v>0</v>
      </c>
      <c r="L246" s="22">
        <v>0</v>
      </c>
      <c r="M246" s="388">
        <v>2549.2000000000003</v>
      </c>
      <c r="N246" s="25">
        <v>0.44409999999999999</v>
      </c>
      <c r="O246" s="24">
        <v>0</v>
      </c>
      <c r="P246" s="24">
        <v>47.5</v>
      </c>
      <c r="Q246" s="24">
        <v>34.75</v>
      </c>
      <c r="R246" s="22">
        <v>12.75</v>
      </c>
      <c r="S246" s="24">
        <v>12</v>
      </c>
      <c r="T246" s="24">
        <f t="shared" si="13"/>
        <v>59.5</v>
      </c>
      <c r="U246" s="376">
        <v>1132.0999999999999</v>
      </c>
      <c r="V246" s="376">
        <v>127.46</v>
      </c>
      <c r="W246" s="22">
        <f t="shared" si="14"/>
        <v>502.76560999999998</v>
      </c>
      <c r="X246" s="22">
        <f t="shared" si="15"/>
        <v>394.25</v>
      </c>
      <c r="Y246" s="22">
        <v>345.25</v>
      </c>
      <c r="Z246" s="22">
        <v>49</v>
      </c>
      <c r="AA246" s="371">
        <v>2549.21</v>
      </c>
      <c r="AB246" s="22">
        <v>0.1546557560969869</v>
      </c>
      <c r="AC246" s="24">
        <v>1.9655756096986887E-2</v>
      </c>
      <c r="AD246" s="384">
        <v>-455394.53533692221</v>
      </c>
    </row>
    <row r="247" spans="1:30">
      <c r="A247" s="21" t="s">
        <v>393</v>
      </c>
      <c r="B247" s="21" t="s">
        <v>394</v>
      </c>
      <c r="C247" s="23">
        <v>5.8</v>
      </c>
      <c r="D247" s="147">
        <v>0</v>
      </c>
      <c r="E247" s="22">
        <v>0</v>
      </c>
      <c r="F247" s="22">
        <v>0</v>
      </c>
      <c r="G247" s="22">
        <v>0</v>
      </c>
      <c r="H247" s="22">
        <v>0</v>
      </c>
      <c r="I247" s="22">
        <v>0</v>
      </c>
      <c r="J247" s="22">
        <v>0</v>
      </c>
      <c r="K247" s="22">
        <v>0</v>
      </c>
      <c r="L247" s="22">
        <v>0</v>
      </c>
      <c r="M247" s="388">
        <v>9.8000000000000007</v>
      </c>
      <c r="N247" s="25">
        <v>0</v>
      </c>
      <c r="O247" s="24">
        <v>497</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1090.6400000000001</v>
      </c>
      <c r="D248" s="147">
        <v>113.39</v>
      </c>
      <c r="E248" s="22">
        <v>674.94</v>
      </c>
      <c r="F248" s="22">
        <v>788.33</v>
      </c>
      <c r="G248" s="22">
        <v>0</v>
      </c>
      <c r="H248" s="22">
        <v>51.95</v>
      </c>
      <c r="I248" s="22">
        <v>4.6900000000000004</v>
      </c>
      <c r="J248" s="22">
        <v>151.6</v>
      </c>
      <c r="K248" s="22">
        <v>42</v>
      </c>
      <c r="L248" s="22">
        <v>0</v>
      </c>
      <c r="M248" s="388">
        <v>4278.8799999999992</v>
      </c>
      <c r="N248" s="25">
        <v>0.6734</v>
      </c>
      <c r="O248" s="24">
        <v>497</v>
      </c>
      <c r="P248" s="24">
        <v>909.25</v>
      </c>
      <c r="Q248" s="24">
        <v>594.25</v>
      </c>
      <c r="R248" s="22">
        <v>315</v>
      </c>
      <c r="S248" s="24">
        <v>46.75</v>
      </c>
      <c r="T248" s="24">
        <f t="shared" si="13"/>
        <v>956</v>
      </c>
      <c r="U248" s="376">
        <v>2881.4</v>
      </c>
      <c r="V248" s="376">
        <v>213.94</v>
      </c>
      <c r="W248" s="22">
        <f t="shared" si="14"/>
        <v>1940.33476</v>
      </c>
      <c r="X248" s="22">
        <f t="shared" si="15"/>
        <v>554.75</v>
      </c>
      <c r="Y248" s="22">
        <v>424.5</v>
      </c>
      <c r="Z248" s="22">
        <v>130.25</v>
      </c>
      <c r="AA248" s="371">
        <v>4294.49</v>
      </c>
      <c r="AB248" s="22">
        <v>0.1291771549124576</v>
      </c>
      <c r="AC248" s="24">
        <v>0</v>
      </c>
      <c r="AD248" s="384">
        <v>0</v>
      </c>
    </row>
    <row r="249" spans="1:30">
      <c r="A249" s="21" t="s">
        <v>213</v>
      </c>
      <c r="B249" s="21" t="s">
        <v>214</v>
      </c>
      <c r="C249" s="23">
        <v>2544.88</v>
      </c>
      <c r="D249" s="147">
        <v>34.69</v>
      </c>
      <c r="E249" s="22">
        <v>407.12</v>
      </c>
      <c r="F249" s="22">
        <v>441.81</v>
      </c>
      <c r="G249" s="22">
        <v>0</v>
      </c>
      <c r="H249" s="22">
        <v>193.24</v>
      </c>
      <c r="I249" s="22">
        <v>7.61</v>
      </c>
      <c r="J249" s="22">
        <v>113.21</v>
      </c>
      <c r="K249" s="22">
        <v>0</v>
      </c>
      <c r="L249" s="22">
        <v>0</v>
      </c>
      <c r="M249" s="388">
        <v>9090.7899999999991</v>
      </c>
      <c r="N249" s="25">
        <v>0.2676</v>
      </c>
      <c r="O249" s="24">
        <v>497</v>
      </c>
      <c r="P249" s="24">
        <v>838.5</v>
      </c>
      <c r="Q249" s="24">
        <v>599.5</v>
      </c>
      <c r="R249" s="22">
        <v>239</v>
      </c>
      <c r="S249" s="24">
        <v>201</v>
      </c>
      <c r="T249" s="24">
        <f t="shared" si="13"/>
        <v>1039.5</v>
      </c>
      <c r="U249" s="376">
        <v>2432.6999999999998</v>
      </c>
      <c r="V249" s="376">
        <v>454.54</v>
      </c>
      <c r="W249" s="22">
        <f t="shared" si="14"/>
        <v>650.99051999999995</v>
      </c>
      <c r="X249" s="22">
        <f t="shared" si="15"/>
        <v>1033.5</v>
      </c>
      <c r="Y249" s="22">
        <v>713</v>
      </c>
      <c r="Z249" s="22">
        <v>320.5</v>
      </c>
      <c r="AA249" s="371">
        <v>9103.58</v>
      </c>
      <c r="AB249" s="22">
        <v>0.11352676639300144</v>
      </c>
      <c r="AC249" s="24">
        <v>0</v>
      </c>
      <c r="AD249" s="384">
        <v>0</v>
      </c>
    </row>
    <row r="250" spans="1:30">
      <c r="A250" s="21" t="s">
        <v>415</v>
      </c>
      <c r="B250" s="21" t="s">
        <v>416</v>
      </c>
      <c r="C250" s="23">
        <v>39.799999999999997</v>
      </c>
      <c r="D250" s="147">
        <v>0</v>
      </c>
      <c r="E250" s="22">
        <v>0</v>
      </c>
      <c r="F250" s="22">
        <v>0</v>
      </c>
      <c r="G250" s="22">
        <v>0</v>
      </c>
      <c r="H250" s="22">
        <v>0</v>
      </c>
      <c r="I250" s="22">
        <v>0</v>
      </c>
      <c r="J250" s="22">
        <v>0</v>
      </c>
      <c r="K250" s="22">
        <v>0</v>
      </c>
      <c r="L250" s="22">
        <v>0</v>
      </c>
      <c r="M250" s="388">
        <v>65.199999999999989</v>
      </c>
      <c r="N250" s="25">
        <v>0.66269999999999996</v>
      </c>
      <c r="O250" s="24">
        <v>497</v>
      </c>
      <c r="P250" s="24">
        <v>0</v>
      </c>
      <c r="Q250" s="24">
        <v>0</v>
      </c>
      <c r="R250" s="22">
        <v>0</v>
      </c>
      <c r="S250" s="24">
        <v>0</v>
      </c>
      <c r="T250" s="24">
        <f t="shared" si="13"/>
        <v>0</v>
      </c>
      <c r="U250" s="376">
        <v>43.21</v>
      </c>
      <c r="V250" s="376">
        <v>0</v>
      </c>
      <c r="W250" s="22">
        <f t="shared" si="14"/>
        <v>28.635266999999999</v>
      </c>
      <c r="X250" s="22">
        <f t="shared" si="15"/>
        <v>9</v>
      </c>
      <c r="Y250" s="22">
        <v>9</v>
      </c>
      <c r="Z250" s="22">
        <v>0</v>
      </c>
      <c r="AA250" s="371">
        <v>65.2</v>
      </c>
      <c r="AB250" s="22">
        <v>0.1380368098159509</v>
      </c>
      <c r="AC250" s="24">
        <v>3.0368098159508916E-3</v>
      </c>
      <c r="AD250" s="384">
        <v>-1879.1655701715804</v>
      </c>
    </row>
    <row r="251" spans="1:30">
      <c r="A251" s="21" t="s">
        <v>197</v>
      </c>
      <c r="B251" s="21" t="s">
        <v>198</v>
      </c>
      <c r="C251" s="23">
        <v>9.6</v>
      </c>
      <c r="D251" s="147">
        <v>0</v>
      </c>
      <c r="E251" s="22">
        <v>0</v>
      </c>
      <c r="F251" s="22">
        <v>0</v>
      </c>
      <c r="G251" s="22">
        <v>0</v>
      </c>
      <c r="H251" s="22">
        <v>1</v>
      </c>
      <c r="I251" s="22">
        <v>0</v>
      </c>
      <c r="J251" s="22">
        <v>0</v>
      </c>
      <c r="K251" s="22">
        <v>0</v>
      </c>
      <c r="L251" s="22">
        <v>0</v>
      </c>
      <c r="M251" s="388">
        <v>36.19</v>
      </c>
      <c r="N251" s="25">
        <v>0.87760000000000005</v>
      </c>
      <c r="O251" s="24">
        <v>497</v>
      </c>
      <c r="P251" s="24">
        <v>1</v>
      </c>
      <c r="Q251" s="24">
        <v>1</v>
      </c>
      <c r="R251" s="22">
        <v>0</v>
      </c>
      <c r="S251" s="24">
        <v>0</v>
      </c>
      <c r="T251" s="24">
        <f t="shared" si="13"/>
        <v>1</v>
      </c>
      <c r="U251" s="376">
        <v>31.76</v>
      </c>
      <c r="V251" s="376">
        <v>0</v>
      </c>
      <c r="W251" s="22">
        <f t="shared" si="14"/>
        <v>27.872576000000002</v>
      </c>
      <c r="X251" s="22">
        <f t="shared" si="15"/>
        <v>12.5</v>
      </c>
      <c r="Y251" s="22">
        <v>12.5</v>
      </c>
      <c r="Z251" s="22">
        <v>0</v>
      </c>
      <c r="AA251" s="371">
        <v>36.19</v>
      </c>
      <c r="AB251" s="22">
        <v>0.34539928156949434</v>
      </c>
      <c r="AC251" s="24">
        <v>0.21039928156949433</v>
      </c>
      <c r="AD251" s="384">
        <v>-75105.338673735096</v>
      </c>
    </row>
    <row r="252" spans="1:30">
      <c r="A252" s="21" t="s">
        <v>439</v>
      </c>
      <c r="B252" s="21" t="s">
        <v>440</v>
      </c>
      <c r="C252" s="23">
        <v>2532.9</v>
      </c>
      <c r="D252" s="147">
        <v>126.33</v>
      </c>
      <c r="E252" s="22">
        <v>411.38</v>
      </c>
      <c r="F252" s="22">
        <v>537.71</v>
      </c>
      <c r="G252" s="22">
        <v>0</v>
      </c>
      <c r="H252" s="22">
        <v>187.71</v>
      </c>
      <c r="I252" s="22">
        <v>13.25</v>
      </c>
      <c r="J252" s="22">
        <v>212.76</v>
      </c>
      <c r="K252" s="22">
        <v>0</v>
      </c>
      <c r="L252" s="22">
        <v>0</v>
      </c>
      <c r="M252" s="388">
        <v>9255.779999999997</v>
      </c>
      <c r="N252" s="25">
        <v>0.1933</v>
      </c>
      <c r="O252" s="24">
        <v>497</v>
      </c>
      <c r="P252" s="24">
        <v>363.75</v>
      </c>
      <c r="Q252" s="24">
        <v>260.75</v>
      </c>
      <c r="R252" s="22">
        <v>103</v>
      </c>
      <c r="S252" s="24">
        <v>150.75</v>
      </c>
      <c r="T252" s="24">
        <f t="shared" si="13"/>
        <v>514.5</v>
      </c>
      <c r="U252" s="376">
        <v>1789.14</v>
      </c>
      <c r="V252" s="376">
        <v>462.79</v>
      </c>
      <c r="W252" s="22">
        <f t="shared" si="14"/>
        <v>345.84076200000004</v>
      </c>
      <c r="X252" s="22">
        <f t="shared" si="15"/>
        <v>1112.25</v>
      </c>
      <c r="Y252" s="22">
        <v>680.25</v>
      </c>
      <c r="Z252" s="22">
        <v>432</v>
      </c>
      <c r="AA252" s="371">
        <v>9338.4500000000007</v>
      </c>
      <c r="AB252" s="22">
        <v>0.11910434815199523</v>
      </c>
      <c r="AC252" s="24">
        <v>0</v>
      </c>
      <c r="AD252" s="384">
        <v>0</v>
      </c>
    </row>
    <row r="253" spans="1:30">
      <c r="A253" s="21" t="s">
        <v>209</v>
      </c>
      <c r="B253" s="21" t="s">
        <v>210</v>
      </c>
      <c r="C253" s="23">
        <v>2065.1</v>
      </c>
      <c r="D253" s="147">
        <v>71.22</v>
      </c>
      <c r="E253" s="22">
        <v>378.43</v>
      </c>
      <c r="F253" s="22">
        <v>449.65</v>
      </c>
      <c r="G253" s="22">
        <v>0</v>
      </c>
      <c r="H253" s="22">
        <v>208.36</v>
      </c>
      <c r="I253" s="22">
        <v>21.38</v>
      </c>
      <c r="J253" s="22">
        <v>250.78</v>
      </c>
      <c r="K253" s="22">
        <v>16.399999999999999</v>
      </c>
      <c r="L253" s="22">
        <v>0</v>
      </c>
      <c r="M253" s="388">
        <v>7096.079999999999</v>
      </c>
      <c r="N253" s="25">
        <v>0.106</v>
      </c>
      <c r="O253" s="24">
        <v>497</v>
      </c>
      <c r="P253" s="24">
        <v>255</v>
      </c>
      <c r="Q253" s="24">
        <v>185.75</v>
      </c>
      <c r="R253" s="22">
        <v>69.25</v>
      </c>
      <c r="S253" s="24">
        <v>99.5</v>
      </c>
      <c r="T253" s="24">
        <f t="shared" si="13"/>
        <v>354.5</v>
      </c>
      <c r="U253" s="376">
        <v>752.18</v>
      </c>
      <c r="V253" s="376">
        <v>354.8</v>
      </c>
      <c r="W253" s="22">
        <f t="shared" si="14"/>
        <v>79.731079999999992</v>
      </c>
      <c r="X253" s="22">
        <f t="shared" si="15"/>
        <v>660.25</v>
      </c>
      <c r="Y253" s="22">
        <v>424.5</v>
      </c>
      <c r="Z253" s="22">
        <v>235.75</v>
      </c>
      <c r="AA253" s="371">
        <v>7136.8</v>
      </c>
      <c r="AB253" s="22">
        <v>9.2513451406792957E-2</v>
      </c>
      <c r="AC253" s="24">
        <v>0</v>
      </c>
      <c r="AD253" s="384">
        <v>0</v>
      </c>
    </row>
    <row r="254" spans="1:30">
      <c r="A254" s="21" t="s">
        <v>129</v>
      </c>
      <c r="B254" s="21" t="s">
        <v>130</v>
      </c>
      <c r="C254" s="23">
        <v>159.49</v>
      </c>
      <c r="D254" s="147">
        <v>1.1399999999999999</v>
      </c>
      <c r="E254" s="22">
        <v>26.59</v>
      </c>
      <c r="F254" s="22">
        <v>27.73</v>
      </c>
      <c r="G254" s="22">
        <v>0</v>
      </c>
      <c r="H254" s="22">
        <v>18.27</v>
      </c>
      <c r="I254" s="22">
        <v>1.35</v>
      </c>
      <c r="J254" s="22">
        <v>25.42</v>
      </c>
      <c r="K254" s="22">
        <v>0</v>
      </c>
      <c r="L254" s="22">
        <v>0</v>
      </c>
      <c r="M254" s="388">
        <v>553.48</v>
      </c>
      <c r="N254" s="25">
        <v>0.79569999999999996</v>
      </c>
      <c r="O254" s="24">
        <v>576</v>
      </c>
      <c r="P254" s="24">
        <v>92.5</v>
      </c>
      <c r="Q254" s="24">
        <v>54.75</v>
      </c>
      <c r="R254" s="22">
        <v>37.75</v>
      </c>
      <c r="S254" s="24">
        <v>28</v>
      </c>
      <c r="T254" s="24">
        <f t="shared" si="13"/>
        <v>120.5</v>
      </c>
      <c r="U254" s="376">
        <v>440.4</v>
      </c>
      <c r="V254" s="376">
        <v>27.67</v>
      </c>
      <c r="W254" s="22">
        <f t="shared" si="14"/>
        <v>350.42627999999996</v>
      </c>
      <c r="X254" s="22">
        <f t="shared" si="15"/>
        <v>105</v>
      </c>
      <c r="Y254" s="22">
        <v>90</v>
      </c>
      <c r="Z254" s="22">
        <v>15</v>
      </c>
      <c r="AA254" s="371">
        <v>556.11</v>
      </c>
      <c r="AB254" s="22">
        <v>0.18881156605707503</v>
      </c>
      <c r="AC254" s="24">
        <v>5.3811566057075017E-2</v>
      </c>
      <c r="AD254" s="384">
        <v>-262719.61345625314</v>
      </c>
    </row>
    <row r="255" spans="1:30">
      <c r="A255" s="21" t="s">
        <v>347</v>
      </c>
      <c r="B255" s="21" t="s">
        <v>348</v>
      </c>
      <c r="C255" s="23">
        <v>161.9</v>
      </c>
      <c r="D255" s="147">
        <v>5.98</v>
      </c>
      <c r="E255" s="22">
        <v>36.42</v>
      </c>
      <c r="F255" s="22">
        <v>42.400000000000006</v>
      </c>
      <c r="G255" s="22">
        <v>0</v>
      </c>
      <c r="H255" s="22">
        <v>14.34</v>
      </c>
      <c r="I255" s="22">
        <v>0.17</v>
      </c>
      <c r="J255" s="22">
        <v>34.730000000000004</v>
      </c>
      <c r="K255" s="22">
        <v>0</v>
      </c>
      <c r="L255" s="22">
        <v>0</v>
      </c>
      <c r="M255" s="388">
        <v>551.57000000000005</v>
      </c>
      <c r="N255" s="25">
        <v>0.70269999999999999</v>
      </c>
      <c r="O255" s="24">
        <v>497</v>
      </c>
      <c r="P255" s="24">
        <v>87.25</v>
      </c>
      <c r="Q255" s="24">
        <v>51.5</v>
      </c>
      <c r="R255" s="22">
        <v>35.75</v>
      </c>
      <c r="S255" s="24">
        <v>9.25</v>
      </c>
      <c r="T255" s="24">
        <f t="shared" si="13"/>
        <v>96.5</v>
      </c>
      <c r="U255" s="376">
        <v>387.59</v>
      </c>
      <c r="V255" s="376">
        <v>0</v>
      </c>
      <c r="W255" s="22">
        <f t="shared" si="14"/>
        <v>272.35949299999999</v>
      </c>
      <c r="X255" s="22">
        <f t="shared" si="15"/>
        <v>75.25</v>
      </c>
      <c r="Y255" s="22">
        <v>26</v>
      </c>
      <c r="Z255" s="22">
        <v>49.25</v>
      </c>
      <c r="AA255" s="371">
        <v>552.07000000000005</v>
      </c>
      <c r="AB255" s="22">
        <v>0.136305178691108</v>
      </c>
      <c r="AC255" s="24">
        <v>1.3051786911079943E-3</v>
      </c>
      <c r="AD255" s="384">
        <v>-6294.3695551047549</v>
      </c>
    </row>
    <row r="256" spans="1:30">
      <c r="A256" s="21" t="s">
        <v>235</v>
      </c>
      <c r="B256" s="21" t="s">
        <v>236</v>
      </c>
      <c r="C256" s="23">
        <v>2668.21</v>
      </c>
      <c r="D256" s="147">
        <v>253.12</v>
      </c>
      <c r="E256" s="22">
        <v>627.89</v>
      </c>
      <c r="F256" s="22">
        <v>881.01</v>
      </c>
      <c r="G256" s="22">
        <v>0</v>
      </c>
      <c r="H256" s="22">
        <v>216.24</v>
      </c>
      <c r="I256" s="22">
        <v>9.8800000000000008</v>
      </c>
      <c r="J256" s="22">
        <v>1336.1599999999999</v>
      </c>
      <c r="K256" s="22">
        <v>0</v>
      </c>
      <c r="L256" s="22">
        <v>0</v>
      </c>
      <c r="M256" s="388">
        <v>9656.5999999999985</v>
      </c>
      <c r="N256" s="25">
        <v>0.37280000000000002</v>
      </c>
      <c r="O256" s="24">
        <v>497</v>
      </c>
      <c r="P256" s="24">
        <v>238.75</v>
      </c>
      <c r="Q256" s="24">
        <v>147.75</v>
      </c>
      <c r="R256" s="22">
        <v>91</v>
      </c>
      <c r="S256" s="24">
        <v>34</v>
      </c>
      <c r="T256" s="24">
        <f t="shared" si="13"/>
        <v>272.75</v>
      </c>
      <c r="U256" s="376">
        <v>3599.98</v>
      </c>
      <c r="V256" s="376">
        <v>482.83</v>
      </c>
      <c r="W256" s="22">
        <f t="shared" si="14"/>
        <v>1342.0725440000001</v>
      </c>
      <c r="X256" s="22">
        <f t="shared" si="15"/>
        <v>1394</v>
      </c>
      <c r="Y256" s="22">
        <v>868</v>
      </c>
      <c r="Z256" s="22">
        <v>526</v>
      </c>
      <c r="AA256" s="371">
        <v>9722.91</v>
      </c>
      <c r="AB256" s="22">
        <v>0.14337271454739373</v>
      </c>
      <c r="AC256" s="24">
        <v>8.372714547393717E-3</v>
      </c>
      <c r="AD256" s="384">
        <v>-803132.92199701979</v>
      </c>
    </row>
    <row r="257" spans="1:30">
      <c r="A257" s="21" t="s">
        <v>171</v>
      </c>
      <c r="B257" s="21" t="s">
        <v>172</v>
      </c>
      <c r="C257" s="23">
        <v>272.10000000000002</v>
      </c>
      <c r="D257" s="147">
        <v>0</v>
      </c>
      <c r="E257" s="22">
        <v>59.42</v>
      </c>
      <c r="F257" s="22">
        <v>59.42</v>
      </c>
      <c r="G257" s="22">
        <v>0</v>
      </c>
      <c r="H257" s="22">
        <v>25.89</v>
      </c>
      <c r="I257" s="22">
        <v>1.92</v>
      </c>
      <c r="J257" s="22">
        <v>74.14</v>
      </c>
      <c r="K257" s="22">
        <v>0</v>
      </c>
      <c r="L257" s="22">
        <v>0</v>
      </c>
      <c r="M257" s="388">
        <v>1185.5800000000002</v>
      </c>
      <c r="N257" s="25">
        <v>0.29339999999999999</v>
      </c>
      <c r="O257" s="24">
        <v>44</v>
      </c>
      <c r="P257" s="24">
        <v>3.25</v>
      </c>
      <c r="Q257" s="24">
        <v>2.5</v>
      </c>
      <c r="R257" s="22">
        <v>0.75</v>
      </c>
      <c r="S257" s="24">
        <v>3</v>
      </c>
      <c r="T257" s="24">
        <f t="shared" si="13"/>
        <v>6.25</v>
      </c>
      <c r="U257" s="376">
        <v>347.85</v>
      </c>
      <c r="V257" s="376">
        <v>59.28</v>
      </c>
      <c r="W257" s="22">
        <f t="shared" si="14"/>
        <v>102.05919</v>
      </c>
      <c r="X257" s="22">
        <f t="shared" si="15"/>
        <v>176</v>
      </c>
      <c r="Y257" s="22">
        <v>119.5</v>
      </c>
      <c r="Z257" s="22">
        <v>56.5</v>
      </c>
      <c r="AA257" s="371">
        <v>1196.56</v>
      </c>
      <c r="AB257" s="22">
        <v>0.14708831985023735</v>
      </c>
      <c r="AC257" s="24">
        <v>1.2088319850237339E-2</v>
      </c>
      <c r="AD257" s="384">
        <v>-145515.3869197797</v>
      </c>
    </row>
    <row r="258" spans="1:30">
      <c r="A258" s="21" t="s">
        <v>313</v>
      </c>
      <c r="B258" s="21" t="s">
        <v>314</v>
      </c>
      <c r="C258" s="23">
        <v>105</v>
      </c>
      <c r="D258" s="147">
        <v>0</v>
      </c>
      <c r="E258" s="22">
        <v>0</v>
      </c>
      <c r="F258" s="22">
        <v>0</v>
      </c>
      <c r="G258" s="22">
        <v>0</v>
      </c>
      <c r="H258" s="22">
        <v>0</v>
      </c>
      <c r="I258" s="22">
        <v>0</v>
      </c>
      <c r="J258" s="22">
        <v>0</v>
      </c>
      <c r="K258" s="22">
        <v>0</v>
      </c>
      <c r="L258" s="22">
        <v>0</v>
      </c>
      <c r="M258" s="388">
        <v>199.79999999999998</v>
      </c>
      <c r="N258" s="25">
        <v>0.44290000000000002</v>
      </c>
      <c r="O258" s="24">
        <v>497</v>
      </c>
      <c r="P258" s="24">
        <v>0</v>
      </c>
      <c r="Q258" s="24">
        <v>0</v>
      </c>
      <c r="R258" s="22">
        <v>0</v>
      </c>
      <c r="S258" s="24">
        <v>0</v>
      </c>
      <c r="T258" s="24">
        <f t="shared" si="13"/>
        <v>0</v>
      </c>
      <c r="U258" s="376">
        <v>88.49</v>
      </c>
      <c r="V258" s="376">
        <v>9.99</v>
      </c>
      <c r="W258" s="22">
        <f t="shared" si="14"/>
        <v>39.192220999999996</v>
      </c>
      <c r="X258" s="22">
        <f t="shared" si="15"/>
        <v>31.75</v>
      </c>
      <c r="Y258" s="22">
        <v>24.25</v>
      </c>
      <c r="Z258" s="22">
        <v>7.5</v>
      </c>
      <c r="AA258" s="371">
        <v>199.8</v>
      </c>
      <c r="AB258" s="22">
        <v>0.15890890890890891</v>
      </c>
      <c r="AC258" s="24">
        <v>2.3908908908908899E-2</v>
      </c>
      <c r="AD258" s="384">
        <v>-44135.424139658273</v>
      </c>
    </row>
    <row r="259" spans="1:30">
      <c r="A259" s="21" t="s">
        <v>479</v>
      </c>
      <c r="B259" s="21" t="s">
        <v>480</v>
      </c>
      <c r="C259" s="23">
        <v>351.8</v>
      </c>
      <c r="D259" s="147">
        <v>0</v>
      </c>
      <c r="E259" s="22">
        <v>0</v>
      </c>
      <c r="F259" s="22">
        <v>0</v>
      </c>
      <c r="G259" s="22">
        <v>0</v>
      </c>
      <c r="H259" s="22">
        <v>0</v>
      </c>
      <c r="I259" s="22">
        <v>0</v>
      </c>
      <c r="J259" s="22">
        <v>0</v>
      </c>
      <c r="K259" s="22">
        <v>0</v>
      </c>
      <c r="L259" s="22">
        <v>0</v>
      </c>
      <c r="M259" s="388">
        <v>678.2</v>
      </c>
      <c r="N259" s="25">
        <v>0.45100000000000001</v>
      </c>
      <c r="O259" s="24">
        <v>497</v>
      </c>
      <c r="P259" s="24">
        <v>16.75</v>
      </c>
      <c r="Q259" s="24">
        <v>15.5</v>
      </c>
      <c r="R259" s="22">
        <v>1.25</v>
      </c>
      <c r="S259" s="24">
        <v>2</v>
      </c>
      <c r="T259" s="24">
        <f t="shared" si="13"/>
        <v>18.75</v>
      </c>
      <c r="U259" s="376">
        <v>305.87</v>
      </c>
      <c r="V259" s="376">
        <v>33.909999999999997</v>
      </c>
      <c r="W259" s="22">
        <f t="shared" si="14"/>
        <v>137.94737000000001</v>
      </c>
      <c r="X259" s="22">
        <f t="shared" si="15"/>
        <v>79.5</v>
      </c>
      <c r="Y259" s="22">
        <v>77</v>
      </c>
      <c r="Z259" s="22">
        <v>2.5</v>
      </c>
      <c r="AA259" s="371">
        <v>678.2</v>
      </c>
      <c r="AB259" s="22">
        <v>0.11722205838985549</v>
      </c>
      <c r="AC259" s="24">
        <v>0</v>
      </c>
      <c r="AD259" s="384">
        <v>0</v>
      </c>
    </row>
    <row r="260" spans="1:30">
      <c r="A260" s="21" t="s">
        <v>451</v>
      </c>
      <c r="B260" s="21" t="s">
        <v>452</v>
      </c>
      <c r="C260" s="23">
        <v>8454.7999999999993</v>
      </c>
      <c r="D260" s="147">
        <v>264.67</v>
      </c>
      <c r="E260" s="22">
        <v>1256.5999999999999</v>
      </c>
      <c r="F260" s="22">
        <v>1521.27</v>
      </c>
      <c r="G260" s="22">
        <v>388.81</v>
      </c>
      <c r="H260" s="22">
        <v>386.72</v>
      </c>
      <c r="I260" s="22">
        <v>13.65</v>
      </c>
      <c r="J260" s="22">
        <v>1322.87</v>
      </c>
      <c r="K260" s="22">
        <v>84.36</v>
      </c>
      <c r="L260" s="22">
        <v>0.61</v>
      </c>
      <c r="M260" s="388">
        <v>28363.690000000002</v>
      </c>
      <c r="N260" s="25">
        <v>0.59830000000000005</v>
      </c>
      <c r="O260" s="24">
        <v>497</v>
      </c>
      <c r="P260" s="24">
        <v>1736</v>
      </c>
      <c r="Q260" s="24">
        <v>1104</v>
      </c>
      <c r="R260" s="22">
        <v>632</v>
      </c>
      <c r="S260" s="24">
        <v>313.25</v>
      </c>
      <c r="T260" s="24">
        <f t="shared" si="13"/>
        <v>2049.25</v>
      </c>
      <c r="U260" s="376">
        <v>16970</v>
      </c>
      <c r="V260" s="376">
        <v>0</v>
      </c>
      <c r="W260" s="22">
        <f t="shared" si="14"/>
        <v>10153.151000000002</v>
      </c>
      <c r="X260" s="22">
        <f t="shared" si="15"/>
        <v>4414.25</v>
      </c>
      <c r="Y260" s="22">
        <v>2939.5</v>
      </c>
      <c r="Z260" s="22">
        <v>1474.75</v>
      </c>
      <c r="AA260" s="371">
        <v>28158.11</v>
      </c>
      <c r="AB260" s="22">
        <v>0.15676655855098229</v>
      </c>
      <c r="AC260" s="24">
        <v>2.1766558550982279E-2</v>
      </c>
      <c r="AD260" s="384">
        <v>-5533935.7768779676</v>
      </c>
    </row>
    <row r="261" spans="1:30">
      <c r="A261" s="21" t="s">
        <v>297</v>
      </c>
      <c r="B261" s="21" t="s">
        <v>298</v>
      </c>
      <c r="C261" s="23">
        <v>27.2</v>
      </c>
      <c r="D261" s="147">
        <v>0</v>
      </c>
      <c r="E261" s="22">
        <v>8.51</v>
      </c>
      <c r="F261" s="22">
        <v>8.51</v>
      </c>
      <c r="G261" s="22">
        <v>0</v>
      </c>
      <c r="H261" s="22">
        <v>0</v>
      </c>
      <c r="I261" s="22">
        <v>0</v>
      </c>
      <c r="J261" s="22">
        <v>0</v>
      </c>
      <c r="K261" s="22">
        <v>0</v>
      </c>
      <c r="L261" s="22">
        <v>0</v>
      </c>
      <c r="M261" s="388">
        <v>71.599999999999994</v>
      </c>
      <c r="N261" s="25">
        <v>0.56410000000000005</v>
      </c>
      <c r="O261" s="24">
        <v>497</v>
      </c>
      <c r="P261" s="24">
        <v>0</v>
      </c>
      <c r="Q261" s="24">
        <v>0</v>
      </c>
      <c r="R261" s="22">
        <v>0</v>
      </c>
      <c r="S261" s="24">
        <v>0</v>
      </c>
      <c r="T261" s="24">
        <f t="shared" si="13"/>
        <v>0</v>
      </c>
      <c r="U261" s="376">
        <v>40.39</v>
      </c>
      <c r="V261" s="376">
        <v>3.58</v>
      </c>
      <c r="W261" s="22">
        <f t="shared" si="14"/>
        <v>22.783999000000001</v>
      </c>
      <c r="X261" s="22">
        <f t="shared" si="15"/>
        <v>13.5</v>
      </c>
      <c r="Y261" s="22">
        <v>12</v>
      </c>
      <c r="Z261" s="22">
        <v>1.5</v>
      </c>
      <c r="AA261" s="371">
        <v>71.599999999999994</v>
      </c>
      <c r="AB261" s="22">
        <v>0.18854748603351956</v>
      </c>
      <c r="AC261" s="24">
        <v>5.3547486033519553E-2</v>
      </c>
      <c r="AD261" s="384">
        <v>-34838.305811040002</v>
      </c>
    </row>
    <row r="262" spans="1:30">
      <c r="A262" s="21" t="s">
        <v>577</v>
      </c>
      <c r="B262" s="21" t="s">
        <v>578</v>
      </c>
      <c r="C262" s="23">
        <v>34.6</v>
      </c>
      <c r="D262" s="147">
        <v>0</v>
      </c>
      <c r="E262" s="22">
        <v>5.54</v>
      </c>
      <c r="F262" s="22">
        <v>5.54</v>
      </c>
      <c r="G262" s="22">
        <v>0</v>
      </c>
      <c r="H262" s="22">
        <v>3.39</v>
      </c>
      <c r="I262" s="22">
        <v>0</v>
      </c>
      <c r="J262" s="22">
        <v>0</v>
      </c>
      <c r="K262" s="22">
        <v>0</v>
      </c>
      <c r="L262" s="22">
        <v>0</v>
      </c>
      <c r="M262" s="388">
        <v>124.30999999999999</v>
      </c>
      <c r="N262" s="25">
        <v>0.4919</v>
      </c>
      <c r="O262" s="24">
        <v>497</v>
      </c>
      <c r="P262" s="24">
        <v>0</v>
      </c>
      <c r="Q262" s="24">
        <v>0</v>
      </c>
      <c r="R262" s="22">
        <v>0</v>
      </c>
      <c r="S262" s="24">
        <v>0</v>
      </c>
      <c r="T262" s="24">
        <f t="shared" si="13"/>
        <v>0</v>
      </c>
      <c r="U262" s="376">
        <v>61.15</v>
      </c>
      <c r="V262" s="376">
        <v>6.22</v>
      </c>
      <c r="W262" s="22">
        <f t="shared" si="14"/>
        <v>30.079684999999998</v>
      </c>
      <c r="X262" s="22">
        <f t="shared" si="15"/>
        <v>16.75</v>
      </c>
      <c r="Y262" s="22">
        <v>14.25</v>
      </c>
      <c r="Z262" s="22">
        <v>2.5</v>
      </c>
      <c r="AA262" s="371">
        <v>124.31</v>
      </c>
      <c r="AB262" s="22">
        <v>0.1347437856970477</v>
      </c>
      <c r="AC262" s="24">
        <v>0</v>
      </c>
      <c r="AD262" s="384">
        <v>0</v>
      </c>
    </row>
    <row r="263" spans="1:30">
      <c r="A263" s="21" t="s">
        <v>449</v>
      </c>
      <c r="B263" s="21" t="s">
        <v>450</v>
      </c>
      <c r="C263" s="23">
        <v>1327.22</v>
      </c>
      <c r="D263" s="147">
        <v>79.180000000000007</v>
      </c>
      <c r="E263" s="22">
        <v>337.19</v>
      </c>
      <c r="F263" s="22">
        <v>416.37</v>
      </c>
      <c r="G263" s="22">
        <v>0</v>
      </c>
      <c r="H263" s="22">
        <v>62.69</v>
      </c>
      <c r="I263" s="22">
        <v>3.43</v>
      </c>
      <c r="J263" s="22">
        <v>270.32</v>
      </c>
      <c r="K263" s="22">
        <v>6.6</v>
      </c>
      <c r="L263" s="22">
        <v>0</v>
      </c>
      <c r="M263" s="388">
        <v>4560.88</v>
      </c>
      <c r="N263" s="25">
        <v>0.29210000000000003</v>
      </c>
      <c r="O263" s="24">
        <v>497</v>
      </c>
      <c r="P263" s="24">
        <v>123.75</v>
      </c>
      <c r="Q263" s="24">
        <v>83.75</v>
      </c>
      <c r="R263" s="22">
        <v>40</v>
      </c>
      <c r="S263" s="24">
        <v>23</v>
      </c>
      <c r="T263" s="24">
        <f t="shared" si="13"/>
        <v>146.75</v>
      </c>
      <c r="U263" s="376">
        <v>1332.23</v>
      </c>
      <c r="V263" s="376">
        <v>228.04</v>
      </c>
      <c r="W263" s="22">
        <f t="shared" si="14"/>
        <v>389.14438300000006</v>
      </c>
      <c r="X263" s="22">
        <f t="shared" si="15"/>
        <v>625.5</v>
      </c>
      <c r="Y263" s="22">
        <v>357.75</v>
      </c>
      <c r="Z263" s="22">
        <v>267.75</v>
      </c>
      <c r="AA263" s="371">
        <v>4562.9399999999996</v>
      </c>
      <c r="AB263" s="22">
        <v>0.1370826703835685</v>
      </c>
      <c r="AC263" s="24">
        <v>2.0826703835684912E-3</v>
      </c>
      <c r="AD263" s="384">
        <v>-94624.942923005859</v>
      </c>
    </row>
    <row r="264" spans="1:30">
      <c r="A264" s="21" t="s">
        <v>115</v>
      </c>
      <c r="B264" s="21" t="s">
        <v>116</v>
      </c>
      <c r="C264" s="23">
        <v>9</v>
      </c>
      <c r="D264" s="147">
        <v>0</v>
      </c>
      <c r="E264" s="22">
        <v>0</v>
      </c>
      <c r="F264" s="22">
        <v>0</v>
      </c>
      <c r="G264" s="22">
        <v>0</v>
      </c>
      <c r="H264" s="22">
        <v>0</v>
      </c>
      <c r="I264" s="22">
        <v>0</v>
      </c>
      <c r="J264" s="22">
        <v>0</v>
      </c>
      <c r="K264" s="22">
        <v>0</v>
      </c>
      <c r="L264" s="22">
        <v>0</v>
      </c>
      <c r="M264" s="388">
        <v>13</v>
      </c>
      <c r="N264" s="25">
        <v>0</v>
      </c>
      <c r="O264" s="24">
        <v>576</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13.4</v>
      </c>
      <c r="D265" s="147">
        <v>0</v>
      </c>
      <c r="E265" s="22">
        <v>0</v>
      </c>
      <c r="F265" s="22">
        <v>0</v>
      </c>
      <c r="G265" s="22">
        <v>0</v>
      </c>
      <c r="H265" s="22">
        <v>0</v>
      </c>
      <c r="I265" s="22">
        <v>0</v>
      </c>
      <c r="J265" s="22">
        <v>235.8</v>
      </c>
      <c r="K265" s="22">
        <v>0</v>
      </c>
      <c r="L265" s="22">
        <v>0</v>
      </c>
      <c r="M265" s="388">
        <v>264.2</v>
      </c>
      <c r="N265" s="25">
        <v>0.9</v>
      </c>
      <c r="O265" s="24">
        <v>0</v>
      </c>
      <c r="P265" s="24">
        <v>0</v>
      </c>
      <c r="Q265" s="24">
        <v>0</v>
      </c>
      <c r="R265" s="22">
        <v>0</v>
      </c>
      <c r="S265" s="24">
        <v>0</v>
      </c>
      <c r="T265" s="24">
        <f t="shared" ref="T265:T325" si="16">S265+P265</f>
        <v>0</v>
      </c>
      <c r="U265" s="376">
        <v>237.78</v>
      </c>
      <c r="V265" s="376">
        <v>0</v>
      </c>
      <c r="W265" s="22">
        <f t="shared" ref="W265:W325" si="17">U265*N265</f>
        <v>214.00200000000001</v>
      </c>
      <c r="X265" s="22">
        <f t="shared" ref="X265:X325" si="18">Y265+Z265</f>
        <v>27</v>
      </c>
      <c r="Y265" s="22">
        <v>27</v>
      </c>
      <c r="Z265" s="22">
        <v>0</v>
      </c>
      <c r="AA265" s="371">
        <v>264.2</v>
      </c>
      <c r="AB265" s="22">
        <v>0.10219530658591976</v>
      </c>
      <c r="AC265" s="24">
        <v>0</v>
      </c>
      <c r="AD265" s="384">
        <v>0</v>
      </c>
    </row>
    <row r="266" spans="1:30">
      <c r="A266" s="21" t="s">
        <v>31</v>
      </c>
      <c r="B266" s="21" t="s">
        <v>32</v>
      </c>
      <c r="C266" s="23">
        <v>2</v>
      </c>
      <c r="D266" s="147">
        <v>0</v>
      </c>
      <c r="E266" s="22">
        <v>0</v>
      </c>
      <c r="F266" s="22">
        <v>0</v>
      </c>
      <c r="G266" s="22">
        <v>0</v>
      </c>
      <c r="H266" s="22">
        <v>0</v>
      </c>
      <c r="I266" s="22">
        <v>0</v>
      </c>
      <c r="J266" s="22">
        <v>0</v>
      </c>
      <c r="K266" s="22">
        <v>0</v>
      </c>
      <c r="L266" s="22">
        <v>0</v>
      </c>
      <c r="M266" s="388">
        <v>11</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932.02</v>
      </c>
      <c r="D267" s="147">
        <v>22.05</v>
      </c>
      <c r="E267" s="22">
        <v>235.26</v>
      </c>
      <c r="F267" s="22">
        <v>257.31</v>
      </c>
      <c r="G267" s="22">
        <v>0</v>
      </c>
      <c r="H267" s="22">
        <v>156.12</v>
      </c>
      <c r="I267" s="22">
        <v>3.43</v>
      </c>
      <c r="J267" s="22">
        <v>84.789999999999992</v>
      </c>
      <c r="K267" s="22">
        <v>14.6</v>
      </c>
      <c r="L267" s="22">
        <v>0</v>
      </c>
      <c r="M267" s="388">
        <v>3127.6499999999996</v>
      </c>
      <c r="N267" s="25">
        <v>0.23449999999999999</v>
      </c>
      <c r="O267" s="24">
        <v>497</v>
      </c>
      <c r="P267" s="24">
        <v>104.25</v>
      </c>
      <c r="Q267" s="24">
        <v>70.5</v>
      </c>
      <c r="R267" s="22">
        <v>33.75</v>
      </c>
      <c r="S267" s="24">
        <v>24.25</v>
      </c>
      <c r="T267" s="24">
        <f t="shared" si="16"/>
        <v>128.5</v>
      </c>
      <c r="U267" s="376">
        <v>733.43</v>
      </c>
      <c r="V267" s="376">
        <v>156.38</v>
      </c>
      <c r="W267" s="22">
        <f t="shared" si="17"/>
        <v>171.98933499999998</v>
      </c>
      <c r="X267" s="22">
        <f t="shared" si="18"/>
        <v>397.5</v>
      </c>
      <c r="Y267" s="22">
        <v>252.5</v>
      </c>
      <c r="Z267" s="22">
        <v>145</v>
      </c>
      <c r="AA267" s="371">
        <v>3154.54</v>
      </c>
      <c r="AB267" s="22">
        <v>0.12600886341590217</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38.599999999999994</v>
      </c>
      <c r="N268" s="25">
        <v>0</v>
      </c>
      <c r="O268" s="24">
        <v>497</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-4944.4551252238298</v>
      </c>
    </row>
    <row r="269" spans="1:30">
      <c r="A269" s="21" t="s">
        <v>421</v>
      </c>
      <c r="B269" s="21" t="s">
        <v>422</v>
      </c>
      <c r="C269" s="23">
        <v>204.63</v>
      </c>
      <c r="D269" s="147">
        <v>8.8800000000000008</v>
      </c>
      <c r="E269" s="22">
        <v>48.98</v>
      </c>
      <c r="F269" s="22">
        <v>57.86</v>
      </c>
      <c r="G269" s="22">
        <v>0</v>
      </c>
      <c r="H269" s="22">
        <v>2.48</v>
      </c>
      <c r="I269" s="22">
        <v>0.15</v>
      </c>
      <c r="J269" s="22">
        <v>0</v>
      </c>
      <c r="K269" s="22">
        <v>3.2</v>
      </c>
      <c r="L269" s="22">
        <v>0</v>
      </c>
      <c r="M269" s="388">
        <v>783.81000000000006</v>
      </c>
      <c r="N269" s="25">
        <v>0.51890000000000003</v>
      </c>
      <c r="O269" s="24">
        <v>497</v>
      </c>
      <c r="P269" s="24">
        <v>18.5</v>
      </c>
      <c r="Q269" s="24">
        <v>15</v>
      </c>
      <c r="R269" s="22">
        <v>3.5</v>
      </c>
      <c r="S269" s="24">
        <v>3</v>
      </c>
      <c r="T269" s="24">
        <f t="shared" si="16"/>
        <v>21.5</v>
      </c>
      <c r="U269" s="376">
        <v>406.72</v>
      </c>
      <c r="V269" s="376">
        <v>39.19</v>
      </c>
      <c r="W269" s="22">
        <f t="shared" si="17"/>
        <v>211.04700800000003</v>
      </c>
      <c r="X269" s="22">
        <f t="shared" si="18"/>
        <v>132.75</v>
      </c>
      <c r="Y269" s="22">
        <v>80.75</v>
      </c>
      <c r="Z269" s="22">
        <v>52</v>
      </c>
      <c r="AA269" s="371">
        <v>784.61</v>
      </c>
      <c r="AB269" s="22">
        <v>0.16919233759447369</v>
      </c>
      <c r="AC269" s="24">
        <v>3.4192337594473682E-2</v>
      </c>
      <c r="AD269" s="384">
        <v>-232301.21662263654</v>
      </c>
    </row>
    <row r="270" spans="1:30">
      <c r="A270" s="21" t="s">
        <v>443</v>
      </c>
      <c r="B270" s="21" t="s">
        <v>444</v>
      </c>
      <c r="C270" s="23">
        <v>595.20000000000005</v>
      </c>
      <c r="D270" s="147">
        <v>0</v>
      </c>
      <c r="E270" s="22">
        <v>145.77000000000001</v>
      </c>
      <c r="F270" s="22">
        <v>145.77000000000001</v>
      </c>
      <c r="G270" s="22">
        <v>0</v>
      </c>
      <c r="H270" s="22">
        <v>14.68</v>
      </c>
      <c r="I270" s="22">
        <v>0.59</v>
      </c>
      <c r="J270" s="22">
        <v>91.539999999999992</v>
      </c>
      <c r="K270" s="22">
        <v>11</v>
      </c>
      <c r="L270" s="22">
        <v>0</v>
      </c>
      <c r="M270" s="388">
        <v>1932.7799999999997</v>
      </c>
      <c r="N270" s="25">
        <v>0.55559999999999998</v>
      </c>
      <c r="O270" s="24">
        <v>497</v>
      </c>
      <c r="P270" s="24">
        <v>214.75</v>
      </c>
      <c r="Q270" s="24">
        <v>149.25</v>
      </c>
      <c r="R270" s="22">
        <v>65.5</v>
      </c>
      <c r="S270" s="24">
        <v>46.5</v>
      </c>
      <c r="T270" s="24">
        <f t="shared" si="16"/>
        <v>261.25</v>
      </c>
      <c r="U270" s="376">
        <v>1073.8499999999999</v>
      </c>
      <c r="V270" s="376">
        <v>96.64</v>
      </c>
      <c r="W270" s="22">
        <f t="shared" si="17"/>
        <v>596.63105999999993</v>
      </c>
      <c r="X270" s="22">
        <f t="shared" si="18"/>
        <v>320.5</v>
      </c>
      <c r="Y270" s="22">
        <v>159.25</v>
      </c>
      <c r="Z270" s="22">
        <v>161.25</v>
      </c>
      <c r="AA270" s="371">
        <v>1943.38</v>
      </c>
      <c r="AB270" s="22">
        <v>0.16491885272051784</v>
      </c>
      <c r="AC270" s="24">
        <v>2.9918852720517836E-2</v>
      </c>
      <c r="AD270" s="384">
        <v>-576783.34020829014</v>
      </c>
    </row>
    <row r="271" spans="1:30">
      <c r="A271" s="21" t="s">
        <v>1022</v>
      </c>
      <c r="B271" s="21" t="s">
        <v>1040</v>
      </c>
      <c r="C271" s="23">
        <v>0</v>
      </c>
      <c r="D271" s="147">
        <v>0</v>
      </c>
      <c r="E271" s="22">
        <v>0</v>
      </c>
      <c r="F271" s="22">
        <v>0</v>
      </c>
      <c r="G271" s="22">
        <v>0</v>
      </c>
      <c r="H271" s="22">
        <v>6.69</v>
      </c>
      <c r="I271" s="22">
        <v>0.25</v>
      </c>
      <c r="J271" s="22">
        <v>0</v>
      </c>
      <c r="K271" s="22">
        <v>0</v>
      </c>
      <c r="L271" s="22">
        <v>0</v>
      </c>
      <c r="M271" s="388">
        <v>467.44</v>
      </c>
      <c r="N271" s="25">
        <v>0.52980000000000005</v>
      </c>
      <c r="O271" s="24">
        <v>497</v>
      </c>
      <c r="P271" s="24">
        <v>74.25</v>
      </c>
      <c r="Q271" s="24">
        <v>12.5</v>
      </c>
      <c r="R271" s="22">
        <v>61.75</v>
      </c>
      <c r="S271" s="24">
        <v>16.75</v>
      </c>
      <c r="T271" s="24">
        <f t="shared" si="16"/>
        <v>91</v>
      </c>
      <c r="U271" s="376">
        <v>247.65</v>
      </c>
      <c r="V271" s="376">
        <v>23.37</v>
      </c>
      <c r="W271" s="22">
        <f t="shared" si="17"/>
        <v>131.20497</v>
      </c>
      <c r="X271" s="22">
        <f t="shared" si="18"/>
        <v>84.25</v>
      </c>
      <c r="Y271" s="22">
        <v>82.5</v>
      </c>
      <c r="Z271" s="22">
        <v>1.75</v>
      </c>
      <c r="AA271" s="371">
        <v>467.46</v>
      </c>
      <c r="AB271" s="22">
        <v>0.18022932443417619</v>
      </c>
      <c r="AC271" s="24">
        <v>4.5229324434176182E-2</v>
      </c>
      <c r="AD271" s="384">
        <v>-192941.79440830115</v>
      </c>
    </row>
    <row r="272" spans="1:30">
      <c r="A272" s="21" t="s">
        <v>391</v>
      </c>
      <c r="B272" s="21" t="s">
        <v>392</v>
      </c>
      <c r="C272" s="23">
        <v>0</v>
      </c>
      <c r="D272" s="147">
        <v>0</v>
      </c>
      <c r="E272" s="22">
        <v>0</v>
      </c>
      <c r="F272" s="22">
        <v>0</v>
      </c>
      <c r="G272" s="22">
        <v>0</v>
      </c>
      <c r="H272" s="22">
        <v>0</v>
      </c>
      <c r="I272" s="22">
        <v>0</v>
      </c>
      <c r="J272" s="22">
        <v>0</v>
      </c>
      <c r="K272" s="22">
        <v>0</v>
      </c>
      <c r="L272" s="22">
        <v>0</v>
      </c>
      <c r="M272" s="388">
        <v>178.6</v>
      </c>
      <c r="N272" s="25">
        <v>0.66490000000000005</v>
      </c>
      <c r="O272" s="24">
        <v>497</v>
      </c>
      <c r="P272" s="24">
        <v>16.75</v>
      </c>
      <c r="Q272" s="24">
        <v>0</v>
      </c>
      <c r="R272" s="22">
        <v>16.75</v>
      </c>
      <c r="S272" s="24">
        <v>0</v>
      </c>
      <c r="T272" s="24">
        <f t="shared" si="16"/>
        <v>16.75</v>
      </c>
      <c r="U272" s="376">
        <v>118.75</v>
      </c>
      <c r="V272" s="376">
        <v>8.93</v>
      </c>
      <c r="W272" s="22">
        <f t="shared" si="17"/>
        <v>78.956875000000011</v>
      </c>
      <c r="X272" s="22">
        <f t="shared" si="18"/>
        <v>27</v>
      </c>
      <c r="Y272" s="22">
        <v>25</v>
      </c>
      <c r="Z272" s="22">
        <v>2</v>
      </c>
      <c r="AA272" s="371">
        <v>178.6</v>
      </c>
      <c r="AB272" s="22">
        <v>0.15117581187010079</v>
      </c>
      <c r="AC272" s="24">
        <v>1.6175811870100781E-2</v>
      </c>
      <c r="AD272" s="384">
        <v>-26005.262595761043</v>
      </c>
    </row>
    <row r="273" spans="1:30">
      <c r="A273" s="21" t="s">
        <v>221</v>
      </c>
      <c r="B273" s="21" t="s">
        <v>222</v>
      </c>
      <c r="C273" s="23">
        <v>0</v>
      </c>
      <c r="D273" s="147">
        <v>0</v>
      </c>
      <c r="E273" s="22">
        <v>0</v>
      </c>
      <c r="F273" s="22">
        <v>0</v>
      </c>
      <c r="G273" s="22">
        <v>0</v>
      </c>
      <c r="H273" s="22">
        <v>4.04</v>
      </c>
      <c r="I273" s="22">
        <v>0.18</v>
      </c>
      <c r="J273" s="22">
        <v>0</v>
      </c>
      <c r="K273" s="22">
        <v>0</v>
      </c>
      <c r="L273" s="22">
        <v>0</v>
      </c>
      <c r="M273" s="388">
        <v>307.07000000000005</v>
      </c>
      <c r="N273" s="25">
        <v>0.37430000000000002</v>
      </c>
      <c r="O273" s="24">
        <v>497</v>
      </c>
      <c r="P273" s="24">
        <v>49.25</v>
      </c>
      <c r="Q273" s="24">
        <v>0</v>
      </c>
      <c r="R273" s="22">
        <v>49.25</v>
      </c>
      <c r="S273" s="24">
        <v>0.25</v>
      </c>
      <c r="T273" s="24">
        <f t="shared" si="16"/>
        <v>49.5</v>
      </c>
      <c r="U273" s="376">
        <v>114.94</v>
      </c>
      <c r="V273" s="376">
        <v>15.35</v>
      </c>
      <c r="W273" s="22">
        <f t="shared" si="17"/>
        <v>43.022041999999999</v>
      </c>
      <c r="X273" s="22">
        <f t="shared" si="18"/>
        <v>59</v>
      </c>
      <c r="Y273" s="22">
        <v>58.5</v>
      </c>
      <c r="Z273" s="22">
        <v>0.5</v>
      </c>
      <c r="AA273" s="371">
        <v>307.62</v>
      </c>
      <c r="AB273" s="22">
        <v>0.19179507184188285</v>
      </c>
      <c r="AC273" s="24">
        <v>5.6795071841882844E-2</v>
      </c>
      <c r="AD273" s="384">
        <v>-163509.33074694473</v>
      </c>
    </row>
    <row r="274" spans="1:30">
      <c r="A274" s="21" t="s">
        <v>495</v>
      </c>
      <c r="B274" s="21" t="s">
        <v>496</v>
      </c>
      <c r="C274" s="23">
        <v>35.6</v>
      </c>
      <c r="D274" s="147">
        <v>0</v>
      </c>
      <c r="E274" s="22">
        <v>0</v>
      </c>
      <c r="F274" s="22">
        <v>0</v>
      </c>
      <c r="G274" s="22">
        <v>0</v>
      </c>
      <c r="H274" s="22">
        <v>0</v>
      </c>
      <c r="I274" s="22">
        <v>0</v>
      </c>
      <c r="J274" s="22">
        <v>0</v>
      </c>
      <c r="K274" s="22">
        <v>0</v>
      </c>
      <c r="L274" s="22">
        <v>0</v>
      </c>
      <c r="M274" s="388">
        <v>71.69</v>
      </c>
      <c r="N274" s="25">
        <v>0.84930000000000005</v>
      </c>
      <c r="O274" s="24">
        <v>497</v>
      </c>
      <c r="P274" s="24">
        <v>0</v>
      </c>
      <c r="Q274" s="24">
        <v>0</v>
      </c>
      <c r="R274" s="22">
        <v>0</v>
      </c>
      <c r="S274" s="24">
        <v>0</v>
      </c>
      <c r="T274" s="24">
        <f t="shared" si="16"/>
        <v>0</v>
      </c>
      <c r="U274" s="376">
        <v>60.89</v>
      </c>
      <c r="V274" s="376">
        <v>3.58</v>
      </c>
      <c r="W274" s="22">
        <f t="shared" si="17"/>
        <v>51.713877000000004</v>
      </c>
      <c r="X274" s="22">
        <f t="shared" si="18"/>
        <v>8.5</v>
      </c>
      <c r="Y274" s="22">
        <v>5.25</v>
      </c>
      <c r="Z274" s="22">
        <v>3.25</v>
      </c>
      <c r="AA274" s="371">
        <v>71.69</v>
      </c>
      <c r="AB274" s="22">
        <v>0.11856604826335612</v>
      </c>
      <c r="AC274" s="24">
        <v>0</v>
      </c>
      <c r="AD274" s="384">
        <v>0</v>
      </c>
    </row>
    <row r="275" spans="1:30">
      <c r="A275" s="21" t="s">
        <v>371</v>
      </c>
      <c r="B275" s="21" t="s">
        <v>372</v>
      </c>
      <c r="C275" s="23">
        <v>2830.11</v>
      </c>
      <c r="D275" s="147">
        <v>111.35</v>
      </c>
      <c r="E275" s="22">
        <v>543.55999999999995</v>
      </c>
      <c r="F275" s="22">
        <v>654.91</v>
      </c>
      <c r="G275" s="22">
        <v>0</v>
      </c>
      <c r="H275" s="22">
        <v>205.08</v>
      </c>
      <c r="I275" s="22">
        <v>6.67</v>
      </c>
      <c r="J275" s="22">
        <v>153.51999999999998</v>
      </c>
      <c r="K275" s="22">
        <v>0</v>
      </c>
      <c r="L275" s="22">
        <v>0</v>
      </c>
      <c r="M275" s="388">
        <v>9874.77</v>
      </c>
      <c r="N275" s="25">
        <v>0.29110000000000003</v>
      </c>
      <c r="O275" s="24">
        <v>497</v>
      </c>
      <c r="P275" s="24">
        <v>412.25</v>
      </c>
      <c r="Q275" s="24">
        <v>244.25</v>
      </c>
      <c r="R275" s="22">
        <v>168</v>
      </c>
      <c r="S275" s="24">
        <v>73.75</v>
      </c>
      <c r="T275" s="24">
        <f t="shared" si="16"/>
        <v>486</v>
      </c>
      <c r="U275" s="376">
        <v>2874.55</v>
      </c>
      <c r="V275" s="376">
        <v>493.74</v>
      </c>
      <c r="W275" s="22">
        <f t="shared" si="17"/>
        <v>836.78150500000015</v>
      </c>
      <c r="X275" s="22">
        <f t="shared" si="18"/>
        <v>1160.25</v>
      </c>
      <c r="Y275" s="22">
        <v>717</v>
      </c>
      <c r="Z275" s="22">
        <v>443.25</v>
      </c>
      <c r="AA275" s="371">
        <v>9946.02</v>
      </c>
      <c r="AB275" s="22">
        <v>0.11665470208183776</v>
      </c>
      <c r="AC275" s="24">
        <v>0</v>
      </c>
      <c r="AD275" s="384">
        <v>0</v>
      </c>
    </row>
    <row r="276" spans="1:30">
      <c r="A276" s="21" t="s">
        <v>595</v>
      </c>
      <c r="B276" s="21" t="s">
        <v>596</v>
      </c>
      <c r="C276" s="23">
        <v>1786.84</v>
      </c>
      <c r="D276" s="147">
        <v>0</v>
      </c>
      <c r="E276" s="22">
        <v>264.54000000000002</v>
      </c>
      <c r="F276" s="22">
        <v>264.54000000000002</v>
      </c>
      <c r="G276" s="22">
        <v>0</v>
      </c>
      <c r="H276" s="22">
        <v>84.59</v>
      </c>
      <c r="I276" s="22">
        <v>7.89</v>
      </c>
      <c r="J276" s="22">
        <v>28.52</v>
      </c>
      <c r="K276" s="22">
        <v>4</v>
      </c>
      <c r="L276" s="22">
        <v>0</v>
      </c>
      <c r="M276" s="388">
        <v>6442.13</v>
      </c>
      <c r="N276" s="25">
        <v>0.93879999999999997</v>
      </c>
      <c r="O276" s="24">
        <v>523</v>
      </c>
      <c r="P276" s="24">
        <v>2011.75</v>
      </c>
      <c r="Q276" s="24">
        <v>1235.75</v>
      </c>
      <c r="R276" s="22">
        <v>776</v>
      </c>
      <c r="S276" s="24">
        <v>238.25</v>
      </c>
      <c r="T276" s="24">
        <f t="shared" si="16"/>
        <v>2250</v>
      </c>
      <c r="U276" s="376">
        <v>6047.87</v>
      </c>
      <c r="V276" s="376">
        <v>322.11</v>
      </c>
      <c r="W276" s="22">
        <f t="shared" si="17"/>
        <v>5677.7403559999993</v>
      </c>
      <c r="X276" s="22">
        <f t="shared" si="18"/>
        <v>860.5</v>
      </c>
      <c r="Y276" s="22">
        <v>358.5</v>
      </c>
      <c r="Z276" s="22">
        <v>502</v>
      </c>
      <c r="AA276" s="371">
        <v>6480.05</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497</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-55950.556898094183</v>
      </c>
    </row>
    <row r="278" spans="1:30">
      <c r="A278" s="21" t="s">
        <v>365</v>
      </c>
      <c r="B278" s="21" t="s">
        <v>366</v>
      </c>
      <c r="C278" s="23">
        <v>7802.64</v>
      </c>
      <c r="D278" s="147">
        <v>288.02</v>
      </c>
      <c r="E278" s="22">
        <v>1665.12</v>
      </c>
      <c r="F278" s="22">
        <v>1953.1399999999999</v>
      </c>
      <c r="G278" s="22">
        <v>0</v>
      </c>
      <c r="H278" s="22">
        <v>403.85</v>
      </c>
      <c r="I278" s="22">
        <v>22.45</v>
      </c>
      <c r="J278" s="22">
        <v>1571.94</v>
      </c>
      <c r="K278" s="22">
        <v>241.43</v>
      </c>
      <c r="L278" s="22">
        <v>13.44</v>
      </c>
      <c r="M278" s="388">
        <v>27273.629999999997</v>
      </c>
      <c r="N278" s="25">
        <v>0.57699999999999996</v>
      </c>
      <c r="O278" s="24">
        <v>497</v>
      </c>
      <c r="P278" s="24">
        <v>2957.29</v>
      </c>
      <c r="Q278" s="24">
        <v>1815.75</v>
      </c>
      <c r="R278" s="22">
        <v>1141.54</v>
      </c>
      <c r="S278" s="24">
        <v>476.5</v>
      </c>
      <c r="T278" s="24">
        <f t="shared" si="16"/>
        <v>3433.79</v>
      </c>
      <c r="U278" s="376">
        <v>15736.88</v>
      </c>
      <c r="V278" s="376">
        <v>1363.68</v>
      </c>
      <c r="W278" s="22">
        <f t="shared" si="17"/>
        <v>9080.1797599999991</v>
      </c>
      <c r="X278" s="22">
        <f t="shared" si="18"/>
        <v>3920.25</v>
      </c>
      <c r="Y278" s="22">
        <v>2416.75</v>
      </c>
      <c r="Z278" s="22">
        <v>1503.5</v>
      </c>
      <c r="AA278" s="371">
        <v>27456.87</v>
      </c>
      <c r="AB278" s="22">
        <v>0.14277847402125587</v>
      </c>
      <c r="AC278" s="24">
        <v>7.7784740212558656E-3</v>
      </c>
      <c r="AD278" s="384">
        <v>-2029217.3932077705</v>
      </c>
    </row>
    <row r="279" spans="1:30">
      <c r="A279" s="21" t="s">
        <v>153</v>
      </c>
      <c r="B279" s="21" t="s">
        <v>154</v>
      </c>
      <c r="C279" s="23">
        <v>38.799999999999997</v>
      </c>
      <c r="D279" s="147">
        <v>0</v>
      </c>
      <c r="E279" s="22">
        <v>3.58</v>
      </c>
      <c r="F279" s="22">
        <v>3.58</v>
      </c>
      <c r="G279" s="22">
        <v>0</v>
      </c>
      <c r="H279" s="22">
        <v>0</v>
      </c>
      <c r="I279" s="22">
        <v>0</v>
      </c>
      <c r="J279" s="22">
        <v>0</v>
      </c>
      <c r="K279" s="22">
        <v>0</v>
      </c>
      <c r="L279" s="22">
        <v>0</v>
      </c>
      <c r="M279" s="388">
        <v>158.76999999999998</v>
      </c>
      <c r="N279" s="25">
        <v>0.77329999999999999</v>
      </c>
      <c r="O279" s="24">
        <v>576</v>
      </c>
      <c r="P279" s="24">
        <v>0</v>
      </c>
      <c r="Q279" s="24">
        <v>0</v>
      </c>
      <c r="R279" s="22">
        <v>0</v>
      </c>
      <c r="S279" s="24">
        <v>0</v>
      </c>
      <c r="T279" s="24">
        <f t="shared" si="16"/>
        <v>0</v>
      </c>
      <c r="U279" s="376">
        <v>122.78</v>
      </c>
      <c r="V279" s="376">
        <v>0</v>
      </c>
      <c r="W279" s="22">
        <f t="shared" si="17"/>
        <v>94.945774</v>
      </c>
      <c r="X279" s="22">
        <f t="shared" si="18"/>
        <v>41.75</v>
      </c>
      <c r="Y279" s="22">
        <v>38.75</v>
      </c>
      <c r="Z279" s="22">
        <v>3</v>
      </c>
      <c r="AA279" s="371">
        <v>158.77000000000001</v>
      </c>
      <c r="AB279" s="22">
        <v>0.26295899729167976</v>
      </c>
      <c r="AC279" s="24">
        <v>0.12795899729167975</v>
      </c>
      <c r="AD279" s="384">
        <v>-176367.35468837753</v>
      </c>
    </row>
    <row r="280" spans="1:30">
      <c r="A280" s="21" t="s">
        <v>207</v>
      </c>
      <c r="B280" s="21" t="s">
        <v>208</v>
      </c>
      <c r="C280" s="23">
        <v>2586.64</v>
      </c>
      <c r="D280" s="147">
        <v>38.25</v>
      </c>
      <c r="E280" s="22">
        <v>528.95000000000005</v>
      </c>
      <c r="F280" s="22">
        <v>567.20000000000005</v>
      </c>
      <c r="G280" s="22">
        <v>0</v>
      </c>
      <c r="H280" s="22">
        <v>189.47</v>
      </c>
      <c r="I280" s="22">
        <v>17.28</v>
      </c>
      <c r="J280" s="22">
        <v>0</v>
      </c>
      <c r="K280" s="22">
        <v>14.56</v>
      </c>
      <c r="L280" s="22">
        <v>1.24</v>
      </c>
      <c r="M280" s="388">
        <v>8668.48</v>
      </c>
      <c r="N280" s="25">
        <v>0.13170000000000001</v>
      </c>
      <c r="O280" s="24">
        <v>497</v>
      </c>
      <c r="P280" s="24">
        <v>356</v>
      </c>
      <c r="Q280" s="24">
        <v>296.25</v>
      </c>
      <c r="R280" s="22">
        <v>59.75</v>
      </c>
      <c r="S280" s="24">
        <v>123</v>
      </c>
      <c r="T280" s="24">
        <f t="shared" si="16"/>
        <v>479</v>
      </c>
      <c r="U280" s="376">
        <v>1141.6400000000001</v>
      </c>
      <c r="V280" s="376">
        <v>433.42</v>
      </c>
      <c r="W280" s="22">
        <f t="shared" si="17"/>
        <v>150.35398800000002</v>
      </c>
      <c r="X280" s="22">
        <f t="shared" si="18"/>
        <v>1009.5</v>
      </c>
      <c r="Y280" s="22">
        <v>514.25</v>
      </c>
      <c r="Z280" s="22">
        <v>495.25</v>
      </c>
      <c r="AA280" s="371">
        <v>8679.9599999999991</v>
      </c>
      <c r="AB280" s="22">
        <v>0.11630237927363722</v>
      </c>
      <c r="AC280" s="24">
        <v>0</v>
      </c>
      <c r="AD280" s="384">
        <v>0</v>
      </c>
    </row>
    <row r="281" spans="1:30">
      <c r="A281" s="21" t="s">
        <v>559</v>
      </c>
      <c r="B281" s="21" t="s">
        <v>560</v>
      </c>
      <c r="C281" s="23">
        <v>55.46</v>
      </c>
      <c r="D281" s="147">
        <v>3.3</v>
      </c>
      <c r="E281" s="22">
        <v>21.49</v>
      </c>
      <c r="F281" s="22">
        <v>24.79</v>
      </c>
      <c r="G281" s="22">
        <v>0</v>
      </c>
      <c r="H281" s="22">
        <v>5.28</v>
      </c>
      <c r="I281" s="22">
        <v>0</v>
      </c>
      <c r="J281" s="22">
        <v>6.3100000000000005</v>
      </c>
      <c r="K281" s="22">
        <v>0</v>
      </c>
      <c r="L281" s="22">
        <v>0</v>
      </c>
      <c r="M281" s="388">
        <v>192.05999999999997</v>
      </c>
      <c r="N281" s="25">
        <v>0.63019999999999998</v>
      </c>
      <c r="O281" s="24">
        <v>497</v>
      </c>
      <c r="P281" s="24">
        <v>0</v>
      </c>
      <c r="Q281" s="24">
        <v>0</v>
      </c>
      <c r="R281" s="22">
        <v>0</v>
      </c>
      <c r="S281" s="24">
        <v>0</v>
      </c>
      <c r="T281" s="24">
        <f t="shared" si="16"/>
        <v>0</v>
      </c>
      <c r="U281" s="376">
        <v>121.04</v>
      </c>
      <c r="V281" s="376">
        <v>0</v>
      </c>
      <c r="W281" s="22">
        <f t="shared" si="17"/>
        <v>76.279408000000004</v>
      </c>
      <c r="X281" s="22">
        <f t="shared" si="18"/>
        <v>37.25</v>
      </c>
      <c r="Y281" s="22">
        <v>28.25</v>
      </c>
      <c r="Z281" s="22">
        <v>9</v>
      </c>
      <c r="AA281" s="371">
        <v>192.07</v>
      </c>
      <c r="AB281" s="22">
        <v>0.19393970948091843</v>
      </c>
      <c r="AC281" s="24">
        <v>5.8939709480918423E-2</v>
      </c>
      <c r="AD281" s="384">
        <v>-101465.55951364517</v>
      </c>
    </row>
    <row r="282" spans="1:30">
      <c r="A282" s="21" t="s">
        <v>521</v>
      </c>
      <c r="B282" s="21" t="s">
        <v>522</v>
      </c>
      <c r="C282" s="23">
        <v>350.26</v>
      </c>
      <c r="D282" s="147">
        <v>28.85</v>
      </c>
      <c r="E282" s="22">
        <v>89.12</v>
      </c>
      <c r="F282" s="22">
        <v>117.97</v>
      </c>
      <c r="G282" s="22">
        <v>0</v>
      </c>
      <c r="H282" s="22">
        <v>16.02</v>
      </c>
      <c r="I282" s="22">
        <v>1.05</v>
      </c>
      <c r="J282" s="22">
        <v>0</v>
      </c>
      <c r="K282" s="22">
        <v>9</v>
      </c>
      <c r="L282" s="22">
        <v>0</v>
      </c>
      <c r="M282" s="388">
        <v>1235.96</v>
      </c>
      <c r="N282" s="25">
        <v>0.47820000000000001</v>
      </c>
      <c r="O282" s="24">
        <v>497</v>
      </c>
      <c r="P282" s="24">
        <v>9</v>
      </c>
      <c r="Q282" s="24">
        <v>2</v>
      </c>
      <c r="R282" s="22">
        <v>7</v>
      </c>
      <c r="S282" s="24">
        <v>1</v>
      </c>
      <c r="T282" s="24">
        <f t="shared" si="16"/>
        <v>10</v>
      </c>
      <c r="U282" s="376">
        <v>591.04</v>
      </c>
      <c r="V282" s="376">
        <v>61.8</v>
      </c>
      <c r="W282" s="22">
        <f t="shared" si="17"/>
        <v>282.63532800000002</v>
      </c>
      <c r="X282" s="22">
        <f t="shared" si="18"/>
        <v>192</v>
      </c>
      <c r="Y282" s="22">
        <v>93.75</v>
      </c>
      <c r="Z282" s="22">
        <v>98.25</v>
      </c>
      <c r="AA282" s="371">
        <v>1242.97</v>
      </c>
      <c r="AB282" s="22">
        <v>0.15446873214960941</v>
      </c>
      <c r="AC282" s="24">
        <v>1.9468732149609397E-2</v>
      </c>
      <c r="AD282" s="384">
        <v>-210669.77477733555</v>
      </c>
    </row>
    <row r="283" spans="1:30">
      <c r="A283" s="21" t="s">
        <v>243</v>
      </c>
      <c r="B283" s="21" t="s">
        <v>244</v>
      </c>
      <c r="C283" s="23">
        <v>75.930000000000007</v>
      </c>
      <c r="D283" s="147">
        <v>3.47</v>
      </c>
      <c r="E283" s="22">
        <v>10.039999999999999</v>
      </c>
      <c r="F283" s="22">
        <v>13.51</v>
      </c>
      <c r="G283" s="22">
        <v>0</v>
      </c>
      <c r="H283" s="22">
        <v>7</v>
      </c>
      <c r="I283" s="22">
        <v>0</v>
      </c>
      <c r="J283" s="22">
        <v>0</v>
      </c>
      <c r="K283" s="22">
        <v>0</v>
      </c>
      <c r="L283" s="22">
        <v>0</v>
      </c>
      <c r="M283" s="388">
        <v>223.17999999999998</v>
      </c>
      <c r="N283" s="25">
        <v>0.47689999999999999</v>
      </c>
      <c r="O283" s="24">
        <v>497</v>
      </c>
      <c r="P283" s="24">
        <v>2</v>
      </c>
      <c r="Q283" s="24">
        <v>1.5</v>
      </c>
      <c r="R283" s="22">
        <v>0.5</v>
      </c>
      <c r="S283" s="24">
        <v>1.5</v>
      </c>
      <c r="T283" s="24">
        <f t="shared" si="16"/>
        <v>3.5</v>
      </c>
      <c r="U283" s="376">
        <v>106.43</v>
      </c>
      <c r="V283" s="376">
        <v>11.16</v>
      </c>
      <c r="W283" s="22">
        <f t="shared" si="17"/>
        <v>50.756467000000001</v>
      </c>
      <c r="X283" s="22">
        <f t="shared" si="18"/>
        <v>31.5</v>
      </c>
      <c r="Y283" s="22">
        <v>26.5</v>
      </c>
      <c r="Z283" s="22">
        <v>5</v>
      </c>
      <c r="AA283" s="371">
        <v>224.18</v>
      </c>
      <c r="AB283" s="22">
        <v>0.14051208850031224</v>
      </c>
      <c r="AC283" s="24">
        <v>5.5120885003122344E-3</v>
      </c>
      <c r="AD283" s="384">
        <v>-10928.074648918466</v>
      </c>
    </row>
    <row r="284" spans="1:30">
      <c r="A284" s="21" t="s">
        <v>285</v>
      </c>
      <c r="B284" s="21" t="s">
        <v>286</v>
      </c>
      <c r="C284" s="23">
        <v>263.68</v>
      </c>
      <c r="D284" s="147">
        <v>17.43</v>
      </c>
      <c r="E284" s="22">
        <v>49.86</v>
      </c>
      <c r="F284" s="22">
        <v>67.289999999999992</v>
      </c>
      <c r="G284" s="22">
        <v>0</v>
      </c>
      <c r="H284" s="22">
        <v>15.81</v>
      </c>
      <c r="I284" s="22">
        <v>2.13</v>
      </c>
      <c r="J284" s="22">
        <v>49.8</v>
      </c>
      <c r="K284" s="22">
        <v>0.4</v>
      </c>
      <c r="L284" s="22">
        <v>0</v>
      </c>
      <c r="M284" s="388">
        <v>800.58999999999992</v>
      </c>
      <c r="N284" s="25">
        <v>0.52</v>
      </c>
      <c r="O284" s="24">
        <v>497</v>
      </c>
      <c r="P284" s="24">
        <v>8</v>
      </c>
      <c r="Q284" s="24">
        <v>3</v>
      </c>
      <c r="R284" s="22">
        <v>5</v>
      </c>
      <c r="S284" s="24">
        <v>0.75</v>
      </c>
      <c r="T284" s="24">
        <f t="shared" si="16"/>
        <v>8.75</v>
      </c>
      <c r="U284" s="376">
        <v>416.31</v>
      </c>
      <c r="V284" s="376">
        <v>40.03</v>
      </c>
      <c r="W284" s="22">
        <f t="shared" si="17"/>
        <v>216.4812</v>
      </c>
      <c r="X284" s="22">
        <f t="shared" si="18"/>
        <v>111.75</v>
      </c>
      <c r="Y284" s="22">
        <v>61</v>
      </c>
      <c r="Z284" s="22">
        <v>50.75</v>
      </c>
      <c r="AA284" s="371">
        <v>798.78</v>
      </c>
      <c r="AB284" s="22">
        <v>0.13990084879441148</v>
      </c>
      <c r="AC284" s="24">
        <v>4.9008487944114665E-3</v>
      </c>
      <c r="AD284" s="384">
        <v>-35341.638829700947</v>
      </c>
    </row>
    <row r="285" spans="1:30">
      <c r="A285" s="21" t="s">
        <v>339</v>
      </c>
      <c r="B285" s="21" t="s">
        <v>340</v>
      </c>
      <c r="C285" s="23">
        <v>275.39999999999998</v>
      </c>
      <c r="D285" s="147">
        <v>12.14</v>
      </c>
      <c r="E285" s="22">
        <v>30.54</v>
      </c>
      <c r="F285" s="22">
        <v>42.68</v>
      </c>
      <c r="G285" s="22">
        <v>0</v>
      </c>
      <c r="H285" s="22">
        <v>50.03</v>
      </c>
      <c r="I285" s="22">
        <v>4.07</v>
      </c>
      <c r="J285" s="22">
        <v>113.13999999999999</v>
      </c>
      <c r="K285" s="22">
        <v>0</v>
      </c>
      <c r="L285" s="22">
        <v>0</v>
      </c>
      <c r="M285" s="388">
        <v>1140.73</v>
      </c>
      <c r="N285" s="25">
        <v>0.76719999999999999</v>
      </c>
      <c r="O285" s="24">
        <v>497</v>
      </c>
      <c r="P285" s="24">
        <v>128.75</v>
      </c>
      <c r="Q285" s="24">
        <v>91</v>
      </c>
      <c r="R285" s="22">
        <v>37.75</v>
      </c>
      <c r="S285" s="24">
        <v>30</v>
      </c>
      <c r="T285" s="24">
        <f t="shared" si="16"/>
        <v>158.75</v>
      </c>
      <c r="U285" s="376">
        <v>875.17</v>
      </c>
      <c r="V285" s="376">
        <v>57.04</v>
      </c>
      <c r="W285" s="22">
        <f t="shared" si="17"/>
        <v>671.43042400000002</v>
      </c>
      <c r="X285" s="22">
        <f t="shared" si="18"/>
        <v>123</v>
      </c>
      <c r="Y285" s="22">
        <v>78.75</v>
      </c>
      <c r="Z285" s="22">
        <v>44.25</v>
      </c>
      <c r="AA285" s="371">
        <v>1140.73</v>
      </c>
      <c r="AB285" s="22">
        <v>0.10782569056656702</v>
      </c>
      <c r="AC285" s="24">
        <v>0</v>
      </c>
      <c r="AD285" s="384">
        <v>0</v>
      </c>
    </row>
    <row r="286" spans="1:30">
      <c r="A286" s="21" t="s">
        <v>597</v>
      </c>
      <c r="B286" s="21" t="s">
        <v>598</v>
      </c>
      <c r="C286" s="23">
        <v>1003.4</v>
      </c>
      <c r="D286" s="147">
        <v>125.49</v>
      </c>
      <c r="E286" s="22">
        <v>480.32</v>
      </c>
      <c r="F286" s="22">
        <v>605.80999999999995</v>
      </c>
      <c r="G286" s="22">
        <v>0</v>
      </c>
      <c r="H286" s="22">
        <v>64.73</v>
      </c>
      <c r="I286" s="22">
        <v>4.2300000000000004</v>
      </c>
      <c r="J286" s="22">
        <v>827.81</v>
      </c>
      <c r="K286" s="22">
        <v>0</v>
      </c>
      <c r="L286" s="22">
        <v>0</v>
      </c>
      <c r="M286" s="388">
        <v>4265.32</v>
      </c>
      <c r="N286" s="25">
        <v>0.93710000000000004</v>
      </c>
      <c r="O286" s="24">
        <v>523</v>
      </c>
      <c r="P286" s="24">
        <v>1305.5</v>
      </c>
      <c r="Q286" s="24">
        <v>747.25</v>
      </c>
      <c r="R286" s="22">
        <v>558.25</v>
      </c>
      <c r="S286" s="24">
        <v>186.5</v>
      </c>
      <c r="T286" s="24">
        <f t="shared" si="16"/>
        <v>1492</v>
      </c>
      <c r="U286" s="376">
        <v>3997.03</v>
      </c>
      <c r="V286" s="376">
        <v>213.27</v>
      </c>
      <c r="W286" s="22">
        <f t="shared" si="17"/>
        <v>3745.6168130000005</v>
      </c>
      <c r="X286" s="22">
        <f t="shared" si="18"/>
        <v>527.5</v>
      </c>
      <c r="Y286" s="22">
        <v>484.5</v>
      </c>
      <c r="Z286" s="22">
        <v>43</v>
      </c>
      <c r="AA286" s="371">
        <v>4303.76</v>
      </c>
      <c r="AB286" s="22">
        <v>0.12256724352659069</v>
      </c>
      <c r="AC286" s="24">
        <v>0</v>
      </c>
      <c r="AD286" s="384">
        <v>0</v>
      </c>
    </row>
    <row r="287" spans="1:30">
      <c r="A287" s="21" t="s">
        <v>531</v>
      </c>
      <c r="B287" s="21" t="s">
        <v>532</v>
      </c>
      <c r="C287" s="23">
        <v>49.8</v>
      </c>
      <c r="D287" s="147">
        <v>2.99</v>
      </c>
      <c r="E287" s="22">
        <v>11.44</v>
      </c>
      <c r="F287" s="22">
        <v>14.43</v>
      </c>
      <c r="G287" s="22">
        <v>0</v>
      </c>
      <c r="H287" s="22">
        <v>5.95</v>
      </c>
      <c r="I287" s="22">
        <v>0</v>
      </c>
      <c r="J287" s="22">
        <v>0</v>
      </c>
      <c r="K287" s="22">
        <v>0</v>
      </c>
      <c r="L287" s="22">
        <v>0</v>
      </c>
      <c r="M287" s="388">
        <v>203.44</v>
      </c>
      <c r="N287" s="25">
        <v>0.55400000000000005</v>
      </c>
      <c r="O287" s="24">
        <v>497</v>
      </c>
      <c r="P287" s="24">
        <v>38</v>
      </c>
      <c r="Q287" s="24">
        <v>24</v>
      </c>
      <c r="R287" s="22">
        <v>14</v>
      </c>
      <c r="S287" s="24">
        <v>9</v>
      </c>
      <c r="T287" s="24">
        <f t="shared" si="16"/>
        <v>47</v>
      </c>
      <c r="U287" s="376">
        <v>112.71</v>
      </c>
      <c r="V287" s="376">
        <v>0</v>
      </c>
      <c r="W287" s="22">
        <f t="shared" si="17"/>
        <v>62.441340000000004</v>
      </c>
      <c r="X287" s="22">
        <f t="shared" si="18"/>
        <v>22.5</v>
      </c>
      <c r="Y287" s="22">
        <v>22</v>
      </c>
      <c r="Z287" s="22">
        <v>0.5</v>
      </c>
      <c r="AA287" s="371">
        <v>209.8</v>
      </c>
      <c r="AB287" s="22">
        <v>0.10724499523355577</v>
      </c>
      <c r="AC287" s="24">
        <v>0</v>
      </c>
      <c r="AD287" s="384">
        <v>0</v>
      </c>
    </row>
    <row r="288" spans="1:30">
      <c r="A288" s="21" t="s">
        <v>79</v>
      </c>
      <c r="B288" s="21" t="s">
        <v>80</v>
      </c>
      <c r="C288" s="23">
        <v>212.8</v>
      </c>
      <c r="D288" s="147">
        <v>17.79</v>
      </c>
      <c r="E288" s="22">
        <v>41.55</v>
      </c>
      <c r="F288" s="22">
        <v>59.339999999999996</v>
      </c>
      <c r="G288" s="22">
        <v>0</v>
      </c>
      <c r="H288" s="22">
        <v>23.36</v>
      </c>
      <c r="I288" s="22">
        <v>2.9</v>
      </c>
      <c r="J288" s="22">
        <v>13.799999999999999</v>
      </c>
      <c r="K288" s="22">
        <v>0</v>
      </c>
      <c r="L288" s="22">
        <v>0</v>
      </c>
      <c r="M288" s="388">
        <v>696.68</v>
      </c>
      <c r="N288" s="25">
        <v>0.41170000000000001</v>
      </c>
      <c r="O288" s="24">
        <v>0</v>
      </c>
      <c r="P288" s="24">
        <v>0</v>
      </c>
      <c r="Q288" s="24">
        <v>0</v>
      </c>
      <c r="R288" s="22">
        <v>0</v>
      </c>
      <c r="S288" s="24">
        <v>0</v>
      </c>
      <c r="T288" s="24">
        <f t="shared" si="16"/>
        <v>0</v>
      </c>
      <c r="U288" s="376">
        <v>286.82</v>
      </c>
      <c r="V288" s="376">
        <v>34.83</v>
      </c>
      <c r="W288" s="22">
        <f t="shared" si="17"/>
        <v>118.083794</v>
      </c>
      <c r="X288" s="22">
        <f t="shared" si="18"/>
        <v>104</v>
      </c>
      <c r="Y288" s="22">
        <v>42.75</v>
      </c>
      <c r="Z288" s="22">
        <v>61.25</v>
      </c>
      <c r="AA288" s="371">
        <v>696.68</v>
      </c>
      <c r="AB288" s="22">
        <v>0.14927943962794971</v>
      </c>
      <c r="AC288" s="24">
        <v>1.4279439627949697E-2</v>
      </c>
      <c r="AD288" s="384">
        <v>-88926.052653514547</v>
      </c>
    </row>
    <row r="289" spans="1:30">
      <c r="A289" s="21" t="s">
        <v>257</v>
      </c>
      <c r="B289" s="21" t="s">
        <v>258</v>
      </c>
      <c r="C289" s="23">
        <v>51</v>
      </c>
      <c r="D289" s="147">
        <v>0</v>
      </c>
      <c r="E289" s="22">
        <v>0</v>
      </c>
      <c r="F289" s="22">
        <v>0</v>
      </c>
      <c r="G289" s="22">
        <v>0</v>
      </c>
      <c r="H289" s="22">
        <v>2.89</v>
      </c>
      <c r="I289" s="22">
        <v>0</v>
      </c>
      <c r="J289" s="22">
        <v>2.35</v>
      </c>
      <c r="K289" s="22">
        <v>0</v>
      </c>
      <c r="L289" s="22">
        <v>0</v>
      </c>
      <c r="M289" s="388">
        <v>191.13</v>
      </c>
      <c r="N289" s="25">
        <v>0</v>
      </c>
      <c r="O289" s="24">
        <v>497</v>
      </c>
      <c r="P289" s="24">
        <v>15.5</v>
      </c>
      <c r="Q289" s="24">
        <v>7</v>
      </c>
      <c r="R289" s="22">
        <v>8.5</v>
      </c>
      <c r="S289" s="24">
        <v>0</v>
      </c>
      <c r="T289" s="24">
        <f t="shared" si="16"/>
        <v>15.5</v>
      </c>
      <c r="U289" s="376">
        <v>0</v>
      </c>
      <c r="V289" s="376">
        <v>9.56</v>
      </c>
      <c r="W289" s="22">
        <f t="shared" si="17"/>
        <v>0</v>
      </c>
      <c r="X289" s="22">
        <f t="shared" si="18"/>
        <v>17.25</v>
      </c>
      <c r="Y289" s="22">
        <v>10.5</v>
      </c>
      <c r="Z289" s="22">
        <v>6.75</v>
      </c>
      <c r="AA289" s="371">
        <v>191.13</v>
      </c>
      <c r="AB289" s="22">
        <v>9.0252707581227443E-2</v>
      </c>
      <c r="AC289" s="24">
        <v>0</v>
      </c>
      <c r="AD289" s="384">
        <v>0</v>
      </c>
    </row>
    <row r="290" spans="1:30">
      <c r="A290" s="21" t="s">
        <v>201</v>
      </c>
      <c r="B290" s="21" t="s">
        <v>202</v>
      </c>
      <c r="C290" s="23">
        <v>741.8</v>
      </c>
      <c r="D290" s="147">
        <v>0</v>
      </c>
      <c r="E290" s="22">
        <v>103.33</v>
      </c>
      <c r="F290" s="22">
        <v>103.33</v>
      </c>
      <c r="G290" s="22">
        <v>0</v>
      </c>
      <c r="H290" s="22">
        <v>55.89</v>
      </c>
      <c r="I290" s="22">
        <v>3.3</v>
      </c>
      <c r="J290" s="22">
        <v>21</v>
      </c>
      <c r="K290" s="22">
        <v>0.8</v>
      </c>
      <c r="L290" s="22">
        <v>0</v>
      </c>
      <c r="M290" s="388">
        <v>2532.5300000000002</v>
      </c>
      <c r="N290" s="25">
        <v>0.74890000000000001</v>
      </c>
      <c r="O290" s="24">
        <v>497</v>
      </c>
      <c r="P290" s="24">
        <v>1026.5</v>
      </c>
      <c r="Q290" s="24">
        <v>620.75</v>
      </c>
      <c r="R290" s="22">
        <v>405.75</v>
      </c>
      <c r="S290" s="24">
        <v>19.5</v>
      </c>
      <c r="T290" s="24">
        <f t="shared" si="16"/>
        <v>1046</v>
      </c>
      <c r="U290" s="376">
        <v>1896.61</v>
      </c>
      <c r="V290" s="376">
        <v>126.63</v>
      </c>
      <c r="W290" s="22">
        <f t="shared" si="17"/>
        <v>1420.3712289999999</v>
      </c>
      <c r="X290" s="22">
        <f t="shared" si="18"/>
        <v>328.75</v>
      </c>
      <c r="Y290" s="22">
        <v>180.5</v>
      </c>
      <c r="Z290" s="22">
        <v>148.25</v>
      </c>
      <c r="AA290" s="371">
        <v>2564.7600000000002</v>
      </c>
      <c r="AB290" s="22">
        <v>0.12817963474165223</v>
      </c>
      <c r="AC290" s="24">
        <v>0</v>
      </c>
      <c r="AD290" s="384">
        <v>0</v>
      </c>
    </row>
    <row r="291" spans="1:30">
      <c r="A291" s="21" t="s">
        <v>511</v>
      </c>
      <c r="B291" s="21" t="s">
        <v>512</v>
      </c>
      <c r="C291" s="23">
        <v>1728.77</v>
      </c>
      <c r="D291" s="147">
        <v>205.24</v>
      </c>
      <c r="E291" s="22">
        <v>390.78</v>
      </c>
      <c r="F291" s="22">
        <v>596.02</v>
      </c>
      <c r="G291" s="22">
        <v>298.81</v>
      </c>
      <c r="H291" s="22">
        <v>204.08</v>
      </c>
      <c r="I291" s="22">
        <v>17.68</v>
      </c>
      <c r="J291" s="22">
        <v>366.95</v>
      </c>
      <c r="K291" s="22">
        <v>17.399999999999999</v>
      </c>
      <c r="L291" s="22">
        <v>0</v>
      </c>
      <c r="M291" s="388">
        <v>6640.6699999999983</v>
      </c>
      <c r="N291" s="25">
        <v>0.30859999999999999</v>
      </c>
      <c r="O291" s="24">
        <v>497</v>
      </c>
      <c r="P291" s="24">
        <v>129</v>
      </c>
      <c r="Q291" s="24">
        <v>93.5</v>
      </c>
      <c r="R291" s="22">
        <v>35.5</v>
      </c>
      <c r="S291" s="24">
        <v>51.5</v>
      </c>
      <c r="T291" s="24">
        <f t="shared" si="16"/>
        <v>180.5</v>
      </c>
      <c r="U291" s="376">
        <v>2049.31</v>
      </c>
      <c r="V291" s="376">
        <v>332.03</v>
      </c>
      <c r="W291" s="22">
        <f t="shared" si="17"/>
        <v>632.41706599999998</v>
      </c>
      <c r="X291" s="22">
        <f t="shared" si="18"/>
        <v>831.75</v>
      </c>
      <c r="Y291" s="22">
        <v>470</v>
      </c>
      <c r="Z291" s="22">
        <v>361.75</v>
      </c>
      <c r="AA291" s="371">
        <v>6446.42</v>
      </c>
      <c r="AB291" s="22">
        <v>0.12902510230484518</v>
      </c>
      <c r="AC291" s="24">
        <v>0</v>
      </c>
      <c r="AD291" s="384">
        <v>0</v>
      </c>
    </row>
    <row r="292" spans="1:30">
      <c r="A292" s="21" t="s">
        <v>581</v>
      </c>
      <c r="B292" s="21" t="s">
        <v>582</v>
      </c>
      <c r="C292" s="23">
        <v>246.31</v>
      </c>
      <c r="D292" s="147">
        <v>0</v>
      </c>
      <c r="E292" s="22">
        <v>0</v>
      </c>
      <c r="F292" s="22">
        <v>0</v>
      </c>
      <c r="G292" s="22">
        <v>0</v>
      </c>
      <c r="H292" s="22">
        <v>0</v>
      </c>
      <c r="I292" s="22">
        <v>0</v>
      </c>
      <c r="J292" s="22">
        <v>0</v>
      </c>
      <c r="K292" s="22">
        <v>0</v>
      </c>
      <c r="L292" s="22">
        <v>0</v>
      </c>
      <c r="M292" s="388">
        <v>565.30999999999995</v>
      </c>
      <c r="N292" s="25">
        <v>0.93140000000000001</v>
      </c>
      <c r="O292" s="24">
        <v>497</v>
      </c>
      <c r="P292" s="24">
        <v>163.75</v>
      </c>
      <c r="Q292" s="24">
        <v>143.75</v>
      </c>
      <c r="R292" s="22">
        <v>20</v>
      </c>
      <c r="S292" s="24">
        <v>56.75</v>
      </c>
      <c r="T292" s="24">
        <f t="shared" si="16"/>
        <v>220.5</v>
      </c>
      <c r="U292" s="376">
        <v>526.53</v>
      </c>
      <c r="V292" s="376">
        <v>28.27</v>
      </c>
      <c r="W292" s="22">
        <f t="shared" si="17"/>
        <v>490.41004199999998</v>
      </c>
      <c r="X292" s="22">
        <f t="shared" si="18"/>
        <v>69.75</v>
      </c>
      <c r="Y292" s="22">
        <v>53.75</v>
      </c>
      <c r="Z292" s="22">
        <v>16</v>
      </c>
      <c r="AA292" s="371">
        <v>565.45000000000005</v>
      </c>
      <c r="AB292" s="22">
        <v>0.1233530816164117</v>
      </c>
      <c r="AC292" s="24">
        <v>0</v>
      </c>
      <c r="AD292" s="384">
        <v>0</v>
      </c>
    </row>
    <row r="293" spans="1:30">
      <c r="A293" s="21" t="s">
        <v>369</v>
      </c>
      <c r="B293" s="21" t="s">
        <v>370</v>
      </c>
      <c r="C293" s="23">
        <v>1579.43</v>
      </c>
      <c r="D293" s="147">
        <v>0</v>
      </c>
      <c r="E293" s="22">
        <v>297.42</v>
      </c>
      <c r="F293" s="22">
        <v>297.42</v>
      </c>
      <c r="G293" s="22">
        <v>0</v>
      </c>
      <c r="H293" s="22">
        <v>215.02</v>
      </c>
      <c r="I293" s="22">
        <v>4.6900000000000004</v>
      </c>
      <c r="J293" s="22">
        <v>52.400000000000006</v>
      </c>
      <c r="K293" s="22">
        <v>0</v>
      </c>
      <c r="L293" s="22">
        <v>0</v>
      </c>
      <c r="M293" s="388">
        <v>5559.82</v>
      </c>
      <c r="N293" s="25">
        <v>0.36470000000000002</v>
      </c>
      <c r="O293" s="24">
        <v>497</v>
      </c>
      <c r="P293" s="24">
        <v>293</v>
      </c>
      <c r="Q293" s="24">
        <v>221.25</v>
      </c>
      <c r="R293" s="22">
        <v>71.75</v>
      </c>
      <c r="S293" s="24">
        <v>97.25</v>
      </c>
      <c r="T293" s="24">
        <f t="shared" si="16"/>
        <v>390.25</v>
      </c>
      <c r="U293" s="376">
        <v>2027.67</v>
      </c>
      <c r="V293" s="376">
        <v>277.99</v>
      </c>
      <c r="W293" s="22">
        <f t="shared" si="17"/>
        <v>739.49124900000004</v>
      </c>
      <c r="X293" s="22">
        <f t="shared" si="18"/>
        <v>544.5</v>
      </c>
      <c r="Y293" s="22">
        <v>274.5</v>
      </c>
      <c r="Z293" s="22">
        <v>270</v>
      </c>
      <c r="AA293" s="371">
        <v>5597.44</v>
      </c>
      <c r="AB293" s="22">
        <v>9.727661216556141E-2</v>
      </c>
      <c r="AC293" s="24">
        <v>0</v>
      </c>
      <c r="AD293" s="384">
        <v>0</v>
      </c>
    </row>
    <row r="294" spans="1:30">
      <c r="A294" s="21" t="s">
        <v>489</v>
      </c>
      <c r="B294" s="21" t="s">
        <v>490</v>
      </c>
      <c r="C294" s="23">
        <v>97.2</v>
      </c>
      <c r="D294" s="147">
        <v>0</v>
      </c>
      <c r="E294" s="22">
        <v>0</v>
      </c>
      <c r="F294" s="22">
        <v>0</v>
      </c>
      <c r="G294" s="22">
        <v>0</v>
      </c>
      <c r="H294" s="22">
        <v>1.75</v>
      </c>
      <c r="I294" s="22">
        <v>0.25</v>
      </c>
      <c r="J294" s="22">
        <v>900.75</v>
      </c>
      <c r="K294" s="22">
        <v>0</v>
      </c>
      <c r="L294" s="22">
        <v>0</v>
      </c>
      <c r="M294" s="388">
        <v>1158.1500000000001</v>
      </c>
      <c r="N294" s="25">
        <v>0.2283</v>
      </c>
      <c r="O294" s="24">
        <v>497</v>
      </c>
      <c r="P294" s="24">
        <v>36.75</v>
      </c>
      <c r="Q294" s="24">
        <v>26.5</v>
      </c>
      <c r="R294" s="22">
        <v>10.25</v>
      </c>
      <c r="S294" s="24">
        <v>3</v>
      </c>
      <c r="T294" s="24">
        <f t="shared" si="16"/>
        <v>39.75</v>
      </c>
      <c r="U294" s="376">
        <v>264.41000000000003</v>
      </c>
      <c r="V294" s="376">
        <v>57.91</v>
      </c>
      <c r="W294" s="22">
        <f t="shared" si="17"/>
        <v>60.364803000000009</v>
      </c>
      <c r="X294" s="22">
        <f t="shared" si="18"/>
        <v>109.5</v>
      </c>
      <c r="Y294" s="22">
        <v>99</v>
      </c>
      <c r="Z294" s="22">
        <v>10.5</v>
      </c>
      <c r="AA294" s="371">
        <v>1156.2</v>
      </c>
      <c r="AB294" s="22">
        <v>9.4706798131811099E-2</v>
      </c>
      <c r="AC294" s="24">
        <v>0</v>
      </c>
      <c r="AD294" s="384">
        <v>0</v>
      </c>
    </row>
    <row r="295" spans="1:30">
      <c r="A295" s="21" t="s">
        <v>55</v>
      </c>
      <c r="B295" s="21" t="s">
        <v>56</v>
      </c>
      <c r="C295" s="23">
        <v>5953.49</v>
      </c>
      <c r="D295" s="147">
        <v>264.52</v>
      </c>
      <c r="E295" s="22">
        <v>1367.27</v>
      </c>
      <c r="F295" s="22">
        <v>1631.79</v>
      </c>
      <c r="G295" s="22">
        <v>0</v>
      </c>
      <c r="H295" s="22">
        <v>361.05</v>
      </c>
      <c r="I295" s="22">
        <v>4.42</v>
      </c>
      <c r="J295" s="22">
        <v>1056.3499999999999</v>
      </c>
      <c r="K295" s="22">
        <v>212.39</v>
      </c>
      <c r="L295" s="22">
        <v>0.37</v>
      </c>
      <c r="M295" s="388">
        <v>21449.279999999995</v>
      </c>
      <c r="N295" s="25">
        <v>0.4849</v>
      </c>
      <c r="O295" s="24">
        <v>0</v>
      </c>
      <c r="P295" s="24">
        <v>2930.5</v>
      </c>
      <c r="Q295" s="24">
        <v>1833</v>
      </c>
      <c r="R295" s="22">
        <v>1097.5</v>
      </c>
      <c r="S295" s="24">
        <v>481.75</v>
      </c>
      <c r="T295" s="24">
        <f t="shared" si="16"/>
        <v>3412.25</v>
      </c>
      <c r="U295" s="376">
        <v>10400.76</v>
      </c>
      <c r="V295" s="376">
        <v>1072.46</v>
      </c>
      <c r="W295" s="22">
        <f t="shared" si="17"/>
        <v>5043.3285240000005</v>
      </c>
      <c r="X295" s="22">
        <f t="shared" si="18"/>
        <v>2856.25</v>
      </c>
      <c r="Y295" s="22">
        <v>1787</v>
      </c>
      <c r="Z295" s="22">
        <v>1069.25</v>
      </c>
      <c r="AA295" s="371">
        <v>21527.19</v>
      </c>
      <c r="AB295" s="22">
        <v>0.13268104197528802</v>
      </c>
      <c r="AC295" s="24">
        <v>0</v>
      </c>
      <c r="AD295" s="384">
        <v>0</v>
      </c>
    </row>
    <row r="296" spans="1:30">
      <c r="A296" s="21" t="s">
        <v>193</v>
      </c>
      <c r="B296" s="21" t="s">
        <v>194</v>
      </c>
      <c r="C296" s="23">
        <v>274.36</v>
      </c>
      <c r="D296" s="147">
        <v>21.13</v>
      </c>
      <c r="E296" s="22">
        <v>96.95</v>
      </c>
      <c r="F296" s="22">
        <v>118.08</v>
      </c>
      <c r="G296" s="22">
        <v>0</v>
      </c>
      <c r="H296" s="22">
        <v>31.75</v>
      </c>
      <c r="I296" s="22">
        <v>0.68</v>
      </c>
      <c r="J296" s="22">
        <v>129.49</v>
      </c>
      <c r="K296" s="22">
        <v>0</v>
      </c>
      <c r="L296" s="22">
        <v>0</v>
      </c>
      <c r="M296" s="388">
        <v>1481.5300000000002</v>
      </c>
      <c r="N296" s="25">
        <v>0.2334</v>
      </c>
      <c r="O296" s="24">
        <v>497</v>
      </c>
      <c r="P296" s="24">
        <v>74.75</v>
      </c>
      <c r="Q296" s="24">
        <v>43.5</v>
      </c>
      <c r="R296" s="22">
        <v>31.25</v>
      </c>
      <c r="S296" s="24">
        <v>6</v>
      </c>
      <c r="T296" s="24">
        <f t="shared" si="16"/>
        <v>80.75</v>
      </c>
      <c r="U296" s="376">
        <v>345.79</v>
      </c>
      <c r="V296" s="376">
        <v>74.08</v>
      </c>
      <c r="W296" s="22">
        <f t="shared" si="17"/>
        <v>80.707386</v>
      </c>
      <c r="X296" s="22">
        <f t="shared" si="18"/>
        <v>165</v>
      </c>
      <c r="Y296" s="22">
        <v>129</v>
      </c>
      <c r="Z296" s="22">
        <v>36</v>
      </c>
      <c r="AA296" s="371">
        <v>1483.22</v>
      </c>
      <c r="AB296" s="22">
        <v>0.11124445463248878</v>
      </c>
      <c r="AC296" s="24">
        <v>0</v>
      </c>
      <c r="AD296" s="384">
        <v>0</v>
      </c>
    </row>
    <row r="297" spans="1:30">
      <c r="A297" s="21" t="s">
        <v>1024</v>
      </c>
      <c r="B297" s="21" t="s">
        <v>1044</v>
      </c>
      <c r="C297" s="23">
        <v>55.2</v>
      </c>
      <c r="D297" s="147">
        <v>0</v>
      </c>
      <c r="E297" s="22">
        <v>0</v>
      </c>
      <c r="F297" s="22">
        <v>0</v>
      </c>
      <c r="G297" s="22">
        <v>0</v>
      </c>
      <c r="H297" s="22">
        <v>0</v>
      </c>
      <c r="I297" s="22">
        <v>0</v>
      </c>
      <c r="J297" s="22">
        <v>0</v>
      </c>
      <c r="K297" s="22">
        <v>0</v>
      </c>
      <c r="L297" s="22">
        <v>0</v>
      </c>
      <c r="M297" s="388">
        <v>125.60000000000001</v>
      </c>
      <c r="N297" s="25">
        <v>0.9919</v>
      </c>
      <c r="O297" s="24">
        <v>497</v>
      </c>
      <c r="P297" s="24">
        <v>0</v>
      </c>
      <c r="Q297" s="24">
        <v>0</v>
      </c>
      <c r="R297" s="22">
        <v>0</v>
      </c>
      <c r="S297" s="24">
        <v>0</v>
      </c>
      <c r="T297" s="24">
        <f t="shared" si="16"/>
        <v>0</v>
      </c>
      <c r="U297" s="376">
        <v>124.58</v>
      </c>
      <c r="V297" s="376">
        <v>0</v>
      </c>
      <c r="W297" s="22">
        <f t="shared" si="17"/>
        <v>123.570902</v>
      </c>
      <c r="X297" s="22">
        <f t="shared" si="18"/>
        <v>16.5</v>
      </c>
      <c r="Y297" s="22">
        <v>15.5</v>
      </c>
      <c r="Z297" s="22">
        <v>1</v>
      </c>
      <c r="AA297" s="371">
        <v>125.6</v>
      </c>
      <c r="AB297" s="22">
        <v>0.13136942675159236</v>
      </c>
      <c r="AC297" s="24">
        <v>0</v>
      </c>
      <c r="AD297" s="384">
        <v>0</v>
      </c>
    </row>
    <row r="298" spans="1:30">
      <c r="A298" s="21" t="s">
        <v>523</v>
      </c>
      <c r="B298" s="21" t="s">
        <v>524</v>
      </c>
      <c r="C298" s="23">
        <v>119.2</v>
      </c>
      <c r="D298" s="147">
        <v>0</v>
      </c>
      <c r="E298" s="22">
        <v>25.53</v>
      </c>
      <c r="F298" s="22">
        <v>25.53</v>
      </c>
      <c r="G298" s="22">
        <v>0</v>
      </c>
      <c r="H298" s="22">
        <v>7.02</v>
      </c>
      <c r="I298" s="22">
        <v>0.53</v>
      </c>
      <c r="J298" s="22">
        <v>19.79</v>
      </c>
      <c r="K298" s="22">
        <v>0</v>
      </c>
      <c r="L298" s="22">
        <v>0</v>
      </c>
      <c r="M298" s="388">
        <v>451.68</v>
      </c>
      <c r="N298" s="25">
        <v>0.64859999999999995</v>
      </c>
      <c r="O298" s="24">
        <v>497</v>
      </c>
      <c r="P298" s="24">
        <v>16.25</v>
      </c>
      <c r="Q298" s="24">
        <v>7.75</v>
      </c>
      <c r="R298" s="22">
        <v>8.5</v>
      </c>
      <c r="S298" s="24">
        <v>0</v>
      </c>
      <c r="T298" s="24">
        <f t="shared" si="16"/>
        <v>16.25</v>
      </c>
      <c r="U298" s="376">
        <v>292.95999999999998</v>
      </c>
      <c r="V298" s="376">
        <v>0</v>
      </c>
      <c r="W298" s="22">
        <f t="shared" si="17"/>
        <v>190.01385599999998</v>
      </c>
      <c r="X298" s="22">
        <f t="shared" si="18"/>
        <v>76.25</v>
      </c>
      <c r="Y298" s="22">
        <v>43.75</v>
      </c>
      <c r="Z298" s="22">
        <v>32.5</v>
      </c>
      <c r="AA298" s="371">
        <v>451.68</v>
      </c>
      <c r="AB298" s="22">
        <v>0.16881420474672335</v>
      </c>
      <c r="AC298" s="24">
        <v>3.3814204746723336E-2</v>
      </c>
      <c r="AD298" s="384">
        <v>-135729.53107407753</v>
      </c>
    </row>
    <row r="299" spans="1:30">
      <c r="A299" s="21" t="s">
        <v>121</v>
      </c>
      <c r="B299" s="21" t="s">
        <v>122</v>
      </c>
      <c r="C299" s="23">
        <v>643.79999999999995</v>
      </c>
      <c r="D299" s="147">
        <v>65.14</v>
      </c>
      <c r="E299" s="22">
        <v>208.3</v>
      </c>
      <c r="F299" s="22">
        <v>273.44</v>
      </c>
      <c r="G299" s="22">
        <v>0</v>
      </c>
      <c r="H299" s="22">
        <v>34.31</v>
      </c>
      <c r="I299" s="22">
        <v>1.99</v>
      </c>
      <c r="J299" s="22">
        <v>0</v>
      </c>
      <c r="K299" s="22">
        <v>0</v>
      </c>
      <c r="L299" s="22">
        <v>0</v>
      </c>
      <c r="M299" s="388">
        <v>2400.6899999999996</v>
      </c>
      <c r="N299" s="25">
        <v>0.96819999999999995</v>
      </c>
      <c r="O299" s="24">
        <v>576</v>
      </c>
      <c r="P299" s="24">
        <v>1197</v>
      </c>
      <c r="Q299" s="24">
        <v>747.75</v>
      </c>
      <c r="R299" s="22">
        <v>449.25</v>
      </c>
      <c r="S299" s="24">
        <v>228.5</v>
      </c>
      <c r="T299" s="24">
        <f t="shared" si="16"/>
        <v>1425.5</v>
      </c>
      <c r="U299" s="376">
        <v>2324.35</v>
      </c>
      <c r="V299" s="376">
        <v>120.03</v>
      </c>
      <c r="W299" s="22">
        <f t="shared" si="17"/>
        <v>2250.4356699999998</v>
      </c>
      <c r="X299" s="22">
        <f t="shared" si="18"/>
        <v>294.25</v>
      </c>
      <c r="Y299" s="22">
        <v>168.75</v>
      </c>
      <c r="Z299" s="22">
        <v>125.5</v>
      </c>
      <c r="AA299" s="371">
        <v>2428.12</v>
      </c>
      <c r="AB299" s="22">
        <v>0.1211842907269822</v>
      </c>
      <c r="AC299" s="24">
        <v>0</v>
      </c>
      <c r="AD299" s="384">
        <v>0</v>
      </c>
    </row>
    <row r="300" spans="1:30">
      <c r="A300" s="21" t="s">
        <v>535</v>
      </c>
      <c r="B300" s="21" t="s">
        <v>536</v>
      </c>
      <c r="C300" s="23">
        <v>71.5</v>
      </c>
      <c r="D300" s="147">
        <v>4.5</v>
      </c>
      <c r="E300" s="22">
        <v>10.26</v>
      </c>
      <c r="F300" s="22">
        <v>14.76</v>
      </c>
      <c r="G300" s="22">
        <v>0</v>
      </c>
      <c r="H300" s="22">
        <v>2.79</v>
      </c>
      <c r="I300" s="22">
        <v>0.67</v>
      </c>
      <c r="J300" s="22">
        <v>0</v>
      </c>
      <c r="K300" s="22">
        <v>0</v>
      </c>
      <c r="L300" s="22">
        <v>0</v>
      </c>
      <c r="M300" s="388">
        <v>262.04000000000008</v>
      </c>
      <c r="N300" s="25">
        <v>0.56779999999999997</v>
      </c>
      <c r="O300" s="24">
        <v>497</v>
      </c>
      <c r="P300" s="24">
        <v>1.5</v>
      </c>
      <c r="Q300" s="24">
        <v>0.5</v>
      </c>
      <c r="R300" s="22">
        <v>1</v>
      </c>
      <c r="S300" s="24">
        <v>0</v>
      </c>
      <c r="T300" s="24">
        <f t="shared" si="16"/>
        <v>1.5</v>
      </c>
      <c r="U300" s="376">
        <v>148.79</v>
      </c>
      <c r="V300" s="376">
        <v>0</v>
      </c>
      <c r="W300" s="22">
        <f t="shared" si="17"/>
        <v>84.482961999999986</v>
      </c>
      <c r="X300" s="22">
        <f t="shared" si="18"/>
        <v>21.75</v>
      </c>
      <c r="Y300" s="22">
        <v>20.75</v>
      </c>
      <c r="Z300" s="22">
        <v>1</v>
      </c>
      <c r="AA300" s="371">
        <v>264.05</v>
      </c>
      <c r="AB300" s="22">
        <v>8.2370763113046766E-2</v>
      </c>
      <c r="AC300" s="24">
        <v>0</v>
      </c>
      <c r="AD300" s="384">
        <v>0</v>
      </c>
    </row>
    <row r="301" spans="1:30">
      <c r="A301" s="21" t="s">
        <v>527</v>
      </c>
      <c r="B301" s="21" t="s">
        <v>528</v>
      </c>
      <c r="C301" s="23">
        <v>1508.22</v>
      </c>
      <c r="D301" s="147">
        <v>64.94</v>
      </c>
      <c r="E301" s="22">
        <v>293.41000000000003</v>
      </c>
      <c r="F301" s="22">
        <v>358.35</v>
      </c>
      <c r="G301" s="22">
        <v>92.35</v>
      </c>
      <c r="H301" s="22">
        <v>89.96</v>
      </c>
      <c r="I301" s="22">
        <v>9.11</v>
      </c>
      <c r="J301" s="22">
        <v>344.87</v>
      </c>
      <c r="K301" s="22">
        <v>94.2</v>
      </c>
      <c r="L301" s="22">
        <v>0.2</v>
      </c>
      <c r="M301" s="388">
        <v>5480.4599999999991</v>
      </c>
      <c r="N301" s="25">
        <v>0.55479999999999996</v>
      </c>
      <c r="O301" s="24">
        <v>497</v>
      </c>
      <c r="P301" s="24">
        <v>780.25</v>
      </c>
      <c r="Q301" s="24">
        <v>541</v>
      </c>
      <c r="R301" s="22">
        <v>239.25</v>
      </c>
      <c r="S301" s="24">
        <v>140.5</v>
      </c>
      <c r="T301" s="24">
        <f t="shared" si="16"/>
        <v>920.75</v>
      </c>
      <c r="U301" s="376">
        <v>3040.56</v>
      </c>
      <c r="V301" s="376">
        <v>274.02</v>
      </c>
      <c r="W301" s="22">
        <f t="shared" si="17"/>
        <v>1686.9026879999999</v>
      </c>
      <c r="X301" s="22">
        <f t="shared" si="18"/>
        <v>799</v>
      </c>
      <c r="Y301" s="22">
        <v>459.75</v>
      </c>
      <c r="Z301" s="22">
        <v>339.25</v>
      </c>
      <c r="AA301" s="371">
        <v>5465.81</v>
      </c>
      <c r="AB301" s="22">
        <v>0.14618144428730598</v>
      </c>
      <c r="AC301" s="24">
        <v>1.1181444287305969E-2</v>
      </c>
      <c r="AD301" s="384">
        <v>-544600.34222499118</v>
      </c>
    </row>
    <row r="302" spans="1:30">
      <c r="A302" s="21" t="s">
        <v>605</v>
      </c>
      <c r="B302" s="21" t="s">
        <v>606</v>
      </c>
      <c r="C302" s="23">
        <v>878.61</v>
      </c>
      <c r="D302" s="147">
        <v>57.4</v>
      </c>
      <c r="E302" s="22">
        <v>256.31</v>
      </c>
      <c r="F302" s="22">
        <v>313.70999999999998</v>
      </c>
      <c r="G302" s="22">
        <v>0</v>
      </c>
      <c r="H302" s="22">
        <v>15.45</v>
      </c>
      <c r="I302" s="22">
        <v>1.08</v>
      </c>
      <c r="J302" s="22">
        <v>28.75</v>
      </c>
      <c r="K302" s="22">
        <v>4.2</v>
      </c>
      <c r="L302" s="22">
        <v>0</v>
      </c>
      <c r="M302" s="388">
        <v>3058.3299999999995</v>
      </c>
      <c r="N302" s="25">
        <v>0.90910000000000002</v>
      </c>
      <c r="O302" s="24">
        <v>1260</v>
      </c>
      <c r="P302" s="24">
        <v>1045</v>
      </c>
      <c r="Q302" s="24">
        <v>595.5</v>
      </c>
      <c r="R302" s="22">
        <v>449.5</v>
      </c>
      <c r="S302" s="24">
        <v>151.25</v>
      </c>
      <c r="T302" s="24">
        <f t="shared" si="16"/>
        <v>1196.25</v>
      </c>
      <c r="U302" s="376">
        <v>2780.33</v>
      </c>
      <c r="V302" s="376">
        <v>152.91999999999999</v>
      </c>
      <c r="W302" s="22">
        <f t="shared" si="17"/>
        <v>2527.5980030000001</v>
      </c>
      <c r="X302" s="22">
        <f t="shared" si="18"/>
        <v>385.25</v>
      </c>
      <c r="Y302" s="22">
        <v>290</v>
      </c>
      <c r="Z302" s="22">
        <v>95.25</v>
      </c>
      <c r="AA302" s="371">
        <v>3067.73</v>
      </c>
      <c r="AB302" s="22">
        <v>0.1255814559951495</v>
      </c>
      <c r="AC302" s="24">
        <v>0</v>
      </c>
      <c r="AD302" s="384">
        <v>0</v>
      </c>
    </row>
    <row r="303" spans="1:30">
      <c r="A303" s="21" t="s">
        <v>125</v>
      </c>
      <c r="B303" s="21" t="s">
        <v>126</v>
      </c>
      <c r="C303" s="23">
        <v>230.2</v>
      </c>
      <c r="D303" s="147">
        <v>3.09</v>
      </c>
      <c r="E303" s="22">
        <v>54.3</v>
      </c>
      <c r="F303" s="22">
        <v>57.39</v>
      </c>
      <c r="G303" s="22">
        <v>0</v>
      </c>
      <c r="H303" s="22">
        <v>21.62</v>
      </c>
      <c r="I303" s="22">
        <v>2.0699999999999998</v>
      </c>
      <c r="J303" s="22">
        <v>0</v>
      </c>
      <c r="K303" s="22">
        <v>0</v>
      </c>
      <c r="L303" s="22">
        <v>0</v>
      </c>
      <c r="M303" s="388">
        <v>886.39</v>
      </c>
      <c r="N303" s="25">
        <v>0.85399999999999998</v>
      </c>
      <c r="O303" s="24">
        <v>576</v>
      </c>
      <c r="P303" s="24">
        <v>236.25</v>
      </c>
      <c r="Q303" s="24">
        <v>158.75</v>
      </c>
      <c r="R303" s="22">
        <v>77.5</v>
      </c>
      <c r="S303" s="24">
        <v>53.25</v>
      </c>
      <c r="T303" s="24">
        <f t="shared" si="16"/>
        <v>289.5</v>
      </c>
      <c r="U303" s="376">
        <v>756.98</v>
      </c>
      <c r="V303" s="376">
        <v>44.32</v>
      </c>
      <c r="W303" s="22">
        <f t="shared" si="17"/>
        <v>646.46091999999999</v>
      </c>
      <c r="X303" s="22">
        <f t="shared" si="18"/>
        <v>123.5</v>
      </c>
      <c r="Y303" s="22">
        <v>43.5</v>
      </c>
      <c r="Z303" s="22">
        <v>80</v>
      </c>
      <c r="AA303" s="371">
        <v>887.16</v>
      </c>
      <c r="AB303" s="22">
        <v>0.13920826006582804</v>
      </c>
      <c r="AC303" s="24">
        <v>4.2082600658280289E-3</v>
      </c>
      <c r="AD303" s="384">
        <v>-32244.009104831177</v>
      </c>
    </row>
    <row r="304" spans="1:30">
      <c r="A304" s="21" t="s">
        <v>63</v>
      </c>
      <c r="B304" s="21" t="s">
        <v>64</v>
      </c>
      <c r="C304" s="23">
        <v>757.57</v>
      </c>
      <c r="D304" s="147">
        <v>43.91</v>
      </c>
      <c r="E304" s="22">
        <v>224.87</v>
      </c>
      <c r="F304" s="22">
        <v>268.77999999999997</v>
      </c>
      <c r="G304" s="22">
        <v>0</v>
      </c>
      <c r="H304" s="22">
        <v>63.25</v>
      </c>
      <c r="I304" s="22">
        <v>0.7</v>
      </c>
      <c r="J304" s="22">
        <v>108.76</v>
      </c>
      <c r="K304" s="22">
        <v>5.4</v>
      </c>
      <c r="L304" s="22">
        <v>0</v>
      </c>
      <c r="M304" s="388">
        <v>2899.5800000000004</v>
      </c>
      <c r="N304" s="25">
        <v>0.34239999999999998</v>
      </c>
      <c r="O304" s="24">
        <v>0</v>
      </c>
      <c r="P304" s="24">
        <v>77.25</v>
      </c>
      <c r="Q304" s="24">
        <v>43.75</v>
      </c>
      <c r="R304" s="22">
        <v>33.5</v>
      </c>
      <c r="S304" s="24">
        <v>11</v>
      </c>
      <c r="T304" s="24">
        <f t="shared" si="16"/>
        <v>88.25</v>
      </c>
      <c r="U304" s="376">
        <v>992.82</v>
      </c>
      <c r="V304" s="376">
        <v>144.97999999999999</v>
      </c>
      <c r="W304" s="22">
        <f t="shared" si="17"/>
        <v>339.94156800000002</v>
      </c>
      <c r="X304" s="22">
        <f t="shared" si="18"/>
        <v>440.75</v>
      </c>
      <c r="Y304" s="22">
        <v>316.25</v>
      </c>
      <c r="Z304" s="22">
        <v>124.5</v>
      </c>
      <c r="AA304" s="371">
        <v>2943.94</v>
      </c>
      <c r="AB304" s="22">
        <v>0.14971432841701937</v>
      </c>
      <c r="AC304" s="24">
        <v>1.4714328417019362E-2</v>
      </c>
      <c r="AD304" s="384">
        <v>-392995.07064141636</v>
      </c>
    </row>
    <row r="305" spans="1:30">
      <c r="A305" s="21" t="s">
        <v>3</v>
      </c>
      <c r="B305" s="21" t="s">
        <v>4</v>
      </c>
      <c r="C305" s="23">
        <v>21.4</v>
      </c>
      <c r="D305" s="147">
        <v>2.9</v>
      </c>
      <c r="E305" s="22">
        <v>2.7</v>
      </c>
      <c r="F305" s="22">
        <v>5.6</v>
      </c>
      <c r="G305" s="22">
        <v>0</v>
      </c>
      <c r="H305" s="22">
        <v>0</v>
      </c>
      <c r="I305" s="22">
        <v>0</v>
      </c>
      <c r="J305" s="22">
        <v>0</v>
      </c>
      <c r="K305" s="22">
        <v>0</v>
      </c>
      <c r="L305" s="22">
        <v>0</v>
      </c>
      <c r="M305" s="388">
        <v>78.11</v>
      </c>
      <c r="N305" s="25">
        <v>0.74390000000000001</v>
      </c>
      <c r="O305" s="24">
        <v>0</v>
      </c>
      <c r="P305" s="24">
        <v>1</v>
      </c>
      <c r="Q305" s="24">
        <v>1</v>
      </c>
      <c r="R305" s="22">
        <v>0</v>
      </c>
      <c r="S305" s="24">
        <v>0</v>
      </c>
      <c r="T305" s="24">
        <f t="shared" si="16"/>
        <v>1</v>
      </c>
      <c r="U305" s="376">
        <v>58.11</v>
      </c>
      <c r="V305" s="376">
        <v>3.91</v>
      </c>
      <c r="W305" s="22">
        <f t="shared" si="17"/>
        <v>43.228028999999999</v>
      </c>
      <c r="X305" s="22">
        <f t="shared" si="18"/>
        <v>5.5</v>
      </c>
      <c r="Y305" s="22">
        <v>5.5</v>
      </c>
      <c r="Z305" s="22">
        <v>0</v>
      </c>
      <c r="AA305" s="371">
        <v>78.12</v>
      </c>
      <c r="AB305" s="22">
        <v>7.040450588837685E-2</v>
      </c>
      <c r="AC305" s="24">
        <v>0</v>
      </c>
      <c r="AD305" s="384">
        <v>0</v>
      </c>
    </row>
    <row r="306" spans="1:30">
      <c r="A306" s="21" t="s">
        <v>99</v>
      </c>
      <c r="B306" s="21" t="s">
        <v>100</v>
      </c>
      <c r="C306" s="23">
        <v>71.2</v>
      </c>
      <c r="D306" s="147">
        <v>1.39</v>
      </c>
      <c r="E306" s="22">
        <v>13.83</v>
      </c>
      <c r="F306" s="22">
        <v>15.22</v>
      </c>
      <c r="G306" s="22">
        <v>0</v>
      </c>
      <c r="H306" s="22">
        <v>4.92</v>
      </c>
      <c r="I306" s="22">
        <v>0.17</v>
      </c>
      <c r="J306" s="22">
        <v>0</v>
      </c>
      <c r="K306" s="22">
        <v>0</v>
      </c>
      <c r="L306" s="22">
        <v>0</v>
      </c>
      <c r="M306" s="388">
        <v>258.22000000000003</v>
      </c>
      <c r="N306" s="25">
        <v>0.55989999999999995</v>
      </c>
      <c r="O306" s="24">
        <v>576</v>
      </c>
      <c r="P306" s="24">
        <v>14</v>
      </c>
      <c r="Q306" s="24">
        <v>8</v>
      </c>
      <c r="R306" s="22">
        <v>6</v>
      </c>
      <c r="S306" s="24">
        <v>3</v>
      </c>
      <c r="T306" s="24">
        <f t="shared" si="16"/>
        <v>17</v>
      </c>
      <c r="U306" s="376">
        <v>144.58000000000001</v>
      </c>
      <c r="V306" s="376">
        <v>12.91</v>
      </c>
      <c r="W306" s="22">
        <f t="shared" si="17"/>
        <v>80.950342000000006</v>
      </c>
      <c r="X306" s="22">
        <f t="shared" si="18"/>
        <v>43</v>
      </c>
      <c r="Y306" s="22">
        <v>35</v>
      </c>
      <c r="Z306" s="22">
        <v>8</v>
      </c>
      <c r="AA306" s="371">
        <v>258.76</v>
      </c>
      <c r="AB306" s="22">
        <v>0.16617715257381357</v>
      </c>
      <c r="AC306" s="24">
        <v>3.1177152573813566E-2</v>
      </c>
      <c r="AD306" s="384">
        <v>-70461.056845039027</v>
      </c>
    </row>
    <row r="307" spans="1:30">
      <c r="A307" s="21" t="s">
        <v>487</v>
      </c>
      <c r="B307" s="21" t="s">
        <v>488</v>
      </c>
      <c r="C307" s="23">
        <v>109</v>
      </c>
      <c r="D307" s="147">
        <v>0</v>
      </c>
      <c r="E307" s="22">
        <v>6.6</v>
      </c>
      <c r="F307" s="22">
        <v>6.6</v>
      </c>
      <c r="G307" s="22">
        <v>0</v>
      </c>
      <c r="H307" s="22">
        <v>3.69</v>
      </c>
      <c r="I307" s="22">
        <v>0.08</v>
      </c>
      <c r="J307" s="22">
        <v>0</v>
      </c>
      <c r="K307" s="22">
        <v>21.6</v>
      </c>
      <c r="L307" s="22">
        <v>0</v>
      </c>
      <c r="M307" s="388">
        <v>390.85999999999996</v>
      </c>
      <c r="N307" s="25">
        <v>0.8992</v>
      </c>
      <c r="O307" s="24">
        <v>497</v>
      </c>
      <c r="P307" s="24">
        <v>0</v>
      </c>
      <c r="Q307" s="24">
        <v>0</v>
      </c>
      <c r="R307" s="22">
        <v>0</v>
      </c>
      <c r="S307" s="24">
        <v>0</v>
      </c>
      <c r="T307" s="24">
        <f t="shared" si="16"/>
        <v>0</v>
      </c>
      <c r="U307" s="376">
        <v>351.46</v>
      </c>
      <c r="V307" s="376">
        <v>19.54</v>
      </c>
      <c r="W307" s="22">
        <f t="shared" si="17"/>
        <v>316.03283199999998</v>
      </c>
      <c r="X307" s="22">
        <f t="shared" si="18"/>
        <v>63.25</v>
      </c>
      <c r="Y307" s="22">
        <v>54.75</v>
      </c>
      <c r="Z307" s="22">
        <v>8.5</v>
      </c>
      <c r="AA307" s="371">
        <v>390.86</v>
      </c>
      <c r="AB307" s="22">
        <v>0.16182264749526684</v>
      </c>
      <c r="AC307" s="24">
        <v>2.6822647495266833E-2</v>
      </c>
      <c r="AD307" s="384">
        <v>-91584.876096490872</v>
      </c>
    </row>
    <row r="308" spans="1:30">
      <c r="A308" s="21" t="s">
        <v>41</v>
      </c>
      <c r="B308" s="21" t="s">
        <v>42</v>
      </c>
      <c r="C308" s="23">
        <v>1839.83</v>
      </c>
      <c r="D308" s="147">
        <v>166.8</v>
      </c>
      <c r="E308" s="22">
        <v>535.94000000000005</v>
      </c>
      <c r="F308" s="22">
        <v>702.74</v>
      </c>
      <c r="G308" s="22">
        <v>198.04</v>
      </c>
      <c r="H308" s="22">
        <v>240.99</v>
      </c>
      <c r="I308" s="22">
        <v>15</v>
      </c>
      <c r="J308" s="22">
        <v>431.81000000000006</v>
      </c>
      <c r="K308" s="22">
        <v>49.66</v>
      </c>
      <c r="L308" s="22">
        <v>0</v>
      </c>
      <c r="M308" s="388">
        <v>7292.5</v>
      </c>
      <c r="N308" s="25">
        <v>0.58699999999999997</v>
      </c>
      <c r="O308" s="24">
        <v>0</v>
      </c>
      <c r="P308" s="24">
        <v>1567.5</v>
      </c>
      <c r="Q308" s="24">
        <v>997</v>
      </c>
      <c r="R308" s="22">
        <v>570.5</v>
      </c>
      <c r="S308" s="24">
        <v>366.75</v>
      </c>
      <c r="T308" s="24">
        <f t="shared" si="16"/>
        <v>1934.25</v>
      </c>
      <c r="U308" s="376">
        <v>4280.7</v>
      </c>
      <c r="V308" s="376">
        <v>0</v>
      </c>
      <c r="W308" s="22">
        <f t="shared" si="17"/>
        <v>2512.7708999999995</v>
      </c>
      <c r="X308" s="22">
        <f t="shared" si="18"/>
        <v>947.25</v>
      </c>
      <c r="Y308" s="22">
        <v>754.5</v>
      </c>
      <c r="Z308" s="22">
        <v>192.75</v>
      </c>
      <c r="AA308" s="371">
        <v>7239.14</v>
      </c>
      <c r="AB308" s="22">
        <v>0.13085117845489933</v>
      </c>
      <c r="AC308" s="24">
        <v>0</v>
      </c>
      <c r="AD308" s="384">
        <v>0</v>
      </c>
    </row>
    <row r="309" spans="1:30">
      <c r="A309" s="21" t="s">
        <v>473</v>
      </c>
      <c r="B309" s="21" t="s">
        <v>474</v>
      </c>
      <c r="C309" s="23">
        <v>786.1</v>
      </c>
      <c r="D309" s="147">
        <v>82.08</v>
      </c>
      <c r="E309" s="22">
        <v>205.38</v>
      </c>
      <c r="F309" s="22">
        <v>287.45999999999998</v>
      </c>
      <c r="G309" s="22">
        <v>0</v>
      </c>
      <c r="H309" s="22">
        <v>66.19</v>
      </c>
      <c r="I309" s="22">
        <v>1.77</v>
      </c>
      <c r="J309" s="22">
        <v>721.08</v>
      </c>
      <c r="K309" s="22">
        <v>2.2000000000000002</v>
      </c>
      <c r="L309" s="22">
        <v>0</v>
      </c>
      <c r="M309" s="388">
        <v>3410.5899999999997</v>
      </c>
      <c r="N309" s="25">
        <v>0.52390000000000003</v>
      </c>
      <c r="O309" s="24">
        <v>497</v>
      </c>
      <c r="P309" s="24">
        <v>102.25</v>
      </c>
      <c r="Q309" s="24">
        <v>60.25</v>
      </c>
      <c r="R309" s="22">
        <v>42</v>
      </c>
      <c r="S309" s="24">
        <v>13.75</v>
      </c>
      <c r="T309" s="24">
        <f t="shared" si="16"/>
        <v>116</v>
      </c>
      <c r="U309" s="376">
        <v>1786.81</v>
      </c>
      <c r="V309" s="376">
        <v>170.53</v>
      </c>
      <c r="W309" s="22">
        <f t="shared" si="17"/>
        <v>936.10975900000005</v>
      </c>
      <c r="X309" s="22">
        <f t="shared" si="18"/>
        <v>396.25</v>
      </c>
      <c r="Y309" s="22">
        <v>314.25</v>
      </c>
      <c r="Z309" s="22">
        <v>82</v>
      </c>
      <c r="AA309" s="371">
        <v>3195.2</v>
      </c>
      <c r="AB309" s="22">
        <v>0.12401414621932901</v>
      </c>
      <c r="AC309" s="24">
        <v>0</v>
      </c>
      <c r="AD309" s="384">
        <v>0</v>
      </c>
    </row>
    <row r="310" spans="1:30">
      <c r="A310" s="21" t="s">
        <v>607</v>
      </c>
      <c r="B310" s="21" t="s">
        <v>608</v>
      </c>
      <c r="C310" s="23">
        <v>1481.81</v>
      </c>
      <c r="D310" s="147">
        <v>281.89999999999998</v>
      </c>
      <c r="E310" s="22">
        <v>310.18</v>
      </c>
      <c r="F310" s="22">
        <v>592.07999999999993</v>
      </c>
      <c r="G310" s="22">
        <v>0</v>
      </c>
      <c r="H310" s="22">
        <v>80.069999999999993</v>
      </c>
      <c r="I310" s="22">
        <v>8.6199999999999992</v>
      </c>
      <c r="J310" s="22">
        <v>174.32</v>
      </c>
      <c r="K310" s="22">
        <v>5.6</v>
      </c>
      <c r="L310" s="22">
        <v>0</v>
      </c>
      <c r="M310" s="388">
        <v>5225.1799999999994</v>
      </c>
      <c r="N310" s="25">
        <v>0.46250000000000002</v>
      </c>
      <c r="O310" s="24">
        <v>1260</v>
      </c>
      <c r="P310" s="24">
        <v>422</v>
      </c>
      <c r="Q310" s="24">
        <v>299.75</v>
      </c>
      <c r="R310" s="22">
        <v>122.25</v>
      </c>
      <c r="S310" s="24">
        <v>76</v>
      </c>
      <c r="T310" s="24">
        <f t="shared" si="16"/>
        <v>498</v>
      </c>
      <c r="U310" s="376">
        <v>2416.65</v>
      </c>
      <c r="V310" s="376">
        <v>261.26</v>
      </c>
      <c r="W310" s="22">
        <f t="shared" si="17"/>
        <v>1117.7006250000002</v>
      </c>
      <c r="X310" s="22">
        <f t="shared" si="18"/>
        <v>714.25</v>
      </c>
      <c r="Y310" s="22">
        <v>484.5</v>
      </c>
      <c r="Z310" s="22">
        <v>229.75</v>
      </c>
      <c r="AA310" s="371">
        <v>5262.89</v>
      </c>
      <c r="AB310" s="22">
        <v>0.13571440786336023</v>
      </c>
      <c r="AC310" s="24">
        <v>7.1440786336021689E-4</v>
      </c>
      <c r="AD310" s="384">
        <v>-33776.670347178537</v>
      </c>
    </row>
    <row r="311" spans="1:30">
      <c r="A311" s="21" t="s">
        <v>1253</v>
      </c>
      <c r="B311" s="21" t="s">
        <v>1254</v>
      </c>
      <c r="C311" s="23">
        <v>0</v>
      </c>
      <c r="D311" s="147">
        <v>0</v>
      </c>
      <c r="E311" s="22">
        <v>0</v>
      </c>
      <c r="F311" s="22">
        <v>0</v>
      </c>
      <c r="G311" s="22">
        <v>0</v>
      </c>
      <c r="H311" s="22">
        <v>0</v>
      </c>
      <c r="I311" s="22">
        <v>0</v>
      </c>
      <c r="J311" s="22">
        <v>0</v>
      </c>
      <c r="K311" s="22">
        <v>0</v>
      </c>
      <c r="L311" s="22">
        <v>0</v>
      </c>
      <c r="M311" s="388">
        <v>50</v>
      </c>
      <c r="N311" s="25">
        <v>0</v>
      </c>
      <c r="O311" s="24">
        <v>497</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96.49</v>
      </c>
      <c r="D312" s="147">
        <v>0.13</v>
      </c>
      <c r="E312" s="22">
        <v>18.62</v>
      </c>
      <c r="F312" s="22">
        <v>18.75</v>
      </c>
      <c r="G312" s="22">
        <v>0</v>
      </c>
      <c r="H312" s="22">
        <v>7.87</v>
      </c>
      <c r="I312" s="22">
        <v>0.92</v>
      </c>
      <c r="J312" s="22">
        <v>18.54</v>
      </c>
      <c r="K312" s="22">
        <v>0</v>
      </c>
      <c r="L312" s="22">
        <v>0</v>
      </c>
      <c r="M312" s="388">
        <v>324.11</v>
      </c>
      <c r="N312" s="25">
        <v>0.69669999999999999</v>
      </c>
      <c r="O312" s="24">
        <v>497</v>
      </c>
      <c r="P312" s="24">
        <v>0</v>
      </c>
      <c r="Q312" s="24">
        <v>0</v>
      </c>
      <c r="R312" s="22">
        <v>0</v>
      </c>
      <c r="S312" s="24">
        <v>0</v>
      </c>
      <c r="T312" s="24">
        <f t="shared" si="16"/>
        <v>0</v>
      </c>
      <c r="U312" s="376">
        <v>225.81</v>
      </c>
      <c r="V312" s="376">
        <v>16.21</v>
      </c>
      <c r="W312" s="22">
        <f t="shared" si="17"/>
        <v>157.32182699999998</v>
      </c>
      <c r="X312" s="22">
        <f t="shared" si="18"/>
        <v>60.5</v>
      </c>
      <c r="Y312" s="22">
        <v>40</v>
      </c>
      <c r="Z312" s="22">
        <v>20.5</v>
      </c>
      <c r="AA312" s="371">
        <v>324.11</v>
      </c>
      <c r="AB312" s="22">
        <v>0.18666502113479991</v>
      </c>
      <c r="AC312" s="24">
        <v>5.1665021134799899E-2</v>
      </c>
      <c r="AD312" s="384">
        <v>-147019.23090794118</v>
      </c>
    </row>
    <row r="313" spans="1:30">
      <c r="A313" s="21" t="s">
        <v>387</v>
      </c>
      <c r="B313" s="21" t="s">
        <v>388</v>
      </c>
      <c r="C313" s="23">
        <v>1286.52</v>
      </c>
      <c r="D313" s="147">
        <v>33.08</v>
      </c>
      <c r="E313" s="22">
        <v>290.43</v>
      </c>
      <c r="F313" s="22">
        <v>323.51</v>
      </c>
      <c r="G313" s="22">
        <v>0</v>
      </c>
      <c r="H313" s="22">
        <v>100.04</v>
      </c>
      <c r="I313" s="22">
        <v>6.32</v>
      </c>
      <c r="J313" s="22">
        <v>46.8</v>
      </c>
      <c r="K313" s="22">
        <v>30.8</v>
      </c>
      <c r="L313" s="22">
        <v>0</v>
      </c>
      <c r="M313" s="388">
        <v>4141.79</v>
      </c>
      <c r="N313" s="25">
        <v>0.29680000000000001</v>
      </c>
      <c r="O313" s="24">
        <v>497</v>
      </c>
      <c r="P313" s="24">
        <v>120.5</v>
      </c>
      <c r="Q313" s="24">
        <v>89.5</v>
      </c>
      <c r="R313" s="22">
        <v>31</v>
      </c>
      <c r="S313" s="24">
        <v>37</v>
      </c>
      <c r="T313" s="24">
        <f t="shared" si="16"/>
        <v>157.5</v>
      </c>
      <c r="U313" s="376">
        <v>1229.28</v>
      </c>
      <c r="V313" s="376">
        <v>0</v>
      </c>
      <c r="W313" s="22">
        <f t="shared" si="17"/>
        <v>364.85030399999999</v>
      </c>
      <c r="X313" s="22">
        <f t="shared" si="18"/>
        <v>566</v>
      </c>
      <c r="Y313" s="22">
        <v>341</v>
      </c>
      <c r="Z313" s="22">
        <v>225</v>
      </c>
      <c r="AA313" s="371">
        <v>4168.96</v>
      </c>
      <c r="AB313" s="22">
        <v>0.13576527479275408</v>
      </c>
      <c r="AC313" s="24">
        <v>7.6527479275406707E-4</v>
      </c>
      <c r="AD313" s="384">
        <v>-29268.838863338151</v>
      </c>
    </row>
    <row r="314" spans="1:30">
      <c r="A314" s="21" t="s">
        <v>267</v>
      </c>
      <c r="B314" s="21" t="s">
        <v>268</v>
      </c>
      <c r="C314" s="23">
        <v>300.05</v>
      </c>
      <c r="D314" s="147">
        <v>0</v>
      </c>
      <c r="E314" s="22">
        <v>57.92</v>
      </c>
      <c r="F314" s="22">
        <v>57.92</v>
      </c>
      <c r="G314" s="22">
        <v>0</v>
      </c>
      <c r="H314" s="22">
        <v>20.85</v>
      </c>
      <c r="I314" s="22">
        <v>0.05</v>
      </c>
      <c r="J314" s="22">
        <v>18.05</v>
      </c>
      <c r="K314" s="22">
        <v>0</v>
      </c>
      <c r="L314" s="22">
        <v>0</v>
      </c>
      <c r="M314" s="388">
        <v>1106.8599999999999</v>
      </c>
      <c r="N314" s="25">
        <v>0.43180000000000002</v>
      </c>
      <c r="O314" s="24">
        <v>497</v>
      </c>
      <c r="P314" s="24">
        <v>181.75</v>
      </c>
      <c r="Q314" s="24">
        <v>107.25</v>
      </c>
      <c r="R314" s="22">
        <v>74.5</v>
      </c>
      <c r="S314" s="24">
        <v>19.75</v>
      </c>
      <c r="T314" s="24">
        <f t="shared" si="16"/>
        <v>201.5</v>
      </c>
      <c r="U314" s="376">
        <v>477.94</v>
      </c>
      <c r="V314" s="376">
        <v>55.34</v>
      </c>
      <c r="W314" s="22">
        <f t="shared" si="17"/>
        <v>206.374492</v>
      </c>
      <c r="X314" s="22">
        <f t="shared" si="18"/>
        <v>144.25</v>
      </c>
      <c r="Y314" s="22">
        <v>101.25</v>
      </c>
      <c r="Z314" s="22">
        <v>43</v>
      </c>
      <c r="AA314" s="371">
        <v>1106.8599999999999</v>
      </c>
      <c r="AB314" s="22">
        <v>0.13032361816309201</v>
      </c>
      <c r="AC314" s="24">
        <v>0</v>
      </c>
      <c r="AD314" s="384">
        <v>0</v>
      </c>
    </row>
    <row r="315" spans="1:30">
      <c r="A315" s="21" t="s">
        <v>307</v>
      </c>
      <c r="B315" s="21" t="s">
        <v>308</v>
      </c>
      <c r="C315" s="23">
        <v>53.3</v>
      </c>
      <c r="D315" s="147">
        <v>6.11</v>
      </c>
      <c r="E315" s="22">
        <v>15.33</v>
      </c>
      <c r="F315" s="22">
        <v>21.44</v>
      </c>
      <c r="G315" s="22">
        <v>0</v>
      </c>
      <c r="H315" s="22">
        <v>4.3</v>
      </c>
      <c r="I315" s="22">
        <v>0</v>
      </c>
      <c r="J315" s="22">
        <v>0</v>
      </c>
      <c r="K315" s="22">
        <v>0</v>
      </c>
      <c r="L315" s="22">
        <v>0</v>
      </c>
      <c r="M315" s="388">
        <v>220.11</v>
      </c>
      <c r="N315" s="25">
        <v>0.44269999999999998</v>
      </c>
      <c r="O315" s="24">
        <v>497</v>
      </c>
      <c r="P315" s="24">
        <v>0</v>
      </c>
      <c r="Q315" s="24">
        <v>0</v>
      </c>
      <c r="R315" s="22">
        <v>0</v>
      </c>
      <c r="S315" s="24">
        <v>0</v>
      </c>
      <c r="T315" s="24">
        <f t="shared" si="16"/>
        <v>0</v>
      </c>
      <c r="U315" s="376">
        <v>97.44</v>
      </c>
      <c r="V315" s="376">
        <v>11.01</v>
      </c>
      <c r="W315" s="22">
        <f t="shared" si="17"/>
        <v>43.136687999999999</v>
      </c>
      <c r="X315" s="22">
        <f t="shared" si="18"/>
        <v>40.25</v>
      </c>
      <c r="Y315" s="22">
        <v>30</v>
      </c>
      <c r="Z315" s="22">
        <v>10.25</v>
      </c>
      <c r="AA315" s="371">
        <v>220.11</v>
      </c>
      <c r="AB315" s="22">
        <v>0.18286311389759666</v>
      </c>
      <c r="AC315" s="24">
        <v>4.7863113897596649E-2</v>
      </c>
      <c r="AD315" s="384">
        <v>-91529.537530938323</v>
      </c>
    </row>
    <row r="316" spans="1:30">
      <c r="A316" s="21" t="s">
        <v>351</v>
      </c>
      <c r="B316" s="21" t="s">
        <v>352</v>
      </c>
      <c r="C316" s="23">
        <v>97.6</v>
      </c>
      <c r="D316" s="147">
        <v>6.34</v>
      </c>
      <c r="E316" s="22">
        <v>24.41</v>
      </c>
      <c r="F316" s="22">
        <v>30.75</v>
      </c>
      <c r="G316" s="22">
        <v>0</v>
      </c>
      <c r="H316" s="22">
        <v>19.3</v>
      </c>
      <c r="I316" s="22">
        <v>0</v>
      </c>
      <c r="J316" s="22">
        <v>0</v>
      </c>
      <c r="K316" s="22">
        <v>0</v>
      </c>
      <c r="L316" s="22">
        <v>0</v>
      </c>
      <c r="M316" s="388">
        <v>358.58</v>
      </c>
      <c r="N316" s="25">
        <v>0.41570000000000001</v>
      </c>
      <c r="O316" s="24">
        <v>497</v>
      </c>
      <c r="P316" s="24">
        <v>8</v>
      </c>
      <c r="Q316" s="24">
        <v>7</v>
      </c>
      <c r="R316" s="22">
        <v>1</v>
      </c>
      <c r="S316" s="24">
        <v>1</v>
      </c>
      <c r="T316" s="24">
        <f t="shared" si="16"/>
        <v>9</v>
      </c>
      <c r="U316" s="376">
        <v>149.06</v>
      </c>
      <c r="V316" s="376">
        <v>17.93</v>
      </c>
      <c r="W316" s="22">
        <f t="shared" si="17"/>
        <v>61.964242000000006</v>
      </c>
      <c r="X316" s="22">
        <f t="shared" si="18"/>
        <v>41</v>
      </c>
      <c r="Y316" s="22">
        <v>23.25</v>
      </c>
      <c r="Z316" s="22">
        <v>17.75</v>
      </c>
      <c r="AA316" s="371">
        <v>358.75</v>
      </c>
      <c r="AB316" s="22">
        <v>0.11428571428571428</v>
      </c>
      <c r="AC316" s="24">
        <v>0</v>
      </c>
      <c r="AD316" s="384">
        <v>0</v>
      </c>
    </row>
    <row r="317" spans="1:30">
      <c r="A317" s="21" t="s">
        <v>137</v>
      </c>
      <c r="B317" s="21" t="s">
        <v>138</v>
      </c>
      <c r="C317" s="23">
        <v>34.799999999999997</v>
      </c>
      <c r="D317" s="147">
        <v>3.05</v>
      </c>
      <c r="E317" s="22">
        <v>10.56</v>
      </c>
      <c r="F317" s="22">
        <v>13.61</v>
      </c>
      <c r="G317" s="22">
        <v>0</v>
      </c>
      <c r="H317" s="22">
        <v>3.41</v>
      </c>
      <c r="I317" s="22">
        <v>0.5</v>
      </c>
      <c r="J317" s="22">
        <v>0</v>
      </c>
      <c r="K317" s="22">
        <v>0</v>
      </c>
      <c r="L317" s="22">
        <v>0</v>
      </c>
      <c r="M317" s="388">
        <v>112.79999999999998</v>
      </c>
      <c r="N317" s="25">
        <v>0.66439999999999999</v>
      </c>
      <c r="O317" s="24">
        <v>576</v>
      </c>
      <c r="P317" s="24">
        <v>2.25</v>
      </c>
      <c r="Q317" s="24">
        <v>1</v>
      </c>
      <c r="R317" s="22">
        <v>1.25</v>
      </c>
      <c r="S317" s="24">
        <v>0.75</v>
      </c>
      <c r="T317" s="24">
        <f t="shared" si="16"/>
        <v>3</v>
      </c>
      <c r="U317" s="376">
        <v>74.94</v>
      </c>
      <c r="V317" s="376">
        <v>5.64</v>
      </c>
      <c r="W317" s="22">
        <f t="shared" si="17"/>
        <v>49.790135999999997</v>
      </c>
      <c r="X317" s="22">
        <f t="shared" si="18"/>
        <v>15.5</v>
      </c>
      <c r="Y317" s="22">
        <v>14.5</v>
      </c>
      <c r="Z317" s="22">
        <v>1</v>
      </c>
      <c r="AA317" s="371">
        <v>114.57</v>
      </c>
      <c r="AB317" s="22">
        <v>0.13528846993104654</v>
      </c>
      <c r="AC317" s="24">
        <v>2.8846993104653107E-4</v>
      </c>
      <c r="AD317" s="384">
        <v>-298.53820598456667</v>
      </c>
    </row>
    <row r="318" spans="1:30">
      <c r="A318" s="21" t="s">
        <v>281</v>
      </c>
      <c r="B318" s="21" t="s">
        <v>282</v>
      </c>
      <c r="C318" s="23">
        <v>226.2</v>
      </c>
      <c r="D318" s="147">
        <v>8.86</v>
      </c>
      <c r="E318" s="22">
        <v>48.29</v>
      </c>
      <c r="F318" s="22">
        <v>57.15</v>
      </c>
      <c r="G318" s="22">
        <v>0</v>
      </c>
      <c r="H318" s="22">
        <v>9.1300000000000008</v>
      </c>
      <c r="I318" s="22">
        <v>0.33</v>
      </c>
      <c r="J318" s="22">
        <v>0</v>
      </c>
      <c r="K318" s="22">
        <v>2</v>
      </c>
      <c r="L318" s="22">
        <v>0</v>
      </c>
      <c r="M318" s="388">
        <v>730.72</v>
      </c>
      <c r="N318" s="25">
        <v>0.91100000000000003</v>
      </c>
      <c r="O318" s="24">
        <v>497</v>
      </c>
      <c r="P318" s="24">
        <v>41</v>
      </c>
      <c r="Q318" s="24">
        <v>22.25</v>
      </c>
      <c r="R318" s="22">
        <v>18.75</v>
      </c>
      <c r="S318" s="24">
        <v>7.25</v>
      </c>
      <c r="T318" s="24">
        <f t="shared" si="16"/>
        <v>48.25</v>
      </c>
      <c r="U318" s="376">
        <v>665.69</v>
      </c>
      <c r="V318" s="376">
        <v>36.54</v>
      </c>
      <c r="W318" s="22">
        <f t="shared" si="17"/>
        <v>606.44359000000009</v>
      </c>
      <c r="X318" s="22">
        <f t="shared" si="18"/>
        <v>115</v>
      </c>
      <c r="Y318" s="22">
        <v>63</v>
      </c>
      <c r="Z318" s="22">
        <v>52</v>
      </c>
      <c r="AA318" s="371">
        <v>731.32</v>
      </c>
      <c r="AB318" s="22">
        <v>0.15724990428266694</v>
      </c>
      <c r="AC318" s="24">
        <v>2.2249904282666932E-2</v>
      </c>
      <c r="AD318" s="384">
        <v>-145742.57761362608</v>
      </c>
    </row>
    <row r="319" spans="1:30">
      <c r="A319" s="21" t="s">
        <v>161</v>
      </c>
      <c r="B319" s="21" t="s">
        <v>162</v>
      </c>
      <c r="C319" s="23">
        <v>48.4</v>
      </c>
      <c r="D319" s="147">
        <v>4.26</v>
      </c>
      <c r="E319" s="22">
        <v>6.81</v>
      </c>
      <c r="F319" s="22">
        <v>11.07</v>
      </c>
      <c r="G319" s="22">
        <v>0</v>
      </c>
      <c r="H319" s="22">
        <v>0.95</v>
      </c>
      <c r="I319" s="22">
        <v>0</v>
      </c>
      <c r="J319" s="22">
        <v>0</v>
      </c>
      <c r="K319" s="22">
        <v>0</v>
      </c>
      <c r="L319" s="22">
        <v>0</v>
      </c>
      <c r="M319" s="388">
        <v>156.47999999999996</v>
      </c>
      <c r="N319" s="25">
        <v>0.6774</v>
      </c>
      <c r="O319" s="24">
        <v>576</v>
      </c>
      <c r="P319" s="24">
        <v>0</v>
      </c>
      <c r="Q319" s="24">
        <v>0</v>
      </c>
      <c r="R319" s="22">
        <v>0</v>
      </c>
      <c r="S319" s="24">
        <v>0</v>
      </c>
      <c r="T319" s="24">
        <f t="shared" si="16"/>
        <v>0</v>
      </c>
      <c r="U319" s="376">
        <v>106</v>
      </c>
      <c r="V319" s="376">
        <v>0</v>
      </c>
      <c r="W319" s="22">
        <f t="shared" si="17"/>
        <v>71.804400000000001</v>
      </c>
      <c r="X319" s="22">
        <f t="shared" si="18"/>
        <v>18.5</v>
      </c>
      <c r="Y319" s="22">
        <v>15.5</v>
      </c>
      <c r="Z319" s="22">
        <v>3</v>
      </c>
      <c r="AA319" s="371">
        <v>156.47999999999999</v>
      </c>
      <c r="AB319" s="22">
        <v>0.11822597137014315</v>
      </c>
      <c r="AC319" s="24">
        <v>0</v>
      </c>
      <c r="AD319" s="384">
        <v>0</v>
      </c>
    </row>
    <row r="320" spans="1:30">
      <c r="A320" s="21" t="s">
        <v>251</v>
      </c>
      <c r="B320" s="21" t="s">
        <v>252</v>
      </c>
      <c r="C320" s="23">
        <v>16.399999999999999</v>
      </c>
      <c r="D320" s="147">
        <v>0</v>
      </c>
      <c r="E320" s="22">
        <v>2.59</v>
      </c>
      <c r="F320" s="22">
        <v>2.59</v>
      </c>
      <c r="G320" s="22">
        <v>0</v>
      </c>
      <c r="H320" s="22">
        <v>4.45</v>
      </c>
      <c r="I320" s="22">
        <v>0.08</v>
      </c>
      <c r="J320" s="22">
        <v>0</v>
      </c>
      <c r="K320" s="22">
        <v>0</v>
      </c>
      <c r="L320" s="22">
        <v>0</v>
      </c>
      <c r="M320" s="388">
        <v>60.22</v>
      </c>
      <c r="N320" s="25">
        <v>0.91379999999999995</v>
      </c>
      <c r="O320" s="24">
        <v>497</v>
      </c>
      <c r="P320" s="24">
        <v>0</v>
      </c>
      <c r="Q320" s="24">
        <v>0</v>
      </c>
      <c r="R320" s="22">
        <v>0</v>
      </c>
      <c r="S320" s="24">
        <v>0</v>
      </c>
      <c r="T320" s="24">
        <f t="shared" si="16"/>
        <v>0</v>
      </c>
      <c r="U320" s="376">
        <v>55.03</v>
      </c>
      <c r="V320" s="376">
        <v>0</v>
      </c>
      <c r="W320" s="22">
        <f t="shared" si="17"/>
        <v>50.286414000000001</v>
      </c>
      <c r="X320" s="22">
        <f t="shared" si="18"/>
        <v>5.5</v>
      </c>
      <c r="Y320" s="22">
        <v>5.5</v>
      </c>
      <c r="Z320" s="22">
        <v>0</v>
      </c>
      <c r="AA320" s="371">
        <v>60.23</v>
      </c>
      <c r="AB320" s="22">
        <v>9.1316619624771708E-2</v>
      </c>
      <c r="AC320" s="24">
        <v>0</v>
      </c>
      <c r="AD320" s="384">
        <v>0</v>
      </c>
    </row>
    <row r="321" spans="1:30">
      <c r="A321" s="21" t="s">
        <v>85</v>
      </c>
      <c r="B321" s="21" t="s">
        <v>86</v>
      </c>
      <c r="C321" s="23">
        <v>681.13</v>
      </c>
      <c r="D321" s="147">
        <v>3.34</v>
      </c>
      <c r="E321" s="22">
        <v>83.07</v>
      </c>
      <c r="F321" s="22">
        <v>86.41</v>
      </c>
      <c r="G321" s="22">
        <v>0</v>
      </c>
      <c r="H321" s="22">
        <v>47.04</v>
      </c>
      <c r="I321" s="22">
        <v>1.1200000000000001</v>
      </c>
      <c r="J321" s="22">
        <v>183.03</v>
      </c>
      <c r="K321" s="22">
        <v>1.8</v>
      </c>
      <c r="L321" s="22">
        <v>0</v>
      </c>
      <c r="M321" s="388">
        <v>2349.67</v>
      </c>
      <c r="N321" s="25">
        <v>0.47249999999999998</v>
      </c>
      <c r="O321" s="24">
        <v>576</v>
      </c>
      <c r="P321" s="24">
        <v>208.75</v>
      </c>
      <c r="Q321" s="24">
        <v>145.5</v>
      </c>
      <c r="R321" s="22">
        <v>63.25</v>
      </c>
      <c r="S321" s="24">
        <v>26</v>
      </c>
      <c r="T321" s="24">
        <f t="shared" si="16"/>
        <v>234.75</v>
      </c>
      <c r="U321" s="376">
        <v>1110.22</v>
      </c>
      <c r="V321" s="376">
        <v>117.48</v>
      </c>
      <c r="W321" s="22">
        <f t="shared" si="17"/>
        <v>524.57894999999996</v>
      </c>
      <c r="X321" s="22">
        <f t="shared" si="18"/>
        <v>318.75</v>
      </c>
      <c r="Y321" s="22">
        <v>186.25</v>
      </c>
      <c r="Z321" s="22">
        <v>132.5</v>
      </c>
      <c r="AA321" s="371">
        <v>2375.35</v>
      </c>
      <c r="AB321" s="22">
        <v>0.1341907508367188</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130.4</v>
      </c>
      <c r="N322" s="25">
        <v>0</v>
      </c>
      <c r="O322" s="24">
        <v>1260</v>
      </c>
      <c r="P322" s="24">
        <v>0</v>
      </c>
      <c r="Q322" s="24">
        <v>0</v>
      </c>
      <c r="R322" s="22">
        <v>0</v>
      </c>
      <c r="S322" s="24">
        <v>0</v>
      </c>
      <c r="T322" s="24">
        <f t="shared" si="16"/>
        <v>0</v>
      </c>
      <c r="U322" s="376">
        <v>0</v>
      </c>
      <c r="V322" s="376">
        <v>0</v>
      </c>
      <c r="W322" s="22">
        <f t="shared" si="17"/>
        <v>0</v>
      </c>
      <c r="X322" s="22">
        <f t="shared" si="18"/>
        <v>17.5</v>
      </c>
      <c r="Y322" s="22">
        <v>16.5</v>
      </c>
      <c r="Z322" s="22">
        <v>1</v>
      </c>
      <c r="AA322" s="371">
        <v>130.4</v>
      </c>
      <c r="AB322" s="22">
        <v>0.13420245398773006</v>
      </c>
      <c r="AC322" s="24">
        <v>0</v>
      </c>
      <c r="AD322" s="384">
        <v>0</v>
      </c>
    </row>
    <row r="323" spans="1:30">
      <c r="A323" s="21" t="s">
        <v>585</v>
      </c>
      <c r="B323" s="21" t="s">
        <v>586</v>
      </c>
      <c r="C323" s="23">
        <v>4373.6499999999996</v>
      </c>
      <c r="D323" s="147">
        <v>268.20999999999998</v>
      </c>
      <c r="E323" s="22">
        <v>1066.55</v>
      </c>
      <c r="F323" s="22">
        <v>1334.76</v>
      </c>
      <c r="G323" s="22">
        <v>448.28</v>
      </c>
      <c r="H323" s="22">
        <v>142.85</v>
      </c>
      <c r="I323" s="22">
        <v>15.38</v>
      </c>
      <c r="J323" s="22">
        <v>355.47</v>
      </c>
      <c r="K323" s="22">
        <v>46.8</v>
      </c>
      <c r="L323" s="22">
        <v>0</v>
      </c>
      <c r="M323" s="388">
        <v>15635.349999999997</v>
      </c>
      <c r="N323" s="25">
        <v>0.8538</v>
      </c>
      <c r="O323" s="24">
        <v>15744</v>
      </c>
      <c r="P323" s="24">
        <v>4603.25</v>
      </c>
      <c r="Q323" s="24">
        <v>2883</v>
      </c>
      <c r="R323" s="22">
        <v>1720.25</v>
      </c>
      <c r="S323" s="24">
        <v>690.5</v>
      </c>
      <c r="T323" s="24">
        <f t="shared" si="16"/>
        <v>5293.75</v>
      </c>
      <c r="U323" s="376">
        <v>13349.46</v>
      </c>
      <c r="V323" s="376">
        <v>781.77</v>
      </c>
      <c r="W323" s="22">
        <f t="shared" si="17"/>
        <v>11397.768947999999</v>
      </c>
      <c r="X323" s="22">
        <f t="shared" si="18"/>
        <v>1933</v>
      </c>
      <c r="Y323" s="22">
        <v>1052.25</v>
      </c>
      <c r="Z323" s="22">
        <v>880.75</v>
      </c>
      <c r="AA323" s="371">
        <v>15340.83</v>
      </c>
      <c r="AB323" s="22">
        <v>0.12600361258158782</v>
      </c>
      <c r="AC323" s="24">
        <v>0</v>
      </c>
      <c r="AD323" s="384">
        <v>0</v>
      </c>
    </row>
    <row r="324" spans="1:30">
      <c r="A324" s="21" t="s">
        <v>507</v>
      </c>
      <c r="B324" s="21" t="s">
        <v>508</v>
      </c>
      <c r="C324" s="23">
        <v>1615.46</v>
      </c>
      <c r="D324" s="147">
        <v>35.25</v>
      </c>
      <c r="E324" s="22">
        <v>404.5</v>
      </c>
      <c r="F324" s="22">
        <v>439.75</v>
      </c>
      <c r="G324" s="22">
        <v>0</v>
      </c>
      <c r="H324" s="22">
        <v>98.96</v>
      </c>
      <c r="I324" s="22">
        <v>12.78</v>
      </c>
      <c r="J324" s="22">
        <v>80.69</v>
      </c>
      <c r="K324" s="22">
        <v>17.8</v>
      </c>
      <c r="L324" s="22">
        <v>0</v>
      </c>
      <c r="M324" s="388">
        <v>5360.44</v>
      </c>
      <c r="N324" s="25">
        <v>0.46560000000000001</v>
      </c>
      <c r="O324" s="24">
        <v>497</v>
      </c>
      <c r="P324" s="24">
        <v>182.25</v>
      </c>
      <c r="Q324" s="24">
        <v>108.5</v>
      </c>
      <c r="R324" s="22">
        <v>73.75</v>
      </c>
      <c r="S324" s="24">
        <v>19.5</v>
      </c>
      <c r="T324" s="24">
        <f t="shared" si="16"/>
        <v>201.75</v>
      </c>
      <c r="U324" s="376">
        <v>2495.8200000000002</v>
      </c>
      <c r="V324" s="376">
        <v>268.02</v>
      </c>
      <c r="W324" s="22">
        <f t="shared" si="17"/>
        <v>1162.0537920000002</v>
      </c>
      <c r="X324" s="22">
        <f t="shared" si="18"/>
        <v>749.5</v>
      </c>
      <c r="Y324" s="22">
        <v>574.25</v>
      </c>
      <c r="Z324" s="22">
        <v>175.25</v>
      </c>
      <c r="AA324" s="371">
        <v>5370.27</v>
      </c>
      <c r="AB324" s="22">
        <v>0.13956467738121173</v>
      </c>
      <c r="AC324" s="24">
        <v>4.5646773812117181E-3</v>
      </c>
      <c r="AD324" s="384">
        <v>-215329.11625566363</v>
      </c>
    </row>
    <row r="325" spans="1:30">
      <c r="A325" s="21" t="s">
        <v>603</v>
      </c>
      <c r="B325" s="21" t="s">
        <v>604</v>
      </c>
      <c r="C325" s="23">
        <v>351.34</v>
      </c>
      <c r="D325" s="147">
        <v>0</v>
      </c>
      <c r="E325" s="22">
        <v>46.32</v>
      </c>
      <c r="F325" s="22">
        <v>46.32</v>
      </c>
      <c r="G325" s="22">
        <v>0</v>
      </c>
      <c r="H325" s="22">
        <v>14.3</v>
      </c>
      <c r="I325" s="22">
        <v>1</v>
      </c>
      <c r="J325" s="22">
        <v>0</v>
      </c>
      <c r="K325" s="22">
        <v>0</v>
      </c>
      <c r="L325" s="22">
        <v>0</v>
      </c>
      <c r="M325" s="388">
        <v>1251.8999999999999</v>
      </c>
      <c r="N325" s="25">
        <v>0.58030000000000004</v>
      </c>
      <c r="O325" s="24">
        <v>1260</v>
      </c>
      <c r="P325" s="24">
        <v>142</v>
      </c>
      <c r="Q325" s="24">
        <v>104.25</v>
      </c>
      <c r="R325" s="22">
        <v>37.75</v>
      </c>
      <c r="S325" s="24">
        <v>7</v>
      </c>
      <c r="T325" s="24">
        <f t="shared" si="16"/>
        <v>149</v>
      </c>
      <c r="U325" s="376">
        <v>726.48</v>
      </c>
      <c r="V325" s="376">
        <v>0</v>
      </c>
      <c r="W325" s="22">
        <f t="shared" si="17"/>
        <v>421.57634400000006</v>
      </c>
      <c r="X325" s="22">
        <f t="shared" si="18"/>
        <v>128.25</v>
      </c>
      <c r="Y325" s="22">
        <v>98.5</v>
      </c>
      <c r="Z325" s="22">
        <v>29.75</v>
      </c>
      <c r="AA325" s="371">
        <v>1258.5999999999999</v>
      </c>
      <c r="AB325" s="22">
        <v>0.10189893532496426</v>
      </c>
      <c r="AC325" s="24">
        <v>0</v>
      </c>
      <c r="AD325" s="384">
        <v>0</v>
      </c>
    </row>
  </sheetData>
  <autoFilter ref="A7:AD321" xr:uid="{00000000-0009-0000-0000-00000C000000}"/>
  <pageMargins left="0.7" right="0.7" top="0.75" bottom="0.75" header="0.3" footer="0.3"/>
  <pageSetup orientation="landscape" r:id="rId1"/>
  <colBreaks count="1" manualBreakCount="1">
    <brk id="14"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2">
    <tabColor theme="9" tint="0.59999389629810485"/>
  </sheetPr>
  <dimension ref="A1:BF322"/>
  <sheetViews>
    <sheetView workbookViewId="0">
      <pane xSplit="2" ySplit="4" topLeftCell="AQ5"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5.21875" customWidth="1"/>
    <col min="2" max="2" width="7.21875" bestFit="1" customWidth="1"/>
    <col min="3" max="3" width="54.5546875" bestFit="1" customWidth="1"/>
    <col min="4" max="4" width="7.5546875" bestFit="1" customWidth="1"/>
    <col min="5" max="5" width="10.21875" bestFit="1" customWidth="1"/>
    <col min="6" max="7" width="18.21875" customWidth="1"/>
    <col min="8" max="10" width="14.21875" bestFit="1" customWidth="1"/>
    <col min="11" max="11" width="15.21875" bestFit="1" customWidth="1"/>
    <col min="12" max="12" width="16.77734375" bestFit="1" customWidth="1"/>
    <col min="13" max="13" width="15.21875" bestFit="1" customWidth="1"/>
    <col min="14" max="14" width="15.21875" customWidth="1"/>
    <col min="15" max="15" width="8" bestFit="1" customWidth="1"/>
    <col min="16" max="16" width="7.21875" bestFit="1" customWidth="1"/>
    <col min="17" max="17" width="54.5546875" bestFit="1" customWidth="1"/>
    <col min="18" max="18" width="7.5546875" bestFit="1" customWidth="1"/>
    <col min="19" max="19" width="10.21875" bestFit="1" customWidth="1"/>
    <col min="20" max="21" width="18.21875" customWidth="1"/>
    <col min="22" max="24" width="14.21875" bestFit="1" customWidth="1"/>
    <col min="25" max="25" width="15.21875" bestFit="1" customWidth="1"/>
    <col min="26" max="26" width="16.77734375" bestFit="1" customWidth="1"/>
    <col min="27" max="27" width="15.21875" bestFit="1" customWidth="1"/>
    <col min="28" max="28" width="15.21875" customWidth="1"/>
    <col min="29" max="29" width="8" bestFit="1" customWidth="1"/>
    <col min="30" max="30" width="7.21875" bestFit="1" customWidth="1"/>
    <col min="31" max="31" width="54.5546875" bestFit="1" customWidth="1"/>
    <col min="32" max="32" width="7.5546875" bestFit="1" customWidth="1"/>
    <col min="33" max="33" width="10.21875" bestFit="1" customWidth="1"/>
    <col min="34" max="35" width="18.21875" customWidth="1"/>
    <col min="36" max="38" width="14.21875" bestFit="1" customWidth="1"/>
    <col min="39" max="39" width="15.21875" bestFit="1" customWidth="1"/>
    <col min="40" max="40" width="16.77734375" bestFit="1" customWidth="1"/>
    <col min="41" max="41" width="15.21875" bestFit="1" customWidth="1"/>
    <col min="42" max="42" width="15.21875" customWidth="1"/>
    <col min="44" max="44" width="7.21875" bestFit="1" customWidth="1"/>
    <col min="45" max="45" width="54.5546875" bestFit="1" customWidth="1"/>
    <col min="46" max="46" width="7.5546875" bestFit="1" customWidth="1"/>
    <col min="47" max="47" width="10.21875" bestFit="1" customWidth="1"/>
    <col min="48" max="49" width="18.21875" customWidth="1"/>
    <col min="50" max="52" width="14.21875" bestFit="1" customWidth="1"/>
    <col min="53" max="53" width="15.21875" bestFit="1" customWidth="1"/>
    <col min="54" max="54" width="16.77734375" bestFit="1" customWidth="1"/>
    <col min="55" max="55" width="15.21875" bestFit="1" customWidth="1"/>
    <col min="56" max="56" width="15.21875" customWidth="1"/>
  </cols>
  <sheetData>
    <row r="1" spans="1:58" s="27" customFormat="1">
      <c r="A1" s="45"/>
      <c r="B1" s="45">
        <v>1</v>
      </c>
      <c r="C1" s="45">
        <f>B1+1</f>
        <v>2</v>
      </c>
      <c r="D1" s="45">
        <f>C1+1</f>
        <v>3</v>
      </c>
      <c r="E1" s="45">
        <f t="shared" ref="E1:N1" si="0">D1+1</f>
        <v>4</v>
      </c>
      <c r="F1" s="45">
        <f t="shared" si="0"/>
        <v>5</v>
      </c>
      <c r="G1" s="45">
        <f t="shared" si="0"/>
        <v>6</v>
      </c>
      <c r="H1" s="45">
        <f t="shared" si="0"/>
        <v>7</v>
      </c>
      <c r="I1" s="45">
        <f t="shared" si="0"/>
        <v>8</v>
      </c>
      <c r="J1" s="45">
        <f t="shared" si="0"/>
        <v>9</v>
      </c>
      <c r="K1" s="45">
        <f t="shared" si="0"/>
        <v>10</v>
      </c>
      <c r="L1" s="45">
        <f t="shared" si="0"/>
        <v>11</v>
      </c>
      <c r="M1" s="45">
        <f t="shared" si="0"/>
        <v>12</v>
      </c>
      <c r="N1" s="45">
        <f t="shared" si="0"/>
        <v>13</v>
      </c>
      <c r="O1" s="45"/>
      <c r="P1" s="45">
        <v>1</v>
      </c>
      <c r="Q1" s="45">
        <f>P1+1</f>
        <v>2</v>
      </c>
      <c r="R1" s="45">
        <f t="shared" ref="R1:Z1" si="1">Q1+1</f>
        <v>3</v>
      </c>
      <c r="S1" s="45">
        <f t="shared" si="1"/>
        <v>4</v>
      </c>
      <c r="T1" s="45">
        <f t="shared" si="1"/>
        <v>5</v>
      </c>
      <c r="U1" s="45">
        <f t="shared" si="1"/>
        <v>6</v>
      </c>
      <c r="V1" s="45">
        <f t="shared" si="1"/>
        <v>7</v>
      </c>
      <c r="W1" s="45">
        <f t="shared" si="1"/>
        <v>8</v>
      </c>
      <c r="X1" s="45">
        <f t="shared" si="1"/>
        <v>9</v>
      </c>
      <c r="Y1" s="45">
        <f t="shared" si="1"/>
        <v>10</v>
      </c>
      <c r="Z1" s="45">
        <f t="shared" si="1"/>
        <v>11</v>
      </c>
      <c r="AA1" s="45">
        <f>Z1+1</f>
        <v>12</v>
      </c>
      <c r="AB1" s="45">
        <f>AA1+1</f>
        <v>13</v>
      </c>
      <c r="AC1" s="45"/>
      <c r="AD1" s="45">
        <v>1</v>
      </c>
      <c r="AE1" s="45">
        <f>AD1+1</f>
        <v>2</v>
      </c>
      <c r="AF1" s="45">
        <f t="shared" ref="AF1:AN1" si="2">AE1+1</f>
        <v>3</v>
      </c>
      <c r="AG1" s="45">
        <f t="shared" si="2"/>
        <v>4</v>
      </c>
      <c r="AH1" s="45">
        <f t="shared" si="2"/>
        <v>5</v>
      </c>
      <c r="AI1" s="45">
        <f t="shared" si="2"/>
        <v>6</v>
      </c>
      <c r="AJ1" s="45">
        <f t="shared" si="2"/>
        <v>7</v>
      </c>
      <c r="AK1" s="45">
        <f t="shared" si="2"/>
        <v>8</v>
      </c>
      <c r="AL1" s="45">
        <f t="shared" si="2"/>
        <v>9</v>
      </c>
      <c r="AM1" s="45">
        <f t="shared" si="2"/>
        <v>10</v>
      </c>
      <c r="AN1" s="45">
        <f t="shared" si="2"/>
        <v>11</v>
      </c>
      <c r="AO1" s="45">
        <f>AN1+1</f>
        <v>12</v>
      </c>
      <c r="AP1" s="45">
        <f>AO1+1</f>
        <v>13</v>
      </c>
      <c r="AR1" s="45">
        <v>1</v>
      </c>
      <c r="AS1" s="45">
        <f>AR1+1</f>
        <v>2</v>
      </c>
      <c r="AT1" s="45">
        <f t="shared" ref="AT1:BB1" si="3">AS1+1</f>
        <v>3</v>
      </c>
      <c r="AU1" s="45">
        <f t="shared" si="3"/>
        <v>4</v>
      </c>
      <c r="AV1" s="45">
        <f t="shared" si="3"/>
        <v>5</v>
      </c>
      <c r="AW1" s="45">
        <f t="shared" si="3"/>
        <v>6</v>
      </c>
      <c r="AX1" s="45">
        <f t="shared" si="3"/>
        <v>7</v>
      </c>
      <c r="AY1" s="45">
        <f t="shared" si="3"/>
        <v>8</v>
      </c>
      <c r="AZ1" s="45">
        <f t="shared" si="3"/>
        <v>9</v>
      </c>
      <c r="BA1" s="45">
        <f t="shared" si="3"/>
        <v>10</v>
      </c>
      <c r="BB1" s="45">
        <f t="shared" si="3"/>
        <v>11</v>
      </c>
      <c r="BC1" s="45">
        <f>BB1+1</f>
        <v>12</v>
      </c>
      <c r="BD1" s="45">
        <f>BC1+1</f>
        <v>13</v>
      </c>
      <c r="BE1" s="45"/>
      <c r="BF1" s="45"/>
    </row>
    <row r="2" spans="1:58">
      <c r="B2" s="35"/>
      <c r="C2" s="35"/>
      <c r="D2" s="36"/>
      <c r="E2" s="36"/>
      <c r="K2" s="77"/>
      <c r="L2" s="77"/>
      <c r="M2" s="77"/>
      <c r="N2" s="77"/>
      <c r="P2" s="35"/>
      <c r="Q2" s="35"/>
      <c r="R2" s="36"/>
      <c r="S2" s="36"/>
      <c r="Y2" s="77"/>
      <c r="Z2" s="77"/>
      <c r="AA2" s="77"/>
      <c r="AB2" s="77"/>
      <c r="AD2" s="35"/>
      <c r="AE2" s="35"/>
      <c r="AF2" s="36"/>
      <c r="AG2" s="36"/>
      <c r="AM2" s="77"/>
      <c r="AN2" s="77"/>
      <c r="AO2" s="77"/>
      <c r="AP2" s="77"/>
      <c r="AR2" s="35"/>
      <c r="AS2" s="35"/>
      <c r="AT2" s="36"/>
      <c r="AU2" s="36"/>
      <c r="BA2" s="77"/>
      <c r="BB2" s="77"/>
      <c r="BC2" s="77"/>
      <c r="BD2" s="77"/>
    </row>
    <row r="3" spans="1:58" ht="28.2" thickBot="1">
      <c r="B3" s="32" t="s">
        <v>623</v>
      </c>
      <c r="C3" s="32" t="s">
        <v>911</v>
      </c>
      <c r="D3" s="33" t="s">
        <v>916</v>
      </c>
      <c r="E3" s="33" t="s">
        <v>917</v>
      </c>
      <c r="F3" s="34" t="s">
        <v>971</v>
      </c>
      <c r="G3" s="34" t="s">
        <v>628</v>
      </c>
      <c r="H3" s="34" t="s">
        <v>918</v>
      </c>
      <c r="I3" s="34" t="s">
        <v>626</v>
      </c>
      <c r="J3" s="34" t="s">
        <v>919</v>
      </c>
      <c r="K3" s="34" t="s">
        <v>920</v>
      </c>
      <c r="L3" s="34" t="s">
        <v>1048</v>
      </c>
      <c r="M3" s="34" t="s">
        <v>629</v>
      </c>
      <c r="N3" s="34" t="s">
        <v>1055</v>
      </c>
      <c r="P3" s="32" t="s">
        <v>623</v>
      </c>
      <c r="Q3" s="32" t="s">
        <v>911</v>
      </c>
      <c r="R3" s="33" t="s">
        <v>916</v>
      </c>
      <c r="S3" s="33" t="s">
        <v>917</v>
      </c>
      <c r="T3" s="34" t="s">
        <v>971</v>
      </c>
      <c r="U3" s="34" t="s">
        <v>628</v>
      </c>
      <c r="V3" s="34" t="s">
        <v>918</v>
      </c>
      <c r="W3" s="34" t="s">
        <v>626</v>
      </c>
      <c r="X3" s="34" t="s">
        <v>919</v>
      </c>
      <c r="Y3" s="34" t="s">
        <v>920</v>
      </c>
      <c r="Z3" s="34" t="s">
        <v>1048</v>
      </c>
      <c r="AA3" s="34" t="s">
        <v>629</v>
      </c>
      <c r="AB3" s="34" t="s">
        <v>1055</v>
      </c>
      <c r="AD3" s="32" t="s">
        <v>623</v>
      </c>
      <c r="AE3" s="32" t="s">
        <v>911</v>
      </c>
      <c r="AF3" s="33" t="s">
        <v>916</v>
      </c>
      <c r="AG3" s="33" t="s">
        <v>917</v>
      </c>
      <c r="AH3" s="34" t="s">
        <v>971</v>
      </c>
      <c r="AI3" s="34" t="s">
        <v>628</v>
      </c>
      <c r="AJ3" s="34" t="s">
        <v>918</v>
      </c>
      <c r="AK3" s="34" t="s">
        <v>626</v>
      </c>
      <c r="AL3" s="34" t="s">
        <v>919</v>
      </c>
      <c r="AM3" s="34" t="s">
        <v>920</v>
      </c>
      <c r="AN3" s="34" t="s">
        <v>1048</v>
      </c>
      <c r="AO3" s="34" t="s">
        <v>629</v>
      </c>
      <c r="AP3" s="34" t="s">
        <v>1055</v>
      </c>
      <c r="AR3" s="32" t="s">
        <v>623</v>
      </c>
      <c r="AS3" s="32" t="s">
        <v>911</v>
      </c>
      <c r="AT3" s="33" t="s">
        <v>916</v>
      </c>
      <c r="AU3" s="33" t="s">
        <v>917</v>
      </c>
      <c r="AV3" s="34" t="s">
        <v>971</v>
      </c>
      <c r="AW3" s="34" t="s">
        <v>628</v>
      </c>
      <c r="AX3" s="34" t="s">
        <v>918</v>
      </c>
      <c r="AY3" s="34" t="s">
        <v>626</v>
      </c>
      <c r="AZ3" s="34" t="s">
        <v>919</v>
      </c>
      <c r="BA3" s="34" t="s">
        <v>920</v>
      </c>
      <c r="BB3" s="34" t="s">
        <v>1048</v>
      </c>
      <c r="BC3" s="34" t="s">
        <v>629</v>
      </c>
      <c r="BD3" s="34" t="s">
        <v>1055</v>
      </c>
    </row>
    <row r="4" spans="1:58">
      <c r="B4" s="37" t="s">
        <v>627</v>
      </c>
      <c r="C4" s="38" t="s">
        <v>871</v>
      </c>
      <c r="D4" s="39" t="s">
        <v>1049</v>
      </c>
      <c r="E4" s="40">
        <v>32</v>
      </c>
      <c r="F4" s="41">
        <v>9230761835.2088699</v>
      </c>
      <c r="G4" s="41">
        <v>326698166.14000022</v>
      </c>
      <c r="H4" s="41">
        <v>216662589.81000006</v>
      </c>
      <c r="I4" s="41">
        <v>28451620.379999999</v>
      </c>
      <c r="J4" s="41">
        <v>1335776939.3022685</v>
      </c>
      <c r="K4" s="41">
        <v>590218986.73336327</v>
      </c>
      <c r="L4" s="41">
        <v>728398828.01556575</v>
      </c>
      <c r="M4" s="41">
        <f>SUM(M5:M318)</f>
        <v>12336247421.177702</v>
      </c>
      <c r="N4" s="41">
        <v>134812916.28999996</v>
      </c>
      <c r="P4" s="37" t="s">
        <v>627</v>
      </c>
      <c r="Q4" s="38" t="s">
        <v>871</v>
      </c>
      <c r="R4" s="39" t="s">
        <v>1050</v>
      </c>
      <c r="S4" s="40">
        <v>32</v>
      </c>
      <c r="T4" s="41">
        <v>9603798563.8853798</v>
      </c>
      <c r="U4" s="41">
        <v>340101357.50000036</v>
      </c>
      <c r="V4" s="41">
        <v>224361960.29000002</v>
      </c>
      <c r="W4" s="41">
        <v>29456458.68</v>
      </c>
      <c r="X4" s="41">
        <v>1377921130.3923595</v>
      </c>
      <c r="Y4" s="41">
        <v>590726943.9611603</v>
      </c>
      <c r="Z4" s="41">
        <v>756099772.37893295</v>
      </c>
      <c r="AA4" s="41">
        <f>SUM(AA5:AA318)</f>
        <v>12793923594.028873</v>
      </c>
      <c r="AB4" s="41">
        <v>137896776.75999993</v>
      </c>
      <c r="AD4" s="37" t="s">
        <v>627</v>
      </c>
      <c r="AE4" s="38" t="s">
        <v>871</v>
      </c>
      <c r="AF4" s="39" t="s">
        <v>1275</v>
      </c>
      <c r="AG4" s="40">
        <v>32</v>
      </c>
      <c r="AH4" s="41">
        <v>9788444785.3772449</v>
      </c>
      <c r="AI4" s="41">
        <v>347014705.03000021</v>
      </c>
      <c r="AJ4" s="41">
        <v>228756591.44000009</v>
      </c>
      <c r="AK4" s="41">
        <v>30033424.979999974</v>
      </c>
      <c r="AL4" s="41">
        <v>1403554009.5266392</v>
      </c>
      <c r="AM4" s="41">
        <v>590544633.43131113</v>
      </c>
      <c r="AN4" s="41">
        <v>770688551.74682999</v>
      </c>
      <c r="AO4" s="41">
        <f>SUM(AO5:AO318)</f>
        <v>13027992065.311052</v>
      </c>
      <c r="AP4" s="41">
        <v>140343467.84999999</v>
      </c>
      <c r="AR4" s="37" t="s">
        <v>627</v>
      </c>
      <c r="AS4" s="38" t="s">
        <v>871</v>
      </c>
      <c r="AT4" s="39" t="s">
        <v>1276</v>
      </c>
      <c r="AU4" s="40">
        <v>32</v>
      </c>
      <c r="AV4" s="41">
        <v>9969871976.3068485</v>
      </c>
      <c r="AW4" s="41">
        <v>353371143.38999975</v>
      </c>
      <c r="AX4" s="41">
        <v>232979875.9900001</v>
      </c>
      <c r="AY4" s="41">
        <v>30587865.660000026</v>
      </c>
      <c r="AZ4" s="41">
        <v>1429606766.6260638</v>
      </c>
      <c r="BA4" s="41">
        <v>590573146.76394188</v>
      </c>
      <c r="BB4" s="41">
        <v>785001417.24101567</v>
      </c>
      <c r="BC4" s="41">
        <f>SUM(BC5:BC318)</f>
        <v>13258730500.80126</v>
      </c>
      <c r="BD4" s="41">
        <v>142963873.98999998</v>
      </c>
    </row>
    <row r="5" spans="1:58">
      <c r="B5" s="42" t="s">
        <v>141</v>
      </c>
      <c r="C5" s="42" t="s">
        <v>142</v>
      </c>
      <c r="D5" s="43" t="s">
        <v>1049</v>
      </c>
      <c r="E5" s="44">
        <v>32</v>
      </c>
      <c r="F5" s="31">
        <v>24093043.616767928</v>
      </c>
      <c r="G5" s="31">
        <v>1407852.5799999996</v>
      </c>
      <c r="H5" s="31">
        <v>637372.91</v>
      </c>
      <c r="I5" s="31">
        <v>87406.13</v>
      </c>
      <c r="J5" s="31">
        <v>4058166.9319256772</v>
      </c>
      <c r="K5" s="31">
        <v>1174309.784083107</v>
      </c>
      <c r="L5" s="31">
        <v>3097255.8582306374</v>
      </c>
      <c r="M5" s="31">
        <f t="shared" ref="M5:M68" si="4">SUM(F5:L5,N5)</f>
        <v>35450321.851007342</v>
      </c>
      <c r="N5" s="31">
        <v>894914.04</v>
      </c>
      <c r="P5" s="42" t="s">
        <v>141</v>
      </c>
      <c r="Q5" s="42" t="s">
        <v>142</v>
      </c>
      <c r="R5" s="43" t="s">
        <v>1050</v>
      </c>
      <c r="S5" s="44">
        <v>32</v>
      </c>
      <c r="T5" s="31">
        <v>25275137.579737771</v>
      </c>
      <c r="U5" s="31">
        <v>1474280.87</v>
      </c>
      <c r="V5" s="31">
        <v>661848.66</v>
      </c>
      <c r="W5" s="31">
        <v>90762.61</v>
      </c>
      <c r="X5" s="31">
        <v>4195692.0635010302</v>
      </c>
      <c r="Y5" s="31">
        <v>1175216.4936996752</v>
      </c>
      <c r="Z5" s="31">
        <v>3238326.3952330053</v>
      </c>
      <c r="AA5" s="31">
        <f t="shared" ref="AA5:AA68" si="5">SUM(T5:Z5,AB5)</f>
        <v>37028178.982171483</v>
      </c>
      <c r="AB5" s="31">
        <v>916914.31</v>
      </c>
      <c r="AD5" s="42" t="s">
        <v>141</v>
      </c>
      <c r="AE5" s="42" t="s">
        <v>142</v>
      </c>
      <c r="AF5" s="43" t="s">
        <v>1275</v>
      </c>
      <c r="AG5" s="44">
        <v>32</v>
      </c>
      <c r="AH5" s="31">
        <v>25760409.254949167</v>
      </c>
      <c r="AI5" s="31">
        <v>1504901.23</v>
      </c>
      <c r="AJ5" s="31">
        <v>674795.28</v>
      </c>
      <c r="AK5" s="31">
        <v>92538.049999999988</v>
      </c>
      <c r="AL5" s="31">
        <v>4273410.8503992958</v>
      </c>
      <c r="AM5" s="31">
        <v>1174908.4579997361</v>
      </c>
      <c r="AN5" s="31">
        <v>3300707.4540185318</v>
      </c>
      <c r="AO5" s="31">
        <f t="shared" ref="AO5:AO68" si="6">SUM(AH5:AN5,AP5)</f>
        <v>37714739.367366731</v>
      </c>
      <c r="AP5" s="31">
        <v>933068.79</v>
      </c>
      <c r="AR5" s="42" t="s">
        <v>141</v>
      </c>
      <c r="AS5" s="42" t="s">
        <v>142</v>
      </c>
      <c r="AT5" s="43" t="s">
        <v>1276</v>
      </c>
      <c r="AU5" s="44">
        <v>32</v>
      </c>
      <c r="AV5" s="31">
        <v>26234212.935672253</v>
      </c>
      <c r="AW5" s="31">
        <v>1532119.3700000003</v>
      </c>
      <c r="AX5" s="31">
        <v>687117.65999999992</v>
      </c>
      <c r="AY5" s="31">
        <v>94227.87999999999</v>
      </c>
      <c r="AZ5" s="31">
        <v>4352109.7885805527</v>
      </c>
      <c r="BA5" s="31">
        <v>1174957.477367616</v>
      </c>
      <c r="BB5" s="31">
        <v>3361551.6593163507</v>
      </c>
      <c r="BC5" s="31">
        <f t="shared" ref="BC5:BC68" si="7">SUM(AV5:BB5,BD5)</f>
        <v>38386667.010936774</v>
      </c>
      <c r="BD5" s="31">
        <v>950370.24</v>
      </c>
    </row>
    <row r="6" spans="1:58">
      <c r="B6" s="42" t="s">
        <v>279</v>
      </c>
      <c r="C6" s="42" t="s">
        <v>280</v>
      </c>
      <c r="D6" s="43" t="s">
        <v>1049</v>
      </c>
      <c r="E6" s="44">
        <v>32</v>
      </c>
      <c r="F6" s="31">
        <v>5272220.1589501528</v>
      </c>
      <c r="G6" s="31">
        <v>106430.69999999998</v>
      </c>
      <c r="H6" s="31">
        <v>0</v>
      </c>
      <c r="I6" s="31">
        <v>17856.14</v>
      </c>
      <c r="J6" s="31">
        <v>679387.56522808468</v>
      </c>
      <c r="K6" s="31">
        <v>350110.06392341462</v>
      </c>
      <c r="L6" s="31">
        <v>463065.29464732751</v>
      </c>
      <c r="M6" s="31">
        <f t="shared" si="4"/>
        <v>6889069.9227489801</v>
      </c>
      <c r="N6" s="31">
        <v>0</v>
      </c>
      <c r="P6" s="42" t="s">
        <v>279</v>
      </c>
      <c r="Q6" s="42" t="s">
        <v>280</v>
      </c>
      <c r="R6" s="43" t="s">
        <v>1050</v>
      </c>
      <c r="S6" s="44">
        <v>32</v>
      </c>
      <c r="T6" s="31">
        <v>5473595.7947411519</v>
      </c>
      <c r="U6" s="31">
        <v>110479.47</v>
      </c>
      <c r="V6" s="31">
        <v>0</v>
      </c>
      <c r="W6" s="31">
        <v>18535.43</v>
      </c>
      <c r="X6" s="31">
        <v>702325.87872113334</v>
      </c>
      <c r="Y6" s="31">
        <v>350511.86642197141</v>
      </c>
      <c r="Z6" s="31">
        <v>479489.65888108057</v>
      </c>
      <c r="AA6" s="31">
        <f t="shared" si="5"/>
        <v>7134938.0987653369</v>
      </c>
      <c r="AB6" s="31">
        <v>0</v>
      </c>
      <c r="AD6" s="42" t="s">
        <v>279</v>
      </c>
      <c r="AE6" s="42" t="s">
        <v>280</v>
      </c>
      <c r="AF6" s="43" t="s">
        <v>1275</v>
      </c>
      <c r="AG6" s="44">
        <v>32</v>
      </c>
      <c r="AH6" s="31">
        <v>5578826.7172936378</v>
      </c>
      <c r="AI6" s="31">
        <v>112641.87</v>
      </c>
      <c r="AJ6" s="31">
        <v>0</v>
      </c>
      <c r="AK6" s="31">
        <v>18898.22</v>
      </c>
      <c r="AL6" s="31">
        <v>715355.95794765244</v>
      </c>
      <c r="AM6" s="31">
        <v>350375.36239508266</v>
      </c>
      <c r="AN6" s="31">
        <v>488730.95596988127</v>
      </c>
      <c r="AO6" s="31">
        <f t="shared" si="6"/>
        <v>7264829.0836062543</v>
      </c>
      <c r="AP6" s="31">
        <v>0</v>
      </c>
      <c r="AR6" s="42" t="s">
        <v>279</v>
      </c>
      <c r="AS6" s="42" t="s">
        <v>280</v>
      </c>
      <c r="AT6" s="43" t="s">
        <v>1276</v>
      </c>
      <c r="AU6" s="44">
        <v>32</v>
      </c>
      <c r="AV6" s="31">
        <v>5681617.7015231857</v>
      </c>
      <c r="AW6" s="31">
        <v>114708.84999999999</v>
      </c>
      <c r="AX6" s="31">
        <v>0</v>
      </c>
      <c r="AY6" s="31">
        <v>19245.000000000004</v>
      </c>
      <c r="AZ6" s="31">
        <v>728567.67978785746</v>
      </c>
      <c r="BA6" s="31">
        <v>350397.08501071605</v>
      </c>
      <c r="BB6" s="31">
        <v>497767.20327830687</v>
      </c>
      <c r="BC6" s="31">
        <f t="shared" si="7"/>
        <v>7392303.5196000654</v>
      </c>
      <c r="BD6" s="31">
        <v>0</v>
      </c>
    </row>
    <row r="7" spans="1:58">
      <c r="B7" s="42" t="s">
        <v>301</v>
      </c>
      <c r="C7" s="42" t="s">
        <v>302</v>
      </c>
      <c r="D7" s="43" t="s">
        <v>1049</v>
      </c>
      <c r="E7" s="44">
        <v>32</v>
      </c>
      <c r="F7" s="31">
        <v>2075727.5904541076</v>
      </c>
      <c r="G7" s="31">
        <v>23303.780000000002</v>
      </c>
      <c r="H7" s="31">
        <v>0</v>
      </c>
      <c r="I7" s="31">
        <v>0</v>
      </c>
      <c r="J7" s="31">
        <v>82898.691177076049</v>
      </c>
      <c r="K7" s="31">
        <v>178371.18282314594</v>
      </c>
      <c r="L7" s="31">
        <v>30424.361647055375</v>
      </c>
      <c r="M7" s="31">
        <f t="shared" si="4"/>
        <v>2390725.6061013849</v>
      </c>
      <c r="N7" s="31">
        <v>0</v>
      </c>
      <c r="P7" s="42" t="s">
        <v>301</v>
      </c>
      <c r="Q7" s="42" t="s">
        <v>302</v>
      </c>
      <c r="R7" s="43" t="s">
        <v>1050</v>
      </c>
      <c r="S7" s="44">
        <v>32</v>
      </c>
      <c r="T7" s="31">
        <v>2151982.7081103157</v>
      </c>
      <c r="U7" s="31">
        <v>24190.29</v>
      </c>
      <c r="V7" s="31">
        <v>0</v>
      </c>
      <c r="W7" s="31">
        <v>0</v>
      </c>
      <c r="X7" s="31">
        <v>85691.780625405503</v>
      </c>
      <c r="Y7" s="31">
        <v>178507.23216451195</v>
      </c>
      <c r="Z7" s="31">
        <v>31503.283422536966</v>
      </c>
      <c r="AA7" s="31">
        <f t="shared" si="5"/>
        <v>2471875.2943227706</v>
      </c>
      <c r="AB7" s="31">
        <v>0</v>
      </c>
      <c r="AD7" s="42" t="s">
        <v>301</v>
      </c>
      <c r="AE7" s="42" t="s">
        <v>302</v>
      </c>
      <c r="AF7" s="43" t="s">
        <v>1275</v>
      </c>
      <c r="AG7" s="44">
        <v>32</v>
      </c>
      <c r="AH7" s="31">
        <v>2193164.5767854513</v>
      </c>
      <c r="AI7" s="31">
        <v>24663.780000000002</v>
      </c>
      <c r="AJ7" s="31">
        <v>0</v>
      </c>
      <c r="AK7" s="31">
        <v>0</v>
      </c>
      <c r="AL7" s="31">
        <v>87280.903761288748</v>
      </c>
      <c r="AM7" s="31">
        <v>178461.01223552015</v>
      </c>
      <c r="AN7" s="31">
        <v>32110.355728339709</v>
      </c>
      <c r="AO7" s="31">
        <f t="shared" si="6"/>
        <v>2515680.6285105995</v>
      </c>
      <c r="AP7" s="31">
        <v>0</v>
      </c>
      <c r="AR7" s="42" t="s">
        <v>301</v>
      </c>
      <c r="AS7" s="42" t="s">
        <v>302</v>
      </c>
      <c r="AT7" s="43" t="s">
        <v>1276</v>
      </c>
      <c r="AU7" s="44">
        <v>32</v>
      </c>
      <c r="AV7" s="31">
        <v>2233118.8705244008</v>
      </c>
      <c r="AW7" s="31">
        <v>25116.350000000002</v>
      </c>
      <c r="AX7" s="31">
        <v>0</v>
      </c>
      <c r="AY7" s="31">
        <v>0</v>
      </c>
      <c r="AZ7" s="31">
        <v>88891.609395019943</v>
      </c>
      <c r="BA7" s="31">
        <v>178468.36745994084</v>
      </c>
      <c r="BB7" s="31">
        <v>32703.964626654437</v>
      </c>
      <c r="BC7" s="31">
        <f t="shared" si="7"/>
        <v>2558299.1620060164</v>
      </c>
      <c r="BD7" s="31">
        <v>0</v>
      </c>
    </row>
    <row r="8" spans="1:58">
      <c r="B8" s="42" t="s">
        <v>407</v>
      </c>
      <c r="C8" s="42" t="s">
        <v>408</v>
      </c>
      <c r="D8" s="43" t="s">
        <v>1049</v>
      </c>
      <c r="E8" s="44">
        <v>32</v>
      </c>
      <c r="F8" s="31">
        <v>22427530.43284009</v>
      </c>
      <c r="G8" s="31">
        <v>501412.21</v>
      </c>
      <c r="H8" s="31">
        <v>90195.99000000002</v>
      </c>
      <c r="I8" s="31">
        <v>77911.25</v>
      </c>
      <c r="J8" s="31">
        <v>3030597.5501745851</v>
      </c>
      <c r="K8" s="31">
        <v>1043096.536471059</v>
      </c>
      <c r="L8" s="31">
        <v>1145673.3317024559</v>
      </c>
      <c r="M8" s="31">
        <f t="shared" si="4"/>
        <v>28334413.401188191</v>
      </c>
      <c r="N8" s="31">
        <v>17996.100000000002</v>
      </c>
      <c r="P8" s="42" t="s">
        <v>407</v>
      </c>
      <c r="Q8" s="42" t="s">
        <v>408</v>
      </c>
      <c r="R8" s="43" t="s">
        <v>1050</v>
      </c>
      <c r="S8" s="44">
        <v>32</v>
      </c>
      <c r="T8" s="31">
        <v>23274414.472921647</v>
      </c>
      <c r="U8" s="31">
        <v>520385.68000000005</v>
      </c>
      <c r="V8" s="31">
        <v>93568.58</v>
      </c>
      <c r="W8" s="31">
        <v>80824.469999999987</v>
      </c>
      <c r="X8" s="31">
        <v>3131800.5652882103</v>
      </c>
      <c r="Y8" s="31">
        <v>1043843.8345362506</v>
      </c>
      <c r="Z8" s="31">
        <v>1185790.9829053483</v>
      </c>
      <c r="AA8" s="31">
        <f t="shared" si="5"/>
        <v>29349072.735651448</v>
      </c>
      <c r="AB8" s="31">
        <v>18444.149999999998</v>
      </c>
      <c r="AD8" s="42" t="s">
        <v>407</v>
      </c>
      <c r="AE8" s="42" t="s">
        <v>408</v>
      </c>
      <c r="AF8" s="43" t="s">
        <v>1275</v>
      </c>
      <c r="AG8" s="44">
        <v>32</v>
      </c>
      <c r="AH8" s="31">
        <v>23722840.713979885</v>
      </c>
      <c r="AI8" s="31">
        <v>530614.30999999994</v>
      </c>
      <c r="AJ8" s="31">
        <v>95401.94</v>
      </c>
      <c r="AK8" s="31">
        <v>82408.11</v>
      </c>
      <c r="AL8" s="31">
        <v>3190133.2110779043</v>
      </c>
      <c r="AM8" s="31">
        <v>1043570.5516639218</v>
      </c>
      <c r="AN8" s="31">
        <v>1208681.4648469537</v>
      </c>
      <c r="AO8" s="31">
        <f t="shared" si="6"/>
        <v>29892423.441568665</v>
      </c>
      <c r="AP8" s="31">
        <v>18773.140000000003</v>
      </c>
      <c r="AR8" s="42" t="s">
        <v>407</v>
      </c>
      <c r="AS8" s="42" t="s">
        <v>408</v>
      </c>
      <c r="AT8" s="43" t="s">
        <v>1276</v>
      </c>
      <c r="AU8" s="44">
        <v>32</v>
      </c>
      <c r="AV8" s="31">
        <v>24164014.654993579</v>
      </c>
      <c r="AW8" s="31">
        <v>540431.81999999995</v>
      </c>
      <c r="AX8" s="31">
        <v>97167.95</v>
      </c>
      <c r="AY8" s="31">
        <v>83933.579999999973</v>
      </c>
      <c r="AZ8" s="31">
        <v>3249486.4086239277</v>
      </c>
      <c r="BA8" s="31">
        <v>1043613.0369090819</v>
      </c>
      <c r="BB8" s="31">
        <v>1231192.1453262935</v>
      </c>
      <c r="BC8" s="31">
        <f t="shared" si="7"/>
        <v>30428965.10585288</v>
      </c>
      <c r="BD8" s="31">
        <v>19125.509999999998</v>
      </c>
    </row>
    <row r="9" spans="1:58">
      <c r="B9" s="42" t="s">
        <v>431</v>
      </c>
      <c r="C9" s="42" t="s">
        <v>432</v>
      </c>
      <c r="D9" s="43" t="s">
        <v>1049</v>
      </c>
      <c r="E9" s="44">
        <v>32</v>
      </c>
      <c r="F9" s="31">
        <v>47764717.996696949</v>
      </c>
      <c r="G9" s="31">
        <v>1253229.7000000002</v>
      </c>
      <c r="H9" s="31">
        <v>504183.07999999996</v>
      </c>
      <c r="I9" s="31">
        <v>171471.17</v>
      </c>
      <c r="J9" s="31">
        <v>7576316.1276263483</v>
      </c>
      <c r="K9" s="31">
        <v>3610176.8081120225</v>
      </c>
      <c r="L9" s="31">
        <v>3749072.543494808</v>
      </c>
      <c r="M9" s="31">
        <f t="shared" si="4"/>
        <v>64629167.425930128</v>
      </c>
      <c r="N9" s="31">
        <v>0</v>
      </c>
      <c r="P9" s="42" t="s">
        <v>431</v>
      </c>
      <c r="Q9" s="42" t="s">
        <v>432</v>
      </c>
      <c r="R9" s="43" t="s">
        <v>1050</v>
      </c>
      <c r="S9" s="44">
        <v>32</v>
      </c>
      <c r="T9" s="31">
        <v>49253894.096365593</v>
      </c>
      <c r="U9" s="31">
        <v>1289759.8600000001</v>
      </c>
      <c r="V9" s="31">
        <v>518879.42</v>
      </c>
      <c r="W9" s="31">
        <v>176469.35</v>
      </c>
      <c r="X9" s="31">
        <v>7777886.9886079459</v>
      </c>
      <c r="Y9" s="31">
        <v>3612731.8130786857</v>
      </c>
      <c r="Z9" s="31">
        <v>3855046.9942246508</v>
      </c>
      <c r="AA9" s="31">
        <f t="shared" si="5"/>
        <v>66484668.522276878</v>
      </c>
      <c r="AB9" s="31">
        <v>0</v>
      </c>
      <c r="AD9" s="42" t="s">
        <v>431</v>
      </c>
      <c r="AE9" s="42" t="s">
        <v>432</v>
      </c>
      <c r="AF9" s="43" t="s">
        <v>1275</v>
      </c>
      <c r="AG9" s="44">
        <v>32</v>
      </c>
      <c r="AH9" s="31">
        <v>50202156.072633609</v>
      </c>
      <c r="AI9" s="31">
        <v>1315040.1299999999</v>
      </c>
      <c r="AJ9" s="31">
        <v>529049.87</v>
      </c>
      <c r="AK9" s="31">
        <v>179928.28999999998</v>
      </c>
      <c r="AL9" s="31">
        <v>7922948.2015752252</v>
      </c>
      <c r="AM9" s="31">
        <v>3611779.5904525951</v>
      </c>
      <c r="AN9" s="31">
        <v>3929503.5067946981</v>
      </c>
      <c r="AO9" s="31">
        <f t="shared" si="6"/>
        <v>67690405.661456123</v>
      </c>
      <c r="AP9" s="31">
        <v>0</v>
      </c>
      <c r="AR9" s="42" t="s">
        <v>431</v>
      </c>
      <c r="AS9" s="42" t="s">
        <v>432</v>
      </c>
      <c r="AT9" s="43" t="s">
        <v>1276</v>
      </c>
      <c r="AU9" s="44">
        <v>32</v>
      </c>
      <c r="AV9" s="31">
        <v>51136813.415080205</v>
      </c>
      <c r="AW9" s="31">
        <v>1339456.01</v>
      </c>
      <c r="AX9" s="31">
        <v>538872.55000000005</v>
      </c>
      <c r="AY9" s="31">
        <v>183268.95999999996</v>
      </c>
      <c r="AZ9" s="31">
        <v>8070715.3567919824</v>
      </c>
      <c r="BA9" s="31">
        <v>3611926.8655629354</v>
      </c>
      <c r="BB9" s="31">
        <v>4002852.7255574977</v>
      </c>
      <c r="BC9" s="31">
        <f t="shared" si="7"/>
        <v>68883905.88299261</v>
      </c>
      <c r="BD9" s="31">
        <v>0</v>
      </c>
    </row>
    <row r="10" spans="1:58">
      <c r="B10" s="42" t="s">
        <v>15</v>
      </c>
      <c r="C10" s="42" t="s">
        <v>16</v>
      </c>
      <c r="D10" s="43" t="s">
        <v>1049</v>
      </c>
      <c r="E10" s="44">
        <v>32</v>
      </c>
      <c r="F10" s="31">
        <v>5409384.3150998112</v>
      </c>
      <c r="G10" s="31">
        <v>118100.58</v>
      </c>
      <c r="H10" s="31">
        <v>0</v>
      </c>
      <c r="I10" s="31">
        <v>17052.489999999998</v>
      </c>
      <c r="J10" s="31">
        <v>744226.44108178397</v>
      </c>
      <c r="K10" s="31">
        <v>280331.01026898378</v>
      </c>
      <c r="L10" s="31">
        <v>432894.90237023687</v>
      </c>
      <c r="M10" s="31">
        <f t="shared" si="4"/>
        <v>7001989.7388208155</v>
      </c>
      <c r="N10" s="31">
        <v>0</v>
      </c>
      <c r="P10" s="42" t="s">
        <v>15</v>
      </c>
      <c r="Q10" s="42" t="s">
        <v>16</v>
      </c>
      <c r="R10" s="43" t="s">
        <v>1050</v>
      </c>
      <c r="S10" s="44">
        <v>32</v>
      </c>
      <c r="T10" s="31">
        <v>5616809.6733664442</v>
      </c>
      <c r="U10" s="31">
        <v>122635.77</v>
      </c>
      <c r="V10" s="31">
        <v>0</v>
      </c>
      <c r="W10" s="31">
        <v>17707.32</v>
      </c>
      <c r="X10" s="31">
        <v>769414.17321459658</v>
      </c>
      <c r="Y10" s="31">
        <v>280695.53021253669</v>
      </c>
      <c r="Z10" s="31">
        <v>448319.4420981186</v>
      </c>
      <c r="AA10" s="31">
        <f t="shared" si="5"/>
        <v>7255581.9088916956</v>
      </c>
      <c r="AB10" s="31">
        <v>0</v>
      </c>
      <c r="AD10" s="42" t="s">
        <v>15</v>
      </c>
      <c r="AE10" s="42" t="s">
        <v>16</v>
      </c>
      <c r="AF10" s="43" t="s">
        <v>1275</v>
      </c>
      <c r="AG10" s="44">
        <v>32</v>
      </c>
      <c r="AH10" s="31">
        <v>5724696.0363347623</v>
      </c>
      <c r="AI10" s="31">
        <v>125034.69</v>
      </c>
      <c r="AJ10" s="31">
        <v>0</v>
      </c>
      <c r="AK10" s="31">
        <v>18053.690000000002</v>
      </c>
      <c r="AL10" s="31">
        <v>783662.78607935039</v>
      </c>
      <c r="AM10" s="31">
        <v>280571.69215688761</v>
      </c>
      <c r="AN10" s="31">
        <v>456953.75242855784</v>
      </c>
      <c r="AO10" s="31">
        <f t="shared" si="6"/>
        <v>7388972.6469995594</v>
      </c>
      <c r="AP10" s="31">
        <v>0</v>
      </c>
      <c r="AR10" s="42" t="s">
        <v>15</v>
      </c>
      <c r="AS10" s="42" t="s">
        <v>16</v>
      </c>
      <c r="AT10" s="43" t="s">
        <v>1276</v>
      </c>
      <c r="AU10" s="44">
        <v>32</v>
      </c>
      <c r="AV10" s="31">
        <v>5829732.8068726398</v>
      </c>
      <c r="AW10" s="31">
        <v>127317.94</v>
      </c>
      <c r="AX10" s="31">
        <v>0</v>
      </c>
      <c r="AY10" s="31">
        <v>18383.36</v>
      </c>
      <c r="AZ10" s="31">
        <v>798088.11421823688</v>
      </c>
      <c r="BA10" s="31">
        <v>280591.39916879759</v>
      </c>
      <c r="BB10" s="31">
        <v>465378.77579925809</v>
      </c>
      <c r="BC10" s="31">
        <f t="shared" si="7"/>
        <v>7519492.3960589329</v>
      </c>
      <c r="BD10" s="31">
        <v>0</v>
      </c>
    </row>
    <row r="11" spans="1:58">
      <c r="B11" s="42" t="s">
        <v>205</v>
      </c>
      <c r="C11" s="42" t="s">
        <v>206</v>
      </c>
      <c r="D11" s="43" t="s">
        <v>1049</v>
      </c>
      <c r="E11" s="44">
        <v>32</v>
      </c>
      <c r="F11" s="31">
        <v>152613269.73470962</v>
      </c>
      <c r="G11" s="31">
        <v>6783230.8200000003</v>
      </c>
      <c r="H11" s="31">
        <v>6921230.669999999</v>
      </c>
      <c r="I11" s="31">
        <v>537320.85</v>
      </c>
      <c r="J11" s="31">
        <v>18959632.789758548</v>
      </c>
      <c r="K11" s="31">
        <v>8948766.3267089985</v>
      </c>
      <c r="L11" s="31">
        <v>9643539.791825952</v>
      </c>
      <c r="M11" s="31">
        <f t="shared" si="4"/>
        <v>207998322.50300312</v>
      </c>
      <c r="N11" s="31">
        <v>3591331.52</v>
      </c>
      <c r="P11" s="42" t="s">
        <v>205</v>
      </c>
      <c r="Q11" s="42" t="s">
        <v>206</v>
      </c>
      <c r="R11" s="43" t="s">
        <v>1050</v>
      </c>
      <c r="S11" s="44">
        <v>32</v>
      </c>
      <c r="T11" s="31">
        <v>158976097.29827026</v>
      </c>
      <c r="U11" s="31">
        <v>7024437.3299999982</v>
      </c>
      <c r="V11" s="31">
        <v>7122976.3499999996</v>
      </c>
      <c r="W11" s="31">
        <v>552983.10000000009</v>
      </c>
      <c r="X11" s="31">
        <v>19463650.307253897</v>
      </c>
      <c r="Y11" s="31">
        <v>8956680.880852785</v>
      </c>
      <c r="Z11" s="31">
        <v>10013923.932220867</v>
      </c>
      <c r="AA11" s="31">
        <f t="shared" si="5"/>
        <v>215763280.44859782</v>
      </c>
      <c r="AB11" s="31">
        <v>3652531.25</v>
      </c>
      <c r="AD11" s="42" t="s">
        <v>205</v>
      </c>
      <c r="AE11" s="42" t="s">
        <v>206</v>
      </c>
      <c r="AF11" s="43" t="s">
        <v>1275</v>
      </c>
      <c r="AG11" s="44">
        <v>32</v>
      </c>
      <c r="AH11" s="31">
        <v>162040634.70464379</v>
      </c>
      <c r="AI11" s="31">
        <v>7168384.8099999987</v>
      </c>
      <c r="AJ11" s="31">
        <v>7262592.1099999985</v>
      </c>
      <c r="AK11" s="31">
        <v>563822.01</v>
      </c>
      <c r="AL11" s="31">
        <v>19826632.306442507</v>
      </c>
      <c r="AM11" s="31">
        <v>8953731.212406164</v>
      </c>
      <c r="AN11" s="31">
        <v>10207355.759033337</v>
      </c>
      <c r="AO11" s="31">
        <f t="shared" si="6"/>
        <v>219741013.42252576</v>
      </c>
      <c r="AP11" s="31">
        <v>3717860.51</v>
      </c>
      <c r="AR11" s="42" t="s">
        <v>205</v>
      </c>
      <c r="AS11" s="42" t="s">
        <v>206</v>
      </c>
      <c r="AT11" s="43" t="s">
        <v>1276</v>
      </c>
      <c r="AU11" s="44">
        <v>32</v>
      </c>
      <c r="AV11" s="31">
        <v>165057583.4299722</v>
      </c>
      <c r="AW11" s="31">
        <v>7300538.1899999995</v>
      </c>
      <c r="AX11" s="31">
        <v>7397434.0699999994</v>
      </c>
      <c r="AY11" s="31">
        <v>574290.29</v>
      </c>
      <c r="AZ11" s="31">
        <v>20196365.241013754</v>
      </c>
      <c r="BA11" s="31">
        <v>8954187.4216308147</v>
      </c>
      <c r="BB11" s="31">
        <v>10397875.086776175</v>
      </c>
      <c r="BC11" s="31">
        <f t="shared" si="7"/>
        <v>223666101.8693929</v>
      </c>
      <c r="BD11" s="31">
        <v>3787828.14</v>
      </c>
    </row>
    <row r="12" spans="1:58">
      <c r="B12" s="42" t="s">
        <v>229</v>
      </c>
      <c r="C12" s="42" t="s">
        <v>230</v>
      </c>
      <c r="D12" s="43" t="s">
        <v>1049</v>
      </c>
      <c r="E12" s="44">
        <v>32</v>
      </c>
      <c r="F12" s="31">
        <v>31652438.34856236</v>
      </c>
      <c r="G12" s="31">
        <v>181349.87999999998</v>
      </c>
      <c r="H12" s="31">
        <v>72833.55</v>
      </c>
      <c r="I12" s="31">
        <v>116985.36</v>
      </c>
      <c r="J12" s="31">
        <v>4428634.9932812192</v>
      </c>
      <c r="K12" s="31">
        <v>1437654.570036853</v>
      </c>
      <c r="L12" s="31">
        <v>3258762.0203841329</v>
      </c>
      <c r="M12" s="31">
        <f t="shared" si="4"/>
        <v>41148658.722264566</v>
      </c>
      <c r="N12" s="31">
        <v>0</v>
      </c>
      <c r="P12" s="42" t="s">
        <v>229</v>
      </c>
      <c r="Q12" s="42" t="s">
        <v>230</v>
      </c>
      <c r="R12" s="43" t="s">
        <v>1050</v>
      </c>
      <c r="S12" s="44">
        <v>32</v>
      </c>
      <c r="T12" s="31">
        <v>32834879.876940981</v>
      </c>
      <c r="U12" s="31">
        <v>188051.86</v>
      </c>
      <c r="V12" s="31">
        <v>75525.180000000008</v>
      </c>
      <c r="W12" s="31">
        <v>121308.66</v>
      </c>
      <c r="X12" s="31">
        <v>4575685.9187147571</v>
      </c>
      <c r="Y12" s="31">
        <v>1438561.7341752108</v>
      </c>
      <c r="Z12" s="31">
        <v>3371985.8429493457</v>
      </c>
      <c r="AA12" s="31">
        <f t="shared" si="5"/>
        <v>42605999.072780296</v>
      </c>
      <c r="AB12" s="31">
        <v>0</v>
      </c>
      <c r="AD12" s="42" t="s">
        <v>229</v>
      </c>
      <c r="AE12" s="42" t="s">
        <v>230</v>
      </c>
      <c r="AF12" s="43" t="s">
        <v>1275</v>
      </c>
      <c r="AG12" s="44">
        <v>32</v>
      </c>
      <c r="AH12" s="31">
        <v>33467704.862011582</v>
      </c>
      <c r="AI12" s="31">
        <v>191739.12000000002</v>
      </c>
      <c r="AJ12" s="31">
        <v>77006.040000000008</v>
      </c>
      <c r="AK12" s="31">
        <v>123687.25</v>
      </c>
      <c r="AL12" s="31">
        <v>4661134.5101805897</v>
      </c>
      <c r="AM12" s="31">
        <v>1438218.8940582722</v>
      </c>
      <c r="AN12" s="31">
        <v>3437144.9880305957</v>
      </c>
      <c r="AO12" s="31">
        <f t="shared" si="6"/>
        <v>43396635.66428104</v>
      </c>
      <c r="AP12" s="31">
        <v>0</v>
      </c>
      <c r="AR12" s="42" t="s">
        <v>229</v>
      </c>
      <c r="AS12" s="42" t="s">
        <v>230</v>
      </c>
      <c r="AT12" s="43" t="s">
        <v>1276</v>
      </c>
      <c r="AU12" s="44">
        <v>32</v>
      </c>
      <c r="AV12" s="31">
        <v>34092338.140695527</v>
      </c>
      <c r="AW12" s="31">
        <v>195309.2</v>
      </c>
      <c r="AX12" s="31">
        <v>78439.850000000006</v>
      </c>
      <c r="AY12" s="31">
        <v>125990.23</v>
      </c>
      <c r="AZ12" s="31">
        <v>4748273.5725281676</v>
      </c>
      <c r="BA12" s="31">
        <v>1438271.6596781495</v>
      </c>
      <c r="BB12" s="31">
        <v>3501443.0469440934</v>
      </c>
      <c r="BC12" s="31">
        <f t="shared" si="7"/>
        <v>44180065.69984594</v>
      </c>
      <c r="BD12" s="31">
        <v>0</v>
      </c>
    </row>
    <row r="13" spans="1:58">
      <c r="B13" s="42" t="s">
        <v>69</v>
      </c>
      <c r="C13" s="42" t="s">
        <v>70</v>
      </c>
      <c r="D13" s="43" t="s">
        <v>1049</v>
      </c>
      <c r="E13" s="44">
        <v>32</v>
      </c>
      <c r="F13" s="31">
        <v>97202896.090791419</v>
      </c>
      <c r="G13" s="31">
        <v>2646410.7200000002</v>
      </c>
      <c r="H13" s="31">
        <v>1252769.1599999999</v>
      </c>
      <c r="I13" s="31">
        <v>346897.00999999995</v>
      </c>
      <c r="J13" s="31">
        <v>15068084.789676208</v>
      </c>
      <c r="K13" s="31">
        <v>10644551.552892311</v>
      </c>
      <c r="L13" s="31">
        <v>8912708.6767557617</v>
      </c>
      <c r="M13" s="31">
        <f t="shared" si="4"/>
        <v>136074318.00011569</v>
      </c>
      <c r="N13" s="31">
        <v>0</v>
      </c>
      <c r="P13" s="42" t="s">
        <v>69</v>
      </c>
      <c r="Q13" s="42" t="s">
        <v>70</v>
      </c>
      <c r="R13" s="43" t="s">
        <v>1050</v>
      </c>
      <c r="S13" s="44">
        <v>32</v>
      </c>
      <c r="T13" s="31">
        <v>100886335.08858442</v>
      </c>
      <c r="U13" s="31">
        <v>2746632.7699999996</v>
      </c>
      <c r="V13" s="31">
        <v>1300212.69</v>
      </c>
      <c r="W13" s="31">
        <v>360034.33</v>
      </c>
      <c r="X13" s="31">
        <v>15575006.418287914</v>
      </c>
      <c r="Y13" s="31">
        <v>10654388.017469002</v>
      </c>
      <c r="Z13" s="31">
        <v>9227429.8767175302</v>
      </c>
      <c r="AA13" s="31">
        <f t="shared" si="5"/>
        <v>140750039.19105887</v>
      </c>
      <c r="AB13" s="31">
        <v>0</v>
      </c>
      <c r="AD13" s="42" t="s">
        <v>69</v>
      </c>
      <c r="AE13" s="42" t="s">
        <v>70</v>
      </c>
      <c r="AF13" s="43" t="s">
        <v>1275</v>
      </c>
      <c r="AG13" s="44">
        <v>32</v>
      </c>
      <c r="AH13" s="31">
        <v>102817293.23915383</v>
      </c>
      <c r="AI13" s="31">
        <v>2800407.02</v>
      </c>
      <c r="AJ13" s="31">
        <v>1325668.5699999998</v>
      </c>
      <c r="AK13" s="31">
        <v>367083.17000000004</v>
      </c>
      <c r="AL13" s="31">
        <v>15864384.939760676</v>
      </c>
      <c r="AM13" s="31">
        <v>10650916.014050376</v>
      </c>
      <c r="AN13" s="31">
        <v>9405359.0182184745</v>
      </c>
      <c r="AO13" s="31">
        <f t="shared" si="6"/>
        <v>143231111.97118336</v>
      </c>
      <c r="AP13" s="31">
        <v>0</v>
      </c>
      <c r="AR13" s="42" t="s">
        <v>69</v>
      </c>
      <c r="AS13" s="42" t="s">
        <v>70</v>
      </c>
      <c r="AT13" s="43" t="s">
        <v>1276</v>
      </c>
      <c r="AU13" s="44">
        <v>32</v>
      </c>
      <c r="AV13" s="31">
        <v>104718588.95141391</v>
      </c>
      <c r="AW13" s="31">
        <v>2851913.08</v>
      </c>
      <c r="AX13" s="31">
        <v>1350050.7399999998</v>
      </c>
      <c r="AY13" s="31">
        <v>373834.69</v>
      </c>
      <c r="AZ13" s="31">
        <v>16158187.211874122</v>
      </c>
      <c r="BA13" s="31">
        <v>10651461.793972049</v>
      </c>
      <c r="BB13" s="31">
        <v>9579684.0302373488</v>
      </c>
      <c r="BC13" s="31">
        <f t="shared" si="7"/>
        <v>145683720.49749744</v>
      </c>
      <c r="BD13" s="31">
        <v>0</v>
      </c>
    </row>
    <row r="14" spans="1:58">
      <c r="B14" s="42" t="s">
        <v>199</v>
      </c>
      <c r="C14" s="42" t="s">
        <v>200</v>
      </c>
      <c r="D14" s="43" t="s">
        <v>1049</v>
      </c>
      <c r="E14" s="44">
        <v>32</v>
      </c>
      <c r="F14" s="31">
        <v>173161095.97000167</v>
      </c>
      <c r="G14" s="31">
        <v>2382616.7899999996</v>
      </c>
      <c r="H14" s="31">
        <v>5627040.7600000007</v>
      </c>
      <c r="I14" s="31">
        <v>616205.68000000005</v>
      </c>
      <c r="J14" s="31">
        <v>17020425.07177471</v>
      </c>
      <c r="K14" s="31">
        <v>9618336.659874713</v>
      </c>
      <c r="L14" s="31">
        <v>10158930.69058672</v>
      </c>
      <c r="M14" s="31">
        <f t="shared" si="4"/>
        <v>218728399.07223779</v>
      </c>
      <c r="N14" s="31">
        <v>143747.45000000001</v>
      </c>
      <c r="P14" s="42" t="s">
        <v>199</v>
      </c>
      <c r="Q14" s="42" t="s">
        <v>200</v>
      </c>
      <c r="R14" s="43" t="s">
        <v>1050</v>
      </c>
      <c r="S14" s="44">
        <v>32</v>
      </c>
      <c r="T14" s="31">
        <v>179627846.23983085</v>
      </c>
      <c r="U14" s="31">
        <v>2472382.9400000004</v>
      </c>
      <c r="V14" s="31">
        <v>5834994.1400000006</v>
      </c>
      <c r="W14" s="31">
        <v>638978.22</v>
      </c>
      <c r="X14" s="31">
        <v>17585547.728685115</v>
      </c>
      <c r="Y14" s="31">
        <v>9625622.9518794809</v>
      </c>
      <c r="Z14" s="31">
        <v>10511897.651535884</v>
      </c>
      <c r="AA14" s="31">
        <f t="shared" si="5"/>
        <v>226444615.70193133</v>
      </c>
      <c r="AB14" s="31">
        <v>147345.83000000002</v>
      </c>
      <c r="AD14" s="42" t="s">
        <v>199</v>
      </c>
      <c r="AE14" s="42" t="s">
        <v>200</v>
      </c>
      <c r="AF14" s="43" t="s">
        <v>1275</v>
      </c>
      <c r="AG14" s="44">
        <v>32</v>
      </c>
      <c r="AH14" s="31">
        <v>183088673.80683514</v>
      </c>
      <c r="AI14" s="31">
        <v>2521107.2700000005</v>
      </c>
      <c r="AJ14" s="31">
        <v>5949404.3100000005</v>
      </c>
      <c r="AK14" s="31">
        <v>651507.05999999994</v>
      </c>
      <c r="AL14" s="31">
        <v>17913932.202357959</v>
      </c>
      <c r="AM14" s="31">
        <v>9622869.2790904697</v>
      </c>
      <c r="AN14" s="31">
        <v>10715026.218010923</v>
      </c>
      <c r="AO14" s="31">
        <f t="shared" si="6"/>
        <v>230612508.20629451</v>
      </c>
      <c r="AP14" s="31">
        <v>149988.06000000003</v>
      </c>
      <c r="AR14" s="42" t="s">
        <v>199</v>
      </c>
      <c r="AS14" s="42" t="s">
        <v>200</v>
      </c>
      <c r="AT14" s="43" t="s">
        <v>1276</v>
      </c>
      <c r="AU14" s="44">
        <v>32</v>
      </c>
      <c r="AV14" s="31">
        <v>186505197.78197867</v>
      </c>
      <c r="AW14" s="31">
        <v>2568011.8300000005</v>
      </c>
      <c r="AX14" s="31">
        <v>6060179.0999999996</v>
      </c>
      <c r="AY14" s="31">
        <v>663637.78</v>
      </c>
      <c r="AZ14" s="31">
        <v>18248799.813985609</v>
      </c>
      <c r="BA14" s="31">
        <v>9623293.0896204319</v>
      </c>
      <c r="BB14" s="31">
        <v>10915470.298575329</v>
      </c>
      <c r="BC14" s="31">
        <f t="shared" si="7"/>
        <v>234737407.59416008</v>
      </c>
      <c r="BD14" s="31">
        <v>152817.90000000002</v>
      </c>
    </row>
    <row r="15" spans="1:58">
      <c r="B15" s="42" t="s">
        <v>539</v>
      </c>
      <c r="C15" s="42" t="s">
        <v>540</v>
      </c>
      <c r="D15" s="43" t="s">
        <v>1049</v>
      </c>
      <c r="E15" s="44">
        <v>32</v>
      </c>
      <c r="F15" s="31">
        <v>96982174.343626767</v>
      </c>
      <c r="G15" s="31">
        <v>2900654.81</v>
      </c>
      <c r="H15" s="31">
        <v>1387232.81</v>
      </c>
      <c r="I15" s="31">
        <v>343043.74999999994</v>
      </c>
      <c r="J15" s="31">
        <v>15305919.41801808</v>
      </c>
      <c r="K15" s="31">
        <v>4179309.7792304317</v>
      </c>
      <c r="L15" s="31">
        <v>7262980.4003748037</v>
      </c>
      <c r="M15" s="31">
        <f t="shared" si="4"/>
        <v>128862148.57125008</v>
      </c>
      <c r="N15" s="31">
        <v>500833.25999999989</v>
      </c>
      <c r="P15" s="42" t="s">
        <v>539</v>
      </c>
      <c r="Q15" s="42" t="s">
        <v>540</v>
      </c>
      <c r="R15" s="43" t="s">
        <v>1050</v>
      </c>
      <c r="S15" s="44">
        <v>32</v>
      </c>
      <c r="T15" s="31">
        <v>100024515.18435541</v>
      </c>
      <c r="U15" s="31">
        <v>2991746.5199999996</v>
      </c>
      <c r="V15" s="31">
        <v>1427756.05</v>
      </c>
      <c r="W15" s="31">
        <v>353064.58999999997</v>
      </c>
      <c r="X15" s="31">
        <v>15712345.226848112</v>
      </c>
      <c r="Y15" s="31">
        <v>4183414.4642865984</v>
      </c>
      <c r="Z15" s="31">
        <v>7468410.7085272595</v>
      </c>
      <c r="AA15" s="31">
        <f t="shared" si="5"/>
        <v>132670357.08401737</v>
      </c>
      <c r="AB15" s="31">
        <v>509104.33999999997</v>
      </c>
      <c r="AD15" s="42" t="s">
        <v>539</v>
      </c>
      <c r="AE15" s="42" t="s">
        <v>540</v>
      </c>
      <c r="AF15" s="43" t="s">
        <v>1275</v>
      </c>
      <c r="AG15" s="44">
        <v>32</v>
      </c>
      <c r="AH15" s="31">
        <v>101946953.75915366</v>
      </c>
      <c r="AI15" s="31">
        <v>3051259.24</v>
      </c>
      <c r="AJ15" s="31">
        <v>1455720.27</v>
      </c>
      <c r="AK15" s="31">
        <v>359979.73</v>
      </c>
      <c r="AL15" s="31">
        <v>16004642.39465207</v>
      </c>
      <c r="AM15" s="31">
        <v>4181935.7908822428</v>
      </c>
      <c r="AN15" s="31">
        <v>7612502.621040361</v>
      </c>
      <c r="AO15" s="31">
        <f t="shared" si="6"/>
        <v>135131153.50572833</v>
      </c>
      <c r="AP15" s="31">
        <v>518159.69999999995</v>
      </c>
      <c r="AR15" s="42" t="s">
        <v>539</v>
      </c>
      <c r="AS15" s="42" t="s">
        <v>540</v>
      </c>
      <c r="AT15" s="43" t="s">
        <v>1276</v>
      </c>
      <c r="AU15" s="44">
        <v>32</v>
      </c>
      <c r="AV15" s="31">
        <v>103836390.81835347</v>
      </c>
      <c r="AW15" s="31">
        <v>3107428.41</v>
      </c>
      <c r="AX15" s="31">
        <v>1482583.0699999998</v>
      </c>
      <c r="AY15" s="31">
        <v>366622.54</v>
      </c>
      <c r="AZ15" s="31">
        <v>16301734.590252129</v>
      </c>
      <c r="BA15" s="31">
        <v>4182166.9143154533</v>
      </c>
      <c r="BB15" s="31">
        <v>7753944.9844819335</v>
      </c>
      <c r="BC15" s="31">
        <f t="shared" si="7"/>
        <v>137558729.29740298</v>
      </c>
      <c r="BD15" s="31">
        <v>527857.97</v>
      </c>
    </row>
    <row r="16" spans="1:58">
      <c r="B16" s="42" t="s">
        <v>5</v>
      </c>
      <c r="C16" s="42" t="s">
        <v>6</v>
      </c>
      <c r="D16" s="43" t="s">
        <v>1049</v>
      </c>
      <c r="E16" s="44">
        <v>32</v>
      </c>
      <c r="F16" s="31">
        <v>328897.83339915954</v>
      </c>
      <c r="G16" s="31">
        <v>0</v>
      </c>
      <c r="H16" s="31">
        <v>0</v>
      </c>
      <c r="I16" s="31">
        <v>292.33000000000004</v>
      </c>
      <c r="J16" s="31">
        <v>0</v>
      </c>
      <c r="K16" s="31">
        <v>65135.600284457054</v>
      </c>
      <c r="L16" s="31">
        <v>0</v>
      </c>
      <c r="M16" s="31">
        <f t="shared" si="4"/>
        <v>394325.76368361659</v>
      </c>
      <c r="N16" s="31">
        <v>0</v>
      </c>
      <c r="P16" s="42" t="s">
        <v>5</v>
      </c>
      <c r="Q16" s="42" t="s">
        <v>6</v>
      </c>
      <c r="R16" s="43" t="s">
        <v>1050</v>
      </c>
      <c r="S16" s="44">
        <v>32</v>
      </c>
      <c r="T16" s="31">
        <v>340965.351079977</v>
      </c>
      <c r="U16" s="31">
        <v>0</v>
      </c>
      <c r="V16" s="31">
        <v>0</v>
      </c>
      <c r="W16" s="31">
        <v>303.55999999999995</v>
      </c>
      <c r="X16" s="31">
        <v>0</v>
      </c>
      <c r="Y16" s="31">
        <v>65175.66185850319</v>
      </c>
      <c r="Z16" s="31">
        <v>0</v>
      </c>
      <c r="AA16" s="31">
        <f t="shared" si="5"/>
        <v>406444.57293848018</v>
      </c>
      <c r="AB16" s="31">
        <v>0</v>
      </c>
      <c r="AD16" s="42" t="s">
        <v>5</v>
      </c>
      <c r="AE16" s="42" t="s">
        <v>6</v>
      </c>
      <c r="AF16" s="43" t="s">
        <v>1275</v>
      </c>
      <c r="AG16" s="44">
        <v>32</v>
      </c>
      <c r="AH16" s="31">
        <v>347487.53148404113</v>
      </c>
      <c r="AI16" s="31">
        <v>0</v>
      </c>
      <c r="AJ16" s="31">
        <v>0</v>
      </c>
      <c r="AK16" s="31">
        <v>309.51</v>
      </c>
      <c r="AL16" s="31">
        <v>0</v>
      </c>
      <c r="AM16" s="31">
        <v>65162.051773447871</v>
      </c>
      <c r="AN16" s="31">
        <v>0</v>
      </c>
      <c r="AO16" s="31">
        <f t="shared" si="6"/>
        <v>412959.09325748903</v>
      </c>
      <c r="AP16" s="31">
        <v>0</v>
      </c>
      <c r="AR16" s="42" t="s">
        <v>5</v>
      </c>
      <c r="AS16" s="42" t="s">
        <v>6</v>
      </c>
      <c r="AT16" s="43" t="s">
        <v>1276</v>
      </c>
      <c r="AU16" s="44">
        <v>32</v>
      </c>
      <c r="AV16" s="31">
        <v>353800.62883113383</v>
      </c>
      <c r="AW16" s="31">
        <v>0</v>
      </c>
      <c r="AX16" s="31">
        <v>0</v>
      </c>
      <c r="AY16" s="31">
        <v>315.15999999999997</v>
      </c>
      <c r="AZ16" s="31">
        <v>0</v>
      </c>
      <c r="BA16" s="31">
        <v>65164.217619050629</v>
      </c>
      <c r="BB16" s="31">
        <v>0</v>
      </c>
      <c r="BC16" s="31">
        <f t="shared" si="7"/>
        <v>419280.00645018445</v>
      </c>
      <c r="BD16" s="31">
        <v>0</v>
      </c>
    </row>
    <row r="17" spans="2:56">
      <c r="B17" s="42" t="s">
        <v>383</v>
      </c>
      <c r="C17" s="42" t="s">
        <v>384</v>
      </c>
      <c r="D17" s="43" t="s">
        <v>1049</v>
      </c>
      <c r="E17" s="44">
        <v>32</v>
      </c>
      <c r="F17" s="31">
        <v>162446464.79937142</v>
      </c>
      <c r="G17" s="31">
        <v>6223082.5600000005</v>
      </c>
      <c r="H17" s="31">
        <v>1923714.38</v>
      </c>
      <c r="I17" s="31">
        <v>565265.28</v>
      </c>
      <c r="J17" s="31">
        <v>24222147.444630902</v>
      </c>
      <c r="K17" s="31">
        <v>15094726.044891372</v>
      </c>
      <c r="L17" s="31">
        <v>13974934.555609494</v>
      </c>
      <c r="M17" s="31">
        <f t="shared" si="4"/>
        <v>227365821.56450316</v>
      </c>
      <c r="N17" s="31">
        <v>2915486.5</v>
      </c>
      <c r="P17" s="42" t="s">
        <v>383</v>
      </c>
      <c r="Q17" s="42" t="s">
        <v>384</v>
      </c>
      <c r="R17" s="43" t="s">
        <v>1050</v>
      </c>
      <c r="S17" s="44">
        <v>32</v>
      </c>
      <c r="T17" s="31">
        <v>168693558.76382881</v>
      </c>
      <c r="U17" s="31">
        <v>6502339.5099999998</v>
      </c>
      <c r="V17" s="31">
        <v>1997586.97</v>
      </c>
      <c r="W17" s="31">
        <v>586972.05000000005</v>
      </c>
      <c r="X17" s="31">
        <v>25042708.139630735</v>
      </c>
      <c r="Y17" s="31">
        <v>15109151.637641637</v>
      </c>
      <c r="Z17" s="31">
        <v>14473617.666349228</v>
      </c>
      <c r="AA17" s="31">
        <f t="shared" si="5"/>
        <v>235393094.57745042</v>
      </c>
      <c r="AB17" s="31">
        <v>2987159.84</v>
      </c>
      <c r="AD17" s="42" t="s">
        <v>383</v>
      </c>
      <c r="AE17" s="42" t="s">
        <v>384</v>
      </c>
      <c r="AF17" s="43" t="s">
        <v>1275</v>
      </c>
      <c r="AG17" s="44">
        <v>32</v>
      </c>
      <c r="AH17" s="31">
        <v>171928779.79446816</v>
      </c>
      <c r="AI17" s="31">
        <v>6635337.5599999996</v>
      </c>
      <c r="AJ17" s="31">
        <v>2036662.34</v>
      </c>
      <c r="AK17" s="31">
        <v>598453.9800000001</v>
      </c>
      <c r="AL17" s="31">
        <v>25506561.392382994</v>
      </c>
      <c r="AM17" s="31">
        <v>15104250.843077786</v>
      </c>
      <c r="AN17" s="31">
        <v>14752438.524200378</v>
      </c>
      <c r="AO17" s="31">
        <f t="shared" si="6"/>
        <v>239602272.98412931</v>
      </c>
      <c r="AP17" s="31">
        <v>3039788.55</v>
      </c>
      <c r="AR17" s="42" t="s">
        <v>383</v>
      </c>
      <c r="AS17" s="42" t="s">
        <v>384</v>
      </c>
      <c r="AT17" s="43" t="s">
        <v>1276</v>
      </c>
      <c r="AU17" s="44">
        <v>32</v>
      </c>
      <c r="AV17" s="31">
        <v>175091232.44695631</v>
      </c>
      <c r="AW17" s="31">
        <v>6755648.9499999993</v>
      </c>
      <c r="AX17" s="31">
        <v>2073853.66</v>
      </c>
      <c r="AY17" s="31">
        <v>609382.30000000005</v>
      </c>
      <c r="AZ17" s="31">
        <v>25976244.134937655</v>
      </c>
      <c r="BA17" s="31">
        <v>15105030.732719399</v>
      </c>
      <c r="BB17" s="31">
        <v>15024364.519992523</v>
      </c>
      <c r="BC17" s="31">
        <f t="shared" si="7"/>
        <v>243731910.64460588</v>
      </c>
      <c r="BD17" s="31">
        <v>3096153.9000000004</v>
      </c>
    </row>
    <row r="18" spans="2:56">
      <c r="B18" s="42" t="s">
        <v>253</v>
      </c>
      <c r="C18" s="42" t="s">
        <v>254</v>
      </c>
      <c r="D18" s="43" t="s">
        <v>1049</v>
      </c>
      <c r="E18" s="44">
        <v>32</v>
      </c>
      <c r="F18" s="31">
        <v>2028344.3853565911</v>
      </c>
      <c r="G18" s="31">
        <v>0</v>
      </c>
      <c r="H18" s="31">
        <v>0</v>
      </c>
      <c r="I18" s="31">
        <v>3215.6</v>
      </c>
      <c r="J18" s="31">
        <v>143796.12253377982</v>
      </c>
      <c r="K18" s="31">
        <v>204245.10318151774</v>
      </c>
      <c r="L18" s="31">
        <v>0</v>
      </c>
      <c r="M18" s="31">
        <f t="shared" si="4"/>
        <v>2379601.2110718889</v>
      </c>
      <c r="N18" s="31">
        <v>0</v>
      </c>
      <c r="P18" s="42" t="s">
        <v>253</v>
      </c>
      <c r="Q18" s="42" t="s">
        <v>254</v>
      </c>
      <c r="R18" s="43" t="s">
        <v>1050</v>
      </c>
      <c r="S18" s="44">
        <v>32</v>
      </c>
      <c r="T18" s="31">
        <v>2103746.6863631736</v>
      </c>
      <c r="U18" s="31">
        <v>0</v>
      </c>
      <c r="V18" s="31">
        <v>0</v>
      </c>
      <c r="W18" s="31">
        <v>3339.09</v>
      </c>
      <c r="X18" s="31">
        <v>148668.31010539396</v>
      </c>
      <c r="Y18" s="31">
        <v>204401.06373382264</v>
      </c>
      <c r="Z18" s="31">
        <v>0</v>
      </c>
      <c r="AA18" s="31">
        <f t="shared" si="5"/>
        <v>2460155.1502023903</v>
      </c>
      <c r="AB18" s="31">
        <v>0</v>
      </c>
      <c r="AD18" s="42" t="s">
        <v>253</v>
      </c>
      <c r="AE18" s="42" t="s">
        <v>254</v>
      </c>
      <c r="AF18" s="43" t="s">
        <v>1275</v>
      </c>
      <c r="AG18" s="44">
        <v>32</v>
      </c>
      <c r="AH18" s="31">
        <v>2143999.266711615</v>
      </c>
      <c r="AI18" s="31">
        <v>0</v>
      </c>
      <c r="AJ18" s="31">
        <v>0</v>
      </c>
      <c r="AK18" s="31">
        <v>3404.4199999999996</v>
      </c>
      <c r="AL18" s="31">
        <v>151421.89487949977</v>
      </c>
      <c r="AM18" s="31">
        <v>204348.07938578629</v>
      </c>
      <c r="AN18" s="31">
        <v>0</v>
      </c>
      <c r="AO18" s="31">
        <f t="shared" si="6"/>
        <v>2503173.6609769012</v>
      </c>
      <c r="AP18" s="31">
        <v>0</v>
      </c>
      <c r="AR18" s="42" t="s">
        <v>253</v>
      </c>
      <c r="AS18" s="42" t="s">
        <v>254</v>
      </c>
      <c r="AT18" s="43" t="s">
        <v>1276</v>
      </c>
      <c r="AU18" s="44">
        <v>32</v>
      </c>
      <c r="AV18" s="31">
        <v>2183000.2994219358</v>
      </c>
      <c r="AW18" s="31">
        <v>0</v>
      </c>
      <c r="AX18" s="31">
        <v>0</v>
      </c>
      <c r="AY18" s="31">
        <v>3466.5899999999992</v>
      </c>
      <c r="AZ18" s="31">
        <v>154209.98707488488</v>
      </c>
      <c r="BA18" s="31">
        <v>204356.51106837625</v>
      </c>
      <c r="BB18" s="31">
        <v>0</v>
      </c>
      <c r="BC18" s="31">
        <f t="shared" si="7"/>
        <v>2545033.387565197</v>
      </c>
      <c r="BD18" s="31">
        <v>0</v>
      </c>
    </row>
    <row r="19" spans="2:56">
      <c r="B19" s="42" t="s">
        <v>543</v>
      </c>
      <c r="C19" s="42" t="s">
        <v>544</v>
      </c>
      <c r="D19" s="43" t="s">
        <v>1049</v>
      </c>
      <c r="E19" s="44">
        <v>32</v>
      </c>
      <c r="F19" s="31">
        <v>19186818.572017204</v>
      </c>
      <c r="G19" s="31">
        <v>698005.57999999984</v>
      </c>
      <c r="H19" s="31">
        <v>155680.70999999996</v>
      </c>
      <c r="I19" s="31">
        <v>67387.5</v>
      </c>
      <c r="J19" s="31">
        <v>3045027.1744312509</v>
      </c>
      <c r="K19" s="31">
        <v>1278916.7381508555</v>
      </c>
      <c r="L19" s="31">
        <v>1255749.1972670495</v>
      </c>
      <c r="M19" s="31">
        <f t="shared" si="4"/>
        <v>25851606.221866354</v>
      </c>
      <c r="N19" s="31">
        <v>164020.75</v>
      </c>
      <c r="P19" s="42" t="s">
        <v>543</v>
      </c>
      <c r="Q19" s="42" t="s">
        <v>544</v>
      </c>
      <c r="R19" s="43" t="s">
        <v>1050</v>
      </c>
      <c r="S19" s="44">
        <v>32</v>
      </c>
      <c r="T19" s="31">
        <v>19905781.960376043</v>
      </c>
      <c r="U19" s="31">
        <v>725885.25999999989</v>
      </c>
      <c r="V19" s="31">
        <v>161455.96</v>
      </c>
      <c r="W19" s="31">
        <v>69887.360000000001</v>
      </c>
      <c r="X19" s="31">
        <v>3146372.4564503771</v>
      </c>
      <c r="Y19" s="31">
        <v>1280234.0715194601</v>
      </c>
      <c r="Z19" s="31">
        <v>1299548.0528840148</v>
      </c>
      <c r="AA19" s="31">
        <f t="shared" si="5"/>
        <v>26757284.571229897</v>
      </c>
      <c r="AB19" s="31">
        <v>168119.44999999998</v>
      </c>
      <c r="AD19" s="42" t="s">
        <v>543</v>
      </c>
      <c r="AE19" s="42" t="s">
        <v>544</v>
      </c>
      <c r="AF19" s="43" t="s">
        <v>1275</v>
      </c>
      <c r="AG19" s="44">
        <v>32</v>
      </c>
      <c r="AH19" s="31">
        <v>20288945.652158953</v>
      </c>
      <c r="AI19" s="31">
        <v>740400.88</v>
      </c>
      <c r="AJ19" s="31">
        <v>164620.98000000001</v>
      </c>
      <c r="AK19" s="31">
        <v>71257.38</v>
      </c>
      <c r="AL19" s="31">
        <v>3205054.7192530325</v>
      </c>
      <c r="AM19" s="31">
        <v>1279752.3298108226</v>
      </c>
      <c r="AN19" s="31">
        <v>1324649.4923238603</v>
      </c>
      <c r="AO19" s="31">
        <f t="shared" si="6"/>
        <v>27245810.50354667</v>
      </c>
      <c r="AP19" s="31">
        <v>171129.06999999998</v>
      </c>
      <c r="AR19" s="42" t="s">
        <v>543</v>
      </c>
      <c r="AS19" s="42" t="s">
        <v>544</v>
      </c>
      <c r="AT19" s="43" t="s">
        <v>1276</v>
      </c>
      <c r="AU19" s="44">
        <v>32</v>
      </c>
      <c r="AV19" s="31">
        <v>20666582.513376161</v>
      </c>
      <c r="AW19" s="31">
        <v>754117.93</v>
      </c>
      <c r="AX19" s="31">
        <v>167680.39000000001</v>
      </c>
      <c r="AY19" s="31">
        <v>72581.67</v>
      </c>
      <c r="AZ19" s="31">
        <v>3264828.8100388269</v>
      </c>
      <c r="BA19" s="31">
        <v>1279827.2225928726</v>
      </c>
      <c r="BB19" s="31">
        <v>1349377.8654137347</v>
      </c>
      <c r="BC19" s="31">
        <f t="shared" si="7"/>
        <v>27729348.761421598</v>
      </c>
      <c r="BD19" s="31">
        <v>174352.36</v>
      </c>
    </row>
    <row r="20" spans="2:56">
      <c r="B20" s="42" t="s">
        <v>283</v>
      </c>
      <c r="C20" s="42" t="s">
        <v>284</v>
      </c>
      <c r="D20" s="43" t="s">
        <v>1049</v>
      </c>
      <c r="E20" s="44">
        <v>32</v>
      </c>
      <c r="F20" s="31">
        <v>837661.23932314338</v>
      </c>
      <c r="G20" s="31">
        <v>28063.480000000003</v>
      </c>
      <c r="H20" s="31">
        <v>0</v>
      </c>
      <c r="I20" s="31">
        <v>0</v>
      </c>
      <c r="J20" s="31">
        <v>121492.51273492345</v>
      </c>
      <c r="K20" s="31">
        <v>147224.19300537929</v>
      </c>
      <c r="L20" s="31">
        <v>0</v>
      </c>
      <c r="M20" s="31">
        <f t="shared" si="4"/>
        <v>1159581.6650634462</v>
      </c>
      <c r="N20" s="31">
        <v>25140.239999999998</v>
      </c>
      <c r="P20" s="42" t="s">
        <v>283</v>
      </c>
      <c r="Q20" s="42" t="s">
        <v>284</v>
      </c>
      <c r="R20" s="43" t="s">
        <v>1050</v>
      </c>
      <c r="S20" s="44">
        <v>32</v>
      </c>
      <c r="T20" s="31">
        <v>880868.09629908041</v>
      </c>
      <c r="U20" s="31">
        <v>29488.529999999995</v>
      </c>
      <c r="V20" s="31">
        <v>0</v>
      </c>
      <c r="W20" s="31">
        <v>0</v>
      </c>
      <c r="X20" s="31">
        <v>125611.1208791237</v>
      </c>
      <c r="Y20" s="31">
        <v>147364.38455477581</v>
      </c>
      <c r="Z20" s="31">
        <v>0</v>
      </c>
      <c r="AA20" s="31">
        <f t="shared" si="5"/>
        <v>1209090.4117329801</v>
      </c>
      <c r="AB20" s="31">
        <v>25758.280000000002</v>
      </c>
      <c r="AD20" s="42" t="s">
        <v>283</v>
      </c>
      <c r="AE20" s="42" t="s">
        <v>284</v>
      </c>
      <c r="AF20" s="43" t="s">
        <v>1275</v>
      </c>
      <c r="AG20" s="44">
        <v>32</v>
      </c>
      <c r="AH20" s="31">
        <v>897748.94307194417</v>
      </c>
      <c r="AI20" s="31">
        <v>30115.429999999997</v>
      </c>
      <c r="AJ20" s="31">
        <v>0</v>
      </c>
      <c r="AK20" s="31">
        <v>0</v>
      </c>
      <c r="AL20" s="31">
        <v>127936.24126963617</v>
      </c>
      <c r="AM20" s="31">
        <v>147316.7573969131</v>
      </c>
      <c r="AN20" s="31">
        <v>0</v>
      </c>
      <c r="AO20" s="31">
        <f t="shared" si="6"/>
        <v>1229329.4617384935</v>
      </c>
      <c r="AP20" s="31">
        <v>26212.09</v>
      </c>
      <c r="AR20" s="42" t="s">
        <v>283</v>
      </c>
      <c r="AS20" s="42" t="s">
        <v>284</v>
      </c>
      <c r="AT20" s="43" t="s">
        <v>1276</v>
      </c>
      <c r="AU20" s="44">
        <v>32</v>
      </c>
      <c r="AV20" s="31">
        <v>914148.38083440089</v>
      </c>
      <c r="AW20" s="31">
        <v>30657.970000000005</v>
      </c>
      <c r="AX20" s="31">
        <v>0</v>
      </c>
      <c r="AY20" s="31">
        <v>0</v>
      </c>
      <c r="AZ20" s="31">
        <v>130289.36067362179</v>
      </c>
      <c r="BA20" s="31">
        <v>147324.33656118796</v>
      </c>
      <c r="BB20" s="31">
        <v>0</v>
      </c>
      <c r="BC20" s="31">
        <f t="shared" si="7"/>
        <v>1249118.1780692104</v>
      </c>
      <c r="BD20" s="31">
        <v>26698.13</v>
      </c>
    </row>
    <row r="21" spans="2:56">
      <c r="B21" s="42" t="s">
        <v>227</v>
      </c>
      <c r="C21" s="42" t="s">
        <v>228</v>
      </c>
      <c r="D21" s="43" t="s">
        <v>1049</v>
      </c>
      <c r="E21" s="44">
        <v>32</v>
      </c>
      <c r="F21" s="31">
        <v>38639172.35587088</v>
      </c>
      <c r="G21" s="31">
        <v>2128094.62</v>
      </c>
      <c r="H21" s="31">
        <v>769664.26000000013</v>
      </c>
      <c r="I21" s="31">
        <v>148264.25</v>
      </c>
      <c r="J21" s="31">
        <v>6700103.1409654683</v>
      </c>
      <c r="K21" s="31">
        <v>1974796.0191229219</v>
      </c>
      <c r="L21" s="31">
        <v>7034712.7100287881</v>
      </c>
      <c r="M21" s="31">
        <f t="shared" si="4"/>
        <v>58683340.065988056</v>
      </c>
      <c r="N21" s="31">
        <v>1288532.71</v>
      </c>
      <c r="P21" s="42" t="s">
        <v>227</v>
      </c>
      <c r="Q21" s="42" t="s">
        <v>228</v>
      </c>
      <c r="R21" s="43" t="s">
        <v>1050</v>
      </c>
      <c r="S21" s="44">
        <v>32</v>
      </c>
      <c r="T21" s="31">
        <v>40504889.027258344</v>
      </c>
      <c r="U21" s="31">
        <v>2222104.41</v>
      </c>
      <c r="V21" s="31">
        <v>798108.03999999992</v>
      </c>
      <c r="W21" s="31">
        <v>153743.53000000003</v>
      </c>
      <c r="X21" s="31">
        <v>6922296.2691742014</v>
      </c>
      <c r="Y21" s="31">
        <v>1976226.2431769932</v>
      </c>
      <c r="Z21" s="31">
        <v>7348189.3523861151</v>
      </c>
      <c r="AA21" s="31">
        <f t="shared" si="5"/>
        <v>61246344.941995665</v>
      </c>
      <c r="AB21" s="31">
        <v>1320788.07</v>
      </c>
      <c r="AD21" s="42" t="s">
        <v>227</v>
      </c>
      <c r="AE21" s="42" t="s">
        <v>228</v>
      </c>
      <c r="AF21" s="43" t="s">
        <v>1275</v>
      </c>
      <c r="AG21" s="44">
        <v>32</v>
      </c>
      <c r="AH21" s="31">
        <v>41284397.515458956</v>
      </c>
      <c r="AI21" s="31">
        <v>2267887.36</v>
      </c>
      <c r="AJ21" s="31">
        <v>813757.01</v>
      </c>
      <c r="AK21" s="31">
        <v>156758.06999999998</v>
      </c>
      <c r="AL21" s="31">
        <v>7051555.6077265795</v>
      </c>
      <c r="AM21" s="31">
        <v>1975685.7255780131</v>
      </c>
      <c r="AN21" s="31">
        <v>7490272.1632042313</v>
      </c>
      <c r="AO21" s="31">
        <f t="shared" si="6"/>
        <v>62384786.151967779</v>
      </c>
      <c r="AP21" s="31">
        <v>1344472.7000000002</v>
      </c>
      <c r="AR21" s="42" t="s">
        <v>227</v>
      </c>
      <c r="AS21" s="42" t="s">
        <v>228</v>
      </c>
      <c r="AT21" s="43" t="s">
        <v>1276</v>
      </c>
      <c r="AU21" s="44">
        <v>32</v>
      </c>
      <c r="AV21" s="31">
        <v>42054177.21519085</v>
      </c>
      <c r="AW21" s="31">
        <v>2309781.3400000003</v>
      </c>
      <c r="AX21" s="31">
        <v>828908.7300000001</v>
      </c>
      <c r="AY21" s="31">
        <v>159676.82999999999</v>
      </c>
      <c r="AZ21" s="31">
        <v>7183362.4215277322</v>
      </c>
      <c r="BA21" s="31">
        <v>1975768.9152187689</v>
      </c>
      <c r="BB21" s="31">
        <v>7630334.7048201915</v>
      </c>
      <c r="BC21" s="31">
        <f t="shared" si="7"/>
        <v>63511849.116757542</v>
      </c>
      <c r="BD21" s="31">
        <v>1369838.96</v>
      </c>
    </row>
    <row r="22" spans="2:56">
      <c r="B22" s="42" t="s">
        <v>333</v>
      </c>
      <c r="C22" s="42" t="s">
        <v>334</v>
      </c>
      <c r="D22" s="43" t="s">
        <v>1049</v>
      </c>
      <c r="E22" s="44">
        <v>32</v>
      </c>
      <c r="F22" s="31">
        <v>7739781.7000827799</v>
      </c>
      <c r="G22" s="31">
        <v>580174.03</v>
      </c>
      <c r="H22" s="31">
        <v>532719.42999999993</v>
      </c>
      <c r="I22" s="31">
        <v>27478.850000000002</v>
      </c>
      <c r="J22" s="31">
        <v>975017.96678022982</v>
      </c>
      <c r="K22" s="31">
        <v>208965.42034072077</v>
      </c>
      <c r="L22" s="31">
        <v>813910.64368802216</v>
      </c>
      <c r="M22" s="31">
        <f t="shared" si="4"/>
        <v>11152739.090891752</v>
      </c>
      <c r="N22" s="31">
        <v>274691.05</v>
      </c>
      <c r="P22" s="42" t="s">
        <v>333</v>
      </c>
      <c r="Q22" s="42" t="s">
        <v>334</v>
      </c>
      <c r="R22" s="43" t="s">
        <v>1050</v>
      </c>
      <c r="S22" s="44">
        <v>32</v>
      </c>
      <c r="T22" s="31">
        <v>8126714.1196248587</v>
      </c>
      <c r="U22" s="31">
        <v>606248.79</v>
      </c>
      <c r="V22" s="31">
        <v>553176.38</v>
      </c>
      <c r="W22" s="31">
        <v>28534.070000000003</v>
      </c>
      <c r="X22" s="31">
        <v>1008049.5191907118</v>
      </c>
      <c r="Y22" s="31">
        <v>209176.99398165039</v>
      </c>
      <c r="Z22" s="31">
        <v>850979.43474233721</v>
      </c>
      <c r="AA22" s="31">
        <f t="shared" si="5"/>
        <v>11664323.277539561</v>
      </c>
      <c r="AB22" s="31">
        <v>281443.96999999997</v>
      </c>
      <c r="AD22" s="42" t="s">
        <v>333</v>
      </c>
      <c r="AE22" s="42" t="s">
        <v>334</v>
      </c>
      <c r="AF22" s="43" t="s">
        <v>1275</v>
      </c>
      <c r="AG22" s="44">
        <v>32</v>
      </c>
      <c r="AH22" s="31">
        <v>8282942.3537724596</v>
      </c>
      <c r="AI22" s="31">
        <v>618654.63999999978</v>
      </c>
      <c r="AJ22" s="31">
        <v>563997.21000000008</v>
      </c>
      <c r="AK22" s="31">
        <v>29092.220000000005</v>
      </c>
      <c r="AL22" s="31">
        <v>1026719.8239230607</v>
      </c>
      <c r="AM22" s="31">
        <v>209105.11624551355</v>
      </c>
      <c r="AN22" s="31">
        <v>867370.9276025591</v>
      </c>
      <c r="AO22" s="31">
        <f t="shared" si="6"/>
        <v>11884284.831543595</v>
      </c>
      <c r="AP22" s="31">
        <v>286402.54000000004</v>
      </c>
      <c r="AR22" s="42" t="s">
        <v>333</v>
      </c>
      <c r="AS22" s="42" t="s">
        <v>334</v>
      </c>
      <c r="AT22" s="43" t="s">
        <v>1276</v>
      </c>
      <c r="AU22" s="44">
        <v>32</v>
      </c>
      <c r="AV22" s="31">
        <v>8435230.2541696616</v>
      </c>
      <c r="AW22" s="31">
        <v>629871.21</v>
      </c>
      <c r="AX22" s="31">
        <v>574296.31000000006</v>
      </c>
      <c r="AY22" s="31">
        <v>29623.470000000005</v>
      </c>
      <c r="AZ22" s="31">
        <v>1045623.7283630553</v>
      </c>
      <c r="BA22" s="31">
        <v>209116.55453396769</v>
      </c>
      <c r="BB22" s="31">
        <v>883361.44646989671</v>
      </c>
      <c r="BC22" s="31">
        <f t="shared" si="7"/>
        <v>12098836.123536585</v>
      </c>
      <c r="BD22" s="31">
        <v>291713.14999999997</v>
      </c>
    </row>
    <row r="23" spans="2:56">
      <c r="B23" s="42" t="s">
        <v>91</v>
      </c>
      <c r="C23" s="42" t="s">
        <v>92</v>
      </c>
      <c r="D23" s="43" t="s">
        <v>1049</v>
      </c>
      <c r="E23" s="44">
        <v>32</v>
      </c>
      <c r="F23" s="31">
        <v>6343488.0439552311</v>
      </c>
      <c r="G23" s="31">
        <v>443559.30999999994</v>
      </c>
      <c r="H23" s="31">
        <v>535545.25</v>
      </c>
      <c r="I23" s="31">
        <v>20950.2</v>
      </c>
      <c r="J23" s="31">
        <v>647627.22401884221</v>
      </c>
      <c r="K23" s="31">
        <v>200527.8836296314</v>
      </c>
      <c r="L23" s="31">
        <v>249918.29588849843</v>
      </c>
      <c r="M23" s="31">
        <f t="shared" si="4"/>
        <v>8656282.5474922024</v>
      </c>
      <c r="N23" s="31">
        <v>214666.34000000005</v>
      </c>
      <c r="P23" s="42" t="s">
        <v>91</v>
      </c>
      <c r="Q23" s="42" t="s">
        <v>92</v>
      </c>
      <c r="R23" s="43" t="s">
        <v>1050</v>
      </c>
      <c r="S23" s="44">
        <v>32</v>
      </c>
      <c r="T23" s="31">
        <v>6654420.2431607982</v>
      </c>
      <c r="U23" s="31">
        <v>463558.57000000007</v>
      </c>
      <c r="V23" s="31">
        <v>556110.71</v>
      </c>
      <c r="W23" s="31">
        <v>21754.7</v>
      </c>
      <c r="X23" s="31">
        <v>669576.70501481346</v>
      </c>
      <c r="Y23" s="31">
        <v>200713.43785578324</v>
      </c>
      <c r="Z23" s="31">
        <v>261229.16967875796</v>
      </c>
      <c r="AA23" s="31">
        <f t="shared" si="5"/>
        <v>9047307.1557101533</v>
      </c>
      <c r="AB23" s="31">
        <v>219943.62000000002</v>
      </c>
      <c r="AD23" s="42" t="s">
        <v>91</v>
      </c>
      <c r="AE23" s="42" t="s">
        <v>92</v>
      </c>
      <c r="AF23" s="43" t="s">
        <v>1275</v>
      </c>
      <c r="AG23" s="44">
        <v>32</v>
      </c>
      <c r="AH23" s="31">
        <v>6782250.8312212275</v>
      </c>
      <c r="AI23" s="31">
        <v>473053.70999999996</v>
      </c>
      <c r="AJ23" s="31">
        <v>566988.96</v>
      </c>
      <c r="AK23" s="31">
        <v>22180.250000000004</v>
      </c>
      <c r="AL23" s="31">
        <v>681978.6241856782</v>
      </c>
      <c r="AM23" s="31">
        <v>200650.39967367402</v>
      </c>
      <c r="AN23" s="31">
        <v>266260.74327204196</v>
      </c>
      <c r="AO23" s="31">
        <f t="shared" si="6"/>
        <v>9217182.1783526223</v>
      </c>
      <c r="AP23" s="31">
        <v>223818.66000000003</v>
      </c>
      <c r="AR23" s="42" t="s">
        <v>91</v>
      </c>
      <c r="AS23" s="42" t="s">
        <v>92</v>
      </c>
      <c r="AT23" s="43" t="s">
        <v>1276</v>
      </c>
      <c r="AU23" s="44">
        <v>32</v>
      </c>
      <c r="AV23" s="31">
        <v>6906906.5082260333</v>
      </c>
      <c r="AW23" s="31">
        <v>481629.07999999996</v>
      </c>
      <c r="AX23" s="31">
        <v>577342.70000000007</v>
      </c>
      <c r="AY23" s="31">
        <v>22585.280000000002</v>
      </c>
      <c r="AZ23" s="31">
        <v>694536.16793988633</v>
      </c>
      <c r="BA23" s="31">
        <v>200660.43127663402</v>
      </c>
      <c r="BB23" s="31">
        <v>271169.18023716903</v>
      </c>
      <c r="BC23" s="31">
        <f t="shared" si="7"/>
        <v>9382798.1676797234</v>
      </c>
      <c r="BD23" s="31">
        <v>227968.82000000004</v>
      </c>
    </row>
    <row r="24" spans="2:56">
      <c r="B24" s="42" t="s">
        <v>175</v>
      </c>
      <c r="C24" s="42" t="s">
        <v>176</v>
      </c>
      <c r="D24" s="43" t="s">
        <v>1049</v>
      </c>
      <c r="E24" s="44">
        <v>32</v>
      </c>
      <c r="F24" s="31">
        <v>687171.97915355011</v>
      </c>
      <c r="G24" s="31">
        <v>35469.12999999999</v>
      </c>
      <c r="H24" s="31">
        <v>0</v>
      </c>
      <c r="I24" s="31">
        <v>2046.29</v>
      </c>
      <c r="J24" s="31">
        <v>71998.760080828826</v>
      </c>
      <c r="K24" s="31">
        <v>97630.34124617363</v>
      </c>
      <c r="L24" s="31">
        <v>0</v>
      </c>
      <c r="M24" s="31">
        <f t="shared" si="4"/>
        <v>914876.94048055261</v>
      </c>
      <c r="N24" s="31">
        <v>20560.440000000002</v>
      </c>
      <c r="P24" s="42" t="s">
        <v>175</v>
      </c>
      <c r="Q24" s="42" t="s">
        <v>176</v>
      </c>
      <c r="R24" s="43" t="s">
        <v>1050</v>
      </c>
      <c r="S24" s="44">
        <v>32</v>
      </c>
      <c r="T24" s="31">
        <v>723249.33502281504</v>
      </c>
      <c r="U24" s="31">
        <v>37115.279999999999</v>
      </c>
      <c r="V24" s="31">
        <v>0</v>
      </c>
      <c r="W24" s="31">
        <v>2124.87</v>
      </c>
      <c r="X24" s="31">
        <v>74436.406057939515</v>
      </c>
      <c r="Y24" s="31">
        <v>97690.834245149425</v>
      </c>
      <c r="Z24" s="31">
        <v>0</v>
      </c>
      <c r="AA24" s="31">
        <f t="shared" si="5"/>
        <v>955682.60532590398</v>
      </c>
      <c r="AB24" s="31">
        <v>21065.880000000005</v>
      </c>
      <c r="AD24" s="42" t="s">
        <v>175</v>
      </c>
      <c r="AE24" s="42" t="s">
        <v>176</v>
      </c>
      <c r="AF24" s="43" t="s">
        <v>1275</v>
      </c>
      <c r="AG24" s="44">
        <v>32</v>
      </c>
      <c r="AH24" s="31">
        <v>737151.66752847692</v>
      </c>
      <c r="AI24" s="31">
        <v>37882.25</v>
      </c>
      <c r="AJ24" s="31">
        <v>0</v>
      </c>
      <c r="AK24" s="31">
        <v>2166.4499999999998</v>
      </c>
      <c r="AL24" s="31">
        <v>75814.148017313113</v>
      </c>
      <c r="AM24" s="31">
        <v>97670.283009185412</v>
      </c>
      <c r="AN24" s="31">
        <v>0</v>
      </c>
      <c r="AO24" s="31">
        <f t="shared" si="6"/>
        <v>972121.81855497544</v>
      </c>
      <c r="AP24" s="31">
        <v>21437.02</v>
      </c>
      <c r="AR24" s="42" t="s">
        <v>175</v>
      </c>
      <c r="AS24" s="42" t="s">
        <v>176</v>
      </c>
      <c r="AT24" s="43" t="s">
        <v>1276</v>
      </c>
      <c r="AU24" s="44">
        <v>32</v>
      </c>
      <c r="AV24" s="31">
        <v>750669.37785375572</v>
      </c>
      <c r="AW24" s="31">
        <v>38567.979999999996</v>
      </c>
      <c r="AX24" s="31">
        <v>0</v>
      </c>
      <c r="AY24" s="31">
        <v>2206.02</v>
      </c>
      <c r="AZ24" s="31">
        <v>77208.386624649924</v>
      </c>
      <c r="BA24" s="31">
        <v>97673.553437243943</v>
      </c>
      <c r="BB24" s="31">
        <v>0</v>
      </c>
      <c r="BC24" s="31">
        <f t="shared" si="7"/>
        <v>988159.83791564964</v>
      </c>
      <c r="BD24" s="31">
        <v>21834.52</v>
      </c>
    </row>
    <row r="25" spans="2:56">
      <c r="B25" s="42" t="s">
        <v>403</v>
      </c>
      <c r="C25" s="42" t="s">
        <v>404</v>
      </c>
      <c r="D25" s="43" t="s">
        <v>1049</v>
      </c>
      <c r="E25" s="44">
        <v>32</v>
      </c>
      <c r="F25" s="31">
        <v>27783206.817980524</v>
      </c>
      <c r="G25" s="31">
        <v>1270243.3699999999</v>
      </c>
      <c r="H25" s="31">
        <v>1290926.69</v>
      </c>
      <c r="I25" s="31">
        <v>104862.09</v>
      </c>
      <c r="J25" s="31">
        <v>4625190.9548425321</v>
      </c>
      <c r="K25" s="31">
        <v>2079618.5127864762</v>
      </c>
      <c r="L25" s="31">
        <v>3932026.1783980927</v>
      </c>
      <c r="M25" s="31">
        <f t="shared" si="4"/>
        <v>41539772.68400763</v>
      </c>
      <c r="N25" s="31">
        <v>453698.07</v>
      </c>
      <c r="P25" s="42" t="s">
        <v>403</v>
      </c>
      <c r="Q25" s="42" t="s">
        <v>404</v>
      </c>
      <c r="R25" s="43" t="s">
        <v>1050</v>
      </c>
      <c r="S25" s="44">
        <v>32</v>
      </c>
      <c r="T25" s="31">
        <v>28951064.815782085</v>
      </c>
      <c r="U25" s="31">
        <v>1312762.7599999998</v>
      </c>
      <c r="V25" s="31">
        <v>1328555.6600000001</v>
      </c>
      <c r="W25" s="31">
        <v>107918.68</v>
      </c>
      <c r="X25" s="31">
        <v>4748253.4100535512</v>
      </c>
      <c r="Y25" s="31">
        <v>2081206.7586834843</v>
      </c>
      <c r="Z25" s="31">
        <v>4083116.5940179136</v>
      </c>
      <c r="AA25" s="31">
        <f t="shared" si="5"/>
        <v>43074308.198537037</v>
      </c>
      <c r="AB25" s="31">
        <v>461429.52</v>
      </c>
      <c r="AD25" s="42" t="s">
        <v>403</v>
      </c>
      <c r="AE25" s="42" t="s">
        <v>404</v>
      </c>
      <c r="AF25" s="43" t="s">
        <v>1275</v>
      </c>
      <c r="AG25" s="44">
        <v>32</v>
      </c>
      <c r="AH25" s="31">
        <v>29509224.955901306</v>
      </c>
      <c r="AI25" s="31">
        <v>1339285.1599999997</v>
      </c>
      <c r="AJ25" s="31">
        <v>1354596.3499999999</v>
      </c>
      <c r="AK25" s="31">
        <v>110033.96000000002</v>
      </c>
      <c r="AL25" s="31">
        <v>4836808.0473697213</v>
      </c>
      <c r="AM25" s="31">
        <v>2080614.8366721151</v>
      </c>
      <c r="AN25" s="31">
        <v>4161987.1184978983</v>
      </c>
      <c r="AO25" s="31">
        <f t="shared" si="6"/>
        <v>43862233.088441037</v>
      </c>
      <c r="AP25" s="31">
        <v>469682.66000000009</v>
      </c>
      <c r="AR25" s="42" t="s">
        <v>403</v>
      </c>
      <c r="AS25" s="42" t="s">
        <v>404</v>
      </c>
      <c r="AT25" s="43" t="s">
        <v>1276</v>
      </c>
      <c r="AU25" s="44">
        <v>32</v>
      </c>
      <c r="AV25" s="31">
        <v>30058702.134306964</v>
      </c>
      <c r="AW25" s="31">
        <v>1364032.51</v>
      </c>
      <c r="AX25" s="31">
        <v>1379746.65</v>
      </c>
      <c r="AY25" s="31">
        <v>112076.93000000001</v>
      </c>
      <c r="AZ25" s="31">
        <v>4927012.5939648496</v>
      </c>
      <c r="BA25" s="31">
        <v>2080706.3860400345</v>
      </c>
      <c r="BB25" s="31">
        <v>4239670.0673618801</v>
      </c>
      <c r="BC25" s="31">
        <f t="shared" si="7"/>
        <v>44640469.031673722</v>
      </c>
      <c r="BD25" s="31">
        <v>478521.76</v>
      </c>
    </row>
    <row r="26" spans="2:56">
      <c r="B26" s="42" t="s">
        <v>67</v>
      </c>
      <c r="C26" s="42" t="s">
        <v>68</v>
      </c>
      <c r="D26" s="43" t="s">
        <v>1049</v>
      </c>
      <c r="E26" s="44">
        <v>32</v>
      </c>
      <c r="F26" s="31">
        <v>60835390.650329225</v>
      </c>
      <c r="G26" s="31">
        <v>725852.97</v>
      </c>
      <c r="H26" s="31">
        <v>379734.03</v>
      </c>
      <c r="I26" s="31">
        <v>214839.77000000002</v>
      </c>
      <c r="J26" s="31">
        <v>7341555.980055741</v>
      </c>
      <c r="K26" s="31">
        <v>3464597.7384328274</v>
      </c>
      <c r="L26" s="31">
        <v>4099741.4671753743</v>
      </c>
      <c r="M26" s="31">
        <f t="shared" si="4"/>
        <v>77061712.605993167</v>
      </c>
      <c r="N26" s="31">
        <v>0</v>
      </c>
      <c r="P26" s="42" t="s">
        <v>67</v>
      </c>
      <c r="Q26" s="42" t="s">
        <v>68</v>
      </c>
      <c r="R26" s="43" t="s">
        <v>1050</v>
      </c>
      <c r="S26" s="44">
        <v>32</v>
      </c>
      <c r="T26" s="31">
        <v>62734786.762116857</v>
      </c>
      <c r="U26" s="31">
        <v>747056.26000000013</v>
      </c>
      <c r="V26" s="31">
        <v>390826.64999999991</v>
      </c>
      <c r="W26" s="31">
        <v>221115.56000000003</v>
      </c>
      <c r="X26" s="31">
        <v>7536604.9737491198</v>
      </c>
      <c r="Y26" s="31">
        <v>3466362.9300029925</v>
      </c>
      <c r="Z26" s="31">
        <v>4215701.1787225977</v>
      </c>
      <c r="AA26" s="31">
        <f t="shared" si="5"/>
        <v>79312454.314591557</v>
      </c>
      <c r="AB26" s="31">
        <v>0</v>
      </c>
      <c r="AD26" s="42" t="s">
        <v>67</v>
      </c>
      <c r="AE26" s="42" t="s">
        <v>68</v>
      </c>
      <c r="AF26" s="43" t="s">
        <v>1275</v>
      </c>
      <c r="AG26" s="44">
        <v>32</v>
      </c>
      <c r="AH26" s="31">
        <v>63942001.321140692</v>
      </c>
      <c r="AI26" s="31">
        <v>761688.2</v>
      </c>
      <c r="AJ26" s="31">
        <v>398481.43999999989</v>
      </c>
      <c r="AK26" s="31">
        <v>225446.35</v>
      </c>
      <c r="AL26" s="31">
        <v>7676807.1907654954</v>
      </c>
      <c r="AM26" s="31">
        <v>3465727.0366780045</v>
      </c>
      <c r="AN26" s="31">
        <v>4297036.8939162008</v>
      </c>
      <c r="AO26" s="31">
        <f t="shared" si="6"/>
        <v>80767188.432500392</v>
      </c>
      <c r="AP26" s="31">
        <v>0</v>
      </c>
      <c r="AR26" s="42" t="s">
        <v>67</v>
      </c>
      <c r="AS26" s="42" t="s">
        <v>68</v>
      </c>
      <c r="AT26" s="43" t="s">
        <v>1276</v>
      </c>
      <c r="AU26" s="44">
        <v>32</v>
      </c>
      <c r="AV26" s="31">
        <v>65127207.654265881</v>
      </c>
      <c r="AW26" s="31">
        <v>775743.84000000008</v>
      </c>
      <c r="AX26" s="31">
        <v>405834.72999999992</v>
      </c>
      <c r="AY26" s="31">
        <v>229606.57000000004</v>
      </c>
      <c r="AZ26" s="31">
        <v>7819308.4354173429</v>
      </c>
      <c r="BA26" s="31">
        <v>3465826.4297204395</v>
      </c>
      <c r="BB26" s="31">
        <v>4376876.998799189</v>
      </c>
      <c r="BC26" s="31">
        <f t="shared" si="7"/>
        <v>82200404.658202857</v>
      </c>
      <c r="BD26" s="31">
        <v>0</v>
      </c>
    </row>
    <row r="27" spans="2:56">
      <c r="B27" s="42" t="s">
        <v>49</v>
      </c>
      <c r="C27" s="42" t="s">
        <v>50</v>
      </c>
      <c r="D27" s="43" t="s">
        <v>1049</v>
      </c>
      <c r="E27" s="44">
        <v>32</v>
      </c>
      <c r="F27" s="31">
        <v>4802200.8960865419</v>
      </c>
      <c r="G27" s="31">
        <v>217004.93000000008</v>
      </c>
      <c r="H27" s="31">
        <v>0</v>
      </c>
      <c r="I27" s="31">
        <v>0</v>
      </c>
      <c r="J27" s="31">
        <v>606879.84933551261</v>
      </c>
      <c r="K27" s="31">
        <v>276064.10665396188</v>
      </c>
      <c r="L27" s="31">
        <v>67614.206827759874</v>
      </c>
      <c r="M27" s="31">
        <f t="shared" si="4"/>
        <v>6111543.1789037762</v>
      </c>
      <c r="N27" s="31">
        <v>141779.18999999997</v>
      </c>
      <c r="P27" s="42" t="s">
        <v>49</v>
      </c>
      <c r="Q27" s="42" t="s">
        <v>50</v>
      </c>
      <c r="R27" s="43" t="s">
        <v>1050</v>
      </c>
      <c r="S27" s="44">
        <v>32</v>
      </c>
      <c r="T27" s="31">
        <v>5032561.6388093177</v>
      </c>
      <c r="U27" s="31">
        <v>227297.16</v>
      </c>
      <c r="V27" s="31">
        <v>0</v>
      </c>
      <c r="W27" s="31">
        <v>0</v>
      </c>
      <c r="X27" s="31">
        <v>627428.52251960372</v>
      </c>
      <c r="Y27" s="31">
        <v>276253.72696401167</v>
      </c>
      <c r="Z27" s="31">
        <v>70630.553646526459</v>
      </c>
      <c r="AA27" s="31">
        <f t="shared" si="5"/>
        <v>6379436.2519394597</v>
      </c>
      <c r="AB27" s="31">
        <v>145264.65</v>
      </c>
      <c r="AD27" s="42" t="s">
        <v>49</v>
      </c>
      <c r="AE27" s="42" t="s">
        <v>50</v>
      </c>
      <c r="AF27" s="43" t="s">
        <v>1275</v>
      </c>
      <c r="AG27" s="44">
        <v>32</v>
      </c>
      <c r="AH27" s="31">
        <v>5129179.5345001342</v>
      </c>
      <c r="AI27" s="31">
        <v>232025.62999999998</v>
      </c>
      <c r="AJ27" s="31">
        <v>0</v>
      </c>
      <c r="AK27" s="31">
        <v>0</v>
      </c>
      <c r="AL27" s="31">
        <v>639047.57000633818</v>
      </c>
      <c r="AM27" s="31">
        <v>276189.30741461948</v>
      </c>
      <c r="AN27" s="31">
        <v>71991.123323653796</v>
      </c>
      <c r="AO27" s="31">
        <f t="shared" si="6"/>
        <v>6496257.1352447448</v>
      </c>
      <c r="AP27" s="31">
        <v>147823.97</v>
      </c>
      <c r="AR27" s="42" t="s">
        <v>49</v>
      </c>
      <c r="AS27" s="42" t="s">
        <v>50</v>
      </c>
      <c r="AT27" s="43" t="s">
        <v>1276</v>
      </c>
      <c r="AU27" s="44">
        <v>32</v>
      </c>
      <c r="AV27" s="31">
        <v>5223195.6249981765</v>
      </c>
      <c r="AW27" s="31">
        <v>236221.01000000004</v>
      </c>
      <c r="AX27" s="31">
        <v>0</v>
      </c>
      <c r="AY27" s="31">
        <v>0</v>
      </c>
      <c r="AZ27" s="31">
        <v>650810.60432907066</v>
      </c>
      <c r="BA27" s="31">
        <v>276199.55884194089</v>
      </c>
      <c r="BB27" s="31">
        <v>73318.448826177162</v>
      </c>
      <c r="BC27" s="31">
        <f t="shared" si="7"/>
        <v>6610310.2369953655</v>
      </c>
      <c r="BD27" s="31">
        <v>150564.98999999996</v>
      </c>
    </row>
    <row r="28" spans="2:56">
      <c r="B28" s="42" t="s">
        <v>367</v>
      </c>
      <c r="C28" s="42" t="s">
        <v>368</v>
      </c>
      <c r="D28" s="43" t="s">
        <v>1049</v>
      </c>
      <c r="E28" s="44">
        <v>32</v>
      </c>
      <c r="F28" s="31">
        <v>1676580.6507552369</v>
      </c>
      <c r="G28" s="31">
        <v>36584.26</v>
      </c>
      <c r="H28" s="31">
        <v>0</v>
      </c>
      <c r="I28" s="31">
        <v>5408.1</v>
      </c>
      <c r="J28" s="31">
        <v>257049.6078094382</v>
      </c>
      <c r="K28" s="31">
        <v>111344.81278901687</v>
      </c>
      <c r="L28" s="31">
        <v>0</v>
      </c>
      <c r="M28" s="31">
        <f t="shared" si="4"/>
        <v>2086967.431353692</v>
      </c>
      <c r="N28" s="31">
        <v>0</v>
      </c>
      <c r="P28" s="42" t="s">
        <v>367</v>
      </c>
      <c r="Q28" s="42" t="s">
        <v>368</v>
      </c>
      <c r="R28" s="43" t="s">
        <v>1050</v>
      </c>
      <c r="S28" s="44">
        <v>32</v>
      </c>
      <c r="T28" s="31">
        <v>1740359.53445146</v>
      </c>
      <c r="U28" s="31">
        <v>37957.850000000006</v>
      </c>
      <c r="V28" s="31">
        <v>0</v>
      </c>
      <c r="W28" s="31">
        <v>5611.17</v>
      </c>
      <c r="X28" s="31">
        <v>265649.20247987786</v>
      </c>
      <c r="Y28" s="31">
        <v>111433.47712073127</v>
      </c>
      <c r="Z28" s="31">
        <v>0</v>
      </c>
      <c r="AA28" s="31">
        <f t="shared" si="5"/>
        <v>2161011.2340520695</v>
      </c>
      <c r="AB28" s="31">
        <v>0</v>
      </c>
      <c r="AD28" s="42" t="s">
        <v>367</v>
      </c>
      <c r="AE28" s="42" t="s">
        <v>368</v>
      </c>
      <c r="AF28" s="43" t="s">
        <v>1275</v>
      </c>
      <c r="AG28" s="44">
        <v>32</v>
      </c>
      <c r="AH28" s="31">
        <v>1773905.3693676419</v>
      </c>
      <c r="AI28" s="31">
        <v>38701.409999999996</v>
      </c>
      <c r="AJ28" s="31">
        <v>0</v>
      </c>
      <c r="AK28" s="31">
        <v>5721.08</v>
      </c>
      <c r="AL28" s="31">
        <v>270587.92698411917</v>
      </c>
      <c r="AM28" s="31">
        <v>111402.18103254608</v>
      </c>
      <c r="AN28" s="31">
        <v>0</v>
      </c>
      <c r="AO28" s="31">
        <f t="shared" si="6"/>
        <v>2200317.9673843072</v>
      </c>
      <c r="AP28" s="31">
        <v>0</v>
      </c>
      <c r="AR28" s="42" t="s">
        <v>367</v>
      </c>
      <c r="AS28" s="42" t="s">
        <v>368</v>
      </c>
      <c r="AT28" s="43" t="s">
        <v>1276</v>
      </c>
      <c r="AU28" s="44">
        <v>32</v>
      </c>
      <c r="AV28" s="31">
        <v>1806745.1894979125</v>
      </c>
      <c r="AW28" s="31">
        <v>39416.339999999997</v>
      </c>
      <c r="AX28" s="31">
        <v>0</v>
      </c>
      <c r="AY28" s="31">
        <v>5826.77</v>
      </c>
      <c r="AZ28" s="31">
        <v>275604.79259816825</v>
      </c>
      <c r="BA28" s="31">
        <v>111407.10060620398</v>
      </c>
      <c r="BB28" s="31">
        <v>0</v>
      </c>
      <c r="BC28" s="31">
        <f t="shared" si="7"/>
        <v>2239000.192702285</v>
      </c>
      <c r="BD28" s="31">
        <v>0</v>
      </c>
    </row>
    <row r="29" spans="2:56">
      <c r="B29" s="42" t="s">
        <v>1226</v>
      </c>
      <c r="C29" s="42" t="s">
        <v>1227</v>
      </c>
      <c r="D29" s="43" t="s">
        <v>1049</v>
      </c>
      <c r="E29" s="44">
        <v>32</v>
      </c>
      <c r="F29" s="31">
        <v>1747359.6558962683</v>
      </c>
      <c r="G29" s="31">
        <v>51491.609999999993</v>
      </c>
      <c r="H29" s="31">
        <v>16260.520000000002</v>
      </c>
      <c r="I29" s="31">
        <v>0</v>
      </c>
      <c r="J29" s="31">
        <v>131410.50776088261</v>
      </c>
      <c r="K29" s="31">
        <v>47195.07</v>
      </c>
      <c r="L29" s="31">
        <v>0</v>
      </c>
      <c r="M29" s="31">
        <f t="shared" si="4"/>
        <v>2027480.523657151</v>
      </c>
      <c r="N29" s="31">
        <v>33763.159999999996</v>
      </c>
      <c r="P29" s="42" t="s">
        <v>1226</v>
      </c>
      <c r="Q29" s="42" t="s">
        <v>1227</v>
      </c>
      <c r="R29" s="43" t="s">
        <v>1050</v>
      </c>
      <c r="S29" s="44">
        <v>32</v>
      </c>
      <c r="T29" s="31">
        <v>1810613.9706074547</v>
      </c>
      <c r="U29" s="31">
        <v>53797.130000000005</v>
      </c>
      <c r="V29" s="31">
        <v>16861.440000000002</v>
      </c>
      <c r="W29" s="31">
        <v>0</v>
      </c>
      <c r="X29" s="31">
        <v>135785.12159716076</v>
      </c>
      <c r="Y29" s="31">
        <v>47195.07</v>
      </c>
      <c r="Z29" s="31">
        <v>0</v>
      </c>
      <c r="AA29" s="31">
        <f t="shared" si="5"/>
        <v>2098861.0722046155</v>
      </c>
      <c r="AB29" s="31">
        <v>34608.339999999997</v>
      </c>
      <c r="AD29" s="42" t="s">
        <v>1226</v>
      </c>
      <c r="AE29" s="42" t="s">
        <v>1227</v>
      </c>
      <c r="AF29" s="43" t="s">
        <v>1275</v>
      </c>
      <c r="AG29" s="44">
        <v>32</v>
      </c>
      <c r="AH29" s="31">
        <v>1845427.0665812348</v>
      </c>
      <c r="AI29" s="31">
        <v>54909.950000000004</v>
      </c>
      <c r="AJ29" s="31">
        <v>17192.050000000003</v>
      </c>
      <c r="AK29" s="31">
        <v>0</v>
      </c>
      <c r="AL29" s="31">
        <v>138323.55142505307</v>
      </c>
      <c r="AM29" s="31">
        <v>47195.07</v>
      </c>
      <c r="AN29" s="31">
        <v>0</v>
      </c>
      <c r="AO29" s="31">
        <f t="shared" si="6"/>
        <v>2138276.6280062879</v>
      </c>
      <c r="AP29" s="31">
        <v>35228.939999999995</v>
      </c>
      <c r="AR29" s="42" t="s">
        <v>1226</v>
      </c>
      <c r="AS29" s="42" t="s">
        <v>1227</v>
      </c>
      <c r="AT29" s="43" t="s">
        <v>1276</v>
      </c>
      <c r="AU29" s="44">
        <v>32</v>
      </c>
      <c r="AV29" s="31">
        <v>1879656.2489531529</v>
      </c>
      <c r="AW29" s="31">
        <v>55923.62000000001</v>
      </c>
      <c r="AX29" s="31">
        <v>17512.150000000005</v>
      </c>
      <c r="AY29" s="31">
        <v>0</v>
      </c>
      <c r="AZ29" s="31">
        <v>140914.4114919077</v>
      </c>
      <c r="BA29" s="31">
        <v>47195.07</v>
      </c>
      <c r="BB29" s="31">
        <v>0</v>
      </c>
      <c r="BC29" s="31">
        <f t="shared" si="7"/>
        <v>2177095.1104450603</v>
      </c>
      <c r="BD29" s="31">
        <v>35893.61</v>
      </c>
    </row>
    <row r="30" spans="2:56">
      <c r="B30" s="42" t="s">
        <v>39</v>
      </c>
      <c r="C30" s="42" t="s">
        <v>40</v>
      </c>
      <c r="D30" s="43" t="s">
        <v>1049</v>
      </c>
      <c r="E30" s="44">
        <v>32</v>
      </c>
      <c r="F30" s="31">
        <v>9398777.6727278605</v>
      </c>
      <c r="G30" s="31">
        <v>310549.99</v>
      </c>
      <c r="H30" s="31">
        <v>232108.59</v>
      </c>
      <c r="I30" s="31">
        <v>0</v>
      </c>
      <c r="J30" s="31">
        <v>983613.64915245574</v>
      </c>
      <c r="K30" s="31">
        <v>941105.18427397101</v>
      </c>
      <c r="L30" s="31">
        <v>1552784.7394475355</v>
      </c>
      <c r="M30" s="31">
        <f t="shared" si="4"/>
        <v>13424104.285601825</v>
      </c>
      <c r="N30" s="31">
        <v>5164.46</v>
      </c>
      <c r="P30" s="42" t="s">
        <v>39</v>
      </c>
      <c r="Q30" s="42" t="s">
        <v>40</v>
      </c>
      <c r="R30" s="43" t="s">
        <v>1050</v>
      </c>
      <c r="S30" s="44">
        <v>32</v>
      </c>
      <c r="T30" s="31">
        <v>9759796.5449149162</v>
      </c>
      <c r="U30" s="31">
        <v>322546.76999999996</v>
      </c>
      <c r="V30" s="31">
        <v>241021.79</v>
      </c>
      <c r="W30" s="31">
        <v>0</v>
      </c>
      <c r="X30" s="31">
        <v>1016948.4496090055</v>
      </c>
      <c r="Y30" s="31">
        <v>942133.07659657241</v>
      </c>
      <c r="Z30" s="31">
        <v>1608112.8579982521</v>
      </c>
      <c r="AA30" s="31">
        <f t="shared" si="5"/>
        <v>13895850.909118745</v>
      </c>
      <c r="AB30" s="31">
        <v>5291.42</v>
      </c>
      <c r="AD30" s="42" t="s">
        <v>39</v>
      </c>
      <c r="AE30" s="42" t="s">
        <v>40</v>
      </c>
      <c r="AF30" s="43" t="s">
        <v>1275</v>
      </c>
      <c r="AG30" s="44">
        <v>32</v>
      </c>
      <c r="AH30" s="31">
        <v>9946984.9093932081</v>
      </c>
      <c r="AI30" s="31">
        <v>328866.46999999997</v>
      </c>
      <c r="AJ30" s="31">
        <v>245736.48</v>
      </c>
      <c r="AK30" s="31">
        <v>0</v>
      </c>
      <c r="AL30" s="31">
        <v>1035786.4038078269</v>
      </c>
      <c r="AM30" s="31">
        <v>941783.871597233</v>
      </c>
      <c r="AN30" s="31">
        <v>1639084.425319091</v>
      </c>
      <c r="AO30" s="31">
        <f t="shared" si="6"/>
        <v>14143627.210117359</v>
      </c>
      <c r="AP30" s="31">
        <v>5384.6500000000005</v>
      </c>
      <c r="AR30" s="42" t="s">
        <v>39</v>
      </c>
      <c r="AS30" s="42" t="s">
        <v>40</v>
      </c>
      <c r="AT30" s="43" t="s">
        <v>1276</v>
      </c>
      <c r="AU30" s="44">
        <v>32</v>
      </c>
      <c r="AV30" s="31">
        <v>10129943.752248934</v>
      </c>
      <c r="AW30" s="31">
        <v>334870.36</v>
      </c>
      <c r="AX30" s="31">
        <v>250223.85</v>
      </c>
      <c r="AY30" s="31">
        <v>0</v>
      </c>
      <c r="AZ30" s="31">
        <v>1054862.3724616577</v>
      </c>
      <c r="BA30" s="31">
        <v>941839.44245584297</v>
      </c>
      <c r="BB30" s="31">
        <v>1669305.311294829</v>
      </c>
      <c r="BC30" s="31">
        <f t="shared" si="7"/>
        <v>14386529.588461263</v>
      </c>
      <c r="BD30" s="31">
        <v>5484.5</v>
      </c>
    </row>
    <row r="31" spans="2:56">
      <c r="B31" s="42" t="s">
        <v>37</v>
      </c>
      <c r="C31" s="42" t="s">
        <v>38</v>
      </c>
      <c r="D31" s="43" t="s">
        <v>1049</v>
      </c>
      <c r="E31" s="44">
        <v>32</v>
      </c>
      <c r="F31" s="31">
        <v>12392364.707411379</v>
      </c>
      <c r="G31" s="31">
        <v>441258.63</v>
      </c>
      <c r="H31" s="31">
        <v>310111.81</v>
      </c>
      <c r="I31" s="31">
        <v>45497.859999999993</v>
      </c>
      <c r="J31" s="31">
        <v>1848344.4327993318</v>
      </c>
      <c r="K31" s="31">
        <v>478942.58102959208</v>
      </c>
      <c r="L31" s="31">
        <v>1622373.0229085854</v>
      </c>
      <c r="M31" s="31">
        <f t="shared" si="4"/>
        <v>17138893.044148888</v>
      </c>
      <c r="N31" s="31">
        <v>0</v>
      </c>
      <c r="P31" s="42" t="s">
        <v>37</v>
      </c>
      <c r="Q31" s="42" t="s">
        <v>38</v>
      </c>
      <c r="R31" s="43" t="s">
        <v>1050</v>
      </c>
      <c r="S31" s="44">
        <v>32</v>
      </c>
      <c r="T31" s="31">
        <v>12867851.231729437</v>
      </c>
      <c r="U31" s="31">
        <v>458044.82000000007</v>
      </c>
      <c r="V31" s="31">
        <v>321908.95000000007</v>
      </c>
      <c r="W31" s="31">
        <v>47228.689999999995</v>
      </c>
      <c r="X31" s="31">
        <v>1910721.4003995073</v>
      </c>
      <c r="Y31" s="31">
        <v>479260.23518231348</v>
      </c>
      <c r="Z31" s="31">
        <v>1679916.2809313219</v>
      </c>
      <c r="AA31" s="31">
        <f t="shared" si="5"/>
        <v>17764931.608242579</v>
      </c>
      <c r="AB31" s="31">
        <v>0</v>
      </c>
      <c r="AD31" s="42" t="s">
        <v>37</v>
      </c>
      <c r="AE31" s="42" t="s">
        <v>38</v>
      </c>
      <c r="AF31" s="43" t="s">
        <v>1275</v>
      </c>
      <c r="AG31" s="44">
        <v>32</v>
      </c>
      <c r="AH31" s="31">
        <v>13115387.654870514</v>
      </c>
      <c r="AI31" s="31">
        <v>467010.0400000001</v>
      </c>
      <c r="AJ31" s="31">
        <v>328209.59000000008</v>
      </c>
      <c r="AK31" s="31">
        <v>48153.07</v>
      </c>
      <c r="AL31" s="31">
        <v>1946166.0321634801</v>
      </c>
      <c r="AM31" s="31">
        <v>479152.31880259921</v>
      </c>
      <c r="AN31" s="31">
        <v>1712293.1444438864</v>
      </c>
      <c r="AO31" s="31">
        <f t="shared" si="6"/>
        <v>18096371.850280479</v>
      </c>
      <c r="AP31" s="31">
        <v>0</v>
      </c>
      <c r="AR31" s="42" t="s">
        <v>37</v>
      </c>
      <c r="AS31" s="42" t="s">
        <v>38</v>
      </c>
      <c r="AT31" s="43" t="s">
        <v>1276</v>
      </c>
      <c r="AU31" s="44">
        <v>32</v>
      </c>
      <c r="AV31" s="31">
        <v>13357218.663486376</v>
      </c>
      <c r="AW31" s="31">
        <v>475579.68</v>
      </c>
      <c r="AX31" s="31">
        <v>334232.24</v>
      </c>
      <c r="AY31" s="31">
        <v>49036.689999999995</v>
      </c>
      <c r="AZ31" s="31">
        <v>1982101.081500933</v>
      </c>
      <c r="BA31" s="31">
        <v>479169.49211309059</v>
      </c>
      <c r="BB31" s="31">
        <v>1743951.5119680432</v>
      </c>
      <c r="BC31" s="31">
        <f t="shared" si="7"/>
        <v>18421289.359068442</v>
      </c>
      <c r="BD31" s="31">
        <v>0</v>
      </c>
    </row>
    <row r="32" spans="2:56">
      <c r="B32" s="42" t="s">
        <v>81</v>
      </c>
      <c r="C32" s="42" t="s">
        <v>82</v>
      </c>
      <c r="D32" s="43" t="s">
        <v>1049</v>
      </c>
      <c r="E32" s="44">
        <v>32</v>
      </c>
      <c r="F32" s="31">
        <v>11571339.715994649</v>
      </c>
      <c r="G32" s="31">
        <v>460319.44999999995</v>
      </c>
      <c r="H32" s="31">
        <v>32740.770000000004</v>
      </c>
      <c r="I32" s="31">
        <v>39464.32</v>
      </c>
      <c r="J32" s="31">
        <v>1819293.8537274187</v>
      </c>
      <c r="K32" s="31">
        <v>883520.31797443726</v>
      </c>
      <c r="L32" s="31">
        <v>675681.01465600077</v>
      </c>
      <c r="M32" s="31">
        <f t="shared" si="4"/>
        <v>15647037.662352504</v>
      </c>
      <c r="N32" s="31">
        <v>164678.22</v>
      </c>
      <c r="P32" s="42" t="s">
        <v>81</v>
      </c>
      <c r="Q32" s="42" t="s">
        <v>82</v>
      </c>
      <c r="R32" s="43" t="s">
        <v>1050</v>
      </c>
      <c r="S32" s="44">
        <v>32</v>
      </c>
      <c r="T32" s="31">
        <v>12135534.02373353</v>
      </c>
      <c r="U32" s="31">
        <v>480271.6100000001</v>
      </c>
      <c r="V32" s="31">
        <v>33998.03</v>
      </c>
      <c r="W32" s="31">
        <v>40979.789999999994</v>
      </c>
      <c r="X32" s="31">
        <v>1880912.4870593939</v>
      </c>
      <c r="Y32" s="31">
        <v>884374.2127269659</v>
      </c>
      <c r="Z32" s="31">
        <v>706531.5019526243</v>
      </c>
      <c r="AA32" s="31">
        <f t="shared" si="5"/>
        <v>16331328.265472511</v>
      </c>
      <c r="AB32" s="31">
        <v>168726.61000000002</v>
      </c>
      <c r="AD32" s="42" t="s">
        <v>81</v>
      </c>
      <c r="AE32" s="42" t="s">
        <v>82</v>
      </c>
      <c r="AF32" s="43" t="s">
        <v>1275</v>
      </c>
      <c r="AG32" s="44">
        <v>32</v>
      </c>
      <c r="AH32" s="31">
        <v>12368607.508264065</v>
      </c>
      <c r="AI32" s="31">
        <v>489994.16999999993</v>
      </c>
      <c r="AJ32" s="31">
        <v>34663.07</v>
      </c>
      <c r="AK32" s="31">
        <v>41781.4</v>
      </c>
      <c r="AL32" s="31">
        <v>1915751.5149173955</v>
      </c>
      <c r="AM32" s="31">
        <v>884084.11977662833</v>
      </c>
      <c r="AN32" s="31">
        <v>720140.64712669281</v>
      </c>
      <c r="AO32" s="31">
        <f t="shared" si="6"/>
        <v>16626721.720084783</v>
      </c>
      <c r="AP32" s="31">
        <v>171699.29</v>
      </c>
      <c r="AR32" s="42" t="s">
        <v>81</v>
      </c>
      <c r="AS32" s="42" t="s">
        <v>82</v>
      </c>
      <c r="AT32" s="43" t="s">
        <v>1276</v>
      </c>
      <c r="AU32" s="44">
        <v>32</v>
      </c>
      <c r="AV32" s="31">
        <v>12596073.985020692</v>
      </c>
      <c r="AW32" s="31">
        <v>498893.55999999994</v>
      </c>
      <c r="AX32" s="31">
        <v>35296.04</v>
      </c>
      <c r="AY32" s="31">
        <v>42544.37</v>
      </c>
      <c r="AZ32" s="31">
        <v>1951028.241281854</v>
      </c>
      <c r="BA32" s="31">
        <v>884130.28381883132</v>
      </c>
      <c r="BB32" s="31">
        <v>733416.83942860004</v>
      </c>
      <c r="BC32" s="31">
        <f t="shared" si="7"/>
        <v>16916266.349549975</v>
      </c>
      <c r="BD32" s="31">
        <v>174883.03</v>
      </c>
    </row>
    <row r="33" spans="2:56">
      <c r="B33" s="42" t="s">
        <v>1228</v>
      </c>
      <c r="C33" s="42" t="s">
        <v>1229</v>
      </c>
      <c r="D33" s="43" t="s">
        <v>1049</v>
      </c>
      <c r="E33" s="44">
        <v>32</v>
      </c>
      <c r="F33" s="31">
        <v>3215127.0694825966</v>
      </c>
      <c r="G33" s="31">
        <v>111678.11000000003</v>
      </c>
      <c r="H33" s="31">
        <v>0</v>
      </c>
      <c r="I33" s="31">
        <v>9824.06</v>
      </c>
      <c r="J33" s="31">
        <v>321473.46905599075</v>
      </c>
      <c r="K33" s="31">
        <v>47657.04</v>
      </c>
      <c r="L33" s="31">
        <v>0</v>
      </c>
      <c r="M33" s="31">
        <f t="shared" si="4"/>
        <v>3705759.7485385872</v>
      </c>
      <c r="N33" s="31">
        <v>0</v>
      </c>
      <c r="P33" s="42" t="s">
        <v>1228</v>
      </c>
      <c r="Q33" s="42" t="s">
        <v>1229</v>
      </c>
      <c r="R33" s="43" t="s">
        <v>1050</v>
      </c>
      <c r="S33" s="44">
        <v>32</v>
      </c>
      <c r="T33" s="31">
        <v>3381317.8414324494</v>
      </c>
      <c r="U33" s="31">
        <v>115805.29000000001</v>
      </c>
      <c r="V33" s="31">
        <v>0</v>
      </c>
      <c r="W33" s="31">
        <v>10187.120000000001</v>
      </c>
      <c r="X33" s="31">
        <v>332076.35131217842</v>
      </c>
      <c r="Y33" s="31">
        <v>47657.04</v>
      </c>
      <c r="Z33" s="31">
        <v>0</v>
      </c>
      <c r="AA33" s="31">
        <f t="shared" si="5"/>
        <v>3887043.6427446278</v>
      </c>
      <c r="AB33" s="31">
        <v>0</v>
      </c>
      <c r="AD33" s="42" t="s">
        <v>1228</v>
      </c>
      <c r="AE33" s="42" t="s">
        <v>1229</v>
      </c>
      <c r="AF33" s="43" t="s">
        <v>1275</v>
      </c>
      <c r="AG33" s="44">
        <v>32</v>
      </c>
      <c r="AH33" s="31">
        <v>3446636.5748678949</v>
      </c>
      <c r="AI33" s="31">
        <v>118075.94999999998</v>
      </c>
      <c r="AJ33" s="31">
        <v>0</v>
      </c>
      <c r="AK33" s="31">
        <v>10386.879999999999</v>
      </c>
      <c r="AL33" s="31">
        <v>338272.3182561447</v>
      </c>
      <c r="AM33" s="31">
        <v>47657.04</v>
      </c>
      <c r="AN33" s="31">
        <v>0</v>
      </c>
      <c r="AO33" s="31">
        <f t="shared" si="6"/>
        <v>3961028.7631240399</v>
      </c>
      <c r="AP33" s="31">
        <v>0</v>
      </c>
      <c r="AR33" s="42" t="s">
        <v>1228</v>
      </c>
      <c r="AS33" s="42" t="s">
        <v>1229</v>
      </c>
      <c r="AT33" s="43" t="s">
        <v>1276</v>
      </c>
      <c r="AU33" s="44">
        <v>32</v>
      </c>
      <c r="AV33" s="31">
        <v>3510860.4439927763</v>
      </c>
      <c r="AW33" s="31">
        <v>120274.46999999999</v>
      </c>
      <c r="AX33" s="31">
        <v>0</v>
      </c>
      <c r="AY33" s="31">
        <v>10580.269999999999</v>
      </c>
      <c r="AZ33" s="31">
        <v>344586.30949903576</v>
      </c>
      <c r="BA33" s="31">
        <v>47657.04</v>
      </c>
      <c r="BB33" s="31">
        <v>0</v>
      </c>
      <c r="BC33" s="31">
        <f t="shared" si="7"/>
        <v>4033958.5334918122</v>
      </c>
      <c r="BD33" s="31">
        <v>0</v>
      </c>
    </row>
    <row r="34" spans="2:56">
      <c r="B34" s="42" t="s">
        <v>255</v>
      </c>
      <c r="C34" s="42" t="s">
        <v>256</v>
      </c>
      <c r="D34" s="43" t="s">
        <v>1049</v>
      </c>
      <c r="E34" s="44">
        <v>32</v>
      </c>
      <c r="F34" s="31">
        <v>895447.40019107971</v>
      </c>
      <c r="G34" s="31">
        <v>18663.190000000002</v>
      </c>
      <c r="H34" s="31">
        <v>0</v>
      </c>
      <c r="I34" s="31">
        <v>0</v>
      </c>
      <c r="J34" s="31">
        <v>72461.669974238175</v>
      </c>
      <c r="K34" s="31">
        <v>106398.64056856248</v>
      </c>
      <c r="L34" s="31">
        <v>0</v>
      </c>
      <c r="M34" s="31">
        <f t="shared" si="4"/>
        <v>1092970.9007338805</v>
      </c>
      <c r="N34" s="31">
        <v>0</v>
      </c>
      <c r="P34" s="42" t="s">
        <v>255</v>
      </c>
      <c r="Q34" s="42" t="s">
        <v>256</v>
      </c>
      <c r="R34" s="43" t="s">
        <v>1050</v>
      </c>
      <c r="S34" s="44">
        <v>32</v>
      </c>
      <c r="T34" s="31">
        <v>929585.34640376491</v>
      </c>
      <c r="U34" s="31">
        <v>19373.170000000002</v>
      </c>
      <c r="V34" s="31">
        <v>0</v>
      </c>
      <c r="W34" s="31">
        <v>0</v>
      </c>
      <c r="X34" s="31">
        <v>74901.027295182692</v>
      </c>
      <c r="Y34" s="31">
        <v>106515.93485840832</v>
      </c>
      <c r="Z34" s="31">
        <v>0</v>
      </c>
      <c r="AA34" s="31">
        <f t="shared" si="5"/>
        <v>1130375.4785573559</v>
      </c>
      <c r="AB34" s="31">
        <v>0</v>
      </c>
      <c r="AD34" s="42" t="s">
        <v>255</v>
      </c>
      <c r="AE34" s="42" t="s">
        <v>256</v>
      </c>
      <c r="AF34" s="43" t="s">
        <v>1275</v>
      </c>
      <c r="AG34" s="44">
        <v>32</v>
      </c>
      <c r="AH34" s="31">
        <v>947418.53365995619</v>
      </c>
      <c r="AI34" s="31">
        <v>19752.36</v>
      </c>
      <c r="AJ34" s="31">
        <v>0</v>
      </c>
      <c r="AK34" s="31">
        <v>0</v>
      </c>
      <c r="AL34" s="31">
        <v>76289.477211308171</v>
      </c>
      <c r="AM34" s="31">
        <v>106476.08656738843</v>
      </c>
      <c r="AN34" s="31">
        <v>0</v>
      </c>
      <c r="AO34" s="31">
        <f t="shared" si="6"/>
        <v>1149936.4574386529</v>
      </c>
      <c r="AP34" s="31">
        <v>0</v>
      </c>
      <c r="AR34" s="42" t="s">
        <v>255</v>
      </c>
      <c r="AS34" s="42" t="s">
        <v>256</v>
      </c>
      <c r="AT34" s="43" t="s">
        <v>1276</v>
      </c>
      <c r="AU34" s="44">
        <v>32</v>
      </c>
      <c r="AV34" s="31">
        <v>964775.19721171667</v>
      </c>
      <c r="AW34" s="31">
        <v>20114.82</v>
      </c>
      <c r="AX34" s="31">
        <v>0</v>
      </c>
      <c r="AY34" s="31">
        <v>0</v>
      </c>
      <c r="AZ34" s="31">
        <v>77696.325566785643</v>
      </c>
      <c r="BA34" s="31">
        <v>106482.42783899193</v>
      </c>
      <c r="BB34" s="31">
        <v>0</v>
      </c>
      <c r="BC34" s="31">
        <f t="shared" si="7"/>
        <v>1169068.7706174941</v>
      </c>
      <c r="BD34" s="31">
        <v>0</v>
      </c>
    </row>
    <row r="35" spans="2:56">
      <c r="B35" s="42" t="s">
        <v>233</v>
      </c>
      <c r="C35" s="42" t="s">
        <v>234</v>
      </c>
      <c r="D35" s="43" t="s">
        <v>1049</v>
      </c>
      <c r="E35" s="44">
        <v>32</v>
      </c>
      <c r="F35" s="31">
        <v>100811593.27431473</v>
      </c>
      <c r="G35" s="31">
        <v>3057766.8500000006</v>
      </c>
      <c r="H35" s="31">
        <v>763340.74</v>
      </c>
      <c r="I35" s="31">
        <v>361909.32999999996</v>
      </c>
      <c r="J35" s="31">
        <v>16234883.168405313</v>
      </c>
      <c r="K35" s="31">
        <v>5555917.4045732347</v>
      </c>
      <c r="L35" s="31">
        <v>7774165.2287344141</v>
      </c>
      <c r="M35" s="31">
        <f t="shared" si="4"/>
        <v>134896078.25602767</v>
      </c>
      <c r="N35" s="31">
        <v>336502.25999999995</v>
      </c>
      <c r="P35" s="42" t="s">
        <v>233</v>
      </c>
      <c r="Q35" s="42" t="s">
        <v>234</v>
      </c>
      <c r="R35" s="43" t="s">
        <v>1050</v>
      </c>
      <c r="S35" s="44">
        <v>32</v>
      </c>
      <c r="T35" s="31">
        <v>104573878.75380154</v>
      </c>
      <c r="U35" s="31">
        <v>3174782.21</v>
      </c>
      <c r="V35" s="31">
        <v>791550.83</v>
      </c>
      <c r="W35" s="31">
        <v>375284.07000000007</v>
      </c>
      <c r="X35" s="31">
        <v>16773616.721249051</v>
      </c>
      <c r="Y35" s="31">
        <v>5561690.0365513517</v>
      </c>
      <c r="Z35" s="31">
        <v>8044274.5384433456</v>
      </c>
      <c r="AA35" s="31">
        <f t="shared" si="5"/>
        <v>139640002.95004529</v>
      </c>
      <c r="AB35" s="31">
        <v>344925.79</v>
      </c>
      <c r="AD35" s="42" t="s">
        <v>233</v>
      </c>
      <c r="AE35" s="42" t="s">
        <v>234</v>
      </c>
      <c r="AF35" s="43" t="s">
        <v>1275</v>
      </c>
      <c r="AG35" s="44">
        <v>32</v>
      </c>
      <c r="AH35" s="31">
        <v>106586269.14118318</v>
      </c>
      <c r="AI35" s="31">
        <v>3237609.9099999992</v>
      </c>
      <c r="AJ35" s="31">
        <v>807071.2300000001</v>
      </c>
      <c r="AK35" s="31">
        <v>382642.48000000004</v>
      </c>
      <c r="AL35" s="31">
        <v>17086824.402537141</v>
      </c>
      <c r="AM35" s="31">
        <v>5559508.4139113706</v>
      </c>
      <c r="AN35" s="31">
        <v>8199719.6234651487</v>
      </c>
      <c r="AO35" s="31">
        <f t="shared" si="6"/>
        <v>142210756.28109685</v>
      </c>
      <c r="AP35" s="31">
        <v>351111.07999999996</v>
      </c>
      <c r="AR35" s="42" t="s">
        <v>233</v>
      </c>
      <c r="AS35" s="42" t="s">
        <v>234</v>
      </c>
      <c r="AT35" s="43" t="s">
        <v>1276</v>
      </c>
      <c r="AU35" s="44">
        <v>32</v>
      </c>
      <c r="AV35" s="31">
        <v>108574284.29679027</v>
      </c>
      <c r="AW35" s="31">
        <v>3297805.5699999994</v>
      </c>
      <c r="AX35" s="31">
        <v>822098.47000000009</v>
      </c>
      <c r="AY35" s="31">
        <v>389767.08</v>
      </c>
      <c r="AZ35" s="31">
        <v>17406202.429460596</v>
      </c>
      <c r="BA35" s="31">
        <v>5559844.1817088053</v>
      </c>
      <c r="BB35" s="31">
        <v>8353110.4601412173</v>
      </c>
      <c r="BC35" s="31">
        <f t="shared" si="7"/>
        <v>144760847.99810088</v>
      </c>
      <c r="BD35" s="31">
        <v>357735.51</v>
      </c>
    </row>
    <row r="36" spans="2:56">
      <c r="B36" s="42" t="s">
        <v>463</v>
      </c>
      <c r="C36" s="42" t="s">
        <v>464</v>
      </c>
      <c r="D36" s="43" t="s">
        <v>1049</v>
      </c>
      <c r="E36" s="44">
        <v>32</v>
      </c>
      <c r="F36" s="31">
        <v>115808044.69396487</v>
      </c>
      <c r="G36" s="31">
        <v>3350081.08</v>
      </c>
      <c r="H36" s="31">
        <v>763268.91</v>
      </c>
      <c r="I36" s="31">
        <v>394837.94</v>
      </c>
      <c r="J36" s="31">
        <v>18413126.553750012</v>
      </c>
      <c r="K36" s="31">
        <v>6595479.5111921662</v>
      </c>
      <c r="L36" s="31">
        <v>6680697.2382057672</v>
      </c>
      <c r="M36" s="31">
        <f t="shared" si="4"/>
        <v>152985907.25711283</v>
      </c>
      <c r="N36" s="31">
        <v>980371.33</v>
      </c>
      <c r="P36" s="42" t="s">
        <v>463</v>
      </c>
      <c r="Q36" s="42" t="s">
        <v>464</v>
      </c>
      <c r="R36" s="43" t="s">
        <v>1050</v>
      </c>
      <c r="S36" s="44">
        <v>32</v>
      </c>
      <c r="T36" s="31">
        <v>120273433.43747324</v>
      </c>
      <c r="U36" s="31">
        <v>3492273.71</v>
      </c>
      <c r="V36" s="31">
        <v>792579.2300000001</v>
      </c>
      <c r="W36" s="31">
        <v>410000.12</v>
      </c>
      <c r="X36" s="31">
        <v>19036875.068171743</v>
      </c>
      <c r="Y36" s="31">
        <v>6600560.8651899826</v>
      </c>
      <c r="Z36" s="31">
        <v>6918885.4372875253</v>
      </c>
      <c r="AA36" s="31">
        <f t="shared" si="5"/>
        <v>158529080.31812248</v>
      </c>
      <c r="AB36" s="31">
        <v>1004472.45</v>
      </c>
      <c r="AD36" s="42" t="s">
        <v>463</v>
      </c>
      <c r="AE36" s="42" t="s">
        <v>464</v>
      </c>
      <c r="AF36" s="43" t="s">
        <v>1275</v>
      </c>
      <c r="AG36" s="44">
        <v>32</v>
      </c>
      <c r="AH36" s="31">
        <v>122583658.63116197</v>
      </c>
      <c r="AI36" s="31">
        <v>3562538.7200000007</v>
      </c>
      <c r="AJ36" s="31">
        <v>808083.08000000007</v>
      </c>
      <c r="AK36" s="31">
        <v>418020.25000000006</v>
      </c>
      <c r="AL36" s="31">
        <v>19389470.307595093</v>
      </c>
      <c r="AM36" s="31">
        <v>6598834.5810448099</v>
      </c>
      <c r="AN36" s="31">
        <v>7052152.7733868612</v>
      </c>
      <c r="AO36" s="31">
        <f t="shared" si="6"/>
        <v>161434927.89318877</v>
      </c>
      <c r="AP36" s="31">
        <v>1022169.5499999999</v>
      </c>
      <c r="AR36" s="42" t="s">
        <v>463</v>
      </c>
      <c r="AS36" s="42" t="s">
        <v>464</v>
      </c>
      <c r="AT36" s="43" t="s">
        <v>1276</v>
      </c>
      <c r="AU36" s="44">
        <v>32</v>
      </c>
      <c r="AV36" s="31">
        <v>124837972.60126077</v>
      </c>
      <c r="AW36" s="31">
        <v>3627306.1200000006</v>
      </c>
      <c r="AX36" s="31">
        <v>822839.42</v>
      </c>
      <c r="AY36" s="31">
        <v>425653.69</v>
      </c>
      <c r="AZ36" s="31">
        <v>19746484.530356001</v>
      </c>
      <c r="BA36" s="31">
        <v>6599109.2938706102</v>
      </c>
      <c r="BB36" s="31">
        <v>7182162.956429529</v>
      </c>
      <c r="BC36" s="31">
        <f t="shared" si="7"/>
        <v>164282651.76191691</v>
      </c>
      <c r="BD36" s="31">
        <v>1041123.15</v>
      </c>
    </row>
    <row r="37" spans="2:56">
      <c r="B37" s="42" t="s">
        <v>295</v>
      </c>
      <c r="C37" s="42" t="s">
        <v>296</v>
      </c>
      <c r="D37" s="43" t="s">
        <v>1049</v>
      </c>
      <c r="E37" s="44">
        <v>32</v>
      </c>
      <c r="F37" s="31">
        <v>27079753.167837314</v>
      </c>
      <c r="G37" s="31">
        <v>1697842.1400000001</v>
      </c>
      <c r="H37" s="31">
        <v>739687.79</v>
      </c>
      <c r="I37" s="31">
        <v>94714.340000000011</v>
      </c>
      <c r="J37" s="31">
        <v>4300637.4243836282</v>
      </c>
      <c r="K37" s="31">
        <v>1995130.505136417</v>
      </c>
      <c r="L37" s="31">
        <v>2464974.5261939624</v>
      </c>
      <c r="M37" s="31">
        <f t="shared" si="4"/>
        <v>39311698.053551316</v>
      </c>
      <c r="N37" s="31">
        <v>938958.16000000015</v>
      </c>
      <c r="P37" s="42" t="s">
        <v>295</v>
      </c>
      <c r="Q37" s="42" t="s">
        <v>296</v>
      </c>
      <c r="R37" s="43" t="s">
        <v>1050</v>
      </c>
      <c r="S37" s="44">
        <v>32</v>
      </c>
      <c r="T37" s="31">
        <v>28426421.150352962</v>
      </c>
      <c r="U37" s="31">
        <v>1776014.9200000004</v>
      </c>
      <c r="V37" s="31">
        <v>768092.53999999992</v>
      </c>
      <c r="W37" s="31">
        <v>98351.459999999992</v>
      </c>
      <c r="X37" s="31">
        <v>4446296.6194172017</v>
      </c>
      <c r="Y37" s="31">
        <v>1997918.8936907249</v>
      </c>
      <c r="Z37" s="31">
        <v>2577633.7336725444</v>
      </c>
      <c r="AA37" s="31">
        <f t="shared" si="5"/>
        <v>41052770.497133434</v>
      </c>
      <c r="AB37" s="31">
        <v>962041.18000000017</v>
      </c>
      <c r="AD37" s="42" t="s">
        <v>295</v>
      </c>
      <c r="AE37" s="42" t="s">
        <v>296</v>
      </c>
      <c r="AF37" s="43" t="s">
        <v>1275</v>
      </c>
      <c r="AG37" s="44">
        <v>32</v>
      </c>
      <c r="AH37" s="31">
        <v>28972671.11279875</v>
      </c>
      <c r="AI37" s="31">
        <v>1812625.2599999998</v>
      </c>
      <c r="AJ37" s="31">
        <v>783117.4</v>
      </c>
      <c r="AK37" s="31">
        <v>100275.33000000002</v>
      </c>
      <c r="AL37" s="31">
        <v>4528644.1810965361</v>
      </c>
      <c r="AM37" s="31">
        <v>1996971.5967785337</v>
      </c>
      <c r="AN37" s="31">
        <v>2627283.5106843286</v>
      </c>
      <c r="AO37" s="31">
        <f t="shared" si="6"/>
        <v>41800579.111358143</v>
      </c>
      <c r="AP37" s="31">
        <v>978990.72000000009</v>
      </c>
      <c r="AR37" s="42" t="s">
        <v>295</v>
      </c>
      <c r="AS37" s="42" t="s">
        <v>296</v>
      </c>
      <c r="AT37" s="43" t="s">
        <v>1276</v>
      </c>
      <c r="AU37" s="44">
        <v>32</v>
      </c>
      <c r="AV37" s="31">
        <v>29505338.402295835</v>
      </c>
      <c r="AW37" s="31">
        <v>1845449.7799999993</v>
      </c>
      <c r="AX37" s="31">
        <v>797417.85</v>
      </c>
      <c r="AY37" s="31">
        <v>102106.45000000001</v>
      </c>
      <c r="AZ37" s="31">
        <v>4612019.3632137198</v>
      </c>
      <c r="BA37" s="31">
        <v>1997122.3452010038</v>
      </c>
      <c r="BB37" s="31">
        <v>2675718.6424680697</v>
      </c>
      <c r="BC37" s="31">
        <f t="shared" si="7"/>
        <v>42532316.513178632</v>
      </c>
      <c r="BD37" s="31">
        <v>997143.68000000017</v>
      </c>
    </row>
    <row r="38" spans="2:56">
      <c r="B38" s="42" t="s">
        <v>291</v>
      </c>
      <c r="C38" s="42" t="s">
        <v>292</v>
      </c>
      <c r="D38" s="43" t="s">
        <v>1049</v>
      </c>
      <c r="E38" s="44">
        <v>32</v>
      </c>
      <c r="F38" s="31">
        <v>23656915.479530647</v>
      </c>
      <c r="G38" s="31">
        <v>858608.19999999972</v>
      </c>
      <c r="H38" s="31">
        <v>180478.21</v>
      </c>
      <c r="I38" s="31">
        <v>82622.490000000005</v>
      </c>
      <c r="J38" s="31">
        <v>3648495.1463529528</v>
      </c>
      <c r="K38" s="31">
        <v>1280371.5930994134</v>
      </c>
      <c r="L38" s="31">
        <v>1553536.4958006898</v>
      </c>
      <c r="M38" s="31">
        <f t="shared" si="4"/>
        <v>31631265.184783705</v>
      </c>
      <c r="N38" s="31">
        <v>370237.57000000007</v>
      </c>
      <c r="P38" s="42" t="s">
        <v>291</v>
      </c>
      <c r="Q38" s="42" t="s">
        <v>292</v>
      </c>
      <c r="R38" s="43" t="s">
        <v>1050</v>
      </c>
      <c r="S38" s="44">
        <v>32</v>
      </c>
      <c r="T38" s="31">
        <v>24563616.077313058</v>
      </c>
      <c r="U38" s="31">
        <v>896212.32999999984</v>
      </c>
      <c r="V38" s="31">
        <v>187343.90000000002</v>
      </c>
      <c r="W38" s="31">
        <v>85765.579999999987</v>
      </c>
      <c r="X38" s="31">
        <v>3771644.1904659625</v>
      </c>
      <c r="Y38" s="31">
        <v>1281358.0109315654</v>
      </c>
      <c r="Z38" s="31">
        <v>1608637.9640372691</v>
      </c>
      <c r="AA38" s="31">
        <f t="shared" si="5"/>
        <v>32773958.762747854</v>
      </c>
      <c r="AB38" s="31">
        <v>379380.71</v>
      </c>
      <c r="AD38" s="42" t="s">
        <v>291</v>
      </c>
      <c r="AE38" s="42" t="s">
        <v>292</v>
      </c>
      <c r="AF38" s="43" t="s">
        <v>1275</v>
      </c>
      <c r="AG38" s="44">
        <v>32</v>
      </c>
      <c r="AH38" s="31">
        <v>25035834.212615184</v>
      </c>
      <c r="AI38" s="31">
        <v>914465.5399999998</v>
      </c>
      <c r="AJ38" s="31">
        <v>191010.74000000002</v>
      </c>
      <c r="AK38" s="31">
        <v>87444.260000000009</v>
      </c>
      <c r="AL38" s="31">
        <v>3841615.1777381576</v>
      </c>
      <c r="AM38" s="31">
        <v>1281022.8960261897</v>
      </c>
      <c r="AN38" s="31">
        <v>1639640.9075184595</v>
      </c>
      <c r="AO38" s="31">
        <f t="shared" si="6"/>
        <v>33377128.123897992</v>
      </c>
      <c r="AP38" s="31">
        <v>386094.39000000007</v>
      </c>
      <c r="AR38" s="42" t="s">
        <v>291</v>
      </c>
      <c r="AS38" s="42" t="s">
        <v>292</v>
      </c>
      <c r="AT38" s="43" t="s">
        <v>1276</v>
      </c>
      <c r="AU38" s="44">
        <v>32</v>
      </c>
      <c r="AV38" s="31">
        <v>25497572.085379843</v>
      </c>
      <c r="AW38" s="31">
        <v>931140.49</v>
      </c>
      <c r="AX38" s="31">
        <v>194515.80000000002</v>
      </c>
      <c r="AY38" s="31">
        <v>89048.87000000001</v>
      </c>
      <c r="AZ38" s="31">
        <v>3912558.7856784351</v>
      </c>
      <c r="BA38" s="31">
        <v>1281076.224652813</v>
      </c>
      <c r="BB38" s="31">
        <v>1669955.834028414</v>
      </c>
      <c r="BC38" s="31">
        <f t="shared" si="7"/>
        <v>33969152.829739504</v>
      </c>
      <c r="BD38" s="31">
        <v>393284.74000000005</v>
      </c>
    </row>
    <row r="39" spans="2:56">
      <c r="B39" s="42" t="s">
        <v>467</v>
      </c>
      <c r="C39" s="42" t="s">
        <v>468</v>
      </c>
      <c r="D39" s="43" t="s">
        <v>1049</v>
      </c>
      <c r="E39" s="44">
        <v>32</v>
      </c>
      <c r="F39" s="31">
        <v>40798137.945282385</v>
      </c>
      <c r="G39" s="31">
        <v>1594845.1799999997</v>
      </c>
      <c r="H39" s="31">
        <v>364046.04</v>
      </c>
      <c r="I39" s="31">
        <v>144702.47</v>
      </c>
      <c r="J39" s="31">
        <v>6779568.6987778274</v>
      </c>
      <c r="K39" s="31">
        <v>2921707.6402007653</v>
      </c>
      <c r="L39" s="31">
        <v>4423596.4114251006</v>
      </c>
      <c r="M39" s="31">
        <f t="shared" si="4"/>
        <v>57457398.70568607</v>
      </c>
      <c r="N39" s="31">
        <v>430794.31999999995</v>
      </c>
      <c r="P39" s="42" t="s">
        <v>467</v>
      </c>
      <c r="Q39" s="42" t="s">
        <v>468</v>
      </c>
      <c r="R39" s="43" t="s">
        <v>1050</v>
      </c>
      <c r="S39" s="44">
        <v>32</v>
      </c>
      <c r="T39" s="31">
        <v>42366990.068675891</v>
      </c>
      <c r="U39" s="31">
        <v>1662041.2800000003</v>
      </c>
      <c r="V39" s="31">
        <v>378025.79000000004</v>
      </c>
      <c r="W39" s="31">
        <v>150259.18999999997</v>
      </c>
      <c r="X39" s="31">
        <v>7009225.9304099018</v>
      </c>
      <c r="Y39" s="31">
        <v>2924227.9531201669</v>
      </c>
      <c r="Z39" s="31">
        <v>4581215.2813976947</v>
      </c>
      <c r="AA39" s="31">
        <f t="shared" si="5"/>
        <v>59513370.313603647</v>
      </c>
      <c r="AB39" s="31">
        <v>441384.81999999995</v>
      </c>
      <c r="AD39" s="42" t="s">
        <v>467</v>
      </c>
      <c r="AE39" s="42" t="s">
        <v>468</v>
      </c>
      <c r="AF39" s="43" t="s">
        <v>1275</v>
      </c>
      <c r="AG39" s="44">
        <v>32</v>
      </c>
      <c r="AH39" s="31">
        <v>43179516.007287376</v>
      </c>
      <c r="AI39" s="31">
        <v>1695410.52</v>
      </c>
      <c r="AJ39" s="31">
        <v>385420.46</v>
      </c>
      <c r="AK39" s="31">
        <v>153198.44000000003</v>
      </c>
      <c r="AL39" s="31">
        <v>7139051.8613468288</v>
      </c>
      <c r="AM39" s="31">
        <v>2923371.7293192851</v>
      </c>
      <c r="AN39" s="31">
        <v>4669447.3691366818</v>
      </c>
      <c r="AO39" s="31">
        <f t="shared" si="6"/>
        <v>60594577.657090172</v>
      </c>
      <c r="AP39" s="31">
        <v>449161.26999999996</v>
      </c>
      <c r="AR39" s="42" t="s">
        <v>467</v>
      </c>
      <c r="AS39" s="42" t="s">
        <v>468</v>
      </c>
      <c r="AT39" s="43" t="s">
        <v>1276</v>
      </c>
      <c r="AU39" s="44">
        <v>32</v>
      </c>
      <c r="AV39" s="31">
        <v>43973759.829981871</v>
      </c>
      <c r="AW39" s="31">
        <v>1726243.7999999998</v>
      </c>
      <c r="AX39" s="31">
        <v>392458.59</v>
      </c>
      <c r="AY39" s="31">
        <v>155995.98000000001</v>
      </c>
      <c r="AZ39" s="31">
        <v>7270507.4263980808</v>
      </c>
      <c r="BA39" s="31">
        <v>2923507.9847906195</v>
      </c>
      <c r="BB39" s="31">
        <v>4755541.0010595368</v>
      </c>
      <c r="BC39" s="31">
        <f t="shared" si="7"/>
        <v>61655504.462230116</v>
      </c>
      <c r="BD39" s="31">
        <v>457489.85</v>
      </c>
    </row>
    <row r="40" spans="2:56">
      <c r="B40" s="42" t="s">
        <v>485</v>
      </c>
      <c r="C40" s="42" t="s">
        <v>486</v>
      </c>
      <c r="D40" s="43" t="s">
        <v>1049</v>
      </c>
      <c r="E40" s="44">
        <v>32</v>
      </c>
      <c r="F40" s="31">
        <v>6138978.8253290355</v>
      </c>
      <c r="G40" s="31">
        <v>278491.32</v>
      </c>
      <c r="H40" s="31">
        <v>1753.96</v>
      </c>
      <c r="I40" s="31">
        <v>21534.85</v>
      </c>
      <c r="J40" s="31">
        <v>942991.21989566379</v>
      </c>
      <c r="K40" s="31">
        <v>567589.48461338005</v>
      </c>
      <c r="L40" s="31">
        <v>628610.55154032598</v>
      </c>
      <c r="M40" s="31">
        <f t="shared" si="4"/>
        <v>8795493.5313784052</v>
      </c>
      <c r="N40" s="31">
        <v>215543.32</v>
      </c>
      <c r="P40" s="42" t="s">
        <v>485</v>
      </c>
      <c r="Q40" s="42" t="s">
        <v>486</v>
      </c>
      <c r="R40" s="43" t="s">
        <v>1050</v>
      </c>
      <c r="S40" s="44">
        <v>32</v>
      </c>
      <c r="T40" s="31">
        <v>6424622.1540784966</v>
      </c>
      <c r="U40" s="31">
        <v>292163.92999999993</v>
      </c>
      <c r="V40" s="31">
        <v>1821.32</v>
      </c>
      <c r="W40" s="31">
        <v>22361.810000000005</v>
      </c>
      <c r="X40" s="31">
        <v>974948.6225029804</v>
      </c>
      <c r="Y40" s="31">
        <v>568255.88103784237</v>
      </c>
      <c r="Z40" s="31">
        <v>657278.01275262632</v>
      </c>
      <c r="AA40" s="31">
        <f t="shared" si="5"/>
        <v>9162293.8903719466</v>
      </c>
      <c r="AB40" s="31">
        <v>220842.16</v>
      </c>
      <c r="AD40" s="42" t="s">
        <v>485</v>
      </c>
      <c r="AE40" s="42" t="s">
        <v>486</v>
      </c>
      <c r="AF40" s="43" t="s">
        <v>1275</v>
      </c>
      <c r="AG40" s="44">
        <v>32</v>
      </c>
      <c r="AH40" s="31">
        <v>6547261.7467430225</v>
      </c>
      <c r="AI40" s="31">
        <v>298308.11</v>
      </c>
      <c r="AJ40" s="31">
        <v>1856.9399999999998</v>
      </c>
      <c r="AK40" s="31">
        <v>22799.22</v>
      </c>
      <c r="AL40" s="31">
        <v>993012.21729373699</v>
      </c>
      <c r="AM40" s="31">
        <v>568029.48673773196</v>
      </c>
      <c r="AN40" s="31">
        <v>669938.43832027155</v>
      </c>
      <c r="AO40" s="31">
        <f t="shared" si="6"/>
        <v>9325939.1890947632</v>
      </c>
      <c r="AP40" s="31">
        <v>224733.03</v>
      </c>
      <c r="AR40" s="42" t="s">
        <v>485</v>
      </c>
      <c r="AS40" s="42" t="s">
        <v>486</v>
      </c>
      <c r="AT40" s="43" t="s">
        <v>1276</v>
      </c>
      <c r="AU40" s="44">
        <v>32</v>
      </c>
      <c r="AV40" s="31">
        <v>6667803.9868910136</v>
      </c>
      <c r="AW40" s="31">
        <v>303692.20999999996</v>
      </c>
      <c r="AX40" s="31">
        <v>1890.8499999999997</v>
      </c>
      <c r="AY40" s="31">
        <v>23215.57</v>
      </c>
      <c r="AZ40" s="31">
        <v>1011307.004828764</v>
      </c>
      <c r="BA40" s="31">
        <v>568065.51407315186</v>
      </c>
      <c r="BB40" s="31">
        <v>682289.1362969398</v>
      </c>
      <c r="BC40" s="31">
        <f t="shared" si="7"/>
        <v>9487164.4120898694</v>
      </c>
      <c r="BD40" s="31">
        <v>228900.14</v>
      </c>
    </row>
    <row r="41" spans="2:56">
      <c r="B41" s="42" t="s">
        <v>1038</v>
      </c>
      <c r="C41" s="42" t="s">
        <v>1043</v>
      </c>
      <c r="D41" s="43" t="s">
        <v>1049</v>
      </c>
      <c r="E41" s="44">
        <v>32</v>
      </c>
      <c r="F41" s="31">
        <v>5379636.1083789701</v>
      </c>
      <c r="G41" s="31">
        <v>201202.34000000003</v>
      </c>
      <c r="H41" s="31">
        <v>0</v>
      </c>
      <c r="I41" s="31">
        <v>0</v>
      </c>
      <c r="J41" s="31">
        <v>0</v>
      </c>
      <c r="K41" s="31">
        <v>487556.37</v>
      </c>
      <c r="L41" s="31">
        <v>266444.6497730267</v>
      </c>
      <c r="M41" s="31">
        <f t="shared" si="4"/>
        <v>6513571.9581519971</v>
      </c>
      <c r="N41" s="31">
        <v>178732.49</v>
      </c>
      <c r="P41" s="42" t="s">
        <v>1038</v>
      </c>
      <c r="Q41" s="42" t="s">
        <v>1043</v>
      </c>
      <c r="R41" s="43" t="s">
        <v>1050</v>
      </c>
      <c r="S41" s="44">
        <v>32</v>
      </c>
      <c r="T41" s="31">
        <v>5638621.6772390874</v>
      </c>
      <c r="U41" s="31">
        <v>211167.49000000002</v>
      </c>
      <c r="V41" s="31">
        <v>0</v>
      </c>
      <c r="W41" s="31">
        <v>0</v>
      </c>
      <c r="X41" s="31">
        <v>0</v>
      </c>
      <c r="Y41" s="31">
        <v>487556.37</v>
      </c>
      <c r="Z41" s="31">
        <v>278491.32693492825</v>
      </c>
      <c r="AA41" s="31">
        <f t="shared" si="5"/>
        <v>6798992.6941740159</v>
      </c>
      <c r="AB41" s="31">
        <v>183155.83</v>
      </c>
      <c r="AD41" s="42" t="s">
        <v>1038</v>
      </c>
      <c r="AE41" s="42" t="s">
        <v>1043</v>
      </c>
      <c r="AF41" s="43" t="s">
        <v>1275</v>
      </c>
      <c r="AG41" s="44">
        <v>32</v>
      </c>
      <c r="AH41" s="31">
        <v>5747170.7184642609</v>
      </c>
      <c r="AI41" s="31">
        <v>215639.64999999991</v>
      </c>
      <c r="AJ41" s="31">
        <v>0</v>
      </c>
      <c r="AK41" s="31">
        <v>0</v>
      </c>
      <c r="AL41" s="31">
        <v>0</v>
      </c>
      <c r="AM41" s="31">
        <v>487556.37</v>
      </c>
      <c r="AN41" s="31">
        <v>283861.99635677191</v>
      </c>
      <c r="AO41" s="31">
        <f t="shared" si="6"/>
        <v>6920632.554821034</v>
      </c>
      <c r="AP41" s="31">
        <v>186403.82</v>
      </c>
      <c r="AR41" s="42" t="s">
        <v>1038</v>
      </c>
      <c r="AS41" s="42" t="s">
        <v>1043</v>
      </c>
      <c r="AT41" s="43" t="s">
        <v>1276</v>
      </c>
      <c r="AU41" s="44">
        <v>32</v>
      </c>
      <c r="AV41" s="31">
        <v>5853259.3010096727</v>
      </c>
      <c r="AW41" s="31">
        <v>219555.58000000002</v>
      </c>
      <c r="AX41" s="31">
        <v>0</v>
      </c>
      <c r="AY41" s="31">
        <v>0</v>
      </c>
      <c r="AZ41" s="31">
        <v>0</v>
      </c>
      <c r="BA41" s="31">
        <v>487556.37</v>
      </c>
      <c r="BB41" s="31">
        <v>289122.74541180651</v>
      </c>
      <c r="BC41" s="31">
        <f t="shared" si="7"/>
        <v>7039376.4164214795</v>
      </c>
      <c r="BD41" s="31">
        <v>189882.41999999998</v>
      </c>
    </row>
    <row r="42" spans="2:56">
      <c r="B42" s="42" t="s">
        <v>179</v>
      </c>
      <c r="C42" s="42" t="s">
        <v>180</v>
      </c>
      <c r="D42" s="43" t="s">
        <v>1049</v>
      </c>
      <c r="E42" s="44">
        <v>32</v>
      </c>
      <c r="F42" s="31">
        <v>6495669.4829871859</v>
      </c>
      <c r="G42" s="31">
        <v>239121.79000000004</v>
      </c>
      <c r="H42" s="31">
        <v>25431.610000000004</v>
      </c>
      <c r="I42" s="31">
        <v>0</v>
      </c>
      <c r="J42" s="31">
        <v>989307.09997019242</v>
      </c>
      <c r="K42" s="31">
        <v>876122.4026050932</v>
      </c>
      <c r="L42" s="31">
        <v>132507.25916775406</v>
      </c>
      <c r="M42" s="31">
        <f t="shared" si="4"/>
        <v>8861502.5147302244</v>
      </c>
      <c r="N42" s="31">
        <v>103342.87</v>
      </c>
      <c r="P42" s="42" t="s">
        <v>179</v>
      </c>
      <c r="Q42" s="42" t="s">
        <v>180</v>
      </c>
      <c r="R42" s="43" t="s">
        <v>1050</v>
      </c>
      <c r="S42" s="44">
        <v>32</v>
      </c>
      <c r="T42" s="31">
        <v>6800945.6479557576</v>
      </c>
      <c r="U42" s="31">
        <v>249354.13999999996</v>
      </c>
      <c r="V42" s="31">
        <v>26382.539999999997</v>
      </c>
      <c r="W42" s="31">
        <v>0</v>
      </c>
      <c r="X42" s="31">
        <v>1022358.3431356286</v>
      </c>
      <c r="Y42" s="31">
        <v>877087.49697255762</v>
      </c>
      <c r="Z42" s="31">
        <v>138376.74838252211</v>
      </c>
      <c r="AA42" s="31">
        <f t="shared" si="5"/>
        <v>9220420.7464464661</v>
      </c>
      <c r="AB42" s="31">
        <v>105915.83000000002</v>
      </c>
      <c r="AD42" s="42" t="s">
        <v>179</v>
      </c>
      <c r="AE42" s="42" t="s">
        <v>180</v>
      </c>
      <c r="AF42" s="43" t="s">
        <v>1275</v>
      </c>
      <c r="AG42" s="44">
        <v>32</v>
      </c>
      <c r="AH42" s="31">
        <v>6931453.680722733</v>
      </c>
      <c r="AI42" s="31">
        <v>254425.89</v>
      </c>
      <c r="AJ42" s="31">
        <v>26899.48</v>
      </c>
      <c r="AK42" s="31">
        <v>0</v>
      </c>
      <c r="AL42" s="31">
        <v>1041402.0281115092</v>
      </c>
      <c r="AM42" s="31">
        <v>876734.5671670438</v>
      </c>
      <c r="AN42" s="31">
        <v>141048.25932991528</v>
      </c>
      <c r="AO42" s="31">
        <f t="shared" si="6"/>
        <v>9379769.0153312013</v>
      </c>
      <c r="AP42" s="31">
        <v>107805.10999999999</v>
      </c>
      <c r="AR42" s="42" t="s">
        <v>179</v>
      </c>
      <c r="AS42" s="42" t="s">
        <v>180</v>
      </c>
      <c r="AT42" s="43" t="s">
        <v>1276</v>
      </c>
      <c r="AU42" s="44">
        <v>32</v>
      </c>
      <c r="AV42" s="31">
        <v>7060038.4667988243</v>
      </c>
      <c r="AW42" s="31">
        <v>259107.82000000004</v>
      </c>
      <c r="AX42" s="31">
        <v>27397.419999999995</v>
      </c>
      <c r="AY42" s="31">
        <v>0</v>
      </c>
      <c r="AZ42" s="31">
        <v>1060779.9972431459</v>
      </c>
      <c r="BA42" s="31">
        <v>876789.43452548375</v>
      </c>
      <c r="BB42" s="31">
        <v>143674.97153577334</v>
      </c>
      <c r="BC42" s="31">
        <f t="shared" si="7"/>
        <v>9537616.6501032282</v>
      </c>
      <c r="BD42" s="31">
        <v>109828.54000000001</v>
      </c>
    </row>
    <row r="43" spans="2:56">
      <c r="B43" s="42" t="s">
        <v>13</v>
      </c>
      <c r="C43" s="42" t="s">
        <v>14</v>
      </c>
      <c r="D43" s="43" t="s">
        <v>1049</v>
      </c>
      <c r="E43" s="44">
        <v>32</v>
      </c>
      <c r="F43" s="31">
        <v>19979849.394951396</v>
      </c>
      <c r="G43" s="31">
        <v>871332.89999999991</v>
      </c>
      <c r="H43" s="31">
        <v>28843.039999999997</v>
      </c>
      <c r="I43" s="31">
        <v>68404.789999999994</v>
      </c>
      <c r="J43" s="31">
        <v>3143610.2215422094</v>
      </c>
      <c r="K43" s="31">
        <v>988731.65387451707</v>
      </c>
      <c r="L43" s="31">
        <v>1376257.8429764521</v>
      </c>
      <c r="M43" s="31">
        <f t="shared" si="4"/>
        <v>26842026.083344568</v>
      </c>
      <c r="N43" s="31">
        <v>384996.24000000005</v>
      </c>
      <c r="P43" s="42" t="s">
        <v>13</v>
      </c>
      <c r="Q43" s="42" t="s">
        <v>14</v>
      </c>
      <c r="R43" s="43" t="s">
        <v>1050</v>
      </c>
      <c r="S43" s="44">
        <v>32</v>
      </c>
      <c r="T43" s="31">
        <v>20947210.431165986</v>
      </c>
      <c r="U43" s="31">
        <v>910112.58999999985</v>
      </c>
      <c r="V43" s="31">
        <v>29950.65</v>
      </c>
      <c r="W43" s="31">
        <v>71031.62</v>
      </c>
      <c r="X43" s="31">
        <v>3250065.5196507731</v>
      </c>
      <c r="Y43" s="31">
        <v>989517.63358080399</v>
      </c>
      <c r="Z43" s="31">
        <v>1439025.5290215672</v>
      </c>
      <c r="AA43" s="31">
        <f t="shared" si="5"/>
        <v>28031374.823419131</v>
      </c>
      <c r="AB43" s="31">
        <v>394460.85000000003</v>
      </c>
      <c r="AD43" s="42" t="s">
        <v>13</v>
      </c>
      <c r="AE43" s="42" t="s">
        <v>14</v>
      </c>
      <c r="AF43" s="43" t="s">
        <v>1275</v>
      </c>
      <c r="AG43" s="44">
        <v>32</v>
      </c>
      <c r="AH43" s="31">
        <v>21349022.925859347</v>
      </c>
      <c r="AI43" s="31">
        <v>928681.96999999974</v>
      </c>
      <c r="AJ43" s="31">
        <v>30536.529999999995</v>
      </c>
      <c r="AK43" s="31">
        <v>72421.08</v>
      </c>
      <c r="AL43" s="31">
        <v>3310266.6931816535</v>
      </c>
      <c r="AM43" s="31">
        <v>989250.61335234263</v>
      </c>
      <c r="AN43" s="31">
        <v>1466743.9347000467</v>
      </c>
      <c r="AO43" s="31">
        <f t="shared" si="6"/>
        <v>28548334.337093387</v>
      </c>
      <c r="AP43" s="31">
        <v>401410.59000000008</v>
      </c>
      <c r="AR43" s="42" t="s">
        <v>13</v>
      </c>
      <c r="AS43" s="42" t="s">
        <v>14</v>
      </c>
      <c r="AT43" s="43" t="s">
        <v>1276</v>
      </c>
      <c r="AU43" s="44">
        <v>32</v>
      </c>
      <c r="AV43" s="31">
        <v>21741728.640134092</v>
      </c>
      <c r="AW43" s="31">
        <v>945527.52</v>
      </c>
      <c r="AX43" s="31">
        <v>31094.149999999998</v>
      </c>
      <c r="AY43" s="31">
        <v>73743.56</v>
      </c>
      <c r="AZ43" s="31">
        <v>3371225.9143954176</v>
      </c>
      <c r="BA43" s="31">
        <v>989293.10570895241</v>
      </c>
      <c r="BB43" s="31">
        <v>1493784.3488461776</v>
      </c>
      <c r="BC43" s="31">
        <f t="shared" si="7"/>
        <v>29055250.99908464</v>
      </c>
      <c r="BD43" s="31">
        <v>408853.76000000001</v>
      </c>
    </row>
    <row r="44" spans="2:56">
      <c r="B44" s="42" t="s">
        <v>249</v>
      </c>
      <c r="C44" s="42" t="s">
        <v>250</v>
      </c>
      <c r="D44" s="43" t="s">
        <v>1049</v>
      </c>
      <c r="E44" s="44">
        <v>32</v>
      </c>
      <c r="F44" s="31">
        <v>7070248.9119836539</v>
      </c>
      <c r="G44" s="31">
        <v>224215.74</v>
      </c>
      <c r="H44" s="31">
        <v>19878.32</v>
      </c>
      <c r="I44" s="31">
        <v>24847.89</v>
      </c>
      <c r="J44" s="31">
        <v>1178767.8008160098</v>
      </c>
      <c r="K44" s="31">
        <v>545428.20381599013</v>
      </c>
      <c r="L44" s="31">
        <v>621319.32991310372</v>
      </c>
      <c r="M44" s="31">
        <f t="shared" si="4"/>
        <v>9691039.9765287563</v>
      </c>
      <c r="N44" s="31">
        <v>6333.78</v>
      </c>
      <c r="P44" s="42" t="s">
        <v>249</v>
      </c>
      <c r="Q44" s="42" t="s">
        <v>250</v>
      </c>
      <c r="R44" s="43" t="s">
        <v>1050</v>
      </c>
      <c r="S44" s="44">
        <v>32</v>
      </c>
      <c r="T44" s="31">
        <v>7347518.354019694</v>
      </c>
      <c r="U44" s="31">
        <v>232913.33999999994</v>
      </c>
      <c r="V44" s="31">
        <v>20641.659999999996</v>
      </c>
      <c r="W44" s="31">
        <v>25802.090000000004</v>
      </c>
      <c r="X44" s="31">
        <v>1218698.8132967793</v>
      </c>
      <c r="Y44" s="31">
        <v>545641.22045273939</v>
      </c>
      <c r="Z44" s="31">
        <v>643457.80344385142</v>
      </c>
      <c r="AA44" s="31">
        <f t="shared" si="5"/>
        <v>10041162.781213064</v>
      </c>
      <c r="AB44" s="31">
        <v>6489.5</v>
      </c>
      <c r="AD44" s="42" t="s">
        <v>249</v>
      </c>
      <c r="AE44" s="42" t="s">
        <v>250</v>
      </c>
      <c r="AF44" s="43" t="s">
        <v>1275</v>
      </c>
      <c r="AG44" s="44">
        <v>32</v>
      </c>
      <c r="AH44" s="31">
        <v>7491054.310175214</v>
      </c>
      <c r="AI44" s="31">
        <v>237482.01999999996</v>
      </c>
      <c r="AJ44" s="31">
        <v>21045.440000000002</v>
      </c>
      <c r="AK44" s="31">
        <v>26306.81</v>
      </c>
      <c r="AL44" s="31">
        <v>1241270.0451550032</v>
      </c>
      <c r="AM44" s="31">
        <v>545568.85248883918</v>
      </c>
      <c r="AN44" s="31">
        <v>655850.48055547802</v>
      </c>
      <c r="AO44" s="31">
        <f t="shared" si="6"/>
        <v>10225181.788374536</v>
      </c>
      <c r="AP44" s="31">
        <v>6603.83</v>
      </c>
      <c r="AR44" s="42" t="s">
        <v>249</v>
      </c>
      <c r="AS44" s="42" t="s">
        <v>250</v>
      </c>
      <c r="AT44" s="43" t="s">
        <v>1276</v>
      </c>
      <c r="AU44" s="44">
        <v>32</v>
      </c>
      <c r="AV44" s="31">
        <v>7631073.026059567</v>
      </c>
      <c r="AW44" s="31">
        <v>241816.81999999998</v>
      </c>
      <c r="AX44" s="31">
        <v>21429.74</v>
      </c>
      <c r="AY44" s="31">
        <v>26787.19</v>
      </c>
      <c r="AZ44" s="31">
        <v>1264123.2293260579</v>
      </c>
      <c r="BA44" s="31">
        <v>545580.36878985842</v>
      </c>
      <c r="BB44" s="31">
        <v>667942.79003607004</v>
      </c>
      <c r="BC44" s="31">
        <f t="shared" si="7"/>
        <v>10405479.434211554</v>
      </c>
      <c r="BD44" s="31">
        <v>6726.2699999999995</v>
      </c>
    </row>
    <row r="45" spans="2:56">
      <c r="B45" s="42" t="s">
        <v>377</v>
      </c>
      <c r="C45" s="42" t="s">
        <v>378</v>
      </c>
      <c r="D45" s="43" t="s">
        <v>1049</v>
      </c>
      <c r="E45" s="44">
        <v>32</v>
      </c>
      <c r="F45" s="31">
        <v>102387788.89440536</v>
      </c>
      <c r="G45" s="31">
        <v>5432873.0199999986</v>
      </c>
      <c r="H45" s="31">
        <v>2678422.5000000005</v>
      </c>
      <c r="I45" s="31">
        <v>355105.19</v>
      </c>
      <c r="J45" s="31">
        <v>16873765.356205255</v>
      </c>
      <c r="K45" s="31">
        <v>6271752.4814209342</v>
      </c>
      <c r="L45" s="31">
        <v>8714246.0450060349</v>
      </c>
      <c r="M45" s="31">
        <f t="shared" si="4"/>
        <v>145527707.88703758</v>
      </c>
      <c r="N45" s="31">
        <v>2813754.4000000004</v>
      </c>
      <c r="P45" s="42" t="s">
        <v>377</v>
      </c>
      <c r="Q45" s="42" t="s">
        <v>378</v>
      </c>
      <c r="R45" s="43" t="s">
        <v>1050</v>
      </c>
      <c r="S45" s="44">
        <v>32</v>
      </c>
      <c r="T45" s="31">
        <v>107409383.66798337</v>
      </c>
      <c r="U45" s="31">
        <v>5675544.6500000013</v>
      </c>
      <c r="V45" s="31">
        <v>2779856.8499999996</v>
      </c>
      <c r="W45" s="31">
        <v>368553.34</v>
      </c>
      <c r="X45" s="31">
        <v>17440463.702681679</v>
      </c>
      <c r="Y45" s="31">
        <v>6274072.6651738891</v>
      </c>
      <c r="Z45" s="31">
        <v>9109794.4957721233</v>
      </c>
      <c r="AA45" s="31">
        <f t="shared" si="5"/>
        <v>151941059.59161106</v>
      </c>
      <c r="AB45" s="31">
        <v>2883390.2199999997</v>
      </c>
      <c r="AD45" s="42" t="s">
        <v>377</v>
      </c>
      <c r="AE45" s="42" t="s">
        <v>378</v>
      </c>
      <c r="AF45" s="43" t="s">
        <v>1275</v>
      </c>
      <c r="AG45" s="44">
        <v>32</v>
      </c>
      <c r="AH45" s="31">
        <v>109473600.47477244</v>
      </c>
      <c r="AI45" s="31">
        <v>5791981.0499999989</v>
      </c>
      <c r="AJ45" s="31">
        <v>2834281.6</v>
      </c>
      <c r="AK45" s="31">
        <v>375768.95</v>
      </c>
      <c r="AL45" s="31">
        <v>17764390.617400102</v>
      </c>
      <c r="AM45" s="31">
        <v>6273253.703659893</v>
      </c>
      <c r="AN45" s="31">
        <v>9285476.215386888</v>
      </c>
      <c r="AO45" s="31">
        <f t="shared" si="6"/>
        <v>154733275.43121931</v>
      </c>
      <c r="AP45" s="31">
        <v>2934522.82</v>
      </c>
      <c r="AR45" s="42" t="s">
        <v>377</v>
      </c>
      <c r="AS45" s="42" t="s">
        <v>378</v>
      </c>
      <c r="AT45" s="43" t="s">
        <v>1276</v>
      </c>
      <c r="AU45" s="44">
        <v>32</v>
      </c>
      <c r="AV45" s="31">
        <v>111496815.27745907</v>
      </c>
      <c r="AW45" s="31">
        <v>5897718.9399999995</v>
      </c>
      <c r="AX45" s="31">
        <v>2886410.7000000007</v>
      </c>
      <c r="AY45" s="31">
        <v>382680.23</v>
      </c>
      <c r="AZ45" s="31">
        <v>18093177.562930223</v>
      </c>
      <c r="BA45" s="31">
        <v>6273382.4399245419</v>
      </c>
      <c r="BB45" s="31">
        <v>9457562.8688897006</v>
      </c>
      <c r="BC45" s="31">
        <f t="shared" si="7"/>
        <v>157477033.83920351</v>
      </c>
      <c r="BD45" s="31">
        <v>2989285.8200000003</v>
      </c>
    </row>
    <row r="46" spans="2:56">
      <c r="B46" s="42" t="s">
        <v>563</v>
      </c>
      <c r="C46" s="42" t="s">
        <v>564</v>
      </c>
      <c r="D46" s="43" t="s">
        <v>1049</v>
      </c>
      <c r="E46" s="44">
        <v>32</v>
      </c>
      <c r="F46" s="31">
        <v>4396647.4582698913</v>
      </c>
      <c r="G46" s="31">
        <v>104263.70999999999</v>
      </c>
      <c r="H46" s="31">
        <v>0</v>
      </c>
      <c r="I46" s="31">
        <v>14518.98</v>
      </c>
      <c r="J46" s="31">
        <v>666655.21119231952</v>
      </c>
      <c r="K46" s="31">
        <v>515238.60352280445</v>
      </c>
      <c r="L46" s="31">
        <v>498999.28716624848</v>
      </c>
      <c r="M46" s="31">
        <f t="shared" si="4"/>
        <v>6196323.2501512635</v>
      </c>
      <c r="N46" s="31">
        <v>0</v>
      </c>
      <c r="P46" s="42" t="s">
        <v>563</v>
      </c>
      <c r="Q46" s="42" t="s">
        <v>564</v>
      </c>
      <c r="R46" s="43" t="s">
        <v>1050</v>
      </c>
      <c r="S46" s="44">
        <v>32</v>
      </c>
      <c r="T46" s="31">
        <v>4565367.6058276678</v>
      </c>
      <c r="U46" s="31">
        <v>108267.56</v>
      </c>
      <c r="V46" s="31">
        <v>0</v>
      </c>
      <c r="W46" s="31">
        <v>15076.52</v>
      </c>
      <c r="X46" s="31">
        <v>689254.52430542419</v>
      </c>
      <c r="Y46" s="31">
        <v>515677.32358392846</v>
      </c>
      <c r="Z46" s="31">
        <v>516779.35171652766</v>
      </c>
      <c r="AA46" s="31">
        <f t="shared" si="5"/>
        <v>6410422.8854335472</v>
      </c>
      <c r="AB46" s="31">
        <v>0</v>
      </c>
      <c r="AD46" s="42" t="s">
        <v>563</v>
      </c>
      <c r="AE46" s="42" t="s">
        <v>564</v>
      </c>
      <c r="AF46" s="43" t="s">
        <v>1275</v>
      </c>
      <c r="AG46" s="44">
        <v>32</v>
      </c>
      <c r="AH46" s="31">
        <v>4653101.3175826166</v>
      </c>
      <c r="AI46" s="31">
        <v>110385.4</v>
      </c>
      <c r="AJ46" s="31">
        <v>0</v>
      </c>
      <c r="AK46" s="31">
        <v>15371.440000000002</v>
      </c>
      <c r="AL46" s="31">
        <v>702021.69163075183</v>
      </c>
      <c r="AM46" s="31">
        <v>515528.27758437546</v>
      </c>
      <c r="AN46" s="31">
        <v>526732.26665291982</v>
      </c>
      <c r="AO46" s="31">
        <f t="shared" si="6"/>
        <v>6523140.3934506644</v>
      </c>
      <c r="AP46" s="31">
        <v>0</v>
      </c>
      <c r="AR46" s="42" t="s">
        <v>563</v>
      </c>
      <c r="AS46" s="42" t="s">
        <v>564</v>
      </c>
      <c r="AT46" s="43" t="s">
        <v>1276</v>
      </c>
      <c r="AU46" s="44">
        <v>32</v>
      </c>
      <c r="AV46" s="31">
        <v>4738506.34781719</v>
      </c>
      <c r="AW46" s="31">
        <v>112401.15</v>
      </c>
      <c r="AX46" s="31">
        <v>0</v>
      </c>
      <c r="AY46" s="31">
        <v>15652.130000000001</v>
      </c>
      <c r="AZ46" s="31">
        <v>714949.70734728454</v>
      </c>
      <c r="BA46" s="31">
        <v>515551.99607117608</v>
      </c>
      <c r="BB46" s="31">
        <v>536443.94342815573</v>
      </c>
      <c r="BC46" s="31">
        <f t="shared" si="7"/>
        <v>6633505.274663806</v>
      </c>
      <c r="BD46" s="31">
        <v>0</v>
      </c>
    </row>
    <row r="47" spans="2:56">
      <c r="B47" s="42" t="s">
        <v>529</v>
      </c>
      <c r="C47" s="42" t="s">
        <v>530</v>
      </c>
      <c r="D47" s="43" t="s">
        <v>1049</v>
      </c>
      <c r="E47" s="44">
        <v>32</v>
      </c>
      <c r="F47" s="31">
        <v>12071663.154265825</v>
      </c>
      <c r="G47" s="31">
        <v>537981.2899999998</v>
      </c>
      <c r="H47" s="31">
        <v>456616.64</v>
      </c>
      <c r="I47" s="31">
        <v>42777.36</v>
      </c>
      <c r="J47" s="31">
        <v>2078968.5525369041</v>
      </c>
      <c r="K47" s="31">
        <v>458977.0713379485</v>
      </c>
      <c r="L47" s="31">
        <v>1168789.2035574224</v>
      </c>
      <c r="M47" s="31">
        <f t="shared" si="4"/>
        <v>17251634.631698098</v>
      </c>
      <c r="N47" s="31">
        <v>435861.36000000004</v>
      </c>
      <c r="P47" s="42" t="s">
        <v>529</v>
      </c>
      <c r="Q47" s="42" t="s">
        <v>530</v>
      </c>
      <c r="R47" s="43" t="s">
        <v>1050</v>
      </c>
      <c r="S47" s="44">
        <v>32</v>
      </c>
      <c r="T47" s="31">
        <v>12670603.302578144</v>
      </c>
      <c r="U47" s="31">
        <v>564662.77000000014</v>
      </c>
      <c r="V47" s="31">
        <v>474151.17</v>
      </c>
      <c r="W47" s="31">
        <v>44420.069999999992</v>
      </c>
      <c r="X47" s="31">
        <v>2149419.9858985632</v>
      </c>
      <c r="Y47" s="31">
        <v>459343.39066439786</v>
      </c>
      <c r="Z47" s="31">
        <v>1222163.618428797</v>
      </c>
      <c r="AA47" s="31">
        <f t="shared" si="5"/>
        <v>18031340.727569904</v>
      </c>
      <c r="AB47" s="31">
        <v>446576.42000000004</v>
      </c>
      <c r="AD47" s="42" t="s">
        <v>529</v>
      </c>
      <c r="AE47" s="42" t="s">
        <v>530</v>
      </c>
      <c r="AF47" s="43" t="s">
        <v>1275</v>
      </c>
      <c r="AG47" s="44">
        <v>32</v>
      </c>
      <c r="AH47" s="31">
        <v>12914105.038458241</v>
      </c>
      <c r="AI47" s="31">
        <v>576575.99</v>
      </c>
      <c r="AJ47" s="31">
        <v>483426.16999999993</v>
      </c>
      <c r="AK47" s="31">
        <v>45288.979999999989</v>
      </c>
      <c r="AL47" s="31">
        <v>2189232.3689682274</v>
      </c>
      <c r="AM47" s="31">
        <v>459218.9413059018</v>
      </c>
      <c r="AN47" s="31">
        <v>1245704.8615677224</v>
      </c>
      <c r="AO47" s="31">
        <f t="shared" si="6"/>
        <v>18367996.690300092</v>
      </c>
      <c r="AP47" s="31">
        <v>454444.34</v>
      </c>
      <c r="AR47" s="42" t="s">
        <v>529</v>
      </c>
      <c r="AS47" s="42" t="s">
        <v>530</v>
      </c>
      <c r="AT47" s="43" t="s">
        <v>1276</v>
      </c>
      <c r="AU47" s="44">
        <v>32</v>
      </c>
      <c r="AV47" s="31">
        <v>13151585.115792248</v>
      </c>
      <c r="AW47" s="31">
        <v>586976.82999999984</v>
      </c>
      <c r="AX47" s="31">
        <v>492253.97999999992</v>
      </c>
      <c r="AY47" s="31">
        <v>46116</v>
      </c>
      <c r="AZ47" s="31">
        <v>2229544.936111222</v>
      </c>
      <c r="BA47" s="31">
        <v>459238.74559770222</v>
      </c>
      <c r="BB47" s="31">
        <v>1268670.2051469916</v>
      </c>
      <c r="BC47" s="31">
        <f t="shared" si="7"/>
        <v>18697256.692648161</v>
      </c>
      <c r="BD47" s="31">
        <v>462870.88000000006</v>
      </c>
    </row>
    <row r="48" spans="2:56">
      <c r="B48" s="42" t="s">
        <v>571</v>
      </c>
      <c r="C48" s="42" t="s">
        <v>572</v>
      </c>
      <c r="D48" s="43" t="s">
        <v>1049</v>
      </c>
      <c r="E48" s="44">
        <v>32</v>
      </c>
      <c r="F48" s="31">
        <v>2436379.3704066649</v>
      </c>
      <c r="G48" s="31">
        <v>31677</v>
      </c>
      <c r="H48" s="31">
        <v>0</v>
      </c>
      <c r="I48" s="31">
        <v>0</v>
      </c>
      <c r="J48" s="31">
        <v>203244.91047961198</v>
      </c>
      <c r="K48" s="31">
        <v>161853.08523781027</v>
      </c>
      <c r="L48" s="31">
        <v>85856.700911586959</v>
      </c>
      <c r="M48" s="31">
        <f t="shared" si="4"/>
        <v>2919011.0670356746</v>
      </c>
      <c r="N48" s="31">
        <v>0</v>
      </c>
      <c r="P48" s="42" t="s">
        <v>571</v>
      </c>
      <c r="Q48" s="42" t="s">
        <v>572</v>
      </c>
      <c r="R48" s="43" t="s">
        <v>1050</v>
      </c>
      <c r="S48" s="44">
        <v>32</v>
      </c>
      <c r="T48" s="31">
        <v>2526946.1996735483</v>
      </c>
      <c r="U48" s="31">
        <v>32882.050000000003</v>
      </c>
      <c r="V48" s="31">
        <v>0</v>
      </c>
      <c r="W48" s="31">
        <v>0</v>
      </c>
      <c r="X48" s="31">
        <v>210089.84915523982</v>
      </c>
      <c r="Y48" s="31">
        <v>162067.36899873716</v>
      </c>
      <c r="Z48" s="31">
        <v>88902.006511281958</v>
      </c>
      <c r="AA48" s="31">
        <f t="shared" si="5"/>
        <v>3020887.4743388072</v>
      </c>
      <c r="AB48" s="31">
        <v>0</v>
      </c>
      <c r="AD48" s="42" t="s">
        <v>571</v>
      </c>
      <c r="AE48" s="42" t="s">
        <v>572</v>
      </c>
      <c r="AF48" s="43" t="s">
        <v>1275</v>
      </c>
      <c r="AG48" s="44">
        <v>32</v>
      </c>
      <c r="AH48" s="31">
        <v>2575375.9181757788</v>
      </c>
      <c r="AI48" s="31">
        <v>33525.64</v>
      </c>
      <c r="AJ48" s="31">
        <v>0</v>
      </c>
      <c r="AK48" s="31">
        <v>0</v>
      </c>
      <c r="AL48" s="31">
        <v>213986.07385520687</v>
      </c>
      <c r="AM48" s="31">
        <v>161994.57055579952</v>
      </c>
      <c r="AN48" s="31">
        <v>90615.436294280371</v>
      </c>
      <c r="AO48" s="31">
        <f t="shared" si="6"/>
        <v>3075497.6388810659</v>
      </c>
      <c r="AP48" s="31">
        <v>0</v>
      </c>
      <c r="AR48" s="42" t="s">
        <v>571</v>
      </c>
      <c r="AS48" s="42" t="s">
        <v>572</v>
      </c>
      <c r="AT48" s="43" t="s">
        <v>1276</v>
      </c>
      <c r="AU48" s="44">
        <v>32</v>
      </c>
      <c r="AV48" s="31">
        <v>2622432.6770249484</v>
      </c>
      <c r="AW48" s="31">
        <v>34140.840000000004</v>
      </c>
      <c r="AX48" s="31">
        <v>0</v>
      </c>
      <c r="AY48" s="31">
        <v>0</v>
      </c>
      <c r="AZ48" s="31">
        <v>217935.35970879049</v>
      </c>
      <c r="BA48" s="31">
        <v>162006.15536124955</v>
      </c>
      <c r="BB48" s="31">
        <v>92290.8334156317</v>
      </c>
      <c r="BC48" s="31">
        <f t="shared" si="7"/>
        <v>3128805.8655106202</v>
      </c>
      <c r="BD48" s="31">
        <v>0</v>
      </c>
    </row>
    <row r="49" spans="2:56">
      <c r="B49" s="42" t="s">
        <v>499</v>
      </c>
      <c r="C49" s="42" t="s">
        <v>500</v>
      </c>
      <c r="D49" s="43" t="s">
        <v>1049</v>
      </c>
      <c r="E49" s="44">
        <v>32</v>
      </c>
      <c r="F49" s="31">
        <v>1889913.6444681901</v>
      </c>
      <c r="G49" s="31">
        <v>52034.419999999984</v>
      </c>
      <c r="H49" s="31">
        <v>0</v>
      </c>
      <c r="I49" s="31">
        <v>2923.29</v>
      </c>
      <c r="J49" s="31">
        <v>130916.18449914776</v>
      </c>
      <c r="K49" s="31">
        <v>215130.65942224776</v>
      </c>
      <c r="L49" s="31">
        <v>65853.469344846046</v>
      </c>
      <c r="M49" s="31">
        <f t="shared" si="4"/>
        <v>2385907.0577344317</v>
      </c>
      <c r="N49" s="31">
        <v>29135.39</v>
      </c>
      <c r="P49" s="42" t="s">
        <v>499</v>
      </c>
      <c r="Q49" s="42" t="s">
        <v>500</v>
      </c>
      <c r="R49" s="43" t="s">
        <v>1050</v>
      </c>
      <c r="S49" s="44">
        <v>32</v>
      </c>
      <c r="T49" s="31">
        <v>1968194.8367531372</v>
      </c>
      <c r="U49" s="31">
        <v>54435.169999999984</v>
      </c>
      <c r="V49" s="31">
        <v>0</v>
      </c>
      <c r="W49" s="31">
        <v>3035.55</v>
      </c>
      <c r="X49" s="31">
        <v>135352.12506322865</v>
      </c>
      <c r="Y49" s="31">
        <v>215262.57558711225</v>
      </c>
      <c r="Z49" s="31">
        <v>68807.072138627147</v>
      </c>
      <c r="AA49" s="31">
        <f t="shared" si="5"/>
        <v>2474938.9695421052</v>
      </c>
      <c r="AB49" s="31">
        <v>29851.64</v>
      </c>
      <c r="AD49" s="42" t="s">
        <v>499</v>
      </c>
      <c r="AE49" s="42" t="s">
        <v>500</v>
      </c>
      <c r="AF49" s="43" t="s">
        <v>1275</v>
      </c>
      <c r="AG49" s="44">
        <v>32</v>
      </c>
      <c r="AH49" s="31">
        <v>2005842.6344281002</v>
      </c>
      <c r="AI49" s="31">
        <v>55557.990000000005</v>
      </c>
      <c r="AJ49" s="31">
        <v>0</v>
      </c>
      <c r="AK49" s="31">
        <v>3094.92</v>
      </c>
      <c r="AL49" s="31">
        <v>137859.47232335695</v>
      </c>
      <c r="AM49" s="31">
        <v>215217.75981871758</v>
      </c>
      <c r="AN49" s="31">
        <v>70132.458757358894</v>
      </c>
      <c r="AO49" s="31">
        <f t="shared" si="6"/>
        <v>2518082.8153275335</v>
      </c>
      <c r="AP49" s="31">
        <v>30377.579999999998</v>
      </c>
      <c r="AR49" s="42" t="s">
        <v>499</v>
      </c>
      <c r="AS49" s="42" t="s">
        <v>500</v>
      </c>
      <c r="AT49" s="43" t="s">
        <v>1276</v>
      </c>
      <c r="AU49" s="44">
        <v>32</v>
      </c>
      <c r="AV49" s="31">
        <v>2042312.9829424247</v>
      </c>
      <c r="AW49" s="31">
        <v>56563.980000000018</v>
      </c>
      <c r="AX49" s="31">
        <v>0</v>
      </c>
      <c r="AY49" s="31">
        <v>3151.4399999999996</v>
      </c>
      <c r="AZ49" s="31">
        <v>140398.56669109667</v>
      </c>
      <c r="BA49" s="31">
        <v>215224.89159155492</v>
      </c>
      <c r="BB49" s="31">
        <v>71425.431892700581</v>
      </c>
      <c r="BC49" s="31">
        <f t="shared" si="7"/>
        <v>2560018.1431177771</v>
      </c>
      <c r="BD49" s="31">
        <v>30940.85</v>
      </c>
    </row>
    <row r="50" spans="2:56">
      <c r="B50" s="42" t="s">
        <v>533</v>
      </c>
      <c r="C50" s="42" t="s">
        <v>534</v>
      </c>
      <c r="D50" s="43" t="s">
        <v>1049</v>
      </c>
      <c r="E50" s="44">
        <v>32</v>
      </c>
      <c r="F50" s="31">
        <v>6186508.0167204402</v>
      </c>
      <c r="G50" s="31">
        <v>256139.84999999992</v>
      </c>
      <c r="H50" s="31">
        <v>215887.84999999998</v>
      </c>
      <c r="I50" s="31">
        <v>20579.969999999998</v>
      </c>
      <c r="J50" s="31">
        <v>962898.01659741835</v>
      </c>
      <c r="K50" s="31">
        <v>440105.10158555338</v>
      </c>
      <c r="L50" s="31">
        <v>493820.03311586019</v>
      </c>
      <c r="M50" s="31">
        <f t="shared" si="4"/>
        <v>8787186.10801927</v>
      </c>
      <c r="N50" s="31">
        <v>211247.27000000002</v>
      </c>
      <c r="P50" s="42" t="s">
        <v>533</v>
      </c>
      <c r="Q50" s="42" t="s">
        <v>534</v>
      </c>
      <c r="R50" s="43" t="s">
        <v>1050</v>
      </c>
      <c r="S50" s="44">
        <v>32</v>
      </c>
      <c r="T50" s="31">
        <v>6491790.1952144774</v>
      </c>
      <c r="U50" s="31">
        <v>268703.16000000003</v>
      </c>
      <c r="V50" s="31">
        <v>224100.57</v>
      </c>
      <c r="W50" s="31">
        <v>21362.859999999997</v>
      </c>
      <c r="X50" s="31">
        <v>995402.46655941673</v>
      </c>
      <c r="Y50" s="31">
        <v>440557.43028385681</v>
      </c>
      <c r="Z50" s="31">
        <v>516346.59673621296</v>
      </c>
      <c r="AA50" s="31">
        <f t="shared" si="5"/>
        <v>9174727.3787939642</v>
      </c>
      <c r="AB50" s="31">
        <v>216464.1</v>
      </c>
      <c r="AD50" s="42" t="s">
        <v>533</v>
      </c>
      <c r="AE50" s="42" t="s">
        <v>534</v>
      </c>
      <c r="AF50" s="43" t="s">
        <v>1275</v>
      </c>
      <c r="AG50" s="44">
        <v>32</v>
      </c>
      <c r="AH50" s="31">
        <v>6616603.2777912263</v>
      </c>
      <c r="AI50" s="31">
        <v>274368.61</v>
      </c>
      <c r="AJ50" s="31">
        <v>228486.86</v>
      </c>
      <c r="AK50" s="31">
        <v>21780.980000000003</v>
      </c>
      <c r="AL50" s="31">
        <v>1013866.8630917115</v>
      </c>
      <c r="AM50" s="31">
        <v>440403.7610333729</v>
      </c>
      <c r="AN50" s="31">
        <v>526299.25573826279</v>
      </c>
      <c r="AO50" s="31">
        <f t="shared" si="6"/>
        <v>9342104.3376545738</v>
      </c>
      <c r="AP50" s="31">
        <v>220294.73</v>
      </c>
      <c r="AR50" s="42" t="s">
        <v>533</v>
      </c>
      <c r="AS50" s="42" t="s">
        <v>534</v>
      </c>
      <c r="AT50" s="43" t="s">
        <v>1276</v>
      </c>
      <c r="AU50" s="44">
        <v>32</v>
      </c>
      <c r="AV50" s="31">
        <v>6738439.8225240018</v>
      </c>
      <c r="AW50" s="31">
        <v>279343.07</v>
      </c>
      <c r="AX50" s="31">
        <v>232679.59999999998</v>
      </c>
      <c r="AY50" s="31">
        <v>22180.66</v>
      </c>
      <c r="AZ50" s="31">
        <v>1032586.1734109221</v>
      </c>
      <c r="BA50" s="31">
        <v>440428.21524281299</v>
      </c>
      <c r="BB50" s="31">
        <v>536028.98364229815</v>
      </c>
      <c r="BC50" s="31">
        <f t="shared" si="7"/>
        <v>9506083.8648200352</v>
      </c>
      <c r="BD50" s="31">
        <v>224397.34000000003</v>
      </c>
    </row>
    <row r="51" spans="2:56">
      <c r="B51" s="42" t="s">
        <v>491</v>
      </c>
      <c r="C51" s="42" t="s">
        <v>492</v>
      </c>
      <c r="D51" s="43" t="s">
        <v>1049</v>
      </c>
      <c r="E51" s="44">
        <v>32</v>
      </c>
      <c r="F51" s="31">
        <v>13185159.208482901</v>
      </c>
      <c r="G51" s="31">
        <v>566352.5199999999</v>
      </c>
      <c r="H51" s="31">
        <v>23707.32</v>
      </c>
      <c r="I51" s="31">
        <v>47515.519999999982</v>
      </c>
      <c r="J51" s="31">
        <v>2142681.5994578665</v>
      </c>
      <c r="K51" s="31">
        <v>1561149.3770833279</v>
      </c>
      <c r="L51" s="31">
        <v>1304764.8941347373</v>
      </c>
      <c r="M51" s="31">
        <f t="shared" si="4"/>
        <v>19160105.439158831</v>
      </c>
      <c r="N51" s="31">
        <v>328775</v>
      </c>
      <c r="P51" s="42" t="s">
        <v>491</v>
      </c>
      <c r="Q51" s="42" t="s">
        <v>492</v>
      </c>
      <c r="R51" s="43" t="s">
        <v>1050</v>
      </c>
      <c r="S51" s="44">
        <v>32</v>
      </c>
      <c r="T51" s="31">
        <v>13826451.770370115</v>
      </c>
      <c r="U51" s="31">
        <v>592285.39999999991</v>
      </c>
      <c r="V51" s="31">
        <v>24609.18</v>
      </c>
      <c r="W51" s="31">
        <v>49323.09</v>
      </c>
      <c r="X51" s="31">
        <v>2215029.4619854884</v>
      </c>
      <c r="Y51" s="31">
        <v>1562768.4155045897</v>
      </c>
      <c r="Z51" s="31">
        <v>1363894.4590343568</v>
      </c>
      <c r="AA51" s="31">
        <f t="shared" si="5"/>
        <v>19971255.986894552</v>
      </c>
      <c r="AB51" s="31">
        <v>336894.21</v>
      </c>
      <c r="AD51" s="42" t="s">
        <v>491</v>
      </c>
      <c r="AE51" s="42" t="s">
        <v>492</v>
      </c>
      <c r="AF51" s="43" t="s">
        <v>1275</v>
      </c>
      <c r="AG51" s="44">
        <v>32</v>
      </c>
      <c r="AH51" s="31">
        <v>14092068.578343783</v>
      </c>
      <c r="AI51" s="31">
        <v>604510.24</v>
      </c>
      <c r="AJ51" s="31">
        <v>25090.839999999997</v>
      </c>
      <c r="AK51" s="31">
        <v>50288.469999999994</v>
      </c>
      <c r="AL51" s="31">
        <v>2256125.6028435384</v>
      </c>
      <c r="AM51" s="31">
        <v>1562218.3809354077</v>
      </c>
      <c r="AN51" s="31">
        <v>1390187.3428693728</v>
      </c>
      <c r="AO51" s="31">
        <f t="shared" si="6"/>
        <v>20323345.4749921</v>
      </c>
      <c r="AP51" s="31">
        <v>342856.02</v>
      </c>
      <c r="AR51" s="42" t="s">
        <v>491</v>
      </c>
      <c r="AS51" s="42" t="s">
        <v>492</v>
      </c>
      <c r="AT51" s="43" t="s">
        <v>1276</v>
      </c>
      <c r="AU51" s="44">
        <v>32</v>
      </c>
      <c r="AV51" s="31">
        <v>14351989.948940113</v>
      </c>
      <c r="AW51" s="31">
        <v>615509.30000000005</v>
      </c>
      <c r="AX51" s="31">
        <v>25551.25</v>
      </c>
      <c r="AY51" s="31">
        <v>51211.26</v>
      </c>
      <c r="AZ51" s="31">
        <v>2297795.6495364369</v>
      </c>
      <c r="BA51" s="31">
        <v>1562305.9108772252</v>
      </c>
      <c r="BB51" s="31">
        <v>1415884.2654520746</v>
      </c>
      <c r="BC51" s="31">
        <f t="shared" si="7"/>
        <v>20669488.724805851</v>
      </c>
      <c r="BD51" s="31">
        <v>349241.13999999996</v>
      </c>
    </row>
    <row r="52" spans="2:56">
      <c r="B52" s="42" t="s">
        <v>401</v>
      </c>
      <c r="C52" s="42" t="s">
        <v>402</v>
      </c>
      <c r="D52" s="43" t="s">
        <v>1049</v>
      </c>
      <c r="E52" s="44">
        <v>32</v>
      </c>
      <c r="F52" s="31">
        <v>4874307.9428666057</v>
      </c>
      <c r="G52" s="31">
        <v>236643.2699999999</v>
      </c>
      <c r="H52" s="31">
        <v>0</v>
      </c>
      <c r="I52" s="31">
        <v>15086.54</v>
      </c>
      <c r="J52" s="31">
        <v>658433.69628310541</v>
      </c>
      <c r="K52" s="31">
        <v>686676.3555047285</v>
      </c>
      <c r="L52" s="31">
        <v>482923.43812768772</v>
      </c>
      <c r="M52" s="31">
        <f t="shared" si="4"/>
        <v>7113342.1027821284</v>
      </c>
      <c r="N52" s="31">
        <v>159270.85999999999</v>
      </c>
      <c r="P52" s="42" t="s">
        <v>401</v>
      </c>
      <c r="Q52" s="42" t="s">
        <v>402</v>
      </c>
      <c r="R52" s="43" t="s">
        <v>1050</v>
      </c>
      <c r="S52" s="44">
        <v>32</v>
      </c>
      <c r="T52" s="31">
        <v>5107925.8473048462</v>
      </c>
      <c r="U52" s="31">
        <v>247481.72</v>
      </c>
      <c r="V52" s="31">
        <v>0</v>
      </c>
      <c r="W52" s="31">
        <v>15650.66</v>
      </c>
      <c r="X52" s="31">
        <v>680402.18880849145</v>
      </c>
      <c r="Y52" s="31">
        <v>687338.61104287358</v>
      </c>
      <c r="Z52" s="31">
        <v>504772.75014978449</v>
      </c>
      <c r="AA52" s="31">
        <f t="shared" si="5"/>
        <v>7406808.0473059956</v>
      </c>
      <c r="AB52" s="31">
        <v>163236.26999999999</v>
      </c>
      <c r="AD52" s="42" t="s">
        <v>401</v>
      </c>
      <c r="AE52" s="42" t="s">
        <v>402</v>
      </c>
      <c r="AF52" s="43" t="s">
        <v>1275</v>
      </c>
      <c r="AG52" s="44">
        <v>32</v>
      </c>
      <c r="AH52" s="31">
        <v>5206283.3715659706</v>
      </c>
      <c r="AI52" s="31">
        <v>252617.43000000002</v>
      </c>
      <c r="AJ52" s="31">
        <v>0</v>
      </c>
      <c r="AK52" s="31">
        <v>15957.32</v>
      </c>
      <c r="AL52" s="31">
        <v>693073.13314861595</v>
      </c>
      <c r="AM52" s="31">
        <v>687096.42776405904</v>
      </c>
      <c r="AN52" s="31">
        <v>514518.04795960634</v>
      </c>
      <c r="AO52" s="31">
        <f t="shared" si="6"/>
        <v>7535693.7504382515</v>
      </c>
      <c r="AP52" s="31">
        <v>166148.01999999999</v>
      </c>
      <c r="AR52" s="42" t="s">
        <v>401</v>
      </c>
      <c r="AS52" s="42" t="s">
        <v>402</v>
      </c>
      <c r="AT52" s="43" t="s">
        <v>1276</v>
      </c>
      <c r="AU52" s="44">
        <v>32</v>
      </c>
      <c r="AV52" s="31">
        <v>5302733.9848637059</v>
      </c>
      <c r="AW52" s="31">
        <v>257250.83000000002</v>
      </c>
      <c r="AX52" s="31">
        <v>0</v>
      </c>
      <c r="AY52" s="31">
        <v>16252.71</v>
      </c>
      <c r="AZ52" s="31">
        <v>705963.96589501284</v>
      </c>
      <c r="BA52" s="31">
        <v>687134.07818790898</v>
      </c>
      <c r="BB52" s="31">
        <v>524099.70356168557</v>
      </c>
      <c r="BC52" s="31">
        <f t="shared" si="7"/>
        <v>7662701.7725083139</v>
      </c>
      <c r="BD52" s="31">
        <v>169266.5</v>
      </c>
    </row>
    <row r="53" spans="2:56">
      <c r="B53" s="42" t="s">
        <v>411</v>
      </c>
      <c r="C53" s="42" t="s">
        <v>412</v>
      </c>
      <c r="D53" s="43" t="s">
        <v>1049</v>
      </c>
      <c r="E53" s="44">
        <v>32</v>
      </c>
      <c r="F53" s="31">
        <v>4389923.7713699294</v>
      </c>
      <c r="G53" s="31">
        <v>60542.880000000005</v>
      </c>
      <c r="H53" s="31">
        <v>50908.57</v>
      </c>
      <c r="I53" s="31">
        <v>14232.510000000002</v>
      </c>
      <c r="J53" s="31">
        <v>452357.01402670756</v>
      </c>
      <c r="K53" s="31">
        <v>216731.34885787385</v>
      </c>
      <c r="L53" s="31">
        <v>0</v>
      </c>
      <c r="M53" s="31">
        <f t="shared" si="4"/>
        <v>5184696.0942545114</v>
      </c>
      <c r="N53" s="31">
        <v>0</v>
      </c>
      <c r="P53" s="42" t="s">
        <v>411</v>
      </c>
      <c r="Q53" s="42" t="s">
        <v>412</v>
      </c>
      <c r="R53" s="43" t="s">
        <v>1050</v>
      </c>
      <c r="S53" s="44">
        <v>32</v>
      </c>
      <c r="T53" s="31">
        <v>4525410.5002928786</v>
      </c>
      <c r="U53" s="31">
        <v>62308.850000000013</v>
      </c>
      <c r="V53" s="31">
        <v>52393.540000000008</v>
      </c>
      <c r="W53" s="31">
        <v>14647.660000000002</v>
      </c>
      <c r="X53" s="31">
        <v>464301.12051590689</v>
      </c>
      <c r="Y53" s="31">
        <v>216930.00744162078</v>
      </c>
      <c r="Z53" s="31">
        <v>0</v>
      </c>
      <c r="AA53" s="31">
        <f t="shared" si="5"/>
        <v>5335991.6782504059</v>
      </c>
      <c r="AB53" s="31">
        <v>0</v>
      </c>
      <c r="AD53" s="42" t="s">
        <v>411</v>
      </c>
      <c r="AE53" s="42" t="s">
        <v>412</v>
      </c>
      <c r="AF53" s="43" t="s">
        <v>1275</v>
      </c>
      <c r="AG53" s="44">
        <v>32</v>
      </c>
      <c r="AH53" s="31">
        <v>4612692.1508784238</v>
      </c>
      <c r="AI53" s="31">
        <v>63529.859999999993</v>
      </c>
      <c r="AJ53" s="31">
        <v>53420.23</v>
      </c>
      <c r="AK53" s="31">
        <v>14934.689999999997</v>
      </c>
      <c r="AL53" s="31">
        <v>472944.49294073746</v>
      </c>
      <c r="AM53" s="31">
        <v>216858.44259308453</v>
      </c>
      <c r="AN53" s="31">
        <v>0</v>
      </c>
      <c r="AO53" s="31">
        <f t="shared" si="6"/>
        <v>5434379.8664122475</v>
      </c>
      <c r="AP53" s="31">
        <v>0</v>
      </c>
      <c r="AR53" s="42" t="s">
        <v>411</v>
      </c>
      <c r="AS53" s="42" t="s">
        <v>412</v>
      </c>
      <c r="AT53" s="43" t="s">
        <v>1276</v>
      </c>
      <c r="AU53" s="44">
        <v>32</v>
      </c>
      <c r="AV53" s="31">
        <v>4698295.2017511632</v>
      </c>
      <c r="AW53" s="31">
        <v>64707.08</v>
      </c>
      <c r="AX53" s="31">
        <v>54410.109999999993</v>
      </c>
      <c r="AY53" s="31">
        <v>15211.429999999998</v>
      </c>
      <c r="AZ53" s="31">
        <v>481734.74837712181</v>
      </c>
      <c r="BA53" s="31">
        <v>216869.62850705453</v>
      </c>
      <c r="BB53" s="31">
        <v>0</v>
      </c>
      <c r="BC53" s="31">
        <f t="shared" si="7"/>
        <v>5531228.1986353397</v>
      </c>
      <c r="BD53" s="31">
        <v>0</v>
      </c>
    </row>
    <row r="54" spans="2:56">
      <c r="B54" s="42" t="s">
        <v>157</v>
      </c>
      <c r="C54" s="42" t="s">
        <v>158</v>
      </c>
      <c r="D54" s="43" t="s">
        <v>1049</v>
      </c>
      <c r="E54" s="44">
        <v>32</v>
      </c>
      <c r="F54" s="31">
        <v>1527751.2586801329</v>
      </c>
      <c r="G54" s="31">
        <v>51352.32</v>
      </c>
      <c r="H54" s="31">
        <v>3215.6</v>
      </c>
      <c r="I54" s="31">
        <v>4579.8100000000004</v>
      </c>
      <c r="J54" s="31">
        <v>210533.79901758637</v>
      </c>
      <c r="K54" s="31">
        <v>56006.816169358382</v>
      </c>
      <c r="L54" s="31">
        <v>0</v>
      </c>
      <c r="M54" s="31">
        <f t="shared" si="4"/>
        <v>1853439.6038670777</v>
      </c>
      <c r="N54" s="31">
        <v>0</v>
      </c>
      <c r="P54" s="42" t="s">
        <v>157</v>
      </c>
      <c r="Q54" s="42" t="s">
        <v>158</v>
      </c>
      <c r="R54" s="43" t="s">
        <v>1050</v>
      </c>
      <c r="S54" s="44">
        <v>32</v>
      </c>
      <c r="T54" s="31">
        <v>1608670.085970555</v>
      </c>
      <c r="U54" s="31">
        <v>53324.3</v>
      </c>
      <c r="V54" s="31">
        <v>3339.09</v>
      </c>
      <c r="W54" s="31">
        <v>4755.67</v>
      </c>
      <c r="X54" s="31">
        <v>217625.70898063382</v>
      </c>
      <c r="Y54" s="31">
        <v>56050.774500258412</v>
      </c>
      <c r="Z54" s="31">
        <v>0</v>
      </c>
      <c r="AA54" s="31">
        <f t="shared" si="5"/>
        <v>1943765.6294514474</v>
      </c>
      <c r="AB54" s="31">
        <v>0</v>
      </c>
      <c r="AD54" s="42" t="s">
        <v>157</v>
      </c>
      <c r="AE54" s="42" t="s">
        <v>158</v>
      </c>
      <c r="AF54" s="43" t="s">
        <v>1275</v>
      </c>
      <c r="AG54" s="44">
        <v>32</v>
      </c>
      <c r="AH54" s="31">
        <v>1639720.2620796927</v>
      </c>
      <c r="AI54" s="31">
        <v>54367.410000000011</v>
      </c>
      <c r="AJ54" s="31">
        <v>3404.4199999999996</v>
      </c>
      <c r="AK54" s="31">
        <v>4848.7099999999991</v>
      </c>
      <c r="AL54" s="31">
        <v>221652.280440253</v>
      </c>
      <c r="AM54" s="31">
        <v>56035.840573255184</v>
      </c>
      <c r="AN54" s="31">
        <v>0</v>
      </c>
      <c r="AO54" s="31">
        <f t="shared" si="6"/>
        <v>1980028.9230932007</v>
      </c>
      <c r="AP54" s="31">
        <v>0</v>
      </c>
      <c r="AR54" s="42" t="s">
        <v>157</v>
      </c>
      <c r="AS54" s="42" t="s">
        <v>158</v>
      </c>
      <c r="AT54" s="43" t="s">
        <v>1276</v>
      </c>
      <c r="AU54" s="44">
        <v>32</v>
      </c>
      <c r="AV54" s="31">
        <v>1669880.5977288987</v>
      </c>
      <c r="AW54" s="31">
        <v>55360.200000000004</v>
      </c>
      <c r="AX54" s="31">
        <v>3466.5899999999992</v>
      </c>
      <c r="AY54" s="31">
        <v>4937.25</v>
      </c>
      <c r="AZ54" s="31">
        <v>225725.82906822098</v>
      </c>
      <c r="BA54" s="31">
        <v>56038.217088905185</v>
      </c>
      <c r="BB54" s="31">
        <v>0</v>
      </c>
      <c r="BC54" s="31">
        <f t="shared" si="7"/>
        <v>2015408.6838860249</v>
      </c>
      <c r="BD54" s="31">
        <v>0</v>
      </c>
    </row>
    <row r="55" spans="2:56">
      <c r="B55" s="42" t="s">
        <v>127</v>
      </c>
      <c r="C55" s="42" t="s">
        <v>128</v>
      </c>
      <c r="D55" s="43" t="s">
        <v>1049</v>
      </c>
      <c r="E55" s="44">
        <v>32</v>
      </c>
      <c r="F55" s="31">
        <v>2547115.7377046687</v>
      </c>
      <c r="G55" s="31">
        <v>55639.81</v>
      </c>
      <c r="H55" s="31">
        <v>0</v>
      </c>
      <c r="I55" s="31">
        <v>6138.8899999999994</v>
      </c>
      <c r="J55" s="31">
        <v>193612.51293849712</v>
      </c>
      <c r="K55" s="31">
        <v>300728.23419932398</v>
      </c>
      <c r="L55" s="31">
        <v>151861.39887626271</v>
      </c>
      <c r="M55" s="31">
        <f t="shared" si="4"/>
        <v>3255096.583718753</v>
      </c>
      <c r="N55" s="31">
        <v>0</v>
      </c>
      <c r="P55" s="42" t="s">
        <v>127</v>
      </c>
      <c r="Q55" s="42" t="s">
        <v>128</v>
      </c>
      <c r="R55" s="43" t="s">
        <v>1050</v>
      </c>
      <c r="S55" s="44">
        <v>32</v>
      </c>
      <c r="T55" s="31">
        <v>2643161.3535040114</v>
      </c>
      <c r="U55" s="31">
        <v>57776.44</v>
      </c>
      <c r="V55" s="31">
        <v>0</v>
      </c>
      <c r="W55" s="31">
        <v>6374.6399999999994</v>
      </c>
      <c r="X55" s="31">
        <v>200176.54903431277</v>
      </c>
      <c r="Y55" s="31">
        <v>300974.62679712835</v>
      </c>
      <c r="Z55" s="31">
        <v>157272.63530820922</v>
      </c>
      <c r="AA55" s="31">
        <f t="shared" si="5"/>
        <v>3365736.2446436621</v>
      </c>
      <c r="AB55" s="31">
        <v>0</v>
      </c>
      <c r="AD55" s="42" t="s">
        <v>127</v>
      </c>
      <c r="AE55" s="42" t="s">
        <v>128</v>
      </c>
      <c r="AF55" s="43" t="s">
        <v>1275</v>
      </c>
      <c r="AG55" s="44">
        <v>32</v>
      </c>
      <c r="AH55" s="31">
        <v>2693814.4169999426</v>
      </c>
      <c r="AI55" s="31">
        <v>58906.62</v>
      </c>
      <c r="AJ55" s="31">
        <v>0</v>
      </c>
      <c r="AK55" s="31">
        <v>6499.34</v>
      </c>
      <c r="AL55" s="31">
        <v>203884.60762301029</v>
      </c>
      <c r="AM55" s="31">
        <v>300890.92004588444</v>
      </c>
      <c r="AN55" s="31">
        <v>160301.63380160462</v>
      </c>
      <c r="AO55" s="31">
        <f t="shared" si="6"/>
        <v>3424297.5384704419</v>
      </c>
      <c r="AP55" s="31">
        <v>0</v>
      </c>
      <c r="AR55" s="42" t="s">
        <v>127</v>
      </c>
      <c r="AS55" s="42" t="s">
        <v>128</v>
      </c>
      <c r="AT55" s="43" t="s">
        <v>1276</v>
      </c>
      <c r="AU55" s="44">
        <v>32</v>
      </c>
      <c r="AV55" s="31">
        <v>2743024.6613747803</v>
      </c>
      <c r="AW55" s="31">
        <v>59982.3</v>
      </c>
      <c r="AX55" s="31">
        <v>0</v>
      </c>
      <c r="AY55" s="31">
        <v>6618.0300000000007</v>
      </c>
      <c r="AZ55" s="31">
        <v>207639.5109663211</v>
      </c>
      <c r="BA55" s="31">
        <v>300904.24074875779</v>
      </c>
      <c r="BB55" s="31">
        <v>163257.17475247104</v>
      </c>
      <c r="BC55" s="31">
        <f t="shared" si="7"/>
        <v>3481425.9178423299</v>
      </c>
      <c r="BD55" s="31">
        <v>0</v>
      </c>
    </row>
    <row r="56" spans="2:56">
      <c r="B56" s="42" t="s">
        <v>169</v>
      </c>
      <c r="C56" s="42" t="s">
        <v>170</v>
      </c>
      <c r="D56" s="43" t="s">
        <v>1049</v>
      </c>
      <c r="E56" s="44">
        <v>32</v>
      </c>
      <c r="F56" s="31">
        <v>9160496.5552699007</v>
      </c>
      <c r="G56" s="31">
        <v>234966.65999999997</v>
      </c>
      <c r="H56" s="31">
        <v>49150.63</v>
      </c>
      <c r="I56" s="31">
        <v>30913.730000000003</v>
      </c>
      <c r="J56" s="31">
        <v>1370074.2391633033</v>
      </c>
      <c r="K56" s="31">
        <v>465687.19539049524</v>
      </c>
      <c r="L56" s="31">
        <v>148342.20255037345</v>
      </c>
      <c r="M56" s="31">
        <f t="shared" si="4"/>
        <v>11476867.292374074</v>
      </c>
      <c r="N56" s="31">
        <v>17236.080000000002</v>
      </c>
      <c r="P56" s="42" t="s">
        <v>169</v>
      </c>
      <c r="Q56" s="42" t="s">
        <v>170</v>
      </c>
      <c r="R56" s="43" t="s">
        <v>1050</v>
      </c>
      <c r="S56" s="44">
        <v>32</v>
      </c>
      <c r="T56" s="31">
        <v>9503737.8094556388</v>
      </c>
      <c r="U56" s="31">
        <v>243891.86</v>
      </c>
      <c r="V56" s="31">
        <v>50973.950000000004</v>
      </c>
      <c r="W56" s="31">
        <v>32060.53</v>
      </c>
      <c r="X56" s="31">
        <v>1415671.8006399213</v>
      </c>
      <c r="Y56" s="31">
        <v>466046.40100416174</v>
      </c>
      <c r="Z56" s="31">
        <v>153515.9450573748</v>
      </c>
      <c r="AA56" s="31">
        <f t="shared" si="5"/>
        <v>11883565.086157095</v>
      </c>
      <c r="AB56" s="31">
        <v>17666.790000000005</v>
      </c>
      <c r="AD56" s="42" t="s">
        <v>169</v>
      </c>
      <c r="AE56" s="42" t="s">
        <v>170</v>
      </c>
      <c r="AF56" s="43" t="s">
        <v>1275</v>
      </c>
      <c r="AG56" s="44">
        <v>32</v>
      </c>
      <c r="AH56" s="31">
        <v>9686518.6317488551</v>
      </c>
      <c r="AI56" s="31">
        <v>248702.95000000007</v>
      </c>
      <c r="AJ56" s="31">
        <v>51973.19</v>
      </c>
      <c r="AK56" s="31">
        <v>32689.030000000002</v>
      </c>
      <c r="AL56" s="31">
        <v>1442075.9331481094</v>
      </c>
      <c r="AM56" s="31">
        <v>465915.04144840769</v>
      </c>
      <c r="AN56" s="31">
        <v>156481.12159173129</v>
      </c>
      <c r="AO56" s="31">
        <f t="shared" si="6"/>
        <v>12102338.947937101</v>
      </c>
      <c r="AP56" s="31">
        <v>17983.050000000003</v>
      </c>
      <c r="AR56" s="42" t="s">
        <v>169</v>
      </c>
      <c r="AS56" s="42" t="s">
        <v>170</v>
      </c>
      <c r="AT56" s="43" t="s">
        <v>1276</v>
      </c>
      <c r="AU56" s="44">
        <v>32</v>
      </c>
      <c r="AV56" s="31">
        <v>9866792.2946587484</v>
      </c>
      <c r="AW56" s="31">
        <v>253320.45999999996</v>
      </c>
      <c r="AX56" s="31">
        <v>52939.090000000004</v>
      </c>
      <c r="AY56" s="31">
        <v>33296.54</v>
      </c>
      <c r="AZ56" s="31">
        <v>1468971.9500878402</v>
      </c>
      <c r="BA56" s="31">
        <v>465935.46293652651</v>
      </c>
      <c r="BB56" s="31">
        <v>159402.25772902704</v>
      </c>
      <c r="BC56" s="31">
        <f t="shared" si="7"/>
        <v>12318979.825412139</v>
      </c>
      <c r="BD56" s="31">
        <v>18321.770000000004</v>
      </c>
    </row>
    <row r="57" spans="2:56">
      <c r="B57" s="42" t="s">
        <v>45</v>
      </c>
      <c r="C57" s="42" t="s">
        <v>46</v>
      </c>
      <c r="D57" s="43" t="s">
        <v>1049</v>
      </c>
      <c r="E57" s="44">
        <v>32</v>
      </c>
      <c r="F57" s="31">
        <v>3430031.1514204848</v>
      </c>
      <c r="G57" s="31">
        <v>114202.90000000002</v>
      </c>
      <c r="H57" s="31">
        <v>0</v>
      </c>
      <c r="I57" s="31">
        <v>8672.41</v>
      </c>
      <c r="J57" s="31">
        <v>277731.14619303163</v>
      </c>
      <c r="K57" s="31">
        <v>114891.53201593457</v>
      </c>
      <c r="L57" s="31">
        <v>33741.919104134184</v>
      </c>
      <c r="M57" s="31">
        <f t="shared" si="4"/>
        <v>4041049.7387335855</v>
      </c>
      <c r="N57" s="31">
        <v>61778.68</v>
      </c>
      <c r="P57" s="42" t="s">
        <v>45</v>
      </c>
      <c r="Q57" s="42" t="s">
        <v>46</v>
      </c>
      <c r="R57" s="43" t="s">
        <v>1050</v>
      </c>
      <c r="S57" s="44">
        <v>32</v>
      </c>
      <c r="T57" s="31">
        <v>3576796.8901337669</v>
      </c>
      <c r="U57" s="31">
        <v>119442.02999999997</v>
      </c>
      <c r="V57" s="31">
        <v>0</v>
      </c>
      <c r="W57" s="31">
        <v>9005.4399999999987</v>
      </c>
      <c r="X57" s="31">
        <v>287152.12591022789</v>
      </c>
      <c r="Y57" s="31">
        <v>114983.33716706123</v>
      </c>
      <c r="Z57" s="31">
        <v>35247.777563861557</v>
      </c>
      <c r="AA57" s="31">
        <f t="shared" si="5"/>
        <v>4205925.0307749175</v>
      </c>
      <c r="AB57" s="31">
        <v>63297.43</v>
      </c>
      <c r="AD57" s="42" t="s">
        <v>45</v>
      </c>
      <c r="AE57" s="42" t="s">
        <v>46</v>
      </c>
      <c r="AF57" s="43" t="s">
        <v>1275</v>
      </c>
      <c r="AG57" s="44">
        <v>32</v>
      </c>
      <c r="AH57" s="31">
        <v>3644862.8074256731</v>
      </c>
      <c r="AI57" s="31">
        <v>121901.42999999996</v>
      </c>
      <c r="AJ57" s="31">
        <v>0</v>
      </c>
      <c r="AK57" s="31">
        <v>9181.6</v>
      </c>
      <c r="AL57" s="31">
        <v>292473.63156531338</v>
      </c>
      <c r="AM57" s="31">
        <v>114952.148279827</v>
      </c>
      <c r="AN57" s="31">
        <v>35926.74675196359</v>
      </c>
      <c r="AO57" s="31">
        <f t="shared" si="6"/>
        <v>4283710.9840227775</v>
      </c>
      <c r="AP57" s="31">
        <v>64412.619999999995</v>
      </c>
      <c r="AR57" s="42" t="s">
        <v>45</v>
      </c>
      <c r="AS57" s="42" t="s">
        <v>46</v>
      </c>
      <c r="AT57" s="43" t="s">
        <v>1276</v>
      </c>
      <c r="AU57" s="44">
        <v>32</v>
      </c>
      <c r="AV57" s="31">
        <v>3711671.0321765374</v>
      </c>
      <c r="AW57" s="31">
        <v>124109.33999999998</v>
      </c>
      <c r="AX57" s="31">
        <v>0</v>
      </c>
      <c r="AY57" s="31">
        <v>9349.26</v>
      </c>
      <c r="AZ57" s="31">
        <v>297864.25413298729</v>
      </c>
      <c r="BA57" s="31">
        <v>114957.11153420759</v>
      </c>
      <c r="BB57" s="31">
        <v>36589.118468940862</v>
      </c>
      <c r="BC57" s="31">
        <f t="shared" si="7"/>
        <v>4360147.1063126735</v>
      </c>
      <c r="BD57" s="31">
        <v>65606.990000000005</v>
      </c>
    </row>
    <row r="58" spans="2:56">
      <c r="B58" s="42" t="s">
        <v>303</v>
      </c>
      <c r="C58" s="42" t="s">
        <v>304</v>
      </c>
      <c r="D58" s="43" t="s">
        <v>1049</v>
      </c>
      <c r="E58" s="44">
        <v>32</v>
      </c>
      <c r="F58" s="31">
        <v>1910430.6572916026</v>
      </c>
      <c r="G58" s="31">
        <v>27339.09</v>
      </c>
      <c r="H58" s="31">
        <v>0</v>
      </c>
      <c r="I58" s="31">
        <v>2522.06</v>
      </c>
      <c r="J58" s="31">
        <v>102795.59651943565</v>
      </c>
      <c r="K58" s="31">
        <v>528604.00680148334</v>
      </c>
      <c r="L58" s="31">
        <v>63683.5688976737</v>
      </c>
      <c r="M58" s="31">
        <f t="shared" si="4"/>
        <v>2647178.1795101957</v>
      </c>
      <c r="N58" s="31">
        <v>11803.2</v>
      </c>
      <c r="P58" s="42" t="s">
        <v>303</v>
      </c>
      <c r="Q58" s="42" t="s">
        <v>304</v>
      </c>
      <c r="R58" s="43" t="s">
        <v>1050</v>
      </c>
      <c r="S58" s="44">
        <v>32</v>
      </c>
      <c r="T58" s="31">
        <v>1980393.251441041</v>
      </c>
      <c r="U58" s="31">
        <v>28536.65</v>
      </c>
      <c r="V58" s="31">
        <v>0</v>
      </c>
      <c r="W58" s="31">
        <v>2618</v>
      </c>
      <c r="X58" s="31">
        <v>106270.49528755242</v>
      </c>
      <c r="Y58" s="31">
        <v>529165.20554805954</v>
      </c>
      <c r="Z58" s="31">
        <v>65942.198009823536</v>
      </c>
      <c r="AA58" s="31">
        <f t="shared" si="5"/>
        <v>2725020.4802864767</v>
      </c>
      <c r="AB58" s="31">
        <v>12094.68</v>
      </c>
      <c r="AD58" s="42" t="s">
        <v>303</v>
      </c>
      <c r="AE58" s="42" t="s">
        <v>304</v>
      </c>
      <c r="AF58" s="43" t="s">
        <v>1275</v>
      </c>
      <c r="AG58" s="44">
        <v>32</v>
      </c>
      <c r="AH58" s="31">
        <v>2018275.0446484601</v>
      </c>
      <c r="AI58" s="31">
        <v>29117.86</v>
      </c>
      <c r="AJ58" s="31">
        <v>0</v>
      </c>
      <c r="AK58" s="31">
        <v>2669.23</v>
      </c>
      <c r="AL58" s="31">
        <v>108242.24289966472</v>
      </c>
      <c r="AM58" s="31">
        <v>528974.54996710189</v>
      </c>
      <c r="AN58" s="31">
        <v>67212.968090153605</v>
      </c>
      <c r="AO58" s="31">
        <f t="shared" si="6"/>
        <v>2766800.6156053809</v>
      </c>
      <c r="AP58" s="31">
        <v>12308.72</v>
      </c>
      <c r="AR58" s="42" t="s">
        <v>303</v>
      </c>
      <c r="AS58" s="42" t="s">
        <v>304</v>
      </c>
      <c r="AT58" s="43" t="s">
        <v>1276</v>
      </c>
      <c r="AU58" s="44">
        <v>32</v>
      </c>
      <c r="AV58" s="31">
        <v>2055035.2430019653</v>
      </c>
      <c r="AW58" s="31">
        <v>29648.820000000007</v>
      </c>
      <c r="AX58" s="31">
        <v>0</v>
      </c>
      <c r="AY58" s="31">
        <v>2718.21</v>
      </c>
      <c r="AZ58" s="31">
        <v>110241.59379981935</v>
      </c>
      <c r="BA58" s="31">
        <v>529004.89000906178</v>
      </c>
      <c r="BB58" s="31">
        <v>68455.520019907097</v>
      </c>
      <c r="BC58" s="31">
        <f t="shared" si="7"/>
        <v>2807642.2168307537</v>
      </c>
      <c r="BD58" s="31">
        <v>12537.94</v>
      </c>
    </row>
    <row r="59" spans="2:56">
      <c r="B59" s="42" t="s">
        <v>103</v>
      </c>
      <c r="C59" s="42" t="s">
        <v>104</v>
      </c>
      <c r="D59" s="43" t="s">
        <v>1049</v>
      </c>
      <c r="E59" s="44">
        <v>32</v>
      </c>
      <c r="F59" s="31">
        <v>2857128.154405233</v>
      </c>
      <c r="G59" s="31">
        <v>83126.900000000009</v>
      </c>
      <c r="H59" s="31">
        <v>0</v>
      </c>
      <c r="I59" s="31">
        <v>0</v>
      </c>
      <c r="J59" s="31">
        <v>240388.16719346348</v>
      </c>
      <c r="K59" s="31">
        <v>129473.50271876868</v>
      </c>
      <c r="L59" s="31">
        <v>73862.921473186085</v>
      </c>
      <c r="M59" s="31">
        <f t="shared" si="4"/>
        <v>3456211.2857906511</v>
      </c>
      <c r="N59" s="31">
        <v>72231.64</v>
      </c>
      <c r="P59" s="42" t="s">
        <v>103</v>
      </c>
      <c r="Q59" s="42" t="s">
        <v>104</v>
      </c>
      <c r="R59" s="43" t="s">
        <v>1050</v>
      </c>
      <c r="S59" s="44">
        <v>32</v>
      </c>
      <c r="T59" s="31">
        <v>2980190.1298413794</v>
      </c>
      <c r="U59" s="31">
        <v>87253.209999999992</v>
      </c>
      <c r="V59" s="31">
        <v>0</v>
      </c>
      <c r="W59" s="31">
        <v>0</v>
      </c>
      <c r="X59" s="31">
        <v>248513.2785626206</v>
      </c>
      <c r="Y59" s="31">
        <v>129555.09373389764</v>
      </c>
      <c r="Z59" s="31">
        <v>77215.807063156273</v>
      </c>
      <c r="AA59" s="31">
        <f t="shared" si="5"/>
        <v>3596742.9492010539</v>
      </c>
      <c r="AB59" s="31">
        <v>74015.429999999993</v>
      </c>
      <c r="AD59" s="42" t="s">
        <v>103</v>
      </c>
      <c r="AE59" s="42" t="s">
        <v>104</v>
      </c>
      <c r="AF59" s="43" t="s">
        <v>1275</v>
      </c>
      <c r="AG59" s="44">
        <v>32</v>
      </c>
      <c r="AH59" s="31">
        <v>3037030.0117356642</v>
      </c>
      <c r="AI59" s="31">
        <v>89099.880000000034</v>
      </c>
      <c r="AJ59" s="31">
        <v>0</v>
      </c>
      <c r="AK59" s="31">
        <v>0</v>
      </c>
      <c r="AL59" s="31">
        <v>253125.39876905468</v>
      </c>
      <c r="AM59" s="31">
        <v>129527.37488654589</v>
      </c>
      <c r="AN59" s="31">
        <v>78704.113110940991</v>
      </c>
      <c r="AO59" s="31">
        <f t="shared" si="6"/>
        <v>3662812.0185022056</v>
      </c>
      <c r="AP59" s="31">
        <v>75325.239999999991</v>
      </c>
      <c r="AR59" s="42" t="s">
        <v>103</v>
      </c>
      <c r="AS59" s="42" t="s">
        <v>104</v>
      </c>
      <c r="AT59" s="43" t="s">
        <v>1276</v>
      </c>
      <c r="AU59" s="44">
        <v>32</v>
      </c>
      <c r="AV59" s="31">
        <v>3092771.4948370499</v>
      </c>
      <c r="AW59" s="31">
        <v>90714.280000000028</v>
      </c>
      <c r="AX59" s="31">
        <v>0</v>
      </c>
      <c r="AY59" s="31">
        <v>0</v>
      </c>
      <c r="AZ59" s="31">
        <v>257803.05094590571</v>
      </c>
      <c r="BA59" s="31">
        <v>129531.78593492701</v>
      </c>
      <c r="BB59" s="31">
        <v>80159.037014998408</v>
      </c>
      <c r="BC59" s="31">
        <f t="shared" si="7"/>
        <v>3727707.6887328806</v>
      </c>
      <c r="BD59" s="31">
        <v>76728.039999999979</v>
      </c>
    </row>
    <row r="60" spans="2:56">
      <c r="B60" s="42" t="s">
        <v>357</v>
      </c>
      <c r="C60" s="42" t="s">
        <v>358</v>
      </c>
      <c r="D60" s="43" t="s">
        <v>1049</v>
      </c>
      <c r="E60" s="44">
        <v>32</v>
      </c>
      <c r="F60" s="31">
        <v>3409704.4477415001</v>
      </c>
      <c r="G60" s="31">
        <v>138563.56000000006</v>
      </c>
      <c r="H60" s="31">
        <v>0</v>
      </c>
      <c r="I60" s="31">
        <v>9062.18</v>
      </c>
      <c r="J60" s="31">
        <v>391045.89287423418</v>
      </c>
      <c r="K60" s="31">
        <v>215612.36805868376</v>
      </c>
      <c r="L60" s="31">
        <v>107979.30060007858</v>
      </c>
      <c r="M60" s="31">
        <f t="shared" si="4"/>
        <v>4336864.6092744973</v>
      </c>
      <c r="N60" s="31">
        <v>64896.86</v>
      </c>
      <c r="P60" s="42" t="s">
        <v>357</v>
      </c>
      <c r="Q60" s="42" t="s">
        <v>358</v>
      </c>
      <c r="R60" s="43" t="s">
        <v>1050</v>
      </c>
      <c r="S60" s="44">
        <v>32</v>
      </c>
      <c r="T60" s="31">
        <v>3555083.3539249701</v>
      </c>
      <c r="U60" s="31">
        <v>144781.22999999998</v>
      </c>
      <c r="V60" s="31">
        <v>0</v>
      </c>
      <c r="W60" s="31">
        <v>9410.17</v>
      </c>
      <c r="X60" s="31">
        <v>404304.8910486169</v>
      </c>
      <c r="Y60" s="31">
        <v>215780.61450210717</v>
      </c>
      <c r="Z60" s="31">
        <v>112838.44074121461</v>
      </c>
      <c r="AA60" s="31">
        <f t="shared" si="5"/>
        <v>4508690.9702169085</v>
      </c>
      <c r="AB60" s="31">
        <v>66492.27</v>
      </c>
      <c r="AD60" s="42" t="s">
        <v>357</v>
      </c>
      <c r="AE60" s="42" t="s">
        <v>358</v>
      </c>
      <c r="AF60" s="43" t="s">
        <v>1275</v>
      </c>
      <c r="AG60" s="44">
        <v>32</v>
      </c>
      <c r="AH60" s="31">
        <v>3622685.8576242565</v>
      </c>
      <c r="AI60" s="31">
        <v>147742.54</v>
      </c>
      <c r="AJ60" s="31">
        <v>0</v>
      </c>
      <c r="AK60" s="31">
        <v>9594.26</v>
      </c>
      <c r="AL60" s="31">
        <v>411797.76111273671</v>
      </c>
      <c r="AM60" s="31">
        <v>215723.45627855332</v>
      </c>
      <c r="AN60" s="31">
        <v>115012.0281651429</v>
      </c>
      <c r="AO60" s="31">
        <f t="shared" si="6"/>
        <v>4590219.6531806896</v>
      </c>
      <c r="AP60" s="31">
        <v>67663.75</v>
      </c>
      <c r="AR60" s="42" t="s">
        <v>357</v>
      </c>
      <c r="AS60" s="42" t="s">
        <v>358</v>
      </c>
      <c r="AT60" s="43" t="s">
        <v>1276</v>
      </c>
      <c r="AU60" s="44">
        <v>32</v>
      </c>
      <c r="AV60" s="31">
        <v>3689135.2058258941</v>
      </c>
      <c r="AW60" s="31">
        <v>150421.42000000001</v>
      </c>
      <c r="AX60" s="31">
        <v>0</v>
      </c>
      <c r="AY60" s="31">
        <v>9769.4700000000012</v>
      </c>
      <c r="AZ60" s="31">
        <v>419388.17556678999</v>
      </c>
      <c r="BA60" s="31">
        <v>215732.55217227052</v>
      </c>
      <c r="BB60" s="31">
        <v>117132.51930449008</v>
      </c>
      <c r="BC60" s="31">
        <f t="shared" si="7"/>
        <v>4670497.7428694451</v>
      </c>
      <c r="BD60" s="31">
        <v>68918.399999999994</v>
      </c>
    </row>
    <row r="61" spans="2:56">
      <c r="B61" s="42" t="s">
        <v>239</v>
      </c>
      <c r="C61" s="42" t="s">
        <v>240</v>
      </c>
      <c r="D61" s="43" t="s">
        <v>1049</v>
      </c>
      <c r="E61" s="44">
        <v>32</v>
      </c>
      <c r="F61" s="31">
        <v>425635.18949655013</v>
      </c>
      <c r="G61" s="31">
        <v>0</v>
      </c>
      <c r="H61" s="31">
        <v>0</v>
      </c>
      <c r="I61" s="31">
        <v>0</v>
      </c>
      <c r="J61" s="31">
        <v>51164.771231945269</v>
      </c>
      <c r="K61" s="31">
        <v>0</v>
      </c>
      <c r="L61" s="31">
        <v>0</v>
      </c>
      <c r="M61" s="31">
        <f t="shared" si="4"/>
        <v>476799.96072849538</v>
      </c>
      <c r="N61" s="31">
        <v>0</v>
      </c>
      <c r="P61" s="42" t="s">
        <v>239</v>
      </c>
      <c r="Q61" s="42" t="s">
        <v>240</v>
      </c>
      <c r="R61" s="43" t="s">
        <v>1050</v>
      </c>
      <c r="S61" s="44">
        <v>32</v>
      </c>
      <c r="T61" s="31">
        <v>441966.69967525988</v>
      </c>
      <c r="U61" s="31">
        <v>0</v>
      </c>
      <c r="V61" s="31">
        <v>0</v>
      </c>
      <c r="W61" s="31">
        <v>0</v>
      </c>
      <c r="X61" s="31">
        <v>52888.944051886268</v>
      </c>
      <c r="Y61" s="31">
        <v>0</v>
      </c>
      <c r="Z61" s="31">
        <v>0</v>
      </c>
      <c r="AA61" s="31">
        <f t="shared" si="5"/>
        <v>494855.64372714615</v>
      </c>
      <c r="AB61" s="31">
        <v>0</v>
      </c>
      <c r="AD61" s="42" t="s">
        <v>239</v>
      </c>
      <c r="AE61" s="42" t="s">
        <v>240</v>
      </c>
      <c r="AF61" s="43" t="s">
        <v>1275</v>
      </c>
      <c r="AG61" s="44">
        <v>32</v>
      </c>
      <c r="AH61" s="31">
        <v>450465.55260667019</v>
      </c>
      <c r="AI61" s="31">
        <v>0</v>
      </c>
      <c r="AJ61" s="31">
        <v>0</v>
      </c>
      <c r="AK61" s="31">
        <v>0</v>
      </c>
      <c r="AL61" s="31">
        <v>53867.534538157517</v>
      </c>
      <c r="AM61" s="31">
        <v>0</v>
      </c>
      <c r="AN61" s="31">
        <v>0</v>
      </c>
      <c r="AO61" s="31">
        <f t="shared" si="6"/>
        <v>504333.0871448277</v>
      </c>
      <c r="AP61" s="31">
        <v>0</v>
      </c>
      <c r="AR61" s="42" t="s">
        <v>239</v>
      </c>
      <c r="AS61" s="42" t="s">
        <v>240</v>
      </c>
      <c r="AT61" s="43" t="s">
        <v>1276</v>
      </c>
      <c r="AU61" s="44">
        <v>32</v>
      </c>
      <c r="AV61" s="31">
        <v>458722.37269163062</v>
      </c>
      <c r="AW61" s="31">
        <v>0</v>
      </c>
      <c r="AX61" s="31">
        <v>0</v>
      </c>
      <c r="AY61" s="31">
        <v>0</v>
      </c>
      <c r="AZ61" s="31">
        <v>54857.562991681749</v>
      </c>
      <c r="BA61" s="31">
        <v>0</v>
      </c>
      <c r="BB61" s="31">
        <v>0</v>
      </c>
      <c r="BC61" s="31">
        <f t="shared" si="7"/>
        <v>513579.93568331236</v>
      </c>
      <c r="BD61" s="31">
        <v>0</v>
      </c>
    </row>
    <row r="62" spans="2:56">
      <c r="B62" s="42" t="s">
        <v>445</v>
      </c>
      <c r="C62" s="42" t="s">
        <v>446</v>
      </c>
      <c r="D62" s="43" t="s">
        <v>1049</v>
      </c>
      <c r="E62" s="44">
        <v>32</v>
      </c>
      <c r="F62" s="31">
        <v>4365284.2314913711</v>
      </c>
      <c r="G62" s="31">
        <v>132115.07</v>
      </c>
      <c r="H62" s="31">
        <v>7435.51</v>
      </c>
      <c r="I62" s="31">
        <v>12500.279999999999</v>
      </c>
      <c r="J62" s="31">
        <v>573153.62381470762</v>
      </c>
      <c r="K62" s="31">
        <v>289016.93840799463</v>
      </c>
      <c r="L62" s="31">
        <v>233923.43747625902</v>
      </c>
      <c r="M62" s="31">
        <f t="shared" si="4"/>
        <v>5703194.0511903325</v>
      </c>
      <c r="N62" s="31">
        <v>89764.959999999992</v>
      </c>
      <c r="P62" s="42" t="s">
        <v>445</v>
      </c>
      <c r="Q62" s="42" t="s">
        <v>446</v>
      </c>
      <c r="R62" s="43" t="s">
        <v>1050</v>
      </c>
      <c r="S62" s="44">
        <v>32</v>
      </c>
      <c r="T62" s="31">
        <v>4528235.6765022511</v>
      </c>
      <c r="U62" s="31">
        <v>138176.6</v>
      </c>
      <c r="V62" s="31">
        <v>7713.5300000000007</v>
      </c>
      <c r="W62" s="31">
        <v>12967.689999999999</v>
      </c>
      <c r="X62" s="31">
        <v>592262.36378033995</v>
      </c>
      <c r="Y62" s="31">
        <v>289286.73837789043</v>
      </c>
      <c r="Z62" s="31">
        <v>242114.759695057</v>
      </c>
      <c r="AA62" s="31">
        <f t="shared" si="5"/>
        <v>5902757.228355539</v>
      </c>
      <c r="AB62" s="31">
        <v>91999.87</v>
      </c>
      <c r="AD62" s="42" t="s">
        <v>445</v>
      </c>
      <c r="AE62" s="42" t="s">
        <v>446</v>
      </c>
      <c r="AF62" s="43" t="s">
        <v>1275</v>
      </c>
      <c r="AG62" s="44">
        <v>32</v>
      </c>
      <c r="AH62" s="31">
        <v>4615400.5722412476</v>
      </c>
      <c r="AI62" s="31">
        <v>141045.54000000004</v>
      </c>
      <c r="AJ62" s="31">
        <v>7864.6900000000005</v>
      </c>
      <c r="AK62" s="31">
        <v>13221.76</v>
      </c>
      <c r="AL62" s="31">
        <v>603292.13685878331</v>
      </c>
      <c r="AM62" s="31">
        <v>289188.07398390671</v>
      </c>
      <c r="AN62" s="31">
        <v>246788.51815687303</v>
      </c>
      <c r="AO62" s="31">
        <f t="shared" si="6"/>
        <v>6010442.221240811</v>
      </c>
      <c r="AP62" s="31">
        <v>93640.93</v>
      </c>
      <c r="AR62" s="42" t="s">
        <v>445</v>
      </c>
      <c r="AS62" s="42" t="s">
        <v>446</v>
      </c>
      <c r="AT62" s="43" t="s">
        <v>1276</v>
      </c>
      <c r="AU62" s="44">
        <v>32</v>
      </c>
      <c r="AV62" s="31">
        <v>4700870.1686136881</v>
      </c>
      <c r="AW62" s="31">
        <v>143632.31000000003</v>
      </c>
      <c r="AX62" s="31">
        <v>8010.2800000000007</v>
      </c>
      <c r="AY62" s="31">
        <v>13466.51</v>
      </c>
      <c r="AZ62" s="31">
        <v>614513.46605303639</v>
      </c>
      <c r="BA62" s="31">
        <v>289203.41259964672</v>
      </c>
      <c r="BB62" s="31">
        <v>251384.69904267797</v>
      </c>
      <c r="BC62" s="31">
        <f t="shared" si="7"/>
        <v>6116479.3563090479</v>
      </c>
      <c r="BD62" s="31">
        <v>95398.50999999998</v>
      </c>
    </row>
    <row r="63" spans="2:56">
      <c r="B63" s="42" t="s">
        <v>311</v>
      </c>
      <c r="C63" s="42" t="s">
        <v>312</v>
      </c>
      <c r="D63" s="43" t="s">
        <v>1049</v>
      </c>
      <c r="E63" s="44">
        <v>32</v>
      </c>
      <c r="F63" s="31">
        <v>4713969.5300585181</v>
      </c>
      <c r="G63" s="31">
        <v>195859.87999999998</v>
      </c>
      <c r="H63" s="31">
        <v>0</v>
      </c>
      <c r="I63" s="31">
        <v>0</v>
      </c>
      <c r="J63" s="31">
        <v>687046.57864156016</v>
      </c>
      <c r="K63" s="31">
        <v>375179.09913079883</v>
      </c>
      <c r="L63" s="31">
        <v>776157.51099964837</v>
      </c>
      <c r="M63" s="31">
        <f t="shared" si="4"/>
        <v>6819638.1288305251</v>
      </c>
      <c r="N63" s="31">
        <v>71425.53</v>
      </c>
      <c r="P63" s="42" t="s">
        <v>311</v>
      </c>
      <c r="Q63" s="42" t="s">
        <v>312</v>
      </c>
      <c r="R63" s="43" t="s">
        <v>1050</v>
      </c>
      <c r="S63" s="44">
        <v>32</v>
      </c>
      <c r="T63" s="31">
        <v>4941304.0386605412</v>
      </c>
      <c r="U63" s="31">
        <v>204368.02000000002</v>
      </c>
      <c r="V63" s="31">
        <v>0</v>
      </c>
      <c r="W63" s="31">
        <v>0</v>
      </c>
      <c r="X63" s="31">
        <v>710300.62278908549</v>
      </c>
      <c r="Y63" s="31">
        <v>375649.89692607772</v>
      </c>
      <c r="Z63" s="31">
        <v>811480.5679192259</v>
      </c>
      <c r="AA63" s="31">
        <f t="shared" si="5"/>
        <v>7116284.5762949307</v>
      </c>
      <c r="AB63" s="31">
        <v>73181.429999999993</v>
      </c>
      <c r="AD63" s="42" t="s">
        <v>311</v>
      </c>
      <c r="AE63" s="42" t="s">
        <v>312</v>
      </c>
      <c r="AF63" s="43" t="s">
        <v>1275</v>
      </c>
      <c r="AG63" s="44">
        <v>32</v>
      </c>
      <c r="AH63" s="31">
        <v>5036178.078680261</v>
      </c>
      <c r="AI63" s="31">
        <v>208507.91</v>
      </c>
      <c r="AJ63" s="31">
        <v>0</v>
      </c>
      <c r="AK63" s="31">
        <v>0</v>
      </c>
      <c r="AL63" s="31">
        <v>723455.94567362836</v>
      </c>
      <c r="AM63" s="31">
        <v>375489.95318472042</v>
      </c>
      <c r="AN63" s="31">
        <v>827111.52817331185</v>
      </c>
      <c r="AO63" s="31">
        <f t="shared" si="6"/>
        <v>7245214.1757119214</v>
      </c>
      <c r="AP63" s="31">
        <v>74470.75999999998</v>
      </c>
      <c r="AR63" s="42" t="s">
        <v>311</v>
      </c>
      <c r="AS63" s="42" t="s">
        <v>312</v>
      </c>
      <c r="AT63" s="43" t="s">
        <v>1276</v>
      </c>
      <c r="AU63" s="44">
        <v>32</v>
      </c>
      <c r="AV63" s="31">
        <v>5128601.5300540589</v>
      </c>
      <c r="AW63" s="31">
        <v>212294.48</v>
      </c>
      <c r="AX63" s="31">
        <v>0</v>
      </c>
      <c r="AY63" s="31">
        <v>0</v>
      </c>
      <c r="AZ63" s="31">
        <v>736775.58179653739</v>
      </c>
      <c r="BA63" s="31">
        <v>375515.40588744043</v>
      </c>
      <c r="BB63" s="31">
        <v>842359.33466843795</v>
      </c>
      <c r="BC63" s="31">
        <f t="shared" si="7"/>
        <v>7371397.9724064749</v>
      </c>
      <c r="BD63" s="31">
        <v>75851.639999999985</v>
      </c>
    </row>
    <row r="64" spans="2:56">
      <c r="B64" s="42" t="s">
        <v>73</v>
      </c>
      <c r="C64" s="42" t="s">
        <v>74</v>
      </c>
      <c r="D64" s="43" t="s">
        <v>1049</v>
      </c>
      <c r="E64" s="44">
        <v>32</v>
      </c>
      <c r="F64" s="31">
        <v>3482093.3089041272</v>
      </c>
      <c r="G64" s="31">
        <v>118295.46</v>
      </c>
      <c r="H64" s="31">
        <v>2923.29</v>
      </c>
      <c r="I64" s="31">
        <v>10036.619999999999</v>
      </c>
      <c r="J64" s="31">
        <v>451705.33406930225</v>
      </c>
      <c r="K64" s="31">
        <v>248758.78826502379</v>
      </c>
      <c r="L64" s="31">
        <v>409172.82958479715</v>
      </c>
      <c r="M64" s="31">
        <f t="shared" si="4"/>
        <v>4826762.1508232495</v>
      </c>
      <c r="N64" s="31">
        <v>103776.52</v>
      </c>
      <c r="P64" s="42" t="s">
        <v>73</v>
      </c>
      <c r="Q64" s="42" t="s">
        <v>74</v>
      </c>
      <c r="R64" s="43" t="s">
        <v>1050</v>
      </c>
      <c r="S64" s="44">
        <v>32</v>
      </c>
      <c r="T64" s="31">
        <v>3645992.7981306626</v>
      </c>
      <c r="U64" s="31">
        <v>124272.04999999997</v>
      </c>
      <c r="V64" s="31">
        <v>3035.55</v>
      </c>
      <c r="W64" s="31">
        <v>10422.02</v>
      </c>
      <c r="X64" s="31">
        <v>466995.16896837612</v>
      </c>
      <c r="Y64" s="31">
        <v>248997.42175740181</v>
      </c>
      <c r="Z64" s="31">
        <v>427676.00889877597</v>
      </c>
      <c r="AA64" s="31">
        <f t="shared" si="5"/>
        <v>5033718.7377552157</v>
      </c>
      <c r="AB64" s="31">
        <v>106327.72000000002</v>
      </c>
      <c r="AD64" s="42" t="s">
        <v>73</v>
      </c>
      <c r="AE64" s="42" t="s">
        <v>74</v>
      </c>
      <c r="AF64" s="43" t="s">
        <v>1275</v>
      </c>
      <c r="AG64" s="44">
        <v>32</v>
      </c>
      <c r="AH64" s="31">
        <v>3716006.900202977</v>
      </c>
      <c r="AI64" s="31">
        <v>126909.57000000002</v>
      </c>
      <c r="AJ64" s="31">
        <v>3094.92</v>
      </c>
      <c r="AK64" s="31">
        <v>10625.88</v>
      </c>
      <c r="AL64" s="31">
        <v>475643.54637207853</v>
      </c>
      <c r="AM64" s="31">
        <v>248916.35100055701</v>
      </c>
      <c r="AN64" s="31">
        <v>435913.95875353384</v>
      </c>
      <c r="AO64" s="31">
        <f t="shared" si="6"/>
        <v>5125312.1563291457</v>
      </c>
      <c r="AP64" s="31">
        <v>108201.03000000001</v>
      </c>
      <c r="AR64" s="42" t="s">
        <v>73</v>
      </c>
      <c r="AS64" s="42" t="s">
        <v>74</v>
      </c>
      <c r="AT64" s="43" t="s">
        <v>1276</v>
      </c>
      <c r="AU64" s="44">
        <v>32</v>
      </c>
      <c r="AV64" s="31">
        <v>3784069.3658389547</v>
      </c>
      <c r="AW64" s="31">
        <v>129196.59000000001</v>
      </c>
      <c r="AX64" s="31">
        <v>3151.4399999999996</v>
      </c>
      <c r="AY64" s="31">
        <v>10819.92</v>
      </c>
      <c r="AZ64" s="31">
        <v>484399.3474296265</v>
      </c>
      <c r="BA64" s="31">
        <v>248929.25222354798</v>
      </c>
      <c r="BB64" s="31">
        <v>443950.41650421952</v>
      </c>
      <c r="BC64" s="31">
        <f t="shared" si="7"/>
        <v>5214723.6919963481</v>
      </c>
      <c r="BD64" s="31">
        <v>110207.36</v>
      </c>
    </row>
    <row r="65" spans="2:56">
      <c r="B65" s="42" t="s">
        <v>475</v>
      </c>
      <c r="C65" s="42" t="s">
        <v>476</v>
      </c>
      <c r="D65" s="43" t="s">
        <v>1049</v>
      </c>
      <c r="E65" s="44">
        <v>32</v>
      </c>
      <c r="F65" s="31">
        <v>20880251.649480652</v>
      </c>
      <c r="G65" s="31">
        <v>759371.20000000007</v>
      </c>
      <c r="H65" s="31">
        <v>37320.590000000004</v>
      </c>
      <c r="I65" s="31">
        <v>70548.53</v>
      </c>
      <c r="J65" s="31">
        <v>2642414.0780187803</v>
      </c>
      <c r="K65" s="31">
        <v>1410156.1344572301</v>
      </c>
      <c r="L65" s="31">
        <v>986219.41939784714</v>
      </c>
      <c r="M65" s="31">
        <f t="shared" si="4"/>
        <v>27166698.021354511</v>
      </c>
      <c r="N65" s="31">
        <v>380416.42000000004</v>
      </c>
      <c r="P65" s="42" t="s">
        <v>475</v>
      </c>
      <c r="Q65" s="42" t="s">
        <v>476</v>
      </c>
      <c r="R65" s="43" t="s">
        <v>1050</v>
      </c>
      <c r="S65" s="44">
        <v>32</v>
      </c>
      <c r="T65" s="31">
        <v>21674500.621146023</v>
      </c>
      <c r="U65" s="31">
        <v>793788.16999999981</v>
      </c>
      <c r="V65" s="31">
        <v>38753.72</v>
      </c>
      <c r="W65" s="31">
        <v>73257.66</v>
      </c>
      <c r="X65" s="31">
        <v>2731997.8764320128</v>
      </c>
      <c r="Y65" s="31">
        <v>1411346.9354479986</v>
      </c>
      <c r="Z65" s="31">
        <v>1021359.5663604982</v>
      </c>
      <c r="AA65" s="31">
        <f t="shared" si="5"/>
        <v>28134772.99938653</v>
      </c>
      <c r="AB65" s="31">
        <v>389768.45000000007</v>
      </c>
      <c r="AD65" s="42" t="s">
        <v>475</v>
      </c>
      <c r="AE65" s="42" t="s">
        <v>476</v>
      </c>
      <c r="AF65" s="43" t="s">
        <v>1275</v>
      </c>
      <c r="AG65" s="44">
        <v>32</v>
      </c>
      <c r="AH65" s="31">
        <v>22087447.181005742</v>
      </c>
      <c r="AI65" s="31">
        <v>810072.99</v>
      </c>
      <c r="AJ65" s="31">
        <v>39511.780000000006</v>
      </c>
      <c r="AK65" s="31">
        <v>74690.69</v>
      </c>
      <c r="AL65" s="31">
        <v>2782617.3588618753</v>
      </c>
      <c r="AM65" s="31">
        <v>1410942.3856230299</v>
      </c>
      <c r="AN65" s="31">
        <v>1041030.5028733569</v>
      </c>
      <c r="AO65" s="31">
        <f t="shared" si="6"/>
        <v>28642948.398364007</v>
      </c>
      <c r="AP65" s="31">
        <v>396635.51</v>
      </c>
      <c r="AR65" s="42" t="s">
        <v>475</v>
      </c>
      <c r="AS65" s="42" t="s">
        <v>476</v>
      </c>
      <c r="AT65" s="43" t="s">
        <v>1276</v>
      </c>
      <c r="AU65" s="44">
        <v>32</v>
      </c>
      <c r="AV65" s="31">
        <v>22494334.329023927</v>
      </c>
      <c r="AW65" s="31">
        <v>824753.99000000011</v>
      </c>
      <c r="AX65" s="31">
        <v>40233.310000000005</v>
      </c>
      <c r="AY65" s="31">
        <v>76054.62</v>
      </c>
      <c r="AZ65" s="31">
        <v>2833886.1659516478</v>
      </c>
      <c r="BA65" s="31">
        <v>1411006.7637996499</v>
      </c>
      <c r="BB65" s="31">
        <v>1060224.7370827484</v>
      </c>
      <c r="BC65" s="31">
        <f t="shared" si="7"/>
        <v>29144484.035857972</v>
      </c>
      <c r="BD65" s="31">
        <v>403990.12</v>
      </c>
    </row>
    <row r="66" spans="2:56">
      <c r="B66" s="42" t="s">
        <v>373</v>
      </c>
      <c r="C66" s="42" t="s">
        <v>374</v>
      </c>
      <c r="D66" s="43" t="s">
        <v>1049</v>
      </c>
      <c r="E66" s="44">
        <v>32</v>
      </c>
      <c r="F66" s="31">
        <v>13003491.973829165</v>
      </c>
      <c r="G66" s="31">
        <v>168802.37</v>
      </c>
      <c r="H66" s="31">
        <v>121653.35</v>
      </c>
      <c r="I66" s="31">
        <v>43701.8</v>
      </c>
      <c r="J66" s="31">
        <v>1732082.9783211304</v>
      </c>
      <c r="K66" s="31">
        <v>1086389.496340974</v>
      </c>
      <c r="L66" s="31">
        <v>292066.31945842132</v>
      </c>
      <c r="M66" s="31">
        <f t="shared" si="4"/>
        <v>16448188.287949691</v>
      </c>
      <c r="N66" s="31">
        <v>0</v>
      </c>
      <c r="P66" s="42" t="s">
        <v>373</v>
      </c>
      <c r="Q66" s="42" t="s">
        <v>374</v>
      </c>
      <c r="R66" s="43" t="s">
        <v>1050</v>
      </c>
      <c r="S66" s="44">
        <v>32</v>
      </c>
      <c r="T66" s="31">
        <v>13492981.386298507</v>
      </c>
      <c r="U66" s="31">
        <v>175064.38000000003</v>
      </c>
      <c r="V66" s="31">
        <v>126166.3</v>
      </c>
      <c r="W66" s="31">
        <v>45323</v>
      </c>
      <c r="X66" s="31">
        <v>1789692.3148420979</v>
      </c>
      <c r="Y66" s="31">
        <v>1087016.2234294927</v>
      </c>
      <c r="Z66" s="31">
        <v>302253.19765419682</v>
      </c>
      <c r="AA66" s="31">
        <f t="shared" si="5"/>
        <v>17018496.802224293</v>
      </c>
      <c r="AB66" s="31">
        <v>0</v>
      </c>
      <c r="AD66" s="42" t="s">
        <v>373</v>
      </c>
      <c r="AE66" s="42" t="s">
        <v>374</v>
      </c>
      <c r="AF66" s="43" t="s">
        <v>1275</v>
      </c>
      <c r="AG66" s="44">
        <v>32</v>
      </c>
      <c r="AH66" s="31">
        <v>13753336.184713369</v>
      </c>
      <c r="AI66" s="31">
        <v>178496.18000000005</v>
      </c>
      <c r="AJ66" s="31">
        <v>128639.56000000001</v>
      </c>
      <c r="AK66" s="31">
        <v>46211.469999999994</v>
      </c>
      <c r="AL66" s="31">
        <v>1823053.3519365834</v>
      </c>
      <c r="AM66" s="31">
        <v>1086787.0327131047</v>
      </c>
      <c r="AN66" s="31">
        <v>308091.39021032077</v>
      </c>
      <c r="AO66" s="31">
        <f t="shared" si="6"/>
        <v>17324615.169573378</v>
      </c>
      <c r="AP66" s="31">
        <v>0</v>
      </c>
      <c r="AR66" s="42" t="s">
        <v>373</v>
      </c>
      <c r="AS66" s="42" t="s">
        <v>374</v>
      </c>
      <c r="AT66" s="43" t="s">
        <v>1276</v>
      </c>
      <c r="AU66" s="44">
        <v>32</v>
      </c>
      <c r="AV66" s="31">
        <v>14009216.791705806</v>
      </c>
      <c r="AW66" s="31">
        <v>181813.44</v>
      </c>
      <c r="AX66" s="31">
        <v>131030.26000000001</v>
      </c>
      <c r="AY66" s="31">
        <v>47070.28</v>
      </c>
      <c r="AZ66" s="31">
        <v>1857020.4705217821</v>
      </c>
      <c r="BA66" s="31">
        <v>1086822.6632804037</v>
      </c>
      <c r="BB66" s="31">
        <v>313842.82033252949</v>
      </c>
      <c r="BC66" s="31">
        <f t="shared" si="7"/>
        <v>17626816.72584052</v>
      </c>
      <c r="BD66" s="31">
        <v>0</v>
      </c>
    </row>
    <row r="67" spans="2:56">
      <c r="B67" s="42" t="s">
        <v>525</v>
      </c>
      <c r="C67" s="42" t="s">
        <v>526</v>
      </c>
      <c r="D67" s="43" t="s">
        <v>1049</v>
      </c>
      <c r="E67" s="44">
        <v>32</v>
      </c>
      <c r="F67" s="31">
        <v>369483.16628448508</v>
      </c>
      <c r="G67" s="31">
        <v>11011.02</v>
      </c>
      <c r="H67" s="31">
        <v>0</v>
      </c>
      <c r="I67" s="31">
        <v>0</v>
      </c>
      <c r="J67" s="31">
        <v>19542.514764255699</v>
      </c>
      <c r="K67" s="31">
        <v>93212.844263618346</v>
      </c>
      <c r="L67" s="31">
        <v>0</v>
      </c>
      <c r="M67" s="31">
        <f t="shared" si="4"/>
        <v>497244.70531235909</v>
      </c>
      <c r="N67" s="31">
        <v>3995.1600000000003</v>
      </c>
      <c r="P67" s="42" t="s">
        <v>525</v>
      </c>
      <c r="Q67" s="42" t="s">
        <v>526</v>
      </c>
      <c r="R67" s="43" t="s">
        <v>1050</v>
      </c>
      <c r="S67" s="44">
        <v>32</v>
      </c>
      <c r="T67" s="31">
        <v>385607.59896137257</v>
      </c>
      <c r="U67" s="31">
        <v>11489.07</v>
      </c>
      <c r="V67" s="31">
        <v>0</v>
      </c>
      <c r="W67" s="31">
        <v>0</v>
      </c>
      <c r="X67" s="31">
        <v>20199.775819888106</v>
      </c>
      <c r="Y67" s="31">
        <v>93275.39228663173</v>
      </c>
      <c r="Z67" s="31">
        <v>0</v>
      </c>
      <c r="AA67" s="31">
        <f t="shared" si="5"/>
        <v>514665.19706789241</v>
      </c>
      <c r="AB67" s="31">
        <v>4093.36</v>
      </c>
      <c r="AD67" s="42" t="s">
        <v>525</v>
      </c>
      <c r="AE67" s="42" t="s">
        <v>526</v>
      </c>
      <c r="AF67" s="43" t="s">
        <v>1275</v>
      </c>
      <c r="AG67" s="44">
        <v>32</v>
      </c>
      <c r="AH67" s="31">
        <v>392990.69230746524</v>
      </c>
      <c r="AI67" s="31">
        <v>11721.77</v>
      </c>
      <c r="AJ67" s="31">
        <v>0</v>
      </c>
      <c r="AK67" s="31">
        <v>0</v>
      </c>
      <c r="AL67" s="31">
        <v>20573.479813030426</v>
      </c>
      <c r="AM67" s="31">
        <v>93254.142899069629</v>
      </c>
      <c r="AN67" s="31">
        <v>0</v>
      </c>
      <c r="AO67" s="31">
        <f t="shared" si="6"/>
        <v>522705.56501956534</v>
      </c>
      <c r="AP67" s="31">
        <v>4165.4799999999996</v>
      </c>
      <c r="AR67" s="42" t="s">
        <v>525</v>
      </c>
      <c r="AS67" s="42" t="s">
        <v>526</v>
      </c>
      <c r="AT67" s="43" t="s">
        <v>1276</v>
      </c>
      <c r="AU67" s="44">
        <v>32</v>
      </c>
      <c r="AV67" s="31">
        <v>400140.13862161041</v>
      </c>
      <c r="AW67" s="31">
        <v>11934.640000000003</v>
      </c>
      <c r="AX67" s="31">
        <v>0</v>
      </c>
      <c r="AY67" s="31">
        <v>0</v>
      </c>
      <c r="AZ67" s="31">
        <v>20951.511342221198</v>
      </c>
      <c r="BA67" s="31">
        <v>93257.524427724711</v>
      </c>
      <c r="BB67" s="31">
        <v>0</v>
      </c>
      <c r="BC67" s="31">
        <f t="shared" si="7"/>
        <v>530526.54439155629</v>
      </c>
      <c r="BD67" s="31">
        <v>4242.7299999999996</v>
      </c>
    </row>
    <row r="68" spans="2:56">
      <c r="B68" s="42" t="s">
        <v>469</v>
      </c>
      <c r="C68" s="42" t="s">
        <v>470</v>
      </c>
      <c r="D68" s="43" t="s">
        <v>1049</v>
      </c>
      <c r="E68" s="44">
        <v>32</v>
      </c>
      <c r="F68" s="31">
        <v>28946654.90689211</v>
      </c>
      <c r="G68" s="31">
        <v>1236916.33</v>
      </c>
      <c r="H68" s="31">
        <v>157477.07999999999</v>
      </c>
      <c r="I68" s="31">
        <v>101689.25</v>
      </c>
      <c r="J68" s="31">
        <v>4885557.0036764331</v>
      </c>
      <c r="K68" s="31">
        <v>2371052.8070992967</v>
      </c>
      <c r="L68" s="31">
        <v>2201703.5246145553</v>
      </c>
      <c r="M68" s="31">
        <f t="shared" si="4"/>
        <v>40461854.9122824</v>
      </c>
      <c r="N68" s="31">
        <v>560804.01</v>
      </c>
      <c r="P68" s="42" t="s">
        <v>469</v>
      </c>
      <c r="Q68" s="42" t="s">
        <v>470</v>
      </c>
      <c r="R68" s="43" t="s">
        <v>1050</v>
      </c>
      <c r="S68" s="44">
        <v>32</v>
      </c>
      <c r="T68" s="31">
        <v>30351563.904148314</v>
      </c>
      <c r="U68" s="31">
        <v>1291455.2599999998</v>
      </c>
      <c r="V68" s="31">
        <v>163467.75</v>
      </c>
      <c r="W68" s="31">
        <v>105557.66</v>
      </c>
      <c r="X68" s="31">
        <v>5050467.6494146707</v>
      </c>
      <c r="Y68" s="31">
        <v>2373582.3054574742</v>
      </c>
      <c r="Z68" s="31">
        <v>2302003.043186049</v>
      </c>
      <c r="AA68" s="31">
        <f t="shared" si="5"/>
        <v>42212750.822206505</v>
      </c>
      <c r="AB68" s="31">
        <v>574653.25</v>
      </c>
      <c r="AD68" s="42" t="s">
        <v>469</v>
      </c>
      <c r="AE68" s="42" t="s">
        <v>470</v>
      </c>
      <c r="AF68" s="43" t="s">
        <v>1275</v>
      </c>
      <c r="AG68" s="44">
        <v>32</v>
      </c>
      <c r="AH68" s="31">
        <v>30933609.580986869</v>
      </c>
      <c r="AI68" s="31">
        <v>1317810.8999999999</v>
      </c>
      <c r="AJ68" s="31">
        <v>166667.28</v>
      </c>
      <c r="AK68" s="31">
        <v>107623.71999999999</v>
      </c>
      <c r="AL68" s="31">
        <v>5144165.6120374277</v>
      </c>
      <c r="AM68" s="31">
        <v>2372722.9610951571</v>
      </c>
      <c r="AN68" s="31">
        <v>2346374.716054494</v>
      </c>
      <c r="AO68" s="31">
        <f t="shared" si="6"/>
        <v>42973797.320173942</v>
      </c>
      <c r="AP68" s="31">
        <v>584822.54999999993</v>
      </c>
      <c r="AR68" s="42" t="s">
        <v>469</v>
      </c>
      <c r="AS68" s="42" t="s">
        <v>470</v>
      </c>
      <c r="AT68" s="43" t="s">
        <v>1276</v>
      </c>
      <c r="AU68" s="44">
        <v>32</v>
      </c>
      <c r="AV68" s="31">
        <v>31504159.549412787</v>
      </c>
      <c r="AW68" s="31">
        <v>1341832.9300000002</v>
      </c>
      <c r="AX68" s="31">
        <v>169725.62</v>
      </c>
      <c r="AY68" s="31">
        <v>109598.61</v>
      </c>
      <c r="AZ68" s="31">
        <v>5239167.9853376653</v>
      </c>
      <c r="BA68" s="31">
        <v>2372859.7131581176</v>
      </c>
      <c r="BB68" s="31">
        <v>2389752.3952541584</v>
      </c>
      <c r="BC68" s="31">
        <f t="shared" si="7"/>
        <v>43722810.683162726</v>
      </c>
      <c r="BD68" s="31">
        <v>595713.88</v>
      </c>
    </row>
    <row r="69" spans="2:56">
      <c r="B69" s="42" t="s">
        <v>587</v>
      </c>
      <c r="C69" s="42" t="s">
        <v>588</v>
      </c>
      <c r="D69" s="43" t="s">
        <v>1049</v>
      </c>
      <c r="E69" s="44">
        <v>32</v>
      </c>
      <c r="F69" s="31">
        <v>26517901.745412007</v>
      </c>
      <c r="G69" s="31">
        <v>1186949.9100000004</v>
      </c>
      <c r="H69" s="31">
        <v>538858.30999999994</v>
      </c>
      <c r="I69" s="31">
        <v>91401.279999999999</v>
      </c>
      <c r="J69" s="31">
        <v>3678180.6928263046</v>
      </c>
      <c r="K69" s="31">
        <v>1742989.5621444487</v>
      </c>
      <c r="L69" s="31">
        <v>1833932.1486166811</v>
      </c>
      <c r="M69" s="31">
        <f t="shared" ref="M69:M132" si="8">SUM(F69:L69,N69)</f>
        <v>36519719.848999441</v>
      </c>
      <c r="N69" s="31">
        <v>929506.2</v>
      </c>
      <c r="P69" s="42" t="s">
        <v>587</v>
      </c>
      <c r="Q69" s="42" t="s">
        <v>588</v>
      </c>
      <c r="R69" s="43" t="s">
        <v>1050</v>
      </c>
      <c r="S69" s="44">
        <v>32</v>
      </c>
      <c r="T69" s="31">
        <v>27836516.032148149</v>
      </c>
      <c r="U69" s="31">
        <v>1245373.2900000003</v>
      </c>
      <c r="V69" s="31">
        <v>559551.02</v>
      </c>
      <c r="W69" s="31">
        <v>94911.180000000008</v>
      </c>
      <c r="X69" s="31">
        <v>3802782.4223046601</v>
      </c>
      <c r="Y69" s="31">
        <v>1744401.8553134389</v>
      </c>
      <c r="Z69" s="31">
        <v>1917515.7117953396</v>
      </c>
      <c r="AA69" s="31">
        <f t="shared" ref="AA69:AA132" si="9">SUM(T69:Z69,AB69)</f>
        <v>38153408.381561577</v>
      </c>
      <c r="AB69" s="31">
        <v>952356.86999999988</v>
      </c>
      <c r="AD69" s="42" t="s">
        <v>587</v>
      </c>
      <c r="AE69" s="42" t="s">
        <v>588</v>
      </c>
      <c r="AF69" s="43" t="s">
        <v>1275</v>
      </c>
      <c r="AG69" s="44">
        <v>32</v>
      </c>
      <c r="AH69" s="31">
        <v>28371713.97693846</v>
      </c>
      <c r="AI69" s="31">
        <v>1271584.7999999998</v>
      </c>
      <c r="AJ69" s="31">
        <v>570496.54</v>
      </c>
      <c r="AK69" s="31">
        <v>96767.78</v>
      </c>
      <c r="AL69" s="31">
        <v>3873212.7463977481</v>
      </c>
      <c r="AM69" s="31">
        <v>1743922.0581359523</v>
      </c>
      <c r="AN69" s="31">
        <v>1954450.484928227</v>
      </c>
      <c r="AO69" s="31">
        <f t="shared" ref="AO69:AO132" si="10">SUM(AH69:AN69,AP69)</f>
        <v>38851284.176400386</v>
      </c>
      <c r="AP69" s="31">
        <v>969135.78999999992</v>
      </c>
      <c r="AR69" s="42" t="s">
        <v>587</v>
      </c>
      <c r="AS69" s="42" t="s">
        <v>588</v>
      </c>
      <c r="AT69" s="43" t="s">
        <v>1276</v>
      </c>
      <c r="AU69" s="44">
        <v>32</v>
      </c>
      <c r="AV69" s="31">
        <v>28893320.604791563</v>
      </c>
      <c r="AW69" s="31">
        <v>1294532.19</v>
      </c>
      <c r="AX69" s="31">
        <v>580914.32999999996</v>
      </c>
      <c r="AY69" s="31">
        <v>98534.840000000011</v>
      </c>
      <c r="AZ69" s="31">
        <v>3944522.7825211245</v>
      </c>
      <c r="BA69" s="31">
        <v>1743998.4108260972</v>
      </c>
      <c r="BB69" s="31">
        <v>1990481.7064123494</v>
      </c>
      <c r="BC69" s="31">
        <f t="shared" ref="BC69:BC132" si="11">SUM(AV69:BB69,BD69)</f>
        <v>39533410.884551138</v>
      </c>
      <c r="BD69" s="31">
        <v>987106.02</v>
      </c>
    </row>
    <row r="70" spans="2:56">
      <c r="B70" s="42" t="s">
        <v>95</v>
      </c>
      <c r="C70" s="42" t="s">
        <v>96</v>
      </c>
      <c r="D70" s="43" t="s">
        <v>1049</v>
      </c>
      <c r="E70" s="44">
        <v>32</v>
      </c>
      <c r="F70" s="31">
        <v>46282008.110941365</v>
      </c>
      <c r="G70" s="31">
        <v>2122789.8800000004</v>
      </c>
      <c r="H70" s="31">
        <v>1668901.67</v>
      </c>
      <c r="I70" s="31">
        <v>163314.01</v>
      </c>
      <c r="J70" s="31">
        <v>6266505.0426672148</v>
      </c>
      <c r="K70" s="31">
        <v>1869628.0526013325</v>
      </c>
      <c r="L70" s="31">
        <v>4230067.2381449761</v>
      </c>
      <c r="M70" s="31">
        <f t="shared" si="8"/>
        <v>64130433.934354894</v>
      </c>
      <c r="N70" s="31">
        <v>1527219.9300000002</v>
      </c>
      <c r="P70" s="42" t="s">
        <v>95</v>
      </c>
      <c r="Q70" s="42" t="s">
        <v>96</v>
      </c>
      <c r="R70" s="43" t="s">
        <v>1050</v>
      </c>
      <c r="S70" s="44">
        <v>32</v>
      </c>
      <c r="T70" s="31">
        <v>48552575.946591005</v>
      </c>
      <c r="U70" s="31">
        <v>2225409.3100000005</v>
      </c>
      <c r="V70" s="31">
        <v>1732989.1700000002</v>
      </c>
      <c r="W70" s="31">
        <v>169585.45</v>
      </c>
      <c r="X70" s="31">
        <v>6478904.1671497962</v>
      </c>
      <c r="Y70" s="31">
        <v>1871093.7923815828</v>
      </c>
      <c r="Z70" s="31">
        <v>4422991.4135906789</v>
      </c>
      <c r="AA70" s="31">
        <f t="shared" si="9"/>
        <v>67018313.829713069</v>
      </c>
      <c r="AB70" s="31">
        <v>1564764.5799999998</v>
      </c>
      <c r="AD70" s="42" t="s">
        <v>95</v>
      </c>
      <c r="AE70" s="42" t="s">
        <v>96</v>
      </c>
      <c r="AF70" s="43" t="s">
        <v>1275</v>
      </c>
      <c r="AG70" s="44">
        <v>32</v>
      </c>
      <c r="AH70" s="31">
        <v>49484690.254616685</v>
      </c>
      <c r="AI70" s="31">
        <v>2271981.4500000002</v>
      </c>
      <c r="AJ70" s="31">
        <v>1766888.6600000001</v>
      </c>
      <c r="AK70" s="31">
        <v>172902.76</v>
      </c>
      <c r="AL70" s="31">
        <v>6598912.065586308</v>
      </c>
      <c r="AM70" s="31">
        <v>1870595.8378315393</v>
      </c>
      <c r="AN70" s="31">
        <v>4508186.3480649963</v>
      </c>
      <c r="AO70" s="31">
        <f t="shared" si="10"/>
        <v>68266490.46609953</v>
      </c>
      <c r="AP70" s="31">
        <v>1592333.0899999999</v>
      </c>
      <c r="AR70" s="42" t="s">
        <v>95</v>
      </c>
      <c r="AS70" s="42" t="s">
        <v>96</v>
      </c>
      <c r="AT70" s="43" t="s">
        <v>1276</v>
      </c>
      <c r="AU70" s="44">
        <v>32</v>
      </c>
      <c r="AV70" s="31">
        <v>50394840.237529121</v>
      </c>
      <c r="AW70" s="31">
        <v>2313021.5100000002</v>
      </c>
      <c r="AX70" s="31">
        <v>1799153.66</v>
      </c>
      <c r="AY70" s="31">
        <v>176060.13000000003</v>
      </c>
      <c r="AZ70" s="31">
        <v>6720430.3266889174</v>
      </c>
      <c r="BA70" s="31">
        <v>1870675.0800014597</v>
      </c>
      <c r="BB70" s="31">
        <v>4591297.2187682698</v>
      </c>
      <c r="BC70" s="31">
        <f t="shared" si="11"/>
        <v>69487337.132987767</v>
      </c>
      <c r="BD70" s="31">
        <v>1621858.9700000002</v>
      </c>
    </row>
    <row r="71" spans="2:56">
      <c r="B71" s="42" t="s">
        <v>241</v>
      </c>
      <c r="C71" s="42" t="s">
        <v>242</v>
      </c>
      <c r="D71" s="43" t="s">
        <v>1049</v>
      </c>
      <c r="E71" s="44">
        <v>32</v>
      </c>
      <c r="F71" s="31">
        <v>1942673.4093458413</v>
      </c>
      <c r="G71" s="31">
        <v>38587.31</v>
      </c>
      <c r="H71" s="31">
        <v>13934.31</v>
      </c>
      <c r="I71" s="31">
        <v>0</v>
      </c>
      <c r="J71" s="31">
        <v>95661.212467181642</v>
      </c>
      <c r="K71" s="31">
        <v>111636.73228081799</v>
      </c>
      <c r="L71" s="31">
        <v>0</v>
      </c>
      <c r="M71" s="31">
        <f t="shared" si="8"/>
        <v>2227048.554093841</v>
      </c>
      <c r="N71" s="31">
        <v>24555.579999999998</v>
      </c>
      <c r="P71" s="42" t="s">
        <v>241</v>
      </c>
      <c r="Q71" s="42" t="s">
        <v>242</v>
      </c>
      <c r="R71" s="43" t="s">
        <v>1050</v>
      </c>
      <c r="S71" s="44">
        <v>32</v>
      </c>
      <c r="T71" s="31">
        <v>2021720.0290214962</v>
      </c>
      <c r="U71" s="31">
        <v>40408.380000000005</v>
      </c>
      <c r="V71" s="31">
        <v>14469.42</v>
      </c>
      <c r="W71" s="31">
        <v>0</v>
      </c>
      <c r="X71" s="31">
        <v>98908.396607239847</v>
      </c>
      <c r="Y71" s="31">
        <v>111697.47970386884</v>
      </c>
      <c r="Z71" s="31">
        <v>0</v>
      </c>
      <c r="AA71" s="31">
        <f t="shared" si="9"/>
        <v>2312362.9553326047</v>
      </c>
      <c r="AB71" s="31">
        <v>25159.249999999996</v>
      </c>
      <c r="AD71" s="42" t="s">
        <v>241</v>
      </c>
      <c r="AE71" s="42" t="s">
        <v>242</v>
      </c>
      <c r="AF71" s="43" t="s">
        <v>1275</v>
      </c>
      <c r="AG71" s="44">
        <v>32</v>
      </c>
      <c r="AH71" s="31">
        <v>2060340.0507676685</v>
      </c>
      <c r="AI71" s="31">
        <v>41247.710000000006</v>
      </c>
      <c r="AJ71" s="31">
        <v>14752.44</v>
      </c>
      <c r="AK71" s="31">
        <v>0</v>
      </c>
      <c r="AL71" s="31">
        <v>100740.56850348873</v>
      </c>
      <c r="AM71" s="31">
        <v>111676.84203262655</v>
      </c>
      <c r="AN71" s="31">
        <v>0</v>
      </c>
      <c r="AO71" s="31">
        <f t="shared" si="10"/>
        <v>2354360.1213037837</v>
      </c>
      <c r="AP71" s="31">
        <v>25602.51</v>
      </c>
      <c r="AR71" s="42" t="s">
        <v>241</v>
      </c>
      <c r="AS71" s="42" t="s">
        <v>242</v>
      </c>
      <c r="AT71" s="43" t="s">
        <v>1276</v>
      </c>
      <c r="AU71" s="44">
        <v>32</v>
      </c>
      <c r="AV71" s="31">
        <v>2097741.8335196297</v>
      </c>
      <c r="AW71" s="31">
        <v>41993.73000000001</v>
      </c>
      <c r="AX71" s="31">
        <v>15021.84</v>
      </c>
      <c r="AY71" s="31">
        <v>0</v>
      </c>
      <c r="AZ71" s="31">
        <v>102595.89103947733</v>
      </c>
      <c r="BA71" s="31">
        <v>111680.12621559303</v>
      </c>
      <c r="BB71" s="31">
        <v>0</v>
      </c>
      <c r="BC71" s="31">
        <f t="shared" si="11"/>
        <v>2395110.6607746999</v>
      </c>
      <c r="BD71" s="31">
        <v>26077.239999999994</v>
      </c>
    </row>
    <row r="72" spans="2:56">
      <c r="B72" s="42" t="s">
        <v>385</v>
      </c>
      <c r="C72" s="42" t="s">
        <v>386</v>
      </c>
      <c r="D72" s="43" t="s">
        <v>1049</v>
      </c>
      <c r="E72" s="44">
        <v>32</v>
      </c>
      <c r="F72" s="31">
        <v>15300877.206247209</v>
      </c>
      <c r="G72" s="31">
        <v>497640.00999999989</v>
      </c>
      <c r="H72" s="31">
        <v>0</v>
      </c>
      <c r="I72" s="31">
        <v>53496.069999999992</v>
      </c>
      <c r="J72" s="31">
        <v>2074772.7654096165</v>
      </c>
      <c r="K72" s="31">
        <v>1335744.2156340177</v>
      </c>
      <c r="L72" s="31">
        <v>1395185.6444581565</v>
      </c>
      <c r="M72" s="31">
        <f t="shared" si="8"/>
        <v>20714914.791748997</v>
      </c>
      <c r="N72" s="31">
        <v>57198.879999999997</v>
      </c>
      <c r="P72" s="42" t="s">
        <v>385</v>
      </c>
      <c r="Q72" s="42" t="s">
        <v>386</v>
      </c>
      <c r="R72" s="43" t="s">
        <v>1050</v>
      </c>
      <c r="S72" s="44">
        <v>32</v>
      </c>
      <c r="T72" s="31">
        <v>15890017.836669108</v>
      </c>
      <c r="U72" s="31">
        <v>517540.22999999992</v>
      </c>
      <c r="V72" s="31">
        <v>0</v>
      </c>
      <c r="W72" s="31">
        <v>55550.36</v>
      </c>
      <c r="X72" s="31">
        <v>2145046.9087809105</v>
      </c>
      <c r="Y72" s="31">
        <v>1337380.0730324832</v>
      </c>
      <c r="Z72" s="31">
        <v>1444898.0150523051</v>
      </c>
      <c r="AA72" s="31">
        <f t="shared" si="9"/>
        <v>21449038.463534806</v>
      </c>
      <c r="AB72" s="31">
        <v>58605.04</v>
      </c>
      <c r="AD72" s="42" t="s">
        <v>385</v>
      </c>
      <c r="AE72" s="42" t="s">
        <v>386</v>
      </c>
      <c r="AF72" s="43" t="s">
        <v>1275</v>
      </c>
      <c r="AG72" s="44">
        <v>32</v>
      </c>
      <c r="AH72" s="31">
        <v>16195073.524519864</v>
      </c>
      <c r="AI72" s="31">
        <v>527777.87</v>
      </c>
      <c r="AJ72" s="31">
        <v>0</v>
      </c>
      <c r="AK72" s="31">
        <v>56637</v>
      </c>
      <c r="AL72" s="31">
        <v>2184776.8860048344</v>
      </c>
      <c r="AM72" s="31">
        <v>1336824.3245662383</v>
      </c>
      <c r="AN72" s="31">
        <v>1472725.9421920767</v>
      </c>
      <c r="AO72" s="31">
        <f t="shared" si="10"/>
        <v>21833453.107283015</v>
      </c>
      <c r="AP72" s="31">
        <v>59637.560000000005</v>
      </c>
      <c r="AR72" s="42" t="s">
        <v>385</v>
      </c>
      <c r="AS72" s="42" t="s">
        <v>386</v>
      </c>
      <c r="AT72" s="43" t="s">
        <v>1276</v>
      </c>
      <c r="AU72" s="44">
        <v>32</v>
      </c>
      <c r="AV72" s="31">
        <v>16493064.149362594</v>
      </c>
      <c r="AW72" s="31">
        <v>537398.78</v>
      </c>
      <c r="AX72" s="31">
        <v>0</v>
      </c>
      <c r="AY72" s="31">
        <v>57671.24</v>
      </c>
      <c r="AZ72" s="31">
        <v>2225004.8294755188</v>
      </c>
      <c r="BA72" s="31">
        <v>1336912.7637910456</v>
      </c>
      <c r="BB72" s="31">
        <v>1499879.3654659321</v>
      </c>
      <c r="BC72" s="31">
        <f t="shared" si="11"/>
        <v>22210674.518095091</v>
      </c>
      <c r="BD72" s="31">
        <v>60743.390000000007</v>
      </c>
    </row>
    <row r="73" spans="2:56">
      <c r="B73" s="42" t="s">
        <v>429</v>
      </c>
      <c r="C73" s="42" t="s">
        <v>430</v>
      </c>
      <c r="D73" s="43" t="s">
        <v>1049</v>
      </c>
      <c r="E73" s="44">
        <v>32</v>
      </c>
      <c r="F73" s="31">
        <v>185721688.43698636</v>
      </c>
      <c r="G73" s="31">
        <v>5310638.2899999991</v>
      </c>
      <c r="H73" s="31">
        <v>5891161.1700000009</v>
      </c>
      <c r="I73" s="31">
        <v>652114.32000000007</v>
      </c>
      <c r="J73" s="31">
        <v>29526751.608861737</v>
      </c>
      <c r="K73" s="31">
        <v>15254384.123382561</v>
      </c>
      <c r="L73" s="31">
        <v>10414177.156155415</v>
      </c>
      <c r="M73" s="31">
        <f t="shared" si="8"/>
        <v>253508848.78538606</v>
      </c>
      <c r="N73" s="31">
        <v>737933.68000000017</v>
      </c>
      <c r="P73" s="42" t="s">
        <v>429</v>
      </c>
      <c r="Q73" s="42" t="s">
        <v>430</v>
      </c>
      <c r="R73" s="43" t="s">
        <v>1050</v>
      </c>
      <c r="S73" s="44">
        <v>32</v>
      </c>
      <c r="T73" s="31">
        <v>192654765.74120137</v>
      </c>
      <c r="U73" s="31">
        <v>5515697.4000000004</v>
      </c>
      <c r="V73" s="31">
        <v>6108875.3999999985</v>
      </c>
      <c r="W73" s="31">
        <v>676213.91</v>
      </c>
      <c r="X73" s="31">
        <v>30506302.17862948</v>
      </c>
      <c r="Y73" s="31">
        <v>15267296.658523019</v>
      </c>
      <c r="Z73" s="31">
        <v>10776012.278303323</v>
      </c>
      <c r="AA73" s="31">
        <f t="shared" si="9"/>
        <v>262261569.65665722</v>
      </c>
      <c r="AB73" s="31">
        <v>756406.09000000008</v>
      </c>
      <c r="AD73" s="42" t="s">
        <v>429</v>
      </c>
      <c r="AE73" s="42" t="s">
        <v>430</v>
      </c>
      <c r="AF73" s="43" t="s">
        <v>1275</v>
      </c>
      <c r="AG73" s="44">
        <v>32</v>
      </c>
      <c r="AH73" s="31">
        <v>196364818.63272583</v>
      </c>
      <c r="AI73" s="31">
        <v>5625114.1800000006</v>
      </c>
      <c r="AJ73" s="31">
        <v>6228655.7199999997</v>
      </c>
      <c r="AK73" s="31">
        <v>689472.82</v>
      </c>
      <c r="AL73" s="31">
        <v>31075913.766956873</v>
      </c>
      <c r="AM73" s="31">
        <v>15262416.687115045</v>
      </c>
      <c r="AN73" s="31">
        <v>10984244.646238388</v>
      </c>
      <c r="AO73" s="31">
        <f t="shared" si="10"/>
        <v>267000606.58303612</v>
      </c>
      <c r="AP73" s="31">
        <v>769970.13000000012</v>
      </c>
      <c r="AR73" s="42" t="s">
        <v>429</v>
      </c>
      <c r="AS73" s="42" t="s">
        <v>430</v>
      </c>
      <c r="AT73" s="43" t="s">
        <v>1276</v>
      </c>
      <c r="AU73" s="44">
        <v>32</v>
      </c>
      <c r="AV73" s="31">
        <v>200027748.78521231</v>
      </c>
      <c r="AW73" s="31">
        <v>5729660.2299999995</v>
      </c>
      <c r="AX73" s="31">
        <v>6344630.0200000005</v>
      </c>
      <c r="AY73" s="31">
        <v>702310.44</v>
      </c>
      <c r="AZ73" s="31">
        <v>31656728.875330258</v>
      </c>
      <c r="BA73" s="31">
        <v>15263167.750668004</v>
      </c>
      <c r="BB73" s="31">
        <v>11189725.180707039</v>
      </c>
      <c r="BC73" s="31">
        <f t="shared" si="11"/>
        <v>271698468.48191762</v>
      </c>
      <c r="BD73" s="31">
        <v>784497.20000000007</v>
      </c>
    </row>
    <row r="74" spans="2:56">
      <c r="B74" s="42" t="s">
        <v>245</v>
      </c>
      <c r="C74" s="42" t="s">
        <v>246</v>
      </c>
      <c r="D74" s="43" t="s">
        <v>1049</v>
      </c>
      <c r="E74" s="44">
        <v>32</v>
      </c>
      <c r="F74" s="31">
        <v>25992264.91705076</v>
      </c>
      <c r="G74" s="31">
        <v>820467.8</v>
      </c>
      <c r="H74" s="31">
        <v>337541.61</v>
      </c>
      <c r="I74" s="31">
        <v>90719.19</v>
      </c>
      <c r="J74" s="31">
        <v>3664280.1141184592</v>
      </c>
      <c r="K74" s="31">
        <v>1688808.6694923157</v>
      </c>
      <c r="L74" s="31">
        <v>2015605.3236128404</v>
      </c>
      <c r="M74" s="31">
        <f t="shared" si="8"/>
        <v>34761990.614274383</v>
      </c>
      <c r="N74" s="31">
        <v>152302.99</v>
      </c>
      <c r="P74" s="42" t="s">
        <v>245</v>
      </c>
      <c r="Q74" s="42" t="s">
        <v>246</v>
      </c>
      <c r="R74" s="43" t="s">
        <v>1050</v>
      </c>
      <c r="S74" s="44">
        <v>32</v>
      </c>
      <c r="T74" s="31">
        <v>26997692.698995139</v>
      </c>
      <c r="U74" s="31">
        <v>854079</v>
      </c>
      <c r="V74" s="31">
        <v>350503.57</v>
      </c>
      <c r="W74" s="31">
        <v>94202.9</v>
      </c>
      <c r="X74" s="31">
        <v>3788438.866975762</v>
      </c>
      <c r="Y74" s="31">
        <v>1690050.1130480126</v>
      </c>
      <c r="Z74" s="31">
        <v>2087424.0208822975</v>
      </c>
      <c r="AA74" s="31">
        <f t="shared" si="9"/>
        <v>36018438.329901211</v>
      </c>
      <c r="AB74" s="31">
        <v>156047.15999999997</v>
      </c>
      <c r="AD74" s="42" t="s">
        <v>245</v>
      </c>
      <c r="AE74" s="42" t="s">
        <v>246</v>
      </c>
      <c r="AF74" s="43" t="s">
        <v>1275</v>
      </c>
      <c r="AG74" s="44">
        <v>32</v>
      </c>
      <c r="AH74" s="31">
        <v>27517943.412081733</v>
      </c>
      <c r="AI74" s="31">
        <v>871089.09000000008</v>
      </c>
      <c r="AJ74" s="31">
        <v>357359.86000000004</v>
      </c>
      <c r="AK74" s="31">
        <v>96045.62</v>
      </c>
      <c r="AL74" s="31">
        <v>3858608.4742519637</v>
      </c>
      <c r="AM74" s="31">
        <v>1689628.3584668031</v>
      </c>
      <c r="AN74" s="31">
        <v>2127626.7428723839</v>
      </c>
      <c r="AO74" s="31">
        <f t="shared" si="10"/>
        <v>36677097.997672886</v>
      </c>
      <c r="AP74" s="31">
        <v>158796.44</v>
      </c>
      <c r="AR74" s="42" t="s">
        <v>245</v>
      </c>
      <c r="AS74" s="42" t="s">
        <v>246</v>
      </c>
      <c r="AT74" s="43" t="s">
        <v>1276</v>
      </c>
      <c r="AU74" s="44">
        <v>32</v>
      </c>
      <c r="AV74" s="31">
        <v>28025951.758507762</v>
      </c>
      <c r="AW74" s="31">
        <v>886951.26</v>
      </c>
      <c r="AX74" s="31">
        <v>363885.58</v>
      </c>
      <c r="AY74" s="31">
        <v>97799.489999999991</v>
      </c>
      <c r="AZ74" s="31">
        <v>3929658.5913396478</v>
      </c>
      <c r="BA74" s="31">
        <v>1689695.474528271</v>
      </c>
      <c r="BB74" s="31">
        <v>2166855.0710017653</v>
      </c>
      <c r="BC74" s="31">
        <f t="shared" si="11"/>
        <v>37322538.155377448</v>
      </c>
      <c r="BD74" s="31">
        <v>161740.93</v>
      </c>
    </row>
    <row r="75" spans="2:56">
      <c r="B75" s="42" t="s">
        <v>151</v>
      </c>
      <c r="C75" s="42" t="s">
        <v>152</v>
      </c>
      <c r="D75" s="43" t="s">
        <v>1049</v>
      </c>
      <c r="E75" s="44">
        <v>32</v>
      </c>
      <c r="F75" s="31">
        <v>11631235.059165977</v>
      </c>
      <c r="G75" s="31">
        <v>776994.50999999978</v>
      </c>
      <c r="H75" s="31">
        <v>193189.36</v>
      </c>
      <c r="I75" s="31">
        <v>45296.100000000006</v>
      </c>
      <c r="J75" s="31">
        <v>2034711.3325883052</v>
      </c>
      <c r="K75" s="31">
        <v>959356.70389505685</v>
      </c>
      <c r="L75" s="31">
        <v>2374789.8208077531</v>
      </c>
      <c r="M75" s="31">
        <f t="shared" si="8"/>
        <v>18477512.366457094</v>
      </c>
      <c r="N75" s="31">
        <v>461939.48000000004</v>
      </c>
      <c r="P75" s="42" t="s">
        <v>151</v>
      </c>
      <c r="Q75" s="42" t="s">
        <v>152</v>
      </c>
      <c r="R75" s="43" t="s">
        <v>1050</v>
      </c>
      <c r="S75" s="44">
        <v>32</v>
      </c>
      <c r="T75" s="31">
        <v>12196872.484036332</v>
      </c>
      <c r="U75" s="31">
        <v>812717.79</v>
      </c>
      <c r="V75" s="31">
        <v>200538.59999999998</v>
      </c>
      <c r="W75" s="31">
        <v>47019.220000000008</v>
      </c>
      <c r="X75" s="31">
        <v>2103398.7014155285</v>
      </c>
      <c r="Y75" s="31">
        <v>960289.01087326766</v>
      </c>
      <c r="Z75" s="31">
        <v>2482903.8717872575</v>
      </c>
      <c r="AA75" s="31">
        <f t="shared" si="9"/>
        <v>19277086.918112386</v>
      </c>
      <c r="AB75" s="31">
        <v>473347.24000000005</v>
      </c>
      <c r="AD75" s="42" t="s">
        <v>151</v>
      </c>
      <c r="AE75" s="42" t="s">
        <v>152</v>
      </c>
      <c r="AF75" s="43" t="s">
        <v>1275</v>
      </c>
      <c r="AG75" s="44">
        <v>32</v>
      </c>
      <c r="AH75" s="31">
        <v>12430858.822105132</v>
      </c>
      <c r="AI75" s="31">
        <v>829513.10999999964</v>
      </c>
      <c r="AJ75" s="31">
        <v>204463.7</v>
      </c>
      <c r="AK75" s="31">
        <v>47939.51</v>
      </c>
      <c r="AL75" s="31">
        <v>2142423.5765924258</v>
      </c>
      <c r="AM75" s="31">
        <v>959972.27900305938</v>
      </c>
      <c r="AN75" s="31">
        <v>2530762.3685724242</v>
      </c>
      <c r="AO75" s="31">
        <f t="shared" si="10"/>
        <v>19627657.146273039</v>
      </c>
      <c r="AP75" s="31">
        <v>481723.78</v>
      </c>
      <c r="AR75" s="42" t="s">
        <v>151</v>
      </c>
      <c r="AS75" s="42" t="s">
        <v>152</v>
      </c>
      <c r="AT75" s="43" t="s">
        <v>1276</v>
      </c>
      <c r="AU75" s="44">
        <v>32</v>
      </c>
      <c r="AV75" s="31">
        <v>12660152.711482063</v>
      </c>
      <c r="AW75" s="31">
        <v>844603.0399999998</v>
      </c>
      <c r="AX75" s="31">
        <v>208215.62</v>
      </c>
      <c r="AY75" s="31">
        <v>48819.21</v>
      </c>
      <c r="AZ75" s="31">
        <v>2181993.2958251848</v>
      </c>
      <c r="BA75" s="31">
        <v>960022.68223900942</v>
      </c>
      <c r="BB75" s="31">
        <v>2577548.7384641776</v>
      </c>
      <c r="BC75" s="31">
        <f t="shared" si="11"/>
        <v>19972050.368010435</v>
      </c>
      <c r="BD75" s="31">
        <v>490695.07000000007</v>
      </c>
    </row>
    <row r="76" spans="2:56">
      <c r="B76" s="42" t="s">
        <v>573</v>
      </c>
      <c r="C76" s="42" t="s">
        <v>574</v>
      </c>
      <c r="D76" s="43" t="s">
        <v>1049</v>
      </c>
      <c r="E76" s="44">
        <v>32</v>
      </c>
      <c r="F76" s="31">
        <v>1921468.314020202</v>
      </c>
      <c r="G76" s="31">
        <v>27576.280000000002</v>
      </c>
      <c r="H76" s="31">
        <v>0</v>
      </c>
      <c r="I76" s="31">
        <v>2046.29</v>
      </c>
      <c r="J76" s="31">
        <v>90213.333926510473</v>
      </c>
      <c r="K76" s="31">
        <v>230809.1144059161</v>
      </c>
      <c r="L76" s="31">
        <v>0</v>
      </c>
      <c r="M76" s="31">
        <f t="shared" si="8"/>
        <v>2295012.3823526287</v>
      </c>
      <c r="N76" s="31">
        <v>22899.05</v>
      </c>
      <c r="P76" s="42" t="s">
        <v>573</v>
      </c>
      <c r="Q76" s="42" t="s">
        <v>574</v>
      </c>
      <c r="R76" s="43" t="s">
        <v>1050</v>
      </c>
      <c r="S76" s="44">
        <v>32</v>
      </c>
      <c r="T76" s="31">
        <v>1999497.9285269093</v>
      </c>
      <c r="U76" s="31">
        <v>28951.650000000009</v>
      </c>
      <c r="V76" s="31">
        <v>0</v>
      </c>
      <c r="W76" s="31">
        <v>2124.87</v>
      </c>
      <c r="X76" s="31">
        <v>93272.009849751848</v>
      </c>
      <c r="Y76" s="31">
        <v>231044.99920605411</v>
      </c>
      <c r="Z76" s="31">
        <v>0</v>
      </c>
      <c r="AA76" s="31">
        <f t="shared" si="9"/>
        <v>2378353.4575827154</v>
      </c>
      <c r="AB76" s="31">
        <v>23462</v>
      </c>
      <c r="AD76" s="42" t="s">
        <v>573</v>
      </c>
      <c r="AE76" s="42" t="s">
        <v>574</v>
      </c>
      <c r="AF76" s="43" t="s">
        <v>1275</v>
      </c>
      <c r="AG76" s="44">
        <v>32</v>
      </c>
      <c r="AH76" s="31">
        <v>2037692.6717148155</v>
      </c>
      <c r="AI76" s="31">
        <v>29563.55</v>
      </c>
      <c r="AJ76" s="31">
        <v>0</v>
      </c>
      <c r="AK76" s="31">
        <v>2166.4499999999998</v>
      </c>
      <c r="AL76" s="31">
        <v>94999.372270094391</v>
      </c>
      <c r="AM76" s="31">
        <v>230964.86226012587</v>
      </c>
      <c r="AN76" s="31">
        <v>0</v>
      </c>
      <c r="AO76" s="31">
        <f t="shared" si="10"/>
        <v>2419262.2662450359</v>
      </c>
      <c r="AP76" s="31">
        <v>23875.359999999997</v>
      </c>
      <c r="AR76" s="42" t="s">
        <v>573</v>
      </c>
      <c r="AS76" s="42" t="s">
        <v>574</v>
      </c>
      <c r="AT76" s="43" t="s">
        <v>1276</v>
      </c>
      <c r="AU76" s="44">
        <v>32</v>
      </c>
      <c r="AV76" s="31">
        <v>2074655.948879966</v>
      </c>
      <c r="AW76" s="31">
        <v>30096.690000000002</v>
      </c>
      <c r="AX76" s="31">
        <v>0</v>
      </c>
      <c r="AY76" s="31">
        <v>2206.02</v>
      </c>
      <c r="AZ76" s="31">
        <v>96748.230204777123</v>
      </c>
      <c r="BA76" s="31">
        <v>230977.61488079291</v>
      </c>
      <c r="BB76" s="31">
        <v>0</v>
      </c>
      <c r="BC76" s="31">
        <f t="shared" si="11"/>
        <v>2459002.573965536</v>
      </c>
      <c r="BD76" s="31">
        <v>24318.07</v>
      </c>
    </row>
    <row r="77" spans="2:56">
      <c r="B77" s="42" t="s">
        <v>33</v>
      </c>
      <c r="C77" s="42" t="s">
        <v>34</v>
      </c>
      <c r="D77" s="43" t="s">
        <v>1049</v>
      </c>
      <c r="E77" s="44">
        <v>32</v>
      </c>
      <c r="F77" s="31">
        <v>3663482.0130399093</v>
      </c>
      <c r="G77" s="31">
        <v>130743.31000000001</v>
      </c>
      <c r="H77" s="31">
        <v>81512.800000000003</v>
      </c>
      <c r="I77" s="31">
        <v>9079.41</v>
      </c>
      <c r="J77" s="31">
        <v>352259.71179496264</v>
      </c>
      <c r="K77" s="31">
        <v>261053.69399201623</v>
      </c>
      <c r="L77" s="31">
        <v>0</v>
      </c>
      <c r="M77" s="31">
        <f t="shared" si="8"/>
        <v>4590740.7788268877</v>
      </c>
      <c r="N77" s="31">
        <v>92609.839999999982</v>
      </c>
      <c r="P77" s="42" t="s">
        <v>33</v>
      </c>
      <c r="Q77" s="42" t="s">
        <v>34</v>
      </c>
      <c r="R77" s="43" t="s">
        <v>1050</v>
      </c>
      <c r="S77" s="44">
        <v>32</v>
      </c>
      <c r="T77" s="31">
        <v>3833316.9970825175</v>
      </c>
      <c r="U77" s="31">
        <v>136952.99000000002</v>
      </c>
      <c r="V77" s="31">
        <v>84613.680000000008</v>
      </c>
      <c r="W77" s="31">
        <v>9424.8100000000013</v>
      </c>
      <c r="X77" s="31">
        <v>364132.37690098025</v>
      </c>
      <c r="Y77" s="31">
        <v>261228.83385550528</v>
      </c>
      <c r="Z77" s="31">
        <v>0</v>
      </c>
      <c r="AA77" s="31">
        <f t="shared" si="9"/>
        <v>4784566.5578390034</v>
      </c>
      <c r="AB77" s="31">
        <v>94896.87</v>
      </c>
      <c r="AD77" s="42" t="s">
        <v>33</v>
      </c>
      <c r="AE77" s="42" t="s">
        <v>34</v>
      </c>
      <c r="AF77" s="43" t="s">
        <v>1275</v>
      </c>
      <c r="AG77" s="44">
        <v>32</v>
      </c>
      <c r="AH77" s="31">
        <v>3906929.5771830352</v>
      </c>
      <c r="AI77" s="31">
        <v>139811.6</v>
      </c>
      <c r="AJ77" s="31">
        <v>86269.809999999983</v>
      </c>
      <c r="AK77" s="31">
        <v>9609.26</v>
      </c>
      <c r="AL77" s="31">
        <v>370885.94408840185</v>
      </c>
      <c r="AM77" s="31">
        <v>261169.3337361161</v>
      </c>
      <c r="AN77" s="31">
        <v>0</v>
      </c>
      <c r="AO77" s="31">
        <f t="shared" si="10"/>
        <v>4871251.7250075536</v>
      </c>
      <c r="AP77" s="31">
        <v>96576.199999999983</v>
      </c>
      <c r="AR77" s="42" t="s">
        <v>33</v>
      </c>
      <c r="AS77" s="42" t="s">
        <v>34</v>
      </c>
      <c r="AT77" s="43" t="s">
        <v>1276</v>
      </c>
      <c r="AU77" s="44">
        <v>32</v>
      </c>
      <c r="AV77" s="31">
        <v>3978644.2466003522</v>
      </c>
      <c r="AW77" s="31">
        <v>142350.75</v>
      </c>
      <c r="AX77" s="31">
        <v>87852.859999999986</v>
      </c>
      <c r="AY77" s="31">
        <v>9785.590000000002</v>
      </c>
      <c r="AZ77" s="31">
        <v>377731.93742167682</v>
      </c>
      <c r="BA77" s="31">
        <v>261178.80230823881</v>
      </c>
      <c r="BB77" s="31">
        <v>0</v>
      </c>
      <c r="BC77" s="31">
        <f t="shared" si="11"/>
        <v>4955918.9563302677</v>
      </c>
      <c r="BD77" s="31">
        <v>98374.77</v>
      </c>
    </row>
    <row r="78" spans="2:56">
      <c r="B78" s="42" t="s">
        <v>187</v>
      </c>
      <c r="C78" s="42" t="s">
        <v>188</v>
      </c>
      <c r="D78" s="43" t="s">
        <v>1049</v>
      </c>
      <c r="E78" s="44">
        <v>32</v>
      </c>
      <c r="F78" s="31">
        <v>35141045.180763036</v>
      </c>
      <c r="G78" s="31">
        <v>866251.91999999993</v>
      </c>
      <c r="H78" s="31">
        <v>0</v>
      </c>
      <c r="I78" s="31">
        <v>130771.78</v>
      </c>
      <c r="J78" s="31">
        <v>6024407.9697946459</v>
      </c>
      <c r="K78" s="31">
        <v>2372290.0740763433</v>
      </c>
      <c r="L78" s="31">
        <v>4353161.6509491326</v>
      </c>
      <c r="M78" s="31">
        <f t="shared" si="8"/>
        <v>48891153.39558316</v>
      </c>
      <c r="N78" s="31">
        <v>3224.8199999999997</v>
      </c>
      <c r="P78" s="42" t="s">
        <v>187</v>
      </c>
      <c r="Q78" s="42" t="s">
        <v>188</v>
      </c>
      <c r="R78" s="43" t="s">
        <v>1050</v>
      </c>
      <c r="S78" s="44">
        <v>32</v>
      </c>
      <c r="T78" s="31">
        <v>36460712.804074131</v>
      </c>
      <c r="U78" s="31">
        <v>898426.1</v>
      </c>
      <c r="V78" s="31">
        <v>0</v>
      </c>
      <c r="W78" s="31">
        <v>135623.00000000003</v>
      </c>
      <c r="X78" s="31">
        <v>6224934.5124485092</v>
      </c>
      <c r="Y78" s="31">
        <v>2374579.3628561231</v>
      </c>
      <c r="Z78" s="31">
        <v>4504993.2803695854</v>
      </c>
      <c r="AA78" s="31">
        <f t="shared" si="9"/>
        <v>50602574.469748348</v>
      </c>
      <c r="AB78" s="31">
        <v>3305.4099999999994</v>
      </c>
      <c r="AD78" s="42" t="s">
        <v>187</v>
      </c>
      <c r="AE78" s="42" t="s">
        <v>188</v>
      </c>
      <c r="AF78" s="43" t="s">
        <v>1275</v>
      </c>
      <c r="AG78" s="44">
        <v>32</v>
      </c>
      <c r="AH78" s="31">
        <v>37163675.252843834</v>
      </c>
      <c r="AI78" s="31">
        <v>916043.67000000016</v>
      </c>
      <c r="AJ78" s="31">
        <v>0</v>
      </c>
      <c r="AK78" s="31">
        <v>138281.64000000001</v>
      </c>
      <c r="AL78" s="31">
        <v>6341031.7177847009</v>
      </c>
      <c r="AM78" s="31">
        <v>2373742.182295288</v>
      </c>
      <c r="AN78" s="31">
        <v>4592009.2931272537</v>
      </c>
      <c r="AO78" s="31">
        <f t="shared" si="10"/>
        <v>51528148.326051079</v>
      </c>
      <c r="AP78" s="31">
        <v>3364.5699999999997</v>
      </c>
      <c r="AR78" s="42" t="s">
        <v>187</v>
      </c>
      <c r="AS78" s="42" t="s">
        <v>188</v>
      </c>
      <c r="AT78" s="43" t="s">
        <v>1276</v>
      </c>
      <c r="AU78" s="44">
        <v>32</v>
      </c>
      <c r="AV78" s="31">
        <v>37855690.54315953</v>
      </c>
      <c r="AW78" s="31">
        <v>933067.05</v>
      </c>
      <c r="AX78" s="31">
        <v>0</v>
      </c>
      <c r="AY78" s="31">
        <v>140851.53</v>
      </c>
      <c r="AZ78" s="31">
        <v>6459286.9553721379</v>
      </c>
      <c r="BA78" s="31">
        <v>2373872.3324985085</v>
      </c>
      <c r="BB78" s="31">
        <v>4677732.1375486357</v>
      </c>
      <c r="BC78" s="31">
        <f t="shared" si="11"/>
        <v>52443928.498578809</v>
      </c>
      <c r="BD78" s="31">
        <v>3427.95</v>
      </c>
    </row>
    <row r="79" spans="2:56">
      <c r="B79" s="42" t="s">
        <v>135</v>
      </c>
      <c r="C79" s="42" t="s">
        <v>136</v>
      </c>
      <c r="D79" s="43" t="s">
        <v>1049</v>
      </c>
      <c r="E79" s="44">
        <v>32</v>
      </c>
      <c r="F79" s="31">
        <v>20703260.699231572</v>
      </c>
      <c r="G79" s="31">
        <v>933361.89000000013</v>
      </c>
      <c r="H79" s="31">
        <v>616793.62</v>
      </c>
      <c r="I79" s="31">
        <v>0</v>
      </c>
      <c r="J79" s="31">
        <v>3175990.3474239316</v>
      </c>
      <c r="K79" s="31">
        <v>1478563.1427322172</v>
      </c>
      <c r="L79" s="31">
        <v>2230982.4502273002</v>
      </c>
      <c r="M79" s="31">
        <f t="shared" si="8"/>
        <v>29665355.329615023</v>
      </c>
      <c r="N79" s="31">
        <v>526403.17999999993</v>
      </c>
      <c r="P79" s="42" t="s">
        <v>135</v>
      </c>
      <c r="Q79" s="42" t="s">
        <v>136</v>
      </c>
      <c r="R79" s="43" t="s">
        <v>1050</v>
      </c>
      <c r="S79" s="44">
        <v>32</v>
      </c>
      <c r="T79" s="31">
        <v>21725623.53316433</v>
      </c>
      <c r="U79" s="31">
        <v>975893.96000000043</v>
      </c>
      <c r="V79" s="31">
        <v>640257.42999999993</v>
      </c>
      <c r="W79" s="31">
        <v>0</v>
      </c>
      <c r="X79" s="31">
        <v>3283207.972802755</v>
      </c>
      <c r="Y79" s="31">
        <v>1479583.281799481</v>
      </c>
      <c r="Z79" s="31">
        <v>2332492.6528832745</v>
      </c>
      <c r="AA79" s="31">
        <f t="shared" si="9"/>
        <v>30976461.720649838</v>
      </c>
      <c r="AB79" s="31">
        <v>539402.8899999999</v>
      </c>
      <c r="AD79" s="42" t="s">
        <v>135</v>
      </c>
      <c r="AE79" s="42" t="s">
        <v>136</v>
      </c>
      <c r="AF79" s="43" t="s">
        <v>1275</v>
      </c>
      <c r="AG79" s="44">
        <v>32</v>
      </c>
      <c r="AH79" s="31">
        <v>22143565.341661666</v>
      </c>
      <c r="AI79" s="31">
        <v>996007.06000000017</v>
      </c>
      <c r="AJ79" s="31">
        <v>652789.05000000005</v>
      </c>
      <c r="AK79" s="31">
        <v>0</v>
      </c>
      <c r="AL79" s="31">
        <v>3344116.3888066253</v>
      </c>
      <c r="AM79" s="31">
        <v>1479236.710807095</v>
      </c>
      <c r="AN79" s="31">
        <v>2377451.6910144063</v>
      </c>
      <c r="AO79" s="31">
        <f t="shared" si="10"/>
        <v>31542114.622289792</v>
      </c>
      <c r="AP79" s="31">
        <v>548948.38</v>
      </c>
      <c r="AR79" s="42" t="s">
        <v>135</v>
      </c>
      <c r="AS79" s="42" t="s">
        <v>136</v>
      </c>
      <c r="AT79" s="43" t="s">
        <v>1276</v>
      </c>
      <c r="AU79" s="44">
        <v>32</v>
      </c>
      <c r="AV79" s="31">
        <v>22551898.096203532</v>
      </c>
      <c r="AW79" s="31">
        <v>1014133.7999999999</v>
      </c>
      <c r="AX79" s="31">
        <v>664767.74</v>
      </c>
      <c r="AY79" s="31">
        <v>0</v>
      </c>
      <c r="AZ79" s="31">
        <v>3405870.5182239418</v>
      </c>
      <c r="BA79" s="31">
        <v>1479291.8625020953</v>
      </c>
      <c r="BB79" s="31">
        <v>2421403.4546947666</v>
      </c>
      <c r="BC79" s="31">
        <f t="shared" si="11"/>
        <v>32096537.081624333</v>
      </c>
      <c r="BD79" s="31">
        <v>559171.61</v>
      </c>
    </row>
    <row r="80" spans="2:56">
      <c r="B80" s="42" t="s">
        <v>273</v>
      </c>
      <c r="C80" s="42" t="s">
        <v>274</v>
      </c>
      <c r="D80" s="43" t="s">
        <v>1049</v>
      </c>
      <c r="E80" s="44">
        <v>32</v>
      </c>
      <c r="F80" s="31">
        <v>526362.90238324052</v>
      </c>
      <c r="G80" s="31">
        <v>17344.800000000003</v>
      </c>
      <c r="H80" s="31">
        <v>3800.26</v>
      </c>
      <c r="I80" s="31">
        <v>1266.7600000000002</v>
      </c>
      <c r="J80" s="31">
        <v>64829.507592904702</v>
      </c>
      <c r="K80" s="31">
        <v>23198.336213827675</v>
      </c>
      <c r="L80" s="31">
        <v>0</v>
      </c>
      <c r="M80" s="31">
        <f t="shared" si="8"/>
        <v>650249.66618997301</v>
      </c>
      <c r="N80" s="31">
        <v>13447.1</v>
      </c>
      <c r="P80" s="42" t="s">
        <v>273</v>
      </c>
      <c r="Q80" s="42" t="s">
        <v>274</v>
      </c>
      <c r="R80" s="43" t="s">
        <v>1050</v>
      </c>
      <c r="S80" s="44">
        <v>32</v>
      </c>
      <c r="T80" s="31">
        <v>552526.17263417435</v>
      </c>
      <c r="U80" s="31">
        <v>18196.659999999996</v>
      </c>
      <c r="V80" s="31">
        <v>3946.2100000000005</v>
      </c>
      <c r="W80" s="31">
        <v>1315.41</v>
      </c>
      <c r="X80" s="31">
        <v>67021.580432951581</v>
      </c>
      <c r="Y80" s="31">
        <v>23213.993393912926</v>
      </c>
      <c r="Z80" s="31">
        <v>0</v>
      </c>
      <c r="AA80" s="31">
        <f t="shared" si="9"/>
        <v>679997.70646103891</v>
      </c>
      <c r="AB80" s="31">
        <v>13777.68</v>
      </c>
      <c r="AD80" s="42" t="s">
        <v>273</v>
      </c>
      <c r="AE80" s="42" t="s">
        <v>274</v>
      </c>
      <c r="AF80" s="43" t="s">
        <v>1275</v>
      </c>
      <c r="AG80" s="44">
        <v>32</v>
      </c>
      <c r="AH80" s="31">
        <v>563090.44068737782</v>
      </c>
      <c r="AI80" s="31">
        <v>18579.379999999997</v>
      </c>
      <c r="AJ80" s="31">
        <v>4023.4100000000003</v>
      </c>
      <c r="AK80" s="31">
        <v>1341.13</v>
      </c>
      <c r="AL80" s="31">
        <v>68261.93509270667</v>
      </c>
      <c r="AM80" s="31">
        <v>23208.67419321349</v>
      </c>
      <c r="AN80" s="31">
        <v>0</v>
      </c>
      <c r="AO80" s="31">
        <f t="shared" si="10"/>
        <v>692525.38997329806</v>
      </c>
      <c r="AP80" s="31">
        <v>14020.42</v>
      </c>
      <c r="AR80" s="42" t="s">
        <v>273</v>
      </c>
      <c r="AS80" s="42" t="s">
        <v>274</v>
      </c>
      <c r="AT80" s="43" t="s">
        <v>1276</v>
      </c>
      <c r="AU80" s="44">
        <v>32</v>
      </c>
      <c r="AV80" s="31">
        <v>573338.58490477875</v>
      </c>
      <c r="AW80" s="31">
        <v>18914.71</v>
      </c>
      <c r="AX80" s="31">
        <v>4096.87</v>
      </c>
      <c r="AY80" s="31">
        <v>1365.62</v>
      </c>
      <c r="AZ80" s="31">
        <v>69517.019503218617</v>
      </c>
      <c r="BA80" s="31">
        <v>23209.520666060518</v>
      </c>
      <c r="BB80" s="31">
        <v>0</v>
      </c>
      <c r="BC80" s="31">
        <f t="shared" si="11"/>
        <v>704722.71507405781</v>
      </c>
      <c r="BD80" s="31">
        <v>14280.39</v>
      </c>
    </row>
    <row r="81" spans="2:56">
      <c r="B81" s="42" t="s">
        <v>423</v>
      </c>
      <c r="C81" s="42" t="s">
        <v>424</v>
      </c>
      <c r="D81" s="43" t="s">
        <v>1049</v>
      </c>
      <c r="E81" s="44">
        <v>32</v>
      </c>
      <c r="F81" s="31">
        <v>181963987.9831199</v>
      </c>
      <c r="G81" s="31">
        <v>5570813.6999999993</v>
      </c>
      <c r="H81" s="31">
        <v>5796081.1799999997</v>
      </c>
      <c r="I81" s="31">
        <v>651842.75000000012</v>
      </c>
      <c r="J81" s="31">
        <v>26399373.720740926</v>
      </c>
      <c r="K81" s="31">
        <v>12685237.22906089</v>
      </c>
      <c r="L81" s="31">
        <v>15376566.202289466</v>
      </c>
      <c r="M81" s="31">
        <f t="shared" si="8"/>
        <v>251051044.46521115</v>
      </c>
      <c r="N81" s="31">
        <v>2607141.7000000002</v>
      </c>
      <c r="P81" s="42" t="s">
        <v>423</v>
      </c>
      <c r="Q81" s="42" t="s">
        <v>424</v>
      </c>
      <c r="R81" s="43" t="s">
        <v>1050</v>
      </c>
      <c r="S81" s="44">
        <v>32</v>
      </c>
      <c r="T81" s="31">
        <v>186446375.32912546</v>
      </c>
      <c r="U81" s="31">
        <v>5720652.4500000002</v>
      </c>
      <c r="V81" s="31">
        <v>5920120.9800000004</v>
      </c>
      <c r="W81" s="31">
        <v>665792.6</v>
      </c>
      <c r="X81" s="31">
        <v>26929468.383026648</v>
      </c>
      <c r="Y81" s="31">
        <v>12695093.324950587</v>
      </c>
      <c r="Z81" s="31">
        <v>15712592.082703121</v>
      </c>
      <c r="AA81" s="31">
        <f t="shared" si="9"/>
        <v>256722411.5098058</v>
      </c>
      <c r="AB81" s="31">
        <v>2632316.3600000003</v>
      </c>
      <c r="AD81" s="42" t="s">
        <v>423</v>
      </c>
      <c r="AE81" s="42" t="s">
        <v>424</v>
      </c>
      <c r="AF81" s="43" t="s">
        <v>1275</v>
      </c>
      <c r="AG81" s="44">
        <v>32</v>
      </c>
      <c r="AH81" s="31">
        <v>190041768.63428766</v>
      </c>
      <c r="AI81" s="31">
        <v>5837230.7800000003</v>
      </c>
      <c r="AJ81" s="31">
        <v>6036200.2800000003</v>
      </c>
      <c r="AK81" s="31">
        <v>678847.18</v>
      </c>
      <c r="AL81" s="31">
        <v>27432251.624602906</v>
      </c>
      <c r="AM81" s="31">
        <v>12691352.607893966</v>
      </c>
      <c r="AN81" s="31">
        <v>16016217.444865957</v>
      </c>
      <c r="AO81" s="31">
        <f t="shared" si="10"/>
        <v>261413388.15165052</v>
      </c>
      <c r="AP81" s="31">
        <v>2679519.6000000006</v>
      </c>
      <c r="AR81" s="42" t="s">
        <v>423</v>
      </c>
      <c r="AS81" s="42" t="s">
        <v>424</v>
      </c>
      <c r="AT81" s="43" t="s">
        <v>1276</v>
      </c>
      <c r="AU81" s="44">
        <v>32</v>
      </c>
      <c r="AV81" s="31">
        <v>193587566.08018824</v>
      </c>
      <c r="AW81" s="31">
        <v>5945253.5400000028</v>
      </c>
      <c r="AX81" s="31">
        <v>6148591.1700000009</v>
      </c>
      <c r="AY81" s="31">
        <v>691486.96000000008</v>
      </c>
      <c r="AZ81" s="31">
        <v>27944889.570932597</v>
      </c>
      <c r="BA81" s="31">
        <v>12691928.331808778</v>
      </c>
      <c r="BB81" s="31">
        <v>16315830.293365393</v>
      </c>
      <c r="BC81" s="31">
        <f t="shared" si="11"/>
        <v>266055620.216295</v>
      </c>
      <c r="BD81" s="31">
        <v>2730074.2699999996</v>
      </c>
    </row>
    <row r="82" spans="2:56">
      <c r="B82" s="42" t="s">
        <v>65</v>
      </c>
      <c r="C82" s="42" t="s">
        <v>66</v>
      </c>
      <c r="D82" s="43" t="s">
        <v>1049</v>
      </c>
      <c r="E82" s="44">
        <v>32</v>
      </c>
      <c r="F82" s="31">
        <v>180963684.75782695</v>
      </c>
      <c r="G82" s="31">
        <v>8121966.1099999994</v>
      </c>
      <c r="H82" s="31">
        <v>5727135.2300000004</v>
      </c>
      <c r="I82" s="31">
        <v>677993.34</v>
      </c>
      <c r="J82" s="31">
        <v>29313166.775507834</v>
      </c>
      <c r="K82" s="31">
        <v>16429225.342256634</v>
      </c>
      <c r="L82" s="31">
        <v>28000724.103871163</v>
      </c>
      <c r="M82" s="31">
        <f t="shared" si="8"/>
        <v>273244911.58946258</v>
      </c>
      <c r="N82" s="31">
        <v>4011015.93</v>
      </c>
      <c r="P82" s="42" t="s">
        <v>65</v>
      </c>
      <c r="Q82" s="42" t="s">
        <v>66</v>
      </c>
      <c r="R82" s="43" t="s">
        <v>1050</v>
      </c>
      <c r="S82" s="44">
        <v>32</v>
      </c>
      <c r="T82" s="31">
        <v>189793092.15498665</v>
      </c>
      <c r="U82" s="31">
        <v>8482187.3300000019</v>
      </c>
      <c r="V82" s="31">
        <v>5944027.1800000006</v>
      </c>
      <c r="W82" s="31">
        <v>703669.57</v>
      </c>
      <c r="X82" s="31">
        <v>30299299.135304317</v>
      </c>
      <c r="Y82" s="31">
        <v>16445467.038634446</v>
      </c>
      <c r="Z82" s="31">
        <v>29265985.715134848</v>
      </c>
      <c r="AA82" s="31">
        <f t="shared" si="9"/>
        <v>285044010.14406025</v>
      </c>
      <c r="AB82" s="31">
        <v>4110282.0200000005</v>
      </c>
      <c r="AD82" s="42" t="s">
        <v>65</v>
      </c>
      <c r="AE82" s="42" t="s">
        <v>66</v>
      </c>
      <c r="AF82" s="43" t="s">
        <v>1275</v>
      </c>
      <c r="AG82" s="44">
        <v>32</v>
      </c>
      <c r="AH82" s="31">
        <v>193442777.1147112</v>
      </c>
      <c r="AI82" s="31">
        <v>8655836.25</v>
      </c>
      <c r="AJ82" s="31">
        <v>6060400.8600000003</v>
      </c>
      <c r="AK82" s="31">
        <v>717446.19000000006</v>
      </c>
      <c r="AL82" s="31">
        <v>30862214.109822392</v>
      </c>
      <c r="AM82" s="31">
        <v>16439734.163279856</v>
      </c>
      <c r="AN82" s="31">
        <v>29830523.2625723</v>
      </c>
      <c r="AO82" s="31">
        <f t="shared" si="10"/>
        <v>290192103.64038575</v>
      </c>
      <c r="AP82" s="31">
        <v>4183171.6900000004</v>
      </c>
      <c r="AR82" s="42" t="s">
        <v>65</v>
      </c>
      <c r="AS82" s="42" t="s">
        <v>66</v>
      </c>
      <c r="AT82" s="43" t="s">
        <v>1276</v>
      </c>
      <c r="AU82" s="44">
        <v>32</v>
      </c>
      <c r="AV82" s="31">
        <v>197019254.83546057</v>
      </c>
      <c r="AW82" s="31">
        <v>8813910.9100000001</v>
      </c>
      <c r="AX82" s="31">
        <v>6171865.8600000013</v>
      </c>
      <c r="AY82" s="31">
        <v>730641.70000000007</v>
      </c>
      <c r="AZ82" s="31">
        <v>31433705.218275961</v>
      </c>
      <c r="BA82" s="31">
        <v>16440635.339887345</v>
      </c>
      <c r="BB82" s="31">
        <v>30383231.251056284</v>
      </c>
      <c r="BC82" s="31">
        <f t="shared" si="11"/>
        <v>295254481.64468014</v>
      </c>
      <c r="BD82" s="31">
        <v>4261236.53</v>
      </c>
    </row>
    <row r="83" spans="2:56">
      <c r="B83" s="42" t="s">
        <v>497</v>
      </c>
      <c r="C83" s="42" t="s">
        <v>498</v>
      </c>
      <c r="D83" s="43" t="s">
        <v>1049</v>
      </c>
      <c r="E83" s="44">
        <v>32</v>
      </c>
      <c r="F83" s="31">
        <v>425627.35472715984</v>
      </c>
      <c r="G83" s="31">
        <v>13349.65</v>
      </c>
      <c r="H83" s="31">
        <v>0</v>
      </c>
      <c r="I83" s="31">
        <v>682.09999999999991</v>
      </c>
      <c r="J83" s="31">
        <v>9228.2530419587183</v>
      </c>
      <c r="K83" s="31">
        <v>0</v>
      </c>
      <c r="L83" s="31">
        <v>0</v>
      </c>
      <c r="M83" s="31">
        <f t="shared" si="8"/>
        <v>455708.34776911855</v>
      </c>
      <c r="N83" s="31">
        <v>6820.99</v>
      </c>
      <c r="P83" s="42" t="s">
        <v>497</v>
      </c>
      <c r="Q83" s="42" t="s">
        <v>498</v>
      </c>
      <c r="R83" s="43" t="s">
        <v>1050</v>
      </c>
      <c r="S83" s="44">
        <v>32</v>
      </c>
      <c r="T83" s="31">
        <v>444835.19118747488</v>
      </c>
      <c r="U83" s="31">
        <v>13956.540000000003</v>
      </c>
      <c r="V83" s="31">
        <v>0</v>
      </c>
      <c r="W83" s="31">
        <v>708.29</v>
      </c>
      <c r="X83" s="31">
        <v>9539.9367261733787</v>
      </c>
      <c r="Y83" s="31">
        <v>0</v>
      </c>
      <c r="Z83" s="31">
        <v>0</v>
      </c>
      <c r="AA83" s="31">
        <f t="shared" si="9"/>
        <v>476028.6279136482</v>
      </c>
      <c r="AB83" s="31">
        <v>6988.67</v>
      </c>
      <c r="AD83" s="42" t="s">
        <v>497</v>
      </c>
      <c r="AE83" s="42" t="s">
        <v>498</v>
      </c>
      <c r="AF83" s="43" t="s">
        <v>1275</v>
      </c>
      <c r="AG83" s="44">
        <v>32</v>
      </c>
      <c r="AH83" s="31">
        <v>453357.14219781745</v>
      </c>
      <c r="AI83" s="31">
        <v>14243.140000000003</v>
      </c>
      <c r="AJ83" s="31">
        <v>0</v>
      </c>
      <c r="AK83" s="31">
        <v>722.15000000000009</v>
      </c>
      <c r="AL83" s="31">
        <v>9716.4775525727655</v>
      </c>
      <c r="AM83" s="31">
        <v>0</v>
      </c>
      <c r="AN83" s="31">
        <v>0</v>
      </c>
      <c r="AO83" s="31">
        <f t="shared" si="10"/>
        <v>485150.70975039026</v>
      </c>
      <c r="AP83" s="31">
        <v>7111.7999999999993</v>
      </c>
      <c r="AR83" s="42" t="s">
        <v>497</v>
      </c>
      <c r="AS83" s="42" t="s">
        <v>498</v>
      </c>
      <c r="AT83" s="43" t="s">
        <v>1276</v>
      </c>
      <c r="AU83" s="44">
        <v>32</v>
      </c>
      <c r="AV83" s="31">
        <v>461616.02227303426</v>
      </c>
      <c r="AW83" s="31">
        <v>14501.240000000003</v>
      </c>
      <c r="AX83" s="31">
        <v>0</v>
      </c>
      <c r="AY83" s="31">
        <v>735.34</v>
      </c>
      <c r="AZ83" s="31">
        <v>9895.1039143323051</v>
      </c>
      <c r="BA83" s="31">
        <v>0</v>
      </c>
      <c r="BB83" s="31">
        <v>0</v>
      </c>
      <c r="BC83" s="31">
        <f t="shared" si="11"/>
        <v>493991.37618736655</v>
      </c>
      <c r="BD83" s="31">
        <v>7243.67</v>
      </c>
    </row>
    <row r="84" spans="2:56">
      <c r="B84" s="42" t="s">
        <v>185</v>
      </c>
      <c r="C84" s="42" t="s">
        <v>186</v>
      </c>
      <c r="D84" s="43" t="s">
        <v>1049</v>
      </c>
      <c r="E84" s="44">
        <v>32</v>
      </c>
      <c r="F84" s="31">
        <v>179101201.58127844</v>
      </c>
      <c r="G84" s="31">
        <v>9248377.5899999999</v>
      </c>
      <c r="H84" s="31">
        <v>8544697.8599999994</v>
      </c>
      <c r="I84" s="31">
        <v>634281.60999999987</v>
      </c>
      <c r="J84" s="31">
        <v>27615229.700525362</v>
      </c>
      <c r="K84" s="31">
        <v>13452641.209165677</v>
      </c>
      <c r="L84" s="31">
        <v>13151729.831512645</v>
      </c>
      <c r="M84" s="31">
        <f t="shared" si="8"/>
        <v>257700341.63248211</v>
      </c>
      <c r="N84" s="31">
        <v>5952182.25</v>
      </c>
      <c r="P84" s="42" t="s">
        <v>185</v>
      </c>
      <c r="Q84" s="42" t="s">
        <v>186</v>
      </c>
      <c r="R84" s="43" t="s">
        <v>1050</v>
      </c>
      <c r="S84" s="44">
        <v>32</v>
      </c>
      <c r="T84" s="31">
        <v>187748521.4881025</v>
      </c>
      <c r="U84" s="31">
        <v>9668557.6999999993</v>
      </c>
      <c r="V84" s="31">
        <v>8864197.8499999996</v>
      </c>
      <c r="W84" s="31">
        <v>657998.43000000005</v>
      </c>
      <c r="X84" s="31">
        <v>28537545.6750517</v>
      </c>
      <c r="Y84" s="31">
        <v>13461803.431212185</v>
      </c>
      <c r="Z84" s="31">
        <v>13745918.129424062</v>
      </c>
      <c r="AA84" s="31">
        <f t="shared" si="9"/>
        <v>268784918.21379042</v>
      </c>
      <c r="AB84" s="31">
        <v>6100375.5099999998</v>
      </c>
      <c r="AD84" s="42" t="s">
        <v>185</v>
      </c>
      <c r="AE84" s="42" t="s">
        <v>186</v>
      </c>
      <c r="AF84" s="43" t="s">
        <v>1275</v>
      </c>
      <c r="AG84" s="44">
        <v>32</v>
      </c>
      <c r="AH84" s="31">
        <v>191359814.11253089</v>
      </c>
      <c r="AI84" s="31">
        <v>9868711.9299999997</v>
      </c>
      <c r="AJ84" s="31">
        <v>9037879.5300000012</v>
      </c>
      <c r="AK84" s="31">
        <v>670890.99000000011</v>
      </c>
      <c r="AL84" s="31">
        <v>29069102.53067195</v>
      </c>
      <c r="AM84" s="31">
        <v>13458452.856020821</v>
      </c>
      <c r="AN84" s="31">
        <v>14011299.880276307</v>
      </c>
      <c r="AO84" s="31">
        <f t="shared" si="10"/>
        <v>273685343.52949995</v>
      </c>
      <c r="AP84" s="31">
        <v>6209191.6999999993</v>
      </c>
      <c r="AR84" s="42" t="s">
        <v>185</v>
      </c>
      <c r="AS84" s="42" t="s">
        <v>186</v>
      </c>
      <c r="AT84" s="43" t="s">
        <v>1276</v>
      </c>
      <c r="AU84" s="44">
        <v>32</v>
      </c>
      <c r="AV84" s="31">
        <v>194913958.48915598</v>
      </c>
      <c r="AW84" s="31">
        <v>10049792.709999997</v>
      </c>
      <c r="AX84" s="31">
        <v>9205182.4300000016</v>
      </c>
      <c r="AY84" s="31">
        <v>683310.05999999994</v>
      </c>
      <c r="AZ84" s="31">
        <v>29609974.856412232</v>
      </c>
      <c r="BA84" s="31">
        <v>13458973.744897682</v>
      </c>
      <c r="BB84" s="31">
        <v>14272226.695764057</v>
      </c>
      <c r="BC84" s="31">
        <f t="shared" si="11"/>
        <v>278519152.81622994</v>
      </c>
      <c r="BD84" s="31">
        <v>6325733.8299999991</v>
      </c>
    </row>
    <row r="85" spans="2:56">
      <c r="B85" s="42" t="s">
        <v>541</v>
      </c>
      <c r="C85" s="42" t="s">
        <v>542</v>
      </c>
      <c r="D85" s="43" t="s">
        <v>1049</v>
      </c>
      <c r="E85" s="44">
        <v>32</v>
      </c>
      <c r="F85" s="31">
        <v>38401502.021323793</v>
      </c>
      <c r="G85" s="31">
        <v>1444919.2800000003</v>
      </c>
      <c r="H85" s="31">
        <v>566366.79999999993</v>
      </c>
      <c r="I85" s="31">
        <v>133612.07999999999</v>
      </c>
      <c r="J85" s="31">
        <v>6032406.234308891</v>
      </c>
      <c r="K85" s="31">
        <v>2666314.9565983322</v>
      </c>
      <c r="L85" s="31">
        <v>2570515.8110656892</v>
      </c>
      <c r="M85" s="31">
        <f t="shared" si="8"/>
        <v>52338527.043296702</v>
      </c>
      <c r="N85" s="31">
        <v>522889.86</v>
      </c>
      <c r="P85" s="42" t="s">
        <v>541</v>
      </c>
      <c r="Q85" s="42" t="s">
        <v>542</v>
      </c>
      <c r="R85" s="43" t="s">
        <v>1050</v>
      </c>
      <c r="S85" s="44">
        <v>32</v>
      </c>
      <c r="T85" s="31">
        <v>39600569.344904609</v>
      </c>
      <c r="U85" s="31">
        <v>1493766.7500000002</v>
      </c>
      <c r="V85" s="31">
        <v>582911.26</v>
      </c>
      <c r="W85" s="31">
        <v>137515.10999999999</v>
      </c>
      <c r="X85" s="31">
        <v>6192371.5060373843</v>
      </c>
      <c r="Y85" s="31">
        <v>2669254.2283466626</v>
      </c>
      <c r="Z85" s="31">
        <v>2643221.5720080184</v>
      </c>
      <c r="AA85" s="31">
        <f t="shared" si="9"/>
        <v>53851134.951296672</v>
      </c>
      <c r="AB85" s="31">
        <v>531525.17999999993</v>
      </c>
      <c r="AD85" s="42" t="s">
        <v>541</v>
      </c>
      <c r="AE85" s="42" t="s">
        <v>542</v>
      </c>
      <c r="AF85" s="43" t="s">
        <v>1275</v>
      </c>
      <c r="AG85" s="44">
        <v>32</v>
      </c>
      <c r="AH85" s="31">
        <v>40362275.552238472</v>
      </c>
      <c r="AI85" s="31">
        <v>1523980.2200000002</v>
      </c>
      <c r="AJ85" s="31">
        <v>594328.22</v>
      </c>
      <c r="AK85" s="31">
        <v>140208.5</v>
      </c>
      <c r="AL85" s="31">
        <v>6307556.7486990308</v>
      </c>
      <c r="AM85" s="31">
        <v>2668195.3839035546</v>
      </c>
      <c r="AN85" s="31">
        <v>2694218.6336570838</v>
      </c>
      <c r="AO85" s="31">
        <f t="shared" si="10"/>
        <v>54831742.588498138</v>
      </c>
      <c r="AP85" s="31">
        <v>540979.32999999996</v>
      </c>
      <c r="AR85" s="42" t="s">
        <v>541</v>
      </c>
      <c r="AS85" s="42" t="s">
        <v>542</v>
      </c>
      <c r="AT85" s="43" t="s">
        <v>1276</v>
      </c>
      <c r="AU85" s="44">
        <v>32</v>
      </c>
      <c r="AV85" s="31">
        <v>41110196.955082856</v>
      </c>
      <c r="AW85" s="31">
        <v>1551960.07</v>
      </c>
      <c r="AX85" s="31">
        <v>605295.52</v>
      </c>
      <c r="AY85" s="31">
        <v>142795.79999999999</v>
      </c>
      <c r="AZ85" s="31">
        <v>6424621.9173370581</v>
      </c>
      <c r="BA85" s="31">
        <v>2668360.8861450944</v>
      </c>
      <c r="BB85" s="31">
        <v>2744278.0390745522</v>
      </c>
      <c r="BC85" s="31">
        <f t="shared" si="11"/>
        <v>55798613.927639566</v>
      </c>
      <c r="BD85" s="31">
        <v>551104.74</v>
      </c>
    </row>
    <row r="86" spans="2:56">
      <c r="B86" s="42" t="s">
        <v>389</v>
      </c>
      <c r="C86" s="42" t="s">
        <v>390</v>
      </c>
      <c r="D86" s="43" t="s">
        <v>1049</v>
      </c>
      <c r="E86" s="44">
        <v>32</v>
      </c>
      <c r="F86" s="31">
        <v>31556137.665536307</v>
      </c>
      <c r="G86" s="31">
        <v>1167698.8600000001</v>
      </c>
      <c r="H86" s="31">
        <v>896464.27</v>
      </c>
      <c r="I86" s="31">
        <v>114981.06</v>
      </c>
      <c r="J86" s="31">
        <v>4129633.4162087026</v>
      </c>
      <c r="K86" s="31">
        <v>2039003.2324999091</v>
      </c>
      <c r="L86" s="31">
        <v>3497348.2767773289</v>
      </c>
      <c r="M86" s="31">
        <f t="shared" si="8"/>
        <v>43667113.331022248</v>
      </c>
      <c r="N86" s="31">
        <v>265846.55</v>
      </c>
      <c r="P86" s="42" t="s">
        <v>389</v>
      </c>
      <c r="Q86" s="42" t="s">
        <v>390</v>
      </c>
      <c r="R86" s="43" t="s">
        <v>1050</v>
      </c>
      <c r="S86" s="44">
        <v>32</v>
      </c>
      <c r="T86" s="31">
        <v>32747532.674349464</v>
      </c>
      <c r="U86" s="31">
        <v>1214682.5700000003</v>
      </c>
      <c r="V86" s="31">
        <v>929984.5</v>
      </c>
      <c r="W86" s="31">
        <v>119280.38</v>
      </c>
      <c r="X86" s="31">
        <v>4267551.952217672</v>
      </c>
      <c r="Y86" s="31">
        <v>2040549.4507512222</v>
      </c>
      <c r="Z86" s="31">
        <v>3619814.4667737726</v>
      </c>
      <c r="AA86" s="31">
        <f t="shared" si="9"/>
        <v>45211861.414092138</v>
      </c>
      <c r="AB86" s="31">
        <v>272465.42</v>
      </c>
      <c r="AD86" s="42" t="s">
        <v>389</v>
      </c>
      <c r="AE86" s="42" t="s">
        <v>390</v>
      </c>
      <c r="AF86" s="43" t="s">
        <v>1275</v>
      </c>
      <c r="AG86" s="44">
        <v>32</v>
      </c>
      <c r="AH86" s="31">
        <v>33378526.257526562</v>
      </c>
      <c r="AI86" s="31">
        <v>1238961.0399999998</v>
      </c>
      <c r="AJ86" s="31">
        <v>948206.28</v>
      </c>
      <c r="AK86" s="31">
        <v>121617.51</v>
      </c>
      <c r="AL86" s="31">
        <v>4347035.9139609886</v>
      </c>
      <c r="AM86" s="31">
        <v>2039984.0070753342</v>
      </c>
      <c r="AN86" s="31">
        <v>3689691.2913403455</v>
      </c>
      <c r="AO86" s="31">
        <f t="shared" si="10"/>
        <v>46041347.849903218</v>
      </c>
      <c r="AP86" s="31">
        <v>277325.55</v>
      </c>
      <c r="AR86" s="42" t="s">
        <v>389</v>
      </c>
      <c r="AS86" s="42" t="s">
        <v>390</v>
      </c>
      <c r="AT86" s="43" t="s">
        <v>1276</v>
      </c>
      <c r="AU86" s="44">
        <v>32</v>
      </c>
      <c r="AV86" s="31">
        <v>33998577.896483272</v>
      </c>
      <c r="AW86" s="31">
        <v>1261824.27</v>
      </c>
      <c r="AX86" s="31">
        <v>965758.80999999994</v>
      </c>
      <c r="AY86" s="31">
        <v>123868.81</v>
      </c>
      <c r="AZ86" s="31">
        <v>4427908.0379504366</v>
      </c>
      <c r="BA86" s="31">
        <v>2040071.9123764958</v>
      </c>
      <c r="BB86" s="31">
        <v>3758408.5520675448</v>
      </c>
      <c r="BC86" s="31">
        <f t="shared" si="11"/>
        <v>46858949.038877755</v>
      </c>
      <c r="BD86" s="31">
        <v>282530.74999999994</v>
      </c>
    </row>
    <row r="87" spans="2:56">
      <c r="B87" s="42" t="s">
        <v>23</v>
      </c>
      <c r="C87" s="42" t="s">
        <v>24</v>
      </c>
      <c r="D87" s="43" t="s">
        <v>1049</v>
      </c>
      <c r="E87" s="44">
        <v>32</v>
      </c>
      <c r="F87" s="31">
        <v>6743997.5453808475</v>
      </c>
      <c r="G87" s="31">
        <v>418029.32000000007</v>
      </c>
      <c r="H87" s="31">
        <v>257930.90999999997</v>
      </c>
      <c r="I87" s="31">
        <v>23776.03</v>
      </c>
      <c r="J87" s="31">
        <v>987822.41987919831</v>
      </c>
      <c r="K87" s="31">
        <v>621971.80617919401</v>
      </c>
      <c r="L87" s="31">
        <v>623119.02699683991</v>
      </c>
      <c r="M87" s="31">
        <f t="shared" si="8"/>
        <v>9925320.9084360804</v>
      </c>
      <c r="N87" s="31">
        <v>248673.85</v>
      </c>
      <c r="P87" s="42" t="s">
        <v>23</v>
      </c>
      <c r="Q87" s="42" t="s">
        <v>24</v>
      </c>
      <c r="R87" s="43" t="s">
        <v>1050</v>
      </c>
      <c r="S87" s="44">
        <v>32</v>
      </c>
      <c r="T87" s="31">
        <v>7076662.1212212555</v>
      </c>
      <c r="U87" s="31">
        <v>437518.07999999996</v>
      </c>
      <c r="V87" s="31">
        <v>267835.71000000002</v>
      </c>
      <c r="W87" s="31">
        <v>24689.05</v>
      </c>
      <c r="X87" s="31">
        <v>1021311.9540795138</v>
      </c>
      <c r="Y87" s="31">
        <v>622634.4223155583</v>
      </c>
      <c r="Z87" s="31">
        <v>651590.37676433101</v>
      </c>
      <c r="AA87" s="31">
        <f t="shared" si="9"/>
        <v>10357028.874380659</v>
      </c>
      <c r="AB87" s="31">
        <v>254787.16000000003</v>
      </c>
      <c r="AD87" s="42" t="s">
        <v>23</v>
      </c>
      <c r="AE87" s="42" t="s">
        <v>24</v>
      </c>
      <c r="AF87" s="43" t="s">
        <v>1275</v>
      </c>
      <c r="AG87" s="44">
        <v>32</v>
      </c>
      <c r="AH87" s="31">
        <v>7212622.2453447627</v>
      </c>
      <c r="AI87" s="31">
        <v>446571.51999999996</v>
      </c>
      <c r="AJ87" s="31">
        <v>273074.94</v>
      </c>
      <c r="AK87" s="31">
        <v>25172.01</v>
      </c>
      <c r="AL87" s="31">
        <v>1040229.866127011</v>
      </c>
      <c r="AM87" s="31">
        <v>622409.31228956277</v>
      </c>
      <c r="AN87" s="31">
        <v>664141.34820917924</v>
      </c>
      <c r="AO87" s="31">
        <f t="shared" si="10"/>
        <v>10543497.321970515</v>
      </c>
      <c r="AP87" s="31">
        <v>259276.08000000002</v>
      </c>
      <c r="AR87" s="42" t="s">
        <v>23</v>
      </c>
      <c r="AS87" s="42" t="s">
        <v>24</v>
      </c>
      <c r="AT87" s="43" t="s">
        <v>1276</v>
      </c>
      <c r="AU87" s="44">
        <v>32</v>
      </c>
      <c r="AV87" s="31">
        <v>7345250.3655136656</v>
      </c>
      <c r="AW87" s="31">
        <v>454653.31999999989</v>
      </c>
      <c r="AX87" s="31">
        <v>278061.53000000003</v>
      </c>
      <c r="AY87" s="31">
        <v>25631.660000000003</v>
      </c>
      <c r="AZ87" s="31">
        <v>1059386.1114376171</v>
      </c>
      <c r="BA87" s="31">
        <v>622445.13525157631</v>
      </c>
      <c r="BB87" s="31">
        <v>676385.37365861167</v>
      </c>
      <c r="BC87" s="31">
        <f t="shared" si="11"/>
        <v>10725897.205861473</v>
      </c>
      <c r="BD87" s="31">
        <v>264083.71000000002</v>
      </c>
    </row>
    <row r="88" spans="2:56">
      <c r="B88" s="42" t="s">
        <v>381</v>
      </c>
      <c r="C88" s="42" t="s">
        <v>382</v>
      </c>
      <c r="D88" s="43" t="s">
        <v>1049</v>
      </c>
      <c r="E88" s="44">
        <v>32</v>
      </c>
      <c r="F88" s="31">
        <v>60686154.072240017</v>
      </c>
      <c r="G88" s="31">
        <v>3753998.1799999992</v>
      </c>
      <c r="H88" s="31">
        <v>1525998.0000000002</v>
      </c>
      <c r="I88" s="31">
        <v>216079.58999999997</v>
      </c>
      <c r="J88" s="31">
        <v>9534636.2268059608</v>
      </c>
      <c r="K88" s="31">
        <v>4352037.6187080862</v>
      </c>
      <c r="L88" s="31">
        <v>5892881.4533175211</v>
      </c>
      <c r="M88" s="31">
        <f t="shared" si="8"/>
        <v>88187425.481071591</v>
      </c>
      <c r="N88" s="31">
        <v>2225640.3400000003</v>
      </c>
      <c r="P88" s="42" t="s">
        <v>381</v>
      </c>
      <c r="Q88" s="42" t="s">
        <v>382</v>
      </c>
      <c r="R88" s="43" t="s">
        <v>1050</v>
      </c>
      <c r="S88" s="44">
        <v>32</v>
      </c>
      <c r="T88" s="31">
        <v>63672089.992125168</v>
      </c>
      <c r="U88" s="31">
        <v>3925371.6999999997</v>
      </c>
      <c r="V88" s="31">
        <v>1583788.9800000002</v>
      </c>
      <c r="W88" s="31">
        <v>224262.72999999998</v>
      </c>
      <c r="X88" s="31">
        <v>9855214.2512788847</v>
      </c>
      <c r="Y88" s="31">
        <v>4356209.9670449812</v>
      </c>
      <c r="Z88" s="31">
        <v>6160290.0181048503</v>
      </c>
      <c r="AA88" s="31">
        <f t="shared" si="9"/>
        <v>92057948.938553885</v>
      </c>
      <c r="AB88" s="31">
        <v>2280721.3000000003</v>
      </c>
      <c r="AD88" s="42" t="s">
        <v>381</v>
      </c>
      <c r="AE88" s="42" t="s">
        <v>382</v>
      </c>
      <c r="AF88" s="43" t="s">
        <v>1275</v>
      </c>
      <c r="AG88" s="44">
        <v>32</v>
      </c>
      <c r="AH88" s="31">
        <v>64897285.109046116</v>
      </c>
      <c r="AI88" s="31">
        <v>4006430.9899999998</v>
      </c>
      <c r="AJ88" s="31">
        <v>1614796.81</v>
      </c>
      <c r="AK88" s="31">
        <v>228653.40999999997</v>
      </c>
      <c r="AL88" s="31">
        <v>10038279.503300795</v>
      </c>
      <c r="AM88" s="31">
        <v>4354737.242004755</v>
      </c>
      <c r="AN88" s="31">
        <v>6279090.6096000224</v>
      </c>
      <c r="AO88" s="31">
        <f t="shared" si="10"/>
        <v>93740440.133951679</v>
      </c>
      <c r="AP88" s="31">
        <v>2321166.4600000004</v>
      </c>
      <c r="AR88" s="42" t="s">
        <v>381</v>
      </c>
      <c r="AS88" s="42" t="s">
        <v>382</v>
      </c>
      <c r="AT88" s="43" t="s">
        <v>1276</v>
      </c>
      <c r="AU88" s="44">
        <v>32</v>
      </c>
      <c r="AV88" s="31">
        <v>66096871.469377518</v>
      </c>
      <c r="AW88" s="31">
        <v>4079493.5900000012</v>
      </c>
      <c r="AX88" s="31">
        <v>1644496.71</v>
      </c>
      <c r="AY88" s="31">
        <v>232858.88</v>
      </c>
      <c r="AZ88" s="31">
        <v>10224109.43349045</v>
      </c>
      <c r="BA88" s="31">
        <v>4354968.7463151459</v>
      </c>
      <c r="BB88" s="31">
        <v>6395460.026251195</v>
      </c>
      <c r="BC88" s="31">
        <f t="shared" si="11"/>
        <v>95392742.085434318</v>
      </c>
      <c r="BD88" s="31">
        <v>2364483.23</v>
      </c>
    </row>
    <row r="89" spans="2:56">
      <c r="B89" s="42" t="s">
        <v>465</v>
      </c>
      <c r="C89" s="42" t="s">
        <v>466</v>
      </c>
      <c r="D89" s="43" t="s">
        <v>1049</v>
      </c>
      <c r="E89" s="44">
        <v>32</v>
      </c>
      <c r="F89" s="31">
        <v>6478884.0118916463</v>
      </c>
      <c r="G89" s="31">
        <v>125396.53000000001</v>
      </c>
      <c r="H89" s="31">
        <v>0</v>
      </c>
      <c r="I89" s="31">
        <v>0</v>
      </c>
      <c r="J89" s="31">
        <v>1013986.9416784635</v>
      </c>
      <c r="K89" s="31">
        <v>751013.30936871737</v>
      </c>
      <c r="L89" s="31">
        <v>1114854.5527293922</v>
      </c>
      <c r="M89" s="31">
        <f t="shared" si="8"/>
        <v>9484135.345668219</v>
      </c>
      <c r="N89" s="31">
        <v>0</v>
      </c>
      <c r="P89" s="42" t="s">
        <v>465</v>
      </c>
      <c r="Q89" s="42" t="s">
        <v>466</v>
      </c>
      <c r="R89" s="43" t="s">
        <v>1050</v>
      </c>
      <c r="S89" s="44">
        <v>32</v>
      </c>
      <c r="T89" s="31">
        <v>6727384.5566111794</v>
      </c>
      <c r="U89" s="31">
        <v>130166.83</v>
      </c>
      <c r="V89" s="31">
        <v>0</v>
      </c>
      <c r="W89" s="31">
        <v>0</v>
      </c>
      <c r="X89" s="31">
        <v>1048243.9590218788</v>
      </c>
      <c r="Y89" s="31">
        <v>751831.88606804865</v>
      </c>
      <c r="Z89" s="31">
        <v>1154396.6342312992</v>
      </c>
      <c r="AA89" s="31">
        <f t="shared" si="9"/>
        <v>9812023.865932405</v>
      </c>
      <c r="AB89" s="31">
        <v>0</v>
      </c>
      <c r="AD89" s="42" t="s">
        <v>465</v>
      </c>
      <c r="AE89" s="42" t="s">
        <v>466</v>
      </c>
      <c r="AF89" s="43" t="s">
        <v>1275</v>
      </c>
      <c r="AG89" s="44">
        <v>32</v>
      </c>
      <c r="AH89" s="31">
        <v>6856753.3983269492</v>
      </c>
      <c r="AI89" s="31">
        <v>132714.54999999999</v>
      </c>
      <c r="AJ89" s="31">
        <v>0</v>
      </c>
      <c r="AK89" s="31">
        <v>0</v>
      </c>
      <c r="AL89" s="31">
        <v>1067692.047960595</v>
      </c>
      <c r="AM89" s="31">
        <v>751553.79169039452</v>
      </c>
      <c r="AN89" s="31">
        <v>1176645.2414851619</v>
      </c>
      <c r="AO89" s="31">
        <f t="shared" si="10"/>
        <v>9985359.0294631012</v>
      </c>
      <c r="AP89" s="31">
        <v>0</v>
      </c>
      <c r="AR89" s="42" t="s">
        <v>465</v>
      </c>
      <c r="AS89" s="42" t="s">
        <v>466</v>
      </c>
      <c r="AT89" s="43" t="s">
        <v>1276</v>
      </c>
      <c r="AU89" s="44">
        <v>32</v>
      </c>
      <c r="AV89" s="31">
        <v>6983229.7014416689</v>
      </c>
      <c r="AW89" s="31">
        <v>135149.87</v>
      </c>
      <c r="AX89" s="31">
        <v>0</v>
      </c>
      <c r="AY89" s="31">
        <v>0</v>
      </c>
      <c r="AZ89" s="31">
        <v>1087411.4981647071</v>
      </c>
      <c r="BA89" s="31">
        <v>751598.04633557447</v>
      </c>
      <c r="BB89" s="31">
        <v>1198400.1754288487</v>
      </c>
      <c r="BC89" s="31">
        <f t="shared" si="11"/>
        <v>10155789.2913708</v>
      </c>
      <c r="BD89" s="31">
        <v>0</v>
      </c>
    </row>
    <row r="90" spans="2:56">
      <c r="B90" s="42" t="s">
        <v>567</v>
      </c>
      <c r="C90" s="42" t="s">
        <v>568</v>
      </c>
      <c r="D90" s="43" t="s">
        <v>1049</v>
      </c>
      <c r="E90" s="44">
        <v>32</v>
      </c>
      <c r="F90" s="31">
        <v>2030412.8579348968</v>
      </c>
      <c r="G90" s="31">
        <v>34299.810000000005</v>
      </c>
      <c r="H90" s="31">
        <v>0</v>
      </c>
      <c r="I90" s="31">
        <v>0</v>
      </c>
      <c r="J90" s="31">
        <v>130256.8708251879</v>
      </c>
      <c r="K90" s="31">
        <v>246235.321783847</v>
      </c>
      <c r="L90" s="31">
        <v>43351.06109314035</v>
      </c>
      <c r="M90" s="31">
        <f t="shared" si="8"/>
        <v>2508039.6416370724</v>
      </c>
      <c r="N90" s="31">
        <v>23483.72</v>
      </c>
      <c r="P90" s="42" t="s">
        <v>567</v>
      </c>
      <c r="Q90" s="42" t="s">
        <v>568</v>
      </c>
      <c r="R90" s="43" t="s">
        <v>1050</v>
      </c>
      <c r="S90" s="44">
        <v>32</v>
      </c>
      <c r="T90" s="31">
        <v>2116082.3699998683</v>
      </c>
      <c r="U90" s="31">
        <v>35941.460000000006</v>
      </c>
      <c r="V90" s="31">
        <v>0</v>
      </c>
      <c r="W90" s="31">
        <v>0</v>
      </c>
      <c r="X90" s="31">
        <v>134665.63295585054</v>
      </c>
      <c r="Y90" s="31">
        <v>246371.7026964644</v>
      </c>
      <c r="Z90" s="31">
        <v>45300.378868233398</v>
      </c>
      <c r="AA90" s="31">
        <f t="shared" si="9"/>
        <v>2602422.5645204168</v>
      </c>
      <c r="AB90" s="31">
        <v>24061.02</v>
      </c>
      <c r="AD90" s="42" t="s">
        <v>567</v>
      </c>
      <c r="AE90" s="42" t="s">
        <v>568</v>
      </c>
      <c r="AF90" s="43" t="s">
        <v>1275</v>
      </c>
      <c r="AG90" s="44">
        <v>32</v>
      </c>
      <c r="AH90" s="31">
        <v>2156539.7044926584</v>
      </c>
      <c r="AI90" s="31">
        <v>36691.280000000013</v>
      </c>
      <c r="AJ90" s="31">
        <v>0</v>
      </c>
      <c r="AK90" s="31">
        <v>0</v>
      </c>
      <c r="AL90" s="31">
        <v>137159.29420933779</v>
      </c>
      <c r="AM90" s="31">
        <v>246325.3701230486</v>
      </c>
      <c r="AN90" s="31">
        <v>46172.911528132463</v>
      </c>
      <c r="AO90" s="31">
        <f t="shared" si="10"/>
        <v>2647373.5003531771</v>
      </c>
      <c r="AP90" s="31">
        <v>24484.94</v>
      </c>
      <c r="AR90" s="42" t="s">
        <v>567</v>
      </c>
      <c r="AS90" s="42" t="s">
        <v>568</v>
      </c>
      <c r="AT90" s="43" t="s">
        <v>1276</v>
      </c>
      <c r="AU90" s="44">
        <v>32</v>
      </c>
      <c r="AV90" s="31">
        <v>2195725.1744350409</v>
      </c>
      <c r="AW90" s="31">
        <v>37354.399999999994</v>
      </c>
      <c r="AX90" s="31">
        <v>0</v>
      </c>
      <c r="AY90" s="31">
        <v>0</v>
      </c>
      <c r="AZ90" s="31">
        <v>139683.73500027577</v>
      </c>
      <c r="BA90" s="31">
        <v>246332.74327317873</v>
      </c>
      <c r="BB90" s="31">
        <v>47024.104525044357</v>
      </c>
      <c r="BC90" s="31">
        <f t="shared" si="11"/>
        <v>2691059.1072335397</v>
      </c>
      <c r="BD90" s="31">
        <v>24938.95</v>
      </c>
    </row>
    <row r="91" spans="2:56">
      <c r="B91" s="42" t="s">
        <v>259</v>
      </c>
      <c r="C91" s="42" t="s">
        <v>260</v>
      </c>
      <c r="D91" s="43" t="s">
        <v>1049</v>
      </c>
      <c r="E91" s="44">
        <v>32</v>
      </c>
      <c r="F91" s="31">
        <v>1956150.5269975346</v>
      </c>
      <c r="G91" s="31">
        <v>18965.86</v>
      </c>
      <c r="H91" s="31">
        <v>0</v>
      </c>
      <c r="I91" s="31">
        <v>0</v>
      </c>
      <c r="J91" s="31">
        <v>61495.652379815343</v>
      </c>
      <c r="K91" s="31">
        <v>67624.64671058477</v>
      </c>
      <c r="L91" s="31">
        <v>0</v>
      </c>
      <c r="M91" s="31">
        <f t="shared" si="8"/>
        <v>2108978.1460879347</v>
      </c>
      <c r="N91" s="31">
        <v>4741.46</v>
      </c>
      <c r="P91" s="42" t="s">
        <v>259</v>
      </c>
      <c r="Q91" s="42" t="s">
        <v>260</v>
      </c>
      <c r="R91" s="43" t="s">
        <v>1050</v>
      </c>
      <c r="S91" s="44">
        <v>32</v>
      </c>
      <c r="T91" s="31">
        <v>2030981.8816806376</v>
      </c>
      <c r="U91" s="31">
        <v>19750.63</v>
      </c>
      <c r="V91" s="31">
        <v>0</v>
      </c>
      <c r="W91" s="31">
        <v>0</v>
      </c>
      <c r="X91" s="31">
        <v>63574.114231717809</v>
      </c>
      <c r="Y91" s="31">
        <v>67683.828483749181</v>
      </c>
      <c r="Z91" s="31">
        <v>0</v>
      </c>
      <c r="AA91" s="31">
        <f t="shared" si="9"/>
        <v>2186849.0043961043</v>
      </c>
      <c r="AB91" s="31">
        <v>4858.55</v>
      </c>
      <c r="AD91" s="42" t="s">
        <v>259</v>
      </c>
      <c r="AE91" s="42" t="s">
        <v>260</v>
      </c>
      <c r="AF91" s="43" t="s">
        <v>1275</v>
      </c>
      <c r="AG91" s="44">
        <v>32</v>
      </c>
      <c r="AH91" s="31">
        <v>2069776.3829622965</v>
      </c>
      <c r="AI91" s="31">
        <v>20146.309999999998</v>
      </c>
      <c r="AJ91" s="31">
        <v>0</v>
      </c>
      <c r="AK91" s="31">
        <v>0</v>
      </c>
      <c r="AL91" s="31">
        <v>64753.861839698802</v>
      </c>
      <c r="AM91" s="31">
        <v>67663.722709433758</v>
      </c>
      <c r="AN91" s="31">
        <v>0</v>
      </c>
      <c r="AO91" s="31">
        <f t="shared" si="10"/>
        <v>2227284.8075114288</v>
      </c>
      <c r="AP91" s="31">
        <v>4944.53</v>
      </c>
      <c r="AR91" s="42" t="s">
        <v>259</v>
      </c>
      <c r="AS91" s="42" t="s">
        <v>260</v>
      </c>
      <c r="AT91" s="43" t="s">
        <v>1276</v>
      </c>
      <c r="AU91" s="44">
        <v>32</v>
      </c>
      <c r="AV91" s="31">
        <v>2107381.6275806301</v>
      </c>
      <c r="AW91" s="31">
        <v>20514.64</v>
      </c>
      <c r="AX91" s="31">
        <v>0</v>
      </c>
      <c r="AY91" s="31">
        <v>0</v>
      </c>
      <c r="AZ91" s="31">
        <v>65950.279147848545</v>
      </c>
      <c r="BA91" s="31">
        <v>67666.922248798423</v>
      </c>
      <c r="BB91" s="31">
        <v>0</v>
      </c>
      <c r="BC91" s="31">
        <f t="shared" si="11"/>
        <v>2266550.078977277</v>
      </c>
      <c r="BD91" s="31">
        <v>5036.6100000000006</v>
      </c>
    </row>
    <row r="92" spans="2:56">
      <c r="B92" s="42" t="s">
        <v>265</v>
      </c>
      <c r="C92" s="42" t="s">
        <v>266</v>
      </c>
      <c r="D92" s="43" t="s">
        <v>1049</v>
      </c>
      <c r="E92" s="44">
        <v>32</v>
      </c>
      <c r="F92" s="31">
        <v>18534781.405275632</v>
      </c>
      <c r="G92" s="31">
        <v>825827.14999999991</v>
      </c>
      <c r="H92" s="31">
        <v>108843.53000000001</v>
      </c>
      <c r="I92" s="31">
        <v>0</v>
      </c>
      <c r="J92" s="31">
        <v>2616339.1519687646</v>
      </c>
      <c r="K92" s="31">
        <v>513964.93255708745</v>
      </c>
      <c r="L92" s="31">
        <v>953505.55392894894</v>
      </c>
      <c r="M92" s="31">
        <f t="shared" si="8"/>
        <v>23709072.653730433</v>
      </c>
      <c r="N92" s="31">
        <v>155810.93000000002</v>
      </c>
      <c r="P92" s="42" t="s">
        <v>265</v>
      </c>
      <c r="Q92" s="42" t="s">
        <v>266</v>
      </c>
      <c r="R92" s="43" t="s">
        <v>1050</v>
      </c>
      <c r="S92" s="44">
        <v>32</v>
      </c>
      <c r="T92" s="31">
        <v>19291604.281661328</v>
      </c>
      <c r="U92" s="31">
        <v>859692.62999999989</v>
      </c>
      <c r="V92" s="31">
        <v>113023.25000000001</v>
      </c>
      <c r="W92" s="31">
        <v>0</v>
      </c>
      <c r="X92" s="31">
        <v>2705162.1180200856</v>
      </c>
      <c r="Y92" s="31">
        <v>514573.00577292783</v>
      </c>
      <c r="Z92" s="31">
        <v>997043.19416977721</v>
      </c>
      <c r="AA92" s="31">
        <f t="shared" si="9"/>
        <v>24640739.819624122</v>
      </c>
      <c r="AB92" s="31">
        <v>159641.34000000003</v>
      </c>
      <c r="AD92" s="42" t="s">
        <v>265</v>
      </c>
      <c r="AE92" s="42" t="s">
        <v>266</v>
      </c>
      <c r="AF92" s="43" t="s">
        <v>1275</v>
      </c>
      <c r="AG92" s="44">
        <v>32</v>
      </c>
      <c r="AH92" s="31">
        <v>19654280.542066231</v>
      </c>
      <c r="AI92" s="31">
        <v>876819.5</v>
      </c>
      <c r="AJ92" s="31">
        <v>115234.12999999999</v>
      </c>
      <c r="AK92" s="31">
        <v>0</v>
      </c>
      <c r="AL92" s="31">
        <v>2755320.0927863754</v>
      </c>
      <c r="AM92" s="31">
        <v>514366.42556771869</v>
      </c>
      <c r="AN92" s="31">
        <v>1016247.9965915023</v>
      </c>
      <c r="AO92" s="31">
        <f t="shared" si="10"/>
        <v>25094722.627011828</v>
      </c>
      <c r="AP92" s="31">
        <v>162453.94</v>
      </c>
      <c r="AR92" s="42" t="s">
        <v>265</v>
      </c>
      <c r="AS92" s="42" t="s">
        <v>266</v>
      </c>
      <c r="AT92" s="43" t="s">
        <v>1276</v>
      </c>
      <c r="AU92" s="44">
        <v>32</v>
      </c>
      <c r="AV92" s="31">
        <v>20017542.190993082</v>
      </c>
      <c r="AW92" s="31">
        <v>892785.28</v>
      </c>
      <c r="AX92" s="31">
        <v>117338.40999999999</v>
      </c>
      <c r="AY92" s="31">
        <v>0</v>
      </c>
      <c r="AZ92" s="31">
        <v>2806150.6585459304</v>
      </c>
      <c r="BA92" s="31">
        <v>514399.2997802787</v>
      </c>
      <c r="BB92" s="31">
        <v>1034982.9802546098</v>
      </c>
      <c r="BC92" s="31">
        <f t="shared" si="11"/>
        <v>25548665.069573902</v>
      </c>
      <c r="BD92" s="31">
        <v>165466.25000000003</v>
      </c>
    </row>
    <row r="93" spans="2:56">
      <c r="B93" s="42" t="s">
        <v>139</v>
      </c>
      <c r="C93" s="42" t="s">
        <v>140</v>
      </c>
      <c r="D93" s="43" t="s">
        <v>1049</v>
      </c>
      <c r="E93" s="44">
        <v>32</v>
      </c>
      <c r="F93" s="31">
        <v>5988564.7930151904</v>
      </c>
      <c r="G93" s="31">
        <v>329258.97000000009</v>
      </c>
      <c r="H93" s="31">
        <v>0</v>
      </c>
      <c r="I93" s="31">
        <v>20170.64</v>
      </c>
      <c r="J93" s="31">
        <v>870886.80414785841</v>
      </c>
      <c r="K93" s="31">
        <v>483437.74882389733</v>
      </c>
      <c r="L93" s="31">
        <v>300792.25297684624</v>
      </c>
      <c r="M93" s="31">
        <f t="shared" si="8"/>
        <v>8198033.288963791</v>
      </c>
      <c r="N93" s="31">
        <v>204922.08</v>
      </c>
      <c r="P93" s="42" t="s">
        <v>139</v>
      </c>
      <c r="Q93" s="42" t="s">
        <v>140</v>
      </c>
      <c r="R93" s="43" t="s">
        <v>1050</v>
      </c>
      <c r="S93" s="44">
        <v>32</v>
      </c>
      <c r="T93" s="31">
        <v>6276402.1846593507</v>
      </c>
      <c r="U93" s="31">
        <v>344734.32</v>
      </c>
      <c r="V93" s="31">
        <v>0</v>
      </c>
      <c r="W93" s="31">
        <v>20945.210000000003</v>
      </c>
      <c r="X93" s="31">
        <v>900396.86939674499</v>
      </c>
      <c r="Y93" s="31">
        <v>483893.74967191834</v>
      </c>
      <c r="Z93" s="31">
        <v>314421.55871099664</v>
      </c>
      <c r="AA93" s="31">
        <f t="shared" si="9"/>
        <v>8550753.702439012</v>
      </c>
      <c r="AB93" s="31">
        <v>209959.81</v>
      </c>
      <c r="AD93" s="42" t="s">
        <v>139</v>
      </c>
      <c r="AE93" s="42" t="s">
        <v>140</v>
      </c>
      <c r="AF93" s="43" t="s">
        <v>1275</v>
      </c>
      <c r="AG93" s="44">
        <v>32</v>
      </c>
      <c r="AH93" s="31">
        <v>6396874.2002914548</v>
      </c>
      <c r="AI93" s="31">
        <v>351885.72</v>
      </c>
      <c r="AJ93" s="31">
        <v>0</v>
      </c>
      <c r="AK93" s="31">
        <v>21354.940000000002</v>
      </c>
      <c r="AL93" s="31">
        <v>917075.89695154491</v>
      </c>
      <c r="AM93" s="31">
        <v>483738.83288508124</v>
      </c>
      <c r="AN93" s="31">
        <v>320477.96382025583</v>
      </c>
      <c r="AO93" s="31">
        <f t="shared" si="10"/>
        <v>8705066.5039483365</v>
      </c>
      <c r="AP93" s="31">
        <v>213658.94999999998</v>
      </c>
      <c r="AR93" s="42" t="s">
        <v>139</v>
      </c>
      <c r="AS93" s="42" t="s">
        <v>140</v>
      </c>
      <c r="AT93" s="43" t="s">
        <v>1276</v>
      </c>
      <c r="AU93" s="44">
        <v>32</v>
      </c>
      <c r="AV93" s="31">
        <v>6514524.2785593029</v>
      </c>
      <c r="AW93" s="31">
        <v>358251.30999999994</v>
      </c>
      <c r="AX93" s="31">
        <v>0</v>
      </c>
      <c r="AY93" s="31">
        <v>21744.910000000003</v>
      </c>
      <c r="AZ93" s="31">
        <v>933965.71589459083</v>
      </c>
      <c r="BA93" s="31">
        <v>483763.48562165123</v>
      </c>
      <c r="BB93" s="31">
        <v>326386.28152559226</v>
      </c>
      <c r="BC93" s="31">
        <f t="shared" si="11"/>
        <v>8856256.7116011381</v>
      </c>
      <c r="BD93" s="31">
        <v>217620.72999999998</v>
      </c>
    </row>
    <row r="94" spans="2:56">
      <c r="B94" s="42" t="s">
        <v>593</v>
      </c>
      <c r="C94" s="42" t="s">
        <v>594</v>
      </c>
      <c r="D94" s="43" t="s">
        <v>1049</v>
      </c>
      <c r="E94" s="44">
        <v>32</v>
      </c>
      <c r="F94" s="31">
        <v>27605209.846428059</v>
      </c>
      <c r="G94" s="31">
        <v>1863105.0100000002</v>
      </c>
      <c r="H94" s="31">
        <v>1724346.56</v>
      </c>
      <c r="I94" s="31">
        <v>98417.150000000009</v>
      </c>
      <c r="J94" s="31">
        <v>4371075.3524244875</v>
      </c>
      <c r="K94" s="31">
        <v>1176908.6340059193</v>
      </c>
      <c r="L94" s="31">
        <v>2832168.8244953472</v>
      </c>
      <c r="M94" s="31">
        <f t="shared" si="8"/>
        <v>40689118.147353813</v>
      </c>
      <c r="N94" s="31">
        <v>1017886.77</v>
      </c>
      <c r="P94" s="42" t="s">
        <v>593</v>
      </c>
      <c r="Q94" s="42" t="s">
        <v>594</v>
      </c>
      <c r="R94" s="43" t="s">
        <v>1050</v>
      </c>
      <c r="S94" s="44">
        <v>32</v>
      </c>
      <c r="T94" s="31">
        <v>28976916.125299782</v>
      </c>
      <c r="U94" s="31">
        <v>1948714.6199999996</v>
      </c>
      <c r="V94" s="31">
        <v>1790563.22</v>
      </c>
      <c r="W94" s="31">
        <v>102196.48</v>
      </c>
      <c r="X94" s="31">
        <v>4519219.3349246802</v>
      </c>
      <c r="Y94" s="31">
        <v>1177746.315203622</v>
      </c>
      <c r="Z94" s="31">
        <v>2961351.6420248486</v>
      </c>
      <c r="AA94" s="31">
        <f t="shared" si="9"/>
        <v>42519617.887452938</v>
      </c>
      <c r="AB94" s="31">
        <v>1042910.15</v>
      </c>
      <c r="AD94" s="42" t="s">
        <v>593</v>
      </c>
      <c r="AE94" s="42" t="s">
        <v>594</v>
      </c>
      <c r="AF94" s="43" t="s">
        <v>1275</v>
      </c>
      <c r="AG94" s="44">
        <v>32</v>
      </c>
      <c r="AH94" s="31">
        <v>29533926.667585522</v>
      </c>
      <c r="AI94" s="31">
        <v>1988860.3200000003</v>
      </c>
      <c r="AJ94" s="31">
        <v>1825588.9199999997</v>
      </c>
      <c r="AK94" s="31">
        <v>104195.56999999999</v>
      </c>
      <c r="AL94" s="31">
        <v>4602924.9478888651</v>
      </c>
      <c r="AM94" s="31">
        <v>1177461.7304707095</v>
      </c>
      <c r="AN94" s="31">
        <v>3018392.6292771082</v>
      </c>
      <c r="AO94" s="31">
        <f t="shared" si="10"/>
        <v>43312635.245222203</v>
      </c>
      <c r="AP94" s="31">
        <v>1061284.46</v>
      </c>
      <c r="AR94" s="42" t="s">
        <v>593</v>
      </c>
      <c r="AS94" s="42" t="s">
        <v>594</v>
      </c>
      <c r="AT94" s="43" t="s">
        <v>1276</v>
      </c>
      <c r="AU94" s="44">
        <v>32</v>
      </c>
      <c r="AV94" s="31">
        <v>30077002.184107352</v>
      </c>
      <c r="AW94" s="31">
        <v>2024879.8900000001</v>
      </c>
      <c r="AX94" s="31">
        <v>1858925.8599999996</v>
      </c>
      <c r="AY94" s="31">
        <v>106098.29000000002</v>
      </c>
      <c r="AZ94" s="31">
        <v>4687681.3496207613</v>
      </c>
      <c r="BA94" s="31">
        <v>1177507.0179608231</v>
      </c>
      <c r="BB94" s="31">
        <v>3074038.2656509993</v>
      </c>
      <c r="BC94" s="31">
        <f t="shared" si="11"/>
        <v>44087096.207339942</v>
      </c>
      <c r="BD94" s="31">
        <v>1080963.3500000001</v>
      </c>
    </row>
    <row r="95" spans="2:56">
      <c r="B95" s="42" t="s">
        <v>601</v>
      </c>
      <c r="C95" s="42" t="s">
        <v>602</v>
      </c>
      <c r="D95" s="43" t="s">
        <v>1049</v>
      </c>
      <c r="E95" s="44">
        <v>32</v>
      </c>
      <c r="F95" s="31">
        <v>11098922.818280533</v>
      </c>
      <c r="G95" s="31">
        <v>825632.24000000011</v>
      </c>
      <c r="H95" s="31">
        <v>901052.95</v>
      </c>
      <c r="I95" s="31">
        <v>40828.519999999997</v>
      </c>
      <c r="J95" s="31">
        <v>1842467.0536756071</v>
      </c>
      <c r="K95" s="31">
        <v>534062.38875469787</v>
      </c>
      <c r="L95" s="31">
        <v>1658149.3210313136</v>
      </c>
      <c r="M95" s="31">
        <f t="shared" si="8"/>
        <v>17311836.411742151</v>
      </c>
      <c r="N95" s="31">
        <v>410721.12</v>
      </c>
      <c r="P95" s="42" t="s">
        <v>601</v>
      </c>
      <c r="Q95" s="42" t="s">
        <v>602</v>
      </c>
      <c r="R95" s="43" t="s">
        <v>1050</v>
      </c>
      <c r="S95" s="44">
        <v>32</v>
      </c>
      <c r="T95" s="31">
        <v>11654160.147630457</v>
      </c>
      <c r="U95" s="31">
        <v>863012.45000000007</v>
      </c>
      <c r="V95" s="31">
        <v>935654.29999999993</v>
      </c>
      <c r="W95" s="31">
        <v>42396.38</v>
      </c>
      <c r="X95" s="31">
        <v>1904885.4152638549</v>
      </c>
      <c r="Y95" s="31">
        <v>534584.38127326267</v>
      </c>
      <c r="Z95" s="31">
        <v>1733771.949942566</v>
      </c>
      <c r="AA95" s="31">
        <f t="shared" si="9"/>
        <v>18089283.174110141</v>
      </c>
      <c r="AB95" s="31">
        <v>420818.15</v>
      </c>
      <c r="AD95" s="42" t="s">
        <v>601</v>
      </c>
      <c r="AE95" s="42" t="s">
        <v>602</v>
      </c>
      <c r="AF95" s="43" t="s">
        <v>1275</v>
      </c>
      <c r="AG95" s="44">
        <v>32</v>
      </c>
      <c r="AH95" s="31">
        <v>11878301.474424757</v>
      </c>
      <c r="AI95" s="31">
        <v>880711.71999999974</v>
      </c>
      <c r="AJ95" s="31">
        <v>953956.86999999988</v>
      </c>
      <c r="AK95" s="31">
        <v>43225.689999999995</v>
      </c>
      <c r="AL95" s="31">
        <v>1940166.8977472554</v>
      </c>
      <c r="AM95" s="31">
        <v>534407.04519136716</v>
      </c>
      <c r="AN95" s="31">
        <v>1767167.5258358731</v>
      </c>
      <c r="AO95" s="31">
        <f t="shared" si="10"/>
        <v>18426169.473199248</v>
      </c>
      <c r="AP95" s="31">
        <v>428232.25000000006</v>
      </c>
      <c r="AR95" s="42" t="s">
        <v>601</v>
      </c>
      <c r="AS95" s="42" t="s">
        <v>602</v>
      </c>
      <c r="AT95" s="43" t="s">
        <v>1276</v>
      </c>
      <c r="AU95" s="44">
        <v>32</v>
      </c>
      <c r="AV95" s="31">
        <v>12096685.574919382</v>
      </c>
      <c r="AW95" s="31">
        <v>896673.72999999975</v>
      </c>
      <c r="AX95" s="31">
        <v>971376.99999999988</v>
      </c>
      <c r="AY95" s="31">
        <v>44015.03</v>
      </c>
      <c r="AZ95" s="31">
        <v>1975890.3738965418</v>
      </c>
      <c r="BA95" s="31">
        <v>534435.26563022705</v>
      </c>
      <c r="BB95" s="31">
        <v>1799746.0995089649</v>
      </c>
      <c r="BC95" s="31">
        <f t="shared" si="11"/>
        <v>18754995.833955117</v>
      </c>
      <c r="BD95" s="31">
        <v>436172.76000000007</v>
      </c>
    </row>
    <row r="96" spans="2:56">
      <c r="B96" s="42" t="s">
        <v>447</v>
      </c>
      <c r="C96" s="42" t="s">
        <v>448</v>
      </c>
      <c r="D96" s="43" t="s">
        <v>1049</v>
      </c>
      <c r="E96" s="44">
        <v>32</v>
      </c>
      <c r="F96" s="31">
        <v>18571884.828790981</v>
      </c>
      <c r="G96" s="31">
        <v>688808.70000000007</v>
      </c>
      <c r="H96" s="31">
        <v>139227.29</v>
      </c>
      <c r="I96" s="31">
        <v>67242.899999999994</v>
      </c>
      <c r="J96" s="31">
        <v>3208117.1660679472</v>
      </c>
      <c r="K96" s="31">
        <v>1596233.6024708068</v>
      </c>
      <c r="L96" s="31">
        <v>1972302.8211859725</v>
      </c>
      <c r="M96" s="31">
        <f t="shared" si="8"/>
        <v>26306103.208515704</v>
      </c>
      <c r="N96" s="31">
        <v>62285.9</v>
      </c>
      <c r="P96" s="42" t="s">
        <v>447</v>
      </c>
      <c r="Q96" s="42" t="s">
        <v>448</v>
      </c>
      <c r="R96" s="43" t="s">
        <v>1050</v>
      </c>
      <c r="S96" s="44">
        <v>32</v>
      </c>
      <c r="T96" s="31">
        <v>19271267.813390188</v>
      </c>
      <c r="U96" s="31">
        <v>715342.55999999994</v>
      </c>
      <c r="V96" s="31">
        <v>144433.21</v>
      </c>
      <c r="W96" s="31">
        <v>69757.219999999987</v>
      </c>
      <c r="X96" s="31">
        <v>3315230.1996545084</v>
      </c>
      <c r="Y96" s="31">
        <v>1597454.0891416857</v>
      </c>
      <c r="Z96" s="31">
        <v>2041366.9035430844</v>
      </c>
      <c r="AA96" s="31">
        <f t="shared" si="9"/>
        <v>27218688.655729465</v>
      </c>
      <c r="AB96" s="31">
        <v>63836.66</v>
      </c>
      <c r="AD96" s="42" t="s">
        <v>447</v>
      </c>
      <c r="AE96" s="42" t="s">
        <v>448</v>
      </c>
      <c r="AF96" s="43" t="s">
        <v>1275</v>
      </c>
      <c r="AG96" s="44">
        <v>32</v>
      </c>
      <c r="AH96" s="31">
        <v>19641622.064723384</v>
      </c>
      <c r="AI96" s="31">
        <v>729470.83</v>
      </c>
      <c r="AJ96" s="31">
        <v>147263.18999999997</v>
      </c>
      <c r="AK96" s="31">
        <v>71124.020000000019</v>
      </c>
      <c r="AL96" s="31">
        <v>3376981.5549778892</v>
      </c>
      <c r="AM96" s="31">
        <v>1597007.7637481212</v>
      </c>
      <c r="AN96" s="31">
        <v>2080773.5007100664</v>
      </c>
      <c r="AO96" s="31">
        <f t="shared" si="10"/>
        <v>27709218.274159461</v>
      </c>
      <c r="AP96" s="31">
        <v>64975.35</v>
      </c>
      <c r="AR96" s="42" t="s">
        <v>447</v>
      </c>
      <c r="AS96" s="42" t="s">
        <v>448</v>
      </c>
      <c r="AT96" s="43" t="s">
        <v>1276</v>
      </c>
      <c r="AU96" s="44">
        <v>32</v>
      </c>
      <c r="AV96" s="31">
        <v>20006389.064813375</v>
      </c>
      <c r="AW96" s="31">
        <v>742957.50999999989</v>
      </c>
      <c r="AX96" s="31">
        <v>149989.22</v>
      </c>
      <c r="AY96" s="31">
        <v>72440.62000000001</v>
      </c>
      <c r="AZ96" s="31">
        <v>3439814.962510563</v>
      </c>
      <c r="BA96" s="31">
        <v>1597077.1506204312</v>
      </c>
      <c r="BB96" s="31">
        <v>2119526.1559762238</v>
      </c>
      <c r="BC96" s="31">
        <f t="shared" si="11"/>
        <v>28194389.573920596</v>
      </c>
      <c r="BD96" s="31">
        <v>66194.89</v>
      </c>
    </row>
    <row r="97" spans="2:56">
      <c r="B97" s="42" t="s">
        <v>315</v>
      </c>
      <c r="C97" s="42" t="s">
        <v>316</v>
      </c>
      <c r="D97" s="43" t="s">
        <v>1049</v>
      </c>
      <c r="E97" s="44">
        <v>32</v>
      </c>
      <c r="F97" s="31">
        <v>1912066.7698928902</v>
      </c>
      <c r="G97" s="31">
        <v>60901.709999999992</v>
      </c>
      <c r="H97" s="31">
        <v>0</v>
      </c>
      <c r="I97" s="31">
        <v>6041.4600000000009</v>
      </c>
      <c r="J97" s="31">
        <v>223096.85187945142</v>
      </c>
      <c r="K97" s="31">
        <v>145464.32756712576</v>
      </c>
      <c r="L97" s="31">
        <v>0</v>
      </c>
      <c r="M97" s="31">
        <f t="shared" si="8"/>
        <v>2347571.119339467</v>
      </c>
      <c r="N97" s="31">
        <v>0</v>
      </c>
      <c r="P97" s="42" t="s">
        <v>315</v>
      </c>
      <c r="Q97" s="42" t="s">
        <v>316</v>
      </c>
      <c r="R97" s="43" t="s">
        <v>1050</v>
      </c>
      <c r="S97" s="44">
        <v>32</v>
      </c>
      <c r="T97" s="31">
        <v>1986088.1874692538</v>
      </c>
      <c r="U97" s="31">
        <v>63240.399999999994</v>
      </c>
      <c r="V97" s="31">
        <v>0</v>
      </c>
      <c r="W97" s="31">
        <v>6273.44</v>
      </c>
      <c r="X97" s="31">
        <v>230639.38000595718</v>
      </c>
      <c r="Y97" s="31">
        <v>145588.21037675545</v>
      </c>
      <c r="Z97" s="31">
        <v>0</v>
      </c>
      <c r="AA97" s="31">
        <f t="shared" si="9"/>
        <v>2431829.6178519661</v>
      </c>
      <c r="AB97" s="31">
        <v>0</v>
      </c>
      <c r="AD97" s="42" t="s">
        <v>315</v>
      </c>
      <c r="AE97" s="42" t="s">
        <v>316</v>
      </c>
      <c r="AF97" s="43" t="s">
        <v>1275</v>
      </c>
      <c r="AG97" s="44">
        <v>32</v>
      </c>
      <c r="AH97" s="31">
        <v>2024297.2765446436</v>
      </c>
      <c r="AI97" s="31">
        <v>64477.46</v>
      </c>
      <c r="AJ97" s="31">
        <v>0</v>
      </c>
      <c r="AK97" s="31">
        <v>6396.16</v>
      </c>
      <c r="AL97" s="31">
        <v>234907.86619650913</v>
      </c>
      <c r="AM97" s="31">
        <v>145546.12377341802</v>
      </c>
      <c r="AN97" s="31">
        <v>0</v>
      </c>
      <c r="AO97" s="31">
        <f t="shared" si="10"/>
        <v>2475624.8865145706</v>
      </c>
      <c r="AP97" s="31">
        <v>0</v>
      </c>
      <c r="AR97" s="42" t="s">
        <v>315</v>
      </c>
      <c r="AS97" s="42" t="s">
        <v>316</v>
      </c>
      <c r="AT97" s="43" t="s">
        <v>1276</v>
      </c>
      <c r="AU97" s="44">
        <v>32</v>
      </c>
      <c r="AV97" s="31">
        <v>2061458.3149987857</v>
      </c>
      <c r="AW97" s="31">
        <v>65654.89</v>
      </c>
      <c r="AX97" s="31">
        <v>0</v>
      </c>
      <c r="AY97" s="31">
        <v>6512.9499999999989</v>
      </c>
      <c r="AZ97" s="31">
        <v>239227.10774188477</v>
      </c>
      <c r="BA97" s="31">
        <v>145552.82123962804</v>
      </c>
      <c r="BB97" s="31">
        <v>0</v>
      </c>
      <c r="BC97" s="31">
        <f t="shared" si="11"/>
        <v>2518406.0839802986</v>
      </c>
      <c r="BD97" s="31">
        <v>0</v>
      </c>
    </row>
    <row r="98" spans="2:56">
      <c r="B98" s="42" t="s">
        <v>455</v>
      </c>
      <c r="C98" s="42" t="s">
        <v>456</v>
      </c>
      <c r="D98" s="43" t="s">
        <v>1049</v>
      </c>
      <c r="E98" s="44">
        <v>32</v>
      </c>
      <c r="F98" s="31">
        <v>423367.89391142561</v>
      </c>
      <c r="G98" s="31">
        <v>7600.5400000000009</v>
      </c>
      <c r="H98" s="31">
        <v>0</v>
      </c>
      <c r="I98" s="31">
        <v>0</v>
      </c>
      <c r="J98" s="31">
        <v>26174.992485148319</v>
      </c>
      <c r="K98" s="31">
        <v>155905.36294333485</v>
      </c>
      <c r="L98" s="31">
        <v>0</v>
      </c>
      <c r="M98" s="31">
        <f t="shared" si="8"/>
        <v>613048.78933990875</v>
      </c>
      <c r="N98" s="31">
        <v>0</v>
      </c>
      <c r="P98" s="42" t="s">
        <v>455</v>
      </c>
      <c r="Q98" s="42" t="s">
        <v>456</v>
      </c>
      <c r="R98" s="43" t="s">
        <v>1050</v>
      </c>
      <c r="S98" s="44">
        <v>32</v>
      </c>
      <c r="T98" s="31">
        <v>439253.16521774937</v>
      </c>
      <c r="U98" s="31">
        <v>7892.4100000000008</v>
      </c>
      <c r="V98" s="31">
        <v>0</v>
      </c>
      <c r="W98" s="31">
        <v>0</v>
      </c>
      <c r="X98" s="31">
        <v>27057.006124787502</v>
      </c>
      <c r="Y98" s="31">
        <v>156111.54617280414</v>
      </c>
      <c r="Z98" s="31">
        <v>0</v>
      </c>
      <c r="AA98" s="31">
        <f t="shared" si="9"/>
        <v>630314.12751534092</v>
      </c>
      <c r="AB98" s="31">
        <v>0</v>
      </c>
      <c r="AD98" s="42" t="s">
        <v>455</v>
      </c>
      <c r="AE98" s="42" t="s">
        <v>456</v>
      </c>
      <c r="AF98" s="43" t="s">
        <v>1275</v>
      </c>
      <c r="AG98" s="44">
        <v>32</v>
      </c>
      <c r="AH98" s="31">
        <v>447674.04011387937</v>
      </c>
      <c r="AI98" s="31">
        <v>8046.78</v>
      </c>
      <c r="AJ98" s="31">
        <v>0</v>
      </c>
      <c r="AK98" s="31">
        <v>0</v>
      </c>
      <c r="AL98" s="31">
        <v>27557.633191176603</v>
      </c>
      <c r="AM98" s="31">
        <v>156041.49971664575</v>
      </c>
      <c r="AN98" s="31">
        <v>0</v>
      </c>
      <c r="AO98" s="31">
        <f t="shared" si="10"/>
        <v>639319.95302170166</v>
      </c>
      <c r="AP98" s="31">
        <v>0</v>
      </c>
      <c r="AR98" s="42" t="s">
        <v>455</v>
      </c>
      <c r="AS98" s="42" t="s">
        <v>456</v>
      </c>
      <c r="AT98" s="43" t="s">
        <v>1276</v>
      </c>
      <c r="AU98" s="44">
        <v>32</v>
      </c>
      <c r="AV98" s="31">
        <v>455837.7220485945</v>
      </c>
      <c r="AW98" s="31">
        <v>8193.73</v>
      </c>
      <c r="AX98" s="31">
        <v>0</v>
      </c>
      <c r="AY98" s="31">
        <v>0</v>
      </c>
      <c r="AZ98" s="31">
        <v>28064.110219700342</v>
      </c>
      <c r="BA98" s="31">
        <v>156052.64658372576</v>
      </c>
      <c r="BB98" s="31">
        <v>0</v>
      </c>
      <c r="BC98" s="31">
        <f t="shared" si="11"/>
        <v>648148.20885202056</v>
      </c>
      <c r="BD98" s="31">
        <v>0</v>
      </c>
    </row>
    <row r="99" spans="2:56">
      <c r="B99" s="42" t="s">
        <v>1023</v>
      </c>
      <c r="C99" s="42" t="s">
        <v>1041</v>
      </c>
      <c r="D99" s="43" t="s">
        <v>1049</v>
      </c>
      <c r="E99" s="44">
        <v>32</v>
      </c>
      <c r="F99" s="31">
        <v>2651337.9339300469</v>
      </c>
      <c r="G99" s="31">
        <v>0</v>
      </c>
      <c r="H99" s="31">
        <v>46184.36</v>
      </c>
      <c r="I99" s="31">
        <v>0</v>
      </c>
      <c r="J99" s="31">
        <v>197015.1047303337</v>
      </c>
      <c r="K99" s="31">
        <v>443653.05</v>
      </c>
      <c r="L99" s="31">
        <v>0</v>
      </c>
      <c r="M99" s="31">
        <f t="shared" si="8"/>
        <v>3338190.4486603802</v>
      </c>
      <c r="N99" s="31">
        <v>0</v>
      </c>
      <c r="P99" s="42" t="s">
        <v>1023</v>
      </c>
      <c r="Q99" s="42" t="s">
        <v>1041</v>
      </c>
      <c r="R99" s="43" t="s">
        <v>1050</v>
      </c>
      <c r="S99" s="44">
        <v>32</v>
      </c>
      <c r="T99" s="31">
        <v>2758644.0756660923</v>
      </c>
      <c r="U99" s="31">
        <v>0</v>
      </c>
      <c r="V99" s="31">
        <v>47891.159999999996</v>
      </c>
      <c r="W99" s="31">
        <v>0</v>
      </c>
      <c r="X99" s="31">
        <v>203591.34395400842</v>
      </c>
      <c r="Y99" s="31">
        <v>443653.05</v>
      </c>
      <c r="Z99" s="31">
        <v>0</v>
      </c>
      <c r="AA99" s="31">
        <f t="shared" si="9"/>
        <v>3453779.6296201008</v>
      </c>
      <c r="AB99" s="31">
        <v>0</v>
      </c>
      <c r="AD99" s="42" t="s">
        <v>1023</v>
      </c>
      <c r="AE99" s="42" t="s">
        <v>1041</v>
      </c>
      <c r="AF99" s="43" t="s">
        <v>1275</v>
      </c>
      <c r="AG99" s="44">
        <v>32</v>
      </c>
      <c r="AH99" s="31">
        <v>2811676.0287964279</v>
      </c>
      <c r="AI99" s="31">
        <v>0</v>
      </c>
      <c r="AJ99" s="31">
        <v>48830.2</v>
      </c>
      <c r="AK99" s="31">
        <v>0</v>
      </c>
      <c r="AL99" s="31">
        <v>207395.06323179961</v>
      </c>
      <c r="AM99" s="31">
        <v>443653.05</v>
      </c>
      <c r="AN99" s="31">
        <v>0</v>
      </c>
      <c r="AO99" s="31">
        <f t="shared" si="10"/>
        <v>3511554.3420282276</v>
      </c>
      <c r="AP99" s="31">
        <v>0</v>
      </c>
      <c r="AR99" s="42" t="s">
        <v>1023</v>
      </c>
      <c r="AS99" s="42" t="s">
        <v>1041</v>
      </c>
      <c r="AT99" s="43" t="s">
        <v>1276</v>
      </c>
      <c r="AU99" s="44">
        <v>32</v>
      </c>
      <c r="AV99" s="31">
        <v>2863804.8307430767</v>
      </c>
      <c r="AW99" s="31">
        <v>0</v>
      </c>
      <c r="AX99" s="31">
        <v>49739.389999999992</v>
      </c>
      <c r="AY99" s="31">
        <v>0</v>
      </c>
      <c r="AZ99" s="31">
        <v>211275.54779334003</v>
      </c>
      <c r="BA99" s="31">
        <v>443653.05</v>
      </c>
      <c r="BB99" s="31">
        <v>0</v>
      </c>
      <c r="BC99" s="31">
        <f t="shared" si="11"/>
        <v>3568472.8185364166</v>
      </c>
      <c r="BD99" s="31">
        <v>0</v>
      </c>
    </row>
    <row r="100" spans="2:56">
      <c r="B100" s="42" t="s">
        <v>61</v>
      </c>
      <c r="C100" s="42" t="s">
        <v>62</v>
      </c>
      <c r="D100" s="43" t="s">
        <v>1049</v>
      </c>
      <c r="E100" s="44">
        <v>32</v>
      </c>
      <c r="F100" s="31">
        <v>1361698.2623225916</v>
      </c>
      <c r="G100" s="31">
        <v>48526.47</v>
      </c>
      <c r="H100" s="31">
        <v>0</v>
      </c>
      <c r="I100" s="31">
        <v>4287.4900000000007</v>
      </c>
      <c r="J100" s="31">
        <v>186065.36220417946</v>
      </c>
      <c r="K100" s="31">
        <v>182148.95969046818</v>
      </c>
      <c r="L100" s="31">
        <v>0</v>
      </c>
      <c r="M100" s="31">
        <f t="shared" si="8"/>
        <v>1782726.5442172391</v>
      </c>
      <c r="N100" s="31">
        <v>0</v>
      </c>
      <c r="P100" s="42" t="s">
        <v>61</v>
      </c>
      <c r="Q100" s="42" t="s">
        <v>62</v>
      </c>
      <c r="R100" s="43" t="s">
        <v>1050</v>
      </c>
      <c r="S100" s="44">
        <v>32</v>
      </c>
      <c r="T100" s="31">
        <v>1434371.7644022533</v>
      </c>
      <c r="U100" s="31">
        <v>50389.96</v>
      </c>
      <c r="V100" s="31">
        <v>0</v>
      </c>
      <c r="W100" s="31">
        <v>4452.13</v>
      </c>
      <c r="X100" s="31">
        <v>192356.62611317349</v>
      </c>
      <c r="Y100" s="31">
        <v>182280.9428036368</v>
      </c>
      <c r="Z100" s="31">
        <v>0</v>
      </c>
      <c r="AA100" s="31">
        <f t="shared" si="9"/>
        <v>1863851.4233190636</v>
      </c>
      <c r="AB100" s="31">
        <v>0</v>
      </c>
      <c r="AD100" s="42" t="s">
        <v>61</v>
      </c>
      <c r="AE100" s="42" t="s">
        <v>62</v>
      </c>
      <c r="AF100" s="43" t="s">
        <v>1275</v>
      </c>
      <c r="AG100" s="44">
        <v>32</v>
      </c>
      <c r="AH100" s="31">
        <v>1461971.4437672864</v>
      </c>
      <c r="AI100" s="31">
        <v>51375.640000000007</v>
      </c>
      <c r="AJ100" s="31">
        <v>0</v>
      </c>
      <c r="AK100" s="31">
        <v>4539.2099999999991</v>
      </c>
      <c r="AL100" s="31">
        <v>195916.62693330616</v>
      </c>
      <c r="AM100" s="31">
        <v>182236.10429095075</v>
      </c>
      <c r="AN100" s="31">
        <v>0</v>
      </c>
      <c r="AO100" s="31">
        <f t="shared" si="10"/>
        <v>1896039.0249915433</v>
      </c>
      <c r="AP100" s="31">
        <v>0</v>
      </c>
      <c r="AR100" s="42" t="s">
        <v>61</v>
      </c>
      <c r="AS100" s="42" t="s">
        <v>62</v>
      </c>
      <c r="AT100" s="43" t="s">
        <v>1276</v>
      </c>
      <c r="AU100" s="44">
        <v>32</v>
      </c>
      <c r="AV100" s="31">
        <v>1488806.9456149167</v>
      </c>
      <c r="AW100" s="31">
        <v>52313.81</v>
      </c>
      <c r="AX100" s="31">
        <v>0</v>
      </c>
      <c r="AY100" s="31">
        <v>4622.0999999999995</v>
      </c>
      <c r="AZ100" s="31">
        <v>199518.97691405864</v>
      </c>
      <c r="BA100" s="31">
        <v>182243.23968320881</v>
      </c>
      <c r="BB100" s="31">
        <v>0</v>
      </c>
      <c r="BC100" s="31">
        <f t="shared" si="11"/>
        <v>1927505.0722121843</v>
      </c>
      <c r="BD100" s="31">
        <v>0</v>
      </c>
    </row>
    <row r="101" spans="2:56">
      <c r="B101" s="42" t="s">
        <v>517</v>
      </c>
      <c r="C101" s="42" t="s">
        <v>518</v>
      </c>
      <c r="D101" s="43" t="s">
        <v>1049</v>
      </c>
      <c r="E101" s="44">
        <v>32</v>
      </c>
      <c r="F101" s="31">
        <v>5266566.7732619513</v>
      </c>
      <c r="G101" s="31">
        <v>64312.21</v>
      </c>
      <c r="H101" s="31">
        <v>3410.5</v>
      </c>
      <c r="I101" s="31">
        <v>16955.04</v>
      </c>
      <c r="J101" s="31">
        <v>795840.51088336494</v>
      </c>
      <c r="K101" s="31">
        <v>692073.33428741153</v>
      </c>
      <c r="L101" s="31">
        <v>0</v>
      </c>
      <c r="M101" s="31">
        <f t="shared" si="8"/>
        <v>6839158.3684327276</v>
      </c>
      <c r="N101" s="31">
        <v>0</v>
      </c>
      <c r="P101" s="42" t="s">
        <v>517</v>
      </c>
      <c r="Q101" s="42" t="s">
        <v>518</v>
      </c>
      <c r="R101" s="43" t="s">
        <v>1050</v>
      </c>
      <c r="S101" s="44">
        <v>32</v>
      </c>
      <c r="T101" s="31">
        <v>5470526.5683525391</v>
      </c>
      <c r="U101" s="31">
        <v>66781.86</v>
      </c>
      <c r="V101" s="31">
        <v>3541.4700000000003</v>
      </c>
      <c r="W101" s="31">
        <v>17606.12</v>
      </c>
      <c r="X101" s="31">
        <v>822788.24197095004</v>
      </c>
      <c r="Y101" s="31">
        <v>692766.30011963809</v>
      </c>
      <c r="Z101" s="31">
        <v>0</v>
      </c>
      <c r="AA101" s="31">
        <f t="shared" si="9"/>
        <v>7074010.5604431275</v>
      </c>
      <c r="AB101" s="31">
        <v>0</v>
      </c>
      <c r="AD101" s="42" t="s">
        <v>517</v>
      </c>
      <c r="AE101" s="42" t="s">
        <v>518</v>
      </c>
      <c r="AF101" s="43" t="s">
        <v>1275</v>
      </c>
      <c r="AG101" s="44">
        <v>32</v>
      </c>
      <c r="AH101" s="31">
        <v>5575754.9377922378</v>
      </c>
      <c r="AI101" s="31">
        <v>68088.199999999983</v>
      </c>
      <c r="AJ101" s="31">
        <v>3610.75</v>
      </c>
      <c r="AK101" s="31">
        <v>17950.53</v>
      </c>
      <c r="AL101" s="31">
        <v>838017.38727503177</v>
      </c>
      <c r="AM101" s="31">
        <v>692530.87941684248</v>
      </c>
      <c r="AN101" s="31">
        <v>0</v>
      </c>
      <c r="AO101" s="31">
        <f t="shared" si="10"/>
        <v>7195952.684484113</v>
      </c>
      <c r="AP101" s="31">
        <v>0</v>
      </c>
      <c r="AR101" s="42" t="s">
        <v>517</v>
      </c>
      <c r="AS101" s="42" t="s">
        <v>518</v>
      </c>
      <c r="AT101" s="43" t="s">
        <v>1276</v>
      </c>
      <c r="AU101" s="44">
        <v>32</v>
      </c>
      <c r="AV101" s="31">
        <v>5678140.2519956538</v>
      </c>
      <c r="AW101" s="31">
        <v>69331.549999999988</v>
      </c>
      <c r="AX101" s="31">
        <v>3676.6800000000003</v>
      </c>
      <c r="AY101" s="31">
        <v>18278.32</v>
      </c>
      <c r="AZ101" s="31">
        <v>853429.01605232852</v>
      </c>
      <c r="BA101" s="31">
        <v>692568.34317198256</v>
      </c>
      <c r="BB101" s="31">
        <v>0</v>
      </c>
      <c r="BC101" s="31">
        <f t="shared" si="11"/>
        <v>7315424.1612199638</v>
      </c>
      <c r="BD101" s="31">
        <v>0</v>
      </c>
    </row>
    <row r="102" spans="2:56">
      <c r="B102" s="42" t="s">
        <v>309</v>
      </c>
      <c r="C102" s="42" t="s">
        <v>310</v>
      </c>
      <c r="D102" s="43" t="s">
        <v>1049</v>
      </c>
      <c r="E102" s="44">
        <v>32</v>
      </c>
      <c r="F102" s="31">
        <v>2191834.168591762</v>
      </c>
      <c r="G102" s="31">
        <v>37729.950000000004</v>
      </c>
      <c r="H102" s="31">
        <v>0</v>
      </c>
      <c r="I102" s="31">
        <v>0</v>
      </c>
      <c r="J102" s="31">
        <v>149848.77340297698</v>
      </c>
      <c r="K102" s="31">
        <v>260521.41208158573</v>
      </c>
      <c r="L102" s="31">
        <v>49739.174243028814</v>
      </c>
      <c r="M102" s="31">
        <f t="shared" si="8"/>
        <v>2723065.4683193536</v>
      </c>
      <c r="N102" s="31">
        <v>33391.99</v>
      </c>
      <c r="P102" s="42" t="s">
        <v>309</v>
      </c>
      <c r="Q102" s="42" t="s">
        <v>310</v>
      </c>
      <c r="R102" s="43" t="s">
        <v>1050</v>
      </c>
      <c r="S102" s="44">
        <v>32</v>
      </c>
      <c r="T102" s="31">
        <v>2284542.6014048248</v>
      </c>
      <c r="U102" s="31">
        <v>39610.900000000009</v>
      </c>
      <c r="V102" s="31">
        <v>0</v>
      </c>
      <c r="W102" s="31">
        <v>0</v>
      </c>
      <c r="X102" s="31">
        <v>154898.55768670636</v>
      </c>
      <c r="Y102" s="31">
        <v>260744.5349347333</v>
      </c>
      <c r="Z102" s="31">
        <v>52026.906031717648</v>
      </c>
      <c r="AA102" s="31">
        <f t="shared" si="9"/>
        <v>2826040.1200579824</v>
      </c>
      <c r="AB102" s="31">
        <v>34216.619999999995</v>
      </c>
      <c r="AD102" s="42" t="s">
        <v>309</v>
      </c>
      <c r="AE102" s="42" t="s">
        <v>310</v>
      </c>
      <c r="AF102" s="43" t="s">
        <v>1275</v>
      </c>
      <c r="AG102" s="44">
        <v>32</v>
      </c>
      <c r="AH102" s="31">
        <v>2328277.5097062467</v>
      </c>
      <c r="AI102" s="31">
        <v>40450.400000000001</v>
      </c>
      <c r="AJ102" s="31">
        <v>0</v>
      </c>
      <c r="AK102" s="31">
        <v>0</v>
      </c>
      <c r="AL102" s="31">
        <v>157771.14929848301</v>
      </c>
      <c r="AM102" s="31">
        <v>260668.73359438585</v>
      </c>
      <c r="AN102" s="31">
        <v>53029.761208910408</v>
      </c>
      <c r="AO102" s="31">
        <f t="shared" si="10"/>
        <v>2875019.6838080259</v>
      </c>
      <c r="AP102" s="31">
        <v>34822.129999999997</v>
      </c>
      <c r="AR102" s="42" t="s">
        <v>309</v>
      </c>
      <c r="AS102" s="42" t="s">
        <v>310</v>
      </c>
      <c r="AT102" s="43" t="s">
        <v>1276</v>
      </c>
      <c r="AU102" s="44">
        <v>32</v>
      </c>
      <c r="AV102" s="31">
        <v>2370727.8528944664</v>
      </c>
      <c r="AW102" s="31">
        <v>41183.140000000014</v>
      </c>
      <c r="AX102" s="31">
        <v>0</v>
      </c>
      <c r="AY102" s="31">
        <v>0</v>
      </c>
      <c r="AZ102" s="31">
        <v>160682.8000690593</v>
      </c>
      <c r="BA102" s="31">
        <v>260680.79626695602</v>
      </c>
      <c r="BB102" s="31">
        <v>54010.142004803834</v>
      </c>
      <c r="BC102" s="31">
        <f t="shared" si="11"/>
        <v>2922755.3712352854</v>
      </c>
      <c r="BD102" s="31">
        <v>35470.639999999999</v>
      </c>
    </row>
    <row r="103" spans="2:56">
      <c r="B103" s="42" t="s">
        <v>599</v>
      </c>
      <c r="C103" s="42" t="s">
        <v>600</v>
      </c>
      <c r="D103" s="43" t="s">
        <v>1049</v>
      </c>
      <c r="E103" s="44">
        <v>32</v>
      </c>
      <c r="F103" s="31">
        <v>8419137.9696160853</v>
      </c>
      <c r="G103" s="31">
        <v>529893.59000000008</v>
      </c>
      <c r="H103" s="31">
        <v>484192.93</v>
      </c>
      <c r="I103" s="31">
        <v>28940.489999999998</v>
      </c>
      <c r="J103" s="31">
        <v>1156986.6995734496</v>
      </c>
      <c r="K103" s="31">
        <v>779634.85062575317</v>
      </c>
      <c r="L103" s="31">
        <v>411352.38187223196</v>
      </c>
      <c r="M103" s="31">
        <f t="shared" si="8"/>
        <v>12115719.30168752</v>
      </c>
      <c r="N103" s="31">
        <v>305580.39</v>
      </c>
      <c r="P103" s="42" t="s">
        <v>599</v>
      </c>
      <c r="Q103" s="42" t="s">
        <v>600</v>
      </c>
      <c r="R103" s="43" t="s">
        <v>1050</v>
      </c>
      <c r="S103" s="44">
        <v>32</v>
      </c>
      <c r="T103" s="31">
        <v>8833572.938132735</v>
      </c>
      <c r="U103" s="31">
        <v>554464.33000000007</v>
      </c>
      <c r="V103" s="31">
        <v>502786.42</v>
      </c>
      <c r="W103" s="31">
        <v>30051.83</v>
      </c>
      <c r="X103" s="31">
        <v>1196221.0945011592</v>
      </c>
      <c r="Y103" s="31">
        <v>780387.5437822591</v>
      </c>
      <c r="Z103" s="31">
        <v>430254.69848618307</v>
      </c>
      <c r="AA103" s="31">
        <f t="shared" si="9"/>
        <v>12640831.534902336</v>
      </c>
      <c r="AB103" s="31">
        <v>313092.68</v>
      </c>
      <c r="AD103" s="42" t="s">
        <v>599</v>
      </c>
      <c r="AE103" s="42" t="s">
        <v>600</v>
      </c>
      <c r="AF103" s="43" t="s">
        <v>1275</v>
      </c>
      <c r="AG103" s="44">
        <v>32</v>
      </c>
      <c r="AH103" s="31">
        <v>9003533.2762074899</v>
      </c>
      <c r="AI103" s="31">
        <v>565918.69000000018</v>
      </c>
      <c r="AJ103" s="31">
        <v>512621.59</v>
      </c>
      <c r="AK103" s="31">
        <v>30639.700000000004</v>
      </c>
      <c r="AL103" s="31">
        <v>1218379.5392832994</v>
      </c>
      <c r="AM103" s="31">
        <v>780131.831965524</v>
      </c>
      <c r="AN103" s="31">
        <v>438542.12124126032</v>
      </c>
      <c r="AO103" s="31">
        <f t="shared" si="10"/>
        <v>12868375.598697573</v>
      </c>
      <c r="AP103" s="31">
        <v>318608.84999999998</v>
      </c>
      <c r="AR103" s="42" t="s">
        <v>599</v>
      </c>
      <c r="AS103" s="42" t="s">
        <v>600</v>
      </c>
      <c r="AT103" s="43" t="s">
        <v>1276</v>
      </c>
      <c r="AU103" s="44">
        <v>32</v>
      </c>
      <c r="AV103" s="31">
        <v>9169212.192769086</v>
      </c>
      <c r="AW103" s="31">
        <v>576163.17000000004</v>
      </c>
      <c r="AX103" s="31">
        <v>521982.52</v>
      </c>
      <c r="AY103" s="31">
        <v>31199.200000000004</v>
      </c>
      <c r="AZ103" s="31">
        <v>1240817.6965010602</v>
      </c>
      <c r="BA103" s="31">
        <v>780172.5247541141</v>
      </c>
      <c r="BB103" s="31">
        <v>446626.79562122806</v>
      </c>
      <c r="BC103" s="31">
        <f t="shared" si="11"/>
        <v>13090690.759645486</v>
      </c>
      <c r="BD103" s="31">
        <v>324516.66000000003</v>
      </c>
    </row>
    <row r="104" spans="2:56">
      <c r="B104" s="42" t="s">
        <v>191</v>
      </c>
      <c r="C104" s="42" t="s">
        <v>192</v>
      </c>
      <c r="D104" s="43" t="s">
        <v>1049</v>
      </c>
      <c r="E104" s="44">
        <v>32</v>
      </c>
      <c r="F104" s="31">
        <v>161308633.97328416</v>
      </c>
      <c r="G104" s="31">
        <v>9008211.1300000008</v>
      </c>
      <c r="H104" s="31">
        <v>9977970.0399999991</v>
      </c>
      <c r="I104" s="31">
        <v>572731.39</v>
      </c>
      <c r="J104" s="31">
        <v>25266163.584082298</v>
      </c>
      <c r="K104" s="31">
        <v>6904016.4027555939</v>
      </c>
      <c r="L104" s="31">
        <v>11936036.557593139</v>
      </c>
      <c r="M104" s="31">
        <f t="shared" si="8"/>
        <v>230216875.05771515</v>
      </c>
      <c r="N104" s="31">
        <v>5243111.9800000004</v>
      </c>
      <c r="P104" s="42" t="s">
        <v>191</v>
      </c>
      <c r="Q104" s="42" t="s">
        <v>192</v>
      </c>
      <c r="R104" s="43" t="s">
        <v>1050</v>
      </c>
      <c r="S104" s="44">
        <v>32</v>
      </c>
      <c r="T104" s="31">
        <v>169042392.38959643</v>
      </c>
      <c r="U104" s="31">
        <v>9403635.3599999994</v>
      </c>
      <c r="V104" s="31">
        <v>10346716.719999999</v>
      </c>
      <c r="W104" s="31">
        <v>593897.30000000005</v>
      </c>
      <c r="X104" s="31">
        <v>26104305.018688388</v>
      </c>
      <c r="Y104" s="31">
        <v>6910807.9005690766</v>
      </c>
      <c r="Z104" s="31">
        <v>12469032.801414695</v>
      </c>
      <c r="AA104" s="31">
        <f t="shared" si="9"/>
        <v>240245148.30026859</v>
      </c>
      <c r="AB104" s="31">
        <v>5374360.8100000005</v>
      </c>
      <c r="AD104" s="42" t="s">
        <v>191</v>
      </c>
      <c r="AE104" s="42" t="s">
        <v>192</v>
      </c>
      <c r="AF104" s="43" t="s">
        <v>1275</v>
      </c>
      <c r="AG104" s="44">
        <v>32</v>
      </c>
      <c r="AH104" s="31">
        <v>172298259.88931036</v>
      </c>
      <c r="AI104" s="31">
        <v>9597022.0899999999</v>
      </c>
      <c r="AJ104" s="31">
        <v>10549590.879999999</v>
      </c>
      <c r="AK104" s="31">
        <v>605542.19999999995</v>
      </c>
      <c r="AL104" s="31">
        <v>26591732.455006681</v>
      </c>
      <c r="AM104" s="31">
        <v>6908241.2229347769</v>
      </c>
      <c r="AN104" s="31">
        <v>12710109.463649236</v>
      </c>
      <c r="AO104" s="31">
        <f t="shared" si="10"/>
        <v>244731233.16090107</v>
      </c>
      <c r="AP104" s="31">
        <v>5470734.959999999</v>
      </c>
      <c r="AR104" s="42" t="s">
        <v>191</v>
      </c>
      <c r="AS104" s="42" t="s">
        <v>192</v>
      </c>
      <c r="AT104" s="43" t="s">
        <v>1276</v>
      </c>
      <c r="AU104" s="44">
        <v>32</v>
      </c>
      <c r="AV104" s="31">
        <v>175512021.32313552</v>
      </c>
      <c r="AW104" s="31">
        <v>9774359.1099999994</v>
      </c>
      <c r="AX104" s="31">
        <v>10746018.720000001</v>
      </c>
      <c r="AY104" s="31">
        <v>616817.06999999995</v>
      </c>
      <c r="AZ104" s="31">
        <v>27088754.506392747</v>
      </c>
      <c r="BA104" s="31">
        <v>6908636.2535327375</v>
      </c>
      <c r="BB104" s="31">
        <v>12947793.001182828</v>
      </c>
      <c r="BC104" s="31">
        <f t="shared" si="11"/>
        <v>249168351.64424381</v>
      </c>
      <c r="BD104" s="31">
        <v>5573951.6600000001</v>
      </c>
    </row>
    <row r="105" spans="2:56">
      <c r="B105" s="42" t="s">
        <v>57</v>
      </c>
      <c r="C105" s="42" t="s">
        <v>58</v>
      </c>
      <c r="D105" s="43" t="s">
        <v>1049</v>
      </c>
      <c r="E105" s="44">
        <v>32</v>
      </c>
      <c r="F105" s="31">
        <v>16791089.01800067</v>
      </c>
      <c r="G105" s="31">
        <v>228699.63</v>
      </c>
      <c r="H105" s="31">
        <v>114708.91</v>
      </c>
      <c r="I105" s="31">
        <v>56738.860000000008</v>
      </c>
      <c r="J105" s="31">
        <v>1730041.8072024474</v>
      </c>
      <c r="K105" s="31">
        <v>1336694.0039319897</v>
      </c>
      <c r="L105" s="31">
        <v>467849.77252552868</v>
      </c>
      <c r="M105" s="31">
        <f t="shared" si="8"/>
        <v>20725822.001660634</v>
      </c>
      <c r="N105" s="31">
        <v>0</v>
      </c>
      <c r="P105" s="42" t="s">
        <v>57</v>
      </c>
      <c r="Q105" s="42" t="s">
        <v>58</v>
      </c>
      <c r="R105" s="43" t="s">
        <v>1050</v>
      </c>
      <c r="S105" s="44">
        <v>32</v>
      </c>
      <c r="T105" s="31">
        <v>17431708.358991254</v>
      </c>
      <c r="U105" s="31">
        <v>237360.69</v>
      </c>
      <c r="V105" s="31">
        <v>119053.05</v>
      </c>
      <c r="W105" s="31">
        <v>58887.610000000008</v>
      </c>
      <c r="X105" s="31">
        <v>1788227.7127026741</v>
      </c>
      <c r="Y105" s="31">
        <v>1337907.776071847</v>
      </c>
      <c r="Z105" s="31">
        <v>484370.16040051065</v>
      </c>
      <c r="AA105" s="31">
        <f t="shared" si="9"/>
        <v>21457515.358166285</v>
      </c>
      <c r="AB105" s="31">
        <v>0</v>
      </c>
      <c r="AD105" s="42" t="s">
        <v>57</v>
      </c>
      <c r="AE105" s="42" t="s">
        <v>58</v>
      </c>
      <c r="AF105" s="43" t="s">
        <v>1275</v>
      </c>
      <c r="AG105" s="44">
        <v>32</v>
      </c>
      <c r="AH105" s="31">
        <v>17767059.039384041</v>
      </c>
      <c r="AI105" s="31">
        <v>242007.78999999998</v>
      </c>
      <c r="AJ105" s="31">
        <v>121383.90999999999</v>
      </c>
      <c r="AK105" s="31">
        <v>60040.53</v>
      </c>
      <c r="AL105" s="31">
        <v>1821446.939983052</v>
      </c>
      <c r="AM105" s="31">
        <v>1337479.3476475733</v>
      </c>
      <c r="AN105" s="31">
        <v>493710.08702249889</v>
      </c>
      <c r="AO105" s="31">
        <f t="shared" si="10"/>
        <v>21843127.644037165</v>
      </c>
      <c r="AP105" s="31">
        <v>0</v>
      </c>
      <c r="AR105" s="42" t="s">
        <v>57</v>
      </c>
      <c r="AS105" s="42" t="s">
        <v>58</v>
      </c>
      <c r="AT105" s="43" t="s">
        <v>1276</v>
      </c>
      <c r="AU105" s="44">
        <v>32</v>
      </c>
      <c r="AV105" s="31">
        <v>18095549.586198583</v>
      </c>
      <c r="AW105" s="31">
        <v>246458.88</v>
      </c>
      <c r="AX105" s="31">
        <v>123616.43</v>
      </c>
      <c r="AY105" s="31">
        <v>61144.81</v>
      </c>
      <c r="AZ105" s="31">
        <v>1855169.5438267246</v>
      </c>
      <c r="BA105" s="31">
        <v>1337546.6942494195</v>
      </c>
      <c r="BB105" s="31">
        <v>502860.84318592836</v>
      </c>
      <c r="BC105" s="31">
        <f t="shared" si="11"/>
        <v>22222346.787460651</v>
      </c>
      <c r="BD105" s="31">
        <v>0</v>
      </c>
    </row>
    <row r="106" spans="2:56">
      <c r="B106" s="42" t="s">
        <v>325</v>
      </c>
      <c r="C106" s="42" t="s">
        <v>326</v>
      </c>
      <c r="D106" s="43" t="s">
        <v>1049</v>
      </c>
      <c r="E106" s="44">
        <v>32</v>
      </c>
      <c r="F106" s="31">
        <v>2651079.6708279261</v>
      </c>
      <c r="G106" s="31">
        <v>150451.59000000003</v>
      </c>
      <c r="H106" s="31">
        <v>0</v>
      </c>
      <c r="I106" s="31">
        <v>8477.5300000000007</v>
      </c>
      <c r="J106" s="31">
        <v>330567.63728040882</v>
      </c>
      <c r="K106" s="31">
        <v>523766.02213386068</v>
      </c>
      <c r="L106" s="31">
        <v>0</v>
      </c>
      <c r="M106" s="31">
        <f t="shared" si="8"/>
        <v>3749507.3902421952</v>
      </c>
      <c r="N106" s="31">
        <v>85164.939999999988</v>
      </c>
      <c r="P106" s="42" t="s">
        <v>325</v>
      </c>
      <c r="Q106" s="42" t="s">
        <v>326</v>
      </c>
      <c r="R106" s="43" t="s">
        <v>1050</v>
      </c>
      <c r="S106" s="44">
        <v>32</v>
      </c>
      <c r="T106" s="31">
        <v>2792955.6950216023</v>
      </c>
      <c r="U106" s="31">
        <v>157405.82999999996</v>
      </c>
      <c r="V106" s="31">
        <v>0</v>
      </c>
      <c r="W106" s="31">
        <v>8803.06</v>
      </c>
      <c r="X106" s="31">
        <v>341752.43057102209</v>
      </c>
      <c r="Y106" s="31">
        <v>524230.23141152004</v>
      </c>
      <c r="Z106" s="31">
        <v>0</v>
      </c>
      <c r="AA106" s="31">
        <f t="shared" si="9"/>
        <v>3912405.8570041442</v>
      </c>
      <c r="AB106" s="31">
        <v>87258.61</v>
      </c>
      <c r="AD106" s="42" t="s">
        <v>325</v>
      </c>
      <c r="AE106" s="42" t="s">
        <v>326</v>
      </c>
      <c r="AF106" s="43" t="s">
        <v>1275</v>
      </c>
      <c r="AG106" s="44">
        <v>32</v>
      </c>
      <c r="AH106" s="31">
        <v>2846693.6642256202</v>
      </c>
      <c r="AI106" s="31">
        <v>160654.41999999998</v>
      </c>
      <c r="AJ106" s="31">
        <v>0</v>
      </c>
      <c r="AK106" s="31">
        <v>8975.2799999999988</v>
      </c>
      <c r="AL106" s="31">
        <v>348077.65964871173</v>
      </c>
      <c r="AM106" s="31">
        <v>524072.52598174493</v>
      </c>
      <c r="AN106" s="31">
        <v>0</v>
      </c>
      <c r="AO106" s="31">
        <f t="shared" si="10"/>
        <v>3977269.5098560764</v>
      </c>
      <c r="AP106" s="31">
        <v>88795.96</v>
      </c>
      <c r="AR106" s="42" t="s">
        <v>325</v>
      </c>
      <c r="AS106" s="42" t="s">
        <v>326</v>
      </c>
      <c r="AT106" s="43" t="s">
        <v>1276</v>
      </c>
      <c r="AU106" s="44">
        <v>32</v>
      </c>
      <c r="AV106" s="31">
        <v>2898953.3064631228</v>
      </c>
      <c r="AW106" s="31">
        <v>163563.10999999999</v>
      </c>
      <c r="AX106" s="31">
        <v>0</v>
      </c>
      <c r="AY106" s="31">
        <v>9139.17</v>
      </c>
      <c r="AZ106" s="31">
        <v>354478.39911195985</v>
      </c>
      <c r="BA106" s="31">
        <v>524097.62248997547</v>
      </c>
      <c r="BB106" s="31">
        <v>0</v>
      </c>
      <c r="BC106" s="31">
        <f t="shared" si="11"/>
        <v>4040674.0780650582</v>
      </c>
      <c r="BD106" s="31">
        <v>90442.470000000016</v>
      </c>
    </row>
    <row r="107" spans="2:56">
      <c r="B107" s="42" t="s">
        <v>143</v>
      </c>
      <c r="C107" s="42" t="s">
        <v>144</v>
      </c>
      <c r="D107" s="43" t="s">
        <v>1049</v>
      </c>
      <c r="E107" s="44">
        <v>32</v>
      </c>
      <c r="F107" s="31">
        <v>12407152.958058584</v>
      </c>
      <c r="G107" s="31">
        <v>748262.73</v>
      </c>
      <c r="H107" s="31">
        <v>153277.43000000002</v>
      </c>
      <c r="I107" s="31">
        <v>44044.12</v>
      </c>
      <c r="J107" s="31">
        <v>1946280.1728292361</v>
      </c>
      <c r="K107" s="31">
        <v>1082271.6148795504</v>
      </c>
      <c r="L107" s="31">
        <v>1277782.3855893856</v>
      </c>
      <c r="M107" s="31">
        <f t="shared" si="8"/>
        <v>18111303.121356759</v>
      </c>
      <c r="N107" s="31">
        <v>452231.71</v>
      </c>
      <c r="P107" s="42" t="s">
        <v>143</v>
      </c>
      <c r="Q107" s="42" t="s">
        <v>144</v>
      </c>
      <c r="R107" s="43" t="s">
        <v>1050</v>
      </c>
      <c r="S107" s="44">
        <v>32</v>
      </c>
      <c r="T107" s="31">
        <v>13009549.400073528</v>
      </c>
      <c r="U107" s="31">
        <v>783245.42999999993</v>
      </c>
      <c r="V107" s="31">
        <v>159163.43999999997</v>
      </c>
      <c r="W107" s="31">
        <v>45735.47</v>
      </c>
      <c r="X107" s="31">
        <v>2012234.7128668004</v>
      </c>
      <c r="Y107" s="31">
        <v>1083155.7511798895</v>
      </c>
      <c r="Z107" s="31">
        <v>1336130.4348984456</v>
      </c>
      <c r="AA107" s="31">
        <f t="shared" si="9"/>
        <v>18892563.859018665</v>
      </c>
      <c r="AB107" s="31">
        <v>463349.22</v>
      </c>
      <c r="AD107" s="42" t="s">
        <v>143</v>
      </c>
      <c r="AE107" s="42" t="s">
        <v>144</v>
      </c>
      <c r="AF107" s="43" t="s">
        <v>1275</v>
      </c>
      <c r="AG107" s="44">
        <v>32</v>
      </c>
      <c r="AH107" s="31">
        <v>13258907.996280853</v>
      </c>
      <c r="AI107" s="31">
        <v>799466.98</v>
      </c>
      <c r="AJ107" s="31">
        <v>162276.87</v>
      </c>
      <c r="AK107" s="31">
        <v>46630.1</v>
      </c>
      <c r="AL107" s="31">
        <v>2049509.4495487788</v>
      </c>
      <c r="AM107" s="31">
        <v>1082855.3842937991</v>
      </c>
      <c r="AN107" s="31">
        <v>1361866.680132956</v>
      </c>
      <c r="AO107" s="31">
        <f t="shared" si="10"/>
        <v>19233026.120256387</v>
      </c>
      <c r="AP107" s="31">
        <v>471512.66</v>
      </c>
      <c r="AR107" s="42" t="s">
        <v>143</v>
      </c>
      <c r="AS107" s="42" t="s">
        <v>144</v>
      </c>
      <c r="AT107" s="43" t="s">
        <v>1276</v>
      </c>
      <c r="AU107" s="44">
        <v>32</v>
      </c>
      <c r="AV107" s="31">
        <v>13502858.48198941</v>
      </c>
      <c r="AW107" s="31">
        <v>813933.20000000019</v>
      </c>
      <c r="AX107" s="31">
        <v>165240.18999999997</v>
      </c>
      <c r="AY107" s="31">
        <v>47481.610000000008</v>
      </c>
      <c r="AZ107" s="31">
        <v>2087255.2213821486</v>
      </c>
      <c r="BA107" s="31">
        <v>1082903.1832823292</v>
      </c>
      <c r="BB107" s="31">
        <v>1386973.3721076366</v>
      </c>
      <c r="BC107" s="31">
        <f t="shared" si="11"/>
        <v>19566900.948761523</v>
      </c>
      <c r="BD107" s="31">
        <v>480255.69</v>
      </c>
    </row>
    <row r="108" spans="2:56">
      <c r="B108" s="42" t="s">
        <v>1315</v>
      </c>
      <c r="C108" s="42" t="s">
        <v>1316</v>
      </c>
      <c r="D108" s="43" t="s">
        <v>1049</v>
      </c>
      <c r="E108" s="44">
        <v>32</v>
      </c>
      <c r="F108" s="31">
        <v>2829301.0156453652</v>
      </c>
      <c r="G108" s="31">
        <v>94937.479999999981</v>
      </c>
      <c r="H108" s="31">
        <v>41488.01</v>
      </c>
      <c r="I108" s="31">
        <v>0</v>
      </c>
      <c r="J108" s="31">
        <v>28920.383798683935</v>
      </c>
      <c r="K108" s="31">
        <v>78040.08</v>
      </c>
      <c r="L108" s="31">
        <v>0</v>
      </c>
      <c r="M108" s="31">
        <f t="shared" si="8"/>
        <v>3157063.8794440492</v>
      </c>
      <c r="N108" s="31">
        <v>84376.91</v>
      </c>
      <c r="P108" s="42" t="s">
        <v>1315</v>
      </c>
      <c r="Q108" s="42" t="s">
        <v>1316</v>
      </c>
      <c r="R108" s="43" t="s">
        <v>1050</v>
      </c>
      <c r="S108" s="44">
        <v>32</v>
      </c>
      <c r="T108" s="31">
        <v>2972897.4578925129</v>
      </c>
      <c r="U108" s="31">
        <v>99541.59</v>
      </c>
      <c r="V108" s="31">
        <v>43039.320000000007</v>
      </c>
      <c r="W108" s="31">
        <v>0</v>
      </c>
      <c r="X108" s="31">
        <v>29874.526046923522</v>
      </c>
      <c r="Y108" s="31">
        <v>78040.08</v>
      </c>
      <c r="Z108" s="31">
        <v>0</v>
      </c>
      <c r="AA108" s="31">
        <f t="shared" si="9"/>
        <v>3309870.6339394362</v>
      </c>
      <c r="AB108" s="31">
        <v>86477.66</v>
      </c>
      <c r="AD108" s="42" t="s">
        <v>1315</v>
      </c>
      <c r="AE108" s="42" t="s">
        <v>1316</v>
      </c>
      <c r="AF108" s="43" t="s">
        <v>1275</v>
      </c>
      <c r="AG108" s="44">
        <v>32</v>
      </c>
      <c r="AH108" s="31">
        <v>3030298.7214080291</v>
      </c>
      <c r="AI108" s="31">
        <v>101643.83000000003</v>
      </c>
      <c r="AJ108" s="31">
        <v>43882.62</v>
      </c>
      <c r="AK108" s="31">
        <v>0</v>
      </c>
      <c r="AL108" s="31">
        <v>30430.351098049043</v>
      </c>
      <c r="AM108" s="31">
        <v>78040.08</v>
      </c>
      <c r="AN108" s="31">
        <v>0</v>
      </c>
      <c r="AO108" s="31">
        <f t="shared" si="10"/>
        <v>3372315.8225060785</v>
      </c>
      <c r="AP108" s="31">
        <v>88020.219999999987</v>
      </c>
      <c r="AR108" s="42" t="s">
        <v>1315</v>
      </c>
      <c r="AS108" s="42" t="s">
        <v>1316</v>
      </c>
      <c r="AT108" s="43" t="s">
        <v>1276</v>
      </c>
      <c r="AU108" s="44">
        <v>32</v>
      </c>
      <c r="AV108" s="31">
        <v>3086448.883780065</v>
      </c>
      <c r="AW108" s="31">
        <v>103502.69000000002</v>
      </c>
      <c r="AX108" s="31">
        <v>44694.94000000001</v>
      </c>
      <c r="AY108" s="31">
        <v>0</v>
      </c>
      <c r="AZ108" s="31">
        <v>30995.373912891886</v>
      </c>
      <c r="BA108" s="31">
        <v>78040.08</v>
      </c>
      <c r="BB108" s="31">
        <v>0</v>
      </c>
      <c r="BC108" s="31">
        <f t="shared" si="11"/>
        <v>3433354.2576929568</v>
      </c>
      <c r="BD108" s="31">
        <v>89672.29</v>
      </c>
    </row>
    <row r="109" spans="2:56">
      <c r="B109" s="42" t="s">
        <v>1230</v>
      </c>
      <c r="C109" s="42" t="s">
        <v>1231</v>
      </c>
      <c r="D109" s="43" t="s">
        <v>1049</v>
      </c>
      <c r="E109" s="44">
        <v>32</v>
      </c>
      <c r="F109" s="31">
        <v>3416333.7281552423</v>
      </c>
      <c r="G109" s="31">
        <v>124438.09000000001</v>
      </c>
      <c r="H109" s="31">
        <v>66171.27</v>
      </c>
      <c r="I109" s="31">
        <v>9485.3000000000011</v>
      </c>
      <c r="J109" s="31">
        <v>102749.24875892818</v>
      </c>
      <c r="K109" s="31">
        <v>38906.230000000003</v>
      </c>
      <c r="L109" s="31">
        <v>0</v>
      </c>
      <c r="M109" s="31">
        <f t="shared" si="8"/>
        <v>3758083.8669141703</v>
      </c>
      <c r="N109" s="31">
        <v>0</v>
      </c>
      <c r="P109" s="42" t="s">
        <v>1230</v>
      </c>
      <c r="Q109" s="42" t="s">
        <v>1231</v>
      </c>
      <c r="R109" s="43" t="s">
        <v>1050</v>
      </c>
      <c r="S109" s="44">
        <v>32</v>
      </c>
      <c r="T109" s="31">
        <v>3588762.2784578884</v>
      </c>
      <c r="U109" s="31">
        <v>129036.84000000001</v>
      </c>
      <c r="V109" s="31">
        <v>68616.69</v>
      </c>
      <c r="W109" s="31">
        <v>9835.8499999999985</v>
      </c>
      <c r="X109" s="31">
        <v>106118.03501935626</v>
      </c>
      <c r="Y109" s="31">
        <v>38906.230000000003</v>
      </c>
      <c r="Z109" s="31">
        <v>0</v>
      </c>
      <c r="AA109" s="31">
        <f t="shared" si="9"/>
        <v>3941275.9234772446</v>
      </c>
      <c r="AB109" s="31">
        <v>0</v>
      </c>
      <c r="AD109" s="42" t="s">
        <v>1230</v>
      </c>
      <c r="AE109" s="42" t="s">
        <v>1231</v>
      </c>
      <c r="AF109" s="43" t="s">
        <v>1275</v>
      </c>
      <c r="AG109" s="44">
        <v>32</v>
      </c>
      <c r="AH109" s="31">
        <v>3658130.2391023249</v>
      </c>
      <c r="AI109" s="31">
        <v>131566.93</v>
      </c>
      <c r="AJ109" s="31">
        <v>69962.090000000011</v>
      </c>
      <c r="AK109" s="31">
        <v>10028.689999999999</v>
      </c>
      <c r="AL109" s="31">
        <v>108097.58740961067</v>
      </c>
      <c r="AM109" s="31">
        <v>38906.230000000003</v>
      </c>
      <c r="AN109" s="31">
        <v>0</v>
      </c>
      <c r="AO109" s="31">
        <f t="shared" si="10"/>
        <v>4016691.7665119357</v>
      </c>
      <c r="AP109" s="31">
        <v>0</v>
      </c>
      <c r="AR109" s="42" t="s">
        <v>1230</v>
      </c>
      <c r="AS109" s="42" t="s">
        <v>1231</v>
      </c>
      <c r="AT109" s="43" t="s">
        <v>1276</v>
      </c>
      <c r="AU109" s="44">
        <v>32</v>
      </c>
      <c r="AV109" s="31">
        <v>3726247.7207200355</v>
      </c>
      <c r="AW109" s="31">
        <v>134016.64000000001</v>
      </c>
      <c r="AX109" s="31">
        <v>71264.75</v>
      </c>
      <c r="AY109" s="31">
        <v>10215.419999999998</v>
      </c>
      <c r="AZ109" s="31">
        <v>110114.43866378453</v>
      </c>
      <c r="BA109" s="31">
        <v>38906.230000000003</v>
      </c>
      <c r="BB109" s="31">
        <v>0</v>
      </c>
      <c r="BC109" s="31">
        <f t="shared" si="11"/>
        <v>4090765.1993838199</v>
      </c>
      <c r="BD109" s="31">
        <v>0</v>
      </c>
    </row>
    <row r="110" spans="2:56">
      <c r="B110" s="42" t="s">
        <v>1032</v>
      </c>
      <c r="C110" s="42" t="s">
        <v>1042</v>
      </c>
      <c r="D110" s="43" t="s">
        <v>1049</v>
      </c>
      <c r="E110" s="44">
        <v>32</v>
      </c>
      <c r="F110" s="31">
        <v>6776490.6034356095</v>
      </c>
      <c r="G110" s="31">
        <v>280493.86</v>
      </c>
      <c r="H110" s="31">
        <v>241423.45</v>
      </c>
      <c r="I110" s="31">
        <v>19422.27</v>
      </c>
      <c r="J110" s="31">
        <v>273094.09519344935</v>
      </c>
      <c r="K110" s="31">
        <v>87788.41</v>
      </c>
      <c r="L110" s="31">
        <v>0</v>
      </c>
      <c r="M110" s="31">
        <f t="shared" si="8"/>
        <v>7878129.7986290595</v>
      </c>
      <c r="N110" s="31">
        <v>199417.11000000002</v>
      </c>
      <c r="P110" s="42" t="s">
        <v>1032</v>
      </c>
      <c r="Q110" s="42" t="s">
        <v>1042</v>
      </c>
      <c r="R110" s="43" t="s">
        <v>1050</v>
      </c>
      <c r="S110" s="44">
        <v>32</v>
      </c>
      <c r="T110" s="31">
        <v>7121300.30987994</v>
      </c>
      <c r="U110" s="31">
        <v>293237.55000000005</v>
      </c>
      <c r="V110" s="31">
        <v>250345.50000000006</v>
      </c>
      <c r="W110" s="31">
        <v>20140.039999999997</v>
      </c>
      <c r="X110" s="31">
        <v>282065.42238769704</v>
      </c>
      <c r="Y110" s="31">
        <v>87788.41</v>
      </c>
      <c r="Z110" s="31">
        <v>0</v>
      </c>
      <c r="AA110" s="31">
        <f t="shared" si="9"/>
        <v>8259286.2822676366</v>
      </c>
      <c r="AB110" s="31">
        <v>204409.05000000002</v>
      </c>
      <c r="AD110" s="42" t="s">
        <v>1032</v>
      </c>
      <c r="AE110" s="42" t="s">
        <v>1042</v>
      </c>
      <c r="AF110" s="43" t="s">
        <v>1275</v>
      </c>
      <c r="AG110" s="44">
        <v>32</v>
      </c>
      <c r="AH110" s="31">
        <v>7258921.442809199</v>
      </c>
      <c r="AI110" s="31">
        <v>299329.69000000006</v>
      </c>
      <c r="AJ110" s="31">
        <v>255254.18</v>
      </c>
      <c r="AK110" s="31">
        <v>20534.95</v>
      </c>
      <c r="AL110" s="31">
        <v>287327.49382396368</v>
      </c>
      <c r="AM110" s="31">
        <v>87788.41</v>
      </c>
      <c r="AN110" s="31">
        <v>0</v>
      </c>
      <c r="AO110" s="31">
        <f t="shared" si="10"/>
        <v>8417230.7266331632</v>
      </c>
      <c r="AP110" s="31">
        <v>208074.56</v>
      </c>
      <c r="AR110" s="42" t="s">
        <v>1032</v>
      </c>
      <c r="AS110" s="42" t="s">
        <v>1042</v>
      </c>
      <c r="AT110" s="43" t="s">
        <v>1276</v>
      </c>
      <c r="AU110" s="44">
        <v>32</v>
      </c>
      <c r="AV110" s="31">
        <v>7394118.6612021942</v>
      </c>
      <c r="AW110" s="31">
        <v>304851.55000000005</v>
      </c>
      <c r="AX110" s="31">
        <v>260006.87000000002</v>
      </c>
      <c r="AY110" s="31">
        <v>20917.3</v>
      </c>
      <c r="AZ110" s="31">
        <v>292689.05661900801</v>
      </c>
      <c r="BA110" s="31">
        <v>87788.41</v>
      </c>
      <c r="BB110" s="31">
        <v>0</v>
      </c>
      <c r="BC110" s="31">
        <f t="shared" si="11"/>
        <v>8572372.1478212029</v>
      </c>
      <c r="BD110" s="31">
        <v>212000.30000000002</v>
      </c>
    </row>
    <row r="111" spans="2:56">
      <c r="B111" s="42" t="s">
        <v>107</v>
      </c>
      <c r="C111" s="42" t="s">
        <v>108</v>
      </c>
      <c r="D111" s="43" t="s">
        <v>1049</v>
      </c>
      <c r="E111" s="44">
        <v>32</v>
      </c>
      <c r="F111" s="31">
        <v>2811344.7319271076</v>
      </c>
      <c r="G111" s="31">
        <v>116151.74999999999</v>
      </c>
      <c r="H111" s="31">
        <v>0</v>
      </c>
      <c r="I111" s="31">
        <v>0</v>
      </c>
      <c r="J111" s="31">
        <v>214940.78815853238</v>
      </c>
      <c r="K111" s="31">
        <v>0</v>
      </c>
      <c r="L111" s="31">
        <v>0</v>
      </c>
      <c r="M111" s="31">
        <f t="shared" si="8"/>
        <v>3208503.4400856397</v>
      </c>
      <c r="N111" s="31">
        <v>66066.17</v>
      </c>
      <c r="P111" s="42" t="s">
        <v>107</v>
      </c>
      <c r="Q111" s="42" t="s">
        <v>108</v>
      </c>
      <c r="R111" s="43" t="s">
        <v>1050</v>
      </c>
      <c r="S111" s="44">
        <v>32</v>
      </c>
      <c r="T111" s="31">
        <v>2938174.7511852328</v>
      </c>
      <c r="U111" s="31">
        <v>121524.94999999998</v>
      </c>
      <c r="V111" s="31">
        <v>0</v>
      </c>
      <c r="W111" s="31">
        <v>0</v>
      </c>
      <c r="X111" s="31">
        <v>222223.30943455166</v>
      </c>
      <c r="Y111" s="31">
        <v>0</v>
      </c>
      <c r="Z111" s="31">
        <v>0</v>
      </c>
      <c r="AA111" s="31">
        <f t="shared" si="9"/>
        <v>3349613.3206197848</v>
      </c>
      <c r="AB111" s="31">
        <v>67690.31</v>
      </c>
      <c r="AD111" s="42" t="s">
        <v>107</v>
      </c>
      <c r="AE111" s="42" t="s">
        <v>108</v>
      </c>
      <c r="AF111" s="43" t="s">
        <v>1275</v>
      </c>
      <c r="AG111" s="44">
        <v>32</v>
      </c>
      <c r="AH111" s="31">
        <v>2994508.7805598304</v>
      </c>
      <c r="AI111" s="31">
        <v>124033.66</v>
      </c>
      <c r="AJ111" s="31">
        <v>0</v>
      </c>
      <c r="AK111" s="31">
        <v>0</v>
      </c>
      <c r="AL111" s="31">
        <v>226339.11321265972</v>
      </c>
      <c r="AM111" s="31">
        <v>0</v>
      </c>
      <c r="AN111" s="31">
        <v>0</v>
      </c>
      <c r="AO111" s="31">
        <f t="shared" si="10"/>
        <v>3413764.4537724904</v>
      </c>
      <c r="AP111" s="31">
        <v>68882.899999999994</v>
      </c>
      <c r="AR111" s="42" t="s">
        <v>107</v>
      </c>
      <c r="AS111" s="42" t="s">
        <v>108</v>
      </c>
      <c r="AT111" s="43" t="s">
        <v>1276</v>
      </c>
      <c r="AU111" s="44">
        <v>32</v>
      </c>
      <c r="AV111" s="31">
        <v>3049233.4563272996</v>
      </c>
      <c r="AW111" s="31">
        <v>126279.21999999999</v>
      </c>
      <c r="AX111" s="31">
        <v>0</v>
      </c>
      <c r="AY111" s="31">
        <v>0</v>
      </c>
      <c r="AZ111" s="31">
        <v>230506.38011294563</v>
      </c>
      <c r="BA111" s="31">
        <v>0</v>
      </c>
      <c r="BB111" s="31">
        <v>0</v>
      </c>
      <c r="BC111" s="31">
        <f t="shared" si="11"/>
        <v>3476179.2264402453</v>
      </c>
      <c r="BD111" s="31">
        <v>70160.17</v>
      </c>
    </row>
    <row r="112" spans="2:56">
      <c r="B112" s="42" t="s">
        <v>435</v>
      </c>
      <c r="C112" s="42" t="s">
        <v>436</v>
      </c>
      <c r="D112" s="43" t="s">
        <v>1049</v>
      </c>
      <c r="E112" s="44">
        <v>32</v>
      </c>
      <c r="F112" s="31">
        <v>591608.562918109</v>
      </c>
      <c r="G112" s="31">
        <v>8189.84</v>
      </c>
      <c r="H112" s="31">
        <v>0</v>
      </c>
      <c r="I112" s="31">
        <v>0</v>
      </c>
      <c r="J112" s="31">
        <v>34133.292587697448</v>
      </c>
      <c r="K112" s="31">
        <v>81182.484782710977</v>
      </c>
      <c r="L112" s="31">
        <v>0</v>
      </c>
      <c r="M112" s="31">
        <f t="shared" si="8"/>
        <v>715114.1802885175</v>
      </c>
      <c r="N112" s="31">
        <v>0</v>
      </c>
      <c r="P112" s="42" t="s">
        <v>435</v>
      </c>
      <c r="Q112" s="42" t="s">
        <v>436</v>
      </c>
      <c r="R112" s="43" t="s">
        <v>1050</v>
      </c>
      <c r="S112" s="44">
        <v>32</v>
      </c>
      <c r="T112" s="31">
        <v>613002.40886419034</v>
      </c>
      <c r="U112" s="31">
        <v>8496.08</v>
      </c>
      <c r="V112" s="31">
        <v>0</v>
      </c>
      <c r="W112" s="31">
        <v>0</v>
      </c>
      <c r="X112" s="31">
        <v>35264.534105023282</v>
      </c>
      <c r="Y112" s="31">
        <v>81238.371446521283</v>
      </c>
      <c r="Z112" s="31">
        <v>0</v>
      </c>
      <c r="AA112" s="31">
        <f t="shared" si="9"/>
        <v>738001.3944157348</v>
      </c>
      <c r="AB112" s="31">
        <v>0</v>
      </c>
      <c r="AD112" s="42" t="s">
        <v>435</v>
      </c>
      <c r="AE112" s="42" t="s">
        <v>436</v>
      </c>
      <c r="AF112" s="43" t="s">
        <v>1275</v>
      </c>
      <c r="AG112" s="44">
        <v>32</v>
      </c>
      <c r="AH112" s="31">
        <v>624767.7185124954</v>
      </c>
      <c r="AI112" s="31">
        <v>8662.5500000000011</v>
      </c>
      <c r="AJ112" s="31">
        <v>0</v>
      </c>
      <c r="AK112" s="31">
        <v>0</v>
      </c>
      <c r="AL112" s="31">
        <v>35920.777019003785</v>
      </c>
      <c r="AM112" s="31">
        <v>81217.933994957639</v>
      </c>
      <c r="AN112" s="31">
        <v>0</v>
      </c>
      <c r="AO112" s="31">
        <f t="shared" si="10"/>
        <v>750568.97952645679</v>
      </c>
      <c r="AP112" s="31">
        <v>0</v>
      </c>
      <c r="AR112" s="42" t="s">
        <v>435</v>
      </c>
      <c r="AS112" s="42" t="s">
        <v>436</v>
      </c>
      <c r="AT112" s="43" t="s">
        <v>1276</v>
      </c>
      <c r="AU112" s="44">
        <v>32</v>
      </c>
      <c r="AV112" s="31">
        <v>636260.64362205006</v>
      </c>
      <c r="AW112" s="31">
        <v>8822.9</v>
      </c>
      <c r="AX112" s="31">
        <v>0</v>
      </c>
      <c r="AY112" s="31">
        <v>0</v>
      </c>
      <c r="AZ112" s="31">
        <v>36588.002135321294</v>
      </c>
      <c r="BA112" s="31">
        <v>81221.111252766481</v>
      </c>
      <c r="BB112" s="31">
        <v>0</v>
      </c>
      <c r="BC112" s="31">
        <f t="shared" si="11"/>
        <v>762892.6570101378</v>
      </c>
      <c r="BD112" s="31">
        <v>0</v>
      </c>
    </row>
    <row r="113" spans="2:56">
      <c r="B113" s="42" t="s">
        <v>211</v>
      </c>
      <c r="C113" s="42" t="s">
        <v>212</v>
      </c>
      <c r="D113" s="43" t="s">
        <v>1049</v>
      </c>
      <c r="E113" s="44">
        <v>32</v>
      </c>
      <c r="F113" s="31">
        <v>175489078.77735424</v>
      </c>
      <c r="G113" s="31">
        <v>1409696.12</v>
      </c>
      <c r="H113" s="31">
        <v>2558094.8299999996</v>
      </c>
      <c r="I113" s="31">
        <v>625352.22</v>
      </c>
      <c r="J113" s="31">
        <v>16798344.095787942</v>
      </c>
      <c r="K113" s="31">
        <v>9139448.7948959023</v>
      </c>
      <c r="L113" s="31">
        <v>11565238.856265876</v>
      </c>
      <c r="M113" s="31">
        <f t="shared" si="8"/>
        <v>217585253.69430396</v>
      </c>
      <c r="N113" s="31">
        <v>0</v>
      </c>
      <c r="P113" s="42" t="s">
        <v>211</v>
      </c>
      <c r="Q113" s="42" t="s">
        <v>212</v>
      </c>
      <c r="R113" s="43" t="s">
        <v>1050</v>
      </c>
      <c r="S113" s="44">
        <v>32</v>
      </c>
      <c r="T113" s="31">
        <v>182045423.54727131</v>
      </c>
      <c r="U113" s="31">
        <v>1461792.97</v>
      </c>
      <c r="V113" s="31">
        <v>2652631.9900000002</v>
      </c>
      <c r="W113" s="31">
        <v>648462.79</v>
      </c>
      <c r="X113" s="31">
        <v>17355982.254007474</v>
      </c>
      <c r="Y113" s="31">
        <v>9148081.6544111129</v>
      </c>
      <c r="Z113" s="31">
        <v>11967067.245099071</v>
      </c>
      <c r="AA113" s="31">
        <f t="shared" si="9"/>
        <v>225279442.45078894</v>
      </c>
      <c r="AB113" s="31">
        <v>0</v>
      </c>
      <c r="AD113" s="42" t="s">
        <v>211</v>
      </c>
      <c r="AE113" s="42" t="s">
        <v>212</v>
      </c>
      <c r="AF113" s="43" t="s">
        <v>1275</v>
      </c>
      <c r="AG113" s="44">
        <v>32</v>
      </c>
      <c r="AH113" s="31">
        <v>185555545.48599499</v>
      </c>
      <c r="AI113" s="31">
        <v>1490455.1900000004</v>
      </c>
      <c r="AJ113" s="31">
        <v>2704643.7199999997</v>
      </c>
      <c r="AK113" s="31">
        <v>661177.56999999995</v>
      </c>
      <c r="AL113" s="31">
        <v>17680054.718849845</v>
      </c>
      <c r="AM113" s="31">
        <v>9144819.0799325127</v>
      </c>
      <c r="AN113" s="31">
        <v>12198315.208847454</v>
      </c>
      <c r="AO113" s="31">
        <f t="shared" si="10"/>
        <v>229435010.9736248</v>
      </c>
      <c r="AP113" s="31">
        <v>0</v>
      </c>
      <c r="AR113" s="42" t="s">
        <v>211</v>
      </c>
      <c r="AS113" s="42" t="s">
        <v>212</v>
      </c>
      <c r="AT113" s="43" t="s">
        <v>1276</v>
      </c>
      <c r="AU113" s="44">
        <v>32</v>
      </c>
      <c r="AV113" s="31">
        <v>189018236.95660955</v>
      </c>
      <c r="AW113" s="31">
        <v>1518206.6799999997</v>
      </c>
      <c r="AX113" s="31">
        <v>2755002.77</v>
      </c>
      <c r="AY113" s="31">
        <v>673488.35</v>
      </c>
      <c r="AZ113" s="31">
        <v>18010504.639500245</v>
      </c>
      <c r="BA113" s="31">
        <v>9145321.2141818423</v>
      </c>
      <c r="BB113" s="31">
        <v>12426507.137855569</v>
      </c>
      <c r="BC113" s="31">
        <f t="shared" si="11"/>
        <v>233547267.74814722</v>
      </c>
      <c r="BD113" s="31">
        <v>0</v>
      </c>
    </row>
    <row r="114" spans="2:56">
      <c r="B114" s="42" t="s">
        <v>117</v>
      </c>
      <c r="C114" s="42" t="s">
        <v>118</v>
      </c>
      <c r="D114" s="43" t="s">
        <v>1049</v>
      </c>
      <c r="E114" s="44">
        <v>32</v>
      </c>
      <c r="F114" s="31">
        <v>1840082.8244621293</v>
      </c>
      <c r="G114" s="31">
        <v>16040.26</v>
      </c>
      <c r="H114" s="31">
        <v>0</v>
      </c>
      <c r="I114" s="31">
        <v>0</v>
      </c>
      <c r="J114" s="31">
        <v>44726.633909913333</v>
      </c>
      <c r="K114" s="31">
        <v>96319.635234996982</v>
      </c>
      <c r="L114" s="31">
        <v>33412.072526612319</v>
      </c>
      <c r="M114" s="31">
        <f t="shared" si="8"/>
        <v>2040669.6461336517</v>
      </c>
      <c r="N114" s="31">
        <v>10088.219999999999</v>
      </c>
      <c r="P114" s="42" t="s">
        <v>117</v>
      </c>
      <c r="Q114" s="42" t="s">
        <v>118</v>
      </c>
      <c r="R114" s="43" t="s">
        <v>1050</v>
      </c>
      <c r="S114" s="44">
        <v>32</v>
      </c>
      <c r="T114" s="31">
        <v>1909185.7031238615</v>
      </c>
      <c r="U114" s="31">
        <v>16785.11</v>
      </c>
      <c r="V114" s="31">
        <v>0</v>
      </c>
      <c r="W114" s="31">
        <v>0</v>
      </c>
      <c r="X114" s="31">
        <v>46232.895649745515</v>
      </c>
      <c r="Y114" s="31">
        <v>96387.138928247528</v>
      </c>
      <c r="Z114" s="31">
        <v>34911.227454874825</v>
      </c>
      <c r="AA114" s="31">
        <f t="shared" si="9"/>
        <v>2113839.4251567298</v>
      </c>
      <c r="AB114" s="31">
        <v>10337.35</v>
      </c>
      <c r="AD114" s="42" t="s">
        <v>117</v>
      </c>
      <c r="AE114" s="42" t="s">
        <v>118</v>
      </c>
      <c r="AF114" s="43" t="s">
        <v>1275</v>
      </c>
      <c r="AG114" s="44">
        <v>32</v>
      </c>
      <c r="AH114" s="31">
        <v>1945639.253423644</v>
      </c>
      <c r="AI114" s="31">
        <v>17133.050000000003</v>
      </c>
      <c r="AJ114" s="31">
        <v>0</v>
      </c>
      <c r="AK114" s="31">
        <v>0</v>
      </c>
      <c r="AL114" s="31">
        <v>47090.621699011739</v>
      </c>
      <c r="AM114" s="31">
        <v>96364.205954979174</v>
      </c>
      <c r="AN114" s="31">
        <v>35584.188701720319</v>
      </c>
      <c r="AO114" s="31">
        <f t="shared" si="10"/>
        <v>2152331.5997793553</v>
      </c>
      <c r="AP114" s="31">
        <v>10520.28</v>
      </c>
      <c r="AR114" s="42" t="s">
        <v>117</v>
      </c>
      <c r="AS114" s="42" t="s">
        <v>118</v>
      </c>
      <c r="AT114" s="43" t="s">
        <v>1276</v>
      </c>
      <c r="AU114" s="44">
        <v>32</v>
      </c>
      <c r="AV114" s="31">
        <v>1980941.6597807708</v>
      </c>
      <c r="AW114" s="31">
        <v>17444.560000000005</v>
      </c>
      <c r="AX114" s="31">
        <v>0</v>
      </c>
      <c r="AY114" s="31">
        <v>0</v>
      </c>
      <c r="AZ114" s="31">
        <v>47960.282697745439</v>
      </c>
      <c r="BA114" s="31">
        <v>96367.85540162916</v>
      </c>
      <c r="BB114" s="31">
        <v>36242.109015131835</v>
      </c>
      <c r="BC114" s="31">
        <f t="shared" si="11"/>
        <v>2189672.6768952771</v>
      </c>
      <c r="BD114" s="31">
        <v>10716.210000000001</v>
      </c>
    </row>
    <row r="115" spans="2:56">
      <c r="B115" s="42" t="s">
        <v>83</v>
      </c>
      <c r="C115" s="42" t="s">
        <v>84</v>
      </c>
      <c r="D115" s="43" t="s">
        <v>1049</v>
      </c>
      <c r="E115" s="44">
        <v>32</v>
      </c>
      <c r="F115" s="31">
        <v>8676480.8764516823</v>
      </c>
      <c r="G115" s="31">
        <v>209794.2</v>
      </c>
      <c r="H115" s="31">
        <v>0</v>
      </c>
      <c r="I115" s="31">
        <v>0</v>
      </c>
      <c r="J115" s="31">
        <v>1390202.5460782247</v>
      </c>
      <c r="K115" s="31">
        <v>0</v>
      </c>
      <c r="L115" s="31">
        <v>486266.41722639167</v>
      </c>
      <c r="M115" s="31">
        <f t="shared" si="8"/>
        <v>10762744.039756296</v>
      </c>
      <c r="N115" s="31">
        <v>0</v>
      </c>
      <c r="P115" s="42" t="s">
        <v>83</v>
      </c>
      <c r="Q115" s="42" t="s">
        <v>84</v>
      </c>
      <c r="R115" s="43" t="s">
        <v>1050</v>
      </c>
      <c r="S115" s="44">
        <v>32</v>
      </c>
      <c r="T115" s="31">
        <v>9010285.7065684628</v>
      </c>
      <c r="U115" s="31">
        <v>217850.51</v>
      </c>
      <c r="V115" s="31">
        <v>0</v>
      </c>
      <c r="W115" s="31">
        <v>0</v>
      </c>
      <c r="X115" s="31">
        <v>1437287.5965303832</v>
      </c>
      <c r="Y115" s="31">
        <v>0</v>
      </c>
      <c r="Z115" s="31">
        <v>503592.82275040587</v>
      </c>
      <c r="AA115" s="31">
        <f t="shared" si="9"/>
        <v>11169016.635849252</v>
      </c>
      <c r="AB115" s="31">
        <v>0</v>
      </c>
      <c r="AD115" s="42" t="s">
        <v>83</v>
      </c>
      <c r="AE115" s="42" t="s">
        <v>84</v>
      </c>
      <c r="AF115" s="43" t="s">
        <v>1275</v>
      </c>
      <c r="AG115" s="44">
        <v>32</v>
      </c>
      <c r="AH115" s="31">
        <v>9183150.2259355728</v>
      </c>
      <c r="AI115" s="31">
        <v>222111.96000000005</v>
      </c>
      <c r="AJ115" s="31">
        <v>0</v>
      </c>
      <c r="AK115" s="31">
        <v>0</v>
      </c>
      <c r="AL115" s="31">
        <v>1463906.3870370463</v>
      </c>
      <c r="AM115" s="31">
        <v>0</v>
      </c>
      <c r="AN115" s="31">
        <v>513291.83849281713</v>
      </c>
      <c r="AO115" s="31">
        <f t="shared" si="10"/>
        <v>11382460.411465436</v>
      </c>
      <c r="AP115" s="31">
        <v>0</v>
      </c>
      <c r="AR115" s="42" t="s">
        <v>83</v>
      </c>
      <c r="AS115" s="42" t="s">
        <v>84</v>
      </c>
      <c r="AT115" s="43" t="s">
        <v>1276</v>
      </c>
      <c r="AU115" s="44">
        <v>32</v>
      </c>
      <c r="AV115" s="31">
        <v>9352004.1621166803</v>
      </c>
      <c r="AW115" s="31">
        <v>226167.93000000005</v>
      </c>
      <c r="AX115" s="31">
        <v>0</v>
      </c>
      <c r="AY115" s="31">
        <v>0</v>
      </c>
      <c r="AZ115" s="31">
        <v>1490856.9721376959</v>
      </c>
      <c r="BA115" s="31">
        <v>0</v>
      </c>
      <c r="BB115" s="31">
        <v>522755.78777149966</v>
      </c>
      <c r="BC115" s="31">
        <f t="shared" si="11"/>
        <v>11591784.852025874</v>
      </c>
      <c r="BD115" s="31">
        <v>0</v>
      </c>
    </row>
    <row r="116" spans="2:56">
      <c r="B116" s="42" t="s">
        <v>101</v>
      </c>
      <c r="C116" s="42" t="s">
        <v>102</v>
      </c>
      <c r="D116" s="43" t="s">
        <v>1049</v>
      </c>
      <c r="E116" s="44">
        <v>32</v>
      </c>
      <c r="F116" s="31">
        <v>422854.39426809677</v>
      </c>
      <c r="G116" s="31">
        <v>19585.979999999996</v>
      </c>
      <c r="H116" s="31">
        <v>0</v>
      </c>
      <c r="I116" s="31">
        <v>0</v>
      </c>
      <c r="J116" s="31">
        <v>33719.872121661443</v>
      </c>
      <c r="K116" s="31">
        <v>92293.884993765387</v>
      </c>
      <c r="L116" s="31">
        <v>0</v>
      </c>
      <c r="M116" s="31">
        <f t="shared" si="8"/>
        <v>577906.08138352353</v>
      </c>
      <c r="N116" s="31">
        <v>9451.9500000000025</v>
      </c>
      <c r="P116" s="42" t="s">
        <v>101</v>
      </c>
      <c r="Q116" s="42" t="s">
        <v>102</v>
      </c>
      <c r="R116" s="43" t="s">
        <v>1050</v>
      </c>
      <c r="S116" s="44">
        <v>32</v>
      </c>
      <c r="T116" s="31">
        <v>443425.39385442465</v>
      </c>
      <c r="U116" s="31">
        <v>20468.690000000002</v>
      </c>
      <c r="V116" s="31">
        <v>0</v>
      </c>
      <c r="W116" s="31">
        <v>0</v>
      </c>
      <c r="X116" s="31">
        <v>34855.113349964107</v>
      </c>
      <c r="Y116" s="31">
        <v>92378.142682082093</v>
      </c>
      <c r="Z116" s="31">
        <v>0</v>
      </c>
      <c r="AA116" s="31">
        <f t="shared" si="9"/>
        <v>600811.66988647077</v>
      </c>
      <c r="AB116" s="31">
        <v>9684.33</v>
      </c>
      <c r="AD116" s="42" t="s">
        <v>101</v>
      </c>
      <c r="AE116" s="42" t="s">
        <v>102</v>
      </c>
      <c r="AF116" s="43" t="s">
        <v>1275</v>
      </c>
      <c r="AG116" s="44">
        <v>32</v>
      </c>
      <c r="AH116" s="31">
        <v>451939.87582314521</v>
      </c>
      <c r="AI116" s="31">
        <v>20887.909999999996</v>
      </c>
      <c r="AJ116" s="31">
        <v>0</v>
      </c>
      <c r="AK116" s="31">
        <v>0</v>
      </c>
      <c r="AL116" s="31">
        <v>35499.98942787783</v>
      </c>
      <c r="AM116" s="31">
        <v>92349.517888077884</v>
      </c>
      <c r="AN116" s="31">
        <v>0</v>
      </c>
      <c r="AO116" s="31">
        <f t="shared" si="10"/>
        <v>610532.23313910083</v>
      </c>
      <c r="AP116" s="31">
        <v>9854.94</v>
      </c>
      <c r="AR116" s="42" t="s">
        <v>101</v>
      </c>
      <c r="AS116" s="42" t="s">
        <v>102</v>
      </c>
      <c r="AT116" s="43" t="s">
        <v>1276</v>
      </c>
      <c r="AU116" s="44">
        <v>32</v>
      </c>
      <c r="AV116" s="31">
        <v>460199.27823944489</v>
      </c>
      <c r="AW116" s="31">
        <v>21266.57</v>
      </c>
      <c r="AX116" s="31">
        <v>0</v>
      </c>
      <c r="AY116" s="31">
        <v>0</v>
      </c>
      <c r="AZ116" s="31">
        <v>36152.369537405029</v>
      </c>
      <c r="BA116" s="31">
        <v>92354.073104593554</v>
      </c>
      <c r="BB116" s="31">
        <v>0</v>
      </c>
      <c r="BC116" s="31">
        <f t="shared" si="11"/>
        <v>620009.97088144359</v>
      </c>
      <c r="BD116" s="31">
        <v>10037.680000000002</v>
      </c>
    </row>
    <row r="117" spans="2:56">
      <c r="B117" s="42" t="s">
        <v>87</v>
      </c>
      <c r="C117" s="42" t="s">
        <v>88</v>
      </c>
      <c r="D117" s="43" t="s">
        <v>1049</v>
      </c>
      <c r="E117" s="44">
        <v>32</v>
      </c>
      <c r="F117" s="31">
        <v>38075234.968129143</v>
      </c>
      <c r="G117" s="31">
        <v>1828707.7300000004</v>
      </c>
      <c r="H117" s="31">
        <v>455252.43</v>
      </c>
      <c r="I117" s="31">
        <v>134276.08000000002</v>
      </c>
      <c r="J117" s="31">
        <v>6040227.4989624843</v>
      </c>
      <c r="K117" s="31">
        <v>2338852.3585415701</v>
      </c>
      <c r="L117" s="31">
        <v>3741895.8956274572</v>
      </c>
      <c r="M117" s="31">
        <f t="shared" si="8"/>
        <v>53909558.30126065</v>
      </c>
      <c r="N117" s="31">
        <v>1295111.3399999999</v>
      </c>
      <c r="P117" s="42" t="s">
        <v>87</v>
      </c>
      <c r="Q117" s="42" t="s">
        <v>88</v>
      </c>
      <c r="R117" s="43" t="s">
        <v>1050</v>
      </c>
      <c r="S117" s="44">
        <v>32</v>
      </c>
      <c r="T117" s="31">
        <v>39938245.354867578</v>
      </c>
      <c r="U117" s="31">
        <v>1916826.9400000004</v>
      </c>
      <c r="V117" s="31">
        <v>472734.59</v>
      </c>
      <c r="W117" s="31">
        <v>139432.41</v>
      </c>
      <c r="X117" s="31">
        <v>6244871.0529302321</v>
      </c>
      <c r="Y117" s="31">
        <v>2341143.5959276031</v>
      </c>
      <c r="Z117" s="31">
        <v>3912550.9077123925</v>
      </c>
      <c r="AA117" s="31">
        <f t="shared" si="9"/>
        <v>56292754.781437807</v>
      </c>
      <c r="AB117" s="31">
        <v>1326949.9300000002</v>
      </c>
      <c r="AD117" s="42" t="s">
        <v>87</v>
      </c>
      <c r="AE117" s="42" t="s">
        <v>88</v>
      </c>
      <c r="AF117" s="43" t="s">
        <v>1275</v>
      </c>
      <c r="AG117" s="44">
        <v>32</v>
      </c>
      <c r="AH117" s="31">
        <v>40704649.445624508</v>
      </c>
      <c r="AI117" s="31">
        <v>1956900.76</v>
      </c>
      <c r="AJ117" s="31">
        <v>481981.89</v>
      </c>
      <c r="AK117" s="31">
        <v>142159.91</v>
      </c>
      <c r="AL117" s="31">
        <v>6360543.9025836149</v>
      </c>
      <c r="AM117" s="31">
        <v>2340365.1957661435</v>
      </c>
      <c r="AN117" s="31">
        <v>3987913.8619861081</v>
      </c>
      <c r="AO117" s="31">
        <f t="shared" si="10"/>
        <v>57324843.515960366</v>
      </c>
      <c r="AP117" s="31">
        <v>1350328.55</v>
      </c>
      <c r="AR117" s="42" t="s">
        <v>87</v>
      </c>
      <c r="AS117" s="42" t="s">
        <v>88</v>
      </c>
      <c r="AT117" s="43" t="s">
        <v>1276</v>
      </c>
      <c r="AU117" s="44">
        <v>32</v>
      </c>
      <c r="AV117" s="31">
        <v>41453336.550798424</v>
      </c>
      <c r="AW117" s="31">
        <v>1992255.3300000005</v>
      </c>
      <c r="AX117" s="31">
        <v>490783.32000000007</v>
      </c>
      <c r="AY117" s="31">
        <v>144755.87999999998</v>
      </c>
      <c r="AZ117" s="31">
        <v>6477672.3588709673</v>
      </c>
      <c r="BA117" s="31">
        <v>2340489.0667456435</v>
      </c>
      <c r="BB117" s="31">
        <v>4061433.2937198966</v>
      </c>
      <c r="BC117" s="31">
        <f t="shared" si="11"/>
        <v>58336092.840134934</v>
      </c>
      <c r="BD117" s="31">
        <v>1375367.04</v>
      </c>
    </row>
    <row r="118" spans="2:56">
      <c r="B118" s="42" t="s">
        <v>17</v>
      </c>
      <c r="C118" s="42" t="s">
        <v>18</v>
      </c>
      <c r="D118" s="43" t="s">
        <v>1049</v>
      </c>
      <c r="E118" s="44">
        <v>32</v>
      </c>
      <c r="F118" s="31">
        <v>145935856.89833647</v>
      </c>
      <c r="G118" s="31">
        <v>6712245.0599999987</v>
      </c>
      <c r="H118" s="31">
        <v>4057905.09</v>
      </c>
      <c r="I118" s="31">
        <v>514010.41000000003</v>
      </c>
      <c r="J118" s="31">
        <v>20616345.450004131</v>
      </c>
      <c r="K118" s="31">
        <v>8176657.1704723854</v>
      </c>
      <c r="L118" s="31">
        <v>14377796.381748267</v>
      </c>
      <c r="M118" s="31">
        <f t="shared" si="8"/>
        <v>204009742.05056125</v>
      </c>
      <c r="N118" s="31">
        <v>3618925.5900000003</v>
      </c>
      <c r="P118" s="42" t="s">
        <v>17</v>
      </c>
      <c r="Q118" s="42" t="s">
        <v>18</v>
      </c>
      <c r="R118" s="43" t="s">
        <v>1050</v>
      </c>
      <c r="S118" s="44">
        <v>32</v>
      </c>
      <c r="T118" s="31">
        <v>153080968.70433608</v>
      </c>
      <c r="U118" s="31">
        <v>7020005.9899999984</v>
      </c>
      <c r="V118" s="31">
        <v>4213732.74</v>
      </c>
      <c r="W118" s="31">
        <v>533748.93000000005</v>
      </c>
      <c r="X118" s="31">
        <v>21314835.278609175</v>
      </c>
      <c r="Y118" s="31">
        <v>8183747.8961061994</v>
      </c>
      <c r="Z118" s="31">
        <v>15029809.338872245</v>
      </c>
      <c r="AA118" s="31">
        <f t="shared" si="9"/>
        <v>213084740.92792377</v>
      </c>
      <c r="AB118" s="31">
        <v>3707892.0500000003</v>
      </c>
      <c r="AD118" s="42" t="s">
        <v>17</v>
      </c>
      <c r="AE118" s="42" t="s">
        <v>18</v>
      </c>
      <c r="AF118" s="43" t="s">
        <v>1275</v>
      </c>
      <c r="AG118" s="44">
        <v>32</v>
      </c>
      <c r="AH118" s="31">
        <v>156019604.57527754</v>
      </c>
      <c r="AI118" s="31">
        <v>7164530.6499999985</v>
      </c>
      <c r="AJ118" s="31">
        <v>4296158.74</v>
      </c>
      <c r="AK118" s="31">
        <v>544189.74</v>
      </c>
      <c r="AL118" s="31">
        <v>21709655.54551683</v>
      </c>
      <c r="AM118" s="31">
        <v>8181338.9698151592</v>
      </c>
      <c r="AN118" s="31">
        <v>15319419.215559715</v>
      </c>
      <c r="AO118" s="31">
        <f t="shared" si="10"/>
        <v>217008116.26616928</v>
      </c>
      <c r="AP118" s="31">
        <v>3773218.8299999996</v>
      </c>
      <c r="AR118" s="42" t="s">
        <v>17</v>
      </c>
      <c r="AS118" s="42" t="s">
        <v>18</v>
      </c>
      <c r="AT118" s="43" t="s">
        <v>1276</v>
      </c>
      <c r="AU118" s="44">
        <v>32</v>
      </c>
      <c r="AV118" s="31">
        <v>158888991.1649766</v>
      </c>
      <c r="AW118" s="31">
        <v>7294299.0499999989</v>
      </c>
      <c r="AX118" s="31">
        <v>4374610.57</v>
      </c>
      <c r="AY118" s="31">
        <v>554127.15</v>
      </c>
      <c r="AZ118" s="31">
        <v>22109451.255960189</v>
      </c>
      <c r="BA118" s="31">
        <v>8181722.3151354557</v>
      </c>
      <c r="BB118" s="31">
        <v>15601719.386971952</v>
      </c>
      <c r="BC118" s="31">
        <f t="shared" si="11"/>
        <v>220848104.72304422</v>
      </c>
      <c r="BD118" s="31">
        <v>3843183.8299999996</v>
      </c>
    </row>
    <row r="119" spans="2:56">
      <c r="B119" s="42" t="s">
        <v>217</v>
      </c>
      <c r="C119" s="42" t="s">
        <v>218</v>
      </c>
      <c r="D119" s="43" t="s">
        <v>1049</v>
      </c>
      <c r="E119" s="44">
        <v>32</v>
      </c>
      <c r="F119" s="31">
        <v>225744409.21730953</v>
      </c>
      <c r="G119" s="31">
        <v>9323936.0800000019</v>
      </c>
      <c r="H119" s="31">
        <v>10181226.449999999</v>
      </c>
      <c r="I119" s="31">
        <v>802862.82000000018</v>
      </c>
      <c r="J119" s="31">
        <v>28806044.02240482</v>
      </c>
      <c r="K119" s="31">
        <v>12813779.656117178</v>
      </c>
      <c r="L119" s="31">
        <v>16320506.984031525</v>
      </c>
      <c r="M119" s="31">
        <f t="shared" si="8"/>
        <v>307806871.73986304</v>
      </c>
      <c r="N119" s="31">
        <v>3814106.5100000002</v>
      </c>
      <c r="P119" s="42" t="s">
        <v>217</v>
      </c>
      <c r="Q119" s="42" t="s">
        <v>218</v>
      </c>
      <c r="R119" s="43" t="s">
        <v>1050</v>
      </c>
      <c r="S119" s="44">
        <v>32</v>
      </c>
      <c r="T119" s="31">
        <v>236691679.46890187</v>
      </c>
      <c r="U119" s="31">
        <v>9713989.5900000017</v>
      </c>
      <c r="V119" s="31">
        <v>10557484.68</v>
      </c>
      <c r="W119" s="31">
        <v>832533.4800000001</v>
      </c>
      <c r="X119" s="31">
        <v>29761783.876569711</v>
      </c>
      <c r="Y119" s="31">
        <v>12825205.09043332</v>
      </c>
      <c r="Z119" s="31">
        <v>17054722.041440852</v>
      </c>
      <c r="AA119" s="31">
        <f t="shared" si="9"/>
        <v>321346981.80734569</v>
      </c>
      <c r="AB119" s="31">
        <v>3909583.58</v>
      </c>
      <c r="AD119" s="42" t="s">
        <v>217</v>
      </c>
      <c r="AE119" s="42" t="s">
        <v>218</v>
      </c>
      <c r="AF119" s="43" t="s">
        <v>1275</v>
      </c>
      <c r="AG119" s="44">
        <v>32</v>
      </c>
      <c r="AH119" s="31">
        <v>241255040.82440925</v>
      </c>
      <c r="AI119" s="31">
        <v>9911007.5300000012</v>
      </c>
      <c r="AJ119" s="31">
        <v>10764491.479999999</v>
      </c>
      <c r="AK119" s="31">
        <v>848857.43</v>
      </c>
      <c r="AL119" s="31">
        <v>30317478.219788827</v>
      </c>
      <c r="AM119" s="31">
        <v>12820887.131784614</v>
      </c>
      <c r="AN119" s="31">
        <v>17384320.596836381</v>
      </c>
      <c r="AO119" s="31">
        <f t="shared" si="10"/>
        <v>327281774.25281912</v>
      </c>
      <c r="AP119" s="31">
        <v>3979691.04</v>
      </c>
      <c r="AR119" s="42" t="s">
        <v>217</v>
      </c>
      <c r="AS119" s="42" t="s">
        <v>218</v>
      </c>
      <c r="AT119" s="43" t="s">
        <v>1276</v>
      </c>
      <c r="AU119" s="44">
        <v>32</v>
      </c>
      <c r="AV119" s="31">
        <v>245756071.18078122</v>
      </c>
      <c r="AW119" s="31">
        <v>10094559.960000001</v>
      </c>
      <c r="AX119" s="31">
        <v>10964920.669999998</v>
      </c>
      <c r="AY119" s="31">
        <v>864662.72</v>
      </c>
      <c r="AZ119" s="31">
        <v>30884090.057002638</v>
      </c>
      <c r="BA119" s="31">
        <v>12821551.697433285</v>
      </c>
      <c r="BB119" s="31">
        <v>17709504.519658029</v>
      </c>
      <c r="BC119" s="31">
        <f t="shared" si="11"/>
        <v>333150136.93487519</v>
      </c>
      <c r="BD119" s="31">
        <v>4054776.13</v>
      </c>
    </row>
    <row r="120" spans="2:56">
      <c r="B120" s="42" t="s">
        <v>505</v>
      </c>
      <c r="C120" s="42" t="s">
        <v>506</v>
      </c>
      <c r="D120" s="43" t="s">
        <v>1049</v>
      </c>
      <c r="E120" s="44">
        <v>32</v>
      </c>
      <c r="F120" s="31">
        <v>8800805.2128784116</v>
      </c>
      <c r="G120" s="31">
        <v>364588.17999999993</v>
      </c>
      <c r="H120" s="31">
        <v>0</v>
      </c>
      <c r="I120" s="31">
        <v>30466.409999999996</v>
      </c>
      <c r="J120" s="31">
        <v>1318287.4116704226</v>
      </c>
      <c r="K120" s="31">
        <v>955215.39119258686</v>
      </c>
      <c r="L120" s="31">
        <v>501262.22054942674</v>
      </c>
      <c r="M120" s="31">
        <f t="shared" si="8"/>
        <v>12185503.856290847</v>
      </c>
      <c r="N120" s="31">
        <v>214879.03</v>
      </c>
      <c r="P120" s="42" t="s">
        <v>505</v>
      </c>
      <c r="Q120" s="42" t="s">
        <v>506</v>
      </c>
      <c r="R120" s="43" t="s">
        <v>1050</v>
      </c>
      <c r="S120" s="44">
        <v>32</v>
      </c>
      <c r="T120" s="31">
        <v>9198350.8490439914</v>
      </c>
      <c r="U120" s="31">
        <v>381325.54000000004</v>
      </c>
      <c r="V120" s="31">
        <v>0</v>
      </c>
      <c r="W120" s="31">
        <v>31625.409999999996</v>
      </c>
      <c r="X120" s="31">
        <v>1362814.5024641815</v>
      </c>
      <c r="Y120" s="31">
        <v>956069.60986831272</v>
      </c>
      <c r="Z120" s="31">
        <v>524157.65525207797</v>
      </c>
      <c r="AA120" s="31">
        <f t="shared" si="9"/>
        <v>12674529.106628561</v>
      </c>
      <c r="AB120" s="31">
        <v>220185.54</v>
      </c>
      <c r="AD120" s="42" t="s">
        <v>505</v>
      </c>
      <c r="AE120" s="42" t="s">
        <v>506</v>
      </c>
      <c r="AF120" s="43" t="s">
        <v>1275</v>
      </c>
      <c r="AG120" s="44">
        <v>32</v>
      </c>
      <c r="AH120" s="31">
        <v>9373283.8851900995</v>
      </c>
      <c r="AI120" s="31">
        <v>389202.28</v>
      </c>
      <c r="AJ120" s="31">
        <v>0</v>
      </c>
      <c r="AK120" s="31">
        <v>32244.41</v>
      </c>
      <c r="AL120" s="31">
        <v>1388107.7152701144</v>
      </c>
      <c r="AM120" s="31">
        <v>955779.40687181812</v>
      </c>
      <c r="AN120" s="31">
        <v>534260.88962037954</v>
      </c>
      <c r="AO120" s="31">
        <f t="shared" si="10"/>
        <v>12896960.62695241</v>
      </c>
      <c r="AP120" s="31">
        <v>224082.04</v>
      </c>
      <c r="AR120" s="42" t="s">
        <v>505</v>
      </c>
      <c r="AS120" s="42" t="s">
        <v>506</v>
      </c>
      <c r="AT120" s="43" t="s">
        <v>1276</v>
      </c>
      <c r="AU120" s="44">
        <v>32</v>
      </c>
      <c r="AV120" s="31">
        <v>9546364.7441409267</v>
      </c>
      <c r="AW120" s="31">
        <v>396282.92000000004</v>
      </c>
      <c r="AX120" s="31">
        <v>0</v>
      </c>
      <c r="AY120" s="31">
        <v>32836.1</v>
      </c>
      <c r="AZ120" s="31">
        <v>1413761.0340292039</v>
      </c>
      <c r="BA120" s="31">
        <v>955825.58842625434</v>
      </c>
      <c r="BB120" s="31">
        <v>544137.76616031048</v>
      </c>
      <c r="BC120" s="31">
        <f t="shared" si="11"/>
        <v>13117463.332756696</v>
      </c>
      <c r="BD120" s="31">
        <v>228255.18000000002</v>
      </c>
    </row>
    <row r="121" spans="2:56">
      <c r="B121" s="42" t="s">
        <v>21</v>
      </c>
      <c r="C121" s="42" t="s">
        <v>22</v>
      </c>
      <c r="D121" s="43" t="s">
        <v>1049</v>
      </c>
      <c r="E121" s="44">
        <v>32</v>
      </c>
      <c r="F121" s="31">
        <v>11371052.95961256</v>
      </c>
      <c r="G121" s="31">
        <v>611453.14000000013</v>
      </c>
      <c r="H121" s="31">
        <v>543925.31999999995</v>
      </c>
      <c r="I121" s="31">
        <v>39074.549999999996</v>
      </c>
      <c r="J121" s="31">
        <v>1644237.8240866514</v>
      </c>
      <c r="K121" s="31">
        <v>731585.67916059343</v>
      </c>
      <c r="L121" s="31">
        <v>756149.24569961138</v>
      </c>
      <c r="M121" s="31">
        <f t="shared" si="8"/>
        <v>16094752.738559416</v>
      </c>
      <c r="N121" s="31">
        <v>397274.01999999996</v>
      </c>
      <c r="P121" s="42" t="s">
        <v>21</v>
      </c>
      <c r="Q121" s="42" t="s">
        <v>22</v>
      </c>
      <c r="R121" s="43" t="s">
        <v>1050</v>
      </c>
      <c r="S121" s="44">
        <v>32</v>
      </c>
      <c r="T121" s="31">
        <v>11939923.764190042</v>
      </c>
      <c r="U121" s="31">
        <v>640422.83000000019</v>
      </c>
      <c r="V121" s="31">
        <v>564812.60999999987</v>
      </c>
      <c r="W121" s="31">
        <v>40575.040000000001</v>
      </c>
      <c r="X121" s="31">
        <v>1699929.0803152553</v>
      </c>
      <c r="Y121" s="31">
        <v>732075.30895366916</v>
      </c>
      <c r="Z121" s="31">
        <v>790653.96504914924</v>
      </c>
      <c r="AA121" s="31">
        <f t="shared" si="9"/>
        <v>16815433.068508115</v>
      </c>
      <c r="AB121" s="31">
        <v>407040.47</v>
      </c>
      <c r="AD121" s="42" t="s">
        <v>21</v>
      </c>
      <c r="AE121" s="42" t="s">
        <v>22</v>
      </c>
      <c r="AF121" s="43" t="s">
        <v>1275</v>
      </c>
      <c r="AG121" s="44">
        <v>32</v>
      </c>
      <c r="AH121" s="31">
        <v>12169495.660779353</v>
      </c>
      <c r="AI121" s="31">
        <v>653741.19000000006</v>
      </c>
      <c r="AJ121" s="31">
        <v>575861.06999999995</v>
      </c>
      <c r="AK121" s="31">
        <v>41368.74</v>
      </c>
      <c r="AL121" s="31">
        <v>1731411.8313515463</v>
      </c>
      <c r="AM121" s="31">
        <v>731908.96743344562</v>
      </c>
      <c r="AN121" s="31">
        <v>805883.38830588735</v>
      </c>
      <c r="AO121" s="31">
        <f t="shared" si="10"/>
        <v>17123882.677870233</v>
      </c>
      <c r="AP121" s="31">
        <v>414211.82999999996</v>
      </c>
      <c r="AR121" s="42" t="s">
        <v>21</v>
      </c>
      <c r="AS121" s="42" t="s">
        <v>22</v>
      </c>
      <c r="AT121" s="43" t="s">
        <v>1276</v>
      </c>
      <c r="AU121" s="44">
        <v>32</v>
      </c>
      <c r="AV121" s="31">
        <v>12393207.650628792</v>
      </c>
      <c r="AW121" s="31">
        <v>665562.4600000002</v>
      </c>
      <c r="AX121" s="31">
        <v>586376.82999999996</v>
      </c>
      <c r="AY121" s="31">
        <v>42124.17</v>
      </c>
      <c r="AZ121" s="31">
        <v>1763286.8436529241</v>
      </c>
      <c r="BA121" s="31">
        <v>731935.43824892305</v>
      </c>
      <c r="BB121" s="31">
        <v>820740.21798777394</v>
      </c>
      <c r="BC121" s="31">
        <f t="shared" si="11"/>
        <v>17425125.970518414</v>
      </c>
      <c r="BD121" s="31">
        <v>421892.35999999993</v>
      </c>
    </row>
    <row r="122" spans="2:56">
      <c r="B122" s="42" t="s">
        <v>247</v>
      </c>
      <c r="C122" s="42" t="s">
        <v>248</v>
      </c>
      <c r="D122" s="43" t="s">
        <v>1049</v>
      </c>
      <c r="E122" s="44">
        <v>32</v>
      </c>
      <c r="F122" s="31">
        <v>4839700.7607450802</v>
      </c>
      <c r="G122" s="31">
        <v>171109.43</v>
      </c>
      <c r="H122" s="31">
        <v>54567.93</v>
      </c>
      <c r="I122" s="31">
        <v>0</v>
      </c>
      <c r="J122" s="31">
        <v>724780.13679404021</v>
      </c>
      <c r="K122" s="31">
        <v>411250.93964047218</v>
      </c>
      <c r="L122" s="31">
        <v>491623.43671317084</v>
      </c>
      <c r="M122" s="31">
        <f t="shared" si="8"/>
        <v>6693032.6338927625</v>
      </c>
      <c r="N122" s="31">
        <v>0</v>
      </c>
      <c r="P122" s="42" t="s">
        <v>247</v>
      </c>
      <c r="Q122" s="42" t="s">
        <v>248</v>
      </c>
      <c r="R122" s="43" t="s">
        <v>1050</v>
      </c>
      <c r="S122" s="44">
        <v>32</v>
      </c>
      <c r="T122" s="31">
        <v>5028079.3903261106</v>
      </c>
      <c r="U122" s="31">
        <v>177680.21000000002</v>
      </c>
      <c r="V122" s="31">
        <v>56663.390000000007</v>
      </c>
      <c r="W122" s="31">
        <v>0</v>
      </c>
      <c r="X122" s="31">
        <v>749346.27438564587</v>
      </c>
      <c r="Y122" s="31">
        <v>411586.58485361066</v>
      </c>
      <c r="Z122" s="31">
        <v>509140.69405289844</v>
      </c>
      <c r="AA122" s="31">
        <f t="shared" si="9"/>
        <v>6932496.5436182655</v>
      </c>
      <c r="AB122" s="31">
        <v>0</v>
      </c>
      <c r="AD122" s="42" t="s">
        <v>247</v>
      </c>
      <c r="AE122" s="42" t="s">
        <v>248</v>
      </c>
      <c r="AF122" s="43" t="s">
        <v>1275</v>
      </c>
      <c r="AG122" s="44">
        <v>32</v>
      </c>
      <c r="AH122" s="31">
        <v>5125964.1895708218</v>
      </c>
      <c r="AI122" s="31">
        <v>181155.86000000002</v>
      </c>
      <c r="AJ122" s="31">
        <v>57771.799999999996</v>
      </c>
      <c r="AK122" s="31">
        <v>0</v>
      </c>
      <c r="AL122" s="31">
        <v>763226.22088870732</v>
      </c>
      <c r="AM122" s="31">
        <v>411472.55638598313</v>
      </c>
      <c r="AN122" s="31">
        <v>518946.62638929719</v>
      </c>
      <c r="AO122" s="31">
        <f t="shared" si="10"/>
        <v>7058537.2532348093</v>
      </c>
      <c r="AP122" s="31">
        <v>0</v>
      </c>
      <c r="AR122" s="42" t="s">
        <v>247</v>
      </c>
      <c r="AS122" s="42" t="s">
        <v>248</v>
      </c>
      <c r="AT122" s="43" t="s">
        <v>1276</v>
      </c>
      <c r="AU122" s="44">
        <v>32</v>
      </c>
      <c r="AV122" s="31">
        <v>5221327.3427343108</v>
      </c>
      <c r="AW122" s="31">
        <v>184463.93</v>
      </c>
      <c r="AX122" s="31">
        <v>58826.759999999995</v>
      </c>
      <c r="AY122" s="31">
        <v>0</v>
      </c>
      <c r="AZ122" s="31">
        <v>777280.77549797983</v>
      </c>
      <c r="BA122" s="31">
        <v>411490.70234570315</v>
      </c>
      <c r="BB122" s="31">
        <v>528514.93186982023</v>
      </c>
      <c r="BC122" s="31">
        <f t="shared" si="11"/>
        <v>7181904.4424478132</v>
      </c>
      <c r="BD122" s="31">
        <v>0</v>
      </c>
    </row>
    <row r="123" spans="2:56">
      <c r="B123" s="42" t="s">
        <v>261</v>
      </c>
      <c r="C123" s="42" t="s">
        <v>262</v>
      </c>
      <c r="D123" s="43" t="s">
        <v>1049</v>
      </c>
      <c r="E123" s="44">
        <v>32</v>
      </c>
      <c r="F123" s="31">
        <v>2001218.9268738618</v>
      </c>
      <c r="G123" s="31">
        <v>30970.840000000004</v>
      </c>
      <c r="H123" s="31">
        <v>0</v>
      </c>
      <c r="I123" s="31">
        <v>2723.82</v>
      </c>
      <c r="J123" s="31">
        <v>116007.66203102519</v>
      </c>
      <c r="K123" s="31">
        <v>95501.994369712687</v>
      </c>
      <c r="L123" s="31">
        <v>0</v>
      </c>
      <c r="M123" s="31">
        <f t="shared" si="8"/>
        <v>2273358.7832745998</v>
      </c>
      <c r="N123" s="31">
        <v>26935.54</v>
      </c>
      <c r="P123" s="42" t="s">
        <v>261</v>
      </c>
      <c r="Q123" s="42" t="s">
        <v>262</v>
      </c>
      <c r="R123" s="43" t="s">
        <v>1050</v>
      </c>
      <c r="S123" s="44">
        <v>32</v>
      </c>
      <c r="T123" s="31">
        <v>2084127.6697498767</v>
      </c>
      <c r="U123" s="31">
        <v>32508.49</v>
      </c>
      <c r="V123" s="31">
        <v>0</v>
      </c>
      <c r="W123" s="31">
        <v>2827.4399999999996</v>
      </c>
      <c r="X123" s="31">
        <v>119923.58108203112</v>
      </c>
      <c r="Y123" s="31">
        <v>95586.570864098278</v>
      </c>
      <c r="Z123" s="31">
        <v>0</v>
      </c>
      <c r="AA123" s="31">
        <f t="shared" si="9"/>
        <v>2362574.4716960061</v>
      </c>
      <c r="AB123" s="31">
        <v>27600.719999999998</v>
      </c>
      <c r="AD123" s="42" t="s">
        <v>261</v>
      </c>
      <c r="AE123" s="42" t="s">
        <v>262</v>
      </c>
      <c r="AF123" s="43" t="s">
        <v>1275</v>
      </c>
      <c r="AG123" s="44">
        <v>32</v>
      </c>
      <c r="AH123" s="31">
        <v>2124011.3705703234</v>
      </c>
      <c r="AI123" s="31">
        <v>33196.560000000005</v>
      </c>
      <c r="AJ123" s="31">
        <v>0</v>
      </c>
      <c r="AK123" s="31">
        <v>2882.7900000000004</v>
      </c>
      <c r="AL123" s="31">
        <v>122148.0260760142</v>
      </c>
      <c r="AM123" s="31">
        <v>95557.837762374824</v>
      </c>
      <c r="AN123" s="31">
        <v>0</v>
      </c>
      <c r="AO123" s="31">
        <f t="shared" si="10"/>
        <v>2405885.7344087125</v>
      </c>
      <c r="AP123" s="31">
        <v>28089.149999999994</v>
      </c>
      <c r="AR123" s="42" t="s">
        <v>261</v>
      </c>
      <c r="AS123" s="42" t="s">
        <v>262</v>
      </c>
      <c r="AT123" s="43" t="s">
        <v>1276</v>
      </c>
      <c r="AU123" s="44">
        <v>32</v>
      </c>
      <c r="AV123" s="31">
        <v>2162722.8167816941</v>
      </c>
      <c r="AW123" s="31">
        <v>33798.030000000006</v>
      </c>
      <c r="AX123" s="31">
        <v>0</v>
      </c>
      <c r="AY123" s="31">
        <v>2935.6899999999996</v>
      </c>
      <c r="AZ123" s="31">
        <v>124403.10032348329</v>
      </c>
      <c r="BA123" s="31">
        <v>95562.410214476942</v>
      </c>
      <c r="BB123" s="31">
        <v>0</v>
      </c>
      <c r="BC123" s="31">
        <f t="shared" si="11"/>
        <v>2448034.3173196539</v>
      </c>
      <c r="BD123" s="31">
        <v>28612.269999999997</v>
      </c>
    </row>
    <row r="124" spans="2:56">
      <c r="B124" s="42" t="s">
        <v>59</v>
      </c>
      <c r="C124" s="42" t="s">
        <v>60</v>
      </c>
      <c r="D124" s="43" t="s">
        <v>1049</v>
      </c>
      <c r="E124" s="44">
        <v>32</v>
      </c>
      <c r="F124" s="31">
        <v>14913763.567702662</v>
      </c>
      <c r="G124" s="31">
        <v>289068.68</v>
      </c>
      <c r="H124" s="31">
        <v>71577.909999999989</v>
      </c>
      <c r="I124" s="31">
        <v>51005.88</v>
      </c>
      <c r="J124" s="31">
        <v>2152277.0076281372</v>
      </c>
      <c r="K124" s="31">
        <v>0</v>
      </c>
      <c r="L124" s="31">
        <v>423526.18710599205</v>
      </c>
      <c r="M124" s="31">
        <f t="shared" si="8"/>
        <v>17901219.232436791</v>
      </c>
      <c r="N124" s="31">
        <v>0</v>
      </c>
      <c r="P124" s="42" t="s">
        <v>59</v>
      </c>
      <c r="Q124" s="42" t="s">
        <v>60</v>
      </c>
      <c r="R124" s="43" t="s">
        <v>1050</v>
      </c>
      <c r="S124" s="44">
        <v>32</v>
      </c>
      <c r="T124" s="31">
        <v>15478665.72348693</v>
      </c>
      <c r="U124" s="31">
        <v>299922.10999999993</v>
      </c>
      <c r="V124" s="31">
        <v>74265.39</v>
      </c>
      <c r="W124" s="31">
        <v>52920.960000000006</v>
      </c>
      <c r="X124" s="31">
        <v>2224413.8841226762</v>
      </c>
      <c r="Y124" s="31">
        <v>0</v>
      </c>
      <c r="Z124" s="31">
        <v>438418.16849349916</v>
      </c>
      <c r="AA124" s="31">
        <f t="shared" si="9"/>
        <v>18568606.236103106</v>
      </c>
      <c r="AB124" s="31">
        <v>0</v>
      </c>
      <c r="AD124" s="42" t="s">
        <v>59</v>
      </c>
      <c r="AE124" s="42" t="s">
        <v>60</v>
      </c>
      <c r="AF124" s="43" t="s">
        <v>1275</v>
      </c>
      <c r="AG124" s="44">
        <v>32</v>
      </c>
      <c r="AH124" s="31">
        <v>15776135.135320479</v>
      </c>
      <c r="AI124" s="31">
        <v>305797.19999999995</v>
      </c>
      <c r="AJ124" s="31">
        <v>75720.130000000019</v>
      </c>
      <c r="AK124" s="31">
        <v>53957.609999999993</v>
      </c>
      <c r="AL124" s="31">
        <v>2265796.0169160785</v>
      </c>
      <c r="AM124" s="31">
        <v>0</v>
      </c>
      <c r="AN124" s="31">
        <v>446877.46698411601</v>
      </c>
      <c r="AO124" s="31">
        <f t="shared" si="10"/>
        <v>18924283.559220672</v>
      </c>
      <c r="AP124" s="31">
        <v>0</v>
      </c>
      <c r="AR124" s="42" t="s">
        <v>59</v>
      </c>
      <c r="AS124" s="42" t="s">
        <v>60</v>
      </c>
      <c r="AT124" s="43" t="s">
        <v>1276</v>
      </c>
      <c r="AU124" s="44">
        <v>32</v>
      </c>
      <c r="AV124" s="31">
        <v>16068513.318723857</v>
      </c>
      <c r="AW124" s="31">
        <v>311446.15999999997</v>
      </c>
      <c r="AX124" s="31">
        <v>77118.900000000009</v>
      </c>
      <c r="AY124" s="31">
        <v>54954.37</v>
      </c>
      <c r="AZ124" s="31">
        <v>2307855.5059738168</v>
      </c>
      <c r="BA124" s="31">
        <v>0</v>
      </c>
      <c r="BB124" s="31">
        <v>455181.29766844661</v>
      </c>
      <c r="BC124" s="31">
        <f t="shared" si="11"/>
        <v>19275069.552366119</v>
      </c>
      <c r="BD124" s="31">
        <v>0</v>
      </c>
    </row>
    <row r="125" spans="2:56">
      <c r="B125" s="42" t="s">
        <v>409</v>
      </c>
      <c r="C125" s="42" t="s">
        <v>410</v>
      </c>
      <c r="D125" s="43" t="s">
        <v>1049</v>
      </c>
      <c r="E125" s="44">
        <v>32</v>
      </c>
      <c r="F125" s="31">
        <v>5697579.4130249638</v>
      </c>
      <c r="G125" s="31">
        <v>238525.10000000003</v>
      </c>
      <c r="H125" s="31">
        <v>20460.89</v>
      </c>
      <c r="I125" s="31">
        <v>18459.28</v>
      </c>
      <c r="J125" s="31">
        <v>802992.76765904401</v>
      </c>
      <c r="K125" s="31">
        <v>580917.66512366582</v>
      </c>
      <c r="L125" s="31">
        <v>149238.444619491</v>
      </c>
      <c r="M125" s="31">
        <f t="shared" si="8"/>
        <v>7697325.6104271635</v>
      </c>
      <c r="N125" s="31">
        <v>189152.05</v>
      </c>
      <c r="P125" s="42" t="s">
        <v>409</v>
      </c>
      <c r="Q125" s="42" t="s">
        <v>410</v>
      </c>
      <c r="R125" s="43" t="s">
        <v>1050</v>
      </c>
      <c r="S125" s="44">
        <v>32</v>
      </c>
      <c r="T125" s="31">
        <v>5964680.3420909187</v>
      </c>
      <c r="U125" s="31">
        <v>249663.83000000002</v>
      </c>
      <c r="V125" s="31">
        <v>21219.919999999998</v>
      </c>
      <c r="W125" s="31">
        <v>19144.059999999998</v>
      </c>
      <c r="X125" s="31">
        <v>829732.15281959483</v>
      </c>
      <c r="Y125" s="31">
        <v>581300.46725066379</v>
      </c>
      <c r="Z125" s="31">
        <v>156029.11212385248</v>
      </c>
      <c r="AA125" s="31">
        <f t="shared" si="9"/>
        <v>8015648.6442850288</v>
      </c>
      <c r="AB125" s="31">
        <v>193878.75999999995</v>
      </c>
      <c r="AD125" s="42" t="s">
        <v>409</v>
      </c>
      <c r="AE125" s="42" t="s">
        <v>410</v>
      </c>
      <c r="AF125" s="43" t="s">
        <v>1275</v>
      </c>
      <c r="AG125" s="44">
        <v>32</v>
      </c>
      <c r="AH125" s="31">
        <v>6079610.573303394</v>
      </c>
      <c r="AI125" s="31">
        <v>254887.88000000009</v>
      </c>
      <c r="AJ125" s="31">
        <v>21635.899999999998</v>
      </c>
      <c r="AK125" s="31">
        <v>19519.350000000002</v>
      </c>
      <c r="AL125" s="31">
        <v>845208.46626027592</v>
      </c>
      <c r="AM125" s="31">
        <v>581160.47857723839</v>
      </c>
      <c r="AN125" s="31">
        <v>159043.20263027132</v>
      </c>
      <c r="AO125" s="31">
        <f t="shared" si="10"/>
        <v>8158415.3507711794</v>
      </c>
      <c r="AP125" s="31">
        <v>197349.49999999997</v>
      </c>
      <c r="AR125" s="42" t="s">
        <v>409</v>
      </c>
      <c r="AS125" s="42" t="s">
        <v>410</v>
      </c>
      <c r="AT125" s="43" t="s">
        <v>1276</v>
      </c>
      <c r="AU125" s="44">
        <v>32</v>
      </c>
      <c r="AV125" s="31">
        <v>6192715.4856187897</v>
      </c>
      <c r="AW125" s="31">
        <v>259575.32000000004</v>
      </c>
      <c r="AX125" s="31">
        <v>22037.989999999998</v>
      </c>
      <c r="AY125" s="31">
        <v>19882.11</v>
      </c>
      <c r="AZ125" s="31">
        <v>860973.7047081053</v>
      </c>
      <c r="BA125" s="31">
        <v>581182.24156977236</v>
      </c>
      <c r="BB125" s="31">
        <v>162011.91111548583</v>
      </c>
      <c r="BC125" s="31">
        <f t="shared" si="11"/>
        <v>8299445.4430121537</v>
      </c>
      <c r="BD125" s="31">
        <v>201066.67999999996</v>
      </c>
    </row>
    <row r="126" spans="2:56">
      <c r="B126" s="42" t="s">
        <v>555</v>
      </c>
      <c r="C126" s="42" t="s">
        <v>556</v>
      </c>
      <c r="D126" s="43" t="s">
        <v>1049</v>
      </c>
      <c r="E126" s="44">
        <v>32</v>
      </c>
      <c r="F126" s="31">
        <v>1924304.0592740213</v>
      </c>
      <c r="G126" s="31">
        <v>21790.550000000003</v>
      </c>
      <c r="H126" s="31">
        <v>0</v>
      </c>
      <c r="I126" s="31">
        <v>2320.29</v>
      </c>
      <c r="J126" s="31">
        <v>115869.15710561308</v>
      </c>
      <c r="K126" s="31">
        <v>236903.10679434999</v>
      </c>
      <c r="L126" s="31">
        <v>33887.696309706771</v>
      </c>
      <c r="M126" s="31">
        <f t="shared" si="8"/>
        <v>2335074.8594836909</v>
      </c>
      <c r="N126" s="31">
        <v>0</v>
      </c>
      <c r="P126" s="42" t="s">
        <v>555</v>
      </c>
      <c r="Q126" s="42" t="s">
        <v>556</v>
      </c>
      <c r="R126" s="43" t="s">
        <v>1050</v>
      </c>
      <c r="S126" s="44">
        <v>32</v>
      </c>
      <c r="T126" s="31">
        <v>1994701.6966706878</v>
      </c>
      <c r="U126" s="31">
        <v>22619.500000000004</v>
      </c>
      <c r="V126" s="31">
        <v>0</v>
      </c>
      <c r="W126" s="31">
        <v>2408.5499999999997</v>
      </c>
      <c r="X126" s="31">
        <v>119776.2865638237</v>
      </c>
      <c r="Y126" s="31">
        <v>237094.28552270107</v>
      </c>
      <c r="Z126" s="31">
        <v>35089.488455269464</v>
      </c>
      <c r="AA126" s="31">
        <f t="shared" si="9"/>
        <v>2411689.8072124822</v>
      </c>
      <c r="AB126" s="31">
        <v>0</v>
      </c>
      <c r="AD126" s="42" t="s">
        <v>555</v>
      </c>
      <c r="AE126" s="42" t="s">
        <v>556</v>
      </c>
      <c r="AF126" s="43" t="s">
        <v>1275</v>
      </c>
      <c r="AG126" s="44">
        <v>32</v>
      </c>
      <c r="AH126" s="31">
        <v>2032856.809251708</v>
      </c>
      <c r="AI126" s="31">
        <v>23062.219999999998</v>
      </c>
      <c r="AJ126" s="31">
        <v>0</v>
      </c>
      <c r="AK126" s="31">
        <v>2455.7000000000007</v>
      </c>
      <c r="AL126" s="31">
        <v>121998.1764980771</v>
      </c>
      <c r="AM126" s="31">
        <v>237029.33653316236</v>
      </c>
      <c r="AN126" s="31">
        <v>35765.773120915655</v>
      </c>
      <c r="AO126" s="31">
        <f t="shared" si="10"/>
        <v>2453168.0154038626</v>
      </c>
      <c r="AP126" s="31">
        <v>0</v>
      </c>
      <c r="AR126" s="42" t="s">
        <v>555</v>
      </c>
      <c r="AS126" s="42" t="s">
        <v>556</v>
      </c>
      <c r="AT126" s="43" t="s">
        <v>1276</v>
      </c>
      <c r="AU126" s="44">
        <v>32</v>
      </c>
      <c r="AV126" s="31">
        <v>2069869.9874295604</v>
      </c>
      <c r="AW126" s="31">
        <v>23485.41</v>
      </c>
      <c r="AX126" s="31">
        <v>0</v>
      </c>
      <c r="AY126" s="31">
        <v>2500.7700000000004</v>
      </c>
      <c r="AZ126" s="31">
        <v>124250.79910095759</v>
      </c>
      <c r="BA126" s="31">
        <v>237039.67221312498</v>
      </c>
      <c r="BB126" s="31">
        <v>36427.087134622721</v>
      </c>
      <c r="BC126" s="31">
        <f t="shared" si="11"/>
        <v>2493573.7258782657</v>
      </c>
      <c r="BD126" s="31">
        <v>0</v>
      </c>
    </row>
    <row r="127" spans="2:56">
      <c r="B127" s="42" t="s">
        <v>35</v>
      </c>
      <c r="C127" s="42" t="s">
        <v>36</v>
      </c>
      <c r="D127" s="43" t="s">
        <v>1049</v>
      </c>
      <c r="E127" s="44">
        <v>32</v>
      </c>
      <c r="F127" s="31">
        <v>10140318.580616962</v>
      </c>
      <c r="G127" s="31">
        <v>478054.03000000009</v>
      </c>
      <c r="H127" s="31">
        <v>536617.13</v>
      </c>
      <c r="I127" s="31">
        <v>35176.82</v>
      </c>
      <c r="J127" s="31">
        <v>1156519.6690649325</v>
      </c>
      <c r="K127" s="31">
        <v>784745.92692644184</v>
      </c>
      <c r="L127" s="31">
        <v>898868.49133570888</v>
      </c>
      <c r="M127" s="31">
        <f t="shared" si="8"/>
        <v>14388207.807944044</v>
      </c>
      <c r="N127" s="31">
        <v>357907.16</v>
      </c>
      <c r="P127" s="42" t="s">
        <v>35</v>
      </c>
      <c r="Q127" s="42" t="s">
        <v>36</v>
      </c>
      <c r="R127" s="43" t="s">
        <v>1050</v>
      </c>
      <c r="S127" s="44">
        <v>32</v>
      </c>
      <c r="T127" s="31">
        <v>10635077.461668974</v>
      </c>
      <c r="U127" s="31">
        <v>501357.12</v>
      </c>
      <c r="V127" s="31">
        <v>557223.7699999999</v>
      </c>
      <c r="W127" s="31">
        <v>36527.659999999996</v>
      </c>
      <c r="X127" s="31">
        <v>1195734.7868678225</v>
      </c>
      <c r="Y127" s="31">
        <v>785510.06882230553</v>
      </c>
      <c r="Z127" s="31">
        <v>939773.61791522475</v>
      </c>
      <c r="AA127" s="31">
        <f t="shared" si="9"/>
        <v>15017910.315274326</v>
      </c>
      <c r="AB127" s="31">
        <v>366705.82999999996</v>
      </c>
      <c r="AD127" s="42" t="s">
        <v>35</v>
      </c>
      <c r="AE127" s="42" t="s">
        <v>36</v>
      </c>
      <c r="AF127" s="43" t="s">
        <v>1275</v>
      </c>
      <c r="AG127" s="44">
        <v>32</v>
      </c>
      <c r="AH127" s="31">
        <v>10839507.605763508</v>
      </c>
      <c r="AI127" s="31">
        <v>511876.78999999992</v>
      </c>
      <c r="AJ127" s="31">
        <v>568123.77999999991</v>
      </c>
      <c r="AK127" s="31">
        <v>37242.199999999997</v>
      </c>
      <c r="AL127" s="31">
        <v>1217885.176672122</v>
      </c>
      <c r="AM127" s="31">
        <v>785250.46753492055</v>
      </c>
      <c r="AN127" s="31">
        <v>957875.31903684919</v>
      </c>
      <c r="AO127" s="31">
        <f t="shared" si="10"/>
        <v>15290927.909007397</v>
      </c>
      <c r="AP127" s="31">
        <v>373166.56999999995</v>
      </c>
      <c r="AR127" s="42" t="s">
        <v>35</v>
      </c>
      <c r="AS127" s="42" t="s">
        <v>36</v>
      </c>
      <c r="AT127" s="43" t="s">
        <v>1276</v>
      </c>
      <c r="AU127" s="44">
        <v>32</v>
      </c>
      <c r="AV127" s="31">
        <v>11038796.571264595</v>
      </c>
      <c r="AW127" s="31">
        <v>521119.07000000012</v>
      </c>
      <c r="AX127" s="31">
        <v>578498.24</v>
      </c>
      <c r="AY127" s="31">
        <v>37922.28</v>
      </c>
      <c r="AZ127" s="31">
        <v>1240315.9492347795</v>
      </c>
      <c r="BA127" s="31">
        <v>785291.77927577053</v>
      </c>
      <c r="BB127" s="31">
        <v>975534.22063082899</v>
      </c>
      <c r="BC127" s="31">
        <f t="shared" si="11"/>
        <v>15557564.120405974</v>
      </c>
      <c r="BD127" s="31">
        <v>380086.00999999995</v>
      </c>
    </row>
    <row r="128" spans="2:56">
      <c r="B128" s="42" t="s">
        <v>155</v>
      </c>
      <c r="C128" s="42" t="s">
        <v>156</v>
      </c>
      <c r="D128" s="43" t="s">
        <v>1049</v>
      </c>
      <c r="E128" s="44">
        <v>32</v>
      </c>
      <c r="F128" s="31">
        <v>2420807.3367021177</v>
      </c>
      <c r="G128" s="31">
        <v>108843.50999999997</v>
      </c>
      <c r="H128" s="31">
        <v>72887.150000000009</v>
      </c>
      <c r="I128" s="31">
        <v>0</v>
      </c>
      <c r="J128" s="31">
        <v>215892.21302987021</v>
      </c>
      <c r="K128" s="31">
        <v>253814.67859208619</v>
      </c>
      <c r="L128" s="31">
        <v>44319.555746018625</v>
      </c>
      <c r="M128" s="31">
        <f t="shared" si="8"/>
        <v>3165967.9240700924</v>
      </c>
      <c r="N128" s="31">
        <v>49403.479999999996</v>
      </c>
      <c r="P128" s="42" t="s">
        <v>155</v>
      </c>
      <c r="Q128" s="42" t="s">
        <v>156</v>
      </c>
      <c r="R128" s="43" t="s">
        <v>1050</v>
      </c>
      <c r="S128" s="44">
        <v>32</v>
      </c>
      <c r="T128" s="31">
        <v>2526879.4790180074</v>
      </c>
      <c r="U128" s="31">
        <v>113705.85</v>
      </c>
      <c r="V128" s="31">
        <v>75686.12000000001</v>
      </c>
      <c r="W128" s="31">
        <v>0</v>
      </c>
      <c r="X128" s="31">
        <v>223207.03304707663</v>
      </c>
      <c r="Y128" s="31">
        <v>254085.44937644177</v>
      </c>
      <c r="Z128" s="31">
        <v>46303.458557051432</v>
      </c>
      <c r="AA128" s="31">
        <f t="shared" si="9"/>
        <v>3290485.3799985778</v>
      </c>
      <c r="AB128" s="31">
        <v>50617.99</v>
      </c>
      <c r="AD128" s="42" t="s">
        <v>155</v>
      </c>
      <c r="AE128" s="42" t="s">
        <v>156</v>
      </c>
      <c r="AF128" s="43" t="s">
        <v>1275</v>
      </c>
      <c r="AG128" s="44">
        <v>32</v>
      </c>
      <c r="AH128" s="31">
        <v>2575249.3465146758</v>
      </c>
      <c r="AI128" s="31">
        <v>116028.42000000001</v>
      </c>
      <c r="AJ128" s="31">
        <v>77166.62</v>
      </c>
      <c r="AK128" s="31">
        <v>0</v>
      </c>
      <c r="AL128" s="31">
        <v>227341.28190689447</v>
      </c>
      <c r="AM128" s="31">
        <v>253993.46064426334</v>
      </c>
      <c r="AN128" s="31">
        <v>47195.451742214063</v>
      </c>
      <c r="AO128" s="31">
        <f t="shared" si="10"/>
        <v>3348484.3808080475</v>
      </c>
      <c r="AP128" s="31">
        <v>51509.799999999996</v>
      </c>
      <c r="AR128" s="42" t="s">
        <v>155</v>
      </c>
      <c r="AS128" s="42" t="s">
        <v>156</v>
      </c>
      <c r="AT128" s="43" t="s">
        <v>1276</v>
      </c>
      <c r="AU128" s="44">
        <v>32</v>
      </c>
      <c r="AV128" s="31">
        <v>2622222.141529155</v>
      </c>
      <c r="AW128" s="31">
        <v>118132.71000000002</v>
      </c>
      <c r="AX128" s="31">
        <v>78575.759999999995</v>
      </c>
      <c r="AY128" s="31">
        <v>0</v>
      </c>
      <c r="AZ128" s="31">
        <v>231527.40768742352</v>
      </c>
      <c r="BA128" s="31">
        <v>254008.09930304336</v>
      </c>
      <c r="BB128" s="31">
        <v>48065.669219403229</v>
      </c>
      <c r="BC128" s="31">
        <f t="shared" si="11"/>
        <v>3404996.7077390249</v>
      </c>
      <c r="BD128" s="31">
        <v>52464.919999999991</v>
      </c>
    </row>
    <row r="129" spans="2:56">
      <c r="B129" s="42" t="s">
        <v>425</v>
      </c>
      <c r="C129" s="42" t="s">
        <v>426</v>
      </c>
      <c r="D129" s="43" t="s">
        <v>1049</v>
      </c>
      <c r="E129" s="44">
        <v>32</v>
      </c>
      <c r="F129" s="31">
        <v>86362423.432278514</v>
      </c>
      <c r="G129" s="31">
        <v>1703320.37</v>
      </c>
      <c r="H129" s="31">
        <v>1085754.96</v>
      </c>
      <c r="I129" s="31">
        <v>306776.49</v>
      </c>
      <c r="J129" s="31">
        <v>13991170.61229125</v>
      </c>
      <c r="K129" s="31">
        <v>5643176.9677509479</v>
      </c>
      <c r="L129" s="31">
        <v>6237020.8009363022</v>
      </c>
      <c r="M129" s="31">
        <f t="shared" si="8"/>
        <v>115329643.633257</v>
      </c>
      <c r="N129" s="31">
        <v>0</v>
      </c>
      <c r="P129" s="42" t="s">
        <v>425</v>
      </c>
      <c r="Q129" s="42" t="s">
        <v>426</v>
      </c>
      <c r="R129" s="43" t="s">
        <v>1050</v>
      </c>
      <c r="S129" s="44">
        <v>32</v>
      </c>
      <c r="T129" s="31">
        <v>88480072.062792569</v>
      </c>
      <c r="U129" s="31">
        <v>1739772.4800000002</v>
      </c>
      <c r="V129" s="31">
        <v>1108990.8099999998</v>
      </c>
      <c r="W129" s="31">
        <v>313341.70999999996</v>
      </c>
      <c r="X129" s="31">
        <v>14272301.586204657</v>
      </c>
      <c r="Y129" s="31">
        <v>5648463.6742754988</v>
      </c>
      <c r="Z129" s="31">
        <v>6373319.8094881689</v>
      </c>
      <c r="AA129" s="31">
        <f t="shared" si="9"/>
        <v>117936262.1327609</v>
      </c>
      <c r="AB129" s="31">
        <v>0</v>
      </c>
      <c r="AD129" s="42" t="s">
        <v>425</v>
      </c>
      <c r="AE129" s="42" t="s">
        <v>426</v>
      </c>
      <c r="AF129" s="43" t="s">
        <v>1275</v>
      </c>
      <c r="AG129" s="44">
        <v>32</v>
      </c>
      <c r="AH129" s="31">
        <v>90186791.134233728</v>
      </c>
      <c r="AI129" s="31">
        <v>1773885.2300000002</v>
      </c>
      <c r="AJ129" s="31">
        <v>1130735.43</v>
      </c>
      <c r="AK129" s="31">
        <v>319485.59999999998</v>
      </c>
      <c r="AL129" s="31">
        <v>14538777.350399107</v>
      </c>
      <c r="AM129" s="31">
        <v>5646457.1928561758</v>
      </c>
      <c r="AN129" s="31">
        <v>6496475.9666330665</v>
      </c>
      <c r="AO129" s="31">
        <f t="shared" si="10"/>
        <v>120092607.90412208</v>
      </c>
      <c r="AP129" s="31">
        <v>0</v>
      </c>
      <c r="AR129" s="42" t="s">
        <v>425</v>
      </c>
      <c r="AS129" s="42" t="s">
        <v>426</v>
      </c>
      <c r="AT129" s="43" t="s">
        <v>1276</v>
      </c>
      <c r="AU129" s="44">
        <v>32</v>
      </c>
      <c r="AV129" s="31">
        <v>91869609.866873652</v>
      </c>
      <c r="AW129" s="31">
        <v>1806914.0500000003</v>
      </c>
      <c r="AX129" s="31">
        <v>1151789.1300000001</v>
      </c>
      <c r="AY129" s="31">
        <v>325434.26</v>
      </c>
      <c r="AZ129" s="31">
        <v>14810481.608667001</v>
      </c>
      <c r="BA129" s="31">
        <v>5646766.0051293969</v>
      </c>
      <c r="BB129" s="31">
        <v>6618004.5841835719</v>
      </c>
      <c r="BC129" s="31">
        <f t="shared" si="11"/>
        <v>122228999.50485362</v>
      </c>
      <c r="BD129" s="31">
        <v>0</v>
      </c>
    </row>
    <row r="130" spans="2:56">
      <c r="B130" s="42" t="s">
        <v>215</v>
      </c>
      <c r="C130" s="42" t="s">
        <v>216</v>
      </c>
      <c r="D130" s="43" t="s">
        <v>1049</v>
      </c>
      <c r="E130" s="44">
        <v>32</v>
      </c>
      <c r="F130" s="31">
        <v>278245844.28020018</v>
      </c>
      <c r="G130" s="31">
        <v>2410621.0099999998</v>
      </c>
      <c r="H130" s="31">
        <v>6599283.9200000009</v>
      </c>
      <c r="I130" s="31">
        <v>993923.83000000007</v>
      </c>
      <c r="J130" s="31">
        <v>29682763.197865915</v>
      </c>
      <c r="K130" s="31">
        <v>11230038.524321584</v>
      </c>
      <c r="L130" s="31">
        <v>23032619.324891828</v>
      </c>
      <c r="M130" s="31">
        <f t="shared" si="8"/>
        <v>352195094.08727944</v>
      </c>
      <c r="N130" s="31">
        <v>0</v>
      </c>
      <c r="P130" s="42" t="s">
        <v>215</v>
      </c>
      <c r="Q130" s="42" t="s">
        <v>216</v>
      </c>
      <c r="R130" s="43" t="s">
        <v>1050</v>
      </c>
      <c r="S130" s="44">
        <v>32</v>
      </c>
      <c r="T130" s="31">
        <v>288644588.42656207</v>
      </c>
      <c r="U130" s="31">
        <v>2499708.1100000003</v>
      </c>
      <c r="V130" s="31">
        <v>6843167.5900000008</v>
      </c>
      <c r="W130" s="31">
        <v>1030655.37</v>
      </c>
      <c r="X130" s="31">
        <v>30667441.10093493</v>
      </c>
      <c r="Y130" s="31">
        <v>11236732.569180302</v>
      </c>
      <c r="Z130" s="31">
        <v>23833675.372680999</v>
      </c>
      <c r="AA130" s="31">
        <f t="shared" si="9"/>
        <v>364755968.53935832</v>
      </c>
      <c r="AB130" s="31">
        <v>0</v>
      </c>
      <c r="AD130" s="42" t="s">
        <v>215</v>
      </c>
      <c r="AE130" s="42" t="s">
        <v>216</v>
      </c>
      <c r="AF130" s="43" t="s">
        <v>1275</v>
      </c>
      <c r="AG130" s="44">
        <v>32</v>
      </c>
      <c r="AH130" s="31">
        <v>294211626.6254757</v>
      </c>
      <c r="AI130" s="31">
        <v>2548721.35</v>
      </c>
      <c r="AJ130" s="31">
        <v>6977345.5899999999</v>
      </c>
      <c r="AK130" s="31">
        <v>1050864.04</v>
      </c>
      <c r="AL130" s="31">
        <v>31240030.08385526</v>
      </c>
      <c r="AM130" s="31">
        <v>11234202.721465744</v>
      </c>
      <c r="AN130" s="31">
        <v>24294318.525836684</v>
      </c>
      <c r="AO130" s="31">
        <f t="shared" si="10"/>
        <v>371557108.93663347</v>
      </c>
      <c r="AP130" s="31">
        <v>0</v>
      </c>
      <c r="AR130" s="42" t="s">
        <v>215</v>
      </c>
      <c r="AS130" s="42" t="s">
        <v>216</v>
      </c>
      <c r="AT130" s="43" t="s">
        <v>1276</v>
      </c>
      <c r="AU130" s="44">
        <v>32</v>
      </c>
      <c r="AV130" s="31">
        <v>299701116.64022374</v>
      </c>
      <c r="AW130" s="31">
        <v>2596177.2000000002</v>
      </c>
      <c r="AX130" s="31">
        <v>7107260.1099999985</v>
      </c>
      <c r="AY130" s="31">
        <v>1070430.58</v>
      </c>
      <c r="AZ130" s="31">
        <v>31823855.88127489</v>
      </c>
      <c r="BA130" s="31">
        <v>11234592.08366771</v>
      </c>
      <c r="BB130" s="31">
        <v>24748729.959148616</v>
      </c>
      <c r="BC130" s="31">
        <f t="shared" si="11"/>
        <v>378282162.45431495</v>
      </c>
      <c r="BD130" s="31">
        <v>0</v>
      </c>
    </row>
    <row r="131" spans="2:56">
      <c r="B131" s="42" t="s">
        <v>441</v>
      </c>
      <c r="C131" s="42" t="s">
        <v>442</v>
      </c>
      <c r="D131" s="43" t="s">
        <v>1049</v>
      </c>
      <c r="E131" s="44">
        <v>32</v>
      </c>
      <c r="F131" s="31">
        <v>23251330.655971952</v>
      </c>
      <c r="G131" s="31">
        <v>778403.53999999992</v>
      </c>
      <c r="H131" s="31">
        <v>365960.85000000003</v>
      </c>
      <c r="I131" s="31">
        <v>81398.76999999999</v>
      </c>
      <c r="J131" s="31">
        <v>3696900.4842654062</v>
      </c>
      <c r="K131" s="31">
        <v>1849661.5236069988</v>
      </c>
      <c r="L131" s="31">
        <v>1204492.7286306112</v>
      </c>
      <c r="M131" s="31">
        <f t="shared" si="8"/>
        <v>31228148.552474968</v>
      </c>
      <c r="N131" s="31">
        <v>0</v>
      </c>
      <c r="P131" s="42" t="s">
        <v>441</v>
      </c>
      <c r="Q131" s="42" t="s">
        <v>442</v>
      </c>
      <c r="R131" s="43" t="s">
        <v>1050</v>
      </c>
      <c r="S131" s="44">
        <v>32</v>
      </c>
      <c r="T131" s="31">
        <v>23974241.909372702</v>
      </c>
      <c r="U131" s="31">
        <v>801093.09</v>
      </c>
      <c r="V131" s="31">
        <v>376628.19</v>
      </c>
      <c r="W131" s="31">
        <v>83771.44</v>
      </c>
      <c r="X131" s="31">
        <v>3795218.0487527344</v>
      </c>
      <c r="Y131" s="31">
        <v>1851438.4733945916</v>
      </c>
      <c r="Z131" s="31">
        <v>1238539.883239059</v>
      </c>
      <c r="AA131" s="31">
        <f t="shared" si="9"/>
        <v>32120931.034759093</v>
      </c>
      <c r="AB131" s="31">
        <v>0</v>
      </c>
      <c r="AD131" s="42" t="s">
        <v>441</v>
      </c>
      <c r="AE131" s="42" t="s">
        <v>442</v>
      </c>
      <c r="AF131" s="43" t="s">
        <v>1275</v>
      </c>
      <c r="AG131" s="44">
        <v>32</v>
      </c>
      <c r="AH131" s="31">
        <v>24436086.077714786</v>
      </c>
      <c r="AI131" s="31">
        <v>816795.12</v>
      </c>
      <c r="AJ131" s="31">
        <v>384010.39000000007</v>
      </c>
      <c r="AK131" s="31">
        <v>85413.430000000008</v>
      </c>
      <c r="AL131" s="31">
        <v>3865997.8765930147</v>
      </c>
      <c r="AM131" s="31">
        <v>1850776.2234908736</v>
      </c>
      <c r="AN131" s="31">
        <v>1262461.2057886687</v>
      </c>
      <c r="AO131" s="31">
        <f t="shared" si="10"/>
        <v>32701540.323587347</v>
      </c>
      <c r="AP131" s="31">
        <v>0</v>
      </c>
      <c r="AR131" s="42" t="s">
        <v>441</v>
      </c>
      <c r="AS131" s="42" t="s">
        <v>442</v>
      </c>
      <c r="AT131" s="43" t="s">
        <v>1276</v>
      </c>
      <c r="AU131" s="44">
        <v>32</v>
      </c>
      <c r="AV131" s="31">
        <v>24891055.792949591</v>
      </c>
      <c r="AW131" s="31">
        <v>831960.27</v>
      </c>
      <c r="AX131" s="31">
        <v>391140.17000000004</v>
      </c>
      <c r="AY131" s="31">
        <v>86999.260000000009</v>
      </c>
      <c r="AZ131" s="31">
        <v>3938095.751569482</v>
      </c>
      <c r="BA131" s="31">
        <v>1850878.6500925634</v>
      </c>
      <c r="BB131" s="31">
        <v>1286026.7408951405</v>
      </c>
      <c r="BC131" s="31">
        <f t="shared" si="11"/>
        <v>33276156.635506783</v>
      </c>
      <c r="BD131" s="31">
        <v>0</v>
      </c>
    </row>
    <row r="132" spans="2:56">
      <c r="B132" s="42" t="s">
        <v>557</v>
      </c>
      <c r="C132" s="42" t="s">
        <v>558</v>
      </c>
      <c r="D132" s="43" t="s">
        <v>1049</v>
      </c>
      <c r="E132" s="44">
        <v>32</v>
      </c>
      <c r="F132" s="31">
        <v>585037.08234274713</v>
      </c>
      <c r="G132" s="31">
        <v>16857.580000000002</v>
      </c>
      <c r="H132" s="31">
        <v>0</v>
      </c>
      <c r="I132" s="31">
        <v>1071.8800000000001</v>
      </c>
      <c r="J132" s="31">
        <v>38850.418631978362</v>
      </c>
      <c r="K132" s="31">
        <v>88386.028222811568</v>
      </c>
      <c r="L132" s="31">
        <v>0</v>
      </c>
      <c r="M132" s="31">
        <f t="shared" si="8"/>
        <v>740824.25919753697</v>
      </c>
      <c r="N132" s="31">
        <v>10621.269999999999</v>
      </c>
      <c r="P132" s="42" t="s">
        <v>557</v>
      </c>
      <c r="Q132" s="42" t="s">
        <v>558</v>
      </c>
      <c r="R132" s="43" t="s">
        <v>1050</v>
      </c>
      <c r="S132" s="44">
        <v>32</v>
      </c>
      <c r="T132" s="31">
        <v>611423.23658737412</v>
      </c>
      <c r="U132" s="31">
        <v>17651.700000000004</v>
      </c>
      <c r="V132" s="31">
        <v>0</v>
      </c>
      <c r="W132" s="31">
        <v>1113.04</v>
      </c>
      <c r="X132" s="31">
        <v>40179.666535418932</v>
      </c>
      <c r="Y132" s="31">
        <v>88425.887277866277</v>
      </c>
      <c r="Z132" s="31">
        <v>0</v>
      </c>
      <c r="AA132" s="31">
        <f t="shared" si="9"/>
        <v>769675.9004006593</v>
      </c>
      <c r="AB132" s="31">
        <v>10882.37</v>
      </c>
      <c r="AD132" s="42" t="s">
        <v>557</v>
      </c>
      <c r="AE132" s="42" t="s">
        <v>558</v>
      </c>
      <c r="AF132" s="43" t="s">
        <v>1275</v>
      </c>
      <c r="AG132" s="44">
        <v>32</v>
      </c>
      <c r="AH132" s="31">
        <v>623121.05346997897</v>
      </c>
      <c r="AI132" s="31">
        <v>18018.110000000004</v>
      </c>
      <c r="AJ132" s="31">
        <v>0</v>
      </c>
      <c r="AK132" s="31">
        <v>1134.8100000000002</v>
      </c>
      <c r="AL132" s="31">
        <v>40923.884998603549</v>
      </c>
      <c r="AM132" s="31">
        <v>88412.345994418589</v>
      </c>
      <c r="AN132" s="31">
        <v>0</v>
      </c>
      <c r="AO132" s="31">
        <f t="shared" si="10"/>
        <v>782684.31446300121</v>
      </c>
      <c r="AP132" s="31">
        <v>11074.11</v>
      </c>
      <c r="AR132" s="42" t="s">
        <v>557</v>
      </c>
      <c r="AS132" s="42" t="s">
        <v>558</v>
      </c>
      <c r="AT132" s="43" t="s">
        <v>1276</v>
      </c>
      <c r="AU132" s="44">
        <v>32</v>
      </c>
      <c r="AV132" s="31">
        <v>634469.62954368861</v>
      </c>
      <c r="AW132" s="31">
        <v>18344.030000000006</v>
      </c>
      <c r="AX132" s="31">
        <v>0</v>
      </c>
      <c r="AY132" s="31">
        <v>1155.54</v>
      </c>
      <c r="AZ132" s="31">
        <v>41677.467906926649</v>
      </c>
      <c r="BA132" s="31">
        <v>88414.500891253672</v>
      </c>
      <c r="BB132" s="31">
        <v>0</v>
      </c>
      <c r="BC132" s="31">
        <f t="shared" si="11"/>
        <v>795340.60834186897</v>
      </c>
      <c r="BD132" s="31">
        <v>11279.439999999999</v>
      </c>
    </row>
    <row r="133" spans="2:56">
      <c r="B133" s="42" t="s">
        <v>471</v>
      </c>
      <c r="C133" s="42" t="s">
        <v>472</v>
      </c>
      <c r="D133" s="43" t="s">
        <v>1049</v>
      </c>
      <c r="E133" s="44">
        <v>32</v>
      </c>
      <c r="F133" s="31">
        <v>5137381.7872200273</v>
      </c>
      <c r="G133" s="31">
        <v>114690.1</v>
      </c>
      <c r="H133" s="31">
        <v>1753.96</v>
      </c>
      <c r="I133" s="31">
        <v>0</v>
      </c>
      <c r="J133" s="31">
        <v>593854.47848630731</v>
      </c>
      <c r="K133" s="31">
        <v>562926.75487062999</v>
      </c>
      <c r="L133" s="31">
        <v>267126.35579938983</v>
      </c>
      <c r="M133" s="31">
        <f t="shared" ref="M133:M196" si="12">SUM(F133:L133,N133)</f>
        <v>6677733.4363763537</v>
      </c>
      <c r="N133" s="31">
        <v>0</v>
      </c>
      <c r="P133" s="42" t="s">
        <v>471</v>
      </c>
      <c r="Q133" s="42" t="s">
        <v>472</v>
      </c>
      <c r="R133" s="43" t="s">
        <v>1050</v>
      </c>
      <c r="S133" s="44">
        <v>32</v>
      </c>
      <c r="T133" s="31">
        <v>5334534.8100977549</v>
      </c>
      <c r="U133" s="31">
        <v>119094.32</v>
      </c>
      <c r="V133" s="31">
        <v>1821.32</v>
      </c>
      <c r="W133" s="31">
        <v>0</v>
      </c>
      <c r="X133" s="31">
        <v>613957.65761304926</v>
      </c>
      <c r="Y133" s="31">
        <v>563501.56226290565</v>
      </c>
      <c r="Z133" s="31">
        <v>276644.16539305157</v>
      </c>
      <c r="AA133" s="31">
        <f t="shared" ref="AA133:AA196" si="13">SUM(T133:Z133,AB133)</f>
        <v>6909553.8353667622</v>
      </c>
      <c r="AB133" s="31">
        <v>0</v>
      </c>
      <c r="AD133" s="42" t="s">
        <v>471</v>
      </c>
      <c r="AE133" s="42" t="s">
        <v>472</v>
      </c>
      <c r="AF133" s="43" t="s">
        <v>1275</v>
      </c>
      <c r="AG133" s="44">
        <v>32</v>
      </c>
      <c r="AH133" s="31">
        <v>5437008.4929493489</v>
      </c>
      <c r="AI133" s="31">
        <v>121423.95999999999</v>
      </c>
      <c r="AJ133" s="31">
        <v>1856.9399999999998</v>
      </c>
      <c r="AK133" s="31">
        <v>0</v>
      </c>
      <c r="AL133" s="31">
        <v>625328.30734729778</v>
      </c>
      <c r="AM133" s="31">
        <v>563306.28342812276</v>
      </c>
      <c r="AN133" s="31">
        <v>281972.118791127</v>
      </c>
      <c r="AO133" s="31">
        <f t="shared" ref="AO133:AO196" si="14">SUM(AH133:AN133,AP133)</f>
        <v>7030896.1025158959</v>
      </c>
      <c r="AP133" s="31">
        <v>0</v>
      </c>
      <c r="AR133" s="42" t="s">
        <v>471</v>
      </c>
      <c r="AS133" s="42" t="s">
        <v>472</v>
      </c>
      <c r="AT133" s="43" t="s">
        <v>1276</v>
      </c>
      <c r="AU133" s="44">
        <v>32</v>
      </c>
      <c r="AV133" s="31">
        <v>5536796.3040436907</v>
      </c>
      <c r="AW133" s="31">
        <v>123641.27</v>
      </c>
      <c r="AX133" s="31">
        <v>1890.8499999999997</v>
      </c>
      <c r="AY133" s="31">
        <v>0</v>
      </c>
      <c r="AZ133" s="31">
        <v>636840.72009074711</v>
      </c>
      <c r="BA133" s="31">
        <v>563337.35919318278</v>
      </c>
      <c r="BB133" s="31">
        <v>287170.96806526568</v>
      </c>
      <c r="BC133" s="31">
        <f t="shared" ref="BC133:BC196" si="15">SUM(AV133:BB133,BD133)</f>
        <v>7149677.4713928849</v>
      </c>
      <c r="BD133" s="31">
        <v>0</v>
      </c>
    </row>
    <row r="134" spans="2:56">
      <c r="B134" s="42" t="s">
        <v>9</v>
      </c>
      <c r="C134" s="42" t="s">
        <v>10</v>
      </c>
      <c r="D134" s="43" t="s">
        <v>1049</v>
      </c>
      <c r="E134" s="44">
        <v>32</v>
      </c>
      <c r="F134" s="31">
        <v>2407576.8893441912</v>
      </c>
      <c r="G134" s="31">
        <v>82728.86</v>
      </c>
      <c r="H134" s="31">
        <v>44823.66</v>
      </c>
      <c r="I134" s="31">
        <v>0</v>
      </c>
      <c r="J134" s="31">
        <v>191074.63870119199</v>
      </c>
      <c r="K134" s="31">
        <v>904332.05379206431</v>
      </c>
      <c r="L134" s="31">
        <v>157889.50691708349</v>
      </c>
      <c r="M134" s="31">
        <f t="shared" si="12"/>
        <v>3841337.0287545314</v>
      </c>
      <c r="N134" s="31">
        <v>52911.42</v>
      </c>
      <c r="P134" s="42" t="s">
        <v>9</v>
      </c>
      <c r="Q134" s="42" t="s">
        <v>10</v>
      </c>
      <c r="R134" s="43" t="s">
        <v>1050</v>
      </c>
      <c r="S134" s="44">
        <v>32</v>
      </c>
      <c r="T134" s="31">
        <v>2515194.5432706997</v>
      </c>
      <c r="U134" s="31">
        <v>86636.85000000002</v>
      </c>
      <c r="V134" s="31">
        <v>46544.93</v>
      </c>
      <c r="W134" s="31">
        <v>0</v>
      </c>
      <c r="X134" s="31">
        <v>197552.19977325201</v>
      </c>
      <c r="Y134" s="31">
        <v>905135.29379710893</v>
      </c>
      <c r="Z134" s="31">
        <v>165033.12369595459</v>
      </c>
      <c r="AA134" s="31">
        <f t="shared" si="13"/>
        <v>3970309.1105370154</v>
      </c>
      <c r="AB134" s="31">
        <v>54212.17</v>
      </c>
      <c r="AD134" s="42" t="s">
        <v>9</v>
      </c>
      <c r="AE134" s="42" t="s">
        <v>10</v>
      </c>
      <c r="AF134" s="43" t="s">
        <v>1275</v>
      </c>
      <c r="AG134" s="44">
        <v>32</v>
      </c>
      <c r="AH134" s="31">
        <v>2563383.6873369543</v>
      </c>
      <c r="AI134" s="31">
        <v>88436.89</v>
      </c>
      <c r="AJ134" s="31">
        <v>47455.4</v>
      </c>
      <c r="AK134" s="31">
        <v>0</v>
      </c>
      <c r="AL134" s="31">
        <v>201211.05510994396</v>
      </c>
      <c r="AM134" s="31">
        <v>904862.40974178188</v>
      </c>
      <c r="AN134" s="31">
        <v>168211.98833848088</v>
      </c>
      <c r="AO134" s="31">
        <f t="shared" si="14"/>
        <v>4028728.7305271607</v>
      </c>
      <c r="AP134" s="31">
        <v>55167.3</v>
      </c>
      <c r="AR134" s="42" t="s">
        <v>9</v>
      </c>
      <c r="AS134" s="42" t="s">
        <v>10</v>
      </c>
      <c r="AT134" s="43" t="s">
        <v>1276</v>
      </c>
      <c r="AU134" s="44">
        <v>32</v>
      </c>
      <c r="AV134" s="31">
        <v>2610133.6966683902</v>
      </c>
      <c r="AW134" s="31">
        <v>90036.3</v>
      </c>
      <c r="AX134" s="31">
        <v>48321.979999999996</v>
      </c>
      <c r="AY134" s="31">
        <v>0</v>
      </c>
      <c r="AZ134" s="31">
        <v>204915.65436848471</v>
      </c>
      <c r="BA134" s="31">
        <v>904905.83524051239</v>
      </c>
      <c r="BB134" s="31">
        <v>171313.06999458652</v>
      </c>
      <c r="BC134" s="31">
        <f t="shared" si="15"/>
        <v>4085816.7762719737</v>
      </c>
      <c r="BD134" s="31">
        <v>56190.240000000005</v>
      </c>
    </row>
    <row r="135" spans="2:56">
      <c r="B135" s="42" t="s">
        <v>77</v>
      </c>
      <c r="C135" s="42" t="s">
        <v>78</v>
      </c>
      <c r="D135" s="43" t="s">
        <v>1049</v>
      </c>
      <c r="E135" s="44">
        <v>32</v>
      </c>
      <c r="F135" s="31">
        <v>50107219.566256091</v>
      </c>
      <c r="G135" s="31">
        <v>2426908.6699999995</v>
      </c>
      <c r="H135" s="31">
        <v>659394.94999999995</v>
      </c>
      <c r="I135" s="31">
        <v>173058.30000000002</v>
      </c>
      <c r="J135" s="31">
        <v>8283157.7234295616</v>
      </c>
      <c r="K135" s="31">
        <v>2690098.7541928706</v>
      </c>
      <c r="L135" s="31">
        <v>3752747.4812527262</v>
      </c>
      <c r="M135" s="31">
        <f t="shared" si="12"/>
        <v>69389450.745131254</v>
      </c>
      <c r="N135" s="31">
        <v>1296865.2999999998</v>
      </c>
      <c r="P135" s="42" t="s">
        <v>77</v>
      </c>
      <c r="Q135" s="42" t="s">
        <v>78</v>
      </c>
      <c r="R135" s="43" t="s">
        <v>1050</v>
      </c>
      <c r="S135" s="44">
        <v>32</v>
      </c>
      <c r="T135" s="31">
        <v>52574385.391805589</v>
      </c>
      <c r="U135" s="31">
        <v>2538023.6399999997</v>
      </c>
      <c r="V135" s="31">
        <v>684716.4</v>
      </c>
      <c r="W135" s="31">
        <v>179703.90000000002</v>
      </c>
      <c r="X135" s="31">
        <v>8563716.2587153036</v>
      </c>
      <c r="Y135" s="31">
        <v>2692999.3607826829</v>
      </c>
      <c r="Z135" s="31">
        <v>3924032.0467450982</v>
      </c>
      <c r="AA135" s="31">
        <f t="shared" si="13"/>
        <v>72486324.008048669</v>
      </c>
      <c r="AB135" s="31">
        <v>1328747.01</v>
      </c>
      <c r="AD135" s="42" t="s">
        <v>77</v>
      </c>
      <c r="AE135" s="42" t="s">
        <v>78</v>
      </c>
      <c r="AF135" s="43" t="s">
        <v>1275</v>
      </c>
      <c r="AG135" s="44">
        <v>32</v>
      </c>
      <c r="AH135" s="31">
        <v>53584309.528122015</v>
      </c>
      <c r="AI135" s="31">
        <v>2590252.3399999994</v>
      </c>
      <c r="AJ135" s="31">
        <v>698110.32</v>
      </c>
      <c r="AK135" s="31">
        <v>183219.13</v>
      </c>
      <c r="AL135" s="31">
        <v>8722330.0739461593</v>
      </c>
      <c r="AM135" s="31">
        <v>2692013.9401311148</v>
      </c>
      <c r="AN135" s="31">
        <v>3999616.0224553221</v>
      </c>
      <c r="AO135" s="31">
        <f t="shared" si="14"/>
        <v>73822008.644654617</v>
      </c>
      <c r="AP135" s="31">
        <v>1352157.29</v>
      </c>
      <c r="AR135" s="42" t="s">
        <v>77</v>
      </c>
      <c r="AS135" s="42" t="s">
        <v>78</v>
      </c>
      <c r="AT135" s="43" t="s">
        <v>1276</v>
      </c>
      <c r="AU135" s="44">
        <v>32</v>
      </c>
      <c r="AV135" s="31">
        <v>54569638.043622665</v>
      </c>
      <c r="AW135" s="31">
        <v>2637171.9699999997</v>
      </c>
      <c r="AX135" s="31">
        <v>710858.47</v>
      </c>
      <c r="AY135" s="31">
        <v>186564.89</v>
      </c>
      <c r="AZ135" s="31">
        <v>8882931.0818299074</v>
      </c>
      <c r="BA135" s="31">
        <v>2692170.7553880648</v>
      </c>
      <c r="BB135" s="31">
        <v>4073351.0622870517</v>
      </c>
      <c r="BC135" s="31">
        <f t="shared" si="15"/>
        <v>75129915.973127678</v>
      </c>
      <c r="BD135" s="31">
        <v>1377229.7</v>
      </c>
    </row>
    <row r="136" spans="2:56">
      <c r="B136" s="42" t="s">
        <v>493</v>
      </c>
      <c r="C136" s="42" t="s">
        <v>494</v>
      </c>
      <c r="D136" s="43" t="s">
        <v>1049</v>
      </c>
      <c r="E136" s="44">
        <v>32</v>
      </c>
      <c r="F136" s="31">
        <v>2062029.2382777671</v>
      </c>
      <c r="G136" s="31">
        <v>80877.460000000006</v>
      </c>
      <c r="H136" s="31">
        <v>0</v>
      </c>
      <c r="I136" s="31">
        <v>0</v>
      </c>
      <c r="J136" s="31">
        <v>170554.54292502906</v>
      </c>
      <c r="K136" s="31">
        <v>0</v>
      </c>
      <c r="L136" s="31">
        <v>0</v>
      </c>
      <c r="M136" s="31">
        <f t="shared" si="12"/>
        <v>2343765.9412027965</v>
      </c>
      <c r="N136" s="31">
        <v>30304.7</v>
      </c>
      <c r="P136" s="42" t="s">
        <v>493</v>
      </c>
      <c r="Q136" s="42" t="s">
        <v>494</v>
      </c>
      <c r="R136" s="43" t="s">
        <v>1050</v>
      </c>
      <c r="S136" s="44">
        <v>32</v>
      </c>
      <c r="T136" s="31">
        <v>2153257.0093525425</v>
      </c>
      <c r="U136" s="31">
        <v>84401.960000000021</v>
      </c>
      <c r="V136" s="31">
        <v>0</v>
      </c>
      <c r="W136" s="31">
        <v>0</v>
      </c>
      <c r="X136" s="31">
        <v>176330.09535318663</v>
      </c>
      <c r="Y136" s="31">
        <v>0</v>
      </c>
      <c r="Z136" s="31">
        <v>0</v>
      </c>
      <c r="AA136" s="31">
        <f t="shared" si="13"/>
        <v>2445038.7647057292</v>
      </c>
      <c r="AB136" s="31">
        <v>31049.7</v>
      </c>
      <c r="AD136" s="42" t="s">
        <v>493</v>
      </c>
      <c r="AE136" s="42" t="s">
        <v>494</v>
      </c>
      <c r="AF136" s="43" t="s">
        <v>1275</v>
      </c>
      <c r="AG136" s="44">
        <v>32</v>
      </c>
      <c r="AH136" s="31">
        <v>2193902.5064815651</v>
      </c>
      <c r="AI136" s="31">
        <v>86113.310000000012</v>
      </c>
      <c r="AJ136" s="31">
        <v>0</v>
      </c>
      <c r="AK136" s="31">
        <v>0</v>
      </c>
      <c r="AL136" s="31">
        <v>179597.35729111661</v>
      </c>
      <c r="AM136" s="31">
        <v>0</v>
      </c>
      <c r="AN136" s="31">
        <v>0</v>
      </c>
      <c r="AO136" s="31">
        <f t="shared" si="14"/>
        <v>2491209.9237726815</v>
      </c>
      <c r="AP136" s="31">
        <v>31596.749999999996</v>
      </c>
      <c r="AR136" s="42" t="s">
        <v>493</v>
      </c>
      <c r="AS136" s="42" t="s">
        <v>494</v>
      </c>
      <c r="AT136" s="43" t="s">
        <v>1276</v>
      </c>
      <c r="AU136" s="44">
        <v>32</v>
      </c>
      <c r="AV136" s="31">
        <v>2234357.7957342966</v>
      </c>
      <c r="AW136" s="31">
        <v>87676.930000000008</v>
      </c>
      <c r="AX136" s="31">
        <v>0</v>
      </c>
      <c r="AY136" s="31">
        <v>0</v>
      </c>
      <c r="AZ136" s="31">
        <v>182906.64606566037</v>
      </c>
      <c r="BA136" s="31">
        <v>0</v>
      </c>
      <c r="BB136" s="31">
        <v>0</v>
      </c>
      <c r="BC136" s="31">
        <f t="shared" si="15"/>
        <v>2537123.9917999571</v>
      </c>
      <c r="BD136" s="31">
        <v>32182.619999999992</v>
      </c>
    </row>
    <row r="137" spans="2:56">
      <c r="B137" s="42" t="s">
        <v>397</v>
      </c>
      <c r="C137" s="42" t="s">
        <v>398</v>
      </c>
      <c r="D137" s="43" t="s">
        <v>1049</v>
      </c>
      <c r="E137" s="44">
        <v>32</v>
      </c>
      <c r="F137" s="31">
        <v>3299511.805334257</v>
      </c>
      <c r="G137" s="31">
        <v>73277.53</v>
      </c>
      <c r="H137" s="31">
        <v>26940.260000000002</v>
      </c>
      <c r="I137" s="31">
        <v>7543.27</v>
      </c>
      <c r="J137" s="31">
        <v>308920.87603469315</v>
      </c>
      <c r="K137" s="31">
        <v>166858.17143649526</v>
      </c>
      <c r="L137" s="31">
        <v>127983.71681888557</v>
      </c>
      <c r="M137" s="31">
        <f t="shared" si="12"/>
        <v>4011035.6296243304</v>
      </c>
      <c r="N137" s="31">
        <v>0</v>
      </c>
      <c r="P137" s="42" t="s">
        <v>397</v>
      </c>
      <c r="Q137" s="42" t="s">
        <v>398</v>
      </c>
      <c r="R137" s="43" t="s">
        <v>1050</v>
      </c>
      <c r="S137" s="44">
        <v>32</v>
      </c>
      <c r="T137" s="31">
        <v>3420792.2726430357</v>
      </c>
      <c r="U137" s="31">
        <v>76017.48</v>
      </c>
      <c r="V137" s="31">
        <v>27947.600000000002</v>
      </c>
      <c r="W137" s="31">
        <v>7825.33</v>
      </c>
      <c r="X137" s="31">
        <v>319242.82085420215</v>
      </c>
      <c r="Y137" s="31">
        <v>167011.01579557944</v>
      </c>
      <c r="Z137" s="31">
        <v>132465.55051624289</v>
      </c>
      <c r="AA137" s="31">
        <f t="shared" si="13"/>
        <v>4151302.069809061</v>
      </c>
      <c r="AB137" s="31">
        <v>0</v>
      </c>
      <c r="AD137" s="42" t="s">
        <v>397</v>
      </c>
      <c r="AE137" s="42" t="s">
        <v>398</v>
      </c>
      <c r="AF137" s="43" t="s">
        <v>1275</v>
      </c>
      <c r="AG137" s="44">
        <v>32</v>
      </c>
      <c r="AH137" s="31">
        <v>3486406.4477677494</v>
      </c>
      <c r="AI137" s="31">
        <v>77506.950000000012</v>
      </c>
      <c r="AJ137" s="31">
        <v>28495.189999999995</v>
      </c>
      <c r="AK137" s="31">
        <v>7978.66</v>
      </c>
      <c r="AL137" s="31">
        <v>325189.38895798812</v>
      </c>
      <c r="AM137" s="31">
        <v>166955.12143773836</v>
      </c>
      <c r="AN137" s="31">
        <v>135022.74970158277</v>
      </c>
      <c r="AO137" s="31">
        <f t="shared" si="14"/>
        <v>4227554.5078650583</v>
      </c>
      <c r="AP137" s="31">
        <v>0</v>
      </c>
      <c r="AR137" s="42" t="s">
        <v>397</v>
      </c>
      <c r="AS137" s="42" t="s">
        <v>398</v>
      </c>
      <c r="AT137" s="43" t="s">
        <v>1276</v>
      </c>
      <c r="AU137" s="44">
        <v>32</v>
      </c>
      <c r="AV137" s="31">
        <v>3550773.5031606513</v>
      </c>
      <c r="AW137" s="31">
        <v>78941.700000000012</v>
      </c>
      <c r="AX137" s="31">
        <v>29022.68</v>
      </c>
      <c r="AY137" s="31">
        <v>8126.36</v>
      </c>
      <c r="AZ137" s="31">
        <v>331240.31550425751</v>
      </c>
      <c r="BA137" s="31">
        <v>166963.81091569836</v>
      </c>
      <c r="BB137" s="31">
        <v>137537.49144880177</v>
      </c>
      <c r="BC137" s="31">
        <f t="shared" si="15"/>
        <v>4302605.8610294089</v>
      </c>
      <c r="BD137" s="31">
        <v>0</v>
      </c>
    </row>
    <row r="138" spans="2:56">
      <c r="B138" s="42" t="s">
        <v>1232</v>
      </c>
      <c r="C138" s="42" t="s">
        <v>1233</v>
      </c>
      <c r="D138" s="43" t="s">
        <v>1049</v>
      </c>
      <c r="E138" s="44">
        <v>32</v>
      </c>
      <c r="F138" s="31">
        <v>1391293.4449826088</v>
      </c>
      <c r="G138" s="31">
        <v>19470.25</v>
      </c>
      <c r="H138" s="31">
        <v>0</v>
      </c>
      <c r="I138" s="31">
        <v>0</v>
      </c>
      <c r="J138" s="31">
        <v>39886.637169416528</v>
      </c>
      <c r="K138" s="31">
        <v>11305.43</v>
      </c>
      <c r="L138" s="31">
        <v>0</v>
      </c>
      <c r="M138" s="31">
        <f t="shared" si="12"/>
        <v>1473456.3421520253</v>
      </c>
      <c r="N138" s="31">
        <v>11500.58</v>
      </c>
      <c r="P138" s="42" t="s">
        <v>1232</v>
      </c>
      <c r="Q138" s="42" t="s">
        <v>1233</v>
      </c>
      <c r="R138" s="43" t="s">
        <v>1050</v>
      </c>
      <c r="S138" s="44">
        <v>32</v>
      </c>
      <c r="T138" s="31">
        <v>1430925.254850969</v>
      </c>
      <c r="U138" s="31">
        <v>20193.86</v>
      </c>
      <c r="V138" s="31">
        <v>0</v>
      </c>
      <c r="W138" s="31">
        <v>0</v>
      </c>
      <c r="X138" s="31">
        <v>40955.409941323756</v>
      </c>
      <c r="Y138" s="31">
        <v>11305.43</v>
      </c>
      <c r="Z138" s="31">
        <v>0</v>
      </c>
      <c r="AA138" s="31">
        <f t="shared" si="13"/>
        <v>1515063.7847922929</v>
      </c>
      <c r="AB138" s="31">
        <v>11683.83</v>
      </c>
      <c r="AD138" s="42" t="s">
        <v>1232</v>
      </c>
      <c r="AE138" s="42" t="s">
        <v>1233</v>
      </c>
      <c r="AF138" s="43" t="s">
        <v>1275</v>
      </c>
      <c r="AG138" s="44">
        <v>32</v>
      </c>
      <c r="AH138" s="31">
        <v>1458245.4700547981</v>
      </c>
      <c r="AI138" s="31">
        <v>20611.169999999998</v>
      </c>
      <c r="AJ138" s="31">
        <v>0</v>
      </c>
      <c r="AK138" s="31">
        <v>0</v>
      </c>
      <c r="AL138" s="31">
        <v>41716.310465118542</v>
      </c>
      <c r="AM138" s="31">
        <v>11305.43</v>
      </c>
      <c r="AN138" s="31">
        <v>0</v>
      </c>
      <c r="AO138" s="31">
        <f t="shared" si="14"/>
        <v>1543768.7505199166</v>
      </c>
      <c r="AP138" s="31">
        <v>11890.37</v>
      </c>
      <c r="AR138" s="42" t="s">
        <v>1232</v>
      </c>
      <c r="AS138" s="42" t="s">
        <v>1233</v>
      </c>
      <c r="AT138" s="43" t="s">
        <v>1276</v>
      </c>
      <c r="AU138" s="44">
        <v>32</v>
      </c>
      <c r="AV138" s="31">
        <v>1484729.6977594884</v>
      </c>
      <c r="AW138" s="31">
        <v>20985.659999999996</v>
      </c>
      <c r="AX138" s="31">
        <v>0</v>
      </c>
      <c r="AY138" s="31">
        <v>0</v>
      </c>
      <c r="AZ138" s="31">
        <v>42488.736959302223</v>
      </c>
      <c r="BA138" s="31">
        <v>11305.43</v>
      </c>
      <c r="BB138" s="31">
        <v>0</v>
      </c>
      <c r="BC138" s="31">
        <f t="shared" si="15"/>
        <v>1571621.0947187906</v>
      </c>
      <c r="BD138" s="31">
        <v>12111.570000000002</v>
      </c>
    </row>
    <row r="139" spans="2:56">
      <c r="B139" s="42" t="s">
        <v>553</v>
      </c>
      <c r="C139" s="42" t="s">
        <v>554</v>
      </c>
      <c r="D139" s="43" t="s">
        <v>1049</v>
      </c>
      <c r="E139" s="44">
        <v>32</v>
      </c>
      <c r="F139" s="31">
        <v>4333407.2570112357</v>
      </c>
      <c r="G139" s="31">
        <v>253650.88</v>
      </c>
      <c r="H139" s="31">
        <v>0</v>
      </c>
      <c r="I139" s="31">
        <v>0</v>
      </c>
      <c r="J139" s="31">
        <v>663130.58193999005</v>
      </c>
      <c r="K139" s="31">
        <v>283188.21999999997</v>
      </c>
      <c r="L139" s="31">
        <v>0</v>
      </c>
      <c r="M139" s="31">
        <f t="shared" si="12"/>
        <v>5660308.4289512252</v>
      </c>
      <c r="N139" s="31">
        <v>126931.49</v>
      </c>
      <c r="P139" s="42" t="s">
        <v>553</v>
      </c>
      <c r="Q139" s="42" t="s">
        <v>554</v>
      </c>
      <c r="R139" s="43" t="s">
        <v>1050</v>
      </c>
      <c r="S139" s="44">
        <v>32</v>
      </c>
      <c r="T139" s="31">
        <v>4503364.2837527301</v>
      </c>
      <c r="U139" s="31">
        <v>262672.08000000007</v>
      </c>
      <c r="V139" s="31">
        <v>0</v>
      </c>
      <c r="W139" s="31">
        <v>0</v>
      </c>
      <c r="X139" s="31">
        <v>680713.77828387206</v>
      </c>
      <c r="Y139" s="31">
        <v>283188.21999999997</v>
      </c>
      <c r="Z139" s="31">
        <v>0</v>
      </c>
      <c r="AA139" s="31">
        <f t="shared" si="13"/>
        <v>5858966.0820366014</v>
      </c>
      <c r="AB139" s="31">
        <v>129027.72</v>
      </c>
      <c r="AD139" s="42" t="s">
        <v>553</v>
      </c>
      <c r="AE139" s="42" t="s">
        <v>554</v>
      </c>
      <c r="AF139" s="43" t="s">
        <v>1275</v>
      </c>
      <c r="AG139" s="44">
        <v>32</v>
      </c>
      <c r="AH139" s="31">
        <v>4590041.1539506484</v>
      </c>
      <c r="AI139" s="31">
        <v>268048.95000000007</v>
      </c>
      <c r="AJ139" s="31">
        <v>0</v>
      </c>
      <c r="AK139" s="31">
        <v>0</v>
      </c>
      <c r="AL139" s="31">
        <v>693375.78821247048</v>
      </c>
      <c r="AM139" s="31">
        <v>283188.21999999997</v>
      </c>
      <c r="AN139" s="31">
        <v>0</v>
      </c>
      <c r="AO139" s="31">
        <f t="shared" si="14"/>
        <v>5965976.822163119</v>
      </c>
      <c r="AP139" s="31">
        <v>131322.71</v>
      </c>
      <c r="AR139" s="42" t="s">
        <v>553</v>
      </c>
      <c r="AS139" s="42" t="s">
        <v>554</v>
      </c>
      <c r="AT139" s="43" t="s">
        <v>1276</v>
      </c>
      <c r="AU139" s="44">
        <v>32</v>
      </c>
      <c r="AV139" s="31">
        <v>4674880.1834941451</v>
      </c>
      <c r="AW139" s="31">
        <v>272960.73</v>
      </c>
      <c r="AX139" s="31">
        <v>0</v>
      </c>
      <c r="AY139" s="31">
        <v>0</v>
      </c>
      <c r="AZ139" s="31">
        <v>706244.4148460076</v>
      </c>
      <c r="BA139" s="31">
        <v>283188.21999999997</v>
      </c>
      <c r="BB139" s="31">
        <v>0</v>
      </c>
      <c r="BC139" s="31">
        <f t="shared" si="15"/>
        <v>6071054.1983401533</v>
      </c>
      <c r="BD139" s="31">
        <v>133780.65</v>
      </c>
    </row>
    <row r="140" spans="2:56">
      <c r="B140" s="42" t="s">
        <v>269</v>
      </c>
      <c r="C140" s="42" t="s">
        <v>270</v>
      </c>
      <c r="D140" s="43" t="s">
        <v>1049</v>
      </c>
      <c r="E140" s="44">
        <v>32</v>
      </c>
      <c r="F140" s="31">
        <v>2768530.7847080515</v>
      </c>
      <c r="G140" s="31">
        <v>118295.46999999999</v>
      </c>
      <c r="H140" s="31">
        <v>10913.58</v>
      </c>
      <c r="I140" s="31">
        <v>0</v>
      </c>
      <c r="J140" s="31">
        <v>296072.29918646178</v>
      </c>
      <c r="K140" s="31">
        <v>220770.07062199619</v>
      </c>
      <c r="L140" s="31">
        <v>0</v>
      </c>
      <c r="M140" s="31">
        <f t="shared" si="12"/>
        <v>3478017.4345165095</v>
      </c>
      <c r="N140" s="31">
        <v>63435.229999999996</v>
      </c>
      <c r="P140" s="42" t="s">
        <v>269</v>
      </c>
      <c r="Q140" s="42" t="s">
        <v>270</v>
      </c>
      <c r="R140" s="43" t="s">
        <v>1050</v>
      </c>
      <c r="S140" s="44">
        <v>32</v>
      </c>
      <c r="T140" s="31">
        <v>2891744.4470659411</v>
      </c>
      <c r="U140" s="31">
        <v>123714.62999999998</v>
      </c>
      <c r="V140" s="31">
        <v>11332.68</v>
      </c>
      <c r="W140" s="31">
        <v>0</v>
      </c>
      <c r="X140" s="31">
        <v>306103.43403655378</v>
      </c>
      <c r="Y140" s="31">
        <v>221007.9347968846</v>
      </c>
      <c r="Z140" s="31">
        <v>0</v>
      </c>
      <c r="AA140" s="31">
        <f t="shared" si="13"/>
        <v>3618897.8258993798</v>
      </c>
      <c r="AB140" s="31">
        <v>64994.700000000004</v>
      </c>
      <c r="AD140" s="42" t="s">
        <v>269</v>
      </c>
      <c r="AE140" s="42" t="s">
        <v>270</v>
      </c>
      <c r="AF140" s="43" t="s">
        <v>1275</v>
      </c>
      <c r="AG140" s="44">
        <v>32</v>
      </c>
      <c r="AH140" s="31">
        <v>2947102.4555314491</v>
      </c>
      <c r="AI140" s="31">
        <v>126260.93000000001</v>
      </c>
      <c r="AJ140" s="31">
        <v>11554.370000000003</v>
      </c>
      <c r="AK140" s="31">
        <v>0</v>
      </c>
      <c r="AL140" s="31">
        <v>311772.94599815452</v>
      </c>
      <c r="AM140" s="31">
        <v>220927.12539962729</v>
      </c>
      <c r="AN140" s="31">
        <v>0</v>
      </c>
      <c r="AO140" s="31">
        <f t="shared" si="14"/>
        <v>3683757.626929231</v>
      </c>
      <c r="AP140" s="31">
        <v>66139.8</v>
      </c>
      <c r="AR140" s="42" t="s">
        <v>269</v>
      </c>
      <c r="AS140" s="42" t="s">
        <v>270</v>
      </c>
      <c r="AT140" s="43" t="s">
        <v>1276</v>
      </c>
      <c r="AU140" s="44">
        <v>32</v>
      </c>
      <c r="AV140" s="31">
        <v>3000925.6013947143</v>
      </c>
      <c r="AW140" s="31">
        <v>128547.94999999998</v>
      </c>
      <c r="AX140" s="31">
        <v>11765.350000000002</v>
      </c>
      <c r="AY140" s="31">
        <v>0</v>
      </c>
      <c r="AZ140" s="31">
        <v>317513.47983350139</v>
      </c>
      <c r="BA140" s="31">
        <v>220939.98503106966</v>
      </c>
      <c r="BB140" s="31">
        <v>0</v>
      </c>
      <c r="BC140" s="31">
        <f t="shared" si="15"/>
        <v>3747058.5562592857</v>
      </c>
      <c r="BD140" s="31">
        <v>67366.19</v>
      </c>
    </row>
    <row r="141" spans="2:56">
      <c r="B141" s="42" t="s">
        <v>545</v>
      </c>
      <c r="C141" s="42" t="s">
        <v>546</v>
      </c>
      <c r="D141" s="43" t="s">
        <v>1049</v>
      </c>
      <c r="E141" s="44">
        <v>32</v>
      </c>
      <c r="F141" s="31">
        <v>27893583.295769729</v>
      </c>
      <c r="G141" s="31">
        <v>703951.61</v>
      </c>
      <c r="H141" s="31">
        <v>576417.44000000006</v>
      </c>
      <c r="I141" s="31">
        <v>98087.400000000009</v>
      </c>
      <c r="J141" s="31">
        <v>4611648.0675613014</v>
      </c>
      <c r="K141" s="31">
        <v>1461286.0941467665</v>
      </c>
      <c r="L141" s="31">
        <v>2163675.3952683927</v>
      </c>
      <c r="M141" s="31">
        <f t="shared" si="12"/>
        <v>37508649.302746192</v>
      </c>
      <c r="N141" s="31">
        <v>0</v>
      </c>
      <c r="P141" s="42" t="s">
        <v>545</v>
      </c>
      <c r="Q141" s="42" t="s">
        <v>546</v>
      </c>
      <c r="R141" s="43" t="s">
        <v>1050</v>
      </c>
      <c r="S141" s="44">
        <v>32</v>
      </c>
      <c r="T141" s="31">
        <v>28950713.450326636</v>
      </c>
      <c r="U141" s="31">
        <v>730610.91</v>
      </c>
      <c r="V141" s="31">
        <v>598246.91999999993</v>
      </c>
      <c r="W141" s="31">
        <v>101802.07</v>
      </c>
      <c r="X141" s="31">
        <v>4766756.5666539306</v>
      </c>
      <c r="Y141" s="31">
        <v>1462563.7791765621</v>
      </c>
      <c r="Z141" s="31">
        <v>2240077.9026760007</v>
      </c>
      <c r="AA141" s="31">
        <f t="shared" si="13"/>
        <v>38850771.598833129</v>
      </c>
      <c r="AB141" s="31">
        <v>0</v>
      </c>
      <c r="AD141" s="42" t="s">
        <v>545</v>
      </c>
      <c r="AE141" s="42" t="s">
        <v>546</v>
      </c>
      <c r="AF141" s="43" t="s">
        <v>1275</v>
      </c>
      <c r="AG141" s="44">
        <v>32</v>
      </c>
      <c r="AH141" s="31">
        <v>29505075.946001507</v>
      </c>
      <c r="AI141" s="31">
        <v>744915</v>
      </c>
      <c r="AJ141" s="31">
        <v>609959.55000000005</v>
      </c>
      <c r="AK141" s="31">
        <v>103795.19</v>
      </c>
      <c r="AL141" s="31">
        <v>4855318.0723463017</v>
      </c>
      <c r="AM141" s="31">
        <v>1462112.7912472314</v>
      </c>
      <c r="AN141" s="31">
        <v>2283272.4390571713</v>
      </c>
      <c r="AO141" s="31">
        <f t="shared" si="14"/>
        <v>39564448.988652214</v>
      </c>
      <c r="AP141" s="31">
        <v>0</v>
      </c>
      <c r="AR141" s="42" t="s">
        <v>545</v>
      </c>
      <c r="AS141" s="42" t="s">
        <v>546</v>
      </c>
      <c r="AT141" s="43" t="s">
        <v>1276</v>
      </c>
      <c r="AU141" s="44">
        <v>32</v>
      </c>
      <c r="AV141" s="31">
        <v>30050643.734760467</v>
      </c>
      <c r="AW141" s="31">
        <v>758615.73999999987</v>
      </c>
      <c r="AX141" s="31">
        <v>621178.14</v>
      </c>
      <c r="AY141" s="31">
        <v>105704.23000000001</v>
      </c>
      <c r="AZ141" s="31">
        <v>4945230.6942106932</v>
      </c>
      <c r="BA141" s="31">
        <v>1462183.6840797167</v>
      </c>
      <c r="BB141" s="31">
        <v>2325592.0346762454</v>
      </c>
      <c r="BC141" s="31">
        <f t="shared" si="15"/>
        <v>40269148.257727116</v>
      </c>
      <c r="BD141" s="31">
        <v>0</v>
      </c>
    </row>
    <row r="142" spans="2:56">
      <c r="B142" s="42" t="s">
        <v>591</v>
      </c>
      <c r="C142" s="42" t="s">
        <v>592</v>
      </c>
      <c r="D142" s="43" t="s">
        <v>1049</v>
      </c>
      <c r="E142" s="44">
        <v>32</v>
      </c>
      <c r="F142" s="31">
        <v>6518204.9000127595</v>
      </c>
      <c r="G142" s="31">
        <v>499101.69</v>
      </c>
      <c r="H142" s="31">
        <v>528139.6</v>
      </c>
      <c r="I142" s="31">
        <v>22704.16</v>
      </c>
      <c r="J142" s="31">
        <v>748142.82838201756</v>
      </c>
      <c r="K142" s="31">
        <v>234595.68018167873</v>
      </c>
      <c r="L142" s="31">
        <v>687180.04785877222</v>
      </c>
      <c r="M142" s="31">
        <f t="shared" si="12"/>
        <v>9471054.4664352294</v>
      </c>
      <c r="N142" s="31">
        <v>232985.56</v>
      </c>
      <c r="P142" s="42" t="s">
        <v>591</v>
      </c>
      <c r="Q142" s="42" t="s">
        <v>592</v>
      </c>
      <c r="R142" s="43" t="s">
        <v>1050</v>
      </c>
      <c r="S142" s="44">
        <v>32</v>
      </c>
      <c r="T142" s="31">
        <v>6842310.465475563</v>
      </c>
      <c r="U142" s="31">
        <v>521486.91999999987</v>
      </c>
      <c r="V142" s="31">
        <v>548420.68999999994</v>
      </c>
      <c r="W142" s="31">
        <v>23576.01</v>
      </c>
      <c r="X142" s="31">
        <v>773489.99064737209</v>
      </c>
      <c r="Y142" s="31">
        <v>234805.53556086568</v>
      </c>
      <c r="Z142" s="31">
        <v>718518.82543233002</v>
      </c>
      <c r="AA142" s="31">
        <f t="shared" si="13"/>
        <v>9901321.6471161302</v>
      </c>
      <c r="AB142" s="31">
        <v>238713.21000000002</v>
      </c>
      <c r="AD142" s="42" t="s">
        <v>591</v>
      </c>
      <c r="AE142" s="42" t="s">
        <v>592</v>
      </c>
      <c r="AF142" s="43" t="s">
        <v>1275</v>
      </c>
      <c r="AG142" s="44">
        <v>32</v>
      </c>
      <c r="AH142" s="31">
        <v>6973882.4989674166</v>
      </c>
      <c r="AI142" s="31">
        <v>532151.69000000018</v>
      </c>
      <c r="AJ142" s="31">
        <v>559148.51000000013</v>
      </c>
      <c r="AK142" s="31">
        <v>24037.189999999995</v>
      </c>
      <c r="AL142" s="31">
        <v>787816.03035499563</v>
      </c>
      <c r="AM142" s="31">
        <v>234734.24156835402</v>
      </c>
      <c r="AN142" s="31">
        <v>732358.73655539192</v>
      </c>
      <c r="AO142" s="31">
        <f t="shared" si="14"/>
        <v>10087047.817446159</v>
      </c>
      <c r="AP142" s="31">
        <v>242918.91999999998</v>
      </c>
      <c r="AR142" s="42" t="s">
        <v>591</v>
      </c>
      <c r="AS142" s="42" t="s">
        <v>592</v>
      </c>
      <c r="AT142" s="43" t="s">
        <v>1276</v>
      </c>
      <c r="AU142" s="44">
        <v>32</v>
      </c>
      <c r="AV142" s="31">
        <v>7102071.1026025238</v>
      </c>
      <c r="AW142" s="31">
        <v>541800.85999999987</v>
      </c>
      <c r="AX142" s="31">
        <v>569359.08000000007</v>
      </c>
      <c r="AY142" s="31">
        <v>24476.129999999997</v>
      </c>
      <c r="AZ142" s="31">
        <v>802321.36918466643</v>
      </c>
      <c r="BA142" s="31">
        <v>234745.586962564</v>
      </c>
      <c r="BB142" s="31">
        <v>745860.09980471095</v>
      </c>
      <c r="BC142" s="31">
        <f t="shared" si="15"/>
        <v>10268057.488554465</v>
      </c>
      <c r="BD142" s="31">
        <v>247423.26</v>
      </c>
    </row>
    <row r="143" spans="2:56">
      <c r="B143" s="42" t="s">
        <v>97</v>
      </c>
      <c r="C143" s="42" t="s">
        <v>98</v>
      </c>
      <c r="D143" s="43" t="s">
        <v>1049</v>
      </c>
      <c r="E143" s="44">
        <v>32</v>
      </c>
      <c r="F143" s="31">
        <v>1924016.1315290071</v>
      </c>
      <c r="G143" s="31">
        <v>41900.359999999993</v>
      </c>
      <c r="H143" s="31">
        <v>8477.5300000000007</v>
      </c>
      <c r="I143" s="31">
        <v>0</v>
      </c>
      <c r="J143" s="31">
        <v>85276.131561814007</v>
      </c>
      <c r="K143" s="31">
        <v>110838.53747934004</v>
      </c>
      <c r="L143" s="31">
        <v>27584.049888141919</v>
      </c>
      <c r="M143" s="31">
        <f t="shared" si="12"/>
        <v>2224694.620458303</v>
      </c>
      <c r="N143" s="31">
        <v>26601.879999999997</v>
      </c>
      <c r="P143" s="42" t="s">
        <v>97</v>
      </c>
      <c r="Q143" s="42" t="s">
        <v>98</v>
      </c>
      <c r="R143" s="43" t="s">
        <v>1050</v>
      </c>
      <c r="S143" s="44">
        <v>32</v>
      </c>
      <c r="T143" s="31">
        <v>2003113.8074371736</v>
      </c>
      <c r="U143" s="31">
        <v>43876.960000000006</v>
      </c>
      <c r="V143" s="31">
        <v>8803.06</v>
      </c>
      <c r="W143" s="31">
        <v>0</v>
      </c>
      <c r="X143" s="31">
        <v>88165.700407938013</v>
      </c>
      <c r="Y143" s="31">
        <v>110938.76701956966</v>
      </c>
      <c r="Z143" s="31">
        <v>28870.667554082989</v>
      </c>
      <c r="AA143" s="31">
        <f t="shared" si="13"/>
        <v>2311024.8024187642</v>
      </c>
      <c r="AB143" s="31">
        <v>27255.84</v>
      </c>
      <c r="AD143" s="42" t="s">
        <v>97</v>
      </c>
      <c r="AE143" s="42" t="s">
        <v>98</v>
      </c>
      <c r="AF143" s="43" t="s">
        <v>1275</v>
      </c>
      <c r="AG143" s="44">
        <v>32</v>
      </c>
      <c r="AH143" s="31">
        <v>2041412.350458897</v>
      </c>
      <c r="AI143" s="31">
        <v>44788.200000000004</v>
      </c>
      <c r="AJ143" s="31">
        <v>8975.2799999999988</v>
      </c>
      <c r="AK143" s="31">
        <v>0</v>
      </c>
      <c r="AL143" s="31">
        <v>89798.706465868512</v>
      </c>
      <c r="AM143" s="31">
        <v>110904.71612166909</v>
      </c>
      <c r="AN143" s="31">
        <v>29426.828805979851</v>
      </c>
      <c r="AO143" s="31">
        <f t="shared" si="14"/>
        <v>2353042.1218524142</v>
      </c>
      <c r="AP143" s="31">
        <v>27736.04</v>
      </c>
      <c r="AR143" s="42" t="s">
        <v>97</v>
      </c>
      <c r="AS143" s="42" t="s">
        <v>98</v>
      </c>
      <c r="AT143" s="43" t="s">
        <v>1276</v>
      </c>
      <c r="AU143" s="44">
        <v>32</v>
      </c>
      <c r="AV143" s="31">
        <v>2078489.3213426624</v>
      </c>
      <c r="AW143" s="31">
        <v>45598.250000000007</v>
      </c>
      <c r="AX143" s="31">
        <v>9139.17</v>
      </c>
      <c r="AY143" s="31">
        <v>0</v>
      </c>
      <c r="AZ143" s="31">
        <v>91452.202658635739</v>
      </c>
      <c r="BA143" s="31">
        <v>110910.1348231091</v>
      </c>
      <c r="BB143" s="31">
        <v>29969.335777681379</v>
      </c>
      <c r="BC143" s="31">
        <f t="shared" si="15"/>
        <v>2393808.7646020884</v>
      </c>
      <c r="BD143" s="31">
        <v>28250.35</v>
      </c>
    </row>
    <row r="144" spans="2:56">
      <c r="B144" s="42" t="s">
        <v>29</v>
      </c>
      <c r="C144" s="42" t="s">
        <v>30</v>
      </c>
      <c r="D144" s="43" t="s">
        <v>1049</v>
      </c>
      <c r="E144" s="44">
        <v>32</v>
      </c>
      <c r="F144" s="31">
        <v>5290727.7441556994</v>
      </c>
      <c r="G144" s="31">
        <v>262997.94</v>
      </c>
      <c r="H144" s="31">
        <v>334228.56999999995</v>
      </c>
      <c r="I144" s="31">
        <v>16760.150000000001</v>
      </c>
      <c r="J144" s="31">
        <v>664895.35109236941</v>
      </c>
      <c r="K144" s="31">
        <v>369590.65309190226</v>
      </c>
      <c r="L144" s="31">
        <v>150719.43956585517</v>
      </c>
      <c r="M144" s="31">
        <f t="shared" si="12"/>
        <v>7263173.0279058265</v>
      </c>
      <c r="N144" s="31">
        <v>173253.18</v>
      </c>
      <c r="P144" s="42" t="s">
        <v>29</v>
      </c>
      <c r="Q144" s="42" t="s">
        <v>30</v>
      </c>
      <c r="R144" s="43" t="s">
        <v>1050</v>
      </c>
      <c r="S144" s="44">
        <v>32</v>
      </c>
      <c r="T144" s="31">
        <v>5545560.8511531651</v>
      </c>
      <c r="U144" s="31">
        <v>275491.23999999993</v>
      </c>
      <c r="V144" s="31">
        <v>347063.27999999997</v>
      </c>
      <c r="W144" s="31">
        <v>17403.749999999996</v>
      </c>
      <c r="X144" s="31">
        <v>687431.09895394125</v>
      </c>
      <c r="Y144" s="31">
        <v>369821.50185617513</v>
      </c>
      <c r="Z144" s="31">
        <v>157506.31414407998</v>
      </c>
      <c r="AA144" s="31">
        <f t="shared" si="13"/>
        <v>7577790.4061073614</v>
      </c>
      <c r="AB144" s="31">
        <v>177512.37</v>
      </c>
      <c r="AD144" s="42" t="s">
        <v>29</v>
      </c>
      <c r="AE144" s="42" t="s">
        <v>30</v>
      </c>
      <c r="AF144" s="43" t="s">
        <v>1275</v>
      </c>
      <c r="AG144" s="44">
        <v>32</v>
      </c>
      <c r="AH144" s="31">
        <v>5652199.1192189287</v>
      </c>
      <c r="AI144" s="31">
        <v>281225.08999999997</v>
      </c>
      <c r="AJ144" s="31">
        <v>353852.28000000009</v>
      </c>
      <c r="AK144" s="31">
        <v>17744.2</v>
      </c>
      <c r="AL144" s="31">
        <v>700164.28271118028</v>
      </c>
      <c r="AM144" s="31">
        <v>369743.07579850074</v>
      </c>
      <c r="AN144" s="31">
        <v>160540.2156054136</v>
      </c>
      <c r="AO144" s="31">
        <f t="shared" si="14"/>
        <v>7716108.1033340227</v>
      </c>
      <c r="AP144" s="31">
        <v>180639.84000000003</v>
      </c>
      <c r="AR144" s="42" t="s">
        <v>29</v>
      </c>
      <c r="AS144" s="42" t="s">
        <v>30</v>
      </c>
      <c r="AT144" s="43" t="s">
        <v>1276</v>
      </c>
      <c r="AU144" s="44">
        <v>32</v>
      </c>
      <c r="AV144" s="31">
        <v>5756010.1183826197</v>
      </c>
      <c r="AW144" s="31">
        <v>286309.65999999992</v>
      </c>
      <c r="AX144" s="31">
        <v>360313.95</v>
      </c>
      <c r="AY144" s="31">
        <v>18068.22</v>
      </c>
      <c r="AZ144" s="31">
        <v>713057.7076606832</v>
      </c>
      <c r="BA144" s="31">
        <v>369755.55615637248</v>
      </c>
      <c r="BB144" s="31">
        <v>163499.92326710187</v>
      </c>
      <c r="BC144" s="31">
        <f t="shared" si="15"/>
        <v>7851004.4854667773</v>
      </c>
      <c r="BD144" s="31">
        <v>183989.35</v>
      </c>
    </row>
    <row r="145" spans="2:56">
      <c r="B145" s="42" t="s">
        <v>319</v>
      </c>
      <c r="C145" s="42" t="s">
        <v>320</v>
      </c>
      <c r="D145" s="43" t="s">
        <v>1049</v>
      </c>
      <c r="E145" s="44">
        <v>32</v>
      </c>
      <c r="F145" s="31">
        <v>13435511.986247918</v>
      </c>
      <c r="G145" s="31">
        <v>185530.97000000003</v>
      </c>
      <c r="H145" s="31">
        <v>0</v>
      </c>
      <c r="I145" s="31">
        <v>40438.74</v>
      </c>
      <c r="J145" s="31">
        <v>1628522.2810486942</v>
      </c>
      <c r="K145" s="31">
        <v>262334.62199512165</v>
      </c>
      <c r="L145" s="31">
        <v>208617.84733025986</v>
      </c>
      <c r="M145" s="31">
        <f t="shared" si="12"/>
        <v>15809580.366621993</v>
      </c>
      <c r="N145" s="31">
        <v>48623.92</v>
      </c>
      <c r="P145" s="42" t="s">
        <v>319</v>
      </c>
      <c r="Q145" s="42" t="s">
        <v>320</v>
      </c>
      <c r="R145" s="43" t="s">
        <v>1050</v>
      </c>
      <c r="S145" s="44">
        <v>32</v>
      </c>
      <c r="T145" s="31">
        <v>13927054.737997565</v>
      </c>
      <c r="U145" s="31">
        <v>193327.39</v>
      </c>
      <c r="V145" s="31">
        <v>0</v>
      </c>
      <c r="W145" s="31">
        <v>41991.619999999995</v>
      </c>
      <c r="X145" s="31">
        <v>1683833.7475403491</v>
      </c>
      <c r="Y145" s="31">
        <v>262529.31034090981</v>
      </c>
      <c r="Z145" s="31">
        <v>216051.12955044309</v>
      </c>
      <c r="AA145" s="31">
        <f t="shared" si="13"/>
        <v>16374607.215429267</v>
      </c>
      <c r="AB145" s="31">
        <v>49819.28</v>
      </c>
      <c r="AD145" s="42" t="s">
        <v>319</v>
      </c>
      <c r="AE145" s="42" t="s">
        <v>320</v>
      </c>
      <c r="AF145" s="43" t="s">
        <v>1275</v>
      </c>
      <c r="AG145" s="44">
        <v>32</v>
      </c>
      <c r="AH145" s="31">
        <v>14186811.148710493</v>
      </c>
      <c r="AI145" s="31">
        <v>197205.93000000005</v>
      </c>
      <c r="AJ145" s="31">
        <v>0</v>
      </c>
      <c r="AK145" s="31">
        <v>42813.04</v>
      </c>
      <c r="AL145" s="31">
        <v>1715066.1684745536</v>
      </c>
      <c r="AM145" s="31">
        <v>262463.16903197358</v>
      </c>
      <c r="AN145" s="31">
        <v>220212.28238955594</v>
      </c>
      <c r="AO145" s="31">
        <f t="shared" si="14"/>
        <v>16675268.748606574</v>
      </c>
      <c r="AP145" s="31">
        <v>50697.009999999995</v>
      </c>
      <c r="AR145" s="42" t="s">
        <v>319</v>
      </c>
      <c r="AS145" s="42" t="s">
        <v>320</v>
      </c>
      <c r="AT145" s="43" t="s">
        <v>1276</v>
      </c>
      <c r="AU145" s="44">
        <v>32</v>
      </c>
      <c r="AV145" s="31">
        <v>14448811.815095872</v>
      </c>
      <c r="AW145" s="31">
        <v>200792.82</v>
      </c>
      <c r="AX145" s="31">
        <v>0</v>
      </c>
      <c r="AY145" s="31">
        <v>43594.85</v>
      </c>
      <c r="AZ145" s="31">
        <v>1746726.7558619524</v>
      </c>
      <c r="BA145" s="31">
        <v>262473.69445209682</v>
      </c>
      <c r="BB145" s="31">
        <v>224272.63624592579</v>
      </c>
      <c r="BC145" s="31">
        <f t="shared" si="15"/>
        <v>16978309.631655846</v>
      </c>
      <c r="BD145" s="31">
        <v>51637.060000000005</v>
      </c>
    </row>
    <row r="146" spans="2:56">
      <c r="B146" s="42" t="s">
        <v>501</v>
      </c>
      <c r="C146" s="42" t="s">
        <v>502</v>
      </c>
      <c r="D146" s="43" t="s">
        <v>1049</v>
      </c>
      <c r="E146" s="44">
        <v>32</v>
      </c>
      <c r="F146" s="31">
        <v>4030237.862977915</v>
      </c>
      <c r="G146" s="31">
        <v>220025.68999999997</v>
      </c>
      <c r="H146" s="31">
        <v>0</v>
      </c>
      <c r="I146" s="31">
        <v>12667.55</v>
      </c>
      <c r="J146" s="31">
        <v>550302.51504864742</v>
      </c>
      <c r="K146" s="31">
        <v>409230.28837248968</v>
      </c>
      <c r="L146" s="31">
        <v>349331.61278077186</v>
      </c>
      <c r="M146" s="31">
        <f t="shared" si="12"/>
        <v>5700419.9191798242</v>
      </c>
      <c r="N146" s="31">
        <v>128624.4</v>
      </c>
      <c r="P146" s="42" t="s">
        <v>501</v>
      </c>
      <c r="Q146" s="42" t="s">
        <v>502</v>
      </c>
      <c r="R146" s="43" t="s">
        <v>1050</v>
      </c>
      <c r="S146" s="44">
        <v>32</v>
      </c>
      <c r="T146" s="31">
        <v>4218909.3073475137</v>
      </c>
      <c r="U146" s="31">
        <v>230252.15000000002</v>
      </c>
      <c r="V146" s="31">
        <v>0</v>
      </c>
      <c r="W146" s="31">
        <v>13154.009999999998</v>
      </c>
      <c r="X146" s="31">
        <v>568950.18900720263</v>
      </c>
      <c r="Y146" s="31">
        <v>409640.92677395337</v>
      </c>
      <c r="Z146" s="31">
        <v>365196.54082560737</v>
      </c>
      <c r="AA146" s="31">
        <f t="shared" si="13"/>
        <v>5937889.5839542765</v>
      </c>
      <c r="AB146" s="31">
        <v>131786.46000000002</v>
      </c>
      <c r="AD146" s="42" t="s">
        <v>501</v>
      </c>
      <c r="AE146" s="42" t="s">
        <v>502</v>
      </c>
      <c r="AF146" s="43" t="s">
        <v>1275</v>
      </c>
      <c r="AG146" s="44">
        <v>32</v>
      </c>
      <c r="AH146" s="31">
        <v>4299717.8372780317</v>
      </c>
      <c r="AI146" s="31">
        <v>235012.22000000003</v>
      </c>
      <c r="AJ146" s="31">
        <v>0</v>
      </c>
      <c r="AK146" s="31">
        <v>13411.31</v>
      </c>
      <c r="AL146" s="31">
        <v>579490.05551298801</v>
      </c>
      <c r="AM146" s="31">
        <v>409501.42093315773</v>
      </c>
      <c r="AN146" s="31">
        <v>372230.93399783876</v>
      </c>
      <c r="AO146" s="31">
        <f t="shared" si="14"/>
        <v>6043472.0977220163</v>
      </c>
      <c r="AP146" s="31">
        <v>134108.32</v>
      </c>
      <c r="AR146" s="42" t="s">
        <v>501</v>
      </c>
      <c r="AS146" s="42" t="s">
        <v>502</v>
      </c>
      <c r="AT146" s="43" t="s">
        <v>1276</v>
      </c>
      <c r="AU146" s="44">
        <v>32</v>
      </c>
      <c r="AV146" s="31">
        <v>4378646.9672547579</v>
      </c>
      <c r="AW146" s="31">
        <v>239266</v>
      </c>
      <c r="AX146" s="31">
        <v>0</v>
      </c>
      <c r="AY146" s="31">
        <v>13656.22</v>
      </c>
      <c r="AZ146" s="31">
        <v>590163.60198415047</v>
      </c>
      <c r="BA146" s="31">
        <v>409523.62124348775</v>
      </c>
      <c r="BB146" s="31">
        <v>379093.23605845845</v>
      </c>
      <c r="BC146" s="31">
        <f t="shared" si="15"/>
        <v>6146944.6665408555</v>
      </c>
      <c r="BD146" s="31">
        <v>136595.02000000002</v>
      </c>
    </row>
    <row r="147" spans="2:56">
      <c r="B147" s="42" t="s">
        <v>433</v>
      </c>
      <c r="C147" s="42" t="s">
        <v>434</v>
      </c>
      <c r="D147" s="43" t="s">
        <v>1049</v>
      </c>
      <c r="E147" s="44">
        <v>32</v>
      </c>
      <c r="F147" s="31">
        <v>88195790.149863452</v>
      </c>
      <c r="G147" s="31">
        <v>3570537.05</v>
      </c>
      <c r="H147" s="31">
        <v>1850265.23</v>
      </c>
      <c r="I147" s="31">
        <v>317699.84999999998</v>
      </c>
      <c r="J147" s="31">
        <v>14588795.008414406</v>
      </c>
      <c r="K147" s="31">
        <v>7780243.1230761921</v>
      </c>
      <c r="L147" s="31">
        <v>7790228.292259885</v>
      </c>
      <c r="M147" s="31">
        <f t="shared" si="12"/>
        <v>126175009.74361393</v>
      </c>
      <c r="N147" s="31">
        <v>2081451.04</v>
      </c>
      <c r="P147" s="42" t="s">
        <v>433</v>
      </c>
      <c r="Q147" s="42" t="s">
        <v>434</v>
      </c>
      <c r="R147" s="43" t="s">
        <v>1050</v>
      </c>
      <c r="S147" s="44">
        <v>32</v>
      </c>
      <c r="T147" s="31">
        <v>91893152.259555712</v>
      </c>
      <c r="U147" s="31">
        <v>3699815.8800000008</v>
      </c>
      <c r="V147" s="31">
        <v>1904198.25</v>
      </c>
      <c r="W147" s="31">
        <v>326960.42</v>
      </c>
      <c r="X147" s="31">
        <v>14976669.180321764</v>
      </c>
      <c r="Y147" s="31">
        <v>7786882.4431040091</v>
      </c>
      <c r="Z147" s="31">
        <v>8089360.094451596</v>
      </c>
      <c r="AA147" s="31">
        <f t="shared" si="13"/>
        <v>130793959.50743309</v>
      </c>
      <c r="AB147" s="31">
        <v>2116920.9799999995</v>
      </c>
      <c r="AD147" s="42" t="s">
        <v>433</v>
      </c>
      <c r="AE147" s="42" t="s">
        <v>434</v>
      </c>
      <c r="AF147" s="43" t="s">
        <v>1275</v>
      </c>
      <c r="AG147" s="44">
        <v>32</v>
      </c>
      <c r="AH147" s="31">
        <v>93662763.224921063</v>
      </c>
      <c r="AI147" s="31">
        <v>3775965.08</v>
      </c>
      <c r="AJ147" s="31">
        <v>1941521.99</v>
      </c>
      <c r="AK147" s="31">
        <v>333369.10000000003</v>
      </c>
      <c r="AL147" s="31">
        <v>15255973.870016932</v>
      </c>
      <c r="AM147" s="31">
        <v>7784408.0405745311</v>
      </c>
      <c r="AN147" s="31">
        <v>8245616.315244983</v>
      </c>
      <c r="AO147" s="31">
        <f t="shared" si="14"/>
        <v>133154401.8907575</v>
      </c>
      <c r="AP147" s="31">
        <v>2154784.2699999996</v>
      </c>
      <c r="AR147" s="42" t="s">
        <v>433</v>
      </c>
      <c r="AS147" s="42" t="s">
        <v>434</v>
      </c>
      <c r="AT147" s="43" t="s">
        <v>1276</v>
      </c>
      <c r="AU147" s="44">
        <v>32</v>
      </c>
      <c r="AV147" s="31">
        <v>95406252.173394784</v>
      </c>
      <c r="AW147" s="31">
        <v>3845527.6000000006</v>
      </c>
      <c r="AX147" s="31">
        <v>1977569.53</v>
      </c>
      <c r="AY147" s="31">
        <v>339558.64</v>
      </c>
      <c r="AZ147" s="31">
        <v>15540474.495493546</v>
      </c>
      <c r="BA147" s="31">
        <v>7784790.7429968109</v>
      </c>
      <c r="BB147" s="31">
        <v>8399519.7528312206</v>
      </c>
      <c r="BC147" s="31">
        <f t="shared" si="15"/>
        <v>135489028.78471637</v>
      </c>
      <c r="BD147" s="31">
        <v>2195335.8499999996</v>
      </c>
    </row>
    <row r="148" spans="2:56">
      <c r="B148" s="42" t="s">
        <v>147</v>
      </c>
      <c r="C148" s="42" t="s">
        <v>148</v>
      </c>
      <c r="D148" s="43" t="s">
        <v>1049</v>
      </c>
      <c r="E148" s="44">
        <v>32</v>
      </c>
      <c r="F148" s="31">
        <v>2573126.4207651331</v>
      </c>
      <c r="G148" s="31">
        <v>110597.48999999999</v>
      </c>
      <c r="H148" s="31">
        <v>2825.85</v>
      </c>
      <c r="I148" s="31">
        <v>8185.1900000000005</v>
      </c>
      <c r="J148" s="31">
        <v>395401.78571019846</v>
      </c>
      <c r="K148" s="31">
        <v>213766.33242272781</v>
      </c>
      <c r="L148" s="31">
        <v>0</v>
      </c>
      <c r="M148" s="31">
        <f t="shared" si="12"/>
        <v>3387119.1688980591</v>
      </c>
      <c r="N148" s="31">
        <v>83216.100000000006</v>
      </c>
      <c r="P148" s="42" t="s">
        <v>147</v>
      </c>
      <c r="Q148" s="42" t="s">
        <v>148</v>
      </c>
      <c r="R148" s="43" t="s">
        <v>1050</v>
      </c>
      <c r="S148" s="44">
        <v>32</v>
      </c>
      <c r="T148" s="31">
        <v>2710971.3343876754</v>
      </c>
      <c r="U148" s="31">
        <v>115994.36999999998</v>
      </c>
      <c r="V148" s="31">
        <v>2934.36</v>
      </c>
      <c r="W148" s="31">
        <v>8499.5199999999986</v>
      </c>
      <c r="X148" s="31">
        <v>408780.33274249779</v>
      </c>
      <c r="Y148" s="31">
        <v>213993.14487618339</v>
      </c>
      <c r="Z148" s="31">
        <v>0</v>
      </c>
      <c r="AA148" s="31">
        <f t="shared" si="13"/>
        <v>3546434.9120063568</v>
      </c>
      <c r="AB148" s="31">
        <v>85261.849999999991</v>
      </c>
      <c r="AD148" s="42" t="s">
        <v>147</v>
      </c>
      <c r="AE148" s="42" t="s">
        <v>148</v>
      </c>
      <c r="AF148" s="43" t="s">
        <v>1275</v>
      </c>
      <c r="AG148" s="44">
        <v>32</v>
      </c>
      <c r="AH148" s="31">
        <v>2763131.3111426383</v>
      </c>
      <c r="AI148" s="31">
        <v>118429.02999999998</v>
      </c>
      <c r="AJ148" s="31">
        <v>2991.7700000000004</v>
      </c>
      <c r="AK148" s="31">
        <v>8665.7699999999986</v>
      </c>
      <c r="AL148" s="31">
        <v>416346.08894215513</v>
      </c>
      <c r="AM148" s="31">
        <v>213916.09007100819</v>
      </c>
      <c r="AN148" s="31">
        <v>0</v>
      </c>
      <c r="AO148" s="31">
        <f t="shared" si="14"/>
        <v>3610244.0801558015</v>
      </c>
      <c r="AP148" s="31">
        <v>86764.02</v>
      </c>
      <c r="AR148" s="42" t="s">
        <v>147</v>
      </c>
      <c r="AS148" s="42" t="s">
        <v>148</v>
      </c>
      <c r="AT148" s="43" t="s">
        <v>1276</v>
      </c>
      <c r="AU148" s="44">
        <v>32</v>
      </c>
      <c r="AV148" s="31">
        <v>2813856.2596451426</v>
      </c>
      <c r="AW148" s="31">
        <v>120567.23</v>
      </c>
      <c r="AX148" s="31">
        <v>3046.3900000000003</v>
      </c>
      <c r="AY148" s="31">
        <v>8824.01</v>
      </c>
      <c r="AZ148" s="31">
        <v>424002.1347653158</v>
      </c>
      <c r="BA148" s="31">
        <v>213928.35221413817</v>
      </c>
      <c r="BB148" s="31">
        <v>0</v>
      </c>
      <c r="BC148" s="31">
        <f t="shared" si="15"/>
        <v>3672597.2266245964</v>
      </c>
      <c r="BD148" s="31">
        <v>88372.849999999991</v>
      </c>
    </row>
    <row r="149" spans="2:56">
      <c r="B149" s="42" t="s">
        <v>461</v>
      </c>
      <c r="C149" s="42" t="s">
        <v>462</v>
      </c>
      <c r="D149" s="43" t="s">
        <v>1049</v>
      </c>
      <c r="E149" s="44">
        <v>32</v>
      </c>
      <c r="F149" s="31">
        <v>84013450.044301584</v>
      </c>
      <c r="G149" s="31">
        <v>1925840.71</v>
      </c>
      <c r="H149" s="31">
        <v>495331.4599999999</v>
      </c>
      <c r="I149" s="31">
        <v>295887.42</v>
      </c>
      <c r="J149" s="31">
        <v>12890212.239045991</v>
      </c>
      <c r="K149" s="31">
        <v>5434454.7534445794</v>
      </c>
      <c r="L149" s="31">
        <v>6649331.8178424779</v>
      </c>
      <c r="M149" s="31">
        <f t="shared" si="12"/>
        <v>111808719.72463463</v>
      </c>
      <c r="N149" s="31">
        <v>104211.28</v>
      </c>
      <c r="P149" s="42" t="s">
        <v>461</v>
      </c>
      <c r="Q149" s="42" t="s">
        <v>462</v>
      </c>
      <c r="R149" s="43" t="s">
        <v>1050</v>
      </c>
      <c r="S149" s="44">
        <v>32</v>
      </c>
      <c r="T149" s="31">
        <v>86666584.522735283</v>
      </c>
      <c r="U149" s="31">
        <v>1983621.58</v>
      </c>
      <c r="V149" s="31">
        <v>509835.14</v>
      </c>
      <c r="W149" s="31">
        <v>304551.23</v>
      </c>
      <c r="X149" s="31">
        <v>13232019.619284572</v>
      </c>
      <c r="Y149" s="31">
        <v>5440025.2811894156</v>
      </c>
      <c r="Z149" s="31">
        <v>6837533.7516146833</v>
      </c>
      <c r="AA149" s="31">
        <f t="shared" si="13"/>
        <v>115080042.94482395</v>
      </c>
      <c r="AB149" s="31">
        <v>105871.82</v>
      </c>
      <c r="AD149" s="42" t="s">
        <v>461</v>
      </c>
      <c r="AE149" s="42" t="s">
        <v>462</v>
      </c>
      <c r="AF149" s="43" t="s">
        <v>1275</v>
      </c>
      <c r="AG149" s="44">
        <v>32</v>
      </c>
      <c r="AH149" s="31">
        <v>88329599.041966036</v>
      </c>
      <c r="AI149" s="31">
        <v>2022641.3899999997</v>
      </c>
      <c r="AJ149" s="31">
        <v>519812.61</v>
      </c>
      <c r="AK149" s="31">
        <v>310511.28999999998</v>
      </c>
      <c r="AL149" s="31">
        <v>13477499.947865771</v>
      </c>
      <c r="AM149" s="31">
        <v>5438090.7156635579</v>
      </c>
      <c r="AN149" s="31">
        <v>6969302.162220343</v>
      </c>
      <c r="AO149" s="31">
        <f t="shared" si="14"/>
        <v>117175200.51771571</v>
      </c>
      <c r="AP149" s="31">
        <v>107743.35999999999</v>
      </c>
      <c r="AR149" s="42" t="s">
        <v>461</v>
      </c>
      <c r="AS149" s="42" t="s">
        <v>462</v>
      </c>
      <c r="AT149" s="43" t="s">
        <v>1276</v>
      </c>
      <c r="AU149" s="44">
        <v>32</v>
      </c>
      <c r="AV149" s="31">
        <v>89958961.575852364</v>
      </c>
      <c r="AW149" s="31">
        <v>2059683.3299999998</v>
      </c>
      <c r="AX149" s="31">
        <v>529339.89</v>
      </c>
      <c r="AY149" s="31">
        <v>316202.44</v>
      </c>
      <c r="AZ149" s="31">
        <v>13726410.187945344</v>
      </c>
      <c r="BA149" s="31">
        <v>5438396.6411630977</v>
      </c>
      <c r="BB149" s="31">
        <v>7098144.8313654028</v>
      </c>
      <c r="BC149" s="31">
        <f t="shared" si="15"/>
        <v>119236886.6763262</v>
      </c>
      <c r="BD149" s="31">
        <v>109747.77999999997</v>
      </c>
    </row>
    <row r="150" spans="2:56">
      <c r="B150" s="42" t="s">
        <v>459</v>
      </c>
      <c r="C150" s="42" t="s">
        <v>460</v>
      </c>
      <c r="D150" s="43" t="s">
        <v>1049</v>
      </c>
      <c r="E150" s="44">
        <v>32</v>
      </c>
      <c r="F150" s="31">
        <v>14281584.423680754</v>
      </c>
      <c r="G150" s="31">
        <v>418808.85999999987</v>
      </c>
      <c r="H150" s="31">
        <v>28355.84</v>
      </c>
      <c r="I150" s="31">
        <v>49208.59</v>
      </c>
      <c r="J150" s="31">
        <v>2275776.646159648</v>
      </c>
      <c r="K150" s="31">
        <v>1153661.7134751424</v>
      </c>
      <c r="L150" s="31">
        <v>1157588.6523058165</v>
      </c>
      <c r="M150" s="31">
        <f t="shared" si="12"/>
        <v>19371318.505621359</v>
      </c>
      <c r="N150" s="31">
        <v>6333.78</v>
      </c>
      <c r="P150" s="42" t="s">
        <v>459</v>
      </c>
      <c r="Q150" s="42" t="s">
        <v>460</v>
      </c>
      <c r="R150" s="43" t="s">
        <v>1050</v>
      </c>
      <c r="S150" s="44">
        <v>32</v>
      </c>
      <c r="T150" s="31">
        <v>14831551.312372182</v>
      </c>
      <c r="U150" s="31">
        <v>434979.05000000005</v>
      </c>
      <c r="V150" s="31">
        <v>29444.730000000003</v>
      </c>
      <c r="W150" s="31">
        <v>51098.250000000007</v>
      </c>
      <c r="X150" s="31">
        <v>2352827.797347974</v>
      </c>
      <c r="Y150" s="31">
        <v>1154640.4871514339</v>
      </c>
      <c r="Z150" s="31">
        <v>1198835.1970170245</v>
      </c>
      <c r="AA150" s="31">
        <f t="shared" si="13"/>
        <v>20059866.323888615</v>
      </c>
      <c r="AB150" s="31">
        <v>6489.5</v>
      </c>
      <c r="AD150" s="42" t="s">
        <v>459</v>
      </c>
      <c r="AE150" s="42" t="s">
        <v>460</v>
      </c>
      <c r="AF150" s="43" t="s">
        <v>1275</v>
      </c>
      <c r="AG150" s="44">
        <v>32</v>
      </c>
      <c r="AH150" s="31">
        <v>15116245.209321827</v>
      </c>
      <c r="AI150" s="31">
        <v>443500.41</v>
      </c>
      <c r="AJ150" s="31">
        <v>30020.720000000001</v>
      </c>
      <c r="AK150" s="31">
        <v>52097.79</v>
      </c>
      <c r="AL150" s="31">
        <v>2396403.2539631696</v>
      </c>
      <c r="AM150" s="31">
        <v>1154307.9691887375</v>
      </c>
      <c r="AN150" s="31">
        <v>1221924.3436580808</v>
      </c>
      <c r="AO150" s="31">
        <f t="shared" si="14"/>
        <v>20421103.526131816</v>
      </c>
      <c r="AP150" s="31">
        <v>6603.83</v>
      </c>
      <c r="AR150" s="42" t="s">
        <v>459</v>
      </c>
      <c r="AS150" s="42" t="s">
        <v>460</v>
      </c>
      <c r="AT150" s="43" t="s">
        <v>1276</v>
      </c>
      <c r="AU150" s="44">
        <v>32</v>
      </c>
      <c r="AV150" s="31">
        <v>15394212.023489347</v>
      </c>
      <c r="AW150" s="31">
        <v>451597.28</v>
      </c>
      <c r="AX150" s="31">
        <v>30568.920000000002</v>
      </c>
      <c r="AY150" s="31">
        <v>53049.140000000007</v>
      </c>
      <c r="AZ150" s="31">
        <v>2440522.4107741769</v>
      </c>
      <c r="BA150" s="31">
        <v>1154360.884549987</v>
      </c>
      <c r="BB150" s="31">
        <v>1244453.9232030122</v>
      </c>
      <c r="BC150" s="31">
        <f t="shared" si="15"/>
        <v>20775490.852016523</v>
      </c>
      <c r="BD150" s="31">
        <v>6726.2699999999995</v>
      </c>
    </row>
    <row r="151" spans="2:56">
      <c r="B151" s="42" t="s">
        <v>189</v>
      </c>
      <c r="C151" s="42" t="s">
        <v>190</v>
      </c>
      <c r="D151" s="43" t="s">
        <v>1049</v>
      </c>
      <c r="E151" s="44">
        <v>32</v>
      </c>
      <c r="F151" s="31">
        <v>35550269.369757548</v>
      </c>
      <c r="G151" s="31">
        <v>99369.8</v>
      </c>
      <c r="H151" s="31">
        <v>280945.52999999997</v>
      </c>
      <c r="I151" s="31">
        <v>129745.33</v>
      </c>
      <c r="J151" s="31">
        <v>4023710.8173615173</v>
      </c>
      <c r="K151" s="31">
        <v>1713918.2668713848</v>
      </c>
      <c r="L151" s="31">
        <v>3052215.7787711304</v>
      </c>
      <c r="M151" s="31">
        <f t="shared" si="12"/>
        <v>44850174.892761581</v>
      </c>
      <c r="N151" s="31">
        <v>0</v>
      </c>
      <c r="P151" s="42" t="s">
        <v>189</v>
      </c>
      <c r="Q151" s="42" t="s">
        <v>190</v>
      </c>
      <c r="R151" s="43" t="s">
        <v>1050</v>
      </c>
      <c r="S151" s="44">
        <v>32</v>
      </c>
      <c r="T151" s="31">
        <v>36879515.635958955</v>
      </c>
      <c r="U151" s="31">
        <v>103042.12000000001</v>
      </c>
      <c r="V151" s="31">
        <v>291328.17</v>
      </c>
      <c r="W151" s="31">
        <v>134540.21</v>
      </c>
      <c r="X151" s="31">
        <v>4157348.6723210765</v>
      </c>
      <c r="Y151" s="31">
        <v>1714634.5670768367</v>
      </c>
      <c r="Z151" s="31">
        <v>3158263.8394616502</v>
      </c>
      <c r="AA151" s="31">
        <f t="shared" si="13"/>
        <v>46438673.214818515</v>
      </c>
      <c r="AB151" s="31">
        <v>0</v>
      </c>
      <c r="AD151" s="42" t="s">
        <v>189</v>
      </c>
      <c r="AE151" s="42" t="s">
        <v>190</v>
      </c>
      <c r="AF151" s="43" t="s">
        <v>1275</v>
      </c>
      <c r="AG151" s="44">
        <v>32</v>
      </c>
      <c r="AH151" s="31">
        <v>37591070.947969727</v>
      </c>
      <c r="AI151" s="31">
        <v>105062.53</v>
      </c>
      <c r="AJ151" s="31">
        <v>297040.42</v>
      </c>
      <c r="AK151" s="31">
        <v>137178.22</v>
      </c>
      <c r="AL151" s="31">
        <v>4234982.6216310989</v>
      </c>
      <c r="AM151" s="31">
        <v>1714363.8592348748</v>
      </c>
      <c r="AN151" s="31">
        <v>3219293.1928144302</v>
      </c>
      <c r="AO151" s="31">
        <f t="shared" si="14"/>
        <v>47298991.791650139</v>
      </c>
      <c r="AP151" s="31">
        <v>0</v>
      </c>
      <c r="AR151" s="42" t="s">
        <v>189</v>
      </c>
      <c r="AS151" s="42" t="s">
        <v>190</v>
      </c>
      <c r="AT151" s="43" t="s">
        <v>1276</v>
      </c>
      <c r="AU151" s="44">
        <v>32</v>
      </c>
      <c r="AV151" s="31">
        <v>38292839.400468014</v>
      </c>
      <c r="AW151" s="31">
        <v>107018.73999999999</v>
      </c>
      <c r="AX151" s="31">
        <v>302571.15000000002</v>
      </c>
      <c r="AY151" s="31">
        <v>139732.4</v>
      </c>
      <c r="AZ151" s="31">
        <v>4314150.6149052829</v>
      </c>
      <c r="BA151" s="31">
        <v>1714405.5231661974</v>
      </c>
      <c r="BB151" s="31">
        <v>3279515.9475176963</v>
      </c>
      <c r="BC151" s="31">
        <f t="shared" si="15"/>
        <v>48150233.776057184</v>
      </c>
      <c r="BD151" s="31">
        <v>0</v>
      </c>
    </row>
    <row r="152" spans="2:56">
      <c r="B152" s="42" t="s">
        <v>547</v>
      </c>
      <c r="C152" s="42" t="s">
        <v>548</v>
      </c>
      <c r="D152" s="43" t="s">
        <v>1049</v>
      </c>
      <c r="E152" s="44">
        <v>32</v>
      </c>
      <c r="F152" s="31">
        <v>15099250.123553924</v>
      </c>
      <c r="G152" s="31">
        <v>431748.79</v>
      </c>
      <c r="H152" s="31">
        <v>298058.50999999995</v>
      </c>
      <c r="I152" s="31">
        <v>51403.549999999996</v>
      </c>
      <c r="J152" s="31">
        <v>1877838.7227489632</v>
      </c>
      <c r="K152" s="31">
        <v>1004557.9005241829</v>
      </c>
      <c r="L152" s="31">
        <v>571186.91942863446</v>
      </c>
      <c r="M152" s="31">
        <f t="shared" si="12"/>
        <v>19334044.516255707</v>
      </c>
      <c r="N152" s="31">
        <v>0</v>
      </c>
      <c r="P152" s="42" t="s">
        <v>547</v>
      </c>
      <c r="Q152" s="42" t="s">
        <v>548</v>
      </c>
      <c r="R152" s="43" t="s">
        <v>1050</v>
      </c>
      <c r="S152" s="44">
        <v>32</v>
      </c>
      <c r="T152" s="31">
        <v>15671670.911024421</v>
      </c>
      <c r="U152" s="31">
        <v>448099.50999999995</v>
      </c>
      <c r="V152" s="31">
        <v>309346.27</v>
      </c>
      <c r="W152" s="31">
        <v>53350.239999999998</v>
      </c>
      <c r="X152" s="31">
        <v>1941007.2534701661</v>
      </c>
      <c r="Y152" s="31">
        <v>1004898.5479307782</v>
      </c>
      <c r="Z152" s="31">
        <v>591356.62395993201</v>
      </c>
      <c r="AA152" s="31">
        <f t="shared" si="13"/>
        <v>20019729.356385298</v>
      </c>
      <c r="AB152" s="31">
        <v>0</v>
      </c>
      <c r="AD152" s="42" t="s">
        <v>547</v>
      </c>
      <c r="AE152" s="42" t="s">
        <v>548</v>
      </c>
      <c r="AF152" s="43" t="s">
        <v>1275</v>
      </c>
      <c r="AG152" s="44">
        <v>32</v>
      </c>
      <c r="AH152" s="31">
        <v>15971755.73636765</v>
      </c>
      <c r="AI152" s="31">
        <v>456872.51999999996</v>
      </c>
      <c r="AJ152" s="31">
        <v>315402.72000000003</v>
      </c>
      <c r="AK152" s="31">
        <v>54394.750000000007</v>
      </c>
      <c r="AL152" s="31">
        <v>1977070.0850246907</v>
      </c>
      <c r="AM152" s="31">
        <v>1004778.3086973602</v>
      </c>
      <c r="AN152" s="31">
        <v>602759.56007192226</v>
      </c>
      <c r="AO152" s="31">
        <f t="shared" si="14"/>
        <v>20383033.680161629</v>
      </c>
      <c r="AP152" s="31">
        <v>0</v>
      </c>
      <c r="AR152" s="42" t="s">
        <v>547</v>
      </c>
      <c r="AS152" s="42" t="s">
        <v>548</v>
      </c>
      <c r="AT152" s="43" t="s">
        <v>1276</v>
      </c>
      <c r="AU152" s="44">
        <v>32</v>
      </c>
      <c r="AV152" s="31">
        <v>16267100.421107091</v>
      </c>
      <c r="AW152" s="31">
        <v>465275.46999999991</v>
      </c>
      <c r="AX152" s="31">
        <v>321203.72000000003</v>
      </c>
      <c r="AY152" s="31">
        <v>55395.200000000004</v>
      </c>
      <c r="AZ152" s="31">
        <v>2013683.8297527777</v>
      </c>
      <c r="BA152" s="31">
        <v>1004797.2096463181</v>
      </c>
      <c r="BB152" s="31">
        <v>613931.4763702238</v>
      </c>
      <c r="BC152" s="31">
        <f t="shared" si="15"/>
        <v>20741387.326876409</v>
      </c>
      <c r="BD152" s="31">
        <v>0</v>
      </c>
    </row>
    <row r="153" spans="2:56">
      <c r="B153" s="42" t="s">
        <v>337</v>
      </c>
      <c r="C153" s="42" t="s">
        <v>338</v>
      </c>
      <c r="D153" s="43" t="s">
        <v>1049</v>
      </c>
      <c r="E153" s="44">
        <v>32</v>
      </c>
      <c r="F153" s="31">
        <v>6157014.5915527493</v>
      </c>
      <c r="G153" s="31">
        <v>175689.22999999998</v>
      </c>
      <c r="H153" s="31">
        <v>36541.030000000006</v>
      </c>
      <c r="I153" s="31">
        <v>20073.189999999999</v>
      </c>
      <c r="J153" s="31">
        <v>759823.98901455023</v>
      </c>
      <c r="K153" s="31">
        <v>625921.68649680004</v>
      </c>
      <c r="L153" s="31">
        <v>347571.48274217802</v>
      </c>
      <c r="M153" s="31">
        <f t="shared" si="12"/>
        <v>8134620.6498062788</v>
      </c>
      <c r="N153" s="31">
        <v>11985.449999999999</v>
      </c>
      <c r="P153" s="42" t="s">
        <v>337</v>
      </c>
      <c r="Q153" s="42" t="s">
        <v>338</v>
      </c>
      <c r="R153" s="43" t="s">
        <v>1050</v>
      </c>
      <c r="S153" s="44">
        <v>32</v>
      </c>
      <c r="T153" s="31">
        <v>6393629.9239376821</v>
      </c>
      <c r="U153" s="31">
        <v>182601.51</v>
      </c>
      <c r="V153" s="31">
        <v>37944.240000000005</v>
      </c>
      <c r="W153" s="31">
        <v>20844.030000000002</v>
      </c>
      <c r="X153" s="31">
        <v>785560.84243942355</v>
      </c>
      <c r="Y153" s="31">
        <v>626752.89835869835</v>
      </c>
      <c r="Z153" s="31">
        <v>359955.93229920312</v>
      </c>
      <c r="AA153" s="31">
        <f t="shared" si="13"/>
        <v>8419569.4670350067</v>
      </c>
      <c r="AB153" s="31">
        <v>12280.089999999998</v>
      </c>
      <c r="AD153" s="42" t="s">
        <v>337</v>
      </c>
      <c r="AE153" s="42" t="s">
        <v>338</v>
      </c>
      <c r="AF153" s="43" t="s">
        <v>1275</v>
      </c>
      <c r="AG153" s="44">
        <v>32</v>
      </c>
      <c r="AH153" s="31">
        <v>6516379.7738063363</v>
      </c>
      <c r="AI153" s="31">
        <v>186197.28</v>
      </c>
      <c r="AJ153" s="31">
        <v>38686.479999999996</v>
      </c>
      <c r="AK153" s="31">
        <v>21251.769999999997</v>
      </c>
      <c r="AL153" s="31">
        <v>800110.97362280288</v>
      </c>
      <c r="AM153" s="31">
        <v>626470.51144782966</v>
      </c>
      <c r="AN153" s="31">
        <v>366888.45806377038</v>
      </c>
      <c r="AO153" s="31">
        <f t="shared" si="14"/>
        <v>8568481.6969407387</v>
      </c>
      <c r="AP153" s="31">
        <v>12496.45</v>
      </c>
      <c r="AR153" s="42" t="s">
        <v>337</v>
      </c>
      <c r="AS153" s="42" t="s">
        <v>338</v>
      </c>
      <c r="AT153" s="43" t="s">
        <v>1276</v>
      </c>
      <c r="AU153" s="44">
        <v>32</v>
      </c>
      <c r="AV153" s="31">
        <v>6636113.6246824237</v>
      </c>
      <c r="AW153" s="31">
        <v>189593.91</v>
      </c>
      <c r="AX153" s="31">
        <v>39392.939999999995</v>
      </c>
      <c r="AY153" s="31">
        <v>21639.850000000002</v>
      </c>
      <c r="AZ153" s="31">
        <v>814843.62723709259</v>
      </c>
      <c r="BA153" s="31">
        <v>626515.44918677059</v>
      </c>
      <c r="BB153" s="31">
        <v>373652.94099414186</v>
      </c>
      <c r="BC153" s="31">
        <f t="shared" si="15"/>
        <v>8714480.5021004286</v>
      </c>
      <c r="BD153" s="31">
        <v>12728.16</v>
      </c>
    </row>
    <row r="154" spans="2:56">
      <c r="B154" s="42" t="s">
        <v>419</v>
      </c>
      <c r="C154" s="42" t="s">
        <v>420</v>
      </c>
      <c r="D154" s="43" t="s">
        <v>1049</v>
      </c>
      <c r="E154" s="44">
        <v>32</v>
      </c>
      <c r="F154" s="31">
        <v>1844099.5345432186</v>
      </c>
      <c r="G154" s="31">
        <v>8282.64</v>
      </c>
      <c r="H154" s="31">
        <v>0</v>
      </c>
      <c r="I154" s="31">
        <v>0</v>
      </c>
      <c r="J154" s="31">
        <v>31456.565223040318</v>
      </c>
      <c r="K154" s="31">
        <v>97432.8</v>
      </c>
      <c r="L154" s="31">
        <v>0</v>
      </c>
      <c r="M154" s="31">
        <f t="shared" si="12"/>
        <v>1991015.8097662588</v>
      </c>
      <c r="N154" s="31">
        <v>9744.27</v>
      </c>
      <c r="P154" s="42" t="s">
        <v>419</v>
      </c>
      <c r="Q154" s="42" t="s">
        <v>420</v>
      </c>
      <c r="R154" s="43" t="s">
        <v>1050</v>
      </c>
      <c r="S154" s="44">
        <v>32</v>
      </c>
      <c r="T154" s="31">
        <v>1913622.3894720527</v>
      </c>
      <c r="U154" s="31">
        <v>8735.3300000000017</v>
      </c>
      <c r="V154" s="31">
        <v>0</v>
      </c>
      <c r="W154" s="31">
        <v>0</v>
      </c>
      <c r="X154" s="31">
        <v>32520.818703036493</v>
      </c>
      <c r="Y154" s="31">
        <v>97432.8</v>
      </c>
      <c r="Z154" s="31">
        <v>0</v>
      </c>
      <c r="AA154" s="31">
        <f t="shared" si="13"/>
        <v>2062295.1581750894</v>
      </c>
      <c r="AB154" s="31">
        <v>9983.82</v>
      </c>
      <c r="AD154" s="42" t="s">
        <v>419</v>
      </c>
      <c r="AE154" s="42" t="s">
        <v>420</v>
      </c>
      <c r="AF154" s="43" t="s">
        <v>1275</v>
      </c>
      <c r="AG154" s="44">
        <v>32</v>
      </c>
      <c r="AH154" s="31">
        <v>1950108.4846186861</v>
      </c>
      <c r="AI154" s="31">
        <v>8925.6100000000024</v>
      </c>
      <c r="AJ154" s="31">
        <v>0</v>
      </c>
      <c r="AK154" s="31">
        <v>0</v>
      </c>
      <c r="AL154" s="31">
        <v>33122.888985632162</v>
      </c>
      <c r="AM154" s="31">
        <v>97432.8</v>
      </c>
      <c r="AN154" s="31">
        <v>0</v>
      </c>
      <c r="AO154" s="31">
        <f t="shared" si="14"/>
        <v>2099749.5036043185</v>
      </c>
      <c r="AP154" s="31">
        <v>10159.719999999999</v>
      </c>
      <c r="AR154" s="42" t="s">
        <v>419</v>
      </c>
      <c r="AS154" s="42" t="s">
        <v>420</v>
      </c>
      <c r="AT154" s="43" t="s">
        <v>1276</v>
      </c>
      <c r="AU154" s="44">
        <v>32</v>
      </c>
      <c r="AV154" s="31">
        <v>1985336.8827010905</v>
      </c>
      <c r="AW154" s="31">
        <v>9085.739999999998</v>
      </c>
      <c r="AX154" s="31">
        <v>0</v>
      </c>
      <c r="AY154" s="31">
        <v>0</v>
      </c>
      <c r="AZ154" s="31">
        <v>33732.283443814435</v>
      </c>
      <c r="BA154" s="31">
        <v>97432.8</v>
      </c>
      <c r="BB154" s="31">
        <v>0</v>
      </c>
      <c r="BC154" s="31">
        <f t="shared" si="15"/>
        <v>2135935.8161449046</v>
      </c>
      <c r="BD154" s="31">
        <v>10348.11</v>
      </c>
    </row>
    <row r="155" spans="2:56">
      <c r="B155" s="42" t="s">
        <v>437</v>
      </c>
      <c r="C155" s="42" t="s">
        <v>438</v>
      </c>
      <c r="D155" s="43" t="s">
        <v>1049</v>
      </c>
      <c r="E155" s="44">
        <v>32</v>
      </c>
      <c r="F155" s="31">
        <v>51326406.287598133</v>
      </c>
      <c r="G155" s="31">
        <v>1305696.58</v>
      </c>
      <c r="H155" s="31">
        <v>1196276.8800000001</v>
      </c>
      <c r="I155" s="31">
        <v>188350.95</v>
      </c>
      <c r="J155" s="31">
        <v>7266986.8934142021</v>
      </c>
      <c r="K155" s="31">
        <v>3185444.8858588627</v>
      </c>
      <c r="L155" s="31">
        <v>4599506.8704378568</v>
      </c>
      <c r="M155" s="31">
        <f t="shared" si="12"/>
        <v>69265715.14730905</v>
      </c>
      <c r="N155" s="31">
        <v>197045.79999999996</v>
      </c>
      <c r="P155" s="42" t="s">
        <v>437</v>
      </c>
      <c r="Q155" s="42" t="s">
        <v>438</v>
      </c>
      <c r="R155" s="43" t="s">
        <v>1050</v>
      </c>
      <c r="S155" s="44">
        <v>32</v>
      </c>
      <c r="T155" s="31">
        <v>53237182.67897445</v>
      </c>
      <c r="U155" s="31">
        <v>1356299.4900000002</v>
      </c>
      <c r="V155" s="31">
        <v>1240486.5900000001</v>
      </c>
      <c r="W155" s="31">
        <v>195311.65999999997</v>
      </c>
      <c r="X155" s="31">
        <v>7508238.4642196987</v>
      </c>
      <c r="Y155" s="31">
        <v>3186260.4706873298</v>
      </c>
      <c r="Z155" s="31">
        <v>4759314.3608200103</v>
      </c>
      <c r="AA155" s="31">
        <f t="shared" si="13"/>
        <v>71685072.084701493</v>
      </c>
      <c r="AB155" s="31">
        <v>201978.37</v>
      </c>
      <c r="AD155" s="42" t="s">
        <v>437</v>
      </c>
      <c r="AE155" s="42" t="s">
        <v>438</v>
      </c>
      <c r="AF155" s="43" t="s">
        <v>1275</v>
      </c>
      <c r="AG155" s="44">
        <v>32</v>
      </c>
      <c r="AH155" s="31">
        <v>54258646.028551243</v>
      </c>
      <c r="AI155" s="31">
        <v>1383231.65</v>
      </c>
      <c r="AJ155" s="31">
        <v>1264809.55</v>
      </c>
      <c r="AK155" s="31">
        <v>199141.24000000005</v>
      </c>
      <c r="AL155" s="31">
        <v>7648460.2563203098</v>
      </c>
      <c r="AM155" s="31">
        <v>3185952.240692181</v>
      </c>
      <c r="AN155" s="31">
        <v>4851281.9210450966</v>
      </c>
      <c r="AO155" s="31">
        <f t="shared" si="14"/>
        <v>72997123.166608825</v>
      </c>
      <c r="AP155" s="31">
        <v>205600.27999999997</v>
      </c>
      <c r="AR155" s="42" t="s">
        <v>437</v>
      </c>
      <c r="AS155" s="42" t="s">
        <v>438</v>
      </c>
      <c r="AT155" s="43" t="s">
        <v>1276</v>
      </c>
      <c r="AU155" s="44">
        <v>32</v>
      </c>
      <c r="AV155" s="31">
        <v>55270251.882585637</v>
      </c>
      <c r="AW155" s="31">
        <v>1408935.78</v>
      </c>
      <c r="AX155" s="31">
        <v>1288359.6399999999</v>
      </c>
      <c r="AY155" s="31">
        <v>202849.14999999997</v>
      </c>
      <c r="AZ155" s="31">
        <v>7791463.4124390446</v>
      </c>
      <c r="BA155" s="31">
        <v>3185999.6795593244</v>
      </c>
      <c r="BB155" s="31">
        <v>4942034.1115565626</v>
      </c>
      <c r="BC155" s="31">
        <f t="shared" si="15"/>
        <v>74299373.016140565</v>
      </c>
      <c r="BD155" s="31">
        <v>209479.35999999996</v>
      </c>
    </row>
    <row r="156" spans="2:56">
      <c r="B156" s="42" t="s">
        <v>149</v>
      </c>
      <c r="C156" s="42" t="s">
        <v>150</v>
      </c>
      <c r="D156" s="43" t="s">
        <v>1049</v>
      </c>
      <c r="E156" s="44">
        <v>32</v>
      </c>
      <c r="F156" s="31">
        <v>10514465.054648466</v>
      </c>
      <c r="G156" s="31">
        <v>319090.32</v>
      </c>
      <c r="H156" s="31">
        <v>42168.749999999993</v>
      </c>
      <c r="I156" s="31">
        <v>39344.04</v>
      </c>
      <c r="J156" s="31">
        <v>1869143.542256271</v>
      </c>
      <c r="K156" s="31">
        <v>597041.3099596122</v>
      </c>
      <c r="L156" s="31">
        <v>1525886.8133305199</v>
      </c>
      <c r="M156" s="31">
        <f t="shared" si="12"/>
        <v>14907139.83019487</v>
      </c>
      <c r="N156" s="31">
        <v>0</v>
      </c>
      <c r="P156" s="42" t="s">
        <v>149</v>
      </c>
      <c r="Q156" s="42" t="s">
        <v>150</v>
      </c>
      <c r="R156" s="43" t="s">
        <v>1050</v>
      </c>
      <c r="S156" s="44">
        <v>32</v>
      </c>
      <c r="T156" s="31">
        <v>10917285.848620679</v>
      </c>
      <c r="U156" s="31">
        <v>331229.02999999997</v>
      </c>
      <c r="V156" s="31">
        <v>43772.92</v>
      </c>
      <c r="W156" s="31">
        <v>40840.75</v>
      </c>
      <c r="X156" s="31">
        <v>1932266.9788651979</v>
      </c>
      <c r="Y156" s="31">
        <v>597684.59308047674</v>
      </c>
      <c r="Z156" s="31">
        <v>1580007.9696120473</v>
      </c>
      <c r="AA156" s="31">
        <f t="shared" si="13"/>
        <v>15443088.0901784</v>
      </c>
      <c r="AB156" s="31">
        <v>0</v>
      </c>
      <c r="AD156" s="42" t="s">
        <v>149</v>
      </c>
      <c r="AE156" s="42" t="s">
        <v>150</v>
      </c>
      <c r="AF156" s="43" t="s">
        <v>1275</v>
      </c>
      <c r="AG156" s="44">
        <v>32</v>
      </c>
      <c r="AH156" s="31">
        <v>11127077.613152072</v>
      </c>
      <c r="AI156" s="31">
        <v>337712.08999999997</v>
      </c>
      <c r="AJ156" s="31">
        <v>44629.67</v>
      </c>
      <c r="AK156" s="31">
        <v>41640.130000000005</v>
      </c>
      <c r="AL156" s="31">
        <v>1968113.9111142082</v>
      </c>
      <c r="AM156" s="31">
        <v>597466.0510436726</v>
      </c>
      <c r="AN156" s="31">
        <v>1610459.4248373583</v>
      </c>
      <c r="AO156" s="31">
        <f t="shared" si="14"/>
        <v>15727098.890147312</v>
      </c>
      <c r="AP156" s="31">
        <v>0</v>
      </c>
      <c r="AR156" s="42" t="s">
        <v>149</v>
      </c>
      <c r="AS156" s="42" t="s">
        <v>150</v>
      </c>
      <c r="AT156" s="43" t="s">
        <v>1276</v>
      </c>
      <c r="AU156" s="44">
        <v>32</v>
      </c>
      <c r="AV156" s="31">
        <v>11332294.971093794</v>
      </c>
      <c r="AW156" s="31">
        <v>343909.11000000004</v>
      </c>
      <c r="AX156" s="31">
        <v>45448.62</v>
      </c>
      <c r="AY156" s="31">
        <v>42404.23</v>
      </c>
      <c r="AZ156" s="31">
        <v>2004459.0093060222</v>
      </c>
      <c r="BA156" s="31">
        <v>597500.82880644966</v>
      </c>
      <c r="BB156" s="31">
        <v>1640235.1265818267</v>
      </c>
      <c r="BC156" s="31">
        <f t="shared" si="15"/>
        <v>16006251.895788094</v>
      </c>
      <c r="BD156" s="31">
        <v>0</v>
      </c>
    </row>
    <row r="157" spans="2:56">
      <c r="B157" s="42" t="s">
        <v>277</v>
      </c>
      <c r="C157" s="42" t="s">
        <v>278</v>
      </c>
      <c r="D157" s="43" t="s">
        <v>1049</v>
      </c>
      <c r="E157" s="44">
        <v>32</v>
      </c>
      <c r="F157" s="31">
        <v>3341744.4737876356</v>
      </c>
      <c r="G157" s="31">
        <v>140025.21000000002</v>
      </c>
      <c r="H157" s="31">
        <v>0</v>
      </c>
      <c r="I157" s="31">
        <v>10718.71</v>
      </c>
      <c r="J157" s="31">
        <v>435725.09957905917</v>
      </c>
      <c r="K157" s="31">
        <v>254336.19515466917</v>
      </c>
      <c r="L157" s="31">
        <v>730697.93245293933</v>
      </c>
      <c r="M157" s="31">
        <f t="shared" si="12"/>
        <v>5024137.4409743035</v>
      </c>
      <c r="N157" s="31">
        <v>110889.81999999999</v>
      </c>
      <c r="P157" s="42" t="s">
        <v>277</v>
      </c>
      <c r="Q157" s="42" t="s">
        <v>278</v>
      </c>
      <c r="R157" s="43" t="s">
        <v>1050</v>
      </c>
      <c r="S157" s="44">
        <v>32</v>
      </c>
      <c r="T157" s="31">
        <v>3499110.0215424686</v>
      </c>
      <c r="U157" s="31">
        <v>146934.52999999997</v>
      </c>
      <c r="V157" s="31">
        <v>0</v>
      </c>
      <c r="W157" s="31">
        <v>11130.31</v>
      </c>
      <c r="X157" s="31">
        <v>450470.70757111622</v>
      </c>
      <c r="Y157" s="31">
        <v>254490.69333104609</v>
      </c>
      <c r="Z157" s="31">
        <v>764093.36006084958</v>
      </c>
      <c r="AA157" s="31">
        <f t="shared" si="13"/>
        <v>5239845.5225054808</v>
      </c>
      <c r="AB157" s="31">
        <v>113615.90000000001</v>
      </c>
      <c r="AD157" s="42" t="s">
        <v>277</v>
      </c>
      <c r="AE157" s="42" t="s">
        <v>278</v>
      </c>
      <c r="AF157" s="43" t="s">
        <v>1275</v>
      </c>
      <c r="AG157" s="44">
        <v>32</v>
      </c>
      <c r="AH157" s="31">
        <v>3566262.1080780323</v>
      </c>
      <c r="AI157" s="31">
        <v>150029.51</v>
      </c>
      <c r="AJ157" s="31">
        <v>0</v>
      </c>
      <c r="AK157" s="31">
        <v>11348.02</v>
      </c>
      <c r="AL157" s="31">
        <v>458813.53143967321</v>
      </c>
      <c r="AM157" s="31">
        <v>254438.20579476104</v>
      </c>
      <c r="AN157" s="31">
        <v>778810.97267354338</v>
      </c>
      <c r="AO157" s="31">
        <f t="shared" si="14"/>
        <v>5335319.9779860107</v>
      </c>
      <c r="AP157" s="31">
        <v>115617.62999999999</v>
      </c>
      <c r="AR157" s="42" t="s">
        <v>277</v>
      </c>
      <c r="AS157" s="42" t="s">
        <v>278</v>
      </c>
      <c r="AT157" s="43" t="s">
        <v>1276</v>
      </c>
      <c r="AU157" s="44">
        <v>32</v>
      </c>
      <c r="AV157" s="31">
        <v>3631553.889828898</v>
      </c>
      <c r="AW157" s="31">
        <v>152736.63000000003</v>
      </c>
      <c r="AX157" s="31">
        <v>0</v>
      </c>
      <c r="AY157" s="31">
        <v>11555.25</v>
      </c>
      <c r="AZ157" s="31">
        <v>467260.35720579815</v>
      </c>
      <c r="BA157" s="31">
        <v>254446.55841704083</v>
      </c>
      <c r="BB157" s="31">
        <v>793168.42731373827</v>
      </c>
      <c r="BC157" s="31">
        <f t="shared" si="15"/>
        <v>5428482.5827654749</v>
      </c>
      <c r="BD157" s="31">
        <v>117761.47</v>
      </c>
    </row>
    <row r="158" spans="2:56">
      <c r="B158" s="42" t="s">
        <v>133</v>
      </c>
      <c r="C158" s="42" t="s">
        <v>134</v>
      </c>
      <c r="D158" s="43" t="s">
        <v>1049</v>
      </c>
      <c r="E158" s="44">
        <v>32</v>
      </c>
      <c r="F158" s="31">
        <v>69232191.206650376</v>
      </c>
      <c r="G158" s="31">
        <v>3448051.8400000008</v>
      </c>
      <c r="H158" s="31">
        <v>1891238.13</v>
      </c>
      <c r="I158" s="31">
        <v>243025.16</v>
      </c>
      <c r="J158" s="31">
        <v>11155260.835700126</v>
      </c>
      <c r="K158" s="31">
        <v>4264990.2661867626</v>
      </c>
      <c r="L158" s="31">
        <v>6286754.6413683398</v>
      </c>
      <c r="M158" s="31">
        <f t="shared" si="12"/>
        <v>98767855.459905595</v>
      </c>
      <c r="N158" s="31">
        <v>2246343.38</v>
      </c>
      <c r="P158" s="42" t="s">
        <v>133</v>
      </c>
      <c r="Q158" s="42" t="s">
        <v>134</v>
      </c>
      <c r="R158" s="43" t="s">
        <v>1050</v>
      </c>
      <c r="S158" s="44">
        <v>32</v>
      </c>
      <c r="T158" s="31">
        <v>72173641.477017403</v>
      </c>
      <c r="U158" s="31">
        <v>3578993.61</v>
      </c>
      <c r="V158" s="31">
        <v>1946614.9599999997</v>
      </c>
      <c r="W158" s="31">
        <v>250141.09</v>
      </c>
      <c r="X158" s="31">
        <v>11450512.009544302</v>
      </c>
      <c r="Y158" s="31">
        <v>4269434.0976070976</v>
      </c>
      <c r="Z158" s="31">
        <v>6524895.3283468932</v>
      </c>
      <c r="AA158" s="31">
        <f t="shared" si="13"/>
        <v>102476370.23251568</v>
      </c>
      <c r="AB158" s="31">
        <v>2282137.6599999997</v>
      </c>
      <c r="AD158" s="42" t="s">
        <v>133</v>
      </c>
      <c r="AE158" s="42" t="s">
        <v>134</v>
      </c>
      <c r="AF158" s="43" t="s">
        <v>1275</v>
      </c>
      <c r="AG158" s="44">
        <v>32</v>
      </c>
      <c r="AH158" s="31">
        <v>73560047.416114092</v>
      </c>
      <c r="AI158" s="31">
        <v>3653353.61</v>
      </c>
      <c r="AJ158" s="31">
        <v>1984710.1500000001</v>
      </c>
      <c r="AK158" s="31">
        <v>255036.37</v>
      </c>
      <c r="AL158" s="31">
        <v>11662907.235310527</v>
      </c>
      <c r="AM158" s="31">
        <v>4267890.8177847378</v>
      </c>
      <c r="AN158" s="31">
        <v>6650706.8697165996</v>
      </c>
      <c r="AO158" s="31">
        <f t="shared" si="14"/>
        <v>104357132.36892597</v>
      </c>
      <c r="AP158" s="31">
        <v>2322479.9</v>
      </c>
      <c r="AR158" s="42" t="s">
        <v>133</v>
      </c>
      <c r="AS158" s="42" t="s">
        <v>134</v>
      </c>
      <c r="AT158" s="43" t="s">
        <v>1276</v>
      </c>
      <c r="AU158" s="44">
        <v>32</v>
      </c>
      <c r="AV158" s="31">
        <v>74916188.603801191</v>
      </c>
      <c r="AW158" s="31">
        <v>3719674.0199999991</v>
      </c>
      <c r="AX158" s="31">
        <v>2021086.55</v>
      </c>
      <c r="AY158" s="31">
        <v>259710.76</v>
      </c>
      <c r="AZ158" s="31">
        <v>11878241.646863393</v>
      </c>
      <c r="BA158" s="31">
        <v>4268134.8667167975</v>
      </c>
      <c r="BB158" s="31">
        <v>6773591.9277304346</v>
      </c>
      <c r="BC158" s="31">
        <f t="shared" si="15"/>
        <v>106202314.81511182</v>
      </c>
      <c r="BD158" s="31">
        <v>2365686.44</v>
      </c>
    </row>
    <row r="159" spans="2:56">
      <c r="B159" s="42" t="s">
        <v>275</v>
      </c>
      <c r="C159" s="42" t="s">
        <v>276</v>
      </c>
      <c r="D159" s="43" t="s">
        <v>1049</v>
      </c>
      <c r="E159" s="44">
        <v>32</v>
      </c>
      <c r="F159" s="31">
        <v>5039134.5883529764</v>
      </c>
      <c r="G159" s="31">
        <v>233667.65999999997</v>
      </c>
      <c r="H159" s="31">
        <v>88478.000000000015</v>
      </c>
      <c r="I159" s="31">
        <v>16175.490000000002</v>
      </c>
      <c r="J159" s="31">
        <v>701295.64029573591</v>
      </c>
      <c r="K159" s="31">
        <v>400505.78742226813</v>
      </c>
      <c r="L159" s="31">
        <v>433914.95655061537</v>
      </c>
      <c r="M159" s="31">
        <f t="shared" si="12"/>
        <v>7079799.2026215959</v>
      </c>
      <c r="N159" s="31">
        <v>166627.08000000002</v>
      </c>
      <c r="P159" s="42" t="s">
        <v>275</v>
      </c>
      <c r="Q159" s="42" t="s">
        <v>276</v>
      </c>
      <c r="R159" s="43" t="s">
        <v>1050</v>
      </c>
      <c r="S159" s="44">
        <v>32</v>
      </c>
      <c r="T159" s="31">
        <v>5282944.9521108931</v>
      </c>
      <c r="U159" s="31">
        <v>244943.06999999995</v>
      </c>
      <c r="V159" s="31">
        <v>91875.639999999985</v>
      </c>
      <c r="W159" s="31">
        <v>16796.650000000001</v>
      </c>
      <c r="X159" s="31">
        <v>725052.2970513982</v>
      </c>
      <c r="Y159" s="31">
        <v>400812.06301379553</v>
      </c>
      <c r="Z159" s="31">
        <v>453603.23857029824</v>
      </c>
      <c r="AA159" s="31">
        <f t="shared" si="13"/>
        <v>7386751.2907463852</v>
      </c>
      <c r="AB159" s="31">
        <v>170723.38</v>
      </c>
      <c r="AD159" s="42" t="s">
        <v>275</v>
      </c>
      <c r="AE159" s="42" t="s">
        <v>276</v>
      </c>
      <c r="AF159" s="43" t="s">
        <v>1275</v>
      </c>
      <c r="AG159" s="44">
        <v>32</v>
      </c>
      <c r="AH159" s="31">
        <v>5384387.6781274425</v>
      </c>
      <c r="AI159" s="31">
        <v>250066.19000000003</v>
      </c>
      <c r="AJ159" s="31">
        <v>93672.87</v>
      </c>
      <c r="AK159" s="31">
        <v>17125.21</v>
      </c>
      <c r="AL159" s="31">
        <v>738480.88967036968</v>
      </c>
      <c r="AM159" s="31">
        <v>400708.01226316212</v>
      </c>
      <c r="AN159" s="31">
        <v>462340.40079237055</v>
      </c>
      <c r="AO159" s="31">
        <f t="shared" si="14"/>
        <v>7520512.490853346</v>
      </c>
      <c r="AP159" s="31">
        <v>173731.24000000002</v>
      </c>
      <c r="AR159" s="42" t="s">
        <v>275</v>
      </c>
      <c r="AS159" s="42" t="s">
        <v>276</v>
      </c>
      <c r="AT159" s="43" t="s">
        <v>1276</v>
      </c>
      <c r="AU159" s="44">
        <v>32</v>
      </c>
      <c r="AV159" s="31">
        <v>5483208.7249183208</v>
      </c>
      <c r="AW159" s="31">
        <v>254583.70000000004</v>
      </c>
      <c r="AX159" s="31">
        <v>95383.41</v>
      </c>
      <c r="AY159" s="31">
        <v>17437.940000000002</v>
      </c>
      <c r="AZ159" s="31">
        <v>752077.28445373138</v>
      </c>
      <c r="BA159" s="31">
        <v>400724.57041542977</v>
      </c>
      <c r="BB159" s="31">
        <v>470863.75569873</v>
      </c>
      <c r="BC159" s="31">
        <f t="shared" si="15"/>
        <v>7651232.0454862127</v>
      </c>
      <c r="BD159" s="31">
        <v>176952.66</v>
      </c>
    </row>
    <row r="160" spans="2:56">
      <c r="B160" s="42" t="s">
        <v>609</v>
      </c>
      <c r="C160" s="42" t="s">
        <v>610</v>
      </c>
      <c r="D160" s="43" t="s">
        <v>1049</v>
      </c>
      <c r="E160" s="44">
        <v>32</v>
      </c>
      <c r="F160" s="31">
        <v>6996307.0938488375</v>
      </c>
      <c r="G160" s="31">
        <v>510405.02000000014</v>
      </c>
      <c r="H160" s="31">
        <v>193326.38000000003</v>
      </c>
      <c r="I160" s="31">
        <v>23093.929999999997</v>
      </c>
      <c r="J160" s="31">
        <v>1034088.0899749969</v>
      </c>
      <c r="K160" s="31">
        <v>762266.82274795126</v>
      </c>
      <c r="L160" s="31">
        <v>223027.36280289176</v>
      </c>
      <c r="M160" s="31">
        <f t="shared" si="12"/>
        <v>9976279.8193746768</v>
      </c>
      <c r="N160" s="31">
        <v>233765.11999999997</v>
      </c>
      <c r="P160" s="42" t="s">
        <v>609</v>
      </c>
      <c r="Q160" s="42" t="s">
        <v>610</v>
      </c>
      <c r="R160" s="43" t="s">
        <v>1050</v>
      </c>
      <c r="S160" s="44">
        <v>32</v>
      </c>
      <c r="T160" s="31">
        <v>7337829.1913978048</v>
      </c>
      <c r="U160" s="31">
        <v>533235.1100000001</v>
      </c>
      <c r="V160" s="31">
        <v>200750.32000000004</v>
      </c>
      <c r="W160" s="31">
        <v>23980.76</v>
      </c>
      <c r="X160" s="31">
        <v>1069121.5454035003</v>
      </c>
      <c r="Y160" s="31">
        <v>762996.07866982499</v>
      </c>
      <c r="Z160" s="31">
        <v>233177.6847946897</v>
      </c>
      <c r="AA160" s="31">
        <f t="shared" si="13"/>
        <v>10400602.610265821</v>
      </c>
      <c r="AB160" s="31">
        <v>239511.91999999998</v>
      </c>
      <c r="AD160" s="42" t="s">
        <v>609</v>
      </c>
      <c r="AE160" s="42" t="s">
        <v>610</v>
      </c>
      <c r="AF160" s="43" t="s">
        <v>1275</v>
      </c>
      <c r="AG160" s="44">
        <v>32</v>
      </c>
      <c r="AH160" s="31">
        <v>7478841.3331141118</v>
      </c>
      <c r="AI160" s="31">
        <v>544131.2300000001</v>
      </c>
      <c r="AJ160" s="31">
        <v>204677.23</v>
      </c>
      <c r="AK160" s="31">
        <v>24449.860000000004</v>
      </c>
      <c r="AL160" s="31">
        <v>1088923.7444355632</v>
      </c>
      <c r="AM160" s="31">
        <v>762748.32916521572</v>
      </c>
      <c r="AN160" s="31">
        <v>237668.9483604171</v>
      </c>
      <c r="AO160" s="31">
        <f t="shared" si="14"/>
        <v>10585172.39507531</v>
      </c>
      <c r="AP160" s="31">
        <v>243731.71999999997</v>
      </c>
      <c r="AR160" s="42" t="s">
        <v>609</v>
      </c>
      <c r="AS160" s="42" t="s">
        <v>610</v>
      </c>
      <c r="AT160" s="43" t="s">
        <v>1276</v>
      </c>
      <c r="AU160" s="44">
        <v>32</v>
      </c>
      <c r="AV160" s="31">
        <v>7616325.6598006506</v>
      </c>
      <c r="AW160" s="31">
        <v>553998.92000000004</v>
      </c>
      <c r="AX160" s="31">
        <v>208414.83000000002</v>
      </c>
      <c r="AY160" s="31">
        <v>24896.340000000004</v>
      </c>
      <c r="AZ160" s="31">
        <v>1108974.3296630296</v>
      </c>
      <c r="BA160" s="31">
        <v>762787.75486850564</v>
      </c>
      <c r="BB160" s="31">
        <v>242050.27346555112</v>
      </c>
      <c r="BC160" s="31">
        <f t="shared" si="15"/>
        <v>10765699.227797735</v>
      </c>
      <c r="BD160" s="31">
        <v>248251.12</v>
      </c>
    </row>
    <row r="161" spans="2:56">
      <c r="B161" s="42" t="s">
        <v>551</v>
      </c>
      <c r="C161" s="42" t="s">
        <v>552</v>
      </c>
      <c r="D161" s="43" t="s">
        <v>1049</v>
      </c>
      <c r="E161" s="44">
        <v>32</v>
      </c>
      <c r="F161" s="31">
        <v>14444704.936698059</v>
      </c>
      <c r="G161" s="31">
        <v>625768.49</v>
      </c>
      <c r="H161" s="31">
        <v>155175.93000000002</v>
      </c>
      <c r="I161" s="31">
        <v>50970.990000000005</v>
      </c>
      <c r="J161" s="31">
        <v>2343696.0587622183</v>
      </c>
      <c r="K161" s="31">
        <v>1709965.2634148283</v>
      </c>
      <c r="L161" s="31">
        <v>918636.55672917771</v>
      </c>
      <c r="M161" s="31">
        <f t="shared" si="12"/>
        <v>20657332.645604286</v>
      </c>
      <c r="N161" s="31">
        <v>408414.42</v>
      </c>
      <c r="P161" s="42" t="s">
        <v>551</v>
      </c>
      <c r="Q161" s="42" t="s">
        <v>552</v>
      </c>
      <c r="R161" s="43" t="s">
        <v>1050</v>
      </c>
      <c r="S161" s="44">
        <v>32</v>
      </c>
      <c r="T161" s="31">
        <v>15141201.397296859</v>
      </c>
      <c r="U161" s="31">
        <v>654269.82999999996</v>
      </c>
      <c r="V161" s="31">
        <v>160978.22</v>
      </c>
      <c r="W161" s="31">
        <v>52876.87</v>
      </c>
      <c r="X161" s="31">
        <v>2421995.9374510637</v>
      </c>
      <c r="Y161" s="31">
        <v>1711719.9133919445</v>
      </c>
      <c r="Z161" s="31">
        <v>960051.58743648254</v>
      </c>
      <c r="AA161" s="31">
        <f t="shared" si="13"/>
        <v>21521676.59557635</v>
      </c>
      <c r="AB161" s="31">
        <v>418582.83999999997</v>
      </c>
      <c r="AD161" s="42" t="s">
        <v>551</v>
      </c>
      <c r="AE161" s="42" t="s">
        <v>552</v>
      </c>
      <c r="AF161" s="43" t="s">
        <v>1275</v>
      </c>
      <c r="AG161" s="44">
        <v>32</v>
      </c>
      <c r="AH161" s="31">
        <v>15432317.17039481</v>
      </c>
      <c r="AI161" s="31">
        <v>667824.35999999987</v>
      </c>
      <c r="AJ161" s="31">
        <v>164132.35999999999</v>
      </c>
      <c r="AK161" s="31">
        <v>53912.920000000006</v>
      </c>
      <c r="AL161" s="31">
        <v>2467110.2802975038</v>
      </c>
      <c r="AM161" s="31">
        <v>1711078.2473579838</v>
      </c>
      <c r="AN161" s="31">
        <v>978586.61301358533</v>
      </c>
      <c r="AO161" s="31">
        <f t="shared" si="14"/>
        <v>21901011.311063878</v>
      </c>
      <c r="AP161" s="31">
        <v>426049.36000000004</v>
      </c>
      <c r="AR161" s="42" t="s">
        <v>551</v>
      </c>
      <c r="AS161" s="42" t="s">
        <v>552</v>
      </c>
      <c r="AT161" s="43" t="s">
        <v>1276</v>
      </c>
      <c r="AU161" s="44">
        <v>32</v>
      </c>
      <c r="AV161" s="31">
        <v>15718939.943117555</v>
      </c>
      <c r="AW161" s="31">
        <v>680076.75999999978</v>
      </c>
      <c r="AX161" s="31">
        <v>167170.65999999997</v>
      </c>
      <c r="AY161" s="31">
        <v>54910.91</v>
      </c>
      <c r="AZ161" s="31">
        <v>2513015.9776288117</v>
      </c>
      <c r="BA161" s="31">
        <v>1711178.0023793341</v>
      </c>
      <c r="BB161" s="31">
        <v>996810.50634818245</v>
      </c>
      <c r="BC161" s="31">
        <f t="shared" si="15"/>
        <v>22276148.759473883</v>
      </c>
      <c r="BD161" s="31">
        <v>434046</v>
      </c>
    </row>
    <row r="162" spans="2:56">
      <c r="B162" s="42" t="s">
        <v>417</v>
      </c>
      <c r="C162" s="42" t="s">
        <v>418</v>
      </c>
      <c r="D162" s="43" t="s">
        <v>1049</v>
      </c>
      <c r="E162" s="44">
        <v>32</v>
      </c>
      <c r="F162" s="31">
        <v>634310.17303443793</v>
      </c>
      <c r="G162" s="31">
        <v>8823.77</v>
      </c>
      <c r="H162" s="31">
        <v>0</v>
      </c>
      <c r="I162" s="31">
        <v>1744.22</v>
      </c>
      <c r="J162" s="31">
        <v>42566.034649388181</v>
      </c>
      <c r="K162" s="31">
        <v>74149.7838929891</v>
      </c>
      <c r="L162" s="31">
        <v>0</v>
      </c>
      <c r="M162" s="31">
        <f t="shared" si="12"/>
        <v>761593.98157681525</v>
      </c>
      <c r="N162" s="31">
        <v>0</v>
      </c>
      <c r="P162" s="42" t="s">
        <v>417</v>
      </c>
      <c r="Q162" s="42" t="s">
        <v>418</v>
      </c>
      <c r="R162" s="43" t="s">
        <v>1050</v>
      </c>
      <c r="S162" s="44">
        <v>32</v>
      </c>
      <c r="T162" s="31">
        <v>658333.40457738785</v>
      </c>
      <c r="U162" s="31">
        <v>9157.92</v>
      </c>
      <c r="V162" s="31">
        <v>0</v>
      </c>
      <c r="W162" s="31">
        <v>1810.29</v>
      </c>
      <c r="X162" s="31">
        <v>43994.921549824881</v>
      </c>
      <c r="Y162" s="31">
        <v>74202.491625281487</v>
      </c>
      <c r="Z162" s="31">
        <v>0</v>
      </c>
      <c r="AA162" s="31">
        <f t="shared" si="13"/>
        <v>787499.02775249432</v>
      </c>
      <c r="AB162" s="31">
        <v>0</v>
      </c>
      <c r="AD162" s="42" t="s">
        <v>417</v>
      </c>
      <c r="AE162" s="42" t="s">
        <v>418</v>
      </c>
      <c r="AF162" s="43" t="s">
        <v>1275</v>
      </c>
      <c r="AG162" s="44">
        <v>32</v>
      </c>
      <c r="AH162" s="31">
        <v>671000.57182690827</v>
      </c>
      <c r="AI162" s="31">
        <v>9337.2100000000009</v>
      </c>
      <c r="AJ162" s="31">
        <v>0</v>
      </c>
      <c r="AK162" s="31">
        <v>1845.7300000000002</v>
      </c>
      <c r="AL162" s="31">
        <v>44811.600477561595</v>
      </c>
      <c r="AM162" s="31">
        <v>74183.887234925554</v>
      </c>
      <c r="AN162" s="31">
        <v>0</v>
      </c>
      <c r="AO162" s="31">
        <f t="shared" si="14"/>
        <v>801178.99953939533</v>
      </c>
      <c r="AP162" s="31">
        <v>0</v>
      </c>
      <c r="AR162" s="42" t="s">
        <v>417</v>
      </c>
      <c r="AS162" s="42" t="s">
        <v>418</v>
      </c>
      <c r="AT162" s="43" t="s">
        <v>1276</v>
      </c>
      <c r="AU162" s="44">
        <v>32</v>
      </c>
      <c r="AV162" s="31">
        <v>683366.7820814047</v>
      </c>
      <c r="AW162" s="31">
        <v>9508.94</v>
      </c>
      <c r="AX162" s="31">
        <v>0</v>
      </c>
      <c r="AY162" s="31">
        <v>1879.68</v>
      </c>
      <c r="AZ162" s="31">
        <v>45640.165910840435</v>
      </c>
      <c r="BA162" s="31">
        <v>74186.811743195547</v>
      </c>
      <c r="BB162" s="31">
        <v>0</v>
      </c>
      <c r="BC162" s="31">
        <f t="shared" si="15"/>
        <v>814582.3797354406</v>
      </c>
      <c r="BD162" s="31">
        <v>0</v>
      </c>
    </row>
    <row r="163" spans="2:56">
      <c r="B163" s="42" t="s">
        <v>413</v>
      </c>
      <c r="C163" s="42" t="s">
        <v>414</v>
      </c>
      <c r="D163" s="43" t="s">
        <v>1049</v>
      </c>
      <c r="E163" s="44">
        <v>32</v>
      </c>
      <c r="F163" s="31">
        <v>56196561.714903474</v>
      </c>
      <c r="G163" s="31">
        <v>2867521.8600000003</v>
      </c>
      <c r="H163" s="31">
        <v>2644025.41</v>
      </c>
      <c r="I163" s="31">
        <v>204207.21999999997</v>
      </c>
      <c r="J163" s="31">
        <v>9018612.6032267157</v>
      </c>
      <c r="K163" s="31">
        <v>2911819.6015786654</v>
      </c>
      <c r="L163" s="31">
        <v>6157894.2783128582</v>
      </c>
      <c r="M163" s="31">
        <f t="shared" si="12"/>
        <v>81932367.478021726</v>
      </c>
      <c r="N163" s="31">
        <v>1931724.7899999998</v>
      </c>
      <c r="P163" s="42" t="s">
        <v>413</v>
      </c>
      <c r="Q163" s="42" t="s">
        <v>414</v>
      </c>
      <c r="R163" s="43" t="s">
        <v>1050</v>
      </c>
      <c r="S163" s="44">
        <v>32</v>
      </c>
      <c r="T163" s="31">
        <v>58888308.266753979</v>
      </c>
      <c r="U163" s="31">
        <v>2998878.6799999997</v>
      </c>
      <c r="V163" s="31">
        <v>2742889.76</v>
      </c>
      <c r="W163" s="31">
        <v>211842.84</v>
      </c>
      <c r="X163" s="31">
        <v>9319797.8373795524</v>
      </c>
      <c r="Y163" s="31">
        <v>2914746.8682359378</v>
      </c>
      <c r="Z163" s="31">
        <v>6433863.9824410249</v>
      </c>
      <c r="AA163" s="31">
        <f t="shared" si="13"/>
        <v>85490147.744810492</v>
      </c>
      <c r="AB163" s="31">
        <v>1979819.51</v>
      </c>
      <c r="AD163" s="42" t="s">
        <v>413</v>
      </c>
      <c r="AE163" s="42" t="s">
        <v>414</v>
      </c>
      <c r="AF163" s="43" t="s">
        <v>1275</v>
      </c>
      <c r="AG163" s="44">
        <v>32</v>
      </c>
      <c r="AH163" s="31">
        <v>60020533.586176395</v>
      </c>
      <c r="AI163" s="31">
        <v>3061114.1000000006</v>
      </c>
      <c r="AJ163" s="31">
        <v>2796632.8999999994</v>
      </c>
      <c r="AK163" s="31">
        <v>215993.61</v>
      </c>
      <c r="AL163" s="31">
        <v>9493408.4050203152</v>
      </c>
      <c r="AM163" s="31">
        <v>2913676.3826058614</v>
      </c>
      <c r="AN163" s="31">
        <v>6558129.1871955823</v>
      </c>
      <c r="AO163" s="31">
        <f t="shared" si="14"/>
        <v>87074622.960998163</v>
      </c>
      <c r="AP163" s="31">
        <v>2015134.7899999998</v>
      </c>
      <c r="AR163" s="42" t="s">
        <v>413</v>
      </c>
      <c r="AS163" s="42" t="s">
        <v>414</v>
      </c>
      <c r="AT163" s="43" t="s">
        <v>1276</v>
      </c>
      <c r="AU163" s="44">
        <v>32</v>
      </c>
      <c r="AV163" s="31">
        <v>61135278.991125047</v>
      </c>
      <c r="AW163" s="31">
        <v>3117259.4200000004</v>
      </c>
      <c r="AX163" s="31">
        <v>2848402.2199999997</v>
      </c>
      <c r="AY163" s="31">
        <v>219991.91999999998</v>
      </c>
      <c r="AZ163" s="31">
        <v>9670073.1871960536</v>
      </c>
      <c r="BA163" s="31">
        <v>2913842.8030040613</v>
      </c>
      <c r="BB163" s="31">
        <v>6680217.8291875124</v>
      </c>
      <c r="BC163" s="31">
        <f t="shared" si="15"/>
        <v>88638023.810512662</v>
      </c>
      <c r="BD163" s="31">
        <v>2052957.44</v>
      </c>
    </row>
    <row r="164" spans="2:56">
      <c r="B164" s="42" t="s">
        <v>223</v>
      </c>
      <c r="C164" s="42" t="s">
        <v>224</v>
      </c>
      <c r="D164" s="43" t="s">
        <v>1049</v>
      </c>
      <c r="E164" s="44">
        <v>32</v>
      </c>
      <c r="F164" s="31">
        <v>5715380.3720149025</v>
      </c>
      <c r="G164" s="31">
        <v>312789.01999999996</v>
      </c>
      <c r="H164" s="31">
        <v>0</v>
      </c>
      <c r="I164" s="31">
        <v>0</v>
      </c>
      <c r="J164" s="31">
        <v>0</v>
      </c>
      <c r="K164" s="31">
        <v>413778.88</v>
      </c>
      <c r="L164" s="31">
        <v>68417.426813222177</v>
      </c>
      <c r="M164" s="31">
        <f t="shared" si="12"/>
        <v>6682569.0488281241</v>
      </c>
      <c r="N164" s="31">
        <v>172203.35000000003</v>
      </c>
      <c r="P164" s="42" t="s">
        <v>223</v>
      </c>
      <c r="Q164" s="42" t="s">
        <v>224</v>
      </c>
      <c r="R164" s="43" t="s">
        <v>1050</v>
      </c>
      <c r="S164" s="44">
        <v>32</v>
      </c>
      <c r="T164" s="31">
        <v>5986195.4813776836</v>
      </c>
      <c r="U164" s="31">
        <v>326401.74</v>
      </c>
      <c r="V164" s="31">
        <v>0</v>
      </c>
      <c r="W164" s="31">
        <v>0</v>
      </c>
      <c r="X164" s="31">
        <v>0</v>
      </c>
      <c r="Y164" s="31">
        <v>413778.88</v>
      </c>
      <c r="Z164" s="31">
        <v>71379.935401885217</v>
      </c>
      <c r="AA164" s="31">
        <f t="shared" si="13"/>
        <v>6974270.0967795681</v>
      </c>
      <c r="AB164" s="31">
        <v>176514.06</v>
      </c>
      <c r="AD164" s="42" t="s">
        <v>223</v>
      </c>
      <c r="AE164" s="42" t="s">
        <v>224</v>
      </c>
      <c r="AF164" s="43" t="s">
        <v>1275</v>
      </c>
      <c r="AG164" s="44">
        <v>32</v>
      </c>
      <c r="AH164" s="31">
        <v>6101636.5026570512</v>
      </c>
      <c r="AI164" s="31">
        <v>333097.42000000004</v>
      </c>
      <c r="AJ164" s="31">
        <v>0</v>
      </c>
      <c r="AK164" s="31">
        <v>0</v>
      </c>
      <c r="AL164" s="31">
        <v>0</v>
      </c>
      <c r="AM164" s="31">
        <v>413778.88</v>
      </c>
      <c r="AN164" s="31">
        <v>72759.439336362382</v>
      </c>
      <c r="AO164" s="31">
        <f t="shared" si="14"/>
        <v>7100951.5819934132</v>
      </c>
      <c r="AP164" s="31">
        <v>179679.34</v>
      </c>
      <c r="AR164" s="42" t="s">
        <v>223</v>
      </c>
      <c r="AS164" s="42" t="s">
        <v>224</v>
      </c>
      <c r="AT164" s="43" t="s">
        <v>1276</v>
      </c>
      <c r="AU164" s="44">
        <v>32</v>
      </c>
      <c r="AV164" s="31">
        <v>6215281.7897943947</v>
      </c>
      <c r="AW164" s="31">
        <v>339255.03</v>
      </c>
      <c r="AX164" s="31">
        <v>0</v>
      </c>
      <c r="AY164" s="31">
        <v>0</v>
      </c>
      <c r="AZ164" s="31">
        <v>0</v>
      </c>
      <c r="BA164" s="31">
        <v>413778.88</v>
      </c>
      <c r="BB164" s="31">
        <v>74120.523541187402</v>
      </c>
      <c r="BC164" s="31">
        <f t="shared" si="15"/>
        <v>7225505.5833355831</v>
      </c>
      <c r="BD164" s="31">
        <v>183069.36000000002</v>
      </c>
    </row>
    <row r="165" spans="2:56">
      <c r="B165" s="42" t="s">
        <v>427</v>
      </c>
      <c r="C165" s="42" t="s">
        <v>428</v>
      </c>
      <c r="D165" s="43" t="s">
        <v>1049</v>
      </c>
      <c r="E165" s="44">
        <v>32</v>
      </c>
      <c r="F165" s="31">
        <v>137409071.55545753</v>
      </c>
      <c r="G165" s="31">
        <v>5480018.8300000001</v>
      </c>
      <c r="H165" s="31">
        <v>5862686.9800000004</v>
      </c>
      <c r="I165" s="31">
        <v>496161.71</v>
      </c>
      <c r="J165" s="31">
        <v>21610811.315077849</v>
      </c>
      <c r="K165" s="31">
        <v>8782089.3412183076</v>
      </c>
      <c r="L165" s="31">
        <v>12888120.640033776</v>
      </c>
      <c r="M165" s="31">
        <f t="shared" si="12"/>
        <v>195451591.2317875</v>
      </c>
      <c r="N165" s="31">
        <v>2922630.86</v>
      </c>
      <c r="P165" s="42" t="s">
        <v>427</v>
      </c>
      <c r="Q165" s="42" t="s">
        <v>428</v>
      </c>
      <c r="R165" s="43" t="s">
        <v>1050</v>
      </c>
      <c r="S165" s="44">
        <v>32</v>
      </c>
      <c r="T165" s="31">
        <v>140776823.15151906</v>
      </c>
      <c r="U165" s="31">
        <v>5631619.8299999991</v>
      </c>
      <c r="V165" s="31">
        <v>5988152.2000000002</v>
      </c>
      <c r="W165" s="31">
        <v>506779.88</v>
      </c>
      <c r="X165" s="31">
        <v>22045590.775030654</v>
      </c>
      <c r="Y165" s="31">
        <v>8788444.5092923176</v>
      </c>
      <c r="Z165" s="31">
        <v>13169248.284938626</v>
      </c>
      <c r="AA165" s="31">
        <f t="shared" si="13"/>
        <v>199857510.52078062</v>
      </c>
      <c r="AB165" s="31">
        <v>2950851.8899999997</v>
      </c>
      <c r="AD165" s="42" t="s">
        <v>427</v>
      </c>
      <c r="AE165" s="42" t="s">
        <v>428</v>
      </c>
      <c r="AF165" s="43" t="s">
        <v>1275</v>
      </c>
      <c r="AG165" s="44">
        <v>32</v>
      </c>
      <c r="AH165" s="31">
        <v>143492379.9278928</v>
      </c>
      <c r="AI165" s="31">
        <v>5746986.1099999994</v>
      </c>
      <c r="AJ165" s="31">
        <v>6105565.4299999997</v>
      </c>
      <c r="AK165" s="31">
        <v>516716.59999999992</v>
      </c>
      <c r="AL165" s="31">
        <v>22457228.007823411</v>
      </c>
      <c r="AM165" s="31">
        <v>8786032.5110855028</v>
      </c>
      <c r="AN165" s="31">
        <v>13423863.63451227</v>
      </c>
      <c r="AO165" s="31">
        <f t="shared" si="14"/>
        <v>203532539.40131402</v>
      </c>
      <c r="AP165" s="31">
        <v>3003767.1799999997</v>
      </c>
      <c r="AR165" s="42" t="s">
        <v>427</v>
      </c>
      <c r="AS165" s="42" t="s">
        <v>428</v>
      </c>
      <c r="AT165" s="43" t="s">
        <v>1276</v>
      </c>
      <c r="AU165" s="44">
        <v>32</v>
      </c>
      <c r="AV165" s="31">
        <v>146170086.37079564</v>
      </c>
      <c r="AW165" s="31">
        <v>5853248.290000001</v>
      </c>
      <c r="AX165" s="31">
        <v>6219247.8499999996</v>
      </c>
      <c r="AY165" s="31">
        <v>526337.6</v>
      </c>
      <c r="AZ165" s="31">
        <v>22876964.577007726</v>
      </c>
      <c r="BA165" s="31">
        <v>8786403.7353799678</v>
      </c>
      <c r="BB165" s="31">
        <v>13674892.065379556</v>
      </c>
      <c r="BC165" s="31">
        <f t="shared" si="15"/>
        <v>207167619.92856285</v>
      </c>
      <c r="BD165" s="31">
        <v>3060439.44</v>
      </c>
    </row>
    <row r="166" spans="2:56">
      <c r="B166" s="42" t="s">
        <v>583</v>
      </c>
      <c r="C166" s="42" t="s">
        <v>584</v>
      </c>
      <c r="D166" s="43" t="s">
        <v>1049</v>
      </c>
      <c r="E166" s="44">
        <v>32</v>
      </c>
      <c r="F166" s="31">
        <v>9875979.5281293672</v>
      </c>
      <c r="G166" s="31">
        <v>400684.5</v>
      </c>
      <c r="H166" s="31">
        <v>127260.21</v>
      </c>
      <c r="I166" s="31">
        <v>34299.849999999991</v>
      </c>
      <c r="J166" s="31">
        <v>1510256.247462132</v>
      </c>
      <c r="K166" s="31">
        <v>922762.02231205208</v>
      </c>
      <c r="L166" s="31">
        <v>744332.20701646782</v>
      </c>
      <c r="M166" s="31">
        <f t="shared" si="12"/>
        <v>13855965.79492002</v>
      </c>
      <c r="N166" s="31">
        <v>240391.23</v>
      </c>
      <c r="P166" s="42" t="s">
        <v>583</v>
      </c>
      <c r="Q166" s="42" t="s">
        <v>584</v>
      </c>
      <c r="R166" s="43" t="s">
        <v>1050</v>
      </c>
      <c r="S166" s="44">
        <v>32</v>
      </c>
      <c r="T166" s="31">
        <v>10364499.380970988</v>
      </c>
      <c r="U166" s="31">
        <v>419392.74999999988</v>
      </c>
      <c r="V166" s="31">
        <v>132147.12999999998</v>
      </c>
      <c r="W166" s="31">
        <v>35617</v>
      </c>
      <c r="X166" s="31">
        <v>1561420.7549673014</v>
      </c>
      <c r="Y166" s="31">
        <v>923786.7822408526</v>
      </c>
      <c r="Z166" s="31">
        <v>778314.19343938003</v>
      </c>
      <c r="AA166" s="31">
        <f t="shared" si="13"/>
        <v>14461478.921618523</v>
      </c>
      <c r="AB166" s="31">
        <v>246300.93000000002</v>
      </c>
      <c r="AD166" s="42" t="s">
        <v>583</v>
      </c>
      <c r="AE166" s="42" t="s">
        <v>584</v>
      </c>
      <c r="AF166" s="43" t="s">
        <v>1275</v>
      </c>
      <c r="AG166" s="44">
        <v>32</v>
      </c>
      <c r="AH166" s="31">
        <v>10564390.607256133</v>
      </c>
      <c r="AI166" s="31">
        <v>428075.16000000009</v>
      </c>
      <c r="AJ166" s="31">
        <v>134732.09</v>
      </c>
      <c r="AK166" s="31">
        <v>36313.699999999997</v>
      </c>
      <c r="AL166" s="31">
        <v>1590340.620446532</v>
      </c>
      <c r="AM166" s="31">
        <v>923438.64140704006</v>
      </c>
      <c r="AN166" s="31">
        <v>793305.80615314667</v>
      </c>
      <c r="AO166" s="31">
        <f t="shared" si="14"/>
        <v>14721236.965262853</v>
      </c>
      <c r="AP166" s="31">
        <v>250640.34000000003</v>
      </c>
      <c r="AR166" s="42" t="s">
        <v>583</v>
      </c>
      <c r="AS166" s="42" t="s">
        <v>584</v>
      </c>
      <c r="AT166" s="43" t="s">
        <v>1276</v>
      </c>
      <c r="AU166" s="44">
        <v>32</v>
      </c>
      <c r="AV166" s="31">
        <v>10759488.262695136</v>
      </c>
      <c r="AW166" s="31">
        <v>435821.63999999984</v>
      </c>
      <c r="AX166" s="31">
        <v>137192.41999999998</v>
      </c>
      <c r="AY166" s="31">
        <v>36976.82</v>
      </c>
      <c r="AZ166" s="31">
        <v>1619622.6951380537</v>
      </c>
      <c r="BA166" s="31">
        <v>923494.04291930015</v>
      </c>
      <c r="BB166" s="31">
        <v>807930.69875711086</v>
      </c>
      <c r="BC166" s="31">
        <f t="shared" si="15"/>
        <v>14975814.409509601</v>
      </c>
      <c r="BD166" s="31">
        <v>255287.83000000002</v>
      </c>
    </row>
    <row r="167" spans="2:56">
      <c r="B167" s="42" t="s">
        <v>271</v>
      </c>
      <c r="C167" s="42" t="s">
        <v>272</v>
      </c>
      <c r="D167" s="43" t="s">
        <v>1049</v>
      </c>
      <c r="E167" s="44">
        <v>32</v>
      </c>
      <c r="F167" s="31">
        <v>5812132.4280396048</v>
      </c>
      <c r="G167" s="31">
        <v>221779.66999999998</v>
      </c>
      <c r="H167" s="31">
        <v>27576.280000000002</v>
      </c>
      <c r="I167" s="31">
        <v>21534.85</v>
      </c>
      <c r="J167" s="31">
        <v>747561.83150082373</v>
      </c>
      <c r="K167" s="31">
        <v>379541.76707780029</v>
      </c>
      <c r="L167" s="31">
        <v>1068828.9939821053</v>
      </c>
      <c r="M167" s="31">
        <f t="shared" si="12"/>
        <v>8278955.8206003336</v>
      </c>
      <c r="N167" s="31">
        <v>0</v>
      </c>
      <c r="P167" s="42" t="s">
        <v>271</v>
      </c>
      <c r="Q167" s="42" t="s">
        <v>272</v>
      </c>
      <c r="R167" s="43" t="s">
        <v>1050</v>
      </c>
      <c r="S167" s="44">
        <v>32</v>
      </c>
      <c r="T167" s="31">
        <v>6035776.5784133328</v>
      </c>
      <c r="U167" s="31">
        <v>230296.22999999998</v>
      </c>
      <c r="V167" s="31">
        <v>28635.25</v>
      </c>
      <c r="W167" s="31">
        <v>22361.810000000005</v>
      </c>
      <c r="X167" s="31">
        <v>772907.34125077887</v>
      </c>
      <c r="Y167" s="31">
        <v>379970.01043716766</v>
      </c>
      <c r="Z167" s="31">
        <v>1106912.8102022696</v>
      </c>
      <c r="AA167" s="31">
        <f t="shared" si="13"/>
        <v>8576860.0303035472</v>
      </c>
      <c r="AB167" s="31">
        <v>0</v>
      </c>
      <c r="AD167" s="42" t="s">
        <v>271</v>
      </c>
      <c r="AE167" s="42" t="s">
        <v>272</v>
      </c>
      <c r="AF167" s="43" t="s">
        <v>1275</v>
      </c>
      <c r="AG167" s="44">
        <v>32</v>
      </c>
      <c r="AH167" s="31">
        <v>6151748.1593689211</v>
      </c>
      <c r="AI167" s="31">
        <v>234801.1</v>
      </c>
      <c r="AJ167" s="31">
        <v>29195.399999999998</v>
      </c>
      <c r="AK167" s="31">
        <v>22799.22</v>
      </c>
      <c r="AL167" s="31">
        <v>787223.70222511236</v>
      </c>
      <c r="AM167" s="31">
        <v>379824.52367874287</v>
      </c>
      <c r="AN167" s="31">
        <v>1128231.3423885494</v>
      </c>
      <c r="AO167" s="31">
        <f t="shared" si="14"/>
        <v>8733823.4476613253</v>
      </c>
      <c r="AP167" s="31">
        <v>0</v>
      </c>
      <c r="AR167" s="42" t="s">
        <v>271</v>
      </c>
      <c r="AS167" s="42" t="s">
        <v>272</v>
      </c>
      <c r="AT167" s="43" t="s">
        <v>1276</v>
      </c>
      <c r="AU167" s="44">
        <v>32</v>
      </c>
      <c r="AV167" s="31">
        <v>6264806.5134150106</v>
      </c>
      <c r="AW167" s="31">
        <v>239088.77999999997</v>
      </c>
      <c r="AX167" s="31">
        <v>29728.539999999997</v>
      </c>
      <c r="AY167" s="31">
        <v>23215.57</v>
      </c>
      <c r="AZ167" s="31">
        <v>801720.16774176154</v>
      </c>
      <c r="BA167" s="31">
        <v>379847.67576447286</v>
      </c>
      <c r="BB167" s="31">
        <v>1149033.1565156151</v>
      </c>
      <c r="BC167" s="31">
        <f t="shared" si="15"/>
        <v>8887440.4034368619</v>
      </c>
      <c r="BD167" s="31">
        <v>0</v>
      </c>
    </row>
    <row r="168" spans="2:56">
      <c r="B168" s="42" t="s">
        <v>349</v>
      </c>
      <c r="C168" s="42" t="s">
        <v>350</v>
      </c>
      <c r="D168" s="43" t="s">
        <v>1049</v>
      </c>
      <c r="E168" s="44">
        <v>32</v>
      </c>
      <c r="F168" s="31">
        <v>3382870.2667499324</v>
      </c>
      <c r="G168" s="31">
        <v>106733.33999999998</v>
      </c>
      <c r="H168" s="31">
        <v>22597.599999999999</v>
      </c>
      <c r="I168" s="31">
        <v>9079.41</v>
      </c>
      <c r="J168" s="31">
        <v>380688.20842747437</v>
      </c>
      <c r="K168" s="31">
        <v>229951.44005905298</v>
      </c>
      <c r="L168" s="31">
        <v>116414.26317744788</v>
      </c>
      <c r="M168" s="31">
        <f t="shared" si="12"/>
        <v>4342760.2484139074</v>
      </c>
      <c r="N168" s="31">
        <v>94425.719999999987</v>
      </c>
      <c r="P168" s="42" t="s">
        <v>349</v>
      </c>
      <c r="Q168" s="42" t="s">
        <v>350</v>
      </c>
      <c r="R168" s="43" t="s">
        <v>1050</v>
      </c>
      <c r="S168" s="44">
        <v>32</v>
      </c>
      <c r="T168" s="31">
        <v>3539029.5015158416</v>
      </c>
      <c r="U168" s="31">
        <v>112053.88000000003</v>
      </c>
      <c r="V168" s="31">
        <v>23457.25</v>
      </c>
      <c r="W168" s="31">
        <v>9424.8100000000013</v>
      </c>
      <c r="X168" s="31">
        <v>393550.69546911918</v>
      </c>
      <c r="Y168" s="31">
        <v>230236.14365159461</v>
      </c>
      <c r="Z168" s="31">
        <v>121695.13510337741</v>
      </c>
      <c r="AA168" s="31">
        <f t="shared" si="13"/>
        <v>4526205.0057399329</v>
      </c>
      <c r="AB168" s="31">
        <v>96757.59</v>
      </c>
      <c r="AD168" s="42" t="s">
        <v>349</v>
      </c>
      <c r="AE168" s="42" t="s">
        <v>350</v>
      </c>
      <c r="AF168" s="43" t="s">
        <v>1275</v>
      </c>
      <c r="AG168" s="44">
        <v>32</v>
      </c>
      <c r="AH168" s="31">
        <v>3606956.0702464259</v>
      </c>
      <c r="AI168" s="31">
        <v>114428.65000000004</v>
      </c>
      <c r="AJ168" s="31">
        <v>23916.39</v>
      </c>
      <c r="AK168" s="31">
        <v>9609.26</v>
      </c>
      <c r="AL168" s="31">
        <v>400851.84872206027</v>
      </c>
      <c r="AM168" s="31">
        <v>230139.42153814033</v>
      </c>
      <c r="AN168" s="31">
        <v>124040.88511410097</v>
      </c>
      <c r="AO168" s="31">
        <f t="shared" si="14"/>
        <v>4608412.3756207265</v>
      </c>
      <c r="AP168" s="31">
        <v>98469.849999999991</v>
      </c>
      <c r="AR168" s="42" t="s">
        <v>349</v>
      </c>
      <c r="AS168" s="42" t="s">
        <v>350</v>
      </c>
      <c r="AT168" s="43" t="s">
        <v>1276</v>
      </c>
      <c r="AU168" s="44">
        <v>32</v>
      </c>
      <c r="AV168" s="31">
        <v>3673174.1449929061</v>
      </c>
      <c r="AW168" s="31">
        <v>116501.5</v>
      </c>
      <c r="AX168" s="31">
        <v>24355.260000000002</v>
      </c>
      <c r="AY168" s="31">
        <v>9785.590000000002</v>
      </c>
      <c r="AZ168" s="31">
        <v>408254.55362606829</v>
      </c>
      <c r="BA168" s="31">
        <v>230154.81344519032</v>
      </c>
      <c r="BB168" s="31">
        <v>126334.10001350587</v>
      </c>
      <c r="BC168" s="31">
        <f t="shared" si="15"/>
        <v>4688863.6520776702</v>
      </c>
      <c r="BD168" s="31">
        <v>100303.69</v>
      </c>
    </row>
    <row r="169" spans="2:56">
      <c r="B169" s="42" t="s">
        <v>327</v>
      </c>
      <c r="C169" s="42" t="s">
        <v>328</v>
      </c>
      <c r="D169" s="43" t="s">
        <v>1049</v>
      </c>
      <c r="E169" s="44">
        <v>32</v>
      </c>
      <c r="F169" s="31">
        <v>1152415.1436120542</v>
      </c>
      <c r="G169" s="31">
        <v>80000.48000000001</v>
      </c>
      <c r="H169" s="31">
        <v>0</v>
      </c>
      <c r="I169" s="31">
        <v>0</v>
      </c>
      <c r="J169" s="31">
        <v>174682.23429234681</v>
      </c>
      <c r="K169" s="31">
        <v>186915.49262984528</v>
      </c>
      <c r="L169" s="31">
        <v>0</v>
      </c>
      <c r="M169" s="31">
        <f t="shared" si="12"/>
        <v>1631139.0405342462</v>
      </c>
      <c r="N169" s="31">
        <v>37125.689999999995</v>
      </c>
      <c r="P169" s="42" t="s">
        <v>327</v>
      </c>
      <c r="Q169" s="42" t="s">
        <v>328</v>
      </c>
      <c r="R169" s="43" t="s">
        <v>1050</v>
      </c>
      <c r="S169" s="44">
        <v>32</v>
      </c>
      <c r="T169" s="31">
        <v>1213945.0085398729</v>
      </c>
      <c r="U169" s="31">
        <v>83585.56</v>
      </c>
      <c r="V169" s="31">
        <v>0</v>
      </c>
      <c r="W169" s="31">
        <v>0</v>
      </c>
      <c r="X169" s="31">
        <v>180584.61970373269</v>
      </c>
      <c r="Y169" s="31">
        <v>187075.34136663587</v>
      </c>
      <c r="Z169" s="31">
        <v>0</v>
      </c>
      <c r="AA169" s="31">
        <f t="shared" si="13"/>
        <v>1703228.8996102414</v>
      </c>
      <c r="AB169" s="31">
        <v>38038.369999999995</v>
      </c>
      <c r="AD169" s="42" t="s">
        <v>327</v>
      </c>
      <c r="AE169" s="42" t="s">
        <v>328</v>
      </c>
      <c r="AF169" s="43" t="s">
        <v>1275</v>
      </c>
      <c r="AG169" s="44">
        <v>32</v>
      </c>
      <c r="AH169" s="31">
        <v>1237304.9102682411</v>
      </c>
      <c r="AI169" s="31">
        <v>85294.489999999991</v>
      </c>
      <c r="AJ169" s="31">
        <v>0</v>
      </c>
      <c r="AK169" s="31">
        <v>0</v>
      </c>
      <c r="AL169" s="31">
        <v>183926.60146369287</v>
      </c>
      <c r="AM169" s="31">
        <v>187021.03608893507</v>
      </c>
      <c r="AN169" s="31">
        <v>0</v>
      </c>
      <c r="AO169" s="31">
        <f t="shared" si="14"/>
        <v>1732255.5878208692</v>
      </c>
      <c r="AP169" s="31">
        <v>38708.549999999996</v>
      </c>
      <c r="AR169" s="42" t="s">
        <v>327</v>
      </c>
      <c r="AS169" s="42" t="s">
        <v>328</v>
      </c>
      <c r="AT169" s="43" t="s">
        <v>1276</v>
      </c>
      <c r="AU169" s="44">
        <v>32</v>
      </c>
      <c r="AV169" s="31">
        <v>1260013.9573238427</v>
      </c>
      <c r="AW169" s="31">
        <v>86841.15</v>
      </c>
      <c r="AX169" s="31">
        <v>0</v>
      </c>
      <c r="AY169" s="31">
        <v>0</v>
      </c>
      <c r="AZ169" s="31">
        <v>187308.21022069675</v>
      </c>
      <c r="BA169" s="31">
        <v>187029.67797812508</v>
      </c>
      <c r="BB169" s="31">
        <v>0</v>
      </c>
      <c r="BC169" s="31">
        <f t="shared" si="15"/>
        <v>1760619.2955226647</v>
      </c>
      <c r="BD169" s="31">
        <v>39426.299999999996</v>
      </c>
    </row>
    <row r="170" spans="2:56">
      <c r="B170" s="42" t="s">
        <v>355</v>
      </c>
      <c r="C170" s="42" t="s">
        <v>356</v>
      </c>
      <c r="D170" s="43" t="s">
        <v>1049</v>
      </c>
      <c r="E170" s="44">
        <v>32</v>
      </c>
      <c r="F170" s="31">
        <v>7754667.1850839565</v>
      </c>
      <c r="G170" s="31">
        <v>384216.6999999999</v>
      </c>
      <c r="H170" s="31">
        <v>0</v>
      </c>
      <c r="I170" s="31">
        <v>28745.600000000002</v>
      </c>
      <c r="J170" s="31">
        <v>1259800.8254742215</v>
      </c>
      <c r="K170" s="31">
        <v>852641.51881356712</v>
      </c>
      <c r="L170" s="31">
        <v>1185220.0547156399</v>
      </c>
      <c r="M170" s="31">
        <f t="shared" si="12"/>
        <v>11748850.234087383</v>
      </c>
      <c r="N170" s="31">
        <v>283558.35000000003</v>
      </c>
      <c r="P170" s="42" t="s">
        <v>355</v>
      </c>
      <c r="Q170" s="42" t="s">
        <v>356</v>
      </c>
      <c r="R170" s="43" t="s">
        <v>1050</v>
      </c>
      <c r="S170" s="44">
        <v>32</v>
      </c>
      <c r="T170" s="31">
        <v>8125486.8864099272</v>
      </c>
      <c r="U170" s="31">
        <v>402889.03</v>
      </c>
      <c r="V170" s="31">
        <v>0</v>
      </c>
      <c r="W170" s="31">
        <v>29849.469999999998</v>
      </c>
      <c r="X170" s="31">
        <v>1302505.6041700377</v>
      </c>
      <c r="Y170" s="31">
        <v>853477.8612743339</v>
      </c>
      <c r="Z170" s="31">
        <v>1239138.8610776761</v>
      </c>
      <c r="AA170" s="31">
        <f t="shared" si="13"/>
        <v>12243876.962931974</v>
      </c>
      <c r="AB170" s="31">
        <v>290529.25</v>
      </c>
      <c r="AD170" s="42" t="s">
        <v>355</v>
      </c>
      <c r="AE170" s="42" t="s">
        <v>356</v>
      </c>
      <c r="AF170" s="43" t="s">
        <v>1275</v>
      </c>
      <c r="AG170" s="44">
        <v>32</v>
      </c>
      <c r="AH170" s="31">
        <v>8281059.0751645006</v>
      </c>
      <c r="AI170" s="31">
        <v>411334.54000000015</v>
      </c>
      <c r="AJ170" s="31">
        <v>0</v>
      </c>
      <c r="AK170" s="31">
        <v>30433.37</v>
      </c>
      <c r="AL170" s="31">
        <v>1326636.0290566399</v>
      </c>
      <c r="AM170" s="31">
        <v>853193.73134940118</v>
      </c>
      <c r="AN170" s="31">
        <v>1263006.7899831464</v>
      </c>
      <c r="AO170" s="31">
        <f t="shared" si="14"/>
        <v>12461311.415553689</v>
      </c>
      <c r="AP170" s="31">
        <v>295647.88</v>
      </c>
      <c r="AR170" s="42" t="s">
        <v>355</v>
      </c>
      <c r="AS170" s="42" t="s">
        <v>356</v>
      </c>
      <c r="AT170" s="43" t="s">
        <v>1276</v>
      </c>
      <c r="AU170" s="44">
        <v>32</v>
      </c>
      <c r="AV170" s="31">
        <v>8433474.2707357351</v>
      </c>
      <c r="AW170" s="31">
        <v>418762.64000000019</v>
      </c>
      <c r="AX170" s="31">
        <v>0</v>
      </c>
      <c r="AY170" s="31">
        <v>30989.119999999999</v>
      </c>
      <c r="AZ170" s="31">
        <v>1351073.6354727976</v>
      </c>
      <c r="BA170" s="31">
        <v>853238.94646348932</v>
      </c>
      <c r="BB170" s="31">
        <v>1286290.8271069848</v>
      </c>
      <c r="BC170" s="31">
        <f t="shared" si="15"/>
        <v>12674959.369779006</v>
      </c>
      <c r="BD170" s="31">
        <v>301129.93</v>
      </c>
    </row>
    <row r="171" spans="2:56">
      <c r="B171" s="42" t="s">
        <v>457</v>
      </c>
      <c r="C171" s="42" t="s">
        <v>458</v>
      </c>
      <c r="D171" s="43" t="s">
        <v>1049</v>
      </c>
      <c r="E171" s="44">
        <v>32</v>
      </c>
      <c r="F171" s="31">
        <v>11138590.072786625</v>
      </c>
      <c r="G171" s="31">
        <v>217102.42</v>
      </c>
      <c r="H171" s="31">
        <v>0</v>
      </c>
      <c r="I171" s="31">
        <v>38977.100000000006</v>
      </c>
      <c r="J171" s="31">
        <v>1672889.8607153418</v>
      </c>
      <c r="K171" s="31">
        <v>1005722.1061213798</v>
      </c>
      <c r="L171" s="31">
        <v>879596.46810920304</v>
      </c>
      <c r="M171" s="31">
        <f t="shared" si="12"/>
        <v>14952878.027732549</v>
      </c>
      <c r="N171" s="31">
        <v>0</v>
      </c>
      <c r="P171" s="42" t="s">
        <v>457</v>
      </c>
      <c r="Q171" s="42" t="s">
        <v>458</v>
      </c>
      <c r="R171" s="43" t="s">
        <v>1050</v>
      </c>
      <c r="S171" s="44">
        <v>32</v>
      </c>
      <c r="T171" s="31">
        <v>11566910.105650354</v>
      </c>
      <c r="U171" s="31">
        <v>225439.37000000002</v>
      </c>
      <c r="V171" s="31">
        <v>0</v>
      </c>
      <c r="W171" s="31">
        <v>40473.86</v>
      </c>
      <c r="X171" s="31">
        <v>1729603.3420989404</v>
      </c>
      <c r="Y171" s="31">
        <v>1006768.1269970427</v>
      </c>
      <c r="Z171" s="31">
        <v>910937.74753745575</v>
      </c>
      <c r="AA171" s="31">
        <f t="shared" si="13"/>
        <v>15480132.552283792</v>
      </c>
      <c r="AB171" s="31">
        <v>0</v>
      </c>
      <c r="AD171" s="42" t="s">
        <v>457</v>
      </c>
      <c r="AE171" s="42" t="s">
        <v>458</v>
      </c>
      <c r="AF171" s="43" t="s">
        <v>1275</v>
      </c>
      <c r="AG171" s="44">
        <v>32</v>
      </c>
      <c r="AH171" s="31">
        <v>11788742.749163456</v>
      </c>
      <c r="AI171" s="31">
        <v>229849.23</v>
      </c>
      <c r="AJ171" s="31">
        <v>0</v>
      </c>
      <c r="AK171" s="31">
        <v>41265.569999999992</v>
      </c>
      <c r="AL171" s="31">
        <v>1761644.5087696647</v>
      </c>
      <c r="AM171" s="31">
        <v>1006412.7631995288</v>
      </c>
      <c r="AN171" s="31">
        <v>928481.86440941587</v>
      </c>
      <c r="AO171" s="31">
        <f t="shared" si="14"/>
        <v>15756396.685542066</v>
      </c>
      <c r="AP171" s="31">
        <v>0</v>
      </c>
      <c r="AR171" s="42" t="s">
        <v>457</v>
      </c>
      <c r="AS171" s="42" t="s">
        <v>458</v>
      </c>
      <c r="AT171" s="43" t="s">
        <v>1276</v>
      </c>
      <c r="AU171" s="44">
        <v>32</v>
      </c>
      <c r="AV171" s="31">
        <v>12005669.987584442</v>
      </c>
      <c r="AW171" s="31">
        <v>234046.49</v>
      </c>
      <c r="AX171" s="31">
        <v>0</v>
      </c>
      <c r="AY171" s="31">
        <v>42019.119999999995</v>
      </c>
      <c r="AZ171" s="31">
        <v>1794092.1558883477</v>
      </c>
      <c r="BA171" s="31">
        <v>1006469.314140621</v>
      </c>
      <c r="BB171" s="31">
        <v>945600.71543968539</v>
      </c>
      <c r="BC171" s="31">
        <f t="shared" si="15"/>
        <v>16027897.783053095</v>
      </c>
      <c r="BD171" s="31">
        <v>0</v>
      </c>
    </row>
    <row r="172" spans="2:56">
      <c r="B172" s="42" t="s">
        <v>549</v>
      </c>
      <c r="C172" s="42" t="s">
        <v>550</v>
      </c>
      <c r="D172" s="43" t="s">
        <v>1049</v>
      </c>
      <c r="E172" s="44">
        <v>32</v>
      </c>
      <c r="F172" s="31">
        <v>15616052.716939846</v>
      </c>
      <c r="G172" s="31">
        <v>644545.11</v>
      </c>
      <c r="H172" s="31">
        <v>393170.45999999996</v>
      </c>
      <c r="I172" s="31">
        <v>53250.38</v>
      </c>
      <c r="J172" s="31">
        <v>2515480.3160548015</v>
      </c>
      <c r="K172" s="31">
        <v>1293031.5201573034</v>
      </c>
      <c r="L172" s="31">
        <v>811387.76584809774</v>
      </c>
      <c r="M172" s="31">
        <f t="shared" si="12"/>
        <v>21764823.169000044</v>
      </c>
      <c r="N172" s="31">
        <v>437904.9</v>
      </c>
      <c r="P172" s="42" t="s">
        <v>549</v>
      </c>
      <c r="Q172" s="42" t="s">
        <v>550</v>
      </c>
      <c r="R172" s="43" t="s">
        <v>1050</v>
      </c>
      <c r="S172" s="44">
        <v>32</v>
      </c>
      <c r="T172" s="31">
        <v>16394690.212792462</v>
      </c>
      <c r="U172" s="31">
        <v>674701.08000000007</v>
      </c>
      <c r="V172" s="31">
        <v>408060.18000000005</v>
      </c>
      <c r="W172" s="31">
        <v>55267.02</v>
      </c>
      <c r="X172" s="31">
        <v>2600022.2714326531</v>
      </c>
      <c r="Y172" s="31">
        <v>1294042.785146235</v>
      </c>
      <c r="Z172" s="31">
        <v>848127.10024556634</v>
      </c>
      <c r="AA172" s="31">
        <f t="shared" si="13"/>
        <v>22723652.969616916</v>
      </c>
      <c r="AB172" s="31">
        <v>448742.32</v>
      </c>
      <c r="AD172" s="42" t="s">
        <v>549</v>
      </c>
      <c r="AE172" s="42" t="s">
        <v>550</v>
      </c>
      <c r="AF172" s="43" t="s">
        <v>1275</v>
      </c>
      <c r="AG172" s="44">
        <v>32</v>
      </c>
      <c r="AH172" s="31">
        <v>16710382.12532454</v>
      </c>
      <c r="AI172" s="31">
        <v>688738.34999999986</v>
      </c>
      <c r="AJ172" s="31">
        <v>416049.30999999994</v>
      </c>
      <c r="AK172" s="31">
        <v>56349.049999999988</v>
      </c>
      <c r="AL172" s="31">
        <v>2648312.5046113674</v>
      </c>
      <c r="AM172" s="31">
        <v>1293685.8362169391</v>
      </c>
      <c r="AN172" s="31">
        <v>864483.22739582811</v>
      </c>
      <c r="AO172" s="31">
        <f t="shared" si="14"/>
        <v>23134700.503548674</v>
      </c>
      <c r="AP172" s="31">
        <v>456700.10000000003</v>
      </c>
      <c r="AR172" s="42" t="s">
        <v>549</v>
      </c>
      <c r="AS172" s="42" t="s">
        <v>550</v>
      </c>
      <c r="AT172" s="43" t="s">
        <v>1276</v>
      </c>
      <c r="AU172" s="44">
        <v>32</v>
      </c>
      <c r="AV172" s="31">
        <v>17019182.193984315</v>
      </c>
      <c r="AW172" s="31">
        <v>701282.86999999988</v>
      </c>
      <c r="AX172" s="31">
        <v>423701.43999999989</v>
      </c>
      <c r="AY172" s="31">
        <v>57385.440000000002</v>
      </c>
      <c r="AZ172" s="31">
        <v>2697326.7645320166</v>
      </c>
      <c r="BA172" s="31">
        <v>1293741.9466336593</v>
      </c>
      <c r="BB172" s="31">
        <v>880504.64002831827</v>
      </c>
      <c r="BC172" s="31">
        <f t="shared" si="15"/>
        <v>23538348.165178314</v>
      </c>
      <c r="BD172" s="31">
        <v>465222.87000000005</v>
      </c>
    </row>
    <row r="173" spans="2:56">
      <c r="B173" s="42" t="s">
        <v>145</v>
      </c>
      <c r="C173" s="42" t="s">
        <v>146</v>
      </c>
      <c r="D173" s="43" t="s">
        <v>1049</v>
      </c>
      <c r="E173" s="44">
        <v>32</v>
      </c>
      <c r="F173" s="31">
        <v>6384921.8202214371</v>
      </c>
      <c r="G173" s="31">
        <v>340854.69000000006</v>
      </c>
      <c r="H173" s="31">
        <v>28745.600000000002</v>
      </c>
      <c r="I173" s="31">
        <v>20365.53</v>
      </c>
      <c r="J173" s="31">
        <v>898107.67840627523</v>
      </c>
      <c r="K173" s="31">
        <v>593477.41942498717</v>
      </c>
      <c r="L173" s="31">
        <v>346985.02301399177</v>
      </c>
      <c r="M173" s="31">
        <f t="shared" si="12"/>
        <v>8823836.6210666914</v>
      </c>
      <c r="N173" s="31">
        <v>210378.86</v>
      </c>
      <c r="P173" s="42" t="s">
        <v>145</v>
      </c>
      <c r="Q173" s="42" t="s">
        <v>146</v>
      </c>
      <c r="R173" s="43" t="s">
        <v>1050</v>
      </c>
      <c r="S173" s="44">
        <v>32</v>
      </c>
      <c r="T173" s="31">
        <v>6698038.4431459093</v>
      </c>
      <c r="U173" s="31">
        <v>356850.72000000009</v>
      </c>
      <c r="V173" s="31">
        <v>29849.469999999998</v>
      </c>
      <c r="W173" s="31">
        <v>21147.600000000002</v>
      </c>
      <c r="X173" s="31">
        <v>928514.18159834994</v>
      </c>
      <c r="Y173" s="31">
        <v>593848.71721667994</v>
      </c>
      <c r="Z173" s="31">
        <v>362665.11305470142</v>
      </c>
      <c r="AA173" s="31">
        <f t="shared" si="13"/>
        <v>9206464.98501564</v>
      </c>
      <c r="AB173" s="31">
        <v>215550.73999999996</v>
      </c>
      <c r="AD173" s="42" t="s">
        <v>145</v>
      </c>
      <c r="AE173" s="42" t="s">
        <v>146</v>
      </c>
      <c r="AF173" s="43" t="s">
        <v>1275</v>
      </c>
      <c r="AG173" s="44">
        <v>32</v>
      </c>
      <c r="AH173" s="31">
        <v>6826755.9719113223</v>
      </c>
      <c r="AI173" s="31">
        <v>364249.98000000004</v>
      </c>
      <c r="AJ173" s="31">
        <v>30433.37</v>
      </c>
      <c r="AK173" s="31">
        <v>21561.270000000004</v>
      </c>
      <c r="AL173" s="31">
        <v>945709.06692648248</v>
      </c>
      <c r="AM173" s="31">
        <v>593722.57652834919</v>
      </c>
      <c r="AN173" s="31">
        <v>369650.62005420588</v>
      </c>
      <c r="AO173" s="31">
        <f t="shared" si="14"/>
        <v>9371431.2354203612</v>
      </c>
      <c r="AP173" s="31">
        <v>219348.37999999995</v>
      </c>
      <c r="AR173" s="42" t="s">
        <v>145</v>
      </c>
      <c r="AS173" s="42" t="s">
        <v>146</v>
      </c>
      <c r="AT173" s="43" t="s">
        <v>1276</v>
      </c>
      <c r="AU173" s="44">
        <v>32</v>
      </c>
      <c r="AV173" s="31">
        <v>6952080.0427550934</v>
      </c>
      <c r="AW173" s="31">
        <v>370839.74999999994</v>
      </c>
      <c r="AX173" s="31">
        <v>30989.119999999999</v>
      </c>
      <c r="AY173" s="31">
        <v>21955</v>
      </c>
      <c r="AZ173" s="31">
        <v>963117.17651016545</v>
      </c>
      <c r="BA173" s="31">
        <v>593742.64997050911</v>
      </c>
      <c r="BB173" s="31">
        <v>376465.23916103505</v>
      </c>
      <c r="BC173" s="31">
        <f t="shared" si="15"/>
        <v>9532604.6283968035</v>
      </c>
      <c r="BD173" s="31">
        <v>223415.64999999997</v>
      </c>
    </row>
    <row r="174" spans="2:56">
      <c r="B174" s="42" t="s">
        <v>113</v>
      </c>
      <c r="C174" s="42" t="s">
        <v>114</v>
      </c>
      <c r="D174" s="43" t="s">
        <v>1049</v>
      </c>
      <c r="E174" s="44">
        <v>32</v>
      </c>
      <c r="F174" s="31">
        <v>16709870.13729937</v>
      </c>
      <c r="G174" s="31">
        <v>958056.95000000019</v>
      </c>
      <c r="H174" s="31">
        <v>1128386.83</v>
      </c>
      <c r="I174" s="31">
        <v>57198.879999999997</v>
      </c>
      <c r="J174" s="31">
        <v>2692651.9099983489</v>
      </c>
      <c r="K174" s="31">
        <v>1509616.5768358549</v>
      </c>
      <c r="L174" s="31">
        <v>989890.6474760616</v>
      </c>
      <c r="M174" s="31">
        <f t="shared" si="12"/>
        <v>24635882.551609635</v>
      </c>
      <c r="N174" s="31">
        <v>590210.61999999988</v>
      </c>
      <c r="P174" s="42" t="s">
        <v>113</v>
      </c>
      <c r="Q174" s="42" t="s">
        <v>114</v>
      </c>
      <c r="R174" s="43" t="s">
        <v>1050</v>
      </c>
      <c r="S174" s="44">
        <v>32</v>
      </c>
      <c r="T174" s="31">
        <v>17530870.606151011</v>
      </c>
      <c r="U174" s="31">
        <v>1003002.4300000002</v>
      </c>
      <c r="V174" s="31">
        <v>1171718.02</v>
      </c>
      <c r="W174" s="31">
        <v>59395.38</v>
      </c>
      <c r="X174" s="31">
        <v>2783870.6176099</v>
      </c>
      <c r="Y174" s="31">
        <v>1510794.0494598208</v>
      </c>
      <c r="Z174" s="31">
        <v>1034949.9354115529</v>
      </c>
      <c r="AA174" s="31">
        <f t="shared" si="13"/>
        <v>25699321.198632285</v>
      </c>
      <c r="AB174" s="31">
        <v>604720.15999999992</v>
      </c>
      <c r="AD174" s="42" t="s">
        <v>113</v>
      </c>
      <c r="AE174" s="42" t="s">
        <v>114</v>
      </c>
      <c r="AF174" s="43" t="s">
        <v>1275</v>
      </c>
      <c r="AG174" s="44">
        <v>32</v>
      </c>
      <c r="AH174" s="31">
        <v>17867761.582349792</v>
      </c>
      <c r="AI174" s="31">
        <v>1023797.4</v>
      </c>
      <c r="AJ174" s="31">
        <v>1194638.32</v>
      </c>
      <c r="AK174" s="31">
        <v>60557.240000000005</v>
      </c>
      <c r="AL174" s="31">
        <v>2835433.6235394822</v>
      </c>
      <c r="AM174" s="31">
        <v>1510394.0276697625</v>
      </c>
      <c r="AN174" s="31">
        <v>1054885.067304116</v>
      </c>
      <c r="AO174" s="31">
        <f t="shared" si="14"/>
        <v>26162841.560863148</v>
      </c>
      <c r="AP174" s="31">
        <v>615374.29999999993</v>
      </c>
      <c r="AR174" s="42" t="s">
        <v>113</v>
      </c>
      <c r="AS174" s="42" t="s">
        <v>114</v>
      </c>
      <c r="AT174" s="43" t="s">
        <v>1276</v>
      </c>
      <c r="AU174" s="44">
        <v>32</v>
      </c>
      <c r="AV174" s="31">
        <v>18196324.785276286</v>
      </c>
      <c r="AW174" s="31">
        <v>1042319.6000000001</v>
      </c>
      <c r="AX174" s="31">
        <v>1216453.51</v>
      </c>
      <c r="AY174" s="31">
        <v>61663.070000000007</v>
      </c>
      <c r="AZ174" s="31">
        <v>2887643.6710258001</v>
      </c>
      <c r="BA174" s="31">
        <v>1510457.6852759775</v>
      </c>
      <c r="BB174" s="31">
        <v>1074332.5192630908</v>
      </c>
      <c r="BC174" s="31">
        <f t="shared" si="15"/>
        <v>26615979.730841164</v>
      </c>
      <c r="BD174" s="31">
        <v>626784.8899999999</v>
      </c>
    </row>
    <row r="175" spans="2:56">
      <c r="B175" s="42" t="s">
        <v>231</v>
      </c>
      <c r="C175" s="42" t="s">
        <v>232</v>
      </c>
      <c r="D175" s="43" t="s">
        <v>1049</v>
      </c>
      <c r="E175" s="44">
        <v>32</v>
      </c>
      <c r="F175" s="31">
        <v>49315801.343260519</v>
      </c>
      <c r="G175" s="31">
        <v>1299260.1499999999</v>
      </c>
      <c r="H175" s="31">
        <v>426386.77</v>
      </c>
      <c r="I175" s="31">
        <v>176381.41000000003</v>
      </c>
      <c r="J175" s="31">
        <v>7601825.8501590816</v>
      </c>
      <c r="K175" s="31">
        <v>3261896.604598667</v>
      </c>
      <c r="L175" s="31">
        <v>3482825.6920225676</v>
      </c>
      <c r="M175" s="31">
        <f t="shared" si="12"/>
        <v>65675378.400040828</v>
      </c>
      <c r="N175" s="31">
        <v>111000.58</v>
      </c>
      <c r="P175" s="42" t="s">
        <v>231</v>
      </c>
      <c r="Q175" s="42" t="s">
        <v>232</v>
      </c>
      <c r="R175" s="43" t="s">
        <v>1050</v>
      </c>
      <c r="S175" s="44">
        <v>32</v>
      </c>
      <c r="T175" s="31">
        <v>51156731.601169415</v>
      </c>
      <c r="U175" s="31">
        <v>1348599.21</v>
      </c>
      <c r="V175" s="31">
        <v>442144.36000000004</v>
      </c>
      <c r="W175" s="31">
        <v>182899.75000000003</v>
      </c>
      <c r="X175" s="31">
        <v>7854126.5254468098</v>
      </c>
      <c r="Y175" s="31">
        <v>3266227.0981647195</v>
      </c>
      <c r="Z175" s="31">
        <v>3603834.4987034942</v>
      </c>
      <c r="AA175" s="31">
        <f t="shared" si="13"/>
        <v>67968342.253484428</v>
      </c>
      <c r="AB175" s="31">
        <v>113779.20999999998</v>
      </c>
      <c r="AD175" s="42" t="s">
        <v>231</v>
      </c>
      <c r="AE175" s="42" t="s">
        <v>232</v>
      </c>
      <c r="AF175" s="43" t="s">
        <v>1275</v>
      </c>
      <c r="AG175" s="44">
        <v>32</v>
      </c>
      <c r="AH175" s="31">
        <v>52141592.400059767</v>
      </c>
      <c r="AI175" s="31">
        <v>1375232.6099999999</v>
      </c>
      <c r="AJ175" s="31">
        <v>450813.73</v>
      </c>
      <c r="AK175" s="31">
        <v>186485.96999999997</v>
      </c>
      <c r="AL175" s="31">
        <v>8000784.8496036818</v>
      </c>
      <c r="AM175" s="31">
        <v>3264590.4958589077</v>
      </c>
      <c r="AN175" s="31">
        <v>3673473.8785063978</v>
      </c>
      <c r="AO175" s="31">
        <f t="shared" si="14"/>
        <v>69208793.464028746</v>
      </c>
      <c r="AP175" s="31">
        <v>115819.52999999997</v>
      </c>
      <c r="AR175" s="42" t="s">
        <v>231</v>
      </c>
      <c r="AS175" s="42" t="s">
        <v>232</v>
      </c>
      <c r="AT175" s="43" t="s">
        <v>1276</v>
      </c>
      <c r="AU175" s="44">
        <v>32</v>
      </c>
      <c r="AV175" s="31">
        <v>53114263.262602545</v>
      </c>
      <c r="AW175" s="31">
        <v>1400810.05</v>
      </c>
      <c r="AX175" s="31">
        <v>459207.65999999992</v>
      </c>
      <c r="AY175" s="31">
        <v>189958.24999999997</v>
      </c>
      <c r="AZ175" s="31">
        <v>8150333.4211584665</v>
      </c>
      <c r="BA175" s="31">
        <v>3264842.3810114674</v>
      </c>
      <c r="BB175" s="31">
        <v>3742192.9853722672</v>
      </c>
      <c r="BC175" s="31">
        <f t="shared" si="15"/>
        <v>70439612.710144743</v>
      </c>
      <c r="BD175" s="31">
        <v>118004.69999999998</v>
      </c>
    </row>
    <row r="176" spans="2:56">
      <c r="B176" s="42" t="s">
        <v>323</v>
      </c>
      <c r="C176" s="42" t="s">
        <v>324</v>
      </c>
      <c r="D176" s="43" t="s">
        <v>1049</v>
      </c>
      <c r="E176" s="44">
        <v>32</v>
      </c>
      <c r="F176" s="31">
        <v>18452896.1620875</v>
      </c>
      <c r="G176" s="31">
        <v>844105.79</v>
      </c>
      <c r="H176" s="31">
        <v>482126.31</v>
      </c>
      <c r="I176" s="31">
        <v>66793.849999999991</v>
      </c>
      <c r="J176" s="31">
        <v>3123279.1372091332</v>
      </c>
      <c r="K176" s="31">
        <v>2097123.2148924915</v>
      </c>
      <c r="L176" s="31">
        <v>2173907.8017640822</v>
      </c>
      <c r="M176" s="31">
        <f t="shared" si="12"/>
        <v>27673314.875953205</v>
      </c>
      <c r="N176" s="31">
        <v>433082.60999999993</v>
      </c>
      <c r="P176" s="42" t="s">
        <v>323</v>
      </c>
      <c r="Q176" s="42" t="s">
        <v>324</v>
      </c>
      <c r="R176" s="43" t="s">
        <v>1050</v>
      </c>
      <c r="S176" s="44">
        <v>32</v>
      </c>
      <c r="T176" s="31">
        <v>19334757.412000731</v>
      </c>
      <c r="U176" s="31">
        <v>881756.01000000024</v>
      </c>
      <c r="V176" s="31">
        <v>500384.87000000005</v>
      </c>
      <c r="W176" s="31">
        <v>69323.39</v>
      </c>
      <c r="X176" s="31">
        <v>3228293.1332138707</v>
      </c>
      <c r="Y176" s="31">
        <v>2099225.8736789441</v>
      </c>
      <c r="Z176" s="31">
        <v>2272544.8758839369</v>
      </c>
      <c r="AA176" s="31">
        <f t="shared" si="13"/>
        <v>28830086.264777485</v>
      </c>
      <c r="AB176" s="31">
        <v>443800.69999999995</v>
      </c>
      <c r="AD176" s="42" t="s">
        <v>323</v>
      </c>
      <c r="AE176" s="42" t="s">
        <v>324</v>
      </c>
      <c r="AF176" s="43" t="s">
        <v>1275</v>
      </c>
      <c r="AG176" s="44">
        <v>32</v>
      </c>
      <c r="AH176" s="31">
        <v>19705903.160536651</v>
      </c>
      <c r="AI176" s="31">
        <v>899837.95999999985</v>
      </c>
      <c r="AJ176" s="31">
        <v>510181.53</v>
      </c>
      <c r="AK176" s="31">
        <v>70680.61</v>
      </c>
      <c r="AL176" s="31">
        <v>3288267.4515482993</v>
      </c>
      <c r="AM176" s="31">
        <v>2098483.692538775</v>
      </c>
      <c r="AN176" s="31">
        <v>2316370.5594965345</v>
      </c>
      <c r="AO176" s="31">
        <f t="shared" si="14"/>
        <v>29341395.79412026</v>
      </c>
      <c r="AP176" s="31">
        <v>451670.82999999996</v>
      </c>
      <c r="AR176" s="42" t="s">
        <v>323</v>
      </c>
      <c r="AS176" s="42" t="s">
        <v>324</v>
      </c>
      <c r="AT176" s="43" t="s">
        <v>1276</v>
      </c>
      <c r="AU176" s="44">
        <v>32</v>
      </c>
      <c r="AV176" s="31">
        <v>20070219.507383157</v>
      </c>
      <c r="AW176" s="31">
        <v>916266.45999999973</v>
      </c>
      <c r="AX176" s="31">
        <v>519564.97</v>
      </c>
      <c r="AY176" s="31">
        <v>71980.59</v>
      </c>
      <c r="AZ176" s="31">
        <v>3349153.374065991</v>
      </c>
      <c r="BA176" s="31">
        <v>2098600.3593491749</v>
      </c>
      <c r="BB176" s="31">
        <v>2359299.3486409066</v>
      </c>
      <c r="BC176" s="31">
        <f t="shared" si="15"/>
        <v>29845184.359439231</v>
      </c>
      <c r="BD176" s="31">
        <v>460099.74999999994</v>
      </c>
    </row>
    <row r="177" spans="2:56">
      <c r="B177" s="42" t="s">
        <v>353</v>
      </c>
      <c r="C177" s="42" t="s">
        <v>354</v>
      </c>
      <c r="D177" s="43" t="s">
        <v>1049</v>
      </c>
      <c r="E177" s="44">
        <v>32</v>
      </c>
      <c r="F177" s="31">
        <v>1941549.5505428584</v>
      </c>
      <c r="G177" s="31">
        <v>38002.65</v>
      </c>
      <c r="H177" s="31">
        <v>0</v>
      </c>
      <c r="I177" s="31">
        <v>0</v>
      </c>
      <c r="J177" s="31">
        <v>74725.554338031492</v>
      </c>
      <c r="K177" s="31">
        <v>149369.75704981267</v>
      </c>
      <c r="L177" s="31">
        <v>0</v>
      </c>
      <c r="M177" s="31">
        <f t="shared" si="12"/>
        <v>2228787.7519307025</v>
      </c>
      <c r="N177" s="31">
        <v>25140.239999999998</v>
      </c>
      <c r="P177" s="42" t="s">
        <v>353</v>
      </c>
      <c r="Q177" s="42" t="s">
        <v>354</v>
      </c>
      <c r="R177" s="43" t="s">
        <v>1050</v>
      </c>
      <c r="S177" s="44">
        <v>32</v>
      </c>
      <c r="T177" s="31">
        <v>2021276.995912869</v>
      </c>
      <c r="U177" s="31">
        <v>39809.350000000006</v>
      </c>
      <c r="V177" s="31">
        <v>0</v>
      </c>
      <c r="W177" s="31">
        <v>0</v>
      </c>
      <c r="X177" s="31">
        <v>77257.32033826111</v>
      </c>
      <c r="Y177" s="31">
        <v>149530.03785613913</v>
      </c>
      <c r="Z177" s="31">
        <v>0</v>
      </c>
      <c r="AA177" s="31">
        <f t="shared" si="13"/>
        <v>2313631.9841072694</v>
      </c>
      <c r="AB177" s="31">
        <v>25758.280000000002</v>
      </c>
      <c r="AD177" s="42" t="s">
        <v>353</v>
      </c>
      <c r="AE177" s="42" t="s">
        <v>354</v>
      </c>
      <c r="AF177" s="43" t="s">
        <v>1275</v>
      </c>
      <c r="AG177" s="44">
        <v>32</v>
      </c>
      <c r="AH177" s="31">
        <v>2059897.8221636512</v>
      </c>
      <c r="AI177" s="31">
        <v>40638.130000000005</v>
      </c>
      <c r="AJ177" s="31">
        <v>0</v>
      </c>
      <c r="AK177" s="31">
        <v>0</v>
      </c>
      <c r="AL177" s="31">
        <v>78688.113108702251</v>
      </c>
      <c r="AM177" s="31">
        <v>149475.58579181621</v>
      </c>
      <c r="AN177" s="31">
        <v>0</v>
      </c>
      <c r="AO177" s="31">
        <f t="shared" si="14"/>
        <v>2354911.7410641694</v>
      </c>
      <c r="AP177" s="31">
        <v>26212.09</v>
      </c>
      <c r="AR177" s="42" t="s">
        <v>353</v>
      </c>
      <c r="AS177" s="42" t="s">
        <v>354</v>
      </c>
      <c r="AT177" s="43" t="s">
        <v>1276</v>
      </c>
      <c r="AU177" s="44">
        <v>32</v>
      </c>
      <c r="AV177" s="31">
        <v>2097304.046468365</v>
      </c>
      <c r="AW177" s="31">
        <v>41372.839999999997</v>
      </c>
      <c r="AX177" s="31">
        <v>0</v>
      </c>
      <c r="AY177" s="31">
        <v>0</v>
      </c>
      <c r="AZ177" s="31">
        <v>80136.720880170091</v>
      </c>
      <c r="BA177" s="31">
        <v>149484.25103994622</v>
      </c>
      <c r="BB177" s="31">
        <v>0</v>
      </c>
      <c r="BC177" s="31">
        <f t="shared" si="15"/>
        <v>2394995.9883884806</v>
      </c>
      <c r="BD177" s="31">
        <v>26698.13</v>
      </c>
    </row>
    <row r="178" spans="2:56">
      <c r="B178" s="42" t="s">
        <v>509</v>
      </c>
      <c r="C178" s="42" t="s">
        <v>510</v>
      </c>
      <c r="D178" s="43" t="s">
        <v>1049</v>
      </c>
      <c r="E178" s="44">
        <v>32</v>
      </c>
      <c r="F178" s="31">
        <v>123435730.01552919</v>
      </c>
      <c r="G178" s="31">
        <v>4131326.8099999996</v>
      </c>
      <c r="H178" s="31">
        <v>1391366.9499999997</v>
      </c>
      <c r="I178" s="31">
        <v>430464.23000000004</v>
      </c>
      <c r="J178" s="31">
        <v>20149568.994290508</v>
      </c>
      <c r="K178" s="31">
        <v>7819920.7465654491</v>
      </c>
      <c r="L178" s="31">
        <v>9346521.1997727305</v>
      </c>
      <c r="M178" s="31">
        <f t="shared" si="12"/>
        <v>167711904.81615788</v>
      </c>
      <c r="N178" s="31">
        <v>1007005.8700000001</v>
      </c>
      <c r="P178" s="42" t="s">
        <v>509</v>
      </c>
      <c r="Q178" s="42" t="s">
        <v>510</v>
      </c>
      <c r="R178" s="43" t="s">
        <v>1050</v>
      </c>
      <c r="S178" s="44">
        <v>32</v>
      </c>
      <c r="T178" s="31">
        <v>127321394.714747</v>
      </c>
      <c r="U178" s="31">
        <v>4265734.82</v>
      </c>
      <c r="V178" s="31">
        <v>1432107.1800000002</v>
      </c>
      <c r="W178" s="31">
        <v>443068.56</v>
      </c>
      <c r="X178" s="31">
        <v>20683161.849551558</v>
      </c>
      <c r="Y178" s="31">
        <v>7827042.6915352885</v>
      </c>
      <c r="Z178" s="31">
        <v>9611064.1713005118</v>
      </c>
      <c r="AA178" s="31">
        <f t="shared" si="13"/>
        <v>172606625.94713438</v>
      </c>
      <c r="AB178" s="31">
        <v>1023051.96</v>
      </c>
      <c r="AD178" s="42" t="s">
        <v>509</v>
      </c>
      <c r="AE178" s="42" t="s">
        <v>510</v>
      </c>
      <c r="AF178" s="43" t="s">
        <v>1275</v>
      </c>
      <c r="AG178" s="44">
        <v>32</v>
      </c>
      <c r="AH178" s="31">
        <v>129765936.72716922</v>
      </c>
      <c r="AI178" s="31">
        <v>4351151.41</v>
      </c>
      <c r="AJ178" s="31">
        <v>1460133.5000000002</v>
      </c>
      <c r="AK178" s="31">
        <v>451739.39999999997</v>
      </c>
      <c r="AL178" s="31">
        <v>21066834.643118769</v>
      </c>
      <c r="AM178" s="31">
        <v>7824569.3407421829</v>
      </c>
      <c r="AN178" s="31">
        <v>9796282.1722893398</v>
      </c>
      <c r="AO178" s="31">
        <f t="shared" si="14"/>
        <v>175757784.04331949</v>
      </c>
      <c r="AP178" s="31">
        <v>1041136.8500000001</v>
      </c>
      <c r="AR178" s="42" t="s">
        <v>509</v>
      </c>
      <c r="AS178" s="42" t="s">
        <v>510</v>
      </c>
      <c r="AT178" s="43" t="s">
        <v>1276</v>
      </c>
      <c r="AU178" s="44">
        <v>32</v>
      </c>
      <c r="AV178" s="31">
        <v>132159035.9287366</v>
      </c>
      <c r="AW178" s="31">
        <v>4430614.0500000007</v>
      </c>
      <c r="AX178" s="31">
        <v>1486895.28</v>
      </c>
      <c r="AY178" s="31">
        <v>460019.02</v>
      </c>
      <c r="AZ178" s="31">
        <v>21455834.347239569</v>
      </c>
      <c r="BA178" s="31">
        <v>7824960.4678799324</v>
      </c>
      <c r="BB178" s="31">
        <v>9977387.6091266498</v>
      </c>
      <c r="BC178" s="31">
        <f t="shared" si="15"/>
        <v>178855252.47298279</v>
      </c>
      <c r="BD178" s="31">
        <v>1060505.77</v>
      </c>
    </row>
    <row r="179" spans="2:56">
      <c r="B179" s="42" t="s">
        <v>503</v>
      </c>
      <c r="C179" s="42" t="s">
        <v>504</v>
      </c>
      <c r="D179" s="43" t="s">
        <v>1049</v>
      </c>
      <c r="E179" s="44">
        <v>32</v>
      </c>
      <c r="F179" s="31">
        <v>3110220.5753675755</v>
      </c>
      <c r="G179" s="31">
        <v>104848.38999999998</v>
      </c>
      <c r="H179" s="31">
        <v>0</v>
      </c>
      <c r="I179" s="31">
        <v>0</v>
      </c>
      <c r="J179" s="31">
        <v>207434.68508498417</v>
      </c>
      <c r="K179" s="31">
        <v>281291.59612940717</v>
      </c>
      <c r="L179" s="31">
        <v>61693.83171361687</v>
      </c>
      <c r="M179" s="31">
        <f t="shared" si="12"/>
        <v>3808363.8682955839</v>
      </c>
      <c r="N179" s="31">
        <v>42874.790000000008</v>
      </c>
      <c r="P179" s="42" t="s">
        <v>503</v>
      </c>
      <c r="Q179" s="42" t="s">
        <v>504</v>
      </c>
      <c r="R179" s="43" t="s">
        <v>1050</v>
      </c>
      <c r="S179" s="44">
        <v>32</v>
      </c>
      <c r="T179" s="31">
        <v>3238836.1620342969</v>
      </c>
      <c r="U179" s="31">
        <v>109467.06999999998</v>
      </c>
      <c r="V179" s="31">
        <v>0</v>
      </c>
      <c r="W179" s="31">
        <v>0</v>
      </c>
      <c r="X179" s="31">
        <v>214472.2929076789</v>
      </c>
      <c r="Y179" s="31">
        <v>281544.19758662197</v>
      </c>
      <c r="Z179" s="31">
        <v>64499.075378665868</v>
      </c>
      <c r="AA179" s="31">
        <f t="shared" si="13"/>
        <v>3952747.6179072633</v>
      </c>
      <c r="AB179" s="31">
        <v>43928.820000000007</v>
      </c>
      <c r="AD179" s="42" t="s">
        <v>503</v>
      </c>
      <c r="AE179" s="42" t="s">
        <v>504</v>
      </c>
      <c r="AF179" s="43" t="s">
        <v>1275</v>
      </c>
      <c r="AG179" s="44">
        <v>32</v>
      </c>
      <c r="AH179" s="31">
        <v>3300268.0975571177</v>
      </c>
      <c r="AI179" s="31">
        <v>111693.75999999998</v>
      </c>
      <c r="AJ179" s="31">
        <v>0</v>
      </c>
      <c r="AK179" s="31">
        <v>0</v>
      </c>
      <c r="AL179" s="31">
        <v>218447.36450622446</v>
      </c>
      <c r="AM179" s="31">
        <v>281458.38150476175</v>
      </c>
      <c r="AN179" s="31">
        <v>65741.487839311987</v>
      </c>
      <c r="AO179" s="31">
        <f t="shared" si="14"/>
        <v>4022311.8614074159</v>
      </c>
      <c r="AP179" s="31">
        <v>44702.770000000011</v>
      </c>
      <c r="AR179" s="42" t="s">
        <v>503</v>
      </c>
      <c r="AS179" s="42" t="s">
        <v>504</v>
      </c>
      <c r="AT179" s="43" t="s">
        <v>1276</v>
      </c>
      <c r="AU179" s="44">
        <v>32</v>
      </c>
      <c r="AV179" s="31">
        <v>3360684.2562235398</v>
      </c>
      <c r="AW179" s="31">
        <v>113720.81</v>
      </c>
      <c r="AX179" s="31">
        <v>0</v>
      </c>
      <c r="AY179" s="31">
        <v>0</v>
      </c>
      <c r="AZ179" s="31">
        <v>222474.44822433594</v>
      </c>
      <c r="BA179" s="31">
        <v>281472.03787669376</v>
      </c>
      <c r="BB179" s="31">
        <v>66953.527965423971</v>
      </c>
      <c r="BC179" s="31">
        <f t="shared" si="15"/>
        <v>4090836.7502899938</v>
      </c>
      <c r="BD179" s="31">
        <v>45531.670000000013</v>
      </c>
    </row>
    <row r="180" spans="2:56">
      <c r="B180" s="42" t="s">
        <v>219</v>
      </c>
      <c r="C180" s="42" t="s">
        <v>220</v>
      </c>
      <c r="D180" s="43" t="s">
        <v>1049</v>
      </c>
      <c r="E180" s="44">
        <v>32</v>
      </c>
      <c r="F180" s="31">
        <v>208765894.03656435</v>
      </c>
      <c r="G180" s="31">
        <v>2348627.81</v>
      </c>
      <c r="H180" s="31">
        <v>3799313.9599999995</v>
      </c>
      <c r="I180" s="31">
        <v>730368.00999999989</v>
      </c>
      <c r="J180" s="31">
        <v>27960204.93074733</v>
      </c>
      <c r="K180" s="31">
        <v>11460425.155261811</v>
      </c>
      <c r="L180" s="31">
        <v>10817746.007111154</v>
      </c>
      <c r="M180" s="31">
        <f t="shared" si="12"/>
        <v>265882579.90968466</v>
      </c>
      <c r="N180" s="31">
        <v>0</v>
      </c>
      <c r="P180" s="42" t="s">
        <v>219</v>
      </c>
      <c r="Q180" s="42" t="s">
        <v>220</v>
      </c>
      <c r="R180" s="43" t="s">
        <v>1050</v>
      </c>
      <c r="S180" s="44">
        <v>32</v>
      </c>
      <c r="T180" s="31">
        <v>216566385.73511446</v>
      </c>
      <c r="U180" s="31">
        <v>2435423.88</v>
      </c>
      <c r="V180" s="31">
        <v>3939721.72</v>
      </c>
      <c r="W180" s="31">
        <v>757359.57</v>
      </c>
      <c r="X180" s="31">
        <v>28887869.725417875</v>
      </c>
      <c r="Y180" s="31">
        <v>11469474.595419252</v>
      </c>
      <c r="Z180" s="31">
        <v>11193602.979639737</v>
      </c>
      <c r="AA180" s="31">
        <f t="shared" si="13"/>
        <v>275249838.20559132</v>
      </c>
      <c r="AB180" s="31">
        <v>0</v>
      </c>
      <c r="AD180" s="42" t="s">
        <v>219</v>
      </c>
      <c r="AE180" s="42" t="s">
        <v>220</v>
      </c>
      <c r="AF180" s="43" t="s">
        <v>1275</v>
      </c>
      <c r="AG180" s="44">
        <v>32</v>
      </c>
      <c r="AH180" s="31">
        <v>220740745.78390414</v>
      </c>
      <c r="AI180" s="31">
        <v>2483176.6799999997</v>
      </c>
      <c r="AJ180" s="31">
        <v>4016970.1699999995</v>
      </c>
      <c r="AK180" s="31">
        <v>772209.55999999994</v>
      </c>
      <c r="AL180" s="31">
        <v>29427255.151485752</v>
      </c>
      <c r="AM180" s="31">
        <v>11466054.584650947</v>
      </c>
      <c r="AN180" s="31">
        <v>11409904.626353964</v>
      </c>
      <c r="AO180" s="31">
        <f t="shared" si="14"/>
        <v>280316316.55639482</v>
      </c>
      <c r="AP180" s="31">
        <v>0</v>
      </c>
      <c r="AR180" s="42" t="s">
        <v>219</v>
      </c>
      <c r="AS180" s="42" t="s">
        <v>220</v>
      </c>
      <c r="AT180" s="43" t="s">
        <v>1276</v>
      </c>
      <c r="AU180" s="44">
        <v>32</v>
      </c>
      <c r="AV180" s="31">
        <v>224859291.1538972</v>
      </c>
      <c r="AW180" s="31">
        <v>2529412.1199999996</v>
      </c>
      <c r="AX180" s="31">
        <v>4091764.0499999993</v>
      </c>
      <c r="AY180" s="31">
        <v>786587.7</v>
      </c>
      <c r="AZ180" s="31">
        <v>29977244.356736291</v>
      </c>
      <c r="BA180" s="31">
        <v>11466580.949505176</v>
      </c>
      <c r="BB180" s="31">
        <v>11623347.747463861</v>
      </c>
      <c r="BC180" s="31">
        <f t="shared" si="15"/>
        <v>285334228.07760257</v>
      </c>
      <c r="BD180" s="31">
        <v>0</v>
      </c>
    </row>
    <row r="181" spans="2:56">
      <c r="B181" s="42" t="s">
        <v>167</v>
      </c>
      <c r="C181" s="42" t="s">
        <v>168</v>
      </c>
      <c r="D181" s="43" t="s">
        <v>1049</v>
      </c>
      <c r="E181" s="44">
        <v>32</v>
      </c>
      <c r="F181" s="31">
        <v>47837802.29688777</v>
      </c>
      <c r="G181" s="31">
        <v>1462102.0699999996</v>
      </c>
      <c r="H181" s="31">
        <v>369512.68000000005</v>
      </c>
      <c r="I181" s="31">
        <v>170693.52</v>
      </c>
      <c r="J181" s="31">
        <v>8510074.0109630115</v>
      </c>
      <c r="K181" s="31">
        <v>2406459.1287051979</v>
      </c>
      <c r="L181" s="31">
        <v>4453475.4989796439</v>
      </c>
      <c r="M181" s="31">
        <f t="shared" si="12"/>
        <v>65487927.225535631</v>
      </c>
      <c r="N181" s="31">
        <v>277808.02</v>
      </c>
      <c r="P181" s="42" t="s">
        <v>167</v>
      </c>
      <c r="Q181" s="42" t="s">
        <v>168</v>
      </c>
      <c r="R181" s="43" t="s">
        <v>1050</v>
      </c>
      <c r="S181" s="44">
        <v>32</v>
      </c>
      <c r="T181" s="31">
        <v>49640458.574010998</v>
      </c>
      <c r="U181" s="31">
        <v>1520243.44</v>
      </c>
      <c r="V181" s="31">
        <v>383329.35</v>
      </c>
      <c r="W181" s="31">
        <v>177076.03999999998</v>
      </c>
      <c r="X181" s="31">
        <v>8794123.0970001817</v>
      </c>
      <c r="Y181" s="31">
        <v>2408156.5133885415</v>
      </c>
      <c r="Z181" s="31">
        <v>4609422.2543683797</v>
      </c>
      <c r="AA181" s="31">
        <f t="shared" si="13"/>
        <v>67817533.9587681</v>
      </c>
      <c r="AB181" s="31">
        <v>284724.69</v>
      </c>
      <c r="AD181" s="42" t="s">
        <v>167</v>
      </c>
      <c r="AE181" s="42" t="s">
        <v>168</v>
      </c>
      <c r="AF181" s="43" t="s">
        <v>1275</v>
      </c>
      <c r="AG181" s="44">
        <v>32</v>
      </c>
      <c r="AH181" s="31">
        <v>50595249.081744961</v>
      </c>
      <c r="AI181" s="31">
        <v>1550530.49</v>
      </c>
      <c r="AJ181" s="31">
        <v>390840.16</v>
      </c>
      <c r="AK181" s="31">
        <v>180545.59</v>
      </c>
      <c r="AL181" s="31">
        <v>8957919.5246929247</v>
      </c>
      <c r="AM181" s="31">
        <v>2407535.7889636871</v>
      </c>
      <c r="AN181" s="31">
        <v>4698402.4165735915</v>
      </c>
      <c r="AO181" s="31">
        <f t="shared" si="14"/>
        <v>69070826.551975161</v>
      </c>
      <c r="AP181" s="31">
        <v>289803.5</v>
      </c>
      <c r="AR181" s="42" t="s">
        <v>167</v>
      </c>
      <c r="AS181" s="42" t="s">
        <v>168</v>
      </c>
      <c r="AT181" s="43" t="s">
        <v>1276</v>
      </c>
      <c r="AU181" s="44">
        <v>32</v>
      </c>
      <c r="AV181" s="31">
        <v>51534880.216921568</v>
      </c>
      <c r="AW181" s="31">
        <v>1579158.06</v>
      </c>
      <c r="AX181" s="31">
        <v>398075.11000000004</v>
      </c>
      <c r="AY181" s="31">
        <v>183887.72</v>
      </c>
      <c r="AZ181" s="31">
        <v>9124579.5504031051</v>
      </c>
      <c r="BA181" s="31">
        <v>2407632.2883496238</v>
      </c>
      <c r="BB181" s="31">
        <v>4785905.9986072145</v>
      </c>
      <c r="BC181" s="31">
        <f t="shared" si="15"/>
        <v>70309361.8542815</v>
      </c>
      <c r="BD181" s="31">
        <v>295242.91000000003</v>
      </c>
    </row>
    <row r="182" spans="2:56">
      <c r="B182" s="42" t="s">
        <v>579</v>
      </c>
      <c r="C182" s="42" t="s">
        <v>580</v>
      </c>
      <c r="D182" s="43" t="s">
        <v>1049</v>
      </c>
      <c r="E182" s="44">
        <v>32</v>
      </c>
      <c r="F182" s="31">
        <v>2328287.7949679666</v>
      </c>
      <c r="G182" s="31">
        <v>37931.699999999997</v>
      </c>
      <c r="H182" s="31">
        <v>0</v>
      </c>
      <c r="I182" s="31">
        <v>0</v>
      </c>
      <c r="J182" s="31">
        <v>175051.28276503447</v>
      </c>
      <c r="K182" s="31">
        <v>357241.67165562755</v>
      </c>
      <c r="L182" s="31">
        <v>54435.959349026438</v>
      </c>
      <c r="M182" s="31">
        <f t="shared" si="12"/>
        <v>2952948.4087376553</v>
      </c>
      <c r="N182" s="31">
        <v>0</v>
      </c>
      <c r="P182" s="42" t="s">
        <v>579</v>
      </c>
      <c r="Q182" s="42" t="s">
        <v>580</v>
      </c>
      <c r="R182" s="43" t="s">
        <v>1050</v>
      </c>
      <c r="S182" s="44">
        <v>32</v>
      </c>
      <c r="T182" s="31">
        <v>2414723.0694087306</v>
      </c>
      <c r="U182" s="31">
        <v>39374.68</v>
      </c>
      <c r="V182" s="31">
        <v>0</v>
      </c>
      <c r="W182" s="31">
        <v>0</v>
      </c>
      <c r="X182" s="31">
        <v>180951.43831696946</v>
      </c>
      <c r="Y182" s="31">
        <v>357596.47114790545</v>
      </c>
      <c r="Z182" s="31">
        <v>56366.969206492446</v>
      </c>
      <c r="AA182" s="31">
        <f t="shared" si="13"/>
        <v>3049012.6280800984</v>
      </c>
      <c r="AB182" s="31">
        <v>0</v>
      </c>
      <c r="AD182" s="42" t="s">
        <v>579</v>
      </c>
      <c r="AE182" s="42" t="s">
        <v>580</v>
      </c>
      <c r="AF182" s="43" t="s">
        <v>1275</v>
      </c>
      <c r="AG182" s="44">
        <v>32</v>
      </c>
      <c r="AH182" s="31">
        <v>2460978.805407065</v>
      </c>
      <c r="AI182" s="31">
        <v>40145.35</v>
      </c>
      <c r="AJ182" s="31">
        <v>0</v>
      </c>
      <c r="AK182" s="31">
        <v>0</v>
      </c>
      <c r="AL182" s="31">
        <v>184307.76062244072</v>
      </c>
      <c r="AM182" s="31">
        <v>357475.9354130408</v>
      </c>
      <c r="AN182" s="31">
        <v>57453.286812088707</v>
      </c>
      <c r="AO182" s="31">
        <f t="shared" si="14"/>
        <v>3100361.1382546355</v>
      </c>
      <c r="AP182" s="31">
        <v>0</v>
      </c>
      <c r="AR182" s="42" t="s">
        <v>579</v>
      </c>
      <c r="AS182" s="42" t="s">
        <v>580</v>
      </c>
      <c r="AT182" s="43" t="s">
        <v>1276</v>
      </c>
      <c r="AU182" s="44">
        <v>32</v>
      </c>
      <c r="AV182" s="31">
        <v>2505944.1206627786</v>
      </c>
      <c r="AW182" s="31">
        <v>40882.019999999997</v>
      </c>
      <c r="AX182" s="31">
        <v>0</v>
      </c>
      <c r="AY182" s="31">
        <v>0</v>
      </c>
      <c r="AZ182" s="31">
        <v>187710.19035310461</v>
      </c>
      <c r="BA182" s="31">
        <v>357495.11690898816</v>
      </c>
      <c r="BB182" s="31">
        <v>58515.429982922273</v>
      </c>
      <c r="BC182" s="31">
        <f t="shared" si="15"/>
        <v>3150546.877907793</v>
      </c>
      <c r="BD182" s="31">
        <v>0</v>
      </c>
    </row>
    <row r="183" spans="2:56">
      <c r="B183" s="42" t="s">
        <v>165</v>
      </c>
      <c r="C183" s="42" t="s">
        <v>166</v>
      </c>
      <c r="D183" s="43" t="s">
        <v>1049</v>
      </c>
      <c r="E183" s="44">
        <v>32</v>
      </c>
      <c r="F183" s="31">
        <v>3343253.8851690879</v>
      </c>
      <c r="G183" s="31">
        <v>154446.71000000002</v>
      </c>
      <c r="H183" s="31">
        <v>0</v>
      </c>
      <c r="I183" s="31">
        <v>9257.0600000000013</v>
      </c>
      <c r="J183" s="31">
        <v>437668.49279422534</v>
      </c>
      <c r="K183" s="31">
        <v>156279.95291078085</v>
      </c>
      <c r="L183" s="31">
        <v>254948.98544175434</v>
      </c>
      <c r="M183" s="31">
        <f t="shared" si="12"/>
        <v>4440727.7163158488</v>
      </c>
      <c r="N183" s="31">
        <v>84872.63</v>
      </c>
      <c r="P183" s="42" t="s">
        <v>165</v>
      </c>
      <c r="Q183" s="42" t="s">
        <v>166</v>
      </c>
      <c r="R183" s="43" t="s">
        <v>1050</v>
      </c>
      <c r="S183" s="44">
        <v>32</v>
      </c>
      <c r="T183" s="31">
        <v>3496314.1385177434</v>
      </c>
      <c r="U183" s="31">
        <v>161550.33000000007</v>
      </c>
      <c r="V183" s="31">
        <v>0</v>
      </c>
      <c r="W183" s="31">
        <v>9612.5300000000007</v>
      </c>
      <c r="X183" s="31">
        <v>452492.18823602324</v>
      </c>
      <c r="Y183" s="31">
        <v>156421.60933800289</v>
      </c>
      <c r="Z183" s="31">
        <v>266540.24612753734</v>
      </c>
      <c r="AA183" s="31">
        <f t="shared" si="13"/>
        <v>4629890.1522193076</v>
      </c>
      <c r="AB183" s="31">
        <v>86959.11</v>
      </c>
      <c r="AD183" s="42" t="s">
        <v>165</v>
      </c>
      <c r="AE183" s="42" t="s">
        <v>166</v>
      </c>
      <c r="AF183" s="43" t="s">
        <v>1275</v>
      </c>
      <c r="AG183" s="44">
        <v>32</v>
      </c>
      <c r="AH183" s="31">
        <v>3563246.2601244263</v>
      </c>
      <c r="AI183" s="31">
        <v>164879.43000000005</v>
      </c>
      <c r="AJ183" s="31">
        <v>0</v>
      </c>
      <c r="AK183" s="31">
        <v>9800.58</v>
      </c>
      <c r="AL183" s="31">
        <v>460873.62938544637</v>
      </c>
      <c r="AM183" s="31">
        <v>156373.48451842129</v>
      </c>
      <c r="AN183" s="31">
        <v>271674.25440417044</v>
      </c>
      <c r="AO183" s="31">
        <f t="shared" si="14"/>
        <v>4715338.828432465</v>
      </c>
      <c r="AP183" s="31">
        <v>88491.19</v>
      </c>
      <c r="AR183" s="42" t="s">
        <v>165</v>
      </c>
      <c r="AS183" s="42" t="s">
        <v>166</v>
      </c>
      <c r="AT183" s="43" t="s">
        <v>1276</v>
      </c>
      <c r="AU183" s="44">
        <v>32</v>
      </c>
      <c r="AV183" s="31">
        <v>3628507.3250838453</v>
      </c>
      <c r="AW183" s="31">
        <v>167865.37</v>
      </c>
      <c r="AX183" s="31">
        <v>0</v>
      </c>
      <c r="AY183" s="31">
        <v>9979.5399999999991</v>
      </c>
      <c r="AZ183" s="31">
        <v>469360.53224238736</v>
      </c>
      <c r="BA183" s="31">
        <v>156381.14287826626</v>
      </c>
      <c r="BB183" s="31">
        <v>276682.64885880449</v>
      </c>
      <c r="BC183" s="31">
        <f t="shared" si="15"/>
        <v>4798908.5890633035</v>
      </c>
      <c r="BD183" s="31">
        <v>90132.03</v>
      </c>
    </row>
    <row r="184" spans="2:56">
      <c r="B184" s="42" t="s">
        <v>343</v>
      </c>
      <c r="C184" s="42" t="s">
        <v>344</v>
      </c>
      <c r="D184" s="43" t="s">
        <v>1049</v>
      </c>
      <c r="E184" s="44">
        <v>32</v>
      </c>
      <c r="F184" s="31">
        <v>8146740.6846200144</v>
      </c>
      <c r="G184" s="31">
        <v>409844.1100000001</v>
      </c>
      <c r="H184" s="31">
        <v>66845.72</v>
      </c>
      <c r="I184" s="31">
        <v>28745.600000000002</v>
      </c>
      <c r="J184" s="31">
        <v>1297826.7210932132</v>
      </c>
      <c r="K184" s="31">
        <v>905641.90498795279</v>
      </c>
      <c r="L184" s="31">
        <v>740529.53446643322</v>
      </c>
      <c r="M184" s="31">
        <f t="shared" si="12"/>
        <v>11888015.265167614</v>
      </c>
      <c r="N184" s="31">
        <v>291840.99</v>
      </c>
      <c r="P184" s="42" t="s">
        <v>343</v>
      </c>
      <c r="Q184" s="42" t="s">
        <v>344</v>
      </c>
      <c r="R184" s="43" t="s">
        <v>1050</v>
      </c>
      <c r="S184" s="44">
        <v>32</v>
      </c>
      <c r="T184" s="31">
        <v>8541395.8273558058</v>
      </c>
      <c r="U184" s="31">
        <v>429615.02999999997</v>
      </c>
      <c r="V184" s="31">
        <v>69412.659999999989</v>
      </c>
      <c r="W184" s="31">
        <v>29849.469999999998</v>
      </c>
      <c r="X184" s="31">
        <v>1341819.7677298135</v>
      </c>
      <c r="Y184" s="31">
        <v>906303.82699053874</v>
      </c>
      <c r="Z184" s="31">
        <v>774274.97882838547</v>
      </c>
      <c r="AA184" s="31">
        <f t="shared" si="13"/>
        <v>12391687.060904544</v>
      </c>
      <c r="AB184" s="31">
        <v>299015.49999999994</v>
      </c>
      <c r="AD184" s="42" t="s">
        <v>343</v>
      </c>
      <c r="AE184" s="42" t="s">
        <v>344</v>
      </c>
      <c r="AF184" s="43" t="s">
        <v>1275</v>
      </c>
      <c r="AG184" s="44">
        <v>32</v>
      </c>
      <c r="AH184" s="31">
        <v>8705078.0867687166</v>
      </c>
      <c r="AI184" s="31">
        <v>438599.81</v>
      </c>
      <c r="AJ184" s="31">
        <v>70770.460000000006</v>
      </c>
      <c r="AK184" s="31">
        <v>30433.37</v>
      </c>
      <c r="AL184" s="31">
        <v>1366676.9603897179</v>
      </c>
      <c r="AM184" s="31">
        <v>906078.95278203138</v>
      </c>
      <c r="AN184" s="31">
        <v>789188.87998591317</v>
      </c>
      <c r="AO184" s="31">
        <f t="shared" si="14"/>
        <v>12611110.179926381</v>
      </c>
      <c r="AP184" s="31">
        <v>304283.65999999997</v>
      </c>
      <c r="AR184" s="42" t="s">
        <v>343</v>
      </c>
      <c r="AS184" s="42" t="s">
        <v>344</v>
      </c>
      <c r="AT184" s="43" t="s">
        <v>1276</v>
      </c>
      <c r="AU184" s="44">
        <v>32</v>
      </c>
      <c r="AV184" s="31">
        <v>8865258.6106919739</v>
      </c>
      <c r="AW184" s="31">
        <v>446523.37000000017</v>
      </c>
      <c r="AX184" s="31">
        <v>72062.789999999994</v>
      </c>
      <c r="AY184" s="31">
        <v>30989.119999999999</v>
      </c>
      <c r="AZ184" s="31">
        <v>1391849.3087838299</v>
      </c>
      <c r="BA184" s="31">
        <v>906114.7382171473</v>
      </c>
      <c r="BB184" s="31">
        <v>803738.00371778524</v>
      </c>
      <c r="BC184" s="31">
        <f t="shared" si="15"/>
        <v>12826461.781410735</v>
      </c>
      <c r="BD184" s="31">
        <v>309925.83999999991</v>
      </c>
    </row>
    <row r="185" spans="2:56">
      <c r="B185" s="42" t="s">
        <v>163</v>
      </c>
      <c r="C185" s="42" t="s">
        <v>164</v>
      </c>
      <c r="D185" s="43" t="s">
        <v>1049</v>
      </c>
      <c r="E185" s="44">
        <v>32</v>
      </c>
      <c r="F185" s="31">
        <v>5029803.8239824129</v>
      </c>
      <c r="G185" s="31">
        <v>271280.55999999994</v>
      </c>
      <c r="H185" s="31">
        <v>74056.47</v>
      </c>
      <c r="I185" s="31">
        <v>15980.6</v>
      </c>
      <c r="J185" s="31">
        <v>631518.47884935793</v>
      </c>
      <c r="K185" s="31">
        <v>491459.01277668402</v>
      </c>
      <c r="L185" s="31">
        <v>391213.77718566143</v>
      </c>
      <c r="M185" s="31">
        <f t="shared" si="12"/>
        <v>7073693.7627941156</v>
      </c>
      <c r="N185" s="31">
        <v>168381.04</v>
      </c>
      <c r="P185" s="42" t="s">
        <v>163</v>
      </c>
      <c r="Q185" s="42" t="s">
        <v>164</v>
      </c>
      <c r="R185" s="43" t="s">
        <v>1050</v>
      </c>
      <c r="S185" s="44">
        <v>32</v>
      </c>
      <c r="T185" s="31">
        <v>5268629.7390001919</v>
      </c>
      <c r="U185" s="31">
        <v>284024.57999999996</v>
      </c>
      <c r="V185" s="31">
        <v>76900.319999999992</v>
      </c>
      <c r="W185" s="31">
        <v>16594.28</v>
      </c>
      <c r="X185" s="31">
        <v>652908.64660365565</v>
      </c>
      <c r="Y185" s="31">
        <v>491927.21837541624</v>
      </c>
      <c r="Z185" s="31">
        <v>408874.24214906472</v>
      </c>
      <c r="AA185" s="31">
        <f t="shared" si="13"/>
        <v>7372379.4961283291</v>
      </c>
      <c r="AB185" s="31">
        <v>172520.47</v>
      </c>
      <c r="AD185" s="42" t="s">
        <v>163</v>
      </c>
      <c r="AE185" s="42" t="s">
        <v>164</v>
      </c>
      <c r="AF185" s="43" t="s">
        <v>1275</v>
      </c>
      <c r="AG185" s="44">
        <v>32</v>
      </c>
      <c r="AH185" s="31">
        <v>5369666.2248497326</v>
      </c>
      <c r="AI185" s="31">
        <v>289915.67000000004</v>
      </c>
      <c r="AJ185" s="31">
        <v>78404.589999999982</v>
      </c>
      <c r="AK185" s="31">
        <v>16918.890000000003</v>
      </c>
      <c r="AL185" s="31">
        <v>665002.05586842087</v>
      </c>
      <c r="AM185" s="31">
        <v>491768.15527882433</v>
      </c>
      <c r="AN185" s="31">
        <v>416749.92022372282</v>
      </c>
      <c r="AO185" s="31">
        <f t="shared" si="14"/>
        <v>7503985.4962207004</v>
      </c>
      <c r="AP185" s="31">
        <v>175559.98999999996</v>
      </c>
      <c r="AR185" s="42" t="s">
        <v>163</v>
      </c>
      <c r="AS185" s="42" t="s">
        <v>164</v>
      </c>
      <c r="AT185" s="43" t="s">
        <v>1276</v>
      </c>
      <c r="AU185" s="44">
        <v>32</v>
      </c>
      <c r="AV185" s="31">
        <v>5468244.1566425823</v>
      </c>
      <c r="AW185" s="31">
        <v>295160.36</v>
      </c>
      <c r="AX185" s="31">
        <v>79836.339999999982</v>
      </c>
      <c r="AY185" s="31">
        <v>17227.84</v>
      </c>
      <c r="AZ185" s="31">
        <v>677247.3753044433</v>
      </c>
      <c r="BA185" s="31">
        <v>491793.4678398344</v>
      </c>
      <c r="BB185" s="31">
        <v>424433.04138264165</v>
      </c>
      <c r="BC185" s="31">
        <f t="shared" si="15"/>
        <v>7632757.8911695005</v>
      </c>
      <c r="BD185" s="31">
        <v>178815.31</v>
      </c>
    </row>
    <row r="186" spans="2:56">
      <c r="B186" s="42" t="s">
        <v>305</v>
      </c>
      <c r="C186" s="42" t="s">
        <v>306</v>
      </c>
      <c r="D186" s="43" t="s">
        <v>1049</v>
      </c>
      <c r="E186" s="44">
        <v>32</v>
      </c>
      <c r="F186" s="31">
        <v>2727547.5797611778</v>
      </c>
      <c r="G186" s="31">
        <v>77615.27</v>
      </c>
      <c r="H186" s="31">
        <v>0</v>
      </c>
      <c r="I186" s="31">
        <v>6572.24</v>
      </c>
      <c r="J186" s="31">
        <v>256865.7716030709</v>
      </c>
      <c r="K186" s="31">
        <v>333554.33884224819</v>
      </c>
      <c r="L186" s="31">
        <v>130274.2320431015</v>
      </c>
      <c r="M186" s="31">
        <f t="shared" si="12"/>
        <v>3565186.4222495989</v>
      </c>
      <c r="N186" s="31">
        <v>32756.99</v>
      </c>
      <c r="P186" s="42" t="s">
        <v>305</v>
      </c>
      <c r="Q186" s="42" t="s">
        <v>306</v>
      </c>
      <c r="R186" s="43" t="s">
        <v>1050</v>
      </c>
      <c r="S186" s="44">
        <v>32</v>
      </c>
      <c r="T186" s="31">
        <v>2829634.7189207757</v>
      </c>
      <c r="U186" s="31">
        <v>80307.05</v>
      </c>
      <c r="V186" s="31">
        <v>0</v>
      </c>
      <c r="W186" s="31">
        <v>6764.3899999999994</v>
      </c>
      <c r="X186" s="31">
        <v>263682.52602490707</v>
      </c>
      <c r="Y186" s="31">
        <v>333882.90477642184</v>
      </c>
      <c r="Z186" s="31">
        <v>135248.82498563416</v>
      </c>
      <c r="AA186" s="31">
        <f t="shared" si="13"/>
        <v>3682812.2447077385</v>
      </c>
      <c r="AB186" s="31">
        <v>33291.83</v>
      </c>
      <c r="AD186" s="42" t="s">
        <v>305</v>
      </c>
      <c r="AE186" s="42" t="s">
        <v>306</v>
      </c>
      <c r="AF186" s="43" t="s">
        <v>1275</v>
      </c>
      <c r="AG186" s="44">
        <v>32</v>
      </c>
      <c r="AH186" s="31">
        <v>2883954.0262265783</v>
      </c>
      <c r="AI186" s="31">
        <v>81940.439999999973</v>
      </c>
      <c r="AJ186" s="31">
        <v>0</v>
      </c>
      <c r="AK186" s="31">
        <v>6896.85</v>
      </c>
      <c r="AL186" s="31">
        <v>268581.36263231345</v>
      </c>
      <c r="AM186" s="31">
        <v>333768.79847297282</v>
      </c>
      <c r="AN186" s="31">
        <v>137857.45461648004</v>
      </c>
      <c r="AO186" s="31">
        <f t="shared" si="14"/>
        <v>3746881.7519483445</v>
      </c>
      <c r="AP186" s="31">
        <v>33882.820000000007</v>
      </c>
      <c r="AR186" s="42" t="s">
        <v>305</v>
      </c>
      <c r="AS186" s="42" t="s">
        <v>306</v>
      </c>
      <c r="AT186" s="43" t="s">
        <v>1276</v>
      </c>
      <c r="AU186" s="44">
        <v>32</v>
      </c>
      <c r="AV186" s="31">
        <v>2936948.8015489224</v>
      </c>
      <c r="AW186" s="31">
        <v>83440.159999999974</v>
      </c>
      <c r="AX186" s="31">
        <v>0</v>
      </c>
      <c r="AY186" s="31">
        <v>7023.8400000000011</v>
      </c>
      <c r="AZ186" s="31">
        <v>273554.53659751377</v>
      </c>
      <c r="BA186" s="31">
        <v>333786.84284904425</v>
      </c>
      <c r="BB186" s="31">
        <v>140412.784217796</v>
      </c>
      <c r="BC186" s="31">
        <f t="shared" si="15"/>
        <v>3809682.715213276</v>
      </c>
      <c r="BD186" s="31">
        <v>34515.750000000007</v>
      </c>
    </row>
    <row r="187" spans="2:56">
      <c r="B187" s="42" t="s">
        <v>331</v>
      </c>
      <c r="C187" s="42" t="s">
        <v>332</v>
      </c>
      <c r="D187" s="43" t="s">
        <v>1049</v>
      </c>
      <c r="E187" s="44">
        <v>32</v>
      </c>
      <c r="F187" s="31">
        <v>8456601.6162183024</v>
      </c>
      <c r="G187" s="31">
        <v>468496.83</v>
      </c>
      <c r="H187" s="31">
        <v>130844.18000000001</v>
      </c>
      <c r="I187" s="31">
        <v>30062.879999999997</v>
      </c>
      <c r="J187" s="31">
        <v>1332909.2424992614</v>
      </c>
      <c r="K187" s="31">
        <v>535525.255790725</v>
      </c>
      <c r="L187" s="31">
        <v>696550.15804366942</v>
      </c>
      <c r="M187" s="31">
        <f t="shared" si="12"/>
        <v>11959386.962551961</v>
      </c>
      <c r="N187" s="31">
        <v>308396.79999999999</v>
      </c>
      <c r="P187" s="42" t="s">
        <v>331</v>
      </c>
      <c r="Q187" s="42" t="s">
        <v>332</v>
      </c>
      <c r="R187" s="43" t="s">
        <v>1050</v>
      </c>
      <c r="S187" s="44">
        <v>32</v>
      </c>
      <c r="T187" s="31">
        <v>8863887.9639872592</v>
      </c>
      <c r="U187" s="31">
        <v>490435.14999999979</v>
      </c>
      <c r="V187" s="31">
        <v>135821.70000000001</v>
      </c>
      <c r="W187" s="31">
        <v>31206.519999999997</v>
      </c>
      <c r="X187" s="31">
        <v>1377923.3765047325</v>
      </c>
      <c r="Y187" s="31">
        <v>536102.11541374249</v>
      </c>
      <c r="Z187" s="31">
        <v>728257.01123841549</v>
      </c>
      <c r="AA187" s="31">
        <f t="shared" si="13"/>
        <v>12479646.597144147</v>
      </c>
      <c r="AB187" s="31">
        <v>316012.76</v>
      </c>
      <c r="AD187" s="42" t="s">
        <v>331</v>
      </c>
      <c r="AE187" s="42" t="s">
        <v>332</v>
      </c>
      <c r="AF187" s="43" t="s">
        <v>1275</v>
      </c>
      <c r="AG187" s="44">
        <v>32</v>
      </c>
      <c r="AH187" s="31">
        <v>9033882.8840803094</v>
      </c>
      <c r="AI187" s="31">
        <v>500627.28999999992</v>
      </c>
      <c r="AJ187" s="31">
        <v>138480.11000000002</v>
      </c>
      <c r="AK187" s="31">
        <v>31817.32</v>
      </c>
      <c r="AL187" s="31">
        <v>1403489.5347641273</v>
      </c>
      <c r="AM187" s="31">
        <v>535906.13937632542</v>
      </c>
      <c r="AN187" s="31">
        <v>742294.39371475019</v>
      </c>
      <c r="AO187" s="31">
        <f t="shared" si="14"/>
        <v>12708102.721935512</v>
      </c>
      <c r="AP187" s="31">
        <v>321605.05000000005</v>
      </c>
      <c r="AR187" s="42" t="s">
        <v>331</v>
      </c>
      <c r="AS187" s="42" t="s">
        <v>332</v>
      </c>
      <c r="AT187" s="43" t="s">
        <v>1276</v>
      </c>
      <c r="AU187" s="44">
        <v>32</v>
      </c>
      <c r="AV187" s="31">
        <v>9200541.5748724658</v>
      </c>
      <c r="AW187" s="31">
        <v>509725.90999999992</v>
      </c>
      <c r="AX187" s="31">
        <v>141021.23000000001</v>
      </c>
      <c r="AY187" s="31">
        <v>32401.17</v>
      </c>
      <c r="AZ187" s="31">
        <v>1429413.6334104068</v>
      </c>
      <c r="BA187" s="31">
        <v>535937.3260909681</v>
      </c>
      <c r="BB187" s="31">
        <v>756017.32969626458</v>
      </c>
      <c r="BC187" s="31">
        <f t="shared" si="15"/>
        <v>12932652.584070105</v>
      </c>
      <c r="BD187" s="31">
        <v>327594.41000000003</v>
      </c>
    </row>
    <row r="188" spans="2:56">
      <c r="B188" s="42" t="s">
        <v>513</v>
      </c>
      <c r="C188" s="42" t="s">
        <v>514</v>
      </c>
      <c r="D188" s="43" t="s">
        <v>1049</v>
      </c>
      <c r="E188" s="44">
        <v>32</v>
      </c>
      <c r="F188" s="31">
        <v>78542631.492798612</v>
      </c>
      <c r="G188" s="31">
        <v>1869245.8100000005</v>
      </c>
      <c r="H188" s="31">
        <v>490186.5</v>
      </c>
      <c r="I188" s="31">
        <v>0</v>
      </c>
      <c r="J188" s="31">
        <v>12530872.880928913</v>
      </c>
      <c r="K188" s="31">
        <v>4276408.44811262</v>
      </c>
      <c r="L188" s="31">
        <v>6567161.3783787889</v>
      </c>
      <c r="M188" s="31">
        <f t="shared" si="12"/>
        <v>104457892.67021894</v>
      </c>
      <c r="N188" s="31">
        <v>181386.16</v>
      </c>
      <c r="P188" s="42" t="s">
        <v>513</v>
      </c>
      <c r="Q188" s="42" t="s">
        <v>514</v>
      </c>
      <c r="R188" s="43" t="s">
        <v>1050</v>
      </c>
      <c r="S188" s="44">
        <v>32</v>
      </c>
      <c r="T188" s="31">
        <v>81536064.595081121</v>
      </c>
      <c r="U188" s="31">
        <v>1942775.7500000005</v>
      </c>
      <c r="V188" s="31">
        <v>508833.98000000004</v>
      </c>
      <c r="W188" s="31">
        <v>0</v>
      </c>
      <c r="X188" s="31">
        <v>12954103.887994627</v>
      </c>
      <c r="Y188" s="31">
        <v>4280493.5554609746</v>
      </c>
      <c r="Z188" s="31">
        <v>6800089.1983527206</v>
      </c>
      <c r="AA188" s="31">
        <f t="shared" si="13"/>
        <v>108208226.50688946</v>
      </c>
      <c r="AB188" s="31">
        <v>185865.54</v>
      </c>
      <c r="AD188" s="42" t="s">
        <v>513</v>
      </c>
      <c r="AE188" s="42" t="s">
        <v>514</v>
      </c>
      <c r="AF188" s="43" t="s">
        <v>1275</v>
      </c>
      <c r="AG188" s="44">
        <v>32</v>
      </c>
      <c r="AH188" s="31">
        <v>83097951.182040453</v>
      </c>
      <c r="AI188" s="31">
        <v>1981150.0300000005</v>
      </c>
      <c r="AJ188" s="31">
        <v>518793.27</v>
      </c>
      <c r="AK188" s="31">
        <v>0</v>
      </c>
      <c r="AL188" s="31">
        <v>13194471.709149512</v>
      </c>
      <c r="AM188" s="31">
        <v>4279105.725357064</v>
      </c>
      <c r="AN188" s="31">
        <v>6931146.5939286072</v>
      </c>
      <c r="AO188" s="31">
        <f t="shared" si="14"/>
        <v>110191773.21047564</v>
      </c>
      <c r="AP188" s="31">
        <v>189154.7</v>
      </c>
      <c r="AR188" s="42" t="s">
        <v>513</v>
      </c>
      <c r="AS188" s="42" t="s">
        <v>514</v>
      </c>
      <c r="AT188" s="43" t="s">
        <v>1276</v>
      </c>
      <c r="AU188" s="44">
        <v>32</v>
      </c>
      <c r="AV188" s="31">
        <v>84631397.610142738</v>
      </c>
      <c r="AW188" s="31">
        <v>2017452.4900000002</v>
      </c>
      <c r="AX188" s="31">
        <v>528313.13000000012</v>
      </c>
      <c r="AY188" s="31">
        <v>0</v>
      </c>
      <c r="AZ188" s="31">
        <v>13438217.662553331</v>
      </c>
      <c r="BA188" s="31">
        <v>4279326.5781816943</v>
      </c>
      <c r="BB188" s="31">
        <v>7059295.5924284225</v>
      </c>
      <c r="BC188" s="31">
        <f t="shared" si="15"/>
        <v>112146680.43330617</v>
      </c>
      <c r="BD188" s="31">
        <v>192677.37000000002</v>
      </c>
    </row>
    <row r="189" spans="2:56">
      <c r="B189" s="42" t="s">
        <v>329</v>
      </c>
      <c r="C189" s="42" t="s">
        <v>330</v>
      </c>
      <c r="D189" s="43" t="s">
        <v>1049</v>
      </c>
      <c r="E189" s="44">
        <v>32</v>
      </c>
      <c r="F189" s="31">
        <v>56239719.916402251</v>
      </c>
      <c r="G189" s="31">
        <v>2235141.3600000003</v>
      </c>
      <c r="H189" s="31">
        <v>450672.62999999995</v>
      </c>
      <c r="I189" s="31">
        <v>185433.52</v>
      </c>
      <c r="J189" s="31">
        <v>7789237.5685768183</v>
      </c>
      <c r="K189" s="31">
        <v>980577.83151286631</v>
      </c>
      <c r="L189" s="31">
        <v>1523234.1689746305</v>
      </c>
      <c r="M189" s="31">
        <f t="shared" si="12"/>
        <v>70941468.405466557</v>
      </c>
      <c r="N189" s="31">
        <v>1537451.41</v>
      </c>
      <c r="P189" s="42" t="s">
        <v>329</v>
      </c>
      <c r="Q189" s="42" t="s">
        <v>330</v>
      </c>
      <c r="R189" s="43" t="s">
        <v>1050</v>
      </c>
      <c r="S189" s="44">
        <v>32</v>
      </c>
      <c r="T189" s="31">
        <v>58464138.952357687</v>
      </c>
      <c r="U189" s="31">
        <v>2342216.56</v>
      </c>
      <c r="V189" s="31">
        <v>467978.91000000003</v>
      </c>
      <c r="W189" s="31">
        <v>192554.35</v>
      </c>
      <c r="X189" s="31">
        <v>8053700.7940492528</v>
      </c>
      <c r="Y189" s="31">
        <v>981446.84715366689</v>
      </c>
      <c r="Z189" s="31">
        <v>1592734.1895753648</v>
      </c>
      <c r="AA189" s="31">
        <f t="shared" si="13"/>
        <v>73670018.193135962</v>
      </c>
      <c r="AB189" s="31">
        <v>1575247.5899999999</v>
      </c>
      <c r="AD189" s="42" t="s">
        <v>329</v>
      </c>
      <c r="AE189" s="42" t="s">
        <v>330</v>
      </c>
      <c r="AF189" s="43" t="s">
        <v>1275</v>
      </c>
      <c r="AG189" s="44">
        <v>32</v>
      </c>
      <c r="AH189" s="31">
        <v>59557766.778897069</v>
      </c>
      <c r="AI189" s="31">
        <v>2391093.9699999997</v>
      </c>
      <c r="AJ189" s="31">
        <v>477133.19000000006</v>
      </c>
      <c r="AK189" s="31">
        <v>196320.97999999998</v>
      </c>
      <c r="AL189" s="31">
        <v>8203050.6828130241</v>
      </c>
      <c r="AM189" s="31">
        <v>981151.61719659914</v>
      </c>
      <c r="AN189" s="31">
        <v>1623413.1732974637</v>
      </c>
      <c r="AO189" s="31">
        <f t="shared" si="14"/>
        <v>75032931.182204157</v>
      </c>
      <c r="AP189" s="31">
        <v>1603000.79</v>
      </c>
      <c r="AR189" s="42" t="s">
        <v>329</v>
      </c>
      <c r="AS189" s="42" t="s">
        <v>330</v>
      </c>
      <c r="AT189" s="43" t="s">
        <v>1276</v>
      </c>
      <c r="AU189" s="44">
        <v>32</v>
      </c>
      <c r="AV189" s="31">
        <v>60658968.802377611</v>
      </c>
      <c r="AW189" s="31">
        <v>2434306.1399999997</v>
      </c>
      <c r="AX189" s="31">
        <v>485846.08000000007</v>
      </c>
      <c r="AY189" s="31">
        <v>199905.97999999995</v>
      </c>
      <c r="AZ189" s="31">
        <v>8354420.8101151343</v>
      </c>
      <c r="BA189" s="31">
        <v>981198.59871814854</v>
      </c>
      <c r="BB189" s="31">
        <v>1653341.6592023508</v>
      </c>
      <c r="BC189" s="31">
        <f t="shared" si="15"/>
        <v>76400712.540413246</v>
      </c>
      <c r="BD189" s="31">
        <v>1632724.47</v>
      </c>
    </row>
    <row r="190" spans="2:56">
      <c r="B190" s="42" t="s">
        <v>287</v>
      </c>
      <c r="C190" s="42" t="s">
        <v>288</v>
      </c>
      <c r="D190" s="43" t="s">
        <v>1049</v>
      </c>
      <c r="E190" s="44">
        <v>32</v>
      </c>
      <c r="F190" s="31">
        <v>6014857.3301627729</v>
      </c>
      <c r="G190" s="31">
        <v>285214.87000000005</v>
      </c>
      <c r="H190" s="31">
        <v>0</v>
      </c>
      <c r="I190" s="31">
        <v>22216.95</v>
      </c>
      <c r="J190" s="31">
        <v>1006932.7795235945</v>
      </c>
      <c r="K190" s="31">
        <v>660766.32628542359</v>
      </c>
      <c r="L190" s="31">
        <v>957544.64472850435</v>
      </c>
      <c r="M190" s="31">
        <f t="shared" si="12"/>
        <v>9176523.3207002953</v>
      </c>
      <c r="N190" s="31">
        <v>228990.41999999998</v>
      </c>
      <c r="P190" s="42" t="s">
        <v>287</v>
      </c>
      <c r="Q190" s="42" t="s">
        <v>288</v>
      </c>
      <c r="R190" s="43" t="s">
        <v>1050</v>
      </c>
      <c r="S190" s="44">
        <v>32</v>
      </c>
      <c r="T190" s="31">
        <v>6313047.658940983</v>
      </c>
      <c r="U190" s="31">
        <v>299331.46999999997</v>
      </c>
      <c r="V190" s="31">
        <v>0</v>
      </c>
      <c r="W190" s="31">
        <v>23070.100000000002</v>
      </c>
      <c r="X190" s="31">
        <v>1041055.542874419</v>
      </c>
      <c r="Y190" s="31">
        <v>661352.89554711233</v>
      </c>
      <c r="Z190" s="31">
        <v>1001147.6025203454</v>
      </c>
      <c r="AA190" s="31">
        <f t="shared" si="13"/>
        <v>9573625.0998828597</v>
      </c>
      <c r="AB190" s="31">
        <v>234619.83</v>
      </c>
      <c r="AD190" s="42" t="s">
        <v>287</v>
      </c>
      <c r="AE190" s="42" t="s">
        <v>288</v>
      </c>
      <c r="AF190" s="43" t="s">
        <v>1275</v>
      </c>
      <c r="AG190" s="44">
        <v>32</v>
      </c>
      <c r="AH190" s="31">
        <v>6434427.479707228</v>
      </c>
      <c r="AI190" s="31">
        <v>305642.64</v>
      </c>
      <c r="AJ190" s="31">
        <v>0</v>
      </c>
      <c r="AK190" s="31">
        <v>23521.37</v>
      </c>
      <c r="AL190" s="31">
        <v>1060338.9740609562</v>
      </c>
      <c r="AM190" s="31">
        <v>661153.6208622678</v>
      </c>
      <c r="AN190" s="31">
        <v>1020431.5491895177</v>
      </c>
      <c r="AO190" s="31">
        <f t="shared" si="14"/>
        <v>9744269.0738199688</v>
      </c>
      <c r="AP190" s="31">
        <v>238753.43999999997</v>
      </c>
      <c r="AR190" s="42" t="s">
        <v>287</v>
      </c>
      <c r="AS190" s="42" t="s">
        <v>288</v>
      </c>
      <c r="AT190" s="43" t="s">
        <v>1276</v>
      </c>
      <c r="AU190" s="44">
        <v>32</v>
      </c>
      <c r="AV190" s="31">
        <v>6552727.021330175</v>
      </c>
      <c r="AW190" s="31">
        <v>311156.73000000004</v>
      </c>
      <c r="AX190" s="31">
        <v>0</v>
      </c>
      <c r="AY190" s="31">
        <v>23950.890000000003</v>
      </c>
      <c r="AZ190" s="31">
        <v>1079865.1682768231</v>
      </c>
      <c r="BA190" s="31">
        <v>661185.33250831231</v>
      </c>
      <c r="BB190" s="31">
        <v>1039243.7653495214</v>
      </c>
      <c r="BC190" s="31">
        <f t="shared" si="15"/>
        <v>9911309.4374648314</v>
      </c>
      <c r="BD190" s="31">
        <v>243180.52999999997</v>
      </c>
    </row>
    <row r="191" spans="2:56">
      <c r="B191" s="42" t="s">
        <v>483</v>
      </c>
      <c r="C191" s="42" t="s">
        <v>484</v>
      </c>
      <c r="D191" s="43" t="s">
        <v>1049</v>
      </c>
      <c r="E191" s="44">
        <v>32</v>
      </c>
      <c r="F191" s="31">
        <v>586998.00635285024</v>
      </c>
      <c r="G191" s="31">
        <v>24312.62999999999</v>
      </c>
      <c r="H191" s="31">
        <v>0</v>
      </c>
      <c r="I191" s="31">
        <v>1412.37</v>
      </c>
      <c r="J191" s="31">
        <v>50799.773471523069</v>
      </c>
      <c r="K191" s="31">
        <v>126719.06494009375</v>
      </c>
      <c r="L191" s="31">
        <v>0</v>
      </c>
      <c r="M191" s="31">
        <f t="shared" si="12"/>
        <v>804466.21476446709</v>
      </c>
      <c r="N191" s="31">
        <v>14224.370000000003</v>
      </c>
      <c r="P191" s="42" t="s">
        <v>483</v>
      </c>
      <c r="Q191" s="42" t="s">
        <v>484</v>
      </c>
      <c r="R191" s="43" t="s">
        <v>1050</v>
      </c>
      <c r="S191" s="44">
        <v>32</v>
      </c>
      <c r="T191" s="31">
        <v>615808.81975678634</v>
      </c>
      <c r="U191" s="31">
        <v>25427.35</v>
      </c>
      <c r="V191" s="31">
        <v>0</v>
      </c>
      <c r="W191" s="31">
        <v>1466.08</v>
      </c>
      <c r="X191" s="31">
        <v>52511.671086222545</v>
      </c>
      <c r="Y191" s="31">
        <v>126829.87908060927</v>
      </c>
      <c r="Z191" s="31">
        <v>0</v>
      </c>
      <c r="AA191" s="31">
        <f t="shared" si="13"/>
        <v>836619.44992361811</v>
      </c>
      <c r="AB191" s="31">
        <v>14575.65</v>
      </c>
      <c r="AD191" s="42" t="s">
        <v>483</v>
      </c>
      <c r="AE191" s="42" t="s">
        <v>484</v>
      </c>
      <c r="AF191" s="43" t="s">
        <v>1275</v>
      </c>
      <c r="AG191" s="44">
        <v>32</v>
      </c>
      <c r="AH191" s="31">
        <v>627639.25483293645</v>
      </c>
      <c r="AI191" s="31">
        <v>25952.380000000005</v>
      </c>
      <c r="AJ191" s="31">
        <v>0</v>
      </c>
      <c r="AK191" s="31">
        <v>1494.77</v>
      </c>
      <c r="AL191" s="31">
        <v>53485.134890427486</v>
      </c>
      <c r="AM191" s="31">
        <v>126792.23228530333</v>
      </c>
      <c r="AN191" s="31">
        <v>0</v>
      </c>
      <c r="AO191" s="31">
        <f t="shared" si="14"/>
        <v>850197.35200866719</v>
      </c>
      <c r="AP191" s="31">
        <v>14833.580000000002</v>
      </c>
      <c r="AR191" s="42" t="s">
        <v>483</v>
      </c>
      <c r="AS191" s="42" t="s">
        <v>484</v>
      </c>
      <c r="AT191" s="43" t="s">
        <v>1276</v>
      </c>
      <c r="AU191" s="44">
        <v>32</v>
      </c>
      <c r="AV191" s="31">
        <v>639152.04813961289</v>
      </c>
      <c r="AW191" s="31">
        <v>26424.540000000005</v>
      </c>
      <c r="AX191" s="31">
        <v>0</v>
      </c>
      <c r="AY191" s="31">
        <v>1522.2</v>
      </c>
      <c r="AZ191" s="31">
        <v>54471.53984506477</v>
      </c>
      <c r="BA191" s="31">
        <v>126798.22322112332</v>
      </c>
      <c r="BB191" s="31">
        <v>0</v>
      </c>
      <c r="BC191" s="31">
        <f t="shared" si="15"/>
        <v>863478.39120580093</v>
      </c>
      <c r="BD191" s="31">
        <v>15109.84</v>
      </c>
    </row>
    <row r="192" spans="2:56">
      <c r="B192" s="42" t="s">
        <v>395</v>
      </c>
      <c r="C192" s="42" t="s">
        <v>396</v>
      </c>
      <c r="D192" s="43" t="s">
        <v>1049</v>
      </c>
      <c r="E192" s="44">
        <v>32</v>
      </c>
      <c r="F192" s="31">
        <v>7055803.4804237569</v>
      </c>
      <c r="G192" s="31">
        <v>149572.36000000002</v>
      </c>
      <c r="H192" s="31">
        <v>57867.689999999995</v>
      </c>
      <c r="I192" s="31">
        <v>22414.3</v>
      </c>
      <c r="J192" s="31">
        <v>813462.92168334324</v>
      </c>
      <c r="K192" s="31">
        <v>202440.0676892247</v>
      </c>
      <c r="L192" s="31">
        <v>113634.68374271283</v>
      </c>
      <c r="M192" s="31">
        <f t="shared" si="12"/>
        <v>8415195.5035390388</v>
      </c>
      <c r="N192" s="31">
        <v>0</v>
      </c>
      <c r="P192" s="42" t="s">
        <v>395</v>
      </c>
      <c r="Q192" s="42" t="s">
        <v>396</v>
      </c>
      <c r="R192" s="43" t="s">
        <v>1050</v>
      </c>
      <c r="S192" s="44">
        <v>32</v>
      </c>
      <c r="T192" s="31">
        <v>7317117.019836938</v>
      </c>
      <c r="U192" s="31">
        <v>155165.11000000002</v>
      </c>
      <c r="V192" s="31">
        <v>60031.450000000004</v>
      </c>
      <c r="W192" s="31">
        <v>23252.41</v>
      </c>
      <c r="X192" s="31">
        <v>840674.51912135014</v>
      </c>
      <c r="Y192" s="31">
        <v>202602.41209749313</v>
      </c>
      <c r="Z192" s="31">
        <v>117613.82161373628</v>
      </c>
      <c r="AA192" s="31">
        <f t="shared" si="13"/>
        <v>8716456.742669519</v>
      </c>
      <c r="AB192" s="31">
        <v>0</v>
      </c>
      <c r="AD192" s="42" t="s">
        <v>395</v>
      </c>
      <c r="AE192" s="42" t="s">
        <v>396</v>
      </c>
      <c r="AF192" s="43" t="s">
        <v>1275</v>
      </c>
      <c r="AG192" s="44">
        <v>32</v>
      </c>
      <c r="AH192" s="31">
        <v>7456043.0682658115</v>
      </c>
      <c r="AI192" s="31">
        <v>158205.34999999998</v>
      </c>
      <c r="AJ192" s="31">
        <v>61207.67</v>
      </c>
      <c r="AK192" s="31">
        <v>23708.01</v>
      </c>
      <c r="AL192" s="31">
        <v>856341.74136718526</v>
      </c>
      <c r="AM192" s="31">
        <v>202543.04362289829</v>
      </c>
      <c r="AN192" s="31">
        <v>119884.2409312814</v>
      </c>
      <c r="AO192" s="31">
        <f t="shared" si="14"/>
        <v>8877933.1241871752</v>
      </c>
      <c r="AP192" s="31">
        <v>0</v>
      </c>
      <c r="AR192" s="42" t="s">
        <v>395</v>
      </c>
      <c r="AS192" s="42" t="s">
        <v>396</v>
      </c>
      <c r="AT192" s="43" t="s">
        <v>1276</v>
      </c>
      <c r="AU192" s="44">
        <v>32</v>
      </c>
      <c r="AV192" s="31">
        <v>7594227.1058340222</v>
      </c>
      <c r="AW192" s="31">
        <v>161133.92999999996</v>
      </c>
      <c r="AX192" s="31">
        <v>62340.72</v>
      </c>
      <c r="AY192" s="31">
        <v>24146.880000000001</v>
      </c>
      <c r="AZ192" s="31">
        <v>872290.3516707716</v>
      </c>
      <c r="BA192" s="31">
        <v>202552.27319581827</v>
      </c>
      <c r="BB192" s="31">
        <v>122116.9841071722</v>
      </c>
      <c r="BC192" s="31">
        <f t="shared" si="15"/>
        <v>9038808.2448077835</v>
      </c>
      <c r="BD192" s="31">
        <v>0</v>
      </c>
    </row>
    <row r="193" spans="2:56">
      <c r="B193" s="42" t="s">
        <v>453</v>
      </c>
      <c r="C193" s="42" t="s">
        <v>454</v>
      </c>
      <c r="D193" s="43" t="s">
        <v>1049</v>
      </c>
      <c r="E193" s="44">
        <v>32</v>
      </c>
      <c r="F193" s="31">
        <v>743950.00742913526</v>
      </c>
      <c r="G193" s="31">
        <v>6626.11</v>
      </c>
      <c r="H193" s="31">
        <v>0</v>
      </c>
      <c r="I193" s="31">
        <v>0</v>
      </c>
      <c r="J193" s="31">
        <v>38147.509277400262</v>
      </c>
      <c r="K193" s="31">
        <v>32923.575338555747</v>
      </c>
      <c r="L193" s="31">
        <v>0</v>
      </c>
      <c r="M193" s="31">
        <f t="shared" si="12"/>
        <v>821647.2020450912</v>
      </c>
      <c r="N193" s="31">
        <v>0</v>
      </c>
      <c r="P193" s="42" t="s">
        <v>453</v>
      </c>
      <c r="Q193" s="42" t="s">
        <v>454</v>
      </c>
      <c r="R193" s="43" t="s">
        <v>1050</v>
      </c>
      <c r="S193" s="44">
        <v>32</v>
      </c>
      <c r="T193" s="31">
        <v>772430.02675716719</v>
      </c>
      <c r="U193" s="31">
        <v>6880.5499999999993</v>
      </c>
      <c r="V193" s="31">
        <v>0</v>
      </c>
      <c r="W193" s="31">
        <v>0</v>
      </c>
      <c r="X193" s="31">
        <v>39431.58149740722</v>
      </c>
      <c r="Y193" s="31">
        <v>32957.597173473769</v>
      </c>
      <c r="Z193" s="31">
        <v>0</v>
      </c>
      <c r="AA193" s="31">
        <f t="shared" si="13"/>
        <v>851699.7554280482</v>
      </c>
      <c r="AB193" s="31">
        <v>0</v>
      </c>
      <c r="AD193" s="42" t="s">
        <v>453</v>
      </c>
      <c r="AE193" s="42" t="s">
        <v>454</v>
      </c>
      <c r="AF193" s="43" t="s">
        <v>1275</v>
      </c>
      <c r="AG193" s="44">
        <v>32</v>
      </c>
      <c r="AH193" s="31">
        <v>787276.43312334002</v>
      </c>
      <c r="AI193" s="31">
        <v>7015.13</v>
      </c>
      <c r="AJ193" s="31">
        <v>0</v>
      </c>
      <c r="AK193" s="31">
        <v>0</v>
      </c>
      <c r="AL193" s="31">
        <v>40161.129508845661</v>
      </c>
      <c r="AM193" s="31">
        <v>32946.038963942628</v>
      </c>
      <c r="AN193" s="31">
        <v>0</v>
      </c>
      <c r="AO193" s="31">
        <f t="shared" si="14"/>
        <v>867398.73159612832</v>
      </c>
      <c r="AP193" s="31">
        <v>0</v>
      </c>
      <c r="AR193" s="42" t="s">
        <v>453</v>
      </c>
      <c r="AS193" s="42" t="s">
        <v>454</v>
      </c>
      <c r="AT193" s="43" t="s">
        <v>1276</v>
      </c>
      <c r="AU193" s="44">
        <v>32</v>
      </c>
      <c r="AV193" s="31">
        <v>801686.37831025105</v>
      </c>
      <c r="AW193" s="31">
        <v>7143.23</v>
      </c>
      <c r="AX193" s="31">
        <v>0</v>
      </c>
      <c r="AY193" s="31">
        <v>0</v>
      </c>
      <c r="AZ193" s="31">
        <v>40899.165913064513</v>
      </c>
      <c r="BA193" s="31">
        <v>32947.878283622631</v>
      </c>
      <c r="BB193" s="31">
        <v>0</v>
      </c>
      <c r="BC193" s="31">
        <f t="shared" si="15"/>
        <v>882676.6525069382</v>
      </c>
      <c r="BD193" s="31">
        <v>0</v>
      </c>
    </row>
    <row r="194" spans="2:56">
      <c r="B194" s="42" t="s">
        <v>105</v>
      </c>
      <c r="C194" s="42" t="s">
        <v>106</v>
      </c>
      <c r="D194" s="43" t="s">
        <v>1049</v>
      </c>
      <c r="E194" s="44">
        <v>32</v>
      </c>
      <c r="F194" s="31">
        <v>580280.6184730744</v>
      </c>
      <c r="G194" s="31">
        <v>15535.860000000004</v>
      </c>
      <c r="H194" s="31">
        <v>0</v>
      </c>
      <c r="I194" s="31">
        <v>1008.8100000000001</v>
      </c>
      <c r="J194" s="31">
        <v>42434.749134771206</v>
      </c>
      <c r="K194" s="31">
        <v>332269.71829718299</v>
      </c>
      <c r="L194" s="31">
        <v>0</v>
      </c>
      <c r="M194" s="31">
        <f t="shared" si="12"/>
        <v>981012.6659050287</v>
      </c>
      <c r="N194" s="31">
        <v>9482.91</v>
      </c>
      <c r="P194" s="42" t="s">
        <v>105</v>
      </c>
      <c r="Q194" s="42" t="s">
        <v>106</v>
      </c>
      <c r="R194" s="43" t="s">
        <v>1050</v>
      </c>
      <c r="S194" s="44">
        <v>32</v>
      </c>
      <c r="T194" s="31">
        <v>606354.93647221453</v>
      </c>
      <c r="U194" s="31">
        <v>16253.44</v>
      </c>
      <c r="V194" s="31">
        <v>0</v>
      </c>
      <c r="W194" s="31">
        <v>1047.1999999999998</v>
      </c>
      <c r="X194" s="31">
        <v>43862.705010693593</v>
      </c>
      <c r="Y194" s="31">
        <v>332583.79952880356</v>
      </c>
      <c r="Z194" s="31">
        <v>0</v>
      </c>
      <c r="AA194" s="31">
        <f t="shared" si="13"/>
        <v>1009819.1810117116</v>
      </c>
      <c r="AB194" s="31">
        <v>9717.1</v>
      </c>
      <c r="AD194" s="42" t="s">
        <v>105</v>
      </c>
      <c r="AE194" s="42" t="s">
        <v>106</v>
      </c>
      <c r="AF194" s="43" t="s">
        <v>1275</v>
      </c>
      <c r="AG194" s="44">
        <v>32</v>
      </c>
      <c r="AH194" s="31">
        <v>617980.29350470449</v>
      </c>
      <c r="AI194" s="31">
        <v>16589.79</v>
      </c>
      <c r="AJ194" s="31">
        <v>0</v>
      </c>
      <c r="AK194" s="31">
        <v>1067.69</v>
      </c>
      <c r="AL194" s="31">
        <v>44675.773403095198</v>
      </c>
      <c r="AM194" s="31">
        <v>332477.09697458748</v>
      </c>
      <c r="AN194" s="31">
        <v>0</v>
      </c>
      <c r="AO194" s="31">
        <f t="shared" si="14"/>
        <v>1022679.7038823871</v>
      </c>
      <c r="AP194" s="31">
        <v>9889.06</v>
      </c>
      <c r="AR194" s="42" t="s">
        <v>105</v>
      </c>
      <c r="AS194" s="42" t="s">
        <v>106</v>
      </c>
      <c r="AT194" s="43" t="s">
        <v>1276</v>
      </c>
      <c r="AU194" s="44">
        <v>32</v>
      </c>
      <c r="AV194" s="31">
        <v>629272.47420182126</v>
      </c>
      <c r="AW194" s="31">
        <v>16891.509999999998</v>
      </c>
      <c r="AX194" s="31">
        <v>0</v>
      </c>
      <c r="AY194" s="31">
        <v>1087.2800000000002</v>
      </c>
      <c r="AZ194" s="31">
        <v>45499.598840519728</v>
      </c>
      <c r="BA194" s="31">
        <v>332494.07712253748</v>
      </c>
      <c r="BB194" s="31">
        <v>0</v>
      </c>
      <c r="BC194" s="31">
        <f t="shared" si="15"/>
        <v>1035318.1701648785</v>
      </c>
      <c r="BD194" s="31">
        <v>10073.23</v>
      </c>
    </row>
    <row r="195" spans="2:56">
      <c r="B195" s="42" t="s">
        <v>89</v>
      </c>
      <c r="C195" s="42" t="s">
        <v>90</v>
      </c>
      <c r="D195" s="43" t="s">
        <v>1049</v>
      </c>
      <c r="E195" s="44">
        <v>32</v>
      </c>
      <c r="F195" s="31">
        <v>1201730.1683764947</v>
      </c>
      <c r="G195" s="31">
        <v>76784.88</v>
      </c>
      <c r="H195" s="31">
        <v>89744.75</v>
      </c>
      <c r="I195" s="31">
        <v>3897.71</v>
      </c>
      <c r="J195" s="31">
        <v>150004.61351045719</v>
      </c>
      <c r="K195" s="31">
        <v>270288.46799932304</v>
      </c>
      <c r="L195" s="31">
        <v>12749.332884176802</v>
      </c>
      <c r="M195" s="31">
        <f t="shared" si="12"/>
        <v>1844956.5427704516</v>
      </c>
      <c r="N195" s="31">
        <v>39756.620000000003</v>
      </c>
      <c r="P195" s="42" t="s">
        <v>89</v>
      </c>
      <c r="Q195" s="42" t="s">
        <v>90</v>
      </c>
      <c r="R195" s="43" t="s">
        <v>1050</v>
      </c>
      <c r="S195" s="44">
        <v>32</v>
      </c>
      <c r="T195" s="31">
        <v>1266159.9352312961</v>
      </c>
      <c r="U195" s="31">
        <v>80282.830000000016</v>
      </c>
      <c r="V195" s="31">
        <v>93191.049999999988</v>
      </c>
      <c r="W195" s="31">
        <v>4047.3800000000006</v>
      </c>
      <c r="X195" s="31">
        <v>155081.68751211395</v>
      </c>
      <c r="Y195" s="31">
        <v>270530.61714698822</v>
      </c>
      <c r="Z195" s="31">
        <v>13304.620540605152</v>
      </c>
      <c r="AA195" s="31">
        <f t="shared" si="13"/>
        <v>1923332.1104310034</v>
      </c>
      <c r="AB195" s="31">
        <v>40733.99</v>
      </c>
      <c r="AD195" s="42" t="s">
        <v>89</v>
      </c>
      <c r="AE195" s="42" t="s">
        <v>90</v>
      </c>
      <c r="AF195" s="43" t="s">
        <v>1275</v>
      </c>
      <c r="AG195" s="44">
        <v>32</v>
      </c>
      <c r="AH195" s="31">
        <v>1290520.9948861771</v>
      </c>
      <c r="AI195" s="31">
        <v>81932.41</v>
      </c>
      <c r="AJ195" s="31">
        <v>95014.000000000015</v>
      </c>
      <c r="AK195" s="31">
        <v>4126.5599999999995</v>
      </c>
      <c r="AL195" s="31">
        <v>157952.02960292809</v>
      </c>
      <c r="AM195" s="31">
        <v>270448.35201951215</v>
      </c>
      <c r="AN195" s="31">
        <v>13560.825035509255</v>
      </c>
      <c r="AO195" s="31">
        <f t="shared" si="14"/>
        <v>1955006.8215441264</v>
      </c>
      <c r="AP195" s="31">
        <v>41451.65</v>
      </c>
      <c r="AR195" s="42" t="s">
        <v>89</v>
      </c>
      <c r="AS195" s="42" t="s">
        <v>90</v>
      </c>
      <c r="AT195" s="43" t="s">
        <v>1276</v>
      </c>
      <c r="AU195" s="44">
        <v>32</v>
      </c>
      <c r="AV195" s="31">
        <v>1314213.2327093948</v>
      </c>
      <c r="AW195" s="31">
        <v>83416.899999999994</v>
      </c>
      <c r="AX195" s="31">
        <v>96749.040000000008</v>
      </c>
      <c r="AY195" s="31">
        <v>4201.91</v>
      </c>
      <c r="AZ195" s="31">
        <v>160856.68613485733</v>
      </c>
      <c r="BA195" s="31">
        <v>270461.44330908754</v>
      </c>
      <c r="BB195" s="31">
        <v>13810.785500631548</v>
      </c>
      <c r="BC195" s="31">
        <f t="shared" si="15"/>
        <v>1985930.267653971</v>
      </c>
      <c r="BD195" s="31">
        <v>42220.27</v>
      </c>
    </row>
    <row r="196" spans="2:56">
      <c r="B196" s="42" t="s">
        <v>341</v>
      </c>
      <c r="C196" s="42" t="s">
        <v>342</v>
      </c>
      <c r="D196" s="43" t="s">
        <v>1049</v>
      </c>
      <c r="E196" s="44">
        <v>32</v>
      </c>
      <c r="F196" s="31">
        <v>4697330.575340094</v>
      </c>
      <c r="G196" s="31">
        <v>238734.71000000002</v>
      </c>
      <c r="H196" s="31">
        <v>101535.32</v>
      </c>
      <c r="I196" s="31">
        <v>0</v>
      </c>
      <c r="J196" s="31">
        <v>597525.68906491285</v>
      </c>
      <c r="K196" s="31">
        <v>251361.99620982501</v>
      </c>
      <c r="L196" s="31">
        <v>255975.68077863537</v>
      </c>
      <c r="M196" s="31">
        <f t="shared" si="12"/>
        <v>6291941.1113934675</v>
      </c>
      <c r="N196" s="31">
        <v>149477.14000000001</v>
      </c>
      <c r="P196" s="42" t="s">
        <v>341</v>
      </c>
      <c r="Q196" s="42" t="s">
        <v>342</v>
      </c>
      <c r="R196" s="43" t="s">
        <v>1050</v>
      </c>
      <c r="S196" s="44">
        <v>32</v>
      </c>
      <c r="T196" s="31">
        <v>4920275.090719224</v>
      </c>
      <c r="U196" s="31">
        <v>249967.73000000004</v>
      </c>
      <c r="V196" s="31">
        <v>105434.37000000001</v>
      </c>
      <c r="W196" s="31">
        <v>0</v>
      </c>
      <c r="X196" s="31">
        <v>617772.83203486982</v>
      </c>
      <c r="Y196" s="31">
        <v>251601.01319332296</v>
      </c>
      <c r="Z196" s="31">
        <v>267603.6862630606</v>
      </c>
      <c r="AA196" s="31">
        <f t="shared" si="13"/>
        <v>6565806.5622104779</v>
      </c>
      <c r="AB196" s="31">
        <v>153151.84000000003</v>
      </c>
      <c r="AD196" s="42" t="s">
        <v>341</v>
      </c>
      <c r="AE196" s="42" t="s">
        <v>342</v>
      </c>
      <c r="AF196" s="43" t="s">
        <v>1275</v>
      </c>
      <c r="AG196" s="44">
        <v>32</v>
      </c>
      <c r="AH196" s="31">
        <v>5014667.2153438069</v>
      </c>
      <c r="AI196" s="31">
        <v>255154.99000000002</v>
      </c>
      <c r="AJ196" s="31">
        <v>107496.81000000003</v>
      </c>
      <c r="AK196" s="31">
        <v>0</v>
      </c>
      <c r="AL196" s="31">
        <v>629215.85530641302</v>
      </c>
      <c r="AM196" s="31">
        <v>251519.81215336063</v>
      </c>
      <c r="AN196" s="31">
        <v>272758.18486558658</v>
      </c>
      <c r="AO196" s="31">
        <f t="shared" si="14"/>
        <v>6686662.9776691673</v>
      </c>
      <c r="AP196" s="31">
        <v>155850.11000000002</v>
      </c>
      <c r="AR196" s="42" t="s">
        <v>341</v>
      </c>
      <c r="AS196" s="42" t="s">
        <v>342</v>
      </c>
      <c r="AT196" s="43" t="s">
        <v>1276</v>
      </c>
      <c r="AU196" s="44">
        <v>32</v>
      </c>
      <c r="AV196" s="31">
        <v>5106711.8344468735</v>
      </c>
      <c r="AW196" s="31">
        <v>259770.47</v>
      </c>
      <c r="AX196" s="31">
        <v>109459.81</v>
      </c>
      <c r="AY196" s="31">
        <v>0</v>
      </c>
      <c r="AZ196" s="31">
        <v>640802.96793658135</v>
      </c>
      <c r="BA196" s="31">
        <v>251532.73410900065</v>
      </c>
      <c r="BB196" s="31">
        <v>277786.54158773192</v>
      </c>
      <c r="BC196" s="31">
        <f t="shared" si="15"/>
        <v>6804804.3280801857</v>
      </c>
      <c r="BD196" s="31">
        <v>158739.97</v>
      </c>
    </row>
    <row r="197" spans="2:56">
      <c r="B197" s="42" t="s">
        <v>375</v>
      </c>
      <c r="C197" s="42" t="s">
        <v>376</v>
      </c>
      <c r="D197" s="43" t="s">
        <v>1049</v>
      </c>
      <c r="E197" s="44">
        <v>32</v>
      </c>
      <c r="F197" s="31">
        <v>21045219.589709699</v>
      </c>
      <c r="G197" s="31">
        <v>537941.72000000009</v>
      </c>
      <c r="H197" s="31">
        <v>106603.35999999999</v>
      </c>
      <c r="I197" s="31">
        <v>76951.420000000013</v>
      </c>
      <c r="J197" s="31">
        <v>3551729.2492769272</v>
      </c>
      <c r="K197" s="31">
        <v>1512852.7542255726</v>
      </c>
      <c r="L197" s="31">
        <v>2573148.2718259608</v>
      </c>
      <c r="M197" s="31">
        <f t="shared" ref="M197:M260" si="16">SUM(F197:L197,N197)</f>
        <v>29404446.365038164</v>
      </c>
      <c r="N197" s="31">
        <v>0</v>
      </c>
      <c r="P197" s="42" t="s">
        <v>375</v>
      </c>
      <c r="Q197" s="42" t="s">
        <v>376</v>
      </c>
      <c r="R197" s="43" t="s">
        <v>1050</v>
      </c>
      <c r="S197" s="44">
        <v>32</v>
      </c>
      <c r="T197" s="31">
        <v>21847832.134174824</v>
      </c>
      <c r="U197" s="31">
        <v>558314.09</v>
      </c>
      <c r="V197" s="31">
        <v>110640.54</v>
      </c>
      <c r="W197" s="31">
        <v>79865.650000000009</v>
      </c>
      <c r="X197" s="31">
        <v>3671198.1306986609</v>
      </c>
      <c r="Y197" s="31">
        <v>1514087.0250916493</v>
      </c>
      <c r="Z197" s="31">
        <v>2664010.1698122742</v>
      </c>
      <c r="AA197" s="31">
        <f t="shared" ref="AA197:AA260" si="17">SUM(T197:Z197,AB197)</f>
        <v>30445947.739777405</v>
      </c>
      <c r="AB197" s="31">
        <v>0</v>
      </c>
      <c r="AD197" s="42" t="s">
        <v>375</v>
      </c>
      <c r="AE197" s="42" t="s">
        <v>376</v>
      </c>
      <c r="AF197" s="43" t="s">
        <v>1275</v>
      </c>
      <c r="AG197" s="44">
        <v>32</v>
      </c>
      <c r="AH197" s="31">
        <v>22268173.579829127</v>
      </c>
      <c r="AI197" s="31">
        <v>569244.89999999991</v>
      </c>
      <c r="AJ197" s="31">
        <v>112806.7</v>
      </c>
      <c r="AK197" s="31">
        <v>81429.279999999984</v>
      </c>
      <c r="AL197" s="31">
        <v>3739396.3017868828</v>
      </c>
      <c r="AM197" s="31">
        <v>1513651.3611767215</v>
      </c>
      <c r="AN197" s="31">
        <v>2715379.382163614</v>
      </c>
      <c r="AO197" s="31">
        <f t="shared" ref="AO197:AO260" si="18">SUM(AH197:AN197,AP197)</f>
        <v>31000081.504956342</v>
      </c>
      <c r="AP197" s="31">
        <v>0</v>
      </c>
      <c r="AR197" s="42" t="s">
        <v>375</v>
      </c>
      <c r="AS197" s="42" t="s">
        <v>376</v>
      </c>
      <c r="AT197" s="43" t="s">
        <v>1276</v>
      </c>
      <c r="AU197" s="44">
        <v>32</v>
      </c>
      <c r="AV197" s="31">
        <v>22679872.773943964</v>
      </c>
      <c r="AW197" s="31">
        <v>579714.65999999992</v>
      </c>
      <c r="AX197" s="31">
        <v>114881.48</v>
      </c>
      <c r="AY197" s="31">
        <v>82926.95</v>
      </c>
      <c r="AZ197" s="31">
        <v>3808627.6917476454</v>
      </c>
      <c r="BA197" s="31">
        <v>1513719.8451580706</v>
      </c>
      <c r="BB197" s="31">
        <v>2765708.0587064587</v>
      </c>
      <c r="BC197" s="31">
        <f t="shared" ref="BC197:BC260" si="19">SUM(AV197:BB197,BD197)</f>
        <v>31545451.45955614</v>
      </c>
      <c r="BD197" s="31">
        <v>0</v>
      </c>
    </row>
    <row r="198" spans="2:56">
      <c r="B198" s="42" t="s">
        <v>7</v>
      </c>
      <c r="C198" s="42" t="s">
        <v>8</v>
      </c>
      <c r="D198" s="43" t="s">
        <v>1049</v>
      </c>
      <c r="E198" s="44">
        <v>32</v>
      </c>
      <c r="F198" s="31">
        <v>36347326.735194393</v>
      </c>
      <c r="G198" s="31">
        <v>2267102.59</v>
      </c>
      <c r="H198" s="31">
        <v>2886935.8000000007</v>
      </c>
      <c r="I198" s="31">
        <v>125116.46000000002</v>
      </c>
      <c r="J198" s="31">
        <v>5470856.796871393</v>
      </c>
      <c r="K198" s="31">
        <v>2096029.985005335</v>
      </c>
      <c r="L198" s="31">
        <v>2324009.8452922851</v>
      </c>
      <c r="M198" s="31">
        <f t="shared" si="16"/>
        <v>52803622.252363399</v>
      </c>
      <c r="N198" s="31">
        <v>1286244.04</v>
      </c>
      <c r="P198" s="42" t="s">
        <v>7</v>
      </c>
      <c r="Q198" s="42" t="s">
        <v>8</v>
      </c>
      <c r="R198" s="43" t="s">
        <v>1050</v>
      </c>
      <c r="S198" s="44">
        <v>32</v>
      </c>
      <c r="T198" s="31">
        <v>38154248.015374772</v>
      </c>
      <c r="U198" s="31">
        <v>2371934.09</v>
      </c>
      <c r="V198" s="31">
        <v>2997797.05</v>
      </c>
      <c r="W198" s="31">
        <v>129921.06000000001</v>
      </c>
      <c r="X198" s="31">
        <v>5656230.3568504276</v>
      </c>
      <c r="Y198" s="31">
        <v>2097769.7769279904</v>
      </c>
      <c r="Z198" s="31">
        <v>2430009.031423443</v>
      </c>
      <c r="AA198" s="31">
        <f t="shared" si="17"/>
        <v>55155774.020576634</v>
      </c>
      <c r="AB198" s="31">
        <v>1317864.6400000001</v>
      </c>
      <c r="AD198" s="42" t="s">
        <v>7</v>
      </c>
      <c r="AE198" s="42" t="s">
        <v>8</v>
      </c>
      <c r="AF198" s="43" t="s">
        <v>1275</v>
      </c>
      <c r="AG198" s="44">
        <v>32</v>
      </c>
      <c r="AH198" s="31">
        <v>38887842.592387147</v>
      </c>
      <c r="AI198" s="31">
        <v>2420892.73</v>
      </c>
      <c r="AJ198" s="31">
        <v>3056437.7800000003</v>
      </c>
      <c r="AK198" s="31">
        <v>132462.49000000002</v>
      </c>
      <c r="AL198" s="31">
        <v>5760990.3152016904</v>
      </c>
      <c r="AM198" s="31">
        <v>2097178.7188727418</v>
      </c>
      <c r="AN198" s="31">
        <v>2476815.2925350531</v>
      </c>
      <c r="AO198" s="31">
        <f t="shared" si="18"/>
        <v>56173703.098996632</v>
      </c>
      <c r="AP198" s="31">
        <v>1341083.1800000002</v>
      </c>
      <c r="AR198" s="42" t="s">
        <v>7</v>
      </c>
      <c r="AS198" s="42" t="s">
        <v>8</v>
      </c>
      <c r="AT198" s="43" t="s">
        <v>1276</v>
      </c>
      <c r="AU198" s="44">
        <v>32</v>
      </c>
      <c r="AV198" s="31">
        <v>39602888.868154272</v>
      </c>
      <c r="AW198" s="31">
        <v>2464722.8200000003</v>
      </c>
      <c r="AX198" s="31">
        <v>3112251.17</v>
      </c>
      <c r="AY198" s="31">
        <v>134881.38</v>
      </c>
      <c r="AZ198" s="31">
        <v>5867060.811623659</v>
      </c>
      <c r="BA198" s="31">
        <v>2097272.7771012341</v>
      </c>
      <c r="BB198" s="31">
        <v>2522476.5356247062</v>
      </c>
      <c r="BC198" s="31">
        <f t="shared" si="19"/>
        <v>57167504.602503881</v>
      </c>
      <c r="BD198" s="31">
        <v>1365950.24</v>
      </c>
    </row>
    <row r="199" spans="2:56">
      <c r="B199" s="42" t="s">
        <v>93</v>
      </c>
      <c r="C199" s="42" t="s">
        <v>94</v>
      </c>
      <c r="D199" s="43" t="s">
        <v>1049</v>
      </c>
      <c r="E199" s="44">
        <v>32</v>
      </c>
      <c r="F199" s="31">
        <v>403263.79399110691</v>
      </c>
      <c r="G199" s="31">
        <v>12472.669999999998</v>
      </c>
      <c r="H199" s="31">
        <v>12570.099999999999</v>
      </c>
      <c r="I199" s="31">
        <v>0</v>
      </c>
      <c r="J199" s="31">
        <v>48951.989249271959</v>
      </c>
      <c r="K199" s="31">
        <v>93000.615266374734</v>
      </c>
      <c r="L199" s="31">
        <v>0</v>
      </c>
      <c r="M199" s="31">
        <f t="shared" si="16"/>
        <v>576592.94850675366</v>
      </c>
      <c r="N199" s="31">
        <v>6333.78</v>
      </c>
      <c r="P199" s="42" t="s">
        <v>93</v>
      </c>
      <c r="Q199" s="42" t="s">
        <v>94</v>
      </c>
      <c r="R199" s="43" t="s">
        <v>1050</v>
      </c>
      <c r="S199" s="44">
        <v>32</v>
      </c>
      <c r="T199" s="31">
        <v>421166.70628282323</v>
      </c>
      <c r="U199" s="31">
        <v>13039.130000000001</v>
      </c>
      <c r="V199" s="31">
        <v>13052.82</v>
      </c>
      <c r="W199" s="31">
        <v>0</v>
      </c>
      <c r="X199" s="31">
        <v>50604.115376220245</v>
      </c>
      <c r="Y199" s="31">
        <v>93078.374028111662</v>
      </c>
      <c r="Z199" s="31">
        <v>0</v>
      </c>
      <c r="AA199" s="31">
        <f t="shared" si="17"/>
        <v>597430.64568715519</v>
      </c>
      <c r="AB199" s="31">
        <v>6489.5</v>
      </c>
      <c r="AD199" s="42" t="s">
        <v>93</v>
      </c>
      <c r="AE199" s="42" t="s">
        <v>94</v>
      </c>
      <c r="AF199" s="43" t="s">
        <v>1275</v>
      </c>
      <c r="AG199" s="44">
        <v>32</v>
      </c>
      <c r="AH199" s="31">
        <v>429231.87104070635</v>
      </c>
      <c r="AI199" s="31">
        <v>13306.799999999997</v>
      </c>
      <c r="AJ199" s="31">
        <v>13308.16</v>
      </c>
      <c r="AK199" s="31">
        <v>0</v>
      </c>
      <c r="AL199" s="31">
        <v>51540.522685067983</v>
      </c>
      <c r="AM199" s="31">
        <v>93051.95710900065</v>
      </c>
      <c r="AN199" s="31">
        <v>0</v>
      </c>
      <c r="AO199" s="31">
        <f t="shared" si="18"/>
        <v>607043.14083477494</v>
      </c>
      <c r="AP199" s="31">
        <v>6603.83</v>
      </c>
      <c r="AR199" s="42" t="s">
        <v>93</v>
      </c>
      <c r="AS199" s="42" t="s">
        <v>94</v>
      </c>
      <c r="AT199" s="43" t="s">
        <v>1276</v>
      </c>
      <c r="AU199" s="44">
        <v>32</v>
      </c>
      <c r="AV199" s="31">
        <v>437045.49180647911</v>
      </c>
      <c r="AW199" s="31">
        <v>13547.95</v>
      </c>
      <c r="AX199" s="31">
        <v>13551.180000000002</v>
      </c>
      <c r="AY199" s="31">
        <v>0</v>
      </c>
      <c r="AZ199" s="31">
        <v>52487.953911251185</v>
      </c>
      <c r="BA199" s="31">
        <v>93056.160974579907</v>
      </c>
      <c r="BB199" s="31">
        <v>0</v>
      </c>
      <c r="BC199" s="31">
        <f t="shared" si="19"/>
        <v>616415.00669231021</v>
      </c>
      <c r="BD199" s="31">
        <v>6726.2699999999995</v>
      </c>
    </row>
    <row r="200" spans="2:56">
      <c r="B200" s="42" t="s">
        <v>565</v>
      </c>
      <c r="C200" s="42" t="s">
        <v>566</v>
      </c>
      <c r="D200" s="43" t="s">
        <v>1049</v>
      </c>
      <c r="E200" s="44">
        <v>32</v>
      </c>
      <c r="F200" s="31">
        <v>2210879.432647232</v>
      </c>
      <c r="G200" s="31">
        <v>34689.61</v>
      </c>
      <c r="H200" s="31">
        <v>0</v>
      </c>
      <c r="I200" s="31">
        <v>0</v>
      </c>
      <c r="J200" s="31">
        <v>163641.20748194394</v>
      </c>
      <c r="K200" s="31">
        <v>0</v>
      </c>
      <c r="L200" s="31">
        <v>85352.69647737511</v>
      </c>
      <c r="M200" s="31">
        <f t="shared" si="16"/>
        <v>2494562.9466065508</v>
      </c>
      <c r="N200" s="31">
        <v>0</v>
      </c>
      <c r="P200" s="42" t="s">
        <v>565</v>
      </c>
      <c r="Q200" s="42" t="s">
        <v>566</v>
      </c>
      <c r="R200" s="43" t="s">
        <v>1050</v>
      </c>
      <c r="S200" s="44">
        <v>32</v>
      </c>
      <c r="T200" s="31">
        <v>2293568.6267762957</v>
      </c>
      <c r="U200" s="31">
        <v>36021.729999999996</v>
      </c>
      <c r="V200" s="31">
        <v>0</v>
      </c>
      <c r="W200" s="31">
        <v>0</v>
      </c>
      <c r="X200" s="31">
        <v>169181.13608330209</v>
      </c>
      <c r="Y200" s="31">
        <v>0</v>
      </c>
      <c r="Z200" s="31">
        <v>88394.122817759475</v>
      </c>
      <c r="AA200" s="31">
        <f t="shared" si="17"/>
        <v>2587165.6156773572</v>
      </c>
      <c r="AB200" s="31">
        <v>0</v>
      </c>
      <c r="AD200" s="42" t="s">
        <v>565</v>
      </c>
      <c r="AE200" s="42" t="s">
        <v>566</v>
      </c>
      <c r="AF200" s="43" t="s">
        <v>1275</v>
      </c>
      <c r="AG200" s="44">
        <v>32</v>
      </c>
      <c r="AH200" s="31">
        <v>2337484.8250784166</v>
      </c>
      <c r="AI200" s="31">
        <v>36726.369999999995</v>
      </c>
      <c r="AJ200" s="31">
        <v>0</v>
      </c>
      <c r="AK200" s="31">
        <v>0</v>
      </c>
      <c r="AL200" s="31">
        <v>172314.53420860539</v>
      </c>
      <c r="AM200" s="31">
        <v>0</v>
      </c>
      <c r="AN200" s="31">
        <v>90096.676456668269</v>
      </c>
      <c r="AO200" s="31">
        <f t="shared" si="18"/>
        <v>2636622.4057436907</v>
      </c>
      <c r="AP200" s="31">
        <v>0</v>
      </c>
      <c r="AR200" s="42" t="s">
        <v>565</v>
      </c>
      <c r="AS200" s="42" t="s">
        <v>566</v>
      </c>
      <c r="AT200" s="43" t="s">
        <v>1276</v>
      </c>
      <c r="AU200" s="44">
        <v>32</v>
      </c>
      <c r="AV200" s="31">
        <v>2380077.0516834939</v>
      </c>
      <c r="AW200" s="31">
        <v>37397.03</v>
      </c>
      <c r="AX200" s="31">
        <v>0</v>
      </c>
      <c r="AY200" s="31">
        <v>0</v>
      </c>
      <c r="AZ200" s="31">
        <v>175487.09739123302</v>
      </c>
      <c r="BA200" s="31">
        <v>0</v>
      </c>
      <c r="BB200" s="31">
        <v>91757.970108739581</v>
      </c>
      <c r="BC200" s="31">
        <f t="shared" si="19"/>
        <v>2684719.1491834661</v>
      </c>
      <c r="BD200" s="31">
        <v>0</v>
      </c>
    </row>
    <row r="201" spans="2:56">
      <c r="B201" s="42" t="s">
        <v>111</v>
      </c>
      <c r="C201" s="42" t="s">
        <v>112</v>
      </c>
      <c r="D201" s="43" t="s">
        <v>1049</v>
      </c>
      <c r="E201" s="44">
        <v>32</v>
      </c>
      <c r="F201" s="31">
        <v>146711126.16986844</v>
      </c>
      <c r="G201" s="31">
        <v>8277272.7699999977</v>
      </c>
      <c r="H201" s="31">
        <v>9979792.1700000018</v>
      </c>
      <c r="I201" s="31">
        <v>507481.75</v>
      </c>
      <c r="J201" s="31">
        <v>20982185.700044595</v>
      </c>
      <c r="K201" s="31">
        <v>8015744.0452046283</v>
      </c>
      <c r="L201" s="31">
        <v>10579337.216825472</v>
      </c>
      <c r="M201" s="31">
        <f t="shared" si="16"/>
        <v>209846927.30194318</v>
      </c>
      <c r="N201" s="31">
        <v>4793987.4800000004</v>
      </c>
      <c r="P201" s="42" t="s">
        <v>111</v>
      </c>
      <c r="Q201" s="42" t="s">
        <v>112</v>
      </c>
      <c r="R201" s="43" t="s">
        <v>1050</v>
      </c>
      <c r="S201" s="44">
        <v>32</v>
      </c>
      <c r="T201" s="31">
        <v>153968108.01079926</v>
      </c>
      <c r="U201" s="31">
        <v>8661368.6099999994</v>
      </c>
      <c r="V201" s="31">
        <v>10363026.26</v>
      </c>
      <c r="W201" s="31">
        <v>526969.56999999995</v>
      </c>
      <c r="X201" s="31">
        <v>21693049.577778589</v>
      </c>
      <c r="Y201" s="31">
        <v>8023340.9625950577</v>
      </c>
      <c r="Z201" s="31">
        <v>11061863.398895126</v>
      </c>
      <c r="AA201" s="31">
        <f t="shared" si="17"/>
        <v>219209567.64006796</v>
      </c>
      <c r="AB201" s="31">
        <v>4911841.25</v>
      </c>
      <c r="AD201" s="42" t="s">
        <v>111</v>
      </c>
      <c r="AE201" s="42" t="s">
        <v>112</v>
      </c>
      <c r="AF201" s="43" t="s">
        <v>1275</v>
      </c>
      <c r="AG201" s="44">
        <v>32</v>
      </c>
      <c r="AH201" s="31">
        <v>156926996.7218664</v>
      </c>
      <c r="AI201" s="31">
        <v>8840339.6099999994</v>
      </c>
      <c r="AJ201" s="31">
        <v>10565740.33</v>
      </c>
      <c r="AK201" s="31">
        <v>537277.75</v>
      </c>
      <c r="AL201" s="31">
        <v>22094836.862528011</v>
      </c>
      <c r="AM201" s="31">
        <v>8020760.0682017691</v>
      </c>
      <c r="AN201" s="31">
        <v>11274935.05919826</v>
      </c>
      <c r="AO201" s="31">
        <f t="shared" si="18"/>
        <v>223259266.00179443</v>
      </c>
      <c r="AP201" s="31">
        <v>4998379.6000000006</v>
      </c>
      <c r="AR201" s="42" t="s">
        <v>111</v>
      </c>
      <c r="AS201" s="42" t="s">
        <v>112</v>
      </c>
      <c r="AT201" s="43" t="s">
        <v>1276</v>
      </c>
      <c r="AU201" s="44">
        <v>32</v>
      </c>
      <c r="AV201" s="31">
        <v>159812460.95464161</v>
      </c>
      <c r="AW201" s="31">
        <v>9000364.8199999966</v>
      </c>
      <c r="AX201" s="31">
        <v>10758680.5</v>
      </c>
      <c r="AY201" s="31">
        <v>547088.95000000007</v>
      </c>
      <c r="AZ201" s="31">
        <v>22501655.845847096</v>
      </c>
      <c r="BA201" s="31">
        <v>8021170.7797256242</v>
      </c>
      <c r="BB201" s="31">
        <v>11482794.567325154</v>
      </c>
      <c r="BC201" s="31">
        <f t="shared" si="19"/>
        <v>227215278.58753943</v>
      </c>
      <c r="BD201" s="31">
        <v>5091062.1700000009</v>
      </c>
    </row>
    <row r="202" spans="2:56">
      <c r="B202" s="42" t="s">
        <v>335</v>
      </c>
      <c r="C202" s="42" t="s">
        <v>336</v>
      </c>
      <c r="D202" s="43" t="s">
        <v>1049</v>
      </c>
      <c r="E202" s="44">
        <v>32</v>
      </c>
      <c r="F202" s="31">
        <v>3263872.2500538221</v>
      </c>
      <c r="G202" s="31">
        <v>137502.41000000003</v>
      </c>
      <c r="H202" s="31">
        <v>57301.08</v>
      </c>
      <c r="I202" s="31">
        <v>8574.99</v>
      </c>
      <c r="J202" s="31">
        <v>370516.36197021039</v>
      </c>
      <c r="K202" s="31">
        <v>197071.99173807609</v>
      </c>
      <c r="L202" s="31">
        <v>101937.06604758077</v>
      </c>
      <c r="M202" s="31">
        <f t="shared" si="16"/>
        <v>4218490.69980969</v>
      </c>
      <c r="N202" s="31">
        <v>81714.55</v>
      </c>
      <c r="P202" s="42" t="s">
        <v>335</v>
      </c>
      <c r="Q202" s="42" t="s">
        <v>336</v>
      </c>
      <c r="R202" s="43" t="s">
        <v>1050</v>
      </c>
      <c r="S202" s="44">
        <v>32</v>
      </c>
      <c r="T202" s="31">
        <v>3412768.4563921019</v>
      </c>
      <c r="U202" s="31">
        <v>143823.79</v>
      </c>
      <c r="V202" s="31">
        <v>59480.9</v>
      </c>
      <c r="W202" s="31">
        <v>8901.18</v>
      </c>
      <c r="X202" s="31">
        <v>383031.40410838922</v>
      </c>
      <c r="Y202" s="31">
        <v>197287.89566039282</v>
      </c>
      <c r="Z202" s="31">
        <v>106495.09851652291</v>
      </c>
      <c r="AA202" s="31">
        <f t="shared" si="17"/>
        <v>4395521.2546774074</v>
      </c>
      <c r="AB202" s="31">
        <v>83732.53</v>
      </c>
      <c r="AD202" s="42" t="s">
        <v>335</v>
      </c>
      <c r="AE202" s="42" t="s">
        <v>336</v>
      </c>
      <c r="AF202" s="43" t="s">
        <v>1275</v>
      </c>
      <c r="AG202" s="44">
        <v>32</v>
      </c>
      <c r="AH202" s="31">
        <v>3478214.8832017346</v>
      </c>
      <c r="AI202" s="31">
        <v>146795.94999999998</v>
      </c>
      <c r="AJ202" s="31">
        <v>60645.1</v>
      </c>
      <c r="AK202" s="31">
        <v>9075.4</v>
      </c>
      <c r="AL202" s="31">
        <v>390137.65883626987</v>
      </c>
      <c r="AM202" s="31">
        <v>197214.54680138081</v>
      </c>
      <c r="AN202" s="31">
        <v>108547.77936234695</v>
      </c>
      <c r="AO202" s="31">
        <f t="shared" si="18"/>
        <v>4475845.6082017319</v>
      </c>
      <c r="AP202" s="31">
        <v>85214.290000000008</v>
      </c>
      <c r="AR202" s="42" t="s">
        <v>335</v>
      </c>
      <c r="AS202" s="42" t="s">
        <v>336</v>
      </c>
      <c r="AT202" s="43" t="s">
        <v>1276</v>
      </c>
      <c r="AU202" s="44">
        <v>32</v>
      </c>
      <c r="AV202" s="31">
        <v>3542060.4980214881</v>
      </c>
      <c r="AW202" s="31">
        <v>149466.35999999999</v>
      </c>
      <c r="AX202" s="31">
        <v>61757.93</v>
      </c>
      <c r="AY202" s="31">
        <v>9241.94</v>
      </c>
      <c r="AZ202" s="31">
        <v>397342.95609515801</v>
      </c>
      <c r="BA202" s="31">
        <v>197226.21919748359</v>
      </c>
      <c r="BB202" s="31">
        <v>110554.47887146453</v>
      </c>
      <c r="BC202" s="31">
        <f t="shared" si="19"/>
        <v>4554451.642185594</v>
      </c>
      <c r="BD202" s="31">
        <v>86801.260000000009</v>
      </c>
    </row>
    <row r="203" spans="2:56">
      <c r="B203" s="42" t="s">
        <v>19</v>
      </c>
      <c r="C203" s="42" t="s">
        <v>20</v>
      </c>
      <c r="D203" s="43" t="s">
        <v>1049</v>
      </c>
      <c r="E203" s="44">
        <v>32</v>
      </c>
      <c r="F203" s="31">
        <v>1239863.3363786475</v>
      </c>
      <c r="G203" s="31">
        <v>88088.22</v>
      </c>
      <c r="H203" s="31">
        <v>42972.24</v>
      </c>
      <c r="I203" s="31">
        <v>0</v>
      </c>
      <c r="J203" s="31">
        <v>181282.11538752014</v>
      </c>
      <c r="K203" s="31">
        <v>332092.50042596896</v>
      </c>
      <c r="L203" s="31">
        <v>0</v>
      </c>
      <c r="M203" s="31">
        <f t="shared" si="16"/>
        <v>1924932.0421921364</v>
      </c>
      <c r="N203" s="31">
        <v>40633.629999999997</v>
      </c>
      <c r="P203" s="42" t="s">
        <v>19</v>
      </c>
      <c r="Q203" s="42" t="s">
        <v>20</v>
      </c>
      <c r="R203" s="43" t="s">
        <v>1050</v>
      </c>
      <c r="S203" s="44">
        <v>32</v>
      </c>
      <c r="T203" s="31">
        <v>1306316.6561007979</v>
      </c>
      <c r="U203" s="31">
        <v>92032.360000000015</v>
      </c>
      <c r="V203" s="31">
        <v>44622.42</v>
      </c>
      <c r="W203" s="31">
        <v>0</v>
      </c>
      <c r="X203" s="31">
        <v>187418.54957979443</v>
      </c>
      <c r="Y203" s="31">
        <v>332414.68196837831</v>
      </c>
      <c r="Z203" s="31">
        <v>0</v>
      </c>
      <c r="AA203" s="31">
        <f t="shared" si="17"/>
        <v>2004437.2176489709</v>
      </c>
      <c r="AB203" s="31">
        <v>41632.549999999996</v>
      </c>
      <c r="AD203" s="42" t="s">
        <v>19</v>
      </c>
      <c r="AE203" s="42" t="s">
        <v>20</v>
      </c>
      <c r="AF203" s="43" t="s">
        <v>1275</v>
      </c>
      <c r="AG203" s="44">
        <v>32</v>
      </c>
      <c r="AH203" s="31">
        <v>1331450.0082450332</v>
      </c>
      <c r="AI203" s="31">
        <v>93913.51</v>
      </c>
      <c r="AJ203" s="31">
        <v>45495.3</v>
      </c>
      <c r="AK203" s="31">
        <v>0</v>
      </c>
      <c r="AL203" s="31">
        <v>190887.44013643512</v>
      </c>
      <c r="AM203" s="31">
        <v>332305.22750235064</v>
      </c>
      <c r="AN203" s="31">
        <v>0</v>
      </c>
      <c r="AO203" s="31">
        <f t="shared" si="18"/>
        <v>2036417.5358838192</v>
      </c>
      <c r="AP203" s="31">
        <v>42366.05</v>
      </c>
      <c r="AR203" s="42" t="s">
        <v>19</v>
      </c>
      <c r="AS203" s="42" t="s">
        <v>20</v>
      </c>
      <c r="AT203" s="43" t="s">
        <v>1276</v>
      </c>
      <c r="AU203" s="44">
        <v>32</v>
      </c>
      <c r="AV203" s="31">
        <v>1355894.8517774288</v>
      </c>
      <c r="AW203" s="31">
        <v>95616.530000000028</v>
      </c>
      <c r="AX203" s="31">
        <v>46326.080000000009</v>
      </c>
      <c r="AY203" s="31">
        <v>0</v>
      </c>
      <c r="AZ203" s="31">
        <v>194397.83288622918</v>
      </c>
      <c r="BA203" s="31">
        <v>332322.64557674067</v>
      </c>
      <c r="BB203" s="31">
        <v>0</v>
      </c>
      <c r="BC203" s="31">
        <f t="shared" si="19"/>
        <v>2067709.5602403986</v>
      </c>
      <c r="BD203" s="31">
        <v>43151.619999999995</v>
      </c>
    </row>
    <row r="204" spans="2:56">
      <c r="B204" s="42" t="s">
        <v>289</v>
      </c>
      <c r="C204" s="42" t="s">
        <v>290</v>
      </c>
      <c r="D204" s="43" t="s">
        <v>1049</v>
      </c>
      <c r="E204" s="44">
        <v>32</v>
      </c>
      <c r="F204" s="31">
        <v>2880735.7406535917</v>
      </c>
      <c r="G204" s="31">
        <v>94526.58</v>
      </c>
      <c r="H204" s="31">
        <v>0</v>
      </c>
      <c r="I204" s="31">
        <v>7162.6399999999985</v>
      </c>
      <c r="J204" s="31">
        <v>351495.72769695142</v>
      </c>
      <c r="K204" s="31">
        <v>190085.30553271354</v>
      </c>
      <c r="L204" s="31">
        <v>194332.88077086539</v>
      </c>
      <c r="M204" s="31">
        <f t="shared" si="16"/>
        <v>3792890.8046541223</v>
      </c>
      <c r="N204" s="31">
        <v>74551.930000000008</v>
      </c>
      <c r="P204" s="42" t="s">
        <v>289</v>
      </c>
      <c r="Q204" s="42" t="s">
        <v>290</v>
      </c>
      <c r="R204" s="43" t="s">
        <v>1050</v>
      </c>
      <c r="S204" s="44">
        <v>32</v>
      </c>
      <c r="T204" s="31">
        <v>3011931.9037462939</v>
      </c>
      <c r="U204" s="31">
        <v>99117.52</v>
      </c>
      <c r="V204" s="31">
        <v>0</v>
      </c>
      <c r="W204" s="31">
        <v>7435.119999999999</v>
      </c>
      <c r="X204" s="31">
        <v>363357.01746360108</v>
      </c>
      <c r="Y204" s="31">
        <v>190256.27884637541</v>
      </c>
      <c r="Z204" s="31">
        <v>203110.58727474033</v>
      </c>
      <c r="AA204" s="31">
        <f t="shared" si="17"/>
        <v>3951601.4473310108</v>
      </c>
      <c r="AB204" s="31">
        <v>76393.02</v>
      </c>
      <c r="AD204" s="42" t="s">
        <v>289</v>
      </c>
      <c r="AE204" s="42" t="s">
        <v>290</v>
      </c>
      <c r="AF204" s="43" t="s">
        <v>1275</v>
      </c>
      <c r="AG204" s="44">
        <v>32</v>
      </c>
      <c r="AH204" s="31">
        <v>3069732.0410780949</v>
      </c>
      <c r="AI204" s="31">
        <v>101200.88</v>
      </c>
      <c r="AJ204" s="31">
        <v>0</v>
      </c>
      <c r="AK204" s="31">
        <v>7580.64</v>
      </c>
      <c r="AL204" s="31">
        <v>370097.11562645982</v>
      </c>
      <c r="AM204" s="31">
        <v>190198.1942254754</v>
      </c>
      <c r="AN204" s="31">
        <v>207025.70375253356</v>
      </c>
      <c r="AO204" s="31">
        <f t="shared" si="18"/>
        <v>4023579.4646825637</v>
      </c>
      <c r="AP204" s="31">
        <v>77744.890000000014</v>
      </c>
      <c r="AR204" s="42" t="s">
        <v>289</v>
      </c>
      <c r="AS204" s="42" t="s">
        <v>290</v>
      </c>
      <c r="AT204" s="43" t="s">
        <v>1276</v>
      </c>
      <c r="AU204" s="44">
        <v>32</v>
      </c>
      <c r="AV204" s="31">
        <v>3125990.7652261741</v>
      </c>
      <c r="AW204" s="31">
        <v>103036.66000000002</v>
      </c>
      <c r="AX204" s="31">
        <v>0</v>
      </c>
      <c r="AY204" s="31">
        <v>7719.76</v>
      </c>
      <c r="AZ204" s="31">
        <v>376930.21282965451</v>
      </c>
      <c r="BA204" s="31">
        <v>190207.43754175538</v>
      </c>
      <c r="BB204" s="31">
        <v>210853.12736493006</v>
      </c>
      <c r="BC204" s="31">
        <f t="shared" si="19"/>
        <v>4093930.7329625143</v>
      </c>
      <c r="BD204" s="31">
        <v>79192.77</v>
      </c>
    </row>
    <row r="205" spans="2:56">
      <c r="B205" s="42" t="s">
        <v>379</v>
      </c>
      <c r="C205" s="42" t="s">
        <v>380</v>
      </c>
      <c r="D205" s="43" t="s">
        <v>1049</v>
      </c>
      <c r="E205" s="44">
        <v>32</v>
      </c>
      <c r="F205" s="31">
        <v>76944510.108828098</v>
      </c>
      <c r="G205" s="31">
        <v>1274802.6000000001</v>
      </c>
      <c r="H205" s="31">
        <v>346055.97000000003</v>
      </c>
      <c r="I205" s="31">
        <v>275666.05000000005</v>
      </c>
      <c r="J205" s="31">
        <v>11568412.728672519</v>
      </c>
      <c r="K205" s="31">
        <v>5956432.45225731</v>
      </c>
      <c r="L205" s="31">
        <v>5451540.93344157</v>
      </c>
      <c r="M205" s="31">
        <f t="shared" si="16"/>
        <v>101891813.98319948</v>
      </c>
      <c r="N205" s="31">
        <v>74393.14</v>
      </c>
      <c r="P205" s="42" t="s">
        <v>379</v>
      </c>
      <c r="Q205" s="42" t="s">
        <v>380</v>
      </c>
      <c r="R205" s="43" t="s">
        <v>1050</v>
      </c>
      <c r="S205" s="44">
        <v>32</v>
      </c>
      <c r="T205" s="31">
        <v>79830627.998987928</v>
      </c>
      <c r="U205" s="31">
        <v>1322994.3900000001</v>
      </c>
      <c r="V205" s="31">
        <v>358893.53000000009</v>
      </c>
      <c r="W205" s="31">
        <v>285892.38</v>
      </c>
      <c r="X205" s="31">
        <v>11953561.846130585</v>
      </c>
      <c r="Y205" s="31">
        <v>5962032.7023024103</v>
      </c>
      <c r="Z205" s="31">
        <v>5641682.2731209863</v>
      </c>
      <c r="AA205" s="31">
        <f t="shared" si="17"/>
        <v>105431937.2605419</v>
      </c>
      <c r="AB205" s="31">
        <v>76252.14</v>
      </c>
      <c r="AD205" s="42" t="s">
        <v>379</v>
      </c>
      <c r="AE205" s="42" t="s">
        <v>380</v>
      </c>
      <c r="AF205" s="43" t="s">
        <v>1275</v>
      </c>
      <c r="AG205" s="44">
        <v>32</v>
      </c>
      <c r="AH205" s="31">
        <v>81367433.435397923</v>
      </c>
      <c r="AI205" s="31">
        <v>1349058.8699999999</v>
      </c>
      <c r="AJ205" s="31">
        <v>365928.93999999994</v>
      </c>
      <c r="AK205" s="31">
        <v>291496.73</v>
      </c>
      <c r="AL205" s="31">
        <v>12176517.74038705</v>
      </c>
      <c r="AM205" s="31">
        <v>5959984.7210625662</v>
      </c>
      <c r="AN205" s="31">
        <v>5750653.7979265982</v>
      </c>
      <c r="AO205" s="31">
        <f t="shared" si="18"/>
        <v>107338691.41477416</v>
      </c>
      <c r="AP205" s="31">
        <v>77617.180000000008</v>
      </c>
      <c r="AR205" s="42" t="s">
        <v>379</v>
      </c>
      <c r="AS205" s="42" t="s">
        <v>380</v>
      </c>
      <c r="AT205" s="43" t="s">
        <v>1276</v>
      </c>
      <c r="AU205" s="44">
        <v>32</v>
      </c>
      <c r="AV205" s="31">
        <v>82882357.19694066</v>
      </c>
      <c r="AW205" s="31">
        <v>1374111.01</v>
      </c>
      <c r="AX205" s="31">
        <v>372729.55999999994</v>
      </c>
      <c r="AY205" s="31">
        <v>296914.05999999994</v>
      </c>
      <c r="AZ205" s="31">
        <v>12403632.438624915</v>
      </c>
      <c r="BA205" s="31">
        <v>5960303.1053956812</v>
      </c>
      <c r="BB205" s="31">
        <v>5858005.8291338105</v>
      </c>
      <c r="BC205" s="31">
        <f t="shared" si="19"/>
        <v>109227132.34009507</v>
      </c>
      <c r="BD205" s="31">
        <v>79079.14</v>
      </c>
    </row>
    <row r="206" spans="2:56">
      <c r="B206" s="42" t="s">
        <v>1317</v>
      </c>
      <c r="C206" s="42" t="s">
        <v>1318</v>
      </c>
      <c r="D206" s="43" t="s">
        <v>1049</v>
      </c>
      <c r="E206" s="44">
        <v>32</v>
      </c>
      <c r="F206" s="31">
        <v>951358.83248754556</v>
      </c>
      <c r="G206" s="31">
        <v>33593.760000000002</v>
      </c>
      <c r="H206" s="31">
        <v>11904.09</v>
      </c>
      <c r="I206" s="31">
        <v>0</v>
      </c>
      <c r="J206" s="31">
        <v>131187.9391513748</v>
      </c>
      <c r="K206" s="31">
        <v>0</v>
      </c>
      <c r="L206" s="31">
        <v>0</v>
      </c>
      <c r="M206" s="31">
        <f t="shared" si="16"/>
        <v>1128044.6216389204</v>
      </c>
      <c r="N206" s="31">
        <v>0</v>
      </c>
      <c r="P206" s="42" t="s">
        <v>1317</v>
      </c>
      <c r="Q206" s="42" t="s">
        <v>1318</v>
      </c>
      <c r="R206" s="43" t="s">
        <v>1050</v>
      </c>
      <c r="S206" s="44">
        <v>32</v>
      </c>
      <c r="T206" s="31">
        <v>981215.28568520641</v>
      </c>
      <c r="U206" s="31">
        <v>34577.42</v>
      </c>
      <c r="V206" s="31">
        <v>12252.659999999998</v>
      </c>
      <c r="W206" s="31">
        <v>0</v>
      </c>
      <c r="X206" s="31">
        <v>134718.53610254428</v>
      </c>
      <c r="Y206" s="31">
        <v>0</v>
      </c>
      <c r="Z206" s="31">
        <v>0</v>
      </c>
      <c r="AA206" s="31">
        <f t="shared" si="17"/>
        <v>1162763.9017877509</v>
      </c>
      <c r="AB206" s="31">
        <v>0</v>
      </c>
      <c r="AD206" s="42" t="s">
        <v>1317</v>
      </c>
      <c r="AE206" s="42" t="s">
        <v>1318</v>
      </c>
      <c r="AF206" s="43" t="s">
        <v>1275</v>
      </c>
      <c r="AG206" s="44">
        <v>32</v>
      </c>
      <c r="AH206" s="31">
        <v>1000082.7771972709</v>
      </c>
      <c r="AI206" s="31">
        <v>35254.089999999997</v>
      </c>
      <c r="AJ206" s="31">
        <v>12492.44</v>
      </c>
      <c r="AK206" s="31">
        <v>0</v>
      </c>
      <c r="AL206" s="31">
        <v>137217.4752845864</v>
      </c>
      <c r="AM206" s="31">
        <v>0</v>
      </c>
      <c r="AN206" s="31">
        <v>0</v>
      </c>
      <c r="AO206" s="31">
        <f t="shared" si="18"/>
        <v>1185046.7824818571</v>
      </c>
      <c r="AP206" s="31">
        <v>0</v>
      </c>
      <c r="AR206" s="42" t="s">
        <v>1317</v>
      </c>
      <c r="AS206" s="42" t="s">
        <v>1318</v>
      </c>
      <c r="AT206" s="43" t="s">
        <v>1276</v>
      </c>
      <c r="AU206" s="44">
        <v>32</v>
      </c>
      <c r="AV206" s="31">
        <v>1018531.0884083717</v>
      </c>
      <c r="AW206" s="31">
        <v>35900.240000000005</v>
      </c>
      <c r="AX206" s="31">
        <v>12721.4</v>
      </c>
      <c r="AY206" s="31">
        <v>0</v>
      </c>
      <c r="AZ206" s="31">
        <v>139751.11069644088</v>
      </c>
      <c r="BA206" s="31">
        <v>0</v>
      </c>
      <c r="BB206" s="31">
        <v>0</v>
      </c>
      <c r="BC206" s="31">
        <f t="shared" si="19"/>
        <v>1206903.8391048124</v>
      </c>
      <c r="BD206" s="31">
        <v>0</v>
      </c>
    </row>
    <row r="207" spans="2:56">
      <c r="B207" s="42" t="s">
        <v>321</v>
      </c>
      <c r="C207" s="42" t="s">
        <v>322</v>
      </c>
      <c r="D207" s="43" t="s">
        <v>1049</v>
      </c>
      <c r="E207" s="44">
        <v>32</v>
      </c>
      <c r="F207" s="31">
        <v>6125186.5355924778</v>
      </c>
      <c r="G207" s="31">
        <v>279660.63</v>
      </c>
      <c r="H207" s="31">
        <v>50085.570000000007</v>
      </c>
      <c r="I207" s="31">
        <v>19391.120000000003</v>
      </c>
      <c r="J207" s="31">
        <v>943840.28873090807</v>
      </c>
      <c r="K207" s="31">
        <v>671718.46139702224</v>
      </c>
      <c r="L207" s="31">
        <v>0</v>
      </c>
      <c r="M207" s="31">
        <f t="shared" si="16"/>
        <v>8286229.7057204079</v>
      </c>
      <c r="N207" s="31">
        <v>196347.09999999998</v>
      </c>
      <c r="P207" s="42" t="s">
        <v>321</v>
      </c>
      <c r="Q207" s="42" t="s">
        <v>322</v>
      </c>
      <c r="R207" s="43" t="s">
        <v>1050</v>
      </c>
      <c r="S207" s="44">
        <v>32</v>
      </c>
      <c r="T207" s="31">
        <v>6446549.9678590028</v>
      </c>
      <c r="U207" s="31">
        <v>293112.89999999991</v>
      </c>
      <c r="V207" s="31">
        <v>52008.9</v>
      </c>
      <c r="W207" s="31">
        <v>20135.739999999998</v>
      </c>
      <c r="X207" s="31">
        <v>975763.42262629583</v>
      </c>
      <c r="Y207" s="31">
        <v>672327.39875193429</v>
      </c>
      <c r="Z207" s="31">
        <v>0</v>
      </c>
      <c r="AA207" s="31">
        <f t="shared" si="17"/>
        <v>8661072.3592372332</v>
      </c>
      <c r="AB207" s="31">
        <v>201174.03000000003</v>
      </c>
      <c r="AD207" s="42" t="s">
        <v>321</v>
      </c>
      <c r="AE207" s="42" t="s">
        <v>322</v>
      </c>
      <c r="AF207" s="43" t="s">
        <v>1275</v>
      </c>
      <c r="AG207" s="44">
        <v>32</v>
      </c>
      <c r="AH207" s="31">
        <v>6570342.9536244115</v>
      </c>
      <c r="AI207" s="31">
        <v>299237.42999999993</v>
      </c>
      <c r="AJ207" s="31">
        <v>53026.260000000009</v>
      </c>
      <c r="AK207" s="31">
        <v>20529.62</v>
      </c>
      <c r="AL207" s="31">
        <v>993824.56710502377</v>
      </c>
      <c r="AM207" s="31">
        <v>672120.52497348085</v>
      </c>
      <c r="AN207" s="31">
        <v>0</v>
      </c>
      <c r="AO207" s="31">
        <f t="shared" si="18"/>
        <v>8813799.735702917</v>
      </c>
      <c r="AP207" s="31">
        <v>204718.38</v>
      </c>
      <c r="AR207" s="42" t="s">
        <v>321</v>
      </c>
      <c r="AS207" s="42" t="s">
        <v>322</v>
      </c>
      <c r="AT207" s="43" t="s">
        <v>1276</v>
      </c>
      <c r="AU207" s="44">
        <v>32</v>
      </c>
      <c r="AV207" s="31">
        <v>6691008.2612741617</v>
      </c>
      <c r="AW207" s="31">
        <v>304644.12999999995</v>
      </c>
      <c r="AX207" s="31">
        <v>53994.57</v>
      </c>
      <c r="AY207" s="31">
        <v>20904.510000000002</v>
      </c>
      <c r="AZ207" s="31">
        <v>1012102.5320299235</v>
      </c>
      <c r="BA207" s="31">
        <v>672153.44590392092</v>
      </c>
      <c r="BB207" s="31">
        <v>0</v>
      </c>
      <c r="BC207" s="31">
        <f t="shared" si="19"/>
        <v>8963321.8292080071</v>
      </c>
      <c r="BD207" s="31">
        <v>208514.38</v>
      </c>
    </row>
    <row r="208" spans="2:56">
      <c r="B208" s="42" t="s">
        <v>119</v>
      </c>
      <c r="C208" s="42" t="s">
        <v>120</v>
      </c>
      <c r="D208" s="43" t="s">
        <v>1049</v>
      </c>
      <c r="E208" s="44">
        <v>32</v>
      </c>
      <c r="F208" s="31">
        <v>3521560.9433224779</v>
      </c>
      <c r="G208" s="31">
        <v>118839.19999999997</v>
      </c>
      <c r="H208" s="31">
        <v>5144.9800000000014</v>
      </c>
      <c r="I208" s="31">
        <v>0</v>
      </c>
      <c r="J208" s="31">
        <v>487177.17231426295</v>
      </c>
      <c r="K208" s="31">
        <v>298951.78896501078</v>
      </c>
      <c r="L208" s="31">
        <v>476038.16963427508</v>
      </c>
      <c r="M208" s="31">
        <f t="shared" si="16"/>
        <v>5014243.8442360265</v>
      </c>
      <c r="N208" s="31">
        <v>106531.59000000001</v>
      </c>
      <c r="P208" s="42" t="s">
        <v>119</v>
      </c>
      <c r="Q208" s="42" t="s">
        <v>120</v>
      </c>
      <c r="R208" s="43" t="s">
        <v>1050</v>
      </c>
      <c r="S208" s="44">
        <v>32</v>
      </c>
      <c r="T208" s="31">
        <v>3688048.5735847298</v>
      </c>
      <c r="U208" s="31">
        <v>124781.85000000005</v>
      </c>
      <c r="V208" s="31">
        <v>5340.7199999999993</v>
      </c>
      <c r="W208" s="31">
        <v>0</v>
      </c>
      <c r="X208" s="31">
        <v>503599.31641191215</v>
      </c>
      <c r="Y208" s="31">
        <v>299174.72121240559</v>
      </c>
      <c r="Z208" s="31">
        <v>497609.19166542764</v>
      </c>
      <c r="AA208" s="31">
        <f t="shared" si="17"/>
        <v>5227716.7928744759</v>
      </c>
      <c r="AB208" s="31">
        <v>109162.42</v>
      </c>
      <c r="AD208" s="42" t="s">
        <v>119</v>
      </c>
      <c r="AE208" s="42" t="s">
        <v>120</v>
      </c>
      <c r="AF208" s="43" t="s">
        <v>1275</v>
      </c>
      <c r="AG208" s="44">
        <v>32</v>
      </c>
      <c r="AH208" s="31">
        <v>3758905.012935983</v>
      </c>
      <c r="AI208" s="31">
        <v>127428.99</v>
      </c>
      <c r="AJ208" s="31">
        <v>5445.2599999999993</v>
      </c>
      <c r="AK208" s="31">
        <v>0</v>
      </c>
      <c r="AL208" s="31">
        <v>512939.90006401285</v>
      </c>
      <c r="AM208" s="31">
        <v>299098.9846263912</v>
      </c>
      <c r="AN208" s="31">
        <v>507200.84679377615</v>
      </c>
      <c r="AO208" s="31">
        <f t="shared" si="18"/>
        <v>5322113.1944201635</v>
      </c>
      <c r="AP208" s="31">
        <v>111094.2</v>
      </c>
      <c r="AR208" s="42" t="s">
        <v>119</v>
      </c>
      <c r="AS208" s="42" t="s">
        <v>120</v>
      </c>
      <c r="AT208" s="43" t="s">
        <v>1276</v>
      </c>
      <c r="AU208" s="44">
        <v>32</v>
      </c>
      <c r="AV208" s="31">
        <v>3827892.6231361269</v>
      </c>
      <c r="AW208" s="31">
        <v>129736.96000000004</v>
      </c>
      <c r="AX208" s="31">
        <v>5545.18</v>
      </c>
      <c r="AY208" s="31">
        <v>0</v>
      </c>
      <c r="AZ208" s="31">
        <v>522408.57883769344</v>
      </c>
      <c r="BA208" s="31">
        <v>299111.03699425817</v>
      </c>
      <c r="BB208" s="31">
        <v>516577.58134943742</v>
      </c>
      <c r="BC208" s="31">
        <f t="shared" si="19"/>
        <v>5414435.1003175154</v>
      </c>
      <c r="BD208" s="31">
        <v>113163.14</v>
      </c>
    </row>
    <row r="209" spans="2:56">
      <c r="B209" s="42" t="s">
        <v>43</v>
      </c>
      <c r="C209" s="42" t="s">
        <v>44</v>
      </c>
      <c r="D209" s="43" t="s">
        <v>1049</v>
      </c>
      <c r="E209" s="44">
        <v>32</v>
      </c>
      <c r="F209" s="31">
        <v>28639165.418717742</v>
      </c>
      <c r="G209" s="31">
        <v>1184255.83</v>
      </c>
      <c r="H209" s="31">
        <v>85245.440000000002</v>
      </c>
      <c r="I209" s="31">
        <v>101487.46000000002</v>
      </c>
      <c r="J209" s="31">
        <v>4463521.7235988639</v>
      </c>
      <c r="K209" s="31">
        <v>1686509.1210638948</v>
      </c>
      <c r="L209" s="31">
        <v>2757065.5851950059</v>
      </c>
      <c r="M209" s="31">
        <f t="shared" si="16"/>
        <v>39562392.09857551</v>
      </c>
      <c r="N209" s="31">
        <v>645141.52</v>
      </c>
      <c r="P209" s="42" t="s">
        <v>43</v>
      </c>
      <c r="Q209" s="42" t="s">
        <v>44</v>
      </c>
      <c r="R209" s="43" t="s">
        <v>1050</v>
      </c>
      <c r="S209" s="44">
        <v>32</v>
      </c>
      <c r="T209" s="31">
        <v>29829784.159052908</v>
      </c>
      <c r="U209" s="31">
        <v>1227541.9200000002</v>
      </c>
      <c r="V209" s="31">
        <v>87741.47</v>
      </c>
      <c r="W209" s="31">
        <v>104459.11</v>
      </c>
      <c r="X209" s="31">
        <v>4581768.8925132221</v>
      </c>
      <c r="Y209" s="31">
        <v>1687791.9688160152</v>
      </c>
      <c r="Z209" s="31">
        <v>2862552.1371220197</v>
      </c>
      <c r="AA209" s="31">
        <f t="shared" si="17"/>
        <v>41037061.167504162</v>
      </c>
      <c r="AB209" s="31">
        <v>655421.51</v>
      </c>
      <c r="AD209" s="42" t="s">
        <v>43</v>
      </c>
      <c r="AE209" s="42" t="s">
        <v>44</v>
      </c>
      <c r="AF209" s="43" t="s">
        <v>1275</v>
      </c>
      <c r="AG209" s="44">
        <v>32</v>
      </c>
      <c r="AH209" s="31">
        <v>30401224.695838779</v>
      </c>
      <c r="AI209" s="31">
        <v>1252805.3500000001</v>
      </c>
      <c r="AJ209" s="31">
        <v>89458.580000000016</v>
      </c>
      <c r="AK209" s="31">
        <v>106503.37</v>
      </c>
      <c r="AL209" s="31">
        <v>4666767.5531816892</v>
      </c>
      <c r="AM209" s="31">
        <v>1687346.4539294811</v>
      </c>
      <c r="AN209" s="31">
        <v>2917723.8784101899</v>
      </c>
      <c r="AO209" s="31">
        <f t="shared" si="18"/>
        <v>41788837.531360142</v>
      </c>
      <c r="AP209" s="31">
        <v>667007.64999999991</v>
      </c>
      <c r="AR209" s="42" t="s">
        <v>43</v>
      </c>
      <c r="AS209" s="42" t="s">
        <v>44</v>
      </c>
      <c r="AT209" s="43" t="s">
        <v>1276</v>
      </c>
      <c r="AU209" s="44">
        <v>32</v>
      </c>
      <c r="AV209" s="31">
        <v>30961972.016907454</v>
      </c>
      <c r="AW209" s="31">
        <v>1275583.54</v>
      </c>
      <c r="AX209" s="31">
        <v>91098.200000000012</v>
      </c>
      <c r="AY209" s="31">
        <v>108455.4</v>
      </c>
      <c r="AZ209" s="31">
        <v>4752951.8674619971</v>
      </c>
      <c r="BA209" s="31">
        <v>1687416.9061123584</v>
      </c>
      <c r="BB209" s="31">
        <v>2971658.6641980195</v>
      </c>
      <c r="BC209" s="31">
        <f t="shared" si="19"/>
        <v>42528552.994679824</v>
      </c>
      <c r="BD209" s="31">
        <v>679416.39999999991</v>
      </c>
    </row>
    <row r="210" spans="2:56">
      <c r="B210" s="42" t="s">
        <v>181</v>
      </c>
      <c r="C210" s="42" t="s">
        <v>182</v>
      </c>
      <c r="D210" s="43" t="s">
        <v>1049</v>
      </c>
      <c r="E210" s="44">
        <v>32</v>
      </c>
      <c r="F210" s="31">
        <v>10203086.69210157</v>
      </c>
      <c r="G210" s="31">
        <v>413243.1</v>
      </c>
      <c r="H210" s="31">
        <v>58959</v>
      </c>
      <c r="I210" s="31">
        <v>35948.020000000004</v>
      </c>
      <c r="J210" s="31">
        <v>1430360.7111772757</v>
      </c>
      <c r="K210" s="31">
        <v>610361.32258085709</v>
      </c>
      <c r="L210" s="31">
        <v>519523.06880125147</v>
      </c>
      <c r="M210" s="31">
        <f t="shared" si="16"/>
        <v>13510711.184660954</v>
      </c>
      <c r="N210" s="31">
        <v>239229.27</v>
      </c>
      <c r="P210" s="42" t="s">
        <v>181</v>
      </c>
      <c r="Q210" s="42" t="s">
        <v>182</v>
      </c>
      <c r="R210" s="43" t="s">
        <v>1050</v>
      </c>
      <c r="S210" s="44">
        <v>32</v>
      </c>
      <c r="T210" s="31">
        <v>10681039.804596979</v>
      </c>
      <c r="U210" s="31">
        <v>431796.28</v>
      </c>
      <c r="V210" s="31">
        <v>61172.689999999995</v>
      </c>
      <c r="W210" s="31">
        <v>37297.740000000005</v>
      </c>
      <c r="X210" s="31">
        <v>1478331.4605930364</v>
      </c>
      <c r="Y210" s="31">
        <v>610665.26388466265</v>
      </c>
      <c r="Z210" s="31">
        <v>543165.80050966039</v>
      </c>
      <c r="AA210" s="31">
        <f t="shared" si="17"/>
        <v>14088642.979584336</v>
      </c>
      <c r="AB210" s="31">
        <v>245173.93999999997</v>
      </c>
      <c r="AD210" s="42" t="s">
        <v>181</v>
      </c>
      <c r="AE210" s="42" t="s">
        <v>182</v>
      </c>
      <c r="AF210" s="43" t="s">
        <v>1275</v>
      </c>
      <c r="AG210" s="44">
        <v>32</v>
      </c>
      <c r="AH210" s="31">
        <v>10885866.85197277</v>
      </c>
      <c r="AI210" s="31">
        <v>440692.14999999991</v>
      </c>
      <c r="AJ210" s="31">
        <v>62370.959999999992</v>
      </c>
      <c r="AK210" s="31">
        <v>38028.339999999997</v>
      </c>
      <c r="AL210" s="31">
        <v>1505839.5294167502</v>
      </c>
      <c r="AM210" s="31">
        <v>610557.98090329813</v>
      </c>
      <c r="AN210" s="31">
        <v>553647.46918230411</v>
      </c>
      <c r="AO210" s="31">
        <f t="shared" si="18"/>
        <v>14346542.311475122</v>
      </c>
      <c r="AP210" s="31">
        <v>249539.03</v>
      </c>
      <c r="AR210" s="42" t="s">
        <v>181</v>
      </c>
      <c r="AS210" s="42" t="s">
        <v>182</v>
      </c>
      <c r="AT210" s="43" t="s">
        <v>1276</v>
      </c>
      <c r="AU210" s="44">
        <v>32</v>
      </c>
      <c r="AV210" s="31">
        <v>11087651.286763826</v>
      </c>
      <c r="AW210" s="31">
        <v>448767.74</v>
      </c>
      <c r="AX210" s="31">
        <v>63523.13</v>
      </c>
      <c r="AY210" s="31">
        <v>38730.840000000004</v>
      </c>
      <c r="AZ210" s="31">
        <v>1533802.5628604796</v>
      </c>
      <c r="BA210" s="31">
        <v>610574.845200393</v>
      </c>
      <c r="BB210" s="31">
        <v>563934.48854262568</v>
      </c>
      <c r="BC210" s="31">
        <f t="shared" si="19"/>
        <v>14601198.923367325</v>
      </c>
      <c r="BD210" s="31">
        <v>254214.03</v>
      </c>
    </row>
    <row r="211" spans="2:56">
      <c r="B211" s="42" t="s">
        <v>537</v>
      </c>
      <c r="C211" s="42" t="s">
        <v>538</v>
      </c>
      <c r="D211" s="43" t="s">
        <v>1049</v>
      </c>
      <c r="E211" s="44">
        <v>32</v>
      </c>
      <c r="F211" s="31">
        <v>2953633.3551463205</v>
      </c>
      <c r="G211" s="31">
        <v>145384.53999999998</v>
      </c>
      <c r="H211" s="31">
        <v>0</v>
      </c>
      <c r="I211" s="31">
        <v>0</v>
      </c>
      <c r="J211" s="31">
        <v>296926.65283394128</v>
      </c>
      <c r="K211" s="31">
        <v>400674.78069264186</v>
      </c>
      <c r="L211" s="31">
        <v>46491.251988310978</v>
      </c>
      <c r="M211" s="31">
        <f t="shared" si="16"/>
        <v>3909469.1006612144</v>
      </c>
      <c r="N211" s="31">
        <v>66358.52</v>
      </c>
      <c r="P211" s="42" t="s">
        <v>537</v>
      </c>
      <c r="Q211" s="42" t="s">
        <v>538</v>
      </c>
      <c r="R211" s="43" t="s">
        <v>1050</v>
      </c>
      <c r="S211" s="44">
        <v>32</v>
      </c>
      <c r="T211" s="31">
        <v>3088428.4622511882</v>
      </c>
      <c r="U211" s="31">
        <v>151884.35</v>
      </c>
      <c r="V211" s="31">
        <v>0</v>
      </c>
      <c r="W211" s="31">
        <v>0</v>
      </c>
      <c r="X211" s="31">
        <v>306978.10413017357</v>
      </c>
      <c r="Y211" s="31">
        <v>401071.85092153179</v>
      </c>
      <c r="Z211" s="31">
        <v>48552.398104466716</v>
      </c>
      <c r="AA211" s="31">
        <f t="shared" si="17"/>
        <v>4064905.0154073602</v>
      </c>
      <c r="AB211" s="31">
        <v>67989.850000000006</v>
      </c>
      <c r="AD211" s="42" t="s">
        <v>537</v>
      </c>
      <c r="AE211" s="42" t="s">
        <v>538</v>
      </c>
      <c r="AF211" s="43" t="s">
        <v>1275</v>
      </c>
      <c r="AG211" s="44">
        <v>32</v>
      </c>
      <c r="AH211" s="31">
        <v>3147666.4983477467</v>
      </c>
      <c r="AI211" s="31">
        <v>154987.50999999998</v>
      </c>
      <c r="AJ211" s="31">
        <v>0</v>
      </c>
      <c r="AK211" s="31">
        <v>0</v>
      </c>
      <c r="AL211" s="31">
        <v>312663.16629123793</v>
      </c>
      <c r="AM211" s="31">
        <v>400936.95458466036</v>
      </c>
      <c r="AN211" s="31">
        <v>49487.571787472843</v>
      </c>
      <c r="AO211" s="31">
        <f t="shared" si="18"/>
        <v>4134929.4210111178</v>
      </c>
      <c r="AP211" s="31">
        <v>69187.72</v>
      </c>
      <c r="AR211" s="42" t="s">
        <v>537</v>
      </c>
      <c r="AS211" s="42" t="s">
        <v>538</v>
      </c>
      <c r="AT211" s="43" t="s">
        <v>1276</v>
      </c>
      <c r="AU211" s="44">
        <v>32</v>
      </c>
      <c r="AV211" s="31">
        <v>3205191.5390407145</v>
      </c>
      <c r="AW211" s="31">
        <v>157798.24</v>
      </c>
      <c r="AX211" s="31">
        <v>0</v>
      </c>
      <c r="AY211" s="31">
        <v>0</v>
      </c>
      <c r="AZ211" s="31">
        <v>318418.90450529399</v>
      </c>
      <c r="BA211" s="31">
        <v>400958.42135998566</v>
      </c>
      <c r="BB211" s="31">
        <v>50399.903969572406</v>
      </c>
      <c r="BC211" s="31">
        <f t="shared" si="19"/>
        <v>4203237.6388755664</v>
      </c>
      <c r="BD211" s="31">
        <v>70470.63</v>
      </c>
    </row>
    <row r="212" spans="2:56">
      <c r="B212" s="42" t="s">
        <v>481</v>
      </c>
      <c r="C212" s="42" t="s">
        <v>482</v>
      </c>
      <c r="D212" s="43" t="s">
        <v>1049</v>
      </c>
      <c r="E212" s="44">
        <v>32</v>
      </c>
      <c r="F212" s="31">
        <v>5184568.7680800678</v>
      </c>
      <c r="G212" s="31">
        <v>242419.87999999998</v>
      </c>
      <c r="H212" s="31">
        <v>0</v>
      </c>
      <c r="I212" s="31">
        <v>0</v>
      </c>
      <c r="J212" s="31">
        <v>730340.6842751716</v>
      </c>
      <c r="K212" s="31">
        <v>568914.47</v>
      </c>
      <c r="L212" s="31">
        <v>109813.15082704349</v>
      </c>
      <c r="M212" s="31">
        <f t="shared" si="16"/>
        <v>7032272.7731822832</v>
      </c>
      <c r="N212" s="31">
        <v>196215.81999999998</v>
      </c>
      <c r="P212" s="42" t="s">
        <v>481</v>
      </c>
      <c r="Q212" s="42" t="s">
        <v>482</v>
      </c>
      <c r="R212" s="43" t="s">
        <v>1050</v>
      </c>
      <c r="S212" s="44">
        <v>32</v>
      </c>
      <c r="T212" s="31">
        <v>5384882.8613488525</v>
      </c>
      <c r="U212" s="31">
        <v>252136.84999999995</v>
      </c>
      <c r="V212" s="31">
        <v>0</v>
      </c>
      <c r="W212" s="31">
        <v>0</v>
      </c>
      <c r="X212" s="31">
        <v>749946.83281361894</v>
      </c>
      <c r="Y212" s="31">
        <v>568914.47</v>
      </c>
      <c r="Z212" s="31">
        <v>113959.54987470176</v>
      </c>
      <c r="AA212" s="31">
        <f t="shared" si="17"/>
        <v>7269182.984037172</v>
      </c>
      <c r="AB212" s="31">
        <v>199342.42</v>
      </c>
      <c r="AD212" s="42" t="s">
        <v>481</v>
      </c>
      <c r="AE212" s="42" t="s">
        <v>482</v>
      </c>
      <c r="AF212" s="43" t="s">
        <v>1275</v>
      </c>
      <c r="AG212" s="44">
        <v>32</v>
      </c>
      <c r="AH212" s="31">
        <v>5488432.5638901629</v>
      </c>
      <c r="AI212" s="31">
        <v>257448.43999999994</v>
      </c>
      <c r="AJ212" s="31">
        <v>0</v>
      </c>
      <c r="AK212" s="31">
        <v>0</v>
      </c>
      <c r="AL212" s="31">
        <v>763870.51166722609</v>
      </c>
      <c r="AM212" s="31">
        <v>568914.47</v>
      </c>
      <c r="AN212" s="31">
        <v>116156.01815981074</v>
      </c>
      <c r="AO212" s="31">
        <f t="shared" si="18"/>
        <v>7397688.2737171985</v>
      </c>
      <c r="AP212" s="31">
        <v>202866.27000000002</v>
      </c>
      <c r="AR212" s="42" t="s">
        <v>481</v>
      </c>
      <c r="AS212" s="42" t="s">
        <v>482</v>
      </c>
      <c r="AT212" s="43" t="s">
        <v>1276</v>
      </c>
      <c r="AU212" s="44">
        <v>32</v>
      </c>
      <c r="AV212" s="31">
        <v>5589839.2843705453</v>
      </c>
      <c r="AW212" s="31">
        <v>262111.19</v>
      </c>
      <c r="AX212" s="31">
        <v>0</v>
      </c>
      <c r="AY212" s="31">
        <v>0</v>
      </c>
      <c r="AZ212" s="31">
        <v>777997.60454543424</v>
      </c>
      <c r="BA212" s="31">
        <v>568914.47</v>
      </c>
      <c r="BB212" s="31">
        <v>118303.23399572246</v>
      </c>
      <c r="BC212" s="31">
        <f t="shared" si="19"/>
        <v>7523806.0929117016</v>
      </c>
      <c r="BD212" s="31">
        <v>206640.31</v>
      </c>
    </row>
    <row r="213" spans="2:56">
      <c r="B213" s="42" t="s">
        <v>25</v>
      </c>
      <c r="C213" s="42" t="s">
        <v>26</v>
      </c>
      <c r="D213" s="43" t="s">
        <v>1049</v>
      </c>
      <c r="E213" s="44">
        <v>32</v>
      </c>
      <c r="F213" s="31">
        <v>18949273.624064073</v>
      </c>
      <c r="G213" s="31">
        <v>1101395.1899999995</v>
      </c>
      <c r="H213" s="31">
        <v>943732.85999999987</v>
      </c>
      <c r="I213" s="31">
        <v>68892.02</v>
      </c>
      <c r="J213" s="31">
        <v>2854087.2941376646</v>
      </c>
      <c r="K213" s="31">
        <v>1441746.4449851774</v>
      </c>
      <c r="L213" s="31">
        <v>2299335.1333539672</v>
      </c>
      <c r="M213" s="31">
        <f t="shared" si="16"/>
        <v>28367650.746540878</v>
      </c>
      <c r="N213" s="31">
        <v>709188.18</v>
      </c>
      <c r="P213" s="42" t="s">
        <v>25</v>
      </c>
      <c r="Q213" s="42" t="s">
        <v>26</v>
      </c>
      <c r="R213" s="43" t="s">
        <v>1050</v>
      </c>
      <c r="S213" s="44">
        <v>32</v>
      </c>
      <c r="T213" s="31">
        <v>19881118.213441584</v>
      </c>
      <c r="U213" s="31">
        <v>1153488.98</v>
      </c>
      <c r="V213" s="31">
        <v>979973.14</v>
      </c>
      <c r="W213" s="31">
        <v>71537.53</v>
      </c>
      <c r="X213" s="31">
        <v>2950842.6597447675</v>
      </c>
      <c r="Y213" s="31">
        <v>1443272.8923710426</v>
      </c>
      <c r="Z213" s="31">
        <v>2404252.7911613141</v>
      </c>
      <c r="AA213" s="31">
        <f t="shared" si="17"/>
        <v>29611108.836718712</v>
      </c>
      <c r="AB213" s="31">
        <v>726622.63</v>
      </c>
      <c r="AD213" s="42" t="s">
        <v>25</v>
      </c>
      <c r="AE213" s="42" t="s">
        <v>26</v>
      </c>
      <c r="AF213" s="43" t="s">
        <v>1275</v>
      </c>
      <c r="AG213" s="44">
        <v>32</v>
      </c>
      <c r="AH213" s="31">
        <v>20263342.456580348</v>
      </c>
      <c r="AI213" s="31">
        <v>1177464.5300000003</v>
      </c>
      <c r="AJ213" s="31">
        <v>999142.68</v>
      </c>
      <c r="AK213" s="31">
        <v>72936.91</v>
      </c>
      <c r="AL213" s="31">
        <v>3005504.3863775176</v>
      </c>
      <c r="AM213" s="31">
        <v>1442754.3136769012</v>
      </c>
      <c r="AN213" s="31">
        <v>2450563.0178162474</v>
      </c>
      <c r="AO213" s="31">
        <f t="shared" si="18"/>
        <v>30151132.784451012</v>
      </c>
      <c r="AP213" s="31">
        <v>739424.48999999987</v>
      </c>
      <c r="AR213" s="42" t="s">
        <v>25</v>
      </c>
      <c r="AS213" s="42" t="s">
        <v>26</v>
      </c>
      <c r="AT213" s="43" t="s">
        <v>1276</v>
      </c>
      <c r="AU213" s="44">
        <v>32</v>
      </c>
      <c r="AV213" s="31">
        <v>20636030.562083311</v>
      </c>
      <c r="AW213" s="31">
        <v>1198757.8900000001</v>
      </c>
      <c r="AX213" s="31">
        <v>1017387.9400000001</v>
      </c>
      <c r="AY213" s="31">
        <v>74268.800000000003</v>
      </c>
      <c r="AZ213" s="31">
        <v>3060857.0530060842</v>
      </c>
      <c r="BA213" s="31">
        <v>1442836.8378771411</v>
      </c>
      <c r="BB213" s="31">
        <v>2495740.3660625611</v>
      </c>
      <c r="BC213" s="31">
        <f t="shared" si="19"/>
        <v>30679014.739029095</v>
      </c>
      <c r="BD213" s="31">
        <v>753135.28999999992</v>
      </c>
    </row>
    <row r="214" spans="2:56">
      <c r="B214" s="42" t="s">
        <v>1319</v>
      </c>
      <c r="C214" s="42" t="s">
        <v>1320</v>
      </c>
      <c r="D214" s="43" t="s">
        <v>1049</v>
      </c>
      <c r="E214" s="44">
        <v>32</v>
      </c>
      <c r="F214" s="31">
        <v>821699.86921582208</v>
      </c>
      <c r="G214" s="31">
        <v>10913.58</v>
      </c>
      <c r="H214" s="31">
        <v>0</v>
      </c>
      <c r="I214" s="31">
        <v>0</v>
      </c>
      <c r="J214" s="31">
        <v>100505.15417953405</v>
      </c>
      <c r="K214" s="31">
        <v>0</v>
      </c>
      <c r="L214" s="31">
        <v>0</v>
      </c>
      <c r="M214" s="31">
        <f t="shared" si="16"/>
        <v>933118.6033953561</v>
      </c>
      <c r="N214" s="31">
        <v>0</v>
      </c>
      <c r="P214" s="42" t="s">
        <v>1319</v>
      </c>
      <c r="Q214" s="42" t="s">
        <v>1320</v>
      </c>
      <c r="R214" s="43" t="s">
        <v>1050</v>
      </c>
      <c r="S214" s="44">
        <v>32</v>
      </c>
      <c r="T214" s="31">
        <v>853179.49617319438</v>
      </c>
      <c r="U214" s="31">
        <v>11332.68</v>
      </c>
      <c r="V214" s="31">
        <v>0</v>
      </c>
      <c r="W214" s="31">
        <v>0</v>
      </c>
      <c r="X214" s="31">
        <v>103887.96716506101</v>
      </c>
      <c r="Y214" s="31">
        <v>0</v>
      </c>
      <c r="Z214" s="31">
        <v>0</v>
      </c>
      <c r="AA214" s="31">
        <f t="shared" si="17"/>
        <v>968400.14333825547</v>
      </c>
      <c r="AB214" s="31">
        <v>0</v>
      </c>
      <c r="AD214" s="42" t="s">
        <v>1319</v>
      </c>
      <c r="AE214" s="42" t="s">
        <v>1320</v>
      </c>
      <c r="AF214" s="43" t="s">
        <v>1275</v>
      </c>
      <c r="AG214" s="44">
        <v>32</v>
      </c>
      <c r="AH214" s="31">
        <v>869535.73685432319</v>
      </c>
      <c r="AI214" s="31">
        <v>11554.370000000003</v>
      </c>
      <c r="AJ214" s="31">
        <v>0</v>
      </c>
      <c r="AK214" s="31">
        <v>0</v>
      </c>
      <c r="AL214" s="31">
        <v>105810.03050115029</v>
      </c>
      <c r="AM214" s="31">
        <v>0</v>
      </c>
      <c r="AN214" s="31">
        <v>0</v>
      </c>
      <c r="AO214" s="31">
        <f t="shared" si="18"/>
        <v>986900.13735547347</v>
      </c>
      <c r="AP214" s="31">
        <v>0</v>
      </c>
      <c r="AR214" s="42" t="s">
        <v>1319</v>
      </c>
      <c r="AS214" s="42" t="s">
        <v>1320</v>
      </c>
      <c r="AT214" s="43" t="s">
        <v>1276</v>
      </c>
      <c r="AU214" s="44">
        <v>32</v>
      </c>
      <c r="AV214" s="31">
        <v>885402.39457601181</v>
      </c>
      <c r="AW214" s="31">
        <v>11765.350000000002</v>
      </c>
      <c r="AX214" s="31">
        <v>0</v>
      </c>
      <c r="AY214" s="31">
        <v>0</v>
      </c>
      <c r="AZ214" s="31">
        <v>107754.43204538681</v>
      </c>
      <c r="BA214" s="31">
        <v>0</v>
      </c>
      <c r="BB214" s="31">
        <v>0</v>
      </c>
      <c r="BC214" s="31">
        <f t="shared" si="19"/>
        <v>1004922.1766213987</v>
      </c>
      <c r="BD214" s="31">
        <v>0</v>
      </c>
    </row>
    <row r="215" spans="2:56">
      <c r="B215" s="42" t="s">
        <v>561</v>
      </c>
      <c r="C215" s="42" t="s">
        <v>562</v>
      </c>
      <c r="D215" s="43" t="s">
        <v>1049</v>
      </c>
      <c r="E215" s="44">
        <v>32</v>
      </c>
      <c r="F215" s="31">
        <v>21221410.408057489</v>
      </c>
      <c r="G215" s="31">
        <v>514400.18</v>
      </c>
      <c r="H215" s="31">
        <v>198295.96000000002</v>
      </c>
      <c r="I215" s="31">
        <v>73374.38</v>
      </c>
      <c r="J215" s="31">
        <v>3185237.8556751674</v>
      </c>
      <c r="K215" s="31">
        <v>1130342.4899041362</v>
      </c>
      <c r="L215" s="31">
        <v>1557640.5354763037</v>
      </c>
      <c r="M215" s="31">
        <f t="shared" si="16"/>
        <v>27880701.809113096</v>
      </c>
      <c r="N215" s="31">
        <v>0</v>
      </c>
      <c r="P215" s="42" t="s">
        <v>561</v>
      </c>
      <c r="Q215" s="42" t="s">
        <v>562</v>
      </c>
      <c r="R215" s="43" t="s">
        <v>1050</v>
      </c>
      <c r="S215" s="44">
        <v>32</v>
      </c>
      <c r="T215" s="31">
        <v>22040910.629819974</v>
      </c>
      <c r="U215" s="31">
        <v>534153.66</v>
      </c>
      <c r="V215" s="31">
        <v>205910.72000000003</v>
      </c>
      <c r="W215" s="31">
        <v>76192.01999999999</v>
      </c>
      <c r="X215" s="31">
        <v>3293129.9775066352</v>
      </c>
      <c r="Y215" s="31">
        <v>1131345.32484168</v>
      </c>
      <c r="Z215" s="31">
        <v>1613141.4462235407</v>
      </c>
      <c r="AA215" s="31">
        <f t="shared" si="17"/>
        <v>28894783.778391831</v>
      </c>
      <c r="AB215" s="31">
        <v>0</v>
      </c>
      <c r="AD215" s="42" t="s">
        <v>561</v>
      </c>
      <c r="AE215" s="42" t="s">
        <v>562</v>
      </c>
      <c r="AF215" s="43" t="s">
        <v>1275</v>
      </c>
      <c r="AG215" s="44">
        <v>32</v>
      </c>
      <c r="AH215" s="31">
        <v>22464698.70162997</v>
      </c>
      <c r="AI215" s="31">
        <v>544602.41</v>
      </c>
      <c r="AJ215" s="31">
        <v>209938.61000000002</v>
      </c>
      <c r="AK215" s="31">
        <v>77682.45</v>
      </c>
      <c r="AL215" s="31">
        <v>3354124.7076102057</v>
      </c>
      <c r="AM215" s="31">
        <v>1131004.6325668157</v>
      </c>
      <c r="AN215" s="31">
        <v>1644209.7425528453</v>
      </c>
      <c r="AO215" s="31">
        <f t="shared" si="18"/>
        <v>29426261.254359838</v>
      </c>
      <c r="AP215" s="31">
        <v>0</v>
      </c>
      <c r="AR215" s="42" t="s">
        <v>561</v>
      </c>
      <c r="AS215" s="42" t="s">
        <v>562</v>
      </c>
      <c r="AT215" s="43" t="s">
        <v>1276</v>
      </c>
      <c r="AU215" s="44">
        <v>32</v>
      </c>
      <c r="AV215" s="31">
        <v>22877783.888852753</v>
      </c>
      <c r="AW215" s="31">
        <v>554547.34000000008</v>
      </c>
      <c r="AX215" s="31">
        <v>213772.28000000003</v>
      </c>
      <c r="AY215" s="31">
        <v>79101.010000000009</v>
      </c>
      <c r="AZ215" s="31">
        <v>3415884.1604118822</v>
      </c>
      <c r="BA215" s="31">
        <v>1131058.8487500655</v>
      </c>
      <c r="BB215" s="31">
        <v>1674525.01776921</v>
      </c>
      <c r="BC215" s="31">
        <f t="shared" si="19"/>
        <v>29946672.545783915</v>
      </c>
      <c r="BD215" s="31">
        <v>0</v>
      </c>
    </row>
    <row r="216" spans="2:56">
      <c r="B216" s="42" t="s">
        <v>363</v>
      </c>
      <c r="C216" s="42" t="s">
        <v>364</v>
      </c>
      <c r="D216" s="43" t="s">
        <v>1049</v>
      </c>
      <c r="E216" s="44">
        <v>32</v>
      </c>
      <c r="F216" s="31">
        <v>187224272.69127002</v>
      </c>
      <c r="G216" s="31">
        <v>5827890.3299999991</v>
      </c>
      <c r="H216" s="31">
        <v>2444592.77</v>
      </c>
      <c r="I216" s="31">
        <v>659114.57999999996</v>
      </c>
      <c r="J216" s="31">
        <v>24930759.718671951</v>
      </c>
      <c r="K216" s="31">
        <v>10030450.570353607</v>
      </c>
      <c r="L216" s="31">
        <v>15067100.412274923</v>
      </c>
      <c r="M216" s="31">
        <f t="shared" si="16"/>
        <v>246783683.93257055</v>
      </c>
      <c r="N216" s="31">
        <v>599502.86</v>
      </c>
      <c r="P216" s="42" t="s">
        <v>363</v>
      </c>
      <c r="Q216" s="42" t="s">
        <v>364</v>
      </c>
      <c r="R216" s="43" t="s">
        <v>1050</v>
      </c>
      <c r="S216" s="44">
        <v>32</v>
      </c>
      <c r="T216" s="31">
        <v>194354842.00182128</v>
      </c>
      <c r="U216" s="31">
        <v>6056464.9699999988</v>
      </c>
      <c r="V216" s="31">
        <v>2537171.7800000003</v>
      </c>
      <c r="W216" s="31">
        <v>684075.84</v>
      </c>
      <c r="X216" s="31">
        <v>25769157.67145085</v>
      </c>
      <c r="Y216" s="31">
        <v>10034351.072674595</v>
      </c>
      <c r="Z216" s="31">
        <v>15599142.717475759</v>
      </c>
      <c r="AA216" s="31">
        <f t="shared" si="17"/>
        <v>255649545.63342252</v>
      </c>
      <c r="AB216" s="31">
        <v>614339.58000000007</v>
      </c>
      <c r="AD216" s="42" t="s">
        <v>363</v>
      </c>
      <c r="AE216" s="42" t="s">
        <v>364</v>
      </c>
      <c r="AF216" s="43" t="s">
        <v>1275</v>
      </c>
      <c r="AG216" s="44">
        <v>32</v>
      </c>
      <c r="AH216" s="31">
        <v>198089624.47745588</v>
      </c>
      <c r="AI216" s="31">
        <v>6176173.2800000003</v>
      </c>
      <c r="AJ216" s="31">
        <v>2586845.1799999997</v>
      </c>
      <c r="AK216" s="31">
        <v>697468.8600000001</v>
      </c>
      <c r="AL216" s="31">
        <v>26247856.40021801</v>
      </c>
      <c r="AM216" s="31">
        <v>10032974.301855439</v>
      </c>
      <c r="AN216" s="31">
        <v>15899935.399902731</v>
      </c>
      <c r="AO216" s="31">
        <f t="shared" si="18"/>
        <v>260356111.86943209</v>
      </c>
      <c r="AP216" s="31">
        <v>625233.97</v>
      </c>
      <c r="AR216" s="42" t="s">
        <v>363</v>
      </c>
      <c r="AS216" s="42" t="s">
        <v>364</v>
      </c>
      <c r="AT216" s="43" t="s">
        <v>1276</v>
      </c>
      <c r="AU216" s="44">
        <v>32</v>
      </c>
      <c r="AV216" s="31">
        <v>201751766.11000773</v>
      </c>
      <c r="AW216" s="31">
        <v>6289599.2299999995</v>
      </c>
      <c r="AX216" s="31">
        <v>2634423.33</v>
      </c>
      <c r="AY216" s="31">
        <v>710296.96000000008</v>
      </c>
      <c r="AZ216" s="31">
        <v>26733804.616730236</v>
      </c>
      <c r="BA216" s="31">
        <v>10033190.722687809</v>
      </c>
      <c r="BB216" s="31">
        <v>16194635.230862102</v>
      </c>
      <c r="BC216" s="31">
        <f t="shared" si="19"/>
        <v>264984618.06028792</v>
      </c>
      <c r="BD216" s="31">
        <v>636901.86</v>
      </c>
    </row>
    <row r="217" spans="2:56">
      <c r="B217" s="42" t="s">
        <v>173</v>
      </c>
      <c r="C217" s="42" t="s">
        <v>174</v>
      </c>
      <c r="D217" s="43" t="s">
        <v>1049</v>
      </c>
      <c r="E217" s="44">
        <v>32</v>
      </c>
      <c r="F217" s="31">
        <v>576353.27879886597</v>
      </c>
      <c r="G217" s="31">
        <v>31668.889999999992</v>
      </c>
      <c r="H217" s="31">
        <v>0</v>
      </c>
      <c r="I217" s="31">
        <v>0</v>
      </c>
      <c r="J217" s="31">
        <v>70984.585869469636</v>
      </c>
      <c r="K217" s="31">
        <v>64293.501961947935</v>
      </c>
      <c r="L217" s="31">
        <v>0</v>
      </c>
      <c r="M217" s="31">
        <f t="shared" si="16"/>
        <v>757624.33663028351</v>
      </c>
      <c r="N217" s="31">
        <v>14324.08</v>
      </c>
      <c r="P217" s="42" t="s">
        <v>173</v>
      </c>
      <c r="Q217" s="42" t="s">
        <v>174</v>
      </c>
      <c r="R217" s="43" t="s">
        <v>1050</v>
      </c>
      <c r="S217" s="44">
        <v>32</v>
      </c>
      <c r="T217" s="31">
        <v>605020.78330126556</v>
      </c>
      <c r="U217" s="31">
        <v>33082.939999999995</v>
      </c>
      <c r="V217" s="31">
        <v>0</v>
      </c>
      <c r="W217" s="31">
        <v>0</v>
      </c>
      <c r="X217" s="31">
        <v>73387.275509014609</v>
      </c>
      <c r="Y217" s="31">
        <v>64357.938106288326</v>
      </c>
      <c r="Z217" s="31">
        <v>0</v>
      </c>
      <c r="AA217" s="31">
        <f t="shared" si="17"/>
        <v>790525.1569165684</v>
      </c>
      <c r="AB217" s="31">
        <v>14676.220000000001</v>
      </c>
      <c r="AD217" s="42" t="s">
        <v>173</v>
      </c>
      <c r="AE217" s="42" t="s">
        <v>174</v>
      </c>
      <c r="AF217" s="43" t="s">
        <v>1275</v>
      </c>
      <c r="AG217" s="44">
        <v>32</v>
      </c>
      <c r="AH217" s="31">
        <v>616636.73178822827</v>
      </c>
      <c r="AI217" s="31">
        <v>33758.58</v>
      </c>
      <c r="AJ217" s="31">
        <v>0</v>
      </c>
      <c r="AK217" s="31">
        <v>0</v>
      </c>
      <c r="AL217" s="31">
        <v>74745.568834299382</v>
      </c>
      <c r="AM217" s="31">
        <v>64336.047268846451</v>
      </c>
      <c r="AN217" s="31">
        <v>0</v>
      </c>
      <c r="AO217" s="31">
        <f t="shared" si="18"/>
        <v>804411.71789137402</v>
      </c>
      <c r="AP217" s="31">
        <v>14934.79</v>
      </c>
      <c r="AR217" s="42" t="s">
        <v>173</v>
      </c>
      <c r="AS217" s="42" t="s">
        <v>174</v>
      </c>
      <c r="AT217" s="43" t="s">
        <v>1276</v>
      </c>
      <c r="AU217" s="44">
        <v>32</v>
      </c>
      <c r="AV217" s="31">
        <v>627917.99718750524</v>
      </c>
      <c r="AW217" s="31">
        <v>34370.83</v>
      </c>
      <c r="AX217" s="31">
        <v>0</v>
      </c>
      <c r="AY217" s="31">
        <v>0</v>
      </c>
      <c r="AZ217" s="31">
        <v>76120.099986379864</v>
      </c>
      <c r="BA217" s="31">
        <v>64339.530874850483</v>
      </c>
      <c r="BB217" s="31">
        <v>0</v>
      </c>
      <c r="BC217" s="31">
        <f t="shared" si="19"/>
        <v>817960.17804873548</v>
      </c>
      <c r="BD217" s="31">
        <v>15211.720000000001</v>
      </c>
    </row>
    <row r="218" spans="2:56">
      <c r="B218" s="42" t="s">
        <v>177</v>
      </c>
      <c r="C218" s="42" t="s">
        <v>178</v>
      </c>
      <c r="D218" s="43" t="s">
        <v>1049</v>
      </c>
      <c r="E218" s="44">
        <v>32</v>
      </c>
      <c r="F218" s="31">
        <v>6422163.5048898552</v>
      </c>
      <c r="G218" s="31">
        <v>131740.83999999997</v>
      </c>
      <c r="H218" s="31">
        <v>0</v>
      </c>
      <c r="I218" s="31">
        <v>19083.960000000003</v>
      </c>
      <c r="J218" s="31">
        <v>488480.67727231595</v>
      </c>
      <c r="K218" s="31">
        <v>394942.15604624304</v>
      </c>
      <c r="L218" s="31">
        <v>71097.150419779704</v>
      </c>
      <c r="M218" s="31">
        <f t="shared" si="16"/>
        <v>7527508.2886281945</v>
      </c>
      <c r="N218" s="31">
        <v>0</v>
      </c>
      <c r="P218" s="42" t="s">
        <v>177</v>
      </c>
      <c r="Q218" s="42" t="s">
        <v>178</v>
      </c>
      <c r="R218" s="43" t="s">
        <v>1050</v>
      </c>
      <c r="S218" s="44">
        <v>32</v>
      </c>
      <c r="T218" s="31">
        <v>6658456.0801306125</v>
      </c>
      <c r="U218" s="31">
        <v>136729.99</v>
      </c>
      <c r="V218" s="31">
        <v>0</v>
      </c>
      <c r="W218" s="31">
        <v>19806.670000000002</v>
      </c>
      <c r="X218" s="31">
        <v>504948.42515753803</v>
      </c>
      <c r="Y218" s="31">
        <v>395318.25952350046</v>
      </c>
      <c r="Z218" s="31">
        <v>73607.894273749087</v>
      </c>
      <c r="AA218" s="31">
        <f t="shared" si="17"/>
        <v>7788867.3190854006</v>
      </c>
      <c r="AB218" s="31">
        <v>0</v>
      </c>
      <c r="AD218" s="42" t="s">
        <v>177</v>
      </c>
      <c r="AE218" s="42" t="s">
        <v>178</v>
      </c>
      <c r="AF218" s="43" t="s">
        <v>1275</v>
      </c>
      <c r="AG218" s="44">
        <v>32</v>
      </c>
      <c r="AH218" s="31">
        <v>6783711.1375617357</v>
      </c>
      <c r="AI218" s="31">
        <v>139406.93</v>
      </c>
      <c r="AJ218" s="31">
        <v>0</v>
      </c>
      <c r="AK218" s="31">
        <v>20194.449999999997</v>
      </c>
      <c r="AL218" s="31">
        <v>514338.40810927644</v>
      </c>
      <c r="AM218" s="31">
        <v>395185.50526523899</v>
      </c>
      <c r="AN218" s="31">
        <v>75027.353427044625</v>
      </c>
      <c r="AO218" s="31">
        <f t="shared" si="18"/>
        <v>7927863.7843632959</v>
      </c>
      <c r="AP218" s="31">
        <v>0</v>
      </c>
      <c r="AR218" s="42" t="s">
        <v>177</v>
      </c>
      <c r="AS218" s="42" t="s">
        <v>178</v>
      </c>
      <c r="AT218" s="43" t="s">
        <v>1276</v>
      </c>
      <c r="AU218" s="44">
        <v>32</v>
      </c>
      <c r="AV218" s="31">
        <v>6908968.094014205</v>
      </c>
      <c r="AW218" s="31">
        <v>141970.95000000001</v>
      </c>
      <c r="AX218" s="31">
        <v>0</v>
      </c>
      <c r="AY218" s="31">
        <v>20565.869999999995</v>
      </c>
      <c r="AZ218" s="31">
        <v>523878.64327991696</v>
      </c>
      <c r="BA218" s="31">
        <v>395206.37350755895</v>
      </c>
      <c r="BB218" s="31">
        <v>76418.055894744146</v>
      </c>
      <c r="BC218" s="31">
        <f t="shared" si="19"/>
        <v>8067007.9866964258</v>
      </c>
      <c r="BD218" s="31">
        <v>0</v>
      </c>
    </row>
    <row r="219" spans="2:56">
      <c r="B219" s="42" t="s">
        <v>53</v>
      </c>
      <c r="C219" s="42" t="s">
        <v>54</v>
      </c>
      <c r="D219" s="43" t="s">
        <v>1049</v>
      </c>
      <c r="E219" s="44">
        <v>32</v>
      </c>
      <c r="F219" s="31">
        <v>1922797.2689816442</v>
      </c>
      <c r="G219" s="31">
        <v>68112.47</v>
      </c>
      <c r="H219" s="31">
        <v>0</v>
      </c>
      <c r="I219" s="31">
        <v>0</v>
      </c>
      <c r="J219" s="31">
        <v>137305.83723815694</v>
      </c>
      <c r="K219" s="31">
        <v>72574.649999999994</v>
      </c>
      <c r="L219" s="31">
        <v>92668.987948094917</v>
      </c>
      <c r="M219" s="31">
        <f t="shared" si="16"/>
        <v>2326297.4141678959</v>
      </c>
      <c r="N219" s="31">
        <v>32838.200000000004</v>
      </c>
      <c r="P219" s="42" t="s">
        <v>53</v>
      </c>
      <c r="Q219" s="42" t="s">
        <v>54</v>
      </c>
      <c r="R219" s="43" t="s">
        <v>1050</v>
      </c>
      <c r="S219" s="44">
        <v>32</v>
      </c>
      <c r="T219" s="31">
        <v>2003298.0213367064</v>
      </c>
      <c r="U219" s="31">
        <v>71181.780000000013</v>
      </c>
      <c r="V219" s="31">
        <v>0</v>
      </c>
      <c r="W219" s="31">
        <v>0</v>
      </c>
      <c r="X219" s="31">
        <v>141959.11555423099</v>
      </c>
      <c r="Y219" s="31">
        <v>72574.649999999994</v>
      </c>
      <c r="Z219" s="31">
        <v>96780.522799580795</v>
      </c>
      <c r="AA219" s="31">
        <f t="shared" si="17"/>
        <v>2419439.5696905181</v>
      </c>
      <c r="AB219" s="31">
        <v>33645.479999999996</v>
      </c>
      <c r="AD219" s="42" t="s">
        <v>53</v>
      </c>
      <c r="AE219" s="42" t="s">
        <v>54</v>
      </c>
      <c r="AF219" s="43" t="s">
        <v>1275</v>
      </c>
      <c r="AG219" s="44">
        <v>32</v>
      </c>
      <c r="AH219" s="31">
        <v>2041629.980132842</v>
      </c>
      <c r="AI219" s="31">
        <v>72639.570000000007</v>
      </c>
      <c r="AJ219" s="31">
        <v>0</v>
      </c>
      <c r="AK219" s="31">
        <v>0</v>
      </c>
      <c r="AL219" s="31">
        <v>144588.88136854107</v>
      </c>
      <c r="AM219" s="31">
        <v>72574.649999999994</v>
      </c>
      <c r="AN219" s="31">
        <v>98644.852027068395</v>
      </c>
      <c r="AO219" s="31">
        <f t="shared" si="18"/>
        <v>2464316.193528451</v>
      </c>
      <c r="AP219" s="31">
        <v>34238.26</v>
      </c>
      <c r="AR219" s="42" t="s">
        <v>53</v>
      </c>
      <c r="AS219" s="42" t="s">
        <v>54</v>
      </c>
      <c r="AT219" s="43" t="s">
        <v>1276</v>
      </c>
      <c r="AU219" s="44">
        <v>32</v>
      </c>
      <c r="AV219" s="31">
        <v>2078771.875553471</v>
      </c>
      <c r="AW219" s="31">
        <v>73956.389999999985</v>
      </c>
      <c r="AX219" s="31">
        <v>0</v>
      </c>
      <c r="AY219" s="31">
        <v>0</v>
      </c>
      <c r="AZ219" s="31">
        <v>147251.96734509719</v>
      </c>
      <c r="BA219" s="31">
        <v>72574.649999999994</v>
      </c>
      <c r="BB219" s="31">
        <v>100463.63792210763</v>
      </c>
      <c r="BC219" s="31">
        <f t="shared" si="19"/>
        <v>2507891.640820676</v>
      </c>
      <c r="BD219" s="31">
        <v>34873.120000000003</v>
      </c>
    </row>
    <row r="220" spans="2:56">
      <c r="B220" s="42" t="s">
        <v>51</v>
      </c>
      <c r="C220" s="42" t="s">
        <v>52</v>
      </c>
      <c r="D220" s="43" t="s">
        <v>1049</v>
      </c>
      <c r="E220" s="44">
        <v>32</v>
      </c>
      <c r="F220" s="31">
        <v>27990104.674331315</v>
      </c>
      <c r="G220" s="31">
        <v>1282443.7899999998</v>
      </c>
      <c r="H220" s="31">
        <v>369113.07</v>
      </c>
      <c r="I220" s="31">
        <v>0</v>
      </c>
      <c r="J220" s="31">
        <v>3822528.207699785</v>
      </c>
      <c r="K220" s="31">
        <v>616113.08600477513</v>
      </c>
      <c r="L220" s="31">
        <v>501668.60730505304</v>
      </c>
      <c r="M220" s="31">
        <f t="shared" si="16"/>
        <v>35519175.615340926</v>
      </c>
      <c r="N220" s="31">
        <v>937204.17999999993</v>
      </c>
      <c r="P220" s="42" t="s">
        <v>51</v>
      </c>
      <c r="Q220" s="42" t="s">
        <v>52</v>
      </c>
      <c r="R220" s="43" t="s">
        <v>1050</v>
      </c>
      <c r="S220" s="44">
        <v>32</v>
      </c>
      <c r="T220" s="31">
        <v>29104766.486679032</v>
      </c>
      <c r="U220" s="31">
        <v>1344640.5899999999</v>
      </c>
      <c r="V220" s="31">
        <v>383287.39</v>
      </c>
      <c r="W220" s="31">
        <v>0</v>
      </c>
      <c r="X220" s="31">
        <v>3952299.9817814641</v>
      </c>
      <c r="Y220" s="31">
        <v>616687.54863390129</v>
      </c>
      <c r="Z220" s="31">
        <v>524519.48557053786</v>
      </c>
      <c r="AA220" s="31">
        <f t="shared" si="17"/>
        <v>36886445.582664937</v>
      </c>
      <c r="AB220" s="31">
        <v>960244.10000000009</v>
      </c>
      <c r="AD220" s="42" t="s">
        <v>51</v>
      </c>
      <c r="AE220" s="42" t="s">
        <v>52</v>
      </c>
      <c r="AF220" s="43" t="s">
        <v>1275</v>
      </c>
      <c r="AG220" s="44">
        <v>32</v>
      </c>
      <c r="AH220" s="31">
        <v>29649974.311119758</v>
      </c>
      <c r="AI220" s="31">
        <v>1372809.2200000002</v>
      </c>
      <c r="AJ220" s="31">
        <v>390784.97000000003</v>
      </c>
      <c r="AK220" s="31">
        <v>0</v>
      </c>
      <c r="AL220" s="31">
        <v>4025589.7688960023</v>
      </c>
      <c r="AM220" s="31">
        <v>616492.38692521479</v>
      </c>
      <c r="AN220" s="31">
        <v>534622.6773803758</v>
      </c>
      <c r="AO220" s="31">
        <f t="shared" si="18"/>
        <v>37567435.314321347</v>
      </c>
      <c r="AP220" s="31">
        <v>977161.98</v>
      </c>
      <c r="AR220" s="42" t="s">
        <v>51</v>
      </c>
      <c r="AS220" s="42" t="s">
        <v>52</v>
      </c>
      <c r="AT220" s="43" t="s">
        <v>1276</v>
      </c>
      <c r="AU220" s="44">
        <v>32</v>
      </c>
      <c r="AV220" s="31">
        <v>30198064.937410701</v>
      </c>
      <c r="AW220" s="31">
        <v>1397602.81</v>
      </c>
      <c r="AX220" s="31">
        <v>397921.06</v>
      </c>
      <c r="AY220" s="31">
        <v>0</v>
      </c>
      <c r="AZ220" s="31">
        <v>4099868.7495966181</v>
      </c>
      <c r="BA220" s="31">
        <v>616523.44405137282</v>
      </c>
      <c r="BB220" s="31">
        <v>544478.80380159221</v>
      </c>
      <c r="BC220" s="31">
        <f t="shared" si="19"/>
        <v>38249740.824860275</v>
      </c>
      <c r="BD220" s="31">
        <v>995281.02</v>
      </c>
    </row>
    <row r="221" spans="2:56">
      <c r="B221" s="42" t="s">
        <v>123</v>
      </c>
      <c r="C221" s="42" t="s">
        <v>124</v>
      </c>
      <c r="D221" s="43" t="s">
        <v>1049</v>
      </c>
      <c r="E221" s="44">
        <v>32</v>
      </c>
      <c r="F221" s="31">
        <v>24915210.81365066</v>
      </c>
      <c r="G221" s="31">
        <v>1623201.0099999998</v>
      </c>
      <c r="H221" s="31">
        <v>1899646.04</v>
      </c>
      <c r="I221" s="31">
        <v>88185.67</v>
      </c>
      <c r="J221" s="31">
        <v>3843999.8081878908</v>
      </c>
      <c r="K221" s="31">
        <v>1637857.6464173042</v>
      </c>
      <c r="L221" s="31">
        <v>2442974.6996986228</v>
      </c>
      <c r="M221" s="31">
        <f t="shared" si="16"/>
        <v>37344333.207954474</v>
      </c>
      <c r="N221" s="31">
        <v>893257.52</v>
      </c>
      <c r="P221" s="42" t="s">
        <v>123</v>
      </c>
      <c r="Q221" s="42" t="s">
        <v>124</v>
      </c>
      <c r="R221" s="43" t="s">
        <v>1050</v>
      </c>
      <c r="S221" s="44">
        <v>32</v>
      </c>
      <c r="T221" s="31">
        <v>26153840.048810381</v>
      </c>
      <c r="U221" s="31">
        <v>1697876.0100000002</v>
      </c>
      <c r="V221" s="31">
        <v>1972594.36</v>
      </c>
      <c r="W221" s="31">
        <v>91572.099999999991</v>
      </c>
      <c r="X221" s="31">
        <v>3974257.0108059794</v>
      </c>
      <c r="Y221" s="31">
        <v>1639496.5280941103</v>
      </c>
      <c r="Z221" s="31">
        <v>2554467.8714581658</v>
      </c>
      <c r="AA221" s="31">
        <f t="shared" si="17"/>
        <v>38999320.999168642</v>
      </c>
      <c r="AB221" s="31">
        <v>915217.06999999983</v>
      </c>
      <c r="AD221" s="42" t="s">
        <v>123</v>
      </c>
      <c r="AE221" s="42" t="s">
        <v>124</v>
      </c>
      <c r="AF221" s="43" t="s">
        <v>1275</v>
      </c>
      <c r="AG221" s="44">
        <v>32</v>
      </c>
      <c r="AH221" s="31">
        <v>26656376.151292648</v>
      </c>
      <c r="AI221" s="31">
        <v>1732866.9000000001</v>
      </c>
      <c r="AJ221" s="31">
        <v>2011180.8400000003</v>
      </c>
      <c r="AK221" s="31">
        <v>93363.36</v>
      </c>
      <c r="AL221" s="31">
        <v>4047866.0645023161</v>
      </c>
      <c r="AM221" s="31">
        <v>1638939.7521923133</v>
      </c>
      <c r="AN221" s="31">
        <v>2603671.6469950872</v>
      </c>
      <c r="AO221" s="31">
        <f t="shared" si="18"/>
        <v>39715606.354982361</v>
      </c>
      <c r="AP221" s="31">
        <v>931341.6399999999</v>
      </c>
      <c r="AR221" s="42" t="s">
        <v>123</v>
      </c>
      <c r="AS221" s="42" t="s">
        <v>124</v>
      </c>
      <c r="AT221" s="43" t="s">
        <v>1276</v>
      </c>
      <c r="AU221" s="44">
        <v>32</v>
      </c>
      <c r="AV221" s="31">
        <v>27146519.623495188</v>
      </c>
      <c r="AW221" s="31">
        <v>1764248.3900000001</v>
      </c>
      <c r="AX221" s="31">
        <v>2047906.8600000003</v>
      </c>
      <c r="AY221" s="31">
        <v>95068.260000000009</v>
      </c>
      <c r="AZ221" s="31">
        <v>4122396.9434595886</v>
      </c>
      <c r="BA221" s="31">
        <v>1639028.3549184334</v>
      </c>
      <c r="BB221" s="31">
        <v>2651671.7948458088</v>
      </c>
      <c r="BC221" s="31">
        <f t="shared" si="19"/>
        <v>40415451.286719024</v>
      </c>
      <c r="BD221" s="31">
        <v>948611.06</v>
      </c>
    </row>
    <row r="222" spans="2:56">
      <c r="B222" s="42" t="s">
        <v>225</v>
      </c>
      <c r="C222" s="42" t="s">
        <v>226</v>
      </c>
      <c r="D222" s="43" t="s">
        <v>1049</v>
      </c>
      <c r="E222" s="44">
        <v>32</v>
      </c>
      <c r="F222" s="31">
        <v>2862141.0068789697</v>
      </c>
      <c r="G222" s="31">
        <v>181011.11999999997</v>
      </c>
      <c r="H222" s="31">
        <v>183495.37</v>
      </c>
      <c r="I222" s="31">
        <v>0</v>
      </c>
      <c r="J222" s="31">
        <v>219875.19641365614</v>
      </c>
      <c r="K222" s="31">
        <v>317130.34000000003</v>
      </c>
      <c r="L222" s="31">
        <v>0</v>
      </c>
      <c r="M222" s="31">
        <f t="shared" si="16"/>
        <v>3874992.3832926261</v>
      </c>
      <c r="N222" s="31">
        <v>111339.35</v>
      </c>
      <c r="P222" s="42" t="s">
        <v>225</v>
      </c>
      <c r="Q222" s="42" t="s">
        <v>226</v>
      </c>
      <c r="R222" s="43" t="s">
        <v>1050</v>
      </c>
      <c r="S222" s="44">
        <v>32</v>
      </c>
      <c r="T222" s="31">
        <v>3018218.3401168059</v>
      </c>
      <c r="U222" s="31">
        <v>189028.15999999997</v>
      </c>
      <c r="V222" s="31">
        <v>190276.65000000002</v>
      </c>
      <c r="W222" s="31">
        <v>0</v>
      </c>
      <c r="X222" s="31">
        <v>227237.92901735619</v>
      </c>
      <c r="Y222" s="31">
        <v>317130.34000000003</v>
      </c>
      <c r="Z222" s="31">
        <v>0</v>
      </c>
      <c r="AA222" s="31">
        <f t="shared" si="17"/>
        <v>4056017.8791341619</v>
      </c>
      <c r="AB222" s="31">
        <v>114126.46000000002</v>
      </c>
      <c r="AD222" s="42" t="s">
        <v>225</v>
      </c>
      <c r="AE222" s="42" t="s">
        <v>226</v>
      </c>
      <c r="AF222" s="43" t="s">
        <v>1275</v>
      </c>
      <c r="AG222" s="44">
        <v>32</v>
      </c>
      <c r="AH222" s="31">
        <v>3076435.9435786353</v>
      </c>
      <c r="AI222" s="31">
        <v>192925.72999999998</v>
      </c>
      <c r="AJ222" s="31">
        <v>194007.51000000004</v>
      </c>
      <c r="AK222" s="31">
        <v>0</v>
      </c>
      <c r="AL222" s="31">
        <v>231480.28792736836</v>
      </c>
      <c r="AM222" s="31">
        <v>317130.34000000003</v>
      </c>
      <c r="AN222" s="31">
        <v>0</v>
      </c>
      <c r="AO222" s="31">
        <f t="shared" si="18"/>
        <v>4128152.8115060036</v>
      </c>
      <c r="AP222" s="31">
        <v>116173.00000000001</v>
      </c>
      <c r="AR222" s="42" t="s">
        <v>225</v>
      </c>
      <c r="AS222" s="42" t="s">
        <v>226</v>
      </c>
      <c r="AT222" s="43" t="s">
        <v>1276</v>
      </c>
      <c r="AU222" s="44">
        <v>32</v>
      </c>
      <c r="AV222" s="31">
        <v>3133867.4588634153</v>
      </c>
      <c r="AW222" s="31">
        <v>196489.14999999997</v>
      </c>
      <c r="AX222" s="31">
        <v>197619.83000000005</v>
      </c>
      <c r="AY222" s="31">
        <v>0</v>
      </c>
      <c r="AZ222" s="31">
        <v>235805.81896040236</v>
      </c>
      <c r="BA222" s="31">
        <v>317130.34000000003</v>
      </c>
      <c r="BB222" s="31">
        <v>0</v>
      </c>
      <c r="BC222" s="31">
        <f t="shared" si="19"/>
        <v>4199277.4378238171</v>
      </c>
      <c r="BD222" s="31">
        <v>118364.84000000001</v>
      </c>
    </row>
    <row r="223" spans="2:56">
      <c r="B223" s="42" t="s">
        <v>515</v>
      </c>
      <c r="C223" s="42" t="s">
        <v>516</v>
      </c>
      <c r="D223" s="43" t="s">
        <v>1049</v>
      </c>
      <c r="E223" s="44">
        <v>32</v>
      </c>
      <c r="F223" s="31">
        <v>7286826.6895217421</v>
      </c>
      <c r="G223" s="31">
        <v>243899.15</v>
      </c>
      <c r="H223" s="31">
        <v>0</v>
      </c>
      <c r="I223" s="31">
        <v>24847.89</v>
      </c>
      <c r="J223" s="31">
        <v>1120394.0227980902</v>
      </c>
      <c r="K223" s="31">
        <v>432587.11366815795</v>
      </c>
      <c r="L223" s="31">
        <v>697270.35079997056</v>
      </c>
      <c r="M223" s="31">
        <f t="shared" si="16"/>
        <v>9805825.2167879604</v>
      </c>
      <c r="N223" s="31">
        <v>0</v>
      </c>
      <c r="P223" s="42" t="s">
        <v>515</v>
      </c>
      <c r="Q223" s="42" t="s">
        <v>516</v>
      </c>
      <c r="R223" s="43" t="s">
        <v>1050</v>
      </c>
      <c r="S223" s="44">
        <v>32</v>
      </c>
      <c r="T223" s="31">
        <v>7567425.1651013345</v>
      </c>
      <c r="U223" s="31">
        <v>253265.13</v>
      </c>
      <c r="V223" s="31">
        <v>0</v>
      </c>
      <c r="W223" s="31">
        <v>25802.090000000004</v>
      </c>
      <c r="X223" s="31">
        <v>1158336.3612130624</v>
      </c>
      <c r="Y223" s="31">
        <v>432937.97364868649</v>
      </c>
      <c r="Z223" s="31">
        <v>722114.76147838682</v>
      </c>
      <c r="AA223" s="31">
        <f t="shared" si="17"/>
        <v>10159881.48144147</v>
      </c>
      <c r="AB223" s="31">
        <v>0</v>
      </c>
      <c r="AD223" s="42" t="s">
        <v>515</v>
      </c>
      <c r="AE223" s="42" t="s">
        <v>516</v>
      </c>
      <c r="AF223" s="43" t="s">
        <v>1275</v>
      </c>
      <c r="AG223" s="44">
        <v>32</v>
      </c>
      <c r="AH223" s="31">
        <v>7712833.4544819361</v>
      </c>
      <c r="AI223" s="31">
        <v>258219.33000000002</v>
      </c>
      <c r="AJ223" s="31">
        <v>0</v>
      </c>
      <c r="AK223" s="31">
        <v>26306.81</v>
      </c>
      <c r="AL223" s="31">
        <v>1179788.2478825173</v>
      </c>
      <c r="AM223" s="31">
        <v>432818.7762808546</v>
      </c>
      <c r="AN223" s="31">
        <v>736022.27808656427</v>
      </c>
      <c r="AO223" s="31">
        <f t="shared" si="18"/>
        <v>10345988.89673187</v>
      </c>
      <c r="AP223" s="31">
        <v>0</v>
      </c>
      <c r="AR223" s="42" t="s">
        <v>515</v>
      </c>
      <c r="AS223" s="42" t="s">
        <v>516</v>
      </c>
      <c r="AT223" s="43" t="s">
        <v>1276</v>
      </c>
      <c r="AU223" s="44">
        <v>32</v>
      </c>
      <c r="AV223" s="31">
        <v>7854544.8649398396</v>
      </c>
      <c r="AW223" s="31">
        <v>262934.64999999997</v>
      </c>
      <c r="AX223" s="31">
        <v>0</v>
      </c>
      <c r="AY223" s="31">
        <v>26787.19</v>
      </c>
      <c r="AZ223" s="31">
        <v>1201506.9623473079</v>
      </c>
      <c r="BA223" s="31">
        <v>432837.74479530024</v>
      </c>
      <c r="BB223" s="31">
        <v>749592.75775192212</v>
      </c>
      <c r="BC223" s="31">
        <f t="shared" si="19"/>
        <v>10528204.169834372</v>
      </c>
      <c r="BD223" s="31">
        <v>0</v>
      </c>
    </row>
    <row r="224" spans="2:56">
      <c r="B224" s="42" t="s">
        <v>345</v>
      </c>
      <c r="C224" s="42" t="s">
        <v>346</v>
      </c>
      <c r="D224" s="43" t="s">
        <v>1049</v>
      </c>
      <c r="E224" s="44">
        <v>32</v>
      </c>
      <c r="F224" s="31">
        <v>4660309.6391896475</v>
      </c>
      <c r="G224" s="31">
        <v>229087.84</v>
      </c>
      <c r="H224" s="31">
        <v>95981.11</v>
      </c>
      <c r="I224" s="31">
        <v>14713.87</v>
      </c>
      <c r="J224" s="31">
        <v>628242.97358206427</v>
      </c>
      <c r="K224" s="31">
        <v>483278.13467647217</v>
      </c>
      <c r="L224" s="31">
        <v>345864.48450775794</v>
      </c>
      <c r="M224" s="31">
        <f t="shared" si="16"/>
        <v>6606662.8919559428</v>
      </c>
      <c r="N224" s="31">
        <v>149184.84</v>
      </c>
      <c r="P224" s="42" t="s">
        <v>345</v>
      </c>
      <c r="Q224" s="42" t="s">
        <v>346</v>
      </c>
      <c r="R224" s="43" t="s">
        <v>1050</v>
      </c>
      <c r="S224" s="44">
        <v>32</v>
      </c>
      <c r="T224" s="31">
        <v>4882916.8773201816</v>
      </c>
      <c r="U224" s="31">
        <v>239946.36999999997</v>
      </c>
      <c r="V224" s="31">
        <v>99666.880000000005</v>
      </c>
      <c r="W224" s="31">
        <v>15278.88</v>
      </c>
      <c r="X224" s="31">
        <v>649530.73880068748</v>
      </c>
      <c r="Y224" s="31">
        <v>483715.99059000396</v>
      </c>
      <c r="Z224" s="31">
        <v>361504.75003101409</v>
      </c>
      <c r="AA224" s="31">
        <f t="shared" si="17"/>
        <v>6885412.836741887</v>
      </c>
      <c r="AB224" s="31">
        <v>152852.35</v>
      </c>
      <c r="AD224" s="42" t="s">
        <v>345</v>
      </c>
      <c r="AE224" s="42" t="s">
        <v>346</v>
      </c>
      <c r="AF224" s="43" t="s">
        <v>1275</v>
      </c>
      <c r="AG224" s="44">
        <v>32</v>
      </c>
      <c r="AH224" s="31">
        <v>4976627.8102050107</v>
      </c>
      <c r="AI224" s="31">
        <v>244937.03</v>
      </c>
      <c r="AJ224" s="31">
        <v>101616.47</v>
      </c>
      <c r="AK224" s="31">
        <v>15577.740000000002</v>
      </c>
      <c r="AL224" s="31">
        <v>661562.03038117115</v>
      </c>
      <c r="AM224" s="31">
        <v>483567.23816658993</v>
      </c>
      <c r="AN224" s="31">
        <v>368468.06166765356</v>
      </c>
      <c r="AO224" s="31">
        <f t="shared" si="18"/>
        <v>7007901.7204204258</v>
      </c>
      <c r="AP224" s="31">
        <v>155545.34</v>
      </c>
      <c r="AR224" s="42" t="s">
        <v>345</v>
      </c>
      <c r="AS224" s="42" t="s">
        <v>346</v>
      </c>
      <c r="AT224" s="43" t="s">
        <v>1276</v>
      </c>
      <c r="AU224" s="44">
        <v>32</v>
      </c>
      <c r="AV224" s="31">
        <v>5067966.5725009385</v>
      </c>
      <c r="AW224" s="31">
        <v>249366.01</v>
      </c>
      <c r="AX224" s="31">
        <v>103472.08</v>
      </c>
      <c r="AY224" s="31">
        <v>15862.220000000001</v>
      </c>
      <c r="AZ224" s="31">
        <v>673744.82970769797</v>
      </c>
      <c r="BA224" s="31">
        <v>483590.90993504989</v>
      </c>
      <c r="BB224" s="31">
        <v>375261.05809361441</v>
      </c>
      <c r="BC224" s="31">
        <f t="shared" si="19"/>
        <v>7127693.2202373007</v>
      </c>
      <c r="BD224" s="31">
        <v>158429.53999999998</v>
      </c>
    </row>
    <row r="225" spans="2:56">
      <c r="B225" s="42" t="s">
        <v>299</v>
      </c>
      <c r="C225" s="42" t="s">
        <v>300</v>
      </c>
      <c r="D225" s="43" t="s">
        <v>1049</v>
      </c>
      <c r="E225" s="44">
        <v>32</v>
      </c>
      <c r="F225" s="31">
        <v>5979110.5931076743</v>
      </c>
      <c r="G225" s="31">
        <v>207260.68999999997</v>
      </c>
      <c r="H225" s="31">
        <v>11303.359999999999</v>
      </c>
      <c r="I225" s="31">
        <v>0</v>
      </c>
      <c r="J225" s="31">
        <v>696276.00938230043</v>
      </c>
      <c r="K225" s="31">
        <v>794958.99997381598</v>
      </c>
      <c r="L225" s="31">
        <v>535286.93798250938</v>
      </c>
      <c r="M225" s="31">
        <f t="shared" si="16"/>
        <v>8224196.5904463008</v>
      </c>
      <c r="N225" s="31">
        <v>0</v>
      </c>
      <c r="P225" s="42" t="s">
        <v>299</v>
      </c>
      <c r="Q225" s="42" t="s">
        <v>300</v>
      </c>
      <c r="R225" s="43" t="s">
        <v>1050</v>
      </c>
      <c r="S225" s="44">
        <v>32</v>
      </c>
      <c r="T225" s="31">
        <v>6208797.2040835433</v>
      </c>
      <c r="U225" s="31">
        <v>215219.69999999998</v>
      </c>
      <c r="V225" s="31">
        <v>11737.42</v>
      </c>
      <c r="W225" s="31">
        <v>0</v>
      </c>
      <c r="X225" s="31">
        <v>719862.6836292888</v>
      </c>
      <c r="Y225" s="31">
        <v>795764.8319458504</v>
      </c>
      <c r="Z225" s="31">
        <v>554359.99610508443</v>
      </c>
      <c r="AA225" s="31">
        <f t="shared" si="17"/>
        <v>8505741.8357637674</v>
      </c>
      <c r="AB225" s="31">
        <v>0</v>
      </c>
      <c r="AD225" s="42" t="s">
        <v>299</v>
      </c>
      <c r="AE225" s="42" t="s">
        <v>300</v>
      </c>
      <c r="AF225" s="43" t="s">
        <v>1275</v>
      </c>
      <c r="AG225" s="44">
        <v>32</v>
      </c>
      <c r="AH225" s="31">
        <v>6327953.8417578219</v>
      </c>
      <c r="AI225" s="31">
        <v>219429.68000000002</v>
      </c>
      <c r="AJ225" s="31">
        <v>11967</v>
      </c>
      <c r="AK225" s="31">
        <v>0</v>
      </c>
      <c r="AL225" s="31">
        <v>733196.59277857363</v>
      </c>
      <c r="AM225" s="31">
        <v>795491.06732374511</v>
      </c>
      <c r="AN225" s="31">
        <v>565036.69072742225</v>
      </c>
      <c r="AO225" s="31">
        <f t="shared" si="18"/>
        <v>8653074.8725875635</v>
      </c>
      <c r="AP225" s="31">
        <v>0</v>
      </c>
      <c r="AR225" s="42" t="s">
        <v>299</v>
      </c>
      <c r="AS225" s="42" t="s">
        <v>300</v>
      </c>
      <c r="AT225" s="43" t="s">
        <v>1276</v>
      </c>
      <c r="AU225" s="44">
        <v>32</v>
      </c>
      <c r="AV225" s="31">
        <v>6444256.2687341627</v>
      </c>
      <c r="AW225" s="31">
        <v>223436.67</v>
      </c>
      <c r="AX225" s="31">
        <v>12185.53</v>
      </c>
      <c r="AY225" s="31">
        <v>0</v>
      </c>
      <c r="AZ225" s="31">
        <v>746698.28713101707</v>
      </c>
      <c r="BA225" s="31">
        <v>795534.6329517751</v>
      </c>
      <c r="BB225" s="31">
        <v>575454.59942454589</v>
      </c>
      <c r="BC225" s="31">
        <f t="shared" si="19"/>
        <v>8797565.9882415012</v>
      </c>
      <c r="BD225" s="31">
        <v>0</v>
      </c>
    </row>
    <row r="226" spans="2:56">
      <c r="B226" s="42" t="s">
        <v>195</v>
      </c>
      <c r="C226" s="42" t="s">
        <v>196</v>
      </c>
      <c r="D226" s="43" t="s">
        <v>1049</v>
      </c>
      <c r="E226" s="44">
        <v>32</v>
      </c>
      <c r="F226" s="31">
        <v>131378298.52612059</v>
      </c>
      <c r="G226" s="31">
        <v>5706310.7700000005</v>
      </c>
      <c r="H226" s="31">
        <v>5366872.5500000007</v>
      </c>
      <c r="I226" s="31">
        <v>481040.16</v>
      </c>
      <c r="J226" s="31">
        <v>21486066.092669141</v>
      </c>
      <c r="K226" s="31">
        <v>7444110.5770329917</v>
      </c>
      <c r="L226" s="31">
        <v>14457247.405506978</v>
      </c>
      <c r="M226" s="31">
        <f t="shared" si="16"/>
        <v>188760829.71132967</v>
      </c>
      <c r="N226" s="31">
        <v>2440883.63</v>
      </c>
      <c r="P226" s="42" t="s">
        <v>195</v>
      </c>
      <c r="Q226" s="42" t="s">
        <v>196</v>
      </c>
      <c r="R226" s="43" t="s">
        <v>1050</v>
      </c>
      <c r="S226" s="44">
        <v>32</v>
      </c>
      <c r="T226" s="31">
        <v>137759105.7377046</v>
      </c>
      <c r="U226" s="31">
        <v>5946297.4500000011</v>
      </c>
      <c r="V226" s="31">
        <v>5565211.1400000006</v>
      </c>
      <c r="W226" s="31">
        <v>498817.53</v>
      </c>
      <c r="X226" s="31">
        <v>22198781.374363948</v>
      </c>
      <c r="Y226" s="31">
        <v>7451049.3712309478</v>
      </c>
      <c r="Z226" s="31">
        <v>15107333.070347663</v>
      </c>
      <c r="AA226" s="31">
        <f t="shared" si="17"/>
        <v>197028581.0136472</v>
      </c>
      <c r="AB226" s="31">
        <v>2501985.3400000003</v>
      </c>
      <c r="AD226" s="42" t="s">
        <v>195</v>
      </c>
      <c r="AE226" s="42" t="s">
        <v>196</v>
      </c>
      <c r="AF226" s="43" t="s">
        <v>1275</v>
      </c>
      <c r="AG226" s="44">
        <v>32</v>
      </c>
      <c r="AH226" s="31">
        <v>140412445.59517786</v>
      </c>
      <c r="AI226" s="31">
        <v>6067081.7599999998</v>
      </c>
      <c r="AJ226" s="31">
        <v>5674331.5199999996</v>
      </c>
      <c r="AK226" s="31">
        <v>508598.15</v>
      </c>
      <c r="AL226" s="31">
        <v>22613264.066752277</v>
      </c>
      <c r="AM226" s="31">
        <v>7448427.0265926942</v>
      </c>
      <c r="AN226" s="31">
        <v>15399296.326527996</v>
      </c>
      <c r="AO226" s="31">
        <f t="shared" si="18"/>
        <v>200670295.90505084</v>
      </c>
      <c r="AP226" s="31">
        <v>2546851.4600000004</v>
      </c>
      <c r="AR226" s="42" t="s">
        <v>195</v>
      </c>
      <c r="AS226" s="42" t="s">
        <v>196</v>
      </c>
      <c r="AT226" s="43" t="s">
        <v>1276</v>
      </c>
      <c r="AU226" s="44">
        <v>32</v>
      </c>
      <c r="AV226" s="31">
        <v>143031321.23193729</v>
      </c>
      <c r="AW226" s="31">
        <v>6179417.0700000003</v>
      </c>
      <c r="AX226" s="31">
        <v>5779984.5899999999</v>
      </c>
      <c r="AY226" s="31">
        <v>518067.97000000003</v>
      </c>
      <c r="AZ226" s="31">
        <v>23035889.65156531</v>
      </c>
      <c r="BA226" s="31">
        <v>7448830.6247526901</v>
      </c>
      <c r="BB226" s="31">
        <v>15687349.104039174</v>
      </c>
      <c r="BC226" s="31">
        <f t="shared" si="19"/>
        <v>204275763.31229445</v>
      </c>
      <c r="BD226" s="31">
        <v>2594903.0700000003</v>
      </c>
    </row>
    <row r="227" spans="2:56">
      <c r="B227" s="42" t="s">
        <v>109</v>
      </c>
      <c r="C227" s="42" t="s">
        <v>110</v>
      </c>
      <c r="D227" s="43" t="s">
        <v>1049</v>
      </c>
      <c r="E227" s="44">
        <v>32</v>
      </c>
      <c r="F227" s="31">
        <v>3762542.6910178643</v>
      </c>
      <c r="G227" s="31">
        <v>167968.81</v>
      </c>
      <c r="H227" s="31">
        <v>0</v>
      </c>
      <c r="I227" s="31">
        <v>10592.62</v>
      </c>
      <c r="J227" s="31">
        <v>456602.94927393354</v>
      </c>
      <c r="K227" s="31">
        <v>417425.80251662078</v>
      </c>
      <c r="L227" s="31">
        <v>109681.7823202669</v>
      </c>
      <c r="M227" s="31">
        <f t="shared" si="16"/>
        <v>5013288.3351286845</v>
      </c>
      <c r="N227" s="31">
        <v>88473.68</v>
      </c>
      <c r="P227" s="42" t="s">
        <v>109</v>
      </c>
      <c r="Q227" s="42" t="s">
        <v>110</v>
      </c>
      <c r="R227" s="43" t="s">
        <v>1050</v>
      </c>
      <c r="S227" s="44">
        <v>32</v>
      </c>
      <c r="T227" s="31">
        <v>3931655.257628066</v>
      </c>
      <c r="U227" s="31">
        <v>175539.39999999997</v>
      </c>
      <c r="V227" s="31">
        <v>0</v>
      </c>
      <c r="W227" s="31">
        <v>10995.579999999998</v>
      </c>
      <c r="X227" s="31">
        <v>472028.65376139147</v>
      </c>
      <c r="Y227" s="31">
        <v>417838.81707986328</v>
      </c>
      <c r="Z227" s="31">
        <v>114619.14350107643</v>
      </c>
      <c r="AA227" s="31">
        <f t="shared" si="17"/>
        <v>5213335.4119703975</v>
      </c>
      <c r="AB227" s="31">
        <v>90658.559999999998</v>
      </c>
      <c r="AD227" s="42" t="s">
        <v>109</v>
      </c>
      <c r="AE227" s="42" t="s">
        <v>110</v>
      </c>
      <c r="AF227" s="43" t="s">
        <v>1275</v>
      </c>
      <c r="AG227" s="44">
        <v>32</v>
      </c>
      <c r="AH227" s="31">
        <v>4006802.1851451802</v>
      </c>
      <c r="AI227" s="31">
        <v>179145.31</v>
      </c>
      <c r="AJ227" s="31">
        <v>0</v>
      </c>
      <c r="AK227" s="31">
        <v>11210.81</v>
      </c>
      <c r="AL227" s="31">
        <v>480787.70788125484</v>
      </c>
      <c r="AM227" s="31">
        <v>417698.50398761325</v>
      </c>
      <c r="AN227" s="31">
        <v>116828.54186514995</v>
      </c>
      <c r="AO227" s="31">
        <f t="shared" si="18"/>
        <v>5304735.9488791972</v>
      </c>
      <c r="AP227" s="31">
        <v>92262.89</v>
      </c>
      <c r="AR227" s="42" t="s">
        <v>109</v>
      </c>
      <c r="AS227" s="42" t="s">
        <v>110</v>
      </c>
      <c r="AT227" s="43" t="s">
        <v>1276</v>
      </c>
      <c r="AU227" s="44">
        <v>32</v>
      </c>
      <c r="AV227" s="31">
        <v>4080501.6023373362</v>
      </c>
      <c r="AW227" s="31">
        <v>182407.40999999997</v>
      </c>
      <c r="AX227" s="31">
        <v>0</v>
      </c>
      <c r="AY227" s="31">
        <v>11416.519999999999</v>
      </c>
      <c r="AZ227" s="31">
        <v>489670.19414657849</v>
      </c>
      <c r="BA227" s="31">
        <v>417720.83276018326</v>
      </c>
      <c r="BB227" s="31">
        <v>118988.49614551268</v>
      </c>
      <c r="BC227" s="31">
        <f t="shared" si="19"/>
        <v>5394686.1953896098</v>
      </c>
      <c r="BD227" s="31">
        <v>93981.14</v>
      </c>
    </row>
    <row r="228" spans="2:56">
      <c r="B228" s="42" t="s">
        <v>27</v>
      </c>
      <c r="C228" s="42" t="s">
        <v>28</v>
      </c>
      <c r="D228" s="43" t="s">
        <v>1049</v>
      </c>
      <c r="E228" s="44">
        <v>32</v>
      </c>
      <c r="F228" s="31">
        <v>112522771.54386766</v>
      </c>
      <c r="G228" s="31">
        <v>3369868.1600000006</v>
      </c>
      <c r="H228" s="31">
        <v>1280800.1000000001</v>
      </c>
      <c r="I228" s="31">
        <v>389808.72000000003</v>
      </c>
      <c r="J228" s="31">
        <v>15588378.244572576</v>
      </c>
      <c r="K228" s="31">
        <v>4739627.5722763035</v>
      </c>
      <c r="L228" s="31">
        <v>6798673.4565004157</v>
      </c>
      <c r="M228" s="31">
        <f t="shared" si="16"/>
        <v>145424652.67721695</v>
      </c>
      <c r="N228" s="31">
        <v>734724.88</v>
      </c>
      <c r="P228" s="42" t="s">
        <v>27</v>
      </c>
      <c r="Q228" s="42" t="s">
        <v>28</v>
      </c>
      <c r="R228" s="43" t="s">
        <v>1050</v>
      </c>
      <c r="S228" s="44">
        <v>32</v>
      </c>
      <c r="T228" s="31">
        <v>116087633.42144865</v>
      </c>
      <c r="U228" s="31">
        <v>3478346.18</v>
      </c>
      <c r="V228" s="31">
        <v>1318302.8399999999</v>
      </c>
      <c r="W228" s="31">
        <v>401222.58</v>
      </c>
      <c r="X228" s="31">
        <v>16001724.000129115</v>
      </c>
      <c r="Y228" s="31">
        <v>4743616.2839730345</v>
      </c>
      <c r="Z228" s="31">
        <v>6991102.5965206651</v>
      </c>
      <c r="AA228" s="31">
        <f t="shared" si="17"/>
        <v>149768380.21207148</v>
      </c>
      <c r="AB228" s="31">
        <v>746432.31000000017</v>
      </c>
      <c r="AD228" s="42" t="s">
        <v>27</v>
      </c>
      <c r="AE228" s="42" t="s">
        <v>28</v>
      </c>
      <c r="AF228" s="43" t="s">
        <v>1275</v>
      </c>
      <c r="AG228" s="44">
        <v>32</v>
      </c>
      <c r="AH228" s="31">
        <v>118313617.04275106</v>
      </c>
      <c r="AI228" s="31">
        <v>3547830.04</v>
      </c>
      <c r="AJ228" s="31">
        <v>1344102.0000000002</v>
      </c>
      <c r="AK228" s="31">
        <v>409074.51000000007</v>
      </c>
      <c r="AL228" s="31">
        <v>16298591.138282703</v>
      </c>
      <c r="AM228" s="31">
        <v>4742231.0607958883</v>
      </c>
      <c r="AN228" s="31">
        <v>7125830.3353333864</v>
      </c>
      <c r="AO228" s="31">
        <f t="shared" si="18"/>
        <v>152540903.41716301</v>
      </c>
      <c r="AP228" s="31">
        <v>759627.29000000015</v>
      </c>
      <c r="AR228" s="42" t="s">
        <v>27</v>
      </c>
      <c r="AS228" s="42" t="s">
        <v>28</v>
      </c>
      <c r="AT228" s="43" t="s">
        <v>1276</v>
      </c>
      <c r="AU228" s="44">
        <v>32</v>
      </c>
      <c r="AV228" s="31">
        <v>120496201.74964336</v>
      </c>
      <c r="AW228" s="31">
        <v>3612646.65</v>
      </c>
      <c r="AX228" s="31">
        <v>1368737.1300000001</v>
      </c>
      <c r="AY228" s="31">
        <v>416572.16000000003</v>
      </c>
      <c r="AZ228" s="31">
        <v>16599608.825596783</v>
      </c>
      <c r="BA228" s="31">
        <v>4742450.115196879</v>
      </c>
      <c r="BB228" s="31">
        <v>7257566.5351419272</v>
      </c>
      <c r="BC228" s="31">
        <f t="shared" si="19"/>
        <v>155267542.27557895</v>
      </c>
      <c r="BD228" s="31">
        <v>773759.11</v>
      </c>
    </row>
    <row r="229" spans="2:56">
      <c r="B229" s="42" t="s">
        <v>71</v>
      </c>
      <c r="C229" s="42" t="s">
        <v>72</v>
      </c>
      <c r="D229" s="43" t="s">
        <v>1049</v>
      </c>
      <c r="E229" s="44">
        <v>32</v>
      </c>
      <c r="F229" s="31">
        <v>31309352.585060846</v>
      </c>
      <c r="G229" s="31">
        <v>583702.18999999994</v>
      </c>
      <c r="H229" s="31">
        <v>189300.50000000003</v>
      </c>
      <c r="I229" s="31">
        <v>109989.23999999999</v>
      </c>
      <c r="J229" s="31">
        <v>3905861.3427862599</v>
      </c>
      <c r="K229" s="31">
        <v>0</v>
      </c>
      <c r="L229" s="31">
        <v>2463665.3174152719</v>
      </c>
      <c r="M229" s="31">
        <f t="shared" si="16"/>
        <v>38561871.175262384</v>
      </c>
      <c r="N229" s="31">
        <v>0</v>
      </c>
      <c r="P229" s="42" t="s">
        <v>71</v>
      </c>
      <c r="Q229" s="42" t="s">
        <v>72</v>
      </c>
      <c r="R229" s="43" t="s">
        <v>1050</v>
      </c>
      <c r="S229" s="44">
        <v>32</v>
      </c>
      <c r="T229" s="31">
        <v>32502823.171151243</v>
      </c>
      <c r="U229" s="31">
        <v>605807.54999999993</v>
      </c>
      <c r="V229" s="31">
        <v>196469.47000000003</v>
      </c>
      <c r="W229" s="31">
        <v>114154.64</v>
      </c>
      <c r="X229" s="31">
        <v>4037208.1822761223</v>
      </c>
      <c r="Y229" s="31">
        <v>0</v>
      </c>
      <c r="Z229" s="31">
        <v>2550661.0139442687</v>
      </c>
      <c r="AA229" s="31">
        <f t="shared" si="17"/>
        <v>40007124.02737163</v>
      </c>
      <c r="AB229" s="31">
        <v>0</v>
      </c>
      <c r="AD229" s="42" t="s">
        <v>71</v>
      </c>
      <c r="AE229" s="42" t="s">
        <v>72</v>
      </c>
      <c r="AF229" s="43" t="s">
        <v>1275</v>
      </c>
      <c r="AG229" s="44">
        <v>32</v>
      </c>
      <c r="AH229" s="31">
        <v>33127710.093599472</v>
      </c>
      <c r="AI229" s="31">
        <v>617668.20000000007</v>
      </c>
      <c r="AJ229" s="31">
        <v>200316.00999999998</v>
      </c>
      <c r="AK229" s="31">
        <v>116389.58</v>
      </c>
      <c r="AL229" s="31">
        <v>4112201.688580852</v>
      </c>
      <c r="AM229" s="31">
        <v>0</v>
      </c>
      <c r="AN229" s="31">
        <v>2599844.2685273262</v>
      </c>
      <c r="AO229" s="31">
        <f t="shared" si="18"/>
        <v>40774129.840707645</v>
      </c>
      <c r="AP229" s="31">
        <v>0</v>
      </c>
      <c r="AR229" s="42" t="s">
        <v>71</v>
      </c>
      <c r="AS229" s="42" t="s">
        <v>72</v>
      </c>
      <c r="AT229" s="43" t="s">
        <v>1276</v>
      </c>
      <c r="AU229" s="44">
        <v>32</v>
      </c>
      <c r="AV229" s="31">
        <v>33740189.68371141</v>
      </c>
      <c r="AW229" s="31">
        <v>629028.57000000007</v>
      </c>
      <c r="AX229" s="31">
        <v>204000.29000000004</v>
      </c>
      <c r="AY229" s="31">
        <v>118530.26000000001</v>
      </c>
      <c r="AZ229" s="31">
        <v>4188328.1725495281</v>
      </c>
      <c r="BA229" s="31">
        <v>0</v>
      </c>
      <c r="BB229" s="31">
        <v>2648031.2028344618</v>
      </c>
      <c r="BC229" s="31">
        <f t="shared" si="19"/>
        <v>41528108.179095402</v>
      </c>
      <c r="BD229" s="31">
        <v>0</v>
      </c>
    </row>
    <row r="230" spans="2:56">
      <c r="B230" s="42" t="s">
        <v>11</v>
      </c>
      <c r="C230" s="42" t="s">
        <v>12</v>
      </c>
      <c r="D230" s="43" t="s">
        <v>1049</v>
      </c>
      <c r="E230" s="44">
        <v>32</v>
      </c>
      <c r="F230" s="31">
        <v>3619450.6501497226</v>
      </c>
      <c r="G230" s="31">
        <v>105926.27999999997</v>
      </c>
      <c r="H230" s="31">
        <v>0</v>
      </c>
      <c r="I230" s="31">
        <v>0</v>
      </c>
      <c r="J230" s="31">
        <v>275232.47111144627</v>
      </c>
      <c r="K230" s="31">
        <v>0</v>
      </c>
      <c r="L230" s="31">
        <v>279745.66889935784</v>
      </c>
      <c r="M230" s="31">
        <f t="shared" si="16"/>
        <v>4330392.6401605271</v>
      </c>
      <c r="N230" s="31">
        <v>50037.570000000014</v>
      </c>
      <c r="P230" s="42" t="s">
        <v>11</v>
      </c>
      <c r="Q230" s="42" t="s">
        <v>12</v>
      </c>
      <c r="R230" s="43" t="s">
        <v>1050</v>
      </c>
      <c r="S230" s="44">
        <v>32</v>
      </c>
      <c r="T230" s="31">
        <v>3755949.7486748789</v>
      </c>
      <c r="U230" s="31">
        <v>110623.68999999997</v>
      </c>
      <c r="V230" s="31">
        <v>0</v>
      </c>
      <c r="W230" s="31">
        <v>0</v>
      </c>
      <c r="X230" s="31">
        <v>284526.46484445722</v>
      </c>
      <c r="Y230" s="31">
        <v>0</v>
      </c>
      <c r="Z230" s="31">
        <v>289667.81401646021</v>
      </c>
      <c r="AA230" s="31">
        <f t="shared" si="17"/>
        <v>4492040.9875357961</v>
      </c>
      <c r="AB230" s="31">
        <v>51273.270000000011</v>
      </c>
      <c r="AD230" s="42" t="s">
        <v>11</v>
      </c>
      <c r="AE230" s="42" t="s">
        <v>12</v>
      </c>
      <c r="AF230" s="43" t="s">
        <v>1275</v>
      </c>
      <c r="AG230" s="44">
        <v>32</v>
      </c>
      <c r="AH230" s="31">
        <v>3827909.269066338</v>
      </c>
      <c r="AI230" s="31">
        <v>112885.12000000002</v>
      </c>
      <c r="AJ230" s="31">
        <v>0</v>
      </c>
      <c r="AK230" s="31">
        <v>0</v>
      </c>
      <c r="AL230" s="31">
        <v>289804.97126776935</v>
      </c>
      <c r="AM230" s="31">
        <v>0</v>
      </c>
      <c r="AN230" s="31">
        <v>295250.64599508699</v>
      </c>
      <c r="AO230" s="31">
        <f t="shared" si="18"/>
        <v>4578030.6263291948</v>
      </c>
      <c r="AP230" s="31">
        <v>52180.62</v>
      </c>
      <c r="AR230" s="42" t="s">
        <v>11</v>
      </c>
      <c r="AS230" s="42" t="s">
        <v>12</v>
      </c>
      <c r="AT230" s="43" t="s">
        <v>1276</v>
      </c>
      <c r="AU230" s="44">
        <v>32</v>
      </c>
      <c r="AV230" s="31">
        <v>3898222.9744886099</v>
      </c>
      <c r="AW230" s="31">
        <v>114942.31000000003</v>
      </c>
      <c r="AX230" s="31">
        <v>0</v>
      </c>
      <c r="AY230" s="31">
        <v>0</v>
      </c>
      <c r="AZ230" s="31">
        <v>295156.86719899945</v>
      </c>
      <c r="BA230" s="31">
        <v>0</v>
      </c>
      <c r="BB230" s="31">
        <v>300709.62753899628</v>
      </c>
      <c r="BC230" s="31">
        <f t="shared" si="19"/>
        <v>4662184.1692266045</v>
      </c>
      <c r="BD230" s="31">
        <v>53152.390000000007</v>
      </c>
    </row>
    <row r="231" spans="2:56">
      <c r="B231" s="42" t="s">
        <v>477</v>
      </c>
      <c r="C231" s="42" t="s">
        <v>478</v>
      </c>
      <c r="D231" s="43" t="s">
        <v>1049</v>
      </c>
      <c r="E231" s="44">
        <v>32</v>
      </c>
      <c r="F231" s="31">
        <v>11099867.573316412</v>
      </c>
      <c r="G231" s="31">
        <v>454667.77</v>
      </c>
      <c r="H231" s="31">
        <v>25140.239999999998</v>
      </c>
      <c r="I231" s="31">
        <v>40438.74</v>
      </c>
      <c r="J231" s="31">
        <v>1786948.7830444805</v>
      </c>
      <c r="K231" s="31">
        <v>1496343.7500409356</v>
      </c>
      <c r="L231" s="31">
        <v>1503751.4047864215</v>
      </c>
      <c r="M231" s="31">
        <f t="shared" si="16"/>
        <v>16515222.271188248</v>
      </c>
      <c r="N231" s="31">
        <v>108064.01000000001</v>
      </c>
      <c r="P231" s="42" t="s">
        <v>477</v>
      </c>
      <c r="Q231" s="42" t="s">
        <v>478</v>
      </c>
      <c r="R231" s="43" t="s">
        <v>1050</v>
      </c>
      <c r="S231" s="44">
        <v>32</v>
      </c>
      <c r="T231" s="31">
        <v>11634086.231465839</v>
      </c>
      <c r="U231" s="31">
        <v>473620.64</v>
      </c>
      <c r="V231" s="31">
        <v>26105.640000000003</v>
      </c>
      <c r="W231" s="31">
        <v>41991.619999999995</v>
      </c>
      <c r="X231" s="31">
        <v>1847511.3878700803</v>
      </c>
      <c r="Y231" s="31">
        <v>1497815.4796086145</v>
      </c>
      <c r="Z231" s="31">
        <v>1572354.5687992459</v>
      </c>
      <c r="AA231" s="31">
        <f t="shared" si="17"/>
        <v>17204206.177743778</v>
      </c>
      <c r="AB231" s="31">
        <v>110720.61000000002</v>
      </c>
      <c r="AD231" s="42" t="s">
        <v>477</v>
      </c>
      <c r="AE231" s="42" t="s">
        <v>478</v>
      </c>
      <c r="AF231" s="43" t="s">
        <v>1275</v>
      </c>
      <c r="AG231" s="44">
        <v>32</v>
      </c>
      <c r="AH231" s="31">
        <v>11856898.245438376</v>
      </c>
      <c r="AI231" s="31">
        <v>483100.37999999995</v>
      </c>
      <c r="AJ231" s="31">
        <v>26616.29</v>
      </c>
      <c r="AK231" s="31">
        <v>42813.04</v>
      </c>
      <c r="AL231" s="31">
        <v>1881735.9014793225</v>
      </c>
      <c r="AM231" s="31">
        <v>1497315.4901530959</v>
      </c>
      <c r="AN231" s="31">
        <v>1602640.8770937813</v>
      </c>
      <c r="AO231" s="31">
        <f t="shared" si="18"/>
        <v>17503791.544164576</v>
      </c>
      <c r="AP231" s="31">
        <v>112671.32</v>
      </c>
      <c r="AR231" s="42" t="s">
        <v>477</v>
      </c>
      <c r="AS231" s="42" t="s">
        <v>478</v>
      </c>
      <c r="AT231" s="43" t="s">
        <v>1276</v>
      </c>
      <c r="AU231" s="44">
        <v>32</v>
      </c>
      <c r="AV231" s="31">
        <v>12075083.313223528</v>
      </c>
      <c r="AW231" s="31">
        <v>491890.50999999989</v>
      </c>
      <c r="AX231" s="31">
        <v>27102.33</v>
      </c>
      <c r="AY231" s="31">
        <v>43594.85</v>
      </c>
      <c r="AZ231" s="31">
        <v>1916393.8262290421</v>
      </c>
      <c r="BA231" s="31">
        <v>1497395.0561484045</v>
      </c>
      <c r="BB231" s="31">
        <v>1632186.3206333884</v>
      </c>
      <c r="BC231" s="31">
        <f t="shared" si="19"/>
        <v>17798406.746234361</v>
      </c>
      <c r="BD231" s="31">
        <v>114760.54000000001</v>
      </c>
    </row>
    <row r="232" spans="2:56">
      <c r="B232" s="42" t="s">
        <v>203</v>
      </c>
      <c r="C232" s="42" t="s">
        <v>204</v>
      </c>
      <c r="D232" s="43" t="s">
        <v>1049</v>
      </c>
      <c r="E232" s="44">
        <v>32</v>
      </c>
      <c r="F232" s="31">
        <v>27439065.117330894</v>
      </c>
      <c r="G232" s="31">
        <v>283316.83</v>
      </c>
      <c r="H232" s="31">
        <v>352311.12</v>
      </c>
      <c r="I232" s="31">
        <v>97901.83</v>
      </c>
      <c r="J232" s="31">
        <v>3313213.1274896837</v>
      </c>
      <c r="K232" s="31">
        <v>2290548.1058273027</v>
      </c>
      <c r="L232" s="31">
        <v>1910848.1593277296</v>
      </c>
      <c r="M232" s="31">
        <f t="shared" si="16"/>
        <v>35687204.289975606</v>
      </c>
      <c r="N232" s="31">
        <v>0</v>
      </c>
      <c r="P232" s="42" t="s">
        <v>203</v>
      </c>
      <c r="Q232" s="42" t="s">
        <v>204</v>
      </c>
      <c r="R232" s="43" t="s">
        <v>1050</v>
      </c>
      <c r="S232" s="44">
        <v>32</v>
      </c>
      <c r="T232" s="31">
        <v>28462855.683328301</v>
      </c>
      <c r="U232" s="31">
        <v>293787.11000000004</v>
      </c>
      <c r="V232" s="31">
        <v>365331.15</v>
      </c>
      <c r="W232" s="31">
        <v>101519.91000000002</v>
      </c>
      <c r="X232" s="31">
        <v>3423155.9167968896</v>
      </c>
      <c r="Y232" s="31">
        <v>2292511.4928159867</v>
      </c>
      <c r="Z232" s="31">
        <v>1977239.9729320954</v>
      </c>
      <c r="AA232" s="31">
        <f t="shared" si="17"/>
        <v>36916401.235873267</v>
      </c>
      <c r="AB232" s="31">
        <v>0</v>
      </c>
      <c r="AD232" s="42" t="s">
        <v>203</v>
      </c>
      <c r="AE232" s="42" t="s">
        <v>204</v>
      </c>
      <c r="AF232" s="43" t="s">
        <v>1275</v>
      </c>
      <c r="AG232" s="44">
        <v>32</v>
      </c>
      <c r="AH232" s="31">
        <v>29010576.746133391</v>
      </c>
      <c r="AI232" s="31">
        <v>299547.58999999997</v>
      </c>
      <c r="AJ232" s="31">
        <v>372494.41</v>
      </c>
      <c r="AK232" s="31">
        <v>103510.46999999999</v>
      </c>
      <c r="AL232" s="31">
        <v>3487076.4893783955</v>
      </c>
      <c r="AM232" s="31">
        <v>2291769.4795503234</v>
      </c>
      <c r="AN232" s="31">
        <v>2015447.6839920962</v>
      </c>
      <c r="AO232" s="31">
        <f t="shared" si="18"/>
        <v>37580422.869054206</v>
      </c>
      <c r="AP232" s="31">
        <v>0</v>
      </c>
      <c r="AR232" s="42" t="s">
        <v>203</v>
      </c>
      <c r="AS232" s="42" t="s">
        <v>204</v>
      </c>
      <c r="AT232" s="43" t="s">
        <v>1276</v>
      </c>
      <c r="AU232" s="44">
        <v>32</v>
      </c>
      <c r="AV232" s="31">
        <v>29551694.058301628</v>
      </c>
      <c r="AW232" s="31">
        <v>305125.00999999995</v>
      </c>
      <c r="AX232" s="31">
        <v>379430.07</v>
      </c>
      <c r="AY232" s="31">
        <v>105437.79</v>
      </c>
      <c r="AZ232" s="31">
        <v>3552257.2995256502</v>
      </c>
      <c r="BA232" s="31">
        <v>2291883.6808587043</v>
      </c>
      <c r="BB232" s="31">
        <v>2053150.431730797</v>
      </c>
      <c r="BC232" s="31">
        <f t="shared" si="19"/>
        <v>38238978.340416782</v>
      </c>
      <c r="BD232" s="31">
        <v>0</v>
      </c>
    </row>
    <row r="233" spans="2:56">
      <c r="B233" s="42" t="s">
        <v>519</v>
      </c>
      <c r="C233" s="42" t="s">
        <v>520</v>
      </c>
      <c r="D233" s="43" t="s">
        <v>1049</v>
      </c>
      <c r="E233" s="44">
        <v>32</v>
      </c>
      <c r="F233" s="31">
        <v>17247549.754493684</v>
      </c>
      <c r="G233" s="31">
        <v>667775.05000000028</v>
      </c>
      <c r="H233" s="31">
        <v>319222.38999999996</v>
      </c>
      <c r="I233" s="31">
        <v>58465.639999999992</v>
      </c>
      <c r="J233" s="31">
        <v>2577800.8213884346</v>
      </c>
      <c r="K233" s="31">
        <v>1885964.6342048864</v>
      </c>
      <c r="L233" s="31">
        <v>971383.01909723331</v>
      </c>
      <c r="M233" s="31">
        <f t="shared" si="16"/>
        <v>24144631.54918424</v>
      </c>
      <c r="N233" s="31">
        <v>416470.24000000005</v>
      </c>
      <c r="P233" s="42" t="s">
        <v>519</v>
      </c>
      <c r="Q233" s="42" t="s">
        <v>520</v>
      </c>
      <c r="R233" s="43" t="s">
        <v>1050</v>
      </c>
      <c r="S233" s="44">
        <v>32</v>
      </c>
      <c r="T233" s="31">
        <v>18099232.677561626</v>
      </c>
      <c r="U233" s="31">
        <v>699172.78000000026</v>
      </c>
      <c r="V233" s="31">
        <v>331480.85000000003</v>
      </c>
      <c r="W233" s="31">
        <v>60710.78</v>
      </c>
      <c r="X233" s="31">
        <v>2665094.7392296055</v>
      </c>
      <c r="Y233" s="31">
        <v>1887947.6689674489</v>
      </c>
      <c r="Z233" s="31">
        <v>1015658.8911591617</v>
      </c>
      <c r="AA233" s="31">
        <f t="shared" si="17"/>
        <v>25186006.986917846</v>
      </c>
      <c r="AB233" s="31">
        <v>426708.59999999992</v>
      </c>
      <c r="AD233" s="42" t="s">
        <v>519</v>
      </c>
      <c r="AE233" s="42" t="s">
        <v>520</v>
      </c>
      <c r="AF233" s="43" t="s">
        <v>1275</v>
      </c>
      <c r="AG233" s="44">
        <v>32</v>
      </c>
      <c r="AH233" s="31">
        <v>18446898.180360988</v>
      </c>
      <c r="AI233" s="31">
        <v>713678.58000000007</v>
      </c>
      <c r="AJ233" s="31">
        <v>337965.02999999997</v>
      </c>
      <c r="AK233" s="31">
        <v>61898.36</v>
      </c>
      <c r="AL233" s="31">
        <v>2714454.2605275316</v>
      </c>
      <c r="AM233" s="31">
        <v>1887273.9742255735</v>
      </c>
      <c r="AN233" s="31">
        <v>1035222.3327591401</v>
      </c>
      <c r="AO233" s="31">
        <f t="shared" si="18"/>
        <v>25631617.197873231</v>
      </c>
      <c r="AP233" s="31">
        <v>434226.48000000004</v>
      </c>
      <c r="AR233" s="42" t="s">
        <v>519</v>
      </c>
      <c r="AS233" s="42" t="s">
        <v>520</v>
      </c>
      <c r="AT233" s="43" t="s">
        <v>1276</v>
      </c>
      <c r="AU233" s="44">
        <v>32</v>
      </c>
      <c r="AV233" s="31">
        <v>18786079.1393978</v>
      </c>
      <c r="AW233" s="31">
        <v>726588.74</v>
      </c>
      <c r="AX233" s="31">
        <v>344136.58999999997</v>
      </c>
      <c r="AY233" s="31">
        <v>63028.68</v>
      </c>
      <c r="AZ233" s="31">
        <v>2764430.2733906629</v>
      </c>
      <c r="BA233" s="31">
        <v>1887381.1828718353</v>
      </c>
      <c r="BB233" s="31">
        <v>1054307.2343768768</v>
      </c>
      <c r="BC233" s="31">
        <f t="shared" si="19"/>
        <v>26068229.970037173</v>
      </c>
      <c r="BD233" s="31">
        <v>442278.13000000006</v>
      </c>
    </row>
    <row r="234" spans="2:56">
      <c r="B234" s="42" t="s">
        <v>263</v>
      </c>
      <c r="C234" s="42" t="s">
        <v>264</v>
      </c>
      <c r="D234" s="43" t="s">
        <v>1049</v>
      </c>
      <c r="E234" s="44">
        <v>32</v>
      </c>
      <c r="F234" s="31">
        <v>429296.23317987961</v>
      </c>
      <c r="G234" s="31">
        <v>0</v>
      </c>
      <c r="H234" s="31">
        <v>0</v>
      </c>
      <c r="I234" s="31">
        <v>0</v>
      </c>
      <c r="J234" s="31">
        <v>52573.259702966912</v>
      </c>
      <c r="K234" s="31">
        <v>115219.65357997973</v>
      </c>
      <c r="L234" s="31">
        <v>0</v>
      </c>
      <c r="M234" s="31">
        <f t="shared" si="16"/>
        <v>597089.14646282629</v>
      </c>
      <c r="N234" s="31">
        <v>0</v>
      </c>
      <c r="P234" s="42" t="s">
        <v>263</v>
      </c>
      <c r="Q234" s="42" t="s">
        <v>264</v>
      </c>
      <c r="R234" s="43" t="s">
        <v>1050</v>
      </c>
      <c r="S234" s="44">
        <v>32</v>
      </c>
      <c r="T234" s="31">
        <v>445538.95993384079</v>
      </c>
      <c r="U234" s="31">
        <v>0</v>
      </c>
      <c r="V234" s="31">
        <v>0</v>
      </c>
      <c r="W234" s="31">
        <v>0</v>
      </c>
      <c r="X234" s="31">
        <v>54350.752664481566</v>
      </c>
      <c r="Y234" s="31">
        <v>115298.82182668713</v>
      </c>
      <c r="Z234" s="31">
        <v>0</v>
      </c>
      <c r="AA234" s="31">
        <f t="shared" si="17"/>
        <v>615188.53442500951</v>
      </c>
      <c r="AB234" s="31">
        <v>0</v>
      </c>
      <c r="AD234" s="42" t="s">
        <v>263</v>
      </c>
      <c r="AE234" s="42" t="s">
        <v>264</v>
      </c>
      <c r="AF234" s="43" t="s">
        <v>1275</v>
      </c>
      <c r="AG234" s="44">
        <v>32</v>
      </c>
      <c r="AH234" s="31">
        <v>454086.88093770167</v>
      </c>
      <c r="AI234" s="31">
        <v>0</v>
      </c>
      <c r="AJ234" s="31">
        <v>0</v>
      </c>
      <c r="AK234" s="31">
        <v>0</v>
      </c>
      <c r="AL234" s="31">
        <v>55356.604914471078</v>
      </c>
      <c r="AM234" s="31">
        <v>115271.92606442558</v>
      </c>
      <c r="AN234" s="31">
        <v>0</v>
      </c>
      <c r="AO234" s="31">
        <f t="shared" si="18"/>
        <v>624715.41191659833</v>
      </c>
      <c r="AP234" s="31">
        <v>0</v>
      </c>
      <c r="AR234" s="42" t="s">
        <v>263</v>
      </c>
      <c r="AS234" s="42" t="s">
        <v>264</v>
      </c>
      <c r="AT234" s="43" t="s">
        <v>1276</v>
      </c>
      <c r="AU234" s="44">
        <v>32</v>
      </c>
      <c r="AV234" s="31">
        <v>462384.44284423656</v>
      </c>
      <c r="AW234" s="31">
        <v>0</v>
      </c>
      <c r="AX234" s="31">
        <v>0</v>
      </c>
      <c r="AY234" s="31">
        <v>0</v>
      </c>
      <c r="AZ234" s="31">
        <v>56374.396982002792</v>
      </c>
      <c r="BA234" s="31">
        <v>115276.20613087558</v>
      </c>
      <c r="BB234" s="31">
        <v>0</v>
      </c>
      <c r="BC234" s="31">
        <f t="shared" si="19"/>
        <v>634035.0459571149</v>
      </c>
      <c r="BD234" s="31">
        <v>0</v>
      </c>
    </row>
    <row r="235" spans="2:56">
      <c r="B235" s="42" t="s">
        <v>575</v>
      </c>
      <c r="C235" s="42" t="s">
        <v>576</v>
      </c>
      <c r="D235" s="43" t="s">
        <v>1049</v>
      </c>
      <c r="E235" s="44">
        <v>32</v>
      </c>
      <c r="F235" s="31">
        <v>2331238.204795897</v>
      </c>
      <c r="G235" s="31">
        <v>63051.360000000001</v>
      </c>
      <c r="H235" s="31">
        <v>0</v>
      </c>
      <c r="I235" s="31">
        <v>0</v>
      </c>
      <c r="J235" s="31">
        <v>174010.49802843464</v>
      </c>
      <c r="K235" s="31">
        <v>208816.82793112096</v>
      </c>
      <c r="L235" s="31">
        <v>69388.780261988024</v>
      </c>
      <c r="M235" s="31">
        <f t="shared" si="16"/>
        <v>2893012.3610174404</v>
      </c>
      <c r="N235" s="31">
        <v>46506.69</v>
      </c>
      <c r="P235" s="42" t="s">
        <v>575</v>
      </c>
      <c r="Q235" s="42" t="s">
        <v>576</v>
      </c>
      <c r="R235" s="43" t="s">
        <v>1050</v>
      </c>
      <c r="S235" s="44">
        <v>32</v>
      </c>
      <c r="T235" s="31">
        <v>2432235.1901343446</v>
      </c>
      <c r="U235" s="31">
        <v>66070.61</v>
      </c>
      <c r="V235" s="31">
        <v>0</v>
      </c>
      <c r="W235" s="31">
        <v>0</v>
      </c>
      <c r="X235" s="31">
        <v>179882.9177877834</v>
      </c>
      <c r="Y235" s="31">
        <v>209006.38335103655</v>
      </c>
      <c r="Z235" s="31">
        <v>72478.306050130719</v>
      </c>
      <c r="AA235" s="31">
        <f t="shared" si="17"/>
        <v>3007328.5973232947</v>
      </c>
      <c r="AB235" s="31">
        <v>47655.19</v>
      </c>
      <c r="AD235" s="42" t="s">
        <v>575</v>
      </c>
      <c r="AE235" s="42" t="s">
        <v>576</v>
      </c>
      <c r="AF235" s="43" t="s">
        <v>1275</v>
      </c>
      <c r="AG235" s="44">
        <v>32</v>
      </c>
      <c r="AH235" s="31">
        <v>2478830.4574442385</v>
      </c>
      <c r="AI235" s="31">
        <v>67453.209999999992</v>
      </c>
      <c r="AJ235" s="31">
        <v>0</v>
      </c>
      <c r="AK235" s="31">
        <v>0</v>
      </c>
      <c r="AL235" s="31">
        <v>183219.70452312424</v>
      </c>
      <c r="AM235" s="31">
        <v>208941.98584671537</v>
      </c>
      <c r="AN235" s="31">
        <v>73875.363860548547</v>
      </c>
      <c r="AO235" s="31">
        <f t="shared" si="18"/>
        <v>3060819.2416746267</v>
      </c>
      <c r="AP235" s="31">
        <v>48498.520000000004</v>
      </c>
      <c r="AR235" s="42" t="s">
        <v>575</v>
      </c>
      <c r="AS235" s="42" t="s">
        <v>576</v>
      </c>
      <c r="AT235" s="43" t="s">
        <v>1276</v>
      </c>
      <c r="AU235" s="44">
        <v>32</v>
      </c>
      <c r="AV235" s="31">
        <v>2524133.6880456996</v>
      </c>
      <c r="AW235" s="31">
        <v>68677.73</v>
      </c>
      <c r="AX235" s="31">
        <v>0</v>
      </c>
      <c r="AY235" s="31">
        <v>0</v>
      </c>
      <c r="AZ235" s="31">
        <v>186602.5691358514</v>
      </c>
      <c r="BA235" s="31">
        <v>208952.23376588675</v>
      </c>
      <c r="BB235" s="31">
        <v>75241.13068514601</v>
      </c>
      <c r="BC235" s="31">
        <f t="shared" si="19"/>
        <v>3113009.0616325834</v>
      </c>
      <c r="BD235" s="31">
        <v>49401.710000000006</v>
      </c>
    </row>
    <row r="236" spans="2:56">
      <c r="B236" s="42" t="s">
        <v>131</v>
      </c>
      <c r="C236" s="42" t="s">
        <v>132</v>
      </c>
      <c r="D236" s="43" t="s">
        <v>1049</v>
      </c>
      <c r="E236" s="44">
        <v>32</v>
      </c>
      <c r="F236" s="31">
        <v>14160607.708229315</v>
      </c>
      <c r="G236" s="31">
        <v>858665.33000000019</v>
      </c>
      <c r="H236" s="31">
        <v>1187631.99</v>
      </c>
      <c r="I236" s="31">
        <v>49306.030000000006</v>
      </c>
      <c r="J236" s="31">
        <v>2182986.048056474</v>
      </c>
      <c r="K236" s="31">
        <v>999305.80799200956</v>
      </c>
      <c r="L236" s="31">
        <v>1056994.416502313</v>
      </c>
      <c r="M236" s="31">
        <f t="shared" si="16"/>
        <v>21002004.650780112</v>
      </c>
      <c r="N236" s="31">
        <v>506507.31999999995</v>
      </c>
      <c r="P236" s="42" t="s">
        <v>131</v>
      </c>
      <c r="Q236" s="42" t="s">
        <v>132</v>
      </c>
      <c r="R236" s="43" t="s">
        <v>1050</v>
      </c>
      <c r="S236" s="44">
        <v>32</v>
      </c>
      <c r="T236" s="31">
        <v>14862935.857298803</v>
      </c>
      <c r="U236" s="31">
        <v>898637.54000000015</v>
      </c>
      <c r="V236" s="31">
        <v>1233238.28</v>
      </c>
      <c r="W236" s="31">
        <v>51199.430000000008</v>
      </c>
      <c r="X236" s="31">
        <v>2256968.1803730456</v>
      </c>
      <c r="Y236" s="31">
        <v>1000173.0076662144</v>
      </c>
      <c r="Z236" s="31">
        <v>1105130.4033157853</v>
      </c>
      <c r="AA236" s="31">
        <f t="shared" si="17"/>
        <v>21927241.82865385</v>
      </c>
      <c r="AB236" s="31">
        <v>518959.13</v>
      </c>
      <c r="AD236" s="42" t="s">
        <v>131</v>
      </c>
      <c r="AE236" s="42" t="s">
        <v>132</v>
      </c>
      <c r="AF236" s="43" t="s">
        <v>1275</v>
      </c>
      <c r="AG236" s="44">
        <v>32</v>
      </c>
      <c r="AH236" s="31">
        <v>15148608.167013695</v>
      </c>
      <c r="AI236" s="31">
        <v>917224.36999999988</v>
      </c>
      <c r="AJ236" s="31">
        <v>1257361.9999999998</v>
      </c>
      <c r="AK236" s="31">
        <v>52200.960000000006</v>
      </c>
      <c r="AL236" s="31">
        <v>2298770.623510066</v>
      </c>
      <c r="AM236" s="31">
        <v>999878.39464595995</v>
      </c>
      <c r="AN236" s="31">
        <v>1126417.1159096688</v>
      </c>
      <c r="AO236" s="31">
        <f t="shared" si="18"/>
        <v>22328563.931079391</v>
      </c>
      <c r="AP236" s="31">
        <v>528102.30000000005</v>
      </c>
      <c r="AR236" s="42" t="s">
        <v>131</v>
      </c>
      <c r="AS236" s="42" t="s">
        <v>132</v>
      </c>
      <c r="AT236" s="43" t="s">
        <v>1276</v>
      </c>
      <c r="AU236" s="44">
        <v>32</v>
      </c>
      <c r="AV236" s="31">
        <v>15427149.315967932</v>
      </c>
      <c r="AW236" s="31">
        <v>933825.00999999989</v>
      </c>
      <c r="AX236" s="31">
        <v>1280322.5900000001</v>
      </c>
      <c r="AY236" s="31">
        <v>53154.19</v>
      </c>
      <c r="AZ236" s="31">
        <v>2341096.6535543296</v>
      </c>
      <c r="BA236" s="31">
        <v>999925.27799105586</v>
      </c>
      <c r="BB236" s="31">
        <v>1147183.0448537183</v>
      </c>
      <c r="BC236" s="31">
        <f t="shared" si="19"/>
        <v>22720550.74236704</v>
      </c>
      <c r="BD236" s="31">
        <v>537894.66</v>
      </c>
    </row>
    <row r="237" spans="2:56">
      <c r="B237" s="42" t="s">
        <v>399</v>
      </c>
      <c r="C237" s="42" t="s">
        <v>400</v>
      </c>
      <c r="D237" s="43" t="s">
        <v>1049</v>
      </c>
      <c r="E237" s="44">
        <v>32</v>
      </c>
      <c r="F237" s="31">
        <v>7023403.7035549823</v>
      </c>
      <c r="G237" s="31">
        <v>214336.76</v>
      </c>
      <c r="H237" s="31">
        <v>92459.000000000015</v>
      </c>
      <c r="I237" s="31">
        <v>24138.46</v>
      </c>
      <c r="J237" s="31">
        <v>1044378.8546325611</v>
      </c>
      <c r="K237" s="31">
        <v>375674.80553536693</v>
      </c>
      <c r="L237" s="31">
        <v>228763.52704134208</v>
      </c>
      <c r="M237" s="31">
        <f t="shared" si="16"/>
        <v>9003155.110764252</v>
      </c>
      <c r="N237" s="31">
        <v>0</v>
      </c>
      <c r="P237" s="42" t="s">
        <v>399</v>
      </c>
      <c r="Q237" s="42" t="s">
        <v>400</v>
      </c>
      <c r="R237" s="43" t="s">
        <v>1050</v>
      </c>
      <c r="S237" s="44">
        <v>32</v>
      </c>
      <c r="T237" s="31">
        <v>7288206.4927313197</v>
      </c>
      <c r="U237" s="31">
        <v>222351.14</v>
      </c>
      <c r="V237" s="31">
        <v>95916.180000000008</v>
      </c>
      <c r="W237" s="31">
        <v>25041.05</v>
      </c>
      <c r="X237" s="31">
        <v>1079273.4446419999</v>
      </c>
      <c r="Y237" s="31">
        <v>376020.0777218552</v>
      </c>
      <c r="Z237" s="31">
        <v>236774.07757739542</v>
      </c>
      <c r="AA237" s="31">
        <f t="shared" si="17"/>
        <v>9323582.4626725689</v>
      </c>
      <c r="AB237" s="31">
        <v>0</v>
      </c>
      <c r="AD237" s="42" t="s">
        <v>399</v>
      </c>
      <c r="AE237" s="42" t="s">
        <v>400</v>
      </c>
      <c r="AF237" s="43" t="s">
        <v>1275</v>
      </c>
      <c r="AG237" s="44">
        <v>32</v>
      </c>
      <c r="AH237" s="31">
        <v>7428434.614433459</v>
      </c>
      <c r="AI237" s="31">
        <v>226707.81000000003</v>
      </c>
      <c r="AJ237" s="31">
        <v>97795.520000000004</v>
      </c>
      <c r="AK237" s="31">
        <v>25531.700000000004</v>
      </c>
      <c r="AL237" s="31">
        <v>1099378.1408339331</v>
      </c>
      <c r="AM237" s="31">
        <v>375893.81354527856</v>
      </c>
      <c r="AN237" s="31">
        <v>241344.7105489625</v>
      </c>
      <c r="AO237" s="31">
        <f t="shared" si="18"/>
        <v>9495086.3093616348</v>
      </c>
      <c r="AP237" s="31">
        <v>0</v>
      </c>
      <c r="AR237" s="42" t="s">
        <v>399</v>
      </c>
      <c r="AS237" s="42" t="s">
        <v>400</v>
      </c>
      <c r="AT237" s="43" t="s">
        <v>1276</v>
      </c>
      <c r="AU237" s="44">
        <v>32</v>
      </c>
      <c r="AV237" s="31">
        <v>7566443.4476358499</v>
      </c>
      <c r="AW237" s="31">
        <v>230904.46</v>
      </c>
      <c r="AX237" s="31">
        <v>99605.85</v>
      </c>
      <c r="AY237" s="31">
        <v>26004.32</v>
      </c>
      <c r="AZ237" s="31">
        <v>1119836.4356925238</v>
      </c>
      <c r="BA237" s="31">
        <v>375913.44289288856</v>
      </c>
      <c r="BB237" s="31">
        <v>245839.48597291083</v>
      </c>
      <c r="BC237" s="31">
        <f t="shared" si="19"/>
        <v>9664547.4421941731</v>
      </c>
      <c r="BD237" s="31">
        <v>0</v>
      </c>
    </row>
    <row r="238" spans="2:56">
      <c r="B238" s="42" t="s">
        <v>159</v>
      </c>
      <c r="C238" s="42" t="s">
        <v>160</v>
      </c>
      <c r="D238" s="43" t="s">
        <v>1049</v>
      </c>
      <c r="E238" s="44">
        <v>32</v>
      </c>
      <c r="F238" s="31">
        <v>589584.46309245448</v>
      </c>
      <c r="G238" s="31">
        <v>21145.090000000004</v>
      </c>
      <c r="H238" s="31">
        <v>0</v>
      </c>
      <c r="I238" s="31">
        <v>0</v>
      </c>
      <c r="J238" s="31">
        <v>68115.135744228697</v>
      </c>
      <c r="K238" s="31">
        <v>0</v>
      </c>
      <c r="L238" s="31">
        <v>0</v>
      </c>
      <c r="M238" s="31">
        <f t="shared" si="16"/>
        <v>694240.62883668323</v>
      </c>
      <c r="N238" s="31">
        <v>15395.940000000002</v>
      </c>
      <c r="P238" s="42" t="s">
        <v>159</v>
      </c>
      <c r="Q238" s="42" t="s">
        <v>160</v>
      </c>
      <c r="R238" s="43" t="s">
        <v>1050</v>
      </c>
      <c r="S238" s="44">
        <v>32</v>
      </c>
      <c r="T238" s="31">
        <v>619346.45543624484</v>
      </c>
      <c r="U238" s="31">
        <v>22169.810000000005</v>
      </c>
      <c r="V238" s="31">
        <v>0</v>
      </c>
      <c r="W238" s="31">
        <v>0</v>
      </c>
      <c r="X238" s="31">
        <v>70413.562918420532</v>
      </c>
      <c r="Y238" s="31">
        <v>0</v>
      </c>
      <c r="Z238" s="31">
        <v>0</v>
      </c>
      <c r="AA238" s="31">
        <f t="shared" si="17"/>
        <v>727704.25835466548</v>
      </c>
      <c r="AB238" s="31">
        <v>15774.43</v>
      </c>
      <c r="AD238" s="42" t="s">
        <v>159</v>
      </c>
      <c r="AE238" s="42" t="s">
        <v>160</v>
      </c>
      <c r="AF238" s="43" t="s">
        <v>1275</v>
      </c>
      <c r="AG238" s="44">
        <v>32</v>
      </c>
      <c r="AH238" s="31">
        <v>631201.52718339371</v>
      </c>
      <c r="AI238" s="31">
        <v>22634.129999999997</v>
      </c>
      <c r="AJ238" s="31">
        <v>0</v>
      </c>
      <c r="AK238" s="31">
        <v>0</v>
      </c>
      <c r="AL238" s="31">
        <v>71716.518330977211</v>
      </c>
      <c r="AM238" s="31">
        <v>0</v>
      </c>
      <c r="AN238" s="31">
        <v>0</v>
      </c>
      <c r="AO238" s="31">
        <f t="shared" si="18"/>
        <v>741604.52551437088</v>
      </c>
      <c r="AP238" s="31">
        <v>16052.35</v>
      </c>
      <c r="AR238" s="42" t="s">
        <v>159</v>
      </c>
      <c r="AS238" s="42" t="s">
        <v>160</v>
      </c>
      <c r="AT238" s="43" t="s">
        <v>1276</v>
      </c>
      <c r="AU238" s="44">
        <v>32</v>
      </c>
      <c r="AV238" s="31">
        <v>642700.45245991007</v>
      </c>
      <c r="AW238" s="31">
        <v>23042.939999999995</v>
      </c>
      <c r="AX238" s="31">
        <v>0</v>
      </c>
      <c r="AY238" s="31">
        <v>0</v>
      </c>
      <c r="AZ238" s="31">
        <v>73034.798242595076</v>
      </c>
      <c r="BA238" s="31">
        <v>0</v>
      </c>
      <c r="BB238" s="31">
        <v>0</v>
      </c>
      <c r="BC238" s="31">
        <f t="shared" si="19"/>
        <v>755128.19070250506</v>
      </c>
      <c r="BD238" s="31">
        <v>16350</v>
      </c>
    </row>
    <row r="239" spans="2:56">
      <c r="B239" s="42" t="s">
        <v>183</v>
      </c>
      <c r="C239" s="42" t="s">
        <v>184</v>
      </c>
      <c r="D239" s="43" t="s">
        <v>1049</v>
      </c>
      <c r="E239" s="44">
        <v>32</v>
      </c>
      <c r="F239" s="31">
        <v>477953237.82958293</v>
      </c>
      <c r="G239" s="31">
        <v>14768384.830000002</v>
      </c>
      <c r="H239" s="31">
        <v>11584599.030000001</v>
      </c>
      <c r="I239" s="31">
        <v>0</v>
      </c>
      <c r="J239" s="31">
        <v>70992859.906978413</v>
      </c>
      <c r="K239" s="31">
        <v>35373539.357970014</v>
      </c>
      <c r="L239" s="31">
        <v>18348204.728756111</v>
      </c>
      <c r="M239" s="31">
        <f t="shared" si="16"/>
        <v>633735583.92328739</v>
      </c>
      <c r="N239" s="31">
        <v>4714758.2399999993</v>
      </c>
      <c r="P239" s="42" t="s">
        <v>183</v>
      </c>
      <c r="Q239" s="42" t="s">
        <v>184</v>
      </c>
      <c r="R239" s="43" t="s">
        <v>1050</v>
      </c>
      <c r="S239" s="44">
        <v>32</v>
      </c>
      <c r="T239" s="31">
        <v>495818623.47109908</v>
      </c>
      <c r="U239" s="31">
        <v>15370382.710000001</v>
      </c>
      <c r="V239" s="31">
        <v>12012720.43</v>
      </c>
      <c r="W239" s="31">
        <v>0</v>
      </c>
      <c r="X239" s="31">
        <v>73347496.80710578</v>
      </c>
      <c r="Y239" s="31">
        <v>35407121.11754518</v>
      </c>
      <c r="Z239" s="31">
        <v>18985966.212111726</v>
      </c>
      <c r="AA239" s="31">
        <f t="shared" si="17"/>
        <v>655775091.74786162</v>
      </c>
      <c r="AB239" s="31">
        <v>4832781</v>
      </c>
      <c r="AD239" s="42" t="s">
        <v>183</v>
      </c>
      <c r="AE239" s="42" t="s">
        <v>184</v>
      </c>
      <c r="AF239" s="43" t="s">
        <v>1275</v>
      </c>
      <c r="AG239" s="44">
        <v>32</v>
      </c>
      <c r="AH239" s="31">
        <v>505379923.07702589</v>
      </c>
      <c r="AI239" s="31">
        <v>15679855.619999997</v>
      </c>
      <c r="AJ239" s="31">
        <v>12248260.890000001</v>
      </c>
      <c r="AK239" s="31">
        <v>0</v>
      </c>
      <c r="AL239" s="31">
        <v>74716960.411858678</v>
      </c>
      <c r="AM239" s="31">
        <v>35394429.726987585</v>
      </c>
      <c r="AN239" s="31">
        <v>19352874.29220276</v>
      </c>
      <c r="AO239" s="31">
        <f t="shared" si="18"/>
        <v>667691747.42807484</v>
      </c>
      <c r="AP239" s="31">
        <v>4919443.41</v>
      </c>
      <c r="AR239" s="42" t="s">
        <v>183</v>
      </c>
      <c r="AS239" s="42" t="s">
        <v>184</v>
      </c>
      <c r="AT239" s="43" t="s">
        <v>1276</v>
      </c>
      <c r="AU239" s="44">
        <v>32</v>
      </c>
      <c r="AV239" s="31">
        <v>514809309.18733418</v>
      </c>
      <c r="AW239" s="31">
        <v>15970588.300000001</v>
      </c>
      <c r="AX239" s="31">
        <v>12476317.08</v>
      </c>
      <c r="AY239" s="31">
        <v>0</v>
      </c>
      <c r="AZ239" s="31">
        <v>76113297.042621985</v>
      </c>
      <c r="BA239" s="31">
        <v>35396383.025498435</v>
      </c>
      <c r="BB239" s="31">
        <v>19714886.226730697</v>
      </c>
      <c r="BC239" s="31">
        <f t="shared" si="19"/>
        <v>679493039.73218524</v>
      </c>
      <c r="BD239" s="31">
        <v>5012258.87</v>
      </c>
    </row>
    <row r="240" spans="2:56">
      <c r="B240" s="42" t="s">
        <v>405</v>
      </c>
      <c r="C240" s="42" t="s">
        <v>406</v>
      </c>
      <c r="D240" s="43" t="s">
        <v>1049</v>
      </c>
      <c r="E240" s="44">
        <v>32</v>
      </c>
      <c r="F240" s="31">
        <v>37197884.830767311</v>
      </c>
      <c r="G240" s="31">
        <v>1524495.74</v>
      </c>
      <c r="H240" s="31">
        <v>570056.01</v>
      </c>
      <c r="I240" s="31">
        <v>132977.16</v>
      </c>
      <c r="J240" s="31">
        <v>6108029.4582347209</v>
      </c>
      <c r="K240" s="31">
        <v>3133936.2588345404</v>
      </c>
      <c r="L240" s="31">
        <v>3161633.2030189871</v>
      </c>
      <c r="M240" s="31">
        <f t="shared" si="16"/>
        <v>52512756.590855554</v>
      </c>
      <c r="N240" s="31">
        <v>683743.92999999993</v>
      </c>
      <c r="P240" s="42" t="s">
        <v>405</v>
      </c>
      <c r="Q240" s="42" t="s">
        <v>406</v>
      </c>
      <c r="R240" s="43" t="s">
        <v>1050</v>
      </c>
      <c r="S240" s="44">
        <v>32</v>
      </c>
      <c r="T240" s="31">
        <v>39007881.790543668</v>
      </c>
      <c r="U240" s="31">
        <v>1590042.0100000002</v>
      </c>
      <c r="V240" s="31">
        <v>591371.32999999996</v>
      </c>
      <c r="W240" s="31">
        <v>137949.38999999998</v>
      </c>
      <c r="X240" s="31">
        <v>6312030.9816194437</v>
      </c>
      <c r="Y240" s="31">
        <v>3136743.7199921515</v>
      </c>
      <c r="Z240" s="31">
        <v>3304439.0401782929</v>
      </c>
      <c r="AA240" s="31">
        <f t="shared" si="17"/>
        <v>54781225.572333559</v>
      </c>
      <c r="AB240" s="31">
        <v>700767.30999999994</v>
      </c>
      <c r="AD240" s="42" t="s">
        <v>405</v>
      </c>
      <c r="AE240" s="42" t="s">
        <v>406</v>
      </c>
      <c r="AF240" s="43" t="s">
        <v>1275</v>
      </c>
      <c r="AG240" s="44">
        <v>32</v>
      </c>
      <c r="AH240" s="31">
        <v>39758599.811397865</v>
      </c>
      <c r="AI240" s="31">
        <v>1622427.23</v>
      </c>
      <c r="AJ240" s="31">
        <v>602958.42999999993</v>
      </c>
      <c r="AK240" s="31">
        <v>140652.30999999997</v>
      </c>
      <c r="AL240" s="31">
        <v>6429599.4095515069</v>
      </c>
      <c r="AM240" s="31">
        <v>3135717.0465872008</v>
      </c>
      <c r="AN240" s="31">
        <v>3368235.3153720582</v>
      </c>
      <c r="AO240" s="31">
        <f t="shared" si="18"/>
        <v>55771456.882908627</v>
      </c>
      <c r="AP240" s="31">
        <v>713267.33</v>
      </c>
      <c r="AR240" s="42" t="s">
        <v>405</v>
      </c>
      <c r="AS240" s="42" t="s">
        <v>406</v>
      </c>
      <c r="AT240" s="43" t="s">
        <v>1276</v>
      </c>
      <c r="AU240" s="44">
        <v>32</v>
      </c>
      <c r="AV240" s="31">
        <v>40497053.786329977</v>
      </c>
      <c r="AW240" s="31">
        <v>1652276.4500000002</v>
      </c>
      <c r="AX240" s="31">
        <v>614119.97999999986</v>
      </c>
      <c r="AY240" s="31">
        <v>143255.97</v>
      </c>
      <c r="AZ240" s="31">
        <v>6549225.7006156668</v>
      </c>
      <c r="BA240" s="31">
        <v>3135876.6558262906</v>
      </c>
      <c r="BB240" s="31">
        <v>3430960.7124373009</v>
      </c>
      <c r="BC240" s="31">
        <f t="shared" si="19"/>
        <v>56749424.105209239</v>
      </c>
      <c r="BD240" s="31">
        <v>726654.85</v>
      </c>
    </row>
    <row r="241" spans="2:56">
      <c r="B241" s="42" t="s">
        <v>589</v>
      </c>
      <c r="C241" s="42" t="s">
        <v>590</v>
      </c>
      <c r="D241" s="43" t="s">
        <v>1049</v>
      </c>
      <c r="E241" s="44">
        <v>32</v>
      </c>
      <c r="F241" s="31">
        <v>28108607.672062058</v>
      </c>
      <c r="G241" s="31">
        <v>1253210.9499999997</v>
      </c>
      <c r="H241" s="31">
        <v>503584.03</v>
      </c>
      <c r="I241" s="31">
        <v>101535.32</v>
      </c>
      <c r="J241" s="31">
        <v>4164286.8609550134</v>
      </c>
      <c r="K241" s="31">
        <v>1466585.2283557919</v>
      </c>
      <c r="L241" s="31">
        <v>3499567.8401930635</v>
      </c>
      <c r="M241" s="31">
        <f t="shared" si="16"/>
        <v>39803935.151565932</v>
      </c>
      <c r="N241" s="31">
        <v>706557.25000000012</v>
      </c>
      <c r="P241" s="42" t="s">
        <v>589</v>
      </c>
      <c r="Q241" s="42" t="s">
        <v>590</v>
      </c>
      <c r="R241" s="43" t="s">
        <v>1050</v>
      </c>
      <c r="S241" s="44">
        <v>32</v>
      </c>
      <c r="T241" s="31">
        <v>29506714.822750542</v>
      </c>
      <c r="U241" s="31">
        <v>1311098.26</v>
      </c>
      <c r="V241" s="31">
        <v>522922.18000000005</v>
      </c>
      <c r="W241" s="31">
        <v>105434.37000000001</v>
      </c>
      <c r="X241" s="31">
        <v>4305371.9455571622</v>
      </c>
      <c r="Y241" s="31">
        <v>1467561.3315707236</v>
      </c>
      <c r="Z241" s="31">
        <v>3659182.2653273866</v>
      </c>
      <c r="AA241" s="31">
        <f t="shared" si="17"/>
        <v>41602212.195205815</v>
      </c>
      <c r="AB241" s="31">
        <v>723927.02</v>
      </c>
      <c r="AD241" s="42" t="s">
        <v>589</v>
      </c>
      <c r="AE241" s="42" t="s">
        <v>590</v>
      </c>
      <c r="AF241" s="43" t="s">
        <v>1275</v>
      </c>
      <c r="AG241" s="44">
        <v>32</v>
      </c>
      <c r="AH241" s="31">
        <v>30073980.63773473</v>
      </c>
      <c r="AI241" s="31">
        <v>1338151.6099999999</v>
      </c>
      <c r="AJ241" s="31">
        <v>533151.17999999993</v>
      </c>
      <c r="AK241" s="31">
        <v>107496.81000000003</v>
      </c>
      <c r="AL241" s="31">
        <v>4385116.2219193969</v>
      </c>
      <c r="AM241" s="31">
        <v>1467229.720841632</v>
      </c>
      <c r="AN241" s="31">
        <v>3729664.7961366209</v>
      </c>
      <c r="AO241" s="31">
        <f t="shared" si="18"/>
        <v>42371472.356632374</v>
      </c>
      <c r="AP241" s="31">
        <v>736681.38000000012</v>
      </c>
      <c r="AR241" s="42" t="s">
        <v>589</v>
      </c>
      <c r="AS241" s="42" t="s">
        <v>590</v>
      </c>
      <c r="AT241" s="43" t="s">
        <v>1276</v>
      </c>
      <c r="AU241" s="44">
        <v>32</v>
      </c>
      <c r="AV241" s="31">
        <v>30627369.59944544</v>
      </c>
      <c r="AW241" s="31">
        <v>1362380.0300000005</v>
      </c>
      <c r="AX241" s="31">
        <v>542887.02</v>
      </c>
      <c r="AY241" s="31">
        <v>109459.81</v>
      </c>
      <c r="AZ241" s="31">
        <v>4465861.144710199</v>
      </c>
      <c r="BA241" s="31">
        <v>1467282.4918299476</v>
      </c>
      <c r="BB241" s="31">
        <v>3798423.2240253906</v>
      </c>
      <c r="BC241" s="31">
        <f t="shared" si="19"/>
        <v>43124004.640010975</v>
      </c>
      <c r="BD241" s="31">
        <v>750341.32000000007</v>
      </c>
    </row>
    <row r="242" spans="2:56">
      <c r="B242" s="42" t="s">
        <v>359</v>
      </c>
      <c r="C242" s="42" t="s">
        <v>360</v>
      </c>
      <c r="D242" s="43" t="s">
        <v>1049</v>
      </c>
      <c r="E242" s="44">
        <v>32</v>
      </c>
      <c r="F242" s="31">
        <v>2794385.5840173634</v>
      </c>
      <c r="G242" s="31">
        <v>85164.94</v>
      </c>
      <c r="H242" s="31">
        <v>0</v>
      </c>
      <c r="I242" s="31">
        <v>0</v>
      </c>
      <c r="J242" s="31">
        <v>339634.73523737455</v>
      </c>
      <c r="K242" s="31">
        <v>367129.02046780358</v>
      </c>
      <c r="L242" s="31">
        <v>160532.68136006183</v>
      </c>
      <c r="M242" s="31">
        <f t="shared" si="16"/>
        <v>3796542.7510826034</v>
      </c>
      <c r="N242" s="31">
        <v>49695.79</v>
      </c>
      <c r="P242" s="42" t="s">
        <v>359</v>
      </c>
      <c r="Q242" s="42" t="s">
        <v>360</v>
      </c>
      <c r="R242" s="43" t="s">
        <v>1050</v>
      </c>
      <c r="S242" s="44">
        <v>32</v>
      </c>
      <c r="T242" s="31">
        <v>2921672.8828468523</v>
      </c>
      <c r="U242" s="31">
        <v>89122.030000000028</v>
      </c>
      <c r="V242" s="31">
        <v>0</v>
      </c>
      <c r="W242" s="31">
        <v>0</v>
      </c>
      <c r="X242" s="31">
        <v>351136.38267677091</v>
      </c>
      <c r="Y242" s="31">
        <v>367472.2714844154</v>
      </c>
      <c r="Z242" s="31">
        <v>167770.72904130322</v>
      </c>
      <c r="AA242" s="31">
        <f t="shared" si="17"/>
        <v>3948091.7860493418</v>
      </c>
      <c r="AB242" s="31">
        <v>50917.49</v>
      </c>
      <c r="AD242" s="42" t="s">
        <v>359</v>
      </c>
      <c r="AE242" s="42" t="s">
        <v>360</v>
      </c>
      <c r="AF242" s="43" t="s">
        <v>1275</v>
      </c>
      <c r="AG242" s="44">
        <v>32</v>
      </c>
      <c r="AH242" s="31">
        <v>2977681.516820807</v>
      </c>
      <c r="AI242" s="31">
        <v>90964.319999999978</v>
      </c>
      <c r="AJ242" s="31">
        <v>0</v>
      </c>
      <c r="AK242" s="31">
        <v>0</v>
      </c>
      <c r="AL242" s="31">
        <v>357639.04090556502</v>
      </c>
      <c r="AM242" s="31">
        <v>367355.65910353314</v>
      </c>
      <c r="AN242" s="31">
        <v>171002.32138536609</v>
      </c>
      <c r="AO242" s="31">
        <f t="shared" si="18"/>
        <v>4016457.4282152709</v>
      </c>
      <c r="AP242" s="31">
        <v>51814.57</v>
      </c>
      <c r="AR242" s="42" t="s">
        <v>359</v>
      </c>
      <c r="AS242" s="42" t="s">
        <v>360</v>
      </c>
      <c r="AT242" s="43" t="s">
        <v>1276</v>
      </c>
      <c r="AU242" s="44">
        <v>32</v>
      </c>
      <c r="AV242" s="31">
        <v>3032065.7887872336</v>
      </c>
      <c r="AW242" s="31">
        <v>92610.830000000016</v>
      </c>
      <c r="AX242" s="31">
        <v>0</v>
      </c>
      <c r="AY242" s="31">
        <v>0</v>
      </c>
      <c r="AZ242" s="31">
        <v>364222.39112970722</v>
      </c>
      <c r="BA242" s="31">
        <v>367374.21625518455</v>
      </c>
      <c r="BB242" s="31">
        <v>174154.79872065739</v>
      </c>
      <c r="BC242" s="31">
        <f t="shared" si="19"/>
        <v>4083203.3648927826</v>
      </c>
      <c r="BD242" s="31">
        <v>52775.34</v>
      </c>
    </row>
    <row r="243" spans="2:56">
      <c r="B243" s="42" t="s">
        <v>47</v>
      </c>
      <c r="C243" s="42" t="s">
        <v>48</v>
      </c>
      <c r="D243" s="43" t="s">
        <v>1049</v>
      </c>
      <c r="E243" s="44">
        <v>32</v>
      </c>
      <c r="F243" s="31">
        <v>20965881.816185206</v>
      </c>
      <c r="G243" s="31">
        <v>742324.72999999986</v>
      </c>
      <c r="H243" s="31">
        <v>78900.87</v>
      </c>
      <c r="I243" s="31">
        <v>75309.789999999994</v>
      </c>
      <c r="J243" s="31">
        <v>3468020.9466406424</v>
      </c>
      <c r="K243" s="31">
        <v>1313146.1157302801</v>
      </c>
      <c r="L243" s="31">
        <v>2078332.1431228213</v>
      </c>
      <c r="M243" s="31">
        <f t="shared" si="16"/>
        <v>28721916.411678948</v>
      </c>
      <c r="N243" s="31">
        <v>0</v>
      </c>
      <c r="P243" s="42" t="s">
        <v>47</v>
      </c>
      <c r="Q243" s="42" t="s">
        <v>48</v>
      </c>
      <c r="R243" s="43" t="s">
        <v>1050</v>
      </c>
      <c r="S243" s="44">
        <v>32</v>
      </c>
      <c r="T243" s="31">
        <v>21761997.2477201</v>
      </c>
      <c r="U243" s="31">
        <v>770437.24</v>
      </c>
      <c r="V243" s="31">
        <v>81888.91</v>
      </c>
      <c r="W243" s="31">
        <v>78161.86</v>
      </c>
      <c r="X243" s="31">
        <v>3584690.9706485998</v>
      </c>
      <c r="Y243" s="31">
        <v>1314033.6088067112</v>
      </c>
      <c r="Z243" s="31">
        <v>2151721.0375985908</v>
      </c>
      <c r="AA243" s="31">
        <f t="shared" si="17"/>
        <v>29742930.874774002</v>
      </c>
      <c r="AB243" s="31">
        <v>0</v>
      </c>
      <c r="AD243" s="42" t="s">
        <v>47</v>
      </c>
      <c r="AE243" s="42" t="s">
        <v>48</v>
      </c>
      <c r="AF243" s="43" t="s">
        <v>1275</v>
      </c>
      <c r="AG243" s="44">
        <v>32</v>
      </c>
      <c r="AH243" s="31">
        <v>22179391.541796464</v>
      </c>
      <c r="AI243" s="31">
        <v>785521.04999999993</v>
      </c>
      <c r="AJ243" s="31">
        <v>83492.149999999994</v>
      </c>
      <c r="AK243" s="31">
        <v>79692.110000000015</v>
      </c>
      <c r="AL243" s="31">
        <v>3651289.2459208523</v>
      </c>
      <c r="AM243" s="31">
        <v>1313720.3479830329</v>
      </c>
      <c r="AN243" s="31">
        <v>2193211.8326191171</v>
      </c>
      <c r="AO243" s="31">
        <f t="shared" si="18"/>
        <v>30286318.278319463</v>
      </c>
      <c r="AP243" s="31">
        <v>0</v>
      </c>
      <c r="AR243" s="42" t="s">
        <v>47</v>
      </c>
      <c r="AS243" s="42" t="s">
        <v>48</v>
      </c>
      <c r="AT243" s="43" t="s">
        <v>1276</v>
      </c>
      <c r="AU243" s="44">
        <v>32</v>
      </c>
      <c r="AV243" s="31">
        <v>22589513.513486061</v>
      </c>
      <c r="AW243" s="31">
        <v>799968.62</v>
      </c>
      <c r="AX243" s="31">
        <v>85027.76</v>
      </c>
      <c r="AY243" s="31">
        <v>81157.84</v>
      </c>
      <c r="AZ243" s="31">
        <v>3718902.2899888395</v>
      </c>
      <c r="BA243" s="31">
        <v>1313769.5908688244</v>
      </c>
      <c r="BB243" s="31">
        <v>2233862.2052054205</v>
      </c>
      <c r="BC243" s="31">
        <f t="shared" si="19"/>
        <v>30822201.819549147</v>
      </c>
      <c r="BD243" s="31">
        <v>0</v>
      </c>
    </row>
    <row r="244" spans="2:56">
      <c r="B244" s="42" t="s">
        <v>393</v>
      </c>
      <c r="C244" s="42" t="s">
        <v>394</v>
      </c>
      <c r="D244" s="43" t="s">
        <v>1049</v>
      </c>
      <c r="E244" s="44">
        <v>32</v>
      </c>
      <c r="F244" s="31">
        <v>385656.21220553294</v>
      </c>
      <c r="G244" s="31">
        <v>0</v>
      </c>
      <c r="H244" s="31">
        <v>0</v>
      </c>
      <c r="I244" s="31">
        <v>0</v>
      </c>
      <c r="J244" s="31">
        <v>0</v>
      </c>
      <c r="K244" s="31">
        <v>0</v>
      </c>
      <c r="L244" s="31">
        <v>0</v>
      </c>
      <c r="M244" s="31">
        <f t="shared" si="16"/>
        <v>385656.21220553294</v>
      </c>
      <c r="N244" s="31">
        <v>0</v>
      </c>
      <c r="P244" s="42" t="s">
        <v>393</v>
      </c>
      <c r="Q244" s="42" t="s">
        <v>394</v>
      </c>
      <c r="R244" s="43" t="s">
        <v>1050</v>
      </c>
      <c r="S244" s="44">
        <v>32</v>
      </c>
      <c r="T244" s="31">
        <v>399401.3085449069</v>
      </c>
      <c r="U244" s="31">
        <v>0</v>
      </c>
      <c r="V244" s="31">
        <v>0</v>
      </c>
      <c r="W244" s="31">
        <v>0</v>
      </c>
      <c r="X244" s="31">
        <v>0</v>
      </c>
      <c r="Y244" s="31">
        <v>0</v>
      </c>
      <c r="Z244" s="31">
        <v>0</v>
      </c>
      <c r="AA244" s="31">
        <f t="shared" si="17"/>
        <v>399401.3085449069</v>
      </c>
      <c r="AB244" s="31">
        <v>0</v>
      </c>
      <c r="AD244" s="42" t="s">
        <v>393</v>
      </c>
      <c r="AE244" s="42" t="s">
        <v>394</v>
      </c>
      <c r="AF244" s="43" t="s">
        <v>1275</v>
      </c>
      <c r="AG244" s="44">
        <v>32</v>
      </c>
      <c r="AH244" s="31">
        <v>407059.46998648078</v>
      </c>
      <c r="AI244" s="31">
        <v>0</v>
      </c>
      <c r="AJ244" s="31">
        <v>0</v>
      </c>
      <c r="AK244" s="31">
        <v>0</v>
      </c>
      <c r="AL244" s="31">
        <v>0</v>
      </c>
      <c r="AM244" s="31">
        <v>0</v>
      </c>
      <c r="AN244" s="31">
        <v>0</v>
      </c>
      <c r="AO244" s="31">
        <f t="shared" si="18"/>
        <v>407059.46998648078</v>
      </c>
      <c r="AP244" s="31">
        <v>0</v>
      </c>
      <c r="AR244" s="42" t="s">
        <v>393</v>
      </c>
      <c r="AS244" s="42" t="s">
        <v>394</v>
      </c>
      <c r="AT244" s="43" t="s">
        <v>1276</v>
      </c>
      <c r="AU244" s="44">
        <v>32</v>
      </c>
      <c r="AV244" s="31">
        <v>414544.61920740642</v>
      </c>
      <c r="AW244" s="31">
        <v>0</v>
      </c>
      <c r="AX244" s="31">
        <v>0</v>
      </c>
      <c r="AY244" s="31">
        <v>0</v>
      </c>
      <c r="AZ244" s="31">
        <v>0</v>
      </c>
      <c r="BA244" s="31">
        <v>0</v>
      </c>
      <c r="BB244" s="31">
        <v>0</v>
      </c>
      <c r="BC244" s="31">
        <f t="shared" si="19"/>
        <v>414544.61920740642</v>
      </c>
      <c r="BD244" s="31">
        <v>0</v>
      </c>
    </row>
    <row r="245" spans="2:56">
      <c r="B245" s="42" t="s">
        <v>317</v>
      </c>
      <c r="C245" s="42" t="s">
        <v>318</v>
      </c>
      <c r="D245" s="43" t="s">
        <v>1049</v>
      </c>
      <c r="E245" s="44">
        <v>32</v>
      </c>
      <c r="F245" s="31">
        <v>30583704.594515305</v>
      </c>
      <c r="G245" s="31">
        <v>1795090.0099999998</v>
      </c>
      <c r="H245" s="31">
        <v>1329118.8400000001</v>
      </c>
      <c r="I245" s="31">
        <v>120049.43999999999</v>
      </c>
      <c r="J245" s="31">
        <v>5465182.0350810001</v>
      </c>
      <c r="K245" s="31">
        <v>3080770.5080781579</v>
      </c>
      <c r="L245" s="31">
        <v>7001494.2626352645</v>
      </c>
      <c r="M245" s="31">
        <f t="shared" si="16"/>
        <v>50606501.140309736</v>
      </c>
      <c r="N245" s="31">
        <v>1231091.4500000002</v>
      </c>
      <c r="P245" s="42" t="s">
        <v>317</v>
      </c>
      <c r="Q245" s="42" t="s">
        <v>318</v>
      </c>
      <c r="R245" s="43" t="s">
        <v>1050</v>
      </c>
      <c r="S245" s="44">
        <v>32</v>
      </c>
      <c r="T245" s="31">
        <v>32070600.302092664</v>
      </c>
      <c r="U245" s="31">
        <v>1881033.7000000002</v>
      </c>
      <c r="V245" s="31">
        <v>1380158.35</v>
      </c>
      <c r="W245" s="31">
        <v>124659.45999999999</v>
      </c>
      <c r="X245" s="31">
        <v>5650392.92626209</v>
      </c>
      <c r="Y245" s="31">
        <v>3083927.6286920668</v>
      </c>
      <c r="Z245" s="31">
        <v>7320665.7563323518</v>
      </c>
      <c r="AA245" s="31">
        <f t="shared" si="17"/>
        <v>52772794.313379176</v>
      </c>
      <c r="AB245" s="31">
        <v>1261356.19</v>
      </c>
      <c r="AD245" s="42" t="s">
        <v>317</v>
      </c>
      <c r="AE245" s="42" t="s">
        <v>318</v>
      </c>
      <c r="AF245" s="43" t="s">
        <v>1275</v>
      </c>
      <c r="AG245" s="44">
        <v>32</v>
      </c>
      <c r="AH245" s="31">
        <v>32686244.453327276</v>
      </c>
      <c r="AI245" s="31">
        <v>1920279.88</v>
      </c>
      <c r="AJ245" s="31">
        <v>1407156.0300000003</v>
      </c>
      <c r="AK245" s="31">
        <v>127097.95999999999</v>
      </c>
      <c r="AL245" s="31">
        <v>5755070.8526838962</v>
      </c>
      <c r="AM245" s="31">
        <v>3082855.0627455632</v>
      </c>
      <c r="AN245" s="31">
        <v>7461674.999749586</v>
      </c>
      <c r="AO245" s="31">
        <f t="shared" si="18"/>
        <v>53723958.398506328</v>
      </c>
      <c r="AP245" s="31">
        <v>1283579.1600000001</v>
      </c>
      <c r="AR245" s="42" t="s">
        <v>317</v>
      </c>
      <c r="AS245" s="42" t="s">
        <v>318</v>
      </c>
      <c r="AT245" s="43" t="s">
        <v>1276</v>
      </c>
      <c r="AU245" s="44">
        <v>32</v>
      </c>
      <c r="AV245" s="31">
        <v>33287632.480368987</v>
      </c>
      <c r="AW245" s="31">
        <v>1954984.5099999998</v>
      </c>
      <c r="AX245" s="31">
        <v>1432851.9899999998</v>
      </c>
      <c r="AY245" s="31">
        <v>129418.89</v>
      </c>
      <c r="AZ245" s="31">
        <v>5861079.5221320577</v>
      </c>
      <c r="BA245" s="31">
        <v>3083025.7458992293</v>
      </c>
      <c r="BB245" s="31">
        <v>7599234.8068006048</v>
      </c>
      <c r="BC245" s="31">
        <f t="shared" si="19"/>
        <v>54655607.895200878</v>
      </c>
      <c r="BD245" s="31">
        <v>1307379.9499999997</v>
      </c>
    </row>
    <row r="246" spans="2:56">
      <c r="B246" s="42" t="s">
        <v>213</v>
      </c>
      <c r="C246" s="42" t="s">
        <v>214</v>
      </c>
      <c r="D246" s="43" t="s">
        <v>1049</v>
      </c>
      <c r="E246" s="44">
        <v>32</v>
      </c>
      <c r="F246" s="31">
        <v>85181361.258341745</v>
      </c>
      <c r="G246" s="31">
        <v>1782995.13</v>
      </c>
      <c r="H246" s="31">
        <v>1555205.55</v>
      </c>
      <c r="I246" s="31">
        <v>300012.73999999993</v>
      </c>
      <c r="J246" s="31">
        <v>11196260.081652844</v>
      </c>
      <c r="K246" s="31">
        <v>4175241.9513095766</v>
      </c>
      <c r="L246" s="31">
        <v>4482145.2827807777</v>
      </c>
      <c r="M246" s="31">
        <f t="shared" si="16"/>
        <v>108673221.99408494</v>
      </c>
      <c r="N246" s="31">
        <v>0</v>
      </c>
      <c r="P246" s="42" t="s">
        <v>213</v>
      </c>
      <c r="Q246" s="42" t="s">
        <v>214</v>
      </c>
      <c r="R246" s="43" t="s">
        <v>1050</v>
      </c>
      <c r="S246" s="44">
        <v>32</v>
      </c>
      <c r="T246" s="31">
        <v>87281679.026588336</v>
      </c>
      <c r="U246" s="31">
        <v>1821152.3599999996</v>
      </c>
      <c r="V246" s="31">
        <v>1588487.9300000002</v>
      </c>
      <c r="W246" s="31">
        <v>306433.21999999997</v>
      </c>
      <c r="X246" s="31">
        <v>11421700.885756204</v>
      </c>
      <c r="Y246" s="31">
        <v>4178773.6670333589</v>
      </c>
      <c r="Z246" s="31">
        <v>4580094.945571864</v>
      </c>
      <c r="AA246" s="31">
        <f t="shared" si="17"/>
        <v>111178322.03494978</v>
      </c>
      <c r="AB246" s="31">
        <v>0</v>
      </c>
      <c r="AD246" s="42" t="s">
        <v>213</v>
      </c>
      <c r="AE246" s="42" t="s">
        <v>214</v>
      </c>
      <c r="AF246" s="43" t="s">
        <v>1275</v>
      </c>
      <c r="AG246" s="44">
        <v>32</v>
      </c>
      <c r="AH246" s="31">
        <v>88964633.84462063</v>
      </c>
      <c r="AI246" s="31">
        <v>1856860.76</v>
      </c>
      <c r="AJ246" s="31">
        <v>1619634.3500000003</v>
      </c>
      <c r="AK246" s="31">
        <v>312441.64000000007</v>
      </c>
      <c r="AL246" s="31">
        <v>11634970.031406946</v>
      </c>
      <c r="AM246" s="31">
        <v>4177433.2631457606</v>
      </c>
      <c r="AN246" s="31">
        <v>4668599.2585916463</v>
      </c>
      <c r="AO246" s="31">
        <f t="shared" si="18"/>
        <v>113234573.147765</v>
      </c>
      <c r="AP246" s="31">
        <v>0</v>
      </c>
      <c r="AR246" s="42" t="s">
        <v>213</v>
      </c>
      <c r="AS246" s="42" t="s">
        <v>214</v>
      </c>
      <c r="AT246" s="43" t="s">
        <v>1276</v>
      </c>
      <c r="AU246" s="44">
        <v>32</v>
      </c>
      <c r="AV246" s="31">
        <v>90624808.22190322</v>
      </c>
      <c r="AW246" s="31">
        <v>1891434.5399999998</v>
      </c>
      <c r="AX246" s="31">
        <v>1649791.0800000003</v>
      </c>
      <c r="AY246" s="31">
        <v>318259.15000000002</v>
      </c>
      <c r="AZ246" s="31">
        <v>11852437.461726099</v>
      </c>
      <c r="BA246" s="31">
        <v>4177639.5611795108</v>
      </c>
      <c r="BB246" s="31">
        <v>4755933.9204154341</v>
      </c>
      <c r="BC246" s="31">
        <f t="shared" si="19"/>
        <v>115270303.93522426</v>
      </c>
      <c r="BD246" s="31">
        <v>0</v>
      </c>
    </row>
    <row r="247" spans="2:56">
      <c r="B247" s="42" t="s">
        <v>415</v>
      </c>
      <c r="C247" s="42" t="s">
        <v>416</v>
      </c>
      <c r="D247" s="43" t="s">
        <v>1049</v>
      </c>
      <c r="E247" s="44">
        <v>32</v>
      </c>
      <c r="F247" s="31">
        <v>700207.42173518077</v>
      </c>
      <c r="G247" s="31">
        <v>26894.190000000002</v>
      </c>
      <c r="H247" s="31">
        <v>0</v>
      </c>
      <c r="I247" s="31">
        <v>0</v>
      </c>
      <c r="J247" s="31">
        <v>86245.725569289018</v>
      </c>
      <c r="K247" s="31">
        <v>86595.467739883927</v>
      </c>
      <c r="L247" s="31">
        <v>0</v>
      </c>
      <c r="M247" s="31">
        <f t="shared" si="16"/>
        <v>919918.57504435373</v>
      </c>
      <c r="N247" s="31">
        <v>19975.769999999997</v>
      </c>
      <c r="P247" s="42" t="s">
        <v>415</v>
      </c>
      <c r="Q247" s="42" t="s">
        <v>416</v>
      </c>
      <c r="R247" s="43" t="s">
        <v>1050</v>
      </c>
      <c r="S247" s="44">
        <v>32</v>
      </c>
      <c r="T247" s="31">
        <v>735587.97792259324</v>
      </c>
      <c r="U247" s="31">
        <v>28202.970000000008</v>
      </c>
      <c r="V247" s="31">
        <v>0</v>
      </c>
      <c r="W247" s="31">
        <v>0</v>
      </c>
      <c r="X247" s="31">
        <v>89152.512193572547</v>
      </c>
      <c r="Y247" s="31">
        <v>86619.877020637461</v>
      </c>
      <c r="Z247" s="31">
        <v>0</v>
      </c>
      <c r="AA247" s="31">
        <f t="shared" si="17"/>
        <v>960030.17713680328</v>
      </c>
      <c r="AB247" s="31">
        <v>20466.839999999997</v>
      </c>
      <c r="AD247" s="42" t="s">
        <v>415</v>
      </c>
      <c r="AE247" s="42" t="s">
        <v>416</v>
      </c>
      <c r="AF247" s="43" t="s">
        <v>1275</v>
      </c>
      <c r="AG247" s="44">
        <v>32</v>
      </c>
      <c r="AH247" s="31">
        <v>749726.09386722208</v>
      </c>
      <c r="AI247" s="31">
        <v>28794.430000000004</v>
      </c>
      <c r="AJ247" s="31">
        <v>0</v>
      </c>
      <c r="AK247" s="31">
        <v>0</v>
      </c>
      <c r="AL247" s="31">
        <v>90802.114644308822</v>
      </c>
      <c r="AM247" s="31">
        <v>86611.584476095595</v>
      </c>
      <c r="AN247" s="31">
        <v>0</v>
      </c>
      <c r="AO247" s="31">
        <f t="shared" si="18"/>
        <v>976761.66298762651</v>
      </c>
      <c r="AP247" s="31">
        <v>20827.439999999999</v>
      </c>
      <c r="AR247" s="42" t="s">
        <v>415</v>
      </c>
      <c r="AS247" s="42" t="s">
        <v>416</v>
      </c>
      <c r="AT247" s="43" t="s">
        <v>1276</v>
      </c>
      <c r="AU247" s="44">
        <v>32</v>
      </c>
      <c r="AV247" s="31">
        <v>763448.44883833965</v>
      </c>
      <c r="AW247" s="31">
        <v>29314.380000000005</v>
      </c>
      <c r="AX247" s="31">
        <v>0</v>
      </c>
      <c r="AY247" s="31">
        <v>0</v>
      </c>
      <c r="AZ247" s="31">
        <v>92471.027281268209</v>
      </c>
      <c r="BA247" s="31">
        <v>86612.904113045588</v>
      </c>
      <c r="BB247" s="31">
        <v>0</v>
      </c>
      <c r="BC247" s="31">
        <f t="shared" si="19"/>
        <v>993060.39023265336</v>
      </c>
      <c r="BD247" s="31">
        <v>21213.629999999997</v>
      </c>
    </row>
    <row r="248" spans="2:56">
      <c r="B248" s="42" t="s">
        <v>197</v>
      </c>
      <c r="C248" s="42" t="s">
        <v>198</v>
      </c>
      <c r="D248" s="43" t="s">
        <v>1049</v>
      </c>
      <c r="E248" s="44">
        <v>32</v>
      </c>
      <c r="F248" s="31">
        <v>2142717.5319007295</v>
      </c>
      <c r="G248" s="31">
        <v>22922.82</v>
      </c>
      <c r="H248" s="31">
        <v>0</v>
      </c>
      <c r="I248" s="31">
        <v>0</v>
      </c>
      <c r="J248" s="31">
        <v>56634.450937427348</v>
      </c>
      <c r="K248" s="31">
        <v>51376.613673667569</v>
      </c>
      <c r="L248" s="31">
        <v>0</v>
      </c>
      <c r="M248" s="31">
        <f t="shared" si="16"/>
        <v>2286185.5465118242</v>
      </c>
      <c r="N248" s="31">
        <v>12534.130000000003</v>
      </c>
      <c r="P248" s="42" t="s">
        <v>197</v>
      </c>
      <c r="Q248" s="42" t="s">
        <v>198</v>
      </c>
      <c r="R248" s="43" t="s">
        <v>1050</v>
      </c>
      <c r="S248" s="44">
        <v>32</v>
      </c>
      <c r="T248" s="31">
        <v>2221724.5283649955</v>
      </c>
      <c r="U248" s="31">
        <v>23919.420000000006</v>
      </c>
      <c r="V248" s="31">
        <v>0</v>
      </c>
      <c r="W248" s="31">
        <v>0</v>
      </c>
      <c r="X248" s="31">
        <v>58514.501477729136</v>
      </c>
      <c r="Y248" s="31">
        <v>51403.332077869774</v>
      </c>
      <c r="Z248" s="31">
        <v>0</v>
      </c>
      <c r="AA248" s="31">
        <f t="shared" si="17"/>
        <v>2368409.6719205943</v>
      </c>
      <c r="AB248" s="31">
        <v>12847.890000000001</v>
      </c>
      <c r="AD248" s="42" t="s">
        <v>197</v>
      </c>
      <c r="AE248" s="42" t="s">
        <v>198</v>
      </c>
      <c r="AF248" s="43" t="s">
        <v>1275</v>
      </c>
      <c r="AG248" s="44">
        <v>32</v>
      </c>
      <c r="AH248" s="31">
        <v>2264295.6257855264</v>
      </c>
      <c r="AI248" s="31">
        <v>24409.929999999993</v>
      </c>
      <c r="AJ248" s="31">
        <v>0</v>
      </c>
      <c r="AK248" s="31">
        <v>0</v>
      </c>
      <c r="AL248" s="31">
        <v>59607.127914687429</v>
      </c>
      <c r="AM248" s="31">
        <v>51393.234521723345</v>
      </c>
      <c r="AN248" s="31">
        <v>0</v>
      </c>
      <c r="AO248" s="31">
        <f t="shared" si="18"/>
        <v>2412784.2082219375</v>
      </c>
      <c r="AP248" s="31">
        <v>13078.29</v>
      </c>
      <c r="AR248" s="42" t="s">
        <v>197</v>
      </c>
      <c r="AS248" s="42" t="s">
        <v>198</v>
      </c>
      <c r="AT248" s="43" t="s">
        <v>1276</v>
      </c>
      <c r="AU248" s="44">
        <v>32</v>
      </c>
      <c r="AV248" s="31">
        <v>2305987.234403152</v>
      </c>
      <c r="AW248" s="31">
        <v>24861.199999999993</v>
      </c>
      <c r="AX248" s="31">
        <v>0</v>
      </c>
      <c r="AY248" s="31">
        <v>0</v>
      </c>
      <c r="AZ248" s="31">
        <v>60721.286650756818</v>
      </c>
      <c r="BA248" s="31">
        <v>51394.788610008203</v>
      </c>
      <c r="BB248" s="31">
        <v>0</v>
      </c>
      <c r="BC248" s="31">
        <f t="shared" si="19"/>
        <v>2456289.5396639169</v>
      </c>
      <c r="BD248" s="31">
        <v>13325.030000000002</v>
      </c>
    </row>
    <row r="249" spans="2:56">
      <c r="B249" s="42" t="s">
        <v>439</v>
      </c>
      <c r="C249" s="42" t="s">
        <v>440</v>
      </c>
      <c r="D249" s="43" t="s">
        <v>1049</v>
      </c>
      <c r="E249" s="44">
        <v>32</v>
      </c>
      <c r="F249" s="31">
        <v>85855845.537386566</v>
      </c>
      <c r="G249" s="31">
        <v>1310678.54</v>
      </c>
      <c r="H249" s="31">
        <v>732549.27</v>
      </c>
      <c r="I249" s="31">
        <v>305400.81999999995</v>
      </c>
      <c r="J249" s="31">
        <v>12091594.498744344</v>
      </c>
      <c r="K249" s="31">
        <v>5933475.7636761786</v>
      </c>
      <c r="L249" s="31">
        <v>5455262.0614047665</v>
      </c>
      <c r="M249" s="31">
        <f t="shared" si="16"/>
        <v>111684806.49121185</v>
      </c>
      <c r="N249" s="31">
        <v>0</v>
      </c>
      <c r="P249" s="42" t="s">
        <v>439</v>
      </c>
      <c r="Q249" s="42" t="s">
        <v>440</v>
      </c>
      <c r="R249" s="43" t="s">
        <v>1050</v>
      </c>
      <c r="S249" s="44">
        <v>32</v>
      </c>
      <c r="T249" s="31">
        <v>87982753.713707849</v>
      </c>
      <c r="U249" s="31">
        <v>1338727.8900000001</v>
      </c>
      <c r="V249" s="31">
        <v>748226.29000000015</v>
      </c>
      <c r="W249" s="31">
        <v>311936.61</v>
      </c>
      <c r="X249" s="31">
        <v>12335174.320142569</v>
      </c>
      <c r="Y249" s="31">
        <v>5937478.8813336771</v>
      </c>
      <c r="Z249" s="31">
        <v>5574476.6224184036</v>
      </c>
      <c r="AA249" s="31">
        <f t="shared" si="17"/>
        <v>114228774.32760251</v>
      </c>
      <c r="AB249" s="31">
        <v>0</v>
      </c>
      <c r="AD249" s="42" t="s">
        <v>439</v>
      </c>
      <c r="AE249" s="42" t="s">
        <v>440</v>
      </c>
      <c r="AF249" s="43" t="s">
        <v>1275</v>
      </c>
      <c r="AG249" s="44">
        <v>32</v>
      </c>
      <c r="AH249" s="31">
        <v>89678611.278723747</v>
      </c>
      <c r="AI249" s="31">
        <v>1364977.1099999999</v>
      </c>
      <c r="AJ249" s="31">
        <v>762897.21000000008</v>
      </c>
      <c r="AK249" s="31">
        <v>318052.93</v>
      </c>
      <c r="AL249" s="31">
        <v>12565510.216538718</v>
      </c>
      <c r="AM249" s="31">
        <v>5935959.5646926202</v>
      </c>
      <c r="AN249" s="31">
        <v>5682196.2514213193</v>
      </c>
      <c r="AO249" s="31">
        <f t="shared" si="18"/>
        <v>116308204.56137639</v>
      </c>
      <c r="AP249" s="31">
        <v>0</v>
      </c>
      <c r="AR249" s="42" t="s">
        <v>439</v>
      </c>
      <c r="AS249" s="42" t="s">
        <v>440</v>
      </c>
      <c r="AT249" s="43" t="s">
        <v>1276</v>
      </c>
      <c r="AU249" s="44">
        <v>32</v>
      </c>
      <c r="AV249" s="31">
        <v>91352088.888650164</v>
      </c>
      <c r="AW249" s="31">
        <v>1390392.27</v>
      </c>
      <c r="AX249" s="31">
        <v>777101.96000000008</v>
      </c>
      <c r="AY249" s="31">
        <v>323974.90999999997</v>
      </c>
      <c r="AZ249" s="31">
        <v>12800388.4572237</v>
      </c>
      <c r="BA249" s="31">
        <v>5936193.3987172702</v>
      </c>
      <c r="BB249" s="31">
        <v>5788492.383358839</v>
      </c>
      <c r="BC249" s="31">
        <f t="shared" si="19"/>
        <v>118368632.26794995</v>
      </c>
      <c r="BD249" s="31">
        <v>0</v>
      </c>
    </row>
    <row r="250" spans="2:56">
      <c r="B250" s="42" t="s">
        <v>209</v>
      </c>
      <c r="C250" s="42" t="s">
        <v>210</v>
      </c>
      <c r="D250" s="43" t="s">
        <v>1049</v>
      </c>
      <c r="E250" s="44">
        <v>32</v>
      </c>
      <c r="F250" s="31">
        <v>64863921.017356321</v>
      </c>
      <c r="G250" s="31">
        <v>542468.77</v>
      </c>
      <c r="H250" s="31">
        <v>498542.79</v>
      </c>
      <c r="I250" s="31">
        <v>230696.01999999996</v>
      </c>
      <c r="J250" s="31">
        <v>7205361.7576231575</v>
      </c>
      <c r="K250" s="31">
        <v>3799938.7519027176</v>
      </c>
      <c r="L250" s="31">
        <v>4505042.7153187245</v>
      </c>
      <c r="M250" s="31">
        <f t="shared" si="16"/>
        <v>81645971.822200924</v>
      </c>
      <c r="N250" s="31">
        <v>0</v>
      </c>
      <c r="P250" s="42" t="s">
        <v>209</v>
      </c>
      <c r="Q250" s="42" t="s">
        <v>210</v>
      </c>
      <c r="R250" s="43" t="s">
        <v>1050</v>
      </c>
      <c r="S250" s="44">
        <v>32</v>
      </c>
      <c r="T250" s="31">
        <v>67284808.747450233</v>
      </c>
      <c r="U250" s="31">
        <v>562516.28</v>
      </c>
      <c r="V250" s="31">
        <v>516966.99</v>
      </c>
      <c r="W250" s="31">
        <v>239221.64999999997</v>
      </c>
      <c r="X250" s="31">
        <v>7444433.2439655503</v>
      </c>
      <c r="Y250" s="31">
        <v>3803461.4931310806</v>
      </c>
      <c r="Z250" s="31">
        <v>4661568.0487235179</v>
      </c>
      <c r="AA250" s="31">
        <f t="shared" si="17"/>
        <v>84512976.453270391</v>
      </c>
      <c r="AB250" s="31">
        <v>0</v>
      </c>
      <c r="AD250" s="42" t="s">
        <v>209</v>
      </c>
      <c r="AE250" s="42" t="s">
        <v>210</v>
      </c>
      <c r="AF250" s="43" t="s">
        <v>1275</v>
      </c>
      <c r="AG250" s="44">
        <v>32</v>
      </c>
      <c r="AH250" s="31">
        <v>68580482.390261471</v>
      </c>
      <c r="AI250" s="31">
        <v>573545.88</v>
      </c>
      <c r="AJ250" s="31">
        <v>527103.47000000009</v>
      </c>
      <c r="AK250" s="31">
        <v>243912.19999999998</v>
      </c>
      <c r="AL250" s="31">
        <v>7583434.4717598613</v>
      </c>
      <c r="AM250" s="31">
        <v>3802130.160725391</v>
      </c>
      <c r="AN250" s="31">
        <v>4751646.6808733093</v>
      </c>
      <c r="AO250" s="31">
        <f t="shared" si="18"/>
        <v>86062255.253620014</v>
      </c>
      <c r="AP250" s="31">
        <v>0</v>
      </c>
      <c r="AR250" s="42" t="s">
        <v>209</v>
      </c>
      <c r="AS250" s="42" t="s">
        <v>210</v>
      </c>
      <c r="AT250" s="43" t="s">
        <v>1276</v>
      </c>
      <c r="AU250" s="44">
        <v>32</v>
      </c>
      <c r="AV250" s="31">
        <v>69859745.967706755</v>
      </c>
      <c r="AW250" s="31">
        <v>584225</v>
      </c>
      <c r="AX250" s="31">
        <v>536917.86</v>
      </c>
      <c r="AY250" s="31">
        <v>248453.71</v>
      </c>
      <c r="AZ250" s="31">
        <v>7725169.20151316</v>
      </c>
      <c r="BA250" s="31">
        <v>3802335.0625912407</v>
      </c>
      <c r="BB250" s="31">
        <v>4840534.8781236941</v>
      </c>
      <c r="BC250" s="31">
        <f t="shared" si="19"/>
        <v>87597381.679934844</v>
      </c>
      <c r="BD250" s="31">
        <v>0</v>
      </c>
    </row>
    <row r="251" spans="2:56">
      <c r="B251" s="42" t="s">
        <v>129</v>
      </c>
      <c r="C251" s="42" t="s">
        <v>130</v>
      </c>
      <c r="D251" s="43" t="s">
        <v>1049</v>
      </c>
      <c r="E251" s="44">
        <v>32</v>
      </c>
      <c r="F251" s="31">
        <v>4959821.2148148557</v>
      </c>
      <c r="G251" s="31">
        <v>274398.70999999996</v>
      </c>
      <c r="H251" s="31">
        <v>156298.14000000001</v>
      </c>
      <c r="I251" s="31">
        <v>15493.390000000001</v>
      </c>
      <c r="J251" s="31">
        <v>691724.8891853739</v>
      </c>
      <c r="K251" s="31">
        <v>359194.44337709708</v>
      </c>
      <c r="L251" s="31">
        <v>246344.5105411355</v>
      </c>
      <c r="M251" s="31">
        <f t="shared" si="16"/>
        <v>6861327.4179184614</v>
      </c>
      <c r="N251" s="31">
        <v>158052.12000000002</v>
      </c>
      <c r="P251" s="42" t="s">
        <v>129</v>
      </c>
      <c r="Q251" s="42" t="s">
        <v>130</v>
      </c>
      <c r="R251" s="43" t="s">
        <v>1050</v>
      </c>
      <c r="S251" s="44">
        <v>32</v>
      </c>
      <c r="T251" s="31">
        <v>5195608.9929331895</v>
      </c>
      <c r="U251" s="31">
        <v>287119.78000000003</v>
      </c>
      <c r="V251" s="31">
        <v>162300.15</v>
      </c>
      <c r="W251" s="31">
        <v>16088.350000000002</v>
      </c>
      <c r="X251" s="31">
        <v>715156.54766642291</v>
      </c>
      <c r="Y251" s="31">
        <v>359487.76827475033</v>
      </c>
      <c r="Z251" s="31">
        <v>257527.93455164004</v>
      </c>
      <c r="AA251" s="31">
        <f t="shared" si="17"/>
        <v>7155227.1434260039</v>
      </c>
      <c r="AB251" s="31">
        <v>161937.62000000002</v>
      </c>
      <c r="AD251" s="42" t="s">
        <v>129</v>
      </c>
      <c r="AE251" s="42" t="s">
        <v>130</v>
      </c>
      <c r="AF251" s="43" t="s">
        <v>1275</v>
      </c>
      <c r="AG251" s="44">
        <v>32</v>
      </c>
      <c r="AH251" s="31">
        <v>5295222.5226721261</v>
      </c>
      <c r="AI251" s="31">
        <v>293050.84999999998</v>
      </c>
      <c r="AJ251" s="31">
        <v>165474.93</v>
      </c>
      <c r="AK251" s="31">
        <v>16403.080000000002</v>
      </c>
      <c r="AL251" s="31">
        <v>728403.35740430024</v>
      </c>
      <c r="AM251" s="31">
        <v>359388.11725251877</v>
      </c>
      <c r="AN251" s="31">
        <v>262488.25780024647</v>
      </c>
      <c r="AO251" s="31">
        <f t="shared" si="18"/>
        <v>7285221.7951291902</v>
      </c>
      <c r="AP251" s="31">
        <v>164790.68000000002</v>
      </c>
      <c r="AR251" s="42" t="s">
        <v>129</v>
      </c>
      <c r="AS251" s="42" t="s">
        <v>130</v>
      </c>
      <c r="AT251" s="43" t="s">
        <v>1276</v>
      </c>
      <c r="AU251" s="44">
        <v>32</v>
      </c>
      <c r="AV251" s="31">
        <v>5392467.9318418503</v>
      </c>
      <c r="AW251" s="31">
        <v>298355.83</v>
      </c>
      <c r="AX251" s="31">
        <v>168496.66999999995</v>
      </c>
      <c r="AY251" s="31">
        <v>16702.62</v>
      </c>
      <c r="AZ251" s="31">
        <v>741816.91470584716</v>
      </c>
      <c r="BA251" s="31">
        <v>359403.97525248223</v>
      </c>
      <c r="BB251" s="31">
        <v>267327.20847418386</v>
      </c>
      <c r="BC251" s="31">
        <f t="shared" si="19"/>
        <v>7412417.4702743636</v>
      </c>
      <c r="BD251" s="31">
        <v>167846.32</v>
      </c>
    </row>
    <row r="252" spans="2:56">
      <c r="B252" s="42" t="s">
        <v>347</v>
      </c>
      <c r="C252" s="42" t="s">
        <v>348</v>
      </c>
      <c r="D252" s="43" t="s">
        <v>1049</v>
      </c>
      <c r="E252" s="44">
        <v>32</v>
      </c>
      <c r="F252" s="31">
        <v>4972758.6528821643</v>
      </c>
      <c r="G252" s="31">
        <v>241170.74000000002</v>
      </c>
      <c r="H252" s="31">
        <v>134081.19999999998</v>
      </c>
      <c r="I252" s="31">
        <v>0</v>
      </c>
      <c r="J252" s="31">
        <v>696289.58867765113</v>
      </c>
      <c r="K252" s="31">
        <v>479754.04803993308</v>
      </c>
      <c r="L252" s="31">
        <v>376650.57501439704</v>
      </c>
      <c r="M252" s="31">
        <f t="shared" si="16"/>
        <v>7049889.6446141452</v>
      </c>
      <c r="N252" s="31">
        <v>149184.84</v>
      </c>
      <c r="P252" s="42" t="s">
        <v>347</v>
      </c>
      <c r="Q252" s="42" t="s">
        <v>348</v>
      </c>
      <c r="R252" s="43" t="s">
        <v>1050</v>
      </c>
      <c r="S252" s="44">
        <v>32</v>
      </c>
      <c r="T252" s="31">
        <v>5208148.0761145232</v>
      </c>
      <c r="U252" s="31">
        <v>252493.28000000006</v>
      </c>
      <c r="V252" s="31">
        <v>139230.04999999999</v>
      </c>
      <c r="W252" s="31">
        <v>0</v>
      </c>
      <c r="X252" s="31">
        <v>719873.46147980972</v>
      </c>
      <c r="Y252" s="31">
        <v>480159.7183037402</v>
      </c>
      <c r="Z252" s="31">
        <v>393690.99813783163</v>
      </c>
      <c r="AA252" s="31">
        <f t="shared" si="17"/>
        <v>7346447.9340359047</v>
      </c>
      <c r="AB252" s="31">
        <v>152852.35</v>
      </c>
      <c r="AD252" s="42" t="s">
        <v>347</v>
      </c>
      <c r="AE252" s="42" t="s">
        <v>348</v>
      </c>
      <c r="AF252" s="43" t="s">
        <v>1275</v>
      </c>
      <c r="AG252" s="44">
        <v>32</v>
      </c>
      <c r="AH252" s="31">
        <v>5307950.5789320329</v>
      </c>
      <c r="AI252" s="31">
        <v>257729.37000000002</v>
      </c>
      <c r="AJ252" s="31">
        <v>141953.57</v>
      </c>
      <c r="AK252" s="31">
        <v>0</v>
      </c>
      <c r="AL252" s="31">
        <v>733207.45485377917</v>
      </c>
      <c r="AM252" s="31">
        <v>480021.90028419677</v>
      </c>
      <c r="AN252" s="31">
        <v>401274.02477706742</v>
      </c>
      <c r="AO252" s="31">
        <f t="shared" si="18"/>
        <v>7477682.2388470769</v>
      </c>
      <c r="AP252" s="31">
        <v>155545.34</v>
      </c>
      <c r="AR252" s="42" t="s">
        <v>347</v>
      </c>
      <c r="AS252" s="42" t="s">
        <v>348</v>
      </c>
      <c r="AT252" s="43" t="s">
        <v>1276</v>
      </c>
      <c r="AU252" s="44">
        <v>32</v>
      </c>
      <c r="AV252" s="31">
        <v>5405371.7847618656</v>
      </c>
      <c r="AW252" s="31">
        <v>262391.96000000008</v>
      </c>
      <c r="AX252" s="31">
        <v>144545.77000000002</v>
      </c>
      <c r="AY252" s="31">
        <v>0</v>
      </c>
      <c r="AZ252" s="31">
        <v>746709.13467886741</v>
      </c>
      <c r="BA252" s="31">
        <v>480043.83200250677</v>
      </c>
      <c r="BB252" s="31">
        <v>408671.55013540894</v>
      </c>
      <c r="BC252" s="31">
        <f t="shared" si="19"/>
        <v>7606163.5715786479</v>
      </c>
      <c r="BD252" s="31">
        <v>158429.53999999998</v>
      </c>
    </row>
    <row r="253" spans="2:56">
      <c r="B253" s="42" t="s">
        <v>235</v>
      </c>
      <c r="C253" s="42" t="s">
        <v>236</v>
      </c>
      <c r="D253" s="43" t="s">
        <v>1049</v>
      </c>
      <c r="E253" s="44">
        <v>32</v>
      </c>
      <c r="F253" s="31">
        <v>85289799.398860872</v>
      </c>
      <c r="G253" s="31">
        <v>2598971.94</v>
      </c>
      <c r="H253" s="31">
        <v>429096.86000000004</v>
      </c>
      <c r="I253" s="31">
        <v>313918.23</v>
      </c>
      <c r="J253" s="31">
        <v>14160153.424608892</v>
      </c>
      <c r="K253" s="31">
        <v>5783254.8153874511</v>
      </c>
      <c r="L253" s="31">
        <v>8826506.843074888</v>
      </c>
      <c r="M253" s="31">
        <f t="shared" si="16"/>
        <v>117610378.10193211</v>
      </c>
      <c r="N253" s="31">
        <v>208676.59</v>
      </c>
      <c r="P253" s="42" t="s">
        <v>235</v>
      </c>
      <c r="Q253" s="42" t="s">
        <v>236</v>
      </c>
      <c r="R253" s="43" t="s">
        <v>1050</v>
      </c>
      <c r="S253" s="44">
        <v>32</v>
      </c>
      <c r="T253" s="31">
        <v>88466193.930581689</v>
      </c>
      <c r="U253" s="31">
        <v>2697507.9</v>
      </c>
      <c r="V253" s="31">
        <v>444954.61</v>
      </c>
      <c r="W253" s="31">
        <v>325519.42</v>
      </c>
      <c r="X253" s="31">
        <v>14630026.759568095</v>
      </c>
      <c r="Y253" s="31">
        <v>5789030.7934514247</v>
      </c>
      <c r="Z253" s="31">
        <v>9133179.2664895114</v>
      </c>
      <c r="AA253" s="31">
        <f t="shared" si="17"/>
        <v>121700312.99009073</v>
      </c>
      <c r="AB253" s="31">
        <v>213900.31000000003</v>
      </c>
      <c r="AD253" s="42" t="s">
        <v>235</v>
      </c>
      <c r="AE253" s="42" t="s">
        <v>236</v>
      </c>
      <c r="AF253" s="43" t="s">
        <v>1275</v>
      </c>
      <c r="AG253" s="44">
        <v>32</v>
      </c>
      <c r="AH253" s="31">
        <v>90163595.494727537</v>
      </c>
      <c r="AI253" s="31">
        <v>2750757.9</v>
      </c>
      <c r="AJ253" s="31">
        <v>453679.07</v>
      </c>
      <c r="AK253" s="31">
        <v>331902.05999999994</v>
      </c>
      <c r="AL253" s="31">
        <v>14903216.238033742</v>
      </c>
      <c r="AM253" s="31">
        <v>5786847.9062415417</v>
      </c>
      <c r="AN253" s="31">
        <v>9309666.0318911076</v>
      </c>
      <c r="AO253" s="31">
        <f t="shared" si="18"/>
        <v>123917400.71089393</v>
      </c>
      <c r="AP253" s="31">
        <v>217736.00999999998</v>
      </c>
      <c r="AR253" s="42" t="s">
        <v>235</v>
      </c>
      <c r="AS253" s="42" t="s">
        <v>236</v>
      </c>
      <c r="AT253" s="43" t="s">
        <v>1276</v>
      </c>
      <c r="AU253" s="44">
        <v>32</v>
      </c>
      <c r="AV253" s="31">
        <v>91844071.357540578</v>
      </c>
      <c r="AW253" s="31">
        <v>2801921.6599999997</v>
      </c>
      <c r="AX253" s="31">
        <v>462126.34</v>
      </c>
      <c r="AY253" s="31">
        <v>338081.9</v>
      </c>
      <c r="AZ253" s="31">
        <v>15181794.29728712</v>
      </c>
      <c r="BA253" s="31">
        <v>5787183.8686656021</v>
      </c>
      <c r="BB253" s="31">
        <v>9483820.4722588137</v>
      </c>
      <c r="BC253" s="31">
        <f t="shared" si="19"/>
        <v>126120843.94575213</v>
      </c>
      <c r="BD253" s="31">
        <v>221844.05</v>
      </c>
    </row>
    <row r="254" spans="2:56">
      <c r="B254" s="42" t="s">
        <v>171</v>
      </c>
      <c r="C254" s="42" t="s">
        <v>172</v>
      </c>
      <c r="D254" s="43" t="s">
        <v>1049</v>
      </c>
      <c r="E254" s="44">
        <v>32</v>
      </c>
      <c r="F254" s="31">
        <v>11111683.18512262</v>
      </c>
      <c r="G254" s="31">
        <v>262608.57999999996</v>
      </c>
      <c r="H254" s="31">
        <v>8265.56</v>
      </c>
      <c r="I254" s="31">
        <v>40265.07</v>
      </c>
      <c r="J254" s="31">
        <v>1694261.9335738861</v>
      </c>
      <c r="K254" s="31">
        <v>898693.91896110936</v>
      </c>
      <c r="L254" s="31">
        <v>614274.19545904081</v>
      </c>
      <c r="M254" s="31">
        <f t="shared" si="16"/>
        <v>14645284.683116658</v>
      </c>
      <c r="N254" s="31">
        <v>15232.24</v>
      </c>
      <c r="P254" s="42" t="s">
        <v>171</v>
      </c>
      <c r="Q254" s="42" t="s">
        <v>172</v>
      </c>
      <c r="R254" s="43" t="s">
        <v>1050</v>
      </c>
      <c r="S254" s="44">
        <v>32</v>
      </c>
      <c r="T254" s="31">
        <v>11393133.637133377</v>
      </c>
      <c r="U254" s="31">
        <v>268451.65999999997</v>
      </c>
      <c r="V254" s="31">
        <v>8444.0099999999984</v>
      </c>
      <c r="W254" s="31">
        <v>41134.350000000006</v>
      </c>
      <c r="X254" s="31">
        <v>1728742.3036267608</v>
      </c>
      <c r="Y254" s="31">
        <v>899551.05157807306</v>
      </c>
      <c r="Z254" s="31">
        <v>627765.45199658419</v>
      </c>
      <c r="AA254" s="31">
        <f t="shared" si="17"/>
        <v>14982609.864334794</v>
      </c>
      <c r="AB254" s="31">
        <v>15387.4</v>
      </c>
      <c r="AD254" s="42" t="s">
        <v>171</v>
      </c>
      <c r="AE254" s="42" t="s">
        <v>172</v>
      </c>
      <c r="AF254" s="43" t="s">
        <v>1275</v>
      </c>
      <c r="AG254" s="44">
        <v>32</v>
      </c>
      <c r="AH254" s="31">
        <v>11612507.10129107</v>
      </c>
      <c r="AI254" s="31">
        <v>273742.67000000004</v>
      </c>
      <c r="AJ254" s="31">
        <v>8609.65</v>
      </c>
      <c r="AK254" s="31">
        <v>41941.230000000003</v>
      </c>
      <c r="AL254" s="31">
        <v>1761066.3498922666</v>
      </c>
      <c r="AM254" s="31">
        <v>899225.74116754683</v>
      </c>
      <c r="AN254" s="31">
        <v>639902.85627368919</v>
      </c>
      <c r="AO254" s="31">
        <f t="shared" si="18"/>
        <v>15252659.828624573</v>
      </c>
      <c r="AP254" s="31">
        <v>15664.23</v>
      </c>
      <c r="AR254" s="42" t="s">
        <v>171</v>
      </c>
      <c r="AS254" s="42" t="s">
        <v>172</v>
      </c>
      <c r="AT254" s="43" t="s">
        <v>1276</v>
      </c>
      <c r="AU254" s="44">
        <v>32</v>
      </c>
      <c r="AV254" s="31">
        <v>11829619.197578311</v>
      </c>
      <c r="AW254" s="31">
        <v>278854.13</v>
      </c>
      <c r="AX254" s="31">
        <v>8770.5400000000009</v>
      </c>
      <c r="AY254" s="31">
        <v>42724.95</v>
      </c>
      <c r="AZ254" s="31">
        <v>1794063.6064584965</v>
      </c>
      <c r="BA254" s="31">
        <v>899275.80883645685</v>
      </c>
      <c r="BB254" s="31">
        <v>651899.30273042875</v>
      </c>
      <c r="BC254" s="31">
        <f t="shared" si="19"/>
        <v>15521168.245603692</v>
      </c>
      <c r="BD254" s="31">
        <v>15960.71</v>
      </c>
    </row>
    <row r="255" spans="2:56">
      <c r="B255" s="42" t="s">
        <v>313</v>
      </c>
      <c r="C255" s="42" t="s">
        <v>314</v>
      </c>
      <c r="D255" s="43" t="s">
        <v>1049</v>
      </c>
      <c r="E255" s="44">
        <v>32</v>
      </c>
      <c r="F255" s="31">
        <v>1811518.8183496073</v>
      </c>
      <c r="G255" s="31">
        <v>55152.590000000004</v>
      </c>
      <c r="H255" s="31">
        <v>0</v>
      </c>
      <c r="I255" s="31">
        <v>5651.6799999999994</v>
      </c>
      <c r="J255" s="31">
        <v>249207.61886518804</v>
      </c>
      <c r="K255" s="31">
        <v>95006.49304109544</v>
      </c>
      <c r="L255" s="31">
        <v>0</v>
      </c>
      <c r="M255" s="31">
        <f t="shared" si="16"/>
        <v>2216537.2002558908</v>
      </c>
      <c r="N255" s="31">
        <v>0</v>
      </c>
      <c r="P255" s="42" t="s">
        <v>313</v>
      </c>
      <c r="Q255" s="42" t="s">
        <v>314</v>
      </c>
      <c r="R255" s="43" t="s">
        <v>1050</v>
      </c>
      <c r="S255" s="44">
        <v>32</v>
      </c>
      <c r="T255" s="31">
        <v>1881623.9883355536</v>
      </c>
      <c r="U255" s="31">
        <v>57270.5</v>
      </c>
      <c r="V255" s="31">
        <v>0</v>
      </c>
      <c r="W255" s="31">
        <v>5868.72</v>
      </c>
      <c r="X255" s="31">
        <v>257621.80780136006</v>
      </c>
      <c r="Y255" s="31">
        <v>95091.560540009901</v>
      </c>
      <c r="Z255" s="31">
        <v>0</v>
      </c>
      <c r="AA255" s="31">
        <f t="shared" si="17"/>
        <v>2297476.5766769233</v>
      </c>
      <c r="AB255" s="31">
        <v>0</v>
      </c>
      <c r="AD255" s="42" t="s">
        <v>313</v>
      </c>
      <c r="AE255" s="42" t="s">
        <v>314</v>
      </c>
      <c r="AF255" s="43" t="s">
        <v>1275</v>
      </c>
      <c r="AG255" s="44">
        <v>32</v>
      </c>
      <c r="AH255" s="31">
        <v>1917827.4430585424</v>
      </c>
      <c r="AI255" s="31">
        <v>58390.79</v>
      </c>
      <c r="AJ255" s="31">
        <v>0</v>
      </c>
      <c r="AK255" s="31">
        <v>5983.51</v>
      </c>
      <c r="AL255" s="31">
        <v>262389.19792290305</v>
      </c>
      <c r="AM255" s="31">
        <v>95062.660629728387</v>
      </c>
      <c r="AN255" s="31">
        <v>0</v>
      </c>
      <c r="AO255" s="31">
        <f t="shared" si="18"/>
        <v>2339653.6016111737</v>
      </c>
      <c r="AP255" s="31">
        <v>0</v>
      </c>
      <c r="AR255" s="42" t="s">
        <v>313</v>
      </c>
      <c r="AS255" s="42" t="s">
        <v>314</v>
      </c>
      <c r="AT255" s="43" t="s">
        <v>1276</v>
      </c>
      <c r="AU255" s="44">
        <v>32</v>
      </c>
      <c r="AV255" s="31">
        <v>1953025.167566983</v>
      </c>
      <c r="AW255" s="31">
        <v>59457.060000000005</v>
      </c>
      <c r="AX255" s="31">
        <v>0</v>
      </c>
      <c r="AY255" s="31">
        <v>6092.7800000000007</v>
      </c>
      <c r="AZ255" s="31">
        <v>267212.88389997504</v>
      </c>
      <c r="BA255" s="31">
        <v>95067.259626968211</v>
      </c>
      <c r="BB255" s="31">
        <v>0</v>
      </c>
      <c r="BC255" s="31">
        <f t="shared" si="19"/>
        <v>2380855.1510939263</v>
      </c>
      <c r="BD255" s="31">
        <v>0</v>
      </c>
    </row>
    <row r="256" spans="2:56">
      <c r="B256" s="42" t="s">
        <v>479</v>
      </c>
      <c r="C256" s="42" t="s">
        <v>480</v>
      </c>
      <c r="D256" s="43" t="s">
        <v>1049</v>
      </c>
      <c r="E256" s="44">
        <v>32</v>
      </c>
      <c r="F256" s="31">
        <v>7565534.742260335</v>
      </c>
      <c r="G256" s="31">
        <v>221638.13000000003</v>
      </c>
      <c r="H256" s="31">
        <v>23808.190000000002</v>
      </c>
      <c r="I256" s="31">
        <v>19672.019999999993</v>
      </c>
      <c r="J256" s="31">
        <v>757414.07313052251</v>
      </c>
      <c r="K256" s="31">
        <v>338534.88</v>
      </c>
      <c r="L256" s="31">
        <v>0</v>
      </c>
      <c r="M256" s="31">
        <f t="shared" si="16"/>
        <v>8926602.0353908576</v>
      </c>
      <c r="N256" s="31">
        <v>0</v>
      </c>
      <c r="P256" s="42" t="s">
        <v>479</v>
      </c>
      <c r="Q256" s="42" t="s">
        <v>480</v>
      </c>
      <c r="R256" s="43" t="s">
        <v>1050</v>
      </c>
      <c r="S256" s="44">
        <v>32</v>
      </c>
      <c r="T256" s="31">
        <v>7885334.4083277415</v>
      </c>
      <c r="U256" s="31">
        <v>228127.85</v>
      </c>
      <c r="V256" s="31">
        <v>24505.320000000003</v>
      </c>
      <c r="W256" s="31">
        <v>20248.050000000003</v>
      </c>
      <c r="X256" s="31">
        <v>777289.41368157079</v>
      </c>
      <c r="Y256" s="31">
        <v>338534.88</v>
      </c>
      <c r="Z256" s="31">
        <v>0</v>
      </c>
      <c r="AA256" s="31">
        <f t="shared" si="17"/>
        <v>9274039.9220093135</v>
      </c>
      <c r="AB256" s="31">
        <v>0</v>
      </c>
      <c r="AD256" s="42" t="s">
        <v>479</v>
      </c>
      <c r="AE256" s="42" t="s">
        <v>480</v>
      </c>
      <c r="AF256" s="43" t="s">
        <v>1275</v>
      </c>
      <c r="AG256" s="44">
        <v>32</v>
      </c>
      <c r="AH256" s="31">
        <v>8036925.3453613054</v>
      </c>
      <c r="AI256" s="31">
        <v>232592.31</v>
      </c>
      <c r="AJ256" s="31">
        <v>24984.900000000005</v>
      </c>
      <c r="AK256" s="31">
        <v>20644.3</v>
      </c>
      <c r="AL256" s="31">
        <v>791696.31240905379</v>
      </c>
      <c r="AM256" s="31">
        <v>338534.88</v>
      </c>
      <c r="AN256" s="31">
        <v>0</v>
      </c>
      <c r="AO256" s="31">
        <f t="shared" si="18"/>
        <v>9445378.0477703605</v>
      </c>
      <c r="AP256" s="31">
        <v>0</v>
      </c>
      <c r="AR256" s="42" t="s">
        <v>479</v>
      </c>
      <c r="AS256" s="42" t="s">
        <v>480</v>
      </c>
      <c r="AT256" s="43" t="s">
        <v>1276</v>
      </c>
      <c r="AU256" s="44">
        <v>32</v>
      </c>
      <c r="AV256" s="31">
        <v>8184423.2996203285</v>
      </c>
      <c r="AW256" s="31">
        <v>236855.33999999997</v>
      </c>
      <c r="AX256" s="31">
        <v>25442.819999999996</v>
      </c>
      <c r="AY256" s="31">
        <v>21022.670000000002</v>
      </c>
      <c r="AZ256" s="31">
        <v>806293.50610712147</v>
      </c>
      <c r="BA256" s="31">
        <v>338534.88</v>
      </c>
      <c r="BB256" s="31">
        <v>0</v>
      </c>
      <c r="BC256" s="31">
        <f t="shared" si="19"/>
        <v>9612572.5157274511</v>
      </c>
      <c r="BD256" s="31">
        <v>0</v>
      </c>
    </row>
    <row r="257" spans="2:56">
      <c r="B257" s="42" t="s">
        <v>451</v>
      </c>
      <c r="C257" s="42" t="s">
        <v>452</v>
      </c>
      <c r="D257" s="43" t="s">
        <v>1049</v>
      </c>
      <c r="E257" s="44">
        <v>32</v>
      </c>
      <c r="F257" s="31">
        <v>237136371.03916165</v>
      </c>
      <c r="G257" s="31">
        <v>10945211.529999997</v>
      </c>
      <c r="H257" s="31">
        <v>2824196.49</v>
      </c>
      <c r="I257" s="31">
        <v>0</v>
      </c>
      <c r="J257" s="31">
        <v>36969188.307959579</v>
      </c>
      <c r="K257" s="31">
        <v>14047684.638424804</v>
      </c>
      <c r="L257" s="31">
        <v>17926219.580795016</v>
      </c>
      <c r="M257" s="31">
        <f t="shared" si="16"/>
        <v>325208337.99634105</v>
      </c>
      <c r="N257" s="31">
        <v>5359466.41</v>
      </c>
      <c r="P257" s="42" t="s">
        <v>451</v>
      </c>
      <c r="Q257" s="42" t="s">
        <v>452</v>
      </c>
      <c r="R257" s="43" t="s">
        <v>1050</v>
      </c>
      <c r="S257" s="44">
        <v>32</v>
      </c>
      <c r="T257" s="31">
        <v>247077764.00932342</v>
      </c>
      <c r="U257" s="31">
        <v>11337224.109999999</v>
      </c>
      <c r="V257" s="31">
        <v>2906891</v>
      </c>
      <c r="W257" s="31">
        <v>0</v>
      </c>
      <c r="X257" s="31">
        <v>37947805.428446487</v>
      </c>
      <c r="Y257" s="31">
        <v>14059436.840638941</v>
      </c>
      <c r="Z257" s="31">
        <v>18607618.510379255</v>
      </c>
      <c r="AA257" s="31">
        <f t="shared" si="17"/>
        <v>337381606.5187881</v>
      </c>
      <c r="AB257" s="31">
        <v>5444866.6200000001</v>
      </c>
      <c r="AD257" s="42" t="s">
        <v>451</v>
      </c>
      <c r="AE257" s="42" t="s">
        <v>452</v>
      </c>
      <c r="AF257" s="43" t="s">
        <v>1275</v>
      </c>
      <c r="AG257" s="44">
        <v>32</v>
      </c>
      <c r="AH257" s="31">
        <v>251823646.1056827</v>
      </c>
      <c r="AI257" s="31">
        <v>11569398.289999999</v>
      </c>
      <c r="AJ257" s="31">
        <v>2963778.8100000005</v>
      </c>
      <c r="AK257" s="31">
        <v>0</v>
      </c>
      <c r="AL257" s="31">
        <v>38651726.141369246</v>
      </c>
      <c r="AM257" s="31">
        <v>14055355.46697063</v>
      </c>
      <c r="AN257" s="31">
        <v>18966352.892656889</v>
      </c>
      <c r="AO257" s="31">
        <f t="shared" si="18"/>
        <v>343571375.38667941</v>
      </c>
      <c r="AP257" s="31">
        <v>5541117.6799999997</v>
      </c>
      <c r="AR257" s="42" t="s">
        <v>451</v>
      </c>
      <c r="AS257" s="42" t="s">
        <v>452</v>
      </c>
      <c r="AT257" s="43" t="s">
        <v>1276</v>
      </c>
      <c r="AU257" s="44">
        <v>32</v>
      </c>
      <c r="AV257" s="31">
        <v>256466731.16805539</v>
      </c>
      <c r="AW257" s="31">
        <v>11779920.319999997</v>
      </c>
      <c r="AX257" s="31">
        <v>3018099.88</v>
      </c>
      <c r="AY257" s="31">
        <v>0</v>
      </c>
      <c r="AZ257" s="31">
        <v>39365410.499141723</v>
      </c>
      <c r="BA257" s="31">
        <v>14056000.881282834</v>
      </c>
      <c r="BB257" s="31">
        <v>19316848.397024069</v>
      </c>
      <c r="BC257" s="31">
        <f t="shared" si="19"/>
        <v>349647213.69550407</v>
      </c>
      <c r="BD257" s="31">
        <v>5644202.5500000007</v>
      </c>
    </row>
    <row r="258" spans="2:56">
      <c r="B258" s="42" t="s">
        <v>297</v>
      </c>
      <c r="C258" s="42" t="s">
        <v>298</v>
      </c>
      <c r="D258" s="43" t="s">
        <v>1049</v>
      </c>
      <c r="E258" s="44">
        <v>32</v>
      </c>
      <c r="F258" s="31">
        <v>1698443.2548857452</v>
      </c>
      <c r="G258" s="31">
        <v>25140.2</v>
      </c>
      <c r="H258" s="31">
        <v>0</v>
      </c>
      <c r="I258" s="31">
        <v>2046.29</v>
      </c>
      <c r="J258" s="31">
        <v>87831.785072903673</v>
      </c>
      <c r="K258" s="31">
        <v>121124.12382249473</v>
      </c>
      <c r="L258" s="31">
        <v>75592.372509023728</v>
      </c>
      <c r="M258" s="31">
        <f t="shared" si="16"/>
        <v>2020214.6462901672</v>
      </c>
      <c r="N258" s="31">
        <v>10036.619999999999</v>
      </c>
      <c r="P258" s="42" t="s">
        <v>297</v>
      </c>
      <c r="Q258" s="42" t="s">
        <v>298</v>
      </c>
      <c r="R258" s="43" t="s">
        <v>1050</v>
      </c>
      <c r="S258" s="44">
        <v>32</v>
      </c>
      <c r="T258" s="31">
        <v>1765518.4393652761</v>
      </c>
      <c r="U258" s="31">
        <v>26244.319999999996</v>
      </c>
      <c r="V258" s="31">
        <v>0</v>
      </c>
      <c r="W258" s="31">
        <v>2124.87</v>
      </c>
      <c r="X258" s="31">
        <v>90798.36654610507</v>
      </c>
      <c r="Y258" s="31">
        <v>121200.30911169526</v>
      </c>
      <c r="Z258" s="31">
        <v>78994.064517482329</v>
      </c>
      <c r="AA258" s="31">
        <f t="shared" si="17"/>
        <v>2095163.7095405592</v>
      </c>
      <c r="AB258" s="31">
        <v>10283.34</v>
      </c>
      <c r="AD258" s="42" t="s">
        <v>297</v>
      </c>
      <c r="AE258" s="42" t="s">
        <v>298</v>
      </c>
      <c r="AF258" s="43" t="s">
        <v>1275</v>
      </c>
      <c r="AG258" s="44">
        <v>32</v>
      </c>
      <c r="AH258" s="31">
        <v>1799259.2331136612</v>
      </c>
      <c r="AI258" s="31">
        <v>26777.679999999997</v>
      </c>
      <c r="AJ258" s="31">
        <v>0</v>
      </c>
      <c r="AK258" s="31">
        <v>2166.4499999999998</v>
      </c>
      <c r="AL258" s="31">
        <v>92480.300044385716</v>
      </c>
      <c r="AM258" s="31">
        <v>121174.42674709346</v>
      </c>
      <c r="AN258" s="31">
        <v>80515.64590893437</v>
      </c>
      <c r="AO258" s="31">
        <f t="shared" si="18"/>
        <v>2132838.2558140745</v>
      </c>
      <c r="AP258" s="31">
        <v>10464.52</v>
      </c>
      <c r="AR258" s="42" t="s">
        <v>297</v>
      </c>
      <c r="AS258" s="42" t="s">
        <v>298</v>
      </c>
      <c r="AT258" s="43" t="s">
        <v>1276</v>
      </c>
      <c r="AU258" s="44">
        <v>32</v>
      </c>
      <c r="AV258" s="31">
        <v>1831900.0302291813</v>
      </c>
      <c r="AW258" s="31">
        <v>27263.719999999998</v>
      </c>
      <c r="AX258" s="31">
        <v>0</v>
      </c>
      <c r="AY258" s="31">
        <v>2206.02</v>
      </c>
      <c r="AZ258" s="31">
        <v>94183.45814788522</v>
      </c>
      <c r="BA258" s="31">
        <v>121178.54554615561</v>
      </c>
      <c r="BB258" s="31">
        <v>82000.022392779501</v>
      </c>
      <c r="BC258" s="31">
        <f t="shared" si="19"/>
        <v>2169390.3563160016</v>
      </c>
      <c r="BD258" s="31">
        <v>10658.560000000001</v>
      </c>
    </row>
    <row r="259" spans="2:56">
      <c r="B259" s="42" t="s">
        <v>577</v>
      </c>
      <c r="C259" s="42" t="s">
        <v>578</v>
      </c>
      <c r="D259" s="43" t="s">
        <v>1049</v>
      </c>
      <c r="E259" s="44">
        <v>32</v>
      </c>
      <c r="F259" s="31">
        <v>2066132.295002026</v>
      </c>
      <c r="G259" s="31">
        <v>38100.12000000001</v>
      </c>
      <c r="H259" s="31">
        <v>0</v>
      </c>
      <c r="I259" s="31">
        <v>3507.94</v>
      </c>
      <c r="J259" s="31">
        <v>146621.51902277383</v>
      </c>
      <c r="K259" s="31">
        <v>362429.03260111262</v>
      </c>
      <c r="L259" s="31">
        <v>49287.291707283337</v>
      </c>
      <c r="M259" s="31">
        <f t="shared" si="16"/>
        <v>2684982.088333196</v>
      </c>
      <c r="N259" s="31">
        <v>18903.889999999996</v>
      </c>
      <c r="P259" s="42" t="s">
        <v>577</v>
      </c>
      <c r="Q259" s="42" t="s">
        <v>578</v>
      </c>
      <c r="R259" s="43" t="s">
        <v>1050</v>
      </c>
      <c r="S259" s="44">
        <v>32</v>
      </c>
      <c r="T259" s="31">
        <v>2142956.0207467489</v>
      </c>
      <c r="U259" s="31">
        <v>39824.400000000009</v>
      </c>
      <c r="V259" s="31">
        <v>0</v>
      </c>
      <c r="W259" s="31">
        <v>3642.64</v>
      </c>
      <c r="X259" s="31">
        <v>151589.31392633353</v>
      </c>
      <c r="Y259" s="31">
        <v>362849.9316610446</v>
      </c>
      <c r="Z259" s="31">
        <v>51043.418115440618</v>
      </c>
      <c r="AA259" s="31">
        <f t="shared" si="17"/>
        <v>2771274.3344495678</v>
      </c>
      <c r="AB259" s="31">
        <v>19368.609999999997</v>
      </c>
      <c r="AD259" s="42" t="s">
        <v>577</v>
      </c>
      <c r="AE259" s="42" t="s">
        <v>578</v>
      </c>
      <c r="AF259" s="43" t="s">
        <v>1275</v>
      </c>
      <c r="AG259" s="44">
        <v>32</v>
      </c>
      <c r="AH259" s="31">
        <v>2183945.6637995066</v>
      </c>
      <c r="AI259" s="31">
        <v>40641.030000000013</v>
      </c>
      <c r="AJ259" s="31">
        <v>0</v>
      </c>
      <c r="AK259" s="31">
        <v>3713.8999999999992</v>
      </c>
      <c r="AL259" s="31">
        <v>154397.24938217466</v>
      </c>
      <c r="AM259" s="31">
        <v>362706.93997532642</v>
      </c>
      <c r="AN259" s="31">
        <v>52026.516788127832</v>
      </c>
      <c r="AO259" s="31">
        <f t="shared" si="18"/>
        <v>2817141.159945135</v>
      </c>
      <c r="AP259" s="31">
        <v>19709.859999999997</v>
      </c>
      <c r="AR259" s="42" t="s">
        <v>577</v>
      </c>
      <c r="AS259" s="42" t="s">
        <v>578</v>
      </c>
      <c r="AT259" s="43" t="s">
        <v>1276</v>
      </c>
      <c r="AU259" s="44">
        <v>32</v>
      </c>
      <c r="AV259" s="31">
        <v>2223691.9405227047</v>
      </c>
      <c r="AW259" s="31">
        <v>41377.630000000005</v>
      </c>
      <c r="AX259" s="31">
        <v>0</v>
      </c>
      <c r="AY259" s="31">
        <v>3781.72</v>
      </c>
      <c r="AZ259" s="31">
        <v>157240.57606233636</v>
      </c>
      <c r="BA259" s="31">
        <v>362729.69500679645</v>
      </c>
      <c r="BB259" s="31">
        <v>52985.808787175833</v>
      </c>
      <c r="BC259" s="31">
        <f t="shared" si="19"/>
        <v>2861882.6903790138</v>
      </c>
      <c r="BD259" s="31">
        <v>20075.32</v>
      </c>
    </row>
    <row r="260" spans="2:56">
      <c r="B260" s="42" t="s">
        <v>449</v>
      </c>
      <c r="C260" s="42" t="s">
        <v>450</v>
      </c>
      <c r="D260" s="43" t="s">
        <v>1049</v>
      </c>
      <c r="E260" s="44">
        <v>32</v>
      </c>
      <c r="F260" s="31">
        <v>40846470.943433389</v>
      </c>
      <c r="G260" s="31">
        <v>976388.44</v>
      </c>
      <c r="H260" s="31">
        <v>238795.02</v>
      </c>
      <c r="I260" s="31">
        <v>150522.25</v>
      </c>
      <c r="J260" s="31">
        <v>6807800.027756081</v>
      </c>
      <c r="K260" s="31">
        <v>2880669.512812051</v>
      </c>
      <c r="L260" s="31">
        <v>4198176.4756202763</v>
      </c>
      <c r="M260" s="31">
        <f t="shared" si="16"/>
        <v>56104554.669621795</v>
      </c>
      <c r="N260" s="31">
        <v>5732</v>
      </c>
      <c r="P260" s="42" t="s">
        <v>449</v>
      </c>
      <c r="Q260" s="42" t="s">
        <v>450</v>
      </c>
      <c r="R260" s="43" t="s">
        <v>1050</v>
      </c>
      <c r="S260" s="44">
        <v>32</v>
      </c>
      <c r="T260" s="31">
        <v>42120238.942806862</v>
      </c>
      <c r="U260" s="31">
        <v>1004878.5399999999</v>
      </c>
      <c r="V260" s="31">
        <v>245746.37000000002</v>
      </c>
      <c r="W260" s="31">
        <v>154903.97</v>
      </c>
      <c r="X260" s="31">
        <v>6988933.3434068989</v>
      </c>
      <c r="Y260" s="31">
        <v>2882350.9137644409</v>
      </c>
      <c r="Z260" s="31">
        <v>4316813.297881268</v>
      </c>
      <c r="AA260" s="31">
        <f t="shared" si="17"/>
        <v>57719696.927859463</v>
      </c>
      <c r="AB260" s="31">
        <v>5831.5499999999993</v>
      </c>
      <c r="AD260" s="42" t="s">
        <v>449</v>
      </c>
      <c r="AE260" s="42" t="s">
        <v>450</v>
      </c>
      <c r="AF260" s="43" t="s">
        <v>1275</v>
      </c>
      <c r="AG260" s="44">
        <v>32</v>
      </c>
      <c r="AH260" s="31">
        <v>42931209.136356071</v>
      </c>
      <c r="AI260" s="31">
        <v>1024593.7</v>
      </c>
      <c r="AJ260" s="31">
        <v>250565.40000000002</v>
      </c>
      <c r="AK260" s="31">
        <v>157941.61000000002</v>
      </c>
      <c r="AL260" s="31">
        <v>7119443.8029581169</v>
      </c>
      <c r="AM260" s="31">
        <v>2881724.2738747792</v>
      </c>
      <c r="AN260" s="31">
        <v>4400236.2029790748</v>
      </c>
      <c r="AO260" s="31">
        <f t="shared" si="18"/>
        <v>58771650.336168043</v>
      </c>
      <c r="AP260" s="31">
        <v>5936.21</v>
      </c>
      <c r="AR260" s="42" t="s">
        <v>449</v>
      </c>
      <c r="AS260" s="42" t="s">
        <v>450</v>
      </c>
      <c r="AT260" s="43" t="s">
        <v>1276</v>
      </c>
      <c r="AU260" s="44">
        <v>32</v>
      </c>
      <c r="AV260" s="31">
        <v>43732061.512322709</v>
      </c>
      <c r="AW260" s="31">
        <v>1043687.1499999999</v>
      </c>
      <c r="AX260" s="31">
        <v>255235.08000000002</v>
      </c>
      <c r="AY260" s="31">
        <v>160885.1</v>
      </c>
      <c r="AZ260" s="31">
        <v>7252524.5972142369</v>
      </c>
      <c r="BA260" s="31">
        <v>2881821.192868683</v>
      </c>
      <c r="BB260" s="31">
        <v>4482557.4502969868</v>
      </c>
      <c r="BC260" s="31">
        <f t="shared" si="19"/>
        <v>59814820.372702606</v>
      </c>
      <c r="BD260" s="31">
        <v>6048.29</v>
      </c>
    </row>
    <row r="261" spans="2:56">
      <c r="B261" s="42" t="s">
        <v>115</v>
      </c>
      <c r="C261" s="42" t="s">
        <v>116</v>
      </c>
      <c r="D261" s="43" t="s">
        <v>1049</v>
      </c>
      <c r="E261" s="44">
        <v>32</v>
      </c>
      <c r="F261" s="31">
        <v>338095.06891283992</v>
      </c>
      <c r="G261" s="31">
        <v>0</v>
      </c>
      <c r="H261" s="31">
        <v>0</v>
      </c>
      <c r="I261" s="31">
        <v>0</v>
      </c>
      <c r="J261" s="31">
        <v>0</v>
      </c>
      <c r="K261" s="31">
        <v>105953.36240084749</v>
      </c>
      <c r="L261" s="31">
        <v>0</v>
      </c>
      <c r="M261" s="31">
        <f t="shared" ref="M261:M322" si="20">SUM(F261:L261,N261)</f>
        <v>444048.43131368741</v>
      </c>
      <c r="N261" s="31">
        <v>0</v>
      </c>
      <c r="P261" s="42" t="s">
        <v>115</v>
      </c>
      <c r="Q261" s="42" t="s">
        <v>116</v>
      </c>
      <c r="R261" s="43" t="s">
        <v>1050</v>
      </c>
      <c r="S261" s="44">
        <v>32</v>
      </c>
      <c r="T261" s="31">
        <v>350516.58156306949</v>
      </c>
      <c r="U261" s="31">
        <v>0</v>
      </c>
      <c r="V261" s="31">
        <v>0</v>
      </c>
      <c r="W261" s="31">
        <v>0</v>
      </c>
      <c r="X261" s="31">
        <v>0</v>
      </c>
      <c r="Y261" s="31">
        <v>106074.76114164888</v>
      </c>
      <c r="Z261" s="31">
        <v>0</v>
      </c>
      <c r="AA261" s="31">
        <f t="shared" ref="AA261:AA322" si="21">SUM(T261:Z261,AB261)</f>
        <v>456591.34270471835</v>
      </c>
      <c r="AB261" s="31">
        <v>0</v>
      </c>
      <c r="AD261" s="42" t="s">
        <v>115</v>
      </c>
      <c r="AE261" s="42" t="s">
        <v>116</v>
      </c>
      <c r="AF261" s="43" t="s">
        <v>1275</v>
      </c>
      <c r="AG261" s="44">
        <v>32</v>
      </c>
      <c r="AH261" s="31">
        <v>357221.28839793958</v>
      </c>
      <c r="AI261" s="31">
        <v>0</v>
      </c>
      <c r="AJ261" s="31">
        <v>0</v>
      </c>
      <c r="AK261" s="31">
        <v>0</v>
      </c>
      <c r="AL261" s="31">
        <v>0</v>
      </c>
      <c r="AM261" s="31">
        <v>106033.51844893758</v>
      </c>
      <c r="AN261" s="31">
        <v>0</v>
      </c>
      <c r="AO261" s="31">
        <f t="shared" ref="AO261:AO322" si="22">SUM(AH261:AN261,AP261)</f>
        <v>463254.80684687715</v>
      </c>
      <c r="AP261" s="31">
        <v>0</v>
      </c>
      <c r="AR261" s="42" t="s">
        <v>115</v>
      </c>
      <c r="AS261" s="42" t="s">
        <v>116</v>
      </c>
      <c r="AT261" s="43" t="s">
        <v>1276</v>
      </c>
      <c r="AU261" s="44">
        <v>32</v>
      </c>
      <c r="AV261" s="31">
        <v>363712.52874880552</v>
      </c>
      <c r="AW261" s="31">
        <v>0</v>
      </c>
      <c r="AX261" s="31">
        <v>0</v>
      </c>
      <c r="AY261" s="31">
        <v>0</v>
      </c>
      <c r="AZ261" s="31">
        <v>0</v>
      </c>
      <c r="BA261" s="31">
        <v>106040.08161913756</v>
      </c>
      <c r="BB261" s="31">
        <v>0</v>
      </c>
      <c r="BC261" s="31">
        <f t="shared" ref="BC261:BC322" si="23">SUM(AV261:BB261,BD261)</f>
        <v>469752.61036794307</v>
      </c>
      <c r="BD261" s="31">
        <v>0</v>
      </c>
    </row>
    <row r="262" spans="2:56">
      <c r="B262" s="42" t="s">
        <v>75</v>
      </c>
      <c r="C262" s="42" t="s">
        <v>76</v>
      </c>
      <c r="D262" s="43" t="s">
        <v>1049</v>
      </c>
      <c r="E262" s="44">
        <v>32</v>
      </c>
      <c r="F262" s="31">
        <v>3420955.7901091287</v>
      </c>
      <c r="G262" s="31">
        <v>130280.95</v>
      </c>
      <c r="H262" s="31">
        <v>0</v>
      </c>
      <c r="I262" s="31">
        <v>0</v>
      </c>
      <c r="J262" s="31">
        <v>226726.93169041289</v>
      </c>
      <c r="K262" s="31">
        <v>95832.400409903887</v>
      </c>
      <c r="L262" s="31">
        <v>0</v>
      </c>
      <c r="M262" s="31">
        <f t="shared" si="20"/>
        <v>3880617.062209446</v>
      </c>
      <c r="N262" s="31">
        <v>6820.99</v>
      </c>
      <c r="P262" s="42" t="s">
        <v>75</v>
      </c>
      <c r="Q262" s="42" t="s">
        <v>76</v>
      </c>
      <c r="R262" s="43" t="s">
        <v>1050</v>
      </c>
      <c r="S262" s="44">
        <v>32</v>
      </c>
      <c r="T262" s="31">
        <v>3549071.7495058291</v>
      </c>
      <c r="U262" s="31">
        <v>135378.12</v>
      </c>
      <c r="V262" s="31">
        <v>0</v>
      </c>
      <c r="W262" s="31">
        <v>0</v>
      </c>
      <c r="X262" s="31">
        <v>234426.61836101217</v>
      </c>
      <c r="Y262" s="31">
        <v>95839.499565211547</v>
      </c>
      <c r="Z262" s="31">
        <v>0</v>
      </c>
      <c r="AA262" s="31">
        <f t="shared" si="21"/>
        <v>4021704.6574320528</v>
      </c>
      <c r="AB262" s="31">
        <v>6988.67</v>
      </c>
      <c r="AD262" s="42" t="s">
        <v>75</v>
      </c>
      <c r="AE262" s="42" t="s">
        <v>76</v>
      </c>
      <c r="AF262" s="43" t="s">
        <v>1275</v>
      </c>
      <c r="AG262" s="44">
        <v>32</v>
      </c>
      <c r="AH262" s="31">
        <v>3615651.8650486451</v>
      </c>
      <c r="AI262" s="31">
        <v>138039.85</v>
      </c>
      <c r="AJ262" s="31">
        <v>0</v>
      </c>
      <c r="AK262" s="31">
        <v>0</v>
      </c>
      <c r="AL262" s="31">
        <v>238774.61748158574</v>
      </c>
      <c r="AM262" s="31">
        <v>95837.087775114473</v>
      </c>
      <c r="AN262" s="31">
        <v>0</v>
      </c>
      <c r="AO262" s="31">
        <f t="shared" si="22"/>
        <v>4095415.220305345</v>
      </c>
      <c r="AP262" s="31">
        <v>7111.7999999999993</v>
      </c>
      <c r="AR262" s="42" t="s">
        <v>75</v>
      </c>
      <c r="AS262" s="42" t="s">
        <v>76</v>
      </c>
      <c r="AT262" s="43" t="s">
        <v>1276</v>
      </c>
      <c r="AU262" s="44">
        <v>32</v>
      </c>
      <c r="AV262" s="31">
        <v>3681974.0896979258</v>
      </c>
      <c r="AW262" s="31">
        <v>140558.57999999999</v>
      </c>
      <c r="AX262" s="31">
        <v>0</v>
      </c>
      <c r="AY262" s="31">
        <v>0</v>
      </c>
      <c r="AZ262" s="31">
        <v>243182.02776890274</v>
      </c>
      <c r="BA262" s="31">
        <v>95837.471576167532</v>
      </c>
      <c r="BB262" s="31">
        <v>0</v>
      </c>
      <c r="BC262" s="31">
        <f t="shared" si="23"/>
        <v>4168795.8390429965</v>
      </c>
      <c r="BD262" s="31">
        <v>7243.67</v>
      </c>
    </row>
    <row r="263" spans="2:56">
      <c r="B263" s="42" t="s">
        <v>31</v>
      </c>
      <c r="C263" s="42" t="s">
        <v>32</v>
      </c>
      <c r="D263" s="43" t="s">
        <v>1049</v>
      </c>
      <c r="E263" s="44">
        <v>32</v>
      </c>
      <c r="F263" s="31">
        <v>385114.89577810367</v>
      </c>
      <c r="G263" s="31">
        <v>0</v>
      </c>
      <c r="H263" s="31">
        <v>0</v>
      </c>
      <c r="I263" s="31">
        <v>0</v>
      </c>
      <c r="J263" s="31">
        <v>0</v>
      </c>
      <c r="K263" s="31">
        <v>0</v>
      </c>
      <c r="L263" s="31">
        <v>0</v>
      </c>
      <c r="M263" s="31">
        <f t="shared" si="20"/>
        <v>385114.89577810367</v>
      </c>
      <c r="N263" s="31">
        <v>0</v>
      </c>
      <c r="P263" s="42" t="s">
        <v>31</v>
      </c>
      <c r="Q263" s="42" t="s">
        <v>32</v>
      </c>
      <c r="R263" s="43" t="s">
        <v>1050</v>
      </c>
      <c r="S263" s="44">
        <v>32</v>
      </c>
      <c r="T263" s="31">
        <v>396048.74861358537</v>
      </c>
      <c r="U263" s="31">
        <v>0</v>
      </c>
      <c r="V263" s="31">
        <v>0</v>
      </c>
      <c r="W263" s="31">
        <v>0</v>
      </c>
      <c r="X263" s="31">
        <v>0</v>
      </c>
      <c r="Y263" s="31">
        <v>0</v>
      </c>
      <c r="Z263" s="31">
        <v>0</v>
      </c>
      <c r="AA263" s="31">
        <f t="shared" si="21"/>
        <v>396048.74861358537</v>
      </c>
      <c r="AB263" s="31">
        <v>0</v>
      </c>
      <c r="AD263" s="42" t="s">
        <v>31</v>
      </c>
      <c r="AE263" s="42" t="s">
        <v>32</v>
      </c>
      <c r="AF263" s="43" t="s">
        <v>1275</v>
      </c>
      <c r="AG263" s="44">
        <v>32</v>
      </c>
      <c r="AH263" s="31">
        <v>403621.05043326574</v>
      </c>
      <c r="AI263" s="31">
        <v>0</v>
      </c>
      <c r="AJ263" s="31">
        <v>0</v>
      </c>
      <c r="AK263" s="31">
        <v>0</v>
      </c>
      <c r="AL263" s="31">
        <v>0</v>
      </c>
      <c r="AM263" s="31">
        <v>0</v>
      </c>
      <c r="AN263" s="31">
        <v>0</v>
      </c>
      <c r="AO263" s="31">
        <f t="shared" si="22"/>
        <v>403621.05043326574</v>
      </c>
      <c r="AP263" s="31">
        <v>0</v>
      </c>
      <c r="AR263" s="42" t="s">
        <v>31</v>
      </c>
      <c r="AS263" s="42" t="s">
        <v>32</v>
      </c>
      <c r="AT263" s="43" t="s">
        <v>1276</v>
      </c>
      <c r="AU263" s="44">
        <v>32</v>
      </c>
      <c r="AV263" s="31">
        <v>410974.01338078326</v>
      </c>
      <c r="AW263" s="31">
        <v>0</v>
      </c>
      <c r="AX263" s="31">
        <v>0</v>
      </c>
      <c r="AY263" s="31">
        <v>0</v>
      </c>
      <c r="AZ263" s="31">
        <v>0</v>
      </c>
      <c r="BA263" s="31">
        <v>0</v>
      </c>
      <c r="BB263" s="31">
        <v>0</v>
      </c>
      <c r="BC263" s="31">
        <f t="shared" si="23"/>
        <v>410974.01338078326</v>
      </c>
      <c r="BD263" s="31">
        <v>0</v>
      </c>
    </row>
    <row r="264" spans="2:56">
      <c r="B264" s="42" t="s">
        <v>361</v>
      </c>
      <c r="C264" s="42" t="s">
        <v>362</v>
      </c>
      <c r="D264" s="43" t="s">
        <v>1049</v>
      </c>
      <c r="E264" s="44">
        <v>32</v>
      </c>
      <c r="F264" s="31">
        <v>25954163.133895583</v>
      </c>
      <c r="G264" s="31">
        <v>473641.8</v>
      </c>
      <c r="H264" s="31">
        <v>171701.46</v>
      </c>
      <c r="I264" s="31">
        <v>90793.960000000021</v>
      </c>
      <c r="J264" s="31">
        <v>3829186.6494214335</v>
      </c>
      <c r="K264" s="31">
        <v>2181563.9076841744</v>
      </c>
      <c r="L264" s="31">
        <v>2350314.2429059669</v>
      </c>
      <c r="M264" s="31">
        <f t="shared" si="20"/>
        <v>35062865.733907163</v>
      </c>
      <c r="N264" s="31">
        <v>11500.58</v>
      </c>
      <c r="P264" s="42" t="s">
        <v>361</v>
      </c>
      <c r="Q264" s="42" t="s">
        <v>362</v>
      </c>
      <c r="R264" s="43" t="s">
        <v>1050</v>
      </c>
      <c r="S264" s="44">
        <v>32</v>
      </c>
      <c r="T264" s="31">
        <v>26772239.536054496</v>
      </c>
      <c r="U264" s="31">
        <v>487663.86999999994</v>
      </c>
      <c r="V264" s="31">
        <v>176729.00999999998</v>
      </c>
      <c r="W264" s="31">
        <v>93452.479999999996</v>
      </c>
      <c r="X264" s="31">
        <v>3930551.3714543805</v>
      </c>
      <c r="Y264" s="31">
        <v>2182992.5611091293</v>
      </c>
      <c r="Z264" s="31">
        <v>2416837.0828250595</v>
      </c>
      <c r="AA264" s="31">
        <f t="shared" si="21"/>
        <v>36072149.74144306</v>
      </c>
      <c r="AB264" s="31">
        <v>11683.83</v>
      </c>
      <c r="AD264" s="42" t="s">
        <v>361</v>
      </c>
      <c r="AE264" s="42" t="s">
        <v>362</v>
      </c>
      <c r="AF264" s="43" t="s">
        <v>1275</v>
      </c>
      <c r="AG264" s="44">
        <v>32</v>
      </c>
      <c r="AH264" s="31">
        <v>27286000.574013051</v>
      </c>
      <c r="AI264" s="31">
        <v>497229.56000000006</v>
      </c>
      <c r="AJ264" s="31">
        <v>180187.59000000003</v>
      </c>
      <c r="AK264" s="31">
        <v>95281.329999999987</v>
      </c>
      <c r="AL264" s="31">
        <v>4003460.7103960146</v>
      </c>
      <c r="AM264" s="31">
        <v>2182496.4099739203</v>
      </c>
      <c r="AN264" s="31">
        <v>2463412.574315656</v>
      </c>
      <c r="AO264" s="31">
        <f t="shared" si="22"/>
        <v>36719959.118698634</v>
      </c>
      <c r="AP264" s="31">
        <v>11890.37</v>
      </c>
      <c r="AR264" s="42" t="s">
        <v>361</v>
      </c>
      <c r="AS264" s="42" t="s">
        <v>362</v>
      </c>
      <c r="AT264" s="43" t="s">
        <v>1276</v>
      </c>
      <c r="AU264" s="44">
        <v>32</v>
      </c>
      <c r="AV264" s="31">
        <v>27789107.538185883</v>
      </c>
      <c r="AW264" s="31">
        <v>506339.66000000003</v>
      </c>
      <c r="AX264" s="31">
        <v>183490.13</v>
      </c>
      <c r="AY264" s="31">
        <v>97027.68</v>
      </c>
      <c r="AZ264" s="31">
        <v>4077380.3306764234</v>
      </c>
      <c r="BA264" s="31">
        <v>2182574.8695979845</v>
      </c>
      <c r="BB264" s="31">
        <v>2508953.9099464444</v>
      </c>
      <c r="BC264" s="31">
        <f t="shared" si="23"/>
        <v>37356985.688406736</v>
      </c>
      <c r="BD264" s="31">
        <v>12111.570000000002</v>
      </c>
    </row>
    <row r="265" spans="2:56">
      <c r="B265" s="42" t="s">
        <v>569</v>
      </c>
      <c r="C265" s="42" t="s">
        <v>570</v>
      </c>
      <c r="D265" s="43" t="s">
        <v>1049</v>
      </c>
      <c r="E265" s="44">
        <v>32</v>
      </c>
      <c r="F265" s="31">
        <v>569324.36935035675</v>
      </c>
      <c r="G265" s="31">
        <v>0</v>
      </c>
      <c r="H265" s="31">
        <v>0</v>
      </c>
      <c r="I265" s="31">
        <v>0</v>
      </c>
      <c r="J265" s="31">
        <v>58279.029089469484</v>
      </c>
      <c r="K265" s="31">
        <v>86897.163026802955</v>
      </c>
      <c r="L265" s="31">
        <v>0</v>
      </c>
      <c r="M265" s="31">
        <f t="shared" si="20"/>
        <v>714500.56146662915</v>
      </c>
      <c r="N265" s="31">
        <v>0</v>
      </c>
      <c r="P265" s="42" t="s">
        <v>569</v>
      </c>
      <c r="Q265" s="42" t="s">
        <v>570</v>
      </c>
      <c r="R265" s="43" t="s">
        <v>1050</v>
      </c>
      <c r="S265" s="44">
        <v>32</v>
      </c>
      <c r="T265" s="31">
        <v>590685.87499372265</v>
      </c>
      <c r="U265" s="31">
        <v>0</v>
      </c>
      <c r="V265" s="31">
        <v>0</v>
      </c>
      <c r="W265" s="31">
        <v>0</v>
      </c>
      <c r="X265" s="31">
        <v>60248.138203762828</v>
      </c>
      <c r="Y265" s="31">
        <v>86961.414134309467</v>
      </c>
      <c r="Z265" s="31">
        <v>0</v>
      </c>
      <c r="AA265" s="31">
        <f t="shared" si="21"/>
        <v>737895.42733179498</v>
      </c>
      <c r="AB265" s="31">
        <v>0</v>
      </c>
      <c r="AD265" s="42" t="s">
        <v>569</v>
      </c>
      <c r="AE265" s="42" t="s">
        <v>570</v>
      </c>
      <c r="AF265" s="43" t="s">
        <v>1275</v>
      </c>
      <c r="AG265" s="44">
        <v>32</v>
      </c>
      <c r="AH265" s="31">
        <v>602007.54991868895</v>
      </c>
      <c r="AI265" s="31">
        <v>0</v>
      </c>
      <c r="AJ265" s="31">
        <v>0</v>
      </c>
      <c r="AK265" s="31">
        <v>0</v>
      </c>
      <c r="AL265" s="31">
        <v>61363.124176834135</v>
      </c>
      <c r="AM265" s="31">
        <v>86939.586159276456</v>
      </c>
      <c r="AN265" s="31">
        <v>0</v>
      </c>
      <c r="AO265" s="31">
        <f t="shared" si="22"/>
        <v>750310.2602547995</v>
      </c>
      <c r="AP265" s="31">
        <v>0</v>
      </c>
      <c r="AR265" s="42" t="s">
        <v>569</v>
      </c>
      <c r="AS265" s="42" t="s">
        <v>570</v>
      </c>
      <c r="AT265" s="43" t="s">
        <v>1276</v>
      </c>
      <c r="AU265" s="44">
        <v>32</v>
      </c>
      <c r="AV265" s="31">
        <v>612987.39658904774</v>
      </c>
      <c r="AW265" s="31">
        <v>0</v>
      </c>
      <c r="AX265" s="31">
        <v>0</v>
      </c>
      <c r="AY265" s="31">
        <v>0</v>
      </c>
      <c r="AZ265" s="31">
        <v>62491.33537324475</v>
      </c>
      <c r="BA265" s="31">
        <v>86943.059761649245</v>
      </c>
      <c r="BB265" s="31">
        <v>0</v>
      </c>
      <c r="BC265" s="31">
        <f t="shared" si="23"/>
        <v>762421.79172394169</v>
      </c>
      <c r="BD265" s="31">
        <v>0</v>
      </c>
    </row>
    <row r="266" spans="2:56">
      <c r="B266" s="42" t="s">
        <v>421</v>
      </c>
      <c r="C266" s="42" t="s">
        <v>422</v>
      </c>
      <c r="D266" s="43" t="s">
        <v>1049</v>
      </c>
      <c r="E266" s="44">
        <v>32</v>
      </c>
      <c r="F266" s="31">
        <v>6375834.4942030199</v>
      </c>
      <c r="G266" s="31">
        <v>253643.43999999997</v>
      </c>
      <c r="H266" s="31">
        <v>27089.08</v>
      </c>
      <c r="I266" s="31">
        <v>22022.059999999998</v>
      </c>
      <c r="J266" s="31">
        <v>1036368.1797604333</v>
      </c>
      <c r="K266" s="31">
        <v>678197.32459479372</v>
      </c>
      <c r="L266" s="31">
        <v>513844.2943660398</v>
      </c>
      <c r="M266" s="31">
        <f t="shared" si="20"/>
        <v>9133650.662924286</v>
      </c>
      <c r="N266" s="31">
        <v>226651.79</v>
      </c>
      <c r="P266" s="42" t="s">
        <v>421</v>
      </c>
      <c r="Q266" s="42" t="s">
        <v>422</v>
      </c>
      <c r="R266" s="43" t="s">
        <v>1050</v>
      </c>
      <c r="S266" s="44">
        <v>32</v>
      </c>
      <c r="T266" s="31">
        <v>6691037.3847165583</v>
      </c>
      <c r="U266" s="31">
        <v>266515.31000000006</v>
      </c>
      <c r="V266" s="31">
        <v>28129.33</v>
      </c>
      <c r="W266" s="31">
        <v>22867.719999999998</v>
      </c>
      <c r="X266" s="31">
        <v>1071507.6187966871</v>
      </c>
      <c r="Y266" s="31">
        <v>678774.07607931236</v>
      </c>
      <c r="Z266" s="31">
        <v>537309.08477593854</v>
      </c>
      <c r="AA266" s="31">
        <f t="shared" si="21"/>
        <v>9528364.2543684952</v>
      </c>
      <c r="AB266" s="31">
        <v>232223.73</v>
      </c>
      <c r="AD266" s="42" t="s">
        <v>421</v>
      </c>
      <c r="AE266" s="42" t="s">
        <v>422</v>
      </c>
      <c r="AF266" s="43" t="s">
        <v>1275</v>
      </c>
      <c r="AG266" s="44">
        <v>32</v>
      </c>
      <c r="AH266" s="31">
        <v>6819711.4350608345</v>
      </c>
      <c r="AI266" s="31">
        <v>272179.92000000004</v>
      </c>
      <c r="AJ266" s="31">
        <v>28679.580000000005</v>
      </c>
      <c r="AK266" s="31">
        <v>23315.039999999997</v>
      </c>
      <c r="AL266" s="31">
        <v>1091354.5765076915</v>
      </c>
      <c r="AM266" s="31">
        <v>678578.13677969715</v>
      </c>
      <c r="AN266" s="31">
        <v>547658.56775911001</v>
      </c>
      <c r="AO266" s="31">
        <f t="shared" si="22"/>
        <v>9697792.3661073316</v>
      </c>
      <c r="AP266" s="31">
        <v>236315.11</v>
      </c>
      <c r="AR266" s="42" t="s">
        <v>421</v>
      </c>
      <c r="AS266" s="42" t="s">
        <v>422</v>
      </c>
      <c r="AT266" s="43" t="s">
        <v>1276</v>
      </c>
      <c r="AU266" s="44">
        <v>32</v>
      </c>
      <c r="AV266" s="31">
        <v>6945052.2242048904</v>
      </c>
      <c r="AW266" s="31">
        <v>277083.62</v>
      </c>
      <c r="AX266" s="31">
        <v>29203.29</v>
      </c>
      <c r="AY266" s="31">
        <v>23740.799999999999</v>
      </c>
      <c r="AZ266" s="31">
        <v>1111450.9813424186</v>
      </c>
      <c r="BA266" s="31">
        <v>678609.31764805713</v>
      </c>
      <c r="BB266" s="31">
        <v>557754.91113944666</v>
      </c>
      <c r="BC266" s="31">
        <f t="shared" si="23"/>
        <v>9863592.1343348138</v>
      </c>
      <c r="BD266" s="31">
        <v>240696.99000000002</v>
      </c>
    </row>
    <row r="267" spans="2:56">
      <c r="B267" s="42" t="s">
        <v>443</v>
      </c>
      <c r="C267" s="42" t="s">
        <v>444</v>
      </c>
      <c r="D267" s="43" t="s">
        <v>1049</v>
      </c>
      <c r="E267" s="44">
        <v>32</v>
      </c>
      <c r="F267" s="31">
        <v>17552040.264325533</v>
      </c>
      <c r="G267" s="31">
        <v>775197.3600000001</v>
      </c>
      <c r="H267" s="31">
        <v>390478.13999999996</v>
      </c>
      <c r="I267" s="31">
        <v>62783.65</v>
      </c>
      <c r="J267" s="31">
        <v>2801962.5131838545</v>
      </c>
      <c r="K267" s="31">
        <v>1447394.9327474032</v>
      </c>
      <c r="L267" s="31">
        <v>1460433.9602249907</v>
      </c>
      <c r="M267" s="31">
        <f t="shared" si="20"/>
        <v>25119256.480481781</v>
      </c>
      <c r="N267" s="31">
        <v>628965.65999999992</v>
      </c>
      <c r="P267" s="42" t="s">
        <v>443</v>
      </c>
      <c r="Q267" s="42" t="s">
        <v>444</v>
      </c>
      <c r="R267" s="43" t="s">
        <v>1050</v>
      </c>
      <c r="S267" s="44">
        <v>32</v>
      </c>
      <c r="T267" s="31">
        <v>18404958.831742864</v>
      </c>
      <c r="U267" s="31">
        <v>811345.07000000018</v>
      </c>
      <c r="V267" s="31">
        <v>404908.69999999995</v>
      </c>
      <c r="W267" s="31">
        <v>65103.89</v>
      </c>
      <c r="X267" s="31">
        <v>2894900.2124167243</v>
      </c>
      <c r="Y267" s="31">
        <v>1448839.0580175407</v>
      </c>
      <c r="Z267" s="31">
        <v>1526123.6735683172</v>
      </c>
      <c r="AA267" s="31">
        <f t="shared" si="21"/>
        <v>26200889.755745444</v>
      </c>
      <c r="AB267" s="31">
        <v>644710.31999999995</v>
      </c>
      <c r="AD267" s="42" t="s">
        <v>443</v>
      </c>
      <c r="AE267" s="42" t="s">
        <v>444</v>
      </c>
      <c r="AF267" s="43" t="s">
        <v>1275</v>
      </c>
      <c r="AG267" s="44">
        <v>32</v>
      </c>
      <c r="AH267" s="31">
        <v>18759559.738798723</v>
      </c>
      <c r="AI267" s="31">
        <v>828333.72</v>
      </c>
      <c r="AJ267" s="31">
        <v>412847.96999999991</v>
      </c>
      <c r="AK267" s="31">
        <v>66380.41</v>
      </c>
      <c r="AL267" s="31">
        <v>2948951.7082121512</v>
      </c>
      <c r="AM267" s="31">
        <v>1448293.2867997941</v>
      </c>
      <c r="AN267" s="31">
        <v>1555617.4704821827</v>
      </c>
      <c r="AO267" s="31">
        <f t="shared" si="22"/>
        <v>26676255.704292845</v>
      </c>
      <c r="AP267" s="31">
        <v>656271.39999999991</v>
      </c>
      <c r="AR267" s="42" t="s">
        <v>443</v>
      </c>
      <c r="AS267" s="42" t="s">
        <v>444</v>
      </c>
      <c r="AT267" s="43" t="s">
        <v>1276</v>
      </c>
      <c r="AU267" s="44">
        <v>32</v>
      </c>
      <c r="AV267" s="31">
        <v>19109471.359560184</v>
      </c>
      <c r="AW267" s="31">
        <v>843594.37999999989</v>
      </c>
      <c r="AX267" s="31">
        <v>420534.97999999992</v>
      </c>
      <c r="AY267" s="31">
        <v>67616.38</v>
      </c>
      <c r="AZ267" s="31">
        <v>3004064.7575787241</v>
      </c>
      <c r="BA267" s="31">
        <v>1448377.2850111839</v>
      </c>
      <c r="BB267" s="31">
        <v>1584716.2988476923</v>
      </c>
      <c r="BC267" s="31">
        <f t="shared" si="23"/>
        <v>27147028.750997782</v>
      </c>
      <c r="BD267" s="31">
        <v>668653.31000000006</v>
      </c>
    </row>
    <row r="268" spans="2:56">
      <c r="B268" s="42" t="s">
        <v>1022</v>
      </c>
      <c r="C268" s="42" t="s">
        <v>1040</v>
      </c>
      <c r="D268" s="43" t="s">
        <v>1049</v>
      </c>
      <c r="E268" s="44">
        <v>32</v>
      </c>
      <c r="F268" s="31">
        <v>4372247.8882674482</v>
      </c>
      <c r="G268" s="31">
        <v>178752.71000000002</v>
      </c>
      <c r="H268" s="31">
        <v>159104.59</v>
      </c>
      <c r="I268" s="31">
        <v>15244.220000000003</v>
      </c>
      <c r="J268" s="31">
        <v>575890.58804156969</v>
      </c>
      <c r="K268" s="31">
        <v>549892.23</v>
      </c>
      <c r="L268" s="31">
        <v>0</v>
      </c>
      <c r="M268" s="31">
        <f t="shared" si="20"/>
        <v>6004816.6563090179</v>
      </c>
      <c r="N268" s="31">
        <v>153684.43</v>
      </c>
      <c r="P268" s="42" t="s">
        <v>1022</v>
      </c>
      <c r="Q268" s="42" t="s">
        <v>1040</v>
      </c>
      <c r="R268" s="43" t="s">
        <v>1050</v>
      </c>
      <c r="S268" s="44">
        <v>32</v>
      </c>
      <c r="T268" s="31">
        <v>4568811.9363065427</v>
      </c>
      <c r="U268" s="31">
        <v>187191.15999999995</v>
      </c>
      <c r="V268" s="31">
        <v>164984.47000000003</v>
      </c>
      <c r="W268" s="31">
        <v>15807.6</v>
      </c>
      <c r="X268" s="31">
        <v>595115.1583298085</v>
      </c>
      <c r="Y268" s="31">
        <v>549892.23</v>
      </c>
      <c r="Z268" s="31">
        <v>0</v>
      </c>
      <c r="AA268" s="31">
        <f t="shared" si="21"/>
        <v>6239334.1046363497</v>
      </c>
      <c r="AB268" s="31">
        <v>157531.55000000002</v>
      </c>
      <c r="AD268" s="42" t="s">
        <v>1022</v>
      </c>
      <c r="AE268" s="42" t="s">
        <v>1040</v>
      </c>
      <c r="AF268" s="43" t="s">
        <v>1275</v>
      </c>
      <c r="AG268" s="44">
        <v>32</v>
      </c>
      <c r="AH268" s="31">
        <v>4656903.3235018514</v>
      </c>
      <c r="AI268" s="31">
        <v>191125.49</v>
      </c>
      <c r="AJ268" s="31">
        <v>168219.43000000002</v>
      </c>
      <c r="AK268" s="31">
        <v>16117.550000000001</v>
      </c>
      <c r="AL268" s="31">
        <v>606233.51906388067</v>
      </c>
      <c r="AM268" s="31">
        <v>549892.23</v>
      </c>
      <c r="AN268" s="31">
        <v>0</v>
      </c>
      <c r="AO268" s="31">
        <f t="shared" si="22"/>
        <v>6348847.972565731</v>
      </c>
      <c r="AP268" s="31">
        <v>160356.43</v>
      </c>
      <c r="AR268" s="42" t="s">
        <v>1022</v>
      </c>
      <c r="AS268" s="42" t="s">
        <v>1040</v>
      </c>
      <c r="AT268" s="43" t="s">
        <v>1276</v>
      </c>
      <c r="AU268" s="44">
        <v>32</v>
      </c>
      <c r="AV268" s="31">
        <v>4743869.8649587482</v>
      </c>
      <c r="AW268" s="31">
        <v>194644.43000000002</v>
      </c>
      <c r="AX268" s="31">
        <v>171351.6</v>
      </c>
      <c r="AY268" s="31">
        <v>16417.650000000001</v>
      </c>
      <c r="AZ268" s="31">
        <v>617576.08082819823</v>
      </c>
      <c r="BA268" s="31">
        <v>549892.23</v>
      </c>
      <c r="BB268" s="31">
        <v>0</v>
      </c>
      <c r="BC268" s="31">
        <f t="shared" si="23"/>
        <v>6457133.7457869453</v>
      </c>
      <c r="BD268" s="31">
        <v>163381.88999999998</v>
      </c>
    </row>
    <row r="269" spans="2:56">
      <c r="B269" s="42" t="s">
        <v>391</v>
      </c>
      <c r="C269" s="42" t="s">
        <v>392</v>
      </c>
      <c r="D269" s="43" t="s">
        <v>1049</v>
      </c>
      <c r="E269" s="44">
        <v>32</v>
      </c>
      <c r="F269" s="31">
        <v>2004019.8586240229</v>
      </c>
      <c r="G269" s="31">
        <v>81790.639999999985</v>
      </c>
      <c r="H269" s="31">
        <v>32651.61</v>
      </c>
      <c r="I269" s="31">
        <v>5495.8100000000013</v>
      </c>
      <c r="J269" s="31">
        <v>217034.57474780016</v>
      </c>
      <c r="K269" s="31">
        <v>163150.46</v>
      </c>
      <c r="L269" s="31">
        <v>0</v>
      </c>
      <c r="M269" s="31">
        <f t="shared" si="20"/>
        <v>2561364.0733718234</v>
      </c>
      <c r="N269" s="31">
        <v>57221.119999999995</v>
      </c>
      <c r="P269" s="42" t="s">
        <v>391</v>
      </c>
      <c r="Q269" s="42" t="s">
        <v>392</v>
      </c>
      <c r="R269" s="43" t="s">
        <v>1050</v>
      </c>
      <c r="S269" s="44">
        <v>32</v>
      </c>
      <c r="T269" s="31">
        <v>2078503.7028714581</v>
      </c>
      <c r="U269" s="31">
        <v>85563.859999999986</v>
      </c>
      <c r="V269" s="31">
        <v>33872.51</v>
      </c>
      <c r="W269" s="31">
        <v>5701.3200000000006</v>
      </c>
      <c r="X269" s="31">
        <v>224305.71029107145</v>
      </c>
      <c r="Y269" s="31">
        <v>163150.46</v>
      </c>
      <c r="Z269" s="31">
        <v>0</v>
      </c>
      <c r="AA269" s="31">
        <f t="shared" si="21"/>
        <v>2649743.3431625287</v>
      </c>
      <c r="AB269" s="31">
        <v>58645.78</v>
      </c>
      <c r="AD269" s="42" t="s">
        <v>391</v>
      </c>
      <c r="AE269" s="42" t="s">
        <v>392</v>
      </c>
      <c r="AF269" s="43" t="s">
        <v>1275</v>
      </c>
      <c r="AG269" s="44">
        <v>32</v>
      </c>
      <c r="AH269" s="31">
        <v>2118510.7377011459</v>
      </c>
      <c r="AI269" s="31">
        <v>87343.349999999977</v>
      </c>
      <c r="AJ269" s="31">
        <v>34536.19</v>
      </c>
      <c r="AK269" s="31">
        <v>5813.04</v>
      </c>
      <c r="AL269" s="31">
        <v>228489.20494617856</v>
      </c>
      <c r="AM269" s="31">
        <v>163150.46</v>
      </c>
      <c r="AN269" s="31">
        <v>0</v>
      </c>
      <c r="AO269" s="31">
        <f t="shared" si="22"/>
        <v>2697534.8626473243</v>
      </c>
      <c r="AP269" s="31">
        <v>59691.88</v>
      </c>
      <c r="AR269" s="42" t="s">
        <v>391</v>
      </c>
      <c r="AS269" s="42" t="s">
        <v>392</v>
      </c>
      <c r="AT269" s="43" t="s">
        <v>1276</v>
      </c>
      <c r="AU269" s="44">
        <v>32</v>
      </c>
      <c r="AV269" s="31">
        <v>2157809.7067981013</v>
      </c>
      <c r="AW269" s="31">
        <v>88944.799999999988</v>
      </c>
      <c r="AX269" s="31">
        <v>35175.51</v>
      </c>
      <c r="AY269" s="31">
        <v>5920.64</v>
      </c>
      <c r="AZ269" s="31">
        <v>232750.46045378273</v>
      </c>
      <c r="BA269" s="31">
        <v>163150.46</v>
      </c>
      <c r="BB269" s="31">
        <v>0</v>
      </c>
      <c r="BC269" s="31">
        <f t="shared" si="23"/>
        <v>2744563.8272518837</v>
      </c>
      <c r="BD269" s="31">
        <v>60812.249999999993</v>
      </c>
    </row>
    <row r="270" spans="2:56">
      <c r="B270" s="42" t="s">
        <v>221</v>
      </c>
      <c r="C270" s="42" t="s">
        <v>222</v>
      </c>
      <c r="D270" s="43" t="s">
        <v>1049</v>
      </c>
      <c r="E270" s="44">
        <v>32</v>
      </c>
      <c r="F270" s="31">
        <v>2812960.1904540053</v>
      </c>
      <c r="G270" s="31">
        <v>82996.38</v>
      </c>
      <c r="H270" s="31">
        <v>100724.84</v>
      </c>
      <c r="I270" s="31">
        <v>9936.98</v>
      </c>
      <c r="J270" s="31">
        <v>388656.25018119102</v>
      </c>
      <c r="K270" s="31">
        <v>567488.78</v>
      </c>
      <c r="L270" s="31">
        <v>0</v>
      </c>
      <c r="M270" s="31">
        <f t="shared" si="20"/>
        <v>3962763.4206351964</v>
      </c>
      <c r="N270" s="31">
        <v>0</v>
      </c>
      <c r="P270" s="42" t="s">
        <v>221</v>
      </c>
      <c r="Q270" s="42" t="s">
        <v>222</v>
      </c>
      <c r="R270" s="43" t="s">
        <v>1050</v>
      </c>
      <c r="S270" s="44">
        <v>32</v>
      </c>
      <c r="T270" s="31">
        <v>2917995.0383619266</v>
      </c>
      <c r="U270" s="31">
        <v>86063.599999999991</v>
      </c>
      <c r="V270" s="31">
        <v>104447.23999999999</v>
      </c>
      <c r="W270" s="31">
        <v>10304.199999999999</v>
      </c>
      <c r="X270" s="31">
        <v>401594.49262898962</v>
      </c>
      <c r="Y270" s="31">
        <v>567488.78</v>
      </c>
      <c r="Z270" s="31">
        <v>0</v>
      </c>
      <c r="AA270" s="31">
        <f t="shared" si="21"/>
        <v>4087893.3509909166</v>
      </c>
      <c r="AB270" s="31">
        <v>0</v>
      </c>
      <c r="AD270" s="42" t="s">
        <v>221</v>
      </c>
      <c r="AE270" s="42" t="s">
        <v>222</v>
      </c>
      <c r="AF270" s="43" t="s">
        <v>1275</v>
      </c>
      <c r="AG270" s="44">
        <v>32</v>
      </c>
      <c r="AH270" s="31">
        <v>2974304.3121380541</v>
      </c>
      <c r="AI270" s="31">
        <v>87751.07</v>
      </c>
      <c r="AJ270" s="31">
        <v>106495.20000000001</v>
      </c>
      <c r="AK270" s="31">
        <v>10506.249999999998</v>
      </c>
      <c r="AL270" s="31">
        <v>409102.08570557914</v>
      </c>
      <c r="AM270" s="31">
        <v>567488.78</v>
      </c>
      <c r="AN270" s="31">
        <v>0</v>
      </c>
      <c r="AO270" s="31">
        <f t="shared" si="22"/>
        <v>4155647.6978436336</v>
      </c>
      <c r="AP270" s="31">
        <v>0</v>
      </c>
      <c r="AR270" s="42" t="s">
        <v>221</v>
      </c>
      <c r="AS270" s="42" t="s">
        <v>222</v>
      </c>
      <c r="AT270" s="43" t="s">
        <v>1276</v>
      </c>
      <c r="AU270" s="44">
        <v>32</v>
      </c>
      <c r="AV270" s="31">
        <v>3029956.9647861919</v>
      </c>
      <c r="AW270" s="31">
        <v>89384.960000000006</v>
      </c>
      <c r="AX270" s="31">
        <v>108478.08000000002</v>
      </c>
      <c r="AY270" s="31">
        <v>10701.869999999999</v>
      </c>
      <c r="AZ270" s="31">
        <v>416764.74507342943</v>
      </c>
      <c r="BA270" s="31">
        <v>567488.78</v>
      </c>
      <c r="BB270" s="31">
        <v>0</v>
      </c>
      <c r="BC270" s="31">
        <f t="shared" si="23"/>
        <v>4222775.3998596212</v>
      </c>
      <c r="BD270" s="31">
        <v>0</v>
      </c>
    </row>
    <row r="271" spans="2:56">
      <c r="B271" s="42" t="s">
        <v>495</v>
      </c>
      <c r="C271" s="42" t="s">
        <v>496</v>
      </c>
      <c r="D271" s="43" t="s">
        <v>1049</v>
      </c>
      <c r="E271" s="44">
        <v>32</v>
      </c>
      <c r="F271" s="31">
        <v>663445.3646271273</v>
      </c>
      <c r="G271" s="31">
        <v>37905.230000000003</v>
      </c>
      <c r="H271" s="31">
        <v>0</v>
      </c>
      <c r="I271" s="31">
        <v>2046.29</v>
      </c>
      <c r="J271" s="31">
        <v>77745.358989579487</v>
      </c>
      <c r="K271" s="31">
        <v>0</v>
      </c>
      <c r="L271" s="31">
        <v>0</v>
      </c>
      <c r="M271" s="31">
        <f t="shared" si="20"/>
        <v>801994.99361670681</v>
      </c>
      <c r="N271" s="31">
        <v>20852.75</v>
      </c>
      <c r="P271" s="42" t="s">
        <v>495</v>
      </c>
      <c r="Q271" s="42" t="s">
        <v>496</v>
      </c>
      <c r="R271" s="43" t="s">
        <v>1050</v>
      </c>
      <c r="S271" s="44">
        <v>32</v>
      </c>
      <c r="T271" s="31">
        <v>698425.62401890371</v>
      </c>
      <c r="U271" s="31">
        <v>39648.959999999999</v>
      </c>
      <c r="V271" s="31">
        <v>0</v>
      </c>
      <c r="W271" s="31">
        <v>2124.87</v>
      </c>
      <c r="X271" s="31">
        <v>80371.938997039804</v>
      </c>
      <c r="Y271" s="31">
        <v>0</v>
      </c>
      <c r="Z271" s="31">
        <v>0</v>
      </c>
      <c r="AA271" s="31">
        <f t="shared" si="21"/>
        <v>841936.77301594347</v>
      </c>
      <c r="AB271" s="31">
        <v>21365.380000000005</v>
      </c>
      <c r="AD271" s="42" t="s">
        <v>495</v>
      </c>
      <c r="AE271" s="42" t="s">
        <v>496</v>
      </c>
      <c r="AF271" s="43" t="s">
        <v>1275</v>
      </c>
      <c r="AG271" s="44">
        <v>32</v>
      </c>
      <c r="AH271" s="31">
        <v>711862.24706126191</v>
      </c>
      <c r="AI271" s="31">
        <v>40466.040000000008</v>
      </c>
      <c r="AJ271" s="31">
        <v>0</v>
      </c>
      <c r="AK271" s="31">
        <v>2166.4499999999998</v>
      </c>
      <c r="AL271" s="31">
        <v>81859.334455844859</v>
      </c>
      <c r="AM271" s="31">
        <v>0</v>
      </c>
      <c r="AN271" s="31">
        <v>0</v>
      </c>
      <c r="AO271" s="31">
        <f t="shared" si="22"/>
        <v>858095.88151710678</v>
      </c>
      <c r="AP271" s="31">
        <v>21741.81</v>
      </c>
      <c r="AR271" s="42" t="s">
        <v>495</v>
      </c>
      <c r="AS271" s="42" t="s">
        <v>496</v>
      </c>
      <c r="AT271" s="43" t="s">
        <v>1276</v>
      </c>
      <c r="AU271" s="44">
        <v>32</v>
      </c>
      <c r="AV271" s="31">
        <v>724922.50656100758</v>
      </c>
      <c r="AW271" s="31">
        <v>41198.880000000005</v>
      </c>
      <c r="AX271" s="31">
        <v>0</v>
      </c>
      <c r="AY271" s="31">
        <v>2206.02</v>
      </c>
      <c r="AZ271" s="31">
        <v>83364.361738224659</v>
      </c>
      <c r="BA271" s="31">
        <v>0</v>
      </c>
      <c r="BB271" s="31">
        <v>0</v>
      </c>
      <c r="BC271" s="31">
        <f t="shared" si="23"/>
        <v>873836.71829923219</v>
      </c>
      <c r="BD271" s="31">
        <v>22144.95</v>
      </c>
    </row>
    <row r="272" spans="2:56">
      <c r="B272" s="42" t="s">
        <v>371</v>
      </c>
      <c r="C272" s="42" t="s">
        <v>372</v>
      </c>
      <c r="D272" s="43" t="s">
        <v>1049</v>
      </c>
      <c r="E272" s="44">
        <v>32</v>
      </c>
      <c r="F272" s="31">
        <v>86685427.923103526</v>
      </c>
      <c r="G272" s="31">
        <v>1980432.78</v>
      </c>
      <c r="H272" s="31">
        <v>726201.79999999993</v>
      </c>
      <c r="I272" s="31">
        <v>306364.68000000005</v>
      </c>
      <c r="J272" s="31">
        <v>12044673.861620503</v>
      </c>
      <c r="K272" s="31">
        <v>4521571.2075299555</v>
      </c>
      <c r="L272" s="31">
        <v>6313522.3172095455</v>
      </c>
      <c r="M272" s="31">
        <f t="shared" si="20"/>
        <v>112715051.11946353</v>
      </c>
      <c r="N272" s="31">
        <v>136856.54999999999</v>
      </c>
      <c r="P272" s="42" t="s">
        <v>371</v>
      </c>
      <c r="Q272" s="42" t="s">
        <v>372</v>
      </c>
      <c r="R272" s="43" t="s">
        <v>1050</v>
      </c>
      <c r="S272" s="44">
        <v>32</v>
      </c>
      <c r="T272" s="31">
        <v>89956778.695817277</v>
      </c>
      <c r="U272" s="31">
        <v>2056194.27</v>
      </c>
      <c r="V272" s="31">
        <v>753355.64000000013</v>
      </c>
      <c r="W272" s="31">
        <v>317820.15999999997</v>
      </c>
      <c r="X272" s="31">
        <v>12446915.849321231</v>
      </c>
      <c r="Y272" s="31">
        <v>4526336.301845816</v>
      </c>
      <c r="Z272" s="31">
        <v>6534602.0670237252</v>
      </c>
      <c r="AA272" s="31">
        <f t="shared" si="21"/>
        <v>116732266.88400805</v>
      </c>
      <c r="AB272" s="31">
        <v>140263.9</v>
      </c>
      <c r="AD272" s="42" t="s">
        <v>371</v>
      </c>
      <c r="AE272" s="42" t="s">
        <v>372</v>
      </c>
      <c r="AF272" s="43" t="s">
        <v>1275</v>
      </c>
      <c r="AG272" s="44">
        <v>32</v>
      </c>
      <c r="AH272" s="31">
        <v>91689292.811100498</v>
      </c>
      <c r="AI272" s="31">
        <v>2096728.8600000003</v>
      </c>
      <c r="AJ272" s="31">
        <v>768116.6</v>
      </c>
      <c r="AK272" s="31">
        <v>324047.40999999997</v>
      </c>
      <c r="AL272" s="31">
        <v>12678754.12892138</v>
      </c>
      <c r="AM272" s="31">
        <v>4524593.7325522341</v>
      </c>
      <c r="AN272" s="31">
        <v>6660745.8676238665</v>
      </c>
      <c r="AO272" s="31">
        <f t="shared" si="22"/>
        <v>118885045.30019796</v>
      </c>
      <c r="AP272" s="31">
        <v>142765.89000000001</v>
      </c>
      <c r="AR272" s="42" t="s">
        <v>371</v>
      </c>
      <c r="AS272" s="42" t="s">
        <v>372</v>
      </c>
      <c r="AT272" s="43" t="s">
        <v>1276</v>
      </c>
      <c r="AU272" s="44">
        <v>32</v>
      </c>
      <c r="AV272" s="31">
        <v>93392625.325010866</v>
      </c>
      <c r="AW272" s="31">
        <v>2135505.21</v>
      </c>
      <c r="AX272" s="31">
        <v>782335.44</v>
      </c>
      <c r="AY272" s="31">
        <v>330045.96000000002</v>
      </c>
      <c r="AZ272" s="31">
        <v>12914651.073323073</v>
      </c>
      <c r="BA272" s="31">
        <v>4524864.6367732538</v>
      </c>
      <c r="BB272" s="31">
        <v>6784796.3875684952</v>
      </c>
      <c r="BC272" s="31">
        <f t="shared" si="23"/>
        <v>121010269.53267567</v>
      </c>
      <c r="BD272" s="31">
        <v>145445.5</v>
      </c>
    </row>
    <row r="273" spans="2:56">
      <c r="B273" s="42" t="s">
        <v>595</v>
      </c>
      <c r="C273" s="42" t="s">
        <v>596</v>
      </c>
      <c r="D273" s="43" t="s">
        <v>1049</v>
      </c>
      <c r="E273" s="44">
        <v>32</v>
      </c>
      <c r="F273" s="31">
        <v>53208260.677478388</v>
      </c>
      <c r="G273" s="31">
        <v>3767720.63</v>
      </c>
      <c r="H273" s="31">
        <v>3086693.38</v>
      </c>
      <c r="I273" s="31">
        <v>180658.84</v>
      </c>
      <c r="J273" s="31">
        <v>7850638.4012261145</v>
      </c>
      <c r="K273" s="31">
        <v>3065070.5969906682</v>
      </c>
      <c r="L273" s="31">
        <v>2349537.1804656349</v>
      </c>
      <c r="M273" s="31">
        <f t="shared" si="20"/>
        <v>75362232.776160821</v>
      </c>
      <c r="N273" s="31">
        <v>1853653.07</v>
      </c>
      <c r="P273" s="42" t="s">
        <v>595</v>
      </c>
      <c r="Q273" s="42" t="s">
        <v>596</v>
      </c>
      <c r="R273" s="43" t="s">
        <v>1050</v>
      </c>
      <c r="S273" s="44">
        <v>32</v>
      </c>
      <c r="T273" s="31">
        <v>55822419.85212791</v>
      </c>
      <c r="U273" s="31">
        <v>3938017.4899999993</v>
      </c>
      <c r="V273" s="31">
        <v>3205225.5399999996</v>
      </c>
      <c r="W273" s="31">
        <v>187596.31</v>
      </c>
      <c r="X273" s="31">
        <v>8116684.6477957591</v>
      </c>
      <c r="Y273" s="31">
        <v>3068178.358845924</v>
      </c>
      <c r="Z273" s="31">
        <v>2456648.2780791773</v>
      </c>
      <c r="AA273" s="31">
        <f t="shared" si="21"/>
        <v>78693993.126848787</v>
      </c>
      <c r="AB273" s="31">
        <v>1899222.6500000001</v>
      </c>
      <c r="AD273" s="42" t="s">
        <v>595</v>
      </c>
      <c r="AE273" s="42" t="s">
        <v>596</v>
      </c>
      <c r="AF273" s="43" t="s">
        <v>1275</v>
      </c>
      <c r="AG273" s="44">
        <v>32</v>
      </c>
      <c r="AH273" s="31">
        <v>56895860.160594955</v>
      </c>
      <c r="AI273" s="31">
        <v>4018740.2699999996</v>
      </c>
      <c r="AJ273" s="31">
        <v>3267923.8499999996</v>
      </c>
      <c r="AK273" s="31">
        <v>191265.92000000001</v>
      </c>
      <c r="AL273" s="31">
        <v>8267026.42831631</v>
      </c>
      <c r="AM273" s="31">
        <v>3067122.5615092292</v>
      </c>
      <c r="AN273" s="31">
        <v>2503967.7172536319</v>
      </c>
      <c r="AO273" s="31">
        <f t="shared" si="22"/>
        <v>80144590.657674104</v>
      </c>
      <c r="AP273" s="31">
        <v>1932683.7500000002</v>
      </c>
      <c r="AR273" s="42" t="s">
        <v>595</v>
      </c>
      <c r="AS273" s="42" t="s">
        <v>596</v>
      </c>
      <c r="AT273" s="43" t="s">
        <v>1276</v>
      </c>
      <c r="AU273" s="44">
        <v>32</v>
      </c>
      <c r="AV273" s="31">
        <v>57942219.218136512</v>
      </c>
      <c r="AW273" s="31">
        <v>4091581.95</v>
      </c>
      <c r="AX273" s="31">
        <v>3327599.1599999997</v>
      </c>
      <c r="AY273" s="31">
        <v>194758.61000000002</v>
      </c>
      <c r="AZ273" s="31">
        <v>8419258.233220946</v>
      </c>
      <c r="BA273" s="31">
        <v>3067290.5761843603</v>
      </c>
      <c r="BB273" s="31">
        <v>2550129.6344852727</v>
      </c>
      <c r="BC273" s="31">
        <f t="shared" si="23"/>
        <v>81561357.952027082</v>
      </c>
      <c r="BD273" s="31">
        <v>1968520.57</v>
      </c>
    </row>
    <row r="274" spans="2:56">
      <c r="B274" s="42" t="s">
        <v>237</v>
      </c>
      <c r="C274" s="42" t="s">
        <v>238</v>
      </c>
      <c r="D274" s="43" t="s">
        <v>1049</v>
      </c>
      <c r="E274" s="44">
        <v>32</v>
      </c>
      <c r="F274" s="31">
        <v>2273242.2756274929</v>
      </c>
      <c r="G274" s="31">
        <v>39522.080000000002</v>
      </c>
      <c r="H274" s="31">
        <v>0</v>
      </c>
      <c r="I274" s="31">
        <v>0</v>
      </c>
      <c r="J274" s="31">
        <v>106546.04957334505</v>
      </c>
      <c r="K274" s="31">
        <v>68769.66</v>
      </c>
      <c r="L274" s="31">
        <v>37412.189998806687</v>
      </c>
      <c r="M274" s="31">
        <f t="shared" si="20"/>
        <v>2553609.3851996446</v>
      </c>
      <c r="N274" s="31">
        <v>28117.13</v>
      </c>
      <c r="P274" s="42" t="s">
        <v>237</v>
      </c>
      <c r="Q274" s="42" t="s">
        <v>238</v>
      </c>
      <c r="R274" s="43" t="s">
        <v>1050</v>
      </c>
      <c r="S274" s="44">
        <v>32</v>
      </c>
      <c r="T274" s="31">
        <v>2359471.343200135</v>
      </c>
      <c r="U274" s="31">
        <v>41317.920000000013</v>
      </c>
      <c r="V274" s="31">
        <v>0</v>
      </c>
      <c r="W274" s="31">
        <v>0</v>
      </c>
      <c r="X274" s="31">
        <v>110101.34771019369</v>
      </c>
      <c r="Y274" s="31">
        <v>68769.66</v>
      </c>
      <c r="Z274" s="31">
        <v>39063.283960839995</v>
      </c>
      <c r="AA274" s="31">
        <f t="shared" si="21"/>
        <v>2647544.5248711691</v>
      </c>
      <c r="AB274" s="31">
        <v>28820.97</v>
      </c>
      <c r="AD274" s="42" t="s">
        <v>237</v>
      </c>
      <c r="AE274" s="42" t="s">
        <v>238</v>
      </c>
      <c r="AF274" s="43" t="s">
        <v>1275</v>
      </c>
      <c r="AG274" s="44">
        <v>32</v>
      </c>
      <c r="AH274" s="31">
        <v>2404724.7972661024</v>
      </c>
      <c r="AI274" s="31">
        <v>42176.37000000001</v>
      </c>
      <c r="AJ274" s="31">
        <v>0</v>
      </c>
      <c r="AK274" s="31">
        <v>0</v>
      </c>
      <c r="AL274" s="31">
        <v>112158.53526606073</v>
      </c>
      <c r="AM274" s="31">
        <v>68769.66</v>
      </c>
      <c r="AN274" s="31">
        <v>39818.229239457753</v>
      </c>
      <c r="AO274" s="31">
        <f t="shared" si="22"/>
        <v>2696985.3817716213</v>
      </c>
      <c r="AP274" s="31">
        <v>29337.789999999997</v>
      </c>
      <c r="AR274" s="42" t="s">
        <v>237</v>
      </c>
      <c r="AS274" s="42" t="s">
        <v>238</v>
      </c>
      <c r="AT274" s="43" t="s">
        <v>1276</v>
      </c>
      <c r="AU274" s="44">
        <v>32</v>
      </c>
      <c r="AV274" s="31">
        <v>2449132.967625835</v>
      </c>
      <c r="AW274" s="31">
        <v>42954.389999999992</v>
      </c>
      <c r="AX274" s="31">
        <v>0</v>
      </c>
      <c r="AY274" s="31">
        <v>0</v>
      </c>
      <c r="AZ274" s="31">
        <v>114257.35816839349</v>
      </c>
      <c r="BA274" s="31">
        <v>68769.66</v>
      </c>
      <c r="BB274" s="31">
        <v>40563.080927497365</v>
      </c>
      <c r="BC274" s="31">
        <f t="shared" si="23"/>
        <v>2745568.7767217257</v>
      </c>
      <c r="BD274" s="31">
        <v>29891.32</v>
      </c>
    </row>
    <row r="275" spans="2:56">
      <c r="B275" s="42" t="s">
        <v>365</v>
      </c>
      <c r="C275" s="42" t="s">
        <v>366</v>
      </c>
      <c r="D275" s="43" t="s">
        <v>1049</v>
      </c>
      <c r="E275" s="44">
        <v>32</v>
      </c>
      <c r="F275" s="31">
        <v>238270948.37931061</v>
      </c>
      <c r="G275" s="31">
        <v>10841948.199999999</v>
      </c>
      <c r="H275" s="31">
        <v>5127271.330000001</v>
      </c>
      <c r="I275" s="31">
        <v>846032.10000000009</v>
      </c>
      <c r="J275" s="31">
        <v>38062383.343127437</v>
      </c>
      <c r="K275" s="31">
        <v>14300110.210898036</v>
      </c>
      <c r="L275" s="31">
        <v>18828001.909984902</v>
      </c>
      <c r="M275" s="31">
        <f t="shared" si="20"/>
        <v>331969604.60332096</v>
      </c>
      <c r="N275" s="31">
        <v>5692909.1300000008</v>
      </c>
      <c r="P275" s="42" t="s">
        <v>365</v>
      </c>
      <c r="Q275" s="42" t="s">
        <v>366</v>
      </c>
      <c r="R275" s="43" t="s">
        <v>1050</v>
      </c>
      <c r="S275" s="44">
        <v>32</v>
      </c>
      <c r="T275" s="31">
        <v>249731946.73503906</v>
      </c>
      <c r="U275" s="31">
        <v>11318475.029999999</v>
      </c>
      <c r="V275" s="31">
        <v>5318988.2399999993</v>
      </c>
      <c r="W275" s="31">
        <v>877666.59</v>
      </c>
      <c r="X275" s="31">
        <v>39333434.25901781</v>
      </c>
      <c r="Y275" s="31">
        <v>14314426.794822108</v>
      </c>
      <c r="Z275" s="31">
        <v>19678668.359182592</v>
      </c>
      <c r="AA275" s="31">
        <f t="shared" si="21"/>
        <v>346408253.18806159</v>
      </c>
      <c r="AB275" s="31">
        <v>5834647.1800000016</v>
      </c>
      <c r="AD275" s="42" t="s">
        <v>365</v>
      </c>
      <c r="AE275" s="42" t="s">
        <v>366</v>
      </c>
      <c r="AF275" s="43" t="s">
        <v>1275</v>
      </c>
      <c r="AG275" s="44">
        <v>32</v>
      </c>
      <c r="AH275" s="31">
        <v>254534110.87164</v>
      </c>
      <c r="AI275" s="31">
        <v>11550490.489999998</v>
      </c>
      <c r="AJ275" s="31">
        <v>5423206.4500000002</v>
      </c>
      <c r="AK275" s="31">
        <v>894863.25000000012</v>
      </c>
      <c r="AL275" s="31">
        <v>40066086.790967628</v>
      </c>
      <c r="AM275" s="31">
        <v>14309191.297289135</v>
      </c>
      <c r="AN275" s="31">
        <v>20058589.097996503</v>
      </c>
      <c r="AO275" s="31">
        <f t="shared" si="22"/>
        <v>352775261.66789335</v>
      </c>
      <c r="AP275" s="31">
        <v>5938723.4200000009</v>
      </c>
      <c r="AR275" s="42" t="s">
        <v>365</v>
      </c>
      <c r="AS275" s="42" t="s">
        <v>366</v>
      </c>
      <c r="AT275" s="43" t="s">
        <v>1276</v>
      </c>
      <c r="AU275" s="44">
        <v>32</v>
      </c>
      <c r="AV275" s="31">
        <v>259261315.47027695</v>
      </c>
      <c r="AW275" s="31">
        <v>11762772.939999998</v>
      </c>
      <c r="AX275" s="31">
        <v>5523597.0500000007</v>
      </c>
      <c r="AY275" s="31">
        <v>911428.35</v>
      </c>
      <c r="AZ275" s="31">
        <v>40811582.481544696</v>
      </c>
      <c r="BA275" s="31">
        <v>14310005.220951192</v>
      </c>
      <c r="BB275" s="31">
        <v>20432132.13906496</v>
      </c>
      <c r="BC275" s="31">
        <f t="shared" si="23"/>
        <v>359063022.70183784</v>
      </c>
      <c r="BD275" s="31">
        <v>6050189.0500000007</v>
      </c>
    </row>
    <row r="276" spans="2:56">
      <c r="B276" s="42" t="s">
        <v>153</v>
      </c>
      <c r="C276" s="42" t="s">
        <v>154</v>
      </c>
      <c r="D276" s="43" t="s">
        <v>1049</v>
      </c>
      <c r="E276" s="44">
        <v>32</v>
      </c>
      <c r="F276" s="31">
        <v>2193906.3891239888</v>
      </c>
      <c r="G276" s="31">
        <v>76492.540000000008</v>
      </c>
      <c r="H276" s="31">
        <v>0</v>
      </c>
      <c r="I276" s="31">
        <v>0</v>
      </c>
      <c r="J276" s="31">
        <v>195989.93451589323</v>
      </c>
      <c r="K276" s="31">
        <v>111849.42634267254</v>
      </c>
      <c r="L276" s="31">
        <v>31852.027890368867</v>
      </c>
      <c r="M276" s="31">
        <f t="shared" si="20"/>
        <v>2655790.9578729235</v>
      </c>
      <c r="N276" s="31">
        <v>45700.639999999999</v>
      </c>
      <c r="P276" s="42" t="s">
        <v>153</v>
      </c>
      <c r="Q276" s="42" t="s">
        <v>154</v>
      </c>
      <c r="R276" s="43" t="s">
        <v>1050</v>
      </c>
      <c r="S276" s="44">
        <v>32</v>
      </c>
      <c r="T276" s="31">
        <v>2288920.0813555634</v>
      </c>
      <c r="U276" s="31">
        <v>80061.409999999989</v>
      </c>
      <c r="V276" s="31">
        <v>0</v>
      </c>
      <c r="W276" s="31">
        <v>0</v>
      </c>
      <c r="X276" s="31">
        <v>202634.93901011359</v>
      </c>
      <c r="Y276" s="31">
        <v>111931.26191209196</v>
      </c>
      <c r="Z276" s="31">
        <v>33290.512425798908</v>
      </c>
      <c r="AA276" s="31">
        <f t="shared" si="21"/>
        <v>2763662.3347035679</v>
      </c>
      <c r="AB276" s="31">
        <v>46824.130000000005</v>
      </c>
      <c r="AD276" s="42" t="s">
        <v>153</v>
      </c>
      <c r="AE276" s="42" t="s">
        <v>154</v>
      </c>
      <c r="AF276" s="43" t="s">
        <v>1275</v>
      </c>
      <c r="AG276" s="44">
        <v>32</v>
      </c>
      <c r="AH276" s="31">
        <v>2332778.6577847651</v>
      </c>
      <c r="AI276" s="31">
        <v>81718.489999999991</v>
      </c>
      <c r="AJ276" s="31">
        <v>0</v>
      </c>
      <c r="AK276" s="31">
        <v>0</v>
      </c>
      <c r="AL276" s="31">
        <v>206388.7876736793</v>
      </c>
      <c r="AM276" s="31">
        <v>111903.45998251559</v>
      </c>
      <c r="AN276" s="31">
        <v>33931.667254582077</v>
      </c>
      <c r="AO276" s="31">
        <f t="shared" si="22"/>
        <v>2814370.1526955417</v>
      </c>
      <c r="AP276" s="31">
        <v>47649.090000000004</v>
      </c>
      <c r="AR276" s="42" t="s">
        <v>153</v>
      </c>
      <c r="AS276" s="42" t="s">
        <v>154</v>
      </c>
      <c r="AT276" s="43" t="s">
        <v>1276</v>
      </c>
      <c r="AU276" s="44">
        <v>32</v>
      </c>
      <c r="AV276" s="31">
        <v>2375330.4441367211</v>
      </c>
      <c r="AW276" s="31">
        <v>83197.330000000016</v>
      </c>
      <c r="AX276" s="31">
        <v>0</v>
      </c>
      <c r="AY276" s="31">
        <v>0</v>
      </c>
      <c r="AZ276" s="31">
        <v>210190.26346399661</v>
      </c>
      <c r="BA276" s="31">
        <v>111907.88425221533</v>
      </c>
      <c r="BB276" s="31">
        <v>34557.10453580886</v>
      </c>
      <c r="BC276" s="31">
        <f t="shared" si="23"/>
        <v>2863715.6463887421</v>
      </c>
      <c r="BD276" s="31">
        <v>48532.62</v>
      </c>
    </row>
    <row r="277" spans="2:56">
      <c r="B277" s="42" t="s">
        <v>207</v>
      </c>
      <c r="C277" s="42" t="s">
        <v>208</v>
      </c>
      <c r="D277" s="43" t="s">
        <v>1049</v>
      </c>
      <c r="E277" s="44">
        <v>32</v>
      </c>
      <c r="F277" s="31">
        <v>80825810.915182307</v>
      </c>
      <c r="G277" s="31">
        <v>848611.08</v>
      </c>
      <c r="H277" s="31">
        <v>679424.10999999987</v>
      </c>
      <c r="I277" s="31">
        <v>290317.37</v>
      </c>
      <c r="J277" s="31">
        <v>11316501.292153418</v>
      </c>
      <c r="K277" s="31">
        <v>4351248.9134863839</v>
      </c>
      <c r="L277" s="31">
        <v>5790616.7415911825</v>
      </c>
      <c r="M277" s="31">
        <f t="shared" si="20"/>
        <v>104102530.42241329</v>
      </c>
      <c r="N277" s="31">
        <v>0</v>
      </c>
      <c r="P277" s="42" t="s">
        <v>207</v>
      </c>
      <c r="Q277" s="42" t="s">
        <v>208</v>
      </c>
      <c r="R277" s="43" t="s">
        <v>1050</v>
      </c>
      <c r="S277" s="44">
        <v>32</v>
      </c>
      <c r="T277" s="31">
        <v>83832184.197858378</v>
      </c>
      <c r="U277" s="31">
        <v>879744.23999999987</v>
      </c>
      <c r="V277" s="31">
        <v>704350.28000000014</v>
      </c>
      <c r="W277" s="31">
        <v>300968.3</v>
      </c>
      <c r="X277" s="31">
        <v>11690827.980854392</v>
      </c>
      <c r="Y277" s="31">
        <v>4354034.3781427974</v>
      </c>
      <c r="Z277" s="31">
        <v>5991066.7768961741</v>
      </c>
      <c r="AA277" s="31">
        <f t="shared" si="21"/>
        <v>107753176.15375175</v>
      </c>
      <c r="AB277" s="31">
        <v>0</v>
      </c>
      <c r="AD277" s="42" t="s">
        <v>207</v>
      </c>
      <c r="AE277" s="42" t="s">
        <v>208</v>
      </c>
      <c r="AF277" s="43" t="s">
        <v>1275</v>
      </c>
      <c r="AG277" s="44">
        <v>32</v>
      </c>
      <c r="AH277" s="31">
        <v>85450117.171404079</v>
      </c>
      <c r="AI277" s="31">
        <v>897001.48</v>
      </c>
      <c r="AJ277" s="31">
        <v>718166.96000000008</v>
      </c>
      <c r="AK277" s="31">
        <v>306872.15999999997</v>
      </c>
      <c r="AL277" s="31">
        <v>11909380.17678038</v>
      </c>
      <c r="AM277" s="31">
        <v>4352981.6810749201</v>
      </c>
      <c r="AN277" s="31">
        <v>6106900.4594201874</v>
      </c>
      <c r="AO277" s="31">
        <f t="shared" si="22"/>
        <v>109741420.08867957</v>
      </c>
      <c r="AP277" s="31">
        <v>0</v>
      </c>
      <c r="AR277" s="42" t="s">
        <v>207</v>
      </c>
      <c r="AS277" s="42" t="s">
        <v>208</v>
      </c>
      <c r="AT277" s="43" t="s">
        <v>1276</v>
      </c>
      <c r="AU277" s="44">
        <v>32</v>
      </c>
      <c r="AV277" s="31">
        <v>87048127.825026885</v>
      </c>
      <c r="AW277" s="31">
        <v>913763.11999999988</v>
      </c>
      <c r="AX277" s="31">
        <v>731586.8600000001</v>
      </c>
      <c r="AY277" s="31">
        <v>312606.45999999996</v>
      </c>
      <c r="AZ277" s="31">
        <v>12132448.538780726</v>
      </c>
      <c r="BA277" s="31">
        <v>4353143.6989094298</v>
      </c>
      <c r="BB277" s="31">
        <v>6221389.0333624864</v>
      </c>
      <c r="BC277" s="31">
        <f t="shared" si="23"/>
        <v>111713065.53607954</v>
      </c>
      <c r="BD277" s="31">
        <v>0</v>
      </c>
    </row>
    <row r="278" spans="2:56">
      <c r="B278" s="42" t="s">
        <v>559</v>
      </c>
      <c r="C278" s="42" t="s">
        <v>560</v>
      </c>
      <c r="D278" s="43" t="s">
        <v>1049</v>
      </c>
      <c r="E278" s="44">
        <v>32</v>
      </c>
      <c r="F278" s="31">
        <v>2385407.5437095566</v>
      </c>
      <c r="G278" s="31">
        <v>81311.040000000008</v>
      </c>
      <c r="H278" s="31">
        <v>0</v>
      </c>
      <c r="I278" s="31">
        <v>0</v>
      </c>
      <c r="J278" s="31">
        <v>263188.72508553398</v>
      </c>
      <c r="K278" s="31">
        <v>144064.7140680064</v>
      </c>
      <c r="L278" s="31">
        <v>224894.25219391473</v>
      </c>
      <c r="M278" s="31">
        <f t="shared" si="20"/>
        <v>3155662.9350570119</v>
      </c>
      <c r="N278" s="31">
        <v>56796.66</v>
      </c>
      <c r="P278" s="42" t="s">
        <v>559</v>
      </c>
      <c r="Q278" s="42" t="s">
        <v>560</v>
      </c>
      <c r="R278" s="43" t="s">
        <v>1050</v>
      </c>
      <c r="S278" s="44">
        <v>32</v>
      </c>
      <c r="T278" s="31">
        <v>2490400.8927939283</v>
      </c>
      <c r="U278" s="31">
        <v>85162.26</v>
      </c>
      <c r="V278" s="31">
        <v>0</v>
      </c>
      <c r="W278" s="31">
        <v>0</v>
      </c>
      <c r="X278" s="31">
        <v>272070.00237414427</v>
      </c>
      <c r="Y278" s="31">
        <v>144200.67183978902</v>
      </c>
      <c r="Z278" s="31">
        <v>235148.52573230019</v>
      </c>
      <c r="AA278" s="31">
        <f t="shared" si="21"/>
        <v>3285181.6227401616</v>
      </c>
      <c r="AB278" s="31">
        <v>58199.270000000004</v>
      </c>
      <c r="AD278" s="42" t="s">
        <v>559</v>
      </c>
      <c r="AE278" s="42" t="s">
        <v>560</v>
      </c>
      <c r="AF278" s="43" t="s">
        <v>1275</v>
      </c>
      <c r="AG278" s="44">
        <v>32</v>
      </c>
      <c r="AH278" s="31">
        <v>2538100.4858987494</v>
      </c>
      <c r="AI278" s="31">
        <v>86938.329999999987</v>
      </c>
      <c r="AJ278" s="31">
        <v>0</v>
      </c>
      <c r="AK278" s="31">
        <v>0</v>
      </c>
      <c r="AL278" s="31">
        <v>277117.51416196424</v>
      </c>
      <c r="AM278" s="31">
        <v>144154.48301965525</v>
      </c>
      <c r="AN278" s="31">
        <v>239681.019407015</v>
      </c>
      <c r="AO278" s="31">
        <f t="shared" si="22"/>
        <v>3345221.0224873838</v>
      </c>
      <c r="AP278" s="31">
        <v>59229.19</v>
      </c>
      <c r="AR278" s="42" t="s">
        <v>559</v>
      </c>
      <c r="AS278" s="42" t="s">
        <v>560</v>
      </c>
      <c r="AT278" s="43" t="s">
        <v>1276</v>
      </c>
      <c r="AU278" s="44">
        <v>32</v>
      </c>
      <c r="AV278" s="31">
        <v>2584559.8231729153</v>
      </c>
      <c r="AW278" s="31">
        <v>88517.46</v>
      </c>
      <c r="AX278" s="31">
        <v>0</v>
      </c>
      <c r="AY278" s="31">
        <v>0</v>
      </c>
      <c r="AZ278" s="31">
        <v>282235.27490233065</v>
      </c>
      <c r="BA278" s="31">
        <v>144161.83329355702</v>
      </c>
      <c r="BB278" s="31">
        <v>244111.9791999945</v>
      </c>
      <c r="BC278" s="31">
        <f t="shared" si="23"/>
        <v>3403918.6105687977</v>
      </c>
      <c r="BD278" s="31">
        <v>60332.240000000005</v>
      </c>
    </row>
    <row r="279" spans="2:56">
      <c r="B279" s="42" t="s">
        <v>521</v>
      </c>
      <c r="C279" s="42" t="s">
        <v>522</v>
      </c>
      <c r="D279" s="43" t="s">
        <v>1049</v>
      </c>
      <c r="E279" s="44">
        <v>32</v>
      </c>
      <c r="F279" s="31">
        <v>9697119.9903491549</v>
      </c>
      <c r="G279" s="31">
        <v>368236.07000000007</v>
      </c>
      <c r="H279" s="31">
        <v>15590.83</v>
      </c>
      <c r="I279" s="31">
        <v>34689.61</v>
      </c>
      <c r="J279" s="31">
        <v>1565830.9646135771</v>
      </c>
      <c r="K279" s="31">
        <v>1070938.6963558714</v>
      </c>
      <c r="L279" s="31">
        <v>1047941.0990938218</v>
      </c>
      <c r="M279" s="31">
        <f t="shared" si="20"/>
        <v>14043856.650412425</v>
      </c>
      <c r="N279" s="31">
        <v>243509.39</v>
      </c>
      <c r="P279" s="42" t="s">
        <v>521</v>
      </c>
      <c r="Q279" s="42" t="s">
        <v>522</v>
      </c>
      <c r="R279" s="43" t="s">
        <v>1050</v>
      </c>
      <c r="S279" s="44">
        <v>32</v>
      </c>
      <c r="T279" s="31">
        <v>10071463.251811363</v>
      </c>
      <c r="U279" s="31">
        <v>385741.36</v>
      </c>
      <c r="V279" s="31">
        <v>16189.540000000003</v>
      </c>
      <c r="W279" s="31">
        <v>36021.729999999996</v>
      </c>
      <c r="X279" s="31">
        <v>1618893.5240397668</v>
      </c>
      <c r="Y279" s="31">
        <v>1072026.763153292</v>
      </c>
      <c r="Z279" s="31">
        <v>1085280.6696812985</v>
      </c>
      <c r="AA279" s="31">
        <f t="shared" si="21"/>
        <v>14535112.578685721</v>
      </c>
      <c r="AB279" s="31">
        <v>249495.74000000002</v>
      </c>
      <c r="AD279" s="42" t="s">
        <v>521</v>
      </c>
      <c r="AE279" s="42" t="s">
        <v>522</v>
      </c>
      <c r="AF279" s="43" t="s">
        <v>1275</v>
      </c>
      <c r="AG279" s="44">
        <v>32</v>
      </c>
      <c r="AH279" s="31">
        <v>10265070.853797469</v>
      </c>
      <c r="AI279" s="31">
        <v>393771.72999999986</v>
      </c>
      <c r="AJ279" s="31">
        <v>16506.23</v>
      </c>
      <c r="AK279" s="31">
        <v>36726.369999999995</v>
      </c>
      <c r="AL279" s="31">
        <v>1648878.2644958892</v>
      </c>
      <c r="AM279" s="31">
        <v>1071657.1151299339</v>
      </c>
      <c r="AN279" s="31">
        <v>1106182.5322680646</v>
      </c>
      <c r="AO279" s="31">
        <f t="shared" si="22"/>
        <v>14792684.535691356</v>
      </c>
      <c r="AP279" s="31">
        <v>253891.44000000006</v>
      </c>
      <c r="AR279" s="42" t="s">
        <v>521</v>
      </c>
      <c r="AS279" s="42" t="s">
        <v>522</v>
      </c>
      <c r="AT279" s="43" t="s">
        <v>1276</v>
      </c>
      <c r="AU279" s="44">
        <v>32</v>
      </c>
      <c r="AV279" s="31">
        <v>10453831.150474949</v>
      </c>
      <c r="AW279" s="31">
        <v>400890.85999999981</v>
      </c>
      <c r="AX279" s="31">
        <v>16807.649999999998</v>
      </c>
      <c r="AY279" s="31">
        <v>37397.03</v>
      </c>
      <c r="AZ279" s="31">
        <v>1679238.8942275711</v>
      </c>
      <c r="BA279" s="31">
        <v>1071715.9391962572</v>
      </c>
      <c r="BB279" s="31">
        <v>1126577.7551924509</v>
      </c>
      <c r="BC279" s="31">
        <f t="shared" si="23"/>
        <v>15045058.509091228</v>
      </c>
      <c r="BD279" s="31">
        <v>258599.23000000004</v>
      </c>
    </row>
    <row r="280" spans="2:56">
      <c r="B280" s="42" t="s">
        <v>243</v>
      </c>
      <c r="C280" s="42" t="s">
        <v>244</v>
      </c>
      <c r="D280" s="43" t="s">
        <v>1049</v>
      </c>
      <c r="E280" s="44">
        <v>32</v>
      </c>
      <c r="F280" s="31">
        <v>2880120.2185061499</v>
      </c>
      <c r="G280" s="31">
        <v>66261.070000000007</v>
      </c>
      <c r="H280" s="31">
        <v>3897.71</v>
      </c>
      <c r="I280" s="31">
        <v>6236.329999999999</v>
      </c>
      <c r="J280" s="31">
        <v>303046.64767776546</v>
      </c>
      <c r="K280" s="31">
        <v>137478.34774182245</v>
      </c>
      <c r="L280" s="31">
        <v>119872.36120989984</v>
      </c>
      <c r="M280" s="31">
        <f t="shared" si="20"/>
        <v>3516912.6851356374</v>
      </c>
      <c r="N280" s="31">
        <v>0</v>
      </c>
      <c r="P280" s="42" t="s">
        <v>243</v>
      </c>
      <c r="Q280" s="42" t="s">
        <v>244</v>
      </c>
      <c r="R280" s="43" t="s">
        <v>1050</v>
      </c>
      <c r="S280" s="44">
        <v>32</v>
      </c>
      <c r="T280" s="31">
        <v>2988376.8622694621</v>
      </c>
      <c r="U280" s="31">
        <v>68805.55</v>
      </c>
      <c r="V280" s="31">
        <v>4047.3800000000006</v>
      </c>
      <c r="W280" s="31">
        <v>6475.82</v>
      </c>
      <c r="X280" s="31">
        <v>313309.63964335114</v>
      </c>
      <c r="Y280" s="31">
        <v>137559.03980804179</v>
      </c>
      <c r="Z280" s="31">
        <v>124143.82308662171</v>
      </c>
      <c r="AA280" s="31">
        <f t="shared" si="21"/>
        <v>3642718.1148074763</v>
      </c>
      <c r="AB280" s="31">
        <v>0</v>
      </c>
      <c r="AD280" s="42" t="s">
        <v>243</v>
      </c>
      <c r="AE280" s="42" t="s">
        <v>244</v>
      </c>
      <c r="AF280" s="43" t="s">
        <v>1275</v>
      </c>
      <c r="AG280" s="44">
        <v>32</v>
      </c>
      <c r="AH280" s="31">
        <v>3045606.2000338258</v>
      </c>
      <c r="AI280" s="31">
        <v>70151.47</v>
      </c>
      <c r="AJ280" s="31">
        <v>4126.5599999999995</v>
      </c>
      <c r="AK280" s="31">
        <v>6602.4999999999991</v>
      </c>
      <c r="AL280" s="31">
        <v>319111.04103716323</v>
      </c>
      <c r="AM280" s="31">
        <v>137531.62635985151</v>
      </c>
      <c r="AN280" s="31">
        <v>126534.81616216614</v>
      </c>
      <c r="AO280" s="31">
        <f t="shared" si="22"/>
        <v>3709664.2135930071</v>
      </c>
      <c r="AP280" s="31">
        <v>0</v>
      </c>
      <c r="AR280" s="42" t="s">
        <v>243</v>
      </c>
      <c r="AS280" s="42" t="s">
        <v>244</v>
      </c>
      <c r="AT280" s="43" t="s">
        <v>1276</v>
      </c>
      <c r="AU280" s="44">
        <v>32</v>
      </c>
      <c r="AV280" s="31">
        <v>3101170.7381249825</v>
      </c>
      <c r="AW280" s="31">
        <v>71432.510000000009</v>
      </c>
      <c r="AX280" s="31">
        <v>4201.91</v>
      </c>
      <c r="AY280" s="31">
        <v>6723.0699999999988</v>
      </c>
      <c r="AZ280" s="31">
        <v>324983.82605254371</v>
      </c>
      <c r="BA280" s="31">
        <v>137535.98880843123</v>
      </c>
      <c r="BB280" s="31">
        <v>128867.82092547421</v>
      </c>
      <c r="BC280" s="31">
        <f t="shared" si="23"/>
        <v>3774915.8639114313</v>
      </c>
      <c r="BD280" s="31">
        <v>0</v>
      </c>
    </row>
    <row r="281" spans="2:56">
      <c r="B281" s="42" t="s">
        <v>285</v>
      </c>
      <c r="C281" s="42" t="s">
        <v>286</v>
      </c>
      <c r="D281" s="43" t="s">
        <v>1049</v>
      </c>
      <c r="E281" s="44">
        <v>32</v>
      </c>
      <c r="F281" s="31">
        <v>6776934.932862266</v>
      </c>
      <c r="G281" s="31">
        <v>268548.34999999998</v>
      </c>
      <c r="H281" s="31">
        <v>13518.21</v>
      </c>
      <c r="I281" s="31">
        <v>23202.879999999997</v>
      </c>
      <c r="J281" s="31">
        <v>1046072.1492639848</v>
      </c>
      <c r="K281" s="31">
        <v>516724.02064733685</v>
      </c>
      <c r="L281" s="31">
        <v>610290.86754111596</v>
      </c>
      <c r="M281" s="31">
        <f t="shared" si="20"/>
        <v>9433146.6903147027</v>
      </c>
      <c r="N281" s="31">
        <v>177855.28</v>
      </c>
      <c r="P281" s="42" t="s">
        <v>285</v>
      </c>
      <c r="Q281" s="42" t="s">
        <v>286</v>
      </c>
      <c r="R281" s="43" t="s">
        <v>1050</v>
      </c>
      <c r="S281" s="44">
        <v>32</v>
      </c>
      <c r="T281" s="31">
        <v>7107141.9087569816</v>
      </c>
      <c r="U281" s="31">
        <v>281138.04999999993</v>
      </c>
      <c r="V281" s="31">
        <v>14032.47</v>
      </c>
      <c r="W281" s="31">
        <v>24085.57</v>
      </c>
      <c r="X281" s="31">
        <v>1081348.0463826454</v>
      </c>
      <c r="Y281" s="31">
        <v>517215.66347117984</v>
      </c>
      <c r="Z281" s="31">
        <v>638283.77062713006</v>
      </c>
      <c r="AA281" s="31">
        <f t="shared" si="21"/>
        <v>9845492.9592379369</v>
      </c>
      <c r="AB281" s="31">
        <v>182247.48</v>
      </c>
      <c r="AD281" s="42" t="s">
        <v>285</v>
      </c>
      <c r="AE281" s="42" t="s">
        <v>286</v>
      </c>
      <c r="AF281" s="43" t="s">
        <v>1275</v>
      </c>
      <c r="AG281" s="44">
        <v>32</v>
      </c>
      <c r="AH281" s="31">
        <v>7243544.2581744296</v>
      </c>
      <c r="AI281" s="31">
        <v>286982.66999999993</v>
      </c>
      <c r="AJ281" s="31">
        <v>14307.14</v>
      </c>
      <c r="AK281" s="31">
        <v>24557</v>
      </c>
      <c r="AL281" s="31">
        <v>1101406.8155542084</v>
      </c>
      <c r="AM281" s="31">
        <v>517048.63806569681</v>
      </c>
      <c r="AN281" s="31">
        <v>650586.93096022389</v>
      </c>
      <c r="AO281" s="31">
        <f t="shared" si="22"/>
        <v>10023906.052754559</v>
      </c>
      <c r="AP281" s="31">
        <v>185472.6</v>
      </c>
      <c r="AR281" s="42" t="s">
        <v>285</v>
      </c>
      <c r="AS281" s="42" t="s">
        <v>286</v>
      </c>
      <c r="AT281" s="43" t="s">
        <v>1276</v>
      </c>
      <c r="AU281" s="44">
        <v>32</v>
      </c>
      <c r="AV281" s="31">
        <v>7377034.8029307723</v>
      </c>
      <c r="AW281" s="31">
        <v>292198.11999999988</v>
      </c>
      <c r="AX281" s="31">
        <v>14569.669999999998</v>
      </c>
      <c r="AY281" s="31">
        <v>25007.620000000003</v>
      </c>
      <c r="AZ281" s="31">
        <v>1121742.5525654575</v>
      </c>
      <c r="BA281" s="31">
        <v>517075.21771149203</v>
      </c>
      <c r="BB281" s="31">
        <v>662614.49041028728</v>
      </c>
      <c r="BC281" s="31">
        <f t="shared" si="23"/>
        <v>10199169.183618009</v>
      </c>
      <c r="BD281" s="31">
        <v>188926.71</v>
      </c>
    </row>
    <row r="282" spans="2:56">
      <c r="B282" s="42" t="s">
        <v>339</v>
      </c>
      <c r="C282" s="42" t="s">
        <v>340</v>
      </c>
      <c r="D282" s="43" t="s">
        <v>1049</v>
      </c>
      <c r="E282" s="44">
        <v>32</v>
      </c>
      <c r="F282" s="31">
        <v>9478057.1762963198</v>
      </c>
      <c r="G282" s="31">
        <v>545192.07000000007</v>
      </c>
      <c r="H282" s="31">
        <v>202778.32</v>
      </c>
      <c r="I282" s="31">
        <v>31961.219999999998</v>
      </c>
      <c r="J282" s="31">
        <v>1186237.0633407147</v>
      </c>
      <c r="K282" s="31">
        <v>960823.91342787992</v>
      </c>
      <c r="L282" s="31">
        <v>378929.74975367688</v>
      </c>
      <c r="M282" s="31">
        <f t="shared" si="20"/>
        <v>13108074.042818591</v>
      </c>
      <c r="N282" s="31">
        <v>324094.52999999997</v>
      </c>
      <c r="P282" s="42" t="s">
        <v>339</v>
      </c>
      <c r="Q282" s="42" t="s">
        <v>340</v>
      </c>
      <c r="R282" s="43" t="s">
        <v>1050</v>
      </c>
      <c r="S282" s="44">
        <v>32</v>
      </c>
      <c r="T282" s="31">
        <v>9926332.9680432137</v>
      </c>
      <c r="U282" s="31">
        <v>570606.14999999991</v>
      </c>
      <c r="V282" s="31">
        <v>210565.21</v>
      </c>
      <c r="W282" s="31">
        <v>33188.57</v>
      </c>
      <c r="X282" s="31">
        <v>1226451.4863419728</v>
      </c>
      <c r="Y282" s="31">
        <v>961605.44425501826</v>
      </c>
      <c r="Z282" s="31">
        <v>396051.4364993443</v>
      </c>
      <c r="AA282" s="31">
        <f t="shared" si="21"/>
        <v>13656863.215139549</v>
      </c>
      <c r="AB282" s="31">
        <v>332061.95</v>
      </c>
      <c r="AD282" s="42" t="s">
        <v>339</v>
      </c>
      <c r="AE282" s="42" t="s">
        <v>340</v>
      </c>
      <c r="AF282" s="43" t="s">
        <v>1275</v>
      </c>
      <c r="AG282" s="44">
        <v>32</v>
      </c>
      <c r="AH282" s="31">
        <v>10116285.668111302</v>
      </c>
      <c r="AI282" s="31">
        <v>582413.13000000012</v>
      </c>
      <c r="AJ282" s="31">
        <v>214684.15000000002</v>
      </c>
      <c r="AK282" s="31">
        <v>33837.770000000004</v>
      </c>
      <c r="AL282" s="31">
        <v>1249172.9462814075</v>
      </c>
      <c r="AM282" s="31">
        <v>961339.93544055021</v>
      </c>
      <c r="AN282" s="31">
        <v>403680.1714006688</v>
      </c>
      <c r="AO282" s="31">
        <f t="shared" si="22"/>
        <v>13899326.091233928</v>
      </c>
      <c r="AP282" s="31">
        <v>337912.32000000001</v>
      </c>
      <c r="AR282" s="42" t="s">
        <v>339</v>
      </c>
      <c r="AS282" s="42" t="s">
        <v>340</v>
      </c>
      <c r="AT282" s="43" t="s">
        <v>1276</v>
      </c>
      <c r="AU282" s="44">
        <v>32</v>
      </c>
      <c r="AV282" s="31">
        <v>10302495.11741103</v>
      </c>
      <c r="AW282" s="31">
        <v>592953.3600000001</v>
      </c>
      <c r="AX282" s="31">
        <v>218604.49</v>
      </c>
      <c r="AY282" s="31">
        <v>34455.69</v>
      </c>
      <c r="AZ282" s="31">
        <v>1272183.6751911556</v>
      </c>
      <c r="BA282" s="31">
        <v>961382.18727777025</v>
      </c>
      <c r="BB282" s="31">
        <v>411122.37740046729</v>
      </c>
      <c r="BC282" s="31">
        <f t="shared" si="23"/>
        <v>14137374.967280421</v>
      </c>
      <c r="BD282" s="31">
        <v>344178.07</v>
      </c>
    </row>
    <row r="283" spans="2:56">
      <c r="B283" s="42" t="s">
        <v>597</v>
      </c>
      <c r="C283" s="42" t="s">
        <v>598</v>
      </c>
      <c r="D283" s="43" t="s">
        <v>1049</v>
      </c>
      <c r="E283" s="44">
        <v>32</v>
      </c>
      <c r="F283" s="31">
        <v>32084115.568892218</v>
      </c>
      <c r="G283" s="31">
        <v>2490051.54</v>
      </c>
      <c r="H283" s="31">
        <v>2056333.9600000002</v>
      </c>
      <c r="I283" s="31">
        <v>119659.67000000001</v>
      </c>
      <c r="J283" s="31">
        <v>4855135.2442948455</v>
      </c>
      <c r="K283" s="31">
        <v>1461164.8718443906</v>
      </c>
      <c r="L283" s="31">
        <v>5380408.3723059278</v>
      </c>
      <c r="M283" s="31">
        <f t="shared" si="20"/>
        <v>49469335.807337381</v>
      </c>
      <c r="N283" s="31">
        <v>1022466.5800000001</v>
      </c>
      <c r="P283" s="42" t="s">
        <v>597</v>
      </c>
      <c r="Q283" s="42" t="s">
        <v>598</v>
      </c>
      <c r="R283" s="43" t="s">
        <v>1050</v>
      </c>
      <c r="S283" s="44">
        <v>32</v>
      </c>
      <c r="T283" s="31">
        <v>33605515.176628113</v>
      </c>
      <c r="U283" s="31">
        <v>2599799.8100000005</v>
      </c>
      <c r="V283" s="31">
        <v>2135299.27</v>
      </c>
      <c r="W283" s="31">
        <v>124254.73000000003</v>
      </c>
      <c r="X283" s="31">
        <v>5019733.9994191378</v>
      </c>
      <c r="Y283" s="31">
        <v>1462332.4157493324</v>
      </c>
      <c r="Z283" s="31">
        <v>5625925.7224901989</v>
      </c>
      <c r="AA283" s="31">
        <f t="shared" si="21"/>
        <v>51620463.674286783</v>
      </c>
      <c r="AB283" s="31">
        <v>1047602.5499999999</v>
      </c>
      <c r="AD283" s="42" t="s">
        <v>597</v>
      </c>
      <c r="AE283" s="42" t="s">
        <v>598</v>
      </c>
      <c r="AF283" s="43" t="s">
        <v>1275</v>
      </c>
      <c r="AG283" s="44">
        <v>32</v>
      </c>
      <c r="AH283" s="31">
        <v>34246596.238546215</v>
      </c>
      <c r="AI283" s="31">
        <v>2652690.7000000002</v>
      </c>
      <c r="AJ283" s="31">
        <v>2177068.44</v>
      </c>
      <c r="AK283" s="31">
        <v>126685.3</v>
      </c>
      <c r="AL283" s="31">
        <v>5112734.2452936266</v>
      </c>
      <c r="AM283" s="31">
        <v>1461935.7670346866</v>
      </c>
      <c r="AN283" s="31">
        <v>5734291.2512296587</v>
      </c>
      <c r="AO283" s="31">
        <f t="shared" si="22"/>
        <v>52578061.472104184</v>
      </c>
      <c r="AP283" s="31">
        <v>1066059.53</v>
      </c>
      <c r="AR283" s="42" t="s">
        <v>597</v>
      </c>
      <c r="AS283" s="42" t="s">
        <v>598</v>
      </c>
      <c r="AT283" s="43" t="s">
        <v>1276</v>
      </c>
      <c r="AU283" s="44">
        <v>32</v>
      </c>
      <c r="AV283" s="31">
        <v>34877235.226494111</v>
      </c>
      <c r="AW283" s="31">
        <v>2700831.07</v>
      </c>
      <c r="AX283" s="31">
        <v>2216823.7200000002</v>
      </c>
      <c r="AY283" s="31">
        <v>128998.69</v>
      </c>
      <c r="AZ283" s="31">
        <v>5206921.5508253975</v>
      </c>
      <c r="BA283" s="31">
        <v>1461998.8878653767</v>
      </c>
      <c r="BB283" s="31">
        <v>5840005.8651712583</v>
      </c>
      <c r="BC283" s="31">
        <f t="shared" si="23"/>
        <v>53518641.980356142</v>
      </c>
      <c r="BD283" s="31">
        <v>1085826.9700000002</v>
      </c>
    </row>
    <row r="284" spans="2:56">
      <c r="B284" s="42" t="s">
        <v>531</v>
      </c>
      <c r="C284" s="42" t="s">
        <v>532</v>
      </c>
      <c r="D284" s="43" t="s">
        <v>1049</v>
      </c>
      <c r="E284" s="44">
        <v>32</v>
      </c>
      <c r="F284" s="31">
        <v>2471979.9747723937</v>
      </c>
      <c r="G284" s="31">
        <v>70256.200000000012</v>
      </c>
      <c r="H284" s="31">
        <v>61486.37</v>
      </c>
      <c r="I284" s="31">
        <v>0</v>
      </c>
      <c r="J284" s="31">
        <v>195133.20777359622</v>
      </c>
      <c r="K284" s="31">
        <v>140766.65336423967</v>
      </c>
      <c r="L284" s="31">
        <v>128270.77056264319</v>
      </c>
      <c r="M284" s="31">
        <f t="shared" si="20"/>
        <v>3126456.2664728728</v>
      </c>
      <c r="N284" s="31">
        <v>58563.089999999989</v>
      </c>
      <c r="P284" s="42" t="s">
        <v>531</v>
      </c>
      <c r="Q284" s="42" t="s">
        <v>532</v>
      </c>
      <c r="R284" s="43" t="s">
        <v>1050</v>
      </c>
      <c r="S284" s="44">
        <v>32</v>
      </c>
      <c r="T284" s="31">
        <v>2581846.7013184847</v>
      </c>
      <c r="U284" s="31">
        <v>73763.300000000017</v>
      </c>
      <c r="V284" s="31">
        <v>63847.51</v>
      </c>
      <c r="W284" s="31">
        <v>0</v>
      </c>
      <c r="X284" s="31">
        <v>201750.50651956027</v>
      </c>
      <c r="Y284" s="31">
        <v>140862.41582136563</v>
      </c>
      <c r="Z284" s="31">
        <v>134055.37028073496</v>
      </c>
      <c r="AA284" s="31">
        <f t="shared" si="21"/>
        <v>3256128.5839401451</v>
      </c>
      <c r="AB284" s="31">
        <v>60002.780000000006</v>
      </c>
      <c r="AD284" s="42" t="s">
        <v>531</v>
      </c>
      <c r="AE284" s="42" t="s">
        <v>532</v>
      </c>
      <c r="AF284" s="43" t="s">
        <v>1275</v>
      </c>
      <c r="AG284" s="44">
        <v>32</v>
      </c>
      <c r="AH284" s="31">
        <v>2631304.1460778587</v>
      </c>
      <c r="AI284" s="31">
        <v>75322.78</v>
      </c>
      <c r="AJ284" s="31">
        <v>65096.450000000004</v>
      </c>
      <c r="AK284" s="31">
        <v>0</v>
      </c>
      <c r="AL284" s="31">
        <v>205487.76077458565</v>
      </c>
      <c r="AM284" s="31">
        <v>140829.88252187293</v>
      </c>
      <c r="AN284" s="31">
        <v>136637.68166535845</v>
      </c>
      <c r="AO284" s="31">
        <f t="shared" si="22"/>
        <v>3315738.6310396758</v>
      </c>
      <c r="AP284" s="31">
        <v>61059.929999999986</v>
      </c>
      <c r="AR284" s="42" t="s">
        <v>531</v>
      </c>
      <c r="AS284" s="42" t="s">
        <v>532</v>
      </c>
      <c r="AT284" s="43" t="s">
        <v>1276</v>
      </c>
      <c r="AU284" s="44">
        <v>32</v>
      </c>
      <c r="AV284" s="31">
        <v>2679350.6943477113</v>
      </c>
      <c r="AW284" s="31">
        <v>76681.060000000027</v>
      </c>
      <c r="AX284" s="31">
        <v>66285.17</v>
      </c>
      <c r="AY284" s="31">
        <v>0</v>
      </c>
      <c r="AZ284" s="31">
        <v>209272.26376554096</v>
      </c>
      <c r="BA284" s="31">
        <v>140835.05971976428</v>
      </c>
      <c r="BB284" s="31">
        <v>139156.89215689019</v>
      </c>
      <c r="BC284" s="31">
        <f t="shared" si="23"/>
        <v>3373773.2699899063</v>
      </c>
      <c r="BD284" s="31">
        <v>62192.129999999983</v>
      </c>
    </row>
    <row r="285" spans="2:56">
      <c r="B285" s="42" t="s">
        <v>79</v>
      </c>
      <c r="C285" s="42" t="s">
        <v>80</v>
      </c>
      <c r="D285" s="43" t="s">
        <v>1049</v>
      </c>
      <c r="E285" s="44">
        <v>32</v>
      </c>
      <c r="F285" s="31">
        <v>6103363.3288619732</v>
      </c>
      <c r="G285" s="31">
        <v>185017.92</v>
      </c>
      <c r="H285" s="31">
        <v>0</v>
      </c>
      <c r="I285" s="31">
        <v>20277.310000000001</v>
      </c>
      <c r="J285" s="31">
        <v>889542.50505094475</v>
      </c>
      <c r="K285" s="31">
        <v>437617.34661909513</v>
      </c>
      <c r="L285" s="31">
        <v>538326.5781826654</v>
      </c>
      <c r="M285" s="31">
        <f t="shared" si="20"/>
        <v>8174144.9887146782</v>
      </c>
      <c r="N285" s="31">
        <v>0</v>
      </c>
      <c r="P285" s="42" t="s">
        <v>79</v>
      </c>
      <c r="Q285" s="42" t="s">
        <v>80</v>
      </c>
      <c r="R285" s="43" t="s">
        <v>1050</v>
      </c>
      <c r="S285" s="44">
        <v>32</v>
      </c>
      <c r="T285" s="31">
        <v>6335869.5525606778</v>
      </c>
      <c r="U285" s="31">
        <v>192056.3</v>
      </c>
      <c r="V285" s="31">
        <v>0</v>
      </c>
      <c r="W285" s="31">
        <v>21048.7</v>
      </c>
      <c r="X285" s="31">
        <v>919560.34522809368</v>
      </c>
      <c r="Y285" s="31">
        <v>437968.80984948779</v>
      </c>
      <c r="Z285" s="31">
        <v>557420.40963682928</v>
      </c>
      <c r="AA285" s="31">
        <f t="shared" si="21"/>
        <v>8463924.117275089</v>
      </c>
      <c r="AB285" s="31">
        <v>0</v>
      </c>
      <c r="AD285" s="42" t="s">
        <v>79</v>
      </c>
      <c r="AE285" s="42" t="s">
        <v>80</v>
      </c>
      <c r="AF285" s="43" t="s">
        <v>1275</v>
      </c>
      <c r="AG285" s="44">
        <v>32</v>
      </c>
      <c r="AH285" s="31">
        <v>6457520.2568617854</v>
      </c>
      <c r="AI285" s="31">
        <v>195815.37</v>
      </c>
      <c r="AJ285" s="31">
        <v>0</v>
      </c>
      <c r="AK285" s="31">
        <v>21460.68</v>
      </c>
      <c r="AL285" s="31">
        <v>936618.04582805454</v>
      </c>
      <c r="AM285" s="31">
        <v>437849.40754008392</v>
      </c>
      <c r="AN285" s="31">
        <v>568163.51718181465</v>
      </c>
      <c r="AO285" s="31">
        <f t="shared" si="22"/>
        <v>8617427.2774117384</v>
      </c>
      <c r="AP285" s="31">
        <v>0</v>
      </c>
      <c r="AR285" s="42" t="s">
        <v>79</v>
      </c>
      <c r="AS285" s="42" t="s">
        <v>80</v>
      </c>
      <c r="AT285" s="43" t="s">
        <v>1276</v>
      </c>
      <c r="AU285" s="44">
        <v>32</v>
      </c>
      <c r="AV285" s="31">
        <v>6576431.6698238021</v>
      </c>
      <c r="AW285" s="31">
        <v>199408.58</v>
      </c>
      <c r="AX285" s="31">
        <v>0</v>
      </c>
      <c r="AY285" s="31">
        <v>21854.49</v>
      </c>
      <c r="AZ285" s="31">
        <v>953911.35065132659</v>
      </c>
      <c r="BA285" s="31">
        <v>437868.40866797772</v>
      </c>
      <c r="BB285" s="31">
        <v>578668.18283053394</v>
      </c>
      <c r="BC285" s="31">
        <f t="shared" si="23"/>
        <v>8768142.6819736399</v>
      </c>
      <c r="BD285" s="31">
        <v>0</v>
      </c>
    </row>
    <row r="286" spans="2:56">
      <c r="B286" s="42" t="s">
        <v>257</v>
      </c>
      <c r="C286" s="42" t="s">
        <v>258</v>
      </c>
      <c r="D286" s="43" t="s">
        <v>1049</v>
      </c>
      <c r="E286" s="44">
        <v>32</v>
      </c>
      <c r="F286" s="31">
        <v>2496010.6640299731</v>
      </c>
      <c r="G286" s="31">
        <v>0</v>
      </c>
      <c r="H286" s="31">
        <v>23678.59</v>
      </c>
      <c r="I286" s="31">
        <v>5359.369999999999</v>
      </c>
      <c r="J286" s="31">
        <v>154913.04096254066</v>
      </c>
      <c r="K286" s="31">
        <v>135749.48480082987</v>
      </c>
      <c r="L286" s="31">
        <v>0</v>
      </c>
      <c r="M286" s="31">
        <f t="shared" si="20"/>
        <v>2815711.1497933436</v>
      </c>
      <c r="N286" s="31">
        <v>0</v>
      </c>
      <c r="P286" s="42" t="s">
        <v>257</v>
      </c>
      <c r="Q286" s="42" t="s">
        <v>258</v>
      </c>
      <c r="R286" s="43" t="s">
        <v>1050</v>
      </c>
      <c r="S286" s="44">
        <v>32</v>
      </c>
      <c r="T286" s="31">
        <v>2589969.6258019465</v>
      </c>
      <c r="U286" s="31">
        <v>0</v>
      </c>
      <c r="V286" s="31">
        <v>24587.87</v>
      </c>
      <c r="W286" s="31">
        <v>5565.16</v>
      </c>
      <c r="X286" s="31">
        <v>160163.5813454435</v>
      </c>
      <c r="Y286" s="31">
        <v>135892.80852232137</v>
      </c>
      <c r="Z286" s="31">
        <v>0</v>
      </c>
      <c r="AA286" s="31">
        <f t="shared" si="21"/>
        <v>2916179.0456697117</v>
      </c>
      <c r="AB286" s="31">
        <v>0</v>
      </c>
      <c r="AD286" s="42" t="s">
        <v>257</v>
      </c>
      <c r="AE286" s="42" t="s">
        <v>258</v>
      </c>
      <c r="AF286" s="43" t="s">
        <v>1275</v>
      </c>
      <c r="AG286" s="44">
        <v>32</v>
      </c>
      <c r="AH286" s="31">
        <v>2639582.4970914549</v>
      </c>
      <c r="AI286" s="31">
        <v>0</v>
      </c>
      <c r="AJ286" s="31">
        <v>25068.840000000004</v>
      </c>
      <c r="AK286" s="31">
        <v>5674.0199999999995</v>
      </c>
      <c r="AL286" s="31">
        <v>163130.35527322072</v>
      </c>
      <c r="AM286" s="31">
        <v>135844.11727425162</v>
      </c>
      <c r="AN286" s="31">
        <v>0</v>
      </c>
      <c r="AO286" s="31">
        <f t="shared" si="22"/>
        <v>2969299.8296389272</v>
      </c>
      <c r="AP286" s="31">
        <v>0</v>
      </c>
      <c r="AR286" s="42" t="s">
        <v>257</v>
      </c>
      <c r="AS286" s="42" t="s">
        <v>258</v>
      </c>
      <c r="AT286" s="43" t="s">
        <v>1276</v>
      </c>
      <c r="AU286" s="44">
        <v>32</v>
      </c>
      <c r="AV286" s="31">
        <v>2687779.3285863833</v>
      </c>
      <c r="AW286" s="31">
        <v>0</v>
      </c>
      <c r="AX286" s="31">
        <v>25526.63</v>
      </c>
      <c r="AY286" s="31">
        <v>5777.6299999999992</v>
      </c>
      <c r="AZ286" s="31">
        <v>166134.53644087262</v>
      </c>
      <c r="BA286" s="31">
        <v>135851.86577289039</v>
      </c>
      <c r="BB286" s="31">
        <v>0</v>
      </c>
      <c r="BC286" s="31">
        <f t="shared" si="23"/>
        <v>3021069.990800146</v>
      </c>
      <c r="BD286" s="31">
        <v>0</v>
      </c>
    </row>
    <row r="287" spans="2:56">
      <c r="B287" s="42" t="s">
        <v>201</v>
      </c>
      <c r="C287" s="42" t="s">
        <v>202</v>
      </c>
      <c r="D287" s="43" t="s">
        <v>1049</v>
      </c>
      <c r="E287" s="44">
        <v>32</v>
      </c>
      <c r="F287" s="31">
        <v>23687724.728759062</v>
      </c>
      <c r="G287" s="31">
        <v>1369383.6</v>
      </c>
      <c r="H287" s="31">
        <v>1738858.5800000003</v>
      </c>
      <c r="I287" s="31">
        <v>82318.850000000006</v>
      </c>
      <c r="J287" s="31">
        <v>3565386.1782605499</v>
      </c>
      <c r="K287" s="31">
        <v>921753.55166467745</v>
      </c>
      <c r="L287" s="31">
        <v>1035336.0476193475</v>
      </c>
      <c r="M287" s="31">
        <f t="shared" si="20"/>
        <v>33245404.816303641</v>
      </c>
      <c r="N287" s="31">
        <v>844643.2799999998</v>
      </c>
      <c r="P287" s="42" t="s">
        <v>201</v>
      </c>
      <c r="Q287" s="42" t="s">
        <v>202</v>
      </c>
      <c r="R287" s="43" t="s">
        <v>1050</v>
      </c>
      <c r="S287" s="44">
        <v>32</v>
      </c>
      <c r="T287" s="31">
        <v>24832784.654696047</v>
      </c>
      <c r="U287" s="31">
        <v>1430061.7200000002</v>
      </c>
      <c r="V287" s="31">
        <v>1803119.98</v>
      </c>
      <c r="W287" s="31">
        <v>85361.03</v>
      </c>
      <c r="X287" s="31">
        <v>3683687.1400725339</v>
      </c>
      <c r="Y287" s="31">
        <v>922544.26023392158</v>
      </c>
      <c r="Z287" s="31">
        <v>1081813.0123306208</v>
      </c>
      <c r="AA287" s="31">
        <f t="shared" si="21"/>
        <v>34705158.717333123</v>
      </c>
      <c r="AB287" s="31">
        <v>865786.91999999993</v>
      </c>
      <c r="AD287" s="42" t="s">
        <v>201</v>
      </c>
      <c r="AE287" s="42" t="s">
        <v>202</v>
      </c>
      <c r="AF287" s="43" t="s">
        <v>1275</v>
      </c>
      <c r="AG287" s="44">
        <v>32</v>
      </c>
      <c r="AH287" s="31">
        <v>25311727.510934919</v>
      </c>
      <c r="AI287" s="31">
        <v>1459552.3099999998</v>
      </c>
      <c r="AJ287" s="31">
        <v>1838474.8100000003</v>
      </c>
      <c r="AK287" s="31">
        <v>87034.74</v>
      </c>
      <c r="AL287" s="31">
        <v>3752467.0569692547</v>
      </c>
      <c r="AM287" s="31">
        <v>922245.43160205509</v>
      </c>
      <c r="AN287" s="31">
        <v>1102720.1248548408</v>
      </c>
      <c r="AO287" s="31">
        <f t="shared" si="22"/>
        <v>35355534.374361068</v>
      </c>
      <c r="AP287" s="31">
        <v>881312.3899999999</v>
      </c>
      <c r="AR287" s="42" t="s">
        <v>201</v>
      </c>
      <c r="AS287" s="42" t="s">
        <v>202</v>
      </c>
      <c r="AT287" s="43" t="s">
        <v>1276</v>
      </c>
      <c r="AU287" s="44">
        <v>32</v>
      </c>
      <c r="AV287" s="31">
        <v>25784020.03766723</v>
      </c>
      <c r="AW287" s="31">
        <v>1486510.2000000002</v>
      </c>
      <c r="AX287" s="31">
        <v>1872706.2500000002</v>
      </c>
      <c r="AY287" s="31">
        <v>88655.28</v>
      </c>
      <c r="AZ287" s="31">
        <v>3822598.5394417206</v>
      </c>
      <c r="BA287" s="31">
        <v>922291.42353012436</v>
      </c>
      <c r="BB287" s="31">
        <v>1123347.2184834802</v>
      </c>
      <c r="BC287" s="31">
        <f t="shared" si="23"/>
        <v>35998069.119122557</v>
      </c>
      <c r="BD287" s="31">
        <v>897940.16999999993</v>
      </c>
    </row>
    <row r="288" spans="2:56">
      <c r="B288" s="42" t="s">
        <v>511</v>
      </c>
      <c r="C288" s="42" t="s">
        <v>512</v>
      </c>
      <c r="D288" s="43" t="s">
        <v>1049</v>
      </c>
      <c r="E288" s="44">
        <v>32</v>
      </c>
      <c r="F288" s="31">
        <v>50265488.404364049</v>
      </c>
      <c r="G288" s="31">
        <v>1276304.8999999999</v>
      </c>
      <c r="H288" s="31">
        <v>218758.94</v>
      </c>
      <c r="I288" s="31">
        <v>186310.49999999997</v>
      </c>
      <c r="J288" s="31">
        <v>7721549.9907863783</v>
      </c>
      <c r="K288" s="31">
        <v>3678988.4508556905</v>
      </c>
      <c r="L288" s="31">
        <v>8303173.4728904571</v>
      </c>
      <c r="M288" s="31">
        <f t="shared" si="20"/>
        <v>71650574.658896565</v>
      </c>
      <c r="N288" s="31">
        <v>0</v>
      </c>
      <c r="P288" s="42" t="s">
        <v>511</v>
      </c>
      <c r="Q288" s="42" t="s">
        <v>512</v>
      </c>
      <c r="R288" s="43" t="s">
        <v>1050</v>
      </c>
      <c r="S288" s="44">
        <v>32</v>
      </c>
      <c r="T288" s="31">
        <v>52194738.627279341</v>
      </c>
      <c r="U288" s="31">
        <v>1325316.29</v>
      </c>
      <c r="V288" s="31">
        <v>227159.49</v>
      </c>
      <c r="W288" s="31">
        <v>193465.02</v>
      </c>
      <c r="X288" s="31">
        <v>7983210.5127021754</v>
      </c>
      <c r="Y288" s="31">
        <v>3682980.2411143826</v>
      </c>
      <c r="Z288" s="31">
        <v>8599862.3541433588</v>
      </c>
      <c r="AA288" s="31">
        <f t="shared" si="21"/>
        <v>74206732.535239264</v>
      </c>
      <c r="AB288" s="31">
        <v>0</v>
      </c>
      <c r="AD288" s="42" t="s">
        <v>511</v>
      </c>
      <c r="AE288" s="42" t="s">
        <v>512</v>
      </c>
      <c r="AF288" s="43" t="s">
        <v>1275</v>
      </c>
      <c r="AG288" s="44">
        <v>32</v>
      </c>
      <c r="AH288" s="31">
        <v>53195126.195984706</v>
      </c>
      <c r="AI288" s="31">
        <v>1351241.1500000001</v>
      </c>
      <c r="AJ288" s="31">
        <v>231603.02999999997</v>
      </c>
      <c r="AK288" s="31">
        <v>197249.43</v>
      </c>
      <c r="AL288" s="31">
        <v>8131103.6024112422</v>
      </c>
      <c r="AM288" s="31">
        <v>3681624.1135473219</v>
      </c>
      <c r="AN288" s="31">
        <v>8765566.322624037</v>
      </c>
      <c r="AO288" s="31">
        <f t="shared" si="22"/>
        <v>75553513.844567314</v>
      </c>
      <c r="AP288" s="31">
        <v>0</v>
      </c>
      <c r="AR288" s="42" t="s">
        <v>511</v>
      </c>
      <c r="AS288" s="42" t="s">
        <v>512</v>
      </c>
      <c r="AT288" s="43" t="s">
        <v>1276</v>
      </c>
      <c r="AU288" s="44">
        <v>32</v>
      </c>
      <c r="AV288" s="31">
        <v>54173856.995763846</v>
      </c>
      <c r="AW288" s="31">
        <v>1375916.06</v>
      </c>
      <c r="AX288" s="31">
        <v>235832.31</v>
      </c>
      <c r="AY288" s="31">
        <v>200851.38999999998</v>
      </c>
      <c r="AZ288" s="31">
        <v>8280875.1076746117</v>
      </c>
      <c r="BA288" s="31">
        <v>3681839.9213777622</v>
      </c>
      <c r="BB288" s="31">
        <v>8927098.7328685615</v>
      </c>
      <c r="BC288" s="31">
        <f t="shared" si="23"/>
        <v>76876270.517684788</v>
      </c>
      <c r="BD288" s="31">
        <v>0</v>
      </c>
    </row>
    <row r="289" spans="2:56">
      <c r="B289" s="42" t="s">
        <v>581</v>
      </c>
      <c r="C289" s="42" t="s">
        <v>582</v>
      </c>
      <c r="D289" s="43" t="s">
        <v>1049</v>
      </c>
      <c r="E289" s="44">
        <v>32</v>
      </c>
      <c r="F289" s="31">
        <v>4994256.0176886478</v>
      </c>
      <c r="G289" s="31">
        <v>327992.24</v>
      </c>
      <c r="H289" s="31">
        <v>257930.90999999997</v>
      </c>
      <c r="I289" s="31">
        <v>15883.19</v>
      </c>
      <c r="J289" s="31">
        <v>687210.35708410887</v>
      </c>
      <c r="K289" s="31">
        <v>136936.44498647811</v>
      </c>
      <c r="L289" s="31">
        <v>0</v>
      </c>
      <c r="M289" s="31">
        <f t="shared" si="20"/>
        <v>6585959.2497592354</v>
      </c>
      <c r="N289" s="31">
        <v>165750.09</v>
      </c>
      <c r="P289" s="42" t="s">
        <v>581</v>
      </c>
      <c r="Q289" s="42" t="s">
        <v>582</v>
      </c>
      <c r="R289" s="43" t="s">
        <v>1050</v>
      </c>
      <c r="S289" s="44">
        <v>32</v>
      </c>
      <c r="T289" s="31">
        <v>5261227.907185344</v>
      </c>
      <c r="U289" s="31">
        <v>342877.69000000006</v>
      </c>
      <c r="V289" s="31">
        <v>267835.71000000002</v>
      </c>
      <c r="W289" s="31">
        <v>16493.109999999997</v>
      </c>
      <c r="X289" s="31">
        <v>710458.97795922472</v>
      </c>
      <c r="Y289" s="31">
        <v>137095.53772354333</v>
      </c>
      <c r="Z289" s="31">
        <v>0</v>
      </c>
      <c r="AA289" s="31">
        <f t="shared" si="21"/>
        <v>6905813.7628681129</v>
      </c>
      <c r="AB289" s="31">
        <v>169824.83</v>
      </c>
      <c r="AD289" s="42" t="s">
        <v>581</v>
      </c>
      <c r="AE289" s="42" t="s">
        <v>582</v>
      </c>
      <c r="AF289" s="43" t="s">
        <v>1275</v>
      </c>
      <c r="AG289" s="44">
        <v>32</v>
      </c>
      <c r="AH289" s="31">
        <v>5362458.2233988866</v>
      </c>
      <c r="AI289" s="31">
        <v>349914.78</v>
      </c>
      <c r="AJ289" s="31">
        <v>273074.94</v>
      </c>
      <c r="AK289" s="31">
        <v>16815.72</v>
      </c>
      <c r="AL289" s="31">
        <v>723608.19363916875</v>
      </c>
      <c r="AM289" s="31">
        <v>137041.48928099714</v>
      </c>
      <c r="AN289" s="31">
        <v>0</v>
      </c>
      <c r="AO289" s="31">
        <f t="shared" si="22"/>
        <v>7035730.2063190527</v>
      </c>
      <c r="AP289" s="31">
        <v>172816.86</v>
      </c>
      <c r="AR289" s="42" t="s">
        <v>581</v>
      </c>
      <c r="AS289" s="42" t="s">
        <v>582</v>
      </c>
      <c r="AT289" s="43" t="s">
        <v>1276</v>
      </c>
      <c r="AU289" s="44">
        <v>32</v>
      </c>
      <c r="AV289" s="31">
        <v>5460900.192687531</v>
      </c>
      <c r="AW289" s="31">
        <v>356255.88000000012</v>
      </c>
      <c r="AX289" s="31">
        <v>278061.53000000003</v>
      </c>
      <c r="AY289" s="31">
        <v>17122.8</v>
      </c>
      <c r="AZ289" s="31">
        <v>736914.28555323824</v>
      </c>
      <c r="BA289" s="31">
        <v>137050.0902986358</v>
      </c>
      <c r="BB289" s="31">
        <v>0</v>
      </c>
      <c r="BC289" s="31">
        <f t="shared" si="23"/>
        <v>7162326.0985394055</v>
      </c>
      <c r="BD289" s="31">
        <v>176021.31999999998</v>
      </c>
    </row>
    <row r="290" spans="2:56">
      <c r="B290" s="42" t="s">
        <v>369</v>
      </c>
      <c r="C290" s="42" t="s">
        <v>370</v>
      </c>
      <c r="D290" s="43" t="s">
        <v>1049</v>
      </c>
      <c r="E290" s="44">
        <v>32</v>
      </c>
      <c r="F290" s="31">
        <v>48387008.641914509</v>
      </c>
      <c r="G290" s="31">
        <v>1374295.78</v>
      </c>
      <c r="H290" s="31">
        <v>518966.31999999995</v>
      </c>
      <c r="I290" s="31">
        <v>169666.13999999998</v>
      </c>
      <c r="J290" s="31">
        <v>5470475.5099328794</v>
      </c>
      <c r="K290" s="31">
        <v>2088915.2169203914</v>
      </c>
      <c r="L290" s="31">
        <v>2810846.2693692246</v>
      </c>
      <c r="M290" s="31">
        <f t="shared" si="20"/>
        <v>60820173.878137</v>
      </c>
      <c r="N290" s="31">
        <v>0</v>
      </c>
      <c r="P290" s="42" t="s">
        <v>369</v>
      </c>
      <c r="Q290" s="42" t="s">
        <v>370</v>
      </c>
      <c r="R290" s="43" t="s">
        <v>1050</v>
      </c>
      <c r="S290" s="44">
        <v>32</v>
      </c>
      <c r="T290" s="31">
        <v>50221891.039745681</v>
      </c>
      <c r="U290" s="31">
        <v>1425895.35</v>
      </c>
      <c r="V290" s="31">
        <v>538451.53999999992</v>
      </c>
      <c r="W290" s="31">
        <v>176036.46</v>
      </c>
      <c r="X290" s="31">
        <v>5653815.1919558719</v>
      </c>
      <c r="Y290" s="31">
        <v>2090435.9464689463</v>
      </c>
      <c r="Z290" s="31">
        <v>2909680.3826385988</v>
      </c>
      <c r="AA290" s="31">
        <f t="shared" si="21"/>
        <v>63016205.9108091</v>
      </c>
      <c r="AB290" s="31">
        <v>0</v>
      </c>
      <c r="AD290" s="42" t="s">
        <v>369</v>
      </c>
      <c r="AE290" s="42" t="s">
        <v>370</v>
      </c>
      <c r="AF290" s="43" t="s">
        <v>1275</v>
      </c>
      <c r="AG290" s="44">
        <v>32</v>
      </c>
      <c r="AH290" s="31">
        <v>51188196.895988636</v>
      </c>
      <c r="AI290" s="31">
        <v>1453826.72</v>
      </c>
      <c r="AJ290" s="31">
        <v>548999.05999999994</v>
      </c>
      <c r="AK290" s="31">
        <v>179484.78</v>
      </c>
      <c r="AL290" s="31">
        <v>5758993.6214131834</v>
      </c>
      <c r="AM290" s="31">
        <v>2089899.1704606335</v>
      </c>
      <c r="AN290" s="31">
        <v>2965822.6298776944</v>
      </c>
      <c r="AO290" s="31">
        <f t="shared" si="22"/>
        <v>64185222.877740152</v>
      </c>
      <c r="AP290" s="31">
        <v>0</v>
      </c>
      <c r="AR290" s="42" t="s">
        <v>369</v>
      </c>
      <c r="AS290" s="42" t="s">
        <v>370</v>
      </c>
      <c r="AT290" s="43" t="s">
        <v>1276</v>
      </c>
      <c r="AU290" s="44">
        <v>32</v>
      </c>
      <c r="AV290" s="31">
        <v>52136910.716743134</v>
      </c>
      <c r="AW290" s="31">
        <v>1480683.1500000001</v>
      </c>
      <c r="AX290" s="31">
        <v>559140.69000000006</v>
      </c>
      <c r="AY290" s="31">
        <v>182800.39000000004</v>
      </c>
      <c r="AZ290" s="31">
        <v>5865891.2530106548</v>
      </c>
      <c r="BA290" s="31">
        <v>2089983.5487092845</v>
      </c>
      <c r="BB290" s="31">
        <v>3020933.1359593254</v>
      </c>
      <c r="BC290" s="31">
        <f t="shared" si="23"/>
        <v>65336342.884422392</v>
      </c>
      <c r="BD290" s="31">
        <v>0</v>
      </c>
    </row>
    <row r="291" spans="2:56">
      <c r="B291" s="42" t="s">
        <v>489</v>
      </c>
      <c r="C291" s="42" t="s">
        <v>490</v>
      </c>
      <c r="D291" s="43" t="s">
        <v>1049</v>
      </c>
      <c r="E291" s="44">
        <v>32</v>
      </c>
      <c r="F291" s="31">
        <v>10957750.718659814</v>
      </c>
      <c r="G291" s="31">
        <v>164873.09999999998</v>
      </c>
      <c r="H291" s="31">
        <v>0</v>
      </c>
      <c r="I291" s="31">
        <v>32448.43</v>
      </c>
      <c r="J291" s="31">
        <v>964206.36550334364</v>
      </c>
      <c r="K291" s="31">
        <v>989170.15045579593</v>
      </c>
      <c r="L291" s="31">
        <v>0</v>
      </c>
      <c r="M291" s="31">
        <f t="shared" si="20"/>
        <v>13182505.234618952</v>
      </c>
      <c r="N291" s="31">
        <v>74056.47</v>
      </c>
      <c r="P291" s="42" t="s">
        <v>489</v>
      </c>
      <c r="Q291" s="42" t="s">
        <v>490</v>
      </c>
      <c r="R291" s="43" t="s">
        <v>1050</v>
      </c>
      <c r="S291" s="44">
        <v>32</v>
      </c>
      <c r="T291" s="31">
        <v>11361462.953218888</v>
      </c>
      <c r="U291" s="31">
        <v>172227.67000000004</v>
      </c>
      <c r="V291" s="31">
        <v>0</v>
      </c>
      <c r="W291" s="31">
        <v>33694.49</v>
      </c>
      <c r="X291" s="31">
        <v>996934.2569275503</v>
      </c>
      <c r="Y291" s="31">
        <v>989789.78108500352</v>
      </c>
      <c r="Z291" s="31">
        <v>0</v>
      </c>
      <c r="AA291" s="31">
        <f t="shared" si="21"/>
        <v>13629986.191231441</v>
      </c>
      <c r="AB291" s="31">
        <v>75877.039999999994</v>
      </c>
      <c r="AD291" s="42" t="s">
        <v>489</v>
      </c>
      <c r="AE291" s="42" t="s">
        <v>490</v>
      </c>
      <c r="AF291" s="43" t="s">
        <v>1275</v>
      </c>
      <c r="AG291" s="44">
        <v>32</v>
      </c>
      <c r="AH291" s="31">
        <v>11574250.93405474</v>
      </c>
      <c r="AI291" s="31">
        <v>175744.09</v>
      </c>
      <c r="AJ291" s="31">
        <v>0</v>
      </c>
      <c r="AK291" s="31">
        <v>34353.590000000004</v>
      </c>
      <c r="AL291" s="31">
        <v>1015421.8729794584</v>
      </c>
      <c r="AM291" s="31">
        <v>989579.2744894143</v>
      </c>
      <c r="AN291" s="31">
        <v>0</v>
      </c>
      <c r="AO291" s="31">
        <f t="shared" si="22"/>
        <v>13866563.631523611</v>
      </c>
      <c r="AP291" s="31">
        <v>77213.87</v>
      </c>
      <c r="AR291" s="42" t="s">
        <v>489</v>
      </c>
      <c r="AS291" s="42" t="s">
        <v>490</v>
      </c>
      <c r="AT291" s="43" t="s">
        <v>1276</v>
      </c>
      <c r="AU291" s="44">
        <v>32</v>
      </c>
      <c r="AV291" s="31">
        <v>11787826.338176066</v>
      </c>
      <c r="AW291" s="31">
        <v>178931.58000000002</v>
      </c>
      <c r="AX291" s="31">
        <v>0</v>
      </c>
      <c r="AY291" s="31">
        <v>34980.92</v>
      </c>
      <c r="AZ291" s="31">
        <v>1034159.727299715</v>
      </c>
      <c r="BA291" s="31">
        <v>989612.77352946822</v>
      </c>
      <c r="BB291" s="31">
        <v>0</v>
      </c>
      <c r="BC291" s="31">
        <f t="shared" si="23"/>
        <v>14104156.959005248</v>
      </c>
      <c r="BD291" s="31">
        <v>78645.62</v>
      </c>
    </row>
    <row r="292" spans="2:56">
      <c r="B292" s="42" t="s">
        <v>55</v>
      </c>
      <c r="C292" s="42" t="s">
        <v>56</v>
      </c>
      <c r="D292" s="43" t="s">
        <v>1049</v>
      </c>
      <c r="E292" s="44">
        <v>32</v>
      </c>
      <c r="F292" s="31">
        <v>179097181.73458564</v>
      </c>
      <c r="G292" s="31">
        <v>6821179.2699999996</v>
      </c>
      <c r="H292" s="31">
        <v>4827008.8100000005</v>
      </c>
      <c r="I292" s="31">
        <v>633566.71999999997</v>
      </c>
      <c r="J292" s="31">
        <v>27866759.31251619</v>
      </c>
      <c r="K292" s="31">
        <v>10638587.344901018</v>
      </c>
      <c r="L292" s="31">
        <v>15111380.051453874</v>
      </c>
      <c r="M292" s="31">
        <f t="shared" si="20"/>
        <v>248759203.41345671</v>
      </c>
      <c r="N292" s="31">
        <v>3763540.17</v>
      </c>
      <c r="P292" s="42" t="s">
        <v>55</v>
      </c>
      <c r="Q292" s="42" t="s">
        <v>56</v>
      </c>
      <c r="R292" s="43" t="s">
        <v>1050</v>
      </c>
      <c r="S292" s="44">
        <v>32</v>
      </c>
      <c r="T292" s="31">
        <v>185915062.75740239</v>
      </c>
      <c r="U292" s="31">
        <v>7128890.9799999977</v>
      </c>
      <c r="V292" s="31">
        <v>5009812.1199999992</v>
      </c>
      <c r="W292" s="31">
        <v>657560.49</v>
      </c>
      <c r="X292" s="31">
        <v>28803995.590222139</v>
      </c>
      <c r="Y292" s="31">
        <v>10648142.828096971</v>
      </c>
      <c r="Z292" s="31">
        <v>15644986.143702827</v>
      </c>
      <c r="AA292" s="31">
        <f t="shared" si="21"/>
        <v>257665132.54942432</v>
      </c>
      <c r="AB292" s="31">
        <v>3856681.6399999997</v>
      </c>
      <c r="AD292" s="42" t="s">
        <v>55</v>
      </c>
      <c r="AE292" s="42" t="s">
        <v>56</v>
      </c>
      <c r="AF292" s="43" t="s">
        <v>1275</v>
      </c>
      <c r="AG292" s="44">
        <v>32</v>
      </c>
      <c r="AH292" s="31">
        <v>189485982.94658577</v>
      </c>
      <c r="AI292" s="31">
        <v>7275576.8499999996</v>
      </c>
      <c r="AJ292" s="31">
        <v>5107895.49</v>
      </c>
      <c r="AK292" s="31">
        <v>670434.36</v>
      </c>
      <c r="AL292" s="31">
        <v>29339087.221246302</v>
      </c>
      <c r="AM292" s="31">
        <v>10644770.003433771</v>
      </c>
      <c r="AN292" s="31">
        <v>15946662.970313929</v>
      </c>
      <c r="AO292" s="31">
        <f t="shared" si="22"/>
        <v>262395483.92157981</v>
      </c>
      <c r="AP292" s="31">
        <v>3925074.0799999996</v>
      </c>
      <c r="AR292" s="42" t="s">
        <v>55</v>
      </c>
      <c r="AS292" s="42" t="s">
        <v>56</v>
      </c>
      <c r="AT292" s="43" t="s">
        <v>1276</v>
      </c>
      <c r="AU292" s="44">
        <v>32</v>
      </c>
      <c r="AV292" s="31">
        <v>192989238.31292266</v>
      </c>
      <c r="AW292" s="31">
        <v>7408334.7899999991</v>
      </c>
      <c r="AX292" s="31">
        <v>5201841.6900000013</v>
      </c>
      <c r="AY292" s="31">
        <v>682765.22</v>
      </c>
      <c r="AZ292" s="31">
        <v>29882295.890252169</v>
      </c>
      <c r="BA292" s="31">
        <v>10645300.192998283</v>
      </c>
      <c r="BB292" s="31">
        <v>16242229.050460858</v>
      </c>
      <c r="BC292" s="31">
        <f t="shared" si="23"/>
        <v>267050327.55663395</v>
      </c>
      <c r="BD292" s="31">
        <v>3998322.41</v>
      </c>
    </row>
    <row r="293" spans="2:56">
      <c r="B293" s="42" t="s">
        <v>193</v>
      </c>
      <c r="C293" s="42" t="s">
        <v>194</v>
      </c>
      <c r="D293" s="43" t="s">
        <v>1049</v>
      </c>
      <c r="E293" s="44">
        <v>32</v>
      </c>
      <c r="F293" s="31">
        <v>12472692.103237871</v>
      </c>
      <c r="G293" s="31">
        <v>237720.89999999997</v>
      </c>
      <c r="H293" s="31">
        <v>125757.15000000001</v>
      </c>
      <c r="I293" s="31">
        <v>46013.97</v>
      </c>
      <c r="J293" s="31">
        <v>1662721.4245707518</v>
      </c>
      <c r="K293" s="31">
        <v>966538.69088040106</v>
      </c>
      <c r="L293" s="31">
        <v>1137991.4381617596</v>
      </c>
      <c r="M293" s="31">
        <f t="shared" si="20"/>
        <v>16661720.436850784</v>
      </c>
      <c r="N293" s="31">
        <v>12284.76</v>
      </c>
      <c r="P293" s="42" t="s">
        <v>193</v>
      </c>
      <c r="Q293" s="42" t="s">
        <v>194</v>
      </c>
      <c r="R293" s="43" t="s">
        <v>1050</v>
      </c>
      <c r="S293" s="44">
        <v>32</v>
      </c>
      <c r="T293" s="31">
        <v>12942159.388751961</v>
      </c>
      <c r="U293" s="31">
        <v>246763.16999999995</v>
      </c>
      <c r="V293" s="31">
        <v>130459.42</v>
      </c>
      <c r="W293" s="31">
        <v>47734.509999999995</v>
      </c>
      <c r="X293" s="31">
        <v>1718347.6888335869</v>
      </c>
      <c r="Y293" s="31">
        <v>967522.19453440059</v>
      </c>
      <c r="Z293" s="31">
        <v>1177840.3022683612</v>
      </c>
      <c r="AA293" s="31">
        <f t="shared" si="21"/>
        <v>17243417.284388307</v>
      </c>
      <c r="AB293" s="31">
        <v>12590.610000000002</v>
      </c>
      <c r="AD293" s="42" t="s">
        <v>193</v>
      </c>
      <c r="AE293" s="42" t="s">
        <v>194</v>
      </c>
      <c r="AF293" s="43" t="s">
        <v>1275</v>
      </c>
      <c r="AG293" s="44">
        <v>32</v>
      </c>
      <c r="AH293" s="31">
        <v>13190663.545235522</v>
      </c>
      <c r="AI293" s="31">
        <v>251620.25</v>
      </c>
      <c r="AJ293" s="31">
        <v>133015.59</v>
      </c>
      <c r="AK293" s="31">
        <v>48669.8</v>
      </c>
      <c r="AL293" s="31">
        <v>1750363.0417805915</v>
      </c>
      <c r="AM293" s="31">
        <v>967162.53255208046</v>
      </c>
      <c r="AN293" s="31">
        <v>1200577.3472774511</v>
      </c>
      <c r="AO293" s="31">
        <f t="shared" si="22"/>
        <v>17554887.306845643</v>
      </c>
      <c r="AP293" s="31">
        <v>12815.200000000003</v>
      </c>
      <c r="AR293" s="42" t="s">
        <v>193</v>
      </c>
      <c r="AS293" s="42" t="s">
        <v>194</v>
      </c>
      <c r="AT293" s="43" t="s">
        <v>1276</v>
      </c>
      <c r="AU293" s="44">
        <v>32</v>
      </c>
      <c r="AV293" s="31">
        <v>13435765.295726877</v>
      </c>
      <c r="AW293" s="31">
        <v>256274.75</v>
      </c>
      <c r="AX293" s="31">
        <v>135477.88</v>
      </c>
      <c r="AY293" s="31">
        <v>49570.740000000005</v>
      </c>
      <c r="AZ293" s="31">
        <v>1782946.4809817399</v>
      </c>
      <c r="BA293" s="31">
        <v>967218.44651172042</v>
      </c>
      <c r="BB293" s="31">
        <v>1222937.1062192665</v>
      </c>
      <c r="BC293" s="31">
        <f t="shared" si="23"/>
        <v>17863246.439439602</v>
      </c>
      <c r="BD293" s="31">
        <v>13055.740000000003</v>
      </c>
    </row>
    <row r="294" spans="2:56">
      <c r="B294" s="42" t="s">
        <v>1024</v>
      </c>
      <c r="C294" s="42" t="s">
        <v>1044</v>
      </c>
      <c r="D294" s="43" t="s">
        <v>1049</v>
      </c>
      <c r="E294" s="44">
        <v>32</v>
      </c>
      <c r="F294" s="31">
        <v>1143193.3727090994</v>
      </c>
      <c r="G294" s="31">
        <v>80302.2</v>
      </c>
      <c r="H294" s="31">
        <v>0</v>
      </c>
      <c r="I294" s="31">
        <v>0</v>
      </c>
      <c r="J294" s="31">
        <v>153391.91466490593</v>
      </c>
      <c r="K294" s="31">
        <v>146487.5</v>
      </c>
      <c r="L294" s="31">
        <v>0</v>
      </c>
      <c r="M294" s="31">
        <f t="shared" si="20"/>
        <v>1560096.0973740055</v>
      </c>
      <c r="N294" s="31">
        <v>36721.11</v>
      </c>
      <c r="P294" s="42" t="s">
        <v>1024</v>
      </c>
      <c r="Q294" s="42" t="s">
        <v>1044</v>
      </c>
      <c r="R294" s="43" t="s">
        <v>1050</v>
      </c>
      <c r="S294" s="44">
        <v>32</v>
      </c>
      <c r="T294" s="31">
        <v>1195558.4163172853</v>
      </c>
      <c r="U294" s="31">
        <v>83143.600000000006</v>
      </c>
      <c r="V294" s="31">
        <v>0</v>
      </c>
      <c r="W294" s="31">
        <v>0</v>
      </c>
      <c r="X294" s="31">
        <v>157430.99622740204</v>
      </c>
      <c r="Y294" s="31">
        <v>146487.5</v>
      </c>
      <c r="Z294" s="31">
        <v>0</v>
      </c>
      <c r="AA294" s="31">
        <f t="shared" si="21"/>
        <v>1619926.7525446874</v>
      </c>
      <c r="AB294" s="31">
        <v>37306.239999999998</v>
      </c>
      <c r="AD294" s="42" t="s">
        <v>1024</v>
      </c>
      <c r="AE294" s="42" t="s">
        <v>1044</v>
      </c>
      <c r="AF294" s="43" t="s">
        <v>1275</v>
      </c>
      <c r="AG294" s="44">
        <v>32</v>
      </c>
      <c r="AH294" s="31">
        <v>1218577.1249819994</v>
      </c>
      <c r="AI294" s="31">
        <v>84841.32</v>
      </c>
      <c r="AJ294" s="31">
        <v>0</v>
      </c>
      <c r="AK294" s="31">
        <v>0</v>
      </c>
      <c r="AL294" s="31">
        <v>160349.1685761477</v>
      </c>
      <c r="AM294" s="31">
        <v>146487.5</v>
      </c>
      <c r="AN294" s="31">
        <v>0</v>
      </c>
      <c r="AO294" s="31">
        <f t="shared" si="22"/>
        <v>1648220.8435581471</v>
      </c>
      <c r="AP294" s="31">
        <v>37965.729999999996</v>
      </c>
      <c r="AR294" s="42" t="s">
        <v>1024</v>
      </c>
      <c r="AS294" s="42" t="s">
        <v>1044</v>
      </c>
      <c r="AT294" s="43" t="s">
        <v>1276</v>
      </c>
      <c r="AU294" s="44">
        <v>32</v>
      </c>
      <c r="AV294" s="31">
        <v>1241011.3578807879</v>
      </c>
      <c r="AW294" s="31">
        <v>86385.87999999999</v>
      </c>
      <c r="AX294" s="31">
        <v>0</v>
      </c>
      <c r="AY294" s="31">
        <v>0</v>
      </c>
      <c r="AZ294" s="31">
        <v>163306.08183512426</v>
      </c>
      <c r="BA294" s="31">
        <v>146487.5</v>
      </c>
      <c r="BB294" s="31">
        <v>0</v>
      </c>
      <c r="BC294" s="31">
        <f t="shared" si="23"/>
        <v>1675862.839715912</v>
      </c>
      <c r="BD294" s="31">
        <v>38672.020000000004</v>
      </c>
    </row>
    <row r="295" spans="2:56">
      <c r="B295" s="42" t="s">
        <v>523</v>
      </c>
      <c r="C295" s="42" t="s">
        <v>524</v>
      </c>
      <c r="D295" s="43" t="s">
        <v>1049</v>
      </c>
      <c r="E295" s="44">
        <v>32</v>
      </c>
      <c r="F295" s="31">
        <v>4240471.8246802147</v>
      </c>
      <c r="G295" s="31">
        <v>188952.34000000003</v>
      </c>
      <c r="H295" s="31">
        <v>0</v>
      </c>
      <c r="I295" s="31">
        <v>0</v>
      </c>
      <c r="J295" s="31">
        <v>577579.01062242058</v>
      </c>
      <c r="K295" s="31">
        <v>342388.08050716663</v>
      </c>
      <c r="L295" s="31">
        <v>231626.73305109574</v>
      </c>
      <c r="M295" s="31">
        <f t="shared" si="20"/>
        <v>5717713.3288608976</v>
      </c>
      <c r="N295" s="31">
        <v>136695.33999999997</v>
      </c>
      <c r="P295" s="42" t="s">
        <v>523</v>
      </c>
      <c r="Q295" s="42" t="s">
        <v>524</v>
      </c>
      <c r="R295" s="43" t="s">
        <v>1050</v>
      </c>
      <c r="S295" s="44">
        <v>32</v>
      </c>
      <c r="T295" s="31">
        <v>4438405.9436375154</v>
      </c>
      <c r="U295" s="31">
        <v>197964.75999999998</v>
      </c>
      <c r="V295" s="31">
        <v>0</v>
      </c>
      <c r="W295" s="31">
        <v>0</v>
      </c>
      <c r="X295" s="31">
        <v>597077.73854898161</v>
      </c>
      <c r="Y295" s="31">
        <v>342702.37777355523</v>
      </c>
      <c r="Z295" s="31">
        <v>242119.79744083132</v>
      </c>
      <c r="AA295" s="31">
        <f t="shared" si="21"/>
        <v>5958341.687400884</v>
      </c>
      <c r="AB295" s="31">
        <v>140071.06999999998</v>
      </c>
      <c r="AD295" s="42" t="s">
        <v>523</v>
      </c>
      <c r="AE295" s="42" t="s">
        <v>524</v>
      </c>
      <c r="AF295" s="43" t="s">
        <v>1275</v>
      </c>
      <c r="AG295" s="44">
        <v>32</v>
      </c>
      <c r="AH295" s="31">
        <v>4523599.0344180493</v>
      </c>
      <c r="AI295" s="31">
        <v>202102.29</v>
      </c>
      <c r="AJ295" s="31">
        <v>0</v>
      </c>
      <c r="AK295" s="31">
        <v>0</v>
      </c>
      <c r="AL295" s="31">
        <v>608155.79247283447</v>
      </c>
      <c r="AM295" s="31">
        <v>342595.60182602808</v>
      </c>
      <c r="AN295" s="31">
        <v>246786.59310203596</v>
      </c>
      <c r="AO295" s="31">
        <f t="shared" si="22"/>
        <v>6065789.1418189481</v>
      </c>
      <c r="AP295" s="31">
        <v>142549.82999999999</v>
      </c>
      <c r="AR295" s="42" t="s">
        <v>523</v>
      </c>
      <c r="AS295" s="42" t="s">
        <v>524</v>
      </c>
      <c r="AT295" s="43" t="s">
        <v>1276</v>
      </c>
      <c r="AU295" s="44">
        <v>32</v>
      </c>
      <c r="AV295" s="31">
        <v>4606852.0490629105</v>
      </c>
      <c r="AW295" s="31">
        <v>205771.92</v>
      </c>
      <c r="AX295" s="31">
        <v>0</v>
      </c>
      <c r="AY295" s="31">
        <v>0</v>
      </c>
      <c r="AZ295" s="31">
        <v>619388.77548938582</v>
      </c>
      <c r="BA295" s="31">
        <v>342612.5936534481</v>
      </c>
      <c r="BB295" s="31">
        <v>251348.85429074607</v>
      </c>
      <c r="BC295" s="31">
        <f t="shared" si="23"/>
        <v>6171178.7724964907</v>
      </c>
      <c r="BD295" s="31">
        <v>145204.57999999999</v>
      </c>
    </row>
    <row r="296" spans="2:56">
      <c r="B296" s="42" t="s">
        <v>121</v>
      </c>
      <c r="C296" s="42" t="s">
        <v>122</v>
      </c>
      <c r="D296" s="43" t="s">
        <v>1049</v>
      </c>
      <c r="E296" s="44">
        <v>32</v>
      </c>
      <c r="F296" s="31">
        <v>17909774.610841364</v>
      </c>
      <c r="G296" s="31">
        <v>1448583.6499999994</v>
      </c>
      <c r="H296" s="31">
        <v>1897697.1800000002</v>
      </c>
      <c r="I296" s="31">
        <v>67332.94</v>
      </c>
      <c r="J296" s="31">
        <v>2756880.9249971621</v>
      </c>
      <c r="K296" s="31">
        <v>1244300.079216785</v>
      </c>
      <c r="L296" s="31">
        <v>2428360.5454441784</v>
      </c>
      <c r="M296" s="31">
        <f t="shared" si="20"/>
        <v>28454030.38049949</v>
      </c>
      <c r="N296" s="31">
        <v>701100.45000000007</v>
      </c>
      <c r="P296" s="42" t="s">
        <v>121</v>
      </c>
      <c r="Q296" s="42" t="s">
        <v>122</v>
      </c>
      <c r="R296" s="43" t="s">
        <v>1050</v>
      </c>
      <c r="S296" s="44">
        <v>32</v>
      </c>
      <c r="T296" s="31">
        <v>18826213.981743682</v>
      </c>
      <c r="U296" s="31">
        <v>1513898.0599999996</v>
      </c>
      <c r="V296" s="31">
        <v>1970570.6700000002</v>
      </c>
      <c r="W296" s="31">
        <v>69918.579999999987</v>
      </c>
      <c r="X296" s="31">
        <v>2850338.6106821345</v>
      </c>
      <c r="Y296" s="31">
        <v>1245486.0919884949</v>
      </c>
      <c r="Z296" s="31">
        <v>2539231.7296120226</v>
      </c>
      <c r="AA296" s="31">
        <f t="shared" si="21"/>
        <v>29733993.784026332</v>
      </c>
      <c r="AB296" s="31">
        <v>718336.06</v>
      </c>
      <c r="AD296" s="42" t="s">
        <v>121</v>
      </c>
      <c r="AE296" s="42" t="s">
        <v>122</v>
      </c>
      <c r="AF296" s="43" t="s">
        <v>1275</v>
      </c>
      <c r="AG296" s="44">
        <v>32</v>
      </c>
      <c r="AH296" s="31">
        <v>19197487.042281143</v>
      </c>
      <c r="AI296" s="31">
        <v>1544907.5499999998</v>
      </c>
      <c r="AJ296" s="31">
        <v>2009117.5699999998</v>
      </c>
      <c r="AK296" s="31">
        <v>71286.279999999984</v>
      </c>
      <c r="AL296" s="31">
        <v>2903133.4691670211</v>
      </c>
      <c r="AM296" s="31">
        <v>1245083.1688611838</v>
      </c>
      <c r="AN296" s="31">
        <v>2588141.9811038068</v>
      </c>
      <c r="AO296" s="31">
        <f t="shared" si="22"/>
        <v>30290148.991413157</v>
      </c>
      <c r="AP296" s="31">
        <v>730991.93</v>
      </c>
      <c r="AR296" s="42" t="s">
        <v>121</v>
      </c>
      <c r="AS296" s="42" t="s">
        <v>122</v>
      </c>
      <c r="AT296" s="43" t="s">
        <v>1276</v>
      </c>
      <c r="AU296" s="44">
        <v>32</v>
      </c>
      <c r="AV296" s="31">
        <v>19559317.768238392</v>
      </c>
      <c r="AW296" s="31">
        <v>1572913.1400000001</v>
      </c>
      <c r="AX296" s="31">
        <v>2045805.9100000001</v>
      </c>
      <c r="AY296" s="31">
        <v>72588.039999999994</v>
      </c>
      <c r="AZ296" s="31">
        <v>2956591.5127565828</v>
      </c>
      <c r="BA296" s="31">
        <v>1245147.2881727081</v>
      </c>
      <c r="BB296" s="31">
        <v>2635855.7638101866</v>
      </c>
      <c r="BC296" s="31">
        <f t="shared" si="23"/>
        <v>30832765.79297787</v>
      </c>
      <c r="BD296" s="31">
        <v>744546.37</v>
      </c>
    </row>
    <row r="297" spans="2:56">
      <c r="B297" s="42" t="s">
        <v>535</v>
      </c>
      <c r="C297" s="42" t="s">
        <v>536</v>
      </c>
      <c r="D297" s="43" t="s">
        <v>1049</v>
      </c>
      <c r="E297" s="44">
        <v>32</v>
      </c>
      <c r="F297" s="31">
        <v>2943522.5446933853</v>
      </c>
      <c r="G297" s="31">
        <v>92668.039999999979</v>
      </c>
      <c r="H297" s="31">
        <v>0</v>
      </c>
      <c r="I297" s="31">
        <v>0</v>
      </c>
      <c r="J297" s="31">
        <v>222056.15772976269</v>
      </c>
      <c r="K297" s="31">
        <v>146130.77391307594</v>
      </c>
      <c r="L297" s="31">
        <v>131111.87206232833</v>
      </c>
      <c r="M297" s="31">
        <f t="shared" si="20"/>
        <v>3611787.0483985525</v>
      </c>
      <c r="N297" s="31">
        <v>76297.66</v>
      </c>
      <c r="P297" s="42" t="s">
        <v>535</v>
      </c>
      <c r="Q297" s="42" t="s">
        <v>536</v>
      </c>
      <c r="R297" s="43" t="s">
        <v>1050</v>
      </c>
      <c r="S297" s="44">
        <v>32</v>
      </c>
      <c r="T297" s="31">
        <v>3078291.6541438946</v>
      </c>
      <c r="U297" s="31">
        <v>97280.830000000045</v>
      </c>
      <c r="V297" s="31">
        <v>0</v>
      </c>
      <c r="W297" s="31">
        <v>0</v>
      </c>
      <c r="X297" s="31">
        <v>229583.78102487404</v>
      </c>
      <c r="Y297" s="31">
        <v>146242.22596017845</v>
      </c>
      <c r="Z297" s="31">
        <v>137099.12294204964</v>
      </c>
      <c r="AA297" s="31">
        <f t="shared" si="21"/>
        <v>3766670.9440709967</v>
      </c>
      <c r="AB297" s="31">
        <v>78173.329999999987</v>
      </c>
      <c r="AD297" s="42" t="s">
        <v>535</v>
      </c>
      <c r="AE297" s="42" t="s">
        <v>536</v>
      </c>
      <c r="AF297" s="43" t="s">
        <v>1275</v>
      </c>
      <c r="AG297" s="44">
        <v>32</v>
      </c>
      <c r="AH297" s="31">
        <v>3137324.8972011562</v>
      </c>
      <c r="AI297" s="31">
        <v>99335.630000000048</v>
      </c>
      <c r="AJ297" s="31">
        <v>0</v>
      </c>
      <c r="AK297" s="31">
        <v>0</v>
      </c>
      <c r="AL297" s="31">
        <v>233836.05923087965</v>
      </c>
      <c r="AM297" s="31">
        <v>146204.36244940103</v>
      </c>
      <c r="AN297" s="31">
        <v>139739.98285794264</v>
      </c>
      <c r="AO297" s="31">
        <f t="shared" si="22"/>
        <v>3835991.5517393798</v>
      </c>
      <c r="AP297" s="31">
        <v>79550.619999999981</v>
      </c>
      <c r="AR297" s="42" t="s">
        <v>535</v>
      </c>
      <c r="AS297" s="42" t="s">
        <v>536</v>
      </c>
      <c r="AT297" s="43" t="s">
        <v>1276</v>
      </c>
      <c r="AU297" s="44">
        <v>32</v>
      </c>
      <c r="AV297" s="31">
        <v>3194679.7535352949</v>
      </c>
      <c r="AW297" s="31">
        <v>101127.18999999997</v>
      </c>
      <c r="AX297" s="31">
        <v>0</v>
      </c>
      <c r="AY297" s="31">
        <v>0</v>
      </c>
      <c r="AZ297" s="31">
        <v>238141.63463675012</v>
      </c>
      <c r="BA297" s="31">
        <v>146210.38787231271</v>
      </c>
      <c r="BB297" s="31">
        <v>142316.18562262401</v>
      </c>
      <c r="BC297" s="31">
        <f t="shared" si="23"/>
        <v>3903500.8316669818</v>
      </c>
      <c r="BD297" s="31">
        <v>81025.679999999993</v>
      </c>
    </row>
    <row r="298" spans="2:56">
      <c r="B298" s="42" t="s">
        <v>527</v>
      </c>
      <c r="C298" s="42" t="s">
        <v>528</v>
      </c>
      <c r="D298" s="43" t="s">
        <v>1049</v>
      </c>
      <c r="E298" s="44">
        <v>32</v>
      </c>
      <c r="F298" s="31">
        <v>44707368.35328044</v>
      </c>
      <c r="G298" s="31">
        <v>1961048.5899999994</v>
      </c>
      <c r="H298" s="31">
        <v>1244986.9200000002</v>
      </c>
      <c r="I298" s="31">
        <v>159192.07999999999</v>
      </c>
      <c r="J298" s="31">
        <v>6935711.3390098158</v>
      </c>
      <c r="K298" s="31">
        <v>1683763.6898272519</v>
      </c>
      <c r="L298" s="31">
        <v>4201982.771805685</v>
      </c>
      <c r="M298" s="31">
        <f t="shared" si="20"/>
        <v>61695159.093923189</v>
      </c>
      <c r="N298" s="31">
        <v>801105.35000000009</v>
      </c>
      <c r="P298" s="42" t="s">
        <v>527</v>
      </c>
      <c r="Q298" s="42" t="s">
        <v>528</v>
      </c>
      <c r="R298" s="43" t="s">
        <v>1050</v>
      </c>
      <c r="S298" s="44">
        <v>32</v>
      </c>
      <c r="T298" s="31">
        <v>46867997.895197891</v>
      </c>
      <c r="U298" s="31">
        <v>2046341.77</v>
      </c>
      <c r="V298" s="31">
        <v>1292348.2100000002</v>
      </c>
      <c r="W298" s="31">
        <v>165247.99999999997</v>
      </c>
      <c r="X298" s="31">
        <v>7169812.5039745755</v>
      </c>
      <c r="Y298" s="31">
        <v>1684645.3954834293</v>
      </c>
      <c r="Z298" s="31">
        <v>4392675.2415861795</v>
      </c>
      <c r="AA298" s="31">
        <f t="shared" si="21"/>
        <v>64439957.936242081</v>
      </c>
      <c r="AB298" s="31">
        <v>820888.92</v>
      </c>
      <c r="AD298" s="42" t="s">
        <v>527</v>
      </c>
      <c r="AE298" s="42" t="s">
        <v>528</v>
      </c>
      <c r="AF298" s="43" t="s">
        <v>1275</v>
      </c>
      <c r="AG298" s="44">
        <v>32</v>
      </c>
      <c r="AH298" s="31">
        <v>47767276.097573161</v>
      </c>
      <c r="AI298" s="31">
        <v>2087934.6799999997</v>
      </c>
      <c r="AJ298" s="31">
        <v>1317643.05</v>
      </c>
      <c r="AK298" s="31">
        <v>168482.36000000002</v>
      </c>
      <c r="AL298" s="31">
        <v>7302835.2743933359</v>
      </c>
      <c r="AM298" s="31">
        <v>1684345.8543580477</v>
      </c>
      <c r="AN298" s="31">
        <v>4477368.4818419032</v>
      </c>
      <c r="AO298" s="31">
        <f t="shared" si="22"/>
        <v>65641301.498166442</v>
      </c>
      <c r="AP298" s="31">
        <v>835415.70000000019</v>
      </c>
      <c r="AR298" s="42" t="s">
        <v>527</v>
      </c>
      <c r="AS298" s="42" t="s">
        <v>528</v>
      </c>
      <c r="AT298" s="43" t="s">
        <v>1276</v>
      </c>
      <c r="AU298" s="44">
        <v>32</v>
      </c>
      <c r="AV298" s="31">
        <v>48648517.09138228</v>
      </c>
      <c r="AW298" s="31">
        <v>2126020.02</v>
      </c>
      <c r="AX298" s="31">
        <v>1341821.8299999998</v>
      </c>
      <c r="AY298" s="31">
        <v>171574.02000000002</v>
      </c>
      <c r="AZ298" s="31">
        <v>7437714.7651323061</v>
      </c>
      <c r="BA298" s="31">
        <v>1684393.5219388611</v>
      </c>
      <c r="BB298" s="31">
        <v>4560119.1347311428</v>
      </c>
      <c r="BC298" s="31">
        <f t="shared" si="23"/>
        <v>66821134.283184595</v>
      </c>
      <c r="BD298" s="31">
        <v>850973.9</v>
      </c>
    </row>
    <row r="299" spans="2:56">
      <c r="B299" s="42" t="s">
        <v>605</v>
      </c>
      <c r="C299" s="42" t="s">
        <v>606</v>
      </c>
      <c r="D299" s="43" t="s">
        <v>1049</v>
      </c>
      <c r="E299" s="44">
        <v>32</v>
      </c>
      <c r="F299" s="31">
        <v>23837920.896119941</v>
      </c>
      <c r="G299" s="31">
        <v>1732629.2</v>
      </c>
      <c r="H299" s="31">
        <v>1648925.8800000001</v>
      </c>
      <c r="I299" s="31">
        <v>85749.610000000015</v>
      </c>
      <c r="J299" s="31">
        <v>3575710.517867256</v>
      </c>
      <c r="K299" s="31">
        <v>1704815.0473985041</v>
      </c>
      <c r="L299" s="31">
        <v>2786180.7617077222</v>
      </c>
      <c r="M299" s="31">
        <f t="shared" si="20"/>
        <v>36270841.113093421</v>
      </c>
      <c r="N299" s="31">
        <v>898909.2</v>
      </c>
      <c r="P299" s="42" t="s">
        <v>605</v>
      </c>
      <c r="Q299" s="42" t="s">
        <v>606</v>
      </c>
      <c r="R299" s="43" t="s">
        <v>1050</v>
      </c>
      <c r="S299" s="44">
        <v>32</v>
      </c>
      <c r="T299" s="31">
        <v>25027450.458305389</v>
      </c>
      <c r="U299" s="31">
        <v>1811584.45</v>
      </c>
      <c r="V299" s="31">
        <v>1712246.3</v>
      </c>
      <c r="W299" s="31">
        <v>89042.48000000001</v>
      </c>
      <c r="X299" s="31">
        <v>3696876.0242721275</v>
      </c>
      <c r="Y299" s="31">
        <v>1706389.9896247275</v>
      </c>
      <c r="Z299" s="31">
        <v>2913320.5087183146</v>
      </c>
      <c r="AA299" s="31">
        <f t="shared" si="21"/>
        <v>37877917.890920557</v>
      </c>
      <c r="AB299" s="31">
        <v>921007.67999999993</v>
      </c>
      <c r="AD299" s="42" t="s">
        <v>605</v>
      </c>
      <c r="AE299" s="42" t="s">
        <v>606</v>
      </c>
      <c r="AF299" s="43" t="s">
        <v>1275</v>
      </c>
      <c r="AG299" s="44">
        <v>32</v>
      </c>
      <c r="AH299" s="31">
        <v>25508732.738977902</v>
      </c>
      <c r="AI299" s="31">
        <v>1848810.8499999996</v>
      </c>
      <c r="AJ299" s="31">
        <v>1745740.0400000003</v>
      </c>
      <c r="AK299" s="31">
        <v>90784.26</v>
      </c>
      <c r="AL299" s="31">
        <v>3765347.647354966</v>
      </c>
      <c r="AM299" s="31">
        <v>1705854.9358190175</v>
      </c>
      <c r="AN299" s="31">
        <v>2969436.5214912621</v>
      </c>
      <c r="AO299" s="31">
        <f t="shared" si="22"/>
        <v>38571941.273643143</v>
      </c>
      <c r="AP299" s="31">
        <v>937234.28000000014</v>
      </c>
      <c r="AR299" s="42" t="s">
        <v>605</v>
      </c>
      <c r="AS299" s="42" t="s">
        <v>606</v>
      </c>
      <c r="AT299" s="43" t="s">
        <v>1276</v>
      </c>
      <c r="AU299" s="44">
        <v>32</v>
      </c>
      <c r="AV299" s="31">
        <v>25977725.103179932</v>
      </c>
      <c r="AW299" s="31">
        <v>1882307.92</v>
      </c>
      <c r="AX299" s="31">
        <v>1777618.86</v>
      </c>
      <c r="AY299" s="31">
        <v>92442.07</v>
      </c>
      <c r="AZ299" s="31">
        <v>3834676.8124045674</v>
      </c>
      <c r="BA299" s="31">
        <v>1705940.0817918472</v>
      </c>
      <c r="BB299" s="31">
        <v>3024179.8048573276</v>
      </c>
      <c r="BC299" s="31">
        <f t="shared" si="23"/>
        <v>39249503.612233676</v>
      </c>
      <c r="BD299" s="31">
        <v>954612.96</v>
      </c>
    </row>
    <row r="300" spans="2:56">
      <c r="B300" s="42" t="s">
        <v>125</v>
      </c>
      <c r="C300" s="42" t="s">
        <v>126</v>
      </c>
      <c r="D300" s="43" t="s">
        <v>1049</v>
      </c>
      <c r="E300" s="44">
        <v>32</v>
      </c>
      <c r="F300" s="31">
        <v>7137822.105181613</v>
      </c>
      <c r="G300" s="31">
        <v>471622.82000000007</v>
      </c>
      <c r="H300" s="31">
        <v>375154.5</v>
      </c>
      <c r="I300" s="31">
        <v>24847.89</v>
      </c>
      <c r="J300" s="31">
        <v>1106431.2426925588</v>
      </c>
      <c r="K300" s="31">
        <v>394530.03798862337</v>
      </c>
      <c r="L300" s="31">
        <v>509592.77930813289</v>
      </c>
      <c r="M300" s="31">
        <f t="shared" si="20"/>
        <v>10277834.835170928</v>
      </c>
      <c r="N300" s="31">
        <v>257833.45999999996</v>
      </c>
      <c r="P300" s="42" t="s">
        <v>125</v>
      </c>
      <c r="Q300" s="42" t="s">
        <v>126</v>
      </c>
      <c r="R300" s="43" t="s">
        <v>1050</v>
      </c>
      <c r="S300" s="44">
        <v>32</v>
      </c>
      <c r="T300" s="31">
        <v>7489950.9224428423</v>
      </c>
      <c r="U300" s="31">
        <v>493296.2</v>
      </c>
      <c r="V300" s="31">
        <v>389560.8299999999</v>
      </c>
      <c r="W300" s="31">
        <v>25802.090000000004</v>
      </c>
      <c r="X300" s="31">
        <v>1143942.8291921434</v>
      </c>
      <c r="Y300" s="31">
        <v>394901.77336848021</v>
      </c>
      <c r="Z300" s="31">
        <v>532906.1468485425</v>
      </c>
      <c r="AA300" s="31">
        <f t="shared" si="21"/>
        <v>10734532.731852008</v>
      </c>
      <c r="AB300" s="31">
        <v>264171.94</v>
      </c>
      <c r="AD300" s="42" t="s">
        <v>125</v>
      </c>
      <c r="AE300" s="42" t="s">
        <v>126</v>
      </c>
      <c r="AF300" s="43" t="s">
        <v>1275</v>
      </c>
      <c r="AG300" s="44">
        <v>32</v>
      </c>
      <c r="AH300" s="31">
        <v>7633915.4278757237</v>
      </c>
      <c r="AI300" s="31">
        <v>503458.99000000011</v>
      </c>
      <c r="AJ300" s="31">
        <v>397181.1399999999</v>
      </c>
      <c r="AK300" s="31">
        <v>26306.81</v>
      </c>
      <c r="AL300" s="31">
        <v>1165132.1930644177</v>
      </c>
      <c r="AM300" s="31">
        <v>394775.48401868838</v>
      </c>
      <c r="AN300" s="31">
        <v>543170.96225482784</v>
      </c>
      <c r="AO300" s="31">
        <f t="shared" si="22"/>
        <v>10932767.207213659</v>
      </c>
      <c r="AP300" s="31">
        <v>268826.19999999995</v>
      </c>
      <c r="AR300" s="42" t="s">
        <v>125</v>
      </c>
      <c r="AS300" s="42" t="s">
        <v>126</v>
      </c>
      <c r="AT300" s="43" t="s">
        <v>1276</v>
      </c>
      <c r="AU300" s="44">
        <v>32</v>
      </c>
      <c r="AV300" s="31">
        <v>7774306.0751151163</v>
      </c>
      <c r="AW300" s="31">
        <v>512576.92</v>
      </c>
      <c r="AX300" s="31">
        <v>404434.02999999991</v>
      </c>
      <c r="AY300" s="31">
        <v>26787.19</v>
      </c>
      <c r="AZ300" s="31">
        <v>1186588.4628820103</v>
      </c>
      <c r="BA300" s="31">
        <v>394795.58111814148</v>
      </c>
      <c r="BB300" s="31">
        <v>553184.72442563926</v>
      </c>
      <c r="BC300" s="31">
        <f t="shared" si="23"/>
        <v>11126483.903540907</v>
      </c>
      <c r="BD300" s="31">
        <v>273810.92</v>
      </c>
    </row>
    <row r="301" spans="2:56">
      <c r="B301" s="42" t="s">
        <v>63</v>
      </c>
      <c r="C301" s="42" t="s">
        <v>64</v>
      </c>
      <c r="D301" s="43" t="s">
        <v>1049</v>
      </c>
      <c r="E301" s="44">
        <v>32</v>
      </c>
      <c r="F301" s="31">
        <v>23701632.537475526</v>
      </c>
      <c r="G301" s="31">
        <v>651214.2300000001</v>
      </c>
      <c r="H301" s="31">
        <v>128354.98</v>
      </c>
      <c r="I301" s="31">
        <v>85672.58</v>
      </c>
      <c r="J301" s="31">
        <v>3961546.6971979942</v>
      </c>
      <c r="K301" s="31">
        <v>2061373.458891331</v>
      </c>
      <c r="L301" s="31">
        <v>2488988.448427551</v>
      </c>
      <c r="M301" s="31">
        <f t="shared" si="20"/>
        <v>33078782.931992404</v>
      </c>
      <c r="N301" s="31">
        <v>0</v>
      </c>
      <c r="P301" s="42" t="s">
        <v>63</v>
      </c>
      <c r="Q301" s="42" t="s">
        <v>64</v>
      </c>
      <c r="R301" s="43" t="s">
        <v>1050</v>
      </c>
      <c r="S301" s="44">
        <v>32</v>
      </c>
      <c r="T301" s="31">
        <v>24604402.471495334</v>
      </c>
      <c r="U301" s="31">
        <v>675876.32000000007</v>
      </c>
      <c r="V301" s="31">
        <v>133215.89000000001</v>
      </c>
      <c r="W301" s="31">
        <v>88917.080000000016</v>
      </c>
      <c r="X301" s="31">
        <v>4094822.7688228791</v>
      </c>
      <c r="Y301" s="31">
        <v>2063326.7430885097</v>
      </c>
      <c r="Z301" s="31">
        <v>2576878.3097785264</v>
      </c>
      <c r="AA301" s="31">
        <f t="shared" si="21"/>
        <v>34237439.583185248</v>
      </c>
      <c r="AB301" s="31">
        <v>0</v>
      </c>
      <c r="AD301" s="42" t="s">
        <v>63</v>
      </c>
      <c r="AE301" s="42" t="s">
        <v>64</v>
      </c>
      <c r="AF301" s="43" t="s">
        <v>1275</v>
      </c>
      <c r="AG301" s="44">
        <v>32</v>
      </c>
      <c r="AH301" s="31">
        <v>25077232.224606797</v>
      </c>
      <c r="AI301" s="31">
        <v>689108.79</v>
      </c>
      <c r="AJ301" s="31">
        <v>135824.01999999999</v>
      </c>
      <c r="AK301" s="31">
        <v>90657.91</v>
      </c>
      <c r="AL301" s="31">
        <v>4170896.0267001218</v>
      </c>
      <c r="AM301" s="31">
        <v>2062637.287099798</v>
      </c>
      <c r="AN301" s="31">
        <v>2626567.2592402585</v>
      </c>
      <c r="AO301" s="31">
        <f t="shared" si="22"/>
        <v>34852923.517646968</v>
      </c>
      <c r="AP301" s="31">
        <v>0</v>
      </c>
      <c r="AR301" s="42" t="s">
        <v>63</v>
      </c>
      <c r="AS301" s="42" t="s">
        <v>64</v>
      </c>
      <c r="AT301" s="43" t="s">
        <v>1276</v>
      </c>
      <c r="AU301" s="44">
        <v>32</v>
      </c>
      <c r="AV301" s="31">
        <v>25540925.812588744</v>
      </c>
      <c r="AW301" s="31">
        <v>701783.1100000001</v>
      </c>
      <c r="AX301" s="31">
        <v>138322.15</v>
      </c>
      <c r="AY301" s="31">
        <v>92325.319999999992</v>
      </c>
      <c r="AZ301" s="31">
        <v>4248126.390739169</v>
      </c>
      <c r="BA301" s="31">
        <v>2062745.665805158</v>
      </c>
      <c r="BB301" s="31">
        <v>2675249.7095940532</v>
      </c>
      <c r="BC301" s="31">
        <f t="shared" si="23"/>
        <v>35459478.158727124</v>
      </c>
      <c r="BD301" s="31">
        <v>0</v>
      </c>
    </row>
    <row r="302" spans="2:56">
      <c r="B302" s="42" t="s">
        <v>3</v>
      </c>
      <c r="C302" s="42" t="s">
        <v>4</v>
      </c>
      <c r="D302" s="43" t="s">
        <v>1049</v>
      </c>
      <c r="E302" s="44">
        <v>32</v>
      </c>
      <c r="F302" s="31">
        <v>1869786.8670771243</v>
      </c>
      <c r="G302" s="31">
        <v>36248.68</v>
      </c>
      <c r="H302" s="31">
        <v>0</v>
      </c>
      <c r="I302" s="31">
        <v>2241.1799999999998</v>
      </c>
      <c r="J302" s="31">
        <v>50541.099808965599</v>
      </c>
      <c r="K302" s="31">
        <v>139525.01151309922</v>
      </c>
      <c r="L302" s="31">
        <v>49752.597159475619</v>
      </c>
      <c r="M302" s="31">
        <f t="shared" si="20"/>
        <v>2171579.1555586648</v>
      </c>
      <c r="N302" s="31">
        <v>23483.72</v>
      </c>
      <c r="P302" s="42" t="s">
        <v>3</v>
      </c>
      <c r="Q302" s="42" t="s">
        <v>4</v>
      </c>
      <c r="R302" s="43" t="s">
        <v>1050</v>
      </c>
      <c r="S302" s="44">
        <v>32</v>
      </c>
      <c r="T302" s="31">
        <v>1945128.3264366216</v>
      </c>
      <c r="U302" s="31">
        <v>37965.160000000003</v>
      </c>
      <c r="V302" s="31">
        <v>0</v>
      </c>
      <c r="W302" s="31">
        <v>2327.2400000000002</v>
      </c>
      <c r="X302" s="31">
        <v>52254.211445595851</v>
      </c>
      <c r="Y302" s="31">
        <v>139624.88683373146</v>
      </c>
      <c r="Z302" s="31">
        <v>51929.971526978654</v>
      </c>
      <c r="AA302" s="31">
        <f t="shared" si="21"/>
        <v>2253290.8162429272</v>
      </c>
      <c r="AB302" s="31">
        <v>24061.02</v>
      </c>
      <c r="AD302" s="42" t="s">
        <v>3</v>
      </c>
      <c r="AE302" s="42" t="s">
        <v>4</v>
      </c>
      <c r="AF302" s="43" t="s">
        <v>1275</v>
      </c>
      <c r="AG302" s="44">
        <v>32</v>
      </c>
      <c r="AH302" s="31">
        <v>1982294.9615856442</v>
      </c>
      <c r="AI302" s="31">
        <v>38754.550000000003</v>
      </c>
      <c r="AJ302" s="31">
        <v>0</v>
      </c>
      <c r="AK302" s="31">
        <v>2372.7799999999997</v>
      </c>
      <c r="AL302" s="31">
        <v>53222.070465008495</v>
      </c>
      <c r="AM302" s="31">
        <v>139590.95627455853</v>
      </c>
      <c r="AN302" s="31">
        <v>52930.248724929421</v>
      </c>
      <c r="AO302" s="31">
        <f t="shared" si="22"/>
        <v>2293650.5070501408</v>
      </c>
      <c r="AP302" s="31">
        <v>24484.94</v>
      </c>
      <c r="AR302" s="42" t="s">
        <v>3</v>
      </c>
      <c r="AS302" s="42" t="s">
        <v>4</v>
      </c>
      <c r="AT302" s="43" t="s">
        <v>1276</v>
      </c>
      <c r="AU302" s="44">
        <v>32</v>
      </c>
      <c r="AV302" s="31">
        <v>2018255.7183322674</v>
      </c>
      <c r="AW302" s="31">
        <v>39455.360000000001</v>
      </c>
      <c r="AX302" s="31">
        <v>0</v>
      </c>
      <c r="AY302" s="31">
        <v>2416.1100000000006</v>
      </c>
      <c r="AZ302" s="31">
        <v>54202.078658826293</v>
      </c>
      <c r="BA302" s="31">
        <v>139596.35582585339</v>
      </c>
      <c r="BB302" s="31">
        <v>53906.121504254697</v>
      </c>
      <c r="BC302" s="31">
        <f t="shared" si="23"/>
        <v>2332770.6943212021</v>
      </c>
      <c r="BD302" s="31">
        <v>24938.95</v>
      </c>
    </row>
    <row r="303" spans="2:56">
      <c r="B303" s="42" t="s">
        <v>99</v>
      </c>
      <c r="C303" s="42" t="s">
        <v>100</v>
      </c>
      <c r="D303" s="43" t="s">
        <v>1049</v>
      </c>
      <c r="E303" s="44">
        <v>32</v>
      </c>
      <c r="F303" s="31">
        <v>2876164.0334881954</v>
      </c>
      <c r="G303" s="31">
        <v>90037.089999999982</v>
      </c>
      <c r="H303" s="31">
        <v>22801.599999999999</v>
      </c>
      <c r="I303" s="31">
        <v>7210.77</v>
      </c>
      <c r="J303" s="31">
        <v>310099.22144629748</v>
      </c>
      <c r="K303" s="31">
        <v>159387.74880985575</v>
      </c>
      <c r="L303" s="31">
        <v>135135.10736188351</v>
      </c>
      <c r="M303" s="31">
        <f t="shared" si="20"/>
        <v>3673722.7211062321</v>
      </c>
      <c r="N303" s="31">
        <v>72887.150000000009</v>
      </c>
      <c r="P303" s="42" t="s">
        <v>99</v>
      </c>
      <c r="Q303" s="42" t="s">
        <v>100</v>
      </c>
      <c r="R303" s="43" t="s">
        <v>1050</v>
      </c>
      <c r="S303" s="44">
        <v>32</v>
      </c>
      <c r="T303" s="31">
        <v>3007124.5353371543</v>
      </c>
      <c r="U303" s="31">
        <v>94501.7</v>
      </c>
      <c r="V303" s="31">
        <v>23677.210000000003</v>
      </c>
      <c r="W303" s="31">
        <v>7487.66</v>
      </c>
      <c r="X303" s="31">
        <v>320607.82030598068</v>
      </c>
      <c r="Y303" s="31">
        <v>159490.21758246521</v>
      </c>
      <c r="Z303" s="31">
        <v>141265.87346005224</v>
      </c>
      <c r="AA303" s="31">
        <f t="shared" si="21"/>
        <v>3828834.0166856525</v>
      </c>
      <c r="AB303" s="31">
        <v>74679.000000000015</v>
      </c>
      <c r="AD303" s="42" t="s">
        <v>99</v>
      </c>
      <c r="AE303" s="42" t="s">
        <v>100</v>
      </c>
      <c r="AF303" s="43" t="s">
        <v>1275</v>
      </c>
      <c r="AG303" s="44">
        <v>32</v>
      </c>
      <c r="AH303" s="31">
        <v>3064788.409005573</v>
      </c>
      <c r="AI303" s="31">
        <v>96495.390000000029</v>
      </c>
      <c r="AJ303" s="31">
        <v>24140.360000000004</v>
      </c>
      <c r="AK303" s="31">
        <v>7634.119999999999</v>
      </c>
      <c r="AL303" s="31">
        <v>326546.38888014358</v>
      </c>
      <c r="AM303" s="31">
        <v>159455.40595202046</v>
      </c>
      <c r="AN303" s="31">
        <v>143986.9190421933</v>
      </c>
      <c r="AO303" s="31">
        <f t="shared" si="22"/>
        <v>3899041.6928799306</v>
      </c>
      <c r="AP303" s="31">
        <v>75994.7</v>
      </c>
      <c r="AR303" s="42" t="s">
        <v>99</v>
      </c>
      <c r="AS303" s="42" t="s">
        <v>100</v>
      </c>
      <c r="AT303" s="43" t="s">
        <v>1276</v>
      </c>
      <c r="AU303" s="44">
        <v>32</v>
      </c>
      <c r="AV303" s="31">
        <v>3120830.4455272108</v>
      </c>
      <c r="AW303" s="31">
        <v>98236.079999999973</v>
      </c>
      <c r="AX303" s="31">
        <v>24581.180000000004</v>
      </c>
      <c r="AY303" s="31">
        <v>7773.53</v>
      </c>
      <c r="AZ303" s="31">
        <v>332559.68932760612</v>
      </c>
      <c r="BA303" s="31">
        <v>159460.94571289755</v>
      </c>
      <c r="BB303" s="31">
        <v>146641.30430406635</v>
      </c>
      <c r="BC303" s="31">
        <f t="shared" si="23"/>
        <v>3967487.0148717808</v>
      </c>
      <c r="BD303" s="31">
        <v>77403.840000000011</v>
      </c>
    </row>
    <row r="304" spans="2:56">
      <c r="B304" s="42" t="s">
        <v>487</v>
      </c>
      <c r="C304" s="42" t="s">
        <v>488</v>
      </c>
      <c r="D304" s="43" t="s">
        <v>1049</v>
      </c>
      <c r="E304" s="44">
        <v>32</v>
      </c>
      <c r="F304" s="31">
        <v>4031543.1656304356</v>
      </c>
      <c r="G304" s="31">
        <v>218953.82000000004</v>
      </c>
      <c r="H304" s="31">
        <v>0</v>
      </c>
      <c r="I304" s="31">
        <v>10913.58</v>
      </c>
      <c r="J304" s="31">
        <v>503401.18296955025</v>
      </c>
      <c r="K304" s="31">
        <v>279621.71931425604</v>
      </c>
      <c r="L304" s="31">
        <v>58645.518245124011</v>
      </c>
      <c r="M304" s="31">
        <f t="shared" si="20"/>
        <v>5216599.7661593668</v>
      </c>
      <c r="N304" s="31">
        <v>113520.78</v>
      </c>
      <c r="P304" s="42" t="s">
        <v>487</v>
      </c>
      <c r="Q304" s="42" t="s">
        <v>488</v>
      </c>
      <c r="R304" s="43" t="s">
        <v>1050</v>
      </c>
      <c r="S304" s="44">
        <v>32</v>
      </c>
      <c r="T304" s="31">
        <v>4219829.4315142352</v>
      </c>
      <c r="U304" s="31">
        <v>228930.40999999997</v>
      </c>
      <c r="V304" s="31">
        <v>0</v>
      </c>
      <c r="W304" s="31">
        <v>11332.68</v>
      </c>
      <c r="X304" s="31">
        <v>520461.94095960405</v>
      </c>
      <c r="Y304" s="31">
        <v>279871.31509619503</v>
      </c>
      <c r="Z304" s="31">
        <v>61341.997309867191</v>
      </c>
      <c r="AA304" s="31">
        <f t="shared" si="21"/>
        <v>5438079.3248799015</v>
      </c>
      <c r="AB304" s="31">
        <v>116311.54999999999</v>
      </c>
      <c r="AD304" s="42" t="s">
        <v>487</v>
      </c>
      <c r="AE304" s="42" t="s">
        <v>488</v>
      </c>
      <c r="AF304" s="43" t="s">
        <v>1275</v>
      </c>
      <c r="AG304" s="44">
        <v>32</v>
      </c>
      <c r="AH304" s="31">
        <v>4300709.7456111675</v>
      </c>
      <c r="AI304" s="31">
        <v>233634.56999999995</v>
      </c>
      <c r="AJ304" s="31">
        <v>0</v>
      </c>
      <c r="AK304" s="31">
        <v>11554.370000000003</v>
      </c>
      <c r="AL304" s="31">
        <v>530101.92101547867</v>
      </c>
      <c r="AM304" s="31">
        <v>279786.52012988325</v>
      </c>
      <c r="AN304" s="31">
        <v>62523.462166206933</v>
      </c>
      <c r="AO304" s="31">
        <f t="shared" si="22"/>
        <v>5536671.3389227372</v>
      </c>
      <c r="AP304" s="31">
        <v>118360.75</v>
      </c>
      <c r="AR304" s="42" t="s">
        <v>487</v>
      </c>
      <c r="AS304" s="42" t="s">
        <v>488</v>
      </c>
      <c r="AT304" s="43" t="s">
        <v>1276</v>
      </c>
      <c r="AU304" s="44">
        <v>32</v>
      </c>
      <c r="AV304" s="31">
        <v>4379510.5305649694</v>
      </c>
      <c r="AW304" s="31">
        <v>237867.62999999995</v>
      </c>
      <c r="AX304" s="31">
        <v>0</v>
      </c>
      <c r="AY304" s="31">
        <v>11765.350000000002</v>
      </c>
      <c r="AZ304" s="31">
        <v>539862.84267235245</v>
      </c>
      <c r="BA304" s="31">
        <v>279800.01400623861</v>
      </c>
      <c r="BB304" s="31">
        <v>63676.011307426794</v>
      </c>
      <c r="BC304" s="31">
        <f t="shared" si="23"/>
        <v>5633037.8385509867</v>
      </c>
      <c r="BD304" s="31">
        <v>120555.46000000002</v>
      </c>
    </row>
    <row r="305" spans="2:56">
      <c r="B305" s="42" t="s">
        <v>41</v>
      </c>
      <c r="C305" s="42" t="s">
        <v>42</v>
      </c>
      <c r="D305" s="43" t="s">
        <v>1049</v>
      </c>
      <c r="E305" s="44">
        <v>32</v>
      </c>
      <c r="F305" s="31">
        <v>57079730.123818897</v>
      </c>
      <c r="G305" s="31">
        <v>2760943.3499999992</v>
      </c>
      <c r="H305" s="31">
        <v>2617791.5599999996</v>
      </c>
      <c r="I305" s="31">
        <v>0</v>
      </c>
      <c r="J305" s="31">
        <v>9285388.0489470139</v>
      </c>
      <c r="K305" s="31">
        <v>2284201.8460614439</v>
      </c>
      <c r="L305" s="31">
        <v>8472249.3594453558</v>
      </c>
      <c r="M305" s="31">
        <f t="shared" si="20"/>
        <v>84350685.128272712</v>
      </c>
      <c r="N305" s="31">
        <v>1850380.8400000003</v>
      </c>
      <c r="P305" s="42" t="s">
        <v>41</v>
      </c>
      <c r="Q305" s="42" t="s">
        <v>42</v>
      </c>
      <c r="R305" s="43" t="s">
        <v>1050</v>
      </c>
      <c r="S305" s="44">
        <v>32</v>
      </c>
      <c r="T305" s="31">
        <v>59466575.853992298</v>
      </c>
      <c r="U305" s="31">
        <v>2866481.4400000004</v>
      </c>
      <c r="V305" s="31">
        <v>2694442.3800000004</v>
      </c>
      <c r="W305" s="31">
        <v>0</v>
      </c>
      <c r="X305" s="31">
        <v>9531670.0324823353</v>
      </c>
      <c r="Y305" s="31">
        <v>2286482.5113672204</v>
      </c>
      <c r="Z305" s="31">
        <v>8794417.5986302197</v>
      </c>
      <c r="AA305" s="31">
        <f t="shared" si="21"/>
        <v>87519935.496472061</v>
      </c>
      <c r="AB305" s="31">
        <v>1879865.6799999997</v>
      </c>
      <c r="AD305" s="42" t="s">
        <v>41</v>
      </c>
      <c r="AE305" s="42" t="s">
        <v>42</v>
      </c>
      <c r="AF305" s="43" t="s">
        <v>1275</v>
      </c>
      <c r="AG305" s="44">
        <v>32</v>
      </c>
      <c r="AH305" s="31">
        <v>60606945.414278969</v>
      </c>
      <c r="AI305" s="31">
        <v>2926136.2500000005</v>
      </c>
      <c r="AJ305" s="31">
        <v>2747172.5700000003</v>
      </c>
      <c r="AK305" s="31">
        <v>0</v>
      </c>
      <c r="AL305" s="31">
        <v>9708507.8058550116</v>
      </c>
      <c r="AM305" s="31">
        <v>2285690.4685521275</v>
      </c>
      <c r="AN305" s="31">
        <v>8963967.799962569</v>
      </c>
      <c r="AO305" s="31">
        <f t="shared" si="22"/>
        <v>89151517.108648673</v>
      </c>
      <c r="AP305" s="31">
        <v>1913096.8000000003</v>
      </c>
      <c r="AR305" s="42" t="s">
        <v>41</v>
      </c>
      <c r="AS305" s="42" t="s">
        <v>42</v>
      </c>
      <c r="AT305" s="43" t="s">
        <v>1276</v>
      </c>
      <c r="AU305" s="44">
        <v>32</v>
      </c>
      <c r="AV305" s="31">
        <v>61724908.385154344</v>
      </c>
      <c r="AW305" s="31">
        <v>2979240.6800000006</v>
      </c>
      <c r="AX305" s="31">
        <v>2797523.6100000003</v>
      </c>
      <c r="AY305" s="31">
        <v>0</v>
      </c>
      <c r="AZ305" s="31">
        <v>9887821.5709432773</v>
      </c>
      <c r="BA305" s="31">
        <v>2285815.7194627975</v>
      </c>
      <c r="BB305" s="31">
        <v>9129616.8482673541</v>
      </c>
      <c r="BC305" s="31">
        <f t="shared" si="23"/>
        <v>90753614.153827786</v>
      </c>
      <c r="BD305" s="31">
        <v>1948687.3399999999</v>
      </c>
    </row>
    <row r="306" spans="2:56">
      <c r="B306" s="42" t="s">
        <v>473</v>
      </c>
      <c r="C306" s="42" t="s">
        <v>474</v>
      </c>
      <c r="D306" s="43" t="s">
        <v>1049</v>
      </c>
      <c r="E306" s="44">
        <v>32</v>
      </c>
      <c r="F306" s="31">
        <v>27252421.454663172</v>
      </c>
      <c r="G306" s="31">
        <v>1113185.7600000002</v>
      </c>
      <c r="H306" s="31">
        <v>159513.76</v>
      </c>
      <c r="I306" s="31">
        <v>95688.760000000009</v>
      </c>
      <c r="J306" s="31">
        <v>3790502.1442183964</v>
      </c>
      <c r="K306" s="31">
        <v>1633321.272659702</v>
      </c>
      <c r="L306" s="31">
        <v>2553035.502410965</v>
      </c>
      <c r="M306" s="31">
        <f t="shared" si="20"/>
        <v>37123274.753952242</v>
      </c>
      <c r="N306" s="31">
        <v>525606.1</v>
      </c>
      <c r="P306" s="42" t="s">
        <v>473</v>
      </c>
      <c r="Q306" s="42" t="s">
        <v>474</v>
      </c>
      <c r="R306" s="43" t="s">
        <v>1050</v>
      </c>
      <c r="S306" s="44">
        <v>32</v>
      </c>
      <c r="T306" s="31">
        <v>28512577.770767473</v>
      </c>
      <c r="U306" s="31">
        <v>1163195.69</v>
      </c>
      <c r="V306" s="31">
        <v>165639.24</v>
      </c>
      <c r="W306" s="31">
        <v>99363.3</v>
      </c>
      <c r="X306" s="31">
        <v>3918988.2208566684</v>
      </c>
      <c r="Y306" s="31">
        <v>1634795.1632661815</v>
      </c>
      <c r="Z306" s="31">
        <v>2669540.1713958625</v>
      </c>
      <c r="AA306" s="31">
        <f t="shared" si="21"/>
        <v>38702626.966286182</v>
      </c>
      <c r="AB306" s="31">
        <v>538527.41</v>
      </c>
      <c r="AD306" s="42" t="s">
        <v>473</v>
      </c>
      <c r="AE306" s="42" t="s">
        <v>474</v>
      </c>
      <c r="AF306" s="43" t="s">
        <v>1275</v>
      </c>
      <c r="AG306" s="44">
        <v>32</v>
      </c>
      <c r="AH306" s="31">
        <v>29056298.556449443</v>
      </c>
      <c r="AI306" s="31">
        <v>1186995.6100000001</v>
      </c>
      <c r="AJ306" s="31">
        <v>168879.35</v>
      </c>
      <c r="AK306" s="31">
        <v>101306.98</v>
      </c>
      <c r="AL306" s="31">
        <v>3991600.5867577423</v>
      </c>
      <c r="AM306" s="31">
        <v>1634294.4396427579</v>
      </c>
      <c r="AN306" s="31">
        <v>2720960.2601633468</v>
      </c>
      <c r="AO306" s="31">
        <f t="shared" si="22"/>
        <v>39408351.153013289</v>
      </c>
      <c r="AP306" s="31">
        <v>548015.37000000011</v>
      </c>
      <c r="AR306" s="42" t="s">
        <v>473</v>
      </c>
      <c r="AS306" s="42" t="s">
        <v>474</v>
      </c>
      <c r="AT306" s="43" t="s">
        <v>1276</v>
      </c>
      <c r="AU306" s="44">
        <v>32</v>
      </c>
      <c r="AV306" s="31">
        <v>29591465.440153059</v>
      </c>
      <c r="AW306" s="31">
        <v>1208516.9400000002</v>
      </c>
      <c r="AX306" s="31">
        <v>171963.25999999998</v>
      </c>
      <c r="AY306" s="31">
        <v>103156.94</v>
      </c>
      <c r="AZ306" s="31">
        <v>4065144.2706073266</v>
      </c>
      <c r="BA306" s="31">
        <v>1634374.1224701304</v>
      </c>
      <c r="BB306" s="31">
        <v>2771122.5975335226</v>
      </c>
      <c r="BC306" s="31">
        <f t="shared" si="23"/>
        <v>40103920.520764053</v>
      </c>
      <c r="BD306" s="31">
        <v>558176.94999999995</v>
      </c>
    </row>
    <row r="307" spans="2:56">
      <c r="B307" s="42" t="s">
        <v>607</v>
      </c>
      <c r="C307" s="42" t="s">
        <v>608</v>
      </c>
      <c r="D307" s="43" t="s">
        <v>1049</v>
      </c>
      <c r="E307" s="44">
        <v>32</v>
      </c>
      <c r="F307" s="31">
        <v>41508058.699975565</v>
      </c>
      <c r="G307" s="31">
        <v>1563371.09</v>
      </c>
      <c r="H307" s="31">
        <v>669554.99000000011</v>
      </c>
      <c r="I307" s="31">
        <v>151726.78</v>
      </c>
      <c r="J307" s="31">
        <v>6987543.5982942274</v>
      </c>
      <c r="K307" s="31">
        <v>2269708.6322501143</v>
      </c>
      <c r="L307" s="31">
        <v>5408103.0815354018</v>
      </c>
      <c r="M307" s="31">
        <f t="shared" si="20"/>
        <v>59013751.642055318</v>
      </c>
      <c r="N307" s="31">
        <v>455684.77</v>
      </c>
      <c r="P307" s="42" t="s">
        <v>607</v>
      </c>
      <c r="Q307" s="42" t="s">
        <v>608</v>
      </c>
      <c r="R307" s="43" t="s">
        <v>1050</v>
      </c>
      <c r="S307" s="44">
        <v>32</v>
      </c>
      <c r="T307" s="31">
        <v>42810732.451853052</v>
      </c>
      <c r="U307" s="31">
        <v>1615229.3900000001</v>
      </c>
      <c r="V307" s="31">
        <v>689160.03999999992</v>
      </c>
      <c r="W307" s="31">
        <v>156169.47</v>
      </c>
      <c r="X307" s="31">
        <v>7172643.9951886805</v>
      </c>
      <c r="Y307" s="31">
        <v>2271996.3043406866</v>
      </c>
      <c r="Z307" s="31">
        <v>5561173.6251710746</v>
      </c>
      <c r="AA307" s="31">
        <f t="shared" si="21"/>
        <v>60740051.146553487</v>
      </c>
      <c r="AB307" s="31">
        <v>462945.87</v>
      </c>
      <c r="AD307" s="42" t="s">
        <v>607</v>
      </c>
      <c r="AE307" s="42" t="s">
        <v>608</v>
      </c>
      <c r="AF307" s="43" t="s">
        <v>1275</v>
      </c>
      <c r="AG307" s="44">
        <v>32</v>
      </c>
      <c r="AH307" s="31">
        <v>43633270.727295808</v>
      </c>
      <c r="AI307" s="31">
        <v>1647715.5700000005</v>
      </c>
      <c r="AJ307" s="31">
        <v>702646.8899999999</v>
      </c>
      <c r="AK307" s="31">
        <v>159225.69999999995</v>
      </c>
      <c r="AL307" s="31">
        <v>7305693.7440114487</v>
      </c>
      <c r="AM307" s="31">
        <v>2271201.8281683004</v>
      </c>
      <c r="AN307" s="31">
        <v>5668344.7120107785</v>
      </c>
      <c r="AO307" s="31">
        <f t="shared" si="22"/>
        <v>61859228.721486337</v>
      </c>
      <c r="AP307" s="31">
        <v>471129.55000000005</v>
      </c>
      <c r="AR307" s="42" t="s">
        <v>607</v>
      </c>
      <c r="AS307" s="42" t="s">
        <v>608</v>
      </c>
      <c r="AT307" s="43" t="s">
        <v>1276</v>
      </c>
      <c r="AU307" s="44">
        <v>32</v>
      </c>
      <c r="AV307" s="31">
        <v>44437897.13135583</v>
      </c>
      <c r="AW307" s="31">
        <v>1677785.7000000002</v>
      </c>
      <c r="AX307" s="31">
        <v>715525.23</v>
      </c>
      <c r="AY307" s="31">
        <v>162144.03999999998</v>
      </c>
      <c r="AZ307" s="31">
        <v>7440588.5439003417</v>
      </c>
      <c r="BA307" s="31">
        <v>2271327.4638816742</v>
      </c>
      <c r="BB307" s="31">
        <v>5773136.1505895387</v>
      </c>
      <c r="BC307" s="31">
        <f t="shared" si="23"/>
        <v>62958298.529727384</v>
      </c>
      <c r="BD307" s="31">
        <v>479894.27</v>
      </c>
    </row>
    <row r="308" spans="2:56">
      <c r="B308" s="42" t="s">
        <v>1253</v>
      </c>
      <c r="C308" s="42" t="s">
        <v>1254</v>
      </c>
      <c r="D308" s="43" t="s">
        <v>1049</v>
      </c>
      <c r="E308" s="44">
        <v>32</v>
      </c>
      <c r="F308" s="31">
        <v>1459299.1193121755</v>
      </c>
      <c r="G308" s="31">
        <v>20466</v>
      </c>
      <c r="H308" s="31">
        <v>0</v>
      </c>
      <c r="I308" s="31">
        <v>0</v>
      </c>
      <c r="J308" s="31">
        <v>60028.425250620443</v>
      </c>
      <c r="K308" s="31">
        <v>0</v>
      </c>
      <c r="L308" s="31">
        <v>0</v>
      </c>
      <c r="M308" s="31">
        <f t="shared" si="20"/>
        <v>1554745.364562796</v>
      </c>
      <c r="N308" s="31">
        <v>14951.820000000002</v>
      </c>
      <c r="P308" s="42" t="s">
        <v>1253</v>
      </c>
      <c r="Q308" s="42" t="s">
        <v>1254</v>
      </c>
      <c r="R308" s="43" t="s">
        <v>1050</v>
      </c>
      <c r="S308" s="44">
        <v>32</v>
      </c>
      <c r="T308" s="31">
        <v>1501246.8540100656</v>
      </c>
      <c r="U308" s="31">
        <v>21253.689999999995</v>
      </c>
      <c r="V308" s="31">
        <v>0</v>
      </c>
      <c r="W308" s="31">
        <v>0</v>
      </c>
      <c r="X308" s="31">
        <v>61639.319583651624</v>
      </c>
      <c r="Y308" s="31">
        <v>0</v>
      </c>
      <c r="Z308" s="31">
        <v>0</v>
      </c>
      <c r="AA308" s="31">
        <f t="shared" si="21"/>
        <v>1599338.6135937171</v>
      </c>
      <c r="AB308" s="31">
        <v>15198.75</v>
      </c>
      <c r="AD308" s="42" t="s">
        <v>1253</v>
      </c>
      <c r="AE308" s="42" t="s">
        <v>1254</v>
      </c>
      <c r="AF308" s="43" t="s">
        <v>1275</v>
      </c>
      <c r="AG308" s="44">
        <v>32</v>
      </c>
      <c r="AH308" s="31">
        <v>1529986.1621169744</v>
      </c>
      <c r="AI308" s="31">
        <v>21697.289999999997</v>
      </c>
      <c r="AJ308" s="31">
        <v>0</v>
      </c>
      <c r="AK308" s="31">
        <v>0</v>
      </c>
      <c r="AL308" s="31">
        <v>62787.522805490538</v>
      </c>
      <c r="AM308" s="31">
        <v>0</v>
      </c>
      <c r="AN308" s="31">
        <v>0</v>
      </c>
      <c r="AO308" s="31">
        <f t="shared" si="22"/>
        <v>1629940.064922465</v>
      </c>
      <c r="AP308" s="31">
        <v>15469.09</v>
      </c>
      <c r="AR308" s="42" t="s">
        <v>1253</v>
      </c>
      <c r="AS308" s="42" t="s">
        <v>1254</v>
      </c>
      <c r="AT308" s="43" t="s">
        <v>1276</v>
      </c>
      <c r="AU308" s="44">
        <v>32</v>
      </c>
      <c r="AV308" s="31">
        <v>1557998.8019889533</v>
      </c>
      <c r="AW308" s="31">
        <v>22093.600000000006</v>
      </c>
      <c r="AX308" s="31">
        <v>0</v>
      </c>
      <c r="AY308" s="31">
        <v>0</v>
      </c>
      <c r="AZ308" s="31">
        <v>63955.806975879037</v>
      </c>
      <c r="BA308" s="31">
        <v>0</v>
      </c>
      <c r="BB308" s="31">
        <v>0</v>
      </c>
      <c r="BC308" s="31">
        <f t="shared" si="23"/>
        <v>1659806.8289648325</v>
      </c>
      <c r="BD308" s="31">
        <v>15758.62</v>
      </c>
    </row>
    <row r="309" spans="2:56">
      <c r="B309" s="42" t="s">
        <v>293</v>
      </c>
      <c r="C309" s="42" t="s">
        <v>294</v>
      </c>
      <c r="D309" s="43" t="s">
        <v>1049</v>
      </c>
      <c r="E309" s="44">
        <v>32</v>
      </c>
      <c r="F309" s="31">
        <v>3375597.7565639042</v>
      </c>
      <c r="G309" s="31">
        <v>140707.29</v>
      </c>
      <c r="H309" s="31">
        <v>0</v>
      </c>
      <c r="I309" s="31">
        <v>9062.18</v>
      </c>
      <c r="J309" s="31">
        <v>394223.18565639714</v>
      </c>
      <c r="K309" s="31">
        <v>447455.15663249994</v>
      </c>
      <c r="L309" s="31">
        <v>166403.18024335333</v>
      </c>
      <c r="M309" s="31">
        <f t="shared" si="20"/>
        <v>4628650.3090961548</v>
      </c>
      <c r="N309" s="31">
        <v>95201.56</v>
      </c>
      <c r="P309" s="42" t="s">
        <v>293</v>
      </c>
      <c r="Q309" s="42" t="s">
        <v>294</v>
      </c>
      <c r="R309" s="43" t="s">
        <v>1050</v>
      </c>
      <c r="S309" s="44">
        <v>32</v>
      </c>
      <c r="T309" s="31">
        <v>3530839.0021394375</v>
      </c>
      <c r="U309" s="31">
        <v>147426.04000000004</v>
      </c>
      <c r="V309" s="31">
        <v>0</v>
      </c>
      <c r="W309" s="31">
        <v>9410.17</v>
      </c>
      <c r="X309" s="31">
        <v>407574.73968416918</v>
      </c>
      <c r="Y309" s="31">
        <v>448000.58638569672</v>
      </c>
      <c r="Z309" s="31">
        <v>174029.74747659842</v>
      </c>
      <c r="AA309" s="31">
        <f t="shared" si="21"/>
        <v>4814822.2456859015</v>
      </c>
      <c r="AB309" s="31">
        <v>97541.96</v>
      </c>
      <c r="AD309" s="42" t="s">
        <v>293</v>
      </c>
      <c r="AE309" s="42" t="s">
        <v>294</v>
      </c>
      <c r="AF309" s="43" t="s">
        <v>1275</v>
      </c>
      <c r="AG309" s="44">
        <v>32</v>
      </c>
      <c r="AH309" s="31">
        <v>3598459.8484992641</v>
      </c>
      <c r="AI309" s="31">
        <v>150499.41</v>
      </c>
      <c r="AJ309" s="31">
        <v>0</v>
      </c>
      <c r="AK309" s="31">
        <v>9594.26</v>
      </c>
      <c r="AL309" s="31">
        <v>415124.03197383916</v>
      </c>
      <c r="AM309" s="31">
        <v>447815.28799167555</v>
      </c>
      <c r="AN309" s="31">
        <v>177381.8424559432</v>
      </c>
      <c r="AO309" s="31">
        <f t="shared" si="22"/>
        <v>4898135.1609207224</v>
      </c>
      <c r="AP309" s="31">
        <v>99260.48000000001</v>
      </c>
      <c r="AR309" s="42" t="s">
        <v>293</v>
      </c>
      <c r="AS309" s="42" t="s">
        <v>294</v>
      </c>
      <c r="AT309" s="43" t="s">
        <v>1276</v>
      </c>
      <c r="AU309" s="44">
        <v>32</v>
      </c>
      <c r="AV309" s="31">
        <v>3664356.6684384649</v>
      </c>
      <c r="AW309" s="31">
        <v>153219.71000000002</v>
      </c>
      <c r="AX309" s="31">
        <v>0</v>
      </c>
      <c r="AY309" s="31">
        <v>9769.4700000000012</v>
      </c>
      <c r="AZ309" s="31">
        <v>422768.18998736085</v>
      </c>
      <c r="BA309" s="31">
        <v>447844.77551583556</v>
      </c>
      <c r="BB309" s="31">
        <v>180651.95156794146</v>
      </c>
      <c r="BC309" s="31">
        <f t="shared" si="23"/>
        <v>4979711.7955096029</v>
      </c>
      <c r="BD309" s="31">
        <v>101101.03000000001</v>
      </c>
    </row>
    <row r="310" spans="2:56">
      <c r="B310" s="42" t="s">
        <v>387</v>
      </c>
      <c r="C310" s="42" t="s">
        <v>388</v>
      </c>
      <c r="D310" s="43" t="s">
        <v>1049</v>
      </c>
      <c r="E310" s="44">
        <v>32</v>
      </c>
      <c r="F310" s="31">
        <v>34797946.118279181</v>
      </c>
      <c r="G310" s="31">
        <v>806348.29999999993</v>
      </c>
      <c r="H310" s="31">
        <v>204793.39</v>
      </c>
      <c r="I310" s="31">
        <v>0</v>
      </c>
      <c r="J310" s="31">
        <v>5597329.136728121</v>
      </c>
      <c r="K310" s="31">
        <v>2480029.0175399454</v>
      </c>
      <c r="L310" s="31">
        <v>2995983.6913767993</v>
      </c>
      <c r="M310" s="31">
        <f t="shared" si="20"/>
        <v>46890535.203924045</v>
      </c>
      <c r="N310" s="31">
        <v>8105.55</v>
      </c>
      <c r="P310" s="42" t="s">
        <v>387</v>
      </c>
      <c r="Q310" s="42" t="s">
        <v>388</v>
      </c>
      <c r="R310" s="43" t="s">
        <v>1050</v>
      </c>
      <c r="S310" s="44">
        <v>32</v>
      </c>
      <c r="T310" s="31">
        <v>36124209.261751153</v>
      </c>
      <c r="U310" s="31">
        <v>836991.82</v>
      </c>
      <c r="V310" s="31">
        <v>212549.10000000006</v>
      </c>
      <c r="W310" s="31">
        <v>0</v>
      </c>
      <c r="X310" s="31">
        <v>5785473.6097932905</v>
      </c>
      <c r="Y310" s="31">
        <v>2481899.1741715916</v>
      </c>
      <c r="Z310" s="31">
        <v>3101776.6508152308</v>
      </c>
      <c r="AA310" s="31">
        <f t="shared" si="21"/>
        <v>48551205.776531264</v>
      </c>
      <c r="AB310" s="31">
        <v>8306.159999999998</v>
      </c>
      <c r="AD310" s="42" t="s">
        <v>387</v>
      </c>
      <c r="AE310" s="42" t="s">
        <v>388</v>
      </c>
      <c r="AF310" s="43" t="s">
        <v>1275</v>
      </c>
      <c r="AG310" s="44">
        <v>32</v>
      </c>
      <c r="AH310" s="31">
        <v>36818949.622507542</v>
      </c>
      <c r="AI310" s="31">
        <v>853393.99000000022</v>
      </c>
      <c r="AJ310" s="31">
        <v>216710.45000000004</v>
      </c>
      <c r="AK310" s="31">
        <v>0</v>
      </c>
      <c r="AL310" s="31">
        <v>5892939.7905728938</v>
      </c>
      <c r="AM310" s="31">
        <v>2481239.0599437798</v>
      </c>
      <c r="AN310" s="31">
        <v>3161587.0803655181</v>
      </c>
      <c r="AO310" s="31">
        <f t="shared" si="22"/>
        <v>49433273.443389744</v>
      </c>
      <c r="AP310" s="31">
        <v>8453.4499999999989</v>
      </c>
      <c r="AR310" s="42" t="s">
        <v>387</v>
      </c>
      <c r="AS310" s="42" t="s">
        <v>388</v>
      </c>
      <c r="AT310" s="43" t="s">
        <v>1276</v>
      </c>
      <c r="AU310" s="44">
        <v>32</v>
      </c>
      <c r="AV310" s="31">
        <v>37499539.819927923</v>
      </c>
      <c r="AW310" s="31">
        <v>869087.63000000012</v>
      </c>
      <c r="AX310" s="31">
        <v>220696.25000000003</v>
      </c>
      <c r="AY310" s="31">
        <v>0</v>
      </c>
      <c r="AZ310" s="31">
        <v>6002027.4358848548</v>
      </c>
      <c r="BA310" s="31">
        <v>2481342.8262850279</v>
      </c>
      <c r="BB310" s="31">
        <v>3220185.9394047162</v>
      </c>
      <c r="BC310" s="31">
        <f t="shared" si="23"/>
        <v>50301491.111502528</v>
      </c>
      <c r="BD310" s="31">
        <v>8611.2099999999991</v>
      </c>
    </row>
    <row r="311" spans="2:56">
      <c r="B311" s="42" t="s">
        <v>267</v>
      </c>
      <c r="C311" s="42" t="s">
        <v>268</v>
      </c>
      <c r="D311" s="43" t="s">
        <v>1049</v>
      </c>
      <c r="E311" s="44">
        <v>32</v>
      </c>
      <c r="F311" s="31">
        <v>9034183.4674334936</v>
      </c>
      <c r="G311" s="31">
        <v>297395.21999999997</v>
      </c>
      <c r="H311" s="31">
        <v>279855.52999999997</v>
      </c>
      <c r="I311" s="31">
        <v>31084.229999999996</v>
      </c>
      <c r="J311" s="31">
        <v>1292749.7461333645</v>
      </c>
      <c r="K311" s="31">
        <v>735897.43484189699</v>
      </c>
      <c r="L311" s="31">
        <v>514407.64999340358</v>
      </c>
      <c r="M311" s="31">
        <f t="shared" si="20"/>
        <v>12190737.73840216</v>
      </c>
      <c r="N311" s="31">
        <v>5164.46</v>
      </c>
      <c r="P311" s="42" t="s">
        <v>267</v>
      </c>
      <c r="Q311" s="42" t="s">
        <v>268</v>
      </c>
      <c r="R311" s="43" t="s">
        <v>1050</v>
      </c>
      <c r="S311" s="44">
        <v>32</v>
      </c>
      <c r="T311" s="31">
        <v>9382785.4474866353</v>
      </c>
      <c r="U311" s="31">
        <v>308886.87</v>
      </c>
      <c r="V311" s="31">
        <v>290602.27</v>
      </c>
      <c r="W311" s="31">
        <v>32277.889999999996</v>
      </c>
      <c r="X311" s="31">
        <v>1336567.193094118</v>
      </c>
      <c r="Y311" s="31">
        <v>736733.2925573145</v>
      </c>
      <c r="Z311" s="31">
        <v>532736.69247231807</v>
      </c>
      <c r="AA311" s="31">
        <f t="shared" si="21"/>
        <v>12625881.075610384</v>
      </c>
      <c r="AB311" s="31">
        <v>5291.42</v>
      </c>
      <c r="AD311" s="42" t="s">
        <v>267</v>
      </c>
      <c r="AE311" s="42" t="s">
        <v>268</v>
      </c>
      <c r="AF311" s="43" t="s">
        <v>1275</v>
      </c>
      <c r="AG311" s="44">
        <v>32</v>
      </c>
      <c r="AH311" s="31">
        <v>9563053.8879152071</v>
      </c>
      <c r="AI311" s="31">
        <v>314939.36999999994</v>
      </c>
      <c r="AJ311" s="31">
        <v>296286.81</v>
      </c>
      <c r="AK311" s="31">
        <v>32909.31</v>
      </c>
      <c r="AL311" s="31">
        <v>1361323.9009933991</v>
      </c>
      <c r="AM311" s="31">
        <v>736449.32731451408</v>
      </c>
      <c r="AN311" s="31">
        <v>542996.88630422764</v>
      </c>
      <c r="AO311" s="31">
        <f t="shared" si="22"/>
        <v>12853344.142527349</v>
      </c>
      <c r="AP311" s="31">
        <v>5384.6500000000005</v>
      </c>
      <c r="AR311" s="42" t="s">
        <v>267</v>
      </c>
      <c r="AS311" s="42" t="s">
        <v>268</v>
      </c>
      <c r="AT311" s="43" t="s">
        <v>1276</v>
      </c>
      <c r="AU311" s="44">
        <v>32</v>
      </c>
      <c r="AV311" s="31">
        <v>9738936.8960108757</v>
      </c>
      <c r="AW311" s="31">
        <v>320688.92999999993</v>
      </c>
      <c r="AX311" s="31">
        <v>301697.28000000003</v>
      </c>
      <c r="AY311" s="31">
        <v>33510.259999999995</v>
      </c>
      <c r="AZ311" s="31">
        <v>1386391.9004513146</v>
      </c>
      <c r="BA311" s="31">
        <v>736494.51622185402</v>
      </c>
      <c r="BB311" s="31">
        <v>553008.38445520273</v>
      </c>
      <c r="BC311" s="31">
        <f t="shared" si="23"/>
        <v>13076212.667139245</v>
      </c>
      <c r="BD311" s="31">
        <v>5484.5</v>
      </c>
    </row>
    <row r="312" spans="2:56">
      <c r="B312" s="42" t="s">
        <v>307</v>
      </c>
      <c r="C312" s="42" t="s">
        <v>308</v>
      </c>
      <c r="D312" s="43" t="s">
        <v>1049</v>
      </c>
      <c r="E312" s="44">
        <v>32</v>
      </c>
      <c r="F312" s="31">
        <v>2440509.4481912944</v>
      </c>
      <c r="G312" s="31">
        <v>60706.820000000007</v>
      </c>
      <c r="H312" s="31">
        <v>0</v>
      </c>
      <c r="I312" s="31">
        <v>6138.8899999999994</v>
      </c>
      <c r="J312" s="31">
        <v>258163.0520971418</v>
      </c>
      <c r="K312" s="31">
        <v>0</v>
      </c>
      <c r="L312" s="31">
        <v>190374.48518330985</v>
      </c>
      <c r="M312" s="31">
        <f t="shared" si="20"/>
        <v>2955892.6954717459</v>
      </c>
      <c r="N312" s="31">
        <v>0</v>
      </c>
      <c r="P312" s="42" t="s">
        <v>307</v>
      </c>
      <c r="Q312" s="42" t="s">
        <v>308</v>
      </c>
      <c r="R312" s="43" t="s">
        <v>1050</v>
      </c>
      <c r="S312" s="44">
        <v>32</v>
      </c>
      <c r="T312" s="31">
        <v>2532654.131578315</v>
      </c>
      <c r="U312" s="31">
        <v>63038.040000000008</v>
      </c>
      <c r="V312" s="31">
        <v>0</v>
      </c>
      <c r="W312" s="31">
        <v>6374.6399999999994</v>
      </c>
      <c r="X312" s="31">
        <v>266912.48669194995</v>
      </c>
      <c r="Y312" s="31">
        <v>0</v>
      </c>
      <c r="Z312" s="31">
        <v>197157.96865123001</v>
      </c>
      <c r="AA312" s="31">
        <f t="shared" si="21"/>
        <v>3066137.2669214951</v>
      </c>
      <c r="AB312" s="31">
        <v>0</v>
      </c>
      <c r="AD312" s="42" t="s">
        <v>307</v>
      </c>
      <c r="AE312" s="42" t="s">
        <v>308</v>
      </c>
      <c r="AF312" s="43" t="s">
        <v>1275</v>
      </c>
      <c r="AG312" s="44">
        <v>32</v>
      </c>
      <c r="AH312" s="31">
        <v>2581204.577288812</v>
      </c>
      <c r="AI312" s="31">
        <v>64271.14</v>
      </c>
      <c r="AJ312" s="31">
        <v>0</v>
      </c>
      <c r="AK312" s="31">
        <v>6499.34</v>
      </c>
      <c r="AL312" s="31">
        <v>271857.69967413938</v>
      </c>
      <c r="AM312" s="31">
        <v>0</v>
      </c>
      <c r="AN312" s="31">
        <v>200955.19121053704</v>
      </c>
      <c r="AO312" s="31">
        <f t="shared" si="22"/>
        <v>3124787.9481734885</v>
      </c>
      <c r="AP312" s="31">
        <v>0</v>
      </c>
      <c r="AR312" s="42" t="s">
        <v>307</v>
      </c>
      <c r="AS312" s="42" t="s">
        <v>308</v>
      </c>
      <c r="AT312" s="43" t="s">
        <v>1276</v>
      </c>
      <c r="AU312" s="44">
        <v>32</v>
      </c>
      <c r="AV312" s="31">
        <v>2628395.929584235</v>
      </c>
      <c r="AW312" s="31">
        <v>65444.79</v>
      </c>
      <c r="AX312" s="31">
        <v>0</v>
      </c>
      <c r="AY312" s="31">
        <v>6618.0300000000007</v>
      </c>
      <c r="AZ312" s="31">
        <v>276866.14555589517</v>
      </c>
      <c r="BA312" s="31">
        <v>0</v>
      </c>
      <c r="BB312" s="31">
        <v>204660.3617564748</v>
      </c>
      <c r="BC312" s="31">
        <f t="shared" si="23"/>
        <v>3181985.2568966048</v>
      </c>
      <c r="BD312" s="31">
        <v>0</v>
      </c>
    </row>
    <row r="313" spans="2:56">
      <c r="B313" s="42" t="s">
        <v>351</v>
      </c>
      <c r="C313" s="42" t="s">
        <v>352</v>
      </c>
      <c r="D313" s="43" t="s">
        <v>1049</v>
      </c>
      <c r="E313" s="44">
        <v>32</v>
      </c>
      <c r="F313" s="31">
        <v>3553301.2571759112</v>
      </c>
      <c r="G313" s="31">
        <v>92862.919999999984</v>
      </c>
      <c r="H313" s="31">
        <v>11205.919999999998</v>
      </c>
      <c r="I313" s="31">
        <v>10036.619999999999</v>
      </c>
      <c r="J313" s="31">
        <v>373859.36491124833</v>
      </c>
      <c r="K313" s="31">
        <v>496022.54982368345</v>
      </c>
      <c r="L313" s="31">
        <v>273099.64873938815</v>
      </c>
      <c r="M313" s="31">
        <f t="shared" si="20"/>
        <v>4810388.2806502311</v>
      </c>
      <c r="N313" s="31">
        <v>0</v>
      </c>
      <c r="P313" s="42" t="s">
        <v>351</v>
      </c>
      <c r="Q313" s="42" t="s">
        <v>352</v>
      </c>
      <c r="R313" s="43" t="s">
        <v>1050</v>
      </c>
      <c r="S313" s="44">
        <v>32</v>
      </c>
      <c r="T313" s="31">
        <v>3688273.671955456</v>
      </c>
      <c r="U313" s="31">
        <v>96428.959999999992</v>
      </c>
      <c r="V313" s="31">
        <v>11636.22</v>
      </c>
      <c r="W313" s="31">
        <v>10422.02</v>
      </c>
      <c r="X313" s="31">
        <v>386530.57055424957</v>
      </c>
      <c r="Y313" s="31">
        <v>496504.25616106571</v>
      </c>
      <c r="Z313" s="31">
        <v>282830.52321655152</v>
      </c>
      <c r="AA313" s="31">
        <f t="shared" si="21"/>
        <v>4972626.2218873221</v>
      </c>
      <c r="AB313" s="31">
        <v>0</v>
      </c>
      <c r="AD313" s="42" t="s">
        <v>351</v>
      </c>
      <c r="AE313" s="42" t="s">
        <v>352</v>
      </c>
      <c r="AF313" s="43" t="s">
        <v>1275</v>
      </c>
      <c r="AG313" s="44">
        <v>32</v>
      </c>
      <c r="AH313" s="31">
        <v>3758961.8434743136</v>
      </c>
      <c r="AI313" s="31">
        <v>98315.23000000001</v>
      </c>
      <c r="AJ313" s="31">
        <v>11863.85</v>
      </c>
      <c r="AK313" s="31">
        <v>10625.88</v>
      </c>
      <c r="AL313" s="31">
        <v>393690.16654709267</v>
      </c>
      <c r="AM313" s="31">
        <v>496340.6064698202</v>
      </c>
      <c r="AN313" s="31">
        <v>288277.51805899455</v>
      </c>
      <c r="AO313" s="31">
        <f t="shared" si="22"/>
        <v>5058075.0945502212</v>
      </c>
      <c r="AP313" s="31">
        <v>0</v>
      </c>
      <c r="AR313" s="42" t="s">
        <v>351</v>
      </c>
      <c r="AS313" s="42" t="s">
        <v>352</v>
      </c>
      <c r="AT313" s="43" t="s">
        <v>1276</v>
      </c>
      <c r="AU313" s="44">
        <v>32</v>
      </c>
      <c r="AV313" s="31">
        <v>3827808.1192098362</v>
      </c>
      <c r="AW313" s="31">
        <v>100110.55000000002</v>
      </c>
      <c r="AX313" s="31">
        <v>12080.5</v>
      </c>
      <c r="AY313" s="31">
        <v>10819.92</v>
      </c>
      <c r="AZ313" s="31">
        <v>400939.8202966649</v>
      </c>
      <c r="BA313" s="31">
        <v>496366.64892016014</v>
      </c>
      <c r="BB313" s="31">
        <v>293592.43426637095</v>
      </c>
      <c r="BC313" s="31">
        <f t="shared" si="23"/>
        <v>5141717.9926930312</v>
      </c>
      <c r="BD313" s="31">
        <v>0</v>
      </c>
    </row>
    <row r="314" spans="2:56">
      <c r="B314" s="42" t="s">
        <v>137</v>
      </c>
      <c r="C314" s="42" t="s">
        <v>138</v>
      </c>
      <c r="D314" s="43" t="s">
        <v>1049</v>
      </c>
      <c r="E314" s="44">
        <v>32</v>
      </c>
      <c r="F314" s="31">
        <v>1991553.8128150434</v>
      </c>
      <c r="G314" s="31">
        <v>48322.55000000001</v>
      </c>
      <c r="H314" s="31">
        <v>0</v>
      </c>
      <c r="I314" s="31">
        <v>3228.24</v>
      </c>
      <c r="J314" s="31">
        <v>139711.81558404976</v>
      </c>
      <c r="K314" s="31">
        <v>257964.46278194519</v>
      </c>
      <c r="L314" s="31">
        <v>123432.80992942845</v>
      </c>
      <c r="M314" s="31">
        <f t="shared" si="20"/>
        <v>2599118.9211104671</v>
      </c>
      <c r="N314" s="31">
        <v>34905.230000000003</v>
      </c>
      <c r="P314" s="42" t="s">
        <v>137</v>
      </c>
      <c r="Q314" s="42" t="s">
        <v>138</v>
      </c>
      <c r="R314" s="43" t="s">
        <v>1050</v>
      </c>
      <c r="S314" s="44">
        <v>32</v>
      </c>
      <c r="T314" s="31">
        <v>2074242.3271637673</v>
      </c>
      <c r="U314" s="31">
        <v>50626.669999999991</v>
      </c>
      <c r="V314" s="31">
        <v>0</v>
      </c>
      <c r="W314" s="31">
        <v>3351.0400000000009</v>
      </c>
      <c r="X314" s="31">
        <v>144424.405892243</v>
      </c>
      <c r="Y314" s="31">
        <v>258228.75317501533</v>
      </c>
      <c r="Z314" s="31">
        <v>129067.20623004693</v>
      </c>
      <c r="AA314" s="31">
        <f t="shared" si="21"/>
        <v>2695707.6324610733</v>
      </c>
      <c r="AB314" s="31">
        <v>35767.230000000003</v>
      </c>
      <c r="AD314" s="42" t="s">
        <v>137</v>
      </c>
      <c r="AE314" s="42" t="s">
        <v>138</v>
      </c>
      <c r="AF314" s="43" t="s">
        <v>1275</v>
      </c>
      <c r="AG314" s="44">
        <v>32</v>
      </c>
      <c r="AH314" s="31">
        <v>2113935.250806652</v>
      </c>
      <c r="AI314" s="31">
        <v>51684.71</v>
      </c>
      <c r="AJ314" s="31">
        <v>0</v>
      </c>
      <c r="AK314" s="31">
        <v>3416.6300000000006</v>
      </c>
      <c r="AL314" s="31">
        <v>147103.69111180879</v>
      </c>
      <c r="AM314" s="31">
        <v>258138.96602075009</v>
      </c>
      <c r="AN314" s="31">
        <v>131555.12403941827</v>
      </c>
      <c r="AO314" s="31">
        <f t="shared" si="22"/>
        <v>2742234.5619786284</v>
      </c>
      <c r="AP314" s="31">
        <v>36400.19000000001</v>
      </c>
      <c r="AR314" s="42" t="s">
        <v>137</v>
      </c>
      <c r="AS314" s="42" t="s">
        <v>138</v>
      </c>
      <c r="AT314" s="43" t="s">
        <v>1276</v>
      </c>
      <c r="AU314" s="44">
        <v>32</v>
      </c>
      <c r="AV314" s="31">
        <v>2152493.8843054874</v>
      </c>
      <c r="AW314" s="31">
        <v>52623.169999999991</v>
      </c>
      <c r="AX314" s="31">
        <v>0</v>
      </c>
      <c r="AY314" s="31">
        <v>3479.32</v>
      </c>
      <c r="AZ314" s="31">
        <v>149820.17048810408</v>
      </c>
      <c r="BA314" s="31">
        <v>258153.25433066578</v>
      </c>
      <c r="BB314" s="31">
        <v>133987.35659321496</v>
      </c>
      <c r="BC314" s="31">
        <f t="shared" si="23"/>
        <v>2787635.2357174722</v>
      </c>
      <c r="BD314" s="31">
        <v>37078.080000000009</v>
      </c>
    </row>
    <row r="315" spans="2:56">
      <c r="B315" s="42" t="s">
        <v>281</v>
      </c>
      <c r="C315" s="42" t="s">
        <v>282</v>
      </c>
      <c r="D315" s="43" t="s">
        <v>1049</v>
      </c>
      <c r="E315" s="44">
        <v>32</v>
      </c>
      <c r="F315" s="31">
        <v>6339219.7664329167</v>
      </c>
      <c r="G315" s="31">
        <v>429354.52</v>
      </c>
      <c r="H315" s="31">
        <v>68599.89</v>
      </c>
      <c r="I315" s="31">
        <v>21185.25</v>
      </c>
      <c r="J315" s="31">
        <v>948542.57391796773</v>
      </c>
      <c r="K315" s="31">
        <v>460376.82699010579</v>
      </c>
      <c r="L315" s="31">
        <v>518253.9389264402</v>
      </c>
      <c r="M315" s="31">
        <f t="shared" si="20"/>
        <v>9003337.3862674292</v>
      </c>
      <c r="N315" s="31">
        <v>217804.62</v>
      </c>
      <c r="P315" s="42" t="s">
        <v>281</v>
      </c>
      <c r="Q315" s="42" t="s">
        <v>282</v>
      </c>
      <c r="R315" s="43" t="s">
        <v>1050</v>
      </c>
      <c r="S315" s="44">
        <v>32</v>
      </c>
      <c r="T315" s="31">
        <v>6651738.0092958156</v>
      </c>
      <c r="U315" s="31">
        <v>448594.74</v>
      </c>
      <c r="V315" s="31">
        <v>71209.51999999999</v>
      </c>
      <c r="W315" s="31">
        <v>21991.17</v>
      </c>
      <c r="X315" s="31">
        <v>980551.82068225928</v>
      </c>
      <c r="Y315" s="31">
        <v>460636.47493014071</v>
      </c>
      <c r="Z315" s="31">
        <v>541856.3215956426</v>
      </c>
      <c r="AA315" s="31">
        <f t="shared" si="21"/>
        <v>9399761.4365038592</v>
      </c>
      <c r="AB315" s="31">
        <v>223183.37999999998</v>
      </c>
      <c r="AD315" s="42" t="s">
        <v>281</v>
      </c>
      <c r="AE315" s="42" t="s">
        <v>282</v>
      </c>
      <c r="AF315" s="43" t="s">
        <v>1275</v>
      </c>
      <c r="AG315" s="44">
        <v>32</v>
      </c>
      <c r="AH315" s="31">
        <v>6779682.0571497343</v>
      </c>
      <c r="AI315" s="31">
        <v>457793.78999999992</v>
      </c>
      <c r="AJ315" s="31">
        <v>72603.289999999994</v>
      </c>
      <c r="AK315" s="31">
        <v>22421.590000000004</v>
      </c>
      <c r="AL315" s="31">
        <v>998740.30528652307</v>
      </c>
      <c r="AM315" s="31">
        <v>460548.26495256356</v>
      </c>
      <c r="AN315" s="31">
        <v>552300.72595692752</v>
      </c>
      <c r="AO315" s="31">
        <f t="shared" si="22"/>
        <v>9571222.9333457481</v>
      </c>
      <c r="AP315" s="31">
        <v>227132.91</v>
      </c>
      <c r="AR315" s="42" t="s">
        <v>281</v>
      </c>
      <c r="AS315" s="42" t="s">
        <v>282</v>
      </c>
      <c r="AT315" s="43" t="s">
        <v>1276</v>
      </c>
      <c r="AU315" s="44">
        <v>32</v>
      </c>
      <c r="AV315" s="31">
        <v>6904532.498054266</v>
      </c>
      <c r="AW315" s="31">
        <v>466132.24</v>
      </c>
      <c r="AX315" s="31">
        <v>73935.56</v>
      </c>
      <c r="AY315" s="31">
        <v>22833.02</v>
      </c>
      <c r="AZ315" s="31">
        <v>1017179.5260775144</v>
      </c>
      <c r="BA315" s="31">
        <v>460562.3022779203</v>
      </c>
      <c r="BB315" s="31">
        <v>562511.26602702343</v>
      </c>
      <c r="BC315" s="31">
        <f t="shared" si="23"/>
        <v>9739049.2924367245</v>
      </c>
      <c r="BD315" s="31">
        <v>231362.87999999998</v>
      </c>
    </row>
    <row r="316" spans="2:56">
      <c r="B316" s="42" t="s">
        <v>161</v>
      </c>
      <c r="C316" s="42" t="s">
        <v>162</v>
      </c>
      <c r="D316" s="43" t="s">
        <v>1049</v>
      </c>
      <c r="E316" s="44">
        <v>32</v>
      </c>
      <c r="F316" s="31">
        <v>2260270.9940265948</v>
      </c>
      <c r="G316" s="31">
        <v>66066.169999999984</v>
      </c>
      <c r="H316" s="31">
        <v>0</v>
      </c>
      <c r="I316" s="31">
        <v>0</v>
      </c>
      <c r="J316" s="31">
        <v>162800.5069257842</v>
      </c>
      <c r="K316" s="31">
        <v>87085.71202076583</v>
      </c>
      <c r="L316" s="31">
        <v>98323.667963401182</v>
      </c>
      <c r="M316" s="31">
        <f t="shared" si="20"/>
        <v>2718883.5009365464</v>
      </c>
      <c r="N316" s="31">
        <v>44336.45</v>
      </c>
      <c r="P316" s="42" t="s">
        <v>161</v>
      </c>
      <c r="Q316" s="42" t="s">
        <v>162</v>
      </c>
      <c r="R316" s="43" t="s">
        <v>1050</v>
      </c>
      <c r="S316" s="44">
        <v>32</v>
      </c>
      <c r="T316" s="31">
        <v>2358924.6461977828</v>
      </c>
      <c r="U316" s="31">
        <v>69215.790000000023</v>
      </c>
      <c r="V316" s="31">
        <v>0</v>
      </c>
      <c r="W316" s="31">
        <v>0</v>
      </c>
      <c r="X316" s="31">
        <v>168314.9902042787</v>
      </c>
      <c r="Y316" s="31">
        <v>87130.304100871988</v>
      </c>
      <c r="Z316" s="31">
        <v>102838.73727175267</v>
      </c>
      <c r="AA316" s="31">
        <f t="shared" si="21"/>
        <v>2831850.8677746863</v>
      </c>
      <c r="AB316" s="31">
        <v>45426.399999999994</v>
      </c>
      <c r="AD316" s="42" t="s">
        <v>161</v>
      </c>
      <c r="AE316" s="42" t="s">
        <v>162</v>
      </c>
      <c r="AF316" s="43" t="s">
        <v>1275</v>
      </c>
      <c r="AG316" s="44">
        <v>32</v>
      </c>
      <c r="AH316" s="31">
        <v>2404097.6527378717</v>
      </c>
      <c r="AI316" s="31">
        <v>70658.000000000029</v>
      </c>
      <c r="AJ316" s="31">
        <v>0</v>
      </c>
      <c r="AK316" s="31">
        <v>0</v>
      </c>
      <c r="AL316" s="31">
        <v>171432.20222521023</v>
      </c>
      <c r="AM316" s="31">
        <v>87115.154870780825</v>
      </c>
      <c r="AN316" s="31">
        <v>104819.63383359893</v>
      </c>
      <c r="AO316" s="31">
        <f t="shared" si="22"/>
        <v>2884349.3836674616</v>
      </c>
      <c r="AP316" s="31">
        <v>46226.74</v>
      </c>
      <c r="AR316" s="42" t="s">
        <v>161</v>
      </c>
      <c r="AS316" s="42" t="s">
        <v>162</v>
      </c>
      <c r="AT316" s="43" t="s">
        <v>1276</v>
      </c>
      <c r="AU316" s="44">
        <v>32</v>
      </c>
      <c r="AV316" s="31">
        <v>2447895.7129940223</v>
      </c>
      <c r="AW316" s="31">
        <v>71935.250000000015</v>
      </c>
      <c r="AX316" s="31">
        <v>0</v>
      </c>
      <c r="AY316" s="31">
        <v>0</v>
      </c>
      <c r="AZ316" s="31">
        <v>174588.26357961833</v>
      </c>
      <c r="BA316" s="31">
        <v>87117.565648762349</v>
      </c>
      <c r="BB316" s="31">
        <v>106752.07303677626</v>
      </c>
      <c r="BC316" s="31">
        <f t="shared" si="23"/>
        <v>2935372.7652591793</v>
      </c>
      <c r="BD316" s="31">
        <v>47083.899999999994</v>
      </c>
    </row>
    <row r="317" spans="2:56">
      <c r="B317" s="42" t="s">
        <v>251</v>
      </c>
      <c r="C317" s="42" t="s">
        <v>252</v>
      </c>
      <c r="D317" s="43" t="s">
        <v>1049</v>
      </c>
      <c r="E317" s="44">
        <v>32</v>
      </c>
      <c r="F317" s="31">
        <v>1920577.6221816805</v>
      </c>
      <c r="G317" s="31">
        <v>34299.85</v>
      </c>
      <c r="H317" s="31">
        <v>0</v>
      </c>
      <c r="I317" s="31">
        <v>0</v>
      </c>
      <c r="J317" s="31">
        <v>58152.173560458454</v>
      </c>
      <c r="K317" s="31">
        <v>47423.275564528092</v>
      </c>
      <c r="L317" s="31">
        <v>23050.984231398241</v>
      </c>
      <c r="M317" s="31">
        <f t="shared" si="20"/>
        <v>2100069.1555380654</v>
      </c>
      <c r="N317" s="31">
        <v>16565.25</v>
      </c>
      <c r="P317" s="42" t="s">
        <v>251</v>
      </c>
      <c r="Q317" s="42" t="s">
        <v>252</v>
      </c>
      <c r="R317" s="43" t="s">
        <v>1050</v>
      </c>
      <c r="S317" s="44">
        <v>32</v>
      </c>
      <c r="T317" s="31">
        <v>1995532.6000415734</v>
      </c>
      <c r="U317" s="31">
        <v>35845.87999999999</v>
      </c>
      <c r="V317" s="31">
        <v>0</v>
      </c>
      <c r="W317" s="31">
        <v>0</v>
      </c>
      <c r="X317" s="31">
        <v>60122.694405913942</v>
      </c>
      <c r="Y317" s="31">
        <v>47472.547058281314</v>
      </c>
      <c r="Z317" s="31">
        <v>24074.612440508343</v>
      </c>
      <c r="AA317" s="31">
        <f t="shared" si="21"/>
        <v>2180020.8239462771</v>
      </c>
      <c r="AB317" s="31">
        <v>16972.490000000002</v>
      </c>
      <c r="AD317" s="42" t="s">
        <v>251</v>
      </c>
      <c r="AE317" s="42" t="s">
        <v>252</v>
      </c>
      <c r="AF317" s="43" t="s">
        <v>1275</v>
      </c>
      <c r="AG317" s="44">
        <v>32</v>
      </c>
      <c r="AH317" s="31">
        <v>2033605.0911427711</v>
      </c>
      <c r="AI317" s="31">
        <v>36580.06</v>
      </c>
      <c r="AJ317" s="31">
        <v>0</v>
      </c>
      <c r="AK317" s="31">
        <v>0</v>
      </c>
      <c r="AL317" s="31">
        <v>61236.386824439149</v>
      </c>
      <c r="AM317" s="31">
        <v>47455.808094904285</v>
      </c>
      <c r="AN317" s="31">
        <v>24538.25233062651</v>
      </c>
      <c r="AO317" s="31">
        <f t="shared" si="22"/>
        <v>2220687.1083927406</v>
      </c>
      <c r="AP317" s="31">
        <v>17271.510000000002</v>
      </c>
      <c r="AR317" s="42" t="s">
        <v>251</v>
      </c>
      <c r="AS317" s="42" t="s">
        <v>252</v>
      </c>
      <c r="AT317" s="43" t="s">
        <v>1276</v>
      </c>
      <c r="AU317" s="44">
        <v>32</v>
      </c>
      <c r="AV317" s="31">
        <v>2070447.9325254504</v>
      </c>
      <c r="AW317" s="31">
        <v>37243.180000000008</v>
      </c>
      <c r="AX317" s="31">
        <v>0</v>
      </c>
      <c r="AY317" s="31">
        <v>0</v>
      </c>
      <c r="AZ317" s="31">
        <v>62364.133391469339</v>
      </c>
      <c r="BA317" s="31">
        <v>47458.471855643285</v>
      </c>
      <c r="BB317" s="31">
        <v>24990.54531882306</v>
      </c>
      <c r="BC317" s="31">
        <f t="shared" si="23"/>
        <v>2260096.0430913856</v>
      </c>
      <c r="BD317" s="31">
        <v>17591.780000000002</v>
      </c>
    </row>
    <row r="318" spans="2:56">
      <c r="B318" s="42" t="s">
        <v>85</v>
      </c>
      <c r="C318" s="42" t="s">
        <v>86</v>
      </c>
      <c r="D318" s="43" t="s">
        <v>1049</v>
      </c>
      <c r="E318" s="44">
        <v>32</v>
      </c>
      <c r="F318" s="31">
        <v>19704009.326226279</v>
      </c>
      <c r="G318" s="31">
        <v>691648.52000000014</v>
      </c>
      <c r="H318" s="31">
        <v>312303.98</v>
      </c>
      <c r="I318" s="31">
        <v>65871.280000000013</v>
      </c>
      <c r="J318" s="31">
        <v>3006235.0527040982</v>
      </c>
      <c r="K318" s="31">
        <v>5702376.3561724639</v>
      </c>
      <c r="L318" s="31">
        <v>767436.93049635959</v>
      </c>
      <c r="M318" s="31">
        <f t="shared" si="20"/>
        <v>30392537.595599204</v>
      </c>
      <c r="N318" s="31">
        <v>142656.15</v>
      </c>
      <c r="P318" s="42" t="s">
        <v>85</v>
      </c>
      <c r="Q318" s="42" t="s">
        <v>86</v>
      </c>
      <c r="R318" s="43" t="s">
        <v>1050</v>
      </c>
      <c r="S318" s="44">
        <v>32</v>
      </c>
      <c r="T318" s="31">
        <v>20461279.051898967</v>
      </c>
      <c r="U318" s="31">
        <v>720179.61999999988</v>
      </c>
      <c r="V318" s="31">
        <v>324296.74</v>
      </c>
      <c r="W318" s="31">
        <v>68400.819999999992</v>
      </c>
      <c r="X318" s="31">
        <v>3108064.9460454718</v>
      </c>
      <c r="Y318" s="31">
        <v>5708161.5845446084</v>
      </c>
      <c r="Z318" s="31">
        <v>794781.4832265937</v>
      </c>
      <c r="AA318" s="31">
        <f t="shared" si="21"/>
        <v>31331327.415715646</v>
      </c>
      <c r="AB318" s="31">
        <v>146163.16999999998</v>
      </c>
      <c r="AD318" s="42" t="s">
        <v>85</v>
      </c>
      <c r="AE318" s="42" t="s">
        <v>86</v>
      </c>
      <c r="AF318" s="43" t="s">
        <v>1275</v>
      </c>
      <c r="AG318" s="44">
        <v>32</v>
      </c>
      <c r="AH318" s="31">
        <v>20853496.331037037</v>
      </c>
      <c r="AI318" s="31">
        <v>734551.26000000013</v>
      </c>
      <c r="AJ318" s="31">
        <v>330640.39999999997</v>
      </c>
      <c r="AK318" s="31">
        <v>69738.83</v>
      </c>
      <c r="AL318" s="31">
        <v>3165635.3201528704</v>
      </c>
      <c r="AM318" s="31">
        <v>5706196.1737467526</v>
      </c>
      <c r="AN318" s="31">
        <v>810088.59929788648</v>
      </c>
      <c r="AO318" s="31">
        <f t="shared" si="22"/>
        <v>31819085.224234544</v>
      </c>
      <c r="AP318" s="31">
        <v>148738.30999999997</v>
      </c>
      <c r="AR318" s="42" t="s">
        <v>85</v>
      </c>
      <c r="AS318" s="42" t="s">
        <v>86</v>
      </c>
      <c r="AT318" s="43" t="s">
        <v>1276</v>
      </c>
      <c r="AU318" s="44">
        <v>32</v>
      </c>
      <c r="AV318" s="31">
        <v>21237141.353829037</v>
      </c>
      <c r="AW318" s="31">
        <v>747922.9600000002</v>
      </c>
      <c r="AX318" s="31">
        <v>336678.2</v>
      </c>
      <c r="AY318" s="31">
        <v>71012.320000000007</v>
      </c>
      <c r="AZ318" s="31">
        <v>3223930.2362717823</v>
      </c>
      <c r="BA318" s="31">
        <v>5706508.9400753127</v>
      </c>
      <c r="BB318" s="31">
        <v>825024.78150844085</v>
      </c>
      <c r="BC318" s="31">
        <f t="shared" si="23"/>
        <v>32299715.091684576</v>
      </c>
      <c r="BD318" s="31">
        <v>151496.29999999999</v>
      </c>
    </row>
    <row r="319" spans="2:56">
      <c r="B319" s="42" t="s">
        <v>1039</v>
      </c>
      <c r="C319" s="42" t="s">
        <v>1045</v>
      </c>
      <c r="D319" s="43" t="s">
        <v>1049</v>
      </c>
      <c r="E319" s="44">
        <v>32</v>
      </c>
      <c r="F319" s="31">
        <v>2039278.1234776743</v>
      </c>
      <c r="G319" s="31">
        <v>0</v>
      </c>
      <c r="H319" s="31">
        <v>0</v>
      </c>
      <c r="I319" s="31">
        <v>0</v>
      </c>
      <c r="J319" s="31">
        <v>144343.61016967293</v>
      </c>
      <c r="K319" s="31">
        <v>0</v>
      </c>
      <c r="L319" s="31">
        <v>0</v>
      </c>
      <c r="M319" s="31">
        <f t="shared" si="20"/>
        <v>2183621.7336473474</v>
      </c>
      <c r="N319" s="31">
        <v>0</v>
      </c>
      <c r="P319" s="42" t="s">
        <v>1039</v>
      </c>
      <c r="Q319" s="42" t="s">
        <v>1045</v>
      </c>
      <c r="R319" s="43" t="s">
        <v>1050</v>
      </c>
      <c r="S319" s="44">
        <v>32</v>
      </c>
      <c r="T319" s="31">
        <v>2115184.0073363036</v>
      </c>
      <c r="U319" s="31">
        <v>0</v>
      </c>
      <c r="V319" s="31">
        <v>0</v>
      </c>
      <c r="W319" s="31">
        <v>0</v>
      </c>
      <c r="X319" s="31">
        <v>149252.59535946453</v>
      </c>
      <c r="Y319" s="31">
        <v>0</v>
      </c>
      <c r="Z319" s="31">
        <v>0</v>
      </c>
      <c r="AA319" s="31">
        <f t="shared" si="21"/>
        <v>2264436.6026957682</v>
      </c>
      <c r="AB319" s="31">
        <v>0</v>
      </c>
      <c r="AD319" s="42" t="s">
        <v>1039</v>
      </c>
      <c r="AE319" s="42" t="s">
        <v>1045</v>
      </c>
      <c r="AF319" s="43" t="s">
        <v>1275</v>
      </c>
      <c r="AG319" s="44">
        <v>32</v>
      </c>
      <c r="AH319" s="31">
        <v>2155677.9849392828</v>
      </c>
      <c r="AI319" s="31">
        <v>0</v>
      </c>
      <c r="AJ319" s="31">
        <v>0</v>
      </c>
      <c r="AK319" s="31">
        <v>0</v>
      </c>
      <c r="AL319" s="31">
        <v>152021.1037439371</v>
      </c>
      <c r="AM319" s="31">
        <v>0</v>
      </c>
      <c r="AN319" s="31">
        <v>0</v>
      </c>
      <c r="AO319" s="31">
        <f t="shared" si="22"/>
        <v>2307699.0886832196</v>
      </c>
      <c r="AP319" s="31">
        <v>0</v>
      </c>
      <c r="AR319" s="42" t="s">
        <v>1039</v>
      </c>
      <c r="AS319" s="42" t="s">
        <v>1045</v>
      </c>
      <c r="AT319" s="43" t="s">
        <v>1276</v>
      </c>
      <c r="AU319" s="44">
        <v>32</v>
      </c>
      <c r="AV319" s="31">
        <v>2194999.8465094338</v>
      </c>
      <c r="AW319" s="31">
        <v>0</v>
      </c>
      <c r="AX319" s="31">
        <v>0</v>
      </c>
      <c r="AY319" s="31">
        <v>0</v>
      </c>
      <c r="AZ319" s="31">
        <v>154827.66384574439</v>
      </c>
      <c r="BA319" s="31">
        <v>0</v>
      </c>
      <c r="BB319" s="31">
        <v>0</v>
      </c>
      <c r="BC319" s="31">
        <f t="shared" si="23"/>
        <v>2349827.5103551783</v>
      </c>
      <c r="BD319" s="31">
        <v>0</v>
      </c>
    </row>
    <row r="320" spans="2:56">
      <c r="B320" s="42" t="s">
        <v>585</v>
      </c>
      <c r="C320" s="42" t="s">
        <v>586</v>
      </c>
      <c r="D320" s="43" t="s">
        <v>1049</v>
      </c>
      <c r="E320" s="44">
        <v>32</v>
      </c>
      <c r="F320" s="31">
        <v>120762643.90729365</v>
      </c>
      <c r="G320" s="31">
        <v>8316542.2000000002</v>
      </c>
      <c r="H320" s="31">
        <v>7147424.2999999989</v>
      </c>
      <c r="I320" s="31">
        <v>438589.74000000005</v>
      </c>
      <c r="J320" s="31">
        <v>18678756.946355462</v>
      </c>
      <c r="K320" s="31">
        <v>3660685.0027060914</v>
      </c>
      <c r="L320" s="31">
        <v>16369644.889343288</v>
      </c>
      <c r="M320" s="31">
        <f t="shared" si="20"/>
        <v>179873899.96569848</v>
      </c>
      <c r="N320" s="31">
        <v>4499612.9799999995</v>
      </c>
      <c r="P320" s="42" t="s">
        <v>585</v>
      </c>
      <c r="Q320" s="42" t="s">
        <v>586</v>
      </c>
      <c r="R320" s="43" t="s">
        <v>1050</v>
      </c>
      <c r="S320" s="44">
        <v>32</v>
      </c>
      <c r="T320" s="31">
        <v>126702905.3654902</v>
      </c>
      <c r="U320" s="31">
        <v>8698078.5300000012</v>
      </c>
      <c r="V320" s="31">
        <v>7421892.6200000001</v>
      </c>
      <c r="W320" s="31">
        <v>455432.02999999997</v>
      </c>
      <c r="X320" s="31">
        <v>19311613.905337788</v>
      </c>
      <c r="Y320" s="31">
        <v>3664142.0557189221</v>
      </c>
      <c r="Z320" s="31">
        <v>17112393.277454995</v>
      </c>
      <c r="AA320" s="31">
        <f t="shared" si="21"/>
        <v>187976687.74400192</v>
      </c>
      <c r="AB320" s="31">
        <v>4610229.959999999</v>
      </c>
      <c r="AD320" s="42" t="s">
        <v>585</v>
      </c>
      <c r="AE320" s="42" t="s">
        <v>586</v>
      </c>
      <c r="AF320" s="43" t="s">
        <v>1275</v>
      </c>
      <c r="AG320" s="44">
        <v>32</v>
      </c>
      <c r="AH320" s="31">
        <v>129137411.7692039</v>
      </c>
      <c r="AI320" s="31">
        <v>8877181.620000001</v>
      </c>
      <c r="AJ320" s="31">
        <v>7567074.3499999996</v>
      </c>
      <c r="AK320" s="31">
        <v>464340.85</v>
      </c>
      <c r="AL320" s="31">
        <v>19669330.178352393</v>
      </c>
      <c r="AM320" s="31">
        <v>3662967.5939893057</v>
      </c>
      <c r="AN320" s="31">
        <v>17442119.874623321</v>
      </c>
      <c r="AO320" s="31">
        <f t="shared" si="22"/>
        <v>191511880.65616891</v>
      </c>
      <c r="AP320" s="31">
        <v>4691454.419999999</v>
      </c>
      <c r="AR320" s="42" t="s">
        <v>585</v>
      </c>
      <c r="AS320" s="42" t="s">
        <v>586</v>
      </c>
      <c r="AT320" s="43" t="s">
        <v>1276</v>
      </c>
      <c r="AU320" s="44">
        <v>32</v>
      </c>
      <c r="AV320" s="31">
        <v>131512104.51497871</v>
      </c>
      <c r="AW320" s="31">
        <v>9037966.0200000014</v>
      </c>
      <c r="AX320" s="31">
        <v>7705256.0999999996</v>
      </c>
      <c r="AY320" s="31">
        <v>472820.15</v>
      </c>
      <c r="AZ320" s="31">
        <v>20031556.120565988</v>
      </c>
      <c r="BA320" s="31">
        <v>3663154.4923637356</v>
      </c>
      <c r="BB320" s="31">
        <v>17763549.787180312</v>
      </c>
      <c r="BC320" s="31">
        <f t="shared" si="23"/>
        <v>194964853.01508874</v>
      </c>
      <c r="BD320" s="31">
        <v>4778445.83</v>
      </c>
    </row>
    <row r="321" spans="2:56">
      <c r="B321" s="42" t="s">
        <v>507</v>
      </c>
      <c r="C321" s="42" t="s">
        <v>508</v>
      </c>
      <c r="D321" s="43" t="s">
        <v>1049</v>
      </c>
      <c r="E321" s="44">
        <v>32</v>
      </c>
      <c r="F321" s="31">
        <v>42928363.708672002</v>
      </c>
      <c r="G321" s="31">
        <v>1554893.6799999997</v>
      </c>
      <c r="H321" s="31">
        <v>279758.09000000003</v>
      </c>
      <c r="I321" s="31">
        <v>150354.15000000002</v>
      </c>
      <c r="J321" s="31">
        <v>6923918.7120449366</v>
      </c>
      <c r="K321" s="31">
        <v>4122715.3464736412</v>
      </c>
      <c r="L321" s="31">
        <v>3905525.3188300221</v>
      </c>
      <c r="M321" s="31">
        <f t="shared" si="20"/>
        <v>60015006.146020606</v>
      </c>
      <c r="N321" s="31">
        <v>149477.14000000001</v>
      </c>
      <c r="P321" s="42" t="s">
        <v>507</v>
      </c>
      <c r="Q321" s="42" t="s">
        <v>508</v>
      </c>
      <c r="R321" s="43" t="s">
        <v>1050</v>
      </c>
      <c r="S321" s="44">
        <v>32</v>
      </c>
      <c r="T321" s="31">
        <v>44583089.878133334</v>
      </c>
      <c r="U321" s="31">
        <v>1616668.54</v>
      </c>
      <c r="V321" s="31">
        <v>290501.08</v>
      </c>
      <c r="W321" s="31">
        <v>156127.91</v>
      </c>
      <c r="X321" s="31">
        <v>7158452.6227752697</v>
      </c>
      <c r="Y321" s="31">
        <v>4126356.9816665016</v>
      </c>
      <c r="Z321" s="31">
        <v>4044684.13620489</v>
      </c>
      <c r="AA321" s="31">
        <f t="shared" si="21"/>
        <v>62129032.988779999</v>
      </c>
      <c r="AB321" s="31">
        <v>153151.84000000003</v>
      </c>
      <c r="AD321" s="42" t="s">
        <v>507</v>
      </c>
      <c r="AE321" s="42" t="s">
        <v>508</v>
      </c>
      <c r="AF321" s="43" t="s">
        <v>1275</v>
      </c>
      <c r="AG321" s="44">
        <v>32</v>
      </c>
      <c r="AH321" s="31">
        <v>45439564.754684359</v>
      </c>
      <c r="AI321" s="31">
        <v>1648590.2</v>
      </c>
      <c r="AJ321" s="31">
        <v>296183.65000000002</v>
      </c>
      <c r="AK321" s="31">
        <v>159181.94999999998</v>
      </c>
      <c r="AL321" s="31">
        <v>7291035.8475531498</v>
      </c>
      <c r="AM321" s="31">
        <v>4125119.8119871924</v>
      </c>
      <c r="AN321" s="31">
        <v>4122582.589621217</v>
      </c>
      <c r="AO321" s="31">
        <f t="shared" si="22"/>
        <v>63238108.913845919</v>
      </c>
      <c r="AP321" s="31">
        <v>155850.11000000002</v>
      </c>
      <c r="AR321" s="42" t="s">
        <v>507</v>
      </c>
      <c r="AS321" s="42" t="s">
        <v>508</v>
      </c>
      <c r="AT321" s="43" t="s">
        <v>1276</v>
      </c>
      <c r="AU321" s="44">
        <v>32</v>
      </c>
      <c r="AV321" s="31">
        <v>46275150.082588911</v>
      </c>
      <c r="AW321" s="31">
        <v>1678651.09</v>
      </c>
      <c r="AX321" s="31">
        <v>301592.23</v>
      </c>
      <c r="AY321" s="31">
        <v>162088.74999999997</v>
      </c>
      <c r="AZ321" s="31">
        <v>7425277.8588400315</v>
      </c>
      <c r="BA321" s="31">
        <v>4125316.6894129324</v>
      </c>
      <c r="BB321" s="31">
        <v>4198593.0324784219</v>
      </c>
      <c r="BC321" s="31">
        <f t="shared" si="23"/>
        <v>64325409.703320295</v>
      </c>
      <c r="BD321" s="31">
        <v>158739.97</v>
      </c>
    </row>
    <row r="322" spans="2:56">
      <c r="B322" s="42" t="s">
        <v>603</v>
      </c>
      <c r="C322" s="42" t="s">
        <v>604</v>
      </c>
      <c r="D322" s="43" t="s">
        <v>1049</v>
      </c>
      <c r="E322" s="44">
        <v>32</v>
      </c>
      <c r="F322" s="31">
        <v>10390294.395494634</v>
      </c>
      <c r="G322" s="31">
        <v>452621.50999999995</v>
      </c>
      <c r="H322" s="31">
        <v>212717.47999999998</v>
      </c>
      <c r="I322" s="31">
        <v>0</v>
      </c>
      <c r="J322" s="31">
        <v>1178648.8546684843</v>
      </c>
      <c r="K322" s="31">
        <v>456020.15379510541</v>
      </c>
      <c r="L322" s="31">
        <v>411482.14304740343</v>
      </c>
      <c r="M322" s="31">
        <f t="shared" si="20"/>
        <v>13461932.85700563</v>
      </c>
      <c r="N322" s="31">
        <v>360148.32</v>
      </c>
      <c r="P322" s="42" t="s">
        <v>603</v>
      </c>
      <c r="Q322" s="42" t="s">
        <v>604</v>
      </c>
      <c r="R322" s="43" t="s">
        <v>1050</v>
      </c>
      <c r="S322" s="44">
        <v>32</v>
      </c>
      <c r="T322" s="31">
        <v>10899021.325964462</v>
      </c>
      <c r="U322" s="31">
        <v>474978.91000000003</v>
      </c>
      <c r="V322" s="31">
        <v>220886.05000000002</v>
      </c>
      <c r="W322" s="31">
        <v>0</v>
      </c>
      <c r="X322" s="31">
        <v>1218586.1954804822</v>
      </c>
      <c r="Y322" s="31">
        <v>456348.81247781747</v>
      </c>
      <c r="Z322" s="31">
        <v>430389.08956066635</v>
      </c>
      <c r="AA322" s="31">
        <f t="shared" si="21"/>
        <v>14069212.48348343</v>
      </c>
      <c r="AB322" s="31">
        <v>369002.1</v>
      </c>
      <c r="AD322" s="42" t="s">
        <v>603</v>
      </c>
      <c r="AE322" s="42" t="s">
        <v>604</v>
      </c>
      <c r="AF322" s="43" t="s">
        <v>1275</v>
      </c>
      <c r="AG322" s="44">
        <v>32</v>
      </c>
      <c r="AH322" s="31">
        <v>11108644.183300152</v>
      </c>
      <c r="AI322" s="31">
        <v>484987.07</v>
      </c>
      <c r="AJ322" s="31">
        <v>225206.87000000002</v>
      </c>
      <c r="AK322" s="31">
        <v>0</v>
      </c>
      <c r="AL322" s="31">
        <v>1241157.6978184765</v>
      </c>
      <c r="AM322" s="31">
        <v>456237.1575383303</v>
      </c>
      <c r="AN322" s="31">
        <v>438679.14361666696</v>
      </c>
      <c r="AO322" s="31">
        <f t="shared" si="22"/>
        <v>14330415.412273625</v>
      </c>
      <c r="AP322" s="31">
        <v>375503.29</v>
      </c>
      <c r="AR322" s="42" t="s">
        <v>603</v>
      </c>
      <c r="AS322" s="42" t="s">
        <v>604</v>
      </c>
      <c r="AT322" s="43" t="s">
        <v>1276</v>
      </c>
      <c r="AU322" s="44">
        <v>32</v>
      </c>
      <c r="AV322" s="31">
        <v>11312917.464696899</v>
      </c>
      <c r="AW322" s="31">
        <v>493737.63999999996</v>
      </c>
      <c r="AX322" s="31">
        <v>229319.36</v>
      </c>
      <c r="AY322" s="31">
        <v>0</v>
      </c>
      <c r="AZ322" s="31">
        <v>1264013.0872900118</v>
      </c>
      <c r="BA322" s="31">
        <v>456254.92578582704</v>
      </c>
      <c r="BB322" s="31">
        <v>446766.40006520349</v>
      </c>
      <c r="BC322" s="31">
        <f t="shared" si="23"/>
        <v>14585474.937837942</v>
      </c>
      <c r="BD322" s="31">
        <v>382466.06</v>
      </c>
    </row>
  </sheetData>
  <autoFilter ref="A4:AT322" xr:uid="{00000000-0009-0000-0000-00000D000000}"/>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9">
    <tabColor theme="9" tint="0.59999389629810485"/>
  </sheetPr>
  <dimension ref="A1:BF322"/>
  <sheetViews>
    <sheetView workbookViewId="0">
      <pane xSplit="2" ySplit="4" topLeftCell="AR5"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5.21875" customWidth="1"/>
    <col min="2" max="2" width="7.21875" bestFit="1" customWidth="1"/>
    <col min="3" max="3" width="54.5546875" bestFit="1" customWidth="1"/>
    <col min="4" max="4" width="7.5546875" bestFit="1" customWidth="1"/>
    <col min="5" max="5" width="10.21875" bestFit="1" customWidth="1"/>
    <col min="6" max="7" width="18.21875" customWidth="1"/>
    <col min="8" max="10" width="14.21875" bestFit="1" customWidth="1"/>
    <col min="11" max="11" width="15.21875" bestFit="1" customWidth="1"/>
    <col min="12" max="12" width="16.77734375" bestFit="1" customWidth="1"/>
    <col min="13" max="13" width="15.21875" bestFit="1" customWidth="1"/>
    <col min="14" max="14" width="15.21875" customWidth="1"/>
    <col min="15" max="15" width="8" bestFit="1" customWidth="1"/>
    <col min="16" max="16" width="7.21875" bestFit="1" customWidth="1"/>
    <col min="17" max="17" width="54.5546875" bestFit="1" customWidth="1"/>
    <col min="18" max="18" width="7.5546875" bestFit="1" customWidth="1"/>
    <col min="19" max="19" width="10.21875" bestFit="1" customWidth="1"/>
    <col min="20" max="21" width="18.21875" customWidth="1"/>
    <col min="22" max="24" width="14.21875" bestFit="1" customWidth="1"/>
    <col min="25" max="25" width="15.21875" bestFit="1" customWidth="1"/>
    <col min="26" max="26" width="16.77734375" bestFit="1" customWidth="1"/>
    <col min="27" max="27" width="15.21875" bestFit="1" customWidth="1"/>
    <col min="28" max="28" width="15.21875" customWidth="1"/>
    <col min="29" max="29" width="8" bestFit="1" customWidth="1"/>
    <col min="30" max="30" width="7.21875" bestFit="1" customWidth="1"/>
    <col min="31" max="31" width="54.5546875" bestFit="1" customWidth="1"/>
    <col min="32" max="32" width="7.5546875" bestFit="1" customWidth="1"/>
    <col min="33" max="33" width="10.21875" bestFit="1" customWidth="1"/>
    <col min="34" max="35" width="18.21875" customWidth="1"/>
    <col min="36" max="38" width="14.21875" bestFit="1" customWidth="1"/>
    <col min="39" max="39" width="15.21875" bestFit="1" customWidth="1"/>
    <col min="40" max="40" width="16.77734375" bestFit="1" customWidth="1"/>
    <col min="41" max="41" width="15.21875" bestFit="1" customWidth="1"/>
    <col min="42" max="42" width="15.21875" customWidth="1"/>
    <col min="44" max="44" width="7.21875" bestFit="1" customWidth="1"/>
    <col min="45" max="45" width="54.5546875" bestFit="1" customWidth="1"/>
    <col min="46" max="46" width="7.5546875" bestFit="1" customWidth="1"/>
    <col min="47" max="47" width="10.21875" bestFit="1" customWidth="1"/>
    <col min="48" max="49" width="18.21875" customWidth="1"/>
    <col min="50" max="52" width="14.21875" bestFit="1" customWidth="1"/>
    <col min="53" max="53" width="15.21875" bestFit="1" customWidth="1"/>
    <col min="54" max="54" width="16.77734375" bestFit="1" customWidth="1"/>
    <col min="55" max="55" width="15.21875" bestFit="1" customWidth="1"/>
    <col min="56" max="56" width="15.21875" customWidth="1"/>
  </cols>
  <sheetData>
    <row r="1" spans="1:58" s="27" customFormat="1">
      <c r="A1" s="45"/>
      <c r="B1" s="45">
        <v>1</v>
      </c>
      <c r="C1" s="45">
        <f>B1+1</f>
        <v>2</v>
      </c>
      <c r="D1" s="45">
        <f>C1+1</f>
        <v>3</v>
      </c>
      <c r="E1" s="45">
        <f t="shared" ref="E1:N1" si="0">D1+1</f>
        <v>4</v>
      </c>
      <c r="F1" s="45">
        <f t="shared" si="0"/>
        <v>5</v>
      </c>
      <c r="G1" s="45">
        <f t="shared" si="0"/>
        <v>6</v>
      </c>
      <c r="H1" s="45">
        <f t="shared" si="0"/>
        <v>7</v>
      </c>
      <c r="I1" s="45">
        <f t="shared" si="0"/>
        <v>8</v>
      </c>
      <c r="J1" s="45">
        <f t="shared" si="0"/>
        <v>9</v>
      </c>
      <c r="K1" s="45">
        <f t="shared" si="0"/>
        <v>10</v>
      </c>
      <c r="L1" s="45">
        <f t="shared" si="0"/>
        <v>11</v>
      </c>
      <c r="M1" s="45">
        <f t="shared" si="0"/>
        <v>12</v>
      </c>
      <c r="N1" s="45">
        <f t="shared" si="0"/>
        <v>13</v>
      </c>
      <c r="O1" s="45"/>
      <c r="P1" s="45">
        <v>1</v>
      </c>
      <c r="Q1" s="45">
        <f>P1+1</f>
        <v>2</v>
      </c>
      <c r="R1" s="45">
        <f t="shared" ref="R1:AB1" si="1">Q1+1</f>
        <v>3</v>
      </c>
      <c r="S1" s="45">
        <f t="shared" si="1"/>
        <v>4</v>
      </c>
      <c r="T1" s="45">
        <f t="shared" si="1"/>
        <v>5</v>
      </c>
      <c r="U1" s="45">
        <f t="shared" si="1"/>
        <v>6</v>
      </c>
      <c r="V1" s="45">
        <f t="shared" si="1"/>
        <v>7</v>
      </c>
      <c r="W1" s="45">
        <f t="shared" si="1"/>
        <v>8</v>
      </c>
      <c r="X1" s="45">
        <f t="shared" si="1"/>
        <v>9</v>
      </c>
      <c r="Y1" s="45">
        <f t="shared" si="1"/>
        <v>10</v>
      </c>
      <c r="Z1" s="45">
        <f t="shared" si="1"/>
        <v>11</v>
      </c>
      <c r="AA1" s="45">
        <f t="shared" si="1"/>
        <v>12</v>
      </c>
      <c r="AB1" s="45">
        <f t="shared" si="1"/>
        <v>13</v>
      </c>
      <c r="AC1" s="45"/>
      <c r="AD1" s="45">
        <v>1</v>
      </c>
      <c r="AE1" s="45">
        <f>AD1+1</f>
        <v>2</v>
      </c>
      <c r="AF1" s="45">
        <f t="shared" ref="AF1:AP1" si="2">AE1+1</f>
        <v>3</v>
      </c>
      <c r="AG1" s="45">
        <f t="shared" si="2"/>
        <v>4</v>
      </c>
      <c r="AH1" s="45">
        <f t="shared" si="2"/>
        <v>5</v>
      </c>
      <c r="AI1" s="45">
        <f t="shared" si="2"/>
        <v>6</v>
      </c>
      <c r="AJ1" s="45">
        <f t="shared" si="2"/>
        <v>7</v>
      </c>
      <c r="AK1" s="45">
        <f t="shared" si="2"/>
        <v>8</v>
      </c>
      <c r="AL1" s="45">
        <f t="shared" si="2"/>
        <v>9</v>
      </c>
      <c r="AM1" s="45">
        <f t="shared" si="2"/>
        <v>10</v>
      </c>
      <c r="AN1" s="45">
        <f t="shared" si="2"/>
        <v>11</v>
      </c>
      <c r="AO1" s="45">
        <f t="shared" si="2"/>
        <v>12</v>
      </c>
      <c r="AP1" s="45">
        <f t="shared" si="2"/>
        <v>13</v>
      </c>
      <c r="AR1" s="45">
        <v>1</v>
      </c>
      <c r="AS1" s="45">
        <f>AR1+1</f>
        <v>2</v>
      </c>
      <c r="AT1" s="45">
        <f t="shared" ref="AT1:BD1" si="3">AS1+1</f>
        <v>3</v>
      </c>
      <c r="AU1" s="45">
        <f t="shared" si="3"/>
        <v>4</v>
      </c>
      <c r="AV1" s="45">
        <f t="shared" si="3"/>
        <v>5</v>
      </c>
      <c r="AW1" s="45">
        <f t="shared" si="3"/>
        <v>6</v>
      </c>
      <c r="AX1" s="45">
        <f t="shared" si="3"/>
        <v>7</v>
      </c>
      <c r="AY1" s="45">
        <f t="shared" si="3"/>
        <v>8</v>
      </c>
      <c r="AZ1" s="45">
        <f t="shared" si="3"/>
        <v>9</v>
      </c>
      <c r="BA1" s="45">
        <f t="shared" si="3"/>
        <v>10</v>
      </c>
      <c r="BB1" s="45">
        <f t="shared" si="3"/>
        <v>11</v>
      </c>
      <c r="BC1" s="45">
        <f t="shared" si="3"/>
        <v>12</v>
      </c>
      <c r="BD1" s="45">
        <f t="shared" si="3"/>
        <v>13</v>
      </c>
      <c r="BE1" s="45"/>
      <c r="BF1" s="45"/>
    </row>
    <row r="2" spans="1:58">
      <c r="B2" s="35"/>
      <c r="C2" s="35"/>
      <c r="D2" s="36"/>
      <c r="E2" s="36"/>
      <c r="K2" s="77"/>
      <c r="L2" s="77"/>
      <c r="M2" s="77"/>
      <c r="N2" s="77"/>
      <c r="P2" s="35"/>
      <c r="Q2" s="35"/>
      <c r="R2" s="36"/>
      <c r="S2" s="36"/>
      <c r="Y2" s="77"/>
      <c r="Z2" s="77"/>
      <c r="AA2" s="77"/>
      <c r="AB2" s="77"/>
      <c r="AD2" s="35"/>
      <c r="AE2" s="35"/>
      <c r="AF2" s="36"/>
      <c r="AG2" s="36"/>
      <c r="AM2" s="77"/>
      <c r="AN2" s="77"/>
      <c r="AO2" s="77"/>
      <c r="AP2" s="77"/>
      <c r="AR2" s="35"/>
      <c r="AS2" s="35"/>
      <c r="AT2" s="36"/>
      <c r="AU2" s="36"/>
      <c r="BA2" s="77"/>
      <c r="BB2" s="77"/>
      <c r="BC2" s="77"/>
      <c r="BD2" s="77"/>
    </row>
    <row r="3" spans="1:58" ht="28.2" thickBot="1">
      <c r="B3" s="32" t="s">
        <v>623</v>
      </c>
      <c r="C3" s="32" t="s">
        <v>911</v>
      </c>
      <c r="D3" s="33" t="s">
        <v>916</v>
      </c>
      <c r="E3" s="33" t="s">
        <v>917</v>
      </c>
      <c r="F3" s="34" t="s">
        <v>971</v>
      </c>
      <c r="G3" s="34" t="s">
        <v>628</v>
      </c>
      <c r="H3" s="34" t="s">
        <v>918</v>
      </c>
      <c r="I3" s="34" t="s">
        <v>626</v>
      </c>
      <c r="J3" s="34" t="s">
        <v>919</v>
      </c>
      <c r="K3" s="34" t="s">
        <v>920</v>
      </c>
      <c r="L3" s="34" t="s">
        <v>1048</v>
      </c>
      <c r="M3" s="34" t="s">
        <v>629</v>
      </c>
      <c r="N3" s="34" t="s">
        <v>1055</v>
      </c>
      <c r="P3" s="32" t="s">
        <v>623</v>
      </c>
      <c r="Q3" s="32" t="s">
        <v>911</v>
      </c>
      <c r="R3" s="33" t="s">
        <v>916</v>
      </c>
      <c r="S3" s="33" t="s">
        <v>917</v>
      </c>
      <c r="T3" s="34" t="s">
        <v>971</v>
      </c>
      <c r="U3" s="34" t="s">
        <v>628</v>
      </c>
      <c r="V3" s="34" t="s">
        <v>918</v>
      </c>
      <c r="W3" s="34" t="s">
        <v>626</v>
      </c>
      <c r="X3" s="34" t="s">
        <v>919</v>
      </c>
      <c r="Y3" s="34" t="s">
        <v>920</v>
      </c>
      <c r="Z3" s="34" t="s">
        <v>1048</v>
      </c>
      <c r="AA3" s="34" t="s">
        <v>629</v>
      </c>
      <c r="AB3" s="34" t="s">
        <v>1055</v>
      </c>
      <c r="AD3" s="32" t="s">
        <v>623</v>
      </c>
      <c r="AE3" s="32" t="s">
        <v>911</v>
      </c>
      <c r="AF3" s="33" t="s">
        <v>916</v>
      </c>
      <c r="AG3" s="33" t="s">
        <v>917</v>
      </c>
      <c r="AH3" s="34" t="s">
        <v>971</v>
      </c>
      <c r="AI3" s="34" t="s">
        <v>628</v>
      </c>
      <c r="AJ3" s="34" t="s">
        <v>918</v>
      </c>
      <c r="AK3" s="34" t="s">
        <v>626</v>
      </c>
      <c r="AL3" s="34" t="s">
        <v>919</v>
      </c>
      <c r="AM3" s="34" t="s">
        <v>920</v>
      </c>
      <c r="AN3" s="34" t="s">
        <v>1048</v>
      </c>
      <c r="AO3" s="34" t="s">
        <v>629</v>
      </c>
      <c r="AP3" s="34" t="s">
        <v>1055</v>
      </c>
      <c r="AR3" s="32" t="s">
        <v>623</v>
      </c>
      <c r="AS3" s="32" t="s">
        <v>911</v>
      </c>
      <c r="AT3" s="33" t="s">
        <v>916</v>
      </c>
      <c r="AU3" s="33" t="s">
        <v>917</v>
      </c>
      <c r="AV3" s="34" t="s">
        <v>971</v>
      </c>
      <c r="AW3" s="34" t="s">
        <v>628</v>
      </c>
      <c r="AX3" s="34" t="s">
        <v>918</v>
      </c>
      <c r="AY3" s="34" t="s">
        <v>626</v>
      </c>
      <c r="AZ3" s="34" t="s">
        <v>919</v>
      </c>
      <c r="BA3" s="34" t="s">
        <v>920</v>
      </c>
      <c r="BB3" s="34" t="s">
        <v>1048</v>
      </c>
      <c r="BC3" s="34" t="s">
        <v>629</v>
      </c>
      <c r="BD3" s="34" t="s">
        <v>1055</v>
      </c>
    </row>
    <row r="4" spans="1:58">
      <c r="B4" s="37" t="s">
        <v>627</v>
      </c>
      <c r="C4" s="38" t="s">
        <v>871</v>
      </c>
      <c r="D4" s="39" t="s">
        <v>1049</v>
      </c>
      <c r="E4" s="40">
        <v>34</v>
      </c>
      <c r="F4" s="41">
        <v>9230761835.2088699</v>
      </c>
      <c r="G4" s="41">
        <v>326698166.14000022</v>
      </c>
      <c r="H4" s="41">
        <v>216662589.81000006</v>
      </c>
      <c r="I4" s="41">
        <v>28451620.379999999</v>
      </c>
      <c r="J4" s="41">
        <v>1335776939.3022685</v>
      </c>
      <c r="K4" s="41">
        <v>590218986.73336327</v>
      </c>
      <c r="L4" s="41">
        <v>728398828.01556575</v>
      </c>
      <c r="M4" s="41">
        <f>SUM(M5:M318)</f>
        <v>12336247421.177702</v>
      </c>
      <c r="N4" s="41">
        <v>134812916.28999996</v>
      </c>
      <c r="P4" s="37" t="s">
        <v>627</v>
      </c>
      <c r="Q4" s="38" t="s">
        <v>871</v>
      </c>
      <c r="R4" s="39" t="s">
        <v>1050</v>
      </c>
      <c r="S4" s="40">
        <v>34</v>
      </c>
      <c r="T4" s="41">
        <v>9849520072.9969769</v>
      </c>
      <c r="U4" s="41">
        <v>349172841.71000022</v>
      </c>
      <c r="V4" s="41">
        <v>230138425.35000017</v>
      </c>
      <c r="W4" s="41">
        <v>30214813.849999998</v>
      </c>
      <c r="X4" s="41">
        <v>1412116886.9169579</v>
      </c>
      <c r="Y4" s="41">
        <v>591512069.31925452</v>
      </c>
      <c r="Z4" s="41">
        <v>775096155.27584517</v>
      </c>
      <c r="AA4" s="41">
        <f>SUM(AA5:AA318)</f>
        <v>13105948165.405334</v>
      </c>
      <c r="AB4" s="41">
        <v>141109843.76999995</v>
      </c>
      <c r="AD4" s="37" t="s">
        <v>627</v>
      </c>
      <c r="AE4" s="38" t="s">
        <v>871</v>
      </c>
      <c r="AF4" s="39" t="s">
        <v>1275</v>
      </c>
      <c r="AG4" s="40">
        <v>34</v>
      </c>
      <c r="AH4" s="41">
        <v>10029576712.027601</v>
      </c>
      <c r="AI4" s="41">
        <v>355282799.25000012</v>
      </c>
      <c r="AJ4" s="41">
        <v>234194255.45999992</v>
      </c>
      <c r="AK4" s="41">
        <v>30747270.669999994</v>
      </c>
      <c r="AL4" s="41">
        <v>1437118630.8700006</v>
      </c>
      <c r="AM4" s="41">
        <v>590514102.67718017</v>
      </c>
      <c r="AN4" s="41">
        <v>788832559.59460402</v>
      </c>
      <c r="AO4" s="41">
        <f>SUM(AO5:AO318)</f>
        <v>13332264666.688488</v>
      </c>
      <c r="AP4" s="41">
        <v>143620796.26999995</v>
      </c>
      <c r="AR4" s="37" t="s">
        <v>627</v>
      </c>
      <c r="AS4" s="38" t="s">
        <v>871</v>
      </c>
      <c r="AT4" s="39" t="s">
        <v>1276</v>
      </c>
      <c r="AU4" s="40">
        <v>34</v>
      </c>
      <c r="AV4" s="41">
        <v>10222036480.658949</v>
      </c>
      <c r="AW4" s="41">
        <v>361826563.55000025</v>
      </c>
      <c r="AX4" s="41">
        <v>238538049.33999997</v>
      </c>
      <c r="AY4" s="41">
        <v>31317531.77999999</v>
      </c>
      <c r="AZ4" s="41">
        <v>1463895394.9670596</v>
      </c>
      <c r="BA4" s="41">
        <v>590542616.00981128</v>
      </c>
      <c r="BB4" s="41">
        <v>803543815.49647415</v>
      </c>
      <c r="BC4" s="41">
        <f>SUM(BC5:BC318)</f>
        <v>13575354086.380909</v>
      </c>
      <c r="BD4" s="41">
        <v>146310026.52000007</v>
      </c>
    </row>
    <row r="5" spans="1:58">
      <c r="B5" s="42" t="s">
        <v>141</v>
      </c>
      <c r="C5" s="42" t="s">
        <v>142</v>
      </c>
      <c r="D5" s="43" t="s">
        <v>1049</v>
      </c>
      <c r="E5" s="44">
        <v>34</v>
      </c>
      <c r="F5" s="31">
        <v>24093043.616767928</v>
      </c>
      <c r="G5" s="31">
        <v>1407852.5799999996</v>
      </c>
      <c r="H5" s="31">
        <v>637372.91</v>
      </c>
      <c r="I5" s="31">
        <v>87406.13</v>
      </c>
      <c r="J5" s="31">
        <v>4058166.9319256772</v>
      </c>
      <c r="K5" s="31">
        <v>1174309.784083107</v>
      </c>
      <c r="L5" s="31">
        <v>3097255.8582306374</v>
      </c>
      <c r="M5" s="31">
        <f t="shared" ref="M5:M68" si="4">SUM(F5:L5,N5)</f>
        <v>35450321.851007342</v>
      </c>
      <c r="N5" s="31">
        <v>894914.04</v>
      </c>
      <c r="P5" s="42" t="s">
        <v>141</v>
      </c>
      <c r="Q5" s="42" t="s">
        <v>142</v>
      </c>
      <c r="R5" s="43" t="s">
        <v>1050</v>
      </c>
      <c r="S5" s="44">
        <v>34</v>
      </c>
      <c r="T5" s="31">
        <v>25916148.512401231</v>
      </c>
      <c r="U5" s="31">
        <v>1514108.3800000004</v>
      </c>
      <c r="V5" s="31">
        <v>678744.23999999987</v>
      </c>
      <c r="W5" s="31">
        <v>93079.590000000011</v>
      </c>
      <c r="X5" s="31">
        <v>4298963.2060636953</v>
      </c>
      <c r="Y5" s="31">
        <v>1176568.0563801352</v>
      </c>
      <c r="Z5" s="31">
        <v>3319139.8773795781</v>
      </c>
      <c r="AA5" s="31">
        <f t="shared" ref="AA5:AA68" si="5">SUM(T5:Z5,AB5)</f>
        <v>37934880.702224642</v>
      </c>
      <c r="AB5" s="31">
        <v>938128.84</v>
      </c>
      <c r="AD5" s="42" t="s">
        <v>141</v>
      </c>
      <c r="AE5" s="42" t="s">
        <v>142</v>
      </c>
      <c r="AF5" s="43" t="s">
        <v>1275</v>
      </c>
      <c r="AG5" s="44">
        <v>34</v>
      </c>
      <c r="AH5" s="31">
        <v>26384655.118305448</v>
      </c>
      <c r="AI5" s="31">
        <v>1540283.9699999997</v>
      </c>
      <c r="AJ5" s="31">
        <v>690578.03999999992</v>
      </c>
      <c r="AK5" s="31">
        <v>94702.420000000013</v>
      </c>
      <c r="AL5" s="31">
        <v>4374485.0645186622</v>
      </c>
      <c r="AM5" s="31">
        <v>1174852.3785043354</v>
      </c>
      <c r="AN5" s="31">
        <v>3377532.4702268364</v>
      </c>
      <c r="AO5" s="31">
        <f t="shared" ref="AO5:AO68" si="6">SUM(AH5:AN5,AP5)</f>
        <v>38591797.081555285</v>
      </c>
      <c r="AP5" s="31">
        <v>954707.62</v>
      </c>
      <c r="AR5" s="42" t="s">
        <v>141</v>
      </c>
      <c r="AS5" s="42" t="s">
        <v>142</v>
      </c>
      <c r="AT5" s="43" t="s">
        <v>1276</v>
      </c>
      <c r="AU5" s="44">
        <v>34</v>
      </c>
      <c r="AV5" s="31">
        <v>26885545.548030172</v>
      </c>
      <c r="AW5" s="31">
        <v>1568318.03</v>
      </c>
      <c r="AX5" s="31">
        <v>703252.03999999992</v>
      </c>
      <c r="AY5" s="31">
        <v>96440.46</v>
      </c>
      <c r="AZ5" s="31">
        <v>4455368.6509575183</v>
      </c>
      <c r="BA5" s="31">
        <v>1174901.3978722154</v>
      </c>
      <c r="BB5" s="31">
        <v>3440068.9793156488</v>
      </c>
      <c r="BC5" s="31">
        <f t="shared" ref="BC5:BC68" si="7">SUM(AV5:BB5,BD5)</f>
        <v>39296358.596175559</v>
      </c>
      <c r="BD5" s="31">
        <v>972463.49</v>
      </c>
    </row>
    <row r="6" spans="1:58">
      <c r="B6" s="42" t="s">
        <v>279</v>
      </c>
      <c r="C6" s="42" t="s">
        <v>280</v>
      </c>
      <c r="D6" s="43" t="s">
        <v>1049</v>
      </c>
      <c r="E6" s="44">
        <v>34</v>
      </c>
      <c r="F6" s="31">
        <v>5272220.1589501528</v>
      </c>
      <c r="G6" s="31">
        <v>106430.69999999998</v>
      </c>
      <c r="H6" s="31">
        <v>0</v>
      </c>
      <c r="I6" s="31">
        <v>17856.14</v>
      </c>
      <c r="J6" s="31">
        <v>679387.56522808468</v>
      </c>
      <c r="K6" s="31">
        <v>350110.06392341462</v>
      </c>
      <c r="L6" s="31">
        <v>463065.29464732751</v>
      </c>
      <c r="M6" s="31">
        <f t="shared" si="4"/>
        <v>6889069.9227489801</v>
      </c>
      <c r="N6" s="31">
        <v>0</v>
      </c>
      <c r="P6" s="42" t="s">
        <v>279</v>
      </c>
      <c r="Q6" s="42" t="s">
        <v>280</v>
      </c>
      <c r="R6" s="43" t="s">
        <v>1050</v>
      </c>
      <c r="S6" s="44">
        <v>34</v>
      </c>
      <c r="T6" s="31">
        <v>5610323.6596904658</v>
      </c>
      <c r="U6" s="31">
        <v>113310.48000000001</v>
      </c>
      <c r="V6" s="31">
        <v>0</v>
      </c>
      <c r="W6" s="31">
        <v>19010.38</v>
      </c>
      <c r="X6" s="31">
        <v>719668.41509034613</v>
      </c>
      <c r="Y6" s="31">
        <v>351110.80267680075</v>
      </c>
      <c r="Z6" s="31">
        <v>491486.20360239508</v>
      </c>
      <c r="AA6" s="31">
        <f t="shared" si="5"/>
        <v>7304909.9410600075</v>
      </c>
      <c r="AB6" s="31">
        <v>0</v>
      </c>
      <c r="AD6" s="42" t="s">
        <v>279</v>
      </c>
      <c r="AE6" s="42" t="s">
        <v>280</v>
      </c>
      <c r="AF6" s="43" t="s">
        <v>1275</v>
      </c>
      <c r="AG6" s="44">
        <v>34</v>
      </c>
      <c r="AH6" s="31">
        <v>5710115.2719345223</v>
      </c>
      <c r="AI6" s="31">
        <v>115295.5</v>
      </c>
      <c r="AJ6" s="31">
        <v>0</v>
      </c>
      <c r="AK6" s="31">
        <v>19343.420000000002</v>
      </c>
      <c r="AL6" s="31">
        <v>732346.99581961264</v>
      </c>
      <c r="AM6" s="31">
        <v>350350.51112963009</v>
      </c>
      <c r="AN6" s="31">
        <v>500158.39438642212</v>
      </c>
      <c r="AO6" s="31">
        <f t="shared" si="6"/>
        <v>7427610.0932701863</v>
      </c>
      <c r="AP6" s="31">
        <v>0</v>
      </c>
      <c r="AR6" s="42" t="s">
        <v>279</v>
      </c>
      <c r="AS6" s="42" t="s">
        <v>280</v>
      </c>
      <c r="AT6" s="43" t="s">
        <v>1276</v>
      </c>
      <c r="AU6" s="44">
        <v>34</v>
      </c>
      <c r="AV6" s="31">
        <v>5816912.9991644453</v>
      </c>
      <c r="AW6" s="31">
        <v>117421.45999999999</v>
      </c>
      <c r="AX6" s="31">
        <v>0</v>
      </c>
      <c r="AY6" s="31">
        <v>19700.100000000002</v>
      </c>
      <c r="AZ6" s="31">
        <v>745925.70362425339</v>
      </c>
      <c r="BA6" s="31">
        <v>350372.23374526348</v>
      </c>
      <c r="BB6" s="31">
        <v>509446.02171651507</v>
      </c>
      <c r="BC6" s="31">
        <f t="shared" si="7"/>
        <v>7559778.5182504766</v>
      </c>
      <c r="BD6" s="31">
        <v>0</v>
      </c>
    </row>
    <row r="7" spans="1:58">
      <c r="B7" s="42" t="s">
        <v>301</v>
      </c>
      <c r="C7" s="42" t="s">
        <v>302</v>
      </c>
      <c r="D7" s="43" t="s">
        <v>1049</v>
      </c>
      <c r="E7" s="44">
        <v>34</v>
      </c>
      <c r="F7" s="31">
        <v>2075727.5904541076</v>
      </c>
      <c r="G7" s="31">
        <v>23303.780000000002</v>
      </c>
      <c r="H7" s="31">
        <v>0</v>
      </c>
      <c r="I7" s="31">
        <v>0</v>
      </c>
      <c r="J7" s="31">
        <v>82898.691177076049</v>
      </c>
      <c r="K7" s="31">
        <v>178371.18282314594</v>
      </c>
      <c r="L7" s="31">
        <v>30424.361647055375</v>
      </c>
      <c r="M7" s="31">
        <f t="shared" si="4"/>
        <v>2390725.6061013849</v>
      </c>
      <c r="N7" s="31">
        <v>0</v>
      </c>
      <c r="P7" s="42" t="s">
        <v>301</v>
      </c>
      <c r="Q7" s="42" t="s">
        <v>302</v>
      </c>
      <c r="R7" s="43" t="s">
        <v>1050</v>
      </c>
      <c r="S7" s="44">
        <v>34</v>
      </c>
      <c r="T7" s="31">
        <v>2202438.5638091033</v>
      </c>
      <c r="U7" s="31">
        <v>24810.16</v>
      </c>
      <c r="V7" s="31">
        <v>0</v>
      </c>
      <c r="W7" s="31">
        <v>0</v>
      </c>
      <c r="X7" s="31">
        <v>87808.498768428515</v>
      </c>
      <c r="Y7" s="31">
        <v>178710.03051266167</v>
      </c>
      <c r="Z7" s="31">
        <v>32291.255966221092</v>
      </c>
      <c r="AA7" s="31">
        <f t="shared" si="5"/>
        <v>2526058.5090564145</v>
      </c>
      <c r="AB7" s="31">
        <v>0</v>
      </c>
      <c r="AD7" s="42" t="s">
        <v>301</v>
      </c>
      <c r="AE7" s="42" t="s">
        <v>302</v>
      </c>
      <c r="AF7" s="43" t="s">
        <v>1275</v>
      </c>
      <c r="AG7" s="44">
        <v>34</v>
      </c>
      <c r="AH7" s="31">
        <v>2240724.5111396136</v>
      </c>
      <c r="AI7" s="31">
        <v>25244.799999999999</v>
      </c>
      <c r="AJ7" s="31">
        <v>0</v>
      </c>
      <c r="AK7" s="31">
        <v>0</v>
      </c>
      <c r="AL7" s="31">
        <v>89354.250513487437</v>
      </c>
      <c r="AM7" s="31">
        <v>178452.59765793767</v>
      </c>
      <c r="AN7" s="31">
        <v>32860.947282897512</v>
      </c>
      <c r="AO7" s="31">
        <f t="shared" si="6"/>
        <v>2566637.1065939358</v>
      </c>
      <c r="AP7" s="31">
        <v>0</v>
      </c>
      <c r="AR7" s="42" t="s">
        <v>301</v>
      </c>
      <c r="AS7" s="42" t="s">
        <v>302</v>
      </c>
      <c r="AT7" s="43" t="s">
        <v>1276</v>
      </c>
      <c r="AU7" s="44">
        <v>34</v>
      </c>
      <c r="AV7" s="31">
        <v>2281732.3751676809</v>
      </c>
      <c r="AW7" s="31">
        <v>25710.29</v>
      </c>
      <c r="AX7" s="31">
        <v>0</v>
      </c>
      <c r="AY7" s="31">
        <v>0</v>
      </c>
      <c r="AZ7" s="31">
        <v>91009.737785035555</v>
      </c>
      <c r="BA7" s="31">
        <v>178459.95288235837</v>
      </c>
      <c r="BB7" s="31">
        <v>33471.067665457951</v>
      </c>
      <c r="BC7" s="31">
        <f t="shared" si="7"/>
        <v>2610383.4235005328</v>
      </c>
      <c r="BD7" s="31">
        <v>0</v>
      </c>
    </row>
    <row r="8" spans="1:58">
      <c r="B8" s="42" t="s">
        <v>407</v>
      </c>
      <c r="C8" s="42" t="s">
        <v>408</v>
      </c>
      <c r="D8" s="43" t="s">
        <v>1049</v>
      </c>
      <c r="E8" s="44">
        <v>34</v>
      </c>
      <c r="F8" s="31">
        <v>22427530.43284009</v>
      </c>
      <c r="G8" s="31">
        <v>501412.21</v>
      </c>
      <c r="H8" s="31">
        <v>90195.99000000002</v>
      </c>
      <c r="I8" s="31">
        <v>77911.25</v>
      </c>
      <c r="J8" s="31">
        <v>3030597.5501745851</v>
      </c>
      <c r="K8" s="31">
        <v>1043096.536471059</v>
      </c>
      <c r="L8" s="31">
        <v>1145673.3317024559</v>
      </c>
      <c r="M8" s="31">
        <f t="shared" si="4"/>
        <v>28334413.401188191</v>
      </c>
      <c r="N8" s="31">
        <v>17996.100000000002</v>
      </c>
      <c r="P8" s="42" t="s">
        <v>407</v>
      </c>
      <c r="Q8" s="42" t="s">
        <v>408</v>
      </c>
      <c r="R8" s="43" t="s">
        <v>1050</v>
      </c>
      <c r="S8" s="44">
        <v>34</v>
      </c>
      <c r="T8" s="31">
        <v>23869887.571208246</v>
      </c>
      <c r="U8" s="31">
        <v>533855.34000000008</v>
      </c>
      <c r="V8" s="31">
        <v>95982.63</v>
      </c>
      <c r="W8" s="31">
        <v>82909.739999999991</v>
      </c>
      <c r="X8" s="31">
        <v>3209711.4223585259</v>
      </c>
      <c r="Y8" s="31">
        <v>1045013.1358518916</v>
      </c>
      <c r="Z8" s="31">
        <v>1215649.1053708333</v>
      </c>
      <c r="AA8" s="31">
        <f t="shared" si="5"/>
        <v>30071885.154789492</v>
      </c>
      <c r="AB8" s="31">
        <v>18876.210000000003</v>
      </c>
      <c r="AD8" s="42" t="s">
        <v>407</v>
      </c>
      <c r="AE8" s="42" t="s">
        <v>408</v>
      </c>
      <c r="AF8" s="43" t="s">
        <v>1275</v>
      </c>
      <c r="AG8" s="44">
        <v>34</v>
      </c>
      <c r="AH8" s="31">
        <v>24305231.684772745</v>
      </c>
      <c r="AI8" s="31">
        <v>543284.35000000009</v>
      </c>
      <c r="AJ8" s="31">
        <v>97678.63</v>
      </c>
      <c r="AK8" s="31">
        <v>84374.73</v>
      </c>
      <c r="AL8" s="31">
        <v>3266670.7195539623</v>
      </c>
      <c r="AM8" s="31">
        <v>1043526.1522712871</v>
      </c>
      <c r="AN8" s="31">
        <v>1237253.128328949</v>
      </c>
      <c r="AO8" s="31">
        <f t="shared" si="6"/>
        <v>30597233.234926943</v>
      </c>
      <c r="AP8" s="31">
        <v>19213.84</v>
      </c>
      <c r="AR8" s="42" t="s">
        <v>407</v>
      </c>
      <c r="AS8" s="42" t="s">
        <v>408</v>
      </c>
      <c r="AT8" s="43" t="s">
        <v>1276</v>
      </c>
      <c r="AU8" s="44">
        <v>34</v>
      </c>
      <c r="AV8" s="31">
        <v>24770720.887156177</v>
      </c>
      <c r="AW8" s="31">
        <v>553382.80000000005</v>
      </c>
      <c r="AX8" s="31">
        <v>99495.040000000008</v>
      </c>
      <c r="AY8" s="31">
        <v>85943.74</v>
      </c>
      <c r="AZ8" s="31">
        <v>3327673.8716901094</v>
      </c>
      <c r="BA8" s="31">
        <v>1043568.6375164471</v>
      </c>
      <c r="BB8" s="31">
        <v>1260390.3642826902</v>
      </c>
      <c r="BC8" s="31">
        <f t="shared" si="7"/>
        <v>31160750.800645422</v>
      </c>
      <c r="BD8" s="31">
        <v>19575.460000000003</v>
      </c>
    </row>
    <row r="9" spans="1:58">
      <c r="B9" s="42" t="s">
        <v>431</v>
      </c>
      <c r="C9" s="42" t="s">
        <v>432</v>
      </c>
      <c r="D9" s="43" t="s">
        <v>1049</v>
      </c>
      <c r="E9" s="44">
        <v>34</v>
      </c>
      <c r="F9" s="31">
        <v>47764717.996696949</v>
      </c>
      <c r="G9" s="31">
        <v>1253229.7000000002</v>
      </c>
      <c r="H9" s="31">
        <v>504183.07999999996</v>
      </c>
      <c r="I9" s="31">
        <v>171471.17</v>
      </c>
      <c r="J9" s="31">
        <v>7576316.1276263483</v>
      </c>
      <c r="K9" s="31">
        <v>3610176.8081120225</v>
      </c>
      <c r="L9" s="31">
        <v>3749072.543494808</v>
      </c>
      <c r="M9" s="31">
        <f t="shared" si="4"/>
        <v>64629167.425930128</v>
      </c>
      <c r="N9" s="31">
        <v>0</v>
      </c>
      <c r="P9" s="42" t="s">
        <v>431</v>
      </c>
      <c r="Q9" s="42" t="s">
        <v>432</v>
      </c>
      <c r="R9" s="43" t="s">
        <v>1050</v>
      </c>
      <c r="S9" s="44">
        <v>34</v>
      </c>
      <c r="T9" s="31">
        <v>50515222.471780136</v>
      </c>
      <c r="U9" s="31">
        <v>1323112.98</v>
      </c>
      <c r="V9" s="31">
        <v>532297.64</v>
      </c>
      <c r="W9" s="31">
        <v>181032.86</v>
      </c>
      <c r="X9" s="31">
        <v>7971827.7167665306</v>
      </c>
      <c r="Y9" s="31">
        <v>3616783.5671434086</v>
      </c>
      <c r="Z9" s="31">
        <v>3952319.464851846</v>
      </c>
      <c r="AA9" s="31">
        <f t="shared" si="5"/>
        <v>68092596.700541914</v>
      </c>
      <c r="AB9" s="31">
        <v>0</v>
      </c>
      <c r="AD9" s="42" t="s">
        <v>431</v>
      </c>
      <c r="AE9" s="42" t="s">
        <v>432</v>
      </c>
      <c r="AF9" s="43" t="s">
        <v>1275</v>
      </c>
      <c r="AG9" s="44">
        <v>34</v>
      </c>
      <c r="AH9" s="31">
        <v>51437708.296705216</v>
      </c>
      <c r="AI9" s="31">
        <v>1346560.7600000002</v>
      </c>
      <c r="AJ9" s="31">
        <v>541730.85</v>
      </c>
      <c r="AK9" s="31">
        <v>184241.06</v>
      </c>
      <c r="AL9" s="31">
        <v>8113635.3935977835</v>
      </c>
      <c r="AM9" s="31">
        <v>3611628.9382815086</v>
      </c>
      <c r="AN9" s="31">
        <v>4022714.8595096371</v>
      </c>
      <c r="AO9" s="31">
        <f t="shared" si="6"/>
        <v>69258220.158094138</v>
      </c>
      <c r="AP9" s="31">
        <v>0</v>
      </c>
      <c r="AR9" s="42" t="s">
        <v>431</v>
      </c>
      <c r="AS9" s="42" t="s">
        <v>432</v>
      </c>
      <c r="AT9" s="43" t="s">
        <v>1276</v>
      </c>
      <c r="AU9" s="44">
        <v>34</v>
      </c>
      <c r="AV9" s="31">
        <v>52424062.161655217</v>
      </c>
      <c r="AW9" s="31">
        <v>1371673.35</v>
      </c>
      <c r="AX9" s="31">
        <v>551833.81000000006</v>
      </c>
      <c r="AY9" s="31">
        <v>187677.06</v>
      </c>
      <c r="AZ9" s="31">
        <v>8265510.8935213899</v>
      </c>
      <c r="BA9" s="31">
        <v>3611776.2133918488</v>
      </c>
      <c r="BB9" s="31">
        <v>4098106.1821613312</v>
      </c>
      <c r="BC9" s="31">
        <f t="shared" si="7"/>
        <v>70510639.670729786</v>
      </c>
      <c r="BD9" s="31">
        <v>0</v>
      </c>
    </row>
    <row r="10" spans="1:58">
      <c r="B10" s="42" t="s">
        <v>15</v>
      </c>
      <c r="C10" s="42" t="s">
        <v>16</v>
      </c>
      <c r="D10" s="43" t="s">
        <v>1049</v>
      </c>
      <c r="E10" s="44">
        <v>34</v>
      </c>
      <c r="F10" s="31">
        <v>5409384.3150998112</v>
      </c>
      <c r="G10" s="31">
        <v>118100.58</v>
      </c>
      <c r="H10" s="31">
        <v>0</v>
      </c>
      <c r="I10" s="31">
        <v>17052.489999999998</v>
      </c>
      <c r="J10" s="31">
        <v>744226.44108178397</v>
      </c>
      <c r="K10" s="31">
        <v>280331.01026898378</v>
      </c>
      <c r="L10" s="31">
        <v>432894.90237023687</v>
      </c>
      <c r="M10" s="31">
        <f t="shared" si="4"/>
        <v>7001989.7388208155</v>
      </c>
      <c r="N10" s="31">
        <v>0</v>
      </c>
      <c r="P10" s="42" t="s">
        <v>15</v>
      </c>
      <c r="Q10" s="42" t="s">
        <v>16</v>
      </c>
      <c r="R10" s="43" t="s">
        <v>1050</v>
      </c>
      <c r="S10" s="44">
        <v>34</v>
      </c>
      <c r="T10" s="31">
        <v>5756083.4163152296</v>
      </c>
      <c r="U10" s="31">
        <v>125766.40000000001</v>
      </c>
      <c r="V10" s="31">
        <v>0</v>
      </c>
      <c r="W10" s="31">
        <v>18159.339999999997</v>
      </c>
      <c r="X10" s="31">
        <v>788356.25983207126</v>
      </c>
      <c r="Y10" s="31">
        <v>281238.89221398369</v>
      </c>
      <c r="Z10" s="31">
        <v>459503.42463974189</v>
      </c>
      <c r="AA10" s="31">
        <f t="shared" si="5"/>
        <v>7429107.7330010263</v>
      </c>
      <c r="AB10" s="31">
        <v>0</v>
      </c>
      <c r="AD10" s="42" t="s">
        <v>15</v>
      </c>
      <c r="AE10" s="42" t="s">
        <v>16</v>
      </c>
      <c r="AF10" s="43" t="s">
        <v>1275</v>
      </c>
      <c r="AG10" s="44">
        <v>34</v>
      </c>
      <c r="AH10" s="31">
        <v>5857924.5143379197</v>
      </c>
      <c r="AI10" s="31">
        <v>127959.13</v>
      </c>
      <c r="AJ10" s="31">
        <v>0</v>
      </c>
      <c r="AK10" s="31">
        <v>18475.949999999997</v>
      </c>
      <c r="AL10" s="31">
        <v>802199.46808779286</v>
      </c>
      <c r="AM10" s="31">
        <v>280549.14679713367</v>
      </c>
      <c r="AN10" s="31">
        <v>467588.88334301359</v>
      </c>
      <c r="AO10" s="31">
        <f t="shared" si="6"/>
        <v>7554697.0925658597</v>
      </c>
      <c r="AP10" s="31">
        <v>0</v>
      </c>
      <c r="AR10" s="42" t="s">
        <v>15</v>
      </c>
      <c r="AS10" s="42" t="s">
        <v>16</v>
      </c>
      <c r="AT10" s="43" t="s">
        <v>1276</v>
      </c>
      <c r="AU10" s="44">
        <v>34</v>
      </c>
      <c r="AV10" s="31">
        <v>5966927.7330546528</v>
      </c>
      <c r="AW10" s="31">
        <v>130307.51</v>
      </c>
      <c r="AX10" s="31">
        <v>0</v>
      </c>
      <c r="AY10" s="31">
        <v>18815.019999999997</v>
      </c>
      <c r="AZ10" s="31">
        <v>817025.45617896167</v>
      </c>
      <c r="BA10" s="31">
        <v>280568.85380904365</v>
      </c>
      <c r="BB10" s="31">
        <v>476248.13368921739</v>
      </c>
      <c r="BC10" s="31">
        <f t="shared" si="7"/>
        <v>7689892.7067318745</v>
      </c>
      <c r="BD10" s="31">
        <v>0</v>
      </c>
    </row>
    <row r="11" spans="1:58">
      <c r="B11" s="42" t="s">
        <v>205</v>
      </c>
      <c r="C11" s="42" t="s">
        <v>206</v>
      </c>
      <c r="D11" s="43" t="s">
        <v>1049</v>
      </c>
      <c r="E11" s="44">
        <v>34</v>
      </c>
      <c r="F11" s="31">
        <v>152613269.73470962</v>
      </c>
      <c r="G11" s="31">
        <v>6783230.8200000003</v>
      </c>
      <c r="H11" s="31">
        <v>6921230.669999999</v>
      </c>
      <c r="I11" s="31">
        <v>537320.85</v>
      </c>
      <c r="J11" s="31">
        <v>18959632.789758548</v>
      </c>
      <c r="K11" s="31">
        <v>8948766.3267089985</v>
      </c>
      <c r="L11" s="31">
        <v>9643539.791825952</v>
      </c>
      <c r="M11" s="31">
        <f t="shared" si="4"/>
        <v>207998322.50300312</v>
      </c>
      <c r="N11" s="31">
        <v>3591331.52</v>
      </c>
      <c r="P11" s="42" t="s">
        <v>205</v>
      </c>
      <c r="Q11" s="42" t="s">
        <v>206</v>
      </c>
      <c r="R11" s="43" t="s">
        <v>1050</v>
      </c>
      <c r="S11" s="44">
        <v>34</v>
      </c>
      <c r="T11" s="31">
        <v>163010636.88635832</v>
      </c>
      <c r="U11" s="31">
        <v>7214751.0199999986</v>
      </c>
      <c r="V11" s="31">
        <v>7307176.25</v>
      </c>
      <c r="W11" s="31">
        <v>567283.24</v>
      </c>
      <c r="X11" s="31">
        <v>19949008.579684254</v>
      </c>
      <c r="Y11" s="31">
        <v>8969231.8650351949</v>
      </c>
      <c r="Z11" s="31">
        <v>10266650.343700835</v>
      </c>
      <c r="AA11" s="31">
        <f t="shared" si="5"/>
        <v>221023061.74477863</v>
      </c>
      <c r="AB11" s="31">
        <v>3738323.5599999996</v>
      </c>
      <c r="AD11" s="42" t="s">
        <v>205</v>
      </c>
      <c r="AE11" s="42" t="s">
        <v>206</v>
      </c>
      <c r="AF11" s="43" t="s">
        <v>1275</v>
      </c>
      <c r="AG11" s="44">
        <v>34</v>
      </c>
      <c r="AH11" s="31">
        <v>165947042.46843755</v>
      </c>
      <c r="AI11" s="31">
        <v>7341812.7799999993</v>
      </c>
      <c r="AJ11" s="31">
        <v>7436671.6799999997</v>
      </c>
      <c r="AK11" s="31">
        <v>577336.44000000006</v>
      </c>
      <c r="AL11" s="31">
        <v>20303831.841501992</v>
      </c>
      <c r="AM11" s="31">
        <v>8953264.542172445</v>
      </c>
      <c r="AN11" s="31">
        <v>10449498.368582105</v>
      </c>
      <c r="AO11" s="31">
        <f t="shared" si="6"/>
        <v>224814826.78069407</v>
      </c>
      <c r="AP11" s="31">
        <v>3805368.66</v>
      </c>
      <c r="AR11" s="42" t="s">
        <v>205</v>
      </c>
      <c r="AS11" s="42" t="s">
        <v>206</v>
      </c>
      <c r="AT11" s="43" t="s">
        <v>1276</v>
      </c>
      <c r="AU11" s="44">
        <v>34</v>
      </c>
      <c r="AV11" s="31">
        <v>169089218.38777727</v>
      </c>
      <c r="AW11" s="31">
        <v>7477895.9100000011</v>
      </c>
      <c r="AX11" s="31">
        <v>7575361.2699999996</v>
      </c>
      <c r="AY11" s="31">
        <v>588103.44000000006</v>
      </c>
      <c r="AZ11" s="31">
        <v>20683845.955597512</v>
      </c>
      <c r="BA11" s="31">
        <v>8953720.7513970956</v>
      </c>
      <c r="BB11" s="31">
        <v>10645323.085635545</v>
      </c>
      <c r="BC11" s="31">
        <f t="shared" si="7"/>
        <v>228890642.77040744</v>
      </c>
      <c r="BD11" s="31">
        <v>3877173.9699999997</v>
      </c>
    </row>
    <row r="12" spans="1:58">
      <c r="B12" s="42" t="s">
        <v>229</v>
      </c>
      <c r="C12" s="42" t="s">
        <v>230</v>
      </c>
      <c r="D12" s="43" t="s">
        <v>1049</v>
      </c>
      <c r="E12" s="44">
        <v>34</v>
      </c>
      <c r="F12" s="31">
        <v>31652438.34856236</v>
      </c>
      <c r="G12" s="31">
        <v>181349.87999999998</v>
      </c>
      <c r="H12" s="31">
        <v>72833.55</v>
      </c>
      <c r="I12" s="31">
        <v>116985.36</v>
      </c>
      <c r="J12" s="31">
        <v>4428634.9932812192</v>
      </c>
      <c r="K12" s="31">
        <v>1437654.570036853</v>
      </c>
      <c r="L12" s="31">
        <v>3258762.0203841329</v>
      </c>
      <c r="M12" s="31">
        <f t="shared" si="4"/>
        <v>41148658.722264566</v>
      </c>
      <c r="N12" s="31">
        <v>0</v>
      </c>
      <c r="P12" s="42" t="s">
        <v>229</v>
      </c>
      <c r="Q12" s="42" t="s">
        <v>230</v>
      </c>
      <c r="R12" s="43" t="s">
        <v>1050</v>
      </c>
      <c r="S12" s="44">
        <v>34</v>
      </c>
      <c r="T12" s="31">
        <v>33673548.395663537</v>
      </c>
      <c r="U12" s="31">
        <v>192925.66999999995</v>
      </c>
      <c r="V12" s="31">
        <v>77482.59</v>
      </c>
      <c r="W12" s="31">
        <v>124452.68</v>
      </c>
      <c r="X12" s="31">
        <v>4690029.6353998808</v>
      </c>
      <c r="Y12" s="31">
        <v>1440012.8341925896</v>
      </c>
      <c r="Z12" s="31">
        <v>3457239.9193348759</v>
      </c>
      <c r="AA12" s="31">
        <f t="shared" si="5"/>
        <v>43655691.724590883</v>
      </c>
      <c r="AB12" s="31">
        <v>0</v>
      </c>
      <c r="AD12" s="42" t="s">
        <v>229</v>
      </c>
      <c r="AE12" s="42" t="s">
        <v>230</v>
      </c>
      <c r="AF12" s="43" t="s">
        <v>1275</v>
      </c>
      <c r="AG12" s="44">
        <v>34</v>
      </c>
      <c r="AH12" s="31">
        <v>34285851.48431059</v>
      </c>
      <c r="AI12" s="31">
        <v>196354.18999999997</v>
      </c>
      <c r="AJ12" s="31">
        <v>78859.549999999988</v>
      </c>
      <c r="AK12" s="31">
        <v>126664.37</v>
      </c>
      <c r="AL12" s="31">
        <v>4773654.4508837387</v>
      </c>
      <c r="AM12" s="31">
        <v>1438166.037496886</v>
      </c>
      <c r="AN12" s="31">
        <v>3518949.0218070368</v>
      </c>
      <c r="AO12" s="31">
        <f t="shared" si="6"/>
        <v>44418499.104498245</v>
      </c>
      <c r="AP12" s="31">
        <v>0</v>
      </c>
      <c r="AR12" s="42" t="s">
        <v>229</v>
      </c>
      <c r="AS12" s="42" t="s">
        <v>230</v>
      </c>
      <c r="AT12" s="43" t="s">
        <v>1276</v>
      </c>
      <c r="AU12" s="44">
        <v>34</v>
      </c>
      <c r="AV12" s="31">
        <v>34940808.639680192</v>
      </c>
      <c r="AW12" s="31">
        <v>200026.15</v>
      </c>
      <c r="AX12" s="31">
        <v>80334.27</v>
      </c>
      <c r="AY12" s="31">
        <v>129033.06</v>
      </c>
      <c r="AZ12" s="31">
        <v>4863216.4106468745</v>
      </c>
      <c r="BA12" s="31">
        <v>1438218.8031167632</v>
      </c>
      <c r="BB12" s="31">
        <v>3585037.6294699199</v>
      </c>
      <c r="BC12" s="31">
        <f t="shared" si="7"/>
        <v>45236674.962913752</v>
      </c>
      <c r="BD12" s="31">
        <v>0</v>
      </c>
    </row>
    <row r="13" spans="1:58">
      <c r="B13" s="42" t="s">
        <v>69</v>
      </c>
      <c r="C13" s="42" t="s">
        <v>70</v>
      </c>
      <c r="D13" s="43" t="s">
        <v>1049</v>
      </c>
      <c r="E13" s="44">
        <v>34</v>
      </c>
      <c r="F13" s="31">
        <v>97202896.090791419</v>
      </c>
      <c r="G13" s="31">
        <v>2646410.7200000002</v>
      </c>
      <c r="H13" s="31">
        <v>1252769.1599999999</v>
      </c>
      <c r="I13" s="31">
        <v>346897.00999999995</v>
      </c>
      <c r="J13" s="31">
        <v>15068084.789676208</v>
      </c>
      <c r="K13" s="31">
        <v>10644551.552892311</v>
      </c>
      <c r="L13" s="31">
        <v>8912708.6767557617</v>
      </c>
      <c r="M13" s="31">
        <f t="shared" si="4"/>
        <v>136074318.00011569</v>
      </c>
      <c r="N13" s="31">
        <v>0</v>
      </c>
      <c r="P13" s="42" t="s">
        <v>69</v>
      </c>
      <c r="Q13" s="42" t="s">
        <v>70</v>
      </c>
      <c r="R13" s="43" t="s">
        <v>1050</v>
      </c>
      <c r="S13" s="44">
        <v>34</v>
      </c>
      <c r="T13" s="31">
        <v>103549209.09790033</v>
      </c>
      <c r="U13" s="31">
        <v>2817140.47</v>
      </c>
      <c r="V13" s="31">
        <v>1333589.94</v>
      </c>
      <c r="W13" s="31">
        <v>369276.62</v>
      </c>
      <c r="X13" s="31">
        <v>15960489.460948788</v>
      </c>
      <c r="Y13" s="31">
        <v>10669422.154005757</v>
      </c>
      <c r="Z13" s="31">
        <v>9458744.5080238152</v>
      </c>
      <c r="AA13" s="31">
        <f t="shared" si="5"/>
        <v>144157872.25087872</v>
      </c>
      <c r="AB13" s="31">
        <v>0</v>
      </c>
      <c r="AD13" s="42" t="s">
        <v>69</v>
      </c>
      <c r="AE13" s="42" t="s">
        <v>70</v>
      </c>
      <c r="AF13" s="43" t="s">
        <v>1275</v>
      </c>
      <c r="AG13" s="44">
        <v>34</v>
      </c>
      <c r="AH13" s="31">
        <v>105528414.5207891</v>
      </c>
      <c r="AI13" s="31">
        <v>2866604.31</v>
      </c>
      <c r="AJ13" s="31">
        <v>1357005.3399999999</v>
      </c>
      <c r="AK13" s="31">
        <v>375760.44999999995</v>
      </c>
      <c r="AL13" s="31">
        <v>16242434.383351006</v>
      </c>
      <c r="AM13" s="31">
        <v>10650319.856747204</v>
      </c>
      <c r="AN13" s="31">
        <v>9626045.9998772871</v>
      </c>
      <c r="AO13" s="31">
        <f t="shared" si="6"/>
        <v>146646584.86076459</v>
      </c>
      <c r="AP13" s="31">
        <v>0</v>
      </c>
      <c r="AR13" s="42" t="s">
        <v>69</v>
      </c>
      <c r="AS13" s="42" t="s">
        <v>70</v>
      </c>
      <c r="AT13" s="43" t="s">
        <v>1276</v>
      </c>
      <c r="AU13" s="44">
        <v>34</v>
      </c>
      <c r="AV13" s="31">
        <v>107638343.28274897</v>
      </c>
      <c r="AW13" s="31">
        <v>2919580.0700000003</v>
      </c>
      <c r="AX13" s="31">
        <v>1382083.23</v>
      </c>
      <c r="AY13" s="31">
        <v>382704.62999999989</v>
      </c>
      <c r="AZ13" s="31">
        <v>16544396.709298592</v>
      </c>
      <c r="BA13" s="31">
        <v>10650865.636668878</v>
      </c>
      <c r="BB13" s="31">
        <v>9805220.4502419531</v>
      </c>
      <c r="BC13" s="31">
        <f t="shared" si="7"/>
        <v>149323194.0089584</v>
      </c>
      <c r="BD13" s="31">
        <v>0</v>
      </c>
    </row>
    <row r="14" spans="1:58">
      <c r="B14" s="42" t="s">
        <v>199</v>
      </c>
      <c r="C14" s="42" t="s">
        <v>200</v>
      </c>
      <c r="D14" s="43" t="s">
        <v>1049</v>
      </c>
      <c r="E14" s="44">
        <v>34</v>
      </c>
      <c r="F14" s="31">
        <v>173161095.97000167</v>
      </c>
      <c r="G14" s="31">
        <v>2382616.7899999996</v>
      </c>
      <c r="H14" s="31">
        <v>5627040.7600000007</v>
      </c>
      <c r="I14" s="31">
        <v>616205.68000000005</v>
      </c>
      <c r="J14" s="31">
        <v>17020425.07177471</v>
      </c>
      <c r="K14" s="31">
        <v>9618336.659874713</v>
      </c>
      <c r="L14" s="31">
        <v>10158930.69058672</v>
      </c>
      <c r="M14" s="31">
        <f t="shared" si="4"/>
        <v>218728399.07223779</v>
      </c>
      <c r="N14" s="31">
        <v>143747.45000000001</v>
      </c>
      <c r="P14" s="42" t="s">
        <v>199</v>
      </c>
      <c r="Q14" s="42" t="s">
        <v>200</v>
      </c>
      <c r="R14" s="43" t="s">
        <v>1050</v>
      </c>
      <c r="S14" s="44">
        <v>34</v>
      </c>
      <c r="T14" s="31">
        <v>184224706.53712279</v>
      </c>
      <c r="U14" s="31">
        <v>2536809.54</v>
      </c>
      <c r="V14" s="31">
        <v>5986221.8200000003</v>
      </c>
      <c r="W14" s="31">
        <v>655538.87</v>
      </c>
      <c r="X14" s="31">
        <v>18025002.269239444</v>
      </c>
      <c r="Y14" s="31">
        <v>9637278.1066719592</v>
      </c>
      <c r="Z14" s="31">
        <v>10777670.826892717</v>
      </c>
      <c r="AA14" s="31">
        <f t="shared" si="5"/>
        <v>231994043.6499269</v>
      </c>
      <c r="AB14" s="31">
        <v>150815.68000000002</v>
      </c>
      <c r="AD14" s="42" t="s">
        <v>199</v>
      </c>
      <c r="AE14" s="42" t="s">
        <v>200</v>
      </c>
      <c r="AF14" s="43" t="s">
        <v>1275</v>
      </c>
      <c r="AG14" s="44">
        <v>34</v>
      </c>
      <c r="AH14" s="31">
        <v>187583892.28863832</v>
      </c>
      <c r="AI14" s="31">
        <v>2581860.3199999998</v>
      </c>
      <c r="AJ14" s="31">
        <v>6092604.3499999996</v>
      </c>
      <c r="AK14" s="31">
        <v>667188.60000000021</v>
      </c>
      <c r="AL14" s="31">
        <v>18346365.730256617</v>
      </c>
      <c r="AM14" s="31">
        <v>9622444.7381233573</v>
      </c>
      <c r="AN14" s="31">
        <v>10970044.048086494</v>
      </c>
      <c r="AO14" s="31">
        <f t="shared" si="6"/>
        <v>236017927.39510477</v>
      </c>
      <c r="AP14" s="31">
        <v>153527.32000000004</v>
      </c>
      <c r="AR14" s="42" t="s">
        <v>199</v>
      </c>
      <c r="AS14" s="42" t="s">
        <v>200</v>
      </c>
      <c r="AT14" s="43" t="s">
        <v>1276</v>
      </c>
      <c r="AU14" s="44">
        <v>34</v>
      </c>
      <c r="AV14" s="31">
        <v>191176354.46808049</v>
      </c>
      <c r="AW14" s="31">
        <v>2630109.6999999997</v>
      </c>
      <c r="AX14" s="31">
        <v>6206540.0499999998</v>
      </c>
      <c r="AY14" s="31">
        <v>679665.47000000009</v>
      </c>
      <c r="AZ14" s="31">
        <v>18690544.911098398</v>
      </c>
      <c r="BA14" s="31">
        <v>9622868.5486533195</v>
      </c>
      <c r="BB14" s="31">
        <v>11176070.028914828</v>
      </c>
      <c r="BC14" s="31">
        <f t="shared" si="7"/>
        <v>240338584.64674705</v>
      </c>
      <c r="BD14" s="31">
        <v>156431.47000000003</v>
      </c>
    </row>
    <row r="15" spans="1:58">
      <c r="B15" s="42" t="s">
        <v>539</v>
      </c>
      <c r="C15" s="42" t="s">
        <v>540</v>
      </c>
      <c r="D15" s="43" t="s">
        <v>1049</v>
      </c>
      <c r="E15" s="44">
        <v>34</v>
      </c>
      <c r="F15" s="31">
        <v>96982174.343626767</v>
      </c>
      <c r="G15" s="31">
        <v>2900654.81</v>
      </c>
      <c r="H15" s="31">
        <v>1387232.81</v>
      </c>
      <c r="I15" s="31">
        <v>343043.74999999994</v>
      </c>
      <c r="J15" s="31">
        <v>15305919.41801808</v>
      </c>
      <c r="K15" s="31">
        <v>4179309.7792304317</v>
      </c>
      <c r="L15" s="31">
        <v>7262980.4003748037</v>
      </c>
      <c r="M15" s="31">
        <f t="shared" si="4"/>
        <v>128862148.57125008</v>
      </c>
      <c r="N15" s="31">
        <v>500833.25999999989</v>
      </c>
      <c r="P15" s="42" t="s">
        <v>539</v>
      </c>
      <c r="Q15" s="42" t="s">
        <v>540</v>
      </c>
      <c r="R15" s="43" t="s">
        <v>1050</v>
      </c>
      <c r="S15" s="44">
        <v>34</v>
      </c>
      <c r="T15" s="31">
        <v>102589215.29380639</v>
      </c>
      <c r="U15" s="31">
        <v>3069955.4200000009</v>
      </c>
      <c r="V15" s="31">
        <v>1464501.9199999997</v>
      </c>
      <c r="W15" s="31">
        <v>362151.34000000008</v>
      </c>
      <c r="X15" s="31">
        <v>16102246.94414494</v>
      </c>
      <c r="Y15" s="31">
        <v>4189778.2350037098</v>
      </c>
      <c r="Z15" s="31">
        <v>7656055.5011334531</v>
      </c>
      <c r="AA15" s="31">
        <f t="shared" si="5"/>
        <v>135954900.7440885</v>
      </c>
      <c r="AB15" s="31">
        <v>520996.08999999997</v>
      </c>
      <c r="AD15" s="42" t="s">
        <v>539</v>
      </c>
      <c r="AE15" s="42" t="s">
        <v>540</v>
      </c>
      <c r="AF15" s="43" t="s">
        <v>1275</v>
      </c>
      <c r="AG15" s="44">
        <v>34</v>
      </c>
      <c r="AH15" s="31">
        <v>104469085.58237904</v>
      </c>
      <c r="AI15" s="31">
        <v>3123918.01</v>
      </c>
      <c r="AJ15" s="31">
        <v>1490299.5999999999</v>
      </c>
      <c r="AK15" s="31">
        <v>368530.75</v>
      </c>
      <c r="AL15" s="31">
        <v>16387352.992387092</v>
      </c>
      <c r="AM15" s="31">
        <v>4181688.9148413595</v>
      </c>
      <c r="AN15" s="31">
        <v>7791800.1228362806</v>
      </c>
      <c r="AO15" s="31">
        <f t="shared" si="6"/>
        <v>138342965.26244375</v>
      </c>
      <c r="AP15" s="31">
        <v>530289.29</v>
      </c>
      <c r="AR15" s="42" t="s">
        <v>539</v>
      </c>
      <c r="AS15" s="42" t="s">
        <v>540</v>
      </c>
      <c r="AT15" s="43" t="s">
        <v>1276</v>
      </c>
      <c r="AU15" s="44">
        <v>34</v>
      </c>
      <c r="AV15" s="31">
        <v>106478114.80153832</v>
      </c>
      <c r="AW15" s="31">
        <v>3181711.96</v>
      </c>
      <c r="AX15" s="31">
        <v>1517928.92</v>
      </c>
      <c r="AY15" s="31">
        <v>375363.11</v>
      </c>
      <c r="AZ15" s="31">
        <v>16692700.527860938</v>
      </c>
      <c r="BA15" s="31">
        <v>4181920.0382745699</v>
      </c>
      <c r="BB15" s="31">
        <v>7937178.2917228043</v>
      </c>
      <c r="BC15" s="31">
        <f t="shared" si="7"/>
        <v>140905159.93939662</v>
      </c>
      <c r="BD15" s="31">
        <v>540242.29</v>
      </c>
    </row>
    <row r="16" spans="1:58">
      <c r="B16" s="42" t="s">
        <v>5</v>
      </c>
      <c r="C16" s="42" t="s">
        <v>6</v>
      </c>
      <c r="D16" s="43" t="s">
        <v>1049</v>
      </c>
      <c r="E16" s="44">
        <v>34</v>
      </c>
      <c r="F16" s="31">
        <v>328897.83339915954</v>
      </c>
      <c r="G16" s="31">
        <v>0</v>
      </c>
      <c r="H16" s="31">
        <v>0</v>
      </c>
      <c r="I16" s="31">
        <v>292.33000000000004</v>
      </c>
      <c r="J16" s="31">
        <v>0</v>
      </c>
      <c r="K16" s="31">
        <v>65135.600284457054</v>
      </c>
      <c r="L16" s="31">
        <v>0</v>
      </c>
      <c r="M16" s="31">
        <f t="shared" si="4"/>
        <v>394325.76368361659</v>
      </c>
      <c r="N16" s="31">
        <v>0</v>
      </c>
      <c r="P16" s="42" t="s">
        <v>5</v>
      </c>
      <c r="Q16" s="42" t="s">
        <v>6</v>
      </c>
      <c r="R16" s="43" t="s">
        <v>1050</v>
      </c>
      <c r="S16" s="44">
        <v>34</v>
      </c>
      <c r="T16" s="31">
        <v>348914.8546291102</v>
      </c>
      <c r="U16" s="31">
        <v>0</v>
      </c>
      <c r="V16" s="31">
        <v>0</v>
      </c>
      <c r="W16" s="31">
        <v>311.29999999999995</v>
      </c>
      <c r="X16" s="31">
        <v>0</v>
      </c>
      <c r="Y16" s="31">
        <v>65235.378583033147</v>
      </c>
      <c r="Z16" s="31">
        <v>0</v>
      </c>
      <c r="AA16" s="31">
        <f t="shared" si="5"/>
        <v>414461.53321214335</v>
      </c>
      <c r="AB16" s="31">
        <v>0</v>
      </c>
      <c r="AD16" s="42" t="s">
        <v>5</v>
      </c>
      <c r="AE16" s="42" t="s">
        <v>6</v>
      </c>
      <c r="AF16" s="43" t="s">
        <v>1275</v>
      </c>
      <c r="AG16" s="44">
        <v>34</v>
      </c>
      <c r="AH16" s="31">
        <v>354963.71960975707</v>
      </c>
      <c r="AI16" s="31">
        <v>0</v>
      </c>
      <c r="AJ16" s="31">
        <v>0</v>
      </c>
      <c r="AK16" s="31">
        <v>316.72000000000003</v>
      </c>
      <c r="AL16" s="31">
        <v>0</v>
      </c>
      <c r="AM16" s="31">
        <v>65159.573986936724</v>
      </c>
      <c r="AN16" s="31">
        <v>0</v>
      </c>
      <c r="AO16" s="31">
        <f t="shared" si="6"/>
        <v>420440.01359669375</v>
      </c>
      <c r="AP16" s="31">
        <v>0</v>
      </c>
      <c r="AR16" s="42" t="s">
        <v>5</v>
      </c>
      <c r="AS16" s="42" t="s">
        <v>6</v>
      </c>
      <c r="AT16" s="43" t="s">
        <v>1276</v>
      </c>
      <c r="AU16" s="44">
        <v>34</v>
      </c>
      <c r="AV16" s="31">
        <v>361442.66663412983</v>
      </c>
      <c r="AW16" s="31">
        <v>0</v>
      </c>
      <c r="AX16" s="31">
        <v>0</v>
      </c>
      <c r="AY16" s="31">
        <v>322.53000000000003</v>
      </c>
      <c r="AZ16" s="31">
        <v>0</v>
      </c>
      <c r="BA16" s="31">
        <v>65161.739832539482</v>
      </c>
      <c r="BB16" s="31">
        <v>0</v>
      </c>
      <c r="BC16" s="31">
        <f t="shared" si="7"/>
        <v>426926.93646666931</v>
      </c>
      <c r="BD16" s="31">
        <v>0</v>
      </c>
    </row>
    <row r="17" spans="2:56">
      <c r="B17" s="42" t="s">
        <v>383</v>
      </c>
      <c r="C17" s="42" t="s">
        <v>384</v>
      </c>
      <c r="D17" s="43" t="s">
        <v>1049</v>
      </c>
      <c r="E17" s="44">
        <v>34</v>
      </c>
      <c r="F17" s="31">
        <v>162446464.79937142</v>
      </c>
      <c r="G17" s="31">
        <v>6223082.5600000005</v>
      </c>
      <c r="H17" s="31">
        <v>1923714.38</v>
      </c>
      <c r="I17" s="31">
        <v>565265.28</v>
      </c>
      <c r="J17" s="31">
        <v>24222147.444630902</v>
      </c>
      <c r="K17" s="31">
        <v>15094726.044891372</v>
      </c>
      <c r="L17" s="31">
        <v>13974934.555609494</v>
      </c>
      <c r="M17" s="31">
        <f t="shared" si="4"/>
        <v>227365821.56450316</v>
      </c>
      <c r="N17" s="31">
        <v>2915486.5</v>
      </c>
      <c r="P17" s="42" t="s">
        <v>383</v>
      </c>
      <c r="Q17" s="42" t="s">
        <v>384</v>
      </c>
      <c r="R17" s="43" t="s">
        <v>1050</v>
      </c>
      <c r="S17" s="44">
        <v>34</v>
      </c>
      <c r="T17" s="31">
        <v>173007751.36973596</v>
      </c>
      <c r="U17" s="31">
        <v>6675472.3300000001</v>
      </c>
      <c r="V17" s="31">
        <v>2048581.0299999998</v>
      </c>
      <c r="W17" s="31">
        <v>601956.17000000004</v>
      </c>
      <c r="X17" s="31">
        <v>25659136.101284795</v>
      </c>
      <c r="Y17" s="31">
        <v>15130654.765488205</v>
      </c>
      <c r="Z17" s="31">
        <v>14834854.2360848</v>
      </c>
      <c r="AA17" s="31">
        <f t="shared" si="5"/>
        <v>241014679.42259374</v>
      </c>
      <c r="AB17" s="31">
        <v>3056273.4200000004</v>
      </c>
      <c r="AD17" s="42" t="s">
        <v>383</v>
      </c>
      <c r="AE17" s="42" t="s">
        <v>384</v>
      </c>
      <c r="AF17" s="43" t="s">
        <v>1275</v>
      </c>
      <c r="AG17" s="44">
        <v>34</v>
      </c>
      <c r="AH17" s="31">
        <v>176173874.90652448</v>
      </c>
      <c r="AI17" s="31">
        <v>6791132.7999999998</v>
      </c>
      <c r="AJ17" s="31">
        <v>2084297.7200000002</v>
      </c>
      <c r="AK17" s="31">
        <v>612451.17999999993</v>
      </c>
      <c r="AL17" s="31">
        <v>26109859.461893212</v>
      </c>
      <c r="AM17" s="31">
        <v>15103358.628031751</v>
      </c>
      <c r="AN17" s="31">
        <v>15095824.474061066</v>
      </c>
      <c r="AO17" s="31">
        <f t="shared" si="6"/>
        <v>245081083.56051052</v>
      </c>
      <c r="AP17" s="31">
        <v>3110284.3899999997</v>
      </c>
      <c r="AR17" s="42" t="s">
        <v>383</v>
      </c>
      <c r="AS17" s="42" t="s">
        <v>384</v>
      </c>
      <c r="AT17" s="43" t="s">
        <v>1276</v>
      </c>
      <c r="AU17" s="44">
        <v>34</v>
      </c>
      <c r="AV17" s="31">
        <v>179556421.18757689</v>
      </c>
      <c r="AW17" s="31">
        <v>6915005.1599999983</v>
      </c>
      <c r="AX17" s="31">
        <v>2122550.2899999996</v>
      </c>
      <c r="AY17" s="31">
        <v>623691.32999999996</v>
      </c>
      <c r="AZ17" s="31">
        <v>26592582.10952862</v>
      </c>
      <c r="BA17" s="31">
        <v>15104138.517673364</v>
      </c>
      <c r="BB17" s="31">
        <v>15375314.892948043</v>
      </c>
      <c r="BC17" s="31">
        <f t="shared" si="7"/>
        <v>249457833.63772693</v>
      </c>
      <c r="BD17" s="31">
        <v>3168130.15</v>
      </c>
    </row>
    <row r="18" spans="2:56">
      <c r="B18" s="42" t="s">
        <v>253</v>
      </c>
      <c r="C18" s="42" t="s">
        <v>254</v>
      </c>
      <c r="D18" s="43" t="s">
        <v>1049</v>
      </c>
      <c r="E18" s="44">
        <v>34</v>
      </c>
      <c r="F18" s="31">
        <v>2028344.3853565911</v>
      </c>
      <c r="G18" s="31">
        <v>0</v>
      </c>
      <c r="H18" s="31">
        <v>0</v>
      </c>
      <c r="I18" s="31">
        <v>3215.6</v>
      </c>
      <c r="J18" s="31">
        <v>143796.12253377982</v>
      </c>
      <c r="K18" s="31">
        <v>204245.10318151774</v>
      </c>
      <c r="L18" s="31">
        <v>0</v>
      </c>
      <c r="M18" s="31">
        <f t="shared" si="4"/>
        <v>2379601.2110718889</v>
      </c>
      <c r="N18" s="31">
        <v>0</v>
      </c>
      <c r="P18" s="42" t="s">
        <v>253</v>
      </c>
      <c r="Q18" s="42" t="s">
        <v>254</v>
      </c>
      <c r="R18" s="43" t="s">
        <v>1050</v>
      </c>
      <c r="S18" s="44">
        <v>34</v>
      </c>
      <c r="T18" s="31">
        <v>2153237.976216374</v>
      </c>
      <c r="U18" s="31">
        <v>0</v>
      </c>
      <c r="V18" s="31">
        <v>0</v>
      </c>
      <c r="W18" s="31">
        <v>3424.3399999999997</v>
      </c>
      <c r="X18" s="31">
        <v>152327.57979538685</v>
      </c>
      <c r="Y18" s="31">
        <v>204633.54220131386</v>
      </c>
      <c r="Z18" s="31">
        <v>0</v>
      </c>
      <c r="AA18" s="31">
        <f t="shared" si="5"/>
        <v>2513623.4382130741</v>
      </c>
      <c r="AB18" s="31">
        <v>0</v>
      </c>
      <c r="AD18" s="42" t="s">
        <v>253</v>
      </c>
      <c r="AE18" s="42" t="s">
        <v>254</v>
      </c>
      <c r="AF18" s="43" t="s">
        <v>1275</v>
      </c>
      <c r="AG18" s="44">
        <v>34</v>
      </c>
      <c r="AH18" s="31">
        <v>2190615.4168634792</v>
      </c>
      <c r="AI18" s="31">
        <v>0</v>
      </c>
      <c r="AJ18" s="31">
        <v>0</v>
      </c>
      <c r="AK18" s="31">
        <v>3484.05</v>
      </c>
      <c r="AL18" s="31">
        <v>155003.12845021425</v>
      </c>
      <c r="AM18" s="31">
        <v>204338.43331066385</v>
      </c>
      <c r="AN18" s="31">
        <v>0</v>
      </c>
      <c r="AO18" s="31">
        <f t="shared" si="6"/>
        <v>2553441.0286243572</v>
      </c>
      <c r="AP18" s="31">
        <v>0</v>
      </c>
      <c r="AR18" s="42" t="s">
        <v>253</v>
      </c>
      <c r="AS18" s="42" t="s">
        <v>254</v>
      </c>
      <c r="AT18" s="43" t="s">
        <v>1276</v>
      </c>
      <c r="AU18" s="44">
        <v>34</v>
      </c>
      <c r="AV18" s="31">
        <v>2230649.8054568288</v>
      </c>
      <c r="AW18" s="31">
        <v>0</v>
      </c>
      <c r="AX18" s="31">
        <v>0</v>
      </c>
      <c r="AY18" s="31">
        <v>3547.98</v>
      </c>
      <c r="AZ18" s="31">
        <v>157868.6265011715</v>
      </c>
      <c r="BA18" s="31">
        <v>204346.86499325381</v>
      </c>
      <c r="BB18" s="31">
        <v>0</v>
      </c>
      <c r="BC18" s="31">
        <f t="shared" si="7"/>
        <v>2596413.2769512539</v>
      </c>
      <c r="BD18" s="31">
        <v>0</v>
      </c>
    </row>
    <row r="19" spans="2:56">
      <c r="B19" s="42" t="s">
        <v>543</v>
      </c>
      <c r="C19" s="42" t="s">
        <v>544</v>
      </c>
      <c r="D19" s="43" t="s">
        <v>1049</v>
      </c>
      <c r="E19" s="44">
        <v>34</v>
      </c>
      <c r="F19" s="31">
        <v>19186818.572017204</v>
      </c>
      <c r="G19" s="31">
        <v>698005.57999999984</v>
      </c>
      <c r="H19" s="31">
        <v>155680.70999999996</v>
      </c>
      <c r="I19" s="31">
        <v>67387.5</v>
      </c>
      <c r="J19" s="31">
        <v>3045027.1744312509</v>
      </c>
      <c r="K19" s="31">
        <v>1278916.7381508555</v>
      </c>
      <c r="L19" s="31">
        <v>1255749.1972670495</v>
      </c>
      <c r="M19" s="31">
        <f t="shared" si="4"/>
        <v>25851606.221866354</v>
      </c>
      <c r="N19" s="31">
        <v>164020.75</v>
      </c>
      <c r="P19" s="42" t="s">
        <v>543</v>
      </c>
      <c r="Q19" s="42" t="s">
        <v>544</v>
      </c>
      <c r="R19" s="43" t="s">
        <v>1050</v>
      </c>
      <c r="S19" s="44">
        <v>34</v>
      </c>
      <c r="T19" s="31">
        <v>20415896.645033449</v>
      </c>
      <c r="U19" s="31">
        <v>745069.25</v>
      </c>
      <c r="V19" s="31">
        <v>165634.35000000003</v>
      </c>
      <c r="W19" s="31">
        <v>71695.990000000005</v>
      </c>
      <c r="X19" s="31">
        <v>3224863.5335561833</v>
      </c>
      <c r="Y19" s="31">
        <v>1282295.3101507309</v>
      </c>
      <c r="Z19" s="31">
        <v>1332350.8123865265</v>
      </c>
      <c r="AA19" s="31">
        <f t="shared" si="5"/>
        <v>27409877.651126891</v>
      </c>
      <c r="AB19" s="31">
        <v>172071.75999999998</v>
      </c>
      <c r="AD19" s="42" t="s">
        <v>543</v>
      </c>
      <c r="AE19" s="42" t="s">
        <v>544</v>
      </c>
      <c r="AF19" s="43" t="s">
        <v>1275</v>
      </c>
      <c r="AG19" s="44">
        <v>34</v>
      </c>
      <c r="AH19" s="31">
        <v>20789295.33938859</v>
      </c>
      <c r="AI19" s="31">
        <v>758249.25</v>
      </c>
      <c r="AJ19" s="31">
        <v>168572.45</v>
      </c>
      <c r="AK19" s="31">
        <v>72967.77</v>
      </c>
      <c r="AL19" s="31">
        <v>3282227.682265731</v>
      </c>
      <c r="AM19" s="31">
        <v>1279674.0627789809</v>
      </c>
      <c r="AN19" s="31">
        <v>1356083.540036422</v>
      </c>
      <c r="AO19" s="31">
        <f t="shared" si="6"/>
        <v>27882230.524469722</v>
      </c>
      <c r="AP19" s="31">
        <v>175160.43</v>
      </c>
      <c r="AR19" s="42" t="s">
        <v>543</v>
      </c>
      <c r="AS19" s="42" t="s">
        <v>544</v>
      </c>
      <c r="AT19" s="43" t="s">
        <v>1276</v>
      </c>
      <c r="AU19" s="44">
        <v>34</v>
      </c>
      <c r="AV19" s="31">
        <v>21188492.353523389</v>
      </c>
      <c r="AW19" s="31">
        <v>772365.0199999999</v>
      </c>
      <c r="AX19" s="31">
        <v>171719.15000000002</v>
      </c>
      <c r="AY19" s="31">
        <v>74329.84</v>
      </c>
      <c r="AZ19" s="31">
        <v>3343664.4358183988</v>
      </c>
      <c r="BA19" s="31">
        <v>1279748.9555610309</v>
      </c>
      <c r="BB19" s="31">
        <v>1381500.5682278601</v>
      </c>
      <c r="BC19" s="31">
        <f t="shared" si="7"/>
        <v>28390288.713130679</v>
      </c>
      <c r="BD19" s="31">
        <v>178468.39</v>
      </c>
    </row>
    <row r="20" spans="2:56">
      <c r="B20" s="42" t="s">
        <v>283</v>
      </c>
      <c r="C20" s="42" t="s">
        <v>284</v>
      </c>
      <c r="D20" s="43" t="s">
        <v>1049</v>
      </c>
      <c r="E20" s="44">
        <v>34</v>
      </c>
      <c r="F20" s="31">
        <v>837661.23932314338</v>
      </c>
      <c r="G20" s="31">
        <v>28063.480000000003</v>
      </c>
      <c r="H20" s="31">
        <v>0</v>
      </c>
      <c r="I20" s="31">
        <v>0</v>
      </c>
      <c r="J20" s="31">
        <v>121492.51273492345</v>
      </c>
      <c r="K20" s="31">
        <v>147224.19300537929</v>
      </c>
      <c r="L20" s="31">
        <v>0</v>
      </c>
      <c r="M20" s="31">
        <f t="shared" si="4"/>
        <v>1159581.6650634462</v>
      </c>
      <c r="N20" s="31">
        <v>25140.239999999998</v>
      </c>
      <c r="P20" s="42" t="s">
        <v>283</v>
      </c>
      <c r="Q20" s="42" t="s">
        <v>284</v>
      </c>
      <c r="R20" s="43" t="s">
        <v>1050</v>
      </c>
      <c r="S20" s="44">
        <v>34</v>
      </c>
      <c r="T20" s="31">
        <v>902439.81935261947</v>
      </c>
      <c r="U20" s="31">
        <v>30302.890000000003</v>
      </c>
      <c r="V20" s="31">
        <v>0</v>
      </c>
      <c r="W20" s="31">
        <v>0</v>
      </c>
      <c r="X20" s="31">
        <v>128701.66816231207</v>
      </c>
      <c r="Y20" s="31">
        <v>147573.35737564147</v>
      </c>
      <c r="Z20" s="31">
        <v>0</v>
      </c>
      <c r="AA20" s="31">
        <f t="shared" si="5"/>
        <v>1235371.9748905732</v>
      </c>
      <c r="AB20" s="31">
        <v>26354.240000000002</v>
      </c>
      <c r="AD20" s="42" t="s">
        <v>283</v>
      </c>
      <c r="AE20" s="42" t="s">
        <v>284</v>
      </c>
      <c r="AF20" s="43" t="s">
        <v>1275</v>
      </c>
      <c r="AG20" s="44">
        <v>34</v>
      </c>
      <c r="AH20" s="31">
        <v>918173.41250175401</v>
      </c>
      <c r="AI20" s="31">
        <v>30824.970000000008</v>
      </c>
      <c r="AJ20" s="31">
        <v>0</v>
      </c>
      <c r="AK20" s="31">
        <v>0</v>
      </c>
      <c r="AL20" s="31">
        <v>130959.84178802118</v>
      </c>
      <c r="AM20" s="31">
        <v>147308.0866260225</v>
      </c>
      <c r="AN20" s="31">
        <v>0</v>
      </c>
      <c r="AO20" s="31">
        <f t="shared" si="6"/>
        <v>1254086.2809157977</v>
      </c>
      <c r="AP20" s="31">
        <v>26819.97</v>
      </c>
      <c r="AR20" s="42" t="s">
        <v>283</v>
      </c>
      <c r="AS20" s="42" t="s">
        <v>284</v>
      </c>
      <c r="AT20" s="43" t="s">
        <v>1276</v>
      </c>
      <c r="AU20" s="44">
        <v>34</v>
      </c>
      <c r="AV20" s="31">
        <v>935024.12654175679</v>
      </c>
      <c r="AW20" s="31">
        <v>31384.120000000006</v>
      </c>
      <c r="AX20" s="31">
        <v>0</v>
      </c>
      <c r="AY20" s="31">
        <v>0</v>
      </c>
      <c r="AZ20" s="31">
        <v>133378.31360692455</v>
      </c>
      <c r="BA20" s="31">
        <v>147315.66579029735</v>
      </c>
      <c r="BB20" s="31">
        <v>0</v>
      </c>
      <c r="BC20" s="31">
        <f t="shared" si="7"/>
        <v>1274420.9959389786</v>
      </c>
      <c r="BD20" s="31">
        <v>27318.77</v>
      </c>
    </row>
    <row r="21" spans="2:56">
      <c r="B21" s="42" t="s">
        <v>227</v>
      </c>
      <c r="C21" s="42" t="s">
        <v>228</v>
      </c>
      <c r="D21" s="43" t="s">
        <v>1049</v>
      </c>
      <c r="E21" s="44">
        <v>34</v>
      </c>
      <c r="F21" s="31">
        <v>38639172.35587088</v>
      </c>
      <c r="G21" s="31">
        <v>2128094.62</v>
      </c>
      <c r="H21" s="31">
        <v>769664.26000000013</v>
      </c>
      <c r="I21" s="31">
        <v>148264.25</v>
      </c>
      <c r="J21" s="31">
        <v>6700103.1409654683</v>
      </c>
      <c r="K21" s="31">
        <v>1974796.0191229219</v>
      </c>
      <c r="L21" s="31">
        <v>7034712.7100287881</v>
      </c>
      <c r="M21" s="31">
        <f t="shared" si="4"/>
        <v>58683340.065988056</v>
      </c>
      <c r="N21" s="31">
        <v>1288532.71</v>
      </c>
      <c r="P21" s="42" t="s">
        <v>227</v>
      </c>
      <c r="Q21" s="42" t="s">
        <v>228</v>
      </c>
      <c r="R21" s="43" t="s">
        <v>1050</v>
      </c>
      <c r="S21" s="44">
        <v>34</v>
      </c>
      <c r="T21" s="31">
        <v>41553258.911706828</v>
      </c>
      <c r="U21" s="31">
        <v>2282823.48</v>
      </c>
      <c r="V21" s="31">
        <v>818792.88</v>
      </c>
      <c r="W21" s="31">
        <v>157728.15000000002</v>
      </c>
      <c r="X21" s="31">
        <v>7095334.8018136183</v>
      </c>
      <c r="Y21" s="31">
        <v>1978514.0299864186</v>
      </c>
      <c r="Z21" s="31">
        <v>7534217.0365443742</v>
      </c>
      <c r="AA21" s="31">
        <f t="shared" si="5"/>
        <v>62772560.720051236</v>
      </c>
      <c r="AB21" s="31">
        <v>1351891.4300000002</v>
      </c>
      <c r="AD21" s="42" t="s">
        <v>227</v>
      </c>
      <c r="AE21" s="42" t="s">
        <v>228</v>
      </c>
      <c r="AF21" s="43" t="s">
        <v>1275</v>
      </c>
      <c r="AG21" s="44">
        <v>34</v>
      </c>
      <c r="AH21" s="31">
        <v>42322522.617200717</v>
      </c>
      <c r="AI21" s="31">
        <v>2323110.1200000006</v>
      </c>
      <c r="AJ21" s="31">
        <v>833343.84</v>
      </c>
      <c r="AK21" s="31">
        <v>160531.16999999998</v>
      </c>
      <c r="AL21" s="31">
        <v>7221827.4646470994</v>
      </c>
      <c r="AM21" s="31">
        <v>1975602.3925599693</v>
      </c>
      <c r="AN21" s="31">
        <v>7668644.9864920564</v>
      </c>
      <c r="AO21" s="31">
        <f t="shared" si="6"/>
        <v>63881780.740899839</v>
      </c>
      <c r="AP21" s="31">
        <v>1376198.15</v>
      </c>
      <c r="AR21" s="42" t="s">
        <v>227</v>
      </c>
      <c r="AS21" s="42" t="s">
        <v>228</v>
      </c>
      <c r="AT21" s="43" t="s">
        <v>1276</v>
      </c>
      <c r="AU21" s="44">
        <v>34</v>
      </c>
      <c r="AV21" s="31">
        <v>43144464.589271516</v>
      </c>
      <c r="AW21" s="31">
        <v>2366257.1199999996</v>
      </c>
      <c r="AX21" s="31">
        <v>848927.91</v>
      </c>
      <c r="AY21" s="31">
        <v>163533.21</v>
      </c>
      <c r="AZ21" s="31">
        <v>7357300.7318279427</v>
      </c>
      <c r="BA21" s="31">
        <v>1975685.5822007251</v>
      </c>
      <c r="BB21" s="31">
        <v>7812613.5472508203</v>
      </c>
      <c r="BC21" s="31">
        <f t="shared" si="7"/>
        <v>65071013.330551006</v>
      </c>
      <c r="BD21" s="31">
        <v>1402230.6400000001</v>
      </c>
    </row>
    <row r="22" spans="2:56">
      <c r="B22" s="42" t="s">
        <v>333</v>
      </c>
      <c r="C22" s="42" t="s">
        <v>334</v>
      </c>
      <c r="D22" s="43" t="s">
        <v>1049</v>
      </c>
      <c r="E22" s="44">
        <v>34</v>
      </c>
      <c r="F22" s="31">
        <v>7739781.7000827799</v>
      </c>
      <c r="G22" s="31">
        <v>580174.03</v>
      </c>
      <c r="H22" s="31">
        <v>532719.42999999993</v>
      </c>
      <c r="I22" s="31">
        <v>27478.850000000002</v>
      </c>
      <c r="J22" s="31">
        <v>975017.96678022982</v>
      </c>
      <c r="K22" s="31">
        <v>208965.42034072077</v>
      </c>
      <c r="L22" s="31">
        <v>813910.64368802216</v>
      </c>
      <c r="M22" s="31">
        <f t="shared" si="4"/>
        <v>11152739.090891752</v>
      </c>
      <c r="N22" s="31">
        <v>274691.05</v>
      </c>
      <c r="P22" s="42" t="s">
        <v>333</v>
      </c>
      <c r="Q22" s="42" t="s">
        <v>334</v>
      </c>
      <c r="R22" s="43" t="s">
        <v>1050</v>
      </c>
      <c r="S22" s="44">
        <v>34</v>
      </c>
      <c r="T22" s="31">
        <v>8330421.7340796245</v>
      </c>
      <c r="U22" s="31">
        <v>622397.93000000005</v>
      </c>
      <c r="V22" s="31">
        <v>567297.77999999991</v>
      </c>
      <c r="W22" s="31">
        <v>29262.470000000005</v>
      </c>
      <c r="X22" s="31">
        <v>1032861.8573906661</v>
      </c>
      <c r="Y22" s="31">
        <v>209492.37062707744</v>
      </c>
      <c r="Z22" s="31">
        <v>872212.77874603984</v>
      </c>
      <c r="AA22" s="31">
        <f t="shared" si="5"/>
        <v>11951902.630843408</v>
      </c>
      <c r="AB22" s="31">
        <v>287955.70999999996</v>
      </c>
      <c r="AD22" s="42" t="s">
        <v>333</v>
      </c>
      <c r="AE22" s="42" t="s">
        <v>334</v>
      </c>
      <c r="AF22" s="43" t="s">
        <v>1275</v>
      </c>
      <c r="AG22" s="44">
        <v>34</v>
      </c>
      <c r="AH22" s="31">
        <v>8478472.9486659355</v>
      </c>
      <c r="AI22" s="31">
        <v>633181.00999999989</v>
      </c>
      <c r="AJ22" s="31">
        <v>577188.52999999991</v>
      </c>
      <c r="AK22" s="31">
        <v>29772.650000000005</v>
      </c>
      <c r="AL22" s="31">
        <v>1051002.7206972337</v>
      </c>
      <c r="AM22" s="31">
        <v>209092.03053118274</v>
      </c>
      <c r="AN22" s="31">
        <v>887558.90637793578</v>
      </c>
      <c r="AO22" s="31">
        <f t="shared" si="6"/>
        <v>12159313.296272287</v>
      </c>
      <c r="AP22" s="31">
        <v>293044.5</v>
      </c>
      <c r="AR22" s="42" t="s">
        <v>333</v>
      </c>
      <c r="AS22" s="42" t="s">
        <v>334</v>
      </c>
      <c r="AT22" s="43" t="s">
        <v>1276</v>
      </c>
      <c r="AU22" s="44">
        <v>34</v>
      </c>
      <c r="AV22" s="31">
        <v>8636911.5534342714</v>
      </c>
      <c r="AW22" s="31">
        <v>644729.68000000017</v>
      </c>
      <c r="AX22" s="31">
        <v>587781.50999999989</v>
      </c>
      <c r="AY22" s="31">
        <v>30319.070000000003</v>
      </c>
      <c r="AZ22" s="31">
        <v>1070431.4834659072</v>
      </c>
      <c r="BA22" s="31">
        <v>209103.46881963688</v>
      </c>
      <c r="BB22" s="31">
        <v>903994.09033269621</v>
      </c>
      <c r="BC22" s="31">
        <f t="shared" si="7"/>
        <v>12381765.466052512</v>
      </c>
      <c r="BD22" s="31">
        <v>298494.61</v>
      </c>
    </row>
    <row r="23" spans="2:56">
      <c r="B23" s="42" t="s">
        <v>91</v>
      </c>
      <c r="C23" s="42" t="s">
        <v>92</v>
      </c>
      <c r="D23" s="43" t="s">
        <v>1049</v>
      </c>
      <c r="E23" s="44">
        <v>34</v>
      </c>
      <c r="F23" s="31">
        <v>6343488.0439552311</v>
      </c>
      <c r="G23" s="31">
        <v>443559.30999999994</v>
      </c>
      <c r="H23" s="31">
        <v>535545.25</v>
      </c>
      <c r="I23" s="31">
        <v>20950.2</v>
      </c>
      <c r="J23" s="31">
        <v>647627.22401884221</v>
      </c>
      <c r="K23" s="31">
        <v>200527.8836296314</v>
      </c>
      <c r="L23" s="31">
        <v>249918.29588849843</v>
      </c>
      <c r="M23" s="31">
        <f t="shared" si="4"/>
        <v>8656282.5474922024</v>
      </c>
      <c r="N23" s="31">
        <v>214666.34000000005</v>
      </c>
      <c r="P23" s="42" t="s">
        <v>91</v>
      </c>
      <c r="Q23" s="42" t="s">
        <v>92</v>
      </c>
      <c r="R23" s="43" t="s">
        <v>1050</v>
      </c>
      <c r="S23" s="44">
        <v>34</v>
      </c>
      <c r="T23" s="31">
        <v>6821385.8507144498</v>
      </c>
      <c r="U23" s="31">
        <v>475918.07999999996</v>
      </c>
      <c r="V23" s="31">
        <v>570307.04</v>
      </c>
      <c r="W23" s="31">
        <v>22310.039999999997</v>
      </c>
      <c r="X23" s="31">
        <v>686056.47044558835</v>
      </c>
      <c r="Y23" s="31">
        <v>200990.02934956015</v>
      </c>
      <c r="Z23" s="31">
        <v>267746.77274133079</v>
      </c>
      <c r="AA23" s="31">
        <f t="shared" si="5"/>
        <v>9269746.7232509293</v>
      </c>
      <c r="AB23" s="31">
        <v>225032.44000000003</v>
      </c>
      <c r="AD23" s="42" t="s">
        <v>91</v>
      </c>
      <c r="AE23" s="42" t="s">
        <v>92</v>
      </c>
      <c r="AF23" s="43" t="s">
        <v>1275</v>
      </c>
      <c r="AG23" s="44">
        <v>34</v>
      </c>
      <c r="AH23" s="31">
        <v>6943217.4639420537</v>
      </c>
      <c r="AI23" s="31">
        <v>484162.2300000001</v>
      </c>
      <c r="AJ23" s="31">
        <v>580250.26</v>
      </c>
      <c r="AK23" s="31">
        <v>22699.01</v>
      </c>
      <c r="AL23" s="31">
        <v>698107.0910460694</v>
      </c>
      <c r="AM23" s="31">
        <v>200638.92324596015</v>
      </c>
      <c r="AN23" s="31">
        <v>272457.40423666622</v>
      </c>
      <c r="AO23" s="31">
        <f t="shared" si="6"/>
        <v>9430541.6324707512</v>
      </c>
      <c r="AP23" s="31">
        <v>229009.25000000003</v>
      </c>
      <c r="AR23" s="42" t="s">
        <v>91</v>
      </c>
      <c r="AS23" s="42" t="s">
        <v>92</v>
      </c>
      <c r="AT23" s="43" t="s">
        <v>1276</v>
      </c>
      <c r="AU23" s="44">
        <v>34</v>
      </c>
      <c r="AV23" s="31">
        <v>7073558.8910022993</v>
      </c>
      <c r="AW23" s="31">
        <v>492991.69999999984</v>
      </c>
      <c r="AX23" s="31">
        <v>590899.44000000006</v>
      </c>
      <c r="AY23" s="31">
        <v>23115.599999999995</v>
      </c>
      <c r="AZ23" s="31">
        <v>711013.23951612331</v>
      </c>
      <c r="BA23" s="31">
        <v>200648.95484892014</v>
      </c>
      <c r="BB23" s="31">
        <v>277502.33129577042</v>
      </c>
      <c r="BC23" s="31">
        <f t="shared" si="7"/>
        <v>9602998.5766631141</v>
      </c>
      <c r="BD23" s="31">
        <v>233268.42000000004</v>
      </c>
    </row>
    <row r="24" spans="2:56">
      <c r="B24" s="42" t="s">
        <v>175</v>
      </c>
      <c r="C24" s="42" t="s">
        <v>176</v>
      </c>
      <c r="D24" s="43" t="s">
        <v>1049</v>
      </c>
      <c r="E24" s="44">
        <v>34</v>
      </c>
      <c r="F24" s="31">
        <v>687171.97915355011</v>
      </c>
      <c r="G24" s="31">
        <v>35469.12999999999</v>
      </c>
      <c r="H24" s="31">
        <v>0</v>
      </c>
      <c r="I24" s="31">
        <v>2046.29</v>
      </c>
      <c r="J24" s="31">
        <v>71998.760080828826</v>
      </c>
      <c r="K24" s="31">
        <v>97630.34124617363</v>
      </c>
      <c r="L24" s="31">
        <v>0</v>
      </c>
      <c r="M24" s="31">
        <f t="shared" si="4"/>
        <v>914876.94048055261</v>
      </c>
      <c r="N24" s="31">
        <v>20560.440000000002</v>
      </c>
      <c r="P24" s="42" t="s">
        <v>175</v>
      </c>
      <c r="Q24" s="42" t="s">
        <v>176</v>
      </c>
      <c r="R24" s="43" t="s">
        <v>1050</v>
      </c>
      <c r="S24" s="44">
        <v>34</v>
      </c>
      <c r="T24" s="31">
        <v>741116.76025465911</v>
      </c>
      <c r="U24" s="31">
        <v>38113.139999999985</v>
      </c>
      <c r="V24" s="31">
        <v>0</v>
      </c>
      <c r="W24" s="31">
        <v>2179.11</v>
      </c>
      <c r="X24" s="31">
        <v>76268.332432090581</v>
      </c>
      <c r="Y24" s="31">
        <v>97781.00653223104</v>
      </c>
      <c r="Z24" s="31">
        <v>0</v>
      </c>
      <c r="AA24" s="31">
        <f t="shared" si="5"/>
        <v>977011.62921898067</v>
      </c>
      <c r="AB24" s="31">
        <v>21553.280000000002</v>
      </c>
      <c r="AD24" s="42" t="s">
        <v>175</v>
      </c>
      <c r="AE24" s="42" t="s">
        <v>176</v>
      </c>
      <c r="AF24" s="43" t="s">
        <v>1275</v>
      </c>
      <c r="AG24" s="44">
        <v>34</v>
      </c>
      <c r="AH24" s="31">
        <v>754118.74844321818</v>
      </c>
      <c r="AI24" s="31">
        <v>38772.509999999987</v>
      </c>
      <c r="AJ24" s="31">
        <v>0</v>
      </c>
      <c r="AK24" s="31">
        <v>2217.11</v>
      </c>
      <c r="AL24" s="31">
        <v>77606.328655254008</v>
      </c>
      <c r="AM24" s="31">
        <v>97666.541550182621</v>
      </c>
      <c r="AN24" s="31">
        <v>0</v>
      </c>
      <c r="AO24" s="31">
        <f t="shared" si="6"/>
        <v>992315.41864865483</v>
      </c>
      <c r="AP24" s="31">
        <v>21934.18</v>
      </c>
      <c r="AR24" s="42" t="s">
        <v>175</v>
      </c>
      <c r="AS24" s="42" t="s">
        <v>176</v>
      </c>
      <c r="AT24" s="43" t="s">
        <v>1276</v>
      </c>
      <c r="AU24" s="44">
        <v>34</v>
      </c>
      <c r="AV24" s="31">
        <v>768041.84823104402</v>
      </c>
      <c r="AW24" s="31">
        <v>39478.709999999992</v>
      </c>
      <c r="AX24" s="31">
        <v>0</v>
      </c>
      <c r="AY24" s="31">
        <v>2257.7999999999997</v>
      </c>
      <c r="AZ24" s="31">
        <v>79039.304074264364</v>
      </c>
      <c r="BA24" s="31">
        <v>97669.811978241152</v>
      </c>
      <c r="BB24" s="31">
        <v>0</v>
      </c>
      <c r="BC24" s="31">
        <f t="shared" si="7"/>
        <v>1008829.5842835496</v>
      </c>
      <c r="BD24" s="31">
        <v>22342.11</v>
      </c>
    </row>
    <row r="25" spans="2:56">
      <c r="B25" s="42" t="s">
        <v>403</v>
      </c>
      <c r="C25" s="42" t="s">
        <v>404</v>
      </c>
      <c r="D25" s="43" t="s">
        <v>1049</v>
      </c>
      <c r="E25" s="44">
        <v>34</v>
      </c>
      <c r="F25" s="31">
        <v>27783206.817980524</v>
      </c>
      <c r="G25" s="31">
        <v>1270243.3699999999</v>
      </c>
      <c r="H25" s="31">
        <v>1290926.69</v>
      </c>
      <c r="I25" s="31">
        <v>104862.09</v>
      </c>
      <c r="J25" s="31">
        <v>4625190.9548425321</v>
      </c>
      <c r="K25" s="31">
        <v>2079618.5127864762</v>
      </c>
      <c r="L25" s="31">
        <v>3932026.1783980927</v>
      </c>
      <c r="M25" s="31">
        <f t="shared" si="4"/>
        <v>41539772.68400763</v>
      </c>
      <c r="N25" s="31">
        <v>453698.07</v>
      </c>
      <c r="P25" s="42" t="s">
        <v>403</v>
      </c>
      <c r="Q25" s="42" t="s">
        <v>404</v>
      </c>
      <c r="R25" s="43" t="s">
        <v>1050</v>
      </c>
      <c r="S25" s="44">
        <v>34</v>
      </c>
      <c r="T25" s="31">
        <v>29685184.026379101</v>
      </c>
      <c r="U25" s="31">
        <v>1347805.0299999998</v>
      </c>
      <c r="V25" s="31">
        <v>1362912.0599999998</v>
      </c>
      <c r="W25" s="31">
        <v>110709.46</v>
      </c>
      <c r="X25" s="31">
        <v>4866646.6582745118</v>
      </c>
      <c r="Y25" s="31">
        <v>2083725.4159279699</v>
      </c>
      <c r="Z25" s="31">
        <v>4186163.9908023421</v>
      </c>
      <c r="AA25" s="31">
        <f t="shared" si="5"/>
        <v>44115414.431383923</v>
      </c>
      <c r="AB25" s="31">
        <v>472267.7900000001</v>
      </c>
      <c r="AD25" s="42" t="s">
        <v>403</v>
      </c>
      <c r="AE25" s="42" t="s">
        <v>404</v>
      </c>
      <c r="AF25" s="43" t="s">
        <v>1275</v>
      </c>
      <c r="AG25" s="44">
        <v>34</v>
      </c>
      <c r="AH25" s="31">
        <v>30219297.278953657</v>
      </c>
      <c r="AI25" s="31">
        <v>1371589.88</v>
      </c>
      <c r="AJ25" s="31">
        <v>1387065.14</v>
      </c>
      <c r="AK25" s="31">
        <v>112671.41</v>
      </c>
      <c r="AL25" s="31">
        <v>4953213.2786046779</v>
      </c>
      <c r="AM25" s="31">
        <v>2080521.1880507912</v>
      </c>
      <c r="AN25" s="31">
        <v>4260719.0170008149</v>
      </c>
      <c r="AO25" s="31">
        <f t="shared" si="6"/>
        <v>44865814.882609941</v>
      </c>
      <c r="AP25" s="31">
        <v>480737.69</v>
      </c>
      <c r="AR25" s="42" t="s">
        <v>403</v>
      </c>
      <c r="AS25" s="42" t="s">
        <v>404</v>
      </c>
      <c r="AT25" s="43" t="s">
        <v>1276</v>
      </c>
      <c r="AU25" s="44">
        <v>34</v>
      </c>
      <c r="AV25" s="31">
        <v>30790888.631530002</v>
      </c>
      <c r="AW25" s="31">
        <v>1397063.44</v>
      </c>
      <c r="AX25" s="31">
        <v>1412933.0999999999</v>
      </c>
      <c r="AY25" s="31">
        <v>114772.66</v>
      </c>
      <c r="AZ25" s="31">
        <v>5045925.7605583966</v>
      </c>
      <c r="BA25" s="31">
        <v>2080612.7374187105</v>
      </c>
      <c r="BB25" s="31">
        <v>4340565.2003791789</v>
      </c>
      <c r="BC25" s="31">
        <f t="shared" si="7"/>
        <v>45672570.479886286</v>
      </c>
      <c r="BD25" s="31">
        <v>489808.95000000013</v>
      </c>
    </row>
    <row r="26" spans="2:56">
      <c r="B26" s="42" t="s">
        <v>67</v>
      </c>
      <c r="C26" s="42" t="s">
        <v>68</v>
      </c>
      <c r="D26" s="43" t="s">
        <v>1049</v>
      </c>
      <c r="E26" s="44">
        <v>34</v>
      </c>
      <c r="F26" s="31">
        <v>60835390.650329225</v>
      </c>
      <c r="G26" s="31">
        <v>725852.97</v>
      </c>
      <c r="H26" s="31">
        <v>379734.03</v>
      </c>
      <c r="I26" s="31">
        <v>214839.77000000002</v>
      </c>
      <c r="J26" s="31">
        <v>7341555.980055741</v>
      </c>
      <c r="K26" s="31">
        <v>3464597.7384328274</v>
      </c>
      <c r="L26" s="31">
        <v>4099741.4671753743</v>
      </c>
      <c r="M26" s="31">
        <f t="shared" si="4"/>
        <v>77061712.605993167</v>
      </c>
      <c r="N26" s="31">
        <v>0</v>
      </c>
      <c r="P26" s="42" t="s">
        <v>67</v>
      </c>
      <c r="Q26" s="42" t="s">
        <v>68</v>
      </c>
      <c r="R26" s="43" t="s">
        <v>1050</v>
      </c>
      <c r="S26" s="44">
        <v>34</v>
      </c>
      <c r="T26" s="31">
        <v>64326532.341408476</v>
      </c>
      <c r="U26" s="31">
        <v>766283.09</v>
      </c>
      <c r="V26" s="31">
        <v>400885.29</v>
      </c>
      <c r="W26" s="31">
        <v>226806.36</v>
      </c>
      <c r="X26" s="31">
        <v>7723607.7045571227</v>
      </c>
      <c r="Y26" s="31">
        <v>3469099.6258202349</v>
      </c>
      <c r="Z26" s="31">
        <v>4321621.190693412</v>
      </c>
      <c r="AA26" s="31">
        <f t="shared" si="5"/>
        <v>81234835.602479249</v>
      </c>
      <c r="AB26" s="31">
        <v>0</v>
      </c>
      <c r="AD26" s="42" t="s">
        <v>67</v>
      </c>
      <c r="AE26" s="42" t="s">
        <v>68</v>
      </c>
      <c r="AF26" s="43" t="s">
        <v>1275</v>
      </c>
      <c r="AG26" s="44">
        <v>34</v>
      </c>
      <c r="AH26" s="31">
        <v>65487757.520259798</v>
      </c>
      <c r="AI26" s="31">
        <v>779781.41999999993</v>
      </c>
      <c r="AJ26" s="31">
        <v>407947.00999999995</v>
      </c>
      <c r="AK26" s="31">
        <v>230801.62</v>
      </c>
      <c r="AL26" s="31">
        <v>7860359.481877544</v>
      </c>
      <c r="AM26" s="31">
        <v>3465620.8693350102</v>
      </c>
      <c r="AN26" s="31">
        <v>4398245.0854440313</v>
      </c>
      <c r="AO26" s="31">
        <f t="shared" si="6"/>
        <v>82630513.006916389</v>
      </c>
      <c r="AP26" s="31">
        <v>0</v>
      </c>
      <c r="AR26" s="42" t="s">
        <v>67</v>
      </c>
      <c r="AS26" s="42" t="s">
        <v>68</v>
      </c>
      <c r="AT26" s="43" t="s">
        <v>1276</v>
      </c>
      <c r="AU26" s="44">
        <v>34</v>
      </c>
      <c r="AV26" s="31">
        <v>66729911.990181684</v>
      </c>
      <c r="AW26" s="31">
        <v>794238.13</v>
      </c>
      <c r="AX26" s="31">
        <v>415510.11999999994</v>
      </c>
      <c r="AY26" s="31">
        <v>235080.56000000003</v>
      </c>
      <c r="AZ26" s="31">
        <v>8006820.0769647341</v>
      </c>
      <c r="BA26" s="31">
        <v>3465720.2623774451</v>
      </c>
      <c r="BB26" s="31">
        <v>4480306.8376015443</v>
      </c>
      <c r="BC26" s="31">
        <f t="shared" si="7"/>
        <v>84127587.977125406</v>
      </c>
      <c r="BD26" s="31">
        <v>0</v>
      </c>
    </row>
    <row r="27" spans="2:56">
      <c r="B27" s="42" t="s">
        <v>49</v>
      </c>
      <c r="C27" s="42" t="s">
        <v>50</v>
      </c>
      <c r="D27" s="43" t="s">
        <v>1049</v>
      </c>
      <c r="E27" s="44">
        <v>34</v>
      </c>
      <c r="F27" s="31">
        <v>4802200.8960865419</v>
      </c>
      <c r="G27" s="31">
        <v>217004.93000000008</v>
      </c>
      <c r="H27" s="31">
        <v>0</v>
      </c>
      <c r="I27" s="31">
        <v>0</v>
      </c>
      <c r="J27" s="31">
        <v>606879.84933551261</v>
      </c>
      <c r="K27" s="31">
        <v>276064.10665396188</v>
      </c>
      <c r="L27" s="31">
        <v>67614.206827759874</v>
      </c>
      <c r="M27" s="31">
        <f t="shared" si="4"/>
        <v>6111543.1789037762</v>
      </c>
      <c r="N27" s="31">
        <v>141779.18999999997</v>
      </c>
      <c r="P27" s="42" t="s">
        <v>49</v>
      </c>
      <c r="Q27" s="42" t="s">
        <v>50</v>
      </c>
      <c r="R27" s="43" t="s">
        <v>1050</v>
      </c>
      <c r="S27" s="44">
        <v>34</v>
      </c>
      <c r="T27" s="31">
        <v>5156738.719405775</v>
      </c>
      <c r="U27" s="31">
        <v>233446.89000000007</v>
      </c>
      <c r="V27" s="31">
        <v>0</v>
      </c>
      <c r="W27" s="31">
        <v>0</v>
      </c>
      <c r="X27" s="31">
        <v>642873.13189200743</v>
      </c>
      <c r="Y27" s="31">
        <v>276536.3794580822</v>
      </c>
      <c r="Z27" s="31">
        <v>72393.089959553399</v>
      </c>
      <c r="AA27" s="31">
        <f t="shared" si="5"/>
        <v>6530613.8207154181</v>
      </c>
      <c r="AB27" s="31">
        <v>148625.60999999999</v>
      </c>
      <c r="AD27" s="42" t="s">
        <v>49</v>
      </c>
      <c r="AE27" s="42" t="s">
        <v>50</v>
      </c>
      <c r="AF27" s="43" t="s">
        <v>1275</v>
      </c>
      <c r="AG27" s="44">
        <v>34</v>
      </c>
      <c r="AH27" s="31">
        <v>5247871.7869473882</v>
      </c>
      <c r="AI27" s="31">
        <v>237481.72000000003</v>
      </c>
      <c r="AJ27" s="31">
        <v>0</v>
      </c>
      <c r="AK27" s="31">
        <v>0</v>
      </c>
      <c r="AL27" s="31">
        <v>654161.45170922775</v>
      </c>
      <c r="AM27" s="31">
        <v>276177.57950183353</v>
      </c>
      <c r="AN27" s="31">
        <v>73666.927211741262</v>
      </c>
      <c r="AO27" s="31">
        <f t="shared" si="6"/>
        <v>6640611.6253701905</v>
      </c>
      <c r="AP27" s="31">
        <v>151252.15999999997</v>
      </c>
      <c r="AR27" s="42" t="s">
        <v>49</v>
      </c>
      <c r="AS27" s="42" t="s">
        <v>50</v>
      </c>
      <c r="AT27" s="43" t="s">
        <v>1276</v>
      </c>
      <c r="AU27" s="44">
        <v>34</v>
      </c>
      <c r="AV27" s="31">
        <v>5345415.1044242512</v>
      </c>
      <c r="AW27" s="31">
        <v>241803.04000000004</v>
      </c>
      <c r="AX27" s="31">
        <v>0</v>
      </c>
      <c r="AY27" s="31">
        <v>0</v>
      </c>
      <c r="AZ27" s="31">
        <v>666251.16371115926</v>
      </c>
      <c r="BA27" s="31">
        <v>276187.83092915494</v>
      </c>
      <c r="BB27" s="31">
        <v>75031.163779634458</v>
      </c>
      <c r="BC27" s="31">
        <f t="shared" si="7"/>
        <v>6758753.4728441993</v>
      </c>
      <c r="BD27" s="31">
        <v>154065.16999999998</v>
      </c>
    </row>
    <row r="28" spans="2:56">
      <c r="B28" s="42" t="s">
        <v>367</v>
      </c>
      <c r="C28" s="42" t="s">
        <v>368</v>
      </c>
      <c r="D28" s="43" t="s">
        <v>1049</v>
      </c>
      <c r="E28" s="44">
        <v>34</v>
      </c>
      <c r="F28" s="31">
        <v>1676580.6507552369</v>
      </c>
      <c r="G28" s="31">
        <v>36584.26</v>
      </c>
      <c r="H28" s="31">
        <v>0</v>
      </c>
      <c r="I28" s="31">
        <v>5408.1</v>
      </c>
      <c r="J28" s="31">
        <v>257049.6078094382</v>
      </c>
      <c r="K28" s="31">
        <v>111344.81278901687</v>
      </c>
      <c r="L28" s="31">
        <v>0</v>
      </c>
      <c r="M28" s="31">
        <f t="shared" si="4"/>
        <v>2086967.431353692</v>
      </c>
      <c r="N28" s="31">
        <v>0</v>
      </c>
      <c r="P28" s="42" t="s">
        <v>367</v>
      </c>
      <c r="Q28" s="42" t="s">
        <v>368</v>
      </c>
      <c r="R28" s="43" t="s">
        <v>1050</v>
      </c>
      <c r="S28" s="44">
        <v>34</v>
      </c>
      <c r="T28" s="31">
        <v>1783931.1641486692</v>
      </c>
      <c r="U28" s="31">
        <v>38935.590000000004</v>
      </c>
      <c r="V28" s="31">
        <v>0</v>
      </c>
      <c r="W28" s="31">
        <v>5755.7</v>
      </c>
      <c r="X28" s="31">
        <v>272245.34914965299</v>
      </c>
      <c r="Y28" s="31">
        <v>111568.99244318699</v>
      </c>
      <c r="Z28" s="31">
        <v>0</v>
      </c>
      <c r="AA28" s="31">
        <f t="shared" si="5"/>
        <v>2212436.7957415096</v>
      </c>
      <c r="AB28" s="31">
        <v>0</v>
      </c>
      <c r="AD28" s="42" t="s">
        <v>367</v>
      </c>
      <c r="AE28" s="42" t="s">
        <v>368</v>
      </c>
      <c r="AF28" s="43" t="s">
        <v>1275</v>
      </c>
      <c r="AG28" s="44">
        <v>34</v>
      </c>
      <c r="AH28" s="31">
        <v>1815447.3199371952</v>
      </c>
      <c r="AI28" s="31">
        <v>39622.159999999996</v>
      </c>
      <c r="AJ28" s="31">
        <v>0</v>
      </c>
      <c r="AK28" s="31">
        <v>5857.1900000000005</v>
      </c>
      <c r="AL28" s="31">
        <v>277060.03574004077</v>
      </c>
      <c r="AM28" s="31">
        <v>111396.80736516078</v>
      </c>
      <c r="AN28" s="31">
        <v>0</v>
      </c>
      <c r="AO28" s="31">
        <f t="shared" si="6"/>
        <v>2249383.5130423969</v>
      </c>
      <c r="AP28" s="31">
        <v>0</v>
      </c>
      <c r="AR28" s="42" t="s">
        <v>367</v>
      </c>
      <c r="AS28" s="42" t="s">
        <v>368</v>
      </c>
      <c r="AT28" s="43" t="s">
        <v>1276</v>
      </c>
      <c r="AU28" s="44">
        <v>34</v>
      </c>
      <c r="AV28" s="31">
        <v>1849200.7123388662</v>
      </c>
      <c r="AW28" s="31">
        <v>40357.499999999993</v>
      </c>
      <c r="AX28" s="31">
        <v>0</v>
      </c>
      <c r="AY28" s="31">
        <v>5965.8899999999994</v>
      </c>
      <c r="AZ28" s="31">
        <v>282216.50303883455</v>
      </c>
      <c r="BA28" s="31">
        <v>111401.72693881868</v>
      </c>
      <c r="BB28" s="31">
        <v>0</v>
      </c>
      <c r="BC28" s="31">
        <f t="shared" si="7"/>
        <v>2289142.3323165192</v>
      </c>
      <c r="BD28" s="31">
        <v>0</v>
      </c>
    </row>
    <row r="29" spans="2:56">
      <c r="B29" s="42" t="s">
        <v>1226</v>
      </c>
      <c r="C29" s="42" t="s">
        <v>1227</v>
      </c>
      <c r="D29" s="43" t="s">
        <v>1049</v>
      </c>
      <c r="E29" s="44">
        <v>34</v>
      </c>
      <c r="F29" s="31">
        <v>1747359.6558962683</v>
      </c>
      <c r="G29" s="31">
        <v>51491.609999999993</v>
      </c>
      <c r="H29" s="31">
        <v>16260.520000000002</v>
      </c>
      <c r="I29" s="31">
        <v>0</v>
      </c>
      <c r="J29" s="31">
        <v>131410.50776088261</v>
      </c>
      <c r="K29" s="31">
        <v>47195.07</v>
      </c>
      <c r="L29" s="31">
        <v>0</v>
      </c>
      <c r="M29" s="31">
        <f t="shared" si="4"/>
        <v>2027480.523657151</v>
      </c>
      <c r="N29" s="31">
        <v>33763.159999999996</v>
      </c>
      <c r="P29" s="42" t="s">
        <v>1226</v>
      </c>
      <c r="Q29" s="42" t="s">
        <v>1227</v>
      </c>
      <c r="R29" s="43" t="s">
        <v>1050</v>
      </c>
      <c r="S29" s="44">
        <v>34</v>
      </c>
      <c r="T29" s="31">
        <v>1854391.987006064</v>
      </c>
      <c r="U29" s="31">
        <v>55273.360000000015</v>
      </c>
      <c r="V29" s="31">
        <v>17298.440000000002</v>
      </c>
      <c r="W29" s="31">
        <v>0</v>
      </c>
      <c r="X29" s="31">
        <v>139176.8623433582</v>
      </c>
      <c r="Y29" s="31">
        <v>47195.07</v>
      </c>
      <c r="Z29" s="31">
        <v>0</v>
      </c>
      <c r="AA29" s="31">
        <f t="shared" si="5"/>
        <v>2148759.0593494219</v>
      </c>
      <c r="AB29" s="31">
        <v>35423.339999999997</v>
      </c>
      <c r="AD29" s="42" t="s">
        <v>1226</v>
      </c>
      <c r="AE29" s="42" t="s">
        <v>1227</v>
      </c>
      <c r="AF29" s="43" t="s">
        <v>1275</v>
      </c>
      <c r="AG29" s="44">
        <v>34</v>
      </c>
      <c r="AH29" s="31">
        <v>1887207.1225078162</v>
      </c>
      <c r="AI29" s="31">
        <v>56248.250000000022</v>
      </c>
      <c r="AJ29" s="31">
        <v>17605.860000000004</v>
      </c>
      <c r="AK29" s="31">
        <v>0</v>
      </c>
      <c r="AL29" s="31">
        <v>141663.08618380898</v>
      </c>
      <c r="AM29" s="31">
        <v>47195.07</v>
      </c>
      <c r="AN29" s="31">
        <v>0</v>
      </c>
      <c r="AO29" s="31">
        <f t="shared" si="6"/>
        <v>2185979.6286916253</v>
      </c>
      <c r="AP29" s="31">
        <v>36060.239999999998</v>
      </c>
      <c r="AR29" s="42" t="s">
        <v>1226</v>
      </c>
      <c r="AS29" s="42" t="s">
        <v>1227</v>
      </c>
      <c r="AT29" s="43" t="s">
        <v>1276</v>
      </c>
      <c r="AU29" s="44">
        <v>34</v>
      </c>
      <c r="AV29" s="31">
        <v>1922354.5111261925</v>
      </c>
      <c r="AW29" s="31">
        <v>57292.36</v>
      </c>
      <c r="AX29" s="31">
        <v>17935.100000000002</v>
      </c>
      <c r="AY29" s="31">
        <v>0</v>
      </c>
      <c r="AZ29" s="31">
        <v>144325.86319219007</v>
      </c>
      <c r="BA29" s="31">
        <v>47195.07</v>
      </c>
      <c r="BB29" s="31">
        <v>0</v>
      </c>
      <c r="BC29" s="31">
        <f t="shared" si="7"/>
        <v>2225845.2643183824</v>
      </c>
      <c r="BD29" s="31">
        <v>36742.36</v>
      </c>
    </row>
    <row r="30" spans="2:56">
      <c r="B30" s="42" t="s">
        <v>39</v>
      </c>
      <c r="C30" s="42" t="s">
        <v>40</v>
      </c>
      <c r="D30" s="43" t="s">
        <v>1049</v>
      </c>
      <c r="E30" s="44">
        <v>34</v>
      </c>
      <c r="F30" s="31">
        <v>9398777.6727278605</v>
      </c>
      <c r="G30" s="31">
        <v>310549.99</v>
      </c>
      <c r="H30" s="31">
        <v>232108.59</v>
      </c>
      <c r="I30" s="31">
        <v>0</v>
      </c>
      <c r="J30" s="31">
        <v>983613.64915245574</v>
      </c>
      <c r="K30" s="31">
        <v>941105.18427397101</v>
      </c>
      <c r="L30" s="31">
        <v>1552784.7394475355</v>
      </c>
      <c r="M30" s="31">
        <f t="shared" si="4"/>
        <v>13424104.285601825</v>
      </c>
      <c r="N30" s="31">
        <v>5164.46</v>
      </c>
      <c r="P30" s="42" t="s">
        <v>39</v>
      </c>
      <c r="Q30" s="42" t="s">
        <v>40</v>
      </c>
      <c r="R30" s="43" t="s">
        <v>1050</v>
      </c>
      <c r="S30" s="44">
        <v>34</v>
      </c>
      <c r="T30" s="31">
        <v>10008837.953177024</v>
      </c>
      <c r="U30" s="31">
        <v>330793.36</v>
      </c>
      <c r="V30" s="31">
        <v>247174.55999999997</v>
      </c>
      <c r="W30" s="31">
        <v>0</v>
      </c>
      <c r="X30" s="31">
        <v>1041979.2100745796</v>
      </c>
      <c r="Y30" s="31">
        <v>943665.27706888935</v>
      </c>
      <c r="Z30" s="31">
        <v>1648230.8201279638</v>
      </c>
      <c r="AA30" s="31">
        <f t="shared" si="5"/>
        <v>14226095.030448455</v>
      </c>
      <c r="AB30" s="31">
        <v>5413.85</v>
      </c>
      <c r="AD30" s="42" t="s">
        <v>39</v>
      </c>
      <c r="AE30" s="42" t="s">
        <v>40</v>
      </c>
      <c r="AF30" s="43" t="s">
        <v>1275</v>
      </c>
      <c r="AG30" s="44">
        <v>34</v>
      </c>
      <c r="AH30" s="31">
        <v>10191724.612951897</v>
      </c>
      <c r="AI30" s="31">
        <v>336559.39999999997</v>
      </c>
      <c r="AJ30" s="31">
        <v>251484.00999999998</v>
      </c>
      <c r="AK30" s="31">
        <v>0</v>
      </c>
      <c r="AL30" s="31">
        <v>1060285.0571064656</v>
      </c>
      <c r="AM30" s="31">
        <v>941720.29701753939</v>
      </c>
      <c r="AN30" s="31">
        <v>1677233.6858941966</v>
      </c>
      <c r="AO30" s="31">
        <f t="shared" si="6"/>
        <v>14464516.592970097</v>
      </c>
      <c r="AP30" s="31">
        <v>5509.5300000000007</v>
      </c>
      <c r="AR30" s="42" t="s">
        <v>39</v>
      </c>
      <c r="AS30" s="42" t="s">
        <v>40</v>
      </c>
      <c r="AT30" s="43" t="s">
        <v>1276</v>
      </c>
      <c r="AU30" s="44">
        <v>34</v>
      </c>
      <c r="AV30" s="31">
        <v>10387131.069241937</v>
      </c>
      <c r="AW30" s="31">
        <v>342734.83999999997</v>
      </c>
      <c r="AX30" s="31">
        <v>256099.41999999998</v>
      </c>
      <c r="AY30" s="31">
        <v>0</v>
      </c>
      <c r="AZ30" s="31">
        <v>1079890.5470555504</v>
      </c>
      <c r="BA30" s="31">
        <v>941775.86787614936</v>
      </c>
      <c r="BB30" s="31">
        <v>1708294.7657052318</v>
      </c>
      <c r="BC30" s="31">
        <f t="shared" si="7"/>
        <v>14721538.499878868</v>
      </c>
      <c r="BD30" s="31">
        <v>5611.99</v>
      </c>
    </row>
    <row r="31" spans="2:56">
      <c r="B31" s="42" t="s">
        <v>37</v>
      </c>
      <c r="C31" s="42" t="s">
        <v>38</v>
      </c>
      <c r="D31" s="43" t="s">
        <v>1049</v>
      </c>
      <c r="E31" s="44">
        <v>34</v>
      </c>
      <c r="F31" s="31">
        <v>12392364.707411379</v>
      </c>
      <c r="G31" s="31">
        <v>441258.63</v>
      </c>
      <c r="H31" s="31">
        <v>310111.81</v>
      </c>
      <c r="I31" s="31">
        <v>45497.859999999993</v>
      </c>
      <c r="J31" s="31">
        <v>1848344.4327993318</v>
      </c>
      <c r="K31" s="31">
        <v>478942.58102959208</v>
      </c>
      <c r="L31" s="31">
        <v>1622373.0229085854</v>
      </c>
      <c r="M31" s="31">
        <f t="shared" si="4"/>
        <v>17138893.044148888</v>
      </c>
      <c r="N31" s="31">
        <v>0</v>
      </c>
      <c r="P31" s="42" t="s">
        <v>37</v>
      </c>
      <c r="Q31" s="42" t="s">
        <v>38</v>
      </c>
      <c r="R31" s="43" t="s">
        <v>1050</v>
      </c>
      <c r="S31" s="44">
        <v>34</v>
      </c>
      <c r="T31" s="31">
        <v>13191089.993497247</v>
      </c>
      <c r="U31" s="31">
        <v>469782.04</v>
      </c>
      <c r="V31" s="31">
        <v>330157.75</v>
      </c>
      <c r="W31" s="31">
        <v>48438.91</v>
      </c>
      <c r="X31" s="31">
        <v>1957905.9663868356</v>
      </c>
      <c r="Y31" s="31">
        <v>479733.73793365352</v>
      </c>
      <c r="Z31" s="31">
        <v>1721945.7790928518</v>
      </c>
      <c r="AA31" s="31">
        <f t="shared" si="5"/>
        <v>18199054.176910587</v>
      </c>
      <c r="AB31" s="31">
        <v>0</v>
      </c>
      <c r="AD31" s="42" t="s">
        <v>37</v>
      </c>
      <c r="AE31" s="42" t="s">
        <v>38</v>
      </c>
      <c r="AF31" s="43" t="s">
        <v>1275</v>
      </c>
      <c r="AG31" s="44">
        <v>34</v>
      </c>
      <c r="AH31" s="31">
        <v>13425976.970319545</v>
      </c>
      <c r="AI31" s="31">
        <v>478011.88999999996</v>
      </c>
      <c r="AJ31" s="31">
        <v>335941.58999999997</v>
      </c>
      <c r="AK31" s="31">
        <v>49287.479999999996</v>
      </c>
      <c r="AL31" s="31">
        <v>1992391.1611059173</v>
      </c>
      <c r="AM31" s="31">
        <v>479132.6720664546</v>
      </c>
      <c r="AN31" s="31">
        <v>1752328.673986647</v>
      </c>
      <c r="AO31" s="31">
        <f t="shared" si="6"/>
        <v>18513070.437478565</v>
      </c>
      <c r="AP31" s="31">
        <v>0</v>
      </c>
      <c r="AR31" s="42" t="s">
        <v>37</v>
      </c>
      <c r="AS31" s="42" t="s">
        <v>38</v>
      </c>
      <c r="AT31" s="43" t="s">
        <v>1276</v>
      </c>
      <c r="AU31" s="44">
        <v>34</v>
      </c>
      <c r="AV31" s="31">
        <v>13677358.230565839</v>
      </c>
      <c r="AW31" s="31">
        <v>486826.07</v>
      </c>
      <c r="AX31" s="31">
        <v>342136.11</v>
      </c>
      <c r="AY31" s="31">
        <v>50196.3</v>
      </c>
      <c r="AZ31" s="31">
        <v>2029324.6159047475</v>
      </c>
      <c r="BA31" s="31">
        <v>479149.84537694597</v>
      </c>
      <c r="BB31" s="31">
        <v>1784867.7421269019</v>
      </c>
      <c r="BC31" s="31">
        <f t="shared" si="7"/>
        <v>18849858.913974434</v>
      </c>
      <c r="BD31" s="31">
        <v>0</v>
      </c>
    </row>
    <row r="32" spans="2:56">
      <c r="B32" s="42" t="s">
        <v>81</v>
      </c>
      <c r="C32" s="42" t="s">
        <v>82</v>
      </c>
      <c r="D32" s="43" t="s">
        <v>1049</v>
      </c>
      <c r="E32" s="44">
        <v>34</v>
      </c>
      <c r="F32" s="31">
        <v>11571339.715994649</v>
      </c>
      <c r="G32" s="31">
        <v>460319.44999999995</v>
      </c>
      <c r="H32" s="31">
        <v>32740.770000000004</v>
      </c>
      <c r="I32" s="31">
        <v>39464.32</v>
      </c>
      <c r="J32" s="31">
        <v>1819293.8537274187</v>
      </c>
      <c r="K32" s="31">
        <v>883520.31797443726</v>
      </c>
      <c r="L32" s="31">
        <v>675681.01465600077</v>
      </c>
      <c r="M32" s="31">
        <f t="shared" si="4"/>
        <v>15647037.662352504</v>
      </c>
      <c r="N32" s="31">
        <v>164678.22</v>
      </c>
      <c r="P32" s="42" t="s">
        <v>81</v>
      </c>
      <c r="Q32" s="42" t="s">
        <v>82</v>
      </c>
      <c r="R32" s="43" t="s">
        <v>1050</v>
      </c>
      <c r="S32" s="44">
        <v>34</v>
      </c>
      <c r="T32" s="31">
        <v>12442364.421227992</v>
      </c>
      <c r="U32" s="31">
        <v>492935.31999999995</v>
      </c>
      <c r="V32" s="31">
        <v>34865.94</v>
      </c>
      <c r="W32" s="31">
        <v>42025.91</v>
      </c>
      <c r="X32" s="31">
        <v>1927213.5377313872</v>
      </c>
      <c r="Y32" s="31">
        <v>885647.04832887219</v>
      </c>
      <c r="Z32" s="31">
        <v>724160.59385009052</v>
      </c>
      <c r="AA32" s="31">
        <f t="shared" si="5"/>
        <v>16721843.191138342</v>
      </c>
      <c r="AB32" s="31">
        <v>172630.42</v>
      </c>
      <c r="AD32" s="42" t="s">
        <v>81</v>
      </c>
      <c r="AE32" s="42" t="s">
        <v>82</v>
      </c>
      <c r="AF32" s="43" t="s">
        <v>1275</v>
      </c>
      <c r="AG32" s="44">
        <v>34</v>
      </c>
      <c r="AH32" s="31">
        <v>12666285.86766536</v>
      </c>
      <c r="AI32" s="31">
        <v>501488.6</v>
      </c>
      <c r="AJ32" s="31">
        <v>35473.82</v>
      </c>
      <c r="AK32" s="31">
        <v>42758.62999999999</v>
      </c>
      <c r="AL32" s="31">
        <v>1961066.3189425641</v>
      </c>
      <c r="AM32" s="31">
        <v>884031.30685177131</v>
      </c>
      <c r="AN32" s="31">
        <v>736901.77790330839</v>
      </c>
      <c r="AO32" s="31">
        <f t="shared" si="6"/>
        <v>17003687.491363004</v>
      </c>
      <c r="AP32" s="31">
        <v>175681.17</v>
      </c>
      <c r="AR32" s="42" t="s">
        <v>81</v>
      </c>
      <c r="AS32" s="42" t="s">
        <v>82</v>
      </c>
      <c r="AT32" s="43" t="s">
        <v>1276</v>
      </c>
      <c r="AU32" s="44">
        <v>34</v>
      </c>
      <c r="AV32" s="31">
        <v>12905741.607778123</v>
      </c>
      <c r="AW32" s="31">
        <v>510649.17000000004</v>
      </c>
      <c r="AX32" s="31">
        <v>36124.870000000003</v>
      </c>
      <c r="AY32" s="31">
        <v>43543.369999999995</v>
      </c>
      <c r="AZ32" s="31">
        <v>1997322.4972701331</v>
      </c>
      <c r="BA32" s="31">
        <v>884077.4708939743</v>
      </c>
      <c r="BB32" s="31">
        <v>750547.15535490448</v>
      </c>
      <c r="BC32" s="31">
        <f t="shared" si="7"/>
        <v>17306954.671297133</v>
      </c>
      <c r="BD32" s="31">
        <v>178948.53</v>
      </c>
    </row>
    <row r="33" spans="2:56">
      <c r="B33" s="42" t="s">
        <v>1228</v>
      </c>
      <c r="C33" s="42" t="s">
        <v>1229</v>
      </c>
      <c r="D33" s="43" t="s">
        <v>1049</v>
      </c>
      <c r="E33" s="44">
        <v>34</v>
      </c>
      <c r="F33" s="31">
        <v>3215127.0694825966</v>
      </c>
      <c r="G33" s="31">
        <v>111678.11000000003</v>
      </c>
      <c r="H33" s="31">
        <v>0</v>
      </c>
      <c r="I33" s="31">
        <v>9824.06</v>
      </c>
      <c r="J33" s="31">
        <v>321473.46905599075</v>
      </c>
      <c r="K33" s="31">
        <v>47657.04</v>
      </c>
      <c r="L33" s="31">
        <v>0</v>
      </c>
      <c r="M33" s="31">
        <f t="shared" si="4"/>
        <v>3705759.7485385872</v>
      </c>
      <c r="N33" s="31">
        <v>0</v>
      </c>
      <c r="P33" s="42" t="s">
        <v>1228</v>
      </c>
      <c r="Q33" s="42" t="s">
        <v>1229</v>
      </c>
      <c r="R33" s="43" t="s">
        <v>1050</v>
      </c>
      <c r="S33" s="44">
        <v>34</v>
      </c>
      <c r="T33" s="31">
        <v>3466627.7157447981</v>
      </c>
      <c r="U33" s="31">
        <v>118806.67000000001</v>
      </c>
      <c r="V33" s="31">
        <v>0</v>
      </c>
      <c r="W33" s="31">
        <v>10451.16</v>
      </c>
      <c r="X33" s="31">
        <v>340387.83422585094</v>
      </c>
      <c r="Y33" s="31">
        <v>47657.04</v>
      </c>
      <c r="Z33" s="31">
        <v>0</v>
      </c>
      <c r="AA33" s="31">
        <f t="shared" si="5"/>
        <v>3983930.4199706493</v>
      </c>
      <c r="AB33" s="31">
        <v>0</v>
      </c>
      <c r="AD33" s="42" t="s">
        <v>1228</v>
      </c>
      <c r="AE33" s="42" t="s">
        <v>1229</v>
      </c>
      <c r="AF33" s="43" t="s">
        <v>1275</v>
      </c>
      <c r="AG33" s="44">
        <v>34</v>
      </c>
      <c r="AH33" s="31">
        <v>3528266.4948192905</v>
      </c>
      <c r="AI33" s="31">
        <v>120918.00000000001</v>
      </c>
      <c r="AJ33" s="31">
        <v>0</v>
      </c>
      <c r="AK33" s="31">
        <v>10636.89</v>
      </c>
      <c r="AL33" s="31">
        <v>346447.67407015496</v>
      </c>
      <c r="AM33" s="31">
        <v>47657.04</v>
      </c>
      <c r="AN33" s="31">
        <v>0</v>
      </c>
      <c r="AO33" s="31">
        <f t="shared" si="6"/>
        <v>4053926.0988894454</v>
      </c>
      <c r="AP33" s="31">
        <v>0</v>
      </c>
      <c r="AR33" s="42" t="s">
        <v>1228</v>
      </c>
      <c r="AS33" s="42" t="s">
        <v>1229</v>
      </c>
      <c r="AT33" s="43" t="s">
        <v>1276</v>
      </c>
      <c r="AU33" s="44">
        <v>34</v>
      </c>
      <c r="AV33" s="31">
        <v>3594280.9312754711</v>
      </c>
      <c r="AW33" s="31">
        <v>123179.25000000001</v>
      </c>
      <c r="AX33" s="31">
        <v>0</v>
      </c>
      <c r="AY33" s="31">
        <v>10835.8</v>
      </c>
      <c r="AZ33" s="31">
        <v>352937.69393868512</v>
      </c>
      <c r="BA33" s="31">
        <v>47657.04</v>
      </c>
      <c r="BB33" s="31">
        <v>0</v>
      </c>
      <c r="BC33" s="31">
        <f t="shared" si="7"/>
        <v>4128890.7152141561</v>
      </c>
      <c r="BD33" s="31">
        <v>0</v>
      </c>
    </row>
    <row r="34" spans="2:56">
      <c r="B34" s="42" t="s">
        <v>255</v>
      </c>
      <c r="C34" s="42" t="s">
        <v>256</v>
      </c>
      <c r="D34" s="43" t="s">
        <v>1049</v>
      </c>
      <c r="E34" s="44">
        <v>34</v>
      </c>
      <c r="F34" s="31">
        <v>895447.40019107971</v>
      </c>
      <c r="G34" s="31">
        <v>18663.190000000002</v>
      </c>
      <c r="H34" s="31">
        <v>0</v>
      </c>
      <c r="I34" s="31">
        <v>0</v>
      </c>
      <c r="J34" s="31">
        <v>72461.669974238175</v>
      </c>
      <c r="K34" s="31">
        <v>106398.64056856248</v>
      </c>
      <c r="L34" s="31">
        <v>0</v>
      </c>
      <c r="M34" s="31">
        <f t="shared" si="4"/>
        <v>1092970.9007338805</v>
      </c>
      <c r="N34" s="31">
        <v>0</v>
      </c>
      <c r="P34" s="42" t="s">
        <v>255</v>
      </c>
      <c r="Q34" s="42" t="s">
        <v>256</v>
      </c>
      <c r="R34" s="43" t="s">
        <v>1050</v>
      </c>
      <c r="S34" s="44">
        <v>34</v>
      </c>
      <c r="T34" s="31">
        <v>952448.0110840199</v>
      </c>
      <c r="U34" s="31">
        <v>19869.599999999999</v>
      </c>
      <c r="V34" s="31">
        <v>0</v>
      </c>
      <c r="W34" s="31">
        <v>0</v>
      </c>
      <c r="X34" s="31">
        <v>76751.314284256834</v>
      </c>
      <c r="Y34" s="31">
        <v>106690.77648563929</v>
      </c>
      <c r="Z34" s="31">
        <v>0</v>
      </c>
      <c r="AA34" s="31">
        <f t="shared" si="5"/>
        <v>1155759.701853916</v>
      </c>
      <c r="AB34" s="31">
        <v>0</v>
      </c>
      <c r="AD34" s="42" t="s">
        <v>255</v>
      </c>
      <c r="AE34" s="42" t="s">
        <v>256</v>
      </c>
      <c r="AF34" s="43" t="s">
        <v>1275</v>
      </c>
      <c r="AG34" s="44">
        <v>34</v>
      </c>
      <c r="AH34" s="31">
        <v>969100.81266901596</v>
      </c>
      <c r="AI34" s="31">
        <v>20217.679999999997</v>
      </c>
      <c r="AJ34" s="31">
        <v>0</v>
      </c>
      <c r="AK34" s="31">
        <v>0</v>
      </c>
      <c r="AL34" s="31">
        <v>78101.45657540315</v>
      </c>
      <c r="AM34" s="31">
        <v>106468.83197951628</v>
      </c>
      <c r="AN34" s="31">
        <v>0</v>
      </c>
      <c r="AO34" s="31">
        <f t="shared" si="6"/>
        <v>1173888.7812239353</v>
      </c>
      <c r="AP34" s="31">
        <v>0</v>
      </c>
      <c r="AR34" s="42" t="s">
        <v>255</v>
      </c>
      <c r="AS34" s="42" t="s">
        <v>256</v>
      </c>
      <c r="AT34" s="43" t="s">
        <v>1276</v>
      </c>
      <c r="AU34" s="44">
        <v>34</v>
      </c>
      <c r="AV34" s="31">
        <v>986935.99166844692</v>
      </c>
      <c r="AW34" s="31">
        <v>20590.490000000002</v>
      </c>
      <c r="AX34" s="31">
        <v>0</v>
      </c>
      <c r="AY34" s="31">
        <v>0</v>
      </c>
      <c r="AZ34" s="31">
        <v>79547.440961907123</v>
      </c>
      <c r="BA34" s="31">
        <v>106475.17325111979</v>
      </c>
      <c r="BB34" s="31">
        <v>0</v>
      </c>
      <c r="BC34" s="31">
        <f t="shared" si="7"/>
        <v>1193549.0958814737</v>
      </c>
      <c r="BD34" s="31">
        <v>0</v>
      </c>
    </row>
    <row r="35" spans="2:56">
      <c r="B35" s="42" t="s">
        <v>233</v>
      </c>
      <c r="C35" s="42" t="s">
        <v>234</v>
      </c>
      <c r="D35" s="43" t="s">
        <v>1049</v>
      </c>
      <c r="E35" s="44">
        <v>34</v>
      </c>
      <c r="F35" s="31">
        <v>100811593.27431473</v>
      </c>
      <c r="G35" s="31">
        <v>3057766.8500000006</v>
      </c>
      <c r="H35" s="31">
        <v>763340.74</v>
      </c>
      <c r="I35" s="31">
        <v>361909.32999999996</v>
      </c>
      <c r="J35" s="31">
        <v>16234883.168405313</v>
      </c>
      <c r="K35" s="31">
        <v>5555917.4045732347</v>
      </c>
      <c r="L35" s="31">
        <v>7774165.2287344141</v>
      </c>
      <c r="M35" s="31">
        <f t="shared" si="4"/>
        <v>134896078.25602767</v>
      </c>
      <c r="N35" s="31">
        <v>336502.25999999995</v>
      </c>
      <c r="P35" s="42" t="s">
        <v>233</v>
      </c>
      <c r="Q35" s="42" t="s">
        <v>234</v>
      </c>
      <c r="R35" s="43" t="s">
        <v>1050</v>
      </c>
      <c r="S35" s="44">
        <v>34</v>
      </c>
      <c r="T35" s="31">
        <v>107277828.49136788</v>
      </c>
      <c r="U35" s="31">
        <v>3257881.0599999996</v>
      </c>
      <c r="V35" s="31">
        <v>812065.72000000009</v>
      </c>
      <c r="W35" s="31">
        <v>385010.45</v>
      </c>
      <c r="X35" s="31">
        <v>17192840.470282853</v>
      </c>
      <c r="Y35" s="31">
        <v>5570923.9403285999</v>
      </c>
      <c r="Z35" s="31">
        <v>8247658.9237935711</v>
      </c>
      <c r="AA35" s="31">
        <f t="shared" si="5"/>
        <v>143097257.54577294</v>
      </c>
      <c r="AB35" s="31">
        <v>353048.49</v>
      </c>
      <c r="AD35" s="42" t="s">
        <v>233</v>
      </c>
      <c r="AE35" s="42" t="s">
        <v>234</v>
      </c>
      <c r="AF35" s="43" t="s">
        <v>1275</v>
      </c>
      <c r="AG35" s="44">
        <v>34</v>
      </c>
      <c r="AH35" s="31">
        <v>109262520.00498131</v>
      </c>
      <c r="AI35" s="31">
        <v>3315704</v>
      </c>
      <c r="AJ35" s="31">
        <v>826497.13</v>
      </c>
      <c r="AK35" s="31">
        <v>391852.56</v>
      </c>
      <c r="AL35" s="31">
        <v>17499340.776593324</v>
      </c>
      <c r="AM35" s="31">
        <v>5559172.0674183704</v>
      </c>
      <c r="AN35" s="31">
        <v>8394873.4977871776</v>
      </c>
      <c r="AO35" s="31">
        <f t="shared" si="6"/>
        <v>145609356.25678018</v>
      </c>
      <c r="AP35" s="31">
        <v>359396.22</v>
      </c>
      <c r="AR35" s="42" t="s">
        <v>233</v>
      </c>
      <c r="AS35" s="42" t="s">
        <v>234</v>
      </c>
      <c r="AT35" s="43" t="s">
        <v>1276</v>
      </c>
      <c r="AU35" s="44">
        <v>34</v>
      </c>
      <c r="AV35" s="31">
        <v>111383226.44421577</v>
      </c>
      <c r="AW35" s="31">
        <v>3377632.37</v>
      </c>
      <c r="AX35" s="31">
        <v>841953.15999999992</v>
      </c>
      <c r="AY35" s="31">
        <v>399180.46</v>
      </c>
      <c r="AZ35" s="31">
        <v>17827601.466527272</v>
      </c>
      <c r="BA35" s="31">
        <v>5559507.8352158051</v>
      </c>
      <c r="BB35" s="31">
        <v>8552535.9148271289</v>
      </c>
      <c r="BC35" s="31">
        <f t="shared" si="7"/>
        <v>148307832.29078597</v>
      </c>
      <c r="BD35" s="31">
        <v>366194.64</v>
      </c>
    </row>
    <row r="36" spans="2:56">
      <c r="B36" s="42" t="s">
        <v>463</v>
      </c>
      <c r="C36" s="42" t="s">
        <v>464</v>
      </c>
      <c r="D36" s="43" t="s">
        <v>1049</v>
      </c>
      <c r="E36" s="44">
        <v>34</v>
      </c>
      <c r="F36" s="31">
        <v>115808044.69396487</v>
      </c>
      <c r="G36" s="31">
        <v>3350081.08</v>
      </c>
      <c r="H36" s="31">
        <v>763268.91</v>
      </c>
      <c r="I36" s="31">
        <v>394837.94</v>
      </c>
      <c r="J36" s="31">
        <v>18413126.553750012</v>
      </c>
      <c r="K36" s="31">
        <v>6595479.5111921662</v>
      </c>
      <c r="L36" s="31">
        <v>6680697.2382057672</v>
      </c>
      <c r="M36" s="31">
        <f t="shared" si="4"/>
        <v>152985907.25711283</v>
      </c>
      <c r="N36" s="31">
        <v>980371.33</v>
      </c>
      <c r="P36" s="42" t="s">
        <v>463</v>
      </c>
      <c r="Q36" s="42" t="s">
        <v>464</v>
      </c>
      <c r="R36" s="43" t="s">
        <v>1050</v>
      </c>
      <c r="S36" s="44">
        <v>34</v>
      </c>
      <c r="T36" s="31">
        <v>123305742.69651099</v>
      </c>
      <c r="U36" s="31">
        <v>3583825.5400000005</v>
      </c>
      <c r="V36" s="31">
        <v>812812.04</v>
      </c>
      <c r="W36" s="31">
        <v>420466.54</v>
      </c>
      <c r="X36" s="31">
        <v>19505465.463411715</v>
      </c>
      <c r="Y36" s="31">
        <v>6608135.2509736586</v>
      </c>
      <c r="Z36" s="31">
        <v>7091523.2197728939</v>
      </c>
      <c r="AA36" s="31">
        <f t="shared" si="5"/>
        <v>162355683.5606693</v>
      </c>
      <c r="AB36" s="31">
        <v>1027712.8099999999</v>
      </c>
      <c r="AD36" s="42" t="s">
        <v>463</v>
      </c>
      <c r="AE36" s="42" t="s">
        <v>464</v>
      </c>
      <c r="AF36" s="43" t="s">
        <v>1275</v>
      </c>
      <c r="AG36" s="44">
        <v>34</v>
      </c>
      <c r="AH36" s="31">
        <v>125516732.22000451</v>
      </c>
      <c r="AI36" s="31">
        <v>3646065.060000001</v>
      </c>
      <c r="AJ36" s="31">
        <v>826983.29</v>
      </c>
      <c r="AK36" s="31">
        <v>427797.31999999995</v>
      </c>
      <c r="AL36" s="31">
        <v>19848068.918421656</v>
      </c>
      <c r="AM36" s="31">
        <v>6598520.3020706577</v>
      </c>
      <c r="AN36" s="31">
        <v>7216294.2503911387</v>
      </c>
      <c r="AO36" s="31">
        <f t="shared" si="6"/>
        <v>165126336.09088793</v>
      </c>
      <c r="AP36" s="31">
        <v>1045874.73</v>
      </c>
      <c r="AR36" s="42" t="s">
        <v>463</v>
      </c>
      <c r="AS36" s="42" t="s">
        <v>464</v>
      </c>
      <c r="AT36" s="43" t="s">
        <v>1276</v>
      </c>
      <c r="AU36" s="44">
        <v>34</v>
      </c>
      <c r="AV36" s="31">
        <v>127881645.05058208</v>
      </c>
      <c r="AW36" s="31">
        <v>3712723.5900000017</v>
      </c>
      <c r="AX36" s="31">
        <v>842160.69000000018</v>
      </c>
      <c r="AY36" s="31">
        <v>435648.56</v>
      </c>
      <c r="AZ36" s="31">
        <v>20214995.453931879</v>
      </c>
      <c r="BA36" s="31">
        <v>6598795.014896458</v>
      </c>
      <c r="BB36" s="31">
        <v>7349919.8062946768</v>
      </c>
      <c r="BC36" s="31">
        <f t="shared" si="7"/>
        <v>168101214.30570507</v>
      </c>
      <c r="BD36" s="31">
        <v>1065326.1399999999</v>
      </c>
    </row>
    <row r="37" spans="2:56">
      <c r="B37" s="42" t="s">
        <v>295</v>
      </c>
      <c r="C37" s="42" t="s">
        <v>296</v>
      </c>
      <c r="D37" s="43" t="s">
        <v>1049</v>
      </c>
      <c r="E37" s="44">
        <v>34</v>
      </c>
      <c r="F37" s="31">
        <v>27079753.167837314</v>
      </c>
      <c r="G37" s="31">
        <v>1697842.1400000001</v>
      </c>
      <c r="H37" s="31">
        <v>739687.79</v>
      </c>
      <c r="I37" s="31">
        <v>94714.340000000011</v>
      </c>
      <c r="J37" s="31">
        <v>4300637.4243836282</v>
      </c>
      <c r="K37" s="31">
        <v>1995130.505136417</v>
      </c>
      <c r="L37" s="31">
        <v>2464974.5261939624</v>
      </c>
      <c r="M37" s="31">
        <f t="shared" si="4"/>
        <v>39311698.053551316</v>
      </c>
      <c r="N37" s="31">
        <v>938958.16000000015</v>
      </c>
      <c r="P37" s="42" t="s">
        <v>295</v>
      </c>
      <c r="Q37" s="42" t="s">
        <v>296</v>
      </c>
      <c r="R37" s="43" t="s">
        <v>1050</v>
      </c>
      <c r="S37" s="44">
        <v>34</v>
      </c>
      <c r="T37" s="31">
        <v>29141529.217245575</v>
      </c>
      <c r="U37" s="31">
        <v>1823652.91</v>
      </c>
      <c r="V37" s="31">
        <v>787700.27</v>
      </c>
      <c r="W37" s="31">
        <v>100862.16</v>
      </c>
      <c r="X37" s="31">
        <v>4555743.1936469506</v>
      </c>
      <c r="Y37" s="31">
        <v>2002075.3312532711</v>
      </c>
      <c r="Z37" s="31">
        <v>2641949.2841209355</v>
      </c>
      <c r="AA37" s="31">
        <f t="shared" si="5"/>
        <v>42037812.186266728</v>
      </c>
      <c r="AB37" s="31">
        <v>984299.82000000007</v>
      </c>
      <c r="AD37" s="42" t="s">
        <v>295</v>
      </c>
      <c r="AE37" s="42" t="s">
        <v>296</v>
      </c>
      <c r="AF37" s="43" t="s">
        <v>1275</v>
      </c>
      <c r="AG37" s="44">
        <v>34</v>
      </c>
      <c r="AH37" s="31">
        <v>29662061.608631335</v>
      </c>
      <c r="AI37" s="31">
        <v>1855214.4099999997</v>
      </c>
      <c r="AJ37" s="31">
        <v>801433.7</v>
      </c>
      <c r="AK37" s="31">
        <v>102620.68</v>
      </c>
      <c r="AL37" s="31">
        <v>4635753.2260469887</v>
      </c>
      <c r="AM37" s="31">
        <v>1996799.136466821</v>
      </c>
      <c r="AN37" s="31">
        <v>2688432.5586984875</v>
      </c>
      <c r="AO37" s="31">
        <f t="shared" si="6"/>
        <v>42744009.849843636</v>
      </c>
      <c r="AP37" s="31">
        <v>1001694.5300000001</v>
      </c>
      <c r="AR37" s="42" t="s">
        <v>295</v>
      </c>
      <c r="AS37" s="42" t="s">
        <v>296</v>
      </c>
      <c r="AT37" s="43" t="s">
        <v>1276</v>
      </c>
      <c r="AU37" s="44">
        <v>34</v>
      </c>
      <c r="AV37" s="31">
        <v>30218935.383863956</v>
      </c>
      <c r="AW37" s="31">
        <v>1889016.7699999996</v>
      </c>
      <c r="AX37" s="31">
        <v>816142.20000000007</v>
      </c>
      <c r="AY37" s="31">
        <v>104504.04</v>
      </c>
      <c r="AZ37" s="31">
        <v>4721443.5030666972</v>
      </c>
      <c r="BA37" s="31">
        <v>1996949.8848892911</v>
      </c>
      <c r="BB37" s="31">
        <v>2738214.5748946462</v>
      </c>
      <c r="BC37" s="31">
        <f t="shared" si="7"/>
        <v>43505530.626714587</v>
      </c>
      <c r="BD37" s="31">
        <v>1020324.2700000001</v>
      </c>
    </row>
    <row r="38" spans="2:56">
      <c r="B38" s="42" t="s">
        <v>291</v>
      </c>
      <c r="C38" s="42" t="s">
        <v>292</v>
      </c>
      <c r="D38" s="43" t="s">
        <v>1049</v>
      </c>
      <c r="E38" s="44">
        <v>34</v>
      </c>
      <c r="F38" s="31">
        <v>23656915.479530647</v>
      </c>
      <c r="G38" s="31">
        <v>858608.19999999972</v>
      </c>
      <c r="H38" s="31">
        <v>180478.21</v>
      </c>
      <c r="I38" s="31">
        <v>82622.490000000005</v>
      </c>
      <c r="J38" s="31">
        <v>3648495.1463529528</v>
      </c>
      <c r="K38" s="31">
        <v>1280371.5930994134</v>
      </c>
      <c r="L38" s="31">
        <v>1553536.4958006898</v>
      </c>
      <c r="M38" s="31">
        <f t="shared" si="4"/>
        <v>31631265.184783705</v>
      </c>
      <c r="N38" s="31">
        <v>370237.57000000007</v>
      </c>
      <c r="P38" s="42" t="s">
        <v>291</v>
      </c>
      <c r="Q38" s="42" t="s">
        <v>292</v>
      </c>
      <c r="R38" s="43" t="s">
        <v>1050</v>
      </c>
      <c r="S38" s="44">
        <v>34</v>
      </c>
      <c r="T38" s="31">
        <v>25183738.552217435</v>
      </c>
      <c r="U38" s="31">
        <v>920082.29999999981</v>
      </c>
      <c r="V38" s="31">
        <v>192144.51</v>
      </c>
      <c r="W38" s="31">
        <v>87963.31</v>
      </c>
      <c r="X38" s="31">
        <v>3864782.1508547813</v>
      </c>
      <c r="Y38" s="31">
        <v>1282828.3885529302</v>
      </c>
      <c r="Z38" s="31">
        <v>1648883.7747351006</v>
      </c>
      <c r="AA38" s="31">
        <f t="shared" si="5"/>
        <v>33568620.306360245</v>
      </c>
      <c r="AB38" s="31">
        <v>388197.32</v>
      </c>
      <c r="AD38" s="42" t="s">
        <v>291</v>
      </c>
      <c r="AE38" s="42" t="s">
        <v>292</v>
      </c>
      <c r="AF38" s="43" t="s">
        <v>1275</v>
      </c>
      <c r="AG38" s="44">
        <v>34</v>
      </c>
      <c r="AH38" s="31">
        <v>25635593.387156632</v>
      </c>
      <c r="AI38" s="31">
        <v>936111.31</v>
      </c>
      <c r="AJ38" s="31">
        <v>195510.58</v>
      </c>
      <c r="AK38" s="31">
        <v>89504.29</v>
      </c>
      <c r="AL38" s="31">
        <v>3932863.1610424891</v>
      </c>
      <c r="AM38" s="31">
        <v>1280961.8866211164</v>
      </c>
      <c r="AN38" s="31">
        <v>1677977.3511222475</v>
      </c>
      <c r="AO38" s="31">
        <f t="shared" si="6"/>
        <v>34143609.295942478</v>
      </c>
      <c r="AP38" s="31">
        <v>395087.33</v>
      </c>
      <c r="AR38" s="42" t="s">
        <v>291</v>
      </c>
      <c r="AS38" s="42" t="s">
        <v>292</v>
      </c>
      <c r="AT38" s="43" t="s">
        <v>1276</v>
      </c>
      <c r="AU38" s="44">
        <v>34</v>
      </c>
      <c r="AV38" s="31">
        <v>26118954.23055476</v>
      </c>
      <c r="AW38" s="31">
        <v>953278.39999999991</v>
      </c>
      <c r="AX38" s="31">
        <v>199115.65</v>
      </c>
      <c r="AY38" s="31">
        <v>91154.680000000008</v>
      </c>
      <c r="AZ38" s="31">
        <v>4005777.6164065655</v>
      </c>
      <c r="BA38" s="31">
        <v>1281015.2152477398</v>
      </c>
      <c r="BB38" s="31">
        <v>1709135.6021012815</v>
      </c>
      <c r="BC38" s="31">
        <f t="shared" si="7"/>
        <v>34760897.924310349</v>
      </c>
      <c r="BD38" s="31">
        <v>402466.53</v>
      </c>
    </row>
    <row r="39" spans="2:56">
      <c r="B39" s="42" t="s">
        <v>467</v>
      </c>
      <c r="C39" s="42" t="s">
        <v>468</v>
      </c>
      <c r="D39" s="43" t="s">
        <v>1049</v>
      </c>
      <c r="E39" s="44">
        <v>34</v>
      </c>
      <c r="F39" s="31">
        <v>40798137.945282385</v>
      </c>
      <c r="G39" s="31">
        <v>1594845.1799999997</v>
      </c>
      <c r="H39" s="31">
        <v>364046.04</v>
      </c>
      <c r="I39" s="31">
        <v>144702.47</v>
      </c>
      <c r="J39" s="31">
        <v>6779568.6987778274</v>
      </c>
      <c r="K39" s="31">
        <v>2921707.6402007653</v>
      </c>
      <c r="L39" s="31">
        <v>4423596.4114251006</v>
      </c>
      <c r="M39" s="31">
        <f t="shared" si="4"/>
        <v>57457398.70568607</v>
      </c>
      <c r="N39" s="31">
        <v>430794.31999999995</v>
      </c>
      <c r="P39" s="42" t="s">
        <v>467</v>
      </c>
      <c r="Q39" s="42" t="s">
        <v>468</v>
      </c>
      <c r="R39" s="43" t="s">
        <v>1050</v>
      </c>
      <c r="S39" s="44">
        <v>34</v>
      </c>
      <c r="T39" s="31">
        <v>43451125.180011392</v>
      </c>
      <c r="U39" s="31">
        <v>1705524.9099999997</v>
      </c>
      <c r="V39" s="31">
        <v>387675.95</v>
      </c>
      <c r="W39" s="31">
        <v>154094.97999999998</v>
      </c>
      <c r="X39" s="31">
        <v>7181759.9262069128</v>
      </c>
      <c r="Y39" s="31">
        <v>2927984.7908361261</v>
      </c>
      <c r="Z39" s="31">
        <v>4695503.4437242746</v>
      </c>
      <c r="AA39" s="31">
        <f t="shared" si="5"/>
        <v>60955266.270778701</v>
      </c>
      <c r="AB39" s="31">
        <v>451597.08999999997</v>
      </c>
      <c r="AD39" s="42" t="s">
        <v>467</v>
      </c>
      <c r="AE39" s="42" t="s">
        <v>468</v>
      </c>
      <c r="AF39" s="43" t="s">
        <v>1275</v>
      </c>
      <c r="AG39" s="44">
        <v>34</v>
      </c>
      <c r="AH39" s="31">
        <v>44246840.260459602</v>
      </c>
      <c r="AI39" s="31">
        <v>1735153.29</v>
      </c>
      <c r="AJ39" s="31">
        <v>394435.02</v>
      </c>
      <c r="AK39" s="31">
        <v>156781.60999999999</v>
      </c>
      <c r="AL39" s="31">
        <v>7307909.2412378434</v>
      </c>
      <c r="AM39" s="31">
        <v>2923215.8493394232</v>
      </c>
      <c r="AN39" s="31">
        <v>4778127.1581537938</v>
      </c>
      <c r="AO39" s="31">
        <f t="shared" si="6"/>
        <v>62002040.219190665</v>
      </c>
      <c r="AP39" s="31">
        <v>459577.79</v>
      </c>
      <c r="AR39" s="42" t="s">
        <v>467</v>
      </c>
      <c r="AS39" s="42" t="s">
        <v>468</v>
      </c>
      <c r="AT39" s="43" t="s">
        <v>1276</v>
      </c>
      <c r="AU39" s="44">
        <v>34</v>
      </c>
      <c r="AV39" s="31">
        <v>45096917.384504423</v>
      </c>
      <c r="AW39" s="31">
        <v>1766885.2899999996</v>
      </c>
      <c r="AX39" s="31">
        <v>401673.99000000005</v>
      </c>
      <c r="AY39" s="31">
        <v>159658.97999999998</v>
      </c>
      <c r="AZ39" s="31">
        <v>7443014.5480721025</v>
      </c>
      <c r="BA39" s="31">
        <v>2923352.1048107576</v>
      </c>
      <c r="BB39" s="31">
        <v>4866614.3372882083</v>
      </c>
      <c r="BC39" s="31">
        <f t="shared" si="7"/>
        <v>63126241.754675485</v>
      </c>
      <c r="BD39" s="31">
        <v>468125.12</v>
      </c>
    </row>
    <row r="40" spans="2:56">
      <c r="B40" s="42" t="s">
        <v>485</v>
      </c>
      <c r="C40" s="42" t="s">
        <v>486</v>
      </c>
      <c r="D40" s="43" t="s">
        <v>1049</v>
      </c>
      <c r="E40" s="44">
        <v>34</v>
      </c>
      <c r="F40" s="31">
        <v>6138978.8253290355</v>
      </c>
      <c r="G40" s="31">
        <v>278491.32</v>
      </c>
      <c r="H40" s="31">
        <v>1753.96</v>
      </c>
      <c r="I40" s="31">
        <v>21534.85</v>
      </c>
      <c r="J40" s="31">
        <v>942991.21989566379</v>
      </c>
      <c r="K40" s="31">
        <v>567589.48461338005</v>
      </c>
      <c r="L40" s="31">
        <v>628610.55154032598</v>
      </c>
      <c r="M40" s="31">
        <f t="shared" si="4"/>
        <v>8795493.5313784052</v>
      </c>
      <c r="N40" s="31">
        <v>215543.32</v>
      </c>
      <c r="P40" s="42" t="s">
        <v>485</v>
      </c>
      <c r="Q40" s="42" t="s">
        <v>486</v>
      </c>
      <c r="R40" s="43" t="s">
        <v>1050</v>
      </c>
      <c r="S40" s="44">
        <v>34</v>
      </c>
      <c r="T40" s="31">
        <v>6595908.4561971668</v>
      </c>
      <c r="U40" s="31">
        <v>300150.26</v>
      </c>
      <c r="V40" s="31">
        <v>1867.83</v>
      </c>
      <c r="W40" s="31">
        <v>22932.65</v>
      </c>
      <c r="X40" s="31">
        <v>998947.67118201964</v>
      </c>
      <c r="Y40" s="31">
        <v>569249.22722193215</v>
      </c>
      <c r="Z40" s="31">
        <v>673678.1764007695</v>
      </c>
      <c r="AA40" s="31">
        <f t="shared" si="5"/>
        <v>9388686.0310018882</v>
      </c>
      <c r="AB40" s="31">
        <v>225951.75999999998</v>
      </c>
      <c r="AD40" s="42" t="s">
        <v>485</v>
      </c>
      <c r="AE40" s="42" t="s">
        <v>486</v>
      </c>
      <c r="AF40" s="43" t="s">
        <v>1275</v>
      </c>
      <c r="AG40" s="44">
        <v>34</v>
      </c>
      <c r="AH40" s="31">
        <v>6724061.1039942754</v>
      </c>
      <c r="AI40" s="31">
        <v>305329.7</v>
      </c>
      <c r="AJ40" s="31">
        <v>1900.3799999999999</v>
      </c>
      <c r="AK40" s="31">
        <v>23332.48</v>
      </c>
      <c r="AL40" s="31">
        <v>1016503.7516373373</v>
      </c>
      <c r="AM40" s="31">
        <v>567988.27048223221</v>
      </c>
      <c r="AN40" s="31">
        <v>685531.16225417773</v>
      </c>
      <c r="AO40" s="31">
        <f t="shared" si="6"/>
        <v>9554591.6683680229</v>
      </c>
      <c r="AP40" s="31">
        <v>229944.82</v>
      </c>
      <c r="AR40" s="42" t="s">
        <v>485</v>
      </c>
      <c r="AS40" s="42" t="s">
        <v>486</v>
      </c>
      <c r="AT40" s="43" t="s">
        <v>1276</v>
      </c>
      <c r="AU40" s="44">
        <v>34</v>
      </c>
      <c r="AV40" s="31">
        <v>6860522.0717664985</v>
      </c>
      <c r="AW40" s="31">
        <v>310876.89</v>
      </c>
      <c r="AX40" s="31">
        <v>1935.2599999999998</v>
      </c>
      <c r="AY40" s="31">
        <v>23760.7</v>
      </c>
      <c r="AZ40" s="31">
        <v>1035306.2941348918</v>
      </c>
      <c r="BA40" s="31">
        <v>568024.29781765211</v>
      </c>
      <c r="BB40" s="31">
        <v>698225.30948837788</v>
      </c>
      <c r="BC40" s="31">
        <f t="shared" si="7"/>
        <v>9732872.2032074202</v>
      </c>
      <c r="BD40" s="31">
        <v>234221.38</v>
      </c>
    </row>
    <row r="41" spans="2:56">
      <c r="B41" s="42" t="s">
        <v>1038</v>
      </c>
      <c r="C41" s="42" t="s">
        <v>1043</v>
      </c>
      <c r="D41" s="43" t="s">
        <v>1049</v>
      </c>
      <c r="E41" s="44">
        <v>34</v>
      </c>
      <c r="F41" s="31">
        <v>5379636.1083789701</v>
      </c>
      <c r="G41" s="31">
        <v>201202.34000000003</v>
      </c>
      <c r="H41" s="31">
        <v>0</v>
      </c>
      <c r="I41" s="31">
        <v>0</v>
      </c>
      <c r="J41" s="31">
        <v>0</v>
      </c>
      <c r="K41" s="31">
        <v>487556.37</v>
      </c>
      <c r="L41" s="31">
        <v>266444.6497730267</v>
      </c>
      <c r="M41" s="31">
        <f t="shared" si="4"/>
        <v>6513571.9581519971</v>
      </c>
      <c r="N41" s="31">
        <v>178732.49</v>
      </c>
      <c r="P41" s="42" t="s">
        <v>1038</v>
      </c>
      <c r="Q41" s="42" t="s">
        <v>1043</v>
      </c>
      <c r="R41" s="43" t="s">
        <v>1050</v>
      </c>
      <c r="S41" s="44">
        <v>34</v>
      </c>
      <c r="T41" s="31">
        <v>5778477.5859873015</v>
      </c>
      <c r="U41" s="31">
        <v>217024.62999999989</v>
      </c>
      <c r="V41" s="31">
        <v>0</v>
      </c>
      <c r="W41" s="31">
        <v>0</v>
      </c>
      <c r="X41" s="31">
        <v>0</v>
      </c>
      <c r="Y41" s="31">
        <v>487556.37</v>
      </c>
      <c r="Z41" s="31">
        <v>285473.81737561541</v>
      </c>
      <c r="AA41" s="31">
        <f t="shared" si="5"/>
        <v>6955953.5933629172</v>
      </c>
      <c r="AB41" s="31">
        <v>187421.19</v>
      </c>
      <c r="AD41" s="42" t="s">
        <v>1038</v>
      </c>
      <c r="AE41" s="42" t="s">
        <v>1043</v>
      </c>
      <c r="AF41" s="43" t="s">
        <v>1275</v>
      </c>
      <c r="AG41" s="44">
        <v>34</v>
      </c>
      <c r="AH41" s="31">
        <v>5880335.8615814429</v>
      </c>
      <c r="AI41" s="31">
        <v>220792.65999999997</v>
      </c>
      <c r="AJ41" s="31">
        <v>0</v>
      </c>
      <c r="AK41" s="31">
        <v>0</v>
      </c>
      <c r="AL41" s="31">
        <v>0</v>
      </c>
      <c r="AM41" s="31">
        <v>487556.37</v>
      </c>
      <c r="AN41" s="31">
        <v>290522.64041987283</v>
      </c>
      <c r="AO41" s="31">
        <f t="shared" si="6"/>
        <v>7069962.0220013158</v>
      </c>
      <c r="AP41" s="31">
        <v>190754.49</v>
      </c>
      <c r="AR41" s="42" t="s">
        <v>1038</v>
      </c>
      <c r="AS41" s="42" t="s">
        <v>1043</v>
      </c>
      <c r="AT41" s="43" t="s">
        <v>1276</v>
      </c>
      <c r="AU41" s="44">
        <v>34</v>
      </c>
      <c r="AV41" s="31">
        <v>5989422.5164154284</v>
      </c>
      <c r="AW41" s="31">
        <v>224828.21999999997</v>
      </c>
      <c r="AX41" s="31">
        <v>0</v>
      </c>
      <c r="AY41" s="31">
        <v>0</v>
      </c>
      <c r="AZ41" s="31">
        <v>0</v>
      </c>
      <c r="BA41" s="31">
        <v>487556.37</v>
      </c>
      <c r="BB41" s="31">
        <v>295929.76700547256</v>
      </c>
      <c r="BC41" s="31">
        <f t="shared" si="7"/>
        <v>7192061.3234209009</v>
      </c>
      <c r="BD41" s="31">
        <v>194324.45</v>
      </c>
    </row>
    <row r="42" spans="2:56">
      <c r="B42" s="42" t="s">
        <v>179</v>
      </c>
      <c r="C42" s="42" t="s">
        <v>180</v>
      </c>
      <c r="D42" s="43" t="s">
        <v>1049</v>
      </c>
      <c r="E42" s="44">
        <v>34</v>
      </c>
      <c r="F42" s="31">
        <v>6495669.4829871859</v>
      </c>
      <c r="G42" s="31">
        <v>239121.79000000004</v>
      </c>
      <c r="H42" s="31">
        <v>25431.610000000004</v>
      </c>
      <c r="I42" s="31">
        <v>0</v>
      </c>
      <c r="J42" s="31">
        <v>989307.09997019242</v>
      </c>
      <c r="K42" s="31">
        <v>876122.4026050932</v>
      </c>
      <c r="L42" s="31">
        <v>132507.25916775406</v>
      </c>
      <c r="M42" s="31">
        <f t="shared" si="4"/>
        <v>8861502.5147302244</v>
      </c>
      <c r="N42" s="31">
        <v>103342.87</v>
      </c>
      <c r="P42" s="42" t="s">
        <v>179</v>
      </c>
      <c r="Q42" s="42" t="s">
        <v>180</v>
      </c>
      <c r="R42" s="43" t="s">
        <v>1050</v>
      </c>
      <c r="S42" s="44">
        <v>34</v>
      </c>
      <c r="T42" s="31">
        <v>6977176.4877148299</v>
      </c>
      <c r="U42" s="31">
        <v>256038.99</v>
      </c>
      <c r="V42" s="31">
        <v>27063.199999999997</v>
      </c>
      <c r="W42" s="31">
        <v>0</v>
      </c>
      <c r="X42" s="31">
        <v>1047789.5210329369</v>
      </c>
      <c r="Y42" s="31">
        <v>878597.58533777308</v>
      </c>
      <c r="Z42" s="31">
        <v>141861.66842877571</v>
      </c>
      <c r="AA42" s="31">
        <f t="shared" si="5"/>
        <v>9436924.3425143156</v>
      </c>
      <c r="AB42" s="31">
        <v>108396.89000000001</v>
      </c>
      <c r="AD42" s="42" t="s">
        <v>179</v>
      </c>
      <c r="AE42" s="42" t="s">
        <v>180</v>
      </c>
      <c r="AF42" s="43" t="s">
        <v>1275</v>
      </c>
      <c r="AG42" s="44">
        <v>34</v>
      </c>
      <c r="AH42" s="31">
        <v>7107640.6828781106</v>
      </c>
      <c r="AI42" s="31">
        <v>260539.56999999998</v>
      </c>
      <c r="AJ42" s="31">
        <v>27541.399999999994</v>
      </c>
      <c r="AK42" s="31">
        <v>0</v>
      </c>
      <c r="AL42" s="31">
        <v>1066385.8127676281</v>
      </c>
      <c r="AM42" s="31">
        <v>876677.22779237316</v>
      </c>
      <c r="AN42" s="31">
        <v>144382.59807509393</v>
      </c>
      <c r="AO42" s="31">
        <f t="shared" si="6"/>
        <v>9593503.0915132072</v>
      </c>
      <c r="AP42" s="31">
        <v>110335.80000000002</v>
      </c>
      <c r="AR42" s="42" t="s">
        <v>179</v>
      </c>
      <c r="AS42" s="42" t="s">
        <v>180</v>
      </c>
      <c r="AT42" s="43" t="s">
        <v>1276</v>
      </c>
      <c r="AU42" s="44">
        <v>34</v>
      </c>
      <c r="AV42" s="31">
        <v>7246917.5202148575</v>
      </c>
      <c r="AW42" s="31">
        <v>265359.70999999996</v>
      </c>
      <c r="AX42" s="31">
        <v>28053.549999999996</v>
      </c>
      <c r="AY42" s="31">
        <v>0</v>
      </c>
      <c r="AZ42" s="31">
        <v>1086302.3705168676</v>
      </c>
      <c r="BA42" s="31">
        <v>876732.09515081311</v>
      </c>
      <c r="BB42" s="31">
        <v>147082.43590130072</v>
      </c>
      <c r="BC42" s="31">
        <f t="shared" si="7"/>
        <v>9762860.0517838392</v>
      </c>
      <c r="BD42" s="31">
        <v>112412.37</v>
      </c>
    </row>
    <row r="43" spans="2:56">
      <c r="B43" s="42" t="s">
        <v>13</v>
      </c>
      <c r="C43" s="42" t="s">
        <v>14</v>
      </c>
      <c r="D43" s="43" t="s">
        <v>1049</v>
      </c>
      <c r="E43" s="44">
        <v>34</v>
      </c>
      <c r="F43" s="31">
        <v>19979849.394951396</v>
      </c>
      <c r="G43" s="31">
        <v>871332.89999999991</v>
      </c>
      <c r="H43" s="31">
        <v>28843.039999999997</v>
      </c>
      <c r="I43" s="31">
        <v>68404.789999999994</v>
      </c>
      <c r="J43" s="31">
        <v>3143610.2215422094</v>
      </c>
      <c r="K43" s="31">
        <v>988731.65387451707</v>
      </c>
      <c r="L43" s="31">
        <v>1376257.8429764521</v>
      </c>
      <c r="M43" s="31">
        <f t="shared" si="4"/>
        <v>26842026.083344568</v>
      </c>
      <c r="N43" s="31">
        <v>384996.24000000005</v>
      </c>
      <c r="P43" s="42" t="s">
        <v>13</v>
      </c>
      <c r="Q43" s="42" t="s">
        <v>14</v>
      </c>
      <c r="R43" s="43" t="s">
        <v>1050</v>
      </c>
      <c r="S43" s="44">
        <v>34</v>
      </c>
      <c r="T43" s="31">
        <v>21483148.901704986</v>
      </c>
      <c r="U43" s="31">
        <v>934288.94000000029</v>
      </c>
      <c r="V43" s="31">
        <v>30715.239999999994</v>
      </c>
      <c r="W43" s="31">
        <v>72844.89</v>
      </c>
      <c r="X43" s="31">
        <v>3330074.160229289</v>
      </c>
      <c r="Y43" s="31">
        <v>990689.23341740598</v>
      </c>
      <c r="Z43" s="31">
        <v>1474931.76687044</v>
      </c>
      <c r="AA43" s="31">
        <f t="shared" si="5"/>
        <v>28720280.582222119</v>
      </c>
      <c r="AB43" s="31">
        <v>403587.45000000007</v>
      </c>
      <c r="AD43" s="42" t="s">
        <v>13</v>
      </c>
      <c r="AE43" s="42" t="s">
        <v>14</v>
      </c>
      <c r="AF43" s="43" t="s">
        <v>1275</v>
      </c>
      <c r="AG43" s="44">
        <v>34</v>
      </c>
      <c r="AH43" s="31">
        <v>21876356.208217144</v>
      </c>
      <c r="AI43" s="31">
        <v>950482.33000000007</v>
      </c>
      <c r="AJ43" s="31">
        <v>31250.74</v>
      </c>
      <c r="AK43" s="31">
        <v>74114.929999999993</v>
      </c>
      <c r="AL43" s="31">
        <v>3388572.7433893825</v>
      </c>
      <c r="AM43" s="31">
        <v>989202.00093606499</v>
      </c>
      <c r="AN43" s="31">
        <v>1500882.498893097</v>
      </c>
      <c r="AO43" s="31">
        <f t="shared" si="6"/>
        <v>29221581.171435684</v>
      </c>
      <c r="AP43" s="31">
        <v>410719.72000000003</v>
      </c>
      <c r="AR43" s="42" t="s">
        <v>13</v>
      </c>
      <c r="AS43" s="42" t="s">
        <v>14</v>
      </c>
      <c r="AT43" s="43" t="s">
        <v>1276</v>
      </c>
      <c r="AU43" s="44">
        <v>34</v>
      </c>
      <c r="AV43" s="31">
        <v>22296438.972830251</v>
      </c>
      <c r="AW43" s="31">
        <v>967825.45999999973</v>
      </c>
      <c r="AX43" s="31">
        <v>31824.289999999997</v>
      </c>
      <c r="AY43" s="31">
        <v>75475.14</v>
      </c>
      <c r="AZ43" s="31">
        <v>3451224.5060678166</v>
      </c>
      <c r="BA43" s="31">
        <v>989244.49329267477</v>
      </c>
      <c r="BB43" s="31">
        <v>1528674.8558157622</v>
      </c>
      <c r="BC43" s="31">
        <f t="shared" si="7"/>
        <v>29759066.088006504</v>
      </c>
      <c r="BD43" s="31">
        <v>418358.37000000005</v>
      </c>
    </row>
    <row r="44" spans="2:56">
      <c r="B44" s="42" t="s">
        <v>249</v>
      </c>
      <c r="C44" s="42" t="s">
        <v>250</v>
      </c>
      <c r="D44" s="43" t="s">
        <v>1049</v>
      </c>
      <c r="E44" s="44">
        <v>34</v>
      </c>
      <c r="F44" s="31">
        <v>7070248.9119836539</v>
      </c>
      <c r="G44" s="31">
        <v>224215.74</v>
      </c>
      <c r="H44" s="31">
        <v>19878.32</v>
      </c>
      <c r="I44" s="31">
        <v>24847.89</v>
      </c>
      <c r="J44" s="31">
        <v>1178767.8008160098</v>
      </c>
      <c r="K44" s="31">
        <v>545428.20381599013</v>
      </c>
      <c r="L44" s="31">
        <v>621319.32991310372</v>
      </c>
      <c r="M44" s="31">
        <f t="shared" si="4"/>
        <v>9691039.9765287563</v>
      </c>
      <c r="N44" s="31">
        <v>6333.78</v>
      </c>
      <c r="P44" s="42" t="s">
        <v>249</v>
      </c>
      <c r="Q44" s="42" t="s">
        <v>250</v>
      </c>
      <c r="R44" s="43" t="s">
        <v>1050</v>
      </c>
      <c r="S44" s="44">
        <v>34</v>
      </c>
      <c r="T44" s="31">
        <v>7535629.7311275881</v>
      </c>
      <c r="U44" s="31">
        <v>238874.62999999995</v>
      </c>
      <c r="V44" s="31">
        <v>21168.6</v>
      </c>
      <c r="W44" s="31">
        <v>26460.76</v>
      </c>
      <c r="X44" s="31">
        <v>1248696.3886752091</v>
      </c>
      <c r="Y44" s="31">
        <v>545958.748061675</v>
      </c>
      <c r="Z44" s="31">
        <v>659510.0865322235</v>
      </c>
      <c r="AA44" s="31">
        <f t="shared" si="5"/>
        <v>10282938.584396698</v>
      </c>
      <c r="AB44" s="31">
        <v>6639.64</v>
      </c>
      <c r="AD44" s="42" t="s">
        <v>249</v>
      </c>
      <c r="AE44" s="42" t="s">
        <v>250</v>
      </c>
      <c r="AF44" s="43" t="s">
        <v>1275</v>
      </c>
      <c r="AG44" s="44">
        <v>34</v>
      </c>
      <c r="AH44" s="31">
        <v>7672884.0873452667</v>
      </c>
      <c r="AI44" s="31">
        <v>243037.80999999994</v>
      </c>
      <c r="AJ44" s="31">
        <v>21537.67</v>
      </c>
      <c r="AK44" s="31">
        <v>26922.09</v>
      </c>
      <c r="AL44" s="31">
        <v>1270627.151418085</v>
      </c>
      <c r="AM44" s="31">
        <v>545555.6775260038</v>
      </c>
      <c r="AN44" s="31">
        <v>671115.02577121765</v>
      </c>
      <c r="AO44" s="31">
        <f t="shared" si="6"/>
        <v>10458436.482060574</v>
      </c>
      <c r="AP44" s="31">
        <v>6756.97</v>
      </c>
      <c r="AR44" s="42" t="s">
        <v>249</v>
      </c>
      <c r="AS44" s="42" t="s">
        <v>250</v>
      </c>
      <c r="AT44" s="43" t="s">
        <v>1276</v>
      </c>
      <c r="AU44" s="44">
        <v>34</v>
      </c>
      <c r="AV44" s="31">
        <v>7819700.1796127409</v>
      </c>
      <c r="AW44" s="31">
        <v>247496.55</v>
      </c>
      <c r="AX44" s="31">
        <v>21932.94</v>
      </c>
      <c r="AY44" s="31">
        <v>27416.18</v>
      </c>
      <c r="AZ44" s="31">
        <v>1294114.8696665023</v>
      </c>
      <c r="BA44" s="31">
        <v>545567.19382702303</v>
      </c>
      <c r="BB44" s="31">
        <v>683543.51960938016</v>
      </c>
      <c r="BC44" s="31">
        <f t="shared" si="7"/>
        <v>10646654.082715647</v>
      </c>
      <c r="BD44" s="31">
        <v>6882.65</v>
      </c>
    </row>
    <row r="45" spans="2:56">
      <c r="B45" s="42" t="s">
        <v>377</v>
      </c>
      <c r="C45" s="42" t="s">
        <v>378</v>
      </c>
      <c r="D45" s="43" t="s">
        <v>1049</v>
      </c>
      <c r="E45" s="44">
        <v>34</v>
      </c>
      <c r="F45" s="31">
        <v>102387788.89440536</v>
      </c>
      <c r="G45" s="31">
        <v>5432873.0199999986</v>
      </c>
      <c r="H45" s="31">
        <v>2678422.5000000005</v>
      </c>
      <c r="I45" s="31">
        <v>355105.19</v>
      </c>
      <c r="J45" s="31">
        <v>16873765.356205255</v>
      </c>
      <c r="K45" s="31">
        <v>6271752.4814209342</v>
      </c>
      <c r="L45" s="31">
        <v>8714246.0450060349</v>
      </c>
      <c r="M45" s="31">
        <f t="shared" si="4"/>
        <v>145527707.88703758</v>
      </c>
      <c r="N45" s="31">
        <v>2813754.4000000004</v>
      </c>
      <c r="P45" s="42" t="s">
        <v>377</v>
      </c>
      <c r="Q45" s="42" t="s">
        <v>378</v>
      </c>
      <c r="R45" s="43" t="s">
        <v>1050</v>
      </c>
      <c r="S45" s="44">
        <v>34</v>
      </c>
      <c r="T45" s="31">
        <v>110159399.79016241</v>
      </c>
      <c r="U45" s="31">
        <v>5828108.8999999985</v>
      </c>
      <c r="V45" s="31">
        <v>2851217.4899999998</v>
      </c>
      <c r="W45" s="31">
        <v>378014.32000000007</v>
      </c>
      <c r="X45" s="31">
        <v>17872246.391620431</v>
      </c>
      <c r="Y45" s="31">
        <v>6277618.8538538078</v>
      </c>
      <c r="Z45" s="31">
        <v>9338203.2229843698</v>
      </c>
      <c r="AA45" s="31">
        <f t="shared" si="5"/>
        <v>155655348.01862106</v>
      </c>
      <c r="AB45" s="31">
        <v>2950539.0500000003</v>
      </c>
      <c r="AD45" s="42" t="s">
        <v>377</v>
      </c>
      <c r="AE45" s="42" t="s">
        <v>378</v>
      </c>
      <c r="AF45" s="43" t="s">
        <v>1275</v>
      </c>
      <c r="AG45" s="44">
        <v>34</v>
      </c>
      <c r="AH45" s="31">
        <v>112172439.28401744</v>
      </c>
      <c r="AI45" s="31">
        <v>5929770.3199999994</v>
      </c>
      <c r="AJ45" s="31">
        <v>2901279.64</v>
      </c>
      <c r="AK45" s="31">
        <v>384651.56000000006</v>
      </c>
      <c r="AL45" s="31">
        <v>18187771.349548921</v>
      </c>
      <c r="AM45" s="31">
        <v>6273113.0845910963</v>
      </c>
      <c r="AN45" s="31">
        <v>9503357.5017373823</v>
      </c>
      <c r="AO45" s="31">
        <f t="shared" si="6"/>
        <v>158355397.35989484</v>
      </c>
      <c r="AP45" s="31">
        <v>3003014.62</v>
      </c>
      <c r="AR45" s="42" t="s">
        <v>377</v>
      </c>
      <c r="AS45" s="42" t="s">
        <v>378</v>
      </c>
      <c r="AT45" s="43" t="s">
        <v>1276</v>
      </c>
      <c r="AU45" s="44">
        <v>34</v>
      </c>
      <c r="AV45" s="31">
        <v>114323851.23393217</v>
      </c>
      <c r="AW45" s="31">
        <v>6038649.6799999978</v>
      </c>
      <c r="AX45" s="31">
        <v>2954896.2100000004</v>
      </c>
      <c r="AY45" s="31">
        <v>391760.04000000004</v>
      </c>
      <c r="AZ45" s="31">
        <v>18525696.78490134</v>
      </c>
      <c r="BA45" s="31">
        <v>6273241.8208557451</v>
      </c>
      <c r="BB45" s="31">
        <v>9680232.4081652556</v>
      </c>
      <c r="BC45" s="31">
        <f t="shared" si="7"/>
        <v>161247544.13785449</v>
      </c>
      <c r="BD45" s="31">
        <v>3059215.9600000004</v>
      </c>
    </row>
    <row r="46" spans="2:56">
      <c r="B46" s="42" t="s">
        <v>563</v>
      </c>
      <c r="C46" s="42" t="s">
        <v>564</v>
      </c>
      <c r="D46" s="43" t="s">
        <v>1049</v>
      </c>
      <c r="E46" s="44">
        <v>34</v>
      </c>
      <c r="F46" s="31">
        <v>4396647.4582698913</v>
      </c>
      <c r="G46" s="31">
        <v>104263.70999999999</v>
      </c>
      <c r="H46" s="31">
        <v>0</v>
      </c>
      <c r="I46" s="31">
        <v>14518.98</v>
      </c>
      <c r="J46" s="31">
        <v>666655.21119231952</v>
      </c>
      <c r="K46" s="31">
        <v>515238.60352280445</v>
      </c>
      <c r="L46" s="31">
        <v>498999.28716624848</v>
      </c>
      <c r="M46" s="31">
        <f t="shared" si="4"/>
        <v>6196323.2501512635</v>
      </c>
      <c r="N46" s="31">
        <v>0</v>
      </c>
      <c r="P46" s="42" t="s">
        <v>563</v>
      </c>
      <c r="Q46" s="42" t="s">
        <v>564</v>
      </c>
      <c r="R46" s="43" t="s">
        <v>1050</v>
      </c>
      <c r="S46" s="44">
        <v>34</v>
      </c>
      <c r="T46" s="31">
        <v>4677831.54374763</v>
      </c>
      <c r="U46" s="31">
        <v>111031.39999999998</v>
      </c>
      <c r="V46" s="31">
        <v>0</v>
      </c>
      <c r="W46" s="31">
        <v>15461.4</v>
      </c>
      <c r="X46" s="31">
        <v>706217.97593734786</v>
      </c>
      <c r="Y46" s="31">
        <v>516331.29002582963</v>
      </c>
      <c r="Z46" s="31">
        <v>529671.47507668776</v>
      </c>
      <c r="AA46" s="31">
        <f t="shared" si="5"/>
        <v>6556545.0847874954</v>
      </c>
      <c r="AB46" s="31">
        <v>0</v>
      </c>
      <c r="AD46" s="42" t="s">
        <v>563</v>
      </c>
      <c r="AE46" s="42" t="s">
        <v>564</v>
      </c>
      <c r="AF46" s="43" t="s">
        <v>1275</v>
      </c>
      <c r="AG46" s="44">
        <v>34</v>
      </c>
      <c r="AH46" s="31">
        <v>4759939.9159560204</v>
      </c>
      <c r="AI46" s="31">
        <v>112967.21</v>
      </c>
      <c r="AJ46" s="31">
        <v>0</v>
      </c>
      <c r="AK46" s="31">
        <v>15730.960000000001</v>
      </c>
      <c r="AL46" s="31">
        <v>718624.06735288759</v>
      </c>
      <c r="AM46" s="31">
        <v>515501.14298780746</v>
      </c>
      <c r="AN46" s="31">
        <v>538991.73235868313</v>
      </c>
      <c r="AO46" s="31">
        <f t="shared" si="6"/>
        <v>6661755.0286553977</v>
      </c>
      <c r="AP46" s="31">
        <v>0</v>
      </c>
      <c r="AR46" s="42" t="s">
        <v>563</v>
      </c>
      <c r="AS46" s="42" t="s">
        <v>564</v>
      </c>
      <c r="AT46" s="43" t="s">
        <v>1276</v>
      </c>
      <c r="AU46" s="44">
        <v>34</v>
      </c>
      <c r="AV46" s="31">
        <v>4847867.4709482398</v>
      </c>
      <c r="AW46" s="31">
        <v>115040.47000000002</v>
      </c>
      <c r="AX46" s="31">
        <v>0</v>
      </c>
      <c r="AY46" s="31">
        <v>16019.670000000002</v>
      </c>
      <c r="AZ46" s="31">
        <v>731910.93143410387</v>
      </c>
      <c r="BA46" s="31">
        <v>515524.86147460807</v>
      </c>
      <c r="BB46" s="31">
        <v>548973.40992889996</v>
      </c>
      <c r="BC46" s="31">
        <f t="shared" si="7"/>
        <v>6775336.8137858519</v>
      </c>
      <c r="BD46" s="31">
        <v>0</v>
      </c>
    </row>
    <row r="47" spans="2:56">
      <c r="B47" s="42" t="s">
        <v>529</v>
      </c>
      <c r="C47" s="42" t="s">
        <v>530</v>
      </c>
      <c r="D47" s="43" t="s">
        <v>1049</v>
      </c>
      <c r="E47" s="44">
        <v>34</v>
      </c>
      <c r="F47" s="31">
        <v>12071663.154265825</v>
      </c>
      <c r="G47" s="31">
        <v>537981.2899999998</v>
      </c>
      <c r="H47" s="31">
        <v>456616.64</v>
      </c>
      <c r="I47" s="31">
        <v>42777.36</v>
      </c>
      <c r="J47" s="31">
        <v>2078968.5525369041</v>
      </c>
      <c r="K47" s="31">
        <v>458977.0713379485</v>
      </c>
      <c r="L47" s="31">
        <v>1168789.2035574224</v>
      </c>
      <c r="M47" s="31">
        <f t="shared" si="4"/>
        <v>17251634.631698098</v>
      </c>
      <c r="N47" s="31">
        <v>435861.36000000004</v>
      </c>
      <c r="P47" s="42" t="s">
        <v>529</v>
      </c>
      <c r="Q47" s="42" t="s">
        <v>530</v>
      </c>
      <c r="R47" s="43" t="s">
        <v>1050</v>
      </c>
      <c r="S47" s="44">
        <v>34</v>
      </c>
      <c r="T47" s="31">
        <v>12988952.417947359</v>
      </c>
      <c r="U47" s="31">
        <v>580145.12</v>
      </c>
      <c r="V47" s="31">
        <v>486255.23</v>
      </c>
      <c r="W47" s="31">
        <v>45554.01</v>
      </c>
      <c r="X47" s="31">
        <v>2202324.4036472328</v>
      </c>
      <c r="Y47" s="31">
        <v>459889.43486831209</v>
      </c>
      <c r="Z47" s="31">
        <v>1252658.7885937747</v>
      </c>
      <c r="AA47" s="31">
        <f t="shared" si="5"/>
        <v>18472688.215056676</v>
      </c>
      <c r="AB47" s="31">
        <v>456908.81000000006</v>
      </c>
      <c r="AD47" s="42" t="s">
        <v>529</v>
      </c>
      <c r="AE47" s="42" t="s">
        <v>530</v>
      </c>
      <c r="AF47" s="43" t="s">
        <v>1275</v>
      </c>
      <c r="AG47" s="44">
        <v>34</v>
      </c>
      <c r="AH47" s="31">
        <v>13220629.077697676</v>
      </c>
      <c r="AI47" s="31">
        <v>590151.42999999993</v>
      </c>
      <c r="AJ47" s="31">
        <v>494733.01</v>
      </c>
      <c r="AK47" s="31">
        <v>46348.24</v>
      </c>
      <c r="AL47" s="31">
        <v>2241009.6440605191</v>
      </c>
      <c r="AM47" s="31">
        <v>459196.28465529683</v>
      </c>
      <c r="AN47" s="31">
        <v>1274698.6698571998</v>
      </c>
      <c r="AO47" s="31">
        <f t="shared" si="6"/>
        <v>18791749.736270688</v>
      </c>
      <c r="AP47" s="31">
        <v>464983.38000000006</v>
      </c>
      <c r="AR47" s="42" t="s">
        <v>529</v>
      </c>
      <c r="AS47" s="42" t="s">
        <v>530</v>
      </c>
      <c r="AT47" s="43" t="s">
        <v>1276</v>
      </c>
      <c r="AU47" s="44">
        <v>34</v>
      </c>
      <c r="AV47" s="31">
        <v>13468500.970587686</v>
      </c>
      <c r="AW47" s="31">
        <v>600868.17999999993</v>
      </c>
      <c r="AX47" s="31">
        <v>503812.70999999996</v>
      </c>
      <c r="AY47" s="31">
        <v>47198.86</v>
      </c>
      <c r="AZ47" s="31">
        <v>2282441.3381545171</v>
      </c>
      <c r="BA47" s="31">
        <v>459216.08894709725</v>
      </c>
      <c r="BB47" s="31">
        <v>1298302.637890928</v>
      </c>
      <c r="BC47" s="31">
        <f t="shared" si="7"/>
        <v>19133972.025580227</v>
      </c>
      <c r="BD47" s="31">
        <v>473631.24000000005</v>
      </c>
    </row>
    <row r="48" spans="2:56">
      <c r="B48" s="42" t="s">
        <v>571</v>
      </c>
      <c r="C48" s="42" t="s">
        <v>572</v>
      </c>
      <c r="D48" s="43" t="s">
        <v>1049</v>
      </c>
      <c r="E48" s="44">
        <v>34</v>
      </c>
      <c r="F48" s="31">
        <v>2436379.3704066649</v>
      </c>
      <c r="G48" s="31">
        <v>31677</v>
      </c>
      <c r="H48" s="31">
        <v>0</v>
      </c>
      <c r="I48" s="31">
        <v>0</v>
      </c>
      <c r="J48" s="31">
        <v>203244.91047961198</v>
      </c>
      <c r="K48" s="31">
        <v>161853.08523781027</v>
      </c>
      <c r="L48" s="31">
        <v>85856.700911586959</v>
      </c>
      <c r="M48" s="31">
        <f t="shared" si="4"/>
        <v>2919011.0670356746</v>
      </c>
      <c r="N48" s="31">
        <v>0</v>
      </c>
      <c r="P48" s="42" t="s">
        <v>571</v>
      </c>
      <c r="Q48" s="42" t="s">
        <v>572</v>
      </c>
      <c r="R48" s="43" t="s">
        <v>1050</v>
      </c>
      <c r="S48" s="44">
        <v>34</v>
      </c>
      <c r="T48" s="31">
        <v>2587265.4959066659</v>
      </c>
      <c r="U48" s="31">
        <v>33724.630000000005</v>
      </c>
      <c r="V48" s="31">
        <v>0</v>
      </c>
      <c r="W48" s="31">
        <v>0</v>
      </c>
      <c r="X48" s="31">
        <v>215280.05922972286</v>
      </c>
      <c r="Y48" s="31">
        <v>162386.78541277463</v>
      </c>
      <c r="Z48" s="31">
        <v>91126.305049400922</v>
      </c>
      <c r="AA48" s="31">
        <f t="shared" si="5"/>
        <v>3089783.2755985637</v>
      </c>
      <c r="AB48" s="31">
        <v>0</v>
      </c>
      <c r="AD48" s="42" t="s">
        <v>571</v>
      </c>
      <c r="AE48" s="42" t="s">
        <v>572</v>
      </c>
      <c r="AF48" s="43" t="s">
        <v>1275</v>
      </c>
      <c r="AG48" s="44">
        <v>34</v>
      </c>
      <c r="AH48" s="31">
        <v>2632473.1864021486</v>
      </c>
      <c r="AI48" s="31">
        <v>34315.440000000002</v>
      </c>
      <c r="AJ48" s="31">
        <v>0</v>
      </c>
      <c r="AK48" s="31">
        <v>0</v>
      </c>
      <c r="AL48" s="31">
        <v>219070.08893802395</v>
      </c>
      <c r="AM48" s="31">
        <v>161981.31722202461</v>
      </c>
      <c r="AN48" s="31">
        <v>92734.203581561742</v>
      </c>
      <c r="AO48" s="31">
        <f t="shared" si="6"/>
        <v>3140574.236143759</v>
      </c>
      <c r="AP48" s="31">
        <v>0</v>
      </c>
      <c r="AR48" s="42" t="s">
        <v>571</v>
      </c>
      <c r="AS48" s="42" t="s">
        <v>572</v>
      </c>
      <c r="AT48" s="43" t="s">
        <v>1276</v>
      </c>
      <c r="AU48" s="44">
        <v>34</v>
      </c>
      <c r="AV48" s="31">
        <v>2680887.4861033112</v>
      </c>
      <c r="AW48" s="31">
        <v>34948.19</v>
      </c>
      <c r="AX48" s="31">
        <v>0</v>
      </c>
      <c r="AY48" s="31">
        <v>0</v>
      </c>
      <c r="AZ48" s="31">
        <v>223129.18325126893</v>
      </c>
      <c r="BA48" s="31">
        <v>161992.90202747463</v>
      </c>
      <c r="BB48" s="31">
        <v>94456.209365905961</v>
      </c>
      <c r="BC48" s="31">
        <f t="shared" si="7"/>
        <v>3195413.9707479607</v>
      </c>
      <c r="BD48" s="31">
        <v>0</v>
      </c>
    </row>
    <row r="49" spans="2:56">
      <c r="B49" s="42" t="s">
        <v>499</v>
      </c>
      <c r="C49" s="42" t="s">
        <v>500</v>
      </c>
      <c r="D49" s="43" t="s">
        <v>1049</v>
      </c>
      <c r="E49" s="44">
        <v>34</v>
      </c>
      <c r="F49" s="31">
        <v>1889913.6444681901</v>
      </c>
      <c r="G49" s="31">
        <v>52034.419999999984</v>
      </c>
      <c r="H49" s="31">
        <v>0</v>
      </c>
      <c r="I49" s="31">
        <v>2923.29</v>
      </c>
      <c r="J49" s="31">
        <v>130916.18449914776</v>
      </c>
      <c r="K49" s="31">
        <v>215130.65942224776</v>
      </c>
      <c r="L49" s="31">
        <v>65853.469344846046</v>
      </c>
      <c r="M49" s="31">
        <f t="shared" si="4"/>
        <v>2385907.0577344317</v>
      </c>
      <c r="N49" s="31">
        <v>29135.39</v>
      </c>
      <c r="P49" s="42" t="s">
        <v>499</v>
      </c>
      <c r="Q49" s="42" t="s">
        <v>500</v>
      </c>
      <c r="R49" s="43" t="s">
        <v>1050</v>
      </c>
      <c r="S49" s="44">
        <v>34</v>
      </c>
      <c r="T49" s="31">
        <v>2014381.8863839386</v>
      </c>
      <c r="U49" s="31">
        <v>55896.129999999983</v>
      </c>
      <c r="V49" s="31">
        <v>0</v>
      </c>
      <c r="W49" s="31">
        <v>3113.03</v>
      </c>
      <c r="X49" s="31">
        <v>138683.82962523165</v>
      </c>
      <c r="Y49" s="31">
        <v>215459.21292515559</v>
      </c>
      <c r="Z49" s="31">
        <v>70523.962461928881</v>
      </c>
      <c r="AA49" s="31">
        <f t="shared" si="5"/>
        <v>2528600.3713962543</v>
      </c>
      <c r="AB49" s="31">
        <v>30542.32</v>
      </c>
      <c r="AD49" s="42" t="s">
        <v>499</v>
      </c>
      <c r="AE49" s="42" t="s">
        <v>500</v>
      </c>
      <c r="AF49" s="43" t="s">
        <v>1275</v>
      </c>
      <c r="AG49" s="44">
        <v>34</v>
      </c>
      <c r="AH49" s="31">
        <v>2049370.9106023435</v>
      </c>
      <c r="AI49" s="31">
        <v>56863.44</v>
      </c>
      <c r="AJ49" s="31">
        <v>0</v>
      </c>
      <c r="AK49" s="31">
        <v>3167.3</v>
      </c>
      <c r="AL49" s="31">
        <v>141120.41743847434</v>
      </c>
      <c r="AM49" s="31">
        <v>215209.60087584812</v>
      </c>
      <c r="AN49" s="31">
        <v>71764.830850326674</v>
      </c>
      <c r="AO49" s="31">
        <f t="shared" si="6"/>
        <v>2568578.5597669925</v>
      </c>
      <c r="AP49" s="31">
        <v>31082.06</v>
      </c>
      <c r="AR49" s="42" t="s">
        <v>499</v>
      </c>
      <c r="AS49" s="42" t="s">
        <v>500</v>
      </c>
      <c r="AT49" s="43" t="s">
        <v>1276</v>
      </c>
      <c r="AU49" s="44">
        <v>34</v>
      </c>
      <c r="AV49" s="31">
        <v>2086844.835271419</v>
      </c>
      <c r="AW49" s="31">
        <v>57899.399999999994</v>
      </c>
      <c r="AX49" s="31">
        <v>0</v>
      </c>
      <c r="AY49" s="31">
        <v>3225.44</v>
      </c>
      <c r="AZ49" s="31">
        <v>143729.99496692931</v>
      </c>
      <c r="BA49" s="31">
        <v>215216.73264868546</v>
      </c>
      <c r="BB49" s="31">
        <v>73093.758897100692</v>
      </c>
      <c r="BC49" s="31">
        <f t="shared" si="7"/>
        <v>2611670.2917841342</v>
      </c>
      <c r="BD49" s="31">
        <v>31660.13</v>
      </c>
    </row>
    <row r="50" spans="2:56">
      <c r="B50" s="42" t="s">
        <v>533</v>
      </c>
      <c r="C50" s="42" t="s">
        <v>534</v>
      </c>
      <c r="D50" s="43" t="s">
        <v>1049</v>
      </c>
      <c r="E50" s="44">
        <v>34</v>
      </c>
      <c r="F50" s="31">
        <v>6186508.0167204402</v>
      </c>
      <c r="G50" s="31">
        <v>256139.84999999992</v>
      </c>
      <c r="H50" s="31">
        <v>215887.84999999998</v>
      </c>
      <c r="I50" s="31">
        <v>20579.969999999998</v>
      </c>
      <c r="J50" s="31">
        <v>962898.01659741835</v>
      </c>
      <c r="K50" s="31">
        <v>440105.10158555338</v>
      </c>
      <c r="L50" s="31">
        <v>493820.03311586019</v>
      </c>
      <c r="M50" s="31">
        <f t="shared" si="4"/>
        <v>8787186.10801927</v>
      </c>
      <c r="N50" s="31">
        <v>211247.27000000002</v>
      </c>
      <c r="P50" s="42" t="s">
        <v>533</v>
      </c>
      <c r="Q50" s="42" t="s">
        <v>534</v>
      </c>
      <c r="R50" s="43" t="s">
        <v>1050</v>
      </c>
      <c r="S50" s="44">
        <v>34</v>
      </c>
      <c r="T50" s="31">
        <v>6653830.5454848213</v>
      </c>
      <c r="U50" s="31">
        <v>276104.90999999992</v>
      </c>
      <c r="V50" s="31">
        <v>229843.07</v>
      </c>
      <c r="W50" s="31">
        <v>21910.260000000002</v>
      </c>
      <c r="X50" s="31">
        <v>1019981.4788881917</v>
      </c>
      <c r="Y50" s="31">
        <v>441231.68208041548</v>
      </c>
      <c r="Z50" s="31">
        <v>529267.38711105636</v>
      </c>
      <c r="AA50" s="31">
        <f t="shared" si="5"/>
        <v>9393663.9435644858</v>
      </c>
      <c r="AB50" s="31">
        <v>221494.61000000002</v>
      </c>
      <c r="AD50" s="42" t="s">
        <v>533</v>
      </c>
      <c r="AE50" s="42" t="s">
        <v>534</v>
      </c>
      <c r="AF50" s="43" t="s">
        <v>1275</v>
      </c>
      <c r="AG50" s="44">
        <v>34</v>
      </c>
      <c r="AH50" s="31">
        <v>6772098.5975409392</v>
      </c>
      <c r="AI50" s="31">
        <v>280890.81999999995</v>
      </c>
      <c r="AJ50" s="31">
        <v>233869.56</v>
      </c>
      <c r="AK50" s="31">
        <v>22294.100000000002</v>
      </c>
      <c r="AL50" s="31">
        <v>1037945.5230457968</v>
      </c>
      <c r="AM50" s="31">
        <v>440375.78475001547</v>
      </c>
      <c r="AN50" s="31">
        <v>538605.17204820307</v>
      </c>
      <c r="AO50" s="31">
        <f t="shared" si="6"/>
        <v>9551505.4173849542</v>
      </c>
      <c r="AP50" s="31">
        <v>225425.86000000002</v>
      </c>
      <c r="AR50" s="42" t="s">
        <v>533</v>
      </c>
      <c r="AS50" s="42" t="s">
        <v>534</v>
      </c>
      <c r="AT50" s="43" t="s">
        <v>1276</v>
      </c>
      <c r="AU50" s="44">
        <v>34</v>
      </c>
      <c r="AV50" s="31">
        <v>6898676.4953865744</v>
      </c>
      <c r="AW50" s="31">
        <v>286016.55999999994</v>
      </c>
      <c r="AX50" s="31">
        <v>238181.93</v>
      </c>
      <c r="AY50" s="31">
        <v>22705.190000000002</v>
      </c>
      <c r="AZ50" s="31">
        <v>1057184.9015056153</v>
      </c>
      <c r="BA50" s="31">
        <v>440400.23895945557</v>
      </c>
      <c r="BB50" s="31">
        <v>548605.63164208713</v>
      </c>
      <c r="BC50" s="31">
        <f t="shared" si="7"/>
        <v>9721407.1674937326</v>
      </c>
      <c r="BD50" s="31">
        <v>229636.22000000003</v>
      </c>
    </row>
    <row r="51" spans="2:56">
      <c r="B51" s="42" t="s">
        <v>491</v>
      </c>
      <c r="C51" s="42" t="s">
        <v>492</v>
      </c>
      <c r="D51" s="43" t="s">
        <v>1049</v>
      </c>
      <c r="E51" s="44">
        <v>34</v>
      </c>
      <c r="F51" s="31">
        <v>13185159.208482901</v>
      </c>
      <c r="G51" s="31">
        <v>566352.5199999999</v>
      </c>
      <c r="H51" s="31">
        <v>23707.32</v>
      </c>
      <c r="I51" s="31">
        <v>47515.519999999982</v>
      </c>
      <c r="J51" s="31">
        <v>2142681.5994578665</v>
      </c>
      <c r="K51" s="31">
        <v>1561149.3770833279</v>
      </c>
      <c r="L51" s="31">
        <v>1304764.8941347373</v>
      </c>
      <c r="M51" s="31">
        <f t="shared" si="4"/>
        <v>19160105.439158831</v>
      </c>
      <c r="N51" s="31">
        <v>328775</v>
      </c>
      <c r="P51" s="42" t="s">
        <v>491</v>
      </c>
      <c r="Q51" s="42" t="s">
        <v>492</v>
      </c>
      <c r="R51" s="43" t="s">
        <v>1050</v>
      </c>
      <c r="S51" s="44">
        <v>34</v>
      </c>
      <c r="T51" s="31">
        <v>14178223.158743501</v>
      </c>
      <c r="U51" s="31">
        <v>608266.04</v>
      </c>
      <c r="V51" s="31">
        <v>25239.78</v>
      </c>
      <c r="W51" s="31">
        <v>50586.96</v>
      </c>
      <c r="X51" s="31">
        <v>2269724.9463185938</v>
      </c>
      <c r="Y51" s="31">
        <v>1565181.7922554517</v>
      </c>
      <c r="Z51" s="31">
        <v>1398032.9184694889</v>
      </c>
      <c r="AA51" s="31">
        <f t="shared" si="5"/>
        <v>20439979.045787033</v>
      </c>
      <c r="AB51" s="31">
        <v>344723.45</v>
      </c>
      <c r="AD51" s="42" t="s">
        <v>491</v>
      </c>
      <c r="AE51" s="42" t="s">
        <v>492</v>
      </c>
      <c r="AF51" s="43" t="s">
        <v>1275</v>
      </c>
      <c r="AG51" s="44">
        <v>34</v>
      </c>
      <c r="AH51" s="31">
        <v>14435400.333766494</v>
      </c>
      <c r="AI51" s="31">
        <v>618842.54</v>
      </c>
      <c r="AJ51" s="31">
        <v>25681.940000000002</v>
      </c>
      <c r="AK51" s="31">
        <v>51473.17</v>
      </c>
      <c r="AL51" s="31">
        <v>2309713.3949978179</v>
      </c>
      <c r="AM51" s="31">
        <v>1562118.2442918348</v>
      </c>
      <c r="AN51" s="31">
        <v>1422694.9022292076</v>
      </c>
      <c r="AO51" s="31">
        <f t="shared" si="6"/>
        <v>20776766.375285354</v>
      </c>
      <c r="AP51" s="31">
        <v>350841.85</v>
      </c>
      <c r="AR51" s="42" t="s">
        <v>491</v>
      </c>
      <c r="AS51" s="42" t="s">
        <v>492</v>
      </c>
      <c r="AT51" s="43" t="s">
        <v>1276</v>
      </c>
      <c r="AU51" s="44">
        <v>34</v>
      </c>
      <c r="AV51" s="31">
        <v>14710342.06070628</v>
      </c>
      <c r="AW51" s="31">
        <v>630169.97</v>
      </c>
      <c r="AX51" s="31">
        <v>26155.489999999998</v>
      </c>
      <c r="AY51" s="31">
        <v>52422.29</v>
      </c>
      <c r="AZ51" s="31">
        <v>2352540.8749171016</v>
      </c>
      <c r="BA51" s="31">
        <v>1562205.7742336523</v>
      </c>
      <c r="BB51" s="31">
        <v>1449107.0836818658</v>
      </c>
      <c r="BC51" s="31">
        <f t="shared" si="7"/>
        <v>21140338.203538898</v>
      </c>
      <c r="BD51" s="31">
        <v>357394.66</v>
      </c>
    </row>
    <row r="52" spans="2:56">
      <c r="B52" s="42" t="s">
        <v>401</v>
      </c>
      <c r="C52" s="42" t="s">
        <v>402</v>
      </c>
      <c r="D52" s="43" t="s">
        <v>1049</v>
      </c>
      <c r="E52" s="44">
        <v>34</v>
      </c>
      <c r="F52" s="31">
        <v>4874307.9428666057</v>
      </c>
      <c r="G52" s="31">
        <v>236643.2699999999</v>
      </c>
      <c r="H52" s="31">
        <v>0</v>
      </c>
      <c r="I52" s="31">
        <v>15086.54</v>
      </c>
      <c r="J52" s="31">
        <v>658433.69628310541</v>
      </c>
      <c r="K52" s="31">
        <v>686676.3555047285</v>
      </c>
      <c r="L52" s="31">
        <v>482923.43812768772</v>
      </c>
      <c r="M52" s="31">
        <f t="shared" si="4"/>
        <v>7113342.1027821284</v>
      </c>
      <c r="N52" s="31">
        <v>159270.85999999999</v>
      </c>
      <c r="P52" s="42" t="s">
        <v>401</v>
      </c>
      <c r="Q52" s="42" t="s">
        <v>402</v>
      </c>
      <c r="R52" s="43" t="s">
        <v>1050</v>
      </c>
      <c r="S52" s="44">
        <v>34</v>
      </c>
      <c r="T52" s="31">
        <v>5234929.6854678737</v>
      </c>
      <c r="U52" s="31">
        <v>254254.39999999991</v>
      </c>
      <c r="V52" s="31">
        <v>0</v>
      </c>
      <c r="W52" s="31">
        <v>16054.44</v>
      </c>
      <c r="X52" s="31">
        <v>697331.63405545498</v>
      </c>
      <c r="Y52" s="31">
        <v>688374.84585748543</v>
      </c>
      <c r="Z52" s="31">
        <v>517485.33881524863</v>
      </c>
      <c r="AA52" s="31">
        <f t="shared" si="5"/>
        <v>7575490.4041960621</v>
      </c>
      <c r="AB52" s="31">
        <v>167060.06</v>
      </c>
      <c r="AD52" s="42" t="s">
        <v>401</v>
      </c>
      <c r="AE52" s="42" t="s">
        <v>402</v>
      </c>
      <c r="AF52" s="43" t="s">
        <v>1275</v>
      </c>
      <c r="AG52" s="44">
        <v>34</v>
      </c>
      <c r="AH52" s="31">
        <v>5327943.7239436526</v>
      </c>
      <c r="AI52" s="31">
        <v>258710.70000000004</v>
      </c>
      <c r="AJ52" s="31">
        <v>0</v>
      </c>
      <c r="AK52" s="31">
        <v>16338.119999999999</v>
      </c>
      <c r="AL52" s="31">
        <v>709702.68841492431</v>
      </c>
      <c r="AM52" s="31">
        <v>687057.08102273545</v>
      </c>
      <c r="AN52" s="31">
        <v>526681.12920677988</v>
      </c>
      <c r="AO52" s="31">
        <f t="shared" si="6"/>
        <v>7696481.7325880928</v>
      </c>
      <c r="AP52" s="31">
        <v>170048.29</v>
      </c>
      <c r="AR52" s="42" t="s">
        <v>401</v>
      </c>
      <c r="AS52" s="42" t="s">
        <v>402</v>
      </c>
      <c r="AT52" s="43" t="s">
        <v>1276</v>
      </c>
      <c r="AU52" s="44">
        <v>34</v>
      </c>
      <c r="AV52" s="31">
        <v>5427527.1391594084</v>
      </c>
      <c r="AW52" s="31">
        <v>263483.40999999992</v>
      </c>
      <c r="AX52" s="31">
        <v>0</v>
      </c>
      <c r="AY52" s="31">
        <v>16641.939999999999</v>
      </c>
      <c r="AZ52" s="31">
        <v>722952.00975542516</v>
      </c>
      <c r="BA52" s="31">
        <v>687094.73144658539</v>
      </c>
      <c r="BB52" s="31">
        <v>536529.53709350969</v>
      </c>
      <c r="BC52" s="31">
        <f t="shared" si="7"/>
        <v>7827477.4374549296</v>
      </c>
      <c r="BD52" s="31">
        <v>173248.66999999998</v>
      </c>
    </row>
    <row r="53" spans="2:56">
      <c r="B53" s="42" t="s">
        <v>411</v>
      </c>
      <c r="C53" s="42" t="s">
        <v>412</v>
      </c>
      <c r="D53" s="43" t="s">
        <v>1049</v>
      </c>
      <c r="E53" s="44">
        <v>34</v>
      </c>
      <c r="F53" s="31">
        <v>4389923.7713699294</v>
      </c>
      <c r="G53" s="31">
        <v>60542.880000000005</v>
      </c>
      <c r="H53" s="31">
        <v>50908.57</v>
      </c>
      <c r="I53" s="31">
        <v>14232.510000000002</v>
      </c>
      <c r="J53" s="31">
        <v>452357.01402670756</v>
      </c>
      <c r="K53" s="31">
        <v>216731.34885787385</v>
      </c>
      <c r="L53" s="31">
        <v>0</v>
      </c>
      <c r="M53" s="31">
        <f t="shared" si="4"/>
        <v>5184696.0942545114</v>
      </c>
      <c r="N53" s="31">
        <v>0</v>
      </c>
      <c r="P53" s="42" t="s">
        <v>411</v>
      </c>
      <c r="Q53" s="42" t="s">
        <v>412</v>
      </c>
      <c r="R53" s="43" t="s">
        <v>1050</v>
      </c>
      <c r="S53" s="44">
        <v>34</v>
      </c>
      <c r="T53" s="31">
        <v>4638980.8993613664</v>
      </c>
      <c r="U53" s="31">
        <v>63917.69</v>
      </c>
      <c r="V53" s="31">
        <v>53746.33</v>
      </c>
      <c r="W53" s="31">
        <v>15025.86</v>
      </c>
      <c r="X53" s="31">
        <v>475860.02170272527</v>
      </c>
      <c r="Y53" s="31">
        <v>217238.00127321866</v>
      </c>
      <c r="Z53" s="31">
        <v>0</v>
      </c>
      <c r="AA53" s="31">
        <f t="shared" si="5"/>
        <v>5464768.8023373112</v>
      </c>
      <c r="AB53" s="31">
        <v>0</v>
      </c>
      <c r="AD53" s="42" t="s">
        <v>411</v>
      </c>
      <c r="AE53" s="42" t="s">
        <v>412</v>
      </c>
      <c r="AF53" s="43" t="s">
        <v>1275</v>
      </c>
      <c r="AG53" s="44">
        <v>34</v>
      </c>
      <c r="AH53" s="31">
        <v>4721134.4271436809</v>
      </c>
      <c r="AI53" s="31">
        <v>65048.22</v>
      </c>
      <c r="AJ53" s="31">
        <v>54696.960000000006</v>
      </c>
      <c r="AK53" s="31">
        <v>15291.630000000001</v>
      </c>
      <c r="AL53" s="31">
        <v>484296.11935155693</v>
      </c>
      <c r="AM53" s="31">
        <v>216846.49428426867</v>
      </c>
      <c r="AN53" s="31">
        <v>0</v>
      </c>
      <c r="AO53" s="31">
        <f t="shared" si="6"/>
        <v>5557313.8507795054</v>
      </c>
      <c r="AP53" s="31">
        <v>0</v>
      </c>
      <c r="AR53" s="42" t="s">
        <v>411</v>
      </c>
      <c r="AS53" s="42" t="s">
        <v>412</v>
      </c>
      <c r="AT53" s="43" t="s">
        <v>1276</v>
      </c>
      <c r="AU53" s="44">
        <v>34</v>
      </c>
      <c r="AV53" s="31">
        <v>4809119.8148015104</v>
      </c>
      <c r="AW53" s="31">
        <v>66259.020000000019</v>
      </c>
      <c r="AX53" s="31">
        <v>55715.08</v>
      </c>
      <c r="AY53" s="31">
        <v>15576.26</v>
      </c>
      <c r="AZ53" s="31">
        <v>493331.07421156135</v>
      </c>
      <c r="BA53" s="31">
        <v>216857.68019823867</v>
      </c>
      <c r="BB53" s="31">
        <v>0</v>
      </c>
      <c r="BC53" s="31">
        <f t="shared" si="7"/>
        <v>5656858.9292113092</v>
      </c>
      <c r="BD53" s="31">
        <v>0</v>
      </c>
    </row>
    <row r="54" spans="2:56">
      <c r="B54" s="42" t="s">
        <v>157</v>
      </c>
      <c r="C54" s="42" t="s">
        <v>158</v>
      </c>
      <c r="D54" s="43" t="s">
        <v>1049</v>
      </c>
      <c r="E54" s="44">
        <v>34</v>
      </c>
      <c r="F54" s="31">
        <v>1527751.2586801329</v>
      </c>
      <c r="G54" s="31">
        <v>51352.32</v>
      </c>
      <c r="H54" s="31">
        <v>3215.6</v>
      </c>
      <c r="I54" s="31">
        <v>4579.8100000000004</v>
      </c>
      <c r="J54" s="31">
        <v>210533.79901758637</v>
      </c>
      <c r="K54" s="31">
        <v>56006.816169358382</v>
      </c>
      <c r="L54" s="31">
        <v>0</v>
      </c>
      <c r="M54" s="31">
        <f t="shared" si="4"/>
        <v>1853439.6038670777</v>
      </c>
      <c r="N54" s="31">
        <v>0</v>
      </c>
      <c r="P54" s="42" t="s">
        <v>157</v>
      </c>
      <c r="Q54" s="42" t="s">
        <v>158</v>
      </c>
      <c r="R54" s="43" t="s">
        <v>1050</v>
      </c>
      <c r="S54" s="44">
        <v>34</v>
      </c>
      <c r="T54" s="31">
        <v>1648780.8430622332</v>
      </c>
      <c r="U54" s="31">
        <v>54685.560000000005</v>
      </c>
      <c r="V54" s="31">
        <v>3424.3399999999997</v>
      </c>
      <c r="W54" s="31">
        <v>4877.0899999999992</v>
      </c>
      <c r="X54" s="31">
        <v>222987.22857008048</v>
      </c>
      <c r="Y54" s="31">
        <v>56116.299822207329</v>
      </c>
      <c r="Z54" s="31">
        <v>0</v>
      </c>
      <c r="AA54" s="31">
        <f t="shared" si="5"/>
        <v>1990871.3614545211</v>
      </c>
      <c r="AB54" s="31">
        <v>0</v>
      </c>
      <c r="AD54" s="42" t="s">
        <v>157</v>
      </c>
      <c r="AE54" s="42" t="s">
        <v>158</v>
      </c>
      <c r="AF54" s="43" t="s">
        <v>1275</v>
      </c>
      <c r="AG54" s="44">
        <v>34</v>
      </c>
      <c r="AH54" s="31">
        <v>1677725.7945300043</v>
      </c>
      <c r="AI54" s="31">
        <v>55638.990000000005</v>
      </c>
      <c r="AJ54" s="31">
        <v>3484.05</v>
      </c>
      <c r="AK54" s="31">
        <v>4962.13</v>
      </c>
      <c r="AL54" s="31">
        <v>226896.61916333879</v>
      </c>
      <c r="AM54" s="31">
        <v>56033.121774457337</v>
      </c>
      <c r="AN54" s="31">
        <v>0</v>
      </c>
      <c r="AO54" s="31">
        <f t="shared" si="6"/>
        <v>2024740.7054678004</v>
      </c>
      <c r="AP54" s="31">
        <v>0</v>
      </c>
      <c r="AR54" s="42" t="s">
        <v>157</v>
      </c>
      <c r="AS54" s="42" t="s">
        <v>158</v>
      </c>
      <c r="AT54" s="43" t="s">
        <v>1276</v>
      </c>
      <c r="AU54" s="44">
        <v>34</v>
      </c>
      <c r="AV54" s="31">
        <v>1708725.4593377868</v>
      </c>
      <c r="AW54" s="31">
        <v>56660.12000000001</v>
      </c>
      <c r="AX54" s="31">
        <v>3547.98</v>
      </c>
      <c r="AY54" s="31">
        <v>5053.1900000000005</v>
      </c>
      <c r="AZ54" s="31">
        <v>231083.52526885486</v>
      </c>
      <c r="BA54" s="31">
        <v>56035.498290107338</v>
      </c>
      <c r="BB54" s="31">
        <v>0</v>
      </c>
      <c r="BC54" s="31">
        <f t="shared" si="7"/>
        <v>2061105.772896749</v>
      </c>
      <c r="BD54" s="31">
        <v>0</v>
      </c>
    </row>
    <row r="55" spans="2:56">
      <c r="B55" s="42" t="s">
        <v>127</v>
      </c>
      <c r="C55" s="42" t="s">
        <v>128</v>
      </c>
      <c r="D55" s="43" t="s">
        <v>1049</v>
      </c>
      <c r="E55" s="44">
        <v>34</v>
      </c>
      <c r="F55" s="31">
        <v>2547115.7377046687</v>
      </c>
      <c r="G55" s="31">
        <v>55639.81</v>
      </c>
      <c r="H55" s="31">
        <v>0</v>
      </c>
      <c r="I55" s="31">
        <v>6138.8899999999994</v>
      </c>
      <c r="J55" s="31">
        <v>193612.51293849712</v>
      </c>
      <c r="K55" s="31">
        <v>300728.23419932398</v>
      </c>
      <c r="L55" s="31">
        <v>151861.39887626271</v>
      </c>
      <c r="M55" s="31">
        <f t="shared" si="4"/>
        <v>3255096.583718753</v>
      </c>
      <c r="N55" s="31">
        <v>0</v>
      </c>
      <c r="P55" s="42" t="s">
        <v>127</v>
      </c>
      <c r="Q55" s="42" t="s">
        <v>128</v>
      </c>
      <c r="R55" s="43" t="s">
        <v>1050</v>
      </c>
      <c r="S55" s="44">
        <v>34</v>
      </c>
      <c r="T55" s="31">
        <v>2706948.490327416</v>
      </c>
      <c r="U55" s="31">
        <v>59251.35</v>
      </c>
      <c r="V55" s="31">
        <v>0</v>
      </c>
      <c r="W55" s="31">
        <v>6537.38</v>
      </c>
      <c r="X55" s="31">
        <v>205103.14953951738</v>
      </c>
      <c r="Y55" s="31">
        <v>301341.90539862198</v>
      </c>
      <c r="Z55" s="31">
        <v>161196.12702292023</v>
      </c>
      <c r="AA55" s="31">
        <f t="shared" si="5"/>
        <v>3440378.4022884755</v>
      </c>
      <c r="AB55" s="31">
        <v>0</v>
      </c>
      <c r="AD55" s="42" t="s">
        <v>127</v>
      </c>
      <c r="AE55" s="42" t="s">
        <v>128</v>
      </c>
      <c r="AF55" s="43" t="s">
        <v>1275</v>
      </c>
      <c r="AG55" s="44">
        <v>34</v>
      </c>
      <c r="AH55" s="31">
        <v>2754451.0909991227</v>
      </c>
      <c r="AI55" s="31">
        <v>60284.39</v>
      </c>
      <c r="AJ55" s="31">
        <v>0</v>
      </c>
      <c r="AK55" s="31">
        <v>6651.35</v>
      </c>
      <c r="AL55" s="31">
        <v>208706.45463154159</v>
      </c>
      <c r="AM55" s="31">
        <v>300875.68079805601</v>
      </c>
      <c r="AN55" s="31">
        <v>164032.54849020985</v>
      </c>
      <c r="AO55" s="31">
        <f t="shared" si="6"/>
        <v>3495001.5149189304</v>
      </c>
      <c r="AP55" s="31">
        <v>0</v>
      </c>
      <c r="AR55" s="42" t="s">
        <v>127</v>
      </c>
      <c r="AS55" s="42" t="s">
        <v>128</v>
      </c>
      <c r="AT55" s="43" t="s">
        <v>1276</v>
      </c>
      <c r="AU55" s="44">
        <v>34</v>
      </c>
      <c r="AV55" s="31">
        <v>2805308.6269647349</v>
      </c>
      <c r="AW55" s="31">
        <v>61390.770000000004</v>
      </c>
      <c r="AX55" s="31">
        <v>0</v>
      </c>
      <c r="AY55" s="31">
        <v>6773.42</v>
      </c>
      <c r="AZ55" s="31">
        <v>212565.57856059508</v>
      </c>
      <c r="BA55" s="31">
        <v>300889.00150092936</v>
      </c>
      <c r="BB55" s="31">
        <v>167070.25915227702</v>
      </c>
      <c r="BC55" s="31">
        <f t="shared" si="7"/>
        <v>3553997.6561785359</v>
      </c>
      <c r="BD55" s="31">
        <v>0</v>
      </c>
    </row>
    <row r="56" spans="2:56">
      <c r="B56" s="42" t="s">
        <v>169</v>
      </c>
      <c r="C56" s="42" t="s">
        <v>170</v>
      </c>
      <c r="D56" s="43" t="s">
        <v>1049</v>
      </c>
      <c r="E56" s="44">
        <v>34</v>
      </c>
      <c r="F56" s="31">
        <v>9160496.5552699007</v>
      </c>
      <c r="G56" s="31">
        <v>234966.65999999997</v>
      </c>
      <c r="H56" s="31">
        <v>49150.63</v>
      </c>
      <c r="I56" s="31">
        <v>30913.730000000003</v>
      </c>
      <c r="J56" s="31">
        <v>1370074.2391633033</v>
      </c>
      <c r="K56" s="31">
        <v>465687.19539049524</v>
      </c>
      <c r="L56" s="31">
        <v>148342.20255037345</v>
      </c>
      <c r="M56" s="31">
        <f t="shared" si="4"/>
        <v>11476867.292374074</v>
      </c>
      <c r="N56" s="31">
        <v>17236.080000000002</v>
      </c>
      <c r="P56" s="42" t="s">
        <v>169</v>
      </c>
      <c r="Q56" s="42" t="s">
        <v>170</v>
      </c>
      <c r="R56" s="43" t="s">
        <v>1050</v>
      </c>
      <c r="S56" s="44">
        <v>34</v>
      </c>
      <c r="T56" s="31">
        <v>9748980.6844301205</v>
      </c>
      <c r="U56" s="31">
        <v>250245.52</v>
      </c>
      <c r="V56" s="31">
        <v>52293.119999999995</v>
      </c>
      <c r="W56" s="31">
        <v>32890.25</v>
      </c>
      <c r="X56" s="31">
        <v>1450988.3058930882</v>
      </c>
      <c r="Y56" s="31">
        <v>466608.45196643478</v>
      </c>
      <c r="Z56" s="31">
        <v>157390.83378447089</v>
      </c>
      <c r="AA56" s="31">
        <f t="shared" si="5"/>
        <v>12177479.276074111</v>
      </c>
      <c r="AB56" s="31">
        <v>18082.110000000004</v>
      </c>
      <c r="AD56" s="42" t="s">
        <v>169</v>
      </c>
      <c r="AE56" s="42" t="s">
        <v>170</v>
      </c>
      <c r="AF56" s="43" t="s">
        <v>1275</v>
      </c>
      <c r="AG56" s="44">
        <v>34</v>
      </c>
      <c r="AH56" s="31">
        <v>9929079.9409592114</v>
      </c>
      <c r="AI56" s="31">
        <v>254680.66000000003</v>
      </c>
      <c r="AJ56" s="31">
        <v>53220.72</v>
      </c>
      <c r="AK56" s="31">
        <v>33473.670000000006</v>
      </c>
      <c r="AL56" s="31">
        <v>1476799.9152327718</v>
      </c>
      <c r="AM56" s="31">
        <v>465893.69988227671</v>
      </c>
      <c r="AN56" s="31">
        <v>160194.35425536931</v>
      </c>
      <c r="AO56" s="31">
        <f t="shared" si="6"/>
        <v>12391749.640329629</v>
      </c>
      <c r="AP56" s="31">
        <v>18406.680000000004</v>
      </c>
      <c r="AR56" s="42" t="s">
        <v>169</v>
      </c>
      <c r="AS56" s="42" t="s">
        <v>170</v>
      </c>
      <c r="AT56" s="43" t="s">
        <v>1276</v>
      </c>
      <c r="AU56" s="44">
        <v>34</v>
      </c>
      <c r="AV56" s="31">
        <v>10121513.586050062</v>
      </c>
      <c r="AW56" s="31">
        <v>259430.69999999998</v>
      </c>
      <c r="AX56" s="31">
        <v>54214.18</v>
      </c>
      <c r="AY56" s="31">
        <v>34098.520000000004</v>
      </c>
      <c r="AZ56" s="31">
        <v>1504444.0500881085</v>
      </c>
      <c r="BA56" s="31">
        <v>465914.12137039553</v>
      </c>
      <c r="BB56" s="31">
        <v>163196.83927030145</v>
      </c>
      <c r="BC56" s="31">
        <f t="shared" si="7"/>
        <v>12621566.296778867</v>
      </c>
      <c r="BD56" s="31">
        <v>18754.300000000007</v>
      </c>
    </row>
    <row r="57" spans="2:56">
      <c r="B57" s="42" t="s">
        <v>45</v>
      </c>
      <c r="C57" s="42" t="s">
        <v>46</v>
      </c>
      <c r="D57" s="43" t="s">
        <v>1049</v>
      </c>
      <c r="E57" s="44">
        <v>34</v>
      </c>
      <c r="F57" s="31">
        <v>3430031.1514204848</v>
      </c>
      <c r="G57" s="31">
        <v>114202.90000000002</v>
      </c>
      <c r="H57" s="31">
        <v>0</v>
      </c>
      <c r="I57" s="31">
        <v>8672.41</v>
      </c>
      <c r="J57" s="31">
        <v>277731.14619303163</v>
      </c>
      <c r="K57" s="31">
        <v>114891.53201593457</v>
      </c>
      <c r="L57" s="31">
        <v>33741.919104134184</v>
      </c>
      <c r="M57" s="31">
        <f t="shared" si="4"/>
        <v>4041049.7387335855</v>
      </c>
      <c r="N57" s="31">
        <v>61778.68</v>
      </c>
      <c r="P57" s="42" t="s">
        <v>45</v>
      </c>
      <c r="Q57" s="42" t="s">
        <v>46</v>
      </c>
      <c r="R57" s="43" t="s">
        <v>1050</v>
      </c>
      <c r="S57" s="44">
        <v>34</v>
      </c>
      <c r="T57" s="31">
        <v>3670514.7771246815</v>
      </c>
      <c r="U57" s="31">
        <v>122642.43999999997</v>
      </c>
      <c r="V57" s="31">
        <v>0</v>
      </c>
      <c r="W57" s="31">
        <v>9235.32</v>
      </c>
      <c r="X57" s="31">
        <v>294219.67310138885</v>
      </c>
      <c r="Y57" s="31">
        <v>115120.18408460738</v>
      </c>
      <c r="Z57" s="31">
        <v>36127.326108012639</v>
      </c>
      <c r="AA57" s="31">
        <f t="shared" si="5"/>
        <v>4312621.6604186902</v>
      </c>
      <c r="AB57" s="31">
        <v>64761.939999999995</v>
      </c>
      <c r="AD57" s="42" t="s">
        <v>45</v>
      </c>
      <c r="AE57" s="42" t="s">
        <v>46</v>
      </c>
      <c r="AF57" s="43" t="s">
        <v>1275</v>
      </c>
      <c r="AG57" s="44">
        <v>34</v>
      </c>
      <c r="AH57" s="31">
        <v>3741996.5971656879</v>
      </c>
      <c r="AI57" s="31">
        <v>124765.32999999997</v>
      </c>
      <c r="AJ57" s="31">
        <v>0</v>
      </c>
      <c r="AK57" s="31">
        <v>9396.33</v>
      </c>
      <c r="AL57" s="31">
        <v>299392.56303337734</v>
      </c>
      <c r="AM57" s="31">
        <v>114946.47018128666</v>
      </c>
      <c r="AN57" s="31">
        <v>36763.005547797693</v>
      </c>
      <c r="AO57" s="31">
        <f t="shared" si="6"/>
        <v>4393166.7159281494</v>
      </c>
      <c r="AP57" s="31">
        <v>65906.42</v>
      </c>
      <c r="AR57" s="42" t="s">
        <v>45</v>
      </c>
      <c r="AS57" s="42" t="s">
        <v>46</v>
      </c>
      <c r="AT57" s="43" t="s">
        <v>1276</v>
      </c>
      <c r="AU57" s="44">
        <v>34</v>
      </c>
      <c r="AV57" s="31">
        <v>3818087.5060442928</v>
      </c>
      <c r="AW57" s="31">
        <v>127038.92999999996</v>
      </c>
      <c r="AX57" s="31">
        <v>0</v>
      </c>
      <c r="AY57" s="31">
        <v>9568.7799999999988</v>
      </c>
      <c r="AZ57" s="31">
        <v>304932.73327468097</v>
      </c>
      <c r="BA57" s="31">
        <v>114951.43343566725</v>
      </c>
      <c r="BB57" s="31">
        <v>37443.796719807477</v>
      </c>
      <c r="BC57" s="31">
        <f t="shared" si="7"/>
        <v>4479155.339474448</v>
      </c>
      <c r="BD57" s="31">
        <v>67132.160000000003</v>
      </c>
    </row>
    <row r="58" spans="2:56">
      <c r="B58" s="42" t="s">
        <v>303</v>
      </c>
      <c r="C58" s="42" t="s">
        <v>304</v>
      </c>
      <c r="D58" s="43" t="s">
        <v>1049</v>
      </c>
      <c r="E58" s="44">
        <v>34</v>
      </c>
      <c r="F58" s="31">
        <v>1910430.6572916026</v>
      </c>
      <c r="G58" s="31">
        <v>27339.09</v>
      </c>
      <c r="H58" s="31">
        <v>0</v>
      </c>
      <c r="I58" s="31">
        <v>2522.06</v>
      </c>
      <c r="J58" s="31">
        <v>102795.59651943565</v>
      </c>
      <c r="K58" s="31">
        <v>528604.00680148334</v>
      </c>
      <c r="L58" s="31">
        <v>63683.5688976737</v>
      </c>
      <c r="M58" s="31">
        <f t="shared" si="4"/>
        <v>2647178.1795101957</v>
      </c>
      <c r="N58" s="31">
        <v>11803.2</v>
      </c>
      <c r="P58" s="42" t="s">
        <v>303</v>
      </c>
      <c r="Q58" s="42" t="s">
        <v>304</v>
      </c>
      <c r="R58" s="43" t="s">
        <v>1050</v>
      </c>
      <c r="S58" s="44">
        <v>34</v>
      </c>
      <c r="T58" s="31">
        <v>2026633.6479084746</v>
      </c>
      <c r="U58" s="31">
        <v>29296.720000000008</v>
      </c>
      <c r="V58" s="31">
        <v>0</v>
      </c>
      <c r="W58" s="31">
        <v>2685.09</v>
      </c>
      <c r="X58" s="31">
        <v>108893.91248667118</v>
      </c>
      <c r="Y58" s="31">
        <v>530001.7415992202</v>
      </c>
      <c r="Z58" s="31">
        <v>67591.67506025474</v>
      </c>
      <c r="AA58" s="31">
        <f t="shared" si="5"/>
        <v>2777478.5470546205</v>
      </c>
      <c r="AB58" s="31">
        <v>12375.76</v>
      </c>
      <c r="AD58" s="42" t="s">
        <v>303</v>
      </c>
      <c r="AE58" s="42" t="s">
        <v>304</v>
      </c>
      <c r="AF58" s="43" t="s">
        <v>1275</v>
      </c>
      <c r="AG58" s="44">
        <v>34</v>
      </c>
      <c r="AH58" s="31">
        <v>2061855.0376322418</v>
      </c>
      <c r="AI58" s="31">
        <v>29807.110000000004</v>
      </c>
      <c r="AJ58" s="31">
        <v>0</v>
      </c>
      <c r="AK58" s="31">
        <v>2732.13</v>
      </c>
      <c r="AL58" s="31">
        <v>110812.56306851436</v>
      </c>
      <c r="AM58" s="31">
        <v>528939.84013062029</v>
      </c>
      <c r="AN58" s="31">
        <v>68784.163644393426</v>
      </c>
      <c r="AO58" s="31">
        <f t="shared" si="6"/>
        <v>2815526.2544757701</v>
      </c>
      <c r="AP58" s="31">
        <v>12595.41</v>
      </c>
      <c r="AR58" s="42" t="s">
        <v>303</v>
      </c>
      <c r="AS58" s="42" t="s">
        <v>304</v>
      </c>
      <c r="AT58" s="43" t="s">
        <v>1276</v>
      </c>
      <c r="AU58" s="44">
        <v>34</v>
      </c>
      <c r="AV58" s="31">
        <v>2099580.7651533666</v>
      </c>
      <c r="AW58" s="31">
        <v>30353.730000000003</v>
      </c>
      <c r="AX58" s="31">
        <v>0</v>
      </c>
      <c r="AY58" s="31">
        <v>2782.5099999999998</v>
      </c>
      <c r="AZ58" s="31">
        <v>112867.42966076569</v>
      </c>
      <c r="BA58" s="31">
        <v>528970.18017258018</v>
      </c>
      <c r="BB58" s="31">
        <v>70061.279128205962</v>
      </c>
      <c r="BC58" s="31">
        <f t="shared" si="7"/>
        <v>2857446.564114918</v>
      </c>
      <c r="BD58" s="31">
        <v>12830.67</v>
      </c>
    </row>
    <row r="59" spans="2:56">
      <c r="B59" s="42" t="s">
        <v>103</v>
      </c>
      <c r="C59" s="42" t="s">
        <v>104</v>
      </c>
      <c r="D59" s="43" t="s">
        <v>1049</v>
      </c>
      <c r="E59" s="44">
        <v>34</v>
      </c>
      <c r="F59" s="31">
        <v>2857128.154405233</v>
      </c>
      <c r="G59" s="31">
        <v>83126.900000000009</v>
      </c>
      <c r="H59" s="31">
        <v>0</v>
      </c>
      <c r="I59" s="31">
        <v>0</v>
      </c>
      <c r="J59" s="31">
        <v>240388.16719346348</v>
      </c>
      <c r="K59" s="31">
        <v>129473.50271876868</v>
      </c>
      <c r="L59" s="31">
        <v>73862.921473186085</v>
      </c>
      <c r="M59" s="31">
        <f t="shared" si="4"/>
        <v>3456211.2857906511</v>
      </c>
      <c r="N59" s="31">
        <v>72231.64</v>
      </c>
      <c r="P59" s="42" t="s">
        <v>103</v>
      </c>
      <c r="Q59" s="42" t="s">
        <v>104</v>
      </c>
      <c r="R59" s="43" t="s">
        <v>1050</v>
      </c>
      <c r="S59" s="44">
        <v>34</v>
      </c>
      <c r="T59" s="31">
        <v>3056849.7946148077</v>
      </c>
      <c r="U59" s="31">
        <v>89665.590000000011</v>
      </c>
      <c r="V59" s="31">
        <v>0</v>
      </c>
      <c r="W59" s="31">
        <v>0</v>
      </c>
      <c r="X59" s="31">
        <v>254648.91678290436</v>
      </c>
      <c r="Y59" s="31">
        <v>129676.71522008699</v>
      </c>
      <c r="Z59" s="31">
        <v>79147.889560725656</v>
      </c>
      <c r="AA59" s="31">
        <f t="shared" si="5"/>
        <v>3685724.4061785247</v>
      </c>
      <c r="AB59" s="31">
        <v>75735.499999999985</v>
      </c>
      <c r="AD59" s="42" t="s">
        <v>103</v>
      </c>
      <c r="AE59" s="42" t="s">
        <v>104</v>
      </c>
      <c r="AF59" s="43" t="s">
        <v>1275</v>
      </c>
      <c r="AG59" s="44">
        <v>34</v>
      </c>
      <c r="AH59" s="31">
        <v>3115092.5159958573</v>
      </c>
      <c r="AI59" s="31">
        <v>91218.940000000046</v>
      </c>
      <c r="AJ59" s="31">
        <v>0</v>
      </c>
      <c r="AK59" s="31">
        <v>0</v>
      </c>
      <c r="AL59" s="31">
        <v>259137.72539381898</v>
      </c>
      <c r="AM59" s="31">
        <v>129522.32852674775</v>
      </c>
      <c r="AN59" s="31">
        <v>80544.204145661788</v>
      </c>
      <c r="AO59" s="31">
        <f t="shared" si="6"/>
        <v>3752595.4240620863</v>
      </c>
      <c r="AP59" s="31">
        <v>77079.709999999977</v>
      </c>
      <c r="AR59" s="42" t="s">
        <v>103</v>
      </c>
      <c r="AS59" s="42" t="s">
        <v>104</v>
      </c>
      <c r="AT59" s="43" t="s">
        <v>1276</v>
      </c>
      <c r="AU59" s="44">
        <v>34</v>
      </c>
      <c r="AV59" s="31">
        <v>3177170.0355759659</v>
      </c>
      <c r="AW59" s="31">
        <v>92882.590000000026</v>
      </c>
      <c r="AX59" s="31">
        <v>0</v>
      </c>
      <c r="AY59" s="31">
        <v>0</v>
      </c>
      <c r="AZ59" s="31">
        <v>263945.23737104097</v>
      </c>
      <c r="BA59" s="31">
        <v>129526.73957512887</v>
      </c>
      <c r="BB59" s="31">
        <v>82039.610993728333</v>
      </c>
      <c r="BC59" s="31">
        <f t="shared" si="7"/>
        <v>3824083.5735158641</v>
      </c>
      <c r="BD59" s="31">
        <v>78519.359999999986</v>
      </c>
    </row>
    <row r="60" spans="2:56">
      <c r="B60" s="42" t="s">
        <v>357</v>
      </c>
      <c r="C60" s="42" t="s">
        <v>358</v>
      </c>
      <c r="D60" s="43" t="s">
        <v>1049</v>
      </c>
      <c r="E60" s="44">
        <v>34</v>
      </c>
      <c r="F60" s="31">
        <v>3409704.4477415001</v>
      </c>
      <c r="G60" s="31">
        <v>138563.56000000006</v>
      </c>
      <c r="H60" s="31">
        <v>0</v>
      </c>
      <c r="I60" s="31">
        <v>9062.18</v>
      </c>
      <c r="J60" s="31">
        <v>391045.89287423418</v>
      </c>
      <c r="K60" s="31">
        <v>215612.36805868376</v>
      </c>
      <c r="L60" s="31">
        <v>107979.30060007858</v>
      </c>
      <c r="M60" s="31">
        <f t="shared" si="4"/>
        <v>4336864.6092744973</v>
      </c>
      <c r="N60" s="31">
        <v>64896.86</v>
      </c>
      <c r="P60" s="42" t="s">
        <v>357</v>
      </c>
      <c r="Q60" s="42" t="s">
        <v>358</v>
      </c>
      <c r="R60" s="43" t="s">
        <v>1050</v>
      </c>
      <c r="S60" s="44">
        <v>34</v>
      </c>
      <c r="T60" s="31">
        <v>3649338.8990879585</v>
      </c>
      <c r="U60" s="31">
        <v>148636.18</v>
      </c>
      <c r="V60" s="31">
        <v>0</v>
      </c>
      <c r="W60" s="31">
        <v>9650.4100000000017</v>
      </c>
      <c r="X60" s="31">
        <v>414257.0886929945</v>
      </c>
      <c r="Y60" s="31">
        <v>216031.40660786643</v>
      </c>
      <c r="Z60" s="31">
        <v>115654.13798861617</v>
      </c>
      <c r="AA60" s="31">
        <f t="shared" si="5"/>
        <v>4621598.8123774361</v>
      </c>
      <c r="AB60" s="31">
        <v>68030.69</v>
      </c>
      <c r="AD60" s="42" t="s">
        <v>357</v>
      </c>
      <c r="AE60" s="42" t="s">
        <v>358</v>
      </c>
      <c r="AF60" s="43" t="s">
        <v>1275</v>
      </c>
      <c r="AG60" s="44">
        <v>34</v>
      </c>
      <c r="AH60" s="31">
        <v>3721359.534971558</v>
      </c>
      <c r="AI60" s="31">
        <v>151211.5</v>
      </c>
      <c r="AJ60" s="31">
        <v>0</v>
      </c>
      <c r="AK60" s="31">
        <v>9818.66</v>
      </c>
      <c r="AL60" s="31">
        <v>421540.92831582273</v>
      </c>
      <c r="AM60" s="31">
        <v>215713.05032776413</v>
      </c>
      <c r="AN60" s="31">
        <v>117689.17677429251</v>
      </c>
      <c r="AO60" s="31">
        <f t="shared" si="6"/>
        <v>4706565.7803894365</v>
      </c>
      <c r="AP60" s="31">
        <v>69232.930000000008</v>
      </c>
      <c r="AR60" s="42" t="s">
        <v>357</v>
      </c>
      <c r="AS60" s="42" t="s">
        <v>358</v>
      </c>
      <c r="AT60" s="43" t="s">
        <v>1276</v>
      </c>
      <c r="AU60" s="44">
        <v>34</v>
      </c>
      <c r="AV60" s="31">
        <v>3797971.714090121</v>
      </c>
      <c r="AW60" s="31">
        <v>153969.65000000002</v>
      </c>
      <c r="AX60" s="31">
        <v>0</v>
      </c>
      <c r="AY60" s="31">
        <v>9998.86</v>
      </c>
      <c r="AZ60" s="31">
        <v>429341.93497365306</v>
      </c>
      <c r="BA60" s="31">
        <v>215722.14622148132</v>
      </c>
      <c r="BB60" s="31">
        <v>119868.63437495183</v>
      </c>
      <c r="BC60" s="31">
        <f t="shared" si="7"/>
        <v>4797393.4796602074</v>
      </c>
      <c r="BD60" s="31">
        <v>70520.539999999994</v>
      </c>
    </row>
    <row r="61" spans="2:56">
      <c r="B61" s="42" t="s">
        <v>239</v>
      </c>
      <c r="C61" s="42" t="s">
        <v>240</v>
      </c>
      <c r="D61" s="43" t="s">
        <v>1049</v>
      </c>
      <c r="E61" s="44">
        <v>34</v>
      </c>
      <c r="F61" s="31">
        <v>425635.18949655013</v>
      </c>
      <c r="G61" s="31">
        <v>0</v>
      </c>
      <c r="H61" s="31">
        <v>0</v>
      </c>
      <c r="I61" s="31">
        <v>0</v>
      </c>
      <c r="J61" s="31">
        <v>51164.771231945269</v>
      </c>
      <c r="K61" s="31">
        <v>0</v>
      </c>
      <c r="L61" s="31">
        <v>0</v>
      </c>
      <c r="M61" s="31">
        <f t="shared" si="4"/>
        <v>476799.96072849538</v>
      </c>
      <c r="N61" s="31">
        <v>0</v>
      </c>
      <c r="P61" s="42" t="s">
        <v>239</v>
      </c>
      <c r="Q61" s="42" t="s">
        <v>240</v>
      </c>
      <c r="R61" s="43" t="s">
        <v>1050</v>
      </c>
      <c r="S61" s="44">
        <v>34</v>
      </c>
      <c r="T61" s="31">
        <v>452859.30033497966</v>
      </c>
      <c r="U61" s="31">
        <v>0</v>
      </c>
      <c r="V61" s="31">
        <v>0</v>
      </c>
      <c r="W61" s="31">
        <v>0</v>
      </c>
      <c r="X61" s="31">
        <v>54191.829256296231</v>
      </c>
      <c r="Y61" s="31">
        <v>0</v>
      </c>
      <c r="Z61" s="31">
        <v>0</v>
      </c>
      <c r="AA61" s="31">
        <f t="shared" si="5"/>
        <v>507051.12959127588</v>
      </c>
      <c r="AB61" s="31">
        <v>0</v>
      </c>
      <c r="AD61" s="42" t="s">
        <v>239</v>
      </c>
      <c r="AE61" s="42" t="s">
        <v>240</v>
      </c>
      <c r="AF61" s="43" t="s">
        <v>1275</v>
      </c>
      <c r="AG61" s="44">
        <v>34</v>
      </c>
      <c r="AH61" s="31">
        <v>460781.50262438436</v>
      </c>
      <c r="AI61" s="31">
        <v>0</v>
      </c>
      <c r="AJ61" s="31">
        <v>0</v>
      </c>
      <c r="AK61" s="31">
        <v>0</v>
      </c>
      <c r="AL61" s="31">
        <v>55141.957948875672</v>
      </c>
      <c r="AM61" s="31">
        <v>0</v>
      </c>
      <c r="AN61" s="31">
        <v>0</v>
      </c>
      <c r="AO61" s="31">
        <f t="shared" si="6"/>
        <v>515923.46057326003</v>
      </c>
      <c r="AP61" s="31">
        <v>0</v>
      </c>
      <c r="AR61" s="42" t="s">
        <v>239</v>
      </c>
      <c r="AS61" s="42" t="s">
        <v>240</v>
      </c>
      <c r="AT61" s="43" t="s">
        <v>1276</v>
      </c>
      <c r="AU61" s="44">
        <v>34</v>
      </c>
      <c r="AV61" s="31">
        <v>469266.2037688368</v>
      </c>
      <c r="AW61" s="31">
        <v>0</v>
      </c>
      <c r="AX61" s="31">
        <v>0</v>
      </c>
      <c r="AY61" s="31">
        <v>0</v>
      </c>
      <c r="AZ61" s="31">
        <v>56159.533265291393</v>
      </c>
      <c r="BA61" s="31">
        <v>0</v>
      </c>
      <c r="BB61" s="31">
        <v>0</v>
      </c>
      <c r="BC61" s="31">
        <f t="shared" si="7"/>
        <v>525425.73703412816</v>
      </c>
      <c r="BD61" s="31">
        <v>0</v>
      </c>
    </row>
    <row r="62" spans="2:56">
      <c r="B62" s="42" t="s">
        <v>445</v>
      </c>
      <c r="C62" s="42" t="s">
        <v>446</v>
      </c>
      <c r="D62" s="43" t="s">
        <v>1049</v>
      </c>
      <c r="E62" s="44">
        <v>34</v>
      </c>
      <c r="F62" s="31">
        <v>4365284.2314913711</v>
      </c>
      <c r="G62" s="31">
        <v>132115.07</v>
      </c>
      <c r="H62" s="31">
        <v>7435.51</v>
      </c>
      <c r="I62" s="31">
        <v>12500.279999999999</v>
      </c>
      <c r="J62" s="31">
        <v>573153.62381470762</v>
      </c>
      <c r="K62" s="31">
        <v>289016.93840799463</v>
      </c>
      <c r="L62" s="31">
        <v>233923.43747625902</v>
      </c>
      <c r="M62" s="31">
        <f t="shared" si="4"/>
        <v>5703194.0511903325</v>
      </c>
      <c r="N62" s="31">
        <v>89764.959999999992</v>
      </c>
      <c r="P62" s="42" t="s">
        <v>445</v>
      </c>
      <c r="Q62" s="42" t="s">
        <v>446</v>
      </c>
      <c r="R62" s="43" t="s">
        <v>1050</v>
      </c>
      <c r="S62" s="44">
        <v>34</v>
      </c>
      <c r="T62" s="31">
        <v>4640614.1867923345</v>
      </c>
      <c r="U62" s="31">
        <v>141960.06000000003</v>
      </c>
      <c r="V62" s="31">
        <v>7912.55</v>
      </c>
      <c r="W62" s="31">
        <v>13302.259999999998</v>
      </c>
      <c r="X62" s="31">
        <v>607001.73960153514</v>
      </c>
      <c r="Y62" s="31">
        <v>289708.89584684925</v>
      </c>
      <c r="Z62" s="31">
        <v>248211.10096832638</v>
      </c>
      <c r="AA62" s="31">
        <f t="shared" si="5"/>
        <v>6042865.7432090444</v>
      </c>
      <c r="AB62" s="31">
        <v>94154.949999999983</v>
      </c>
      <c r="AD62" s="42" t="s">
        <v>445</v>
      </c>
      <c r="AE62" s="42" t="s">
        <v>446</v>
      </c>
      <c r="AF62" s="43" t="s">
        <v>1275</v>
      </c>
      <c r="AG62" s="44">
        <v>34</v>
      </c>
      <c r="AH62" s="31">
        <v>4723115.352462627</v>
      </c>
      <c r="AI62" s="31">
        <v>144447.99</v>
      </c>
      <c r="AJ62" s="31">
        <v>8052.36</v>
      </c>
      <c r="AK62" s="31">
        <v>13537.299999999997</v>
      </c>
      <c r="AL62" s="31">
        <v>617770.65235619352</v>
      </c>
      <c r="AM62" s="31">
        <v>289172.04429594922</v>
      </c>
      <c r="AN62" s="31">
        <v>252622.16188960779</v>
      </c>
      <c r="AO62" s="31">
        <f t="shared" si="6"/>
        <v>6144556.9810043778</v>
      </c>
      <c r="AP62" s="31">
        <v>95839.119999999981</v>
      </c>
      <c r="AR62" s="42" t="s">
        <v>445</v>
      </c>
      <c r="AS62" s="42" t="s">
        <v>446</v>
      </c>
      <c r="AT62" s="43" t="s">
        <v>1276</v>
      </c>
      <c r="AU62" s="44">
        <v>34</v>
      </c>
      <c r="AV62" s="31">
        <v>4811443.616008928</v>
      </c>
      <c r="AW62" s="31">
        <v>147112.57</v>
      </c>
      <c r="AX62" s="31">
        <v>8202.0999999999985</v>
      </c>
      <c r="AY62" s="31">
        <v>13789.039999999999</v>
      </c>
      <c r="AZ62" s="31">
        <v>629304.10063427058</v>
      </c>
      <c r="BA62" s="31">
        <v>289187.38291168923</v>
      </c>
      <c r="BB62" s="31">
        <v>257346.27076810016</v>
      </c>
      <c r="BC62" s="31">
        <f t="shared" si="7"/>
        <v>6254027.930322988</v>
      </c>
      <c r="BD62" s="31">
        <v>97642.849999999977</v>
      </c>
    </row>
    <row r="63" spans="2:56">
      <c r="B63" s="42" t="s">
        <v>311</v>
      </c>
      <c r="C63" s="42" t="s">
        <v>312</v>
      </c>
      <c r="D63" s="43" t="s">
        <v>1049</v>
      </c>
      <c r="E63" s="44">
        <v>34</v>
      </c>
      <c r="F63" s="31">
        <v>4713969.5300585181</v>
      </c>
      <c r="G63" s="31">
        <v>195859.87999999998</v>
      </c>
      <c r="H63" s="31">
        <v>0</v>
      </c>
      <c r="I63" s="31">
        <v>0</v>
      </c>
      <c r="J63" s="31">
        <v>687046.57864156016</v>
      </c>
      <c r="K63" s="31">
        <v>375179.09913079883</v>
      </c>
      <c r="L63" s="31">
        <v>776157.51099964837</v>
      </c>
      <c r="M63" s="31">
        <f t="shared" si="4"/>
        <v>6819638.1288305251</v>
      </c>
      <c r="N63" s="31">
        <v>71425.53</v>
      </c>
      <c r="P63" s="42" t="s">
        <v>311</v>
      </c>
      <c r="Q63" s="42" t="s">
        <v>312</v>
      </c>
      <c r="R63" s="43" t="s">
        <v>1050</v>
      </c>
      <c r="S63" s="44">
        <v>34</v>
      </c>
      <c r="T63" s="31">
        <v>5064678.4798983056</v>
      </c>
      <c r="U63" s="31">
        <v>209760.04</v>
      </c>
      <c r="V63" s="31">
        <v>0</v>
      </c>
      <c r="W63" s="31">
        <v>0</v>
      </c>
      <c r="X63" s="31">
        <v>727787.89240281284</v>
      </c>
      <c r="Y63" s="31">
        <v>376351.67919298529</v>
      </c>
      <c r="Z63" s="31">
        <v>831729.18314475426</v>
      </c>
      <c r="AA63" s="31">
        <f t="shared" si="5"/>
        <v>7285181.9046388576</v>
      </c>
      <c r="AB63" s="31">
        <v>74874.629999999976</v>
      </c>
      <c r="AD63" s="42" t="s">
        <v>311</v>
      </c>
      <c r="AE63" s="42" t="s">
        <v>312</v>
      </c>
      <c r="AF63" s="43" t="s">
        <v>1275</v>
      </c>
      <c r="AG63" s="44">
        <v>34</v>
      </c>
      <c r="AH63" s="31">
        <v>5155087.9389354819</v>
      </c>
      <c r="AI63" s="31">
        <v>213399.42000000004</v>
      </c>
      <c r="AJ63" s="31">
        <v>0</v>
      </c>
      <c r="AK63" s="31">
        <v>0</v>
      </c>
      <c r="AL63" s="31">
        <v>740569.97427067137</v>
      </c>
      <c r="AM63" s="31">
        <v>375460.83459778532</v>
      </c>
      <c r="AN63" s="31">
        <v>846362.551249351</v>
      </c>
      <c r="AO63" s="31">
        <f t="shared" si="6"/>
        <v>7407078.5390532902</v>
      </c>
      <c r="AP63" s="31">
        <v>76197.820000000007</v>
      </c>
      <c r="AR63" s="42" t="s">
        <v>311</v>
      </c>
      <c r="AS63" s="42" t="s">
        <v>312</v>
      </c>
      <c r="AT63" s="43" t="s">
        <v>1276</v>
      </c>
      <c r="AU63" s="44">
        <v>34</v>
      </c>
      <c r="AV63" s="31">
        <v>5251806.3262387207</v>
      </c>
      <c r="AW63" s="31">
        <v>217297.18000000002</v>
      </c>
      <c r="AX63" s="31">
        <v>0</v>
      </c>
      <c r="AY63" s="31">
        <v>0</v>
      </c>
      <c r="AZ63" s="31">
        <v>754259.52092146466</v>
      </c>
      <c r="BA63" s="31">
        <v>375486.28730050533</v>
      </c>
      <c r="BB63" s="31">
        <v>862034.39510717394</v>
      </c>
      <c r="BC63" s="31">
        <f t="shared" si="7"/>
        <v>7538498.6695678653</v>
      </c>
      <c r="BD63" s="31">
        <v>77614.959999999992</v>
      </c>
    </row>
    <row r="64" spans="2:56">
      <c r="B64" s="42" t="s">
        <v>73</v>
      </c>
      <c r="C64" s="42" t="s">
        <v>74</v>
      </c>
      <c r="D64" s="43" t="s">
        <v>1049</v>
      </c>
      <c r="E64" s="44">
        <v>34</v>
      </c>
      <c r="F64" s="31">
        <v>3482093.3089041272</v>
      </c>
      <c r="G64" s="31">
        <v>118295.46</v>
      </c>
      <c r="H64" s="31">
        <v>2923.29</v>
      </c>
      <c r="I64" s="31">
        <v>10036.619999999999</v>
      </c>
      <c r="J64" s="31">
        <v>451705.33406930225</v>
      </c>
      <c r="K64" s="31">
        <v>248758.78826502379</v>
      </c>
      <c r="L64" s="31">
        <v>409172.82958479715</v>
      </c>
      <c r="M64" s="31">
        <f t="shared" si="4"/>
        <v>4826762.1508232495</v>
      </c>
      <c r="N64" s="31">
        <v>103776.52</v>
      </c>
      <c r="P64" s="42" t="s">
        <v>73</v>
      </c>
      <c r="Q64" s="42" t="s">
        <v>74</v>
      </c>
      <c r="R64" s="43" t="s">
        <v>1050</v>
      </c>
      <c r="S64" s="44">
        <v>34</v>
      </c>
      <c r="T64" s="31">
        <v>3735318.0499607953</v>
      </c>
      <c r="U64" s="31">
        <v>127698.69000000002</v>
      </c>
      <c r="V64" s="31">
        <v>3113.03</v>
      </c>
      <c r="W64" s="31">
        <v>10688.080000000002</v>
      </c>
      <c r="X64" s="31">
        <v>478491.68869682291</v>
      </c>
      <c r="Y64" s="31">
        <v>249353.13445385121</v>
      </c>
      <c r="Z64" s="31">
        <v>438347.38395491295</v>
      </c>
      <c r="AA64" s="31">
        <f t="shared" si="5"/>
        <v>5151797.8670663815</v>
      </c>
      <c r="AB64" s="31">
        <v>108787.81000000001</v>
      </c>
      <c r="AD64" s="42" t="s">
        <v>73</v>
      </c>
      <c r="AE64" s="42" t="s">
        <v>74</v>
      </c>
      <c r="AF64" s="43" t="s">
        <v>1275</v>
      </c>
      <c r="AG64" s="44">
        <v>34</v>
      </c>
      <c r="AH64" s="31">
        <v>3801220.7880019089</v>
      </c>
      <c r="AI64" s="31">
        <v>129899.29000000002</v>
      </c>
      <c r="AJ64" s="31">
        <v>3167.3</v>
      </c>
      <c r="AK64" s="31">
        <v>10874.430000000002</v>
      </c>
      <c r="AL64" s="31">
        <v>486894.14267740177</v>
      </c>
      <c r="AM64" s="31">
        <v>248901.59164916855</v>
      </c>
      <c r="AN64" s="31">
        <v>446059.98614439362</v>
      </c>
      <c r="AO64" s="31">
        <f t="shared" si="6"/>
        <v>5237727.8484728727</v>
      </c>
      <c r="AP64" s="31">
        <v>110710.31999999999</v>
      </c>
      <c r="AR64" s="42" t="s">
        <v>73</v>
      </c>
      <c r="AS64" s="42" t="s">
        <v>74</v>
      </c>
      <c r="AT64" s="43" t="s">
        <v>1276</v>
      </c>
      <c r="AU64" s="44">
        <v>34</v>
      </c>
      <c r="AV64" s="31">
        <v>3871763.9223103966</v>
      </c>
      <c r="AW64" s="31">
        <v>132256.10000000003</v>
      </c>
      <c r="AX64" s="31">
        <v>3225.44</v>
      </c>
      <c r="AY64" s="31">
        <v>11074</v>
      </c>
      <c r="AZ64" s="31">
        <v>495893.11915628286</v>
      </c>
      <c r="BA64" s="31">
        <v>248914.49287215952</v>
      </c>
      <c r="BB64" s="31">
        <v>454319.92227652727</v>
      </c>
      <c r="BC64" s="31">
        <f t="shared" si="7"/>
        <v>5330216.3366153669</v>
      </c>
      <c r="BD64" s="31">
        <v>112769.33999999998</v>
      </c>
    </row>
    <row r="65" spans="2:56">
      <c r="B65" s="42" t="s">
        <v>475</v>
      </c>
      <c r="C65" s="42" t="s">
        <v>476</v>
      </c>
      <c r="D65" s="43" t="s">
        <v>1049</v>
      </c>
      <c r="E65" s="44">
        <v>34</v>
      </c>
      <c r="F65" s="31">
        <v>20880251.649480652</v>
      </c>
      <c r="G65" s="31">
        <v>759371.20000000007</v>
      </c>
      <c r="H65" s="31">
        <v>37320.590000000004</v>
      </c>
      <c r="I65" s="31">
        <v>70548.53</v>
      </c>
      <c r="J65" s="31">
        <v>2642414.0780187803</v>
      </c>
      <c r="K65" s="31">
        <v>1410156.1344572301</v>
      </c>
      <c r="L65" s="31">
        <v>986219.41939784714</v>
      </c>
      <c r="M65" s="31">
        <f t="shared" si="4"/>
        <v>27166698.021354511</v>
      </c>
      <c r="N65" s="31">
        <v>380416.42000000004</v>
      </c>
      <c r="P65" s="42" t="s">
        <v>475</v>
      </c>
      <c r="Q65" s="42" t="s">
        <v>476</v>
      </c>
      <c r="R65" s="43" t="s">
        <v>1050</v>
      </c>
      <c r="S65" s="44">
        <v>34</v>
      </c>
      <c r="T65" s="31">
        <v>22261681.052813876</v>
      </c>
      <c r="U65" s="31">
        <v>814983.77</v>
      </c>
      <c r="V65" s="31">
        <v>39743.03</v>
      </c>
      <c r="W65" s="31">
        <v>75127.8</v>
      </c>
      <c r="X65" s="31">
        <v>2799242.9228887092</v>
      </c>
      <c r="Y65" s="31">
        <v>1413121.9714127313</v>
      </c>
      <c r="Z65" s="31">
        <v>1046839.6512653715</v>
      </c>
      <c r="AA65" s="31">
        <f t="shared" si="5"/>
        <v>28849526.678380691</v>
      </c>
      <c r="AB65" s="31">
        <v>398786.48</v>
      </c>
      <c r="AD65" s="42" t="s">
        <v>475</v>
      </c>
      <c r="AE65" s="42" t="s">
        <v>476</v>
      </c>
      <c r="AF65" s="43" t="s">
        <v>1275</v>
      </c>
      <c r="AG65" s="44">
        <v>34</v>
      </c>
      <c r="AH65" s="31">
        <v>22703734.119070653</v>
      </c>
      <c r="AI65" s="31">
        <v>829098.25999999989</v>
      </c>
      <c r="AJ65" s="31">
        <v>40435.939999999995</v>
      </c>
      <c r="AK65" s="31">
        <v>76437.63</v>
      </c>
      <c r="AL65" s="31">
        <v>2848441.4314495549</v>
      </c>
      <c r="AM65" s="31">
        <v>1410868.7352310363</v>
      </c>
      <c r="AN65" s="31">
        <v>1065260.2813331278</v>
      </c>
      <c r="AO65" s="31">
        <f t="shared" si="6"/>
        <v>29380110.287084371</v>
      </c>
      <c r="AP65" s="31">
        <v>405833.89</v>
      </c>
      <c r="AR65" s="42" t="s">
        <v>475</v>
      </c>
      <c r="AS65" s="42" t="s">
        <v>476</v>
      </c>
      <c r="AT65" s="43" t="s">
        <v>1276</v>
      </c>
      <c r="AU65" s="44">
        <v>34</v>
      </c>
      <c r="AV65" s="31">
        <v>23173890.319592692</v>
      </c>
      <c r="AW65" s="31">
        <v>844214.84999999974</v>
      </c>
      <c r="AX65" s="31">
        <v>41178.049999999996</v>
      </c>
      <c r="AY65" s="31">
        <v>77840.479999999996</v>
      </c>
      <c r="AZ65" s="31">
        <v>2901132.9805843504</v>
      </c>
      <c r="BA65" s="31">
        <v>1410933.1134076563</v>
      </c>
      <c r="BB65" s="31">
        <v>1084988.1476492947</v>
      </c>
      <c r="BC65" s="31">
        <f t="shared" si="7"/>
        <v>29947559.631233998</v>
      </c>
      <c r="BD65" s="31">
        <v>413381.69000000006</v>
      </c>
    </row>
    <row r="66" spans="2:56">
      <c r="B66" s="42" t="s">
        <v>373</v>
      </c>
      <c r="C66" s="42" t="s">
        <v>374</v>
      </c>
      <c r="D66" s="43" t="s">
        <v>1049</v>
      </c>
      <c r="E66" s="44">
        <v>34</v>
      </c>
      <c r="F66" s="31">
        <v>13003491.973829165</v>
      </c>
      <c r="G66" s="31">
        <v>168802.37</v>
      </c>
      <c r="H66" s="31">
        <v>121653.35</v>
      </c>
      <c r="I66" s="31">
        <v>43701.8</v>
      </c>
      <c r="J66" s="31">
        <v>1732082.9783211304</v>
      </c>
      <c r="K66" s="31">
        <v>1086389.496340974</v>
      </c>
      <c r="L66" s="31">
        <v>292066.31945842132</v>
      </c>
      <c r="M66" s="31">
        <f t="shared" si="4"/>
        <v>16448188.287949691</v>
      </c>
      <c r="N66" s="31">
        <v>0</v>
      </c>
      <c r="P66" s="42" t="s">
        <v>373</v>
      </c>
      <c r="Q66" s="42" t="s">
        <v>374</v>
      </c>
      <c r="R66" s="43" t="s">
        <v>1050</v>
      </c>
      <c r="S66" s="44">
        <v>34</v>
      </c>
      <c r="T66" s="31">
        <v>13832265.365059584</v>
      </c>
      <c r="U66" s="31">
        <v>179594.94</v>
      </c>
      <c r="V66" s="31">
        <v>129431.4</v>
      </c>
      <c r="W66" s="31">
        <v>46495.93</v>
      </c>
      <c r="X66" s="31">
        <v>1834340.4243133513</v>
      </c>
      <c r="Y66" s="31">
        <v>1087996.8666872333</v>
      </c>
      <c r="Z66" s="31">
        <v>309882.60153480229</v>
      </c>
      <c r="AA66" s="31">
        <f t="shared" si="5"/>
        <v>17420007.527594972</v>
      </c>
      <c r="AB66" s="31">
        <v>0</v>
      </c>
      <c r="AD66" s="42" t="s">
        <v>373</v>
      </c>
      <c r="AE66" s="42" t="s">
        <v>374</v>
      </c>
      <c r="AF66" s="43" t="s">
        <v>1275</v>
      </c>
      <c r="AG66" s="44">
        <v>34</v>
      </c>
      <c r="AH66" s="31">
        <v>14077834.461765669</v>
      </c>
      <c r="AI66" s="31">
        <v>182780.68</v>
      </c>
      <c r="AJ66" s="31">
        <v>131727.31</v>
      </c>
      <c r="AK66" s="31">
        <v>47320.700000000004</v>
      </c>
      <c r="AL66" s="31">
        <v>1866938.9128138004</v>
      </c>
      <c r="AM66" s="31">
        <v>1086749.7968317689</v>
      </c>
      <c r="AN66" s="31">
        <v>315402.46026853833</v>
      </c>
      <c r="AO66" s="31">
        <f t="shared" si="6"/>
        <v>17708754.321679775</v>
      </c>
      <c r="AP66" s="31">
        <v>0</v>
      </c>
      <c r="AR66" s="42" t="s">
        <v>373</v>
      </c>
      <c r="AS66" s="42" t="s">
        <v>374</v>
      </c>
      <c r="AT66" s="43" t="s">
        <v>1276</v>
      </c>
      <c r="AU66" s="44">
        <v>34</v>
      </c>
      <c r="AV66" s="31">
        <v>14340835.879883323</v>
      </c>
      <c r="AW66" s="31">
        <v>186192.61000000002</v>
      </c>
      <c r="AX66" s="31">
        <v>134186.23000000001</v>
      </c>
      <c r="AY66" s="31">
        <v>48204.020000000004</v>
      </c>
      <c r="AZ66" s="31">
        <v>1901851.4878042729</v>
      </c>
      <c r="BA66" s="31">
        <v>1086785.4273990679</v>
      </c>
      <c r="BB66" s="31">
        <v>321314.06075716962</v>
      </c>
      <c r="BC66" s="31">
        <f t="shared" si="7"/>
        <v>18019369.715843834</v>
      </c>
      <c r="BD66" s="31">
        <v>0</v>
      </c>
    </row>
    <row r="67" spans="2:56">
      <c r="B67" s="42" t="s">
        <v>525</v>
      </c>
      <c r="C67" s="42" t="s">
        <v>526</v>
      </c>
      <c r="D67" s="43" t="s">
        <v>1049</v>
      </c>
      <c r="E67" s="44">
        <v>34</v>
      </c>
      <c r="F67" s="31">
        <v>369483.16628448508</v>
      </c>
      <c r="G67" s="31">
        <v>11011.02</v>
      </c>
      <c r="H67" s="31">
        <v>0</v>
      </c>
      <c r="I67" s="31">
        <v>0</v>
      </c>
      <c r="J67" s="31">
        <v>19542.514764255699</v>
      </c>
      <c r="K67" s="31">
        <v>93212.844263618346</v>
      </c>
      <c r="L67" s="31">
        <v>0</v>
      </c>
      <c r="M67" s="31">
        <f t="shared" si="4"/>
        <v>497244.70531235909</v>
      </c>
      <c r="N67" s="31">
        <v>3995.1600000000003</v>
      </c>
      <c r="P67" s="42" t="s">
        <v>525</v>
      </c>
      <c r="Q67" s="42" t="s">
        <v>526</v>
      </c>
      <c r="R67" s="43" t="s">
        <v>1050</v>
      </c>
      <c r="S67" s="44">
        <v>34</v>
      </c>
      <c r="T67" s="31">
        <v>394690.62922793347</v>
      </c>
      <c r="U67" s="31">
        <v>11792.14</v>
      </c>
      <c r="V67" s="31">
        <v>0</v>
      </c>
      <c r="W67" s="31">
        <v>0</v>
      </c>
      <c r="X67" s="31">
        <v>20697.595938122671</v>
      </c>
      <c r="Y67" s="31">
        <v>93368.627840878326</v>
      </c>
      <c r="Z67" s="31">
        <v>0</v>
      </c>
      <c r="AA67" s="31">
        <f t="shared" si="5"/>
        <v>524737.07300693449</v>
      </c>
      <c r="AB67" s="31">
        <v>4188.08</v>
      </c>
      <c r="AD67" s="42" t="s">
        <v>525</v>
      </c>
      <c r="AE67" s="42" t="s">
        <v>526</v>
      </c>
      <c r="AF67" s="43" t="s">
        <v>1275</v>
      </c>
      <c r="AG67" s="44">
        <v>34</v>
      </c>
      <c r="AH67" s="31">
        <v>401542.60383055737</v>
      </c>
      <c r="AI67" s="31">
        <v>11996.740000000002</v>
      </c>
      <c r="AJ67" s="31">
        <v>0</v>
      </c>
      <c r="AK67" s="31">
        <v>0</v>
      </c>
      <c r="AL67" s="31">
        <v>21060.398106801753</v>
      </c>
      <c r="AM67" s="31">
        <v>93250.274337950614</v>
      </c>
      <c r="AN67" s="31">
        <v>0</v>
      </c>
      <c r="AO67" s="31">
        <f t="shared" si="6"/>
        <v>532112.10627530969</v>
      </c>
      <c r="AP67" s="31">
        <v>4262.0899999999992</v>
      </c>
      <c r="AR67" s="42" t="s">
        <v>525</v>
      </c>
      <c r="AS67" s="42" t="s">
        <v>526</v>
      </c>
      <c r="AT67" s="43" t="s">
        <v>1276</v>
      </c>
      <c r="AU67" s="44">
        <v>34</v>
      </c>
      <c r="AV67" s="31">
        <v>408881.63674796757</v>
      </c>
      <c r="AW67" s="31">
        <v>12215.87</v>
      </c>
      <c r="AX67" s="31">
        <v>0</v>
      </c>
      <c r="AY67" s="31">
        <v>0</v>
      </c>
      <c r="AZ67" s="31">
        <v>21448.954576822052</v>
      </c>
      <c r="BA67" s="31">
        <v>93253.655866605695</v>
      </c>
      <c r="BB67" s="31">
        <v>0</v>
      </c>
      <c r="BC67" s="31">
        <f t="shared" si="7"/>
        <v>540141.47719139524</v>
      </c>
      <c r="BD67" s="31">
        <v>4341.3599999999988</v>
      </c>
    </row>
    <row r="68" spans="2:56">
      <c r="B68" s="42" t="s">
        <v>469</v>
      </c>
      <c r="C68" s="42" t="s">
        <v>470</v>
      </c>
      <c r="D68" s="43" t="s">
        <v>1049</v>
      </c>
      <c r="E68" s="44">
        <v>34</v>
      </c>
      <c r="F68" s="31">
        <v>28946654.90689211</v>
      </c>
      <c r="G68" s="31">
        <v>1236916.33</v>
      </c>
      <c r="H68" s="31">
        <v>157477.07999999999</v>
      </c>
      <c r="I68" s="31">
        <v>101689.25</v>
      </c>
      <c r="J68" s="31">
        <v>4885557.0036764331</v>
      </c>
      <c r="K68" s="31">
        <v>2371052.8070992967</v>
      </c>
      <c r="L68" s="31">
        <v>2201703.5246145553</v>
      </c>
      <c r="M68" s="31">
        <f t="shared" si="4"/>
        <v>40461854.9122824</v>
      </c>
      <c r="N68" s="31">
        <v>560804.01</v>
      </c>
      <c r="P68" s="42" t="s">
        <v>469</v>
      </c>
      <c r="Q68" s="42" t="s">
        <v>470</v>
      </c>
      <c r="R68" s="43" t="s">
        <v>1050</v>
      </c>
      <c r="S68" s="44">
        <v>34</v>
      </c>
      <c r="T68" s="31">
        <v>31136003.367953826</v>
      </c>
      <c r="U68" s="31">
        <v>1325918.9700000002</v>
      </c>
      <c r="V68" s="31">
        <v>167656.55000000002</v>
      </c>
      <c r="W68" s="31">
        <v>108262.54</v>
      </c>
      <c r="X68" s="31">
        <v>5175185.19967678</v>
      </c>
      <c r="Y68" s="31">
        <v>2377352.8352045147</v>
      </c>
      <c r="Z68" s="31">
        <v>2359607.3452433036</v>
      </c>
      <c r="AA68" s="31">
        <f t="shared" si="5"/>
        <v>43237994.688078426</v>
      </c>
      <c r="AB68" s="31">
        <v>588007.88</v>
      </c>
      <c r="AD68" s="42" t="s">
        <v>469</v>
      </c>
      <c r="AE68" s="42" t="s">
        <v>470</v>
      </c>
      <c r="AF68" s="43" t="s">
        <v>1275</v>
      </c>
      <c r="AG68" s="44">
        <v>34</v>
      </c>
      <c r="AH68" s="31">
        <v>31713502.179068174</v>
      </c>
      <c r="AI68" s="31">
        <v>1349011.62</v>
      </c>
      <c r="AJ68" s="31">
        <v>170593.63</v>
      </c>
      <c r="AK68" s="31">
        <v>110159.13000000002</v>
      </c>
      <c r="AL68" s="31">
        <v>5266354.0888391435</v>
      </c>
      <c r="AM68" s="31">
        <v>2372566.5130009148</v>
      </c>
      <c r="AN68" s="31">
        <v>2401237.6402112939</v>
      </c>
      <c r="AO68" s="31">
        <f t="shared" si="6"/>
        <v>43981869.071119525</v>
      </c>
      <c r="AP68" s="31">
        <v>598444.2699999999</v>
      </c>
      <c r="AR68" s="42" t="s">
        <v>469</v>
      </c>
      <c r="AS68" s="42" t="s">
        <v>470</v>
      </c>
      <c r="AT68" s="43" t="s">
        <v>1276</v>
      </c>
      <c r="AU68" s="44">
        <v>34</v>
      </c>
      <c r="AV68" s="31">
        <v>32330087.447421126</v>
      </c>
      <c r="AW68" s="31">
        <v>1373743.8200000003</v>
      </c>
      <c r="AX68" s="31">
        <v>173739.24000000002</v>
      </c>
      <c r="AY68" s="31">
        <v>112190.37999999999</v>
      </c>
      <c r="AZ68" s="31">
        <v>5363995.5889334911</v>
      </c>
      <c r="BA68" s="31">
        <v>2372703.2650638754</v>
      </c>
      <c r="BB68" s="31">
        <v>2445822.3123268113</v>
      </c>
      <c r="BC68" s="31">
        <f t="shared" si="7"/>
        <v>44781903.713745303</v>
      </c>
      <c r="BD68" s="31">
        <v>609621.66</v>
      </c>
    </row>
    <row r="69" spans="2:56">
      <c r="B69" s="42" t="s">
        <v>587</v>
      </c>
      <c r="C69" s="42" t="s">
        <v>588</v>
      </c>
      <c r="D69" s="43" t="s">
        <v>1049</v>
      </c>
      <c r="E69" s="44">
        <v>34</v>
      </c>
      <c r="F69" s="31">
        <v>26517901.745412007</v>
      </c>
      <c r="G69" s="31">
        <v>1186949.9100000004</v>
      </c>
      <c r="H69" s="31">
        <v>538858.30999999994</v>
      </c>
      <c r="I69" s="31">
        <v>91401.279999999999</v>
      </c>
      <c r="J69" s="31">
        <v>3678180.6928263046</v>
      </c>
      <c r="K69" s="31">
        <v>1742989.5621444487</v>
      </c>
      <c r="L69" s="31">
        <v>1833932.1486166811</v>
      </c>
      <c r="M69" s="31">
        <f t="shared" ref="M69:M132" si="8">SUM(F69:L69,N69)</f>
        <v>36519719.848999441</v>
      </c>
      <c r="N69" s="31">
        <v>929506.2</v>
      </c>
      <c r="P69" s="42" t="s">
        <v>587</v>
      </c>
      <c r="Q69" s="42" t="s">
        <v>588</v>
      </c>
      <c r="R69" s="43" t="s">
        <v>1050</v>
      </c>
      <c r="S69" s="44">
        <v>34</v>
      </c>
      <c r="T69" s="31">
        <v>28533227.229896989</v>
      </c>
      <c r="U69" s="31">
        <v>1279442.01</v>
      </c>
      <c r="V69" s="31">
        <v>573835.14</v>
      </c>
      <c r="W69" s="31">
        <v>97334.06</v>
      </c>
      <c r="X69" s="31">
        <v>3896385.0519443168</v>
      </c>
      <c r="Y69" s="31">
        <v>1746507.0527285736</v>
      </c>
      <c r="Z69" s="31">
        <v>1965360.4419644857</v>
      </c>
      <c r="AA69" s="31">
        <f t="shared" ref="AA69:AA132" si="9">SUM(T69:Z69,AB69)</f>
        <v>39066482.436534368</v>
      </c>
      <c r="AB69" s="31">
        <v>974391.45</v>
      </c>
      <c r="AD69" s="42" t="s">
        <v>587</v>
      </c>
      <c r="AE69" s="42" t="s">
        <v>588</v>
      </c>
      <c r="AF69" s="43" t="s">
        <v>1275</v>
      </c>
      <c r="AG69" s="44">
        <v>34</v>
      </c>
      <c r="AH69" s="31">
        <v>29039252.471684355</v>
      </c>
      <c r="AI69" s="31">
        <v>1301517.6299999999</v>
      </c>
      <c r="AJ69" s="31">
        <v>583839.86</v>
      </c>
      <c r="AK69" s="31">
        <v>99031.06</v>
      </c>
      <c r="AL69" s="31">
        <v>3964816.797885044</v>
      </c>
      <c r="AM69" s="31">
        <v>1743834.7085735044</v>
      </c>
      <c r="AN69" s="31">
        <v>1999939.663196756</v>
      </c>
      <c r="AO69" s="31">
        <f t="shared" ref="AO69:AO132" si="10">SUM(AH69:AN69,AP69)</f>
        <v>39723843.251339659</v>
      </c>
      <c r="AP69" s="31">
        <v>991611.05999999994</v>
      </c>
      <c r="AR69" s="42" t="s">
        <v>587</v>
      </c>
      <c r="AS69" s="42" t="s">
        <v>588</v>
      </c>
      <c r="AT69" s="43" t="s">
        <v>1276</v>
      </c>
      <c r="AU69" s="44">
        <v>34</v>
      </c>
      <c r="AV69" s="31">
        <v>29580847.433923773</v>
      </c>
      <c r="AW69" s="31">
        <v>1325160.6200000001</v>
      </c>
      <c r="AX69" s="31">
        <v>594554.91999999993</v>
      </c>
      <c r="AY69" s="31">
        <v>100848.56</v>
      </c>
      <c r="AZ69" s="31">
        <v>4038106.7943149195</v>
      </c>
      <c r="BA69" s="31">
        <v>1743911.0612636493</v>
      </c>
      <c r="BB69" s="31">
        <v>2036972.8404597174</v>
      </c>
      <c r="BC69" s="31">
        <f t="shared" ref="BC69:BC132" si="11">SUM(AV69:BB69,BD69)</f>
        <v>40430455.489962056</v>
      </c>
      <c r="BD69" s="31">
        <v>1010053.2599999999</v>
      </c>
    </row>
    <row r="70" spans="2:56">
      <c r="B70" s="42" t="s">
        <v>95</v>
      </c>
      <c r="C70" s="42" t="s">
        <v>96</v>
      </c>
      <c r="D70" s="43" t="s">
        <v>1049</v>
      </c>
      <c r="E70" s="44">
        <v>34</v>
      </c>
      <c r="F70" s="31">
        <v>46282008.110941365</v>
      </c>
      <c r="G70" s="31">
        <v>2122789.8800000004</v>
      </c>
      <c r="H70" s="31">
        <v>1668901.67</v>
      </c>
      <c r="I70" s="31">
        <v>163314.01</v>
      </c>
      <c r="J70" s="31">
        <v>6266505.0426672148</v>
      </c>
      <c r="K70" s="31">
        <v>1869628.0526013325</v>
      </c>
      <c r="L70" s="31">
        <v>4230067.2381449761</v>
      </c>
      <c r="M70" s="31">
        <f t="shared" si="8"/>
        <v>64130433.934354894</v>
      </c>
      <c r="N70" s="31">
        <v>1527219.9300000002</v>
      </c>
      <c r="P70" s="42" t="s">
        <v>95</v>
      </c>
      <c r="Q70" s="42" t="s">
        <v>96</v>
      </c>
      <c r="R70" s="43" t="s">
        <v>1050</v>
      </c>
      <c r="S70" s="44">
        <v>34</v>
      </c>
      <c r="T70" s="31">
        <v>49784166.458206534</v>
      </c>
      <c r="U70" s="31">
        <v>2285960.44</v>
      </c>
      <c r="V70" s="31">
        <v>1777228.63</v>
      </c>
      <c r="W70" s="31">
        <v>173914.59000000003</v>
      </c>
      <c r="X70" s="31">
        <v>6638364.5651267646</v>
      </c>
      <c r="Y70" s="31">
        <v>1873278.6585725369</v>
      </c>
      <c r="Z70" s="31">
        <v>4533351.8250803761</v>
      </c>
      <c r="AA70" s="31">
        <f t="shared" si="9"/>
        <v>68667233.536986217</v>
      </c>
      <c r="AB70" s="31">
        <v>1600968.37</v>
      </c>
      <c r="AD70" s="42" t="s">
        <v>95</v>
      </c>
      <c r="AE70" s="42" t="s">
        <v>96</v>
      </c>
      <c r="AF70" s="43" t="s">
        <v>1275</v>
      </c>
      <c r="AG70" s="44">
        <v>34</v>
      </c>
      <c r="AH70" s="31">
        <v>50684488.016022943</v>
      </c>
      <c r="AI70" s="31">
        <v>2325435.84</v>
      </c>
      <c r="AJ70" s="31">
        <v>1808214.33</v>
      </c>
      <c r="AK70" s="31">
        <v>176946.77000000002</v>
      </c>
      <c r="AL70" s="31">
        <v>6754977.1391106751</v>
      </c>
      <c r="AM70" s="31">
        <v>1870505.1826253268</v>
      </c>
      <c r="AN70" s="31">
        <v>4613113.4640176874</v>
      </c>
      <c r="AO70" s="31">
        <f t="shared" si="10"/>
        <v>69862941.691776633</v>
      </c>
      <c r="AP70" s="31">
        <v>1629260.95</v>
      </c>
      <c r="AR70" s="42" t="s">
        <v>95</v>
      </c>
      <c r="AS70" s="42" t="s">
        <v>96</v>
      </c>
      <c r="AT70" s="43" t="s">
        <v>1276</v>
      </c>
      <c r="AU70" s="44">
        <v>34</v>
      </c>
      <c r="AV70" s="31">
        <v>51647008.910476938</v>
      </c>
      <c r="AW70" s="31">
        <v>2367713.9900000002</v>
      </c>
      <c r="AX70" s="31">
        <v>1841400.02</v>
      </c>
      <c r="AY70" s="31">
        <v>180194.22000000003</v>
      </c>
      <c r="AZ70" s="31">
        <v>6879868.6314555947</v>
      </c>
      <c r="BA70" s="31">
        <v>1870584.4247952471</v>
      </c>
      <c r="BB70" s="31">
        <v>4698535.4835181469</v>
      </c>
      <c r="BC70" s="31">
        <f t="shared" si="11"/>
        <v>71144867.990245938</v>
      </c>
      <c r="BD70" s="31">
        <v>1659562.3099999998</v>
      </c>
    </row>
    <row r="71" spans="2:56">
      <c r="B71" s="42" t="s">
        <v>241</v>
      </c>
      <c r="C71" s="42" t="s">
        <v>242</v>
      </c>
      <c r="D71" s="43" t="s">
        <v>1049</v>
      </c>
      <c r="E71" s="44">
        <v>34</v>
      </c>
      <c r="F71" s="31">
        <v>1942673.4093458413</v>
      </c>
      <c r="G71" s="31">
        <v>38587.31</v>
      </c>
      <c r="H71" s="31">
        <v>13934.31</v>
      </c>
      <c r="I71" s="31">
        <v>0</v>
      </c>
      <c r="J71" s="31">
        <v>95661.212467181642</v>
      </c>
      <c r="K71" s="31">
        <v>111636.73228081799</v>
      </c>
      <c r="L71" s="31">
        <v>0</v>
      </c>
      <c r="M71" s="31">
        <f t="shared" si="8"/>
        <v>2227048.554093841</v>
      </c>
      <c r="N71" s="31">
        <v>24555.579999999998</v>
      </c>
      <c r="P71" s="42" t="s">
        <v>241</v>
      </c>
      <c r="Q71" s="42" t="s">
        <v>242</v>
      </c>
      <c r="R71" s="43" t="s">
        <v>1050</v>
      </c>
      <c r="S71" s="44">
        <v>34</v>
      </c>
      <c r="T71" s="31">
        <v>2068913.3752334586</v>
      </c>
      <c r="U71" s="31">
        <v>41500.090000000011</v>
      </c>
      <c r="V71" s="31">
        <v>14838.79</v>
      </c>
      <c r="W71" s="31">
        <v>0</v>
      </c>
      <c r="X71" s="31">
        <v>101341.94801180768</v>
      </c>
      <c r="Y71" s="31">
        <v>111788.03124146083</v>
      </c>
      <c r="Z71" s="31">
        <v>0</v>
      </c>
      <c r="AA71" s="31">
        <f t="shared" si="9"/>
        <v>2364123.5844867271</v>
      </c>
      <c r="AB71" s="31">
        <v>25741.349999999995</v>
      </c>
      <c r="AD71" s="42" t="s">
        <v>241</v>
      </c>
      <c r="AE71" s="42" t="s">
        <v>242</v>
      </c>
      <c r="AF71" s="43" t="s">
        <v>1275</v>
      </c>
      <c r="AG71" s="44">
        <v>34</v>
      </c>
      <c r="AH71" s="31">
        <v>2104972.2185523668</v>
      </c>
      <c r="AI71" s="31">
        <v>42217.530000000013</v>
      </c>
      <c r="AJ71" s="31">
        <v>15097.500000000002</v>
      </c>
      <c r="AK71" s="31">
        <v>0</v>
      </c>
      <c r="AL71" s="31">
        <v>103122.3520708189</v>
      </c>
      <c r="AM71" s="31">
        <v>111673.08483763343</v>
      </c>
      <c r="AN71" s="31">
        <v>0</v>
      </c>
      <c r="AO71" s="31">
        <f t="shared" si="10"/>
        <v>2403278.9454608192</v>
      </c>
      <c r="AP71" s="31">
        <v>26196.259999999995</v>
      </c>
      <c r="AR71" s="42" t="s">
        <v>241</v>
      </c>
      <c r="AS71" s="42" t="s">
        <v>242</v>
      </c>
      <c r="AT71" s="43" t="s">
        <v>1276</v>
      </c>
      <c r="AU71" s="44">
        <v>34</v>
      </c>
      <c r="AV71" s="31">
        <v>2143580.767065201</v>
      </c>
      <c r="AW71" s="31">
        <v>42985.9</v>
      </c>
      <c r="AX71" s="31">
        <v>15374.580000000002</v>
      </c>
      <c r="AY71" s="31">
        <v>0</v>
      </c>
      <c r="AZ71" s="31">
        <v>105029.15450435709</v>
      </c>
      <c r="BA71" s="31">
        <v>111676.36902059992</v>
      </c>
      <c r="BB71" s="31">
        <v>0</v>
      </c>
      <c r="BC71" s="31">
        <f t="shared" si="11"/>
        <v>2445330.2305901577</v>
      </c>
      <c r="BD71" s="31">
        <v>26683.46</v>
      </c>
    </row>
    <row r="72" spans="2:56">
      <c r="B72" s="42" t="s">
        <v>385</v>
      </c>
      <c r="C72" s="42" t="s">
        <v>386</v>
      </c>
      <c r="D72" s="43" t="s">
        <v>1049</v>
      </c>
      <c r="E72" s="44">
        <v>34</v>
      </c>
      <c r="F72" s="31">
        <v>15300877.206247209</v>
      </c>
      <c r="G72" s="31">
        <v>497640.00999999989</v>
      </c>
      <c r="H72" s="31">
        <v>0</v>
      </c>
      <c r="I72" s="31">
        <v>53496.069999999992</v>
      </c>
      <c r="J72" s="31">
        <v>2074772.7654096165</v>
      </c>
      <c r="K72" s="31">
        <v>1335744.2156340177</v>
      </c>
      <c r="L72" s="31">
        <v>1395185.6444581565</v>
      </c>
      <c r="M72" s="31">
        <f t="shared" si="8"/>
        <v>20714914.791748997</v>
      </c>
      <c r="N72" s="31">
        <v>57198.879999999997</v>
      </c>
      <c r="P72" s="42" t="s">
        <v>385</v>
      </c>
      <c r="Q72" s="42" t="s">
        <v>386</v>
      </c>
      <c r="R72" s="43" t="s">
        <v>1050</v>
      </c>
      <c r="S72" s="44">
        <v>34</v>
      </c>
      <c r="T72" s="31">
        <v>16294593.450822297</v>
      </c>
      <c r="U72" s="31">
        <v>530892.05000000005</v>
      </c>
      <c r="V72" s="31">
        <v>0</v>
      </c>
      <c r="W72" s="31">
        <v>56968.439999999995</v>
      </c>
      <c r="X72" s="31">
        <v>2197848.7090056082</v>
      </c>
      <c r="Y72" s="31">
        <v>1339818.5205463513</v>
      </c>
      <c r="Z72" s="31">
        <v>1480943.7152301902</v>
      </c>
      <c r="AA72" s="31">
        <f t="shared" si="9"/>
        <v>21961025.855604447</v>
      </c>
      <c r="AB72" s="31">
        <v>59960.97</v>
      </c>
      <c r="AD72" s="42" t="s">
        <v>385</v>
      </c>
      <c r="AE72" s="42" t="s">
        <v>386</v>
      </c>
      <c r="AF72" s="43" t="s">
        <v>1275</v>
      </c>
      <c r="AG72" s="44">
        <v>34</v>
      </c>
      <c r="AH72" s="31">
        <v>16590803.499358231</v>
      </c>
      <c r="AI72" s="31">
        <v>540133.84000000008</v>
      </c>
      <c r="AJ72" s="31">
        <v>0</v>
      </c>
      <c r="AK72" s="31">
        <v>57961.68</v>
      </c>
      <c r="AL72" s="31">
        <v>2236452.8925356553</v>
      </c>
      <c r="AM72" s="31">
        <v>1336723.1476780958</v>
      </c>
      <c r="AN72" s="31">
        <v>1507002.7445019197</v>
      </c>
      <c r="AO72" s="31">
        <f t="shared" si="10"/>
        <v>22330098.414073903</v>
      </c>
      <c r="AP72" s="31">
        <v>61020.61</v>
      </c>
      <c r="AR72" s="42" t="s">
        <v>385</v>
      </c>
      <c r="AS72" s="42" t="s">
        <v>386</v>
      </c>
      <c r="AT72" s="43" t="s">
        <v>1276</v>
      </c>
      <c r="AU72" s="44">
        <v>34</v>
      </c>
      <c r="AV72" s="31">
        <v>16907388.223188605</v>
      </c>
      <c r="AW72" s="31">
        <v>550031.78</v>
      </c>
      <c r="AX72" s="31">
        <v>0</v>
      </c>
      <c r="AY72" s="31">
        <v>59025.43</v>
      </c>
      <c r="AZ72" s="31">
        <v>2277797.7805804447</v>
      </c>
      <c r="BA72" s="31">
        <v>1336811.5869029032</v>
      </c>
      <c r="BB72" s="31">
        <v>1534911.0757225417</v>
      </c>
      <c r="BC72" s="31">
        <f t="shared" si="11"/>
        <v>22728121.376394495</v>
      </c>
      <c r="BD72" s="31">
        <v>62155.5</v>
      </c>
    </row>
    <row r="73" spans="2:56">
      <c r="B73" s="42" t="s">
        <v>429</v>
      </c>
      <c r="C73" s="42" t="s">
        <v>430</v>
      </c>
      <c r="D73" s="43" t="s">
        <v>1049</v>
      </c>
      <c r="E73" s="44">
        <v>34</v>
      </c>
      <c r="F73" s="31">
        <v>185721688.43698636</v>
      </c>
      <c r="G73" s="31">
        <v>5310638.2899999991</v>
      </c>
      <c r="H73" s="31">
        <v>5891161.1700000009</v>
      </c>
      <c r="I73" s="31">
        <v>652114.32000000007</v>
      </c>
      <c r="J73" s="31">
        <v>29526751.608861737</v>
      </c>
      <c r="K73" s="31">
        <v>15254384.123382561</v>
      </c>
      <c r="L73" s="31">
        <v>10414177.156155415</v>
      </c>
      <c r="M73" s="31">
        <f t="shared" si="8"/>
        <v>253508848.78538606</v>
      </c>
      <c r="N73" s="31">
        <v>737933.68000000017</v>
      </c>
      <c r="P73" s="42" t="s">
        <v>429</v>
      </c>
      <c r="Q73" s="42" t="s">
        <v>430</v>
      </c>
      <c r="R73" s="43" t="s">
        <v>1050</v>
      </c>
      <c r="S73" s="44">
        <v>34</v>
      </c>
      <c r="T73" s="31">
        <v>197607443.32366809</v>
      </c>
      <c r="U73" s="31">
        <v>5660441.0999999996</v>
      </c>
      <c r="V73" s="31">
        <v>6267201.3600000013</v>
      </c>
      <c r="W73" s="31">
        <v>693739.58</v>
      </c>
      <c r="X73" s="31">
        <v>31268793.137491416</v>
      </c>
      <c r="Y73" s="31">
        <v>15287951.553458173</v>
      </c>
      <c r="Z73" s="31">
        <v>11048463.426076978</v>
      </c>
      <c r="AA73" s="31">
        <f t="shared" si="9"/>
        <v>268608252.26069468</v>
      </c>
      <c r="AB73" s="31">
        <v>774218.78</v>
      </c>
      <c r="AD73" s="42" t="s">
        <v>429</v>
      </c>
      <c r="AE73" s="42" t="s">
        <v>430</v>
      </c>
      <c r="AF73" s="43" t="s">
        <v>1275</v>
      </c>
      <c r="AG73" s="44">
        <v>34</v>
      </c>
      <c r="AH73" s="31">
        <v>201232525.8415024</v>
      </c>
      <c r="AI73" s="31">
        <v>5760872.6399999997</v>
      </c>
      <c r="AJ73" s="31">
        <v>6378577.2400000002</v>
      </c>
      <c r="AK73" s="31">
        <v>706068.19</v>
      </c>
      <c r="AL73" s="31">
        <v>31826190.875007804</v>
      </c>
      <c r="AM73" s="31">
        <v>15261664.329104574</v>
      </c>
      <c r="AN73" s="31">
        <v>11245670.310263516</v>
      </c>
      <c r="AO73" s="31">
        <f t="shared" si="10"/>
        <v>273199708.49587828</v>
      </c>
      <c r="AP73" s="31">
        <v>788139.07000000007</v>
      </c>
      <c r="AR73" s="42" t="s">
        <v>429</v>
      </c>
      <c r="AS73" s="42" t="s">
        <v>430</v>
      </c>
      <c r="AT73" s="43" t="s">
        <v>1276</v>
      </c>
      <c r="AU73" s="44">
        <v>34</v>
      </c>
      <c r="AV73" s="31">
        <v>205107908.929654</v>
      </c>
      <c r="AW73" s="31">
        <v>5868434.8400000008</v>
      </c>
      <c r="AX73" s="31">
        <v>6497860.8200000003</v>
      </c>
      <c r="AY73" s="31">
        <v>719272.12999999989</v>
      </c>
      <c r="AZ73" s="31">
        <v>32423161.56096416</v>
      </c>
      <c r="BA73" s="31">
        <v>15262415.392657533</v>
      </c>
      <c r="BB73" s="31">
        <v>11456872.999883696</v>
      </c>
      <c r="BC73" s="31">
        <f t="shared" si="11"/>
        <v>278138974.35315943</v>
      </c>
      <c r="BD73" s="31">
        <v>803047.68</v>
      </c>
    </row>
    <row r="74" spans="2:56">
      <c r="B74" s="42" t="s">
        <v>245</v>
      </c>
      <c r="C74" s="42" t="s">
        <v>246</v>
      </c>
      <c r="D74" s="43" t="s">
        <v>1049</v>
      </c>
      <c r="E74" s="44">
        <v>34</v>
      </c>
      <c r="F74" s="31">
        <v>25992264.91705076</v>
      </c>
      <c r="G74" s="31">
        <v>820467.8</v>
      </c>
      <c r="H74" s="31">
        <v>337541.61</v>
      </c>
      <c r="I74" s="31">
        <v>90719.19</v>
      </c>
      <c r="J74" s="31">
        <v>3664280.1141184592</v>
      </c>
      <c r="K74" s="31">
        <v>1688808.6694923157</v>
      </c>
      <c r="L74" s="31">
        <v>2015605.3236128404</v>
      </c>
      <c r="M74" s="31">
        <f t="shared" si="8"/>
        <v>34761990.614274383</v>
      </c>
      <c r="N74" s="31">
        <v>152302.99</v>
      </c>
      <c r="P74" s="42" t="s">
        <v>245</v>
      </c>
      <c r="Q74" s="42" t="s">
        <v>246</v>
      </c>
      <c r="R74" s="43" t="s">
        <v>1050</v>
      </c>
      <c r="S74" s="44">
        <v>34</v>
      </c>
      <c r="T74" s="31">
        <v>27684665.689604152</v>
      </c>
      <c r="U74" s="31">
        <v>876254.90000000014</v>
      </c>
      <c r="V74" s="31">
        <v>359451.15</v>
      </c>
      <c r="W74" s="31">
        <v>96607.69</v>
      </c>
      <c r="X74" s="31">
        <v>3881685.9820839274</v>
      </c>
      <c r="Y74" s="31">
        <v>1691900.6380111522</v>
      </c>
      <c r="Z74" s="31">
        <v>2139499.1046892121</v>
      </c>
      <c r="AA74" s="31">
        <f t="shared" si="9"/>
        <v>36889722.754388444</v>
      </c>
      <c r="AB74" s="31">
        <v>159657.59999999998</v>
      </c>
      <c r="AD74" s="42" t="s">
        <v>245</v>
      </c>
      <c r="AE74" s="42" t="s">
        <v>246</v>
      </c>
      <c r="AF74" s="43" t="s">
        <v>1275</v>
      </c>
      <c r="AG74" s="44">
        <v>34</v>
      </c>
      <c r="AH74" s="31">
        <v>28186833.003134876</v>
      </c>
      <c r="AI74" s="31">
        <v>891494.38</v>
      </c>
      <c r="AJ74" s="31">
        <v>365718.13</v>
      </c>
      <c r="AK74" s="31">
        <v>98292.03</v>
      </c>
      <c r="AL74" s="31">
        <v>3949868.0387208788</v>
      </c>
      <c r="AM74" s="31">
        <v>1689551.5758597816</v>
      </c>
      <c r="AN74" s="31">
        <v>2177146.3740514363</v>
      </c>
      <c r="AO74" s="31">
        <f t="shared" si="10"/>
        <v>37521382.631766975</v>
      </c>
      <c r="AP74" s="31">
        <v>162479.09999999998</v>
      </c>
      <c r="AR74" s="42" t="s">
        <v>245</v>
      </c>
      <c r="AS74" s="42" t="s">
        <v>246</v>
      </c>
      <c r="AT74" s="43" t="s">
        <v>1276</v>
      </c>
      <c r="AU74" s="44">
        <v>34</v>
      </c>
      <c r="AV74" s="31">
        <v>28723722.696639284</v>
      </c>
      <c r="AW74" s="31">
        <v>907815.85000000009</v>
      </c>
      <c r="AX74" s="31">
        <v>372430.05</v>
      </c>
      <c r="AY74" s="31">
        <v>100095.96</v>
      </c>
      <c r="AZ74" s="31">
        <v>4022890.6692153742</v>
      </c>
      <c r="BA74" s="31">
        <v>1689618.6919212495</v>
      </c>
      <c r="BB74" s="31">
        <v>2217465.3151711784</v>
      </c>
      <c r="BC74" s="31">
        <f t="shared" si="11"/>
        <v>38199540.152947098</v>
      </c>
      <c r="BD74" s="31">
        <v>165500.91999999998</v>
      </c>
    </row>
    <row r="75" spans="2:56">
      <c r="B75" s="42" t="s">
        <v>151</v>
      </c>
      <c r="C75" s="42" t="s">
        <v>152</v>
      </c>
      <c r="D75" s="43" t="s">
        <v>1049</v>
      </c>
      <c r="E75" s="44">
        <v>34</v>
      </c>
      <c r="F75" s="31">
        <v>11631235.059165977</v>
      </c>
      <c r="G75" s="31">
        <v>776994.50999999978</v>
      </c>
      <c r="H75" s="31">
        <v>193189.36</v>
      </c>
      <c r="I75" s="31">
        <v>45296.100000000006</v>
      </c>
      <c r="J75" s="31">
        <v>2034711.3325883052</v>
      </c>
      <c r="K75" s="31">
        <v>959356.70389505685</v>
      </c>
      <c r="L75" s="31">
        <v>2374789.8208077531</v>
      </c>
      <c r="M75" s="31">
        <f t="shared" si="8"/>
        <v>18477512.366457094</v>
      </c>
      <c r="N75" s="31">
        <v>461939.48000000004</v>
      </c>
      <c r="P75" s="42" t="s">
        <v>151</v>
      </c>
      <c r="Q75" s="42" t="s">
        <v>152</v>
      </c>
      <c r="R75" s="43" t="s">
        <v>1050</v>
      </c>
      <c r="S75" s="44">
        <v>34</v>
      </c>
      <c r="T75" s="31">
        <v>12511482.516013205</v>
      </c>
      <c r="U75" s="31">
        <v>834672.40000000014</v>
      </c>
      <c r="V75" s="31">
        <v>205677.33999999997</v>
      </c>
      <c r="W75" s="31">
        <v>48224.080000000009</v>
      </c>
      <c r="X75" s="31">
        <v>2155340.4220605819</v>
      </c>
      <c r="Y75" s="31">
        <v>961678.72958304838</v>
      </c>
      <c r="Z75" s="31">
        <v>2545034.7978247507</v>
      </c>
      <c r="AA75" s="31">
        <f t="shared" si="9"/>
        <v>19746457.845481586</v>
      </c>
      <c r="AB75" s="31">
        <v>484347.56000000011</v>
      </c>
      <c r="AD75" s="42" t="s">
        <v>151</v>
      </c>
      <c r="AE75" s="42" t="s">
        <v>152</v>
      </c>
      <c r="AF75" s="43" t="s">
        <v>1275</v>
      </c>
      <c r="AG75" s="44">
        <v>34</v>
      </c>
      <c r="AH75" s="31">
        <v>12742837.702185029</v>
      </c>
      <c r="AI75" s="31">
        <v>849183.02</v>
      </c>
      <c r="AJ75" s="31">
        <v>209280.47999999998</v>
      </c>
      <c r="AK75" s="31">
        <v>49068.890000000007</v>
      </c>
      <c r="AL75" s="31">
        <v>2193313.3582888376</v>
      </c>
      <c r="AM75" s="31">
        <v>959914.61632479832</v>
      </c>
      <c r="AN75" s="31">
        <v>2589936.4704682673</v>
      </c>
      <c r="AO75" s="31">
        <f t="shared" si="10"/>
        <v>20086478.657266933</v>
      </c>
      <c r="AP75" s="31">
        <v>492944.12000000005</v>
      </c>
      <c r="AR75" s="42" t="s">
        <v>151</v>
      </c>
      <c r="AS75" s="42" t="s">
        <v>152</v>
      </c>
      <c r="AT75" s="43" t="s">
        <v>1276</v>
      </c>
      <c r="AU75" s="44">
        <v>34</v>
      </c>
      <c r="AV75" s="31">
        <v>12989900.297081176</v>
      </c>
      <c r="AW75" s="31">
        <v>864723.90999999992</v>
      </c>
      <c r="AX75" s="31">
        <v>213139.45</v>
      </c>
      <c r="AY75" s="31">
        <v>49973.680000000008</v>
      </c>
      <c r="AZ75" s="31">
        <v>2233982.2376947473</v>
      </c>
      <c r="BA75" s="31">
        <v>959965.01956074836</v>
      </c>
      <c r="BB75" s="31">
        <v>2638024.6801946731</v>
      </c>
      <c r="BC75" s="31">
        <f t="shared" si="11"/>
        <v>20451860.304531343</v>
      </c>
      <c r="BD75" s="31">
        <v>502151.03</v>
      </c>
    </row>
    <row r="76" spans="2:56">
      <c r="B76" s="42" t="s">
        <v>573</v>
      </c>
      <c r="C76" s="42" t="s">
        <v>574</v>
      </c>
      <c r="D76" s="43" t="s">
        <v>1049</v>
      </c>
      <c r="E76" s="44">
        <v>34</v>
      </c>
      <c r="F76" s="31">
        <v>1921468.314020202</v>
      </c>
      <c r="G76" s="31">
        <v>27576.280000000002</v>
      </c>
      <c r="H76" s="31">
        <v>0</v>
      </c>
      <c r="I76" s="31">
        <v>2046.29</v>
      </c>
      <c r="J76" s="31">
        <v>90213.333926510473</v>
      </c>
      <c r="K76" s="31">
        <v>230809.1144059161</v>
      </c>
      <c r="L76" s="31">
        <v>0</v>
      </c>
      <c r="M76" s="31">
        <f t="shared" si="8"/>
        <v>2295012.3823526287</v>
      </c>
      <c r="N76" s="31">
        <v>22899.05</v>
      </c>
      <c r="P76" s="42" t="s">
        <v>573</v>
      </c>
      <c r="Q76" s="42" t="s">
        <v>574</v>
      </c>
      <c r="R76" s="43" t="s">
        <v>1050</v>
      </c>
      <c r="S76" s="44">
        <v>34</v>
      </c>
      <c r="T76" s="31">
        <v>2045929.0515269483</v>
      </c>
      <c r="U76" s="31">
        <v>29746.809999999998</v>
      </c>
      <c r="V76" s="31">
        <v>0</v>
      </c>
      <c r="W76" s="31">
        <v>2179.11</v>
      </c>
      <c r="X76" s="31">
        <v>95567.285723321082</v>
      </c>
      <c r="Y76" s="31">
        <v>231396.61463720075</v>
      </c>
      <c r="Z76" s="31">
        <v>0</v>
      </c>
      <c r="AA76" s="31">
        <f t="shared" si="9"/>
        <v>2428823.71188747</v>
      </c>
      <c r="AB76" s="31">
        <v>24004.839999999997</v>
      </c>
      <c r="AD76" s="42" t="s">
        <v>573</v>
      </c>
      <c r="AE76" s="42" t="s">
        <v>574</v>
      </c>
      <c r="AF76" s="43" t="s">
        <v>1275</v>
      </c>
      <c r="AG76" s="44">
        <v>34</v>
      </c>
      <c r="AH76" s="31">
        <v>2081449.050311821</v>
      </c>
      <c r="AI76" s="31">
        <v>30259.75</v>
      </c>
      <c r="AJ76" s="31">
        <v>0</v>
      </c>
      <c r="AK76" s="31">
        <v>2217.11</v>
      </c>
      <c r="AL76" s="31">
        <v>97245.549052941453</v>
      </c>
      <c r="AM76" s="31">
        <v>230950.27291385373</v>
      </c>
      <c r="AN76" s="31">
        <v>0</v>
      </c>
      <c r="AO76" s="31">
        <f t="shared" si="10"/>
        <v>2466550.7922786162</v>
      </c>
      <c r="AP76" s="31">
        <v>24429.059999999998</v>
      </c>
      <c r="AR76" s="42" t="s">
        <v>573</v>
      </c>
      <c r="AS76" s="42" t="s">
        <v>574</v>
      </c>
      <c r="AT76" s="43" t="s">
        <v>1276</v>
      </c>
      <c r="AU76" s="44">
        <v>34</v>
      </c>
      <c r="AV76" s="31">
        <v>2119487.9664692888</v>
      </c>
      <c r="AW76" s="31">
        <v>30809.11</v>
      </c>
      <c r="AX76" s="31">
        <v>0</v>
      </c>
      <c r="AY76" s="31">
        <v>2257.7999999999997</v>
      </c>
      <c r="AZ76" s="31">
        <v>99042.956296322693</v>
      </c>
      <c r="BA76" s="31">
        <v>230963.02553452077</v>
      </c>
      <c r="BB76" s="31">
        <v>0</v>
      </c>
      <c r="BC76" s="31">
        <f t="shared" si="11"/>
        <v>2507444.2483001323</v>
      </c>
      <c r="BD76" s="31">
        <v>24883.39</v>
      </c>
    </row>
    <row r="77" spans="2:56">
      <c r="B77" s="42" t="s">
        <v>33</v>
      </c>
      <c r="C77" s="42" t="s">
        <v>34</v>
      </c>
      <c r="D77" s="43" t="s">
        <v>1049</v>
      </c>
      <c r="E77" s="44">
        <v>34</v>
      </c>
      <c r="F77" s="31">
        <v>3663482.0130399093</v>
      </c>
      <c r="G77" s="31">
        <v>130743.31000000001</v>
      </c>
      <c r="H77" s="31">
        <v>81512.800000000003</v>
      </c>
      <c r="I77" s="31">
        <v>9079.41</v>
      </c>
      <c r="J77" s="31">
        <v>352259.71179496264</v>
      </c>
      <c r="K77" s="31">
        <v>261053.69399201623</v>
      </c>
      <c r="L77" s="31">
        <v>0</v>
      </c>
      <c r="M77" s="31">
        <f t="shared" si="8"/>
        <v>4590740.7788268877</v>
      </c>
      <c r="N77" s="31">
        <v>92609.839999999982</v>
      </c>
      <c r="P77" s="42" t="s">
        <v>33</v>
      </c>
      <c r="Q77" s="42" t="s">
        <v>34</v>
      </c>
      <c r="R77" s="43" t="s">
        <v>1050</v>
      </c>
      <c r="S77" s="44">
        <v>34</v>
      </c>
      <c r="T77" s="31">
        <v>3927377.3890012898</v>
      </c>
      <c r="U77" s="31">
        <v>140688.70000000001</v>
      </c>
      <c r="V77" s="31">
        <v>86781.87000000001</v>
      </c>
      <c r="W77" s="31">
        <v>9666.2999999999975</v>
      </c>
      <c r="X77" s="31">
        <v>373126.7533433371</v>
      </c>
      <c r="Y77" s="31">
        <v>261489.90145534909</v>
      </c>
      <c r="Z77" s="31">
        <v>0</v>
      </c>
      <c r="AA77" s="31">
        <f t="shared" si="9"/>
        <v>4896233.123799976</v>
      </c>
      <c r="AB77" s="31">
        <v>97102.209999999992</v>
      </c>
      <c r="AD77" s="42" t="s">
        <v>33</v>
      </c>
      <c r="AE77" s="42" t="s">
        <v>34</v>
      </c>
      <c r="AF77" s="43" t="s">
        <v>1275</v>
      </c>
      <c r="AG77" s="44">
        <v>34</v>
      </c>
      <c r="AH77" s="31">
        <v>3996886.8185998029</v>
      </c>
      <c r="AI77" s="31">
        <v>143130.97999999995</v>
      </c>
      <c r="AJ77" s="31">
        <v>88302.159999999989</v>
      </c>
      <c r="AK77" s="31">
        <v>9835.64</v>
      </c>
      <c r="AL77" s="31">
        <v>379696.63026109582</v>
      </c>
      <c r="AM77" s="31">
        <v>261158.50143105446</v>
      </c>
      <c r="AN77" s="31">
        <v>0</v>
      </c>
      <c r="AO77" s="31">
        <f t="shared" si="10"/>
        <v>4977836.3902919535</v>
      </c>
      <c r="AP77" s="31">
        <v>98825.66</v>
      </c>
      <c r="AR77" s="42" t="s">
        <v>33</v>
      </c>
      <c r="AS77" s="42" t="s">
        <v>34</v>
      </c>
      <c r="AT77" s="43" t="s">
        <v>1276</v>
      </c>
      <c r="AU77" s="44">
        <v>34</v>
      </c>
      <c r="AV77" s="31">
        <v>4071285.819609425</v>
      </c>
      <c r="AW77" s="31">
        <v>145746.66999999998</v>
      </c>
      <c r="AX77" s="31">
        <v>89930.37999999999</v>
      </c>
      <c r="AY77" s="31">
        <v>10016.999999999998</v>
      </c>
      <c r="AZ77" s="31">
        <v>386732.92326466809</v>
      </c>
      <c r="BA77" s="31">
        <v>261167.97000317718</v>
      </c>
      <c r="BB77" s="31">
        <v>0</v>
      </c>
      <c r="BC77" s="31">
        <f t="shared" si="11"/>
        <v>5065552.2328772703</v>
      </c>
      <c r="BD77" s="31">
        <v>100671.46999999999</v>
      </c>
    </row>
    <row r="78" spans="2:56">
      <c r="B78" s="42" t="s">
        <v>187</v>
      </c>
      <c r="C78" s="42" t="s">
        <v>188</v>
      </c>
      <c r="D78" s="43" t="s">
        <v>1049</v>
      </c>
      <c r="E78" s="44">
        <v>34</v>
      </c>
      <c r="F78" s="31">
        <v>35141045.180763036</v>
      </c>
      <c r="G78" s="31">
        <v>866251.91999999993</v>
      </c>
      <c r="H78" s="31">
        <v>0</v>
      </c>
      <c r="I78" s="31">
        <v>130771.78</v>
      </c>
      <c r="J78" s="31">
        <v>6024407.9697946459</v>
      </c>
      <c r="K78" s="31">
        <v>2372290.0740763433</v>
      </c>
      <c r="L78" s="31">
        <v>4353161.6509491326</v>
      </c>
      <c r="M78" s="31">
        <f t="shared" si="8"/>
        <v>48891153.39558316</v>
      </c>
      <c r="N78" s="31">
        <v>3224.8199999999997</v>
      </c>
      <c r="P78" s="42" t="s">
        <v>187</v>
      </c>
      <c r="Q78" s="42" t="s">
        <v>188</v>
      </c>
      <c r="R78" s="43" t="s">
        <v>1050</v>
      </c>
      <c r="S78" s="44">
        <v>34</v>
      </c>
      <c r="T78" s="31">
        <v>37384843.122007102</v>
      </c>
      <c r="U78" s="31">
        <v>921684.69</v>
      </c>
      <c r="V78" s="31">
        <v>0</v>
      </c>
      <c r="W78" s="31">
        <v>139132.84</v>
      </c>
      <c r="X78" s="31">
        <v>6380220.0216535861</v>
      </c>
      <c r="Y78" s="31">
        <v>2378161.4253647332</v>
      </c>
      <c r="Z78" s="31">
        <v>4618706.4048629161</v>
      </c>
      <c r="AA78" s="31">
        <f t="shared" si="9"/>
        <v>51826131.60388834</v>
      </c>
      <c r="AB78" s="31">
        <v>3383.0999999999995</v>
      </c>
      <c r="AD78" s="42" t="s">
        <v>187</v>
      </c>
      <c r="AE78" s="42" t="s">
        <v>188</v>
      </c>
      <c r="AF78" s="43" t="s">
        <v>1275</v>
      </c>
      <c r="AG78" s="44">
        <v>34</v>
      </c>
      <c r="AH78" s="31">
        <v>38056885.416735396</v>
      </c>
      <c r="AI78" s="31">
        <v>938033.23</v>
      </c>
      <c r="AJ78" s="31">
        <v>0</v>
      </c>
      <c r="AK78" s="31">
        <v>141600.84</v>
      </c>
      <c r="AL78" s="31">
        <v>6493707.527401153</v>
      </c>
      <c r="AM78" s="31">
        <v>2373606.1682520001</v>
      </c>
      <c r="AN78" s="31">
        <v>4700977.7624932518</v>
      </c>
      <c r="AO78" s="31">
        <f t="shared" si="10"/>
        <v>52708254.774881802</v>
      </c>
      <c r="AP78" s="31">
        <v>3443.8299999999995</v>
      </c>
      <c r="AR78" s="42" t="s">
        <v>187</v>
      </c>
      <c r="AS78" s="42" t="s">
        <v>188</v>
      </c>
      <c r="AT78" s="43" t="s">
        <v>1276</v>
      </c>
      <c r="AU78" s="44">
        <v>34</v>
      </c>
      <c r="AV78" s="31">
        <v>38776123.428159162</v>
      </c>
      <c r="AW78" s="31">
        <v>955542.50999999989</v>
      </c>
      <c r="AX78" s="31">
        <v>0</v>
      </c>
      <c r="AY78" s="31">
        <v>144244.07</v>
      </c>
      <c r="AZ78" s="31">
        <v>6615252.1015447127</v>
      </c>
      <c r="BA78" s="31">
        <v>2373736.3184552207</v>
      </c>
      <c r="BB78" s="31">
        <v>4789087.8798711384</v>
      </c>
      <c r="BC78" s="31">
        <f t="shared" si="11"/>
        <v>53657495.17803023</v>
      </c>
      <c r="BD78" s="31">
        <v>3508.87</v>
      </c>
    </row>
    <row r="79" spans="2:56">
      <c r="B79" s="42" t="s">
        <v>135</v>
      </c>
      <c r="C79" s="42" t="s">
        <v>136</v>
      </c>
      <c r="D79" s="43" t="s">
        <v>1049</v>
      </c>
      <c r="E79" s="44">
        <v>34</v>
      </c>
      <c r="F79" s="31">
        <v>20703260.699231572</v>
      </c>
      <c r="G79" s="31">
        <v>933361.89000000013</v>
      </c>
      <c r="H79" s="31">
        <v>616793.62</v>
      </c>
      <c r="I79" s="31">
        <v>0</v>
      </c>
      <c r="J79" s="31">
        <v>3175990.3474239316</v>
      </c>
      <c r="K79" s="31">
        <v>1478563.1427322172</v>
      </c>
      <c r="L79" s="31">
        <v>2230982.4502273002</v>
      </c>
      <c r="M79" s="31">
        <f t="shared" si="8"/>
        <v>29665355.329615023</v>
      </c>
      <c r="N79" s="31">
        <v>526403.17999999993</v>
      </c>
      <c r="P79" s="42" t="s">
        <v>135</v>
      </c>
      <c r="Q79" s="42" t="s">
        <v>136</v>
      </c>
      <c r="R79" s="43" t="s">
        <v>1050</v>
      </c>
      <c r="S79" s="44">
        <v>34</v>
      </c>
      <c r="T79" s="31">
        <v>22271768.539871965</v>
      </c>
      <c r="U79" s="31">
        <v>1002187.4700000001</v>
      </c>
      <c r="V79" s="31">
        <v>656663.80000000005</v>
      </c>
      <c r="W79" s="31">
        <v>0</v>
      </c>
      <c r="X79" s="31">
        <v>3364280.8041673368</v>
      </c>
      <c r="Y79" s="31">
        <v>1481103.9250870331</v>
      </c>
      <c r="Z79" s="31">
        <v>2390859.0810144092</v>
      </c>
      <c r="AA79" s="31">
        <f t="shared" si="9"/>
        <v>31718801.920140747</v>
      </c>
      <c r="AB79" s="31">
        <v>551938.29999999993</v>
      </c>
      <c r="AD79" s="42" t="s">
        <v>135</v>
      </c>
      <c r="AE79" s="42" t="s">
        <v>136</v>
      </c>
      <c r="AF79" s="43" t="s">
        <v>1275</v>
      </c>
      <c r="AG79" s="44">
        <v>34</v>
      </c>
      <c r="AH79" s="31">
        <v>22668723.748865515</v>
      </c>
      <c r="AI79" s="31">
        <v>1019617.1399999998</v>
      </c>
      <c r="AJ79" s="31">
        <v>668167.52999999991</v>
      </c>
      <c r="AK79" s="31">
        <v>0</v>
      </c>
      <c r="AL79" s="31">
        <v>3423543.1219948139</v>
      </c>
      <c r="AM79" s="31">
        <v>1479173.6157620165</v>
      </c>
      <c r="AN79" s="31">
        <v>2433040.3289969629</v>
      </c>
      <c r="AO79" s="31">
        <f t="shared" si="10"/>
        <v>32254000.005619314</v>
      </c>
      <c r="AP79" s="31">
        <v>561734.5199999999</v>
      </c>
      <c r="AR79" s="42" t="s">
        <v>135</v>
      </c>
      <c r="AS79" s="42" t="s">
        <v>136</v>
      </c>
      <c r="AT79" s="43" t="s">
        <v>1276</v>
      </c>
      <c r="AU79" s="44">
        <v>34</v>
      </c>
      <c r="AV79" s="31">
        <v>23093528.381916948</v>
      </c>
      <c r="AW79" s="31">
        <v>1038284.3099999998</v>
      </c>
      <c r="AX79" s="31">
        <v>680488.02999999991</v>
      </c>
      <c r="AY79" s="31">
        <v>0</v>
      </c>
      <c r="AZ79" s="31">
        <v>3487012.7705121408</v>
      </c>
      <c r="BA79" s="31">
        <v>1479228.7674570167</v>
      </c>
      <c r="BB79" s="31">
        <v>2478215.0535658775</v>
      </c>
      <c r="BC79" s="31">
        <f t="shared" si="11"/>
        <v>32828983.563451983</v>
      </c>
      <c r="BD79" s="31">
        <v>572226.25</v>
      </c>
    </row>
    <row r="80" spans="2:56">
      <c r="B80" s="42" t="s">
        <v>273</v>
      </c>
      <c r="C80" s="42" t="s">
        <v>274</v>
      </c>
      <c r="D80" s="43" t="s">
        <v>1049</v>
      </c>
      <c r="E80" s="44">
        <v>34</v>
      </c>
      <c r="F80" s="31">
        <v>526362.90238324052</v>
      </c>
      <c r="G80" s="31">
        <v>17344.800000000003</v>
      </c>
      <c r="H80" s="31">
        <v>3800.26</v>
      </c>
      <c r="I80" s="31">
        <v>1266.7600000000002</v>
      </c>
      <c r="J80" s="31">
        <v>64829.507592904702</v>
      </c>
      <c r="K80" s="31">
        <v>23198.336213827675</v>
      </c>
      <c r="L80" s="31">
        <v>0</v>
      </c>
      <c r="M80" s="31">
        <f t="shared" si="8"/>
        <v>650249.66618997301</v>
      </c>
      <c r="N80" s="31">
        <v>13447.1</v>
      </c>
      <c r="P80" s="42" t="s">
        <v>273</v>
      </c>
      <c r="Q80" s="42" t="s">
        <v>274</v>
      </c>
      <c r="R80" s="43" t="s">
        <v>1050</v>
      </c>
      <c r="S80" s="44">
        <v>34</v>
      </c>
      <c r="T80" s="31">
        <v>565915.00421079411</v>
      </c>
      <c r="U80" s="31">
        <v>18694.120000000006</v>
      </c>
      <c r="V80" s="31">
        <v>4046.94</v>
      </c>
      <c r="W80" s="31">
        <v>1348.9900000000002</v>
      </c>
      <c r="X80" s="31">
        <v>68671.398508185506</v>
      </c>
      <c r="Y80" s="31">
        <v>23237.332354808219</v>
      </c>
      <c r="Z80" s="31">
        <v>0</v>
      </c>
      <c r="AA80" s="31">
        <f t="shared" si="9"/>
        <v>696010.23507378774</v>
      </c>
      <c r="AB80" s="31">
        <v>14096.45</v>
      </c>
      <c r="AD80" s="42" t="s">
        <v>273</v>
      </c>
      <c r="AE80" s="42" t="s">
        <v>274</v>
      </c>
      <c r="AF80" s="43" t="s">
        <v>1275</v>
      </c>
      <c r="AG80" s="44">
        <v>34</v>
      </c>
      <c r="AH80" s="31">
        <v>575744.94748433016</v>
      </c>
      <c r="AI80" s="31">
        <v>19016.719999999998</v>
      </c>
      <c r="AJ80" s="31">
        <v>4117.5</v>
      </c>
      <c r="AK80" s="31">
        <v>1372.5000000000002</v>
      </c>
      <c r="AL80" s="31">
        <v>69875.866916066225</v>
      </c>
      <c r="AM80" s="31">
        <v>23207.705805162306</v>
      </c>
      <c r="AN80" s="31">
        <v>0</v>
      </c>
      <c r="AO80" s="31">
        <f t="shared" si="10"/>
        <v>707680.80020555877</v>
      </c>
      <c r="AP80" s="31">
        <v>14345.560000000001</v>
      </c>
      <c r="AR80" s="42" t="s">
        <v>273</v>
      </c>
      <c r="AS80" s="42" t="s">
        <v>274</v>
      </c>
      <c r="AT80" s="43" t="s">
        <v>1276</v>
      </c>
      <c r="AU80" s="44">
        <v>34</v>
      </c>
      <c r="AV80" s="31">
        <v>586272.99144798703</v>
      </c>
      <c r="AW80" s="31">
        <v>19362.199999999997</v>
      </c>
      <c r="AX80" s="31">
        <v>4193.0600000000004</v>
      </c>
      <c r="AY80" s="31">
        <v>1397.69</v>
      </c>
      <c r="AZ80" s="31">
        <v>71165.835996513953</v>
      </c>
      <c r="BA80" s="31">
        <v>23208.552278009334</v>
      </c>
      <c r="BB80" s="31">
        <v>0</v>
      </c>
      <c r="BC80" s="31">
        <f t="shared" si="11"/>
        <v>720212.6997225103</v>
      </c>
      <c r="BD80" s="31">
        <v>14612.37</v>
      </c>
    </row>
    <row r="81" spans="2:56">
      <c r="B81" s="42" t="s">
        <v>423</v>
      </c>
      <c r="C81" s="42" t="s">
        <v>424</v>
      </c>
      <c r="D81" s="43" t="s">
        <v>1049</v>
      </c>
      <c r="E81" s="44">
        <v>34</v>
      </c>
      <c r="F81" s="31">
        <v>181963987.9831199</v>
      </c>
      <c r="G81" s="31">
        <v>5570813.6999999993</v>
      </c>
      <c r="H81" s="31">
        <v>5796081.1799999997</v>
      </c>
      <c r="I81" s="31">
        <v>651842.75000000012</v>
      </c>
      <c r="J81" s="31">
        <v>26399373.720740926</v>
      </c>
      <c r="K81" s="31">
        <v>12685237.22906089</v>
      </c>
      <c r="L81" s="31">
        <v>15376566.202289466</v>
      </c>
      <c r="M81" s="31">
        <f t="shared" si="8"/>
        <v>251051044.46521115</v>
      </c>
      <c r="N81" s="31">
        <v>2607141.7000000002</v>
      </c>
      <c r="P81" s="42" t="s">
        <v>423</v>
      </c>
      <c r="Q81" s="42" t="s">
        <v>424</v>
      </c>
      <c r="R81" s="43" t="s">
        <v>1050</v>
      </c>
      <c r="S81" s="44">
        <v>34</v>
      </c>
      <c r="T81" s="31">
        <v>191194466.24381009</v>
      </c>
      <c r="U81" s="31">
        <v>5875150.6900000023</v>
      </c>
      <c r="V81" s="31">
        <v>6073554.9199999999</v>
      </c>
      <c r="W81" s="31">
        <v>683048.19000000006</v>
      </c>
      <c r="X81" s="31">
        <v>27602592.025029045</v>
      </c>
      <c r="Y81" s="31">
        <v>12710926.22873777</v>
      </c>
      <c r="Z81" s="31">
        <v>16109855.543530354</v>
      </c>
      <c r="AA81" s="31">
        <f t="shared" si="9"/>
        <v>262943898.89110723</v>
      </c>
      <c r="AB81" s="31">
        <v>2694305.05</v>
      </c>
      <c r="AD81" s="42" t="s">
        <v>423</v>
      </c>
      <c r="AE81" s="42" t="s">
        <v>424</v>
      </c>
      <c r="AF81" s="43" t="s">
        <v>1275</v>
      </c>
      <c r="AG81" s="44">
        <v>34</v>
      </c>
      <c r="AH81" s="31">
        <v>194652979.08847508</v>
      </c>
      <c r="AI81" s="31">
        <v>5978997.4700000007</v>
      </c>
      <c r="AJ81" s="31">
        <v>6181489.4700000007</v>
      </c>
      <c r="AK81" s="31">
        <v>695186.8</v>
      </c>
      <c r="AL81" s="31">
        <v>28094563.896331444</v>
      </c>
      <c r="AM81" s="31">
        <v>12690775.891719388</v>
      </c>
      <c r="AN81" s="31">
        <v>16397404.518471336</v>
      </c>
      <c r="AO81" s="31">
        <f t="shared" si="10"/>
        <v>267434145.19499728</v>
      </c>
      <c r="AP81" s="31">
        <v>2742748.0600000005</v>
      </c>
      <c r="AR81" s="42" t="s">
        <v>423</v>
      </c>
      <c r="AS81" s="42" t="s">
        <v>424</v>
      </c>
      <c r="AT81" s="43" t="s">
        <v>1276</v>
      </c>
      <c r="AU81" s="44">
        <v>34</v>
      </c>
      <c r="AV81" s="31">
        <v>198353459.83756077</v>
      </c>
      <c r="AW81" s="31">
        <v>6090217.3600000003</v>
      </c>
      <c r="AX81" s="31">
        <v>6297087.370000001</v>
      </c>
      <c r="AY81" s="31">
        <v>708187.25</v>
      </c>
      <c r="AZ81" s="31">
        <v>28621463.189494208</v>
      </c>
      <c r="BA81" s="31">
        <v>12691351.615634199</v>
      </c>
      <c r="BB81" s="31">
        <v>16705360.892337123</v>
      </c>
      <c r="BC81" s="31">
        <f t="shared" si="11"/>
        <v>272261758.03502631</v>
      </c>
      <c r="BD81" s="31">
        <v>2794630.5200000005</v>
      </c>
    </row>
    <row r="82" spans="2:56">
      <c r="B82" s="42" t="s">
        <v>65</v>
      </c>
      <c r="C82" s="42" t="s">
        <v>66</v>
      </c>
      <c r="D82" s="43" t="s">
        <v>1049</v>
      </c>
      <c r="E82" s="44">
        <v>34</v>
      </c>
      <c r="F82" s="31">
        <v>180963684.75782695</v>
      </c>
      <c r="G82" s="31">
        <v>8121966.1099999994</v>
      </c>
      <c r="H82" s="31">
        <v>5727135.2300000004</v>
      </c>
      <c r="I82" s="31">
        <v>677993.34</v>
      </c>
      <c r="J82" s="31">
        <v>29313166.775507834</v>
      </c>
      <c r="K82" s="31">
        <v>16429225.342256634</v>
      </c>
      <c r="L82" s="31">
        <v>28000724.103871163</v>
      </c>
      <c r="M82" s="31">
        <f t="shared" si="8"/>
        <v>273244911.58946258</v>
      </c>
      <c r="N82" s="31">
        <v>4011015.93</v>
      </c>
      <c r="P82" s="42" t="s">
        <v>65</v>
      </c>
      <c r="Q82" s="42" t="s">
        <v>66</v>
      </c>
      <c r="R82" s="43" t="s">
        <v>1050</v>
      </c>
      <c r="S82" s="44">
        <v>34</v>
      </c>
      <c r="T82" s="31">
        <v>194611065.91459876</v>
      </c>
      <c r="U82" s="31">
        <v>8709722.8400000017</v>
      </c>
      <c r="V82" s="31">
        <v>6096613.9900000002</v>
      </c>
      <c r="W82" s="31">
        <v>721733.20000000007</v>
      </c>
      <c r="X82" s="31">
        <v>31049195.70213658</v>
      </c>
      <c r="Y82" s="31">
        <v>16470290.986205118</v>
      </c>
      <c r="Z82" s="31">
        <v>30000146.474212009</v>
      </c>
      <c r="AA82" s="31">
        <f t="shared" si="9"/>
        <v>291864771.99715245</v>
      </c>
      <c r="AB82" s="31">
        <v>4206002.8900000006</v>
      </c>
      <c r="AD82" s="42" t="s">
        <v>65</v>
      </c>
      <c r="AE82" s="42" t="s">
        <v>66</v>
      </c>
      <c r="AF82" s="43" t="s">
        <v>1275</v>
      </c>
      <c r="AG82" s="44">
        <v>34</v>
      </c>
      <c r="AH82" s="31">
        <v>198128042.41576925</v>
      </c>
      <c r="AI82" s="31">
        <v>8861695.2600000016</v>
      </c>
      <c r="AJ82" s="31">
        <v>6203659.370000001</v>
      </c>
      <c r="AK82" s="31">
        <v>734405.52000000014</v>
      </c>
      <c r="AL82" s="31">
        <v>31597623.750550952</v>
      </c>
      <c r="AM82" s="31">
        <v>16438749.804942969</v>
      </c>
      <c r="AN82" s="31">
        <v>30530597.715526216</v>
      </c>
      <c r="AO82" s="31">
        <f t="shared" si="10"/>
        <v>296775580.8067894</v>
      </c>
      <c r="AP82" s="31">
        <v>4280806.97</v>
      </c>
      <c r="AR82" s="42" t="s">
        <v>65</v>
      </c>
      <c r="AS82" s="42" t="s">
        <v>66</v>
      </c>
      <c r="AT82" s="43" t="s">
        <v>1276</v>
      </c>
      <c r="AU82" s="44">
        <v>34</v>
      </c>
      <c r="AV82" s="31">
        <v>201889338.37830755</v>
      </c>
      <c r="AW82" s="31">
        <v>9024457.6900000013</v>
      </c>
      <c r="AX82" s="31">
        <v>6318304.9700000007</v>
      </c>
      <c r="AY82" s="31">
        <v>747977.56</v>
      </c>
      <c r="AZ82" s="31">
        <v>32184988.367224805</v>
      </c>
      <c r="BA82" s="31">
        <v>16439650.981550459</v>
      </c>
      <c r="BB82" s="31">
        <v>31098694.311444502</v>
      </c>
      <c r="BC82" s="31">
        <f t="shared" si="11"/>
        <v>302064334.41852736</v>
      </c>
      <c r="BD82" s="31">
        <v>4360922.16</v>
      </c>
    </row>
    <row r="83" spans="2:56">
      <c r="B83" s="42" t="s">
        <v>497</v>
      </c>
      <c r="C83" s="42" t="s">
        <v>498</v>
      </c>
      <c r="D83" s="43" t="s">
        <v>1049</v>
      </c>
      <c r="E83" s="44">
        <v>34</v>
      </c>
      <c r="F83" s="31">
        <v>425627.35472715984</v>
      </c>
      <c r="G83" s="31">
        <v>13349.65</v>
      </c>
      <c r="H83" s="31">
        <v>0</v>
      </c>
      <c r="I83" s="31">
        <v>682.09999999999991</v>
      </c>
      <c r="J83" s="31">
        <v>9228.2530419587183</v>
      </c>
      <c r="K83" s="31">
        <v>0</v>
      </c>
      <c r="L83" s="31">
        <v>0</v>
      </c>
      <c r="M83" s="31">
        <f t="shared" si="8"/>
        <v>455708.34776911855</v>
      </c>
      <c r="N83" s="31">
        <v>6820.99</v>
      </c>
      <c r="P83" s="42" t="s">
        <v>497</v>
      </c>
      <c r="Q83" s="42" t="s">
        <v>498</v>
      </c>
      <c r="R83" s="43" t="s">
        <v>1050</v>
      </c>
      <c r="S83" s="44">
        <v>34</v>
      </c>
      <c r="T83" s="31">
        <v>455401.38122881937</v>
      </c>
      <c r="U83" s="31">
        <v>14329.560000000005</v>
      </c>
      <c r="V83" s="31">
        <v>0</v>
      </c>
      <c r="W83" s="31">
        <v>726.3900000000001</v>
      </c>
      <c r="X83" s="31">
        <v>9774.831260691537</v>
      </c>
      <c r="Y83" s="31">
        <v>0</v>
      </c>
      <c r="Z83" s="31">
        <v>0</v>
      </c>
      <c r="AA83" s="31">
        <f t="shared" si="9"/>
        <v>487382.52248951088</v>
      </c>
      <c r="AB83" s="31">
        <v>7150.36</v>
      </c>
      <c r="AD83" s="42" t="s">
        <v>497</v>
      </c>
      <c r="AE83" s="42" t="s">
        <v>498</v>
      </c>
      <c r="AF83" s="43" t="s">
        <v>1275</v>
      </c>
      <c r="AG83" s="44">
        <v>34</v>
      </c>
      <c r="AH83" s="31">
        <v>463318.29487358878</v>
      </c>
      <c r="AI83" s="31">
        <v>14577.680000000004</v>
      </c>
      <c r="AJ83" s="31">
        <v>0</v>
      </c>
      <c r="AK83" s="31">
        <v>739.05000000000007</v>
      </c>
      <c r="AL83" s="31">
        <v>9946.2554483893327</v>
      </c>
      <c r="AM83" s="31">
        <v>0</v>
      </c>
      <c r="AN83" s="31">
        <v>0</v>
      </c>
      <c r="AO83" s="31">
        <f t="shared" si="10"/>
        <v>495858.01032197807</v>
      </c>
      <c r="AP83" s="31">
        <v>7276.73</v>
      </c>
      <c r="AR83" s="42" t="s">
        <v>497</v>
      </c>
      <c r="AS83" s="42" t="s">
        <v>498</v>
      </c>
      <c r="AT83" s="43" t="s">
        <v>1276</v>
      </c>
      <c r="AU83" s="44">
        <v>34</v>
      </c>
      <c r="AV83" s="31">
        <v>471797.83512483689</v>
      </c>
      <c r="AW83" s="31">
        <v>14843.430000000004</v>
      </c>
      <c r="AX83" s="31">
        <v>0</v>
      </c>
      <c r="AY83" s="31">
        <v>752.62</v>
      </c>
      <c r="AZ83" s="31">
        <v>10129.848427096178</v>
      </c>
      <c r="BA83" s="31">
        <v>0</v>
      </c>
      <c r="BB83" s="31">
        <v>0</v>
      </c>
      <c r="BC83" s="31">
        <f t="shared" si="11"/>
        <v>504935.80355193309</v>
      </c>
      <c r="BD83" s="31">
        <v>7412.0700000000006</v>
      </c>
    </row>
    <row r="84" spans="2:56">
      <c r="B84" s="42" t="s">
        <v>185</v>
      </c>
      <c r="C84" s="42" t="s">
        <v>186</v>
      </c>
      <c r="D84" s="43" t="s">
        <v>1049</v>
      </c>
      <c r="E84" s="44">
        <v>34</v>
      </c>
      <c r="F84" s="31">
        <v>179101201.58127844</v>
      </c>
      <c r="G84" s="31">
        <v>9248377.5899999999</v>
      </c>
      <c r="H84" s="31">
        <v>8544697.8599999994</v>
      </c>
      <c r="I84" s="31">
        <v>634281.60999999987</v>
      </c>
      <c r="J84" s="31">
        <v>27615229.700525362</v>
      </c>
      <c r="K84" s="31">
        <v>13452641.209165677</v>
      </c>
      <c r="L84" s="31">
        <v>13151729.831512645</v>
      </c>
      <c r="M84" s="31">
        <f t="shared" si="8"/>
        <v>257700341.63248211</v>
      </c>
      <c r="N84" s="31">
        <v>5952182.25</v>
      </c>
      <c r="P84" s="42" t="s">
        <v>185</v>
      </c>
      <c r="Q84" s="42" t="s">
        <v>186</v>
      </c>
      <c r="R84" s="43" t="s">
        <v>1050</v>
      </c>
      <c r="S84" s="44">
        <v>34</v>
      </c>
      <c r="T84" s="31">
        <v>192568704.67828426</v>
      </c>
      <c r="U84" s="31">
        <v>9932493.0100000016</v>
      </c>
      <c r="V84" s="31">
        <v>9092892.7199999988</v>
      </c>
      <c r="W84" s="31">
        <v>674974.68</v>
      </c>
      <c r="X84" s="31">
        <v>29247463.298853159</v>
      </c>
      <c r="Y84" s="31">
        <v>13476139.609495243</v>
      </c>
      <c r="Z84" s="31">
        <v>14092105.394404806</v>
      </c>
      <c r="AA84" s="31">
        <f t="shared" si="9"/>
        <v>275328049.53103745</v>
      </c>
      <c r="AB84" s="31">
        <v>6243276.1399999997</v>
      </c>
      <c r="AD84" s="42" t="s">
        <v>185</v>
      </c>
      <c r="AE84" s="42" t="s">
        <v>186</v>
      </c>
      <c r="AF84" s="43" t="s">
        <v>1275</v>
      </c>
      <c r="AG84" s="44">
        <v>34</v>
      </c>
      <c r="AH84" s="31">
        <v>196099267.288441</v>
      </c>
      <c r="AI84" s="31">
        <v>10106640.869999999</v>
      </c>
      <c r="AJ84" s="31">
        <v>9253562</v>
      </c>
      <c r="AK84" s="31">
        <v>686901.32000000018</v>
      </c>
      <c r="AL84" s="31">
        <v>29766519.321288496</v>
      </c>
      <c r="AM84" s="31">
        <v>13457908.498805143</v>
      </c>
      <c r="AN84" s="31">
        <v>14342524.351596668</v>
      </c>
      <c r="AO84" s="31">
        <f t="shared" si="10"/>
        <v>280068273.99013126</v>
      </c>
      <c r="AP84" s="31">
        <v>6354950.3399999999</v>
      </c>
      <c r="AR84" s="42" t="s">
        <v>185</v>
      </c>
      <c r="AS84" s="42" t="s">
        <v>186</v>
      </c>
      <c r="AT84" s="43" t="s">
        <v>1276</v>
      </c>
      <c r="AU84" s="44">
        <v>34</v>
      </c>
      <c r="AV84" s="31">
        <v>199872775.53242475</v>
      </c>
      <c r="AW84" s="31">
        <v>10293153.23</v>
      </c>
      <c r="AX84" s="31">
        <v>9425638.8099999987</v>
      </c>
      <c r="AY84" s="31">
        <v>699674.76</v>
      </c>
      <c r="AZ84" s="31">
        <v>30322426.211725894</v>
      </c>
      <c r="BA84" s="31">
        <v>13458429.387682004</v>
      </c>
      <c r="BB84" s="31">
        <v>14610715.332811145</v>
      </c>
      <c r="BC84" s="31">
        <f t="shared" si="11"/>
        <v>285157366.67464375</v>
      </c>
      <c r="BD84" s="31">
        <v>6474553.4100000001</v>
      </c>
    </row>
    <row r="85" spans="2:56">
      <c r="B85" s="42" t="s">
        <v>541</v>
      </c>
      <c r="C85" s="42" t="s">
        <v>542</v>
      </c>
      <c r="D85" s="43" t="s">
        <v>1049</v>
      </c>
      <c r="E85" s="44">
        <v>34</v>
      </c>
      <c r="F85" s="31">
        <v>38401502.021323793</v>
      </c>
      <c r="G85" s="31">
        <v>1444919.2800000003</v>
      </c>
      <c r="H85" s="31">
        <v>566366.79999999993</v>
      </c>
      <c r="I85" s="31">
        <v>133612.07999999999</v>
      </c>
      <c r="J85" s="31">
        <v>6032406.234308891</v>
      </c>
      <c r="K85" s="31">
        <v>2666314.9565983322</v>
      </c>
      <c r="L85" s="31">
        <v>2570515.8110656892</v>
      </c>
      <c r="M85" s="31">
        <f t="shared" si="8"/>
        <v>52338527.043296702</v>
      </c>
      <c r="N85" s="31">
        <v>522889.86</v>
      </c>
      <c r="P85" s="42" t="s">
        <v>541</v>
      </c>
      <c r="Q85" s="42" t="s">
        <v>542</v>
      </c>
      <c r="R85" s="43" t="s">
        <v>1050</v>
      </c>
      <c r="S85" s="44">
        <v>34</v>
      </c>
      <c r="T85" s="31">
        <v>40608986.214022473</v>
      </c>
      <c r="U85" s="31">
        <v>1533475.7800000003</v>
      </c>
      <c r="V85" s="31">
        <v>597913.53</v>
      </c>
      <c r="W85" s="31">
        <v>141054.31000000003</v>
      </c>
      <c r="X85" s="31">
        <v>6346052.3091518022</v>
      </c>
      <c r="Y85" s="31">
        <v>2673811.1800313136</v>
      </c>
      <c r="Z85" s="31">
        <v>2709632.9291370637</v>
      </c>
      <c r="AA85" s="31">
        <f t="shared" si="9"/>
        <v>55154866.912342653</v>
      </c>
      <c r="AB85" s="31">
        <v>543940.66</v>
      </c>
      <c r="AD85" s="42" t="s">
        <v>541</v>
      </c>
      <c r="AE85" s="42" t="s">
        <v>542</v>
      </c>
      <c r="AF85" s="43" t="s">
        <v>1275</v>
      </c>
      <c r="AG85" s="44">
        <v>34</v>
      </c>
      <c r="AH85" s="31">
        <v>41345685.141341917</v>
      </c>
      <c r="AI85" s="31">
        <v>1560367.7000000002</v>
      </c>
      <c r="AJ85" s="31">
        <v>608445.97</v>
      </c>
      <c r="AK85" s="31">
        <v>143539.02000000002</v>
      </c>
      <c r="AL85" s="31">
        <v>6458395.3328327034</v>
      </c>
      <c r="AM85" s="31">
        <v>2668018.6015774133</v>
      </c>
      <c r="AN85" s="31">
        <v>2757675.7843215102</v>
      </c>
      <c r="AO85" s="31">
        <f t="shared" si="10"/>
        <v>56095770.670073546</v>
      </c>
      <c r="AP85" s="31">
        <v>553643.12</v>
      </c>
      <c r="AR85" s="42" t="s">
        <v>541</v>
      </c>
      <c r="AS85" s="42" t="s">
        <v>542</v>
      </c>
      <c r="AT85" s="43" t="s">
        <v>1276</v>
      </c>
      <c r="AU85" s="44">
        <v>34</v>
      </c>
      <c r="AV85" s="31">
        <v>42133429.383453891</v>
      </c>
      <c r="AW85" s="31">
        <v>1589168.93</v>
      </c>
      <c r="AX85" s="31">
        <v>619726.21</v>
      </c>
      <c r="AY85" s="31">
        <v>146200.15000000002</v>
      </c>
      <c r="AZ85" s="31">
        <v>6578714.1843310362</v>
      </c>
      <c r="BA85" s="31">
        <v>2668184.103818953</v>
      </c>
      <c r="BB85" s="31">
        <v>2809128.1528920513</v>
      </c>
      <c r="BC85" s="31">
        <f t="shared" si="11"/>
        <v>57108585.564495936</v>
      </c>
      <c r="BD85" s="31">
        <v>564034.44999999995</v>
      </c>
    </row>
    <row r="86" spans="2:56">
      <c r="B86" s="42" t="s">
        <v>389</v>
      </c>
      <c r="C86" s="42" t="s">
        <v>390</v>
      </c>
      <c r="D86" s="43" t="s">
        <v>1049</v>
      </c>
      <c r="E86" s="44">
        <v>34</v>
      </c>
      <c r="F86" s="31">
        <v>31556137.665536307</v>
      </c>
      <c r="G86" s="31">
        <v>1167698.8600000001</v>
      </c>
      <c r="H86" s="31">
        <v>896464.27</v>
      </c>
      <c r="I86" s="31">
        <v>114981.06</v>
      </c>
      <c r="J86" s="31">
        <v>4129633.4162087026</v>
      </c>
      <c r="K86" s="31">
        <v>2039003.2324999091</v>
      </c>
      <c r="L86" s="31">
        <v>3497348.2767773289</v>
      </c>
      <c r="M86" s="31">
        <f t="shared" si="8"/>
        <v>43667113.331022248</v>
      </c>
      <c r="N86" s="31">
        <v>265846.55</v>
      </c>
      <c r="P86" s="42" t="s">
        <v>389</v>
      </c>
      <c r="Q86" s="42" t="s">
        <v>390</v>
      </c>
      <c r="R86" s="43" t="s">
        <v>1050</v>
      </c>
      <c r="S86" s="44">
        <v>34</v>
      </c>
      <c r="T86" s="31">
        <v>33575298.49900914</v>
      </c>
      <c r="U86" s="31">
        <v>1246668.2799999998</v>
      </c>
      <c r="V86" s="31">
        <v>953977.97</v>
      </c>
      <c r="W86" s="31">
        <v>122357.78999999998</v>
      </c>
      <c r="X86" s="31">
        <v>4373712.7489330871</v>
      </c>
      <c r="Y86" s="31">
        <v>2042968.8267937179</v>
      </c>
      <c r="Z86" s="31">
        <v>3710960.9148557857</v>
      </c>
      <c r="AA86" s="31">
        <f t="shared" si="9"/>
        <v>46304792.909591727</v>
      </c>
      <c r="AB86" s="31">
        <v>278847.88</v>
      </c>
      <c r="AD86" s="42" t="s">
        <v>389</v>
      </c>
      <c r="AE86" s="42" t="s">
        <v>390</v>
      </c>
      <c r="AF86" s="43" t="s">
        <v>1275</v>
      </c>
      <c r="AG86" s="44">
        <v>34</v>
      </c>
      <c r="AH86" s="31">
        <v>34177298.737044811</v>
      </c>
      <c r="AI86" s="31">
        <v>1268636.0099999998</v>
      </c>
      <c r="AJ86" s="31">
        <v>970834.53999999992</v>
      </c>
      <c r="AK86" s="31">
        <v>124519.83</v>
      </c>
      <c r="AL86" s="31">
        <v>4451323.0996172838</v>
      </c>
      <c r="AM86" s="31">
        <v>2039892.1412530646</v>
      </c>
      <c r="AN86" s="31">
        <v>3776910.4654799988</v>
      </c>
      <c r="AO86" s="31">
        <f t="shared" si="10"/>
        <v>47093250.483395152</v>
      </c>
      <c r="AP86" s="31">
        <v>283835.66000000003</v>
      </c>
      <c r="AR86" s="42" t="s">
        <v>389</v>
      </c>
      <c r="AS86" s="42" t="s">
        <v>390</v>
      </c>
      <c r="AT86" s="43" t="s">
        <v>1276</v>
      </c>
      <c r="AU86" s="44">
        <v>34</v>
      </c>
      <c r="AV86" s="31">
        <v>34821591.524547748</v>
      </c>
      <c r="AW86" s="31">
        <v>1292163.45</v>
      </c>
      <c r="AX86" s="31">
        <v>988887.91999999993</v>
      </c>
      <c r="AY86" s="31">
        <v>126835.35999999999</v>
      </c>
      <c r="AZ86" s="31">
        <v>4534443.3862623917</v>
      </c>
      <c r="BA86" s="31">
        <v>2039980.0465542262</v>
      </c>
      <c r="BB86" s="31">
        <v>3847540.3807505309</v>
      </c>
      <c r="BC86" s="31">
        <f t="shared" si="11"/>
        <v>47940619.648114897</v>
      </c>
      <c r="BD86" s="31">
        <v>289177.58</v>
      </c>
    </row>
    <row r="87" spans="2:56">
      <c r="B87" s="42" t="s">
        <v>23</v>
      </c>
      <c r="C87" s="42" t="s">
        <v>24</v>
      </c>
      <c r="D87" s="43" t="s">
        <v>1049</v>
      </c>
      <c r="E87" s="44">
        <v>34</v>
      </c>
      <c r="F87" s="31">
        <v>6743997.5453808475</v>
      </c>
      <c r="G87" s="31">
        <v>418029.32000000007</v>
      </c>
      <c r="H87" s="31">
        <v>257930.90999999997</v>
      </c>
      <c r="I87" s="31">
        <v>23776.03</v>
      </c>
      <c r="J87" s="31">
        <v>987822.41987919831</v>
      </c>
      <c r="K87" s="31">
        <v>621971.80617919401</v>
      </c>
      <c r="L87" s="31">
        <v>623119.02699683991</v>
      </c>
      <c r="M87" s="31">
        <f t="shared" si="8"/>
        <v>9925320.9084360804</v>
      </c>
      <c r="N87" s="31">
        <v>248673.85</v>
      </c>
      <c r="P87" s="42" t="s">
        <v>23</v>
      </c>
      <c r="Q87" s="42" t="s">
        <v>24</v>
      </c>
      <c r="R87" s="43" t="s">
        <v>1050</v>
      </c>
      <c r="S87" s="44">
        <v>34</v>
      </c>
      <c r="T87" s="31">
        <v>7254606.0707719885</v>
      </c>
      <c r="U87" s="31">
        <v>449296.16000000003</v>
      </c>
      <c r="V87" s="31">
        <v>274673</v>
      </c>
      <c r="W87" s="31">
        <v>25319.31</v>
      </c>
      <c r="X87" s="31">
        <v>1046447.4863488482</v>
      </c>
      <c r="Y87" s="31">
        <v>623622.13351329602</v>
      </c>
      <c r="Z87" s="31">
        <v>667848.88511344558</v>
      </c>
      <c r="AA87" s="31">
        <f t="shared" si="9"/>
        <v>10602495.185747579</v>
      </c>
      <c r="AB87" s="31">
        <v>260682.14</v>
      </c>
      <c r="AD87" s="42" t="s">
        <v>23</v>
      </c>
      <c r="AE87" s="42" t="s">
        <v>24</v>
      </c>
      <c r="AF87" s="43" t="s">
        <v>1275</v>
      </c>
      <c r="AG87" s="44">
        <v>34</v>
      </c>
      <c r="AH87" s="31">
        <v>7384322.9852351584</v>
      </c>
      <c r="AI87" s="31">
        <v>457067.7</v>
      </c>
      <c r="AJ87" s="31">
        <v>279461.87</v>
      </c>
      <c r="AK87" s="31">
        <v>25760.750000000004</v>
      </c>
      <c r="AL87" s="31">
        <v>1064830.3598223242</v>
      </c>
      <c r="AM87" s="31">
        <v>622368.32984282065</v>
      </c>
      <c r="AN87" s="31">
        <v>679599.49780927598</v>
      </c>
      <c r="AO87" s="31">
        <f t="shared" si="10"/>
        <v>10778700.45270958</v>
      </c>
      <c r="AP87" s="31">
        <v>265288.96000000002</v>
      </c>
      <c r="AR87" s="42" t="s">
        <v>23</v>
      </c>
      <c r="AS87" s="42" t="s">
        <v>24</v>
      </c>
      <c r="AT87" s="43" t="s">
        <v>1276</v>
      </c>
      <c r="AU87" s="44">
        <v>34</v>
      </c>
      <c r="AV87" s="31">
        <v>7523093.2607552409</v>
      </c>
      <c r="AW87" s="31">
        <v>465391.02</v>
      </c>
      <c r="AX87" s="31">
        <v>284590.76</v>
      </c>
      <c r="AY87" s="31">
        <v>26233.52</v>
      </c>
      <c r="AZ87" s="31">
        <v>1084518.325598344</v>
      </c>
      <c r="BA87" s="31">
        <v>622404.15280483419</v>
      </c>
      <c r="BB87" s="31">
        <v>692184.00678771036</v>
      </c>
      <c r="BC87" s="31">
        <f t="shared" si="11"/>
        <v>10968637.915946128</v>
      </c>
      <c r="BD87" s="31">
        <v>270222.87</v>
      </c>
    </row>
    <row r="88" spans="2:56">
      <c r="B88" s="42" t="s">
        <v>381</v>
      </c>
      <c r="C88" s="42" t="s">
        <v>382</v>
      </c>
      <c r="D88" s="43" t="s">
        <v>1049</v>
      </c>
      <c r="E88" s="44">
        <v>34</v>
      </c>
      <c r="F88" s="31">
        <v>60686154.072240017</v>
      </c>
      <c r="G88" s="31">
        <v>3753998.1799999992</v>
      </c>
      <c r="H88" s="31">
        <v>1525998.0000000002</v>
      </c>
      <c r="I88" s="31">
        <v>216079.58999999997</v>
      </c>
      <c r="J88" s="31">
        <v>9534636.2268059608</v>
      </c>
      <c r="K88" s="31">
        <v>4352037.6187080862</v>
      </c>
      <c r="L88" s="31">
        <v>5892881.4533175211</v>
      </c>
      <c r="M88" s="31">
        <f t="shared" si="8"/>
        <v>88187425.481071591</v>
      </c>
      <c r="N88" s="31">
        <v>2225640.3400000003</v>
      </c>
      <c r="P88" s="42" t="s">
        <v>381</v>
      </c>
      <c r="Q88" s="42" t="s">
        <v>382</v>
      </c>
      <c r="R88" s="43" t="s">
        <v>1050</v>
      </c>
      <c r="S88" s="44">
        <v>34</v>
      </c>
      <c r="T88" s="31">
        <v>65279847.37779665</v>
      </c>
      <c r="U88" s="31">
        <v>4031572.11</v>
      </c>
      <c r="V88" s="31">
        <v>1624445.7899999998</v>
      </c>
      <c r="W88" s="31">
        <v>230019.67999999996</v>
      </c>
      <c r="X88" s="31">
        <v>10099147.241983637</v>
      </c>
      <c r="Y88" s="31">
        <v>4362587.0199064761</v>
      </c>
      <c r="Z88" s="31">
        <v>6314745.8301985078</v>
      </c>
      <c r="AA88" s="31">
        <f t="shared" si="9"/>
        <v>94276200.129885286</v>
      </c>
      <c r="AB88" s="31">
        <v>2333835.0800000005</v>
      </c>
      <c r="AD88" s="42" t="s">
        <v>381</v>
      </c>
      <c r="AE88" s="42" t="s">
        <v>382</v>
      </c>
      <c r="AF88" s="43" t="s">
        <v>1275</v>
      </c>
      <c r="AG88" s="44">
        <v>34</v>
      </c>
      <c r="AH88" s="31">
        <v>66450075.944530599</v>
      </c>
      <c r="AI88" s="31">
        <v>4101829.5799999987</v>
      </c>
      <c r="AJ88" s="31">
        <v>1652968.0899999999</v>
      </c>
      <c r="AK88" s="31">
        <v>234058.40999999995</v>
      </c>
      <c r="AL88" s="31">
        <v>10277479.510763444</v>
      </c>
      <c r="AM88" s="31">
        <v>4354484.3690428259</v>
      </c>
      <c r="AN88" s="31">
        <v>6426427.3953851555</v>
      </c>
      <c r="AO88" s="31">
        <f t="shared" si="10"/>
        <v>95872665.819722041</v>
      </c>
      <c r="AP88" s="31">
        <v>2375342.52</v>
      </c>
      <c r="AR88" s="42" t="s">
        <v>381</v>
      </c>
      <c r="AS88" s="42" t="s">
        <v>382</v>
      </c>
      <c r="AT88" s="43" t="s">
        <v>1276</v>
      </c>
      <c r="AU88" s="44">
        <v>34</v>
      </c>
      <c r="AV88" s="31">
        <v>67702144.290677622</v>
      </c>
      <c r="AW88" s="31">
        <v>4177075.2999999993</v>
      </c>
      <c r="AX88" s="31">
        <v>1683515.4699999997</v>
      </c>
      <c r="AY88" s="31">
        <v>238383.88999999998</v>
      </c>
      <c r="AZ88" s="31">
        <v>10468472.456235461</v>
      </c>
      <c r="BA88" s="31">
        <v>4354715.8733532168</v>
      </c>
      <c r="BB88" s="31">
        <v>6546034.750128855</v>
      </c>
      <c r="BC88" s="31">
        <f t="shared" si="11"/>
        <v>97590139.02039513</v>
      </c>
      <c r="BD88" s="31">
        <v>2419796.9900000007</v>
      </c>
    </row>
    <row r="89" spans="2:56">
      <c r="B89" s="42" t="s">
        <v>465</v>
      </c>
      <c r="C89" s="42" t="s">
        <v>466</v>
      </c>
      <c r="D89" s="43" t="s">
        <v>1049</v>
      </c>
      <c r="E89" s="44">
        <v>34</v>
      </c>
      <c r="F89" s="31">
        <v>6478884.0118916463</v>
      </c>
      <c r="G89" s="31">
        <v>125396.53000000001</v>
      </c>
      <c r="H89" s="31">
        <v>0</v>
      </c>
      <c r="I89" s="31">
        <v>0</v>
      </c>
      <c r="J89" s="31">
        <v>1013986.9416784635</v>
      </c>
      <c r="K89" s="31">
        <v>751013.30936871737</v>
      </c>
      <c r="L89" s="31">
        <v>1114854.5527293922</v>
      </c>
      <c r="M89" s="31">
        <f t="shared" si="8"/>
        <v>9484135.345668219</v>
      </c>
      <c r="N89" s="31">
        <v>0</v>
      </c>
      <c r="P89" s="42" t="s">
        <v>465</v>
      </c>
      <c r="Q89" s="42" t="s">
        <v>466</v>
      </c>
      <c r="R89" s="43" t="s">
        <v>1050</v>
      </c>
      <c r="S89" s="44">
        <v>34</v>
      </c>
      <c r="T89" s="31">
        <v>6896788.1789198397</v>
      </c>
      <c r="U89" s="31">
        <v>133502.31</v>
      </c>
      <c r="V89" s="31">
        <v>0</v>
      </c>
      <c r="W89" s="31">
        <v>0</v>
      </c>
      <c r="X89" s="31">
        <v>1074124.4358440065</v>
      </c>
      <c r="Y89" s="31">
        <v>753052.0757491705</v>
      </c>
      <c r="Z89" s="31">
        <v>1183278.3209161041</v>
      </c>
      <c r="AA89" s="31">
        <f t="shared" si="9"/>
        <v>10040745.321429119</v>
      </c>
      <c r="AB89" s="31">
        <v>0</v>
      </c>
      <c r="AD89" s="42" t="s">
        <v>465</v>
      </c>
      <c r="AE89" s="42" t="s">
        <v>466</v>
      </c>
      <c r="AF89" s="43" t="s">
        <v>1275</v>
      </c>
      <c r="AG89" s="44">
        <v>34</v>
      </c>
      <c r="AH89" s="31">
        <v>7020106.7834691256</v>
      </c>
      <c r="AI89" s="31">
        <v>135841.06</v>
      </c>
      <c r="AJ89" s="31">
        <v>0</v>
      </c>
      <c r="AK89" s="31">
        <v>0</v>
      </c>
      <c r="AL89" s="31">
        <v>1093048.0527945079</v>
      </c>
      <c r="AM89" s="31">
        <v>751503.1631678706</v>
      </c>
      <c r="AN89" s="31">
        <v>1204156.777471663</v>
      </c>
      <c r="AO89" s="31">
        <f t="shared" si="10"/>
        <v>10204655.836903168</v>
      </c>
      <c r="AP89" s="31">
        <v>0</v>
      </c>
      <c r="AR89" s="42" t="s">
        <v>465</v>
      </c>
      <c r="AS89" s="42" t="s">
        <v>466</v>
      </c>
      <c r="AT89" s="43" t="s">
        <v>1276</v>
      </c>
      <c r="AU89" s="44">
        <v>34</v>
      </c>
      <c r="AV89" s="31">
        <v>7152056.5671384893</v>
      </c>
      <c r="AW89" s="31">
        <v>138345.85999999999</v>
      </c>
      <c r="AX89" s="31">
        <v>0</v>
      </c>
      <c r="AY89" s="31">
        <v>0</v>
      </c>
      <c r="AZ89" s="31">
        <v>1113315.1605973255</v>
      </c>
      <c r="BA89" s="31">
        <v>751547.41781305056</v>
      </c>
      <c r="BB89" s="31">
        <v>1226516.9087154663</v>
      </c>
      <c r="BC89" s="31">
        <f t="shared" si="11"/>
        <v>10381781.914264331</v>
      </c>
      <c r="BD89" s="31">
        <v>0</v>
      </c>
    </row>
    <row r="90" spans="2:56">
      <c r="B90" s="42" t="s">
        <v>567</v>
      </c>
      <c r="C90" s="42" t="s">
        <v>568</v>
      </c>
      <c r="D90" s="43" t="s">
        <v>1049</v>
      </c>
      <c r="E90" s="44">
        <v>34</v>
      </c>
      <c r="F90" s="31">
        <v>2030412.8579348968</v>
      </c>
      <c r="G90" s="31">
        <v>34299.810000000005</v>
      </c>
      <c r="H90" s="31">
        <v>0</v>
      </c>
      <c r="I90" s="31">
        <v>0</v>
      </c>
      <c r="J90" s="31">
        <v>130256.8708251879</v>
      </c>
      <c r="K90" s="31">
        <v>246235.321783847</v>
      </c>
      <c r="L90" s="31">
        <v>43351.06109314035</v>
      </c>
      <c r="M90" s="31">
        <f t="shared" si="8"/>
        <v>2508039.6416370724</v>
      </c>
      <c r="N90" s="31">
        <v>23483.72</v>
      </c>
      <c r="P90" s="42" t="s">
        <v>567</v>
      </c>
      <c r="Q90" s="42" t="s">
        <v>568</v>
      </c>
      <c r="R90" s="43" t="s">
        <v>1050</v>
      </c>
      <c r="S90" s="44">
        <v>34</v>
      </c>
      <c r="T90" s="31">
        <v>2165854.8255588529</v>
      </c>
      <c r="U90" s="31">
        <v>36916.510000000009</v>
      </c>
      <c r="V90" s="31">
        <v>0</v>
      </c>
      <c r="W90" s="31">
        <v>0</v>
      </c>
      <c r="X90" s="31">
        <v>137980.78557952688</v>
      </c>
      <c r="Y90" s="31">
        <v>246574.99529252006</v>
      </c>
      <c r="Z90" s="31">
        <v>46430.646783159333</v>
      </c>
      <c r="AA90" s="31">
        <f t="shared" si="9"/>
        <v>2658375.4832140594</v>
      </c>
      <c r="AB90" s="31">
        <v>24617.72</v>
      </c>
      <c r="AD90" s="42" t="s">
        <v>567</v>
      </c>
      <c r="AE90" s="42" t="s">
        <v>568</v>
      </c>
      <c r="AF90" s="43" t="s">
        <v>1275</v>
      </c>
      <c r="AG90" s="44">
        <v>34</v>
      </c>
      <c r="AH90" s="31">
        <v>2203624.4519705642</v>
      </c>
      <c r="AI90" s="31">
        <v>37554.300000000003</v>
      </c>
      <c r="AJ90" s="31">
        <v>0</v>
      </c>
      <c r="AK90" s="31">
        <v>0</v>
      </c>
      <c r="AL90" s="31">
        <v>140403.3601497483</v>
      </c>
      <c r="AM90" s="31">
        <v>246316.93503796504</v>
      </c>
      <c r="AN90" s="31">
        <v>47247.537953756924</v>
      </c>
      <c r="AO90" s="31">
        <f t="shared" si="10"/>
        <v>2700199.3551120339</v>
      </c>
      <c r="AP90" s="31">
        <v>25052.77</v>
      </c>
      <c r="AR90" s="42" t="s">
        <v>567</v>
      </c>
      <c r="AS90" s="42" t="s">
        <v>568</v>
      </c>
      <c r="AT90" s="43" t="s">
        <v>1276</v>
      </c>
      <c r="AU90" s="44">
        <v>34</v>
      </c>
      <c r="AV90" s="31">
        <v>2244065.2816243279</v>
      </c>
      <c r="AW90" s="31">
        <v>38237.37000000001</v>
      </c>
      <c r="AX90" s="31">
        <v>0</v>
      </c>
      <c r="AY90" s="31">
        <v>0</v>
      </c>
      <c r="AZ90" s="31">
        <v>142997.91949271443</v>
      </c>
      <c r="BA90" s="31">
        <v>246324.30818809516</v>
      </c>
      <c r="BB90" s="31">
        <v>48122.400833266933</v>
      </c>
      <c r="BC90" s="31">
        <f t="shared" si="11"/>
        <v>2745265.9901384045</v>
      </c>
      <c r="BD90" s="31">
        <v>25518.710000000003</v>
      </c>
    </row>
    <row r="91" spans="2:56">
      <c r="B91" s="42" t="s">
        <v>259</v>
      </c>
      <c r="C91" s="42" t="s">
        <v>260</v>
      </c>
      <c r="D91" s="43" t="s">
        <v>1049</v>
      </c>
      <c r="E91" s="44">
        <v>34</v>
      </c>
      <c r="F91" s="31">
        <v>1956150.5269975346</v>
      </c>
      <c r="G91" s="31">
        <v>18965.86</v>
      </c>
      <c r="H91" s="31">
        <v>0</v>
      </c>
      <c r="I91" s="31">
        <v>0</v>
      </c>
      <c r="J91" s="31">
        <v>61495.652379815343</v>
      </c>
      <c r="K91" s="31">
        <v>67624.64671058477</v>
      </c>
      <c r="L91" s="31">
        <v>0</v>
      </c>
      <c r="M91" s="31">
        <f t="shared" si="8"/>
        <v>2108978.1460879347</v>
      </c>
      <c r="N91" s="31">
        <v>4741.46</v>
      </c>
      <c r="P91" s="42" t="s">
        <v>259</v>
      </c>
      <c r="Q91" s="42" t="s">
        <v>260</v>
      </c>
      <c r="R91" s="43" t="s">
        <v>1050</v>
      </c>
      <c r="S91" s="44">
        <v>34</v>
      </c>
      <c r="T91" s="31">
        <v>2077837.0104331719</v>
      </c>
      <c r="U91" s="31">
        <v>20268.32</v>
      </c>
      <c r="V91" s="31">
        <v>0</v>
      </c>
      <c r="W91" s="31">
        <v>0</v>
      </c>
      <c r="X91" s="31">
        <v>65143.675393697362</v>
      </c>
      <c r="Y91" s="31">
        <v>67772.046226796025</v>
      </c>
      <c r="Z91" s="31">
        <v>0</v>
      </c>
      <c r="AA91" s="31">
        <f t="shared" si="9"/>
        <v>2235992.5120536652</v>
      </c>
      <c r="AB91" s="31">
        <v>4971.4600000000009</v>
      </c>
      <c r="AD91" s="42" t="s">
        <v>259</v>
      </c>
      <c r="AE91" s="42" t="s">
        <v>260</v>
      </c>
      <c r="AF91" s="43" t="s">
        <v>1275</v>
      </c>
      <c r="AG91" s="44">
        <v>34</v>
      </c>
      <c r="AH91" s="31">
        <v>2113936.0562657323</v>
      </c>
      <c r="AI91" s="31">
        <v>20622.25</v>
      </c>
      <c r="AJ91" s="31">
        <v>0</v>
      </c>
      <c r="AK91" s="31">
        <v>0</v>
      </c>
      <c r="AL91" s="31">
        <v>66291.79584698641</v>
      </c>
      <c r="AM91" s="31">
        <v>67660.062349032465</v>
      </c>
      <c r="AN91" s="31">
        <v>0</v>
      </c>
      <c r="AO91" s="31">
        <f t="shared" si="10"/>
        <v>2273569.8544617514</v>
      </c>
      <c r="AP91" s="31">
        <v>5059.6900000000005</v>
      </c>
      <c r="AR91" s="42" t="s">
        <v>259</v>
      </c>
      <c r="AS91" s="42" t="s">
        <v>260</v>
      </c>
      <c r="AT91" s="43" t="s">
        <v>1276</v>
      </c>
      <c r="AU91" s="44">
        <v>34</v>
      </c>
      <c r="AV91" s="31">
        <v>2152597.6078636223</v>
      </c>
      <c r="AW91" s="31">
        <v>21001.289999999997</v>
      </c>
      <c r="AX91" s="31">
        <v>0</v>
      </c>
      <c r="AY91" s="31">
        <v>0</v>
      </c>
      <c r="AZ91" s="31">
        <v>67521.430800331436</v>
      </c>
      <c r="BA91" s="31">
        <v>67663.26188839713</v>
      </c>
      <c r="BB91" s="31">
        <v>0</v>
      </c>
      <c r="BC91" s="31">
        <f t="shared" si="11"/>
        <v>2313937.7905523507</v>
      </c>
      <c r="BD91" s="31">
        <v>5154.2000000000007</v>
      </c>
    </row>
    <row r="92" spans="2:56">
      <c r="B92" s="42" t="s">
        <v>265</v>
      </c>
      <c r="C92" s="42" t="s">
        <v>266</v>
      </c>
      <c r="D92" s="43" t="s">
        <v>1049</v>
      </c>
      <c r="E92" s="44">
        <v>34</v>
      </c>
      <c r="F92" s="31">
        <v>18534781.405275632</v>
      </c>
      <c r="G92" s="31">
        <v>825827.14999999991</v>
      </c>
      <c r="H92" s="31">
        <v>108843.53000000001</v>
      </c>
      <c r="I92" s="31">
        <v>0</v>
      </c>
      <c r="J92" s="31">
        <v>2616339.1519687646</v>
      </c>
      <c r="K92" s="31">
        <v>513964.93255708745</v>
      </c>
      <c r="L92" s="31">
        <v>953505.55392894894</v>
      </c>
      <c r="M92" s="31">
        <f t="shared" si="8"/>
        <v>23709072.653730433</v>
      </c>
      <c r="N92" s="31">
        <v>155810.93000000002</v>
      </c>
      <c r="P92" s="42" t="s">
        <v>265</v>
      </c>
      <c r="Q92" s="42" t="s">
        <v>266</v>
      </c>
      <c r="R92" s="43" t="s">
        <v>1050</v>
      </c>
      <c r="S92" s="44">
        <v>34</v>
      </c>
      <c r="T92" s="31">
        <v>19875601.428636346</v>
      </c>
      <c r="U92" s="31">
        <v>882020.42999999993</v>
      </c>
      <c r="V92" s="31">
        <v>115908.47</v>
      </c>
      <c r="W92" s="31">
        <v>0</v>
      </c>
      <c r="X92" s="31">
        <v>2771744.0058280025</v>
      </c>
      <c r="Y92" s="31">
        <v>515479.41401047137</v>
      </c>
      <c r="Z92" s="31">
        <v>1021920.7741196232</v>
      </c>
      <c r="AA92" s="31">
        <f t="shared" si="9"/>
        <v>25346009.452594444</v>
      </c>
      <c r="AB92" s="31">
        <v>163334.93</v>
      </c>
      <c r="AD92" s="42" t="s">
        <v>265</v>
      </c>
      <c r="AE92" s="42" t="s">
        <v>266</v>
      </c>
      <c r="AF92" s="43" t="s">
        <v>1275</v>
      </c>
      <c r="AG92" s="44">
        <v>34</v>
      </c>
      <c r="AH92" s="31">
        <v>20334656.569396947</v>
      </c>
      <c r="AI92" s="31">
        <v>897359.53999999992</v>
      </c>
      <c r="AJ92" s="31">
        <v>117929.31999999999</v>
      </c>
      <c r="AK92" s="31">
        <v>0</v>
      </c>
      <c r="AL92" s="31">
        <v>2820520.357803945</v>
      </c>
      <c r="AM92" s="31">
        <v>514328.81657087139</v>
      </c>
      <c r="AN92" s="31">
        <v>1039900.7676859454</v>
      </c>
      <c r="AO92" s="31">
        <f t="shared" si="10"/>
        <v>25890916.791457709</v>
      </c>
      <c r="AP92" s="31">
        <v>166221.42000000001</v>
      </c>
      <c r="AR92" s="42" t="s">
        <v>265</v>
      </c>
      <c r="AS92" s="42" t="s">
        <v>266</v>
      </c>
      <c r="AT92" s="43" t="s">
        <v>1276</v>
      </c>
      <c r="AU92" s="44">
        <v>34</v>
      </c>
      <c r="AV92" s="31">
        <v>20819315.692051277</v>
      </c>
      <c r="AW92" s="31">
        <v>913787.75000000012</v>
      </c>
      <c r="AX92" s="31">
        <v>120093.65</v>
      </c>
      <c r="AY92" s="31">
        <v>0</v>
      </c>
      <c r="AZ92" s="31">
        <v>2872760.1804231452</v>
      </c>
      <c r="BA92" s="31">
        <v>514361.6907834314</v>
      </c>
      <c r="BB92" s="31">
        <v>1059156.733137876</v>
      </c>
      <c r="BC92" s="31">
        <f t="shared" si="11"/>
        <v>26468788.536395725</v>
      </c>
      <c r="BD92" s="31">
        <v>169312.84</v>
      </c>
    </row>
    <row r="93" spans="2:56">
      <c r="B93" s="42" t="s">
        <v>139</v>
      </c>
      <c r="C93" s="42" t="s">
        <v>140</v>
      </c>
      <c r="D93" s="43" t="s">
        <v>1049</v>
      </c>
      <c r="E93" s="44">
        <v>34</v>
      </c>
      <c r="F93" s="31">
        <v>5988564.7930151904</v>
      </c>
      <c r="G93" s="31">
        <v>329258.97000000009</v>
      </c>
      <c r="H93" s="31">
        <v>0</v>
      </c>
      <c r="I93" s="31">
        <v>20170.64</v>
      </c>
      <c r="J93" s="31">
        <v>870886.80414785841</v>
      </c>
      <c r="K93" s="31">
        <v>483437.74882389733</v>
      </c>
      <c r="L93" s="31">
        <v>300792.25297684624</v>
      </c>
      <c r="M93" s="31">
        <f t="shared" si="8"/>
        <v>8198033.288963791</v>
      </c>
      <c r="N93" s="31">
        <v>204922.08</v>
      </c>
      <c r="P93" s="42" t="s">
        <v>139</v>
      </c>
      <c r="Q93" s="42" t="s">
        <v>140</v>
      </c>
      <c r="R93" s="43" t="s">
        <v>1050</v>
      </c>
      <c r="S93" s="44">
        <v>34</v>
      </c>
      <c r="T93" s="31">
        <v>6435584.378431147</v>
      </c>
      <c r="U93" s="31">
        <v>354036.65999999992</v>
      </c>
      <c r="V93" s="31">
        <v>0</v>
      </c>
      <c r="W93" s="31">
        <v>21479.920000000006</v>
      </c>
      <c r="X93" s="31">
        <v>922559.70901794091</v>
      </c>
      <c r="Y93" s="31">
        <v>484573.47526121599</v>
      </c>
      <c r="Z93" s="31">
        <v>322266.9868459265</v>
      </c>
      <c r="AA93" s="31">
        <f t="shared" si="9"/>
        <v>8755318.7495562304</v>
      </c>
      <c r="AB93" s="31">
        <v>214817.62</v>
      </c>
      <c r="AD93" s="42" t="s">
        <v>139</v>
      </c>
      <c r="AE93" s="42" t="s">
        <v>140</v>
      </c>
      <c r="AF93" s="43" t="s">
        <v>1275</v>
      </c>
      <c r="AG93" s="44">
        <v>34</v>
      </c>
      <c r="AH93" s="31">
        <v>6552101.044905344</v>
      </c>
      <c r="AI93" s="31">
        <v>360158.23999999993</v>
      </c>
      <c r="AJ93" s="31">
        <v>0</v>
      </c>
      <c r="AK93" s="31">
        <v>21854.410000000003</v>
      </c>
      <c r="AL93" s="31">
        <v>938767.67583704041</v>
      </c>
      <c r="AM93" s="31">
        <v>483710.62948126602</v>
      </c>
      <c r="AN93" s="31">
        <v>327937.20869468426</v>
      </c>
      <c r="AO93" s="31">
        <f t="shared" si="10"/>
        <v>8903143.1289183348</v>
      </c>
      <c r="AP93" s="31">
        <v>218613.91999999998</v>
      </c>
      <c r="AR93" s="42" t="s">
        <v>139</v>
      </c>
      <c r="AS93" s="42" t="s">
        <v>140</v>
      </c>
      <c r="AT93" s="43" t="s">
        <v>1276</v>
      </c>
      <c r="AU93" s="44">
        <v>34</v>
      </c>
      <c r="AV93" s="31">
        <v>6676658.2614269927</v>
      </c>
      <c r="AW93" s="31">
        <v>366714.45999999996</v>
      </c>
      <c r="AX93" s="31">
        <v>0</v>
      </c>
      <c r="AY93" s="31">
        <v>22255.500000000004</v>
      </c>
      <c r="AZ93" s="31">
        <v>956126.34805388167</v>
      </c>
      <c r="BA93" s="31">
        <v>483735.28221783601</v>
      </c>
      <c r="BB93" s="31">
        <v>334009.82453390374</v>
      </c>
      <c r="BC93" s="31">
        <f t="shared" si="11"/>
        <v>9062179.4262326155</v>
      </c>
      <c r="BD93" s="31">
        <v>222679.75</v>
      </c>
    </row>
    <row r="94" spans="2:56">
      <c r="B94" s="42" t="s">
        <v>593</v>
      </c>
      <c r="C94" s="42" t="s">
        <v>594</v>
      </c>
      <c r="D94" s="43" t="s">
        <v>1049</v>
      </c>
      <c r="E94" s="44">
        <v>34</v>
      </c>
      <c r="F94" s="31">
        <v>27605209.846428059</v>
      </c>
      <c r="G94" s="31">
        <v>1863105.0100000002</v>
      </c>
      <c r="H94" s="31">
        <v>1724346.56</v>
      </c>
      <c r="I94" s="31">
        <v>98417.150000000009</v>
      </c>
      <c r="J94" s="31">
        <v>4371075.3524244875</v>
      </c>
      <c r="K94" s="31">
        <v>1176908.6340059193</v>
      </c>
      <c r="L94" s="31">
        <v>2832168.8244953472</v>
      </c>
      <c r="M94" s="31">
        <f t="shared" si="8"/>
        <v>40689118.147353813</v>
      </c>
      <c r="N94" s="31">
        <v>1017886.77</v>
      </c>
      <c r="P94" s="42" t="s">
        <v>593</v>
      </c>
      <c r="Q94" s="42" t="s">
        <v>594</v>
      </c>
      <c r="R94" s="43" t="s">
        <v>1050</v>
      </c>
      <c r="S94" s="44">
        <v>34</v>
      </c>
      <c r="T94" s="31">
        <v>29703423.930883184</v>
      </c>
      <c r="U94" s="31">
        <v>2000954.6400000004</v>
      </c>
      <c r="V94" s="31">
        <v>1836272.4299999997</v>
      </c>
      <c r="W94" s="31">
        <v>104805.31999999999</v>
      </c>
      <c r="X94" s="31">
        <v>4630447.4013643526</v>
      </c>
      <c r="Y94" s="31">
        <v>1178994.9824993587</v>
      </c>
      <c r="Z94" s="31">
        <v>3035241.7712994106</v>
      </c>
      <c r="AA94" s="31">
        <f t="shared" si="9"/>
        <v>43557180.316046312</v>
      </c>
      <c r="AB94" s="31">
        <v>1067039.8400000001</v>
      </c>
      <c r="AD94" s="42" t="s">
        <v>593</v>
      </c>
      <c r="AE94" s="42" t="s">
        <v>594</v>
      </c>
      <c r="AF94" s="43" t="s">
        <v>1275</v>
      </c>
      <c r="AG94" s="44">
        <v>34</v>
      </c>
      <c r="AH94" s="31">
        <v>30231625.9147138</v>
      </c>
      <c r="AI94" s="31">
        <v>2035587.7200000002</v>
      </c>
      <c r="AJ94" s="31">
        <v>1868287.5499999998</v>
      </c>
      <c r="AK94" s="31">
        <v>106632.58</v>
      </c>
      <c r="AL94" s="31">
        <v>4711782.3330023084</v>
      </c>
      <c r="AM94" s="31">
        <v>1177409.9203453779</v>
      </c>
      <c r="AN94" s="31">
        <v>3088644.9791499618</v>
      </c>
      <c r="AO94" s="31">
        <f t="shared" si="10"/>
        <v>44305867.747211441</v>
      </c>
      <c r="AP94" s="31">
        <v>1085896.75</v>
      </c>
      <c r="AR94" s="42" t="s">
        <v>593</v>
      </c>
      <c r="AS94" s="42" t="s">
        <v>594</v>
      </c>
      <c r="AT94" s="43" t="s">
        <v>1276</v>
      </c>
      <c r="AU94" s="44">
        <v>34</v>
      </c>
      <c r="AV94" s="31">
        <v>30796870.2353939</v>
      </c>
      <c r="AW94" s="31">
        <v>2072679.7600000002</v>
      </c>
      <c r="AX94" s="31">
        <v>1902575.7399999998</v>
      </c>
      <c r="AY94" s="31">
        <v>108589.58</v>
      </c>
      <c r="AZ94" s="31">
        <v>4798891.6078435201</v>
      </c>
      <c r="BA94" s="31">
        <v>1177455.2078354915</v>
      </c>
      <c r="BB94" s="31">
        <v>3145838.0098971021</v>
      </c>
      <c r="BC94" s="31">
        <f t="shared" si="11"/>
        <v>45108992.640970014</v>
      </c>
      <c r="BD94" s="31">
        <v>1106092.5</v>
      </c>
    </row>
    <row r="95" spans="2:56">
      <c r="B95" s="42" t="s">
        <v>601</v>
      </c>
      <c r="C95" s="42" t="s">
        <v>602</v>
      </c>
      <c r="D95" s="43" t="s">
        <v>1049</v>
      </c>
      <c r="E95" s="44">
        <v>34</v>
      </c>
      <c r="F95" s="31">
        <v>11098922.818280533</v>
      </c>
      <c r="G95" s="31">
        <v>825632.24000000011</v>
      </c>
      <c r="H95" s="31">
        <v>901052.95</v>
      </c>
      <c r="I95" s="31">
        <v>40828.519999999997</v>
      </c>
      <c r="J95" s="31">
        <v>1842467.0536756071</v>
      </c>
      <c r="K95" s="31">
        <v>534062.38875469787</v>
      </c>
      <c r="L95" s="31">
        <v>1658149.3210313136</v>
      </c>
      <c r="M95" s="31">
        <f t="shared" si="8"/>
        <v>17311836.411742151</v>
      </c>
      <c r="N95" s="31">
        <v>410721.12</v>
      </c>
      <c r="P95" s="42" t="s">
        <v>601</v>
      </c>
      <c r="Q95" s="42" t="s">
        <v>602</v>
      </c>
      <c r="R95" s="43" t="s">
        <v>1050</v>
      </c>
      <c r="S95" s="44">
        <v>34</v>
      </c>
      <c r="T95" s="31">
        <v>11945226.658101736</v>
      </c>
      <c r="U95" s="31">
        <v>886049.45</v>
      </c>
      <c r="V95" s="31">
        <v>959539.51</v>
      </c>
      <c r="W95" s="31">
        <v>43478.639999999992</v>
      </c>
      <c r="X95" s="31">
        <v>1951773.0363434085</v>
      </c>
      <c r="Y95" s="31">
        <v>535362.47559881082</v>
      </c>
      <c r="Z95" s="31">
        <v>1777032.1466272962</v>
      </c>
      <c r="AA95" s="31">
        <f t="shared" si="9"/>
        <v>18529016.476671249</v>
      </c>
      <c r="AB95" s="31">
        <v>430554.56000000006</v>
      </c>
      <c r="AD95" s="42" t="s">
        <v>601</v>
      </c>
      <c r="AE95" s="42" t="s">
        <v>602</v>
      </c>
      <c r="AF95" s="43" t="s">
        <v>1275</v>
      </c>
      <c r="AG95" s="44">
        <v>34</v>
      </c>
      <c r="AH95" s="31">
        <v>12156388.528826401</v>
      </c>
      <c r="AI95" s="31">
        <v>901395.39</v>
      </c>
      <c r="AJ95" s="31">
        <v>976268.93</v>
      </c>
      <c r="AK95" s="31">
        <v>44236.679999999993</v>
      </c>
      <c r="AL95" s="31">
        <v>1986054.5392058701</v>
      </c>
      <c r="AM95" s="31">
        <v>534374.76023871079</v>
      </c>
      <c r="AN95" s="31">
        <v>1808297.8583746983</v>
      </c>
      <c r="AO95" s="31">
        <f t="shared" si="10"/>
        <v>18845180.086645678</v>
      </c>
      <c r="AP95" s="31">
        <v>438163.4</v>
      </c>
      <c r="AR95" s="42" t="s">
        <v>601</v>
      </c>
      <c r="AS95" s="42" t="s">
        <v>602</v>
      </c>
      <c r="AT95" s="43" t="s">
        <v>1276</v>
      </c>
      <c r="AU95" s="44">
        <v>34</v>
      </c>
      <c r="AV95" s="31">
        <v>12382439.11211187</v>
      </c>
      <c r="AW95" s="31">
        <v>917830.90000000014</v>
      </c>
      <c r="AX95" s="31">
        <v>994186.14</v>
      </c>
      <c r="AY95" s="31">
        <v>45048.56</v>
      </c>
      <c r="AZ95" s="31">
        <v>2022769.8463568212</v>
      </c>
      <c r="BA95" s="31">
        <v>534402.98067757068</v>
      </c>
      <c r="BB95" s="31">
        <v>1841782.3791039651</v>
      </c>
      <c r="BC95" s="31">
        <f t="shared" si="11"/>
        <v>19184772.37825023</v>
      </c>
      <c r="BD95" s="31">
        <v>446312.46</v>
      </c>
    </row>
    <row r="96" spans="2:56">
      <c r="B96" s="42" t="s">
        <v>447</v>
      </c>
      <c r="C96" s="42" t="s">
        <v>448</v>
      </c>
      <c r="D96" s="43" t="s">
        <v>1049</v>
      </c>
      <c r="E96" s="44">
        <v>34</v>
      </c>
      <c r="F96" s="31">
        <v>18571884.828790981</v>
      </c>
      <c r="G96" s="31">
        <v>688808.70000000007</v>
      </c>
      <c r="H96" s="31">
        <v>139227.29</v>
      </c>
      <c r="I96" s="31">
        <v>67242.899999999994</v>
      </c>
      <c r="J96" s="31">
        <v>3208117.1660679472</v>
      </c>
      <c r="K96" s="31">
        <v>1596233.6024708068</v>
      </c>
      <c r="L96" s="31">
        <v>1972302.8211859725</v>
      </c>
      <c r="M96" s="31">
        <f t="shared" si="8"/>
        <v>26306103.208515704</v>
      </c>
      <c r="N96" s="31">
        <v>62285.9</v>
      </c>
      <c r="P96" s="42" t="s">
        <v>447</v>
      </c>
      <c r="Q96" s="42" t="s">
        <v>448</v>
      </c>
      <c r="R96" s="43" t="s">
        <v>1050</v>
      </c>
      <c r="S96" s="44">
        <v>34</v>
      </c>
      <c r="T96" s="31">
        <v>19769484.093538433</v>
      </c>
      <c r="U96" s="31">
        <v>733949.92</v>
      </c>
      <c r="V96" s="31">
        <v>148159.59</v>
      </c>
      <c r="W96" s="31">
        <v>71556.94</v>
      </c>
      <c r="X96" s="31">
        <v>3397708.9772327798</v>
      </c>
      <c r="Y96" s="31">
        <v>1599363.7912223609</v>
      </c>
      <c r="Z96" s="31">
        <v>2092768.4834557059</v>
      </c>
      <c r="AA96" s="31">
        <f t="shared" si="9"/>
        <v>27878323.805449285</v>
      </c>
      <c r="AB96" s="31">
        <v>65332.009999999995</v>
      </c>
      <c r="AD96" s="42" t="s">
        <v>447</v>
      </c>
      <c r="AE96" s="42" t="s">
        <v>448</v>
      </c>
      <c r="AF96" s="43" t="s">
        <v>1275</v>
      </c>
      <c r="AG96" s="44">
        <v>34</v>
      </c>
      <c r="AH96" s="31">
        <v>20135616.379869197</v>
      </c>
      <c r="AI96" s="31">
        <v>746904.45</v>
      </c>
      <c r="AJ96" s="31">
        <v>150777.54000000004</v>
      </c>
      <c r="AK96" s="31">
        <v>72821.340000000011</v>
      </c>
      <c r="AL96" s="31">
        <v>3458008.1074870871</v>
      </c>
      <c r="AM96" s="31">
        <v>1596935.250691511</v>
      </c>
      <c r="AN96" s="31">
        <v>2129960.3089157403</v>
      </c>
      <c r="AO96" s="31">
        <f t="shared" si="10"/>
        <v>28357523.986963533</v>
      </c>
      <c r="AP96" s="31">
        <v>66500.61</v>
      </c>
      <c r="AR96" s="42" t="s">
        <v>447</v>
      </c>
      <c r="AS96" s="42" t="s">
        <v>448</v>
      </c>
      <c r="AT96" s="43" t="s">
        <v>1276</v>
      </c>
      <c r="AU96" s="44">
        <v>34</v>
      </c>
      <c r="AV96" s="31">
        <v>20526725.748855826</v>
      </c>
      <c r="AW96" s="31">
        <v>760778.73</v>
      </c>
      <c r="AX96" s="31">
        <v>153581.35</v>
      </c>
      <c r="AY96" s="31">
        <v>74175.509999999995</v>
      </c>
      <c r="AZ96" s="31">
        <v>3522588.2458563093</v>
      </c>
      <c r="BA96" s="31">
        <v>1597004.6375638209</v>
      </c>
      <c r="BB96" s="31">
        <v>2169791.5960040367</v>
      </c>
      <c r="BC96" s="31">
        <f t="shared" si="11"/>
        <v>28872398.008279998</v>
      </c>
      <c r="BD96" s="31">
        <v>67752.19</v>
      </c>
    </row>
    <row r="97" spans="2:56">
      <c r="B97" s="42" t="s">
        <v>315</v>
      </c>
      <c r="C97" s="42" t="s">
        <v>316</v>
      </c>
      <c r="D97" s="43" t="s">
        <v>1049</v>
      </c>
      <c r="E97" s="44">
        <v>34</v>
      </c>
      <c r="F97" s="31">
        <v>1912066.7698928902</v>
      </c>
      <c r="G97" s="31">
        <v>60901.709999999992</v>
      </c>
      <c r="H97" s="31">
        <v>0</v>
      </c>
      <c r="I97" s="31">
        <v>6041.4600000000009</v>
      </c>
      <c r="J97" s="31">
        <v>223096.85187945142</v>
      </c>
      <c r="K97" s="31">
        <v>145464.32756712576</v>
      </c>
      <c r="L97" s="31">
        <v>0</v>
      </c>
      <c r="M97" s="31">
        <f t="shared" si="8"/>
        <v>2347571.119339467</v>
      </c>
      <c r="N97" s="31">
        <v>0</v>
      </c>
      <c r="P97" s="42" t="s">
        <v>315</v>
      </c>
      <c r="Q97" s="42" t="s">
        <v>316</v>
      </c>
      <c r="R97" s="43" t="s">
        <v>1050</v>
      </c>
      <c r="S97" s="44">
        <v>34</v>
      </c>
      <c r="T97" s="31">
        <v>2035420.6162415273</v>
      </c>
      <c r="U97" s="31">
        <v>64854.8</v>
      </c>
      <c r="V97" s="31">
        <v>0</v>
      </c>
      <c r="W97" s="31">
        <v>6433.5899999999992</v>
      </c>
      <c r="X97" s="31">
        <v>236317.38660246573</v>
      </c>
      <c r="Y97" s="31">
        <v>145772.87300653968</v>
      </c>
      <c r="Z97" s="31">
        <v>0</v>
      </c>
      <c r="AA97" s="31">
        <f t="shared" si="9"/>
        <v>2488799.2658505323</v>
      </c>
      <c r="AB97" s="31">
        <v>0</v>
      </c>
      <c r="AD97" s="42" t="s">
        <v>315</v>
      </c>
      <c r="AE97" s="42" t="s">
        <v>316</v>
      </c>
      <c r="AF97" s="43" t="s">
        <v>1275</v>
      </c>
      <c r="AG97" s="44">
        <v>34</v>
      </c>
      <c r="AH97" s="31">
        <v>2071082.7934963629</v>
      </c>
      <c r="AI97" s="31">
        <v>65985.51999999999</v>
      </c>
      <c r="AJ97" s="31">
        <v>0</v>
      </c>
      <c r="AK97" s="31">
        <v>6545.76</v>
      </c>
      <c r="AL97" s="31">
        <v>240462.44528948778</v>
      </c>
      <c r="AM97" s="31">
        <v>145538.46168918966</v>
      </c>
      <c r="AN97" s="31">
        <v>0</v>
      </c>
      <c r="AO97" s="31">
        <f t="shared" si="10"/>
        <v>2529614.9804750402</v>
      </c>
      <c r="AP97" s="31">
        <v>0</v>
      </c>
      <c r="AR97" s="42" t="s">
        <v>315</v>
      </c>
      <c r="AS97" s="42" t="s">
        <v>316</v>
      </c>
      <c r="AT97" s="43" t="s">
        <v>1276</v>
      </c>
      <c r="AU97" s="44">
        <v>34</v>
      </c>
      <c r="AV97" s="31">
        <v>2109276.4898248911</v>
      </c>
      <c r="AW97" s="31">
        <v>67196.539999999994</v>
      </c>
      <c r="AX97" s="31">
        <v>0</v>
      </c>
      <c r="AY97" s="31">
        <v>6665.8899999999994</v>
      </c>
      <c r="AZ97" s="31">
        <v>244901.74614850976</v>
      </c>
      <c r="BA97" s="31">
        <v>145545.15915539968</v>
      </c>
      <c r="BB97" s="31">
        <v>0</v>
      </c>
      <c r="BC97" s="31">
        <f t="shared" si="11"/>
        <v>2573585.8251288007</v>
      </c>
      <c r="BD97" s="31">
        <v>0</v>
      </c>
    </row>
    <row r="98" spans="2:56">
      <c r="B98" s="42" t="s">
        <v>455</v>
      </c>
      <c r="C98" s="42" t="s">
        <v>456</v>
      </c>
      <c r="D98" s="43" t="s">
        <v>1049</v>
      </c>
      <c r="E98" s="44">
        <v>34</v>
      </c>
      <c r="F98" s="31">
        <v>423367.89391142561</v>
      </c>
      <c r="G98" s="31">
        <v>7600.5400000000009</v>
      </c>
      <c r="H98" s="31">
        <v>0</v>
      </c>
      <c r="I98" s="31">
        <v>0</v>
      </c>
      <c r="J98" s="31">
        <v>26174.992485148319</v>
      </c>
      <c r="K98" s="31">
        <v>155905.36294333485</v>
      </c>
      <c r="L98" s="31">
        <v>0</v>
      </c>
      <c r="M98" s="31">
        <f t="shared" si="8"/>
        <v>613048.78933990875</v>
      </c>
      <c r="N98" s="31">
        <v>0</v>
      </c>
      <c r="P98" s="42" t="s">
        <v>455</v>
      </c>
      <c r="Q98" s="42" t="s">
        <v>456</v>
      </c>
      <c r="R98" s="43" t="s">
        <v>1050</v>
      </c>
      <c r="S98" s="44">
        <v>34</v>
      </c>
      <c r="T98" s="31">
        <v>449760.1762298824</v>
      </c>
      <c r="U98" s="31">
        <v>8093.87</v>
      </c>
      <c r="V98" s="31">
        <v>0</v>
      </c>
      <c r="W98" s="31">
        <v>0</v>
      </c>
      <c r="X98" s="31">
        <v>27723.544549261431</v>
      </c>
      <c r="Y98" s="31">
        <v>156418.88774412469</v>
      </c>
      <c r="Z98" s="31">
        <v>0</v>
      </c>
      <c r="AA98" s="31">
        <f t="shared" si="9"/>
        <v>641996.4785232686</v>
      </c>
      <c r="AB98" s="31">
        <v>0</v>
      </c>
      <c r="AD98" s="42" t="s">
        <v>455</v>
      </c>
      <c r="AE98" s="42" t="s">
        <v>456</v>
      </c>
      <c r="AF98" s="43" t="s">
        <v>1275</v>
      </c>
      <c r="AG98" s="44">
        <v>34</v>
      </c>
      <c r="AH98" s="31">
        <v>457587.2019526551</v>
      </c>
      <c r="AI98" s="31">
        <v>8234.98</v>
      </c>
      <c r="AJ98" s="31">
        <v>0</v>
      </c>
      <c r="AK98" s="31">
        <v>0</v>
      </c>
      <c r="AL98" s="31">
        <v>28209.609919720784</v>
      </c>
      <c r="AM98" s="31">
        <v>156028.74739632467</v>
      </c>
      <c r="AN98" s="31">
        <v>0</v>
      </c>
      <c r="AO98" s="31">
        <f t="shared" si="10"/>
        <v>650060.53926870052</v>
      </c>
      <c r="AP98" s="31">
        <v>0</v>
      </c>
      <c r="AR98" s="42" t="s">
        <v>455</v>
      </c>
      <c r="AS98" s="42" t="s">
        <v>456</v>
      </c>
      <c r="AT98" s="43" t="s">
        <v>1276</v>
      </c>
      <c r="AU98" s="44">
        <v>34</v>
      </c>
      <c r="AV98" s="31">
        <v>465970.37465254462</v>
      </c>
      <c r="AW98" s="31">
        <v>8386.119999999999</v>
      </c>
      <c r="AX98" s="31">
        <v>0</v>
      </c>
      <c r="AY98" s="31">
        <v>0</v>
      </c>
      <c r="AZ98" s="31">
        <v>28730.179534109611</v>
      </c>
      <c r="BA98" s="31">
        <v>156039.89426340468</v>
      </c>
      <c r="BB98" s="31">
        <v>0</v>
      </c>
      <c r="BC98" s="31">
        <f t="shared" si="11"/>
        <v>659126.56845005893</v>
      </c>
      <c r="BD98" s="31">
        <v>0</v>
      </c>
    </row>
    <row r="99" spans="2:56">
      <c r="B99" s="42" t="s">
        <v>1023</v>
      </c>
      <c r="C99" s="42" t="s">
        <v>1041</v>
      </c>
      <c r="D99" s="43" t="s">
        <v>1049</v>
      </c>
      <c r="E99" s="44">
        <v>34</v>
      </c>
      <c r="F99" s="31">
        <v>2651337.9339300469</v>
      </c>
      <c r="G99" s="31">
        <v>0</v>
      </c>
      <c r="H99" s="31">
        <v>46184.36</v>
      </c>
      <c r="I99" s="31">
        <v>0</v>
      </c>
      <c r="J99" s="31">
        <v>197015.1047303337</v>
      </c>
      <c r="K99" s="31">
        <v>443653.05</v>
      </c>
      <c r="L99" s="31">
        <v>0</v>
      </c>
      <c r="M99" s="31">
        <f t="shared" si="8"/>
        <v>3338190.4486603802</v>
      </c>
      <c r="N99" s="31">
        <v>0</v>
      </c>
      <c r="P99" s="42" t="s">
        <v>1023</v>
      </c>
      <c r="Q99" s="42" t="s">
        <v>1041</v>
      </c>
      <c r="R99" s="43" t="s">
        <v>1050</v>
      </c>
      <c r="S99" s="44">
        <v>34</v>
      </c>
      <c r="T99" s="31">
        <v>2825335.0841884194</v>
      </c>
      <c r="U99" s="31">
        <v>0</v>
      </c>
      <c r="V99" s="31">
        <v>49132.38</v>
      </c>
      <c r="W99" s="31">
        <v>0</v>
      </c>
      <c r="X99" s="31">
        <v>208672.57195191472</v>
      </c>
      <c r="Y99" s="31">
        <v>443653.05</v>
      </c>
      <c r="Z99" s="31">
        <v>0</v>
      </c>
      <c r="AA99" s="31">
        <f t="shared" si="9"/>
        <v>3526793.0861403337</v>
      </c>
      <c r="AB99" s="31">
        <v>0</v>
      </c>
      <c r="AD99" s="42" t="s">
        <v>1023</v>
      </c>
      <c r="AE99" s="42" t="s">
        <v>1041</v>
      </c>
      <c r="AF99" s="43" t="s">
        <v>1275</v>
      </c>
      <c r="AG99" s="44">
        <v>34</v>
      </c>
      <c r="AH99" s="31">
        <v>2875310.7763156015</v>
      </c>
      <c r="AI99" s="31">
        <v>0</v>
      </c>
      <c r="AJ99" s="31">
        <v>50005.520000000011</v>
      </c>
      <c r="AK99" s="31">
        <v>0</v>
      </c>
      <c r="AL99" s="31">
        <v>212396.36183068115</v>
      </c>
      <c r="AM99" s="31">
        <v>443653.05</v>
      </c>
      <c r="AN99" s="31">
        <v>0</v>
      </c>
      <c r="AO99" s="31">
        <f t="shared" si="10"/>
        <v>3581365.7081462825</v>
      </c>
      <c r="AP99" s="31">
        <v>0</v>
      </c>
      <c r="AR99" s="42" t="s">
        <v>1023</v>
      </c>
      <c r="AS99" s="42" t="s">
        <v>1041</v>
      </c>
      <c r="AT99" s="43" t="s">
        <v>1276</v>
      </c>
      <c r="AU99" s="44">
        <v>34</v>
      </c>
      <c r="AV99" s="31">
        <v>2928838.0255411132</v>
      </c>
      <c r="AW99" s="31">
        <v>0</v>
      </c>
      <c r="AX99" s="31">
        <v>50940.659999999996</v>
      </c>
      <c r="AY99" s="31">
        <v>0</v>
      </c>
      <c r="AZ99" s="31">
        <v>216384.54229142173</v>
      </c>
      <c r="BA99" s="31">
        <v>443653.05</v>
      </c>
      <c r="BB99" s="31">
        <v>0</v>
      </c>
      <c r="BC99" s="31">
        <f t="shared" si="11"/>
        <v>3639816.2778325351</v>
      </c>
      <c r="BD99" s="31">
        <v>0</v>
      </c>
    </row>
    <row r="100" spans="2:56">
      <c r="B100" s="42" t="s">
        <v>61</v>
      </c>
      <c r="C100" s="42" t="s">
        <v>62</v>
      </c>
      <c r="D100" s="43" t="s">
        <v>1049</v>
      </c>
      <c r="E100" s="44">
        <v>34</v>
      </c>
      <c r="F100" s="31">
        <v>1361698.2623225916</v>
      </c>
      <c r="G100" s="31">
        <v>48526.47</v>
      </c>
      <c r="H100" s="31">
        <v>0</v>
      </c>
      <c r="I100" s="31">
        <v>4287.4900000000007</v>
      </c>
      <c r="J100" s="31">
        <v>186065.36220417946</v>
      </c>
      <c r="K100" s="31">
        <v>182148.95969046818</v>
      </c>
      <c r="L100" s="31">
        <v>0</v>
      </c>
      <c r="M100" s="31">
        <f t="shared" si="8"/>
        <v>1782726.5442172391</v>
      </c>
      <c r="N100" s="31">
        <v>0</v>
      </c>
      <c r="P100" s="42" t="s">
        <v>61</v>
      </c>
      <c r="Q100" s="42" t="s">
        <v>62</v>
      </c>
      <c r="R100" s="43" t="s">
        <v>1050</v>
      </c>
      <c r="S100" s="44">
        <v>34</v>
      </c>
      <c r="T100" s="31">
        <v>1470010.2359775505</v>
      </c>
      <c r="U100" s="31">
        <v>51676.280000000006</v>
      </c>
      <c r="V100" s="31">
        <v>0</v>
      </c>
      <c r="W100" s="31">
        <v>4565.7799999999988</v>
      </c>
      <c r="X100" s="31">
        <v>197092.03595855058</v>
      </c>
      <c r="Y100" s="31">
        <v>182477.67993639701</v>
      </c>
      <c r="Z100" s="31">
        <v>0</v>
      </c>
      <c r="AA100" s="31">
        <f t="shared" si="9"/>
        <v>1905822.0118724983</v>
      </c>
      <c r="AB100" s="31">
        <v>0</v>
      </c>
      <c r="AD100" s="42" t="s">
        <v>61</v>
      </c>
      <c r="AE100" s="42" t="s">
        <v>62</v>
      </c>
      <c r="AF100" s="43" t="s">
        <v>1275</v>
      </c>
      <c r="AG100" s="44">
        <v>34</v>
      </c>
      <c r="AH100" s="31">
        <v>1495763.5573848891</v>
      </c>
      <c r="AI100" s="31">
        <v>52577.240000000005</v>
      </c>
      <c r="AJ100" s="31">
        <v>0</v>
      </c>
      <c r="AK100" s="31">
        <v>4645.3799999999992</v>
      </c>
      <c r="AL100" s="31">
        <v>200549.10996692086</v>
      </c>
      <c r="AM100" s="31">
        <v>182227.94120736516</v>
      </c>
      <c r="AN100" s="31">
        <v>0</v>
      </c>
      <c r="AO100" s="31">
        <f t="shared" si="10"/>
        <v>1935763.228559175</v>
      </c>
      <c r="AP100" s="31">
        <v>0</v>
      </c>
      <c r="AR100" s="42" t="s">
        <v>61</v>
      </c>
      <c r="AS100" s="42" t="s">
        <v>62</v>
      </c>
      <c r="AT100" s="43" t="s">
        <v>1276</v>
      </c>
      <c r="AU100" s="44">
        <v>34</v>
      </c>
      <c r="AV100" s="31">
        <v>1523345.0112889693</v>
      </c>
      <c r="AW100" s="31">
        <v>53542.19</v>
      </c>
      <c r="AX100" s="31">
        <v>0</v>
      </c>
      <c r="AY100" s="31">
        <v>4730.6299999999992</v>
      </c>
      <c r="AZ100" s="31">
        <v>204251.58862696419</v>
      </c>
      <c r="BA100" s="31">
        <v>182235.07659962322</v>
      </c>
      <c r="BB100" s="31">
        <v>0</v>
      </c>
      <c r="BC100" s="31">
        <f t="shared" si="11"/>
        <v>1968104.4965155567</v>
      </c>
      <c r="BD100" s="31">
        <v>0</v>
      </c>
    </row>
    <row r="101" spans="2:56">
      <c r="B101" s="42" t="s">
        <v>517</v>
      </c>
      <c r="C101" s="42" t="s">
        <v>518</v>
      </c>
      <c r="D101" s="43" t="s">
        <v>1049</v>
      </c>
      <c r="E101" s="44">
        <v>34</v>
      </c>
      <c r="F101" s="31">
        <v>5266566.7732619513</v>
      </c>
      <c r="G101" s="31">
        <v>64312.21</v>
      </c>
      <c r="H101" s="31">
        <v>3410.5</v>
      </c>
      <c r="I101" s="31">
        <v>16955.04</v>
      </c>
      <c r="J101" s="31">
        <v>795840.51088336494</v>
      </c>
      <c r="K101" s="31">
        <v>692073.33428741153</v>
      </c>
      <c r="L101" s="31">
        <v>0</v>
      </c>
      <c r="M101" s="31">
        <f t="shared" si="8"/>
        <v>6839158.3684327276</v>
      </c>
      <c r="N101" s="31">
        <v>0</v>
      </c>
      <c r="P101" s="42" t="s">
        <v>517</v>
      </c>
      <c r="Q101" s="42" t="s">
        <v>518</v>
      </c>
      <c r="R101" s="43" t="s">
        <v>1050</v>
      </c>
      <c r="S101" s="44">
        <v>34</v>
      </c>
      <c r="T101" s="31">
        <v>5606364.0136855822</v>
      </c>
      <c r="U101" s="31">
        <v>68486.649999999994</v>
      </c>
      <c r="V101" s="31">
        <v>3631.88</v>
      </c>
      <c r="W101" s="31">
        <v>18055.560000000001</v>
      </c>
      <c r="X101" s="31">
        <v>843037.61602665309</v>
      </c>
      <c r="Y101" s="31">
        <v>693799.25128785963</v>
      </c>
      <c r="Z101" s="31">
        <v>0</v>
      </c>
      <c r="AA101" s="31">
        <f t="shared" si="9"/>
        <v>7233374.9710000949</v>
      </c>
      <c r="AB101" s="31">
        <v>0</v>
      </c>
      <c r="AD101" s="42" t="s">
        <v>517</v>
      </c>
      <c r="AE101" s="42" t="s">
        <v>518</v>
      </c>
      <c r="AF101" s="43" t="s">
        <v>1275</v>
      </c>
      <c r="AG101" s="44">
        <v>34</v>
      </c>
      <c r="AH101" s="31">
        <v>5704618.4270837409</v>
      </c>
      <c r="AI101" s="31">
        <v>69680.709999999992</v>
      </c>
      <c r="AJ101" s="31">
        <v>3695.21</v>
      </c>
      <c r="AK101" s="31">
        <v>18370.36</v>
      </c>
      <c r="AL101" s="31">
        <v>857827.54790254426</v>
      </c>
      <c r="AM101" s="31">
        <v>692488.01985795959</v>
      </c>
      <c r="AN101" s="31">
        <v>0</v>
      </c>
      <c r="AO101" s="31">
        <f t="shared" si="10"/>
        <v>7346680.2748442451</v>
      </c>
      <c r="AP101" s="31">
        <v>0</v>
      </c>
      <c r="AR101" s="42" t="s">
        <v>517</v>
      </c>
      <c r="AS101" s="42" t="s">
        <v>518</v>
      </c>
      <c r="AT101" s="43" t="s">
        <v>1276</v>
      </c>
      <c r="AU101" s="44">
        <v>34</v>
      </c>
      <c r="AV101" s="31">
        <v>5809847.5114830779</v>
      </c>
      <c r="AW101" s="31">
        <v>70959.539999999994</v>
      </c>
      <c r="AX101" s="31">
        <v>3763.02</v>
      </c>
      <c r="AY101" s="31">
        <v>18707.509999999998</v>
      </c>
      <c r="AZ101" s="31">
        <v>873667.3575068356</v>
      </c>
      <c r="BA101" s="31">
        <v>692525.48361309967</v>
      </c>
      <c r="BB101" s="31">
        <v>0</v>
      </c>
      <c r="BC101" s="31">
        <f t="shared" si="11"/>
        <v>7469470.422603013</v>
      </c>
      <c r="BD101" s="31">
        <v>0</v>
      </c>
    </row>
    <row r="102" spans="2:56">
      <c r="B102" s="42" t="s">
        <v>309</v>
      </c>
      <c r="C102" s="42" t="s">
        <v>310</v>
      </c>
      <c r="D102" s="43" t="s">
        <v>1049</v>
      </c>
      <c r="E102" s="44">
        <v>34</v>
      </c>
      <c r="F102" s="31">
        <v>2191834.168591762</v>
      </c>
      <c r="G102" s="31">
        <v>37729.950000000004</v>
      </c>
      <c r="H102" s="31">
        <v>0</v>
      </c>
      <c r="I102" s="31">
        <v>0</v>
      </c>
      <c r="J102" s="31">
        <v>149848.77340297698</v>
      </c>
      <c r="K102" s="31">
        <v>260521.41208158573</v>
      </c>
      <c r="L102" s="31">
        <v>49739.174243028814</v>
      </c>
      <c r="M102" s="31">
        <f t="shared" si="8"/>
        <v>2723065.4683193536</v>
      </c>
      <c r="N102" s="31">
        <v>33391.99</v>
      </c>
      <c r="P102" s="42" t="s">
        <v>309</v>
      </c>
      <c r="Q102" s="42" t="s">
        <v>310</v>
      </c>
      <c r="R102" s="43" t="s">
        <v>1050</v>
      </c>
      <c r="S102" s="44">
        <v>34</v>
      </c>
      <c r="T102" s="31">
        <v>2338433.5921102306</v>
      </c>
      <c r="U102" s="31">
        <v>40707.530000000006</v>
      </c>
      <c r="V102" s="31">
        <v>0</v>
      </c>
      <c r="W102" s="31">
        <v>0</v>
      </c>
      <c r="X102" s="31">
        <v>158724.6085122817</v>
      </c>
      <c r="Y102" s="31">
        <v>261077.12710753229</v>
      </c>
      <c r="Z102" s="31">
        <v>53328.76121910513</v>
      </c>
      <c r="AA102" s="31">
        <f t="shared" si="9"/>
        <v>2887283.4189491495</v>
      </c>
      <c r="AB102" s="31">
        <v>35011.799999999996</v>
      </c>
      <c r="AD102" s="42" t="s">
        <v>309</v>
      </c>
      <c r="AE102" s="42" t="s">
        <v>310</v>
      </c>
      <c r="AF102" s="43" t="s">
        <v>1275</v>
      </c>
      <c r="AG102" s="44">
        <v>34</v>
      </c>
      <c r="AH102" s="31">
        <v>2379195.6425118111</v>
      </c>
      <c r="AI102" s="31">
        <v>41412.600000000013</v>
      </c>
      <c r="AJ102" s="31">
        <v>0</v>
      </c>
      <c r="AK102" s="31">
        <v>0</v>
      </c>
      <c r="AL102" s="31">
        <v>161518.83725149429</v>
      </c>
      <c r="AM102" s="31">
        <v>260654.93356757661</v>
      </c>
      <c r="AN102" s="31">
        <v>54269.648202845623</v>
      </c>
      <c r="AO102" s="31">
        <f t="shared" si="10"/>
        <v>2932684.8715337277</v>
      </c>
      <c r="AP102" s="31">
        <v>35633.21</v>
      </c>
      <c r="AR102" s="42" t="s">
        <v>309</v>
      </c>
      <c r="AS102" s="42" t="s">
        <v>310</v>
      </c>
      <c r="AT102" s="43" t="s">
        <v>1276</v>
      </c>
      <c r="AU102" s="44">
        <v>34</v>
      </c>
      <c r="AV102" s="31">
        <v>2422850.2957173521</v>
      </c>
      <c r="AW102" s="31">
        <v>42167.72</v>
      </c>
      <c r="AX102" s="31">
        <v>0</v>
      </c>
      <c r="AY102" s="31">
        <v>0</v>
      </c>
      <c r="AZ102" s="31">
        <v>164511.43341248459</v>
      </c>
      <c r="BA102" s="31">
        <v>260666.99624014678</v>
      </c>
      <c r="BB102" s="31">
        <v>55277.3069758317</v>
      </c>
      <c r="BC102" s="31">
        <f t="shared" si="11"/>
        <v>2981772.5023458153</v>
      </c>
      <c r="BD102" s="31">
        <v>36298.75</v>
      </c>
    </row>
    <row r="103" spans="2:56">
      <c r="B103" s="42" t="s">
        <v>599</v>
      </c>
      <c r="C103" s="42" t="s">
        <v>600</v>
      </c>
      <c r="D103" s="43" t="s">
        <v>1049</v>
      </c>
      <c r="E103" s="44">
        <v>34</v>
      </c>
      <c r="F103" s="31">
        <v>8419137.9696160853</v>
      </c>
      <c r="G103" s="31">
        <v>529893.59000000008</v>
      </c>
      <c r="H103" s="31">
        <v>484192.93</v>
      </c>
      <c r="I103" s="31">
        <v>28940.489999999998</v>
      </c>
      <c r="J103" s="31">
        <v>1156986.6995734496</v>
      </c>
      <c r="K103" s="31">
        <v>779634.85062575317</v>
      </c>
      <c r="L103" s="31">
        <v>411352.38187223196</v>
      </c>
      <c r="M103" s="31">
        <f t="shared" si="8"/>
        <v>12115719.30168752</v>
      </c>
      <c r="N103" s="31">
        <v>305580.39</v>
      </c>
      <c r="P103" s="42" t="s">
        <v>599</v>
      </c>
      <c r="Q103" s="42" t="s">
        <v>600</v>
      </c>
      <c r="R103" s="43" t="s">
        <v>1050</v>
      </c>
      <c r="S103" s="44">
        <v>34</v>
      </c>
      <c r="T103" s="31">
        <v>9054265.7640143391</v>
      </c>
      <c r="U103" s="31">
        <v>569367.20999999985</v>
      </c>
      <c r="V103" s="31">
        <v>515621.47000000003</v>
      </c>
      <c r="W103" s="31">
        <v>30819.010000000002</v>
      </c>
      <c r="X103" s="31">
        <v>1225659.9321259507</v>
      </c>
      <c r="Y103" s="31">
        <v>781509.5259048508</v>
      </c>
      <c r="Z103" s="31">
        <v>440990.15001810645</v>
      </c>
      <c r="AA103" s="31">
        <f t="shared" si="9"/>
        <v>12938569.732063247</v>
      </c>
      <c r="AB103" s="31">
        <v>320336.67000000004</v>
      </c>
      <c r="AD103" s="42" t="s">
        <v>599</v>
      </c>
      <c r="AE103" s="42" t="s">
        <v>600</v>
      </c>
      <c r="AF103" s="43" t="s">
        <v>1275</v>
      </c>
      <c r="AG103" s="44">
        <v>34</v>
      </c>
      <c r="AH103" s="31">
        <v>9214492.9142682254</v>
      </c>
      <c r="AI103" s="31">
        <v>579218.01</v>
      </c>
      <c r="AJ103" s="31">
        <v>524611.24</v>
      </c>
      <c r="AK103" s="31">
        <v>31356.34</v>
      </c>
      <c r="AL103" s="31">
        <v>1247192.1666310444</v>
      </c>
      <c r="AM103" s="31">
        <v>780085.27830420074</v>
      </c>
      <c r="AN103" s="31">
        <v>448749.02603502211</v>
      </c>
      <c r="AO103" s="31">
        <f t="shared" si="10"/>
        <v>13151702.685238494</v>
      </c>
      <c r="AP103" s="31">
        <v>325997.71000000002</v>
      </c>
      <c r="AR103" s="42" t="s">
        <v>599</v>
      </c>
      <c r="AS103" s="42" t="s">
        <v>600</v>
      </c>
      <c r="AT103" s="43" t="s">
        <v>1276</v>
      </c>
      <c r="AU103" s="44">
        <v>34</v>
      </c>
      <c r="AV103" s="31">
        <v>9386016.0368307084</v>
      </c>
      <c r="AW103" s="31">
        <v>589768.21</v>
      </c>
      <c r="AX103" s="31">
        <v>534239.29999999993</v>
      </c>
      <c r="AY103" s="31">
        <v>31931.81</v>
      </c>
      <c r="AZ103" s="31">
        <v>1270253.085229551</v>
      </c>
      <c r="BA103" s="31">
        <v>780125.97109279083</v>
      </c>
      <c r="BB103" s="31">
        <v>457058.52019113884</v>
      </c>
      <c r="BC103" s="31">
        <f t="shared" si="11"/>
        <v>13381453.63334419</v>
      </c>
      <c r="BD103" s="31">
        <v>332060.7</v>
      </c>
    </row>
    <row r="104" spans="2:56">
      <c r="B104" s="42" t="s">
        <v>191</v>
      </c>
      <c r="C104" s="42" t="s">
        <v>192</v>
      </c>
      <c r="D104" s="43" t="s">
        <v>1049</v>
      </c>
      <c r="E104" s="44">
        <v>34</v>
      </c>
      <c r="F104" s="31">
        <v>161308633.97328416</v>
      </c>
      <c r="G104" s="31">
        <v>9008211.1300000008</v>
      </c>
      <c r="H104" s="31">
        <v>9977970.0399999991</v>
      </c>
      <c r="I104" s="31">
        <v>572731.39</v>
      </c>
      <c r="J104" s="31">
        <v>25266163.584082298</v>
      </c>
      <c r="K104" s="31">
        <v>6904016.4027555939</v>
      </c>
      <c r="L104" s="31">
        <v>11936036.557593139</v>
      </c>
      <c r="M104" s="31">
        <f t="shared" si="8"/>
        <v>230216875.05771515</v>
      </c>
      <c r="N104" s="31">
        <v>5243111.9800000004</v>
      </c>
      <c r="P104" s="42" t="s">
        <v>191</v>
      </c>
      <c r="Q104" s="42" t="s">
        <v>192</v>
      </c>
      <c r="R104" s="43" t="s">
        <v>1050</v>
      </c>
      <c r="S104" s="44">
        <v>34</v>
      </c>
      <c r="T104" s="31">
        <v>173387070.48269749</v>
      </c>
      <c r="U104" s="31">
        <v>9660080.6999999993</v>
      </c>
      <c r="V104" s="31">
        <v>10614876.33</v>
      </c>
      <c r="W104" s="31">
        <v>609289.55000000005</v>
      </c>
      <c r="X104" s="31">
        <v>26756785.417311322</v>
      </c>
      <c r="Y104" s="31">
        <v>6921671.5824304568</v>
      </c>
      <c r="Z104" s="31">
        <v>12784639.559256306</v>
      </c>
      <c r="AA104" s="31">
        <f t="shared" si="9"/>
        <v>246235335.80169559</v>
      </c>
      <c r="AB104" s="31">
        <v>5500922.1799999997</v>
      </c>
      <c r="AD104" s="42" t="s">
        <v>191</v>
      </c>
      <c r="AE104" s="42" t="s">
        <v>192</v>
      </c>
      <c r="AF104" s="43" t="s">
        <v>1275</v>
      </c>
      <c r="AG104" s="44">
        <v>34</v>
      </c>
      <c r="AH104" s="31">
        <v>176565577.71622777</v>
      </c>
      <c r="AI104" s="31">
        <v>9830605.0199999996</v>
      </c>
      <c r="AJ104" s="31">
        <v>10803515.76</v>
      </c>
      <c r="AK104" s="31">
        <v>620117.37</v>
      </c>
      <c r="AL104" s="31">
        <v>27233768.326020263</v>
      </c>
      <c r="AM104" s="31">
        <v>6907845.5115018561</v>
      </c>
      <c r="AN104" s="31">
        <v>13012760.041967679</v>
      </c>
      <c r="AO104" s="31">
        <f t="shared" si="10"/>
        <v>250574017.30571759</v>
      </c>
      <c r="AP104" s="31">
        <v>5599827.5600000005</v>
      </c>
      <c r="AR104" s="42" t="s">
        <v>191</v>
      </c>
      <c r="AS104" s="42" t="s">
        <v>192</v>
      </c>
      <c r="AT104" s="43" t="s">
        <v>1276</v>
      </c>
      <c r="AU104" s="44">
        <v>34</v>
      </c>
      <c r="AV104" s="31">
        <v>179963692.89244825</v>
      </c>
      <c r="AW104" s="31">
        <v>10013236.58</v>
      </c>
      <c r="AX104" s="31">
        <v>11005548.58</v>
      </c>
      <c r="AY104" s="31">
        <v>631713.97</v>
      </c>
      <c r="AZ104" s="31">
        <v>27744615.247607484</v>
      </c>
      <c r="BA104" s="31">
        <v>6908240.5420998167</v>
      </c>
      <c r="BB104" s="31">
        <v>13257070.617042758</v>
      </c>
      <c r="BC104" s="31">
        <f t="shared" si="11"/>
        <v>255229873.62919831</v>
      </c>
      <c r="BD104" s="31">
        <v>5705755.1999999993</v>
      </c>
    </row>
    <row r="105" spans="2:56">
      <c r="B105" s="42" t="s">
        <v>57</v>
      </c>
      <c r="C105" s="42" t="s">
        <v>58</v>
      </c>
      <c r="D105" s="43" t="s">
        <v>1049</v>
      </c>
      <c r="E105" s="44">
        <v>34</v>
      </c>
      <c r="F105" s="31">
        <v>16791089.01800067</v>
      </c>
      <c r="G105" s="31">
        <v>228699.63</v>
      </c>
      <c r="H105" s="31">
        <v>114708.91</v>
      </c>
      <c r="I105" s="31">
        <v>56738.860000000008</v>
      </c>
      <c r="J105" s="31">
        <v>1730041.8072024474</v>
      </c>
      <c r="K105" s="31">
        <v>1336694.0039319897</v>
      </c>
      <c r="L105" s="31">
        <v>467849.77252552868</v>
      </c>
      <c r="M105" s="31">
        <f t="shared" si="8"/>
        <v>20725822.001660634</v>
      </c>
      <c r="N105" s="31">
        <v>0</v>
      </c>
      <c r="P105" s="42" t="s">
        <v>57</v>
      </c>
      <c r="Q105" s="42" t="s">
        <v>58</v>
      </c>
      <c r="R105" s="43" t="s">
        <v>1050</v>
      </c>
      <c r="S105" s="44">
        <v>34</v>
      </c>
      <c r="T105" s="31">
        <v>17871865.715890996</v>
      </c>
      <c r="U105" s="31">
        <v>243453.88999999998</v>
      </c>
      <c r="V105" s="31">
        <v>122109.21</v>
      </c>
      <c r="W105" s="31">
        <v>60399.289999999994</v>
      </c>
      <c r="X105" s="31">
        <v>1832487.0778324702</v>
      </c>
      <c r="Y105" s="31">
        <v>1339762.9157851913</v>
      </c>
      <c r="Z105" s="31">
        <v>496512.50285862049</v>
      </c>
      <c r="AA105" s="31">
        <f t="shared" si="9"/>
        <v>21966590.602367278</v>
      </c>
      <c r="AB105" s="31">
        <v>0</v>
      </c>
      <c r="AD105" s="42" t="s">
        <v>57</v>
      </c>
      <c r="AE105" s="42" t="s">
        <v>58</v>
      </c>
      <c r="AF105" s="43" t="s">
        <v>1275</v>
      </c>
      <c r="AG105" s="44">
        <v>34</v>
      </c>
      <c r="AH105" s="31">
        <v>18192499.847808409</v>
      </c>
      <c r="AI105" s="31">
        <v>247728.49</v>
      </c>
      <c r="AJ105" s="31">
        <v>124253.23000000001</v>
      </c>
      <c r="AK105" s="31">
        <v>61459.79</v>
      </c>
      <c r="AL105" s="31">
        <v>1864848.9473747413</v>
      </c>
      <c r="AM105" s="31">
        <v>1337405.7847205764</v>
      </c>
      <c r="AN105" s="31">
        <v>505294.578000971</v>
      </c>
      <c r="AO105" s="31">
        <f t="shared" si="10"/>
        <v>22333490.667904697</v>
      </c>
      <c r="AP105" s="31">
        <v>0</v>
      </c>
      <c r="AR105" s="42" t="s">
        <v>57</v>
      </c>
      <c r="AS105" s="42" t="s">
        <v>58</v>
      </c>
      <c r="AT105" s="43" t="s">
        <v>1276</v>
      </c>
      <c r="AU105" s="44">
        <v>34</v>
      </c>
      <c r="AV105" s="31">
        <v>18535554.45876348</v>
      </c>
      <c r="AW105" s="31">
        <v>252306.59000000003</v>
      </c>
      <c r="AX105" s="31">
        <v>126549.47000000002</v>
      </c>
      <c r="AY105" s="31">
        <v>62595.59</v>
      </c>
      <c r="AZ105" s="31">
        <v>1899508.3623976461</v>
      </c>
      <c r="BA105" s="31">
        <v>1337473.1313224225</v>
      </c>
      <c r="BB105" s="31">
        <v>514699.89464842831</v>
      </c>
      <c r="BC105" s="31">
        <f t="shared" si="11"/>
        <v>22728687.497131974</v>
      </c>
      <c r="BD105" s="31">
        <v>0</v>
      </c>
    </row>
    <row r="106" spans="2:56">
      <c r="B106" s="42" t="s">
        <v>325</v>
      </c>
      <c r="C106" s="42" t="s">
        <v>326</v>
      </c>
      <c r="D106" s="43" t="s">
        <v>1049</v>
      </c>
      <c r="E106" s="44">
        <v>34</v>
      </c>
      <c r="F106" s="31">
        <v>2651079.6708279261</v>
      </c>
      <c r="G106" s="31">
        <v>150451.59000000003</v>
      </c>
      <c r="H106" s="31">
        <v>0</v>
      </c>
      <c r="I106" s="31">
        <v>8477.5300000000007</v>
      </c>
      <c r="J106" s="31">
        <v>330567.63728040882</v>
      </c>
      <c r="K106" s="31">
        <v>523766.02213386068</v>
      </c>
      <c r="L106" s="31">
        <v>0</v>
      </c>
      <c r="M106" s="31">
        <f t="shared" si="8"/>
        <v>3749507.3902421952</v>
      </c>
      <c r="N106" s="31">
        <v>85164.939999999988</v>
      </c>
      <c r="P106" s="42" t="s">
        <v>325</v>
      </c>
      <c r="Q106" s="42" t="s">
        <v>326</v>
      </c>
      <c r="R106" s="43" t="s">
        <v>1050</v>
      </c>
      <c r="S106" s="44">
        <v>34</v>
      </c>
      <c r="T106" s="31">
        <v>2862340.3248830638</v>
      </c>
      <c r="U106" s="31">
        <v>161632.67000000004</v>
      </c>
      <c r="V106" s="31">
        <v>0</v>
      </c>
      <c r="W106" s="31">
        <v>9027.8000000000011</v>
      </c>
      <c r="X106" s="31">
        <v>350164.5103442166</v>
      </c>
      <c r="Y106" s="31">
        <v>524922.19267910055</v>
      </c>
      <c r="Z106" s="31">
        <v>0</v>
      </c>
      <c r="AA106" s="31">
        <f t="shared" si="9"/>
        <v>3997365.0079063806</v>
      </c>
      <c r="AB106" s="31">
        <v>89277.51</v>
      </c>
      <c r="AD106" s="42" t="s">
        <v>325</v>
      </c>
      <c r="AE106" s="42" t="s">
        <v>326</v>
      </c>
      <c r="AF106" s="43" t="s">
        <v>1275</v>
      </c>
      <c r="AG106" s="44">
        <v>34</v>
      </c>
      <c r="AH106" s="31">
        <v>2912492.2447923105</v>
      </c>
      <c r="AI106" s="31">
        <v>164429.53000000003</v>
      </c>
      <c r="AJ106" s="31">
        <v>0</v>
      </c>
      <c r="AK106" s="31">
        <v>9185.19</v>
      </c>
      <c r="AL106" s="31">
        <v>356307.08582903462</v>
      </c>
      <c r="AM106" s="31">
        <v>524043.81489103218</v>
      </c>
      <c r="AN106" s="31">
        <v>0</v>
      </c>
      <c r="AO106" s="31">
        <f t="shared" si="10"/>
        <v>4057313.1055123778</v>
      </c>
      <c r="AP106" s="31">
        <v>90855.24</v>
      </c>
      <c r="AR106" s="42" t="s">
        <v>325</v>
      </c>
      <c r="AS106" s="42" t="s">
        <v>326</v>
      </c>
      <c r="AT106" s="43" t="s">
        <v>1276</v>
      </c>
      <c r="AU106" s="44">
        <v>34</v>
      </c>
      <c r="AV106" s="31">
        <v>2966204.2569297138</v>
      </c>
      <c r="AW106" s="31">
        <v>167424.96000000002</v>
      </c>
      <c r="AX106" s="31">
        <v>0</v>
      </c>
      <c r="AY106" s="31">
        <v>9353.7699999999986</v>
      </c>
      <c r="AZ106" s="31">
        <v>362885.69884706603</v>
      </c>
      <c r="BA106" s="31">
        <v>524068.91139926272</v>
      </c>
      <c r="BB106" s="31">
        <v>0</v>
      </c>
      <c r="BC106" s="31">
        <f t="shared" si="11"/>
        <v>4122482.5771760424</v>
      </c>
      <c r="BD106" s="31">
        <v>92544.98</v>
      </c>
    </row>
    <row r="107" spans="2:56">
      <c r="B107" s="42" t="s">
        <v>143</v>
      </c>
      <c r="C107" s="42" t="s">
        <v>144</v>
      </c>
      <c r="D107" s="43" t="s">
        <v>1049</v>
      </c>
      <c r="E107" s="44">
        <v>34</v>
      </c>
      <c r="F107" s="31">
        <v>12407152.958058584</v>
      </c>
      <c r="G107" s="31">
        <v>748262.73</v>
      </c>
      <c r="H107" s="31">
        <v>153277.43000000002</v>
      </c>
      <c r="I107" s="31">
        <v>44044.12</v>
      </c>
      <c r="J107" s="31">
        <v>1946280.1728292361</v>
      </c>
      <c r="K107" s="31">
        <v>1082271.6148795504</v>
      </c>
      <c r="L107" s="31">
        <v>1277782.3855893856</v>
      </c>
      <c r="M107" s="31">
        <f t="shared" si="8"/>
        <v>18111303.121356759</v>
      </c>
      <c r="N107" s="31">
        <v>452231.71</v>
      </c>
      <c r="P107" s="42" t="s">
        <v>143</v>
      </c>
      <c r="Q107" s="42" t="s">
        <v>144</v>
      </c>
      <c r="R107" s="43" t="s">
        <v>1050</v>
      </c>
      <c r="S107" s="44">
        <v>34</v>
      </c>
      <c r="T107" s="31">
        <v>13344693.065086121</v>
      </c>
      <c r="U107" s="31">
        <v>804347.84</v>
      </c>
      <c r="V107" s="31">
        <v>163226.51999999999</v>
      </c>
      <c r="W107" s="31">
        <v>46902.969999999994</v>
      </c>
      <c r="X107" s="31">
        <v>2061763.9334792078</v>
      </c>
      <c r="Y107" s="31">
        <v>1084473.6655442494</v>
      </c>
      <c r="Z107" s="31">
        <v>1369468.8135518325</v>
      </c>
      <c r="AA107" s="31">
        <f t="shared" si="9"/>
        <v>19348946.48766141</v>
      </c>
      <c r="AB107" s="31">
        <v>474069.68000000005</v>
      </c>
      <c r="AD107" s="42" t="s">
        <v>143</v>
      </c>
      <c r="AE107" s="42" t="s">
        <v>144</v>
      </c>
      <c r="AF107" s="43" t="s">
        <v>1275</v>
      </c>
      <c r="AG107" s="44">
        <v>34</v>
      </c>
      <c r="AH107" s="31">
        <v>13591390.995797427</v>
      </c>
      <c r="AI107" s="31">
        <v>818258.99</v>
      </c>
      <c r="AJ107" s="31">
        <v>166072.36000000002</v>
      </c>
      <c r="AK107" s="31">
        <v>47720.719999999994</v>
      </c>
      <c r="AL107" s="31">
        <v>2097985.870837749</v>
      </c>
      <c r="AM107" s="31">
        <v>1082800.7009456991</v>
      </c>
      <c r="AN107" s="31">
        <v>1393563.7462662109</v>
      </c>
      <c r="AO107" s="31">
        <f t="shared" si="10"/>
        <v>19680240.913847089</v>
      </c>
      <c r="AP107" s="31">
        <v>482447.52999999997</v>
      </c>
      <c r="AR107" s="42" t="s">
        <v>143</v>
      </c>
      <c r="AS107" s="42" t="s">
        <v>144</v>
      </c>
      <c r="AT107" s="43" t="s">
        <v>1276</v>
      </c>
      <c r="AU107" s="44">
        <v>34</v>
      </c>
      <c r="AV107" s="31">
        <v>13854804.358639915</v>
      </c>
      <c r="AW107" s="31">
        <v>833157.84999999974</v>
      </c>
      <c r="AX107" s="31">
        <v>169120.24000000002</v>
      </c>
      <c r="AY107" s="31">
        <v>48596.529999999992</v>
      </c>
      <c r="AZ107" s="31">
        <v>2136779.4278802969</v>
      </c>
      <c r="BA107" s="31">
        <v>1082848.4999342293</v>
      </c>
      <c r="BB107" s="31">
        <v>1419368.6048991098</v>
      </c>
      <c r="BC107" s="31">
        <f t="shared" si="11"/>
        <v>20036095.711353548</v>
      </c>
      <c r="BD107" s="31">
        <v>491420.20000000007</v>
      </c>
    </row>
    <row r="108" spans="2:56">
      <c r="B108" s="42" t="s">
        <v>1315</v>
      </c>
      <c r="C108" s="42" t="s">
        <v>1316</v>
      </c>
      <c r="D108" s="43" t="s">
        <v>1049</v>
      </c>
      <c r="E108" s="44">
        <v>34</v>
      </c>
      <c r="F108" s="31">
        <v>2829301.0156453652</v>
      </c>
      <c r="G108" s="31">
        <v>94937.479999999981</v>
      </c>
      <c r="H108" s="31">
        <v>41488.01</v>
      </c>
      <c r="I108" s="31">
        <v>0</v>
      </c>
      <c r="J108" s="31">
        <v>28920.383798683935</v>
      </c>
      <c r="K108" s="31">
        <v>78040.08</v>
      </c>
      <c r="L108" s="31">
        <v>0</v>
      </c>
      <c r="M108" s="31">
        <f t="shared" si="8"/>
        <v>3157063.8794440492</v>
      </c>
      <c r="N108" s="31">
        <v>84376.91</v>
      </c>
      <c r="P108" s="42" t="s">
        <v>1315</v>
      </c>
      <c r="Q108" s="42" t="s">
        <v>1316</v>
      </c>
      <c r="R108" s="43" t="s">
        <v>1050</v>
      </c>
      <c r="S108" s="44">
        <v>34</v>
      </c>
      <c r="T108" s="31">
        <v>3047681.5446863207</v>
      </c>
      <c r="U108" s="31">
        <v>102315.13</v>
      </c>
      <c r="V108" s="31">
        <v>44149.709999999992</v>
      </c>
      <c r="W108" s="31">
        <v>0</v>
      </c>
      <c r="X108" s="31">
        <v>30619.794185310271</v>
      </c>
      <c r="Y108" s="31">
        <v>78040.08</v>
      </c>
      <c r="Z108" s="31">
        <v>0</v>
      </c>
      <c r="AA108" s="31">
        <f t="shared" si="9"/>
        <v>3391309.6488716309</v>
      </c>
      <c r="AB108" s="31">
        <v>88503.389999999985</v>
      </c>
      <c r="AD108" s="42" t="s">
        <v>1315</v>
      </c>
      <c r="AE108" s="42" t="s">
        <v>1316</v>
      </c>
      <c r="AF108" s="43" t="s">
        <v>1275</v>
      </c>
      <c r="AG108" s="44">
        <v>34</v>
      </c>
      <c r="AH108" s="31">
        <v>3101573.5317545123</v>
      </c>
      <c r="AI108" s="31">
        <v>104103.76999999999</v>
      </c>
      <c r="AJ108" s="31">
        <v>44929.829999999994</v>
      </c>
      <c r="AK108" s="31">
        <v>0</v>
      </c>
      <c r="AL108" s="31">
        <v>31162.093655951376</v>
      </c>
      <c r="AM108" s="31">
        <v>78040.08</v>
      </c>
      <c r="AN108" s="31">
        <v>0</v>
      </c>
      <c r="AO108" s="31">
        <f t="shared" si="10"/>
        <v>3449895.7654104638</v>
      </c>
      <c r="AP108" s="31">
        <v>90086.459999999992</v>
      </c>
      <c r="AR108" s="42" t="s">
        <v>1315</v>
      </c>
      <c r="AS108" s="42" t="s">
        <v>1316</v>
      </c>
      <c r="AT108" s="43" t="s">
        <v>1276</v>
      </c>
      <c r="AU108" s="44">
        <v>34</v>
      </c>
      <c r="AV108" s="31">
        <v>3159291.2680365453</v>
      </c>
      <c r="AW108" s="31">
        <v>106019.41</v>
      </c>
      <c r="AX108" s="31">
        <v>45765.33</v>
      </c>
      <c r="AY108" s="31">
        <v>0</v>
      </c>
      <c r="AZ108" s="31">
        <v>31742.890526687883</v>
      </c>
      <c r="BA108" s="31">
        <v>78040.08</v>
      </c>
      <c r="BB108" s="31">
        <v>0</v>
      </c>
      <c r="BC108" s="31">
        <f t="shared" si="11"/>
        <v>3512640.9085632334</v>
      </c>
      <c r="BD108" s="31">
        <v>91781.93</v>
      </c>
    </row>
    <row r="109" spans="2:56">
      <c r="B109" s="42" t="s">
        <v>1230</v>
      </c>
      <c r="C109" s="42" t="s">
        <v>1231</v>
      </c>
      <c r="D109" s="43" t="s">
        <v>1049</v>
      </c>
      <c r="E109" s="44">
        <v>34</v>
      </c>
      <c r="F109" s="31">
        <v>3416333.7281552423</v>
      </c>
      <c r="G109" s="31">
        <v>124438.09000000001</v>
      </c>
      <c r="H109" s="31">
        <v>66171.27</v>
      </c>
      <c r="I109" s="31">
        <v>9485.3000000000011</v>
      </c>
      <c r="J109" s="31">
        <v>102749.24875892818</v>
      </c>
      <c r="K109" s="31">
        <v>38906.230000000003</v>
      </c>
      <c r="L109" s="31">
        <v>0</v>
      </c>
      <c r="M109" s="31">
        <f t="shared" si="8"/>
        <v>3758083.8669141703</v>
      </c>
      <c r="N109" s="31">
        <v>0</v>
      </c>
      <c r="P109" s="42" t="s">
        <v>1230</v>
      </c>
      <c r="Q109" s="42" t="s">
        <v>1231</v>
      </c>
      <c r="R109" s="43" t="s">
        <v>1050</v>
      </c>
      <c r="S109" s="44">
        <v>34</v>
      </c>
      <c r="T109" s="31">
        <v>3679441.8741943203</v>
      </c>
      <c r="U109" s="31">
        <v>132381.12000000002</v>
      </c>
      <c r="V109" s="31">
        <v>70395.05</v>
      </c>
      <c r="W109" s="31">
        <v>10090.759999999998</v>
      </c>
      <c r="X109" s="31">
        <v>108778.14380401419</v>
      </c>
      <c r="Y109" s="31">
        <v>38906.230000000003</v>
      </c>
      <c r="Z109" s="31">
        <v>0</v>
      </c>
      <c r="AA109" s="31">
        <f t="shared" si="9"/>
        <v>4039993.1779983342</v>
      </c>
      <c r="AB109" s="31">
        <v>0</v>
      </c>
      <c r="AD109" s="42" t="s">
        <v>1230</v>
      </c>
      <c r="AE109" s="42" t="s">
        <v>1231</v>
      </c>
      <c r="AF109" s="43" t="s">
        <v>1275</v>
      </c>
      <c r="AG109" s="44">
        <v>34</v>
      </c>
      <c r="AH109" s="31">
        <v>3744820.7209302853</v>
      </c>
      <c r="AI109" s="31">
        <v>134733.70000000001</v>
      </c>
      <c r="AJ109" s="31">
        <v>71646.070000000007</v>
      </c>
      <c r="AK109" s="31">
        <v>10270.079999999998</v>
      </c>
      <c r="AL109" s="31">
        <v>110713.90852899017</v>
      </c>
      <c r="AM109" s="31">
        <v>38906.230000000003</v>
      </c>
      <c r="AN109" s="31">
        <v>0</v>
      </c>
      <c r="AO109" s="31">
        <f t="shared" si="10"/>
        <v>4111090.7094592755</v>
      </c>
      <c r="AP109" s="31">
        <v>0</v>
      </c>
      <c r="AR109" s="42" t="s">
        <v>1230</v>
      </c>
      <c r="AS109" s="42" t="s">
        <v>1231</v>
      </c>
      <c r="AT109" s="43" t="s">
        <v>1276</v>
      </c>
      <c r="AU109" s="44">
        <v>34</v>
      </c>
      <c r="AV109" s="31">
        <v>3814840.7910947027</v>
      </c>
      <c r="AW109" s="31">
        <v>137253.30000000002</v>
      </c>
      <c r="AX109" s="31">
        <v>72985.88</v>
      </c>
      <c r="AY109" s="31">
        <v>10462.149999999998</v>
      </c>
      <c r="AZ109" s="31">
        <v>112787.09255061316</v>
      </c>
      <c r="BA109" s="31">
        <v>38906.230000000003</v>
      </c>
      <c r="BB109" s="31">
        <v>0</v>
      </c>
      <c r="BC109" s="31">
        <f t="shared" si="11"/>
        <v>4187235.4436453152</v>
      </c>
      <c r="BD109" s="31">
        <v>0</v>
      </c>
    </row>
    <row r="110" spans="2:56">
      <c r="B110" s="42" t="s">
        <v>1032</v>
      </c>
      <c r="C110" s="42" t="s">
        <v>1042</v>
      </c>
      <c r="D110" s="43" t="s">
        <v>1049</v>
      </c>
      <c r="E110" s="44">
        <v>34</v>
      </c>
      <c r="F110" s="31">
        <v>6776490.6034356095</v>
      </c>
      <c r="G110" s="31">
        <v>280493.86</v>
      </c>
      <c r="H110" s="31">
        <v>241423.45</v>
      </c>
      <c r="I110" s="31">
        <v>19422.27</v>
      </c>
      <c r="J110" s="31">
        <v>273094.09519344935</v>
      </c>
      <c r="K110" s="31">
        <v>87788.41</v>
      </c>
      <c r="L110" s="31">
        <v>0</v>
      </c>
      <c r="M110" s="31">
        <f t="shared" si="8"/>
        <v>7878129.7986290595</v>
      </c>
      <c r="N110" s="31">
        <v>199417.11000000002</v>
      </c>
      <c r="P110" s="42" t="s">
        <v>1032</v>
      </c>
      <c r="Q110" s="42" t="s">
        <v>1042</v>
      </c>
      <c r="R110" s="43" t="s">
        <v>1050</v>
      </c>
      <c r="S110" s="44">
        <v>34</v>
      </c>
      <c r="T110" s="31">
        <v>7301148.9131586514</v>
      </c>
      <c r="U110" s="31">
        <v>301321.59000000003</v>
      </c>
      <c r="V110" s="31">
        <v>256833.81999999998</v>
      </c>
      <c r="W110" s="31">
        <v>20662.030000000002</v>
      </c>
      <c r="X110" s="31">
        <v>289132.45203570172</v>
      </c>
      <c r="Y110" s="31">
        <v>87788.41</v>
      </c>
      <c r="Z110" s="31">
        <v>0</v>
      </c>
      <c r="AA110" s="31">
        <f t="shared" si="9"/>
        <v>8466109.9151943531</v>
      </c>
      <c r="AB110" s="31">
        <v>209222.7</v>
      </c>
      <c r="AD110" s="42" t="s">
        <v>1032</v>
      </c>
      <c r="AE110" s="42" t="s">
        <v>1042</v>
      </c>
      <c r="AF110" s="43" t="s">
        <v>1275</v>
      </c>
      <c r="AG110" s="44">
        <v>34</v>
      </c>
      <c r="AH110" s="31">
        <v>7430908.5066278856</v>
      </c>
      <c r="AI110" s="31">
        <v>306632.82000000007</v>
      </c>
      <c r="AJ110" s="31">
        <v>261398.06</v>
      </c>
      <c r="AK110" s="31">
        <v>21029.22</v>
      </c>
      <c r="AL110" s="31">
        <v>294278.37167336565</v>
      </c>
      <c r="AM110" s="31">
        <v>87788.41</v>
      </c>
      <c r="AN110" s="31">
        <v>0</v>
      </c>
      <c r="AO110" s="31">
        <f t="shared" si="10"/>
        <v>8615019.8583012521</v>
      </c>
      <c r="AP110" s="31">
        <v>212984.47000000003</v>
      </c>
      <c r="AR110" s="42" t="s">
        <v>1032</v>
      </c>
      <c r="AS110" s="42" t="s">
        <v>1042</v>
      </c>
      <c r="AT110" s="43" t="s">
        <v>1276</v>
      </c>
      <c r="AU110" s="44">
        <v>34</v>
      </c>
      <c r="AV110" s="31">
        <v>7569879.6509132329</v>
      </c>
      <c r="AW110" s="31">
        <v>312321.12999999995</v>
      </c>
      <c r="AX110" s="31">
        <v>266286.38</v>
      </c>
      <c r="AY110" s="31">
        <v>21422.48</v>
      </c>
      <c r="AZ110" s="31">
        <v>299789.5967723261</v>
      </c>
      <c r="BA110" s="31">
        <v>87788.41</v>
      </c>
      <c r="BB110" s="31">
        <v>0</v>
      </c>
      <c r="BC110" s="31">
        <f t="shared" si="11"/>
        <v>8774500.9876855593</v>
      </c>
      <c r="BD110" s="31">
        <v>217013.34000000003</v>
      </c>
    </row>
    <row r="111" spans="2:56">
      <c r="B111" s="42" t="s">
        <v>107</v>
      </c>
      <c r="C111" s="42" t="s">
        <v>108</v>
      </c>
      <c r="D111" s="43" t="s">
        <v>1049</v>
      </c>
      <c r="E111" s="44">
        <v>34</v>
      </c>
      <c r="F111" s="31">
        <v>2811344.7319271076</v>
      </c>
      <c r="G111" s="31">
        <v>116151.74999999999</v>
      </c>
      <c r="H111" s="31">
        <v>0</v>
      </c>
      <c r="I111" s="31">
        <v>0</v>
      </c>
      <c r="J111" s="31">
        <v>214940.78815853238</v>
      </c>
      <c r="K111" s="31">
        <v>0</v>
      </c>
      <c r="L111" s="31">
        <v>0</v>
      </c>
      <c r="M111" s="31">
        <f t="shared" si="8"/>
        <v>3208503.4400856397</v>
      </c>
      <c r="N111" s="31">
        <v>66066.17</v>
      </c>
      <c r="P111" s="42" t="s">
        <v>107</v>
      </c>
      <c r="Q111" s="42" t="s">
        <v>108</v>
      </c>
      <c r="R111" s="43" t="s">
        <v>1050</v>
      </c>
      <c r="S111" s="44">
        <v>34</v>
      </c>
      <c r="T111" s="31">
        <v>3009261.753761231</v>
      </c>
      <c r="U111" s="31">
        <v>124789.04999999997</v>
      </c>
      <c r="V111" s="31">
        <v>0</v>
      </c>
      <c r="W111" s="31">
        <v>0</v>
      </c>
      <c r="X111" s="31">
        <v>227692.98119822182</v>
      </c>
      <c r="Y111" s="31">
        <v>0</v>
      </c>
      <c r="Z111" s="31">
        <v>0</v>
      </c>
      <c r="AA111" s="31">
        <f t="shared" si="9"/>
        <v>3431000.2449594527</v>
      </c>
      <c r="AB111" s="31">
        <v>69256.460000000006</v>
      </c>
      <c r="AD111" s="42" t="s">
        <v>107</v>
      </c>
      <c r="AE111" s="42" t="s">
        <v>108</v>
      </c>
      <c r="AF111" s="43" t="s">
        <v>1275</v>
      </c>
      <c r="AG111" s="44">
        <v>34</v>
      </c>
      <c r="AH111" s="31">
        <v>3062110.2741963146</v>
      </c>
      <c r="AI111" s="31">
        <v>126948.28999999998</v>
      </c>
      <c r="AJ111" s="31">
        <v>0</v>
      </c>
      <c r="AK111" s="31">
        <v>0</v>
      </c>
      <c r="AL111" s="31">
        <v>231692.03825073937</v>
      </c>
      <c r="AM111" s="31">
        <v>0</v>
      </c>
      <c r="AN111" s="31">
        <v>0</v>
      </c>
      <c r="AO111" s="31">
        <f t="shared" si="10"/>
        <v>3491230.972447054</v>
      </c>
      <c r="AP111" s="31">
        <v>70480.37</v>
      </c>
      <c r="AR111" s="42" t="s">
        <v>107</v>
      </c>
      <c r="AS111" s="42" t="s">
        <v>108</v>
      </c>
      <c r="AT111" s="43" t="s">
        <v>1276</v>
      </c>
      <c r="AU111" s="44">
        <v>34</v>
      </c>
      <c r="AV111" s="31">
        <v>3118688.1711626379</v>
      </c>
      <c r="AW111" s="31">
        <v>129260.84</v>
      </c>
      <c r="AX111" s="31">
        <v>0</v>
      </c>
      <c r="AY111" s="31">
        <v>0</v>
      </c>
      <c r="AZ111" s="31">
        <v>235975.00494467828</v>
      </c>
      <c r="BA111" s="31">
        <v>0</v>
      </c>
      <c r="BB111" s="31">
        <v>0</v>
      </c>
      <c r="BC111" s="31">
        <f t="shared" si="11"/>
        <v>3555715.1961073163</v>
      </c>
      <c r="BD111" s="31">
        <v>71791.179999999993</v>
      </c>
    </row>
    <row r="112" spans="2:56">
      <c r="B112" s="42" t="s">
        <v>435</v>
      </c>
      <c r="C112" s="42" t="s">
        <v>436</v>
      </c>
      <c r="D112" s="43" t="s">
        <v>1049</v>
      </c>
      <c r="E112" s="44">
        <v>34</v>
      </c>
      <c r="F112" s="31">
        <v>591608.562918109</v>
      </c>
      <c r="G112" s="31">
        <v>8189.84</v>
      </c>
      <c r="H112" s="31">
        <v>0</v>
      </c>
      <c r="I112" s="31">
        <v>0</v>
      </c>
      <c r="J112" s="31">
        <v>34133.292587697448</v>
      </c>
      <c r="K112" s="31">
        <v>81182.484782710977</v>
      </c>
      <c r="L112" s="31">
        <v>0</v>
      </c>
      <c r="M112" s="31">
        <f t="shared" si="8"/>
        <v>715114.1802885175</v>
      </c>
      <c r="N112" s="31">
        <v>0</v>
      </c>
      <c r="P112" s="42" t="s">
        <v>435</v>
      </c>
      <c r="Q112" s="42" t="s">
        <v>436</v>
      </c>
      <c r="R112" s="43" t="s">
        <v>1050</v>
      </c>
      <c r="S112" s="44">
        <v>34</v>
      </c>
      <c r="T112" s="31">
        <v>627601.95599941036</v>
      </c>
      <c r="U112" s="31">
        <v>8715.2800000000007</v>
      </c>
      <c r="V112" s="31">
        <v>0</v>
      </c>
      <c r="W112" s="31">
        <v>0</v>
      </c>
      <c r="X112" s="31">
        <v>36143.294080982108</v>
      </c>
      <c r="Y112" s="31">
        <v>81325.817610995728</v>
      </c>
      <c r="Z112" s="31">
        <v>0</v>
      </c>
      <c r="AA112" s="31">
        <f t="shared" si="9"/>
        <v>753786.34769138822</v>
      </c>
      <c r="AB112" s="31">
        <v>0</v>
      </c>
      <c r="AD112" s="42" t="s">
        <v>435</v>
      </c>
      <c r="AE112" s="42" t="s">
        <v>436</v>
      </c>
      <c r="AF112" s="43" t="s">
        <v>1275</v>
      </c>
      <c r="AG112" s="44">
        <v>34</v>
      </c>
      <c r="AH112" s="31">
        <v>638617.33501761989</v>
      </c>
      <c r="AI112" s="31">
        <v>8869.27</v>
      </c>
      <c r="AJ112" s="31">
        <v>0</v>
      </c>
      <c r="AK112" s="31">
        <v>0</v>
      </c>
      <c r="AL112" s="31">
        <v>36783.661560598935</v>
      </c>
      <c r="AM112" s="31">
        <v>81214.613587686239</v>
      </c>
      <c r="AN112" s="31">
        <v>0</v>
      </c>
      <c r="AO112" s="31">
        <f t="shared" si="10"/>
        <v>765484.88016590511</v>
      </c>
      <c r="AP112" s="31">
        <v>0</v>
      </c>
      <c r="AR112" s="42" t="s">
        <v>435</v>
      </c>
      <c r="AS112" s="42" t="s">
        <v>436</v>
      </c>
      <c r="AT112" s="43" t="s">
        <v>1276</v>
      </c>
      <c r="AU112" s="44">
        <v>34</v>
      </c>
      <c r="AV112" s="31">
        <v>650415.70490210201</v>
      </c>
      <c r="AW112" s="31">
        <v>9034.2100000000009</v>
      </c>
      <c r="AX112" s="31">
        <v>0</v>
      </c>
      <c r="AY112" s="31">
        <v>0</v>
      </c>
      <c r="AZ112" s="31">
        <v>37469.487717563679</v>
      </c>
      <c r="BA112" s="31">
        <v>81217.790845495081</v>
      </c>
      <c r="BB112" s="31">
        <v>0</v>
      </c>
      <c r="BC112" s="31">
        <f t="shared" si="11"/>
        <v>778137.19346516067</v>
      </c>
      <c r="BD112" s="31">
        <v>0</v>
      </c>
    </row>
    <row r="113" spans="2:56">
      <c r="B113" s="42" t="s">
        <v>211</v>
      </c>
      <c r="C113" s="42" t="s">
        <v>212</v>
      </c>
      <c r="D113" s="43" t="s">
        <v>1049</v>
      </c>
      <c r="E113" s="44">
        <v>34</v>
      </c>
      <c r="F113" s="31">
        <v>175489078.77735424</v>
      </c>
      <c r="G113" s="31">
        <v>1409696.12</v>
      </c>
      <c r="H113" s="31">
        <v>2558094.8299999996</v>
      </c>
      <c r="I113" s="31">
        <v>625352.22</v>
      </c>
      <c r="J113" s="31">
        <v>16798344.095787942</v>
      </c>
      <c r="K113" s="31">
        <v>9139448.7948959023</v>
      </c>
      <c r="L113" s="31">
        <v>11565238.856265876</v>
      </c>
      <c r="M113" s="31">
        <f t="shared" si="8"/>
        <v>217585253.69430396</v>
      </c>
      <c r="N113" s="31">
        <v>0</v>
      </c>
      <c r="P113" s="42" t="s">
        <v>211</v>
      </c>
      <c r="Q113" s="42" t="s">
        <v>212</v>
      </c>
      <c r="R113" s="43" t="s">
        <v>1050</v>
      </c>
      <c r="S113" s="44">
        <v>34</v>
      </c>
      <c r="T113" s="31">
        <v>186674936.39302567</v>
      </c>
      <c r="U113" s="31">
        <v>1499678.78</v>
      </c>
      <c r="V113" s="31">
        <v>2721381.2200000007</v>
      </c>
      <c r="W113" s="31">
        <v>665269.23</v>
      </c>
      <c r="X113" s="31">
        <v>17789714.140156358</v>
      </c>
      <c r="Y113" s="31">
        <v>9161890.7789817005</v>
      </c>
      <c r="Z113" s="31">
        <v>12269632.063746141</v>
      </c>
      <c r="AA113" s="31">
        <f t="shared" si="9"/>
        <v>230782502.60590988</v>
      </c>
      <c r="AB113" s="31">
        <v>0</v>
      </c>
      <c r="AD113" s="42" t="s">
        <v>211</v>
      </c>
      <c r="AE113" s="42" t="s">
        <v>212</v>
      </c>
      <c r="AF113" s="43" t="s">
        <v>1275</v>
      </c>
      <c r="AG113" s="44">
        <v>34</v>
      </c>
      <c r="AH113" s="31">
        <v>190047212.58868667</v>
      </c>
      <c r="AI113" s="31">
        <v>1526329.93</v>
      </c>
      <c r="AJ113" s="31">
        <v>2769743.52</v>
      </c>
      <c r="AK113" s="31">
        <v>677091.88</v>
      </c>
      <c r="AL113" s="31">
        <v>18106839.45504063</v>
      </c>
      <c r="AM113" s="31">
        <v>9144316.0802551545</v>
      </c>
      <c r="AN113" s="31">
        <v>12488635.872907465</v>
      </c>
      <c r="AO113" s="31">
        <f t="shared" si="10"/>
        <v>234760169.32688993</v>
      </c>
      <c r="AP113" s="31">
        <v>0</v>
      </c>
      <c r="AR113" s="42" t="s">
        <v>211</v>
      </c>
      <c r="AS113" s="42" t="s">
        <v>212</v>
      </c>
      <c r="AT113" s="43" t="s">
        <v>1276</v>
      </c>
      <c r="AU113" s="44">
        <v>34</v>
      </c>
      <c r="AV113" s="31">
        <v>193655621.72570622</v>
      </c>
      <c r="AW113" s="31">
        <v>1554873.2899999998</v>
      </c>
      <c r="AX113" s="31">
        <v>2821539.54</v>
      </c>
      <c r="AY113" s="31">
        <v>689753.94000000006</v>
      </c>
      <c r="AZ113" s="31">
        <v>18446479.252772257</v>
      </c>
      <c r="BA113" s="31">
        <v>9144818.2145044841</v>
      </c>
      <c r="BB113" s="31">
        <v>12723182.419068042</v>
      </c>
      <c r="BC113" s="31">
        <f t="shared" si="11"/>
        <v>239036268.38205099</v>
      </c>
      <c r="BD113" s="31">
        <v>0</v>
      </c>
    </row>
    <row r="114" spans="2:56">
      <c r="B114" s="42" t="s">
        <v>117</v>
      </c>
      <c r="C114" s="42" t="s">
        <v>118</v>
      </c>
      <c r="D114" s="43" t="s">
        <v>1049</v>
      </c>
      <c r="E114" s="44">
        <v>34</v>
      </c>
      <c r="F114" s="31">
        <v>1840082.8244621293</v>
      </c>
      <c r="G114" s="31">
        <v>16040.26</v>
      </c>
      <c r="H114" s="31">
        <v>0</v>
      </c>
      <c r="I114" s="31">
        <v>0</v>
      </c>
      <c r="J114" s="31">
        <v>44726.633909913333</v>
      </c>
      <c r="K114" s="31">
        <v>96319.635234996982</v>
      </c>
      <c r="L114" s="31">
        <v>33412.072526612319</v>
      </c>
      <c r="M114" s="31">
        <f t="shared" si="8"/>
        <v>2040669.6461336517</v>
      </c>
      <c r="N114" s="31">
        <v>10088.219999999999</v>
      </c>
      <c r="P114" s="42" t="s">
        <v>117</v>
      </c>
      <c r="Q114" s="42" t="s">
        <v>118</v>
      </c>
      <c r="R114" s="43" t="s">
        <v>1050</v>
      </c>
      <c r="S114" s="44">
        <v>34</v>
      </c>
      <c r="T114" s="31">
        <v>1952866.6166127098</v>
      </c>
      <c r="U114" s="31">
        <v>17239.869999999995</v>
      </c>
      <c r="V114" s="31">
        <v>0</v>
      </c>
      <c r="W114" s="31">
        <v>0</v>
      </c>
      <c r="X114" s="31">
        <v>47375.218225996548</v>
      </c>
      <c r="Y114" s="31">
        <v>96487.761521108085</v>
      </c>
      <c r="Z114" s="31">
        <v>35784.947804822106</v>
      </c>
      <c r="AA114" s="31">
        <f t="shared" si="9"/>
        <v>2160331.9941646364</v>
      </c>
      <c r="AB114" s="31">
        <v>10577.58</v>
      </c>
      <c r="AD114" s="42" t="s">
        <v>117</v>
      </c>
      <c r="AE114" s="42" t="s">
        <v>118</v>
      </c>
      <c r="AF114" s="43" t="s">
        <v>1275</v>
      </c>
      <c r="AG114" s="44">
        <v>34</v>
      </c>
      <c r="AH114" s="31">
        <v>1986674.9120502691</v>
      </c>
      <c r="AI114" s="31">
        <v>17539.449999999997</v>
      </c>
      <c r="AJ114" s="31">
        <v>0</v>
      </c>
      <c r="AK114" s="31">
        <v>0</v>
      </c>
      <c r="AL114" s="31">
        <v>48209.798782101425</v>
      </c>
      <c r="AM114" s="31">
        <v>96360.030888358087</v>
      </c>
      <c r="AN114" s="31">
        <v>36416.365744266543</v>
      </c>
      <c r="AO114" s="31">
        <f t="shared" si="10"/>
        <v>2195965.8774649948</v>
      </c>
      <c r="AP114" s="31">
        <v>10765.32</v>
      </c>
      <c r="AR114" s="42" t="s">
        <v>117</v>
      </c>
      <c r="AS114" s="42" t="s">
        <v>118</v>
      </c>
      <c r="AT114" s="43" t="s">
        <v>1276</v>
      </c>
      <c r="AU114" s="44">
        <v>34</v>
      </c>
      <c r="AV114" s="31">
        <v>2022888.217309515</v>
      </c>
      <c r="AW114" s="31">
        <v>17860.299999999996</v>
      </c>
      <c r="AX114" s="31">
        <v>0</v>
      </c>
      <c r="AY114" s="31">
        <v>0</v>
      </c>
      <c r="AZ114" s="31">
        <v>49103.632981390751</v>
      </c>
      <c r="BA114" s="31">
        <v>96363.680335008074</v>
      </c>
      <c r="BB114" s="31">
        <v>37092.593528611535</v>
      </c>
      <c r="BC114" s="31">
        <f t="shared" si="11"/>
        <v>2234274.8141545258</v>
      </c>
      <c r="BD114" s="31">
        <v>10966.390000000001</v>
      </c>
    </row>
    <row r="115" spans="2:56">
      <c r="B115" s="42" t="s">
        <v>83</v>
      </c>
      <c r="C115" s="42" t="s">
        <v>84</v>
      </c>
      <c r="D115" s="43" t="s">
        <v>1049</v>
      </c>
      <c r="E115" s="44">
        <v>34</v>
      </c>
      <c r="F115" s="31">
        <v>8676480.8764516823</v>
      </c>
      <c r="G115" s="31">
        <v>209794.2</v>
      </c>
      <c r="H115" s="31">
        <v>0</v>
      </c>
      <c r="I115" s="31">
        <v>0</v>
      </c>
      <c r="J115" s="31">
        <v>1390202.5460782247</v>
      </c>
      <c r="K115" s="31">
        <v>0</v>
      </c>
      <c r="L115" s="31">
        <v>486266.41722639167</v>
      </c>
      <c r="M115" s="31">
        <f t="shared" si="8"/>
        <v>10762744.039756296</v>
      </c>
      <c r="N115" s="31">
        <v>0</v>
      </c>
      <c r="P115" s="42" t="s">
        <v>83</v>
      </c>
      <c r="Q115" s="42" t="s">
        <v>84</v>
      </c>
      <c r="R115" s="43" t="s">
        <v>1050</v>
      </c>
      <c r="S115" s="44">
        <v>34</v>
      </c>
      <c r="T115" s="31">
        <v>9239665.0461355187</v>
      </c>
      <c r="U115" s="31">
        <v>223411.77</v>
      </c>
      <c r="V115" s="31">
        <v>0</v>
      </c>
      <c r="W115" s="31">
        <v>0</v>
      </c>
      <c r="X115" s="31">
        <v>1472666.5313277051</v>
      </c>
      <c r="Y115" s="31">
        <v>0</v>
      </c>
      <c r="Z115" s="31">
        <v>516156.13375337387</v>
      </c>
      <c r="AA115" s="31">
        <f t="shared" si="9"/>
        <v>11451899.481216598</v>
      </c>
      <c r="AB115" s="31">
        <v>0</v>
      </c>
      <c r="AD115" s="42" t="s">
        <v>83</v>
      </c>
      <c r="AE115" s="42" t="s">
        <v>84</v>
      </c>
      <c r="AF115" s="43" t="s">
        <v>1275</v>
      </c>
      <c r="AG115" s="44">
        <v>34</v>
      </c>
      <c r="AH115" s="31">
        <v>9407745.8587937895</v>
      </c>
      <c r="AI115" s="31">
        <v>227306.92</v>
      </c>
      <c r="AJ115" s="31">
        <v>0</v>
      </c>
      <c r="AK115" s="31">
        <v>0</v>
      </c>
      <c r="AL115" s="31">
        <v>1498529.366457521</v>
      </c>
      <c r="AM115" s="31">
        <v>0</v>
      </c>
      <c r="AN115" s="31">
        <v>525238.64894824452</v>
      </c>
      <c r="AO115" s="31">
        <f t="shared" si="10"/>
        <v>11658820.794199556</v>
      </c>
      <c r="AP115" s="31">
        <v>0</v>
      </c>
      <c r="AR115" s="42" t="s">
        <v>83</v>
      </c>
      <c r="AS115" s="42" t="s">
        <v>84</v>
      </c>
      <c r="AT115" s="43" t="s">
        <v>1276</v>
      </c>
      <c r="AU115" s="44">
        <v>34</v>
      </c>
      <c r="AV115" s="31">
        <v>9587373.1401144769</v>
      </c>
      <c r="AW115" s="31">
        <v>231478.62000000002</v>
      </c>
      <c r="AX115" s="31">
        <v>0</v>
      </c>
      <c r="AY115" s="31">
        <v>0</v>
      </c>
      <c r="AZ115" s="31">
        <v>1526228.3051994981</v>
      </c>
      <c r="BA115" s="31">
        <v>0</v>
      </c>
      <c r="BB115" s="31">
        <v>534965.7128369509</v>
      </c>
      <c r="BC115" s="31">
        <f t="shared" si="11"/>
        <v>11880045.778150925</v>
      </c>
      <c r="BD115" s="31">
        <v>0</v>
      </c>
    </row>
    <row r="116" spans="2:56">
      <c r="B116" s="42" t="s">
        <v>101</v>
      </c>
      <c r="C116" s="42" t="s">
        <v>102</v>
      </c>
      <c r="D116" s="43" t="s">
        <v>1049</v>
      </c>
      <c r="E116" s="44">
        <v>34</v>
      </c>
      <c r="F116" s="31">
        <v>422854.39426809677</v>
      </c>
      <c r="G116" s="31">
        <v>19585.979999999996</v>
      </c>
      <c r="H116" s="31">
        <v>0</v>
      </c>
      <c r="I116" s="31">
        <v>0</v>
      </c>
      <c r="J116" s="31">
        <v>33719.872121661443</v>
      </c>
      <c r="K116" s="31">
        <v>92293.884993765387</v>
      </c>
      <c r="L116" s="31">
        <v>0</v>
      </c>
      <c r="M116" s="31">
        <f t="shared" si="8"/>
        <v>577906.08138352353</v>
      </c>
      <c r="N116" s="31">
        <v>9451.9500000000025</v>
      </c>
      <c r="P116" s="42" t="s">
        <v>101</v>
      </c>
      <c r="Q116" s="42" t="s">
        <v>102</v>
      </c>
      <c r="R116" s="43" t="s">
        <v>1050</v>
      </c>
      <c r="S116" s="44">
        <v>34</v>
      </c>
      <c r="T116" s="31">
        <v>454182.506836763</v>
      </c>
      <c r="U116" s="31">
        <v>21014.400000000001</v>
      </c>
      <c r="V116" s="31">
        <v>0</v>
      </c>
      <c r="W116" s="31">
        <v>0</v>
      </c>
      <c r="X116" s="31">
        <v>35713.921072760277</v>
      </c>
      <c r="Y116" s="31">
        <v>92503.739174045812</v>
      </c>
      <c r="Z116" s="31">
        <v>0</v>
      </c>
      <c r="AA116" s="31">
        <f t="shared" si="9"/>
        <v>613322.94708356913</v>
      </c>
      <c r="AB116" s="31">
        <v>9908.3799999999992</v>
      </c>
      <c r="AD116" s="42" t="s">
        <v>101</v>
      </c>
      <c r="AE116" s="42" t="s">
        <v>102</v>
      </c>
      <c r="AF116" s="43" t="s">
        <v>1275</v>
      </c>
      <c r="AG116" s="44">
        <v>34</v>
      </c>
      <c r="AH116" s="31">
        <v>462104.07416113035</v>
      </c>
      <c r="AI116" s="31">
        <v>21378.430000000008</v>
      </c>
      <c r="AJ116" s="31">
        <v>0</v>
      </c>
      <c r="AK116" s="31">
        <v>0</v>
      </c>
      <c r="AL116" s="31">
        <v>36340.014090003984</v>
      </c>
      <c r="AM116" s="31">
        <v>92344.30659599707</v>
      </c>
      <c r="AN116" s="31">
        <v>0</v>
      </c>
      <c r="AO116" s="31">
        <f t="shared" si="10"/>
        <v>622250.30484713137</v>
      </c>
      <c r="AP116" s="31">
        <v>10083.479999999998</v>
      </c>
      <c r="AR116" s="42" t="s">
        <v>101</v>
      </c>
      <c r="AS116" s="42" t="s">
        <v>102</v>
      </c>
      <c r="AT116" s="43" t="s">
        <v>1276</v>
      </c>
      <c r="AU116" s="44">
        <v>34</v>
      </c>
      <c r="AV116" s="31">
        <v>470588.32133812766</v>
      </c>
      <c r="AW116" s="31">
        <v>21768.29</v>
      </c>
      <c r="AX116" s="31">
        <v>0</v>
      </c>
      <c r="AY116" s="31">
        <v>0</v>
      </c>
      <c r="AZ116" s="31">
        <v>37010.551569360752</v>
      </c>
      <c r="BA116" s="31">
        <v>92348.86181251274</v>
      </c>
      <c r="BB116" s="31">
        <v>0</v>
      </c>
      <c r="BC116" s="31">
        <f t="shared" si="11"/>
        <v>631987.04472000117</v>
      </c>
      <c r="BD116" s="31">
        <v>10271.020000000002</v>
      </c>
    </row>
    <row r="117" spans="2:56">
      <c r="B117" s="42" t="s">
        <v>87</v>
      </c>
      <c r="C117" s="42" t="s">
        <v>88</v>
      </c>
      <c r="D117" s="43" t="s">
        <v>1049</v>
      </c>
      <c r="E117" s="44">
        <v>34</v>
      </c>
      <c r="F117" s="31">
        <v>38075234.968129143</v>
      </c>
      <c r="G117" s="31">
        <v>1828707.7300000004</v>
      </c>
      <c r="H117" s="31">
        <v>455252.43</v>
      </c>
      <c r="I117" s="31">
        <v>134276.08000000002</v>
      </c>
      <c r="J117" s="31">
        <v>6040227.4989624843</v>
      </c>
      <c r="K117" s="31">
        <v>2338852.3585415701</v>
      </c>
      <c r="L117" s="31">
        <v>3741895.8956274572</v>
      </c>
      <c r="M117" s="31">
        <f t="shared" si="8"/>
        <v>53909558.30126065</v>
      </c>
      <c r="N117" s="31">
        <v>1295111.3399999999</v>
      </c>
      <c r="P117" s="42" t="s">
        <v>87</v>
      </c>
      <c r="Q117" s="42" t="s">
        <v>88</v>
      </c>
      <c r="R117" s="43" t="s">
        <v>1050</v>
      </c>
      <c r="S117" s="44">
        <v>34</v>
      </c>
      <c r="T117" s="31">
        <v>40955794.330268204</v>
      </c>
      <c r="U117" s="31">
        <v>1968932.0799999998</v>
      </c>
      <c r="V117" s="31">
        <v>484802.48999999993</v>
      </c>
      <c r="W117" s="31">
        <v>142991.81999999998</v>
      </c>
      <c r="X117" s="31">
        <v>6398587.1678105295</v>
      </c>
      <c r="Y117" s="31">
        <v>2344558.9682656163</v>
      </c>
      <c r="Z117" s="31">
        <v>4010175.1706484379</v>
      </c>
      <c r="AA117" s="31">
        <f t="shared" si="9"/>
        <v>57663493.436992787</v>
      </c>
      <c r="AB117" s="31">
        <v>1357651.41</v>
      </c>
      <c r="AD117" s="42" t="s">
        <v>87</v>
      </c>
      <c r="AE117" s="42" t="s">
        <v>88</v>
      </c>
      <c r="AF117" s="43" t="s">
        <v>1275</v>
      </c>
      <c r="AG117" s="44">
        <v>34</v>
      </c>
      <c r="AH117" s="31">
        <v>41700998.42776975</v>
      </c>
      <c r="AI117" s="31">
        <v>2002937.8900000006</v>
      </c>
      <c r="AJ117" s="31">
        <v>493254.95</v>
      </c>
      <c r="AK117" s="31">
        <v>145484.86000000002</v>
      </c>
      <c r="AL117" s="31">
        <v>6510987.4441755349</v>
      </c>
      <c r="AM117" s="31">
        <v>2340223.4839831167</v>
      </c>
      <c r="AN117" s="31">
        <v>4080731.8907024744</v>
      </c>
      <c r="AO117" s="31">
        <f t="shared" si="10"/>
        <v>58656262.99663087</v>
      </c>
      <c r="AP117" s="31">
        <v>1381644.0499999998</v>
      </c>
      <c r="AR117" s="42" t="s">
        <v>87</v>
      </c>
      <c r="AS117" s="42" t="s">
        <v>88</v>
      </c>
      <c r="AT117" s="43" t="s">
        <v>1276</v>
      </c>
      <c r="AU117" s="44">
        <v>34</v>
      </c>
      <c r="AV117" s="31">
        <v>42497391.485437974</v>
      </c>
      <c r="AW117" s="31">
        <v>2039358.1100000006</v>
      </c>
      <c r="AX117" s="31">
        <v>502307.51999999996</v>
      </c>
      <c r="AY117" s="31">
        <v>148154.91</v>
      </c>
      <c r="AZ117" s="31">
        <v>6631367.6360611366</v>
      </c>
      <c r="BA117" s="31">
        <v>2340347.3549626167</v>
      </c>
      <c r="BB117" s="31">
        <v>4156295.7532091467</v>
      </c>
      <c r="BC117" s="31">
        <f t="shared" si="11"/>
        <v>59722562.949670874</v>
      </c>
      <c r="BD117" s="31">
        <v>1407340.18</v>
      </c>
    </row>
    <row r="118" spans="2:56">
      <c r="B118" s="42" t="s">
        <v>17</v>
      </c>
      <c r="C118" s="42" t="s">
        <v>18</v>
      </c>
      <c r="D118" s="43" t="s">
        <v>1049</v>
      </c>
      <c r="E118" s="44">
        <v>34</v>
      </c>
      <c r="F118" s="31">
        <v>145935856.89833647</v>
      </c>
      <c r="G118" s="31">
        <v>6712245.0599999987</v>
      </c>
      <c r="H118" s="31">
        <v>4057905.09</v>
      </c>
      <c r="I118" s="31">
        <v>514010.41000000003</v>
      </c>
      <c r="J118" s="31">
        <v>20616345.450004131</v>
      </c>
      <c r="K118" s="31">
        <v>8176657.1704723854</v>
      </c>
      <c r="L118" s="31">
        <v>14377796.381748267</v>
      </c>
      <c r="M118" s="31">
        <f t="shared" si="8"/>
        <v>204009742.05056125</v>
      </c>
      <c r="N118" s="31">
        <v>3618925.5900000003</v>
      </c>
      <c r="P118" s="42" t="s">
        <v>17</v>
      </c>
      <c r="Q118" s="42" t="s">
        <v>18</v>
      </c>
      <c r="R118" s="43" t="s">
        <v>1050</v>
      </c>
      <c r="S118" s="44">
        <v>34</v>
      </c>
      <c r="T118" s="31">
        <v>156966381.79775488</v>
      </c>
      <c r="U118" s="31">
        <v>7208076.9499999993</v>
      </c>
      <c r="V118" s="31">
        <v>4321300.22</v>
      </c>
      <c r="W118" s="31">
        <v>547374.39</v>
      </c>
      <c r="X118" s="31">
        <v>21839495.366564937</v>
      </c>
      <c r="Y118" s="31">
        <v>8194317.4985113451</v>
      </c>
      <c r="Z118" s="31">
        <v>15405092.864794165</v>
      </c>
      <c r="AA118" s="31">
        <f t="shared" si="9"/>
        <v>218275720.2076253</v>
      </c>
      <c r="AB118" s="31">
        <v>3793681.1199999996</v>
      </c>
      <c r="AD118" s="42" t="s">
        <v>17</v>
      </c>
      <c r="AE118" s="42" t="s">
        <v>18</v>
      </c>
      <c r="AF118" s="43" t="s">
        <v>1275</v>
      </c>
      <c r="AG118" s="44">
        <v>34</v>
      </c>
      <c r="AH118" s="31">
        <v>159807283.11930048</v>
      </c>
      <c r="AI118" s="31">
        <v>7332848.2999999989</v>
      </c>
      <c r="AJ118" s="31">
        <v>4396641.42</v>
      </c>
      <c r="AK118" s="31">
        <v>556917.78</v>
      </c>
      <c r="AL118" s="31">
        <v>22223151.94624928</v>
      </c>
      <c r="AM118" s="31">
        <v>8180900.4123009332</v>
      </c>
      <c r="AN118" s="31">
        <v>15676023.309054477</v>
      </c>
      <c r="AO118" s="31">
        <f t="shared" si="10"/>
        <v>222034489.97690517</v>
      </c>
      <c r="AP118" s="31">
        <v>3860723.69</v>
      </c>
      <c r="AR118" s="42" t="s">
        <v>17</v>
      </c>
      <c r="AS118" s="42" t="s">
        <v>18</v>
      </c>
      <c r="AT118" s="43" t="s">
        <v>1276</v>
      </c>
      <c r="AU118" s="44">
        <v>34</v>
      </c>
      <c r="AV118" s="31">
        <v>162844316.62842992</v>
      </c>
      <c r="AW118" s="31">
        <v>7466478.3900000006</v>
      </c>
      <c r="AX118" s="31">
        <v>4477331.82</v>
      </c>
      <c r="AY118" s="31">
        <v>567138.75</v>
      </c>
      <c r="AZ118" s="31">
        <v>22634046.553951584</v>
      </c>
      <c r="BA118" s="31">
        <v>8181283.7576212296</v>
      </c>
      <c r="BB118" s="31">
        <v>15966180.984012064</v>
      </c>
      <c r="BC118" s="31">
        <f t="shared" si="11"/>
        <v>226069303.17401481</v>
      </c>
      <c r="BD118" s="31">
        <v>3932526.2899999996</v>
      </c>
    </row>
    <row r="119" spans="2:56">
      <c r="B119" s="42" t="s">
        <v>217</v>
      </c>
      <c r="C119" s="42" t="s">
        <v>218</v>
      </c>
      <c r="D119" s="43" t="s">
        <v>1049</v>
      </c>
      <c r="E119" s="44">
        <v>34</v>
      </c>
      <c r="F119" s="31">
        <v>225744409.21730953</v>
      </c>
      <c r="G119" s="31">
        <v>9323936.0800000019</v>
      </c>
      <c r="H119" s="31">
        <v>10181226.449999999</v>
      </c>
      <c r="I119" s="31">
        <v>802862.82000000018</v>
      </c>
      <c r="J119" s="31">
        <v>28806044.02240482</v>
      </c>
      <c r="K119" s="31">
        <v>12813779.656117178</v>
      </c>
      <c r="L119" s="31">
        <v>16320506.984031525</v>
      </c>
      <c r="M119" s="31">
        <f t="shared" si="8"/>
        <v>307806871.73986304</v>
      </c>
      <c r="N119" s="31">
        <v>3814106.5100000002</v>
      </c>
      <c r="P119" s="42" t="s">
        <v>217</v>
      </c>
      <c r="Q119" s="42" t="s">
        <v>218</v>
      </c>
      <c r="R119" s="43" t="s">
        <v>1050</v>
      </c>
      <c r="S119" s="44">
        <v>34</v>
      </c>
      <c r="T119" s="31">
        <v>242727844.74431601</v>
      </c>
      <c r="U119" s="31">
        <v>9975009.5</v>
      </c>
      <c r="V119" s="31">
        <v>10831106.84</v>
      </c>
      <c r="W119" s="31">
        <v>854110.54999999993</v>
      </c>
      <c r="X119" s="31">
        <v>30505642.883304182</v>
      </c>
      <c r="Y119" s="31">
        <v>12843481.218460964</v>
      </c>
      <c r="Z119" s="31">
        <v>17486005.706526041</v>
      </c>
      <c r="AA119" s="31">
        <f t="shared" si="9"/>
        <v>329224852.2126072</v>
      </c>
      <c r="AB119" s="31">
        <v>4001650.77</v>
      </c>
      <c r="AD119" s="42" t="s">
        <v>217</v>
      </c>
      <c r="AE119" s="42" t="s">
        <v>218</v>
      </c>
      <c r="AF119" s="43" t="s">
        <v>1275</v>
      </c>
      <c r="AG119" s="44">
        <v>34</v>
      </c>
      <c r="AH119" s="31">
        <v>247127309.5840573</v>
      </c>
      <c r="AI119" s="31">
        <v>10151443.169999998</v>
      </c>
      <c r="AJ119" s="31">
        <v>11023588.949999999</v>
      </c>
      <c r="AK119" s="31">
        <v>869289.15999999992</v>
      </c>
      <c r="AL119" s="31">
        <v>31049410.278492693</v>
      </c>
      <c r="AM119" s="31">
        <v>12820221.420757512</v>
      </c>
      <c r="AN119" s="31">
        <v>17798097.910714872</v>
      </c>
      <c r="AO119" s="31">
        <f t="shared" si="10"/>
        <v>334912960.04402238</v>
      </c>
      <c r="AP119" s="31">
        <v>4073599.5700000003</v>
      </c>
      <c r="AR119" s="42" t="s">
        <v>217</v>
      </c>
      <c r="AS119" s="42" t="s">
        <v>218</v>
      </c>
      <c r="AT119" s="43" t="s">
        <v>1276</v>
      </c>
      <c r="AU119" s="44">
        <v>34</v>
      </c>
      <c r="AV119" s="31">
        <v>251833894.58219445</v>
      </c>
      <c r="AW119" s="31">
        <v>10340403.619999999</v>
      </c>
      <c r="AX119" s="31">
        <v>11229737.280000001</v>
      </c>
      <c r="AY119" s="31">
        <v>885545.42999999993</v>
      </c>
      <c r="AZ119" s="31">
        <v>31631782.619839419</v>
      </c>
      <c r="BA119" s="31">
        <v>12820885.986406183</v>
      </c>
      <c r="BB119" s="31">
        <v>18132339.441544108</v>
      </c>
      <c r="BC119" s="31">
        <f t="shared" si="11"/>
        <v>341025245.6899842</v>
      </c>
      <c r="BD119" s="31">
        <v>4150656.73</v>
      </c>
    </row>
    <row r="120" spans="2:56">
      <c r="B120" s="42" t="s">
        <v>505</v>
      </c>
      <c r="C120" s="42" t="s">
        <v>506</v>
      </c>
      <c r="D120" s="43" t="s">
        <v>1049</v>
      </c>
      <c r="E120" s="44">
        <v>34</v>
      </c>
      <c r="F120" s="31">
        <v>8800805.2128784116</v>
      </c>
      <c r="G120" s="31">
        <v>364588.17999999993</v>
      </c>
      <c r="H120" s="31">
        <v>0</v>
      </c>
      <c r="I120" s="31">
        <v>30466.409999999996</v>
      </c>
      <c r="J120" s="31">
        <v>1318287.4116704226</v>
      </c>
      <c r="K120" s="31">
        <v>955215.39119258686</v>
      </c>
      <c r="L120" s="31">
        <v>501262.22054942674</v>
      </c>
      <c r="M120" s="31">
        <f t="shared" si="8"/>
        <v>12185503.856290847</v>
      </c>
      <c r="N120" s="31">
        <v>214879.03</v>
      </c>
      <c r="P120" s="42" t="s">
        <v>505</v>
      </c>
      <c r="Q120" s="42" t="s">
        <v>506</v>
      </c>
      <c r="R120" s="43" t="s">
        <v>1050</v>
      </c>
      <c r="S120" s="44">
        <v>34</v>
      </c>
      <c r="T120" s="31">
        <v>9453252.4733734876</v>
      </c>
      <c r="U120" s="31">
        <v>391622.02999999991</v>
      </c>
      <c r="V120" s="31">
        <v>0</v>
      </c>
      <c r="W120" s="31">
        <v>32435.81</v>
      </c>
      <c r="X120" s="31">
        <v>1396467.9069794687</v>
      </c>
      <c r="Y120" s="31">
        <v>957342.92831775546</v>
      </c>
      <c r="Z120" s="31">
        <v>537273.90415968269</v>
      </c>
      <c r="AA120" s="31">
        <f t="shared" si="9"/>
        <v>12993697.582830392</v>
      </c>
      <c r="AB120" s="31">
        <v>225302.53</v>
      </c>
      <c r="AD120" s="42" t="s">
        <v>505</v>
      </c>
      <c r="AE120" s="42" t="s">
        <v>506</v>
      </c>
      <c r="AF120" s="43" t="s">
        <v>1275</v>
      </c>
      <c r="AG120" s="44">
        <v>34</v>
      </c>
      <c r="AH120" s="31">
        <v>9646728.5846768543</v>
      </c>
      <c r="AI120" s="31">
        <v>398430.76</v>
      </c>
      <c r="AJ120" s="31">
        <v>0</v>
      </c>
      <c r="AK120" s="31">
        <v>33004.03</v>
      </c>
      <c r="AL120" s="31">
        <v>1421085.6390378948</v>
      </c>
      <c r="AM120" s="31">
        <v>955726.57391248806</v>
      </c>
      <c r="AN120" s="31">
        <v>546752.91073533637</v>
      </c>
      <c r="AO120" s="31">
        <f t="shared" si="10"/>
        <v>13231029.868362572</v>
      </c>
      <c r="AP120" s="31">
        <v>229301.36999999997</v>
      </c>
      <c r="AR120" s="42" t="s">
        <v>505</v>
      </c>
      <c r="AS120" s="42" t="s">
        <v>506</v>
      </c>
      <c r="AT120" s="43" t="s">
        <v>1276</v>
      </c>
      <c r="AU120" s="44">
        <v>34</v>
      </c>
      <c r="AV120" s="31">
        <v>9852205.6703743376</v>
      </c>
      <c r="AW120" s="31">
        <v>405722.9</v>
      </c>
      <c r="AX120" s="31">
        <v>0</v>
      </c>
      <c r="AY120" s="31">
        <v>33612.589999999997</v>
      </c>
      <c r="AZ120" s="31">
        <v>1447451.2479768642</v>
      </c>
      <c r="BA120" s="31">
        <v>955772.75546692428</v>
      </c>
      <c r="BB120" s="31">
        <v>556904.61406286119</v>
      </c>
      <c r="BC120" s="31">
        <f t="shared" si="11"/>
        <v>13485253.897880986</v>
      </c>
      <c r="BD120" s="31">
        <v>233584.12000000002</v>
      </c>
    </row>
    <row r="121" spans="2:56">
      <c r="B121" s="42" t="s">
        <v>21</v>
      </c>
      <c r="C121" s="42" t="s">
        <v>22</v>
      </c>
      <c r="D121" s="43" t="s">
        <v>1049</v>
      </c>
      <c r="E121" s="44">
        <v>34</v>
      </c>
      <c r="F121" s="31">
        <v>11371052.95961256</v>
      </c>
      <c r="G121" s="31">
        <v>611453.14000000013</v>
      </c>
      <c r="H121" s="31">
        <v>543925.31999999995</v>
      </c>
      <c r="I121" s="31">
        <v>39074.549999999996</v>
      </c>
      <c r="J121" s="31">
        <v>1644237.8240866514</v>
      </c>
      <c r="K121" s="31">
        <v>731585.67916059343</v>
      </c>
      <c r="L121" s="31">
        <v>756149.24569961138</v>
      </c>
      <c r="M121" s="31">
        <f t="shared" si="8"/>
        <v>16094752.738559416</v>
      </c>
      <c r="N121" s="31">
        <v>397274.01999999996</v>
      </c>
      <c r="P121" s="42" t="s">
        <v>21</v>
      </c>
      <c r="Q121" s="42" t="s">
        <v>22</v>
      </c>
      <c r="R121" s="43" t="s">
        <v>1050</v>
      </c>
      <c r="S121" s="44">
        <v>34</v>
      </c>
      <c r="T121" s="31">
        <v>12238719.623930896</v>
      </c>
      <c r="U121" s="31">
        <v>657744.65000000014</v>
      </c>
      <c r="V121" s="31">
        <v>579231.05999999994</v>
      </c>
      <c r="W121" s="31">
        <v>41610.83</v>
      </c>
      <c r="X121" s="31">
        <v>1741772.490940022</v>
      </c>
      <c r="Y121" s="31">
        <v>732805.16263942537</v>
      </c>
      <c r="Z121" s="31">
        <v>810381.94246004941</v>
      </c>
      <c r="AA121" s="31">
        <f t="shared" si="9"/>
        <v>17218723.869970392</v>
      </c>
      <c r="AB121" s="31">
        <v>416458.10999999993</v>
      </c>
      <c r="AD121" s="42" t="s">
        <v>21</v>
      </c>
      <c r="AE121" s="42" t="s">
        <v>22</v>
      </c>
      <c r="AF121" s="43" t="s">
        <v>1275</v>
      </c>
      <c r="AG121" s="44">
        <v>34</v>
      </c>
      <c r="AH121" s="31">
        <v>12455693.902586164</v>
      </c>
      <c r="AI121" s="31">
        <v>669113.47999999986</v>
      </c>
      <c r="AJ121" s="31">
        <v>589329.87</v>
      </c>
      <c r="AK121" s="31">
        <v>42336.31</v>
      </c>
      <c r="AL121" s="31">
        <v>1772360.9995309773</v>
      </c>
      <c r="AM121" s="31">
        <v>731878.68409771495</v>
      </c>
      <c r="AN121" s="31">
        <v>824640.06671580556</v>
      </c>
      <c r="AO121" s="31">
        <f t="shared" si="10"/>
        <v>17509171.14293066</v>
      </c>
      <c r="AP121" s="31">
        <v>423817.82999999996</v>
      </c>
      <c r="AR121" s="42" t="s">
        <v>21</v>
      </c>
      <c r="AS121" s="42" t="s">
        <v>22</v>
      </c>
      <c r="AT121" s="43" t="s">
        <v>1276</v>
      </c>
      <c r="AU121" s="44">
        <v>34</v>
      </c>
      <c r="AV121" s="31">
        <v>12687926.375343304</v>
      </c>
      <c r="AW121" s="31">
        <v>681289.5</v>
      </c>
      <c r="AX121" s="31">
        <v>600145.67999999993</v>
      </c>
      <c r="AY121" s="31">
        <v>43113.29</v>
      </c>
      <c r="AZ121" s="31">
        <v>1805121.1014039875</v>
      </c>
      <c r="BA121" s="31">
        <v>731905.15491319238</v>
      </c>
      <c r="BB121" s="31">
        <v>839910.03595792037</v>
      </c>
      <c r="BC121" s="31">
        <f t="shared" si="11"/>
        <v>17821111.227618404</v>
      </c>
      <c r="BD121" s="31">
        <v>431700.08999999991</v>
      </c>
    </row>
    <row r="122" spans="2:56">
      <c r="B122" s="42" t="s">
        <v>247</v>
      </c>
      <c r="C122" s="42" t="s">
        <v>248</v>
      </c>
      <c r="D122" s="43" t="s">
        <v>1049</v>
      </c>
      <c r="E122" s="44">
        <v>34</v>
      </c>
      <c r="F122" s="31">
        <v>4839700.7607450802</v>
      </c>
      <c r="G122" s="31">
        <v>171109.43</v>
      </c>
      <c r="H122" s="31">
        <v>54567.93</v>
      </c>
      <c r="I122" s="31">
        <v>0</v>
      </c>
      <c r="J122" s="31">
        <v>724780.13679404021</v>
      </c>
      <c r="K122" s="31">
        <v>411250.93964047218</v>
      </c>
      <c r="L122" s="31">
        <v>491623.43671317084</v>
      </c>
      <c r="M122" s="31">
        <f t="shared" si="8"/>
        <v>6693032.6338927625</v>
      </c>
      <c r="N122" s="31">
        <v>0</v>
      </c>
      <c r="P122" s="42" t="s">
        <v>247</v>
      </c>
      <c r="Q122" s="42" t="s">
        <v>248</v>
      </c>
      <c r="R122" s="43" t="s">
        <v>1050</v>
      </c>
      <c r="S122" s="44">
        <v>34</v>
      </c>
      <c r="T122" s="31">
        <v>5154577.8989135344</v>
      </c>
      <c r="U122" s="31">
        <v>182215.99</v>
      </c>
      <c r="V122" s="31">
        <v>58109.88</v>
      </c>
      <c r="W122" s="31">
        <v>0</v>
      </c>
      <c r="X122" s="31">
        <v>767789.27618357155</v>
      </c>
      <c r="Y122" s="31">
        <v>412086.90550276212</v>
      </c>
      <c r="Z122" s="31">
        <v>521842.58742467326</v>
      </c>
      <c r="AA122" s="31">
        <f t="shared" si="9"/>
        <v>7096622.538024541</v>
      </c>
      <c r="AB122" s="31">
        <v>0</v>
      </c>
      <c r="AD122" s="42" t="s">
        <v>247</v>
      </c>
      <c r="AE122" s="42" t="s">
        <v>248</v>
      </c>
      <c r="AF122" s="43" t="s">
        <v>1275</v>
      </c>
      <c r="AG122" s="44">
        <v>34</v>
      </c>
      <c r="AH122" s="31">
        <v>5247080.1411877442</v>
      </c>
      <c r="AI122" s="31">
        <v>185392.90999999995</v>
      </c>
      <c r="AJ122" s="31">
        <v>59123.009999999995</v>
      </c>
      <c r="AK122" s="31">
        <v>0</v>
      </c>
      <c r="AL122" s="31">
        <v>781276.45151512453</v>
      </c>
      <c r="AM122" s="31">
        <v>411451.7969125614</v>
      </c>
      <c r="AN122" s="31">
        <v>531025.25404810754</v>
      </c>
      <c r="AO122" s="31">
        <f t="shared" si="10"/>
        <v>7215349.5636635367</v>
      </c>
      <c r="AP122" s="31">
        <v>0</v>
      </c>
      <c r="AR122" s="42" t="s">
        <v>247</v>
      </c>
      <c r="AS122" s="42" t="s">
        <v>248</v>
      </c>
      <c r="AT122" s="43" t="s">
        <v>1276</v>
      </c>
      <c r="AU122" s="44">
        <v>34</v>
      </c>
      <c r="AV122" s="31">
        <v>5346087.1891994048</v>
      </c>
      <c r="AW122" s="31">
        <v>188795.37999999995</v>
      </c>
      <c r="AX122" s="31">
        <v>60208.09</v>
      </c>
      <c r="AY122" s="31">
        <v>0</v>
      </c>
      <c r="AZ122" s="31">
        <v>795721.1485007233</v>
      </c>
      <c r="BA122" s="31">
        <v>411469.94287228142</v>
      </c>
      <c r="BB122" s="31">
        <v>540859.57672080561</v>
      </c>
      <c r="BC122" s="31">
        <f t="shared" si="11"/>
        <v>7343141.3272932144</v>
      </c>
      <c r="BD122" s="31">
        <v>0</v>
      </c>
    </row>
    <row r="123" spans="2:56">
      <c r="B123" s="42" t="s">
        <v>261</v>
      </c>
      <c r="C123" s="42" t="s">
        <v>262</v>
      </c>
      <c r="D123" s="43" t="s">
        <v>1049</v>
      </c>
      <c r="E123" s="44">
        <v>34</v>
      </c>
      <c r="F123" s="31">
        <v>2001218.9268738618</v>
      </c>
      <c r="G123" s="31">
        <v>30970.840000000004</v>
      </c>
      <c r="H123" s="31">
        <v>0</v>
      </c>
      <c r="I123" s="31">
        <v>2723.82</v>
      </c>
      <c r="J123" s="31">
        <v>116007.66203102519</v>
      </c>
      <c r="K123" s="31">
        <v>95501.994369712687</v>
      </c>
      <c r="L123" s="31">
        <v>0</v>
      </c>
      <c r="M123" s="31">
        <f t="shared" si="8"/>
        <v>2273358.7832745998</v>
      </c>
      <c r="N123" s="31">
        <v>26935.54</v>
      </c>
      <c r="P123" s="42" t="s">
        <v>261</v>
      </c>
      <c r="Q123" s="42" t="s">
        <v>262</v>
      </c>
      <c r="R123" s="43" t="s">
        <v>1050</v>
      </c>
      <c r="S123" s="44">
        <v>34</v>
      </c>
      <c r="T123" s="31">
        <v>2133088.0772365415</v>
      </c>
      <c r="U123" s="31">
        <v>33407.349999999991</v>
      </c>
      <c r="V123" s="31">
        <v>0</v>
      </c>
      <c r="W123" s="31">
        <v>2899.8900000000003</v>
      </c>
      <c r="X123" s="31">
        <v>122884.79507217648</v>
      </c>
      <c r="Y123" s="31">
        <v>95712.642575886624</v>
      </c>
      <c r="Z123" s="31">
        <v>0</v>
      </c>
      <c r="AA123" s="31">
        <f t="shared" si="9"/>
        <v>2416234.9048846047</v>
      </c>
      <c r="AB123" s="31">
        <v>28242.149999999998</v>
      </c>
      <c r="AD123" s="42" t="s">
        <v>261</v>
      </c>
      <c r="AE123" s="42" t="s">
        <v>262</v>
      </c>
      <c r="AF123" s="43" t="s">
        <v>1275</v>
      </c>
      <c r="AG123" s="44">
        <v>34</v>
      </c>
      <c r="AH123" s="31">
        <v>2170234.7613454587</v>
      </c>
      <c r="AI123" s="31">
        <v>33986.090000000004</v>
      </c>
      <c r="AJ123" s="31">
        <v>0</v>
      </c>
      <c r="AK123" s="31">
        <v>2950.6800000000003</v>
      </c>
      <c r="AL123" s="31">
        <v>125048.88843120573</v>
      </c>
      <c r="AM123" s="31">
        <v>95552.606752312495</v>
      </c>
      <c r="AN123" s="31">
        <v>0</v>
      </c>
      <c r="AO123" s="31">
        <f t="shared" si="10"/>
        <v>2456516.436528977</v>
      </c>
      <c r="AP123" s="31">
        <v>28743.409999999996</v>
      </c>
      <c r="AR123" s="42" t="s">
        <v>261</v>
      </c>
      <c r="AS123" s="42" t="s">
        <v>262</v>
      </c>
      <c r="AT123" s="43" t="s">
        <v>1276</v>
      </c>
      <c r="AU123" s="44">
        <v>34</v>
      </c>
      <c r="AV123" s="31">
        <v>2210019.093425015</v>
      </c>
      <c r="AW123" s="31">
        <v>34605.930000000008</v>
      </c>
      <c r="AX123" s="31">
        <v>0</v>
      </c>
      <c r="AY123" s="31">
        <v>3005.1000000000004</v>
      </c>
      <c r="AZ123" s="31">
        <v>127366.6174036038</v>
      </c>
      <c r="BA123" s="31">
        <v>95557.179204414613</v>
      </c>
      <c r="BB123" s="31">
        <v>0</v>
      </c>
      <c r="BC123" s="31">
        <f t="shared" si="11"/>
        <v>2499834.1800330332</v>
      </c>
      <c r="BD123" s="31">
        <v>29280.259999999995</v>
      </c>
    </row>
    <row r="124" spans="2:56">
      <c r="B124" s="42" t="s">
        <v>59</v>
      </c>
      <c r="C124" s="42" t="s">
        <v>60</v>
      </c>
      <c r="D124" s="43" t="s">
        <v>1049</v>
      </c>
      <c r="E124" s="44">
        <v>34</v>
      </c>
      <c r="F124" s="31">
        <v>14913763.567702662</v>
      </c>
      <c r="G124" s="31">
        <v>289068.68</v>
      </c>
      <c r="H124" s="31">
        <v>71577.909999999989</v>
      </c>
      <c r="I124" s="31">
        <v>51005.88</v>
      </c>
      <c r="J124" s="31">
        <v>2152277.0076281372</v>
      </c>
      <c r="K124" s="31">
        <v>0</v>
      </c>
      <c r="L124" s="31">
        <v>423526.18710599205</v>
      </c>
      <c r="M124" s="31">
        <f t="shared" si="8"/>
        <v>17901219.232436791</v>
      </c>
      <c r="N124" s="31">
        <v>0</v>
      </c>
      <c r="P124" s="42" t="s">
        <v>59</v>
      </c>
      <c r="Q124" s="42" t="s">
        <v>60</v>
      </c>
      <c r="R124" s="43" t="s">
        <v>1050</v>
      </c>
      <c r="S124" s="44">
        <v>34</v>
      </c>
      <c r="T124" s="31">
        <v>15876114.498551365</v>
      </c>
      <c r="U124" s="31">
        <v>307647.56</v>
      </c>
      <c r="V124" s="31">
        <v>76178.31</v>
      </c>
      <c r="W124" s="31">
        <v>54284.100000000006</v>
      </c>
      <c r="X124" s="31">
        <v>2279632.9272866589</v>
      </c>
      <c r="Y124" s="31">
        <v>0</v>
      </c>
      <c r="Z124" s="31">
        <v>449437.66936190071</v>
      </c>
      <c r="AA124" s="31">
        <f t="shared" si="9"/>
        <v>19043295.065199926</v>
      </c>
      <c r="AB124" s="31">
        <v>0</v>
      </c>
      <c r="AD124" s="42" t="s">
        <v>59</v>
      </c>
      <c r="AE124" s="42" t="s">
        <v>60</v>
      </c>
      <c r="AF124" s="43" t="s">
        <v>1275</v>
      </c>
      <c r="AG124" s="44">
        <v>34</v>
      </c>
      <c r="AH124" s="31">
        <v>16167512.3354392</v>
      </c>
      <c r="AI124" s="31">
        <v>313072.55000000005</v>
      </c>
      <c r="AJ124" s="31">
        <v>77521.63</v>
      </c>
      <c r="AK124" s="31">
        <v>55241.340000000004</v>
      </c>
      <c r="AL124" s="31">
        <v>2319995.936405852</v>
      </c>
      <c r="AM124" s="31">
        <v>0</v>
      </c>
      <c r="AN124" s="31">
        <v>457407.06034308556</v>
      </c>
      <c r="AO124" s="31">
        <f t="shared" si="10"/>
        <v>19390750.85218814</v>
      </c>
      <c r="AP124" s="31">
        <v>0</v>
      </c>
      <c r="AR124" s="42" t="s">
        <v>59</v>
      </c>
      <c r="AS124" s="42" t="s">
        <v>60</v>
      </c>
      <c r="AT124" s="43" t="s">
        <v>1276</v>
      </c>
      <c r="AU124" s="44">
        <v>34</v>
      </c>
      <c r="AV124" s="31">
        <v>16478910.141090209</v>
      </c>
      <c r="AW124" s="31">
        <v>318882.7</v>
      </c>
      <c r="AX124" s="31">
        <v>78960.309999999983</v>
      </c>
      <c r="AY124" s="31">
        <v>56266.530000000006</v>
      </c>
      <c r="AZ124" s="31">
        <v>2363224.5413975418</v>
      </c>
      <c r="BA124" s="31">
        <v>0</v>
      </c>
      <c r="BB124" s="31">
        <v>465942.02445933456</v>
      </c>
      <c r="BC124" s="31">
        <f t="shared" si="11"/>
        <v>19762186.246947087</v>
      </c>
      <c r="BD124" s="31">
        <v>0</v>
      </c>
    </row>
    <row r="125" spans="2:56">
      <c r="B125" s="42" t="s">
        <v>409</v>
      </c>
      <c r="C125" s="42" t="s">
        <v>410</v>
      </c>
      <c r="D125" s="43" t="s">
        <v>1049</v>
      </c>
      <c r="E125" s="44">
        <v>34</v>
      </c>
      <c r="F125" s="31">
        <v>5697579.4130249638</v>
      </c>
      <c r="G125" s="31">
        <v>238525.10000000003</v>
      </c>
      <c r="H125" s="31">
        <v>20460.89</v>
      </c>
      <c r="I125" s="31">
        <v>18459.28</v>
      </c>
      <c r="J125" s="31">
        <v>802992.76765904401</v>
      </c>
      <c r="K125" s="31">
        <v>580917.66512366582</v>
      </c>
      <c r="L125" s="31">
        <v>149238.444619491</v>
      </c>
      <c r="M125" s="31">
        <f t="shared" si="8"/>
        <v>7697325.6104271635</v>
      </c>
      <c r="N125" s="31">
        <v>189152.05</v>
      </c>
      <c r="P125" s="42" t="s">
        <v>409</v>
      </c>
      <c r="Q125" s="42" t="s">
        <v>410</v>
      </c>
      <c r="R125" s="43" t="s">
        <v>1050</v>
      </c>
      <c r="S125" s="44">
        <v>34</v>
      </c>
      <c r="T125" s="31">
        <v>6115078.2965888632</v>
      </c>
      <c r="U125" s="31">
        <v>256584.5500000001</v>
      </c>
      <c r="V125" s="31">
        <v>21769.090000000004</v>
      </c>
      <c r="W125" s="31">
        <v>19639.510000000002</v>
      </c>
      <c r="X125" s="31">
        <v>850428.58355481166</v>
      </c>
      <c r="Y125" s="31">
        <v>581899.43980469299</v>
      </c>
      <c r="Z125" s="31">
        <v>159968.2314582566</v>
      </c>
      <c r="AA125" s="31">
        <f t="shared" si="9"/>
        <v>8203804.3514066245</v>
      </c>
      <c r="AB125" s="31">
        <v>198436.64999999997</v>
      </c>
      <c r="AD125" s="42" t="s">
        <v>409</v>
      </c>
      <c r="AE125" s="42" t="s">
        <v>410</v>
      </c>
      <c r="AF125" s="43" t="s">
        <v>1275</v>
      </c>
      <c r="AG125" s="44">
        <v>34</v>
      </c>
      <c r="AH125" s="31">
        <v>6224965.9810420554</v>
      </c>
      <c r="AI125" s="31">
        <v>261094.0100000001</v>
      </c>
      <c r="AJ125" s="31">
        <v>22155.23</v>
      </c>
      <c r="AK125" s="31">
        <v>19987.89</v>
      </c>
      <c r="AL125" s="31">
        <v>865558.10758858535</v>
      </c>
      <c r="AM125" s="31">
        <v>581137.73506600806</v>
      </c>
      <c r="AN125" s="31">
        <v>162817.42592896352</v>
      </c>
      <c r="AO125" s="31">
        <f t="shared" si="10"/>
        <v>8339714.9396256115</v>
      </c>
      <c r="AP125" s="31">
        <v>201998.55999999997</v>
      </c>
      <c r="AR125" s="42" t="s">
        <v>409</v>
      </c>
      <c r="AS125" s="42" t="s">
        <v>410</v>
      </c>
      <c r="AT125" s="43" t="s">
        <v>1276</v>
      </c>
      <c r="AU125" s="44">
        <v>34</v>
      </c>
      <c r="AV125" s="31">
        <v>6342566.775847041</v>
      </c>
      <c r="AW125" s="31">
        <v>265923.64</v>
      </c>
      <c r="AX125" s="31">
        <v>22568.800000000003</v>
      </c>
      <c r="AY125" s="31">
        <v>20360.989999999998</v>
      </c>
      <c r="AZ125" s="31">
        <v>881761.77440997725</v>
      </c>
      <c r="BA125" s="31">
        <v>581159.49805854203</v>
      </c>
      <c r="BB125" s="31">
        <v>165868.8272882906</v>
      </c>
      <c r="BC125" s="31">
        <f t="shared" si="11"/>
        <v>8486023.66560385</v>
      </c>
      <c r="BD125" s="31">
        <v>205813.35999999996</v>
      </c>
    </row>
    <row r="126" spans="2:56">
      <c r="B126" s="42" t="s">
        <v>555</v>
      </c>
      <c r="C126" s="42" t="s">
        <v>556</v>
      </c>
      <c r="D126" s="43" t="s">
        <v>1049</v>
      </c>
      <c r="E126" s="44">
        <v>34</v>
      </c>
      <c r="F126" s="31">
        <v>1924304.0592740213</v>
      </c>
      <c r="G126" s="31">
        <v>21790.550000000003</v>
      </c>
      <c r="H126" s="31">
        <v>0</v>
      </c>
      <c r="I126" s="31">
        <v>2320.29</v>
      </c>
      <c r="J126" s="31">
        <v>115869.15710561308</v>
      </c>
      <c r="K126" s="31">
        <v>236903.10679434999</v>
      </c>
      <c r="L126" s="31">
        <v>33887.696309706771</v>
      </c>
      <c r="M126" s="31">
        <f t="shared" si="8"/>
        <v>2335074.8594836909</v>
      </c>
      <c r="N126" s="31">
        <v>0</v>
      </c>
      <c r="P126" s="42" t="s">
        <v>555</v>
      </c>
      <c r="Q126" s="42" t="s">
        <v>556</v>
      </c>
      <c r="R126" s="43" t="s">
        <v>1050</v>
      </c>
      <c r="S126" s="44">
        <v>34</v>
      </c>
      <c r="T126" s="31">
        <v>2041237.2069132179</v>
      </c>
      <c r="U126" s="31">
        <v>23199.109999999997</v>
      </c>
      <c r="V126" s="31">
        <v>0</v>
      </c>
      <c r="W126" s="31">
        <v>2470.2700000000004</v>
      </c>
      <c r="X126" s="31">
        <v>122734.7014248552</v>
      </c>
      <c r="Y126" s="31">
        <v>237379.26103174576</v>
      </c>
      <c r="Z126" s="31">
        <v>35967.421804848003</v>
      </c>
      <c r="AA126" s="31">
        <f t="shared" si="9"/>
        <v>2462987.9711746671</v>
      </c>
      <c r="AB126" s="31">
        <v>0</v>
      </c>
      <c r="AD126" s="42" t="s">
        <v>555</v>
      </c>
      <c r="AE126" s="42" t="s">
        <v>556</v>
      </c>
      <c r="AF126" s="43" t="s">
        <v>1275</v>
      </c>
      <c r="AG126" s="44">
        <v>34</v>
      </c>
      <c r="AH126" s="31">
        <v>2076700.3555370884</v>
      </c>
      <c r="AI126" s="31">
        <v>23605.52</v>
      </c>
      <c r="AJ126" s="31">
        <v>0</v>
      </c>
      <c r="AK126" s="31">
        <v>2513.5400000000004</v>
      </c>
      <c r="AL126" s="31">
        <v>124896.44946374305</v>
      </c>
      <c r="AM126" s="31">
        <v>237017.51223305421</v>
      </c>
      <c r="AN126" s="31">
        <v>36602.092181485772</v>
      </c>
      <c r="AO126" s="31">
        <f t="shared" si="10"/>
        <v>2501335.4694153713</v>
      </c>
      <c r="AP126" s="31">
        <v>0</v>
      </c>
      <c r="AR126" s="42" t="s">
        <v>555</v>
      </c>
      <c r="AS126" s="42" t="s">
        <v>556</v>
      </c>
      <c r="AT126" s="43" t="s">
        <v>1276</v>
      </c>
      <c r="AU126" s="44">
        <v>34</v>
      </c>
      <c r="AV126" s="31">
        <v>2114685.0834074141</v>
      </c>
      <c r="AW126" s="31">
        <v>24040.790000000005</v>
      </c>
      <c r="AX126" s="31">
        <v>0</v>
      </c>
      <c r="AY126" s="31">
        <v>2559.9</v>
      </c>
      <c r="AZ126" s="31">
        <v>127211.67139796309</v>
      </c>
      <c r="BA126" s="31">
        <v>237027.84791301683</v>
      </c>
      <c r="BB126" s="31">
        <v>37281.802986464798</v>
      </c>
      <c r="BC126" s="31">
        <f t="shared" si="11"/>
        <v>2542807.0957048591</v>
      </c>
      <c r="BD126" s="31">
        <v>0</v>
      </c>
    </row>
    <row r="127" spans="2:56">
      <c r="B127" s="42" t="s">
        <v>35</v>
      </c>
      <c r="C127" s="42" t="s">
        <v>36</v>
      </c>
      <c r="D127" s="43" t="s">
        <v>1049</v>
      </c>
      <c r="E127" s="44">
        <v>34</v>
      </c>
      <c r="F127" s="31">
        <v>10140318.580616962</v>
      </c>
      <c r="G127" s="31">
        <v>478054.03000000009</v>
      </c>
      <c r="H127" s="31">
        <v>536617.13</v>
      </c>
      <c r="I127" s="31">
        <v>35176.82</v>
      </c>
      <c r="J127" s="31">
        <v>1156519.6690649325</v>
      </c>
      <c r="K127" s="31">
        <v>784745.92692644184</v>
      </c>
      <c r="L127" s="31">
        <v>898868.49133570888</v>
      </c>
      <c r="M127" s="31">
        <f t="shared" si="8"/>
        <v>14388207.807944044</v>
      </c>
      <c r="N127" s="31">
        <v>357907.16</v>
      </c>
      <c r="P127" s="42" t="s">
        <v>35</v>
      </c>
      <c r="Q127" s="42" t="s">
        <v>36</v>
      </c>
      <c r="R127" s="43" t="s">
        <v>1050</v>
      </c>
      <c r="S127" s="44">
        <v>34</v>
      </c>
      <c r="T127" s="31">
        <v>10900529.758418387</v>
      </c>
      <c r="U127" s="31">
        <v>515032.45</v>
      </c>
      <c r="V127" s="31">
        <v>571448.48</v>
      </c>
      <c r="W127" s="31">
        <v>37460.109999999993</v>
      </c>
      <c r="X127" s="31">
        <v>1225162.6880613777</v>
      </c>
      <c r="Y127" s="31">
        <v>786649.11670506059</v>
      </c>
      <c r="Z127" s="31">
        <v>963222.27985905414</v>
      </c>
      <c r="AA127" s="31">
        <f t="shared" si="9"/>
        <v>15374695.143043878</v>
      </c>
      <c r="AB127" s="31">
        <v>375190.25999999995</v>
      </c>
      <c r="AD127" s="42" t="s">
        <v>35</v>
      </c>
      <c r="AE127" s="42" t="s">
        <v>36</v>
      </c>
      <c r="AF127" s="43" t="s">
        <v>1275</v>
      </c>
      <c r="AG127" s="44">
        <v>34</v>
      </c>
      <c r="AH127" s="31">
        <v>11093769.44281416</v>
      </c>
      <c r="AI127" s="31">
        <v>523922.91000000015</v>
      </c>
      <c r="AJ127" s="31">
        <v>581411.60000000009</v>
      </c>
      <c r="AK127" s="31">
        <v>38113.219999999994</v>
      </c>
      <c r="AL127" s="31">
        <v>1246687.8125934917</v>
      </c>
      <c r="AM127" s="31">
        <v>785203.20577531052</v>
      </c>
      <c r="AN127" s="31">
        <v>980169.55556835514</v>
      </c>
      <c r="AO127" s="31">
        <f t="shared" si="10"/>
        <v>15631098.436751319</v>
      </c>
      <c r="AP127" s="31">
        <v>381820.68999999994</v>
      </c>
      <c r="AR127" s="42" t="s">
        <v>35</v>
      </c>
      <c r="AS127" s="42" t="s">
        <v>36</v>
      </c>
      <c r="AT127" s="43" t="s">
        <v>1276</v>
      </c>
      <c r="AU127" s="44">
        <v>34</v>
      </c>
      <c r="AV127" s="31">
        <v>11300602.15269555</v>
      </c>
      <c r="AW127" s="31">
        <v>533444.6</v>
      </c>
      <c r="AX127" s="31">
        <v>592082.09000000008</v>
      </c>
      <c r="AY127" s="31">
        <v>38812.719999999994</v>
      </c>
      <c r="AZ127" s="31">
        <v>1269741.131934341</v>
      </c>
      <c r="BA127" s="31">
        <v>785244.5175161605</v>
      </c>
      <c r="BB127" s="31">
        <v>998319.51506101643</v>
      </c>
      <c r="BC127" s="31">
        <f t="shared" si="11"/>
        <v>15907168.607207069</v>
      </c>
      <c r="BD127" s="31">
        <v>388921.88</v>
      </c>
    </row>
    <row r="128" spans="2:56">
      <c r="B128" s="42" t="s">
        <v>155</v>
      </c>
      <c r="C128" s="42" t="s">
        <v>156</v>
      </c>
      <c r="D128" s="43" t="s">
        <v>1049</v>
      </c>
      <c r="E128" s="44">
        <v>34</v>
      </c>
      <c r="F128" s="31">
        <v>2420807.3367021177</v>
      </c>
      <c r="G128" s="31">
        <v>108843.50999999997</v>
      </c>
      <c r="H128" s="31">
        <v>72887.150000000009</v>
      </c>
      <c r="I128" s="31">
        <v>0</v>
      </c>
      <c r="J128" s="31">
        <v>215892.21302987021</v>
      </c>
      <c r="K128" s="31">
        <v>253814.67859208619</v>
      </c>
      <c r="L128" s="31">
        <v>44319.555746018625</v>
      </c>
      <c r="M128" s="31">
        <f t="shared" si="8"/>
        <v>3165967.9240700924</v>
      </c>
      <c r="N128" s="31">
        <v>49403.479999999996</v>
      </c>
      <c r="P128" s="42" t="s">
        <v>155</v>
      </c>
      <c r="Q128" s="42" t="s">
        <v>156</v>
      </c>
      <c r="R128" s="43" t="s">
        <v>1050</v>
      </c>
      <c r="S128" s="44">
        <v>34</v>
      </c>
      <c r="T128" s="31">
        <v>2587687.3152868394</v>
      </c>
      <c r="U128" s="31">
        <v>116729.53000000006</v>
      </c>
      <c r="V128" s="31">
        <v>77618.2</v>
      </c>
      <c r="W128" s="31">
        <v>0</v>
      </c>
      <c r="X128" s="31">
        <v>228701.03724254679</v>
      </c>
      <c r="Y128" s="31">
        <v>254489.06667618899</v>
      </c>
      <c r="Z128" s="31">
        <v>47459.017344682041</v>
      </c>
      <c r="AA128" s="31">
        <f t="shared" si="9"/>
        <v>3364473.3065502578</v>
      </c>
      <c r="AB128" s="31">
        <v>51789.139999999992</v>
      </c>
      <c r="AD128" s="42" t="s">
        <v>155</v>
      </c>
      <c r="AE128" s="42" t="s">
        <v>156</v>
      </c>
      <c r="AF128" s="43" t="s">
        <v>1275</v>
      </c>
      <c r="AG128" s="44">
        <v>34</v>
      </c>
      <c r="AH128" s="31">
        <v>2633289.8444368187</v>
      </c>
      <c r="AI128" s="31">
        <v>118752.41000000003</v>
      </c>
      <c r="AJ128" s="31">
        <v>78971.449999999983</v>
      </c>
      <c r="AK128" s="31">
        <v>0</v>
      </c>
      <c r="AL128" s="31">
        <v>232718.18425393669</v>
      </c>
      <c r="AM128" s="31">
        <v>253976.71361888896</v>
      </c>
      <c r="AN128" s="31">
        <v>48294.167360797292</v>
      </c>
      <c r="AO128" s="31">
        <f t="shared" si="10"/>
        <v>3418707.1296704416</v>
      </c>
      <c r="AP128" s="31">
        <v>52704.359999999993</v>
      </c>
      <c r="AR128" s="42" t="s">
        <v>155</v>
      </c>
      <c r="AS128" s="42" t="s">
        <v>156</v>
      </c>
      <c r="AT128" s="43" t="s">
        <v>1276</v>
      </c>
      <c r="AU128" s="44">
        <v>34</v>
      </c>
      <c r="AV128" s="31">
        <v>2682093.7974630268</v>
      </c>
      <c r="AW128" s="31">
        <v>120918.90000000004</v>
      </c>
      <c r="AX128" s="31">
        <v>80420.799999999988</v>
      </c>
      <c r="AY128" s="31">
        <v>0</v>
      </c>
      <c r="AZ128" s="31">
        <v>237020.5281246923</v>
      </c>
      <c r="BA128" s="31">
        <v>253991.35227766898</v>
      </c>
      <c r="BB128" s="31">
        <v>49188.58472805671</v>
      </c>
      <c r="BC128" s="31">
        <f t="shared" si="11"/>
        <v>3477318.5325934445</v>
      </c>
      <c r="BD128" s="31">
        <v>53684.569999999992</v>
      </c>
    </row>
    <row r="129" spans="2:56">
      <c r="B129" s="42" t="s">
        <v>425</v>
      </c>
      <c r="C129" s="42" t="s">
        <v>426</v>
      </c>
      <c r="D129" s="43" t="s">
        <v>1049</v>
      </c>
      <c r="E129" s="44">
        <v>34</v>
      </c>
      <c r="F129" s="31">
        <v>86362423.432278514</v>
      </c>
      <c r="G129" s="31">
        <v>1703320.37</v>
      </c>
      <c r="H129" s="31">
        <v>1085754.96</v>
      </c>
      <c r="I129" s="31">
        <v>306776.49</v>
      </c>
      <c r="J129" s="31">
        <v>13991170.61229125</v>
      </c>
      <c r="K129" s="31">
        <v>5643176.9677509479</v>
      </c>
      <c r="L129" s="31">
        <v>6237020.8009363022</v>
      </c>
      <c r="M129" s="31">
        <f t="shared" si="8"/>
        <v>115329643.633257</v>
      </c>
      <c r="N129" s="31">
        <v>0</v>
      </c>
      <c r="P129" s="42" t="s">
        <v>425</v>
      </c>
      <c r="Q129" s="42" t="s">
        <v>426</v>
      </c>
      <c r="R129" s="43" t="s">
        <v>1050</v>
      </c>
      <c r="S129" s="44">
        <v>34</v>
      </c>
      <c r="T129" s="31">
        <v>90725498.614452943</v>
      </c>
      <c r="U129" s="31">
        <v>1784862.81</v>
      </c>
      <c r="V129" s="31">
        <v>1137732.9100000001</v>
      </c>
      <c r="W129" s="31">
        <v>321462.69999999995</v>
      </c>
      <c r="X129" s="31">
        <v>14629036.947513759</v>
      </c>
      <c r="Y129" s="31">
        <v>5656956.2779079182</v>
      </c>
      <c r="Z129" s="31">
        <v>6534457.3204488764</v>
      </c>
      <c r="AA129" s="31">
        <f t="shared" si="9"/>
        <v>120790007.5803235</v>
      </c>
      <c r="AB129" s="31">
        <v>0</v>
      </c>
      <c r="AD129" s="42" t="s">
        <v>425</v>
      </c>
      <c r="AE129" s="42" t="s">
        <v>426</v>
      </c>
      <c r="AF129" s="43" t="s">
        <v>1275</v>
      </c>
      <c r="AG129" s="44">
        <v>34</v>
      </c>
      <c r="AH129" s="31">
        <v>92358690.622790918</v>
      </c>
      <c r="AI129" s="31">
        <v>1816582.02</v>
      </c>
      <c r="AJ129" s="31">
        <v>1157951.83</v>
      </c>
      <c r="AK129" s="31">
        <v>327175.48999999993</v>
      </c>
      <c r="AL129" s="31">
        <v>14889787.413744707</v>
      </c>
      <c r="AM129" s="31">
        <v>5646147.8483452182</v>
      </c>
      <c r="AN129" s="31">
        <v>6651092.6031097891</v>
      </c>
      <c r="AO129" s="31">
        <f t="shared" si="10"/>
        <v>122847427.82799062</v>
      </c>
      <c r="AP129" s="31">
        <v>0</v>
      </c>
      <c r="AR129" s="42" t="s">
        <v>425</v>
      </c>
      <c r="AS129" s="42" t="s">
        <v>426</v>
      </c>
      <c r="AT129" s="43" t="s">
        <v>1276</v>
      </c>
      <c r="AU129" s="44">
        <v>34</v>
      </c>
      <c r="AV129" s="31">
        <v>94106656.011704609</v>
      </c>
      <c r="AW129" s="31">
        <v>1850553.3</v>
      </c>
      <c r="AX129" s="31">
        <v>1179606.28</v>
      </c>
      <c r="AY129" s="31">
        <v>333293.87999999995</v>
      </c>
      <c r="AZ129" s="31">
        <v>15169049.869140275</v>
      </c>
      <c r="BA129" s="31">
        <v>5646456.6606184393</v>
      </c>
      <c r="BB129" s="31">
        <v>6776005.5111848256</v>
      </c>
      <c r="BC129" s="31">
        <f t="shared" si="11"/>
        <v>125061621.51264814</v>
      </c>
      <c r="BD129" s="31">
        <v>0</v>
      </c>
    </row>
    <row r="130" spans="2:56">
      <c r="B130" s="42" t="s">
        <v>215</v>
      </c>
      <c r="C130" s="42" t="s">
        <v>216</v>
      </c>
      <c r="D130" s="43" t="s">
        <v>1049</v>
      </c>
      <c r="E130" s="44">
        <v>34</v>
      </c>
      <c r="F130" s="31">
        <v>278245844.28020018</v>
      </c>
      <c r="G130" s="31">
        <v>2410621.0099999998</v>
      </c>
      <c r="H130" s="31">
        <v>6599283.9200000009</v>
      </c>
      <c r="I130" s="31">
        <v>993923.83000000007</v>
      </c>
      <c r="J130" s="31">
        <v>29682763.197865915</v>
      </c>
      <c r="K130" s="31">
        <v>11230038.524321584</v>
      </c>
      <c r="L130" s="31">
        <v>23032619.324891828</v>
      </c>
      <c r="M130" s="31">
        <f t="shared" si="8"/>
        <v>352195094.08727944</v>
      </c>
      <c r="N130" s="31">
        <v>0</v>
      </c>
      <c r="P130" s="42" t="s">
        <v>215</v>
      </c>
      <c r="Q130" s="42" t="s">
        <v>216</v>
      </c>
      <c r="R130" s="43" t="s">
        <v>1050</v>
      </c>
      <c r="S130" s="44">
        <v>34</v>
      </c>
      <c r="T130" s="31">
        <v>295974698.92376721</v>
      </c>
      <c r="U130" s="31">
        <v>2564493.96</v>
      </c>
      <c r="V130" s="31">
        <v>7020524.4500000002</v>
      </c>
      <c r="W130" s="31">
        <v>1057367.24</v>
      </c>
      <c r="X130" s="31">
        <v>31433957.598703656</v>
      </c>
      <c r="Y130" s="31">
        <v>11247440.365267133</v>
      </c>
      <c r="Z130" s="31">
        <v>24436516.097913302</v>
      </c>
      <c r="AA130" s="31">
        <f t="shared" si="9"/>
        <v>373734998.63565135</v>
      </c>
      <c r="AB130" s="31">
        <v>0</v>
      </c>
      <c r="AD130" s="42" t="s">
        <v>215</v>
      </c>
      <c r="AE130" s="42" t="s">
        <v>216</v>
      </c>
      <c r="AF130" s="43" t="s">
        <v>1275</v>
      </c>
      <c r="AG130" s="44">
        <v>34</v>
      </c>
      <c r="AH130" s="31">
        <v>301308186.56530291</v>
      </c>
      <c r="AI130" s="31">
        <v>2610068.1800000002</v>
      </c>
      <c r="AJ130" s="31">
        <v>7145287.8100000005</v>
      </c>
      <c r="AK130" s="31">
        <v>1076157.96</v>
      </c>
      <c r="AL130" s="31">
        <v>31994246.006048493</v>
      </c>
      <c r="AM130" s="31">
        <v>11233812.688198293</v>
      </c>
      <c r="AN130" s="31">
        <v>24872635.916401628</v>
      </c>
      <c r="AO130" s="31">
        <f t="shared" si="10"/>
        <v>380240395.12595129</v>
      </c>
      <c r="AP130" s="31">
        <v>0</v>
      </c>
      <c r="AR130" s="42" t="s">
        <v>215</v>
      </c>
      <c r="AS130" s="42" t="s">
        <v>216</v>
      </c>
      <c r="AT130" s="43" t="s">
        <v>1276</v>
      </c>
      <c r="AU130" s="44">
        <v>34</v>
      </c>
      <c r="AV130" s="31">
        <v>307016076.4022131</v>
      </c>
      <c r="AW130" s="31">
        <v>2658878.17</v>
      </c>
      <c r="AX130" s="31">
        <v>7278909.3799999999</v>
      </c>
      <c r="AY130" s="31">
        <v>1096282.81</v>
      </c>
      <c r="AZ130" s="31">
        <v>32594312.126274861</v>
      </c>
      <c r="BA130" s="31">
        <v>11234202.050400259</v>
      </c>
      <c r="BB130" s="31">
        <v>25339707.474174619</v>
      </c>
      <c r="BC130" s="31">
        <f t="shared" si="11"/>
        <v>387218368.41306287</v>
      </c>
      <c r="BD130" s="31">
        <v>0</v>
      </c>
    </row>
    <row r="131" spans="2:56">
      <c r="B131" s="42" t="s">
        <v>441</v>
      </c>
      <c r="C131" s="42" t="s">
        <v>442</v>
      </c>
      <c r="D131" s="43" t="s">
        <v>1049</v>
      </c>
      <c r="E131" s="44">
        <v>34</v>
      </c>
      <c r="F131" s="31">
        <v>23251330.655971952</v>
      </c>
      <c r="G131" s="31">
        <v>778403.53999999992</v>
      </c>
      <c r="H131" s="31">
        <v>365960.85000000003</v>
      </c>
      <c r="I131" s="31">
        <v>81398.76999999999</v>
      </c>
      <c r="J131" s="31">
        <v>3696900.4842654062</v>
      </c>
      <c r="K131" s="31">
        <v>1849661.5236069988</v>
      </c>
      <c r="L131" s="31">
        <v>1204492.7286306112</v>
      </c>
      <c r="M131" s="31">
        <f t="shared" si="8"/>
        <v>31228148.552474968</v>
      </c>
      <c r="N131" s="31">
        <v>0</v>
      </c>
      <c r="P131" s="42" t="s">
        <v>441</v>
      </c>
      <c r="Q131" s="42" t="s">
        <v>442</v>
      </c>
      <c r="R131" s="43" t="s">
        <v>1050</v>
      </c>
      <c r="S131" s="44">
        <v>34</v>
      </c>
      <c r="T131" s="31">
        <v>24585094.770573381</v>
      </c>
      <c r="U131" s="31">
        <v>821809.32</v>
      </c>
      <c r="V131" s="31">
        <v>386367.79000000004</v>
      </c>
      <c r="W131" s="31">
        <v>85937.77</v>
      </c>
      <c r="X131" s="31">
        <v>3889853.9564131396</v>
      </c>
      <c r="Y131" s="31">
        <v>1854256.3792768221</v>
      </c>
      <c r="Z131" s="31">
        <v>1269791.6756860698</v>
      </c>
      <c r="AA131" s="31">
        <f t="shared" si="9"/>
        <v>32893111.661949411</v>
      </c>
      <c r="AB131" s="31">
        <v>0</v>
      </c>
      <c r="AD131" s="42" t="s">
        <v>441</v>
      </c>
      <c r="AE131" s="42" t="s">
        <v>442</v>
      </c>
      <c r="AF131" s="43" t="s">
        <v>1275</v>
      </c>
      <c r="AG131" s="44">
        <v>34</v>
      </c>
      <c r="AH131" s="31">
        <v>25030765.429868598</v>
      </c>
      <c r="AI131" s="31">
        <v>836373.16</v>
      </c>
      <c r="AJ131" s="31">
        <v>393214.86000000004</v>
      </c>
      <c r="AK131" s="31">
        <v>87460.73000000001</v>
      </c>
      <c r="AL131" s="31">
        <v>3959044.2810542858</v>
      </c>
      <c r="AM131" s="31">
        <v>1850671.4482176723</v>
      </c>
      <c r="AN131" s="31">
        <v>1292408.2143722191</v>
      </c>
      <c r="AO131" s="31">
        <f t="shared" si="10"/>
        <v>33449938.123512771</v>
      </c>
      <c r="AP131" s="31">
        <v>0</v>
      </c>
      <c r="AR131" s="42" t="s">
        <v>441</v>
      </c>
      <c r="AS131" s="42" t="s">
        <v>442</v>
      </c>
      <c r="AT131" s="43" t="s">
        <v>1276</v>
      </c>
      <c r="AU131" s="44">
        <v>34</v>
      </c>
      <c r="AV131" s="31">
        <v>25507499.901802074</v>
      </c>
      <c r="AW131" s="31">
        <v>851971.03999999992</v>
      </c>
      <c r="AX131" s="31">
        <v>400548.09</v>
      </c>
      <c r="AY131" s="31">
        <v>89091.81</v>
      </c>
      <c r="AZ131" s="31">
        <v>4033146.8306177147</v>
      </c>
      <c r="BA131" s="31">
        <v>1850773.8748193621</v>
      </c>
      <c r="BB131" s="31">
        <v>1316629.8383132855</v>
      </c>
      <c r="BC131" s="31">
        <f t="shared" si="11"/>
        <v>34049661.385552436</v>
      </c>
      <c r="BD131" s="31">
        <v>0</v>
      </c>
    </row>
    <row r="132" spans="2:56">
      <c r="B132" s="42" t="s">
        <v>557</v>
      </c>
      <c r="C132" s="42" t="s">
        <v>558</v>
      </c>
      <c r="D132" s="43" t="s">
        <v>1049</v>
      </c>
      <c r="E132" s="44">
        <v>34</v>
      </c>
      <c r="F132" s="31">
        <v>585037.08234274713</v>
      </c>
      <c r="G132" s="31">
        <v>16857.580000000002</v>
      </c>
      <c r="H132" s="31">
        <v>0</v>
      </c>
      <c r="I132" s="31">
        <v>1071.8800000000001</v>
      </c>
      <c r="J132" s="31">
        <v>38850.418631978362</v>
      </c>
      <c r="K132" s="31">
        <v>88386.028222811568</v>
      </c>
      <c r="L132" s="31">
        <v>0</v>
      </c>
      <c r="M132" s="31">
        <f t="shared" si="8"/>
        <v>740824.25919753697</v>
      </c>
      <c r="N132" s="31">
        <v>10621.269999999999</v>
      </c>
      <c r="P132" s="42" t="s">
        <v>557</v>
      </c>
      <c r="Q132" s="42" t="s">
        <v>558</v>
      </c>
      <c r="R132" s="43" t="s">
        <v>1050</v>
      </c>
      <c r="S132" s="44">
        <v>34</v>
      </c>
      <c r="T132" s="31">
        <v>625825.1349254325</v>
      </c>
      <c r="U132" s="31">
        <v>18128.310000000005</v>
      </c>
      <c r="V132" s="31">
        <v>0</v>
      </c>
      <c r="W132" s="31">
        <v>1141.45</v>
      </c>
      <c r="X132" s="31">
        <v>41166.327875302391</v>
      </c>
      <c r="Y132" s="31">
        <v>88485.302122824316</v>
      </c>
      <c r="Z132" s="31">
        <v>0</v>
      </c>
      <c r="AA132" s="31">
        <f t="shared" si="9"/>
        <v>785880.68492355931</v>
      </c>
      <c r="AB132" s="31">
        <v>11134.159999999998</v>
      </c>
      <c r="AD132" s="42" t="s">
        <v>557</v>
      </c>
      <c r="AE132" s="42" t="s">
        <v>558</v>
      </c>
      <c r="AF132" s="43" t="s">
        <v>1275</v>
      </c>
      <c r="AG132" s="44">
        <v>34</v>
      </c>
      <c r="AH132" s="31">
        <v>636701.45144039835</v>
      </c>
      <c r="AI132" s="31">
        <v>18441.730000000007</v>
      </c>
      <c r="AJ132" s="31">
        <v>0</v>
      </c>
      <c r="AK132" s="31">
        <v>1161.3500000000001</v>
      </c>
      <c r="AL132" s="31">
        <v>41889.448980723479</v>
      </c>
      <c r="AM132" s="31">
        <v>88409.880733596641</v>
      </c>
      <c r="AN132" s="31">
        <v>0</v>
      </c>
      <c r="AO132" s="31">
        <f t="shared" si="10"/>
        <v>797934.78115471848</v>
      </c>
      <c r="AP132" s="31">
        <v>11330.919999999998</v>
      </c>
      <c r="AR132" s="42" t="s">
        <v>557</v>
      </c>
      <c r="AS132" s="42" t="s">
        <v>558</v>
      </c>
      <c r="AT132" s="43" t="s">
        <v>1276</v>
      </c>
      <c r="AU132" s="44">
        <v>34</v>
      </c>
      <c r="AV132" s="31">
        <v>648350.82141212688</v>
      </c>
      <c r="AW132" s="31">
        <v>18777.410000000003</v>
      </c>
      <c r="AX132" s="31">
        <v>0</v>
      </c>
      <c r="AY132" s="31">
        <v>1182.6600000000003</v>
      </c>
      <c r="AZ132" s="31">
        <v>42663.900203659476</v>
      </c>
      <c r="BA132" s="31">
        <v>88412.035630431725</v>
      </c>
      <c r="BB132" s="31">
        <v>0</v>
      </c>
      <c r="BC132" s="31">
        <f t="shared" si="11"/>
        <v>810928.48724621814</v>
      </c>
      <c r="BD132" s="31">
        <v>11541.659999999998</v>
      </c>
    </row>
    <row r="133" spans="2:56">
      <c r="B133" s="42" t="s">
        <v>471</v>
      </c>
      <c r="C133" s="42" t="s">
        <v>472</v>
      </c>
      <c r="D133" s="43" t="s">
        <v>1049</v>
      </c>
      <c r="E133" s="44">
        <v>34</v>
      </c>
      <c r="F133" s="31">
        <v>5137381.7872200273</v>
      </c>
      <c r="G133" s="31">
        <v>114690.1</v>
      </c>
      <c r="H133" s="31">
        <v>1753.96</v>
      </c>
      <c r="I133" s="31">
        <v>0</v>
      </c>
      <c r="J133" s="31">
        <v>593854.47848630731</v>
      </c>
      <c r="K133" s="31">
        <v>562926.75487062999</v>
      </c>
      <c r="L133" s="31">
        <v>267126.35579938983</v>
      </c>
      <c r="M133" s="31">
        <f t="shared" ref="M133:M196" si="12">SUM(F133:L133,N133)</f>
        <v>6677733.4363763537</v>
      </c>
      <c r="N133" s="31">
        <v>0</v>
      </c>
      <c r="P133" s="42" t="s">
        <v>471</v>
      </c>
      <c r="Q133" s="42" t="s">
        <v>472</v>
      </c>
      <c r="R133" s="43" t="s">
        <v>1050</v>
      </c>
      <c r="S133" s="44">
        <v>34</v>
      </c>
      <c r="T133" s="31">
        <v>5466844.1065626778</v>
      </c>
      <c r="U133" s="31">
        <v>122134.54000000001</v>
      </c>
      <c r="V133" s="31">
        <v>1867.83</v>
      </c>
      <c r="W133" s="31">
        <v>0</v>
      </c>
      <c r="X133" s="31">
        <v>629072.18380139919</v>
      </c>
      <c r="Y133" s="31">
        <v>564358.38368142478</v>
      </c>
      <c r="Z133" s="31">
        <v>283545.46936571097</v>
      </c>
      <c r="AA133" s="31">
        <f t="shared" ref="AA133:AA196" si="13">SUM(T133:Z133,AB133)</f>
        <v>7067822.5134112136</v>
      </c>
      <c r="AB133" s="31">
        <v>0</v>
      </c>
      <c r="AD133" s="42" t="s">
        <v>471</v>
      </c>
      <c r="AE133" s="42" t="s">
        <v>472</v>
      </c>
      <c r="AF133" s="43" t="s">
        <v>1275</v>
      </c>
      <c r="AG133" s="44">
        <v>34</v>
      </c>
      <c r="AH133" s="31">
        <v>5563558.025919389</v>
      </c>
      <c r="AI133" s="31">
        <v>124263.94</v>
      </c>
      <c r="AJ133" s="31">
        <v>1900.3799999999999</v>
      </c>
      <c r="AK133" s="31">
        <v>0</v>
      </c>
      <c r="AL133" s="31">
        <v>640119.97747449588</v>
      </c>
      <c r="AM133" s="31">
        <v>563270.73190432473</v>
      </c>
      <c r="AN133" s="31">
        <v>288534.78245923965</v>
      </c>
      <c r="AO133" s="31">
        <f t="shared" ref="AO133:AO196" si="14">SUM(AH133:AN133,AP133)</f>
        <v>7181647.8377574496</v>
      </c>
      <c r="AP133" s="31">
        <v>0</v>
      </c>
      <c r="AR133" s="42" t="s">
        <v>471</v>
      </c>
      <c r="AS133" s="42" t="s">
        <v>472</v>
      </c>
      <c r="AT133" s="43" t="s">
        <v>1276</v>
      </c>
      <c r="AU133" s="44">
        <v>34</v>
      </c>
      <c r="AV133" s="31">
        <v>5667077.9161645481</v>
      </c>
      <c r="AW133" s="31">
        <v>126544.52000000002</v>
      </c>
      <c r="AX133" s="31">
        <v>1935.2599999999998</v>
      </c>
      <c r="AY133" s="31">
        <v>0</v>
      </c>
      <c r="AZ133" s="31">
        <v>651952.10386100248</v>
      </c>
      <c r="BA133" s="31">
        <v>563301.80766938475</v>
      </c>
      <c r="BB133" s="31">
        <v>293878.16652960872</v>
      </c>
      <c r="BC133" s="31">
        <f t="shared" ref="BC133:BC196" si="15">SUM(AV133:BB133,BD133)</f>
        <v>7304689.7742245439</v>
      </c>
      <c r="BD133" s="31">
        <v>0</v>
      </c>
    </row>
    <row r="134" spans="2:56">
      <c r="B134" s="42" t="s">
        <v>9</v>
      </c>
      <c r="C134" s="42" t="s">
        <v>10</v>
      </c>
      <c r="D134" s="43" t="s">
        <v>1049</v>
      </c>
      <c r="E134" s="44">
        <v>34</v>
      </c>
      <c r="F134" s="31">
        <v>2407576.8893441912</v>
      </c>
      <c r="G134" s="31">
        <v>82728.86</v>
      </c>
      <c r="H134" s="31">
        <v>44823.66</v>
      </c>
      <c r="I134" s="31">
        <v>0</v>
      </c>
      <c r="J134" s="31">
        <v>191074.63870119199</v>
      </c>
      <c r="K134" s="31">
        <v>904332.05379206431</v>
      </c>
      <c r="L134" s="31">
        <v>157889.50691708349</v>
      </c>
      <c r="M134" s="31">
        <f t="shared" si="12"/>
        <v>3841337.0287545314</v>
      </c>
      <c r="N134" s="31">
        <v>52911.42</v>
      </c>
      <c r="P134" s="42" t="s">
        <v>9</v>
      </c>
      <c r="Q134" s="42" t="s">
        <v>10</v>
      </c>
      <c r="R134" s="43" t="s">
        <v>1050</v>
      </c>
      <c r="S134" s="44">
        <v>34</v>
      </c>
      <c r="T134" s="31">
        <v>2575286.9439064357</v>
      </c>
      <c r="U134" s="31">
        <v>88978.089999999982</v>
      </c>
      <c r="V134" s="31">
        <v>47733.119999999995</v>
      </c>
      <c r="W134" s="31">
        <v>0</v>
      </c>
      <c r="X134" s="31">
        <v>202413.93593934382</v>
      </c>
      <c r="Y134" s="31">
        <v>906332.62224100519</v>
      </c>
      <c r="Z134" s="31">
        <v>169150.98884850566</v>
      </c>
      <c r="AA134" s="31">
        <f t="shared" si="13"/>
        <v>4045362.1809352902</v>
      </c>
      <c r="AB134" s="31">
        <v>55466.479999999996</v>
      </c>
      <c r="AD134" s="42" t="s">
        <v>9</v>
      </c>
      <c r="AE134" s="42" t="s">
        <v>10</v>
      </c>
      <c r="AF134" s="43" t="s">
        <v>1275</v>
      </c>
      <c r="AG134" s="44">
        <v>34</v>
      </c>
      <c r="AH134" s="31">
        <v>2620185.8546360563</v>
      </c>
      <c r="AI134" s="31">
        <v>90516.25</v>
      </c>
      <c r="AJ134" s="31">
        <v>48565.34</v>
      </c>
      <c r="AK134" s="31">
        <v>0</v>
      </c>
      <c r="AL134" s="31">
        <v>205968.98864112832</v>
      </c>
      <c r="AM134" s="31">
        <v>904812.72978543711</v>
      </c>
      <c r="AN134" s="31">
        <v>172127.10249848303</v>
      </c>
      <c r="AO134" s="31">
        <f t="shared" si="14"/>
        <v>4098622.9555611047</v>
      </c>
      <c r="AP134" s="31">
        <v>56446.69</v>
      </c>
      <c r="AR134" s="42" t="s">
        <v>9</v>
      </c>
      <c r="AS134" s="42" t="s">
        <v>10</v>
      </c>
      <c r="AT134" s="43" t="s">
        <v>1276</v>
      </c>
      <c r="AU134" s="44">
        <v>34</v>
      </c>
      <c r="AV134" s="31">
        <v>2668270.2839105576</v>
      </c>
      <c r="AW134" s="31">
        <v>92163.62999999999</v>
      </c>
      <c r="AX134" s="31">
        <v>49456.65</v>
      </c>
      <c r="AY134" s="31">
        <v>0</v>
      </c>
      <c r="AZ134" s="31">
        <v>209776.42701908754</v>
      </c>
      <c r="BA134" s="31">
        <v>904856.15528416762</v>
      </c>
      <c r="BB134" s="31">
        <v>175314.4196394087</v>
      </c>
      <c r="BC134" s="31">
        <f t="shared" si="15"/>
        <v>4157334.0558532216</v>
      </c>
      <c r="BD134" s="31">
        <v>57496.490000000005</v>
      </c>
    </row>
    <row r="135" spans="2:56">
      <c r="B135" s="42" t="s">
        <v>77</v>
      </c>
      <c r="C135" s="42" t="s">
        <v>78</v>
      </c>
      <c r="D135" s="43" t="s">
        <v>1049</v>
      </c>
      <c r="E135" s="44">
        <v>34</v>
      </c>
      <c r="F135" s="31">
        <v>50107219.566256091</v>
      </c>
      <c r="G135" s="31">
        <v>2426908.6699999995</v>
      </c>
      <c r="H135" s="31">
        <v>659394.94999999995</v>
      </c>
      <c r="I135" s="31">
        <v>173058.30000000002</v>
      </c>
      <c r="J135" s="31">
        <v>8283157.7234295616</v>
      </c>
      <c r="K135" s="31">
        <v>2690098.7541928706</v>
      </c>
      <c r="L135" s="31">
        <v>3752747.4812527262</v>
      </c>
      <c r="M135" s="31">
        <f t="shared" si="12"/>
        <v>69389450.745131254</v>
      </c>
      <c r="N135" s="31">
        <v>1296865.2999999998</v>
      </c>
      <c r="P135" s="42" t="s">
        <v>77</v>
      </c>
      <c r="Q135" s="42" t="s">
        <v>78</v>
      </c>
      <c r="R135" s="43" t="s">
        <v>1050</v>
      </c>
      <c r="S135" s="44">
        <v>34</v>
      </c>
      <c r="T135" s="31">
        <v>53901328.100585267</v>
      </c>
      <c r="U135" s="31">
        <v>2605990.8600000003</v>
      </c>
      <c r="V135" s="31">
        <v>702195.72</v>
      </c>
      <c r="W135" s="31">
        <v>184291.34</v>
      </c>
      <c r="X135" s="31">
        <v>8774517.8687038291</v>
      </c>
      <c r="Y135" s="31">
        <v>2697323.0731883436</v>
      </c>
      <c r="Z135" s="31">
        <v>4021942.4871733356</v>
      </c>
      <c r="AA135" s="31">
        <f t="shared" si="13"/>
        <v>74247079.529650778</v>
      </c>
      <c r="AB135" s="31">
        <v>1359490.0799999998</v>
      </c>
      <c r="AD135" s="42" t="s">
        <v>77</v>
      </c>
      <c r="AE135" s="42" t="s">
        <v>78</v>
      </c>
      <c r="AF135" s="43" t="s">
        <v>1275</v>
      </c>
      <c r="AG135" s="44">
        <v>34</v>
      </c>
      <c r="AH135" s="31">
        <v>54868830.794025294</v>
      </c>
      <c r="AI135" s="31">
        <v>2651103.2400000002</v>
      </c>
      <c r="AJ135" s="31">
        <v>714438.4</v>
      </c>
      <c r="AK135" s="31">
        <v>187504.42999999996</v>
      </c>
      <c r="AL135" s="31">
        <v>8928636.4249931499</v>
      </c>
      <c r="AM135" s="31">
        <v>2691834.5391950933</v>
      </c>
      <c r="AN135" s="31">
        <v>4092706.1242233245</v>
      </c>
      <c r="AO135" s="31">
        <f t="shared" si="14"/>
        <v>75518569.172436863</v>
      </c>
      <c r="AP135" s="31">
        <v>1383515.22</v>
      </c>
      <c r="AR135" s="42" t="s">
        <v>77</v>
      </c>
      <c r="AS135" s="42" t="s">
        <v>78</v>
      </c>
      <c r="AT135" s="43" t="s">
        <v>1276</v>
      </c>
      <c r="AU135" s="44">
        <v>34</v>
      </c>
      <c r="AV135" s="31">
        <v>55903598.668394707</v>
      </c>
      <c r="AW135" s="31">
        <v>2699418.62</v>
      </c>
      <c r="AX135" s="31">
        <v>727550.3</v>
      </c>
      <c r="AY135" s="31">
        <v>190945.66</v>
      </c>
      <c r="AZ135" s="31">
        <v>9093696.6118144728</v>
      </c>
      <c r="BA135" s="31">
        <v>2691991.3544520433</v>
      </c>
      <c r="BB135" s="31">
        <v>4168491.5878142612</v>
      </c>
      <c r="BC135" s="31">
        <f t="shared" si="15"/>
        <v>76884938.942475468</v>
      </c>
      <c r="BD135" s="31">
        <v>1409246.14</v>
      </c>
    </row>
    <row r="136" spans="2:56">
      <c r="B136" s="42" t="s">
        <v>493</v>
      </c>
      <c r="C136" s="42" t="s">
        <v>494</v>
      </c>
      <c r="D136" s="43" t="s">
        <v>1049</v>
      </c>
      <c r="E136" s="44">
        <v>34</v>
      </c>
      <c r="F136" s="31">
        <v>2062029.2382777671</v>
      </c>
      <c r="G136" s="31">
        <v>80877.460000000006</v>
      </c>
      <c r="H136" s="31">
        <v>0</v>
      </c>
      <c r="I136" s="31">
        <v>0</v>
      </c>
      <c r="J136" s="31">
        <v>170554.54292502906</v>
      </c>
      <c r="K136" s="31">
        <v>0</v>
      </c>
      <c r="L136" s="31">
        <v>0</v>
      </c>
      <c r="M136" s="31">
        <f t="shared" si="12"/>
        <v>2343765.9412027965</v>
      </c>
      <c r="N136" s="31">
        <v>30304.7</v>
      </c>
      <c r="P136" s="42" t="s">
        <v>493</v>
      </c>
      <c r="Q136" s="42" t="s">
        <v>494</v>
      </c>
      <c r="R136" s="43" t="s">
        <v>1050</v>
      </c>
      <c r="S136" s="44">
        <v>34</v>
      </c>
      <c r="T136" s="31">
        <v>2216289.6246619294</v>
      </c>
      <c r="U136" s="31">
        <v>86630.8</v>
      </c>
      <c r="V136" s="31">
        <v>0</v>
      </c>
      <c r="W136" s="31">
        <v>0</v>
      </c>
      <c r="X136" s="31">
        <v>180671.44598139354</v>
      </c>
      <c r="Y136" s="31">
        <v>0</v>
      </c>
      <c r="Z136" s="31">
        <v>0</v>
      </c>
      <c r="AA136" s="31">
        <f t="shared" si="13"/>
        <v>2515359.9706433229</v>
      </c>
      <c r="AB136" s="31">
        <v>31768.100000000002</v>
      </c>
      <c r="AD136" s="42" t="s">
        <v>493</v>
      </c>
      <c r="AE136" s="42" t="s">
        <v>494</v>
      </c>
      <c r="AF136" s="43" t="s">
        <v>1275</v>
      </c>
      <c r="AG136" s="44">
        <v>34</v>
      </c>
      <c r="AH136" s="31">
        <v>2265176.5329048764</v>
      </c>
      <c r="AI136" s="31">
        <v>88133.66</v>
      </c>
      <c r="AJ136" s="31">
        <v>0</v>
      </c>
      <c r="AK136" s="31">
        <v>0</v>
      </c>
      <c r="AL136" s="31">
        <v>183847.11601476677</v>
      </c>
      <c r="AM136" s="31">
        <v>0</v>
      </c>
      <c r="AN136" s="31">
        <v>0</v>
      </c>
      <c r="AO136" s="31">
        <f t="shared" si="14"/>
        <v>2569486.8089196435</v>
      </c>
      <c r="AP136" s="31">
        <v>32329.500000000004</v>
      </c>
      <c r="AR136" s="42" t="s">
        <v>493</v>
      </c>
      <c r="AS136" s="42" t="s">
        <v>494</v>
      </c>
      <c r="AT136" s="43" t="s">
        <v>1276</v>
      </c>
      <c r="AU136" s="44">
        <v>34</v>
      </c>
      <c r="AV136" s="31">
        <v>2316897.7969261454</v>
      </c>
      <c r="AW136" s="31">
        <v>89743.209999999992</v>
      </c>
      <c r="AX136" s="31">
        <v>0</v>
      </c>
      <c r="AY136" s="31">
        <v>0</v>
      </c>
      <c r="AZ136" s="31">
        <v>187248.26177355455</v>
      </c>
      <c r="BA136" s="31">
        <v>0</v>
      </c>
      <c r="BB136" s="31">
        <v>0</v>
      </c>
      <c r="BC136" s="31">
        <f t="shared" si="15"/>
        <v>2626820.0486996998</v>
      </c>
      <c r="BD136" s="31">
        <v>32930.780000000006</v>
      </c>
    </row>
    <row r="137" spans="2:56">
      <c r="B137" s="42" t="s">
        <v>397</v>
      </c>
      <c r="C137" s="42" t="s">
        <v>398</v>
      </c>
      <c r="D137" s="43" t="s">
        <v>1049</v>
      </c>
      <c r="E137" s="44">
        <v>34</v>
      </c>
      <c r="F137" s="31">
        <v>3299511.805334257</v>
      </c>
      <c r="G137" s="31">
        <v>73277.53</v>
      </c>
      <c r="H137" s="31">
        <v>26940.260000000002</v>
      </c>
      <c r="I137" s="31">
        <v>7543.27</v>
      </c>
      <c r="J137" s="31">
        <v>308920.87603469315</v>
      </c>
      <c r="K137" s="31">
        <v>166858.17143649526</v>
      </c>
      <c r="L137" s="31">
        <v>127983.71681888557</v>
      </c>
      <c r="M137" s="31">
        <f t="shared" si="12"/>
        <v>4011035.6296243304</v>
      </c>
      <c r="N137" s="31">
        <v>0</v>
      </c>
      <c r="P137" s="42" t="s">
        <v>397</v>
      </c>
      <c r="Q137" s="42" t="s">
        <v>398</v>
      </c>
      <c r="R137" s="43" t="s">
        <v>1050</v>
      </c>
      <c r="S137" s="44">
        <v>34</v>
      </c>
      <c r="T137" s="31">
        <v>3505375.7811444975</v>
      </c>
      <c r="U137" s="31">
        <v>77978.73</v>
      </c>
      <c r="V137" s="31">
        <v>28668.65</v>
      </c>
      <c r="W137" s="31">
        <v>8027.22</v>
      </c>
      <c r="X137" s="31">
        <v>327183.70581321494</v>
      </c>
      <c r="Y137" s="31">
        <v>167250.1721891124</v>
      </c>
      <c r="Z137" s="31">
        <v>135801.21709986654</v>
      </c>
      <c r="AA137" s="31">
        <f t="shared" si="13"/>
        <v>4250285.4762466913</v>
      </c>
      <c r="AB137" s="31">
        <v>0</v>
      </c>
      <c r="AD137" s="42" t="s">
        <v>397</v>
      </c>
      <c r="AE137" s="42" t="s">
        <v>398</v>
      </c>
      <c r="AF137" s="43" t="s">
        <v>1275</v>
      </c>
      <c r="AG137" s="44">
        <v>34</v>
      </c>
      <c r="AH137" s="31">
        <v>3568779.4724927763</v>
      </c>
      <c r="AI137" s="31">
        <v>79356.599999999991</v>
      </c>
      <c r="AJ137" s="31">
        <v>29175.22</v>
      </c>
      <c r="AK137" s="31">
        <v>8169.0599999999995</v>
      </c>
      <c r="AL137" s="31">
        <v>332990.5436253646</v>
      </c>
      <c r="AM137" s="31">
        <v>166946.04046051242</v>
      </c>
      <c r="AN137" s="31">
        <v>138214.67529167893</v>
      </c>
      <c r="AO137" s="31">
        <f t="shared" si="14"/>
        <v>4323631.6118703326</v>
      </c>
      <c r="AP137" s="31">
        <v>0</v>
      </c>
      <c r="AR137" s="42" t="s">
        <v>397</v>
      </c>
      <c r="AS137" s="42" t="s">
        <v>398</v>
      </c>
      <c r="AT137" s="43" t="s">
        <v>1276</v>
      </c>
      <c r="AU137" s="44">
        <v>34</v>
      </c>
      <c r="AV137" s="31">
        <v>3636581.2310558497</v>
      </c>
      <c r="AW137" s="31">
        <v>80832.289999999994</v>
      </c>
      <c r="AX137" s="31">
        <v>29717.75</v>
      </c>
      <c r="AY137" s="31">
        <v>8320.9700000000012</v>
      </c>
      <c r="AZ137" s="31">
        <v>339209.64362265047</v>
      </c>
      <c r="BA137" s="31">
        <v>166954.72993847242</v>
      </c>
      <c r="BB137" s="31">
        <v>140799.41390690993</v>
      </c>
      <c r="BC137" s="31">
        <f t="shared" si="15"/>
        <v>4402416.0285238819</v>
      </c>
      <c r="BD137" s="31">
        <v>0</v>
      </c>
    </row>
    <row r="138" spans="2:56">
      <c r="B138" s="42" t="s">
        <v>1232</v>
      </c>
      <c r="C138" s="42" t="s">
        <v>1233</v>
      </c>
      <c r="D138" s="43" t="s">
        <v>1049</v>
      </c>
      <c r="E138" s="44">
        <v>34</v>
      </c>
      <c r="F138" s="31">
        <v>1391293.4449826088</v>
      </c>
      <c r="G138" s="31">
        <v>19470.25</v>
      </c>
      <c r="H138" s="31">
        <v>0</v>
      </c>
      <c r="I138" s="31">
        <v>0</v>
      </c>
      <c r="J138" s="31">
        <v>39886.637169416528</v>
      </c>
      <c r="K138" s="31">
        <v>11305.43</v>
      </c>
      <c r="L138" s="31">
        <v>0</v>
      </c>
      <c r="M138" s="31">
        <f t="shared" si="12"/>
        <v>1473456.3421520253</v>
      </c>
      <c r="N138" s="31">
        <v>11500.58</v>
      </c>
      <c r="P138" s="42" t="s">
        <v>1232</v>
      </c>
      <c r="Q138" s="42" t="s">
        <v>1233</v>
      </c>
      <c r="R138" s="43" t="s">
        <v>1050</v>
      </c>
      <c r="S138" s="44">
        <v>34</v>
      </c>
      <c r="T138" s="31">
        <v>1463828.5296443929</v>
      </c>
      <c r="U138" s="31">
        <v>20738.71</v>
      </c>
      <c r="V138" s="31">
        <v>0</v>
      </c>
      <c r="W138" s="31">
        <v>0</v>
      </c>
      <c r="X138" s="31">
        <v>41966.215540544625</v>
      </c>
      <c r="Y138" s="31">
        <v>11305.43</v>
      </c>
      <c r="Z138" s="31">
        <v>0</v>
      </c>
      <c r="AA138" s="31">
        <f t="shared" si="13"/>
        <v>1549793.9551849375</v>
      </c>
      <c r="AB138" s="31">
        <v>11955.070000000002</v>
      </c>
      <c r="AD138" s="42" t="s">
        <v>1232</v>
      </c>
      <c r="AE138" s="42" t="s">
        <v>1233</v>
      </c>
      <c r="AF138" s="43" t="s">
        <v>1275</v>
      </c>
      <c r="AG138" s="44">
        <v>34</v>
      </c>
      <c r="AH138" s="31">
        <v>1489257.4462110111</v>
      </c>
      <c r="AI138" s="31">
        <v>21098.829999999994</v>
      </c>
      <c r="AJ138" s="31">
        <v>0</v>
      </c>
      <c r="AK138" s="31">
        <v>0</v>
      </c>
      <c r="AL138" s="31">
        <v>42707.413876321509</v>
      </c>
      <c r="AM138" s="31">
        <v>11305.43</v>
      </c>
      <c r="AN138" s="31">
        <v>0</v>
      </c>
      <c r="AO138" s="31">
        <f t="shared" si="14"/>
        <v>1576536.1500873326</v>
      </c>
      <c r="AP138" s="31">
        <v>12167.03</v>
      </c>
      <c r="AR138" s="42" t="s">
        <v>1232</v>
      </c>
      <c r="AS138" s="42" t="s">
        <v>1233</v>
      </c>
      <c r="AT138" s="43" t="s">
        <v>1276</v>
      </c>
      <c r="AU138" s="44">
        <v>34</v>
      </c>
      <c r="AV138" s="31">
        <v>1516491.1516098173</v>
      </c>
      <c r="AW138" s="31">
        <v>21484.509999999995</v>
      </c>
      <c r="AX138" s="31">
        <v>0</v>
      </c>
      <c r="AY138" s="31">
        <v>0</v>
      </c>
      <c r="AZ138" s="31">
        <v>43501.247694195132</v>
      </c>
      <c r="BA138" s="31">
        <v>11305.43</v>
      </c>
      <c r="BB138" s="31">
        <v>0</v>
      </c>
      <c r="BC138" s="31">
        <f t="shared" si="15"/>
        <v>1605176.3793040125</v>
      </c>
      <c r="BD138" s="31">
        <v>12394.039999999999</v>
      </c>
    </row>
    <row r="139" spans="2:56">
      <c r="B139" s="42" t="s">
        <v>553</v>
      </c>
      <c r="C139" s="42" t="s">
        <v>554</v>
      </c>
      <c r="D139" s="43" t="s">
        <v>1049</v>
      </c>
      <c r="E139" s="44">
        <v>34</v>
      </c>
      <c r="F139" s="31">
        <v>4333407.2570112357</v>
      </c>
      <c r="G139" s="31">
        <v>253650.88</v>
      </c>
      <c r="H139" s="31">
        <v>0</v>
      </c>
      <c r="I139" s="31">
        <v>0</v>
      </c>
      <c r="J139" s="31">
        <v>663130.58193999005</v>
      </c>
      <c r="K139" s="31">
        <v>283188.21999999997</v>
      </c>
      <c r="L139" s="31">
        <v>0</v>
      </c>
      <c r="M139" s="31">
        <f t="shared" si="12"/>
        <v>5660308.4289512252</v>
      </c>
      <c r="N139" s="31">
        <v>126931.49</v>
      </c>
      <c r="P139" s="42" t="s">
        <v>553</v>
      </c>
      <c r="Q139" s="42" t="s">
        <v>554</v>
      </c>
      <c r="R139" s="43" t="s">
        <v>1050</v>
      </c>
      <c r="S139" s="44">
        <v>34</v>
      </c>
      <c r="T139" s="31">
        <v>4614691.0368761094</v>
      </c>
      <c r="U139" s="31">
        <v>269739.3</v>
      </c>
      <c r="V139" s="31">
        <v>0</v>
      </c>
      <c r="W139" s="31">
        <v>0</v>
      </c>
      <c r="X139" s="31">
        <v>697607.56977690756</v>
      </c>
      <c r="Y139" s="31">
        <v>283188.21999999997</v>
      </c>
      <c r="Z139" s="31">
        <v>0</v>
      </c>
      <c r="AA139" s="31">
        <f t="shared" si="13"/>
        <v>5997267.6966530168</v>
      </c>
      <c r="AB139" s="31">
        <v>132041.57</v>
      </c>
      <c r="AD139" s="42" t="s">
        <v>553</v>
      </c>
      <c r="AE139" s="42" t="s">
        <v>554</v>
      </c>
      <c r="AF139" s="43" t="s">
        <v>1275</v>
      </c>
      <c r="AG139" s="44">
        <v>34</v>
      </c>
      <c r="AH139" s="31">
        <v>4696240.5144621339</v>
      </c>
      <c r="AI139" s="31">
        <v>274461.52</v>
      </c>
      <c r="AJ139" s="31">
        <v>0</v>
      </c>
      <c r="AK139" s="31">
        <v>0</v>
      </c>
      <c r="AL139" s="31">
        <v>709957.10657161544</v>
      </c>
      <c r="AM139" s="31">
        <v>283188.21999999997</v>
      </c>
      <c r="AN139" s="31">
        <v>0</v>
      </c>
      <c r="AO139" s="31">
        <f t="shared" si="14"/>
        <v>6098244.2110337485</v>
      </c>
      <c r="AP139" s="31">
        <v>134396.85</v>
      </c>
      <c r="AR139" s="42" t="s">
        <v>553</v>
      </c>
      <c r="AS139" s="42" t="s">
        <v>554</v>
      </c>
      <c r="AT139" s="43" t="s">
        <v>1276</v>
      </c>
      <c r="AU139" s="44">
        <v>34</v>
      </c>
      <c r="AV139" s="31">
        <v>4783571.362662876</v>
      </c>
      <c r="AW139" s="31">
        <v>279519.03000000003</v>
      </c>
      <c r="AX139" s="31">
        <v>0</v>
      </c>
      <c r="AY139" s="31">
        <v>0</v>
      </c>
      <c r="AZ139" s="31">
        <v>723183.40363882657</v>
      </c>
      <c r="BA139" s="31">
        <v>283188.21999999997</v>
      </c>
      <c r="BB139" s="31">
        <v>0</v>
      </c>
      <c r="BC139" s="31">
        <f t="shared" si="15"/>
        <v>6206381.3563017026</v>
      </c>
      <c r="BD139" s="31">
        <v>136919.34</v>
      </c>
    </row>
    <row r="140" spans="2:56">
      <c r="B140" s="42" t="s">
        <v>269</v>
      </c>
      <c r="C140" s="42" t="s">
        <v>270</v>
      </c>
      <c r="D140" s="43" t="s">
        <v>1049</v>
      </c>
      <c r="E140" s="44">
        <v>34</v>
      </c>
      <c r="F140" s="31">
        <v>2768530.7847080515</v>
      </c>
      <c r="G140" s="31">
        <v>118295.46999999999</v>
      </c>
      <c r="H140" s="31">
        <v>10913.58</v>
      </c>
      <c r="I140" s="31">
        <v>0</v>
      </c>
      <c r="J140" s="31">
        <v>296072.29918646178</v>
      </c>
      <c r="K140" s="31">
        <v>220770.07062199619</v>
      </c>
      <c r="L140" s="31">
        <v>0</v>
      </c>
      <c r="M140" s="31">
        <f t="shared" si="12"/>
        <v>3478017.4345165095</v>
      </c>
      <c r="N140" s="31">
        <v>63435.229999999996</v>
      </c>
      <c r="P140" s="42" t="s">
        <v>269</v>
      </c>
      <c r="Q140" s="42" t="s">
        <v>270</v>
      </c>
      <c r="R140" s="43" t="s">
        <v>1050</v>
      </c>
      <c r="S140" s="44">
        <v>34</v>
      </c>
      <c r="T140" s="31">
        <v>2962192.1936500622</v>
      </c>
      <c r="U140" s="31">
        <v>127028.20999999998</v>
      </c>
      <c r="V140" s="31">
        <v>11621.98</v>
      </c>
      <c r="W140" s="31">
        <v>0</v>
      </c>
      <c r="X140" s="31">
        <v>313637.81024933746</v>
      </c>
      <c r="Y140" s="31">
        <v>221362.50073058944</v>
      </c>
      <c r="Z140" s="31">
        <v>0</v>
      </c>
      <c r="AA140" s="31">
        <f t="shared" si="13"/>
        <v>3702341.1746299891</v>
      </c>
      <c r="AB140" s="31">
        <v>66498.48</v>
      </c>
      <c r="AD140" s="42" t="s">
        <v>269</v>
      </c>
      <c r="AE140" s="42" t="s">
        <v>270</v>
      </c>
      <c r="AF140" s="43" t="s">
        <v>1275</v>
      </c>
      <c r="AG140" s="44">
        <v>34</v>
      </c>
      <c r="AH140" s="31">
        <v>3014892.3201884087</v>
      </c>
      <c r="AI140" s="31">
        <v>129227.13999999998</v>
      </c>
      <c r="AJ140" s="31">
        <v>11824.61</v>
      </c>
      <c r="AK140" s="31">
        <v>0</v>
      </c>
      <c r="AL140" s="31">
        <v>319146.62524452124</v>
      </c>
      <c r="AM140" s="31">
        <v>220912.41363010611</v>
      </c>
      <c r="AN140" s="31">
        <v>0</v>
      </c>
      <c r="AO140" s="31">
        <f t="shared" si="14"/>
        <v>3763676.7590630357</v>
      </c>
      <c r="AP140" s="31">
        <v>67673.649999999994</v>
      </c>
      <c r="AR140" s="42" t="s">
        <v>269</v>
      </c>
      <c r="AS140" s="42" t="s">
        <v>270</v>
      </c>
      <c r="AT140" s="43" t="s">
        <v>1276</v>
      </c>
      <c r="AU140" s="44">
        <v>34</v>
      </c>
      <c r="AV140" s="31">
        <v>3071267.698410139</v>
      </c>
      <c r="AW140" s="31">
        <v>131582.20000000001</v>
      </c>
      <c r="AX140" s="31">
        <v>12041.609999999999</v>
      </c>
      <c r="AY140" s="31">
        <v>0</v>
      </c>
      <c r="AZ140" s="31">
        <v>325046.53620022989</v>
      </c>
      <c r="BA140" s="31">
        <v>220925.27326154849</v>
      </c>
      <c r="BB140" s="31">
        <v>0</v>
      </c>
      <c r="BC140" s="31">
        <f t="shared" si="15"/>
        <v>3829795.5778719173</v>
      </c>
      <c r="BD140" s="31">
        <v>68932.259999999995</v>
      </c>
    </row>
    <row r="141" spans="2:56">
      <c r="B141" s="42" t="s">
        <v>545</v>
      </c>
      <c r="C141" s="42" t="s">
        <v>546</v>
      </c>
      <c r="D141" s="43" t="s">
        <v>1049</v>
      </c>
      <c r="E141" s="44">
        <v>34</v>
      </c>
      <c r="F141" s="31">
        <v>27893583.295769729</v>
      </c>
      <c r="G141" s="31">
        <v>703951.61</v>
      </c>
      <c r="H141" s="31">
        <v>576417.44000000006</v>
      </c>
      <c r="I141" s="31">
        <v>98087.400000000009</v>
      </c>
      <c r="J141" s="31">
        <v>4611648.0675613014</v>
      </c>
      <c r="K141" s="31">
        <v>1461286.0941467665</v>
      </c>
      <c r="L141" s="31">
        <v>2163675.3952683927</v>
      </c>
      <c r="M141" s="31">
        <f t="shared" si="12"/>
        <v>37508649.302746192</v>
      </c>
      <c r="N141" s="31">
        <v>0</v>
      </c>
      <c r="P141" s="42" t="s">
        <v>545</v>
      </c>
      <c r="Q141" s="42" t="s">
        <v>546</v>
      </c>
      <c r="R141" s="43" t="s">
        <v>1050</v>
      </c>
      <c r="S141" s="44">
        <v>34</v>
      </c>
      <c r="T141" s="31">
        <v>29711825.408777736</v>
      </c>
      <c r="U141" s="31">
        <v>749366.12999999989</v>
      </c>
      <c r="V141" s="31">
        <v>613604.2699999999</v>
      </c>
      <c r="W141" s="31">
        <v>104415.40000000001</v>
      </c>
      <c r="X141" s="31">
        <v>4884740.2127820831</v>
      </c>
      <c r="Y141" s="31">
        <v>1464516.6038971874</v>
      </c>
      <c r="Z141" s="31">
        <v>2296232.3677481865</v>
      </c>
      <c r="AA141" s="31">
        <f t="shared" si="13"/>
        <v>39824700.393205188</v>
      </c>
      <c r="AB141" s="31">
        <v>0</v>
      </c>
      <c r="AD141" s="42" t="s">
        <v>545</v>
      </c>
      <c r="AE141" s="42" t="s">
        <v>546</v>
      </c>
      <c r="AF141" s="43" t="s">
        <v>1275</v>
      </c>
      <c r="AG141" s="44">
        <v>34</v>
      </c>
      <c r="AH141" s="31">
        <v>30276488.714303512</v>
      </c>
      <c r="AI141" s="31">
        <v>762523.62999999989</v>
      </c>
      <c r="AJ141" s="31">
        <v>624378.03000000014</v>
      </c>
      <c r="AK141" s="31">
        <v>106248.75000000001</v>
      </c>
      <c r="AL141" s="31">
        <v>4971024.3719553323</v>
      </c>
      <c r="AM141" s="31">
        <v>1462035.3547601961</v>
      </c>
      <c r="AN141" s="31">
        <v>2336846.9137544008</v>
      </c>
      <c r="AO141" s="31">
        <f t="shared" si="14"/>
        <v>40539545.764773443</v>
      </c>
      <c r="AP141" s="31">
        <v>0</v>
      </c>
      <c r="AR141" s="42" t="s">
        <v>545</v>
      </c>
      <c r="AS141" s="42" t="s">
        <v>546</v>
      </c>
      <c r="AT141" s="43" t="s">
        <v>1276</v>
      </c>
      <c r="AU141" s="44">
        <v>34</v>
      </c>
      <c r="AV141" s="31">
        <v>30878618.697183501</v>
      </c>
      <c r="AW141" s="31">
        <v>776615.30999999994</v>
      </c>
      <c r="AX141" s="31">
        <v>635916.74999999988</v>
      </c>
      <c r="AY141" s="31">
        <v>108212.26000000002</v>
      </c>
      <c r="AZ141" s="31">
        <v>5063434.4682273194</v>
      </c>
      <c r="BA141" s="31">
        <v>1462106.2475926813</v>
      </c>
      <c r="BB141" s="31">
        <v>2380343.7700680569</v>
      </c>
      <c r="BC141" s="31">
        <f t="shared" si="15"/>
        <v>41305247.503071561</v>
      </c>
      <c r="BD141" s="31">
        <v>0</v>
      </c>
    </row>
    <row r="142" spans="2:56">
      <c r="B142" s="42" t="s">
        <v>591</v>
      </c>
      <c r="C142" s="42" t="s">
        <v>592</v>
      </c>
      <c r="D142" s="43" t="s">
        <v>1049</v>
      </c>
      <c r="E142" s="44">
        <v>34</v>
      </c>
      <c r="F142" s="31">
        <v>6518204.9000127595</v>
      </c>
      <c r="G142" s="31">
        <v>499101.69</v>
      </c>
      <c r="H142" s="31">
        <v>528139.6</v>
      </c>
      <c r="I142" s="31">
        <v>22704.16</v>
      </c>
      <c r="J142" s="31">
        <v>748142.82838201756</v>
      </c>
      <c r="K142" s="31">
        <v>234595.68018167873</v>
      </c>
      <c r="L142" s="31">
        <v>687180.04785877222</v>
      </c>
      <c r="M142" s="31">
        <f t="shared" si="12"/>
        <v>9471054.4664352294</v>
      </c>
      <c r="N142" s="31">
        <v>232985.56</v>
      </c>
      <c r="P142" s="42" t="s">
        <v>591</v>
      </c>
      <c r="Q142" s="42" t="s">
        <v>592</v>
      </c>
      <c r="R142" s="43" t="s">
        <v>1050</v>
      </c>
      <c r="S142" s="44">
        <v>34</v>
      </c>
      <c r="T142" s="31">
        <v>7013027.297224801</v>
      </c>
      <c r="U142" s="31">
        <v>535370.12999999989</v>
      </c>
      <c r="V142" s="31">
        <v>562420.68999999994</v>
      </c>
      <c r="W142" s="31">
        <v>24177.870000000003</v>
      </c>
      <c r="X142" s="31">
        <v>792528.54660035821</v>
      </c>
      <c r="Y142" s="31">
        <v>235118.35092492512</v>
      </c>
      <c r="Z142" s="31">
        <v>736446.78328992752</v>
      </c>
      <c r="AA142" s="31">
        <f t="shared" si="13"/>
        <v>10143325.948040012</v>
      </c>
      <c r="AB142" s="31">
        <v>244236.27999999997</v>
      </c>
      <c r="AD142" s="42" t="s">
        <v>591</v>
      </c>
      <c r="AE142" s="42" t="s">
        <v>592</v>
      </c>
      <c r="AF142" s="43" t="s">
        <v>1275</v>
      </c>
      <c r="AG142" s="44">
        <v>34</v>
      </c>
      <c r="AH142" s="31">
        <v>7137200.416682113</v>
      </c>
      <c r="AI142" s="31">
        <v>544646.24</v>
      </c>
      <c r="AJ142" s="31">
        <v>572226.4</v>
      </c>
      <c r="AK142" s="31">
        <v>24599.41</v>
      </c>
      <c r="AL142" s="31">
        <v>806448.38089830533</v>
      </c>
      <c r="AM142" s="31">
        <v>234721.26212757514</v>
      </c>
      <c r="AN142" s="31">
        <v>749404.06197494129</v>
      </c>
      <c r="AO142" s="31">
        <f t="shared" si="14"/>
        <v>10317798.641682936</v>
      </c>
      <c r="AP142" s="31">
        <v>248552.46999999997</v>
      </c>
      <c r="AR142" s="42" t="s">
        <v>591</v>
      </c>
      <c r="AS142" s="42" t="s">
        <v>592</v>
      </c>
      <c r="AT142" s="43" t="s">
        <v>1276</v>
      </c>
      <c r="AU142" s="44">
        <v>34</v>
      </c>
      <c r="AV142" s="31">
        <v>7270113.3965951316</v>
      </c>
      <c r="AW142" s="31">
        <v>554580.9800000001</v>
      </c>
      <c r="AX142" s="31">
        <v>582728.32999999996</v>
      </c>
      <c r="AY142" s="31">
        <v>25050.880000000001</v>
      </c>
      <c r="AZ142" s="31">
        <v>821356.4452475427</v>
      </c>
      <c r="BA142" s="31">
        <v>234732.60752178513</v>
      </c>
      <c r="BB142" s="31">
        <v>763280.869475791</v>
      </c>
      <c r="BC142" s="31">
        <f t="shared" si="15"/>
        <v>10505018.608840251</v>
      </c>
      <c r="BD142" s="31">
        <v>253175.09999999998</v>
      </c>
    </row>
    <row r="143" spans="2:56">
      <c r="B143" s="42" t="s">
        <v>97</v>
      </c>
      <c r="C143" s="42" t="s">
        <v>98</v>
      </c>
      <c r="D143" s="43" t="s">
        <v>1049</v>
      </c>
      <c r="E143" s="44">
        <v>34</v>
      </c>
      <c r="F143" s="31">
        <v>1924016.1315290071</v>
      </c>
      <c r="G143" s="31">
        <v>41900.359999999993</v>
      </c>
      <c r="H143" s="31">
        <v>8477.5300000000007</v>
      </c>
      <c r="I143" s="31">
        <v>0</v>
      </c>
      <c r="J143" s="31">
        <v>85276.131561814007</v>
      </c>
      <c r="K143" s="31">
        <v>110838.53747934004</v>
      </c>
      <c r="L143" s="31">
        <v>27584.049888141919</v>
      </c>
      <c r="M143" s="31">
        <f t="shared" si="12"/>
        <v>2224694.620458303</v>
      </c>
      <c r="N143" s="31">
        <v>26601.879999999997</v>
      </c>
      <c r="P143" s="42" t="s">
        <v>97</v>
      </c>
      <c r="Q143" s="42" t="s">
        <v>98</v>
      </c>
      <c r="R143" s="43" t="s">
        <v>1050</v>
      </c>
      <c r="S143" s="44">
        <v>34</v>
      </c>
      <c r="T143" s="31">
        <v>2049839.3805059758</v>
      </c>
      <c r="U143" s="31">
        <v>45062.200000000012</v>
      </c>
      <c r="V143" s="31">
        <v>9027.8000000000011</v>
      </c>
      <c r="W143" s="31">
        <v>0</v>
      </c>
      <c r="X143" s="31">
        <v>90335.734761241722</v>
      </c>
      <c r="Y143" s="31">
        <v>111088.17152965615</v>
      </c>
      <c r="Z143" s="31">
        <v>29591.148806540848</v>
      </c>
      <c r="AA143" s="31">
        <f t="shared" si="13"/>
        <v>2362830.8956034146</v>
      </c>
      <c r="AB143" s="31">
        <v>27886.459999999995</v>
      </c>
      <c r="AD143" s="42" t="s">
        <v>97</v>
      </c>
      <c r="AE143" s="42" t="s">
        <v>98</v>
      </c>
      <c r="AF143" s="43" t="s">
        <v>1275</v>
      </c>
      <c r="AG143" s="44">
        <v>34</v>
      </c>
      <c r="AH143" s="31">
        <v>2085365.5745710752</v>
      </c>
      <c r="AI143" s="31">
        <v>45841.240000000005</v>
      </c>
      <c r="AJ143" s="31">
        <v>9185.19</v>
      </c>
      <c r="AK143" s="31">
        <v>0</v>
      </c>
      <c r="AL143" s="31">
        <v>91922.484026057224</v>
      </c>
      <c r="AM143" s="31">
        <v>110898.51697925614</v>
      </c>
      <c r="AN143" s="31">
        <v>30111.795280286868</v>
      </c>
      <c r="AO143" s="31">
        <f t="shared" si="14"/>
        <v>2401704.0808566753</v>
      </c>
      <c r="AP143" s="31">
        <v>28379.279999999999</v>
      </c>
      <c r="AR143" s="42" t="s">
        <v>97</v>
      </c>
      <c r="AS143" s="42" t="s">
        <v>98</v>
      </c>
      <c r="AT143" s="43" t="s">
        <v>1276</v>
      </c>
      <c r="AU143" s="44">
        <v>34</v>
      </c>
      <c r="AV143" s="31">
        <v>2123417.6405723961</v>
      </c>
      <c r="AW143" s="31">
        <v>46675.590000000011</v>
      </c>
      <c r="AX143" s="31">
        <v>9353.7699999999986</v>
      </c>
      <c r="AY143" s="31">
        <v>0</v>
      </c>
      <c r="AZ143" s="31">
        <v>93621.884304281528</v>
      </c>
      <c r="BA143" s="31">
        <v>110903.93568069614</v>
      </c>
      <c r="BB143" s="31">
        <v>30669.390107668845</v>
      </c>
      <c r="BC143" s="31">
        <f t="shared" si="15"/>
        <v>2443549.2806650423</v>
      </c>
      <c r="BD143" s="31">
        <v>28907.069999999996</v>
      </c>
    </row>
    <row r="144" spans="2:56">
      <c r="B144" s="42" t="s">
        <v>29</v>
      </c>
      <c r="C144" s="42" t="s">
        <v>30</v>
      </c>
      <c r="D144" s="43" t="s">
        <v>1049</v>
      </c>
      <c r="E144" s="44">
        <v>34</v>
      </c>
      <c r="F144" s="31">
        <v>5290727.7441556994</v>
      </c>
      <c r="G144" s="31">
        <v>262997.94</v>
      </c>
      <c r="H144" s="31">
        <v>334228.56999999995</v>
      </c>
      <c r="I144" s="31">
        <v>16760.150000000001</v>
      </c>
      <c r="J144" s="31">
        <v>664895.35109236941</v>
      </c>
      <c r="K144" s="31">
        <v>369590.65309190226</v>
      </c>
      <c r="L144" s="31">
        <v>150719.43956585517</v>
      </c>
      <c r="M144" s="31">
        <f t="shared" si="12"/>
        <v>7263173.0279058265</v>
      </c>
      <c r="N144" s="31">
        <v>173253.18</v>
      </c>
      <c r="P144" s="42" t="s">
        <v>29</v>
      </c>
      <c r="Q144" s="42" t="s">
        <v>30</v>
      </c>
      <c r="R144" s="43" t="s">
        <v>1050</v>
      </c>
      <c r="S144" s="44">
        <v>34</v>
      </c>
      <c r="T144" s="31">
        <v>5682509.7027533744</v>
      </c>
      <c r="U144" s="31">
        <v>282948.34999999998</v>
      </c>
      <c r="V144" s="31">
        <v>355923.05</v>
      </c>
      <c r="W144" s="31">
        <v>17848.040000000005</v>
      </c>
      <c r="X144" s="31">
        <v>704350.46133752225</v>
      </c>
      <c r="Y144" s="31">
        <v>370165.61045381258</v>
      </c>
      <c r="Z144" s="31">
        <v>161436.44990787716</v>
      </c>
      <c r="AA144" s="31">
        <f t="shared" si="13"/>
        <v>7756801.1144525865</v>
      </c>
      <c r="AB144" s="31">
        <v>181619.45</v>
      </c>
      <c r="AD144" s="42" t="s">
        <v>29</v>
      </c>
      <c r="AE144" s="42" t="s">
        <v>30</v>
      </c>
      <c r="AF144" s="43" t="s">
        <v>1275</v>
      </c>
      <c r="AG144" s="44">
        <v>34</v>
      </c>
      <c r="AH144" s="31">
        <v>5782115.7856315421</v>
      </c>
      <c r="AI144" s="31">
        <v>287838.40999999992</v>
      </c>
      <c r="AJ144" s="31">
        <v>362128.51</v>
      </c>
      <c r="AK144" s="31">
        <v>18159.230000000003</v>
      </c>
      <c r="AL144" s="31">
        <v>716723.38254481717</v>
      </c>
      <c r="AM144" s="31">
        <v>369728.79792830092</v>
      </c>
      <c r="AN144" s="31">
        <v>164276.8869364867</v>
      </c>
      <c r="AO144" s="31">
        <f t="shared" si="14"/>
        <v>7885800.0630411468</v>
      </c>
      <c r="AP144" s="31">
        <v>184829.06000000003</v>
      </c>
      <c r="AR144" s="42" t="s">
        <v>29</v>
      </c>
      <c r="AS144" s="42" t="s">
        <v>30</v>
      </c>
      <c r="AT144" s="43" t="s">
        <v>1276</v>
      </c>
      <c r="AU144" s="44">
        <v>34</v>
      </c>
      <c r="AV144" s="31">
        <v>5888794.3973388579</v>
      </c>
      <c r="AW144" s="31">
        <v>293075.65999999992</v>
      </c>
      <c r="AX144" s="31">
        <v>368774.56</v>
      </c>
      <c r="AY144" s="31">
        <v>18492.490000000002</v>
      </c>
      <c r="AZ144" s="31">
        <v>729974.71994431387</v>
      </c>
      <c r="BA144" s="31">
        <v>369741.27828617266</v>
      </c>
      <c r="BB144" s="31">
        <v>167318.89900052751</v>
      </c>
      <c r="BC144" s="31">
        <f t="shared" si="15"/>
        <v>8024438.5545698721</v>
      </c>
      <c r="BD144" s="31">
        <v>188266.55000000002</v>
      </c>
    </row>
    <row r="145" spans="2:56">
      <c r="B145" s="42" t="s">
        <v>319</v>
      </c>
      <c r="C145" s="42" t="s">
        <v>320</v>
      </c>
      <c r="D145" s="43" t="s">
        <v>1049</v>
      </c>
      <c r="E145" s="44">
        <v>34</v>
      </c>
      <c r="F145" s="31">
        <v>13435511.986247918</v>
      </c>
      <c r="G145" s="31">
        <v>185530.97000000003</v>
      </c>
      <c r="H145" s="31">
        <v>0</v>
      </c>
      <c r="I145" s="31">
        <v>40438.74</v>
      </c>
      <c r="J145" s="31">
        <v>1628522.2810486942</v>
      </c>
      <c r="K145" s="31">
        <v>262334.62199512165</v>
      </c>
      <c r="L145" s="31">
        <v>208617.84733025986</v>
      </c>
      <c r="M145" s="31">
        <f t="shared" si="12"/>
        <v>15809580.366621993</v>
      </c>
      <c r="N145" s="31">
        <v>48623.92</v>
      </c>
      <c r="P145" s="42" t="s">
        <v>319</v>
      </c>
      <c r="Q145" s="42" t="s">
        <v>320</v>
      </c>
      <c r="R145" s="43" t="s">
        <v>1050</v>
      </c>
      <c r="S145" s="44">
        <v>34</v>
      </c>
      <c r="T145" s="31">
        <v>14366772.603892248</v>
      </c>
      <c r="U145" s="31">
        <v>198381.74000000005</v>
      </c>
      <c r="V145" s="31">
        <v>0</v>
      </c>
      <c r="W145" s="31">
        <v>43063.579999999994</v>
      </c>
      <c r="X145" s="31">
        <v>1725279.7386402381</v>
      </c>
      <c r="Y145" s="31">
        <v>262819.51736825315</v>
      </c>
      <c r="Z145" s="31">
        <v>221441.29195613097</v>
      </c>
      <c r="AA145" s="31">
        <f t="shared" si="13"/>
        <v>16868730.411856871</v>
      </c>
      <c r="AB145" s="31">
        <v>50971.94</v>
      </c>
      <c r="AD145" s="42" t="s">
        <v>319</v>
      </c>
      <c r="AE145" s="42" t="s">
        <v>320</v>
      </c>
      <c r="AF145" s="43" t="s">
        <v>1275</v>
      </c>
      <c r="AG145" s="44">
        <v>34</v>
      </c>
      <c r="AH145" s="31">
        <v>14720062.014654111</v>
      </c>
      <c r="AI145" s="31">
        <v>201828.38</v>
      </c>
      <c r="AJ145" s="31">
        <v>0</v>
      </c>
      <c r="AK145" s="31">
        <v>43814.389999999992</v>
      </c>
      <c r="AL145" s="31">
        <v>1755660.3609971616</v>
      </c>
      <c r="AM145" s="31">
        <v>262451.1276639406</v>
      </c>
      <c r="AN145" s="31">
        <v>225337.99953455763</v>
      </c>
      <c r="AO145" s="31">
        <f t="shared" si="14"/>
        <v>17261027.002849773</v>
      </c>
      <c r="AP145" s="31">
        <v>51872.729999999996</v>
      </c>
      <c r="AR145" s="42" t="s">
        <v>319</v>
      </c>
      <c r="AS145" s="42" t="s">
        <v>320</v>
      </c>
      <c r="AT145" s="43" t="s">
        <v>1276</v>
      </c>
      <c r="AU145" s="44">
        <v>34</v>
      </c>
      <c r="AV145" s="31">
        <v>15091992.606492795</v>
      </c>
      <c r="AW145" s="31">
        <v>205519.77000000005</v>
      </c>
      <c r="AX145" s="31">
        <v>0</v>
      </c>
      <c r="AY145" s="31">
        <v>44618.509999999995</v>
      </c>
      <c r="AZ145" s="31">
        <v>1788198.3638738701</v>
      </c>
      <c r="BA145" s="31">
        <v>262461.65308406384</v>
      </c>
      <c r="BB145" s="31">
        <v>229511.24045425249</v>
      </c>
      <c r="BC145" s="31">
        <f t="shared" si="15"/>
        <v>17675139.603904981</v>
      </c>
      <c r="BD145" s="31">
        <v>52837.46</v>
      </c>
    </row>
    <row r="146" spans="2:56">
      <c r="B146" s="42" t="s">
        <v>501</v>
      </c>
      <c r="C146" s="42" t="s">
        <v>502</v>
      </c>
      <c r="D146" s="43" t="s">
        <v>1049</v>
      </c>
      <c r="E146" s="44">
        <v>34</v>
      </c>
      <c r="F146" s="31">
        <v>4030237.862977915</v>
      </c>
      <c r="G146" s="31">
        <v>220025.68999999997</v>
      </c>
      <c r="H146" s="31">
        <v>0</v>
      </c>
      <c r="I146" s="31">
        <v>12667.55</v>
      </c>
      <c r="J146" s="31">
        <v>550302.51504864742</v>
      </c>
      <c r="K146" s="31">
        <v>409230.28837248968</v>
      </c>
      <c r="L146" s="31">
        <v>349331.61278077186</v>
      </c>
      <c r="M146" s="31">
        <f t="shared" si="12"/>
        <v>5700419.9191798242</v>
      </c>
      <c r="N146" s="31">
        <v>128624.4</v>
      </c>
      <c r="P146" s="42" t="s">
        <v>501</v>
      </c>
      <c r="Q146" s="42" t="s">
        <v>502</v>
      </c>
      <c r="R146" s="43" t="s">
        <v>1050</v>
      </c>
      <c r="S146" s="44">
        <v>34</v>
      </c>
      <c r="T146" s="31">
        <v>4325871.8284079181</v>
      </c>
      <c r="U146" s="31">
        <v>236445.08</v>
      </c>
      <c r="V146" s="31">
        <v>0</v>
      </c>
      <c r="W146" s="31">
        <v>13489.79</v>
      </c>
      <c r="X146" s="31">
        <v>582954.85056731105</v>
      </c>
      <c r="Y146" s="31">
        <v>410253.03403347818</v>
      </c>
      <c r="Z146" s="31">
        <v>374308.80855013581</v>
      </c>
      <c r="AA146" s="31">
        <f t="shared" si="13"/>
        <v>6078158.9815588435</v>
      </c>
      <c r="AB146" s="31">
        <v>134835.59</v>
      </c>
      <c r="AD146" s="42" t="s">
        <v>501</v>
      </c>
      <c r="AE146" s="42" t="s">
        <v>502</v>
      </c>
      <c r="AF146" s="43" t="s">
        <v>1275</v>
      </c>
      <c r="AG146" s="44">
        <v>34</v>
      </c>
      <c r="AH146" s="31">
        <v>4405115.7126558013</v>
      </c>
      <c r="AI146" s="31">
        <v>240535.45999999993</v>
      </c>
      <c r="AJ146" s="31">
        <v>0</v>
      </c>
      <c r="AK146" s="31">
        <v>13724.980000000001</v>
      </c>
      <c r="AL146" s="31">
        <v>593197.47803536744</v>
      </c>
      <c r="AM146" s="31">
        <v>409476.02317192819</v>
      </c>
      <c r="AN146" s="31">
        <v>380894.57151725778</v>
      </c>
      <c r="AO146" s="31">
        <f t="shared" si="14"/>
        <v>6180162.6453803545</v>
      </c>
      <c r="AP146" s="31">
        <v>137218.42000000001</v>
      </c>
      <c r="AR146" s="42" t="s">
        <v>501</v>
      </c>
      <c r="AS146" s="42" t="s">
        <v>502</v>
      </c>
      <c r="AT146" s="43" t="s">
        <v>1276</v>
      </c>
      <c r="AU146" s="44">
        <v>34</v>
      </c>
      <c r="AV146" s="31">
        <v>4489761.4732171772</v>
      </c>
      <c r="AW146" s="31">
        <v>244916.26999999996</v>
      </c>
      <c r="AX146" s="31">
        <v>0</v>
      </c>
      <c r="AY146" s="31">
        <v>13976.880000000001</v>
      </c>
      <c r="AZ146" s="31">
        <v>604167.30132787477</v>
      </c>
      <c r="BA146" s="31">
        <v>409498.22348225821</v>
      </c>
      <c r="BB146" s="31">
        <v>387947.7010472453</v>
      </c>
      <c r="BC146" s="31">
        <f t="shared" si="15"/>
        <v>6290038.289074556</v>
      </c>
      <c r="BD146" s="31">
        <v>139770.44</v>
      </c>
    </row>
    <row r="147" spans="2:56">
      <c r="B147" s="42" t="s">
        <v>433</v>
      </c>
      <c r="C147" s="42" t="s">
        <v>434</v>
      </c>
      <c r="D147" s="43" t="s">
        <v>1049</v>
      </c>
      <c r="E147" s="44">
        <v>34</v>
      </c>
      <c r="F147" s="31">
        <v>88195790.149863452</v>
      </c>
      <c r="G147" s="31">
        <v>3570537.05</v>
      </c>
      <c r="H147" s="31">
        <v>1850265.23</v>
      </c>
      <c r="I147" s="31">
        <v>317699.84999999998</v>
      </c>
      <c r="J147" s="31">
        <v>14588795.008414406</v>
      </c>
      <c r="K147" s="31">
        <v>7780243.1230761921</v>
      </c>
      <c r="L147" s="31">
        <v>7790228.292259885</v>
      </c>
      <c r="M147" s="31">
        <f t="shared" si="12"/>
        <v>126175009.74361393</v>
      </c>
      <c r="N147" s="31">
        <v>2081451.04</v>
      </c>
      <c r="P147" s="42" t="s">
        <v>433</v>
      </c>
      <c r="Q147" s="42" t="s">
        <v>434</v>
      </c>
      <c r="R147" s="43" t="s">
        <v>1050</v>
      </c>
      <c r="S147" s="44">
        <v>34</v>
      </c>
      <c r="T147" s="31">
        <v>94245301.088473871</v>
      </c>
      <c r="U147" s="31">
        <v>3800513.2699999996</v>
      </c>
      <c r="V147" s="31">
        <v>1953440.76</v>
      </c>
      <c r="W147" s="31">
        <v>335415.61000000004</v>
      </c>
      <c r="X147" s="31">
        <v>15350129.722830798</v>
      </c>
      <c r="Y147" s="31">
        <v>7797411.1474551568</v>
      </c>
      <c r="Z147" s="31">
        <v>8293514.9438315164</v>
      </c>
      <c r="AA147" s="31">
        <f t="shared" si="13"/>
        <v>133942370.72259134</v>
      </c>
      <c r="AB147" s="31">
        <v>2166644.1799999997</v>
      </c>
      <c r="AD147" s="42" t="s">
        <v>433</v>
      </c>
      <c r="AE147" s="42" t="s">
        <v>434</v>
      </c>
      <c r="AF147" s="43" t="s">
        <v>1275</v>
      </c>
      <c r="AG147" s="44">
        <v>34</v>
      </c>
      <c r="AH147" s="31">
        <v>95964072.297804594</v>
      </c>
      <c r="AI147" s="31">
        <v>3867403.5599999996</v>
      </c>
      <c r="AJ147" s="31">
        <v>1988059.02</v>
      </c>
      <c r="AK147" s="31">
        <v>341359.73000000004</v>
      </c>
      <c r="AL147" s="31">
        <v>15623157.503960293</v>
      </c>
      <c r="AM147" s="31">
        <v>7784016.5626753569</v>
      </c>
      <c r="AN147" s="31">
        <v>8441221.4231193028</v>
      </c>
      <c r="AO147" s="31">
        <f t="shared" si="14"/>
        <v>136214792.02755955</v>
      </c>
      <c r="AP147" s="31">
        <v>2205501.9299999997</v>
      </c>
      <c r="AR147" s="42" t="s">
        <v>433</v>
      </c>
      <c r="AS147" s="42" t="s">
        <v>434</v>
      </c>
      <c r="AT147" s="43" t="s">
        <v>1276</v>
      </c>
      <c r="AU147" s="44">
        <v>34</v>
      </c>
      <c r="AV147" s="31">
        <v>97801962.340826929</v>
      </c>
      <c r="AW147" s="31">
        <v>3939043.04</v>
      </c>
      <c r="AX147" s="31">
        <v>2025135.1600000001</v>
      </c>
      <c r="AY147" s="31">
        <v>347725.89000000007</v>
      </c>
      <c r="AZ147" s="31">
        <v>15915569.048286997</v>
      </c>
      <c r="BA147" s="31">
        <v>7784399.2650976367</v>
      </c>
      <c r="BB147" s="31">
        <v>8599410.6053563189</v>
      </c>
      <c r="BC147" s="31">
        <f t="shared" si="15"/>
        <v>138660363.93956789</v>
      </c>
      <c r="BD147" s="31">
        <v>2247118.59</v>
      </c>
    </row>
    <row r="148" spans="2:56">
      <c r="B148" s="42" t="s">
        <v>147</v>
      </c>
      <c r="C148" s="42" t="s">
        <v>148</v>
      </c>
      <c r="D148" s="43" t="s">
        <v>1049</v>
      </c>
      <c r="E148" s="44">
        <v>34</v>
      </c>
      <c r="F148" s="31">
        <v>2573126.4207651331</v>
      </c>
      <c r="G148" s="31">
        <v>110597.48999999999</v>
      </c>
      <c r="H148" s="31">
        <v>2825.85</v>
      </c>
      <c r="I148" s="31">
        <v>8185.1900000000005</v>
      </c>
      <c r="J148" s="31">
        <v>395401.78571019846</v>
      </c>
      <c r="K148" s="31">
        <v>213766.33242272781</v>
      </c>
      <c r="L148" s="31">
        <v>0</v>
      </c>
      <c r="M148" s="31">
        <f t="shared" si="12"/>
        <v>3387119.1688980591</v>
      </c>
      <c r="N148" s="31">
        <v>83216.100000000006</v>
      </c>
      <c r="P148" s="42" t="s">
        <v>147</v>
      </c>
      <c r="Q148" s="42" t="s">
        <v>148</v>
      </c>
      <c r="R148" s="43" t="s">
        <v>1050</v>
      </c>
      <c r="S148" s="44">
        <v>34</v>
      </c>
      <c r="T148" s="31">
        <v>2778318.117849241</v>
      </c>
      <c r="U148" s="31">
        <v>119159.33000000003</v>
      </c>
      <c r="V148" s="31">
        <v>3009.2700000000004</v>
      </c>
      <c r="W148" s="31">
        <v>8716.48</v>
      </c>
      <c r="X148" s="31">
        <v>418842.13566468336</v>
      </c>
      <c r="Y148" s="31">
        <v>214331.23685398162</v>
      </c>
      <c r="Z148" s="31">
        <v>0</v>
      </c>
      <c r="AA148" s="31">
        <f t="shared" si="13"/>
        <v>3629611.1103679063</v>
      </c>
      <c r="AB148" s="31">
        <v>87234.54</v>
      </c>
      <c r="AD148" s="42" t="s">
        <v>147</v>
      </c>
      <c r="AE148" s="42" t="s">
        <v>148</v>
      </c>
      <c r="AF148" s="43" t="s">
        <v>1275</v>
      </c>
      <c r="AG148" s="44">
        <v>34</v>
      </c>
      <c r="AH148" s="31">
        <v>2826997.2350160349</v>
      </c>
      <c r="AI148" s="31">
        <v>121216.16000000002</v>
      </c>
      <c r="AJ148" s="31">
        <v>3061.73</v>
      </c>
      <c r="AK148" s="31">
        <v>8868.4499999999989</v>
      </c>
      <c r="AL148" s="31">
        <v>426189.38556002633</v>
      </c>
      <c r="AM148" s="31">
        <v>213902.06184443165</v>
      </c>
      <c r="AN148" s="31">
        <v>0</v>
      </c>
      <c r="AO148" s="31">
        <f t="shared" si="14"/>
        <v>3689011.1824204936</v>
      </c>
      <c r="AP148" s="31">
        <v>88776.159999999989</v>
      </c>
      <c r="AR148" s="42" t="s">
        <v>147</v>
      </c>
      <c r="AS148" s="42" t="s">
        <v>148</v>
      </c>
      <c r="AT148" s="43" t="s">
        <v>1276</v>
      </c>
      <c r="AU148" s="44">
        <v>34</v>
      </c>
      <c r="AV148" s="31">
        <v>2879131.8958509201</v>
      </c>
      <c r="AW148" s="31">
        <v>123419.00000000003</v>
      </c>
      <c r="AX148" s="31">
        <v>3117.9300000000003</v>
      </c>
      <c r="AY148" s="31">
        <v>9031.2099999999991</v>
      </c>
      <c r="AZ148" s="31">
        <v>434058.18813645927</v>
      </c>
      <c r="BA148" s="31">
        <v>213914.32398756163</v>
      </c>
      <c r="BB148" s="31">
        <v>0</v>
      </c>
      <c r="BC148" s="31">
        <f t="shared" si="15"/>
        <v>3753099.7979749413</v>
      </c>
      <c r="BD148" s="31">
        <v>90427.25</v>
      </c>
    </row>
    <row r="149" spans="2:56">
      <c r="B149" s="42" t="s">
        <v>461</v>
      </c>
      <c r="C149" s="42" t="s">
        <v>462</v>
      </c>
      <c r="D149" s="43" t="s">
        <v>1049</v>
      </c>
      <c r="E149" s="44">
        <v>34</v>
      </c>
      <c r="F149" s="31">
        <v>84013450.044301584</v>
      </c>
      <c r="G149" s="31">
        <v>1925840.71</v>
      </c>
      <c r="H149" s="31">
        <v>495331.4599999999</v>
      </c>
      <c r="I149" s="31">
        <v>295887.42</v>
      </c>
      <c r="J149" s="31">
        <v>12890212.239045991</v>
      </c>
      <c r="K149" s="31">
        <v>5434454.7534445794</v>
      </c>
      <c r="L149" s="31">
        <v>6649331.8178424779</v>
      </c>
      <c r="M149" s="31">
        <f t="shared" si="12"/>
        <v>111808719.72463463</v>
      </c>
      <c r="N149" s="31">
        <v>104211.28</v>
      </c>
      <c r="P149" s="42" t="s">
        <v>461</v>
      </c>
      <c r="Q149" s="42" t="s">
        <v>462</v>
      </c>
      <c r="R149" s="43" t="s">
        <v>1050</v>
      </c>
      <c r="S149" s="44">
        <v>34</v>
      </c>
      <c r="T149" s="31">
        <v>88888860.675209418</v>
      </c>
      <c r="U149" s="31">
        <v>2034657.02</v>
      </c>
      <c r="V149" s="31">
        <v>522887.46</v>
      </c>
      <c r="W149" s="31">
        <v>312348.06</v>
      </c>
      <c r="X149" s="31">
        <v>13558621.148321735</v>
      </c>
      <c r="Y149" s="31">
        <v>5448456.2158338167</v>
      </c>
      <c r="Z149" s="31">
        <v>7008533.0942683723</v>
      </c>
      <c r="AA149" s="31">
        <f t="shared" si="13"/>
        <v>117882693.25363332</v>
      </c>
      <c r="AB149" s="31">
        <v>108329.58</v>
      </c>
      <c r="AD149" s="42" t="s">
        <v>461</v>
      </c>
      <c r="AE149" s="42" t="s">
        <v>462</v>
      </c>
      <c r="AF149" s="43" t="s">
        <v>1275</v>
      </c>
      <c r="AG149" s="44">
        <v>34</v>
      </c>
      <c r="AH149" s="31">
        <v>90520773.774953082</v>
      </c>
      <c r="AI149" s="31">
        <v>2070234.49</v>
      </c>
      <c r="AJ149" s="31">
        <v>532036.9800000001</v>
      </c>
      <c r="AK149" s="31">
        <v>317813.55</v>
      </c>
      <c r="AL149" s="31">
        <v>13797484.325617671</v>
      </c>
      <c r="AM149" s="31">
        <v>5437748.8233499164</v>
      </c>
      <c r="AN149" s="31">
        <v>7132183.8256711066</v>
      </c>
      <c r="AO149" s="31">
        <f t="shared" si="14"/>
        <v>119918526.04959178</v>
      </c>
      <c r="AP149" s="31">
        <v>110250.28</v>
      </c>
      <c r="AR149" s="42" t="s">
        <v>461</v>
      </c>
      <c r="AS149" s="42" t="s">
        <v>462</v>
      </c>
      <c r="AT149" s="43" t="s">
        <v>1276</v>
      </c>
      <c r="AU149" s="44">
        <v>34</v>
      </c>
      <c r="AV149" s="31">
        <v>92264186.339657739</v>
      </c>
      <c r="AW149" s="31">
        <v>2108337.9500000002</v>
      </c>
      <c r="AX149" s="31">
        <v>541836.12</v>
      </c>
      <c r="AY149" s="31">
        <v>323667.09000000003</v>
      </c>
      <c r="AZ149" s="31">
        <v>14053305.920812618</v>
      </c>
      <c r="BA149" s="31">
        <v>5438054.7488494562</v>
      </c>
      <c r="BB149" s="31">
        <v>7264609.6387498323</v>
      </c>
      <c r="BC149" s="31">
        <f t="shared" si="15"/>
        <v>122106305.14806966</v>
      </c>
      <c r="BD149" s="31">
        <v>112307.34</v>
      </c>
    </row>
    <row r="150" spans="2:56">
      <c r="B150" s="42" t="s">
        <v>459</v>
      </c>
      <c r="C150" s="42" t="s">
        <v>460</v>
      </c>
      <c r="D150" s="43" t="s">
        <v>1049</v>
      </c>
      <c r="E150" s="44">
        <v>34</v>
      </c>
      <c r="F150" s="31">
        <v>14281584.423680754</v>
      </c>
      <c r="G150" s="31">
        <v>418808.85999999987</v>
      </c>
      <c r="H150" s="31">
        <v>28355.84</v>
      </c>
      <c r="I150" s="31">
        <v>49208.59</v>
      </c>
      <c r="J150" s="31">
        <v>2275776.646159648</v>
      </c>
      <c r="K150" s="31">
        <v>1153661.7134751424</v>
      </c>
      <c r="L150" s="31">
        <v>1157588.6523058165</v>
      </c>
      <c r="M150" s="31">
        <f t="shared" si="12"/>
        <v>19371318.505621359</v>
      </c>
      <c r="N150" s="31">
        <v>6333.78</v>
      </c>
      <c r="P150" s="42" t="s">
        <v>459</v>
      </c>
      <c r="Q150" s="42" t="s">
        <v>460</v>
      </c>
      <c r="R150" s="43" t="s">
        <v>1050</v>
      </c>
      <c r="S150" s="44">
        <v>34</v>
      </c>
      <c r="T150" s="31">
        <v>15208106.718540628</v>
      </c>
      <c r="U150" s="31">
        <v>446098.64999999991</v>
      </c>
      <c r="V150" s="31">
        <v>30196.400000000001</v>
      </c>
      <c r="W150" s="31">
        <v>52402.659999999996</v>
      </c>
      <c r="X150" s="31">
        <v>2410748.1019321159</v>
      </c>
      <c r="Y150" s="31">
        <v>1156099.4702142794</v>
      </c>
      <c r="Z150" s="31">
        <v>1228742.993209118</v>
      </c>
      <c r="AA150" s="31">
        <f t="shared" si="13"/>
        <v>20539034.633896142</v>
      </c>
      <c r="AB150" s="31">
        <v>6639.64</v>
      </c>
      <c r="AD150" s="42" t="s">
        <v>459</v>
      </c>
      <c r="AE150" s="42" t="s">
        <v>460</v>
      </c>
      <c r="AF150" s="43" t="s">
        <v>1275</v>
      </c>
      <c r="AG150" s="44">
        <v>34</v>
      </c>
      <c r="AH150" s="31">
        <v>15483439.564342663</v>
      </c>
      <c r="AI150" s="31">
        <v>453874.72999999992</v>
      </c>
      <c r="AJ150" s="31">
        <v>30722.860000000004</v>
      </c>
      <c r="AK150" s="31">
        <v>53316.299999999996</v>
      </c>
      <c r="AL150" s="31">
        <v>2453086.6336223241</v>
      </c>
      <c r="AM150" s="31">
        <v>1154247.4325705359</v>
      </c>
      <c r="AN150" s="31">
        <v>1250364.5424604164</v>
      </c>
      <c r="AO150" s="31">
        <f t="shared" si="14"/>
        <v>20885809.032995939</v>
      </c>
      <c r="AP150" s="31">
        <v>6756.97</v>
      </c>
      <c r="AR150" s="42" t="s">
        <v>459</v>
      </c>
      <c r="AS150" s="42" t="s">
        <v>460</v>
      </c>
      <c r="AT150" s="43" t="s">
        <v>1276</v>
      </c>
      <c r="AU150" s="44">
        <v>34</v>
      </c>
      <c r="AV150" s="31">
        <v>15777772.992600869</v>
      </c>
      <c r="AW150" s="31">
        <v>462202.90999999992</v>
      </c>
      <c r="AX150" s="31">
        <v>31286.720000000001</v>
      </c>
      <c r="AY150" s="31">
        <v>54294.799999999996</v>
      </c>
      <c r="AZ150" s="31">
        <v>2498430.9698128263</v>
      </c>
      <c r="BA150" s="31">
        <v>1154300.3479317855</v>
      </c>
      <c r="BB150" s="31">
        <v>1273520.4839841567</v>
      </c>
      <c r="BC150" s="31">
        <f t="shared" si="15"/>
        <v>21258691.874329641</v>
      </c>
      <c r="BD150" s="31">
        <v>6882.65</v>
      </c>
    </row>
    <row r="151" spans="2:56">
      <c r="B151" s="42" t="s">
        <v>189</v>
      </c>
      <c r="C151" s="42" t="s">
        <v>190</v>
      </c>
      <c r="D151" s="43" t="s">
        <v>1049</v>
      </c>
      <c r="E151" s="44">
        <v>34</v>
      </c>
      <c r="F151" s="31">
        <v>35550269.369757548</v>
      </c>
      <c r="G151" s="31">
        <v>99369.8</v>
      </c>
      <c r="H151" s="31">
        <v>280945.52999999997</v>
      </c>
      <c r="I151" s="31">
        <v>129745.33</v>
      </c>
      <c r="J151" s="31">
        <v>4023710.8173615173</v>
      </c>
      <c r="K151" s="31">
        <v>1713918.2668713848</v>
      </c>
      <c r="L151" s="31">
        <v>3052215.7787711304</v>
      </c>
      <c r="M151" s="31">
        <f t="shared" si="12"/>
        <v>44850174.892761581</v>
      </c>
      <c r="N151" s="31">
        <v>0</v>
      </c>
      <c r="P151" s="42" t="s">
        <v>189</v>
      </c>
      <c r="Q151" s="42" t="s">
        <v>190</v>
      </c>
      <c r="R151" s="43" t="s">
        <v>1050</v>
      </c>
      <c r="S151" s="44">
        <v>34</v>
      </c>
      <c r="T151" s="31">
        <v>37812686.181334801</v>
      </c>
      <c r="U151" s="31">
        <v>105712.68999999999</v>
      </c>
      <c r="V151" s="31">
        <v>298878.64000000007</v>
      </c>
      <c r="W151" s="31">
        <v>138027.15</v>
      </c>
      <c r="X151" s="31">
        <v>4261230.919202867</v>
      </c>
      <c r="Y151" s="31">
        <v>1715780.3610920869</v>
      </c>
      <c r="Z151" s="31">
        <v>3238114.6100513404</v>
      </c>
      <c r="AA151" s="31">
        <f t="shared" si="13"/>
        <v>47570430.551681094</v>
      </c>
      <c r="AB151" s="31">
        <v>0</v>
      </c>
      <c r="AD151" s="42" t="s">
        <v>189</v>
      </c>
      <c r="AE151" s="42" t="s">
        <v>190</v>
      </c>
      <c r="AF151" s="43" t="s">
        <v>1275</v>
      </c>
      <c r="AG151" s="44">
        <v>34</v>
      </c>
      <c r="AH151" s="31">
        <v>38491025.830526084</v>
      </c>
      <c r="AI151" s="31">
        <v>107591.33</v>
      </c>
      <c r="AJ151" s="31">
        <v>304190.08000000002</v>
      </c>
      <c r="AK151" s="31">
        <v>140480.04999999999</v>
      </c>
      <c r="AL151" s="31">
        <v>4337206.100967939</v>
      </c>
      <c r="AM151" s="31">
        <v>1714322.1234957955</v>
      </c>
      <c r="AN151" s="31">
        <v>3295912.5037655141</v>
      </c>
      <c r="AO151" s="31">
        <f t="shared" si="14"/>
        <v>48390728.018755324</v>
      </c>
      <c r="AP151" s="31">
        <v>0</v>
      </c>
      <c r="AR151" s="42" t="s">
        <v>189</v>
      </c>
      <c r="AS151" s="42" t="s">
        <v>190</v>
      </c>
      <c r="AT151" s="43" t="s">
        <v>1276</v>
      </c>
      <c r="AU151" s="44">
        <v>34</v>
      </c>
      <c r="AV151" s="31">
        <v>39217208.23758319</v>
      </c>
      <c r="AW151" s="31">
        <v>109603.34999999999</v>
      </c>
      <c r="AX151" s="31">
        <v>309878.63000000006</v>
      </c>
      <c r="AY151" s="31">
        <v>143107.13</v>
      </c>
      <c r="AZ151" s="31">
        <v>4418575.2705245949</v>
      </c>
      <c r="BA151" s="31">
        <v>1714363.787427118</v>
      </c>
      <c r="BB151" s="31">
        <v>3357812.3236709931</v>
      </c>
      <c r="BC151" s="31">
        <f t="shared" si="15"/>
        <v>49270548.729205906</v>
      </c>
      <c r="BD151" s="31">
        <v>0</v>
      </c>
    </row>
    <row r="152" spans="2:56">
      <c r="B152" s="42" t="s">
        <v>547</v>
      </c>
      <c r="C152" s="42" t="s">
        <v>548</v>
      </c>
      <c r="D152" s="43" t="s">
        <v>1049</v>
      </c>
      <c r="E152" s="44">
        <v>34</v>
      </c>
      <c r="F152" s="31">
        <v>15099250.123553924</v>
      </c>
      <c r="G152" s="31">
        <v>431748.79</v>
      </c>
      <c r="H152" s="31">
        <v>298058.50999999995</v>
      </c>
      <c r="I152" s="31">
        <v>51403.549999999996</v>
      </c>
      <c r="J152" s="31">
        <v>1877838.7227489632</v>
      </c>
      <c r="K152" s="31">
        <v>1004557.9005241829</v>
      </c>
      <c r="L152" s="31">
        <v>571186.91942863446</v>
      </c>
      <c r="M152" s="31">
        <f t="shared" si="12"/>
        <v>19334044.516255707</v>
      </c>
      <c r="N152" s="31">
        <v>0</v>
      </c>
      <c r="P152" s="42" t="s">
        <v>547</v>
      </c>
      <c r="Q152" s="42" t="s">
        <v>548</v>
      </c>
      <c r="R152" s="43" t="s">
        <v>1050</v>
      </c>
      <c r="S152" s="44">
        <v>34</v>
      </c>
      <c r="T152" s="31">
        <v>16083593.110693414</v>
      </c>
      <c r="U152" s="31">
        <v>459602.49</v>
      </c>
      <c r="V152" s="31">
        <v>317287.38</v>
      </c>
      <c r="W152" s="31">
        <v>54719.790000000008</v>
      </c>
      <c r="X152" s="31">
        <v>1989048.6481081152</v>
      </c>
      <c r="Y152" s="31">
        <v>1005419.1963387213</v>
      </c>
      <c r="Z152" s="31">
        <v>606180.89271325141</v>
      </c>
      <c r="AA152" s="31">
        <f t="shared" si="13"/>
        <v>20515851.507853501</v>
      </c>
      <c r="AB152" s="31">
        <v>0</v>
      </c>
      <c r="AD152" s="42" t="s">
        <v>547</v>
      </c>
      <c r="AE152" s="42" t="s">
        <v>548</v>
      </c>
      <c r="AF152" s="43" t="s">
        <v>1275</v>
      </c>
      <c r="AG152" s="44">
        <v>34</v>
      </c>
      <c r="AH152" s="31">
        <v>16389219.515268864</v>
      </c>
      <c r="AI152" s="31">
        <v>467672.27</v>
      </c>
      <c r="AJ152" s="31">
        <v>322858.36</v>
      </c>
      <c r="AK152" s="31">
        <v>55680.570000000014</v>
      </c>
      <c r="AL152" s="31">
        <v>2024184.769741636</v>
      </c>
      <c r="AM152" s="31">
        <v>1004757.6631251971</v>
      </c>
      <c r="AN152" s="31">
        <v>616902.69586070802</v>
      </c>
      <c r="AO152" s="31">
        <f t="shared" si="14"/>
        <v>20881275.843996406</v>
      </c>
      <c r="AP152" s="31">
        <v>0</v>
      </c>
      <c r="AR152" s="42" t="s">
        <v>547</v>
      </c>
      <c r="AS152" s="42" t="s">
        <v>548</v>
      </c>
      <c r="AT152" s="43" t="s">
        <v>1276</v>
      </c>
      <c r="AU152" s="44">
        <v>34</v>
      </c>
      <c r="AV152" s="31">
        <v>16715130.768042937</v>
      </c>
      <c r="AW152" s="31">
        <v>476314.99</v>
      </c>
      <c r="AX152" s="31">
        <v>328824.89</v>
      </c>
      <c r="AY152" s="31">
        <v>56709.560000000005</v>
      </c>
      <c r="AZ152" s="31">
        <v>2061815.4654859421</v>
      </c>
      <c r="BA152" s="31">
        <v>1004776.5640741549</v>
      </c>
      <c r="BB152" s="31">
        <v>628385.39797943411</v>
      </c>
      <c r="BC152" s="31">
        <f t="shared" si="15"/>
        <v>21271957.635582466</v>
      </c>
      <c r="BD152" s="31">
        <v>0</v>
      </c>
    </row>
    <row r="153" spans="2:56">
      <c r="B153" s="42" t="s">
        <v>337</v>
      </c>
      <c r="C153" s="42" t="s">
        <v>338</v>
      </c>
      <c r="D153" s="43" t="s">
        <v>1049</v>
      </c>
      <c r="E153" s="44">
        <v>34</v>
      </c>
      <c r="F153" s="31">
        <v>6157014.5915527493</v>
      </c>
      <c r="G153" s="31">
        <v>175689.22999999998</v>
      </c>
      <c r="H153" s="31">
        <v>36541.030000000006</v>
      </c>
      <c r="I153" s="31">
        <v>20073.189999999999</v>
      </c>
      <c r="J153" s="31">
        <v>759823.98901455023</v>
      </c>
      <c r="K153" s="31">
        <v>625921.68649680004</v>
      </c>
      <c r="L153" s="31">
        <v>347571.48274217802</v>
      </c>
      <c r="M153" s="31">
        <f t="shared" si="12"/>
        <v>8134620.6498062788</v>
      </c>
      <c r="N153" s="31">
        <v>11985.449999999999</v>
      </c>
      <c r="P153" s="42" t="s">
        <v>337</v>
      </c>
      <c r="Q153" s="42" t="s">
        <v>338</v>
      </c>
      <c r="R153" s="43" t="s">
        <v>1050</v>
      </c>
      <c r="S153" s="44">
        <v>34</v>
      </c>
      <c r="T153" s="31">
        <v>6554211.0833730185</v>
      </c>
      <c r="U153" s="31">
        <v>187292.28</v>
      </c>
      <c r="V153" s="31">
        <v>38912.87999999999</v>
      </c>
      <c r="W153" s="31">
        <v>21376.140000000003</v>
      </c>
      <c r="X153" s="31">
        <v>804897.80339514452</v>
      </c>
      <c r="Y153" s="31">
        <v>627991.9223103245</v>
      </c>
      <c r="Z153" s="31">
        <v>368935.66981845762</v>
      </c>
      <c r="AA153" s="31">
        <f t="shared" si="13"/>
        <v>8616181.9988969453</v>
      </c>
      <c r="AB153" s="31">
        <v>12564.219999999998</v>
      </c>
      <c r="AD153" s="42" t="s">
        <v>337</v>
      </c>
      <c r="AE153" s="42" t="s">
        <v>338</v>
      </c>
      <c r="AF153" s="43" t="s">
        <v>1275</v>
      </c>
      <c r="AG153" s="44">
        <v>34</v>
      </c>
      <c r="AH153" s="31">
        <v>6671721.2028597053</v>
      </c>
      <c r="AI153" s="31">
        <v>190554.70999999996</v>
      </c>
      <c r="AJ153" s="31">
        <v>39591.319999999992</v>
      </c>
      <c r="AK153" s="31">
        <v>21748.83</v>
      </c>
      <c r="AL153" s="31">
        <v>819035.77718042408</v>
      </c>
      <c r="AM153" s="31">
        <v>626419.10144739028</v>
      </c>
      <c r="AN153" s="31">
        <v>375427.51638821</v>
      </c>
      <c r="AO153" s="31">
        <f t="shared" si="14"/>
        <v>8757284.7178757302</v>
      </c>
      <c r="AP153" s="31">
        <v>12786.26</v>
      </c>
      <c r="AR153" s="42" t="s">
        <v>337</v>
      </c>
      <c r="AS153" s="42" t="s">
        <v>338</v>
      </c>
      <c r="AT153" s="43" t="s">
        <v>1276</v>
      </c>
      <c r="AU153" s="44">
        <v>34</v>
      </c>
      <c r="AV153" s="31">
        <v>6797408.2236552378</v>
      </c>
      <c r="AW153" s="31">
        <v>194048.77000000002</v>
      </c>
      <c r="AX153" s="31">
        <v>40317.929999999993</v>
      </c>
      <c r="AY153" s="31">
        <v>22147.98</v>
      </c>
      <c r="AZ153" s="31">
        <v>834177.4788895424</v>
      </c>
      <c r="BA153" s="31">
        <v>626464.03918633121</v>
      </c>
      <c r="BB153" s="31">
        <v>382380.06258861464</v>
      </c>
      <c r="BC153" s="31">
        <f t="shared" si="15"/>
        <v>8909968.5443197284</v>
      </c>
      <c r="BD153" s="31">
        <v>13024.059999999998</v>
      </c>
    </row>
    <row r="154" spans="2:56">
      <c r="B154" s="42" t="s">
        <v>419</v>
      </c>
      <c r="C154" s="42" t="s">
        <v>420</v>
      </c>
      <c r="D154" s="43" t="s">
        <v>1049</v>
      </c>
      <c r="E154" s="44">
        <v>34</v>
      </c>
      <c r="F154" s="31">
        <v>1844099.5345432186</v>
      </c>
      <c r="G154" s="31">
        <v>8282.64</v>
      </c>
      <c r="H154" s="31">
        <v>0</v>
      </c>
      <c r="I154" s="31">
        <v>0</v>
      </c>
      <c r="J154" s="31">
        <v>31456.565223040318</v>
      </c>
      <c r="K154" s="31">
        <v>97432.8</v>
      </c>
      <c r="L154" s="31">
        <v>0</v>
      </c>
      <c r="M154" s="31">
        <f t="shared" si="12"/>
        <v>1991015.8097662588</v>
      </c>
      <c r="N154" s="31">
        <v>9744.27</v>
      </c>
      <c r="P154" s="42" t="s">
        <v>419</v>
      </c>
      <c r="Q154" s="42" t="s">
        <v>420</v>
      </c>
      <c r="R154" s="43" t="s">
        <v>1050</v>
      </c>
      <c r="S154" s="44">
        <v>34</v>
      </c>
      <c r="T154" s="31">
        <v>1956973.6574877552</v>
      </c>
      <c r="U154" s="31">
        <v>8982.1899999999987</v>
      </c>
      <c r="V154" s="31">
        <v>0</v>
      </c>
      <c r="W154" s="31">
        <v>0</v>
      </c>
      <c r="X154" s="31">
        <v>33321.395837411561</v>
      </c>
      <c r="Y154" s="31">
        <v>97432.8</v>
      </c>
      <c r="Z154" s="31">
        <v>0</v>
      </c>
      <c r="AA154" s="31">
        <f t="shared" si="13"/>
        <v>2106924.8633251665</v>
      </c>
      <c r="AB154" s="31">
        <v>10214.82</v>
      </c>
      <c r="AD154" s="42" t="s">
        <v>419</v>
      </c>
      <c r="AE154" s="42" t="s">
        <v>420</v>
      </c>
      <c r="AF154" s="43" t="s">
        <v>1275</v>
      </c>
      <c r="AG154" s="44">
        <v>34</v>
      </c>
      <c r="AH154" s="31">
        <v>1990705.2310733031</v>
      </c>
      <c r="AI154" s="31">
        <v>9136.369999999999</v>
      </c>
      <c r="AJ154" s="31">
        <v>0</v>
      </c>
      <c r="AK154" s="31">
        <v>0</v>
      </c>
      <c r="AL154" s="31">
        <v>33906.205557506684</v>
      </c>
      <c r="AM154" s="31">
        <v>97432.8</v>
      </c>
      <c r="AN154" s="31">
        <v>0</v>
      </c>
      <c r="AO154" s="31">
        <f t="shared" si="14"/>
        <v>2141575.9466308099</v>
      </c>
      <c r="AP154" s="31">
        <v>10395.34</v>
      </c>
      <c r="AR154" s="42" t="s">
        <v>419</v>
      </c>
      <c r="AS154" s="42" t="s">
        <v>420</v>
      </c>
      <c r="AT154" s="43" t="s">
        <v>1276</v>
      </c>
      <c r="AU154" s="44">
        <v>34</v>
      </c>
      <c r="AV154" s="31">
        <v>2026836.6640914143</v>
      </c>
      <c r="AW154" s="31">
        <v>9301.48</v>
      </c>
      <c r="AX154" s="31">
        <v>0</v>
      </c>
      <c r="AY154" s="31">
        <v>0</v>
      </c>
      <c r="AZ154" s="31">
        <v>34532.531029012564</v>
      </c>
      <c r="BA154" s="31">
        <v>97432.8</v>
      </c>
      <c r="BB154" s="31">
        <v>0</v>
      </c>
      <c r="BC154" s="31">
        <f t="shared" si="15"/>
        <v>2178692.1551204268</v>
      </c>
      <c r="BD154" s="31">
        <v>10588.68</v>
      </c>
    </row>
    <row r="155" spans="2:56">
      <c r="B155" s="42" t="s">
        <v>437</v>
      </c>
      <c r="C155" s="42" t="s">
        <v>438</v>
      </c>
      <c r="D155" s="43" t="s">
        <v>1049</v>
      </c>
      <c r="E155" s="44">
        <v>34</v>
      </c>
      <c r="F155" s="31">
        <v>51326406.287598133</v>
      </c>
      <c r="G155" s="31">
        <v>1305696.58</v>
      </c>
      <c r="H155" s="31">
        <v>1196276.8800000001</v>
      </c>
      <c r="I155" s="31">
        <v>188350.95</v>
      </c>
      <c r="J155" s="31">
        <v>7266986.8934142021</v>
      </c>
      <c r="K155" s="31">
        <v>3185444.8858588627</v>
      </c>
      <c r="L155" s="31">
        <v>4599506.8704378568</v>
      </c>
      <c r="M155" s="31">
        <f t="shared" si="12"/>
        <v>69265715.14730905</v>
      </c>
      <c r="N155" s="31">
        <v>197045.79999999996</v>
      </c>
      <c r="P155" s="42" t="s">
        <v>437</v>
      </c>
      <c r="Q155" s="42" t="s">
        <v>438</v>
      </c>
      <c r="R155" s="43" t="s">
        <v>1050</v>
      </c>
      <c r="S155" s="44">
        <v>34</v>
      </c>
      <c r="T155" s="31">
        <v>54645492.359621823</v>
      </c>
      <c r="U155" s="31">
        <v>1391929.5199999998</v>
      </c>
      <c r="V155" s="31">
        <v>1272636.73</v>
      </c>
      <c r="W155" s="31">
        <v>200373.59999999998</v>
      </c>
      <c r="X155" s="31">
        <v>7695877.6538886223</v>
      </c>
      <c r="Y155" s="31">
        <v>3187565.0804141904</v>
      </c>
      <c r="Z155" s="31">
        <v>4879644.7267507501</v>
      </c>
      <c r="AA155" s="31">
        <f t="shared" si="13"/>
        <v>73480254.450675383</v>
      </c>
      <c r="AB155" s="31">
        <v>206734.77999999997</v>
      </c>
      <c r="AD155" s="42" t="s">
        <v>437</v>
      </c>
      <c r="AE155" s="42" t="s">
        <v>438</v>
      </c>
      <c r="AF155" s="43" t="s">
        <v>1275</v>
      </c>
      <c r="AG155" s="44">
        <v>34</v>
      </c>
      <c r="AH155" s="31">
        <v>55690460.266868487</v>
      </c>
      <c r="AI155" s="31">
        <v>1416622.72</v>
      </c>
      <c r="AJ155" s="31">
        <v>1295253.05</v>
      </c>
      <c r="AK155" s="31">
        <v>203934.49</v>
      </c>
      <c r="AL155" s="31">
        <v>7833113.4310517851</v>
      </c>
      <c r="AM155" s="31">
        <v>3185904.7200641832</v>
      </c>
      <c r="AN155" s="31">
        <v>4966742.7915344518</v>
      </c>
      <c r="AO155" s="31">
        <f t="shared" si="14"/>
        <v>74802483.289518893</v>
      </c>
      <c r="AP155" s="31">
        <v>210451.81999999998</v>
      </c>
      <c r="AR155" s="42" t="s">
        <v>437</v>
      </c>
      <c r="AS155" s="42" t="s">
        <v>438</v>
      </c>
      <c r="AT155" s="43" t="s">
        <v>1276</v>
      </c>
      <c r="AU155" s="44">
        <v>34</v>
      </c>
      <c r="AV155" s="31">
        <v>56804889.674721353</v>
      </c>
      <c r="AW155" s="31">
        <v>1443069.12</v>
      </c>
      <c r="AX155" s="31">
        <v>1319475.1300000001</v>
      </c>
      <c r="AY155" s="31">
        <v>207748.21000000002</v>
      </c>
      <c r="AZ155" s="31">
        <v>7980092.7565013049</v>
      </c>
      <c r="BA155" s="31">
        <v>3185952.1589313266</v>
      </c>
      <c r="BB155" s="31">
        <v>5060022.2205249947</v>
      </c>
      <c r="BC155" s="31">
        <f t="shared" si="15"/>
        <v>76215682.050678983</v>
      </c>
      <c r="BD155" s="31">
        <v>214432.77999999997</v>
      </c>
    </row>
    <row r="156" spans="2:56">
      <c r="B156" s="42" t="s">
        <v>149</v>
      </c>
      <c r="C156" s="42" t="s">
        <v>150</v>
      </c>
      <c r="D156" s="43" t="s">
        <v>1049</v>
      </c>
      <c r="E156" s="44">
        <v>34</v>
      </c>
      <c r="F156" s="31">
        <v>10514465.054648466</v>
      </c>
      <c r="G156" s="31">
        <v>319090.32</v>
      </c>
      <c r="H156" s="31">
        <v>42168.749999999993</v>
      </c>
      <c r="I156" s="31">
        <v>39344.04</v>
      </c>
      <c r="J156" s="31">
        <v>1869143.542256271</v>
      </c>
      <c r="K156" s="31">
        <v>597041.3099596122</v>
      </c>
      <c r="L156" s="31">
        <v>1525886.8133305199</v>
      </c>
      <c r="M156" s="31">
        <f t="shared" si="12"/>
        <v>14907139.83019487</v>
      </c>
      <c r="N156" s="31">
        <v>0</v>
      </c>
      <c r="P156" s="42" t="s">
        <v>149</v>
      </c>
      <c r="Q156" s="42" t="s">
        <v>150</v>
      </c>
      <c r="R156" s="43" t="s">
        <v>1050</v>
      </c>
      <c r="S156" s="44">
        <v>34</v>
      </c>
      <c r="T156" s="31">
        <v>11193896.555010552</v>
      </c>
      <c r="U156" s="31">
        <v>339716.64</v>
      </c>
      <c r="V156" s="31">
        <v>44894.57</v>
      </c>
      <c r="W156" s="31">
        <v>41887.279999999999</v>
      </c>
      <c r="X156" s="31">
        <v>1979976.4857283207</v>
      </c>
      <c r="Y156" s="31">
        <v>598643.48603059375</v>
      </c>
      <c r="Z156" s="31">
        <v>1619538.1234296262</v>
      </c>
      <c r="AA156" s="31">
        <f t="shared" si="13"/>
        <v>15818553.140199091</v>
      </c>
      <c r="AB156" s="31">
        <v>0</v>
      </c>
      <c r="AD156" s="42" t="s">
        <v>149</v>
      </c>
      <c r="AE156" s="42" t="s">
        <v>150</v>
      </c>
      <c r="AF156" s="43" t="s">
        <v>1275</v>
      </c>
      <c r="AG156" s="44">
        <v>34</v>
      </c>
      <c r="AH156" s="31">
        <v>11395786.736841388</v>
      </c>
      <c r="AI156" s="31">
        <v>345667.94</v>
      </c>
      <c r="AJ156" s="31">
        <v>45681.060000000005</v>
      </c>
      <c r="AK156" s="31">
        <v>42621.090000000004</v>
      </c>
      <c r="AL156" s="31">
        <v>2014854.9393584761</v>
      </c>
      <c r="AM156" s="31">
        <v>597426.26433339785</v>
      </c>
      <c r="AN156" s="31">
        <v>1648114.2042136893</v>
      </c>
      <c r="AO156" s="31">
        <f t="shared" si="14"/>
        <v>16090152.234746952</v>
      </c>
      <c r="AP156" s="31">
        <v>0</v>
      </c>
      <c r="AR156" s="42" t="s">
        <v>149</v>
      </c>
      <c r="AS156" s="42" t="s">
        <v>150</v>
      </c>
      <c r="AT156" s="43" t="s">
        <v>1276</v>
      </c>
      <c r="AU156" s="44">
        <v>34</v>
      </c>
      <c r="AV156" s="31">
        <v>11611690.34571561</v>
      </c>
      <c r="AW156" s="31">
        <v>352041.79000000004</v>
      </c>
      <c r="AX156" s="31">
        <v>46523.38</v>
      </c>
      <c r="AY156" s="31">
        <v>43406.990000000005</v>
      </c>
      <c r="AZ156" s="31">
        <v>2052209.5856162547</v>
      </c>
      <c r="BA156" s="31">
        <v>597461.0420961749</v>
      </c>
      <c r="BB156" s="31">
        <v>1678718.2346082204</v>
      </c>
      <c r="BC156" s="31">
        <f t="shared" si="15"/>
        <v>16382051.368036263</v>
      </c>
      <c r="BD156" s="31">
        <v>0</v>
      </c>
    </row>
    <row r="157" spans="2:56">
      <c r="B157" s="42" t="s">
        <v>277</v>
      </c>
      <c r="C157" s="42" t="s">
        <v>278</v>
      </c>
      <c r="D157" s="43" t="s">
        <v>1049</v>
      </c>
      <c r="E157" s="44">
        <v>34</v>
      </c>
      <c r="F157" s="31">
        <v>3341744.4737876356</v>
      </c>
      <c r="G157" s="31">
        <v>140025.21000000002</v>
      </c>
      <c r="H157" s="31">
        <v>0</v>
      </c>
      <c r="I157" s="31">
        <v>10718.71</v>
      </c>
      <c r="J157" s="31">
        <v>435725.09957905917</v>
      </c>
      <c r="K157" s="31">
        <v>254336.19515466917</v>
      </c>
      <c r="L157" s="31">
        <v>730697.93245293933</v>
      </c>
      <c r="M157" s="31">
        <f t="shared" si="12"/>
        <v>5024137.4409743035</v>
      </c>
      <c r="N157" s="31">
        <v>110889.81999999999</v>
      </c>
      <c r="P157" s="42" t="s">
        <v>277</v>
      </c>
      <c r="Q157" s="42" t="s">
        <v>278</v>
      </c>
      <c r="R157" s="43" t="s">
        <v>1050</v>
      </c>
      <c r="S157" s="44">
        <v>34</v>
      </c>
      <c r="T157" s="31">
        <v>3584945.1949723726</v>
      </c>
      <c r="U157" s="31">
        <v>150957.09999999998</v>
      </c>
      <c r="V157" s="31">
        <v>0</v>
      </c>
      <c r="W157" s="31">
        <v>11414.45</v>
      </c>
      <c r="X157" s="31">
        <v>461561.29843636858</v>
      </c>
      <c r="Y157" s="31">
        <v>254720.99194658356</v>
      </c>
      <c r="Z157" s="31">
        <v>783158.0979883197</v>
      </c>
      <c r="AA157" s="31">
        <f t="shared" si="13"/>
        <v>5363001.7533436446</v>
      </c>
      <c r="AB157" s="31">
        <v>116244.62</v>
      </c>
      <c r="AD157" s="42" t="s">
        <v>277</v>
      </c>
      <c r="AE157" s="42" t="s">
        <v>278</v>
      </c>
      <c r="AF157" s="43" t="s">
        <v>1275</v>
      </c>
      <c r="AG157" s="44">
        <v>34</v>
      </c>
      <c r="AH157" s="31">
        <v>3648190.1956709884</v>
      </c>
      <c r="AI157" s="31">
        <v>153561.41999999995</v>
      </c>
      <c r="AJ157" s="31">
        <v>0</v>
      </c>
      <c r="AK157" s="31">
        <v>11613.460000000001</v>
      </c>
      <c r="AL157" s="31">
        <v>469667.24147591344</v>
      </c>
      <c r="AM157" s="31">
        <v>254428.65016679239</v>
      </c>
      <c r="AN157" s="31">
        <v>796936.96794556291</v>
      </c>
      <c r="AO157" s="31">
        <f t="shared" si="14"/>
        <v>5452696.8552592574</v>
      </c>
      <c r="AP157" s="31">
        <v>118298.92000000001</v>
      </c>
      <c r="AR157" s="42" t="s">
        <v>277</v>
      </c>
      <c r="AS157" s="42" t="s">
        <v>278</v>
      </c>
      <c r="AT157" s="43" t="s">
        <v>1276</v>
      </c>
      <c r="AU157" s="44">
        <v>34</v>
      </c>
      <c r="AV157" s="31">
        <v>3715882.9471913739</v>
      </c>
      <c r="AW157" s="31">
        <v>156350.65999999997</v>
      </c>
      <c r="AX157" s="31">
        <v>0</v>
      </c>
      <c r="AY157" s="31">
        <v>11826.6</v>
      </c>
      <c r="AZ157" s="31">
        <v>478348.66469039791</v>
      </c>
      <c r="BA157" s="31">
        <v>254437.00278907217</v>
      </c>
      <c r="BB157" s="31">
        <v>811693.67202157015</v>
      </c>
      <c r="BC157" s="31">
        <f t="shared" si="15"/>
        <v>5549038.6066924138</v>
      </c>
      <c r="BD157" s="31">
        <v>120499.06</v>
      </c>
    </row>
    <row r="158" spans="2:56">
      <c r="B158" s="42" t="s">
        <v>133</v>
      </c>
      <c r="C158" s="42" t="s">
        <v>134</v>
      </c>
      <c r="D158" s="43" t="s">
        <v>1049</v>
      </c>
      <c r="E158" s="44">
        <v>34</v>
      </c>
      <c r="F158" s="31">
        <v>69232191.206650376</v>
      </c>
      <c r="G158" s="31">
        <v>3448051.8400000008</v>
      </c>
      <c r="H158" s="31">
        <v>1891238.13</v>
      </c>
      <c r="I158" s="31">
        <v>243025.16</v>
      </c>
      <c r="J158" s="31">
        <v>11155260.835700126</v>
      </c>
      <c r="K158" s="31">
        <v>4264990.2661867626</v>
      </c>
      <c r="L158" s="31">
        <v>6286754.6413683398</v>
      </c>
      <c r="M158" s="31">
        <f t="shared" si="12"/>
        <v>98767855.459905595</v>
      </c>
      <c r="N158" s="31">
        <v>2246343.38</v>
      </c>
      <c r="P158" s="42" t="s">
        <v>133</v>
      </c>
      <c r="Q158" s="42" t="s">
        <v>134</v>
      </c>
      <c r="R158" s="43" t="s">
        <v>1050</v>
      </c>
      <c r="S158" s="44">
        <v>34</v>
      </c>
      <c r="T158" s="31">
        <v>74009184.299427509</v>
      </c>
      <c r="U158" s="31">
        <v>3676066.0799999996</v>
      </c>
      <c r="V158" s="31">
        <v>1996450.33</v>
      </c>
      <c r="W158" s="31">
        <v>256544.98</v>
      </c>
      <c r="X158" s="31">
        <v>11733170.409339143</v>
      </c>
      <c r="Y158" s="31">
        <v>4276159.7893174244</v>
      </c>
      <c r="Z158" s="31">
        <v>6688240.6055373764</v>
      </c>
      <c r="AA158" s="31">
        <f t="shared" si="13"/>
        <v>104970932.77362145</v>
      </c>
      <c r="AB158" s="31">
        <v>2335116.2799999998</v>
      </c>
      <c r="AD158" s="42" t="s">
        <v>133</v>
      </c>
      <c r="AE158" s="42" t="s">
        <v>134</v>
      </c>
      <c r="AF158" s="43" t="s">
        <v>1275</v>
      </c>
      <c r="AG158" s="44">
        <v>34</v>
      </c>
      <c r="AH158" s="31">
        <v>75350911.224348471</v>
      </c>
      <c r="AI158" s="31">
        <v>3739848.43</v>
      </c>
      <c r="AJ158" s="31">
        <v>2031384.3900000001</v>
      </c>
      <c r="AK158" s="31">
        <v>261034.03</v>
      </c>
      <c r="AL158" s="31">
        <v>11939815.068733752</v>
      </c>
      <c r="AM158" s="31">
        <v>4267618.0766953239</v>
      </c>
      <c r="AN158" s="31">
        <v>6806177.6688220929</v>
      </c>
      <c r="AO158" s="31">
        <f t="shared" si="14"/>
        <v>106773306.99859965</v>
      </c>
      <c r="AP158" s="31">
        <v>2376518.11</v>
      </c>
      <c r="AR158" s="42" t="s">
        <v>133</v>
      </c>
      <c r="AS158" s="42" t="s">
        <v>134</v>
      </c>
      <c r="AT158" s="43" t="s">
        <v>1276</v>
      </c>
      <c r="AU158" s="44">
        <v>34</v>
      </c>
      <c r="AV158" s="31">
        <v>76785309.128950432</v>
      </c>
      <c r="AW158" s="31">
        <v>3808159.34</v>
      </c>
      <c r="AX158" s="31">
        <v>2068798.7700000003</v>
      </c>
      <c r="AY158" s="31">
        <v>265841.80000000005</v>
      </c>
      <c r="AZ158" s="31">
        <v>12161130.436016181</v>
      </c>
      <c r="BA158" s="31">
        <v>4267862.1256273836</v>
      </c>
      <c r="BB158" s="31">
        <v>6932484.528452822</v>
      </c>
      <c r="BC158" s="31">
        <f t="shared" si="15"/>
        <v>108710445.57904683</v>
      </c>
      <c r="BD158" s="31">
        <v>2420859.4500000002</v>
      </c>
    </row>
    <row r="159" spans="2:56">
      <c r="B159" s="42" t="s">
        <v>275</v>
      </c>
      <c r="C159" s="42" t="s">
        <v>276</v>
      </c>
      <c r="D159" s="43" t="s">
        <v>1049</v>
      </c>
      <c r="E159" s="44">
        <v>34</v>
      </c>
      <c r="F159" s="31">
        <v>5039134.5883529764</v>
      </c>
      <c r="G159" s="31">
        <v>233667.65999999997</v>
      </c>
      <c r="H159" s="31">
        <v>88478.000000000015</v>
      </c>
      <c r="I159" s="31">
        <v>16175.490000000002</v>
      </c>
      <c r="J159" s="31">
        <v>701295.64029573591</v>
      </c>
      <c r="K159" s="31">
        <v>400505.78742226813</v>
      </c>
      <c r="L159" s="31">
        <v>433914.95655061537</v>
      </c>
      <c r="M159" s="31">
        <f t="shared" si="12"/>
        <v>7079799.2026215959</v>
      </c>
      <c r="N159" s="31">
        <v>166627.08000000002</v>
      </c>
      <c r="P159" s="42" t="s">
        <v>275</v>
      </c>
      <c r="Q159" s="42" t="s">
        <v>276</v>
      </c>
      <c r="R159" s="43" t="s">
        <v>1050</v>
      </c>
      <c r="S159" s="44">
        <v>34</v>
      </c>
      <c r="T159" s="31">
        <v>5414521.3327039005</v>
      </c>
      <c r="U159" s="31">
        <v>251604.12999999995</v>
      </c>
      <c r="V159" s="31">
        <v>94221.03</v>
      </c>
      <c r="W159" s="31">
        <v>17225.43</v>
      </c>
      <c r="X159" s="31">
        <v>742899.11248225195</v>
      </c>
      <c r="Y159" s="31">
        <v>401268.60461419355</v>
      </c>
      <c r="Z159" s="31">
        <v>464921.14689173852</v>
      </c>
      <c r="AA159" s="31">
        <f t="shared" si="13"/>
        <v>7561334.1766920835</v>
      </c>
      <c r="AB159" s="31">
        <v>174673.39</v>
      </c>
      <c r="AD159" s="42" t="s">
        <v>275</v>
      </c>
      <c r="AE159" s="42" t="s">
        <v>276</v>
      </c>
      <c r="AF159" s="43" t="s">
        <v>1275</v>
      </c>
      <c r="AG159" s="44">
        <v>34</v>
      </c>
      <c r="AH159" s="31">
        <v>5510887.0855863784</v>
      </c>
      <c r="AI159" s="31">
        <v>255949.34999999998</v>
      </c>
      <c r="AJ159" s="31">
        <v>95863.760000000009</v>
      </c>
      <c r="AK159" s="31">
        <v>17525.75</v>
      </c>
      <c r="AL159" s="31">
        <v>755946.7152436754</v>
      </c>
      <c r="AM159" s="31">
        <v>400689.0692848232</v>
      </c>
      <c r="AN159" s="31">
        <v>473101.02407303965</v>
      </c>
      <c r="AO159" s="31">
        <f t="shared" si="14"/>
        <v>7687723.0041879155</v>
      </c>
      <c r="AP159" s="31">
        <v>177760.25</v>
      </c>
      <c r="AR159" s="42" t="s">
        <v>275</v>
      </c>
      <c r="AS159" s="42" t="s">
        <v>276</v>
      </c>
      <c r="AT159" s="43" t="s">
        <v>1276</v>
      </c>
      <c r="AU159" s="44">
        <v>34</v>
      </c>
      <c r="AV159" s="31">
        <v>5613996.9726151722</v>
      </c>
      <c r="AW159" s="31">
        <v>260603.08999999997</v>
      </c>
      <c r="AX159" s="31">
        <v>97623.12000000001</v>
      </c>
      <c r="AY159" s="31">
        <v>17847.400000000001</v>
      </c>
      <c r="AZ159" s="31">
        <v>769920.62185525196</v>
      </c>
      <c r="BA159" s="31">
        <v>400705.62743709085</v>
      </c>
      <c r="BB159" s="31">
        <v>481861.39609981311</v>
      </c>
      <c r="BC159" s="31">
        <f t="shared" si="15"/>
        <v>7823624.4980073273</v>
      </c>
      <c r="BD159" s="31">
        <v>181066.27000000002</v>
      </c>
    </row>
    <row r="160" spans="2:56">
      <c r="B160" s="42" t="s">
        <v>609</v>
      </c>
      <c r="C160" s="42" t="s">
        <v>610</v>
      </c>
      <c r="D160" s="43" t="s">
        <v>1049</v>
      </c>
      <c r="E160" s="44">
        <v>34</v>
      </c>
      <c r="F160" s="31">
        <v>6996307.0938488375</v>
      </c>
      <c r="G160" s="31">
        <v>510405.02000000014</v>
      </c>
      <c r="H160" s="31">
        <v>193326.38000000003</v>
      </c>
      <c r="I160" s="31">
        <v>23093.929999999997</v>
      </c>
      <c r="J160" s="31">
        <v>1034088.0899749969</v>
      </c>
      <c r="K160" s="31">
        <v>762266.82274795126</v>
      </c>
      <c r="L160" s="31">
        <v>223027.36280289176</v>
      </c>
      <c r="M160" s="31">
        <f t="shared" si="12"/>
        <v>9976279.8193746768</v>
      </c>
      <c r="N160" s="31">
        <v>233765.11999999997</v>
      </c>
      <c r="P160" s="42" t="s">
        <v>609</v>
      </c>
      <c r="Q160" s="42" t="s">
        <v>610</v>
      </c>
      <c r="R160" s="43" t="s">
        <v>1050</v>
      </c>
      <c r="S160" s="44">
        <v>34</v>
      </c>
      <c r="T160" s="31">
        <v>7521761.8988154382</v>
      </c>
      <c r="U160" s="31">
        <v>547420.1100000001</v>
      </c>
      <c r="V160" s="31">
        <v>205875.04</v>
      </c>
      <c r="W160" s="31">
        <v>24592.94</v>
      </c>
      <c r="X160" s="31">
        <v>1095437.3684318603</v>
      </c>
      <c r="Y160" s="31">
        <v>764083.1246992253</v>
      </c>
      <c r="Z160" s="31">
        <v>238995.37395278452</v>
      </c>
      <c r="AA160" s="31">
        <f t="shared" si="13"/>
        <v>10643219.335899308</v>
      </c>
      <c r="AB160" s="31">
        <v>245053.47999999998</v>
      </c>
      <c r="AD160" s="42" t="s">
        <v>609</v>
      </c>
      <c r="AE160" s="42" t="s">
        <v>610</v>
      </c>
      <c r="AF160" s="43" t="s">
        <v>1275</v>
      </c>
      <c r="AG160" s="44">
        <v>34</v>
      </c>
      <c r="AH160" s="31">
        <v>7655716.5552748628</v>
      </c>
      <c r="AI160" s="31">
        <v>556906.13000000012</v>
      </c>
      <c r="AJ160" s="31">
        <v>209464.43000000002</v>
      </c>
      <c r="AK160" s="31">
        <v>25021.719999999998</v>
      </c>
      <c r="AL160" s="31">
        <v>1114678.5983850665</v>
      </c>
      <c r="AM160" s="31">
        <v>762703.22508407524</v>
      </c>
      <c r="AN160" s="31">
        <v>243200.13564727386</v>
      </c>
      <c r="AO160" s="31">
        <f t="shared" si="14"/>
        <v>10817074.904391279</v>
      </c>
      <c r="AP160" s="31">
        <v>249384.11</v>
      </c>
      <c r="AR160" s="42" t="s">
        <v>609</v>
      </c>
      <c r="AS160" s="42" t="s">
        <v>610</v>
      </c>
      <c r="AT160" s="43" t="s">
        <v>1276</v>
      </c>
      <c r="AU160" s="44">
        <v>34</v>
      </c>
      <c r="AV160" s="31">
        <v>7799052.5343986405</v>
      </c>
      <c r="AW160" s="31">
        <v>567065.67000000016</v>
      </c>
      <c r="AX160" s="31">
        <v>213308.67</v>
      </c>
      <c r="AY160" s="31">
        <v>25480.929999999997</v>
      </c>
      <c r="AZ160" s="31">
        <v>1135285.8577057328</v>
      </c>
      <c r="BA160" s="31">
        <v>762742.65078736516</v>
      </c>
      <c r="BB160" s="31">
        <v>247703.29324287185</v>
      </c>
      <c r="BC160" s="31">
        <f t="shared" si="15"/>
        <v>11004661.816134611</v>
      </c>
      <c r="BD160" s="31">
        <v>254022.21</v>
      </c>
    </row>
    <row r="161" spans="2:56">
      <c r="B161" s="42" t="s">
        <v>551</v>
      </c>
      <c r="C161" s="42" t="s">
        <v>552</v>
      </c>
      <c r="D161" s="43" t="s">
        <v>1049</v>
      </c>
      <c r="E161" s="44">
        <v>34</v>
      </c>
      <c r="F161" s="31">
        <v>14444704.936698059</v>
      </c>
      <c r="G161" s="31">
        <v>625768.49</v>
      </c>
      <c r="H161" s="31">
        <v>155175.93000000002</v>
      </c>
      <c r="I161" s="31">
        <v>50970.990000000005</v>
      </c>
      <c r="J161" s="31">
        <v>2343696.0587622183</v>
      </c>
      <c r="K161" s="31">
        <v>1709965.2634148283</v>
      </c>
      <c r="L161" s="31">
        <v>918636.55672917771</v>
      </c>
      <c r="M161" s="31">
        <f t="shared" si="12"/>
        <v>20657332.645604286</v>
      </c>
      <c r="N161" s="31">
        <v>408414.42</v>
      </c>
      <c r="P161" s="42" t="s">
        <v>551</v>
      </c>
      <c r="Q161" s="42" t="s">
        <v>552</v>
      </c>
      <c r="R161" s="43" t="s">
        <v>1050</v>
      </c>
      <c r="S161" s="44">
        <v>34</v>
      </c>
      <c r="T161" s="31">
        <v>15531104.636369018</v>
      </c>
      <c r="U161" s="31">
        <v>672143.99999999977</v>
      </c>
      <c r="V161" s="31">
        <v>165131.42999999996</v>
      </c>
      <c r="W161" s="31">
        <v>54241.090000000004</v>
      </c>
      <c r="X161" s="31">
        <v>2482243.137375236</v>
      </c>
      <c r="Y161" s="31">
        <v>1714465.4236806745</v>
      </c>
      <c r="Z161" s="31">
        <v>984230.35769047891</v>
      </c>
      <c r="AA161" s="31">
        <f t="shared" si="13"/>
        <v>22031948.165115409</v>
      </c>
      <c r="AB161" s="31">
        <v>428388.09</v>
      </c>
      <c r="AD161" s="42" t="s">
        <v>551</v>
      </c>
      <c r="AE161" s="42" t="s">
        <v>552</v>
      </c>
      <c r="AF161" s="43" t="s">
        <v>1275</v>
      </c>
      <c r="AG161" s="44">
        <v>34</v>
      </c>
      <c r="AH161" s="31">
        <v>15817136.206686452</v>
      </c>
      <c r="AI161" s="31">
        <v>683927.50999999978</v>
      </c>
      <c r="AJ161" s="31">
        <v>168049.27</v>
      </c>
      <c r="AK161" s="31">
        <v>55199.520000000004</v>
      </c>
      <c r="AL161" s="31">
        <v>2526297.1018979186</v>
      </c>
      <c r="AM161" s="31">
        <v>1710973.9979334243</v>
      </c>
      <c r="AN161" s="31">
        <v>1001720.3522754619</v>
      </c>
      <c r="AO161" s="31">
        <f t="shared" si="14"/>
        <v>22399354.678793255</v>
      </c>
      <c r="AP161" s="31">
        <v>436050.72000000003</v>
      </c>
      <c r="AR161" s="42" t="s">
        <v>551</v>
      </c>
      <c r="AS161" s="42" t="s">
        <v>552</v>
      </c>
      <c r="AT161" s="43" t="s">
        <v>1276</v>
      </c>
      <c r="AU161" s="44">
        <v>34</v>
      </c>
      <c r="AV161" s="31">
        <v>16122769.306128338</v>
      </c>
      <c r="AW161" s="31">
        <v>696547.6599999998</v>
      </c>
      <c r="AX161" s="31">
        <v>171174.26</v>
      </c>
      <c r="AY161" s="31">
        <v>56225.990000000005</v>
      </c>
      <c r="AZ161" s="31">
        <v>2573478.7176025263</v>
      </c>
      <c r="BA161" s="31">
        <v>1711073.7529547745</v>
      </c>
      <c r="BB161" s="31">
        <v>1020451.597134578</v>
      </c>
      <c r="BC161" s="31">
        <f t="shared" si="15"/>
        <v>22795978.683820214</v>
      </c>
      <c r="BD161" s="31">
        <v>444257.4</v>
      </c>
    </row>
    <row r="162" spans="2:56">
      <c r="B162" s="42" t="s">
        <v>417</v>
      </c>
      <c r="C162" s="42" t="s">
        <v>418</v>
      </c>
      <c r="D162" s="43" t="s">
        <v>1049</v>
      </c>
      <c r="E162" s="44">
        <v>34</v>
      </c>
      <c r="F162" s="31">
        <v>634310.17303443793</v>
      </c>
      <c r="G162" s="31">
        <v>8823.77</v>
      </c>
      <c r="H162" s="31">
        <v>0</v>
      </c>
      <c r="I162" s="31">
        <v>1744.22</v>
      </c>
      <c r="J162" s="31">
        <v>42566.034649388181</v>
      </c>
      <c r="K162" s="31">
        <v>74149.7838929891</v>
      </c>
      <c r="L162" s="31">
        <v>0</v>
      </c>
      <c r="M162" s="31">
        <f t="shared" si="12"/>
        <v>761593.98157681525</v>
      </c>
      <c r="N162" s="31">
        <v>0</v>
      </c>
      <c r="P162" s="42" t="s">
        <v>417</v>
      </c>
      <c r="Q162" s="42" t="s">
        <v>418</v>
      </c>
      <c r="R162" s="43" t="s">
        <v>1050</v>
      </c>
      <c r="S162" s="44">
        <v>34</v>
      </c>
      <c r="T162" s="31">
        <v>674581.78845859831</v>
      </c>
      <c r="U162" s="31">
        <v>9393.0200000000023</v>
      </c>
      <c r="V162" s="31">
        <v>0</v>
      </c>
      <c r="W162" s="31">
        <v>1856.75</v>
      </c>
      <c r="X162" s="31">
        <v>45084.026645728474</v>
      </c>
      <c r="Y162" s="31">
        <v>74283.0505738395</v>
      </c>
      <c r="Z162" s="31">
        <v>0</v>
      </c>
      <c r="AA162" s="31">
        <f t="shared" si="13"/>
        <v>805198.63567816629</v>
      </c>
      <c r="AB162" s="31">
        <v>0</v>
      </c>
      <c r="AD162" s="42" t="s">
        <v>417</v>
      </c>
      <c r="AE162" s="42" t="s">
        <v>418</v>
      </c>
      <c r="AF162" s="43" t="s">
        <v>1275</v>
      </c>
      <c r="AG162" s="44">
        <v>34</v>
      </c>
      <c r="AH162" s="31">
        <v>686445.87936814304</v>
      </c>
      <c r="AI162" s="31">
        <v>9557.9400000000023</v>
      </c>
      <c r="AJ162" s="31">
        <v>0</v>
      </c>
      <c r="AK162" s="31">
        <v>1889.3600000000001</v>
      </c>
      <c r="AL162" s="31">
        <v>45879.189085367208</v>
      </c>
      <c r="AM162" s="31">
        <v>74180.69278438951</v>
      </c>
      <c r="AN162" s="31">
        <v>0</v>
      </c>
      <c r="AO162" s="31">
        <f t="shared" si="14"/>
        <v>817953.06123789982</v>
      </c>
      <c r="AP162" s="31">
        <v>0</v>
      </c>
      <c r="AR162" s="42" t="s">
        <v>417</v>
      </c>
      <c r="AS162" s="42" t="s">
        <v>418</v>
      </c>
      <c r="AT162" s="43" t="s">
        <v>1276</v>
      </c>
      <c r="AU162" s="44">
        <v>34</v>
      </c>
      <c r="AV162" s="31">
        <v>699152.41328236531</v>
      </c>
      <c r="AW162" s="31">
        <v>9734.58</v>
      </c>
      <c r="AX162" s="31">
        <v>0</v>
      </c>
      <c r="AY162" s="31">
        <v>1924.2700000000002</v>
      </c>
      <c r="AZ162" s="31">
        <v>46730.797589791538</v>
      </c>
      <c r="BA162" s="31">
        <v>74183.617292659503</v>
      </c>
      <c r="BB162" s="31">
        <v>0</v>
      </c>
      <c r="BC162" s="31">
        <f t="shared" si="15"/>
        <v>831725.67816481635</v>
      </c>
      <c r="BD162" s="31">
        <v>0</v>
      </c>
    </row>
    <row r="163" spans="2:56">
      <c r="B163" s="42" t="s">
        <v>413</v>
      </c>
      <c r="C163" s="42" t="s">
        <v>414</v>
      </c>
      <c r="D163" s="43" t="s">
        <v>1049</v>
      </c>
      <c r="E163" s="44">
        <v>34</v>
      </c>
      <c r="F163" s="31">
        <v>56196561.714903474</v>
      </c>
      <c r="G163" s="31">
        <v>2867521.8600000003</v>
      </c>
      <c r="H163" s="31">
        <v>2644025.41</v>
      </c>
      <c r="I163" s="31">
        <v>204207.21999999997</v>
      </c>
      <c r="J163" s="31">
        <v>9018612.6032267157</v>
      </c>
      <c r="K163" s="31">
        <v>2911819.6015786654</v>
      </c>
      <c r="L163" s="31">
        <v>6157894.2783128582</v>
      </c>
      <c r="M163" s="31">
        <f t="shared" si="12"/>
        <v>81932367.478021726</v>
      </c>
      <c r="N163" s="31">
        <v>1931724.7899999998</v>
      </c>
      <c r="P163" s="42" t="s">
        <v>413</v>
      </c>
      <c r="Q163" s="42" t="s">
        <v>414</v>
      </c>
      <c r="R163" s="43" t="s">
        <v>1050</v>
      </c>
      <c r="S163" s="44">
        <v>34</v>
      </c>
      <c r="T163" s="31">
        <v>60405400.723158285</v>
      </c>
      <c r="U163" s="31">
        <v>3080951.2400000007</v>
      </c>
      <c r="V163" s="31">
        <v>2813655.8899999997</v>
      </c>
      <c r="W163" s="31">
        <v>217308.34999999998</v>
      </c>
      <c r="X163" s="31">
        <v>9551653.4268214982</v>
      </c>
      <c r="Y163" s="31">
        <v>2919327.1781725124</v>
      </c>
      <c r="Z163" s="31">
        <v>6596040.1254031174</v>
      </c>
      <c r="AA163" s="31">
        <f t="shared" si="13"/>
        <v>87610533.503555417</v>
      </c>
      <c r="AB163" s="31">
        <v>2026196.5699999998</v>
      </c>
      <c r="AD163" s="42" t="s">
        <v>413</v>
      </c>
      <c r="AE163" s="42" t="s">
        <v>414</v>
      </c>
      <c r="AF163" s="43" t="s">
        <v>1275</v>
      </c>
      <c r="AG163" s="44">
        <v>34</v>
      </c>
      <c r="AH163" s="31">
        <v>61518466.741049021</v>
      </c>
      <c r="AI163" s="31">
        <v>3134950.55</v>
      </c>
      <c r="AJ163" s="31">
        <v>2863372.53</v>
      </c>
      <c r="AK163" s="31">
        <v>221148.13</v>
      </c>
      <c r="AL163" s="31">
        <v>9721191.9057258815</v>
      </c>
      <c r="AM163" s="31">
        <v>2913502.4642355125</v>
      </c>
      <c r="AN163" s="31">
        <v>6713215.1543789171</v>
      </c>
      <c r="AO163" s="31">
        <f t="shared" si="14"/>
        <v>89148286.855389327</v>
      </c>
      <c r="AP163" s="31">
        <v>2062439.38</v>
      </c>
      <c r="AR163" s="42" t="s">
        <v>413</v>
      </c>
      <c r="AS163" s="42" t="s">
        <v>414</v>
      </c>
      <c r="AT163" s="43" t="s">
        <v>1276</v>
      </c>
      <c r="AU163" s="44">
        <v>34</v>
      </c>
      <c r="AV163" s="31">
        <v>62707801.954006732</v>
      </c>
      <c r="AW163" s="31">
        <v>3192783.8000000003</v>
      </c>
      <c r="AX163" s="31">
        <v>2916619.0599999996</v>
      </c>
      <c r="AY163" s="31">
        <v>225260.53999999998</v>
      </c>
      <c r="AZ163" s="31">
        <v>9902767.1614414491</v>
      </c>
      <c r="BA163" s="31">
        <v>2913668.8846337125</v>
      </c>
      <c r="BB163" s="31">
        <v>6838706.1428129971</v>
      </c>
      <c r="BC163" s="31">
        <f t="shared" si="15"/>
        <v>90798862.972894907</v>
      </c>
      <c r="BD163" s="31">
        <v>2101255.4300000002</v>
      </c>
    </row>
    <row r="164" spans="2:56">
      <c r="B164" s="42" t="s">
        <v>223</v>
      </c>
      <c r="C164" s="42" t="s">
        <v>224</v>
      </c>
      <c r="D164" s="43" t="s">
        <v>1049</v>
      </c>
      <c r="E164" s="44">
        <v>34</v>
      </c>
      <c r="F164" s="31">
        <v>5715380.3720149025</v>
      </c>
      <c r="G164" s="31">
        <v>312789.01999999996</v>
      </c>
      <c r="H164" s="31">
        <v>0</v>
      </c>
      <c r="I164" s="31">
        <v>0</v>
      </c>
      <c r="J164" s="31">
        <v>0</v>
      </c>
      <c r="K164" s="31">
        <v>413778.88</v>
      </c>
      <c r="L164" s="31">
        <v>68417.426813222177</v>
      </c>
      <c r="M164" s="31">
        <f t="shared" si="12"/>
        <v>6682569.0488281241</v>
      </c>
      <c r="N164" s="31">
        <v>172203.35000000003</v>
      </c>
      <c r="P164" s="42" t="s">
        <v>223</v>
      </c>
      <c r="Q164" s="42" t="s">
        <v>224</v>
      </c>
      <c r="R164" s="43" t="s">
        <v>1050</v>
      </c>
      <c r="S164" s="44">
        <v>34</v>
      </c>
      <c r="T164" s="31">
        <v>6135712.5911337882</v>
      </c>
      <c r="U164" s="31">
        <v>335279.25</v>
      </c>
      <c r="V164" s="31">
        <v>0</v>
      </c>
      <c r="W164" s="31">
        <v>0</v>
      </c>
      <c r="X164" s="31">
        <v>0</v>
      </c>
      <c r="Y164" s="31">
        <v>413778.88</v>
      </c>
      <c r="Z164" s="31">
        <v>73185.058375267501</v>
      </c>
      <c r="AA164" s="31">
        <f t="shared" si="13"/>
        <v>7138626.5795090552</v>
      </c>
      <c r="AB164" s="31">
        <v>180670.80000000002</v>
      </c>
      <c r="AD164" s="42" t="s">
        <v>223</v>
      </c>
      <c r="AE164" s="42" t="s">
        <v>224</v>
      </c>
      <c r="AF164" s="43" t="s">
        <v>1275</v>
      </c>
      <c r="AG164" s="44">
        <v>34</v>
      </c>
      <c r="AH164" s="31">
        <v>6244976.5807952303</v>
      </c>
      <c r="AI164" s="31">
        <v>341199.89</v>
      </c>
      <c r="AJ164" s="31">
        <v>0</v>
      </c>
      <c r="AK164" s="31">
        <v>0</v>
      </c>
      <c r="AL164" s="31">
        <v>0</v>
      </c>
      <c r="AM164" s="31">
        <v>413778.88</v>
      </c>
      <c r="AN164" s="31">
        <v>74491.345583212285</v>
      </c>
      <c r="AO164" s="31">
        <f t="shared" si="14"/>
        <v>7258365.9263784429</v>
      </c>
      <c r="AP164" s="31">
        <v>183919.23</v>
      </c>
      <c r="AR164" s="42" t="s">
        <v>223</v>
      </c>
      <c r="AS164" s="42" t="s">
        <v>224</v>
      </c>
      <c r="AT164" s="43" t="s">
        <v>1276</v>
      </c>
      <c r="AU164" s="44">
        <v>34</v>
      </c>
      <c r="AV164" s="31">
        <v>6361984.189503355</v>
      </c>
      <c r="AW164" s="31">
        <v>347540.90999999992</v>
      </c>
      <c r="AX164" s="31">
        <v>0</v>
      </c>
      <c r="AY164" s="31">
        <v>0</v>
      </c>
      <c r="AZ164" s="31">
        <v>0</v>
      </c>
      <c r="BA164" s="31">
        <v>413778.88</v>
      </c>
      <c r="BB164" s="31">
        <v>75890.340525121152</v>
      </c>
      <c r="BC164" s="31">
        <f t="shared" si="15"/>
        <v>7386592.6000284767</v>
      </c>
      <c r="BD164" s="31">
        <v>187398.28</v>
      </c>
    </row>
    <row r="165" spans="2:56">
      <c r="B165" s="42" t="s">
        <v>427</v>
      </c>
      <c r="C165" s="42" t="s">
        <v>428</v>
      </c>
      <c r="D165" s="43" t="s">
        <v>1049</v>
      </c>
      <c r="E165" s="44">
        <v>34</v>
      </c>
      <c r="F165" s="31">
        <v>137409071.55545753</v>
      </c>
      <c r="G165" s="31">
        <v>5480018.8300000001</v>
      </c>
      <c r="H165" s="31">
        <v>5862686.9800000004</v>
      </c>
      <c r="I165" s="31">
        <v>496161.71</v>
      </c>
      <c r="J165" s="31">
        <v>21610811.315077849</v>
      </c>
      <c r="K165" s="31">
        <v>8782089.3412183076</v>
      </c>
      <c r="L165" s="31">
        <v>12888120.640033776</v>
      </c>
      <c r="M165" s="31">
        <f t="shared" si="12"/>
        <v>195451591.2317875</v>
      </c>
      <c r="N165" s="31">
        <v>2922630.86</v>
      </c>
      <c r="P165" s="42" t="s">
        <v>427</v>
      </c>
      <c r="Q165" s="42" t="s">
        <v>428</v>
      </c>
      <c r="R165" s="43" t="s">
        <v>1050</v>
      </c>
      <c r="S165" s="44">
        <v>34</v>
      </c>
      <c r="T165" s="31">
        <v>144347159.91100043</v>
      </c>
      <c r="U165" s="31">
        <v>5784564.950000003</v>
      </c>
      <c r="V165" s="31">
        <v>6143349.3099999996</v>
      </c>
      <c r="W165" s="31">
        <v>519914.26</v>
      </c>
      <c r="X165" s="31">
        <v>22596600.192548271</v>
      </c>
      <c r="Y165" s="31">
        <v>8798653.497292567</v>
      </c>
      <c r="Z165" s="31">
        <v>13502596.059924547</v>
      </c>
      <c r="AA165" s="31">
        <f t="shared" si="13"/>
        <v>204713179.98076582</v>
      </c>
      <c r="AB165" s="31">
        <v>3020341.7999999993</v>
      </c>
      <c r="AD165" s="42" t="s">
        <v>427</v>
      </c>
      <c r="AE165" s="42" t="s">
        <v>428</v>
      </c>
      <c r="AF165" s="43" t="s">
        <v>1275</v>
      </c>
      <c r="AG165" s="44">
        <v>34</v>
      </c>
      <c r="AH165" s="31">
        <v>146943832.97234106</v>
      </c>
      <c r="AI165" s="31">
        <v>5886733.9000000022</v>
      </c>
      <c r="AJ165" s="31">
        <v>6252524.1899999995</v>
      </c>
      <c r="AK165" s="31">
        <v>529153.78999999992</v>
      </c>
      <c r="AL165" s="31">
        <v>22999413.42939752</v>
      </c>
      <c r="AM165" s="31">
        <v>8785660.6469862219</v>
      </c>
      <c r="AN165" s="31">
        <v>13743524.895284707</v>
      </c>
      <c r="AO165" s="31">
        <f t="shared" si="14"/>
        <v>208215490.71400949</v>
      </c>
      <c r="AP165" s="31">
        <v>3074646.8899999992</v>
      </c>
      <c r="AR165" s="42" t="s">
        <v>427</v>
      </c>
      <c r="AS165" s="42" t="s">
        <v>428</v>
      </c>
      <c r="AT165" s="43" t="s">
        <v>1276</v>
      </c>
      <c r="AU165" s="44">
        <v>34</v>
      </c>
      <c r="AV165" s="31">
        <v>149723082.03044981</v>
      </c>
      <c r="AW165" s="31">
        <v>5996156.8500000006</v>
      </c>
      <c r="AX165" s="31">
        <v>6369450.4800000004</v>
      </c>
      <c r="AY165" s="31">
        <v>539049.30999999994</v>
      </c>
      <c r="AZ165" s="31">
        <v>23430824.78810817</v>
      </c>
      <c r="BA165" s="31">
        <v>8786031.8712806869</v>
      </c>
      <c r="BB165" s="31">
        <v>14001552.864730436</v>
      </c>
      <c r="BC165" s="31">
        <f t="shared" si="15"/>
        <v>211978955.82456911</v>
      </c>
      <c r="BD165" s="31">
        <v>3132807.63</v>
      </c>
    </row>
    <row r="166" spans="2:56">
      <c r="B166" s="42" t="s">
        <v>583</v>
      </c>
      <c r="C166" s="42" t="s">
        <v>584</v>
      </c>
      <c r="D166" s="43" t="s">
        <v>1049</v>
      </c>
      <c r="E166" s="44">
        <v>34</v>
      </c>
      <c r="F166" s="31">
        <v>9875979.5281293672</v>
      </c>
      <c r="G166" s="31">
        <v>400684.5</v>
      </c>
      <c r="H166" s="31">
        <v>127260.21</v>
      </c>
      <c r="I166" s="31">
        <v>34299.849999999991</v>
      </c>
      <c r="J166" s="31">
        <v>1510256.247462132</v>
      </c>
      <c r="K166" s="31">
        <v>922762.02231205208</v>
      </c>
      <c r="L166" s="31">
        <v>744332.20701646782</v>
      </c>
      <c r="M166" s="31">
        <f t="shared" si="12"/>
        <v>13855965.79492002</v>
      </c>
      <c r="N166" s="31">
        <v>240391.23</v>
      </c>
      <c r="P166" s="42" t="s">
        <v>583</v>
      </c>
      <c r="Q166" s="42" t="s">
        <v>584</v>
      </c>
      <c r="R166" s="43" t="s">
        <v>1050</v>
      </c>
      <c r="S166" s="44">
        <v>34</v>
      </c>
      <c r="T166" s="31">
        <v>10627980.110991444</v>
      </c>
      <c r="U166" s="31">
        <v>430687.83999999997</v>
      </c>
      <c r="V166" s="31">
        <v>135520.54999999999</v>
      </c>
      <c r="W166" s="31">
        <v>36526.219999999994</v>
      </c>
      <c r="X166" s="31">
        <v>1599854.0284107956</v>
      </c>
      <c r="Y166" s="31">
        <v>925314.31349329499</v>
      </c>
      <c r="Z166" s="31">
        <v>797734.0592850151</v>
      </c>
      <c r="AA166" s="31">
        <f t="shared" si="13"/>
        <v>14805616.682180552</v>
      </c>
      <c r="AB166" s="31">
        <v>251999.56000000003</v>
      </c>
      <c r="AD166" s="42" t="s">
        <v>583</v>
      </c>
      <c r="AE166" s="42" t="s">
        <v>584</v>
      </c>
      <c r="AF166" s="43" t="s">
        <v>1275</v>
      </c>
      <c r="AG166" s="44">
        <v>34</v>
      </c>
      <c r="AH166" s="31">
        <v>10820355.49434595</v>
      </c>
      <c r="AI166" s="31">
        <v>438137.0199999999</v>
      </c>
      <c r="AJ166" s="31">
        <v>137883.34</v>
      </c>
      <c r="AK166" s="31">
        <v>37163.040000000001</v>
      </c>
      <c r="AL166" s="31">
        <v>1627954.1378845666</v>
      </c>
      <c r="AM166" s="31">
        <v>923375.26056419499</v>
      </c>
      <c r="AN166" s="31">
        <v>811769.59093649464</v>
      </c>
      <c r="AO166" s="31">
        <f t="shared" si="14"/>
        <v>15053090.823731204</v>
      </c>
      <c r="AP166" s="31">
        <v>256452.94000000003</v>
      </c>
      <c r="AR166" s="42" t="s">
        <v>583</v>
      </c>
      <c r="AS166" s="42" t="s">
        <v>584</v>
      </c>
      <c r="AT166" s="43" t="s">
        <v>1276</v>
      </c>
      <c r="AU166" s="44">
        <v>34</v>
      </c>
      <c r="AV166" s="31">
        <v>11026055.178138966</v>
      </c>
      <c r="AW166" s="31">
        <v>446115.06999999995</v>
      </c>
      <c r="AX166" s="31">
        <v>140413.87</v>
      </c>
      <c r="AY166" s="31">
        <v>37845.079999999994</v>
      </c>
      <c r="AZ166" s="31">
        <v>1658049.2036973964</v>
      </c>
      <c r="BA166" s="31">
        <v>923430.66207645508</v>
      </c>
      <c r="BB166" s="31">
        <v>826801.17102722905</v>
      </c>
      <c r="BC166" s="31">
        <f t="shared" si="15"/>
        <v>15319932.744940044</v>
      </c>
      <c r="BD166" s="31">
        <v>261222.51000000004</v>
      </c>
    </row>
    <row r="167" spans="2:56">
      <c r="B167" s="42" t="s">
        <v>271</v>
      </c>
      <c r="C167" s="42" t="s">
        <v>272</v>
      </c>
      <c r="D167" s="43" t="s">
        <v>1049</v>
      </c>
      <c r="E167" s="44">
        <v>34</v>
      </c>
      <c r="F167" s="31">
        <v>5812132.4280396048</v>
      </c>
      <c r="G167" s="31">
        <v>221779.66999999998</v>
      </c>
      <c r="H167" s="31">
        <v>27576.280000000002</v>
      </c>
      <c r="I167" s="31">
        <v>21534.85</v>
      </c>
      <c r="J167" s="31">
        <v>747561.83150082373</v>
      </c>
      <c r="K167" s="31">
        <v>379541.76707780029</v>
      </c>
      <c r="L167" s="31">
        <v>1068828.9939821053</v>
      </c>
      <c r="M167" s="31">
        <f t="shared" si="12"/>
        <v>8278955.8206003336</v>
      </c>
      <c r="N167" s="31">
        <v>0</v>
      </c>
      <c r="P167" s="42" t="s">
        <v>271</v>
      </c>
      <c r="Q167" s="42" t="s">
        <v>272</v>
      </c>
      <c r="R167" s="43" t="s">
        <v>1050</v>
      </c>
      <c r="S167" s="44">
        <v>34</v>
      </c>
      <c r="T167" s="31">
        <v>6186517.2541675344</v>
      </c>
      <c r="U167" s="31">
        <v>236175.16999999998</v>
      </c>
      <c r="V167" s="31">
        <v>29366.25</v>
      </c>
      <c r="W167" s="31">
        <v>22932.65</v>
      </c>
      <c r="X167" s="31">
        <v>791929.07031072211</v>
      </c>
      <c r="Y167" s="31">
        <v>380608.36006101611</v>
      </c>
      <c r="Z167" s="31">
        <v>1134526.8435980412</v>
      </c>
      <c r="AA167" s="31">
        <f t="shared" si="13"/>
        <v>8782055.5981373135</v>
      </c>
      <c r="AB167" s="31">
        <v>0</v>
      </c>
      <c r="AD167" s="42" t="s">
        <v>271</v>
      </c>
      <c r="AE167" s="42" t="s">
        <v>272</v>
      </c>
      <c r="AF167" s="43" t="s">
        <v>1275</v>
      </c>
      <c r="AG167" s="44">
        <v>34</v>
      </c>
      <c r="AH167" s="31">
        <v>6296421.2036677832</v>
      </c>
      <c r="AI167" s="31">
        <v>240292.83999999997</v>
      </c>
      <c r="AJ167" s="31">
        <v>29878.240000000002</v>
      </c>
      <c r="AK167" s="31">
        <v>23332.48</v>
      </c>
      <c r="AL167" s="31">
        <v>805840.29620504705</v>
      </c>
      <c r="AM167" s="31">
        <v>379798.03706046607</v>
      </c>
      <c r="AN167" s="31">
        <v>1154490.2593446365</v>
      </c>
      <c r="AO167" s="31">
        <f t="shared" si="14"/>
        <v>8930053.3562779315</v>
      </c>
      <c r="AP167" s="31">
        <v>0</v>
      </c>
      <c r="AR167" s="42" t="s">
        <v>271</v>
      </c>
      <c r="AS167" s="42" t="s">
        <v>272</v>
      </c>
      <c r="AT167" s="43" t="s">
        <v>1276</v>
      </c>
      <c r="AU167" s="44">
        <v>34</v>
      </c>
      <c r="AV167" s="31">
        <v>6414034.6471317345</v>
      </c>
      <c r="AW167" s="31">
        <v>244702.88</v>
      </c>
      <c r="AX167" s="31">
        <v>30426.579999999998</v>
      </c>
      <c r="AY167" s="31">
        <v>23760.7</v>
      </c>
      <c r="AZ167" s="31">
        <v>820739.14402657608</v>
      </c>
      <c r="BA167" s="31">
        <v>379821.18914619606</v>
      </c>
      <c r="BB167" s="31">
        <v>1175870.3964282398</v>
      </c>
      <c r="BC167" s="31">
        <f t="shared" si="15"/>
        <v>9089355.5367327482</v>
      </c>
      <c r="BD167" s="31">
        <v>0</v>
      </c>
    </row>
    <row r="168" spans="2:56">
      <c r="B168" s="42" t="s">
        <v>349</v>
      </c>
      <c r="C168" s="42" t="s">
        <v>350</v>
      </c>
      <c r="D168" s="43" t="s">
        <v>1049</v>
      </c>
      <c r="E168" s="44">
        <v>34</v>
      </c>
      <c r="F168" s="31">
        <v>3382870.2667499324</v>
      </c>
      <c r="G168" s="31">
        <v>106733.33999999998</v>
      </c>
      <c r="H168" s="31">
        <v>22597.599999999999</v>
      </c>
      <c r="I168" s="31">
        <v>9079.41</v>
      </c>
      <c r="J168" s="31">
        <v>380688.20842747437</v>
      </c>
      <c r="K168" s="31">
        <v>229951.44005905298</v>
      </c>
      <c r="L168" s="31">
        <v>116414.26317744788</v>
      </c>
      <c r="M168" s="31">
        <f t="shared" si="12"/>
        <v>4342760.2484139074</v>
      </c>
      <c r="N168" s="31">
        <v>94425.719999999987</v>
      </c>
      <c r="P168" s="42" t="s">
        <v>349</v>
      </c>
      <c r="Q168" s="42" t="s">
        <v>350</v>
      </c>
      <c r="R168" s="43" t="s">
        <v>1050</v>
      </c>
      <c r="S168" s="44">
        <v>34</v>
      </c>
      <c r="T168" s="31">
        <v>3625827.2060686639</v>
      </c>
      <c r="U168" s="31">
        <v>115156.00000000001</v>
      </c>
      <c r="V168" s="31">
        <v>24058.34</v>
      </c>
      <c r="W168" s="31">
        <v>9666.2999999999975</v>
      </c>
      <c r="X168" s="31">
        <v>403266.78947467299</v>
      </c>
      <c r="Y168" s="31">
        <v>230660.52952292652</v>
      </c>
      <c r="Z168" s="31">
        <v>124740.46328254569</v>
      </c>
      <c r="AA168" s="31">
        <f t="shared" si="13"/>
        <v>4632381.8183488091</v>
      </c>
      <c r="AB168" s="31">
        <v>99006.189999999988</v>
      </c>
      <c r="AD168" s="42" t="s">
        <v>349</v>
      </c>
      <c r="AE168" s="42" t="s">
        <v>350</v>
      </c>
      <c r="AF168" s="43" t="s">
        <v>1275</v>
      </c>
      <c r="AG168" s="44">
        <v>34</v>
      </c>
      <c r="AH168" s="31">
        <v>3689989.4767145067</v>
      </c>
      <c r="AI168" s="31">
        <v>117150.54000000004</v>
      </c>
      <c r="AJ168" s="31">
        <v>24479.820000000003</v>
      </c>
      <c r="AK168" s="31">
        <v>9835.64</v>
      </c>
      <c r="AL168" s="31">
        <v>410370.7475204473</v>
      </c>
      <c r="AM168" s="31">
        <v>230121.81277617652</v>
      </c>
      <c r="AN168" s="31">
        <v>126941.30080565259</v>
      </c>
      <c r="AO168" s="31">
        <f t="shared" si="14"/>
        <v>4709652.7678167829</v>
      </c>
      <c r="AP168" s="31">
        <v>100763.43</v>
      </c>
      <c r="AR168" s="42" t="s">
        <v>349</v>
      </c>
      <c r="AS168" s="42" t="s">
        <v>350</v>
      </c>
      <c r="AT168" s="43" t="s">
        <v>1276</v>
      </c>
      <c r="AU168" s="44">
        <v>34</v>
      </c>
      <c r="AV168" s="31">
        <v>3758666.1053630374</v>
      </c>
      <c r="AW168" s="31">
        <v>119286.73000000003</v>
      </c>
      <c r="AX168" s="31">
        <v>24931.200000000001</v>
      </c>
      <c r="AY168" s="31">
        <v>10016.999999999998</v>
      </c>
      <c r="AZ168" s="31">
        <v>417979.0482062996</v>
      </c>
      <c r="BA168" s="31">
        <v>230137.2046832265</v>
      </c>
      <c r="BB168" s="31">
        <v>129298.32511850007</v>
      </c>
      <c r="BC168" s="31">
        <f t="shared" si="15"/>
        <v>4792961.0333710639</v>
      </c>
      <c r="BD168" s="31">
        <v>102645.42</v>
      </c>
    </row>
    <row r="169" spans="2:56">
      <c r="B169" s="42" t="s">
        <v>327</v>
      </c>
      <c r="C169" s="42" t="s">
        <v>328</v>
      </c>
      <c r="D169" s="43" t="s">
        <v>1049</v>
      </c>
      <c r="E169" s="44">
        <v>34</v>
      </c>
      <c r="F169" s="31">
        <v>1152415.1436120542</v>
      </c>
      <c r="G169" s="31">
        <v>80000.48000000001</v>
      </c>
      <c r="H169" s="31">
        <v>0</v>
      </c>
      <c r="I169" s="31">
        <v>0</v>
      </c>
      <c r="J169" s="31">
        <v>174682.23429234681</v>
      </c>
      <c r="K169" s="31">
        <v>186915.49262984528</v>
      </c>
      <c r="L169" s="31">
        <v>0</v>
      </c>
      <c r="M169" s="31">
        <f t="shared" si="12"/>
        <v>1631139.0405342462</v>
      </c>
      <c r="N169" s="31">
        <v>37125.689999999995</v>
      </c>
      <c r="P169" s="42" t="s">
        <v>327</v>
      </c>
      <c r="Q169" s="42" t="s">
        <v>328</v>
      </c>
      <c r="R169" s="43" t="s">
        <v>1050</v>
      </c>
      <c r="S169" s="44">
        <v>34</v>
      </c>
      <c r="T169" s="31">
        <v>1244111.1837276886</v>
      </c>
      <c r="U169" s="31">
        <v>85810.25</v>
      </c>
      <c r="V169" s="31">
        <v>0</v>
      </c>
      <c r="W169" s="31">
        <v>0</v>
      </c>
      <c r="X169" s="31">
        <v>185030.86713545458</v>
      </c>
      <c r="Y169" s="31">
        <v>187313.61565337225</v>
      </c>
      <c r="Z169" s="31">
        <v>0</v>
      </c>
      <c r="AA169" s="31">
        <f t="shared" si="13"/>
        <v>1741184.3765165154</v>
      </c>
      <c r="AB169" s="31">
        <v>38918.46</v>
      </c>
      <c r="AD169" s="42" t="s">
        <v>327</v>
      </c>
      <c r="AE169" s="42" t="s">
        <v>328</v>
      </c>
      <c r="AF169" s="43" t="s">
        <v>1275</v>
      </c>
      <c r="AG169" s="44">
        <v>34</v>
      </c>
      <c r="AH169" s="31">
        <v>1265904.5760326129</v>
      </c>
      <c r="AI169" s="31">
        <v>87297.09</v>
      </c>
      <c r="AJ169" s="31">
        <v>0</v>
      </c>
      <c r="AK169" s="31">
        <v>0</v>
      </c>
      <c r="AL169" s="31">
        <v>188276.12021951485</v>
      </c>
      <c r="AM169" s="31">
        <v>187011.14953172224</v>
      </c>
      <c r="AN169" s="31">
        <v>0</v>
      </c>
      <c r="AO169" s="31">
        <f t="shared" si="14"/>
        <v>1768095.1757838503</v>
      </c>
      <c r="AP169" s="31">
        <v>39606.239999999998</v>
      </c>
      <c r="AR169" s="42" t="s">
        <v>327</v>
      </c>
      <c r="AS169" s="42" t="s">
        <v>328</v>
      </c>
      <c r="AT169" s="43" t="s">
        <v>1276</v>
      </c>
      <c r="AU169" s="44">
        <v>34</v>
      </c>
      <c r="AV169" s="31">
        <v>1289245.0027155865</v>
      </c>
      <c r="AW169" s="31">
        <v>88889.53</v>
      </c>
      <c r="AX169" s="31">
        <v>0</v>
      </c>
      <c r="AY169" s="31">
        <v>0</v>
      </c>
      <c r="AZ169" s="31">
        <v>191751.74197494073</v>
      </c>
      <c r="BA169" s="31">
        <v>187019.79142091225</v>
      </c>
      <c r="BB169" s="31">
        <v>0</v>
      </c>
      <c r="BC169" s="31">
        <f t="shared" si="15"/>
        <v>1797248.8961114394</v>
      </c>
      <c r="BD169" s="31">
        <v>40342.829999999994</v>
      </c>
    </row>
    <row r="170" spans="2:56">
      <c r="B170" s="42" t="s">
        <v>355</v>
      </c>
      <c r="C170" s="42" t="s">
        <v>356</v>
      </c>
      <c r="D170" s="43" t="s">
        <v>1049</v>
      </c>
      <c r="E170" s="44">
        <v>34</v>
      </c>
      <c r="F170" s="31">
        <v>7754667.1850839565</v>
      </c>
      <c r="G170" s="31">
        <v>384216.6999999999</v>
      </c>
      <c r="H170" s="31">
        <v>0</v>
      </c>
      <c r="I170" s="31">
        <v>28745.600000000002</v>
      </c>
      <c r="J170" s="31">
        <v>1259800.8254742215</v>
      </c>
      <c r="K170" s="31">
        <v>852641.51881356712</v>
      </c>
      <c r="L170" s="31">
        <v>1185220.0547156399</v>
      </c>
      <c r="M170" s="31">
        <f t="shared" si="12"/>
        <v>11748850.234087383</v>
      </c>
      <c r="N170" s="31">
        <v>283558.35000000003</v>
      </c>
      <c r="P170" s="42" t="s">
        <v>355</v>
      </c>
      <c r="Q170" s="42" t="s">
        <v>356</v>
      </c>
      <c r="R170" s="43" t="s">
        <v>1050</v>
      </c>
      <c r="S170" s="44">
        <v>34</v>
      </c>
      <c r="T170" s="31">
        <v>8336881.1512065791</v>
      </c>
      <c r="U170" s="31">
        <v>413868.57000000012</v>
      </c>
      <c r="V170" s="31">
        <v>0</v>
      </c>
      <c r="W170" s="31">
        <v>30611.470000000005</v>
      </c>
      <c r="X170" s="31">
        <v>1334564.6707988286</v>
      </c>
      <c r="Y170" s="31">
        <v>854724.53301730647</v>
      </c>
      <c r="Z170" s="31">
        <v>1270056.8277902906</v>
      </c>
      <c r="AA170" s="31">
        <f t="shared" si="13"/>
        <v>12537958.402813004</v>
      </c>
      <c r="AB170" s="31">
        <v>297251.18</v>
      </c>
      <c r="AD170" s="42" t="s">
        <v>355</v>
      </c>
      <c r="AE170" s="42" t="s">
        <v>356</v>
      </c>
      <c r="AF170" s="43" t="s">
        <v>1275</v>
      </c>
      <c r="AG170" s="44">
        <v>34</v>
      </c>
      <c r="AH170" s="31">
        <v>8493194.8716261573</v>
      </c>
      <c r="AI170" s="31">
        <v>421013.75000000012</v>
      </c>
      <c r="AJ170" s="31">
        <v>0</v>
      </c>
      <c r="AK170" s="31">
        <v>31145.180000000004</v>
      </c>
      <c r="AL170" s="31">
        <v>1358015.5709736503</v>
      </c>
      <c r="AM170" s="31">
        <v>853142.00402421923</v>
      </c>
      <c r="AN170" s="31">
        <v>1292402.5523812131</v>
      </c>
      <c r="AO170" s="31">
        <f t="shared" si="14"/>
        <v>12751418.189005239</v>
      </c>
      <c r="AP170" s="31">
        <v>302504.26</v>
      </c>
      <c r="AR170" s="42" t="s">
        <v>355</v>
      </c>
      <c r="AS170" s="42" t="s">
        <v>356</v>
      </c>
      <c r="AT170" s="43" t="s">
        <v>1276</v>
      </c>
      <c r="AU170" s="44">
        <v>34</v>
      </c>
      <c r="AV170" s="31">
        <v>8659969.5038033761</v>
      </c>
      <c r="AW170" s="31">
        <v>428666.23000000016</v>
      </c>
      <c r="AX170" s="31">
        <v>0</v>
      </c>
      <c r="AY170" s="31">
        <v>31716.77</v>
      </c>
      <c r="AZ170" s="31">
        <v>1383131.4242335616</v>
      </c>
      <c r="BA170" s="31">
        <v>853187.21913830738</v>
      </c>
      <c r="BB170" s="31">
        <v>1316334.068034491</v>
      </c>
      <c r="BC170" s="31">
        <f t="shared" si="15"/>
        <v>12981135.525209736</v>
      </c>
      <c r="BD170" s="31">
        <v>308130.31</v>
      </c>
    </row>
    <row r="171" spans="2:56">
      <c r="B171" s="42" t="s">
        <v>457</v>
      </c>
      <c r="C171" s="42" t="s">
        <v>458</v>
      </c>
      <c r="D171" s="43" t="s">
        <v>1049</v>
      </c>
      <c r="E171" s="44">
        <v>34</v>
      </c>
      <c r="F171" s="31">
        <v>11138590.072786625</v>
      </c>
      <c r="G171" s="31">
        <v>217102.42</v>
      </c>
      <c r="H171" s="31">
        <v>0</v>
      </c>
      <c r="I171" s="31">
        <v>38977.100000000006</v>
      </c>
      <c r="J171" s="31">
        <v>1672889.8607153418</v>
      </c>
      <c r="K171" s="31">
        <v>1005722.1061213798</v>
      </c>
      <c r="L171" s="31">
        <v>879596.46810920304</v>
      </c>
      <c r="M171" s="31">
        <f t="shared" si="12"/>
        <v>14952878.027732549</v>
      </c>
      <c r="N171" s="31">
        <v>0</v>
      </c>
      <c r="P171" s="42" t="s">
        <v>457</v>
      </c>
      <c r="Q171" s="42" t="s">
        <v>458</v>
      </c>
      <c r="R171" s="43" t="s">
        <v>1050</v>
      </c>
      <c r="S171" s="44">
        <v>34</v>
      </c>
      <c r="T171" s="31">
        <v>11862650.885770038</v>
      </c>
      <c r="U171" s="31">
        <v>231194.33000000002</v>
      </c>
      <c r="V171" s="31">
        <v>0</v>
      </c>
      <c r="W171" s="31">
        <v>41507.060000000012</v>
      </c>
      <c r="X171" s="31">
        <v>1772172.7901550136</v>
      </c>
      <c r="Y171" s="31">
        <v>1008327.35031694</v>
      </c>
      <c r="Z171" s="31">
        <v>933662.69716945768</v>
      </c>
      <c r="AA171" s="31">
        <f t="shared" si="13"/>
        <v>15849515.113411451</v>
      </c>
      <c r="AB171" s="31">
        <v>0</v>
      </c>
      <c r="AD171" s="42" t="s">
        <v>457</v>
      </c>
      <c r="AE171" s="42" t="s">
        <v>458</v>
      </c>
      <c r="AF171" s="43" t="s">
        <v>1275</v>
      </c>
      <c r="AG171" s="44">
        <v>34</v>
      </c>
      <c r="AH171" s="31">
        <v>12079771.184741976</v>
      </c>
      <c r="AI171" s="31">
        <v>235225.17000000004</v>
      </c>
      <c r="AJ171" s="31">
        <v>0</v>
      </c>
      <c r="AK171" s="31">
        <v>42230.740000000005</v>
      </c>
      <c r="AL171" s="31">
        <v>1803310.3544860617</v>
      </c>
      <c r="AM171" s="31">
        <v>1006348.0673787129</v>
      </c>
      <c r="AN171" s="31">
        <v>950091.58776205801</v>
      </c>
      <c r="AO171" s="31">
        <f t="shared" si="14"/>
        <v>16116977.104368808</v>
      </c>
      <c r="AP171" s="31">
        <v>0</v>
      </c>
      <c r="AR171" s="42" t="s">
        <v>457</v>
      </c>
      <c r="AS171" s="42" t="s">
        <v>458</v>
      </c>
      <c r="AT171" s="43" t="s">
        <v>1276</v>
      </c>
      <c r="AU171" s="44">
        <v>34</v>
      </c>
      <c r="AV171" s="31">
        <v>12311735.34170283</v>
      </c>
      <c r="AW171" s="31">
        <v>239542.2</v>
      </c>
      <c r="AX171" s="31">
        <v>0</v>
      </c>
      <c r="AY171" s="31">
        <v>43005.79</v>
      </c>
      <c r="AZ171" s="31">
        <v>1836658.5779967392</v>
      </c>
      <c r="BA171" s="31">
        <v>1006404.6183198051</v>
      </c>
      <c r="BB171" s="31">
        <v>967686.36902033305</v>
      </c>
      <c r="BC171" s="31">
        <f t="shared" si="15"/>
        <v>16405032.897039706</v>
      </c>
      <c r="BD171" s="31">
        <v>0</v>
      </c>
    </row>
    <row r="172" spans="2:56">
      <c r="B172" s="42" t="s">
        <v>549</v>
      </c>
      <c r="C172" s="42" t="s">
        <v>550</v>
      </c>
      <c r="D172" s="43" t="s">
        <v>1049</v>
      </c>
      <c r="E172" s="44">
        <v>34</v>
      </c>
      <c r="F172" s="31">
        <v>15616052.716939846</v>
      </c>
      <c r="G172" s="31">
        <v>644545.11</v>
      </c>
      <c r="H172" s="31">
        <v>393170.45999999996</v>
      </c>
      <c r="I172" s="31">
        <v>53250.38</v>
      </c>
      <c r="J172" s="31">
        <v>2515480.3160548015</v>
      </c>
      <c r="K172" s="31">
        <v>1293031.5201573034</v>
      </c>
      <c r="L172" s="31">
        <v>811387.76584809774</v>
      </c>
      <c r="M172" s="31">
        <f t="shared" si="12"/>
        <v>21764823.169000044</v>
      </c>
      <c r="N172" s="31">
        <v>437904.9</v>
      </c>
      <c r="P172" s="42" t="s">
        <v>549</v>
      </c>
      <c r="Q172" s="42" t="s">
        <v>550</v>
      </c>
      <c r="R172" s="43" t="s">
        <v>1050</v>
      </c>
      <c r="S172" s="44">
        <v>34</v>
      </c>
      <c r="T172" s="31">
        <v>16806044.67181142</v>
      </c>
      <c r="U172" s="31">
        <v>693090.15999999992</v>
      </c>
      <c r="V172" s="31">
        <v>418535.36</v>
      </c>
      <c r="W172" s="31">
        <v>56685.770000000004</v>
      </c>
      <c r="X172" s="31">
        <v>2664381.0230756854</v>
      </c>
      <c r="Y172" s="31">
        <v>1295588.4111991632</v>
      </c>
      <c r="Z172" s="31">
        <v>869392.1685447566</v>
      </c>
      <c r="AA172" s="31">
        <f t="shared" si="13"/>
        <v>23262910.274631027</v>
      </c>
      <c r="AB172" s="31">
        <v>459192.71</v>
      </c>
      <c r="AD172" s="42" t="s">
        <v>549</v>
      </c>
      <c r="AE172" s="42" t="s">
        <v>550</v>
      </c>
      <c r="AF172" s="43" t="s">
        <v>1275</v>
      </c>
      <c r="AG172" s="44">
        <v>34</v>
      </c>
      <c r="AH172" s="31">
        <v>17104483.434194874</v>
      </c>
      <c r="AI172" s="31">
        <v>705155.36999999988</v>
      </c>
      <c r="AJ172" s="31">
        <v>425884.06999999995</v>
      </c>
      <c r="AK172" s="31">
        <v>57681.069999999992</v>
      </c>
      <c r="AL172" s="31">
        <v>2711418.0648831464</v>
      </c>
      <c r="AM172" s="31">
        <v>1293624.5466139631</v>
      </c>
      <c r="AN172" s="31">
        <v>884768.17171940231</v>
      </c>
      <c r="AO172" s="31">
        <f t="shared" si="14"/>
        <v>23650374.207411386</v>
      </c>
      <c r="AP172" s="31">
        <v>467359.48000000004</v>
      </c>
      <c r="AR172" s="42" t="s">
        <v>549</v>
      </c>
      <c r="AS172" s="42" t="s">
        <v>550</v>
      </c>
      <c r="AT172" s="43" t="s">
        <v>1276</v>
      </c>
      <c r="AU172" s="44">
        <v>34</v>
      </c>
      <c r="AV172" s="31">
        <v>17423968.199492574</v>
      </c>
      <c r="AW172" s="31">
        <v>718077.19</v>
      </c>
      <c r="AX172" s="31">
        <v>433754.54</v>
      </c>
      <c r="AY172" s="31">
        <v>58747.03</v>
      </c>
      <c r="AZ172" s="31">
        <v>2761794.4222793188</v>
      </c>
      <c r="BA172" s="31">
        <v>1293680.6570306832</v>
      </c>
      <c r="BB172" s="31">
        <v>901235.37519024755</v>
      </c>
      <c r="BC172" s="31">
        <f t="shared" si="15"/>
        <v>24067363.513992824</v>
      </c>
      <c r="BD172" s="31">
        <v>476106.10000000003</v>
      </c>
    </row>
    <row r="173" spans="2:56">
      <c r="B173" s="42" t="s">
        <v>145</v>
      </c>
      <c r="C173" s="42" t="s">
        <v>146</v>
      </c>
      <c r="D173" s="43" t="s">
        <v>1049</v>
      </c>
      <c r="E173" s="44">
        <v>34</v>
      </c>
      <c r="F173" s="31">
        <v>6384921.8202214371</v>
      </c>
      <c r="G173" s="31">
        <v>340854.69000000006</v>
      </c>
      <c r="H173" s="31">
        <v>28745.600000000002</v>
      </c>
      <c r="I173" s="31">
        <v>20365.53</v>
      </c>
      <c r="J173" s="31">
        <v>898107.67840627523</v>
      </c>
      <c r="K173" s="31">
        <v>593477.41942498717</v>
      </c>
      <c r="L173" s="31">
        <v>346985.02301399177</v>
      </c>
      <c r="M173" s="31">
        <f t="shared" si="12"/>
        <v>8823836.6210666914</v>
      </c>
      <c r="N173" s="31">
        <v>210378.86</v>
      </c>
      <c r="P173" s="42" t="s">
        <v>145</v>
      </c>
      <c r="Q173" s="42" t="s">
        <v>146</v>
      </c>
      <c r="R173" s="43" t="s">
        <v>1050</v>
      </c>
      <c r="S173" s="44">
        <v>34</v>
      </c>
      <c r="T173" s="31">
        <v>6864457.2422579518</v>
      </c>
      <c r="U173" s="31">
        <v>366475.71000000008</v>
      </c>
      <c r="V173" s="31">
        <v>30611.470000000005</v>
      </c>
      <c r="W173" s="31">
        <v>21687.45</v>
      </c>
      <c r="X173" s="31">
        <v>951370.85971890308</v>
      </c>
      <c r="Y173" s="31">
        <v>594402.18243798078</v>
      </c>
      <c r="Z173" s="31">
        <v>371713.88027211546</v>
      </c>
      <c r="AA173" s="31">
        <f t="shared" si="13"/>
        <v>9421256.7046869509</v>
      </c>
      <c r="AB173" s="31">
        <v>220537.90999999995</v>
      </c>
      <c r="AD173" s="42" t="s">
        <v>145</v>
      </c>
      <c r="AE173" s="42" t="s">
        <v>146</v>
      </c>
      <c r="AF173" s="43" t="s">
        <v>1275</v>
      </c>
      <c r="AG173" s="44">
        <v>34</v>
      </c>
      <c r="AH173" s="31">
        <v>6985785.5063601686</v>
      </c>
      <c r="AI173" s="31">
        <v>372812.81000000006</v>
      </c>
      <c r="AJ173" s="31">
        <v>31145.180000000004</v>
      </c>
      <c r="AK173" s="31">
        <v>22065.559999999994</v>
      </c>
      <c r="AL173" s="31">
        <v>968076.44303691434</v>
      </c>
      <c r="AM173" s="31">
        <v>593699.61196238338</v>
      </c>
      <c r="AN173" s="31">
        <v>378253.8783943681</v>
      </c>
      <c r="AO173" s="31">
        <f t="shared" si="14"/>
        <v>9576274.2897538356</v>
      </c>
      <c r="AP173" s="31">
        <v>224435.29999999996</v>
      </c>
      <c r="AR173" s="42" t="s">
        <v>145</v>
      </c>
      <c r="AS173" s="42" t="s">
        <v>146</v>
      </c>
      <c r="AT173" s="43" t="s">
        <v>1276</v>
      </c>
      <c r="AU173" s="44">
        <v>34</v>
      </c>
      <c r="AV173" s="31">
        <v>7115657.188479295</v>
      </c>
      <c r="AW173" s="31">
        <v>379599.85000000009</v>
      </c>
      <c r="AX173" s="31">
        <v>31716.77</v>
      </c>
      <c r="AY173" s="31">
        <v>22470.52</v>
      </c>
      <c r="AZ173" s="31">
        <v>985968.01084529632</v>
      </c>
      <c r="BA173" s="31">
        <v>593719.6854045433</v>
      </c>
      <c r="BB173" s="31">
        <v>385257.99519050075</v>
      </c>
      <c r="BC173" s="31">
        <f t="shared" si="15"/>
        <v>9742999.4199196342</v>
      </c>
      <c r="BD173" s="31">
        <v>228609.39999999994</v>
      </c>
    </row>
    <row r="174" spans="2:56">
      <c r="B174" s="42" t="s">
        <v>113</v>
      </c>
      <c r="C174" s="42" t="s">
        <v>114</v>
      </c>
      <c r="D174" s="43" t="s">
        <v>1049</v>
      </c>
      <c r="E174" s="44">
        <v>34</v>
      </c>
      <c r="F174" s="31">
        <v>16709870.13729937</v>
      </c>
      <c r="G174" s="31">
        <v>958056.95000000019</v>
      </c>
      <c r="H174" s="31">
        <v>1128386.83</v>
      </c>
      <c r="I174" s="31">
        <v>57198.879999999997</v>
      </c>
      <c r="J174" s="31">
        <v>2692651.9099983489</v>
      </c>
      <c r="K174" s="31">
        <v>1509616.5768358549</v>
      </c>
      <c r="L174" s="31">
        <v>989890.6474760616</v>
      </c>
      <c r="M174" s="31">
        <f t="shared" si="12"/>
        <v>24635882.551609635</v>
      </c>
      <c r="N174" s="31">
        <v>590210.61999999988</v>
      </c>
      <c r="P174" s="42" t="s">
        <v>113</v>
      </c>
      <c r="Q174" s="42" t="s">
        <v>114</v>
      </c>
      <c r="R174" s="43" t="s">
        <v>1050</v>
      </c>
      <c r="S174" s="44">
        <v>34</v>
      </c>
      <c r="T174" s="31">
        <v>17971699.56990106</v>
      </c>
      <c r="U174" s="31">
        <v>1030052.7800000004</v>
      </c>
      <c r="V174" s="31">
        <v>1201629.45</v>
      </c>
      <c r="W174" s="31">
        <v>60911.62000000001</v>
      </c>
      <c r="X174" s="31">
        <v>2852395.0043617366</v>
      </c>
      <c r="Y174" s="31">
        <v>1512549.2178475123</v>
      </c>
      <c r="Z174" s="31">
        <v>1060773.7053432551</v>
      </c>
      <c r="AA174" s="31">
        <f t="shared" si="13"/>
        <v>26308722.847453564</v>
      </c>
      <c r="AB174" s="31">
        <v>618711.49999999988</v>
      </c>
      <c r="AD174" s="42" t="s">
        <v>113</v>
      </c>
      <c r="AE174" s="42" t="s">
        <v>114</v>
      </c>
      <c r="AF174" s="43" t="s">
        <v>1275</v>
      </c>
      <c r="AG174" s="44">
        <v>34</v>
      </c>
      <c r="AH174" s="31">
        <v>18292617.94950971</v>
      </c>
      <c r="AI174" s="31">
        <v>1047864.7500000001</v>
      </c>
      <c r="AJ174" s="31">
        <v>1222579.6599999999</v>
      </c>
      <c r="AK174" s="31">
        <v>61973.61</v>
      </c>
      <c r="AL174" s="31">
        <v>2902497.5613410911</v>
      </c>
      <c r="AM174" s="31">
        <v>1510321.2016299882</v>
      </c>
      <c r="AN174" s="31">
        <v>1079437.4584860522</v>
      </c>
      <c r="AO174" s="31">
        <f t="shared" si="14"/>
        <v>26746937.660966843</v>
      </c>
      <c r="AP174" s="31">
        <v>629645.47000000009</v>
      </c>
      <c r="AR174" s="42" t="s">
        <v>113</v>
      </c>
      <c r="AS174" s="42" t="s">
        <v>114</v>
      </c>
      <c r="AT174" s="43" t="s">
        <v>1276</v>
      </c>
      <c r="AU174" s="44">
        <v>34</v>
      </c>
      <c r="AV174" s="31">
        <v>18635961.703887515</v>
      </c>
      <c r="AW174" s="31">
        <v>1066941.3700000006</v>
      </c>
      <c r="AX174" s="31">
        <v>1245017.3399999999</v>
      </c>
      <c r="AY174" s="31">
        <v>63111</v>
      </c>
      <c r="AZ174" s="31">
        <v>2956157.1522193337</v>
      </c>
      <c r="BA174" s="31">
        <v>1510384.8592362031</v>
      </c>
      <c r="BB174" s="31">
        <v>1099425.7072949875</v>
      </c>
      <c r="BC174" s="31">
        <f t="shared" si="15"/>
        <v>27218354.892638039</v>
      </c>
      <c r="BD174" s="31">
        <v>641355.75999999989</v>
      </c>
    </row>
    <row r="175" spans="2:56">
      <c r="B175" s="42" t="s">
        <v>231</v>
      </c>
      <c r="C175" s="42" t="s">
        <v>232</v>
      </c>
      <c r="D175" s="43" t="s">
        <v>1049</v>
      </c>
      <c r="E175" s="44">
        <v>34</v>
      </c>
      <c r="F175" s="31">
        <v>49315801.343260519</v>
      </c>
      <c r="G175" s="31">
        <v>1299260.1499999999</v>
      </c>
      <c r="H175" s="31">
        <v>426386.77</v>
      </c>
      <c r="I175" s="31">
        <v>176381.41000000003</v>
      </c>
      <c r="J175" s="31">
        <v>7601825.8501590816</v>
      </c>
      <c r="K175" s="31">
        <v>3261896.604598667</v>
      </c>
      <c r="L175" s="31">
        <v>3482825.6920225676</v>
      </c>
      <c r="M175" s="31">
        <f t="shared" si="12"/>
        <v>65675378.400040828</v>
      </c>
      <c r="N175" s="31">
        <v>111000.58</v>
      </c>
      <c r="P175" s="42" t="s">
        <v>231</v>
      </c>
      <c r="Q175" s="42" t="s">
        <v>232</v>
      </c>
      <c r="R175" s="43" t="s">
        <v>1050</v>
      </c>
      <c r="S175" s="44">
        <v>34</v>
      </c>
      <c r="T175" s="31">
        <v>52474666.115757823</v>
      </c>
      <c r="U175" s="31">
        <v>1383820.81</v>
      </c>
      <c r="V175" s="31">
        <v>453603.56</v>
      </c>
      <c r="W175" s="31">
        <v>187640.04</v>
      </c>
      <c r="X175" s="31">
        <v>8050415.7888420485</v>
      </c>
      <c r="Y175" s="31">
        <v>3273154.1569220619</v>
      </c>
      <c r="Z175" s="31">
        <v>3694950.6357866707</v>
      </c>
      <c r="AA175" s="31">
        <f t="shared" si="13"/>
        <v>69634709.717308611</v>
      </c>
      <c r="AB175" s="31">
        <v>116458.60999999999</v>
      </c>
      <c r="AD175" s="42" t="s">
        <v>231</v>
      </c>
      <c r="AE175" s="42" t="s">
        <v>232</v>
      </c>
      <c r="AF175" s="43" t="s">
        <v>1275</v>
      </c>
      <c r="AG175" s="44">
        <v>34</v>
      </c>
      <c r="AH175" s="31">
        <v>53440498.675690778</v>
      </c>
      <c r="AI175" s="31">
        <v>1408388.71</v>
      </c>
      <c r="AJ175" s="31">
        <v>461664.66</v>
      </c>
      <c r="AK175" s="31">
        <v>190974.63999999998</v>
      </c>
      <c r="AL175" s="31">
        <v>8193934.1530189868</v>
      </c>
      <c r="AM175" s="31">
        <v>3264338.1765824622</v>
      </c>
      <c r="AN175" s="31">
        <v>3760902.7751636384</v>
      </c>
      <c r="AO175" s="31">
        <f t="shared" si="14"/>
        <v>70839254.310455859</v>
      </c>
      <c r="AP175" s="31">
        <v>118552.51999999999</v>
      </c>
      <c r="AR175" s="42" t="s">
        <v>231</v>
      </c>
      <c r="AS175" s="42" t="s">
        <v>232</v>
      </c>
      <c r="AT175" s="43" t="s">
        <v>1276</v>
      </c>
      <c r="AU175" s="44">
        <v>34</v>
      </c>
      <c r="AV175" s="31">
        <v>54472831.313067466</v>
      </c>
      <c r="AW175" s="31">
        <v>1434700.96</v>
      </c>
      <c r="AX175" s="31">
        <v>470298.09</v>
      </c>
      <c r="AY175" s="31">
        <v>194545.99</v>
      </c>
      <c r="AZ175" s="31">
        <v>8347641.7880501682</v>
      </c>
      <c r="BA175" s="31">
        <v>3264590.0617350219</v>
      </c>
      <c r="BB175" s="31">
        <v>3831535.5488505699</v>
      </c>
      <c r="BC175" s="31">
        <f t="shared" si="15"/>
        <v>72136938.831703231</v>
      </c>
      <c r="BD175" s="31">
        <v>120795.07999999999</v>
      </c>
    </row>
    <row r="176" spans="2:56">
      <c r="B176" s="42" t="s">
        <v>323</v>
      </c>
      <c r="C176" s="42" t="s">
        <v>324</v>
      </c>
      <c r="D176" s="43" t="s">
        <v>1049</v>
      </c>
      <c r="E176" s="44">
        <v>34</v>
      </c>
      <c r="F176" s="31">
        <v>18452896.1620875</v>
      </c>
      <c r="G176" s="31">
        <v>844105.79</v>
      </c>
      <c r="H176" s="31">
        <v>482126.31</v>
      </c>
      <c r="I176" s="31">
        <v>66793.849999999991</v>
      </c>
      <c r="J176" s="31">
        <v>3123279.1372091332</v>
      </c>
      <c r="K176" s="31">
        <v>2097123.2148924915</v>
      </c>
      <c r="L176" s="31">
        <v>2173907.8017640822</v>
      </c>
      <c r="M176" s="31">
        <f t="shared" si="12"/>
        <v>27673314.875953205</v>
      </c>
      <c r="N176" s="31">
        <v>433082.60999999993</v>
      </c>
      <c r="P176" s="42" t="s">
        <v>323</v>
      </c>
      <c r="Q176" s="42" t="s">
        <v>324</v>
      </c>
      <c r="R176" s="43" t="s">
        <v>1050</v>
      </c>
      <c r="S176" s="44">
        <v>34</v>
      </c>
      <c r="T176" s="31">
        <v>19833543.363384433</v>
      </c>
      <c r="U176" s="31">
        <v>905448.56999999983</v>
      </c>
      <c r="V176" s="31">
        <v>513230.06</v>
      </c>
      <c r="W176" s="31">
        <v>71102.959999999992</v>
      </c>
      <c r="X176" s="31">
        <v>3308202.0903508272</v>
      </c>
      <c r="Y176" s="31">
        <v>2102439.5953407544</v>
      </c>
      <c r="Z176" s="31">
        <v>2329523.6479718247</v>
      </c>
      <c r="AA176" s="31">
        <f t="shared" si="13"/>
        <v>29517626.277047835</v>
      </c>
      <c r="AB176" s="31">
        <v>454135.98999999993</v>
      </c>
      <c r="AD176" s="42" t="s">
        <v>323</v>
      </c>
      <c r="AE176" s="42" t="s">
        <v>324</v>
      </c>
      <c r="AF176" s="43" t="s">
        <v>1275</v>
      </c>
      <c r="AG176" s="44">
        <v>34</v>
      </c>
      <c r="AH176" s="31">
        <v>20200233.766431816</v>
      </c>
      <c r="AI176" s="31">
        <v>921243.55999999994</v>
      </c>
      <c r="AJ176" s="31">
        <v>522241.44</v>
      </c>
      <c r="AK176" s="31">
        <v>72351.39</v>
      </c>
      <c r="AL176" s="31">
        <v>3366631.1953306757</v>
      </c>
      <c r="AM176" s="31">
        <v>2098356.2569767544</v>
      </c>
      <c r="AN176" s="31">
        <v>2370723.0816073809</v>
      </c>
      <c r="AO176" s="31">
        <f t="shared" si="14"/>
        <v>30013993.520346627</v>
      </c>
      <c r="AP176" s="31">
        <v>462212.82999999996</v>
      </c>
      <c r="AR176" s="42" t="s">
        <v>323</v>
      </c>
      <c r="AS176" s="42" t="s">
        <v>324</v>
      </c>
      <c r="AT176" s="43" t="s">
        <v>1276</v>
      </c>
      <c r="AU176" s="44">
        <v>34</v>
      </c>
      <c r="AV176" s="31">
        <v>20591867.43651383</v>
      </c>
      <c r="AW176" s="31">
        <v>938159.97</v>
      </c>
      <c r="AX176" s="31">
        <v>531892.64000000013</v>
      </c>
      <c r="AY176" s="31">
        <v>73688.47</v>
      </c>
      <c r="AZ176" s="31">
        <v>3429208.5678914981</v>
      </c>
      <c r="BA176" s="31">
        <v>2098472.9237871543</v>
      </c>
      <c r="BB176" s="31">
        <v>2414846.3463460607</v>
      </c>
      <c r="BC176" s="31">
        <f t="shared" si="15"/>
        <v>30548999.48453854</v>
      </c>
      <c r="BD176" s="31">
        <v>470863.12999999995</v>
      </c>
    </row>
    <row r="177" spans="2:56">
      <c r="B177" s="42" t="s">
        <v>353</v>
      </c>
      <c r="C177" s="42" t="s">
        <v>354</v>
      </c>
      <c r="D177" s="43" t="s">
        <v>1049</v>
      </c>
      <c r="E177" s="44">
        <v>34</v>
      </c>
      <c r="F177" s="31">
        <v>1941549.5505428584</v>
      </c>
      <c r="G177" s="31">
        <v>38002.65</v>
      </c>
      <c r="H177" s="31">
        <v>0</v>
      </c>
      <c r="I177" s="31">
        <v>0</v>
      </c>
      <c r="J177" s="31">
        <v>74725.554338031492</v>
      </c>
      <c r="K177" s="31">
        <v>149369.75704981267</v>
      </c>
      <c r="L177" s="31">
        <v>0</v>
      </c>
      <c r="M177" s="31">
        <f t="shared" si="12"/>
        <v>2228787.7519307025</v>
      </c>
      <c r="N177" s="31">
        <v>25140.239999999998</v>
      </c>
      <c r="P177" s="42" t="s">
        <v>353</v>
      </c>
      <c r="Q177" s="42" t="s">
        <v>354</v>
      </c>
      <c r="R177" s="43" t="s">
        <v>1050</v>
      </c>
      <c r="S177" s="44">
        <v>34</v>
      </c>
      <c r="T177" s="31">
        <v>2068628.8831605096</v>
      </c>
      <c r="U177" s="31">
        <v>40887.199999999997</v>
      </c>
      <c r="V177" s="31">
        <v>0</v>
      </c>
      <c r="W177" s="31">
        <v>0</v>
      </c>
      <c r="X177" s="31">
        <v>79158.862974724412</v>
      </c>
      <c r="Y177" s="31">
        <v>149768.95619588817</v>
      </c>
      <c r="Z177" s="31">
        <v>0</v>
      </c>
      <c r="AA177" s="31">
        <f t="shared" si="13"/>
        <v>2364798.1423311224</v>
      </c>
      <c r="AB177" s="31">
        <v>26354.240000000002</v>
      </c>
      <c r="AD177" s="42" t="s">
        <v>353</v>
      </c>
      <c r="AE177" s="42" t="s">
        <v>354</v>
      </c>
      <c r="AF177" s="43" t="s">
        <v>1275</v>
      </c>
      <c r="AG177" s="44">
        <v>34</v>
      </c>
      <c r="AH177" s="31">
        <v>2104736.6445325762</v>
      </c>
      <c r="AI177" s="31">
        <v>41593.820000000007</v>
      </c>
      <c r="AJ177" s="31">
        <v>0</v>
      </c>
      <c r="AK177" s="31">
        <v>0</v>
      </c>
      <c r="AL177" s="31">
        <v>80549.00203476561</v>
      </c>
      <c r="AM177" s="31">
        <v>149465.67251133817</v>
      </c>
      <c r="AN177" s="31">
        <v>0</v>
      </c>
      <c r="AO177" s="31">
        <f t="shared" si="14"/>
        <v>2403165.1090786802</v>
      </c>
      <c r="AP177" s="31">
        <v>26819.97</v>
      </c>
      <c r="AR177" s="42" t="s">
        <v>353</v>
      </c>
      <c r="AS177" s="42" t="s">
        <v>354</v>
      </c>
      <c r="AT177" s="43" t="s">
        <v>1276</v>
      </c>
      <c r="AU177" s="44">
        <v>34</v>
      </c>
      <c r="AV177" s="31">
        <v>2143394.7513406896</v>
      </c>
      <c r="AW177" s="31">
        <v>42350.59</v>
      </c>
      <c r="AX177" s="31">
        <v>0</v>
      </c>
      <c r="AY177" s="31">
        <v>0</v>
      </c>
      <c r="AZ177" s="31">
        <v>82037.831520888663</v>
      </c>
      <c r="BA177" s="31">
        <v>149474.33775946818</v>
      </c>
      <c r="BB177" s="31">
        <v>0</v>
      </c>
      <c r="BC177" s="31">
        <f t="shared" si="15"/>
        <v>2444576.2806210462</v>
      </c>
      <c r="BD177" s="31">
        <v>27318.77</v>
      </c>
    </row>
    <row r="178" spans="2:56">
      <c r="B178" s="42" t="s">
        <v>509</v>
      </c>
      <c r="C178" s="42" t="s">
        <v>510</v>
      </c>
      <c r="D178" s="43" t="s">
        <v>1049</v>
      </c>
      <c r="E178" s="44">
        <v>34</v>
      </c>
      <c r="F178" s="31">
        <v>123435730.01552919</v>
      </c>
      <c r="G178" s="31">
        <v>4131326.8099999996</v>
      </c>
      <c r="H178" s="31">
        <v>1391366.9499999997</v>
      </c>
      <c r="I178" s="31">
        <v>430464.23000000004</v>
      </c>
      <c r="J178" s="31">
        <v>20149568.994290508</v>
      </c>
      <c r="K178" s="31">
        <v>7819920.7465654491</v>
      </c>
      <c r="L178" s="31">
        <v>9346521.1997727305</v>
      </c>
      <c r="M178" s="31">
        <f t="shared" si="12"/>
        <v>167711904.81615788</v>
      </c>
      <c r="N178" s="31">
        <v>1007005.8700000001</v>
      </c>
      <c r="P178" s="42" t="s">
        <v>509</v>
      </c>
      <c r="Q178" s="42" t="s">
        <v>510</v>
      </c>
      <c r="R178" s="43" t="s">
        <v>1050</v>
      </c>
      <c r="S178" s="44">
        <v>34</v>
      </c>
      <c r="T178" s="31">
        <v>130569876.24511003</v>
      </c>
      <c r="U178" s="31">
        <v>4377383.7000000011</v>
      </c>
      <c r="V178" s="31">
        <v>1468770.6299999997</v>
      </c>
      <c r="W178" s="31">
        <v>454411.56999999995</v>
      </c>
      <c r="X178" s="31">
        <v>21193719.873964343</v>
      </c>
      <c r="Y178" s="31">
        <v>7837821.6796908369</v>
      </c>
      <c r="Z178" s="31">
        <v>9851426.38091629</v>
      </c>
      <c r="AA178" s="31">
        <f t="shared" si="13"/>
        <v>176800211.64968148</v>
      </c>
      <c r="AB178" s="31">
        <v>1046801.5700000001</v>
      </c>
      <c r="AD178" s="42" t="s">
        <v>509</v>
      </c>
      <c r="AE178" s="42" t="s">
        <v>510</v>
      </c>
      <c r="AF178" s="43" t="s">
        <v>1275</v>
      </c>
      <c r="AG178" s="44">
        <v>34</v>
      </c>
      <c r="AH178" s="31">
        <v>132949218.90887347</v>
      </c>
      <c r="AI178" s="31">
        <v>4453736.6500000013</v>
      </c>
      <c r="AJ178" s="31">
        <v>1494471.3099999998</v>
      </c>
      <c r="AK178" s="31">
        <v>462362.88999999996</v>
      </c>
      <c r="AL178" s="31">
        <v>21567020.490250975</v>
      </c>
      <c r="AM178" s="31">
        <v>7824132.2298695864</v>
      </c>
      <c r="AN178" s="31">
        <v>10025233.860920632</v>
      </c>
      <c r="AO178" s="31">
        <f t="shared" si="14"/>
        <v>179841537.79991466</v>
      </c>
      <c r="AP178" s="31">
        <v>1065361.46</v>
      </c>
      <c r="AR178" s="42" t="s">
        <v>509</v>
      </c>
      <c r="AS178" s="42" t="s">
        <v>510</v>
      </c>
      <c r="AT178" s="43" t="s">
        <v>1276</v>
      </c>
      <c r="AU178" s="44">
        <v>34</v>
      </c>
      <c r="AV178" s="31">
        <v>135492156.80268461</v>
      </c>
      <c r="AW178" s="31">
        <v>4535510.6800000016</v>
      </c>
      <c r="AX178" s="31">
        <v>1521996.73</v>
      </c>
      <c r="AY178" s="31">
        <v>470878.76999999996</v>
      </c>
      <c r="AZ178" s="31">
        <v>21966823.747585353</v>
      </c>
      <c r="BA178" s="31">
        <v>7824523.3570073359</v>
      </c>
      <c r="BB178" s="31">
        <v>10211375.88046688</v>
      </c>
      <c r="BC178" s="31">
        <f t="shared" si="15"/>
        <v>183108505.06774417</v>
      </c>
      <c r="BD178" s="31">
        <v>1085239.0999999999</v>
      </c>
    </row>
    <row r="179" spans="2:56">
      <c r="B179" s="42" t="s">
        <v>503</v>
      </c>
      <c r="C179" s="42" t="s">
        <v>504</v>
      </c>
      <c r="D179" s="43" t="s">
        <v>1049</v>
      </c>
      <c r="E179" s="44">
        <v>34</v>
      </c>
      <c r="F179" s="31">
        <v>3110220.5753675755</v>
      </c>
      <c r="G179" s="31">
        <v>104848.38999999998</v>
      </c>
      <c r="H179" s="31">
        <v>0</v>
      </c>
      <c r="I179" s="31">
        <v>0</v>
      </c>
      <c r="J179" s="31">
        <v>207434.68508498417</v>
      </c>
      <c r="K179" s="31">
        <v>281291.59612940717</v>
      </c>
      <c r="L179" s="31">
        <v>61693.83171361687</v>
      </c>
      <c r="M179" s="31">
        <f t="shared" si="12"/>
        <v>3808363.8682955839</v>
      </c>
      <c r="N179" s="31">
        <v>42874.790000000008</v>
      </c>
      <c r="P179" s="42" t="s">
        <v>503</v>
      </c>
      <c r="Q179" s="42" t="s">
        <v>504</v>
      </c>
      <c r="R179" s="43" t="s">
        <v>1050</v>
      </c>
      <c r="S179" s="44">
        <v>34</v>
      </c>
      <c r="T179" s="31">
        <v>3324860.6822963669</v>
      </c>
      <c r="U179" s="31">
        <v>112366.57</v>
      </c>
      <c r="V179" s="31">
        <v>0</v>
      </c>
      <c r="W179" s="31">
        <v>0</v>
      </c>
      <c r="X179" s="31">
        <v>219751.03847271783</v>
      </c>
      <c r="Y179" s="31">
        <v>281920.7312599867</v>
      </c>
      <c r="Z179" s="31">
        <v>66108.48422435562</v>
      </c>
      <c r="AA179" s="31">
        <f t="shared" si="13"/>
        <v>4049952.7062534271</v>
      </c>
      <c r="AB179" s="31">
        <v>44945.200000000012</v>
      </c>
      <c r="AD179" s="42" t="s">
        <v>503</v>
      </c>
      <c r="AE179" s="42" t="s">
        <v>504</v>
      </c>
      <c r="AF179" s="43" t="s">
        <v>1275</v>
      </c>
      <c r="AG179" s="44">
        <v>34</v>
      </c>
      <c r="AH179" s="31">
        <v>3391409.0495128967</v>
      </c>
      <c r="AI179" s="31">
        <v>114315.00000000003</v>
      </c>
      <c r="AJ179" s="31">
        <v>0</v>
      </c>
      <c r="AK179" s="31">
        <v>0</v>
      </c>
      <c r="AL179" s="31">
        <v>223615.44429546286</v>
      </c>
      <c r="AM179" s="31">
        <v>281442.75824236422</v>
      </c>
      <c r="AN179" s="31">
        <v>67271.680920315528</v>
      </c>
      <c r="AO179" s="31">
        <f t="shared" si="14"/>
        <v>4123793.4029710391</v>
      </c>
      <c r="AP179" s="31">
        <v>45739.470000000008</v>
      </c>
      <c r="AR179" s="42" t="s">
        <v>503</v>
      </c>
      <c r="AS179" s="42" t="s">
        <v>504</v>
      </c>
      <c r="AT179" s="43" t="s">
        <v>1276</v>
      </c>
      <c r="AU179" s="44">
        <v>34</v>
      </c>
      <c r="AV179" s="31">
        <v>3462139.1726295454</v>
      </c>
      <c r="AW179" s="31">
        <v>116401.76000000001</v>
      </c>
      <c r="AX179" s="31">
        <v>0</v>
      </c>
      <c r="AY179" s="31">
        <v>0</v>
      </c>
      <c r="AZ179" s="31">
        <v>227754.2323889868</v>
      </c>
      <c r="BA179" s="31">
        <v>281456.41461429623</v>
      </c>
      <c r="BB179" s="31">
        <v>68517.425188088586</v>
      </c>
      <c r="BC179" s="31">
        <f t="shared" si="15"/>
        <v>4202859.1448209165</v>
      </c>
      <c r="BD179" s="31">
        <v>46590.140000000007</v>
      </c>
    </row>
    <row r="180" spans="2:56">
      <c r="B180" s="42" t="s">
        <v>219</v>
      </c>
      <c r="C180" s="42" t="s">
        <v>220</v>
      </c>
      <c r="D180" s="43" t="s">
        <v>1049</v>
      </c>
      <c r="E180" s="44">
        <v>34</v>
      </c>
      <c r="F180" s="31">
        <v>208765894.03656435</v>
      </c>
      <c r="G180" s="31">
        <v>2348627.81</v>
      </c>
      <c r="H180" s="31">
        <v>3799313.9599999995</v>
      </c>
      <c r="I180" s="31">
        <v>730368.00999999989</v>
      </c>
      <c r="J180" s="31">
        <v>27960204.93074733</v>
      </c>
      <c r="K180" s="31">
        <v>11460425.155261811</v>
      </c>
      <c r="L180" s="31">
        <v>10817746.007111154</v>
      </c>
      <c r="M180" s="31">
        <f t="shared" si="12"/>
        <v>265882579.90968466</v>
      </c>
      <c r="N180" s="31">
        <v>0</v>
      </c>
      <c r="P180" s="42" t="s">
        <v>219</v>
      </c>
      <c r="Q180" s="42" t="s">
        <v>220</v>
      </c>
      <c r="R180" s="43" t="s">
        <v>1050</v>
      </c>
      <c r="S180" s="44">
        <v>34</v>
      </c>
      <c r="T180" s="31">
        <v>222093156.02654365</v>
      </c>
      <c r="U180" s="31">
        <v>2498543.65</v>
      </c>
      <c r="V180" s="31">
        <v>4041828.9099999997</v>
      </c>
      <c r="W180" s="31">
        <v>776988.34000000008</v>
      </c>
      <c r="X180" s="31">
        <v>29609887.951665465</v>
      </c>
      <c r="Y180" s="31">
        <v>11483950.082505308</v>
      </c>
      <c r="Z180" s="31">
        <v>11476611.883216318</v>
      </c>
      <c r="AA180" s="31">
        <f t="shared" si="13"/>
        <v>281980966.84393072</v>
      </c>
      <c r="AB180" s="31">
        <v>0</v>
      </c>
      <c r="AD180" s="42" t="s">
        <v>219</v>
      </c>
      <c r="AE180" s="42" t="s">
        <v>220</v>
      </c>
      <c r="AF180" s="43" t="s">
        <v>1275</v>
      </c>
      <c r="AG180" s="44">
        <v>34</v>
      </c>
      <c r="AH180" s="31">
        <v>226124608.51730281</v>
      </c>
      <c r="AI180" s="31">
        <v>2542945.84</v>
      </c>
      <c r="AJ180" s="31">
        <v>4113657.19</v>
      </c>
      <c r="AK180" s="31">
        <v>790796.37999999989</v>
      </c>
      <c r="AL180" s="31">
        <v>30137702.547585044</v>
      </c>
      <c r="AM180" s="31">
        <v>11465527.312607257</v>
      </c>
      <c r="AN180" s="31">
        <v>11681460.740616478</v>
      </c>
      <c r="AO180" s="31">
        <f t="shared" si="14"/>
        <v>286856698.52811158</v>
      </c>
      <c r="AP180" s="31">
        <v>0</v>
      </c>
      <c r="AR180" s="42" t="s">
        <v>219</v>
      </c>
      <c r="AS180" s="42" t="s">
        <v>220</v>
      </c>
      <c r="AT180" s="43" t="s">
        <v>1276</v>
      </c>
      <c r="AU180" s="44">
        <v>34</v>
      </c>
      <c r="AV180" s="31">
        <v>230437223.70876667</v>
      </c>
      <c r="AW180" s="31">
        <v>2590500.5999999996</v>
      </c>
      <c r="AX180" s="31">
        <v>4190585.27</v>
      </c>
      <c r="AY180" s="31">
        <v>805584.78999999992</v>
      </c>
      <c r="AZ180" s="31">
        <v>30702989.669883557</v>
      </c>
      <c r="BA180" s="31">
        <v>11466053.677461486</v>
      </c>
      <c r="BB180" s="31">
        <v>11900847.755676847</v>
      </c>
      <c r="BC180" s="31">
        <f t="shared" si="15"/>
        <v>292093785.47178859</v>
      </c>
      <c r="BD180" s="31">
        <v>0</v>
      </c>
    </row>
    <row r="181" spans="2:56">
      <c r="B181" s="42" t="s">
        <v>167</v>
      </c>
      <c r="C181" s="42" t="s">
        <v>168</v>
      </c>
      <c r="D181" s="43" t="s">
        <v>1049</v>
      </c>
      <c r="E181" s="44">
        <v>34</v>
      </c>
      <c r="F181" s="31">
        <v>47837802.29688777</v>
      </c>
      <c r="G181" s="31">
        <v>1462102.0699999996</v>
      </c>
      <c r="H181" s="31">
        <v>369512.68000000005</v>
      </c>
      <c r="I181" s="31">
        <v>170693.52</v>
      </c>
      <c r="J181" s="31">
        <v>8510074.0109630115</v>
      </c>
      <c r="K181" s="31">
        <v>2406459.1287051979</v>
      </c>
      <c r="L181" s="31">
        <v>4453475.4989796439</v>
      </c>
      <c r="M181" s="31">
        <f t="shared" si="12"/>
        <v>65487927.225535631</v>
      </c>
      <c r="N181" s="31">
        <v>277808.02</v>
      </c>
      <c r="P181" s="42" t="s">
        <v>167</v>
      </c>
      <c r="Q181" s="42" t="s">
        <v>168</v>
      </c>
      <c r="R181" s="43" t="s">
        <v>1050</v>
      </c>
      <c r="S181" s="44">
        <v>34</v>
      </c>
      <c r="T181" s="31">
        <v>50914928.372665085</v>
      </c>
      <c r="U181" s="31">
        <v>1560141.69</v>
      </c>
      <c r="V181" s="31">
        <v>393219.18</v>
      </c>
      <c r="W181" s="31">
        <v>181644.55999999997</v>
      </c>
      <c r="X181" s="31">
        <v>9012923.0944644026</v>
      </c>
      <c r="Y181" s="31">
        <v>2410812.4203630541</v>
      </c>
      <c r="Z181" s="31">
        <v>4725486.8128136648</v>
      </c>
      <c r="AA181" s="31">
        <f t="shared" si="13"/>
        <v>69490550.470306218</v>
      </c>
      <c r="AB181" s="31">
        <v>291394.34000000008</v>
      </c>
      <c r="AD181" s="42" t="s">
        <v>167</v>
      </c>
      <c r="AE181" s="42" t="s">
        <v>168</v>
      </c>
      <c r="AF181" s="43" t="s">
        <v>1275</v>
      </c>
      <c r="AG181" s="44">
        <v>34</v>
      </c>
      <c r="AH181" s="31">
        <v>51848400.517768182</v>
      </c>
      <c r="AI181" s="31">
        <v>1587645.69</v>
      </c>
      <c r="AJ181" s="31">
        <v>400167.25999999995</v>
      </c>
      <c r="AK181" s="31">
        <v>184854.18</v>
      </c>
      <c r="AL181" s="31">
        <v>9172861.7693898194</v>
      </c>
      <c r="AM181" s="31">
        <v>2407434.9418552597</v>
      </c>
      <c r="AN181" s="31">
        <v>4809466.0315433824</v>
      </c>
      <c r="AO181" s="31">
        <f t="shared" si="14"/>
        <v>70707436.94055663</v>
      </c>
      <c r="AP181" s="31">
        <v>296606.55000000005</v>
      </c>
      <c r="AR181" s="42" t="s">
        <v>167</v>
      </c>
      <c r="AS181" s="42" t="s">
        <v>168</v>
      </c>
      <c r="AT181" s="43" t="s">
        <v>1276</v>
      </c>
      <c r="AU181" s="44">
        <v>34</v>
      </c>
      <c r="AV181" s="31">
        <v>52846128.369049042</v>
      </c>
      <c r="AW181" s="31">
        <v>1617102.48</v>
      </c>
      <c r="AX181" s="31">
        <v>407608.68</v>
      </c>
      <c r="AY181" s="31">
        <v>188291.67999999996</v>
      </c>
      <c r="AZ181" s="31">
        <v>9344155.4096295554</v>
      </c>
      <c r="BA181" s="31">
        <v>2407531.4412411964</v>
      </c>
      <c r="BB181" s="31">
        <v>4899405.1599395098</v>
      </c>
      <c r="BC181" s="31">
        <f t="shared" si="15"/>
        <v>72012412.039859295</v>
      </c>
      <c r="BD181" s="31">
        <v>302188.82000000007</v>
      </c>
    </row>
    <row r="182" spans="2:56">
      <c r="B182" s="42" t="s">
        <v>579</v>
      </c>
      <c r="C182" s="42" t="s">
        <v>580</v>
      </c>
      <c r="D182" s="43" t="s">
        <v>1049</v>
      </c>
      <c r="E182" s="44">
        <v>34</v>
      </c>
      <c r="F182" s="31">
        <v>2328287.7949679666</v>
      </c>
      <c r="G182" s="31">
        <v>37931.699999999997</v>
      </c>
      <c r="H182" s="31">
        <v>0</v>
      </c>
      <c r="I182" s="31">
        <v>0</v>
      </c>
      <c r="J182" s="31">
        <v>175051.28276503447</v>
      </c>
      <c r="K182" s="31">
        <v>357241.67165562755</v>
      </c>
      <c r="L182" s="31">
        <v>54435.959349026438</v>
      </c>
      <c r="M182" s="31">
        <f t="shared" si="12"/>
        <v>2952948.4087376553</v>
      </c>
      <c r="N182" s="31">
        <v>0</v>
      </c>
      <c r="P182" s="42" t="s">
        <v>579</v>
      </c>
      <c r="Q182" s="42" t="s">
        <v>580</v>
      </c>
      <c r="R182" s="43" t="s">
        <v>1050</v>
      </c>
      <c r="S182" s="44">
        <v>34</v>
      </c>
      <c r="T182" s="31">
        <v>2472473.0771106705</v>
      </c>
      <c r="U182" s="31">
        <v>40383.650000000009</v>
      </c>
      <c r="V182" s="31">
        <v>0</v>
      </c>
      <c r="W182" s="31">
        <v>0</v>
      </c>
      <c r="X182" s="31">
        <v>185421.12697257299</v>
      </c>
      <c r="Y182" s="31">
        <v>358125.34361605486</v>
      </c>
      <c r="Z182" s="31">
        <v>57777.103733754557</v>
      </c>
      <c r="AA182" s="31">
        <f t="shared" si="13"/>
        <v>3114180.3014330529</v>
      </c>
      <c r="AB182" s="31">
        <v>0</v>
      </c>
      <c r="AD182" s="42" t="s">
        <v>579</v>
      </c>
      <c r="AE182" s="42" t="s">
        <v>580</v>
      </c>
      <c r="AF182" s="43" t="s">
        <v>1275</v>
      </c>
      <c r="AG182" s="44">
        <v>34</v>
      </c>
      <c r="AH182" s="31">
        <v>2515867.19326607</v>
      </c>
      <c r="AI182" s="31">
        <v>41091.11</v>
      </c>
      <c r="AJ182" s="31">
        <v>0</v>
      </c>
      <c r="AK182" s="31">
        <v>0</v>
      </c>
      <c r="AL182" s="31">
        <v>188686.31908923667</v>
      </c>
      <c r="AM182" s="31">
        <v>357453.99125789816</v>
      </c>
      <c r="AN182" s="31">
        <v>58796.454821496045</v>
      </c>
      <c r="AO182" s="31">
        <f t="shared" si="14"/>
        <v>3161895.0684347008</v>
      </c>
      <c r="AP182" s="31">
        <v>0</v>
      </c>
      <c r="AR182" s="42" t="s">
        <v>579</v>
      </c>
      <c r="AS182" s="42" t="s">
        <v>580</v>
      </c>
      <c r="AT182" s="43" t="s">
        <v>1276</v>
      </c>
      <c r="AU182" s="44">
        <v>34</v>
      </c>
      <c r="AV182" s="31">
        <v>2562326.9342521378</v>
      </c>
      <c r="AW182" s="31">
        <v>41848.800000000003</v>
      </c>
      <c r="AX182" s="31">
        <v>0</v>
      </c>
      <c r="AY182" s="31">
        <v>0</v>
      </c>
      <c r="AZ182" s="31">
        <v>192183.32051191386</v>
      </c>
      <c r="BA182" s="31">
        <v>357473.17275384552</v>
      </c>
      <c r="BB182" s="31">
        <v>59888.145933067164</v>
      </c>
      <c r="BC182" s="31">
        <f t="shared" si="15"/>
        <v>3213720.3734509638</v>
      </c>
      <c r="BD182" s="31">
        <v>0</v>
      </c>
    </row>
    <row r="183" spans="2:56">
      <c r="B183" s="42" t="s">
        <v>165</v>
      </c>
      <c r="C183" s="42" t="s">
        <v>166</v>
      </c>
      <c r="D183" s="43" t="s">
        <v>1049</v>
      </c>
      <c r="E183" s="44">
        <v>34</v>
      </c>
      <c r="F183" s="31">
        <v>3343253.8851690879</v>
      </c>
      <c r="G183" s="31">
        <v>154446.71000000002</v>
      </c>
      <c r="H183" s="31">
        <v>0</v>
      </c>
      <c r="I183" s="31">
        <v>9257.0600000000013</v>
      </c>
      <c r="J183" s="31">
        <v>437668.49279422534</v>
      </c>
      <c r="K183" s="31">
        <v>156279.95291078085</v>
      </c>
      <c r="L183" s="31">
        <v>254948.98544175434</v>
      </c>
      <c r="M183" s="31">
        <f t="shared" si="12"/>
        <v>4440727.7163158488</v>
      </c>
      <c r="N183" s="31">
        <v>84872.63</v>
      </c>
      <c r="P183" s="42" t="s">
        <v>165</v>
      </c>
      <c r="Q183" s="42" t="s">
        <v>166</v>
      </c>
      <c r="R183" s="43" t="s">
        <v>1050</v>
      </c>
      <c r="S183" s="44">
        <v>34</v>
      </c>
      <c r="T183" s="31">
        <v>3583726.0504191755</v>
      </c>
      <c r="U183" s="31">
        <v>165882.29</v>
      </c>
      <c r="V183" s="31">
        <v>0</v>
      </c>
      <c r="W183" s="31">
        <v>9857.93</v>
      </c>
      <c r="X183" s="31">
        <v>463630.85601554991</v>
      </c>
      <c r="Y183" s="31">
        <v>156632.76574020952</v>
      </c>
      <c r="Z183" s="31">
        <v>273190.62154042674</v>
      </c>
      <c r="AA183" s="31">
        <f t="shared" si="13"/>
        <v>4741891.5837153625</v>
      </c>
      <c r="AB183" s="31">
        <v>88971.07</v>
      </c>
      <c r="AD183" s="42" t="s">
        <v>165</v>
      </c>
      <c r="AE183" s="42" t="s">
        <v>166</v>
      </c>
      <c r="AF183" s="43" t="s">
        <v>1275</v>
      </c>
      <c r="AG183" s="44">
        <v>34</v>
      </c>
      <c r="AH183" s="31">
        <v>3648821.3742484371</v>
      </c>
      <c r="AI183" s="31">
        <v>168753.30000000002</v>
      </c>
      <c r="AJ183" s="31">
        <v>0</v>
      </c>
      <c r="AK183" s="31">
        <v>10029.810000000001</v>
      </c>
      <c r="AL183" s="31">
        <v>471775.17602312914</v>
      </c>
      <c r="AM183" s="31">
        <v>156364.72314563589</v>
      </c>
      <c r="AN183" s="31">
        <v>277997.18357371772</v>
      </c>
      <c r="AO183" s="31">
        <f t="shared" si="14"/>
        <v>4824284.9569909191</v>
      </c>
      <c r="AP183" s="31">
        <v>90543.390000000014</v>
      </c>
      <c r="AR183" s="42" t="s">
        <v>165</v>
      </c>
      <c r="AS183" s="42" t="s">
        <v>166</v>
      </c>
      <c r="AT183" s="43" t="s">
        <v>1276</v>
      </c>
      <c r="AU183" s="44">
        <v>34</v>
      </c>
      <c r="AV183" s="31">
        <v>3718378.982451566</v>
      </c>
      <c r="AW183" s="31">
        <v>171828.16999999993</v>
      </c>
      <c r="AX183" s="31">
        <v>0</v>
      </c>
      <c r="AY183" s="31">
        <v>10213.879999999999</v>
      </c>
      <c r="AZ183" s="31">
        <v>480497.70973195345</v>
      </c>
      <c r="BA183" s="31">
        <v>156372.38150548085</v>
      </c>
      <c r="BB183" s="31">
        <v>283144.84889957227</v>
      </c>
      <c r="BC183" s="31">
        <f t="shared" si="15"/>
        <v>4912663.3025885727</v>
      </c>
      <c r="BD183" s="31">
        <v>92227.33</v>
      </c>
    </row>
    <row r="184" spans="2:56">
      <c r="B184" s="42" t="s">
        <v>343</v>
      </c>
      <c r="C184" s="42" t="s">
        <v>344</v>
      </c>
      <c r="D184" s="43" t="s">
        <v>1049</v>
      </c>
      <c r="E184" s="44">
        <v>34</v>
      </c>
      <c r="F184" s="31">
        <v>8146740.6846200144</v>
      </c>
      <c r="G184" s="31">
        <v>409844.1100000001</v>
      </c>
      <c r="H184" s="31">
        <v>66845.72</v>
      </c>
      <c r="I184" s="31">
        <v>28745.600000000002</v>
      </c>
      <c r="J184" s="31">
        <v>1297826.7210932132</v>
      </c>
      <c r="K184" s="31">
        <v>905641.90498795279</v>
      </c>
      <c r="L184" s="31">
        <v>740529.53446643322</v>
      </c>
      <c r="M184" s="31">
        <f t="shared" si="12"/>
        <v>11888015.265167614</v>
      </c>
      <c r="N184" s="31">
        <v>291840.99</v>
      </c>
      <c r="P184" s="42" t="s">
        <v>343</v>
      </c>
      <c r="Q184" s="42" t="s">
        <v>344</v>
      </c>
      <c r="R184" s="43" t="s">
        <v>1050</v>
      </c>
      <c r="S184" s="44">
        <v>34</v>
      </c>
      <c r="T184" s="31">
        <v>8761682.7301229686</v>
      </c>
      <c r="U184" s="31">
        <v>441297.09</v>
      </c>
      <c r="V184" s="31">
        <v>71184.600000000006</v>
      </c>
      <c r="W184" s="31">
        <v>30611.470000000005</v>
      </c>
      <c r="X184" s="31">
        <v>1374845.7162355792</v>
      </c>
      <c r="Y184" s="31">
        <v>907290.50349614036</v>
      </c>
      <c r="Z184" s="31">
        <v>793594.24164585792</v>
      </c>
      <c r="AA184" s="31">
        <f t="shared" si="13"/>
        <v>12686440.151500547</v>
      </c>
      <c r="AB184" s="31">
        <v>305933.8</v>
      </c>
      <c r="AD184" s="42" t="s">
        <v>343</v>
      </c>
      <c r="AE184" s="42" t="s">
        <v>344</v>
      </c>
      <c r="AF184" s="43" t="s">
        <v>1275</v>
      </c>
      <c r="AG184" s="44">
        <v>34</v>
      </c>
      <c r="AH184" s="31">
        <v>8923954.9662600607</v>
      </c>
      <c r="AI184" s="31">
        <v>448918.43</v>
      </c>
      <c r="AJ184" s="31">
        <v>72425.709999999992</v>
      </c>
      <c r="AK184" s="31">
        <v>31145.180000000004</v>
      </c>
      <c r="AL184" s="31">
        <v>1399001.7467916328</v>
      </c>
      <c r="AM184" s="31">
        <v>906038.01326708496</v>
      </c>
      <c r="AN184" s="31">
        <v>807557.05835013522</v>
      </c>
      <c r="AO184" s="31">
        <f t="shared" si="14"/>
        <v>12900381.414668914</v>
      </c>
      <c r="AP184" s="31">
        <v>311340.31</v>
      </c>
      <c r="AR184" s="42" t="s">
        <v>343</v>
      </c>
      <c r="AS184" s="42" t="s">
        <v>344</v>
      </c>
      <c r="AT184" s="43" t="s">
        <v>1276</v>
      </c>
      <c r="AU184" s="44">
        <v>34</v>
      </c>
      <c r="AV184" s="31">
        <v>9097205.5458587483</v>
      </c>
      <c r="AW184" s="31">
        <v>457080.88999999996</v>
      </c>
      <c r="AX184" s="31">
        <v>73754.899999999994</v>
      </c>
      <c r="AY184" s="31">
        <v>31716.77</v>
      </c>
      <c r="AZ184" s="31">
        <v>1424872.7725220765</v>
      </c>
      <c r="BA184" s="31">
        <v>906073.79870220087</v>
      </c>
      <c r="BB184" s="31">
        <v>822510.763109616</v>
      </c>
      <c r="BC184" s="31">
        <f t="shared" si="15"/>
        <v>13130346.130192643</v>
      </c>
      <c r="BD184" s="31">
        <v>317130.69</v>
      </c>
    </row>
    <row r="185" spans="2:56">
      <c r="B185" s="42" t="s">
        <v>163</v>
      </c>
      <c r="C185" s="42" t="s">
        <v>164</v>
      </c>
      <c r="D185" s="43" t="s">
        <v>1049</v>
      </c>
      <c r="E185" s="44">
        <v>34</v>
      </c>
      <c r="F185" s="31">
        <v>5029803.8239824129</v>
      </c>
      <c r="G185" s="31">
        <v>271280.55999999994</v>
      </c>
      <c r="H185" s="31">
        <v>74056.47</v>
      </c>
      <c r="I185" s="31">
        <v>15980.6</v>
      </c>
      <c r="J185" s="31">
        <v>631518.47884935793</v>
      </c>
      <c r="K185" s="31">
        <v>491459.01277668402</v>
      </c>
      <c r="L185" s="31">
        <v>391213.77718566143</v>
      </c>
      <c r="M185" s="31">
        <f t="shared" si="12"/>
        <v>7073693.7627941156</v>
      </c>
      <c r="N185" s="31">
        <v>168381.04</v>
      </c>
      <c r="P185" s="42" t="s">
        <v>163</v>
      </c>
      <c r="Q185" s="42" t="s">
        <v>164</v>
      </c>
      <c r="R185" s="43" t="s">
        <v>1050</v>
      </c>
      <c r="S185" s="44">
        <v>34</v>
      </c>
      <c r="T185" s="31">
        <v>5401384.787731478</v>
      </c>
      <c r="U185" s="31">
        <v>291687.61000000004</v>
      </c>
      <c r="V185" s="31">
        <v>78863.419999999984</v>
      </c>
      <c r="W185" s="31">
        <v>17017.900000000001</v>
      </c>
      <c r="X185" s="31">
        <v>668980.68566875532</v>
      </c>
      <c r="Y185" s="31">
        <v>492625.13665318227</v>
      </c>
      <c r="Z185" s="31">
        <v>419076.2834235187</v>
      </c>
      <c r="AA185" s="31">
        <f t="shared" si="13"/>
        <v>7546147.8734769346</v>
      </c>
      <c r="AB185" s="31">
        <v>176512.05</v>
      </c>
      <c r="AD185" s="42" t="s">
        <v>163</v>
      </c>
      <c r="AE185" s="42" t="s">
        <v>164</v>
      </c>
      <c r="AF185" s="43" t="s">
        <v>1275</v>
      </c>
      <c r="AG185" s="44">
        <v>34</v>
      </c>
      <c r="AH185" s="31">
        <v>5499157.4069105163</v>
      </c>
      <c r="AI185" s="31">
        <v>296731.25000000006</v>
      </c>
      <c r="AJ185" s="31">
        <v>80238.37999999999</v>
      </c>
      <c r="AK185" s="31">
        <v>17314.59</v>
      </c>
      <c r="AL185" s="31">
        <v>680731.72179535485</v>
      </c>
      <c r="AM185" s="31">
        <v>491739.19701783225</v>
      </c>
      <c r="AN185" s="31">
        <v>426449.78547006595</v>
      </c>
      <c r="AO185" s="31">
        <f t="shared" si="14"/>
        <v>7671993.7311937697</v>
      </c>
      <c r="AP185" s="31">
        <v>179631.39999999997</v>
      </c>
      <c r="AR185" s="42" t="s">
        <v>163</v>
      </c>
      <c r="AS185" s="42" t="s">
        <v>164</v>
      </c>
      <c r="AT185" s="43" t="s">
        <v>1276</v>
      </c>
      <c r="AU185" s="44">
        <v>34</v>
      </c>
      <c r="AV185" s="31">
        <v>5603668.1125423452</v>
      </c>
      <c r="AW185" s="31">
        <v>302132.99000000011</v>
      </c>
      <c r="AX185" s="31">
        <v>81710.98</v>
      </c>
      <c r="AY185" s="31">
        <v>17632.37</v>
      </c>
      <c r="AZ185" s="31">
        <v>693317.02803948452</v>
      </c>
      <c r="BA185" s="31">
        <v>491764.50957884232</v>
      </c>
      <c r="BB185" s="31">
        <v>434346.55678231793</v>
      </c>
      <c r="BC185" s="31">
        <f t="shared" si="15"/>
        <v>7807544.7669429909</v>
      </c>
      <c r="BD185" s="31">
        <v>182972.21999999997</v>
      </c>
    </row>
    <row r="186" spans="2:56">
      <c r="B186" s="42" t="s">
        <v>305</v>
      </c>
      <c r="C186" s="42" t="s">
        <v>306</v>
      </c>
      <c r="D186" s="43" t="s">
        <v>1049</v>
      </c>
      <c r="E186" s="44">
        <v>34</v>
      </c>
      <c r="F186" s="31">
        <v>2727547.5797611778</v>
      </c>
      <c r="G186" s="31">
        <v>77615.27</v>
      </c>
      <c r="H186" s="31">
        <v>0</v>
      </c>
      <c r="I186" s="31">
        <v>6572.24</v>
      </c>
      <c r="J186" s="31">
        <v>256865.7716030709</v>
      </c>
      <c r="K186" s="31">
        <v>333554.33884224819</v>
      </c>
      <c r="L186" s="31">
        <v>130274.2320431015</v>
      </c>
      <c r="M186" s="31">
        <f t="shared" si="12"/>
        <v>3565186.4222495989</v>
      </c>
      <c r="N186" s="31">
        <v>32756.99</v>
      </c>
      <c r="P186" s="42" t="s">
        <v>305</v>
      </c>
      <c r="Q186" s="42" t="s">
        <v>306</v>
      </c>
      <c r="R186" s="43" t="s">
        <v>1050</v>
      </c>
      <c r="S186" s="44">
        <v>34</v>
      </c>
      <c r="T186" s="31">
        <v>2898404.4199559651</v>
      </c>
      <c r="U186" s="31">
        <v>82449.659999999974</v>
      </c>
      <c r="V186" s="31">
        <v>0</v>
      </c>
      <c r="W186" s="31">
        <v>6938.19</v>
      </c>
      <c r="X186" s="31">
        <v>270210.85627214599</v>
      </c>
      <c r="Y186" s="31">
        <v>334380.18583205657</v>
      </c>
      <c r="Z186" s="31">
        <v>138641.55795743482</v>
      </c>
      <c r="AA186" s="31">
        <f t="shared" si="13"/>
        <v>3765092.790017603</v>
      </c>
      <c r="AB186" s="31">
        <v>34067.920000000006</v>
      </c>
      <c r="AD186" s="42" t="s">
        <v>305</v>
      </c>
      <c r="AE186" s="42" t="s">
        <v>306</v>
      </c>
      <c r="AF186" s="43" t="s">
        <v>1275</v>
      </c>
      <c r="AG186" s="44">
        <v>34</v>
      </c>
      <c r="AH186" s="31">
        <v>2949514.0570882345</v>
      </c>
      <c r="AI186" s="31">
        <v>83891.25</v>
      </c>
      <c r="AJ186" s="31">
        <v>0</v>
      </c>
      <c r="AK186" s="31">
        <v>7060.15</v>
      </c>
      <c r="AL186" s="31">
        <v>274983.3854733294</v>
      </c>
      <c r="AM186" s="31">
        <v>333748.63266955805</v>
      </c>
      <c r="AN186" s="31">
        <v>141093.97017891679</v>
      </c>
      <c r="AO186" s="31">
        <f t="shared" si="14"/>
        <v>3824965.875410039</v>
      </c>
      <c r="AP186" s="31">
        <v>34674.43</v>
      </c>
      <c r="AR186" s="42" t="s">
        <v>305</v>
      </c>
      <c r="AS186" s="42" t="s">
        <v>306</v>
      </c>
      <c r="AT186" s="43" t="s">
        <v>1276</v>
      </c>
      <c r="AU186" s="44">
        <v>34</v>
      </c>
      <c r="AV186" s="31">
        <v>3004236.4620086835</v>
      </c>
      <c r="AW186" s="31">
        <v>85435.18</v>
      </c>
      <c r="AX186" s="31">
        <v>0</v>
      </c>
      <c r="AY186" s="31">
        <v>7190.7699999999995</v>
      </c>
      <c r="AZ186" s="31">
        <v>280094.74241747521</v>
      </c>
      <c r="BA186" s="31">
        <v>333766.67704562948</v>
      </c>
      <c r="BB186" s="31">
        <v>143720.42454132391</v>
      </c>
      <c r="BC186" s="31">
        <f t="shared" si="15"/>
        <v>3889768.2560131121</v>
      </c>
      <c r="BD186" s="31">
        <v>35324</v>
      </c>
    </row>
    <row r="187" spans="2:56">
      <c r="B187" s="42" t="s">
        <v>331</v>
      </c>
      <c r="C187" s="42" t="s">
        <v>332</v>
      </c>
      <c r="D187" s="43" t="s">
        <v>1049</v>
      </c>
      <c r="E187" s="44">
        <v>34</v>
      </c>
      <c r="F187" s="31">
        <v>8456601.6162183024</v>
      </c>
      <c r="G187" s="31">
        <v>468496.83</v>
      </c>
      <c r="H187" s="31">
        <v>130844.18000000001</v>
      </c>
      <c r="I187" s="31">
        <v>30062.879999999997</v>
      </c>
      <c r="J187" s="31">
        <v>1332909.2424992614</v>
      </c>
      <c r="K187" s="31">
        <v>535525.255790725</v>
      </c>
      <c r="L187" s="31">
        <v>696550.15804366942</v>
      </c>
      <c r="M187" s="31">
        <f t="shared" si="12"/>
        <v>11959386.962551961</v>
      </c>
      <c r="N187" s="31">
        <v>308396.79999999999</v>
      </c>
      <c r="P187" s="42" t="s">
        <v>331</v>
      </c>
      <c r="Q187" s="42" t="s">
        <v>332</v>
      </c>
      <c r="R187" s="43" t="s">
        <v>1050</v>
      </c>
      <c r="S187" s="44">
        <v>34</v>
      </c>
      <c r="T187" s="31">
        <v>9092793.3245941419</v>
      </c>
      <c r="U187" s="31">
        <v>503756.12000000005</v>
      </c>
      <c r="V187" s="31">
        <v>139302.08000000002</v>
      </c>
      <c r="W187" s="31">
        <v>32006.190000000002</v>
      </c>
      <c r="X187" s="31">
        <v>1411947.2932128464</v>
      </c>
      <c r="Y187" s="31">
        <v>536961.99593567406</v>
      </c>
      <c r="Z187" s="31">
        <v>746480.73071942898</v>
      </c>
      <c r="AA187" s="31">
        <f t="shared" si="13"/>
        <v>12786604.454462091</v>
      </c>
      <c r="AB187" s="31">
        <v>323356.72000000003</v>
      </c>
      <c r="AD187" s="42" t="s">
        <v>331</v>
      </c>
      <c r="AE187" s="42" t="s">
        <v>332</v>
      </c>
      <c r="AF187" s="43" t="s">
        <v>1275</v>
      </c>
      <c r="AG187" s="44">
        <v>34</v>
      </c>
      <c r="AH187" s="31">
        <v>9261305.0108045265</v>
      </c>
      <c r="AI187" s="31">
        <v>512506.6700000001</v>
      </c>
      <c r="AJ187" s="31">
        <v>141742.45000000001</v>
      </c>
      <c r="AK187" s="31">
        <v>32566.89</v>
      </c>
      <c r="AL187" s="31">
        <v>1436825.1556490981</v>
      </c>
      <c r="AM187" s="31">
        <v>535870.46092317509</v>
      </c>
      <c r="AN187" s="31">
        <v>759650.86648378382</v>
      </c>
      <c r="AO187" s="31">
        <f t="shared" si="14"/>
        <v>13009563.403860582</v>
      </c>
      <c r="AP187" s="31">
        <v>329095.89999999997</v>
      </c>
      <c r="AR187" s="42" t="s">
        <v>331</v>
      </c>
      <c r="AS187" s="42" t="s">
        <v>332</v>
      </c>
      <c r="AT187" s="43" t="s">
        <v>1276</v>
      </c>
      <c r="AU187" s="44">
        <v>34</v>
      </c>
      <c r="AV187" s="31">
        <v>9441236.999792682</v>
      </c>
      <c r="AW187" s="31">
        <v>521878.52</v>
      </c>
      <c r="AX187" s="31">
        <v>144356.06</v>
      </c>
      <c r="AY187" s="31">
        <v>33167.399999999994</v>
      </c>
      <c r="AZ187" s="31">
        <v>1463469.2648731444</v>
      </c>
      <c r="BA187" s="31">
        <v>535901.64763781778</v>
      </c>
      <c r="BB187" s="31">
        <v>773755.64731260797</v>
      </c>
      <c r="BC187" s="31">
        <f t="shared" si="15"/>
        <v>13249008.099616254</v>
      </c>
      <c r="BD187" s="31">
        <v>335242.56000000006</v>
      </c>
    </row>
    <row r="188" spans="2:56">
      <c r="B188" s="42" t="s">
        <v>513</v>
      </c>
      <c r="C188" s="42" t="s">
        <v>514</v>
      </c>
      <c r="D188" s="43" t="s">
        <v>1049</v>
      </c>
      <c r="E188" s="44">
        <v>34</v>
      </c>
      <c r="F188" s="31">
        <v>78542631.492798612</v>
      </c>
      <c r="G188" s="31">
        <v>1869245.8100000005</v>
      </c>
      <c r="H188" s="31">
        <v>490186.5</v>
      </c>
      <c r="I188" s="31">
        <v>0</v>
      </c>
      <c r="J188" s="31">
        <v>12530872.880928913</v>
      </c>
      <c r="K188" s="31">
        <v>4276408.44811262</v>
      </c>
      <c r="L188" s="31">
        <v>6567161.3783787889</v>
      </c>
      <c r="M188" s="31">
        <f t="shared" si="12"/>
        <v>104457892.67021894</v>
      </c>
      <c r="N188" s="31">
        <v>181386.16</v>
      </c>
      <c r="P188" s="42" t="s">
        <v>513</v>
      </c>
      <c r="Q188" s="42" t="s">
        <v>514</v>
      </c>
      <c r="R188" s="43" t="s">
        <v>1050</v>
      </c>
      <c r="S188" s="44">
        <v>34</v>
      </c>
      <c r="T188" s="31">
        <v>83659348.453482836</v>
      </c>
      <c r="U188" s="31">
        <v>1993001.9499999997</v>
      </c>
      <c r="V188" s="31">
        <v>521872.65</v>
      </c>
      <c r="W188" s="31">
        <v>0</v>
      </c>
      <c r="X188" s="31">
        <v>13273968.125444205</v>
      </c>
      <c r="Y188" s="31">
        <v>4286582.9125570282</v>
      </c>
      <c r="Z188" s="31">
        <v>6970219.1740613673</v>
      </c>
      <c r="AA188" s="31">
        <f t="shared" si="13"/>
        <v>110895178.22554544</v>
      </c>
      <c r="AB188" s="31">
        <v>190184.95999999999</v>
      </c>
      <c r="AD188" s="42" t="s">
        <v>513</v>
      </c>
      <c r="AE188" s="42" t="s">
        <v>514</v>
      </c>
      <c r="AF188" s="43" t="s">
        <v>1275</v>
      </c>
      <c r="AG188" s="44">
        <v>34</v>
      </c>
      <c r="AH188" s="31">
        <v>85229120.598430187</v>
      </c>
      <c r="AI188" s="31">
        <v>2027872.46</v>
      </c>
      <c r="AJ188" s="31">
        <v>531015.05000000005</v>
      </c>
      <c r="AK188" s="31">
        <v>0</v>
      </c>
      <c r="AL188" s="31">
        <v>13507876.351587355</v>
      </c>
      <c r="AM188" s="31">
        <v>4278853.0636949772</v>
      </c>
      <c r="AN188" s="31">
        <v>7093205.222821027</v>
      </c>
      <c r="AO188" s="31">
        <f t="shared" si="14"/>
        <v>112861503.24653354</v>
      </c>
      <c r="AP188" s="31">
        <v>193560.5</v>
      </c>
      <c r="AR188" s="42" t="s">
        <v>513</v>
      </c>
      <c r="AS188" s="42" t="s">
        <v>514</v>
      </c>
      <c r="AT188" s="43" t="s">
        <v>1276</v>
      </c>
      <c r="AU188" s="44">
        <v>34</v>
      </c>
      <c r="AV188" s="31">
        <v>86904010.664047435</v>
      </c>
      <c r="AW188" s="31">
        <v>2065218.78</v>
      </c>
      <c r="AX188" s="31">
        <v>540806.56999999995</v>
      </c>
      <c r="AY188" s="31">
        <v>0</v>
      </c>
      <c r="AZ188" s="31">
        <v>13758391.490366654</v>
      </c>
      <c r="BA188" s="31">
        <v>4279073.9165196074</v>
      </c>
      <c r="BB188" s="31">
        <v>7224919.1834290223</v>
      </c>
      <c r="BC188" s="31">
        <f t="shared" si="15"/>
        <v>114969596.30436271</v>
      </c>
      <c r="BD188" s="31">
        <v>197175.7</v>
      </c>
    </row>
    <row r="189" spans="2:56">
      <c r="B189" s="42" t="s">
        <v>329</v>
      </c>
      <c r="C189" s="42" t="s">
        <v>330</v>
      </c>
      <c r="D189" s="43" t="s">
        <v>1049</v>
      </c>
      <c r="E189" s="44">
        <v>34</v>
      </c>
      <c r="F189" s="31">
        <v>56239719.916402251</v>
      </c>
      <c r="G189" s="31">
        <v>2235141.3600000003</v>
      </c>
      <c r="H189" s="31">
        <v>450672.62999999995</v>
      </c>
      <c r="I189" s="31">
        <v>185433.52</v>
      </c>
      <c r="J189" s="31">
        <v>7789237.5685768183</v>
      </c>
      <c r="K189" s="31">
        <v>980577.83151286631</v>
      </c>
      <c r="L189" s="31">
        <v>1523234.1689746305</v>
      </c>
      <c r="M189" s="31">
        <f t="shared" si="12"/>
        <v>70941468.405466557</v>
      </c>
      <c r="N189" s="31">
        <v>1537451.41</v>
      </c>
      <c r="P189" s="42" t="s">
        <v>329</v>
      </c>
      <c r="Q189" s="42" t="s">
        <v>330</v>
      </c>
      <c r="R189" s="43" t="s">
        <v>1050</v>
      </c>
      <c r="S189" s="44">
        <v>34</v>
      </c>
      <c r="T189" s="31">
        <v>60294120.30653511</v>
      </c>
      <c r="U189" s="31">
        <v>2405774.5999999996</v>
      </c>
      <c r="V189" s="31">
        <v>479925.41000000003</v>
      </c>
      <c r="W189" s="31">
        <v>197469.84999999998</v>
      </c>
      <c r="X189" s="31">
        <v>8251933.2754125232</v>
      </c>
      <c r="Y189" s="31">
        <v>982742.22230727761</v>
      </c>
      <c r="Z189" s="31">
        <v>1632475.4038838595</v>
      </c>
      <c r="AA189" s="31">
        <f t="shared" si="13"/>
        <v>75856134.98813878</v>
      </c>
      <c r="AB189" s="31">
        <v>1611693.92</v>
      </c>
      <c r="AD189" s="42" t="s">
        <v>329</v>
      </c>
      <c r="AE189" s="42" t="s">
        <v>330</v>
      </c>
      <c r="AF189" s="43" t="s">
        <v>1275</v>
      </c>
      <c r="AG189" s="44">
        <v>34</v>
      </c>
      <c r="AH189" s="31">
        <v>61749700.640010759</v>
      </c>
      <c r="AI189" s="31">
        <v>2447336.3999999994</v>
      </c>
      <c r="AJ189" s="31">
        <v>488292.83</v>
      </c>
      <c r="AK189" s="31">
        <v>200912.70999999996</v>
      </c>
      <c r="AL189" s="31">
        <v>8397185.2805735022</v>
      </c>
      <c r="AM189" s="31">
        <v>981097.86905304715</v>
      </c>
      <c r="AN189" s="31">
        <v>1661197.8222349281</v>
      </c>
      <c r="AO189" s="31">
        <f t="shared" si="14"/>
        <v>77565899.601872236</v>
      </c>
      <c r="AP189" s="31">
        <v>1640176.0499999998</v>
      </c>
      <c r="AR189" s="42" t="s">
        <v>329</v>
      </c>
      <c r="AS189" s="42" t="s">
        <v>330</v>
      </c>
      <c r="AT189" s="43" t="s">
        <v>1276</v>
      </c>
      <c r="AU189" s="44">
        <v>34</v>
      </c>
      <c r="AV189" s="31">
        <v>63283374.641238689</v>
      </c>
      <c r="AW189" s="31">
        <v>2491849.09</v>
      </c>
      <c r="AX189" s="31">
        <v>497254.35</v>
      </c>
      <c r="AY189" s="31">
        <v>204600.00999999995</v>
      </c>
      <c r="AZ189" s="31">
        <v>8552751.4929007459</v>
      </c>
      <c r="BA189" s="31">
        <v>981144.85057459655</v>
      </c>
      <c r="BB189" s="31">
        <v>1691958.5616555221</v>
      </c>
      <c r="BC189" s="31">
        <f t="shared" si="15"/>
        <v>79373613.396369562</v>
      </c>
      <c r="BD189" s="31">
        <v>1670680.4</v>
      </c>
    </row>
    <row r="190" spans="2:56">
      <c r="B190" s="42" t="s">
        <v>287</v>
      </c>
      <c r="C190" s="42" t="s">
        <v>288</v>
      </c>
      <c r="D190" s="43" t="s">
        <v>1049</v>
      </c>
      <c r="E190" s="44">
        <v>34</v>
      </c>
      <c r="F190" s="31">
        <v>6014857.3301627729</v>
      </c>
      <c r="G190" s="31">
        <v>285214.87000000005</v>
      </c>
      <c r="H190" s="31">
        <v>0</v>
      </c>
      <c r="I190" s="31">
        <v>22216.95</v>
      </c>
      <c r="J190" s="31">
        <v>1006932.7795235945</v>
      </c>
      <c r="K190" s="31">
        <v>660766.32628542359</v>
      </c>
      <c r="L190" s="31">
        <v>957544.64472850435</v>
      </c>
      <c r="M190" s="31">
        <f t="shared" si="12"/>
        <v>9176523.3207002953</v>
      </c>
      <c r="N190" s="31">
        <v>228990.41999999998</v>
      </c>
      <c r="P190" s="42" t="s">
        <v>287</v>
      </c>
      <c r="Q190" s="42" t="s">
        <v>288</v>
      </c>
      <c r="R190" s="43" t="s">
        <v>1050</v>
      </c>
      <c r="S190" s="44">
        <v>34</v>
      </c>
      <c r="T190" s="31">
        <v>6470818.8830126179</v>
      </c>
      <c r="U190" s="31">
        <v>307533.70000000007</v>
      </c>
      <c r="V190" s="31">
        <v>0</v>
      </c>
      <c r="W190" s="31">
        <v>23659.029999999995</v>
      </c>
      <c r="X190" s="31">
        <v>1066679.3534492403</v>
      </c>
      <c r="Y190" s="31">
        <v>662227.24948481994</v>
      </c>
      <c r="Z190" s="31">
        <v>1026127.7101293129</v>
      </c>
      <c r="AA190" s="31">
        <f t="shared" si="13"/>
        <v>9797094.1360759921</v>
      </c>
      <c r="AB190" s="31">
        <v>240048.21</v>
      </c>
      <c r="AD190" s="42" t="s">
        <v>287</v>
      </c>
      <c r="AE190" s="42" t="s">
        <v>288</v>
      </c>
      <c r="AF190" s="43" t="s">
        <v>1275</v>
      </c>
      <c r="AG190" s="44">
        <v>34</v>
      </c>
      <c r="AH190" s="31">
        <v>6585482.4309492912</v>
      </c>
      <c r="AI190" s="31">
        <v>312838.53999999992</v>
      </c>
      <c r="AJ190" s="31">
        <v>0</v>
      </c>
      <c r="AK190" s="31">
        <v>24071.52</v>
      </c>
      <c r="AL190" s="31">
        <v>1085417.2911628159</v>
      </c>
      <c r="AM190" s="31">
        <v>661117.34187325975</v>
      </c>
      <c r="AN190" s="31">
        <v>1044181.823697465</v>
      </c>
      <c r="AO190" s="31">
        <f t="shared" si="14"/>
        <v>9957399.3276828323</v>
      </c>
      <c r="AP190" s="31">
        <v>244290.37999999998</v>
      </c>
      <c r="AR190" s="42" t="s">
        <v>287</v>
      </c>
      <c r="AS190" s="42" t="s">
        <v>288</v>
      </c>
      <c r="AT190" s="43" t="s">
        <v>1276</v>
      </c>
      <c r="AU190" s="44">
        <v>34</v>
      </c>
      <c r="AV190" s="31">
        <v>6708211.8574150773</v>
      </c>
      <c r="AW190" s="31">
        <v>318520.00999999989</v>
      </c>
      <c r="AX190" s="31">
        <v>0</v>
      </c>
      <c r="AY190" s="31">
        <v>24513.31</v>
      </c>
      <c r="AZ190" s="31">
        <v>1105485.5362531585</v>
      </c>
      <c r="BA190" s="31">
        <v>661149.05351930426</v>
      </c>
      <c r="BB190" s="31">
        <v>1063517.1690111554</v>
      </c>
      <c r="BC190" s="31">
        <f t="shared" si="15"/>
        <v>10130230.686198695</v>
      </c>
      <c r="BD190" s="31">
        <v>248833.74999999997</v>
      </c>
    </row>
    <row r="191" spans="2:56">
      <c r="B191" s="42" t="s">
        <v>483</v>
      </c>
      <c r="C191" s="42" t="s">
        <v>484</v>
      </c>
      <c r="D191" s="43" t="s">
        <v>1049</v>
      </c>
      <c r="E191" s="44">
        <v>34</v>
      </c>
      <c r="F191" s="31">
        <v>586998.00635285024</v>
      </c>
      <c r="G191" s="31">
        <v>24312.62999999999</v>
      </c>
      <c r="H191" s="31">
        <v>0</v>
      </c>
      <c r="I191" s="31">
        <v>1412.37</v>
      </c>
      <c r="J191" s="31">
        <v>50799.773471523069</v>
      </c>
      <c r="K191" s="31">
        <v>126719.06494009375</v>
      </c>
      <c r="L191" s="31">
        <v>0</v>
      </c>
      <c r="M191" s="31">
        <f t="shared" si="12"/>
        <v>804466.21476446709</v>
      </c>
      <c r="N191" s="31">
        <v>14224.370000000003</v>
      </c>
      <c r="P191" s="42" t="s">
        <v>483</v>
      </c>
      <c r="Q191" s="42" t="s">
        <v>484</v>
      </c>
      <c r="R191" s="43" t="s">
        <v>1050</v>
      </c>
      <c r="S191" s="44">
        <v>34</v>
      </c>
      <c r="T191" s="31">
        <v>630798.56804087665</v>
      </c>
      <c r="U191" s="31">
        <v>26113.69</v>
      </c>
      <c r="V191" s="31">
        <v>0</v>
      </c>
      <c r="W191" s="31">
        <v>1503.6499999999999</v>
      </c>
      <c r="X191" s="31">
        <v>53808.547862762338</v>
      </c>
      <c r="Y191" s="31">
        <v>126995.06124483395</v>
      </c>
      <c r="Z191" s="31">
        <v>0</v>
      </c>
      <c r="AA191" s="31">
        <f t="shared" si="13"/>
        <v>854133.89714847296</v>
      </c>
      <c r="AB191" s="31">
        <v>14914.380000000001</v>
      </c>
      <c r="AD191" s="42" t="s">
        <v>483</v>
      </c>
      <c r="AE191" s="42" t="s">
        <v>484</v>
      </c>
      <c r="AF191" s="43" t="s">
        <v>1275</v>
      </c>
      <c r="AG191" s="44">
        <v>34</v>
      </c>
      <c r="AH191" s="31">
        <v>641840.64842350851</v>
      </c>
      <c r="AI191" s="31">
        <v>26567.73</v>
      </c>
      <c r="AJ191" s="31">
        <v>0</v>
      </c>
      <c r="AK191" s="31">
        <v>1529.9999999999998</v>
      </c>
      <c r="AL191" s="31">
        <v>54755.18553269015</v>
      </c>
      <c r="AM191" s="31">
        <v>126785.37849113395</v>
      </c>
      <c r="AN191" s="31">
        <v>0</v>
      </c>
      <c r="AO191" s="31">
        <f t="shared" si="14"/>
        <v>866658.03244733252</v>
      </c>
      <c r="AP191" s="31">
        <v>15179.09</v>
      </c>
      <c r="AR191" s="42" t="s">
        <v>483</v>
      </c>
      <c r="AS191" s="42" t="s">
        <v>484</v>
      </c>
      <c r="AT191" s="43" t="s">
        <v>1276</v>
      </c>
      <c r="AU191" s="44">
        <v>34</v>
      </c>
      <c r="AV191" s="31">
        <v>653667.03610230703</v>
      </c>
      <c r="AW191" s="31">
        <v>27054</v>
      </c>
      <c r="AX191" s="31">
        <v>0</v>
      </c>
      <c r="AY191" s="31">
        <v>1558.2100000000003</v>
      </c>
      <c r="AZ191" s="31">
        <v>55769.021682436556</v>
      </c>
      <c r="BA191" s="31">
        <v>126791.36942695394</v>
      </c>
      <c r="BB191" s="31">
        <v>0</v>
      </c>
      <c r="BC191" s="31">
        <f t="shared" si="15"/>
        <v>880302.2372116975</v>
      </c>
      <c r="BD191" s="31">
        <v>15462.599999999999</v>
      </c>
    </row>
    <row r="192" spans="2:56">
      <c r="B192" s="42" t="s">
        <v>395</v>
      </c>
      <c r="C192" s="42" t="s">
        <v>396</v>
      </c>
      <c r="D192" s="43" t="s">
        <v>1049</v>
      </c>
      <c r="E192" s="44">
        <v>34</v>
      </c>
      <c r="F192" s="31">
        <v>7055803.4804237569</v>
      </c>
      <c r="G192" s="31">
        <v>149572.36000000002</v>
      </c>
      <c r="H192" s="31">
        <v>57867.689999999995</v>
      </c>
      <c r="I192" s="31">
        <v>22414.3</v>
      </c>
      <c r="J192" s="31">
        <v>813462.92168334324</v>
      </c>
      <c r="K192" s="31">
        <v>202440.0676892247</v>
      </c>
      <c r="L192" s="31">
        <v>113634.68374271283</v>
      </c>
      <c r="M192" s="31">
        <f t="shared" si="12"/>
        <v>8415195.5035390388</v>
      </c>
      <c r="N192" s="31">
        <v>0</v>
      </c>
      <c r="P192" s="42" t="s">
        <v>395</v>
      </c>
      <c r="Q192" s="42" t="s">
        <v>396</v>
      </c>
      <c r="R192" s="43" t="s">
        <v>1050</v>
      </c>
      <c r="S192" s="44">
        <v>34</v>
      </c>
      <c r="T192" s="31">
        <v>7522191.5405548997</v>
      </c>
      <c r="U192" s="31">
        <v>159168.34000000003</v>
      </c>
      <c r="V192" s="31">
        <v>61580.240000000005</v>
      </c>
      <c r="W192" s="31">
        <v>23852.3</v>
      </c>
      <c r="X192" s="31">
        <v>861582.50752315391</v>
      </c>
      <c r="Y192" s="31">
        <v>202856.43326925486</v>
      </c>
      <c r="Z192" s="31">
        <v>120575.36278173789</v>
      </c>
      <c r="AA192" s="31">
        <f t="shared" si="13"/>
        <v>8951806.7241290454</v>
      </c>
      <c r="AB192" s="31">
        <v>0</v>
      </c>
      <c r="AD192" s="42" t="s">
        <v>395</v>
      </c>
      <c r="AE192" s="42" t="s">
        <v>396</v>
      </c>
      <c r="AF192" s="43" t="s">
        <v>1275</v>
      </c>
      <c r="AG192" s="44">
        <v>34</v>
      </c>
      <c r="AH192" s="31">
        <v>7679777.9826145908</v>
      </c>
      <c r="AI192" s="31">
        <v>161980.81999999998</v>
      </c>
      <c r="AJ192" s="31">
        <v>62668.350000000006</v>
      </c>
      <c r="AK192" s="31">
        <v>24273.780000000002</v>
      </c>
      <c r="AL192" s="31">
        <v>876887.35731959925</v>
      </c>
      <c r="AM192" s="31">
        <v>202533.39821705487</v>
      </c>
      <c r="AN192" s="31">
        <v>122718.17887864306</v>
      </c>
      <c r="AO192" s="31">
        <f t="shared" si="14"/>
        <v>9130839.8670298867</v>
      </c>
      <c r="AP192" s="31">
        <v>0</v>
      </c>
      <c r="AR192" s="42" t="s">
        <v>395</v>
      </c>
      <c r="AS192" s="42" t="s">
        <v>396</v>
      </c>
      <c r="AT192" s="43" t="s">
        <v>1276</v>
      </c>
      <c r="AU192" s="44">
        <v>34</v>
      </c>
      <c r="AV192" s="31">
        <v>7846973.2992611304</v>
      </c>
      <c r="AW192" s="31">
        <v>164992.96000000002</v>
      </c>
      <c r="AX192" s="31">
        <v>63833.710000000006</v>
      </c>
      <c r="AY192" s="31">
        <v>24725.16</v>
      </c>
      <c r="AZ192" s="31">
        <v>893278.89213215269</v>
      </c>
      <c r="BA192" s="31">
        <v>202542.62778997485</v>
      </c>
      <c r="BB192" s="31">
        <v>125013.06824362846</v>
      </c>
      <c r="BC192" s="31">
        <f t="shared" si="15"/>
        <v>9321359.7174268849</v>
      </c>
      <c r="BD192" s="31">
        <v>0</v>
      </c>
    </row>
    <row r="193" spans="2:56">
      <c r="B193" s="42" t="s">
        <v>453</v>
      </c>
      <c r="C193" s="42" t="s">
        <v>454</v>
      </c>
      <c r="D193" s="43" t="s">
        <v>1049</v>
      </c>
      <c r="E193" s="44">
        <v>34</v>
      </c>
      <c r="F193" s="31">
        <v>743950.00742913526</v>
      </c>
      <c r="G193" s="31">
        <v>6626.11</v>
      </c>
      <c r="H193" s="31">
        <v>0</v>
      </c>
      <c r="I193" s="31">
        <v>0</v>
      </c>
      <c r="J193" s="31">
        <v>38147.509277400262</v>
      </c>
      <c r="K193" s="31">
        <v>32923.575338555747</v>
      </c>
      <c r="L193" s="31">
        <v>0</v>
      </c>
      <c r="M193" s="31">
        <f t="shared" si="12"/>
        <v>821647.2020450912</v>
      </c>
      <c r="N193" s="31">
        <v>0</v>
      </c>
      <c r="P193" s="42" t="s">
        <v>453</v>
      </c>
      <c r="Q193" s="42" t="s">
        <v>454</v>
      </c>
      <c r="R193" s="43" t="s">
        <v>1050</v>
      </c>
      <c r="S193" s="44">
        <v>34</v>
      </c>
      <c r="T193" s="31">
        <v>791382.39560139354</v>
      </c>
      <c r="U193" s="31">
        <v>7056.19</v>
      </c>
      <c r="V193" s="31">
        <v>0</v>
      </c>
      <c r="W193" s="31">
        <v>0</v>
      </c>
      <c r="X193" s="31">
        <v>40403.213072558399</v>
      </c>
      <c r="Y193" s="31">
        <v>33008.310920803378</v>
      </c>
      <c r="Z193" s="31">
        <v>0</v>
      </c>
      <c r="AA193" s="31">
        <f t="shared" si="13"/>
        <v>871850.10959475522</v>
      </c>
      <c r="AB193" s="31">
        <v>0</v>
      </c>
      <c r="AD193" s="42" t="s">
        <v>453</v>
      </c>
      <c r="AE193" s="42" t="s">
        <v>454</v>
      </c>
      <c r="AF193" s="43" t="s">
        <v>1275</v>
      </c>
      <c r="AG193" s="44">
        <v>34</v>
      </c>
      <c r="AH193" s="31">
        <v>805207.00181405083</v>
      </c>
      <c r="AI193" s="31">
        <v>7179.22</v>
      </c>
      <c r="AJ193" s="31">
        <v>0</v>
      </c>
      <c r="AK193" s="31">
        <v>0</v>
      </c>
      <c r="AL193" s="31">
        <v>41111.512150749608</v>
      </c>
      <c r="AM193" s="31">
        <v>32943.934732003385</v>
      </c>
      <c r="AN193" s="31">
        <v>0</v>
      </c>
      <c r="AO193" s="31">
        <f t="shared" si="14"/>
        <v>886441.66869680374</v>
      </c>
      <c r="AP193" s="31">
        <v>0</v>
      </c>
      <c r="AR193" s="42" t="s">
        <v>453</v>
      </c>
      <c r="AS193" s="42" t="s">
        <v>454</v>
      </c>
      <c r="AT193" s="43" t="s">
        <v>1276</v>
      </c>
      <c r="AU193" s="44">
        <v>34</v>
      </c>
      <c r="AV193" s="31">
        <v>820013.29596850672</v>
      </c>
      <c r="AW193" s="31">
        <v>7310.98</v>
      </c>
      <c r="AX193" s="31">
        <v>0</v>
      </c>
      <c r="AY193" s="31">
        <v>0</v>
      </c>
      <c r="AZ193" s="31">
        <v>41870.091273672384</v>
      </c>
      <c r="BA193" s="31">
        <v>32945.774051683387</v>
      </c>
      <c r="BB193" s="31">
        <v>0</v>
      </c>
      <c r="BC193" s="31">
        <f t="shared" si="15"/>
        <v>902140.14129386249</v>
      </c>
      <c r="BD193" s="31">
        <v>0</v>
      </c>
    </row>
    <row r="194" spans="2:56">
      <c r="B194" s="42" t="s">
        <v>105</v>
      </c>
      <c r="C194" s="42" t="s">
        <v>106</v>
      </c>
      <c r="D194" s="43" t="s">
        <v>1049</v>
      </c>
      <c r="E194" s="44">
        <v>34</v>
      </c>
      <c r="F194" s="31">
        <v>580280.6184730744</v>
      </c>
      <c r="G194" s="31">
        <v>15535.860000000004</v>
      </c>
      <c r="H194" s="31">
        <v>0</v>
      </c>
      <c r="I194" s="31">
        <v>1008.8100000000001</v>
      </c>
      <c r="J194" s="31">
        <v>42434.749134771206</v>
      </c>
      <c r="K194" s="31">
        <v>332269.71829718299</v>
      </c>
      <c r="L194" s="31">
        <v>0</v>
      </c>
      <c r="M194" s="31">
        <f t="shared" si="12"/>
        <v>981012.6659050287</v>
      </c>
      <c r="N194" s="31">
        <v>9482.91</v>
      </c>
      <c r="P194" s="42" t="s">
        <v>105</v>
      </c>
      <c r="Q194" s="42" t="s">
        <v>106</v>
      </c>
      <c r="R194" s="43" t="s">
        <v>1050</v>
      </c>
      <c r="S194" s="44">
        <v>34</v>
      </c>
      <c r="T194" s="31">
        <v>620794.95159771992</v>
      </c>
      <c r="U194" s="31">
        <v>16693.080000000002</v>
      </c>
      <c r="V194" s="31">
        <v>0</v>
      </c>
      <c r="W194" s="31">
        <v>1074.03</v>
      </c>
      <c r="X194" s="31">
        <v>44946.34102027303</v>
      </c>
      <c r="Y194" s="31">
        <v>333051.97639991483</v>
      </c>
      <c r="Z194" s="31">
        <v>0</v>
      </c>
      <c r="AA194" s="31">
        <f t="shared" si="13"/>
        <v>1026503.2990179078</v>
      </c>
      <c r="AB194" s="31">
        <v>9942.92</v>
      </c>
      <c r="AD194" s="42" t="s">
        <v>105</v>
      </c>
      <c r="AE194" s="42" t="s">
        <v>106</v>
      </c>
      <c r="AF194" s="43" t="s">
        <v>1275</v>
      </c>
      <c r="AG194" s="44">
        <v>34</v>
      </c>
      <c r="AH194" s="31">
        <v>631619.58573351987</v>
      </c>
      <c r="AI194" s="31">
        <v>16983.230000000003</v>
      </c>
      <c r="AJ194" s="31">
        <v>0</v>
      </c>
      <c r="AK194" s="31">
        <v>1092.8400000000001</v>
      </c>
      <c r="AL194" s="31">
        <v>45736.962937054035</v>
      </c>
      <c r="AM194" s="31">
        <v>332457.67122166482</v>
      </c>
      <c r="AN194" s="31">
        <v>0</v>
      </c>
      <c r="AO194" s="31">
        <f t="shared" si="14"/>
        <v>1038009.6898922386</v>
      </c>
      <c r="AP194" s="31">
        <v>10119.4</v>
      </c>
      <c r="AR194" s="42" t="s">
        <v>105</v>
      </c>
      <c r="AS194" s="42" t="s">
        <v>106</v>
      </c>
      <c r="AT194" s="43" t="s">
        <v>1276</v>
      </c>
      <c r="AU194" s="44">
        <v>34</v>
      </c>
      <c r="AV194" s="31">
        <v>643213.50259496178</v>
      </c>
      <c r="AW194" s="31">
        <v>17293.979999999996</v>
      </c>
      <c r="AX194" s="31">
        <v>0</v>
      </c>
      <c r="AY194" s="31">
        <v>1112.99</v>
      </c>
      <c r="AZ194" s="31">
        <v>46583.708520560896</v>
      </c>
      <c r="BA194" s="31">
        <v>332474.65136961482</v>
      </c>
      <c r="BB194" s="31">
        <v>0</v>
      </c>
      <c r="BC194" s="31">
        <f t="shared" si="15"/>
        <v>1050987.2324851374</v>
      </c>
      <c r="BD194" s="31">
        <v>10308.4</v>
      </c>
    </row>
    <row r="195" spans="2:56">
      <c r="B195" s="42" t="s">
        <v>89</v>
      </c>
      <c r="C195" s="42" t="s">
        <v>90</v>
      </c>
      <c r="D195" s="43" t="s">
        <v>1049</v>
      </c>
      <c r="E195" s="44">
        <v>34</v>
      </c>
      <c r="F195" s="31">
        <v>1201730.1683764947</v>
      </c>
      <c r="G195" s="31">
        <v>76784.88</v>
      </c>
      <c r="H195" s="31">
        <v>89744.75</v>
      </c>
      <c r="I195" s="31">
        <v>3897.71</v>
      </c>
      <c r="J195" s="31">
        <v>150004.61351045719</v>
      </c>
      <c r="K195" s="31">
        <v>270288.46799932304</v>
      </c>
      <c r="L195" s="31">
        <v>12749.332884176802</v>
      </c>
      <c r="M195" s="31">
        <f t="shared" si="12"/>
        <v>1844956.5427704516</v>
      </c>
      <c r="N195" s="31">
        <v>39756.620000000003</v>
      </c>
      <c r="P195" s="42" t="s">
        <v>89</v>
      </c>
      <c r="Q195" s="42" t="s">
        <v>90</v>
      </c>
      <c r="R195" s="43" t="s">
        <v>1050</v>
      </c>
      <c r="S195" s="44">
        <v>34</v>
      </c>
      <c r="T195" s="31">
        <v>1297613.3193936413</v>
      </c>
      <c r="U195" s="31">
        <v>82429.69</v>
      </c>
      <c r="V195" s="31">
        <v>95570.010000000009</v>
      </c>
      <c r="W195" s="31">
        <v>4150.7</v>
      </c>
      <c r="X195" s="31">
        <v>158898.66948603513</v>
      </c>
      <c r="Y195" s="31">
        <v>270891.57036189764</v>
      </c>
      <c r="Z195" s="31">
        <v>13636.44402252194</v>
      </c>
      <c r="AA195" s="31">
        <f t="shared" si="13"/>
        <v>1964866.8532640957</v>
      </c>
      <c r="AB195" s="31">
        <v>41676.449999999997</v>
      </c>
      <c r="AD195" s="42" t="s">
        <v>89</v>
      </c>
      <c r="AE195" s="42" t="s">
        <v>90</v>
      </c>
      <c r="AF195" s="43" t="s">
        <v>1275</v>
      </c>
      <c r="AG195" s="44">
        <v>34</v>
      </c>
      <c r="AH195" s="31">
        <v>1320349.9681805694</v>
      </c>
      <c r="AI195" s="31">
        <v>83856.939999999988</v>
      </c>
      <c r="AJ195" s="31">
        <v>97236.260000000009</v>
      </c>
      <c r="AK195" s="31">
        <v>4223.08</v>
      </c>
      <c r="AL195" s="31">
        <v>161686.16352142743</v>
      </c>
      <c r="AM195" s="31">
        <v>270433.37522676116</v>
      </c>
      <c r="AN195" s="31">
        <v>13876.329882264381</v>
      </c>
      <c r="AO195" s="31">
        <f t="shared" si="14"/>
        <v>1994075.0768110224</v>
      </c>
      <c r="AP195" s="31">
        <v>42412.960000000006</v>
      </c>
      <c r="AR195" s="42" t="s">
        <v>89</v>
      </c>
      <c r="AS195" s="42" t="s">
        <v>90</v>
      </c>
      <c r="AT195" s="43" t="s">
        <v>1276</v>
      </c>
      <c r="AU195" s="44">
        <v>34</v>
      </c>
      <c r="AV195" s="31">
        <v>1344700.603529609</v>
      </c>
      <c r="AW195" s="31">
        <v>85385.53</v>
      </c>
      <c r="AX195" s="31">
        <v>99020.82</v>
      </c>
      <c r="AY195" s="31">
        <v>4300.579999999999</v>
      </c>
      <c r="AZ195" s="31">
        <v>164671.53075265884</v>
      </c>
      <c r="BA195" s="31">
        <v>270446.46651633654</v>
      </c>
      <c r="BB195" s="31">
        <v>14133.23948764853</v>
      </c>
      <c r="BC195" s="31">
        <f t="shared" si="15"/>
        <v>2025860.5402862532</v>
      </c>
      <c r="BD195" s="31">
        <v>43201.770000000004</v>
      </c>
    </row>
    <row r="196" spans="2:56">
      <c r="B196" s="42" t="s">
        <v>341</v>
      </c>
      <c r="C196" s="42" t="s">
        <v>342</v>
      </c>
      <c r="D196" s="43" t="s">
        <v>1049</v>
      </c>
      <c r="E196" s="44">
        <v>34</v>
      </c>
      <c r="F196" s="31">
        <v>4697330.575340094</v>
      </c>
      <c r="G196" s="31">
        <v>238734.71000000002</v>
      </c>
      <c r="H196" s="31">
        <v>101535.32</v>
      </c>
      <c r="I196" s="31">
        <v>0</v>
      </c>
      <c r="J196" s="31">
        <v>597525.68906491285</v>
      </c>
      <c r="K196" s="31">
        <v>251361.99620982501</v>
      </c>
      <c r="L196" s="31">
        <v>255975.68077863537</v>
      </c>
      <c r="M196" s="31">
        <f t="shared" si="12"/>
        <v>6291941.1113934675</v>
      </c>
      <c r="N196" s="31">
        <v>149477.14000000001</v>
      </c>
      <c r="P196" s="42" t="s">
        <v>341</v>
      </c>
      <c r="Q196" s="42" t="s">
        <v>342</v>
      </c>
      <c r="R196" s="43" t="s">
        <v>1050</v>
      </c>
      <c r="S196" s="44">
        <v>34</v>
      </c>
      <c r="T196" s="31">
        <v>5043488.31275139</v>
      </c>
      <c r="U196" s="31">
        <v>256715.04999999996</v>
      </c>
      <c r="V196" s="31">
        <v>108125.91</v>
      </c>
      <c r="W196" s="31">
        <v>0</v>
      </c>
      <c r="X196" s="31">
        <v>632978.59849671472</v>
      </c>
      <c r="Y196" s="31">
        <v>251957.29753065552</v>
      </c>
      <c r="Z196" s="31">
        <v>274280.73733655422</v>
      </c>
      <c r="AA196" s="31">
        <f t="shared" si="13"/>
        <v>6724241.2061153147</v>
      </c>
      <c r="AB196" s="31">
        <v>156695.30000000002</v>
      </c>
      <c r="AD196" s="42" t="s">
        <v>341</v>
      </c>
      <c r="AE196" s="42" t="s">
        <v>342</v>
      </c>
      <c r="AF196" s="43" t="s">
        <v>1275</v>
      </c>
      <c r="AG196" s="44">
        <v>34</v>
      </c>
      <c r="AH196" s="31">
        <v>5134119.5076322313</v>
      </c>
      <c r="AI196" s="31">
        <v>261153.62999999995</v>
      </c>
      <c r="AJ196" s="31">
        <v>110011.07</v>
      </c>
      <c r="AK196" s="31">
        <v>0</v>
      </c>
      <c r="AL196" s="31">
        <v>644097.95323823357</v>
      </c>
      <c r="AM196" s="31">
        <v>251505.02908325553</v>
      </c>
      <c r="AN196" s="31">
        <v>279106.46001415013</v>
      </c>
      <c r="AO196" s="31">
        <f t="shared" si="14"/>
        <v>6839458.0999678718</v>
      </c>
      <c r="AP196" s="31">
        <v>159464.45000000001</v>
      </c>
      <c r="AR196" s="42" t="s">
        <v>341</v>
      </c>
      <c r="AS196" s="42" t="s">
        <v>342</v>
      </c>
      <c r="AT196" s="43" t="s">
        <v>1276</v>
      </c>
      <c r="AU196" s="44">
        <v>34</v>
      </c>
      <c r="AV196" s="31">
        <v>5231037.079935953</v>
      </c>
      <c r="AW196" s="31">
        <v>265907.37999999995</v>
      </c>
      <c r="AX196" s="31">
        <v>112030.07</v>
      </c>
      <c r="AY196" s="31">
        <v>0</v>
      </c>
      <c r="AZ196" s="31">
        <v>656006.73254514777</v>
      </c>
      <c r="BA196" s="31">
        <v>251517.95103889555</v>
      </c>
      <c r="BB196" s="31">
        <v>284274.64599385532</v>
      </c>
      <c r="BC196" s="31">
        <f t="shared" si="15"/>
        <v>6963204.0595138511</v>
      </c>
      <c r="BD196" s="31">
        <v>162430.20000000001</v>
      </c>
    </row>
    <row r="197" spans="2:56">
      <c r="B197" s="42" t="s">
        <v>375</v>
      </c>
      <c r="C197" s="42" t="s">
        <v>376</v>
      </c>
      <c r="D197" s="43" t="s">
        <v>1049</v>
      </c>
      <c r="E197" s="44">
        <v>34</v>
      </c>
      <c r="F197" s="31">
        <v>21045219.589709699</v>
      </c>
      <c r="G197" s="31">
        <v>537941.72000000009</v>
      </c>
      <c r="H197" s="31">
        <v>106603.35999999999</v>
      </c>
      <c r="I197" s="31">
        <v>76951.420000000013</v>
      </c>
      <c r="J197" s="31">
        <v>3551729.2492769272</v>
      </c>
      <c r="K197" s="31">
        <v>1512852.7542255726</v>
      </c>
      <c r="L197" s="31">
        <v>2573148.2718259608</v>
      </c>
      <c r="M197" s="31">
        <f t="shared" ref="M197:M260" si="16">SUM(F197:L197,N197)</f>
        <v>29404446.365038164</v>
      </c>
      <c r="N197" s="31">
        <v>0</v>
      </c>
      <c r="P197" s="42" t="s">
        <v>375</v>
      </c>
      <c r="Q197" s="42" t="s">
        <v>376</v>
      </c>
      <c r="R197" s="43" t="s">
        <v>1050</v>
      </c>
      <c r="S197" s="44">
        <v>34</v>
      </c>
      <c r="T197" s="31">
        <v>22399380.138352968</v>
      </c>
      <c r="U197" s="31">
        <v>572646.3600000001</v>
      </c>
      <c r="V197" s="31">
        <v>113480.74999999999</v>
      </c>
      <c r="W197" s="31">
        <v>81915.850000000006</v>
      </c>
      <c r="X197" s="31">
        <v>3762058.8979358473</v>
      </c>
      <c r="Y197" s="31">
        <v>1515973.4952333614</v>
      </c>
      <c r="Z197" s="31">
        <v>2730792.2091379669</v>
      </c>
      <c r="AA197" s="31">
        <f t="shared" ref="AA197:AA260" si="17">SUM(T197:Z197,AB197)</f>
        <v>31176247.700660147</v>
      </c>
      <c r="AB197" s="31">
        <v>0</v>
      </c>
      <c r="AD197" s="42" t="s">
        <v>375</v>
      </c>
      <c r="AE197" s="42" t="s">
        <v>376</v>
      </c>
      <c r="AF197" s="43" t="s">
        <v>1275</v>
      </c>
      <c r="AG197" s="44">
        <v>34</v>
      </c>
      <c r="AH197" s="31">
        <v>22801038.221771576</v>
      </c>
      <c r="AI197" s="31">
        <v>582700.98</v>
      </c>
      <c r="AJ197" s="31">
        <v>115473.25999999998</v>
      </c>
      <c r="AK197" s="31">
        <v>83354.139999999985</v>
      </c>
      <c r="AL197" s="31">
        <v>3828496.7052261033</v>
      </c>
      <c r="AM197" s="31">
        <v>1513576.5558861452</v>
      </c>
      <c r="AN197" s="31">
        <v>2779093.1555282199</v>
      </c>
      <c r="AO197" s="31">
        <f t="shared" ref="AO197:AO260" si="18">SUM(AH197:AN197,AP197)</f>
        <v>31703733.01841205</v>
      </c>
      <c r="AP197" s="31">
        <v>0</v>
      </c>
      <c r="AR197" s="42" t="s">
        <v>375</v>
      </c>
      <c r="AS197" s="42" t="s">
        <v>376</v>
      </c>
      <c r="AT197" s="43" t="s">
        <v>1276</v>
      </c>
      <c r="AU197" s="44">
        <v>34</v>
      </c>
      <c r="AV197" s="31">
        <v>23230790.172063179</v>
      </c>
      <c r="AW197" s="31">
        <v>593469.47000000009</v>
      </c>
      <c r="AX197" s="31">
        <v>117607.23999999999</v>
      </c>
      <c r="AY197" s="31">
        <v>84894.549999999988</v>
      </c>
      <c r="AZ197" s="31">
        <v>3899651.2820173712</v>
      </c>
      <c r="BA197" s="31">
        <v>1513645.0398674943</v>
      </c>
      <c r="BB197" s="31">
        <v>2830821.8964811815</v>
      </c>
      <c r="BC197" s="31">
        <f t="shared" ref="BC197:BC260" si="19">SUM(AV197:BB197,BD197)</f>
        <v>32270879.650429226</v>
      </c>
      <c r="BD197" s="31">
        <v>0</v>
      </c>
    </row>
    <row r="198" spans="2:56">
      <c r="B198" s="42" t="s">
        <v>7</v>
      </c>
      <c r="C198" s="42" t="s">
        <v>8</v>
      </c>
      <c r="D198" s="43" t="s">
        <v>1049</v>
      </c>
      <c r="E198" s="44">
        <v>34</v>
      </c>
      <c r="F198" s="31">
        <v>36347326.735194393</v>
      </c>
      <c r="G198" s="31">
        <v>2267102.59</v>
      </c>
      <c r="H198" s="31">
        <v>2886935.8000000007</v>
      </c>
      <c r="I198" s="31">
        <v>125116.46000000002</v>
      </c>
      <c r="J198" s="31">
        <v>5470856.796871393</v>
      </c>
      <c r="K198" s="31">
        <v>2096029.985005335</v>
      </c>
      <c r="L198" s="31">
        <v>2324009.8452922851</v>
      </c>
      <c r="M198" s="31">
        <f t="shared" si="16"/>
        <v>52803622.252363399</v>
      </c>
      <c r="N198" s="31">
        <v>1286244.04</v>
      </c>
      <c r="P198" s="42" t="s">
        <v>7</v>
      </c>
      <c r="Q198" s="42" t="s">
        <v>8</v>
      </c>
      <c r="R198" s="43" t="s">
        <v>1050</v>
      </c>
      <c r="S198" s="44">
        <v>34</v>
      </c>
      <c r="T198" s="31">
        <v>39109319.277744584</v>
      </c>
      <c r="U198" s="31">
        <v>2435635.3800000004</v>
      </c>
      <c r="V198" s="31">
        <v>3074324.3299999996</v>
      </c>
      <c r="W198" s="31">
        <v>133237.68</v>
      </c>
      <c r="X198" s="31">
        <v>5795447.5328546856</v>
      </c>
      <c r="Y198" s="31">
        <v>2100363.1516881776</v>
      </c>
      <c r="Z198" s="31">
        <v>2490641.0678603216</v>
      </c>
      <c r="AA198" s="31">
        <f t="shared" si="17"/>
        <v>56487324.340147771</v>
      </c>
      <c r="AB198" s="31">
        <v>1348355.92</v>
      </c>
      <c r="AD198" s="42" t="s">
        <v>7</v>
      </c>
      <c r="AE198" s="42" t="s">
        <v>8</v>
      </c>
      <c r="AF198" s="43" t="s">
        <v>1275</v>
      </c>
      <c r="AG198" s="44">
        <v>34</v>
      </c>
      <c r="AH198" s="31">
        <v>39803113.920935944</v>
      </c>
      <c r="AI198" s="31">
        <v>2477780.2899999991</v>
      </c>
      <c r="AJ198" s="31">
        <v>3127924.68</v>
      </c>
      <c r="AK198" s="31">
        <v>135560.63999999998</v>
      </c>
      <c r="AL198" s="31">
        <v>5897236.4733915692</v>
      </c>
      <c r="AM198" s="31">
        <v>2097071.1136909486</v>
      </c>
      <c r="AN198" s="31">
        <v>2534462.2346494691</v>
      </c>
      <c r="AO198" s="31">
        <f t="shared" si="18"/>
        <v>57445333.652667932</v>
      </c>
      <c r="AP198" s="31">
        <v>1372184.3</v>
      </c>
      <c r="AR198" s="42" t="s">
        <v>7</v>
      </c>
      <c r="AS198" s="42" t="s">
        <v>8</v>
      </c>
      <c r="AT198" s="43" t="s">
        <v>1276</v>
      </c>
      <c r="AU198" s="44">
        <v>34</v>
      </c>
      <c r="AV198" s="31">
        <v>40545664.169920348</v>
      </c>
      <c r="AW198" s="31">
        <v>2522917.5</v>
      </c>
      <c r="AX198" s="31">
        <v>3185330.67</v>
      </c>
      <c r="AY198" s="31">
        <v>138048.56</v>
      </c>
      <c r="AZ198" s="31">
        <v>6006251.8357355567</v>
      </c>
      <c r="BA198" s="31">
        <v>2097165.1719194409</v>
      </c>
      <c r="BB198" s="31">
        <v>2581393.2231718455</v>
      </c>
      <c r="BC198" s="31">
        <f t="shared" si="19"/>
        <v>58474475.610747196</v>
      </c>
      <c r="BD198" s="31">
        <v>1397704.4800000002</v>
      </c>
    </row>
    <row r="199" spans="2:56">
      <c r="B199" s="42" t="s">
        <v>93</v>
      </c>
      <c r="C199" s="42" t="s">
        <v>94</v>
      </c>
      <c r="D199" s="43" t="s">
        <v>1049</v>
      </c>
      <c r="E199" s="44">
        <v>34</v>
      </c>
      <c r="F199" s="31">
        <v>403263.79399110691</v>
      </c>
      <c r="G199" s="31">
        <v>12472.669999999998</v>
      </c>
      <c r="H199" s="31">
        <v>12570.099999999999</v>
      </c>
      <c r="I199" s="31">
        <v>0</v>
      </c>
      <c r="J199" s="31">
        <v>48951.989249271959</v>
      </c>
      <c r="K199" s="31">
        <v>93000.615266374734</v>
      </c>
      <c r="L199" s="31">
        <v>0</v>
      </c>
      <c r="M199" s="31">
        <f t="shared" si="16"/>
        <v>576592.94850675366</v>
      </c>
      <c r="N199" s="31">
        <v>6333.78</v>
      </c>
      <c r="P199" s="42" t="s">
        <v>93</v>
      </c>
      <c r="Q199" s="42" t="s">
        <v>94</v>
      </c>
      <c r="R199" s="43" t="s">
        <v>1050</v>
      </c>
      <c r="S199" s="44">
        <v>34</v>
      </c>
      <c r="T199" s="31">
        <v>431121.70948295883</v>
      </c>
      <c r="U199" s="31">
        <v>13387.519999999997</v>
      </c>
      <c r="V199" s="31">
        <v>13386.019999999999</v>
      </c>
      <c r="W199" s="31">
        <v>0</v>
      </c>
      <c r="X199" s="31">
        <v>51850.302781185994</v>
      </c>
      <c r="Y199" s="31">
        <v>93194.283067259399</v>
      </c>
      <c r="Z199" s="31">
        <v>0</v>
      </c>
      <c r="AA199" s="31">
        <f t="shared" si="17"/>
        <v>609579.47533140425</v>
      </c>
      <c r="AB199" s="31">
        <v>6639.64</v>
      </c>
      <c r="AD199" s="42" t="s">
        <v>93</v>
      </c>
      <c r="AE199" s="42" t="s">
        <v>94</v>
      </c>
      <c r="AF199" s="43" t="s">
        <v>1275</v>
      </c>
      <c r="AG199" s="44">
        <v>34</v>
      </c>
      <c r="AH199" s="31">
        <v>438610.87770004477</v>
      </c>
      <c r="AI199" s="31">
        <v>13619.359999999993</v>
      </c>
      <c r="AJ199" s="31">
        <v>13619.41</v>
      </c>
      <c r="AK199" s="31">
        <v>0</v>
      </c>
      <c r="AL199" s="31">
        <v>52759.539418419838</v>
      </c>
      <c r="AM199" s="31">
        <v>93047.147771985256</v>
      </c>
      <c r="AN199" s="31">
        <v>0</v>
      </c>
      <c r="AO199" s="31">
        <f t="shared" si="18"/>
        <v>618413.30489044974</v>
      </c>
      <c r="AP199" s="31">
        <v>6756.97</v>
      </c>
      <c r="AR199" s="42" t="s">
        <v>93</v>
      </c>
      <c r="AS199" s="42" t="s">
        <v>94</v>
      </c>
      <c r="AT199" s="43" t="s">
        <v>1276</v>
      </c>
      <c r="AU199" s="44">
        <v>34</v>
      </c>
      <c r="AV199" s="31">
        <v>446632.34163974365</v>
      </c>
      <c r="AW199" s="31">
        <v>13867.649999999996</v>
      </c>
      <c r="AX199" s="31">
        <v>13869.359999999999</v>
      </c>
      <c r="AY199" s="31">
        <v>0</v>
      </c>
      <c r="AZ199" s="31">
        <v>53733.319637034307</v>
      </c>
      <c r="BA199" s="31">
        <v>93051.351637564512</v>
      </c>
      <c r="BB199" s="31">
        <v>0</v>
      </c>
      <c r="BC199" s="31">
        <f t="shared" si="19"/>
        <v>628036.67291434249</v>
      </c>
      <c r="BD199" s="31">
        <v>6882.65</v>
      </c>
    </row>
    <row r="200" spans="2:56">
      <c r="B200" s="42" t="s">
        <v>565</v>
      </c>
      <c r="C200" s="42" t="s">
        <v>566</v>
      </c>
      <c r="D200" s="43" t="s">
        <v>1049</v>
      </c>
      <c r="E200" s="44">
        <v>34</v>
      </c>
      <c r="F200" s="31">
        <v>2210879.432647232</v>
      </c>
      <c r="G200" s="31">
        <v>34689.61</v>
      </c>
      <c r="H200" s="31">
        <v>0</v>
      </c>
      <c r="I200" s="31">
        <v>0</v>
      </c>
      <c r="J200" s="31">
        <v>163641.20748194394</v>
      </c>
      <c r="K200" s="31">
        <v>0</v>
      </c>
      <c r="L200" s="31">
        <v>85352.69647737511</v>
      </c>
      <c r="M200" s="31">
        <f t="shared" si="16"/>
        <v>2494562.9466065508</v>
      </c>
      <c r="N200" s="31">
        <v>0</v>
      </c>
      <c r="P200" s="42" t="s">
        <v>565</v>
      </c>
      <c r="Q200" s="42" t="s">
        <v>566</v>
      </c>
      <c r="R200" s="43" t="s">
        <v>1050</v>
      </c>
      <c r="S200" s="44">
        <v>34</v>
      </c>
      <c r="T200" s="31">
        <v>2348162.4334950941</v>
      </c>
      <c r="U200" s="31">
        <v>36941.279999999992</v>
      </c>
      <c r="V200" s="31">
        <v>0</v>
      </c>
      <c r="W200" s="31">
        <v>0</v>
      </c>
      <c r="X200" s="31">
        <v>173346.04340329772</v>
      </c>
      <c r="Y200" s="31">
        <v>0</v>
      </c>
      <c r="Z200" s="31">
        <v>90599.604759355803</v>
      </c>
      <c r="AA200" s="31">
        <f t="shared" si="17"/>
        <v>2649049.3616577475</v>
      </c>
      <c r="AB200" s="31">
        <v>0</v>
      </c>
      <c r="AD200" s="42" t="s">
        <v>565</v>
      </c>
      <c r="AE200" s="42" t="s">
        <v>566</v>
      </c>
      <c r="AF200" s="43" t="s">
        <v>1275</v>
      </c>
      <c r="AG200" s="44">
        <v>34</v>
      </c>
      <c r="AH200" s="31">
        <v>2389130.2052632808</v>
      </c>
      <c r="AI200" s="31">
        <v>37585.340000000004</v>
      </c>
      <c r="AJ200" s="31">
        <v>0</v>
      </c>
      <c r="AK200" s="31">
        <v>0</v>
      </c>
      <c r="AL200" s="31">
        <v>176390.56208554568</v>
      </c>
      <c r="AM200" s="31">
        <v>0</v>
      </c>
      <c r="AN200" s="31">
        <v>92193.944309096536</v>
      </c>
      <c r="AO200" s="31">
        <f t="shared" si="18"/>
        <v>2695300.0516579226</v>
      </c>
      <c r="AP200" s="31">
        <v>0</v>
      </c>
      <c r="AR200" s="42" t="s">
        <v>565</v>
      </c>
      <c r="AS200" s="42" t="s">
        <v>566</v>
      </c>
      <c r="AT200" s="43" t="s">
        <v>1276</v>
      </c>
      <c r="AU200" s="44">
        <v>34</v>
      </c>
      <c r="AV200" s="31">
        <v>2433000.7195109823</v>
      </c>
      <c r="AW200" s="31">
        <v>38275.15</v>
      </c>
      <c r="AX200" s="31">
        <v>0</v>
      </c>
      <c r="AY200" s="31">
        <v>0</v>
      </c>
      <c r="AZ200" s="31">
        <v>179651.22647469299</v>
      </c>
      <c r="BA200" s="31">
        <v>0</v>
      </c>
      <c r="BB200" s="31">
        <v>93901.427630868828</v>
      </c>
      <c r="BC200" s="31">
        <f t="shared" si="19"/>
        <v>2744828.523616544</v>
      </c>
      <c r="BD200" s="31">
        <v>0</v>
      </c>
    </row>
    <row r="201" spans="2:56">
      <c r="B201" s="42" t="s">
        <v>111</v>
      </c>
      <c r="C201" s="42" t="s">
        <v>112</v>
      </c>
      <c r="D201" s="43" t="s">
        <v>1049</v>
      </c>
      <c r="E201" s="44">
        <v>34</v>
      </c>
      <c r="F201" s="31">
        <v>146711126.16986844</v>
      </c>
      <c r="G201" s="31">
        <v>8277272.7699999977</v>
      </c>
      <c r="H201" s="31">
        <v>9979792.1700000018</v>
      </c>
      <c r="I201" s="31">
        <v>507481.75</v>
      </c>
      <c r="J201" s="31">
        <v>20982185.700044595</v>
      </c>
      <c r="K201" s="31">
        <v>8015744.0452046283</v>
      </c>
      <c r="L201" s="31">
        <v>10579337.216825472</v>
      </c>
      <c r="M201" s="31">
        <f t="shared" si="16"/>
        <v>209846927.30194318</v>
      </c>
      <c r="N201" s="31">
        <v>4793987.4800000004</v>
      </c>
      <c r="P201" s="42" t="s">
        <v>111</v>
      </c>
      <c r="Q201" s="42" t="s">
        <v>112</v>
      </c>
      <c r="R201" s="43" t="s">
        <v>1050</v>
      </c>
      <c r="S201" s="44">
        <v>34</v>
      </c>
      <c r="T201" s="31">
        <v>157838394.76149908</v>
      </c>
      <c r="U201" s="31">
        <v>8894218.5699999984</v>
      </c>
      <c r="V201" s="31">
        <v>10627571.92</v>
      </c>
      <c r="W201" s="31">
        <v>540421.94000000006</v>
      </c>
      <c r="X201" s="31">
        <v>22227003.330223978</v>
      </c>
      <c r="Y201" s="31">
        <v>8034665.1063383538</v>
      </c>
      <c r="Z201" s="31">
        <v>11337873.630528383</v>
      </c>
      <c r="AA201" s="31">
        <f t="shared" si="17"/>
        <v>224525635.22858977</v>
      </c>
      <c r="AB201" s="31">
        <v>5025485.9700000007</v>
      </c>
      <c r="AD201" s="42" t="s">
        <v>111</v>
      </c>
      <c r="AE201" s="42" t="s">
        <v>112</v>
      </c>
      <c r="AF201" s="43" t="s">
        <v>1275</v>
      </c>
      <c r="AG201" s="44">
        <v>34</v>
      </c>
      <c r="AH201" s="31">
        <v>160655282.42433035</v>
      </c>
      <c r="AI201" s="31">
        <v>9048095.1700000018</v>
      </c>
      <c r="AJ201" s="31">
        <v>10812861.959999999</v>
      </c>
      <c r="AK201" s="31">
        <v>549844.11</v>
      </c>
      <c r="AL201" s="31">
        <v>22617401.07756716</v>
      </c>
      <c r="AM201" s="31">
        <v>8020290.2030033972</v>
      </c>
      <c r="AN201" s="31">
        <v>11537356.739395782</v>
      </c>
      <c r="AO201" s="31">
        <f t="shared" si="18"/>
        <v>228355428.89429674</v>
      </c>
      <c r="AP201" s="31">
        <v>5114297.21</v>
      </c>
      <c r="AR201" s="42" t="s">
        <v>111</v>
      </c>
      <c r="AS201" s="42" t="s">
        <v>112</v>
      </c>
      <c r="AT201" s="43" t="s">
        <v>1276</v>
      </c>
      <c r="AU201" s="44">
        <v>34</v>
      </c>
      <c r="AV201" s="31">
        <v>163669082.90923446</v>
      </c>
      <c r="AW201" s="31">
        <v>9212897.0199999996</v>
      </c>
      <c r="AX201" s="31">
        <v>11011307.58</v>
      </c>
      <c r="AY201" s="31">
        <v>559935.25</v>
      </c>
      <c r="AZ201" s="31">
        <v>23035514.933532607</v>
      </c>
      <c r="BA201" s="31">
        <v>8020700.9145272523</v>
      </c>
      <c r="BB201" s="31">
        <v>11750996.406857362</v>
      </c>
      <c r="BC201" s="31">
        <f t="shared" si="19"/>
        <v>232469849.05415168</v>
      </c>
      <c r="BD201" s="31">
        <v>5209414.04</v>
      </c>
    </row>
    <row r="202" spans="2:56">
      <c r="B202" s="42" t="s">
        <v>335</v>
      </c>
      <c r="C202" s="42" t="s">
        <v>336</v>
      </c>
      <c r="D202" s="43" t="s">
        <v>1049</v>
      </c>
      <c r="E202" s="44">
        <v>34</v>
      </c>
      <c r="F202" s="31">
        <v>3263872.2500538221</v>
      </c>
      <c r="G202" s="31">
        <v>137502.41000000003</v>
      </c>
      <c r="H202" s="31">
        <v>57301.08</v>
      </c>
      <c r="I202" s="31">
        <v>8574.99</v>
      </c>
      <c r="J202" s="31">
        <v>370516.36197021039</v>
      </c>
      <c r="K202" s="31">
        <v>197071.99173807609</v>
      </c>
      <c r="L202" s="31">
        <v>101937.06604758077</v>
      </c>
      <c r="M202" s="31">
        <f t="shared" si="16"/>
        <v>4218490.69980969</v>
      </c>
      <c r="N202" s="31">
        <v>81714.55</v>
      </c>
      <c r="P202" s="42" t="s">
        <v>335</v>
      </c>
      <c r="Q202" s="42" t="s">
        <v>336</v>
      </c>
      <c r="R202" s="43" t="s">
        <v>1050</v>
      </c>
      <c r="S202" s="44">
        <v>34</v>
      </c>
      <c r="T202" s="31">
        <v>3496992.7830872899</v>
      </c>
      <c r="U202" s="31">
        <v>147708.94999999998</v>
      </c>
      <c r="V202" s="31">
        <v>61005.079999999994</v>
      </c>
      <c r="W202" s="31">
        <v>9129.27</v>
      </c>
      <c r="X202" s="31">
        <v>392488.64071618556</v>
      </c>
      <c r="Y202" s="31">
        <v>197609.7271251046</v>
      </c>
      <c r="Z202" s="31">
        <v>109159.86254339604</v>
      </c>
      <c r="AA202" s="31">
        <f t="shared" si="17"/>
        <v>4499772.7334719757</v>
      </c>
      <c r="AB202" s="31">
        <v>85678.420000000013</v>
      </c>
      <c r="AD202" s="42" t="s">
        <v>335</v>
      </c>
      <c r="AE202" s="42" t="s">
        <v>336</v>
      </c>
      <c r="AF202" s="43" t="s">
        <v>1275</v>
      </c>
      <c r="AG202" s="44">
        <v>34</v>
      </c>
      <c r="AH202" s="31">
        <v>3559502.8674686253</v>
      </c>
      <c r="AI202" s="31">
        <v>150276.85000000003</v>
      </c>
      <c r="AJ202" s="31">
        <v>62073.79</v>
      </c>
      <c r="AK202" s="31">
        <v>9289.1999999999989</v>
      </c>
      <c r="AL202" s="31">
        <v>399403.16201327898</v>
      </c>
      <c r="AM202" s="31">
        <v>197201.19326150735</v>
      </c>
      <c r="AN202" s="31">
        <v>111085.72473135756</v>
      </c>
      <c r="AO202" s="31">
        <f t="shared" si="18"/>
        <v>4576031.8974747695</v>
      </c>
      <c r="AP202" s="31">
        <v>87199.11</v>
      </c>
      <c r="AR202" s="42" t="s">
        <v>335</v>
      </c>
      <c r="AS202" s="42" t="s">
        <v>336</v>
      </c>
      <c r="AT202" s="43" t="s">
        <v>1276</v>
      </c>
      <c r="AU202" s="44">
        <v>34</v>
      </c>
      <c r="AV202" s="31">
        <v>3626370.8940892909</v>
      </c>
      <c r="AW202" s="31">
        <v>153027.07999999999</v>
      </c>
      <c r="AX202" s="31">
        <v>63218.38</v>
      </c>
      <c r="AY202" s="31">
        <v>9460.49</v>
      </c>
      <c r="AZ202" s="31">
        <v>406808.58244735637</v>
      </c>
      <c r="BA202" s="31">
        <v>197212.86565761012</v>
      </c>
      <c r="BB202" s="31">
        <v>113148.25951626431</v>
      </c>
      <c r="BC202" s="31">
        <f t="shared" si="19"/>
        <v>4658074.3117105216</v>
      </c>
      <c r="BD202" s="31">
        <v>88827.760000000009</v>
      </c>
    </row>
    <row r="203" spans="2:56">
      <c r="B203" s="42" t="s">
        <v>19</v>
      </c>
      <c r="C203" s="42" t="s">
        <v>20</v>
      </c>
      <c r="D203" s="43" t="s">
        <v>1049</v>
      </c>
      <c r="E203" s="44">
        <v>34</v>
      </c>
      <c r="F203" s="31">
        <v>1239863.3363786475</v>
      </c>
      <c r="G203" s="31">
        <v>88088.22</v>
      </c>
      <c r="H203" s="31">
        <v>42972.24</v>
      </c>
      <c r="I203" s="31">
        <v>0</v>
      </c>
      <c r="J203" s="31">
        <v>181282.11538752014</v>
      </c>
      <c r="K203" s="31">
        <v>332092.50042596896</v>
      </c>
      <c r="L203" s="31">
        <v>0</v>
      </c>
      <c r="M203" s="31">
        <f t="shared" si="16"/>
        <v>1924932.0421921364</v>
      </c>
      <c r="N203" s="31">
        <v>40633.629999999997</v>
      </c>
      <c r="P203" s="42" t="s">
        <v>19</v>
      </c>
      <c r="Q203" s="42" t="s">
        <v>20</v>
      </c>
      <c r="R203" s="43" t="s">
        <v>1050</v>
      </c>
      <c r="S203" s="44">
        <v>34</v>
      </c>
      <c r="T203" s="31">
        <v>1338766.4445855399</v>
      </c>
      <c r="U203" s="31">
        <v>94481.299999999959</v>
      </c>
      <c r="V203" s="31">
        <v>45761.539999999994</v>
      </c>
      <c r="W203" s="31">
        <v>0</v>
      </c>
      <c r="X203" s="31">
        <v>192031.343448131</v>
      </c>
      <c r="Y203" s="31">
        <v>332894.93335327238</v>
      </c>
      <c r="Z203" s="31">
        <v>0</v>
      </c>
      <c r="AA203" s="31">
        <f t="shared" si="17"/>
        <v>2046531.3513869434</v>
      </c>
      <c r="AB203" s="31">
        <v>42595.79</v>
      </c>
      <c r="AD203" s="42" t="s">
        <v>19</v>
      </c>
      <c r="AE203" s="42" t="s">
        <v>20</v>
      </c>
      <c r="AF203" s="43" t="s">
        <v>1275</v>
      </c>
      <c r="AG203" s="44">
        <v>34</v>
      </c>
      <c r="AH203" s="31">
        <v>1362225.3022682699</v>
      </c>
      <c r="AI203" s="31">
        <v>96118.449999999983</v>
      </c>
      <c r="AJ203" s="31">
        <v>46559.39</v>
      </c>
      <c r="AK203" s="31">
        <v>0</v>
      </c>
      <c r="AL203" s="31">
        <v>195400.13748451567</v>
      </c>
      <c r="AM203" s="31">
        <v>332285.30074962234</v>
      </c>
      <c r="AN203" s="31">
        <v>0</v>
      </c>
      <c r="AO203" s="31">
        <f t="shared" si="18"/>
        <v>2075937.1405024077</v>
      </c>
      <c r="AP203" s="31">
        <v>43348.56</v>
      </c>
      <c r="AR203" s="42" t="s">
        <v>19</v>
      </c>
      <c r="AS203" s="42" t="s">
        <v>20</v>
      </c>
      <c r="AT203" s="43" t="s">
        <v>1276</v>
      </c>
      <c r="AU203" s="44">
        <v>34</v>
      </c>
      <c r="AV203" s="31">
        <v>1387349.4123538737</v>
      </c>
      <c r="AW203" s="31">
        <v>97871.849999999977</v>
      </c>
      <c r="AX203" s="31">
        <v>47413.869999999995</v>
      </c>
      <c r="AY203" s="31">
        <v>0</v>
      </c>
      <c r="AZ203" s="31">
        <v>199008.06883505883</v>
      </c>
      <c r="BA203" s="31">
        <v>332302.71882401238</v>
      </c>
      <c r="BB203" s="31">
        <v>0</v>
      </c>
      <c r="BC203" s="31">
        <f t="shared" si="19"/>
        <v>2108100.6800129451</v>
      </c>
      <c r="BD203" s="31">
        <v>44154.76</v>
      </c>
    </row>
    <row r="204" spans="2:56">
      <c r="B204" s="42" t="s">
        <v>289</v>
      </c>
      <c r="C204" s="42" t="s">
        <v>290</v>
      </c>
      <c r="D204" s="43" t="s">
        <v>1049</v>
      </c>
      <c r="E204" s="44">
        <v>34</v>
      </c>
      <c r="F204" s="31">
        <v>2880735.7406535917</v>
      </c>
      <c r="G204" s="31">
        <v>94526.58</v>
      </c>
      <c r="H204" s="31">
        <v>0</v>
      </c>
      <c r="I204" s="31">
        <v>7162.6399999999985</v>
      </c>
      <c r="J204" s="31">
        <v>351495.72769695142</v>
      </c>
      <c r="K204" s="31">
        <v>190085.30553271354</v>
      </c>
      <c r="L204" s="31">
        <v>194332.88077086539</v>
      </c>
      <c r="M204" s="31">
        <f t="shared" si="16"/>
        <v>3792890.8046541223</v>
      </c>
      <c r="N204" s="31">
        <v>74551.930000000008</v>
      </c>
      <c r="P204" s="42" t="s">
        <v>289</v>
      </c>
      <c r="Q204" s="42" t="s">
        <v>290</v>
      </c>
      <c r="R204" s="43" t="s">
        <v>1050</v>
      </c>
      <c r="S204" s="44">
        <v>34</v>
      </c>
      <c r="T204" s="31">
        <v>3084987.9281581817</v>
      </c>
      <c r="U204" s="31">
        <v>101839.58999999998</v>
      </c>
      <c r="V204" s="31">
        <v>0</v>
      </c>
      <c r="W204" s="31">
        <v>7625.6500000000005</v>
      </c>
      <c r="X204" s="31">
        <v>372329.98708497034</v>
      </c>
      <c r="Y204" s="31">
        <v>190511.13568904874</v>
      </c>
      <c r="Z204" s="31">
        <v>208193.33348945878</v>
      </c>
      <c r="AA204" s="31">
        <f t="shared" si="17"/>
        <v>4043655.9644216588</v>
      </c>
      <c r="AB204" s="31">
        <v>78168.340000000011</v>
      </c>
      <c r="AD204" s="42" t="s">
        <v>289</v>
      </c>
      <c r="AE204" s="42" t="s">
        <v>290</v>
      </c>
      <c r="AF204" s="43" t="s">
        <v>1275</v>
      </c>
      <c r="AG204" s="44">
        <v>34</v>
      </c>
      <c r="AH204" s="31">
        <v>3139166.4819676313</v>
      </c>
      <c r="AI204" s="31">
        <v>103605.66999999997</v>
      </c>
      <c r="AJ204" s="31">
        <v>0</v>
      </c>
      <c r="AK204" s="31">
        <v>7759.2300000000005</v>
      </c>
      <c r="AL204" s="31">
        <v>378887.40654881927</v>
      </c>
      <c r="AM204" s="31">
        <v>190187.61961924876</v>
      </c>
      <c r="AN204" s="31">
        <v>211866.5778527463</v>
      </c>
      <c r="AO204" s="31">
        <f t="shared" si="18"/>
        <v>4111028.715988446</v>
      </c>
      <c r="AP204" s="31">
        <v>79555.73</v>
      </c>
      <c r="AR204" s="42" t="s">
        <v>289</v>
      </c>
      <c r="AS204" s="42" t="s">
        <v>290</v>
      </c>
      <c r="AT204" s="43" t="s">
        <v>1276</v>
      </c>
      <c r="AU204" s="44">
        <v>34</v>
      </c>
      <c r="AV204" s="31">
        <v>3197178.8676866433</v>
      </c>
      <c r="AW204" s="31">
        <v>105497.12</v>
      </c>
      <c r="AX204" s="31">
        <v>0</v>
      </c>
      <c r="AY204" s="31">
        <v>7902.3099999999995</v>
      </c>
      <c r="AZ204" s="31">
        <v>385910.36286341946</v>
      </c>
      <c r="BA204" s="31">
        <v>190196.86293552874</v>
      </c>
      <c r="BB204" s="31">
        <v>215800.50127202726</v>
      </c>
      <c r="BC204" s="31">
        <f t="shared" si="19"/>
        <v>4183527.6547576189</v>
      </c>
      <c r="BD204" s="31">
        <v>81041.63</v>
      </c>
    </row>
    <row r="205" spans="2:56">
      <c r="B205" s="42" t="s">
        <v>379</v>
      </c>
      <c r="C205" s="42" t="s">
        <v>380</v>
      </c>
      <c r="D205" s="43" t="s">
        <v>1049</v>
      </c>
      <c r="E205" s="44">
        <v>34</v>
      </c>
      <c r="F205" s="31">
        <v>76944510.108828098</v>
      </c>
      <c r="G205" s="31">
        <v>1274802.6000000001</v>
      </c>
      <c r="H205" s="31">
        <v>346055.97000000003</v>
      </c>
      <c r="I205" s="31">
        <v>275666.05000000005</v>
      </c>
      <c r="J205" s="31">
        <v>11568412.728672519</v>
      </c>
      <c r="K205" s="31">
        <v>5956432.45225731</v>
      </c>
      <c r="L205" s="31">
        <v>5451540.93344157</v>
      </c>
      <c r="M205" s="31">
        <f t="shared" si="16"/>
        <v>101891813.98319948</v>
      </c>
      <c r="N205" s="31">
        <v>74393.14</v>
      </c>
      <c r="P205" s="42" t="s">
        <v>379</v>
      </c>
      <c r="Q205" s="42" t="s">
        <v>380</v>
      </c>
      <c r="R205" s="43" t="s">
        <v>1050</v>
      </c>
      <c r="S205" s="44">
        <v>34</v>
      </c>
      <c r="T205" s="31">
        <v>81878029.000874773</v>
      </c>
      <c r="U205" s="31">
        <v>1357413.4300000002</v>
      </c>
      <c r="V205" s="31">
        <v>368181.45999999996</v>
      </c>
      <c r="W205" s="31">
        <v>293291.08999999997</v>
      </c>
      <c r="X205" s="31">
        <v>12251741.962783724</v>
      </c>
      <c r="Y205" s="31">
        <v>5970795.4437715383</v>
      </c>
      <c r="Z205" s="31">
        <v>5784086.9525261112</v>
      </c>
      <c r="AA205" s="31">
        <f t="shared" si="17"/>
        <v>107981584.08995615</v>
      </c>
      <c r="AB205" s="31">
        <v>78044.750000000015</v>
      </c>
      <c r="AD205" s="42" t="s">
        <v>379</v>
      </c>
      <c r="AE205" s="42" t="s">
        <v>380</v>
      </c>
      <c r="AF205" s="43" t="s">
        <v>1275</v>
      </c>
      <c r="AG205" s="44">
        <v>34</v>
      </c>
      <c r="AH205" s="31">
        <v>83375793.075860143</v>
      </c>
      <c r="AI205" s="31">
        <v>1381475.3499999996</v>
      </c>
      <c r="AJ205" s="31">
        <v>374712.43999999994</v>
      </c>
      <c r="AK205" s="31">
        <v>298493.63</v>
      </c>
      <c r="AL205" s="31">
        <v>12469699.027059395</v>
      </c>
      <c r="AM205" s="31">
        <v>5959651.9921125155</v>
      </c>
      <c r="AN205" s="31">
        <v>5887116.6332598273</v>
      </c>
      <c r="AO205" s="31">
        <f t="shared" si="18"/>
        <v>109826387.78829187</v>
      </c>
      <c r="AP205" s="31">
        <v>79445.640000000014</v>
      </c>
      <c r="AR205" s="42" t="s">
        <v>379</v>
      </c>
      <c r="AS205" s="42" t="s">
        <v>380</v>
      </c>
      <c r="AT205" s="43" t="s">
        <v>1276</v>
      </c>
      <c r="AU205" s="44">
        <v>34</v>
      </c>
      <c r="AV205" s="31">
        <v>84977066.311874613</v>
      </c>
      <c r="AW205" s="31">
        <v>1407245.65</v>
      </c>
      <c r="AX205" s="31">
        <v>381707.10999999993</v>
      </c>
      <c r="AY205" s="31">
        <v>304065.53999999998</v>
      </c>
      <c r="AZ205" s="31">
        <v>12703130.228373121</v>
      </c>
      <c r="BA205" s="31">
        <v>5959970.3764456306</v>
      </c>
      <c r="BB205" s="31">
        <v>5997458.2824028349</v>
      </c>
      <c r="BC205" s="31">
        <f t="shared" si="19"/>
        <v>111811589.49909621</v>
      </c>
      <c r="BD205" s="31">
        <v>80946</v>
      </c>
    </row>
    <row r="206" spans="2:56">
      <c r="B206" s="42" t="s">
        <v>1317</v>
      </c>
      <c r="C206" s="42" t="s">
        <v>1318</v>
      </c>
      <c r="D206" s="43" t="s">
        <v>1049</v>
      </c>
      <c r="E206" s="44">
        <v>34</v>
      </c>
      <c r="F206" s="31">
        <v>951358.83248754556</v>
      </c>
      <c r="G206" s="31">
        <v>33593.760000000002</v>
      </c>
      <c r="H206" s="31">
        <v>11904.09</v>
      </c>
      <c r="I206" s="31">
        <v>0</v>
      </c>
      <c r="J206" s="31">
        <v>131187.9391513748</v>
      </c>
      <c r="K206" s="31">
        <v>0</v>
      </c>
      <c r="L206" s="31">
        <v>0</v>
      </c>
      <c r="M206" s="31">
        <f t="shared" si="16"/>
        <v>1128044.6216389204</v>
      </c>
      <c r="N206" s="31">
        <v>0</v>
      </c>
      <c r="P206" s="42" t="s">
        <v>1317</v>
      </c>
      <c r="Q206" s="42" t="s">
        <v>1318</v>
      </c>
      <c r="R206" s="43" t="s">
        <v>1050</v>
      </c>
      <c r="S206" s="44">
        <v>34</v>
      </c>
      <c r="T206" s="31">
        <v>1005587.9826650128</v>
      </c>
      <c r="U206" s="31">
        <v>35462.620000000003</v>
      </c>
      <c r="V206" s="31">
        <v>12566.329999999998</v>
      </c>
      <c r="W206" s="31">
        <v>0</v>
      </c>
      <c r="X206" s="31">
        <v>138036.04601194037</v>
      </c>
      <c r="Y206" s="31">
        <v>0</v>
      </c>
      <c r="Z206" s="31">
        <v>0</v>
      </c>
      <c r="AA206" s="31">
        <f t="shared" si="17"/>
        <v>1191652.9786769531</v>
      </c>
      <c r="AB206" s="31">
        <v>0</v>
      </c>
      <c r="AD206" s="42" t="s">
        <v>1317</v>
      </c>
      <c r="AE206" s="42" t="s">
        <v>1318</v>
      </c>
      <c r="AF206" s="43" t="s">
        <v>1275</v>
      </c>
      <c r="AG206" s="44">
        <v>34</v>
      </c>
      <c r="AH206" s="31">
        <v>1023290.5991038736</v>
      </c>
      <c r="AI206" s="31">
        <v>36083.15</v>
      </c>
      <c r="AJ206" s="31">
        <v>12786.21</v>
      </c>
      <c r="AK206" s="31">
        <v>0</v>
      </c>
      <c r="AL206" s="31">
        <v>140467.28874412665</v>
      </c>
      <c r="AM206" s="31">
        <v>0</v>
      </c>
      <c r="AN206" s="31">
        <v>0</v>
      </c>
      <c r="AO206" s="31">
        <f t="shared" si="18"/>
        <v>1212627.2478480001</v>
      </c>
      <c r="AP206" s="31">
        <v>0</v>
      </c>
      <c r="AR206" s="42" t="s">
        <v>1317</v>
      </c>
      <c r="AS206" s="42" t="s">
        <v>1318</v>
      </c>
      <c r="AT206" s="43" t="s">
        <v>1276</v>
      </c>
      <c r="AU206" s="44">
        <v>34</v>
      </c>
      <c r="AV206" s="31">
        <v>1042249.8242298928</v>
      </c>
      <c r="AW206" s="31">
        <v>36747.74</v>
      </c>
      <c r="AX206" s="31">
        <v>13021.719999999998</v>
      </c>
      <c r="AY206" s="31">
        <v>0</v>
      </c>
      <c r="AZ206" s="31">
        <v>143071.1120239546</v>
      </c>
      <c r="BA206" s="31">
        <v>0</v>
      </c>
      <c r="BB206" s="31">
        <v>0</v>
      </c>
      <c r="BC206" s="31">
        <f t="shared" si="19"/>
        <v>1235090.3962538473</v>
      </c>
      <c r="BD206" s="31">
        <v>0</v>
      </c>
    </row>
    <row r="207" spans="2:56">
      <c r="B207" s="42" t="s">
        <v>321</v>
      </c>
      <c r="C207" s="42" t="s">
        <v>322</v>
      </c>
      <c r="D207" s="43" t="s">
        <v>1049</v>
      </c>
      <c r="E207" s="44">
        <v>34</v>
      </c>
      <c r="F207" s="31">
        <v>6125186.5355924778</v>
      </c>
      <c r="G207" s="31">
        <v>279660.63</v>
      </c>
      <c r="H207" s="31">
        <v>50085.570000000007</v>
      </c>
      <c r="I207" s="31">
        <v>19391.120000000003</v>
      </c>
      <c r="J207" s="31">
        <v>943840.28873090807</v>
      </c>
      <c r="K207" s="31">
        <v>671718.46139702224</v>
      </c>
      <c r="L207" s="31">
        <v>0</v>
      </c>
      <c r="M207" s="31">
        <f t="shared" si="16"/>
        <v>8286229.7057204079</v>
      </c>
      <c r="N207" s="31">
        <v>196347.09999999998</v>
      </c>
      <c r="P207" s="42" t="s">
        <v>321</v>
      </c>
      <c r="Q207" s="42" t="s">
        <v>322</v>
      </c>
      <c r="R207" s="43" t="s">
        <v>1050</v>
      </c>
      <c r="S207" s="44">
        <v>34</v>
      </c>
      <c r="T207" s="31">
        <v>6609720.8770370567</v>
      </c>
      <c r="U207" s="31">
        <v>301076.42999999993</v>
      </c>
      <c r="V207" s="31">
        <v>53336.58</v>
      </c>
      <c r="W207" s="31">
        <v>20649.780000000002</v>
      </c>
      <c r="X207" s="31">
        <v>999784.17453768093</v>
      </c>
      <c r="Y207" s="31">
        <v>673235.09509550326</v>
      </c>
      <c r="Z207" s="31">
        <v>0</v>
      </c>
      <c r="AA207" s="31">
        <f t="shared" si="17"/>
        <v>8863631.5066702422</v>
      </c>
      <c r="AB207" s="31">
        <v>205828.57</v>
      </c>
      <c r="AD207" s="42" t="s">
        <v>321</v>
      </c>
      <c r="AE207" s="42" t="s">
        <v>322</v>
      </c>
      <c r="AF207" s="43" t="s">
        <v>1275</v>
      </c>
      <c r="AG207" s="44">
        <v>34</v>
      </c>
      <c r="AH207" s="31">
        <v>6728691.1283147428</v>
      </c>
      <c r="AI207" s="31">
        <v>306276.78999999992</v>
      </c>
      <c r="AJ207" s="31">
        <v>54266.500000000007</v>
      </c>
      <c r="AK207" s="31">
        <v>21009.8</v>
      </c>
      <c r="AL207" s="31">
        <v>1017324.9098029028</v>
      </c>
      <c r="AM207" s="31">
        <v>672082.86253010319</v>
      </c>
      <c r="AN207" s="31">
        <v>0</v>
      </c>
      <c r="AO207" s="31">
        <f t="shared" si="18"/>
        <v>9009118.0006477479</v>
      </c>
      <c r="AP207" s="31">
        <v>209466.01</v>
      </c>
      <c r="AR207" s="42" t="s">
        <v>321</v>
      </c>
      <c r="AS207" s="42" t="s">
        <v>322</v>
      </c>
      <c r="AT207" s="43" t="s">
        <v>1276</v>
      </c>
      <c r="AU207" s="44">
        <v>34</v>
      </c>
      <c r="AV207" s="31">
        <v>6855906.2315158816</v>
      </c>
      <c r="AW207" s="31">
        <v>311846.38999999996</v>
      </c>
      <c r="AX207" s="31">
        <v>55262.430000000008</v>
      </c>
      <c r="AY207" s="31">
        <v>21395.39</v>
      </c>
      <c r="AZ207" s="31">
        <v>1036110.8218847946</v>
      </c>
      <c r="BA207" s="31">
        <v>672115.78346054326</v>
      </c>
      <c r="BB207" s="31">
        <v>0</v>
      </c>
      <c r="BC207" s="31">
        <f t="shared" si="19"/>
        <v>9165998.7568612192</v>
      </c>
      <c r="BD207" s="31">
        <v>213361.71000000002</v>
      </c>
    </row>
    <row r="208" spans="2:56">
      <c r="B208" s="42" t="s">
        <v>119</v>
      </c>
      <c r="C208" s="42" t="s">
        <v>120</v>
      </c>
      <c r="D208" s="43" t="s">
        <v>1049</v>
      </c>
      <c r="E208" s="44">
        <v>34</v>
      </c>
      <c r="F208" s="31">
        <v>3521560.9433224779</v>
      </c>
      <c r="G208" s="31">
        <v>118839.19999999997</v>
      </c>
      <c r="H208" s="31">
        <v>5144.9800000000014</v>
      </c>
      <c r="I208" s="31">
        <v>0</v>
      </c>
      <c r="J208" s="31">
        <v>487177.17231426295</v>
      </c>
      <c r="K208" s="31">
        <v>298951.78896501078</v>
      </c>
      <c r="L208" s="31">
        <v>476038.16963427508</v>
      </c>
      <c r="M208" s="31">
        <f t="shared" si="16"/>
        <v>5014243.8442360265</v>
      </c>
      <c r="N208" s="31">
        <v>106531.59000000001</v>
      </c>
      <c r="P208" s="42" t="s">
        <v>119</v>
      </c>
      <c r="Q208" s="42" t="s">
        <v>120</v>
      </c>
      <c r="R208" s="43" t="s">
        <v>1050</v>
      </c>
      <c r="S208" s="44">
        <v>34</v>
      </c>
      <c r="T208" s="31">
        <v>3778167.980720487</v>
      </c>
      <c r="U208" s="31">
        <v>128239.68999999999</v>
      </c>
      <c r="V208" s="31">
        <v>5477.58</v>
      </c>
      <c r="W208" s="31">
        <v>0</v>
      </c>
      <c r="X208" s="31">
        <v>516038.35011456627</v>
      </c>
      <c r="Y208" s="31">
        <v>299507.02926378639</v>
      </c>
      <c r="Z208" s="31">
        <v>510061.33718830132</v>
      </c>
      <c r="AA208" s="31">
        <f t="shared" si="17"/>
        <v>5349191.2672871407</v>
      </c>
      <c r="AB208" s="31">
        <v>111699.3</v>
      </c>
      <c r="AD208" s="42" t="s">
        <v>119</v>
      </c>
      <c r="AE208" s="42" t="s">
        <v>120</v>
      </c>
      <c r="AF208" s="43" t="s">
        <v>1275</v>
      </c>
      <c r="AG208" s="44">
        <v>34</v>
      </c>
      <c r="AH208" s="31">
        <v>3844477.9093873361</v>
      </c>
      <c r="AI208" s="31">
        <v>130460.52000000003</v>
      </c>
      <c r="AJ208" s="31">
        <v>5573.53</v>
      </c>
      <c r="AK208" s="31">
        <v>0</v>
      </c>
      <c r="AL208" s="31">
        <v>525125.11315234343</v>
      </c>
      <c r="AM208" s="31">
        <v>299085.19638844382</v>
      </c>
      <c r="AN208" s="31">
        <v>519060.35042110732</v>
      </c>
      <c r="AO208" s="31">
        <f t="shared" si="18"/>
        <v>5437464.4393492313</v>
      </c>
      <c r="AP208" s="31">
        <v>113681.81999999999</v>
      </c>
      <c r="AR208" s="42" t="s">
        <v>119</v>
      </c>
      <c r="AS208" s="42" t="s">
        <v>120</v>
      </c>
      <c r="AT208" s="43" t="s">
        <v>1276</v>
      </c>
      <c r="AU208" s="44">
        <v>34</v>
      </c>
      <c r="AV208" s="31">
        <v>3915485.9696610104</v>
      </c>
      <c r="AW208" s="31">
        <v>132839.03999999998</v>
      </c>
      <c r="AX208" s="31">
        <v>5676.31</v>
      </c>
      <c r="AY208" s="31">
        <v>0</v>
      </c>
      <c r="AZ208" s="31">
        <v>534856.97747891117</v>
      </c>
      <c r="BA208" s="31">
        <v>299097.24875631079</v>
      </c>
      <c r="BB208" s="31">
        <v>528697.99661324243</v>
      </c>
      <c r="BC208" s="31">
        <f t="shared" si="19"/>
        <v>5532458.6425094754</v>
      </c>
      <c r="BD208" s="31">
        <v>115805.10000000002</v>
      </c>
    </row>
    <row r="209" spans="2:56">
      <c r="B209" s="42" t="s">
        <v>43</v>
      </c>
      <c r="C209" s="42" t="s">
        <v>44</v>
      </c>
      <c r="D209" s="43" t="s">
        <v>1049</v>
      </c>
      <c r="E209" s="44">
        <v>34</v>
      </c>
      <c r="F209" s="31">
        <v>28639165.418717742</v>
      </c>
      <c r="G209" s="31">
        <v>1184255.83</v>
      </c>
      <c r="H209" s="31">
        <v>85245.440000000002</v>
      </c>
      <c r="I209" s="31">
        <v>101487.46000000002</v>
      </c>
      <c r="J209" s="31">
        <v>4463521.7235988639</v>
      </c>
      <c r="K209" s="31">
        <v>1686509.1210638948</v>
      </c>
      <c r="L209" s="31">
        <v>2757065.5851950059</v>
      </c>
      <c r="M209" s="31">
        <f t="shared" si="16"/>
        <v>39562392.09857551</v>
      </c>
      <c r="N209" s="31">
        <v>645141.52</v>
      </c>
      <c r="P209" s="42" t="s">
        <v>43</v>
      </c>
      <c r="Q209" s="42" t="s">
        <v>44</v>
      </c>
      <c r="R209" s="43" t="s">
        <v>1050</v>
      </c>
      <c r="S209" s="44">
        <v>34</v>
      </c>
      <c r="T209" s="31">
        <v>30607278.612054177</v>
      </c>
      <c r="U209" s="31">
        <v>1260532.4999999998</v>
      </c>
      <c r="V209" s="31">
        <v>89987.74000000002</v>
      </c>
      <c r="W209" s="31">
        <v>107133.35999999997</v>
      </c>
      <c r="X209" s="31">
        <v>4694871.2795723956</v>
      </c>
      <c r="Y209" s="31">
        <v>1689733.5452791913</v>
      </c>
      <c r="Z209" s="31">
        <v>2934154.5199635345</v>
      </c>
      <c r="AA209" s="31">
        <f t="shared" si="17"/>
        <v>42054328.316869289</v>
      </c>
      <c r="AB209" s="31">
        <v>670636.76</v>
      </c>
      <c r="AD209" s="42" t="s">
        <v>43</v>
      </c>
      <c r="AE209" s="42" t="s">
        <v>44</v>
      </c>
      <c r="AF209" s="43" t="s">
        <v>1275</v>
      </c>
      <c r="AG209" s="44">
        <v>34</v>
      </c>
      <c r="AH209" s="31">
        <v>31182036.708268631</v>
      </c>
      <c r="AI209" s="31">
        <v>1282433.81</v>
      </c>
      <c r="AJ209" s="31">
        <v>91562.35</v>
      </c>
      <c r="AK209" s="31">
        <v>109007.98999999999</v>
      </c>
      <c r="AL209" s="31">
        <v>4777577.1524531487</v>
      </c>
      <c r="AM209" s="31">
        <v>1687267.7188784925</v>
      </c>
      <c r="AN209" s="31">
        <v>2985916.213610535</v>
      </c>
      <c r="AO209" s="31">
        <f t="shared" si="18"/>
        <v>42798329.153210811</v>
      </c>
      <c r="AP209" s="31">
        <v>682527.21000000008</v>
      </c>
      <c r="AR209" s="42" t="s">
        <v>43</v>
      </c>
      <c r="AS209" s="42" t="s">
        <v>44</v>
      </c>
      <c r="AT209" s="43" t="s">
        <v>1276</v>
      </c>
      <c r="AU209" s="44">
        <v>34</v>
      </c>
      <c r="AV209" s="31">
        <v>31795259.79196712</v>
      </c>
      <c r="AW209" s="31">
        <v>1305890.1200000001</v>
      </c>
      <c r="AX209" s="31">
        <v>93248.76999999999</v>
      </c>
      <c r="AY209" s="31">
        <v>111015.73</v>
      </c>
      <c r="AZ209" s="31">
        <v>4866154.856593539</v>
      </c>
      <c r="BA209" s="31">
        <v>1687338.1710613698</v>
      </c>
      <c r="BB209" s="31">
        <v>3041351.2791486718</v>
      </c>
      <c r="BC209" s="31">
        <f t="shared" si="19"/>
        <v>43595520.5987707</v>
      </c>
      <c r="BD209" s="31">
        <v>695261.88</v>
      </c>
    </row>
    <row r="210" spans="2:56">
      <c r="B210" s="42" t="s">
        <v>181</v>
      </c>
      <c r="C210" s="42" t="s">
        <v>182</v>
      </c>
      <c r="D210" s="43" t="s">
        <v>1049</v>
      </c>
      <c r="E210" s="44">
        <v>34</v>
      </c>
      <c r="F210" s="31">
        <v>10203086.69210157</v>
      </c>
      <c r="G210" s="31">
        <v>413243.1</v>
      </c>
      <c r="H210" s="31">
        <v>58959</v>
      </c>
      <c r="I210" s="31">
        <v>35948.020000000004</v>
      </c>
      <c r="J210" s="31">
        <v>1430360.7111772757</v>
      </c>
      <c r="K210" s="31">
        <v>610361.32258085709</v>
      </c>
      <c r="L210" s="31">
        <v>519523.06880125147</v>
      </c>
      <c r="M210" s="31">
        <f t="shared" si="16"/>
        <v>13510711.184660954</v>
      </c>
      <c r="N210" s="31">
        <v>239229.27</v>
      </c>
      <c r="P210" s="42" t="s">
        <v>181</v>
      </c>
      <c r="Q210" s="42" t="s">
        <v>182</v>
      </c>
      <c r="R210" s="43" t="s">
        <v>1050</v>
      </c>
      <c r="S210" s="44">
        <v>34</v>
      </c>
      <c r="T210" s="31">
        <v>10960550.855723547</v>
      </c>
      <c r="U210" s="31">
        <v>443501.41999999993</v>
      </c>
      <c r="V210" s="31">
        <v>62748.369999999995</v>
      </c>
      <c r="W210" s="31">
        <v>38258.44</v>
      </c>
      <c r="X210" s="31">
        <v>1515026.2613951967</v>
      </c>
      <c r="Y210" s="31">
        <v>611129.81037135457</v>
      </c>
      <c r="Z210" s="31">
        <v>556820.83834318025</v>
      </c>
      <c r="AA210" s="31">
        <f t="shared" si="17"/>
        <v>14438942.295833278</v>
      </c>
      <c r="AB210" s="31">
        <v>250906.30000000002</v>
      </c>
      <c r="AD210" s="42" t="s">
        <v>181</v>
      </c>
      <c r="AE210" s="42" t="s">
        <v>182</v>
      </c>
      <c r="AF210" s="43" t="s">
        <v>1275</v>
      </c>
      <c r="AG210" s="44">
        <v>34</v>
      </c>
      <c r="AH210" s="31">
        <v>11167284.2534099</v>
      </c>
      <c r="AI210" s="31">
        <v>451266.69999999995</v>
      </c>
      <c r="AJ210" s="31">
        <v>63854.85</v>
      </c>
      <c r="AK210" s="31">
        <v>38933.079999999994</v>
      </c>
      <c r="AL210" s="31">
        <v>1541861.0793280657</v>
      </c>
      <c r="AM210" s="31">
        <v>610539.55997303536</v>
      </c>
      <c r="AN210" s="31">
        <v>566693.60169529438</v>
      </c>
      <c r="AO210" s="31">
        <f t="shared" si="18"/>
        <v>14695819.164406292</v>
      </c>
      <c r="AP210" s="31">
        <v>255386.04</v>
      </c>
      <c r="AR210" s="42" t="s">
        <v>181</v>
      </c>
      <c r="AS210" s="42" t="s">
        <v>182</v>
      </c>
      <c r="AT210" s="43" t="s">
        <v>1276</v>
      </c>
      <c r="AU210" s="44">
        <v>34</v>
      </c>
      <c r="AV210" s="31">
        <v>11387860.798392918</v>
      </c>
      <c r="AW210" s="31">
        <v>459583.32999999996</v>
      </c>
      <c r="AX210" s="31">
        <v>65039.909999999996</v>
      </c>
      <c r="AY210" s="31">
        <v>39655.619999999995</v>
      </c>
      <c r="AZ210" s="31">
        <v>1570601.1215098472</v>
      </c>
      <c r="BA210" s="31">
        <v>610556.42427013023</v>
      </c>
      <c r="BB210" s="31">
        <v>577267.02011520858</v>
      </c>
      <c r="BC210" s="31">
        <f t="shared" si="19"/>
        <v>14970748.054288102</v>
      </c>
      <c r="BD210" s="31">
        <v>260183.83</v>
      </c>
    </row>
    <row r="211" spans="2:56">
      <c r="B211" s="42" t="s">
        <v>537</v>
      </c>
      <c r="C211" s="42" t="s">
        <v>538</v>
      </c>
      <c r="D211" s="43" t="s">
        <v>1049</v>
      </c>
      <c r="E211" s="44">
        <v>34</v>
      </c>
      <c r="F211" s="31">
        <v>2953633.3551463205</v>
      </c>
      <c r="G211" s="31">
        <v>145384.53999999998</v>
      </c>
      <c r="H211" s="31">
        <v>0</v>
      </c>
      <c r="I211" s="31">
        <v>0</v>
      </c>
      <c r="J211" s="31">
        <v>296926.65283394128</v>
      </c>
      <c r="K211" s="31">
        <v>400674.78069264186</v>
      </c>
      <c r="L211" s="31">
        <v>46491.251988310978</v>
      </c>
      <c r="M211" s="31">
        <f t="shared" si="16"/>
        <v>3909469.1006612144</v>
      </c>
      <c r="N211" s="31">
        <v>66358.52</v>
      </c>
      <c r="P211" s="42" t="s">
        <v>537</v>
      </c>
      <c r="Q211" s="42" t="s">
        <v>538</v>
      </c>
      <c r="R211" s="43" t="s">
        <v>1050</v>
      </c>
      <c r="S211" s="44">
        <v>34</v>
      </c>
      <c r="T211" s="31">
        <v>3163114.7310143826</v>
      </c>
      <c r="U211" s="31">
        <v>155924.21000000002</v>
      </c>
      <c r="V211" s="31">
        <v>0</v>
      </c>
      <c r="W211" s="31">
        <v>0</v>
      </c>
      <c r="X211" s="31">
        <v>314535.20932403463</v>
      </c>
      <c r="Y211" s="31">
        <v>401663.73314389185</v>
      </c>
      <c r="Z211" s="31">
        <v>49763.770130534584</v>
      </c>
      <c r="AA211" s="31">
        <f t="shared" si="17"/>
        <v>4154564.5836128434</v>
      </c>
      <c r="AB211" s="31">
        <v>69562.930000000008</v>
      </c>
      <c r="AD211" s="42" t="s">
        <v>537</v>
      </c>
      <c r="AE211" s="42" t="s">
        <v>538</v>
      </c>
      <c r="AF211" s="43" t="s">
        <v>1275</v>
      </c>
      <c r="AG211" s="44">
        <v>34</v>
      </c>
      <c r="AH211" s="31">
        <v>3218438.5664553065</v>
      </c>
      <c r="AI211" s="31">
        <v>158626.21999999997</v>
      </c>
      <c r="AJ211" s="31">
        <v>0</v>
      </c>
      <c r="AK211" s="31">
        <v>0</v>
      </c>
      <c r="AL211" s="31">
        <v>320058.6652021592</v>
      </c>
      <c r="AM211" s="31">
        <v>400912.39600750641</v>
      </c>
      <c r="AN211" s="31">
        <v>50639.33543006207</v>
      </c>
      <c r="AO211" s="31">
        <f t="shared" si="18"/>
        <v>4219467.4330950342</v>
      </c>
      <c r="AP211" s="31">
        <v>70792.25</v>
      </c>
      <c r="AR211" s="42" t="s">
        <v>537</v>
      </c>
      <c r="AS211" s="42" t="s">
        <v>538</v>
      </c>
      <c r="AT211" s="43" t="s">
        <v>1276</v>
      </c>
      <c r="AU211" s="44">
        <v>34</v>
      </c>
      <c r="AV211" s="31">
        <v>3277682.6525121019</v>
      </c>
      <c r="AW211" s="31">
        <v>161520.06</v>
      </c>
      <c r="AX211" s="31">
        <v>0</v>
      </c>
      <c r="AY211" s="31">
        <v>0</v>
      </c>
      <c r="AZ211" s="31">
        <v>325974.25301120785</v>
      </c>
      <c r="BA211" s="31">
        <v>400933.86278283171</v>
      </c>
      <c r="BB211" s="31">
        <v>51577.036207456011</v>
      </c>
      <c r="BC211" s="31">
        <f t="shared" si="19"/>
        <v>4289796.7245135978</v>
      </c>
      <c r="BD211" s="31">
        <v>72108.86</v>
      </c>
    </row>
    <row r="212" spans="2:56">
      <c r="B212" s="42" t="s">
        <v>481</v>
      </c>
      <c r="C212" s="42" t="s">
        <v>482</v>
      </c>
      <c r="D212" s="43" t="s">
        <v>1049</v>
      </c>
      <c r="E212" s="44">
        <v>34</v>
      </c>
      <c r="F212" s="31">
        <v>5184568.7680800678</v>
      </c>
      <c r="G212" s="31">
        <v>242419.87999999998</v>
      </c>
      <c r="H212" s="31">
        <v>0</v>
      </c>
      <c r="I212" s="31">
        <v>0</v>
      </c>
      <c r="J212" s="31">
        <v>730340.6842751716</v>
      </c>
      <c r="K212" s="31">
        <v>568914.47</v>
      </c>
      <c r="L212" s="31">
        <v>109813.15082704349</v>
      </c>
      <c r="M212" s="31">
        <f t="shared" si="16"/>
        <v>7032272.7731822832</v>
      </c>
      <c r="N212" s="31">
        <v>196215.81999999998</v>
      </c>
      <c r="P212" s="42" t="s">
        <v>481</v>
      </c>
      <c r="Q212" s="42" t="s">
        <v>482</v>
      </c>
      <c r="R212" s="43" t="s">
        <v>1050</v>
      </c>
      <c r="S212" s="44">
        <v>34</v>
      </c>
      <c r="T212" s="31">
        <v>5519822.67939186</v>
      </c>
      <c r="U212" s="31">
        <v>259067.58</v>
      </c>
      <c r="V212" s="31">
        <v>0</v>
      </c>
      <c r="W212" s="31">
        <v>0</v>
      </c>
      <c r="X212" s="31">
        <v>768438.7621004082</v>
      </c>
      <c r="Y212" s="31">
        <v>568914.47</v>
      </c>
      <c r="Z212" s="31">
        <v>116810.21051215286</v>
      </c>
      <c r="AA212" s="31">
        <f t="shared" si="17"/>
        <v>7437023.7420044206</v>
      </c>
      <c r="AB212" s="31">
        <v>203970.04</v>
      </c>
      <c r="AD212" s="42" t="s">
        <v>481</v>
      </c>
      <c r="AE212" s="42" t="s">
        <v>482</v>
      </c>
      <c r="AF212" s="43" t="s">
        <v>1275</v>
      </c>
      <c r="AG212" s="44">
        <v>34</v>
      </c>
      <c r="AH212" s="31">
        <v>5618181.8277415978</v>
      </c>
      <c r="AI212" s="31">
        <v>263553.44</v>
      </c>
      <c r="AJ212" s="31">
        <v>0</v>
      </c>
      <c r="AK212" s="31">
        <v>0</v>
      </c>
      <c r="AL212" s="31">
        <v>781994.81658620201</v>
      </c>
      <c r="AM212" s="31">
        <v>568914.47</v>
      </c>
      <c r="AN212" s="31">
        <v>118870.91403041087</v>
      </c>
      <c r="AO212" s="31">
        <f t="shared" si="18"/>
        <v>7559101.9183582114</v>
      </c>
      <c r="AP212" s="31">
        <v>207586.45</v>
      </c>
      <c r="AR212" s="42" t="s">
        <v>481</v>
      </c>
      <c r="AS212" s="42" t="s">
        <v>482</v>
      </c>
      <c r="AT212" s="43" t="s">
        <v>1276</v>
      </c>
      <c r="AU212" s="44">
        <v>34</v>
      </c>
      <c r="AV212" s="31">
        <v>5723455.2357225325</v>
      </c>
      <c r="AW212" s="31">
        <v>268357.8</v>
      </c>
      <c r="AX212" s="31">
        <v>0</v>
      </c>
      <c r="AY212" s="31">
        <v>0</v>
      </c>
      <c r="AZ212" s="31">
        <v>796513.36702153669</v>
      </c>
      <c r="BA212" s="31">
        <v>568914.47</v>
      </c>
      <c r="BB212" s="31">
        <v>121077.85952186518</v>
      </c>
      <c r="BC212" s="31">
        <f t="shared" si="19"/>
        <v>7689778.3522659335</v>
      </c>
      <c r="BD212" s="31">
        <v>211459.62</v>
      </c>
    </row>
    <row r="213" spans="2:56">
      <c r="B213" s="42" t="s">
        <v>25</v>
      </c>
      <c r="C213" s="42" t="s">
        <v>26</v>
      </c>
      <c r="D213" s="43" t="s">
        <v>1049</v>
      </c>
      <c r="E213" s="44">
        <v>34</v>
      </c>
      <c r="F213" s="31">
        <v>18949273.624064073</v>
      </c>
      <c r="G213" s="31">
        <v>1101395.1899999995</v>
      </c>
      <c r="H213" s="31">
        <v>943732.85999999987</v>
      </c>
      <c r="I213" s="31">
        <v>68892.02</v>
      </c>
      <c r="J213" s="31">
        <v>2854087.2941376646</v>
      </c>
      <c r="K213" s="31">
        <v>1441746.4449851774</v>
      </c>
      <c r="L213" s="31">
        <v>2299335.1333539672</v>
      </c>
      <c r="M213" s="31">
        <f t="shared" si="16"/>
        <v>28367650.746540878</v>
      </c>
      <c r="N213" s="31">
        <v>709188.18</v>
      </c>
      <c r="P213" s="42" t="s">
        <v>25</v>
      </c>
      <c r="Q213" s="42" t="s">
        <v>26</v>
      </c>
      <c r="R213" s="43" t="s">
        <v>1050</v>
      </c>
      <c r="S213" s="44">
        <v>34</v>
      </c>
      <c r="T213" s="31">
        <v>20378938.781472936</v>
      </c>
      <c r="U213" s="31">
        <v>1184672.3899999997</v>
      </c>
      <c r="V213" s="31">
        <v>1004989.74</v>
      </c>
      <c r="W213" s="31">
        <v>73363.75</v>
      </c>
      <c r="X213" s="31">
        <v>3023468.2916713622</v>
      </c>
      <c r="Y213" s="31">
        <v>1445548.2507467819</v>
      </c>
      <c r="Z213" s="31">
        <v>2464242.3919513794</v>
      </c>
      <c r="AA213" s="31">
        <f t="shared" si="17"/>
        <v>30318658.01584246</v>
      </c>
      <c r="AB213" s="31">
        <v>743434.42</v>
      </c>
      <c r="AD213" s="42" t="s">
        <v>25</v>
      </c>
      <c r="AE213" s="42" t="s">
        <v>26</v>
      </c>
      <c r="AF213" s="43" t="s">
        <v>1275</v>
      </c>
      <c r="AG213" s="44">
        <v>34</v>
      </c>
      <c r="AH213" s="31">
        <v>20740747.265173085</v>
      </c>
      <c r="AI213" s="31">
        <v>1205150.5199999996</v>
      </c>
      <c r="AJ213" s="31">
        <v>1022511.57</v>
      </c>
      <c r="AK213" s="31">
        <v>74642.829999999987</v>
      </c>
      <c r="AL213" s="31">
        <v>3076586.1909083407</v>
      </c>
      <c r="AM213" s="31">
        <v>1442659.903738382</v>
      </c>
      <c r="AN213" s="31">
        <v>2507599.1662393142</v>
      </c>
      <c r="AO213" s="31">
        <f t="shared" si="18"/>
        <v>30826469.966059119</v>
      </c>
      <c r="AP213" s="31">
        <v>756572.52000000014</v>
      </c>
      <c r="AR213" s="42" t="s">
        <v>25</v>
      </c>
      <c r="AS213" s="42" t="s">
        <v>26</v>
      </c>
      <c r="AT213" s="43" t="s">
        <v>1276</v>
      </c>
      <c r="AU213" s="44">
        <v>34</v>
      </c>
      <c r="AV213" s="31">
        <v>21127971.9046885</v>
      </c>
      <c r="AW213" s="31">
        <v>1227082.6199999996</v>
      </c>
      <c r="AX213" s="31">
        <v>1041277.4600000001</v>
      </c>
      <c r="AY213" s="31">
        <v>76012.73000000001</v>
      </c>
      <c r="AZ213" s="31">
        <v>3133475.2373741702</v>
      </c>
      <c r="BA213" s="31">
        <v>1442742.427938622</v>
      </c>
      <c r="BB213" s="31">
        <v>2554032.8061842923</v>
      </c>
      <c r="BC213" s="31">
        <f t="shared" si="19"/>
        <v>31373238.606185589</v>
      </c>
      <c r="BD213" s="31">
        <v>770643.42</v>
      </c>
    </row>
    <row r="214" spans="2:56">
      <c r="B214" s="42" t="s">
        <v>1319</v>
      </c>
      <c r="C214" s="42" t="s">
        <v>1320</v>
      </c>
      <c r="D214" s="43" t="s">
        <v>1049</v>
      </c>
      <c r="E214" s="44">
        <v>34</v>
      </c>
      <c r="F214" s="31">
        <v>821699.86921582208</v>
      </c>
      <c r="G214" s="31">
        <v>10913.58</v>
      </c>
      <c r="H214" s="31">
        <v>0</v>
      </c>
      <c r="I214" s="31">
        <v>0</v>
      </c>
      <c r="J214" s="31">
        <v>100505.15417953405</v>
      </c>
      <c r="K214" s="31">
        <v>0</v>
      </c>
      <c r="L214" s="31">
        <v>0</v>
      </c>
      <c r="M214" s="31">
        <f t="shared" si="16"/>
        <v>933118.6033953561</v>
      </c>
      <c r="N214" s="31">
        <v>0</v>
      </c>
      <c r="P214" s="42" t="s">
        <v>1319</v>
      </c>
      <c r="Q214" s="42" t="s">
        <v>1320</v>
      </c>
      <c r="R214" s="43" t="s">
        <v>1050</v>
      </c>
      <c r="S214" s="44">
        <v>34</v>
      </c>
      <c r="T214" s="31">
        <v>874102.11533609871</v>
      </c>
      <c r="U214" s="31">
        <v>11621.98</v>
      </c>
      <c r="V214" s="31">
        <v>0</v>
      </c>
      <c r="W214" s="31">
        <v>0</v>
      </c>
      <c r="X214" s="31">
        <v>106447.84305232305</v>
      </c>
      <c r="Y214" s="31">
        <v>0</v>
      </c>
      <c r="Z214" s="31">
        <v>0</v>
      </c>
      <c r="AA214" s="31">
        <f t="shared" si="17"/>
        <v>992171.93838842178</v>
      </c>
      <c r="AB214" s="31">
        <v>0</v>
      </c>
      <c r="AD214" s="42" t="s">
        <v>1319</v>
      </c>
      <c r="AE214" s="42" t="s">
        <v>1320</v>
      </c>
      <c r="AF214" s="43" t="s">
        <v>1275</v>
      </c>
      <c r="AG214" s="44">
        <v>34</v>
      </c>
      <c r="AH214" s="31">
        <v>889325.40864848555</v>
      </c>
      <c r="AI214" s="31">
        <v>11824.61</v>
      </c>
      <c r="AJ214" s="31">
        <v>0</v>
      </c>
      <c r="AK214" s="31">
        <v>0</v>
      </c>
      <c r="AL214" s="31">
        <v>108313.90063727915</v>
      </c>
      <c r="AM214" s="31">
        <v>0</v>
      </c>
      <c r="AN214" s="31">
        <v>0</v>
      </c>
      <c r="AO214" s="31">
        <f t="shared" si="18"/>
        <v>1009463.9192857647</v>
      </c>
      <c r="AP214" s="31">
        <v>0</v>
      </c>
      <c r="AR214" s="42" t="s">
        <v>1319</v>
      </c>
      <c r="AS214" s="42" t="s">
        <v>1320</v>
      </c>
      <c r="AT214" s="43" t="s">
        <v>1276</v>
      </c>
      <c r="AU214" s="44">
        <v>34</v>
      </c>
      <c r="AV214" s="31">
        <v>905629.59114305163</v>
      </c>
      <c r="AW214" s="31">
        <v>12041.609999999999</v>
      </c>
      <c r="AX214" s="31">
        <v>0</v>
      </c>
      <c r="AY214" s="31">
        <v>0</v>
      </c>
      <c r="AZ214" s="31">
        <v>110312.42412869672</v>
      </c>
      <c r="BA214" s="31">
        <v>0</v>
      </c>
      <c r="BB214" s="31">
        <v>0</v>
      </c>
      <c r="BC214" s="31">
        <f t="shared" si="19"/>
        <v>1027983.6252717483</v>
      </c>
      <c r="BD214" s="31">
        <v>0</v>
      </c>
    </row>
    <row r="215" spans="2:56">
      <c r="B215" s="42" t="s">
        <v>561</v>
      </c>
      <c r="C215" s="42" t="s">
        <v>562</v>
      </c>
      <c r="D215" s="43" t="s">
        <v>1049</v>
      </c>
      <c r="E215" s="44">
        <v>34</v>
      </c>
      <c r="F215" s="31">
        <v>21221410.408057489</v>
      </c>
      <c r="G215" s="31">
        <v>514400.18</v>
      </c>
      <c r="H215" s="31">
        <v>198295.96000000002</v>
      </c>
      <c r="I215" s="31">
        <v>73374.38</v>
      </c>
      <c r="J215" s="31">
        <v>3185237.8556751674</v>
      </c>
      <c r="K215" s="31">
        <v>1130342.4899041362</v>
      </c>
      <c r="L215" s="31">
        <v>1557640.5354763037</v>
      </c>
      <c r="M215" s="31">
        <f t="shared" si="16"/>
        <v>27880701.809113096</v>
      </c>
      <c r="N215" s="31">
        <v>0</v>
      </c>
      <c r="P215" s="42" t="s">
        <v>561</v>
      </c>
      <c r="Q215" s="42" t="s">
        <v>562</v>
      </c>
      <c r="R215" s="43" t="s">
        <v>1050</v>
      </c>
      <c r="S215" s="44">
        <v>34</v>
      </c>
      <c r="T215" s="31">
        <v>22591764.748519234</v>
      </c>
      <c r="U215" s="31">
        <v>547789.44999999995</v>
      </c>
      <c r="V215" s="31">
        <v>211167.18999999997</v>
      </c>
      <c r="W215" s="31">
        <v>78137.040000000023</v>
      </c>
      <c r="X215" s="31">
        <v>3374191.6745605124</v>
      </c>
      <c r="Y215" s="31">
        <v>1132840.1741864753</v>
      </c>
      <c r="Z215" s="31">
        <v>1653384.493434892</v>
      </c>
      <c r="AA215" s="31">
        <f t="shared" si="17"/>
        <v>29589274.770701114</v>
      </c>
      <c r="AB215" s="31">
        <v>0</v>
      </c>
      <c r="AD215" s="42" t="s">
        <v>561</v>
      </c>
      <c r="AE215" s="42" t="s">
        <v>562</v>
      </c>
      <c r="AF215" s="43" t="s">
        <v>1275</v>
      </c>
      <c r="AG215" s="44">
        <v>34</v>
      </c>
      <c r="AH215" s="31">
        <v>22991768.638073962</v>
      </c>
      <c r="AI215" s="31">
        <v>557340.06999999995</v>
      </c>
      <c r="AJ215" s="31">
        <v>214848.84999999998</v>
      </c>
      <c r="AK215" s="31">
        <v>79499.340000000011</v>
      </c>
      <c r="AL215" s="31">
        <v>3433458.2405930278</v>
      </c>
      <c r="AM215" s="31">
        <v>1130942.6077727254</v>
      </c>
      <c r="AN215" s="31">
        <v>1682477.9401776234</v>
      </c>
      <c r="AO215" s="31">
        <f t="shared" si="18"/>
        <v>30090335.686617341</v>
      </c>
      <c r="AP215" s="31">
        <v>0</v>
      </c>
      <c r="AR215" s="42" t="s">
        <v>561</v>
      </c>
      <c r="AS215" s="42" t="s">
        <v>562</v>
      </c>
      <c r="AT215" s="43" t="s">
        <v>1276</v>
      </c>
      <c r="AU215" s="44">
        <v>34</v>
      </c>
      <c r="AV215" s="31">
        <v>23419942.022420157</v>
      </c>
      <c r="AW215" s="31">
        <v>567568.79999999993</v>
      </c>
      <c r="AX215" s="31">
        <v>218791.91999999998</v>
      </c>
      <c r="AY215" s="31">
        <v>80958.38</v>
      </c>
      <c r="AZ215" s="31">
        <v>3496932.4378733877</v>
      </c>
      <c r="BA215" s="31">
        <v>1130996.8239559752</v>
      </c>
      <c r="BB215" s="31">
        <v>1713636.0289316885</v>
      </c>
      <c r="BC215" s="31">
        <f t="shared" si="19"/>
        <v>30628826.413181212</v>
      </c>
      <c r="BD215" s="31">
        <v>0</v>
      </c>
    </row>
    <row r="216" spans="2:56">
      <c r="B216" s="42" t="s">
        <v>363</v>
      </c>
      <c r="C216" s="42" t="s">
        <v>364</v>
      </c>
      <c r="D216" s="43" t="s">
        <v>1049</v>
      </c>
      <c r="E216" s="44">
        <v>34</v>
      </c>
      <c r="F216" s="31">
        <v>187224272.69127002</v>
      </c>
      <c r="G216" s="31">
        <v>5827890.3299999991</v>
      </c>
      <c r="H216" s="31">
        <v>2444592.77</v>
      </c>
      <c r="I216" s="31">
        <v>659114.57999999996</v>
      </c>
      <c r="J216" s="31">
        <v>24930759.718671951</v>
      </c>
      <c r="K216" s="31">
        <v>10030450.570353607</v>
      </c>
      <c r="L216" s="31">
        <v>15067100.412274923</v>
      </c>
      <c r="M216" s="31">
        <f t="shared" si="16"/>
        <v>246783683.93257055</v>
      </c>
      <c r="N216" s="31">
        <v>599502.86</v>
      </c>
      <c r="P216" s="42" t="s">
        <v>363</v>
      </c>
      <c r="Q216" s="42" t="s">
        <v>364</v>
      </c>
      <c r="R216" s="43" t="s">
        <v>1050</v>
      </c>
      <c r="S216" s="44">
        <v>34</v>
      </c>
      <c r="T216" s="31">
        <v>199312970.25034276</v>
      </c>
      <c r="U216" s="31">
        <v>6213401.7699999996</v>
      </c>
      <c r="V216" s="31">
        <v>2602302.54</v>
      </c>
      <c r="W216" s="31">
        <v>701636.5</v>
      </c>
      <c r="X216" s="31">
        <v>26406968.679487363</v>
      </c>
      <c r="Y216" s="31">
        <v>10040312.633761752</v>
      </c>
      <c r="Z216" s="31">
        <v>15990184.816162162</v>
      </c>
      <c r="AA216" s="31">
        <f t="shared" si="17"/>
        <v>261896423.59975407</v>
      </c>
      <c r="AB216" s="31">
        <v>628646.41</v>
      </c>
      <c r="AD216" s="42" t="s">
        <v>363</v>
      </c>
      <c r="AE216" s="42" t="s">
        <v>364</v>
      </c>
      <c r="AF216" s="43" t="s">
        <v>1275</v>
      </c>
      <c r="AG216" s="44">
        <v>34</v>
      </c>
      <c r="AH216" s="31">
        <v>202941147.78545722</v>
      </c>
      <c r="AI216" s="31">
        <v>6322355.0800000001</v>
      </c>
      <c r="AJ216" s="31">
        <v>2647994.21</v>
      </c>
      <c r="AK216" s="31">
        <v>713955.95000000007</v>
      </c>
      <c r="AL216" s="31">
        <v>26873308.971232306</v>
      </c>
      <c r="AM216" s="31">
        <v>10032737.904628919</v>
      </c>
      <c r="AN216" s="31">
        <v>16273011.253286064</v>
      </c>
      <c r="AO216" s="31">
        <f t="shared" si="18"/>
        <v>266444338.09460452</v>
      </c>
      <c r="AP216" s="31">
        <v>639826.93999999994</v>
      </c>
      <c r="AR216" s="42" t="s">
        <v>363</v>
      </c>
      <c r="AS216" s="42" t="s">
        <v>364</v>
      </c>
      <c r="AT216" s="43" t="s">
        <v>1276</v>
      </c>
      <c r="AU216" s="44">
        <v>34</v>
      </c>
      <c r="AV216" s="31">
        <v>206819659.29871595</v>
      </c>
      <c r="AW216" s="31">
        <v>6439044.0799999991</v>
      </c>
      <c r="AX216" s="31">
        <v>2696929.9899999998</v>
      </c>
      <c r="AY216" s="31">
        <v>727150.09</v>
      </c>
      <c r="AZ216" s="31">
        <v>27372757.28306102</v>
      </c>
      <c r="BA216" s="31">
        <v>10032954.325461289</v>
      </c>
      <c r="BB216" s="31">
        <v>16575909.158625763</v>
      </c>
      <c r="BC216" s="31">
        <f t="shared" si="19"/>
        <v>271316205.50586402</v>
      </c>
      <c r="BD216" s="31">
        <v>651801.28</v>
      </c>
    </row>
    <row r="217" spans="2:56">
      <c r="B217" s="42" t="s">
        <v>173</v>
      </c>
      <c r="C217" s="42" t="s">
        <v>174</v>
      </c>
      <c r="D217" s="43" t="s">
        <v>1049</v>
      </c>
      <c r="E217" s="44">
        <v>34</v>
      </c>
      <c r="F217" s="31">
        <v>576353.27879886597</v>
      </c>
      <c r="G217" s="31">
        <v>31668.889999999992</v>
      </c>
      <c r="H217" s="31">
        <v>0</v>
      </c>
      <c r="I217" s="31">
        <v>0</v>
      </c>
      <c r="J217" s="31">
        <v>70984.585869469636</v>
      </c>
      <c r="K217" s="31">
        <v>64293.501961947935</v>
      </c>
      <c r="L217" s="31">
        <v>0</v>
      </c>
      <c r="M217" s="31">
        <f t="shared" si="16"/>
        <v>757624.33663028351</v>
      </c>
      <c r="N217" s="31">
        <v>14324.08</v>
      </c>
      <c r="P217" s="42" t="s">
        <v>173</v>
      </c>
      <c r="Q217" s="42" t="s">
        <v>174</v>
      </c>
      <c r="R217" s="43" t="s">
        <v>1050</v>
      </c>
      <c r="S217" s="44">
        <v>34</v>
      </c>
      <c r="T217" s="31">
        <v>619726.13419097406</v>
      </c>
      <c r="U217" s="31">
        <v>33962.549999999996</v>
      </c>
      <c r="V217" s="31">
        <v>0</v>
      </c>
      <c r="W217" s="31">
        <v>0</v>
      </c>
      <c r="X217" s="31">
        <v>75193.495935464554</v>
      </c>
      <c r="Y217" s="31">
        <v>64453.988138594003</v>
      </c>
      <c r="Z217" s="31">
        <v>0</v>
      </c>
      <c r="AA217" s="31">
        <f t="shared" si="17"/>
        <v>808351.95826503262</v>
      </c>
      <c r="AB217" s="31">
        <v>15015.79</v>
      </c>
      <c r="AD217" s="42" t="s">
        <v>173</v>
      </c>
      <c r="AE217" s="42" t="s">
        <v>174</v>
      </c>
      <c r="AF217" s="43" t="s">
        <v>1275</v>
      </c>
      <c r="AG217" s="44">
        <v>34</v>
      </c>
      <c r="AH217" s="31">
        <v>630546.38589333091</v>
      </c>
      <c r="AI217" s="31">
        <v>34551.119999999995</v>
      </c>
      <c r="AJ217" s="31">
        <v>0</v>
      </c>
      <c r="AK217" s="31">
        <v>0</v>
      </c>
      <c r="AL217" s="31">
        <v>76512.583142113217</v>
      </c>
      <c r="AM217" s="31">
        <v>64332.061928452866</v>
      </c>
      <c r="AN217" s="31">
        <v>0</v>
      </c>
      <c r="AO217" s="31">
        <f t="shared" si="18"/>
        <v>821223.2909638969</v>
      </c>
      <c r="AP217" s="31">
        <v>15281.14</v>
      </c>
      <c r="AR217" s="42" t="s">
        <v>173</v>
      </c>
      <c r="AS217" s="42" t="s">
        <v>174</v>
      </c>
      <c r="AT217" s="43" t="s">
        <v>1276</v>
      </c>
      <c r="AU217" s="44">
        <v>34</v>
      </c>
      <c r="AV217" s="31">
        <v>642135.15164425527</v>
      </c>
      <c r="AW217" s="31">
        <v>35181.480000000003</v>
      </c>
      <c r="AX217" s="31">
        <v>0</v>
      </c>
      <c r="AY217" s="31">
        <v>0</v>
      </c>
      <c r="AZ217" s="31">
        <v>77925.307129137553</v>
      </c>
      <c r="BA217" s="31">
        <v>64335.545534456898</v>
      </c>
      <c r="BB217" s="31">
        <v>0</v>
      </c>
      <c r="BC217" s="31">
        <f t="shared" si="19"/>
        <v>835142.83430784964</v>
      </c>
      <c r="BD217" s="31">
        <v>15565.35</v>
      </c>
    </row>
    <row r="218" spans="2:56">
      <c r="B218" s="42" t="s">
        <v>177</v>
      </c>
      <c r="C218" s="42" t="s">
        <v>178</v>
      </c>
      <c r="D218" s="43" t="s">
        <v>1049</v>
      </c>
      <c r="E218" s="44">
        <v>34</v>
      </c>
      <c r="F218" s="31">
        <v>6422163.5048898552</v>
      </c>
      <c r="G218" s="31">
        <v>131740.83999999997</v>
      </c>
      <c r="H218" s="31">
        <v>0</v>
      </c>
      <c r="I218" s="31">
        <v>19083.960000000003</v>
      </c>
      <c r="J218" s="31">
        <v>488480.67727231595</v>
      </c>
      <c r="K218" s="31">
        <v>394942.15604624304</v>
      </c>
      <c r="L218" s="31">
        <v>71097.150419779704</v>
      </c>
      <c r="M218" s="31">
        <f t="shared" si="16"/>
        <v>7527508.2886281945</v>
      </c>
      <c r="N218" s="31">
        <v>0</v>
      </c>
      <c r="P218" s="42" t="s">
        <v>177</v>
      </c>
      <c r="Q218" s="42" t="s">
        <v>178</v>
      </c>
      <c r="R218" s="43" t="s">
        <v>1050</v>
      </c>
      <c r="S218" s="44">
        <v>34</v>
      </c>
      <c r="T218" s="31">
        <v>6855335.6588120759</v>
      </c>
      <c r="U218" s="31">
        <v>140239.93</v>
      </c>
      <c r="V218" s="31">
        <v>0</v>
      </c>
      <c r="W218" s="31">
        <v>20315.12</v>
      </c>
      <c r="X218" s="31">
        <v>517443.32844336471</v>
      </c>
      <c r="Y218" s="31">
        <v>395893.09929290658</v>
      </c>
      <c r="Z218" s="31">
        <v>75453.394890932454</v>
      </c>
      <c r="AA218" s="31">
        <f t="shared" si="17"/>
        <v>8004680.5314392792</v>
      </c>
      <c r="AB218" s="31">
        <v>0</v>
      </c>
      <c r="AD218" s="42" t="s">
        <v>177</v>
      </c>
      <c r="AE218" s="42" t="s">
        <v>178</v>
      </c>
      <c r="AF218" s="43" t="s">
        <v>1275</v>
      </c>
      <c r="AG218" s="44">
        <v>34</v>
      </c>
      <c r="AH218" s="31">
        <v>7010590.8255863823</v>
      </c>
      <c r="AI218" s="31">
        <v>142702.29</v>
      </c>
      <c r="AJ218" s="31">
        <v>0</v>
      </c>
      <c r="AK218" s="31">
        <v>20671.819999999996</v>
      </c>
      <c r="AL218" s="31">
        <v>526598.1252074549</v>
      </c>
      <c r="AM218" s="31">
        <v>395162.71081170667</v>
      </c>
      <c r="AN218" s="31">
        <v>76788.069165371649</v>
      </c>
      <c r="AO218" s="31">
        <f t="shared" si="18"/>
        <v>8172513.8407709152</v>
      </c>
      <c r="AP218" s="31">
        <v>0</v>
      </c>
      <c r="AR218" s="42" t="s">
        <v>177</v>
      </c>
      <c r="AS218" s="42" t="s">
        <v>178</v>
      </c>
      <c r="AT218" s="43" t="s">
        <v>1276</v>
      </c>
      <c r="AU218" s="44">
        <v>34</v>
      </c>
      <c r="AV218" s="31">
        <v>7174652.4606657485</v>
      </c>
      <c r="AW218" s="31">
        <v>145339.47</v>
      </c>
      <c r="AX218" s="31">
        <v>0</v>
      </c>
      <c r="AY218" s="31">
        <v>21053.849999999995</v>
      </c>
      <c r="AZ218" s="31">
        <v>536402.98765664548</v>
      </c>
      <c r="BA218" s="31">
        <v>395183.57905402663</v>
      </c>
      <c r="BB218" s="31">
        <v>78217.461957696039</v>
      </c>
      <c r="BC218" s="31">
        <f t="shared" si="19"/>
        <v>8350849.8093341161</v>
      </c>
      <c r="BD218" s="31">
        <v>0</v>
      </c>
    </row>
    <row r="219" spans="2:56">
      <c r="B219" s="42" t="s">
        <v>53</v>
      </c>
      <c r="C219" s="42" t="s">
        <v>54</v>
      </c>
      <c r="D219" s="43" t="s">
        <v>1049</v>
      </c>
      <c r="E219" s="44">
        <v>34</v>
      </c>
      <c r="F219" s="31">
        <v>1922797.2689816442</v>
      </c>
      <c r="G219" s="31">
        <v>68112.47</v>
      </c>
      <c r="H219" s="31">
        <v>0</v>
      </c>
      <c r="I219" s="31">
        <v>0</v>
      </c>
      <c r="J219" s="31">
        <v>137305.83723815694</v>
      </c>
      <c r="K219" s="31">
        <v>72574.649999999994</v>
      </c>
      <c r="L219" s="31">
        <v>92668.987948094917</v>
      </c>
      <c r="M219" s="31">
        <f t="shared" si="16"/>
        <v>2326297.4141678959</v>
      </c>
      <c r="N219" s="31">
        <v>32838.200000000004</v>
      </c>
      <c r="P219" s="42" t="s">
        <v>53</v>
      </c>
      <c r="Q219" s="42" t="s">
        <v>54</v>
      </c>
      <c r="R219" s="43" t="s">
        <v>1050</v>
      </c>
      <c r="S219" s="44">
        <v>34</v>
      </c>
      <c r="T219" s="31">
        <v>2050450.9929783009</v>
      </c>
      <c r="U219" s="31">
        <v>73079.379999999976</v>
      </c>
      <c r="V219" s="31">
        <v>0</v>
      </c>
      <c r="W219" s="31">
        <v>0</v>
      </c>
      <c r="X219" s="31">
        <v>145453.30389440083</v>
      </c>
      <c r="Y219" s="31">
        <v>72574.649999999994</v>
      </c>
      <c r="Z219" s="31">
        <v>99195.682627729228</v>
      </c>
      <c r="AA219" s="31">
        <f t="shared" si="17"/>
        <v>2475177.9295004304</v>
      </c>
      <c r="AB219" s="31">
        <v>34423.919999999998</v>
      </c>
      <c r="AD219" s="42" t="s">
        <v>53</v>
      </c>
      <c r="AE219" s="42" t="s">
        <v>54</v>
      </c>
      <c r="AF219" s="43" t="s">
        <v>1275</v>
      </c>
      <c r="AG219" s="44">
        <v>34</v>
      </c>
      <c r="AH219" s="31">
        <v>2086072.8773627735</v>
      </c>
      <c r="AI219" s="31">
        <v>74345.329999999987</v>
      </c>
      <c r="AJ219" s="31">
        <v>0</v>
      </c>
      <c r="AK219" s="31">
        <v>0</v>
      </c>
      <c r="AL219" s="31">
        <v>148008.87372772751</v>
      </c>
      <c r="AM219" s="31">
        <v>72574.649999999994</v>
      </c>
      <c r="AN219" s="31">
        <v>100941.17597977981</v>
      </c>
      <c r="AO219" s="31">
        <f t="shared" si="18"/>
        <v>2516975.177070281</v>
      </c>
      <c r="AP219" s="31">
        <v>35032.269999999997</v>
      </c>
      <c r="AR219" s="42" t="s">
        <v>53</v>
      </c>
      <c r="AS219" s="42" t="s">
        <v>54</v>
      </c>
      <c r="AT219" s="43" t="s">
        <v>1276</v>
      </c>
      <c r="AU219" s="44">
        <v>34</v>
      </c>
      <c r="AV219" s="31">
        <v>2124225.3193221809</v>
      </c>
      <c r="AW219" s="31">
        <v>75701.169999999984</v>
      </c>
      <c r="AX219" s="31">
        <v>0</v>
      </c>
      <c r="AY219" s="31">
        <v>0</v>
      </c>
      <c r="AZ219" s="31">
        <v>150745.88052900427</v>
      </c>
      <c r="BA219" s="31">
        <v>72574.649999999994</v>
      </c>
      <c r="BB219" s="31">
        <v>102810.540269426</v>
      </c>
      <c r="BC219" s="31">
        <f t="shared" si="19"/>
        <v>2561741.370120611</v>
      </c>
      <c r="BD219" s="31">
        <v>35683.81</v>
      </c>
    </row>
    <row r="220" spans="2:56">
      <c r="B220" s="42" t="s">
        <v>51</v>
      </c>
      <c r="C220" s="42" t="s">
        <v>52</v>
      </c>
      <c r="D220" s="43" t="s">
        <v>1049</v>
      </c>
      <c r="E220" s="44">
        <v>34</v>
      </c>
      <c r="F220" s="31">
        <v>27990104.674331315</v>
      </c>
      <c r="G220" s="31">
        <v>1282443.7899999998</v>
      </c>
      <c r="H220" s="31">
        <v>369113.07</v>
      </c>
      <c r="I220" s="31">
        <v>0</v>
      </c>
      <c r="J220" s="31">
        <v>3822528.207699785</v>
      </c>
      <c r="K220" s="31">
        <v>616113.08600477513</v>
      </c>
      <c r="L220" s="31">
        <v>501668.60730505304</v>
      </c>
      <c r="M220" s="31">
        <f t="shared" si="16"/>
        <v>35519175.615340926</v>
      </c>
      <c r="N220" s="31">
        <v>937204.17999999993</v>
      </c>
      <c r="P220" s="42" t="s">
        <v>51</v>
      </c>
      <c r="Q220" s="42" t="s">
        <v>52</v>
      </c>
      <c r="R220" s="43" t="s">
        <v>1050</v>
      </c>
      <c r="S220" s="44">
        <v>34</v>
      </c>
      <c r="T220" s="31">
        <v>30006236.963336483</v>
      </c>
      <c r="U220" s="31">
        <v>1381262.2499999995</v>
      </c>
      <c r="V220" s="31">
        <v>393071.87</v>
      </c>
      <c r="W220" s="31">
        <v>0</v>
      </c>
      <c r="X220" s="31">
        <v>4049581.990757464</v>
      </c>
      <c r="Y220" s="31">
        <v>617543.85614036059</v>
      </c>
      <c r="Z220" s="31">
        <v>537607.02452349535</v>
      </c>
      <c r="AA220" s="31">
        <f t="shared" si="17"/>
        <v>37967765.114757799</v>
      </c>
      <c r="AB220" s="31">
        <v>982461.16</v>
      </c>
      <c r="AD220" s="42" t="s">
        <v>51</v>
      </c>
      <c r="AE220" s="42" t="s">
        <v>52</v>
      </c>
      <c r="AF220" s="43" t="s">
        <v>1275</v>
      </c>
      <c r="AG220" s="44">
        <v>34</v>
      </c>
      <c r="AH220" s="31">
        <v>30720691.868516404</v>
      </c>
      <c r="AI220" s="31">
        <v>1405111.1799999997</v>
      </c>
      <c r="AJ220" s="31">
        <v>399925.02</v>
      </c>
      <c r="AK220" s="31">
        <v>0</v>
      </c>
      <c r="AL220" s="31">
        <v>4120858.8723002071</v>
      </c>
      <c r="AM220" s="31">
        <v>616456.85672482953</v>
      </c>
      <c r="AN220" s="31">
        <v>547065.96364759235</v>
      </c>
      <c r="AO220" s="31">
        <f t="shared" si="18"/>
        <v>38809933.141189031</v>
      </c>
      <c r="AP220" s="31">
        <v>999823.38</v>
      </c>
      <c r="AR220" s="42" t="s">
        <v>51</v>
      </c>
      <c r="AS220" s="42" t="s">
        <v>52</v>
      </c>
      <c r="AT220" s="43" t="s">
        <v>1276</v>
      </c>
      <c r="AU220" s="44">
        <v>34</v>
      </c>
      <c r="AV220" s="31">
        <v>31473926.101375606</v>
      </c>
      <c r="AW220" s="31">
        <v>1430653.37</v>
      </c>
      <c r="AX220" s="31">
        <v>407264.72999999992</v>
      </c>
      <c r="AY220" s="31">
        <v>0</v>
      </c>
      <c r="AZ220" s="31">
        <v>4197197.0292521818</v>
      </c>
      <c r="BA220" s="31">
        <v>616487.91385098756</v>
      </c>
      <c r="BB220" s="31">
        <v>557196.16765950038</v>
      </c>
      <c r="BC220" s="31">
        <f t="shared" si="19"/>
        <v>39701143.632138275</v>
      </c>
      <c r="BD220" s="31">
        <v>1018418.32</v>
      </c>
    </row>
    <row r="221" spans="2:56">
      <c r="B221" s="42" t="s">
        <v>123</v>
      </c>
      <c r="C221" s="42" t="s">
        <v>124</v>
      </c>
      <c r="D221" s="43" t="s">
        <v>1049</v>
      </c>
      <c r="E221" s="44">
        <v>34</v>
      </c>
      <c r="F221" s="31">
        <v>24915210.81365066</v>
      </c>
      <c r="G221" s="31">
        <v>1623201.0099999998</v>
      </c>
      <c r="H221" s="31">
        <v>1899646.04</v>
      </c>
      <c r="I221" s="31">
        <v>88185.67</v>
      </c>
      <c r="J221" s="31">
        <v>3843999.8081878908</v>
      </c>
      <c r="K221" s="31">
        <v>1637857.6464173042</v>
      </c>
      <c r="L221" s="31">
        <v>2442974.6996986228</v>
      </c>
      <c r="M221" s="31">
        <f t="shared" si="16"/>
        <v>37344333.207954474</v>
      </c>
      <c r="N221" s="31">
        <v>893257.52</v>
      </c>
      <c r="P221" s="42" t="s">
        <v>123</v>
      </c>
      <c r="Q221" s="42" t="s">
        <v>124</v>
      </c>
      <c r="R221" s="43" t="s">
        <v>1050</v>
      </c>
      <c r="S221" s="44">
        <v>34</v>
      </c>
      <c r="T221" s="31">
        <v>26812160.409945242</v>
      </c>
      <c r="U221" s="31">
        <v>1743407.38</v>
      </c>
      <c r="V221" s="31">
        <v>2022950.4400000002</v>
      </c>
      <c r="W221" s="31">
        <v>93909.749999999985</v>
      </c>
      <c r="X221" s="31">
        <v>4072074.9489638382</v>
      </c>
      <c r="Y221" s="31">
        <v>1641939.4836684044</v>
      </c>
      <c r="Z221" s="31">
        <v>2618205.9008727241</v>
      </c>
      <c r="AA221" s="31">
        <f t="shared" si="17"/>
        <v>39941040.643450201</v>
      </c>
      <c r="AB221" s="31">
        <v>936392.33</v>
      </c>
      <c r="AD221" s="42" t="s">
        <v>123</v>
      </c>
      <c r="AE221" s="42" t="s">
        <v>124</v>
      </c>
      <c r="AF221" s="43" t="s">
        <v>1275</v>
      </c>
      <c r="AG221" s="44">
        <v>34</v>
      </c>
      <c r="AH221" s="31">
        <v>27291599.06455341</v>
      </c>
      <c r="AI221" s="31">
        <v>1773581.1599999997</v>
      </c>
      <c r="AJ221" s="31">
        <v>2058220.26</v>
      </c>
      <c r="AK221" s="31">
        <v>95547.05</v>
      </c>
      <c r="AL221" s="31">
        <v>4143597.3094566409</v>
      </c>
      <c r="AM221" s="31">
        <v>1638838.3882542045</v>
      </c>
      <c r="AN221" s="31">
        <v>2664271.7231131364</v>
      </c>
      <c r="AO221" s="31">
        <f t="shared" si="18"/>
        <v>40618595.375377394</v>
      </c>
      <c r="AP221" s="31">
        <v>952940.41999999993</v>
      </c>
      <c r="AR221" s="42" t="s">
        <v>123</v>
      </c>
      <c r="AS221" s="42" t="s">
        <v>124</v>
      </c>
      <c r="AT221" s="43" t="s">
        <v>1276</v>
      </c>
      <c r="AU221" s="44">
        <v>34</v>
      </c>
      <c r="AV221" s="31">
        <v>27804493.050159182</v>
      </c>
      <c r="AW221" s="31">
        <v>1805897.2999999993</v>
      </c>
      <c r="AX221" s="31">
        <v>2095994.24</v>
      </c>
      <c r="AY221" s="31">
        <v>97300.599999999991</v>
      </c>
      <c r="AZ221" s="31">
        <v>4220197.3519790079</v>
      </c>
      <c r="BA221" s="31">
        <v>1638926.9909803246</v>
      </c>
      <c r="BB221" s="31">
        <v>2713606.6618930176</v>
      </c>
      <c r="BC221" s="31">
        <f t="shared" si="19"/>
        <v>41347079.615011536</v>
      </c>
      <c r="BD221" s="31">
        <v>970663.41999999993</v>
      </c>
    </row>
    <row r="222" spans="2:56">
      <c r="B222" s="42" t="s">
        <v>225</v>
      </c>
      <c r="C222" s="42" t="s">
        <v>226</v>
      </c>
      <c r="D222" s="43" t="s">
        <v>1049</v>
      </c>
      <c r="E222" s="44">
        <v>34</v>
      </c>
      <c r="F222" s="31">
        <v>2862141.0068789697</v>
      </c>
      <c r="G222" s="31">
        <v>181011.11999999997</v>
      </c>
      <c r="H222" s="31">
        <v>183495.37</v>
      </c>
      <c r="I222" s="31">
        <v>0</v>
      </c>
      <c r="J222" s="31">
        <v>219875.19641365614</v>
      </c>
      <c r="K222" s="31">
        <v>317130.34000000003</v>
      </c>
      <c r="L222" s="31">
        <v>0</v>
      </c>
      <c r="M222" s="31">
        <f t="shared" si="16"/>
        <v>3874992.3832926261</v>
      </c>
      <c r="N222" s="31">
        <v>111339.35</v>
      </c>
      <c r="P222" s="42" t="s">
        <v>225</v>
      </c>
      <c r="Q222" s="42" t="s">
        <v>226</v>
      </c>
      <c r="R222" s="43" t="s">
        <v>1050</v>
      </c>
      <c r="S222" s="44">
        <v>34</v>
      </c>
      <c r="T222" s="31">
        <v>3094080.7203172371</v>
      </c>
      <c r="U222" s="31">
        <v>194197.53</v>
      </c>
      <c r="V222" s="31">
        <v>195208.11000000004</v>
      </c>
      <c r="W222" s="31">
        <v>0</v>
      </c>
      <c r="X222" s="31">
        <v>232903.2997423879</v>
      </c>
      <c r="Y222" s="31">
        <v>317130.34000000003</v>
      </c>
      <c r="Z222" s="31">
        <v>0</v>
      </c>
      <c r="AA222" s="31">
        <f t="shared" si="17"/>
        <v>4150334.0400596247</v>
      </c>
      <c r="AB222" s="31">
        <v>116814.04000000001</v>
      </c>
      <c r="AD222" s="42" t="s">
        <v>225</v>
      </c>
      <c r="AE222" s="42" t="s">
        <v>226</v>
      </c>
      <c r="AF222" s="43" t="s">
        <v>1275</v>
      </c>
      <c r="AG222" s="44">
        <v>34</v>
      </c>
      <c r="AH222" s="31">
        <v>3149193.7260294762</v>
      </c>
      <c r="AI222" s="31">
        <v>197624.28999999992</v>
      </c>
      <c r="AJ222" s="31">
        <v>198677.21000000002</v>
      </c>
      <c r="AK222" s="31">
        <v>0</v>
      </c>
      <c r="AL222" s="31">
        <v>237054.1932532645</v>
      </c>
      <c r="AM222" s="31">
        <v>317130.34000000003</v>
      </c>
      <c r="AN222" s="31">
        <v>0</v>
      </c>
      <c r="AO222" s="31">
        <f t="shared" si="18"/>
        <v>4218594.0892827399</v>
      </c>
      <c r="AP222" s="31">
        <v>118914.33000000002</v>
      </c>
      <c r="AR222" s="42" t="s">
        <v>225</v>
      </c>
      <c r="AS222" s="42" t="s">
        <v>226</v>
      </c>
      <c r="AT222" s="43" t="s">
        <v>1276</v>
      </c>
      <c r="AU222" s="44">
        <v>34</v>
      </c>
      <c r="AV222" s="31">
        <v>3208218.9954862832</v>
      </c>
      <c r="AW222" s="31">
        <v>201294.37000000002</v>
      </c>
      <c r="AX222" s="31">
        <v>202392.60000000003</v>
      </c>
      <c r="AY222" s="31">
        <v>0</v>
      </c>
      <c r="AZ222" s="31">
        <v>241499.74262705524</v>
      </c>
      <c r="BA222" s="31">
        <v>317130.34000000003</v>
      </c>
      <c r="BB222" s="31">
        <v>0</v>
      </c>
      <c r="BC222" s="31">
        <f t="shared" si="19"/>
        <v>4291699.7781133391</v>
      </c>
      <c r="BD222" s="31">
        <v>121163.73000000001</v>
      </c>
    </row>
    <row r="223" spans="2:56">
      <c r="B223" s="42" t="s">
        <v>515</v>
      </c>
      <c r="C223" s="42" t="s">
        <v>516</v>
      </c>
      <c r="D223" s="43" t="s">
        <v>1049</v>
      </c>
      <c r="E223" s="44">
        <v>34</v>
      </c>
      <c r="F223" s="31">
        <v>7286826.6895217421</v>
      </c>
      <c r="G223" s="31">
        <v>243899.15</v>
      </c>
      <c r="H223" s="31">
        <v>0</v>
      </c>
      <c r="I223" s="31">
        <v>24847.89</v>
      </c>
      <c r="J223" s="31">
        <v>1120394.0227980902</v>
      </c>
      <c r="K223" s="31">
        <v>432587.11366815795</v>
      </c>
      <c r="L223" s="31">
        <v>697270.35079997056</v>
      </c>
      <c r="M223" s="31">
        <f t="shared" si="16"/>
        <v>9805825.2167879604</v>
      </c>
      <c r="N223" s="31">
        <v>0</v>
      </c>
      <c r="P223" s="42" t="s">
        <v>515</v>
      </c>
      <c r="Q223" s="42" t="s">
        <v>516</v>
      </c>
      <c r="R223" s="43" t="s">
        <v>1050</v>
      </c>
      <c r="S223" s="44">
        <v>34</v>
      </c>
      <c r="T223" s="31">
        <v>7756585.748342149</v>
      </c>
      <c r="U223" s="31">
        <v>259730.43</v>
      </c>
      <c r="V223" s="31">
        <v>0</v>
      </c>
      <c r="W223" s="31">
        <v>26460.76</v>
      </c>
      <c r="X223" s="31">
        <v>1186849.3821806044</v>
      </c>
      <c r="Y223" s="31">
        <v>433460.97378796409</v>
      </c>
      <c r="Z223" s="31">
        <v>740129.26155570184</v>
      </c>
      <c r="AA223" s="31">
        <f t="shared" si="17"/>
        <v>10403216.555866418</v>
      </c>
      <c r="AB223" s="31">
        <v>0</v>
      </c>
      <c r="AD223" s="42" t="s">
        <v>515</v>
      </c>
      <c r="AE223" s="42" t="s">
        <v>516</v>
      </c>
      <c r="AF223" s="43" t="s">
        <v>1275</v>
      </c>
      <c r="AG223" s="44">
        <v>34</v>
      </c>
      <c r="AH223" s="31">
        <v>7894396.6024048841</v>
      </c>
      <c r="AI223" s="31">
        <v>264258.8</v>
      </c>
      <c r="AJ223" s="31">
        <v>0</v>
      </c>
      <c r="AK223" s="31">
        <v>26922.09</v>
      </c>
      <c r="AL223" s="31">
        <v>1207691.5487273161</v>
      </c>
      <c r="AM223" s="31">
        <v>432797.07578236563</v>
      </c>
      <c r="AN223" s="31">
        <v>753152.79434142564</v>
      </c>
      <c r="AO223" s="31">
        <f t="shared" si="18"/>
        <v>10579218.911255993</v>
      </c>
      <c r="AP223" s="31">
        <v>0</v>
      </c>
      <c r="AR223" s="42" t="s">
        <v>515</v>
      </c>
      <c r="AS223" s="42" t="s">
        <v>516</v>
      </c>
      <c r="AT223" s="43" t="s">
        <v>1276</v>
      </c>
      <c r="AU223" s="44">
        <v>34</v>
      </c>
      <c r="AV223" s="31">
        <v>8041872.3787763743</v>
      </c>
      <c r="AW223" s="31">
        <v>269108.68</v>
      </c>
      <c r="AX223" s="31">
        <v>0</v>
      </c>
      <c r="AY223" s="31">
        <v>27416.18</v>
      </c>
      <c r="AZ223" s="31">
        <v>1230013.3753283045</v>
      </c>
      <c r="BA223" s="31">
        <v>432816.04429681128</v>
      </c>
      <c r="BB223" s="31">
        <v>767100.55353173555</v>
      </c>
      <c r="BC223" s="31">
        <f t="shared" si="19"/>
        <v>10768327.211933225</v>
      </c>
      <c r="BD223" s="31">
        <v>0</v>
      </c>
    </row>
    <row r="224" spans="2:56">
      <c r="B224" s="42" t="s">
        <v>345</v>
      </c>
      <c r="C224" s="42" t="s">
        <v>346</v>
      </c>
      <c r="D224" s="43" t="s">
        <v>1049</v>
      </c>
      <c r="E224" s="44">
        <v>34</v>
      </c>
      <c r="F224" s="31">
        <v>4660309.6391896475</v>
      </c>
      <c r="G224" s="31">
        <v>229087.84</v>
      </c>
      <c r="H224" s="31">
        <v>95981.11</v>
      </c>
      <c r="I224" s="31">
        <v>14713.87</v>
      </c>
      <c r="J224" s="31">
        <v>628242.97358206427</v>
      </c>
      <c r="K224" s="31">
        <v>483278.13467647217</v>
      </c>
      <c r="L224" s="31">
        <v>345864.48450775794</v>
      </c>
      <c r="M224" s="31">
        <f t="shared" si="16"/>
        <v>6606662.8919559428</v>
      </c>
      <c r="N224" s="31">
        <v>149184.84</v>
      </c>
      <c r="P224" s="42" t="s">
        <v>345</v>
      </c>
      <c r="Q224" s="42" t="s">
        <v>346</v>
      </c>
      <c r="R224" s="43" t="s">
        <v>1050</v>
      </c>
      <c r="S224" s="44">
        <v>34</v>
      </c>
      <c r="T224" s="31">
        <v>5004795.0836717226</v>
      </c>
      <c r="U224" s="31">
        <v>246437.16999999984</v>
      </c>
      <c r="V224" s="31">
        <v>102211.15999999999</v>
      </c>
      <c r="W224" s="31">
        <v>15668.919999999998</v>
      </c>
      <c r="X224" s="31">
        <v>665518.30492124439</v>
      </c>
      <c r="Y224" s="31">
        <v>484368.66891317931</v>
      </c>
      <c r="Z224" s="31">
        <v>370524.93757646094</v>
      </c>
      <c r="AA224" s="31">
        <f t="shared" si="17"/>
        <v>7045913.1150826067</v>
      </c>
      <c r="AB224" s="31">
        <v>156388.87000000002</v>
      </c>
      <c r="AD224" s="42" t="s">
        <v>345</v>
      </c>
      <c r="AE224" s="42" t="s">
        <v>346</v>
      </c>
      <c r="AF224" s="43" t="s">
        <v>1275</v>
      </c>
      <c r="AG224" s="44">
        <v>34</v>
      </c>
      <c r="AH224" s="31">
        <v>5094318.9084249409</v>
      </c>
      <c r="AI224" s="31">
        <v>250696.64999999994</v>
      </c>
      <c r="AJ224" s="31">
        <v>103993.18999999997</v>
      </c>
      <c r="AK224" s="31">
        <v>15942.099999999999</v>
      </c>
      <c r="AL224" s="31">
        <v>677209.30082802428</v>
      </c>
      <c r="AM224" s="31">
        <v>483540.15701707936</v>
      </c>
      <c r="AN224" s="31">
        <v>377044.18717880937</v>
      </c>
      <c r="AO224" s="31">
        <f t="shared" si="18"/>
        <v>7161897.0934488541</v>
      </c>
      <c r="AP224" s="31">
        <v>159152.6</v>
      </c>
      <c r="AR224" s="42" t="s">
        <v>345</v>
      </c>
      <c r="AS224" s="42" t="s">
        <v>346</v>
      </c>
      <c r="AT224" s="43" t="s">
        <v>1276</v>
      </c>
      <c r="AU224" s="44">
        <v>34</v>
      </c>
      <c r="AV224" s="31">
        <v>5190079.7997305188</v>
      </c>
      <c r="AW224" s="31">
        <v>255258.54999999993</v>
      </c>
      <c r="AX224" s="31">
        <v>105901.75</v>
      </c>
      <c r="AY224" s="31">
        <v>16234.68</v>
      </c>
      <c r="AZ224" s="31">
        <v>689730.30524783337</v>
      </c>
      <c r="BA224" s="31">
        <v>483563.82878553931</v>
      </c>
      <c r="BB224" s="31">
        <v>384026.08304592455</v>
      </c>
      <c r="BC224" s="31">
        <f t="shared" si="19"/>
        <v>7286907.5468098158</v>
      </c>
      <c r="BD224" s="31">
        <v>162112.54999999999</v>
      </c>
    </row>
    <row r="225" spans="2:56">
      <c r="B225" s="42" t="s">
        <v>299</v>
      </c>
      <c r="C225" s="42" t="s">
        <v>300</v>
      </c>
      <c r="D225" s="43" t="s">
        <v>1049</v>
      </c>
      <c r="E225" s="44">
        <v>34</v>
      </c>
      <c r="F225" s="31">
        <v>5979110.5931076743</v>
      </c>
      <c r="G225" s="31">
        <v>207260.68999999997</v>
      </c>
      <c r="H225" s="31">
        <v>11303.359999999999</v>
      </c>
      <c r="I225" s="31">
        <v>0</v>
      </c>
      <c r="J225" s="31">
        <v>696276.00938230043</v>
      </c>
      <c r="K225" s="31">
        <v>794958.99997381598</v>
      </c>
      <c r="L225" s="31">
        <v>535286.93798250938</v>
      </c>
      <c r="M225" s="31">
        <f t="shared" si="16"/>
        <v>8224196.5904463008</v>
      </c>
      <c r="N225" s="31">
        <v>0</v>
      </c>
      <c r="P225" s="42" t="s">
        <v>299</v>
      </c>
      <c r="Q225" s="42" t="s">
        <v>300</v>
      </c>
      <c r="R225" s="43" t="s">
        <v>1050</v>
      </c>
      <c r="S225" s="44">
        <v>34</v>
      </c>
      <c r="T225" s="31">
        <v>6365531.154162759</v>
      </c>
      <c r="U225" s="31">
        <v>220713.82</v>
      </c>
      <c r="V225" s="31">
        <v>12037.050000000001</v>
      </c>
      <c r="W225" s="31">
        <v>0</v>
      </c>
      <c r="X225" s="31">
        <v>737582.44529036165</v>
      </c>
      <c r="Y225" s="31">
        <v>796966.02403670538</v>
      </c>
      <c r="Z225" s="31">
        <v>568189.62174783286</v>
      </c>
      <c r="AA225" s="31">
        <f t="shared" si="17"/>
        <v>8701020.1152376588</v>
      </c>
      <c r="AB225" s="31">
        <v>0</v>
      </c>
      <c r="AD225" s="42" t="s">
        <v>299</v>
      </c>
      <c r="AE225" s="42" t="s">
        <v>300</v>
      </c>
      <c r="AF225" s="43" t="s">
        <v>1275</v>
      </c>
      <c r="AG225" s="44">
        <v>34</v>
      </c>
      <c r="AH225" s="31">
        <v>6480403.6581480633</v>
      </c>
      <c r="AI225" s="31">
        <v>224561.92000000001</v>
      </c>
      <c r="AJ225" s="31">
        <v>12246.92</v>
      </c>
      <c r="AK225" s="31">
        <v>0</v>
      </c>
      <c r="AL225" s="31">
        <v>750539.11933880043</v>
      </c>
      <c r="AM225" s="31">
        <v>795441.22705565544</v>
      </c>
      <c r="AN225" s="31">
        <v>578187.64675302547</v>
      </c>
      <c r="AO225" s="31">
        <f t="shared" si="18"/>
        <v>8841380.4912955444</v>
      </c>
      <c r="AP225" s="31">
        <v>0</v>
      </c>
      <c r="AR225" s="42" t="s">
        <v>299</v>
      </c>
      <c r="AS225" s="42" t="s">
        <v>300</v>
      </c>
      <c r="AT225" s="43" t="s">
        <v>1276</v>
      </c>
      <c r="AU225" s="44">
        <v>34</v>
      </c>
      <c r="AV225" s="31">
        <v>6603225.0984572237</v>
      </c>
      <c r="AW225" s="31">
        <v>228683.25</v>
      </c>
      <c r="AX225" s="31">
        <v>12471.68</v>
      </c>
      <c r="AY225" s="31">
        <v>0</v>
      </c>
      <c r="AZ225" s="31">
        <v>764415.66147505201</v>
      </c>
      <c r="BA225" s="31">
        <v>795484.79268368543</v>
      </c>
      <c r="BB225" s="31">
        <v>588895.19040538673</v>
      </c>
      <c r="BC225" s="31">
        <f t="shared" si="19"/>
        <v>8993175.6730213482</v>
      </c>
      <c r="BD225" s="31">
        <v>0</v>
      </c>
    </row>
    <row r="226" spans="2:56">
      <c r="B226" s="42" t="s">
        <v>195</v>
      </c>
      <c r="C226" s="42" t="s">
        <v>196</v>
      </c>
      <c r="D226" s="43" t="s">
        <v>1049</v>
      </c>
      <c r="E226" s="44">
        <v>34</v>
      </c>
      <c r="F226" s="31">
        <v>131378298.52612059</v>
      </c>
      <c r="G226" s="31">
        <v>5706310.7700000005</v>
      </c>
      <c r="H226" s="31">
        <v>5366872.5500000007</v>
      </c>
      <c r="I226" s="31">
        <v>481040.16</v>
      </c>
      <c r="J226" s="31">
        <v>21486066.092669141</v>
      </c>
      <c r="K226" s="31">
        <v>7444110.5770329917</v>
      </c>
      <c r="L226" s="31">
        <v>14457247.405506978</v>
      </c>
      <c r="M226" s="31">
        <f t="shared" si="16"/>
        <v>188760829.71132967</v>
      </c>
      <c r="N226" s="31">
        <v>2440883.63</v>
      </c>
      <c r="P226" s="42" t="s">
        <v>195</v>
      </c>
      <c r="Q226" s="42" t="s">
        <v>196</v>
      </c>
      <c r="R226" s="43" t="s">
        <v>1050</v>
      </c>
      <c r="S226" s="44">
        <v>34</v>
      </c>
      <c r="T226" s="31">
        <v>141301913.39537135</v>
      </c>
      <c r="U226" s="31">
        <v>6106335.1500000013</v>
      </c>
      <c r="V226" s="31">
        <v>5709446.75</v>
      </c>
      <c r="W226" s="31">
        <v>511745.56</v>
      </c>
      <c r="X226" s="31">
        <v>22753643.5356001</v>
      </c>
      <c r="Y226" s="31">
        <v>7462148.6684314199</v>
      </c>
      <c r="Z226" s="31">
        <v>15489370.284586631</v>
      </c>
      <c r="AA226" s="31">
        <f t="shared" si="17"/>
        <v>201895508.20398954</v>
      </c>
      <c r="AB226" s="31">
        <v>2560904.8600000003</v>
      </c>
      <c r="AD226" s="42" t="s">
        <v>195</v>
      </c>
      <c r="AE226" s="42" t="s">
        <v>196</v>
      </c>
      <c r="AF226" s="43" t="s">
        <v>1275</v>
      </c>
      <c r="AG226" s="44">
        <v>34</v>
      </c>
      <c r="AH226" s="31">
        <v>143893826.48511147</v>
      </c>
      <c r="AI226" s="31">
        <v>6214318.169999999</v>
      </c>
      <c r="AJ226" s="31">
        <v>5810910.6399999997</v>
      </c>
      <c r="AK226" s="31">
        <v>520839.91000000003</v>
      </c>
      <c r="AL226" s="31">
        <v>23159230.425497111</v>
      </c>
      <c r="AM226" s="31">
        <v>7448022.7328315508</v>
      </c>
      <c r="AN226" s="31">
        <v>15765826.216837347</v>
      </c>
      <c r="AO226" s="31">
        <f t="shared" si="18"/>
        <v>205419923.94027746</v>
      </c>
      <c r="AP226" s="31">
        <v>2606949.3600000003</v>
      </c>
      <c r="AR226" s="42" t="s">
        <v>195</v>
      </c>
      <c r="AS226" s="42" t="s">
        <v>196</v>
      </c>
      <c r="AT226" s="43" t="s">
        <v>1276</v>
      </c>
      <c r="AU226" s="44">
        <v>34</v>
      </c>
      <c r="AV226" s="31">
        <v>146664669.51219144</v>
      </c>
      <c r="AW226" s="31">
        <v>6329968</v>
      </c>
      <c r="AX226" s="31">
        <v>5919578.4799999995</v>
      </c>
      <c r="AY226" s="31">
        <v>530579.96</v>
      </c>
      <c r="AZ226" s="31">
        <v>23593612.176660765</v>
      </c>
      <c r="BA226" s="31">
        <v>7448426.3309915466</v>
      </c>
      <c r="BB226" s="31">
        <v>16061902.353011055</v>
      </c>
      <c r="BC226" s="31">
        <f t="shared" si="19"/>
        <v>209204999.83285481</v>
      </c>
      <c r="BD226" s="31">
        <v>2656263.02</v>
      </c>
    </row>
    <row r="227" spans="2:56">
      <c r="B227" s="42" t="s">
        <v>109</v>
      </c>
      <c r="C227" s="42" t="s">
        <v>110</v>
      </c>
      <c r="D227" s="43" t="s">
        <v>1049</v>
      </c>
      <c r="E227" s="44">
        <v>34</v>
      </c>
      <c r="F227" s="31">
        <v>3762542.6910178643</v>
      </c>
      <c r="G227" s="31">
        <v>167968.81</v>
      </c>
      <c r="H227" s="31">
        <v>0</v>
      </c>
      <c r="I227" s="31">
        <v>10592.62</v>
      </c>
      <c r="J227" s="31">
        <v>456602.94927393354</v>
      </c>
      <c r="K227" s="31">
        <v>417425.80251662078</v>
      </c>
      <c r="L227" s="31">
        <v>109681.7823202669</v>
      </c>
      <c r="M227" s="31">
        <f t="shared" si="16"/>
        <v>5013288.3351286845</v>
      </c>
      <c r="N227" s="31">
        <v>88473.68</v>
      </c>
      <c r="P227" s="42" t="s">
        <v>109</v>
      </c>
      <c r="Q227" s="42" t="s">
        <v>110</v>
      </c>
      <c r="R227" s="43" t="s">
        <v>1050</v>
      </c>
      <c r="S227" s="44">
        <v>34</v>
      </c>
      <c r="T227" s="31">
        <v>4033108.2686967729</v>
      </c>
      <c r="U227" s="31">
        <v>180253.77999999997</v>
      </c>
      <c r="V227" s="31">
        <v>0</v>
      </c>
      <c r="W227" s="31">
        <v>11277.35</v>
      </c>
      <c r="X227" s="31">
        <v>483683.39411164046</v>
      </c>
      <c r="Y227" s="31">
        <v>418454.46630202321</v>
      </c>
      <c r="Z227" s="31">
        <v>117487.49938768349</v>
      </c>
      <c r="AA227" s="31">
        <f t="shared" si="17"/>
        <v>5337030.17849812</v>
      </c>
      <c r="AB227" s="31">
        <v>92765.42</v>
      </c>
      <c r="AD227" s="42" t="s">
        <v>109</v>
      </c>
      <c r="AE227" s="42" t="s">
        <v>110</v>
      </c>
      <c r="AF227" s="43" t="s">
        <v>1275</v>
      </c>
      <c r="AG227" s="44">
        <v>34</v>
      </c>
      <c r="AH227" s="31">
        <v>4109339.1444490431</v>
      </c>
      <c r="AI227" s="31">
        <v>183390.17999999993</v>
      </c>
      <c r="AJ227" s="31">
        <v>0</v>
      </c>
      <c r="AK227" s="31">
        <v>11474.92</v>
      </c>
      <c r="AL227" s="31">
        <v>492207.34824076929</v>
      </c>
      <c r="AM227" s="31">
        <v>417672.95926207327</v>
      </c>
      <c r="AN227" s="31">
        <v>119560.44460708916</v>
      </c>
      <c r="AO227" s="31">
        <f t="shared" si="18"/>
        <v>5428056.8865589742</v>
      </c>
      <c r="AP227" s="31">
        <v>94411.89</v>
      </c>
      <c r="AR227" s="42" t="s">
        <v>109</v>
      </c>
      <c r="AS227" s="42" t="s">
        <v>110</v>
      </c>
      <c r="AT227" s="43" t="s">
        <v>1276</v>
      </c>
      <c r="AU227" s="44">
        <v>34</v>
      </c>
      <c r="AV227" s="31">
        <v>4190632.1227476965</v>
      </c>
      <c r="AW227" s="31">
        <v>186749.26999999996</v>
      </c>
      <c r="AX227" s="31">
        <v>0</v>
      </c>
      <c r="AY227" s="31">
        <v>11686.499999999998</v>
      </c>
      <c r="AZ227" s="31">
        <v>501336.48647593235</v>
      </c>
      <c r="BA227" s="31">
        <v>417695.28803464328</v>
      </c>
      <c r="BB227" s="31">
        <v>121780.50045107263</v>
      </c>
      <c r="BC227" s="31">
        <f t="shared" si="19"/>
        <v>5526055.4277093448</v>
      </c>
      <c r="BD227" s="31">
        <v>96175.26</v>
      </c>
    </row>
    <row r="228" spans="2:56">
      <c r="B228" s="42" t="s">
        <v>27</v>
      </c>
      <c r="C228" s="42" t="s">
        <v>28</v>
      </c>
      <c r="D228" s="43" t="s">
        <v>1049</v>
      </c>
      <c r="E228" s="44">
        <v>34</v>
      </c>
      <c r="F228" s="31">
        <v>112522771.54386766</v>
      </c>
      <c r="G228" s="31">
        <v>3369868.1600000006</v>
      </c>
      <c r="H228" s="31">
        <v>1280800.1000000001</v>
      </c>
      <c r="I228" s="31">
        <v>389808.72000000003</v>
      </c>
      <c r="J228" s="31">
        <v>15588378.244572576</v>
      </c>
      <c r="K228" s="31">
        <v>4739627.5722763035</v>
      </c>
      <c r="L228" s="31">
        <v>6798673.4565004157</v>
      </c>
      <c r="M228" s="31">
        <f t="shared" si="16"/>
        <v>145424652.67721695</v>
      </c>
      <c r="N228" s="31">
        <v>734724.88</v>
      </c>
      <c r="P228" s="42" t="s">
        <v>27</v>
      </c>
      <c r="Q228" s="42" t="s">
        <v>28</v>
      </c>
      <c r="R228" s="43" t="s">
        <v>1050</v>
      </c>
      <c r="S228" s="44">
        <v>34</v>
      </c>
      <c r="T228" s="31">
        <v>119082510.68918653</v>
      </c>
      <c r="U228" s="31">
        <v>3569176.9</v>
      </c>
      <c r="V228" s="31">
        <v>1352052.7799999998</v>
      </c>
      <c r="W228" s="31">
        <v>411494.33</v>
      </c>
      <c r="X228" s="31">
        <v>16396693.61852232</v>
      </c>
      <c r="Y228" s="31">
        <v>4749653.156810021</v>
      </c>
      <c r="Z228" s="31">
        <v>7165942.1275754385</v>
      </c>
      <c r="AA228" s="31">
        <f t="shared" si="17"/>
        <v>153491283.95209429</v>
      </c>
      <c r="AB228" s="31">
        <v>763760.35</v>
      </c>
      <c r="AD228" s="42" t="s">
        <v>27</v>
      </c>
      <c r="AE228" s="42" t="s">
        <v>28</v>
      </c>
      <c r="AF228" s="43" t="s">
        <v>1275</v>
      </c>
      <c r="AG228" s="44">
        <v>34</v>
      </c>
      <c r="AH228" s="31">
        <v>121287930.08661525</v>
      </c>
      <c r="AI228" s="31">
        <v>3631453.46</v>
      </c>
      <c r="AJ228" s="31">
        <v>1375711.1099999999</v>
      </c>
      <c r="AK228" s="31">
        <v>418694.68000000005</v>
      </c>
      <c r="AL228" s="31">
        <v>16685560.898057232</v>
      </c>
      <c r="AM228" s="31">
        <v>4741986.2527753711</v>
      </c>
      <c r="AN228" s="31">
        <v>7292369.7874120539</v>
      </c>
      <c r="AO228" s="31">
        <f t="shared" si="18"/>
        <v>156211008.1548599</v>
      </c>
      <c r="AP228" s="31">
        <v>777301.88</v>
      </c>
      <c r="AR228" s="42" t="s">
        <v>27</v>
      </c>
      <c r="AS228" s="42" t="s">
        <v>28</v>
      </c>
      <c r="AT228" s="43" t="s">
        <v>1276</v>
      </c>
      <c r="AU228" s="44">
        <v>34</v>
      </c>
      <c r="AV228" s="31">
        <v>123642853.68273434</v>
      </c>
      <c r="AW228" s="31">
        <v>3698151.6500000004</v>
      </c>
      <c r="AX228" s="31">
        <v>1401049.1899999997</v>
      </c>
      <c r="AY228" s="31">
        <v>426406.28</v>
      </c>
      <c r="AZ228" s="31">
        <v>16994936.773272086</v>
      </c>
      <c r="BA228" s="31">
        <v>4742205.3071763618</v>
      </c>
      <c r="BB228" s="31">
        <v>7427769.5983024687</v>
      </c>
      <c r="BC228" s="31">
        <f t="shared" si="19"/>
        <v>159125177.35148525</v>
      </c>
      <c r="BD228" s="31">
        <v>791804.87</v>
      </c>
    </row>
    <row r="229" spans="2:56">
      <c r="B229" s="42" t="s">
        <v>71</v>
      </c>
      <c r="C229" s="42" t="s">
        <v>72</v>
      </c>
      <c r="D229" s="43" t="s">
        <v>1049</v>
      </c>
      <c r="E229" s="44">
        <v>34</v>
      </c>
      <c r="F229" s="31">
        <v>31309352.585060846</v>
      </c>
      <c r="G229" s="31">
        <v>583702.18999999994</v>
      </c>
      <c r="H229" s="31">
        <v>189300.50000000003</v>
      </c>
      <c r="I229" s="31">
        <v>109989.23999999999</v>
      </c>
      <c r="J229" s="31">
        <v>3905861.3427862599</v>
      </c>
      <c r="K229" s="31">
        <v>0</v>
      </c>
      <c r="L229" s="31">
        <v>2463665.3174152719</v>
      </c>
      <c r="M229" s="31">
        <f t="shared" si="16"/>
        <v>38561871.175262384</v>
      </c>
      <c r="N229" s="31">
        <v>0</v>
      </c>
      <c r="P229" s="42" t="s">
        <v>71</v>
      </c>
      <c r="Q229" s="42" t="s">
        <v>72</v>
      </c>
      <c r="R229" s="43" t="s">
        <v>1050</v>
      </c>
      <c r="S229" s="44">
        <v>34</v>
      </c>
      <c r="T229" s="31">
        <v>33329738.625539936</v>
      </c>
      <c r="U229" s="31">
        <v>621358.98</v>
      </c>
      <c r="V229" s="31">
        <v>201512.97000000003</v>
      </c>
      <c r="W229" s="31">
        <v>117085.04000000001</v>
      </c>
      <c r="X229" s="31">
        <v>4137131.9737231256</v>
      </c>
      <c r="Y229" s="31">
        <v>0</v>
      </c>
      <c r="Z229" s="31">
        <v>2614600.8660154184</v>
      </c>
      <c r="AA229" s="31">
        <f t="shared" si="17"/>
        <v>41021428.455278479</v>
      </c>
      <c r="AB229" s="31">
        <v>0</v>
      </c>
      <c r="AD229" s="42" t="s">
        <v>71</v>
      </c>
      <c r="AE229" s="42" t="s">
        <v>72</v>
      </c>
      <c r="AF229" s="43" t="s">
        <v>1275</v>
      </c>
      <c r="AG229" s="44">
        <v>34</v>
      </c>
      <c r="AH229" s="31">
        <v>33933995.496409461</v>
      </c>
      <c r="AI229" s="31">
        <v>632268.91</v>
      </c>
      <c r="AJ229" s="31">
        <v>205051.16</v>
      </c>
      <c r="AK229" s="31">
        <v>119140.84</v>
      </c>
      <c r="AL229" s="31">
        <v>4210186.8997281194</v>
      </c>
      <c r="AM229" s="31">
        <v>0</v>
      </c>
      <c r="AN229" s="31">
        <v>2660846.3547190996</v>
      </c>
      <c r="AO229" s="31">
        <f t="shared" si="18"/>
        <v>41761489.660856679</v>
      </c>
      <c r="AP229" s="31">
        <v>0</v>
      </c>
      <c r="AR229" s="42" t="s">
        <v>71</v>
      </c>
      <c r="AS229" s="42" t="s">
        <v>72</v>
      </c>
      <c r="AT229" s="43" t="s">
        <v>1276</v>
      </c>
      <c r="AU229" s="44">
        <v>34</v>
      </c>
      <c r="AV229" s="31">
        <v>34580107.996559612</v>
      </c>
      <c r="AW229" s="31">
        <v>643953.44000000006</v>
      </c>
      <c r="AX229" s="31">
        <v>208840.57</v>
      </c>
      <c r="AY229" s="31">
        <v>121342.6</v>
      </c>
      <c r="AZ229" s="31">
        <v>4288428.3443894563</v>
      </c>
      <c r="BA229" s="31">
        <v>0</v>
      </c>
      <c r="BB229" s="31">
        <v>2710373.767334342</v>
      </c>
      <c r="BC229" s="31">
        <f t="shared" si="19"/>
        <v>42553046.718283407</v>
      </c>
      <c r="BD229" s="31">
        <v>0</v>
      </c>
    </row>
    <row r="230" spans="2:56">
      <c r="B230" s="42" t="s">
        <v>11</v>
      </c>
      <c r="C230" s="42" t="s">
        <v>12</v>
      </c>
      <c r="D230" s="43" t="s">
        <v>1049</v>
      </c>
      <c r="E230" s="44">
        <v>34</v>
      </c>
      <c r="F230" s="31">
        <v>3619450.6501497226</v>
      </c>
      <c r="G230" s="31">
        <v>105926.27999999997</v>
      </c>
      <c r="H230" s="31">
        <v>0</v>
      </c>
      <c r="I230" s="31">
        <v>0</v>
      </c>
      <c r="J230" s="31">
        <v>275232.47111144627</v>
      </c>
      <c r="K230" s="31">
        <v>0</v>
      </c>
      <c r="L230" s="31">
        <v>279745.66889935784</v>
      </c>
      <c r="M230" s="31">
        <f t="shared" si="16"/>
        <v>4330392.6401605271</v>
      </c>
      <c r="N230" s="31">
        <v>50037.570000000014</v>
      </c>
      <c r="P230" s="42" t="s">
        <v>11</v>
      </c>
      <c r="Q230" s="42" t="s">
        <v>12</v>
      </c>
      <c r="R230" s="43" t="s">
        <v>1050</v>
      </c>
      <c r="S230" s="44">
        <v>34</v>
      </c>
      <c r="T230" s="31">
        <v>3850023.2306598346</v>
      </c>
      <c r="U230" s="31">
        <v>113580.68</v>
      </c>
      <c r="V230" s="31">
        <v>0</v>
      </c>
      <c r="W230" s="31">
        <v>0</v>
      </c>
      <c r="X230" s="31">
        <v>291551.87260614021</v>
      </c>
      <c r="Y230" s="31">
        <v>0</v>
      </c>
      <c r="Z230" s="31">
        <v>296915.15039927734</v>
      </c>
      <c r="AA230" s="31">
        <f t="shared" si="17"/>
        <v>4604535.7636652524</v>
      </c>
      <c r="AB230" s="31">
        <v>52464.830000000009</v>
      </c>
      <c r="AD230" s="42" t="s">
        <v>11</v>
      </c>
      <c r="AE230" s="42" t="s">
        <v>12</v>
      </c>
      <c r="AF230" s="43" t="s">
        <v>1275</v>
      </c>
      <c r="AG230" s="44">
        <v>34</v>
      </c>
      <c r="AH230" s="31">
        <v>3920008.0630142638</v>
      </c>
      <c r="AI230" s="31">
        <v>115558.35999999999</v>
      </c>
      <c r="AJ230" s="31">
        <v>0</v>
      </c>
      <c r="AK230" s="31">
        <v>0</v>
      </c>
      <c r="AL230" s="31">
        <v>296687.80318925634</v>
      </c>
      <c r="AM230" s="31">
        <v>0</v>
      </c>
      <c r="AN230" s="31">
        <v>302154.19772756041</v>
      </c>
      <c r="AO230" s="31">
        <f t="shared" si="18"/>
        <v>4687804.4339310797</v>
      </c>
      <c r="AP230" s="31">
        <v>53396.01</v>
      </c>
      <c r="AR230" s="42" t="s">
        <v>11</v>
      </c>
      <c r="AS230" s="42" t="s">
        <v>12</v>
      </c>
      <c r="AT230" s="43" t="s">
        <v>1276</v>
      </c>
      <c r="AU230" s="44">
        <v>34</v>
      </c>
      <c r="AV230" s="31">
        <v>3994803.0168077364</v>
      </c>
      <c r="AW230" s="31">
        <v>117676.45000000001</v>
      </c>
      <c r="AX230" s="31">
        <v>0</v>
      </c>
      <c r="AY230" s="31">
        <v>0</v>
      </c>
      <c r="AZ230" s="31">
        <v>302188.35994897672</v>
      </c>
      <c r="BA230" s="31">
        <v>0</v>
      </c>
      <c r="BB230" s="31">
        <v>307765.04280515161</v>
      </c>
      <c r="BC230" s="31">
        <f t="shared" si="19"/>
        <v>4776826.1795618646</v>
      </c>
      <c r="BD230" s="31">
        <v>54393.310000000005</v>
      </c>
    </row>
    <row r="231" spans="2:56">
      <c r="B231" s="42" t="s">
        <v>477</v>
      </c>
      <c r="C231" s="42" t="s">
        <v>478</v>
      </c>
      <c r="D231" s="43" t="s">
        <v>1049</v>
      </c>
      <c r="E231" s="44">
        <v>34</v>
      </c>
      <c r="F231" s="31">
        <v>11099867.573316412</v>
      </c>
      <c r="G231" s="31">
        <v>454667.77</v>
      </c>
      <c r="H231" s="31">
        <v>25140.239999999998</v>
      </c>
      <c r="I231" s="31">
        <v>40438.74</v>
      </c>
      <c r="J231" s="31">
        <v>1786948.7830444805</v>
      </c>
      <c r="K231" s="31">
        <v>1496343.7500409356</v>
      </c>
      <c r="L231" s="31">
        <v>1503751.4047864215</v>
      </c>
      <c r="M231" s="31">
        <f t="shared" si="16"/>
        <v>16515222.271188248</v>
      </c>
      <c r="N231" s="31">
        <v>108064.01000000001</v>
      </c>
      <c r="P231" s="42" t="s">
        <v>477</v>
      </c>
      <c r="Q231" s="42" t="s">
        <v>478</v>
      </c>
      <c r="R231" s="43" t="s">
        <v>1050</v>
      </c>
      <c r="S231" s="44">
        <v>34</v>
      </c>
      <c r="T231" s="31">
        <v>11935833.150732085</v>
      </c>
      <c r="U231" s="31">
        <v>485975.89</v>
      </c>
      <c r="V231" s="31">
        <v>26772.06</v>
      </c>
      <c r="W231" s="31">
        <v>43063.579999999994</v>
      </c>
      <c r="X231" s="31">
        <v>1892985.3558318743</v>
      </c>
      <c r="Y231" s="31">
        <v>1500009.2743175908</v>
      </c>
      <c r="Z231" s="31">
        <v>1611586.9553916478</v>
      </c>
      <c r="AA231" s="31">
        <f t="shared" si="17"/>
        <v>17609508.6062732</v>
      </c>
      <c r="AB231" s="31">
        <v>113282.34</v>
      </c>
      <c r="AD231" s="42" t="s">
        <v>477</v>
      </c>
      <c r="AE231" s="42" t="s">
        <v>478</v>
      </c>
      <c r="AF231" s="43" t="s">
        <v>1275</v>
      </c>
      <c r="AG231" s="44">
        <v>34</v>
      </c>
      <c r="AH231" s="31">
        <v>12158627.48330646</v>
      </c>
      <c r="AI231" s="31">
        <v>494421.90999999992</v>
      </c>
      <c r="AJ231" s="31">
        <v>27238.83</v>
      </c>
      <c r="AK231" s="31">
        <v>43814.389999999992</v>
      </c>
      <c r="AL231" s="31">
        <v>1926244.0428781989</v>
      </c>
      <c r="AM231" s="31">
        <v>1497224.4644817968</v>
      </c>
      <c r="AN231" s="31">
        <v>1639941.763800431</v>
      </c>
      <c r="AO231" s="31">
        <f t="shared" si="18"/>
        <v>17902797.174466886</v>
      </c>
      <c r="AP231" s="31">
        <v>115284.29000000001</v>
      </c>
      <c r="AR231" s="42" t="s">
        <v>477</v>
      </c>
      <c r="AS231" s="42" t="s">
        <v>478</v>
      </c>
      <c r="AT231" s="43" t="s">
        <v>1276</v>
      </c>
      <c r="AU231" s="44">
        <v>34</v>
      </c>
      <c r="AV231" s="31">
        <v>12396379.968111429</v>
      </c>
      <c r="AW231" s="31">
        <v>503467.60999999987</v>
      </c>
      <c r="AX231" s="31">
        <v>27738.730000000003</v>
      </c>
      <c r="AY231" s="31">
        <v>44618.509999999995</v>
      </c>
      <c r="AZ231" s="31">
        <v>1961863.9807437502</v>
      </c>
      <c r="BA231" s="31">
        <v>1497304.0304771054</v>
      </c>
      <c r="BB231" s="31">
        <v>1670308.8052550377</v>
      </c>
      <c r="BC231" s="31">
        <f t="shared" si="19"/>
        <v>18219110.004587322</v>
      </c>
      <c r="BD231" s="31">
        <v>117428.37000000002</v>
      </c>
    </row>
    <row r="232" spans="2:56">
      <c r="B232" s="42" t="s">
        <v>203</v>
      </c>
      <c r="C232" s="42" t="s">
        <v>204</v>
      </c>
      <c r="D232" s="43" t="s">
        <v>1049</v>
      </c>
      <c r="E232" s="44">
        <v>34</v>
      </c>
      <c r="F232" s="31">
        <v>27439065.117330894</v>
      </c>
      <c r="G232" s="31">
        <v>283316.83</v>
      </c>
      <c r="H232" s="31">
        <v>352311.12</v>
      </c>
      <c r="I232" s="31">
        <v>97901.83</v>
      </c>
      <c r="J232" s="31">
        <v>3313213.1274896837</v>
      </c>
      <c r="K232" s="31">
        <v>2290548.1058273027</v>
      </c>
      <c r="L232" s="31">
        <v>1910848.1593277296</v>
      </c>
      <c r="M232" s="31">
        <f t="shared" si="16"/>
        <v>35687204.289975606</v>
      </c>
      <c r="N232" s="31">
        <v>0</v>
      </c>
      <c r="P232" s="42" t="s">
        <v>203</v>
      </c>
      <c r="Q232" s="42" t="s">
        <v>204</v>
      </c>
      <c r="R232" s="43" t="s">
        <v>1050</v>
      </c>
      <c r="S232" s="44">
        <v>34</v>
      </c>
      <c r="T232" s="31">
        <v>29198850.561165042</v>
      </c>
      <c r="U232" s="31">
        <v>301401.31000000006</v>
      </c>
      <c r="V232" s="31">
        <v>374799.58</v>
      </c>
      <c r="W232" s="31">
        <v>104151.03000000001</v>
      </c>
      <c r="X232" s="31">
        <v>3508711.8291257741</v>
      </c>
      <c r="Y232" s="31">
        <v>2295652.1272094036</v>
      </c>
      <c r="Z232" s="31">
        <v>2027231.0390649652</v>
      </c>
      <c r="AA232" s="31">
        <f t="shared" si="17"/>
        <v>37810797.476565182</v>
      </c>
      <c r="AB232" s="31">
        <v>0</v>
      </c>
      <c r="AD232" s="42" t="s">
        <v>203</v>
      </c>
      <c r="AE232" s="42" t="s">
        <v>204</v>
      </c>
      <c r="AF232" s="43" t="s">
        <v>1275</v>
      </c>
      <c r="AG232" s="44">
        <v>34</v>
      </c>
      <c r="AH232" s="31">
        <v>29739109.936903298</v>
      </c>
      <c r="AI232" s="31">
        <v>306757.59000000003</v>
      </c>
      <c r="AJ232" s="31">
        <v>381460.22</v>
      </c>
      <c r="AK232" s="31">
        <v>106001.91999999998</v>
      </c>
      <c r="AL232" s="31">
        <v>3571264.4283703556</v>
      </c>
      <c r="AM232" s="31">
        <v>2291655.0814160667</v>
      </c>
      <c r="AN232" s="31">
        <v>2063415.6929612234</v>
      </c>
      <c r="AO232" s="31">
        <f t="shared" si="18"/>
        <v>38459664.869650938</v>
      </c>
      <c r="AP232" s="31">
        <v>0</v>
      </c>
      <c r="AR232" s="42" t="s">
        <v>203</v>
      </c>
      <c r="AS232" s="42" t="s">
        <v>204</v>
      </c>
      <c r="AT232" s="43" t="s">
        <v>1276</v>
      </c>
      <c r="AU232" s="44">
        <v>34</v>
      </c>
      <c r="AV232" s="31">
        <v>30316384.344765883</v>
      </c>
      <c r="AW232" s="31">
        <v>312494.16000000003</v>
      </c>
      <c r="AX232" s="31">
        <v>388593.77999999997</v>
      </c>
      <c r="AY232" s="31">
        <v>107984.22</v>
      </c>
      <c r="AZ232" s="31">
        <v>3638258.0497252368</v>
      </c>
      <c r="BA232" s="31">
        <v>2291769.2827244475</v>
      </c>
      <c r="BB232" s="31">
        <v>2102168.3778089159</v>
      </c>
      <c r="BC232" s="31">
        <f t="shared" si="19"/>
        <v>39157652.215024479</v>
      </c>
      <c r="BD232" s="31">
        <v>0</v>
      </c>
    </row>
    <row r="233" spans="2:56">
      <c r="B233" s="42" t="s">
        <v>519</v>
      </c>
      <c r="C233" s="42" t="s">
        <v>520</v>
      </c>
      <c r="D233" s="43" t="s">
        <v>1049</v>
      </c>
      <c r="E233" s="44">
        <v>34</v>
      </c>
      <c r="F233" s="31">
        <v>17247549.754493684</v>
      </c>
      <c r="G233" s="31">
        <v>667775.05000000028</v>
      </c>
      <c r="H233" s="31">
        <v>319222.38999999996</v>
      </c>
      <c r="I233" s="31">
        <v>58465.639999999992</v>
      </c>
      <c r="J233" s="31">
        <v>2577800.8213884346</v>
      </c>
      <c r="K233" s="31">
        <v>1885964.6342048864</v>
      </c>
      <c r="L233" s="31">
        <v>971383.01909723331</v>
      </c>
      <c r="M233" s="31">
        <f t="shared" si="16"/>
        <v>24144631.54918424</v>
      </c>
      <c r="N233" s="31">
        <v>416470.24000000005</v>
      </c>
      <c r="P233" s="42" t="s">
        <v>519</v>
      </c>
      <c r="Q233" s="42" t="s">
        <v>520</v>
      </c>
      <c r="R233" s="43" t="s">
        <v>1050</v>
      </c>
      <c r="S233" s="44">
        <v>34</v>
      </c>
      <c r="T233" s="31">
        <v>18556100.694510482</v>
      </c>
      <c r="U233" s="31">
        <v>718041.40000000014</v>
      </c>
      <c r="V233" s="31">
        <v>339942.81999999995</v>
      </c>
      <c r="W233" s="31">
        <v>62260.580000000009</v>
      </c>
      <c r="X233" s="31">
        <v>2730699.5798559813</v>
      </c>
      <c r="Y233" s="31">
        <v>1890903.6272259259</v>
      </c>
      <c r="Z233" s="31">
        <v>1041001.0669412412</v>
      </c>
      <c r="AA233" s="31">
        <f t="shared" si="17"/>
        <v>25775531.078533627</v>
      </c>
      <c r="AB233" s="31">
        <v>436581.31</v>
      </c>
      <c r="AD233" s="42" t="s">
        <v>519</v>
      </c>
      <c r="AE233" s="42" t="s">
        <v>520</v>
      </c>
      <c r="AF233" s="43" t="s">
        <v>1275</v>
      </c>
      <c r="AG233" s="44">
        <v>34</v>
      </c>
      <c r="AH233" s="31">
        <v>18889204.353377927</v>
      </c>
      <c r="AI233" s="31">
        <v>730456.74000000022</v>
      </c>
      <c r="AJ233" s="31">
        <v>345869.67999999993</v>
      </c>
      <c r="AK233" s="31">
        <v>63346.090000000004</v>
      </c>
      <c r="AL233" s="31">
        <v>2778658.5081384224</v>
      </c>
      <c r="AM233" s="31">
        <v>1887151.3246067604</v>
      </c>
      <c r="AN233" s="31">
        <v>1059316.8769052611</v>
      </c>
      <c r="AO233" s="31">
        <f t="shared" si="18"/>
        <v>26198300.213028371</v>
      </c>
      <c r="AP233" s="31">
        <v>444296.63999999996</v>
      </c>
      <c r="AR233" s="42" t="s">
        <v>519</v>
      </c>
      <c r="AS233" s="42" t="s">
        <v>520</v>
      </c>
      <c r="AT233" s="43" t="s">
        <v>1276</v>
      </c>
      <c r="AU233" s="44">
        <v>34</v>
      </c>
      <c r="AV233" s="31">
        <v>19245458.911977611</v>
      </c>
      <c r="AW233" s="31">
        <v>743753.55</v>
      </c>
      <c r="AX233" s="31">
        <v>352217.32999999996</v>
      </c>
      <c r="AY233" s="31">
        <v>64508.66</v>
      </c>
      <c r="AZ233" s="31">
        <v>2830022.257584733</v>
      </c>
      <c r="BA233" s="31">
        <v>1887258.5332530222</v>
      </c>
      <c r="BB233" s="31">
        <v>1078932.4902293265</v>
      </c>
      <c r="BC233" s="31">
        <f t="shared" si="19"/>
        <v>26654711.503044691</v>
      </c>
      <c r="BD233" s="31">
        <v>452559.77000000008</v>
      </c>
    </row>
    <row r="234" spans="2:56">
      <c r="B234" s="42" t="s">
        <v>263</v>
      </c>
      <c r="C234" s="42" t="s">
        <v>264</v>
      </c>
      <c r="D234" s="43" t="s">
        <v>1049</v>
      </c>
      <c r="E234" s="44">
        <v>34</v>
      </c>
      <c r="F234" s="31">
        <v>429296.23317987961</v>
      </c>
      <c r="G234" s="31">
        <v>0</v>
      </c>
      <c r="H234" s="31">
        <v>0</v>
      </c>
      <c r="I234" s="31">
        <v>0</v>
      </c>
      <c r="J234" s="31">
        <v>52573.259702966912</v>
      </c>
      <c r="K234" s="31">
        <v>115219.65357997973</v>
      </c>
      <c r="L234" s="31">
        <v>0</v>
      </c>
      <c r="M234" s="31">
        <f t="shared" si="16"/>
        <v>597089.14646282629</v>
      </c>
      <c r="N234" s="31">
        <v>0</v>
      </c>
      <c r="P234" s="42" t="s">
        <v>263</v>
      </c>
      <c r="Q234" s="42" t="s">
        <v>264</v>
      </c>
      <c r="R234" s="43" t="s">
        <v>1050</v>
      </c>
      <c r="S234" s="44">
        <v>34</v>
      </c>
      <c r="T234" s="31">
        <v>456298.26476664247</v>
      </c>
      <c r="U234" s="31">
        <v>0</v>
      </c>
      <c r="V234" s="31">
        <v>0</v>
      </c>
      <c r="W234" s="31">
        <v>0</v>
      </c>
      <c r="X234" s="31">
        <v>55688.688811598906</v>
      </c>
      <c r="Y234" s="31">
        <v>115416.83187728329</v>
      </c>
      <c r="Z234" s="31">
        <v>0</v>
      </c>
      <c r="AA234" s="31">
        <f t="shared" si="17"/>
        <v>627403.78545552469</v>
      </c>
      <c r="AB234" s="31">
        <v>0</v>
      </c>
      <c r="AD234" s="42" t="s">
        <v>263</v>
      </c>
      <c r="AE234" s="42" t="s">
        <v>264</v>
      </c>
      <c r="AF234" s="43" t="s">
        <v>1275</v>
      </c>
      <c r="AG234" s="44">
        <v>34</v>
      </c>
      <c r="AH234" s="31">
        <v>464255.48367115943</v>
      </c>
      <c r="AI234" s="31">
        <v>0</v>
      </c>
      <c r="AJ234" s="31">
        <v>0</v>
      </c>
      <c r="AK234" s="31">
        <v>0</v>
      </c>
      <c r="AL234" s="31">
        <v>56665.435318206823</v>
      </c>
      <c r="AM234" s="31">
        <v>115267.02955153328</v>
      </c>
      <c r="AN234" s="31">
        <v>0</v>
      </c>
      <c r="AO234" s="31">
        <f t="shared" si="18"/>
        <v>636187.94854089955</v>
      </c>
      <c r="AP234" s="31">
        <v>0</v>
      </c>
      <c r="AR234" s="42" t="s">
        <v>263</v>
      </c>
      <c r="AS234" s="42" t="s">
        <v>264</v>
      </c>
      <c r="AT234" s="43" t="s">
        <v>1276</v>
      </c>
      <c r="AU234" s="44">
        <v>34</v>
      </c>
      <c r="AV234" s="31">
        <v>472777.95742189698</v>
      </c>
      <c r="AW234" s="31">
        <v>0</v>
      </c>
      <c r="AX234" s="31">
        <v>0</v>
      </c>
      <c r="AY234" s="31">
        <v>0</v>
      </c>
      <c r="AZ234" s="31">
        <v>57711.517393546375</v>
      </c>
      <c r="BA234" s="31">
        <v>115271.30961798328</v>
      </c>
      <c r="BB234" s="31">
        <v>0</v>
      </c>
      <c r="BC234" s="31">
        <f t="shared" si="19"/>
        <v>645760.78443342668</v>
      </c>
      <c r="BD234" s="31">
        <v>0</v>
      </c>
    </row>
    <row r="235" spans="2:56">
      <c r="B235" s="42" t="s">
        <v>575</v>
      </c>
      <c r="C235" s="42" t="s">
        <v>576</v>
      </c>
      <c r="D235" s="43" t="s">
        <v>1049</v>
      </c>
      <c r="E235" s="44">
        <v>34</v>
      </c>
      <c r="F235" s="31">
        <v>2331238.204795897</v>
      </c>
      <c r="G235" s="31">
        <v>63051.360000000001</v>
      </c>
      <c r="H235" s="31">
        <v>0</v>
      </c>
      <c r="I235" s="31">
        <v>0</v>
      </c>
      <c r="J235" s="31">
        <v>174010.49802843464</v>
      </c>
      <c r="K235" s="31">
        <v>208816.82793112096</v>
      </c>
      <c r="L235" s="31">
        <v>69388.780261988024</v>
      </c>
      <c r="M235" s="31">
        <f t="shared" si="16"/>
        <v>2893012.3610174404</v>
      </c>
      <c r="N235" s="31">
        <v>46506.69</v>
      </c>
      <c r="P235" s="42" t="s">
        <v>575</v>
      </c>
      <c r="Q235" s="42" t="s">
        <v>576</v>
      </c>
      <c r="R235" s="43" t="s">
        <v>1050</v>
      </c>
      <c r="S235" s="44">
        <v>34</v>
      </c>
      <c r="T235" s="31">
        <v>2490472.902558377</v>
      </c>
      <c r="U235" s="31">
        <v>67877.31</v>
      </c>
      <c r="V235" s="31">
        <v>0</v>
      </c>
      <c r="W235" s="31">
        <v>0</v>
      </c>
      <c r="X235" s="31">
        <v>184324.99205687316</v>
      </c>
      <c r="Y235" s="31">
        <v>209288.93911834669</v>
      </c>
      <c r="Z235" s="31">
        <v>74292.00158611557</v>
      </c>
      <c r="AA235" s="31">
        <f t="shared" si="17"/>
        <v>3075018.8153197123</v>
      </c>
      <c r="AB235" s="31">
        <v>48762.670000000006</v>
      </c>
      <c r="AD235" s="42" t="s">
        <v>575</v>
      </c>
      <c r="AE235" s="42" t="s">
        <v>576</v>
      </c>
      <c r="AF235" s="43" t="s">
        <v>1275</v>
      </c>
      <c r="AG235" s="44">
        <v>34</v>
      </c>
      <c r="AH235" s="31">
        <v>2534207.8247027085</v>
      </c>
      <c r="AI235" s="31">
        <v>69055.199999999997</v>
      </c>
      <c r="AJ235" s="31">
        <v>0</v>
      </c>
      <c r="AK235" s="31">
        <v>0</v>
      </c>
      <c r="AL235" s="31">
        <v>187571.37346184181</v>
      </c>
      <c r="AM235" s="31">
        <v>208930.26194734886</v>
      </c>
      <c r="AN235" s="31">
        <v>75602.751222853083</v>
      </c>
      <c r="AO235" s="31">
        <f t="shared" si="18"/>
        <v>3124995.5513347522</v>
      </c>
      <c r="AP235" s="31">
        <v>49628.14</v>
      </c>
      <c r="AR235" s="42" t="s">
        <v>575</v>
      </c>
      <c r="AS235" s="42" t="s">
        <v>576</v>
      </c>
      <c r="AT235" s="43" t="s">
        <v>1276</v>
      </c>
      <c r="AU235" s="44">
        <v>34</v>
      </c>
      <c r="AV235" s="31">
        <v>2581031.5164959412</v>
      </c>
      <c r="AW235" s="31">
        <v>70316.699999999983</v>
      </c>
      <c r="AX235" s="31">
        <v>0</v>
      </c>
      <c r="AY235" s="31">
        <v>0</v>
      </c>
      <c r="AZ235" s="31">
        <v>191048.22868724592</v>
      </c>
      <c r="BA235" s="31">
        <v>208940.50986652024</v>
      </c>
      <c r="BB235" s="31">
        <v>77006.520784798951</v>
      </c>
      <c r="BC235" s="31">
        <f t="shared" si="19"/>
        <v>3178898.5458345064</v>
      </c>
      <c r="BD235" s="31">
        <v>50555.070000000007</v>
      </c>
    </row>
    <row r="236" spans="2:56">
      <c r="B236" s="42" t="s">
        <v>131</v>
      </c>
      <c r="C236" s="42" t="s">
        <v>132</v>
      </c>
      <c r="D236" s="43" t="s">
        <v>1049</v>
      </c>
      <c r="E236" s="44">
        <v>34</v>
      </c>
      <c r="F236" s="31">
        <v>14160607.708229315</v>
      </c>
      <c r="G236" s="31">
        <v>858665.33000000019</v>
      </c>
      <c r="H236" s="31">
        <v>1187631.99</v>
      </c>
      <c r="I236" s="31">
        <v>49306.030000000006</v>
      </c>
      <c r="J236" s="31">
        <v>2182986.048056474</v>
      </c>
      <c r="K236" s="31">
        <v>999305.80799200956</v>
      </c>
      <c r="L236" s="31">
        <v>1056994.416502313</v>
      </c>
      <c r="M236" s="31">
        <f t="shared" si="16"/>
        <v>21002004.650780112</v>
      </c>
      <c r="N236" s="31">
        <v>506507.31999999995</v>
      </c>
      <c r="P236" s="42" t="s">
        <v>131</v>
      </c>
      <c r="Q236" s="42" t="s">
        <v>132</v>
      </c>
      <c r="R236" s="43" t="s">
        <v>1050</v>
      </c>
      <c r="S236" s="44">
        <v>34</v>
      </c>
      <c r="T236" s="31">
        <v>15235862.118364111</v>
      </c>
      <c r="U236" s="31">
        <v>922818.60999999987</v>
      </c>
      <c r="V236" s="31">
        <v>1264720.1800000002</v>
      </c>
      <c r="W236" s="31">
        <v>52506.43</v>
      </c>
      <c r="X236" s="31">
        <v>2312517.1339348792</v>
      </c>
      <c r="Y236" s="31">
        <v>1001465.6758973056</v>
      </c>
      <c r="Z236" s="31">
        <v>1132704.7268671123</v>
      </c>
      <c r="AA236" s="31">
        <f t="shared" si="17"/>
        <v>22453561.105063405</v>
      </c>
      <c r="AB236" s="31">
        <v>530966.23</v>
      </c>
      <c r="AD236" s="42" t="s">
        <v>131</v>
      </c>
      <c r="AE236" s="42" t="s">
        <v>132</v>
      </c>
      <c r="AF236" s="43" t="s">
        <v>1275</v>
      </c>
      <c r="AG236" s="44">
        <v>34</v>
      </c>
      <c r="AH236" s="31">
        <v>15507090.277620919</v>
      </c>
      <c r="AI236" s="31">
        <v>938781.79999999981</v>
      </c>
      <c r="AJ236" s="31">
        <v>1286770.3700000001</v>
      </c>
      <c r="AK236" s="31">
        <v>53421.880000000005</v>
      </c>
      <c r="AL236" s="31">
        <v>2353134.5971541302</v>
      </c>
      <c r="AM236" s="31">
        <v>999824.75881895178</v>
      </c>
      <c r="AN236" s="31">
        <v>1152633.8201280227</v>
      </c>
      <c r="AO236" s="31">
        <f t="shared" si="18"/>
        <v>22832007.053722024</v>
      </c>
      <c r="AP236" s="31">
        <v>540349.55000000005</v>
      </c>
      <c r="AR236" s="42" t="s">
        <v>131</v>
      </c>
      <c r="AS236" s="42" t="s">
        <v>132</v>
      </c>
      <c r="AT236" s="43" t="s">
        <v>1276</v>
      </c>
      <c r="AU236" s="44">
        <v>34</v>
      </c>
      <c r="AV236" s="31">
        <v>15797320.010501064</v>
      </c>
      <c r="AW236" s="31">
        <v>955878.36999999988</v>
      </c>
      <c r="AX236" s="31">
        <v>1310386.1400000001</v>
      </c>
      <c r="AY236" s="31">
        <v>54402.31</v>
      </c>
      <c r="AZ236" s="31">
        <v>2396635.6642340212</v>
      </c>
      <c r="BA236" s="31">
        <v>999871.64216404769</v>
      </c>
      <c r="BB236" s="31">
        <v>1173977.2053572573</v>
      </c>
      <c r="BC236" s="31">
        <f t="shared" si="19"/>
        <v>23238870.432256386</v>
      </c>
      <c r="BD236" s="31">
        <v>550399.09000000008</v>
      </c>
    </row>
    <row r="237" spans="2:56">
      <c r="B237" s="42" t="s">
        <v>399</v>
      </c>
      <c r="C237" s="42" t="s">
        <v>400</v>
      </c>
      <c r="D237" s="43" t="s">
        <v>1049</v>
      </c>
      <c r="E237" s="44">
        <v>34</v>
      </c>
      <c r="F237" s="31">
        <v>7023403.7035549823</v>
      </c>
      <c r="G237" s="31">
        <v>214336.76</v>
      </c>
      <c r="H237" s="31">
        <v>92459.000000000015</v>
      </c>
      <c r="I237" s="31">
        <v>24138.46</v>
      </c>
      <c r="J237" s="31">
        <v>1044378.8546325611</v>
      </c>
      <c r="K237" s="31">
        <v>375674.80553536693</v>
      </c>
      <c r="L237" s="31">
        <v>228763.52704134208</v>
      </c>
      <c r="M237" s="31">
        <f t="shared" si="16"/>
        <v>9003155.110764252</v>
      </c>
      <c r="N237" s="31">
        <v>0</v>
      </c>
      <c r="P237" s="42" t="s">
        <v>399</v>
      </c>
      <c r="Q237" s="42" t="s">
        <v>400</v>
      </c>
      <c r="R237" s="43" t="s">
        <v>1050</v>
      </c>
      <c r="S237" s="44">
        <v>34</v>
      </c>
      <c r="T237" s="31">
        <v>7474497.9663565438</v>
      </c>
      <c r="U237" s="31">
        <v>228087.77</v>
      </c>
      <c r="V237" s="31">
        <v>98390.8</v>
      </c>
      <c r="W237" s="31">
        <v>25687.11</v>
      </c>
      <c r="X237" s="31">
        <v>1106119.913951745</v>
      </c>
      <c r="Y237" s="31">
        <v>376560.32697542629</v>
      </c>
      <c r="Z237" s="31">
        <v>242735.90183738538</v>
      </c>
      <c r="AA237" s="31">
        <f t="shared" si="17"/>
        <v>9552079.7891211007</v>
      </c>
      <c r="AB237" s="31">
        <v>0</v>
      </c>
      <c r="AD237" s="42" t="s">
        <v>399</v>
      </c>
      <c r="AE237" s="42" t="s">
        <v>400</v>
      </c>
      <c r="AF237" s="43" t="s">
        <v>1275</v>
      </c>
      <c r="AG237" s="44">
        <v>34</v>
      </c>
      <c r="AH237" s="31">
        <v>7610805.3932957603</v>
      </c>
      <c r="AI237" s="31">
        <v>232118.03</v>
      </c>
      <c r="AJ237" s="31">
        <v>100129.35</v>
      </c>
      <c r="AK237" s="31">
        <v>26140.99</v>
      </c>
      <c r="AL237" s="31">
        <v>1125752.9060817112</v>
      </c>
      <c r="AM237" s="31">
        <v>375873.2998090763</v>
      </c>
      <c r="AN237" s="31">
        <v>247049.64134415227</v>
      </c>
      <c r="AO237" s="31">
        <f t="shared" si="18"/>
        <v>9717869.6105307005</v>
      </c>
      <c r="AP237" s="31">
        <v>0</v>
      </c>
      <c r="AR237" s="42" t="s">
        <v>399</v>
      </c>
      <c r="AS237" s="42" t="s">
        <v>400</v>
      </c>
      <c r="AT237" s="43" t="s">
        <v>1276</v>
      </c>
      <c r="AU237" s="44">
        <v>34</v>
      </c>
      <c r="AV237" s="31">
        <v>7756543.8878268506</v>
      </c>
      <c r="AW237" s="31">
        <v>236434.43000000002</v>
      </c>
      <c r="AX237" s="31">
        <v>101991.32</v>
      </c>
      <c r="AY237" s="31">
        <v>26627.109999999997</v>
      </c>
      <c r="AZ237" s="31">
        <v>1146779.7775369582</v>
      </c>
      <c r="BA237" s="31">
        <v>375892.9291566863</v>
      </c>
      <c r="BB237" s="31">
        <v>251669.52204409958</v>
      </c>
      <c r="BC237" s="31">
        <f t="shared" si="19"/>
        <v>9895938.9765645955</v>
      </c>
      <c r="BD237" s="31">
        <v>0</v>
      </c>
    </row>
    <row r="238" spans="2:56">
      <c r="B238" s="42" t="s">
        <v>159</v>
      </c>
      <c r="C238" s="42" t="s">
        <v>160</v>
      </c>
      <c r="D238" s="43" t="s">
        <v>1049</v>
      </c>
      <c r="E238" s="44">
        <v>34</v>
      </c>
      <c r="F238" s="31">
        <v>589584.46309245448</v>
      </c>
      <c r="G238" s="31">
        <v>21145.090000000004</v>
      </c>
      <c r="H238" s="31">
        <v>0</v>
      </c>
      <c r="I238" s="31">
        <v>0</v>
      </c>
      <c r="J238" s="31">
        <v>68115.135744228697</v>
      </c>
      <c r="K238" s="31">
        <v>0</v>
      </c>
      <c r="L238" s="31">
        <v>0</v>
      </c>
      <c r="M238" s="31">
        <f t="shared" si="16"/>
        <v>694240.62883668323</v>
      </c>
      <c r="N238" s="31">
        <v>15395.940000000002</v>
      </c>
      <c r="P238" s="42" t="s">
        <v>159</v>
      </c>
      <c r="Q238" s="42" t="s">
        <v>160</v>
      </c>
      <c r="R238" s="43" t="s">
        <v>1050</v>
      </c>
      <c r="S238" s="44">
        <v>34</v>
      </c>
      <c r="T238" s="31">
        <v>634449.06526714214</v>
      </c>
      <c r="U238" s="31">
        <v>22773.469999999987</v>
      </c>
      <c r="V238" s="31">
        <v>0</v>
      </c>
      <c r="W238" s="31">
        <v>0</v>
      </c>
      <c r="X238" s="31">
        <v>72147.654421352461</v>
      </c>
      <c r="Y238" s="31">
        <v>0</v>
      </c>
      <c r="Z238" s="31">
        <v>0</v>
      </c>
      <c r="AA238" s="31">
        <f t="shared" si="17"/>
        <v>745509.59968849458</v>
      </c>
      <c r="AB238" s="31">
        <v>16139.410000000002</v>
      </c>
      <c r="AD238" s="42" t="s">
        <v>159</v>
      </c>
      <c r="AE238" s="42" t="s">
        <v>160</v>
      </c>
      <c r="AF238" s="43" t="s">
        <v>1275</v>
      </c>
      <c r="AG238" s="44">
        <v>34</v>
      </c>
      <c r="AH238" s="31">
        <v>645480.4384957091</v>
      </c>
      <c r="AI238" s="31">
        <v>23166.699999999993</v>
      </c>
      <c r="AJ238" s="31">
        <v>0</v>
      </c>
      <c r="AK238" s="31">
        <v>0</v>
      </c>
      <c r="AL238" s="31">
        <v>73412.791479701147</v>
      </c>
      <c r="AM238" s="31">
        <v>0</v>
      </c>
      <c r="AN238" s="31">
        <v>0</v>
      </c>
      <c r="AO238" s="31">
        <f t="shared" si="18"/>
        <v>758484.54997541022</v>
      </c>
      <c r="AP238" s="31">
        <v>16424.62</v>
      </c>
      <c r="AR238" s="42" t="s">
        <v>159</v>
      </c>
      <c r="AS238" s="42" t="s">
        <v>160</v>
      </c>
      <c r="AT238" s="43" t="s">
        <v>1276</v>
      </c>
      <c r="AU238" s="44">
        <v>34</v>
      </c>
      <c r="AV238" s="31">
        <v>657295.13365570409</v>
      </c>
      <c r="AW238" s="31">
        <v>23587.839999999993</v>
      </c>
      <c r="AX238" s="31">
        <v>0</v>
      </c>
      <c r="AY238" s="31">
        <v>0</v>
      </c>
      <c r="AZ238" s="31">
        <v>74767.736310338019</v>
      </c>
      <c r="BA238" s="31">
        <v>0</v>
      </c>
      <c r="BB238" s="31">
        <v>0</v>
      </c>
      <c r="BC238" s="31">
        <f t="shared" si="19"/>
        <v>772380.79996604205</v>
      </c>
      <c r="BD238" s="31">
        <v>16730.09</v>
      </c>
    </row>
    <row r="239" spans="2:56">
      <c r="B239" s="42" t="s">
        <v>183</v>
      </c>
      <c r="C239" s="42" t="s">
        <v>184</v>
      </c>
      <c r="D239" s="43" t="s">
        <v>1049</v>
      </c>
      <c r="E239" s="44">
        <v>34</v>
      </c>
      <c r="F239" s="31">
        <v>477953237.82958293</v>
      </c>
      <c r="G239" s="31">
        <v>14768384.830000002</v>
      </c>
      <c r="H239" s="31">
        <v>11584599.030000001</v>
      </c>
      <c r="I239" s="31">
        <v>0</v>
      </c>
      <c r="J239" s="31">
        <v>70992859.906978413</v>
      </c>
      <c r="K239" s="31">
        <v>35373539.357970014</v>
      </c>
      <c r="L239" s="31">
        <v>18348204.728756111</v>
      </c>
      <c r="M239" s="31">
        <f t="shared" si="16"/>
        <v>633735583.92328739</v>
      </c>
      <c r="N239" s="31">
        <v>4714758.2399999993</v>
      </c>
      <c r="P239" s="42" t="s">
        <v>183</v>
      </c>
      <c r="Q239" s="42" t="s">
        <v>184</v>
      </c>
      <c r="R239" s="43" t="s">
        <v>1050</v>
      </c>
      <c r="S239" s="44">
        <v>34</v>
      </c>
      <c r="T239" s="31">
        <v>508428498.71487641</v>
      </c>
      <c r="U239" s="31">
        <v>15780187.779999997</v>
      </c>
      <c r="V239" s="31">
        <v>12324058.450000001</v>
      </c>
      <c r="W239" s="31">
        <v>0</v>
      </c>
      <c r="X239" s="31">
        <v>75180871.235891253</v>
      </c>
      <c r="Y239" s="31">
        <v>35460838.509847924</v>
      </c>
      <c r="Z239" s="31">
        <v>19466073.085588969</v>
      </c>
      <c r="AA239" s="31">
        <f t="shared" si="17"/>
        <v>671587116.42620444</v>
      </c>
      <c r="AB239" s="31">
        <v>4946588.6499999994</v>
      </c>
      <c r="AD239" s="42" t="s">
        <v>183</v>
      </c>
      <c r="AE239" s="42" t="s">
        <v>184</v>
      </c>
      <c r="AF239" s="43" t="s">
        <v>1275</v>
      </c>
      <c r="AG239" s="44">
        <v>34</v>
      </c>
      <c r="AH239" s="31">
        <v>517610095.28488183</v>
      </c>
      <c r="AI239" s="31">
        <v>16059589.559999999</v>
      </c>
      <c r="AJ239" s="31">
        <v>12543072.160000002</v>
      </c>
      <c r="AK239" s="31">
        <v>0</v>
      </c>
      <c r="AL239" s="31">
        <v>76520915.241668642</v>
      </c>
      <c r="AM239" s="31">
        <v>35392473.061968103</v>
      </c>
      <c r="AN239" s="31">
        <v>19813510.362387151</v>
      </c>
      <c r="AO239" s="31">
        <f t="shared" si="18"/>
        <v>682975182.89090586</v>
      </c>
      <c r="AP239" s="31">
        <v>5035527.22</v>
      </c>
      <c r="AR239" s="42" t="s">
        <v>183</v>
      </c>
      <c r="AS239" s="42" t="s">
        <v>184</v>
      </c>
      <c r="AT239" s="43" t="s">
        <v>1276</v>
      </c>
      <c r="AU239" s="44">
        <v>34</v>
      </c>
      <c r="AV239" s="31">
        <v>527435092.14020729</v>
      </c>
      <c r="AW239" s="31">
        <v>16358828.849999994</v>
      </c>
      <c r="AX239" s="31">
        <v>12777635.83</v>
      </c>
      <c r="AY239" s="31">
        <v>0</v>
      </c>
      <c r="AZ239" s="31">
        <v>77956095.932167724</v>
      </c>
      <c r="BA239" s="31">
        <v>35394426.360478953</v>
      </c>
      <c r="BB239" s="31">
        <v>20185605.400486</v>
      </c>
      <c r="BC239" s="31">
        <f t="shared" si="19"/>
        <v>695238464.95334017</v>
      </c>
      <c r="BD239" s="31">
        <v>5130780.4400000004</v>
      </c>
    </row>
    <row r="240" spans="2:56">
      <c r="B240" s="42" t="s">
        <v>405</v>
      </c>
      <c r="C240" s="42" t="s">
        <v>406</v>
      </c>
      <c r="D240" s="43" t="s">
        <v>1049</v>
      </c>
      <c r="E240" s="44">
        <v>34</v>
      </c>
      <c r="F240" s="31">
        <v>37197884.830767311</v>
      </c>
      <c r="G240" s="31">
        <v>1524495.74</v>
      </c>
      <c r="H240" s="31">
        <v>570056.01</v>
      </c>
      <c r="I240" s="31">
        <v>132977.16</v>
      </c>
      <c r="J240" s="31">
        <v>6108029.4582347209</v>
      </c>
      <c r="K240" s="31">
        <v>3133936.2588345404</v>
      </c>
      <c r="L240" s="31">
        <v>3161633.2030189871</v>
      </c>
      <c r="M240" s="31">
        <f t="shared" si="16"/>
        <v>52512756.590855554</v>
      </c>
      <c r="N240" s="31">
        <v>683743.92999999993</v>
      </c>
      <c r="P240" s="42" t="s">
        <v>405</v>
      </c>
      <c r="Q240" s="42" t="s">
        <v>406</v>
      </c>
      <c r="R240" s="43" t="s">
        <v>1050</v>
      </c>
      <c r="S240" s="44">
        <v>34</v>
      </c>
      <c r="T240" s="31">
        <v>40005059.882249534</v>
      </c>
      <c r="U240" s="31">
        <v>1632729.1100000003</v>
      </c>
      <c r="V240" s="31">
        <v>606628.60999999987</v>
      </c>
      <c r="W240" s="31">
        <v>141508.46</v>
      </c>
      <c r="X240" s="31">
        <v>6469051.643260912</v>
      </c>
      <c r="Y240" s="31">
        <v>3141136.5696168379</v>
      </c>
      <c r="Z240" s="31">
        <v>3387660.5263316021</v>
      </c>
      <c r="AA240" s="31">
        <f t="shared" si="17"/>
        <v>56100957.511458889</v>
      </c>
      <c r="AB240" s="31">
        <v>717182.71</v>
      </c>
      <c r="AD240" s="42" t="s">
        <v>405</v>
      </c>
      <c r="AE240" s="42" t="s">
        <v>406</v>
      </c>
      <c r="AF240" s="43" t="s">
        <v>1275</v>
      </c>
      <c r="AG240" s="44">
        <v>34</v>
      </c>
      <c r="AH240" s="31">
        <v>40733921.548775509</v>
      </c>
      <c r="AI240" s="31">
        <v>1661423.1800000006</v>
      </c>
      <c r="AJ240" s="31">
        <v>617347.6</v>
      </c>
      <c r="AK240" s="31">
        <v>144008.88</v>
      </c>
      <c r="AL240" s="31">
        <v>6583852.8743267134</v>
      </c>
      <c r="AM240" s="31">
        <v>3135550.2462486881</v>
      </c>
      <c r="AN240" s="31">
        <v>3447859.8903592341</v>
      </c>
      <c r="AO240" s="31">
        <f t="shared" si="18"/>
        <v>57053975.249710143</v>
      </c>
      <c r="AP240" s="31">
        <v>730011.02999999991</v>
      </c>
      <c r="AR240" s="42" t="s">
        <v>405</v>
      </c>
      <c r="AS240" s="42" t="s">
        <v>406</v>
      </c>
      <c r="AT240" s="43" t="s">
        <v>1276</v>
      </c>
      <c r="AU240" s="44">
        <v>34</v>
      </c>
      <c r="AV240" s="31">
        <v>41513239.668160751</v>
      </c>
      <c r="AW240" s="31">
        <v>1692154.5100000005</v>
      </c>
      <c r="AX240" s="31">
        <v>628827.62999999989</v>
      </c>
      <c r="AY240" s="31">
        <v>146686.83000000002</v>
      </c>
      <c r="AZ240" s="31">
        <v>6706804.4790961975</v>
      </c>
      <c r="BA240" s="31">
        <v>3135709.8554877779</v>
      </c>
      <c r="BB240" s="31">
        <v>3512331.552809427</v>
      </c>
      <c r="BC240" s="31">
        <f t="shared" si="19"/>
        <v>58079504.70555415</v>
      </c>
      <c r="BD240" s="31">
        <v>743750.17999999993</v>
      </c>
    </row>
    <row r="241" spans="2:56">
      <c r="B241" s="42" t="s">
        <v>589</v>
      </c>
      <c r="C241" s="42" t="s">
        <v>590</v>
      </c>
      <c r="D241" s="43" t="s">
        <v>1049</v>
      </c>
      <c r="E241" s="44">
        <v>34</v>
      </c>
      <c r="F241" s="31">
        <v>28108607.672062058</v>
      </c>
      <c r="G241" s="31">
        <v>1253210.9499999997</v>
      </c>
      <c r="H241" s="31">
        <v>503584.03</v>
      </c>
      <c r="I241" s="31">
        <v>101535.32</v>
      </c>
      <c r="J241" s="31">
        <v>4164286.8609550134</v>
      </c>
      <c r="K241" s="31">
        <v>1466585.2283557919</v>
      </c>
      <c r="L241" s="31">
        <v>3499567.8401930635</v>
      </c>
      <c r="M241" s="31">
        <f t="shared" si="16"/>
        <v>39803935.151565932</v>
      </c>
      <c r="N241" s="31">
        <v>706557.25000000012</v>
      </c>
      <c r="P241" s="42" t="s">
        <v>589</v>
      </c>
      <c r="Q241" s="42" t="s">
        <v>590</v>
      </c>
      <c r="R241" s="43" t="s">
        <v>1050</v>
      </c>
      <c r="S241" s="44">
        <v>34</v>
      </c>
      <c r="T241" s="31">
        <v>30251330.07925044</v>
      </c>
      <c r="U241" s="31">
        <v>1346298.6399999997</v>
      </c>
      <c r="V241" s="31">
        <v>536271.24000000011</v>
      </c>
      <c r="W241" s="31">
        <v>108125.91</v>
      </c>
      <c r="X241" s="31">
        <v>4411345.434067742</v>
      </c>
      <c r="Y241" s="31">
        <v>1469016.3339810567</v>
      </c>
      <c r="Z241" s="31">
        <v>3750484.3686194662</v>
      </c>
      <c r="AA241" s="31">
        <f t="shared" si="17"/>
        <v>42613548.435918704</v>
      </c>
      <c r="AB241" s="31">
        <v>740676.43</v>
      </c>
      <c r="AD241" s="42" t="s">
        <v>589</v>
      </c>
      <c r="AE241" s="42" t="s">
        <v>590</v>
      </c>
      <c r="AF241" s="43" t="s">
        <v>1275</v>
      </c>
      <c r="AG241" s="44">
        <v>34</v>
      </c>
      <c r="AH241" s="31">
        <v>30794030.731873151</v>
      </c>
      <c r="AI241" s="31">
        <v>1369595.3699999996</v>
      </c>
      <c r="AJ241" s="31">
        <v>545621.03000000014</v>
      </c>
      <c r="AK241" s="31">
        <v>110011.07</v>
      </c>
      <c r="AL241" s="31">
        <v>4488830.9985964755</v>
      </c>
      <c r="AM241" s="31">
        <v>1467169.3493900097</v>
      </c>
      <c r="AN241" s="31">
        <v>3816471.9425657429</v>
      </c>
      <c r="AO241" s="31">
        <f t="shared" si="18"/>
        <v>43345496.282425381</v>
      </c>
      <c r="AP241" s="31">
        <v>753765.79</v>
      </c>
      <c r="AR241" s="42" t="s">
        <v>589</v>
      </c>
      <c r="AS241" s="42" t="s">
        <v>590</v>
      </c>
      <c r="AT241" s="43" t="s">
        <v>1276</v>
      </c>
      <c r="AU241" s="44">
        <v>34</v>
      </c>
      <c r="AV241" s="31">
        <v>31374516.673380788</v>
      </c>
      <c r="AW241" s="31">
        <v>1394546.15</v>
      </c>
      <c r="AX241" s="31">
        <v>555634.67000000004</v>
      </c>
      <c r="AY241" s="31">
        <v>112030.07</v>
      </c>
      <c r="AZ241" s="31">
        <v>4571817.6479631877</v>
      </c>
      <c r="BA241" s="31">
        <v>1467222.1203783252</v>
      </c>
      <c r="BB241" s="31">
        <v>3887142.4038826032</v>
      </c>
      <c r="BC241" s="31">
        <f t="shared" si="19"/>
        <v>44130694.225604899</v>
      </c>
      <c r="BD241" s="31">
        <v>767784.49000000011</v>
      </c>
    </row>
    <row r="242" spans="2:56">
      <c r="B242" s="42" t="s">
        <v>359</v>
      </c>
      <c r="C242" s="42" t="s">
        <v>360</v>
      </c>
      <c r="D242" s="43" t="s">
        <v>1049</v>
      </c>
      <c r="E242" s="44">
        <v>34</v>
      </c>
      <c r="F242" s="31">
        <v>2794385.5840173634</v>
      </c>
      <c r="G242" s="31">
        <v>85164.94</v>
      </c>
      <c r="H242" s="31">
        <v>0</v>
      </c>
      <c r="I242" s="31">
        <v>0</v>
      </c>
      <c r="J242" s="31">
        <v>339634.73523737455</v>
      </c>
      <c r="K242" s="31">
        <v>367129.02046780358</v>
      </c>
      <c r="L242" s="31">
        <v>160532.68136006183</v>
      </c>
      <c r="M242" s="31">
        <f t="shared" si="16"/>
        <v>3796542.7510826034</v>
      </c>
      <c r="N242" s="31">
        <v>49695.79</v>
      </c>
      <c r="P242" s="42" t="s">
        <v>359</v>
      </c>
      <c r="Q242" s="42" t="s">
        <v>360</v>
      </c>
      <c r="R242" s="43" t="s">
        <v>1050</v>
      </c>
      <c r="S242" s="44">
        <v>34</v>
      </c>
      <c r="T242" s="31">
        <v>2992264.9254666683</v>
      </c>
      <c r="U242" s="31">
        <v>91518.859999999986</v>
      </c>
      <c r="V242" s="31">
        <v>0</v>
      </c>
      <c r="W242" s="31">
        <v>0</v>
      </c>
      <c r="X242" s="31">
        <v>359779.6550588698</v>
      </c>
      <c r="Y242" s="31">
        <v>367983.92952311435</v>
      </c>
      <c r="Z242" s="31">
        <v>171956.88003119064</v>
      </c>
      <c r="AA242" s="31">
        <f t="shared" si="17"/>
        <v>4035599.8100798433</v>
      </c>
      <c r="AB242" s="31">
        <v>52095.56</v>
      </c>
      <c r="AD242" s="42" t="s">
        <v>359</v>
      </c>
      <c r="AE242" s="42" t="s">
        <v>360</v>
      </c>
      <c r="AF242" s="43" t="s">
        <v>1275</v>
      </c>
      <c r="AG242" s="44">
        <v>34</v>
      </c>
      <c r="AH242" s="31">
        <v>3044791.4463582467</v>
      </c>
      <c r="AI242" s="31">
        <v>93102.12000000001</v>
      </c>
      <c r="AJ242" s="31">
        <v>0</v>
      </c>
      <c r="AK242" s="31">
        <v>0</v>
      </c>
      <c r="AL242" s="31">
        <v>366097.31516295334</v>
      </c>
      <c r="AM242" s="31">
        <v>367334.42921531358</v>
      </c>
      <c r="AN242" s="31">
        <v>174982.31865505129</v>
      </c>
      <c r="AO242" s="31">
        <f t="shared" si="18"/>
        <v>4099323.8293915652</v>
      </c>
      <c r="AP242" s="31">
        <v>53016.2</v>
      </c>
      <c r="AR242" s="42" t="s">
        <v>359</v>
      </c>
      <c r="AS242" s="42" t="s">
        <v>360</v>
      </c>
      <c r="AT242" s="43" t="s">
        <v>1276</v>
      </c>
      <c r="AU242" s="44">
        <v>34</v>
      </c>
      <c r="AV242" s="31">
        <v>3101025.3553480441</v>
      </c>
      <c r="AW242" s="31">
        <v>94797.78</v>
      </c>
      <c r="AX242" s="31">
        <v>0</v>
      </c>
      <c r="AY242" s="31">
        <v>0</v>
      </c>
      <c r="AZ242" s="31">
        <v>372863.48563921562</v>
      </c>
      <c r="BA242" s="31">
        <v>367352.98636696499</v>
      </c>
      <c r="BB242" s="31">
        <v>178222.46120160597</v>
      </c>
      <c r="BC242" s="31">
        <f t="shared" si="19"/>
        <v>4168264.27855583</v>
      </c>
      <c r="BD242" s="31">
        <v>54002.209999999992</v>
      </c>
    </row>
    <row r="243" spans="2:56">
      <c r="B243" s="42" t="s">
        <v>47</v>
      </c>
      <c r="C243" s="42" t="s">
        <v>48</v>
      </c>
      <c r="D243" s="43" t="s">
        <v>1049</v>
      </c>
      <c r="E243" s="44">
        <v>34</v>
      </c>
      <c r="F243" s="31">
        <v>20965881.816185206</v>
      </c>
      <c r="G243" s="31">
        <v>742324.72999999986</v>
      </c>
      <c r="H243" s="31">
        <v>78900.87</v>
      </c>
      <c r="I243" s="31">
        <v>75309.789999999994</v>
      </c>
      <c r="J243" s="31">
        <v>3468020.9466406424</v>
      </c>
      <c r="K243" s="31">
        <v>1313146.1157302801</v>
      </c>
      <c r="L243" s="31">
        <v>2078332.1431228213</v>
      </c>
      <c r="M243" s="31">
        <f t="shared" si="16"/>
        <v>28721916.411678948</v>
      </c>
      <c r="N243" s="31">
        <v>0</v>
      </c>
      <c r="P243" s="42" t="s">
        <v>47</v>
      </c>
      <c r="Q243" s="42" t="s">
        <v>48</v>
      </c>
      <c r="R243" s="43" t="s">
        <v>1050</v>
      </c>
      <c r="S243" s="44">
        <v>34</v>
      </c>
      <c r="T243" s="31">
        <v>22326060.781525653</v>
      </c>
      <c r="U243" s="31">
        <v>790214.84</v>
      </c>
      <c r="V243" s="31">
        <v>83991.05</v>
      </c>
      <c r="W243" s="31">
        <v>80168.299999999988</v>
      </c>
      <c r="X243" s="31">
        <v>3673410.6805865373</v>
      </c>
      <c r="Y243" s="31">
        <v>1315390.0608106263</v>
      </c>
      <c r="Z243" s="31">
        <v>2205660.5670685023</v>
      </c>
      <c r="AA243" s="31">
        <f t="shared" si="17"/>
        <v>30474896.279991321</v>
      </c>
      <c r="AB243" s="31">
        <v>0</v>
      </c>
      <c r="AD243" s="42" t="s">
        <v>47</v>
      </c>
      <c r="AE243" s="42" t="s">
        <v>48</v>
      </c>
      <c r="AF243" s="43" t="s">
        <v>1275</v>
      </c>
      <c r="AG243" s="44">
        <v>34</v>
      </c>
      <c r="AH243" s="31">
        <v>22741931.573425576</v>
      </c>
      <c r="AI243" s="31">
        <v>804089.57</v>
      </c>
      <c r="AJ243" s="31">
        <v>85465.79</v>
      </c>
      <c r="AK243" s="31">
        <v>81575.91</v>
      </c>
      <c r="AL243" s="31">
        <v>3738295.1286264174</v>
      </c>
      <c r="AM243" s="31">
        <v>1313666.5598079315</v>
      </c>
      <c r="AN243" s="31">
        <v>2244673.1424632263</v>
      </c>
      <c r="AO243" s="31">
        <f t="shared" si="18"/>
        <v>31009697.674323149</v>
      </c>
      <c r="AP243" s="31">
        <v>0</v>
      </c>
      <c r="AR243" s="42" t="s">
        <v>47</v>
      </c>
      <c r="AS243" s="42" t="s">
        <v>48</v>
      </c>
      <c r="AT243" s="43" t="s">
        <v>1276</v>
      </c>
      <c r="AU243" s="44">
        <v>34</v>
      </c>
      <c r="AV243" s="31">
        <v>23185896.025107324</v>
      </c>
      <c r="AW243" s="31">
        <v>818949.39999999991</v>
      </c>
      <c r="AX243" s="31">
        <v>87045.219999999987</v>
      </c>
      <c r="AY243" s="31">
        <v>83083.45</v>
      </c>
      <c r="AZ243" s="31">
        <v>3807786.1576729645</v>
      </c>
      <c r="BA243" s="31">
        <v>1313715.802693723</v>
      </c>
      <c r="BB243" s="31">
        <v>2286454.340380576</v>
      </c>
      <c r="BC243" s="31">
        <f t="shared" si="19"/>
        <v>31582930.395854585</v>
      </c>
      <c r="BD243" s="31">
        <v>0</v>
      </c>
    </row>
    <row r="244" spans="2:56">
      <c r="B244" s="42" t="s">
        <v>393</v>
      </c>
      <c r="C244" s="42" t="s">
        <v>394</v>
      </c>
      <c r="D244" s="43" t="s">
        <v>1049</v>
      </c>
      <c r="E244" s="44">
        <v>34</v>
      </c>
      <c r="F244" s="31">
        <v>385656.21220553294</v>
      </c>
      <c r="G244" s="31">
        <v>0</v>
      </c>
      <c r="H244" s="31">
        <v>0</v>
      </c>
      <c r="I244" s="31">
        <v>0</v>
      </c>
      <c r="J244" s="31">
        <v>0</v>
      </c>
      <c r="K244" s="31">
        <v>0</v>
      </c>
      <c r="L244" s="31">
        <v>0</v>
      </c>
      <c r="M244" s="31">
        <f t="shared" si="16"/>
        <v>385656.21220553294</v>
      </c>
      <c r="N244" s="31">
        <v>0</v>
      </c>
      <c r="P244" s="42" t="s">
        <v>393</v>
      </c>
      <c r="Q244" s="42" t="s">
        <v>394</v>
      </c>
      <c r="R244" s="43" t="s">
        <v>1050</v>
      </c>
      <c r="S244" s="44">
        <v>34</v>
      </c>
      <c r="T244" s="31">
        <v>408790.94476371934</v>
      </c>
      <c r="U244" s="31">
        <v>0</v>
      </c>
      <c r="V244" s="31">
        <v>0</v>
      </c>
      <c r="W244" s="31">
        <v>0</v>
      </c>
      <c r="X244" s="31">
        <v>0</v>
      </c>
      <c r="Y244" s="31">
        <v>0</v>
      </c>
      <c r="Z244" s="31">
        <v>0</v>
      </c>
      <c r="AA244" s="31">
        <f t="shared" si="17"/>
        <v>408790.94476371934</v>
      </c>
      <c r="AB244" s="31">
        <v>0</v>
      </c>
      <c r="AD244" s="42" t="s">
        <v>393</v>
      </c>
      <c r="AE244" s="42" t="s">
        <v>394</v>
      </c>
      <c r="AF244" s="43" t="s">
        <v>1275</v>
      </c>
      <c r="AG244" s="44">
        <v>34</v>
      </c>
      <c r="AH244" s="31">
        <v>415962.53778966959</v>
      </c>
      <c r="AI244" s="31">
        <v>0</v>
      </c>
      <c r="AJ244" s="31">
        <v>0</v>
      </c>
      <c r="AK244" s="31">
        <v>0</v>
      </c>
      <c r="AL244" s="31">
        <v>0</v>
      </c>
      <c r="AM244" s="31">
        <v>0</v>
      </c>
      <c r="AN244" s="31">
        <v>0</v>
      </c>
      <c r="AO244" s="31">
        <f t="shared" si="18"/>
        <v>415962.53778966959</v>
      </c>
      <c r="AP244" s="31">
        <v>0</v>
      </c>
      <c r="AR244" s="42" t="s">
        <v>393</v>
      </c>
      <c r="AS244" s="42" t="s">
        <v>394</v>
      </c>
      <c r="AT244" s="43" t="s">
        <v>1276</v>
      </c>
      <c r="AU244" s="44">
        <v>34</v>
      </c>
      <c r="AV244" s="31">
        <v>423644.07653686206</v>
      </c>
      <c r="AW244" s="31">
        <v>0</v>
      </c>
      <c r="AX244" s="31">
        <v>0</v>
      </c>
      <c r="AY244" s="31">
        <v>0</v>
      </c>
      <c r="AZ244" s="31">
        <v>0</v>
      </c>
      <c r="BA244" s="31">
        <v>0</v>
      </c>
      <c r="BB244" s="31">
        <v>0</v>
      </c>
      <c r="BC244" s="31">
        <f t="shared" si="19"/>
        <v>423644.07653686206</v>
      </c>
      <c r="BD244" s="31">
        <v>0</v>
      </c>
    </row>
    <row r="245" spans="2:56">
      <c r="B245" s="42" t="s">
        <v>317</v>
      </c>
      <c r="C245" s="42" t="s">
        <v>318</v>
      </c>
      <c r="D245" s="43" t="s">
        <v>1049</v>
      </c>
      <c r="E245" s="44">
        <v>34</v>
      </c>
      <c r="F245" s="31">
        <v>30583704.594515305</v>
      </c>
      <c r="G245" s="31">
        <v>1795090.0099999998</v>
      </c>
      <c r="H245" s="31">
        <v>1329118.8400000001</v>
      </c>
      <c r="I245" s="31">
        <v>120049.43999999999</v>
      </c>
      <c r="J245" s="31">
        <v>5465182.0350810001</v>
      </c>
      <c r="K245" s="31">
        <v>3080770.5080781579</v>
      </c>
      <c r="L245" s="31">
        <v>7001494.2626352645</v>
      </c>
      <c r="M245" s="31">
        <f t="shared" si="16"/>
        <v>50606501.140309736</v>
      </c>
      <c r="N245" s="31">
        <v>1231091.4500000002</v>
      </c>
      <c r="P245" s="42" t="s">
        <v>317</v>
      </c>
      <c r="Q245" s="42" t="s">
        <v>318</v>
      </c>
      <c r="R245" s="43" t="s">
        <v>1050</v>
      </c>
      <c r="S245" s="44">
        <v>34</v>
      </c>
      <c r="T245" s="31">
        <v>32886224.249179423</v>
      </c>
      <c r="U245" s="31">
        <v>1932068.2499999998</v>
      </c>
      <c r="V245" s="31">
        <v>1415390.81</v>
      </c>
      <c r="W245" s="31">
        <v>127841.75</v>
      </c>
      <c r="X245" s="31">
        <v>5789475.651710202</v>
      </c>
      <c r="Y245" s="31">
        <v>3088633.7069353103</v>
      </c>
      <c r="Z245" s="31">
        <v>7503327.0748796742</v>
      </c>
      <c r="AA245" s="31">
        <f t="shared" si="17"/>
        <v>54033501.532704614</v>
      </c>
      <c r="AB245" s="31">
        <v>1290540.0399999998</v>
      </c>
      <c r="AD245" s="42" t="s">
        <v>317</v>
      </c>
      <c r="AE245" s="42" t="s">
        <v>318</v>
      </c>
      <c r="AF245" s="43" t="s">
        <v>1275</v>
      </c>
      <c r="AG245" s="44">
        <v>34</v>
      </c>
      <c r="AH245" s="31">
        <v>33483086.536593825</v>
      </c>
      <c r="AI245" s="31">
        <v>1965447.27</v>
      </c>
      <c r="AJ245" s="31">
        <v>1440067.92</v>
      </c>
      <c r="AK245" s="31">
        <v>130070.65000000001</v>
      </c>
      <c r="AL245" s="31">
        <v>5891204.2857270166</v>
      </c>
      <c r="AM245" s="31">
        <v>3082659.7965570157</v>
      </c>
      <c r="AN245" s="31">
        <v>7635343.4434282556</v>
      </c>
      <c r="AO245" s="31">
        <f t="shared" si="18"/>
        <v>54941226.582306117</v>
      </c>
      <c r="AP245" s="31">
        <v>1313346.6799999997</v>
      </c>
      <c r="AR245" s="42" t="s">
        <v>317</v>
      </c>
      <c r="AS245" s="42" t="s">
        <v>318</v>
      </c>
      <c r="AT245" s="43" t="s">
        <v>1276</v>
      </c>
      <c r="AU245" s="44">
        <v>34</v>
      </c>
      <c r="AV245" s="31">
        <v>34121063.37848112</v>
      </c>
      <c r="AW245" s="31">
        <v>2001196.1999999997</v>
      </c>
      <c r="AX245" s="31">
        <v>1466497.1099999999</v>
      </c>
      <c r="AY245" s="31">
        <v>132457.78999999998</v>
      </c>
      <c r="AZ245" s="31">
        <v>6000155.3896270422</v>
      </c>
      <c r="BA245" s="31">
        <v>3082830.4797106818</v>
      </c>
      <c r="BB245" s="31">
        <v>7776728.5121959858</v>
      </c>
      <c r="BC245" s="31">
        <f t="shared" si="19"/>
        <v>55918701.460014828</v>
      </c>
      <c r="BD245" s="31">
        <v>1337772.6000000001</v>
      </c>
    </row>
    <row r="246" spans="2:56">
      <c r="B246" s="42" t="s">
        <v>213</v>
      </c>
      <c r="C246" s="42" t="s">
        <v>214</v>
      </c>
      <c r="D246" s="43" t="s">
        <v>1049</v>
      </c>
      <c r="E246" s="44">
        <v>34</v>
      </c>
      <c r="F246" s="31">
        <v>85181361.258341745</v>
      </c>
      <c r="G246" s="31">
        <v>1782995.13</v>
      </c>
      <c r="H246" s="31">
        <v>1555205.55</v>
      </c>
      <c r="I246" s="31">
        <v>300012.73999999993</v>
      </c>
      <c r="J246" s="31">
        <v>11196260.081652844</v>
      </c>
      <c r="K246" s="31">
        <v>4175241.9513095766</v>
      </c>
      <c r="L246" s="31">
        <v>4482145.2827807777</v>
      </c>
      <c r="M246" s="31">
        <f t="shared" si="16"/>
        <v>108673221.99408494</v>
      </c>
      <c r="N246" s="31">
        <v>0</v>
      </c>
      <c r="P246" s="42" t="s">
        <v>213</v>
      </c>
      <c r="Q246" s="42" t="s">
        <v>214</v>
      </c>
      <c r="R246" s="43" t="s">
        <v>1050</v>
      </c>
      <c r="S246" s="44">
        <v>34</v>
      </c>
      <c r="T246" s="31">
        <v>89502501.060179725</v>
      </c>
      <c r="U246" s="31">
        <v>1868351.8399999999</v>
      </c>
      <c r="V246" s="31">
        <v>1629657.34</v>
      </c>
      <c r="W246" s="31">
        <v>314375.15000000008</v>
      </c>
      <c r="X246" s="31">
        <v>11707156.392878586</v>
      </c>
      <c r="Y246" s="31">
        <v>4184447.0407387428</v>
      </c>
      <c r="Z246" s="31">
        <v>4695893.8363514654</v>
      </c>
      <c r="AA246" s="31">
        <f t="shared" si="17"/>
        <v>113902382.66014855</v>
      </c>
      <c r="AB246" s="31">
        <v>0</v>
      </c>
      <c r="AD246" s="42" t="s">
        <v>213</v>
      </c>
      <c r="AE246" s="42" t="s">
        <v>214</v>
      </c>
      <c r="AF246" s="43" t="s">
        <v>1275</v>
      </c>
      <c r="AG246" s="44">
        <v>34</v>
      </c>
      <c r="AH246" s="31">
        <v>91120442.354907289</v>
      </c>
      <c r="AI246" s="31">
        <v>1901554.74</v>
      </c>
      <c r="AJ246" s="31">
        <v>1658618.35</v>
      </c>
      <c r="AK246" s="31">
        <v>319961.97000000003</v>
      </c>
      <c r="AL246" s="31">
        <v>11915855.308820173</v>
      </c>
      <c r="AM246" s="31">
        <v>4177226.6095574931</v>
      </c>
      <c r="AN246" s="31">
        <v>4779711.9766888414</v>
      </c>
      <c r="AO246" s="31">
        <f t="shared" si="18"/>
        <v>115873371.30997379</v>
      </c>
      <c r="AP246" s="31">
        <v>0</v>
      </c>
      <c r="AR246" s="42" t="s">
        <v>213</v>
      </c>
      <c r="AS246" s="42" t="s">
        <v>214</v>
      </c>
      <c r="AT246" s="43" t="s">
        <v>1276</v>
      </c>
      <c r="AU246" s="44">
        <v>34</v>
      </c>
      <c r="AV246" s="31">
        <v>92851666.408781305</v>
      </c>
      <c r="AW246" s="31">
        <v>1937115.07</v>
      </c>
      <c r="AX246" s="31">
        <v>1689635.5999999999</v>
      </c>
      <c r="AY246" s="31">
        <v>325945.48000000004</v>
      </c>
      <c r="AZ246" s="31">
        <v>12139370.996795073</v>
      </c>
      <c r="BA246" s="31">
        <v>4177432.9075912433</v>
      </c>
      <c r="BB246" s="31">
        <v>4869478.7043455699</v>
      </c>
      <c r="BC246" s="31">
        <f t="shared" si="19"/>
        <v>117990645.16751318</v>
      </c>
      <c r="BD246" s="31">
        <v>0</v>
      </c>
    </row>
    <row r="247" spans="2:56">
      <c r="B247" s="42" t="s">
        <v>415</v>
      </c>
      <c r="C247" s="42" t="s">
        <v>416</v>
      </c>
      <c r="D247" s="43" t="s">
        <v>1049</v>
      </c>
      <c r="E247" s="44">
        <v>34</v>
      </c>
      <c r="F247" s="31">
        <v>700207.42173518077</v>
      </c>
      <c r="G247" s="31">
        <v>26894.190000000002</v>
      </c>
      <c r="H247" s="31">
        <v>0</v>
      </c>
      <c r="I247" s="31">
        <v>0</v>
      </c>
      <c r="J247" s="31">
        <v>86245.725569289018</v>
      </c>
      <c r="K247" s="31">
        <v>86595.467739883927</v>
      </c>
      <c r="L247" s="31">
        <v>0</v>
      </c>
      <c r="M247" s="31">
        <f t="shared" si="16"/>
        <v>919918.57504435373</v>
      </c>
      <c r="N247" s="31">
        <v>19975.769999999997</v>
      </c>
      <c r="P247" s="42" t="s">
        <v>415</v>
      </c>
      <c r="Q247" s="42" t="s">
        <v>416</v>
      </c>
      <c r="R247" s="43" t="s">
        <v>1050</v>
      </c>
      <c r="S247" s="44">
        <v>34</v>
      </c>
      <c r="T247" s="31">
        <v>753630.3318016578</v>
      </c>
      <c r="U247" s="31">
        <v>28971.86</v>
      </c>
      <c r="V247" s="31">
        <v>0</v>
      </c>
      <c r="W247" s="31">
        <v>0</v>
      </c>
      <c r="X247" s="31">
        <v>91348.713849279127</v>
      </c>
      <c r="Y247" s="31">
        <v>86656.262068640164</v>
      </c>
      <c r="Z247" s="31">
        <v>0</v>
      </c>
      <c r="AA247" s="31">
        <f t="shared" si="17"/>
        <v>981547.5577195771</v>
      </c>
      <c r="AB247" s="31">
        <v>20940.39</v>
      </c>
      <c r="AD247" s="42" t="s">
        <v>415</v>
      </c>
      <c r="AE247" s="42" t="s">
        <v>416</v>
      </c>
      <c r="AF247" s="43" t="s">
        <v>1275</v>
      </c>
      <c r="AG247" s="44">
        <v>34</v>
      </c>
      <c r="AH247" s="31">
        <v>766795.15870466805</v>
      </c>
      <c r="AI247" s="31">
        <v>29472.010000000006</v>
      </c>
      <c r="AJ247" s="31">
        <v>0</v>
      </c>
      <c r="AK247" s="31">
        <v>0</v>
      </c>
      <c r="AL247" s="31">
        <v>92950.364902137255</v>
      </c>
      <c r="AM247" s="31">
        <v>86610.074775390167</v>
      </c>
      <c r="AN247" s="31">
        <v>0</v>
      </c>
      <c r="AO247" s="31">
        <f t="shared" si="18"/>
        <v>997138.04838219553</v>
      </c>
      <c r="AP247" s="31">
        <v>21310.44</v>
      </c>
      <c r="AR247" s="42" t="s">
        <v>415</v>
      </c>
      <c r="AS247" s="42" t="s">
        <v>416</v>
      </c>
      <c r="AT247" s="43" t="s">
        <v>1276</v>
      </c>
      <c r="AU247" s="44">
        <v>34</v>
      </c>
      <c r="AV247" s="31">
        <v>780894.82808129175</v>
      </c>
      <c r="AW247" s="31">
        <v>30007.670000000006</v>
      </c>
      <c r="AX247" s="31">
        <v>0</v>
      </c>
      <c r="AY247" s="31">
        <v>0</v>
      </c>
      <c r="AZ247" s="31">
        <v>94665.712039664155</v>
      </c>
      <c r="BA247" s="31">
        <v>86611.39441234016</v>
      </c>
      <c r="BB247" s="31">
        <v>0</v>
      </c>
      <c r="BC247" s="31">
        <f t="shared" si="19"/>
        <v>1013886.3845332961</v>
      </c>
      <c r="BD247" s="31">
        <v>21706.78</v>
      </c>
    </row>
    <row r="248" spans="2:56">
      <c r="B248" s="42" t="s">
        <v>197</v>
      </c>
      <c r="C248" s="42" t="s">
        <v>198</v>
      </c>
      <c r="D248" s="43" t="s">
        <v>1049</v>
      </c>
      <c r="E248" s="44">
        <v>34</v>
      </c>
      <c r="F248" s="31">
        <v>2142717.5319007295</v>
      </c>
      <c r="G248" s="31">
        <v>22922.82</v>
      </c>
      <c r="H248" s="31">
        <v>0</v>
      </c>
      <c r="I248" s="31">
        <v>0</v>
      </c>
      <c r="J248" s="31">
        <v>56634.450937427348</v>
      </c>
      <c r="K248" s="31">
        <v>51376.613673667569</v>
      </c>
      <c r="L248" s="31">
        <v>0</v>
      </c>
      <c r="M248" s="31">
        <f t="shared" si="16"/>
        <v>2286185.5465118242</v>
      </c>
      <c r="N248" s="31">
        <v>12534.130000000003</v>
      </c>
      <c r="P248" s="42" t="s">
        <v>197</v>
      </c>
      <c r="Q248" s="42" t="s">
        <v>198</v>
      </c>
      <c r="R248" s="43" t="s">
        <v>1050</v>
      </c>
      <c r="S248" s="44">
        <v>34</v>
      </c>
      <c r="T248" s="31">
        <v>2273725.1082580322</v>
      </c>
      <c r="U248" s="31">
        <v>24569.77</v>
      </c>
      <c r="V248" s="31">
        <v>0</v>
      </c>
      <c r="W248" s="31">
        <v>0</v>
      </c>
      <c r="X248" s="31">
        <v>59976.824114112693</v>
      </c>
      <c r="Y248" s="31">
        <v>51446.070844938273</v>
      </c>
      <c r="Z248" s="31">
        <v>0</v>
      </c>
      <c r="AA248" s="31">
        <f t="shared" si="17"/>
        <v>2422868.2232170831</v>
      </c>
      <c r="AB248" s="31">
        <v>13150.45</v>
      </c>
      <c r="AD248" s="42" t="s">
        <v>197</v>
      </c>
      <c r="AE248" s="42" t="s">
        <v>198</v>
      </c>
      <c r="AF248" s="43" t="s">
        <v>1275</v>
      </c>
      <c r="AG248" s="44">
        <v>34</v>
      </c>
      <c r="AH248" s="31">
        <v>2313742.4135402744</v>
      </c>
      <c r="AI248" s="31">
        <v>25003.660000000003</v>
      </c>
      <c r="AJ248" s="31">
        <v>0</v>
      </c>
      <c r="AK248" s="31">
        <v>0</v>
      </c>
      <c r="AL248" s="31">
        <v>61046.055850196273</v>
      </c>
      <c r="AM248" s="31">
        <v>51391.677754968419</v>
      </c>
      <c r="AN248" s="31">
        <v>0</v>
      </c>
      <c r="AO248" s="31">
        <f t="shared" si="18"/>
        <v>2464570.6971454392</v>
      </c>
      <c r="AP248" s="31">
        <v>13386.890000000001</v>
      </c>
      <c r="AR248" s="42" t="s">
        <v>197</v>
      </c>
      <c r="AS248" s="42" t="s">
        <v>198</v>
      </c>
      <c r="AT248" s="43" t="s">
        <v>1276</v>
      </c>
      <c r="AU248" s="44">
        <v>34</v>
      </c>
      <c r="AV248" s="31">
        <v>2356600.7070449935</v>
      </c>
      <c r="AW248" s="31">
        <v>25468.34</v>
      </c>
      <c r="AX248" s="31">
        <v>0</v>
      </c>
      <c r="AY248" s="31">
        <v>0</v>
      </c>
      <c r="AZ248" s="31">
        <v>62191.198778726495</v>
      </c>
      <c r="BA248" s="31">
        <v>51393.231843253277</v>
      </c>
      <c r="BB248" s="31">
        <v>0</v>
      </c>
      <c r="BC248" s="31">
        <f t="shared" si="19"/>
        <v>2509293.607666973</v>
      </c>
      <c r="BD248" s="31">
        <v>13640.130000000001</v>
      </c>
    </row>
    <row r="249" spans="2:56">
      <c r="B249" s="42" t="s">
        <v>439</v>
      </c>
      <c r="C249" s="42" t="s">
        <v>440</v>
      </c>
      <c r="D249" s="43" t="s">
        <v>1049</v>
      </c>
      <c r="E249" s="44">
        <v>34</v>
      </c>
      <c r="F249" s="31">
        <v>85855845.537386566</v>
      </c>
      <c r="G249" s="31">
        <v>1310678.54</v>
      </c>
      <c r="H249" s="31">
        <v>732549.27</v>
      </c>
      <c r="I249" s="31">
        <v>305400.81999999995</v>
      </c>
      <c r="J249" s="31">
        <v>12091594.498744344</v>
      </c>
      <c r="K249" s="31">
        <v>5933475.7636761786</v>
      </c>
      <c r="L249" s="31">
        <v>5455262.0614047665</v>
      </c>
      <c r="M249" s="31">
        <f t="shared" si="16"/>
        <v>111684806.49121185</v>
      </c>
      <c r="N249" s="31">
        <v>0</v>
      </c>
      <c r="P249" s="42" t="s">
        <v>439</v>
      </c>
      <c r="Q249" s="42" t="s">
        <v>440</v>
      </c>
      <c r="R249" s="43" t="s">
        <v>1050</v>
      </c>
      <c r="S249" s="44">
        <v>34</v>
      </c>
      <c r="T249" s="31">
        <v>90228312.101387903</v>
      </c>
      <c r="U249" s="31">
        <v>1373424.1800000002</v>
      </c>
      <c r="V249" s="31">
        <v>767618.34</v>
      </c>
      <c r="W249" s="31">
        <v>320021.17</v>
      </c>
      <c r="X249" s="31">
        <v>12643464.102543332</v>
      </c>
      <c r="Y249" s="31">
        <v>5943909.5185179422</v>
      </c>
      <c r="Z249" s="31">
        <v>5715417.1397524215</v>
      </c>
      <c r="AA249" s="31">
        <f t="shared" si="17"/>
        <v>116992166.5522016</v>
      </c>
      <c r="AB249" s="31">
        <v>0</v>
      </c>
      <c r="AD249" s="42" t="s">
        <v>439</v>
      </c>
      <c r="AE249" s="42" t="s">
        <v>440</v>
      </c>
      <c r="AF249" s="43" t="s">
        <v>1275</v>
      </c>
      <c r="AG249" s="44">
        <v>34</v>
      </c>
      <c r="AH249" s="31">
        <v>91866729.243705928</v>
      </c>
      <c r="AI249" s="31">
        <v>1397831.63</v>
      </c>
      <c r="AJ249" s="31">
        <v>781259.86</v>
      </c>
      <c r="AK249" s="31">
        <v>325708.34000000003</v>
      </c>
      <c r="AL249" s="31">
        <v>12868871.435462534</v>
      </c>
      <c r="AM249" s="31">
        <v>5935725.3276551915</v>
      </c>
      <c r="AN249" s="31">
        <v>5817433.2731560161</v>
      </c>
      <c r="AO249" s="31">
        <f t="shared" si="18"/>
        <v>118993559.10997967</v>
      </c>
      <c r="AP249" s="31">
        <v>0</v>
      </c>
      <c r="AR249" s="42" t="s">
        <v>439</v>
      </c>
      <c r="AS249" s="42" t="s">
        <v>440</v>
      </c>
      <c r="AT249" s="43" t="s">
        <v>1276</v>
      </c>
      <c r="AU249" s="44">
        <v>34</v>
      </c>
      <c r="AV249" s="31">
        <v>93619380.311933592</v>
      </c>
      <c r="AW249" s="31">
        <v>1423971.9900000002</v>
      </c>
      <c r="AX249" s="31">
        <v>795869.94000000006</v>
      </c>
      <c r="AY249" s="31">
        <v>331799.28999999998</v>
      </c>
      <c r="AZ249" s="31">
        <v>13110281.92797423</v>
      </c>
      <c r="BA249" s="31">
        <v>5935959.1616798416</v>
      </c>
      <c r="BB249" s="31">
        <v>5926689.5085926652</v>
      </c>
      <c r="BC249" s="31">
        <f t="shared" si="19"/>
        <v>121143952.13018033</v>
      </c>
      <c r="BD249" s="31">
        <v>0</v>
      </c>
    </row>
    <row r="250" spans="2:56">
      <c r="B250" s="42" t="s">
        <v>209</v>
      </c>
      <c r="C250" s="42" t="s">
        <v>210</v>
      </c>
      <c r="D250" s="43" t="s">
        <v>1049</v>
      </c>
      <c r="E250" s="44">
        <v>34</v>
      </c>
      <c r="F250" s="31">
        <v>64863921.017356321</v>
      </c>
      <c r="G250" s="31">
        <v>542468.77</v>
      </c>
      <c r="H250" s="31">
        <v>498542.79</v>
      </c>
      <c r="I250" s="31">
        <v>230696.01999999996</v>
      </c>
      <c r="J250" s="31">
        <v>7205361.7576231575</v>
      </c>
      <c r="K250" s="31">
        <v>3799938.7519027176</v>
      </c>
      <c r="L250" s="31">
        <v>4505042.7153187245</v>
      </c>
      <c r="M250" s="31">
        <f t="shared" si="16"/>
        <v>81645971.822200924</v>
      </c>
      <c r="N250" s="31">
        <v>0</v>
      </c>
      <c r="P250" s="42" t="s">
        <v>209</v>
      </c>
      <c r="Q250" s="42" t="s">
        <v>210</v>
      </c>
      <c r="R250" s="43" t="s">
        <v>1050</v>
      </c>
      <c r="S250" s="44">
        <v>34</v>
      </c>
      <c r="T250" s="31">
        <v>69014817.771096602</v>
      </c>
      <c r="U250" s="31">
        <v>577095.22</v>
      </c>
      <c r="V250" s="31">
        <v>530365.41</v>
      </c>
      <c r="W250" s="31">
        <v>245421.62999999998</v>
      </c>
      <c r="X250" s="31">
        <v>7630496.3391891047</v>
      </c>
      <c r="Y250" s="31">
        <v>3809096.4710160675</v>
      </c>
      <c r="Z250" s="31">
        <v>4779426.8183434764</v>
      </c>
      <c r="AA250" s="31">
        <f t="shared" si="17"/>
        <v>86586719.65964523</v>
      </c>
      <c r="AB250" s="31">
        <v>0</v>
      </c>
      <c r="AD250" s="42" t="s">
        <v>209</v>
      </c>
      <c r="AE250" s="42" t="s">
        <v>210</v>
      </c>
      <c r="AF250" s="43" t="s">
        <v>1275</v>
      </c>
      <c r="AG250" s="44">
        <v>34</v>
      </c>
      <c r="AH250" s="31">
        <v>70281221.654568613</v>
      </c>
      <c r="AI250" s="31">
        <v>587350.91</v>
      </c>
      <c r="AJ250" s="31">
        <v>539790.66</v>
      </c>
      <c r="AK250" s="31">
        <v>249783.07</v>
      </c>
      <c r="AL250" s="31">
        <v>7766516.4920247504</v>
      </c>
      <c r="AM250" s="31">
        <v>3801924.9057113179</v>
      </c>
      <c r="AN250" s="31">
        <v>4864735.9414140657</v>
      </c>
      <c r="AO250" s="31">
        <f t="shared" si="18"/>
        <v>88091323.633718729</v>
      </c>
      <c r="AP250" s="31">
        <v>0</v>
      </c>
      <c r="AR250" s="42" t="s">
        <v>209</v>
      </c>
      <c r="AS250" s="42" t="s">
        <v>210</v>
      </c>
      <c r="AT250" s="43" t="s">
        <v>1276</v>
      </c>
      <c r="AU250" s="44">
        <v>34</v>
      </c>
      <c r="AV250" s="31">
        <v>71635024.787877336</v>
      </c>
      <c r="AW250" s="31">
        <v>598334.7699999999</v>
      </c>
      <c r="AX250" s="31">
        <v>549885.09000000008</v>
      </c>
      <c r="AY250" s="31">
        <v>254454.17</v>
      </c>
      <c r="AZ250" s="31">
        <v>7912193.4897746369</v>
      </c>
      <c r="BA250" s="31">
        <v>3802129.8075771676</v>
      </c>
      <c r="BB250" s="31">
        <v>4956099.4672036674</v>
      </c>
      <c r="BC250" s="31">
        <f t="shared" si="19"/>
        <v>89708121.582432792</v>
      </c>
      <c r="BD250" s="31">
        <v>0</v>
      </c>
    </row>
    <row r="251" spans="2:56">
      <c r="B251" s="42" t="s">
        <v>129</v>
      </c>
      <c r="C251" s="42" t="s">
        <v>130</v>
      </c>
      <c r="D251" s="43" t="s">
        <v>1049</v>
      </c>
      <c r="E251" s="44">
        <v>34</v>
      </c>
      <c r="F251" s="31">
        <v>4959821.2148148557</v>
      </c>
      <c r="G251" s="31">
        <v>274398.70999999996</v>
      </c>
      <c r="H251" s="31">
        <v>156298.14000000001</v>
      </c>
      <c r="I251" s="31">
        <v>15493.390000000001</v>
      </c>
      <c r="J251" s="31">
        <v>691724.8891853739</v>
      </c>
      <c r="K251" s="31">
        <v>359194.44337709708</v>
      </c>
      <c r="L251" s="31">
        <v>246344.5105411355</v>
      </c>
      <c r="M251" s="31">
        <f t="shared" si="16"/>
        <v>6861327.4179184614</v>
      </c>
      <c r="N251" s="31">
        <v>158052.12000000002</v>
      </c>
      <c r="P251" s="42" t="s">
        <v>129</v>
      </c>
      <c r="Q251" s="42" t="s">
        <v>130</v>
      </c>
      <c r="R251" s="43" t="s">
        <v>1050</v>
      </c>
      <c r="S251" s="44">
        <v>34</v>
      </c>
      <c r="T251" s="31">
        <v>5327022.7313280506</v>
      </c>
      <c r="U251" s="31">
        <v>294836.5</v>
      </c>
      <c r="V251" s="31">
        <v>166443.32999999999</v>
      </c>
      <c r="W251" s="31">
        <v>16499.07</v>
      </c>
      <c r="X251" s="31">
        <v>732760.59628473897</v>
      </c>
      <c r="Y251" s="31">
        <v>359925.00526625657</v>
      </c>
      <c r="Z251" s="31">
        <v>263953.32762926532</v>
      </c>
      <c r="AA251" s="31">
        <f t="shared" si="17"/>
        <v>7327124.9105083114</v>
      </c>
      <c r="AB251" s="31">
        <v>165684.35</v>
      </c>
      <c r="AD251" s="42" t="s">
        <v>129</v>
      </c>
      <c r="AE251" s="42" t="s">
        <v>130</v>
      </c>
      <c r="AF251" s="43" t="s">
        <v>1275</v>
      </c>
      <c r="AG251" s="44">
        <v>34</v>
      </c>
      <c r="AH251" s="31">
        <v>5423859.0581371384</v>
      </c>
      <c r="AI251" s="31">
        <v>299937.59999999998</v>
      </c>
      <c r="AJ251" s="31">
        <v>169345.23999999996</v>
      </c>
      <c r="AK251" s="31">
        <v>16786.72</v>
      </c>
      <c r="AL251" s="31">
        <v>745632.69010898122</v>
      </c>
      <c r="AM251" s="31">
        <v>359369.97526753461</v>
      </c>
      <c r="AN251" s="31">
        <v>268597.27424062428</v>
      </c>
      <c r="AO251" s="31">
        <f t="shared" si="18"/>
        <v>7452140.9077542778</v>
      </c>
      <c r="AP251" s="31">
        <v>168612.35</v>
      </c>
      <c r="AR251" s="42" t="s">
        <v>129</v>
      </c>
      <c r="AS251" s="42" t="s">
        <v>130</v>
      </c>
      <c r="AT251" s="43" t="s">
        <v>1276</v>
      </c>
      <c r="AU251" s="44">
        <v>34</v>
      </c>
      <c r="AV251" s="31">
        <v>5527344.2290124334</v>
      </c>
      <c r="AW251" s="31">
        <v>305400.89</v>
      </c>
      <c r="AX251" s="31">
        <v>172453.18999999997</v>
      </c>
      <c r="AY251" s="31">
        <v>17094.809999999998</v>
      </c>
      <c r="AZ251" s="31">
        <v>759418.64901269739</v>
      </c>
      <c r="BA251" s="31">
        <v>359385.83326749806</v>
      </c>
      <c r="BB251" s="31">
        <v>273570.78410958959</v>
      </c>
      <c r="BC251" s="31">
        <f t="shared" si="19"/>
        <v>7586416.6254022177</v>
      </c>
      <c r="BD251" s="31">
        <v>171748.24000000002</v>
      </c>
    </row>
    <row r="252" spans="2:56">
      <c r="B252" s="42" t="s">
        <v>347</v>
      </c>
      <c r="C252" s="42" t="s">
        <v>348</v>
      </c>
      <c r="D252" s="43" t="s">
        <v>1049</v>
      </c>
      <c r="E252" s="44">
        <v>34</v>
      </c>
      <c r="F252" s="31">
        <v>4972758.6528821643</v>
      </c>
      <c r="G252" s="31">
        <v>241170.74000000002</v>
      </c>
      <c r="H252" s="31">
        <v>134081.19999999998</v>
      </c>
      <c r="I252" s="31">
        <v>0</v>
      </c>
      <c r="J252" s="31">
        <v>696289.58867765113</v>
      </c>
      <c r="K252" s="31">
        <v>479754.04803993308</v>
      </c>
      <c r="L252" s="31">
        <v>376650.57501439704</v>
      </c>
      <c r="M252" s="31">
        <f t="shared" si="16"/>
        <v>7049889.6446141452</v>
      </c>
      <c r="N252" s="31">
        <v>149184.84</v>
      </c>
      <c r="P252" s="42" t="s">
        <v>347</v>
      </c>
      <c r="Q252" s="42" t="s">
        <v>348</v>
      </c>
      <c r="R252" s="43" t="s">
        <v>1050</v>
      </c>
      <c r="S252" s="44">
        <v>34</v>
      </c>
      <c r="T252" s="31">
        <v>5339890.0339754606</v>
      </c>
      <c r="U252" s="31">
        <v>259304.34999999995</v>
      </c>
      <c r="V252" s="31">
        <v>142784.30000000002</v>
      </c>
      <c r="W252" s="31">
        <v>0</v>
      </c>
      <c r="X252" s="31">
        <v>737594.07279947726</v>
      </c>
      <c r="Y252" s="31">
        <v>480764.41994042235</v>
      </c>
      <c r="Z252" s="31">
        <v>403513.77511555015</v>
      </c>
      <c r="AA252" s="31">
        <f t="shared" si="17"/>
        <v>7520239.8218309106</v>
      </c>
      <c r="AB252" s="31">
        <v>156388.87000000002</v>
      </c>
      <c r="AD252" s="42" t="s">
        <v>347</v>
      </c>
      <c r="AE252" s="42" t="s">
        <v>348</v>
      </c>
      <c r="AF252" s="43" t="s">
        <v>1275</v>
      </c>
      <c r="AG252" s="44">
        <v>34</v>
      </c>
      <c r="AH252" s="31">
        <v>5437271.8799253497</v>
      </c>
      <c r="AI252" s="31">
        <v>263788.17999999993</v>
      </c>
      <c r="AJ252" s="31">
        <v>145273.72</v>
      </c>
      <c r="AK252" s="31">
        <v>0</v>
      </c>
      <c r="AL252" s="31">
        <v>750550.7487613858</v>
      </c>
      <c r="AM252" s="31">
        <v>479996.80979957239</v>
      </c>
      <c r="AN252" s="31">
        <v>410613.18890314037</v>
      </c>
      <c r="AO252" s="31">
        <f t="shared" si="18"/>
        <v>7646647.1273894478</v>
      </c>
      <c r="AP252" s="31">
        <v>159152.6</v>
      </c>
      <c r="AR252" s="42" t="s">
        <v>347</v>
      </c>
      <c r="AS252" s="42" t="s">
        <v>348</v>
      </c>
      <c r="AT252" s="43" t="s">
        <v>1276</v>
      </c>
      <c r="AU252" s="44">
        <v>34</v>
      </c>
      <c r="AV252" s="31">
        <v>5541320.8966788929</v>
      </c>
      <c r="AW252" s="31">
        <v>268590.35000000003</v>
      </c>
      <c r="AX252" s="31">
        <v>147939.88999999998</v>
      </c>
      <c r="AY252" s="31">
        <v>0</v>
      </c>
      <c r="AZ252" s="31">
        <v>764427.29304107139</v>
      </c>
      <c r="BA252" s="31">
        <v>480018.74151788239</v>
      </c>
      <c r="BB252" s="31">
        <v>418216.4210856494</v>
      </c>
      <c r="BC252" s="31">
        <f t="shared" si="19"/>
        <v>7782626.1423234958</v>
      </c>
      <c r="BD252" s="31">
        <v>162112.54999999999</v>
      </c>
    </row>
    <row r="253" spans="2:56">
      <c r="B253" s="42" t="s">
        <v>235</v>
      </c>
      <c r="C253" s="42" t="s">
        <v>236</v>
      </c>
      <c r="D253" s="43" t="s">
        <v>1049</v>
      </c>
      <c r="E253" s="44">
        <v>34</v>
      </c>
      <c r="F253" s="31">
        <v>85289799.398860872</v>
      </c>
      <c r="G253" s="31">
        <v>2598971.94</v>
      </c>
      <c r="H253" s="31">
        <v>429096.86000000004</v>
      </c>
      <c r="I253" s="31">
        <v>313918.23</v>
      </c>
      <c r="J253" s="31">
        <v>14160153.424608892</v>
      </c>
      <c r="K253" s="31">
        <v>5783254.8153874511</v>
      </c>
      <c r="L253" s="31">
        <v>8826506.843074888</v>
      </c>
      <c r="M253" s="31">
        <f t="shared" si="16"/>
        <v>117610378.10193211</v>
      </c>
      <c r="N253" s="31">
        <v>208676.59</v>
      </c>
      <c r="P253" s="42" t="s">
        <v>235</v>
      </c>
      <c r="Q253" s="42" t="s">
        <v>236</v>
      </c>
      <c r="R253" s="43" t="s">
        <v>1050</v>
      </c>
      <c r="S253" s="44">
        <v>34</v>
      </c>
      <c r="T253" s="31">
        <v>90807519.850910798</v>
      </c>
      <c r="U253" s="31">
        <v>2767926.7800000003</v>
      </c>
      <c r="V253" s="31">
        <v>456486.63999999996</v>
      </c>
      <c r="W253" s="31">
        <v>333956.02999999997</v>
      </c>
      <c r="X253" s="31">
        <v>14995680.399673477</v>
      </c>
      <c r="Y253" s="31">
        <v>5798270.0496285781</v>
      </c>
      <c r="Z253" s="31">
        <v>9364094.4040393531</v>
      </c>
      <c r="AA253" s="31">
        <f t="shared" si="17"/>
        <v>124742871.61425219</v>
      </c>
      <c r="AB253" s="31">
        <v>218937.45999999996</v>
      </c>
      <c r="AD253" s="42" t="s">
        <v>235</v>
      </c>
      <c r="AE253" s="42" t="s">
        <v>236</v>
      </c>
      <c r="AF253" s="43" t="s">
        <v>1275</v>
      </c>
      <c r="AG253" s="44">
        <v>34</v>
      </c>
      <c r="AH253" s="31">
        <v>92544317.361378789</v>
      </c>
      <c r="AI253" s="31">
        <v>2817070.58</v>
      </c>
      <c r="AJ253" s="31">
        <v>464598.98000000004</v>
      </c>
      <c r="AK253" s="31">
        <v>339890.84</v>
      </c>
      <c r="AL253" s="31">
        <v>15263025.558360213</v>
      </c>
      <c r="AM253" s="31">
        <v>5786511.3647864778</v>
      </c>
      <c r="AN253" s="31">
        <v>9531236.534673946</v>
      </c>
      <c r="AO253" s="31">
        <f t="shared" si="18"/>
        <v>126969525.13919944</v>
      </c>
      <c r="AP253" s="31">
        <v>222873.91999999995</v>
      </c>
      <c r="AR253" s="42" t="s">
        <v>235</v>
      </c>
      <c r="AS253" s="42" t="s">
        <v>236</v>
      </c>
      <c r="AT253" s="43" t="s">
        <v>1276</v>
      </c>
      <c r="AU253" s="44">
        <v>34</v>
      </c>
      <c r="AV253" s="31">
        <v>94396545.951988369</v>
      </c>
      <c r="AW253" s="31">
        <v>2869703.5999999996</v>
      </c>
      <c r="AX253" s="31">
        <v>473287.29000000004</v>
      </c>
      <c r="AY253" s="31">
        <v>346247.01000000007</v>
      </c>
      <c r="AZ253" s="31">
        <v>15549351.370552259</v>
      </c>
      <c r="BA253" s="31">
        <v>5786847.3272105381</v>
      </c>
      <c r="BB253" s="31">
        <v>9710240.7700669933</v>
      </c>
      <c r="BC253" s="31">
        <f t="shared" si="19"/>
        <v>129359313.16981815</v>
      </c>
      <c r="BD253" s="31">
        <v>227089.84999999998</v>
      </c>
    </row>
    <row r="254" spans="2:56">
      <c r="B254" s="42" t="s">
        <v>171</v>
      </c>
      <c r="C254" s="42" t="s">
        <v>172</v>
      </c>
      <c r="D254" s="43" t="s">
        <v>1049</v>
      </c>
      <c r="E254" s="44">
        <v>34</v>
      </c>
      <c r="F254" s="31">
        <v>11111683.18512262</v>
      </c>
      <c r="G254" s="31">
        <v>262608.57999999996</v>
      </c>
      <c r="H254" s="31">
        <v>8265.56</v>
      </c>
      <c r="I254" s="31">
        <v>40265.07</v>
      </c>
      <c r="J254" s="31">
        <v>1694261.9335738861</v>
      </c>
      <c r="K254" s="31">
        <v>898693.91896110936</v>
      </c>
      <c r="L254" s="31">
        <v>614274.19545904081</v>
      </c>
      <c r="M254" s="31">
        <f t="shared" si="16"/>
        <v>14645284.683116658</v>
      </c>
      <c r="N254" s="31">
        <v>15232.24</v>
      </c>
      <c r="P254" s="42" t="s">
        <v>171</v>
      </c>
      <c r="Q254" s="42" t="s">
        <v>172</v>
      </c>
      <c r="R254" s="43" t="s">
        <v>1050</v>
      </c>
      <c r="S254" s="44">
        <v>34</v>
      </c>
      <c r="T254" s="31">
        <v>11687981.512753438</v>
      </c>
      <c r="U254" s="31">
        <v>275465.07</v>
      </c>
      <c r="V254" s="31">
        <v>8663.4700000000012</v>
      </c>
      <c r="W254" s="31">
        <v>42203.42</v>
      </c>
      <c r="X254" s="31">
        <v>1772050.3293531206</v>
      </c>
      <c r="Y254" s="31">
        <v>900927.95561889431</v>
      </c>
      <c r="Z254" s="31">
        <v>643673.34189077956</v>
      </c>
      <c r="AA254" s="31">
        <f t="shared" si="17"/>
        <v>15346716.049616233</v>
      </c>
      <c r="AB254" s="31">
        <v>15750.95</v>
      </c>
      <c r="AD254" s="42" t="s">
        <v>171</v>
      </c>
      <c r="AE254" s="42" t="s">
        <v>172</v>
      </c>
      <c r="AF254" s="43" t="s">
        <v>1275</v>
      </c>
      <c r="AG254" s="44">
        <v>34</v>
      </c>
      <c r="AH254" s="31">
        <v>11904384.236798616</v>
      </c>
      <c r="AI254" s="31">
        <v>280374.51</v>
      </c>
      <c r="AJ254" s="31">
        <v>8817.9700000000012</v>
      </c>
      <c r="AK254" s="31">
        <v>42956.079999999994</v>
      </c>
      <c r="AL254" s="31">
        <v>1803717.2135796049</v>
      </c>
      <c r="AM254" s="31">
        <v>899175.58720704424</v>
      </c>
      <c r="AN254" s="31">
        <v>655186.9046201685</v>
      </c>
      <c r="AO254" s="31">
        <f t="shared" si="18"/>
        <v>15610647.542205432</v>
      </c>
      <c r="AP254" s="31">
        <v>16035.04</v>
      </c>
      <c r="AR254" s="42" t="s">
        <v>171</v>
      </c>
      <c r="AS254" s="42" t="s">
        <v>172</v>
      </c>
      <c r="AT254" s="43" t="s">
        <v>1276</v>
      </c>
      <c r="AU254" s="44">
        <v>34</v>
      </c>
      <c r="AV254" s="31">
        <v>12135636.785435317</v>
      </c>
      <c r="AW254" s="31">
        <v>285632.49999999994</v>
      </c>
      <c r="AX254" s="31">
        <v>8983.44</v>
      </c>
      <c r="AY254" s="31">
        <v>43762.159999999996</v>
      </c>
      <c r="AZ254" s="31">
        <v>1837632.3799956248</v>
      </c>
      <c r="BA254" s="31">
        <v>899225.65487595426</v>
      </c>
      <c r="BB254" s="31">
        <v>667517.59398614406</v>
      </c>
      <c r="BC254" s="31">
        <f t="shared" si="19"/>
        <v>15894729.824293042</v>
      </c>
      <c r="BD254" s="31">
        <v>16339.31</v>
      </c>
    </row>
    <row r="255" spans="2:56">
      <c r="B255" s="42" t="s">
        <v>313</v>
      </c>
      <c r="C255" s="42" t="s">
        <v>314</v>
      </c>
      <c r="D255" s="43" t="s">
        <v>1049</v>
      </c>
      <c r="E255" s="44">
        <v>34</v>
      </c>
      <c r="F255" s="31">
        <v>1811518.8183496073</v>
      </c>
      <c r="G255" s="31">
        <v>55152.590000000004</v>
      </c>
      <c r="H255" s="31">
        <v>0</v>
      </c>
      <c r="I255" s="31">
        <v>5651.6799999999994</v>
      </c>
      <c r="J255" s="31">
        <v>249207.61886518804</v>
      </c>
      <c r="K255" s="31">
        <v>95006.49304109544</v>
      </c>
      <c r="L255" s="31">
        <v>0</v>
      </c>
      <c r="M255" s="31">
        <f t="shared" si="16"/>
        <v>2216537.2002558908</v>
      </c>
      <c r="N255" s="31">
        <v>0</v>
      </c>
      <c r="P255" s="42" t="s">
        <v>313</v>
      </c>
      <c r="Q255" s="42" t="s">
        <v>314</v>
      </c>
      <c r="R255" s="43" t="s">
        <v>1050</v>
      </c>
      <c r="S255" s="44">
        <v>34</v>
      </c>
      <c r="T255" s="31">
        <v>1928373.8781256869</v>
      </c>
      <c r="U255" s="31">
        <v>58732.479999999996</v>
      </c>
      <c r="V255" s="31">
        <v>0</v>
      </c>
      <c r="W255" s="31">
        <v>6018.5300000000007</v>
      </c>
      <c r="X255" s="31">
        <v>263965.73171539605</v>
      </c>
      <c r="Y255" s="31">
        <v>95218.364154697527</v>
      </c>
      <c r="Z255" s="31">
        <v>0</v>
      </c>
      <c r="AA255" s="31">
        <f t="shared" si="17"/>
        <v>2352308.9839957803</v>
      </c>
      <c r="AB255" s="31">
        <v>0</v>
      </c>
      <c r="AD255" s="42" t="s">
        <v>313</v>
      </c>
      <c r="AE255" s="42" t="s">
        <v>314</v>
      </c>
      <c r="AF255" s="43" t="s">
        <v>1275</v>
      </c>
      <c r="AG255" s="44">
        <v>34</v>
      </c>
      <c r="AH255" s="31">
        <v>1962152.2965932782</v>
      </c>
      <c r="AI255" s="31">
        <v>59756.479999999996</v>
      </c>
      <c r="AJ255" s="31">
        <v>0</v>
      </c>
      <c r="AK255" s="31">
        <v>6123.46</v>
      </c>
      <c r="AL255" s="31">
        <v>268594.94195566478</v>
      </c>
      <c r="AM255" s="31">
        <v>95057.39925130365</v>
      </c>
      <c r="AN255" s="31">
        <v>0</v>
      </c>
      <c r="AO255" s="31">
        <f t="shared" si="18"/>
        <v>2391684.5778002464</v>
      </c>
      <c r="AP255" s="31">
        <v>0</v>
      </c>
      <c r="AR255" s="42" t="s">
        <v>313</v>
      </c>
      <c r="AS255" s="42" t="s">
        <v>314</v>
      </c>
      <c r="AT255" s="43" t="s">
        <v>1276</v>
      </c>
      <c r="AU255" s="44">
        <v>34</v>
      </c>
      <c r="AV255" s="31">
        <v>1998328.5214338682</v>
      </c>
      <c r="AW255" s="31">
        <v>60853.17</v>
      </c>
      <c r="AX255" s="31">
        <v>0</v>
      </c>
      <c r="AY255" s="31">
        <v>6235.84</v>
      </c>
      <c r="AZ255" s="31">
        <v>273552.7635591302</v>
      </c>
      <c r="BA255" s="31">
        <v>95061.998248543474</v>
      </c>
      <c r="BB255" s="31">
        <v>0</v>
      </c>
      <c r="BC255" s="31">
        <f t="shared" si="19"/>
        <v>2434032.2932415418</v>
      </c>
      <c r="BD255" s="31">
        <v>0</v>
      </c>
    </row>
    <row r="256" spans="2:56">
      <c r="B256" s="42" t="s">
        <v>479</v>
      </c>
      <c r="C256" s="42" t="s">
        <v>480</v>
      </c>
      <c r="D256" s="43" t="s">
        <v>1049</v>
      </c>
      <c r="E256" s="44">
        <v>34</v>
      </c>
      <c r="F256" s="31">
        <v>7565534.742260335</v>
      </c>
      <c r="G256" s="31">
        <v>221638.13000000003</v>
      </c>
      <c r="H256" s="31">
        <v>23808.190000000002</v>
      </c>
      <c r="I256" s="31">
        <v>19672.019999999993</v>
      </c>
      <c r="J256" s="31">
        <v>757414.07313052251</v>
      </c>
      <c r="K256" s="31">
        <v>338534.88</v>
      </c>
      <c r="L256" s="31">
        <v>0</v>
      </c>
      <c r="M256" s="31">
        <f t="shared" si="16"/>
        <v>8926602.0353908576</v>
      </c>
      <c r="N256" s="31">
        <v>0</v>
      </c>
      <c r="P256" s="42" t="s">
        <v>479</v>
      </c>
      <c r="Q256" s="42" t="s">
        <v>480</v>
      </c>
      <c r="R256" s="43" t="s">
        <v>1050</v>
      </c>
      <c r="S256" s="44">
        <v>34</v>
      </c>
      <c r="T256" s="31">
        <v>8078682.0841222908</v>
      </c>
      <c r="U256" s="31">
        <v>233968.17000000004</v>
      </c>
      <c r="V256" s="31">
        <v>25132.659999999996</v>
      </c>
      <c r="W256" s="31">
        <v>20766.410000000003</v>
      </c>
      <c r="X256" s="31">
        <v>796486.06936080626</v>
      </c>
      <c r="Y256" s="31">
        <v>338534.88</v>
      </c>
      <c r="Z256" s="31">
        <v>0</v>
      </c>
      <c r="AA256" s="31">
        <f t="shared" si="17"/>
        <v>9493570.2734830976</v>
      </c>
      <c r="AB256" s="31">
        <v>0</v>
      </c>
      <c r="AD256" s="42" t="s">
        <v>479</v>
      </c>
      <c r="AE256" s="42" t="s">
        <v>480</v>
      </c>
      <c r="AF256" s="43" t="s">
        <v>1275</v>
      </c>
      <c r="AG256" s="44">
        <v>34</v>
      </c>
      <c r="AH256" s="31">
        <v>8220177.4138509445</v>
      </c>
      <c r="AI256" s="31">
        <v>238062.16</v>
      </c>
      <c r="AJ256" s="31">
        <v>25572.439999999995</v>
      </c>
      <c r="AK256" s="31">
        <v>21129.79</v>
      </c>
      <c r="AL256" s="31">
        <v>810494.84876785963</v>
      </c>
      <c r="AM256" s="31">
        <v>338534.88</v>
      </c>
      <c r="AN256" s="31">
        <v>0</v>
      </c>
      <c r="AO256" s="31">
        <f t="shared" si="18"/>
        <v>9653971.5326188039</v>
      </c>
      <c r="AP256" s="31">
        <v>0</v>
      </c>
      <c r="AR256" s="42" t="s">
        <v>479</v>
      </c>
      <c r="AS256" s="42" t="s">
        <v>480</v>
      </c>
      <c r="AT256" s="43" t="s">
        <v>1276</v>
      </c>
      <c r="AU256" s="44">
        <v>34</v>
      </c>
      <c r="AV256" s="31">
        <v>8371721.1201815298</v>
      </c>
      <c r="AW256" s="31">
        <v>242446.83000000002</v>
      </c>
      <c r="AX256" s="31">
        <v>26043.43</v>
      </c>
      <c r="AY256" s="31">
        <v>21518.960000000003</v>
      </c>
      <c r="AZ256" s="31">
        <v>825498.07486031123</v>
      </c>
      <c r="BA256" s="31">
        <v>338534.88</v>
      </c>
      <c r="BB256" s="31">
        <v>0</v>
      </c>
      <c r="BC256" s="31">
        <f t="shared" si="19"/>
        <v>9825763.2950418424</v>
      </c>
      <c r="BD256" s="31">
        <v>0</v>
      </c>
    </row>
    <row r="257" spans="2:56">
      <c r="B257" s="42" t="s">
        <v>451</v>
      </c>
      <c r="C257" s="42" t="s">
        <v>452</v>
      </c>
      <c r="D257" s="43" t="s">
        <v>1049</v>
      </c>
      <c r="E257" s="44">
        <v>34</v>
      </c>
      <c r="F257" s="31">
        <v>237136371.03916165</v>
      </c>
      <c r="G257" s="31">
        <v>10945211.529999997</v>
      </c>
      <c r="H257" s="31">
        <v>2824196.49</v>
      </c>
      <c r="I257" s="31">
        <v>0</v>
      </c>
      <c r="J257" s="31">
        <v>36969188.307959579</v>
      </c>
      <c r="K257" s="31">
        <v>14047684.638424804</v>
      </c>
      <c r="L257" s="31">
        <v>17926219.580795016</v>
      </c>
      <c r="M257" s="31">
        <f t="shared" si="16"/>
        <v>325208337.99634105</v>
      </c>
      <c r="N257" s="31">
        <v>5359466.41</v>
      </c>
      <c r="P257" s="42" t="s">
        <v>451</v>
      </c>
      <c r="Q257" s="42" t="s">
        <v>452</v>
      </c>
      <c r="R257" s="43" t="s">
        <v>1050</v>
      </c>
      <c r="S257" s="44">
        <v>34</v>
      </c>
      <c r="T257" s="31">
        <v>253366831.71352661</v>
      </c>
      <c r="U257" s="31">
        <v>11640463.479999997</v>
      </c>
      <c r="V257" s="31">
        <v>2981310.4600000004</v>
      </c>
      <c r="W257" s="31">
        <v>0</v>
      </c>
      <c r="X257" s="31">
        <v>38884574.243667521</v>
      </c>
      <c r="Y257" s="31">
        <v>14077223.674011607</v>
      </c>
      <c r="Z257" s="31">
        <v>19073308.734271359</v>
      </c>
      <c r="AA257" s="31">
        <f t="shared" si="17"/>
        <v>345594978.65547711</v>
      </c>
      <c r="AB257" s="31">
        <v>5571266.3500000006</v>
      </c>
      <c r="AD257" s="42" t="s">
        <v>451</v>
      </c>
      <c r="AE257" s="42" t="s">
        <v>452</v>
      </c>
      <c r="AF257" s="43" t="s">
        <v>1275</v>
      </c>
      <c r="AG257" s="44">
        <v>34</v>
      </c>
      <c r="AH257" s="31">
        <v>257966067.12344804</v>
      </c>
      <c r="AI257" s="31">
        <v>11842856.739999998</v>
      </c>
      <c r="AJ257" s="31">
        <v>3033477.68</v>
      </c>
      <c r="AK257" s="31">
        <v>0</v>
      </c>
      <c r="AL257" s="31">
        <v>39569457.212253287</v>
      </c>
      <c r="AM257" s="31">
        <v>14054634.173084408</v>
      </c>
      <c r="AN257" s="31">
        <v>19409688.268124431</v>
      </c>
      <c r="AO257" s="31">
        <f t="shared" si="18"/>
        <v>351546226.58691013</v>
      </c>
      <c r="AP257" s="31">
        <v>5670045.3900000006</v>
      </c>
      <c r="AR257" s="42" t="s">
        <v>451</v>
      </c>
      <c r="AS257" s="42" t="s">
        <v>452</v>
      </c>
      <c r="AT257" s="43" t="s">
        <v>1276</v>
      </c>
      <c r="AU257" s="44">
        <v>34</v>
      </c>
      <c r="AV257" s="31">
        <v>262882711.68426153</v>
      </c>
      <c r="AW257" s="31">
        <v>12059619.91</v>
      </c>
      <c r="AX257" s="31">
        <v>3089348.78</v>
      </c>
      <c r="AY257" s="31">
        <v>0</v>
      </c>
      <c r="AZ257" s="31">
        <v>40302963.739524014</v>
      </c>
      <c r="BA257" s="31">
        <v>14055279.587396612</v>
      </c>
      <c r="BB257" s="31">
        <v>19769939.937828269</v>
      </c>
      <c r="BC257" s="31">
        <f t="shared" si="19"/>
        <v>357935701.38901037</v>
      </c>
      <c r="BD257" s="31">
        <v>5775837.7499999991</v>
      </c>
    </row>
    <row r="258" spans="2:56">
      <c r="B258" s="42" t="s">
        <v>297</v>
      </c>
      <c r="C258" s="42" t="s">
        <v>298</v>
      </c>
      <c r="D258" s="43" t="s">
        <v>1049</v>
      </c>
      <c r="E258" s="44">
        <v>34</v>
      </c>
      <c r="F258" s="31">
        <v>1698443.2548857452</v>
      </c>
      <c r="G258" s="31">
        <v>25140.2</v>
      </c>
      <c r="H258" s="31">
        <v>0</v>
      </c>
      <c r="I258" s="31">
        <v>2046.29</v>
      </c>
      <c r="J258" s="31">
        <v>87831.785072903673</v>
      </c>
      <c r="K258" s="31">
        <v>121124.12382249473</v>
      </c>
      <c r="L258" s="31">
        <v>75592.372509023728</v>
      </c>
      <c r="M258" s="31">
        <f t="shared" si="16"/>
        <v>2020214.6462901672</v>
      </c>
      <c r="N258" s="31">
        <v>10036.619999999999</v>
      </c>
      <c r="P258" s="42" t="s">
        <v>297</v>
      </c>
      <c r="Q258" s="42" t="s">
        <v>298</v>
      </c>
      <c r="R258" s="43" t="s">
        <v>1050</v>
      </c>
      <c r="S258" s="44">
        <v>34</v>
      </c>
      <c r="T258" s="31">
        <v>1806455.2267202307</v>
      </c>
      <c r="U258" s="31">
        <v>26938.839999999993</v>
      </c>
      <c r="V258" s="31">
        <v>0</v>
      </c>
      <c r="W258" s="31">
        <v>2179.11</v>
      </c>
      <c r="X258" s="31">
        <v>93035.011349828681</v>
      </c>
      <c r="Y258" s="31">
        <v>121313.87269567182</v>
      </c>
      <c r="Z258" s="31">
        <v>80965.113436283689</v>
      </c>
      <c r="AA258" s="31">
        <f t="shared" si="17"/>
        <v>2141408.4442020152</v>
      </c>
      <c r="AB258" s="31">
        <v>10521.27</v>
      </c>
      <c r="AD258" s="42" t="s">
        <v>297</v>
      </c>
      <c r="AE258" s="42" t="s">
        <v>298</v>
      </c>
      <c r="AF258" s="43" t="s">
        <v>1275</v>
      </c>
      <c r="AG258" s="44">
        <v>34</v>
      </c>
      <c r="AH258" s="31">
        <v>1837726.2648259145</v>
      </c>
      <c r="AI258" s="31">
        <v>27406.009999999995</v>
      </c>
      <c r="AJ258" s="31">
        <v>0</v>
      </c>
      <c r="AK258" s="31">
        <v>2217.11</v>
      </c>
      <c r="AL258" s="31">
        <v>94669.443387431311</v>
      </c>
      <c r="AM258" s="31">
        <v>121169.7147284965</v>
      </c>
      <c r="AN258" s="31">
        <v>82389.671928111755</v>
      </c>
      <c r="AO258" s="31">
        <f t="shared" si="18"/>
        <v>2176285.4248699541</v>
      </c>
      <c r="AP258" s="31">
        <v>10707.21</v>
      </c>
      <c r="AR258" s="42" t="s">
        <v>297</v>
      </c>
      <c r="AS258" s="42" t="s">
        <v>298</v>
      </c>
      <c r="AT258" s="43" t="s">
        <v>1276</v>
      </c>
      <c r="AU258" s="44">
        <v>34</v>
      </c>
      <c r="AV258" s="31">
        <v>1871221.030780192</v>
      </c>
      <c r="AW258" s="31">
        <v>27906.379999999994</v>
      </c>
      <c r="AX258" s="31">
        <v>0</v>
      </c>
      <c r="AY258" s="31">
        <v>2257.7999999999997</v>
      </c>
      <c r="AZ258" s="31">
        <v>96419.919745961117</v>
      </c>
      <c r="BA258" s="31">
        <v>121173.83352755866</v>
      </c>
      <c r="BB258" s="31">
        <v>83915.325906259619</v>
      </c>
      <c r="BC258" s="31">
        <f t="shared" si="19"/>
        <v>2213800.6299599712</v>
      </c>
      <c r="BD258" s="31">
        <v>10906.34</v>
      </c>
    </row>
    <row r="259" spans="2:56">
      <c r="B259" s="42" t="s">
        <v>577</v>
      </c>
      <c r="C259" s="42" t="s">
        <v>578</v>
      </c>
      <c r="D259" s="43" t="s">
        <v>1049</v>
      </c>
      <c r="E259" s="44">
        <v>34</v>
      </c>
      <c r="F259" s="31">
        <v>2066132.295002026</v>
      </c>
      <c r="G259" s="31">
        <v>38100.12000000001</v>
      </c>
      <c r="H259" s="31">
        <v>0</v>
      </c>
      <c r="I259" s="31">
        <v>3507.94</v>
      </c>
      <c r="J259" s="31">
        <v>146621.51902277383</v>
      </c>
      <c r="K259" s="31">
        <v>362429.03260111262</v>
      </c>
      <c r="L259" s="31">
        <v>49287.291707283337</v>
      </c>
      <c r="M259" s="31">
        <f t="shared" si="16"/>
        <v>2684982.088333196</v>
      </c>
      <c r="N259" s="31">
        <v>18903.889999999996</v>
      </c>
      <c r="P259" s="42" t="s">
        <v>577</v>
      </c>
      <c r="Q259" s="42" t="s">
        <v>578</v>
      </c>
      <c r="R259" s="43" t="s">
        <v>1050</v>
      </c>
      <c r="S259" s="44">
        <v>34</v>
      </c>
      <c r="T259" s="31">
        <v>2193715.0933239954</v>
      </c>
      <c r="U259" s="31">
        <v>40887.340000000004</v>
      </c>
      <c r="V259" s="31">
        <v>0</v>
      </c>
      <c r="W259" s="31">
        <v>3735.64</v>
      </c>
      <c r="X259" s="31">
        <v>155320.60863356199</v>
      </c>
      <c r="Y259" s="31">
        <v>363477.33369941521</v>
      </c>
      <c r="Z259" s="31">
        <v>52316.909498804649</v>
      </c>
      <c r="AA259" s="31">
        <f t="shared" si="17"/>
        <v>2829269.6651557772</v>
      </c>
      <c r="AB259" s="31">
        <v>19816.739999999998</v>
      </c>
      <c r="AD259" s="42" t="s">
        <v>577</v>
      </c>
      <c r="AE259" s="42" t="s">
        <v>578</v>
      </c>
      <c r="AF259" s="43" t="s">
        <v>1275</v>
      </c>
      <c r="AG259" s="44">
        <v>34</v>
      </c>
      <c r="AH259" s="31">
        <v>2232078.4564639754</v>
      </c>
      <c r="AI259" s="31">
        <v>41595.51</v>
      </c>
      <c r="AJ259" s="31">
        <v>0</v>
      </c>
      <c r="AK259" s="31">
        <v>3800.78</v>
      </c>
      <c r="AL259" s="31">
        <v>158049.15350391879</v>
      </c>
      <c r="AM259" s="31">
        <v>362680.90759796521</v>
      </c>
      <c r="AN259" s="31">
        <v>53237.539135159146</v>
      </c>
      <c r="AO259" s="31">
        <f t="shared" si="18"/>
        <v>2871609.2967010182</v>
      </c>
      <c r="AP259" s="31">
        <v>20166.949999999997</v>
      </c>
      <c r="AR259" s="42" t="s">
        <v>577</v>
      </c>
      <c r="AS259" s="42" t="s">
        <v>578</v>
      </c>
      <c r="AT259" s="43" t="s">
        <v>1276</v>
      </c>
      <c r="AU259" s="44">
        <v>34</v>
      </c>
      <c r="AV259" s="31">
        <v>2273151.6672420013</v>
      </c>
      <c r="AW259" s="31">
        <v>42353.94</v>
      </c>
      <c r="AX259" s="31">
        <v>0</v>
      </c>
      <c r="AY259" s="31">
        <v>3870.5299999999997</v>
      </c>
      <c r="AZ259" s="31">
        <v>160971.41379508656</v>
      </c>
      <c r="BA259" s="31">
        <v>362703.66262943525</v>
      </c>
      <c r="BB259" s="31">
        <v>54223.502119294797</v>
      </c>
      <c r="BC259" s="31">
        <f t="shared" si="19"/>
        <v>2917816.7357858177</v>
      </c>
      <c r="BD259" s="31">
        <v>20542.02</v>
      </c>
    </row>
    <row r="260" spans="2:56">
      <c r="B260" s="42" t="s">
        <v>449</v>
      </c>
      <c r="C260" s="42" t="s">
        <v>450</v>
      </c>
      <c r="D260" s="43" t="s">
        <v>1049</v>
      </c>
      <c r="E260" s="44">
        <v>34</v>
      </c>
      <c r="F260" s="31">
        <v>40846470.943433389</v>
      </c>
      <c r="G260" s="31">
        <v>976388.44</v>
      </c>
      <c r="H260" s="31">
        <v>238795.02</v>
      </c>
      <c r="I260" s="31">
        <v>150522.25</v>
      </c>
      <c r="J260" s="31">
        <v>6807800.027756081</v>
      </c>
      <c r="K260" s="31">
        <v>2880669.512812051</v>
      </c>
      <c r="L260" s="31">
        <v>4198176.4756202763</v>
      </c>
      <c r="M260" s="31">
        <f t="shared" si="16"/>
        <v>56104554.669621795</v>
      </c>
      <c r="N260" s="31">
        <v>5732</v>
      </c>
      <c r="P260" s="42" t="s">
        <v>449</v>
      </c>
      <c r="Q260" s="42" t="s">
        <v>450</v>
      </c>
      <c r="R260" s="43" t="s">
        <v>1050</v>
      </c>
      <c r="S260" s="44">
        <v>34</v>
      </c>
      <c r="T260" s="31">
        <v>43206401.889793567</v>
      </c>
      <c r="U260" s="31">
        <v>1030954.7999999999</v>
      </c>
      <c r="V260" s="31">
        <v>252120.01</v>
      </c>
      <c r="W260" s="31">
        <v>158921.54</v>
      </c>
      <c r="X260" s="31">
        <v>7163683.1417590389</v>
      </c>
      <c r="Y260" s="31">
        <v>2885017.2972870409</v>
      </c>
      <c r="Z260" s="31">
        <v>4425994.4893112462</v>
      </c>
      <c r="AA260" s="31">
        <f t="shared" si="17"/>
        <v>59129062.158150889</v>
      </c>
      <c r="AB260" s="31">
        <v>5968.99</v>
      </c>
      <c r="AD260" s="42" t="s">
        <v>449</v>
      </c>
      <c r="AE260" s="42" t="s">
        <v>450</v>
      </c>
      <c r="AF260" s="43" t="s">
        <v>1275</v>
      </c>
      <c r="AG260" s="44">
        <v>34</v>
      </c>
      <c r="AH260" s="31">
        <v>44002163.055763073</v>
      </c>
      <c r="AI260" s="31">
        <v>1049291.4300000002</v>
      </c>
      <c r="AJ260" s="31">
        <v>256604.54</v>
      </c>
      <c r="AK260" s="31">
        <v>161748.32</v>
      </c>
      <c r="AL260" s="31">
        <v>7291399.223729589</v>
      </c>
      <c r="AM260" s="31">
        <v>2881625.1325003984</v>
      </c>
      <c r="AN260" s="31">
        <v>4505001.6786900526</v>
      </c>
      <c r="AO260" s="31">
        <f t="shared" si="18"/>
        <v>60153909.77068311</v>
      </c>
      <c r="AP260" s="31">
        <v>6076.3899999999994</v>
      </c>
      <c r="AR260" s="42" t="s">
        <v>449</v>
      </c>
      <c r="AS260" s="42" t="s">
        <v>450</v>
      </c>
      <c r="AT260" s="43" t="s">
        <v>1276</v>
      </c>
      <c r="AU260" s="44">
        <v>34</v>
      </c>
      <c r="AV260" s="31">
        <v>44852690.923729159</v>
      </c>
      <c r="AW260" s="31">
        <v>1068929.94</v>
      </c>
      <c r="AX260" s="31">
        <v>261407.47</v>
      </c>
      <c r="AY260" s="31">
        <v>164775.81</v>
      </c>
      <c r="AZ260" s="31">
        <v>7428182.6725095753</v>
      </c>
      <c r="BA260" s="31">
        <v>2881722.0514943022</v>
      </c>
      <c r="BB260" s="31">
        <v>4589616.0218605548</v>
      </c>
      <c r="BC260" s="31">
        <f t="shared" si="19"/>
        <v>61253516.319593586</v>
      </c>
      <c r="BD260" s="31">
        <v>6191.43</v>
      </c>
    </row>
    <row r="261" spans="2:56">
      <c r="B261" s="42" t="s">
        <v>115</v>
      </c>
      <c r="C261" s="42" t="s">
        <v>116</v>
      </c>
      <c r="D261" s="43" t="s">
        <v>1049</v>
      </c>
      <c r="E261" s="44">
        <v>34</v>
      </c>
      <c r="F261" s="31">
        <v>338095.06891283992</v>
      </c>
      <c r="G261" s="31">
        <v>0</v>
      </c>
      <c r="H261" s="31">
        <v>0</v>
      </c>
      <c r="I261" s="31">
        <v>0</v>
      </c>
      <c r="J261" s="31">
        <v>0</v>
      </c>
      <c r="K261" s="31">
        <v>105953.36240084749</v>
      </c>
      <c r="L261" s="31">
        <v>0</v>
      </c>
      <c r="M261" s="31">
        <f t="shared" ref="M261:M322" si="20">SUM(F261:L261,N261)</f>
        <v>444048.43131368741</v>
      </c>
      <c r="N261" s="31">
        <v>0</v>
      </c>
      <c r="P261" s="42" t="s">
        <v>115</v>
      </c>
      <c r="Q261" s="42" t="s">
        <v>116</v>
      </c>
      <c r="R261" s="43" t="s">
        <v>1050</v>
      </c>
      <c r="S261" s="44">
        <v>34</v>
      </c>
      <c r="T261" s="31">
        <v>358694.11919343728</v>
      </c>
      <c r="U261" s="31">
        <v>0</v>
      </c>
      <c r="V261" s="31">
        <v>0</v>
      </c>
      <c r="W261" s="31">
        <v>0</v>
      </c>
      <c r="X261" s="31">
        <v>0</v>
      </c>
      <c r="Y261" s="31">
        <v>106255.72096001178</v>
      </c>
      <c r="Z261" s="31">
        <v>0</v>
      </c>
      <c r="AA261" s="31">
        <f t="shared" ref="AA261:AA322" si="21">SUM(T261:Z261,AB261)</f>
        <v>464949.84015344904</v>
      </c>
      <c r="AB261" s="31">
        <v>0</v>
      </c>
      <c r="AD261" s="42" t="s">
        <v>115</v>
      </c>
      <c r="AE261" s="42" t="s">
        <v>116</v>
      </c>
      <c r="AF261" s="43" t="s">
        <v>1275</v>
      </c>
      <c r="AG261" s="44">
        <v>34</v>
      </c>
      <c r="AH261" s="31">
        <v>364913.77058971481</v>
      </c>
      <c r="AI261" s="31">
        <v>0</v>
      </c>
      <c r="AJ261" s="31">
        <v>0</v>
      </c>
      <c r="AK261" s="31">
        <v>0</v>
      </c>
      <c r="AL261" s="31">
        <v>0</v>
      </c>
      <c r="AM261" s="31">
        <v>106026.01000301179</v>
      </c>
      <c r="AN261" s="31">
        <v>0</v>
      </c>
      <c r="AO261" s="31">
        <f t="shared" ref="AO261:AO322" si="22">SUM(AH261:AN261,AP261)</f>
        <v>470939.7805927266</v>
      </c>
      <c r="AP261" s="31">
        <v>0</v>
      </c>
      <c r="AR261" s="42" t="s">
        <v>115</v>
      </c>
      <c r="AS261" s="42" t="s">
        <v>116</v>
      </c>
      <c r="AT261" s="43" t="s">
        <v>1276</v>
      </c>
      <c r="AU261" s="44">
        <v>34</v>
      </c>
      <c r="AV261" s="31">
        <v>371575.63519412797</v>
      </c>
      <c r="AW261" s="31">
        <v>0</v>
      </c>
      <c r="AX261" s="31">
        <v>0</v>
      </c>
      <c r="AY261" s="31">
        <v>0</v>
      </c>
      <c r="AZ261" s="31">
        <v>0</v>
      </c>
      <c r="BA261" s="31">
        <v>106032.57317321177</v>
      </c>
      <c r="BB261" s="31">
        <v>0</v>
      </c>
      <c r="BC261" s="31">
        <f t="shared" ref="BC261:BC322" si="23">SUM(AV261:BB261,BD261)</f>
        <v>477608.20836733974</v>
      </c>
      <c r="BD261" s="31">
        <v>0</v>
      </c>
    </row>
    <row r="262" spans="2:56">
      <c r="B262" s="42" t="s">
        <v>75</v>
      </c>
      <c r="C262" s="42" t="s">
        <v>76</v>
      </c>
      <c r="D262" s="43" t="s">
        <v>1049</v>
      </c>
      <c r="E262" s="44">
        <v>34</v>
      </c>
      <c r="F262" s="31">
        <v>3420955.7901091287</v>
      </c>
      <c r="G262" s="31">
        <v>130280.95</v>
      </c>
      <c r="H262" s="31">
        <v>0</v>
      </c>
      <c r="I262" s="31">
        <v>0</v>
      </c>
      <c r="J262" s="31">
        <v>226726.93169041289</v>
      </c>
      <c r="K262" s="31">
        <v>95832.400409903887</v>
      </c>
      <c r="L262" s="31">
        <v>0</v>
      </c>
      <c r="M262" s="31">
        <f t="shared" si="20"/>
        <v>3880617.062209446</v>
      </c>
      <c r="N262" s="31">
        <v>6820.99</v>
      </c>
      <c r="P262" s="42" t="s">
        <v>75</v>
      </c>
      <c r="Q262" s="42" t="s">
        <v>76</v>
      </c>
      <c r="R262" s="43" t="s">
        <v>1050</v>
      </c>
      <c r="S262" s="44">
        <v>34</v>
      </c>
      <c r="T262" s="31">
        <v>3652121.062841597</v>
      </c>
      <c r="U262" s="31">
        <v>138850.73000000004</v>
      </c>
      <c r="V262" s="31">
        <v>0</v>
      </c>
      <c r="W262" s="31">
        <v>0</v>
      </c>
      <c r="X262" s="31">
        <v>240196.84964136651</v>
      </c>
      <c r="Y262" s="31">
        <v>95850.08173308683</v>
      </c>
      <c r="Z262" s="31">
        <v>0</v>
      </c>
      <c r="AA262" s="31">
        <f t="shared" si="21"/>
        <v>4134169.0842160499</v>
      </c>
      <c r="AB262" s="31">
        <v>7150.36</v>
      </c>
      <c r="AD262" s="42" t="s">
        <v>75</v>
      </c>
      <c r="AE262" s="42" t="s">
        <v>76</v>
      </c>
      <c r="AF262" s="43" t="s">
        <v>1275</v>
      </c>
      <c r="AG262" s="44">
        <v>34</v>
      </c>
      <c r="AH262" s="31">
        <v>3734503.109982064</v>
      </c>
      <c r="AI262" s="31">
        <v>141269.86000000002</v>
      </c>
      <c r="AJ262" s="31">
        <v>0</v>
      </c>
      <c r="AK262" s="31">
        <v>0</v>
      </c>
      <c r="AL262" s="31">
        <v>244426.08963149009</v>
      </c>
      <c r="AM262" s="31">
        <v>95836.648696229502</v>
      </c>
      <c r="AN262" s="31">
        <v>0</v>
      </c>
      <c r="AO262" s="31">
        <f t="shared" si="22"/>
        <v>4223312.438309784</v>
      </c>
      <c r="AP262" s="31">
        <v>7276.73</v>
      </c>
      <c r="AR262" s="42" t="s">
        <v>75</v>
      </c>
      <c r="AS262" s="42" t="s">
        <v>76</v>
      </c>
      <c r="AT262" s="43" t="s">
        <v>1276</v>
      </c>
      <c r="AU262" s="44">
        <v>34</v>
      </c>
      <c r="AV262" s="31">
        <v>3821549.541509822</v>
      </c>
      <c r="AW262" s="31">
        <v>143860.76</v>
      </c>
      <c r="AX262" s="31">
        <v>0</v>
      </c>
      <c r="AY262" s="31">
        <v>0</v>
      </c>
      <c r="AZ262" s="31">
        <v>248955.65258864328</v>
      </c>
      <c r="BA262" s="31">
        <v>95837.032497282562</v>
      </c>
      <c r="BB262" s="31">
        <v>0</v>
      </c>
      <c r="BC262" s="31">
        <f t="shared" si="23"/>
        <v>4317615.0565957474</v>
      </c>
      <c r="BD262" s="31">
        <v>7412.0700000000006</v>
      </c>
    </row>
    <row r="263" spans="2:56">
      <c r="B263" s="42" t="s">
        <v>31</v>
      </c>
      <c r="C263" s="42" t="s">
        <v>32</v>
      </c>
      <c r="D263" s="43" t="s">
        <v>1049</v>
      </c>
      <c r="E263" s="44">
        <v>34</v>
      </c>
      <c r="F263" s="31">
        <v>385114.89577810367</v>
      </c>
      <c r="G263" s="31">
        <v>0</v>
      </c>
      <c r="H263" s="31">
        <v>0</v>
      </c>
      <c r="I263" s="31">
        <v>0</v>
      </c>
      <c r="J263" s="31">
        <v>0</v>
      </c>
      <c r="K263" s="31">
        <v>0</v>
      </c>
      <c r="L263" s="31">
        <v>0</v>
      </c>
      <c r="M263" s="31">
        <f t="shared" si="20"/>
        <v>385114.89577810367</v>
      </c>
      <c r="N263" s="31">
        <v>0</v>
      </c>
      <c r="P263" s="42" t="s">
        <v>31</v>
      </c>
      <c r="Q263" s="42" t="s">
        <v>32</v>
      </c>
      <c r="R263" s="43" t="s">
        <v>1050</v>
      </c>
      <c r="S263" s="44">
        <v>34</v>
      </c>
      <c r="T263" s="31">
        <v>405215.5361541973</v>
      </c>
      <c r="U263" s="31">
        <v>0</v>
      </c>
      <c r="V263" s="31">
        <v>0</v>
      </c>
      <c r="W263" s="31">
        <v>0</v>
      </c>
      <c r="X263" s="31">
        <v>0</v>
      </c>
      <c r="Y263" s="31">
        <v>0</v>
      </c>
      <c r="Z263" s="31">
        <v>0</v>
      </c>
      <c r="AA263" s="31">
        <f t="shared" si="21"/>
        <v>405215.5361541973</v>
      </c>
      <c r="AB263" s="31">
        <v>0</v>
      </c>
      <c r="AD263" s="42" t="s">
        <v>31</v>
      </c>
      <c r="AE263" s="42" t="s">
        <v>32</v>
      </c>
      <c r="AF263" s="43" t="s">
        <v>1275</v>
      </c>
      <c r="AG263" s="44">
        <v>34</v>
      </c>
      <c r="AH263" s="31">
        <v>412258.94401428982</v>
      </c>
      <c r="AI263" s="31">
        <v>0</v>
      </c>
      <c r="AJ263" s="31">
        <v>0</v>
      </c>
      <c r="AK263" s="31">
        <v>0</v>
      </c>
      <c r="AL263" s="31">
        <v>0</v>
      </c>
      <c r="AM263" s="31">
        <v>0</v>
      </c>
      <c r="AN263" s="31">
        <v>0</v>
      </c>
      <c r="AO263" s="31">
        <f t="shared" si="22"/>
        <v>412258.94401428982</v>
      </c>
      <c r="AP263" s="31">
        <v>0</v>
      </c>
      <c r="AR263" s="42" t="s">
        <v>31</v>
      </c>
      <c r="AS263" s="42" t="s">
        <v>32</v>
      </c>
      <c r="AT263" s="43" t="s">
        <v>1276</v>
      </c>
      <c r="AU263" s="44">
        <v>34</v>
      </c>
      <c r="AV263" s="31">
        <v>419803.26018084877</v>
      </c>
      <c r="AW263" s="31">
        <v>0</v>
      </c>
      <c r="AX263" s="31">
        <v>0</v>
      </c>
      <c r="AY263" s="31">
        <v>0</v>
      </c>
      <c r="AZ263" s="31">
        <v>0</v>
      </c>
      <c r="BA263" s="31">
        <v>0</v>
      </c>
      <c r="BB263" s="31">
        <v>0</v>
      </c>
      <c r="BC263" s="31">
        <f t="shared" si="23"/>
        <v>419803.26018084877</v>
      </c>
      <c r="BD263" s="31">
        <v>0</v>
      </c>
    </row>
    <row r="264" spans="2:56">
      <c r="B264" s="42" t="s">
        <v>361</v>
      </c>
      <c r="C264" s="42" t="s">
        <v>362</v>
      </c>
      <c r="D264" s="43" t="s">
        <v>1049</v>
      </c>
      <c r="E264" s="44">
        <v>34</v>
      </c>
      <c r="F264" s="31">
        <v>25954163.133895583</v>
      </c>
      <c r="G264" s="31">
        <v>473641.8</v>
      </c>
      <c r="H264" s="31">
        <v>171701.46</v>
      </c>
      <c r="I264" s="31">
        <v>90793.960000000021</v>
      </c>
      <c r="J264" s="31">
        <v>3829186.6494214335</v>
      </c>
      <c r="K264" s="31">
        <v>2181563.9076841744</v>
      </c>
      <c r="L264" s="31">
        <v>2350314.2429059669</v>
      </c>
      <c r="M264" s="31">
        <f t="shared" si="20"/>
        <v>35062865.733907163</v>
      </c>
      <c r="N264" s="31">
        <v>11500.58</v>
      </c>
      <c r="P264" s="42" t="s">
        <v>361</v>
      </c>
      <c r="Q264" s="42" t="s">
        <v>362</v>
      </c>
      <c r="R264" s="43" t="s">
        <v>1050</v>
      </c>
      <c r="S264" s="44">
        <v>34</v>
      </c>
      <c r="T264" s="31">
        <v>27457813.567645747</v>
      </c>
      <c r="U264" s="31">
        <v>500176.45999999996</v>
      </c>
      <c r="V264" s="31">
        <v>181253.44000000003</v>
      </c>
      <c r="W264" s="31">
        <v>95844.96</v>
      </c>
      <c r="X264" s="31">
        <v>4027578.0815800321</v>
      </c>
      <c r="Y264" s="31">
        <v>2185154.8129112977</v>
      </c>
      <c r="Z264" s="31">
        <v>2477279.1443506526</v>
      </c>
      <c r="AA264" s="31">
        <f t="shared" si="21"/>
        <v>36937055.536487736</v>
      </c>
      <c r="AB264" s="31">
        <v>11955.070000000002</v>
      </c>
      <c r="AD264" s="42" t="s">
        <v>361</v>
      </c>
      <c r="AE264" s="42" t="s">
        <v>362</v>
      </c>
      <c r="AF264" s="43" t="s">
        <v>1275</v>
      </c>
      <c r="AG264" s="44">
        <v>34</v>
      </c>
      <c r="AH264" s="31">
        <v>27961103.067766447</v>
      </c>
      <c r="AI264" s="31">
        <v>508925.80999999994</v>
      </c>
      <c r="AJ264" s="31">
        <v>184425.03000000003</v>
      </c>
      <c r="AK264" s="31">
        <v>97522.07</v>
      </c>
      <c r="AL264" s="31">
        <v>4098514.6306149843</v>
      </c>
      <c r="AM264" s="31">
        <v>2182408.7260690508</v>
      </c>
      <c r="AN264" s="31">
        <v>2520985.3098041611</v>
      </c>
      <c r="AO264" s="31">
        <f t="shared" si="22"/>
        <v>37566051.674254648</v>
      </c>
      <c r="AP264" s="31">
        <v>12167.03</v>
      </c>
      <c r="AR264" s="42" t="s">
        <v>361</v>
      </c>
      <c r="AS264" s="42" t="s">
        <v>362</v>
      </c>
      <c r="AT264" s="43" t="s">
        <v>1276</v>
      </c>
      <c r="AU264" s="44">
        <v>34</v>
      </c>
      <c r="AV264" s="31">
        <v>28498818.475946318</v>
      </c>
      <c r="AW264" s="31">
        <v>518296.38000000006</v>
      </c>
      <c r="AX264" s="31">
        <v>187821.80000000005</v>
      </c>
      <c r="AY264" s="31">
        <v>99318.24</v>
      </c>
      <c r="AZ264" s="31">
        <v>4174487.3277739394</v>
      </c>
      <c r="BA264" s="31">
        <v>2182487.185693115</v>
      </c>
      <c r="BB264" s="31">
        <v>2567793.1566302674</v>
      </c>
      <c r="BC264" s="31">
        <f t="shared" si="23"/>
        <v>38241416.606043637</v>
      </c>
      <c r="BD264" s="31">
        <v>12394.039999999999</v>
      </c>
    </row>
    <row r="265" spans="2:56">
      <c r="B265" s="42" t="s">
        <v>569</v>
      </c>
      <c r="C265" s="42" t="s">
        <v>570</v>
      </c>
      <c r="D265" s="43" t="s">
        <v>1049</v>
      </c>
      <c r="E265" s="44">
        <v>34</v>
      </c>
      <c r="F265" s="31">
        <v>569324.36935035675</v>
      </c>
      <c r="G265" s="31">
        <v>0</v>
      </c>
      <c r="H265" s="31">
        <v>0</v>
      </c>
      <c r="I265" s="31">
        <v>0</v>
      </c>
      <c r="J265" s="31">
        <v>58279.029089469484</v>
      </c>
      <c r="K265" s="31">
        <v>86897.163026802955</v>
      </c>
      <c r="L265" s="31">
        <v>0</v>
      </c>
      <c r="M265" s="31">
        <f t="shared" si="20"/>
        <v>714500.56146662915</v>
      </c>
      <c r="N265" s="31">
        <v>0</v>
      </c>
      <c r="P265" s="42" t="s">
        <v>569</v>
      </c>
      <c r="Q265" s="42" t="s">
        <v>570</v>
      </c>
      <c r="R265" s="43" t="s">
        <v>1050</v>
      </c>
      <c r="S265" s="44">
        <v>34</v>
      </c>
      <c r="T265" s="31">
        <v>604799.67160322424</v>
      </c>
      <c r="U265" s="31">
        <v>0</v>
      </c>
      <c r="V265" s="31">
        <v>0</v>
      </c>
      <c r="W265" s="31">
        <v>0</v>
      </c>
      <c r="X265" s="31">
        <v>61731.576486961203</v>
      </c>
      <c r="Y265" s="31">
        <v>87057.188346358424</v>
      </c>
      <c r="Z265" s="31">
        <v>0</v>
      </c>
      <c r="AA265" s="31">
        <f t="shared" si="21"/>
        <v>753588.43643654394</v>
      </c>
      <c r="AB265" s="31">
        <v>0</v>
      </c>
      <c r="AD265" s="42" t="s">
        <v>569</v>
      </c>
      <c r="AE265" s="42" t="s">
        <v>570</v>
      </c>
      <c r="AF265" s="43" t="s">
        <v>1275</v>
      </c>
      <c r="AG265" s="44">
        <v>34</v>
      </c>
      <c r="AH265" s="31">
        <v>615326.3952491805</v>
      </c>
      <c r="AI265" s="31">
        <v>0</v>
      </c>
      <c r="AJ265" s="31">
        <v>0</v>
      </c>
      <c r="AK265" s="31">
        <v>0</v>
      </c>
      <c r="AL265" s="31">
        <v>62814.295744614035</v>
      </c>
      <c r="AM265" s="31">
        <v>86935.612263310148</v>
      </c>
      <c r="AN265" s="31">
        <v>0</v>
      </c>
      <c r="AO265" s="31">
        <f t="shared" si="22"/>
        <v>765076.30325710459</v>
      </c>
      <c r="AP265" s="31">
        <v>0</v>
      </c>
      <c r="AR265" s="42" t="s">
        <v>569</v>
      </c>
      <c r="AS265" s="42" t="s">
        <v>570</v>
      </c>
      <c r="AT265" s="43" t="s">
        <v>1276</v>
      </c>
      <c r="AU265" s="44">
        <v>34</v>
      </c>
      <c r="AV265" s="31">
        <v>626601.10240579967</v>
      </c>
      <c r="AW265" s="31">
        <v>0</v>
      </c>
      <c r="AX265" s="31">
        <v>0</v>
      </c>
      <c r="AY265" s="31">
        <v>0</v>
      </c>
      <c r="AZ265" s="31">
        <v>63973.873298308965</v>
      </c>
      <c r="BA265" s="31">
        <v>86939.085865682937</v>
      </c>
      <c r="BB265" s="31">
        <v>0</v>
      </c>
      <c r="BC265" s="31">
        <f t="shared" si="23"/>
        <v>777514.06156979152</v>
      </c>
      <c r="BD265" s="31">
        <v>0</v>
      </c>
    </row>
    <row r="266" spans="2:56">
      <c r="B266" s="42" t="s">
        <v>421</v>
      </c>
      <c r="C266" s="42" t="s">
        <v>422</v>
      </c>
      <c r="D266" s="43" t="s">
        <v>1049</v>
      </c>
      <c r="E266" s="44">
        <v>34</v>
      </c>
      <c r="F266" s="31">
        <v>6375834.4942030199</v>
      </c>
      <c r="G266" s="31">
        <v>253643.43999999997</v>
      </c>
      <c r="H266" s="31">
        <v>27089.08</v>
      </c>
      <c r="I266" s="31">
        <v>22022.059999999998</v>
      </c>
      <c r="J266" s="31">
        <v>1036368.1797604333</v>
      </c>
      <c r="K266" s="31">
        <v>678197.32459479372</v>
      </c>
      <c r="L266" s="31">
        <v>513844.2943660398</v>
      </c>
      <c r="M266" s="31">
        <f t="shared" si="20"/>
        <v>9133650.662924286</v>
      </c>
      <c r="N266" s="31">
        <v>226651.79</v>
      </c>
      <c r="P266" s="42" t="s">
        <v>421</v>
      </c>
      <c r="Q266" s="42" t="s">
        <v>422</v>
      </c>
      <c r="R266" s="43" t="s">
        <v>1050</v>
      </c>
      <c r="S266" s="44">
        <v>34</v>
      </c>
      <c r="T266" s="31">
        <v>6857281.6953417948</v>
      </c>
      <c r="U266" s="31">
        <v>273874.11</v>
      </c>
      <c r="V266" s="31">
        <v>28847.410000000003</v>
      </c>
      <c r="W266" s="31">
        <v>23451.479999999996</v>
      </c>
      <c r="X266" s="31">
        <v>1097877.3063175378</v>
      </c>
      <c r="Y266" s="31">
        <v>679633.79540745378</v>
      </c>
      <c r="Z266" s="31">
        <v>550715.62893700704</v>
      </c>
      <c r="AA266" s="31">
        <f t="shared" si="21"/>
        <v>9749278.0860037953</v>
      </c>
      <c r="AB266" s="31">
        <v>237596.66</v>
      </c>
      <c r="AD266" s="42" t="s">
        <v>421</v>
      </c>
      <c r="AE266" s="42" t="s">
        <v>422</v>
      </c>
      <c r="AF266" s="43" t="s">
        <v>1275</v>
      </c>
      <c r="AG266" s="44">
        <v>34</v>
      </c>
      <c r="AH266" s="31">
        <v>6978014.3025782742</v>
      </c>
      <c r="AI266" s="31">
        <v>278592.67999999993</v>
      </c>
      <c r="AJ266" s="31">
        <v>29350.360000000004</v>
      </c>
      <c r="AK266" s="31">
        <v>23860.349999999995</v>
      </c>
      <c r="AL266" s="31">
        <v>1117162.3934525549</v>
      </c>
      <c r="AM266" s="31">
        <v>678542.46501485386</v>
      </c>
      <c r="AN266" s="31">
        <v>560405.10476579994</v>
      </c>
      <c r="AO266" s="31">
        <f t="shared" si="22"/>
        <v>9907723.1558114849</v>
      </c>
      <c r="AP266" s="31">
        <v>241795.5</v>
      </c>
      <c r="AR266" s="42" t="s">
        <v>421</v>
      </c>
      <c r="AS266" s="42" t="s">
        <v>422</v>
      </c>
      <c r="AT266" s="43" t="s">
        <v>1276</v>
      </c>
      <c r="AU266" s="44">
        <v>34</v>
      </c>
      <c r="AV266" s="31">
        <v>7107289.3761006566</v>
      </c>
      <c r="AW266" s="31">
        <v>283646.24</v>
      </c>
      <c r="AX266" s="31">
        <v>29889.010000000002</v>
      </c>
      <c r="AY266" s="31">
        <v>24298.26</v>
      </c>
      <c r="AZ266" s="31">
        <v>1137816.6136348897</v>
      </c>
      <c r="BA266" s="31">
        <v>678573.64588321385</v>
      </c>
      <c r="BB266" s="31">
        <v>570782.20589083724</v>
      </c>
      <c r="BC266" s="31">
        <f t="shared" si="23"/>
        <v>10078587.831509598</v>
      </c>
      <c r="BD266" s="31">
        <v>246292.48000000001</v>
      </c>
    </row>
    <row r="267" spans="2:56">
      <c r="B267" s="42" t="s">
        <v>443</v>
      </c>
      <c r="C267" s="42" t="s">
        <v>444</v>
      </c>
      <c r="D267" s="43" t="s">
        <v>1049</v>
      </c>
      <c r="E267" s="44">
        <v>34</v>
      </c>
      <c r="F267" s="31">
        <v>17552040.264325533</v>
      </c>
      <c r="G267" s="31">
        <v>775197.3600000001</v>
      </c>
      <c r="H267" s="31">
        <v>390478.13999999996</v>
      </c>
      <c r="I267" s="31">
        <v>62783.65</v>
      </c>
      <c r="J267" s="31">
        <v>2801962.5131838545</v>
      </c>
      <c r="K267" s="31">
        <v>1447394.9327474032</v>
      </c>
      <c r="L267" s="31">
        <v>1460433.9602249907</v>
      </c>
      <c r="M267" s="31">
        <f t="shared" si="20"/>
        <v>25119256.480481781</v>
      </c>
      <c r="N267" s="31">
        <v>628965.65999999992</v>
      </c>
      <c r="P267" s="42" t="s">
        <v>443</v>
      </c>
      <c r="Q267" s="42" t="s">
        <v>444</v>
      </c>
      <c r="R267" s="43" t="s">
        <v>1050</v>
      </c>
      <c r="S267" s="44">
        <v>34</v>
      </c>
      <c r="T267" s="31">
        <v>18877247.488327477</v>
      </c>
      <c r="U267" s="31">
        <v>833899.83</v>
      </c>
      <c r="V267" s="31">
        <v>415402.85</v>
      </c>
      <c r="W267" s="31">
        <v>66791.199999999997</v>
      </c>
      <c r="X267" s="31">
        <v>2967260.0028341739</v>
      </c>
      <c r="Y267" s="31">
        <v>1451149.0812161951</v>
      </c>
      <c r="Z267" s="31">
        <v>1564716.721587593</v>
      </c>
      <c r="AA267" s="31">
        <f t="shared" si="21"/>
        <v>26836359.843965441</v>
      </c>
      <c r="AB267" s="31">
        <v>659892.67000000004</v>
      </c>
      <c r="AD267" s="42" t="s">
        <v>443</v>
      </c>
      <c r="AE267" s="42" t="s">
        <v>444</v>
      </c>
      <c r="AF267" s="43" t="s">
        <v>1275</v>
      </c>
      <c r="AG267" s="44">
        <v>34</v>
      </c>
      <c r="AH267" s="31">
        <v>19222416.979874078</v>
      </c>
      <c r="AI267" s="31">
        <v>848581.64</v>
      </c>
      <c r="AJ267" s="31">
        <v>422785.07</v>
      </c>
      <c r="AK267" s="31">
        <v>67978.17</v>
      </c>
      <c r="AL267" s="31">
        <v>3020151.1405911455</v>
      </c>
      <c r="AM267" s="31">
        <v>1448209.1438175451</v>
      </c>
      <c r="AN267" s="31">
        <v>1592644.047638244</v>
      </c>
      <c r="AO267" s="31">
        <f t="shared" si="22"/>
        <v>27294523.581921015</v>
      </c>
      <c r="AP267" s="31">
        <v>671757.39</v>
      </c>
      <c r="AR267" s="42" t="s">
        <v>443</v>
      </c>
      <c r="AS267" s="42" t="s">
        <v>444</v>
      </c>
      <c r="AT267" s="43" t="s">
        <v>1276</v>
      </c>
      <c r="AU267" s="44">
        <v>34</v>
      </c>
      <c r="AV267" s="31">
        <v>19591498.185139768</v>
      </c>
      <c r="AW267" s="31">
        <v>864305.86</v>
      </c>
      <c r="AX267" s="31">
        <v>430691.43</v>
      </c>
      <c r="AY267" s="31">
        <v>69249.41</v>
      </c>
      <c r="AZ267" s="31">
        <v>3076797.3094325881</v>
      </c>
      <c r="BA267" s="31">
        <v>1448293.142028935</v>
      </c>
      <c r="BB267" s="31">
        <v>1622553.388780291</v>
      </c>
      <c r="BC267" s="31">
        <f t="shared" si="23"/>
        <v>27787853.235381585</v>
      </c>
      <c r="BD267" s="31">
        <v>684464.50999999989</v>
      </c>
    </row>
    <row r="268" spans="2:56">
      <c r="B268" s="42" t="s">
        <v>1022</v>
      </c>
      <c r="C268" s="42" t="s">
        <v>1040</v>
      </c>
      <c r="D268" s="43" t="s">
        <v>1049</v>
      </c>
      <c r="E268" s="44">
        <v>34</v>
      </c>
      <c r="F268" s="31">
        <v>4372247.8882674482</v>
      </c>
      <c r="G268" s="31">
        <v>178752.71000000002</v>
      </c>
      <c r="H268" s="31">
        <v>159104.59</v>
      </c>
      <c r="I268" s="31">
        <v>15244.220000000003</v>
      </c>
      <c r="J268" s="31">
        <v>575890.58804156969</v>
      </c>
      <c r="K268" s="31">
        <v>549892.23</v>
      </c>
      <c r="L268" s="31">
        <v>0</v>
      </c>
      <c r="M268" s="31">
        <f t="shared" si="20"/>
        <v>6004816.6563090179</v>
      </c>
      <c r="N268" s="31">
        <v>153684.43</v>
      </c>
      <c r="P268" s="42" t="s">
        <v>1022</v>
      </c>
      <c r="Q268" s="42" t="s">
        <v>1040</v>
      </c>
      <c r="R268" s="43" t="s">
        <v>1050</v>
      </c>
      <c r="S268" s="44">
        <v>34</v>
      </c>
      <c r="T268" s="31">
        <v>4683791.1379033839</v>
      </c>
      <c r="U268" s="31">
        <v>192415.77000000002</v>
      </c>
      <c r="V268" s="31">
        <v>169260.44999999998</v>
      </c>
      <c r="W268" s="31">
        <v>16217.28</v>
      </c>
      <c r="X268" s="31">
        <v>609967.53951326618</v>
      </c>
      <c r="Y268" s="31">
        <v>549892.23</v>
      </c>
      <c r="Z268" s="31">
        <v>0</v>
      </c>
      <c r="AA268" s="31">
        <f t="shared" si="21"/>
        <v>6382785.6774166506</v>
      </c>
      <c r="AB268" s="31">
        <v>161241.27000000002</v>
      </c>
      <c r="AD268" s="42" t="s">
        <v>1022</v>
      </c>
      <c r="AE268" s="42" t="s">
        <v>1040</v>
      </c>
      <c r="AF268" s="43" t="s">
        <v>1275</v>
      </c>
      <c r="AG268" s="44">
        <v>34</v>
      </c>
      <c r="AH268" s="31">
        <v>4767780.7899572207</v>
      </c>
      <c r="AI268" s="31">
        <v>195801.59000000005</v>
      </c>
      <c r="AJ268" s="31">
        <v>172268.41999999998</v>
      </c>
      <c r="AK268" s="31">
        <v>16505.48</v>
      </c>
      <c r="AL268" s="31">
        <v>620852.08801722003</v>
      </c>
      <c r="AM268" s="31">
        <v>549892.23</v>
      </c>
      <c r="AN268" s="31">
        <v>0</v>
      </c>
      <c r="AO268" s="31">
        <f t="shared" si="22"/>
        <v>6487240.9579744404</v>
      </c>
      <c r="AP268" s="31">
        <v>164140.36000000002</v>
      </c>
      <c r="AR268" s="42" t="s">
        <v>1022</v>
      </c>
      <c r="AS268" s="42" t="s">
        <v>1040</v>
      </c>
      <c r="AT268" s="43" t="s">
        <v>1276</v>
      </c>
      <c r="AU268" s="44">
        <v>34</v>
      </c>
      <c r="AV268" s="31">
        <v>4857699.1875837361</v>
      </c>
      <c r="AW268" s="31">
        <v>199427.84000000003</v>
      </c>
      <c r="AX268" s="31">
        <v>175489.94999999998</v>
      </c>
      <c r="AY268" s="31">
        <v>16814.14</v>
      </c>
      <c r="AZ268" s="31">
        <v>632509.43963251845</v>
      </c>
      <c r="BA268" s="31">
        <v>549892.23</v>
      </c>
      <c r="BB268" s="31">
        <v>0</v>
      </c>
      <c r="BC268" s="31">
        <f t="shared" si="23"/>
        <v>6599078.0572162531</v>
      </c>
      <c r="BD268" s="31">
        <v>167245.27000000002</v>
      </c>
    </row>
    <row r="269" spans="2:56">
      <c r="B269" s="42" t="s">
        <v>391</v>
      </c>
      <c r="C269" s="42" t="s">
        <v>392</v>
      </c>
      <c r="D269" s="43" t="s">
        <v>1049</v>
      </c>
      <c r="E269" s="44">
        <v>34</v>
      </c>
      <c r="F269" s="31">
        <v>2004019.8586240229</v>
      </c>
      <c r="G269" s="31">
        <v>81790.639999999985</v>
      </c>
      <c r="H269" s="31">
        <v>32651.61</v>
      </c>
      <c r="I269" s="31">
        <v>5495.8100000000013</v>
      </c>
      <c r="J269" s="31">
        <v>217034.57474780016</v>
      </c>
      <c r="K269" s="31">
        <v>163150.46</v>
      </c>
      <c r="L269" s="31">
        <v>0</v>
      </c>
      <c r="M269" s="31">
        <f t="shared" si="20"/>
        <v>2561364.0733718234</v>
      </c>
      <c r="N269" s="31">
        <v>57221.119999999995</v>
      </c>
      <c r="P269" s="42" t="s">
        <v>391</v>
      </c>
      <c r="Q269" s="42" t="s">
        <v>392</v>
      </c>
      <c r="R269" s="43" t="s">
        <v>1050</v>
      </c>
      <c r="S269" s="44">
        <v>34</v>
      </c>
      <c r="T269" s="31">
        <v>2129591.3516609557</v>
      </c>
      <c r="U269" s="31">
        <v>87910.690000000031</v>
      </c>
      <c r="V269" s="31">
        <v>34746.410000000003</v>
      </c>
      <c r="W269" s="31">
        <v>5848.41</v>
      </c>
      <c r="X269" s="31">
        <v>229883.38710128705</v>
      </c>
      <c r="Y269" s="31">
        <v>163150.46</v>
      </c>
      <c r="Z269" s="31">
        <v>0</v>
      </c>
      <c r="AA269" s="31">
        <f t="shared" si="21"/>
        <v>2711150.2587622427</v>
      </c>
      <c r="AB269" s="31">
        <v>60019.549999999988</v>
      </c>
      <c r="AD269" s="42" t="s">
        <v>391</v>
      </c>
      <c r="AE269" s="42" t="s">
        <v>392</v>
      </c>
      <c r="AF269" s="43" t="s">
        <v>1275</v>
      </c>
      <c r="AG269" s="44">
        <v>34</v>
      </c>
      <c r="AH269" s="31">
        <v>2167284.6169448332</v>
      </c>
      <c r="AI269" s="31">
        <v>89451.010000000009</v>
      </c>
      <c r="AJ269" s="31">
        <v>35360.370000000003</v>
      </c>
      <c r="AK269" s="31">
        <v>5951.75</v>
      </c>
      <c r="AL269" s="31">
        <v>233972.4777552317</v>
      </c>
      <c r="AM269" s="31">
        <v>163150.46</v>
      </c>
      <c r="AN269" s="31">
        <v>0</v>
      </c>
      <c r="AO269" s="31">
        <f t="shared" si="22"/>
        <v>2756263.8047000654</v>
      </c>
      <c r="AP269" s="31">
        <v>61093.119999999988</v>
      </c>
      <c r="AR269" s="42" t="s">
        <v>391</v>
      </c>
      <c r="AS269" s="42" t="s">
        <v>392</v>
      </c>
      <c r="AT269" s="43" t="s">
        <v>1276</v>
      </c>
      <c r="AU269" s="44">
        <v>34</v>
      </c>
      <c r="AV269" s="31">
        <v>2207655.7062300658</v>
      </c>
      <c r="AW269" s="31">
        <v>91100.69</v>
      </c>
      <c r="AX269" s="31">
        <v>36017.920000000006</v>
      </c>
      <c r="AY269" s="31">
        <v>6062.42</v>
      </c>
      <c r="AZ269" s="31">
        <v>238351.94750548757</v>
      </c>
      <c r="BA269" s="31">
        <v>163150.46</v>
      </c>
      <c r="BB269" s="31">
        <v>0</v>
      </c>
      <c r="BC269" s="31">
        <f t="shared" si="23"/>
        <v>2804582.0637355531</v>
      </c>
      <c r="BD269" s="31">
        <v>62242.920000000006</v>
      </c>
    </row>
    <row r="270" spans="2:56">
      <c r="B270" s="42" t="s">
        <v>221</v>
      </c>
      <c r="C270" s="42" t="s">
        <v>222</v>
      </c>
      <c r="D270" s="43" t="s">
        <v>1049</v>
      </c>
      <c r="E270" s="44">
        <v>34</v>
      </c>
      <c r="F270" s="31">
        <v>2812960.1904540053</v>
      </c>
      <c r="G270" s="31">
        <v>82996.38</v>
      </c>
      <c r="H270" s="31">
        <v>100724.84</v>
      </c>
      <c r="I270" s="31">
        <v>9936.98</v>
      </c>
      <c r="J270" s="31">
        <v>388656.25018119102</v>
      </c>
      <c r="K270" s="31">
        <v>567488.78</v>
      </c>
      <c r="L270" s="31">
        <v>0</v>
      </c>
      <c r="M270" s="31">
        <f t="shared" si="20"/>
        <v>3962763.4206351964</v>
      </c>
      <c r="N270" s="31">
        <v>0</v>
      </c>
      <c r="P270" s="42" t="s">
        <v>221</v>
      </c>
      <c r="Q270" s="42" t="s">
        <v>222</v>
      </c>
      <c r="R270" s="43" t="s">
        <v>1050</v>
      </c>
      <c r="S270" s="44">
        <v>34</v>
      </c>
      <c r="T270" s="31">
        <v>2991740.0809010053</v>
      </c>
      <c r="U270" s="31">
        <v>88294.13</v>
      </c>
      <c r="V270" s="31">
        <v>107154.23</v>
      </c>
      <c r="W270" s="31">
        <v>10571.28</v>
      </c>
      <c r="X270" s="31">
        <v>411625.81556096178</v>
      </c>
      <c r="Y270" s="31">
        <v>567488.78</v>
      </c>
      <c r="Z270" s="31">
        <v>0</v>
      </c>
      <c r="AA270" s="31">
        <f t="shared" si="21"/>
        <v>4176874.3164619664</v>
      </c>
      <c r="AB270" s="31">
        <v>0</v>
      </c>
      <c r="AD270" s="42" t="s">
        <v>221</v>
      </c>
      <c r="AE270" s="42" t="s">
        <v>222</v>
      </c>
      <c r="AF270" s="43" t="s">
        <v>1275</v>
      </c>
      <c r="AG270" s="44">
        <v>34</v>
      </c>
      <c r="AH270" s="31">
        <v>3045473.6199703361</v>
      </c>
      <c r="AI270" s="31">
        <v>89863.23000000001</v>
      </c>
      <c r="AJ270" s="31">
        <v>109058.5</v>
      </c>
      <c r="AK270" s="31">
        <v>10759.15</v>
      </c>
      <c r="AL270" s="31">
        <v>418979.00558667083</v>
      </c>
      <c r="AM270" s="31">
        <v>567488.78</v>
      </c>
      <c r="AN270" s="31">
        <v>0</v>
      </c>
      <c r="AO270" s="31">
        <f t="shared" si="22"/>
        <v>4241622.2855570065</v>
      </c>
      <c r="AP270" s="31">
        <v>0</v>
      </c>
      <c r="AR270" s="42" t="s">
        <v>221</v>
      </c>
      <c r="AS270" s="42" t="s">
        <v>222</v>
      </c>
      <c r="AT270" s="43" t="s">
        <v>1276</v>
      </c>
      <c r="AU270" s="44">
        <v>34</v>
      </c>
      <c r="AV270" s="31">
        <v>3103001.5974021051</v>
      </c>
      <c r="AW270" s="31">
        <v>91543.73</v>
      </c>
      <c r="AX270" s="31">
        <v>111097.95999999999</v>
      </c>
      <c r="AY270" s="31">
        <v>10960.35</v>
      </c>
      <c r="AZ270" s="31">
        <v>426854.36460308393</v>
      </c>
      <c r="BA270" s="31">
        <v>567488.78</v>
      </c>
      <c r="BB270" s="31">
        <v>0</v>
      </c>
      <c r="BC270" s="31">
        <f t="shared" si="23"/>
        <v>4310946.782005189</v>
      </c>
      <c r="BD270" s="31">
        <v>0</v>
      </c>
    </row>
    <row r="271" spans="2:56">
      <c r="B271" s="42" t="s">
        <v>495</v>
      </c>
      <c r="C271" s="42" t="s">
        <v>496</v>
      </c>
      <c r="D271" s="43" t="s">
        <v>1049</v>
      </c>
      <c r="E271" s="44">
        <v>34</v>
      </c>
      <c r="F271" s="31">
        <v>663445.3646271273</v>
      </c>
      <c r="G271" s="31">
        <v>37905.230000000003</v>
      </c>
      <c r="H271" s="31">
        <v>0</v>
      </c>
      <c r="I271" s="31">
        <v>2046.29</v>
      </c>
      <c r="J271" s="31">
        <v>77745.358989579487</v>
      </c>
      <c r="K271" s="31">
        <v>0</v>
      </c>
      <c r="L271" s="31">
        <v>0</v>
      </c>
      <c r="M271" s="31">
        <f t="shared" si="20"/>
        <v>801994.99361670681</v>
      </c>
      <c r="N271" s="31">
        <v>20852.75</v>
      </c>
      <c r="P271" s="42" t="s">
        <v>495</v>
      </c>
      <c r="Q271" s="42" t="s">
        <v>496</v>
      </c>
      <c r="R271" s="43" t="s">
        <v>1050</v>
      </c>
      <c r="S271" s="44">
        <v>34</v>
      </c>
      <c r="T271" s="31">
        <v>715736.98853136576</v>
      </c>
      <c r="U271" s="31">
        <v>40712.19</v>
      </c>
      <c r="V271" s="31">
        <v>0</v>
      </c>
      <c r="W271" s="31">
        <v>2179.11</v>
      </c>
      <c r="X271" s="31">
        <v>82350.89848717417</v>
      </c>
      <c r="Y271" s="31">
        <v>0</v>
      </c>
      <c r="Z271" s="31">
        <v>0</v>
      </c>
      <c r="AA271" s="31">
        <f t="shared" si="21"/>
        <v>862838.89701853984</v>
      </c>
      <c r="AB271" s="31">
        <v>21859.710000000003</v>
      </c>
      <c r="AD271" s="42" t="s">
        <v>495</v>
      </c>
      <c r="AE271" s="42" t="s">
        <v>496</v>
      </c>
      <c r="AF271" s="43" t="s">
        <v>1275</v>
      </c>
      <c r="AG271" s="44">
        <v>34</v>
      </c>
      <c r="AH271" s="31">
        <v>728269.81171337329</v>
      </c>
      <c r="AI271" s="31">
        <v>41416.81</v>
      </c>
      <c r="AJ271" s="31">
        <v>0</v>
      </c>
      <c r="AK271" s="31">
        <v>2217.11</v>
      </c>
      <c r="AL271" s="31">
        <v>83795.240867787594</v>
      </c>
      <c r="AM271" s="31">
        <v>0</v>
      </c>
      <c r="AN271" s="31">
        <v>0</v>
      </c>
      <c r="AO271" s="31">
        <f t="shared" si="22"/>
        <v>877944.99258116097</v>
      </c>
      <c r="AP271" s="31">
        <v>22246.02</v>
      </c>
      <c r="AR271" s="42" t="s">
        <v>495</v>
      </c>
      <c r="AS271" s="42" t="s">
        <v>496</v>
      </c>
      <c r="AT271" s="43" t="s">
        <v>1276</v>
      </c>
      <c r="AU271" s="44">
        <v>34</v>
      </c>
      <c r="AV271" s="31">
        <v>741692.35522809299</v>
      </c>
      <c r="AW271" s="31">
        <v>42171.47</v>
      </c>
      <c r="AX271" s="31">
        <v>0</v>
      </c>
      <c r="AY271" s="31">
        <v>2257.7999999999997</v>
      </c>
      <c r="AZ271" s="31">
        <v>85342.111877528921</v>
      </c>
      <c r="BA271" s="31">
        <v>0</v>
      </c>
      <c r="BB271" s="31">
        <v>0</v>
      </c>
      <c r="BC271" s="31">
        <f t="shared" si="23"/>
        <v>894123.48710562196</v>
      </c>
      <c r="BD271" s="31">
        <v>22659.750000000004</v>
      </c>
    </row>
    <row r="272" spans="2:56">
      <c r="B272" s="42" t="s">
        <v>371</v>
      </c>
      <c r="C272" s="42" t="s">
        <v>372</v>
      </c>
      <c r="D272" s="43" t="s">
        <v>1049</v>
      </c>
      <c r="E272" s="44">
        <v>34</v>
      </c>
      <c r="F272" s="31">
        <v>86685427.923103526</v>
      </c>
      <c r="G272" s="31">
        <v>1980432.78</v>
      </c>
      <c r="H272" s="31">
        <v>726201.79999999993</v>
      </c>
      <c r="I272" s="31">
        <v>306364.68000000005</v>
      </c>
      <c r="J272" s="31">
        <v>12044673.861620503</v>
      </c>
      <c r="K272" s="31">
        <v>4521571.2075299555</v>
      </c>
      <c r="L272" s="31">
        <v>6313522.3172095455</v>
      </c>
      <c r="M272" s="31">
        <f t="shared" si="20"/>
        <v>112715051.11946353</v>
      </c>
      <c r="N272" s="31">
        <v>136856.54999999999</v>
      </c>
      <c r="P272" s="42" t="s">
        <v>371</v>
      </c>
      <c r="Q272" s="42" t="s">
        <v>372</v>
      </c>
      <c r="R272" s="43" t="s">
        <v>1050</v>
      </c>
      <c r="S272" s="44">
        <v>34</v>
      </c>
      <c r="T272" s="31">
        <v>92239516.56618312</v>
      </c>
      <c r="U272" s="31">
        <v>2109576.8799999994</v>
      </c>
      <c r="V272" s="31">
        <v>772792.1</v>
      </c>
      <c r="W272" s="31">
        <v>326019.88000000006</v>
      </c>
      <c r="X272" s="31">
        <v>12756558.184984831</v>
      </c>
      <c r="Y272" s="31">
        <v>4533792.2706382144</v>
      </c>
      <c r="Z272" s="31">
        <v>6699142.5394295864</v>
      </c>
      <c r="AA272" s="31">
        <f t="shared" si="21"/>
        <v>119580948.00123574</v>
      </c>
      <c r="AB272" s="31">
        <v>143549.58000000002</v>
      </c>
      <c r="AD272" s="42" t="s">
        <v>371</v>
      </c>
      <c r="AE272" s="42" t="s">
        <v>372</v>
      </c>
      <c r="AF272" s="43" t="s">
        <v>1275</v>
      </c>
      <c r="AG272" s="44">
        <v>34</v>
      </c>
      <c r="AH272" s="31">
        <v>93902974.842956156</v>
      </c>
      <c r="AI272" s="31">
        <v>2146821.4099999997</v>
      </c>
      <c r="AJ272" s="31">
        <v>786447.15999999992</v>
      </c>
      <c r="AK272" s="31">
        <v>331780.57000000007</v>
      </c>
      <c r="AL272" s="31">
        <v>12982940.458290529</v>
      </c>
      <c r="AM272" s="31">
        <v>4524310.6229025153</v>
      </c>
      <c r="AN272" s="31">
        <v>6818196.7052710429</v>
      </c>
      <c r="AO272" s="31">
        <f t="shared" si="22"/>
        <v>121639589.02942024</v>
      </c>
      <c r="AP272" s="31">
        <v>146117.25999999998</v>
      </c>
      <c r="AR272" s="42" t="s">
        <v>371</v>
      </c>
      <c r="AS272" s="42" t="s">
        <v>372</v>
      </c>
      <c r="AT272" s="43" t="s">
        <v>1276</v>
      </c>
      <c r="AU272" s="44">
        <v>34</v>
      </c>
      <c r="AV272" s="31">
        <v>95682689.464450374</v>
      </c>
      <c r="AW272" s="31">
        <v>2186710.3099999996</v>
      </c>
      <c r="AX272" s="31">
        <v>801071.73</v>
      </c>
      <c r="AY272" s="31">
        <v>337950.28</v>
      </c>
      <c r="AZ272" s="31">
        <v>13225394.892669585</v>
      </c>
      <c r="BA272" s="31">
        <v>4524581.5271235351</v>
      </c>
      <c r="BB272" s="31">
        <v>6945700.0100966431</v>
      </c>
      <c r="BC272" s="31">
        <f t="shared" si="23"/>
        <v>123852965.46434015</v>
      </c>
      <c r="BD272" s="31">
        <v>148867.24999999997</v>
      </c>
    </row>
    <row r="273" spans="2:56">
      <c r="B273" s="42" t="s">
        <v>595</v>
      </c>
      <c r="C273" s="42" t="s">
        <v>596</v>
      </c>
      <c r="D273" s="43" t="s">
        <v>1049</v>
      </c>
      <c r="E273" s="44">
        <v>34</v>
      </c>
      <c r="F273" s="31">
        <v>53208260.677478388</v>
      </c>
      <c r="G273" s="31">
        <v>3767720.63</v>
      </c>
      <c r="H273" s="31">
        <v>3086693.38</v>
      </c>
      <c r="I273" s="31">
        <v>180658.84</v>
      </c>
      <c r="J273" s="31">
        <v>7850638.4012261145</v>
      </c>
      <c r="K273" s="31">
        <v>3065070.5969906682</v>
      </c>
      <c r="L273" s="31">
        <v>2349537.1804656349</v>
      </c>
      <c r="M273" s="31">
        <f t="shared" si="20"/>
        <v>75362232.776160821</v>
      </c>
      <c r="N273" s="31">
        <v>1853653.07</v>
      </c>
      <c r="P273" s="42" t="s">
        <v>595</v>
      </c>
      <c r="Q273" s="42" t="s">
        <v>596</v>
      </c>
      <c r="R273" s="43" t="s">
        <v>1050</v>
      </c>
      <c r="S273" s="44">
        <v>34</v>
      </c>
      <c r="T273" s="31">
        <v>57218313.435245179</v>
      </c>
      <c r="U273" s="31">
        <v>4043087.4999999991</v>
      </c>
      <c r="V273" s="31">
        <v>3287048.02</v>
      </c>
      <c r="W273" s="31">
        <v>192385.24</v>
      </c>
      <c r="X273" s="31">
        <v>8316461.3657090636</v>
      </c>
      <c r="Y273" s="31">
        <v>3072810.8617625912</v>
      </c>
      <c r="Z273" s="31">
        <v>2517945.1983991172</v>
      </c>
      <c r="AA273" s="31">
        <f t="shared" si="21"/>
        <v>80591216.371115953</v>
      </c>
      <c r="AB273" s="31">
        <v>1943164.75</v>
      </c>
      <c r="AD273" s="42" t="s">
        <v>595</v>
      </c>
      <c r="AE273" s="42" t="s">
        <v>596</v>
      </c>
      <c r="AF273" s="43" t="s">
        <v>1275</v>
      </c>
      <c r="AG273" s="44">
        <v>34</v>
      </c>
      <c r="AH273" s="31">
        <v>58232073.07592947</v>
      </c>
      <c r="AI273" s="31">
        <v>4113116.94</v>
      </c>
      <c r="AJ273" s="31">
        <v>3344357.17</v>
      </c>
      <c r="AK273" s="31">
        <v>195739.45</v>
      </c>
      <c r="AL273" s="31">
        <v>8462547.8131796774</v>
      </c>
      <c r="AM273" s="31">
        <v>3066930.3481329917</v>
      </c>
      <c r="AN273" s="31">
        <v>2562246.8643239709</v>
      </c>
      <c r="AO273" s="31">
        <f t="shared" si="22"/>
        <v>81954516.341566131</v>
      </c>
      <c r="AP273" s="31">
        <v>1977504.6800000002</v>
      </c>
      <c r="AR273" s="42" t="s">
        <v>595</v>
      </c>
      <c r="AS273" s="42" t="s">
        <v>596</v>
      </c>
      <c r="AT273" s="43" t="s">
        <v>1276</v>
      </c>
      <c r="AU273" s="44">
        <v>34</v>
      </c>
      <c r="AV273" s="31">
        <v>59317172.816430278</v>
      </c>
      <c r="AW273" s="31">
        <v>4188118.4300000006</v>
      </c>
      <c r="AX273" s="31">
        <v>3405735.29</v>
      </c>
      <c r="AY273" s="31">
        <v>199331.81</v>
      </c>
      <c r="AZ273" s="31">
        <v>8619005.6736157201</v>
      </c>
      <c r="BA273" s="31">
        <v>3067098.3628081228</v>
      </c>
      <c r="BB273" s="31">
        <v>2609692.4512330885</v>
      </c>
      <c r="BC273" s="31">
        <f t="shared" si="23"/>
        <v>83420437.594087213</v>
      </c>
      <c r="BD273" s="31">
        <v>2014282.76</v>
      </c>
    </row>
    <row r="274" spans="2:56">
      <c r="B274" s="42" t="s">
        <v>237</v>
      </c>
      <c r="C274" s="42" t="s">
        <v>238</v>
      </c>
      <c r="D274" s="43" t="s">
        <v>1049</v>
      </c>
      <c r="E274" s="44">
        <v>34</v>
      </c>
      <c r="F274" s="31">
        <v>2273242.2756274929</v>
      </c>
      <c r="G274" s="31">
        <v>39522.080000000002</v>
      </c>
      <c r="H274" s="31">
        <v>0</v>
      </c>
      <c r="I274" s="31">
        <v>0</v>
      </c>
      <c r="J274" s="31">
        <v>106546.04957334505</v>
      </c>
      <c r="K274" s="31">
        <v>68769.66</v>
      </c>
      <c r="L274" s="31">
        <v>37412.189998806687</v>
      </c>
      <c r="M274" s="31">
        <f t="shared" si="20"/>
        <v>2553609.3851996446</v>
      </c>
      <c r="N274" s="31">
        <v>28117.13</v>
      </c>
      <c r="P274" s="42" t="s">
        <v>237</v>
      </c>
      <c r="Q274" s="42" t="s">
        <v>238</v>
      </c>
      <c r="R274" s="43" t="s">
        <v>1050</v>
      </c>
      <c r="S274" s="44">
        <v>34</v>
      </c>
      <c r="T274" s="31">
        <v>2415650.1707481761</v>
      </c>
      <c r="U274" s="31">
        <v>42457.030000000006</v>
      </c>
      <c r="V274" s="31">
        <v>0</v>
      </c>
      <c r="W274" s="31">
        <v>0</v>
      </c>
      <c r="X274" s="31">
        <v>112849.54838593493</v>
      </c>
      <c r="Y274" s="31">
        <v>68769.66</v>
      </c>
      <c r="Z274" s="31">
        <v>40051.172865072454</v>
      </c>
      <c r="AA274" s="31">
        <f t="shared" si="21"/>
        <v>2709277.2619991833</v>
      </c>
      <c r="AB274" s="31">
        <v>29499.68</v>
      </c>
      <c r="AD274" s="42" t="s">
        <v>237</v>
      </c>
      <c r="AE274" s="42" t="s">
        <v>238</v>
      </c>
      <c r="AF274" s="43" t="s">
        <v>1275</v>
      </c>
      <c r="AG274" s="44">
        <v>34</v>
      </c>
      <c r="AH274" s="31">
        <v>2458463.3058760697</v>
      </c>
      <c r="AI274" s="31">
        <v>43205.400000000016</v>
      </c>
      <c r="AJ274" s="31">
        <v>0</v>
      </c>
      <c r="AK274" s="31">
        <v>0</v>
      </c>
      <c r="AL274" s="31">
        <v>114863.6191288445</v>
      </c>
      <c r="AM274" s="31">
        <v>68769.66</v>
      </c>
      <c r="AN274" s="31">
        <v>40766.037561374862</v>
      </c>
      <c r="AO274" s="31">
        <f t="shared" si="22"/>
        <v>2756098.092566289</v>
      </c>
      <c r="AP274" s="31">
        <v>30030.07</v>
      </c>
      <c r="AR274" s="42" t="s">
        <v>237</v>
      </c>
      <c r="AS274" s="42" t="s">
        <v>238</v>
      </c>
      <c r="AT274" s="43" t="s">
        <v>1276</v>
      </c>
      <c r="AU274" s="44">
        <v>34</v>
      </c>
      <c r="AV274" s="31">
        <v>2504303.9617564892</v>
      </c>
      <c r="AW274" s="31">
        <v>44006.89</v>
      </c>
      <c r="AX274" s="31">
        <v>0</v>
      </c>
      <c r="AY274" s="31">
        <v>0</v>
      </c>
      <c r="AZ274" s="31">
        <v>117020.69256498985</v>
      </c>
      <c r="BA274" s="31">
        <v>68769.66</v>
      </c>
      <c r="BB274" s="31">
        <v>41531.636539314728</v>
      </c>
      <c r="BC274" s="31">
        <f t="shared" si="23"/>
        <v>2806230.9808607944</v>
      </c>
      <c r="BD274" s="31">
        <v>30598.14</v>
      </c>
    </row>
    <row r="275" spans="2:56">
      <c r="B275" s="42" t="s">
        <v>365</v>
      </c>
      <c r="C275" s="42" t="s">
        <v>366</v>
      </c>
      <c r="D275" s="43" t="s">
        <v>1049</v>
      </c>
      <c r="E275" s="44">
        <v>34</v>
      </c>
      <c r="F275" s="31">
        <v>238270948.37931061</v>
      </c>
      <c r="G275" s="31">
        <v>10841948.199999999</v>
      </c>
      <c r="H275" s="31">
        <v>5127271.330000001</v>
      </c>
      <c r="I275" s="31">
        <v>846032.10000000009</v>
      </c>
      <c r="J275" s="31">
        <v>38062383.343127437</v>
      </c>
      <c r="K275" s="31">
        <v>14300110.210898036</v>
      </c>
      <c r="L275" s="31">
        <v>18828001.909984902</v>
      </c>
      <c r="M275" s="31">
        <f t="shared" si="20"/>
        <v>331969604.60332096</v>
      </c>
      <c r="N275" s="31">
        <v>5692909.1300000008</v>
      </c>
      <c r="P275" s="42" t="s">
        <v>365</v>
      </c>
      <c r="Q275" s="42" t="s">
        <v>366</v>
      </c>
      <c r="R275" s="43" t="s">
        <v>1050</v>
      </c>
      <c r="S275" s="44">
        <v>34</v>
      </c>
      <c r="T275" s="31">
        <v>256161145.61403537</v>
      </c>
      <c r="U275" s="31">
        <v>11624346.84</v>
      </c>
      <c r="V275" s="31">
        <v>5456217.2800000003</v>
      </c>
      <c r="W275" s="31">
        <v>900310.25</v>
      </c>
      <c r="X275" s="31">
        <v>40311963.877562746</v>
      </c>
      <c r="Y275" s="31">
        <v>14336828.030952176</v>
      </c>
      <c r="Z275" s="31">
        <v>20174270.302203838</v>
      </c>
      <c r="AA275" s="31">
        <f t="shared" si="21"/>
        <v>354936405.35475415</v>
      </c>
      <c r="AB275" s="31">
        <v>5971323.1600000011</v>
      </c>
      <c r="AD275" s="42" t="s">
        <v>365</v>
      </c>
      <c r="AE275" s="42" t="s">
        <v>366</v>
      </c>
      <c r="AF275" s="43" t="s">
        <v>1275</v>
      </c>
      <c r="AG275" s="44">
        <v>34</v>
      </c>
      <c r="AH275" s="31">
        <v>260875771.29288369</v>
      </c>
      <c r="AI275" s="31">
        <v>11828448.48</v>
      </c>
      <c r="AJ275" s="31">
        <v>5552627.370000002</v>
      </c>
      <c r="AK275" s="31">
        <v>916218.53</v>
      </c>
      <c r="AL275" s="31">
        <v>41027390.356272869</v>
      </c>
      <c r="AM275" s="31">
        <v>14308340.702780141</v>
      </c>
      <c r="AN275" s="31">
        <v>20532770.284260575</v>
      </c>
      <c r="AO275" s="31">
        <f t="shared" si="22"/>
        <v>361119699.92619729</v>
      </c>
      <c r="AP275" s="31">
        <v>6078132.9100000011</v>
      </c>
      <c r="AR275" s="42" t="s">
        <v>365</v>
      </c>
      <c r="AS275" s="42" t="s">
        <v>366</v>
      </c>
      <c r="AT275" s="43" t="s">
        <v>1276</v>
      </c>
      <c r="AU275" s="44">
        <v>34</v>
      </c>
      <c r="AV275" s="31">
        <v>265913753.68605292</v>
      </c>
      <c r="AW275" s="31">
        <v>12047041.329999998</v>
      </c>
      <c r="AX275" s="31">
        <v>5655882.5700000012</v>
      </c>
      <c r="AY275" s="31">
        <v>933256.29</v>
      </c>
      <c r="AZ275" s="31">
        <v>41793609.338654347</v>
      </c>
      <c r="BA275" s="31">
        <v>14309154.626442198</v>
      </c>
      <c r="BB275" s="31">
        <v>20916712.710270934</v>
      </c>
      <c r="BC275" s="31">
        <f t="shared" si="23"/>
        <v>367761936.70142037</v>
      </c>
      <c r="BD275" s="31">
        <v>6192526.1500000013</v>
      </c>
    </row>
    <row r="276" spans="2:56">
      <c r="B276" s="42" t="s">
        <v>153</v>
      </c>
      <c r="C276" s="42" t="s">
        <v>154</v>
      </c>
      <c r="D276" s="43" t="s">
        <v>1049</v>
      </c>
      <c r="E276" s="44">
        <v>34</v>
      </c>
      <c r="F276" s="31">
        <v>2193906.3891239888</v>
      </c>
      <c r="G276" s="31">
        <v>76492.540000000008</v>
      </c>
      <c r="H276" s="31">
        <v>0</v>
      </c>
      <c r="I276" s="31">
        <v>0</v>
      </c>
      <c r="J276" s="31">
        <v>195989.93451589323</v>
      </c>
      <c r="K276" s="31">
        <v>111849.42634267254</v>
      </c>
      <c r="L276" s="31">
        <v>31852.027890368867</v>
      </c>
      <c r="M276" s="31">
        <f t="shared" si="20"/>
        <v>2655790.9578729235</v>
      </c>
      <c r="N276" s="31">
        <v>45700.639999999999</v>
      </c>
      <c r="P276" s="42" t="s">
        <v>153</v>
      </c>
      <c r="Q276" s="42" t="s">
        <v>154</v>
      </c>
      <c r="R276" s="43" t="s">
        <v>1050</v>
      </c>
      <c r="S276" s="44">
        <v>34</v>
      </c>
      <c r="T276" s="31">
        <v>2343486.1369394572</v>
      </c>
      <c r="U276" s="31">
        <v>82217.149999999994</v>
      </c>
      <c r="V276" s="31">
        <v>0</v>
      </c>
      <c r="W276" s="31">
        <v>0</v>
      </c>
      <c r="X276" s="31">
        <v>207622.13958099179</v>
      </c>
      <c r="Y276" s="31">
        <v>112053.24793665862</v>
      </c>
      <c r="Z276" s="31">
        <v>34120.975755500018</v>
      </c>
      <c r="AA276" s="31">
        <f t="shared" si="21"/>
        <v>2827407.1402126076</v>
      </c>
      <c r="AB276" s="31">
        <v>47907.490000000005</v>
      </c>
      <c r="AD276" s="42" t="s">
        <v>153</v>
      </c>
      <c r="AE276" s="42" t="s">
        <v>154</v>
      </c>
      <c r="AF276" s="43" t="s">
        <v>1275</v>
      </c>
      <c r="AG276" s="44">
        <v>34</v>
      </c>
      <c r="AH276" s="31">
        <v>2384279.2764617377</v>
      </c>
      <c r="AI276" s="31">
        <v>83639.22000000003</v>
      </c>
      <c r="AJ276" s="31">
        <v>0</v>
      </c>
      <c r="AK276" s="31">
        <v>0</v>
      </c>
      <c r="AL276" s="31">
        <v>211270.1276577306</v>
      </c>
      <c r="AM276" s="31">
        <v>111898.39849716792</v>
      </c>
      <c r="AN276" s="31">
        <v>34721.207958877218</v>
      </c>
      <c r="AO276" s="31">
        <f t="shared" si="22"/>
        <v>2874562.3505755137</v>
      </c>
      <c r="AP276" s="31">
        <v>48754.12</v>
      </c>
      <c r="AR276" s="42" t="s">
        <v>153</v>
      </c>
      <c r="AS276" s="42" t="s">
        <v>154</v>
      </c>
      <c r="AT276" s="43" t="s">
        <v>1276</v>
      </c>
      <c r="AU276" s="44">
        <v>34</v>
      </c>
      <c r="AV276" s="31">
        <v>2427971.3382252897</v>
      </c>
      <c r="AW276" s="31">
        <v>85162.250000000029</v>
      </c>
      <c r="AX276" s="31">
        <v>0</v>
      </c>
      <c r="AY276" s="31">
        <v>0</v>
      </c>
      <c r="AZ276" s="31">
        <v>215177.10986046228</v>
      </c>
      <c r="BA276" s="31">
        <v>111902.82276686766</v>
      </c>
      <c r="BB276" s="31">
        <v>35364.0363858942</v>
      </c>
      <c r="BC276" s="31">
        <f t="shared" si="23"/>
        <v>2925238.4272385137</v>
      </c>
      <c r="BD276" s="31">
        <v>49660.87</v>
      </c>
    </row>
    <row r="277" spans="2:56">
      <c r="B277" s="42" t="s">
        <v>207</v>
      </c>
      <c r="C277" s="42" t="s">
        <v>208</v>
      </c>
      <c r="D277" s="43" t="s">
        <v>1049</v>
      </c>
      <c r="E277" s="44">
        <v>34</v>
      </c>
      <c r="F277" s="31">
        <v>80825810.915182307</v>
      </c>
      <c r="G277" s="31">
        <v>848611.08</v>
      </c>
      <c r="H277" s="31">
        <v>679424.10999999987</v>
      </c>
      <c r="I277" s="31">
        <v>290317.37</v>
      </c>
      <c r="J277" s="31">
        <v>11316501.292153418</v>
      </c>
      <c r="K277" s="31">
        <v>4351248.9134863839</v>
      </c>
      <c r="L277" s="31">
        <v>5790616.7415911825</v>
      </c>
      <c r="M277" s="31">
        <f t="shared" si="20"/>
        <v>104102530.42241329</v>
      </c>
      <c r="N277" s="31">
        <v>0</v>
      </c>
      <c r="P277" s="42" t="s">
        <v>207</v>
      </c>
      <c r="Q277" s="42" t="s">
        <v>208</v>
      </c>
      <c r="R277" s="43" t="s">
        <v>1050</v>
      </c>
      <c r="S277" s="44">
        <v>34</v>
      </c>
      <c r="T277" s="31">
        <v>85964164.160114512</v>
      </c>
      <c r="U277" s="31">
        <v>902608.74</v>
      </c>
      <c r="V277" s="31">
        <v>722656.31</v>
      </c>
      <c r="W277" s="31">
        <v>308790.47000000003</v>
      </c>
      <c r="X277" s="31">
        <v>11983772.661503937</v>
      </c>
      <c r="Y277" s="31">
        <v>4358490.0082106348</v>
      </c>
      <c r="Z277" s="31">
        <v>6142884.5017626965</v>
      </c>
      <c r="AA277" s="31">
        <f t="shared" si="21"/>
        <v>110383366.85159178</v>
      </c>
      <c r="AB277" s="31">
        <v>0</v>
      </c>
      <c r="AD277" s="42" t="s">
        <v>207</v>
      </c>
      <c r="AE277" s="42" t="s">
        <v>208</v>
      </c>
      <c r="AF277" s="43" t="s">
        <v>1275</v>
      </c>
      <c r="AG277" s="44">
        <v>34</v>
      </c>
      <c r="AH277" s="31">
        <v>87514740.76082778</v>
      </c>
      <c r="AI277" s="31">
        <v>918705.79</v>
      </c>
      <c r="AJ277" s="31">
        <v>735544.09999999986</v>
      </c>
      <c r="AK277" s="31">
        <v>314297.41000000003</v>
      </c>
      <c r="AL277" s="31">
        <v>12197850.66974644</v>
      </c>
      <c r="AM277" s="31">
        <v>4352819.3840027852</v>
      </c>
      <c r="AN277" s="31">
        <v>6252764.6597272418</v>
      </c>
      <c r="AO277" s="31">
        <f t="shared" si="22"/>
        <v>112286722.77430426</v>
      </c>
      <c r="AP277" s="31">
        <v>0</v>
      </c>
      <c r="AR277" s="42" t="s">
        <v>207</v>
      </c>
      <c r="AS277" s="42" t="s">
        <v>208</v>
      </c>
      <c r="AT277" s="43" t="s">
        <v>1276</v>
      </c>
      <c r="AU277" s="44">
        <v>34</v>
      </c>
      <c r="AV277" s="31">
        <v>89174274.803054079</v>
      </c>
      <c r="AW277" s="31">
        <v>935945.72</v>
      </c>
      <c r="AX277" s="31">
        <v>749346.91999999993</v>
      </c>
      <c r="AY277" s="31">
        <v>320195.33</v>
      </c>
      <c r="AZ277" s="31">
        <v>12427127.196125003</v>
      </c>
      <c r="BA277" s="31">
        <v>4352981.4018372949</v>
      </c>
      <c r="BB277" s="31">
        <v>6370443.0985552669</v>
      </c>
      <c r="BC277" s="31">
        <f t="shared" si="23"/>
        <v>114330314.46957164</v>
      </c>
      <c r="BD277" s="31">
        <v>0</v>
      </c>
    </row>
    <row r="278" spans="2:56">
      <c r="B278" s="42" t="s">
        <v>559</v>
      </c>
      <c r="C278" s="42" t="s">
        <v>560</v>
      </c>
      <c r="D278" s="43" t="s">
        <v>1049</v>
      </c>
      <c r="E278" s="44">
        <v>34</v>
      </c>
      <c r="F278" s="31">
        <v>2385407.5437095566</v>
      </c>
      <c r="G278" s="31">
        <v>81311.040000000008</v>
      </c>
      <c r="H278" s="31">
        <v>0</v>
      </c>
      <c r="I278" s="31">
        <v>0</v>
      </c>
      <c r="J278" s="31">
        <v>263188.72508553398</v>
      </c>
      <c r="K278" s="31">
        <v>144064.7140680064</v>
      </c>
      <c r="L278" s="31">
        <v>224894.25219391473</v>
      </c>
      <c r="M278" s="31">
        <f t="shared" si="20"/>
        <v>3155662.9350570119</v>
      </c>
      <c r="N278" s="31">
        <v>56796.66</v>
      </c>
      <c r="P278" s="42" t="s">
        <v>559</v>
      </c>
      <c r="Q278" s="42" t="s">
        <v>560</v>
      </c>
      <c r="R278" s="43" t="s">
        <v>1050</v>
      </c>
      <c r="S278" s="44">
        <v>34</v>
      </c>
      <c r="T278" s="31">
        <v>2551056.4791625626</v>
      </c>
      <c r="U278" s="31">
        <v>87483.310000000012</v>
      </c>
      <c r="V278" s="31">
        <v>0</v>
      </c>
      <c r="W278" s="31">
        <v>0</v>
      </c>
      <c r="X278" s="31">
        <v>278788.98255258403</v>
      </c>
      <c r="Y278" s="31">
        <v>144403.3336921641</v>
      </c>
      <c r="Z278" s="31">
        <v>241032.67663353414</v>
      </c>
      <c r="AA278" s="31">
        <f t="shared" si="21"/>
        <v>3362316.5820408445</v>
      </c>
      <c r="AB278" s="31">
        <v>59551.8</v>
      </c>
      <c r="AD278" s="42" t="s">
        <v>559</v>
      </c>
      <c r="AE278" s="42" t="s">
        <v>560</v>
      </c>
      <c r="AF278" s="43" t="s">
        <v>1275</v>
      </c>
      <c r="AG278" s="44">
        <v>34</v>
      </c>
      <c r="AH278" s="31">
        <v>2596524.5010067727</v>
      </c>
      <c r="AI278" s="31">
        <v>89002.19</v>
      </c>
      <c r="AJ278" s="31">
        <v>0</v>
      </c>
      <c r="AK278" s="31">
        <v>0</v>
      </c>
      <c r="AL278" s="31">
        <v>283700.24249621114</v>
      </c>
      <c r="AM278" s="31">
        <v>144146.07410560161</v>
      </c>
      <c r="AN278" s="31">
        <v>245285.14322267362</v>
      </c>
      <c r="AO278" s="31">
        <f t="shared" si="22"/>
        <v>3419266.9108312591</v>
      </c>
      <c r="AP278" s="31">
        <v>60608.76</v>
      </c>
      <c r="AR278" s="42" t="s">
        <v>559</v>
      </c>
      <c r="AS278" s="42" t="s">
        <v>560</v>
      </c>
      <c r="AT278" s="43" t="s">
        <v>1276</v>
      </c>
      <c r="AU278" s="44">
        <v>34</v>
      </c>
      <c r="AV278" s="31">
        <v>2645164.9395675026</v>
      </c>
      <c r="AW278" s="31">
        <v>90628.870000000024</v>
      </c>
      <c r="AX278" s="31">
        <v>0</v>
      </c>
      <c r="AY278" s="31">
        <v>0</v>
      </c>
      <c r="AZ278" s="31">
        <v>288960.18284668116</v>
      </c>
      <c r="BA278" s="31">
        <v>144153.42437950338</v>
      </c>
      <c r="BB278" s="31">
        <v>249839.39462824195</v>
      </c>
      <c r="BC278" s="31">
        <f t="shared" si="23"/>
        <v>3480487.5914219292</v>
      </c>
      <c r="BD278" s="31">
        <v>61740.78</v>
      </c>
    </row>
    <row r="279" spans="2:56">
      <c r="B279" s="42" t="s">
        <v>521</v>
      </c>
      <c r="C279" s="42" t="s">
        <v>522</v>
      </c>
      <c r="D279" s="43" t="s">
        <v>1049</v>
      </c>
      <c r="E279" s="44">
        <v>34</v>
      </c>
      <c r="F279" s="31">
        <v>9697119.9903491549</v>
      </c>
      <c r="G279" s="31">
        <v>368236.07000000007</v>
      </c>
      <c r="H279" s="31">
        <v>15590.83</v>
      </c>
      <c r="I279" s="31">
        <v>34689.61</v>
      </c>
      <c r="J279" s="31">
        <v>1565830.9646135771</v>
      </c>
      <c r="K279" s="31">
        <v>1070938.6963558714</v>
      </c>
      <c r="L279" s="31">
        <v>1047941.0990938218</v>
      </c>
      <c r="M279" s="31">
        <f t="shared" si="20"/>
        <v>14043856.650412425</v>
      </c>
      <c r="N279" s="31">
        <v>243509.39</v>
      </c>
      <c r="P279" s="42" t="s">
        <v>521</v>
      </c>
      <c r="Q279" s="42" t="s">
        <v>522</v>
      </c>
      <c r="R279" s="43" t="s">
        <v>1050</v>
      </c>
      <c r="S279" s="44">
        <v>34</v>
      </c>
      <c r="T279" s="31">
        <v>10323528.410140496</v>
      </c>
      <c r="U279" s="31">
        <v>396185.05000000005</v>
      </c>
      <c r="V279" s="31">
        <v>16602.84</v>
      </c>
      <c r="W279" s="31">
        <v>36941.279999999992</v>
      </c>
      <c r="X279" s="31">
        <v>1658738.8245927729</v>
      </c>
      <c r="Y279" s="31">
        <v>1073648.6611130908</v>
      </c>
      <c r="Z279" s="31">
        <v>1112355.0253831442</v>
      </c>
      <c r="AA279" s="31">
        <f t="shared" si="21"/>
        <v>14873268.381229505</v>
      </c>
      <c r="AB279" s="31">
        <v>255268.29000000004</v>
      </c>
      <c r="AD279" s="42" t="s">
        <v>521</v>
      </c>
      <c r="AE279" s="42" t="s">
        <v>522</v>
      </c>
      <c r="AF279" s="43" t="s">
        <v>1275</v>
      </c>
      <c r="AG279" s="44">
        <v>34</v>
      </c>
      <c r="AH279" s="31">
        <v>10506703.20271665</v>
      </c>
      <c r="AI279" s="31">
        <v>403031.87999999989</v>
      </c>
      <c r="AJ279" s="31">
        <v>16892.309999999998</v>
      </c>
      <c r="AK279" s="31">
        <v>37585.340000000004</v>
      </c>
      <c r="AL279" s="31">
        <v>1687873.8883878575</v>
      </c>
      <c r="AM279" s="31">
        <v>1071589.8187917827</v>
      </c>
      <c r="AN279" s="31">
        <v>1131928.2381483472</v>
      </c>
      <c r="AO279" s="31">
        <f t="shared" si="22"/>
        <v>15115384.118044637</v>
      </c>
      <c r="AP279" s="31">
        <v>259779.44000000003</v>
      </c>
      <c r="AR279" s="42" t="s">
        <v>521</v>
      </c>
      <c r="AS279" s="42" t="s">
        <v>522</v>
      </c>
      <c r="AT279" s="43" t="s">
        <v>1276</v>
      </c>
      <c r="AU279" s="44">
        <v>34</v>
      </c>
      <c r="AV279" s="31">
        <v>10702750.872393031</v>
      </c>
      <c r="AW279" s="31">
        <v>410364.85</v>
      </c>
      <c r="AX279" s="31">
        <v>17202.309999999998</v>
      </c>
      <c r="AY279" s="31">
        <v>38275.15</v>
      </c>
      <c r="AZ279" s="31">
        <v>1719077.3811387052</v>
      </c>
      <c r="BA279" s="31">
        <v>1071648.6428581059</v>
      </c>
      <c r="BB279" s="31">
        <v>1152890.4813096793</v>
      </c>
      <c r="BC279" s="31">
        <f t="shared" si="23"/>
        <v>15376820.557699522</v>
      </c>
      <c r="BD279" s="31">
        <v>264610.87</v>
      </c>
    </row>
    <row r="280" spans="2:56">
      <c r="B280" s="42" t="s">
        <v>243</v>
      </c>
      <c r="C280" s="42" t="s">
        <v>244</v>
      </c>
      <c r="D280" s="43" t="s">
        <v>1049</v>
      </c>
      <c r="E280" s="44">
        <v>34</v>
      </c>
      <c r="F280" s="31">
        <v>2880120.2185061499</v>
      </c>
      <c r="G280" s="31">
        <v>66261.070000000007</v>
      </c>
      <c r="H280" s="31">
        <v>3897.71</v>
      </c>
      <c r="I280" s="31">
        <v>6236.329999999999</v>
      </c>
      <c r="J280" s="31">
        <v>303046.64767776546</v>
      </c>
      <c r="K280" s="31">
        <v>137478.34774182245</v>
      </c>
      <c r="L280" s="31">
        <v>119872.36120989984</v>
      </c>
      <c r="M280" s="31">
        <f t="shared" si="20"/>
        <v>3516912.6851356374</v>
      </c>
      <c r="N280" s="31">
        <v>0</v>
      </c>
      <c r="P280" s="42" t="s">
        <v>243</v>
      </c>
      <c r="Q280" s="42" t="s">
        <v>244</v>
      </c>
      <c r="R280" s="43" t="s">
        <v>1050</v>
      </c>
      <c r="S280" s="44">
        <v>34</v>
      </c>
      <c r="T280" s="31">
        <v>3060391.6520921262</v>
      </c>
      <c r="U280" s="31">
        <v>70561.989999999991</v>
      </c>
      <c r="V280" s="31">
        <v>4150.7</v>
      </c>
      <c r="W280" s="31">
        <v>6641.1399999999985</v>
      </c>
      <c r="X280" s="31">
        <v>321021.30715402204</v>
      </c>
      <c r="Y280" s="31">
        <v>137679.32129984308</v>
      </c>
      <c r="Z280" s="31">
        <v>127240.86302694706</v>
      </c>
      <c r="AA280" s="31">
        <f t="shared" si="21"/>
        <v>3727686.9735729392</v>
      </c>
      <c r="AB280" s="31">
        <v>0</v>
      </c>
      <c r="AD280" s="42" t="s">
        <v>243</v>
      </c>
      <c r="AE280" s="42" t="s">
        <v>244</v>
      </c>
      <c r="AF280" s="43" t="s">
        <v>1275</v>
      </c>
      <c r="AG280" s="44">
        <v>34</v>
      </c>
      <c r="AH280" s="31">
        <v>3114222.6657395014</v>
      </c>
      <c r="AI280" s="31">
        <v>71792.23</v>
      </c>
      <c r="AJ280" s="31">
        <v>4223.08</v>
      </c>
      <c r="AK280" s="31">
        <v>6756.9299999999994</v>
      </c>
      <c r="AL280" s="31">
        <v>326657.10272490251</v>
      </c>
      <c r="AM280" s="31">
        <v>137526.63559955326</v>
      </c>
      <c r="AN280" s="31">
        <v>129479.83835529799</v>
      </c>
      <c r="AO280" s="31">
        <f t="shared" si="22"/>
        <v>3790658.4824192552</v>
      </c>
      <c r="AP280" s="31">
        <v>0</v>
      </c>
      <c r="AR280" s="42" t="s">
        <v>243</v>
      </c>
      <c r="AS280" s="42" t="s">
        <v>244</v>
      </c>
      <c r="AT280" s="43" t="s">
        <v>1276</v>
      </c>
      <c r="AU280" s="44">
        <v>34</v>
      </c>
      <c r="AV280" s="31">
        <v>3171843.3335695453</v>
      </c>
      <c r="AW280" s="31">
        <v>73109.819999999992</v>
      </c>
      <c r="AX280" s="31">
        <v>4300.579999999999</v>
      </c>
      <c r="AY280" s="31">
        <v>6880.9299999999994</v>
      </c>
      <c r="AZ280" s="31">
        <v>332692.99082181061</v>
      </c>
      <c r="BA280" s="31">
        <v>137530.99804813298</v>
      </c>
      <c r="BB280" s="31">
        <v>131877.70446536184</v>
      </c>
      <c r="BC280" s="31">
        <f t="shared" si="23"/>
        <v>3858236.3569048508</v>
      </c>
      <c r="BD280" s="31">
        <v>0</v>
      </c>
    </row>
    <row r="281" spans="2:56">
      <c r="B281" s="42" t="s">
        <v>285</v>
      </c>
      <c r="C281" s="42" t="s">
        <v>286</v>
      </c>
      <c r="D281" s="43" t="s">
        <v>1049</v>
      </c>
      <c r="E281" s="44">
        <v>34</v>
      </c>
      <c r="F281" s="31">
        <v>6776934.932862266</v>
      </c>
      <c r="G281" s="31">
        <v>268548.34999999998</v>
      </c>
      <c r="H281" s="31">
        <v>13518.21</v>
      </c>
      <c r="I281" s="31">
        <v>23202.879999999997</v>
      </c>
      <c r="J281" s="31">
        <v>1046072.1492639848</v>
      </c>
      <c r="K281" s="31">
        <v>516724.02064733685</v>
      </c>
      <c r="L281" s="31">
        <v>610290.86754111596</v>
      </c>
      <c r="M281" s="31">
        <f t="shared" si="20"/>
        <v>9433146.6903147027</v>
      </c>
      <c r="N281" s="31">
        <v>177855.28</v>
      </c>
      <c r="P281" s="42" t="s">
        <v>285</v>
      </c>
      <c r="Q281" s="42" t="s">
        <v>286</v>
      </c>
      <c r="R281" s="43" t="s">
        <v>1050</v>
      </c>
      <c r="S281" s="44">
        <v>34</v>
      </c>
      <c r="T281" s="31">
        <v>7288871.5609688926</v>
      </c>
      <c r="U281" s="31">
        <v>288776.81</v>
      </c>
      <c r="V281" s="31">
        <v>14392.039999999999</v>
      </c>
      <c r="W281" s="31">
        <v>24702.760000000002</v>
      </c>
      <c r="X281" s="31">
        <v>1108056.105937182</v>
      </c>
      <c r="Y281" s="31">
        <v>517948.51782794442</v>
      </c>
      <c r="Z281" s="31">
        <v>654256.11219736934</v>
      </c>
      <c r="AA281" s="31">
        <f t="shared" si="21"/>
        <v>10083486.706931388</v>
      </c>
      <c r="AB281" s="31">
        <v>186482.8</v>
      </c>
      <c r="AD281" s="42" t="s">
        <v>285</v>
      </c>
      <c r="AE281" s="42" t="s">
        <v>286</v>
      </c>
      <c r="AF281" s="43" t="s">
        <v>1275</v>
      </c>
      <c r="AG281" s="44">
        <v>34</v>
      </c>
      <c r="AH281" s="31">
        <v>7422312.9512102315</v>
      </c>
      <c r="AI281" s="31">
        <v>293792.79000000004</v>
      </c>
      <c r="AJ281" s="31">
        <v>14644.169999999998</v>
      </c>
      <c r="AK281" s="31">
        <v>25135.52</v>
      </c>
      <c r="AL281" s="31">
        <v>1127571.4788303475</v>
      </c>
      <c r="AM281" s="31">
        <v>517018.23022511083</v>
      </c>
      <c r="AN281" s="31">
        <v>665799.16693666787</v>
      </c>
      <c r="AO281" s="31">
        <f t="shared" si="22"/>
        <v>10256066.937202357</v>
      </c>
      <c r="AP281" s="31">
        <v>189792.63</v>
      </c>
      <c r="AR281" s="42" t="s">
        <v>285</v>
      </c>
      <c r="AS281" s="42" t="s">
        <v>286</v>
      </c>
      <c r="AT281" s="43" t="s">
        <v>1276</v>
      </c>
      <c r="AU281" s="44">
        <v>34</v>
      </c>
      <c r="AV281" s="31">
        <v>7564884.5674957177</v>
      </c>
      <c r="AW281" s="31">
        <v>299164.88000000006</v>
      </c>
      <c r="AX281" s="31">
        <v>14914.199999999997</v>
      </c>
      <c r="AY281" s="31">
        <v>25599.000000000004</v>
      </c>
      <c r="AZ281" s="31">
        <v>1148472.3415207611</v>
      </c>
      <c r="BA281" s="31">
        <v>517044.80987090606</v>
      </c>
      <c r="BB281" s="31">
        <v>678161.39770105644</v>
      </c>
      <c r="BC281" s="31">
        <f t="shared" si="23"/>
        <v>10441578.666588442</v>
      </c>
      <c r="BD281" s="31">
        <v>193337.46999999997</v>
      </c>
    </row>
    <row r="282" spans="2:56">
      <c r="B282" s="42" t="s">
        <v>339</v>
      </c>
      <c r="C282" s="42" t="s">
        <v>340</v>
      </c>
      <c r="D282" s="43" t="s">
        <v>1049</v>
      </c>
      <c r="E282" s="44">
        <v>34</v>
      </c>
      <c r="F282" s="31">
        <v>9478057.1762963198</v>
      </c>
      <c r="G282" s="31">
        <v>545192.07000000007</v>
      </c>
      <c r="H282" s="31">
        <v>202778.32</v>
      </c>
      <c r="I282" s="31">
        <v>31961.219999999998</v>
      </c>
      <c r="J282" s="31">
        <v>1186237.0633407147</v>
      </c>
      <c r="K282" s="31">
        <v>960823.91342787992</v>
      </c>
      <c r="L282" s="31">
        <v>378929.74975367688</v>
      </c>
      <c r="M282" s="31">
        <f t="shared" si="20"/>
        <v>13108074.042818591</v>
      </c>
      <c r="N282" s="31">
        <v>324094.52999999997</v>
      </c>
      <c r="P282" s="42" t="s">
        <v>339</v>
      </c>
      <c r="Q282" s="42" t="s">
        <v>340</v>
      </c>
      <c r="R282" s="43" t="s">
        <v>1050</v>
      </c>
      <c r="S282" s="44">
        <v>34</v>
      </c>
      <c r="T282" s="31">
        <v>10185361.380910331</v>
      </c>
      <c r="U282" s="31">
        <v>585966.43999999994</v>
      </c>
      <c r="V282" s="31">
        <v>215940.49000000005</v>
      </c>
      <c r="W282" s="31">
        <v>34035.79</v>
      </c>
      <c r="X282" s="31">
        <v>1256638.1090612805</v>
      </c>
      <c r="Y282" s="31">
        <v>962770.4124877227</v>
      </c>
      <c r="Z282" s="31">
        <v>405933.61636568711</v>
      </c>
      <c r="AA282" s="31">
        <f t="shared" si="21"/>
        <v>13986391.068825021</v>
      </c>
      <c r="AB282" s="31">
        <v>339744.83</v>
      </c>
      <c r="AD282" s="42" t="s">
        <v>339</v>
      </c>
      <c r="AE282" s="42" t="s">
        <v>340</v>
      </c>
      <c r="AF282" s="43" t="s">
        <v>1275</v>
      </c>
      <c r="AG282" s="44">
        <v>34</v>
      </c>
      <c r="AH282" s="31">
        <v>10377213.80044586</v>
      </c>
      <c r="AI282" s="31">
        <v>596102.03</v>
      </c>
      <c r="AJ282" s="31">
        <v>219705.39000000007</v>
      </c>
      <c r="AK282" s="31">
        <v>34629.199999999997</v>
      </c>
      <c r="AL282" s="31">
        <v>1278719.734338128</v>
      </c>
      <c r="AM282" s="31">
        <v>961291.59818502213</v>
      </c>
      <c r="AN282" s="31">
        <v>413075.91250753845</v>
      </c>
      <c r="AO282" s="31">
        <f t="shared" si="22"/>
        <v>14226486.515476545</v>
      </c>
      <c r="AP282" s="31">
        <v>345748.85000000003</v>
      </c>
      <c r="AR282" s="42" t="s">
        <v>339</v>
      </c>
      <c r="AS282" s="42" t="s">
        <v>340</v>
      </c>
      <c r="AT282" s="43" t="s">
        <v>1276</v>
      </c>
      <c r="AU282" s="44">
        <v>34</v>
      </c>
      <c r="AV282" s="31">
        <v>10581843.201090313</v>
      </c>
      <c r="AW282" s="31">
        <v>606957.27000000025</v>
      </c>
      <c r="AX282" s="31">
        <v>223737.59000000003</v>
      </c>
      <c r="AY282" s="31">
        <v>35264.729999999996</v>
      </c>
      <c r="AZ282" s="31">
        <v>1302369.0955542978</v>
      </c>
      <c r="BA282" s="31">
        <v>961333.85002224217</v>
      </c>
      <c r="BB282" s="31">
        <v>420725.07010666118</v>
      </c>
      <c r="BC282" s="31">
        <f t="shared" si="23"/>
        <v>14484409.976773513</v>
      </c>
      <c r="BD282" s="31">
        <v>352179.17</v>
      </c>
    </row>
    <row r="283" spans="2:56">
      <c r="B283" s="42" t="s">
        <v>597</v>
      </c>
      <c r="C283" s="42" t="s">
        <v>598</v>
      </c>
      <c r="D283" s="43" t="s">
        <v>1049</v>
      </c>
      <c r="E283" s="44">
        <v>34</v>
      </c>
      <c r="F283" s="31">
        <v>32084115.568892218</v>
      </c>
      <c r="G283" s="31">
        <v>2490051.54</v>
      </c>
      <c r="H283" s="31">
        <v>2056333.9600000002</v>
      </c>
      <c r="I283" s="31">
        <v>119659.67000000001</v>
      </c>
      <c r="J283" s="31">
        <v>4855135.2442948455</v>
      </c>
      <c r="K283" s="31">
        <v>1461164.8718443906</v>
      </c>
      <c r="L283" s="31">
        <v>5380408.3723059278</v>
      </c>
      <c r="M283" s="31">
        <f t="shared" si="20"/>
        <v>49469335.807337381</v>
      </c>
      <c r="N283" s="31">
        <v>1022466.5800000001</v>
      </c>
      <c r="P283" s="42" t="s">
        <v>597</v>
      </c>
      <c r="Q283" s="42" t="s">
        <v>598</v>
      </c>
      <c r="R283" s="43" t="s">
        <v>1050</v>
      </c>
      <c r="S283" s="44">
        <v>34</v>
      </c>
      <c r="T283" s="31">
        <v>34507973.192993671</v>
      </c>
      <c r="U283" s="31">
        <v>2668671.87</v>
      </c>
      <c r="V283" s="31">
        <v>2189808.83</v>
      </c>
      <c r="W283" s="31">
        <v>127426.69000000002</v>
      </c>
      <c r="X283" s="31">
        <v>5143285.3302875469</v>
      </c>
      <c r="Y283" s="31">
        <v>1464072.7841549206</v>
      </c>
      <c r="Z283" s="31">
        <v>5766300.9262948819</v>
      </c>
      <c r="AA283" s="31">
        <f t="shared" si="21"/>
        <v>52939380.423731014</v>
      </c>
      <c r="AB283" s="31">
        <v>1071840.8</v>
      </c>
      <c r="AD283" s="42" t="s">
        <v>597</v>
      </c>
      <c r="AE283" s="42" t="s">
        <v>598</v>
      </c>
      <c r="AF283" s="43" t="s">
        <v>1275</v>
      </c>
      <c r="AG283" s="44">
        <v>34</v>
      </c>
      <c r="AH283" s="31">
        <v>35184443.62197943</v>
      </c>
      <c r="AI283" s="31">
        <v>2714945.36</v>
      </c>
      <c r="AJ283" s="31">
        <v>2227987.7999999998</v>
      </c>
      <c r="AK283" s="31">
        <v>129648.35000000002</v>
      </c>
      <c r="AL283" s="31">
        <v>5233669.4849812556</v>
      </c>
      <c r="AM283" s="31">
        <v>1461863.5550807705</v>
      </c>
      <c r="AN283" s="31">
        <v>5867755.4135540351</v>
      </c>
      <c r="AO283" s="31">
        <f t="shared" si="22"/>
        <v>53911096.145595491</v>
      </c>
      <c r="AP283" s="31">
        <v>1090782.56</v>
      </c>
      <c r="AR283" s="42" t="s">
        <v>597</v>
      </c>
      <c r="AS283" s="42" t="s">
        <v>598</v>
      </c>
      <c r="AT283" s="43" t="s">
        <v>1276</v>
      </c>
      <c r="AU283" s="44">
        <v>34</v>
      </c>
      <c r="AV283" s="31">
        <v>35904421.776346594</v>
      </c>
      <c r="AW283" s="31">
        <v>2764504.26</v>
      </c>
      <c r="AX283" s="31">
        <v>2268877.48</v>
      </c>
      <c r="AY283" s="31">
        <v>132027.74999999997</v>
      </c>
      <c r="AZ283" s="31">
        <v>5330470.7198940143</v>
      </c>
      <c r="BA283" s="31">
        <v>1461926.6759114605</v>
      </c>
      <c r="BB283" s="31">
        <v>5976409.7405239884</v>
      </c>
      <c r="BC283" s="31">
        <f t="shared" si="23"/>
        <v>54949707.582676053</v>
      </c>
      <c r="BD283" s="31">
        <v>1111069.1800000002</v>
      </c>
    </row>
    <row r="284" spans="2:56">
      <c r="B284" s="42" t="s">
        <v>531</v>
      </c>
      <c r="C284" s="42" t="s">
        <v>532</v>
      </c>
      <c r="D284" s="43" t="s">
        <v>1049</v>
      </c>
      <c r="E284" s="44">
        <v>34</v>
      </c>
      <c r="F284" s="31">
        <v>2471979.9747723937</v>
      </c>
      <c r="G284" s="31">
        <v>70256.200000000012</v>
      </c>
      <c r="H284" s="31">
        <v>61486.37</v>
      </c>
      <c r="I284" s="31">
        <v>0</v>
      </c>
      <c r="J284" s="31">
        <v>195133.20777359622</v>
      </c>
      <c r="K284" s="31">
        <v>140766.65336423967</v>
      </c>
      <c r="L284" s="31">
        <v>128270.77056264319</v>
      </c>
      <c r="M284" s="31">
        <f t="shared" si="20"/>
        <v>3126456.2664728728</v>
      </c>
      <c r="N284" s="31">
        <v>58563.089999999989</v>
      </c>
      <c r="P284" s="42" t="s">
        <v>531</v>
      </c>
      <c r="Q284" s="42" t="s">
        <v>532</v>
      </c>
      <c r="R284" s="43" t="s">
        <v>1050</v>
      </c>
      <c r="S284" s="44">
        <v>34</v>
      </c>
      <c r="T284" s="31">
        <v>2644181.7899426958</v>
      </c>
      <c r="U284" s="31">
        <v>75789.78</v>
      </c>
      <c r="V284" s="31">
        <v>65477.4</v>
      </c>
      <c r="W284" s="31">
        <v>0</v>
      </c>
      <c r="X284" s="31">
        <v>206715.54114598187</v>
      </c>
      <c r="Y284" s="31">
        <v>141005.16159231099</v>
      </c>
      <c r="Z284" s="31">
        <v>137400.6784612498</v>
      </c>
      <c r="AA284" s="31">
        <f t="shared" si="21"/>
        <v>3331961.411142238</v>
      </c>
      <c r="AB284" s="31">
        <v>61391.060000000005</v>
      </c>
      <c r="AD284" s="42" t="s">
        <v>531</v>
      </c>
      <c r="AE284" s="42" t="s">
        <v>532</v>
      </c>
      <c r="AF284" s="43" t="s">
        <v>1275</v>
      </c>
      <c r="AG284" s="44">
        <v>34</v>
      </c>
      <c r="AH284" s="31">
        <v>2690722.9576295782</v>
      </c>
      <c r="AI284" s="31">
        <v>77096.589999999967</v>
      </c>
      <c r="AJ284" s="31">
        <v>66618.989999999991</v>
      </c>
      <c r="AK284" s="31">
        <v>0</v>
      </c>
      <c r="AL284" s="31">
        <v>210347.24355547989</v>
      </c>
      <c r="AM284" s="31">
        <v>140823.95966611427</v>
      </c>
      <c r="AN284" s="31">
        <v>139818.37180748364</v>
      </c>
      <c r="AO284" s="31">
        <f t="shared" si="22"/>
        <v>3387904.0826586559</v>
      </c>
      <c r="AP284" s="31">
        <v>62475.969999999994</v>
      </c>
      <c r="AR284" s="42" t="s">
        <v>531</v>
      </c>
      <c r="AS284" s="42" t="s">
        <v>532</v>
      </c>
      <c r="AT284" s="43" t="s">
        <v>1276</v>
      </c>
      <c r="AU284" s="44">
        <v>34</v>
      </c>
      <c r="AV284" s="31">
        <v>2740541.0769575043</v>
      </c>
      <c r="AW284" s="31">
        <v>78496.179999999993</v>
      </c>
      <c r="AX284" s="31">
        <v>67841.63</v>
      </c>
      <c r="AY284" s="31">
        <v>0</v>
      </c>
      <c r="AZ284" s="31">
        <v>214236.78047924346</v>
      </c>
      <c r="BA284" s="31">
        <v>140829.13686400562</v>
      </c>
      <c r="BB284" s="31">
        <v>142407.6397075</v>
      </c>
      <c r="BC284" s="31">
        <f t="shared" si="23"/>
        <v>3447990.3640082534</v>
      </c>
      <c r="BD284" s="31">
        <v>63637.919999999991</v>
      </c>
    </row>
    <row r="285" spans="2:56">
      <c r="B285" s="42" t="s">
        <v>79</v>
      </c>
      <c r="C285" s="42" t="s">
        <v>80</v>
      </c>
      <c r="D285" s="43" t="s">
        <v>1049</v>
      </c>
      <c r="E285" s="44">
        <v>34</v>
      </c>
      <c r="F285" s="31">
        <v>6103363.3288619732</v>
      </c>
      <c r="G285" s="31">
        <v>185017.92</v>
      </c>
      <c r="H285" s="31">
        <v>0</v>
      </c>
      <c r="I285" s="31">
        <v>20277.310000000001</v>
      </c>
      <c r="J285" s="31">
        <v>889542.50505094475</v>
      </c>
      <c r="K285" s="31">
        <v>437617.34661909513</v>
      </c>
      <c r="L285" s="31">
        <v>538326.5781826654</v>
      </c>
      <c r="M285" s="31">
        <f t="shared" si="20"/>
        <v>8174144.9887146782</v>
      </c>
      <c r="N285" s="31">
        <v>0</v>
      </c>
      <c r="P285" s="42" t="s">
        <v>79</v>
      </c>
      <c r="Q285" s="42" t="s">
        <v>80</v>
      </c>
      <c r="R285" s="43" t="s">
        <v>1050</v>
      </c>
      <c r="S285" s="44">
        <v>34</v>
      </c>
      <c r="T285" s="31">
        <v>6495543.1426894851</v>
      </c>
      <c r="U285" s="31">
        <v>196977.65</v>
      </c>
      <c r="V285" s="31">
        <v>0</v>
      </c>
      <c r="W285" s="31">
        <v>21588.07</v>
      </c>
      <c r="X285" s="31">
        <v>942268.55513312109</v>
      </c>
      <c r="Y285" s="31">
        <v>438492.70920720138</v>
      </c>
      <c r="Z285" s="31">
        <v>571366.3843815797</v>
      </c>
      <c r="AA285" s="31">
        <f t="shared" si="21"/>
        <v>8666236.5114113875</v>
      </c>
      <c r="AB285" s="31">
        <v>0</v>
      </c>
      <c r="AD285" s="42" t="s">
        <v>79</v>
      </c>
      <c r="AE285" s="42" t="s">
        <v>80</v>
      </c>
      <c r="AF285" s="43" t="s">
        <v>1275</v>
      </c>
      <c r="AG285" s="44">
        <v>34</v>
      </c>
      <c r="AH285" s="31">
        <v>6612711.7372807274</v>
      </c>
      <c r="AI285" s="31">
        <v>200428.4</v>
      </c>
      <c r="AJ285" s="31">
        <v>0</v>
      </c>
      <c r="AK285" s="31">
        <v>21966.26</v>
      </c>
      <c r="AL285" s="31">
        <v>958864.1570193182</v>
      </c>
      <c r="AM285" s="31">
        <v>437827.66973091976</v>
      </c>
      <c r="AN285" s="31">
        <v>581447.83165505994</v>
      </c>
      <c r="AO285" s="31">
        <f t="shared" si="22"/>
        <v>8813246.0556860249</v>
      </c>
      <c r="AP285" s="31">
        <v>0</v>
      </c>
      <c r="AR285" s="42" t="s">
        <v>79</v>
      </c>
      <c r="AS285" s="42" t="s">
        <v>80</v>
      </c>
      <c r="AT285" s="43" t="s">
        <v>1276</v>
      </c>
      <c r="AU285" s="44">
        <v>34</v>
      </c>
      <c r="AV285" s="31">
        <v>6737997.281278505</v>
      </c>
      <c r="AW285" s="31">
        <v>204124.13999999998</v>
      </c>
      <c r="AX285" s="31">
        <v>0</v>
      </c>
      <c r="AY285" s="31">
        <v>22371.3</v>
      </c>
      <c r="AZ285" s="31">
        <v>976637.95051525813</v>
      </c>
      <c r="BA285" s="31">
        <v>437846.67085881357</v>
      </c>
      <c r="BB285" s="31">
        <v>592244.72582055745</v>
      </c>
      <c r="BC285" s="31">
        <f t="shared" si="23"/>
        <v>8971222.0684731342</v>
      </c>
      <c r="BD285" s="31">
        <v>0</v>
      </c>
    </row>
    <row r="286" spans="2:56">
      <c r="B286" s="42" t="s">
        <v>257</v>
      </c>
      <c r="C286" s="42" t="s">
        <v>258</v>
      </c>
      <c r="D286" s="43" t="s">
        <v>1049</v>
      </c>
      <c r="E286" s="44">
        <v>34</v>
      </c>
      <c r="F286" s="31">
        <v>2496010.6640299731</v>
      </c>
      <c r="G286" s="31">
        <v>0</v>
      </c>
      <c r="H286" s="31">
        <v>23678.59</v>
      </c>
      <c r="I286" s="31">
        <v>5359.369999999999</v>
      </c>
      <c r="J286" s="31">
        <v>154913.04096254066</v>
      </c>
      <c r="K286" s="31">
        <v>135749.48480082987</v>
      </c>
      <c r="L286" s="31">
        <v>0</v>
      </c>
      <c r="M286" s="31">
        <f t="shared" si="20"/>
        <v>2815711.1497933436</v>
      </c>
      <c r="N286" s="31">
        <v>0</v>
      </c>
      <c r="P286" s="42" t="s">
        <v>257</v>
      </c>
      <c r="Q286" s="42" t="s">
        <v>258</v>
      </c>
      <c r="R286" s="43" t="s">
        <v>1050</v>
      </c>
      <c r="S286" s="44">
        <v>34</v>
      </c>
      <c r="T286" s="31">
        <v>2652429.2307707625</v>
      </c>
      <c r="U286" s="31">
        <v>0</v>
      </c>
      <c r="V286" s="31">
        <v>25215.54</v>
      </c>
      <c r="W286" s="31">
        <v>5707.22</v>
      </c>
      <c r="X286" s="31">
        <v>164105.63143868645</v>
      </c>
      <c r="Y286" s="31">
        <v>136106.45023258115</v>
      </c>
      <c r="Z286" s="31">
        <v>0</v>
      </c>
      <c r="AA286" s="31">
        <f t="shared" si="21"/>
        <v>2983564.0724420305</v>
      </c>
      <c r="AB286" s="31">
        <v>0</v>
      </c>
      <c r="AD286" s="42" t="s">
        <v>257</v>
      </c>
      <c r="AE286" s="42" t="s">
        <v>258</v>
      </c>
      <c r="AF286" s="43" t="s">
        <v>1275</v>
      </c>
      <c r="AG286" s="44">
        <v>34</v>
      </c>
      <c r="AH286" s="31">
        <v>2699057.6223065783</v>
      </c>
      <c r="AI286" s="31">
        <v>0</v>
      </c>
      <c r="AJ286" s="31">
        <v>25655.170000000006</v>
      </c>
      <c r="AK286" s="31">
        <v>5806.73</v>
      </c>
      <c r="AL286" s="31">
        <v>166988.53136395742</v>
      </c>
      <c r="AM286" s="31">
        <v>135835.25278022478</v>
      </c>
      <c r="AN286" s="31">
        <v>0</v>
      </c>
      <c r="AO286" s="31">
        <f t="shared" si="22"/>
        <v>3033343.3064507605</v>
      </c>
      <c r="AP286" s="31">
        <v>0</v>
      </c>
      <c r="AR286" s="42" t="s">
        <v>257</v>
      </c>
      <c r="AS286" s="42" t="s">
        <v>258</v>
      </c>
      <c r="AT286" s="43" t="s">
        <v>1276</v>
      </c>
      <c r="AU286" s="44">
        <v>34</v>
      </c>
      <c r="AV286" s="31">
        <v>2748972.7298983349</v>
      </c>
      <c r="AW286" s="31">
        <v>0</v>
      </c>
      <c r="AX286" s="31">
        <v>26126.020000000004</v>
      </c>
      <c r="AY286" s="31">
        <v>5913.3</v>
      </c>
      <c r="AZ286" s="31">
        <v>170076.10424082083</v>
      </c>
      <c r="BA286" s="31">
        <v>135843.00127886355</v>
      </c>
      <c r="BB286" s="31">
        <v>0</v>
      </c>
      <c r="BC286" s="31">
        <f t="shared" si="23"/>
        <v>3086931.1554180193</v>
      </c>
      <c r="BD286" s="31">
        <v>0</v>
      </c>
    </row>
    <row r="287" spans="2:56">
      <c r="B287" s="42" t="s">
        <v>201</v>
      </c>
      <c r="C287" s="42" t="s">
        <v>202</v>
      </c>
      <c r="D287" s="43" t="s">
        <v>1049</v>
      </c>
      <c r="E287" s="44">
        <v>34</v>
      </c>
      <c r="F287" s="31">
        <v>23687724.728759062</v>
      </c>
      <c r="G287" s="31">
        <v>1369383.6</v>
      </c>
      <c r="H287" s="31">
        <v>1738858.5800000003</v>
      </c>
      <c r="I287" s="31">
        <v>82318.850000000006</v>
      </c>
      <c r="J287" s="31">
        <v>3565386.1782605499</v>
      </c>
      <c r="K287" s="31">
        <v>921753.55166467745</v>
      </c>
      <c r="L287" s="31">
        <v>1035336.0476193475</v>
      </c>
      <c r="M287" s="31">
        <f t="shared" si="20"/>
        <v>33245404.816303641</v>
      </c>
      <c r="N287" s="31">
        <v>844643.2799999998</v>
      </c>
      <c r="P287" s="42" t="s">
        <v>201</v>
      </c>
      <c r="Q287" s="42" t="s">
        <v>202</v>
      </c>
      <c r="R287" s="43" t="s">
        <v>1050</v>
      </c>
      <c r="S287" s="44">
        <v>34</v>
      </c>
      <c r="T287" s="31">
        <v>25464159.872517996</v>
      </c>
      <c r="U287" s="31">
        <v>1469175.57</v>
      </c>
      <c r="V287" s="31">
        <v>1849852.1</v>
      </c>
      <c r="W287" s="31">
        <v>87573.37</v>
      </c>
      <c r="X287" s="31">
        <v>3775754.5268035433</v>
      </c>
      <c r="Y287" s="31">
        <v>923809.07788935618</v>
      </c>
      <c r="Z287" s="31">
        <v>1109170.2739639848</v>
      </c>
      <c r="AA287" s="31">
        <f t="shared" si="21"/>
        <v>35565670.221174881</v>
      </c>
      <c r="AB287" s="31">
        <v>886175.42999999993</v>
      </c>
      <c r="AD287" s="42" t="s">
        <v>201</v>
      </c>
      <c r="AE287" s="42" t="s">
        <v>202</v>
      </c>
      <c r="AF287" s="43" t="s">
        <v>1275</v>
      </c>
      <c r="AG287" s="44">
        <v>34</v>
      </c>
      <c r="AH287" s="31">
        <v>25923729.86143297</v>
      </c>
      <c r="AI287" s="31">
        <v>1495099.8200000005</v>
      </c>
      <c r="AJ287" s="31">
        <v>1882726.2600000002</v>
      </c>
      <c r="AK287" s="31">
        <v>89129.65</v>
      </c>
      <c r="AL287" s="31">
        <v>3843058.4257770851</v>
      </c>
      <c r="AM287" s="31">
        <v>922199.36040692974</v>
      </c>
      <c r="AN287" s="31">
        <v>1128966.9335028722</v>
      </c>
      <c r="AO287" s="31">
        <f t="shared" si="22"/>
        <v>36187018.971119858</v>
      </c>
      <c r="AP287" s="31">
        <v>902108.65999999992</v>
      </c>
      <c r="AR287" s="42" t="s">
        <v>201</v>
      </c>
      <c r="AS287" s="42" t="s">
        <v>202</v>
      </c>
      <c r="AT287" s="43" t="s">
        <v>1276</v>
      </c>
      <c r="AU287" s="44">
        <v>34</v>
      </c>
      <c r="AV287" s="31">
        <v>26415518.221409999</v>
      </c>
      <c r="AW287" s="31">
        <v>1522864.69</v>
      </c>
      <c r="AX287" s="31">
        <v>1917934.47</v>
      </c>
      <c r="AY287" s="31">
        <v>90796.44</v>
      </c>
      <c r="AZ287" s="31">
        <v>3915140.591513962</v>
      </c>
      <c r="BA287" s="31">
        <v>922245.35233499901</v>
      </c>
      <c r="BB287" s="31">
        <v>1150168.5710212202</v>
      </c>
      <c r="BC287" s="31">
        <f t="shared" si="23"/>
        <v>36853841.506280184</v>
      </c>
      <c r="BD287" s="31">
        <v>919173.16999999993</v>
      </c>
    </row>
    <row r="288" spans="2:56">
      <c r="B288" s="42" t="s">
        <v>511</v>
      </c>
      <c r="C288" s="42" t="s">
        <v>512</v>
      </c>
      <c r="D288" s="43" t="s">
        <v>1049</v>
      </c>
      <c r="E288" s="44">
        <v>34</v>
      </c>
      <c r="F288" s="31">
        <v>50265488.404364049</v>
      </c>
      <c r="G288" s="31">
        <v>1276304.8999999999</v>
      </c>
      <c r="H288" s="31">
        <v>218758.94</v>
      </c>
      <c r="I288" s="31">
        <v>186310.49999999997</v>
      </c>
      <c r="J288" s="31">
        <v>7721549.9907863783</v>
      </c>
      <c r="K288" s="31">
        <v>3678988.4508556905</v>
      </c>
      <c r="L288" s="31">
        <v>8303173.4728904571</v>
      </c>
      <c r="M288" s="31">
        <f t="shared" si="20"/>
        <v>71650574.658896565</v>
      </c>
      <c r="N288" s="31">
        <v>0</v>
      </c>
      <c r="P288" s="42" t="s">
        <v>511</v>
      </c>
      <c r="Q288" s="42" t="s">
        <v>512</v>
      </c>
      <c r="R288" s="43" t="s">
        <v>1050</v>
      </c>
      <c r="S288" s="44">
        <v>34</v>
      </c>
      <c r="T288" s="31">
        <v>53536066.480404548</v>
      </c>
      <c r="U288" s="31">
        <v>1359148.7500000002</v>
      </c>
      <c r="V288" s="31">
        <v>232958.38999999998</v>
      </c>
      <c r="W288" s="31">
        <v>198403.75</v>
      </c>
      <c r="X288" s="31">
        <v>8179715.9443092989</v>
      </c>
      <c r="Y288" s="31">
        <v>3688930.4975617491</v>
      </c>
      <c r="Z288" s="31">
        <v>8814587.594549058</v>
      </c>
      <c r="AA288" s="31">
        <f t="shared" si="21"/>
        <v>76009811.406824663</v>
      </c>
      <c r="AB288" s="31">
        <v>0</v>
      </c>
      <c r="AD288" s="42" t="s">
        <v>511</v>
      </c>
      <c r="AE288" s="42" t="s">
        <v>512</v>
      </c>
      <c r="AF288" s="43" t="s">
        <v>1275</v>
      </c>
      <c r="AG288" s="44">
        <v>34</v>
      </c>
      <c r="AH288" s="31">
        <v>54522860.403538004</v>
      </c>
      <c r="AI288" s="31">
        <v>1382845.29</v>
      </c>
      <c r="AJ288" s="31">
        <v>237019.99000000002</v>
      </c>
      <c r="AK288" s="31">
        <v>201862.89</v>
      </c>
      <c r="AL288" s="31">
        <v>8323440.6253595315</v>
      </c>
      <c r="AM288" s="31">
        <v>3681377.2234963491</v>
      </c>
      <c r="AN288" s="31">
        <v>8969614.0807606485</v>
      </c>
      <c r="AO288" s="31">
        <f t="shared" si="22"/>
        <v>77319020.503154531</v>
      </c>
      <c r="AP288" s="31">
        <v>0</v>
      </c>
      <c r="AR288" s="42" t="s">
        <v>511</v>
      </c>
      <c r="AS288" s="42" t="s">
        <v>512</v>
      </c>
      <c r="AT288" s="43" t="s">
        <v>1276</v>
      </c>
      <c r="AU288" s="44">
        <v>34</v>
      </c>
      <c r="AV288" s="31">
        <v>55576655.173538879</v>
      </c>
      <c r="AW288" s="31">
        <v>1408224.2900000003</v>
      </c>
      <c r="AX288" s="31">
        <v>241369.94999999998</v>
      </c>
      <c r="AY288" s="31">
        <v>205567.63</v>
      </c>
      <c r="AZ288" s="31">
        <v>8477369.3739441447</v>
      </c>
      <c r="BA288" s="31">
        <v>3681593.0313267894</v>
      </c>
      <c r="BB288" s="31">
        <v>9135642.3827554621</v>
      </c>
      <c r="BC288" s="31">
        <f t="shared" si="23"/>
        <v>78726421.831565276</v>
      </c>
      <c r="BD288" s="31">
        <v>0</v>
      </c>
    </row>
    <row r="289" spans="2:56">
      <c r="B289" s="42" t="s">
        <v>581</v>
      </c>
      <c r="C289" s="42" t="s">
        <v>582</v>
      </c>
      <c r="D289" s="43" t="s">
        <v>1049</v>
      </c>
      <c r="E289" s="44">
        <v>34</v>
      </c>
      <c r="F289" s="31">
        <v>4994256.0176886478</v>
      </c>
      <c r="G289" s="31">
        <v>327992.24</v>
      </c>
      <c r="H289" s="31">
        <v>257930.90999999997</v>
      </c>
      <c r="I289" s="31">
        <v>15883.19</v>
      </c>
      <c r="J289" s="31">
        <v>687210.35708410887</v>
      </c>
      <c r="K289" s="31">
        <v>136936.44498647811</v>
      </c>
      <c r="L289" s="31">
        <v>0</v>
      </c>
      <c r="M289" s="31">
        <f t="shared" si="20"/>
        <v>6585959.2497592354</v>
      </c>
      <c r="N289" s="31">
        <v>165750.09</v>
      </c>
      <c r="P289" s="42" t="s">
        <v>581</v>
      </c>
      <c r="Q289" s="42" t="s">
        <v>582</v>
      </c>
      <c r="R289" s="43" t="s">
        <v>1050</v>
      </c>
      <c r="S289" s="44">
        <v>34</v>
      </c>
      <c r="T289" s="31">
        <v>5391935.1329666916</v>
      </c>
      <c r="U289" s="31">
        <v>352036.67</v>
      </c>
      <c r="V289" s="31">
        <v>274673</v>
      </c>
      <c r="W289" s="31">
        <v>16914.12</v>
      </c>
      <c r="X289" s="31">
        <v>727947.13603543129</v>
      </c>
      <c r="Y289" s="31">
        <v>137332.68509930791</v>
      </c>
      <c r="Z289" s="31">
        <v>0</v>
      </c>
      <c r="AA289" s="31">
        <f t="shared" si="21"/>
        <v>7074592.794101431</v>
      </c>
      <c r="AB289" s="31">
        <v>173754.05</v>
      </c>
      <c r="AD289" s="42" t="s">
        <v>581</v>
      </c>
      <c r="AE289" s="42" t="s">
        <v>582</v>
      </c>
      <c r="AF289" s="43" t="s">
        <v>1275</v>
      </c>
      <c r="AG289" s="44">
        <v>34</v>
      </c>
      <c r="AH289" s="31">
        <v>5486406.8712392626</v>
      </c>
      <c r="AI289" s="31">
        <v>358133.13</v>
      </c>
      <c r="AJ289" s="31">
        <v>279461.87</v>
      </c>
      <c r="AK289" s="31">
        <v>17209.03</v>
      </c>
      <c r="AL289" s="31">
        <v>740716.56202016317</v>
      </c>
      <c r="AM289" s="31">
        <v>137031.64948195513</v>
      </c>
      <c r="AN289" s="31">
        <v>0</v>
      </c>
      <c r="AO289" s="31">
        <f t="shared" si="22"/>
        <v>7195783.7727413811</v>
      </c>
      <c r="AP289" s="31">
        <v>176824.66</v>
      </c>
      <c r="AR289" s="42" t="s">
        <v>581</v>
      </c>
      <c r="AS289" s="42" t="s">
        <v>582</v>
      </c>
      <c r="AT289" s="43" t="s">
        <v>1276</v>
      </c>
      <c r="AU289" s="44">
        <v>34</v>
      </c>
      <c r="AV289" s="31">
        <v>5587584.7976283943</v>
      </c>
      <c r="AW289" s="31">
        <v>364662.44000000012</v>
      </c>
      <c r="AX289" s="31">
        <v>284590.76</v>
      </c>
      <c r="AY289" s="31">
        <v>17524.86</v>
      </c>
      <c r="AZ289" s="31">
        <v>754392.44018270262</v>
      </c>
      <c r="BA289" s="31">
        <v>137040.25049959379</v>
      </c>
      <c r="BB289" s="31">
        <v>0</v>
      </c>
      <c r="BC289" s="31">
        <f t="shared" si="23"/>
        <v>7325908.8383106915</v>
      </c>
      <c r="BD289" s="31">
        <v>180113.28999999998</v>
      </c>
    </row>
    <row r="290" spans="2:56">
      <c r="B290" s="42" t="s">
        <v>369</v>
      </c>
      <c r="C290" s="42" t="s">
        <v>370</v>
      </c>
      <c r="D290" s="43" t="s">
        <v>1049</v>
      </c>
      <c r="E290" s="44">
        <v>34</v>
      </c>
      <c r="F290" s="31">
        <v>48387008.641914509</v>
      </c>
      <c r="G290" s="31">
        <v>1374295.78</v>
      </c>
      <c r="H290" s="31">
        <v>518966.31999999995</v>
      </c>
      <c r="I290" s="31">
        <v>169666.13999999998</v>
      </c>
      <c r="J290" s="31">
        <v>5470475.5099328794</v>
      </c>
      <c r="K290" s="31">
        <v>2088915.2169203914</v>
      </c>
      <c r="L290" s="31">
        <v>2810846.2693692246</v>
      </c>
      <c r="M290" s="31">
        <f t="shared" si="20"/>
        <v>60820173.878137</v>
      </c>
      <c r="N290" s="31">
        <v>0</v>
      </c>
      <c r="P290" s="42" t="s">
        <v>369</v>
      </c>
      <c r="Q290" s="42" t="s">
        <v>370</v>
      </c>
      <c r="R290" s="43" t="s">
        <v>1050</v>
      </c>
      <c r="S290" s="44">
        <v>34</v>
      </c>
      <c r="T290" s="31">
        <v>51498921.442450985</v>
      </c>
      <c r="U290" s="31">
        <v>1462623.7799999998</v>
      </c>
      <c r="V290" s="31">
        <v>552321.05000000005</v>
      </c>
      <c r="W290" s="31">
        <v>180570.83999999997</v>
      </c>
      <c r="X290" s="31">
        <v>5794166.5361948777</v>
      </c>
      <c r="Y290" s="31">
        <v>2092760.2425094801</v>
      </c>
      <c r="Z290" s="31">
        <v>2982813.8702552039</v>
      </c>
      <c r="AA290" s="31">
        <f t="shared" si="21"/>
        <v>64564177.761410542</v>
      </c>
      <c r="AB290" s="31">
        <v>0</v>
      </c>
      <c r="AD290" s="42" t="s">
        <v>369</v>
      </c>
      <c r="AE290" s="42" t="s">
        <v>370</v>
      </c>
      <c r="AF290" s="43" t="s">
        <v>1275</v>
      </c>
      <c r="AG290" s="44">
        <v>34</v>
      </c>
      <c r="AH290" s="31">
        <v>52430857.491659246</v>
      </c>
      <c r="AI290" s="31">
        <v>1488415.3399999999</v>
      </c>
      <c r="AJ290" s="31">
        <v>562060.55000000005</v>
      </c>
      <c r="AK290" s="31">
        <v>183754.97999999998</v>
      </c>
      <c r="AL290" s="31">
        <v>5896752.565162681</v>
      </c>
      <c r="AM290" s="31">
        <v>2089807.0038067049</v>
      </c>
      <c r="AN290" s="31">
        <v>3035704.7767050317</v>
      </c>
      <c r="AO290" s="31">
        <f t="shared" si="22"/>
        <v>65687352.707333654</v>
      </c>
      <c r="AP290" s="31">
        <v>0</v>
      </c>
      <c r="AR290" s="42" t="s">
        <v>369</v>
      </c>
      <c r="AS290" s="42" t="s">
        <v>370</v>
      </c>
      <c r="AT290" s="43" t="s">
        <v>1276</v>
      </c>
      <c r="AU290" s="44">
        <v>34</v>
      </c>
      <c r="AV290" s="31">
        <v>53427584.15632049</v>
      </c>
      <c r="AW290" s="31">
        <v>1516038.0999999999</v>
      </c>
      <c r="AX290" s="31">
        <v>572491.55000000005</v>
      </c>
      <c r="AY290" s="31">
        <v>187165.18999999997</v>
      </c>
      <c r="AZ290" s="31">
        <v>6006621.7154836003</v>
      </c>
      <c r="BA290" s="31">
        <v>2089891.3820553559</v>
      </c>
      <c r="BB290" s="31">
        <v>3092349.2541155969</v>
      </c>
      <c r="BC290" s="31">
        <f t="shared" si="23"/>
        <v>66892141.347975038</v>
      </c>
      <c r="BD290" s="31">
        <v>0</v>
      </c>
    </row>
    <row r="291" spans="2:56">
      <c r="B291" s="42" t="s">
        <v>489</v>
      </c>
      <c r="C291" s="42" t="s">
        <v>490</v>
      </c>
      <c r="D291" s="43" t="s">
        <v>1049</v>
      </c>
      <c r="E291" s="44">
        <v>34</v>
      </c>
      <c r="F291" s="31">
        <v>10957750.718659814</v>
      </c>
      <c r="G291" s="31">
        <v>164873.09999999998</v>
      </c>
      <c r="H291" s="31">
        <v>0</v>
      </c>
      <c r="I291" s="31">
        <v>32448.43</v>
      </c>
      <c r="J291" s="31">
        <v>964206.36550334364</v>
      </c>
      <c r="K291" s="31">
        <v>989170.15045579593</v>
      </c>
      <c r="L291" s="31">
        <v>0</v>
      </c>
      <c r="M291" s="31">
        <f t="shared" si="20"/>
        <v>13182505.234618952</v>
      </c>
      <c r="N291" s="31">
        <v>74056.47</v>
      </c>
      <c r="P291" s="42" t="s">
        <v>489</v>
      </c>
      <c r="Q291" s="42" t="s">
        <v>490</v>
      </c>
      <c r="R291" s="43" t="s">
        <v>1050</v>
      </c>
      <c r="S291" s="44">
        <v>34</v>
      </c>
      <c r="T291" s="31">
        <v>11709605.626768392</v>
      </c>
      <c r="U291" s="31">
        <v>176805.66999999998</v>
      </c>
      <c r="V291" s="31">
        <v>0</v>
      </c>
      <c r="W291" s="31">
        <v>34554.630000000005</v>
      </c>
      <c r="X291" s="31">
        <v>1021474.4290196993</v>
      </c>
      <c r="Y291" s="31">
        <v>990713.41707474506</v>
      </c>
      <c r="Z291" s="31">
        <v>0</v>
      </c>
      <c r="AA291" s="31">
        <f t="shared" si="21"/>
        <v>14010786.382862836</v>
      </c>
      <c r="AB291" s="31">
        <v>77632.61</v>
      </c>
      <c r="AD291" s="42" t="s">
        <v>489</v>
      </c>
      <c r="AE291" s="42" t="s">
        <v>490</v>
      </c>
      <c r="AF291" s="43" t="s">
        <v>1275</v>
      </c>
      <c r="AG291" s="44">
        <v>34</v>
      </c>
      <c r="AH291" s="31">
        <v>11986442.300250039</v>
      </c>
      <c r="AI291" s="31">
        <v>179869.83000000002</v>
      </c>
      <c r="AJ291" s="31">
        <v>0</v>
      </c>
      <c r="AK291" s="31">
        <v>35157.090000000004</v>
      </c>
      <c r="AL291" s="31">
        <v>1039454.9545493317</v>
      </c>
      <c r="AM291" s="31">
        <v>989540.95067285199</v>
      </c>
      <c r="AN291" s="31">
        <v>0</v>
      </c>
      <c r="AO291" s="31">
        <f t="shared" si="22"/>
        <v>14309469.665472221</v>
      </c>
      <c r="AP291" s="31">
        <v>79004.539999999994</v>
      </c>
      <c r="AR291" s="42" t="s">
        <v>489</v>
      </c>
      <c r="AS291" s="42" t="s">
        <v>490</v>
      </c>
      <c r="AT291" s="43" t="s">
        <v>1276</v>
      </c>
      <c r="AU291" s="44">
        <v>34</v>
      </c>
      <c r="AV291" s="31">
        <v>12278388.027825978</v>
      </c>
      <c r="AW291" s="31">
        <v>183151.54000000004</v>
      </c>
      <c r="AX291" s="31">
        <v>0</v>
      </c>
      <c r="AY291" s="31">
        <v>35802.310000000005</v>
      </c>
      <c r="AZ291" s="31">
        <v>1058712.2684915217</v>
      </c>
      <c r="BA291" s="31">
        <v>989574.44971290592</v>
      </c>
      <c r="BB291" s="31">
        <v>0</v>
      </c>
      <c r="BC291" s="31">
        <f t="shared" si="23"/>
        <v>14626102.476030406</v>
      </c>
      <c r="BD291" s="31">
        <v>80473.88</v>
      </c>
    </row>
    <row r="292" spans="2:56">
      <c r="B292" s="42" t="s">
        <v>55</v>
      </c>
      <c r="C292" s="42" t="s">
        <v>56</v>
      </c>
      <c r="D292" s="43" t="s">
        <v>1049</v>
      </c>
      <c r="E292" s="44">
        <v>34</v>
      </c>
      <c r="F292" s="31">
        <v>179097181.73458564</v>
      </c>
      <c r="G292" s="31">
        <v>6821179.2699999996</v>
      </c>
      <c r="H292" s="31">
        <v>4827008.8100000005</v>
      </c>
      <c r="I292" s="31">
        <v>633566.71999999997</v>
      </c>
      <c r="J292" s="31">
        <v>27866759.31251619</v>
      </c>
      <c r="K292" s="31">
        <v>10638587.344901018</v>
      </c>
      <c r="L292" s="31">
        <v>15111380.051453874</v>
      </c>
      <c r="M292" s="31">
        <f t="shared" si="20"/>
        <v>248759203.41345671</v>
      </c>
      <c r="N292" s="31">
        <v>3763540.17</v>
      </c>
      <c r="P292" s="42" t="s">
        <v>55</v>
      </c>
      <c r="Q292" s="42" t="s">
        <v>56</v>
      </c>
      <c r="R292" s="43" t="s">
        <v>1050</v>
      </c>
      <c r="S292" s="44">
        <v>34</v>
      </c>
      <c r="T292" s="31">
        <v>190677630.54418495</v>
      </c>
      <c r="U292" s="31">
        <v>7321082.3400000008</v>
      </c>
      <c r="V292" s="31">
        <v>5138417.07</v>
      </c>
      <c r="W292" s="31">
        <v>674440.45</v>
      </c>
      <c r="X292" s="31">
        <v>29516910.312657848</v>
      </c>
      <c r="Y292" s="31">
        <v>10662747.510289701</v>
      </c>
      <c r="Z292" s="31">
        <v>16037177.791469764</v>
      </c>
      <c r="AA292" s="31">
        <f t="shared" si="21"/>
        <v>263974902.63860223</v>
      </c>
      <c r="AB292" s="31">
        <v>3946496.62</v>
      </c>
      <c r="AD292" s="42" t="s">
        <v>55</v>
      </c>
      <c r="AE292" s="42" t="s">
        <v>56</v>
      </c>
      <c r="AF292" s="43" t="s">
        <v>1275</v>
      </c>
      <c r="AG292" s="44">
        <v>34</v>
      </c>
      <c r="AH292" s="31">
        <v>194169574.57461855</v>
      </c>
      <c r="AI292" s="31">
        <v>7448731.6499999994</v>
      </c>
      <c r="AJ292" s="31">
        <v>5228638.2600000007</v>
      </c>
      <c r="AK292" s="31">
        <v>686282.39</v>
      </c>
      <c r="AL292" s="31">
        <v>30038199.671428502</v>
      </c>
      <c r="AM292" s="31">
        <v>10644190.87553185</v>
      </c>
      <c r="AN292" s="31">
        <v>16320835.579115804</v>
      </c>
      <c r="AO292" s="31">
        <f t="shared" si="22"/>
        <v>268553138.3706947</v>
      </c>
      <c r="AP292" s="31">
        <v>4016685.37</v>
      </c>
      <c r="AR292" s="42" t="s">
        <v>55</v>
      </c>
      <c r="AS292" s="42" t="s">
        <v>56</v>
      </c>
      <c r="AT292" s="43" t="s">
        <v>1276</v>
      </c>
      <c r="AU292" s="44">
        <v>34</v>
      </c>
      <c r="AV292" s="31">
        <v>197901194.00070429</v>
      </c>
      <c r="AW292" s="31">
        <v>7585444.040000001</v>
      </c>
      <c r="AX292" s="31">
        <v>5325265.16</v>
      </c>
      <c r="AY292" s="31">
        <v>698965.1100000001</v>
      </c>
      <c r="AZ292" s="31">
        <v>30596498.355645724</v>
      </c>
      <c r="BA292" s="31">
        <v>10644721.065096362</v>
      </c>
      <c r="BB292" s="31">
        <v>16624623.833753314</v>
      </c>
      <c r="BC292" s="31">
        <f t="shared" si="23"/>
        <v>273468569.09519964</v>
      </c>
      <c r="BD292" s="31">
        <v>4091857.53</v>
      </c>
    </row>
    <row r="293" spans="2:56">
      <c r="B293" s="42" t="s">
        <v>193</v>
      </c>
      <c r="C293" s="42" t="s">
        <v>194</v>
      </c>
      <c r="D293" s="43" t="s">
        <v>1049</v>
      </c>
      <c r="E293" s="44">
        <v>34</v>
      </c>
      <c r="F293" s="31">
        <v>12472692.103237871</v>
      </c>
      <c r="G293" s="31">
        <v>237720.89999999997</v>
      </c>
      <c r="H293" s="31">
        <v>125757.15000000001</v>
      </c>
      <c r="I293" s="31">
        <v>46013.97</v>
      </c>
      <c r="J293" s="31">
        <v>1662721.4245707518</v>
      </c>
      <c r="K293" s="31">
        <v>966538.69088040106</v>
      </c>
      <c r="L293" s="31">
        <v>1137991.4381617596</v>
      </c>
      <c r="M293" s="31">
        <f t="shared" si="20"/>
        <v>16661720.436850784</v>
      </c>
      <c r="N293" s="31">
        <v>12284.76</v>
      </c>
      <c r="P293" s="42" t="s">
        <v>193</v>
      </c>
      <c r="Q293" s="42" t="s">
        <v>194</v>
      </c>
      <c r="R293" s="43" t="s">
        <v>1050</v>
      </c>
      <c r="S293" s="44">
        <v>34</v>
      </c>
      <c r="T293" s="31">
        <v>13278496.358184446</v>
      </c>
      <c r="U293" s="31">
        <v>253159.52000000002</v>
      </c>
      <c r="V293" s="31">
        <v>133825.26</v>
      </c>
      <c r="W293" s="31">
        <v>48966.06</v>
      </c>
      <c r="X293" s="31">
        <v>1761079.2754505777</v>
      </c>
      <c r="Y293" s="31">
        <v>969061.08800960938</v>
      </c>
      <c r="Z293" s="31">
        <v>1207498.1700469651</v>
      </c>
      <c r="AA293" s="31">
        <f t="shared" si="21"/>
        <v>17664971.2816916</v>
      </c>
      <c r="AB293" s="31">
        <v>12885.550000000001</v>
      </c>
      <c r="AD293" s="42" t="s">
        <v>193</v>
      </c>
      <c r="AE293" s="42" t="s">
        <v>194</v>
      </c>
      <c r="AF293" s="43" t="s">
        <v>1275</v>
      </c>
      <c r="AG293" s="44">
        <v>34</v>
      </c>
      <c r="AH293" s="31">
        <v>13526580.859654764</v>
      </c>
      <c r="AI293" s="31">
        <v>257629.99000000002</v>
      </c>
      <c r="AJ293" s="31">
        <v>136189.92000000001</v>
      </c>
      <c r="AK293" s="31">
        <v>49831.27</v>
      </c>
      <c r="AL293" s="31">
        <v>1792347.7939930088</v>
      </c>
      <c r="AM293" s="31">
        <v>967104.09942221479</v>
      </c>
      <c r="AN293" s="31">
        <v>1228957.3487388273</v>
      </c>
      <c r="AO293" s="31">
        <f t="shared" si="22"/>
        <v>17971757.321808815</v>
      </c>
      <c r="AP293" s="31">
        <v>13116.040000000003</v>
      </c>
      <c r="AR293" s="42" t="s">
        <v>193</v>
      </c>
      <c r="AS293" s="42" t="s">
        <v>194</v>
      </c>
      <c r="AT293" s="43" t="s">
        <v>1276</v>
      </c>
      <c r="AU293" s="44">
        <v>34</v>
      </c>
      <c r="AV293" s="31">
        <v>13791462.842041584</v>
      </c>
      <c r="AW293" s="31">
        <v>262417.84999999998</v>
      </c>
      <c r="AX293" s="31">
        <v>138722.48000000001</v>
      </c>
      <c r="AY293" s="31">
        <v>50757.919999999998</v>
      </c>
      <c r="AZ293" s="31">
        <v>1825836.3288799217</v>
      </c>
      <c r="BA293" s="31">
        <v>967160.01338185475</v>
      </c>
      <c r="BB293" s="31">
        <v>1251939.4607850115</v>
      </c>
      <c r="BC293" s="31">
        <f t="shared" si="23"/>
        <v>18301659.785088371</v>
      </c>
      <c r="BD293" s="31">
        <v>13362.890000000001</v>
      </c>
    </row>
    <row r="294" spans="2:56">
      <c r="B294" s="42" t="s">
        <v>1024</v>
      </c>
      <c r="C294" s="42" t="s">
        <v>1044</v>
      </c>
      <c r="D294" s="43" t="s">
        <v>1049</v>
      </c>
      <c r="E294" s="44">
        <v>34</v>
      </c>
      <c r="F294" s="31">
        <v>1143193.3727090994</v>
      </c>
      <c r="G294" s="31">
        <v>80302.2</v>
      </c>
      <c r="H294" s="31">
        <v>0</v>
      </c>
      <c r="I294" s="31">
        <v>0</v>
      </c>
      <c r="J294" s="31">
        <v>153391.91466490593</v>
      </c>
      <c r="K294" s="31">
        <v>146487.5</v>
      </c>
      <c r="L294" s="31">
        <v>0</v>
      </c>
      <c r="M294" s="31">
        <f t="shared" si="20"/>
        <v>1560096.0973740055</v>
      </c>
      <c r="N294" s="31">
        <v>36721.11</v>
      </c>
      <c r="P294" s="42" t="s">
        <v>1024</v>
      </c>
      <c r="Q294" s="42" t="s">
        <v>1044</v>
      </c>
      <c r="R294" s="43" t="s">
        <v>1050</v>
      </c>
      <c r="S294" s="44">
        <v>34</v>
      </c>
      <c r="T294" s="31">
        <v>1225339.7110932884</v>
      </c>
      <c r="U294" s="31">
        <v>85361.209999999992</v>
      </c>
      <c r="V294" s="31">
        <v>0</v>
      </c>
      <c r="W294" s="31">
        <v>0</v>
      </c>
      <c r="X294" s="31">
        <v>161317.42044659707</v>
      </c>
      <c r="Y294" s="31">
        <v>146487.5</v>
      </c>
      <c r="Z294" s="31">
        <v>0</v>
      </c>
      <c r="AA294" s="31">
        <f t="shared" si="21"/>
        <v>1656678.1315398854</v>
      </c>
      <c r="AB294" s="31">
        <v>38172.29</v>
      </c>
      <c r="AD294" s="42" t="s">
        <v>1024</v>
      </c>
      <c r="AE294" s="42" t="s">
        <v>1044</v>
      </c>
      <c r="AF294" s="43" t="s">
        <v>1275</v>
      </c>
      <c r="AG294" s="44">
        <v>34</v>
      </c>
      <c r="AH294" s="31">
        <v>1246869.3553367225</v>
      </c>
      <c r="AI294" s="31">
        <v>86846.00999999998</v>
      </c>
      <c r="AJ294" s="31">
        <v>0</v>
      </c>
      <c r="AK294" s="31">
        <v>0</v>
      </c>
      <c r="AL294" s="31">
        <v>164155.1006939259</v>
      </c>
      <c r="AM294" s="31">
        <v>146487.5</v>
      </c>
      <c r="AN294" s="31">
        <v>0</v>
      </c>
      <c r="AO294" s="31">
        <f t="shared" si="22"/>
        <v>1683207.0560306485</v>
      </c>
      <c r="AP294" s="31">
        <v>38849.090000000004</v>
      </c>
      <c r="AR294" s="42" t="s">
        <v>1024</v>
      </c>
      <c r="AS294" s="42" t="s">
        <v>1044</v>
      </c>
      <c r="AT294" s="43" t="s">
        <v>1276</v>
      </c>
      <c r="AU294" s="44">
        <v>34</v>
      </c>
      <c r="AV294" s="31">
        <v>1269927.3143110403</v>
      </c>
      <c r="AW294" s="31">
        <v>88436.23</v>
      </c>
      <c r="AX294" s="31">
        <v>0</v>
      </c>
      <c r="AY294" s="31">
        <v>0</v>
      </c>
      <c r="AZ294" s="31">
        <v>167194.21788343875</v>
      </c>
      <c r="BA294" s="31">
        <v>146487.5</v>
      </c>
      <c r="BB294" s="31">
        <v>0</v>
      </c>
      <c r="BC294" s="31">
        <f t="shared" si="23"/>
        <v>1711619.2021944791</v>
      </c>
      <c r="BD294" s="31">
        <v>39573.94</v>
      </c>
    </row>
    <row r="295" spans="2:56">
      <c r="B295" s="42" t="s">
        <v>523</v>
      </c>
      <c r="C295" s="42" t="s">
        <v>524</v>
      </c>
      <c r="D295" s="43" t="s">
        <v>1049</v>
      </c>
      <c r="E295" s="44">
        <v>34</v>
      </c>
      <c r="F295" s="31">
        <v>4240471.8246802147</v>
      </c>
      <c r="G295" s="31">
        <v>188952.34000000003</v>
      </c>
      <c r="H295" s="31">
        <v>0</v>
      </c>
      <c r="I295" s="31">
        <v>0</v>
      </c>
      <c r="J295" s="31">
        <v>577579.01062242058</v>
      </c>
      <c r="K295" s="31">
        <v>342388.08050716663</v>
      </c>
      <c r="L295" s="31">
        <v>231626.73305109574</v>
      </c>
      <c r="M295" s="31">
        <f t="shared" si="20"/>
        <v>5717713.3288608976</v>
      </c>
      <c r="N295" s="31">
        <v>136695.33999999997</v>
      </c>
      <c r="P295" s="42" t="s">
        <v>523</v>
      </c>
      <c r="Q295" s="42" t="s">
        <v>524</v>
      </c>
      <c r="R295" s="43" t="s">
        <v>1050</v>
      </c>
      <c r="S295" s="44">
        <v>34</v>
      </c>
      <c r="T295" s="31">
        <v>4549787.9527949067</v>
      </c>
      <c r="U295" s="31">
        <v>203371.61000000007</v>
      </c>
      <c r="V295" s="31">
        <v>0</v>
      </c>
      <c r="W295" s="31">
        <v>0</v>
      </c>
      <c r="X295" s="31">
        <v>611822.05784570135</v>
      </c>
      <c r="Y295" s="31">
        <v>343170.87667117285</v>
      </c>
      <c r="Z295" s="31">
        <v>248178.23722651269</v>
      </c>
      <c r="AA295" s="31">
        <f t="shared" si="21"/>
        <v>6099656.9845382934</v>
      </c>
      <c r="AB295" s="31">
        <v>143326.24999999997</v>
      </c>
      <c r="AD295" s="42" t="s">
        <v>523</v>
      </c>
      <c r="AE295" s="42" t="s">
        <v>524</v>
      </c>
      <c r="AF295" s="43" t="s">
        <v>1275</v>
      </c>
      <c r="AG295" s="44">
        <v>34</v>
      </c>
      <c r="AH295" s="31">
        <v>4631816.5302852187</v>
      </c>
      <c r="AI295" s="31">
        <v>206901.36000000002</v>
      </c>
      <c r="AJ295" s="31">
        <v>0</v>
      </c>
      <c r="AK295" s="31">
        <v>0</v>
      </c>
      <c r="AL295" s="31">
        <v>622601.73402195622</v>
      </c>
      <c r="AM295" s="31">
        <v>342576.16271147283</v>
      </c>
      <c r="AN295" s="31">
        <v>252556.71457983099</v>
      </c>
      <c r="AO295" s="31">
        <f t="shared" si="22"/>
        <v>6202322.6115984796</v>
      </c>
      <c r="AP295" s="31">
        <v>145870.10999999996</v>
      </c>
      <c r="AR295" s="42" t="s">
        <v>523</v>
      </c>
      <c r="AS295" s="42" t="s">
        <v>524</v>
      </c>
      <c r="AT295" s="43" t="s">
        <v>1276</v>
      </c>
      <c r="AU295" s="44">
        <v>34</v>
      </c>
      <c r="AV295" s="31">
        <v>4719532.4499487216</v>
      </c>
      <c r="AW295" s="31">
        <v>210681.72</v>
      </c>
      <c r="AX295" s="31">
        <v>0</v>
      </c>
      <c r="AY295" s="31">
        <v>0</v>
      </c>
      <c r="AZ295" s="31">
        <v>634146.7329045441</v>
      </c>
      <c r="BA295" s="31">
        <v>342593.15453889285</v>
      </c>
      <c r="BB295" s="31">
        <v>257245.91932543478</v>
      </c>
      <c r="BC295" s="31">
        <f t="shared" si="23"/>
        <v>6312794.566717593</v>
      </c>
      <c r="BD295" s="31">
        <v>148594.59</v>
      </c>
    </row>
    <row r="296" spans="2:56">
      <c r="B296" s="42" t="s">
        <v>121</v>
      </c>
      <c r="C296" s="42" t="s">
        <v>122</v>
      </c>
      <c r="D296" s="43" t="s">
        <v>1049</v>
      </c>
      <c r="E296" s="44">
        <v>34</v>
      </c>
      <c r="F296" s="31">
        <v>17909774.610841364</v>
      </c>
      <c r="G296" s="31">
        <v>1448583.6499999994</v>
      </c>
      <c r="H296" s="31">
        <v>1897697.1800000002</v>
      </c>
      <c r="I296" s="31">
        <v>67332.94</v>
      </c>
      <c r="J296" s="31">
        <v>2756880.9249971621</v>
      </c>
      <c r="K296" s="31">
        <v>1244300.079216785</v>
      </c>
      <c r="L296" s="31">
        <v>2428360.5454441784</v>
      </c>
      <c r="M296" s="31">
        <f t="shared" si="20"/>
        <v>28454030.38049949</v>
      </c>
      <c r="N296" s="31">
        <v>701100.45000000007</v>
      </c>
      <c r="P296" s="42" t="s">
        <v>121</v>
      </c>
      <c r="Q296" s="42" t="s">
        <v>122</v>
      </c>
      <c r="R296" s="43" t="s">
        <v>1050</v>
      </c>
      <c r="S296" s="44">
        <v>34</v>
      </c>
      <c r="T296" s="31">
        <v>19308480.94182352</v>
      </c>
      <c r="U296" s="31">
        <v>1554262.1199999996</v>
      </c>
      <c r="V296" s="31">
        <v>2020875.0799999998</v>
      </c>
      <c r="W296" s="31">
        <v>71703.44</v>
      </c>
      <c r="X296" s="31">
        <v>2920487.9973870134</v>
      </c>
      <c r="Y296" s="31">
        <v>1247253.9905212794</v>
      </c>
      <c r="Z296" s="31">
        <v>2602589.4082360798</v>
      </c>
      <c r="AA296" s="31">
        <f t="shared" si="21"/>
        <v>30460609.097967893</v>
      </c>
      <c r="AB296" s="31">
        <v>734956.12</v>
      </c>
      <c r="AD296" s="42" t="s">
        <v>121</v>
      </c>
      <c r="AE296" s="42" t="s">
        <v>122</v>
      </c>
      <c r="AF296" s="43" t="s">
        <v>1275</v>
      </c>
      <c r="AG296" s="44">
        <v>34</v>
      </c>
      <c r="AH296" s="31">
        <v>19658517.9096549</v>
      </c>
      <c r="AI296" s="31">
        <v>1581186</v>
      </c>
      <c r="AJ296" s="31">
        <v>2056108.7199999997</v>
      </c>
      <c r="AK296" s="31">
        <v>72953.59</v>
      </c>
      <c r="AL296" s="31">
        <v>2971787.9409650834</v>
      </c>
      <c r="AM296" s="31">
        <v>1245009.8146179279</v>
      </c>
      <c r="AN296" s="31">
        <v>2648380.4034995455</v>
      </c>
      <c r="AO296" s="31">
        <f t="shared" si="22"/>
        <v>30981888.768737458</v>
      </c>
      <c r="AP296" s="31">
        <v>747944.39</v>
      </c>
      <c r="AR296" s="42" t="s">
        <v>121</v>
      </c>
      <c r="AS296" s="42" t="s">
        <v>122</v>
      </c>
      <c r="AT296" s="43" t="s">
        <v>1276</v>
      </c>
      <c r="AU296" s="44">
        <v>34</v>
      </c>
      <c r="AV296" s="31">
        <v>20033222.481298305</v>
      </c>
      <c r="AW296" s="31">
        <v>1610021.4899999998</v>
      </c>
      <c r="AX296" s="31">
        <v>2093843.94</v>
      </c>
      <c r="AY296" s="31">
        <v>74292.469999999987</v>
      </c>
      <c r="AZ296" s="31">
        <v>3026729.8990369574</v>
      </c>
      <c r="BA296" s="31">
        <v>1245073.9339294522</v>
      </c>
      <c r="BB296" s="31">
        <v>2697421.0117563158</v>
      </c>
      <c r="BC296" s="31">
        <f t="shared" si="23"/>
        <v>31542460.056021027</v>
      </c>
      <c r="BD296" s="31">
        <v>761854.83</v>
      </c>
    </row>
    <row r="297" spans="2:56">
      <c r="B297" s="42" t="s">
        <v>535</v>
      </c>
      <c r="C297" s="42" t="s">
        <v>536</v>
      </c>
      <c r="D297" s="43" t="s">
        <v>1049</v>
      </c>
      <c r="E297" s="44">
        <v>34</v>
      </c>
      <c r="F297" s="31">
        <v>2943522.5446933853</v>
      </c>
      <c r="G297" s="31">
        <v>92668.039999999979</v>
      </c>
      <c r="H297" s="31">
        <v>0</v>
      </c>
      <c r="I297" s="31">
        <v>0</v>
      </c>
      <c r="J297" s="31">
        <v>222056.15772976269</v>
      </c>
      <c r="K297" s="31">
        <v>146130.77391307594</v>
      </c>
      <c r="L297" s="31">
        <v>131111.87206232833</v>
      </c>
      <c r="M297" s="31">
        <f t="shared" si="20"/>
        <v>3611787.0483985525</v>
      </c>
      <c r="N297" s="31">
        <v>76297.66</v>
      </c>
      <c r="P297" s="42" t="s">
        <v>535</v>
      </c>
      <c r="Q297" s="42" t="s">
        <v>536</v>
      </c>
      <c r="R297" s="43" t="s">
        <v>1050</v>
      </c>
      <c r="S297" s="44">
        <v>34</v>
      </c>
      <c r="T297" s="31">
        <v>3152840.0767879356</v>
      </c>
      <c r="U297" s="31">
        <v>99951.1</v>
      </c>
      <c r="V297" s="31">
        <v>0</v>
      </c>
      <c r="W297" s="31">
        <v>0</v>
      </c>
      <c r="X297" s="31">
        <v>235234.0121720453</v>
      </c>
      <c r="Y297" s="31">
        <v>146408.35900296533</v>
      </c>
      <c r="Z297" s="31">
        <v>140520.08531484753</v>
      </c>
      <c r="AA297" s="31">
        <f t="shared" si="21"/>
        <v>3854935.6532777939</v>
      </c>
      <c r="AB297" s="31">
        <v>79982.01999999999</v>
      </c>
      <c r="AD297" s="42" t="s">
        <v>535</v>
      </c>
      <c r="AE297" s="42" t="s">
        <v>536</v>
      </c>
      <c r="AF297" s="43" t="s">
        <v>1275</v>
      </c>
      <c r="AG297" s="44">
        <v>34</v>
      </c>
      <c r="AH297" s="31">
        <v>3208089.9092669962</v>
      </c>
      <c r="AI297" s="31">
        <v>101674.74</v>
      </c>
      <c r="AJ297" s="31">
        <v>0</v>
      </c>
      <c r="AK297" s="31">
        <v>0</v>
      </c>
      <c r="AL297" s="31">
        <v>239365.77748392298</v>
      </c>
      <c r="AM297" s="31">
        <v>146197.46920105707</v>
      </c>
      <c r="AN297" s="31">
        <v>142992.47293659649</v>
      </c>
      <c r="AO297" s="31">
        <f t="shared" si="22"/>
        <v>3919715.8488885728</v>
      </c>
      <c r="AP297" s="31">
        <v>81395.48</v>
      </c>
      <c r="AR297" s="42" t="s">
        <v>535</v>
      </c>
      <c r="AS297" s="42" t="s">
        <v>536</v>
      </c>
      <c r="AT297" s="43" t="s">
        <v>1276</v>
      </c>
      <c r="AU297" s="44">
        <v>34</v>
      </c>
      <c r="AV297" s="31">
        <v>3267247.1582456268</v>
      </c>
      <c r="AW297" s="31">
        <v>103520.77</v>
      </c>
      <c r="AX297" s="31">
        <v>0</v>
      </c>
      <c r="AY297" s="31">
        <v>0</v>
      </c>
      <c r="AZ297" s="31">
        <v>243790.87331417843</v>
      </c>
      <c r="BA297" s="31">
        <v>146203.49462396876</v>
      </c>
      <c r="BB297" s="31">
        <v>145640.31653788959</v>
      </c>
      <c r="BC297" s="31">
        <f t="shared" si="23"/>
        <v>3989311.9027216639</v>
      </c>
      <c r="BD297" s="31">
        <v>82909.289999999994</v>
      </c>
    </row>
    <row r="298" spans="2:56">
      <c r="B298" s="42" t="s">
        <v>527</v>
      </c>
      <c r="C298" s="42" t="s">
        <v>528</v>
      </c>
      <c r="D298" s="43" t="s">
        <v>1049</v>
      </c>
      <c r="E298" s="44">
        <v>34</v>
      </c>
      <c r="F298" s="31">
        <v>44707368.35328044</v>
      </c>
      <c r="G298" s="31">
        <v>1961048.5899999994</v>
      </c>
      <c r="H298" s="31">
        <v>1244986.9200000002</v>
      </c>
      <c r="I298" s="31">
        <v>159192.07999999999</v>
      </c>
      <c r="J298" s="31">
        <v>6935711.3390098158</v>
      </c>
      <c r="K298" s="31">
        <v>1683763.6898272519</v>
      </c>
      <c r="L298" s="31">
        <v>4201982.771805685</v>
      </c>
      <c r="M298" s="31">
        <f t="shared" si="20"/>
        <v>61695159.093923189</v>
      </c>
      <c r="N298" s="31">
        <v>801105.35000000009</v>
      </c>
      <c r="P298" s="42" t="s">
        <v>527</v>
      </c>
      <c r="Q298" s="42" t="s">
        <v>528</v>
      </c>
      <c r="R298" s="43" t="s">
        <v>1050</v>
      </c>
      <c r="S298" s="44">
        <v>34</v>
      </c>
      <c r="T298" s="31">
        <v>48076015.792734802</v>
      </c>
      <c r="U298" s="31">
        <v>2100736.48</v>
      </c>
      <c r="V298" s="31">
        <v>1325464.1499999999</v>
      </c>
      <c r="W298" s="31">
        <v>169482.41</v>
      </c>
      <c r="X298" s="31">
        <v>7346871.1220459631</v>
      </c>
      <c r="Y298" s="31">
        <v>1685959.6866724326</v>
      </c>
      <c r="Z298" s="31">
        <v>4502655.5670660865</v>
      </c>
      <c r="AA298" s="31">
        <f t="shared" si="21"/>
        <v>66047151.128519282</v>
      </c>
      <c r="AB298" s="31">
        <v>839965.92</v>
      </c>
      <c r="AD298" s="42" t="s">
        <v>527</v>
      </c>
      <c r="AE298" s="42" t="s">
        <v>528</v>
      </c>
      <c r="AF298" s="43" t="s">
        <v>1275</v>
      </c>
      <c r="AG298" s="44">
        <v>34</v>
      </c>
      <c r="AH298" s="31">
        <v>48964218.317329712</v>
      </c>
      <c r="AI298" s="31">
        <v>2137344.6999999997</v>
      </c>
      <c r="AJ298" s="31">
        <v>1348684.23</v>
      </c>
      <c r="AK298" s="31">
        <v>172451.47999999998</v>
      </c>
      <c r="AL298" s="31">
        <v>7476307.8631754275</v>
      </c>
      <c r="AM298" s="31">
        <v>1684291.321343964</v>
      </c>
      <c r="AN298" s="31">
        <v>4582074.1609458085</v>
      </c>
      <c r="AO298" s="31">
        <f t="shared" si="22"/>
        <v>67220246.33279492</v>
      </c>
      <c r="AP298" s="31">
        <v>854874.26000000013</v>
      </c>
      <c r="AR298" s="42" t="s">
        <v>527</v>
      </c>
      <c r="AS298" s="42" t="s">
        <v>528</v>
      </c>
      <c r="AT298" s="43" t="s">
        <v>1276</v>
      </c>
      <c r="AU298" s="44">
        <v>34</v>
      </c>
      <c r="AV298" s="31">
        <v>49912764.704458237</v>
      </c>
      <c r="AW298" s="31">
        <v>2176552.1100000003</v>
      </c>
      <c r="AX298" s="31">
        <v>1373552.93</v>
      </c>
      <c r="AY298" s="31">
        <v>175631.34999999998</v>
      </c>
      <c r="AZ298" s="31">
        <v>7614934.1621567383</v>
      </c>
      <c r="BA298" s="31">
        <v>1684338.9889247774</v>
      </c>
      <c r="BB298" s="31">
        <v>4667128.9240289889</v>
      </c>
      <c r="BC298" s="31">
        <f t="shared" si="23"/>
        <v>68475744.23956874</v>
      </c>
      <c r="BD298" s="31">
        <v>870841.07</v>
      </c>
    </row>
    <row r="299" spans="2:56">
      <c r="B299" s="42" t="s">
        <v>605</v>
      </c>
      <c r="C299" s="42" t="s">
        <v>606</v>
      </c>
      <c r="D299" s="43" t="s">
        <v>1049</v>
      </c>
      <c r="E299" s="44">
        <v>34</v>
      </c>
      <c r="F299" s="31">
        <v>23837920.896119941</v>
      </c>
      <c r="G299" s="31">
        <v>1732629.2</v>
      </c>
      <c r="H299" s="31">
        <v>1648925.8800000001</v>
      </c>
      <c r="I299" s="31">
        <v>85749.610000000015</v>
      </c>
      <c r="J299" s="31">
        <v>3575710.517867256</v>
      </c>
      <c r="K299" s="31">
        <v>1704815.0473985041</v>
      </c>
      <c r="L299" s="31">
        <v>2786180.7617077222</v>
      </c>
      <c r="M299" s="31">
        <f t="shared" si="20"/>
        <v>36270841.113093421</v>
      </c>
      <c r="N299" s="31">
        <v>898909.2</v>
      </c>
      <c r="P299" s="42" t="s">
        <v>605</v>
      </c>
      <c r="Q299" s="42" t="s">
        <v>606</v>
      </c>
      <c r="R299" s="43" t="s">
        <v>1050</v>
      </c>
      <c r="S299" s="44">
        <v>34</v>
      </c>
      <c r="T299" s="31">
        <v>25652902.274395533</v>
      </c>
      <c r="U299" s="31">
        <v>1860032.37</v>
      </c>
      <c r="V299" s="31">
        <v>1755956.2700000003</v>
      </c>
      <c r="W299" s="31">
        <v>91315.530000000013</v>
      </c>
      <c r="X299" s="31">
        <v>3787867.0721616908</v>
      </c>
      <c r="Y299" s="31">
        <v>1708737.6355501141</v>
      </c>
      <c r="Z299" s="31">
        <v>2986012.5947657083</v>
      </c>
      <c r="AA299" s="31">
        <f t="shared" si="21"/>
        <v>38785140.666873045</v>
      </c>
      <c r="AB299" s="31">
        <v>942316.92</v>
      </c>
      <c r="AD299" s="42" t="s">
        <v>605</v>
      </c>
      <c r="AE299" s="42" t="s">
        <v>606</v>
      </c>
      <c r="AF299" s="43" t="s">
        <v>1275</v>
      </c>
      <c r="AG299" s="44">
        <v>34</v>
      </c>
      <c r="AH299" s="31">
        <v>26106864.547832988</v>
      </c>
      <c r="AI299" s="31">
        <v>1892238.0900000003</v>
      </c>
      <c r="AJ299" s="31">
        <v>1786571.08</v>
      </c>
      <c r="AK299" s="31">
        <v>92907.6</v>
      </c>
      <c r="AL299" s="31">
        <v>3854397.6934710559</v>
      </c>
      <c r="AM299" s="31">
        <v>1705757.5265010644</v>
      </c>
      <c r="AN299" s="31">
        <v>3038549.8162072035</v>
      </c>
      <c r="AO299" s="31">
        <f t="shared" si="22"/>
        <v>39436256.064012319</v>
      </c>
      <c r="AP299" s="31">
        <v>958969.71000000008</v>
      </c>
      <c r="AR299" s="42" t="s">
        <v>605</v>
      </c>
      <c r="AS299" s="42" t="s">
        <v>606</v>
      </c>
      <c r="AT299" s="43" t="s">
        <v>1276</v>
      </c>
      <c r="AU299" s="44">
        <v>34</v>
      </c>
      <c r="AV299" s="31">
        <v>26592806.345573895</v>
      </c>
      <c r="AW299" s="31">
        <v>1926730.42</v>
      </c>
      <c r="AX299" s="31">
        <v>1819359.55</v>
      </c>
      <c r="AY299" s="31">
        <v>94612.72</v>
      </c>
      <c r="AZ299" s="31">
        <v>3925651.6121264156</v>
      </c>
      <c r="BA299" s="31">
        <v>1705842.6724738942</v>
      </c>
      <c r="BB299" s="31">
        <v>3094815.4047724437</v>
      </c>
      <c r="BC299" s="31">
        <f t="shared" si="23"/>
        <v>40136623.574946649</v>
      </c>
      <c r="BD299" s="31">
        <v>976804.85</v>
      </c>
    </row>
    <row r="300" spans="2:56">
      <c r="B300" s="42" t="s">
        <v>125</v>
      </c>
      <c r="C300" s="42" t="s">
        <v>126</v>
      </c>
      <c r="D300" s="43" t="s">
        <v>1049</v>
      </c>
      <c r="E300" s="44">
        <v>34</v>
      </c>
      <c r="F300" s="31">
        <v>7137822.105181613</v>
      </c>
      <c r="G300" s="31">
        <v>471622.82000000007</v>
      </c>
      <c r="H300" s="31">
        <v>375154.5</v>
      </c>
      <c r="I300" s="31">
        <v>24847.89</v>
      </c>
      <c r="J300" s="31">
        <v>1106431.2426925588</v>
      </c>
      <c r="K300" s="31">
        <v>394530.03798862337</v>
      </c>
      <c r="L300" s="31">
        <v>509592.77930813289</v>
      </c>
      <c r="M300" s="31">
        <f t="shared" si="20"/>
        <v>10277834.835170928</v>
      </c>
      <c r="N300" s="31">
        <v>257833.45999999996</v>
      </c>
      <c r="P300" s="42" t="s">
        <v>125</v>
      </c>
      <c r="Q300" s="42" t="s">
        <v>126</v>
      </c>
      <c r="R300" s="43" t="s">
        <v>1050</v>
      </c>
      <c r="S300" s="44">
        <v>34</v>
      </c>
      <c r="T300" s="31">
        <v>7677661.6738182008</v>
      </c>
      <c r="U300" s="31">
        <v>506520.59</v>
      </c>
      <c r="V300" s="31">
        <v>399505.47</v>
      </c>
      <c r="W300" s="31">
        <v>26460.76</v>
      </c>
      <c r="X300" s="31">
        <v>1172096.142571273</v>
      </c>
      <c r="Y300" s="31">
        <v>395455.89086899051</v>
      </c>
      <c r="Z300" s="31">
        <v>546203.13703236787</v>
      </c>
      <c r="AA300" s="31">
        <f t="shared" si="21"/>
        <v>10994187.724290831</v>
      </c>
      <c r="AB300" s="31">
        <v>270284.06</v>
      </c>
      <c r="AD300" s="42" t="s">
        <v>125</v>
      </c>
      <c r="AE300" s="42" t="s">
        <v>126</v>
      </c>
      <c r="AF300" s="43" t="s">
        <v>1275</v>
      </c>
      <c r="AG300" s="44">
        <v>34</v>
      </c>
      <c r="AH300" s="31">
        <v>7814187.463289245</v>
      </c>
      <c r="AI300" s="31">
        <v>515287.55999999988</v>
      </c>
      <c r="AJ300" s="31">
        <v>406470.79000000004</v>
      </c>
      <c r="AK300" s="31">
        <v>26922.09</v>
      </c>
      <c r="AL300" s="31">
        <v>1192686.1814190436</v>
      </c>
      <c r="AM300" s="31">
        <v>394752.49238813331</v>
      </c>
      <c r="AN300" s="31">
        <v>555813.36173152959</v>
      </c>
      <c r="AO300" s="31">
        <f t="shared" si="22"/>
        <v>11181180.498827949</v>
      </c>
      <c r="AP300" s="31">
        <v>275060.56</v>
      </c>
      <c r="AR300" s="42" t="s">
        <v>125</v>
      </c>
      <c r="AS300" s="42" t="s">
        <v>126</v>
      </c>
      <c r="AT300" s="43" t="s">
        <v>1276</v>
      </c>
      <c r="AU300" s="44">
        <v>34</v>
      </c>
      <c r="AV300" s="31">
        <v>7960286.057586072</v>
      </c>
      <c r="AW300" s="31">
        <v>524676.97</v>
      </c>
      <c r="AX300" s="31">
        <v>413930.6399999999</v>
      </c>
      <c r="AY300" s="31">
        <v>27416.18</v>
      </c>
      <c r="AZ300" s="31">
        <v>1214738.0094819216</v>
      </c>
      <c r="BA300" s="31">
        <v>394772.5894875864</v>
      </c>
      <c r="BB300" s="31">
        <v>566105.58755693177</v>
      </c>
      <c r="BC300" s="31">
        <f t="shared" si="23"/>
        <v>11382102.244112514</v>
      </c>
      <c r="BD300" s="31">
        <v>280176.20999999996</v>
      </c>
    </row>
    <row r="301" spans="2:56">
      <c r="B301" s="42" t="s">
        <v>63</v>
      </c>
      <c r="C301" s="42" t="s">
        <v>64</v>
      </c>
      <c r="D301" s="43" t="s">
        <v>1049</v>
      </c>
      <c r="E301" s="44">
        <v>34</v>
      </c>
      <c r="F301" s="31">
        <v>23701632.537475526</v>
      </c>
      <c r="G301" s="31">
        <v>651214.2300000001</v>
      </c>
      <c r="H301" s="31">
        <v>128354.98</v>
      </c>
      <c r="I301" s="31">
        <v>85672.58</v>
      </c>
      <c r="J301" s="31">
        <v>3961546.6971979942</v>
      </c>
      <c r="K301" s="31">
        <v>2061373.458891331</v>
      </c>
      <c r="L301" s="31">
        <v>2488988.448427551</v>
      </c>
      <c r="M301" s="31">
        <f t="shared" si="20"/>
        <v>33078782.931992404</v>
      </c>
      <c r="N301" s="31">
        <v>0</v>
      </c>
      <c r="P301" s="42" t="s">
        <v>63</v>
      </c>
      <c r="Q301" s="42" t="s">
        <v>64</v>
      </c>
      <c r="R301" s="43" t="s">
        <v>1050</v>
      </c>
      <c r="S301" s="44">
        <v>34</v>
      </c>
      <c r="T301" s="31">
        <v>25231828.414136447</v>
      </c>
      <c r="U301" s="31">
        <v>693226.48</v>
      </c>
      <c r="V301" s="31">
        <v>136635.63</v>
      </c>
      <c r="W301" s="31">
        <v>91199.64</v>
      </c>
      <c r="X301" s="31">
        <v>4196166.5791613078</v>
      </c>
      <c r="Y301" s="31">
        <v>2066312.1593512858</v>
      </c>
      <c r="Z301" s="31">
        <v>2641475.7620250289</v>
      </c>
      <c r="AA301" s="31">
        <f t="shared" si="21"/>
        <v>35056844.664674073</v>
      </c>
      <c r="AB301" s="31">
        <v>0</v>
      </c>
      <c r="AD301" s="42" t="s">
        <v>63</v>
      </c>
      <c r="AE301" s="42" t="s">
        <v>64</v>
      </c>
      <c r="AF301" s="43" t="s">
        <v>1275</v>
      </c>
      <c r="AG301" s="44">
        <v>34</v>
      </c>
      <c r="AH301" s="31">
        <v>25690973.077835325</v>
      </c>
      <c r="AI301" s="31">
        <v>705398.27</v>
      </c>
      <c r="AJ301" s="31">
        <v>139034.71</v>
      </c>
      <c r="AK301" s="31">
        <v>92800.94</v>
      </c>
      <c r="AL301" s="31">
        <v>4270280.3154176986</v>
      </c>
      <c r="AM301" s="31">
        <v>2062518.9046636857</v>
      </c>
      <c r="AN301" s="31">
        <v>2688196.8048468912</v>
      </c>
      <c r="AO301" s="31">
        <f t="shared" si="22"/>
        <v>35649203.022763602</v>
      </c>
      <c r="AP301" s="31">
        <v>0</v>
      </c>
      <c r="AR301" s="42" t="s">
        <v>63</v>
      </c>
      <c r="AS301" s="42" t="s">
        <v>64</v>
      </c>
      <c r="AT301" s="43" t="s">
        <v>1276</v>
      </c>
      <c r="AU301" s="44">
        <v>34</v>
      </c>
      <c r="AV301" s="31">
        <v>26181817.743628804</v>
      </c>
      <c r="AW301" s="31">
        <v>718434.24000000011</v>
      </c>
      <c r="AX301" s="31">
        <v>141604.12</v>
      </c>
      <c r="AY301" s="31">
        <v>94515.930000000008</v>
      </c>
      <c r="AZ301" s="31">
        <v>4349655.8425585879</v>
      </c>
      <c r="BA301" s="31">
        <v>2062627.2833690457</v>
      </c>
      <c r="BB301" s="31">
        <v>2738233.5204143054</v>
      </c>
      <c r="BC301" s="31">
        <f t="shared" si="23"/>
        <v>36286888.679970741</v>
      </c>
      <c r="BD301" s="31">
        <v>0</v>
      </c>
    </row>
    <row r="302" spans="2:56">
      <c r="B302" s="42" t="s">
        <v>3</v>
      </c>
      <c r="C302" s="42" t="s">
        <v>4</v>
      </c>
      <c r="D302" s="43" t="s">
        <v>1049</v>
      </c>
      <c r="E302" s="44">
        <v>34</v>
      </c>
      <c r="F302" s="31">
        <v>1869786.8670771243</v>
      </c>
      <c r="G302" s="31">
        <v>36248.68</v>
      </c>
      <c r="H302" s="31">
        <v>0</v>
      </c>
      <c r="I302" s="31">
        <v>2241.1799999999998</v>
      </c>
      <c r="J302" s="31">
        <v>50541.099808965599</v>
      </c>
      <c r="K302" s="31">
        <v>139525.01151309922</v>
      </c>
      <c r="L302" s="31">
        <v>49752.597159475619</v>
      </c>
      <c r="M302" s="31">
        <f t="shared" si="20"/>
        <v>2171579.1555586648</v>
      </c>
      <c r="N302" s="31">
        <v>23483.72</v>
      </c>
      <c r="P302" s="42" t="s">
        <v>3</v>
      </c>
      <c r="Q302" s="42" t="s">
        <v>4</v>
      </c>
      <c r="R302" s="43" t="s">
        <v>1050</v>
      </c>
      <c r="S302" s="44">
        <v>34</v>
      </c>
      <c r="T302" s="31">
        <v>1990206.615405221</v>
      </c>
      <c r="U302" s="31">
        <v>38991.850000000006</v>
      </c>
      <c r="V302" s="31">
        <v>0</v>
      </c>
      <c r="W302" s="31">
        <v>2386.6500000000005</v>
      </c>
      <c r="X302" s="31">
        <v>53540.286652768031</v>
      </c>
      <c r="Y302" s="31">
        <v>139773.76333575475</v>
      </c>
      <c r="Z302" s="31">
        <v>53225.757083047356</v>
      </c>
      <c r="AA302" s="31">
        <f t="shared" si="21"/>
        <v>2302742.6424767911</v>
      </c>
      <c r="AB302" s="31">
        <v>24617.72</v>
      </c>
      <c r="AD302" s="42" t="s">
        <v>3</v>
      </c>
      <c r="AE302" s="42" t="s">
        <v>4</v>
      </c>
      <c r="AF302" s="43" t="s">
        <v>1275</v>
      </c>
      <c r="AG302" s="44">
        <v>34</v>
      </c>
      <c r="AH302" s="31">
        <v>2024657.9116462157</v>
      </c>
      <c r="AI302" s="31">
        <v>39665.819999999992</v>
      </c>
      <c r="AJ302" s="31">
        <v>0</v>
      </c>
      <c r="AK302" s="31">
        <v>2428.2700000000004</v>
      </c>
      <c r="AL302" s="31">
        <v>54480.73337365358</v>
      </c>
      <c r="AM302" s="31">
        <v>139584.77904043454</v>
      </c>
      <c r="AN302" s="31">
        <v>54162.303364919506</v>
      </c>
      <c r="AO302" s="31">
        <f t="shared" si="22"/>
        <v>2340032.5874252231</v>
      </c>
      <c r="AP302" s="31">
        <v>25052.77</v>
      </c>
      <c r="AR302" s="42" t="s">
        <v>3</v>
      </c>
      <c r="AS302" s="42" t="s">
        <v>4</v>
      </c>
      <c r="AT302" s="43" t="s">
        <v>1276</v>
      </c>
      <c r="AU302" s="44">
        <v>34</v>
      </c>
      <c r="AV302" s="31">
        <v>2061559.0222551306</v>
      </c>
      <c r="AW302" s="31">
        <v>40387.649999999994</v>
      </c>
      <c r="AX302" s="31">
        <v>0</v>
      </c>
      <c r="AY302" s="31">
        <v>2472.8300000000004</v>
      </c>
      <c r="AZ302" s="31">
        <v>55487.946552729147</v>
      </c>
      <c r="BA302" s="31">
        <v>139590.1785917294</v>
      </c>
      <c r="BB302" s="31">
        <v>55165.312736804568</v>
      </c>
      <c r="BC302" s="31">
        <f t="shared" si="23"/>
        <v>2380181.650136394</v>
      </c>
      <c r="BD302" s="31">
        <v>25518.710000000003</v>
      </c>
    </row>
    <row r="303" spans="2:56">
      <c r="B303" s="42" t="s">
        <v>99</v>
      </c>
      <c r="C303" s="42" t="s">
        <v>100</v>
      </c>
      <c r="D303" s="43" t="s">
        <v>1049</v>
      </c>
      <c r="E303" s="44">
        <v>34</v>
      </c>
      <c r="F303" s="31">
        <v>2876164.0334881954</v>
      </c>
      <c r="G303" s="31">
        <v>90037.089999999982</v>
      </c>
      <c r="H303" s="31">
        <v>22801.599999999999</v>
      </c>
      <c r="I303" s="31">
        <v>7210.77</v>
      </c>
      <c r="J303" s="31">
        <v>310099.22144629748</v>
      </c>
      <c r="K303" s="31">
        <v>159387.74880985575</v>
      </c>
      <c r="L303" s="31">
        <v>135135.10736188351</v>
      </c>
      <c r="M303" s="31">
        <f t="shared" si="20"/>
        <v>3673722.7211062321</v>
      </c>
      <c r="N303" s="31">
        <v>72887.150000000009</v>
      </c>
      <c r="P303" s="42" t="s">
        <v>99</v>
      </c>
      <c r="Q303" s="42" t="s">
        <v>100</v>
      </c>
      <c r="R303" s="43" t="s">
        <v>1050</v>
      </c>
      <c r="S303" s="44">
        <v>34</v>
      </c>
      <c r="T303" s="31">
        <v>3080154.1325689983</v>
      </c>
      <c r="U303" s="31">
        <v>97092.679999999978</v>
      </c>
      <c r="V303" s="31">
        <v>24281.630000000005</v>
      </c>
      <c r="W303" s="31">
        <v>7678.8200000000006</v>
      </c>
      <c r="X303" s="31">
        <v>328498.99006582377</v>
      </c>
      <c r="Y303" s="31">
        <v>159642.95994500429</v>
      </c>
      <c r="Z303" s="31">
        <v>144790.57979160323</v>
      </c>
      <c r="AA303" s="31">
        <f t="shared" si="21"/>
        <v>3918546.6323714294</v>
      </c>
      <c r="AB303" s="31">
        <v>76406.840000000011</v>
      </c>
      <c r="AD303" s="42" t="s">
        <v>99</v>
      </c>
      <c r="AE303" s="42" t="s">
        <v>100</v>
      </c>
      <c r="AF303" s="43" t="s">
        <v>1275</v>
      </c>
      <c r="AG303" s="44">
        <v>34</v>
      </c>
      <c r="AH303" s="31">
        <v>3134296.2347187176</v>
      </c>
      <c r="AI303" s="31">
        <v>98767.360000000001</v>
      </c>
      <c r="AJ303" s="31">
        <v>24704.969999999998</v>
      </c>
      <c r="AK303" s="31">
        <v>7812.6900000000014</v>
      </c>
      <c r="AL303" s="31">
        <v>334269.53921591496</v>
      </c>
      <c r="AM303" s="31">
        <v>159449.06831430574</v>
      </c>
      <c r="AN303" s="31">
        <v>147337.99765237528</v>
      </c>
      <c r="AO303" s="31">
        <f t="shared" si="22"/>
        <v>3984394.9599013138</v>
      </c>
      <c r="AP303" s="31">
        <v>77757.099999999991</v>
      </c>
      <c r="AR303" s="42" t="s">
        <v>99</v>
      </c>
      <c r="AS303" s="42" t="s">
        <v>100</v>
      </c>
      <c r="AT303" s="43" t="s">
        <v>1276</v>
      </c>
      <c r="AU303" s="44">
        <v>34</v>
      </c>
      <c r="AV303" s="31">
        <v>3192258.9666881347</v>
      </c>
      <c r="AW303" s="31">
        <v>100560.91999999997</v>
      </c>
      <c r="AX303" s="31">
        <v>25158.38</v>
      </c>
      <c r="AY303" s="31">
        <v>7956.0700000000006</v>
      </c>
      <c r="AZ303" s="31">
        <v>340449.77043756191</v>
      </c>
      <c r="BA303" s="31">
        <v>159454.60807518283</v>
      </c>
      <c r="BB303" s="31">
        <v>150066.19603606215</v>
      </c>
      <c r="BC303" s="31">
        <f t="shared" si="23"/>
        <v>4055108.1612369413</v>
      </c>
      <c r="BD303" s="31">
        <v>79203.250000000015</v>
      </c>
    </row>
    <row r="304" spans="2:56">
      <c r="B304" s="42" t="s">
        <v>487</v>
      </c>
      <c r="C304" s="42" t="s">
        <v>488</v>
      </c>
      <c r="D304" s="43" t="s">
        <v>1049</v>
      </c>
      <c r="E304" s="44">
        <v>34</v>
      </c>
      <c r="F304" s="31">
        <v>4031543.1656304356</v>
      </c>
      <c r="G304" s="31">
        <v>218953.82000000004</v>
      </c>
      <c r="H304" s="31">
        <v>0</v>
      </c>
      <c r="I304" s="31">
        <v>10913.58</v>
      </c>
      <c r="J304" s="31">
        <v>503401.18296955025</v>
      </c>
      <c r="K304" s="31">
        <v>279621.71931425604</v>
      </c>
      <c r="L304" s="31">
        <v>58645.518245124011</v>
      </c>
      <c r="M304" s="31">
        <f t="shared" si="20"/>
        <v>5216599.7661593668</v>
      </c>
      <c r="N304" s="31">
        <v>113520.78</v>
      </c>
      <c r="P304" s="42" t="s">
        <v>487</v>
      </c>
      <c r="Q304" s="42" t="s">
        <v>488</v>
      </c>
      <c r="R304" s="43" t="s">
        <v>1050</v>
      </c>
      <c r="S304" s="44">
        <v>34</v>
      </c>
      <c r="T304" s="31">
        <v>4324662.2398850583</v>
      </c>
      <c r="U304" s="31">
        <v>235052.59000000003</v>
      </c>
      <c r="V304" s="31">
        <v>0</v>
      </c>
      <c r="W304" s="31">
        <v>11621.98</v>
      </c>
      <c r="X304" s="31">
        <v>533271.70073026058</v>
      </c>
      <c r="Y304" s="31">
        <v>280243.36843929946</v>
      </c>
      <c r="Z304" s="31">
        <v>62872.374544046266</v>
      </c>
      <c r="AA304" s="31">
        <f t="shared" si="21"/>
        <v>5566726.8835986638</v>
      </c>
      <c r="AB304" s="31">
        <v>119002.63</v>
      </c>
      <c r="AD304" s="42" t="s">
        <v>487</v>
      </c>
      <c r="AE304" s="42" t="s">
        <v>488</v>
      </c>
      <c r="AF304" s="43" t="s">
        <v>1275</v>
      </c>
      <c r="AG304" s="44">
        <v>34</v>
      </c>
      <c r="AH304" s="31">
        <v>4402266.8962032087</v>
      </c>
      <c r="AI304" s="31">
        <v>239122.46000000005</v>
      </c>
      <c r="AJ304" s="31">
        <v>0</v>
      </c>
      <c r="AK304" s="31">
        <v>11824.61</v>
      </c>
      <c r="AL304" s="31">
        <v>542638.59521514957</v>
      </c>
      <c r="AM304" s="31">
        <v>279771.08276686264</v>
      </c>
      <c r="AN304" s="31">
        <v>63978.476548269602</v>
      </c>
      <c r="AO304" s="31">
        <f t="shared" si="22"/>
        <v>5660707.7807334904</v>
      </c>
      <c r="AP304" s="31">
        <v>121105.66</v>
      </c>
      <c r="AR304" s="42" t="s">
        <v>487</v>
      </c>
      <c r="AS304" s="42" t="s">
        <v>488</v>
      </c>
      <c r="AT304" s="43" t="s">
        <v>1276</v>
      </c>
      <c r="AU304" s="44">
        <v>34</v>
      </c>
      <c r="AV304" s="31">
        <v>4485255.4717392512</v>
      </c>
      <c r="AW304" s="31">
        <v>243481.29000000004</v>
      </c>
      <c r="AX304" s="31">
        <v>0</v>
      </c>
      <c r="AY304" s="31">
        <v>12041.609999999999</v>
      </c>
      <c r="AZ304" s="31">
        <v>552670.48799488263</v>
      </c>
      <c r="BA304" s="31">
        <v>279784.576643218</v>
      </c>
      <c r="BB304" s="31">
        <v>65163.07443879277</v>
      </c>
      <c r="BC304" s="31">
        <f t="shared" si="23"/>
        <v>5761754.5208161445</v>
      </c>
      <c r="BD304" s="31">
        <v>123358.01000000001</v>
      </c>
    </row>
    <row r="305" spans="2:56">
      <c r="B305" s="42" t="s">
        <v>41</v>
      </c>
      <c r="C305" s="42" t="s">
        <v>42</v>
      </c>
      <c r="D305" s="43" t="s">
        <v>1049</v>
      </c>
      <c r="E305" s="44">
        <v>34</v>
      </c>
      <c r="F305" s="31">
        <v>57079730.123818897</v>
      </c>
      <c r="G305" s="31">
        <v>2760943.3499999992</v>
      </c>
      <c r="H305" s="31">
        <v>2617791.5599999996</v>
      </c>
      <c r="I305" s="31">
        <v>0</v>
      </c>
      <c r="J305" s="31">
        <v>9285388.0489470139</v>
      </c>
      <c r="K305" s="31">
        <v>2284201.8460614439</v>
      </c>
      <c r="L305" s="31">
        <v>8472249.3594453558</v>
      </c>
      <c r="M305" s="31">
        <f t="shared" si="20"/>
        <v>84350685.128272712</v>
      </c>
      <c r="N305" s="31">
        <v>1850380.8400000003</v>
      </c>
      <c r="P305" s="42" t="s">
        <v>41</v>
      </c>
      <c r="Q305" s="42" t="s">
        <v>42</v>
      </c>
      <c r="R305" s="43" t="s">
        <v>1050</v>
      </c>
      <c r="S305" s="44">
        <v>34</v>
      </c>
      <c r="T305" s="31">
        <v>61002393.437158875</v>
      </c>
      <c r="U305" s="31">
        <v>2944352.8000000003</v>
      </c>
      <c r="V305" s="31">
        <v>2763422.9299999997</v>
      </c>
      <c r="W305" s="31">
        <v>0</v>
      </c>
      <c r="X305" s="31">
        <v>9766935.6827505138</v>
      </c>
      <c r="Y305" s="31">
        <v>2289934.2741120658</v>
      </c>
      <c r="Z305" s="31">
        <v>9014523.4310385976</v>
      </c>
      <c r="AA305" s="31">
        <f t="shared" si="21"/>
        <v>89705068.32506004</v>
      </c>
      <c r="AB305" s="31">
        <v>1923505.77</v>
      </c>
      <c r="AD305" s="42" t="s">
        <v>41</v>
      </c>
      <c r="AE305" s="42" t="s">
        <v>42</v>
      </c>
      <c r="AF305" s="43" t="s">
        <v>1275</v>
      </c>
      <c r="AG305" s="44">
        <v>34</v>
      </c>
      <c r="AH305" s="31">
        <v>62133389.332413197</v>
      </c>
      <c r="AI305" s="31">
        <v>2995427.0700000003</v>
      </c>
      <c r="AJ305" s="31">
        <v>2811777.5399999996</v>
      </c>
      <c r="AK305" s="31">
        <v>0</v>
      </c>
      <c r="AL305" s="31">
        <v>9939011.2833935861</v>
      </c>
      <c r="AM305" s="31">
        <v>2285550.4922386156</v>
      </c>
      <c r="AN305" s="31">
        <v>9173501.293776717</v>
      </c>
      <c r="AO305" s="31">
        <f t="shared" si="22"/>
        <v>91296266.711822122</v>
      </c>
      <c r="AP305" s="31">
        <v>1957609.7000000002</v>
      </c>
      <c r="AR305" s="42" t="s">
        <v>41</v>
      </c>
      <c r="AS305" s="42" t="s">
        <v>42</v>
      </c>
      <c r="AT305" s="43" t="s">
        <v>1276</v>
      </c>
      <c r="AU305" s="44">
        <v>34</v>
      </c>
      <c r="AV305" s="31">
        <v>63340962.366247624</v>
      </c>
      <c r="AW305" s="31">
        <v>3050127.6200000006</v>
      </c>
      <c r="AX305" s="31">
        <v>2863565.33</v>
      </c>
      <c r="AY305" s="31">
        <v>0</v>
      </c>
      <c r="AZ305" s="31">
        <v>10123303.712004419</v>
      </c>
      <c r="BA305" s="31">
        <v>2285675.7431492857</v>
      </c>
      <c r="BB305" s="31">
        <v>9343761.4863544367</v>
      </c>
      <c r="BC305" s="31">
        <f t="shared" si="23"/>
        <v>93001531.257755771</v>
      </c>
      <c r="BD305" s="31">
        <v>1994134.9999999995</v>
      </c>
    </row>
    <row r="306" spans="2:56">
      <c r="B306" s="42" t="s">
        <v>473</v>
      </c>
      <c r="C306" s="42" t="s">
        <v>474</v>
      </c>
      <c r="D306" s="43" t="s">
        <v>1049</v>
      </c>
      <c r="E306" s="44">
        <v>34</v>
      </c>
      <c r="F306" s="31">
        <v>27252421.454663172</v>
      </c>
      <c r="G306" s="31">
        <v>1113185.7600000002</v>
      </c>
      <c r="H306" s="31">
        <v>159513.76</v>
      </c>
      <c r="I306" s="31">
        <v>95688.760000000009</v>
      </c>
      <c r="J306" s="31">
        <v>3790502.1442183964</v>
      </c>
      <c r="K306" s="31">
        <v>1633321.272659702</v>
      </c>
      <c r="L306" s="31">
        <v>2553035.502410965</v>
      </c>
      <c r="M306" s="31">
        <f t="shared" si="20"/>
        <v>37123274.753952242</v>
      </c>
      <c r="N306" s="31">
        <v>525606.1</v>
      </c>
      <c r="P306" s="42" t="s">
        <v>473</v>
      </c>
      <c r="Q306" s="42" t="s">
        <v>474</v>
      </c>
      <c r="R306" s="43" t="s">
        <v>1050</v>
      </c>
      <c r="S306" s="44">
        <v>34</v>
      </c>
      <c r="T306" s="31">
        <v>29280581.427802119</v>
      </c>
      <c r="U306" s="31">
        <v>1194177.1499999997</v>
      </c>
      <c r="V306" s="31">
        <v>169867.65999999997</v>
      </c>
      <c r="W306" s="31">
        <v>101899.83</v>
      </c>
      <c r="X306" s="31">
        <v>4015453.123474204</v>
      </c>
      <c r="Y306" s="31">
        <v>1636992.1792704216</v>
      </c>
      <c r="Z306" s="31">
        <v>2736149.0709653003</v>
      </c>
      <c r="AA306" s="31">
        <f t="shared" si="21"/>
        <v>39686107.711512044</v>
      </c>
      <c r="AB306" s="31">
        <v>550987.27</v>
      </c>
      <c r="AD306" s="42" t="s">
        <v>473</v>
      </c>
      <c r="AE306" s="42" t="s">
        <v>474</v>
      </c>
      <c r="AF306" s="43" t="s">
        <v>1275</v>
      </c>
      <c r="AG306" s="44">
        <v>34</v>
      </c>
      <c r="AH306" s="31">
        <v>29857122.333844941</v>
      </c>
      <c r="AI306" s="31">
        <v>1214866.69</v>
      </c>
      <c r="AJ306" s="31">
        <v>172829.27</v>
      </c>
      <c r="AK306" s="31">
        <v>103676.43999999999</v>
      </c>
      <c r="AL306" s="31">
        <v>4086027.0880356487</v>
      </c>
      <c r="AM306" s="31">
        <v>1634203.2803123873</v>
      </c>
      <c r="AN306" s="31">
        <v>2784289.9460201734</v>
      </c>
      <c r="AO306" s="31">
        <f t="shared" si="22"/>
        <v>40413739.448213153</v>
      </c>
      <c r="AP306" s="31">
        <v>560724.39999999991</v>
      </c>
      <c r="AR306" s="42" t="s">
        <v>473</v>
      </c>
      <c r="AS306" s="42" t="s">
        <v>474</v>
      </c>
      <c r="AT306" s="43" t="s">
        <v>1276</v>
      </c>
      <c r="AU306" s="44">
        <v>34</v>
      </c>
      <c r="AV306" s="31">
        <v>30470608.840602741</v>
      </c>
      <c r="AW306" s="31">
        <v>1237025.17</v>
      </c>
      <c r="AX306" s="31">
        <v>176001.15999999997</v>
      </c>
      <c r="AY306" s="31">
        <v>105579.18000000001</v>
      </c>
      <c r="AZ306" s="31">
        <v>4161611.7393286419</v>
      </c>
      <c r="BA306" s="31">
        <v>1634282.9631397598</v>
      </c>
      <c r="BB306" s="31">
        <v>2835847.1961803422</v>
      </c>
      <c r="BC306" s="31">
        <f t="shared" si="23"/>
        <v>41192109.129251488</v>
      </c>
      <c r="BD306" s="31">
        <v>571152.88</v>
      </c>
    </row>
    <row r="307" spans="2:56">
      <c r="B307" s="42" t="s">
        <v>607</v>
      </c>
      <c r="C307" s="42" t="s">
        <v>608</v>
      </c>
      <c r="D307" s="43" t="s">
        <v>1049</v>
      </c>
      <c r="E307" s="44">
        <v>34</v>
      </c>
      <c r="F307" s="31">
        <v>41508058.699975565</v>
      </c>
      <c r="G307" s="31">
        <v>1563371.09</v>
      </c>
      <c r="H307" s="31">
        <v>669554.99000000011</v>
      </c>
      <c r="I307" s="31">
        <v>151726.78</v>
      </c>
      <c r="J307" s="31">
        <v>6987543.5982942274</v>
      </c>
      <c r="K307" s="31">
        <v>2269708.6322501143</v>
      </c>
      <c r="L307" s="31">
        <v>5408103.0815354018</v>
      </c>
      <c r="M307" s="31">
        <f t="shared" si="20"/>
        <v>59013751.642055318</v>
      </c>
      <c r="N307" s="31">
        <v>455684.77</v>
      </c>
      <c r="P307" s="42" t="s">
        <v>607</v>
      </c>
      <c r="Q307" s="42" t="s">
        <v>608</v>
      </c>
      <c r="R307" s="43" t="s">
        <v>1050</v>
      </c>
      <c r="S307" s="44">
        <v>34</v>
      </c>
      <c r="T307" s="31">
        <v>43896675.968256347</v>
      </c>
      <c r="U307" s="31">
        <v>1657685.8299999998</v>
      </c>
      <c r="V307" s="31">
        <v>706803.27</v>
      </c>
      <c r="W307" s="31">
        <v>160167.56</v>
      </c>
      <c r="X307" s="31">
        <v>7349686.7649934944</v>
      </c>
      <c r="Y307" s="31">
        <v>2275458.6717799851</v>
      </c>
      <c r="Z307" s="31">
        <v>5700252.1517284419</v>
      </c>
      <c r="AA307" s="31">
        <f t="shared" si="21"/>
        <v>62220423.12675827</v>
      </c>
      <c r="AB307" s="31">
        <v>473692.91</v>
      </c>
      <c r="AD307" s="42" t="s">
        <v>607</v>
      </c>
      <c r="AE307" s="42" t="s">
        <v>608</v>
      </c>
      <c r="AF307" s="43" t="s">
        <v>1275</v>
      </c>
      <c r="AG307" s="44">
        <v>34</v>
      </c>
      <c r="AH307" s="31">
        <v>44689881.516573399</v>
      </c>
      <c r="AI307" s="31">
        <v>1686582.25</v>
      </c>
      <c r="AJ307" s="31">
        <v>719170.97000000009</v>
      </c>
      <c r="AK307" s="31">
        <v>162970.19</v>
      </c>
      <c r="AL307" s="31">
        <v>7479137.4454243528</v>
      </c>
      <c r="AM307" s="31">
        <v>2271061.4218118964</v>
      </c>
      <c r="AN307" s="31">
        <v>5800820.8352208938</v>
      </c>
      <c r="AO307" s="31">
        <f t="shared" si="22"/>
        <v>63291716.16903054</v>
      </c>
      <c r="AP307" s="31">
        <v>482091.54000000004</v>
      </c>
      <c r="AR307" s="42" t="s">
        <v>607</v>
      </c>
      <c r="AS307" s="42" t="s">
        <v>608</v>
      </c>
      <c r="AT307" s="43" t="s">
        <v>1276</v>
      </c>
      <c r="AU307" s="44">
        <v>34</v>
      </c>
      <c r="AV307" s="31">
        <v>45538045.191855825</v>
      </c>
      <c r="AW307" s="31">
        <v>1717530.3199999998</v>
      </c>
      <c r="AX307" s="31">
        <v>732416.77</v>
      </c>
      <c r="AY307" s="31">
        <v>165971.79999999999</v>
      </c>
      <c r="AZ307" s="31">
        <v>7617778.4599074228</v>
      </c>
      <c r="BA307" s="31">
        <v>2271187.0575252702</v>
      </c>
      <c r="BB307" s="31">
        <v>5908526.5440685069</v>
      </c>
      <c r="BC307" s="31">
        <f t="shared" si="23"/>
        <v>64442542.603357024</v>
      </c>
      <c r="BD307" s="31">
        <v>491086.46</v>
      </c>
    </row>
    <row r="308" spans="2:56">
      <c r="B308" s="42" t="s">
        <v>1253</v>
      </c>
      <c r="C308" s="42" t="s">
        <v>1254</v>
      </c>
      <c r="D308" s="43" t="s">
        <v>1049</v>
      </c>
      <c r="E308" s="44">
        <v>34</v>
      </c>
      <c r="F308" s="31">
        <v>1459299.1193121755</v>
      </c>
      <c r="G308" s="31">
        <v>20466</v>
      </c>
      <c r="H308" s="31">
        <v>0</v>
      </c>
      <c r="I308" s="31">
        <v>0</v>
      </c>
      <c r="J308" s="31">
        <v>60028.425250620443</v>
      </c>
      <c r="K308" s="31">
        <v>0</v>
      </c>
      <c r="L308" s="31">
        <v>0</v>
      </c>
      <c r="M308" s="31">
        <f t="shared" si="20"/>
        <v>1554745.364562796</v>
      </c>
      <c r="N308" s="31">
        <v>14951.820000000002</v>
      </c>
      <c r="P308" s="42" t="s">
        <v>1253</v>
      </c>
      <c r="Q308" s="42" t="s">
        <v>1254</v>
      </c>
      <c r="R308" s="43" t="s">
        <v>1050</v>
      </c>
      <c r="S308" s="44">
        <v>34</v>
      </c>
      <c r="T308" s="31">
        <v>1536331.9468861502</v>
      </c>
      <c r="U308" s="31">
        <v>21836.829999999994</v>
      </c>
      <c r="V308" s="31">
        <v>0</v>
      </c>
      <c r="W308" s="31">
        <v>0</v>
      </c>
      <c r="X308" s="31">
        <v>63168.401374398221</v>
      </c>
      <c r="Y308" s="31">
        <v>0</v>
      </c>
      <c r="Z308" s="31">
        <v>0</v>
      </c>
      <c r="AA308" s="31">
        <f t="shared" si="21"/>
        <v>1636890.9382605485</v>
      </c>
      <c r="AB308" s="31">
        <v>15553.76</v>
      </c>
      <c r="AD308" s="42" t="s">
        <v>1253</v>
      </c>
      <c r="AE308" s="42" t="s">
        <v>1254</v>
      </c>
      <c r="AF308" s="43" t="s">
        <v>1275</v>
      </c>
      <c r="AG308" s="44">
        <v>34</v>
      </c>
      <c r="AH308" s="31">
        <v>1563169.5497097806</v>
      </c>
      <c r="AI308" s="31">
        <v>22218.039999999997</v>
      </c>
      <c r="AJ308" s="31">
        <v>0</v>
      </c>
      <c r="AK308" s="31">
        <v>0</v>
      </c>
      <c r="AL308" s="31">
        <v>64289.474307837903</v>
      </c>
      <c r="AM308" s="31">
        <v>0</v>
      </c>
      <c r="AN308" s="31">
        <v>0</v>
      </c>
      <c r="AO308" s="31">
        <f t="shared" si="22"/>
        <v>1665508.2640176185</v>
      </c>
      <c r="AP308" s="31">
        <v>15831.2</v>
      </c>
      <c r="AR308" s="42" t="s">
        <v>1253</v>
      </c>
      <c r="AS308" s="42" t="s">
        <v>1254</v>
      </c>
      <c r="AT308" s="43" t="s">
        <v>1276</v>
      </c>
      <c r="AU308" s="44">
        <v>34</v>
      </c>
      <c r="AV308" s="31">
        <v>1591915.6615648884</v>
      </c>
      <c r="AW308" s="31">
        <v>22626.299999999996</v>
      </c>
      <c r="AX308" s="31">
        <v>0</v>
      </c>
      <c r="AY308" s="31">
        <v>0</v>
      </c>
      <c r="AZ308" s="31">
        <v>65490.158455733683</v>
      </c>
      <c r="BA308" s="31">
        <v>0</v>
      </c>
      <c r="BB308" s="31">
        <v>0</v>
      </c>
      <c r="BC308" s="31">
        <f t="shared" si="23"/>
        <v>1696160.4600206222</v>
      </c>
      <c r="BD308" s="31">
        <v>16128.340000000002</v>
      </c>
    </row>
    <row r="309" spans="2:56">
      <c r="B309" s="42" t="s">
        <v>293</v>
      </c>
      <c r="C309" s="42" t="s">
        <v>294</v>
      </c>
      <c r="D309" s="43" t="s">
        <v>1049</v>
      </c>
      <c r="E309" s="44">
        <v>34</v>
      </c>
      <c r="F309" s="31">
        <v>3375597.7565639042</v>
      </c>
      <c r="G309" s="31">
        <v>140707.29</v>
      </c>
      <c r="H309" s="31">
        <v>0</v>
      </c>
      <c r="I309" s="31">
        <v>9062.18</v>
      </c>
      <c r="J309" s="31">
        <v>394223.18565639714</v>
      </c>
      <c r="K309" s="31">
        <v>447455.15663249994</v>
      </c>
      <c r="L309" s="31">
        <v>166403.18024335333</v>
      </c>
      <c r="M309" s="31">
        <f t="shared" si="20"/>
        <v>4628650.3090961548</v>
      </c>
      <c r="N309" s="31">
        <v>95201.56</v>
      </c>
      <c r="P309" s="42" t="s">
        <v>293</v>
      </c>
      <c r="Q309" s="42" t="s">
        <v>294</v>
      </c>
      <c r="R309" s="43" t="s">
        <v>1050</v>
      </c>
      <c r="S309" s="44">
        <v>34</v>
      </c>
      <c r="T309" s="31">
        <v>3618724.9328638236</v>
      </c>
      <c r="U309" s="31">
        <v>151422.71999999997</v>
      </c>
      <c r="V309" s="31">
        <v>0</v>
      </c>
      <c r="W309" s="31">
        <v>9650.4100000000017</v>
      </c>
      <c r="X309" s="31">
        <v>417607.84928995417</v>
      </c>
      <c r="Y309" s="31">
        <v>448813.61680443637</v>
      </c>
      <c r="Z309" s="31">
        <v>178371.95463345436</v>
      </c>
      <c r="AA309" s="31">
        <f t="shared" si="21"/>
        <v>4924390.2635916704</v>
      </c>
      <c r="AB309" s="31">
        <v>99798.780000000013</v>
      </c>
      <c r="AD309" s="42" t="s">
        <v>293</v>
      </c>
      <c r="AE309" s="42" t="s">
        <v>294</v>
      </c>
      <c r="AF309" s="43" t="s">
        <v>1275</v>
      </c>
      <c r="AG309" s="44">
        <v>34</v>
      </c>
      <c r="AH309" s="31">
        <v>3684069.2774431612</v>
      </c>
      <c r="AI309" s="31">
        <v>154039.07</v>
      </c>
      <c r="AJ309" s="31">
        <v>0</v>
      </c>
      <c r="AK309" s="31">
        <v>9818.66</v>
      </c>
      <c r="AL309" s="31">
        <v>424943.45225590089</v>
      </c>
      <c r="AM309" s="31">
        <v>447781.55345883634</v>
      </c>
      <c r="AN309" s="31">
        <v>181510.28245073624</v>
      </c>
      <c r="AO309" s="31">
        <f t="shared" si="22"/>
        <v>5003724.7356086345</v>
      </c>
      <c r="AP309" s="31">
        <v>101562.44</v>
      </c>
      <c r="AR309" s="42" t="s">
        <v>293</v>
      </c>
      <c r="AS309" s="42" t="s">
        <v>294</v>
      </c>
      <c r="AT309" s="43" t="s">
        <v>1276</v>
      </c>
      <c r="AU309" s="44">
        <v>34</v>
      </c>
      <c r="AV309" s="31">
        <v>3753917.0502442089</v>
      </c>
      <c r="AW309" s="31">
        <v>156841.16999999998</v>
      </c>
      <c r="AX309" s="31">
        <v>0</v>
      </c>
      <c r="AY309" s="31">
        <v>9998.86</v>
      </c>
      <c r="AZ309" s="31">
        <v>432799.851081556</v>
      </c>
      <c r="BA309" s="31">
        <v>447811.04098299635</v>
      </c>
      <c r="BB309" s="31">
        <v>184871.3254180451</v>
      </c>
      <c r="BC309" s="31">
        <f t="shared" si="23"/>
        <v>5089690.6177268056</v>
      </c>
      <c r="BD309" s="31">
        <v>103451.32</v>
      </c>
    </row>
    <row r="310" spans="2:56">
      <c r="B310" s="42" t="s">
        <v>387</v>
      </c>
      <c r="C310" s="42" t="s">
        <v>388</v>
      </c>
      <c r="D310" s="43" t="s">
        <v>1049</v>
      </c>
      <c r="E310" s="44">
        <v>34</v>
      </c>
      <c r="F310" s="31">
        <v>34797946.118279181</v>
      </c>
      <c r="G310" s="31">
        <v>806348.29999999993</v>
      </c>
      <c r="H310" s="31">
        <v>204793.39</v>
      </c>
      <c r="I310" s="31">
        <v>0</v>
      </c>
      <c r="J310" s="31">
        <v>5597329.136728121</v>
      </c>
      <c r="K310" s="31">
        <v>2480029.0175399454</v>
      </c>
      <c r="L310" s="31">
        <v>2995983.6913767993</v>
      </c>
      <c r="M310" s="31">
        <f t="shared" si="20"/>
        <v>46890535.203924045</v>
      </c>
      <c r="N310" s="31">
        <v>8105.55</v>
      </c>
      <c r="P310" s="42" t="s">
        <v>387</v>
      </c>
      <c r="Q310" s="42" t="s">
        <v>388</v>
      </c>
      <c r="R310" s="43" t="s">
        <v>1050</v>
      </c>
      <c r="S310" s="44">
        <v>34</v>
      </c>
      <c r="T310" s="31">
        <v>37039552.677051336</v>
      </c>
      <c r="U310" s="31">
        <v>858497.68999999983</v>
      </c>
      <c r="V310" s="31">
        <v>218005.38</v>
      </c>
      <c r="W310" s="31">
        <v>0</v>
      </c>
      <c r="X310" s="31">
        <v>5928683.0299908742</v>
      </c>
      <c r="Y310" s="31">
        <v>2484757.5375526687</v>
      </c>
      <c r="Z310" s="31">
        <v>3179532.481142079</v>
      </c>
      <c r="AA310" s="31">
        <f t="shared" si="21"/>
        <v>49717528.395736963</v>
      </c>
      <c r="AB310" s="31">
        <v>8499.5999999999985</v>
      </c>
      <c r="AD310" s="42" t="s">
        <v>387</v>
      </c>
      <c r="AE310" s="42" t="s">
        <v>388</v>
      </c>
      <c r="AF310" s="43" t="s">
        <v>1275</v>
      </c>
      <c r="AG310" s="44">
        <v>34</v>
      </c>
      <c r="AH310" s="31">
        <v>37707084.10427776</v>
      </c>
      <c r="AI310" s="31">
        <v>873569.41999999993</v>
      </c>
      <c r="AJ310" s="31">
        <v>221833.15</v>
      </c>
      <c r="AK310" s="31">
        <v>0</v>
      </c>
      <c r="AL310" s="31">
        <v>6033369.5747618293</v>
      </c>
      <c r="AM310" s="31">
        <v>2481125.7156089996</v>
      </c>
      <c r="AN310" s="31">
        <v>3235770.4047705042</v>
      </c>
      <c r="AO310" s="31">
        <f t="shared" si="22"/>
        <v>50561403.129419088</v>
      </c>
      <c r="AP310" s="31">
        <v>8650.7599999999984</v>
      </c>
      <c r="AR310" s="42" t="s">
        <v>387</v>
      </c>
      <c r="AS310" s="42" t="s">
        <v>388</v>
      </c>
      <c r="AT310" s="43" t="s">
        <v>1276</v>
      </c>
      <c r="AU310" s="44">
        <v>34</v>
      </c>
      <c r="AV310" s="31">
        <v>38421078.341090627</v>
      </c>
      <c r="AW310" s="31">
        <v>889711.21999999986</v>
      </c>
      <c r="AX310" s="31">
        <v>225932.69</v>
      </c>
      <c r="AY310" s="31">
        <v>0</v>
      </c>
      <c r="AZ310" s="31">
        <v>6145488.3296595421</v>
      </c>
      <c r="BA310" s="31">
        <v>2481229.4819502477</v>
      </c>
      <c r="BB310" s="31">
        <v>3295999.3899099468</v>
      </c>
      <c r="BC310" s="31">
        <f t="shared" si="23"/>
        <v>51468252.112610355</v>
      </c>
      <c r="BD310" s="31">
        <v>8812.66</v>
      </c>
    </row>
    <row r="311" spans="2:56">
      <c r="B311" s="42" t="s">
        <v>267</v>
      </c>
      <c r="C311" s="42" t="s">
        <v>268</v>
      </c>
      <c r="D311" s="43" t="s">
        <v>1049</v>
      </c>
      <c r="E311" s="44">
        <v>34</v>
      </c>
      <c r="F311" s="31">
        <v>9034183.4674334936</v>
      </c>
      <c r="G311" s="31">
        <v>297395.21999999997</v>
      </c>
      <c r="H311" s="31">
        <v>279855.52999999997</v>
      </c>
      <c r="I311" s="31">
        <v>31084.229999999996</v>
      </c>
      <c r="J311" s="31">
        <v>1292749.7461333645</v>
      </c>
      <c r="K311" s="31">
        <v>735897.43484189699</v>
      </c>
      <c r="L311" s="31">
        <v>514407.64999340358</v>
      </c>
      <c r="M311" s="31">
        <f t="shared" si="20"/>
        <v>12190737.73840216</v>
      </c>
      <c r="N311" s="31">
        <v>5164.46</v>
      </c>
      <c r="P311" s="42" t="s">
        <v>267</v>
      </c>
      <c r="Q311" s="42" t="s">
        <v>268</v>
      </c>
      <c r="R311" s="43" t="s">
        <v>1050</v>
      </c>
      <c r="S311" s="44">
        <v>34</v>
      </c>
      <c r="T311" s="31">
        <v>9618731.7049114835</v>
      </c>
      <c r="U311" s="31">
        <v>316784.74</v>
      </c>
      <c r="V311" s="31">
        <v>298020.72000000003</v>
      </c>
      <c r="W311" s="31">
        <v>33101.889999999992</v>
      </c>
      <c r="X311" s="31">
        <v>1369462.7945907782</v>
      </c>
      <c r="Y311" s="31">
        <v>737979.24172746774</v>
      </c>
      <c r="Z311" s="31">
        <v>546026.7702270064</v>
      </c>
      <c r="AA311" s="31">
        <f t="shared" si="21"/>
        <v>12925521.711456737</v>
      </c>
      <c r="AB311" s="31">
        <v>5413.85</v>
      </c>
      <c r="AD311" s="42" t="s">
        <v>267</v>
      </c>
      <c r="AE311" s="42" t="s">
        <v>268</v>
      </c>
      <c r="AF311" s="43" t="s">
        <v>1275</v>
      </c>
      <c r="AG311" s="44">
        <v>34</v>
      </c>
      <c r="AH311" s="31">
        <v>9790615.4735310338</v>
      </c>
      <c r="AI311" s="31">
        <v>322306.52999999991</v>
      </c>
      <c r="AJ311" s="31">
        <v>303216.65999999997</v>
      </c>
      <c r="AK311" s="31">
        <v>33679.01999999999</v>
      </c>
      <c r="AL311" s="31">
        <v>1393518.8094428291</v>
      </c>
      <c r="AM311" s="31">
        <v>736397.62997056765</v>
      </c>
      <c r="AN311" s="31">
        <v>555634.76377000986</v>
      </c>
      <c r="AO311" s="31">
        <f t="shared" si="22"/>
        <v>13140878.416714439</v>
      </c>
      <c r="AP311" s="31">
        <v>5509.5300000000007</v>
      </c>
      <c r="AR311" s="42" t="s">
        <v>267</v>
      </c>
      <c r="AS311" s="42" t="s">
        <v>268</v>
      </c>
      <c r="AT311" s="43" t="s">
        <v>1276</v>
      </c>
      <c r="AU311" s="44">
        <v>34</v>
      </c>
      <c r="AV311" s="31">
        <v>9974505.855255194</v>
      </c>
      <c r="AW311" s="31">
        <v>328220.40000000002</v>
      </c>
      <c r="AX311" s="31">
        <v>308781.51999999996</v>
      </c>
      <c r="AY311" s="31">
        <v>34297.119999999995</v>
      </c>
      <c r="AZ311" s="31">
        <v>1419282.67801184</v>
      </c>
      <c r="BA311" s="31">
        <v>736442.81887790759</v>
      </c>
      <c r="BB311" s="31">
        <v>565924.59702736628</v>
      </c>
      <c r="BC311" s="31">
        <f t="shared" si="23"/>
        <v>13373066.979172308</v>
      </c>
      <c r="BD311" s="31">
        <v>5611.99</v>
      </c>
    </row>
    <row r="312" spans="2:56">
      <c r="B312" s="42" t="s">
        <v>307</v>
      </c>
      <c r="C312" s="42" t="s">
        <v>308</v>
      </c>
      <c r="D312" s="43" t="s">
        <v>1049</v>
      </c>
      <c r="E312" s="44">
        <v>34</v>
      </c>
      <c r="F312" s="31">
        <v>2440509.4481912944</v>
      </c>
      <c r="G312" s="31">
        <v>60706.820000000007</v>
      </c>
      <c r="H312" s="31">
        <v>0</v>
      </c>
      <c r="I312" s="31">
        <v>6138.8899999999994</v>
      </c>
      <c r="J312" s="31">
        <v>258163.0520971418</v>
      </c>
      <c r="K312" s="31">
        <v>0</v>
      </c>
      <c r="L312" s="31">
        <v>190374.48518330985</v>
      </c>
      <c r="M312" s="31">
        <f t="shared" si="20"/>
        <v>2955892.6954717459</v>
      </c>
      <c r="N312" s="31">
        <v>0</v>
      </c>
      <c r="P312" s="42" t="s">
        <v>307</v>
      </c>
      <c r="Q312" s="42" t="s">
        <v>308</v>
      </c>
      <c r="R312" s="43" t="s">
        <v>1050</v>
      </c>
      <c r="S312" s="44">
        <v>34</v>
      </c>
      <c r="T312" s="31">
        <v>2593979.949802862</v>
      </c>
      <c r="U312" s="31">
        <v>64647.25</v>
      </c>
      <c r="V312" s="31">
        <v>0</v>
      </c>
      <c r="W312" s="31">
        <v>6537.38</v>
      </c>
      <c r="X312" s="31">
        <v>273482.69379229844</v>
      </c>
      <c r="Y312" s="31">
        <v>0</v>
      </c>
      <c r="Z312" s="31">
        <v>202076.57071206023</v>
      </c>
      <c r="AA312" s="31">
        <f t="shared" si="21"/>
        <v>3140723.8443072205</v>
      </c>
      <c r="AB312" s="31">
        <v>0</v>
      </c>
      <c r="AD312" s="42" t="s">
        <v>307</v>
      </c>
      <c r="AE312" s="42" t="s">
        <v>308</v>
      </c>
      <c r="AF312" s="43" t="s">
        <v>1275</v>
      </c>
      <c r="AG312" s="44">
        <v>34</v>
      </c>
      <c r="AH312" s="31">
        <v>2639574.6070115492</v>
      </c>
      <c r="AI312" s="31">
        <v>65774.349999999991</v>
      </c>
      <c r="AJ312" s="31">
        <v>0</v>
      </c>
      <c r="AK312" s="31">
        <v>6651.35</v>
      </c>
      <c r="AL312" s="31">
        <v>278288.91149336658</v>
      </c>
      <c r="AM312" s="31">
        <v>0</v>
      </c>
      <c r="AN312" s="31">
        <v>205632.40872138378</v>
      </c>
      <c r="AO312" s="31">
        <f t="shared" si="22"/>
        <v>3195921.6272262996</v>
      </c>
      <c r="AP312" s="31">
        <v>0</v>
      </c>
      <c r="AR312" s="42" t="s">
        <v>307</v>
      </c>
      <c r="AS312" s="42" t="s">
        <v>308</v>
      </c>
      <c r="AT312" s="43" t="s">
        <v>1276</v>
      </c>
      <c r="AU312" s="44">
        <v>34</v>
      </c>
      <c r="AV312" s="31">
        <v>2688387.0500274487</v>
      </c>
      <c r="AW312" s="31">
        <v>66981.489999999991</v>
      </c>
      <c r="AX312" s="31">
        <v>0</v>
      </c>
      <c r="AY312" s="31">
        <v>6773.42</v>
      </c>
      <c r="AZ312" s="31">
        <v>283436.36352324631</v>
      </c>
      <c r="BA312" s="31">
        <v>0</v>
      </c>
      <c r="BB312" s="31">
        <v>209440.58987896936</v>
      </c>
      <c r="BC312" s="31">
        <f t="shared" si="23"/>
        <v>3255018.9134296644</v>
      </c>
      <c r="BD312" s="31">
        <v>0</v>
      </c>
    </row>
    <row r="313" spans="2:56">
      <c r="B313" s="42" t="s">
        <v>351</v>
      </c>
      <c r="C313" s="42" t="s">
        <v>352</v>
      </c>
      <c r="D313" s="43" t="s">
        <v>1049</v>
      </c>
      <c r="E313" s="44">
        <v>34</v>
      </c>
      <c r="F313" s="31">
        <v>3553301.2571759112</v>
      </c>
      <c r="G313" s="31">
        <v>92862.919999999984</v>
      </c>
      <c r="H313" s="31">
        <v>11205.919999999998</v>
      </c>
      <c r="I313" s="31">
        <v>10036.619999999999</v>
      </c>
      <c r="J313" s="31">
        <v>373859.36491124833</v>
      </c>
      <c r="K313" s="31">
        <v>496022.54982368345</v>
      </c>
      <c r="L313" s="31">
        <v>273099.64873938815</v>
      </c>
      <c r="M313" s="31">
        <f t="shared" si="20"/>
        <v>4810388.2806502311</v>
      </c>
      <c r="N313" s="31">
        <v>0</v>
      </c>
      <c r="P313" s="42" t="s">
        <v>351</v>
      </c>
      <c r="Q313" s="42" t="s">
        <v>352</v>
      </c>
      <c r="R313" s="43" t="s">
        <v>1050</v>
      </c>
      <c r="S313" s="44">
        <v>34</v>
      </c>
      <c r="T313" s="31">
        <v>3779459.5188726978</v>
      </c>
      <c r="U313" s="31">
        <v>98890.58</v>
      </c>
      <c r="V313" s="31">
        <v>11933.300000000001</v>
      </c>
      <c r="W313" s="31">
        <v>10688.080000000002</v>
      </c>
      <c r="X313" s="31">
        <v>396044.03897105117</v>
      </c>
      <c r="Y313" s="31">
        <v>497222.29895740381</v>
      </c>
      <c r="Z313" s="31">
        <v>289885.87266204524</v>
      </c>
      <c r="AA313" s="31">
        <f t="shared" si="21"/>
        <v>5084123.6894631982</v>
      </c>
      <c r="AB313" s="31">
        <v>0</v>
      </c>
      <c r="AD313" s="42" t="s">
        <v>351</v>
      </c>
      <c r="AE313" s="42" t="s">
        <v>352</v>
      </c>
      <c r="AF313" s="43" t="s">
        <v>1275</v>
      </c>
      <c r="AG313" s="44">
        <v>34</v>
      </c>
      <c r="AH313" s="31">
        <v>3847031.0967143672</v>
      </c>
      <c r="AI313" s="31">
        <v>100614.73</v>
      </c>
      <c r="AJ313" s="31">
        <v>12141.35</v>
      </c>
      <c r="AK313" s="31">
        <v>10874.430000000002</v>
      </c>
      <c r="AL313" s="31">
        <v>403001.02866986743</v>
      </c>
      <c r="AM313" s="31">
        <v>496310.8131955039</v>
      </c>
      <c r="AN313" s="31">
        <v>294986.57346819813</v>
      </c>
      <c r="AO313" s="31">
        <f t="shared" si="22"/>
        <v>5164960.0220479369</v>
      </c>
      <c r="AP313" s="31">
        <v>0</v>
      </c>
      <c r="AR313" s="42" t="s">
        <v>351</v>
      </c>
      <c r="AS313" s="42" t="s">
        <v>352</v>
      </c>
      <c r="AT313" s="43" t="s">
        <v>1276</v>
      </c>
      <c r="AU313" s="44">
        <v>34</v>
      </c>
      <c r="AV313" s="31">
        <v>3919304.9532543691</v>
      </c>
      <c r="AW313" s="31">
        <v>102461.28</v>
      </c>
      <c r="AX313" s="31">
        <v>12364.18</v>
      </c>
      <c r="AY313" s="31">
        <v>11074</v>
      </c>
      <c r="AZ313" s="31">
        <v>410451.92976125306</v>
      </c>
      <c r="BA313" s="31">
        <v>496336.85564584384</v>
      </c>
      <c r="BB313" s="31">
        <v>300449.24998658791</v>
      </c>
      <c r="BC313" s="31">
        <f t="shared" si="23"/>
        <v>5252442.4486480542</v>
      </c>
      <c r="BD313" s="31">
        <v>0</v>
      </c>
    </row>
    <row r="314" spans="2:56">
      <c r="B314" s="42" t="s">
        <v>137</v>
      </c>
      <c r="C314" s="42" t="s">
        <v>138</v>
      </c>
      <c r="D314" s="43" t="s">
        <v>1049</v>
      </c>
      <c r="E314" s="44">
        <v>34</v>
      </c>
      <c r="F314" s="31">
        <v>1991553.8128150434</v>
      </c>
      <c r="G314" s="31">
        <v>48322.55000000001</v>
      </c>
      <c r="H314" s="31">
        <v>0</v>
      </c>
      <c r="I314" s="31">
        <v>3228.24</v>
      </c>
      <c r="J314" s="31">
        <v>139711.81558404976</v>
      </c>
      <c r="K314" s="31">
        <v>257964.46278194519</v>
      </c>
      <c r="L314" s="31">
        <v>123432.80992942845</v>
      </c>
      <c r="M314" s="31">
        <f t="shared" si="20"/>
        <v>2599118.9211104671</v>
      </c>
      <c r="N314" s="31">
        <v>34905.230000000003</v>
      </c>
      <c r="P314" s="42" t="s">
        <v>137</v>
      </c>
      <c r="Q314" s="42" t="s">
        <v>138</v>
      </c>
      <c r="R314" s="43" t="s">
        <v>1050</v>
      </c>
      <c r="S314" s="44">
        <v>34</v>
      </c>
      <c r="T314" s="31">
        <v>2123403.1247168966</v>
      </c>
      <c r="U314" s="31">
        <v>52009.289999999986</v>
      </c>
      <c r="V314" s="31">
        <v>0</v>
      </c>
      <c r="W314" s="31">
        <v>3436.8999999999996</v>
      </c>
      <c r="X314" s="31">
        <v>147991.43186628117</v>
      </c>
      <c r="Y314" s="31">
        <v>258622.71065109229</v>
      </c>
      <c r="Z314" s="31">
        <v>132297.21192874905</v>
      </c>
      <c r="AA314" s="31">
        <f t="shared" si="21"/>
        <v>2754359.1091630189</v>
      </c>
      <c r="AB314" s="31">
        <v>36598.44000000001</v>
      </c>
      <c r="AD314" s="42" t="s">
        <v>137</v>
      </c>
      <c r="AE314" s="42" t="s">
        <v>138</v>
      </c>
      <c r="AF314" s="43" t="s">
        <v>1275</v>
      </c>
      <c r="AG314" s="44">
        <v>34</v>
      </c>
      <c r="AH314" s="31">
        <v>2160647.2646033252</v>
      </c>
      <c r="AI314" s="31">
        <v>52911.98</v>
      </c>
      <c r="AJ314" s="31">
        <v>0</v>
      </c>
      <c r="AK314" s="31">
        <v>3497.0999999999995</v>
      </c>
      <c r="AL314" s="31">
        <v>150598.31331653069</v>
      </c>
      <c r="AM314" s="31">
        <v>258122.61980404326</v>
      </c>
      <c r="AN314" s="31">
        <v>134631.46854849442</v>
      </c>
      <c r="AO314" s="31">
        <f t="shared" si="22"/>
        <v>2797656.7662723935</v>
      </c>
      <c r="AP314" s="31">
        <v>37248.020000000011</v>
      </c>
      <c r="AR314" s="42" t="s">
        <v>137</v>
      </c>
      <c r="AS314" s="42" t="s">
        <v>138</v>
      </c>
      <c r="AT314" s="43" t="s">
        <v>1276</v>
      </c>
      <c r="AU314" s="44">
        <v>34</v>
      </c>
      <c r="AV314" s="31">
        <v>2200519.1537116896</v>
      </c>
      <c r="AW314" s="31">
        <v>53878.77</v>
      </c>
      <c r="AX314" s="31">
        <v>0</v>
      </c>
      <c r="AY314" s="31">
        <v>3561.5899999999997</v>
      </c>
      <c r="AZ314" s="31">
        <v>153390.27247299545</v>
      </c>
      <c r="BA314" s="31">
        <v>258136.90811395895</v>
      </c>
      <c r="BB314" s="31">
        <v>137131.38035564171</v>
      </c>
      <c r="BC314" s="31">
        <f t="shared" si="23"/>
        <v>2844561.7846542853</v>
      </c>
      <c r="BD314" s="31">
        <v>37943.710000000014</v>
      </c>
    </row>
    <row r="315" spans="2:56">
      <c r="B315" s="42" t="s">
        <v>281</v>
      </c>
      <c r="C315" s="42" t="s">
        <v>282</v>
      </c>
      <c r="D315" s="43" t="s">
        <v>1049</v>
      </c>
      <c r="E315" s="44">
        <v>34</v>
      </c>
      <c r="F315" s="31">
        <v>6339219.7664329167</v>
      </c>
      <c r="G315" s="31">
        <v>429354.52</v>
      </c>
      <c r="H315" s="31">
        <v>68599.89</v>
      </c>
      <c r="I315" s="31">
        <v>21185.25</v>
      </c>
      <c r="J315" s="31">
        <v>948542.57391796773</v>
      </c>
      <c r="K315" s="31">
        <v>460376.82699010579</v>
      </c>
      <c r="L315" s="31">
        <v>518253.9389264402</v>
      </c>
      <c r="M315" s="31">
        <f t="shared" si="20"/>
        <v>9003337.3862674292</v>
      </c>
      <c r="N315" s="31">
        <v>217804.62</v>
      </c>
      <c r="P315" s="42" t="s">
        <v>281</v>
      </c>
      <c r="Q315" s="42" t="s">
        <v>282</v>
      </c>
      <c r="R315" s="43" t="s">
        <v>1050</v>
      </c>
      <c r="S315" s="44">
        <v>34</v>
      </c>
      <c r="T315" s="31">
        <v>6817450.9741464658</v>
      </c>
      <c r="U315" s="31">
        <v>460622.16000000009</v>
      </c>
      <c r="V315" s="31">
        <v>73034.239999999991</v>
      </c>
      <c r="W315" s="31">
        <v>22554.690000000002</v>
      </c>
      <c r="X315" s="31">
        <v>1004765.9362008584</v>
      </c>
      <c r="Y315" s="31">
        <v>461023.51225653169</v>
      </c>
      <c r="Z315" s="31">
        <v>555415.50488615036</v>
      </c>
      <c r="AA315" s="31">
        <f t="shared" si="21"/>
        <v>9623237.0474900063</v>
      </c>
      <c r="AB315" s="31">
        <v>228370.02999999997</v>
      </c>
      <c r="AD315" s="42" t="s">
        <v>281</v>
      </c>
      <c r="AE315" s="42" t="s">
        <v>282</v>
      </c>
      <c r="AF315" s="43" t="s">
        <v>1275</v>
      </c>
      <c r="AG315" s="44">
        <v>34</v>
      </c>
      <c r="AH315" s="31">
        <v>6938148.8522829656</v>
      </c>
      <c r="AI315" s="31">
        <v>468638.94000000018</v>
      </c>
      <c r="AJ315" s="31">
        <v>74313.69</v>
      </c>
      <c r="AK315" s="31">
        <v>22949.81</v>
      </c>
      <c r="AL315" s="31">
        <v>1022461.2438987112</v>
      </c>
      <c r="AM315" s="31">
        <v>460532.20586904569</v>
      </c>
      <c r="AN315" s="31">
        <v>565214.73198964528</v>
      </c>
      <c r="AO315" s="31">
        <f t="shared" si="22"/>
        <v>9784682.794040367</v>
      </c>
      <c r="AP315" s="31">
        <v>232423.31999999998</v>
      </c>
      <c r="AR315" s="42" t="s">
        <v>281</v>
      </c>
      <c r="AS315" s="42" t="s">
        <v>282</v>
      </c>
      <c r="AT315" s="43" t="s">
        <v>1276</v>
      </c>
      <c r="AU315" s="44">
        <v>34</v>
      </c>
      <c r="AV315" s="31">
        <v>7067358.827579448</v>
      </c>
      <c r="AW315" s="31">
        <v>477224.95000000007</v>
      </c>
      <c r="AX315" s="31">
        <v>75683.969999999987</v>
      </c>
      <c r="AY315" s="31">
        <v>23372.989999999998</v>
      </c>
      <c r="AZ315" s="31">
        <v>1041412.8066432676</v>
      </c>
      <c r="BA315" s="31">
        <v>460546.24319440243</v>
      </c>
      <c r="BB315" s="31">
        <v>575709.38074848836</v>
      </c>
      <c r="BC315" s="31">
        <f t="shared" si="23"/>
        <v>9958073.5381656066</v>
      </c>
      <c r="BD315" s="31">
        <v>236764.36999999997</v>
      </c>
    </row>
    <row r="316" spans="2:56">
      <c r="B316" s="42" t="s">
        <v>161</v>
      </c>
      <c r="C316" s="42" t="s">
        <v>162</v>
      </c>
      <c r="D316" s="43" t="s">
        <v>1049</v>
      </c>
      <c r="E316" s="44">
        <v>34</v>
      </c>
      <c r="F316" s="31">
        <v>2260270.9940265948</v>
      </c>
      <c r="G316" s="31">
        <v>66066.169999999984</v>
      </c>
      <c r="H316" s="31">
        <v>0</v>
      </c>
      <c r="I316" s="31">
        <v>0</v>
      </c>
      <c r="J316" s="31">
        <v>162800.5069257842</v>
      </c>
      <c r="K316" s="31">
        <v>87085.71202076583</v>
      </c>
      <c r="L316" s="31">
        <v>98323.667963401182</v>
      </c>
      <c r="M316" s="31">
        <f t="shared" si="20"/>
        <v>2718883.5009365464</v>
      </c>
      <c r="N316" s="31">
        <v>44336.45</v>
      </c>
      <c r="P316" s="42" t="s">
        <v>161</v>
      </c>
      <c r="Q316" s="42" t="s">
        <v>162</v>
      </c>
      <c r="R316" s="43" t="s">
        <v>1050</v>
      </c>
      <c r="S316" s="44">
        <v>34</v>
      </c>
      <c r="T316" s="31">
        <v>2414988.9490726562</v>
      </c>
      <c r="U316" s="31">
        <v>71091.33</v>
      </c>
      <c r="V316" s="31">
        <v>0</v>
      </c>
      <c r="W316" s="31">
        <v>0</v>
      </c>
      <c r="X316" s="31">
        <v>172457.97573784643</v>
      </c>
      <c r="Y316" s="31">
        <v>87196.774104293479</v>
      </c>
      <c r="Z316" s="31">
        <v>105404.80164214478</v>
      </c>
      <c r="AA316" s="31">
        <f t="shared" si="21"/>
        <v>2897617.2705569407</v>
      </c>
      <c r="AB316" s="31">
        <v>46477.440000000002</v>
      </c>
      <c r="AD316" s="42" t="s">
        <v>161</v>
      </c>
      <c r="AE316" s="42" t="s">
        <v>162</v>
      </c>
      <c r="AF316" s="43" t="s">
        <v>1275</v>
      </c>
      <c r="AG316" s="44">
        <v>34</v>
      </c>
      <c r="AH316" s="31">
        <v>2457048.5427866112</v>
      </c>
      <c r="AI316" s="31">
        <v>72319.780000000013</v>
      </c>
      <c r="AJ316" s="31">
        <v>0</v>
      </c>
      <c r="AK316" s="31">
        <v>0</v>
      </c>
      <c r="AL316" s="31">
        <v>175486.65416077495</v>
      </c>
      <c r="AM316" s="31">
        <v>87112.396874940139</v>
      </c>
      <c r="AN316" s="31">
        <v>107259.36741499891</v>
      </c>
      <c r="AO316" s="31">
        <f t="shared" si="22"/>
        <v>2946525.5212373245</v>
      </c>
      <c r="AP316" s="31">
        <v>47298.78</v>
      </c>
      <c r="AR316" s="42" t="s">
        <v>161</v>
      </c>
      <c r="AS316" s="42" t="s">
        <v>162</v>
      </c>
      <c r="AT316" s="43" t="s">
        <v>1276</v>
      </c>
      <c r="AU316" s="44">
        <v>34</v>
      </c>
      <c r="AV316" s="31">
        <v>2502092.5144641921</v>
      </c>
      <c r="AW316" s="31">
        <v>73635.420000000013</v>
      </c>
      <c r="AX316" s="31">
        <v>0</v>
      </c>
      <c r="AY316" s="31">
        <v>0</v>
      </c>
      <c r="AZ316" s="31">
        <v>178730.34980827928</v>
      </c>
      <c r="BA316" s="31">
        <v>87114.807652921663</v>
      </c>
      <c r="BB316" s="31">
        <v>109245.54470152562</v>
      </c>
      <c r="BC316" s="31">
        <f t="shared" si="23"/>
        <v>2998997.0966269188</v>
      </c>
      <c r="BD316" s="31">
        <v>48178.46</v>
      </c>
    </row>
    <row r="317" spans="2:56">
      <c r="B317" s="42" t="s">
        <v>251</v>
      </c>
      <c r="C317" s="42" t="s">
        <v>252</v>
      </c>
      <c r="D317" s="43" t="s">
        <v>1049</v>
      </c>
      <c r="E317" s="44">
        <v>34</v>
      </c>
      <c r="F317" s="31">
        <v>1920577.6221816805</v>
      </c>
      <c r="G317" s="31">
        <v>34299.85</v>
      </c>
      <c r="H317" s="31">
        <v>0</v>
      </c>
      <c r="I317" s="31">
        <v>0</v>
      </c>
      <c r="J317" s="31">
        <v>58152.173560458454</v>
      </c>
      <c r="K317" s="31">
        <v>47423.275564528092</v>
      </c>
      <c r="L317" s="31">
        <v>23050.984231398241</v>
      </c>
      <c r="M317" s="31">
        <f t="shared" si="20"/>
        <v>2100069.1555380654</v>
      </c>
      <c r="N317" s="31">
        <v>16565.25</v>
      </c>
      <c r="P317" s="42" t="s">
        <v>251</v>
      </c>
      <c r="Q317" s="42" t="s">
        <v>252</v>
      </c>
      <c r="R317" s="43" t="s">
        <v>1050</v>
      </c>
      <c r="S317" s="44">
        <v>34</v>
      </c>
      <c r="T317" s="31">
        <v>2041748.8410039097</v>
      </c>
      <c r="U317" s="31">
        <v>36801.54</v>
      </c>
      <c r="V317" s="31">
        <v>0</v>
      </c>
      <c r="W317" s="31">
        <v>0</v>
      </c>
      <c r="X317" s="31">
        <v>61602.575197897262</v>
      </c>
      <c r="Y317" s="31">
        <v>47545.992305745916</v>
      </c>
      <c r="Z317" s="31">
        <v>24675.139616455119</v>
      </c>
      <c r="AA317" s="31">
        <f t="shared" si="21"/>
        <v>2229739.2681240081</v>
      </c>
      <c r="AB317" s="31">
        <v>17365.18</v>
      </c>
      <c r="AD317" s="42" t="s">
        <v>251</v>
      </c>
      <c r="AE317" s="42" t="s">
        <v>252</v>
      </c>
      <c r="AF317" s="43" t="s">
        <v>1275</v>
      </c>
      <c r="AG317" s="44">
        <v>34</v>
      </c>
      <c r="AH317" s="31">
        <v>2077396.1784334665</v>
      </c>
      <c r="AI317" s="31">
        <v>37439.040000000008</v>
      </c>
      <c r="AJ317" s="31">
        <v>0</v>
      </c>
      <c r="AK317" s="31">
        <v>0</v>
      </c>
      <c r="AL317" s="31">
        <v>62684.794911505509</v>
      </c>
      <c r="AM317" s="31">
        <v>47452.760679880979</v>
      </c>
      <c r="AN317" s="31">
        <v>25109.204707292221</v>
      </c>
      <c r="AO317" s="31">
        <f t="shared" si="22"/>
        <v>2267754.0387321454</v>
      </c>
      <c r="AP317" s="31">
        <v>17672.060000000001</v>
      </c>
      <c r="AR317" s="42" t="s">
        <v>251</v>
      </c>
      <c r="AS317" s="42" t="s">
        <v>252</v>
      </c>
      <c r="AT317" s="43" t="s">
        <v>1276</v>
      </c>
      <c r="AU317" s="44">
        <v>34</v>
      </c>
      <c r="AV317" s="31">
        <v>2115555.9560470413</v>
      </c>
      <c r="AW317" s="31">
        <v>38121.82</v>
      </c>
      <c r="AX317" s="31">
        <v>0</v>
      </c>
      <c r="AY317" s="31">
        <v>0</v>
      </c>
      <c r="AZ317" s="31">
        <v>63843.847793667948</v>
      </c>
      <c r="BA317" s="31">
        <v>47455.42444061998</v>
      </c>
      <c r="BB317" s="31">
        <v>25574.073760178755</v>
      </c>
      <c r="BC317" s="31">
        <f t="shared" si="23"/>
        <v>2308551.8420415083</v>
      </c>
      <c r="BD317" s="31">
        <v>18000.72</v>
      </c>
    </row>
    <row r="318" spans="2:56">
      <c r="B318" s="42" t="s">
        <v>85</v>
      </c>
      <c r="C318" s="42" t="s">
        <v>86</v>
      </c>
      <c r="D318" s="43" t="s">
        <v>1049</v>
      </c>
      <c r="E318" s="44">
        <v>34</v>
      </c>
      <c r="F318" s="31">
        <v>19704009.326226279</v>
      </c>
      <c r="G318" s="31">
        <v>691648.52000000014</v>
      </c>
      <c r="H318" s="31">
        <v>312303.98</v>
      </c>
      <c r="I318" s="31">
        <v>65871.280000000013</v>
      </c>
      <c r="J318" s="31">
        <v>3006235.0527040982</v>
      </c>
      <c r="K318" s="31">
        <v>5702376.3561724639</v>
      </c>
      <c r="L318" s="31">
        <v>767436.93049635959</v>
      </c>
      <c r="M318" s="31">
        <f t="shared" si="20"/>
        <v>30392537.595599204</v>
      </c>
      <c r="N318" s="31">
        <v>142656.15</v>
      </c>
      <c r="P318" s="42" t="s">
        <v>85</v>
      </c>
      <c r="Q318" s="42" t="s">
        <v>86</v>
      </c>
      <c r="R318" s="43" t="s">
        <v>1050</v>
      </c>
      <c r="S318" s="44">
        <v>34</v>
      </c>
      <c r="T318" s="31">
        <v>20987020.128821671</v>
      </c>
      <c r="U318" s="31">
        <v>738913.72</v>
      </c>
      <c r="V318" s="31">
        <v>332575.33</v>
      </c>
      <c r="W318" s="31">
        <v>70146.94</v>
      </c>
      <c r="X318" s="31">
        <v>3184572.7890452212</v>
      </c>
      <c r="Y318" s="31">
        <v>5716785.1820259364</v>
      </c>
      <c r="Z318" s="31">
        <v>814609.02257533278</v>
      </c>
      <c r="AA318" s="31">
        <f t="shared" si="21"/>
        <v>31994168.04246816</v>
      </c>
      <c r="AB318" s="31">
        <v>149544.93</v>
      </c>
      <c r="AD318" s="42" t="s">
        <v>85</v>
      </c>
      <c r="AE318" s="42" t="s">
        <v>86</v>
      </c>
      <c r="AF318" s="43" t="s">
        <v>1275</v>
      </c>
      <c r="AG318" s="44">
        <v>34</v>
      </c>
      <c r="AH318" s="31">
        <v>21373698.265000984</v>
      </c>
      <c r="AI318" s="31">
        <v>751761.0900000002</v>
      </c>
      <c r="AJ318" s="31">
        <v>338373.74000000005</v>
      </c>
      <c r="AK318" s="31">
        <v>71369.930000000008</v>
      </c>
      <c r="AL318" s="31">
        <v>3240514.5428787288</v>
      </c>
      <c r="AM318" s="31">
        <v>5705838.3605263364</v>
      </c>
      <c r="AN318" s="31">
        <v>828943.21645960025</v>
      </c>
      <c r="AO318" s="31">
        <f t="shared" si="22"/>
        <v>32462686.844865646</v>
      </c>
      <c r="AP318" s="31">
        <v>152187.69999999998</v>
      </c>
      <c r="AR318" s="42" t="s">
        <v>85</v>
      </c>
      <c r="AS318" s="42" t="s">
        <v>86</v>
      </c>
      <c r="AT318" s="43" t="s">
        <v>1276</v>
      </c>
      <c r="AU318" s="44">
        <v>34</v>
      </c>
      <c r="AV318" s="31">
        <v>21786654.40234426</v>
      </c>
      <c r="AW318" s="31">
        <v>765520.60000000009</v>
      </c>
      <c r="AX318" s="31">
        <v>344583.83</v>
      </c>
      <c r="AY318" s="31">
        <v>72679.77</v>
      </c>
      <c r="AZ318" s="31">
        <v>3300427.9278759621</v>
      </c>
      <c r="BA318" s="31">
        <v>5706151.1268548965</v>
      </c>
      <c r="BB318" s="31">
        <v>844294.64902905072</v>
      </c>
      <c r="BC318" s="31">
        <f t="shared" si="23"/>
        <v>32975330.436104167</v>
      </c>
      <c r="BD318" s="31">
        <v>155018.12999999998</v>
      </c>
    </row>
    <row r="319" spans="2:56">
      <c r="B319" s="42" t="s">
        <v>1039</v>
      </c>
      <c r="C319" s="42" t="s">
        <v>1045</v>
      </c>
      <c r="D319" s="43" t="s">
        <v>1049</v>
      </c>
      <c r="E319" s="44">
        <v>34</v>
      </c>
      <c r="F319" s="31">
        <v>2039278.1234776743</v>
      </c>
      <c r="G319" s="31">
        <v>0</v>
      </c>
      <c r="H319" s="31">
        <v>0</v>
      </c>
      <c r="I319" s="31">
        <v>0</v>
      </c>
      <c r="J319" s="31">
        <v>144343.61016967293</v>
      </c>
      <c r="K319" s="31">
        <v>0</v>
      </c>
      <c r="L319" s="31">
        <v>0</v>
      </c>
      <c r="M319" s="31">
        <f t="shared" si="20"/>
        <v>2183621.7336473474</v>
      </c>
      <c r="N319" s="31">
        <v>0</v>
      </c>
      <c r="P319" s="42" t="s">
        <v>1039</v>
      </c>
      <c r="Q319" s="42" t="s">
        <v>1045</v>
      </c>
      <c r="R319" s="43" t="s">
        <v>1050</v>
      </c>
      <c r="S319" s="44">
        <v>34</v>
      </c>
      <c r="T319" s="31">
        <v>2165160.9007654414</v>
      </c>
      <c r="U319" s="31">
        <v>0</v>
      </c>
      <c r="V319" s="31">
        <v>0</v>
      </c>
      <c r="W319" s="31">
        <v>0</v>
      </c>
      <c r="X319" s="31">
        <v>152925.28074291779</v>
      </c>
      <c r="Y319" s="31">
        <v>0</v>
      </c>
      <c r="Z319" s="31">
        <v>0</v>
      </c>
      <c r="AA319" s="31">
        <f t="shared" si="21"/>
        <v>2318086.181508359</v>
      </c>
      <c r="AB319" s="31">
        <v>0</v>
      </c>
      <c r="AD319" s="42" t="s">
        <v>1039</v>
      </c>
      <c r="AE319" s="42" t="s">
        <v>1045</v>
      </c>
      <c r="AF319" s="43" t="s">
        <v>1275</v>
      </c>
      <c r="AG319" s="44">
        <v>34</v>
      </c>
      <c r="AH319" s="31">
        <v>2202848.255139404</v>
      </c>
      <c r="AI319" s="31">
        <v>0</v>
      </c>
      <c r="AJ319" s="31">
        <v>0</v>
      </c>
      <c r="AK319" s="31">
        <v>0</v>
      </c>
      <c r="AL319" s="31">
        <v>155618.35482496544</v>
      </c>
      <c r="AM319" s="31">
        <v>0</v>
      </c>
      <c r="AN319" s="31">
        <v>0</v>
      </c>
      <c r="AO319" s="31">
        <f t="shared" si="22"/>
        <v>2358466.6099643693</v>
      </c>
      <c r="AP319" s="31">
        <v>0</v>
      </c>
      <c r="AR319" s="42" t="s">
        <v>1039</v>
      </c>
      <c r="AS319" s="42" t="s">
        <v>1045</v>
      </c>
      <c r="AT319" s="43" t="s">
        <v>1276</v>
      </c>
      <c r="AU319" s="44">
        <v>34</v>
      </c>
      <c r="AV319" s="31">
        <v>2243214.6473719175</v>
      </c>
      <c r="AW319" s="31">
        <v>0</v>
      </c>
      <c r="AX319" s="31">
        <v>0</v>
      </c>
      <c r="AY319" s="31">
        <v>0</v>
      </c>
      <c r="AZ319" s="31">
        <v>158502.66586194525</v>
      </c>
      <c r="BA319" s="31">
        <v>0</v>
      </c>
      <c r="BB319" s="31">
        <v>0</v>
      </c>
      <c r="BC319" s="31">
        <f t="shared" si="23"/>
        <v>2401717.3132338626</v>
      </c>
      <c r="BD319" s="31">
        <v>0</v>
      </c>
    </row>
    <row r="320" spans="2:56">
      <c r="B320" s="42" t="s">
        <v>585</v>
      </c>
      <c r="C320" s="42" t="s">
        <v>586</v>
      </c>
      <c r="D320" s="43" t="s">
        <v>1049</v>
      </c>
      <c r="E320" s="44">
        <v>34</v>
      </c>
      <c r="F320" s="31">
        <v>120762643.90729365</v>
      </c>
      <c r="G320" s="31">
        <v>8316542.2000000002</v>
      </c>
      <c r="H320" s="31">
        <v>7147424.2999999989</v>
      </c>
      <c r="I320" s="31">
        <v>438589.74000000005</v>
      </c>
      <c r="J320" s="31">
        <v>18678756.946355462</v>
      </c>
      <c r="K320" s="31">
        <v>3660685.0027060914</v>
      </c>
      <c r="L320" s="31">
        <v>16369644.889343288</v>
      </c>
      <c r="M320" s="31">
        <f t="shared" si="20"/>
        <v>179873899.96569848</v>
      </c>
      <c r="N320" s="31">
        <v>4499612.9799999995</v>
      </c>
      <c r="P320" s="42" t="s">
        <v>585</v>
      </c>
      <c r="Q320" s="42" t="s">
        <v>586</v>
      </c>
      <c r="R320" s="43" t="s">
        <v>1050</v>
      </c>
      <c r="S320" s="44">
        <v>34</v>
      </c>
      <c r="T320" s="31">
        <v>129892134.54550529</v>
      </c>
      <c r="U320" s="31">
        <v>8931144.5100000016</v>
      </c>
      <c r="V320" s="31">
        <v>7611357.4700000007</v>
      </c>
      <c r="W320" s="31">
        <v>467058.22000000009</v>
      </c>
      <c r="X320" s="31">
        <v>19786964.082911957</v>
      </c>
      <c r="Y320" s="31">
        <v>3669295.2202504734</v>
      </c>
      <c r="Z320" s="31">
        <v>17539646.263220817</v>
      </c>
      <c r="AA320" s="31">
        <f t="shared" si="21"/>
        <v>192614496.63188854</v>
      </c>
      <c r="AB320" s="31">
        <v>4716896.3199999994</v>
      </c>
      <c r="AD320" s="42" t="s">
        <v>585</v>
      </c>
      <c r="AE320" s="42" t="s">
        <v>586</v>
      </c>
      <c r="AF320" s="43" t="s">
        <v>1275</v>
      </c>
      <c r="AG320" s="44">
        <v>34</v>
      </c>
      <c r="AH320" s="31">
        <v>132215013.0312134</v>
      </c>
      <c r="AI320" s="31">
        <v>9085738.1300000008</v>
      </c>
      <c r="AJ320" s="31">
        <v>7744060.29</v>
      </c>
      <c r="AK320" s="31">
        <v>475201.31000000006</v>
      </c>
      <c r="AL320" s="31">
        <v>20134567.412659585</v>
      </c>
      <c r="AM320" s="31">
        <v>3662753.7771454235</v>
      </c>
      <c r="AN320" s="31">
        <v>17848129.739385255</v>
      </c>
      <c r="AO320" s="31">
        <f t="shared" si="22"/>
        <v>195965717.81040365</v>
      </c>
      <c r="AP320" s="31">
        <v>4800254.1199999992</v>
      </c>
      <c r="AR320" s="42" t="s">
        <v>585</v>
      </c>
      <c r="AS320" s="42" t="s">
        <v>586</v>
      </c>
      <c r="AT320" s="43" t="s">
        <v>1276</v>
      </c>
      <c r="AU320" s="44">
        <v>34</v>
      </c>
      <c r="AV320" s="31">
        <v>134699979.31320584</v>
      </c>
      <c r="AW320" s="31">
        <v>9251307.9299999997</v>
      </c>
      <c r="AX320" s="31">
        <v>7886185.0000000009</v>
      </c>
      <c r="AY320" s="31">
        <v>483922.55000000005</v>
      </c>
      <c r="AZ320" s="31">
        <v>20506849.159371011</v>
      </c>
      <c r="BA320" s="31">
        <v>3662940.6755198534</v>
      </c>
      <c r="BB320" s="31">
        <v>18178505.450350963</v>
      </c>
      <c r="BC320" s="31">
        <f t="shared" si="23"/>
        <v>199559220.3884477</v>
      </c>
      <c r="BD320" s="31">
        <v>4889530.3099999996</v>
      </c>
    </row>
    <row r="321" spans="2:56">
      <c r="B321" s="42" t="s">
        <v>507</v>
      </c>
      <c r="C321" s="42" t="s">
        <v>508</v>
      </c>
      <c r="D321" s="43" t="s">
        <v>1049</v>
      </c>
      <c r="E321" s="44">
        <v>34</v>
      </c>
      <c r="F321" s="31">
        <v>42928363.708672002</v>
      </c>
      <c r="G321" s="31">
        <v>1554893.6799999997</v>
      </c>
      <c r="H321" s="31">
        <v>279758.09000000003</v>
      </c>
      <c r="I321" s="31">
        <v>150354.15000000002</v>
      </c>
      <c r="J321" s="31">
        <v>6923918.7120449366</v>
      </c>
      <c r="K321" s="31">
        <v>4122715.3464736412</v>
      </c>
      <c r="L321" s="31">
        <v>3905525.3188300221</v>
      </c>
      <c r="M321" s="31">
        <f t="shared" si="20"/>
        <v>60015006.146020606</v>
      </c>
      <c r="N321" s="31">
        <v>149477.14000000001</v>
      </c>
      <c r="P321" s="42" t="s">
        <v>507</v>
      </c>
      <c r="Q321" s="42" t="s">
        <v>508</v>
      </c>
      <c r="R321" s="43" t="s">
        <v>1050</v>
      </c>
      <c r="S321" s="44">
        <v>34</v>
      </c>
      <c r="T321" s="31">
        <v>45705827.022353441</v>
      </c>
      <c r="U321" s="31">
        <v>1658304.76</v>
      </c>
      <c r="V321" s="31">
        <v>297916.96000000002</v>
      </c>
      <c r="W321" s="31">
        <v>160113.49000000002</v>
      </c>
      <c r="X321" s="31">
        <v>7334658.1009716075</v>
      </c>
      <c r="Y321" s="31">
        <v>4131785.2887370186</v>
      </c>
      <c r="Z321" s="31">
        <v>4145586.6807533791</v>
      </c>
      <c r="AA321" s="31">
        <f t="shared" si="21"/>
        <v>63590887.602815449</v>
      </c>
      <c r="AB321" s="31">
        <v>156695.30000000002</v>
      </c>
      <c r="AD321" s="42" t="s">
        <v>507</v>
      </c>
      <c r="AE321" s="42" t="s">
        <v>508</v>
      </c>
      <c r="AF321" s="43" t="s">
        <v>1275</v>
      </c>
      <c r="AG321" s="44">
        <v>34</v>
      </c>
      <c r="AH321" s="31">
        <v>46523914.320738941</v>
      </c>
      <c r="AI321" s="31">
        <v>1687179.86</v>
      </c>
      <c r="AJ321" s="31">
        <v>303111.09000000003</v>
      </c>
      <c r="AK321" s="31">
        <v>162905.04</v>
      </c>
      <c r="AL321" s="31">
        <v>7463481.6465657298</v>
      </c>
      <c r="AM321" s="31">
        <v>4124894.5788361188</v>
      </c>
      <c r="AN321" s="31">
        <v>4218533.5927234758</v>
      </c>
      <c r="AO321" s="31">
        <f t="shared" si="22"/>
        <v>64643484.578864269</v>
      </c>
      <c r="AP321" s="31">
        <v>159464.45000000001</v>
      </c>
      <c r="AR321" s="42" t="s">
        <v>507</v>
      </c>
      <c r="AS321" s="42" t="s">
        <v>508</v>
      </c>
      <c r="AT321" s="43" t="s">
        <v>1276</v>
      </c>
      <c r="AU321" s="44">
        <v>34</v>
      </c>
      <c r="AV321" s="31">
        <v>47399018.827970438</v>
      </c>
      <c r="AW321" s="31">
        <v>1718105.0900000003</v>
      </c>
      <c r="AX321" s="31">
        <v>308674.01</v>
      </c>
      <c r="AY321" s="31">
        <v>165894.80000000002</v>
      </c>
      <c r="AZ321" s="31">
        <v>7601450.9621979296</v>
      </c>
      <c r="BA321" s="31">
        <v>4125091.4562618588</v>
      </c>
      <c r="BB321" s="31">
        <v>4296657.2464584485</v>
      </c>
      <c r="BC321" s="31">
        <f t="shared" si="23"/>
        <v>65777322.592888676</v>
      </c>
      <c r="BD321" s="31">
        <v>162430.20000000001</v>
      </c>
    </row>
    <row r="322" spans="2:56">
      <c r="B322" s="42" t="s">
        <v>603</v>
      </c>
      <c r="C322" s="42" t="s">
        <v>604</v>
      </c>
      <c r="D322" s="43" t="s">
        <v>1049</v>
      </c>
      <c r="E322" s="44">
        <v>34</v>
      </c>
      <c r="F322" s="31">
        <v>10390294.395494634</v>
      </c>
      <c r="G322" s="31">
        <v>452621.50999999995</v>
      </c>
      <c r="H322" s="31">
        <v>212717.47999999998</v>
      </c>
      <c r="I322" s="31">
        <v>0</v>
      </c>
      <c r="J322" s="31">
        <v>1178648.8546684843</v>
      </c>
      <c r="K322" s="31">
        <v>456020.15379510541</v>
      </c>
      <c r="L322" s="31">
        <v>411482.14304740343</v>
      </c>
      <c r="M322" s="31">
        <f t="shared" si="20"/>
        <v>13461932.85700563</v>
      </c>
      <c r="N322" s="31">
        <v>360148.32</v>
      </c>
      <c r="P322" s="42" t="s">
        <v>603</v>
      </c>
      <c r="Q322" s="42" t="s">
        <v>604</v>
      </c>
      <c r="R322" s="43" t="s">
        <v>1050</v>
      </c>
      <c r="S322" s="44">
        <v>34</v>
      </c>
      <c r="T322" s="31">
        <v>11170875.510440309</v>
      </c>
      <c r="U322" s="31">
        <v>487986.36999999994</v>
      </c>
      <c r="V322" s="31">
        <v>226524.80000000002</v>
      </c>
      <c r="W322" s="31">
        <v>0</v>
      </c>
      <c r="X322" s="31">
        <v>1248580.3378769767</v>
      </c>
      <c r="Y322" s="31">
        <v>456838.71884039062</v>
      </c>
      <c r="Z322" s="31">
        <v>441127.98031731456</v>
      </c>
      <c r="AA322" s="31">
        <f t="shared" si="21"/>
        <v>14409473.367474992</v>
      </c>
      <c r="AB322" s="31">
        <v>377539.64999999997</v>
      </c>
      <c r="AD322" s="42" t="s">
        <v>603</v>
      </c>
      <c r="AE322" s="42" t="s">
        <v>604</v>
      </c>
      <c r="AF322" s="43" t="s">
        <v>1275</v>
      </c>
      <c r="AG322" s="44">
        <v>34</v>
      </c>
      <c r="AH322" s="31">
        <v>11368081.305436585</v>
      </c>
      <c r="AI322" s="31">
        <v>496404.73999999993</v>
      </c>
      <c r="AJ322" s="31">
        <v>230474.23</v>
      </c>
      <c r="AK322" s="31">
        <v>0</v>
      </c>
      <c r="AL322" s="31">
        <v>1270513.1013471319</v>
      </c>
      <c r="AM322" s="31">
        <v>456216.83017800597</v>
      </c>
      <c r="AN322" s="31">
        <v>448889.33470684802</v>
      </c>
      <c r="AO322" s="31">
        <f t="shared" si="22"/>
        <v>14654791.131668571</v>
      </c>
      <c r="AP322" s="31">
        <v>384211.59</v>
      </c>
      <c r="AR322" s="42" t="s">
        <v>603</v>
      </c>
      <c r="AS322" s="42" t="s">
        <v>604</v>
      </c>
      <c r="AT322" s="43" t="s">
        <v>1276</v>
      </c>
      <c r="AU322" s="44">
        <v>34</v>
      </c>
      <c r="AV322" s="31">
        <v>11579210.467216186</v>
      </c>
      <c r="AW322" s="31">
        <v>505420.79999999993</v>
      </c>
      <c r="AX322" s="31">
        <v>234704.05999999997</v>
      </c>
      <c r="AY322" s="31">
        <v>0</v>
      </c>
      <c r="AZ322" s="31">
        <v>1294002.9880870928</v>
      </c>
      <c r="BA322" s="31">
        <v>456234.59842550271</v>
      </c>
      <c r="BB322" s="31">
        <v>457201.48308683839</v>
      </c>
      <c r="BC322" s="31">
        <f t="shared" si="23"/>
        <v>14918131.64681562</v>
      </c>
      <c r="BD322" s="31">
        <v>391357.25</v>
      </c>
    </row>
  </sheetData>
  <autoFilter ref="A4:AW311" xr:uid="{00000000-0009-0000-0000-000010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3">
    <tabColor theme="9" tint="0.59999389629810485"/>
  </sheetPr>
  <dimension ref="A1:AO315"/>
  <sheetViews>
    <sheetView zoomScale="90" zoomScaleNormal="90" workbookViewId="0">
      <pane ySplit="7" topLeftCell="A200" activePane="bottomLeft" state="frozen"/>
      <selection activeCell="C3" sqref="C3:E3"/>
      <selection pane="bottomLeft" activeCell="C3" sqref="C3:E3"/>
    </sheetView>
  </sheetViews>
  <sheetFormatPr defaultColWidth="9.21875" defaultRowHeight="13.8"/>
  <cols>
    <col min="1" max="1" width="6.5546875" style="29" bestFit="1" customWidth="1"/>
    <col min="2" max="2" width="18" style="29" bestFit="1" customWidth="1"/>
    <col min="3" max="3" width="16" style="29" customWidth="1"/>
    <col min="4" max="4" width="14.5546875" style="29" bestFit="1" customWidth="1"/>
    <col min="5" max="5" width="4.77734375" style="47" customWidth="1"/>
    <col min="6" max="6" width="15.77734375" style="29" customWidth="1"/>
    <col min="7" max="7" width="14.5546875" style="29" bestFit="1" customWidth="1"/>
    <col min="8" max="8" width="4.77734375" style="47" customWidth="1"/>
    <col min="9" max="10" width="14.44140625" style="29" customWidth="1"/>
    <col min="11" max="12" width="14.5546875" style="29" customWidth="1"/>
    <col min="13" max="14" width="14.44140625" style="29" customWidth="1"/>
    <col min="15" max="17" width="16" style="29" customWidth="1"/>
    <col min="18" max="20" width="14.44140625" style="29" customWidth="1"/>
    <col min="21" max="21" width="16" style="29" customWidth="1"/>
    <col min="22" max="23" width="15.21875" style="29" customWidth="1"/>
    <col min="24" max="24" width="14.44140625" style="29" customWidth="1"/>
    <col min="25" max="25" width="4.77734375" style="47" customWidth="1"/>
    <col min="26" max="27" width="14.44140625" style="29" customWidth="1"/>
    <col min="28" max="29" width="16" style="29" customWidth="1"/>
    <col min="30" max="31" width="14.44140625" style="29" customWidth="1"/>
    <col min="32" max="41" width="16" style="29" customWidth="1"/>
    <col min="42" max="16384" width="9.21875" style="47"/>
  </cols>
  <sheetData>
    <row r="1" spans="1:41">
      <c r="A1" s="46">
        <v>1</v>
      </c>
      <c r="B1" s="46">
        <f>A1+1</f>
        <v>2</v>
      </c>
      <c r="C1" s="46">
        <f t="shared" ref="C1:AD1" si="0">B1+1</f>
        <v>3</v>
      </c>
      <c r="D1" s="46">
        <f t="shared" si="0"/>
        <v>4</v>
      </c>
      <c r="E1" s="46">
        <f t="shared" si="0"/>
        <v>5</v>
      </c>
      <c r="F1" s="46">
        <f t="shared" si="0"/>
        <v>6</v>
      </c>
      <c r="G1" s="46">
        <f t="shared" si="0"/>
        <v>7</v>
      </c>
      <c r="H1" s="46">
        <f t="shared" si="0"/>
        <v>8</v>
      </c>
      <c r="I1" s="46">
        <f t="shared" si="0"/>
        <v>9</v>
      </c>
      <c r="J1" s="46">
        <f t="shared" si="0"/>
        <v>10</v>
      </c>
      <c r="K1" s="46">
        <f t="shared" si="0"/>
        <v>11</v>
      </c>
      <c r="L1" s="46">
        <f t="shared" si="0"/>
        <v>12</v>
      </c>
      <c r="M1" s="46">
        <f t="shared" si="0"/>
        <v>13</v>
      </c>
      <c r="N1" s="46">
        <f t="shared" si="0"/>
        <v>14</v>
      </c>
      <c r="O1" s="46">
        <f t="shared" si="0"/>
        <v>15</v>
      </c>
      <c r="P1" s="46">
        <f t="shared" si="0"/>
        <v>16</v>
      </c>
      <c r="Q1" s="46">
        <f t="shared" si="0"/>
        <v>17</v>
      </c>
      <c r="R1" s="46">
        <f t="shared" si="0"/>
        <v>18</v>
      </c>
      <c r="S1" s="46">
        <f t="shared" si="0"/>
        <v>19</v>
      </c>
      <c r="T1" s="46">
        <f t="shared" si="0"/>
        <v>20</v>
      </c>
      <c r="U1" s="46">
        <f t="shared" si="0"/>
        <v>21</v>
      </c>
      <c r="V1" s="46">
        <f t="shared" si="0"/>
        <v>22</v>
      </c>
      <c r="W1" s="46">
        <f t="shared" si="0"/>
        <v>23</v>
      </c>
      <c r="X1" s="46">
        <f t="shared" si="0"/>
        <v>24</v>
      </c>
      <c r="Y1" s="46">
        <f t="shared" si="0"/>
        <v>25</v>
      </c>
      <c r="Z1" s="46">
        <f t="shared" si="0"/>
        <v>26</v>
      </c>
      <c r="AA1" s="46">
        <f t="shared" si="0"/>
        <v>27</v>
      </c>
      <c r="AB1" s="46">
        <f t="shared" si="0"/>
        <v>28</v>
      </c>
      <c r="AC1" s="46">
        <f t="shared" si="0"/>
        <v>29</v>
      </c>
      <c r="AD1" s="46">
        <f t="shared" si="0"/>
        <v>30</v>
      </c>
      <c r="AE1" s="46">
        <f t="shared" ref="AE1:AO1" si="1">AD1+1</f>
        <v>31</v>
      </c>
      <c r="AF1" s="46">
        <f t="shared" si="1"/>
        <v>32</v>
      </c>
      <c r="AG1" s="46">
        <f t="shared" si="1"/>
        <v>33</v>
      </c>
      <c r="AH1" s="46">
        <f t="shared" si="1"/>
        <v>34</v>
      </c>
      <c r="AI1" s="46">
        <f t="shared" si="1"/>
        <v>35</v>
      </c>
      <c r="AJ1" s="46">
        <f t="shared" si="1"/>
        <v>36</v>
      </c>
      <c r="AK1" s="46">
        <f t="shared" si="1"/>
        <v>37</v>
      </c>
      <c r="AL1" s="46">
        <f t="shared" si="1"/>
        <v>38</v>
      </c>
      <c r="AM1" s="46">
        <f t="shared" si="1"/>
        <v>39</v>
      </c>
      <c r="AN1" s="46">
        <f t="shared" si="1"/>
        <v>40</v>
      </c>
      <c r="AO1" s="46">
        <f t="shared" si="1"/>
        <v>41</v>
      </c>
    </row>
    <row r="2" spans="1:41" ht="12.75" customHeight="1">
      <c r="A2" s="48"/>
      <c r="B2" s="49"/>
      <c r="C2" s="102" t="s">
        <v>1292</v>
      </c>
      <c r="D2" s="330"/>
      <c r="F2" s="102" t="s">
        <v>1343</v>
      </c>
      <c r="G2" s="330"/>
      <c r="I2" s="488" t="s">
        <v>1013</v>
      </c>
      <c r="J2" s="488"/>
      <c r="K2" s="488"/>
      <c r="L2" s="488"/>
      <c r="M2" s="488"/>
      <c r="N2" s="488"/>
      <c r="O2" s="488"/>
      <c r="P2" s="488"/>
      <c r="Q2" s="489" t="s">
        <v>1377</v>
      </c>
      <c r="R2" s="489"/>
      <c r="S2" s="489"/>
      <c r="T2" s="489"/>
      <c r="U2" s="489"/>
      <c r="V2" s="489"/>
      <c r="W2" s="489"/>
      <c r="X2" s="489"/>
      <c r="Z2" s="74" t="s">
        <v>1217</v>
      </c>
      <c r="AA2" s="329"/>
      <c r="AB2" s="329"/>
      <c r="AC2" s="329"/>
      <c r="AD2" s="329"/>
      <c r="AE2" s="329"/>
      <c r="AF2" s="329"/>
      <c r="AG2" s="329"/>
      <c r="AH2" s="222" t="s">
        <v>1217</v>
      </c>
      <c r="AI2" s="222"/>
      <c r="AJ2" s="222"/>
      <c r="AK2" s="222"/>
      <c r="AL2" s="222"/>
      <c r="AM2" s="222"/>
      <c r="AN2" s="222"/>
      <c r="AO2" s="222"/>
    </row>
    <row r="3" spans="1:41" ht="12.75" customHeight="1">
      <c r="A3" s="48"/>
      <c r="B3" s="49"/>
      <c r="C3" s="480" t="s">
        <v>915</v>
      </c>
      <c r="D3" s="480"/>
      <c r="F3" s="480" t="s">
        <v>1052</v>
      </c>
      <c r="G3" s="480"/>
      <c r="I3" s="481" t="s">
        <v>913</v>
      </c>
      <c r="J3" s="483"/>
      <c r="K3" s="481" t="s">
        <v>914</v>
      </c>
      <c r="L3" s="482"/>
      <c r="M3" s="481" t="s">
        <v>913</v>
      </c>
      <c r="N3" s="483"/>
      <c r="O3" s="481" t="s">
        <v>914</v>
      </c>
      <c r="P3" s="482"/>
      <c r="Q3" s="490"/>
      <c r="R3" s="490"/>
      <c r="S3" s="490"/>
      <c r="T3" s="491"/>
      <c r="U3" s="490"/>
      <c r="V3" s="490"/>
      <c r="W3" s="490"/>
      <c r="X3" s="491"/>
      <c r="Z3" s="484" t="s">
        <v>913</v>
      </c>
      <c r="AA3" s="485"/>
      <c r="AB3" s="484" t="s">
        <v>914</v>
      </c>
      <c r="AC3" s="484"/>
      <c r="AD3" s="484" t="s">
        <v>913</v>
      </c>
      <c r="AE3" s="485"/>
      <c r="AF3" s="484" t="s">
        <v>914</v>
      </c>
      <c r="AG3" s="484"/>
      <c r="AH3" s="486" t="s">
        <v>938</v>
      </c>
      <c r="AI3" s="486"/>
      <c r="AJ3" s="486"/>
      <c r="AK3" s="487"/>
      <c r="AL3" s="486" t="s">
        <v>939</v>
      </c>
      <c r="AM3" s="486"/>
      <c r="AN3" s="486"/>
      <c r="AO3" s="487"/>
    </row>
    <row r="4" spans="1:41" ht="12.75" customHeight="1">
      <c r="A4" s="46"/>
      <c r="B4" s="46"/>
      <c r="C4" s="103" t="s">
        <v>913</v>
      </c>
      <c r="D4" s="104" t="s">
        <v>914</v>
      </c>
      <c r="F4" s="103" t="s">
        <v>913</v>
      </c>
      <c r="G4" s="104" t="s">
        <v>914</v>
      </c>
      <c r="I4" s="50" t="s">
        <v>1052</v>
      </c>
      <c r="J4" s="51" t="s">
        <v>1053</v>
      </c>
      <c r="K4" s="50" t="s">
        <v>1052</v>
      </c>
      <c r="L4" s="51" t="s">
        <v>1053</v>
      </c>
      <c r="M4" s="50" t="s">
        <v>1293</v>
      </c>
      <c r="N4" s="51" t="s">
        <v>1294</v>
      </c>
      <c r="O4" s="50" t="s">
        <v>1293</v>
      </c>
      <c r="P4" s="51" t="s">
        <v>1294</v>
      </c>
      <c r="Q4" s="81" t="s">
        <v>1049</v>
      </c>
      <c r="R4" s="79" t="s">
        <v>1050</v>
      </c>
      <c r="S4" s="79" t="s">
        <v>1275</v>
      </c>
      <c r="T4" s="80" t="s">
        <v>1276</v>
      </c>
      <c r="U4" s="81" t="s">
        <v>1049</v>
      </c>
      <c r="V4" s="79" t="s">
        <v>1050</v>
      </c>
      <c r="W4" s="79" t="s">
        <v>1275</v>
      </c>
      <c r="X4" s="80" t="s">
        <v>1276</v>
      </c>
      <c r="Z4" s="52" t="s">
        <v>1052</v>
      </c>
      <c r="AA4" s="52" t="s">
        <v>1053</v>
      </c>
      <c r="AB4" s="52" t="s">
        <v>1052</v>
      </c>
      <c r="AC4" s="52" t="s">
        <v>1053</v>
      </c>
      <c r="AD4" s="52" t="s">
        <v>1293</v>
      </c>
      <c r="AE4" s="52" t="s">
        <v>1294</v>
      </c>
      <c r="AF4" s="52" t="s">
        <v>1293</v>
      </c>
      <c r="AG4" s="52" t="s">
        <v>1294</v>
      </c>
      <c r="AH4" s="54" t="s">
        <v>1049</v>
      </c>
      <c r="AI4" s="53" t="s">
        <v>1050</v>
      </c>
      <c r="AJ4" s="53" t="s">
        <v>1275</v>
      </c>
      <c r="AK4" s="54" t="s">
        <v>1276</v>
      </c>
      <c r="AL4" s="54" t="s">
        <v>1049</v>
      </c>
      <c r="AM4" s="53" t="s">
        <v>1050</v>
      </c>
      <c r="AN4" s="53" t="s">
        <v>1275</v>
      </c>
      <c r="AO4" s="54" t="s">
        <v>1276</v>
      </c>
    </row>
    <row r="5" spans="1:41">
      <c r="C5" s="55"/>
      <c r="D5" s="56"/>
      <c r="F5" s="55"/>
      <c r="G5" s="56"/>
      <c r="I5" s="56"/>
      <c r="J5" s="55"/>
      <c r="M5" s="55"/>
      <c r="N5" s="56"/>
      <c r="Q5" s="227"/>
      <c r="R5" s="55"/>
      <c r="S5" s="55"/>
      <c r="T5" s="56"/>
      <c r="V5" s="55"/>
      <c r="W5" s="55"/>
      <c r="X5" s="56"/>
      <c r="Z5" s="168"/>
      <c r="AA5" s="169"/>
      <c r="AB5" s="170"/>
      <c r="AC5" s="170"/>
      <c r="AD5" s="168"/>
      <c r="AE5" s="169"/>
      <c r="AF5" s="170"/>
      <c r="AG5" s="170"/>
    </row>
    <row r="6" spans="1:41">
      <c r="A6" s="57" t="s">
        <v>627</v>
      </c>
      <c r="B6" s="46" t="s">
        <v>921</v>
      </c>
      <c r="C6" s="105">
        <f>SUM(C8:C309)</f>
        <v>304859356.43000001</v>
      </c>
      <c r="D6" s="106">
        <f>SUM(D8:D309)</f>
        <v>2211368148</v>
      </c>
      <c r="F6" s="105">
        <f>SUM(F8:F309)</f>
        <v>239591917.97</v>
      </c>
      <c r="G6" s="106">
        <f>SUM(G8:G309)</f>
        <v>2384156731.4899998</v>
      </c>
      <c r="I6" s="59">
        <f t="shared" ref="I6:X6" si="2">SUM(I8:I315)</f>
        <v>239591917.97</v>
      </c>
      <c r="J6" s="249">
        <f t="shared" si="2"/>
        <v>252998242.97000995</v>
      </c>
      <c r="K6" s="61">
        <f t="shared" si="2"/>
        <v>2384156731.4899998</v>
      </c>
      <c r="L6" s="250">
        <f t="shared" si="2"/>
        <v>2391002580.7719007</v>
      </c>
      <c r="M6" s="58">
        <f t="shared" si="2"/>
        <v>231735952.47999251</v>
      </c>
      <c r="N6" s="59">
        <f t="shared" si="2"/>
        <v>219244540.34299192</v>
      </c>
      <c r="O6" s="60">
        <f t="shared" si="2"/>
        <v>2456241957.4740005</v>
      </c>
      <c r="P6" s="61">
        <f t="shared" si="2"/>
        <v>2498893962.4754</v>
      </c>
      <c r="Q6" s="61">
        <f t="shared" si="2"/>
        <v>257866800.73880005</v>
      </c>
      <c r="R6" s="58">
        <f t="shared" si="2"/>
        <v>249244471.97000712</v>
      </c>
      <c r="S6" s="249">
        <f t="shared" si="2"/>
        <v>237689393.8171975</v>
      </c>
      <c r="T6" s="59">
        <f t="shared" si="2"/>
        <v>222742135.7413522</v>
      </c>
      <c r="U6" s="61">
        <f t="shared" si="2"/>
        <v>2302289500.6324377</v>
      </c>
      <c r="V6" s="58">
        <f t="shared" si="2"/>
        <v>2387759017.3821349</v>
      </c>
      <c r="W6" s="249">
        <f t="shared" si="2"/>
        <v>2425331540.7925448</v>
      </c>
      <c r="X6" s="59">
        <f t="shared" si="2"/>
        <v>2478685442.5057359</v>
      </c>
      <c r="Z6" s="62">
        <f t="shared" ref="Z6:AO6" si="3">SUM(Z8:Z315)</f>
        <v>239591917.97</v>
      </c>
      <c r="AA6" s="62">
        <f t="shared" si="3"/>
        <v>288450206.37481481</v>
      </c>
      <c r="AB6" s="62">
        <f t="shared" si="3"/>
        <v>2384156731.4899998</v>
      </c>
      <c r="AC6" s="62">
        <f t="shared" si="3"/>
        <v>2420398546.7810998</v>
      </c>
      <c r="AD6" s="62">
        <f t="shared" si="3"/>
        <v>231735952.47999251</v>
      </c>
      <c r="AE6" s="62">
        <f t="shared" si="3"/>
        <v>219244540.34299192</v>
      </c>
      <c r="AF6" s="62">
        <f t="shared" si="3"/>
        <v>2456241957.4740005</v>
      </c>
      <c r="AG6" s="62">
        <f t="shared" si="3"/>
        <v>2498893962.4754</v>
      </c>
      <c r="AH6" s="62">
        <f t="shared" si="3"/>
        <v>257866800.73880005</v>
      </c>
      <c r="AI6" s="62">
        <f t="shared" si="3"/>
        <v>274769885.62146658</v>
      </c>
      <c r="AJ6" s="62">
        <f t="shared" si="3"/>
        <v>247615943.5705429</v>
      </c>
      <c r="AK6" s="62">
        <f t="shared" si="3"/>
        <v>222742135.7413522</v>
      </c>
      <c r="AL6" s="62">
        <f t="shared" si="3"/>
        <v>2302289500.6324377</v>
      </c>
      <c r="AM6" s="62">
        <f t="shared" si="3"/>
        <v>2403227174.696177</v>
      </c>
      <c r="AN6" s="62">
        <f t="shared" si="3"/>
        <v>2439259349.4877038</v>
      </c>
      <c r="AO6" s="62">
        <f t="shared" si="3"/>
        <v>2478685442.5057359</v>
      </c>
    </row>
    <row r="7" spans="1:41" ht="9" customHeight="1">
      <c r="C7" s="55"/>
      <c r="D7" s="56"/>
      <c r="F7" s="55"/>
      <c r="G7" s="56"/>
      <c r="I7" s="56"/>
      <c r="J7" s="55"/>
      <c r="K7" s="78"/>
      <c r="L7" s="78"/>
      <c r="M7" s="55"/>
      <c r="N7" s="56"/>
      <c r="O7" s="78"/>
      <c r="P7" s="78"/>
      <c r="Q7" s="78"/>
      <c r="R7" s="55"/>
      <c r="S7" s="55"/>
      <c r="T7" s="56"/>
      <c r="U7" s="78"/>
      <c r="V7" s="75"/>
      <c r="W7" s="75"/>
      <c r="X7" s="82"/>
      <c r="Z7" s="55"/>
      <c r="AA7" s="56"/>
      <c r="AD7" s="55"/>
      <c r="AE7" s="56"/>
    </row>
    <row r="8" spans="1:41">
      <c r="A8" s="29" t="s">
        <v>141</v>
      </c>
      <c r="B8" s="29" t="s">
        <v>631</v>
      </c>
      <c r="C8" s="107">
        <v>2986725.54</v>
      </c>
      <c r="D8" s="108">
        <v>5200000</v>
      </c>
      <c r="F8" s="107">
        <v>2413569.41</v>
      </c>
      <c r="G8" s="108">
        <v>4396406</v>
      </c>
      <c r="I8" s="64">
        <v>2413569.41</v>
      </c>
      <c r="J8" s="83">
        <v>2673162.6277999994</v>
      </c>
      <c r="K8" s="66">
        <v>4396406</v>
      </c>
      <c r="L8" s="251">
        <v>4153725.6724999999</v>
      </c>
      <c r="M8" s="63">
        <v>2763166.3313999996</v>
      </c>
      <c r="N8" s="64">
        <v>2877867.4689000007</v>
      </c>
      <c r="O8" s="65">
        <v>4306432.0025000004</v>
      </c>
      <c r="P8" s="66">
        <v>4474124.26</v>
      </c>
      <c r="Q8" s="66">
        <f>(0.28*C8)+(0.72*I8)</f>
        <v>2574053.1264</v>
      </c>
      <c r="R8" s="63">
        <f>(0.28*I8)+(0.72*J8)</f>
        <v>2600476.5268159998</v>
      </c>
      <c r="S8" s="83">
        <f>(0.28*J8)+(0.72*M8)</f>
        <v>2737965.2943919995</v>
      </c>
      <c r="T8" s="64">
        <f>(0.28*M8)+(0.72*N8)</f>
        <v>2845751.1504000006</v>
      </c>
      <c r="U8" s="66">
        <f>(0.4738*D8)+(0.5262*G8)</f>
        <v>4777148.8372</v>
      </c>
      <c r="V8" s="63">
        <f>(0.4738*G8)+(0.5262*L8)</f>
        <v>4268707.6116694994</v>
      </c>
      <c r="W8" s="83">
        <f>(0.4738*L8)+(0.5262*O8)</f>
        <v>4234079.7433460001</v>
      </c>
      <c r="X8" s="64">
        <f>(0.4738*O8)+(0.5262*P8)</f>
        <v>4394671.6683964999</v>
      </c>
      <c r="Z8" s="67">
        <v>2413569.41</v>
      </c>
      <c r="AA8" s="68">
        <v>3427108.9182999986</v>
      </c>
      <c r="AB8" s="69">
        <v>4396406</v>
      </c>
      <c r="AC8" s="70">
        <v>4153725.6724999999</v>
      </c>
      <c r="AD8" s="67">
        <v>2763166.3313999996</v>
      </c>
      <c r="AE8" s="68">
        <v>2877867.4689000007</v>
      </c>
      <c r="AF8" s="69">
        <v>4306432.0025000004</v>
      </c>
      <c r="AG8" s="70">
        <v>4474124.26</v>
      </c>
      <c r="AH8" s="70">
        <f>(0.28*C8)+(0.72*Z8)</f>
        <v>2574053.1264</v>
      </c>
      <c r="AI8" s="70">
        <f>(0.28*Z8)+(0.72*AA8)</f>
        <v>3143317.8559759995</v>
      </c>
      <c r="AJ8" s="70">
        <f>(0.28*AA8)+(0.72*AD8)</f>
        <v>2949070.2557319994</v>
      </c>
      <c r="AK8" s="70">
        <f>(0.28*AD8)+(0.72*AE8)</f>
        <v>2845751.1504000006</v>
      </c>
      <c r="AL8" s="70">
        <f>(0.4738*D8)+(0.5262*G8)</f>
        <v>4777148.8372</v>
      </c>
      <c r="AM8" s="70">
        <f>(0.4738*G8)+(0.5262*AC8)</f>
        <v>4268707.6116694994</v>
      </c>
      <c r="AN8" s="70">
        <f>(0.4738*AC8)+(0.5262*AF8)</f>
        <v>4234079.7433460001</v>
      </c>
      <c r="AO8" s="70">
        <f>(0.4738*AF8)+(0.5262*AG8)</f>
        <v>4394671.6683964999</v>
      </c>
    </row>
    <row r="9" spans="1:41">
      <c r="A9" s="29" t="s">
        <v>279</v>
      </c>
      <c r="B9" s="29" t="s">
        <v>632</v>
      </c>
      <c r="C9" s="107">
        <v>189108.11</v>
      </c>
      <c r="D9" s="108">
        <v>906687</v>
      </c>
      <c r="F9" s="107">
        <v>41514.769999999997</v>
      </c>
      <c r="G9" s="108">
        <v>1015489</v>
      </c>
      <c r="I9" s="64">
        <v>41514.769999999997</v>
      </c>
      <c r="J9" s="83">
        <v>41653.814299999976</v>
      </c>
      <c r="K9" s="66">
        <v>1015489</v>
      </c>
      <c r="L9" s="251">
        <v>1015489</v>
      </c>
      <c r="M9" s="63">
        <v>3775.0664379999416</v>
      </c>
      <c r="N9" s="64">
        <v>0</v>
      </c>
      <c r="O9" s="65">
        <v>1015489</v>
      </c>
      <c r="P9" s="66">
        <v>1015489</v>
      </c>
      <c r="Q9" s="66">
        <f t="shared" ref="Q9:Q72" si="4">(0.28*C9)+(0.72*I9)</f>
        <v>82840.905199999994</v>
      </c>
      <c r="R9" s="63">
        <f t="shared" ref="R9:R72" si="5">(0.28*I9)+(0.72*J9)</f>
        <v>41614.881895999984</v>
      </c>
      <c r="S9" s="83">
        <f t="shared" ref="S9:S72" si="6">(0.28*J9)+(0.72*M9)</f>
        <v>14381.115839359953</v>
      </c>
      <c r="T9" s="64">
        <f t="shared" ref="T9:T72" si="7">(0.28*M9)+(0.72*N9)</f>
        <v>1057.0186026399838</v>
      </c>
      <c r="U9" s="66">
        <f t="shared" ref="U9:U72" si="8">(0.4738*D9)+(0.5262*G9)</f>
        <v>963938.61239999998</v>
      </c>
      <c r="V9" s="63">
        <f t="shared" ref="V9:V72" si="9">(0.4738*G9)+(0.5262*L9)</f>
        <v>1015489</v>
      </c>
      <c r="W9" s="83">
        <f t="shared" ref="W9:W72" si="10">(0.4738*L9)+(0.5262*O9)</f>
        <v>1015489</v>
      </c>
      <c r="X9" s="64">
        <f t="shared" ref="X9:X72" si="11">(0.4738*O9)+(0.5262*P9)</f>
        <v>1015489</v>
      </c>
      <c r="Z9" s="67">
        <v>41514.769999999997</v>
      </c>
      <c r="AA9" s="68">
        <v>142227.35409999988</v>
      </c>
      <c r="AB9" s="69">
        <v>1015489</v>
      </c>
      <c r="AC9" s="70">
        <v>1015489</v>
      </c>
      <c r="AD9" s="67">
        <v>3775.0664379999416</v>
      </c>
      <c r="AE9" s="68">
        <v>0</v>
      </c>
      <c r="AF9" s="69">
        <v>1015489</v>
      </c>
      <c r="AG9" s="70">
        <v>1015489</v>
      </c>
      <c r="AH9" s="70">
        <f t="shared" ref="AH9:AH72" si="12">(0.28*C9)+(0.72*Z9)</f>
        <v>82840.905199999994</v>
      </c>
      <c r="AI9" s="70">
        <f t="shared" ref="AI9:AI72" si="13">(0.28*Z9)+(0.72*AA9)</f>
        <v>114027.8305519999</v>
      </c>
      <c r="AJ9" s="70">
        <f t="shared" ref="AJ9:AJ72" si="14">(0.28*AA9)+(0.72*AD9)</f>
        <v>42541.706983359931</v>
      </c>
      <c r="AK9" s="70">
        <f t="shared" ref="AK9:AK72" si="15">(0.28*AD9)+(0.72*AE9)</f>
        <v>1057.0186026399838</v>
      </c>
      <c r="AL9" s="70">
        <f t="shared" ref="AL9:AL72" si="16">(0.4738*D9)+(0.5262*G9)</f>
        <v>963938.61239999998</v>
      </c>
      <c r="AM9" s="70">
        <f t="shared" ref="AM9:AM72" si="17">(0.4738*G9)+(0.5262*AC9)</f>
        <v>1015489</v>
      </c>
      <c r="AN9" s="70">
        <f t="shared" ref="AN9:AN72" si="18">(0.4738*AC9)+(0.5262*AF9)</f>
        <v>1015489</v>
      </c>
      <c r="AO9" s="70">
        <f t="shared" ref="AO9:AO72" si="19">(0.4738*AF9)+(0.5262*AG9)</f>
        <v>1015489</v>
      </c>
    </row>
    <row r="10" spans="1:41">
      <c r="A10" s="29" t="s">
        <v>301</v>
      </c>
      <c r="B10" s="29" t="s">
        <v>888</v>
      </c>
      <c r="C10" s="107">
        <v>27036.52</v>
      </c>
      <c r="D10" s="108">
        <v>195758</v>
      </c>
      <c r="F10" s="107">
        <v>26229.93</v>
      </c>
      <c r="G10" s="108">
        <v>215000</v>
      </c>
      <c r="I10" s="64">
        <v>26229.93</v>
      </c>
      <c r="J10" s="83">
        <v>28406.522000000001</v>
      </c>
      <c r="K10" s="66">
        <v>215000</v>
      </c>
      <c r="L10" s="251">
        <v>209625.75</v>
      </c>
      <c r="M10" s="63">
        <v>25945.18349999997</v>
      </c>
      <c r="N10" s="64">
        <v>30322.887000000006</v>
      </c>
      <c r="O10" s="65">
        <v>215000</v>
      </c>
      <c r="P10" s="66">
        <v>215000</v>
      </c>
      <c r="Q10" s="66">
        <f t="shared" si="4"/>
        <v>26455.7752</v>
      </c>
      <c r="R10" s="63">
        <f t="shared" si="5"/>
        <v>27797.076240000002</v>
      </c>
      <c r="S10" s="83">
        <f t="shared" si="6"/>
        <v>26634.358279999979</v>
      </c>
      <c r="T10" s="64">
        <f t="shared" si="7"/>
        <v>29097.130019999997</v>
      </c>
      <c r="U10" s="66">
        <f t="shared" si="8"/>
        <v>205883.1404</v>
      </c>
      <c r="V10" s="63">
        <f t="shared" si="9"/>
        <v>212172.06965000002</v>
      </c>
      <c r="W10" s="83">
        <f t="shared" si="10"/>
        <v>212453.68034999998</v>
      </c>
      <c r="X10" s="64">
        <f t="shared" si="11"/>
        <v>215000</v>
      </c>
      <c r="Z10" s="67">
        <v>26229.93</v>
      </c>
      <c r="AA10" s="68">
        <v>36879.425299999995</v>
      </c>
      <c r="AB10" s="69">
        <v>215000</v>
      </c>
      <c r="AC10" s="70">
        <v>209625.75</v>
      </c>
      <c r="AD10" s="67">
        <v>25945.18349999997</v>
      </c>
      <c r="AE10" s="68">
        <v>30322.887000000006</v>
      </c>
      <c r="AF10" s="69">
        <v>215000</v>
      </c>
      <c r="AG10" s="70">
        <v>215000</v>
      </c>
      <c r="AH10" s="70">
        <f t="shared" si="12"/>
        <v>26455.7752</v>
      </c>
      <c r="AI10" s="70">
        <f t="shared" si="13"/>
        <v>33897.566615999996</v>
      </c>
      <c r="AJ10" s="70">
        <f t="shared" si="14"/>
        <v>29006.771203999975</v>
      </c>
      <c r="AK10" s="70">
        <f t="shared" si="15"/>
        <v>29097.130019999997</v>
      </c>
      <c r="AL10" s="70">
        <f t="shared" si="16"/>
        <v>205883.1404</v>
      </c>
      <c r="AM10" s="70">
        <f t="shared" si="17"/>
        <v>212172.06965000002</v>
      </c>
      <c r="AN10" s="70">
        <f t="shared" si="18"/>
        <v>212453.68034999998</v>
      </c>
      <c r="AO10" s="70">
        <f t="shared" si="19"/>
        <v>215000</v>
      </c>
    </row>
    <row r="11" spans="1:41">
      <c r="A11" s="29" t="s">
        <v>407</v>
      </c>
      <c r="B11" s="29" t="s">
        <v>633</v>
      </c>
      <c r="C11" s="107">
        <v>0</v>
      </c>
      <c r="D11" s="108">
        <v>6965794</v>
      </c>
      <c r="F11" s="107">
        <v>0</v>
      </c>
      <c r="G11" s="108">
        <v>7335234</v>
      </c>
      <c r="I11" s="64">
        <v>0</v>
      </c>
      <c r="J11" s="83">
        <v>0</v>
      </c>
      <c r="K11" s="66">
        <v>7335234</v>
      </c>
      <c r="L11" s="251">
        <v>7276532.8149999995</v>
      </c>
      <c r="M11" s="63">
        <v>0</v>
      </c>
      <c r="N11" s="64">
        <v>0</v>
      </c>
      <c r="O11" s="65">
        <v>7528706.6116000004</v>
      </c>
      <c r="P11" s="66">
        <v>7826983.5643999996</v>
      </c>
      <c r="Q11" s="66">
        <f t="shared" si="4"/>
        <v>0</v>
      </c>
      <c r="R11" s="63">
        <f t="shared" si="5"/>
        <v>0</v>
      </c>
      <c r="S11" s="83">
        <f t="shared" si="6"/>
        <v>0</v>
      </c>
      <c r="T11" s="64">
        <f t="shared" si="7"/>
        <v>0</v>
      </c>
      <c r="U11" s="66">
        <f t="shared" si="8"/>
        <v>7160193.3279999997</v>
      </c>
      <c r="V11" s="63">
        <f t="shared" si="9"/>
        <v>7304345.4364529997</v>
      </c>
      <c r="W11" s="83">
        <f t="shared" si="10"/>
        <v>7409226.6667709202</v>
      </c>
      <c r="X11" s="64">
        <f t="shared" si="11"/>
        <v>7685659.9441633597</v>
      </c>
      <c r="Z11" s="67">
        <v>0</v>
      </c>
      <c r="AA11" s="68">
        <v>0</v>
      </c>
      <c r="AB11" s="69">
        <v>7335234</v>
      </c>
      <c r="AC11" s="70">
        <v>7701998.7630000003</v>
      </c>
      <c r="AD11" s="67">
        <v>0</v>
      </c>
      <c r="AE11" s="68">
        <v>0</v>
      </c>
      <c r="AF11" s="69">
        <v>7528706.6116000004</v>
      </c>
      <c r="AG11" s="70">
        <v>7826983.5643999996</v>
      </c>
      <c r="AH11" s="70">
        <f t="shared" si="12"/>
        <v>0</v>
      </c>
      <c r="AI11" s="70">
        <f t="shared" si="13"/>
        <v>0</v>
      </c>
      <c r="AJ11" s="70">
        <f t="shared" si="14"/>
        <v>0</v>
      </c>
      <c r="AK11" s="70">
        <f t="shared" si="15"/>
        <v>0</v>
      </c>
      <c r="AL11" s="70">
        <f t="shared" si="16"/>
        <v>7160193.3279999997</v>
      </c>
      <c r="AM11" s="70">
        <f t="shared" si="17"/>
        <v>7528225.6182906004</v>
      </c>
      <c r="AN11" s="70">
        <f t="shared" si="18"/>
        <v>7610812.4329333203</v>
      </c>
      <c r="AO11" s="70">
        <f t="shared" si="19"/>
        <v>7685659.9441633597</v>
      </c>
    </row>
    <row r="12" spans="1:41">
      <c r="A12" s="29" t="s">
        <v>431</v>
      </c>
      <c r="B12" s="29" t="s">
        <v>634</v>
      </c>
      <c r="C12" s="107">
        <v>829878.63</v>
      </c>
      <c r="D12" s="108">
        <v>8950000</v>
      </c>
      <c r="F12" s="107">
        <v>0</v>
      </c>
      <c r="G12" s="108">
        <v>9200000</v>
      </c>
      <c r="I12" s="64">
        <v>0</v>
      </c>
      <c r="J12" s="83">
        <v>0</v>
      </c>
      <c r="K12" s="66">
        <v>9200000</v>
      </c>
      <c r="L12" s="251">
        <v>9500000</v>
      </c>
      <c r="M12" s="63">
        <v>0</v>
      </c>
      <c r="N12" s="64">
        <v>0</v>
      </c>
      <c r="O12" s="65">
        <v>9750000</v>
      </c>
      <c r="P12" s="66">
        <v>9750000</v>
      </c>
      <c r="Q12" s="66">
        <f t="shared" si="4"/>
        <v>232366.01640000002</v>
      </c>
      <c r="R12" s="63">
        <f t="shared" si="5"/>
        <v>0</v>
      </c>
      <c r="S12" s="83">
        <f t="shared" si="6"/>
        <v>0</v>
      </c>
      <c r="T12" s="64">
        <f t="shared" si="7"/>
        <v>0</v>
      </c>
      <c r="U12" s="66">
        <f t="shared" si="8"/>
        <v>9081550</v>
      </c>
      <c r="V12" s="63">
        <f t="shared" si="9"/>
        <v>9357860</v>
      </c>
      <c r="W12" s="83">
        <f t="shared" si="10"/>
        <v>9631550</v>
      </c>
      <c r="X12" s="64">
        <f t="shared" si="11"/>
        <v>9750000</v>
      </c>
      <c r="Z12" s="67">
        <v>0</v>
      </c>
      <c r="AA12" s="68">
        <v>129457.03401599849</v>
      </c>
      <c r="AB12" s="69">
        <v>9200000</v>
      </c>
      <c r="AC12" s="70">
        <v>9500000</v>
      </c>
      <c r="AD12" s="67">
        <v>0</v>
      </c>
      <c r="AE12" s="68">
        <v>0</v>
      </c>
      <c r="AF12" s="69">
        <v>9750000</v>
      </c>
      <c r="AG12" s="70">
        <v>9750000</v>
      </c>
      <c r="AH12" s="70">
        <f t="shared" si="12"/>
        <v>232366.01640000002</v>
      </c>
      <c r="AI12" s="70">
        <f t="shared" si="13"/>
        <v>93209.064491518904</v>
      </c>
      <c r="AJ12" s="70">
        <f t="shared" si="14"/>
        <v>36247.96952447958</v>
      </c>
      <c r="AK12" s="70">
        <f t="shared" si="15"/>
        <v>0</v>
      </c>
      <c r="AL12" s="70">
        <f t="shared" si="16"/>
        <v>9081550</v>
      </c>
      <c r="AM12" s="70">
        <f t="shared" si="17"/>
        <v>9357860</v>
      </c>
      <c r="AN12" s="70">
        <f t="shared" si="18"/>
        <v>9631550</v>
      </c>
      <c r="AO12" s="70">
        <f t="shared" si="19"/>
        <v>9750000</v>
      </c>
    </row>
    <row r="13" spans="1:41">
      <c r="A13" s="29" t="s">
        <v>15</v>
      </c>
      <c r="B13" s="29" t="s">
        <v>635</v>
      </c>
      <c r="C13" s="107">
        <v>362607.99</v>
      </c>
      <c r="D13" s="108">
        <v>648000</v>
      </c>
      <c r="F13" s="107">
        <v>387045.17</v>
      </c>
      <c r="G13" s="108">
        <v>1018827</v>
      </c>
      <c r="I13" s="64">
        <v>387045.17</v>
      </c>
      <c r="J13" s="83">
        <v>409641.99159999989</v>
      </c>
      <c r="K13" s="66">
        <v>1018827</v>
      </c>
      <c r="L13" s="251">
        <v>1049392</v>
      </c>
      <c r="M13" s="63">
        <v>424299.68459999998</v>
      </c>
      <c r="N13" s="64">
        <v>424728.67619999987</v>
      </c>
      <c r="O13" s="65">
        <v>1080874</v>
      </c>
      <c r="P13" s="66">
        <v>1113300</v>
      </c>
      <c r="Q13" s="66">
        <f t="shared" si="4"/>
        <v>380202.75959999999</v>
      </c>
      <c r="R13" s="63">
        <f t="shared" si="5"/>
        <v>403314.88155199995</v>
      </c>
      <c r="S13" s="83">
        <f t="shared" si="6"/>
        <v>420195.53055999993</v>
      </c>
      <c r="T13" s="64">
        <f t="shared" si="7"/>
        <v>424608.55855199991</v>
      </c>
      <c r="U13" s="66">
        <f t="shared" si="8"/>
        <v>843129.16740000003</v>
      </c>
      <c r="V13" s="63">
        <f t="shared" si="9"/>
        <v>1034910.303</v>
      </c>
      <c r="W13" s="83">
        <f t="shared" si="10"/>
        <v>1065957.8284</v>
      </c>
      <c r="X13" s="64">
        <f t="shared" si="11"/>
        <v>1097936.5611999999</v>
      </c>
      <c r="Z13" s="67">
        <v>387045.17</v>
      </c>
      <c r="AA13" s="68">
        <v>409641.99159999989</v>
      </c>
      <c r="AB13" s="69">
        <v>1018827</v>
      </c>
      <c r="AC13" s="70">
        <v>1049392</v>
      </c>
      <c r="AD13" s="67">
        <v>424299.68459999998</v>
      </c>
      <c r="AE13" s="68">
        <v>424728.67619999987</v>
      </c>
      <c r="AF13" s="69">
        <v>1080874</v>
      </c>
      <c r="AG13" s="70">
        <v>1113300</v>
      </c>
      <c r="AH13" s="70">
        <f t="shared" si="12"/>
        <v>380202.75959999999</v>
      </c>
      <c r="AI13" s="70">
        <f t="shared" si="13"/>
        <v>403314.88155199995</v>
      </c>
      <c r="AJ13" s="70">
        <f t="shared" si="14"/>
        <v>420195.53055999993</v>
      </c>
      <c r="AK13" s="70">
        <f t="shared" si="15"/>
        <v>424608.55855199991</v>
      </c>
      <c r="AL13" s="70">
        <f t="shared" si="16"/>
        <v>843129.16740000003</v>
      </c>
      <c r="AM13" s="70">
        <f t="shared" si="17"/>
        <v>1034910.303</v>
      </c>
      <c r="AN13" s="70">
        <f t="shared" si="18"/>
        <v>1065957.8284</v>
      </c>
      <c r="AO13" s="70">
        <f t="shared" si="19"/>
        <v>1097936.5611999999</v>
      </c>
    </row>
    <row r="14" spans="1:41">
      <c r="A14" s="29" t="s">
        <v>205</v>
      </c>
      <c r="B14" s="29" t="s">
        <v>636</v>
      </c>
      <c r="C14" s="107">
        <v>4860881</v>
      </c>
      <c r="D14" s="108">
        <v>37652132</v>
      </c>
      <c r="F14" s="107">
        <v>3215379.65</v>
      </c>
      <c r="G14" s="108">
        <v>41187668</v>
      </c>
      <c r="I14" s="64">
        <v>3215379.65</v>
      </c>
      <c r="J14" s="83">
        <v>3148136.3697000002</v>
      </c>
      <c r="K14" s="66">
        <v>41187668</v>
      </c>
      <c r="L14" s="251">
        <v>42958152.884999998</v>
      </c>
      <c r="M14" s="63">
        <v>2672433.0807000026</v>
      </c>
      <c r="N14" s="64">
        <v>2914456.5386999981</v>
      </c>
      <c r="O14" s="65">
        <v>45430642.085000001</v>
      </c>
      <c r="P14" s="66">
        <v>47015517.452500001</v>
      </c>
      <c r="Q14" s="66">
        <f t="shared" si="4"/>
        <v>3676120.0279999999</v>
      </c>
      <c r="R14" s="63">
        <f t="shared" si="5"/>
        <v>3166964.4881840004</v>
      </c>
      <c r="S14" s="83">
        <f t="shared" si="6"/>
        <v>2805630.0016200021</v>
      </c>
      <c r="T14" s="64">
        <f t="shared" si="7"/>
        <v>2846689.9704599995</v>
      </c>
      <c r="U14" s="66">
        <f t="shared" si="8"/>
        <v>39512531.043200001</v>
      </c>
      <c r="V14" s="63">
        <f t="shared" si="9"/>
        <v>42119297.146486998</v>
      </c>
      <c r="W14" s="83">
        <f t="shared" si="10"/>
        <v>44259176.702040002</v>
      </c>
      <c r="X14" s="64">
        <f t="shared" si="11"/>
        <v>46264603.503378496</v>
      </c>
      <c r="Z14" s="67">
        <v>3215379.65</v>
      </c>
      <c r="AA14" s="68">
        <v>4613060.4956</v>
      </c>
      <c r="AB14" s="69">
        <v>41187668</v>
      </c>
      <c r="AC14" s="70">
        <v>42958152.884999998</v>
      </c>
      <c r="AD14" s="67">
        <v>2672433.0807000026</v>
      </c>
      <c r="AE14" s="68">
        <v>2914456.5386999981</v>
      </c>
      <c r="AF14" s="69">
        <v>45430642.085000001</v>
      </c>
      <c r="AG14" s="70">
        <v>47015517.452500001</v>
      </c>
      <c r="AH14" s="70">
        <f t="shared" si="12"/>
        <v>3676120.0279999999</v>
      </c>
      <c r="AI14" s="70">
        <f t="shared" si="13"/>
        <v>4221709.8588319998</v>
      </c>
      <c r="AJ14" s="70">
        <f t="shared" si="14"/>
        <v>3215808.756872002</v>
      </c>
      <c r="AK14" s="70">
        <f t="shared" si="15"/>
        <v>2846689.9704599995</v>
      </c>
      <c r="AL14" s="70">
        <f t="shared" si="16"/>
        <v>39512531.043200001</v>
      </c>
      <c r="AM14" s="70">
        <f t="shared" si="17"/>
        <v>42119297.146486998</v>
      </c>
      <c r="AN14" s="70">
        <f t="shared" si="18"/>
        <v>44259176.702040002</v>
      </c>
      <c r="AO14" s="70">
        <f t="shared" si="19"/>
        <v>46264603.503378496</v>
      </c>
    </row>
    <row r="15" spans="1:41">
      <c r="A15" s="29" t="s">
        <v>229</v>
      </c>
      <c r="B15" s="29" t="s">
        <v>896</v>
      </c>
      <c r="C15" s="107">
        <v>0</v>
      </c>
      <c r="D15" s="108">
        <v>9822589</v>
      </c>
      <c r="F15" s="107">
        <v>0</v>
      </c>
      <c r="G15" s="108">
        <v>10000000</v>
      </c>
      <c r="I15" s="64">
        <v>0</v>
      </c>
      <c r="J15" s="83">
        <v>0</v>
      </c>
      <c r="K15" s="66">
        <v>10000000</v>
      </c>
      <c r="L15" s="251">
        <v>10300000</v>
      </c>
      <c r="M15" s="63">
        <v>0</v>
      </c>
      <c r="N15" s="64">
        <v>0</v>
      </c>
      <c r="O15" s="65">
        <v>10500000</v>
      </c>
      <c r="P15" s="66">
        <v>10500000</v>
      </c>
      <c r="Q15" s="66">
        <f t="shared" si="4"/>
        <v>0</v>
      </c>
      <c r="R15" s="63">
        <f t="shared" si="5"/>
        <v>0</v>
      </c>
      <c r="S15" s="83">
        <f t="shared" si="6"/>
        <v>0</v>
      </c>
      <c r="T15" s="64">
        <f t="shared" si="7"/>
        <v>0</v>
      </c>
      <c r="U15" s="66">
        <f t="shared" si="8"/>
        <v>9915942.6682000011</v>
      </c>
      <c r="V15" s="63">
        <f t="shared" si="9"/>
        <v>10157860</v>
      </c>
      <c r="W15" s="83">
        <f t="shared" si="10"/>
        <v>10405240</v>
      </c>
      <c r="X15" s="64">
        <f t="shared" si="11"/>
        <v>10500000</v>
      </c>
      <c r="Z15" s="67">
        <v>0</v>
      </c>
      <c r="AA15" s="68">
        <v>0</v>
      </c>
      <c r="AB15" s="69">
        <v>10000000</v>
      </c>
      <c r="AC15" s="70">
        <v>10300000</v>
      </c>
      <c r="AD15" s="67">
        <v>0</v>
      </c>
      <c r="AE15" s="68">
        <v>0</v>
      </c>
      <c r="AF15" s="69">
        <v>10500000</v>
      </c>
      <c r="AG15" s="70">
        <v>10500000</v>
      </c>
      <c r="AH15" s="70">
        <f t="shared" si="12"/>
        <v>0</v>
      </c>
      <c r="AI15" s="70">
        <f t="shared" si="13"/>
        <v>0</v>
      </c>
      <c r="AJ15" s="70">
        <f t="shared" si="14"/>
        <v>0</v>
      </c>
      <c r="AK15" s="70">
        <f t="shared" si="15"/>
        <v>0</v>
      </c>
      <c r="AL15" s="70">
        <f t="shared" si="16"/>
        <v>9915942.6682000011</v>
      </c>
      <c r="AM15" s="70">
        <f t="shared" si="17"/>
        <v>10157860</v>
      </c>
      <c r="AN15" s="70">
        <f t="shared" si="18"/>
        <v>10405240</v>
      </c>
      <c r="AO15" s="70">
        <f t="shared" si="19"/>
        <v>10500000</v>
      </c>
    </row>
    <row r="16" spans="1:41">
      <c r="A16" s="29" t="s">
        <v>69</v>
      </c>
      <c r="B16" s="29" t="s">
        <v>637</v>
      </c>
      <c r="C16" s="107">
        <v>2478004.85</v>
      </c>
      <c r="D16" s="108">
        <v>28308300</v>
      </c>
      <c r="F16" s="107">
        <v>0</v>
      </c>
      <c r="G16" s="108">
        <v>26750000</v>
      </c>
      <c r="I16" s="64">
        <v>0</v>
      </c>
      <c r="J16" s="83">
        <v>0</v>
      </c>
      <c r="K16" s="66">
        <v>26750000</v>
      </c>
      <c r="L16" s="251">
        <v>28200000</v>
      </c>
      <c r="M16" s="63">
        <v>0</v>
      </c>
      <c r="N16" s="64">
        <v>0</v>
      </c>
      <c r="O16" s="65">
        <v>29650000</v>
      </c>
      <c r="P16" s="66">
        <v>31100000</v>
      </c>
      <c r="Q16" s="66">
        <f t="shared" si="4"/>
        <v>693841.35800000012</v>
      </c>
      <c r="R16" s="63">
        <f t="shared" si="5"/>
        <v>0</v>
      </c>
      <c r="S16" s="83">
        <f t="shared" si="6"/>
        <v>0</v>
      </c>
      <c r="T16" s="64">
        <f t="shared" si="7"/>
        <v>0</v>
      </c>
      <c r="U16" s="66">
        <f t="shared" si="8"/>
        <v>27488322.539999999</v>
      </c>
      <c r="V16" s="63">
        <f t="shared" si="9"/>
        <v>27512990</v>
      </c>
      <c r="W16" s="83">
        <f t="shared" si="10"/>
        <v>28962990</v>
      </c>
      <c r="X16" s="64">
        <f t="shared" si="11"/>
        <v>30412990</v>
      </c>
      <c r="Z16" s="67">
        <v>0</v>
      </c>
      <c r="AA16" s="68">
        <v>650205.925899997</v>
      </c>
      <c r="AB16" s="69">
        <v>26750000</v>
      </c>
      <c r="AC16" s="70">
        <v>28200000</v>
      </c>
      <c r="AD16" s="67">
        <v>0</v>
      </c>
      <c r="AE16" s="68">
        <v>0</v>
      </c>
      <c r="AF16" s="69">
        <v>29650000</v>
      </c>
      <c r="AG16" s="70">
        <v>31100000</v>
      </c>
      <c r="AH16" s="70">
        <f t="shared" si="12"/>
        <v>693841.35800000012</v>
      </c>
      <c r="AI16" s="70">
        <f t="shared" si="13"/>
        <v>468148.26664799784</v>
      </c>
      <c r="AJ16" s="70">
        <f t="shared" si="14"/>
        <v>182057.65925199917</v>
      </c>
      <c r="AK16" s="70">
        <f t="shared" si="15"/>
        <v>0</v>
      </c>
      <c r="AL16" s="70">
        <f t="shared" si="16"/>
        <v>27488322.539999999</v>
      </c>
      <c r="AM16" s="70">
        <f t="shared" si="17"/>
        <v>27512990</v>
      </c>
      <c r="AN16" s="70">
        <f t="shared" si="18"/>
        <v>28962990</v>
      </c>
      <c r="AO16" s="70">
        <f t="shared" si="19"/>
        <v>30412990</v>
      </c>
    </row>
    <row r="17" spans="1:41">
      <c r="A17" s="29" t="s">
        <v>199</v>
      </c>
      <c r="B17" s="29" t="s">
        <v>638</v>
      </c>
      <c r="C17" s="107">
        <v>0</v>
      </c>
      <c r="D17" s="108">
        <v>68000000</v>
      </c>
      <c r="F17" s="107">
        <v>0</v>
      </c>
      <c r="G17" s="108">
        <v>70000000</v>
      </c>
      <c r="I17" s="64">
        <v>0</v>
      </c>
      <c r="J17" s="83">
        <v>0</v>
      </c>
      <c r="K17" s="66">
        <v>70000000</v>
      </c>
      <c r="L17" s="251">
        <v>57109735.739999995</v>
      </c>
      <c r="M17" s="63">
        <v>0</v>
      </c>
      <c r="N17" s="64">
        <v>0</v>
      </c>
      <c r="O17" s="65">
        <v>59088954.910700001</v>
      </c>
      <c r="P17" s="66">
        <v>61429859.968399994</v>
      </c>
      <c r="Q17" s="66">
        <f t="shared" si="4"/>
        <v>0</v>
      </c>
      <c r="R17" s="63">
        <f t="shared" si="5"/>
        <v>0</v>
      </c>
      <c r="S17" s="83">
        <f t="shared" si="6"/>
        <v>0</v>
      </c>
      <c r="T17" s="64">
        <f t="shared" si="7"/>
        <v>0</v>
      </c>
      <c r="U17" s="66">
        <f t="shared" si="8"/>
        <v>69052400</v>
      </c>
      <c r="V17" s="63">
        <f t="shared" si="9"/>
        <v>63217142.946387999</v>
      </c>
      <c r="W17" s="83">
        <f t="shared" si="10"/>
        <v>58151200.867622331</v>
      </c>
      <c r="X17" s="64">
        <f t="shared" si="11"/>
        <v>60320739.152061738</v>
      </c>
      <c r="Z17" s="67">
        <v>0</v>
      </c>
      <c r="AA17" s="68">
        <v>0</v>
      </c>
      <c r="AB17" s="69">
        <v>70000000</v>
      </c>
      <c r="AC17" s="70">
        <v>59135304.848999999</v>
      </c>
      <c r="AD17" s="67">
        <v>0</v>
      </c>
      <c r="AE17" s="68">
        <v>0</v>
      </c>
      <c r="AF17" s="69">
        <v>59088954.910700001</v>
      </c>
      <c r="AG17" s="70">
        <v>61429859.968399994</v>
      </c>
      <c r="AH17" s="70">
        <f t="shared" si="12"/>
        <v>0</v>
      </c>
      <c r="AI17" s="70">
        <f t="shared" si="13"/>
        <v>0</v>
      </c>
      <c r="AJ17" s="70">
        <f t="shared" si="14"/>
        <v>0</v>
      </c>
      <c r="AK17" s="70">
        <f t="shared" si="15"/>
        <v>0</v>
      </c>
      <c r="AL17" s="70">
        <f t="shared" si="16"/>
        <v>69052400</v>
      </c>
      <c r="AM17" s="70">
        <f t="shared" si="17"/>
        <v>64282997.411543801</v>
      </c>
      <c r="AN17" s="70">
        <f t="shared" si="18"/>
        <v>59110915.511466533</v>
      </c>
      <c r="AO17" s="70">
        <f t="shared" si="19"/>
        <v>60320739.152061738</v>
      </c>
    </row>
    <row r="18" spans="1:41">
      <c r="A18" s="29" t="s">
        <v>539</v>
      </c>
      <c r="B18" s="29" t="s">
        <v>639</v>
      </c>
      <c r="C18" s="107">
        <v>0</v>
      </c>
      <c r="D18" s="108">
        <v>31000000</v>
      </c>
      <c r="F18" s="107">
        <v>0</v>
      </c>
      <c r="G18" s="108">
        <v>32000000</v>
      </c>
      <c r="I18" s="64">
        <v>0</v>
      </c>
      <c r="J18" s="83">
        <v>0</v>
      </c>
      <c r="K18" s="66">
        <v>32000000</v>
      </c>
      <c r="L18" s="251">
        <v>32740525.869800001</v>
      </c>
      <c r="M18" s="63">
        <v>0</v>
      </c>
      <c r="N18" s="64">
        <v>0</v>
      </c>
      <c r="O18" s="65">
        <v>33875211.953699999</v>
      </c>
      <c r="P18" s="66">
        <v>35000000</v>
      </c>
      <c r="Q18" s="66">
        <f t="shared" si="4"/>
        <v>0</v>
      </c>
      <c r="R18" s="63">
        <f t="shared" si="5"/>
        <v>0</v>
      </c>
      <c r="S18" s="83">
        <f t="shared" si="6"/>
        <v>0</v>
      </c>
      <c r="T18" s="64">
        <f t="shared" si="7"/>
        <v>0</v>
      </c>
      <c r="U18" s="66">
        <f t="shared" si="8"/>
        <v>31526200</v>
      </c>
      <c r="V18" s="63">
        <f t="shared" si="9"/>
        <v>32389664.712688759</v>
      </c>
      <c r="W18" s="83">
        <f t="shared" si="10"/>
        <v>33337597.687148176</v>
      </c>
      <c r="X18" s="64">
        <f t="shared" si="11"/>
        <v>34467075.423663057</v>
      </c>
      <c r="Z18" s="67">
        <v>0</v>
      </c>
      <c r="AA18" s="68">
        <v>0</v>
      </c>
      <c r="AB18" s="69">
        <v>32000000</v>
      </c>
      <c r="AC18" s="70">
        <v>33301375.1976</v>
      </c>
      <c r="AD18" s="67">
        <v>0</v>
      </c>
      <c r="AE18" s="68">
        <v>0</v>
      </c>
      <c r="AF18" s="69">
        <v>33875211.953699999</v>
      </c>
      <c r="AG18" s="70">
        <v>35000000</v>
      </c>
      <c r="AH18" s="70">
        <f t="shared" si="12"/>
        <v>0</v>
      </c>
      <c r="AI18" s="70">
        <f t="shared" si="13"/>
        <v>0</v>
      </c>
      <c r="AJ18" s="70">
        <f t="shared" si="14"/>
        <v>0</v>
      </c>
      <c r="AK18" s="70">
        <f t="shared" si="15"/>
        <v>0</v>
      </c>
      <c r="AL18" s="70">
        <f t="shared" si="16"/>
        <v>31526200</v>
      </c>
      <c r="AM18" s="70">
        <f t="shared" si="17"/>
        <v>32684783.62897712</v>
      </c>
      <c r="AN18" s="70">
        <f t="shared" si="18"/>
        <v>33603328.098659813</v>
      </c>
      <c r="AO18" s="70">
        <f t="shared" si="19"/>
        <v>34467075.423663057</v>
      </c>
    </row>
    <row r="19" spans="1:41">
      <c r="A19" s="29" t="s">
        <v>5</v>
      </c>
      <c r="B19" s="29" t="s">
        <v>909</v>
      </c>
      <c r="C19" s="107">
        <v>0</v>
      </c>
      <c r="D19" s="108">
        <v>50000</v>
      </c>
      <c r="F19" s="107">
        <v>0</v>
      </c>
      <c r="G19" s="108">
        <v>50000</v>
      </c>
      <c r="I19" s="64">
        <v>0</v>
      </c>
      <c r="J19" s="83">
        <v>0</v>
      </c>
      <c r="K19" s="66">
        <v>50000</v>
      </c>
      <c r="L19" s="251">
        <v>47210.02399999999</v>
      </c>
      <c r="M19" s="63">
        <v>0</v>
      </c>
      <c r="N19" s="64">
        <v>0</v>
      </c>
      <c r="O19" s="65">
        <v>48201.403999999995</v>
      </c>
      <c r="P19" s="66">
        <v>49261.827999999994</v>
      </c>
      <c r="Q19" s="66">
        <f t="shared" si="4"/>
        <v>0</v>
      </c>
      <c r="R19" s="63">
        <f t="shared" si="5"/>
        <v>0</v>
      </c>
      <c r="S19" s="83">
        <f t="shared" si="6"/>
        <v>0</v>
      </c>
      <c r="T19" s="64">
        <f t="shared" si="7"/>
        <v>0</v>
      </c>
      <c r="U19" s="66">
        <f t="shared" si="8"/>
        <v>50000</v>
      </c>
      <c r="V19" s="63">
        <f t="shared" si="9"/>
        <v>48531.91462879999</v>
      </c>
      <c r="W19" s="83">
        <f t="shared" si="10"/>
        <v>47731.688155999989</v>
      </c>
      <c r="X19" s="64">
        <f t="shared" si="11"/>
        <v>48759.399108799997</v>
      </c>
      <c r="Z19" s="67">
        <v>0</v>
      </c>
      <c r="AA19" s="68">
        <v>0</v>
      </c>
      <c r="AB19" s="69">
        <v>50000</v>
      </c>
      <c r="AC19" s="70">
        <v>50000</v>
      </c>
      <c r="AD19" s="67">
        <v>0</v>
      </c>
      <c r="AE19" s="68">
        <v>0</v>
      </c>
      <c r="AF19" s="69">
        <v>48201.403999999995</v>
      </c>
      <c r="AG19" s="70">
        <v>49261.827999999994</v>
      </c>
      <c r="AH19" s="70">
        <f t="shared" si="12"/>
        <v>0</v>
      </c>
      <c r="AI19" s="70">
        <f t="shared" si="13"/>
        <v>0</v>
      </c>
      <c r="AJ19" s="70">
        <f t="shared" si="14"/>
        <v>0</v>
      </c>
      <c r="AK19" s="70">
        <f t="shared" si="15"/>
        <v>0</v>
      </c>
      <c r="AL19" s="70">
        <f t="shared" si="16"/>
        <v>50000</v>
      </c>
      <c r="AM19" s="70">
        <f t="shared" si="17"/>
        <v>50000</v>
      </c>
      <c r="AN19" s="70">
        <f t="shared" si="18"/>
        <v>49053.578784799996</v>
      </c>
      <c r="AO19" s="70">
        <f t="shared" si="19"/>
        <v>48759.399108799997</v>
      </c>
    </row>
    <row r="20" spans="1:41">
      <c r="A20" s="29" t="s">
        <v>383</v>
      </c>
      <c r="B20" s="29" t="s">
        <v>640</v>
      </c>
      <c r="C20" s="107">
        <v>9928658.5099999998</v>
      </c>
      <c r="D20" s="108">
        <v>34000000</v>
      </c>
      <c r="F20" s="107">
        <v>6400652.2599999998</v>
      </c>
      <c r="G20" s="108">
        <v>39000000</v>
      </c>
      <c r="I20" s="64">
        <v>6400652.2599999998</v>
      </c>
      <c r="J20" s="83">
        <v>6214636.3967000004</v>
      </c>
      <c r="K20" s="66">
        <v>39000000</v>
      </c>
      <c r="L20" s="251">
        <v>39000000</v>
      </c>
      <c r="M20" s="63">
        <v>6042375.4437000044</v>
      </c>
      <c r="N20" s="64">
        <v>6118399.1000999985</v>
      </c>
      <c r="O20" s="65">
        <v>39000000</v>
      </c>
      <c r="P20" s="66">
        <v>39000000</v>
      </c>
      <c r="Q20" s="66">
        <f t="shared" si="4"/>
        <v>7388494.0099999998</v>
      </c>
      <c r="R20" s="63">
        <f t="shared" si="5"/>
        <v>6266720.838424</v>
      </c>
      <c r="S20" s="83">
        <f t="shared" si="6"/>
        <v>6090608.510540003</v>
      </c>
      <c r="T20" s="64">
        <f t="shared" si="7"/>
        <v>6097112.4763080003</v>
      </c>
      <c r="U20" s="66">
        <f t="shared" si="8"/>
        <v>36631000</v>
      </c>
      <c r="V20" s="63">
        <f t="shared" si="9"/>
        <v>39000000</v>
      </c>
      <c r="W20" s="83">
        <f t="shared" si="10"/>
        <v>39000000</v>
      </c>
      <c r="X20" s="64">
        <f t="shared" si="11"/>
        <v>39000000</v>
      </c>
      <c r="Z20" s="67">
        <v>6400652.2599999998</v>
      </c>
      <c r="AA20" s="68">
        <v>6982046.9653999973</v>
      </c>
      <c r="AB20" s="69">
        <v>39000000</v>
      </c>
      <c r="AC20" s="70">
        <v>39000000</v>
      </c>
      <c r="AD20" s="67">
        <v>6042375.4437000044</v>
      </c>
      <c r="AE20" s="68">
        <v>6118399.1000999985</v>
      </c>
      <c r="AF20" s="69">
        <v>39000000</v>
      </c>
      <c r="AG20" s="70">
        <v>39000000</v>
      </c>
      <c r="AH20" s="70">
        <f t="shared" si="12"/>
        <v>7388494.0099999998</v>
      </c>
      <c r="AI20" s="70">
        <f t="shared" si="13"/>
        <v>6819256.4478879981</v>
      </c>
      <c r="AJ20" s="70">
        <f t="shared" si="14"/>
        <v>6305483.4697760027</v>
      </c>
      <c r="AK20" s="70">
        <f t="shared" si="15"/>
        <v>6097112.4763080003</v>
      </c>
      <c r="AL20" s="70">
        <f t="shared" si="16"/>
        <v>36631000</v>
      </c>
      <c r="AM20" s="70">
        <f t="shared" si="17"/>
        <v>39000000</v>
      </c>
      <c r="AN20" s="70">
        <f t="shared" si="18"/>
        <v>39000000</v>
      </c>
      <c r="AO20" s="70">
        <f t="shared" si="19"/>
        <v>39000000</v>
      </c>
    </row>
    <row r="21" spans="1:41">
      <c r="A21" s="29" t="s">
        <v>253</v>
      </c>
      <c r="B21" s="29" t="s">
        <v>894</v>
      </c>
      <c r="C21" s="107">
        <v>0</v>
      </c>
      <c r="D21" s="108">
        <v>300000</v>
      </c>
      <c r="F21" s="107">
        <v>0</v>
      </c>
      <c r="G21" s="108">
        <v>300000</v>
      </c>
      <c r="I21" s="64">
        <v>0</v>
      </c>
      <c r="J21" s="83">
        <v>0</v>
      </c>
      <c r="K21" s="66">
        <v>300000</v>
      </c>
      <c r="L21" s="251">
        <v>289478.04959999997</v>
      </c>
      <c r="M21" s="63">
        <v>0</v>
      </c>
      <c r="N21" s="64">
        <v>0</v>
      </c>
      <c r="O21" s="65">
        <v>299642.26450000005</v>
      </c>
      <c r="P21" s="66">
        <v>300000</v>
      </c>
      <c r="Q21" s="66">
        <f t="shared" si="4"/>
        <v>0</v>
      </c>
      <c r="R21" s="63">
        <f t="shared" si="5"/>
        <v>0</v>
      </c>
      <c r="S21" s="83">
        <f t="shared" si="6"/>
        <v>0</v>
      </c>
      <c r="T21" s="64">
        <f t="shared" si="7"/>
        <v>0</v>
      </c>
      <c r="U21" s="66">
        <f t="shared" si="8"/>
        <v>300000</v>
      </c>
      <c r="V21" s="63">
        <f t="shared" si="9"/>
        <v>294463.34969951998</v>
      </c>
      <c r="W21" s="83">
        <f t="shared" si="10"/>
        <v>294826.45948038</v>
      </c>
      <c r="X21" s="64">
        <f t="shared" si="11"/>
        <v>299830.50492010004</v>
      </c>
      <c r="Z21" s="67">
        <v>0</v>
      </c>
      <c r="AA21" s="68">
        <v>0</v>
      </c>
      <c r="AB21" s="69">
        <v>300000</v>
      </c>
      <c r="AC21" s="70">
        <v>300000</v>
      </c>
      <c r="AD21" s="67">
        <v>0</v>
      </c>
      <c r="AE21" s="68">
        <v>0</v>
      </c>
      <c r="AF21" s="69">
        <v>299642.26450000005</v>
      </c>
      <c r="AG21" s="70">
        <v>300000</v>
      </c>
      <c r="AH21" s="70">
        <f t="shared" si="12"/>
        <v>0</v>
      </c>
      <c r="AI21" s="70">
        <f t="shared" si="13"/>
        <v>0</v>
      </c>
      <c r="AJ21" s="70">
        <f t="shared" si="14"/>
        <v>0</v>
      </c>
      <c r="AK21" s="70">
        <f t="shared" si="15"/>
        <v>0</v>
      </c>
      <c r="AL21" s="70">
        <f t="shared" si="16"/>
        <v>300000</v>
      </c>
      <c r="AM21" s="70">
        <f t="shared" si="17"/>
        <v>300000</v>
      </c>
      <c r="AN21" s="70">
        <f t="shared" si="18"/>
        <v>299811.75957990001</v>
      </c>
      <c r="AO21" s="70">
        <f t="shared" si="19"/>
        <v>299830.50492010004</v>
      </c>
    </row>
    <row r="22" spans="1:41">
      <c r="A22" s="29" t="s">
        <v>543</v>
      </c>
      <c r="B22" s="29" t="s">
        <v>641</v>
      </c>
      <c r="C22" s="107">
        <v>0</v>
      </c>
      <c r="D22" s="108">
        <v>5783172</v>
      </c>
      <c r="F22" s="107">
        <v>0</v>
      </c>
      <c r="G22" s="108">
        <v>6082990</v>
      </c>
      <c r="I22" s="64">
        <v>0</v>
      </c>
      <c r="J22" s="83">
        <v>0</v>
      </c>
      <c r="K22" s="66">
        <v>6082990</v>
      </c>
      <c r="L22" s="251">
        <v>6182267.7891999995</v>
      </c>
      <c r="M22" s="63">
        <v>0</v>
      </c>
      <c r="N22" s="64">
        <v>0</v>
      </c>
      <c r="O22" s="65">
        <v>6396532.0484999996</v>
      </c>
      <c r="P22" s="66">
        <v>6649956.2898999993</v>
      </c>
      <c r="Q22" s="66">
        <f t="shared" si="4"/>
        <v>0</v>
      </c>
      <c r="R22" s="63">
        <f t="shared" si="5"/>
        <v>0</v>
      </c>
      <c r="S22" s="83">
        <f t="shared" si="6"/>
        <v>0</v>
      </c>
      <c r="T22" s="64">
        <f t="shared" si="7"/>
        <v>0</v>
      </c>
      <c r="U22" s="66">
        <f t="shared" si="8"/>
        <v>5940936.2315999996</v>
      </c>
      <c r="V22" s="63">
        <f t="shared" si="9"/>
        <v>6135229.9726770399</v>
      </c>
      <c r="W22" s="83">
        <f t="shared" si="10"/>
        <v>6295013.6424436588</v>
      </c>
      <c r="X22" s="64">
        <f t="shared" si="11"/>
        <v>6529883.8843246792</v>
      </c>
      <c r="Z22" s="67">
        <v>0</v>
      </c>
      <c r="AA22" s="68">
        <v>0</v>
      </c>
      <c r="AB22" s="69">
        <v>6082990</v>
      </c>
      <c r="AC22" s="70">
        <v>6387142.0214</v>
      </c>
      <c r="AD22" s="67">
        <v>0</v>
      </c>
      <c r="AE22" s="68">
        <v>0</v>
      </c>
      <c r="AF22" s="69">
        <v>6396532.0484999996</v>
      </c>
      <c r="AG22" s="70">
        <v>6649956.2898999993</v>
      </c>
      <c r="AH22" s="70">
        <f t="shared" si="12"/>
        <v>0</v>
      </c>
      <c r="AI22" s="70">
        <f t="shared" si="13"/>
        <v>0</v>
      </c>
      <c r="AJ22" s="70">
        <f t="shared" si="14"/>
        <v>0</v>
      </c>
      <c r="AK22" s="70">
        <f t="shared" si="15"/>
        <v>0</v>
      </c>
      <c r="AL22" s="70">
        <f t="shared" si="16"/>
        <v>5940936.2315999996</v>
      </c>
      <c r="AM22" s="70">
        <f t="shared" si="17"/>
        <v>6243034.7936606798</v>
      </c>
      <c r="AN22" s="70">
        <f t="shared" si="18"/>
        <v>6392083.0536600202</v>
      </c>
      <c r="AO22" s="70">
        <f t="shared" si="19"/>
        <v>6529883.8843246792</v>
      </c>
    </row>
    <row r="23" spans="1:41">
      <c r="A23" s="29" t="s">
        <v>283</v>
      </c>
      <c r="B23" s="29" t="s">
        <v>890</v>
      </c>
      <c r="C23" s="107">
        <v>0</v>
      </c>
      <c r="D23" s="108">
        <v>250000</v>
      </c>
      <c r="F23" s="107">
        <v>0</v>
      </c>
      <c r="G23" s="108">
        <v>250847</v>
      </c>
      <c r="I23" s="64">
        <v>0</v>
      </c>
      <c r="J23" s="83">
        <v>0</v>
      </c>
      <c r="K23" s="66">
        <v>250847</v>
      </c>
      <c r="L23" s="251">
        <v>250000</v>
      </c>
      <c r="M23" s="63">
        <v>0</v>
      </c>
      <c r="N23" s="64">
        <v>0</v>
      </c>
      <c r="O23" s="65">
        <v>250000</v>
      </c>
      <c r="P23" s="66">
        <v>250000</v>
      </c>
      <c r="Q23" s="66">
        <f t="shared" si="4"/>
        <v>0</v>
      </c>
      <c r="R23" s="63">
        <f t="shared" si="5"/>
        <v>0</v>
      </c>
      <c r="S23" s="83">
        <f t="shared" si="6"/>
        <v>0</v>
      </c>
      <c r="T23" s="64">
        <f t="shared" si="7"/>
        <v>0</v>
      </c>
      <c r="U23" s="66">
        <f t="shared" si="8"/>
        <v>250445.69140000001</v>
      </c>
      <c r="V23" s="63">
        <f t="shared" si="9"/>
        <v>250401.30859999999</v>
      </c>
      <c r="W23" s="83">
        <f t="shared" si="10"/>
        <v>250000</v>
      </c>
      <c r="X23" s="64">
        <f t="shared" si="11"/>
        <v>250000</v>
      </c>
      <c r="Z23" s="67">
        <v>0</v>
      </c>
      <c r="AA23" s="68">
        <v>0</v>
      </c>
      <c r="AB23" s="69">
        <v>250847</v>
      </c>
      <c r="AC23" s="70">
        <v>250000</v>
      </c>
      <c r="AD23" s="67">
        <v>0</v>
      </c>
      <c r="AE23" s="68">
        <v>0</v>
      </c>
      <c r="AF23" s="69">
        <v>250000</v>
      </c>
      <c r="AG23" s="70">
        <v>250000</v>
      </c>
      <c r="AH23" s="70">
        <f t="shared" si="12"/>
        <v>0</v>
      </c>
      <c r="AI23" s="70">
        <f t="shared" si="13"/>
        <v>0</v>
      </c>
      <c r="AJ23" s="70">
        <f t="shared" si="14"/>
        <v>0</v>
      </c>
      <c r="AK23" s="70">
        <f t="shared" si="15"/>
        <v>0</v>
      </c>
      <c r="AL23" s="70">
        <f t="shared" si="16"/>
        <v>250445.69140000001</v>
      </c>
      <c r="AM23" s="70">
        <f t="shared" si="17"/>
        <v>250401.30859999999</v>
      </c>
      <c r="AN23" s="70">
        <f t="shared" si="18"/>
        <v>250000</v>
      </c>
      <c r="AO23" s="70">
        <f t="shared" si="19"/>
        <v>250000</v>
      </c>
    </row>
    <row r="24" spans="1:41">
      <c r="A24" s="29" t="s">
        <v>227</v>
      </c>
      <c r="B24" s="29" t="s">
        <v>642</v>
      </c>
      <c r="C24" s="107">
        <v>0</v>
      </c>
      <c r="D24" s="108">
        <v>12787991</v>
      </c>
      <c r="F24" s="107">
        <v>0</v>
      </c>
      <c r="G24" s="108">
        <v>13508597</v>
      </c>
      <c r="I24" s="64">
        <v>0</v>
      </c>
      <c r="J24" s="83">
        <v>0</v>
      </c>
      <c r="K24" s="66">
        <v>13508597</v>
      </c>
      <c r="L24" s="251">
        <v>13327879.147400001</v>
      </c>
      <c r="M24" s="63">
        <v>0</v>
      </c>
      <c r="N24" s="64">
        <v>0</v>
      </c>
      <c r="O24" s="65">
        <v>13789775.0802</v>
      </c>
      <c r="P24" s="66">
        <v>14336063.041299999</v>
      </c>
      <c r="Q24" s="66">
        <f t="shared" si="4"/>
        <v>0</v>
      </c>
      <c r="R24" s="63">
        <f t="shared" si="5"/>
        <v>0</v>
      </c>
      <c r="S24" s="83">
        <f t="shared" si="6"/>
        <v>0</v>
      </c>
      <c r="T24" s="64">
        <f t="shared" si="7"/>
        <v>0</v>
      </c>
      <c r="U24" s="66">
        <f t="shared" si="8"/>
        <v>13167173.8772</v>
      </c>
      <c r="V24" s="63">
        <f t="shared" si="9"/>
        <v>13413503.265961882</v>
      </c>
      <c r="W24" s="83">
        <f t="shared" si="10"/>
        <v>13570928.787239362</v>
      </c>
      <c r="X24" s="64">
        <f t="shared" si="11"/>
        <v>14077231.80533082</v>
      </c>
      <c r="Z24" s="67">
        <v>0</v>
      </c>
      <c r="AA24" s="68">
        <v>0</v>
      </c>
      <c r="AB24" s="69">
        <v>13508597</v>
      </c>
      <c r="AC24" s="70">
        <v>13851143</v>
      </c>
      <c r="AD24" s="67">
        <v>0</v>
      </c>
      <c r="AE24" s="68">
        <v>0</v>
      </c>
      <c r="AF24" s="69">
        <v>13789775.0802</v>
      </c>
      <c r="AG24" s="70">
        <v>14336063.041299999</v>
      </c>
      <c r="AH24" s="70">
        <f t="shared" si="12"/>
        <v>0</v>
      </c>
      <c r="AI24" s="70">
        <f t="shared" si="13"/>
        <v>0</v>
      </c>
      <c r="AJ24" s="70">
        <f t="shared" si="14"/>
        <v>0</v>
      </c>
      <c r="AK24" s="70">
        <f t="shared" si="15"/>
        <v>0</v>
      </c>
      <c r="AL24" s="70">
        <f t="shared" si="16"/>
        <v>13167173.8772</v>
      </c>
      <c r="AM24" s="70">
        <f t="shared" si="17"/>
        <v>13688844.705200002</v>
      </c>
      <c r="AN24" s="70">
        <f t="shared" si="18"/>
        <v>13818851.200601239</v>
      </c>
      <c r="AO24" s="70">
        <f t="shared" si="19"/>
        <v>14077231.80533082</v>
      </c>
    </row>
    <row r="25" spans="1:41">
      <c r="A25" s="29" t="s">
        <v>333</v>
      </c>
      <c r="B25" s="29" t="s">
        <v>643</v>
      </c>
      <c r="C25" s="107">
        <v>810208.08</v>
      </c>
      <c r="D25" s="108">
        <v>931940</v>
      </c>
      <c r="F25" s="107">
        <v>808789.44</v>
      </c>
      <c r="G25" s="108">
        <v>1144955</v>
      </c>
      <c r="I25" s="64">
        <v>808789.44</v>
      </c>
      <c r="J25" s="83">
        <v>827013.09819999989</v>
      </c>
      <c r="K25" s="66">
        <v>1144955</v>
      </c>
      <c r="L25" s="251">
        <v>1384679</v>
      </c>
      <c r="M25" s="63">
        <v>855978.87239999988</v>
      </c>
      <c r="N25" s="64">
        <v>876206.92559999996</v>
      </c>
      <c r="O25" s="65">
        <v>1453530.825</v>
      </c>
      <c r="P25" s="66">
        <v>1488530</v>
      </c>
      <c r="Q25" s="66">
        <f t="shared" si="4"/>
        <v>809186.65919999999</v>
      </c>
      <c r="R25" s="63">
        <f t="shared" si="5"/>
        <v>821910.4739039999</v>
      </c>
      <c r="S25" s="83">
        <f t="shared" si="6"/>
        <v>847868.45562399982</v>
      </c>
      <c r="T25" s="64">
        <f t="shared" si="7"/>
        <v>870543.07070399995</v>
      </c>
      <c r="U25" s="66">
        <f t="shared" si="8"/>
        <v>1044028.493</v>
      </c>
      <c r="V25" s="63">
        <f t="shared" si="9"/>
        <v>1271097.7688</v>
      </c>
      <c r="W25" s="83">
        <f t="shared" si="10"/>
        <v>1420908.8303149999</v>
      </c>
      <c r="X25" s="64">
        <f t="shared" si="11"/>
        <v>1471947.3908850001</v>
      </c>
      <c r="Z25" s="67">
        <v>808789.44</v>
      </c>
      <c r="AA25" s="68">
        <v>863711.24959999998</v>
      </c>
      <c r="AB25" s="69">
        <v>1144955</v>
      </c>
      <c r="AC25" s="70">
        <v>1384679</v>
      </c>
      <c r="AD25" s="67">
        <v>855978.87239999988</v>
      </c>
      <c r="AE25" s="68">
        <v>876206.92559999996</v>
      </c>
      <c r="AF25" s="69">
        <v>1453530.825</v>
      </c>
      <c r="AG25" s="70">
        <v>1488530</v>
      </c>
      <c r="AH25" s="70">
        <f t="shared" si="12"/>
        <v>809186.65919999999</v>
      </c>
      <c r="AI25" s="70">
        <f t="shared" si="13"/>
        <v>848333.14291199995</v>
      </c>
      <c r="AJ25" s="70">
        <f t="shared" si="14"/>
        <v>858143.93801599985</v>
      </c>
      <c r="AK25" s="70">
        <f t="shared" si="15"/>
        <v>870543.07070399995</v>
      </c>
      <c r="AL25" s="70">
        <f t="shared" si="16"/>
        <v>1044028.493</v>
      </c>
      <c r="AM25" s="70">
        <f t="shared" si="17"/>
        <v>1271097.7688</v>
      </c>
      <c r="AN25" s="70">
        <f t="shared" si="18"/>
        <v>1420908.8303149999</v>
      </c>
      <c r="AO25" s="70">
        <f t="shared" si="19"/>
        <v>1471947.3908850001</v>
      </c>
    </row>
    <row r="26" spans="1:41">
      <c r="A26" s="29" t="s">
        <v>91</v>
      </c>
      <c r="B26" s="29" t="s">
        <v>644</v>
      </c>
      <c r="C26" s="107">
        <v>1002764.28</v>
      </c>
      <c r="D26" s="108">
        <v>280674</v>
      </c>
      <c r="F26" s="107">
        <v>996216.33</v>
      </c>
      <c r="G26" s="108">
        <v>297738.62</v>
      </c>
      <c r="I26" s="64">
        <v>996216.33</v>
      </c>
      <c r="J26" s="83">
        <v>1052843.6793</v>
      </c>
      <c r="K26" s="66">
        <v>297738.62</v>
      </c>
      <c r="L26" s="251">
        <v>315366</v>
      </c>
      <c r="M26" s="63">
        <v>1088839.4391000001</v>
      </c>
      <c r="N26" s="64">
        <v>1123040.2131000001</v>
      </c>
      <c r="O26" s="65">
        <v>334287</v>
      </c>
      <c r="P26" s="66">
        <v>334287</v>
      </c>
      <c r="Q26" s="66">
        <f t="shared" si="4"/>
        <v>998049.75599999994</v>
      </c>
      <c r="R26" s="63">
        <f t="shared" si="5"/>
        <v>1036988.021496</v>
      </c>
      <c r="S26" s="83">
        <f t="shared" si="6"/>
        <v>1078760.6263560001</v>
      </c>
      <c r="T26" s="64">
        <f t="shared" si="7"/>
        <v>1113463.9963800001</v>
      </c>
      <c r="U26" s="66">
        <f t="shared" si="8"/>
        <v>289653.40304400004</v>
      </c>
      <c r="V26" s="63">
        <f t="shared" si="9"/>
        <v>307014.14735599997</v>
      </c>
      <c r="W26" s="83">
        <f t="shared" si="10"/>
        <v>325322.23019999999</v>
      </c>
      <c r="X26" s="64">
        <f t="shared" si="11"/>
        <v>334287</v>
      </c>
      <c r="Z26" s="67">
        <v>996216.33</v>
      </c>
      <c r="AA26" s="68">
        <v>1097197.6406</v>
      </c>
      <c r="AB26" s="69">
        <v>297738.62</v>
      </c>
      <c r="AC26" s="70">
        <v>315366</v>
      </c>
      <c r="AD26" s="67">
        <v>1088839.4391000001</v>
      </c>
      <c r="AE26" s="68">
        <v>1123040.2131000001</v>
      </c>
      <c r="AF26" s="69">
        <v>334287</v>
      </c>
      <c r="AG26" s="70">
        <v>334287</v>
      </c>
      <c r="AH26" s="70">
        <f t="shared" si="12"/>
        <v>998049.75599999994</v>
      </c>
      <c r="AI26" s="70">
        <f t="shared" si="13"/>
        <v>1068922.8736320001</v>
      </c>
      <c r="AJ26" s="70">
        <f t="shared" si="14"/>
        <v>1091179.7355200001</v>
      </c>
      <c r="AK26" s="70">
        <f t="shared" si="15"/>
        <v>1113463.9963800001</v>
      </c>
      <c r="AL26" s="70">
        <f t="shared" si="16"/>
        <v>289653.40304400004</v>
      </c>
      <c r="AM26" s="70">
        <f t="shared" si="17"/>
        <v>307014.14735599997</v>
      </c>
      <c r="AN26" s="70">
        <f t="shared" si="18"/>
        <v>325322.23019999999</v>
      </c>
      <c r="AO26" s="70">
        <f t="shared" si="19"/>
        <v>334287</v>
      </c>
    </row>
    <row r="27" spans="1:41">
      <c r="A27" s="29" t="s">
        <v>175</v>
      </c>
      <c r="B27" s="29" t="s">
        <v>898</v>
      </c>
      <c r="C27" s="107">
        <v>0</v>
      </c>
      <c r="D27" s="108">
        <v>247019</v>
      </c>
      <c r="F27" s="107">
        <v>0</v>
      </c>
      <c r="G27" s="108">
        <v>327561.46000000002</v>
      </c>
      <c r="I27" s="64">
        <v>0</v>
      </c>
      <c r="J27" s="83">
        <v>0</v>
      </c>
      <c r="K27" s="66">
        <v>327561.46000000002</v>
      </c>
      <c r="L27" s="251">
        <v>327395</v>
      </c>
      <c r="M27" s="63">
        <v>0</v>
      </c>
      <c r="N27" s="64">
        <v>0</v>
      </c>
      <c r="O27" s="65">
        <v>327395</v>
      </c>
      <c r="P27" s="66">
        <v>327395</v>
      </c>
      <c r="Q27" s="66">
        <f t="shared" si="4"/>
        <v>0</v>
      </c>
      <c r="R27" s="63">
        <f t="shared" si="5"/>
        <v>0</v>
      </c>
      <c r="S27" s="83">
        <f t="shared" si="6"/>
        <v>0</v>
      </c>
      <c r="T27" s="64">
        <f t="shared" si="7"/>
        <v>0</v>
      </c>
      <c r="U27" s="66">
        <f t="shared" si="8"/>
        <v>289400.44245199999</v>
      </c>
      <c r="V27" s="63">
        <f t="shared" si="9"/>
        <v>327473.86874800001</v>
      </c>
      <c r="W27" s="83">
        <f t="shared" si="10"/>
        <v>327395</v>
      </c>
      <c r="X27" s="64">
        <f t="shared" si="11"/>
        <v>327395</v>
      </c>
      <c r="Z27" s="67">
        <v>0</v>
      </c>
      <c r="AA27" s="68">
        <v>0</v>
      </c>
      <c r="AB27" s="69">
        <v>327561.46000000002</v>
      </c>
      <c r="AC27" s="70">
        <v>327395</v>
      </c>
      <c r="AD27" s="67">
        <v>0</v>
      </c>
      <c r="AE27" s="68">
        <v>0</v>
      </c>
      <c r="AF27" s="69">
        <v>327395</v>
      </c>
      <c r="AG27" s="70">
        <v>327395</v>
      </c>
      <c r="AH27" s="70">
        <f t="shared" si="12"/>
        <v>0</v>
      </c>
      <c r="AI27" s="70">
        <f t="shared" si="13"/>
        <v>0</v>
      </c>
      <c r="AJ27" s="70">
        <f t="shared" si="14"/>
        <v>0</v>
      </c>
      <c r="AK27" s="70">
        <f t="shared" si="15"/>
        <v>0</v>
      </c>
      <c r="AL27" s="70">
        <f t="shared" si="16"/>
        <v>289400.44245199999</v>
      </c>
      <c r="AM27" s="70">
        <f t="shared" si="17"/>
        <v>327473.86874800001</v>
      </c>
      <c r="AN27" s="70">
        <f t="shared" si="18"/>
        <v>327395</v>
      </c>
      <c r="AO27" s="70">
        <f t="shared" si="19"/>
        <v>327395</v>
      </c>
    </row>
    <row r="28" spans="1:41">
      <c r="A28" s="29" t="s">
        <v>403</v>
      </c>
      <c r="B28" s="29" t="s">
        <v>922</v>
      </c>
      <c r="C28" s="107">
        <v>0</v>
      </c>
      <c r="D28" s="108">
        <v>10258000</v>
      </c>
      <c r="F28" s="107">
        <v>0</v>
      </c>
      <c r="G28" s="108">
        <v>10566000</v>
      </c>
      <c r="I28" s="64">
        <v>0</v>
      </c>
      <c r="J28" s="83">
        <v>0</v>
      </c>
      <c r="K28" s="66">
        <v>10566000</v>
      </c>
      <c r="L28" s="251">
        <v>9623705.8191999998</v>
      </c>
      <c r="M28" s="63">
        <v>0</v>
      </c>
      <c r="N28" s="64">
        <v>0</v>
      </c>
      <c r="O28" s="65">
        <v>9957234.4224000014</v>
      </c>
      <c r="P28" s="66">
        <v>10351712.3248</v>
      </c>
      <c r="Q28" s="66">
        <f t="shared" si="4"/>
        <v>0</v>
      </c>
      <c r="R28" s="63">
        <f t="shared" si="5"/>
        <v>0</v>
      </c>
      <c r="S28" s="83">
        <f t="shared" si="6"/>
        <v>0</v>
      </c>
      <c r="T28" s="64">
        <f t="shared" si="7"/>
        <v>0</v>
      </c>
      <c r="U28" s="66">
        <f t="shared" si="8"/>
        <v>10420069.600000001</v>
      </c>
      <c r="V28" s="63">
        <f t="shared" si="9"/>
        <v>10070164.80206304</v>
      </c>
      <c r="W28" s="83">
        <f t="shared" si="10"/>
        <v>9799208.5702038407</v>
      </c>
      <c r="X28" s="64">
        <f t="shared" si="11"/>
        <v>10164808.694642881</v>
      </c>
      <c r="Z28" s="67">
        <v>0</v>
      </c>
      <c r="AA28" s="68">
        <v>0</v>
      </c>
      <c r="AB28" s="69">
        <v>10566000</v>
      </c>
      <c r="AC28" s="70">
        <v>10123786.634400001</v>
      </c>
      <c r="AD28" s="67">
        <v>0</v>
      </c>
      <c r="AE28" s="68">
        <v>0</v>
      </c>
      <c r="AF28" s="69">
        <v>9957234.4224000014</v>
      </c>
      <c r="AG28" s="70">
        <v>10351712.3248</v>
      </c>
      <c r="AH28" s="70">
        <f t="shared" si="12"/>
        <v>0</v>
      </c>
      <c r="AI28" s="70">
        <f t="shared" si="13"/>
        <v>0</v>
      </c>
      <c r="AJ28" s="70">
        <f t="shared" si="14"/>
        <v>0</v>
      </c>
      <c r="AK28" s="70">
        <f t="shared" si="15"/>
        <v>0</v>
      </c>
      <c r="AL28" s="70">
        <f t="shared" si="16"/>
        <v>10420069.600000001</v>
      </c>
      <c r="AM28" s="70">
        <f t="shared" si="17"/>
        <v>10333307.32702128</v>
      </c>
      <c r="AN28" s="70">
        <f t="shared" si="18"/>
        <v>10036146.8604456</v>
      </c>
      <c r="AO28" s="70">
        <f t="shared" si="19"/>
        <v>10164808.694642881</v>
      </c>
    </row>
    <row r="29" spans="1:41">
      <c r="A29" s="29" t="s">
        <v>67</v>
      </c>
      <c r="B29" s="29" t="s">
        <v>645</v>
      </c>
      <c r="C29" s="107">
        <v>1895007.94</v>
      </c>
      <c r="D29" s="108">
        <v>16900000</v>
      </c>
      <c r="F29" s="107">
        <v>637776.18999999994</v>
      </c>
      <c r="G29" s="108">
        <v>17180000</v>
      </c>
      <c r="I29" s="64">
        <v>637776.18999999994</v>
      </c>
      <c r="J29" s="83">
        <v>446105.94840000098</v>
      </c>
      <c r="K29" s="66">
        <v>17180000</v>
      </c>
      <c r="L29" s="251">
        <v>17690000</v>
      </c>
      <c r="M29" s="63">
        <v>0</v>
      </c>
      <c r="N29" s="64">
        <v>0</v>
      </c>
      <c r="O29" s="65">
        <v>18220000</v>
      </c>
      <c r="P29" s="66">
        <v>18220000</v>
      </c>
      <c r="Q29" s="66">
        <f t="shared" si="4"/>
        <v>989801.08</v>
      </c>
      <c r="R29" s="63">
        <f t="shared" si="5"/>
        <v>499773.61604800069</v>
      </c>
      <c r="S29" s="83">
        <f t="shared" si="6"/>
        <v>124909.66555200028</v>
      </c>
      <c r="T29" s="64">
        <f t="shared" si="7"/>
        <v>0</v>
      </c>
      <c r="U29" s="66">
        <f t="shared" si="8"/>
        <v>17047336</v>
      </c>
      <c r="V29" s="63">
        <f t="shared" si="9"/>
        <v>17448362</v>
      </c>
      <c r="W29" s="83">
        <f t="shared" si="10"/>
        <v>17968886</v>
      </c>
      <c r="X29" s="64">
        <f t="shared" si="11"/>
        <v>18220000</v>
      </c>
      <c r="Z29" s="67">
        <v>637776.18999999994</v>
      </c>
      <c r="AA29" s="68">
        <v>1061501.6188999999</v>
      </c>
      <c r="AB29" s="69">
        <v>17180000</v>
      </c>
      <c r="AC29" s="70">
        <v>17690000</v>
      </c>
      <c r="AD29" s="67">
        <v>0</v>
      </c>
      <c r="AE29" s="68">
        <v>0</v>
      </c>
      <c r="AF29" s="69">
        <v>18220000</v>
      </c>
      <c r="AG29" s="70">
        <v>18220000</v>
      </c>
      <c r="AH29" s="70">
        <f t="shared" si="12"/>
        <v>989801.08</v>
      </c>
      <c r="AI29" s="70">
        <f t="shared" si="13"/>
        <v>942858.49880799989</v>
      </c>
      <c r="AJ29" s="70">
        <f t="shared" si="14"/>
        <v>297220.45329199999</v>
      </c>
      <c r="AK29" s="70">
        <f t="shared" si="15"/>
        <v>0</v>
      </c>
      <c r="AL29" s="70">
        <f t="shared" si="16"/>
        <v>17047336</v>
      </c>
      <c r="AM29" s="70">
        <f t="shared" si="17"/>
        <v>17448362</v>
      </c>
      <c r="AN29" s="70">
        <f t="shared" si="18"/>
        <v>17968886</v>
      </c>
      <c r="AO29" s="70">
        <f t="shared" si="19"/>
        <v>18220000</v>
      </c>
    </row>
    <row r="30" spans="1:41">
      <c r="A30" s="29" t="s">
        <v>49</v>
      </c>
      <c r="B30" s="29" t="s">
        <v>646</v>
      </c>
      <c r="C30" s="107">
        <v>592717.17000000004</v>
      </c>
      <c r="D30" s="108">
        <v>360000</v>
      </c>
      <c r="F30" s="107">
        <v>615492.09</v>
      </c>
      <c r="G30" s="108">
        <v>362464.25</v>
      </c>
      <c r="I30" s="64">
        <v>615492.09</v>
      </c>
      <c r="J30" s="83">
        <v>645407.71460000006</v>
      </c>
      <c r="K30" s="66">
        <v>362464.25</v>
      </c>
      <c r="L30" s="251">
        <v>361981</v>
      </c>
      <c r="M30" s="63">
        <v>656526.74699999997</v>
      </c>
      <c r="N30" s="64">
        <v>677314.49399999995</v>
      </c>
      <c r="O30" s="65">
        <v>362162</v>
      </c>
      <c r="P30" s="66">
        <v>362162</v>
      </c>
      <c r="Q30" s="66">
        <f t="shared" si="4"/>
        <v>609115.11239999998</v>
      </c>
      <c r="R30" s="63">
        <f t="shared" si="5"/>
        <v>637031.33971199999</v>
      </c>
      <c r="S30" s="83">
        <f t="shared" si="6"/>
        <v>653413.41792799998</v>
      </c>
      <c r="T30" s="64">
        <f t="shared" si="7"/>
        <v>671493.92483999999</v>
      </c>
      <c r="U30" s="66">
        <f t="shared" si="8"/>
        <v>361296.68835000001</v>
      </c>
      <c r="V30" s="63">
        <f t="shared" si="9"/>
        <v>362209.96385</v>
      </c>
      <c r="W30" s="83">
        <f t="shared" si="10"/>
        <v>362076.24219999998</v>
      </c>
      <c r="X30" s="64">
        <f t="shared" si="11"/>
        <v>362162</v>
      </c>
      <c r="Z30" s="67">
        <v>615492.09</v>
      </c>
      <c r="AA30" s="68">
        <v>645478.76619999995</v>
      </c>
      <c r="AB30" s="69">
        <v>362464.25</v>
      </c>
      <c r="AC30" s="70">
        <v>361981</v>
      </c>
      <c r="AD30" s="67">
        <v>656526.74699999997</v>
      </c>
      <c r="AE30" s="68">
        <v>677314.49399999995</v>
      </c>
      <c r="AF30" s="69">
        <v>362162</v>
      </c>
      <c r="AG30" s="70">
        <v>362162</v>
      </c>
      <c r="AH30" s="70">
        <f t="shared" si="12"/>
        <v>609115.11239999998</v>
      </c>
      <c r="AI30" s="70">
        <f t="shared" si="13"/>
        <v>637082.49686399999</v>
      </c>
      <c r="AJ30" s="70">
        <f t="shared" si="14"/>
        <v>653433.31237599999</v>
      </c>
      <c r="AK30" s="70">
        <f t="shared" si="15"/>
        <v>671493.92483999999</v>
      </c>
      <c r="AL30" s="70">
        <f t="shared" si="16"/>
        <v>361296.68835000001</v>
      </c>
      <c r="AM30" s="70">
        <f t="shared" si="17"/>
        <v>362209.96385</v>
      </c>
      <c r="AN30" s="70">
        <f t="shared" si="18"/>
        <v>362076.24219999998</v>
      </c>
      <c r="AO30" s="70">
        <f t="shared" si="19"/>
        <v>362162</v>
      </c>
    </row>
    <row r="31" spans="1:41">
      <c r="A31" s="29" t="s">
        <v>367</v>
      </c>
      <c r="B31" s="29" t="s">
        <v>883</v>
      </c>
      <c r="C31" s="107">
        <v>153800.54</v>
      </c>
      <c r="D31" s="108">
        <v>383145</v>
      </c>
      <c r="F31" s="107">
        <v>131359.04999999999</v>
      </c>
      <c r="G31" s="108">
        <v>410950</v>
      </c>
      <c r="I31" s="64">
        <v>131359.04999999999</v>
      </c>
      <c r="J31" s="83">
        <v>200814.4762</v>
      </c>
      <c r="K31" s="66">
        <v>410950</v>
      </c>
      <c r="L31" s="251">
        <v>441485</v>
      </c>
      <c r="M31" s="63">
        <v>199492.86569999991</v>
      </c>
      <c r="N31" s="64">
        <v>193341.49079999994</v>
      </c>
      <c r="O31" s="65">
        <v>480828</v>
      </c>
      <c r="P31" s="66">
        <v>480828</v>
      </c>
      <c r="Q31" s="66">
        <f t="shared" si="4"/>
        <v>137642.6672</v>
      </c>
      <c r="R31" s="63">
        <f t="shared" si="5"/>
        <v>181366.95686400001</v>
      </c>
      <c r="S31" s="83">
        <f t="shared" si="6"/>
        <v>199862.91663999995</v>
      </c>
      <c r="T31" s="64">
        <f t="shared" si="7"/>
        <v>195063.87577199994</v>
      </c>
      <c r="U31" s="66">
        <f t="shared" si="8"/>
        <v>397775.99100000004</v>
      </c>
      <c r="V31" s="63">
        <f t="shared" si="9"/>
        <v>427017.51699999999</v>
      </c>
      <c r="W31" s="83">
        <f t="shared" si="10"/>
        <v>462187.28659999999</v>
      </c>
      <c r="X31" s="64">
        <f t="shared" si="11"/>
        <v>480828</v>
      </c>
      <c r="Z31" s="67">
        <v>131359.04999999999</v>
      </c>
      <c r="AA31" s="68">
        <v>200814.4762</v>
      </c>
      <c r="AB31" s="69">
        <v>410950</v>
      </c>
      <c r="AC31" s="70">
        <v>441485</v>
      </c>
      <c r="AD31" s="67">
        <v>199492.86569999991</v>
      </c>
      <c r="AE31" s="68">
        <v>193341.49079999994</v>
      </c>
      <c r="AF31" s="69">
        <v>480828</v>
      </c>
      <c r="AG31" s="70">
        <v>480828</v>
      </c>
      <c r="AH31" s="70">
        <f t="shared" si="12"/>
        <v>137642.6672</v>
      </c>
      <c r="AI31" s="70">
        <f t="shared" si="13"/>
        <v>181366.95686400001</v>
      </c>
      <c r="AJ31" s="70">
        <f t="shared" si="14"/>
        <v>199862.91663999995</v>
      </c>
      <c r="AK31" s="70">
        <f t="shared" si="15"/>
        <v>195063.87577199994</v>
      </c>
      <c r="AL31" s="70">
        <f t="shared" si="16"/>
        <v>397775.99100000004</v>
      </c>
      <c r="AM31" s="70">
        <f t="shared" si="17"/>
        <v>427017.51699999999</v>
      </c>
      <c r="AN31" s="70">
        <f t="shared" si="18"/>
        <v>462187.28659999999</v>
      </c>
      <c r="AO31" s="70">
        <f t="shared" si="19"/>
        <v>480828</v>
      </c>
    </row>
    <row r="32" spans="1:41">
      <c r="A32" s="29" t="s">
        <v>39</v>
      </c>
      <c r="B32" s="29" t="s">
        <v>647</v>
      </c>
      <c r="C32" s="107">
        <v>0</v>
      </c>
      <c r="D32" s="108">
        <v>3259592</v>
      </c>
      <c r="F32" s="107">
        <v>0</v>
      </c>
      <c r="G32" s="108">
        <v>3488439.33</v>
      </c>
      <c r="I32" s="64">
        <v>0</v>
      </c>
      <c r="J32" s="83">
        <v>0</v>
      </c>
      <c r="K32" s="66">
        <v>3488439.33</v>
      </c>
      <c r="L32" s="251">
        <v>3520514.8202</v>
      </c>
      <c r="M32" s="63">
        <v>0</v>
      </c>
      <c r="N32" s="64">
        <v>0</v>
      </c>
      <c r="O32" s="65">
        <v>3642527.1963</v>
      </c>
      <c r="P32" s="66">
        <v>3786822.8012999999</v>
      </c>
      <c r="Q32" s="66">
        <f t="shared" si="4"/>
        <v>0</v>
      </c>
      <c r="R32" s="63">
        <f t="shared" si="5"/>
        <v>0</v>
      </c>
      <c r="S32" s="83">
        <f t="shared" si="6"/>
        <v>0</v>
      </c>
      <c r="T32" s="64">
        <f t="shared" si="7"/>
        <v>0</v>
      </c>
      <c r="U32" s="66">
        <f t="shared" si="8"/>
        <v>3380011.4650459997</v>
      </c>
      <c r="V32" s="63">
        <f t="shared" si="9"/>
        <v>3505317.4529432403</v>
      </c>
      <c r="W32" s="83">
        <f t="shared" si="10"/>
        <v>3584717.7325038202</v>
      </c>
      <c r="X32" s="64">
        <f t="shared" si="11"/>
        <v>3718455.5436509997</v>
      </c>
      <c r="Z32" s="67">
        <v>0</v>
      </c>
      <c r="AA32" s="68">
        <v>0</v>
      </c>
      <c r="AB32" s="69">
        <v>3488439.33</v>
      </c>
      <c r="AC32" s="70">
        <v>3650000</v>
      </c>
      <c r="AD32" s="67">
        <v>0</v>
      </c>
      <c r="AE32" s="68">
        <v>0</v>
      </c>
      <c r="AF32" s="69">
        <v>3642527.1963</v>
      </c>
      <c r="AG32" s="70">
        <v>3786822.8012999999</v>
      </c>
      <c r="AH32" s="70">
        <f t="shared" si="12"/>
        <v>0</v>
      </c>
      <c r="AI32" s="70">
        <f t="shared" si="13"/>
        <v>0</v>
      </c>
      <c r="AJ32" s="70">
        <f t="shared" si="14"/>
        <v>0</v>
      </c>
      <c r="AK32" s="70">
        <f t="shared" si="15"/>
        <v>0</v>
      </c>
      <c r="AL32" s="70">
        <f t="shared" si="16"/>
        <v>3380011.4650459997</v>
      </c>
      <c r="AM32" s="70">
        <f t="shared" si="17"/>
        <v>3573452.554554</v>
      </c>
      <c r="AN32" s="70">
        <f t="shared" si="18"/>
        <v>3646067.81069306</v>
      </c>
      <c r="AO32" s="70">
        <f t="shared" si="19"/>
        <v>3718455.5436509997</v>
      </c>
    </row>
    <row r="33" spans="1:41">
      <c r="A33" s="29" t="s">
        <v>37</v>
      </c>
      <c r="B33" s="29" t="s">
        <v>648</v>
      </c>
      <c r="C33" s="107">
        <v>1093272.6200000001</v>
      </c>
      <c r="D33" s="108">
        <v>1673883</v>
      </c>
      <c r="F33" s="107">
        <v>983256.92</v>
      </c>
      <c r="G33" s="108">
        <v>2065314</v>
      </c>
      <c r="I33" s="64">
        <v>983256.92</v>
      </c>
      <c r="J33" s="83">
        <v>1084703.2833999998</v>
      </c>
      <c r="K33" s="66">
        <v>2065314</v>
      </c>
      <c r="L33" s="251">
        <v>2508661</v>
      </c>
      <c r="M33" s="63">
        <v>1030131.6054</v>
      </c>
      <c r="N33" s="64">
        <v>957885.16920000024</v>
      </c>
      <c r="O33" s="65">
        <v>2709354</v>
      </c>
      <c r="P33" s="66">
        <v>2709354</v>
      </c>
      <c r="Q33" s="66">
        <f t="shared" si="4"/>
        <v>1014061.3160000001</v>
      </c>
      <c r="R33" s="63">
        <f t="shared" si="5"/>
        <v>1056298.3016479998</v>
      </c>
      <c r="S33" s="83">
        <f t="shared" si="6"/>
        <v>1045411.67524</v>
      </c>
      <c r="T33" s="64">
        <f t="shared" si="7"/>
        <v>978114.17133600009</v>
      </c>
      <c r="U33" s="66">
        <f t="shared" si="8"/>
        <v>1879853.9922000002</v>
      </c>
      <c r="V33" s="63">
        <f t="shared" si="9"/>
        <v>2298603.1913999999</v>
      </c>
      <c r="W33" s="83">
        <f t="shared" si="10"/>
        <v>2614265.6566000003</v>
      </c>
      <c r="X33" s="64">
        <f t="shared" si="11"/>
        <v>2709354</v>
      </c>
      <c r="Z33" s="67">
        <v>983256.92</v>
      </c>
      <c r="AA33" s="68">
        <v>1098949.1291999999</v>
      </c>
      <c r="AB33" s="69">
        <v>2065314</v>
      </c>
      <c r="AC33" s="70">
        <v>2508661</v>
      </c>
      <c r="AD33" s="67">
        <v>1030131.6054</v>
      </c>
      <c r="AE33" s="68">
        <v>957885.16920000024</v>
      </c>
      <c r="AF33" s="69">
        <v>2709354</v>
      </c>
      <c r="AG33" s="70">
        <v>2709354</v>
      </c>
      <c r="AH33" s="70">
        <f t="shared" si="12"/>
        <v>1014061.3160000001</v>
      </c>
      <c r="AI33" s="70">
        <f t="shared" si="13"/>
        <v>1066555.3106239999</v>
      </c>
      <c r="AJ33" s="70">
        <f t="shared" si="14"/>
        <v>1049400.5120640001</v>
      </c>
      <c r="AK33" s="70">
        <f t="shared" si="15"/>
        <v>978114.17133600009</v>
      </c>
      <c r="AL33" s="70">
        <f t="shared" si="16"/>
        <v>1879853.9922000002</v>
      </c>
      <c r="AM33" s="70">
        <f t="shared" si="17"/>
        <v>2298603.1913999999</v>
      </c>
      <c r="AN33" s="70">
        <f t="shared" si="18"/>
        <v>2614265.6566000003</v>
      </c>
      <c r="AO33" s="70">
        <f t="shared" si="19"/>
        <v>2709354</v>
      </c>
    </row>
    <row r="34" spans="1:41">
      <c r="A34" s="29" t="s">
        <v>81</v>
      </c>
      <c r="B34" s="29" t="s">
        <v>649</v>
      </c>
      <c r="C34" s="107">
        <v>524986.59</v>
      </c>
      <c r="D34" s="108">
        <v>2375000</v>
      </c>
      <c r="F34" s="107">
        <v>253669.53</v>
      </c>
      <c r="G34" s="108">
        <v>2575000</v>
      </c>
      <c r="I34" s="64">
        <v>253669.53</v>
      </c>
      <c r="J34" s="83">
        <v>262929.1958999997</v>
      </c>
      <c r="K34" s="66">
        <v>2575000</v>
      </c>
      <c r="L34" s="251">
        <v>2575000</v>
      </c>
      <c r="M34" s="63">
        <v>89968.253700000074</v>
      </c>
      <c r="N34" s="64">
        <v>0</v>
      </c>
      <c r="O34" s="65">
        <v>2575000</v>
      </c>
      <c r="P34" s="66">
        <v>2575000</v>
      </c>
      <c r="Q34" s="66">
        <f t="shared" si="4"/>
        <v>329638.30680000002</v>
      </c>
      <c r="R34" s="63">
        <f t="shared" si="5"/>
        <v>260336.4894479998</v>
      </c>
      <c r="S34" s="83">
        <f t="shared" si="6"/>
        <v>138397.31751599998</v>
      </c>
      <c r="T34" s="64">
        <f t="shared" si="7"/>
        <v>25191.111036000024</v>
      </c>
      <c r="U34" s="66">
        <f t="shared" si="8"/>
        <v>2480240</v>
      </c>
      <c r="V34" s="63">
        <f t="shared" si="9"/>
        <v>2575000</v>
      </c>
      <c r="W34" s="83">
        <f t="shared" si="10"/>
        <v>2575000</v>
      </c>
      <c r="X34" s="64">
        <f t="shared" si="11"/>
        <v>2575000</v>
      </c>
      <c r="Z34" s="67">
        <v>253669.53</v>
      </c>
      <c r="AA34" s="68">
        <v>362969.84869999997</v>
      </c>
      <c r="AB34" s="69">
        <v>2575000</v>
      </c>
      <c r="AC34" s="70">
        <v>2575000</v>
      </c>
      <c r="AD34" s="67">
        <v>89968.253700000074</v>
      </c>
      <c r="AE34" s="68">
        <v>0</v>
      </c>
      <c r="AF34" s="69">
        <v>2575000</v>
      </c>
      <c r="AG34" s="70">
        <v>2575000</v>
      </c>
      <c r="AH34" s="70">
        <f t="shared" si="12"/>
        <v>329638.30680000002</v>
      </c>
      <c r="AI34" s="70">
        <f t="shared" si="13"/>
        <v>332365.759464</v>
      </c>
      <c r="AJ34" s="70">
        <f t="shared" si="14"/>
        <v>166408.70030000005</v>
      </c>
      <c r="AK34" s="70">
        <f t="shared" si="15"/>
        <v>25191.111036000024</v>
      </c>
      <c r="AL34" s="70">
        <f t="shared" si="16"/>
        <v>2480240</v>
      </c>
      <c r="AM34" s="70">
        <f t="shared" si="17"/>
        <v>2575000</v>
      </c>
      <c r="AN34" s="70">
        <f t="shared" si="18"/>
        <v>2575000</v>
      </c>
      <c r="AO34" s="70">
        <f t="shared" si="19"/>
        <v>2575000</v>
      </c>
    </row>
    <row r="35" spans="1:41">
      <c r="A35" s="29" t="s">
        <v>255</v>
      </c>
      <c r="B35" s="29" t="s">
        <v>893</v>
      </c>
      <c r="C35" s="107">
        <v>0</v>
      </c>
      <c r="D35" s="108">
        <v>273368</v>
      </c>
      <c r="F35" s="107">
        <v>0</v>
      </c>
      <c r="G35" s="108">
        <v>259947</v>
      </c>
      <c r="I35" s="64">
        <v>0</v>
      </c>
      <c r="J35" s="83">
        <v>22775.534899999988</v>
      </c>
      <c r="K35" s="66">
        <v>259947</v>
      </c>
      <c r="L35" s="251">
        <v>295000</v>
      </c>
      <c r="M35" s="63">
        <v>32597.888399999985</v>
      </c>
      <c r="N35" s="64">
        <v>35342.746200000001</v>
      </c>
      <c r="O35" s="65">
        <v>295000</v>
      </c>
      <c r="P35" s="66">
        <v>295000</v>
      </c>
      <c r="Q35" s="66">
        <f t="shared" si="4"/>
        <v>0</v>
      </c>
      <c r="R35" s="63">
        <f t="shared" si="5"/>
        <v>16398.385127999991</v>
      </c>
      <c r="S35" s="83">
        <f t="shared" si="6"/>
        <v>29847.629419999987</v>
      </c>
      <c r="T35" s="64">
        <f t="shared" si="7"/>
        <v>34574.186016</v>
      </c>
      <c r="U35" s="66">
        <f t="shared" si="8"/>
        <v>266305.86979999999</v>
      </c>
      <c r="V35" s="63">
        <f t="shared" si="9"/>
        <v>278391.88860000001</v>
      </c>
      <c r="W35" s="83">
        <f t="shared" si="10"/>
        <v>295000</v>
      </c>
      <c r="X35" s="64">
        <f t="shared" si="11"/>
        <v>295000</v>
      </c>
      <c r="Z35" s="67">
        <v>0</v>
      </c>
      <c r="AA35" s="68">
        <v>22775.534899999988</v>
      </c>
      <c r="AB35" s="69">
        <v>259947</v>
      </c>
      <c r="AC35" s="70">
        <v>295000</v>
      </c>
      <c r="AD35" s="67">
        <v>32597.888399999985</v>
      </c>
      <c r="AE35" s="68">
        <v>35342.746200000001</v>
      </c>
      <c r="AF35" s="69">
        <v>295000</v>
      </c>
      <c r="AG35" s="70">
        <v>295000</v>
      </c>
      <c r="AH35" s="70">
        <f t="shared" si="12"/>
        <v>0</v>
      </c>
      <c r="AI35" s="70">
        <f t="shared" si="13"/>
        <v>16398.385127999991</v>
      </c>
      <c r="AJ35" s="70">
        <f t="shared" si="14"/>
        <v>29847.629419999987</v>
      </c>
      <c r="AK35" s="70">
        <f t="shared" si="15"/>
        <v>34574.186016</v>
      </c>
      <c r="AL35" s="70">
        <f t="shared" si="16"/>
        <v>266305.86979999999</v>
      </c>
      <c r="AM35" s="70">
        <f t="shared" si="17"/>
        <v>278391.88860000001</v>
      </c>
      <c r="AN35" s="70">
        <f t="shared" si="18"/>
        <v>295000</v>
      </c>
      <c r="AO35" s="70">
        <f t="shared" si="19"/>
        <v>295000</v>
      </c>
    </row>
    <row r="36" spans="1:41">
      <c r="A36" s="29" t="s">
        <v>233</v>
      </c>
      <c r="B36" s="29" t="s">
        <v>650</v>
      </c>
      <c r="C36" s="107">
        <v>3798043.5</v>
      </c>
      <c r="D36" s="108">
        <v>15500000</v>
      </c>
      <c r="F36" s="107">
        <v>1889382.5</v>
      </c>
      <c r="G36" s="108">
        <v>17500000</v>
      </c>
      <c r="I36" s="64">
        <v>1889382.5</v>
      </c>
      <c r="J36" s="83">
        <v>1060328.6348159981</v>
      </c>
      <c r="K36" s="66">
        <v>17500000</v>
      </c>
      <c r="L36" s="251">
        <v>18000000</v>
      </c>
      <c r="M36" s="63">
        <v>0</v>
      </c>
      <c r="N36" s="64">
        <v>0</v>
      </c>
      <c r="O36" s="65">
        <v>18000000</v>
      </c>
      <c r="P36" s="66">
        <v>18000000</v>
      </c>
      <c r="Q36" s="66">
        <f t="shared" si="4"/>
        <v>2423807.58</v>
      </c>
      <c r="R36" s="63">
        <f t="shared" si="5"/>
        <v>1292463.7170675187</v>
      </c>
      <c r="S36" s="83">
        <f t="shared" si="6"/>
        <v>296892.0177484795</v>
      </c>
      <c r="T36" s="64">
        <f t="shared" si="7"/>
        <v>0</v>
      </c>
      <c r="U36" s="66">
        <f t="shared" si="8"/>
        <v>16552400</v>
      </c>
      <c r="V36" s="63">
        <f t="shared" si="9"/>
        <v>17763100</v>
      </c>
      <c r="W36" s="83">
        <f t="shared" si="10"/>
        <v>18000000</v>
      </c>
      <c r="X36" s="64">
        <f t="shared" si="11"/>
        <v>18000000</v>
      </c>
      <c r="Z36" s="67">
        <v>1889382.5</v>
      </c>
      <c r="AA36" s="68">
        <v>2128698.8602799987</v>
      </c>
      <c r="AB36" s="69">
        <v>17500000</v>
      </c>
      <c r="AC36" s="70">
        <v>18000000</v>
      </c>
      <c r="AD36" s="67">
        <v>0</v>
      </c>
      <c r="AE36" s="68">
        <v>0</v>
      </c>
      <c r="AF36" s="69">
        <v>18000000</v>
      </c>
      <c r="AG36" s="70">
        <v>18000000</v>
      </c>
      <c r="AH36" s="70">
        <f t="shared" si="12"/>
        <v>2423807.58</v>
      </c>
      <c r="AI36" s="70">
        <f t="shared" si="13"/>
        <v>2061690.2794015992</v>
      </c>
      <c r="AJ36" s="70">
        <f t="shared" si="14"/>
        <v>596035.68087839975</v>
      </c>
      <c r="AK36" s="70">
        <f t="shared" si="15"/>
        <v>0</v>
      </c>
      <c r="AL36" s="70">
        <f t="shared" si="16"/>
        <v>16552400</v>
      </c>
      <c r="AM36" s="70">
        <f t="shared" si="17"/>
        <v>17763100</v>
      </c>
      <c r="AN36" s="70">
        <f t="shared" si="18"/>
        <v>18000000</v>
      </c>
      <c r="AO36" s="70">
        <f t="shared" si="19"/>
        <v>18000000</v>
      </c>
    </row>
    <row r="37" spans="1:41">
      <c r="A37" s="29" t="s">
        <v>463</v>
      </c>
      <c r="B37" s="29" t="s">
        <v>651</v>
      </c>
      <c r="C37" s="107">
        <v>6122648.2199999997</v>
      </c>
      <c r="D37" s="108">
        <v>27665500</v>
      </c>
      <c r="F37" s="107">
        <v>4444760.9400000004</v>
      </c>
      <c r="G37" s="108">
        <v>29211000</v>
      </c>
      <c r="I37" s="64">
        <v>4444760.9400000004</v>
      </c>
      <c r="J37" s="83">
        <v>4576640.0623000022</v>
      </c>
      <c r="K37" s="66">
        <v>29211000</v>
      </c>
      <c r="L37" s="251">
        <v>31110000</v>
      </c>
      <c r="M37" s="63">
        <v>3673275.9498000005</v>
      </c>
      <c r="N37" s="64">
        <v>3260244.4937999998</v>
      </c>
      <c r="O37" s="65">
        <v>33132000</v>
      </c>
      <c r="P37" s="66">
        <v>33132000</v>
      </c>
      <c r="Q37" s="66">
        <f t="shared" si="4"/>
        <v>4914569.3783999998</v>
      </c>
      <c r="R37" s="63">
        <f t="shared" si="5"/>
        <v>4539713.9080560021</v>
      </c>
      <c r="S37" s="83">
        <f t="shared" si="6"/>
        <v>3926217.901300001</v>
      </c>
      <c r="T37" s="64">
        <f t="shared" si="7"/>
        <v>3375893.3014799999</v>
      </c>
      <c r="U37" s="66">
        <f t="shared" si="8"/>
        <v>28478742.100000001</v>
      </c>
      <c r="V37" s="63">
        <f t="shared" si="9"/>
        <v>30210253.800000001</v>
      </c>
      <c r="W37" s="83">
        <f t="shared" si="10"/>
        <v>32173976.399999999</v>
      </c>
      <c r="X37" s="64">
        <f t="shared" si="11"/>
        <v>33132000</v>
      </c>
      <c r="Z37" s="67">
        <v>4444760.9400000004</v>
      </c>
      <c r="AA37" s="68">
        <v>4983978.8851000005</v>
      </c>
      <c r="AB37" s="69">
        <v>29211000</v>
      </c>
      <c r="AC37" s="70">
        <v>31110000</v>
      </c>
      <c r="AD37" s="67">
        <v>3673275.9498000005</v>
      </c>
      <c r="AE37" s="68">
        <v>3260244.4937999998</v>
      </c>
      <c r="AF37" s="69">
        <v>33132000</v>
      </c>
      <c r="AG37" s="70">
        <v>33132000</v>
      </c>
      <c r="AH37" s="70">
        <f t="shared" si="12"/>
        <v>4914569.3783999998</v>
      </c>
      <c r="AI37" s="70">
        <f t="shared" si="13"/>
        <v>4832997.8604720011</v>
      </c>
      <c r="AJ37" s="70">
        <f t="shared" si="14"/>
        <v>4040272.7716840003</v>
      </c>
      <c r="AK37" s="70">
        <f t="shared" si="15"/>
        <v>3375893.3014799999</v>
      </c>
      <c r="AL37" s="70">
        <f t="shared" si="16"/>
        <v>28478742.100000001</v>
      </c>
      <c r="AM37" s="70">
        <f t="shared" si="17"/>
        <v>30210253.800000001</v>
      </c>
      <c r="AN37" s="70">
        <f t="shared" si="18"/>
        <v>32173976.399999999</v>
      </c>
      <c r="AO37" s="70">
        <f t="shared" si="19"/>
        <v>33132000</v>
      </c>
    </row>
    <row r="38" spans="1:41">
      <c r="A38" s="29" t="s">
        <v>295</v>
      </c>
      <c r="B38" s="29" t="s">
        <v>652</v>
      </c>
      <c r="C38" s="107">
        <v>0</v>
      </c>
      <c r="D38" s="108">
        <v>0</v>
      </c>
      <c r="F38" s="107">
        <v>801789.8</v>
      </c>
      <c r="G38" s="108">
        <v>4500000</v>
      </c>
      <c r="I38" s="64">
        <v>801789.8</v>
      </c>
      <c r="J38" s="83">
        <v>463638.70301866578</v>
      </c>
      <c r="K38" s="66">
        <v>4500000</v>
      </c>
      <c r="L38" s="251">
        <v>4600000</v>
      </c>
      <c r="M38" s="63">
        <v>167447.04933599982</v>
      </c>
      <c r="N38" s="64">
        <v>0</v>
      </c>
      <c r="O38" s="65">
        <v>4600000</v>
      </c>
      <c r="P38" s="66">
        <v>4600000</v>
      </c>
      <c r="Q38" s="66">
        <f t="shared" si="4"/>
        <v>577288.65599999996</v>
      </c>
      <c r="R38" s="63">
        <f t="shared" si="5"/>
        <v>558321.0101734394</v>
      </c>
      <c r="S38" s="83">
        <f t="shared" si="6"/>
        <v>250380.71236714628</v>
      </c>
      <c r="T38" s="64">
        <f t="shared" si="7"/>
        <v>46885.173814079957</v>
      </c>
      <c r="U38" s="66">
        <f t="shared" si="8"/>
        <v>2367900</v>
      </c>
      <c r="V38" s="63">
        <f t="shared" si="9"/>
        <v>4552620</v>
      </c>
      <c r="W38" s="83">
        <f t="shared" si="10"/>
        <v>4600000</v>
      </c>
      <c r="X38" s="64">
        <f t="shared" si="11"/>
        <v>4600000</v>
      </c>
      <c r="Z38" s="67">
        <v>801789.8</v>
      </c>
      <c r="AA38" s="68">
        <v>646758.57066666672</v>
      </c>
      <c r="AB38" s="69">
        <v>4500000</v>
      </c>
      <c r="AC38" s="70">
        <v>4600000</v>
      </c>
      <c r="AD38" s="67">
        <v>167447.04933599982</v>
      </c>
      <c r="AE38" s="68">
        <v>0</v>
      </c>
      <c r="AF38" s="69">
        <v>4600000</v>
      </c>
      <c r="AG38" s="70">
        <v>4600000</v>
      </c>
      <c r="AH38" s="70">
        <f t="shared" si="12"/>
        <v>577288.65599999996</v>
      </c>
      <c r="AI38" s="70">
        <f t="shared" si="13"/>
        <v>690167.31488000008</v>
      </c>
      <c r="AJ38" s="70">
        <f t="shared" si="14"/>
        <v>301654.27530858654</v>
      </c>
      <c r="AK38" s="70">
        <f t="shared" si="15"/>
        <v>46885.173814079957</v>
      </c>
      <c r="AL38" s="70">
        <f t="shared" si="16"/>
        <v>2367900</v>
      </c>
      <c r="AM38" s="70">
        <f t="shared" si="17"/>
        <v>4552620</v>
      </c>
      <c r="AN38" s="70">
        <f t="shared" si="18"/>
        <v>4600000</v>
      </c>
      <c r="AO38" s="70">
        <f t="shared" si="19"/>
        <v>4600000</v>
      </c>
    </row>
    <row r="39" spans="1:41">
      <c r="A39" s="29" t="s">
        <v>291</v>
      </c>
      <c r="B39" s="29" t="s">
        <v>653</v>
      </c>
      <c r="C39" s="107">
        <v>1303076.24</v>
      </c>
      <c r="D39" s="108">
        <v>5215000</v>
      </c>
      <c r="F39" s="107">
        <v>965697.74</v>
      </c>
      <c r="G39" s="108">
        <v>5415000</v>
      </c>
      <c r="I39" s="64">
        <v>965697.74</v>
      </c>
      <c r="J39" s="83">
        <v>1046733.6089999997</v>
      </c>
      <c r="K39" s="66">
        <v>5415000</v>
      </c>
      <c r="L39" s="251">
        <v>5650000</v>
      </c>
      <c r="M39" s="63">
        <v>911309.70869999961</v>
      </c>
      <c r="N39" s="64">
        <v>794534.29679999989</v>
      </c>
      <c r="O39" s="65">
        <v>5850000</v>
      </c>
      <c r="P39" s="66">
        <v>5850000</v>
      </c>
      <c r="Q39" s="66">
        <f t="shared" si="4"/>
        <v>1060163.72</v>
      </c>
      <c r="R39" s="63">
        <f t="shared" si="5"/>
        <v>1024043.5656799998</v>
      </c>
      <c r="S39" s="83">
        <f t="shared" si="6"/>
        <v>949228.40078399959</v>
      </c>
      <c r="T39" s="64">
        <f t="shared" si="7"/>
        <v>827231.41213199985</v>
      </c>
      <c r="U39" s="66">
        <f t="shared" si="8"/>
        <v>5320240</v>
      </c>
      <c r="V39" s="63">
        <f t="shared" si="9"/>
        <v>5538657</v>
      </c>
      <c r="W39" s="83">
        <f t="shared" si="10"/>
        <v>5755240</v>
      </c>
      <c r="X39" s="64">
        <f t="shared" si="11"/>
        <v>5850000</v>
      </c>
      <c r="Z39" s="67">
        <v>965697.74</v>
      </c>
      <c r="AA39" s="68">
        <v>1237418.3405000002</v>
      </c>
      <c r="AB39" s="69">
        <v>5415000</v>
      </c>
      <c r="AC39" s="70">
        <v>5650000</v>
      </c>
      <c r="AD39" s="67">
        <v>911309.70869999961</v>
      </c>
      <c r="AE39" s="68">
        <v>794534.29679999989</v>
      </c>
      <c r="AF39" s="69">
        <v>5850000</v>
      </c>
      <c r="AG39" s="70">
        <v>5850000</v>
      </c>
      <c r="AH39" s="70">
        <f t="shared" si="12"/>
        <v>1060163.72</v>
      </c>
      <c r="AI39" s="70">
        <f t="shared" si="13"/>
        <v>1161336.5723600001</v>
      </c>
      <c r="AJ39" s="70">
        <f t="shared" si="14"/>
        <v>1002620.1256039997</v>
      </c>
      <c r="AK39" s="70">
        <f t="shared" si="15"/>
        <v>827231.41213199985</v>
      </c>
      <c r="AL39" s="70">
        <f t="shared" si="16"/>
        <v>5320240</v>
      </c>
      <c r="AM39" s="70">
        <f t="shared" si="17"/>
        <v>5538657</v>
      </c>
      <c r="AN39" s="70">
        <f t="shared" si="18"/>
        <v>5755240</v>
      </c>
      <c r="AO39" s="70">
        <f t="shared" si="19"/>
        <v>5850000</v>
      </c>
    </row>
    <row r="40" spans="1:41">
      <c r="A40" s="29" t="s">
        <v>467</v>
      </c>
      <c r="B40" s="29" t="s">
        <v>654</v>
      </c>
      <c r="C40" s="107">
        <v>646449.04</v>
      </c>
      <c r="D40" s="108">
        <v>7000000</v>
      </c>
      <c r="F40" s="107">
        <v>25213.27</v>
      </c>
      <c r="G40" s="108">
        <v>8700000</v>
      </c>
      <c r="I40" s="64">
        <v>25213.27</v>
      </c>
      <c r="J40" s="83">
        <v>0</v>
      </c>
      <c r="K40" s="66">
        <v>8700000</v>
      </c>
      <c r="L40" s="251">
        <v>9300000</v>
      </c>
      <c r="M40" s="63">
        <v>0</v>
      </c>
      <c r="N40" s="64">
        <v>0</v>
      </c>
      <c r="O40" s="65">
        <v>9900000</v>
      </c>
      <c r="P40" s="66">
        <v>9900000</v>
      </c>
      <c r="Q40" s="66">
        <f t="shared" si="4"/>
        <v>199159.28560000003</v>
      </c>
      <c r="R40" s="63">
        <f t="shared" si="5"/>
        <v>7059.7156000000004</v>
      </c>
      <c r="S40" s="83">
        <f t="shared" si="6"/>
        <v>0</v>
      </c>
      <c r="T40" s="64">
        <f t="shared" si="7"/>
        <v>0</v>
      </c>
      <c r="U40" s="66">
        <f t="shared" si="8"/>
        <v>7894540</v>
      </c>
      <c r="V40" s="63">
        <f t="shared" si="9"/>
        <v>9015720</v>
      </c>
      <c r="W40" s="83">
        <f t="shared" si="10"/>
        <v>9615720</v>
      </c>
      <c r="X40" s="64">
        <f t="shared" si="11"/>
        <v>9900000</v>
      </c>
      <c r="Z40" s="67">
        <v>25213.27</v>
      </c>
      <c r="AA40" s="68">
        <v>0</v>
      </c>
      <c r="AB40" s="69">
        <v>8700000</v>
      </c>
      <c r="AC40" s="70">
        <v>9300000</v>
      </c>
      <c r="AD40" s="67">
        <v>0</v>
      </c>
      <c r="AE40" s="68">
        <v>0</v>
      </c>
      <c r="AF40" s="69">
        <v>9900000</v>
      </c>
      <c r="AG40" s="70">
        <v>9900000</v>
      </c>
      <c r="AH40" s="70">
        <f t="shared" si="12"/>
        <v>199159.28560000003</v>
      </c>
      <c r="AI40" s="70">
        <f t="shared" si="13"/>
        <v>7059.7156000000004</v>
      </c>
      <c r="AJ40" s="70">
        <f t="shared" si="14"/>
        <v>0</v>
      </c>
      <c r="AK40" s="70">
        <f t="shared" si="15"/>
        <v>0</v>
      </c>
      <c r="AL40" s="70">
        <f t="shared" si="16"/>
        <v>7894540</v>
      </c>
      <c r="AM40" s="70">
        <f t="shared" si="17"/>
        <v>9015720</v>
      </c>
      <c r="AN40" s="70">
        <f t="shared" si="18"/>
        <v>9615720</v>
      </c>
      <c r="AO40" s="70">
        <f t="shared" si="19"/>
        <v>9900000</v>
      </c>
    </row>
    <row r="41" spans="1:41">
      <c r="A41" s="29" t="s">
        <v>485</v>
      </c>
      <c r="B41" s="29" t="s">
        <v>655</v>
      </c>
      <c r="C41" s="107">
        <v>276120.40000000002</v>
      </c>
      <c r="D41" s="108">
        <v>1000000</v>
      </c>
      <c r="F41" s="107">
        <v>160933.45000000001</v>
      </c>
      <c r="G41" s="108">
        <v>1000000</v>
      </c>
      <c r="I41" s="64">
        <v>160933.45000000001</v>
      </c>
      <c r="J41" s="83">
        <v>101063.99299999989</v>
      </c>
      <c r="K41" s="66">
        <v>1000000</v>
      </c>
      <c r="L41" s="251">
        <v>1000000</v>
      </c>
      <c r="M41" s="63">
        <v>66225.152559999973</v>
      </c>
      <c r="N41" s="64">
        <v>76822.461983999921</v>
      </c>
      <c r="O41" s="65">
        <v>1000000</v>
      </c>
      <c r="P41" s="66">
        <v>1000000</v>
      </c>
      <c r="Q41" s="66">
        <f t="shared" si="4"/>
        <v>193185.79600000003</v>
      </c>
      <c r="R41" s="63">
        <f t="shared" si="5"/>
        <v>117827.44095999992</v>
      </c>
      <c r="S41" s="83">
        <f t="shared" si="6"/>
        <v>75980.027883199946</v>
      </c>
      <c r="T41" s="64">
        <f t="shared" si="7"/>
        <v>73855.215345279939</v>
      </c>
      <c r="U41" s="66">
        <f t="shared" si="8"/>
        <v>1000000</v>
      </c>
      <c r="V41" s="63">
        <f t="shared" si="9"/>
        <v>1000000</v>
      </c>
      <c r="W41" s="83">
        <f t="shared" si="10"/>
        <v>1000000</v>
      </c>
      <c r="X41" s="64">
        <f t="shared" si="11"/>
        <v>1000000</v>
      </c>
      <c r="Z41" s="67">
        <v>160933.45000000001</v>
      </c>
      <c r="AA41" s="68">
        <v>360704.30230000004</v>
      </c>
      <c r="AB41" s="69">
        <v>1000000</v>
      </c>
      <c r="AC41" s="70">
        <v>1000000</v>
      </c>
      <c r="AD41" s="67">
        <v>66225.152559999973</v>
      </c>
      <c r="AE41" s="68">
        <v>76822.461983999921</v>
      </c>
      <c r="AF41" s="69">
        <v>1000000</v>
      </c>
      <c r="AG41" s="70">
        <v>1000000</v>
      </c>
      <c r="AH41" s="70">
        <f t="shared" si="12"/>
        <v>193185.79600000003</v>
      </c>
      <c r="AI41" s="70">
        <f t="shared" si="13"/>
        <v>304768.46365600004</v>
      </c>
      <c r="AJ41" s="70">
        <f t="shared" si="14"/>
        <v>148679.3144872</v>
      </c>
      <c r="AK41" s="70">
        <f t="shared" si="15"/>
        <v>73855.215345279939</v>
      </c>
      <c r="AL41" s="70">
        <f t="shared" si="16"/>
        <v>1000000</v>
      </c>
      <c r="AM41" s="70">
        <f t="shared" si="17"/>
        <v>1000000</v>
      </c>
      <c r="AN41" s="70">
        <f t="shared" si="18"/>
        <v>1000000</v>
      </c>
      <c r="AO41" s="70">
        <f t="shared" si="19"/>
        <v>1000000</v>
      </c>
    </row>
    <row r="42" spans="1:41">
      <c r="A42" s="29" t="s">
        <v>179</v>
      </c>
      <c r="B42" s="29" t="s">
        <v>656</v>
      </c>
      <c r="C42" s="107">
        <v>0</v>
      </c>
      <c r="D42" s="108">
        <v>2074277</v>
      </c>
      <c r="F42" s="107">
        <v>0</v>
      </c>
      <c r="G42" s="108">
        <v>2101671.06</v>
      </c>
      <c r="I42" s="64">
        <v>0</v>
      </c>
      <c r="J42" s="83">
        <v>0</v>
      </c>
      <c r="K42" s="66">
        <v>2101671.06</v>
      </c>
      <c r="L42" s="251">
        <v>2057119.2226</v>
      </c>
      <c r="M42" s="63">
        <v>0</v>
      </c>
      <c r="N42" s="64">
        <v>0</v>
      </c>
      <c r="O42" s="65">
        <v>2128532.8531000004</v>
      </c>
      <c r="P42" s="66">
        <v>2213027.5474999999</v>
      </c>
      <c r="Q42" s="66">
        <f t="shared" si="4"/>
        <v>0</v>
      </c>
      <c r="R42" s="63">
        <f t="shared" si="5"/>
        <v>0</v>
      </c>
      <c r="S42" s="83">
        <f t="shared" si="6"/>
        <v>0</v>
      </c>
      <c r="T42" s="64">
        <f t="shared" si="7"/>
        <v>0</v>
      </c>
      <c r="U42" s="66">
        <f t="shared" si="8"/>
        <v>2088691.754372</v>
      </c>
      <c r="V42" s="63">
        <f t="shared" si="9"/>
        <v>2078227.8831601201</v>
      </c>
      <c r="W42" s="83">
        <f t="shared" si="10"/>
        <v>2094697.0749691003</v>
      </c>
      <c r="X42" s="64">
        <f t="shared" si="11"/>
        <v>2172993.9612932801</v>
      </c>
      <c r="Z42" s="67">
        <v>0</v>
      </c>
      <c r="AA42" s="68">
        <v>0</v>
      </c>
      <c r="AB42" s="69">
        <v>2101671.06</v>
      </c>
      <c r="AC42" s="70">
        <v>2150000</v>
      </c>
      <c r="AD42" s="67">
        <v>0</v>
      </c>
      <c r="AE42" s="68">
        <v>0</v>
      </c>
      <c r="AF42" s="69">
        <v>2128532.8531000004</v>
      </c>
      <c r="AG42" s="70">
        <v>2213027.5474999999</v>
      </c>
      <c r="AH42" s="70">
        <f t="shared" si="12"/>
        <v>0</v>
      </c>
      <c r="AI42" s="70">
        <f t="shared" si="13"/>
        <v>0</v>
      </c>
      <c r="AJ42" s="70">
        <f t="shared" si="14"/>
        <v>0</v>
      </c>
      <c r="AK42" s="70">
        <f t="shared" si="15"/>
        <v>0</v>
      </c>
      <c r="AL42" s="70">
        <f t="shared" si="16"/>
        <v>2088691.754372</v>
      </c>
      <c r="AM42" s="70">
        <f t="shared" si="17"/>
        <v>2127101.748228</v>
      </c>
      <c r="AN42" s="70">
        <f t="shared" si="18"/>
        <v>2138703.9873012202</v>
      </c>
      <c r="AO42" s="70">
        <f t="shared" si="19"/>
        <v>2172993.9612932801</v>
      </c>
    </row>
    <row r="43" spans="1:41">
      <c r="A43" s="29" t="s">
        <v>13</v>
      </c>
      <c r="B43" s="29" t="s">
        <v>657</v>
      </c>
      <c r="C43" s="107">
        <v>1928920.01</v>
      </c>
      <c r="D43" s="108">
        <v>2827917</v>
      </c>
      <c r="F43" s="107">
        <v>1760298.11</v>
      </c>
      <c r="G43" s="108">
        <v>3110709</v>
      </c>
      <c r="I43" s="64">
        <v>1760298.11</v>
      </c>
      <c r="J43" s="83">
        <v>1992861.6725000001</v>
      </c>
      <c r="K43" s="66">
        <v>3110709</v>
      </c>
      <c r="L43" s="251">
        <v>3110709</v>
      </c>
      <c r="M43" s="63">
        <v>2095545.4776000001</v>
      </c>
      <c r="N43" s="64">
        <v>2226485.0013000006</v>
      </c>
      <c r="O43" s="65">
        <v>3110709</v>
      </c>
      <c r="P43" s="66">
        <v>3110709</v>
      </c>
      <c r="Q43" s="66">
        <f t="shared" si="4"/>
        <v>1807512.2420000001</v>
      </c>
      <c r="R43" s="63">
        <f t="shared" si="5"/>
        <v>1927743.875</v>
      </c>
      <c r="S43" s="83">
        <f t="shared" si="6"/>
        <v>2066794.012172</v>
      </c>
      <c r="T43" s="64">
        <f t="shared" si="7"/>
        <v>2189821.9346640003</v>
      </c>
      <c r="U43" s="66">
        <f t="shared" si="8"/>
        <v>2976722.1503999997</v>
      </c>
      <c r="V43" s="63">
        <f t="shared" si="9"/>
        <v>3110709</v>
      </c>
      <c r="W43" s="83">
        <f t="shared" si="10"/>
        <v>3110709</v>
      </c>
      <c r="X43" s="64">
        <f t="shared" si="11"/>
        <v>3110709</v>
      </c>
      <c r="Z43" s="67">
        <v>1760298.11</v>
      </c>
      <c r="AA43" s="68">
        <v>2167346.6392000006</v>
      </c>
      <c r="AB43" s="69">
        <v>3110709</v>
      </c>
      <c r="AC43" s="70">
        <v>3110709</v>
      </c>
      <c r="AD43" s="67">
        <v>2095545.4776000001</v>
      </c>
      <c r="AE43" s="68">
        <v>2226485.0013000006</v>
      </c>
      <c r="AF43" s="69">
        <v>3110709</v>
      </c>
      <c r="AG43" s="70">
        <v>3110709</v>
      </c>
      <c r="AH43" s="70">
        <f t="shared" si="12"/>
        <v>1807512.2420000001</v>
      </c>
      <c r="AI43" s="70">
        <f t="shared" si="13"/>
        <v>2053373.0510240004</v>
      </c>
      <c r="AJ43" s="70">
        <f t="shared" si="14"/>
        <v>2115649.8028480001</v>
      </c>
      <c r="AK43" s="70">
        <f t="shared" si="15"/>
        <v>2189821.9346640003</v>
      </c>
      <c r="AL43" s="70">
        <f t="shared" si="16"/>
        <v>2976722.1503999997</v>
      </c>
      <c r="AM43" s="70">
        <f t="shared" si="17"/>
        <v>3110709</v>
      </c>
      <c r="AN43" s="70">
        <f t="shared" si="18"/>
        <v>3110709</v>
      </c>
      <c r="AO43" s="70">
        <f t="shared" si="19"/>
        <v>3110709</v>
      </c>
    </row>
    <row r="44" spans="1:41">
      <c r="A44" s="29" t="s">
        <v>249</v>
      </c>
      <c r="B44" s="29" t="s">
        <v>658</v>
      </c>
      <c r="C44" s="107">
        <v>0</v>
      </c>
      <c r="D44" s="108">
        <v>2348721</v>
      </c>
      <c r="F44" s="107">
        <v>0</v>
      </c>
      <c r="G44" s="108">
        <v>2700000</v>
      </c>
      <c r="I44" s="64">
        <v>0</v>
      </c>
      <c r="J44" s="83">
        <v>0</v>
      </c>
      <c r="K44" s="66">
        <v>2700000</v>
      </c>
      <c r="L44" s="251">
        <v>2448904.8486000001</v>
      </c>
      <c r="M44" s="63">
        <v>0</v>
      </c>
      <c r="N44" s="64">
        <v>0</v>
      </c>
      <c r="O44" s="65">
        <v>2533777.3399</v>
      </c>
      <c r="P44" s="66">
        <v>2634156.1015000003</v>
      </c>
      <c r="Q44" s="66">
        <f t="shared" si="4"/>
        <v>0</v>
      </c>
      <c r="R44" s="63">
        <f t="shared" si="5"/>
        <v>0</v>
      </c>
      <c r="S44" s="83">
        <f t="shared" si="6"/>
        <v>0</v>
      </c>
      <c r="T44" s="64">
        <f t="shared" si="7"/>
        <v>0</v>
      </c>
      <c r="U44" s="66">
        <f t="shared" si="8"/>
        <v>2533564.0098000001</v>
      </c>
      <c r="V44" s="63">
        <f t="shared" si="9"/>
        <v>2567873.73133332</v>
      </c>
      <c r="W44" s="83">
        <f t="shared" si="10"/>
        <v>2493564.7535220599</v>
      </c>
      <c r="X44" s="64">
        <f t="shared" si="11"/>
        <v>2586596.6442539203</v>
      </c>
      <c r="Z44" s="67">
        <v>0</v>
      </c>
      <c r="AA44" s="68">
        <v>0</v>
      </c>
      <c r="AB44" s="69">
        <v>2700000</v>
      </c>
      <c r="AC44" s="70">
        <v>2598595.1686</v>
      </c>
      <c r="AD44" s="67">
        <v>0</v>
      </c>
      <c r="AE44" s="68">
        <v>0</v>
      </c>
      <c r="AF44" s="69">
        <v>2533777.3399</v>
      </c>
      <c r="AG44" s="70">
        <v>2634156.1015000003</v>
      </c>
      <c r="AH44" s="70">
        <f t="shared" si="12"/>
        <v>0</v>
      </c>
      <c r="AI44" s="70">
        <f t="shared" si="13"/>
        <v>0</v>
      </c>
      <c r="AJ44" s="70">
        <f t="shared" si="14"/>
        <v>0</v>
      </c>
      <c r="AK44" s="70">
        <f t="shared" si="15"/>
        <v>0</v>
      </c>
      <c r="AL44" s="70">
        <f t="shared" si="16"/>
        <v>2533564.0098000001</v>
      </c>
      <c r="AM44" s="70">
        <f t="shared" si="17"/>
        <v>2646640.7777173202</v>
      </c>
      <c r="AN44" s="70">
        <f t="shared" si="18"/>
        <v>2564488.02713806</v>
      </c>
      <c r="AO44" s="70">
        <f t="shared" si="19"/>
        <v>2586596.6442539203</v>
      </c>
    </row>
    <row r="45" spans="1:41">
      <c r="A45" s="29" t="s">
        <v>377</v>
      </c>
      <c r="B45" s="29" t="s">
        <v>659</v>
      </c>
      <c r="C45" s="107">
        <v>8128992.6600000001</v>
      </c>
      <c r="D45" s="108">
        <v>20467699</v>
      </c>
      <c r="F45" s="107">
        <v>6043971.2000000002</v>
      </c>
      <c r="G45" s="108">
        <v>22105114</v>
      </c>
      <c r="I45" s="64">
        <v>6043971.2000000002</v>
      </c>
      <c r="J45" s="83">
        <v>6734380.1079999991</v>
      </c>
      <c r="K45" s="66">
        <v>22105114</v>
      </c>
      <c r="L45" s="251">
        <v>23873524</v>
      </c>
      <c r="M45" s="63">
        <v>6732808.6094999993</v>
      </c>
      <c r="N45" s="64">
        <v>6609533.9997000014</v>
      </c>
      <c r="O45" s="65">
        <v>25520625.524999999</v>
      </c>
      <c r="P45" s="66">
        <v>25783405</v>
      </c>
      <c r="Q45" s="66">
        <f t="shared" si="4"/>
        <v>6627777.2088000011</v>
      </c>
      <c r="R45" s="63">
        <f t="shared" si="5"/>
        <v>6541065.6137600001</v>
      </c>
      <c r="S45" s="83">
        <f t="shared" si="6"/>
        <v>6733248.6290799994</v>
      </c>
      <c r="T45" s="64">
        <f t="shared" si="7"/>
        <v>6644050.8904440012</v>
      </c>
      <c r="U45" s="66">
        <f t="shared" si="8"/>
        <v>21329306.773000002</v>
      </c>
      <c r="V45" s="63">
        <f t="shared" si="9"/>
        <v>23035651.342</v>
      </c>
      <c r="W45" s="83">
        <f t="shared" si="10"/>
        <v>24740228.822454996</v>
      </c>
      <c r="X45" s="64">
        <f t="shared" si="11"/>
        <v>25658900.084744997</v>
      </c>
      <c r="Z45" s="67">
        <v>6043971.2000000002</v>
      </c>
      <c r="AA45" s="68">
        <v>7732797.1911999984</v>
      </c>
      <c r="AB45" s="69">
        <v>22105114</v>
      </c>
      <c r="AC45" s="70">
        <v>23873524</v>
      </c>
      <c r="AD45" s="67">
        <v>6732808.6094999993</v>
      </c>
      <c r="AE45" s="68">
        <v>6609533.9997000014</v>
      </c>
      <c r="AF45" s="69">
        <v>25520625.524999999</v>
      </c>
      <c r="AG45" s="70">
        <v>25783405</v>
      </c>
      <c r="AH45" s="70">
        <f t="shared" si="12"/>
        <v>6627777.2088000011</v>
      </c>
      <c r="AI45" s="70">
        <f t="shared" si="13"/>
        <v>7259925.9136639982</v>
      </c>
      <c r="AJ45" s="70">
        <f t="shared" si="14"/>
        <v>7012805.4123759996</v>
      </c>
      <c r="AK45" s="70">
        <f t="shared" si="15"/>
        <v>6644050.8904440012</v>
      </c>
      <c r="AL45" s="70">
        <f t="shared" si="16"/>
        <v>21329306.773000002</v>
      </c>
      <c r="AM45" s="70">
        <f t="shared" si="17"/>
        <v>23035651.342</v>
      </c>
      <c r="AN45" s="70">
        <f t="shared" si="18"/>
        <v>24740228.822454996</v>
      </c>
      <c r="AO45" s="70">
        <f t="shared" si="19"/>
        <v>25658900.084744997</v>
      </c>
    </row>
    <row r="46" spans="1:41">
      <c r="A46" s="29" t="s">
        <v>563</v>
      </c>
      <c r="B46" s="29" t="s">
        <v>660</v>
      </c>
      <c r="C46" s="107">
        <v>181853.41</v>
      </c>
      <c r="D46" s="108">
        <v>900000</v>
      </c>
      <c r="F46" s="107">
        <v>177575.55</v>
      </c>
      <c r="G46" s="108">
        <v>900000</v>
      </c>
      <c r="I46" s="64">
        <v>177575.55</v>
      </c>
      <c r="J46" s="83">
        <v>218911.66770000005</v>
      </c>
      <c r="K46" s="66">
        <v>900000</v>
      </c>
      <c r="L46" s="251">
        <v>900000</v>
      </c>
      <c r="M46" s="63">
        <v>226155.53429999994</v>
      </c>
      <c r="N46" s="64">
        <v>228970.64039999995</v>
      </c>
      <c r="O46" s="65">
        <v>900000</v>
      </c>
      <c r="P46" s="66">
        <v>900000</v>
      </c>
      <c r="Q46" s="66">
        <f t="shared" si="4"/>
        <v>178773.35080000001</v>
      </c>
      <c r="R46" s="63">
        <f t="shared" si="5"/>
        <v>207337.55474400005</v>
      </c>
      <c r="S46" s="83">
        <f t="shared" si="6"/>
        <v>224127.25165199995</v>
      </c>
      <c r="T46" s="64">
        <f t="shared" si="7"/>
        <v>228182.41069199995</v>
      </c>
      <c r="U46" s="66">
        <f t="shared" si="8"/>
        <v>900000</v>
      </c>
      <c r="V46" s="63">
        <f t="shared" si="9"/>
        <v>900000</v>
      </c>
      <c r="W46" s="83">
        <f t="shared" si="10"/>
        <v>900000</v>
      </c>
      <c r="X46" s="64">
        <f t="shared" si="11"/>
        <v>900000</v>
      </c>
      <c r="Z46" s="67">
        <v>177575.55</v>
      </c>
      <c r="AA46" s="68">
        <v>263407.73220000003</v>
      </c>
      <c r="AB46" s="69">
        <v>900000</v>
      </c>
      <c r="AC46" s="70">
        <v>900000</v>
      </c>
      <c r="AD46" s="67">
        <v>226155.53429999994</v>
      </c>
      <c r="AE46" s="68">
        <v>228970.64039999995</v>
      </c>
      <c r="AF46" s="69">
        <v>900000</v>
      </c>
      <c r="AG46" s="70">
        <v>900000</v>
      </c>
      <c r="AH46" s="70">
        <f t="shared" si="12"/>
        <v>178773.35080000001</v>
      </c>
      <c r="AI46" s="70">
        <f t="shared" si="13"/>
        <v>239374.72118400002</v>
      </c>
      <c r="AJ46" s="70">
        <f t="shared" si="14"/>
        <v>236586.14971199995</v>
      </c>
      <c r="AK46" s="70">
        <f t="shared" si="15"/>
        <v>228182.41069199995</v>
      </c>
      <c r="AL46" s="70">
        <f t="shared" si="16"/>
        <v>900000</v>
      </c>
      <c r="AM46" s="70">
        <f t="shared" si="17"/>
        <v>900000</v>
      </c>
      <c r="AN46" s="70">
        <f t="shared" si="18"/>
        <v>900000</v>
      </c>
      <c r="AO46" s="70">
        <f t="shared" si="19"/>
        <v>900000</v>
      </c>
    </row>
    <row r="47" spans="1:41">
      <c r="A47" s="29" t="s">
        <v>529</v>
      </c>
      <c r="B47" s="29" t="s">
        <v>661</v>
      </c>
      <c r="C47" s="107">
        <v>714762.56</v>
      </c>
      <c r="D47" s="108">
        <v>2600000</v>
      </c>
      <c r="F47" s="107">
        <v>452746.5</v>
      </c>
      <c r="G47" s="108">
        <v>2750000</v>
      </c>
      <c r="I47" s="64">
        <v>452746.5</v>
      </c>
      <c r="J47" s="83">
        <v>681387.45559999987</v>
      </c>
      <c r="K47" s="66">
        <v>2750000</v>
      </c>
      <c r="L47" s="251">
        <v>2750000</v>
      </c>
      <c r="M47" s="63">
        <v>624947.31239999982</v>
      </c>
      <c r="N47" s="64">
        <v>575823.06089999992</v>
      </c>
      <c r="O47" s="65">
        <v>2750000</v>
      </c>
      <c r="P47" s="66">
        <v>2750000</v>
      </c>
      <c r="Q47" s="66">
        <f t="shared" si="4"/>
        <v>526110.99680000008</v>
      </c>
      <c r="R47" s="63">
        <f t="shared" si="5"/>
        <v>617367.98803199991</v>
      </c>
      <c r="S47" s="83">
        <f t="shared" si="6"/>
        <v>640750.55249599984</v>
      </c>
      <c r="T47" s="64">
        <f t="shared" si="7"/>
        <v>589577.8513199999</v>
      </c>
      <c r="U47" s="66">
        <f t="shared" si="8"/>
        <v>2678930</v>
      </c>
      <c r="V47" s="63">
        <f t="shared" si="9"/>
        <v>2750000</v>
      </c>
      <c r="W47" s="83">
        <f t="shared" si="10"/>
        <v>2750000</v>
      </c>
      <c r="X47" s="64">
        <f t="shared" si="11"/>
        <v>2750000</v>
      </c>
      <c r="Z47" s="67">
        <v>452746.5</v>
      </c>
      <c r="AA47" s="68">
        <v>681387.45559999987</v>
      </c>
      <c r="AB47" s="69">
        <v>2750000</v>
      </c>
      <c r="AC47" s="70">
        <v>2750000</v>
      </c>
      <c r="AD47" s="67">
        <v>624947.31239999982</v>
      </c>
      <c r="AE47" s="68">
        <v>575823.06089999992</v>
      </c>
      <c r="AF47" s="69">
        <v>2750000</v>
      </c>
      <c r="AG47" s="70">
        <v>2750000</v>
      </c>
      <c r="AH47" s="70">
        <f t="shared" si="12"/>
        <v>526110.99680000008</v>
      </c>
      <c r="AI47" s="70">
        <f t="shared" si="13"/>
        <v>617367.98803199991</v>
      </c>
      <c r="AJ47" s="70">
        <f t="shared" si="14"/>
        <v>640750.55249599984</v>
      </c>
      <c r="AK47" s="70">
        <f t="shared" si="15"/>
        <v>589577.8513199999</v>
      </c>
      <c r="AL47" s="70">
        <f t="shared" si="16"/>
        <v>2678930</v>
      </c>
      <c r="AM47" s="70">
        <f t="shared" si="17"/>
        <v>2750000</v>
      </c>
      <c r="AN47" s="70">
        <f t="shared" si="18"/>
        <v>2750000</v>
      </c>
      <c r="AO47" s="70">
        <f t="shared" si="19"/>
        <v>2750000</v>
      </c>
    </row>
    <row r="48" spans="1:41">
      <c r="A48" s="29" t="s">
        <v>571</v>
      </c>
      <c r="B48" s="29" t="s">
        <v>662</v>
      </c>
      <c r="C48" s="107">
        <v>21577.88</v>
      </c>
      <c r="D48" s="108">
        <v>398947</v>
      </c>
      <c r="F48" s="107">
        <v>0</v>
      </c>
      <c r="G48" s="108">
        <v>398947</v>
      </c>
      <c r="I48" s="64">
        <v>0</v>
      </c>
      <c r="J48" s="83">
        <v>2876.3297999999554</v>
      </c>
      <c r="K48" s="66">
        <v>398947</v>
      </c>
      <c r="L48" s="251">
        <v>398947</v>
      </c>
      <c r="M48" s="63">
        <v>12961.998899999959</v>
      </c>
      <c r="N48" s="64">
        <v>15799.963200000026</v>
      </c>
      <c r="O48" s="65">
        <v>398947</v>
      </c>
      <c r="P48" s="66">
        <v>398947</v>
      </c>
      <c r="Q48" s="66">
        <f t="shared" si="4"/>
        <v>6041.8064000000013</v>
      </c>
      <c r="R48" s="63">
        <f t="shared" si="5"/>
        <v>2070.9574559999678</v>
      </c>
      <c r="S48" s="83">
        <f t="shared" si="6"/>
        <v>10138.011551999956</v>
      </c>
      <c r="T48" s="64">
        <f t="shared" si="7"/>
        <v>15005.333196000007</v>
      </c>
      <c r="U48" s="66">
        <f t="shared" si="8"/>
        <v>398947</v>
      </c>
      <c r="V48" s="63">
        <f t="shared" si="9"/>
        <v>398947</v>
      </c>
      <c r="W48" s="83">
        <f t="shared" si="10"/>
        <v>398947</v>
      </c>
      <c r="X48" s="64">
        <f t="shared" si="11"/>
        <v>398947</v>
      </c>
      <c r="Z48" s="67">
        <v>0</v>
      </c>
      <c r="AA48" s="68">
        <v>27868.730099999964</v>
      </c>
      <c r="AB48" s="69">
        <v>398947</v>
      </c>
      <c r="AC48" s="70">
        <v>398947</v>
      </c>
      <c r="AD48" s="67">
        <v>12961.998899999959</v>
      </c>
      <c r="AE48" s="68">
        <v>15799.963200000026</v>
      </c>
      <c r="AF48" s="69">
        <v>398947</v>
      </c>
      <c r="AG48" s="70">
        <v>398947</v>
      </c>
      <c r="AH48" s="70">
        <f t="shared" si="12"/>
        <v>6041.8064000000013</v>
      </c>
      <c r="AI48" s="70">
        <f t="shared" si="13"/>
        <v>20065.485671999973</v>
      </c>
      <c r="AJ48" s="70">
        <f t="shared" si="14"/>
        <v>17135.883635999962</v>
      </c>
      <c r="AK48" s="70">
        <f t="shared" si="15"/>
        <v>15005.333196000007</v>
      </c>
      <c r="AL48" s="70">
        <f t="shared" si="16"/>
        <v>398947</v>
      </c>
      <c r="AM48" s="70">
        <f t="shared" si="17"/>
        <v>398947</v>
      </c>
      <c r="AN48" s="70">
        <f t="shared" si="18"/>
        <v>398947</v>
      </c>
      <c r="AO48" s="70">
        <f t="shared" si="19"/>
        <v>398947</v>
      </c>
    </row>
    <row r="49" spans="1:41">
      <c r="A49" s="29" t="s">
        <v>499</v>
      </c>
      <c r="B49" s="29" t="s">
        <v>923</v>
      </c>
      <c r="C49" s="107">
        <v>0</v>
      </c>
      <c r="D49" s="108">
        <v>175000</v>
      </c>
      <c r="F49" s="107">
        <v>0</v>
      </c>
      <c r="G49" s="108">
        <v>175000</v>
      </c>
      <c r="I49" s="64">
        <v>0</v>
      </c>
      <c r="J49" s="83">
        <v>0</v>
      </c>
      <c r="K49" s="66">
        <v>175000</v>
      </c>
      <c r="L49" s="251">
        <v>175000</v>
      </c>
      <c r="M49" s="63">
        <v>0</v>
      </c>
      <c r="N49" s="64">
        <v>0</v>
      </c>
      <c r="O49" s="65">
        <v>175000</v>
      </c>
      <c r="P49" s="66">
        <v>175000</v>
      </c>
      <c r="Q49" s="66">
        <f t="shared" si="4"/>
        <v>0</v>
      </c>
      <c r="R49" s="63">
        <f t="shared" si="5"/>
        <v>0</v>
      </c>
      <c r="S49" s="83">
        <f t="shared" si="6"/>
        <v>0</v>
      </c>
      <c r="T49" s="64">
        <f t="shared" si="7"/>
        <v>0</v>
      </c>
      <c r="U49" s="66">
        <f t="shared" si="8"/>
        <v>175000</v>
      </c>
      <c r="V49" s="63">
        <f t="shared" si="9"/>
        <v>175000</v>
      </c>
      <c r="W49" s="83">
        <f t="shared" si="10"/>
        <v>175000</v>
      </c>
      <c r="X49" s="64">
        <f t="shared" si="11"/>
        <v>175000</v>
      </c>
      <c r="Z49" s="67">
        <v>0</v>
      </c>
      <c r="AA49" s="68">
        <v>0</v>
      </c>
      <c r="AB49" s="69">
        <v>175000</v>
      </c>
      <c r="AC49" s="70">
        <v>175000</v>
      </c>
      <c r="AD49" s="67">
        <v>0</v>
      </c>
      <c r="AE49" s="68">
        <v>0</v>
      </c>
      <c r="AF49" s="69">
        <v>175000</v>
      </c>
      <c r="AG49" s="70">
        <v>175000</v>
      </c>
      <c r="AH49" s="70">
        <f t="shared" si="12"/>
        <v>0</v>
      </c>
      <c r="AI49" s="70">
        <f t="shared" si="13"/>
        <v>0</v>
      </c>
      <c r="AJ49" s="70">
        <f t="shared" si="14"/>
        <v>0</v>
      </c>
      <c r="AK49" s="70">
        <f t="shared" si="15"/>
        <v>0</v>
      </c>
      <c r="AL49" s="70">
        <f t="shared" si="16"/>
        <v>175000</v>
      </c>
      <c r="AM49" s="70">
        <f t="shared" si="17"/>
        <v>175000</v>
      </c>
      <c r="AN49" s="70">
        <f t="shared" si="18"/>
        <v>175000</v>
      </c>
      <c r="AO49" s="70">
        <f t="shared" si="19"/>
        <v>175000</v>
      </c>
    </row>
    <row r="50" spans="1:41">
      <c r="A50" s="29" t="s">
        <v>533</v>
      </c>
      <c r="B50" s="29" t="s">
        <v>924</v>
      </c>
      <c r="C50" s="107">
        <v>0</v>
      </c>
      <c r="D50" s="108">
        <v>2500000</v>
      </c>
      <c r="F50" s="107">
        <v>0</v>
      </c>
      <c r="G50" s="108">
        <v>2006571</v>
      </c>
      <c r="I50" s="64">
        <v>0</v>
      </c>
      <c r="J50" s="83">
        <v>0</v>
      </c>
      <c r="K50" s="66">
        <v>2006571</v>
      </c>
      <c r="L50" s="251">
        <v>2015090.7865999998</v>
      </c>
      <c r="M50" s="63">
        <v>0</v>
      </c>
      <c r="N50" s="64">
        <v>0</v>
      </c>
      <c r="O50" s="65">
        <v>2084916.4607000002</v>
      </c>
      <c r="P50" s="66">
        <v>2167520.432</v>
      </c>
      <c r="Q50" s="66">
        <f t="shared" si="4"/>
        <v>0</v>
      </c>
      <c r="R50" s="63">
        <f t="shared" si="5"/>
        <v>0</v>
      </c>
      <c r="S50" s="83">
        <f t="shared" si="6"/>
        <v>0</v>
      </c>
      <c r="T50" s="64">
        <f t="shared" si="7"/>
        <v>0</v>
      </c>
      <c r="U50" s="66">
        <f t="shared" si="8"/>
        <v>2240357.6601999998</v>
      </c>
      <c r="V50" s="63">
        <f t="shared" si="9"/>
        <v>2011054.1117089198</v>
      </c>
      <c r="W50" s="83">
        <f t="shared" si="10"/>
        <v>2051833.0563114202</v>
      </c>
      <c r="X50" s="64">
        <f t="shared" si="11"/>
        <v>2128382.6703980602</v>
      </c>
      <c r="Z50" s="67">
        <v>0</v>
      </c>
      <c r="AA50" s="68">
        <v>0</v>
      </c>
      <c r="AB50" s="69">
        <v>2006571</v>
      </c>
      <c r="AC50" s="70">
        <v>2168753.6573999999</v>
      </c>
      <c r="AD50" s="67">
        <v>0</v>
      </c>
      <c r="AE50" s="68">
        <v>0</v>
      </c>
      <c r="AF50" s="69">
        <v>2084916.4607000002</v>
      </c>
      <c r="AG50" s="70">
        <v>2167520.432</v>
      </c>
      <c r="AH50" s="70">
        <f t="shared" si="12"/>
        <v>0</v>
      </c>
      <c r="AI50" s="70">
        <f t="shared" si="13"/>
        <v>0</v>
      </c>
      <c r="AJ50" s="70">
        <f t="shared" si="14"/>
        <v>0</v>
      </c>
      <c r="AK50" s="70">
        <f t="shared" si="15"/>
        <v>0</v>
      </c>
      <c r="AL50" s="70">
        <f t="shared" si="16"/>
        <v>2240357.6601999998</v>
      </c>
      <c r="AM50" s="70">
        <f t="shared" si="17"/>
        <v>2091911.51432388</v>
      </c>
      <c r="AN50" s="70">
        <f t="shared" si="18"/>
        <v>2124638.5244964603</v>
      </c>
      <c r="AO50" s="70">
        <f t="shared" si="19"/>
        <v>2128382.6703980602</v>
      </c>
    </row>
    <row r="51" spans="1:41">
      <c r="A51" s="29" t="s">
        <v>491</v>
      </c>
      <c r="B51" s="29" t="s">
        <v>663</v>
      </c>
      <c r="C51" s="107">
        <v>823070.17</v>
      </c>
      <c r="D51" s="108">
        <v>1687402</v>
      </c>
      <c r="F51" s="107">
        <v>632105.17000000004</v>
      </c>
      <c r="G51" s="108">
        <v>1738024</v>
      </c>
      <c r="I51" s="64">
        <v>632105.17000000004</v>
      </c>
      <c r="J51" s="83">
        <v>614142.50555733335</v>
      </c>
      <c r="K51" s="66">
        <v>1738024</v>
      </c>
      <c r="L51" s="251">
        <v>1738024</v>
      </c>
      <c r="M51" s="63">
        <v>548476.50863999955</v>
      </c>
      <c r="N51" s="64">
        <v>580475.00627999986</v>
      </c>
      <c r="O51" s="65">
        <v>1738024</v>
      </c>
      <c r="P51" s="66">
        <v>1738024</v>
      </c>
      <c r="Q51" s="66">
        <f t="shared" si="4"/>
        <v>685575.37000000011</v>
      </c>
      <c r="R51" s="63">
        <f t="shared" si="5"/>
        <v>619172.05160127999</v>
      </c>
      <c r="S51" s="83">
        <f t="shared" si="6"/>
        <v>566862.98777685303</v>
      </c>
      <c r="T51" s="64">
        <f t="shared" si="7"/>
        <v>571515.42694079969</v>
      </c>
      <c r="U51" s="66">
        <f t="shared" si="8"/>
        <v>1714039.2963999999</v>
      </c>
      <c r="V51" s="63">
        <f t="shared" si="9"/>
        <v>1738024</v>
      </c>
      <c r="W51" s="83">
        <f t="shared" si="10"/>
        <v>1738024</v>
      </c>
      <c r="X51" s="64">
        <f t="shared" si="11"/>
        <v>1738024</v>
      </c>
      <c r="Z51" s="67">
        <v>632105.17000000004</v>
      </c>
      <c r="AA51" s="68">
        <v>884949.52115200006</v>
      </c>
      <c r="AB51" s="69">
        <v>1738024</v>
      </c>
      <c r="AC51" s="70">
        <v>1738024</v>
      </c>
      <c r="AD51" s="67">
        <v>548476.50863999955</v>
      </c>
      <c r="AE51" s="68">
        <v>580475.00627999986</v>
      </c>
      <c r="AF51" s="69">
        <v>1738024</v>
      </c>
      <c r="AG51" s="70">
        <v>1738024</v>
      </c>
      <c r="AH51" s="70">
        <f t="shared" si="12"/>
        <v>685575.37000000011</v>
      </c>
      <c r="AI51" s="70">
        <f t="shared" si="13"/>
        <v>814153.10282944003</v>
      </c>
      <c r="AJ51" s="70">
        <f t="shared" si="14"/>
        <v>642688.9521433597</v>
      </c>
      <c r="AK51" s="70">
        <f t="shared" si="15"/>
        <v>571515.42694079969</v>
      </c>
      <c r="AL51" s="70">
        <f t="shared" si="16"/>
        <v>1714039.2963999999</v>
      </c>
      <c r="AM51" s="70">
        <f t="shared" si="17"/>
        <v>1738024</v>
      </c>
      <c r="AN51" s="70">
        <f t="shared" si="18"/>
        <v>1738024</v>
      </c>
      <c r="AO51" s="70">
        <f t="shared" si="19"/>
        <v>1738024</v>
      </c>
    </row>
    <row r="52" spans="1:41">
      <c r="A52" s="29" t="s">
        <v>401</v>
      </c>
      <c r="B52" s="29" t="s">
        <v>664</v>
      </c>
      <c r="C52" s="107">
        <v>0</v>
      </c>
      <c r="D52" s="108">
        <v>1329290</v>
      </c>
      <c r="F52" s="107">
        <v>0</v>
      </c>
      <c r="G52" s="108">
        <v>1395300</v>
      </c>
      <c r="I52" s="64">
        <v>0</v>
      </c>
      <c r="J52" s="83">
        <v>0</v>
      </c>
      <c r="K52" s="66">
        <v>1395300</v>
      </c>
      <c r="L52" s="251">
        <v>1439905.7319999998</v>
      </c>
      <c r="M52" s="63">
        <v>0</v>
      </c>
      <c r="N52" s="64">
        <v>0</v>
      </c>
      <c r="O52" s="65">
        <v>1489805.4679</v>
      </c>
      <c r="P52" s="66">
        <v>1500000</v>
      </c>
      <c r="Q52" s="66">
        <f t="shared" si="4"/>
        <v>0</v>
      </c>
      <c r="R52" s="63">
        <f t="shared" si="5"/>
        <v>0</v>
      </c>
      <c r="S52" s="83">
        <f t="shared" si="6"/>
        <v>0</v>
      </c>
      <c r="T52" s="64">
        <f t="shared" si="7"/>
        <v>0</v>
      </c>
      <c r="U52" s="66">
        <f t="shared" si="8"/>
        <v>1364024.4619999998</v>
      </c>
      <c r="V52" s="63">
        <f t="shared" si="9"/>
        <v>1418771.5361783998</v>
      </c>
      <c r="W52" s="83">
        <f t="shared" si="10"/>
        <v>1466162.97303058</v>
      </c>
      <c r="X52" s="64">
        <f t="shared" si="11"/>
        <v>1495169.83069102</v>
      </c>
      <c r="Z52" s="67">
        <v>0</v>
      </c>
      <c r="AA52" s="68">
        <v>0</v>
      </c>
      <c r="AB52" s="69">
        <v>1395300</v>
      </c>
      <c r="AC52" s="70">
        <v>1465065.2204</v>
      </c>
      <c r="AD52" s="67">
        <v>0</v>
      </c>
      <c r="AE52" s="68">
        <v>0</v>
      </c>
      <c r="AF52" s="69">
        <v>1489805.4679</v>
      </c>
      <c r="AG52" s="70">
        <v>1500000</v>
      </c>
      <c r="AH52" s="70">
        <f t="shared" si="12"/>
        <v>0</v>
      </c>
      <c r="AI52" s="70">
        <f t="shared" si="13"/>
        <v>0</v>
      </c>
      <c r="AJ52" s="70">
        <f t="shared" si="14"/>
        <v>0</v>
      </c>
      <c r="AK52" s="70">
        <f t="shared" si="15"/>
        <v>0</v>
      </c>
      <c r="AL52" s="70">
        <f t="shared" si="16"/>
        <v>1364024.4619999998</v>
      </c>
      <c r="AM52" s="70">
        <f t="shared" si="17"/>
        <v>1432010.4589744802</v>
      </c>
      <c r="AN52" s="70">
        <f t="shared" si="18"/>
        <v>1478083.5386345</v>
      </c>
      <c r="AO52" s="70">
        <f t="shared" si="19"/>
        <v>1495169.83069102</v>
      </c>
    </row>
    <row r="53" spans="1:41">
      <c r="A53" s="29" t="s">
        <v>411</v>
      </c>
      <c r="B53" s="29" t="s">
        <v>665</v>
      </c>
      <c r="C53" s="107">
        <v>0</v>
      </c>
      <c r="D53" s="108">
        <v>1075000</v>
      </c>
      <c r="F53" s="107">
        <v>0</v>
      </c>
      <c r="G53" s="108">
        <v>1014000</v>
      </c>
      <c r="I53" s="64">
        <v>0</v>
      </c>
      <c r="J53" s="83">
        <v>0</v>
      </c>
      <c r="K53" s="66">
        <v>1014000</v>
      </c>
      <c r="L53" s="251">
        <v>1164000</v>
      </c>
      <c r="M53" s="63">
        <v>0</v>
      </c>
      <c r="N53" s="64">
        <v>0</v>
      </c>
      <c r="O53" s="65">
        <v>1164000</v>
      </c>
      <c r="P53" s="66">
        <v>1164000</v>
      </c>
      <c r="Q53" s="66">
        <f t="shared" si="4"/>
        <v>0</v>
      </c>
      <c r="R53" s="63">
        <f t="shared" si="5"/>
        <v>0</v>
      </c>
      <c r="S53" s="83">
        <f t="shared" si="6"/>
        <v>0</v>
      </c>
      <c r="T53" s="64">
        <f t="shared" si="7"/>
        <v>0</v>
      </c>
      <c r="U53" s="66">
        <f t="shared" si="8"/>
        <v>1042901.8</v>
      </c>
      <c r="V53" s="63">
        <f t="shared" si="9"/>
        <v>1092930</v>
      </c>
      <c r="W53" s="83">
        <f t="shared" si="10"/>
        <v>1164000</v>
      </c>
      <c r="X53" s="64">
        <f t="shared" si="11"/>
        <v>1164000</v>
      </c>
      <c r="Z53" s="67">
        <v>0</v>
      </c>
      <c r="AA53" s="68">
        <v>0</v>
      </c>
      <c r="AB53" s="69">
        <v>1014000</v>
      </c>
      <c r="AC53" s="70">
        <v>1164000</v>
      </c>
      <c r="AD53" s="67">
        <v>0</v>
      </c>
      <c r="AE53" s="68">
        <v>0</v>
      </c>
      <c r="AF53" s="69">
        <v>1164000</v>
      </c>
      <c r="AG53" s="70">
        <v>1164000</v>
      </c>
      <c r="AH53" s="70">
        <f t="shared" si="12"/>
        <v>0</v>
      </c>
      <c r="AI53" s="70">
        <f t="shared" si="13"/>
        <v>0</v>
      </c>
      <c r="AJ53" s="70">
        <f t="shared" si="14"/>
        <v>0</v>
      </c>
      <c r="AK53" s="70">
        <f t="shared" si="15"/>
        <v>0</v>
      </c>
      <c r="AL53" s="70">
        <f t="shared" si="16"/>
        <v>1042901.8</v>
      </c>
      <c r="AM53" s="70">
        <f t="shared" si="17"/>
        <v>1092930</v>
      </c>
      <c r="AN53" s="70">
        <f t="shared" si="18"/>
        <v>1164000</v>
      </c>
      <c r="AO53" s="70">
        <f t="shared" si="19"/>
        <v>1164000</v>
      </c>
    </row>
    <row r="54" spans="1:41">
      <c r="A54" s="29" t="s">
        <v>157</v>
      </c>
      <c r="B54" s="29" t="s">
        <v>666</v>
      </c>
      <c r="C54" s="107">
        <v>126123.63</v>
      </c>
      <c r="D54" s="108">
        <v>593758</v>
      </c>
      <c r="F54" s="107">
        <v>89170.87</v>
      </c>
      <c r="G54" s="108">
        <v>624150</v>
      </c>
      <c r="I54" s="64">
        <v>89170.87</v>
      </c>
      <c r="J54" s="83">
        <v>296262.62680000003</v>
      </c>
      <c r="K54" s="66">
        <v>624150</v>
      </c>
      <c r="L54" s="251">
        <v>655991.86750000005</v>
      </c>
      <c r="M54" s="63">
        <v>287333.39879999991</v>
      </c>
      <c r="N54" s="64">
        <v>288236.01089999999</v>
      </c>
      <c r="O54" s="65">
        <v>682821</v>
      </c>
      <c r="P54" s="66">
        <v>682821</v>
      </c>
      <c r="Q54" s="66">
        <f t="shared" si="4"/>
        <v>99517.642800000001</v>
      </c>
      <c r="R54" s="63">
        <f t="shared" si="5"/>
        <v>238276.93489599999</v>
      </c>
      <c r="S54" s="83">
        <f t="shared" si="6"/>
        <v>289833.58263999992</v>
      </c>
      <c r="T54" s="64">
        <f t="shared" si="7"/>
        <v>287983.27951199998</v>
      </c>
      <c r="U54" s="66">
        <f t="shared" si="8"/>
        <v>609750.27040000004</v>
      </c>
      <c r="V54" s="63">
        <f t="shared" si="9"/>
        <v>640905.1906785001</v>
      </c>
      <c r="W54" s="83">
        <f t="shared" si="10"/>
        <v>670109.35702150001</v>
      </c>
      <c r="X54" s="64">
        <f t="shared" si="11"/>
        <v>682821</v>
      </c>
      <c r="Z54" s="67">
        <v>89170.87</v>
      </c>
      <c r="AA54" s="68">
        <v>296262.62680000003</v>
      </c>
      <c r="AB54" s="69">
        <v>624150</v>
      </c>
      <c r="AC54" s="70">
        <v>655991.86750000005</v>
      </c>
      <c r="AD54" s="67">
        <v>287333.39879999991</v>
      </c>
      <c r="AE54" s="68">
        <v>288236.01089999999</v>
      </c>
      <c r="AF54" s="69">
        <v>682821</v>
      </c>
      <c r="AG54" s="70">
        <v>682821</v>
      </c>
      <c r="AH54" s="70">
        <f t="shared" si="12"/>
        <v>99517.642800000001</v>
      </c>
      <c r="AI54" s="70">
        <f t="shared" si="13"/>
        <v>238276.93489599999</v>
      </c>
      <c r="AJ54" s="70">
        <f t="shared" si="14"/>
        <v>289833.58263999992</v>
      </c>
      <c r="AK54" s="70">
        <f t="shared" si="15"/>
        <v>287983.27951199998</v>
      </c>
      <c r="AL54" s="70">
        <f t="shared" si="16"/>
        <v>609750.27040000004</v>
      </c>
      <c r="AM54" s="70">
        <f t="shared" si="17"/>
        <v>640905.1906785001</v>
      </c>
      <c r="AN54" s="70">
        <f t="shared" si="18"/>
        <v>670109.35702150001</v>
      </c>
      <c r="AO54" s="70">
        <f t="shared" si="19"/>
        <v>682821</v>
      </c>
    </row>
    <row r="55" spans="1:41">
      <c r="A55" s="29" t="s">
        <v>127</v>
      </c>
      <c r="B55" s="29" t="s">
        <v>925</v>
      </c>
      <c r="C55" s="107">
        <v>11465.58</v>
      </c>
      <c r="D55" s="108">
        <v>366318</v>
      </c>
      <c r="F55" s="107">
        <v>0</v>
      </c>
      <c r="G55" s="108">
        <v>366318</v>
      </c>
      <c r="I55" s="64">
        <v>0</v>
      </c>
      <c r="J55" s="83">
        <v>11683.123999999998</v>
      </c>
      <c r="K55" s="66">
        <v>366318</v>
      </c>
      <c r="L55" s="251">
        <v>366318</v>
      </c>
      <c r="M55" s="63">
        <v>11810.001047999995</v>
      </c>
      <c r="N55" s="64">
        <v>20716.250478000027</v>
      </c>
      <c r="O55" s="65">
        <v>366318</v>
      </c>
      <c r="P55" s="66">
        <v>366318</v>
      </c>
      <c r="Q55" s="66">
        <f t="shared" si="4"/>
        <v>3210.3624000000004</v>
      </c>
      <c r="R55" s="63">
        <f t="shared" si="5"/>
        <v>8411.8492799999985</v>
      </c>
      <c r="S55" s="83">
        <f t="shared" si="6"/>
        <v>11774.475474559995</v>
      </c>
      <c r="T55" s="64">
        <f t="shared" si="7"/>
        <v>18222.500637600016</v>
      </c>
      <c r="U55" s="66">
        <f t="shared" si="8"/>
        <v>366318</v>
      </c>
      <c r="V55" s="63">
        <f t="shared" si="9"/>
        <v>366318</v>
      </c>
      <c r="W55" s="83">
        <f t="shared" si="10"/>
        <v>366318</v>
      </c>
      <c r="X55" s="64">
        <f t="shared" si="11"/>
        <v>366318</v>
      </c>
      <c r="Z55" s="67">
        <v>0</v>
      </c>
      <c r="AA55" s="68">
        <v>31204.551100000001</v>
      </c>
      <c r="AB55" s="69">
        <v>366318</v>
      </c>
      <c r="AC55" s="70">
        <v>366318</v>
      </c>
      <c r="AD55" s="67">
        <v>11810.001047999995</v>
      </c>
      <c r="AE55" s="68">
        <v>20716.250478000027</v>
      </c>
      <c r="AF55" s="69">
        <v>366318</v>
      </c>
      <c r="AG55" s="70">
        <v>366318</v>
      </c>
      <c r="AH55" s="70">
        <f t="shared" si="12"/>
        <v>3210.3624000000004</v>
      </c>
      <c r="AI55" s="70">
        <f t="shared" si="13"/>
        <v>22467.276792000001</v>
      </c>
      <c r="AJ55" s="70">
        <f t="shared" si="14"/>
        <v>17240.475062559999</v>
      </c>
      <c r="AK55" s="70">
        <f t="shared" si="15"/>
        <v>18222.500637600016</v>
      </c>
      <c r="AL55" s="70">
        <f t="shared" si="16"/>
        <v>366318</v>
      </c>
      <c r="AM55" s="70">
        <f t="shared" si="17"/>
        <v>366318</v>
      </c>
      <c r="AN55" s="70">
        <f t="shared" si="18"/>
        <v>366318</v>
      </c>
      <c r="AO55" s="70">
        <f t="shared" si="19"/>
        <v>366318</v>
      </c>
    </row>
    <row r="56" spans="1:41">
      <c r="A56" s="29" t="s">
        <v>169</v>
      </c>
      <c r="B56" s="29" t="s">
        <v>667</v>
      </c>
      <c r="C56" s="107">
        <v>0</v>
      </c>
      <c r="D56" s="108">
        <v>2440000</v>
      </c>
      <c r="F56" s="107">
        <v>0</v>
      </c>
      <c r="G56" s="108">
        <v>2440000</v>
      </c>
      <c r="I56" s="64">
        <v>0</v>
      </c>
      <c r="J56" s="83">
        <v>0</v>
      </c>
      <c r="K56" s="66">
        <v>2440000</v>
      </c>
      <c r="L56" s="251">
        <v>2440000</v>
      </c>
      <c r="M56" s="63">
        <v>0</v>
      </c>
      <c r="N56" s="64">
        <v>0</v>
      </c>
      <c r="O56" s="65">
        <v>2440000</v>
      </c>
      <c r="P56" s="66">
        <v>2440000</v>
      </c>
      <c r="Q56" s="66">
        <f t="shared" si="4"/>
        <v>0</v>
      </c>
      <c r="R56" s="63">
        <f t="shared" si="5"/>
        <v>0</v>
      </c>
      <c r="S56" s="83">
        <f t="shared" si="6"/>
        <v>0</v>
      </c>
      <c r="T56" s="64">
        <f t="shared" si="7"/>
        <v>0</v>
      </c>
      <c r="U56" s="66">
        <f t="shared" si="8"/>
        <v>2440000</v>
      </c>
      <c r="V56" s="63">
        <f t="shared" si="9"/>
        <v>2440000</v>
      </c>
      <c r="W56" s="83">
        <f t="shared" si="10"/>
        <v>2440000</v>
      </c>
      <c r="X56" s="64">
        <f t="shared" si="11"/>
        <v>2440000</v>
      </c>
      <c r="Z56" s="67">
        <v>0</v>
      </c>
      <c r="AA56" s="68">
        <v>0</v>
      </c>
      <c r="AB56" s="69">
        <v>2440000</v>
      </c>
      <c r="AC56" s="70">
        <v>2440000</v>
      </c>
      <c r="AD56" s="67">
        <v>0</v>
      </c>
      <c r="AE56" s="68">
        <v>0</v>
      </c>
      <c r="AF56" s="69">
        <v>2440000</v>
      </c>
      <c r="AG56" s="70">
        <v>2440000</v>
      </c>
      <c r="AH56" s="70">
        <f t="shared" si="12"/>
        <v>0</v>
      </c>
      <c r="AI56" s="70">
        <f t="shared" si="13"/>
        <v>0</v>
      </c>
      <c r="AJ56" s="70">
        <f t="shared" si="14"/>
        <v>0</v>
      </c>
      <c r="AK56" s="70">
        <f t="shared" si="15"/>
        <v>0</v>
      </c>
      <c r="AL56" s="70">
        <f t="shared" si="16"/>
        <v>2440000</v>
      </c>
      <c r="AM56" s="70">
        <f t="shared" si="17"/>
        <v>2440000</v>
      </c>
      <c r="AN56" s="70">
        <f t="shared" si="18"/>
        <v>2440000</v>
      </c>
      <c r="AO56" s="70">
        <f t="shared" si="19"/>
        <v>2440000</v>
      </c>
    </row>
    <row r="57" spans="1:41">
      <c r="A57" s="29" t="s">
        <v>45</v>
      </c>
      <c r="B57" s="29" t="s">
        <v>906</v>
      </c>
      <c r="C57" s="107">
        <v>0</v>
      </c>
      <c r="D57" s="108">
        <v>520000</v>
      </c>
      <c r="F57" s="107">
        <v>0</v>
      </c>
      <c r="G57" s="108">
        <v>521367.52</v>
      </c>
      <c r="I57" s="64">
        <v>0</v>
      </c>
      <c r="J57" s="83">
        <v>0</v>
      </c>
      <c r="K57" s="66">
        <v>521367.52</v>
      </c>
      <c r="L57" s="251">
        <v>520000</v>
      </c>
      <c r="M57" s="63">
        <v>0</v>
      </c>
      <c r="N57" s="64">
        <v>0</v>
      </c>
      <c r="O57" s="65">
        <v>520000</v>
      </c>
      <c r="P57" s="66">
        <v>520000</v>
      </c>
      <c r="Q57" s="66">
        <f t="shared" si="4"/>
        <v>0</v>
      </c>
      <c r="R57" s="63">
        <f t="shared" si="5"/>
        <v>0</v>
      </c>
      <c r="S57" s="83">
        <f t="shared" si="6"/>
        <v>0</v>
      </c>
      <c r="T57" s="64">
        <f t="shared" si="7"/>
        <v>0</v>
      </c>
      <c r="U57" s="66">
        <f t="shared" si="8"/>
        <v>520719.58902399999</v>
      </c>
      <c r="V57" s="63">
        <f t="shared" si="9"/>
        <v>520647.93097600003</v>
      </c>
      <c r="W57" s="83">
        <f t="shared" si="10"/>
        <v>520000</v>
      </c>
      <c r="X57" s="64">
        <f t="shared" si="11"/>
        <v>520000</v>
      </c>
      <c r="Z57" s="67">
        <v>0</v>
      </c>
      <c r="AA57" s="68">
        <v>0</v>
      </c>
      <c r="AB57" s="69">
        <v>521367.52</v>
      </c>
      <c r="AC57" s="70">
        <v>520000</v>
      </c>
      <c r="AD57" s="67">
        <v>0</v>
      </c>
      <c r="AE57" s="68">
        <v>0</v>
      </c>
      <c r="AF57" s="69">
        <v>520000</v>
      </c>
      <c r="AG57" s="70">
        <v>520000</v>
      </c>
      <c r="AH57" s="70">
        <f t="shared" si="12"/>
        <v>0</v>
      </c>
      <c r="AI57" s="70">
        <f t="shared" si="13"/>
        <v>0</v>
      </c>
      <c r="AJ57" s="70">
        <f t="shared" si="14"/>
        <v>0</v>
      </c>
      <c r="AK57" s="70">
        <f t="shared" si="15"/>
        <v>0</v>
      </c>
      <c r="AL57" s="70">
        <f t="shared" si="16"/>
        <v>520719.58902399999</v>
      </c>
      <c r="AM57" s="70">
        <f t="shared" si="17"/>
        <v>520647.93097600003</v>
      </c>
      <c r="AN57" s="70">
        <f t="shared" si="18"/>
        <v>520000</v>
      </c>
      <c r="AO57" s="70">
        <f t="shared" si="19"/>
        <v>520000</v>
      </c>
    </row>
    <row r="58" spans="1:41">
      <c r="A58" s="29" t="s">
        <v>303</v>
      </c>
      <c r="B58" s="29" t="s">
        <v>668</v>
      </c>
      <c r="C58" s="107">
        <v>0</v>
      </c>
      <c r="D58" s="108">
        <v>240000</v>
      </c>
      <c r="F58" s="107">
        <v>0</v>
      </c>
      <c r="G58" s="108">
        <v>240000</v>
      </c>
      <c r="I58" s="64">
        <v>0</v>
      </c>
      <c r="J58" s="83">
        <v>0</v>
      </c>
      <c r="K58" s="66">
        <v>240000</v>
      </c>
      <c r="L58" s="251">
        <v>240000</v>
      </c>
      <c r="M58" s="63">
        <v>0</v>
      </c>
      <c r="N58" s="64">
        <v>0</v>
      </c>
      <c r="O58" s="65">
        <v>240000</v>
      </c>
      <c r="P58" s="66">
        <v>240000</v>
      </c>
      <c r="Q58" s="66">
        <f t="shared" si="4"/>
        <v>0</v>
      </c>
      <c r="R58" s="63">
        <f t="shared" si="5"/>
        <v>0</v>
      </c>
      <c r="S58" s="83">
        <f t="shared" si="6"/>
        <v>0</v>
      </c>
      <c r="T58" s="64">
        <f t="shared" si="7"/>
        <v>0</v>
      </c>
      <c r="U58" s="66">
        <f t="shared" si="8"/>
        <v>240000</v>
      </c>
      <c r="V58" s="63">
        <f t="shared" si="9"/>
        <v>240000</v>
      </c>
      <c r="W58" s="83">
        <f t="shared" si="10"/>
        <v>240000</v>
      </c>
      <c r="X58" s="64">
        <f t="shared" si="11"/>
        <v>240000</v>
      </c>
      <c r="Z58" s="67">
        <v>0</v>
      </c>
      <c r="AA58" s="68">
        <v>0</v>
      </c>
      <c r="AB58" s="69">
        <v>240000</v>
      </c>
      <c r="AC58" s="70">
        <v>240000</v>
      </c>
      <c r="AD58" s="67">
        <v>0</v>
      </c>
      <c r="AE58" s="68">
        <v>0</v>
      </c>
      <c r="AF58" s="69">
        <v>240000</v>
      </c>
      <c r="AG58" s="70">
        <v>240000</v>
      </c>
      <c r="AH58" s="70">
        <f t="shared" si="12"/>
        <v>0</v>
      </c>
      <c r="AI58" s="70">
        <f t="shared" si="13"/>
        <v>0</v>
      </c>
      <c r="AJ58" s="70">
        <f t="shared" si="14"/>
        <v>0</v>
      </c>
      <c r="AK58" s="70">
        <f t="shared" si="15"/>
        <v>0</v>
      </c>
      <c r="AL58" s="70">
        <f t="shared" si="16"/>
        <v>240000</v>
      </c>
      <c r="AM58" s="70">
        <f t="shared" si="17"/>
        <v>240000</v>
      </c>
      <c r="AN58" s="70">
        <f t="shared" si="18"/>
        <v>240000</v>
      </c>
      <c r="AO58" s="70">
        <f t="shared" si="19"/>
        <v>240000</v>
      </c>
    </row>
    <row r="59" spans="1:41">
      <c r="A59" s="29" t="s">
        <v>103</v>
      </c>
      <c r="B59" s="29" t="s">
        <v>669</v>
      </c>
      <c r="C59" s="107">
        <v>206134.55</v>
      </c>
      <c r="D59" s="108">
        <v>195000</v>
      </c>
      <c r="F59" s="107">
        <v>269189.49</v>
      </c>
      <c r="G59" s="108">
        <v>200000</v>
      </c>
      <c r="I59" s="64">
        <v>269189.49</v>
      </c>
      <c r="J59" s="83">
        <v>295803.92196000007</v>
      </c>
      <c r="K59" s="66">
        <v>200000</v>
      </c>
      <c r="L59" s="251">
        <v>200000</v>
      </c>
      <c r="M59" s="63">
        <v>296571.26570999995</v>
      </c>
      <c r="N59" s="64">
        <v>312099.70035999996</v>
      </c>
      <c r="O59" s="65">
        <v>200000</v>
      </c>
      <c r="P59" s="66">
        <v>200000</v>
      </c>
      <c r="Q59" s="66">
        <f t="shared" si="4"/>
        <v>251534.10679999998</v>
      </c>
      <c r="R59" s="63">
        <f t="shared" si="5"/>
        <v>288351.88101120002</v>
      </c>
      <c r="S59" s="83">
        <f t="shared" si="6"/>
        <v>296356.40946</v>
      </c>
      <c r="T59" s="64">
        <f t="shared" si="7"/>
        <v>307751.73865799996</v>
      </c>
      <c r="U59" s="66">
        <f t="shared" si="8"/>
        <v>197631</v>
      </c>
      <c r="V59" s="63">
        <f t="shared" si="9"/>
        <v>200000</v>
      </c>
      <c r="W59" s="83">
        <f t="shared" si="10"/>
        <v>200000</v>
      </c>
      <c r="X59" s="64">
        <f t="shared" si="11"/>
        <v>200000</v>
      </c>
      <c r="Z59" s="67">
        <v>269189.49</v>
      </c>
      <c r="AA59" s="68">
        <v>295803.92196000007</v>
      </c>
      <c r="AB59" s="69">
        <v>200000</v>
      </c>
      <c r="AC59" s="70">
        <v>200000</v>
      </c>
      <c r="AD59" s="67">
        <v>296571.26570999995</v>
      </c>
      <c r="AE59" s="68">
        <v>312099.70035999996</v>
      </c>
      <c r="AF59" s="69">
        <v>200000</v>
      </c>
      <c r="AG59" s="70">
        <v>200000</v>
      </c>
      <c r="AH59" s="70">
        <f t="shared" si="12"/>
        <v>251534.10679999998</v>
      </c>
      <c r="AI59" s="70">
        <f t="shared" si="13"/>
        <v>288351.88101120002</v>
      </c>
      <c r="AJ59" s="70">
        <f t="shared" si="14"/>
        <v>296356.40946</v>
      </c>
      <c r="AK59" s="70">
        <f t="shared" si="15"/>
        <v>307751.73865799996</v>
      </c>
      <c r="AL59" s="70">
        <f t="shared" si="16"/>
        <v>197631</v>
      </c>
      <c r="AM59" s="70">
        <f t="shared" si="17"/>
        <v>200000</v>
      </c>
      <c r="AN59" s="70">
        <f t="shared" si="18"/>
        <v>200000</v>
      </c>
      <c r="AO59" s="70">
        <f t="shared" si="19"/>
        <v>200000</v>
      </c>
    </row>
    <row r="60" spans="1:41">
      <c r="A60" s="29" t="s">
        <v>357</v>
      </c>
      <c r="B60" s="29" t="s">
        <v>670</v>
      </c>
      <c r="C60" s="107">
        <v>0</v>
      </c>
      <c r="D60" s="108">
        <v>495000</v>
      </c>
      <c r="F60" s="107">
        <v>0</v>
      </c>
      <c r="G60" s="108">
        <v>495000</v>
      </c>
      <c r="I60" s="64">
        <v>0</v>
      </c>
      <c r="J60" s="83">
        <v>11593.727399999994</v>
      </c>
      <c r="K60" s="66">
        <v>495000</v>
      </c>
      <c r="L60" s="251">
        <v>495000</v>
      </c>
      <c r="M60" s="63">
        <v>18912.055651999941</v>
      </c>
      <c r="N60" s="64">
        <v>38586.333320000042</v>
      </c>
      <c r="O60" s="65">
        <v>495000</v>
      </c>
      <c r="P60" s="66">
        <v>495000</v>
      </c>
      <c r="Q60" s="66">
        <f t="shared" si="4"/>
        <v>0</v>
      </c>
      <c r="R60" s="63">
        <f t="shared" si="5"/>
        <v>8347.4837279999956</v>
      </c>
      <c r="S60" s="83">
        <f t="shared" si="6"/>
        <v>16862.923741439954</v>
      </c>
      <c r="T60" s="64">
        <f t="shared" si="7"/>
        <v>33077.535572960012</v>
      </c>
      <c r="U60" s="66">
        <f t="shared" si="8"/>
        <v>495000</v>
      </c>
      <c r="V60" s="63">
        <f t="shared" si="9"/>
        <v>495000</v>
      </c>
      <c r="W60" s="83">
        <f t="shared" si="10"/>
        <v>495000</v>
      </c>
      <c r="X60" s="64">
        <f t="shared" si="11"/>
        <v>495000</v>
      </c>
      <c r="Z60" s="67">
        <v>0</v>
      </c>
      <c r="AA60" s="68">
        <v>11593.727399999994</v>
      </c>
      <c r="AB60" s="69">
        <v>495000</v>
      </c>
      <c r="AC60" s="70">
        <v>495000</v>
      </c>
      <c r="AD60" s="67">
        <v>18912.055651999941</v>
      </c>
      <c r="AE60" s="68">
        <v>38586.333320000042</v>
      </c>
      <c r="AF60" s="69">
        <v>495000</v>
      </c>
      <c r="AG60" s="70">
        <v>495000</v>
      </c>
      <c r="AH60" s="70">
        <f t="shared" si="12"/>
        <v>0</v>
      </c>
      <c r="AI60" s="70">
        <f t="shared" si="13"/>
        <v>8347.4837279999956</v>
      </c>
      <c r="AJ60" s="70">
        <f t="shared" si="14"/>
        <v>16862.923741439954</v>
      </c>
      <c r="AK60" s="70">
        <f t="shared" si="15"/>
        <v>33077.535572960012</v>
      </c>
      <c r="AL60" s="70">
        <f t="shared" si="16"/>
        <v>495000</v>
      </c>
      <c r="AM60" s="70">
        <f t="shared" si="17"/>
        <v>495000</v>
      </c>
      <c r="AN60" s="70">
        <f t="shared" si="18"/>
        <v>495000</v>
      </c>
      <c r="AO60" s="70">
        <f t="shared" si="19"/>
        <v>495000</v>
      </c>
    </row>
    <row r="61" spans="1:41">
      <c r="A61" s="29" t="s">
        <v>239</v>
      </c>
      <c r="B61" s="29" t="s">
        <v>895</v>
      </c>
      <c r="C61" s="107">
        <v>0</v>
      </c>
      <c r="D61" s="108">
        <v>85000</v>
      </c>
      <c r="F61" s="107">
        <v>0</v>
      </c>
      <c r="G61" s="108">
        <v>85000</v>
      </c>
      <c r="I61" s="64">
        <v>0</v>
      </c>
      <c r="J61" s="83">
        <v>0</v>
      </c>
      <c r="K61" s="66">
        <v>85000</v>
      </c>
      <c r="L61" s="251">
        <v>85000</v>
      </c>
      <c r="M61" s="63">
        <v>0</v>
      </c>
      <c r="N61" s="64">
        <v>0</v>
      </c>
      <c r="O61" s="65">
        <v>85000</v>
      </c>
      <c r="P61" s="66">
        <v>85000</v>
      </c>
      <c r="Q61" s="66">
        <f t="shared" si="4"/>
        <v>0</v>
      </c>
      <c r="R61" s="63">
        <f t="shared" si="5"/>
        <v>0</v>
      </c>
      <c r="S61" s="83">
        <f t="shared" si="6"/>
        <v>0</v>
      </c>
      <c r="T61" s="64">
        <f t="shared" si="7"/>
        <v>0</v>
      </c>
      <c r="U61" s="66">
        <f t="shared" si="8"/>
        <v>85000</v>
      </c>
      <c r="V61" s="63">
        <f t="shared" si="9"/>
        <v>85000</v>
      </c>
      <c r="W61" s="83">
        <f t="shared" si="10"/>
        <v>85000</v>
      </c>
      <c r="X61" s="64">
        <f t="shared" si="11"/>
        <v>85000</v>
      </c>
      <c r="Z61" s="67">
        <v>0</v>
      </c>
      <c r="AA61" s="68">
        <v>0</v>
      </c>
      <c r="AB61" s="69">
        <v>85000</v>
      </c>
      <c r="AC61" s="70">
        <v>85000</v>
      </c>
      <c r="AD61" s="67">
        <v>0</v>
      </c>
      <c r="AE61" s="68">
        <v>0</v>
      </c>
      <c r="AF61" s="69">
        <v>85000</v>
      </c>
      <c r="AG61" s="70">
        <v>85000</v>
      </c>
      <c r="AH61" s="70">
        <f t="shared" si="12"/>
        <v>0</v>
      </c>
      <c r="AI61" s="70">
        <f t="shared" si="13"/>
        <v>0</v>
      </c>
      <c r="AJ61" s="70">
        <f t="shared" si="14"/>
        <v>0</v>
      </c>
      <c r="AK61" s="70">
        <f t="shared" si="15"/>
        <v>0</v>
      </c>
      <c r="AL61" s="70">
        <f t="shared" si="16"/>
        <v>85000</v>
      </c>
      <c r="AM61" s="70">
        <f t="shared" si="17"/>
        <v>85000</v>
      </c>
      <c r="AN61" s="70">
        <f t="shared" si="18"/>
        <v>85000</v>
      </c>
      <c r="AO61" s="70">
        <f t="shared" si="19"/>
        <v>85000</v>
      </c>
    </row>
    <row r="62" spans="1:41">
      <c r="A62" s="29" t="s">
        <v>445</v>
      </c>
      <c r="B62" s="29" t="s">
        <v>671</v>
      </c>
      <c r="C62" s="107">
        <v>0</v>
      </c>
      <c r="D62" s="108">
        <v>520596</v>
      </c>
      <c r="F62" s="107">
        <v>0</v>
      </c>
      <c r="G62" s="108">
        <v>520596</v>
      </c>
      <c r="I62" s="64">
        <v>0</v>
      </c>
      <c r="J62" s="83">
        <v>0</v>
      </c>
      <c r="K62" s="66">
        <v>520596</v>
      </c>
      <c r="L62" s="251">
        <v>520596</v>
      </c>
      <c r="M62" s="63">
        <v>0</v>
      </c>
      <c r="N62" s="64">
        <v>0</v>
      </c>
      <c r="O62" s="65">
        <v>520596</v>
      </c>
      <c r="P62" s="66">
        <v>520596</v>
      </c>
      <c r="Q62" s="66">
        <f t="shared" si="4"/>
        <v>0</v>
      </c>
      <c r="R62" s="63">
        <f t="shared" si="5"/>
        <v>0</v>
      </c>
      <c r="S62" s="83">
        <f t="shared" si="6"/>
        <v>0</v>
      </c>
      <c r="T62" s="64">
        <f t="shared" si="7"/>
        <v>0</v>
      </c>
      <c r="U62" s="66">
        <f t="shared" si="8"/>
        <v>520596</v>
      </c>
      <c r="V62" s="63">
        <f t="shared" si="9"/>
        <v>520596</v>
      </c>
      <c r="W62" s="83">
        <f t="shared" si="10"/>
        <v>520596</v>
      </c>
      <c r="X62" s="64">
        <f t="shared" si="11"/>
        <v>520596</v>
      </c>
      <c r="Z62" s="67">
        <v>0</v>
      </c>
      <c r="AA62" s="68">
        <v>0</v>
      </c>
      <c r="AB62" s="69">
        <v>520596</v>
      </c>
      <c r="AC62" s="70">
        <v>520596</v>
      </c>
      <c r="AD62" s="67">
        <v>0</v>
      </c>
      <c r="AE62" s="68">
        <v>0</v>
      </c>
      <c r="AF62" s="69">
        <v>520596</v>
      </c>
      <c r="AG62" s="70">
        <v>520596</v>
      </c>
      <c r="AH62" s="70">
        <f t="shared" si="12"/>
        <v>0</v>
      </c>
      <c r="AI62" s="70">
        <f t="shared" si="13"/>
        <v>0</v>
      </c>
      <c r="AJ62" s="70">
        <f t="shared" si="14"/>
        <v>0</v>
      </c>
      <c r="AK62" s="70">
        <f t="shared" si="15"/>
        <v>0</v>
      </c>
      <c r="AL62" s="70">
        <f t="shared" si="16"/>
        <v>520596</v>
      </c>
      <c r="AM62" s="70">
        <f t="shared" si="17"/>
        <v>520596</v>
      </c>
      <c r="AN62" s="70">
        <f t="shared" si="18"/>
        <v>520596</v>
      </c>
      <c r="AO62" s="70">
        <f t="shared" si="19"/>
        <v>520596</v>
      </c>
    </row>
    <row r="63" spans="1:41">
      <c r="A63" s="29" t="s">
        <v>311</v>
      </c>
      <c r="B63" s="29" t="s">
        <v>672</v>
      </c>
      <c r="C63" s="107">
        <v>418773.27</v>
      </c>
      <c r="D63" s="108">
        <v>738000</v>
      </c>
      <c r="F63" s="107">
        <v>385408.37</v>
      </c>
      <c r="G63" s="108">
        <v>760000</v>
      </c>
      <c r="I63" s="64">
        <v>385408.37</v>
      </c>
      <c r="J63" s="83">
        <v>421521.02630000003</v>
      </c>
      <c r="K63" s="66">
        <v>760000</v>
      </c>
      <c r="L63" s="251">
        <v>782000</v>
      </c>
      <c r="M63" s="63">
        <v>421454.68380000012</v>
      </c>
      <c r="N63" s="64">
        <v>431881.57829999994</v>
      </c>
      <c r="O63" s="65">
        <v>805000</v>
      </c>
      <c r="P63" s="66">
        <v>805000</v>
      </c>
      <c r="Q63" s="66">
        <f t="shared" si="4"/>
        <v>394750.54200000002</v>
      </c>
      <c r="R63" s="63">
        <f t="shared" si="5"/>
        <v>411409.48253600002</v>
      </c>
      <c r="S63" s="83">
        <f t="shared" si="6"/>
        <v>421473.25970000011</v>
      </c>
      <c r="T63" s="64">
        <f t="shared" si="7"/>
        <v>428962.04783999996</v>
      </c>
      <c r="U63" s="66">
        <f t="shared" si="8"/>
        <v>749576.4</v>
      </c>
      <c r="V63" s="63">
        <f t="shared" si="9"/>
        <v>771576.4</v>
      </c>
      <c r="W63" s="83">
        <f t="shared" si="10"/>
        <v>794102.6</v>
      </c>
      <c r="X63" s="64">
        <f t="shared" si="11"/>
        <v>805000</v>
      </c>
      <c r="Z63" s="67">
        <v>385408.37</v>
      </c>
      <c r="AA63" s="68">
        <v>454169.23649999994</v>
      </c>
      <c r="AB63" s="69">
        <v>760000</v>
      </c>
      <c r="AC63" s="70">
        <v>782000</v>
      </c>
      <c r="AD63" s="67">
        <v>421454.68380000012</v>
      </c>
      <c r="AE63" s="68">
        <v>431881.57829999994</v>
      </c>
      <c r="AF63" s="69">
        <v>805000</v>
      </c>
      <c r="AG63" s="70">
        <v>805000</v>
      </c>
      <c r="AH63" s="70">
        <f t="shared" si="12"/>
        <v>394750.54200000002</v>
      </c>
      <c r="AI63" s="70">
        <f t="shared" si="13"/>
        <v>434916.19387999998</v>
      </c>
      <c r="AJ63" s="70">
        <f t="shared" si="14"/>
        <v>430614.75855600007</v>
      </c>
      <c r="AK63" s="70">
        <f t="shared" si="15"/>
        <v>428962.04783999996</v>
      </c>
      <c r="AL63" s="70">
        <f t="shared" si="16"/>
        <v>749576.4</v>
      </c>
      <c r="AM63" s="70">
        <f t="shared" si="17"/>
        <v>771576.4</v>
      </c>
      <c r="AN63" s="70">
        <f t="shared" si="18"/>
        <v>794102.6</v>
      </c>
      <c r="AO63" s="70">
        <f t="shared" si="19"/>
        <v>805000</v>
      </c>
    </row>
    <row r="64" spans="1:41">
      <c r="A64" s="29" t="s">
        <v>73</v>
      </c>
      <c r="B64" s="29" t="s">
        <v>673</v>
      </c>
      <c r="C64" s="107">
        <v>0</v>
      </c>
      <c r="D64" s="108">
        <v>1051600</v>
      </c>
      <c r="F64" s="107">
        <v>0</v>
      </c>
      <c r="G64" s="108">
        <v>1074800</v>
      </c>
      <c r="I64" s="64">
        <v>0</v>
      </c>
      <c r="J64" s="83">
        <v>0</v>
      </c>
      <c r="K64" s="66">
        <v>1074800</v>
      </c>
      <c r="L64" s="251">
        <v>1098400</v>
      </c>
      <c r="M64" s="63">
        <v>0</v>
      </c>
      <c r="N64" s="64">
        <v>0</v>
      </c>
      <c r="O64" s="65">
        <v>1120000</v>
      </c>
      <c r="P64" s="66">
        <v>1120000</v>
      </c>
      <c r="Q64" s="66">
        <f t="shared" si="4"/>
        <v>0</v>
      </c>
      <c r="R64" s="63">
        <f t="shared" si="5"/>
        <v>0</v>
      </c>
      <c r="S64" s="83">
        <f t="shared" si="6"/>
        <v>0</v>
      </c>
      <c r="T64" s="64">
        <f t="shared" si="7"/>
        <v>0</v>
      </c>
      <c r="U64" s="66">
        <f t="shared" si="8"/>
        <v>1063807.8400000001</v>
      </c>
      <c r="V64" s="63">
        <f t="shared" si="9"/>
        <v>1087218.3199999998</v>
      </c>
      <c r="W64" s="83">
        <f t="shared" si="10"/>
        <v>1109765.92</v>
      </c>
      <c r="X64" s="64">
        <f t="shared" si="11"/>
        <v>1120000</v>
      </c>
      <c r="Z64" s="67">
        <v>0</v>
      </c>
      <c r="AA64" s="68">
        <v>0</v>
      </c>
      <c r="AB64" s="69">
        <v>1074800</v>
      </c>
      <c r="AC64" s="70">
        <v>1098400</v>
      </c>
      <c r="AD64" s="67">
        <v>0</v>
      </c>
      <c r="AE64" s="68">
        <v>0</v>
      </c>
      <c r="AF64" s="69">
        <v>1120000</v>
      </c>
      <c r="AG64" s="70">
        <v>1120000</v>
      </c>
      <c r="AH64" s="70">
        <f t="shared" si="12"/>
        <v>0</v>
      </c>
      <c r="AI64" s="70">
        <f t="shared" si="13"/>
        <v>0</v>
      </c>
      <c r="AJ64" s="70">
        <f t="shared" si="14"/>
        <v>0</v>
      </c>
      <c r="AK64" s="70">
        <f t="shared" si="15"/>
        <v>0</v>
      </c>
      <c r="AL64" s="70">
        <f t="shared" si="16"/>
        <v>1063807.8400000001</v>
      </c>
      <c r="AM64" s="70">
        <f t="shared" si="17"/>
        <v>1087218.3199999998</v>
      </c>
      <c r="AN64" s="70">
        <f t="shared" si="18"/>
        <v>1109765.92</v>
      </c>
      <c r="AO64" s="70">
        <f t="shared" si="19"/>
        <v>1120000</v>
      </c>
    </row>
    <row r="65" spans="1:41">
      <c r="A65" s="29" t="s">
        <v>475</v>
      </c>
      <c r="B65" s="29" t="s">
        <v>674</v>
      </c>
      <c r="C65" s="107">
        <v>2055951.25</v>
      </c>
      <c r="D65" s="108">
        <v>2000000</v>
      </c>
      <c r="F65" s="107">
        <v>1893541.76</v>
      </c>
      <c r="G65" s="108">
        <v>2205000</v>
      </c>
      <c r="I65" s="64">
        <v>1893541.76</v>
      </c>
      <c r="J65" s="83">
        <v>1886471.7389</v>
      </c>
      <c r="K65" s="66">
        <v>2205000</v>
      </c>
      <c r="L65" s="251">
        <v>2550000</v>
      </c>
      <c r="M65" s="63">
        <v>1842938.1087000002</v>
      </c>
      <c r="N65" s="64">
        <v>1788372.9472180002</v>
      </c>
      <c r="O65" s="65">
        <v>2550000</v>
      </c>
      <c r="P65" s="66">
        <v>2550000</v>
      </c>
      <c r="Q65" s="66">
        <f t="shared" si="4"/>
        <v>1939016.4172</v>
      </c>
      <c r="R65" s="63">
        <f t="shared" si="5"/>
        <v>1888451.3448080001</v>
      </c>
      <c r="S65" s="83">
        <f t="shared" si="6"/>
        <v>1855127.5251560002</v>
      </c>
      <c r="T65" s="64">
        <f t="shared" si="7"/>
        <v>1803651.19243296</v>
      </c>
      <c r="U65" s="66">
        <f t="shared" si="8"/>
        <v>2107871</v>
      </c>
      <c r="V65" s="63">
        <f t="shared" si="9"/>
        <v>2386539</v>
      </c>
      <c r="W65" s="83">
        <f t="shared" si="10"/>
        <v>2550000</v>
      </c>
      <c r="X65" s="64">
        <f t="shared" si="11"/>
        <v>2550000</v>
      </c>
      <c r="Z65" s="67">
        <v>1893541.76</v>
      </c>
      <c r="AA65" s="68">
        <v>2170553.7985999994</v>
      </c>
      <c r="AB65" s="69">
        <v>2205000</v>
      </c>
      <c r="AC65" s="70">
        <v>2550000</v>
      </c>
      <c r="AD65" s="67">
        <v>1842938.1087000002</v>
      </c>
      <c r="AE65" s="68">
        <v>1788372.9472180002</v>
      </c>
      <c r="AF65" s="69">
        <v>2550000</v>
      </c>
      <c r="AG65" s="70">
        <v>2550000</v>
      </c>
      <c r="AH65" s="70">
        <f t="shared" si="12"/>
        <v>1939016.4172</v>
      </c>
      <c r="AI65" s="70">
        <f t="shared" si="13"/>
        <v>2092990.4277919997</v>
      </c>
      <c r="AJ65" s="70">
        <f t="shared" si="14"/>
        <v>1934670.5018719998</v>
      </c>
      <c r="AK65" s="70">
        <f t="shared" si="15"/>
        <v>1803651.19243296</v>
      </c>
      <c r="AL65" s="70">
        <f t="shared" si="16"/>
        <v>2107871</v>
      </c>
      <c r="AM65" s="70">
        <f t="shared" si="17"/>
        <v>2386539</v>
      </c>
      <c r="AN65" s="70">
        <f t="shared" si="18"/>
        <v>2550000</v>
      </c>
      <c r="AO65" s="70">
        <f t="shared" si="19"/>
        <v>2550000</v>
      </c>
    </row>
    <row r="66" spans="1:41">
      <c r="A66" s="29" t="s">
        <v>373</v>
      </c>
      <c r="B66" s="29" t="s">
        <v>675</v>
      </c>
      <c r="C66" s="107">
        <v>0</v>
      </c>
      <c r="D66" s="108">
        <v>6000000</v>
      </c>
      <c r="F66" s="107">
        <v>0</v>
      </c>
      <c r="G66" s="108">
        <v>5474012</v>
      </c>
      <c r="I66" s="64">
        <v>0</v>
      </c>
      <c r="J66" s="83">
        <v>0</v>
      </c>
      <c r="K66" s="66">
        <v>5474012</v>
      </c>
      <c r="L66" s="251">
        <v>6500000</v>
      </c>
      <c r="M66" s="63">
        <v>0</v>
      </c>
      <c r="N66" s="64">
        <v>0</v>
      </c>
      <c r="O66" s="65">
        <v>6500000</v>
      </c>
      <c r="P66" s="66">
        <v>6500000</v>
      </c>
      <c r="Q66" s="66">
        <f t="shared" si="4"/>
        <v>0</v>
      </c>
      <c r="R66" s="63">
        <f t="shared" si="5"/>
        <v>0</v>
      </c>
      <c r="S66" s="83">
        <f t="shared" si="6"/>
        <v>0</v>
      </c>
      <c r="T66" s="64">
        <f t="shared" si="7"/>
        <v>0</v>
      </c>
      <c r="U66" s="66">
        <f t="shared" si="8"/>
        <v>5723225.1143999994</v>
      </c>
      <c r="V66" s="63">
        <f t="shared" si="9"/>
        <v>6013886.8856000006</v>
      </c>
      <c r="W66" s="83">
        <f t="shared" si="10"/>
        <v>6500000</v>
      </c>
      <c r="X66" s="64">
        <f t="shared" si="11"/>
        <v>6500000</v>
      </c>
      <c r="Z66" s="67">
        <v>0</v>
      </c>
      <c r="AA66" s="68">
        <v>0</v>
      </c>
      <c r="AB66" s="69">
        <v>5474012</v>
      </c>
      <c r="AC66" s="70">
        <v>6500000</v>
      </c>
      <c r="AD66" s="67">
        <v>0</v>
      </c>
      <c r="AE66" s="68">
        <v>0</v>
      </c>
      <c r="AF66" s="69">
        <v>6500000</v>
      </c>
      <c r="AG66" s="70">
        <v>6500000</v>
      </c>
      <c r="AH66" s="70">
        <f t="shared" si="12"/>
        <v>0</v>
      </c>
      <c r="AI66" s="70">
        <f t="shared" si="13"/>
        <v>0</v>
      </c>
      <c r="AJ66" s="70">
        <f t="shared" si="14"/>
        <v>0</v>
      </c>
      <c r="AK66" s="70">
        <f t="shared" si="15"/>
        <v>0</v>
      </c>
      <c r="AL66" s="70">
        <f t="shared" si="16"/>
        <v>5723225.1143999994</v>
      </c>
      <c r="AM66" s="70">
        <f t="shared" si="17"/>
        <v>6013886.8856000006</v>
      </c>
      <c r="AN66" s="70">
        <f t="shared" si="18"/>
        <v>6500000</v>
      </c>
      <c r="AO66" s="70">
        <f t="shared" si="19"/>
        <v>6500000</v>
      </c>
    </row>
    <row r="67" spans="1:41">
      <c r="A67" s="29" t="s">
        <v>525</v>
      </c>
      <c r="B67" s="29" t="s">
        <v>676</v>
      </c>
      <c r="C67" s="107">
        <v>0</v>
      </c>
      <c r="D67" s="108">
        <v>73302</v>
      </c>
      <c r="F67" s="107">
        <v>0</v>
      </c>
      <c r="G67" s="108">
        <v>137431</v>
      </c>
      <c r="I67" s="64">
        <v>0</v>
      </c>
      <c r="J67" s="83">
        <v>0</v>
      </c>
      <c r="K67" s="66">
        <v>137431</v>
      </c>
      <c r="L67" s="251">
        <v>199779.00400000002</v>
      </c>
      <c r="M67" s="63">
        <v>0</v>
      </c>
      <c r="N67" s="64">
        <v>0</v>
      </c>
      <c r="O67" s="65">
        <v>203974.23400000003</v>
      </c>
      <c r="P67" s="66">
        <v>208461.63800000001</v>
      </c>
      <c r="Q67" s="66">
        <f t="shared" si="4"/>
        <v>0</v>
      </c>
      <c r="R67" s="63">
        <f t="shared" si="5"/>
        <v>0</v>
      </c>
      <c r="S67" s="83">
        <f t="shared" si="6"/>
        <v>0</v>
      </c>
      <c r="T67" s="64">
        <f t="shared" si="7"/>
        <v>0</v>
      </c>
      <c r="U67" s="66">
        <f t="shared" si="8"/>
        <v>107046.67980000001</v>
      </c>
      <c r="V67" s="63">
        <f t="shared" si="9"/>
        <v>170238.51970480001</v>
      </c>
      <c r="W67" s="83">
        <f t="shared" si="10"/>
        <v>201986.53402600001</v>
      </c>
      <c r="X67" s="64">
        <f t="shared" si="11"/>
        <v>206335.50598480002</v>
      </c>
      <c r="Z67" s="67">
        <v>0</v>
      </c>
      <c r="AA67" s="68">
        <v>0</v>
      </c>
      <c r="AB67" s="69">
        <v>137431</v>
      </c>
      <c r="AC67" s="70">
        <v>199779.00400000002</v>
      </c>
      <c r="AD67" s="67">
        <v>0</v>
      </c>
      <c r="AE67" s="68">
        <v>0</v>
      </c>
      <c r="AF67" s="69">
        <v>203974.23400000003</v>
      </c>
      <c r="AG67" s="70">
        <v>208461.63800000001</v>
      </c>
      <c r="AH67" s="70">
        <f t="shared" si="12"/>
        <v>0</v>
      </c>
      <c r="AI67" s="70">
        <f t="shared" si="13"/>
        <v>0</v>
      </c>
      <c r="AJ67" s="70">
        <f t="shared" si="14"/>
        <v>0</v>
      </c>
      <c r="AK67" s="70">
        <f t="shared" si="15"/>
        <v>0</v>
      </c>
      <c r="AL67" s="70">
        <f t="shared" si="16"/>
        <v>107046.67980000001</v>
      </c>
      <c r="AM67" s="70">
        <f t="shared" si="17"/>
        <v>170238.51970480001</v>
      </c>
      <c r="AN67" s="70">
        <f t="shared" si="18"/>
        <v>201986.53402600001</v>
      </c>
      <c r="AO67" s="70">
        <f t="shared" si="19"/>
        <v>206335.50598480002</v>
      </c>
    </row>
    <row r="68" spans="1:41">
      <c r="A68" s="29" t="s">
        <v>469</v>
      </c>
      <c r="B68" s="29" t="s">
        <v>926</v>
      </c>
      <c r="C68" s="107">
        <v>210627.47</v>
      </c>
      <c r="D68" s="108">
        <v>9945273</v>
      </c>
      <c r="F68" s="107">
        <v>0</v>
      </c>
      <c r="G68" s="108">
        <v>10939800</v>
      </c>
      <c r="I68" s="64">
        <v>0</v>
      </c>
      <c r="J68" s="83">
        <v>0</v>
      </c>
      <c r="K68" s="66">
        <v>10939800</v>
      </c>
      <c r="L68" s="251">
        <v>10415135.812999999</v>
      </c>
      <c r="M68" s="63">
        <v>0</v>
      </c>
      <c r="N68" s="64">
        <v>0</v>
      </c>
      <c r="O68" s="65">
        <v>10776099.8595</v>
      </c>
      <c r="P68" s="66">
        <v>11203010.7805</v>
      </c>
      <c r="Q68" s="66">
        <f t="shared" si="4"/>
        <v>58975.691600000006</v>
      </c>
      <c r="R68" s="63">
        <f t="shared" si="5"/>
        <v>0</v>
      </c>
      <c r="S68" s="83">
        <f t="shared" si="6"/>
        <v>0</v>
      </c>
      <c r="T68" s="64">
        <f t="shared" si="7"/>
        <v>0</v>
      </c>
      <c r="U68" s="66">
        <f t="shared" si="8"/>
        <v>10468593.1074</v>
      </c>
      <c r="V68" s="63">
        <f t="shared" si="9"/>
        <v>10663721.7048006</v>
      </c>
      <c r="W68" s="83">
        <f t="shared" si="10"/>
        <v>10605075.0942683</v>
      </c>
      <c r="X68" s="64">
        <f t="shared" si="11"/>
        <v>11000740.386130199</v>
      </c>
      <c r="Z68" s="67">
        <v>0</v>
      </c>
      <c r="AA68" s="68">
        <v>0</v>
      </c>
      <c r="AB68" s="69">
        <v>10939800</v>
      </c>
      <c r="AC68" s="70">
        <v>11375715.868399998</v>
      </c>
      <c r="AD68" s="67">
        <v>0</v>
      </c>
      <c r="AE68" s="68">
        <v>0</v>
      </c>
      <c r="AF68" s="69">
        <v>10776099.8595</v>
      </c>
      <c r="AG68" s="70">
        <v>11203010.7805</v>
      </c>
      <c r="AH68" s="70">
        <f t="shared" si="12"/>
        <v>58975.691600000006</v>
      </c>
      <c r="AI68" s="70">
        <f t="shared" si="13"/>
        <v>0</v>
      </c>
      <c r="AJ68" s="70">
        <f t="shared" si="14"/>
        <v>0</v>
      </c>
      <c r="AK68" s="70">
        <f t="shared" si="15"/>
        <v>0</v>
      </c>
      <c r="AL68" s="70">
        <f t="shared" si="16"/>
        <v>10468593.1074</v>
      </c>
      <c r="AM68" s="70">
        <f t="shared" si="17"/>
        <v>11169178.929952079</v>
      </c>
      <c r="AN68" s="70">
        <f t="shared" si="18"/>
        <v>11060197.924516819</v>
      </c>
      <c r="AO68" s="70">
        <f t="shared" si="19"/>
        <v>11000740.386130199</v>
      </c>
    </row>
    <row r="69" spans="1:41">
      <c r="A69" s="29" t="s">
        <v>587</v>
      </c>
      <c r="B69" s="29" t="s">
        <v>873</v>
      </c>
      <c r="C69" s="107">
        <v>2247819.9900000002</v>
      </c>
      <c r="D69" s="108">
        <v>3746000</v>
      </c>
      <c r="F69" s="107">
        <v>1930335.86</v>
      </c>
      <c r="G69" s="108">
        <v>4155352</v>
      </c>
      <c r="I69" s="64">
        <v>1930335.86</v>
      </c>
      <c r="J69" s="83">
        <v>2059089.0707999996</v>
      </c>
      <c r="K69" s="66">
        <v>4155352</v>
      </c>
      <c r="L69" s="251">
        <v>4464999</v>
      </c>
      <c r="M69" s="63">
        <v>1964377.4294999994</v>
      </c>
      <c r="N69" s="64">
        <v>1899011.1402000003</v>
      </c>
      <c r="O69" s="65">
        <v>4753174</v>
      </c>
      <c r="P69" s="66">
        <v>4753174</v>
      </c>
      <c r="Q69" s="66">
        <f t="shared" si="4"/>
        <v>2019231.4164</v>
      </c>
      <c r="R69" s="63">
        <f t="shared" si="5"/>
        <v>2023038.1717759997</v>
      </c>
      <c r="S69" s="83">
        <f t="shared" si="6"/>
        <v>1990896.6890639996</v>
      </c>
      <c r="T69" s="64">
        <f t="shared" si="7"/>
        <v>1917313.701204</v>
      </c>
      <c r="U69" s="66">
        <f t="shared" si="8"/>
        <v>3961401.0224000001</v>
      </c>
      <c r="V69" s="63">
        <f t="shared" si="9"/>
        <v>4318288.2513999995</v>
      </c>
      <c r="W69" s="83">
        <f t="shared" si="10"/>
        <v>4616636.6850000005</v>
      </c>
      <c r="X69" s="64">
        <f t="shared" si="11"/>
        <v>4753174</v>
      </c>
      <c r="Z69" s="67">
        <v>1930335.86</v>
      </c>
      <c r="AA69" s="68">
        <v>2136730.7067</v>
      </c>
      <c r="AB69" s="69">
        <v>4155352</v>
      </c>
      <c r="AC69" s="70">
        <v>4464999</v>
      </c>
      <c r="AD69" s="67">
        <v>1964377.4294999994</v>
      </c>
      <c r="AE69" s="68">
        <v>1899011.1402000003</v>
      </c>
      <c r="AF69" s="69">
        <v>4753174</v>
      </c>
      <c r="AG69" s="70">
        <v>4753174</v>
      </c>
      <c r="AH69" s="70">
        <f t="shared" si="12"/>
        <v>2019231.4164</v>
      </c>
      <c r="AI69" s="70">
        <f t="shared" si="13"/>
        <v>2078940.1496240001</v>
      </c>
      <c r="AJ69" s="70">
        <f t="shared" si="14"/>
        <v>2012636.3471159996</v>
      </c>
      <c r="AK69" s="70">
        <f t="shared" si="15"/>
        <v>1917313.701204</v>
      </c>
      <c r="AL69" s="70">
        <f t="shared" si="16"/>
        <v>3961401.0224000001</v>
      </c>
      <c r="AM69" s="70">
        <f t="shared" si="17"/>
        <v>4318288.2513999995</v>
      </c>
      <c r="AN69" s="70">
        <f t="shared" si="18"/>
        <v>4616636.6850000005</v>
      </c>
      <c r="AO69" s="70">
        <f t="shared" si="19"/>
        <v>4753174</v>
      </c>
    </row>
    <row r="70" spans="1:41">
      <c r="A70" s="29" t="s">
        <v>95</v>
      </c>
      <c r="B70" s="29" t="s">
        <v>677</v>
      </c>
      <c r="C70" s="107">
        <v>2191993.14</v>
      </c>
      <c r="D70" s="108">
        <v>10523103</v>
      </c>
      <c r="F70" s="107">
        <v>1365171.76</v>
      </c>
      <c r="G70" s="108">
        <v>11049000</v>
      </c>
      <c r="I70" s="64">
        <v>1365171.76</v>
      </c>
      <c r="J70" s="83">
        <v>1248674.9428000005</v>
      </c>
      <c r="K70" s="66">
        <v>11049000</v>
      </c>
      <c r="L70" s="251">
        <v>11602000</v>
      </c>
      <c r="M70" s="63">
        <v>866175.77220000001</v>
      </c>
      <c r="N70" s="64">
        <v>141997.32300000059</v>
      </c>
      <c r="O70" s="65">
        <v>12182000</v>
      </c>
      <c r="P70" s="66">
        <v>12791000</v>
      </c>
      <c r="Q70" s="66">
        <f t="shared" si="4"/>
        <v>1596681.7464000001</v>
      </c>
      <c r="R70" s="63">
        <f t="shared" si="5"/>
        <v>1281294.0516160005</v>
      </c>
      <c r="S70" s="83">
        <f t="shared" si="6"/>
        <v>973275.53996800014</v>
      </c>
      <c r="T70" s="64">
        <f t="shared" si="7"/>
        <v>344767.28877600044</v>
      </c>
      <c r="U70" s="66">
        <f t="shared" si="8"/>
        <v>10799830.001399999</v>
      </c>
      <c r="V70" s="63">
        <f t="shared" si="9"/>
        <v>11339988.600000001</v>
      </c>
      <c r="W70" s="83">
        <f t="shared" si="10"/>
        <v>11907196</v>
      </c>
      <c r="X70" s="64">
        <f t="shared" si="11"/>
        <v>12502455.800000001</v>
      </c>
      <c r="Z70" s="67">
        <v>1365171.76</v>
      </c>
      <c r="AA70" s="68">
        <v>1613436.0943000007</v>
      </c>
      <c r="AB70" s="69">
        <v>11049000</v>
      </c>
      <c r="AC70" s="70">
        <v>11602000</v>
      </c>
      <c r="AD70" s="67">
        <v>866175.77220000001</v>
      </c>
      <c r="AE70" s="68">
        <v>141997.32300000059</v>
      </c>
      <c r="AF70" s="69">
        <v>12182000</v>
      </c>
      <c r="AG70" s="70">
        <v>12791000</v>
      </c>
      <c r="AH70" s="70">
        <f t="shared" si="12"/>
        <v>1596681.7464000001</v>
      </c>
      <c r="AI70" s="70">
        <f t="shared" si="13"/>
        <v>1543922.0806960005</v>
      </c>
      <c r="AJ70" s="70">
        <f t="shared" si="14"/>
        <v>1075408.6623880002</v>
      </c>
      <c r="AK70" s="70">
        <f t="shared" si="15"/>
        <v>344767.28877600044</v>
      </c>
      <c r="AL70" s="70">
        <f t="shared" si="16"/>
        <v>10799830.001399999</v>
      </c>
      <c r="AM70" s="70">
        <f t="shared" si="17"/>
        <v>11339988.600000001</v>
      </c>
      <c r="AN70" s="70">
        <f t="shared" si="18"/>
        <v>11907196</v>
      </c>
      <c r="AO70" s="70">
        <f t="shared" si="19"/>
        <v>12502455.800000001</v>
      </c>
    </row>
    <row r="71" spans="1:41">
      <c r="A71" s="29" t="s">
        <v>241</v>
      </c>
      <c r="B71" s="29" t="s">
        <v>678</v>
      </c>
      <c r="C71" s="107">
        <v>0</v>
      </c>
      <c r="D71" s="108">
        <v>254441</v>
      </c>
      <c r="F71" s="107">
        <v>0</v>
      </c>
      <c r="G71" s="108">
        <v>249656</v>
      </c>
      <c r="I71" s="64">
        <v>0</v>
      </c>
      <c r="J71" s="83">
        <v>0</v>
      </c>
      <c r="K71" s="66">
        <v>249656</v>
      </c>
      <c r="L71" s="251">
        <v>247392.04039999997</v>
      </c>
      <c r="M71" s="63">
        <v>0</v>
      </c>
      <c r="N71" s="64">
        <v>0</v>
      </c>
      <c r="O71" s="65">
        <v>252587.1134</v>
      </c>
      <c r="P71" s="66">
        <v>258143.9938</v>
      </c>
      <c r="Q71" s="66">
        <f t="shared" si="4"/>
        <v>0</v>
      </c>
      <c r="R71" s="63">
        <f t="shared" si="5"/>
        <v>0</v>
      </c>
      <c r="S71" s="83">
        <f t="shared" si="6"/>
        <v>0</v>
      </c>
      <c r="T71" s="64">
        <f t="shared" si="7"/>
        <v>0</v>
      </c>
      <c r="U71" s="66">
        <f t="shared" si="8"/>
        <v>251923.133</v>
      </c>
      <c r="V71" s="63">
        <f t="shared" si="9"/>
        <v>248464.70445848</v>
      </c>
      <c r="W71" s="83">
        <f t="shared" si="10"/>
        <v>250125.68781259999</v>
      </c>
      <c r="X71" s="64">
        <f t="shared" si="11"/>
        <v>255511.14386648001</v>
      </c>
      <c r="Z71" s="67">
        <v>0</v>
      </c>
      <c r="AA71" s="68">
        <v>0</v>
      </c>
      <c r="AB71" s="69">
        <v>249656</v>
      </c>
      <c r="AC71" s="70">
        <v>269845.58839999995</v>
      </c>
      <c r="AD71" s="67">
        <v>0</v>
      </c>
      <c r="AE71" s="68">
        <v>0</v>
      </c>
      <c r="AF71" s="69">
        <v>252587.1134</v>
      </c>
      <c r="AG71" s="70">
        <v>258143.9938</v>
      </c>
      <c r="AH71" s="70">
        <f t="shared" si="12"/>
        <v>0</v>
      </c>
      <c r="AI71" s="70">
        <f t="shared" si="13"/>
        <v>0</v>
      </c>
      <c r="AJ71" s="70">
        <f t="shared" si="14"/>
        <v>0</v>
      </c>
      <c r="AK71" s="70">
        <f t="shared" si="15"/>
        <v>0</v>
      </c>
      <c r="AL71" s="70">
        <f t="shared" si="16"/>
        <v>251923.133</v>
      </c>
      <c r="AM71" s="70">
        <f t="shared" si="17"/>
        <v>260279.76141607997</v>
      </c>
      <c r="AN71" s="70">
        <f t="shared" si="18"/>
        <v>260764.17885499998</v>
      </c>
      <c r="AO71" s="70">
        <f t="shared" si="19"/>
        <v>255511.14386648001</v>
      </c>
    </row>
    <row r="72" spans="1:41">
      <c r="A72" s="29" t="s">
        <v>385</v>
      </c>
      <c r="B72" s="29" t="s">
        <v>679</v>
      </c>
      <c r="C72" s="107">
        <v>180917.09</v>
      </c>
      <c r="D72" s="108">
        <v>5745000</v>
      </c>
      <c r="F72" s="107">
        <v>0</v>
      </c>
      <c r="G72" s="108">
        <v>5251891</v>
      </c>
      <c r="I72" s="64">
        <v>0</v>
      </c>
      <c r="J72" s="83">
        <v>0</v>
      </c>
      <c r="K72" s="66">
        <v>5251891</v>
      </c>
      <c r="L72" s="251">
        <v>5237520.3637999995</v>
      </c>
      <c r="M72" s="63">
        <v>0</v>
      </c>
      <c r="N72" s="64">
        <v>0</v>
      </c>
      <c r="O72" s="65">
        <v>5419042.8447000002</v>
      </c>
      <c r="P72" s="66">
        <v>5633720.8234999999</v>
      </c>
      <c r="Q72" s="66">
        <f t="shared" si="4"/>
        <v>50656.785200000006</v>
      </c>
      <c r="R72" s="63">
        <f t="shared" si="5"/>
        <v>0</v>
      </c>
      <c r="S72" s="83">
        <f t="shared" si="6"/>
        <v>0</v>
      </c>
      <c r="T72" s="64">
        <f t="shared" si="7"/>
        <v>0</v>
      </c>
      <c r="U72" s="66">
        <f t="shared" si="8"/>
        <v>5485526.0441999994</v>
      </c>
      <c r="V72" s="63">
        <f t="shared" si="9"/>
        <v>5244329.1712315604</v>
      </c>
      <c r="W72" s="83">
        <f t="shared" si="10"/>
        <v>5333037.4932495803</v>
      </c>
      <c r="X72" s="64">
        <f t="shared" si="11"/>
        <v>5532006.3971445598</v>
      </c>
      <c r="Z72" s="67">
        <v>0</v>
      </c>
      <c r="AA72" s="68">
        <v>0</v>
      </c>
      <c r="AB72" s="69">
        <v>5251891</v>
      </c>
      <c r="AC72" s="70">
        <v>5597122.5709999995</v>
      </c>
      <c r="AD72" s="67">
        <v>0</v>
      </c>
      <c r="AE72" s="68">
        <v>0</v>
      </c>
      <c r="AF72" s="69">
        <v>5419042.8447000002</v>
      </c>
      <c r="AG72" s="70">
        <v>5633720.8234999999</v>
      </c>
      <c r="AH72" s="70">
        <f t="shared" si="12"/>
        <v>50656.785200000006</v>
      </c>
      <c r="AI72" s="70">
        <f t="shared" si="13"/>
        <v>0</v>
      </c>
      <c r="AJ72" s="70">
        <f t="shared" si="14"/>
        <v>0</v>
      </c>
      <c r="AK72" s="70">
        <f t="shared" si="15"/>
        <v>0</v>
      </c>
      <c r="AL72" s="70">
        <f t="shared" si="16"/>
        <v>5485526.0441999994</v>
      </c>
      <c r="AM72" s="70">
        <f t="shared" si="17"/>
        <v>5433551.8526601996</v>
      </c>
      <c r="AN72" s="70">
        <f t="shared" si="18"/>
        <v>5503417.0190209392</v>
      </c>
      <c r="AO72" s="70">
        <f t="shared" si="19"/>
        <v>5532006.3971445598</v>
      </c>
    </row>
    <row r="73" spans="1:41">
      <c r="A73" s="29" t="s">
        <v>429</v>
      </c>
      <c r="B73" s="29" t="s">
        <v>680</v>
      </c>
      <c r="C73" s="107">
        <v>0</v>
      </c>
      <c r="D73" s="108">
        <v>54194690</v>
      </c>
      <c r="F73" s="107">
        <v>0</v>
      </c>
      <c r="G73" s="108">
        <v>57068976</v>
      </c>
      <c r="I73" s="64">
        <v>0</v>
      </c>
      <c r="J73" s="83">
        <v>0</v>
      </c>
      <c r="K73" s="66">
        <v>57068976</v>
      </c>
      <c r="L73" s="251">
        <v>58566136.193799995</v>
      </c>
      <c r="M73" s="63">
        <v>0</v>
      </c>
      <c r="N73" s="64">
        <v>0</v>
      </c>
      <c r="O73" s="65">
        <v>60595836.607700005</v>
      </c>
      <c r="P73" s="66">
        <v>62996476.211900003</v>
      </c>
      <c r="Q73" s="66">
        <f t="shared" ref="Q73:Q136" si="20">(0.28*C73)+(0.72*I73)</f>
        <v>0</v>
      </c>
      <c r="R73" s="63">
        <f t="shared" ref="R73:R136" si="21">(0.28*I73)+(0.72*J73)</f>
        <v>0</v>
      </c>
      <c r="S73" s="83">
        <f t="shared" ref="S73:S136" si="22">(0.28*J73)+(0.72*M73)</f>
        <v>0</v>
      </c>
      <c r="T73" s="64">
        <f t="shared" ref="T73:T136" si="23">(0.28*M73)+(0.72*N73)</f>
        <v>0</v>
      </c>
      <c r="U73" s="66">
        <f t="shared" ref="U73:U136" si="24">(0.4738*D73)+(0.5262*G73)</f>
        <v>55707139.293200001</v>
      </c>
      <c r="V73" s="63">
        <f t="shared" ref="V73:V136" si="25">(0.4738*G73)+(0.5262*L73)</f>
        <v>57856781.693977557</v>
      </c>
      <c r="W73" s="83">
        <f t="shared" ref="W73:W136" si="26">(0.4738*L73)+(0.5262*O73)</f>
        <v>59634164.551594183</v>
      </c>
      <c r="X73" s="64">
        <f t="shared" ref="X73:X136" si="27">(0.4738*O73)+(0.5262*P73)</f>
        <v>61859053.167430043</v>
      </c>
      <c r="Z73" s="67">
        <v>0</v>
      </c>
      <c r="AA73" s="68">
        <v>0</v>
      </c>
      <c r="AB73" s="69">
        <v>57068976</v>
      </c>
      <c r="AC73" s="70">
        <v>59922445.639399998</v>
      </c>
      <c r="AD73" s="67">
        <v>0</v>
      </c>
      <c r="AE73" s="68">
        <v>0</v>
      </c>
      <c r="AF73" s="69">
        <v>60595836.607700005</v>
      </c>
      <c r="AG73" s="70">
        <v>62996476.211900003</v>
      </c>
      <c r="AH73" s="70">
        <f t="shared" ref="AH73:AH136" si="28">(0.28*C73)+(0.72*Z73)</f>
        <v>0</v>
      </c>
      <c r="AI73" s="70">
        <f t="shared" ref="AI73:AI136" si="29">(0.28*Z73)+(0.72*AA73)</f>
        <v>0</v>
      </c>
      <c r="AJ73" s="70">
        <f t="shared" ref="AJ73:AJ136" si="30">(0.28*AA73)+(0.72*AD73)</f>
        <v>0</v>
      </c>
      <c r="AK73" s="70">
        <f t="shared" ref="AK73:AK136" si="31">(0.28*AD73)+(0.72*AE73)</f>
        <v>0</v>
      </c>
      <c r="AL73" s="70">
        <f t="shared" ref="AL73:AL136" si="32">(0.4738*D73)+(0.5262*G73)</f>
        <v>55707139.293200001</v>
      </c>
      <c r="AM73" s="70">
        <f t="shared" ref="AM73:AM136" si="33">(0.4738*G73)+(0.5262*AC73)</f>
        <v>58570471.724252284</v>
      </c>
      <c r="AN73" s="70">
        <f t="shared" ref="AN73:AN136" si="34">(0.4738*AC73)+(0.5262*AF73)</f>
        <v>60276783.966919459</v>
      </c>
      <c r="AO73" s="70">
        <f t="shared" ref="AO73:AO136" si="35">(0.4738*AF73)+(0.5262*AG73)</f>
        <v>61859053.167430043</v>
      </c>
    </row>
    <row r="74" spans="1:41">
      <c r="A74" s="29" t="s">
        <v>245</v>
      </c>
      <c r="B74" s="29" t="s">
        <v>681</v>
      </c>
      <c r="C74" s="107">
        <v>211961.1</v>
      </c>
      <c r="D74" s="108">
        <v>4741027</v>
      </c>
      <c r="F74" s="107">
        <v>0</v>
      </c>
      <c r="G74" s="108">
        <v>4859552</v>
      </c>
      <c r="I74" s="64">
        <v>0</v>
      </c>
      <c r="J74" s="83">
        <v>0</v>
      </c>
      <c r="K74" s="66">
        <v>4859552</v>
      </c>
      <c r="L74" s="251">
        <v>4859552</v>
      </c>
      <c r="M74" s="63">
        <v>0</v>
      </c>
      <c r="N74" s="64">
        <v>0</v>
      </c>
      <c r="O74" s="65">
        <v>4859552</v>
      </c>
      <c r="P74" s="66">
        <v>4859552</v>
      </c>
      <c r="Q74" s="66">
        <f t="shared" si="20"/>
        <v>59349.108000000007</v>
      </c>
      <c r="R74" s="63">
        <f t="shared" si="21"/>
        <v>0</v>
      </c>
      <c r="S74" s="83">
        <f t="shared" si="22"/>
        <v>0</v>
      </c>
      <c r="T74" s="64">
        <f t="shared" si="23"/>
        <v>0</v>
      </c>
      <c r="U74" s="66">
        <f t="shared" si="24"/>
        <v>4803394.8550000004</v>
      </c>
      <c r="V74" s="63">
        <f t="shared" si="25"/>
        <v>4859552</v>
      </c>
      <c r="W74" s="83">
        <f t="shared" si="26"/>
        <v>4859552</v>
      </c>
      <c r="X74" s="64">
        <f t="shared" si="27"/>
        <v>4859552</v>
      </c>
      <c r="Z74" s="67">
        <v>0</v>
      </c>
      <c r="AA74" s="68">
        <v>0</v>
      </c>
      <c r="AB74" s="69">
        <v>4859552</v>
      </c>
      <c r="AC74" s="70">
        <v>4859552</v>
      </c>
      <c r="AD74" s="67">
        <v>0</v>
      </c>
      <c r="AE74" s="68">
        <v>0</v>
      </c>
      <c r="AF74" s="69">
        <v>4859552</v>
      </c>
      <c r="AG74" s="70">
        <v>4859552</v>
      </c>
      <c r="AH74" s="70">
        <f t="shared" si="28"/>
        <v>59349.108000000007</v>
      </c>
      <c r="AI74" s="70">
        <f t="shared" si="29"/>
        <v>0</v>
      </c>
      <c r="AJ74" s="70">
        <f t="shared" si="30"/>
        <v>0</v>
      </c>
      <c r="AK74" s="70">
        <f t="shared" si="31"/>
        <v>0</v>
      </c>
      <c r="AL74" s="70">
        <f t="shared" si="32"/>
        <v>4803394.8550000004</v>
      </c>
      <c r="AM74" s="70">
        <f t="shared" si="33"/>
        <v>4859552</v>
      </c>
      <c r="AN74" s="70">
        <f t="shared" si="34"/>
        <v>4859552</v>
      </c>
      <c r="AO74" s="70">
        <f t="shared" si="35"/>
        <v>4859552</v>
      </c>
    </row>
    <row r="75" spans="1:41">
      <c r="A75" s="29" t="s">
        <v>151</v>
      </c>
      <c r="B75" s="29" t="s">
        <v>682</v>
      </c>
      <c r="C75" s="107">
        <v>810545.64</v>
      </c>
      <c r="D75" s="108">
        <v>2643570</v>
      </c>
      <c r="F75" s="107">
        <v>538764.26</v>
      </c>
      <c r="G75" s="108">
        <v>2775749</v>
      </c>
      <c r="I75" s="64">
        <v>538764.26</v>
      </c>
      <c r="J75" s="83">
        <v>443541.77919999999</v>
      </c>
      <c r="K75" s="66">
        <v>2775749</v>
      </c>
      <c r="L75" s="251">
        <v>2775749</v>
      </c>
      <c r="M75" s="63">
        <v>401148.22259999998</v>
      </c>
      <c r="N75" s="64">
        <v>367388.43660000025</v>
      </c>
      <c r="O75" s="65">
        <v>2775749</v>
      </c>
      <c r="P75" s="66">
        <v>2775749</v>
      </c>
      <c r="Q75" s="66">
        <f t="shared" si="20"/>
        <v>614863.04639999999</v>
      </c>
      <c r="R75" s="63">
        <f t="shared" si="21"/>
        <v>470204.07382399996</v>
      </c>
      <c r="S75" s="83">
        <f t="shared" si="22"/>
        <v>413018.41844799998</v>
      </c>
      <c r="T75" s="64">
        <f t="shared" si="23"/>
        <v>376841.17668000015</v>
      </c>
      <c r="U75" s="66">
        <f t="shared" si="24"/>
        <v>2713122.5898000002</v>
      </c>
      <c r="V75" s="63">
        <f t="shared" si="25"/>
        <v>2775749</v>
      </c>
      <c r="W75" s="83">
        <f t="shared" si="26"/>
        <v>2775749</v>
      </c>
      <c r="X75" s="64">
        <f t="shared" si="27"/>
        <v>2775749</v>
      </c>
      <c r="Z75" s="67">
        <v>538764.26</v>
      </c>
      <c r="AA75" s="68">
        <v>945770.01379999961</v>
      </c>
      <c r="AB75" s="69">
        <v>2775749</v>
      </c>
      <c r="AC75" s="70">
        <v>2775749</v>
      </c>
      <c r="AD75" s="67">
        <v>401148.22259999998</v>
      </c>
      <c r="AE75" s="68">
        <v>367388.43660000025</v>
      </c>
      <c r="AF75" s="69">
        <v>2775749</v>
      </c>
      <c r="AG75" s="70">
        <v>2775749</v>
      </c>
      <c r="AH75" s="70">
        <f t="shared" si="28"/>
        <v>614863.04639999999</v>
      </c>
      <c r="AI75" s="70">
        <f t="shared" si="29"/>
        <v>831808.40273599967</v>
      </c>
      <c r="AJ75" s="70">
        <f t="shared" si="30"/>
        <v>553642.32413599989</v>
      </c>
      <c r="AK75" s="70">
        <f t="shared" si="31"/>
        <v>376841.17668000015</v>
      </c>
      <c r="AL75" s="70">
        <f t="shared" si="32"/>
        <v>2713122.5898000002</v>
      </c>
      <c r="AM75" s="70">
        <f t="shared" si="33"/>
        <v>2775749</v>
      </c>
      <c r="AN75" s="70">
        <f t="shared" si="34"/>
        <v>2775749</v>
      </c>
      <c r="AO75" s="70">
        <f t="shared" si="35"/>
        <v>2775749</v>
      </c>
    </row>
    <row r="76" spans="1:41">
      <c r="A76" s="29" t="s">
        <v>573</v>
      </c>
      <c r="B76" s="29" t="s">
        <v>874</v>
      </c>
      <c r="C76" s="107">
        <v>0</v>
      </c>
      <c r="D76" s="108">
        <v>211545</v>
      </c>
      <c r="F76" s="107">
        <v>0</v>
      </c>
      <c r="G76" s="108">
        <v>220000</v>
      </c>
      <c r="I76" s="64">
        <v>0</v>
      </c>
      <c r="J76" s="83">
        <v>0</v>
      </c>
      <c r="K76" s="66">
        <v>220000</v>
      </c>
      <c r="L76" s="251">
        <v>229774.64119999995</v>
      </c>
      <c r="M76" s="63">
        <v>0</v>
      </c>
      <c r="N76" s="64">
        <v>0</v>
      </c>
      <c r="O76" s="65">
        <v>234599.76019999999</v>
      </c>
      <c r="P76" s="66">
        <v>239760.92139999999</v>
      </c>
      <c r="Q76" s="66">
        <f t="shared" si="20"/>
        <v>0</v>
      </c>
      <c r="R76" s="63">
        <f t="shared" si="21"/>
        <v>0</v>
      </c>
      <c r="S76" s="83">
        <f t="shared" si="22"/>
        <v>0</v>
      </c>
      <c r="T76" s="64">
        <f t="shared" si="23"/>
        <v>0</v>
      </c>
      <c r="U76" s="66">
        <f t="shared" si="24"/>
        <v>215994.02100000001</v>
      </c>
      <c r="V76" s="63">
        <f t="shared" si="25"/>
        <v>225143.41619943996</v>
      </c>
      <c r="W76" s="83">
        <f t="shared" si="26"/>
        <v>232313.61881779996</v>
      </c>
      <c r="X76" s="64">
        <f t="shared" si="27"/>
        <v>237315.56322344</v>
      </c>
      <c r="Z76" s="67">
        <v>0</v>
      </c>
      <c r="AA76" s="68">
        <v>0</v>
      </c>
      <c r="AB76" s="69">
        <v>220000</v>
      </c>
      <c r="AC76" s="70">
        <v>231760.9166</v>
      </c>
      <c r="AD76" s="67">
        <v>0</v>
      </c>
      <c r="AE76" s="68">
        <v>0</v>
      </c>
      <c r="AF76" s="69">
        <v>234599.76019999999</v>
      </c>
      <c r="AG76" s="70">
        <v>239760.92139999999</v>
      </c>
      <c r="AH76" s="70">
        <f t="shared" si="28"/>
        <v>0</v>
      </c>
      <c r="AI76" s="70">
        <f t="shared" si="29"/>
        <v>0</v>
      </c>
      <c r="AJ76" s="70">
        <f t="shared" si="30"/>
        <v>0</v>
      </c>
      <c r="AK76" s="70">
        <f t="shared" si="31"/>
        <v>0</v>
      </c>
      <c r="AL76" s="70">
        <f t="shared" si="32"/>
        <v>215994.02100000001</v>
      </c>
      <c r="AM76" s="70">
        <f t="shared" si="33"/>
        <v>226188.59431492002</v>
      </c>
      <c r="AN76" s="70">
        <f t="shared" si="34"/>
        <v>233254.71610232</v>
      </c>
      <c r="AO76" s="70">
        <f t="shared" si="35"/>
        <v>237315.56322344</v>
      </c>
    </row>
    <row r="77" spans="1:41">
      <c r="A77" s="29" t="s">
        <v>33</v>
      </c>
      <c r="B77" s="29" t="s">
        <v>683</v>
      </c>
      <c r="C77" s="107">
        <v>0</v>
      </c>
      <c r="D77" s="108">
        <v>485000</v>
      </c>
      <c r="F77" s="107">
        <v>0</v>
      </c>
      <c r="G77" s="108">
        <v>500000</v>
      </c>
      <c r="I77" s="64">
        <v>0</v>
      </c>
      <c r="J77" s="83">
        <v>0</v>
      </c>
      <c r="K77" s="66">
        <v>500000</v>
      </c>
      <c r="L77" s="251">
        <v>500000</v>
      </c>
      <c r="M77" s="63">
        <v>0</v>
      </c>
      <c r="N77" s="64">
        <v>0</v>
      </c>
      <c r="O77" s="65">
        <v>515000</v>
      </c>
      <c r="P77" s="66">
        <v>515000</v>
      </c>
      <c r="Q77" s="66">
        <f t="shared" si="20"/>
        <v>0</v>
      </c>
      <c r="R77" s="63">
        <f t="shared" si="21"/>
        <v>0</v>
      </c>
      <c r="S77" s="83">
        <f t="shared" si="22"/>
        <v>0</v>
      </c>
      <c r="T77" s="64">
        <f t="shared" si="23"/>
        <v>0</v>
      </c>
      <c r="U77" s="66">
        <f t="shared" si="24"/>
        <v>492893</v>
      </c>
      <c r="V77" s="63">
        <f t="shared" si="25"/>
        <v>500000</v>
      </c>
      <c r="W77" s="83">
        <f t="shared" si="26"/>
        <v>507893</v>
      </c>
      <c r="X77" s="64">
        <f t="shared" si="27"/>
        <v>515000</v>
      </c>
      <c r="Z77" s="67">
        <v>0</v>
      </c>
      <c r="AA77" s="68">
        <v>0</v>
      </c>
      <c r="AB77" s="69">
        <v>500000</v>
      </c>
      <c r="AC77" s="70">
        <v>500000</v>
      </c>
      <c r="AD77" s="67">
        <v>0</v>
      </c>
      <c r="AE77" s="68">
        <v>0</v>
      </c>
      <c r="AF77" s="69">
        <v>515000</v>
      </c>
      <c r="AG77" s="70">
        <v>515000</v>
      </c>
      <c r="AH77" s="70">
        <f t="shared" si="28"/>
        <v>0</v>
      </c>
      <c r="AI77" s="70">
        <f t="shared" si="29"/>
        <v>0</v>
      </c>
      <c r="AJ77" s="70">
        <f t="shared" si="30"/>
        <v>0</v>
      </c>
      <c r="AK77" s="70">
        <f t="shared" si="31"/>
        <v>0</v>
      </c>
      <c r="AL77" s="70">
        <f t="shared" si="32"/>
        <v>492893</v>
      </c>
      <c r="AM77" s="70">
        <f t="shared" si="33"/>
        <v>500000</v>
      </c>
      <c r="AN77" s="70">
        <f t="shared" si="34"/>
        <v>507893</v>
      </c>
      <c r="AO77" s="70">
        <f t="shared" si="35"/>
        <v>515000</v>
      </c>
    </row>
    <row r="78" spans="1:41">
      <c r="A78" s="29" t="s">
        <v>187</v>
      </c>
      <c r="B78" s="29" t="s">
        <v>684</v>
      </c>
      <c r="C78" s="107">
        <v>372999.7</v>
      </c>
      <c r="D78" s="108">
        <v>8358411</v>
      </c>
      <c r="F78" s="107">
        <v>0</v>
      </c>
      <c r="G78" s="108">
        <v>9612173</v>
      </c>
      <c r="I78" s="64">
        <v>0</v>
      </c>
      <c r="J78" s="83">
        <v>0</v>
      </c>
      <c r="K78" s="66">
        <v>9612173</v>
      </c>
      <c r="L78" s="251">
        <v>9612173</v>
      </c>
      <c r="M78" s="63">
        <v>0</v>
      </c>
      <c r="N78" s="64">
        <v>0</v>
      </c>
      <c r="O78" s="65">
        <v>9612173</v>
      </c>
      <c r="P78" s="66">
        <v>9612173</v>
      </c>
      <c r="Q78" s="66">
        <f t="shared" si="20"/>
        <v>104439.91600000001</v>
      </c>
      <c r="R78" s="63">
        <f t="shared" si="21"/>
        <v>0</v>
      </c>
      <c r="S78" s="83">
        <f t="shared" si="22"/>
        <v>0</v>
      </c>
      <c r="T78" s="64">
        <f t="shared" si="23"/>
        <v>0</v>
      </c>
      <c r="U78" s="66">
        <f t="shared" si="24"/>
        <v>9018140.5644000005</v>
      </c>
      <c r="V78" s="63">
        <f t="shared" si="25"/>
        <v>9612173</v>
      </c>
      <c r="W78" s="83">
        <f t="shared" si="26"/>
        <v>9612173</v>
      </c>
      <c r="X78" s="64">
        <f t="shared" si="27"/>
        <v>9612173</v>
      </c>
      <c r="Z78" s="67">
        <v>0</v>
      </c>
      <c r="AA78" s="68">
        <v>0</v>
      </c>
      <c r="AB78" s="69">
        <v>9612173</v>
      </c>
      <c r="AC78" s="70">
        <v>9612173</v>
      </c>
      <c r="AD78" s="67">
        <v>0</v>
      </c>
      <c r="AE78" s="68">
        <v>0</v>
      </c>
      <c r="AF78" s="69">
        <v>9612173</v>
      </c>
      <c r="AG78" s="70">
        <v>9612173</v>
      </c>
      <c r="AH78" s="70">
        <f t="shared" si="28"/>
        <v>104439.91600000001</v>
      </c>
      <c r="AI78" s="70">
        <f t="shared" si="29"/>
        <v>0</v>
      </c>
      <c r="AJ78" s="70">
        <f t="shared" si="30"/>
        <v>0</v>
      </c>
      <c r="AK78" s="70">
        <f t="shared" si="31"/>
        <v>0</v>
      </c>
      <c r="AL78" s="70">
        <f t="shared" si="32"/>
        <v>9018140.5644000005</v>
      </c>
      <c r="AM78" s="70">
        <f t="shared" si="33"/>
        <v>9612173</v>
      </c>
      <c r="AN78" s="70">
        <f t="shared" si="34"/>
        <v>9612173</v>
      </c>
      <c r="AO78" s="70">
        <f t="shared" si="35"/>
        <v>9612173</v>
      </c>
    </row>
    <row r="79" spans="1:41">
      <c r="A79" s="29" t="s">
        <v>135</v>
      </c>
      <c r="B79" s="29" t="s">
        <v>685</v>
      </c>
      <c r="C79" s="107">
        <v>2732394.97</v>
      </c>
      <c r="D79" s="108">
        <v>1694000</v>
      </c>
      <c r="F79" s="107">
        <v>2657941.7599999998</v>
      </c>
      <c r="G79" s="108">
        <v>1882897.36</v>
      </c>
      <c r="I79" s="64">
        <v>2657941.7599999998</v>
      </c>
      <c r="J79" s="83">
        <v>2863749.3826000001</v>
      </c>
      <c r="K79" s="66">
        <v>1882897.36</v>
      </c>
      <c r="L79" s="251">
        <v>2004000</v>
      </c>
      <c r="M79" s="63">
        <v>2942732.8721999996</v>
      </c>
      <c r="N79" s="64">
        <v>2983514.6483999998</v>
      </c>
      <c r="O79" s="65">
        <v>2113500</v>
      </c>
      <c r="P79" s="66">
        <v>2230000</v>
      </c>
      <c r="Q79" s="66">
        <f t="shared" si="20"/>
        <v>2678788.6587999999</v>
      </c>
      <c r="R79" s="63">
        <f t="shared" si="21"/>
        <v>2806123.2482719999</v>
      </c>
      <c r="S79" s="83">
        <f t="shared" si="22"/>
        <v>2920617.4951119996</v>
      </c>
      <c r="T79" s="64">
        <f t="shared" si="23"/>
        <v>2972095.7510639997</v>
      </c>
      <c r="U79" s="66">
        <f t="shared" si="24"/>
        <v>1793397.7908319999</v>
      </c>
      <c r="V79" s="63">
        <f t="shared" si="25"/>
        <v>1946621.569168</v>
      </c>
      <c r="W79" s="83">
        <f t="shared" si="26"/>
        <v>2061618.9</v>
      </c>
      <c r="X79" s="64">
        <f t="shared" si="27"/>
        <v>2174802.2999999998</v>
      </c>
      <c r="Z79" s="67">
        <v>2657941.7599999998</v>
      </c>
      <c r="AA79" s="68">
        <v>2931639.1863999995</v>
      </c>
      <c r="AB79" s="69">
        <v>1882897.36</v>
      </c>
      <c r="AC79" s="70">
        <v>2004000</v>
      </c>
      <c r="AD79" s="67">
        <v>2942732.8721999996</v>
      </c>
      <c r="AE79" s="68">
        <v>2983514.6483999998</v>
      </c>
      <c r="AF79" s="69">
        <v>2113500</v>
      </c>
      <c r="AG79" s="70">
        <v>2230000</v>
      </c>
      <c r="AH79" s="70">
        <f t="shared" si="28"/>
        <v>2678788.6587999999</v>
      </c>
      <c r="AI79" s="70">
        <f t="shared" si="29"/>
        <v>2855003.9070079993</v>
      </c>
      <c r="AJ79" s="70">
        <f t="shared" si="30"/>
        <v>2939626.6401759991</v>
      </c>
      <c r="AK79" s="70">
        <f t="shared" si="31"/>
        <v>2972095.7510639997</v>
      </c>
      <c r="AL79" s="70">
        <f t="shared" si="32"/>
        <v>1793397.7908319999</v>
      </c>
      <c r="AM79" s="70">
        <f t="shared" si="33"/>
        <v>1946621.569168</v>
      </c>
      <c r="AN79" s="70">
        <f t="shared" si="34"/>
        <v>2061618.9</v>
      </c>
      <c r="AO79" s="70">
        <f t="shared" si="35"/>
        <v>2174802.2999999998</v>
      </c>
    </row>
    <row r="80" spans="1:41">
      <c r="A80" s="29" t="s">
        <v>273</v>
      </c>
      <c r="B80" s="29" t="s">
        <v>891</v>
      </c>
      <c r="C80" s="107">
        <v>0</v>
      </c>
      <c r="D80" s="108">
        <v>190000</v>
      </c>
      <c r="F80" s="107">
        <v>0</v>
      </c>
      <c r="G80" s="108">
        <v>190904</v>
      </c>
      <c r="I80" s="64">
        <v>0</v>
      </c>
      <c r="J80" s="83">
        <v>0</v>
      </c>
      <c r="K80" s="66">
        <v>190904</v>
      </c>
      <c r="L80" s="251">
        <v>190000</v>
      </c>
      <c r="M80" s="63">
        <v>0</v>
      </c>
      <c r="N80" s="64">
        <v>0</v>
      </c>
      <c r="O80" s="65">
        <v>190000</v>
      </c>
      <c r="P80" s="66">
        <v>190000</v>
      </c>
      <c r="Q80" s="66">
        <f t="shared" si="20"/>
        <v>0</v>
      </c>
      <c r="R80" s="63">
        <f t="shared" si="21"/>
        <v>0</v>
      </c>
      <c r="S80" s="83">
        <f t="shared" si="22"/>
        <v>0</v>
      </c>
      <c r="T80" s="64">
        <f t="shared" si="23"/>
        <v>0</v>
      </c>
      <c r="U80" s="66">
        <f t="shared" si="24"/>
        <v>190475.68479999999</v>
      </c>
      <c r="V80" s="63">
        <f t="shared" si="25"/>
        <v>190428.31520000001</v>
      </c>
      <c r="W80" s="83">
        <f t="shared" si="26"/>
        <v>190000</v>
      </c>
      <c r="X80" s="64">
        <f t="shared" si="27"/>
        <v>190000</v>
      </c>
      <c r="Z80" s="67">
        <v>0</v>
      </c>
      <c r="AA80" s="68">
        <v>0</v>
      </c>
      <c r="AB80" s="69">
        <v>190904</v>
      </c>
      <c r="AC80" s="70">
        <v>190000</v>
      </c>
      <c r="AD80" s="67">
        <v>0</v>
      </c>
      <c r="AE80" s="68">
        <v>0</v>
      </c>
      <c r="AF80" s="69">
        <v>190000</v>
      </c>
      <c r="AG80" s="70">
        <v>190000</v>
      </c>
      <c r="AH80" s="70">
        <f t="shared" si="28"/>
        <v>0</v>
      </c>
      <c r="AI80" s="70">
        <f t="shared" si="29"/>
        <v>0</v>
      </c>
      <c r="AJ80" s="70">
        <f t="shared" si="30"/>
        <v>0</v>
      </c>
      <c r="AK80" s="70">
        <f t="shared" si="31"/>
        <v>0</v>
      </c>
      <c r="AL80" s="70">
        <f t="shared" si="32"/>
        <v>190475.68479999999</v>
      </c>
      <c r="AM80" s="70">
        <f t="shared" si="33"/>
        <v>190428.31520000001</v>
      </c>
      <c r="AN80" s="70">
        <f t="shared" si="34"/>
        <v>190000</v>
      </c>
      <c r="AO80" s="70">
        <f t="shared" si="35"/>
        <v>190000</v>
      </c>
    </row>
    <row r="81" spans="1:41">
      <c r="A81" s="29" t="s">
        <v>423</v>
      </c>
      <c r="B81" s="29" t="s">
        <v>686</v>
      </c>
      <c r="C81" s="107">
        <v>0</v>
      </c>
      <c r="D81" s="108">
        <v>48880000</v>
      </c>
      <c r="F81" s="107">
        <v>0</v>
      </c>
      <c r="G81" s="108">
        <v>53250000</v>
      </c>
      <c r="I81" s="64">
        <v>0</v>
      </c>
      <c r="J81" s="83">
        <v>0</v>
      </c>
      <c r="K81" s="66">
        <v>53250000</v>
      </c>
      <c r="L81" s="251">
        <v>53250000</v>
      </c>
      <c r="M81" s="63">
        <v>0</v>
      </c>
      <c r="N81" s="64">
        <v>0</v>
      </c>
      <c r="O81" s="65">
        <v>53250000</v>
      </c>
      <c r="P81" s="66">
        <v>53250000</v>
      </c>
      <c r="Q81" s="66">
        <f t="shared" si="20"/>
        <v>0</v>
      </c>
      <c r="R81" s="63">
        <f t="shared" si="21"/>
        <v>0</v>
      </c>
      <c r="S81" s="83">
        <f t="shared" si="22"/>
        <v>0</v>
      </c>
      <c r="T81" s="64">
        <f t="shared" si="23"/>
        <v>0</v>
      </c>
      <c r="U81" s="66">
        <f t="shared" si="24"/>
        <v>51179494</v>
      </c>
      <c r="V81" s="63">
        <f t="shared" si="25"/>
        <v>53250000</v>
      </c>
      <c r="W81" s="83">
        <f t="shared" si="26"/>
        <v>53250000</v>
      </c>
      <c r="X81" s="64">
        <f t="shared" si="27"/>
        <v>53250000</v>
      </c>
      <c r="Z81" s="67">
        <v>0</v>
      </c>
      <c r="AA81" s="68">
        <v>0</v>
      </c>
      <c r="AB81" s="69">
        <v>53250000</v>
      </c>
      <c r="AC81" s="70">
        <v>53250000</v>
      </c>
      <c r="AD81" s="67">
        <v>0</v>
      </c>
      <c r="AE81" s="68">
        <v>0</v>
      </c>
      <c r="AF81" s="69">
        <v>53250000</v>
      </c>
      <c r="AG81" s="70">
        <v>53250000</v>
      </c>
      <c r="AH81" s="70">
        <f t="shared" si="28"/>
        <v>0</v>
      </c>
      <c r="AI81" s="70">
        <f t="shared" si="29"/>
        <v>0</v>
      </c>
      <c r="AJ81" s="70">
        <f t="shared" si="30"/>
        <v>0</v>
      </c>
      <c r="AK81" s="70">
        <f t="shared" si="31"/>
        <v>0</v>
      </c>
      <c r="AL81" s="70">
        <f t="shared" si="32"/>
        <v>51179494</v>
      </c>
      <c r="AM81" s="70">
        <f t="shared" si="33"/>
        <v>53250000</v>
      </c>
      <c r="AN81" s="70">
        <f t="shared" si="34"/>
        <v>53250000</v>
      </c>
      <c r="AO81" s="70">
        <f t="shared" si="35"/>
        <v>53250000</v>
      </c>
    </row>
    <row r="82" spans="1:41">
      <c r="A82" s="29" t="s">
        <v>65</v>
      </c>
      <c r="B82" s="29" t="s">
        <v>687</v>
      </c>
      <c r="C82" s="107">
        <v>9857442.4800000004</v>
      </c>
      <c r="D82" s="108">
        <v>35300000</v>
      </c>
      <c r="F82" s="107">
        <v>5988457.4800000004</v>
      </c>
      <c r="G82" s="108">
        <v>38650000</v>
      </c>
      <c r="I82" s="64">
        <v>5988457.4800000004</v>
      </c>
      <c r="J82" s="83">
        <v>5738981.6895999974</v>
      </c>
      <c r="K82" s="66">
        <v>38650000</v>
      </c>
      <c r="L82" s="251">
        <v>38650000</v>
      </c>
      <c r="M82" s="63">
        <v>4541001.2552939951</v>
      </c>
      <c r="N82" s="64">
        <v>3088063.4077919978</v>
      </c>
      <c r="O82" s="65">
        <v>38650000</v>
      </c>
      <c r="P82" s="66">
        <v>38650000</v>
      </c>
      <c r="Q82" s="66">
        <f t="shared" si="20"/>
        <v>7071773.2800000012</v>
      </c>
      <c r="R82" s="63">
        <f t="shared" si="21"/>
        <v>5808834.9109119978</v>
      </c>
      <c r="S82" s="83">
        <f t="shared" si="22"/>
        <v>4876435.7768996758</v>
      </c>
      <c r="T82" s="64">
        <f t="shared" si="23"/>
        <v>3494886.0050925571</v>
      </c>
      <c r="U82" s="66">
        <f t="shared" si="24"/>
        <v>37062770</v>
      </c>
      <c r="V82" s="63">
        <f t="shared" si="25"/>
        <v>38650000</v>
      </c>
      <c r="W82" s="83">
        <f t="shared" si="26"/>
        <v>38650000</v>
      </c>
      <c r="X82" s="64">
        <f t="shared" si="27"/>
        <v>38650000</v>
      </c>
      <c r="Z82" s="67">
        <v>5988457.4800000004</v>
      </c>
      <c r="AA82" s="68">
        <v>7864579.1180999987</v>
      </c>
      <c r="AB82" s="69">
        <v>38650000</v>
      </c>
      <c r="AC82" s="70">
        <v>38650000</v>
      </c>
      <c r="AD82" s="67">
        <v>4541001.2552939951</v>
      </c>
      <c r="AE82" s="68">
        <v>3088063.4077919978</v>
      </c>
      <c r="AF82" s="69">
        <v>38650000</v>
      </c>
      <c r="AG82" s="70">
        <v>38650000</v>
      </c>
      <c r="AH82" s="70">
        <f t="shared" si="28"/>
        <v>7071773.2800000012</v>
      </c>
      <c r="AI82" s="70">
        <f t="shared" si="29"/>
        <v>7339265.0594319999</v>
      </c>
      <c r="AJ82" s="70">
        <f t="shared" si="30"/>
        <v>5471603.0568796769</v>
      </c>
      <c r="AK82" s="70">
        <f t="shared" si="31"/>
        <v>3494886.0050925571</v>
      </c>
      <c r="AL82" s="70">
        <f t="shared" si="32"/>
        <v>37062770</v>
      </c>
      <c r="AM82" s="70">
        <f t="shared" si="33"/>
        <v>38650000</v>
      </c>
      <c r="AN82" s="70">
        <f t="shared" si="34"/>
        <v>38650000</v>
      </c>
      <c r="AO82" s="70">
        <f t="shared" si="35"/>
        <v>38650000</v>
      </c>
    </row>
    <row r="83" spans="1:41">
      <c r="A83" s="29" t="s">
        <v>497</v>
      </c>
      <c r="B83" s="29" t="s">
        <v>927</v>
      </c>
      <c r="C83" s="107">
        <v>0</v>
      </c>
      <c r="D83" s="108">
        <v>30000</v>
      </c>
      <c r="F83" s="107">
        <v>0</v>
      </c>
      <c r="G83" s="108">
        <v>30000</v>
      </c>
      <c r="I83" s="64">
        <v>0</v>
      </c>
      <c r="J83" s="83">
        <v>0</v>
      </c>
      <c r="K83" s="66">
        <v>30000</v>
      </c>
      <c r="L83" s="251">
        <v>30000</v>
      </c>
      <c r="M83" s="63">
        <v>0</v>
      </c>
      <c r="N83" s="64">
        <v>0</v>
      </c>
      <c r="O83" s="65">
        <v>30000</v>
      </c>
      <c r="P83" s="66">
        <v>30000</v>
      </c>
      <c r="Q83" s="66">
        <f t="shared" si="20"/>
        <v>0</v>
      </c>
      <c r="R83" s="63">
        <f t="shared" si="21"/>
        <v>0</v>
      </c>
      <c r="S83" s="83">
        <f t="shared" si="22"/>
        <v>0</v>
      </c>
      <c r="T83" s="64">
        <f t="shared" si="23"/>
        <v>0</v>
      </c>
      <c r="U83" s="66">
        <f t="shared" si="24"/>
        <v>30000</v>
      </c>
      <c r="V83" s="63">
        <f t="shared" si="25"/>
        <v>30000</v>
      </c>
      <c r="W83" s="83">
        <f t="shared" si="26"/>
        <v>30000</v>
      </c>
      <c r="X83" s="64">
        <f t="shared" si="27"/>
        <v>30000</v>
      </c>
      <c r="Z83" s="67">
        <v>0</v>
      </c>
      <c r="AA83" s="68">
        <v>0</v>
      </c>
      <c r="AB83" s="69">
        <v>30000</v>
      </c>
      <c r="AC83" s="70">
        <v>30000</v>
      </c>
      <c r="AD83" s="67">
        <v>0</v>
      </c>
      <c r="AE83" s="68">
        <v>0</v>
      </c>
      <c r="AF83" s="69">
        <v>30000</v>
      </c>
      <c r="AG83" s="70">
        <v>30000</v>
      </c>
      <c r="AH83" s="70">
        <f t="shared" si="28"/>
        <v>0</v>
      </c>
      <c r="AI83" s="70">
        <f t="shared" si="29"/>
        <v>0</v>
      </c>
      <c r="AJ83" s="70">
        <f t="shared" si="30"/>
        <v>0</v>
      </c>
      <c r="AK83" s="70">
        <f t="shared" si="31"/>
        <v>0</v>
      </c>
      <c r="AL83" s="70">
        <f t="shared" si="32"/>
        <v>30000</v>
      </c>
      <c r="AM83" s="70">
        <f t="shared" si="33"/>
        <v>30000</v>
      </c>
      <c r="AN83" s="70">
        <f t="shared" si="34"/>
        <v>30000</v>
      </c>
      <c r="AO83" s="70">
        <f t="shared" si="35"/>
        <v>30000</v>
      </c>
    </row>
    <row r="84" spans="1:41">
      <c r="A84" s="29" t="s">
        <v>185</v>
      </c>
      <c r="B84" s="29" t="s">
        <v>688</v>
      </c>
      <c r="C84" s="107">
        <v>8119652.1100000003</v>
      </c>
      <c r="D84" s="108">
        <v>28400000</v>
      </c>
      <c r="F84" s="107">
        <v>4065712.08</v>
      </c>
      <c r="G84" s="108">
        <v>32500000</v>
      </c>
      <c r="I84" s="64">
        <v>4065712.08</v>
      </c>
      <c r="J84" s="83">
        <v>5580083.912600005</v>
      </c>
      <c r="K84" s="66">
        <v>32500000</v>
      </c>
      <c r="L84" s="251">
        <v>33000000</v>
      </c>
      <c r="M84" s="63">
        <v>3761236.833144004</v>
      </c>
      <c r="N84" s="64">
        <v>3732872.0400160034</v>
      </c>
      <c r="O84" s="65">
        <v>33000000</v>
      </c>
      <c r="P84" s="66">
        <v>33000000</v>
      </c>
      <c r="Q84" s="66">
        <f t="shared" si="20"/>
        <v>5200815.2884</v>
      </c>
      <c r="R84" s="63">
        <f t="shared" si="21"/>
        <v>5156059.7994720042</v>
      </c>
      <c r="S84" s="83">
        <f t="shared" si="22"/>
        <v>4270514.0153916841</v>
      </c>
      <c r="T84" s="64">
        <f t="shared" si="23"/>
        <v>3740814.1820918433</v>
      </c>
      <c r="U84" s="66">
        <f t="shared" si="24"/>
        <v>30557420</v>
      </c>
      <c r="V84" s="63">
        <f t="shared" si="25"/>
        <v>32763100</v>
      </c>
      <c r="W84" s="83">
        <f t="shared" si="26"/>
        <v>33000000</v>
      </c>
      <c r="X84" s="64">
        <f t="shared" si="27"/>
        <v>33000000</v>
      </c>
      <c r="Z84" s="67">
        <v>4065712.08</v>
      </c>
      <c r="AA84" s="68">
        <v>7251608.3283999972</v>
      </c>
      <c r="AB84" s="69">
        <v>32500000</v>
      </c>
      <c r="AC84" s="70">
        <v>33000000</v>
      </c>
      <c r="AD84" s="67">
        <v>3761236.833144004</v>
      </c>
      <c r="AE84" s="68">
        <v>3732872.0400160034</v>
      </c>
      <c r="AF84" s="69">
        <v>33000000</v>
      </c>
      <c r="AG84" s="70">
        <v>33000000</v>
      </c>
      <c r="AH84" s="70">
        <f t="shared" si="28"/>
        <v>5200815.2884</v>
      </c>
      <c r="AI84" s="70">
        <f t="shared" si="29"/>
        <v>6359557.3788479986</v>
      </c>
      <c r="AJ84" s="70">
        <f t="shared" si="30"/>
        <v>4738540.8518156819</v>
      </c>
      <c r="AK84" s="70">
        <f t="shared" si="31"/>
        <v>3740814.1820918433</v>
      </c>
      <c r="AL84" s="70">
        <f t="shared" si="32"/>
        <v>30557420</v>
      </c>
      <c r="AM84" s="70">
        <f t="shared" si="33"/>
        <v>32763100</v>
      </c>
      <c r="AN84" s="70">
        <f t="shared" si="34"/>
        <v>33000000</v>
      </c>
      <c r="AO84" s="70">
        <f t="shared" si="35"/>
        <v>33000000</v>
      </c>
    </row>
    <row r="85" spans="1:41">
      <c r="A85" s="29" t="s">
        <v>541</v>
      </c>
      <c r="B85" s="29" t="s">
        <v>689</v>
      </c>
      <c r="C85" s="107">
        <v>0</v>
      </c>
      <c r="D85" s="108">
        <v>8273000</v>
      </c>
      <c r="F85" s="107">
        <v>0</v>
      </c>
      <c r="G85" s="108">
        <v>8617676</v>
      </c>
      <c r="I85" s="64">
        <v>0</v>
      </c>
      <c r="J85" s="83">
        <v>0</v>
      </c>
      <c r="K85" s="66">
        <v>8617676</v>
      </c>
      <c r="L85" s="251">
        <v>8687000</v>
      </c>
      <c r="M85" s="63">
        <v>0</v>
      </c>
      <c r="N85" s="64">
        <v>0</v>
      </c>
      <c r="O85" s="65">
        <v>8687000</v>
      </c>
      <c r="P85" s="66">
        <v>8687000</v>
      </c>
      <c r="Q85" s="66">
        <f t="shared" si="20"/>
        <v>0</v>
      </c>
      <c r="R85" s="63">
        <f t="shared" si="21"/>
        <v>0</v>
      </c>
      <c r="S85" s="83">
        <f t="shared" si="22"/>
        <v>0</v>
      </c>
      <c r="T85" s="64">
        <f t="shared" si="23"/>
        <v>0</v>
      </c>
      <c r="U85" s="66">
        <f t="shared" si="24"/>
        <v>8454368.5111999996</v>
      </c>
      <c r="V85" s="63">
        <f t="shared" si="25"/>
        <v>8654154.2888000011</v>
      </c>
      <c r="W85" s="83">
        <f t="shared" si="26"/>
        <v>8687000</v>
      </c>
      <c r="X85" s="64">
        <f t="shared" si="27"/>
        <v>8687000</v>
      </c>
      <c r="Z85" s="67">
        <v>0</v>
      </c>
      <c r="AA85" s="68">
        <v>0</v>
      </c>
      <c r="AB85" s="69">
        <v>8617676</v>
      </c>
      <c r="AC85" s="70">
        <v>8687000</v>
      </c>
      <c r="AD85" s="67">
        <v>0</v>
      </c>
      <c r="AE85" s="68">
        <v>0</v>
      </c>
      <c r="AF85" s="69">
        <v>8687000</v>
      </c>
      <c r="AG85" s="70">
        <v>8687000</v>
      </c>
      <c r="AH85" s="70">
        <f t="shared" si="28"/>
        <v>0</v>
      </c>
      <c r="AI85" s="70">
        <f t="shared" si="29"/>
        <v>0</v>
      </c>
      <c r="AJ85" s="70">
        <f t="shared" si="30"/>
        <v>0</v>
      </c>
      <c r="AK85" s="70">
        <f t="shared" si="31"/>
        <v>0</v>
      </c>
      <c r="AL85" s="70">
        <f t="shared" si="32"/>
        <v>8454368.5111999996</v>
      </c>
      <c r="AM85" s="70">
        <f t="shared" si="33"/>
        <v>8654154.2888000011</v>
      </c>
      <c r="AN85" s="70">
        <f t="shared" si="34"/>
        <v>8687000</v>
      </c>
      <c r="AO85" s="70">
        <f t="shared" si="35"/>
        <v>8687000</v>
      </c>
    </row>
    <row r="86" spans="1:41">
      <c r="A86" s="29" t="s">
        <v>389</v>
      </c>
      <c r="B86" s="29" t="s">
        <v>690</v>
      </c>
      <c r="C86" s="107">
        <v>0</v>
      </c>
      <c r="D86" s="108">
        <v>9800000</v>
      </c>
      <c r="F86" s="107">
        <v>0</v>
      </c>
      <c r="G86" s="108">
        <v>9900000</v>
      </c>
      <c r="I86" s="64">
        <v>0</v>
      </c>
      <c r="J86" s="83">
        <v>0</v>
      </c>
      <c r="K86" s="66">
        <v>9900000</v>
      </c>
      <c r="L86" s="251">
        <v>9900000</v>
      </c>
      <c r="M86" s="63">
        <v>0</v>
      </c>
      <c r="N86" s="64">
        <v>0</v>
      </c>
      <c r="O86" s="65">
        <v>9900000</v>
      </c>
      <c r="P86" s="66">
        <v>9900000</v>
      </c>
      <c r="Q86" s="66">
        <f t="shared" si="20"/>
        <v>0</v>
      </c>
      <c r="R86" s="63">
        <f t="shared" si="21"/>
        <v>0</v>
      </c>
      <c r="S86" s="83">
        <f t="shared" si="22"/>
        <v>0</v>
      </c>
      <c r="T86" s="64">
        <f t="shared" si="23"/>
        <v>0</v>
      </c>
      <c r="U86" s="66">
        <f t="shared" si="24"/>
        <v>9852620</v>
      </c>
      <c r="V86" s="63">
        <f t="shared" si="25"/>
        <v>9900000</v>
      </c>
      <c r="W86" s="83">
        <f t="shared" si="26"/>
        <v>9900000</v>
      </c>
      <c r="X86" s="64">
        <f t="shared" si="27"/>
        <v>9900000</v>
      </c>
      <c r="Z86" s="67">
        <v>0</v>
      </c>
      <c r="AA86" s="68">
        <v>0</v>
      </c>
      <c r="AB86" s="69">
        <v>9900000</v>
      </c>
      <c r="AC86" s="70">
        <v>9900000</v>
      </c>
      <c r="AD86" s="67">
        <v>0</v>
      </c>
      <c r="AE86" s="68">
        <v>0</v>
      </c>
      <c r="AF86" s="69">
        <v>9900000</v>
      </c>
      <c r="AG86" s="70">
        <v>9900000</v>
      </c>
      <c r="AH86" s="70">
        <f t="shared" si="28"/>
        <v>0</v>
      </c>
      <c r="AI86" s="70">
        <f t="shared" si="29"/>
        <v>0</v>
      </c>
      <c r="AJ86" s="70">
        <f t="shared" si="30"/>
        <v>0</v>
      </c>
      <c r="AK86" s="70">
        <f t="shared" si="31"/>
        <v>0</v>
      </c>
      <c r="AL86" s="70">
        <f t="shared" si="32"/>
        <v>9852620</v>
      </c>
      <c r="AM86" s="70">
        <f t="shared" si="33"/>
        <v>9900000</v>
      </c>
      <c r="AN86" s="70">
        <f t="shared" si="34"/>
        <v>9900000</v>
      </c>
      <c r="AO86" s="70">
        <f t="shared" si="35"/>
        <v>9900000</v>
      </c>
    </row>
    <row r="87" spans="1:41">
      <c r="A87" s="29" t="s">
        <v>23</v>
      </c>
      <c r="B87" s="29" t="s">
        <v>691</v>
      </c>
      <c r="C87" s="107">
        <v>501296.07</v>
      </c>
      <c r="D87" s="108">
        <v>1125000</v>
      </c>
      <c r="F87" s="107">
        <v>532870.36</v>
      </c>
      <c r="G87" s="108">
        <v>1177099</v>
      </c>
      <c r="I87" s="64">
        <v>532870.36</v>
      </c>
      <c r="J87" s="83">
        <v>580314.57399999991</v>
      </c>
      <c r="K87" s="66">
        <v>1177099</v>
      </c>
      <c r="L87" s="251">
        <v>1175000</v>
      </c>
      <c r="M87" s="63">
        <v>557671.89509999962</v>
      </c>
      <c r="N87" s="64">
        <v>563240.36580000015</v>
      </c>
      <c r="O87" s="65">
        <v>1175000</v>
      </c>
      <c r="P87" s="66">
        <v>1175000</v>
      </c>
      <c r="Q87" s="66">
        <f t="shared" si="20"/>
        <v>524029.5588</v>
      </c>
      <c r="R87" s="63">
        <f t="shared" si="21"/>
        <v>567030.19407999993</v>
      </c>
      <c r="S87" s="83">
        <f t="shared" si="22"/>
        <v>564011.84519199969</v>
      </c>
      <c r="T87" s="64">
        <f t="shared" si="23"/>
        <v>561681.19400399993</v>
      </c>
      <c r="U87" s="66">
        <f t="shared" si="24"/>
        <v>1152414.4938000001</v>
      </c>
      <c r="V87" s="63">
        <f t="shared" si="25"/>
        <v>1175994.5061999999</v>
      </c>
      <c r="W87" s="83">
        <f t="shared" si="26"/>
        <v>1175000</v>
      </c>
      <c r="X87" s="64">
        <f t="shared" si="27"/>
        <v>1175000</v>
      </c>
      <c r="Z87" s="67">
        <v>532870.36</v>
      </c>
      <c r="AA87" s="68">
        <v>580314.57399999991</v>
      </c>
      <c r="AB87" s="69">
        <v>1177099</v>
      </c>
      <c r="AC87" s="70">
        <v>1175000</v>
      </c>
      <c r="AD87" s="67">
        <v>557671.89509999962</v>
      </c>
      <c r="AE87" s="68">
        <v>563240.36580000015</v>
      </c>
      <c r="AF87" s="69">
        <v>1175000</v>
      </c>
      <c r="AG87" s="70">
        <v>1175000</v>
      </c>
      <c r="AH87" s="70">
        <f t="shared" si="28"/>
        <v>524029.5588</v>
      </c>
      <c r="AI87" s="70">
        <f t="shared" si="29"/>
        <v>567030.19407999993</v>
      </c>
      <c r="AJ87" s="70">
        <f t="shared" si="30"/>
        <v>564011.84519199969</v>
      </c>
      <c r="AK87" s="70">
        <f t="shared" si="31"/>
        <v>561681.19400399993</v>
      </c>
      <c r="AL87" s="70">
        <f t="shared" si="32"/>
        <v>1152414.4938000001</v>
      </c>
      <c r="AM87" s="70">
        <f t="shared" si="33"/>
        <v>1175994.5061999999</v>
      </c>
      <c r="AN87" s="70">
        <f t="shared" si="34"/>
        <v>1175000</v>
      </c>
      <c r="AO87" s="70">
        <f t="shared" si="35"/>
        <v>1175000</v>
      </c>
    </row>
    <row r="88" spans="1:41">
      <c r="A88" s="29" t="s">
        <v>381</v>
      </c>
      <c r="B88" s="29" t="s">
        <v>692</v>
      </c>
      <c r="C88" s="107">
        <v>3946088.44</v>
      </c>
      <c r="D88" s="108">
        <v>21000000</v>
      </c>
      <c r="F88" s="107">
        <v>2502680.34</v>
      </c>
      <c r="G88" s="108">
        <v>22000000</v>
      </c>
      <c r="I88" s="64">
        <v>2502680.34</v>
      </c>
      <c r="J88" s="83">
        <v>2380072.2590000005</v>
      </c>
      <c r="K88" s="66">
        <v>22000000</v>
      </c>
      <c r="L88" s="251">
        <v>18199387.787500001</v>
      </c>
      <c r="M88" s="63">
        <v>1869993.2894999995</v>
      </c>
      <c r="N88" s="64">
        <v>1633860.5511000012</v>
      </c>
      <c r="O88" s="65">
        <v>19817701.392499998</v>
      </c>
      <c r="P88" s="66">
        <v>21119854.635000002</v>
      </c>
      <c r="Q88" s="66">
        <f t="shared" si="20"/>
        <v>2906834.608</v>
      </c>
      <c r="R88" s="63">
        <f t="shared" si="21"/>
        <v>2414402.5216800002</v>
      </c>
      <c r="S88" s="83">
        <f t="shared" si="22"/>
        <v>2012815.4009599998</v>
      </c>
      <c r="T88" s="64">
        <f t="shared" si="23"/>
        <v>1699977.7178520006</v>
      </c>
      <c r="U88" s="66">
        <f t="shared" si="24"/>
        <v>21526200</v>
      </c>
      <c r="V88" s="63">
        <f t="shared" si="25"/>
        <v>20000117.853782501</v>
      </c>
      <c r="W88" s="83">
        <f t="shared" si="26"/>
        <v>19050944.406451002</v>
      </c>
      <c r="X88" s="64">
        <f t="shared" si="27"/>
        <v>20502894.428703502</v>
      </c>
      <c r="Z88" s="67">
        <v>2502680.34</v>
      </c>
      <c r="AA88" s="68">
        <v>2809792.3358000014</v>
      </c>
      <c r="AB88" s="69">
        <v>22000000</v>
      </c>
      <c r="AC88" s="70">
        <v>18199387.787500001</v>
      </c>
      <c r="AD88" s="67">
        <v>1869993.2894999995</v>
      </c>
      <c r="AE88" s="68">
        <v>1633860.5511000012</v>
      </c>
      <c r="AF88" s="69">
        <v>19817701.392499998</v>
      </c>
      <c r="AG88" s="70">
        <v>21119854.635000002</v>
      </c>
      <c r="AH88" s="70">
        <f t="shared" si="28"/>
        <v>2906834.608</v>
      </c>
      <c r="AI88" s="70">
        <f t="shared" si="29"/>
        <v>2723800.9769760007</v>
      </c>
      <c r="AJ88" s="70">
        <f t="shared" si="30"/>
        <v>2133137.0224640002</v>
      </c>
      <c r="AK88" s="70">
        <f t="shared" si="31"/>
        <v>1699977.7178520006</v>
      </c>
      <c r="AL88" s="70">
        <f t="shared" si="32"/>
        <v>21526200</v>
      </c>
      <c r="AM88" s="70">
        <f t="shared" si="33"/>
        <v>20000117.853782501</v>
      </c>
      <c r="AN88" s="70">
        <f t="shared" si="34"/>
        <v>19050944.406451002</v>
      </c>
      <c r="AO88" s="70">
        <f t="shared" si="35"/>
        <v>20502894.428703502</v>
      </c>
    </row>
    <row r="89" spans="1:41">
      <c r="A89" s="29" t="s">
        <v>465</v>
      </c>
      <c r="B89" s="29" t="s">
        <v>693</v>
      </c>
      <c r="C89" s="107">
        <v>263248.59000000003</v>
      </c>
      <c r="D89" s="108">
        <v>1206738</v>
      </c>
      <c r="F89" s="107">
        <v>76557.98</v>
      </c>
      <c r="G89" s="108">
        <v>1318023</v>
      </c>
      <c r="I89" s="64">
        <v>76557.98</v>
      </c>
      <c r="J89" s="83">
        <v>68832.729100000026</v>
      </c>
      <c r="K89" s="66">
        <v>1318023</v>
      </c>
      <c r="L89" s="251">
        <v>1449825</v>
      </c>
      <c r="M89" s="63">
        <v>42672.699899999985</v>
      </c>
      <c r="N89" s="64">
        <v>28019.46698600013</v>
      </c>
      <c r="O89" s="65">
        <v>1594808</v>
      </c>
      <c r="P89" s="66">
        <v>1594808</v>
      </c>
      <c r="Q89" s="66">
        <f t="shared" si="20"/>
        <v>128831.35080000001</v>
      </c>
      <c r="R89" s="63">
        <f t="shared" si="21"/>
        <v>70995.799352000016</v>
      </c>
      <c r="S89" s="83">
        <f t="shared" si="22"/>
        <v>49997.508075999998</v>
      </c>
      <c r="T89" s="64">
        <f t="shared" si="23"/>
        <v>32122.37220192009</v>
      </c>
      <c r="U89" s="66">
        <f t="shared" si="24"/>
        <v>1265296.1669999999</v>
      </c>
      <c r="V89" s="63">
        <f t="shared" si="25"/>
        <v>1387377.2124000001</v>
      </c>
      <c r="W89" s="83">
        <f t="shared" si="26"/>
        <v>1526115.0545999999</v>
      </c>
      <c r="X89" s="64">
        <f t="shared" si="27"/>
        <v>1594808</v>
      </c>
      <c r="Z89" s="67">
        <v>76557.98</v>
      </c>
      <c r="AA89" s="68">
        <v>158535.37409999999</v>
      </c>
      <c r="AB89" s="69">
        <v>1318023</v>
      </c>
      <c r="AC89" s="70">
        <v>1449825</v>
      </c>
      <c r="AD89" s="67">
        <v>42672.699899999985</v>
      </c>
      <c r="AE89" s="68">
        <v>28019.46698600013</v>
      </c>
      <c r="AF89" s="69">
        <v>1594808</v>
      </c>
      <c r="AG89" s="70">
        <v>1594808</v>
      </c>
      <c r="AH89" s="70">
        <f t="shared" si="28"/>
        <v>128831.35080000001</v>
      </c>
      <c r="AI89" s="70">
        <f t="shared" si="29"/>
        <v>135581.703752</v>
      </c>
      <c r="AJ89" s="70">
        <f t="shared" si="30"/>
        <v>75114.248675999988</v>
      </c>
      <c r="AK89" s="70">
        <f t="shared" si="31"/>
        <v>32122.37220192009</v>
      </c>
      <c r="AL89" s="70">
        <f t="shared" si="32"/>
        <v>1265296.1669999999</v>
      </c>
      <c r="AM89" s="70">
        <f t="shared" si="33"/>
        <v>1387377.2124000001</v>
      </c>
      <c r="AN89" s="70">
        <f t="shared" si="34"/>
        <v>1526115.0545999999</v>
      </c>
      <c r="AO89" s="70">
        <f t="shared" si="35"/>
        <v>1594808</v>
      </c>
    </row>
    <row r="90" spans="1:41">
      <c r="A90" s="29" t="s">
        <v>567</v>
      </c>
      <c r="B90" s="29" t="s">
        <v>694</v>
      </c>
      <c r="C90" s="107">
        <v>65549.919999999998</v>
      </c>
      <c r="D90" s="108">
        <v>176040</v>
      </c>
      <c r="F90" s="107">
        <v>35779.370000000003</v>
      </c>
      <c r="G90" s="108">
        <v>176040</v>
      </c>
      <c r="I90" s="64">
        <v>35779.370000000003</v>
      </c>
      <c r="J90" s="83">
        <v>48406.95659999999</v>
      </c>
      <c r="K90" s="66">
        <v>176040</v>
      </c>
      <c r="L90" s="251">
        <v>176040</v>
      </c>
      <c r="M90" s="63">
        <v>55989.772799999984</v>
      </c>
      <c r="N90" s="64">
        <v>61468.372799999983</v>
      </c>
      <c r="O90" s="65">
        <v>176040</v>
      </c>
      <c r="P90" s="66">
        <v>176040</v>
      </c>
      <c r="Q90" s="66">
        <f t="shared" si="20"/>
        <v>44115.124000000003</v>
      </c>
      <c r="R90" s="63">
        <f t="shared" si="21"/>
        <v>44871.232351999992</v>
      </c>
      <c r="S90" s="83">
        <f t="shared" si="22"/>
        <v>53866.584263999983</v>
      </c>
      <c r="T90" s="64">
        <f t="shared" si="23"/>
        <v>59934.364799999981</v>
      </c>
      <c r="U90" s="66">
        <f t="shared" si="24"/>
        <v>176040</v>
      </c>
      <c r="V90" s="63">
        <f t="shared" si="25"/>
        <v>176040</v>
      </c>
      <c r="W90" s="83">
        <f t="shared" si="26"/>
        <v>176040</v>
      </c>
      <c r="X90" s="64">
        <f t="shared" si="27"/>
        <v>176040</v>
      </c>
      <c r="Z90" s="67">
        <v>35779.370000000003</v>
      </c>
      <c r="AA90" s="68">
        <v>83506.446999999986</v>
      </c>
      <c r="AB90" s="69">
        <v>176040</v>
      </c>
      <c r="AC90" s="70">
        <v>176040</v>
      </c>
      <c r="AD90" s="67">
        <v>55989.772799999984</v>
      </c>
      <c r="AE90" s="68">
        <v>61468.372799999983</v>
      </c>
      <c r="AF90" s="69">
        <v>176040</v>
      </c>
      <c r="AG90" s="70">
        <v>176040</v>
      </c>
      <c r="AH90" s="70">
        <f t="shared" si="28"/>
        <v>44115.124000000003</v>
      </c>
      <c r="AI90" s="70">
        <f t="shared" si="29"/>
        <v>70142.865439999994</v>
      </c>
      <c r="AJ90" s="70">
        <f t="shared" si="30"/>
        <v>63694.441575999983</v>
      </c>
      <c r="AK90" s="70">
        <f t="shared" si="31"/>
        <v>59934.364799999981</v>
      </c>
      <c r="AL90" s="70">
        <f t="shared" si="32"/>
        <v>176040</v>
      </c>
      <c r="AM90" s="70">
        <f t="shared" si="33"/>
        <v>176040</v>
      </c>
      <c r="AN90" s="70">
        <f t="shared" si="34"/>
        <v>176040</v>
      </c>
      <c r="AO90" s="70">
        <f t="shared" si="35"/>
        <v>176040</v>
      </c>
    </row>
    <row r="91" spans="1:41">
      <c r="A91" s="29" t="s">
        <v>259</v>
      </c>
      <c r="B91" s="29" t="s">
        <v>695</v>
      </c>
      <c r="C91" s="107">
        <v>18570.41</v>
      </c>
      <c r="D91" s="108">
        <v>110000</v>
      </c>
      <c r="F91" s="107">
        <v>1255.9000000000001</v>
      </c>
      <c r="G91" s="108">
        <v>110000</v>
      </c>
      <c r="I91" s="64">
        <v>1255.9000000000001</v>
      </c>
      <c r="J91" s="83">
        <v>13927.749000000014</v>
      </c>
      <c r="K91" s="66">
        <v>110000</v>
      </c>
      <c r="L91" s="251">
        <v>110000</v>
      </c>
      <c r="M91" s="63">
        <v>14761.215</v>
      </c>
      <c r="N91" s="64">
        <v>13979.731500000016</v>
      </c>
      <c r="O91" s="65">
        <v>110000</v>
      </c>
      <c r="P91" s="66">
        <v>110000</v>
      </c>
      <c r="Q91" s="66">
        <f t="shared" si="20"/>
        <v>6103.9628000000012</v>
      </c>
      <c r="R91" s="63">
        <f t="shared" si="21"/>
        <v>10379.631280000011</v>
      </c>
      <c r="S91" s="83">
        <f t="shared" si="22"/>
        <v>14527.844520000004</v>
      </c>
      <c r="T91" s="64">
        <f t="shared" si="23"/>
        <v>14198.546880000013</v>
      </c>
      <c r="U91" s="66">
        <f t="shared" si="24"/>
        <v>110000</v>
      </c>
      <c r="V91" s="63">
        <f t="shared" si="25"/>
        <v>110000</v>
      </c>
      <c r="W91" s="83">
        <f t="shared" si="26"/>
        <v>110000</v>
      </c>
      <c r="X91" s="64">
        <f t="shared" si="27"/>
        <v>110000</v>
      </c>
      <c r="Z91" s="67">
        <v>1255.9000000000001</v>
      </c>
      <c r="AA91" s="68">
        <v>21441.45570000002</v>
      </c>
      <c r="AB91" s="69">
        <v>110000</v>
      </c>
      <c r="AC91" s="70">
        <v>110000</v>
      </c>
      <c r="AD91" s="67">
        <v>14761.215</v>
      </c>
      <c r="AE91" s="68">
        <v>13979.731500000016</v>
      </c>
      <c r="AF91" s="69">
        <v>110000</v>
      </c>
      <c r="AG91" s="70">
        <v>110000</v>
      </c>
      <c r="AH91" s="70">
        <f t="shared" si="28"/>
        <v>6103.9628000000012</v>
      </c>
      <c r="AI91" s="70">
        <f t="shared" si="29"/>
        <v>15789.500104000013</v>
      </c>
      <c r="AJ91" s="70">
        <f t="shared" si="30"/>
        <v>16631.682396000007</v>
      </c>
      <c r="AK91" s="70">
        <f t="shared" si="31"/>
        <v>14198.546880000013</v>
      </c>
      <c r="AL91" s="70">
        <f t="shared" si="32"/>
        <v>110000</v>
      </c>
      <c r="AM91" s="70">
        <f t="shared" si="33"/>
        <v>110000</v>
      </c>
      <c r="AN91" s="70">
        <f t="shared" si="34"/>
        <v>110000</v>
      </c>
      <c r="AO91" s="70">
        <f t="shared" si="35"/>
        <v>110000</v>
      </c>
    </row>
    <row r="92" spans="1:41">
      <c r="A92" s="29" t="s">
        <v>265</v>
      </c>
      <c r="B92" s="29" t="s">
        <v>696</v>
      </c>
      <c r="C92" s="107">
        <v>0</v>
      </c>
      <c r="D92" s="108">
        <v>2315399</v>
      </c>
      <c r="F92" s="107">
        <v>1865851.44</v>
      </c>
      <c r="G92" s="108">
        <v>2522224</v>
      </c>
      <c r="I92" s="64">
        <v>1865851.44</v>
      </c>
      <c r="J92" s="83">
        <v>2055613.4536000004</v>
      </c>
      <c r="K92" s="66">
        <v>2522224</v>
      </c>
      <c r="L92" s="251">
        <v>2572668</v>
      </c>
      <c r="M92" s="63">
        <v>2163911.6597999991</v>
      </c>
      <c r="N92" s="64">
        <v>2336640.1803000001</v>
      </c>
      <c r="O92" s="65">
        <v>2624121</v>
      </c>
      <c r="P92" s="66">
        <v>2624121</v>
      </c>
      <c r="Q92" s="66">
        <f t="shared" si="20"/>
        <v>1343413.0367999999</v>
      </c>
      <c r="R92" s="63">
        <f t="shared" si="21"/>
        <v>2002480.0897920004</v>
      </c>
      <c r="S92" s="83">
        <f t="shared" si="22"/>
        <v>2133588.1620639996</v>
      </c>
      <c r="T92" s="64">
        <f t="shared" si="23"/>
        <v>2288276.1945599997</v>
      </c>
      <c r="U92" s="66">
        <f t="shared" si="24"/>
        <v>2424230.3149999999</v>
      </c>
      <c r="V92" s="63">
        <f t="shared" si="25"/>
        <v>2548767.6327999998</v>
      </c>
      <c r="W92" s="83">
        <f t="shared" si="26"/>
        <v>2599742.5685999999</v>
      </c>
      <c r="X92" s="64">
        <f t="shared" si="27"/>
        <v>2624121</v>
      </c>
      <c r="Z92" s="67">
        <v>1865851.44</v>
      </c>
      <c r="AA92" s="68">
        <v>2055613.4536000004</v>
      </c>
      <c r="AB92" s="69">
        <v>2522224</v>
      </c>
      <c r="AC92" s="70">
        <v>2572668</v>
      </c>
      <c r="AD92" s="67">
        <v>2163911.6597999991</v>
      </c>
      <c r="AE92" s="68">
        <v>2336640.1803000001</v>
      </c>
      <c r="AF92" s="69">
        <v>2624121</v>
      </c>
      <c r="AG92" s="70">
        <v>2624121</v>
      </c>
      <c r="AH92" s="70">
        <f t="shared" si="28"/>
        <v>1343413.0367999999</v>
      </c>
      <c r="AI92" s="70">
        <f t="shared" si="29"/>
        <v>2002480.0897920004</v>
      </c>
      <c r="AJ92" s="70">
        <f t="shared" si="30"/>
        <v>2133588.1620639996</v>
      </c>
      <c r="AK92" s="70">
        <f t="shared" si="31"/>
        <v>2288276.1945599997</v>
      </c>
      <c r="AL92" s="70">
        <f t="shared" si="32"/>
        <v>2424230.3149999999</v>
      </c>
      <c r="AM92" s="70">
        <f t="shared" si="33"/>
        <v>2548767.6327999998</v>
      </c>
      <c r="AN92" s="70">
        <f t="shared" si="34"/>
        <v>2599742.5685999999</v>
      </c>
      <c r="AO92" s="70">
        <f t="shared" si="35"/>
        <v>2624121</v>
      </c>
    </row>
    <row r="93" spans="1:41">
      <c r="A93" s="29" t="s">
        <v>139</v>
      </c>
      <c r="B93" s="29" t="s">
        <v>697</v>
      </c>
      <c r="C93" s="107">
        <v>643103.92000000004</v>
      </c>
      <c r="D93" s="108">
        <v>806022</v>
      </c>
      <c r="F93" s="107">
        <v>622476.93000000005</v>
      </c>
      <c r="G93" s="108">
        <v>845307</v>
      </c>
      <c r="I93" s="64">
        <v>622476.93000000005</v>
      </c>
      <c r="J93" s="83">
        <v>600624.14279999991</v>
      </c>
      <c r="K93" s="66">
        <v>845307</v>
      </c>
      <c r="L93" s="251">
        <v>845307</v>
      </c>
      <c r="M93" s="63">
        <v>615306.6068999999</v>
      </c>
      <c r="N93" s="64">
        <v>647437.821</v>
      </c>
      <c r="O93" s="65">
        <v>845307</v>
      </c>
      <c r="P93" s="66">
        <v>845307</v>
      </c>
      <c r="Q93" s="66">
        <f t="shared" si="20"/>
        <v>628252.48720000009</v>
      </c>
      <c r="R93" s="63">
        <f t="shared" si="21"/>
        <v>606742.92321599997</v>
      </c>
      <c r="S93" s="83">
        <f t="shared" si="22"/>
        <v>611195.51695199986</v>
      </c>
      <c r="T93" s="64">
        <f t="shared" si="23"/>
        <v>638441.08105199994</v>
      </c>
      <c r="U93" s="66">
        <f t="shared" si="24"/>
        <v>826693.76699999999</v>
      </c>
      <c r="V93" s="63">
        <f t="shared" si="25"/>
        <v>845307</v>
      </c>
      <c r="W93" s="83">
        <f t="shared" si="26"/>
        <v>845307</v>
      </c>
      <c r="X93" s="64">
        <f t="shared" si="27"/>
        <v>845307</v>
      </c>
      <c r="Z93" s="67">
        <v>622476.93000000005</v>
      </c>
      <c r="AA93" s="68">
        <v>791539.79200000002</v>
      </c>
      <c r="AB93" s="69">
        <v>845307</v>
      </c>
      <c r="AC93" s="70">
        <v>845307</v>
      </c>
      <c r="AD93" s="67">
        <v>615306.6068999999</v>
      </c>
      <c r="AE93" s="68">
        <v>647437.821</v>
      </c>
      <c r="AF93" s="69">
        <v>845307</v>
      </c>
      <c r="AG93" s="70">
        <v>845307</v>
      </c>
      <c r="AH93" s="70">
        <f t="shared" si="28"/>
        <v>628252.48720000009</v>
      </c>
      <c r="AI93" s="70">
        <f t="shared" si="29"/>
        <v>744202.19064000004</v>
      </c>
      <c r="AJ93" s="70">
        <f t="shared" si="30"/>
        <v>664651.898728</v>
      </c>
      <c r="AK93" s="70">
        <f t="shared" si="31"/>
        <v>638441.08105199994</v>
      </c>
      <c r="AL93" s="70">
        <f t="shared" si="32"/>
        <v>826693.76699999999</v>
      </c>
      <c r="AM93" s="70">
        <f t="shared" si="33"/>
        <v>845307</v>
      </c>
      <c r="AN93" s="70">
        <f t="shared" si="34"/>
        <v>845307</v>
      </c>
      <c r="AO93" s="70">
        <f t="shared" si="35"/>
        <v>845307</v>
      </c>
    </row>
    <row r="94" spans="1:41">
      <c r="A94" s="29" t="s">
        <v>593</v>
      </c>
      <c r="B94" s="29" t="s">
        <v>698</v>
      </c>
      <c r="C94" s="107">
        <v>4250634.0199999996</v>
      </c>
      <c r="D94" s="108">
        <v>1800000</v>
      </c>
      <c r="F94" s="107">
        <v>4282369.75</v>
      </c>
      <c r="G94" s="108">
        <v>1850000</v>
      </c>
      <c r="I94" s="64">
        <v>4282369.75</v>
      </c>
      <c r="J94" s="83">
        <v>4554662.4105999991</v>
      </c>
      <c r="K94" s="66">
        <v>1850000</v>
      </c>
      <c r="L94" s="251">
        <v>1850000</v>
      </c>
      <c r="M94" s="63">
        <v>4598645.3987599993</v>
      </c>
      <c r="N94" s="64">
        <v>4500424.1433199998</v>
      </c>
      <c r="O94" s="65">
        <v>1850000</v>
      </c>
      <c r="P94" s="66">
        <v>1850000</v>
      </c>
      <c r="Q94" s="66">
        <f t="shared" si="20"/>
        <v>4273483.7456</v>
      </c>
      <c r="R94" s="63">
        <f t="shared" si="21"/>
        <v>4478420.4656319991</v>
      </c>
      <c r="S94" s="83">
        <f t="shared" si="22"/>
        <v>4586330.1620751992</v>
      </c>
      <c r="T94" s="64">
        <f t="shared" si="23"/>
        <v>4527926.0948431995</v>
      </c>
      <c r="U94" s="66">
        <f t="shared" si="24"/>
        <v>1826310</v>
      </c>
      <c r="V94" s="63">
        <f t="shared" si="25"/>
        <v>1850000</v>
      </c>
      <c r="W94" s="83">
        <f t="shared" si="26"/>
        <v>1850000</v>
      </c>
      <c r="X94" s="64">
        <f t="shared" si="27"/>
        <v>1850000</v>
      </c>
      <c r="Z94" s="67">
        <v>4282369.75</v>
      </c>
      <c r="AA94" s="68">
        <v>4569672.0611000005</v>
      </c>
      <c r="AB94" s="69">
        <v>1850000</v>
      </c>
      <c r="AC94" s="70">
        <v>1850000</v>
      </c>
      <c r="AD94" s="67">
        <v>4598645.3987599993</v>
      </c>
      <c r="AE94" s="68">
        <v>4500424.1433199998</v>
      </c>
      <c r="AF94" s="69">
        <v>1850000</v>
      </c>
      <c r="AG94" s="70">
        <v>1850000</v>
      </c>
      <c r="AH94" s="70">
        <f t="shared" si="28"/>
        <v>4273483.7456</v>
      </c>
      <c r="AI94" s="70">
        <f t="shared" si="29"/>
        <v>4489227.4139919998</v>
      </c>
      <c r="AJ94" s="70">
        <f t="shared" si="30"/>
        <v>4590532.8642151998</v>
      </c>
      <c r="AK94" s="70">
        <f t="shared" si="31"/>
        <v>4527926.0948431995</v>
      </c>
      <c r="AL94" s="70">
        <f t="shared" si="32"/>
        <v>1826310</v>
      </c>
      <c r="AM94" s="70">
        <f t="shared" si="33"/>
        <v>1850000</v>
      </c>
      <c r="AN94" s="70">
        <f t="shared" si="34"/>
        <v>1850000</v>
      </c>
      <c r="AO94" s="70">
        <f t="shared" si="35"/>
        <v>1850000</v>
      </c>
    </row>
    <row r="95" spans="1:41">
      <c r="A95" s="29" t="s">
        <v>601</v>
      </c>
      <c r="B95" s="29" t="s">
        <v>699</v>
      </c>
      <c r="C95" s="107">
        <v>1714867.62</v>
      </c>
      <c r="D95" s="108">
        <v>626000</v>
      </c>
      <c r="F95" s="107">
        <v>1755448.3</v>
      </c>
      <c r="G95" s="108">
        <v>715000</v>
      </c>
      <c r="I95" s="64">
        <v>1755448.3</v>
      </c>
      <c r="J95" s="83">
        <v>1827358.8702000002</v>
      </c>
      <c r="K95" s="66">
        <v>715000</v>
      </c>
      <c r="L95" s="251">
        <v>760000</v>
      </c>
      <c r="M95" s="63">
        <v>1872534.7622999998</v>
      </c>
      <c r="N95" s="64">
        <v>1840611.4557120001</v>
      </c>
      <c r="O95" s="65">
        <v>810000</v>
      </c>
      <c r="P95" s="66">
        <v>810000</v>
      </c>
      <c r="Q95" s="66">
        <f t="shared" si="20"/>
        <v>1744085.7096000002</v>
      </c>
      <c r="R95" s="63">
        <f t="shared" si="21"/>
        <v>1807223.9105440001</v>
      </c>
      <c r="S95" s="83">
        <f t="shared" si="22"/>
        <v>1859885.512512</v>
      </c>
      <c r="T95" s="64">
        <f t="shared" si="23"/>
        <v>1849549.98155664</v>
      </c>
      <c r="U95" s="66">
        <f t="shared" si="24"/>
        <v>672831.8</v>
      </c>
      <c r="V95" s="63">
        <f t="shared" si="25"/>
        <v>738679</v>
      </c>
      <c r="W95" s="83">
        <f t="shared" si="26"/>
        <v>786310</v>
      </c>
      <c r="X95" s="64">
        <f t="shared" si="27"/>
        <v>810000</v>
      </c>
      <c r="Z95" s="67">
        <v>1755448.3</v>
      </c>
      <c r="AA95" s="68">
        <v>1827358.8702000002</v>
      </c>
      <c r="AB95" s="69">
        <v>715000</v>
      </c>
      <c r="AC95" s="70">
        <v>760000</v>
      </c>
      <c r="AD95" s="67">
        <v>1872534.7622999998</v>
      </c>
      <c r="AE95" s="68">
        <v>1840611.4557120001</v>
      </c>
      <c r="AF95" s="69">
        <v>810000</v>
      </c>
      <c r="AG95" s="70">
        <v>810000</v>
      </c>
      <c r="AH95" s="70">
        <f t="shared" si="28"/>
        <v>1744085.7096000002</v>
      </c>
      <c r="AI95" s="70">
        <f t="shared" si="29"/>
        <v>1807223.9105440001</v>
      </c>
      <c r="AJ95" s="70">
        <f t="shared" si="30"/>
        <v>1859885.512512</v>
      </c>
      <c r="AK95" s="70">
        <f t="shared" si="31"/>
        <v>1849549.98155664</v>
      </c>
      <c r="AL95" s="70">
        <f t="shared" si="32"/>
        <v>672831.8</v>
      </c>
      <c r="AM95" s="70">
        <f t="shared" si="33"/>
        <v>738679</v>
      </c>
      <c r="AN95" s="70">
        <f t="shared" si="34"/>
        <v>786310</v>
      </c>
      <c r="AO95" s="70">
        <f t="shared" si="35"/>
        <v>810000</v>
      </c>
    </row>
    <row r="96" spans="1:41">
      <c r="A96" s="29" t="s">
        <v>447</v>
      </c>
      <c r="B96" s="29" t="s">
        <v>700</v>
      </c>
      <c r="C96" s="107">
        <v>0</v>
      </c>
      <c r="D96" s="108">
        <v>4449366</v>
      </c>
      <c r="F96" s="107">
        <v>0</v>
      </c>
      <c r="G96" s="108">
        <v>4449366</v>
      </c>
      <c r="I96" s="64">
        <v>0</v>
      </c>
      <c r="J96" s="83">
        <v>0</v>
      </c>
      <c r="K96" s="66">
        <v>4449366</v>
      </c>
      <c r="L96" s="251">
        <v>4449366</v>
      </c>
      <c r="M96" s="63">
        <v>0</v>
      </c>
      <c r="N96" s="64">
        <v>0</v>
      </c>
      <c r="O96" s="65">
        <v>4449366</v>
      </c>
      <c r="P96" s="66">
        <v>4449366</v>
      </c>
      <c r="Q96" s="66">
        <f t="shared" si="20"/>
        <v>0</v>
      </c>
      <c r="R96" s="63">
        <f t="shared" si="21"/>
        <v>0</v>
      </c>
      <c r="S96" s="83">
        <f t="shared" si="22"/>
        <v>0</v>
      </c>
      <c r="T96" s="64">
        <f t="shared" si="23"/>
        <v>0</v>
      </c>
      <c r="U96" s="66">
        <f t="shared" si="24"/>
        <v>4449366</v>
      </c>
      <c r="V96" s="63">
        <f t="shared" si="25"/>
        <v>4449366</v>
      </c>
      <c r="W96" s="83">
        <f t="shared" si="26"/>
        <v>4449366</v>
      </c>
      <c r="X96" s="64">
        <f t="shared" si="27"/>
        <v>4449366</v>
      </c>
      <c r="Z96" s="67">
        <v>0</v>
      </c>
      <c r="AA96" s="68">
        <v>0</v>
      </c>
      <c r="AB96" s="69">
        <v>4449366</v>
      </c>
      <c r="AC96" s="70">
        <v>4449366</v>
      </c>
      <c r="AD96" s="67">
        <v>0</v>
      </c>
      <c r="AE96" s="68">
        <v>0</v>
      </c>
      <c r="AF96" s="69">
        <v>4449366</v>
      </c>
      <c r="AG96" s="70">
        <v>4449366</v>
      </c>
      <c r="AH96" s="70">
        <f t="shared" si="28"/>
        <v>0</v>
      </c>
      <c r="AI96" s="70">
        <f t="shared" si="29"/>
        <v>0</v>
      </c>
      <c r="AJ96" s="70">
        <f t="shared" si="30"/>
        <v>0</v>
      </c>
      <c r="AK96" s="70">
        <f t="shared" si="31"/>
        <v>0</v>
      </c>
      <c r="AL96" s="70">
        <f t="shared" si="32"/>
        <v>4449366</v>
      </c>
      <c r="AM96" s="70">
        <f t="shared" si="33"/>
        <v>4449366</v>
      </c>
      <c r="AN96" s="70">
        <f t="shared" si="34"/>
        <v>4449366</v>
      </c>
      <c r="AO96" s="70">
        <f t="shared" si="35"/>
        <v>4449366</v>
      </c>
    </row>
    <row r="97" spans="1:41">
      <c r="A97" s="29" t="s">
        <v>315</v>
      </c>
      <c r="B97" s="29" t="s">
        <v>701</v>
      </c>
      <c r="C97" s="107">
        <v>0</v>
      </c>
      <c r="D97" s="108">
        <v>698493</v>
      </c>
      <c r="F97" s="107">
        <v>0</v>
      </c>
      <c r="G97" s="108">
        <v>735538</v>
      </c>
      <c r="I97" s="64">
        <v>0</v>
      </c>
      <c r="J97" s="83">
        <v>0</v>
      </c>
      <c r="K97" s="66">
        <v>735538</v>
      </c>
      <c r="L97" s="251">
        <v>776529</v>
      </c>
      <c r="M97" s="63">
        <v>0</v>
      </c>
      <c r="N97" s="64">
        <v>0</v>
      </c>
      <c r="O97" s="65">
        <v>807343</v>
      </c>
      <c r="P97" s="66">
        <v>807343</v>
      </c>
      <c r="Q97" s="66">
        <f t="shared" si="20"/>
        <v>0</v>
      </c>
      <c r="R97" s="63">
        <f t="shared" si="21"/>
        <v>0</v>
      </c>
      <c r="S97" s="83">
        <f t="shared" si="22"/>
        <v>0</v>
      </c>
      <c r="T97" s="64">
        <f t="shared" si="23"/>
        <v>0</v>
      </c>
      <c r="U97" s="66">
        <f t="shared" si="24"/>
        <v>717986.07900000003</v>
      </c>
      <c r="V97" s="63">
        <f t="shared" si="25"/>
        <v>757107.46420000005</v>
      </c>
      <c r="W97" s="83">
        <f t="shared" si="26"/>
        <v>792743.32680000004</v>
      </c>
      <c r="X97" s="64">
        <f t="shared" si="27"/>
        <v>807343</v>
      </c>
      <c r="Z97" s="67">
        <v>0</v>
      </c>
      <c r="AA97" s="68">
        <v>0</v>
      </c>
      <c r="AB97" s="69">
        <v>735538</v>
      </c>
      <c r="AC97" s="70">
        <v>776529</v>
      </c>
      <c r="AD97" s="67">
        <v>0</v>
      </c>
      <c r="AE97" s="68">
        <v>0</v>
      </c>
      <c r="AF97" s="69">
        <v>807343</v>
      </c>
      <c r="AG97" s="70">
        <v>807343</v>
      </c>
      <c r="AH97" s="70">
        <f t="shared" si="28"/>
        <v>0</v>
      </c>
      <c r="AI97" s="70">
        <f t="shared" si="29"/>
        <v>0</v>
      </c>
      <c r="AJ97" s="70">
        <f t="shared" si="30"/>
        <v>0</v>
      </c>
      <c r="AK97" s="70">
        <f t="shared" si="31"/>
        <v>0</v>
      </c>
      <c r="AL97" s="70">
        <f t="shared" si="32"/>
        <v>717986.07900000003</v>
      </c>
      <c r="AM97" s="70">
        <f t="shared" si="33"/>
        <v>757107.46420000005</v>
      </c>
      <c r="AN97" s="70">
        <f t="shared" si="34"/>
        <v>792743.32680000004</v>
      </c>
      <c r="AO97" s="70">
        <f t="shared" si="35"/>
        <v>807343</v>
      </c>
    </row>
    <row r="98" spans="1:41">
      <c r="A98" s="29" t="s">
        <v>455</v>
      </c>
      <c r="B98" s="29" t="s">
        <v>880</v>
      </c>
      <c r="C98" s="107">
        <v>0</v>
      </c>
      <c r="D98" s="108">
        <v>215000</v>
      </c>
      <c r="F98" s="107">
        <v>0</v>
      </c>
      <c r="G98" s="108">
        <v>211633</v>
      </c>
      <c r="I98" s="64">
        <v>0</v>
      </c>
      <c r="J98" s="83">
        <v>0</v>
      </c>
      <c r="K98" s="66">
        <v>211633</v>
      </c>
      <c r="L98" s="251">
        <v>253619</v>
      </c>
      <c r="M98" s="63">
        <v>0</v>
      </c>
      <c r="N98" s="64">
        <v>0</v>
      </c>
      <c r="O98" s="65">
        <v>266424</v>
      </c>
      <c r="P98" s="66">
        <v>266424</v>
      </c>
      <c r="Q98" s="66">
        <f t="shared" si="20"/>
        <v>0</v>
      </c>
      <c r="R98" s="63">
        <f t="shared" si="21"/>
        <v>0</v>
      </c>
      <c r="S98" s="83">
        <f t="shared" si="22"/>
        <v>0</v>
      </c>
      <c r="T98" s="64">
        <f t="shared" si="23"/>
        <v>0</v>
      </c>
      <c r="U98" s="66">
        <f t="shared" si="24"/>
        <v>213228.28460000001</v>
      </c>
      <c r="V98" s="63">
        <f t="shared" si="25"/>
        <v>233726.03320000001</v>
      </c>
      <c r="W98" s="83">
        <f t="shared" si="26"/>
        <v>260356.99099999998</v>
      </c>
      <c r="X98" s="64">
        <f t="shared" si="27"/>
        <v>266424</v>
      </c>
      <c r="Z98" s="67">
        <v>0</v>
      </c>
      <c r="AA98" s="68">
        <v>0</v>
      </c>
      <c r="AB98" s="69">
        <v>211633</v>
      </c>
      <c r="AC98" s="70">
        <v>253619</v>
      </c>
      <c r="AD98" s="67">
        <v>0</v>
      </c>
      <c r="AE98" s="68">
        <v>0</v>
      </c>
      <c r="AF98" s="69">
        <v>266424</v>
      </c>
      <c r="AG98" s="70">
        <v>266424</v>
      </c>
      <c r="AH98" s="70">
        <f t="shared" si="28"/>
        <v>0</v>
      </c>
      <c r="AI98" s="70">
        <f t="shared" si="29"/>
        <v>0</v>
      </c>
      <c r="AJ98" s="70">
        <f t="shared" si="30"/>
        <v>0</v>
      </c>
      <c r="AK98" s="70">
        <f t="shared" si="31"/>
        <v>0</v>
      </c>
      <c r="AL98" s="70">
        <f t="shared" si="32"/>
        <v>213228.28460000001</v>
      </c>
      <c r="AM98" s="70">
        <f t="shared" si="33"/>
        <v>233726.03320000001</v>
      </c>
      <c r="AN98" s="70">
        <f t="shared" si="34"/>
        <v>260356.99099999998</v>
      </c>
      <c r="AO98" s="70">
        <f t="shared" si="35"/>
        <v>266424</v>
      </c>
    </row>
    <row r="99" spans="1:41">
      <c r="A99" s="29" t="s">
        <v>61</v>
      </c>
      <c r="B99" s="29" t="s">
        <v>904</v>
      </c>
      <c r="C99" s="107">
        <v>23351.93</v>
      </c>
      <c r="D99" s="108">
        <v>353241</v>
      </c>
      <c r="F99" s="107">
        <v>28789.35</v>
      </c>
      <c r="G99" s="108">
        <v>388566</v>
      </c>
      <c r="I99" s="64">
        <v>28789.35</v>
      </c>
      <c r="J99" s="83">
        <v>89262.892699999982</v>
      </c>
      <c r="K99" s="66">
        <v>388566</v>
      </c>
      <c r="L99" s="251">
        <v>388566</v>
      </c>
      <c r="M99" s="63">
        <v>83464.493399999992</v>
      </c>
      <c r="N99" s="64">
        <v>89295.540300000008</v>
      </c>
      <c r="O99" s="65">
        <v>388566</v>
      </c>
      <c r="P99" s="66">
        <v>388566</v>
      </c>
      <c r="Q99" s="66">
        <f t="shared" si="20"/>
        <v>27266.8724</v>
      </c>
      <c r="R99" s="63">
        <f t="shared" si="21"/>
        <v>72330.300743999978</v>
      </c>
      <c r="S99" s="83">
        <f t="shared" si="22"/>
        <v>85088.045203999995</v>
      </c>
      <c r="T99" s="64">
        <f t="shared" si="23"/>
        <v>87662.847168000008</v>
      </c>
      <c r="U99" s="66">
        <f t="shared" si="24"/>
        <v>371829.01500000001</v>
      </c>
      <c r="V99" s="63">
        <f t="shared" si="25"/>
        <v>388566</v>
      </c>
      <c r="W99" s="83">
        <f t="shared" si="26"/>
        <v>388566</v>
      </c>
      <c r="X99" s="64">
        <f t="shared" si="27"/>
        <v>388566</v>
      </c>
      <c r="Z99" s="67">
        <v>28789.35</v>
      </c>
      <c r="AA99" s="68">
        <v>89262.892699999982</v>
      </c>
      <c r="AB99" s="69">
        <v>388566</v>
      </c>
      <c r="AC99" s="70">
        <v>388566</v>
      </c>
      <c r="AD99" s="67">
        <v>83464.493399999992</v>
      </c>
      <c r="AE99" s="68">
        <v>89295.540300000008</v>
      </c>
      <c r="AF99" s="69">
        <v>388566</v>
      </c>
      <c r="AG99" s="70">
        <v>388566</v>
      </c>
      <c r="AH99" s="70">
        <f t="shared" si="28"/>
        <v>27266.8724</v>
      </c>
      <c r="AI99" s="70">
        <f t="shared" si="29"/>
        <v>72330.300743999978</v>
      </c>
      <c r="AJ99" s="70">
        <f t="shared" si="30"/>
        <v>85088.045203999995</v>
      </c>
      <c r="AK99" s="70">
        <f t="shared" si="31"/>
        <v>87662.847168000008</v>
      </c>
      <c r="AL99" s="70">
        <f t="shared" si="32"/>
        <v>371829.01500000001</v>
      </c>
      <c r="AM99" s="70">
        <f t="shared" si="33"/>
        <v>388566</v>
      </c>
      <c r="AN99" s="70">
        <f t="shared" si="34"/>
        <v>388566</v>
      </c>
      <c r="AO99" s="70">
        <f t="shared" si="35"/>
        <v>388566</v>
      </c>
    </row>
    <row r="100" spans="1:41">
      <c r="A100" s="29" t="s">
        <v>517</v>
      </c>
      <c r="B100" s="29" t="s">
        <v>702</v>
      </c>
      <c r="C100" s="107">
        <v>0</v>
      </c>
      <c r="D100" s="108">
        <v>2500000</v>
      </c>
      <c r="F100" s="107">
        <v>0</v>
      </c>
      <c r="G100" s="108">
        <v>2309671</v>
      </c>
      <c r="I100" s="64">
        <v>0</v>
      </c>
      <c r="J100" s="83">
        <v>0</v>
      </c>
      <c r="K100" s="66">
        <v>2309671</v>
      </c>
      <c r="L100" s="251">
        <v>3000000</v>
      </c>
      <c r="M100" s="63">
        <v>0</v>
      </c>
      <c r="N100" s="64">
        <v>0</v>
      </c>
      <c r="O100" s="65">
        <v>3096734.4693000005</v>
      </c>
      <c r="P100" s="66">
        <v>3208086.4353999998</v>
      </c>
      <c r="Q100" s="66">
        <f t="shared" si="20"/>
        <v>0</v>
      </c>
      <c r="R100" s="63">
        <f t="shared" si="21"/>
        <v>0</v>
      </c>
      <c r="S100" s="83">
        <f t="shared" si="22"/>
        <v>0</v>
      </c>
      <c r="T100" s="64">
        <f t="shared" si="23"/>
        <v>0</v>
      </c>
      <c r="U100" s="66">
        <f t="shared" si="24"/>
        <v>2399848.8802</v>
      </c>
      <c r="V100" s="63">
        <f t="shared" si="25"/>
        <v>2672922.1198</v>
      </c>
      <c r="W100" s="83">
        <f t="shared" si="26"/>
        <v>3050901.6777456603</v>
      </c>
      <c r="X100" s="64">
        <f t="shared" si="27"/>
        <v>3155327.87386182</v>
      </c>
      <c r="Z100" s="67">
        <v>0</v>
      </c>
      <c r="AA100" s="68">
        <v>0</v>
      </c>
      <c r="AB100" s="69">
        <v>2309671</v>
      </c>
      <c r="AC100" s="70">
        <v>3000000</v>
      </c>
      <c r="AD100" s="67">
        <v>0</v>
      </c>
      <c r="AE100" s="68">
        <v>0</v>
      </c>
      <c r="AF100" s="69">
        <v>3096734.4693000005</v>
      </c>
      <c r="AG100" s="70">
        <v>3208086.4353999998</v>
      </c>
      <c r="AH100" s="70">
        <f t="shared" si="28"/>
        <v>0</v>
      </c>
      <c r="AI100" s="70">
        <f t="shared" si="29"/>
        <v>0</v>
      </c>
      <c r="AJ100" s="70">
        <f t="shared" si="30"/>
        <v>0</v>
      </c>
      <c r="AK100" s="70">
        <f t="shared" si="31"/>
        <v>0</v>
      </c>
      <c r="AL100" s="70">
        <f t="shared" si="32"/>
        <v>2399848.8802</v>
      </c>
      <c r="AM100" s="70">
        <f t="shared" si="33"/>
        <v>2672922.1198</v>
      </c>
      <c r="AN100" s="70">
        <f t="shared" si="34"/>
        <v>3050901.6777456603</v>
      </c>
      <c r="AO100" s="70">
        <f t="shared" si="35"/>
        <v>3155327.87386182</v>
      </c>
    </row>
    <row r="101" spans="1:41">
      <c r="A101" s="29" t="s">
        <v>309</v>
      </c>
      <c r="B101" s="29" t="s">
        <v>885</v>
      </c>
      <c r="C101" s="107">
        <v>0</v>
      </c>
      <c r="D101" s="108">
        <v>325000</v>
      </c>
      <c r="F101" s="107">
        <v>0</v>
      </c>
      <c r="G101" s="108">
        <v>375000</v>
      </c>
      <c r="I101" s="64">
        <v>0</v>
      </c>
      <c r="J101" s="83">
        <v>0</v>
      </c>
      <c r="K101" s="66">
        <v>375000</v>
      </c>
      <c r="L101" s="251">
        <v>348058.7806</v>
      </c>
      <c r="M101" s="63">
        <v>0</v>
      </c>
      <c r="N101" s="64">
        <v>0</v>
      </c>
      <c r="O101" s="65">
        <v>360129.1483</v>
      </c>
      <c r="P101" s="66">
        <v>374389.89279999997</v>
      </c>
      <c r="Q101" s="66">
        <f t="shared" si="20"/>
        <v>0</v>
      </c>
      <c r="R101" s="63">
        <f t="shared" si="21"/>
        <v>0</v>
      </c>
      <c r="S101" s="83">
        <f t="shared" si="22"/>
        <v>0</v>
      </c>
      <c r="T101" s="64">
        <f t="shared" si="23"/>
        <v>0</v>
      </c>
      <c r="U101" s="66">
        <f t="shared" si="24"/>
        <v>351310</v>
      </c>
      <c r="V101" s="63">
        <f t="shared" si="25"/>
        <v>360823.53035171999</v>
      </c>
      <c r="W101" s="83">
        <f t="shared" si="26"/>
        <v>354410.20808373997</v>
      </c>
      <c r="X101" s="64">
        <f t="shared" si="27"/>
        <v>367633.15205589996</v>
      </c>
      <c r="Z101" s="67">
        <v>0</v>
      </c>
      <c r="AA101" s="68">
        <v>0</v>
      </c>
      <c r="AB101" s="69">
        <v>375000</v>
      </c>
      <c r="AC101" s="70">
        <v>362970.23940000002</v>
      </c>
      <c r="AD101" s="67">
        <v>0</v>
      </c>
      <c r="AE101" s="68">
        <v>0</v>
      </c>
      <c r="AF101" s="69">
        <v>360129.1483</v>
      </c>
      <c r="AG101" s="70">
        <v>374389.89279999997</v>
      </c>
      <c r="AH101" s="70">
        <f t="shared" si="28"/>
        <v>0</v>
      </c>
      <c r="AI101" s="70">
        <f t="shared" si="29"/>
        <v>0</v>
      </c>
      <c r="AJ101" s="70">
        <f t="shared" si="30"/>
        <v>0</v>
      </c>
      <c r="AK101" s="70">
        <f t="shared" si="31"/>
        <v>0</v>
      </c>
      <c r="AL101" s="70">
        <f t="shared" si="32"/>
        <v>351310</v>
      </c>
      <c r="AM101" s="70">
        <f t="shared" si="33"/>
        <v>368669.93997228</v>
      </c>
      <c r="AN101" s="70">
        <f t="shared" si="34"/>
        <v>361475.25726317998</v>
      </c>
      <c r="AO101" s="70">
        <f t="shared" si="35"/>
        <v>367633.15205589996</v>
      </c>
    </row>
    <row r="102" spans="1:41">
      <c r="A102" s="29" t="s">
        <v>599</v>
      </c>
      <c r="B102" s="29" t="s">
        <v>703</v>
      </c>
      <c r="C102" s="107">
        <v>782244.9</v>
      </c>
      <c r="D102" s="108">
        <v>1200000</v>
      </c>
      <c r="F102" s="107">
        <v>717593.02</v>
      </c>
      <c r="G102" s="108">
        <v>1250000</v>
      </c>
      <c r="I102" s="64">
        <v>717593.02</v>
      </c>
      <c r="J102" s="83">
        <v>743599.04379999998</v>
      </c>
      <c r="K102" s="66">
        <v>1250000</v>
      </c>
      <c r="L102" s="251">
        <v>1350000</v>
      </c>
      <c r="M102" s="63">
        <v>710757.36990000005</v>
      </c>
      <c r="N102" s="64">
        <v>636055.78323000018</v>
      </c>
      <c r="O102" s="65">
        <v>1350000</v>
      </c>
      <c r="P102" s="66">
        <v>1350000</v>
      </c>
      <c r="Q102" s="66">
        <f t="shared" si="20"/>
        <v>735695.54639999999</v>
      </c>
      <c r="R102" s="63">
        <f t="shared" si="21"/>
        <v>736317.35713599995</v>
      </c>
      <c r="S102" s="83">
        <f t="shared" si="22"/>
        <v>719953.03859200003</v>
      </c>
      <c r="T102" s="64">
        <f t="shared" si="23"/>
        <v>656972.22749760014</v>
      </c>
      <c r="U102" s="66">
        <f t="shared" si="24"/>
        <v>1226310</v>
      </c>
      <c r="V102" s="63">
        <f t="shared" si="25"/>
        <v>1302620</v>
      </c>
      <c r="W102" s="83">
        <f t="shared" si="26"/>
        <v>1350000</v>
      </c>
      <c r="X102" s="64">
        <f t="shared" si="27"/>
        <v>1350000</v>
      </c>
      <c r="Z102" s="67">
        <v>717593.02</v>
      </c>
      <c r="AA102" s="68">
        <v>798539.69350000005</v>
      </c>
      <c r="AB102" s="69">
        <v>1250000</v>
      </c>
      <c r="AC102" s="70">
        <v>1350000</v>
      </c>
      <c r="AD102" s="67">
        <v>710757.36990000005</v>
      </c>
      <c r="AE102" s="68">
        <v>636055.78323000018</v>
      </c>
      <c r="AF102" s="69">
        <v>1350000</v>
      </c>
      <c r="AG102" s="70">
        <v>1350000</v>
      </c>
      <c r="AH102" s="70">
        <f t="shared" si="28"/>
        <v>735695.54639999999</v>
      </c>
      <c r="AI102" s="70">
        <f t="shared" si="29"/>
        <v>775874.62492000009</v>
      </c>
      <c r="AJ102" s="70">
        <f t="shared" si="30"/>
        <v>735336.42050800007</v>
      </c>
      <c r="AK102" s="70">
        <f t="shared" si="31"/>
        <v>656972.22749760014</v>
      </c>
      <c r="AL102" s="70">
        <f t="shared" si="32"/>
        <v>1226310</v>
      </c>
      <c r="AM102" s="70">
        <f t="shared" si="33"/>
        <v>1302620</v>
      </c>
      <c r="AN102" s="70">
        <f t="shared" si="34"/>
        <v>1350000</v>
      </c>
      <c r="AO102" s="70">
        <f t="shared" si="35"/>
        <v>1350000</v>
      </c>
    </row>
    <row r="103" spans="1:41">
      <c r="A103" s="29" t="s">
        <v>191</v>
      </c>
      <c r="B103" s="29" t="s">
        <v>704</v>
      </c>
      <c r="C103" s="107">
        <v>0</v>
      </c>
      <c r="D103" s="108">
        <v>50211909</v>
      </c>
      <c r="F103" s="107">
        <v>0</v>
      </c>
      <c r="G103" s="108">
        <v>51718266</v>
      </c>
      <c r="I103" s="64">
        <v>0</v>
      </c>
      <c r="J103" s="83">
        <v>0</v>
      </c>
      <c r="K103" s="66">
        <v>51718266</v>
      </c>
      <c r="L103" s="251">
        <v>52986832.528200001</v>
      </c>
      <c r="M103" s="63">
        <v>0</v>
      </c>
      <c r="N103" s="64">
        <v>0</v>
      </c>
      <c r="O103" s="65">
        <v>54823160.047800004</v>
      </c>
      <c r="P103" s="66">
        <v>56995093.940400004</v>
      </c>
      <c r="Q103" s="66">
        <f t="shared" si="20"/>
        <v>0</v>
      </c>
      <c r="R103" s="63">
        <f t="shared" si="21"/>
        <v>0</v>
      </c>
      <c r="S103" s="83">
        <f t="shared" si="22"/>
        <v>0</v>
      </c>
      <c r="T103" s="64">
        <f t="shared" si="23"/>
        <v>0</v>
      </c>
      <c r="U103" s="66">
        <f t="shared" si="24"/>
        <v>51004554.053400002</v>
      </c>
      <c r="V103" s="63">
        <f t="shared" si="25"/>
        <v>52385785.707138836</v>
      </c>
      <c r="W103" s="83">
        <f t="shared" si="26"/>
        <v>53953108.069013521</v>
      </c>
      <c r="X103" s="64">
        <f t="shared" si="27"/>
        <v>55966031.662086129</v>
      </c>
      <c r="Z103" s="67">
        <v>0</v>
      </c>
      <c r="AA103" s="68">
        <v>0</v>
      </c>
      <c r="AB103" s="69">
        <v>51718266</v>
      </c>
      <c r="AC103" s="70">
        <v>53249308.747000001</v>
      </c>
      <c r="AD103" s="67">
        <v>0</v>
      </c>
      <c r="AE103" s="68">
        <v>0</v>
      </c>
      <c r="AF103" s="69">
        <v>54823160.047800004</v>
      </c>
      <c r="AG103" s="70">
        <v>56995093.940400004</v>
      </c>
      <c r="AH103" s="70">
        <f t="shared" si="28"/>
        <v>0</v>
      </c>
      <c r="AI103" s="70">
        <f t="shared" si="29"/>
        <v>0</v>
      </c>
      <c r="AJ103" s="70">
        <f t="shared" si="30"/>
        <v>0</v>
      </c>
      <c r="AK103" s="70">
        <f t="shared" si="31"/>
        <v>0</v>
      </c>
      <c r="AL103" s="70">
        <f t="shared" si="32"/>
        <v>51004554.053400002</v>
      </c>
      <c r="AM103" s="70">
        <f t="shared" si="33"/>
        <v>52523900.693471402</v>
      </c>
      <c r="AN103" s="70">
        <f t="shared" si="34"/>
        <v>54077469.301480964</v>
      </c>
      <c r="AO103" s="70">
        <f t="shared" si="35"/>
        <v>55966031.662086129</v>
      </c>
    </row>
    <row r="104" spans="1:41">
      <c r="A104" s="29" t="s">
        <v>57</v>
      </c>
      <c r="B104" s="29" t="s">
        <v>705</v>
      </c>
      <c r="C104" s="107">
        <v>444708.4</v>
      </c>
      <c r="D104" s="108">
        <v>2813450</v>
      </c>
      <c r="F104" s="107">
        <v>0</v>
      </c>
      <c r="G104" s="108">
        <v>3065000</v>
      </c>
      <c r="I104" s="64">
        <v>0</v>
      </c>
      <c r="J104" s="83">
        <v>0</v>
      </c>
      <c r="K104" s="66">
        <v>3065000</v>
      </c>
      <c r="L104" s="251">
        <v>3335000</v>
      </c>
      <c r="M104" s="63">
        <v>0</v>
      </c>
      <c r="N104" s="64">
        <v>0</v>
      </c>
      <c r="O104" s="65">
        <v>3335000</v>
      </c>
      <c r="P104" s="66">
        <v>3335000</v>
      </c>
      <c r="Q104" s="66">
        <f t="shared" si="20"/>
        <v>124518.35200000001</v>
      </c>
      <c r="R104" s="63">
        <f t="shared" si="21"/>
        <v>0</v>
      </c>
      <c r="S104" s="83">
        <f t="shared" si="22"/>
        <v>0</v>
      </c>
      <c r="T104" s="64">
        <f t="shared" si="23"/>
        <v>0</v>
      </c>
      <c r="U104" s="66">
        <f t="shared" si="24"/>
        <v>2945815.6100000003</v>
      </c>
      <c r="V104" s="63">
        <f t="shared" si="25"/>
        <v>3207074</v>
      </c>
      <c r="W104" s="83">
        <f t="shared" si="26"/>
        <v>3335000</v>
      </c>
      <c r="X104" s="64">
        <f t="shared" si="27"/>
        <v>3335000</v>
      </c>
      <c r="Z104" s="67">
        <v>0</v>
      </c>
      <c r="AA104" s="68">
        <v>127998.47015000015</v>
      </c>
      <c r="AB104" s="69">
        <v>3065000</v>
      </c>
      <c r="AC104" s="70">
        <v>3335000</v>
      </c>
      <c r="AD104" s="67">
        <v>0</v>
      </c>
      <c r="AE104" s="68">
        <v>0</v>
      </c>
      <c r="AF104" s="69">
        <v>3335000</v>
      </c>
      <c r="AG104" s="70">
        <v>3335000</v>
      </c>
      <c r="AH104" s="70">
        <f t="shared" si="28"/>
        <v>124518.35200000001</v>
      </c>
      <c r="AI104" s="70">
        <f t="shared" si="29"/>
        <v>92158.8985080001</v>
      </c>
      <c r="AJ104" s="70">
        <f t="shared" si="30"/>
        <v>35839.571642000046</v>
      </c>
      <c r="AK104" s="70">
        <f t="shared" si="31"/>
        <v>0</v>
      </c>
      <c r="AL104" s="70">
        <f t="shared" si="32"/>
        <v>2945815.6100000003</v>
      </c>
      <c r="AM104" s="70">
        <f t="shared" si="33"/>
        <v>3207074</v>
      </c>
      <c r="AN104" s="70">
        <f t="shared" si="34"/>
        <v>3335000</v>
      </c>
      <c r="AO104" s="70">
        <f t="shared" si="35"/>
        <v>3335000</v>
      </c>
    </row>
    <row r="105" spans="1:41">
      <c r="A105" s="29" t="s">
        <v>325</v>
      </c>
      <c r="B105" s="29" t="s">
        <v>706</v>
      </c>
      <c r="C105" s="107">
        <v>0</v>
      </c>
      <c r="D105" s="108">
        <v>1418528</v>
      </c>
      <c r="F105" s="107">
        <v>0</v>
      </c>
      <c r="G105" s="108">
        <v>1226226</v>
      </c>
      <c r="I105" s="64">
        <v>0</v>
      </c>
      <c r="J105" s="83">
        <v>0</v>
      </c>
      <c r="K105" s="66">
        <v>1226226</v>
      </c>
      <c r="L105" s="251">
        <v>1475269</v>
      </c>
      <c r="M105" s="63">
        <v>0</v>
      </c>
      <c r="N105" s="64">
        <v>0</v>
      </c>
      <c r="O105" s="65">
        <v>1475269</v>
      </c>
      <c r="P105" s="66">
        <v>1475269</v>
      </c>
      <c r="Q105" s="66">
        <f t="shared" si="20"/>
        <v>0</v>
      </c>
      <c r="R105" s="63">
        <f t="shared" si="21"/>
        <v>0</v>
      </c>
      <c r="S105" s="83">
        <f t="shared" si="22"/>
        <v>0</v>
      </c>
      <c r="T105" s="64">
        <f t="shared" si="23"/>
        <v>0</v>
      </c>
      <c r="U105" s="66">
        <f t="shared" si="24"/>
        <v>1317338.6876000001</v>
      </c>
      <c r="V105" s="63">
        <f t="shared" si="25"/>
        <v>1357272.4265999999</v>
      </c>
      <c r="W105" s="83">
        <f t="shared" si="26"/>
        <v>1475269</v>
      </c>
      <c r="X105" s="64">
        <f t="shared" si="27"/>
        <v>1475269</v>
      </c>
      <c r="Z105" s="67">
        <v>0</v>
      </c>
      <c r="AA105" s="68">
        <v>0</v>
      </c>
      <c r="AB105" s="69">
        <v>1226226</v>
      </c>
      <c r="AC105" s="70">
        <v>1475269</v>
      </c>
      <c r="AD105" s="67">
        <v>0</v>
      </c>
      <c r="AE105" s="68">
        <v>0</v>
      </c>
      <c r="AF105" s="69">
        <v>1475269</v>
      </c>
      <c r="AG105" s="70">
        <v>1475269</v>
      </c>
      <c r="AH105" s="70">
        <f t="shared" si="28"/>
        <v>0</v>
      </c>
      <c r="AI105" s="70">
        <f t="shared" si="29"/>
        <v>0</v>
      </c>
      <c r="AJ105" s="70">
        <f t="shared" si="30"/>
        <v>0</v>
      </c>
      <c r="AK105" s="70">
        <f t="shared" si="31"/>
        <v>0</v>
      </c>
      <c r="AL105" s="70">
        <f t="shared" si="32"/>
        <v>1317338.6876000001</v>
      </c>
      <c r="AM105" s="70">
        <f t="shared" si="33"/>
        <v>1357272.4265999999</v>
      </c>
      <c r="AN105" s="70">
        <f t="shared" si="34"/>
        <v>1475269</v>
      </c>
      <c r="AO105" s="70">
        <f t="shared" si="35"/>
        <v>1475269</v>
      </c>
    </row>
    <row r="106" spans="1:41">
      <c r="A106" s="29" t="s">
        <v>143</v>
      </c>
      <c r="B106" s="29" t="s">
        <v>707</v>
      </c>
      <c r="C106" s="107">
        <v>1450288.36</v>
      </c>
      <c r="D106" s="108">
        <v>1999296</v>
      </c>
      <c r="F106" s="107">
        <v>1420400.03</v>
      </c>
      <c r="G106" s="108">
        <v>2110907</v>
      </c>
      <c r="I106" s="64">
        <v>1420400.03</v>
      </c>
      <c r="J106" s="83">
        <v>1568093.4319</v>
      </c>
      <c r="K106" s="66">
        <v>2110907</v>
      </c>
      <c r="L106" s="251">
        <v>2136636.06</v>
      </c>
      <c r="M106" s="63">
        <v>1581827.5397999999</v>
      </c>
      <c r="N106" s="64">
        <v>1592156.9790000001</v>
      </c>
      <c r="O106" s="65">
        <v>2278358.9874999998</v>
      </c>
      <c r="P106" s="66">
        <v>2287145</v>
      </c>
      <c r="Q106" s="66">
        <f t="shared" si="20"/>
        <v>1428768.7624000001</v>
      </c>
      <c r="R106" s="63">
        <f t="shared" si="21"/>
        <v>1526739.2793680001</v>
      </c>
      <c r="S106" s="83">
        <f t="shared" si="22"/>
        <v>1577981.9895879999</v>
      </c>
      <c r="T106" s="64">
        <f t="shared" si="23"/>
        <v>1589264.736024</v>
      </c>
      <c r="U106" s="66">
        <f t="shared" si="24"/>
        <v>2058025.7082000002</v>
      </c>
      <c r="V106" s="63">
        <f t="shared" si="25"/>
        <v>2124445.6313720001</v>
      </c>
      <c r="W106" s="83">
        <f t="shared" si="26"/>
        <v>2211210.6644505002</v>
      </c>
      <c r="X106" s="64">
        <f t="shared" si="27"/>
        <v>2282982.1872774996</v>
      </c>
      <c r="Z106" s="67">
        <v>1420400.03</v>
      </c>
      <c r="AA106" s="68">
        <v>1568093.4319</v>
      </c>
      <c r="AB106" s="69">
        <v>2110907</v>
      </c>
      <c r="AC106" s="70">
        <v>2136636.06</v>
      </c>
      <c r="AD106" s="67">
        <v>1581827.5397999999</v>
      </c>
      <c r="AE106" s="68">
        <v>1592156.9790000001</v>
      </c>
      <c r="AF106" s="69">
        <v>2278358.9874999998</v>
      </c>
      <c r="AG106" s="70">
        <v>2287145</v>
      </c>
      <c r="AH106" s="70">
        <f t="shared" si="28"/>
        <v>1428768.7624000001</v>
      </c>
      <c r="AI106" s="70">
        <f t="shared" si="29"/>
        <v>1526739.2793680001</v>
      </c>
      <c r="AJ106" s="70">
        <f t="shared" si="30"/>
        <v>1577981.9895879999</v>
      </c>
      <c r="AK106" s="70">
        <f t="shared" si="31"/>
        <v>1589264.736024</v>
      </c>
      <c r="AL106" s="70">
        <f t="shared" si="32"/>
        <v>2058025.7082000002</v>
      </c>
      <c r="AM106" s="70">
        <f t="shared" si="33"/>
        <v>2124445.6313720001</v>
      </c>
      <c r="AN106" s="70">
        <f t="shared" si="34"/>
        <v>2211210.6644505002</v>
      </c>
      <c r="AO106" s="70">
        <f t="shared" si="35"/>
        <v>2282982.1872774996</v>
      </c>
    </row>
    <row r="107" spans="1:41">
      <c r="A107" s="29" t="s">
        <v>107</v>
      </c>
      <c r="B107" s="29" t="s">
        <v>708</v>
      </c>
      <c r="C107" s="107">
        <v>238768.3</v>
      </c>
      <c r="D107" s="108">
        <v>106582</v>
      </c>
      <c r="F107" s="107">
        <v>229294.05</v>
      </c>
      <c r="G107" s="108">
        <v>107149</v>
      </c>
      <c r="I107" s="64">
        <v>229294.05</v>
      </c>
      <c r="J107" s="83">
        <v>262454.3601339999</v>
      </c>
      <c r="K107" s="66">
        <v>107149</v>
      </c>
      <c r="L107" s="251">
        <v>107149</v>
      </c>
      <c r="M107" s="63">
        <v>261802.65607999999</v>
      </c>
      <c r="N107" s="64">
        <v>265249.19995200005</v>
      </c>
      <c r="O107" s="65">
        <v>107149</v>
      </c>
      <c r="P107" s="66">
        <v>107149</v>
      </c>
      <c r="Q107" s="66">
        <f t="shared" si="20"/>
        <v>231946.83999999997</v>
      </c>
      <c r="R107" s="63">
        <f t="shared" si="21"/>
        <v>253169.47329647993</v>
      </c>
      <c r="S107" s="83">
        <f t="shared" si="22"/>
        <v>261985.13321511995</v>
      </c>
      <c r="T107" s="64">
        <f t="shared" si="23"/>
        <v>264284.16766784003</v>
      </c>
      <c r="U107" s="66">
        <f t="shared" si="24"/>
        <v>106880.3554</v>
      </c>
      <c r="V107" s="63">
        <f t="shared" si="25"/>
        <v>107149</v>
      </c>
      <c r="W107" s="83">
        <f t="shared" si="26"/>
        <v>107149</v>
      </c>
      <c r="X107" s="64">
        <f t="shared" si="27"/>
        <v>107149</v>
      </c>
      <c r="Z107" s="67">
        <v>229294.05</v>
      </c>
      <c r="AA107" s="68">
        <v>262454.3601339999</v>
      </c>
      <c r="AB107" s="69">
        <v>107149</v>
      </c>
      <c r="AC107" s="70">
        <v>107149</v>
      </c>
      <c r="AD107" s="67">
        <v>261802.65607999999</v>
      </c>
      <c r="AE107" s="68">
        <v>265249.19995200005</v>
      </c>
      <c r="AF107" s="69">
        <v>107149</v>
      </c>
      <c r="AG107" s="70">
        <v>107149</v>
      </c>
      <c r="AH107" s="70">
        <f t="shared" si="28"/>
        <v>231946.83999999997</v>
      </c>
      <c r="AI107" s="70">
        <f t="shared" si="29"/>
        <v>253169.47329647993</v>
      </c>
      <c r="AJ107" s="70">
        <f t="shared" si="30"/>
        <v>261985.13321511995</v>
      </c>
      <c r="AK107" s="70">
        <f t="shared" si="31"/>
        <v>264284.16766784003</v>
      </c>
      <c r="AL107" s="70">
        <f t="shared" si="32"/>
        <v>106880.3554</v>
      </c>
      <c r="AM107" s="70">
        <f t="shared" si="33"/>
        <v>107149</v>
      </c>
      <c r="AN107" s="70">
        <f t="shared" si="34"/>
        <v>107149</v>
      </c>
      <c r="AO107" s="70">
        <f t="shared" si="35"/>
        <v>107149</v>
      </c>
    </row>
    <row r="108" spans="1:41">
      <c r="A108" s="29" t="s">
        <v>435</v>
      </c>
      <c r="B108" s="29" t="s">
        <v>709</v>
      </c>
      <c r="C108" s="107">
        <v>0</v>
      </c>
      <c r="D108" s="108">
        <v>96426</v>
      </c>
      <c r="F108" s="107">
        <v>0</v>
      </c>
      <c r="G108" s="108">
        <v>101822</v>
      </c>
      <c r="I108" s="64">
        <v>0</v>
      </c>
      <c r="J108" s="83">
        <v>0</v>
      </c>
      <c r="K108" s="66">
        <v>101822</v>
      </c>
      <c r="L108" s="251">
        <v>101386.40519999999</v>
      </c>
      <c r="M108" s="63">
        <v>0</v>
      </c>
      <c r="N108" s="64">
        <v>0</v>
      </c>
      <c r="O108" s="65">
        <v>103515.45420000001</v>
      </c>
      <c r="P108" s="66">
        <v>105792.7794</v>
      </c>
      <c r="Q108" s="66">
        <f t="shared" si="20"/>
        <v>0</v>
      </c>
      <c r="R108" s="63">
        <f t="shared" si="21"/>
        <v>0</v>
      </c>
      <c r="S108" s="83">
        <f t="shared" si="22"/>
        <v>0</v>
      </c>
      <c r="T108" s="64">
        <f t="shared" si="23"/>
        <v>0</v>
      </c>
      <c r="U108" s="66">
        <f t="shared" si="24"/>
        <v>99265.375200000009</v>
      </c>
      <c r="V108" s="63">
        <f t="shared" si="25"/>
        <v>101592.79001624</v>
      </c>
      <c r="W108" s="83">
        <f t="shared" si="26"/>
        <v>102506.71078379999</v>
      </c>
      <c r="X108" s="64">
        <f t="shared" si="27"/>
        <v>104713.78272024001</v>
      </c>
      <c r="Z108" s="67">
        <v>0</v>
      </c>
      <c r="AA108" s="68">
        <v>0</v>
      </c>
      <c r="AB108" s="69">
        <v>101822</v>
      </c>
      <c r="AC108" s="70">
        <v>101386.40519999999</v>
      </c>
      <c r="AD108" s="67">
        <v>0</v>
      </c>
      <c r="AE108" s="68">
        <v>0</v>
      </c>
      <c r="AF108" s="69">
        <v>103515.45420000001</v>
      </c>
      <c r="AG108" s="70">
        <v>105792.7794</v>
      </c>
      <c r="AH108" s="70">
        <f t="shared" si="28"/>
        <v>0</v>
      </c>
      <c r="AI108" s="70">
        <f t="shared" si="29"/>
        <v>0</v>
      </c>
      <c r="AJ108" s="70">
        <f t="shared" si="30"/>
        <v>0</v>
      </c>
      <c r="AK108" s="70">
        <f t="shared" si="31"/>
        <v>0</v>
      </c>
      <c r="AL108" s="70">
        <f t="shared" si="32"/>
        <v>99265.375200000009</v>
      </c>
      <c r="AM108" s="70">
        <f t="shared" si="33"/>
        <v>101592.79001624</v>
      </c>
      <c r="AN108" s="70">
        <f t="shared" si="34"/>
        <v>102506.71078379999</v>
      </c>
      <c r="AO108" s="70">
        <f t="shared" si="35"/>
        <v>104713.78272024001</v>
      </c>
    </row>
    <row r="109" spans="1:41">
      <c r="A109" s="29" t="s">
        <v>211</v>
      </c>
      <c r="B109" s="29" t="s">
        <v>710</v>
      </c>
      <c r="C109" s="107">
        <v>0</v>
      </c>
      <c r="D109" s="108">
        <v>49850000</v>
      </c>
      <c r="F109" s="107">
        <v>0</v>
      </c>
      <c r="G109" s="108">
        <v>54000000</v>
      </c>
      <c r="I109" s="64">
        <v>0</v>
      </c>
      <c r="J109" s="83">
        <v>0</v>
      </c>
      <c r="K109" s="66">
        <v>54000000</v>
      </c>
      <c r="L109" s="251">
        <v>54000000</v>
      </c>
      <c r="M109" s="63">
        <v>0</v>
      </c>
      <c r="N109" s="64">
        <v>0</v>
      </c>
      <c r="O109" s="65">
        <v>54000000</v>
      </c>
      <c r="P109" s="66">
        <v>54000000</v>
      </c>
      <c r="Q109" s="66">
        <f t="shared" si="20"/>
        <v>0</v>
      </c>
      <c r="R109" s="63">
        <f t="shared" si="21"/>
        <v>0</v>
      </c>
      <c r="S109" s="83">
        <f t="shared" si="22"/>
        <v>0</v>
      </c>
      <c r="T109" s="64">
        <f t="shared" si="23"/>
        <v>0</v>
      </c>
      <c r="U109" s="66">
        <f t="shared" si="24"/>
        <v>52033730</v>
      </c>
      <c r="V109" s="63">
        <f t="shared" si="25"/>
        <v>54000000</v>
      </c>
      <c r="W109" s="83">
        <f t="shared" si="26"/>
        <v>54000000</v>
      </c>
      <c r="X109" s="64">
        <f t="shared" si="27"/>
        <v>54000000</v>
      </c>
      <c r="Z109" s="67">
        <v>0</v>
      </c>
      <c r="AA109" s="68">
        <v>0</v>
      </c>
      <c r="AB109" s="69">
        <v>54000000</v>
      </c>
      <c r="AC109" s="70">
        <v>54000000</v>
      </c>
      <c r="AD109" s="67">
        <v>0</v>
      </c>
      <c r="AE109" s="68">
        <v>0</v>
      </c>
      <c r="AF109" s="69">
        <v>54000000</v>
      </c>
      <c r="AG109" s="70">
        <v>54000000</v>
      </c>
      <c r="AH109" s="70">
        <f t="shared" si="28"/>
        <v>0</v>
      </c>
      <c r="AI109" s="70">
        <f t="shared" si="29"/>
        <v>0</v>
      </c>
      <c r="AJ109" s="70">
        <f t="shared" si="30"/>
        <v>0</v>
      </c>
      <c r="AK109" s="70">
        <f t="shared" si="31"/>
        <v>0</v>
      </c>
      <c r="AL109" s="70">
        <f t="shared" si="32"/>
        <v>52033730</v>
      </c>
      <c r="AM109" s="70">
        <f t="shared" si="33"/>
        <v>54000000</v>
      </c>
      <c r="AN109" s="70">
        <f t="shared" si="34"/>
        <v>54000000</v>
      </c>
      <c r="AO109" s="70">
        <f t="shared" si="35"/>
        <v>54000000</v>
      </c>
    </row>
    <row r="110" spans="1:41">
      <c r="A110" s="29" t="s">
        <v>117</v>
      </c>
      <c r="B110" s="29" t="s">
        <v>901</v>
      </c>
      <c r="C110" s="107">
        <v>0</v>
      </c>
      <c r="D110" s="108">
        <v>75000</v>
      </c>
      <c r="F110" s="107">
        <v>0</v>
      </c>
      <c r="G110" s="108">
        <v>75000</v>
      </c>
      <c r="I110" s="64">
        <v>0</v>
      </c>
      <c r="J110" s="83">
        <v>0</v>
      </c>
      <c r="K110" s="66">
        <v>75000</v>
      </c>
      <c r="L110" s="251">
        <v>75000</v>
      </c>
      <c r="M110" s="63">
        <v>0</v>
      </c>
      <c r="N110" s="64">
        <v>0</v>
      </c>
      <c r="O110" s="65">
        <v>75000</v>
      </c>
      <c r="P110" s="66">
        <v>75000</v>
      </c>
      <c r="Q110" s="66">
        <f t="shared" si="20"/>
        <v>0</v>
      </c>
      <c r="R110" s="63">
        <f t="shared" si="21"/>
        <v>0</v>
      </c>
      <c r="S110" s="83">
        <f t="shared" si="22"/>
        <v>0</v>
      </c>
      <c r="T110" s="64">
        <f t="shared" si="23"/>
        <v>0</v>
      </c>
      <c r="U110" s="66">
        <f t="shared" si="24"/>
        <v>75000</v>
      </c>
      <c r="V110" s="63">
        <f t="shared" si="25"/>
        <v>75000</v>
      </c>
      <c r="W110" s="83">
        <f t="shared" si="26"/>
        <v>75000</v>
      </c>
      <c r="X110" s="64">
        <f t="shared" si="27"/>
        <v>75000</v>
      </c>
      <c r="Z110" s="67">
        <v>0</v>
      </c>
      <c r="AA110" s="68">
        <v>0</v>
      </c>
      <c r="AB110" s="69">
        <v>75000</v>
      </c>
      <c r="AC110" s="70">
        <v>75000</v>
      </c>
      <c r="AD110" s="67">
        <v>0</v>
      </c>
      <c r="AE110" s="68">
        <v>0</v>
      </c>
      <c r="AF110" s="69">
        <v>75000</v>
      </c>
      <c r="AG110" s="70">
        <v>75000</v>
      </c>
      <c r="AH110" s="70">
        <f t="shared" si="28"/>
        <v>0</v>
      </c>
      <c r="AI110" s="70">
        <f t="shared" si="29"/>
        <v>0</v>
      </c>
      <c r="AJ110" s="70">
        <f t="shared" si="30"/>
        <v>0</v>
      </c>
      <c r="AK110" s="70">
        <f t="shared" si="31"/>
        <v>0</v>
      </c>
      <c r="AL110" s="70">
        <f t="shared" si="32"/>
        <v>75000</v>
      </c>
      <c r="AM110" s="70">
        <f t="shared" si="33"/>
        <v>75000</v>
      </c>
      <c r="AN110" s="70">
        <f t="shared" si="34"/>
        <v>75000</v>
      </c>
      <c r="AO110" s="70">
        <f t="shared" si="35"/>
        <v>75000</v>
      </c>
    </row>
    <row r="111" spans="1:41">
      <c r="A111" s="29" t="s">
        <v>83</v>
      </c>
      <c r="B111" s="29" t="s">
        <v>711</v>
      </c>
      <c r="C111" s="107">
        <v>0</v>
      </c>
      <c r="D111" s="108">
        <v>2329475</v>
      </c>
      <c r="F111" s="107">
        <v>0</v>
      </c>
      <c r="G111" s="108">
        <v>2492539</v>
      </c>
      <c r="I111" s="64">
        <v>0</v>
      </c>
      <c r="J111" s="83">
        <v>0</v>
      </c>
      <c r="K111" s="66">
        <v>2492539</v>
      </c>
      <c r="L111" s="251">
        <v>2667016</v>
      </c>
      <c r="M111" s="63">
        <v>0</v>
      </c>
      <c r="N111" s="64">
        <v>0</v>
      </c>
      <c r="O111" s="65">
        <v>2667016</v>
      </c>
      <c r="P111" s="66">
        <v>2667016</v>
      </c>
      <c r="Q111" s="66">
        <f t="shared" si="20"/>
        <v>0</v>
      </c>
      <c r="R111" s="63">
        <f t="shared" si="21"/>
        <v>0</v>
      </c>
      <c r="S111" s="83">
        <f t="shared" si="22"/>
        <v>0</v>
      </c>
      <c r="T111" s="64">
        <f t="shared" si="23"/>
        <v>0</v>
      </c>
      <c r="U111" s="66">
        <f t="shared" si="24"/>
        <v>2415279.2768000001</v>
      </c>
      <c r="V111" s="63">
        <f t="shared" si="25"/>
        <v>2584348.7974</v>
      </c>
      <c r="W111" s="83">
        <f t="shared" si="26"/>
        <v>2667016</v>
      </c>
      <c r="X111" s="64">
        <f t="shared" si="27"/>
        <v>2667016</v>
      </c>
      <c r="Z111" s="67">
        <v>0</v>
      </c>
      <c r="AA111" s="68">
        <v>0</v>
      </c>
      <c r="AB111" s="69">
        <v>2492539</v>
      </c>
      <c r="AC111" s="70">
        <v>2667016</v>
      </c>
      <c r="AD111" s="67">
        <v>0</v>
      </c>
      <c r="AE111" s="68">
        <v>0</v>
      </c>
      <c r="AF111" s="69">
        <v>2667016</v>
      </c>
      <c r="AG111" s="70">
        <v>2667016</v>
      </c>
      <c r="AH111" s="70">
        <f t="shared" si="28"/>
        <v>0</v>
      </c>
      <c r="AI111" s="70">
        <f t="shared" si="29"/>
        <v>0</v>
      </c>
      <c r="AJ111" s="70">
        <f t="shared" si="30"/>
        <v>0</v>
      </c>
      <c r="AK111" s="70">
        <f t="shared" si="31"/>
        <v>0</v>
      </c>
      <c r="AL111" s="70">
        <f t="shared" si="32"/>
        <v>2415279.2768000001</v>
      </c>
      <c r="AM111" s="70">
        <f t="shared" si="33"/>
        <v>2584348.7974</v>
      </c>
      <c r="AN111" s="70">
        <f t="shared" si="34"/>
        <v>2667016</v>
      </c>
      <c r="AO111" s="70">
        <f t="shared" si="35"/>
        <v>2667016</v>
      </c>
    </row>
    <row r="112" spans="1:41">
      <c r="A112" s="29" t="s">
        <v>101</v>
      </c>
      <c r="B112" s="29" t="s">
        <v>712</v>
      </c>
      <c r="C112" s="107">
        <v>53371.51</v>
      </c>
      <c r="D112" s="108">
        <v>18325</v>
      </c>
      <c r="F112" s="107">
        <v>46609.49</v>
      </c>
      <c r="G112" s="108">
        <v>18325</v>
      </c>
      <c r="I112" s="64">
        <v>46609.49</v>
      </c>
      <c r="J112" s="83">
        <v>88163.741373333352</v>
      </c>
      <c r="K112" s="66">
        <v>18325</v>
      </c>
      <c r="L112" s="251">
        <v>18325</v>
      </c>
      <c r="M112" s="63">
        <v>84429.064740000002</v>
      </c>
      <c r="N112" s="64">
        <v>85461.329540000006</v>
      </c>
      <c r="O112" s="65">
        <v>18325</v>
      </c>
      <c r="P112" s="66">
        <v>18325</v>
      </c>
      <c r="Q112" s="66">
        <f t="shared" si="20"/>
        <v>48502.855599999995</v>
      </c>
      <c r="R112" s="63">
        <f t="shared" si="21"/>
        <v>76528.550988800009</v>
      </c>
      <c r="S112" s="83">
        <f t="shared" si="22"/>
        <v>85474.774197333347</v>
      </c>
      <c r="T112" s="64">
        <f t="shared" si="23"/>
        <v>85172.295396000001</v>
      </c>
      <c r="U112" s="66">
        <f t="shared" si="24"/>
        <v>18325</v>
      </c>
      <c r="V112" s="63">
        <f t="shared" si="25"/>
        <v>18325</v>
      </c>
      <c r="W112" s="83">
        <f t="shared" si="26"/>
        <v>18325</v>
      </c>
      <c r="X112" s="64">
        <f t="shared" si="27"/>
        <v>18325</v>
      </c>
      <c r="Z112" s="67">
        <v>46609.49</v>
      </c>
      <c r="AA112" s="68">
        <v>88163.741373333352</v>
      </c>
      <c r="AB112" s="69">
        <v>18325</v>
      </c>
      <c r="AC112" s="70">
        <v>18325</v>
      </c>
      <c r="AD112" s="67">
        <v>84429.064740000002</v>
      </c>
      <c r="AE112" s="68">
        <v>85461.329540000006</v>
      </c>
      <c r="AF112" s="69">
        <v>18325</v>
      </c>
      <c r="AG112" s="70">
        <v>18325</v>
      </c>
      <c r="AH112" s="70">
        <f t="shared" si="28"/>
        <v>48502.855599999995</v>
      </c>
      <c r="AI112" s="70">
        <f t="shared" si="29"/>
        <v>76528.550988800009</v>
      </c>
      <c r="AJ112" s="70">
        <f t="shared" si="30"/>
        <v>85474.774197333347</v>
      </c>
      <c r="AK112" s="70">
        <f t="shared" si="31"/>
        <v>85172.295396000001</v>
      </c>
      <c r="AL112" s="70">
        <f t="shared" si="32"/>
        <v>18325</v>
      </c>
      <c r="AM112" s="70">
        <f t="shared" si="33"/>
        <v>18325</v>
      </c>
      <c r="AN112" s="70">
        <f t="shared" si="34"/>
        <v>18325</v>
      </c>
      <c r="AO112" s="70">
        <f t="shared" si="35"/>
        <v>18325</v>
      </c>
    </row>
    <row r="113" spans="1:41">
      <c r="A113" s="29" t="s">
        <v>87</v>
      </c>
      <c r="B113" s="29" t="s">
        <v>713</v>
      </c>
      <c r="C113" s="107">
        <v>3652504.41</v>
      </c>
      <c r="D113" s="108">
        <v>6000000</v>
      </c>
      <c r="F113" s="107">
        <v>3033224.16</v>
      </c>
      <c r="G113" s="108">
        <v>6500000</v>
      </c>
      <c r="I113" s="64">
        <v>3033224.16</v>
      </c>
      <c r="J113" s="83">
        <v>3259665.4402999999</v>
      </c>
      <c r="K113" s="66">
        <v>6500000</v>
      </c>
      <c r="L113" s="251">
        <v>7000000</v>
      </c>
      <c r="M113" s="63">
        <v>2975111.3583000004</v>
      </c>
      <c r="N113" s="64">
        <v>2591404.6550999996</v>
      </c>
      <c r="O113" s="65">
        <v>7500000</v>
      </c>
      <c r="P113" s="66">
        <v>7500000</v>
      </c>
      <c r="Q113" s="66">
        <f t="shared" si="20"/>
        <v>3206622.6300000004</v>
      </c>
      <c r="R113" s="63">
        <f t="shared" si="21"/>
        <v>3196261.8818159997</v>
      </c>
      <c r="S113" s="83">
        <f t="shared" si="22"/>
        <v>3054786.5012600003</v>
      </c>
      <c r="T113" s="64">
        <f t="shared" si="23"/>
        <v>2698842.5319959996</v>
      </c>
      <c r="U113" s="66">
        <f t="shared" si="24"/>
        <v>6263100</v>
      </c>
      <c r="V113" s="63">
        <f t="shared" si="25"/>
        <v>6763100</v>
      </c>
      <c r="W113" s="83">
        <f t="shared" si="26"/>
        <v>7263100</v>
      </c>
      <c r="X113" s="64">
        <f t="shared" si="27"/>
        <v>7500000</v>
      </c>
      <c r="Z113" s="67">
        <v>3033224.16</v>
      </c>
      <c r="AA113" s="68">
        <v>3561403.8225999987</v>
      </c>
      <c r="AB113" s="69">
        <v>6500000</v>
      </c>
      <c r="AC113" s="70">
        <v>7000000</v>
      </c>
      <c r="AD113" s="67">
        <v>2975111.3583000004</v>
      </c>
      <c r="AE113" s="68">
        <v>2591404.6550999996</v>
      </c>
      <c r="AF113" s="69">
        <v>7500000</v>
      </c>
      <c r="AG113" s="70">
        <v>7500000</v>
      </c>
      <c r="AH113" s="70">
        <f t="shared" si="28"/>
        <v>3206622.6300000004</v>
      </c>
      <c r="AI113" s="70">
        <f t="shared" si="29"/>
        <v>3413513.5170719991</v>
      </c>
      <c r="AJ113" s="70">
        <f t="shared" si="30"/>
        <v>3139273.2483040001</v>
      </c>
      <c r="AK113" s="70">
        <f t="shared" si="31"/>
        <v>2698842.5319959996</v>
      </c>
      <c r="AL113" s="70">
        <f t="shared" si="32"/>
        <v>6263100</v>
      </c>
      <c r="AM113" s="70">
        <f t="shared" si="33"/>
        <v>6763100</v>
      </c>
      <c r="AN113" s="70">
        <f t="shared" si="34"/>
        <v>7263100</v>
      </c>
      <c r="AO113" s="70">
        <f t="shared" si="35"/>
        <v>7500000</v>
      </c>
    </row>
    <row r="114" spans="1:41">
      <c r="A114" s="29" t="s">
        <v>17</v>
      </c>
      <c r="B114" s="29" t="s">
        <v>714</v>
      </c>
      <c r="C114" s="107">
        <v>15470345.84</v>
      </c>
      <c r="D114" s="108">
        <v>16500000</v>
      </c>
      <c r="F114" s="107">
        <v>14449325.27</v>
      </c>
      <c r="G114" s="108">
        <v>18150000</v>
      </c>
      <c r="I114" s="64">
        <v>14449325.27</v>
      </c>
      <c r="J114" s="83">
        <v>15362582.602999996</v>
      </c>
      <c r="K114" s="66">
        <v>18150000</v>
      </c>
      <c r="L114" s="251">
        <v>18150000</v>
      </c>
      <c r="M114" s="63">
        <v>14487183.204079997</v>
      </c>
      <c r="N114" s="64">
        <v>13051437.755818</v>
      </c>
      <c r="O114" s="65">
        <v>18150000</v>
      </c>
      <c r="P114" s="66">
        <v>18150000</v>
      </c>
      <c r="Q114" s="66">
        <f t="shared" si="20"/>
        <v>14735211.0296</v>
      </c>
      <c r="R114" s="63">
        <f t="shared" si="21"/>
        <v>15106870.549759997</v>
      </c>
      <c r="S114" s="83">
        <f t="shared" si="22"/>
        <v>14732295.035777597</v>
      </c>
      <c r="T114" s="64">
        <f t="shared" si="23"/>
        <v>13453446.48133136</v>
      </c>
      <c r="U114" s="66">
        <f t="shared" si="24"/>
        <v>17368230</v>
      </c>
      <c r="V114" s="63">
        <f t="shared" si="25"/>
        <v>18150000</v>
      </c>
      <c r="W114" s="83">
        <f t="shared" si="26"/>
        <v>18150000</v>
      </c>
      <c r="X114" s="64">
        <f t="shared" si="27"/>
        <v>18150000</v>
      </c>
      <c r="Z114" s="67">
        <v>14449325.27</v>
      </c>
      <c r="AA114" s="68">
        <v>16095977.218199998</v>
      </c>
      <c r="AB114" s="69">
        <v>18150000</v>
      </c>
      <c r="AC114" s="70">
        <v>18150000</v>
      </c>
      <c r="AD114" s="67">
        <v>14487183.204079997</v>
      </c>
      <c r="AE114" s="68">
        <v>13051437.755818</v>
      </c>
      <c r="AF114" s="69">
        <v>18150000</v>
      </c>
      <c r="AG114" s="70">
        <v>18150000</v>
      </c>
      <c r="AH114" s="70">
        <f t="shared" si="28"/>
        <v>14735211.0296</v>
      </c>
      <c r="AI114" s="70">
        <f t="shared" si="29"/>
        <v>15634914.672703998</v>
      </c>
      <c r="AJ114" s="70">
        <f t="shared" si="30"/>
        <v>14937645.528033597</v>
      </c>
      <c r="AK114" s="70">
        <f t="shared" si="31"/>
        <v>13453446.48133136</v>
      </c>
      <c r="AL114" s="70">
        <f t="shared" si="32"/>
        <v>17368230</v>
      </c>
      <c r="AM114" s="70">
        <f t="shared" si="33"/>
        <v>18150000</v>
      </c>
      <c r="AN114" s="70">
        <f t="shared" si="34"/>
        <v>18150000</v>
      </c>
      <c r="AO114" s="70">
        <f t="shared" si="35"/>
        <v>18150000</v>
      </c>
    </row>
    <row r="115" spans="1:41">
      <c r="A115" s="29" t="s">
        <v>217</v>
      </c>
      <c r="B115" s="29" t="s">
        <v>715</v>
      </c>
      <c r="C115" s="107">
        <v>0</v>
      </c>
      <c r="D115" s="108">
        <v>67800000</v>
      </c>
      <c r="F115" s="107">
        <v>0</v>
      </c>
      <c r="G115" s="108">
        <v>76250000</v>
      </c>
      <c r="I115" s="64">
        <v>0</v>
      </c>
      <c r="J115" s="83">
        <v>0</v>
      </c>
      <c r="K115" s="66">
        <v>76250000</v>
      </c>
      <c r="L115" s="251">
        <v>73640354.430199996</v>
      </c>
      <c r="M115" s="63">
        <v>0</v>
      </c>
      <c r="N115" s="64">
        <v>0</v>
      </c>
      <c r="O115" s="65">
        <v>76192458.951500013</v>
      </c>
      <c r="P115" s="66">
        <v>76250000</v>
      </c>
      <c r="Q115" s="66">
        <f t="shared" si="20"/>
        <v>0</v>
      </c>
      <c r="R115" s="63">
        <f t="shared" si="21"/>
        <v>0</v>
      </c>
      <c r="S115" s="83">
        <f t="shared" si="22"/>
        <v>0</v>
      </c>
      <c r="T115" s="64">
        <f t="shared" si="23"/>
        <v>0</v>
      </c>
      <c r="U115" s="66">
        <f t="shared" si="24"/>
        <v>72246390</v>
      </c>
      <c r="V115" s="63">
        <f t="shared" si="25"/>
        <v>74876804.501171231</v>
      </c>
      <c r="W115" s="83">
        <f t="shared" si="26"/>
        <v>74983271.829308063</v>
      </c>
      <c r="X115" s="64">
        <f t="shared" si="27"/>
        <v>76222737.051220715</v>
      </c>
      <c r="Z115" s="67">
        <v>0</v>
      </c>
      <c r="AA115" s="68">
        <v>0</v>
      </c>
      <c r="AB115" s="69">
        <v>76250000</v>
      </c>
      <c r="AC115" s="70">
        <v>76250000</v>
      </c>
      <c r="AD115" s="67">
        <v>0</v>
      </c>
      <c r="AE115" s="68">
        <v>0</v>
      </c>
      <c r="AF115" s="69">
        <v>76192458.951500013</v>
      </c>
      <c r="AG115" s="70">
        <v>76250000</v>
      </c>
      <c r="AH115" s="70">
        <f t="shared" si="28"/>
        <v>0</v>
      </c>
      <c r="AI115" s="70">
        <f t="shared" si="29"/>
        <v>0</v>
      </c>
      <c r="AJ115" s="70">
        <f t="shared" si="30"/>
        <v>0</v>
      </c>
      <c r="AK115" s="70">
        <f t="shared" si="31"/>
        <v>0</v>
      </c>
      <c r="AL115" s="70">
        <f t="shared" si="32"/>
        <v>72246390</v>
      </c>
      <c r="AM115" s="70">
        <f t="shared" si="33"/>
        <v>76250000</v>
      </c>
      <c r="AN115" s="70">
        <f t="shared" si="34"/>
        <v>76219721.900279313</v>
      </c>
      <c r="AO115" s="70">
        <f t="shared" si="35"/>
        <v>76222737.051220715</v>
      </c>
    </row>
    <row r="116" spans="1:41">
      <c r="A116" s="29" t="s">
        <v>505</v>
      </c>
      <c r="B116" s="29" t="s">
        <v>716</v>
      </c>
      <c r="C116" s="107">
        <v>660950.36</v>
      </c>
      <c r="D116" s="108">
        <v>910606</v>
      </c>
      <c r="F116" s="107">
        <v>677563.77</v>
      </c>
      <c r="G116" s="108">
        <v>965242</v>
      </c>
      <c r="I116" s="64">
        <v>677563.77</v>
      </c>
      <c r="J116" s="83">
        <v>716777.74406333314</v>
      </c>
      <c r="K116" s="66">
        <v>965242</v>
      </c>
      <c r="L116" s="251">
        <v>1023157</v>
      </c>
      <c r="M116" s="63">
        <v>679129.83279000001</v>
      </c>
      <c r="N116" s="64">
        <v>678648.06099999987</v>
      </c>
      <c r="O116" s="65">
        <v>1023157</v>
      </c>
      <c r="P116" s="66">
        <v>1023157</v>
      </c>
      <c r="Q116" s="66">
        <f t="shared" si="20"/>
        <v>672912.01520000002</v>
      </c>
      <c r="R116" s="63">
        <f t="shared" si="21"/>
        <v>705797.83132559992</v>
      </c>
      <c r="S116" s="83">
        <f t="shared" si="22"/>
        <v>689671.24794653326</v>
      </c>
      <c r="T116" s="64">
        <f t="shared" si="23"/>
        <v>678782.95710119989</v>
      </c>
      <c r="U116" s="66">
        <f t="shared" si="24"/>
        <v>939355.4632</v>
      </c>
      <c r="V116" s="63">
        <f t="shared" si="25"/>
        <v>995716.87300000002</v>
      </c>
      <c r="W116" s="83">
        <f t="shared" si="26"/>
        <v>1023157</v>
      </c>
      <c r="X116" s="64">
        <f t="shared" si="27"/>
        <v>1023157</v>
      </c>
      <c r="Z116" s="67">
        <v>677563.77</v>
      </c>
      <c r="AA116" s="68">
        <v>734219.72766999959</v>
      </c>
      <c r="AB116" s="69">
        <v>965242</v>
      </c>
      <c r="AC116" s="70">
        <v>1023157</v>
      </c>
      <c r="AD116" s="67">
        <v>679129.83279000001</v>
      </c>
      <c r="AE116" s="68">
        <v>678648.06099999987</v>
      </c>
      <c r="AF116" s="69">
        <v>1023157</v>
      </c>
      <c r="AG116" s="70">
        <v>1023157</v>
      </c>
      <c r="AH116" s="70">
        <f t="shared" si="28"/>
        <v>672912.01520000002</v>
      </c>
      <c r="AI116" s="70">
        <f t="shared" si="29"/>
        <v>718356.05952239968</v>
      </c>
      <c r="AJ116" s="70">
        <f t="shared" si="30"/>
        <v>694555.00335639995</v>
      </c>
      <c r="AK116" s="70">
        <f t="shared" si="31"/>
        <v>678782.95710119989</v>
      </c>
      <c r="AL116" s="70">
        <f t="shared" si="32"/>
        <v>939355.4632</v>
      </c>
      <c r="AM116" s="70">
        <f t="shared" si="33"/>
        <v>995716.87300000002</v>
      </c>
      <c r="AN116" s="70">
        <f t="shared" si="34"/>
        <v>1023157</v>
      </c>
      <c r="AO116" s="70">
        <f t="shared" si="35"/>
        <v>1023157</v>
      </c>
    </row>
    <row r="117" spans="1:41">
      <c r="A117" s="29" t="s">
        <v>21</v>
      </c>
      <c r="B117" s="29" t="s">
        <v>928</v>
      </c>
      <c r="C117" s="107">
        <v>0</v>
      </c>
      <c r="D117" s="108">
        <v>0</v>
      </c>
      <c r="F117" s="107">
        <v>825672.56</v>
      </c>
      <c r="G117" s="108">
        <v>1448076</v>
      </c>
      <c r="I117" s="64">
        <v>825672.56</v>
      </c>
      <c r="J117" s="83">
        <v>739001.24750133359</v>
      </c>
      <c r="K117" s="66">
        <v>1448076</v>
      </c>
      <c r="L117" s="251">
        <v>1560697</v>
      </c>
      <c r="M117" s="63">
        <v>560909.4319000002</v>
      </c>
      <c r="N117" s="64">
        <v>537064.42948399973</v>
      </c>
      <c r="O117" s="65">
        <v>1560697</v>
      </c>
      <c r="P117" s="66">
        <v>1560697</v>
      </c>
      <c r="Q117" s="66">
        <f t="shared" si="20"/>
        <v>594484.24320000003</v>
      </c>
      <c r="R117" s="63">
        <f t="shared" si="21"/>
        <v>763269.21500096016</v>
      </c>
      <c r="S117" s="83">
        <f t="shared" si="22"/>
        <v>610775.14026837354</v>
      </c>
      <c r="T117" s="64">
        <f t="shared" si="23"/>
        <v>543741.03016047995</v>
      </c>
      <c r="U117" s="66">
        <f t="shared" si="24"/>
        <v>761977.59120000002</v>
      </c>
      <c r="V117" s="63">
        <f t="shared" si="25"/>
        <v>1507337.1702000001</v>
      </c>
      <c r="W117" s="83">
        <f t="shared" si="26"/>
        <v>1560697</v>
      </c>
      <c r="X117" s="64">
        <f t="shared" si="27"/>
        <v>1560697</v>
      </c>
      <c r="Z117" s="67">
        <v>825672.56</v>
      </c>
      <c r="AA117" s="68">
        <v>739001.24750133359</v>
      </c>
      <c r="AB117" s="69">
        <v>1448076</v>
      </c>
      <c r="AC117" s="70">
        <v>1560697</v>
      </c>
      <c r="AD117" s="67">
        <v>560909.4319000002</v>
      </c>
      <c r="AE117" s="68">
        <v>537064.42948399973</v>
      </c>
      <c r="AF117" s="69">
        <v>1560697</v>
      </c>
      <c r="AG117" s="70">
        <v>1560697</v>
      </c>
      <c r="AH117" s="70">
        <f t="shared" si="28"/>
        <v>594484.24320000003</v>
      </c>
      <c r="AI117" s="70">
        <f t="shared" si="29"/>
        <v>763269.21500096016</v>
      </c>
      <c r="AJ117" s="70">
        <f t="shared" si="30"/>
        <v>610775.14026837354</v>
      </c>
      <c r="AK117" s="70">
        <f t="shared" si="31"/>
        <v>543741.03016047995</v>
      </c>
      <c r="AL117" s="70">
        <f t="shared" si="32"/>
        <v>761977.59120000002</v>
      </c>
      <c r="AM117" s="70">
        <f t="shared" si="33"/>
        <v>1507337.1702000001</v>
      </c>
      <c r="AN117" s="70">
        <f t="shared" si="34"/>
        <v>1560697</v>
      </c>
      <c r="AO117" s="70">
        <f t="shared" si="35"/>
        <v>1560697</v>
      </c>
    </row>
    <row r="118" spans="1:41">
      <c r="A118" s="29" t="s">
        <v>247</v>
      </c>
      <c r="B118" s="29" t="s">
        <v>717</v>
      </c>
      <c r="C118" s="107">
        <v>0</v>
      </c>
      <c r="D118" s="108">
        <v>1683268</v>
      </c>
      <c r="F118" s="107">
        <v>0</v>
      </c>
      <c r="G118" s="108">
        <v>1700097</v>
      </c>
      <c r="I118" s="64">
        <v>0</v>
      </c>
      <c r="J118" s="83">
        <v>0</v>
      </c>
      <c r="K118" s="66">
        <v>1700097</v>
      </c>
      <c r="L118" s="251">
        <v>1700097</v>
      </c>
      <c r="M118" s="63">
        <v>0</v>
      </c>
      <c r="N118" s="64">
        <v>0</v>
      </c>
      <c r="O118" s="65">
        <v>1700097</v>
      </c>
      <c r="P118" s="66">
        <v>1700097</v>
      </c>
      <c r="Q118" s="66">
        <f t="shared" si="20"/>
        <v>0</v>
      </c>
      <c r="R118" s="63">
        <f t="shared" si="21"/>
        <v>0</v>
      </c>
      <c r="S118" s="83">
        <f t="shared" si="22"/>
        <v>0</v>
      </c>
      <c r="T118" s="64">
        <f t="shared" si="23"/>
        <v>0</v>
      </c>
      <c r="U118" s="66">
        <f t="shared" si="24"/>
        <v>1692123.4198</v>
      </c>
      <c r="V118" s="63">
        <f t="shared" si="25"/>
        <v>1700097</v>
      </c>
      <c r="W118" s="83">
        <f t="shared" si="26"/>
        <v>1700097</v>
      </c>
      <c r="X118" s="64">
        <f t="shared" si="27"/>
        <v>1700097</v>
      </c>
      <c r="Z118" s="67">
        <v>0</v>
      </c>
      <c r="AA118" s="68">
        <v>0</v>
      </c>
      <c r="AB118" s="69">
        <v>1700097</v>
      </c>
      <c r="AC118" s="70">
        <v>1700097</v>
      </c>
      <c r="AD118" s="67">
        <v>0</v>
      </c>
      <c r="AE118" s="68">
        <v>0</v>
      </c>
      <c r="AF118" s="69">
        <v>1700097</v>
      </c>
      <c r="AG118" s="70">
        <v>1700097</v>
      </c>
      <c r="AH118" s="70">
        <f t="shared" si="28"/>
        <v>0</v>
      </c>
      <c r="AI118" s="70">
        <f t="shared" si="29"/>
        <v>0</v>
      </c>
      <c r="AJ118" s="70">
        <f t="shared" si="30"/>
        <v>0</v>
      </c>
      <c r="AK118" s="70">
        <f t="shared" si="31"/>
        <v>0</v>
      </c>
      <c r="AL118" s="70">
        <f t="shared" si="32"/>
        <v>1692123.4198</v>
      </c>
      <c r="AM118" s="70">
        <f t="shared" si="33"/>
        <v>1700097</v>
      </c>
      <c r="AN118" s="70">
        <f t="shared" si="34"/>
        <v>1700097</v>
      </c>
      <c r="AO118" s="70">
        <f t="shared" si="35"/>
        <v>1700097</v>
      </c>
    </row>
    <row r="119" spans="1:41">
      <c r="A119" s="29" t="s">
        <v>261</v>
      </c>
      <c r="B119" s="29" t="s">
        <v>718</v>
      </c>
      <c r="C119" s="107">
        <v>55908.19</v>
      </c>
      <c r="D119" s="108">
        <v>90000</v>
      </c>
      <c r="F119" s="107">
        <v>45352.42</v>
      </c>
      <c r="G119" s="108">
        <v>90000</v>
      </c>
      <c r="I119" s="64">
        <v>45352.42</v>
      </c>
      <c r="J119" s="83">
        <v>47196.930500000002</v>
      </c>
      <c r="K119" s="66">
        <v>90000</v>
      </c>
      <c r="L119" s="251">
        <v>90000</v>
      </c>
      <c r="M119" s="63">
        <v>45701.116499999989</v>
      </c>
      <c r="N119" s="64">
        <v>42836.801899999999</v>
      </c>
      <c r="O119" s="65">
        <v>90000</v>
      </c>
      <c r="P119" s="66">
        <v>90000</v>
      </c>
      <c r="Q119" s="66">
        <f t="shared" si="20"/>
        <v>48308.035600000003</v>
      </c>
      <c r="R119" s="63">
        <f t="shared" si="21"/>
        <v>46680.467560000005</v>
      </c>
      <c r="S119" s="83">
        <f t="shared" si="22"/>
        <v>46119.944419999993</v>
      </c>
      <c r="T119" s="64">
        <f t="shared" si="23"/>
        <v>43638.809987999994</v>
      </c>
      <c r="U119" s="66">
        <f t="shared" si="24"/>
        <v>90000</v>
      </c>
      <c r="V119" s="63">
        <f t="shared" si="25"/>
        <v>90000</v>
      </c>
      <c r="W119" s="83">
        <f t="shared" si="26"/>
        <v>90000</v>
      </c>
      <c r="X119" s="64">
        <f t="shared" si="27"/>
        <v>90000</v>
      </c>
      <c r="Z119" s="67">
        <v>45352.42</v>
      </c>
      <c r="AA119" s="68">
        <v>57943.484999999986</v>
      </c>
      <c r="AB119" s="69">
        <v>90000</v>
      </c>
      <c r="AC119" s="70">
        <v>90000</v>
      </c>
      <c r="AD119" s="67">
        <v>45701.116499999989</v>
      </c>
      <c r="AE119" s="68">
        <v>42836.801899999999</v>
      </c>
      <c r="AF119" s="69">
        <v>90000</v>
      </c>
      <c r="AG119" s="70">
        <v>90000</v>
      </c>
      <c r="AH119" s="70">
        <f t="shared" si="28"/>
        <v>48308.035600000003</v>
      </c>
      <c r="AI119" s="70">
        <f t="shared" si="29"/>
        <v>54417.986799999991</v>
      </c>
      <c r="AJ119" s="70">
        <f t="shared" si="30"/>
        <v>49128.979679999989</v>
      </c>
      <c r="AK119" s="70">
        <f t="shared" si="31"/>
        <v>43638.809987999994</v>
      </c>
      <c r="AL119" s="70">
        <f t="shared" si="32"/>
        <v>90000</v>
      </c>
      <c r="AM119" s="70">
        <f t="shared" si="33"/>
        <v>90000</v>
      </c>
      <c r="AN119" s="70">
        <f t="shared" si="34"/>
        <v>90000</v>
      </c>
      <c r="AO119" s="70">
        <f t="shared" si="35"/>
        <v>90000</v>
      </c>
    </row>
    <row r="120" spans="1:41">
      <c r="A120" s="29" t="s">
        <v>409</v>
      </c>
      <c r="B120" s="29" t="s">
        <v>719</v>
      </c>
      <c r="C120" s="107">
        <v>0</v>
      </c>
      <c r="D120" s="108">
        <v>874605</v>
      </c>
      <c r="F120" s="107">
        <v>0</v>
      </c>
      <c r="G120" s="108">
        <v>964783</v>
      </c>
      <c r="I120" s="64">
        <v>0</v>
      </c>
      <c r="J120" s="83">
        <v>0</v>
      </c>
      <c r="K120" s="66">
        <v>964783</v>
      </c>
      <c r="L120" s="251">
        <v>993717</v>
      </c>
      <c r="M120" s="63">
        <v>0</v>
      </c>
      <c r="N120" s="64">
        <v>0</v>
      </c>
      <c r="O120" s="65">
        <v>1023519</v>
      </c>
      <c r="P120" s="66">
        <v>1054215</v>
      </c>
      <c r="Q120" s="66">
        <f t="shared" si="20"/>
        <v>0</v>
      </c>
      <c r="R120" s="63">
        <f t="shared" si="21"/>
        <v>0</v>
      </c>
      <c r="S120" s="83">
        <f t="shared" si="22"/>
        <v>0</v>
      </c>
      <c r="T120" s="64">
        <f t="shared" si="23"/>
        <v>0</v>
      </c>
      <c r="U120" s="66">
        <f t="shared" si="24"/>
        <v>922056.66359999997</v>
      </c>
      <c r="V120" s="63">
        <f t="shared" si="25"/>
        <v>980008.0708000001</v>
      </c>
      <c r="W120" s="83">
        <f t="shared" si="26"/>
        <v>1009398.8123999999</v>
      </c>
      <c r="X120" s="64">
        <f t="shared" si="27"/>
        <v>1039671.2352</v>
      </c>
      <c r="Z120" s="67">
        <v>0</v>
      </c>
      <c r="AA120" s="68">
        <v>0</v>
      </c>
      <c r="AB120" s="69">
        <v>964783</v>
      </c>
      <c r="AC120" s="70">
        <v>993717</v>
      </c>
      <c r="AD120" s="67">
        <v>0</v>
      </c>
      <c r="AE120" s="68">
        <v>0</v>
      </c>
      <c r="AF120" s="69">
        <v>1023519</v>
      </c>
      <c r="AG120" s="70">
        <v>1054215</v>
      </c>
      <c r="AH120" s="70">
        <f t="shared" si="28"/>
        <v>0</v>
      </c>
      <c r="AI120" s="70">
        <f t="shared" si="29"/>
        <v>0</v>
      </c>
      <c r="AJ120" s="70">
        <f t="shared" si="30"/>
        <v>0</v>
      </c>
      <c r="AK120" s="70">
        <f t="shared" si="31"/>
        <v>0</v>
      </c>
      <c r="AL120" s="70">
        <f t="shared" si="32"/>
        <v>922056.66359999997</v>
      </c>
      <c r="AM120" s="70">
        <f t="shared" si="33"/>
        <v>980008.0708000001</v>
      </c>
      <c r="AN120" s="70">
        <f t="shared" si="34"/>
        <v>1009398.8123999999</v>
      </c>
      <c r="AO120" s="70">
        <f t="shared" si="35"/>
        <v>1039671.2352</v>
      </c>
    </row>
    <row r="121" spans="1:41">
      <c r="A121" s="29" t="s">
        <v>59</v>
      </c>
      <c r="B121" s="29" t="s">
        <v>905</v>
      </c>
      <c r="C121" s="107">
        <v>476648.53</v>
      </c>
      <c r="D121" s="108">
        <v>2203025</v>
      </c>
      <c r="F121" s="107">
        <v>133828.85</v>
      </c>
      <c r="G121" s="108">
        <v>2464030</v>
      </c>
      <c r="I121" s="64">
        <v>133828.85</v>
      </c>
      <c r="J121" s="83">
        <v>36535.790599999964</v>
      </c>
      <c r="K121" s="66">
        <v>2464030</v>
      </c>
      <c r="L121" s="251">
        <v>3181637</v>
      </c>
      <c r="M121" s="63">
        <v>0</v>
      </c>
      <c r="N121" s="64">
        <v>0</v>
      </c>
      <c r="O121" s="65">
        <v>3181637</v>
      </c>
      <c r="P121" s="66">
        <v>3181637</v>
      </c>
      <c r="Q121" s="66">
        <f t="shared" si="20"/>
        <v>229818.36040000001</v>
      </c>
      <c r="R121" s="63">
        <f t="shared" si="21"/>
        <v>63777.847231999986</v>
      </c>
      <c r="S121" s="83">
        <f t="shared" si="22"/>
        <v>10230.021367999991</v>
      </c>
      <c r="T121" s="64">
        <f t="shared" si="23"/>
        <v>0</v>
      </c>
      <c r="U121" s="66">
        <f t="shared" si="24"/>
        <v>2340365.8309999998</v>
      </c>
      <c r="V121" s="63">
        <f t="shared" si="25"/>
        <v>2841634.8034000001</v>
      </c>
      <c r="W121" s="83">
        <f t="shared" si="26"/>
        <v>3181637</v>
      </c>
      <c r="X121" s="64">
        <f t="shared" si="27"/>
        <v>3181637</v>
      </c>
      <c r="Z121" s="67">
        <v>133828.85</v>
      </c>
      <c r="AA121" s="68">
        <v>314685.04170000006</v>
      </c>
      <c r="AB121" s="69">
        <v>2464030</v>
      </c>
      <c r="AC121" s="70">
        <v>3181637</v>
      </c>
      <c r="AD121" s="67">
        <v>0</v>
      </c>
      <c r="AE121" s="68">
        <v>0</v>
      </c>
      <c r="AF121" s="69">
        <v>3181637</v>
      </c>
      <c r="AG121" s="70">
        <v>3181637</v>
      </c>
      <c r="AH121" s="70">
        <f t="shared" si="28"/>
        <v>229818.36040000001</v>
      </c>
      <c r="AI121" s="70">
        <f t="shared" si="29"/>
        <v>264045.30802400003</v>
      </c>
      <c r="AJ121" s="70">
        <f t="shared" si="30"/>
        <v>88111.811676000027</v>
      </c>
      <c r="AK121" s="70">
        <f t="shared" si="31"/>
        <v>0</v>
      </c>
      <c r="AL121" s="70">
        <f t="shared" si="32"/>
        <v>2340365.8309999998</v>
      </c>
      <c r="AM121" s="70">
        <f t="shared" si="33"/>
        <v>2841634.8034000001</v>
      </c>
      <c r="AN121" s="70">
        <f t="shared" si="34"/>
        <v>3181637</v>
      </c>
      <c r="AO121" s="70">
        <f t="shared" si="35"/>
        <v>3181637</v>
      </c>
    </row>
    <row r="122" spans="1:41">
      <c r="A122" s="29" t="s">
        <v>555</v>
      </c>
      <c r="B122" s="29" t="s">
        <v>929</v>
      </c>
      <c r="C122" s="107">
        <v>0</v>
      </c>
      <c r="D122" s="108">
        <v>205963</v>
      </c>
      <c r="F122" s="107">
        <v>0</v>
      </c>
      <c r="G122" s="108">
        <v>221727</v>
      </c>
      <c r="I122" s="64">
        <v>0</v>
      </c>
      <c r="J122" s="83">
        <v>0</v>
      </c>
      <c r="K122" s="66">
        <v>221727</v>
      </c>
      <c r="L122" s="251">
        <v>241145.34819999998</v>
      </c>
      <c r="M122" s="63">
        <v>0</v>
      </c>
      <c r="N122" s="64">
        <v>0</v>
      </c>
      <c r="O122" s="65">
        <v>246209.24470000001</v>
      </c>
      <c r="P122" s="66">
        <v>251625.81289999999</v>
      </c>
      <c r="Q122" s="66">
        <f t="shared" si="20"/>
        <v>0</v>
      </c>
      <c r="R122" s="63">
        <f t="shared" si="21"/>
        <v>0</v>
      </c>
      <c r="S122" s="83">
        <f t="shared" si="22"/>
        <v>0</v>
      </c>
      <c r="T122" s="64">
        <f t="shared" si="23"/>
        <v>0</v>
      </c>
      <c r="U122" s="66">
        <f t="shared" si="24"/>
        <v>214258.01680000001</v>
      </c>
      <c r="V122" s="63">
        <f t="shared" si="25"/>
        <v>231944.93482283998</v>
      </c>
      <c r="W122" s="83">
        <f t="shared" si="26"/>
        <v>243809.9705383</v>
      </c>
      <c r="X122" s="64">
        <f t="shared" si="27"/>
        <v>249059.44288684003</v>
      </c>
      <c r="Z122" s="67">
        <v>0</v>
      </c>
      <c r="AA122" s="68">
        <v>0</v>
      </c>
      <c r="AB122" s="69">
        <v>221727</v>
      </c>
      <c r="AC122" s="70">
        <v>241145.34819999998</v>
      </c>
      <c r="AD122" s="67">
        <v>0</v>
      </c>
      <c r="AE122" s="68">
        <v>0</v>
      </c>
      <c r="AF122" s="69">
        <v>246209.24470000001</v>
      </c>
      <c r="AG122" s="70">
        <v>251625.81289999999</v>
      </c>
      <c r="AH122" s="70">
        <f t="shared" si="28"/>
        <v>0</v>
      </c>
      <c r="AI122" s="70">
        <f t="shared" si="29"/>
        <v>0</v>
      </c>
      <c r="AJ122" s="70">
        <f t="shared" si="30"/>
        <v>0</v>
      </c>
      <c r="AK122" s="70">
        <f t="shared" si="31"/>
        <v>0</v>
      </c>
      <c r="AL122" s="70">
        <f t="shared" si="32"/>
        <v>214258.01680000001</v>
      </c>
      <c r="AM122" s="70">
        <f t="shared" si="33"/>
        <v>231944.93482283998</v>
      </c>
      <c r="AN122" s="70">
        <f t="shared" si="34"/>
        <v>243809.9705383</v>
      </c>
      <c r="AO122" s="70">
        <f t="shared" si="35"/>
        <v>249059.44288684003</v>
      </c>
    </row>
    <row r="123" spans="1:41">
      <c r="A123" s="29" t="s">
        <v>35</v>
      </c>
      <c r="B123" s="29" t="s">
        <v>720</v>
      </c>
      <c r="C123" s="107">
        <v>0</v>
      </c>
      <c r="D123" s="108">
        <v>3539532</v>
      </c>
      <c r="F123" s="107">
        <v>0</v>
      </c>
      <c r="G123" s="108">
        <v>3625239.1799999997</v>
      </c>
      <c r="I123" s="64">
        <v>0</v>
      </c>
      <c r="J123" s="83">
        <v>0</v>
      </c>
      <c r="K123" s="66">
        <v>3625239.1799999997</v>
      </c>
      <c r="L123" s="251">
        <v>3538823.0977999996</v>
      </c>
      <c r="M123" s="63">
        <v>0</v>
      </c>
      <c r="N123" s="64">
        <v>0</v>
      </c>
      <c r="O123" s="65">
        <v>3608822</v>
      </c>
      <c r="P123" s="66">
        <v>3608822</v>
      </c>
      <c r="Q123" s="66">
        <f t="shared" si="20"/>
        <v>0</v>
      </c>
      <c r="R123" s="63">
        <f t="shared" si="21"/>
        <v>0</v>
      </c>
      <c r="S123" s="83">
        <f t="shared" si="22"/>
        <v>0</v>
      </c>
      <c r="T123" s="64">
        <f t="shared" si="23"/>
        <v>0</v>
      </c>
      <c r="U123" s="66">
        <f t="shared" si="24"/>
        <v>3584631.1181159997</v>
      </c>
      <c r="V123" s="63">
        <f t="shared" si="25"/>
        <v>3579767.0375463599</v>
      </c>
      <c r="W123" s="83">
        <f t="shared" si="26"/>
        <v>3575656.5201376397</v>
      </c>
      <c r="X123" s="64">
        <f t="shared" si="27"/>
        <v>3608822</v>
      </c>
      <c r="Z123" s="67">
        <v>0</v>
      </c>
      <c r="AA123" s="68">
        <v>0</v>
      </c>
      <c r="AB123" s="69">
        <v>3625239.1799999997</v>
      </c>
      <c r="AC123" s="70">
        <v>3608822</v>
      </c>
      <c r="AD123" s="67">
        <v>0</v>
      </c>
      <c r="AE123" s="68">
        <v>0</v>
      </c>
      <c r="AF123" s="69">
        <v>3608822</v>
      </c>
      <c r="AG123" s="70">
        <v>3608822</v>
      </c>
      <c r="AH123" s="70">
        <f t="shared" si="28"/>
        <v>0</v>
      </c>
      <c r="AI123" s="70">
        <f t="shared" si="29"/>
        <v>0</v>
      </c>
      <c r="AJ123" s="70">
        <f t="shared" si="30"/>
        <v>0</v>
      </c>
      <c r="AK123" s="70">
        <f t="shared" si="31"/>
        <v>0</v>
      </c>
      <c r="AL123" s="70">
        <f t="shared" si="32"/>
        <v>3584631.1181159997</v>
      </c>
      <c r="AM123" s="70">
        <f t="shared" si="33"/>
        <v>3616600.459884</v>
      </c>
      <c r="AN123" s="70">
        <f t="shared" si="34"/>
        <v>3608822</v>
      </c>
      <c r="AO123" s="70">
        <f t="shared" si="35"/>
        <v>3608822</v>
      </c>
    </row>
    <row r="124" spans="1:41">
      <c r="A124" s="29" t="s">
        <v>425</v>
      </c>
      <c r="B124" s="29" t="s">
        <v>721</v>
      </c>
      <c r="C124" s="107">
        <v>3412503.41</v>
      </c>
      <c r="D124" s="108">
        <v>12627600</v>
      </c>
      <c r="F124" s="107">
        <v>1781791.23</v>
      </c>
      <c r="G124" s="108">
        <v>14521800</v>
      </c>
      <c r="I124" s="64">
        <v>1781791.23</v>
      </c>
      <c r="J124" s="83">
        <v>1803645.9255999986</v>
      </c>
      <c r="K124" s="66">
        <v>14521800</v>
      </c>
      <c r="L124" s="251">
        <v>14521800</v>
      </c>
      <c r="M124" s="63">
        <v>1067156.7274939986</v>
      </c>
      <c r="N124" s="64">
        <v>276580.06865399878</v>
      </c>
      <c r="O124" s="65">
        <v>14521800</v>
      </c>
      <c r="P124" s="66">
        <v>14521800</v>
      </c>
      <c r="Q124" s="66">
        <f t="shared" si="20"/>
        <v>2238390.6403999999</v>
      </c>
      <c r="R124" s="63">
        <f t="shared" si="21"/>
        <v>1797526.610831999</v>
      </c>
      <c r="S124" s="83">
        <f t="shared" si="22"/>
        <v>1273373.7029636786</v>
      </c>
      <c r="T124" s="64">
        <f t="shared" si="23"/>
        <v>497941.53312919871</v>
      </c>
      <c r="U124" s="66">
        <f t="shared" si="24"/>
        <v>13624328.039999999</v>
      </c>
      <c r="V124" s="63">
        <f t="shared" si="25"/>
        <v>14521800</v>
      </c>
      <c r="W124" s="83">
        <f t="shared" si="26"/>
        <v>14521800</v>
      </c>
      <c r="X124" s="64">
        <f t="shared" si="27"/>
        <v>14521800</v>
      </c>
      <c r="Z124" s="67">
        <v>1781791.23</v>
      </c>
      <c r="AA124" s="68">
        <v>2345343.3240000014</v>
      </c>
      <c r="AB124" s="69">
        <v>14521800</v>
      </c>
      <c r="AC124" s="70">
        <v>14521800</v>
      </c>
      <c r="AD124" s="67">
        <v>1067156.7274939986</v>
      </c>
      <c r="AE124" s="68">
        <v>276580.06865399878</v>
      </c>
      <c r="AF124" s="69">
        <v>14521800</v>
      </c>
      <c r="AG124" s="70">
        <v>14521800</v>
      </c>
      <c r="AH124" s="70">
        <f t="shared" si="28"/>
        <v>2238390.6403999999</v>
      </c>
      <c r="AI124" s="70">
        <f t="shared" si="29"/>
        <v>2187548.7376800012</v>
      </c>
      <c r="AJ124" s="70">
        <f t="shared" si="30"/>
        <v>1425048.9745156793</v>
      </c>
      <c r="AK124" s="70">
        <f t="shared" si="31"/>
        <v>497941.53312919871</v>
      </c>
      <c r="AL124" s="70">
        <f t="shared" si="32"/>
        <v>13624328.039999999</v>
      </c>
      <c r="AM124" s="70">
        <f t="shared" si="33"/>
        <v>14521800</v>
      </c>
      <c r="AN124" s="70">
        <f t="shared" si="34"/>
        <v>14521800</v>
      </c>
      <c r="AO124" s="70">
        <f t="shared" si="35"/>
        <v>14521800</v>
      </c>
    </row>
    <row r="125" spans="1:41">
      <c r="A125" s="29" t="s">
        <v>215</v>
      </c>
      <c r="B125" s="29" t="s">
        <v>722</v>
      </c>
      <c r="C125" s="107">
        <v>0</v>
      </c>
      <c r="D125" s="108">
        <v>65100000</v>
      </c>
      <c r="F125" s="107">
        <v>0</v>
      </c>
      <c r="G125" s="108">
        <v>67700000</v>
      </c>
      <c r="I125" s="64">
        <v>0</v>
      </c>
      <c r="J125" s="83">
        <v>0</v>
      </c>
      <c r="K125" s="66">
        <v>67700000</v>
      </c>
      <c r="L125" s="251">
        <v>67700000</v>
      </c>
      <c r="M125" s="63">
        <v>0</v>
      </c>
      <c r="N125" s="64">
        <v>0</v>
      </c>
      <c r="O125" s="65">
        <v>67700000</v>
      </c>
      <c r="P125" s="66">
        <v>67700000</v>
      </c>
      <c r="Q125" s="66">
        <f t="shared" si="20"/>
        <v>0</v>
      </c>
      <c r="R125" s="63">
        <f t="shared" si="21"/>
        <v>0</v>
      </c>
      <c r="S125" s="83">
        <f t="shared" si="22"/>
        <v>0</v>
      </c>
      <c r="T125" s="64">
        <f t="shared" si="23"/>
        <v>0</v>
      </c>
      <c r="U125" s="66">
        <f t="shared" si="24"/>
        <v>66468120</v>
      </c>
      <c r="V125" s="63">
        <f t="shared" si="25"/>
        <v>67700000</v>
      </c>
      <c r="W125" s="83">
        <f t="shared" si="26"/>
        <v>67700000</v>
      </c>
      <c r="X125" s="64">
        <f t="shared" si="27"/>
        <v>67700000</v>
      </c>
      <c r="Z125" s="67">
        <v>0</v>
      </c>
      <c r="AA125" s="68">
        <v>0</v>
      </c>
      <c r="AB125" s="69">
        <v>67700000</v>
      </c>
      <c r="AC125" s="70">
        <v>67700000</v>
      </c>
      <c r="AD125" s="67">
        <v>0</v>
      </c>
      <c r="AE125" s="68">
        <v>0</v>
      </c>
      <c r="AF125" s="69">
        <v>67700000</v>
      </c>
      <c r="AG125" s="70">
        <v>67700000</v>
      </c>
      <c r="AH125" s="70">
        <f t="shared" si="28"/>
        <v>0</v>
      </c>
      <c r="AI125" s="70">
        <f t="shared" si="29"/>
        <v>0</v>
      </c>
      <c r="AJ125" s="70">
        <f t="shared" si="30"/>
        <v>0</v>
      </c>
      <c r="AK125" s="70">
        <f t="shared" si="31"/>
        <v>0</v>
      </c>
      <c r="AL125" s="70">
        <f t="shared" si="32"/>
        <v>66468120</v>
      </c>
      <c r="AM125" s="70">
        <f t="shared" si="33"/>
        <v>67700000</v>
      </c>
      <c r="AN125" s="70">
        <f t="shared" si="34"/>
        <v>67700000</v>
      </c>
      <c r="AO125" s="70">
        <f t="shared" si="35"/>
        <v>67700000</v>
      </c>
    </row>
    <row r="126" spans="1:41">
      <c r="A126" s="29" t="s">
        <v>441</v>
      </c>
      <c r="B126" s="29" t="s">
        <v>723</v>
      </c>
      <c r="C126" s="107">
        <v>0</v>
      </c>
      <c r="D126" s="108">
        <v>0</v>
      </c>
      <c r="F126" s="107">
        <v>0</v>
      </c>
      <c r="G126" s="108">
        <v>6081871</v>
      </c>
      <c r="I126" s="64">
        <v>0</v>
      </c>
      <c r="J126" s="83">
        <v>0</v>
      </c>
      <c r="K126" s="66">
        <v>6081871</v>
      </c>
      <c r="L126" s="251">
        <v>6446783</v>
      </c>
      <c r="M126" s="63">
        <v>0</v>
      </c>
      <c r="N126" s="64">
        <v>0</v>
      </c>
      <c r="O126" s="65">
        <v>6833590</v>
      </c>
      <c r="P126" s="66">
        <v>6833590</v>
      </c>
      <c r="Q126" s="66">
        <f t="shared" si="20"/>
        <v>0</v>
      </c>
      <c r="R126" s="63">
        <f t="shared" si="21"/>
        <v>0</v>
      </c>
      <c r="S126" s="83">
        <f t="shared" si="22"/>
        <v>0</v>
      </c>
      <c r="T126" s="64">
        <f t="shared" si="23"/>
        <v>0</v>
      </c>
      <c r="U126" s="66">
        <f t="shared" si="24"/>
        <v>3200280.5202000001</v>
      </c>
      <c r="V126" s="63">
        <f t="shared" si="25"/>
        <v>6273887.6943999995</v>
      </c>
      <c r="W126" s="83">
        <f t="shared" si="26"/>
        <v>6650320.8433999997</v>
      </c>
      <c r="X126" s="64">
        <f t="shared" si="27"/>
        <v>6833590</v>
      </c>
      <c r="Z126" s="67">
        <v>0</v>
      </c>
      <c r="AA126" s="68">
        <v>0</v>
      </c>
      <c r="AB126" s="69">
        <v>6081871</v>
      </c>
      <c r="AC126" s="70">
        <v>6446783</v>
      </c>
      <c r="AD126" s="67">
        <v>0</v>
      </c>
      <c r="AE126" s="68">
        <v>0</v>
      </c>
      <c r="AF126" s="69">
        <v>6833590</v>
      </c>
      <c r="AG126" s="70">
        <v>6833590</v>
      </c>
      <c r="AH126" s="70">
        <f t="shared" si="28"/>
        <v>0</v>
      </c>
      <c r="AI126" s="70">
        <f t="shared" si="29"/>
        <v>0</v>
      </c>
      <c r="AJ126" s="70">
        <f t="shared" si="30"/>
        <v>0</v>
      </c>
      <c r="AK126" s="70">
        <f t="shared" si="31"/>
        <v>0</v>
      </c>
      <c r="AL126" s="70">
        <f t="shared" si="32"/>
        <v>3200280.5202000001</v>
      </c>
      <c r="AM126" s="70">
        <f t="shared" si="33"/>
        <v>6273887.6943999995</v>
      </c>
      <c r="AN126" s="70">
        <f t="shared" si="34"/>
        <v>6650320.8433999997</v>
      </c>
      <c r="AO126" s="70">
        <f t="shared" si="35"/>
        <v>6833590</v>
      </c>
    </row>
    <row r="127" spans="1:41">
      <c r="A127" s="29" t="s">
        <v>557</v>
      </c>
      <c r="B127" s="29" t="s">
        <v>724</v>
      </c>
      <c r="C127" s="107">
        <v>10781.67</v>
      </c>
      <c r="D127" s="108">
        <v>90000</v>
      </c>
      <c r="F127" s="107">
        <v>0</v>
      </c>
      <c r="G127" s="108">
        <v>130000</v>
      </c>
      <c r="I127" s="64">
        <v>0</v>
      </c>
      <c r="J127" s="83">
        <v>9153.2698999999939</v>
      </c>
      <c r="K127" s="66">
        <v>130000</v>
      </c>
      <c r="L127" s="251">
        <v>125101.065</v>
      </c>
      <c r="M127" s="63">
        <v>9655.1933999999837</v>
      </c>
      <c r="N127" s="64">
        <v>9686.2868999999973</v>
      </c>
      <c r="O127" s="65">
        <v>127211.8475</v>
      </c>
      <c r="P127" s="66">
        <v>130312.79</v>
      </c>
      <c r="Q127" s="66">
        <f t="shared" si="20"/>
        <v>3018.8676000000005</v>
      </c>
      <c r="R127" s="63">
        <f t="shared" si="21"/>
        <v>6590.3543279999949</v>
      </c>
      <c r="S127" s="83">
        <f t="shared" si="22"/>
        <v>9514.654819999987</v>
      </c>
      <c r="T127" s="64">
        <f t="shared" si="23"/>
        <v>9677.5807199999945</v>
      </c>
      <c r="U127" s="66">
        <f t="shared" si="24"/>
        <v>111048</v>
      </c>
      <c r="V127" s="63">
        <f t="shared" si="25"/>
        <v>127422.18040300001</v>
      </c>
      <c r="W127" s="83">
        <f t="shared" si="26"/>
        <v>126211.75875150002</v>
      </c>
      <c r="X127" s="64">
        <f t="shared" si="27"/>
        <v>128843.5634435</v>
      </c>
      <c r="Z127" s="67">
        <v>0</v>
      </c>
      <c r="AA127" s="68">
        <v>12013.096800000012</v>
      </c>
      <c r="AB127" s="69">
        <v>130000</v>
      </c>
      <c r="AC127" s="70">
        <v>125101.065</v>
      </c>
      <c r="AD127" s="67">
        <v>9655.1933999999837</v>
      </c>
      <c r="AE127" s="68">
        <v>9686.2868999999973</v>
      </c>
      <c r="AF127" s="69">
        <v>127211.8475</v>
      </c>
      <c r="AG127" s="70">
        <v>130312.79</v>
      </c>
      <c r="AH127" s="70">
        <f t="shared" si="28"/>
        <v>3018.8676000000005</v>
      </c>
      <c r="AI127" s="70">
        <f t="shared" si="29"/>
        <v>8649.4296960000083</v>
      </c>
      <c r="AJ127" s="70">
        <f t="shared" si="30"/>
        <v>10315.406351999991</v>
      </c>
      <c r="AK127" s="70">
        <f t="shared" si="31"/>
        <v>9677.5807199999945</v>
      </c>
      <c r="AL127" s="70">
        <f t="shared" si="32"/>
        <v>111048</v>
      </c>
      <c r="AM127" s="70">
        <f t="shared" si="33"/>
        <v>127422.18040300001</v>
      </c>
      <c r="AN127" s="70">
        <f t="shared" si="34"/>
        <v>126211.75875150002</v>
      </c>
      <c r="AO127" s="70">
        <f t="shared" si="35"/>
        <v>128843.5634435</v>
      </c>
    </row>
    <row r="128" spans="1:41">
      <c r="A128" s="29" t="s">
        <v>471</v>
      </c>
      <c r="B128" s="29" t="s">
        <v>725</v>
      </c>
      <c r="C128" s="107">
        <v>0</v>
      </c>
      <c r="D128" s="108">
        <v>1419402</v>
      </c>
      <c r="F128" s="107">
        <v>0</v>
      </c>
      <c r="G128" s="108">
        <v>1484202</v>
      </c>
      <c r="I128" s="64">
        <v>0</v>
      </c>
      <c r="J128" s="83">
        <v>0</v>
      </c>
      <c r="K128" s="66">
        <v>1484202</v>
      </c>
      <c r="L128" s="251">
        <v>1560665.5189999999</v>
      </c>
      <c r="M128" s="63">
        <v>0</v>
      </c>
      <c r="N128" s="64">
        <v>0</v>
      </c>
      <c r="O128" s="65">
        <v>1614776.4250999999</v>
      </c>
      <c r="P128" s="66">
        <v>1647984</v>
      </c>
      <c r="Q128" s="66">
        <f t="shared" si="20"/>
        <v>0</v>
      </c>
      <c r="R128" s="63">
        <f t="shared" si="21"/>
        <v>0</v>
      </c>
      <c r="S128" s="83">
        <f t="shared" si="22"/>
        <v>0</v>
      </c>
      <c r="T128" s="64">
        <f t="shared" si="23"/>
        <v>0</v>
      </c>
      <c r="U128" s="66">
        <f t="shared" si="24"/>
        <v>1453499.76</v>
      </c>
      <c r="V128" s="63">
        <f t="shared" si="25"/>
        <v>1524437.1036978001</v>
      </c>
      <c r="W128" s="83">
        <f t="shared" si="26"/>
        <v>1589138.6777898199</v>
      </c>
      <c r="X128" s="64">
        <f t="shared" si="27"/>
        <v>1632250.2510123798</v>
      </c>
      <c r="Z128" s="67">
        <v>0</v>
      </c>
      <c r="AA128" s="68">
        <v>0</v>
      </c>
      <c r="AB128" s="69">
        <v>1484202</v>
      </c>
      <c r="AC128" s="70">
        <v>1564881</v>
      </c>
      <c r="AD128" s="67">
        <v>0</v>
      </c>
      <c r="AE128" s="68">
        <v>0</v>
      </c>
      <c r="AF128" s="69">
        <v>1614776.4250999999</v>
      </c>
      <c r="AG128" s="70">
        <v>1647984</v>
      </c>
      <c r="AH128" s="70">
        <f t="shared" si="28"/>
        <v>0</v>
      </c>
      <c r="AI128" s="70">
        <f t="shared" si="29"/>
        <v>0</v>
      </c>
      <c r="AJ128" s="70">
        <f t="shared" si="30"/>
        <v>0</v>
      </c>
      <c r="AK128" s="70">
        <f t="shared" si="31"/>
        <v>0</v>
      </c>
      <c r="AL128" s="70">
        <f t="shared" si="32"/>
        <v>1453499.76</v>
      </c>
      <c r="AM128" s="70">
        <f t="shared" si="33"/>
        <v>1526655.2897999999</v>
      </c>
      <c r="AN128" s="70">
        <f t="shared" si="34"/>
        <v>1591135.97268762</v>
      </c>
      <c r="AO128" s="70">
        <f t="shared" si="35"/>
        <v>1632250.2510123798</v>
      </c>
    </row>
    <row r="129" spans="1:41">
      <c r="A129" s="29" t="s">
        <v>9</v>
      </c>
      <c r="B129" s="29" t="s">
        <v>726</v>
      </c>
      <c r="C129" s="107">
        <v>0</v>
      </c>
      <c r="D129" s="108">
        <v>525000</v>
      </c>
      <c r="F129" s="107">
        <v>0</v>
      </c>
      <c r="G129" s="108">
        <v>525000</v>
      </c>
      <c r="I129" s="64">
        <v>0</v>
      </c>
      <c r="J129" s="83">
        <v>0</v>
      </c>
      <c r="K129" s="66">
        <v>525000</v>
      </c>
      <c r="L129" s="251">
        <v>525000</v>
      </c>
      <c r="M129" s="63">
        <v>0</v>
      </c>
      <c r="N129" s="64">
        <v>0</v>
      </c>
      <c r="O129" s="65">
        <v>525000</v>
      </c>
      <c r="P129" s="66">
        <v>525000</v>
      </c>
      <c r="Q129" s="66">
        <f t="shared" si="20"/>
        <v>0</v>
      </c>
      <c r="R129" s="63">
        <f t="shared" si="21"/>
        <v>0</v>
      </c>
      <c r="S129" s="83">
        <f t="shared" si="22"/>
        <v>0</v>
      </c>
      <c r="T129" s="64">
        <f t="shared" si="23"/>
        <v>0</v>
      </c>
      <c r="U129" s="66">
        <f t="shared" si="24"/>
        <v>525000</v>
      </c>
      <c r="V129" s="63">
        <f t="shared" si="25"/>
        <v>525000</v>
      </c>
      <c r="W129" s="83">
        <f t="shared" si="26"/>
        <v>525000</v>
      </c>
      <c r="X129" s="64">
        <f t="shared" si="27"/>
        <v>525000</v>
      </c>
      <c r="Z129" s="67">
        <v>0</v>
      </c>
      <c r="AA129" s="68">
        <v>0</v>
      </c>
      <c r="AB129" s="69">
        <v>525000</v>
      </c>
      <c r="AC129" s="70">
        <v>525000</v>
      </c>
      <c r="AD129" s="67">
        <v>0</v>
      </c>
      <c r="AE129" s="68">
        <v>0</v>
      </c>
      <c r="AF129" s="69">
        <v>525000</v>
      </c>
      <c r="AG129" s="70">
        <v>525000</v>
      </c>
      <c r="AH129" s="70">
        <f t="shared" si="28"/>
        <v>0</v>
      </c>
      <c r="AI129" s="70">
        <f t="shared" si="29"/>
        <v>0</v>
      </c>
      <c r="AJ129" s="70">
        <f t="shared" si="30"/>
        <v>0</v>
      </c>
      <c r="AK129" s="70">
        <f t="shared" si="31"/>
        <v>0</v>
      </c>
      <c r="AL129" s="70">
        <f t="shared" si="32"/>
        <v>525000</v>
      </c>
      <c r="AM129" s="70">
        <f t="shared" si="33"/>
        <v>525000</v>
      </c>
      <c r="AN129" s="70">
        <f t="shared" si="34"/>
        <v>525000</v>
      </c>
      <c r="AO129" s="70">
        <f t="shared" si="35"/>
        <v>525000</v>
      </c>
    </row>
    <row r="130" spans="1:41">
      <c r="A130" s="29" t="s">
        <v>77</v>
      </c>
      <c r="B130" s="29" t="s">
        <v>727</v>
      </c>
      <c r="C130" s="107">
        <v>1248637.42</v>
      </c>
      <c r="D130" s="108">
        <v>13790705</v>
      </c>
      <c r="F130" s="107">
        <v>240478.04</v>
      </c>
      <c r="G130" s="108">
        <v>14496559</v>
      </c>
      <c r="I130" s="64">
        <v>240478.04</v>
      </c>
      <c r="J130" s="83">
        <v>123952.60199999889</v>
      </c>
      <c r="K130" s="66">
        <v>14496559</v>
      </c>
      <c r="L130" s="251">
        <v>15235033</v>
      </c>
      <c r="M130" s="63">
        <v>0</v>
      </c>
      <c r="N130" s="64">
        <v>0</v>
      </c>
      <c r="O130" s="65">
        <v>16007613</v>
      </c>
      <c r="P130" s="66">
        <v>16007613</v>
      </c>
      <c r="Q130" s="66">
        <f t="shared" si="20"/>
        <v>522762.66639999999</v>
      </c>
      <c r="R130" s="63">
        <f t="shared" si="21"/>
        <v>156579.72463999921</v>
      </c>
      <c r="S130" s="83">
        <f t="shared" si="22"/>
        <v>34706.72855999969</v>
      </c>
      <c r="T130" s="64">
        <f t="shared" si="23"/>
        <v>0</v>
      </c>
      <c r="U130" s="66">
        <f t="shared" si="24"/>
        <v>14162125.3748</v>
      </c>
      <c r="V130" s="63">
        <f t="shared" si="25"/>
        <v>14885144.0188</v>
      </c>
      <c r="W130" s="83">
        <f t="shared" si="26"/>
        <v>15641564.596000001</v>
      </c>
      <c r="X130" s="64">
        <f t="shared" si="27"/>
        <v>16007613</v>
      </c>
      <c r="Z130" s="67">
        <v>240478.04</v>
      </c>
      <c r="AA130" s="68">
        <v>604474.57280000008</v>
      </c>
      <c r="AB130" s="69">
        <v>14496559</v>
      </c>
      <c r="AC130" s="70">
        <v>15235033</v>
      </c>
      <c r="AD130" s="67">
        <v>0</v>
      </c>
      <c r="AE130" s="68">
        <v>0</v>
      </c>
      <c r="AF130" s="69">
        <v>16007613</v>
      </c>
      <c r="AG130" s="70">
        <v>16007613</v>
      </c>
      <c r="AH130" s="70">
        <f t="shared" si="28"/>
        <v>522762.66639999999</v>
      </c>
      <c r="AI130" s="70">
        <f t="shared" si="29"/>
        <v>502555.5436160001</v>
      </c>
      <c r="AJ130" s="70">
        <f t="shared" si="30"/>
        <v>169252.88038400005</v>
      </c>
      <c r="AK130" s="70">
        <f t="shared" si="31"/>
        <v>0</v>
      </c>
      <c r="AL130" s="70">
        <f t="shared" si="32"/>
        <v>14162125.3748</v>
      </c>
      <c r="AM130" s="70">
        <f t="shared" si="33"/>
        <v>14885144.0188</v>
      </c>
      <c r="AN130" s="70">
        <f t="shared" si="34"/>
        <v>15641564.596000001</v>
      </c>
      <c r="AO130" s="70">
        <f t="shared" si="35"/>
        <v>16007613</v>
      </c>
    </row>
    <row r="131" spans="1:41">
      <c r="A131" s="29" t="s">
        <v>493</v>
      </c>
      <c r="B131" s="29" t="s">
        <v>728</v>
      </c>
      <c r="C131" s="107">
        <v>0</v>
      </c>
      <c r="D131" s="108">
        <v>250000</v>
      </c>
      <c r="F131" s="107">
        <v>0</v>
      </c>
      <c r="G131" s="108">
        <v>250000</v>
      </c>
      <c r="I131" s="64">
        <v>0</v>
      </c>
      <c r="J131" s="83">
        <v>9307.9808333333367</v>
      </c>
      <c r="K131" s="66">
        <v>250000</v>
      </c>
      <c r="L131" s="251">
        <v>250000</v>
      </c>
      <c r="M131" s="63">
        <v>0</v>
      </c>
      <c r="N131" s="64">
        <v>0</v>
      </c>
      <c r="O131" s="65">
        <v>250000</v>
      </c>
      <c r="P131" s="66">
        <v>250000</v>
      </c>
      <c r="Q131" s="66">
        <f t="shared" si="20"/>
        <v>0</v>
      </c>
      <c r="R131" s="63">
        <f t="shared" si="21"/>
        <v>6701.7462000000023</v>
      </c>
      <c r="S131" s="83">
        <f t="shared" si="22"/>
        <v>2606.2346333333344</v>
      </c>
      <c r="T131" s="64">
        <f t="shared" si="23"/>
        <v>0</v>
      </c>
      <c r="U131" s="66">
        <f t="shared" si="24"/>
        <v>250000</v>
      </c>
      <c r="V131" s="63">
        <f t="shared" si="25"/>
        <v>250000</v>
      </c>
      <c r="W131" s="83">
        <f t="shared" si="26"/>
        <v>250000</v>
      </c>
      <c r="X131" s="64">
        <f t="shared" si="27"/>
        <v>250000</v>
      </c>
      <c r="Z131" s="67">
        <v>0</v>
      </c>
      <c r="AA131" s="68">
        <v>9307.9808333333367</v>
      </c>
      <c r="AB131" s="69">
        <v>250000</v>
      </c>
      <c r="AC131" s="70">
        <v>250000</v>
      </c>
      <c r="AD131" s="67">
        <v>0</v>
      </c>
      <c r="AE131" s="68">
        <v>0</v>
      </c>
      <c r="AF131" s="69">
        <v>250000</v>
      </c>
      <c r="AG131" s="70">
        <v>250000</v>
      </c>
      <c r="AH131" s="70">
        <f t="shared" si="28"/>
        <v>0</v>
      </c>
      <c r="AI131" s="70">
        <f t="shared" si="29"/>
        <v>6701.7462000000023</v>
      </c>
      <c r="AJ131" s="70">
        <f t="shared" si="30"/>
        <v>2606.2346333333344</v>
      </c>
      <c r="AK131" s="70">
        <f t="shared" si="31"/>
        <v>0</v>
      </c>
      <c r="AL131" s="70">
        <f t="shared" si="32"/>
        <v>250000</v>
      </c>
      <c r="AM131" s="70">
        <f t="shared" si="33"/>
        <v>250000</v>
      </c>
      <c r="AN131" s="70">
        <f t="shared" si="34"/>
        <v>250000</v>
      </c>
      <c r="AO131" s="70">
        <f t="shared" si="35"/>
        <v>250000</v>
      </c>
    </row>
    <row r="132" spans="1:41">
      <c r="A132" s="29" t="s">
        <v>397</v>
      </c>
      <c r="B132" s="29" t="s">
        <v>729</v>
      </c>
      <c r="C132" s="107">
        <v>0</v>
      </c>
      <c r="D132" s="108">
        <v>988350</v>
      </c>
      <c r="F132" s="107">
        <v>0</v>
      </c>
      <c r="G132" s="108">
        <v>1006141</v>
      </c>
      <c r="I132" s="64">
        <v>0</v>
      </c>
      <c r="J132" s="83">
        <v>0</v>
      </c>
      <c r="K132" s="66">
        <v>1006141</v>
      </c>
      <c r="L132" s="251">
        <v>678615.30839999998</v>
      </c>
      <c r="M132" s="63">
        <v>0</v>
      </c>
      <c r="N132" s="64">
        <v>0</v>
      </c>
      <c r="O132" s="65">
        <v>702123.98789999995</v>
      </c>
      <c r="P132" s="66">
        <v>729946.14769999997</v>
      </c>
      <c r="Q132" s="66">
        <f t="shared" si="20"/>
        <v>0</v>
      </c>
      <c r="R132" s="63">
        <f t="shared" si="21"/>
        <v>0</v>
      </c>
      <c r="S132" s="83">
        <f t="shared" si="22"/>
        <v>0</v>
      </c>
      <c r="T132" s="64">
        <f t="shared" si="23"/>
        <v>0</v>
      </c>
      <c r="U132" s="66">
        <f t="shared" si="24"/>
        <v>997711.62419999996</v>
      </c>
      <c r="V132" s="63">
        <f t="shared" si="25"/>
        <v>833796.98108008003</v>
      </c>
      <c r="W132" s="83">
        <f t="shared" si="26"/>
        <v>690985.57555289986</v>
      </c>
      <c r="X132" s="64">
        <f t="shared" si="27"/>
        <v>716764.00838676002</v>
      </c>
      <c r="Z132" s="67">
        <v>0</v>
      </c>
      <c r="AA132" s="68">
        <v>0</v>
      </c>
      <c r="AB132" s="69">
        <v>1006141</v>
      </c>
      <c r="AC132" s="70">
        <v>690014.80199999991</v>
      </c>
      <c r="AD132" s="67">
        <v>0</v>
      </c>
      <c r="AE132" s="68">
        <v>0</v>
      </c>
      <c r="AF132" s="69">
        <v>702123.98789999995</v>
      </c>
      <c r="AG132" s="70">
        <v>729946.14769999997</v>
      </c>
      <c r="AH132" s="70">
        <f t="shared" si="28"/>
        <v>0</v>
      </c>
      <c r="AI132" s="70">
        <f t="shared" si="29"/>
        <v>0</v>
      </c>
      <c r="AJ132" s="70">
        <f t="shared" si="30"/>
        <v>0</v>
      </c>
      <c r="AK132" s="70">
        <f t="shared" si="31"/>
        <v>0</v>
      </c>
      <c r="AL132" s="70">
        <f t="shared" si="32"/>
        <v>997711.62419999996</v>
      </c>
      <c r="AM132" s="70">
        <f t="shared" si="33"/>
        <v>839795.39461239998</v>
      </c>
      <c r="AN132" s="70">
        <f t="shared" si="34"/>
        <v>696386.65562057984</v>
      </c>
      <c r="AO132" s="70">
        <f t="shared" si="35"/>
        <v>716764.00838676002</v>
      </c>
    </row>
    <row r="133" spans="1:41">
      <c r="A133" s="29" t="s">
        <v>269</v>
      </c>
      <c r="B133" s="29" t="s">
        <v>730</v>
      </c>
      <c r="C133" s="107">
        <v>0</v>
      </c>
      <c r="D133" s="108">
        <v>625881</v>
      </c>
      <c r="F133" s="107">
        <v>0</v>
      </c>
      <c r="G133" s="108">
        <v>647945</v>
      </c>
      <c r="I133" s="64">
        <v>0</v>
      </c>
      <c r="J133" s="83">
        <v>0</v>
      </c>
      <c r="K133" s="66">
        <v>647945</v>
      </c>
      <c r="L133" s="251">
        <v>606936.67440000002</v>
      </c>
      <c r="M133" s="63">
        <v>0</v>
      </c>
      <c r="N133" s="64">
        <v>0</v>
      </c>
      <c r="O133" s="65">
        <v>627970.2426</v>
      </c>
      <c r="P133" s="66">
        <v>652839.37179999996</v>
      </c>
      <c r="Q133" s="66">
        <f t="shared" si="20"/>
        <v>0</v>
      </c>
      <c r="R133" s="63">
        <f t="shared" si="21"/>
        <v>0</v>
      </c>
      <c r="S133" s="83">
        <f t="shared" si="22"/>
        <v>0</v>
      </c>
      <c r="T133" s="64">
        <f t="shared" si="23"/>
        <v>0</v>
      </c>
      <c r="U133" s="66">
        <f t="shared" si="24"/>
        <v>637491.07679999992</v>
      </c>
      <c r="V133" s="63">
        <f t="shared" si="25"/>
        <v>626366.41906928003</v>
      </c>
      <c r="W133" s="83">
        <f t="shared" si="26"/>
        <v>618004.53798684001</v>
      </c>
      <c r="X133" s="64">
        <f t="shared" si="27"/>
        <v>641056.37838503998</v>
      </c>
      <c r="Z133" s="67">
        <v>0</v>
      </c>
      <c r="AA133" s="68">
        <v>0</v>
      </c>
      <c r="AB133" s="69">
        <v>647945</v>
      </c>
      <c r="AC133" s="70">
        <v>698938.64800000004</v>
      </c>
      <c r="AD133" s="67">
        <v>0</v>
      </c>
      <c r="AE133" s="68">
        <v>0</v>
      </c>
      <c r="AF133" s="69">
        <v>627970.2426</v>
      </c>
      <c r="AG133" s="70">
        <v>652839.37179999996</v>
      </c>
      <c r="AH133" s="70">
        <f t="shared" si="28"/>
        <v>0</v>
      </c>
      <c r="AI133" s="70">
        <f t="shared" si="29"/>
        <v>0</v>
      </c>
      <c r="AJ133" s="70">
        <f t="shared" si="30"/>
        <v>0</v>
      </c>
      <c r="AK133" s="70">
        <f t="shared" si="31"/>
        <v>0</v>
      </c>
      <c r="AL133" s="70">
        <f t="shared" si="32"/>
        <v>637491.07679999992</v>
      </c>
      <c r="AM133" s="70">
        <f t="shared" si="33"/>
        <v>674777.85757760005</v>
      </c>
      <c r="AN133" s="70">
        <f t="shared" si="34"/>
        <v>661595.07307852001</v>
      </c>
      <c r="AO133" s="70">
        <f t="shared" si="35"/>
        <v>641056.37838503998</v>
      </c>
    </row>
    <row r="134" spans="1:41">
      <c r="A134" s="29" t="s">
        <v>545</v>
      </c>
      <c r="B134" s="29" t="s">
        <v>731</v>
      </c>
      <c r="C134" s="107">
        <v>854719.14</v>
      </c>
      <c r="D134" s="108">
        <v>6700000</v>
      </c>
      <c r="F134" s="107">
        <v>107581.36</v>
      </c>
      <c r="G134" s="108">
        <v>7200000</v>
      </c>
      <c r="I134" s="64">
        <v>107581.36</v>
      </c>
      <c r="J134" s="83">
        <v>179409.63469999935</v>
      </c>
      <c r="K134" s="66">
        <v>7200000</v>
      </c>
      <c r="L134" s="251">
        <v>7600000</v>
      </c>
      <c r="M134" s="63">
        <v>0</v>
      </c>
      <c r="N134" s="64">
        <v>0</v>
      </c>
      <c r="O134" s="65">
        <v>8000000</v>
      </c>
      <c r="P134" s="66">
        <v>8000000</v>
      </c>
      <c r="Q134" s="66">
        <f t="shared" si="20"/>
        <v>316779.93840000004</v>
      </c>
      <c r="R134" s="63">
        <f t="shared" si="21"/>
        <v>159297.71778399954</v>
      </c>
      <c r="S134" s="83">
        <f t="shared" si="22"/>
        <v>50234.697715999821</v>
      </c>
      <c r="T134" s="64">
        <f t="shared" si="23"/>
        <v>0</v>
      </c>
      <c r="U134" s="66">
        <f t="shared" si="24"/>
        <v>6963100</v>
      </c>
      <c r="V134" s="63">
        <f t="shared" si="25"/>
        <v>7410480</v>
      </c>
      <c r="W134" s="83">
        <f t="shared" si="26"/>
        <v>7810480</v>
      </c>
      <c r="X134" s="64">
        <f t="shared" si="27"/>
        <v>8000000</v>
      </c>
      <c r="Z134" s="67">
        <v>107581.36</v>
      </c>
      <c r="AA134" s="68">
        <v>417023.94799999928</v>
      </c>
      <c r="AB134" s="69">
        <v>7200000</v>
      </c>
      <c r="AC134" s="70">
        <v>7600000</v>
      </c>
      <c r="AD134" s="67">
        <v>0</v>
      </c>
      <c r="AE134" s="68">
        <v>0</v>
      </c>
      <c r="AF134" s="69">
        <v>8000000</v>
      </c>
      <c r="AG134" s="70">
        <v>8000000</v>
      </c>
      <c r="AH134" s="70">
        <f t="shared" si="28"/>
        <v>316779.93840000004</v>
      </c>
      <c r="AI134" s="70">
        <f t="shared" si="29"/>
        <v>330380.02335999947</v>
      </c>
      <c r="AJ134" s="70">
        <f t="shared" si="30"/>
        <v>116766.7054399998</v>
      </c>
      <c r="AK134" s="70">
        <f t="shared" si="31"/>
        <v>0</v>
      </c>
      <c r="AL134" s="70">
        <f t="shared" si="32"/>
        <v>6963100</v>
      </c>
      <c r="AM134" s="70">
        <f t="shared" si="33"/>
        <v>7410480</v>
      </c>
      <c r="AN134" s="70">
        <f t="shared" si="34"/>
        <v>7810480</v>
      </c>
      <c r="AO134" s="70">
        <f t="shared" si="35"/>
        <v>8000000</v>
      </c>
    </row>
    <row r="135" spans="1:41">
      <c r="A135" s="29" t="s">
        <v>591</v>
      </c>
      <c r="B135" s="29" t="s">
        <v>732</v>
      </c>
      <c r="C135" s="107">
        <v>1030604.25</v>
      </c>
      <c r="D135" s="108">
        <v>385000</v>
      </c>
      <c r="F135" s="107">
        <v>1051685.79</v>
      </c>
      <c r="G135" s="108">
        <v>400000</v>
      </c>
      <c r="I135" s="64">
        <v>1051685.79</v>
      </c>
      <c r="J135" s="83">
        <v>1104676.0135999999</v>
      </c>
      <c r="K135" s="66">
        <v>400000</v>
      </c>
      <c r="L135" s="251">
        <v>415000</v>
      </c>
      <c r="M135" s="63">
        <v>1134990.0204</v>
      </c>
      <c r="N135" s="64">
        <v>1075667.1502880002</v>
      </c>
      <c r="O135" s="65">
        <v>430000</v>
      </c>
      <c r="P135" s="66">
        <v>430000</v>
      </c>
      <c r="Q135" s="66">
        <f t="shared" si="20"/>
        <v>1045782.9587999999</v>
      </c>
      <c r="R135" s="63">
        <f t="shared" si="21"/>
        <v>1089838.7509919999</v>
      </c>
      <c r="S135" s="83">
        <f t="shared" si="22"/>
        <v>1126502.098496</v>
      </c>
      <c r="T135" s="64">
        <f t="shared" si="23"/>
        <v>1092277.55391936</v>
      </c>
      <c r="U135" s="66">
        <f t="shared" si="24"/>
        <v>392893</v>
      </c>
      <c r="V135" s="63">
        <f t="shared" si="25"/>
        <v>407893</v>
      </c>
      <c r="W135" s="83">
        <f t="shared" si="26"/>
        <v>422893</v>
      </c>
      <c r="X135" s="64">
        <f t="shared" si="27"/>
        <v>430000</v>
      </c>
      <c r="Z135" s="67">
        <v>1051685.79</v>
      </c>
      <c r="AA135" s="68">
        <v>1113308.7830000001</v>
      </c>
      <c r="AB135" s="69">
        <v>400000</v>
      </c>
      <c r="AC135" s="70">
        <v>415000</v>
      </c>
      <c r="AD135" s="67">
        <v>1134990.0204</v>
      </c>
      <c r="AE135" s="68">
        <v>1075667.1502880002</v>
      </c>
      <c r="AF135" s="69">
        <v>430000</v>
      </c>
      <c r="AG135" s="70">
        <v>430000</v>
      </c>
      <c r="AH135" s="70">
        <f t="shared" si="28"/>
        <v>1045782.9587999999</v>
      </c>
      <c r="AI135" s="70">
        <f t="shared" si="29"/>
        <v>1096054.3449600001</v>
      </c>
      <c r="AJ135" s="70">
        <f t="shared" si="30"/>
        <v>1128919.2739280001</v>
      </c>
      <c r="AK135" s="70">
        <f t="shared" si="31"/>
        <v>1092277.55391936</v>
      </c>
      <c r="AL135" s="70">
        <f t="shared" si="32"/>
        <v>392893</v>
      </c>
      <c r="AM135" s="70">
        <f t="shared" si="33"/>
        <v>407893</v>
      </c>
      <c r="AN135" s="70">
        <f t="shared" si="34"/>
        <v>422893</v>
      </c>
      <c r="AO135" s="70">
        <f t="shared" si="35"/>
        <v>430000</v>
      </c>
    </row>
    <row r="136" spans="1:41">
      <c r="A136" s="29" t="s">
        <v>97</v>
      </c>
      <c r="B136" s="29" t="s">
        <v>733</v>
      </c>
      <c r="C136" s="107">
        <v>33913.93</v>
      </c>
      <c r="D136" s="108">
        <v>175000</v>
      </c>
      <c r="F136" s="107">
        <v>32571.57</v>
      </c>
      <c r="G136" s="108">
        <v>175350.42</v>
      </c>
      <c r="I136" s="64">
        <v>32571.57</v>
      </c>
      <c r="J136" s="83">
        <v>27437.405999999992</v>
      </c>
      <c r="K136" s="66">
        <v>175350.42</v>
      </c>
      <c r="L136" s="251">
        <v>175000</v>
      </c>
      <c r="M136" s="63">
        <v>28928.878499999995</v>
      </c>
      <c r="N136" s="64">
        <v>24440.559000000005</v>
      </c>
      <c r="O136" s="65">
        <v>175000</v>
      </c>
      <c r="P136" s="66">
        <v>175000</v>
      </c>
      <c r="Q136" s="66">
        <f t="shared" si="20"/>
        <v>32947.430800000002</v>
      </c>
      <c r="R136" s="63">
        <f t="shared" si="21"/>
        <v>28874.971919999993</v>
      </c>
      <c r="S136" s="83">
        <f t="shared" si="22"/>
        <v>28511.266199999995</v>
      </c>
      <c r="T136" s="64">
        <f t="shared" si="23"/>
        <v>25697.288460000003</v>
      </c>
      <c r="U136" s="66">
        <f t="shared" si="24"/>
        <v>175184.391004</v>
      </c>
      <c r="V136" s="63">
        <f t="shared" si="25"/>
        <v>175166.02899600001</v>
      </c>
      <c r="W136" s="83">
        <f t="shared" si="26"/>
        <v>175000</v>
      </c>
      <c r="X136" s="64">
        <f t="shared" si="27"/>
        <v>175000</v>
      </c>
      <c r="Z136" s="67">
        <v>32571.57</v>
      </c>
      <c r="AA136" s="68">
        <v>37899.754100000006</v>
      </c>
      <c r="AB136" s="69">
        <v>175350.42</v>
      </c>
      <c r="AC136" s="70">
        <v>175000</v>
      </c>
      <c r="AD136" s="67">
        <v>28928.878499999995</v>
      </c>
      <c r="AE136" s="68">
        <v>24440.559000000005</v>
      </c>
      <c r="AF136" s="69">
        <v>175000</v>
      </c>
      <c r="AG136" s="70">
        <v>175000</v>
      </c>
      <c r="AH136" s="70">
        <f t="shared" si="28"/>
        <v>32947.430800000002</v>
      </c>
      <c r="AI136" s="70">
        <f t="shared" si="29"/>
        <v>36407.862552000006</v>
      </c>
      <c r="AJ136" s="70">
        <f t="shared" si="30"/>
        <v>31440.723667999999</v>
      </c>
      <c r="AK136" s="70">
        <f t="shared" si="31"/>
        <v>25697.288460000003</v>
      </c>
      <c r="AL136" s="70">
        <f t="shared" si="32"/>
        <v>175184.391004</v>
      </c>
      <c r="AM136" s="70">
        <f t="shared" si="33"/>
        <v>175166.02899600001</v>
      </c>
      <c r="AN136" s="70">
        <f t="shared" si="34"/>
        <v>175000</v>
      </c>
      <c r="AO136" s="70">
        <f t="shared" si="35"/>
        <v>175000</v>
      </c>
    </row>
    <row r="137" spans="1:41">
      <c r="A137" s="29" t="s">
        <v>29</v>
      </c>
      <c r="B137" s="29" t="s">
        <v>734</v>
      </c>
      <c r="C137" s="107">
        <v>0</v>
      </c>
      <c r="D137" s="108">
        <v>1536273</v>
      </c>
      <c r="F137" s="107">
        <v>0</v>
      </c>
      <c r="G137" s="108">
        <v>1681182.1</v>
      </c>
      <c r="I137" s="64">
        <v>0</v>
      </c>
      <c r="J137" s="83">
        <v>0</v>
      </c>
      <c r="K137" s="66">
        <v>1681182.1</v>
      </c>
      <c r="L137" s="251">
        <v>1738474</v>
      </c>
      <c r="M137" s="63">
        <v>0</v>
      </c>
      <c r="N137" s="64">
        <v>0</v>
      </c>
      <c r="O137" s="65">
        <v>1738474</v>
      </c>
      <c r="P137" s="66">
        <v>1738474</v>
      </c>
      <c r="Q137" s="66">
        <f t="shared" ref="Q137:Q200" si="36">(0.28*C137)+(0.72*I137)</f>
        <v>0</v>
      </c>
      <c r="R137" s="63">
        <f t="shared" ref="R137:R200" si="37">(0.28*I137)+(0.72*J137)</f>
        <v>0</v>
      </c>
      <c r="S137" s="83">
        <f t="shared" ref="S137:S200" si="38">(0.28*J137)+(0.72*M137)</f>
        <v>0</v>
      </c>
      <c r="T137" s="64">
        <f t="shared" ref="T137:T200" si="39">(0.28*M137)+(0.72*N137)</f>
        <v>0</v>
      </c>
      <c r="U137" s="66">
        <f t="shared" ref="U137:U200" si="40">(0.4738*D137)+(0.5262*G137)</f>
        <v>1612524.16842</v>
      </c>
      <c r="V137" s="63">
        <f t="shared" ref="V137:V200" si="41">(0.4738*G137)+(0.5262*L137)</f>
        <v>1711329.09778</v>
      </c>
      <c r="W137" s="83">
        <f t="shared" ref="W137:W200" si="42">(0.4738*L137)+(0.5262*O137)</f>
        <v>1738474</v>
      </c>
      <c r="X137" s="64">
        <f t="shared" ref="X137:X200" si="43">(0.4738*O137)+(0.5262*P137)</f>
        <v>1738474</v>
      </c>
      <c r="Z137" s="67">
        <v>0</v>
      </c>
      <c r="AA137" s="68">
        <v>0</v>
      </c>
      <c r="AB137" s="69">
        <v>1681182.1</v>
      </c>
      <c r="AC137" s="70">
        <v>1738474</v>
      </c>
      <c r="AD137" s="67">
        <v>0</v>
      </c>
      <c r="AE137" s="68">
        <v>0</v>
      </c>
      <c r="AF137" s="69">
        <v>1738474</v>
      </c>
      <c r="AG137" s="70">
        <v>1738474</v>
      </c>
      <c r="AH137" s="70">
        <f t="shared" ref="AH137:AH200" si="44">(0.28*C137)+(0.72*Z137)</f>
        <v>0</v>
      </c>
      <c r="AI137" s="70">
        <f t="shared" ref="AI137:AI200" si="45">(0.28*Z137)+(0.72*AA137)</f>
        <v>0</v>
      </c>
      <c r="AJ137" s="70">
        <f t="shared" ref="AJ137:AJ200" si="46">(0.28*AA137)+(0.72*AD137)</f>
        <v>0</v>
      </c>
      <c r="AK137" s="70">
        <f t="shared" ref="AK137:AK200" si="47">(0.28*AD137)+(0.72*AE137)</f>
        <v>0</v>
      </c>
      <c r="AL137" s="70">
        <f t="shared" ref="AL137:AL200" si="48">(0.4738*D137)+(0.5262*G137)</f>
        <v>1612524.16842</v>
      </c>
      <c r="AM137" s="70">
        <f t="shared" ref="AM137:AM200" si="49">(0.4738*G137)+(0.5262*AC137)</f>
        <v>1711329.09778</v>
      </c>
      <c r="AN137" s="70">
        <f t="shared" ref="AN137:AN200" si="50">(0.4738*AC137)+(0.5262*AF137)</f>
        <v>1738474</v>
      </c>
      <c r="AO137" s="70">
        <f t="shared" ref="AO137:AO200" si="51">(0.4738*AF137)+(0.5262*AG137)</f>
        <v>1738474</v>
      </c>
    </row>
    <row r="138" spans="1:41">
      <c r="A138" s="29" t="s">
        <v>319</v>
      </c>
      <c r="B138" s="29" t="s">
        <v>735</v>
      </c>
      <c r="C138" s="107">
        <v>2498872.66</v>
      </c>
      <c r="D138" s="108">
        <v>522624</v>
      </c>
      <c r="F138" s="107">
        <v>3122223.14</v>
      </c>
      <c r="G138" s="108">
        <v>609919</v>
      </c>
      <c r="I138" s="64">
        <v>3122223.14</v>
      </c>
      <c r="J138" s="83">
        <v>3340092.2582000005</v>
      </c>
      <c r="K138" s="66">
        <v>609919</v>
      </c>
      <c r="L138" s="251">
        <v>615497.70499999996</v>
      </c>
      <c r="M138" s="63">
        <v>3427486.1192999999</v>
      </c>
      <c r="N138" s="64">
        <v>3539675.5014</v>
      </c>
      <c r="O138" s="65">
        <v>655664</v>
      </c>
      <c r="P138" s="66">
        <v>655664</v>
      </c>
      <c r="Q138" s="66">
        <f t="shared" si="36"/>
        <v>2947685.0056000003</v>
      </c>
      <c r="R138" s="63">
        <f t="shared" si="37"/>
        <v>3279088.9051040001</v>
      </c>
      <c r="S138" s="83">
        <f t="shared" si="38"/>
        <v>3403015.8381920001</v>
      </c>
      <c r="T138" s="64">
        <f t="shared" si="39"/>
        <v>3508262.4744120003</v>
      </c>
      <c r="U138" s="66">
        <f t="shared" si="40"/>
        <v>568558.62899999996</v>
      </c>
      <c r="V138" s="63">
        <f t="shared" si="41"/>
        <v>612854.51457099989</v>
      </c>
      <c r="W138" s="83">
        <f t="shared" si="42"/>
        <v>636633.20942900004</v>
      </c>
      <c r="X138" s="64">
        <f t="shared" si="43"/>
        <v>655664</v>
      </c>
      <c r="Z138" s="67">
        <v>3122223.14</v>
      </c>
      <c r="AA138" s="68">
        <v>3340092.2582000005</v>
      </c>
      <c r="AB138" s="69">
        <v>609919</v>
      </c>
      <c r="AC138" s="70">
        <v>615497.70499999996</v>
      </c>
      <c r="AD138" s="67">
        <v>3427486.1192999999</v>
      </c>
      <c r="AE138" s="68">
        <v>3539675.5014</v>
      </c>
      <c r="AF138" s="69">
        <v>655664</v>
      </c>
      <c r="AG138" s="70">
        <v>655664</v>
      </c>
      <c r="AH138" s="70">
        <f t="shared" si="44"/>
        <v>2947685.0056000003</v>
      </c>
      <c r="AI138" s="70">
        <f t="shared" si="45"/>
        <v>3279088.9051040001</v>
      </c>
      <c r="AJ138" s="70">
        <f t="shared" si="46"/>
        <v>3403015.8381920001</v>
      </c>
      <c r="AK138" s="70">
        <f t="shared" si="47"/>
        <v>3508262.4744120003</v>
      </c>
      <c r="AL138" s="70">
        <f t="shared" si="48"/>
        <v>568558.62899999996</v>
      </c>
      <c r="AM138" s="70">
        <f t="shared" si="49"/>
        <v>612854.51457099989</v>
      </c>
      <c r="AN138" s="70">
        <f t="shared" si="50"/>
        <v>636633.20942900004</v>
      </c>
      <c r="AO138" s="70">
        <f t="shared" si="51"/>
        <v>655664</v>
      </c>
    </row>
    <row r="139" spans="1:41">
      <c r="A139" s="29" t="s">
        <v>501</v>
      </c>
      <c r="B139" s="29" t="s">
        <v>736</v>
      </c>
      <c r="C139" s="107">
        <v>315313.99</v>
      </c>
      <c r="D139" s="108">
        <v>287000</v>
      </c>
      <c r="F139" s="107">
        <v>318095.2</v>
      </c>
      <c r="G139" s="108">
        <v>342273</v>
      </c>
      <c r="I139" s="64">
        <v>318095.2</v>
      </c>
      <c r="J139" s="83">
        <v>318398.821</v>
      </c>
      <c r="K139" s="66">
        <v>342273</v>
      </c>
      <c r="L139" s="251">
        <v>350830</v>
      </c>
      <c r="M139" s="63">
        <v>307669.726196</v>
      </c>
      <c r="N139" s="64">
        <v>335613.64985999995</v>
      </c>
      <c r="O139" s="65">
        <v>359601</v>
      </c>
      <c r="P139" s="66">
        <v>368591</v>
      </c>
      <c r="Q139" s="66">
        <f t="shared" si="36"/>
        <v>317316.46120000002</v>
      </c>
      <c r="R139" s="63">
        <f t="shared" si="37"/>
        <v>318313.80712000001</v>
      </c>
      <c r="S139" s="83">
        <f t="shared" si="38"/>
        <v>310673.87274111999</v>
      </c>
      <c r="T139" s="64">
        <f t="shared" si="39"/>
        <v>327789.35123407992</v>
      </c>
      <c r="U139" s="66">
        <f t="shared" si="40"/>
        <v>316084.65260000003</v>
      </c>
      <c r="V139" s="63">
        <f t="shared" si="41"/>
        <v>346775.69339999999</v>
      </c>
      <c r="W139" s="83">
        <f t="shared" si="42"/>
        <v>355445.3002</v>
      </c>
      <c r="X139" s="64">
        <f t="shared" si="43"/>
        <v>364331.538</v>
      </c>
      <c r="Z139" s="67">
        <v>318095.2</v>
      </c>
      <c r="AA139" s="68">
        <v>378406.1602959999</v>
      </c>
      <c r="AB139" s="69">
        <v>342273</v>
      </c>
      <c r="AC139" s="70">
        <v>350830</v>
      </c>
      <c r="AD139" s="67">
        <v>307669.726196</v>
      </c>
      <c r="AE139" s="68">
        <v>335613.64985999995</v>
      </c>
      <c r="AF139" s="69">
        <v>359601</v>
      </c>
      <c r="AG139" s="70">
        <v>368591</v>
      </c>
      <c r="AH139" s="70">
        <f t="shared" si="44"/>
        <v>317316.46120000002</v>
      </c>
      <c r="AI139" s="70">
        <f t="shared" si="45"/>
        <v>361519.09141311992</v>
      </c>
      <c r="AJ139" s="70">
        <f t="shared" si="46"/>
        <v>327475.92774399999</v>
      </c>
      <c r="AK139" s="70">
        <f t="shared" si="47"/>
        <v>327789.35123407992</v>
      </c>
      <c r="AL139" s="70">
        <f t="shared" si="48"/>
        <v>316084.65260000003</v>
      </c>
      <c r="AM139" s="70">
        <f t="shared" si="49"/>
        <v>346775.69339999999</v>
      </c>
      <c r="AN139" s="70">
        <f t="shared" si="50"/>
        <v>355445.3002</v>
      </c>
      <c r="AO139" s="70">
        <f t="shared" si="51"/>
        <v>364331.538</v>
      </c>
    </row>
    <row r="140" spans="1:41">
      <c r="A140" s="29" t="s">
        <v>433</v>
      </c>
      <c r="B140" s="29" t="s">
        <v>737</v>
      </c>
      <c r="C140" s="107">
        <v>1546373.51</v>
      </c>
      <c r="D140" s="108">
        <v>26500000</v>
      </c>
      <c r="F140" s="107">
        <v>0</v>
      </c>
      <c r="G140" s="108">
        <v>26500000</v>
      </c>
      <c r="I140" s="64">
        <v>0</v>
      </c>
      <c r="J140" s="83">
        <v>646347.72060000058</v>
      </c>
      <c r="K140" s="66">
        <v>26500000</v>
      </c>
      <c r="L140" s="251">
        <v>26500000</v>
      </c>
      <c r="M140" s="63">
        <v>489768.95279999683</v>
      </c>
      <c r="N140" s="64">
        <v>347705.89650000003</v>
      </c>
      <c r="O140" s="65">
        <v>26500000</v>
      </c>
      <c r="P140" s="66">
        <v>26500000</v>
      </c>
      <c r="Q140" s="66">
        <f t="shared" si="36"/>
        <v>432984.58280000003</v>
      </c>
      <c r="R140" s="63">
        <f t="shared" si="37"/>
        <v>465370.35883200041</v>
      </c>
      <c r="S140" s="83">
        <f t="shared" si="38"/>
        <v>533611.0077839978</v>
      </c>
      <c r="T140" s="64">
        <f t="shared" si="39"/>
        <v>387483.55226399912</v>
      </c>
      <c r="U140" s="66">
        <f t="shared" si="40"/>
        <v>26500000</v>
      </c>
      <c r="V140" s="63">
        <f t="shared" si="41"/>
        <v>26500000</v>
      </c>
      <c r="W140" s="83">
        <f t="shared" si="42"/>
        <v>26500000</v>
      </c>
      <c r="X140" s="64">
        <f t="shared" si="43"/>
        <v>26500000</v>
      </c>
      <c r="Z140" s="67">
        <v>0</v>
      </c>
      <c r="AA140" s="68">
        <v>1312687.3883000009</v>
      </c>
      <c r="AB140" s="69">
        <v>26500000</v>
      </c>
      <c r="AC140" s="70">
        <v>26500000</v>
      </c>
      <c r="AD140" s="67">
        <v>489768.95279999683</v>
      </c>
      <c r="AE140" s="68">
        <v>347705.89650000003</v>
      </c>
      <c r="AF140" s="69">
        <v>26500000</v>
      </c>
      <c r="AG140" s="70">
        <v>26500000</v>
      </c>
      <c r="AH140" s="70">
        <f t="shared" si="44"/>
        <v>432984.58280000003</v>
      </c>
      <c r="AI140" s="70">
        <f t="shared" si="45"/>
        <v>945134.91957600066</v>
      </c>
      <c r="AJ140" s="70">
        <f t="shared" si="46"/>
        <v>720186.11473999801</v>
      </c>
      <c r="AK140" s="70">
        <f t="shared" si="47"/>
        <v>387483.55226399912</v>
      </c>
      <c r="AL140" s="70">
        <f t="shared" si="48"/>
        <v>26500000</v>
      </c>
      <c r="AM140" s="70">
        <f t="shared" si="49"/>
        <v>26500000</v>
      </c>
      <c r="AN140" s="70">
        <f t="shared" si="50"/>
        <v>26500000</v>
      </c>
      <c r="AO140" s="70">
        <f t="shared" si="51"/>
        <v>26500000</v>
      </c>
    </row>
    <row r="141" spans="1:41">
      <c r="A141" s="29" t="s">
        <v>147</v>
      </c>
      <c r="B141" s="29" t="s">
        <v>930</v>
      </c>
      <c r="C141" s="107">
        <v>210566.98</v>
      </c>
      <c r="D141" s="108">
        <v>815591</v>
      </c>
      <c r="F141" s="107">
        <v>119774.21</v>
      </c>
      <c r="G141" s="108">
        <v>937930</v>
      </c>
      <c r="I141" s="64">
        <v>119774.21</v>
      </c>
      <c r="J141" s="83">
        <v>359749.44869999995</v>
      </c>
      <c r="K141" s="66">
        <v>937930</v>
      </c>
      <c r="L141" s="251">
        <v>937930</v>
      </c>
      <c r="M141" s="63">
        <v>332657.41199999989</v>
      </c>
      <c r="N141" s="64">
        <v>290796.61200000002</v>
      </c>
      <c r="O141" s="65">
        <v>937930</v>
      </c>
      <c r="P141" s="66">
        <v>937930</v>
      </c>
      <c r="Q141" s="66">
        <f t="shared" si="36"/>
        <v>145196.18560000003</v>
      </c>
      <c r="R141" s="63">
        <f t="shared" si="37"/>
        <v>292556.381864</v>
      </c>
      <c r="S141" s="83">
        <f t="shared" si="38"/>
        <v>340243.18227599992</v>
      </c>
      <c r="T141" s="64">
        <f t="shared" si="39"/>
        <v>302517.636</v>
      </c>
      <c r="U141" s="66">
        <f t="shared" si="40"/>
        <v>879965.7818</v>
      </c>
      <c r="V141" s="63">
        <f t="shared" si="41"/>
        <v>937930</v>
      </c>
      <c r="W141" s="83">
        <f t="shared" si="42"/>
        <v>937930</v>
      </c>
      <c r="X141" s="64">
        <f t="shared" si="43"/>
        <v>937930</v>
      </c>
      <c r="Z141" s="67">
        <v>119774.21</v>
      </c>
      <c r="AA141" s="68">
        <v>359749.44869999995</v>
      </c>
      <c r="AB141" s="69">
        <v>937930</v>
      </c>
      <c r="AC141" s="70">
        <v>937930</v>
      </c>
      <c r="AD141" s="67">
        <v>332657.41199999989</v>
      </c>
      <c r="AE141" s="68">
        <v>290796.61200000002</v>
      </c>
      <c r="AF141" s="69">
        <v>937930</v>
      </c>
      <c r="AG141" s="70">
        <v>937930</v>
      </c>
      <c r="AH141" s="70">
        <f t="shared" si="44"/>
        <v>145196.18560000003</v>
      </c>
      <c r="AI141" s="70">
        <f t="shared" si="45"/>
        <v>292556.381864</v>
      </c>
      <c r="AJ141" s="70">
        <f t="shared" si="46"/>
        <v>340243.18227599992</v>
      </c>
      <c r="AK141" s="70">
        <f t="shared" si="47"/>
        <v>302517.636</v>
      </c>
      <c r="AL141" s="70">
        <f t="shared" si="48"/>
        <v>879965.7818</v>
      </c>
      <c r="AM141" s="70">
        <f t="shared" si="49"/>
        <v>937930</v>
      </c>
      <c r="AN141" s="70">
        <f t="shared" si="50"/>
        <v>937930</v>
      </c>
      <c r="AO141" s="70">
        <f t="shared" si="51"/>
        <v>937930</v>
      </c>
    </row>
    <row r="142" spans="1:41">
      <c r="A142" s="29" t="s">
        <v>461</v>
      </c>
      <c r="B142" s="29" t="s">
        <v>738</v>
      </c>
      <c r="C142" s="107">
        <v>5302252.4800000004</v>
      </c>
      <c r="D142" s="108">
        <v>10500000</v>
      </c>
      <c r="F142" s="107">
        <v>4442282.1500000004</v>
      </c>
      <c r="G142" s="108">
        <v>16450000</v>
      </c>
      <c r="I142" s="64">
        <v>4442282.1500000004</v>
      </c>
      <c r="J142" s="83">
        <v>4399077.7569999984</v>
      </c>
      <c r="K142" s="66">
        <v>16450000</v>
      </c>
      <c r="L142" s="251">
        <v>17750000</v>
      </c>
      <c r="M142" s="63">
        <v>4285812.4320000019</v>
      </c>
      <c r="N142" s="64">
        <v>4173649.3305000002</v>
      </c>
      <c r="O142" s="65">
        <v>19000000</v>
      </c>
      <c r="P142" s="66">
        <v>19000000</v>
      </c>
      <c r="Q142" s="66">
        <f t="shared" si="36"/>
        <v>4683073.8424000004</v>
      </c>
      <c r="R142" s="63">
        <f t="shared" si="37"/>
        <v>4411174.9870399991</v>
      </c>
      <c r="S142" s="83">
        <f t="shared" si="38"/>
        <v>4317526.7230000012</v>
      </c>
      <c r="T142" s="64">
        <f t="shared" si="39"/>
        <v>4205054.9989200002</v>
      </c>
      <c r="U142" s="66">
        <f t="shared" si="40"/>
        <v>13630890</v>
      </c>
      <c r="V142" s="63">
        <f t="shared" si="41"/>
        <v>17134060</v>
      </c>
      <c r="W142" s="83">
        <f t="shared" si="42"/>
        <v>18407750</v>
      </c>
      <c r="X142" s="64">
        <f t="shared" si="43"/>
        <v>19000000</v>
      </c>
      <c r="Z142" s="67">
        <v>4442282.1500000004</v>
      </c>
      <c r="AA142" s="68">
        <v>5021756.2164999982</v>
      </c>
      <c r="AB142" s="69">
        <v>16450000</v>
      </c>
      <c r="AC142" s="70">
        <v>17750000</v>
      </c>
      <c r="AD142" s="67">
        <v>4285812.4320000019</v>
      </c>
      <c r="AE142" s="68">
        <v>4173649.3305000002</v>
      </c>
      <c r="AF142" s="69">
        <v>19000000</v>
      </c>
      <c r="AG142" s="70">
        <v>19000000</v>
      </c>
      <c r="AH142" s="70">
        <f t="shared" si="44"/>
        <v>4683073.8424000004</v>
      </c>
      <c r="AI142" s="70">
        <f t="shared" si="45"/>
        <v>4859503.4778799992</v>
      </c>
      <c r="AJ142" s="70">
        <f t="shared" si="46"/>
        <v>4491876.6916600009</v>
      </c>
      <c r="AK142" s="70">
        <f t="shared" si="47"/>
        <v>4205054.9989200002</v>
      </c>
      <c r="AL142" s="70">
        <f t="shared" si="48"/>
        <v>13630890</v>
      </c>
      <c r="AM142" s="70">
        <f t="shared" si="49"/>
        <v>17134060</v>
      </c>
      <c r="AN142" s="70">
        <f t="shared" si="50"/>
        <v>18407750</v>
      </c>
      <c r="AO142" s="70">
        <f t="shared" si="51"/>
        <v>19000000</v>
      </c>
    </row>
    <row r="143" spans="1:41">
      <c r="A143" s="29" t="s">
        <v>459</v>
      </c>
      <c r="B143" s="29" t="s">
        <v>739</v>
      </c>
      <c r="C143" s="107">
        <v>1470788.76</v>
      </c>
      <c r="D143" s="108">
        <v>1097573</v>
      </c>
      <c r="F143" s="107">
        <v>1522124.31</v>
      </c>
      <c r="G143" s="108">
        <v>1385117</v>
      </c>
      <c r="I143" s="64">
        <v>1522124.31</v>
      </c>
      <c r="J143" s="83">
        <v>1580519.1614000001</v>
      </c>
      <c r="K143" s="66">
        <v>1385117</v>
      </c>
      <c r="L143" s="251">
        <v>1523629</v>
      </c>
      <c r="M143" s="63">
        <v>1609633.6926</v>
      </c>
      <c r="N143" s="64">
        <v>1572520.8314339998</v>
      </c>
      <c r="O143" s="65">
        <v>1675992</v>
      </c>
      <c r="P143" s="66">
        <v>1675992</v>
      </c>
      <c r="Q143" s="66">
        <f t="shared" si="36"/>
        <v>1507750.3559999999</v>
      </c>
      <c r="R143" s="63">
        <f t="shared" si="37"/>
        <v>1564168.6030080002</v>
      </c>
      <c r="S143" s="83">
        <f t="shared" si="38"/>
        <v>1601481.623864</v>
      </c>
      <c r="T143" s="64">
        <f t="shared" si="39"/>
        <v>1582912.43256048</v>
      </c>
      <c r="U143" s="66">
        <f t="shared" si="40"/>
        <v>1248878.6528</v>
      </c>
      <c r="V143" s="63">
        <f t="shared" si="41"/>
        <v>1458002.0144</v>
      </c>
      <c r="W143" s="83">
        <f t="shared" si="42"/>
        <v>1603802.4106000001</v>
      </c>
      <c r="X143" s="64">
        <f t="shared" si="43"/>
        <v>1675992</v>
      </c>
      <c r="Z143" s="67">
        <v>1522124.31</v>
      </c>
      <c r="AA143" s="68">
        <v>1745500.9766000004</v>
      </c>
      <c r="AB143" s="69">
        <v>1385117</v>
      </c>
      <c r="AC143" s="70">
        <v>1523629</v>
      </c>
      <c r="AD143" s="67">
        <v>1609633.6926</v>
      </c>
      <c r="AE143" s="68">
        <v>1572520.8314339998</v>
      </c>
      <c r="AF143" s="69">
        <v>1675992</v>
      </c>
      <c r="AG143" s="70">
        <v>1675992</v>
      </c>
      <c r="AH143" s="70">
        <f t="shared" si="44"/>
        <v>1507750.3559999999</v>
      </c>
      <c r="AI143" s="70">
        <f t="shared" si="45"/>
        <v>1682955.5099520003</v>
      </c>
      <c r="AJ143" s="70">
        <f t="shared" si="46"/>
        <v>1647676.5321200001</v>
      </c>
      <c r="AK143" s="70">
        <f t="shared" si="47"/>
        <v>1582912.43256048</v>
      </c>
      <c r="AL143" s="70">
        <f t="shared" si="48"/>
        <v>1248878.6528</v>
      </c>
      <c r="AM143" s="70">
        <f t="shared" si="49"/>
        <v>1458002.0144</v>
      </c>
      <c r="AN143" s="70">
        <f t="shared" si="50"/>
        <v>1603802.4106000001</v>
      </c>
      <c r="AO143" s="70">
        <f t="shared" si="51"/>
        <v>1675992</v>
      </c>
    </row>
    <row r="144" spans="1:41">
      <c r="A144" s="29" t="s">
        <v>189</v>
      </c>
      <c r="B144" s="29" t="s">
        <v>740</v>
      </c>
      <c r="C144" s="107">
        <v>0</v>
      </c>
      <c r="D144" s="108">
        <v>11358411</v>
      </c>
      <c r="F144" s="107">
        <v>0</v>
      </c>
      <c r="G144" s="108">
        <v>11493460</v>
      </c>
      <c r="I144" s="64">
        <v>0</v>
      </c>
      <c r="J144" s="83">
        <v>0</v>
      </c>
      <c r="K144" s="66">
        <v>11493460</v>
      </c>
      <c r="L144" s="251">
        <v>11848909.999199999</v>
      </c>
      <c r="M144" s="63">
        <v>0</v>
      </c>
      <c r="N144" s="64">
        <v>0</v>
      </c>
      <c r="O144" s="65">
        <v>12259556.849800002</v>
      </c>
      <c r="P144" s="66">
        <v>12745236.411599999</v>
      </c>
      <c r="Q144" s="66">
        <f t="shared" si="36"/>
        <v>0</v>
      </c>
      <c r="R144" s="63">
        <f t="shared" si="37"/>
        <v>0</v>
      </c>
      <c r="S144" s="83">
        <f t="shared" si="38"/>
        <v>0</v>
      </c>
      <c r="T144" s="64">
        <f t="shared" si="39"/>
        <v>0</v>
      </c>
      <c r="U144" s="66">
        <f t="shared" si="40"/>
        <v>11429473.783799998</v>
      </c>
      <c r="V144" s="63">
        <f t="shared" si="41"/>
        <v>11680497.789579041</v>
      </c>
      <c r="W144" s="83">
        <f t="shared" si="42"/>
        <v>12064992.37198572</v>
      </c>
      <c r="X144" s="64">
        <f t="shared" si="43"/>
        <v>12515121.435219161</v>
      </c>
      <c r="Z144" s="67">
        <v>0</v>
      </c>
      <c r="AA144" s="68">
        <v>0</v>
      </c>
      <c r="AB144" s="69">
        <v>11493460</v>
      </c>
      <c r="AC144" s="70">
        <v>12545660.865599999</v>
      </c>
      <c r="AD144" s="67">
        <v>0</v>
      </c>
      <c r="AE144" s="68">
        <v>0</v>
      </c>
      <c r="AF144" s="69">
        <v>12259556.849800002</v>
      </c>
      <c r="AG144" s="70">
        <v>12745236.411599999</v>
      </c>
      <c r="AH144" s="70">
        <f t="shared" si="44"/>
        <v>0</v>
      </c>
      <c r="AI144" s="70">
        <f t="shared" si="45"/>
        <v>0</v>
      </c>
      <c r="AJ144" s="70">
        <f t="shared" si="46"/>
        <v>0</v>
      </c>
      <c r="AK144" s="70">
        <f t="shared" si="47"/>
        <v>0</v>
      </c>
      <c r="AL144" s="70">
        <f t="shared" si="48"/>
        <v>11429473.783799998</v>
      </c>
      <c r="AM144" s="70">
        <f t="shared" si="49"/>
        <v>12047128.095478721</v>
      </c>
      <c r="AN144" s="70">
        <f t="shared" si="50"/>
        <v>12395112.932486041</v>
      </c>
      <c r="AO144" s="70">
        <f t="shared" si="51"/>
        <v>12515121.435219161</v>
      </c>
    </row>
    <row r="145" spans="1:41">
      <c r="A145" s="29" t="s">
        <v>547</v>
      </c>
      <c r="B145" s="29" t="s">
        <v>741</v>
      </c>
      <c r="C145" s="107">
        <v>490226.51</v>
      </c>
      <c r="D145" s="108">
        <v>4027516</v>
      </c>
      <c r="F145" s="107">
        <v>277935.71000000002</v>
      </c>
      <c r="G145" s="108">
        <v>4269167</v>
      </c>
      <c r="I145" s="64">
        <v>277935.71000000002</v>
      </c>
      <c r="J145" s="83">
        <v>427812.75750000012</v>
      </c>
      <c r="K145" s="66">
        <v>4269167</v>
      </c>
      <c r="L145" s="251">
        <v>4525317</v>
      </c>
      <c r="M145" s="63">
        <v>188652.8229</v>
      </c>
      <c r="N145" s="64">
        <v>0</v>
      </c>
      <c r="O145" s="65">
        <v>4796836</v>
      </c>
      <c r="P145" s="66">
        <v>4796836</v>
      </c>
      <c r="Q145" s="66">
        <f t="shared" si="36"/>
        <v>337377.13400000008</v>
      </c>
      <c r="R145" s="63">
        <f t="shared" si="37"/>
        <v>385847.18420000008</v>
      </c>
      <c r="S145" s="83">
        <f t="shared" si="38"/>
        <v>255617.60458800005</v>
      </c>
      <c r="T145" s="64">
        <f t="shared" si="39"/>
        <v>52822.790412000002</v>
      </c>
      <c r="U145" s="66">
        <f t="shared" si="40"/>
        <v>4154672.7561999997</v>
      </c>
      <c r="V145" s="63">
        <f t="shared" si="41"/>
        <v>4403953.13</v>
      </c>
      <c r="W145" s="83">
        <f t="shared" si="42"/>
        <v>4668190.2977999998</v>
      </c>
      <c r="X145" s="64">
        <f t="shared" si="43"/>
        <v>4796836</v>
      </c>
      <c r="Z145" s="67">
        <v>277935.71000000002</v>
      </c>
      <c r="AA145" s="68">
        <v>427812.75750000012</v>
      </c>
      <c r="AB145" s="69">
        <v>4269167</v>
      </c>
      <c r="AC145" s="70">
        <v>4525317</v>
      </c>
      <c r="AD145" s="67">
        <v>188652.8229</v>
      </c>
      <c r="AE145" s="68">
        <v>0</v>
      </c>
      <c r="AF145" s="69">
        <v>4796836</v>
      </c>
      <c r="AG145" s="70">
        <v>4796836</v>
      </c>
      <c r="AH145" s="70">
        <f t="shared" si="44"/>
        <v>337377.13400000008</v>
      </c>
      <c r="AI145" s="70">
        <f t="shared" si="45"/>
        <v>385847.18420000008</v>
      </c>
      <c r="AJ145" s="70">
        <f t="shared" si="46"/>
        <v>255617.60458800005</v>
      </c>
      <c r="AK145" s="70">
        <f t="shared" si="47"/>
        <v>52822.790412000002</v>
      </c>
      <c r="AL145" s="70">
        <f t="shared" si="48"/>
        <v>4154672.7561999997</v>
      </c>
      <c r="AM145" s="70">
        <f t="shared" si="49"/>
        <v>4403953.13</v>
      </c>
      <c r="AN145" s="70">
        <f t="shared" si="50"/>
        <v>4668190.2977999998</v>
      </c>
      <c r="AO145" s="70">
        <f t="shared" si="51"/>
        <v>4796836</v>
      </c>
    </row>
    <row r="146" spans="1:41">
      <c r="A146" s="29" t="s">
        <v>337</v>
      </c>
      <c r="B146" s="29" t="s">
        <v>742</v>
      </c>
      <c r="C146" s="107">
        <v>0</v>
      </c>
      <c r="D146" s="108">
        <v>2000000</v>
      </c>
      <c r="F146" s="107">
        <v>0</v>
      </c>
      <c r="G146" s="108">
        <v>2050000</v>
      </c>
      <c r="I146" s="64">
        <v>0</v>
      </c>
      <c r="J146" s="83">
        <v>0</v>
      </c>
      <c r="K146" s="66">
        <v>2050000</v>
      </c>
      <c r="L146" s="251">
        <v>1977466.7004</v>
      </c>
      <c r="M146" s="63">
        <v>0</v>
      </c>
      <c r="N146" s="64">
        <v>0</v>
      </c>
      <c r="O146" s="65">
        <v>2045973.2532000002</v>
      </c>
      <c r="P146" s="66">
        <v>2127029.6124</v>
      </c>
      <c r="Q146" s="66">
        <f t="shared" si="36"/>
        <v>0</v>
      </c>
      <c r="R146" s="63">
        <f t="shared" si="37"/>
        <v>0</v>
      </c>
      <c r="S146" s="83">
        <f t="shared" si="38"/>
        <v>0</v>
      </c>
      <c r="T146" s="64">
        <f t="shared" si="39"/>
        <v>0</v>
      </c>
      <c r="U146" s="66">
        <f t="shared" si="40"/>
        <v>2026310</v>
      </c>
      <c r="V146" s="63">
        <f t="shared" si="41"/>
        <v>2011832.9777504799</v>
      </c>
      <c r="W146" s="83">
        <f t="shared" si="42"/>
        <v>2013514.8484833601</v>
      </c>
      <c r="X146" s="64">
        <f t="shared" si="43"/>
        <v>2088625.1094110401</v>
      </c>
      <c r="Z146" s="67">
        <v>0</v>
      </c>
      <c r="AA146" s="68">
        <v>0</v>
      </c>
      <c r="AB146" s="69">
        <v>2050000</v>
      </c>
      <c r="AC146" s="70">
        <v>2002280.7495999997</v>
      </c>
      <c r="AD146" s="67">
        <v>0</v>
      </c>
      <c r="AE146" s="68">
        <v>0</v>
      </c>
      <c r="AF146" s="69">
        <v>2045973.2532000002</v>
      </c>
      <c r="AG146" s="70">
        <v>2127029.6124</v>
      </c>
      <c r="AH146" s="70">
        <f t="shared" si="44"/>
        <v>0</v>
      </c>
      <c r="AI146" s="70">
        <f t="shared" si="45"/>
        <v>0</v>
      </c>
      <c r="AJ146" s="70">
        <f t="shared" si="46"/>
        <v>0</v>
      </c>
      <c r="AK146" s="70">
        <f t="shared" si="47"/>
        <v>0</v>
      </c>
      <c r="AL146" s="70">
        <f t="shared" si="48"/>
        <v>2026310</v>
      </c>
      <c r="AM146" s="70">
        <f t="shared" si="49"/>
        <v>2024890.1304395199</v>
      </c>
      <c r="AN146" s="70">
        <f t="shared" si="50"/>
        <v>2025271.74499432</v>
      </c>
      <c r="AO146" s="70">
        <f t="shared" si="51"/>
        <v>2088625.1094110401</v>
      </c>
    </row>
    <row r="147" spans="1:41">
      <c r="A147" s="29" t="s">
        <v>419</v>
      </c>
      <c r="B147" s="29" t="s">
        <v>743</v>
      </c>
      <c r="C147" s="107">
        <v>0</v>
      </c>
      <c r="D147" s="108">
        <v>0</v>
      </c>
      <c r="F147" s="107">
        <v>0</v>
      </c>
      <c r="G147" s="108">
        <v>0</v>
      </c>
      <c r="I147" s="64">
        <v>0</v>
      </c>
      <c r="J147" s="83">
        <v>0</v>
      </c>
      <c r="K147" s="66">
        <v>0</v>
      </c>
      <c r="L147" s="251">
        <v>0</v>
      </c>
      <c r="M147" s="63">
        <v>0</v>
      </c>
      <c r="N147" s="64">
        <v>0</v>
      </c>
      <c r="O147" s="65">
        <v>0</v>
      </c>
      <c r="P147" s="66">
        <v>0</v>
      </c>
      <c r="Q147" s="66">
        <f t="shared" si="36"/>
        <v>0</v>
      </c>
      <c r="R147" s="63">
        <f t="shared" si="37"/>
        <v>0</v>
      </c>
      <c r="S147" s="83">
        <f t="shared" si="38"/>
        <v>0</v>
      </c>
      <c r="T147" s="64">
        <f t="shared" si="39"/>
        <v>0</v>
      </c>
      <c r="U147" s="66">
        <f t="shared" si="40"/>
        <v>0</v>
      </c>
      <c r="V147" s="63">
        <f t="shared" si="41"/>
        <v>0</v>
      </c>
      <c r="W147" s="83">
        <f t="shared" si="42"/>
        <v>0</v>
      </c>
      <c r="X147" s="64">
        <f t="shared" si="43"/>
        <v>0</v>
      </c>
      <c r="Z147" s="67">
        <v>0</v>
      </c>
      <c r="AA147" s="68">
        <v>0</v>
      </c>
      <c r="AB147" s="69">
        <v>0</v>
      </c>
      <c r="AC147" s="70">
        <v>0</v>
      </c>
      <c r="AD147" s="67">
        <v>0</v>
      </c>
      <c r="AE147" s="68">
        <v>0</v>
      </c>
      <c r="AF147" s="69">
        <v>0</v>
      </c>
      <c r="AG147" s="70">
        <v>0</v>
      </c>
      <c r="AH147" s="70">
        <f t="shared" si="44"/>
        <v>0</v>
      </c>
      <c r="AI147" s="70">
        <f t="shared" si="45"/>
        <v>0</v>
      </c>
      <c r="AJ147" s="70">
        <f t="shared" si="46"/>
        <v>0</v>
      </c>
      <c r="AK147" s="70">
        <f t="shared" si="47"/>
        <v>0</v>
      </c>
      <c r="AL147" s="70">
        <f t="shared" si="48"/>
        <v>0</v>
      </c>
      <c r="AM147" s="70">
        <f t="shared" si="49"/>
        <v>0</v>
      </c>
      <c r="AN147" s="70">
        <f t="shared" si="50"/>
        <v>0</v>
      </c>
      <c r="AO147" s="70">
        <f t="shared" si="51"/>
        <v>0</v>
      </c>
    </row>
    <row r="148" spans="1:41">
      <c r="A148" s="29" t="s">
        <v>437</v>
      </c>
      <c r="B148" s="29" t="s">
        <v>744</v>
      </c>
      <c r="C148" s="107">
        <v>0</v>
      </c>
      <c r="D148" s="108">
        <v>13687957</v>
      </c>
      <c r="F148" s="107">
        <v>0</v>
      </c>
      <c r="G148" s="108">
        <v>15741150</v>
      </c>
      <c r="I148" s="64">
        <v>0</v>
      </c>
      <c r="J148" s="83">
        <v>0</v>
      </c>
      <c r="K148" s="66">
        <v>15741150</v>
      </c>
      <c r="L148" s="251">
        <v>15741150</v>
      </c>
      <c r="M148" s="63">
        <v>0</v>
      </c>
      <c r="N148" s="64">
        <v>0</v>
      </c>
      <c r="O148" s="65">
        <v>15741150</v>
      </c>
      <c r="P148" s="66">
        <v>15741150</v>
      </c>
      <c r="Q148" s="66">
        <f t="shared" si="36"/>
        <v>0</v>
      </c>
      <c r="R148" s="63">
        <f t="shared" si="37"/>
        <v>0</v>
      </c>
      <c r="S148" s="83">
        <f t="shared" si="38"/>
        <v>0</v>
      </c>
      <c r="T148" s="64">
        <f t="shared" si="39"/>
        <v>0</v>
      </c>
      <c r="U148" s="66">
        <f t="shared" si="40"/>
        <v>14768347.1566</v>
      </c>
      <c r="V148" s="63">
        <f t="shared" si="41"/>
        <v>15741150</v>
      </c>
      <c r="W148" s="83">
        <f t="shared" si="42"/>
        <v>15741150</v>
      </c>
      <c r="X148" s="64">
        <f t="shared" si="43"/>
        <v>15741150</v>
      </c>
      <c r="Z148" s="67">
        <v>0</v>
      </c>
      <c r="AA148" s="68">
        <v>0</v>
      </c>
      <c r="AB148" s="69">
        <v>15741150</v>
      </c>
      <c r="AC148" s="70">
        <v>15741150</v>
      </c>
      <c r="AD148" s="67">
        <v>0</v>
      </c>
      <c r="AE148" s="68">
        <v>0</v>
      </c>
      <c r="AF148" s="69">
        <v>15741150</v>
      </c>
      <c r="AG148" s="70">
        <v>15741150</v>
      </c>
      <c r="AH148" s="70">
        <f t="shared" si="44"/>
        <v>0</v>
      </c>
      <c r="AI148" s="70">
        <f t="shared" si="45"/>
        <v>0</v>
      </c>
      <c r="AJ148" s="70">
        <f t="shared" si="46"/>
        <v>0</v>
      </c>
      <c r="AK148" s="70">
        <f t="shared" si="47"/>
        <v>0</v>
      </c>
      <c r="AL148" s="70">
        <f t="shared" si="48"/>
        <v>14768347.1566</v>
      </c>
      <c r="AM148" s="70">
        <f t="shared" si="49"/>
        <v>15741150</v>
      </c>
      <c r="AN148" s="70">
        <f t="shared" si="50"/>
        <v>15741150</v>
      </c>
      <c r="AO148" s="70">
        <f t="shared" si="51"/>
        <v>15741150</v>
      </c>
    </row>
    <row r="149" spans="1:41">
      <c r="A149" s="29" t="s">
        <v>149</v>
      </c>
      <c r="B149" s="29" t="s">
        <v>745</v>
      </c>
      <c r="C149" s="107">
        <v>987690.38</v>
      </c>
      <c r="D149" s="108">
        <v>2125182</v>
      </c>
      <c r="F149" s="107">
        <v>784456.13</v>
      </c>
      <c r="G149" s="108">
        <v>2337700</v>
      </c>
      <c r="I149" s="64">
        <v>784456.13</v>
      </c>
      <c r="J149" s="83">
        <v>855183.46849999973</v>
      </c>
      <c r="K149" s="66">
        <v>2337700</v>
      </c>
      <c r="L149" s="251">
        <v>2454586</v>
      </c>
      <c r="M149" s="63">
        <v>745578.61919999996</v>
      </c>
      <c r="N149" s="64">
        <v>672835.09529999981</v>
      </c>
      <c r="O149" s="65">
        <v>2700044</v>
      </c>
      <c r="P149" s="66">
        <v>2700044</v>
      </c>
      <c r="Q149" s="66">
        <f t="shared" si="36"/>
        <v>841361.72</v>
      </c>
      <c r="R149" s="63">
        <f t="shared" si="37"/>
        <v>835379.81371999986</v>
      </c>
      <c r="S149" s="83">
        <f t="shared" si="38"/>
        <v>776267.97700399999</v>
      </c>
      <c r="T149" s="64">
        <f t="shared" si="39"/>
        <v>693203.28199199983</v>
      </c>
      <c r="U149" s="66">
        <f t="shared" si="40"/>
        <v>2237008.9715999998</v>
      </c>
      <c r="V149" s="63">
        <f t="shared" si="41"/>
        <v>2399205.4132000003</v>
      </c>
      <c r="W149" s="83">
        <f t="shared" si="42"/>
        <v>2583745.9995999997</v>
      </c>
      <c r="X149" s="64">
        <f t="shared" si="43"/>
        <v>2700044</v>
      </c>
      <c r="Z149" s="67">
        <v>784456.13</v>
      </c>
      <c r="AA149" s="68">
        <v>928988.31799999974</v>
      </c>
      <c r="AB149" s="69">
        <v>2337700</v>
      </c>
      <c r="AC149" s="70">
        <v>2454586</v>
      </c>
      <c r="AD149" s="67">
        <v>745578.61919999996</v>
      </c>
      <c r="AE149" s="68">
        <v>672835.09529999981</v>
      </c>
      <c r="AF149" s="69">
        <v>2700044</v>
      </c>
      <c r="AG149" s="70">
        <v>2700044</v>
      </c>
      <c r="AH149" s="70">
        <f t="shared" si="44"/>
        <v>841361.72</v>
      </c>
      <c r="AI149" s="70">
        <f t="shared" si="45"/>
        <v>888519.30535999977</v>
      </c>
      <c r="AJ149" s="70">
        <f t="shared" si="46"/>
        <v>796933.33486399986</v>
      </c>
      <c r="AK149" s="70">
        <f t="shared" si="47"/>
        <v>693203.28199199983</v>
      </c>
      <c r="AL149" s="70">
        <f t="shared" si="48"/>
        <v>2237008.9715999998</v>
      </c>
      <c r="AM149" s="70">
        <f t="shared" si="49"/>
        <v>2399205.4132000003</v>
      </c>
      <c r="AN149" s="70">
        <f t="shared" si="50"/>
        <v>2583745.9995999997</v>
      </c>
      <c r="AO149" s="70">
        <f t="shared" si="51"/>
        <v>2700044</v>
      </c>
    </row>
    <row r="150" spans="1:41">
      <c r="A150" s="29" t="s">
        <v>277</v>
      </c>
      <c r="B150" s="29" t="s">
        <v>746</v>
      </c>
      <c r="C150" s="107">
        <v>0</v>
      </c>
      <c r="D150" s="108">
        <v>900000</v>
      </c>
      <c r="F150" s="107">
        <v>0</v>
      </c>
      <c r="G150" s="108">
        <v>939402</v>
      </c>
      <c r="I150" s="64">
        <v>0</v>
      </c>
      <c r="J150" s="83">
        <v>0</v>
      </c>
      <c r="K150" s="66">
        <v>939402</v>
      </c>
      <c r="L150" s="251">
        <v>919444.00399999984</v>
      </c>
      <c r="M150" s="63">
        <v>0</v>
      </c>
      <c r="N150" s="64">
        <v>0</v>
      </c>
      <c r="O150" s="65">
        <v>951331.12480000011</v>
      </c>
      <c r="P150" s="66">
        <v>989021.31019999995</v>
      </c>
      <c r="Q150" s="66">
        <f t="shared" si="36"/>
        <v>0</v>
      </c>
      <c r="R150" s="63">
        <f t="shared" si="37"/>
        <v>0</v>
      </c>
      <c r="S150" s="83">
        <f t="shared" si="38"/>
        <v>0</v>
      </c>
      <c r="T150" s="64">
        <f t="shared" si="39"/>
        <v>0</v>
      </c>
      <c r="U150" s="66">
        <f t="shared" si="40"/>
        <v>920733.33239999996</v>
      </c>
      <c r="V150" s="63">
        <f t="shared" si="41"/>
        <v>928900.10250479984</v>
      </c>
      <c r="W150" s="83">
        <f t="shared" si="42"/>
        <v>936223.0069649599</v>
      </c>
      <c r="X150" s="64">
        <f t="shared" si="43"/>
        <v>971163.70035747997</v>
      </c>
      <c r="Z150" s="67">
        <v>0</v>
      </c>
      <c r="AA150" s="68">
        <v>0</v>
      </c>
      <c r="AB150" s="69">
        <v>939402</v>
      </c>
      <c r="AC150" s="70">
        <v>986372.84899999993</v>
      </c>
      <c r="AD150" s="67">
        <v>0</v>
      </c>
      <c r="AE150" s="68">
        <v>0</v>
      </c>
      <c r="AF150" s="69">
        <v>951331.12480000011</v>
      </c>
      <c r="AG150" s="70">
        <v>989021.31019999995</v>
      </c>
      <c r="AH150" s="70">
        <f t="shared" si="44"/>
        <v>0</v>
      </c>
      <c r="AI150" s="70">
        <f t="shared" si="45"/>
        <v>0</v>
      </c>
      <c r="AJ150" s="70">
        <f t="shared" si="46"/>
        <v>0</v>
      </c>
      <c r="AK150" s="70">
        <f t="shared" si="47"/>
        <v>0</v>
      </c>
      <c r="AL150" s="70">
        <f t="shared" si="48"/>
        <v>920733.33239999996</v>
      </c>
      <c r="AM150" s="70">
        <f t="shared" si="49"/>
        <v>964118.0607437999</v>
      </c>
      <c r="AN150" s="70">
        <f t="shared" si="50"/>
        <v>967933.89372596005</v>
      </c>
      <c r="AO150" s="70">
        <f t="shared" si="51"/>
        <v>971163.70035747997</v>
      </c>
    </row>
    <row r="151" spans="1:41">
      <c r="A151" s="29" t="s">
        <v>133</v>
      </c>
      <c r="B151" s="29" t="s">
        <v>747</v>
      </c>
      <c r="C151" s="107">
        <v>7390888.1600000001</v>
      </c>
      <c r="D151" s="108">
        <v>6952565</v>
      </c>
      <c r="F151" s="107">
        <v>5767404.79</v>
      </c>
      <c r="G151" s="108">
        <v>7093914</v>
      </c>
      <c r="I151" s="64">
        <v>5767404.79</v>
      </c>
      <c r="J151" s="83">
        <v>7090568.8047000002</v>
      </c>
      <c r="K151" s="66">
        <v>7093914</v>
      </c>
      <c r="L151" s="251">
        <v>7661427</v>
      </c>
      <c r="M151" s="63">
        <v>7281067.3013999993</v>
      </c>
      <c r="N151" s="64">
        <v>7717544.3271000022</v>
      </c>
      <c r="O151" s="65">
        <v>8121113</v>
      </c>
      <c r="P151" s="66">
        <v>8121113</v>
      </c>
      <c r="Q151" s="66">
        <f t="shared" si="36"/>
        <v>6221980.1336000003</v>
      </c>
      <c r="R151" s="63">
        <f t="shared" si="37"/>
        <v>6720082.8805839997</v>
      </c>
      <c r="S151" s="83">
        <f t="shared" si="38"/>
        <v>7227727.7223239997</v>
      </c>
      <c r="T151" s="64">
        <f t="shared" si="39"/>
        <v>7595330.7599040009</v>
      </c>
      <c r="U151" s="66">
        <f t="shared" si="40"/>
        <v>7026942.8437999999</v>
      </c>
      <c r="V151" s="63">
        <f t="shared" si="41"/>
        <v>7392539.3405999998</v>
      </c>
      <c r="W151" s="83">
        <f t="shared" si="42"/>
        <v>7903313.7731999997</v>
      </c>
      <c r="X151" s="64">
        <f t="shared" si="43"/>
        <v>8121113</v>
      </c>
      <c r="Z151" s="67">
        <v>5767404.79</v>
      </c>
      <c r="AA151" s="68">
        <v>8138935.1626999993</v>
      </c>
      <c r="AB151" s="69">
        <v>7093914</v>
      </c>
      <c r="AC151" s="70">
        <v>7661427</v>
      </c>
      <c r="AD151" s="67">
        <v>7281067.3013999993</v>
      </c>
      <c r="AE151" s="68">
        <v>7717544.3271000022</v>
      </c>
      <c r="AF151" s="69">
        <v>8121113</v>
      </c>
      <c r="AG151" s="70">
        <v>8121113</v>
      </c>
      <c r="AH151" s="70">
        <f t="shared" si="44"/>
        <v>6221980.1336000003</v>
      </c>
      <c r="AI151" s="70">
        <f t="shared" si="45"/>
        <v>7474906.6583439987</v>
      </c>
      <c r="AJ151" s="70">
        <f t="shared" si="46"/>
        <v>7521270.3025639998</v>
      </c>
      <c r="AK151" s="70">
        <f t="shared" si="47"/>
        <v>7595330.7599040009</v>
      </c>
      <c r="AL151" s="70">
        <f t="shared" si="48"/>
        <v>7026942.8437999999</v>
      </c>
      <c r="AM151" s="70">
        <f t="shared" si="49"/>
        <v>7392539.3405999998</v>
      </c>
      <c r="AN151" s="70">
        <f t="shared" si="50"/>
        <v>7903313.7731999997</v>
      </c>
      <c r="AO151" s="70">
        <f t="shared" si="51"/>
        <v>8121113</v>
      </c>
    </row>
    <row r="152" spans="1:41">
      <c r="A152" s="29" t="s">
        <v>275</v>
      </c>
      <c r="B152" s="29" t="s">
        <v>748</v>
      </c>
      <c r="C152" s="107">
        <v>0</v>
      </c>
      <c r="D152" s="108">
        <v>721664</v>
      </c>
      <c r="F152" s="107">
        <v>0</v>
      </c>
      <c r="G152" s="108">
        <v>757747</v>
      </c>
      <c r="I152" s="64">
        <v>0</v>
      </c>
      <c r="J152" s="83">
        <v>0</v>
      </c>
      <c r="K152" s="66">
        <v>757747</v>
      </c>
      <c r="L152" s="251">
        <v>757747</v>
      </c>
      <c r="M152" s="63">
        <v>0</v>
      </c>
      <c r="N152" s="64">
        <v>0</v>
      </c>
      <c r="O152" s="65">
        <v>757747</v>
      </c>
      <c r="P152" s="66">
        <v>757747</v>
      </c>
      <c r="Q152" s="66">
        <f t="shared" si="36"/>
        <v>0</v>
      </c>
      <c r="R152" s="63">
        <f t="shared" si="37"/>
        <v>0</v>
      </c>
      <c r="S152" s="83">
        <f t="shared" si="38"/>
        <v>0</v>
      </c>
      <c r="T152" s="64">
        <f t="shared" si="39"/>
        <v>0</v>
      </c>
      <c r="U152" s="66">
        <f t="shared" si="40"/>
        <v>740650.87459999998</v>
      </c>
      <c r="V152" s="63">
        <f t="shared" si="41"/>
        <v>757747</v>
      </c>
      <c r="W152" s="83">
        <f t="shared" si="42"/>
        <v>757747</v>
      </c>
      <c r="X152" s="64">
        <f t="shared" si="43"/>
        <v>757747</v>
      </c>
      <c r="Z152" s="67">
        <v>0</v>
      </c>
      <c r="AA152" s="68">
        <v>0</v>
      </c>
      <c r="AB152" s="69">
        <v>757747</v>
      </c>
      <c r="AC152" s="70">
        <v>757747</v>
      </c>
      <c r="AD152" s="67">
        <v>0</v>
      </c>
      <c r="AE152" s="68">
        <v>0</v>
      </c>
      <c r="AF152" s="69">
        <v>757747</v>
      </c>
      <c r="AG152" s="70">
        <v>757747</v>
      </c>
      <c r="AH152" s="70">
        <f t="shared" si="44"/>
        <v>0</v>
      </c>
      <c r="AI152" s="70">
        <f t="shared" si="45"/>
        <v>0</v>
      </c>
      <c r="AJ152" s="70">
        <f t="shared" si="46"/>
        <v>0</v>
      </c>
      <c r="AK152" s="70">
        <f t="shared" si="47"/>
        <v>0</v>
      </c>
      <c r="AL152" s="70">
        <f t="shared" si="48"/>
        <v>740650.87459999998</v>
      </c>
      <c r="AM152" s="70">
        <f t="shared" si="49"/>
        <v>757747</v>
      </c>
      <c r="AN152" s="70">
        <f t="shared" si="50"/>
        <v>757747</v>
      </c>
      <c r="AO152" s="70">
        <f t="shared" si="51"/>
        <v>757747</v>
      </c>
    </row>
    <row r="153" spans="1:41">
      <c r="A153" s="29" t="s">
        <v>609</v>
      </c>
      <c r="B153" s="29" t="s">
        <v>749</v>
      </c>
      <c r="C153" s="107">
        <v>952800.22</v>
      </c>
      <c r="D153" s="108">
        <v>257000</v>
      </c>
      <c r="F153" s="107">
        <v>934505.95</v>
      </c>
      <c r="G153" s="108">
        <v>262000</v>
      </c>
      <c r="I153" s="64">
        <v>934505.95</v>
      </c>
      <c r="J153" s="83">
        <v>896114.015212</v>
      </c>
      <c r="K153" s="66">
        <v>262000</v>
      </c>
      <c r="L153" s="251">
        <v>262000</v>
      </c>
      <c r="M153" s="63">
        <v>849777.76127999998</v>
      </c>
      <c r="N153" s="64">
        <v>839696.91960000002</v>
      </c>
      <c r="O153" s="65">
        <v>262000</v>
      </c>
      <c r="P153" s="66">
        <v>262000</v>
      </c>
      <c r="Q153" s="66">
        <f t="shared" si="36"/>
        <v>939628.3456</v>
      </c>
      <c r="R153" s="63">
        <f t="shared" si="37"/>
        <v>906863.7569526399</v>
      </c>
      <c r="S153" s="83">
        <f t="shared" si="38"/>
        <v>862751.91238096007</v>
      </c>
      <c r="T153" s="64">
        <f t="shared" si="39"/>
        <v>842519.55527040013</v>
      </c>
      <c r="U153" s="66">
        <f t="shared" si="40"/>
        <v>259631</v>
      </c>
      <c r="V153" s="63">
        <f t="shared" si="41"/>
        <v>262000</v>
      </c>
      <c r="W153" s="83">
        <f t="shared" si="42"/>
        <v>262000</v>
      </c>
      <c r="X153" s="64">
        <f t="shared" si="43"/>
        <v>262000</v>
      </c>
      <c r="Z153" s="67">
        <v>934505.95</v>
      </c>
      <c r="AA153" s="68">
        <v>896114.015212</v>
      </c>
      <c r="AB153" s="69">
        <v>262000</v>
      </c>
      <c r="AC153" s="70">
        <v>262000</v>
      </c>
      <c r="AD153" s="67">
        <v>849777.76127999998</v>
      </c>
      <c r="AE153" s="68">
        <v>839696.91960000002</v>
      </c>
      <c r="AF153" s="69">
        <v>262000</v>
      </c>
      <c r="AG153" s="70">
        <v>262000</v>
      </c>
      <c r="AH153" s="70">
        <f t="shared" si="44"/>
        <v>939628.3456</v>
      </c>
      <c r="AI153" s="70">
        <f t="shared" si="45"/>
        <v>906863.7569526399</v>
      </c>
      <c r="AJ153" s="70">
        <f t="shared" si="46"/>
        <v>862751.91238096007</v>
      </c>
      <c r="AK153" s="70">
        <f t="shared" si="47"/>
        <v>842519.55527040013</v>
      </c>
      <c r="AL153" s="70">
        <f t="shared" si="48"/>
        <v>259631</v>
      </c>
      <c r="AM153" s="70">
        <f t="shared" si="49"/>
        <v>262000</v>
      </c>
      <c r="AN153" s="70">
        <f t="shared" si="50"/>
        <v>262000</v>
      </c>
      <c r="AO153" s="70">
        <f t="shared" si="51"/>
        <v>262000</v>
      </c>
    </row>
    <row r="154" spans="1:41">
      <c r="A154" s="29" t="s">
        <v>551</v>
      </c>
      <c r="B154" s="29" t="s">
        <v>750</v>
      </c>
      <c r="C154" s="107">
        <v>0</v>
      </c>
      <c r="D154" s="108">
        <v>5000000</v>
      </c>
      <c r="F154" s="107">
        <v>0</v>
      </c>
      <c r="G154" s="108">
        <v>4899368</v>
      </c>
      <c r="I154" s="64">
        <v>0</v>
      </c>
      <c r="J154" s="83">
        <v>0</v>
      </c>
      <c r="K154" s="66">
        <v>4899368</v>
      </c>
      <c r="L154" s="251">
        <v>4897435.4713999992</v>
      </c>
      <c r="M154" s="63">
        <v>0</v>
      </c>
      <c r="N154" s="64">
        <v>0</v>
      </c>
      <c r="O154" s="65">
        <v>5067143.2044000002</v>
      </c>
      <c r="P154" s="66">
        <v>5267891.6752000004</v>
      </c>
      <c r="Q154" s="66">
        <f t="shared" si="36"/>
        <v>0</v>
      </c>
      <c r="R154" s="63">
        <f t="shared" si="37"/>
        <v>0</v>
      </c>
      <c r="S154" s="83">
        <f t="shared" si="38"/>
        <v>0</v>
      </c>
      <c r="T154" s="64">
        <f t="shared" si="39"/>
        <v>0</v>
      </c>
      <c r="U154" s="66">
        <f t="shared" si="40"/>
        <v>4947047.4416000005</v>
      </c>
      <c r="V154" s="63">
        <f t="shared" si="41"/>
        <v>4898351.1034506802</v>
      </c>
      <c r="W154" s="83">
        <f t="shared" si="42"/>
        <v>4986735.6805045996</v>
      </c>
      <c r="X154" s="64">
        <f t="shared" si="43"/>
        <v>5172777.0497349603</v>
      </c>
      <c r="Z154" s="67">
        <v>0</v>
      </c>
      <c r="AA154" s="68">
        <v>0</v>
      </c>
      <c r="AB154" s="69">
        <v>4899368</v>
      </c>
      <c r="AC154" s="70">
        <v>5144338.1395999994</v>
      </c>
      <c r="AD154" s="67">
        <v>0</v>
      </c>
      <c r="AE154" s="68">
        <v>0</v>
      </c>
      <c r="AF154" s="69">
        <v>5067143.2044000002</v>
      </c>
      <c r="AG154" s="70">
        <v>5267891.6752000004</v>
      </c>
      <c r="AH154" s="70">
        <f t="shared" si="44"/>
        <v>0</v>
      </c>
      <c r="AI154" s="70">
        <f t="shared" si="45"/>
        <v>0</v>
      </c>
      <c r="AJ154" s="70">
        <f t="shared" si="46"/>
        <v>0</v>
      </c>
      <c r="AK154" s="70">
        <f t="shared" si="47"/>
        <v>0</v>
      </c>
      <c r="AL154" s="70">
        <f t="shared" si="48"/>
        <v>4947047.4416000005</v>
      </c>
      <c r="AM154" s="70">
        <f t="shared" si="49"/>
        <v>5028271.2874575201</v>
      </c>
      <c r="AN154" s="70">
        <f t="shared" si="50"/>
        <v>5103718.1646977598</v>
      </c>
      <c r="AO154" s="70">
        <f t="shared" si="51"/>
        <v>5172777.0497349603</v>
      </c>
    </row>
    <row r="155" spans="1:41">
      <c r="A155" s="29" t="s">
        <v>417</v>
      </c>
      <c r="B155" s="29" t="s">
        <v>751</v>
      </c>
      <c r="C155" s="107">
        <v>40835.57</v>
      </c>
      <c r="D155" s="108">
        <v>155000</v>
      </c>
      <c r="F155" s="107">
        <v>25146.34</v>
      </c>
      <c r="G155" s="108">
        <v>155000</v>
      </c>
      <c r="I155" s="64">
        <v>25146.34</v>
      </c>
      <c r="J155" s="83">
        <v>37504.238499999992</v>
      </c>
      <c r="K155" s="66">
        <v>155000</v>
      </c>
      <c r="L155" s="251">
        <v>155000</v>
      </c>
      <c r="M155" s="63">
        <v>31979.489999999998</v>
      </c>
      <c r="N155" s="64">
        <v>23601.365999999995</v>
      </c>
      <c r="O155" s="65">
        <v>155000</v>
      </c>
      <c r="P155" s="66">
        <v>155000</v>
      </c>
      <c r="Q155" s="66">
        <f t="shared" si="36"/>
        <v>29539.324399999998</v>
      </c>
      <c r="R155" s="63">
        <f t="shared" si="37"/>
        <v>34044.026919999989</v>
      </c>
      <c r="S155" s="83">
        <f t="shared" si="38"/>
        <v>33526.419579999994</v>
      </c>
      <c r="T155" s="64">
        <f t="shared" si="39"/>
        <v>25947.240719999994</v>
      </c>
      <c r="U155" s="66">
        <f t="shared" si="40"/>
        <v>155000</v>
      </c>
      <c r="V155" s="63">
        <f t="shared" si="41"/>
        <v>155000</v>
      </c>
      <c r="W155" s="83">
        <f t="shared" si="42"/>
        <v>155000</v>
      </c>
      <c r="X155" s="64">
        <f t="shared" si="43"/>
        <v>155000</v>
      </c>
      <c r="Z155" s="67">
        <v>25146.34</v>
      </c>
      <c r="AA155" s="68">
        <v>37504.238499999992</v>
      </c>
      <c r="AB155" s="69">
        <v>155000</v>
      </c>
      <c r="AC155" s="70">
        <v>155000</v>
      </c>
      <c r="AD155" s="67">
        <v>31979.489999999998</v>
      </c>
      <c r="AE155" s="68">
        <v>23601.365999999995</v>
      </c>
      <c r="AF155" s="69">
        <v>155000</v>
      </c>
      <c r="AG155" s="70">
        <v>155000</v>
      </c>
      <c r="AH155" s="70">
        <f t="shared" si="44"/>
        <v>29539.324399999998</v>
      </c>
      <c r="AI155" s="70">
        <f t="shared" si="45"/>
        <v>34044.026919999989</v>
      </c>
      <c r="AJ155" s="70">
        <f t="shared" si="46"/>
        <v>33526.419579999994</v>
      </c>
      <c r="AK155" s="70">
        <f t="shared" si="47"/>
        <v>25947.240719999994</v>
      </c>
      <c r="AL155" s="70">
        <f t="shared" si="48"/>
        <v>155000</v>
      </c>
      <c r="AM155" s="70">
        <f t="shared" si="49"/>
        <v>155000</v>
      </c>
      <c r="AN155" s="70">
        <f t="shared" si="50"/>
        <v>155000</v>
      </c>
      <c r="AO155" s="70">
        <f t="shared" si="51"/>
        <v>155000</v>
      </c>
    </row>
    <row r="156" spans="1:41">
      <c r="A156" s="29" t="s">
        <v>413</v>
      </c>
      <c r="B156" s="29" t="s">
        <v>882</v>
      </c>
      <c r="C156" s="107">
        <v>3471496.14</v>
      </c>
      <c r="D156" s="108">
        <v>11882329</v>
      </c>
      <c r="F156" s="107">
        <v>2492982.31</v>
      </c>
      <c r="G156" s="108">
        <v>13593622</v>
      </c>
      <c r="I156" s="64">
        <v>2492982.31</v>
      </c>
      <c r="J156" s="83">
        <v>2254372.7152000009</v>
      </c>
      <c r="K156" s="66">
        <v>13593622</v>
      </c>
      <c r="L156" s="251">
        <v>14953028</v>
      </c>
      <c r="M156" s="63">
        <v>1642949.9090999993</v>
      </c>
      <c r="N156" s="64">
        <v>1154622.3923999984</v>
      </c>
      <c r="O156" s="65">
        <v>16448331</v>
      </c>
      <c r="P156" s="66">
        <v>16448331</v>
      </c>
      <c r="Q156" s="66">
        <f t="shared" si="36"/>
        <v>2766966.1824000003</v>
      </c>
      <c r="R156" s="63">
        <f t="shared" si="37"/>
        <v>2321183.4017440006</v>
      </c>
      <c r="S156" s="83">
        <f t="shared" si="38"/>
        <v>1814148.2948079999</v>
      </c>
      <c r="T156" s="64">
        <f t="shared" si="39"/>
        <v>1291354.0970759986</v>
      </c>
      <c r="U156" s="66">
        <f t="shared" si="40"/>
        <v>12782811.376600001</v>
      </c>
      <c r="V156" s="63">
        <f t="shared" si="41"/>
        <v>14308941.437200001</v>
      </c>
      <c r="W156" s="83">
        <f t="shared" si="42"/>
        <v>15739856.4386</v>
      </c>
      <c r="X156" s="64">
        <f t="shared" si="43"/>
        <v>16448331</v>
      </c>
      <c r="Z156" s="67">
        <v>2492982.31</v>
      </c>
      <c r="AA156" s="68">
        <v>2946468.5879000002</v>
      </c>
      <c r="AB156" s="69">
        <v>13593622</v>
      </c>
      <c r="AC156" s="70">
        <v>14953028</v>
      </c>
      <c r="AD156" s="67">
        <v>1642949.9090999993</v>
      </c>
      <c r="AE156" s="68">
        <v>1154622.3923999984</v>
      </c>
      <c r="AF156" s="69">
        <v>16448331</v>
      </c>
      <c r="AG156" s="70">
        <v>16448331</v>
      </c>
      <c r="AH156" s="70">
        <f t="shared" si="44"/>
        <v>2766966.1824000003</v>
      </c>
      <c r="AI156" s="70">
        <f t="shared" si="45"/>
        <v>2819492.4300880004</v>
      </c>
      <c r="AJ156" s="70">
        <f t="shared" si="46"/>
        <v>2007935.1391639996</v>
      </c>
      <c r="AK156" s="70">
        <f t="shared" si="47"/>
        <v>1291354.0970759986</v>
      </c>
      <c r="AL156" s="70">
        <f t="shared" si="48"/>
        <v>12782811.376600001</v>
      </c>
      <c r="AM156" s="70">
        <f t="shared" si="49"/>
        <v>14308941.437200001</v>
      </c>
      <c r="AN156" s="70">
        <f t="shared" si="50"/>
        <v>15739856.4386</v>
      </c>
      <c r="AO156" s="70">
        <f t="shared" si="51"/>
        <v>16448331</v>
      </c>
    </row>
    <row r="157" spans="1:41">
      <c r="A157" s="29" t="s">
        <v>427</v>
      </c>
      <c r="B157" s="29" t="s">
        <v>752</v>
      </c>
      <c r="C157" s="107">
        <v>0</v>
      </c>
      <c r="D157" s="108">
        <v>41004068</v>
      </c>
      <c r="F157" s="107">
        <v>0</v>
      </c>
      <c r="G157" s="108">
        <v>43178569</v>
      </c>
      <c r="I157" s="64">
        <v>0</v>
      </c>
      <c r="J157" s="83">
        <v>0</v>
      </c>
      <c r="K157" s="66">
        <v>43178569</v>
      </c>
      <c r="L157" s="251">
        <v>44258217.249399997</v>
      </c>
      <c r="M157" s="63">
        <v>0</v>
      </c>
      <c r="N157" s="64">
        <v>0</v>
      </c>
      <c r="O157" s="65">
        <v>45792068.577500001</v>
      </c>
      <c r="P157" s="66">
        <v>47606180.013700001</v>
      </c>
      <c r="Q157" s="66">
        <f t="shared" si="36"/>
        <v>0</v>
      </c>
      <c r="R157" s="63">
        <f t="shared" si="37"/>
        <v>0</v>
      </c>
      <c r="S157" s="83">
        <f t="shared" si="38"/>
        <v>0</v>
      </c>
      <c r="T157" s="64">
        <f t="shared" si="39"/>
        <v>0</v>
      </c>
      <c r="U157" s="66">
        <f t="shared" si="40"/>
        <v>42148290.426200002</v>
      </c>
      <c r="V157" s="63">
        <f t="shared" si="41"/>
        <v>43746679.908834279</v>
      </c>
      <c r="W157" s="83">
        <f t="shared" si="42"/>
        <v>45065329.818246216</v>
      </c>
      <c r="X157" s="64">
        <f t="shared" si="43"/>
        <v>46746654.015228443</v>
      </c>
      <c r="Z157" s="67">
        <v>0</v>
      </c>
      <c r="AA157" s="68">
        <v>0</v>
      </c>
      <c r="AB157" s="69">
        <v>43178569</v>
      </c>
      <c r="AC157" s="70">
        <v>45337513.243199997</v>
      </c>
      <c r="AD157" s="67">
        <v>0</v>
      </c>
      <c r="AE157" s="68">
        <v>0</v>
      </c>
      <c r="AF157" s="69">
        <v>45792068.577500001</v>
      </c>
      <c r="AG157" s="70">
        <v>47606180.013700001</v>
      </c>
      <c r="AH157" s="70">
        <f t="shared" si="44"/>
        <v>0</v>
      </c>
      <c r="AI157" s="70">
        <f t="shared" si="45"/>
        <v>0</v>
      </c>
      <c r="AJ157" s="70">
        <f t="shared" si="46"/>
        <v>0</v>
      </c>
      <c r="AK157" s="70">
        <f t="shared" si="47"/>
        <v>0</v>
      </c>
      <c r="AL157" s="70">
        <f t="shared" si="48"/>
        <v>42148290.426200002</v>
      </c>
      <c r="AM157" s="70">
        <f t="shared" si="49"/>
        <v>44314605.460771836</v>
      </c>
      <c r="AN157" s="70">
        <f t="shared" si="50"/>
        <v>45576700.260108657</v>
      </c>
      <c r="AO157" s="70">
        <f t="shared" si="51"/>
        <v>46746654.015228443</v>
      </c>
    </row>
    <row r="158" spans="1:41">
      <c r="A158" s="29" t="s">
        <v>583</v>
      </c>
      <c r="B158" s="29" t="s">
        <v>753</v>
      </c>
      <c r="C158" s="107">
        <v>398772.9</v>
      </c>
      <c r="D158" s="108">
        <v>2750000</v>
      </c>
      <c r="F158" s="107">
        <v>243738.3</v>
      </c>
      <c r="G158" s="108">
        <v>2950000</v>
      </c>
      <c r="I158" s="64">
        <v>243738.3</v>
      </c>
      <c r="J158" s="83">
        <v>238402.93999999983</v>
      </c>
      <c r="K158" s="66">
        <v>2950000</v>
      </c>
      <c r="L158" s="251">
        <v>3175000</v>
      </c>
      <c r="M158" s="63">
        <v>185682.60779999994</v>
      </c>
      <c r="N158" s="64">
        <v>89962.244100000025</v>
      </c>
      <c r="O158" s="65">
        <v>3400000</v>
      </c>
      <c r="P158" s="66">
        <v>3400000</v>
      </c>
      <c r="Q158" s="66">
        <f t="shared" si="36"/>
        <v>287147.98800000001</v>
      </c>
      <c r="R158" s="63">
        <f t="shared" si="37"/>
        <v>239896.84079999989</v>
      </c>
      <c r="S158" s="83">
        <f t="shared" si="38"/>
        <v>200444.30081599992</v>
      </c>
      <c r="T158" s="64">
        <f t="shared" si="39"/>
        <v>116763.945936</v>
      </c>
      <c r="U158" s="66">
        <f t="shared" si="40"/>
        <v>2855240</v>
      </c>
      <c r="V158" s="63">
        <f t="shared" si="41"/>
        <v>3068395</v>
      </c>
      <c r="W158" s="83">
        <f t="shared" si="42"/>
        <v>3293395</v>
      </c>
      <c r="X158" s="64">
        <f t="shared" si="43"/>
        <v>3400000</v>
      </c>
      <c r="Z158" s="67">
        <v>243738.3</v>
      </c>
      <c r="AA158" s="68">
        <v>302757.92669999978</v>
      </c>
      <c r="AB158" s="69">
        <v>2950000</v>
      </c>
      <c r="AC158" s="70">
        <v>3175000</v>
      </c>
      <c r="AD158" s="67">
        <v>185682.60779999994</v>
      </c>
      <c r="AE158" s="68">
        <v>89962.244100000025</v>
      </c>
      <c r="AF158" s="69">
        <v>3400000</v>
      </c>
      <c r="AG158" s="70">
        <v>3400000</v>
      </c>
      <c r="AH158" s="70">
        <f t="shared" si="44"/>
        <v>287147.98800000001</v>
      </c>
      <c r="AI158" s="70">
        <f t="shared" si="45"/>
        <v>286232.43122399983</v>
      </c>
      <c r="AJ158" s="70">
        <f t="shared" si="46"/>
        <v>218463.6970919999</v>
      </c>
      <c r="AK158" s="70">
        <f t="shared" si="47"/>
        <v>116763.945936</v>
      </c>
      <c r="AL158" s="70">
        <f t="shared" si="48"/>
        <v>2855240</v>
      </c>
      <c r="AM158" s="70">
        <f t="shared" si="49"/>
        <v>3068395</v>
      </c>
      <c r="AN158" s="70">
        <f t="shared" si="50"/>
        <v>3293395</v>
      </c>
      <c r="AO158" s="70">
        <f t="shared" si="51"/>
        <v>3400000</v>
      </c>
    </row>
    <row r="159" spans="1:41">
      <c r="A159" s="29" t="s">
        <v>271</v>
      </c>
      <c r="B159" s="29" t="s">
        <v>754</v>
      </c>
      <c r="C159" s="107">
        <v>374604.89</v>
      </c>
      <c r="D159" s="108">
        <v>756716</v>
      </c>
      <c r="F159" s="107">
        <v>237237.48</v>
      </c>
      <c r="G159" s="108">
        <v>832388</v>
      </c>
      <c r="I159" s="64">
        <v>237237.48</v>
      </c>
      <c r="J159" s="83">
        <v>218594.9022619999</v>
      </c>
      <c r="K159" s="66">
        <v>832388</v>
      </c>
      <c r="L159" s="251">
        <v>832388</v>
      </c>
      <c r="M159" s="63">
        <v>159424.09078399997</v>
      </c>
      <c r="N159" s="64">
        <v>126394.10014399998</v>
      </c>
      <c r="O159" s="65">
        <v>832388</v>
      </c>
      <c r="P159" s="66">
        <v>832388</v>
      </c>
      <c r="Q159" s="66">
        <f t="shared" si="36"/>
        <v>275700.35480000003</v>
      </c>
      <c r="R159" s="63">
        <f t="shared" si="37"/>
        <v>223814.82402863994</v>
      </c>
      <c r="S159" s="83">
        <f t="shared" si="38"/>
        <v>175991.91799783995</v>
      </c>
      <c r="T159" s="64">
        <f t="shared" si="39"/>
        <v>135642.4975232</v>
      </c>
      <c r="U159" s="66">
        <f t="shared" si="40"/>
        <v>796534.60639999993</v>
      </c>
      <c r="V159" s="63">
        <f t="shared" si="41"/>
        <v>832388</v>
      </c>
      <c r="W159" s="83">
        <f t="shared" si="42"/>
        <v>832388</v>
      </c>
      <c r="X159" s="64">
        <f t="shared" si="43"/>
        <v>832388</v>
      </c>
      <c r="Z159" s="67">
        <v>237237.48</v>
      </c>
      <c r="AA159" s="68">
        <v>342984.93838199979</v>
      </c>
      <c r="AB159" s="69">
        <v>832388</v>
      </c>
      <c r="AC159" s="70">
        <v>832388</v>
      </c>
      <c r="AD159" s="67">
        <v>159424.09078399997</v>
      </c>
      <c r="AE159" s="68">
        <v>126394.10014399998</v>
      </c>
      <c r="AF159" s="69">
        <v>832388</v>
      </c>
      <c r="AG159" s="70">
        <v>832388</v>
      </c>
      <c r="AH159" s="70">
        <f t="shared" si="44"/>
        <v>275700.35480000003</v>
      </c>
      <c r="AI159" s="70">
        <f t="shared" si="45"/>
        <v>313375.65003503987</v>
      </c>
      <c r="AJ159" s="70">
        <f t="shared" si="46"/>
        <v>210821.12811143993</v>
      </c>
      <c r="AK159" s="70">
        <f t="shared" si="47"/>
        <v>135642.4975232</v>
      </c>
      <c r="AL159" s="70">
        <f t="shared" si="48"/>
        <v>796534.60639999993</v>
      </c>
      <c r="AM159" s="70">
        <f t="shared" si="49"/>
        <v>832388</v>
      </c>
      <c r="AN159" s="70">
        <f t="shared" si="50"/>
        <v>832388</v>
      </c>
      <c r="AO159" s="70">
        <f t="shared" si="51"/>
        <v>832388</v>
      </c>
    </row>
    <row r="160" spans="1:41">
      <c r="A160" s="29" t="s">
        <v>349</v>
      </c>
      <c r="B160" s="29" t="s">
        <v>931</v>
      </c>
      <c r="C160" s="107">
        <v>27408.48</v>
      </c>
      <c r="D160" s="108">
        <v>450000</v>
      </c>
      <c r="F160" s="107">
        <v>0</v>
      </c>
      <c r="G160" s="108">
        <v>579000</v>
      </c>
      <c r="I160" s="64">
        <v>0</v>
      </c>
      <c r="J160" s="83">
        <v>0</v>
      </c>
      <c r="K160" s="66">
        <v>579000</v>
      </c>
      <c r="L160" s="251">
        <v>579000</v>
      </c>
      <c r="M160" s="63">
        <v>0</v>
      </c>
      <c r="N160" s="64">
        <v>0</v>
      </c>
      <c r="O160" s="65">
        <v>579000</v>
      </c>
      <c r="P160" s="66">
        <v>579000</v>
      </c>
      <c r="Q160" s="66">
        <f t="shared" si="36"/>
        <v>7674.3744000000006</v>
      </c>
      <c r="R160" s="63">
        <f t="shared" si="37"/>
        <v>0</v>
      </c>
      <c r="S160" s="83">
        <f t="shared" si="38"/>
        <v>0</v>
      </c>
      <c r="T160" s="64">
        <f t="shared" si="39"/>
        <v>0</v>
      </c>
      <c r="U160" s="66">
        <f t="shared" si="40"/>
        <v>517879.8</v>
      </c>
      <c r="V160" s="63">
        <f t="shared" si="41"/>
        <v>579000</v>
      </c>
      <c r="W160" s="83">
        <f t="shared" si="42"/>
        <v>579000</v>
      </c>
      <c r="X160" s="64">
        <f t="shared" si="43"/>
        <v>579000</v>
      </c>
      <c r="Z160" s="67">
        <v>0</v>
      </c>
      <c r="AA160" s="68">
        <v>9703.3625999999458</v>
      </c>
      <c r="AB160" s="69">
        <v>579000</v>
      </c>
      <c r="AC160" s="70">
        <v>579000</v>
      </c>
      <c r="AD160" s="67">
        <v>0</v>
      </c>
      <c r="AE160" s="68">
        <v>0</v>
      </c>
      <c r="AF160" s="69">
        <v>579000</v>
      </c>
      <c r="AG160" s="70">
        <v>579000</v>
      </c>
      <c r="AH160" s="70">
        <f t="shared" si="44"/>
        <v>7674.3744000000006</v>
      </c>
      <c r="AI160" s="70">
        <f t="shared" si="45"/>
        <v>6986.421071999961</v>
      </c>
      <c r="AJ160" s="70">
        <f t="shared" si="46"/>
        <v>2716.9415279999853</v>
      </c>
      <c r="AK160" s="70">
        <f t="shared" si="47"/>
        <v>0</v>
      </c>
      <c r="AL160" s="70">
        <f t="shared" si="48"/>
        <v>517879.8</v>
      </c>
      <c r="AM160" s="70">
        <f t="shared" si="49"/>
        <v>579000</v>
      </c>
      <c r="AN160" s="70">
        <f t="shared" si="50"/>
        <v>579000</v>
      </c>
      <c r="AO160" s="70">
        <f t="shared" si="51"/>
        <v>579000</v>
      </c>
    </row>
    <row r="161" spans="1:41">
      <c r="A161" s="29" t="s">
        <v>327</v>
      </c>
      <c r="B161" s="29" t="s">
        <v>755</v>
      </c>
      <c r="C161" s="107">
        <v>253250.42</v>
      </c>
      <c r="D161" s="108">
        <v>36000</v>
      </c>
      <c r="F161" s="107">
        <v>277051.46999999997</v>
      </c>
      <c r="G161" s="108">
        <v>36000</v>
      </c>
      <c r="I161" s="64">
        <v>277051.46999999997</v>
      </c>
      <c r="J161" s="83">
        <v>372763.02909999999</v>
      </c>
      <c r="K161" s="66">
        <v>36000</v>
      </c>
      <c r="L161" s="251">
        <v>36000</v>
      </c>
      <c r="M161" s="63">
        <v>384750.16769999999</v>
      </c>
      <c r="N161" s="64">
        <v>399237.0024</v>
      </c>
      <c r="O161" s="65">
        <v>36000</v>
      </c>
      <c r="P161" s="66">
        <v>36000</v>
      </c>
      <c r="Q161" s="66">
        <f t="shared" si="36"/>
        <v>270387.17599999998</v>
      </c>
      <c r="R161" s="63">
        <f t="shared" si="37"/>
        <v>345963.79255199997</v>
      </c>
      <c r="S161" s="83">
        <f t="shared" si="38"/>
        <v>381393.76889199996</v>
      </c>
      <c r="T161" s="64">
        <f t="shared" si="39"/>
        <v>395180.68868399994</v>
      </c>
      <c r="U161" s="66">
        <f t="shared" si="40"/>
        <v>36000</v>
      </c>
      <c r="V161" s="63">
        <f t="shared" si="41"/>
        <v>36000</v>
      </c>
      <c r="W161" s="83">
        <f t="shared" si="42"/>
        <v>36000</v>
      </c>
      <c r="X161" s="64">
        <f t="shared" si="43"/>
        <v>36000</v>
      </c>
      <c r="Z161" s="67">
        <v>277051.46999999997</v>
      </c>
      <c r="AA161" s="68">
        <v>372763.02909999999</v>
      </c>
      <c r="AB161" s="69">
        <v>36000</v>
      </c>
      <c r="AC161" s="70">
        <v>36000</v>
      </c>
      <c r="AD161" s="67">
        <v>384750.16769999999</v>
      </c>
      <c r="AE161" s="68">
        <v>399237.0024</v>
      </c>
      <c r="AF161" s="69">
        <v>36000</v>
      </c>
      <c r="AG161" s="70">
        <v>36000</v>
      </c>
      <c r="AH161" s="70">
        <f t="shared" si="44"/>
        <v>270387.17599999998</v>
      </c>
      <c r="AI161" s="70">
        <f t="shared" si="45"/>
        <v>345963.79255199997</v>
      </c>
      <c r="AJ161" s="70">
        <f t="shared" si="46"/>
        <v>381393.76889199996</v>
      </c>
      <c r="AK161" s="70">
        <f t="shared" si="47"/>
        <v>395180.68868399994</v>
      </c>
      <c r="AL161" s="70">
        <f t="shared" si="48"/>
        <v>36000</v>
      </c>
      <c r="AM161" s="70">
        <f t="shared" si="49"/>
        <v>36000</v>
      </c>
      <c r="AN161" s="70">
        <f t="shared" si="50"/>
        <v>36000</v>
      </c>
      <c r="AO161" s="70">
        <f t="shared" si="51"/>
        <v>36000</v>
      </c>
    </row>
    <row r="162" spans="1:41">
      <c r="A162" s="29" t="s">
        <v>355</v>
      </c>
      <c r="B162" s="29" t="s">
        <v>756</v>
      </c>
      <c r="C162" s="107">
        <v>228620.98</v>
      </c>
      <c r="D162" s="108">
        <v>1573148</v>
      </c>
      <c r="F162" s="107">
        <v>0</v>
      </c>
      <c r="G162" s="108">
        <v>1606681</v>
      </c>
      <c r="I162" s="64">
        <v>0</v>
      </c>
      <c r="J162" s="83">
        <v>0</v>
      </c>
      <c r="K162" s="66">
        <v>1606681</v>
      </c>
      <c r="L162" s="251">
        <v>1637634</v>
      </c>
      <c r="M162" s="63">
        <v>0</v>
      </c>
      <c r="N162" s="64">
        <v>0</v>
      </c>
      <c r="O162" s="65">
        <v>1637634</v>
      </c>
      <c r="P162" s="66">
        <v>1637634</v>
      </c>
      <c r="Q162" s="66">
        <f t="shared" si="36"/>
        <v>64013.874400000008</v>
      </c>
      <c r="R162" s="63">
        <f t="shared" si="37"/>
        <v>0</v>
      </c>
      <c r="S162" s="83">
        <f t="shared" si="38"/>
        <v>0</v>
      </c>
      <c r="T162" s="64">
        <f t="shared" si="39"/>
        <v>0</v>
      </c>
      <c r="U162" s="66">
        <f t="shared" si="40"/>
        <v>1590793.0646000002</v>
      </c>
      <c r="V162" s="63">
        <f t="shared" si="41"/>
        <v>1622968.4686</v>
      </c>
      <c r="W162" s="83">
        <f t="shared" si="42"/>
        <v>1637634</v>
      </c>
      <c r="X162" s="64">
        <f t="shared" si="43"/>
        <v>1637634</v>
      </c>
      <c r="Z162" s="67">
        <v>0</v>
      </c>
      <c r="AA162" s="68">
        <v>173030.1694120001</v>
      </c>
      <c r="AB162" s="69">
        <v>1606681</v>
      </c>
      <c r="AC162" s="70">
        <v>1637634</v>
      </c>
      <c r="AD162" s="67">
        <v>0</v>
      </c>
      <c r="AE162" s="68">
        <v>0</v>
      </c>
      <c r="AF162" s="69">
        <v>1637634</v>
      </c>
      <c r="AG162" s="70">
        <v>1637634</v>
      </c>
      <c r="AH162" s="70">
        <f t="shared" si="44"/>
        <v>64013.874400000008</v>
      </c>
      <c r="AI162" s="70">
        <f t="shared" si="45"/>
        <v>124581.72197664007</v>
      </c>
      <c r="AJ162" s="70">
        <f t="shared" si="46"/>
        <v>48448.447435360031</v>
      </c>
      <c r="AK162" s="70">
        <f t="shared" si="47"/>
        <v>0</v>
      </c>
      <c r="AL162" s="70">
        <f t="shared" si="48"/>
        <v>1590793.0646000002</v>
      </c>
      <c r="AM162" s="70">
        <f t="shared" si="49"/>
        <v>1622968.4686</v>
      </c>
      <c r="AN162" s="70">
        <f t="shared" si="50"/>
        <v>1637634</v>
      </c>
      <c r="AO162" s="70">
        <f t="shared" si="51"/>
        <v>1637634</v>
      </c>
    </row>
    <row r="163" spans="1:41">
      <c r="A163" s="29" t="s">
        <v>457</v>
      </c>
      <c r="B163" s="29" t="s">
        <v>757</v>
      </c>
      <c r="C163" s="107">
        <v>406882.8</v>
      </c>
      <c r="D163" s="108">
        <v>2240000</v>
      </c>
      <c r="F163" s="107">
        <v>167343.73000000001</v>
      </c>
      <c r="G163" s="108">
        <v>3375550</v>
      </c>
      <c r="I163" s="64">
        <v>167343.73000000001</v>
      </c>
      <c r="J163" s="83">
        <v>152919.20950000006</v>
      </c>
      <c r="K163" s="66">
        <v>3375550</v>
      </c>
      <c r="L163" s="251">
        <v>3611575</v>
      </c>
      <c r="M163" s="63">
        <v>77953.2617999996</v>
      </c>
      <c r="N163" s="64">
        <v>91488.966299999985</v>
      </c>
      <c r="O163" s="65">
        <v>3864120</v>
      </c>
      <c r="P163" s="66">
        <v>3864120</v>
      </c>
      <c r="Q163" s="66">
        <f t="shared" si="36"/>
        <v>234414.66960000002</v>
      </c>
      <c r="R163" s="63">
        <f t="shared" si="37"/>
        <v>156958.07524000003</v>
      </c>
      <c r="S163" s="83">
        <f t="shared" si="38"/>
        <v>98943.727155999717</v>
      </c>
      <c r="T163" s="64">
        <f t="shared" si="39"/>
        <v>87698.969039999865</v>
      </c>
      <c r="U163" s="66">
        <f t="shared" si="40"/>
        <v>2837526.41</v>
      </c>
      <c r="V163" s="63">
        <f t="shared" si="41"/>
        <v>3499746.355</v>
      </c>
      <c r="W163" s="83">
        <f t="shared" si="42"/>
        <v>3744464.179</v>
      </c>
      <c r="X163" s="64">
        <f t="shared" si="43"/>
        <v>3864120</v>
      </c>
      <c r="Z163" s="67">
        <v>167343.73000000001</v>
      </c>
      <c r="AA163" s="68">
        <v>302394.01299999986</v>
      </c>
      <c r="AB163" s="69">
        <v>3375550</v>
      </c>
      <c r="AC163" s="70">
        <v>3611575</v>
      </c>
      <c r="AD163" s="67">
        <v>77953.2617999996</v>
      </c>
      <c r="AE163" s="68">
        <v>91488.966299999985</v>
      </c>
      <c r="AF163" s="69">
        <v>3864120</v>
      </c>
      <c r="AG163" s="70">
        <v>3864120</v>
      </c>
      <c r="AH163" s="70">
        <f t="shared" si="44"/>
        <v>234414.66960000002</v>
      </c>
      <c r="AI163" s="70">
        <f t="shared" si="45"/>
        <v>264579.93375999993</v>
      </c>
      <c r="AJ163" s="70">
        <f t="shared" si="46"/>
        <v>140796.67213599969</v>
      </c>
      <c r="AK163" s="70">
        <f t="shared" si="47"/>
        <v>87698.969039999865</v>
      </c>
      <c r="AL163" s="70">
        <f t="shared" si="48"/>
        <v>2837526.41</v>
      </c>
      <c r="AM163" s="70">
        <f t="shared" si="49"/>
        <v>3499746.355</v>
      </c>
      <c r="AN163" s="70">
        <f t="shared" si="50"/>
        <v>3744464.179</v>
      </c>
      <c r="AO163" s="70">
        <f t="shared" si="51"/>
        <v>3864120</v>
      </c>
    </row>
    <row r="164" spans="1:41">
      <c r="A164" s="29" t="s">
        <v>549</v>
      </c>
      <c r="B164" s="29" t="s">
        <v>758</v>
      </c>
      <c r="C164" s="107">
        <v>1180672.95</v>
      </c>
      <c r="D164" s="108">
        <v>2500000</v>
      </c>
      <c r="F164" s="107">
        <v>905300.55</v>
      </c>
      <c r="G164" s="108">
        <v>2388385</v>
      </c>
      <c r="I164" s="64">
        <v>905300.55</v>
      </c>
      <c r="J164" s="83">
        <v>1056190.4675999996</v>
      </c>
      <c r="K164" s="66">
        <v>2388385</v>
      </c>
      <c r="L164" s="251">
        <v>2900000</v>
      </c>
      <c r="M164" s="63">
        <v>974660.51280000003</v>
      </c>
      <c r="N164" s="64">
        <v>959362.45590000041</v>
      </c>
      <c r="O164" s="65">
        <v>3100000</v>
      </c>
      <c r="P164" s="66">
        <v>3100000</v>
      </c>
      <c r="Q164" s="66">
        <f t="shared" si="36"/>
        <v>982404.82200000016</v>
      </c>
      <c r="R164" s="63">
        <f t="shared" si="37"/>
        <v>1013941.2906719998</v>
      </c>
      <c r="S164" s="83">
        <f t="shared" si="38"/>
        <v>997488.90014399996</v>
      </c>
      <c r="T164" s="64">
        <f t="shared" si="39"/>
        <v>963645.91183200036</v>
      </c>
      <c r="U164" s="66">
        <f t="shared" si="40"/>
        <v>2441268.1869999999</v>
      </c>
      <c r="V164" s="63">
        <f t="shared" si="41"/>
        <v>2657596.8130000001</v>
      </c>
      <c r="W164" s="83">
        <f t="shared" si="42"/>
        <v>3005240</v>
      </c>
      <c r="X164" s="64">
        <f t="shared" si="43"/>
        <v>3100000</v>
      </c>
      <c r="Z164" s="67">
        <v>905300.55</v>
      </c>
      <c r="AA164" s="68">
        <v>1110225.2093999998</v>
      </c>
      <c r="AB164" s="69">
        <v>2388385</v>
      </c>
      <c r="AC164" s="70">
        <v>2900000</v>
      </c>
      <c r="AD164" s="67">
        <v>974660.51280000003</v>
      </c>
      <c r="AE164" s="68">
        <v>959362.45590000041</v>
      </c>
      <c r="AF164" s="69">
        <v>3100000</v>
      </c>
      <c r="AG164" s="70">
        <v>3100000</v>
      </c>
      <c r="AH164" s="70">
        <f t="shared" si="44"/>
        <v>982404.82200000016</v>
      </c>
      <c r="AI164" s="70">
        <f t="shared" si="45"/>
        <v>1052846.3047679998</v>
      </c>
      <c r="AJ164" s="70">
        <f t="shared" si="46"/>
        <v>1012618.627848</v>
      </c>
      <c r="AK164" s="70">
        <f t="shared" si="47"/>
        <v>963645.91183200036</v>
      </c>
      <c r="AL164" s="70">
        <f t="shared" si="48"/>
        <v>2441268.1869999999</v>
      </c>
      <c r="AM164" s="70">
        <f t="shared" si="49"/>
        <v>2657596.8130000001</v>
      </c>
      <c r="AN164" s="70">
        <f t="shared" si="50"/>
        <v>3005240</v>
      </c>
      <c r="AO164" s="70">
        <f t="shared" si="51"/>
        <v>3100000</v>
      </c>
    </row>
    <row r="165" spans="1:41">
      <c r="A165" s="29" t="s">
        <v>145</v>
      </c>
      <c r="B165" s="29" t="s">
        <v>759</v>
      </c>
      <c r="C165" s="107">
        <v>0</v>
      </c>
      <c r="D165" s="108">
        <v>1923615</v>
      </c>
      <c r="F165" s="107">
        <v>0</v>
      </c>
      <c r="G165" s="108">
        <v>2015500</v>
      </c>
      <c r="I165" s="64">
        <v>0</v>
      </c>
      <c r="J165" s="83">
        <v>0</v>
      </c>
      <c r="K165" s="66">
        <v>2015500</v>
      </c>
      <c r="L165" s="251">
        <v>2137865.6355999997</v>
      </c>
      <c r="M165" s="63">
        <v>0</v>
      </c>
      <c r="N165" s="64">
        <v>0</v>
      </c>
      <c r="O165" s="65">
        <v>2211944.7949000001</v>
      </c>
      <c r="P165" s="66">
        <v>2299596.1989000002</v>
      </c>
      <c r="Q165" s="66">
        <f t="shared" si="36"/>
        <v>0</v>
      </c>
      <c r="R165" s="63">
        <f t="shared" si="37"/>
        <v>0</v>
      </c>
      <c r="S165" s="83">
        <f t="shared" si="38"/>
        <v>0</v>
      </c>
      <c r="T165" s="64">
        <f t="shared" si="39"/>
        <v>0</v>
      </c>
      <c r="U165" s="66">
        <f t="shared" si="40"/>
        <v>1971964.8870000001</v>
      </c>
      <c r="V165" s="63">
        <f t="shared" si="41"/>
        <v>2079888.7974527199</v>
      </c>
      <c r="W165" s="83">
        <f t="shared" si="42"/>
        <v>2176846.0892236601</v>
      </c>
      <c r="X165" s="64">
        <f t="shared" si="43"/>
        <v>2258066.9636848001</v>
      </c>
      <c r="Z165" s="67">
        <v>0</v>
      </c>
      <c r="AA165" s="68">
        <v>0</v>
      </c>
      <c r="AB165" s="69">
        <v>2015500</v>
      </c>
      <c r="AC165" s="70">
        <v>2137865.6355999997</v>
      </c>
      <c r="AD165" s="67">
        <v>0</v>
      </c>
      <c r="AE165" s="68">
        <v>0</v>
      </c>
      <c r="AF165" s="69">
        <v>2211944.7949000001</v>
      </c>
      <c r="AG165" s="70">
        <v>2299596.1989000002</v>
      </c>
      <c r="AH165" s="70">
        <f t="shared" si="44"/>
        <v>0</v>
      </c>
      <c r="AI165" s="70">
        <f t="shared" si="45"/>
        <v>0</v>
      </c>
      <c r="AJ165" s="70">
        <f t="shared" si="46"/>
        <v>0</v>
      </c>
      <c r="AK165" s="70">
        <f t="shared" si="47"/>
        <v>0</v>
      </c>
      <c r="AL165" s="70">
        <f t="shared" si="48"/>
        <v>1971964.8870000001</v>
      </c>
      <c r="AM165" s="70">
        <f t="shared" si="49"/>
        <v>2079888.7974527199</v>
      </c>
      <c r="AN165" s="70">
        <f t="shared" si="50"/>
        <v>2176846.0892236601</v>
      </c>
      <c r="AO165" s="70">
        <f t="shared" si="51"/>
        <v>2258066.9636848001</v>
      </c>
    </row>
    <row r="166" spans="1:41">
      <c r="A166" s="29" t="s">
        <v>113</v>
      </c>
      <c r="B166" s="29" t="s">
        <v>760</v>
      </c>
      <c r="C166" s="107">
        <v>1512116.8</v>
      </c>
      <c r="D166" s="108">
        <v>1950000</v>
      </c>
      <c r="F166" s="107">
        <v>1514106.95</v>
      </c>
      <c r="G166" s="108">
        <v>2010000</v>
      </c>
      <c r="I166" s="64">
        <v>1514106.95</v>
      </c>
      <c r="J166" s="83">
        <v>1602590.6912766669</v>
      </c>
      <c r="K166" s="66">
        <v>2010000</v>
      </c>
      <c r="L166" s="251">
        <v>2010000</v>
      </c>
      <c r="M166" s="63">
        <v>1581293.3985419995</v>
      </c>
      <c r="N166" s="64">
        <v>1565784.9858560001</v>
      </c>
      <c r="O166" s="65">
        <v>2010000</v>
      </c>
      <c r="P166" s="66">
        <v>2010000</v>
      </c>
      <c r="Q166" s="66">
        <f t="shared" si="36"/>
        <v>1513549.7080000001</v>
      </c>
      <c r="R166" s="63">
        <f t="shared" si="37"/>
        <v>1577815.2437192001</v>
      </c>
      <c r="S166" s="83">
        <f t="shared" si="38"/>
        <v>1587256.6405077064</v>
      </c>
      <c r="T166" s="64">
        <f t="shared" si="39"/>
        <v>1570127.34140808</v>
      </c>
      <c r="U166" s="66">
        <f t="shared" si="40"/>
        <v>1981572</v>
      </c>
      <c r="V166" s="63">
        <f t="shared" si="41"/>
        <v>2010000</v>
      </c>
      <c r="W166" s="83">
        <f t="shared" si="42"/>
        <v>2010000</v>
      </c>
      <c r="X166" s="64">
        <f t="shared" si="43"/>
        <v>2010000</v>
      </c>
      <c r="Z166" s="67">
        <v>1514106.95</v>
      </c>
      <c r="AA166" s="68">
        <v>1630169.0145586662</v>
      </c>
      <c r="AB166" s="69">
        <v>2010000</v>
      </c>
      <c r="AC166" s="70">
        <v>2010000</v>
      </c>
      <c r="AD166" s="67">
        <v>1581293.3985419995</v>
      </c>
      <c r="AE166" s="68">
        <v>1565784.9858560001</v>
      </c>
      <c r="AF166" s="69">
        <v>2010000</v>
      </c>
      <c r="AG166" s="70">
        <v>2010000</v>
      </c>
      <c r="AH166" s="70">
        <f t="shared" si="44"/>
        <v>1513549.7080000001</v>
      </c>
      <c r="AI166" s="70">
        <f t="shared" si="45"/>
        <v>1597671.6364822395</v>
      </c>
      <c r="AJ166" s="70">
        <f t="shared" si="46"/>
        <v>1594978.5710266661</v>
      </c>
      <c r="AK166" s="70">
        <f t="shared" si="47"/>
        <v>1570127.34140808</v>
      </c>
      <c r="AL166" s="70">
        <f t="shared" si="48"/>
        <v>1981572</v>
      </c>
      <c r="AM166" s="70">
        <f t="shared" si="49"/>
        <v>2010000</v>
      </c>
      <c r="AN166" s="70">
        <f t="shared" si="50"/>
        <v>2010000</v>
      </c>
      <c r="AO166" s="70">
        <f t="shared" si="51"/>
        <v>2010000</v>
      </c>
    </row>
    <row r="167" spans="1:41">
      <c r="A167" s="29" t="s">
        <v>231</v>
      </c>
      <c r="B167" s="29" t="s">
        <v>761</v>
      </c>
      <c r="C167" s="107">
        <v>0</v>
      </c>
      <c r="D167" s="108">
        <v>12574688</v>
      </c>
      <c r="F167" s="107">
        <v>0</v>
      </c>
      <c r="G167" s="108">
        <v>13212139</v>
      </c>
      <c r="I167" s="64">
        <v>0</v>
      </c>
      <c r="J167" s="83">
        <v>0</v>
      </c>
      <c r="K167" s="66">
        <v>13212139</v>
      </c>
      <c r="L167" s="251">
        <v>13203423</v>
      </c>
      <c r="M167" s="63">
        <v>0</v>
      </c>
      <c r="N167" s="64">
        <v>0</v>
      </c>
      <c r="O167" s="65">
        <v>13203423</v>
      </c>
      <c r="P167" s="66">
        <v>13203423</v>
      </c>
      <c r="Q167" s="66">
        <f t="shared" si="36"/>
        <v>0</v>
      </c>
      <c r="R167" s="63">
        <f t="shared" si="37"/>
        <v>0</v>
      </c>
      <c r="S167" s="83">
        <f t="shared" si="38"/>
        <v>0</v>
      </c>
      <c r="T167" s="64">
        <f t="shared" si="39"/>
        <v>0</v>
      </c>
      <c r="U167" s="66">
        <f t="shared" si="40"/>
        <v>12910114.7162</v>
      </c>
      <c r="V167" s="63">
        <f t="shared" si="41"/>
        <v>13207552.640799999</v>
      </c>
      <c r="W167" s="83">
        <f t="shared" si="42"/>
        <v>13203423</v>
      </c>
      <c r="X167" s="64">
        <f t="shared" si="43"/>
        <v>13203423</v>
      </c>
      <c r="Z167" s="67">
        <v>0</v>
      </c>
      <c r="AA167" s="68">
        <v>0</v>
      </c>
      <c r="AB167" s="69">
        <v>13212139</v>
      </c>
      <c r="AC167" s="70">
        <v>13203423</v>
      </c>
      <c r="AD167" s="67">
        <v>0</v>
      </c>
      <c r="AE167" s="68">
        <v>0</v>
      </c>
      <c r="AF167" s="69">
        <v>13203423</v>
      </c>
      <c r="AG167" s="70">
        <v>13203423</v>
      </c>
      <c r="AH167" s="70">
        <f t="shared" si="44"/>
        <v>0</v>
      </c>
      <c r="AI167" s="70">
        <f t="shared" si="45"/>
        <v>0</v>
      </c>
      <c r="AJ167" s="70">
        <f t="shared" si="46"/>
        <v>0</v>
      </c>
      <c r="AK167" s="70">
        <f t="shared" si="47"/>
        <v>0</v>
      </c>
      <c r="AL167" s="70">
        <f t="shared" si="48"/>
        <v>12910114.7162</v>
      </c>
      <c r="AM167" s="70">
        <f t="shared" si="49"/>
        <v>13207552.640799999</v>
      </c>
      <c r="AN167" s="70">
        <f t="shared" si="50"/>
        <v>13203423</v>
      </c>
      <c r="AO167" s="70">
        <f t="shared" si="51"/>
        <v>13203423</v>
      </c>
    </row>
    <row r="168" spans="1:41">
      <c r="A168" s="29" t="s">
        <v>323</v>
      </c>
      <c r="B168" s="29" t="s">
        <v>762</v>
      </c>
      <c r="C168" s="107">
        <v>0</v>
      </c>
      <c r="D168" s="108">
        <v>0</v>
      </c>
      <c r="F168" s="107">
        <v>0</v>
      </c>
      <c r="G168" s="108">
        <v>3831125</v>
      </c>
      <c r="I168" s="64">
        <v>0</v>
      </c>
      <c r="J168" s="83">
        <v>0</v>
      </c>
      <c r="K168" s="66">
        <v>3831125</v>
      </c>
      <c r="L168" s="251">
        <v>3831125</v>
      </c>
      <c r="M168" s="63">
        <v>0</v>
      </c>
      <c r="N168" s="64">
        <v>0</v>
      </c>
      <c r="O168" s="65">
        <v>3831125</v>
      </c>
      <c r="P168" s="66">
        <v>3831125</v>
      </c>
      <c r="Q168" s="66">
        <f t="shared" si="36"/>
        <v>0</v>
      </c>
      <c r="R168" s="63">
        <f t="shared" si="37"/>
        <v>0</v>
      </c>
      <c r="S168" s="83">
        <f t="shared" si="38"/>
        <v>0</v>
      </c>
      <c r="T168" s="64">
        <f t="shared" si="39"/>
        <v>0</v>
      </c>
      <c r="U168" s="66">
        <f t="shared" si="40"/>
        <v>2015937.9750000001</v>
      </c>
      <c r="V168" s="63">
        <f t="shared" si="41"/>
        <v>3831125</v>
      </c>
      <c r="W168" s="83">
        <f t="shared" si="42"/>
        <v>3831125</v>
      </c>
      <c r="X168" s="64">
        <f t="shared" si="43"/>
        <v>3831125</v>
      </c>
      <c r="Z168" s="67">
        <v>0</v>
      </c>
      <c r="AA168" s="68">
        <v>0</v>
      </c>
      <c r="AB168" s="69">
        <v>3831125</v>
      </c>
      <c r="AC168" s="70">
        <v>3831125</v>
      </c>
      <c r="AD168" s="67">
        <v>0</v>
      </c>
      <c r="AE168" s="68">
        <v>0</v>
      </c>
      <c r="AF168" s="69">
        <v>3831125</v>
      </c>
      <c r="AG168" s="70">
        <v>3831125</v>
      </c>
      <c r="AH168" s="70">
        <f t="shared" si="44"/>
        <v>0</v>
      </c>
      <c r="AI168" s="70">
        <f t="shared" si="45"/>
        <v>0</v>
      </c>
      <c r="AJ168" s="70">
        <f t="shared" si="46"/>
        <v>0</v>
      </c>
      <c r="AK168" s="70">
        <f t="shared" si="47"/>
        <v>0</v>
      </c>
      <c r="AL168" s="70">
        <f t="shared" si="48"/>
        <v>2015937.9750000001</v>
      </c>
      <c r="AM168" s="70">
        <f t="shared" si="49"/>
        <v>3831125</v>
      </c>
      <c r="AN168" s="70">
        <f t="shared" si="50"/>
        <v>3831125</v>
      </c>
      <c r="AO168" s="70">
        <f t="shared" si="51"/>
        <v>3831125</v>
      </c>
    </row>
    <row r="169" spans="1:41">
      <c r="A169" s="29" t="s">
        <v>353</v>
      </c>
      <c r="B169" s="29" t="s">
        <v>884</v>
      </c>
      <c r="C169" s="107">
        <v>0</v>
      </c>
      <c r="D169" s="108">
        <v>0</v>
      </c>
      <c r="F169" s="107">
        <v>0</v>
      </c>
      <c r="G169" s="108">
        <v>0</v>
      </c>
      <c r="I169" s="64">
        <v>0</v>
      </c>
      <c r="J169" s="83">
        <v>0</v>
      </c>
      <c r="K169" s="66">
        <v>0</v>
      </c>
      <c r="L169" s="251">
        <v>0</v>
      </c>
      <c r="M169" s="63">
        <v>0</v>
      </c>
      <c r="N169" s="64">
        <v>0</v>
      </c>
      <c r="O169" s="65">
        <v>0</v>
      </c>
      <c r="P169" s="66">
        <v>0</v>
      </c>
      <c r="Q169" s="66">
        <f t="shared" si="36"/>
        <v>0</v>
      </c>
      <c r="R169" s="63">
        <f t="shared" si="37"/>
        <v>0</v>
      </c>
      <c r="S169" s="83">
        <f t="shared" si="38"/>
        <v>0</v>
      </c>
      <c r="T169" s="64">
        <f t="shared" si="39"/>
        <v>0</v>
      </c>
      <c r="U169" s="66">
        <f t="shared" si="40"/>
        <v>0</v>
      </c>
      <c r="V169" s="63">
        <f t="shared" si="41"/>
        <v>0</v>
      </c>
      <c r="W169" s="83">
        <f t="shared" si="42"/>
        <v>0</v>
      </c>
      <c r="X169" s="64">
        <f t="shared" si="43"/>
        <v>0</v>
      </c>
      <c r="Z169" s="67">
        <v>0</v>
      </c>
      <c r="AA169" s="68">
        <v>0</v>
      </c>
      <c r="AB169" s="69">
        <v>0</v>
      </c>
      <c r="AC169" s="70">
        <v>0</v>
      </c>
      <c r="AD169" s="67">
        <v>0</v>
      </c>
      <c r="AE169" s="68">
        <v>0</v>
      </c>
      <c r="AF169" s="69">
        <v>0</v>
      </c>
      <c r="AG169" s="70">
        <v>0</v>
      </c>
      <c r="AH169" s="70">
        <f t="shared" si="44"/>
        <v>0</v>
      </c>
      <c r="AI169" s="70">
        <f t="shared" si="45"/>
        <v>0</v>
      </c>
      <c r="AJ169" s="70">
        <f t="shared" si="46"/>
        <v>0</v>
      </c>
      <c r="AK169" s="70">
        <f t="shared" si="47"/>
        <v>0</v>
      </c>
      <c r="AL169" s="70">
        <f t="shared" si="48"/>
        <v>0</v>
      </c>
      <c r="AM169" s="70">
        <f t="shared" si="49"/>
        <v>0</v>
      </c>
      <c r="AN169" s="70">
        <f t="shared" si="50"/>
        <v>0</v>
      </c>
      <c r="AO169" s="70">
        <f t="shared" si="51"/>
        <v>0</v>
      </c>
    </row>
    <row r="170" spans="1:41">
      <c r="A170" s="29" t="s">
        <v>509</v>
      </c>
      <c r="B170" s="29" t="s">
        <v>763</v>
      </c>
      <c r="C170" s="107">
        <v>2020355.68</v>
      </c>
      <c r="D170" s="108">
        <v>43125000</v>
      </c>
      <c r="F170" s="107">
        <v>0</v>
      </c>
      <c r="G170" s="108">
        <v>42100696</v>
      </c>
      <c r="I170" s="64">
        <v>0</v>
      </c>
      <c r="J170" s="83">
        <v>0</v>
      </c>
      <c r="K170" s="66">
        <v>42100696</v>
      </c>
      <c r="L170" s="251">
        <v>41994323.878999993</v>
      </c>
      <c r="M170" s="63">
        <v>0</v>
      </c>
      <c r="N170" s="64">
        <v>0</v>
      </c>
      <c r="O170" s="65">
        <v>43449803.645199999</v>
      </c>
      <c r="P170" s="66">
        <v>45171294.013999999</v>
      </c>
      <c r="Q170" s="66">
        <f t="shared" si="36"/>
        <v>565699.59039999999</v>
      </c>
      <c r="R170" s="63">
        <f t="shared" si="37"/>
        <v>0</v>
      </c>
      <c r="S170" s="83">
        <f t="shared" si="38"/>
        <v>0</v>
      </c>
      <c r="T170" s="64">
        <f t="shared" si="39"/>
        <v>0</v>
      </c>
      <c r="U170" s="66">
        <f t="shared" si="40"/>
        <v>42586011.235200003</v>
      </c>
      <c r="V170" s="63">
        <f t="shared" si="41"/>
        <v>42044722.989929795</v>
      </c>
      <c r="W170" s="83">
        <f t="shared" si="42"/>
        <v>42760197.331974432</v>
      </c>
      <c r="X170" s="64">
        <f t="shared" si="43"/>
        <v>44355651.877262563</v>
      </c>
      <c r="Z170" s="67">
        <v>0</v>
      </c>
      <c r="AA170" s="68">
        <v>0</v>
      </c>
      <c r="AB170" s="69">
        <v>42100696</v>
      </c>
      <c r="AC170" s="70">
        <v>43900054.372199997</v>
      </c>
      <c r="AD170" s="67">
        <v>0</v>
      </c>
      <c r="AE170" s="68">
        <v>0</v>
      </c>
      <c r="AF170" s="69">
        <v>43449803.645199999</v>
      </c>
      <c r="AG170" s="70">
        <v>45171294.013999999</v>
      </c>
      <c r="AH170" s="70">
        <f t="shared" si="44"/>
        <v>565699.59039999999</v>
      </c>
      <c r="AI170" s="70">
        <f t="shared" si="45"/>
        <v>0</v>
      </c>
      <c r="AJ170" s="70">
        <f t="shared" si="46"/>
        <v>0</v>
      </c>
      <c r="AK170" s="70">
        <f t="shared" si="47"/>
        <v>0</v>
      </c>
      <c r="AL170" s="70">
        <f t="shared" si="48"/>
        <v>42586011.235200003</v>
      </c>
      <c r="AM170" s="70">
        <f t="shared" si="49"/>
        <v>43047518.375451639</v>
      </c>
      <c r="AN170" s="70">
        <f t="shared" si="50"/>
        <v>43663132.439652599</v>
      </c>
      <c r="AO170" s="70">
        <f t="shared" si="51"/>
        <v>44355651.877262563</v>
      </c>
    </row>
    <row r="171" spans="1:41">
      <c r="A171" s="29" t="s">
        <v>503</v>
      </c>
      <c r="B171" s="29" t="s">
        <v>764</v>
      </c>
      <c r="C171" s="107">
        <v>10778.12</v>
      </c>
      <c r="D171" s="108">
        <v>375000</v>
      </c>
      <c r="F171" s="107">
        <v>71797.87</v>
      </c>
      <c r="G171" s="108">
        <v>375000</v>
      </c>
      <c r="I171" s="64">
        <v>71797.87</v>
      </c>
      <c r="J171" s="83">
        <v>116506.46310000002</v>
      </c>
      <c r="K171" s="66">
        <v>375000</v>
      </c>
      <c r="L171" s="251">
        <v>375000</v>
      </c>
      <c r="M171" s="63">
        <v>122634.12719999993</v>
      </c>
      <c r="N171" s="64">
        <v>136744.9773</v>
      </c>
      <c r="O171" s="65">
        <v>375000</v>
      </c>
      <c r="P171" s="66">
        <v>375000</v>
      </c>
      <c r="Q171" s="66">
        <f t="shared" si="36"/>
        <v>54712.34</v>
      </c>
      <c r="R171" s="63">
        <f t="shared" si="37"/>
        <v>103988.05703200001</v>
      </c>
      <c r="S171" s="83">
        <f t="shared" si="38"/>
        <v>120918.38125199996</v>
      </c>
      <c r="T171" s="64">
        <f t="shared" si="39"/>
        <v>132793.93927199999</v>
      </c>
      <c r="U171" s="66">
        <f t="shared" si="40"/>
        <v>375000</v>
      </c>
      <c r="V171" s="63">
        <f t="shared" si="41"/>
        <v>375000</v>
      </c>
      <c r="W171" s="83">
        <f t="shared" si="42"/>
        <v>375000</v>
      </c>
      <c r="X171" s="64">
        <f t="shared" si="43"/>
        <v>375000</v>
      </c>
      <c r="Z171" s="67">
        <v>71797.87</v>
      </c>
      <c r="AA171" s="68">
        <v>116506.46310000002</v>
      </c>
      <c r="AB171" s="69">
        <v>375000</v>
      </c>
      <c r="AC171" s="70">
        <v>375000</v>
      </c>
      <c r="AD171" s="67">
        <v>122634.12719999993</v>
      </c>
      <c r="AE171" s="68">
        <v>136744.9773</v>
      </c>
      <c r="AF171" s="69">
        <v>375000</v>
      </c>
      <c r="AG171" s="70">
        <v>375000</v>
      </c>
      <c r="AH171" s="70">
        <f t="shared" si="44"/>
        <v>54712.34</v>
      </c>
      <c r="AI171" s="70">
        <f t="shared" si="45"/>
        <v>103988.05703200001</v>
      </c>
      <c r="AJ171" s="70">
        <f t="shared" si="46"/>
        <v>120918.38125199996</v>
      </c>
      <c r="AK171" s="70">
        <f t="shared" si="47"/>
        <v>132793.93927199999</v>
      </c>
      <c r="AL171" s="70">
        <f t="shared" si="48"/>
        <v>375000</v>
      </c>
      <c r="AM171" s="70">
        <f t="shared" si="49"/>
        <v>375000</v>
      </c>
      <c r="AN171" s="70">
        <f t="shared" si="50"/>
        <v>375000</v>
      </c>
      <c r="AO171" s="70">
        <f t="shared" si="51"/>
        <v>375000</v>
      </c>
    </row>
    <row r="172" spans="1:41">
      <c r="A172" s="29" t="s">
        <v>219</v>
      </c>
      <c r="B172" s="29" t="s">
        <v>765</v>
      </c>
      <c r="C172" s="107">
        <v>0</v>
      </c>
      <c r="D172" s="108">
        <v>59000000</v>
      </c>
      <c r="F172" s="107">
        <v>0</v>
      </c>
      <c r="G172" s="108">
        <v>60000000</v>
      </c>
      <c r="I172" s="64">
        <v>0</v>
      </c>
      <c r="J172" s="83">
        <v>0</v>
      </c>
      <c r="K172" s="66">
        <v>60000000</v>
      </c>
      <c r="L172" s="251">
        <v>60000000</v>
      </c>
      <c r="M172" s="63">
        <v>0</v>
      </c>
      <c r="N172" s="64">
        <v>0</v>
      </c>
      <c r="O172" s="65">
        <v>60000000</v>
      </c>
      <c r="P172" s="66">
        <v>60000000</v>
      </c>
      <c r="Q172" s="66">
        <f t="shared" si="36"/>
        <v>0</v>
      </c>
      <c r="R172" s="63">
        <f t="shared" si="37"/>
        <v>0</v>
      </c>
      <c r="S172" s="83">
        <f t="shared" si="38"/>
        <v>0</v>
      </c>
      <c r="T172" s="64">
        <f t="shared" si="39"/>
        <v>0</v>
      </c>
      <c r="U172" s="66">
        <f t="shared" si="40"/>
        <v>59526200</v>
      </c>
      <c r="V172" s="63">
        <f t="shared" si="41"/>
        <v>60000000</v>
      </c>
      <c r="W172" s="83">
        <f t="shared" si="42"/>
        <v>60000000</v>
      </c>
      <c r="X172" s="64">
        <f t="shared" si="43"/>
        <v>60000000</v>
      </c>
      <c r="Z172" s="67">
        <v>0</v>
      </c>
      <c r="AA172" s="68">
        <v>0</v>
      </c>
      <c r="AB172" s="69">
        <v>60000000</v>
      </c>
      <c r="AC172" s="70">
        <v>60000000</v>
      </c>
      <c r="AD172" s="67">
        <v>0</v>
      </c>
      <c r="AE172" s="68">
        <v>0</v>
      </c>
      <c r="AF172" s="69">
        <v>60000000</v>
      </c>
      <c r="AG172" s="70">
        <v>60000000</v>
      </c>
      <c r="AH172" s="70">
        <f t="shared" si="44"/>
        <v>0</v>
      </c>
      <c r="AI172" s="70">
        <f t="shared" si="45"/>
        <v>0</v>
      </c>
      <c r="AJ172" s="70">
        <f t="shared" si="46"/>
        <v>0</v>
      </c>
      <c r="AK172" s="70">
        <f t="shared" si="47"/>
        <v>0</v>
      </c>
      <c r="AL172" s="70">
        <f t="shared" si="48"/>
        <v>59526200</v>
      </c>
      <c r="AM172" s="70">
        <f t="shared" si="49"/>
        <v>60000000</v>
      </c>
      <c r="AN172" s="70">
        <f t="shared" si="50"/>
        <v>60000000</v>
      </c>
      <c r="AO172" s="70">
        <f t="shared" si="51"/>
        <v>60000000</v>
      </c>
    </row>
    <row r="173" spans="1:41">
      <c r="A173" s="29" t="s">
        <v>167</v>
      </c>
      <c r="B173" s="29" t="s">
        <v>766</v>
      </c>
      <c r="C173" s="107">
        <v>2348064.5099999998</v>
      </c>
      <c r="D173" s="108">
        <v>10950000</v>
      </c>
      <c r="F173" s="107">
        <v>1611425.64</v>
      </c>
      <c r="G173" s="108">
        <v>11400000</v>
      </c>
      <c r="I173" s="64">
        <v>1611425.64</v>
      </c>
      <c r="J173" s="83">
        <v>1754028.9705999992</v>
      </c>
      <c r="K173" s="66">
        <v>11400000</v>
      </c>
      <c r="L173" s="251">
        <v>11850000</v>
      </c>
      <c r="M173" s="63">
        <v>1853198.7506999979</v>
      </c>
      <c r="N173" s="64">
        <v>1411735.0581000017</v>
      </c>
      <c r="O173" s="65">
        <v>12350000</v>
      </c>
      <c r="P173" s="66">
        <v>12850000</v>
      </c>
      <c r="Q173" s="66">
        <f t="shared" si="36"/>
        <v>1817684.5235999997</v>
      </c>
      <c r="R173" s="63">
        <f t="shared" si="37"/>
        <v>1714100.0380319995</v>
      </c>
      <c r="S173" s="83">
        <f t="shared" si="38"/>
        <v>1825431.2122719982</v>
      </c>
      <c r="T173" s="64">
        <f t="shared" si="39"/>
        <v>1535344.8920280007</v>
      </c>
      <c r="U173" s="66">
        <f t="shared" si="40"/>
        <v>11186790</v>
      </c>
      <c r="V173" s="63">
        <f t="shared" si="41"/>
        <v>11636790</v>
      </c>
      <c r="W173" s="83">
        <f t="shared" si="42"/>
        <v>12113100</v>
      </c>
      <c r="X173" s="64">
        <f t="shared" si="43"/>
        <v>12613100</v>
      </c>
      <c r="Z173" s="67">
        <v>1611425.64</v>
      </c>
      <c r="AA173" s="68">
        <v>2270822.783199999</v>
      </c>
      <c r="AB173" s="69">
        <v>11400000</v>
      </c>
      <c r="AC173" s="70">
        <v>11850000</v>
      </c>
      <c r="AD173" s="67">
        <v>1853198.7506999979</v>
      </c>
      <c r="AE173" s="68">
        <v>1411735.0581000017</v>
      </c>
      <c r="AF173" s="69">
        <v>12350000</v>
      </c>
      <c r="AG173" s="70">
        <v>12850000</v>
      </c>
      <c r="AH173" s="70">
        <f t="shared" si="44"/>
        <v>1817684.5235999997</v>
      </c>
      <c r="AI173" s="70">
        <f t="shared" si="45"/>
        <v>2086191.583103999</v>
      </c>
      <c r="AJ173" s="70">
        <f t="shared" si="46"/>
        <v>1970133.479799998</v>
      </c>
      <c r="AK173" s="70">
        <f t="shared" si="47"/>
        <v>1535344.8920280007</v>
      </c>
      <c r="AL173" s="70">
        <f t="shared" si="48"/>
        <v>11186790</v>
      </c>
      <c r="AM173" s="70">
        <f t="shared" si="49"/>
        <v>11636790</v>
      </c>
      <c r="AN173" s="70">
        <f t="shared" si="50"/>
        <v>12113100</v>
      </c>
      <c r="AO173" s="70">
        <f t="shared" si="51"/>
        <v>12613100</v>
      </c>
    </row>
    <row r="174" spans="1:41">
      <c r="A174" s="29" t="s">
        <v>579</v>
      </c>
      <c r="B174" s="29" t="s">
        <v>767</v>
      </c>
      <c r="C174" s="107">
        <v>0</v>
      </c>
      <c r="D174" s="108">
        <v>310598</v>
      </c>
      <c r="F174" s="107">
        <v>0</v>
      </c>
      <c r="G174" s="108">
        <v>387761</v>
      </c>
      <c r="I174" s="64">
        <v>0</v>
      </c>
      <c r="J174" s="83">
        <v>0</v>
      </c>
      <c r="K174" s="66">
        <v>387761</v>
      </c>
      <c r="L174" s="251">
        <v>423163.01999999996</v>
      </c>
      <c r="M174" s="63">
        <v>0</v>
      </c>
      <c r="N174" s="64">
        <v>9752.6195999999891</v>
      </c>
      <c r="O174" s="65">
        <v>437839.21669999999</v>
      </c>
      <c r="P174" s="66">
        <v>451875.42499999999</v>
      </c>
      <c r="Q174" s="66">
        <f t="shared" si="36"/>
        <v>0</v>
      </c>
      <c r="R174" s="63">
        <f t="shared" si="37"/>
        <v>0</v>
      </c>
      <c r="S174" s="83">
        <f t="shared" si="38"/>
        <v>0</v>
      </c>
      <c r="T174" s="64">
        <f t="shared" si="39"/>
        <v>7021.886111999992</v>
      </c>
      <c r="U174" s="66">
        <f t="shared" si="40"/>
        <v>351201.17060000001</v>
      </c>
      <c r="V174" s="63">
        <f t="shared" si="41"/>
        <v>406389.54292399995</v>
      </c>
      <c r="W174" s="83">
        <f t="shared" si="42"/>
        <v>430885.63470354001</v>
      </c>
      <c r="X174" s="64">
        <f t="shared" si="43"/>
        <v>445225.06950745999</v>
      </c>
      <c r="Z174" s="67">
        <v>0</v>
      </c>
      <c r="AA174" s="68">
        <v>0</v>
      </c>
      <c r="AB174" s="69">
        <v>387761</v>
      </c>
      <c r="AC174" s="70">
        <v>423163.01999999996</v>
      </c>
      <c r="AD174" s="67">
        <v>0</v>
      </c>
      <c r="AE174" s="68">
        <v>9752.6195999999891</v>
      </c>
      <c r="AF174" s="69">
        <v>437839.21669999999</v>
      </c>
      <c r="AG174" s="70">
        <v>451875.42499999999</v>
      </c>
      <c r="AH174" s="70">
        <f t="shared" si="44"/>
        <v>0</v>
      </c>
      <c r="AI174" s="70">
        <f t="shared" si="45"/>
        <v>0</v>
      </c>
      <c r="AJ174" s="70">
        <f t="shared" si="46"/>
        <v>0</v>
      </c>
      <c r="AK174" s="70">
        <f t="shared" si="47"/>
        <v>7021.886111999992</v>
      </c>
      <c r="AL174" s="70">
        <f t="shared" si="48"/>
        <v>351201.17060000001</v>
      </c>
      <c r="AM174" s="70">
        <f t="shared" si="49"/>
        <v>406389.54292399995</v>
      </c>
      <c r="AN174" s="70">
        <f t="shared" si="50"/>
        <v>430885.63470354001</v>
      </c>
      <c r="AO174" s="70">
        <f t="shared" si="51"/>
        <v>445225.06950745999</v>
      </c>
    </row>
    <row r="175" spans="1:41">
      <c r="A175" s="29" t="s">
        <v>165</v>
      </c>
      <c r="B175" s="29" t="s">
        <v>768</v>
      </c>
      <c r="C175" s="107">
        <v>123212.58</v>
      </c>
      <c r="D175" s="108">
        <v>400000</v>
      </c>
      <c r="F175" s="107">
        <v>119778.9</v>
      </c>
      <c r="G175" s="108">
        <v>400000</v>
      </c>
      <c r="I175" s="64">
        <v>119778.9</v>
      </c>
      <c r="J175" s="83">
        <v>116238.14049999996</v>
      </c>
      <c r="K175" s="66">
        <v>400000</v>
      </c>
      <c r="L175" s="251">
        <v>410000</v>
      </c>
      <c r="M175" s="63">
        <v>98999.751993999947</v>
      </c>
      <c r="N175" s="64">
        <v>75080.451820000046</v>
      </c>
      <c r="O175" s="65">
        <v>410000</v>
      </c>
      <c r="P175" s="66">
        <v>410000</v>
      </c>
      <c r="Q175" s="66">
        <f t="shared" si="36"/>
        <v>120740.33039999999</v>
      </c>
      <c r="R175" s="63">
        <f t="shared" si="37"/>
        <v>117229.55315999998</v>
      </c>
      <c r="S175" s="83">
        <f t="shared" si="38"/>
        <v>103826.50077567995</v>
      </c>
      <c r="T175" s="64">
        <f t="shared" si="39"/>
        <v>81777.855868720013</v>
      </c>
      <c r="U175" s="66">
        <f t="shared" si="40"/>
        <v>400000</v>
      </c>
      <c r="V175" s="63">
        <f t="shared" si="41"/>
        <v>405262</v>
      </c>
      <c r="W175" s="83">
        <f t="shared" si="42"/>
        <v>410000</v>
      </c>
      <c r="X175" s="64">
        <f t="shared" si="43"/>
        <v>410000</v>
      </c>
      <c r="Z175" s="67">
        <v>119778.9</v>
      </c>
      <c r="AA175" s="68">
        <v>116238.14049999996</v>
      </c>
      <c r="AB175" s="69">
        <v>400000</v>
      </c>
      <c r="AC175" s="70">
        <v>410000</v>
      </c>
      <c r="AD175" s="67">
        <v>98999.751993999947</v>
      </c>
      <c r="AE175" s="68">
        <v>75080.451820000046</v>
      </c>
      <c r="AF175" s="69">
        <v>410000</v>
      </c>
      <c r="AG175" s="70">
        <v>410000</v>
      </c>
      <c r="AH175" s="70">
        <f t="shared" si="44"/>
        <v>120740.33039999999</v>
      </c>
      <c r="AI175" s="70">
        <f t="shared" si="45"/>
        <v>117229.55315999998</v>
      </c>
      <c r="AJ175" s="70">
        <f t="shared" si="46"/>
        <v>103826.50077567995</v>
      </c>
      <c r="AK175" s="70">
        <f t="shared" si="47"/>
        <v>81777.855868720013</v>
      </c>
      <c r="AL175" s="70">
        <f t="shared" si="48"/>
        <v>400000</v>
      </c>
      <c r="AM175" s="70">
        <f t="shared" si="49"/>
        <v>405262</v>
      </c>
      <c r="AN175" s="70">
        <f t="shared" si="50"/>
        <v>410000</v>
      </c>
      <c r="AO175" s="70">
        <f t="shared" si="51"/>
        <v>410000</v>
      </c>
    </row>
    <row r="176" spans="1:41">
      <c r="A176" s="29" t="s">
        <v>343</v>
      </c>
      <c r="B176" s="29" t="s">
        <v>769</v>
      </c>
      <c r="C176" s="107">
        <v>0</v>
      </c>
      <c r="D176" s="108">
        <v>2756000</v>
      </c>
      <c r="F176" s="107">
        <v>0</v>
      </c>
      <c r="G176" s="108">
        <v>2778958</v>
      </c>
      <c r="I176" s="64">
        <v>0</v>
      </c>
      <c r="J176" s="83">
        <v>0</v>
      </c>
      <c r="K176" s="66">
        <v>2778958</v>
      </c>
      <c r="L176" s="251">
        <v>2911591.8703999999</v>
      </c>
      <c r="M176" s="63">
        <v>0</v>
      </c>
      <c r="N176" s="64">
        <v>0</v>
      </c>
      <c r="O176" s="65">
        <v>3012499.5767000001</v>
      </c>
      <c r="P176" s="66">
        <v>3020160</v>
      </c>
      <c r="Q176" s="66">
        <f t="shared" si="36"/>
        <v>0</v>
      </c>
      <c r="R176" s="63">
        <f t="shared" si="37"/>
        <v>0</v>
      </c>
      <c r="S176" s="83">
        <f t="shared" si="38"/>
        <v>0</v>
      </c>
      <c r="T176" s="64">
        <f t="shared" si="39"/>
        <v>0</v>
      </c>
      <c r="U176" s="66">
        <f t="shared" si="40"/>
        <v>2768080.4995999997</v>
      </c>
      <c r="V176" s="63">
        <f t="shared" si="41"/>
        <v>2848749.9426044803</v>
      </c>
      <c r="W176" s="83">
        <f t="shared" si="42"/>
        <v>2964689.5054550599</v>
      </c>
      <c r="X176" s="64">
        <f t="shared" si="43"/>
        <v>3016530.4914404601</v>
      </c>
      <c r="Z176" s="67">
        <v>0</v>
      </c>
      <c r="AA176" s="68">
        <v>0</v>
      </c>
      <c r="AB176" s="69">
        <v>2778958</v>
      </c>
      <c r="AC176" s="70">
        <v>2932497</v>
      </c>
      <c r="AD176" s="67">
        <v>0</v>
      </c>
      <c r="AE176" s="68">
        <v>0</v>
      </c>
      <c r="AF176" s="69">
        <v>3012499.5767000001</v>
      </c>
      <c r="AG176" s="70">
        <v>3020160</v>
      </c>
      <c r="AH176" s="70">
        <f t="shared" si="44"/>
        <v>0</v>
      </c>
      <c r="AI176" s="70">
        <f t="shared" si="45"/>
        <v>0</v>
      </c>
      <c r="AJ176" s="70">
        <f t="shared" si="46"/>
        <v>0</v>
      </c>
      <c r="AK176" s="70">
        <f t="shared" si="47"/>
        <v>0</v>
      </c>
      <c r="AL176" s="70">
        <f t="shared" si="48"/>
        <v>2768080.4995999997</v>
      </c>
      <c r="AM176" s="70">
        <f t="shared" si="49"/>
        <v>2859750.2218000004</v>
      </c>
      <c r="AN176" s="70">
        <f t="shared" si="50"/>
        <v>2974594.3558595399</v>
      </c>
      <c r="AO176" s="70">
        <f t="shared" si="51"/>
        <v>3016530.4914404601</v>
      </c>
    </row>
    <row r="177" spans="1:41">
      <c r="A177" s="29" t="s">
        <v>163</v>
      </c>
      <c r="B177" s="29" t="s">
        <v>770</v>
      </c>
      <c r="C177" s="107">
        <v>0</v>
      </c>
      <c r="D177" s="108">
        <v>1594640</v>
      </c>
      <c r="F177" s="107">
        <v>0</v>
      </c>
      <c r="G177" s="108">
        <v>1643895</v>
      </c>
      <c r="I177" s="64">
        <v>0</v>
      </c>
      <c r="J177" s="83">
        <v>0</v>
      </c>
      <c r="K177" s="66">
        <v>1643895</v>
      </c>
      <c r="L177" s="251">
        <v>1692600</v>
      </c>
      <c r="M177" s="63">
        <v>0</v>
      </c>
      <c r="N177" s="64">
        <v>0</v>
      </c>
      <c r="O177" s="65">
        <v>1692600</v>
      </c>
      <c r="P177" s="66">
        <v>1692600</v>
      </c>
      <c r="Q177" s="66">
        <f t="shared" si="36"/>
        <v>0</v>
      </c>
      <c r="R177" s="63">
        <f t="shared" si="37"/>
        <v>0</v>
      </c>
      <c r="S177" s="83">
        <f t="shared" si="38"/>
        <v>0</v>
      </c>
      <c r="T177" s="64">
        <f t="shared" si="39"/>
        <v>0</v>
      </c>
      <c r="U177" s="66">
        <f t="shared" si="40"/>
        <v>1620557.9810000001</v>
      </c>
      <c r="V177" s="63">
        <f t="shared" si="41"/>
        <v>1669523.571</v>
      </c>
      <c r="W177" s="83">
        <f t="shared" si="42"/>
        <v>1692600</v>
      </c>
      <c r="X177" s="64">
        <f t="shared" si="43"/>
        <v>1692600</v>
      </c>
      <c r="Z177" s="67">
        <v>0</v>
      </c>
      <c r="AA177" s="68">
        <v>0</v>
      </c>
      <c r="AB177" s="69">
        <v>1643895</v>
      </c>
      <c r="AC177" s="70">
        <v>1692600</v>
      </c>
      <c r="AD177" s="67">
        <v>0</v>
      </c>
      <c r="AE177" s="68">
        <v>0</v>
      </c>
      <c r="AF177" s="69">
        <v>1692600</v>
      </c>
      <c r="AG177" s="70">
        <v>1692600</v>
      </c>
      <c r="AH177" s="70">
        <f t="shared" si="44"/>
        <v>0</v>
      </c>
      <c r="AI177" s="70">
        <f t="shared" si="45"/>
        <v>0</v>
      </c>
      <c r="AJ177" s="70">
        <f t="shared" si="46"/>
        <v>0</v>
      </c>
      <c r="AK177" s="70">
        <f t="shared" si="47"/>
        <v>0</v>
      </c>
      <c r="AL177" s="70">
        <f t="shared" si="48"/>
        <v>1620557.9810000001</v>
      </c>
      <c r="AM177" s="70">
        <f t="shared" si="49"/>
        <v>1669523.571</v>
      </c>
      <c r="AN177" s="70">
        <f t="shared" si="50"/>
        <v>1692600</v>
      </c>
      <c r="AO177" s="70">
        <f t="shared" si="51"/>
        <v>1692600</v>
      </c>
    </row>
    <row r="178" spans="1:41">
      <c r="A178" s="29" t="s">
        <v>305</v>
      </c>
      <c r="B178" s="29" t="s">
        <v>887</v>
      </c>
      <c r="C178" s="107">
        <v>0</v>
      </c>
      <c r="D178" s="108">
        <v>592036</v>
      </c>
      <c r="F178" s="107">
        <v>0</v>
      </c>
      <c r="G178" s="108">
        <v>550000</v>
      </c>
      <c r="I178" s="64">
        <v>0</v>
      </c>
      <c r="J178" s="83">
        <v>0</v>
      </c>
      <c r="K178" s="66">
        <v>550000</v>
      </c>
      <c r="L178" s="251">
        <v>550000</v>
      </c>
      <c r="M178" s="63">
        <v>0</v>
      </c>
      <c r="N178" s="64">
        <v>0</v>
      </c>
      <c r="O178" s="65">
        <v>550000</v>
      </c>
      <c r="P178" s="66">
        <v>550000</v>
      </c>
      <c r="Q178" s="66">
        <f t="shared" si="36"/>
        <v>0</v>
      </c>
      <c r="R178" s="63">
        <f t="shared" si="37"/>
        <v>0</v>
      </c>
      <c r="S178" s="83">
        <f t="shared" si="38"/>
        <v>0</v>
      </c>
      <c r="T178" s="64">
        <f t="shared" si="39"/>
        <v>0</v>
      </c>
      <c r="U178" s="66">
        <f t="shared" si="40"/>
        <v>569916.6568</v>
      </c>
      <c r="V178" s="63">
        <f t="shared" si="41"/>
        <v>550000</v>
      </c>
      <c r="W178" s="83">
        <f t="shared" si="42"/>
        <v>550000</v>
      </c>
      <c r="X178" s="64">
        <f t="shared" si="43"/>
        <v>550000</v>
      </c>
      <c r="Z178" s="67">
        <v>0</v>
      </c>
      <c r="AA178" s="68">
        <v>0</v>
      </c>
      <c r="AB178" s="69">
        <v>550000</v>
      </c>
      <c r="AC178" s="70">
        <v>550000</v>
      </c>
      <c r="AD178" s="67">
        <v>0</v>
      </c>
      <c r="AE178" s="68">
        <v>0</v>
      </c>
      <c r="AF178" s="69">
        <v>550000</v>
      </c>
      <c r="AG178" s="70">
        <v>550000</v>
      </c>
      <c r="AH178" s="70">
        <f t="shared" si="44"/>
        <v>0</v>
      </c>
      <c r="AI178" s="70">
        <f t="shared" si="45"/>
        <v>0</v>
      </c>
      <c r="AJ178" s="70">
        <f t="shared" si="46"/>
        <v>0</v>
      </c>
      <c r="AK178" s="70">
        <f t="shared" si="47"/>
        <v>0</v>
      </c>
      <c r="AL178" s="70">
        <f t="shared" si="48"/>
        <v>569916.6568</v>
      </c>
      <c r="AM178" s="70">
        <f t="shared" si="49"/>
        <v>550000</v>
      </c>
      <c r="AN178" s="70">
        <f t="shared" si="50"/>
        <v>550000</v>
      </c>
      <c r="AO178" s="70">
        <f t="shared" si="51"/>
        <v>550000</v>
      </c>
    </row>
    <row r="179" spans="1:41">
      <c r="A179" s="29" t="s">
        <v>331</v>
      </c>
      <c r="B179" s="29" t="s">
        <v>771</v>
      </c>
      <c r="C179" s="107">
        <v>1301027.01</v>
      </c>
      <c r="D179" s="108">
        <v>642766</v>
      </c>
      <c r="F179" s="107">
        <v>1254605.04</v>
      </c>
      <c r="G179" s="108">
        <v>674904</v>
      </c>
      <c r="I179" s="64">
        <v>1254605.04</v>
      </c>
      <c r="J179" s="83">
        <v>1324249.6195999999</v>
      </c>
      <c r="K179" s="66">
        <v>674904</v>
      </c>
      <c r="L179" s="251">
        <v>708649</v>
      </c>
      <c r="M179" s="63">
        <v>1370238.7898999995</v>
      </c>
      <c r="N179" s="64">
        <v>1425262.5849000001</v>
      </c>
      <c r="O179" s="65">
        <v>708649</v>
      </c>
      <c r="P179" s="66">
        <v>708649</v>
      </c>
      <c r="Q179" s="66">
        <f t="shared" si="36"/>
        <v>1267603.1916</v>
      </c>
      <c r="R179" s="63">
        <f t="shared" si="37"/>
        <v>1304749.1373119999</v>
      </c>
      <c r="S179" s="83">
        <f t="shared" si="38"/>
        <v>1357361.8222159995</v>
      </c>
      <c r="T179" s="64">
        <f t="shared" si="39"/>
        <v>1409855.9223</v>
      </c>
      <c r="U179" s="66">
        <f t="shared" si="40"/>
        <v>659677.01560000004</v>
      </c>
      <c r="V179" s="63">
        <f t="shared" si="41"/>
        <v>692660.61899999995</v>
      </c>
      <c r="W179" s="83">
        <f t="shared" si="42"/>
        <v>708649</v>
      </c>
      <c r="X179" s="64">
        <f t="shared" si="43"/>
        <v>708649</v>
      </c>
      <c r="Z179" s="67">
        <v>1254605.04</v>
      </c>
      <c r="AA179" s="68">
        <v>1410222.0556000001</v>
      </c>
      <c r="AB179" s="69">
        <v>674904</v>
      </c>
      <c r="AC179" s="70">
        <v>708649</v>
      </c>
      <c r="AD179" s="67">
        <v>1370238.7898999995</v>
      </c>
      <c r="AE179" s="68">
        <v>1425262.5849000001</v>
      </c>
      <c r="AF179" s="69">
        <v>708649</v>
      </c>
      <c r="AG179" s="70">
        <v>708649</v>
      </c>
      <c r="AH179" s="70">
        <f t="shared" si="44"/>
        <v>1267603.1916</v>
      </c>
      <c r="AI179" s="70">
        <f t="shared" si="45"/>
        <v>1366649.2912320001</v>
      </c>
      <c r="AJ179" s="70">
        <f t="shared" si="46"/>
        <v>1381434.1042959997</v>
      </c>
      <c r="AK179" s="70">
        <f t="shared" si="47"/>
        <v>1409855.9223</v>
      </c>
      <c r="AL179" s="70">
        <f t="shared" si="48"/>
        <v>659677.01560000004</v>
      </c>
      <c r="AM179" s="70">
        <f t="shared" si="49"/>
        <v>692660.61899999995</v>
      </c>
      <c r="AN179" s="70">
        <f t="shared" si="50"/>
        <v>708649</v>
      </c>
      <c r="AO179" s="70">
        <f t="shared" si="51"/>
        <v>708649</v>
      </c>
    </row>
    <row r="180" spans="1:41">
      <c r="A180" s="29" t="s">
        <v>513</v>
      </c>
      <c r="B180" s="29" t="s">
        <v>772</v>
      </c>
      <c r="C180" s="107">
        <v>0</v>
      </c>
      <c r="D180" s="108">
        <v>30900000</v>
      </c>
      <c r="F180" s="107">
        <v>0</v>
      </c>
      <c r="G180" s="108">
        <v>27098729</v>
      </c>
      <c r="I180" s="64">
        <v>0</v>
      </c>
      <c r="J180" s="83">
        <v>0</v>
      </c>
      <c r="K180" s="66">
        <v>27098729</v>
      </c>
      <c r="L180" s="251">
        <v>26589549.114799999</v>
      </c>
      <c r="M180" s="63">
        <v>0</v>
      </c>
      <c r="N180" s="64">
        <v>0</v>
      </c>
      <c r="O180" s="65">
        <v>27520914.915900003</v>
      </c>
      <c r="P180" s="66">
        <v>28624215.951099999</v>
      </c>
      <c r="Q180" s="66">
        <f t="shared" si="36"/>
        <v>0</v>
      </c>
      <c r="R180" s="63">
        <f t="shared" si="37"/>
        <v>0</v>
      </c>
      <c r="S180" s="83">
        <f t="shared" si="38"/>
        <v>0</v>
      </c>
      <c r="T180" s="64">
        <f t="shared" si="39"/>
        <v>0</v>
      </c>
      <c r="U180" s="66">
        <f t="shared" si="40"/>
        <v>28899771.1998</v>
      </c>
      <c r="V180" s="63">
        <f t="shared" si="41"/>
        <v>26830798.544407759</v>
      </c>
      <c r="W180" s="83">
        <f t="shared" si="42"/>
        <v>27079633.799338821</v>
      </c>
      <c r="X180" s="64">
        <f t="shared" si="43"/>
        <v>28101471.920622244</v>
      </c>
      <c r="Z180" s="67">
        <v>0</v>
      </c>
      <c r="AA180" s="68">
        <v>0</v>
      </c>
      <c r="AB180" s="69">
        <v>27098729</v>
      </c>
      <c r="AC180" s="70">
        <v>28989689.463000003</v>
      </c>
      <c r="AD180" s="67">
        <v>0</v>
      </c>
      <c r="AE180" s="68">
        <v>0</v>
      </c>
      <c r="AF180" s="69">
        <v>27520914.915900003</v>
      </c>
      <c r="AG180" s="70">
        <v>28624215.951099999</v>
      </c>
      <c r="AH180" s="70">
        <f t="shared" si="44"/>
        <v>0</v>
      </c>
      <c r="AI180" s="70">
        <f t="shared" si="45"/>
        <v>0</v>
      </c>
      <c r="AJ180" s="70">
        <f t="shared" si="46"/>
        <v>0</v>
      </c>
      <c r="AK180" s="70">
        <f t="shared" si="47"/>
        <v>0</v>
      </c>
      <c r="AL180" s="70">
        <f t="shared" si="48"/>
        <v>28899771.1998</v>
      </c>
      <c r="AM180" s="70">
        <f t="shared" si="49"/>
        <v>28093752.395630602</v>
      </c>
      <c r="AN180" s="70">
        <f t="shared" si="50"/>
        <v>28216820.296315983</v>
      </c>
      <c r="AO180" s="70">
        <f t="shared" si="51"/>
        <v>28101471.920622244</v>
      </c>
    </row>
    <row r="181" spans="1:41">
      <c r="A181" s="29" t="s">
        <v>329</v>
      </c>
      <c r="B181" s="29" t="s">
        <v>773</v>
      </c>
      <c r="C181" s="107">
        <v>7635725.1100000003</v>
      </c>
      <c r="D181" s="108">
        <v>1175719</v>
      </c>
      <c r="F181" s="107">
        <v>11831365.82</v>
      </c>
      <c r="G181" s="108">
        <v>1187476</v>
      </c>
      <c r="I181" s="64">
        <v>11831365.82</v>
      </c>
      <c r="J181" s="83">
        <v>12794658.590399999</v>
      </c>
      <c r="K181" s="66">
        <v>1187476</v>
      </c>
      <c r="L181" s="251">
        <v>1199351</v>
      </c>
      <c r="M181" s="63">
        <v>13242326.712599998</v>
      </c>
      <c r="N181" s="64">
        <v>13821528.983099997</v>
      </c>
      <c r="O181" s="65">
        <v>1211344</v>
      </c>
      <c r="P181" s="66">
        <v>1211344</v>
      </c>
      <c r="Q181" s="66">
        <f t="shared" si="36"/>
        <v>10656586.4212</v>
      </c>
      <c r="R181" s="63">
        <f t="shared" si="37"/>
        <v>12524936.614688</v>
      </c>
      <c r="S181" s="83">
        <f t="shared" si="38"/>
        <v>13116979.638383998</v>
      </c>
      <c r="T181" s="64">
        <f t="shared" si="39"/>
        <v>13659352.347359998</v>
      </c>
      <c r="U181" s="66">
        <f t="shared" si="40"/>
        <v>1181905.5334000001</v>
      </c>
      <c r="V181" s="63">
        <f t="shared" si="41"/>
        <v>1193724.625</v>
      </c>
      <c r="W181" s="83">
        <f t="shared" si="42"/>
        <v>1205661.7165999999</v>
      </c>
      <c r="X181" s="64">
        <f t="shared" si="43"/>
        <v>1211344</v>
      </c>
      <c r="Z181" s="67">
        <v>11831365.82</v>
      </c>
      <c r="AA181" s="68">
        <v>12794658.590399999</v>
      </c>
      <c r="AB181" s="69">
        <v>1187476</v>
      </c>
      <c r="AC181" s="70">
        <v>1199351</v>
      </c>
      <c r="AD181" s="67">
        <v>13242326.712599998</v>
      </c>
      <c r="AE181" s="68">
        <v>13821528.983099997</v>
      </c>
      <c r="AF181" s="69">
        <v>1211344</v>
      </c>
      <c r="AG181" s="70">
        <v>1211344</v>
      </c>
      <c r="AH181" s="70">
        <f t="shared" si="44"/>
        <v>10656586.4212</v>
      </c>
      <c r="AI181" s="70">
        <f t="shared" si="45"/>
        <v>12524936.614688</v>
      </c>
      <c r="AJ181" s="70">
        <f t="shared" si="46"/>
        <v>13116979.638383998</v>
      </c>
      <c r="AK181" s="70">
        <f t="shared" si="47"/>
        <v>13659352.347359998</v>
      </c>
      <c r="AL181" s="70">
        <f t="shared" si="48"/>
        <v>1181905.5334000001</v>
      </c>
      <c r="AM181" s="70">
        <f t="shared" si="49"/>
        <v>1193724.625</v>
      </c>
      <c r="AN181" s="70">
        <f t="shared" si="50"/>
        <v>1205661.7165999999</v>
      </c>
      <c r="AO181" s="70">
        <f t="shared" si="51"/>
        <v>1211344</v>
      </c>
    </row>
    <row r="182" spans="1:41">
      <c r="A182" s="29" t="s">
        <v>287</v>
      </c>
      <c r="B182" s="29" t="s">
        <v>774</v>
      </c>
      <c r="C182" s="107">
        <v>261258.13</v>
      </c>
      <c r="D182" s="108">
        <v>916740</v>
      </c>
      <c r="F182" s="107">
        <v>0</v>
      </c>
      <c r="G182" s="108">
        <v>975186</v>
      </c>
      <c r="I182" s="64">
        <v>0</v>
      </c>
      <c r="J182" s="83">
        <v>156518.49983333336</v>
      </c>
      <c r="K182" s="66">
        <v>975186</v>
      </c>
      <c r="L182" s="251">
        <v>971743</v>
      </c>
      <c r="M182" s="63">
        <v>110108.29500199998</v>
      </c>
      <c r="N182" s="64">
        <v>43058.035199999955</v>
      </c>
      <c r="O182" s="65">
        <v>971743</v>
      </c>
      <c r="P182" s="66">
        <v>971743</v>
      </c>
      <c r="Q182" s="66">
        <f t="shared" si="36"/>
        <v>73152.276400000002</v>
      </c>
      <c r="R182" s="63">
        <f t="shared" si="37"/>
        <v>112693.31988000002</v>
      </c>
      <c r="S182" s="83">
        <f t="shared" si="38"/>
        <v>123103.15235477334</v>
      </c>
      <c r="T182" s="64">
        <f t="shared" si="39"/>
        <v>61832.107944559961</v>
      </c>
      <c r="U182" s="66">
        <f t="shared" si="40"/>
        <v>947494.28520000004</v>
      </c>
      <c r="V182" s="63">
        <f t="shared" si="41"/>
        <v>973374.29340000008</v>
      </c>
      <c r="W182" s="83">
        <f t="shared" si="42"/>
        <v>971743</v>
      </c>
      <c r="X182" s="64">
        <f t="shared" si="43"/>
        <v>971743</v>
      </c>
      <c r="Z182" s="67">
        <v>0</v>
      </c>
      <c r="AA182" s="68">
        <v>156518.49983333336</v>
      </c>
      <c r="AB182" s="69">
        <v>975186</v>
      </c>
      <c r="AC182" s="70">
        <v>971743</v>
      </c>
      <c r="AD182" s="67">
        <v>110108.29500199998</v>
      </c>
      <c r="AE182" s="68">
        <v>43058.035199999955</v>
      </c>
      <c r="AF182" s="69">
        <v>971743</v>
      </c>
      <c r="AG182" s="70">
        <v>971743</v>
      </c>
      <c r="AH182" s="70">
        <f t="shared" si="44"/>
        <v>73152.276400000002</v>
      </c>
      <c r="AI182" s="70">
        <f t="shared" si="45"/>
        <v>112693.31988000002</v>
      </c>
      <c r="AJ182" s="70">
        <f t="shared" si="46"/>
        <v>123103.15235477334</v>
      </c>
      <c r="AK182" s="70">
        <f t="shared" si="47"/>
        <v>61832.107944559961</v>
      </c>
      <c r="AL182" s="70">
        <f t="shared" si="48"/>
        <v>947494.28520000004</v>
      </c>
      <c r="AM182" s="70">
        <f t="shared" si="49"/>
        <v>973374.29340000008</v>
      </c>
      <c r="AN182" s="70">
        <f t="shared" si="50"/>
        <v>971743</v>
      </c>
      <c r="AO182" s="70">
        <f t="shared" si="51"/>
        <v>971743</v>
      </c>
    </row>
    <row r="183" spans="1:41">
      <c r="A183" s="29" t="s">
        <v>483</v>
      </c>
      <c r="B183" s="29" t="s">
        <v>775</v>
      </c>
      <c r="C183" s="107">
        <v>40779.519999999997</v>
      </c>
      <c r="D183" s="108">
        <v>74255</v>
      </c>
      <c r="F183" s="107">
        <v>45114.79</v>
      </c>
      <c r="G183" s="108">
        <v>76060</v>
      </c>
      <c r="I183" s="64">
        <v>45114.79</v>
      </c>
      <c r="J183" s="83">
        <v>81290.143700000001</v>
      </c>
      <c r="K183" s="66">
        <v>76060</v>
      </c>
      <c r="L183" s="251">
        <v>77909</v>
      </c>
      <c r="M183" s="63">
        <v>82377.922200000001</v>
      </c>
      <c r="N183" s="64">
        <v>84107.855700000015</v>
      </c>
      <c r="O183" s="65">
        <v>79802</v>
      </c>
      <c r="P183" s="66">
        <v>79802</v>
      </c>
      <c r="Q183" s="66">
        <f t="shared" si="36"/>
        <v>43900.914400000001</v>
      </c>
      <c r="R183" s="63">
        <f t="shared" si="37"/>
        <v>71161.044664000001</v>
      </c>
      <c r="S183" s="83">
        <f t="shared" si="38"/>
        <v>82073.344219999999</v>
      </c>
      <c r="T183" s="64">
        <f t="shared" si="39"/>
        <v>83623.474320000008</v>
      </c>
      <c r="U183" s="66">
        <f t="shared" si="40"/>
        <v>75204.790999999997</v>
      </c>
      <c r="V183" s="63">
        <f t="shared" si="41"/>
        <v>77032.943800000008</v>
      </c>
      <c r="W183" s="83">
        <f t="shared" si="42"/>
        <v>78905.096600000004</v>
      </c>
      <c r="X183" s="64">
        <f t="shared" si="43"/>
        <v>79802</v>
      </c>
      <c r="Z183" s="67">
        <v>45114.79</v>
      </c>
      <c r="AA183" s="68">
        <v>81290.143700000001</v>
      </c>
      <c r="AB183" s="69">
        <v>76060</v>
      </c>
      <c r="AC183" s="70">
        <v>77909</v>
      </c>
      <c r="AD183" s="67">
        <v>82377.922200000001</v>
      </c>
      <c r="AE183" s="68">
        <v>84107.855700000015</v>
      </c>
      <c r="AF183" s="69">
        <v>79802</v>
      </c>
      <c r="AG183" s="70">
        <v>79802</v>
      </c>
      <c r="AH183" s="70">
        <f t="shared" si="44"/>
        <v>43900.914400000001</v>
      </c>
      <c r="AI183" s="70">
        <f t="shared" si="45"/>
        <v>71161.044664000001</v>
      </c>
      <c r="AJ183" s="70">
        <f t="shared" si="46"/>
        <v>82073.344219999999</v>
      </c>
      <c r="AK183" s="70">
        <f t="shared" si="47"/>
        <v>83623.474320000008</v>
      </c>
      <c r="AL183" s="70">
        <f t="shared" si="48"/>
        <v>75204.790999999997</v>
      </c>
      <c r="AM183" s="70">
        <f t="shared" si="49"/>
        <v>77032.943800000008</v>
      </c>
      <c r="AN183" s="70">
        <f t="shared" si="50"/>
        <v>78905.096600000004</v>
      </c>
      <c r="AO183" s="70">
        <f t="shared" si="51"/>
        <v>79802</v>
      </c>
    </row>
    <row r="184" spans="1:41">
      <c r="A184" s="29" t="s">
        <v>395</v>
      </c>
      <c r="B184" s="29" t="s">
        <v>932</v>
      </c>
      <c r="C184" s="107">
        <v>0</v>
      </c>
      <c r="D184" s="108">
        <v>2225000</v>
      </c>
      <c r="F184" s="107">
        <v>0</v>
      </c>
      <c r="G184" s="108">
        <v>2166643</v>
      </c>
      <c r="I184" s="64">
        <v>0</v>
      </c>
      <c r="J184" s="83">
        <v>0</v>
      </c>
      <c r="K184" s="66">
        <v>2166643</v>
      </c>
      <c r="L184" s="251">
        <v>2208076.1529999999</v>
      </c>
      <c r="M184" s="63">
        <v>0</v>
      </c>
      <c r="N184" s="64">
        <v>0</v>
      </c>
      <c r="O184" s="65">
        <v>2284599.5940999999</v>
      </c>
      <c r="P184" s="66">
        <v>2350000</v>
      </c>
      <c r="Q184" s="66">
        <f t="shared" si="36"/>
        <v>0</v>
      </c>
      <c r="R184" s="63">
        <f t="shared" si="37"/>
        <v>0</v>
      </c>
      <c r="S184" s="83">
        <f t="shared" si="38"/>
        <v>0</v>
      </c>
      <c r="T184" s="64">
        <f t="shared" si="39"/>
        <v>0</v>
      </c>
      <c r="U184" s="66">
        <f t="shared" si="40"/>
        <v>2194292.5466</v>
      </c>
      <c r="V184" s="63">
        <f t="shared" si="41"/>
        <v>2188445.1251085997</v>
      </c>
      <c r="W184" s="83">
        <f t="shared" si="42"/>
        <v>2248342.7877068198</v>
      </c>
      <c r="X184" s="64">
        <f t="shared" si="43"/>
        <v>2319013.2876845798</v>
      </c>
      <c r="Z184" s="67">
        <v>0</v>
      </c>
      <c r="AA184" s="68">
        <v>0</v>
      </c>
      <c r="AB184" s="69">
        <v>2166643</v>
      </c>
      <c r="AC184" s="70">
        <v>2274976.2113999999</v>
      </c>
      <c r="AD184" s="67">
        <v>0</v>
      </c>
      <c r="AE184" s="68">
        <v>0</v>
      </c>
      <c r="AF184" s="69">
        <v>2284599.5940999999</v>
      </c>
      <c r="AG184" s="70">
        <v>2350000</v>
      </c>
      <c r="AH184" s="70">
        <f t="shared" si="44"/>
        <v>0</v>
      </c>
      <c r="AI184" s="70">
        <f t="shared" si="45"/>
        <v>0</v>
      </c>
      <c r="AJ184" s="70">
        <f t="shared" si="46"/>
        <v>0</v>
      </c>
      <c r="AK184" s="70">
        <f t="shared" si="47"/>
        <v>0</v>
      </c>
      <c r="AL184" s="70">
        <f t="shared" si="48"/>
        <v>2194292.5466</v>
      </c>
      <c r="AM184" s="70">
        <f t="shared" si="49"/>
        <v>2223647.9358386798</v>
      </c>
      <c r="AN184" s="70">
        <f t="shared" si="50"/>
        <v>2280040.0353767397</v>
      </c>
      <c r="AO184" s="70">
        <f t="shared" si="51"/>
        <v>2319013.2876845798</v>
      </c>
    </row>
    <row r="185" spans="1:41">
      <c r="A185" s="29" t="s">
        <v>453</v>
      </c>
      <c r="B185" s="29" t="s">
        <v>881</v>
      </c>
      <c r="C185" s="107">
        <v>0</v>
      </c>
      <c r="D185" s="108">
        <v>125000</v>
      </c>
      <c r="F185" s="107">
        <v>0</v>
      </c>
      <c r="G185" s="108">
        <v>160000</v>
      </c>
      <c r="I185" s="64">
        <v>0</v>
      </c>
      <c r="J185" s="83">
        <v>51840.250746666672</v>
      </c>
      <c r="K185" s="66">
        <v>160000</v>
      </c>
      <c r="L185" s="251">
        <v>165000</v>
      </c>
      <c r="M185" s="63">
        <v>48566.061767999985</v>
      </c>
      <c r="N185" s="64">
        <v>44903.809650000003</v>
      </c>
      <c r="O185" s="65">
        <v>165000</v>
      </c>
      <c r="P185" s="66">
        <v>165000</v>
      </c>
      <c r="Q185" s="66">
        <f t="shared" si="36"/>
        <v>0</v>
      </c>
      <c r="R185" s="63">
        <f t="shared" si="37"/>
        <v>37324.9805376</v>
      </c>
      <c r="S185" s="83">
        <f t="shared" si="38"/>
        <v>49482.83468202666</v>
      </c>
      <c r="T185" s="64">
        <f t="shared" si="39"/>
        <v>45929.240243039996</v>
      </c>
      <c r="U185" s="66">
        <f t="shared" si="40"/>
        <v>143417</v>
      </c>
      <c r="V185" s="63">
        <f t="shared" si="41"/>
        <v>162631</v>
      </c>
      <c r="W185" s="83">
        <f t="shared" si="42"/>
        <v>165000</v>
      </c>
      <c r="X185" s="64">
        <f t="shared" si="43"/>
        <v>165000</v>
      </c>
      <c r="Z185" s="67">
        <v>0</v>
      </c>
      <c r="AA185" s="68">
        <v>51840.250746666672</v>
      </c>
      <c r="AB185" s="69">
        <v>160000</v>
      </c>
      <c r="AC185" s="70">
        <v>165000</v>
      </c>
      <c r="AD185" s="67">
        <v>48566.061767999985</v>
      </c>
      <c r="AE185" s="68">
        <v>44903.809650000003</v>
      </c>
      <c r="AF185" s="69">
        <v>165000</v>
      </c>
      <c r="AG185" s="70">
        <v>165000</v>
      </c>
      <c r="AH185" s="70">
        <f t="shared" si="44"/>
        <v>0</v>
      </c>
      <c r="AI185" s="70">
        <f t="shared" si="45"/>
        <v>37324.9805376</v>
      </c>
      <c r="AJ185" s="70">
        <f t="shared" si="46"/>
        <v>49482.83468202666</v>
      </c>
      <c r="AK185" s="70">
        <f t="shared" si="47"/>
        <v>45929.240243039996</v>
      </c>
      <c r="AL185" s="70">
        <f t="shared" si="48"/>
        <v>143417</v>
      </c>
      <c r="AM185" s="70">
        <f t="shared" si="49"/>
        <v>162631</v>
      </c>
      <c r="AN185" s="70">
        <f t="shared" si="50"/>
        <v>165000</v>
      </c>
      <c r="AO185" s="70">
        <f t="shared" si="51"/>
        <v>165000</v>
      </c>
    </row>
    <row r="186" spans="1:41">
      <c r="A186" s="29" t="s">
        <v>105</v>
      </c>
      <c r="B186" s="29" t="s">
        <v>776</v>
      </c>
      <c r="C186" s="107">
        <v>0</v>
      </c>
      <c r="D186" s="108">
        <v>60000</v>
      </c>
      <c r="F186" s="107">
        <v>0</v>
      </c>
      <c r="G186" s="108">
        <v>0</v>
      </c>
      <c r="I186" s="64">
        <v>0</v>
      </c>
      <c r="J186" s="83">
        <v>0</v>
      </c>
      <c r="K186" s="66">
        <v>0</v>
      </c>
      <c r="L186" s="251">
        <v>60000</v>
      </c>
      <c r="M186" s="63">
        <v>0</v>
      </c>
      <c r="N186" s="64">
        <v>0</v>
      </c>
      <c r="O186" s="65">
        <v>60000</v>
      </c>
      <c r="P186" s="66">
        <v>60000</v>
      </c>
      <c r="Q186" s="66">
        <f t="shared" si="36"/>
        <v>0</v>
      </c>
      <c r="R186" s="63">
        <f t="shared" si="37"/>
        <v>0</v>
      </c>
      <c r="S186" s="83">
        <f t="shared" si="38"/>
        <v>0</v>
      </c>
      <c r="T186" s="64">
        <f t="shared" si="39"/>
        <v>0</v>
      </c>
      <c r="U186" s="66">
        <f t="shared" si="40"/>
        <v>28428</v>
      </c>
      <c r="V186" s="63">
        <f t="shared" si="41"/>
        <v>31572</v>
      </c>
      <c r="W186" s="83">
        <f t="shared" si="42"/>
        <v>60000</v>
      </c>
      <c r="X186" s="64">
        <f t="shared" si="43"/>
        <v>60000</v>
      </c>
      <c r="Z186" s="67">
        <v>0</v>
      </c>
      <c r="AA186" s="68">
        <v>0</v>
      </c>
      <c r="AB186" s="69">
        <v>0</v>
      </c>
      <c r="AC186" s="70">
        <v>60000</v>
      </c>
      <c r="AD186" s="67">
        <v>0</v>
      </c>
      <c r="AE186" s="68">
        <v>0</v>
      </c>
      <c r="AF186" s="69">
        <v>60000</v>
      </c>
      <c r="AG186" s="70">
        <v>60000</v>
      </c>
      <c r="AH186" s="70">
        <f t="shared" si="44"/>
        <v>0</v>
      </c>
      <c r="AI186" s="70">
        <f t="shared" si="45"/>
        <v>0</v>
      </c>
      <c r="AJ186" s="70">
        <f t="shared" si="46"/>
        <v>0</v>
      </c>
      <c r="AK186" s="70">
        <f t="shared" si="47"/>
        <v>0</v>
      </c>
      <c r="AL186" s="70">
        <f t="shared" si="48"/>
        <v>28428</v>
      </c>
      <c r="AM186" s="70">
        <f t="shared" si="49"/>
        <v>31572</v>
      </c>
      <c r="AN186" s="70">
        <f t="shared" si="50"/>
        <v>60000</v>
      </c>
      <c r="AO186" s="70">
        <f t="shared" si="51"/>
        <v>60000</v>
      </c>
    </row>
    <row r="187" spans="1:41">
      <c r="A187" s="29" t="s">
        <v>89</v>
      </c>
      <c r="B187" s="29" t="s">
        <v>777</v>
      </c>
      <c r="C187" s="107">
        <v>0</v>
      </c>
      <c r="D187" s="108">
        <v>631250</v>
      </c>
      <c r="F187" s="107">
        <v>0</v>
      </c>
      <c r="G187" s="108">
        <v>648925</v>
      </c>
      <c r="I187" s="64">
        <v>0</v>
      </c>
      <c r="J187" s="83">
        <v>0</v>
      </c>
      <c r="K187" s="66">
        <v>648925</v>
      </c>
      <c r="L187" s="251">
        <v>648925</v>
      </c>
      <c r="M187" s="63">
        <v>0</v>
      </c>
      <c r="N187" s="64">
        <v>0</v>
      </c>
      <c r="O187" s="65">
        <v>648925</v>
      </c>
      <c r="P187" s="66">
        <v>648925</v>
      </c>
      <c r="Q187" s="66">
        <f t="shared" si="36"/>
        <v>0</v>
      </c>
      <c r="R187" s="63">
        <f t="shared" si="37"/>
        <v>0</v>
      </c>
      <c r="S187" s="83">
        <f t="shared" si="38"/>
        <v>0</v>
      </c>
      <c r="T187" s="64">
        <f t="shared" si="39"/>
        <v>0</v>
      </c>
      <c r="U187" s="66">
        <f t="shared" si="40"/>
        <v>640550.58499999996</v>
      </c>
      <c r="V187" s="63">
        <f t="shared" si="41"/>
        <v>648925</v>
      </c>
      <c r="W187" s="83">
        <f t="shared" si="42"/>
        <v>648925</v>
      </c>
      <c r="X187" s="64">
        <f t="shared" si="43"/>
        <v>648925</v>
      </c>
      <c r="Z187" s="67">
        <v>0</v>
      </c>
      <c r="AA187" s="68">
        <v>0</v>
      </c>
      <c r="AB187" s="69">
        <v>648925</v>
      </c>
      <c r="AC187" s="70">
        <v>648925</v>
      </c>
      <c r="AD187" s="67">
        <v>0</v>
      </c>
      <c r="AE187" s="68">
        <v>0</v>
      </c>
      <c r="AF187" s="69">
        <v>648925</v>
      </c>
      <c r="AG187" s="70">
        <v>648925</v>
      </c>
      <c r="AH187" s="70">
        <f t="shared" si="44"/>
        <v>0</v>
      </c>
      <c r="AI187" s="70">
        <f t="shared" si="45"/>
        <v>0</v>
      </c>
      <c r="AJ187" s="70">
        <f t="shared" si="46"/>
        <v>0</v>
      </c>
      <c r="AK187" s="70">
        <f t="shared" si="47"/>
        <v>0</v>
      </c>
      <c r="AL187" s="70">
        <f t="shared" si="48"/>
        <v>640550.58499999996</v>
      </c>
      <c r="AM187" s="70">
        <f t="shared" si="49"/>
        <v>648925</v>
      </c>
      <c r="AN187" s="70">
        <f t="shared" si="50"/>
        <v>648925</v>
      </c>
      <c r="AO187" s="70">
        <f t="shared" si="51"/>
        <v>648925</v>
      </c>
    </row>
    <row r="188" spans="1:41">
      <c r="A188" s="29" t="s">
        <v>341</v>
      </c>
      <c r="B188" s="29" t="s">
        <v>778</v>
      </c>
      <c r="C188" s="107">
        <v>99121.76</v>
      </c>
      <c r="D188" s="108">
        <v>1229600</v>
      </c>
      <c r="F188" s="107">
        <v>68069.039999999994</v>
      </c>
      <c r="G188" s="108">
        <v>1229600</v>
      </c>
      <c r="I188" s="64">
        <v>68069.039999999994</v>
      </c>
      <c r="J188" s="83">
        <v>118903.03499999996</v>
      </c>
      <c r="K188" s="66">
        <v>1229600</v>
      </c>
      <c r="L188" s="251">
        <v>1229600</v>
      </c>
      <c r="M188" s="63">
        <v>148750.92059999998</v>
      </c>
      <c r="N188" s="64">
        <v>200237.2203000001</v>
      </c>
      <c r="O188" s="65">
        <v>1229600</v>
      </c>
      <c r="P188" s="66">
        <v>1229600</v>
      </c>
      <c r="Q188" s="66">
        <f t="shared" si="36"/>
        <v>76763.801599999992</v>
      </c>
      <c r="R188" s="63">
        <f t="shared" si="37"/>
        <v>104669.51639999996</v>
      </c>
      <c r="S188" s="83">
        <f t="shared" si="38"/>
        <v>140393.51263199997</v>
      </c>
      <c r="T188" s="64">
        <f t="shared" si="39"/>
        <v>185821.05638400005</v>
      </c>
      <c r="U188" s="66">
        <f t="shared" si="40"/>
        <v>1229600</v>
      </c>
      <c r="V188" s="63">
        <f t="shared" si="41"/>
        <v>1229600</v>
      </c>
      <c r="W188" s="83">
        <f t="shared" si="42"/>
        <v>1229600</v>
      </c>
      <c r="X188" s="64">
        <f t="shared" si="43"/>
        <v>1229600</v>
      </c>
      <c r="Z188" s="67">
        <v>68069.039999999994</v>
      </c>
      <c r="AA188" s="68">
        <v>159899.80819999991</v>
      </c>
      <c r="AB188" s="69">
        <v>1229600</v>
      </c>
      <c r="AC188" s="70">
        <v>1229600</v>
      </c>
      <c r="AD188" s="67">
        <v>148750.92059999998</v>
      </c>
      <c r="AE188" s="68">
        <v>200237.2203000001</v>
      </c>
      <c r="AF188" s="69">
        <v>1229600</v>
      </c>
      <c r="AG188" s="70">
        <v>1229600</v>
      </c>
      <c r="AH188" s="70">
        <f t="shared" si="44"/>
        <v>76763.801599999992</v>
      </c>
      <c r="AI188" s="70">
        <f t="shared" si="45"/>
        <v>134187.19310399995</v>
      </c>
      <c r="AJ188" s="70">
        <f t="shared" si="46"/>
        <v>151872.60912799998</v>
      </c>
      <c r="AK188" s="70">
        <f t="shared" si="47"/>
        <v>185821.05638400005</v>
      </c>
      <c r="AL188" s="70">
        <f t="shared" si="48"/>
        <v>1229600</v>
      </c>
      <c r="AM188" s="70">
        <f t="shared" si="49"/>
        <v>1229600</v>
      </c>
      <c r="AN188" s="70">
        <f t="shared" si="50"/>
        <v>1229600</v>
      </c>
      <c r="AO188" s="70">
        <f t="shared" si="51"/>
        <v>1229600</v>
      </c>
    </row>
    <row r="189" spans="1:41">
      <c r="A189" s="29" t="s">
        <v>375</v>
      </c>
      <c r="B189" s="29" t="s">
        <v>779</v>
      </c>
      <c r="C189" s="107">
        <v>1201551.22</v>
      </c>
      <c r="D189" s="108">
        <v>3900000</v>
      </c>
      <c r="F189" s="107">
        <v>325350.64</v>
      </c>
      <c r="G189" s="108">
        <v>4100000</v>
      </c>
      <c r="I189" s="64">
        <v>325350.64</v>
      </c>
      <c r="J189" s="83">
        <v>424283.03399999999</v>
      </c>
      <c r="K189" s="66">
        <v>4100000</v>
      </c>
      <c r="L189" s="251">
        <v>4100000</v>
      </c>
      <c r="M189" s="63">
        <v>160012.70508800037</v>
      </c>
      <c r="N189" s="64">
        <v>0</v>
      </c>
      <c r="O189" s="65">
        <v>4100000</v>
      </c>
      <c r="P189" s="66">
        <v>4100000</v>
      </c>
      <c r="Q189" s="66">
        <f t="shared" si="36"/>
        <v>570686.80240000004</v>
      </c>
      <c r="R189" s="63">
        <f t="shared" si="37"/>
        <v>396581.96367999999</v>
      </c>
      <c r="S189" s="83">
        <f t="shared" si="38"/>
        <v>234008.39718336027</v>
      </c>
      <c r="T189" s="64">
        <f t="shared" si="39"/>
        <v>44803.557424640108</v>
      </c>
      <c r="U189" s="66">
        <f t="shared" si="40"/>
        <v>4005240</v>
      </c>
      <c r="V189" s="63">
        <f t="shared" si="41"/>
        <v>4100000</v>
      </c>
      <c r="W189" s="83">
        <f t="shared" si="42"/>
        <v>4100000</v>
      </c>
      <c r="X189" s="64">
        <f t="shared" si="43"/>
        <v>4100000</v>
      </c>
      <c r="Z189" s="67">
        <v>325350.64</v>
      </c>
      <c r="AA189" s="68">
        <v>678310.26689999981</v>
      </c>
      <c r="AB189" s="69">
        <v>4100000</v>
      </c>
      <c r="AC189" s="70">
        <v>4100000</v>
      </c>
      <c r="AD189" s="67">
        <v>160012.70508800037</v>
      </c>
      <c r="AE189" s="68">
        <v>0</v>
      </c>
      <c r="AF189" s="69">
        <v>4100000</v>
      </c>
      <c r="AG189" s="70">
        <v>4100000</v>
      </c>
      <c r="AH189" s="70">
        <f t="shared" si="44"/>
        <v>570686.80240000004</v>
      </c>
      <c r="AI189" s="70">
        <f t="shared" si="45"/>
        <v>579481.57136799989</v>
      </c>
      <c r="AJ189" s="70">
        <f t="shared" si="46"/>
        <v>305136.02239536023</v>
      </c>
      <c r="AK189" s="70">
        <f t="shared" si="47"/>
        <v>44803.557424640108</v>
      </c>
      <c r="AL189" s="70">
        <f t="shared" si="48"/>
        <v>4005240</v>
      </c>
      <c r="AM189" s="70">
        <f t="shared" si="49"/>
        <v>4100000</v>
      </c>
      <c r="AN189" s="70">
        <f t="shared" si="50"/>
        <v>4100000</v>
      </c>
      <c r="AO189" s="70">
        <f t="shared" si="51"/>
        <v>4100000</v>
      </c>
    </row>
    <row r="190" spans="1:41">
      <c r="A190" s="29" t="s">
        <v>7</v>
      </c>
      <c r="B190" s="29" t="s">
        <v>780</v>
      </c>
      <c r="C190" s="107">
        <v>5064278.5599999996</v>
      </c>
      <c r="D190" s="108">
        <v>2350000</v>
      </c>
      <c r="F190" s="107">
        <v>5203918.09</v>
      </c>
      <c r="G190" s="108">
        <v>2435000</v>
      </c>
      <c r="I190" s="64">
        <v>5203918.09</v>
      </c>
      <c r="J190" s="83">
        <v>5566198.864599999</v>
      </c>
      <c r="K190" s="66">
        <v>2435000</v>
      </c>
      <c r="L190" s="251">
        <v>2560000</v>
      </c>
      <c r="M190" s="63">
        <v>5527409.6712099994</v>
      </c>
      <c r="N190" s="64">
        <v>5441801.0538600003</v>
      </c>
      <c r="O190" s="65">
        <v>2560000</v>
      </c>
      <c r="P190" s="66">
        <v>2560000</v>
      </c>
      <c r="Q190" s="66">
        <f t="shared" si="36"/>
        <v>5164819.0215999996</v>
      </c>
      <c r="R190" s="63">
        <f t="shared" si="37"/>
        <v>5464760.2477119993</v>
      </c>
      <c r="S190" s="83">
        <f t="shared" si="38"/>
        <v>5538270.6453591995</v>
      </c>
      <c r="T190" s="64">
        <f t="shared" si="39"/>
        <v>5465771.4667180004</v>
      </c>
      <c r="U190" s="66">
        <f t="shared" si="40"/>
        <v>2394727</v>
      </c>
      <c r="V190" s="63">
        <f t="shared" si="41"/>
        <v>2500775</v>
      </c>
      <c r="W190" s="83">
        <f t="shared" si="42"/>
        <v>2560000</v>
      </c>
      <c r="X190" s="64">
        <f t="shared" si="43"/>
        <v>2560000</v>
      </c>
      <c r="Z190" s="67">
        <v>5203918.09</v>
      </c>
      <c r="AA190" s="68">
        <v>5566198.864599999</v>
      </c>
      <c r="AB190" s="69">
        <v>2435000</v>
      </c>
      <c r="AC190" s="70">
        <v>2560000</v>
      </c>
      <c r="AD190" s="67">
        <v>5527409.6712099994</v>
      </c>
      <c r="AE190" s="68">
        <v>5441801.0538600003</v>
      </c>
      <c r="AF190" s="69">
        <v>2560000</v>
      </c>
      <c r="AG190" s="70">
        <v>2560000</v>
      </c>
      <c r="AH190" s="70">
        <f t="shared" si="44"/>
        <v>5164819.0215999996</v>
      </c>
      <c r="AI190" s="70">
        <f t="shared" si="45"/>
        <v>5464760.2477119993</v>
      </c>
      <c r="AJ190" s="70">
        <f t="shared" si="46"/>
        <v>5538270.6453591995</v>
      </c>
      <c r="AK190" s="70">
        <f t="shared" si="47"/>
        <v>5465771.4667180004</v>
      </c>
      <c r="AL190" s="70">
        <f t="shared" si="48"/>
        <v>2394727</v>
      </c>
      <c r="AM190" s="70">
        <f t="shared" si="49"/>
        <v>2500775</v>
      </c>
      <c r="AN190" s="70">
        <f t="shared" si="50"/>
        <v>2560000</v>
      </c>
      <c r="AO190" s="70">
        <f t="shared" si="51"/>
        <v>2560000</v>
      </c>
    </row>
    <row r="191" spans="1:41">
      <c r="A191" s="29" t="s">
        <v>93</v>
      </c>
      <c r="B191" s="29" t="s">
        <v>781</v>
      </c>
      <c r="C191" s="107">
        <v>0</v>
      </c>
      <c r="D191" s="108">
        <v>151980</v>
      </c>
      <c r="F191" s="107">
        <v>0</v>
      </c>
      <c r="G191" s="108">
        <v>151980</v>
      </c>
      <c r="I191" s="64">
        <v>0</v>
      </c>
      <c r="J191" s="83">
        <v>0</v>
      </c>
      <c r="K191" s="66">
        <v>151980</v>
      </c>
      <c r="L191" s="251">
        <v>151980</v>
      </c>
      <c r="M191" s="63">
        <v>0</v>
      </c>
      <c r="N191" s="64">
        <v>0</v>
      </c>
      <c r="O191" s="65">
        <v>151980</v>
      </c>
      <c r="P191" s="66">
        <v>151980</v>
      </c>
      <c r="Q191" s="66">
        <f t="shared" si="36"/>
        <v>0</v>
      </c>
      <c r="R191" s="63">
        <f t="shared" si="37"/>
        <v>0</v>
      </c>
      <c r="S191" s="83">
        <f t="shared" si="38"/>
        <v>0</v>
      </c>
      <c r="T191" s="64">
        <f t="shared" si="39"/>
        <v>0</v>
      </c>
      <c r="U191" s="66">
        <f t="shared" si="40"/>
        <v>151980</v>
      </c>
      <c r="V191" s="63">
        <f t="shared" si="41"/>
        <v>151980</v>
      </c>
      <c r="W191" s="83">
        <f t="shared" si="42"/>
        <v>151980</v>
      </c>
      <c r="X191" s="64">
        <f t="shared" si="43"/>
        <v>151980</v>
      </c>
      <c r="Z191" s="67">
        <v>0</v>
      </c>
      <c r="AA191" s="68">
        <v>0</v>
      </c>
      <c r="AB191" s="69">
        <v>151980</v>
      </c>
      <c r="AC191" s="70">
        <v>151980</v>
      </c>
      <c r="AD191" s="67">
        <v>0</v>
      </c>
      <c r="AE191" s="68">
        <v>0</v>
      </c>
      <c r="AF191" s="69">
        <v>151980</v>
      </c>
      <c r="AG191" s="70">
        <v>151980</v>
      </c>
      <c r="AH191" s="70">
        <f t="shared" si="44"/>
        <v>0</v>
      </c>
      <c r="AI191" s="70">
        <f t="shared" si="45"/>
        <v>0</v>
      </c>
      <c r="AJ191" s="70">
        <f t="shared" si="46"/>
        <v>0</v>
      </c>
      <c r="AK191" s="70">
        <f t="shared" si="47"/>
        <v>0</v>
      </c>
      <c r="AL191" s="70">
        <f t="shared" si="48"/>
        <v>151980</v>
      </c>
      <c r="AM191" s="70">
        <f t="shared" si="49"/>
        <v>151980</v>
      </c>
      <c r="AN191" s="70">
        <f t="shared" si="50"/>
        <v>151980</v>
      </c>
      <c r="AO191" s="70">
        <f t="shared" si="51"/>
        <v>151980</v>
      </c>
    </row>
    <row r="192" spans="1:41">
      <c r="A192" s="29" t="s">
        <v>565</v>
      </c>
      <c r="B192" s="29" t="s">
        <v>876</v>
      </c>
      <c r="C192" s="107">
        <v>63416.52</v>
      </c>
      <c r="D192" s="108">
        <v>378837</v>
      </c>
      <c r="F192" s="107">
        <v>38111.15</v>
      </c>
      <c r="G192" s="108">
        <v>441603</v>
      </c>
      <c r="I192" s="64">
        <v>38111.15</v>
      </c>
      <c r="J192" s="83">
        <v>35079.303099999976</v>
      </c>
      <c r="K192" s="66">
        <v>441603</v>
      </c>
      <c r="L192" s="251">
        <v>419326.9</v>
      </c>
      <c r="M192" s="63">
        <v>31622.528999999995</v>
      </c>
      <c r="N192" s="64">
        <v>21577.16130000004</v>
      </c>
      <c r="O192" s="65">
        <v>441603</v>
      </c>
      <c r="P192" s="66">
        <v>441603</v>
      </c>
      <c r="Q192" s="66">
        <f t="shared" si="36"/>
        <v>45196.653599999998</v>
      </c>
      <c r="R192" s="63">
        <f t="shared" si="37"/>
        <v>35928.220231999985</v>
      </c>
      <c r="S192" s="83">
        <f t="shared" si="38"/>
        <v>32590.425747999991</v>
      </c>
      <c r="T192" s="64">
        <f t="shared" si="39"/>
        <v>24389.86425600003</v>
      </c>
      <c r="U192" s="66">
        <f t="shared" si="40"/>
        <v>411864.46919999999</v>
      </c>
      <c r="V192" s="63">
        <f t="shared" si="41"/>
        <v>429881.31618000002</v>
      </c>
      <c r="W192" s="83">
        <f t="shared" si="42"/>
        <v>431048.58382</v>
      </c>
      <c r="X192" s="64">
        <f t="shared" si="43"/>
        <v>441603</v>
      </c>
      <c r="Z192" s="67">
        <v>38111.15</v>
      </c>
      <c r="AA192" s="68">
        <v>70374.185399999944</v>
      </c>
      <c r="AB192" s="69">
        <v>441603</v>
      </c>
      <c r="AC192" s="70">
        <v>419326.9</v>
      </c>
      <c r="AD192" s="67">
        <v>31622.528999999995</v>
      </c>
      <c r="AE192" s="68">
        <v>21577.16130000004</v>
      </c>
      <c r="AF192" s="69">
        <v>441603</v>
      </c>
      <c r="AG192" s="70">
        <v>441603</v>
      </c>
      <c r="AH192" s="70">
        <f t="shared" si="44"/>
        <v>45196.653599999998</v>
      </c>
      <c r="AI192" s="70">
        <f t="shared" si="45"/>
        <v>61340.535487999958</v>
      </c>
      <c r="AJ192" s="70">
        <f t="shared" si="46"/>
        <v>42472.992791999983</v>
      </c>
      <c r="AK192" s="70">
        <f t="shared" si="47"/>
        <v>24389.86425600003</v>
      </c>
      <c r="AL192" s="70">
        <f t="shared" si="48"/>
        <v>411864.46919999999</v>
      </c>
      <c r="AM192" s="70">
        <f t="shared" si="49"/>
        <v>429881.31618000002</v>
      </c>
      <c r="AN192" s="70">
        <f t="shared" si="50"/>
        <v>431048.58382</v>
      </c>
      <c r="AO192" s="70">
        <f t="shared" si="51"/>
        <v>441603</v>
      </c>
    </row>
    <row r="193" spans="1:41">
      <c r="A193" s="29" t="s">
        <v>111</v>
      </c>
      <c r="B193" s="29" t="s">
        <v>782</v>
      </c>
      <c r="C193" s="107">
        <v>16774148.68</v>
      </c>
      <c r="D193" s="108">
        <v>13218439</v>
      </c>
      <c r="F193" s="107">
        <v>14908426.210000001</v>
      </c>
      <c r="G193" s="108">
        <v>14804651</v>
      </c>
      <c r="I193" s="64">
        <v>14908426.210000001</v>
      </c>
      <c r="J193" s="83">
        <v>14197409.553844001</v>
      </c>
      <c r="K193" s="66">
        <v>14804651</v>
      </c>
      <c r="L193" s="251">
        <v>14804651</v>
      </c>
      <c r="M193" s="63">
        <v>12053810.215919999</v>
      </c>
      <c r="N193" s="64">
        <v>9663220.4216100015</v>
      </c>
      <c r="O193" s="65">
        <v>14804651</v>
      </c>
      <c r="P193" s="66">
        <v>14804651</v>
      </c>
      <c r="Q193" s="66">
        <f t="shared" si="36"/>
        <v>15430828.501600001</v>
      </c>
      <c r="R193" s="63">
        <f t="shared" si="37"/>
        <v>14396494.21756768</v>
      </c>
      <c r="S193" s="83">
        <f t="shared" si="38"/>
        <v>12654018.030538719</v>
      </c>
      <c r="T193" s="64">
        <f t="shared" si="39"/>
        <v>10332585.5640168</v>
      </c>
      <c r="U193" s="66">
        <f t="shared" si="40"/>
        <v>14053103.7544</v>
      </c>
      <c r="V193" s="63">
        <f t="shared" si="41"/>
        <v>14804651</v>
      </c>
      <c r="W193" s="83">
        <f t="shared" si="42"/>
        <v>14804651</v>
      </c>
      <c r="X193" s="64">
        <f t="shared" si="43"/>
        <v>14804651</v>
      </c>
      <c r="Z193" s="67">
        <v>14908426.210000001</v>
      </c>
      <c r="AA193" s="68">
        <v>14417945.667729335</v>
      </c>
      <c r="AB193" s="69">
        <v>14804651</v>
      </c>
      <c r="AC193" s="70">
        <v>14804651</v>
      </c>
      <c r="AD193" s="67">
        <v>12053810.215919999</v>
      </c>
      <c r="AE193" s="68">
        <v>9663220.4216100015</v>
      </c>
      <c r="AF193" s="69">
        <v>14804651</v>
      </c>
      <c r="AG193" s="70">
        <v>14804651</v>
      </c>
      <c r="AH193" s="70">
        <f t="shared" si="44"/>
        <v>15430828.501600001</v>
      </c>
      <c r="AI193" s="70">
        <f t="shared" si="45"/>
        <v>14555280.219565121</v>
      </c>
      <c r="AJ193" s="70">
        <f t="shared" si="46"/>
        <v>12715768.142426612</v>
      </c>
      <c r="AK193" s="70">
        <f t="shared" si="47"/>
        <v>10332585.5640168</v>
      </c>
      <c r="AL193" s="70">
        <f t="shared" si="48"/>
        <v>14053103.7544</v>
      </c>
      <c r="AM193" s="70">
        <f t="shared" si="49"/>
        <v>14804651</v>
      </c>
      <c r="AN193" s="70">
        <f t="shared" si="50"/>
        <v>14804651</v>
      </c>
      <c r="AO193" s="70">
        <f t="shared" si="51"/>
        <v>14804651</v>
      </c>
    </row>
    <row r="194" spans="1:41">
      <c r="A194" s="29" t="s">
        <v>335</v>
      </c>
      <c r="B194" s="29" t="s">
        <v>783</v>
      </c>
      <c r="C194" s="107">
        <v>156282.39000000001</v>
      </c>
      <c r="D194" s="108">
        <v>325000</v>
      </c>
      <c r="F194" s="107">
        <v>129625.53</v>
      </c>
      <c r="G194" s="108">
        <v>664000</v>
      </c>
      <c r="I194" s="64">
        <v>129625.53</v>
      </c>
      <c r="J194" s="83">
        <v>173084.55869999999</v>
      </c>
      <c r="K194" s="66">
        <v>664000</v>
      </c>
      <c r="L194" s="251">
        <v>597095.11499999999</v>
      </c>
      <c r="M194" s="63">
        <v>183249.92669999998</v>
      </c>
      <c r="N194" s="64">
        <v>203689.01640000008</v>
      </c>
      <c r="O194" s="65">
        <v>610839.35</v>
      </c>
      <c r="P194" s="66">
        <v>613088.6</v>
      </c>
      <c r="Q194" s="66">
        <f t="shared" si="36"/>
        <v>137089.45079999999</v>
      </c>
      <c r="R194" s="63">
        <f t="shared" si="37"/>
        <v>160916.03066399999</v>
      </c>
      <c r="S194" s="83">
        <f t="shared" si="38"/>
        <v>180403.62365999998</v>
      </c>
      <c r="T194" s="64">
        <f t="shared" si="39"/>
        <v>197966.07128400006</v>
      </c>
      <c r="U194" s="66">
        <f t="shared" si="40"/>
        <v>503381.8</v>
      </c>
      <c r="V194" s="63">
        <f t="shared" si="41"/>
        <v>628794.64951299992</v>
      </c>
      <c r="W194" s="83">
        <f t="shared" si="42"/>
        <v>604327.33145699999</v>
      </c>
      <c r="X194" s="64">
        <f t="shared" si="43"/>
        <v>612022.90535000002</v>
      </c>
      <c r="Z194" s="67">
        <v>129625.53</v>
      </c>
      <c r="AA194" s="68">
        <v>181486.41040000002</v>
      </c>
      <c r="AB194" s="69">
        <v>664000</v>
      </c>
      <c r="AC194" s="70">
        <v>597095.11499999999</v>
      </c>
      <c r="AD194" s="67">
        <v>183249.92669999998</v>
      </c>
      <c r="AE194" s="68">
        <v>203689.01640000008</v>
      </c>
      <c r="AF194" s="69">
        <v>610839.35</v>
      </c>
      <c r="AG194" s="70">
        <v>613088.6</v>
      </c>
      <c r="AH194" s="70">
        <f t="shared" si="44"/>
        <v>137089.45079999999</v>
      </c>
      <c r="AI194" s="70">
        <f t="shared" si="45"/>
        <v>166965.36388800002</v>
      </c>
      <c r="AJ194" s="70">
        <f t="shared" si="46"/>
        <v>182756.14213599998</v>
      </c>
      <c r="AK194" s="70">
        <f t="shared" si="47"/>
        <v>197966.07128400006</v>
      </c>
      <c r="AL194" s="70">
        <f t="shared" si="48"/>
        <v>503381.8</v>
      </c>
      <c r="AM194" s="70">
        <f t="shared" si="49"/>
        <v>628794.64951299992</v>
      </c>
      <c r="AN194" s="70">
        <f t="shared" si="50"/>
        <v>604327.33145699999</v>
      </c>
      <c r="AO194" s="70">
        <f t="shared" si="51"/>
        <v>612022.90535000002</v>
      </c>
    </row>
    <row r="195" spans="1:41">
      <c r="A195" s="29" t="s">
        <v>19</v>
      </c>
      <c r="B195" s="29" t="s">
        <v>908</v>
      </c>
      <c r="C195" s="107">
        <v>0</v>
      </c>
      <c r="D195" s="108">
        <v>335521</v>
      </c>
      <c r="F195" s="107">
        <v>0</v>
      </c>
      <c r="G195" s="108">
        <v>364314</v>
      </c>
      <c r="I195" s="64">
        <v>0</v>
      </c>
      <c r="J195" s="83">
        <v>0</v>
      </c>
      <c r="K195" s="66">
        <v>364314</v>
      </c>
      <c r="L195" s="251">
        <v>355497</v>
      </c>
      <c r="M195" s="63">
        <v>0</v>
      </c>
      <c r="N195" s="64">
        <v>0</v>
      </c>
      <c r="O195" s="65">
        <v>355497</v>
      </c>
      <c r="P195" s="66">
        <v>355497</v>
      </c>
      <c r="Q195" s="66">
        <f t="shared" si="36"/>
        <v>0</v>
      </c>
      <c r="R195" s="63">
        <f t="shared" si="37"/>
        <v>0</v>
      </c>
      <c r="S195" s="83">
        <f t="shared" si="38"/>
        <v>0</v>
      </c>
      <c r="T195" s="64">
        <f t="shared" si="39"/>
        <v>0</v>
      </c>
      <c r="U195" s="66">
        <f t="shared" si="40"/>
        <v>350671.87659999996</v>
      </c>
      <c r="V195" s="63">
        <f t="shared" si="41"/>
        <v>359674.49459999998</v>
      </c>
      <c r="W195" s="83">
        <f t="shared" si="42"/>
        <v>355497</v>
      </c>
      <c r="X195" s="64">
        <f t="shared" si="43"/>
        <v>355497</v>
      </c>
      <c r="Z195" s="67">
        <v>0</v>
      </c>
      <c r="AA195" s="68">
        <v>0</v>
      </c>
      <c r="AB195" s="69">
        <v>364314</v>
      </c>
      <c r="AC195" s="70">
        <v>355497</v>
      </c>
      <c r="AD195" s="67">
        <v>0</v>
      </c>
      <c r="AE195" s="68">
        <v>0</v>
      </c>
      <c r="AF195" s="69">
        <v>355497</v>
      </c>
      <c r="AG195" s="70">
        <v>355497</v>
      </c>
      <c r="AH195" s="70">
        <f t="shared" si="44"/>
        <v>0</v>
      </c>
      <c r="AI195" s="70">
        <f t="shared" si="45"/>
        <v>0</v>
      </c>
      <c r="AJ195" s="70">
        <f t="shared" si="46"/>
        <v>0</v>
      </c>
      <c r="AK195" s="70">
        <f t="shared" si="47"/>
        <v>0</v>
      </c>
      <c r="AL195" s="70">
        <f t="shared" si="48"/>
        <v>350671.87659999996</v>
      </c>
      <c r="AM195" s="70">
        <f t="shared" si="49"/>
        <v>359674.49459999998</v>
      </c>
      <c r="AN195" s="70">
        <f t="shared" si="50"/>
        <v>355497</v>
      </c>
      <c r="AO195" s="70">
        <f t="shared" si="51"/>
        <v>355497</v>
      </c>
    </row>
    <row r="196" spans="1:41">
      <c r="A196" s="29" t="s">
        <v>289</v>
      </c>
      <c r="B196" s="29" t="s">
        <v>784</v>
      </c>
      <c r="C196" s="107">
        <v>30046.880000000001</v>
      </c>
      <c r="D196" s="108">
        <v>350000</v>
      </c>
      <c r="F196" s="107">
        <v>5481.78</v>
      </c>
      <c r="G196" s="108">
        <v>350018</v>
      </c>
      <c r="I196" s="64">
        <v>5481.78</v>
      </c>
      <c r="J196" s="83">
        <v>15762.794468666631</v>
      </c>
      <c r="K196" s="66">
        <v>350018</v>
      </c>
      <c r="L196" s="251">
        <v>350000</v>
      </c>
      <c r="M196" s="63">
        <v>0</v>
      </c>
      <c r="N196" s="64">
        <v>0</v>
      </c>
      <c r="O196" s="65">
        <v>350000</v>
      </c>
      <c r="P196" s="66">
        <v>350000</v>
      </c>
      <c r="Q196" s="66">
        <f t="shared" si="36"/>
        <v>12360.008000000002</v>
      </c>
      <c r="R196" s="63">
        <f t="shared" si="37"/>
        <v>12884.110417439973</v>
      </c>
      <c r="S196" s="83">
        <f t="shared" si="38"/>
        <v>4413.5824512266572</v>
      </c>
      <c r="T196" s="64">
        <f t="shared" si="39"/>
        <v>0</v>
      </c>
      <c r="U196" s="66">
        <f t="shared" si="40"/>
        <v>350009.47159999999</v>
      </c>
      <c r="V196" s="63">
        <f t="shared" si="41"/>
        <v>350008.52840000001</v>
      </c>
      <c r="W196" s="83">
        <f t="shared" si="42"/>
        <v>350000</v>
      </c>
      <c r="X196" s="64">
        <f t="shared" si="43"/>
        <v>350000</v>
      </c>
      <c r="Z196" s="67">
        <v>5481.78</v>
      </c>
      <c r="AA196" s="68">
        <v>15762.794468666631</v>
      </c>
      <c r="AB196" s="69">
        <v>350018</v>
      </c>
      <c r="AC196" s="70">
        <v>350000</v>
      </c>
      <c r="AD196" s="67">
        <v>0</v>
      </c>
      <c r="AE196" s="68">
        <v>0</v>
      </c>
      <c r="AF196" s="69">
        <v>350000</v>
      </c>
      <c r="AG196" s="70">
        <v>350000</v>
      </c>
      <c r="AH196" s="70">
        <f t="shared" si="44"/>
        <v>12360.008000000002</v>
      </c>
      <c r="AI196" s="70">
        <f t="shared" si="45"/>
        <v>12884.110417439973</v>
      </c>
      <c r="AJ196" s="70">
        <f t="shared" si="46"/>
        <v>4413.5824512266572</v>
      </c>
      <c r="AK196" s="70">
        <f t="shared" si="47"/>
        <v>0</v>
      </c>
      <c r="AL196" s="70">
        <f t="shared" si="48"/>
        <v>350009.47159999999</v>
      </c>
      <c r="AM196" s="70">
        <f t="shared" si="49"/>
        <v>350008.52840000001</v>
      </c>
      <c r="AN196" s="70">
        <f t="shared" si="50"/>
        <v>350000</v>
      </c>
      <c r="AO196" s="70">
        <f t="shared" si="51"/>
        <v>350000</v>
      </c>
    </row>
    <row r="197" spans="1:41">
      <c r="A197" s="29" t="s">
        <v>379</v>
      </c>
      <c r="B197" s="29" t="s">
        <v>785</v>
      </c>
      <c r="C197" s="107">
        <v>0</v>
      </c>
      <c r="D197" s="108">
        <v>25140000</v>
      </c>
      <c r="F197" s="107">
        <v>0</v>
      </c>
      <c r="G197" s="108">
        <v>26900000</v>
      </c>
      <c r="I197" s="64">
        <v>0</v>
      </c>
      <c r="J197" s="83">
        <v>0</v>
      </c>
      <c r="K197" s="66">
        <v>26900000</v>
      </c>
      <c r="L197" s="251">
        <v>24416909.266400002</v>
      </c>
      <c r="M197" s="63">
        <v>0</v>
      </c>
      <c r="N197" s="64">
        <v>0</v>
      </c>
      <c r="O197" s="65">
        <v>25263120.005000003</v>
      </c>
      <c r="P197" s="66">
        <v>26263973.635899998</v>
      </c>
      <c r="Q197" s="66">
        <f t="shared" si="36"/>
        <v>0</v>
      </c>
      <c r="R197" s="63">
        <f t="shared" si="37"/>
        <v>0</v>
      </c>
      <c r="S197" s="83">
        <f t="shared" si="38"/>
        <v>0</v>
      </c>
      <c r="T197" s="64">
        <f t="shared" si="39"/>
        <v>0</v>
      </c>
      <c r="U197" s="66">
        <f t="shared" si="40"/>
        <v>26066112</v>
      </c>
      <c r="V197" s="63">
        <f t="shared" si="41"/>
        <v>25593397.655979682</v>
      </c>
      <c r="W197" s="83">
        <f t="shared" si="42"/>
        <v>24862185.35705132</v>
      </c>
      <c r="X197" s="64">
        <f t="shared" si="43"/>
        <v>25789769.185579579</v>
      </c>
      <c r="Z197" s="67">
        <v>0</v>
      </c>
      <c r="AA197" s="68">
        <v>0</v>
      </c>
      <c r="AB197" s="69">
        <v>26900000</v>
      </c>
      <c r="AC197" s="70">
        <v>26596083.672999997</v>
      </c>
      <c r="AD197" s="67">
        <v>0</v>
      </c>
      <c r="AE197" s="68">
        <v>0</v>
      </c>
      <c r="AF197" s="69">
        <v>25263120.005000003</v>
      </c>
      <c r="AG197" s="70">
        <v>26263973.635899998</v>
      </c>
      <c r="AH197" s="70">
        <f t="shared" si="44"/>
        <v>0</v>
      </c>
      <c r="AI197" s="70">
        <f t="shared" si="45"/>
        <v>0</v>
      </c>
      <c r="AJ197" s="70">
        <f t="shared" si="46"/>
        <v>0</v>
      </c>
      <c r="AK197" s="70">
        <f t="shared" si="47"/>
        <v>0</v>
      </c>
      <c r="AL197" s="70">
        <f t="shared" si="48"/>
        <v>26066112</v>
      </c>
      <c r="AM197" s="70">
        <f t="shared" si="49"/>
        <v>26740079.228732601</v>
      </c>
      <c r="AN197" s="70">
        <f t="shared" si="50"/>
        <v>25894678.1908984</v>
      </c>
      <c r="AO197" s="70">
        <f t="shared" si="51"/>
        <v>25789769.185579579</v>
      </c>
    </row>
    <row r="198" spans="1:41">
      <c r="A198" s="29" t="s">
        <v>321</v>
      </c>
      <c r="B198" s="29" t="s">
        <v>786</v>
      </c>
      <c r="C198" s="107">
        <v>0</v>
      </c>
      <c r="D198" s="108">
        <v>2641258</v>
      </c>
      <c r="F198" s="107">
        <v>0</v>
      </c>
      <c r="G198" s="108">
        <v>2727137</v>
      </c>
      <c r="I198" s="64">
        <v>0</v>
      </c>
      <c r="J198" s="83">
        <v>0</v>
      </c>
      <c r="K198" s="66">
        <v>2727137</v>
      </c>
      <c r="L198" s="251">
        <v>2802110</v>
      </c>
      <c r="M198" s="63">
        <v>0</v>
      </c>
      <c r="N198" s="64">
        <v>0</v>
      </c>
      <c r="O198" s="65">
        <v>2802110</v>
      </c>
      <c r="P198" s="66">
        <v>2802110</v>
      </c>
      <c r="Q198" s="66">
        <f t="shared" si="36"/>
        <v>0</v>
      </c>
      <c r="R198" s="63">
        <f t="shared" si="37"/>
        <v>0</v>
      </c>
      <c r="S198" s="83">
        <f t="shared" si="38"/>
        <v>0</v>
      </c>
      <c r="T198" s="64">
        <f t="shared" si="39"/>
        <v>0</v>
      </c>
      <c r="U198" s="66">
        <f t="shared" si="40"/>
        <v>2686447.5298000001</v>
      </c>
      <c r="V198" s="63">
        <f t="shared" si="41"/>
        <v>2766587.7925999998</v>
      </c>
      <c r="W198" s="83">
        <f t="shared" si="42"/>
        <v>2802110</v>
      </c>
      <c r="X198" s="64">
        <f t="shared" si="43"/>
        <v>2802110</v>
      </c>
      <c r="Z198" s="67">
        <v>0</v>
      </c>
      <c r="AA198" s="68">
        <v>0</v>
      </c>
      <c r="AB198" s="69">
        <v>2727137</v>
      </c>
      <c r="AC198" s="70">
        <v>2802110</v>
      </c>
      <c r="AD198" s="67">
        <v>0</v>
      </c>
      <c r="AE198" s="68">
        <v>0</v>
      </c>
      <c r="AF198" s="69">
        <v>2802110</v>
      </c>
      <c r="AG198" s="70">
        <v>2802110</v>
      </c>
      <c r="AH198" s="70">
        <f t="shared" si="44"/>
        <v>0</v>
      </c>
      <c r="AI198" s="70">
        <f t="shared" si="45"/>
        <v>0</v>
      </c>
      <c r="AJ198" s="70">
        <f t="shared" si="46"/>
        <v>0</v>
      </c>
      <c r="AK198" s="70">
        <f t="shared" si="47"/>
        <v>0</v>
      </c>
      <c r="AL198" s="70">
        <f t="shared" si="48"/>
        <v>2686447.5298000001</v>
      </c>
      <c r="AM198" s="70">
        <f t="shared" si="49"/>
        <v>2766587.7925999998</v>
      </c>
      <c r="AN198" s="70">
        <f t="shared" si="50"/>
        <v>2802110</v>
      </c>
      <c r="AO198" s="70">
        <f t="shared" si="51"/>
        <v>2802110</v>
      </c>
    </row>
    <row r="199" spans="1:41">
      <c r="A199" s="29" t="s">
        <v>119</v>
      </c>
      <c r="B199" s="29" t="s">
        <v>900</v>
      </c>
      <c r="C199" s="107">
        <v>0</v>
      </c>
      <c r="D199" s="108">
        <v>793022</v>
      </c>
      <c r="F199" s="107">
        <v>0</v>
      </c>
      <c r="G199" s="108">
        <v>843420</v>
      </c>
      <c r="I199" s="64">
        <v>0</v>
      </c>
      <c r="J199" s="83">
        <v>0</v>
      </c>
      <c r="K199" s="66">
        <v>843420</v>
      </c>
      <c r="L199" s="251">
        <v>894629.95479999983</v>
      </c>
      <c r="M199" s="63">
        <v>0</v>
      </c>
      <c r="N199" s="64">
        <v>0</v>
      </c>
      <c r="O199" s="65">
        <v>925613.91230000008</v>
      </c>
      <c r="P199" s="66">
        <v>962287.75719999999</v>
      </c>
      <c r="Q199" s="66">
        <f t="shared" si="36"/>
        <v>0</v>
      </c>
      <c r="R199" s="63">
        <f t="shared" si="37"/>
        <v>0</v>
      </c>
      <c r="S199" s="83">
        <f t="shared" si="38"/>
        <v>0</v>
      </c>
      <c r="T199" s="64">
        <f t="shared" si="39"/>
        <v>0</v>
      </c>
      <c r="U199" s="66">
        <f t="shared" si="40"/>
        <v>819541.42760000005</v>
      </c>
      <c r="V199" s="63">
        <f t="shared" si="41"/>
        <v>870366.67821575992</v>
      </c>
      <c r="W199" s="83">
        <f t="shared" si="42"/>
        <v>910933.71323650004</v>
      </c>
      <c r="X199" s="64">
        <f t="shared" si="43"/>
        <v>944911.68948637997</v>
      </c>
      <c r="Z199" s="67">
        <v>0</v>
      </c>
      <c r="AA199" s="68">
        <v>0</v>
      </c>
      <c r="AB199" s="69">
        <v>843420</v>
      </c>
      <c r="AC199" s="70">
        <v>894629.95479999983</v>
      </c>
      <c r="AD199" s="67">
        <v>0</v>
      </c>
      <c r="AE199" s="68">
        <v>0</v>
      </c>
      <c r="AF199" s="69">
        <v>925613.91230000008</v>
      </c>
      <c r="AG199" s="70">
        <v>962287.75719999999</v>
      </c>
      <c r="AH199" s="70">
        <f t="shared" si="44"/>
        <v>0</v>
      </c>
      <c r="AI199" s="70">
        <f t="shared" si="45"/>
        <v>0</v>
      </c>
      <c r="AJ199" s="70">
        <f t="shared" si="46"/>
        <v>0</v>
      </c>
      <c r="AK199" s="70">
        <f t="shared" si="47"/>
        <v>0</v>
      </c>
      <c r="AL199" s="70">
        <f t="shared" si="48"/>
        <v>819541.42760000005</v>
      </c>
      <c r="AM199" s="70">
        <f t="shared" si="49"/>
        <v>870366.67821575992</v>
      </c>
      <c r="AN199" s="70">
        <f t="shared" si="50"/>
        <v>910933.71323650004</v>
      </c>
      <c r="AO199" s="70">
        <f t="shared" si="51"/>
        <v>944911.68948637997</v>
      </c>
    </row>
    <row r="200" spans="1:41">
      <c r="A200" s="29" t="s">
        <v>43</v>
      </c>
      <c r="B200" s="29" t="s">
        <v>787</v>
      </c>
      <c r="C200" s="107">
        <v>41618.33</v>
      </c>
      <c r="D200" s="108">
        <v>5936331</v>
      </c>
      <c r="F200" s="107">
        <v>0</v>
      </c>
      <c r="G200" s="108">
        <v>5600000</v>
      </c>
      <c r="I200" s="64">
        <v>0</v>
      </c>
      <c r="J200" s="83">
        <v>0</v>
      </c>
      <c r="K200" s="66">
        <v>5600000</v>
      </c>
      <c r="L200" s="251">
        <v>5600000</v>
      </c>
      <c r="M200" s="63">
        <v>0</v>
      </c>
      <c r="N200" s="64">
        <v>0</v>
      </c>
      <c r="O200" s="65">
        <v>5600000</v>
      </c>
      <c r="P200" s="66">
        <v>5600000</v>
      </c>
      <c r="Q200" s="66">
        <f t="shared" si="36"/>
        <v>11653.132400000002</v>
      </c>
      <c r="R200" s="63">
        <f t="shared" si="37"/>
        <v>0</v>
      </c>
      <c r="S200" s="83">
        <f t="shared" si="38"/>
        <v>0</v>
      </c>
      <c r="T200" s="64">
        <f t="shared" si="39"/>
        <v>0</v>
      </c>
      <c r="U200" s="66">
        <f t="shared" si="40"/>
        <v>5759353.6277999999</v>
      </c>
      <c r="V200" s="63">
        <f t="shared" si="41"/>
        <v>5600000</v>
      </c>
      <c r="W200" s="83">
        <f t="shared" si="42"/>
        <v>5600000</v>
      </c>
      <c r="X200" s="64">
        <f t="shared" si="43"/>
        <v>5600000</v>
      </c>
      <c r="Z200" s="67">
        <v>0</v>
      </c>
      <c r="AA200" s="68">
        <v>0</v>
      </c>
      <c r="AB200" s="69">
        <v>5600000</v>
      </c>
      <c r="AC200" s="70">
        <v>5600000</v>
      </c>
      <c r="AD200" s="67">
        <v>0</v>
      </c>
      <c r="AE200" s="68">
        <v>0</v>
      </c>
      <c r="AF200" s="69">
        <v>5600000</v>
      </c>
      <c r="AG200" s="70">
        <v>5600000</v>
      </c>
      <c r="AH200" s="70">
        <f t="shared" si="44"/>
        <v>11653.132400000002</v>
      </c>
      <c r="AI200" s="70">
        <f t="shared" si="45"/>
        <v>0</v>
      </c>
      <c r="AJ200" s="70">
        <f t="shared" si="46"/>
        <v>0</v>
      </c>
      <c r="AK200" s="70">
        <f t="shared" si="47"/>
        <v>0</v>
      </c>
      <c r="AL200" s="70">
        <f t="shared" si="48"/>
        <v>5759353.6277999999</v>
      </c>
      <c r="AM200" s="70">
        <f t="shared" si="49"/>
        <v>5600000</v>
      </c>
      <c r="AN200" s="70">
        <f t="shared" si="50"/>
        <v>5600000</v>
      </c>
      <c r="AO200" s="70">
        <f t="shared" si="51"/>
        <v>5600000</v>
      </c>
    </row>
    <row r="201" spans="1:41">
      <c r="A201" s="29" t="s">
        <v>181</v>
      </c>
      <c r="B201" s="29" t="s">
        <v>788</v>
      </c>
      <c r="C201" s="107">
        <v>0</v>
      </c>
      <c r="D201" s="108">
        <v>3121025</v>
      </c>
      <c r="F201" s="107">
        <v>0</v>
      </c>
      <c r="G201" s="108">
        <v>3204275.15</v>
      </c>
      <c r="I201" s="64">
        <v>0</v>
      </c>
      <c r="J201" s="83">
        <v>0</v>
      </c>
      <c r="K201" s="66">
        <v>3204275.15</v>
      </c>
      <c r="L201" s="251">
        <v>3178702.7317999997</v>
      </c>
      <c r="M201" s="63">
        <v>0</v>
      </c>
      <c r="N201" s="64">
        <v>0</v>
      </c>
      <c r="O201" s="65">
        <v>3288893.4811</v>
      </c>
      <c r="P201" s="66">
        <v>3375000</v>
      </c>
      <c r="Q201" s="66">
        <f t="shared" ref="Q201:Q264" si="52">(0.28*C201)+(0.72*I201)</f>
        <v>0</v>
      </c>
      <c r="R201" s="63">
        <f t="shared" ref="R201:R264" si="53">(0.28*I201)+(0.72*J201)</f>
        <v>0</v>
      </c>
      <c r="S201" s="83">
        <f t="shared" ref="S201:S264" si="54">(0.28*J201)+(0.72*M201)</f>
        <v>0</v>
      </c>
      <c r="T201" s="64">
        <f t="shared" ref="T201:T264" si="55">(0.28*M201)+(0.72*N201)</f>
        <v>0</v>
      </c>
      <c r="U201" s="66">
        <f t="shared" ref="U201:U264" si="56">(0.4738*D201)+(0.5262*G201)</f>
        <v>3164831.2289300002</v>
      </c>
      <c r="V201" s="63">
        <f t="shared" ref="V201:V264" si="57">(0.4738*G201)+(0.5262*L201)</f>
        <v>3190818.9435431599</v>
      </c>
      <c r="W201" s="83">
        <f t="shared" ref="W201:W264" si="58">(0.4738*L201)+(0.5262*O201)</f>
        <v>3236685.1040816596</v>
      </c>
      <c r="X201" s="64">
        <f t="shared" ref="X201:X264" si="59">(0.4738*O201)+(0.5262*P201)</f>
        <v>3334202.73134518</v>
      </c>
      <c r="Z201" s="67">
        <v>0</v>
      </c>
      <c r="AA201" s="68">
        <v>0</v>
      </c>
      <c r="AB201" s="69">
        <v>3204275.15</v>
      </c>
      <c r="AC201" s="70">
        <v>3375000</v>
      </c>
      <c r="AD201" s="67">
        <v>0</v>
      </c>
      <c r="AE201" s="68">
        <v>0</v>
      </c>
      <c r="AF201" s="69">
        <v>3288893.4811</v>
      </c>
      <c r="AG201" s="70">
        <v>3375000</v>
      </c>
      <c r="AH201" s="70">
        <f t="shared" ref="AH201:AH264" si="60">(0.28*C201)+(0.72*Z201)</f>
        <v>0</v>
      </c>
      <c r="AI201" s="70">
        <f t="shared" ref="AI201:AI264" si="61">(0.28*Z201)+(0.72*AA201)</f>
        <v>0</v>
      </c>
      <c r="AJ201" s="70">
        <f t="shared" ref="AJ201:AJ264" si="62">(0.28*AA201)+(0.72*AD201)</f>
        <v>0</v>
      </c>
      <c r="AK201" s="70">
        <f t="shared" ref="AK201:AK264" si="63">(0.28*AD201)+(0.72*AE201)</f>
        <v>0</v>
      </c>
      <c r="AL201" s="70">
        <f t="shared" ref="AL201:AL264" si="64">(0.4738*D201)+(0.5262*G201)</f>
        <v>3164831.2289300002</v>
      </c>
      <c r="AM201" s="70">
        <f t="shared" ref="AM201:AM264" si="65">(0.4738*G201)+(0.5262*AC201)</f>
        <v>3294110.5660699997</v>
      </c>
      <c r="AN201" s="70">
        <f t="shared" ref="AN201:AN264" si="66">(0.4738*AC201)+(0.5262*AF201)</f>
        <v>3329690.74975482</v>
      </c>
      <c r="AO201" s="70">
        <f t="shared" ref="AO201:AO264" si="67">(0.4738*AF201)+(0.5262*AG201)</f>
        <v>3334202.73134518</v>
      </c>
    </row>
    <row r="202" spans="1:41">
      <c r="A202" s="29" t="s">
        <v>537</v>
      </c>
      <c r="B202" s="29" t="s">
        <v>877</v>
      </c>
      <c r="C202" s="107">
        <v>0</v>
      </c>
      <c r="D202" s="108">
        <v>635612</v>
      </c>
      <c r="F202" s="107">
        <v>0</v>
      </c>
      <c r="G202" s="108">
        <v>670000</v>
      </c>
      <c r="I202" s="64">
        <v>0</v>
      </c>
      <c r="J202" s="83">
        <v>0</v>
      </c>
      <c r="K202" s="66">
        <v>670000</v>
      </c>
      <c r="L202" s="251">
        <v>670000</v>
      </c>
      <c r="M202" s="63">
        <v>0</v>
      </c>
      <c r="N202" s="64">
        <v>0</v>
      </c>
      <c r="O202" s="65">
        <v>670000</v>
      </c>
      <c r="P202" s="66">
        <v>670000</v>
      </c>
      <c r="Q202" s="66">
        <f t="shared" si="52"/>
        <v>0</v>
      </c>
      <c r="R202" s="63">
        <f t="shared" si="53"/>
        <v>0</v>
      </c>
      <c r="S202" s="83">
        <f t="shared" si="54"/>
        <v>0</v>
      </c>
      <c r="T202" s="64">
        <f t="shared" si="55"/>
        <v>0</v>
      </c>
      <c r="U202" s="66">
        <f t="shared" si="56"/>
        <v>653706.9656</v>
      </c>
      <c r="V202" s="63">
        <f t="shared" si="57"/>
        <v>670000</v>
      </c>
      <c r="W202" s="83">
        <f t="shared" si="58"/>
        <v>670000</v>
      </c>
      <c r="X202" s="64">
        <f t="shared" si="59"/>
        <v>670000</v>
      </c>
      <c r="Z202" s="67">
        <v>0</v>
      </c>
      <c r="AA202" s="68">
        <v>0</v>
      </c>
      <c r="AB202" s="69">
        <v>670000</v>
      </c>
      <c r="AC202" s="70">
        <v>670000</v>
      </c>
      <c r="AD202" s="67">
        <v>0</v>
      </c>
      <c r="AE202" s="68">
        <v>0</v>
      </c>
      <c r="AF202" s="69">
        <v>670000</v>
      </c>
      <c r="AG202" s="70">
        <v>670000</v>
      </c>
      <c r="AH202" s="70">
        <f t="shared" si="60"/>
        <v>0</v>
      </c>
      <c r="AI202" s="70">
        <f t="shared" si="61"/>
        <v>0</v>
      </c>
      <c r="AJ202" s="70">
        <f t="shared" si="62"/>
        <v>0</v>
      </c>
      <c r="AK202" s="70">
        <f t="shared" si="63"/>
        <v>0</v>
      </c>
      <c r="AL202" s="70">
        <f t="shared" si="64"/>
        <v>653706.9656</v>
      </c>
      <c r="AM202" s="70">
        <f t="shared" si="65"/>
        <v>670000</v>
      </c>
      <c r="AN202" s="70">
        <f t="shared" si="66"/>
        <v>670000</v>
      </c>
      <c r="AO202" s="70">
        <f t="shared" si="67"/>
        <v>670000</v>
      </c>
    </row>
    <row r="203" spans="1:41">
      <c r="A203" s="29" t="s">
        <v>25</v>
      </c>
      <c r="B203" s="29" t="s">
        <v>789</v>
      </c>
      <c r="C203" s="107">
        <v>1699505.23</v>
      </c>
      <c r="D203" s="108">
        <v>3190400</v>
      </c>
      <c r="F203" s="107">
        <v>1631242.24</v>
      </c>
      <c r="G203" s="108">
        <v>3668960</v>
      </c>
      <c r="I203" s="64">
        <v>1631242.24</v>
      </c>
      <c r="J203" s="83">
        <v>1690030.5230999999</v>
      </c>
      <c r="K203" s="66">
        <v>3668960</v>
      </c>
      <c r="L203" s="251">
        <v>3668960</v>
      </c>
      <c r="M203" s="63">
        <v>1651700.9817000004</v>
      </c>
      <c r="N203" s="64">
        <v>1749714.5816999997</v>
      </c>
      <c r="O203" s="65">
        <v>3668960</v>
      </c>
      <c r="P203" s="66">
        <v>3668960</v>
      </c>
      <c r="Q203" s="66">
        <f t="shared" si="52"/>
        <v>1650355.8772</v>
      </c>
      <c r="R203" s="63">
        <f t="shared" si="53"/>
        <v>1673569.8038320001</v>
      </c>
      <c r="S203" s="83">
        <f t="shared" si="54"/>
        <v>1662433.2532920002</v>
      </c>
      <c r="T203" s="64">
        <f t="shared" si="55"/>
        <v>1722270.7736999998</v>
      </c>
      <c r="U203" s="66">
        <f t="shared" si="56"/>
        <v>3442218.2719999999</v>
      </c>
      <c r="V203" s="63">
        <f t="shared" si="57"/>
        <v>3668960</v>
      </c>
      <c r="W203" s="83">
        <f t="shared" si="58"/>
        <v>3668960</v>
      </c>
      <c r="X203" s="64">
        <f t="shared" si="59"/>
        <v>3668960</v>
      </c>
      <c r="Z203" s="67">
        <v>1631242.24</v>
      </c>
      <c r="AA203" s="68">
        <v>1905370.1597999996</v>
      </c>
      <c r="AB203" s="69">
        <v>3668960</v>
      </c>
      <c r="AC203" s="70">
        <v>3668960</v>
      </c>
      <c r="AD203" s="67">
        <v>1651700.9817000004</v>
      </c>
      <c r="AE203" s="68">
        <v>1749714.5816999997</v>
      </c>
      <c r="AF203" s="69">
        <v>3668960</v>
      </c>
      <c r="AG203" s="70">
        <v>3668960</v>
      </c>
      <c r="AH203" s="70">
        <f t="shared" si="60"/>
        <v>1650355.8772</v>
      </c>
      <c r="AI203" s="70">
        <f t="shared" si="61"/>
        <v>1828614.3422559998</v>
      </c>
      <c r="AJ203" s="70">
        <f t="shared" si="62"/>
        <v>1722728.3515680002</v>
      </c>
      <c r="AK203" s="70">
        <f t="shared" si="63"/>
        <v>1722270.7736999998</v>
      </c>
      <c r="AL203" s="70">
        <f t="shared" si="64"/>
        <v>3442218.2719999999</v>
      </c>
      <c r="AM203" s="70">
        <f t="shared" si="65"/>
        <v>3668960</v>
      </c>
      <c r="AN203" s="70">
        <f t="shared" si="66"/>
        <v>3668960</v>
      </c>
      <c r="AO203" s="70">
        <f t="shared" si="67"/>
        <v>3668960</v>
      </c>
    </row>
    <row r="204" spans="1:41">
      <c r="A204" s="29" t="s">
        <v>561</v>
      </c>
      <c r="B204" s="29" t="s">
        <v>790</v>
      </c>
      <c r="C204" s="107">
        <v>617240.6</v>
      </c>
      <c r="D204" s="108">
        <v>5300000</v>
      </c>
      <c r="F204" s="107">
        <v>437334.73</v>
      </c>
      <c r="G204" s="108">
        <v>5300000</v>
      </c>
      <c r="I204" s="64">
        <v>437334.73</v>
      </c>
      <c r="J204" s="83">
        <v>356462.52689999982</v>
      </c>
      <c r="K204" s="66">
        <v>5300000</v>
      </c>
      <c r="L204" s="251">
        <v>5300000</v>
      </c>
      <c r="M204" s="63">
        <v>236092.85579999941</v>
      </c>
      <c r="N204" s="64">
        <v>62241.805500000439</v>
      </c>
      <c r="O204" s="65">
        <v>5300000</v>
      </c>
      <c r="P204" s="66">
        <v>5300000</v>
      </c>
      <c r="Q204" s="66">
        <f t="shared" si="52"/>
        <v>487708.37359999999</v>
      </c>
      <c r="R204" s="63">
        <f t="shared" si="53"/>
        <v>379106.74376799987</v>
      </c>
      <c r="S204" s="83">
        <f t="shared" si="54"/>
        <v>269796.36370799952</v>
      </c>
      <c r="T204" s="64">
        <f t="shared" si="55"/>
        <v>110920.09958400016</v>
      </c>
      <c r="U204" s="66">
        <f t="shared" si="56"/>
        <v>5300000</v>
      </c>
      <c r="V204" s="63">
        <f t="shared" si="57"/>
        <v>5300000</v>
      </c>
      <c r="W204" s="83">
        <f t="shared" si="58"/>
        <v>5300000</v>
      </c>
      <c r="X204" s="64">
        <f t="shared" si="59"/>
        <v>5300000</v>
      </c>
      <c r="Z204" s="67">
        <v>437334.73</v>
      </c>
      <c r="AA204" s="68">
        <v>630757.22869999986</v>
      </c>
      <c r="AB204" s="69">
        <v>5300000</v>
      </c>
      <c r="AC204" s="70">
        <v>5300000</v>
      </c>
      <c r="AD204" s="67">
        <v>236092.85579999941</v>
      </c>
      <c r="AE204" s="68">
        <v>62241.805500000439</v>
      </c>
      <c r="AF204" s="69">
        <v>5300000</v>
      </c>
      <c r="AG204" s="70">
        <v>5300000</v>
      </c>
      <c r="AH204" s="70">
        <f t="shared" si="60"/>
        <v>487708.37359999999</v>
      </c>
      <c r="AI204" s="70">
        <f t="shared" si="61"/>
        <v>576598.92906399991</v>
      </c>
      <c r="AJ204" s="70">
        <f t="shared" si="62"/>
        <v>346598.88021199952</v>
      </c>
      <c r="AK204" s="70">
        <f t="shared" si="63"/>
        <v>110920.09958400016</v>
      </c>
      <c r="AL204" s="70">
        <f t="shared" si="64"/>
        <v>5300000</v>
      </c>
      <c r="AM204" s="70">
        <f t="shared" si="65"/>
        <v>5300000</v>
      </c>
      <c r="AN204" s="70">
        <f t="shared" si="66"/>
        <v>5300000</v>
      </c>
      <c r="AO204" s="70">
        <f t="shared" si="67"/>
        <v>5300000</v>
      </c>
    </row>
    <row r="205" spans="1:41">
      <c r="A205" s="29" t="s">
        <v>363</v>
      </c>
      <c r="B205" s="29" t="s">
        <v>791</v>
      </c>
      <c r="C205" s="107">
        <v>7398485</v>
      </c>
      <c r="D205" s="108">
        <v>52349127</v>
      </c>
      <c r="F205" s="107">
        <v>1489230.06</v>
      </c>
      <c r="G205" s="108">
        <v>55725189</v>
      </c>
      <c r="I205" s="64">
        <v>1489230.06</v>
      </c>
      <c r="J205" s="83">
        <v>1493779.7284000011</v>
      </c>
      <c r="K205" s="66">
        <v>55725189</v>
      </c>
      <c r="L205" s="251">
        <v>55725189</v>
      </c>
      <c r="M205" s="63">
        <v>2091.1301999922052</v>
      </c>
      <c r="N205" s="64">
        <v>0</v>
      </c>
      <c r="O205" s="65">
        <v>55725189</v>
      </c>
      <c r="P205" s="66">
        <v>55725189</v>
      </c>
      <c r="Q205" s="66">
        <f t="shared" si="52"/>
        <v>3143821.4432000006</v>
      </c>
      <c r="R205" s="63">
        <f t="shared" si="53"/>
        <v>1492505.8212480007</v>
      </c>
      <c r="S205" s="83">
        <f t="shared" si="54"/>
        <v>419763.93769599474</v>
      </c>
      <c r="T205" s="64">
        <f t="shared" si="55"/>
        <v>585.5164559978175</v>
      </c>
      <c r="U205" s="66">
        <f t="shared" si="56"/>
        <v>54125610.8244</v>
      </c>
      <c r="V205" s="63">
        <f t="shared" si="57"/>
        <v>55725189</v>
      </c>
      <c r="W205" s="83">
        <f t="shared" si="58"/>
        <v>55725189</v>
      </c>
      <c r="X205" s="64">
        <f t="shared" si="59"/>
        <v>55725189</v>
      </c>
      <c r="Z205" s="67">
        <v>1489230.06</v>
      </c>
      <c r="AA205" s="68">
        <v>3318988.7550000022</v>
      </c>
      <c r="AB205" s="69">
        <v>55725189</v>
      </c>
      <c r="AC205" s="70">
        <v>55725189</v>
      </c>
      <c r="AD205" s="67">
        <v>2091.1301999922052</v>
      </c>
      <c r="AE205" s="68">
        <v>0</v>
      </c>
      <c r="AF205" s="69">
        <v>55725189</v>
      </c>
      <c r="AG205" s="70">
        <v>55725189</v>
      </c>
      <c r="AH205" s="70">
        <f t="shared" si="60"/>
        <v>3143821.4432000006</v>
      </c>
      <c r="AI205" s="70">
        <f t="shared" si="61"/>
        <v>2806656.3204000019</v>
      </c>
      <c r="AJ205" s="70">
        <f t="shared" si="62"/>
        <v>930822.46514399513</v>
      </c>
      <c r="AK205" s="70">
        <f t="shared" si="63"/>
        <v>585.5164559978175</v>
      </c>
      <c r="AL205" s="70">
        <f t="shared" si="64"/>
        <v>54125610.8244</v>
      </c>
      <c r="AM205" s="70">
        <f t="shared" si="65"/>
        <v>55725189</v>
      </c>
      <c r="AN205" s="70">
        <f t="shared" si="66"/>
        <v>55725189</v>
      </c>
      <c r="AO205" s="70">
        <f t="shared" si="67"/>
        <v>55725189</v>
      </c>
    </row>
    <row r="206" spans="1:41">
      <c r="A206" s="29" t="s">
        <v>173</v>
      </c>
      <c r="B206" s="29" t="s">
        <v>792</v>
      </c>
      <c r="C206" s="107">
        <v>0</v>
      </c>
      <c r="D206" s="108">
        <v>75000</v>
      </c>
      <c r="F206" s="107">
        <v>9043.1299999999992</v>
      </c>
      <c r="G206" s="108">
        <v>75000</v>
      </c>
      <c r="I206" s="64">
        <v>9043.1299999999992</v>
      </c>
      <c r="J206" s="83">
        <v>39876.571599999988</v>
      </c>
      <c r="K206" s="66">
        <v>75000</v>
      </c>
      <c r="L206" s="251">
        <v>75000</v>
      </c>
      <c r="M206" s="63">
        <v>40868.684099999984</v>
      </c>
      <c r="N206" s="64">
        <v>42895.674599999991</v>
      </c>
      <c r="O206" s="65">
        <v>75000</v>
      </c>
      <c r="P206" s="66">
        <v>75000</v>
      </c>
      <c r="Q206" s="66">
        <f t="shared" si="52"/>
        <v>6511.0535999999993</v>
      </c>
      <c r="R206" s="63">
        <f t="shared" si="53"/>
        <v>31243.20795199999</v>
      </c>
      <c r="S206" s="83">
        <f t="shared" si="54"/>
        <v>40590.892599999985</v>
      </c>
      <c r="T206" s="64">
        <f t="shared" si="55"/>
        <v>42328.117259999985</v>
      </c>
      <c r="U206" s="66">
        <f t="shared" si="56"/>
        <v>75000</v>
      </c>
      <c r="V206" s="63">
        <f t="shared" si="57"/>
        <v>75000</v>
      </c>
      <c r="W206" s="83">
        <f t="shared" si="58"/>
        <v>75000</v>
      </c>
      <c r="X206" s="64">
        <f t="shared" si="59"/>
        <v>75000</v>
      </c>
      <c r="Z206" s="67">
        <v>9043.1299999999992</v>
      </c>
      <c r="AA206" s="68">
        <v>39876.571599999988</v>
      </c>
      <c r="AB206" s="69">
        <v>75000</v>
      </c>
      <c r="AC206" s="70">
        <v>75000</v>
      </c>
      <c r="AD206" s="67">
        <v>40868.684099999984</v>
      </c>
      <c r="AE206" s="68">
        <v>42895.674599999991</v>
      </c>
      <c r="AF206" s="69">
        <v>75000</v>
      </c>
      <c r="AG206" s="70">
        <v>75000</v>
      </c>
      <c r="AH206" s="70">
        <f t="shared" si="60"/>
        <v>6511.0535999999993</v>
      </c>
      <c r="AI206" s="70">
        <f t="shared" si="61"/>
        <v>31243.20795199999</v>
      </c>
      <c r="AJ206" s="70">
        <f t="shared" si="62"/>
        <v>40590.892599999985</v>
      </c>
      <c r="AK206" s="70">
        <f t="shared" si="63"/>
        <v>42328.117259999985</v>
      </c>
      <c r="AL206" s="70">
        <f t="shared" si="64"/>
        <v>75000</v>
      </c>
      <c r="AM206" s="70">
        <f t="shared" si="65"/>
        <v>75000</v>
      </c>
      <c r="AN206" s="70">
        <f t="shared" si="66"/>
        <v>75000</v>
      </c>
      <c r="AO206" s="70">
        <f t="shared" si="67"/>
        <v>75000</v>
      </c>
    </row>
    <row r="207" spans="1:41">
      <c r="A207" s="29" t="s">
        <v>177</v>
      </c>
      <c r="B207" s="29" t="s">
        <v>793</v>
      </c>
      <c r="C207" s="107">
        <v>389797.16</v>
      </c>
      <c r="D207" s="108">
        <v>599004</v>
      </c>
      <c r="F207" s="107">
        <v>307322.08</v>
      </c>
      <c r="G207" s="108">
        <v>612462.43999999994</v>
      </c>
      <c r="I207" s="64">
        <v>307322.08</v>
      </c>
      <c r="J207" s="83">
        <v>335414.69576999993</v>
      </c>
      <c r="K207" s="66">
        <v>612462.43999999994</v>
      </c>
      <c r="L207" s="251">
        <v>616602</v>
      </c>
      <c r="M207" s="63">
        <v>312593.8578</v>
      </c>
      <c r="N207" s="64">
        <v>305197.57013399998</v>
      </c>
      <c r="O207" s="65">
        <v>625599</v>
      </c>
      <c r="P207" s="66">
        <v>625599</v>
      </c>
      <c r="Q207" s="66">
        <f t="shared" si="52"/>
        <v>330415.10239999997</v>
      </c>
      <c r="R207" s="63">
        <f t="shared" si="53"/>
        <v>327548.76335439994</v>
      </c>
      <c r="S207" s="83">
        <f t="shared" si="54"/>
        <v>318983.69243159995</v>
      </c>
      <c r="T207" s="64">
        <f t="shared" si="55"/>
        <v>307268.53068047995</v>
      </c>
      <c r="U207" s="66">
        <f t="shared" si="56"/>
        <v>606085.83112799993</v>
      </c>
      <c r="V207" s="63">
        <f t="shared" si="57"/>
        <v>614640.67647200008</v>
      </c>
      <c r="W207" s="83">
        <f t="shared" si="58"/>
        <v>621336.22139999992</v>
      </c>
      <c r="X207" s="64">
        <f t="shared" si="59"/>
        <v>625599</v>
      </c>
      <c r="Z207" s="67">
        <v>307322.08</v>
      </c>
      <c r="AA207" s="68">
        <v>433780.30709999986</v>
      </c>
      <c r="AB207" s="69">
        <v>612462.43999999994</v>
      </c>
      <c r="AC207" s="70">
        <v>616602</v>
      </c>
      <c r="AD207" s="67">
        <v>312593.8578</v>
      </c>
      <c r="AE207" s="68">
        <v>305197.57013399998</v>
      </c>
      <c r="AF207" s="69">
        <v>625599</v>
      </c>
      <c r="AG207" s="70">
        <v>625599</v>
      </c>
      <c r="AH207" s="70">
        <f t="shared" si="60"/>
        <v>330415.10239999997</v>
      </c>
      <c r="AI207" s="70">
        <f t="shared" si="61"/>
        <v>398372.00351199985</v>
      </c>
      <c r="AJ207" s="70">
        <f t="shared" si="62"/>
        <v>346526.06360399997</v>
      </c>
      <c r="AK207" s="70">
        <f t="shared" si="63"/>
        <v>307268.53068047995</v>
      </c>
      <c r="AL207" s="70">
        <f t="shared" si="64"/>
        <v>606085.83112799993</v>
      </c>
      <c r="AM207" s="70">
        <f t="shared" si="65"/>
        <v>614640.67647200008</v>
      </c>
      <c r="AN207" s="70">
        <f t="shared" si="66"/>
        <v>621336.22139999992</v>
      </c>
      <c r="AO207" s="70">
        <f t="shared" si="67"/>
        <v>625599</v>
      </c>
    </row>
    <row r="208" spans="1:41">
      <c r="A208" s="29" t="s">
        <v>51</v>
      </c>
      <c r="B208" s="29" t="s">
        <v>794</v>
      </c>
      <c r="C208" s="107">
        <v>4186480</v>
      </c>
      <c r="D208" s="108">
        <v>714304</v>
      </c>
      <c r="F208" s="107">
        <v>4032574.57</v>
      </c>
      <c r="G208" s="108">
        <v>715285.78</v>
      </c>
      <c r="I208" s="64">
        <v>4032574.57</v>
      </c>
      <c r="J208" s="83">
        <v>3987594.4878726653</v>
      </c>
      <c r="K208" s="66">
        <v>715285.78</v>
      </c>
      <c r="L208" s="251">
        <v>714304</v>
      </c>
      <c r="M208" s="63">
        <v>3761219.2240479998</v>
      </c>
      <c r="N208" s="64">
        <v>3672152.7897319999</v>
      </c>
      <c r="O208" s="65">
        <v>714304</v>
      </c>
      <c r="P208" s="66">
        <v>714304</v>
      </c>
      <c r="Q208" s="66">
        <f t="shared" si="52"/>
        <v>4075668.0904000001</v>
      </c>
      <c r="R208" s="63">
        <f t="shared" si="53"/>
        <v>4000188.9108683192</v>
      </c>
      <c r="S208" s="83">
        <f t="shared" si="54"/>
        <v>3824604.2979189064</v>
      </c>
      <c r="T208" s="64">
        <f t="shared" si="55"/>
        <v>3697091.3913404797</v>
      </c>
      <c r="U208" s="66">
        <f t="shared" si="56"/>
        <v>714820.61263600003</v>
      </c>
      <c r="V208" s="63">
        <f t="shared" si="57"/>
        <v>714769.16736399999</v>
      </c>
      <c r="W208" s="83">
        <f t="shared" si="58"/>
        <v>714304</v>
      </c>
      <c r="X208" s="64">
        <f t="shared" si="59"/>
        <v>714304</v>
      </c>
      <c r="Z208" s="67">
        <v>4032574.57</v>
      </c>
      <c r="AA208" s="68">
        <v>3987594.4878726653</v>
      </c>
      <c r="AB208" s="69">
        <v>715285.78</v>
      </c>
      <c r="AC208" s="70">
        <v>714304</v>
      </c>
      <c r="AD208" s="67">
        <v>3761219.2240479998</v>
      </c>
      <c r="AE208" s="68">
        <v>3672152.7897319999</v>
      </c>
      <c r="AF208" s="69">
        <v>714304</v>
      </c>
      <c r="AG208" s="70">
        <v>714304</v>
      </c>
      <c r="AH208" s="70">
        <f t="shared" si="60"/>
        <v>4075668.0904000001</v>
      </c>
      <c r="AI208" s="70">
        <f t="shared" si="61"/>
        <v>4000188.9108683192</v>
      </c>
      <c r="AJ208" s="70">
        <f t="shared" si="62"/>
        <v>3824604.2979189064</v>
      </c>
      <c r="AK208" s="70">
        <f t="shared" si="63"/>
        <v>3697091.3913404797</v>
      </c>
      <c r="AL208" s="70">
        <f t="shared" si="64"/>
        <v>714820.61263600003</v>
      </c>
      <c r="AM208" s="70">
        <f t="shared" si="65"/>
        <v>714769.16736399999</v>
      </c>
      <c r="AN208" s="70">
        <f t="shared" si="66"/>
        <v>714304</v>
      </c>
      <c r="AO208" s="70">
        <f t="shared" si="67"/>
        <v>714304</v>
      </c>
    </row>
    <row r="209" spans="1:41">
      <c r="A209" s="29" t="s">
        <v>155</v>
      </c>
      <c r="B209" s="29" t="s">
        <v>933</v>
      </c>
      <c r="C209" s="107">
        <v>60741.54</v>
      </c>
      <c r="D209" s="108">
        <v>331448</v>
      </c>
      <c r="F209" s="107">
        <v>34370.370000000003</v>
      </c>
      <c r="G209" s="108">
        <v>331448</v>
      </c>
      <c r="I209" s="64">
        <v>34370.370000000003</v>
      </c>
      <c r="J209" s="83">
        <v>38638.087600000013</v>
      </c>
      <c r="K209" s="66">
        <v>331448</v>
      </c>
      <c r="L209" s="251">
        <v>331448</v>
      </c>
      <c r="M209" s="63">
        <v>40086.337500000023</v>
      </c>
      <c r="N209" s="64">
        <v>45965.458799999979</v>
      </c>
      <c r="O209" s="65">
        <v>331448</v>
      </c>
      <c r="P209" s="66">
        <v>331448</v>
      </c>
      <c r="Q209" s="66">
        <f t="shared" si="52"/>
        <v>41754.297600000005</v>
      </c>
      <c r="R209" s="63">
        <f t="shared" si="53"/>
        <v>37443.126672000013</v>
      </c>
      <c r="S209" s="83">
        <f t="shared" si="54"/>
        <v>39680.827528000023</v>
      </c>
      <c r="T209" s="64">
        <f t="shared" si="55"/>
        <v>44319.304835999988</v>
      </c>
      <c r="U209" s="66">
        <f t="shared" si="56"/>
        <v>331448</v>
      </c>
      <c r="V209" s="63">
        <f t="shared" si="57"/>
        <v>331448</v>
      </c>
      <c r="W209" s="83">
        <f t="shared" si="58"/>
        <v>331448</v>
      </c>
      <c r="X209" s="64">
        <f t="shared" si="59"/>
        <v>331448</v>
      </c>
      <c r="Z209" s="67">
        <v>34370.370000000003</v>
      </c>
      <c r="AA209" s="68">
        <v>93845.180799999973</v>
      </c>
      <c r="AB209" s="69">
        <v>331448</v>
      </c>
      <c r="AC209" s="70">
        <v>331448</v>
      </c>
      <c r="AD209" s="67">
        <v>40086.337500000023</v>
      </c>
      <c r="AE209" s="68">
        <v>45965.458799999979</v>
      </c>
      <c r="AF209" s="69">
        <v>331448</v>
      </c>
      <c r="AG209" s="70">
        <v>331448</v>
      </c>
      <c r="AH209" s="70">
        <f t="shared" si="60"/>
        <v>41754.297600000005</v>
      </c>
      <c r="AI209" s="70">
        <f t="shared" si="61"/>
        <v>77192.233775999979</v>
      </c>
      <c r="AJ209" s="70">
        <f t="shared" si="62"/>
        <v>55138.813624000009</v>
      </c>
      <c r="AK209" s="70">
        <f t="shared" si="63"/>
        <v>44319.304835999988</v>
      </c>
      <c r="AL209" s="70">
        <f t="shared" si="64"/>
        <v>331448</v>
      </c>
      <c r="AM209" s="70">
        <f t="shared" si="65"/>
        <v>331448</v>
      </c>
      <c r="AN209" s="70">
        <f t="shared" si="66"/>
        <v>331448</v>
      </c>
      <c r="AO209" s="70">
        <f t="shared" si="67"/>
        <v>331448</v>
      </c>
    </row>
    <row r="210" spans="1:41">
      <c r="A210" s="29" t="s">
        <v>123</v>
      </c>
      <c r="B210" s="29" t="s">
        <v>795</v>
      </c>
      <c r="C210" s="107">
        <v>0</v>
      </c>
      <c r="D210" s="108">
        <v>7998462</v>
      </c>
      <c r="F210" s="107">
        <v>0</v>
      </c>
      <c r="G210" s="108">
        <v>8462372</v>
      </c>
      <c r="I210" s="64">
        <v>0</v>
      </c>
      <c r="J210" s="83">
        <v>0</v>
      </c>
      <c r="K210" s="66">
        <v>8462372</v>
      </c>
      <c r="L210" s="251">
        <v>8462372</v>
      </c>
      <c r="M210" s="63">
        <v>0</v>
      </c>
      <c r="N210" s="64">
        <v>0</v>
      </c>
      <c r="O210" s="65">
        <v>8462372</v>
      </c>
      <c r="P210" s="66">
        <v>8462372</v>
      </c>
      <c r="Q210" s="66">
        <f t="shared" si="52"/>
        <v>0</v>
      </c>
      <c r="R210" s="63">
        <f t="shared" si="53"/>
        <v>0</v>
      </c>
      <c r="S210" s="83">
        <f t="shared" si="54"/>
        <v>0</v>
      </c>
      <c r="T210" s="64">
        <f t="shared" si="55"/>
        <v>0</v>
      </c>
      <c r="U210" s="66">
        <f t="shared" si="56"/>
        <v>8242571.4419999998</v>
      </c>
      <c r="V210" s="63">
        <f t="shared" si="57"/>
        <v>8462372</v>
      </c>
      <c r="W210" s="83">
        <f t="shared" si="58"/>
        <v>8462372</v>
      </c>
      <c r="X210" s="64">
        <f t="shared" si="59"/>
        <v>8462372</v>
      </c>
      <c r="Z210" s="67">
        <v>0</v>
      </c>
      <c r="AA210" s="68">
        <v>0</v>
      </c>
      <c r="AB210" s="69">
        <v>8462372</v>
      </c>
      <c r="AC210" s="70">
        <v>8462372</v>
      </c>
      <c r="AD210" s="67">
        <v>0</v>
      </c>
      <c r="AE210" s="68">
        <v>0</v>
      </c>
      <c r="AF210" s="69">
        <v>8462372</v>
      </c>
      <c r="AG210" s="70">
        <v>8462372</v>
      </c>
      <c r="AH210" s="70">
        <f t="shared" si="60"/>
        <v>0</v>
      </c>
      <c r="AI210" s="70">
        <f t="shared" si="61"/>
        <v>0</v>
      </c>
      <c r="AJ210" s="70">
        <f t="shared" si="62"/>
        <v>0</v>
      </c>
      <c r="AK210" s="70">
        <f t="shared" si="63"/>
        <v>0</v>
      </c>
      <c r="AL210" s="70">
        <f t="shared" si="64"/>
        <v>8242571.4419999998</v>
      </c>
      <c r="AM210" s="70">
        <f t="shared" si="65"/>
        <v>8462372</v>
      </c>
      <c r="AN210" s="70">
        <f t="shared" si="66"/>
        <v>8462372</v>
      </c>
      <c r="AO210" s="70">
        <f t="shared" si="67"/>
        <v>8462372</v>
      </c>
    </row>
    <row r="211" spans="1:41">
      <c r="A211" s="29" t="s">
        <v>515</v>
      </c>
      <c r="B211" s="29" t="s">
        <v>796</v>
      </c>
      <c r="C211" s="107">
        <v>181025.42</v>
      </c>
      <c r="D211" s="108">
        <v>1659080</v>
      </c>
      <c r="F211" s="107">
        <v>241731.37</v>
      </c>
      <c r="G211" s="108">
        <v>1879475</v>
      </c>
      <c r="I211" s="64">
        <v>241731.37</v>
      </c>
      <c r="J211" s="83">
        <v>43676.772599999938</v>
      </c>
      <c r="K211" s="66">
        <v>1879475</v>
      </c>
      <c r="L211" s="251">
        <v>2105012</v>
      </c>
      <c r="M211" s="63">
        <v>0</v>
      </c>
      <c r="N211" s="64">
        <v>0</v>
      </c>
      <c r="O211" s="65">
        <v>2357614</v>
      </c>
      <c r="P211" s="66">
        <v>2357614</v>
      </c>
      <c r="Q211" s="66">
        <f t="shared" si="52"/>
        <v>224733.704</v>
      </c>
      <c r="R211" s="63">
        <f t="shared" si="53"/>
        <v>99132.059871999969</v>
      </c>
      <c r="S211" s="83">
        <f t="shared" si="54"/>
        <v>12229.496327999985</v>
      </c>
      <c r="T211" s="64">
        <f t="shared" si="55"/>
        <v>0</v>
      </c>
      <c r="U211" s="66">
        <f t="shared" si="56"/>
        <v>1775051.8489999999</v>
      </c>
      <c r="V211" s="63">
        <f t="shared" si="57"/>
        <v>1998152.5693999999</v>
      </c>
      <c r="W211" s="83">
        <f t="shared" si="58"/>
        <v>2237931.1724</v>
      </c>
      <c r="X211" s="64">
        <f t="shared" si="59"/>
        <v>2357614</v>
      </c>
      <c r="Z211" s="67">
        <v>241731.37</v>
      </c>
      <c r="AA211" s="68">
        <v>53322.02730000006</v>
      </c>
      <c r="AB211" s="69">
        <v>1879475</v>
      </c>
      <c r="AC211" s="70">
        <v>2105012</v>
      </c>
      <c r="AD211" s="67">
        <v>0</v>
      </c>
      <c r="AE211" s="68">
        <v>0</v>
      </c>
      <c r="AF211" s="69">
        <v>2357614</v>
      </c>
      <c r="AG211" s="70">
        <v>2357614</v>
      </c>
      <c r="AH211" s="70">
        <f t="shared" si="60"/>
        <v>224733.704</v>
      </c>
      <c r="AI211" s="70">
        <f t="shared" si="61"/>
        <v>106076.64325600005</v>
      </c>
      <c r="AJ211" s="70">
        <f t="shared" si="62"/>
        <v>14930.167644000017</v>
      </c>
      <c r="AK211" s="70">
        <f t="shared" si="63"/>
        <v>0</v>
      </c>
      <c r="AL211" s="70">
        <f t="shared" si="64"/>
        <v>1775051.8489999999</v>
      </c>
      <c r="AM211" s="70">
        <f t="shared" si="65"/>
        <v>1998152.5693999999</v>
      </c>
      <c r="AN211" s="70">
        <f t="shared" si="66"/>
        <v>2237931.1724</v>
      </c>
      <c r="AO211" s="70">
        <f t="shared" si="67"/>
        <v>2357614</v>
      </c>
    </row>
    <row r="212" spans="1:41">
      <c r="A212" s="29" t="s">
        <v>345</v>
      </c>
      <c r="B212" s="29" t="s">
        <v>797</v>
      </c>
      <c r="C212" s="107">
        <v>460106.96</v>
      </c>
      <c r="D212" s="108">
        <v>632000</v>
      </c>
      <c r="F212" s="107">
        <v>404784.43</v>
      </c>
      <c r="G212" s="108">
        <v>632000</v>
      </c>
      <c r="I212" s="64">
        <v>404784.43</v>
      </c>
      <c r="J212" s="83">
        <v>461825.64389999985</v>
      </c>
      <c r="K212" s="66">
        <v>632000</v>
      </c>
      <c r="L212" s="251">
        <v>632000</v>
      </c>
      <c r="M212" s="63">
        <v>453430.94639999996</v>
      </c>
      <c r="N212" s="64">
        <v>431874.21329999994</v>
      </c>
      <c r="O212" s="65">
        <v>632000</v>
      </c>
      <c r="P212" s="66">
        <v>632000</v>
      </c>
      <c r="Q212" s="66">
        <f t="shared" si="52"/>
        <v>420274.73839999997</v>
      </c>
      <c r="R212" s="63">
        <f t="shared" si="53"/>
        <v>445854.10400799988</v>
      </c>
      <c r="S212" s="83">
        <f t="shared" si="54"/>
        <v>455781.46169999999</v>
      </c>
      <c r="T212" s="64">
        <f t="shared" si="55"/>
        <v>437910.0985679999</v>
      </c>
      <c r="U212" s="66">
        <f t="shared" si="56"/>
        <v>632000</v>
      </c>
      <c r="V212" s="63">
        <f t="shared" si="57"/>
        <v>632000</v>
      </c>
      <c r="W212" s="83">
        <f t="shared" si="58"/>
        <v>632000</v>
      </c>
      <c r="X212" s="64">
        <f t="shared" si="59"/>
        <v>632000</v>
      </c>
      <c r="Z212" s="67">
        <v>404784.43</v>
      </c>
      <c r="AA212" s="68">
        <v>479943.8018999999</v>
      </c>
      <c r="AB212" s="69">
        <v>632000</v>
      </c>
      <c r="AC212" s="70">
        <v>632000</v>
      </c>
      <c r="AD212" s="67">
        <v>453430.94639999996</v>
      </c>
      <c r="AE212" s="68">
        <v>431874.21329999994</v>
      </c>
      <c r="AF212" s="69">
        <v>632000</v>
      </c>
      <c r="AG212" s="70">
        <v>632000</v>
      </c>
      <c r="AH212" s="70">
        <f t="shared" si="60"/>
        <v>420274.73839999997</v>
      </c>
      <c r="AI212" s="70">
        <f t="shared" si="61"/>
        <v>458899.17776799994</v>
      </c>
      <c r="AJ212" s="70">
        <f t="shared" si="62"/>
        <v>460854.54593999998</v>
      </c>
      <c r="AK212" s="70">
        <f t="shared" si="63"/>
        <v>437910.0985679999</v>
      </c>
      <c r="AL212" s="70">
        <f t="shared" si="64"/>
        <v>632000</v>
      </c>
      <c r="AM212" s="70">
        <f t="shared" si="65"/>
        <v>632000</v>
      </c>
      <c r="AN212" s="70">
        <f t="shared" si="66"/>
        <v>632000</v>
      </c>
      <c r="AO212" s="70">
        <f t="shared" si="67"/>
        <v>632000</v>
      </c>
    </row>
    <row r="213" spans="1:41">
      <c r="A213" s="29" t="s">
        <v>299</v>
      </c>
      <c r="B213" s="29" t="s">
        <v>889</v>
      </c>
      <c r="C213" s="107">
        <v>108971.41</v>
      </c>
      <c r="D213" s="108">
        <v>1300462</v>
      </c>
      <c r="F213" s="107">
        <v>54962.58</v>
      </c>
      <c r="G213" s="108">
        <v>1300112</v>
      </c>
      <c r="I213" s="64">
        <v>54962.58</v>
      </c>
      <c r="J213" s="83">
        <v>141250.79070000001</v>
      </c>
      <c r="K213" s="66">
        <v>1300112</v>
      </c>
      <c r="L213" s="251">
        <v>1358617</v>
      </c>
      <c r="M213" s="63">
        <v>104945.73449999993</v>
      </c>
      <c r="N213" s="64">
        <v>94256.799599999838</v>
      </c>
      <c r="O213" s="65">
        <v>1419755</v>
      </c>
      <c r="P213" s="66">
        <v>1419755</v>
      </c>
      <c r="Q213" s="66">
        <f t="shared" si="52"/>
        <v>70085.0524</v>
      </c>
      <c r="R213" s="63">
        <f t="shared" si="53"/>
        <v>117090.09170400001</v>
      </c>
      <c r="S213" s="83">
        <f t="shared" si="54"/>
        <v>115111.15023599996</v>
      </c>
      <c r="T213" s="64">
        <f t="shared" si="55"/>
        <v>97249.701371999865</v>
      </c>
      <c r="U213" s="66">
        <f t="shared" si="56"/>
        <v>1300277.83</v>
      </c>
      <c r="V213" s="63">
        <f t="shared" si="57"/>
        <v>1330897.331</v>
      </c>
      <c r="W213" s="83">
        <f t="shared" si="58"/>
        <v>1390787.8155999999</v>
      </c>
      <c r="X213" s="64">
        <f t="shared" si="59"/>
        <v>1419755</v>
      </c>
      <c r="Z213" s="67">
        <v>54962.58</v>
      </c>
      <c r="AA213" s="68">
        <v>141250.79070000001</v>
      </c>
      <c r="AB213" s="69">
        <v>1300112</v>
      </c>
      <c r="AC213" s="70">
        <v>1358617</v>
      </c>
      <c r="AD213" s="67">
        <v>104945.73449999993</v>
      </c>
      <c r="AE213" s="68">
        <v>94256.799599999838</v>
      </c>
      <c r="AF213" s="69">
        <v>1419755</v>
      </c>
      <c r="AG213" s="70">
        <v>1419755</v>
      </c>
      <c r="AH213" s="70">
        <f t="shared" si="60"/>
        <v>70085.0524</v>
      </c>
      <c r="AI213" s="70">
        <f t="shared" si="61"/>
        <v>117090.09170400001</v>
      </c>
      <c r="AJ213" s="70">
        <f t="shared" si="62"/>
        <v>115111.15023599996</v>
      </c>
      <c r="AK213" s="70">
        <f t="shared" si="63"/>
        <v>97249.701371999865</v>
      </c>
      <c r="AL213" s="70">
        <f t="shared" si="64"/>
        <v>1300277.83</v>
      </c>
      <c r="AM213" s="70">
        <f t="shared" si="65"/>
        <v>1330897.331</v>
      </c>
      <c r="AN213" s="70">
        <f t="shared" si="66"/>
        <v>1390787.8155999999</v>
      </c>
      <c r="AO213" s="70">
        <f t="shared" si="67"/>
        <v>1419755</v>
      </c>
    </row>
    <row r="214" spans="1:41">
      <c r="A214" s="29" t="s">
        <v>195</v>
      </c>
      <c r="B214" s="29" t="s">
        <v>798</v>
      </c>
      <c r="C214" s="107">
        <v>0</v>
      </c>
      <c r="D214" s="108">
        <v>58000000</v>
      </c>
      <c r="F214" s="107">
        <v>0</v>
      </c>
      <c r="G214" s="108">
        <v>59000000</v>
      </c>
      <c r="I214" s="64">
        <v>0</v>
      </c>
      <c r="J214" s="83">
        <v>0</v>
      </c>
      <c r="K214" s="66">
        <v>59000000</v>
      </c>
      <c r="L214" s="251">
        <v>43611900.506200001</v>
      </c>
      <c r="M214" s="63">
        <v>0</v>
      </c>
      <c r="N214" s="64">
        <v>0</v>
      </c>
      <c r="O214" s="65">
        <v>45123362.270300001</v>
      </c>
      <c r="P214" s="66">
        <v>46910987.484900005</v>
      </c>
      <c r="Q214" s="66">
        <f t="shared" si="52"/>
        <v>0</v>
      </c>
      <c r="R214" s="63">
        <f t="shared" si="53"/>
        <v>0</v>
      </c>
      <c r="S214" s="83">
        <f t="shared" si="54"/>
        <v>0</v>
      </c>
      <c r="T214" s="64">
        <f t="shared" si="55"/>
        <v>0</v>
      </c>
      <c r="U214" s="66">
        <f t="shared" si="56"/>
        <v>58526200</v>
      </c>
      <c r="V214" s="63">
        <f t="shared" si="57"/>
        <v>50902782.046362445</v>
      </c>
      <c r="W214" s="83">
        <f t="shared" si="58"/>
        <v>44407231.686469421</v>
      </c>
      <c r="X214" s="64">
        <f t="shared" si="59"/>
        <v>46064010.658222526</v>
      </c>
      <c r="Z214" s="67">
        <v>0</v>
      </c>
      <c r="AA214" s="68">
        <v>0</v>
      </c>
      <c r="AB214" s="69">
        <v>59000000</v>
      </c>
      <c r="AC214" s="70">
        <v>44498642.932599999</v>
      </c>
      <c r="AD214" s="67">
        <v>0</v>
      </c>
      <c r="AE214" s="68">
        <v>0</v>
      </c>
      <c r="AF214" s="69">
        <v>45123362.270300001</v>
      </c>
      <c r="AG214" s="70">
        <v>46910987.484900005</v>
      </c>
      <c r="AH214" s="70">
        <f t="shared" si="60"/>
        <v>0</v>
      </c>
      <c r="AI214" s="70">
        <f t="shared" si="61"/>
        <v>0</v>
      </c>
      <c r="AJ214" s="70">
        <f t="shared" si="62"/>
        <v>0</v>
      </c>
      <c r="AK214" s="70">
        <f t="shared" si="63"/>
        <v>0</v>
      </c>
      <c r="AL214" s="70">
        <f t="shared" si="64"/>
        <v>58526200</v>
      </c>
      <c r="AM214" s="70">
        <f t="shared" si="65"/>
        <v>51369385.911134124</v>
      </c>
      <c r="AN214" s="70">
        <f t="shared" si="66"/>
        <v>44827370.24809774</v>
      </c>
      <c r="AO214" s="70">
        <f t="shared" si="67"/>
        <v>46064010.658222526</v>
      </c>
    </row>
    <row r="215" spans="1:41">
      <c r="A215" s="29" t="s">
        <v>109</v>
      </c>
      <c r="B215" s="29" t="s">
        <v>799</v>
      </c>
      <c r="C215" s="107">
        <v>37018.559999999998</v>
      </c>
      <c r="D215" s="108">
        <v>475000</v>
      </c>
      <c r="F215" s="107">
        <v>72583.539999999994</v>
      </c>
      <c r="G215" s="108">
        <v>490000</v>
      </c>
      <c r="I215" s="64">
        <v>72583.539999999994</v>
      </c>
      <c r="J215" s="83">
        <v>96331.649549999885</v>
      </c>
      <c r="K215" s="66">
        <v>490000</v>
      </c>
      <c r="L215" s="251">
        <v>490000</v>
      </c>
      <c r="M215" s="63">
        <v>76867.345100000006</v>
      </c>
      <c r="N215" s="64">
        <v>82237.376844000013</v>
      </c>
      <c r="O215" s="65">
        <v>490000</v>
      </c>
      <c r="P215" s="66">
        <v>490000</v>
      </c>
      <c r="Q215" s="66">
        <f t="shared" si="52"/>
        <v>62625.345599999993</v>
      </c>
      <c r="R215" s="63">
        <f t="shared" si="53"/>
        <v>89682.178875999918</v>
      </c>
      <c r="S215" s="83">
        <f t="shared" si="54"/>
        <v>82317.350345999977</v>
      </c>
      <c r="T215" s="64">
        <f t="shared" si="55"/>
        <v>80733.767955680014</v>
      </c>
      <c r="U215" s="66">
        <f t="shared" si="56"/>
        <v>482893</v>
      </c>
      <c r="V215" s="63">
        <f t="shared" si="57"/>
        <v>490000</v>
      </c>
      <c r="W215" s="83">
        <f t="shared" si="58"/>
        <v>490000</v>
      </c>
      <c r="X215" s="64">
        <f t="shared" si="59"/>
        <v>490000</v>
      </c>
      <c r="Z215" s="67">
        <v>72583.539999999994</v>
      </c>
      <c r="AA215" s="68">
        <v>96331.649549999885</v>
      </c>
      <c r="AB215" s="69">
        <v>490000</v>
      </c>
      <c r="AC215" s="70">
        <v>490000</v>
      </c>
      <c r="AD215" s="67">
        <v>76867.345100000006</v>
      </c>
      <c r="AE215" s="68">
        <v>82237.376844000013</v>
      </c>
      <c r="AF215" s="69">
        <v>490000</v>
      </c>
      <c r="AG215" s="70">
        <v>490000</v>
      </c>
      <c r="AH215" s="70">
        <f t="shared" si="60"/>
        <v>62625.345599999993</v>
      </c>
      <c r="AI215" s="70">
        <f t="shared" si="61"/>
        <v>89682.178875999918</v>
      </c>
      <c r="AJ215" s="70">
        <f t="shared" si="62"/>
        <v>82317.350345999977</v>
      </c>
      <c r="AK215" s="70">
        <f t="shared" si="63"/>
        <v>80733.767955680014</v>
      </c>
      <c r="AL215" s="70">
        <f t="shared" si="64"/>
        <v>482893</v>
      </c>
      <c r="AM215" s="70">
        <f t="shared" si="65"/>
        <v>490000</v>
      </c>
      <c r="AN215" s="70">
        <f t="shared" si="66"/>
        <v>490000</v>
      </c>
      <c r="AO215" s="70">
        <f t="shared" si="67"/>
        <v>490000</v>
      </c>
    </row>
    <row r="216" spans="1:41">
      <c r="A216" s="29" t="s">
        <v>27</v>
      </c>
      <c r="B216" s="29" t="s">
        <v>800</v>
      </c>
      <c r="C216" s="107">
        <v>7125854.7400000002</v>
      </c>
      <c r="D216" s="108">
        <v>24513000</v>
      </c>
      <c r="F216" s="107">
        <v>5925435.4400000004</v>
      </c>
      <c r="G216" s="108">
        <v>26000000</v>
      </c>
      <c r="I216" s="64">
        <v>5925435.4400000004</v>
      </c>
      <c r="J216" s="83">
        <v>5622398.5051000034</v>
      </c>
      <c r="K216" s="66">
        <v>26000000</v>
      </c>
      <c r="L216" s="251">
        <v>26000000</v>
      </c>
      <c r="M216" s="63">
        <v>4208789.4668999976</v>
      </c>
      <c r="N216" s="64">
        <v>3199706.2410000027</v>
      </c>
      <c r="O216" s="65">
        <v>26000000</v>
      </c>
      <c r="P216" s="66">
        <v>26000000</v>
      </c>
      <c r="Q216" s="66">
        <f t="shared" si="52"/>
        <v>6261552.8440000005</v>
      </c>
      <c r="R216" s="63">
        <f t="shared" si="53"/>
        <v>5707248.8468720028</v>
      </c>
      <c r="S216" s="83">
        <f t="shared" si="54"/>
        <v>4604599.9975959994</v>
      </c>
      <c r="T216" s="64">
        <f t="shared" si="55"/>
        <v>3482249.5442520012</v>
      </c>
      <c r="U216" s="66">
        <f t="shared" si="56"/>
        <v>25295459.399999999</v>
      </c>
      <c r="V216" s="63">
        <f t="shared" si="57"/>
        <v>26000000</v>
      </c>
      <c r="W216" s="83">
        <f t="shared" si="58"/>
        <v>26000000</v>
      </c>
      <c r="X216" s="64">
        <f t="shared" si="59"/>
        <v>26000000</v>
      </c>
      <c r="Z216" s="67">
        <v>5925435.4400000004</v>
      </c>
      <c r="AA216" s="68">
        <v>6349167.5586000029</v>
      </c>
      <c r="AB216" s="69">
        <v>26000000</v>
      </c>
      <c r="AC216" s="70">
        <v>26000000</v>
      </c>
      <c r="AD216" s="67">
        <v>4208789.4668999976</v>
      </c>
      <c r="AE216" s="68">
        <v>3199706.2410000027</v>
      </c>
      <c r="AF216" s="69">
        <v>26000000</v>
      </c>
      <c r="AG216" s="70">
        <v>26000000</v>
      </c>
      <c r="AH216" s="70">
        <f t="shared" si="60"/>
        <v>6261552.8440000005</v>
      </c>
      <c r="AI216" s="70">
        <f t="shared" si="61"/>
        <v>6230522.5653920015</v>
      </c>
      <c r="AJ216" s="70">
        <f t="shared" si="62"/>
        <v>4808095.3325759992</v>
      </c>
      <c r="AK216" s="70">
        <f t="shared" si="63"/>
        <v>3482249.5442520012</v>
      </c>
      <c r="AL216" s="70">
        <f t="shared" si="64"/>
        <v>25295459.399999999</v>
      </c>
      <c r="AM216" s="70">
        <f t="shared" si="65"/>
        <v>26000000</v>
      </c>
      <c r="AN216" s="70">
        <f t="shared" si="66"/>
        <v>26000000</v>
      </c>
      <c r="AO216" s="70">
        <f t="shared" si="67"/>
        <v>26000000</v>
      </c>
    </row>
    <row r="217" spans="1:41">
      <c r="A217" s="29" t="s">
        <v>71</v>
      </c>
      <c r="B217" s="29" t="s">
        <v>801</v>
      </c>
      <c r="C217" s="107">
        <v>0</v>
      </c>
      <c r="D217" s="108">
        <v>6493786</v>
      </c>
      <c r="F217" s="107">
        <v>0</v>
      </c>
      <c r="G217" s="108">
        <v>7642525</v>
      </c>
      <c r="I217" s="64">
        <v>0</v>
      </c>
      <c r="J217" s="83">
        <v>0</v>
      </c>
      <c r="K217" s="66">
        <v>7642525</v>
      </c>
      <c r="L217" s="251">
        <v>7984531</v>
      </c>
      <c r="M217" s="63">
        <v>0</v>
      </c>
      <c r="N217" s="64">
        <v>0</v>
      </c>
      <c r="O217" s="65">
        <v>7984531</v>
      </c>
      <c r="P217" s="66">
        <v>7984531</v>
      </c>
      <c r="Q217" s="66">
        <f t="shared" si="52"/>
        <v>0</v>
      </c>
      <c r="R217" s="63">
        <f t="shared" si="53"/>
        <v>0</v>
      </c>
      <c r="S217" s="83">
        <f t="shared" si="54"/>
        <v>0</v>
      </c>
      <c r="T217" s="64">
        <f t="shared" si="55"/>
        <v>0</v>
      </c>
      <c r="U217" s="66">
        <f t="shared" si="56"/>
        <v>7098252.4617999997</v>
      </c>
      <c r="V217" s="63">
        <f t="shared" si="57"/>
        <v>7822488.5571999997</v>
      </c>
      <c r="W217" s="83">
        <f t="shared" si="58"/>
        <v>7984531</v>
      </c>
      <c r="X217" s="64">
        <f t="shared" si="59"/>
        <v>7984531</v>
      </c>
      <c r="Z217" s="67">
        <v>0</v>
      </c>
      <c r="AA217" s="68">
        <v>0</v>
      </c>
      <c r="AB217" s="69">
        <v>7642525</v>
      </c>
      <c r="AC217" s="70">
        <v>7984531</v>
      </c>
      <c r="AD217" s="67">
        <v>0</v>
      </c>
      <c r="AE217" s="68">
        <v>0</v>
      </c>
      <c r="AF217" s="69">
        <v>7984531</v>
      </c>
      <c r="AG217" s="70">
        <v>7984531</v>
      </c>
      <c r="AH217" s="70">
        <f t="shared" si="60"/>
        <v>0</v>
      </c>
      <c r="AI217" s="70">
        <f t="shared" si="61"/>
        <v>0</v>
      </c>
      <c r="AJ217" s="70">
        <f t="shared" si="62"/>
        <v>0</v>
      </c>
      <c r="AK217" s="70">
        <f t="shared" si="63"/>
        <v>0</v>
      </c>
      <c r="AL217" s="70">
        <f t="shared" si="64"/>
        <v>7098252.4617999997</v>
      </c>
      <c r="AM217" s="70">
        <f t="shared" si="65"/>
        <v>7822488.5571999997</v>
      </c>
      <c r="AN217" s="70">
        <f t="shared" si="66"/>
        <v>7984531</v>
      </c>
      <c r="AO217" s="70">
        <f t="shared" si="67"/>
        <v>7984531</v>
      </c>
    </row>
    <row r="218" spans="1:41">
      <c r="A218" s="29" t="s">
        <v>11</v>
      </c>
      <c r="B218" s="29" t="s">
        <v>802</v>
      </c>
      <c r="C218" s="107">
        <v>0</v>
      </c>
      <c r="D218" s="108">
        <v>877500</v>
      </c>
      <c r="F218" s="107">
        <v>0</v>
      </c>
      <c r="G218" s="108">
        <v>877500</v>
      </c>
      <c r="I218" s="64">
        <v>0</v>
      </c>
      <c r="J218" s="83">
        <v>0</v>
      </c>
      <c r="K218" s="66">
        <v>877500</v>
      </c>
      <c r="L218" s="251">
        <v>877500</v>
      </c>
      <c r="M218" s="63">
        <v>0</v>
      </c>
      <c r="N218" s="64">
        <v>0</v>
      </c>
      <c r="O218" s="65">
        <v>877500</v>
      </c>
      <c r="P218" s="66">
        <v>877500</v>
      </c>
      <c r="Q218" s="66">
        <f t="shared" si="52"/>
        <v>0</v>
      </c>
      <c r="R218" s="63">
        <f t="shared" si="53"/>
        <v>0</v>
      </c>
      <c r="S218" s="83">
        <f t="shared" si="54"/>
        <v>0</v>
      </c>
      <c r="T218" s="64">
        <f t="shared" si="55"/>
        <v>0</v>
      </c>
      <c r="U218" s="66">
        <f t="shared" si="56"/>
        <v>877500</v>
      </c>
      <c r="V218" s="63">
        <f t="shared" si="57"/>
        <v>877500</v>
      </c>
      <c r="W218" s="83">
        <f t="shared" si="58"/>
        <v>877500</v>
      </c>
      <c r="X218" s="64">
        <f t="shared" si="59"/>
        <v>877500</v>
      </c>
      <c r="Z218" s="67">
        <v>0</v>
      </c>
      <c r="AA218" s="68">
        <v>0</v>
      </c>
      <c r="AB218" s="69">
        <v>877500</v>
      </c>
      <c r="AC218" s="70">
        <v>877500</v>
      </c>
      <c r="AD218" s="67">
        <v>0</v>
      </c>
      <c r="AE218" s="68">
        <v>0</v>
      </c>
      <c r="AF218" s="69">
        <v>877500</v>
      </c>
      <c r="AG218" s="70">
        <v>877500</v>
      </c>
      <c r="AH218" s="70">
        <f t="shared" si="60"/>
        <v>0</v>
      </c>
      <c r="AI218" s="70">
        <f t="shared" si="61"/>
        <v>0</v>
      </c>
      <c r="AJ218" s="70">
        <f t="shared" si="62"/>
        <v>0</v>
      </c>
      <c r="AK218" s="70">
        <f t="shared" si="63"/>
        <v>0</v>
      </c>
      <c r="AL218" s="70">
        <f t="shared" si="64"/>
        <v>877500</v>
      </c>
      <c r="AM218" s="70">
        <f t="shared" si="65"/>
        <v>877500</v>
      </c>
      <c r="AN218" s="70">
        <f t="shared" si="66"/>
        <v>877500</v>
      </c>
      <c r="AO218" s="70">
        <f t="shared" si="67"/>
        <v>877500</v>
      </c>
    </row>
    <row r="219" spans="1:41">
      <c r="A219" s="29" t="s">
        <v>477</v>
      </c>
      <c r="B219" s="29" t="s">
        <v>803</v>
      </c>
      <c r="C219" s="107">
        <v>328494.84000000003</v>
      </c>
      <c r="D219" s="108">
        <v>2087900</v>
      </c>
      <c r="F219" s="107">
        <v>16650.349999999999</v>
      </c>
      <c r="G219" s="108">
        <v>2196049</v>
      </c>
      <c r="I219" s="64">
        <v>16650.349999999999</v>
      </c>
      <c r="J219" s="83">
        <v>100141.59920000022</v>
      </c>
      <c r="K219" s="66">
        <v>2196049</v>
      </c>
      <c r="L219" s="251">
        <v>2415654</v>
      </c>
      <c r="M219" s="63">
        <v>14286.823199999955</v>
      </c>
      <c r="N219" s="64">
        <v>0</v>
      </c>
      <c r="O219" s="65">
        <v>2657220</v>
      </c>
      <c r="P219" s="66">
        <v>2657220</v>
      </c>
      <c r="Q219" s="66">
        <f t="shared" si="52"/>
        <v>103966.80720000001</v>
      </c>
      <c r="R219" s="63">
        <f t="shared" si="53"/>
        <v>76764.049424000157</v>
      </c>
      <c r="S219" s="83">
        <f t="shared" si="54"/>
        <v>38326.160480000035</v>
      </c>
      <c r="T219" s="64">
        <f t="shared" si="55"/>
        <v>4000.3104959999878</v>
      </c>
      <c r="U219" s="66">
        <f t="shared" si="56"/>
        <v>2144808.0038000001</v>
      </c>
      <c r="V219" s="63">
        <f t="shared" si="57"/>
        <v>2311605.1510000001</v>
      </c>
      <c r="W219" s="83">
        <f t="shared" si="58"/>
        <v>2542766.0291999998</v>
      </c>
      <c r="X219" s="64">
        <f t="shared" si="59"/>
        <v>2657220</v>
      </c>
      <c r="Z219" s="67">
        <v>16650.349999999999</v>
      </c>
      <c r="AA219" s="68">
        <v>171548.45719999971</v>
      </c>
      <c r="AB219" s="69">
        <v>2196049</v>
      </c>
      <c r="AC219" s="70">
        <v>2415654</v>
      </c>
      <c r="AD219" s="67">
        <v>14286.823199999955</v>
      </c>
      <c r="AE219" s="68">
        <v>0</v>
      </c>
      <c r="AF219" s="69">
        <v>2657220</v>
      </c>
      <c r="AG219" s="70">
        <v>2657220</v>
      </c>
      <c r="AH219" s="70">
        <f t="shared" si="60"/>
        <v>103966.80720000001</v>
      </c>
      <c r="AI219" s="70">
        <f t="shared" si="61"/>
        <v>128176.98718399979</v>
      </c>
      <c r="AJ219" s="70">
        <f t="shared" si="62"/>
        <v>58320.080719999896</v>
      </c>
      <c r="AK219" s="70">
        <f t="shared" si="63"/>
        <v>4000.3104959999878</v>
      </c>
      <c r="AL219" s="70">
        <f t="shared" si="64"/>
        <v>2144808.0038000001</v>
      </c>
      <c r="AM219" s="70">
        <f t="shared" si="65"/>
        <v>2311605.1510000001</v>
      </c>
      <c r="AN219" s="70">
        <f t="shared" si="66"/>
        <v>2542766.0291999998</v>
      </c>
      <c r="AO219" s="70">
        <f t="shared" si="67"/>
        <v>2657220</v>
      </c>
    </row>
    <row r="220" spans="1:41">
      <c r="A220" s="29" t="s">
        <v>203</v>
      </c>
      <c r="B220" s="29" t="s">
        <v>804</v>
      </c>
      <c r="C220" s="107">
        <v>0</v>
      </c>
      <c r="D220" s="108">
        <v>7820000</v>
      </c>
      <c r="F220" s="107">
        <v>0</v>
      </c>
      <c r="G220" s="108">
        <v>7820000</v>
      </c>
      <c r="I220" s="64">
        <v>0</v>
      </c>
      <c r="J220" s="83">
        <v>0</v>
      </c>
      <c r="K220" s="66">
        <v>7820000</v>
      </c>
      <c r="L220" s="251">
        <v>7820000</v>
      </c>
      <c r="M220" s="63">
        <v>0</v>
      </c>
      <c r="N220" s="64">
        <v>0</v>
      </c>
      <c r="O220" s="65">
        <v>7820000</v>
      </c>
      <c r="P220" s="66">
        <v>7820000</v>
      </c>
      <c r="Q220" s="66">
        <f t="shared" si="52"/>
        <v>0</v>
      </c>
      <c r="R220" s="63">
        <f t="shared" si="53"/>
        <v>0</v>
      </c>
      <c r="S220" s="83">
        <f t="shared" si="54"/>
        <v>0</v>
      </c>
      <c r="T220" s="64">
        <f t="shared" si="55"/>
        <v>0</v>
      </c>
      <c r="U220" s="66">
        <f t="shared" si="56"/>
        <v>7820000</v>
      </c>
      <c r="V220" s="63">
        <f t="shared" si="57"/>
        <v>7820000</v>
      </c>
      <c r="W220" s="83">
        <f t="shared" si="58"/>
        <v>7820000</v>
      </c>
      <c r="X220" s="64">
        <f t="shared" si="59"/>
        <v>7820000</v>
      </c>
      <c r="Z220" s="67">
        <v>0</v>
      </c>
      <c r="AA220" s="68">
        <v>0</v>
      </c>
      <c r="AB220" s="69">
        <v>7820000</v>
      </c>
      <c r="AC220" s="70">
        <v>7820000</v>
      </c>
      <c r="AD220" s="67">
        <v>0</v>
      </c>
      <c r="AE220" s="68">
        <v>0</v>
      </c>
      <c r="AF220" s="69">
        <v>7820000</v>
      </c>
      <c r="AG220" s="70">
        <v>7820000</v>
      </c>
      <c r="AH220" s="70">
        <f t="shared" si="60"/>
        <v>0</v>
      </c>
      <c r="AI220" s="70">
        <f t="shared" si="61"/>
        <v>0</v>
      </c>
      <c r="AJ220" s="70">
        <f t="shared" si="62"/>
        <v>0</v>
      </c>
      <c r="AK220" s="70">
        <f t="shared" si="63"/>
        <v>0</v>
      </c>
      <c r="AL220" s="70">
        <f t="shared" si="64"/>
        <v>7820000</v>
      </c>
      <c r="AM220" s="70">
        <f t="shared" si="65"/>
        <v>7820000</v>
      </c>
      <c r="AN220" s="70">
        <f t="shared" si="66"/>
        <v>7820000</v>
      </c>
      <c r="AO220" s="70">
        <f t="shared" si="67"/>
        <v>7820000</v>
      </c>
    </row>
    <row r="221" spans="1:41">
      <c r="A221" s="29" t="s">
        <v>519</v>
      </c>
      <c r="B221" s="29" t="s">
        <v>805</v>
      </c>
      <c r="C221" s="107">
        <v>1441172.54</v>
      </c>
      <c r="D221" s="108">
        <v>3732229</v>
      </c>
      <c r="F221" s="107">
        <v>1122598.98</v>
      </c>
      <c r="G221" s="108">
        <v>4105452</v>
      </c>
      <c r="I221" s="64">
        <v>1122598.98</v>
      </c>
      <c r="J221" s="83">
        <v>1419445.5205999997</v>
      </c>
      <c r="K221" s="66">
        <v>4105452</v>
      </c>
      <c r="L221" s="251">
        <v>3991273.7225000001</v>
      </c>
      <c r="M221" s="63">
        <v>1398744.7584000006</v>
      </c>
      <c r="N221" s="64">
        <v>1416980.3282999997</v>
      </c>
      <c r="O221" s="65">
        <v>4246075.3624999998</v>
      </c>
      <c r="P221" s="66">
        <v>4476261.4275000002</v>
      </c>
      <c r="Q221" s="66">
        <f t="shared" si="52"/>
        <v>1211799.5767999999</v>
      </c>
      <c r="R221" s="63">
        <f t="shared" si="53"/>
        <v>1336328.4892319997</v>
      </c>
      <c r="S221" s="83">
        <f t="shared" si="54"/>
        <v>1404540.9718160003</v>
      </c>
      <c r="T221" s="64">
        <f t="shared" si="55"/>
        <v>1411874.368728</v>
      </c>
      <c r="U221" s="66">
        <f t="shared" si="56"/>
        <v>3928618.9425999997</v>
      </c>
      <c r="V221" s="63">
        <f t="shared" si="57"/>
        <v>4045371.3903795001</v>
      </c>
      <c r="W221" s="83">
        <f t="shared" si="58"/>
        <v>4125350.345468</v>
      </c>
      <c r="X221" s="64">
        <f t="shared" si="59"/>
        <v>4367199.2699030004</v>
      </c>
      <c r="Z221" s="67">
        <v>1122598.98</v>
      </c>
      <c r="AA221" s="68">
        <v>1480425.5562999994</v>
      </c>
      <c r="AB221" s="69">
        <v>4105452</v>
      </c>
      <c r="AC221" s="70">
        <v>3991273.7225000001</v>
      </c>
      <c r="AD221" s="67">
        <v>1398744.7584000006</v>
      </c>
      <c r="AE221" s="68">
        <v>1416980.3282999997</v>
      </c>
      <c r="AF221" s="69">
        <v>4246075.3624999998</v>
      </c>
      <c r="AG221" s="70">
        <v>4476261.4275000002</v>
      </c>
      <c r="AH221" s="70">
        <f t="shared" si="60"/>
        <v>1211799.5767999999</v>
      </c>
      <c r="AI221" s="70">
        <f t="shared" si="61"/>
        <v>1380234.1149359995</v>
      </c>
      <c r="AJ221" s="70">
        <f t="shared" si="62"/>
        <v>1421615.3818120002</v>
      </c>
      <c r="AK221" s="70">
        <f t="shared" si="63"/>
        <v>1411874.368728</v>
      </c>
      <c r="AL221" s="70">
        <f t="shared" si="64"/>
        <v>3928618.9425999997</v>
      </c>
      <c r="AM221" s="70">
        <f t="shared" si="65"/>
        <v>4045371.3903795001</v>
      </c>
      <c r="AN221" s="70">
        <f t="shared" si="66"/>
        <v>4125350.345468</v>
      </c>
      <c r="AO221" s="70">
        <f t="shared" si="67"/>
        <v>4367199.2699030004</v>
      </c>
    </row>
    <row r="222" spans="1:41">
      <c r="A222" s="29" t="s">
        <v>263</v>
      </c>
      <c r="B222" s="29" t="s">
        <v>806</v>
      </c>
      <c r="C222" s="107">
        <v>0</v>
      </c>
      <c r="D222" s="108">
        <v>60000</v>
      </c>
      <c r="F222" s="107">
        <v>0</v>
      </c>
      <c r="G222" s="108">
        <v>60000</v>
      </c>
      <c r="I222" s="64">
        <v>0</v>
      </c>
      <c r="J222" s="83">
        <v>0</v>
      </c>
      <c r="K222" s="66">
        <v>60000</v>
      </c>
      <c r="L222" s="251">
        <v>60000</v>
      </c>
      <c r="M222" s="63">
        <v>0</v>
      </c>
      <c r="N222" s="64">
        <v>0</v>
      </c>
      <c r="O222" s="65">
        <v>60000</v>
      </c>
      <c r="P222" s="66">
        <v>60000</v>
      </c>
      <c r="Q222" s="66">
        <f t="shared" si="52"/>
        <v>0</v>
      </c>
      <c r="R222" s="63">
        <f t="shared" si="53"/>
        <v>0</v>
      </c>
      <c r="S222" s="83">
        <f t="shared" si="54"/>
        <v>0</v>
      </c>
      <c r="T222" s="64">
        <f t="shared" si="55"/>
        <v>0</v>
      </c>
      <c r="U222" s="66">
        <f t="shared" si="56"/>
        <v>60000</v>
      </c>
      <c r="V222" s="63">
        <f t="shared" si="57"/>
        <v>60000</v>
      </c>
      <c r="W222" s="83">
        <f t="shared" si="58"/>
        <v>60000</v>
      </c>
      <c r="X222" s="64">
        <f t="shared" si="59"/>
        <v>60000</v>
      </c>
      <c r="Z222" s="67">
        <v>0</v>
      </c>
      <c r="AA222" s="68">
        <v>0</v>
      </c>
      <c r="AB222" s="69">
        <v>60000</v>
      </c>
      <c r="AC222" s="70">
        <v>60000</v>
      </c>
      <c r="AD222" s="67">
        <v>0</v>
      </c>
      <c r="AE222" s="68">
        <v>0</v>
      </c>
      <c r="AF222" s="69">
        <v>60000</v>
      </c>
      <c r="AG222" s="70">
        <v>60000</v>
      </c>
      <c r="AH222" s="70">
        <f t="shared" si="60"/>
        <v>0</v>
      </c>
      <c r="AI222" s="70">
        <f t="shared" si="61"/>
        <v>0</v>
      </c>
      <c r="AJ222" s="70">
        <f t="shared" si="62"/>
        <v>0</v>
      </c>
      <c r="AK222" s="70">
        <f t="shared" si="63"/>
        <v>0</v>
      </c>
      <c r="AL222" s="70">
        <f t="shared" si="64"/>
        <v>60000</v>
      </c>
      <c r="AM222" s="70">
        <f t="shared" si="65"/>
        <v>60000</v>
      </c>
      <c r="AN222" s="70">
        <f t="shared" si="66"/>
        <v>60000</v>
      </c>
      <c r="AO222" s="70">
        <f t="shared" si="67"/>
        <v>60000</v>
      </c>
    </row>
    <row r="223" spans="1:41">
      <c r="A223" s="29" t="s">
        <v>575</v>
      </c>
      <c r="B223" s="29" t="s">
        <v>807</v>
      </c>
      <c r="C223" s="107">
        <v>54924.07</v>
      </c>
      <c r="D223" s="108">
        <v>448000</v>
      </c>
      <c r="F223" s="107">
        <v>20731.919999999998</v>
      </c>
      <c r="G223" s="108">
        <v>448000</v>
      </c>
      <c r="I223" s="64">
        <v>20731.919999999998</v>
      </c>
      <c r="J223" s="83">
        <v>46807.113399999995</v>
      </c>
      <c r="K223" s="66">
        <v>448000</v>
      </c>
      <c r="L223" s="251">
        <v>427668.30249999999</v>
      </c>
      <c r="M223" s="63">
        <v>58409.053499999973</v>
      </c>
      <c r="N223" s="64">
        <v>66188.392200000002</v>
      </c>
      <c r="O223" s="65">
        <v>425872.29249999998</v>
      </c>
      <c r="P223" s="66">
        <v>433623.54499999998</v>
      </c>
      <c r="Q223" s="66">
        <f t="shared" si="52"/>
        <v>30305.722000000002</v>
      </c>
      <c r="R223" s="63">
        <f t="shared" si="53"/>
        <v>39506.05924799999</v>
      </c>
      <c r="S223" s="83">
        <f t="shared" si="54"/>
        <v>55160.510271999978</v>
      </c>
      <c r="T223" s="64">
        <f t="shared" si="55"/>
        <v>64010.177363999988</v>
      </c>
      <c r="U223" s="66">
        <f t="shared" si="56"/>
        <v>448000</v>
      </c>
      <c r="V223" s="63">
        <f t="shared" si="57"/>
        <v>437301.46077549999</v>
      </c>
      <c r="W223" s="83">
        <f t="shared" si="58"/>
        <v>426723.24203800003</v>
      </c>
      <c r="X223" s="64">
        <f t="shared" si="59"/>
        <v>429951.00156549993</v>
      </c>
      <c r="Z223" s="67">
        <v>20731.919999999998</v>
      </c>
      <c r="AA223" s="68">
        <v>79561.900999999983</v>
      </c>
      <c r="AB223" s="69">
        <v>448000</v>
      </c>
      <c r="AC223" s="70">
        <v>427668.30249999999</v>
      </c>
      <c r="AD223" s="67">
        <v>58409.053499999973</v>
      </c>
      <c r="AE223" s="68">
        <v>66188.392200000002</v>
      </c>
      <c r="AF223" s="69">
        <v>425872.29249999998</v>
      </c>
      <c r="AG223" s="70">
        <v>433623.54499999998</v>
      </c>
      <c r="AH223" s="70">
        <f t="shared" si="60"/>
        <v>30305.722000000002</v>
      </c>
      <c r="AI223" s="70">
        <f t="shared" si="61"/>
        <v>63089.506319999986</v>
      </c>
      <c r="AJ223" s="70">
        <f t="shared" si="62"/>
        <v>64331.850799999971</v>
      </c>
      <c r="AK223" s="70">
        <f t="shared" si="63"/>
        <v>64010.177363999988</v>
      </c>
      <c r="AL223" s="70">
        <f t="shared" si="64"/>
        <v>448000</v>
      </c>
      <c r="AM223" s="70">
        <f t="shared" si="65"/>
        <v>437301.46077549999</v>
      </c>
      <c r="AN223" s="70">
        <f t="shared" si="66"/>
        <v>426723.24203800003</v>
      </c>
      <c r="AO223" s="70">
        <f t="shared" si="67"/>
        <v>429951.00156549993</v>
      </c>
    </row>
    <row r="224" spans="1:41">
      <c r="A224" s="29" t="s">
        <v>131</v>
      </c>
      <c r="B224" s="29" t="s">
        <v>808</v>
      </c>
      <c r="C224" s="107">
        <v>1552782.16</v>
      </c>
      <c r="D224" s="108">
        <v>1370000</v>
      </c>
      <c r="F224" s="107">
        <v>1638620.57</v>
      </c>
      <c r="G224" s="108">
        <v>1370000</v>
      </c>
      <c r="I224" s="64">
        <v>1638620.57</v>
      </c>
      <c r="J224" s="83">
        <v>1704862.5206599997</v>
      </c>
      <c r="K224" s="66">
        <v>1370000</v>
      </c>
      <c r="L224" s="251">
        <v>1370000</v>
      </c>
      <c r="M224" s="63">
        <v>1554915.3107779997</v>
      </c>
      <c r="N224" s="64">
        <v>1535299.9360400003</v>
      </c>
      <c r="O224" s="65">
        <v>1370000</v>
      </c>
      <c r="P224" s="66">
        <v>1370000</v>
      </c>
      <c r="Q224" s="66">
        <f t="shared" si="52"/>
        <v>1614585.8152000001</v>
      </c>
      <c r="R224" s="63">
        <f t="shared" si="53"/>
        <v>1686314.7744751996</v>
      </c>
      <c r="S224" s="83">
        <f t="shared" si="54"/>
        <v>1596900.5295449598</v>
      </c>
      <c r="T224" s="64">
        <f t="shared" si="55"/>
        <v>1540792.2409666402</v>
      </c>
      <c r="U224" s="66">
        <f t="shared" si="56"/>
        <v>1370000</v>
      </c>
      <c r="V224" s="63">
        <f t="shared" si="57"/>
        <v>1370000</v>
      </c>
      <c r="W224" s="83">
        <f t="shared" si="58"/>
        <v>1370000</v>
      </c>
      <c r="X224" s="64">
        <f t="shared" si="59"/>
        <v>1370000</v>
      </c>
      <c r="Z224" s="67">
        <v>1638620.57</v>
      </c>
      <c r="AA224" s="68">
        <v>1704862.5206599997</v>
      </c>
      <c r="AB224" s="69">
        <v>1370000</v>
      </c>
      <c r="AC224" s="70">
        <v>1370000</v>
      </c>
      <c r="AD224" s="67">
        <v>1554915.3107779997</v>
      </c>
      <c r="AE224" s="68">
        <v>1535299.9360400003</v>
      </c>
      <c r="AF224" s="69">
        <v>1370000</v>
      </c>
      <c r="AG224" s="70">
        <v>1370000</v>
      </c>
      <c r="AH224" s="70">
        <f t="shared" si="60"/>
        <v>1614585.8152000001</v>
      </c>
      <c r="AI224" s="70">
        <f t="shared" si="61"/>
        <v>1686314.7744751996</v>
      </c>
      <c r="AJ224" s="70">
        <f t="shared" si="62"/>
        <v>1596900.5295449598</v>
      </c>
      <c r="AK224" s="70">
        <f t="shared" si="63"/>
        <v>1540792.2409666402</v>
      </c>
      <c r="AL224" s="70">
        <f t="shared" si="64"/>
        <v>1370000</v>
      </c>
      <c r="AM224" s="70">
        <f t="shared" si="65"/>
        <v>1370000</v>
      </c>
      <c r="AN224" s="70">
        <f t="shared" si="66"/>
        <v>1370000</v>
      </c>
      <c r="AO224" s="70">
        <f t="shared" si="67"/>
        <v>1370000</v>
      </c>
    </row>
    <row r="225" spans="1:41">
      <c r="A225" s="29" t="s">
        <v>399</v>
      </c>
      <c r="B225" s="29" t="s">
        <v>934</v>
      </c>
      <c r="C225" s="107">
        <v>0</v>
      </c>
      <c r="D225" s="108">
        <v>2064477</v>
      </c>
      <c r="F225" s="107">
        <v>0</v>
      </c>
      <c r="G225" s="108">
        <v>2169549</v>
      </c>
      <c r="I225" s="64">
        <v>0</v>
      </c>
      <c r="J225" s="83">
        <v>0</v>
      </c>
      <c r="K225" s="66">
        <v>2169549</v>
      </c>
      <c r="L225" s="251">
        <v>2180441.017</v>
      </c>
      <c r="M225" s="63">
        <v>0</v>
      </c>
      <c r="N225" s="64">
        <v>0</v>
      </c>
      <c r="O225" s="65">
        <v>2256090.2271000003</v>
      </c>
      <c r="P225" s="66">
        <v>2345553.8799000001</v>
      </c>
      <c r="Q225" s="66">
        <f t="shared" si="52"/>
        <v>0</v>
      </c>
      <c r="R225" s="63">
        <f t="shared" si="53"/>
        <v>0</v>
      </c>
      <c r="S225" s="83">
        <f t="shared" si="54"/>
        <v>0</v>
      </c>
      <c r="T225" s="64">
        <f t="shared" si="55"/>
        <v>0</v>
      </c>
      <c r="U225" s="66">
        <f t="shared" si="56"/>
        <v>2119765.8864000002</v>
      </c>
      <c r="V225" s="63">
        <f t="shared" si="57"/>
        <v>2175280.3793454003</v>
      </c>
      <c r="W225" s="83">
        <f t="shared" si="58"/>
        <v>2220247.6313546202</v>
      </c>
      <c r="X225" s="64">
        <f t="shared" si="59"/>
        <v>2303166.00120336</v>
      </c>
      <c r="Z225" s="67">
        <v>0</v>
      </c>
      <c r="AA225" s="68">
        <v>0</v>
      </c>
      <c r="AB225" s="69">
        <v>2169549</v>
      </c>
      <c r="AC225" s="70">
        <v>2283784.9109999998</v>
      </c>
      <c r="AD225" s="67">
        <v>0</v>
      </c>
      <c r="AE225" s="68">
        <v>0</v>
      </c>
      <c r="AF225" s="69">
        <v>2256090.2271000003</v>
      </c>
      <c r="AG225" s="70">
        <v>2345553.8799000001</v>
      </c>
      <c r="AH225" s="70">
        <f t="shared" si="60"/>
        <v>0</v>
      </c>
      <c r="AI225" s="70">
        <f t="shared" si="61"/>
        <v>0</v>
      </c>
      <c r="AJ225" s="70">
        <f t="shared" si="62"/>
        <v>0</v>
      </c>
      <c r="AK225" s="70">
        <f t="shared" si="63"/>
        <v>0</v>
      </c>
      <c r="AL225" s="70">
        <f t="shared" si="64"/>
        <v>2119765.8864000002</v>
      </c>
      <c r="AM225" s="70">
        <f t="shared" si="65"/>
        <v>2229659.9363682</v>
      </c>
      <c r="AN225" s="70">
        <f t="shared" si="66"/>
        <v>2269211.9683318203</v>
      </c>
      <c r="AO225" s="70">
        <f t="shared" si="67"/>
        <v>2303166.00120336</v>
      </c>
    </row>
    <row r="226" spans="1:41">
      <c r="A226" s="29" t="s">
        <v>159</v>
      </c>
      <c r="B226" s="29" t="s">
        <v>809</v>
      </c>
      <c r="C226" s="107">
        <v>54128.04</v>
      </c>
      <c r="D226" s="108">
        <v>80000</v>
      </c>
      <c r="F226" s="107">
        <v>33725.769999999997</v>
      </c>
      <c r="G226" s="108">
        <v>83001</v>
      </c>
      <c r="I226" s="64">
        <v>33725.769999999997</v>
      </c>
      <c r="J226" s="83">
        <v>81562.284223333336</v>
      </c>
      <c r="K226" s="66">
        <v>83001</v>
      </c>
      <c r="L226" s="251">
        <v>80000</v>
      </c>
      <c r="M226" s="63">
        <v>74108.542539999995</v>
      </c>
      <c r="N226" s="64">
        <v>67181.465399999986</v>
      </c>
      <c r="O226" s="65">
        <v>80000</v>
      </c>
      <c r="P226" s="66">
        <v>80000</v>
      </c>
      <c r="Q226" s="66">
        <f t="shared" si="52"/>
        <v>39438.405599999998</v>
      </c>
      <c r="R226" s="63">
        <f t="shared" si="53"/>
        <v>68168.060240799998</v>
      </c>
      <c r="S226" s="83">
        <f t="shared" si="54"/>
        <v>76195.590211333329</v>
      </c>
      <c r="T226" s="64">
        <f t="shared" si="55"/>
        <v>69121.046999199985</v>
      </c>
      <c r="U226" s="66">
        <f t="shared" si="56"/>
        <v>81579.126199999999</v>
      </c>
      <c r="V226" s="63">
        <f t="shared" si="57"/>
        <v>81421.873800000001</v>
      </c>
      <c r="W226" s="83">
        <f t="shared" si="58"/>
        <v>80000</v>
      </c>
      <c r="X226" s="64">
        <f t="shared" si="59"/>
        <v>80000</v>
      </c>
      <c r="Z226" s="67">
        <v>33725.769999999997</v>
      </c>
      <c r="AA226" s="68">
        <v>81562.284223333336</v>
      </c>
      <c r="AB226" s="69">
        <v>83001</v>
      </c>
      <c r="AC226" s="70">
        <v>80000</v>
      </c>
      <c r="AD226" s="67">
        <v>74108.542539999995</v>
      </c>
      <c r="AE226" s="68">
        <v>67181.465399999986</v>
      </c>
      <c r="AF226" s="69">
        <v>80000</v>
      </c>
      <c r="AG226" s="70">
        <v>80000</v>
      </c>
      <c r="AH226" s="70">
        <f t="shared" si="60"/>
        <v>39438.405599999998</v>
      </c>
      <c r="AI226" s="70">
        <f t="shared" si="61"/>
        <v>68168.060240799998</v>
      </c>
      <c r="AJ226" s="70">
        <f t="shared" si="62"/>
        <v>76195.590211333329</v>
      </c>
      <c r="AK226" s="70">
        <f t="shared" si="63"/>
        <v>69121.046999199985</v>
      </c>
      <c r="AL226" s="70">
        <f t="shared" si="64"/>
        <v>81579.126199999999</v>
      </c>
      <c r="AM226" s="70">
        <f t="shared" si="65"/>
        <v>81421.873800000001</v>
      </c>
      <c r="AN226" s="70">
        <f t="shared" si="66"/>
        <v>80000</v>
      </c>
      <c r="AO226" s="70">
        <f t="shared" si="67"/>
        <v>80000</v>
      </c>
    </row>
    <row r="227" spans="1:41">
      <c r="A227" s="29" t="s">
        <v>183</v>
      </c>
      <c r="B227" s="29" t="s">
        <v>810</v>
      </c>
      <c r="C227" s="107">
        <v>0</v>
      </c>
      <c r="D227" s="108">
        <v>169025500</v>
      </c>
      <c r="F227" s="107">
        <v>0</v>
      </c>
      <c r="G227" s="108">
        <v>177990203</v>
      </c>
      <c r="I227" s="64">
        <v>0</v>
      </c>
      <c r="J227" s="83">
        <v>0</v>
      </c>
      <c r="K227" s="66">
        <v>177990203</v>
      </c>
      <c r="L227" s="251">
        <v>183113287.824</v>
      </c>
      <c r="M227" s="63">
        <v>0</v>
      </c>
      <c r="N227" s="64">
        <v>0</v>
      </c>
      <c r="O227" s="65">
        <v>189459316.4544</v>
      </c>
      <c r="P227" s="66">
        <v>196965000.14219999</v>
      </c>
      <c r="Q227" s="66">
        <f t="shared" si="52"/>
        <v>0</v>
      </c>
      <c r="R227" s="63">
        <f t="shared" si="53"/>
        <v>0</v>
      </c>
      <c r="S227" s="83">
        <f t="shared" si="54"/>
        <v>0</v>
      </c>
      <c r="T227" s="64">
        <f t="shared" si="55"/>
        <v>0</v>
      </c>
      <c r="U227" s="66">
        <f t="shared" si="56"/>
        <v>173742726.7186</v>
      </c>
      <c r="V227" s="63">
        <f t="shared" si="57"/>
        <v>180685970.2343888</v>
      </c>
      <c r="W227" s="83">
        <f t="shared" si="58"/>
        <v>186452568.08931649</v>
      </c>
      <c r="X227" s="64">
        <f t="shared" si="59"/>
        <v>193408807.21092033</v>
      </c>
      <c r="Z227" s="67">
        <v>0</v>
      </c>
      <c r="AA227" s="68">
        <v>0</v>
      </c>
      <c r="AB227" s="69">
        <v>177990203</v>
      </c>
      <c r="AC227" s="70">
        <v>186889983.34400001</v>
      </c>
      <c r="AD227" s="67">
        <v>0</v>
      </c>
      <c r="AE227" s="68">
        <v>0</v>
      </c>
      <c r="AF227" s="69">
        <v>189459316.4544</v>
      </c>
      <c r="AG227" s="70">
        <v>196965000.14219999</v>
      </c>
      <c r="AH227" s="70">
        <f t="shared" si="60"/>
        <v>0</v>
      </c>
      <c r="AI227" s="70">
        <f t="shared" si="61"/>
        <v>0</v>
      </c>
      <c r="AJ227" s="70">
        <f t="shared" si="62"/>
        <v>0</v>
      </c>
      <c r="AK227" s="70">
        <f t="shared" si="63"/>
        <v>0</v>
      </c>
      <c r="AL227" s="70">
        <f t="shared" si="64"/>
        <v>173742726.7186</v>
      </c>
      <c r="AM227" s="70">
        <f t="shared" si="65"/>
        <v>182673267.41701281</v>
      </c>
      <c r="AN227" s="70">
        <f t="shared" si="66"/>
        <v>188241966.42669249</v>
      </c>
      <c r="AO227" s="70">
        <f t="shared" si="67"/>
        <v>193408807.21092033</v>
      </c>
    </row>
    <row r="228" spans="1:41">
      <c r="A228" s="29" t="s">
        <v>405</v>
      </c>
      <c r="B228" s="29" t="s">
        <v>935</v>
      </c>
      <c r="C228" s="107">
        <v>1274892.21</v>
      </c>
      <c r="D228" s="108">
        <v>13104354</v>
      </c>
      <c r="F228" s="107">
        <v>164469.79</v>
      </c>
      <c r="G228" s="108">
        <v>13667841</v>
      </c>
      <c r="I228" s="64">
        <v>164469.79</v>
      </c>
      <c r="J228" s="83">
        <v>207474.11609999934</v>
      </c>
      <c r="K228" s="66">
        <v>13667841</v>
      </c>
      <c r="L228" s="251">
        <v>12095611.41</v>
      </c>
      <c r="M228" s="63">
        <v>0</v>
      </c>
      <c r="N228" s="64">
        <v>0</v>
      </c>
      <c r="O228" s="65">
        <v>12516787.756999999</v>
      </c>
      <c r="P228" s="66">
        <v>13012692.092399999</v>
      </c>
      <c r="Q228" s="66">
        <f t="shared" si="52"/>
        <v>475388.06760000001</v>
      </c>
      <c r="R228" s="63">
        <f t="shared" si="53"/>
        <v>195432.90479199952</v>
      </c>
      <c r="S228" s="83">
        <f t="shared" si="54"/>
        <v>58092.752507999823</v>
      </c>
      <c r="T228" s="64">
        <f t="shared" si="55"/>
        <v>0</v>
      </c>
      <c r="U228" s="66">
        <f t="shared" si="56"/>
        <v>13400860.8594</v>
      </c>
      <c r="V228" s="63">
        <f t="shared" si="57"/>
        <v>12840533.789742</v>
      </c>
      <c r="W228" s="83">
        <f t="shared" si="58"/>
        <v>12317234.4037914</v>
      </c>
      <c r="X228" s="64">
        <f t="shared" si="59"/>
        <v>12777732.61828748</v>
      </c>
      <c r="Z228" s="67">
        <v>164469.79</v>
      </c>
      <c r="AA228" s="68">
        <v>675881.78909999959</v>
      </c>
      <c r="AB228" s="69">
        <v>13667841</v>
      </c>
      <c r="AC228" s="70">
        <v>12095611.41</v>
      </c>
      <c r="AD228" s="67">
        <v>0</v>
      </c>
      <c r="AE228" s="68">
        <v>0</v>
      </c>
      <c r="AF228" s="69">
        <v>12516787.756999999</v>
      </c>
      <c r="AG228" s="70">
        <v>13012692.092399999</v>
      </c>
      <c r="AH228" s="70">
        <f t="shared" si="60"/>
        <v>475388.06760000001</v>
      </c>
      <c r="AI228" s="70">
        <f t="shared" si="61"/>
        <v>532686.42935199966</v>
      </c>
      <c r="AJ228" s="70">
        <f t="shared" si="62"/>
        <v>189246.90094799991</v>
      </c>
      <c r="AK228" s="70">
        <f t="shared" si="63"/>
        <v>0</v>
      </c>
      <c r="AL228" s="70">
        <f t="shared" si="64"/>
        <v>13400860.8594</v>
      </c>
      <c r="AM228" s="70">
        <f t="shared" si="65"/>
        <v>12840533.789742</v>
      </c>
      <c r="AN228" s="70">
        <f t="shared" si="66"/>
        <v>12317234.4037914</v>
      </c>
      <c r="AO228" s="70">
        <f t="shared" si="67"/>
        <v>12777732.61828748</v>
      </c>
    </row>
    <row r="229" spans="1:41">
      <c r="A229" s="29" t="s">
        <v>589</v>
      </c>
      <c r="B229" s="29" t="s">
        <v>811</v>
      </c>
      <c r="C229" s="107">
        <v>2745248.14</v>
      </c>
      <c r="D229" s="108">
        <v>3468869</v>
      </c>
      <c r="F229" s="107">
        <v>2453473.54</v>
      </c>
      <c r="G229" s="108">
        <v>3550187</v>
      </c>
      <c r="I229" s="64">
        <v>2453473.54</v>
      </c>
      <c r="J229" s="83">
        <v>2478163.976900667</v>
      </c>
      <c r="K229" s="66">
        <v>3550187</v>
      </c>
      <c r="L229" s="251">
        <v>3905205</v>
      </c>
      <c r="M229" s="63">
        <v>2130431.5805119998</v>
      </c>
      <c r="N229" s="64">
        <v>1891676.002356</v>
      </c>
      <c r="O229" s="65">
        <v>3905205</v>
      </c>
      <c r="P229" s="66">
        <v>3905205</v>
      </c>
      <c r="Q229" s="66">
        <f t="shared" si="52"/>
        <v>2535170.4279999998</v>
      </c>
      <c r="R229" s="63">
        <f t="shared" si="53"/>
        <v>2471250.6545684803</v>
      </c>
      <c r="S229" s="83">
        <f t="shared" si="54"/>
        <v>2227796.6515008267</v>
      </c>
      <c r="T229" s="64">
        <f t="shared" si="55"/>
        <v>1958527.5642396798</v>
      </c>
      <c r="U229" s="66">
        <f t="shared" si="56"/>
        <v>3511658.5316000003</v>
      </c>
      <c r="V229" s="63">
        <f t="shared" si="57"/>
        <v>3736997.4715999998</v>
      </c>
      <c r="W229" s="83">
        <f t="shared" si="58"/>
        <v>3905205</v>
      </c>
      <c r="X229" s="64">
        <f t="shared" si="59"/>
        <v>3905205</v>
      </c>
      <c r="Z229" s="67">
        <v>2453473.54</v>
      </c>
      <c r="AA229" s="68">
        <v>2627506.8612633334</v>
      </c>
      <c r="AB229" s="69">
        <v>3550187</v>
      </c>
      <c r="AC229" s="70">
        <v>3905205</v>
      </c>
      <c r="AD229" s="67">
        <v>2130431.5805119998</v>
      </c>
      <c r="AE229" s="68">
        <v>1891676.002356</v>
      </c>
      <c r="AF229" s="69">
        <v>3905205</v>
      </c>
      <c r="AG229" s="70">
        <v>3905205</v>
      </c>
      <c r="AH229" s="70">
        <f t="shared" si="60"/>
        <v>2535170.4279999998</v>
      </c>
      <c r="AI229" s="70">
        <f t="shared" si="61"/>
        <v>2578777.5313096</v>
      </c>
      <c r="AJ229" s="70">
        <f t="shared" si="62"/>
        <v>2269612.659122373</v>
      </c>
      <c r="AK229" s="70">
        <f t="shared" si="63"/>
        <v>1958527.5642396798</v>
      </c>
      <c r="AL229" s="70">
        <f t="shared" si="64"/>
        <v>3511658.5316000003</v>
      </c>
      <c r="AM229" s="70">
        <f t="shared" si="65"/>
        <v>3736997.4715999998</v>
      </c>
      <c r="AN229" s="70">
        <f t="shared" si="66"/>
        <v>3905205</v>
      </c>
      <c r="AO229" s="70">
        <f t="shared" si="67"/>
        <v>3905205</v>
      </c>
    </row>
    <row r="230" spans="1:41">
      <c r="A230" s="29" t="s">
        <v>359</v>
      </c>
      <c r="B230" s="29" t="s">
        <v>812</v>
      </c>
      <c r="C230" s="107">
        <v>0</v>
      </c>
      <c r="D230" s="108">
        <v>675910</v>
      </c>
      <c r="F230" s="107">
        <v>0</v>
      </c>
      <c r="G230" s="108">
        <v>695760</v>
      </c>
      <c r="I230" s="64">
        <v>0</v>
      </c>
      <c r="J230" s="83">
        <v>0</v>
      </c>
      <c r="K230" s="66">
        <v>695760</v>
      </c>
      <c r="L230" s="251">
        <v>673491.29359999998</v>
      </c>
      <c r="M230" s="63">
        <v>0</v>
      </c>
      <c r="N230" s="64">
        <v>0</v>
      </c>
      <c r="O230" s="65">
        <v>696833.58990000002</v>
      </c>
      <c r="P230" s="66">
        <v>714981</v>
      </c>
      <c r="Q230" s="66">
        <f t="shared" si="52"/>
        <v>0</v>
      </c>
      <c r="R230" s="63">
        <f t="shared" si="53"/>
        <v>0</v>
      </c>
      <c r="S230" s="83">
        <f t="shared" si="54"/>
        <v>0</v>
      </c>
      <c r="T230" s="64">
        <f t="shared" si="55"/>
        <v>0</v>
      </c>
      <c r="U230" s="66">
        <f t="shared" si="56"/>
        <v>686355.07000000007</v>
      </c>
      <c r="V230" s="63">
        <f t="shared" si="57"/>
        <v>684042.20669232006</v>
      </c>
      <c r="W230" s="83">
        <f t="shared" si="58"/>
        <v>685774.00991306</v>
      </c>
      <c r="X230" s="64">
        <f t="shared" si="59"/>
        <v>706382.75709462003</v>
      </c>
      <c r="Z230" s="67">
        <v>0</v>
      </c>
      <c r="AA230" s="68">
        <v>16587.52789999999</v>
      </c>
      <c r="AB230" s="69">
        <v>695760</v>
      </c>
      <c r="AC230" s="70">
        <v>714981</v>
      </c>
      <c r="AD230" s="67">
        <v>0</v>
      </c>
      <c r="AE230" s="68">
        <v>0</v>
      </c>
      <c r="AF230" s="69">
        <v>696833.58990000002</v>
      </c>
      <c r="AG230" s="70">
        <v>714981</v>
      </c>
      <c r="AH230" s="70">
        <f t="shared" si="60"/>
        <v>0</v>
      </c>
      <c r="AI230" s="70">
        <f t="shared" si="61"/>
        <v>11943.020087999992</v>
      </c>
      <c r="AJ230" s="70">
        <f t="shared" si="62"/>
        <v>4644.507811999998</v>
      </c>
      <c r="AK230" s="70">
        <f t="shared" si="63"/>
        <v>0</v>
      </c>
      <c r="AL230" s="70">
        <f t="shared" si="64"/>
        <v>686355.07000000007</v>
      </c>
      <c r="AM230" s="70">
        <f t="shared" si="65"/>
        <v>705874.09019999998</v>
      </c>
      <c r="AN230" s="70">
        <f t="shared" si="66"/>
        <v>705431.83280537999</v>
      </c>
      <c r="AO230" s="70">
        <f t="shared" si="67"/>
        <v>706382.75709462003</v>
      </c>
    </row>
    <row r="231" spans="1:41">
      <c r="A231" s="29" t="s">
        <v>47</v>
      </c>
      <c r="B231" s="29" t="s">
        <v>813</v>
      </c>
      <c r="C231" s="107">
        <v>0</v>
      </c>
      <c r="D231" s="108">
        <v>6924000</v>
      </c>
      <c r="F231" s="107">
        <v>0</v>
      </c>
      <c r="G231" s="108">
        <v>7168803.5300000003</v>
      </c>
      <c r="I231" s="64">
        <v>0</v>
      </c>
      <c r="J231" s="83">
        <v>0</v>
      </c>
      <c r="K231" s="66">
        <v>7168803.5300000003</v>
      </c>
      <c r="L231" s="251">
        <v>7291876.0727999993</v>
      </c>
      <c r="M231" s="63">
        <v>0</v>
      </c>
      <c r="N231" s="64">
        <v>0</v>
      </c>
      <c r="O231" s="65">
        <v>7526780</v>
      </c>
      <c r="P231" s="66">
        <v>7718191</v>
      </c>
      <c r="Q231" s="66">
        <f t="shared" si="52"/>
        <v>0</v>
      </c>
      <c r="R231" s="63">
        <f t="shared" si="53"/>
        <v>0</v>
      </c>
      <c r="S231" s="83">
        <f t="shared" si="54"/>
        <v>0</v>
      </c>
      <c r="T231" s="64">
        <f t="shared" si="55"/>
        <v>0</v>
      </c>
      <c r="U231" s="66">
        <f t="shared" si="56"/>
        <v>7052815.6174860001</v>
      </c>
      <c r="V231" s="63">
        <f t="shared" si="57"/>
        <v>7233564.30202136</v>
      </c>
      <c r="W231" s="83">
        <f t="shared" si="58"/>
        <v>7415482.5192926396</v>
      </c>
      <c r="X231" s="64">
        <f t="shared" si="59"/>
        <v>7627500.4682</v>
      </c>
      <c r="Z231" s="67">
        <v>0</v>
      </c>
      <c r="AA231" s="68">
        <v>0</v>
      </c>
      <c r="AB231" s="69">
        <v>7168803.5300000003</v>
      </c>
      <c r="AC231" s="70">
        <v>7338560</v>
      </c>
      <c r="AD231" s="67">
        <v>0</v>
      </c>
      <c r="AE231" s="68">
        <v>0</v>
      </c>
      <c r="AF231" s="69">
        <v>7526780</v>
      </c>
      <c r="AG231" s="70">
        <v>7718191</v>
      </c>
      <c r="AH231" s="70">
        <f t="shared" si="60"/>
        <v>0</v>
      </c>
      <c r="AI231" s="70">
        <f t="shared" si="61"/>
        <v>0</v>
      </c>
      <c r="AJ231" s="70">
        <f t="shared" si="62"/>
        <v>0</v>
      </c>
      <c r="AK231" s="70">
        <f t="shared" si="63"/>
        <v>0</v>
      </c>
      <c r="AL231" s="70">
        <f t="shared" si="64"/>
        <v>7052815.6174860001</v>
      </c>
      <c r="AM231" s="70">
        <f t="shared" si="65"/>
        <v>7258129.3845140003</v>
      </c>
      <c r="AN231" s="70">
        <f t="shared" si="66"/>
        <v>7437601.3640000001</v>
      </c>
      <c r="AO231" s="70">
        <f t="shared" si="67"/>
        <v>7627500.4682</v>
      </c>
    </row>
    <row r="232" spans="1:41">
      <c r="A232" s="29" t="s">
        <v>393</v>
      </c>
      <c r="B232" s="29" t="s">
        <v>936</v>
      </c>
      <c r="C232" s="107">
        <v>0</v>
      </c>
      <c r="D232" s="108">
        <v>0</v>
      </c>
      <c r="F232" s="107">
        <v>0</v>
      </c>
      <c r="G232" s="108">
        <v>0</v>
      </c>
      <c r="I232" s="64">
        <v>0</v>
      </c>
      <c r="J232" s="83">
        <v>0</v>
      </c>
      <c r="K232" s="66">
        <v>0</v>
      </c>
      <c r="L232" s="251">
        <v>0</v>
      </c>
      <c r="M232" s="63">
        <v>0</v>
      </c>
      <c r="N232" s="64">
        <v>0</v>
      </c>
      <c r="O232" s="65">
        <v>0</v>
      </c>
      <c r="P232" s="66">
        <v>0</v>
      </c>
      <c r="Q232" s="66">
        <f t="shared" si="52"/>
        <v>0</v>
      </c>
      <c r="R232" s="63">
        <f t="shared" si="53"/>
        <v>0</v>
      </c>
      <c r="S232" s="83">
        <f t="shared" si="54"/>
        <v>0</v>
      </c>
      <c r="T232" s="64">
        <f t="shared" si="55"/>
        <v>0</v>
      </c>
      <c r="U232" s="66">
        <f t="shared" si="56"/>
        <v>0</v>
      </c>
      <c r="V232" s="63">
        <f t="shared" si="57"/>
        <v>0</v>
      </c>
      <c r="W232" s="83">
        <f t="shared" si="58"/>
        <v>0</v>
      </c>
      <c r="X232" s="64">
        <f t="shared" si="59"/>
        <v>0</v>
      </c>
      <c r="Z232" s="67">
        <v>0</v>
      </c>
      <c r="AA232" s="68">
        <v>0</v>
      </c>
      <c r="AB232" s="69">
        <v>0</v>
      </c>
      <c r="AC232" s="70">
        <v>0</v>
      </c>
      <c r="AD232" s="67">
        <v>0</v>
      </c>
      <c r="AE232" s="68">
        <v>0</v>
      </c>
      <c r="AF232" s="69">
        <v>0</v>
      </c>
      <c r="AG232" s="70">
        <v>0</v>
      </c>
      <c r="AH232" s="70">
        <f t="shared" si="60"/>
        <v>0</v>
      </c>
      <c r="AI232" s="70">
        <f t="shared" si="61"/>
        <v>0</v>
      </c>
      <c r="AJ232" s="70">
        <f t="shared" si="62"/>
        <v>0</v>
      </c>
      <c r="AK232" s="70">
        <f t="shared" si="63"/>
        <v>0</v>
      </c>
      <c r="AL232" s="70">
        <f t="shared" si="64"/>
        <v>0</v>
      </c>
      <c r="AM232" s="70">
        <f t="shared" si="65"/>
        <v>0</v>
      </c>
      <c r="AN232" s="70">
        <f t="shared" si="66"/>
        <v>0</v>
      </c>
      <c r="AO232" s="70">
        <f t="shared" si="67"/>
        <v>0</v>
      </c>
    </row>
    <row r="233" spans="1:41">
      <c r="A233" s="29" t="s">
        <v>317</v>
      </c>
      <c r="B233" s="29" t="s">
        <v>814</v>
      </c>
      <c r="C233" s="107">
        <v>2947617.02</v>
      </c>
      <c r="D233" s="108">
        <v>5500000</v>
      </c>
      <c r="F233" s="107">
        <v>2441589.38</v>
      </c>
      <c r="G233" s="108">
        <v>5545416</v>
      </c>
      <c r="I233" s="64">
        <v>2441589.38</v>
      </c>
      <c r="J233" s="83">
        <v>1817335.8814999997</v>
      </c>
      <c r="K233" s="66">
        <v>5545416</v>
      </c>
      <c r="L233" s="251">
        <v>5500000</v>
      </c>
      <c r="M233" s="63">
        <v>1569684.316499999</v>
      </c>
      <c r="N233" s="64">
        <v>1294838.1297000004</v>
      </c>
      <c r="O233" s="65">
        <v>5500000</v>
      </c>
      <c r="P233" s="66">
        <v>5500000</v>
      </c>
      <c r="Q233" s="66">
        <f t="shared" si="52"/>
        <v>2583277.1191999996</v>
      </c>
      <c r="R233" s="63">
        <f t="shared" si="53"/>
        <v>1992126.8610799997</v>
      </c>
      <c r="S233" s="83">
        <f t="shared" si="54"/>
        <v>1639026.754699999</v>
      </c>
      <c r="T233" s="64">
        <f t="shared" si="55"/>
        <v>1371795.0620039999</v>
      </c>
      <c r="U233" s="66">
        <f t="shared" si="56"/>
        <v>5523897.8991999999</v>
      </c>
      <c r="V233" s="63">
        <f t="shared" si="57"/>
        <v>5521518.1008000001</v>
      </c>
      <c r="W233" s="83">
        <f t="shared" si="58"/>
        <v>5500000</v>
      </c>
      <c r="X233" s="64">
        <f t="shared" si="59"/>
        <v>5500000</v>
      </c>
      <c r="Z233" s="67">
        <v>2441589.38</v>
      </c>
      <c r="AA233" s="68">
        <v>3861650.2795999995</v>
      </c>
      <c r="AB233" s="69">
        <v>5545416</v>
      </c>
      <c r="AC233" s="70">
        <v>5500000</v>
      </c>
      <c r="AD233" s="67">
        <v>1569684.316499999</v>
      </c>
      <c r="AE233" s="68">
        <v>1294838.1297000004</v>
      </c>
      <c r="AF233" s="69">
        <v>5500000</v>
      </c>
      <c r="AG233" s="70">
        <v>5500000</v>
      </c>
      <c r="AH233" s="70">
        <f t="shared" si="60"/>
        <v>2583277.1191999996</v>
      </c>
      <c r="AI233" s="70">
        <f t="shared" si="61"/>
        <v>3464033.2277119998</v>
      </c>
      <c r="AJ233" s="70">
        <f t="shared" si="62"/>
        <v>2211434.7861679993</v>
      </c>
      <c r="AK233" s="70">
        <f t="shared" si="63"/>
        <v>1371795.0620039999</v>
      </c>
      <c r="AL233" s="70">
        <f t="shared" si="64"/>
        <v>5523897.8991999999</v>
      </c>
      <c r="AM233" s="70">
        <f t="shared" si="65"/>
        <v>5521518.1008000001</v>
      </c>
      <c r="AN233" s="70">
        <f t="shared" si="66"/>
        <v>5500000</v>
      </c>
      <c r="AO233" s="70">
        <f t="shared" si="67"/>
        <v>5500000</v>
      </c>
    </row>
    <row r="234" spans="1:41">
      <c r="A234" s="29" t="s">
        <v>213</v>
      </c>
      <c r="B234" s="29" t="s">
        <v>815</v>
      </c>
      <c r="C234" s="107">
        <v>0</v>
      </c>
      <c r="D234" s="108">
        <v>25032669</v>
      </c>
      <c r="F234" s="107">
        <v>0</v>
      </c>
      <c r="G234" s="108">
        <v>26355275</v>
      </c>
      <c r="I234" s="64">
        <v>0</v>
      </c>
      <c r="J234" s="83">
        <v>0</v>
      </c>
      <c r="K234" s="66">
        <v>26355275</v>
      </c>
      <c r="L234" s="251">
        <v>26992619.087999996</v>
      </c>
      <c r="M234" s="63">
        <v>0</v>
      </c>
      <c r="N234" s="64">
        <v>0</v>
      </c>
      <c r="O234" s="65">
        <v>27928099.215300001</v>
      </c>
      <c r="P234" s="66">
        <v>28250000</v>
      </c>
      <c r="Q234" s="66">
        <f t="shared" si="52"/>
        <v>0</v>
      </c>
      <c r="R234" s="63">
        <f t="shared" si="53"/>
        <v>0</v>
      </c>
      <c r="S234" s="83">
        <f t="shared" si="54"/>
        <v>0</v>
      </c>
      <c r="T234" s="64">
        <f t="shared" si="55"/>
        <v>0</v>
      </c>
      <c r="U234" s="66">
        <f t="shared" si="56"/>
        <v>25728624.277199998</v>
      </c>
      <c r="V234" s="63">
        <f t="shared" si="57"/>
        <v>26690645.459105596</v>
      </c>
      <c r="W234" s="83">
        <f t="shared" si="58"/>
        <v>27484868.730985258</v>
      </c>
      <c r="X234" s="64">
        <f t="shared" si="59"/>
        <v>28097483.408209141</v>
      </c>
      <c r="Z234" s="67">
        <v>0</v>
      </c>
      <c r="AA234" s="68">
        <v>0</v>
      </c>
      <c r="AB234" s="69">
        <v>26355275</v>
      </c>
      <c r="AC234" s="70">
        <v>27673047.952199999</v>
      </c>
      <c r="AD234" s="67">
        <v>0</v>
      </c>
      <c r="AE234" s="68">
        <v>0</v>
      </c>
      <c r="AF234" s="69">
        <v>27928099.215300001</v>
      </c>
      <c r="AG234" s="70">
        <v>28250000</v>
      </c>
      <c r="AH234" s="70">
        <f t="shared" si="60"/>
        <v>0</v>
      </c>
      <c r="AI234" s="70">
        <f t="shared" si="61"/>
        <v>0</v>
      </c>
      <c r="AJ234" s="70">
        <f t="shared" si="62"/>
        <v>0</v>
      </c>
      <c r="AK234" s="70">
        <f t="shared" si="63"/>
        <v>0</v>
      </c>
      <c r="AL234" s="70">
        <f t="shared" si="64"/>
        <v>25728624.277199998</v>
      </c>
      <c r="AM234" s="70">
        <f t="shared" si="65"/>
        <v>27048687.127447639</v>
      </c>
      <c r="AN234" s="70">
        <f t="shared" si="66"/>
        <v>27807255.926843219</v>
      </c>
      <c r="AO234" s="70">
        <f t="shared" si="67"/>
        <v>28097483.408209141</v>
      </c>
    </row>
    <row r="235" spans="1:41">
      <c r="A235" s="29" t="s">
        <v>415</v>
      </c>
      <c r="B235" s="29" t="s">
        <v>816</v>
      </c>
      <c r="C235" s="107">
        <v>0</v>
      </c>
      <c r="D235" s="108">
        <v>229400</v>
      </c>
      <c r="F235" s="107">
        <v>0</v>
      </c>
      <c r="G235" s="108">
        <v>229400</v>
      </c>
      <c r="I235" s="64">
        <v>0</v>
      </c>
      <c r="J235" s="83">
        <v>0</v>
      </c>
      <c r="K235" s="66">
        <v>229400</v>
      </c>
      <c r="L235" s="251">
        <v>229400</v>
      </c>
      <c r="M235" s="63">
        <v>0</v>
      </c>
      <c r="N235" s="64">
        <v>0</v>
      </c>
      <c r="O235" s="65">
        <v>229400</v>
      </c>
      <c r="P235" s="66">
        <v>229400</v>
      </c>
      <c r="Q235" s="66">
        <f t="shared" si="52"/>
        <v>0</v>
      </c>
      <c r="R235" s="63">
        <f t="shared" si="53"/>
        <v>0</v>
      </c>
      <c r="S235" s="83">
        <f t="shared" si="54"/>
        <v>0</v>
      </c>
      <c r="T235" s="64">
        <f t="shared" si="55"/>
        <v>0</v>
      </c>
      <c r="U235" s="66">
        <f t="shared" si="56"/>
        <v>229400</v>
      </c>
      <c r="V235" s="63">
        <f t="shared" si="57"/>
        <v>229400</v>
      </c>
      <c r="W235" s="83">
        <f t="shared" si="58"/>
        <v>229400</v>
      </c>
      <c r="X235" s="64">
        <f t="shared" si="59"/>
        <v>229400</v>
      </c>
      <c r="Z235" s="67">
        <v>0</v>
      </c>
      <c r="AA235" s="68">
        <v>0</v>
      </c>
      <c r="AB235" s="69">
        <v>229400</v>
      </c>
      <c r="AC235" s="70">
        <v>229400</v>
      </c>
      <c r="AD235" s="67">
        <v>0</v>
      </c>
      <c r="AE235" s="68">
        <v>0</v>
      </c>
      <c r="AF235" s="69">
        <v>229400</v>
      </c>
      <c r="AG235" s="70">
        <v>229400</v>
      </c>
      <c r="AH235" s="70">
        <f t="shared" si="60"/>
        <v>0</v>
      </c>
      <c r="AI235" s="70">
        <f t="shared" si="61"/>
        <v>0</v>
      </c>
      <c r="AJ235" s="70">
        <f t="shared" si="62"/>
        <v>0</v>
      </c>
      <c r="AK235" s="70">
        <f t="shared" si="63"/>
        <v>0</v>
      </c>
      <c r="AL235" s="70">
        <f t="shared" si="64"/>
        <v>229400</v>
      </c>
      <c r="AM235" s="70">
        <f t="shared" si="65"/>
        <v>229400</v>
      </c>
      <c r="AN235" s="70">
        <f t="shared" si="66"/>
        <v>229400</v>
      </c>
      <c r="AO235" s="70">
        <f t="shared" si="67"/>
        <v>229400</v>
      </c>
    </row>
    <row r="236" spans="1:41">
      <c r="A236" s="29" t="s">
        <v>197</v>
      </c>
      <c r="B236" s="29" t="s">
        <v>897</v>
      </c>
      <c r="C236" s="107">
        <v>0</v>
      </c>
      <c r="D236" s="108">
        <v>352780</v>
      </c>
      <c r="F236" s="107">
        <v>0</v>
      </c>
      <c r="G236" s="108">
        <v>388058</v>
      </c>
      <c r="I236" s="64">
        <v>0</v>
      </c>
      <c r="J236" s="83">
        <v>0</v>
      </c>
      <c r="K236" s="66">
        <v>388058</v>
      </c>
      <c r="L236" s="251">
        <v>129366.98039999999</v>
      </c>
      <c r="M236" s="63">
        <v>0</v>
      </c>
      <c r="N236" s="64">
        <v>0</v>
      </c>
      <c r="O236" s="65">
        <v>132083.60339999999</v>
      </c>
      <c r="P236" s="66">
        <v>134989.42379999999</v>
      </c>
      <c r="Q236" s="66">
        <f t="shared" si="52"/>
        <v>0</v>
      </c>
      <c r="R236" s="63">
        <f t="shared" si="53"/>
        <v>0</v>
      </c>
      <c r="S236" s="83">
        <f t="shared" si="54"/>
        <v>0</v>
      </c>
      <c r="T236" s="64">
        <f t="shared" si="55"/>
        <v>0</v>
      </c>
      <c r="U236" s="66">
        <f t="shared" si="56"/>
        <v>371343.28359999997</v>
      </c>
      <c r="V236" s="63">
        <f t="shared" si="57"/>
        <v>251934.78548647999</v>
      </c>
      <c r="W236" s="83">
        <f t="shared" si="58"/>
        <v>130796.46742259999</v>
      </c>
      <c r="X236" s="64">
        <f t="shared" si="59"/>
        <v>133612.64609448001</v>
      </c>
      <c r="Z236" s="67">
        <v>0</v>
      </c>
      <c r="AA236" s="68">
        <v>0</v>
      </c>
      <c r="AB236" s="69">
        <v>388058</v>
      </c>
      <c r="AC236" s="70">
        <v>149085.8014</v>
      </c>
      <c r="AD236" s="67">
        <v>0</v>
      </c>
      <c r="AE236" s="68">
        <v>0</v>
      </c>
      <c r="AF236" s="69">
        <v>132083.60339999999</v>
      </c>
      <c r="AG236" s="70">
        <v>134989.42379999999</v>
      </c>
      <c r="AH236" s="70">
        <f t="shared" si="60"/>
        <v>0</v>
      </c>
      <c r="AI236" s="70">
        <f t="shared" si="61"/>
        <v>0</v>
      </c>
      <c r="AJ236" s="70">
        <f t="shared" si="62"/>
        <v>0</v>
      </c>
      <c r="AK236" s="70">
        <f t="shared" si="63"/>
        <v>0</v>
      </c>
      <c r="AL236" s="70">
        <f t="shared" si="64"/>
        <v>371343.28359999997</v>
      </c>
      <c r="AM236" s="70">
        <f t="shared" si="65"/>
        <v>262310.82909667998</v>
      </c>
      <c r="AN236" s="70">
        <f t="shared" si="66"/>
        <v>140139.24481239999</v>
      </c>
      <c r="AO236" s="70">
        <f t="shared" si="67"/>
        <v>133612.64609448001</v>
      </c>
    </row>
    <row r="237" spans="1:41">
      <c r="A237" s="29" t="s">
        <v>439</v>
      </c>
      <c r="B237" s="29" t="s">
        <v>817</v>
      </c>
      <c r="C237" s="107">
        <v>0</v>
      </c>
      <c r="D237" s="108">
        <v>16868639</v>
      </c>
      <c r="F237" s="107">
        <v>0</v>
      </c>
      <c r="G237" s="108">
        <v>19016000</v>
      </c>
      <c r="I237" s="64">
        <v>0</v>
      </c>
      <c r="J237" s="83">
        <v>0</v>
      </c>
      <c r="K237" s="66">
        <v>19016000</v>
      </c>
      <c r="L237" s="251">
        <v>22945000</v>
      </c>
      <c r="M237" s="63">
        <v>0</v>
      </c>
      <c r="N237" s="64">
        <v>0</v>
      </c>
      <c r="O237" s="65">
        <v>22945000</v>
      </c>
      <c r="P237" s="66">
        <v>22945000</v>
      </c>
      <c r="Q237" s="66">
        <f t="shared" si="52"/>
        <v>0</v>
      </c>
      <c r="R237" s="63">
        <f t="shared" si="53"/>
        <v>0</v>
      </c>
      <c r="S237" s="83">
        <f t="shared" si="54"/>
        <v>0</v>
      </c>
      <c r="T237" s="64">
        <f t="shared" si="55"/>
        <v>0</v>
      </c>
      <c r="U237" s="66">
        <f t="shared" si="56"/>
        <v>17998580.358199999</v>
      </c>
      <c r="V237" s="63">
        <f t="shared" si="57"/>
        <v>21083439.800000001</v>
      </c>
      <c r="W237" s="83">
        <f t="shared" si="58"/>
        <v>22945000</v>
      </c>
      <c r="X237" s="64">
        <f t="shared" si="59"/>
        <v>22945000</v>
      </c>
      <c r="Z237" s="67">
        <v>0</v>
      </c>
      <c r="AA237" s="68">
        <v>0</v>
      </c>
      <c r="AB237" s="69">
        <v>19016000</v>
      </c>
      <c r="AC237" s="70">
        <v>22945000</v>
      </c>
      <c r="AD237" s="67">
        <v>0</v>
      </c>
      <c r="AE237" s="68">
        <v>0</v>
      </c>
      <c r="AF237" s="69">
        <v>22945000</v>
      </c>
      <c r="AG237" s="70">
        <v>22945000</v>
      </c>
      <c r="AH237" s="70">
        <f t="shared" si="60"/>
        <v>0</v>
      </c>
      <c r="AI237" s="70">
        <f t="shared" si="61"/>
        <v>0</v>
      </c>
      <c r="AJ237" s="70">
        <f t="shared" si="62"/>
        <v>0</v>
      </c>
      <c r="AK237" s="70">
        <f t="shared" si="63"/>
        <v>0</v>
      </c>
      <c r="AL237" s="70">
        <f t="shared" si="64"/>
        <v>17998580.358199999</v>
      </c>
      <c r="AM237" s="70">
        <f t="shared" si="65"/>
        <v>21083439.800000001</v>
      </c>
      <c r="AN237" s="70">
        <f t="shared" si="66"/>
        <v>22945000</v>
      </c>
      <c r="AO237" s="70">
        <f t="shared" si="67"/>
        <v>22945000</v>
      </c>
    </row>
    <row r="238" spans="1:41">
      <c r="A238" s="29" t="s">
        <v>209</v>
      </c>
      <c r="B238" s="29" t="s">
        <v>818</v>
      </c>
      <c r="C238" s="107">
        <v>0</v>
      </c>
      <c r="D238" s="108">
        <v>15950000</v>
      </c>
      <c r="F238" s="107">
        <v>0</v>
      </c>
      <c r="G238" s="108">
        <v>16900000</v>
      </c>
      <c r="I238" s="64">
        <v>0</v>
      </c>
      <c r="J238" s="83">
        <v>0</v>
      </c>
      <c r="K238" s="66">
        <v>16900000</v>
      </c>
      <c r="L238" s="251">
        <v>16900000</v>
      </c>
      <c r="M238" s="63">
        <v>0</v>
      </c>
      <c r="N238" s="64">
        <v>0</v>
      </c>
      <c r="O238" s="65">
        <v>16900000</v>
      </c>
      <c r="P238" s="66">
        <v>16900000</v>
      </c>
      <c r="Q238" s="66">
        <f t="shared" si="52"/>
        <v>0</v>
      </c>
      <c r="R238" s="63">
        <f t="shared" si="53"/>
        <v>0</v>
      </c>
      <c r="S238" s="83">
        <f t="shared" si="54"/>
        <v>0</v>
      </c>
      <c r="T238" s="64">
        <f t="shared" si="55"/>
        <v>0</v>
      </c>
      <c r="U238" s="66">
        <f t="shared" si="56"/>
        <v>16449890</v>
      </c>
      <c r="V238" s="63">
        <f t="shared" si="57"/>
        <v>16900000</v>
      </c>
      <c r="W238" s="83">
        <f t="shared" si="58"/>
        <v>16900000</v>
      </c>
      <c r="X238" s="64">
        <f t="shared" si="59"/>
        <v>16900000</v>
      </c>
      <c r="Z238" s="67">
        <v>0</v>
      </c>
      <c r="AA238" s="68">
        <v>0</v>
      </c>
      <c r="AB238" s="69">
        <v>16900000</v>
      </c>
      <c r="AC238" s="70">
        <v>16900000</v>
      </c>
      <c r="AD238" s="67">
        <v>0</v>
      </c>
      <c r="AE238" s="68">
        <v>0</v>
      </c>
      <c r="AF238" s="69">
        <v>16900000</v>
      </c>
      <c r="AG238" s="70">
        <v>16900000</v>
      </c>
      <c r="AH238" s="70">
        <f t="shared" si="60"/>
        <v>0</v>
      </c>
      <c r="AI238" s="70">
        <f t="shared" si="61"/>
        <v>0</v>
      </c>
      <c r="AJ238" s="70">
        <f t="shared" si="62"/>
        <v>0</v>
      </c>
      <c r="AK238" s="70">
        <f t="shared" si="63"/>
        <v>0</v>
      </c>
      <c r="AL238" s="70">
        <f t="shared" si="64"/>
        <v>16449890</v>
      </c>
      <c r="AM238" s="70">
        <f t="shared" si="65"/>
        <v>16900000</v>
      </c>
      <c r="AN238" s="70">
        <f t="shared" si="66"/>
        <v>16900000</v>
      </c>
      <c r="AO238" s="70">
        <f t="shared" si="67"/>
        <v>16900000</v>
      </c>
    </row>
    <row r="239" spans="1:41">
      <c r="A239" s="29" t="s">
        <v>129</v>
      </c>
      <c r="B239" s="29" t="s">
        <v>819</v>
      </c>
      <c r="C239" s="107">
        <v>525078.07999999996</v>
      </c>
      <c r="D239" s="108">
        <v>579000</v>
      </c>
      <c r="F239" s="107">
        <v>516146.79</v>
      </c>
      <c r="G239" s="108">
        <v>624665.72</v>
      </c>
      <c r="I239" s="64">
        <v>516146.79</v>
      </c>
      <c r="J239" s="83">
        <v>561694.43059999996</v>
      </c>
      <c r="K239" s="66">
        <v>624665.72</v>
      </c>
      <c r="L239" s="251">
        <v>663000</v>
      </c>
      <c r="M239" s="63">
        <v>581522.38949999993</v>
      </c>
      <c r="N239" s="64">
        <v>598603.89809999999</v>
      </c>
      <c r="O239" s="65">
        <v>693706.91500000004</v>
      </c>
      <c r="P239" s="66">
        <v>709000</v>
      </c>
      <c r="Q239" s="66">
        <f t="shared" si="52"/>
        <v>518647.55119999999</v>
      </c>
      <c r="R239" s="63">
        <f t="shared" si="53"/>
        <v>548941.09123199992</v>
      </c>
      <c r="S239" s="83">
        <f t="shared" si="54"/>
        <v>575970.56100799993</v>
      </c>
      <c r="T239" s="64">
        <f t="shared" si="55"/>
        <v>593821.07569199998</v>
      </c>
      <c r="U239" s="66">
        <f t="shared" si="56"/>
        <v>603029.30186400004</v>
      </c>
      <c r="V239" s="63">
        <f t="shared" si="57"/>
        <v>644837.21813599998</v>
      </c>
      <c r="W239" s="83">
        <f t="shared" si="58"/>
        <v>679157.97867300012</v>
      </c>
      <c r="X239" s="64">
        <f t="shared" si="59"/>
        <v>701754.13632699999</v>
      </c>
      <c r="Z239" s="67">
        <v>516146.79</v>
      </c>
      <c r="AA239" s="68">
        <v>564270.05110000004</v>
      </c>
      <c r="AB239" s="69">
        <v>624665.72</v>
      </c>
      <c r="AC239" s="70">
        <v>663000</v>
      </c>
      <c r="AD239" s="67">
        <v>581522.38949999993</v>
      </c>
      <c r="AE239" s="68">
        <v>598603.89809999999</v>
      </c>
      <c r="AF239" s="69">
        <v>693706.91500000004</v>
      </c>
      <c r="AG239" s="70">
        <v>709000</v>
      </c>
      <c r="AH239" s="70">
        <f t="shared" si="60"/>
        <v>518647.55119999999</v>
      </c>
      <c r="AI239" s="70">
        <f t="shared" si="61"/>
        <v>550795.537992</v>
      </c>
      <c r="AJ239" s="70">
        <f t="shared" si="62"/>
        <v>576691.73474799993</v>
      </c>
      <c r="AK239" s="70">
        <f t="shared" si="63"/>
        <v>593821.07569199998</v>
      </c>
      <c r="AL239" s="70">
        <f t="shared" si="64"/>
        <v>603029.30186400004</v>
      </c>
      <c r="AM239" s="70">
        <f t="shared" si="65"/>
        <v>644837.21813599998</v>
      </c>
      <c r="AN239" s="70">
        <f t="shared" si="66"/>
        <v>679157.97867300012</v>
      </c>
      <c r="AO239" s="70">
        <f t="shared" si="67"/>
        <v>701754.13632699999</v>
      </c>
    </row>
    <row r="240" spans="1:41">
      <c r="A240" s="29" t="s">
        <v>347</v>
      </c>
      <c r="B240" s="29" t="s">
        <v>820</v>
      </c>
      <c r="C240" s="107">
        <v>505773.31</v>
      </c>
      <c r="D240" s="108">
        <v>525000</v>
      </c>
      <c r="F240" s="107">
        <v>575967.46</v>
      </c>
      <c r="G240" s="108">
        <v>525000</v>
      </c>
      <c r="I240" s="64">
        <v>575967.46</v>
      </c>
      <c r="J240" s="83">
        <v>612484.40019999992</v>
      </c>
      <c r="K240" s="66">
        <v>525000</v>
      </c>
      <c r="L240" s="251">
        <v>525000</v>
      </c>
      <c r="M240" s="63">
        <v>616221.20340000011</v>
      </c>
      <c r="N240" s="64">
        <v>621762.15780000004</v>
      </c>
      <c r="O240" s="65">
        <v>525000</v>
      </c>
      <c r="P240" s="66">
        <v>525000</v>
      </c>
      <c r="Q240" s="66">
        <f t="shared" si="52"/>
        <v>556313.098</v>
      </c>
      <c r="R240" s="63">
        <f t="shared" si="53"/>
        <v>602259.65694399993</v>
      </c>
      <c r="S240" s="83">
        <f t="shared" si="54"/>
        <v>615174.89850400004</v>
      </c>
      <c r="T240" s="64">
        <f t="shared" si="55"/>
        <v>620210.69056800008</v>
      </c>
      <c r="U240" s="66">
        <f t="shared" si="56"/>
        <v>525000</v>
      </c>
      <c r="V240" s="63">
        <f t="shared" si="57"/>
        <v>525000</v>
      </c>
      <c r="W240" s="83">
        <f t="shared" si="58"/>
        <v>525000</v>
      </c>
      <c r="X240" s="64">
        <f t="shared" si="59"/>
        <v>525000</v>
      </c>
      <c r="Z240" s="67">
        <v>575967.46</v>
      </c>
      <c r="AA240" s="68">
        <v>612484.40019999992</v>
      </c>
      <c r="AB240" s="69">
        <v>525000</v>
      </c>
      <c r="AC240" s="70">
        <v>525000</v>
      </c>
      <c r="AD240" s="67">
        <v>616221.20340000011</v>
      </c>
      <c r="AE240" s="68">
        <v>621762.15780000004</v>
      </c>
      <c r="AF240" s="69">
        <v>525000</v>
      </c>
      <c r="AG240" s="70">
        <v>525000</v>
      </c>
      <c r="AH240" s="70">
        <f t="shared" si="60"/>
        <v>556313.098</v>
      </c>
      <c r="AI240" s="70">
        <f t="shared" si="61"/>
        <v>602259.65694399993</v>
      </c>
      <c r="AJ240" s="70">
        <f t="shared" si="62"/>
        <v>615174.89850400004</v>
      </c>
      <c r="AK240" s="70">
        <f t="shared" si="63"/>
        <v>620210.69056800008</v>
      </c>
      <c r="AL240" s="70">
        <f t="shared" si="64"/>
        <v>525000</v>
      </c>
      <c r="AM240" s="70">
        <f t="shared" si="65"/>
        <v>525000</v>
      </c>
      <c r="AN240" s="70">
        <f t="shared" si="66"/>
        <v>525000</v>
      </c>
      <c r="AO240" s="70">
        <f t="shared" si="67"/>
        <v>525000</v>
      </c>
    </row>
    <row r="241" spans="1:41">
      <c r="A241" s="29" t="s">
        <v>235</v>
      </c>
      <c r="B241" s="29" t="s">
        <v>821</v>
      </c>
      <c r="C241" s="107">
        <v>743277.16</v>
      </c>
      <c r="D241" s="108">
        <v>25520460</v>
      </c>
      <c r="F241" s="107">
        <v>0</v>
      </c>
      <c r="G241" s="108">
        <v>27880220</v>
      </c>
      <c r="I241" s="64">
        <v>0</v>
      </c>
      <c r="J241" s="83">
        <v>0</v>
      </c>
      <c r="K241" s="66">
        <v>27880220</v>
      </c>
      <c r="L241" s="251">
        <v>28661551.009599999</v>
      </c>
      <c r="M241" s="63">
        <v>0</v>
      </c>
      <c r="N241" s="64">
        <v>0</v>
      </c>
      <c r="O241" s="65">
        <v>29654855.731400002</v>
      </c>
      <c r="P241" s="66">
        <v>30829673.998199999</v>
      </c>
      <c r="Q241" s="66">
        <f t="shared" si="52"/>
        <v>208117.60480000003</v>
      </c>
      <c r="R241" s="63">
        <f t="shared" si="53"/>
        <v>0</v>
      </c>
      <c r="S241" s="83">
        <f t="shared" si="54"/>
        <v>0</v>
      </c>
      <c r="T241" s="64">
        <f t="shared" si="55"/>
        <v>0</v>
      </c>
      <c r="U241" s="66">
        <f t="shared" si="56"/>
        <v>26762165.712000001</v>
      </c>
      <c r="V241" s="63">
        <f t="shared" si="57"/>
        <v>28291356.377251521</v>
      </c>
      <c r="W241" s="83">
        <f t="shared" si="58"/>
        <v>29184227.954211161</v>
      </c>
      <c r="X241" s="64">
        <f t="shared" si="59"/>
        <v>30273045.103390161</v>
      </c>
      <c r="Z241" s="67">
        <v>0</v>
      </c>
      <c r="AA241" s="68">
        <v>0</v>
      </c>
      <c r="AB241" s="69">
        <v>27880220</v>
      </c>
      <c r="AC241" s="70">
        <v>28661551.009599999</v>
      </c>
      <c r="AD241" s="67">
        <v>0</v>
      </c>
      <c r="AE241" s="68">
        <v>0</v>
      </c>
      <c r="AF241" s="69">
        <v>29654855.731400002</v>
      </c>
      <c r="AG241" s="70">
        <v>30829673.998199999</v>
      </c>
      <c r="AH241" s="70">
        <f t="shared" si="60"/>
        <v>208117.60480000003</v>
      </c>
      <c r="AI241" s="70">
        <f t="shared" si="61"/>
        <v>0</v>
      </c>
      <c r="AJ241" s="70">
        <f t="shared" si="62"/>
        <v>0</v>
      </c>
      <c r="AK241" s="70">
        <f t="shared" si="63"/>
        <v>0</v>
      </c>
      <c r="AL241" s="70">
        <f t="shared" si="64"/>
        <v>26762165.712000001</v>
      </c>
      <c r="AM241" s="70">
        <f t="shared" si="65"/>
        <v>28291356.377251521</v>
      </c>
      <c r="AN241" s="70">
        <f t="shared" si="66"/>
        <v>29184227.954211161</v>
      </c>
      <c r="AO241" s="70">
        <f t="shared" si="67"/>
        <v>30273045.103390161</v>
      </c>
    </row>
    <row r="242" spans="1:41">
      <c r="A242" s="29" t="s">
        <v>171</v>
      </c>
      <c r="B242" s="29" t="s">
        <v>822</v>
      </c>
      <c r="C242" s="107">
        <v>0</v>
      </c>
      <c r="D242" s="108">
        <v>3347945</v>
      </c>
      <c r="F242" s="107">
        <v>0</v>
      </c>
      <c r="G242" s="108">
        <v>3516049</v>
      </c>
      <c r="I242" s="64">
        <v>0</v>
      </c>
      <c r="J242" s="83">
        <v>0</v>
      </c>
      <c r="K242" s="66">
        <v>3516049</v>
      </c>
      <c r="L242" s="251">
        <v>3496218.9297999996</v>
      </c>
      <c r="M242" s="63">
        <v>0</v>
      </c>
      <c r="N242" s="64">
        <v>0</v>
      </c>
      <c r="O242" s="65">
        <v>3617397.8058000002</v>
      </c>
      <c r="P242" s="66">
        <v>3760690.0022999998</v>
      </c>
      <c r="Q242" s="66">
        <f t="shared" si="52"/>
        <v>0</v>
      </c>
      <c r="R242" s="63">
        <f t="shared" si="53"/>
        <v>0</v>
      </c>
      <c r="S242" s="83">
        <f t="shared" si="54"/>
        <v>0</v>
      </c>
      <c r="T242" s="64">
        <f t="shared" si="55"/>
        <v>0</v>
      </c>
      <c r="U242" s="66">
        <f t="shared" si="56"/>
        <v>3436401.3248000001</v>
      </c>
      <c r="V242" s="63">
        <f t="shared" si="57"/>
        <v>3505614.4170607598</v>
      </c>
      <c r="W242" s="83">
        <f t="shared" si="58"/>
        <v>3559983.2543511996</v>
      </c>
      <c r="X242" s="64">
        <f t="shared" si="59"/>
        <v>3692798.1595983002</v>
      </c>
      <c r="Z242" s="67">
        <v>0</v>
      </c>
      <c r="AA242" s="68">
        <v>0</v>
      </c>
      <c r="AB242" s="69">
        <v>3516049</v>
      </c>
      <c r="AC242" s="70">
        <v>3691852.6634</v>
      </c>
      <c r="AD242" s="67">
        <v>0</v>
      </c>
      <c r="AE242" s="68">
        <v>0</v>
      </c>
      <c r="AF242" s="69">
        <v>3617397.8058000002</v>
      </c>
      <c r="AG242" s="70">
        <v>3760690.0022999998</v>
      </c>
      <c r="AH242" s="70">
        <f t="shared" si="60"/>
        <v>0</v>
      </c>
      <c r="AI242" s="70">
        <f t="shared" si="61"/>
        <v>0</v>
      </c>
      <c r="AJ242" s="70">
        <f t="shared" si="62"/>
        <v>0</v>
      </c>
      <c r="AK242" s="70">
        <f t="shared" si="63"/>
        <v>0</v>
      </c>
      <c r="AL242" s="70">
        <f t="shared" si="64"/>
        <v>3436401.3248000001</v>
      </c>
      <c r="AM242" s="70">
        <f t="shared" si="65"/>
        <v>3608556.88768108</v>
      </c>
      <c r="AN242" s="70">
        <f t="shared" si="66"/>
        <v>3652674.5173308803</v>
      </c>
      <c r="AO242" s="70">
        <f t="shared" si="67"/>
        <v>3692798.1595983002</v>
      </c>
    </row>
    <row r="243" spans="1:41">
      <c r="A243" s="29" t="s">
        <v>313</v>
      </c>
      <c r="B243" s="29" t="s">
        <v>823</v>
      </c>
      <c r="C243" s="107">
        <v>72924.66</v>
      </c>
      <c r="D243" s="108">
        <v>597090</v>
      </c>
      <c r="F243" s="107">
        <v>11748.69</v>
      </c>
      <c r="G243" s="108">
        <v>609032</v>
      </c>
      <c r="I243" s="64">
        <v>11748.69</v>
      </c>
      <c r="J243" s="83">
        <v>173594.18599999999</v>
      </c>
      <c r="K243" s="66">
        <v>609032</v>
      </c>
      <c r="L243" s="251">
        <v>609032</v>
      </c>
      <c r="M243" s="63">
        <v>133501.47839999993</v>
      </c>
      <c r="N243" s="64">
        <v>84370.046100000051</v>
      </c>
      <c r="O243" s="65">
        <v>609032</v>
      </c>
      <c r="P243" s="66">
        <v>609032</v>
      </c>
      <c r="Q243" s="66">
        <f t="shared" si="52"/>
        <v>28877.961600000002</v>
      </c>
      <c r="R243" s="63">
        <f t="shared" si="53"/>
        <v>128277.44711999998</v>
      </c>
      <c r="S243" s="83">
        <f t="shared" si="54"/>
        <v>144727.43652799993</v>
      </c>
      <c r="T243" s="64">
        <f t="shared" si="55"/>
        <v>98126.847144000028</v>
      </c>
      <c r="U243" s="66">
        <f t="shared" si="56"/>
        <v>603373.88040000002</v>
      </c>
      <c r="V243" s="63">
        <f t="shared" si="57"/>
        <v>609032</v>
      </c>
      <c r="W243" s="83">
        <f t="shared" si="58"/>
        <v>609032</v>
      </c>
      <c r="X243" s="64">
        <f t="shared" si="59"/>
        <v>609032</v>
      </c>
      <c r="Z243" s="67">
        <v>11748.69</v>
      </c>
      <c r="AA243" s="68">
        <v>173594.18599999999</v>
      </c>
      <c r="AB243" s="69">
        <v>609032</v>
      </c>
      <c r="AC243" s="70">
        <v>609032</v>
      </c>
      <c r="AD243" s="67">
        <v>133501.47839999993</v>
      </c>
      <c r="AE243" s="68">
        <v>84370.046100000051</v>
      </c>
      <c r="AF243" s="69">
        <v>609032</v>
      </c>
      <c r="AG243" s="70">
        <v>609032</v>
      </c>
      <c r="AH243" s="70">
        <f t="shared" si="60"/>
        <v>28877.961600000002</v>
      </c>
      <c r="AI243" s="70">
        <f t="shared" si="61"/>
        <v>128277.44711999998</v>
      </c>
      <c r="AJ243" s="70">
        <f t="shared" si="62"/>
        <v>144727.43652799993</v>
      </c>
      <c r="AK243" s="70">
        <f t="shared" si="63"/>
        <v>98126.847144000028</v>
      </c>
      <c r="AL243" s="70">
        <f t="shared" si="64"/>
        <v>603373.88040000002</v>
      </c>
      <c r="AM243" s="70">
        <f t="shared" si="65"/>
        <v>609032</v>
      </c>
      <c r="AN243" s="70">
        <f t="shared" si="66"/>
        <v>609032</v>
      </c>
      <c r="AO243" s="70">
        <f t="shared" si="67"/>
        <v>609032</v>
      </c>
    </row>
    <row r="244" spans="1:41">
      <c r="A244" s="29" t="s">
        <v>451</v>
      </c>
      <c r="B244" s="29" t="s">
        <v>824</v>
      </c>
      <c r="C244" s="107">
        <v>11401178.300000001</v>
      </c>
      <c r="D244" s="108">
        <v>38000000</v>
      </c>
      <c r="F244" s="107">
        <v>7058903.8700000001</v>
      </c>
      <c r="G244" s="108">
        <v>65700000</v>
      </c>
      <c r="I244" s="64">
        <v>7058903.8700000001</v>
      </c>
      <c r="J244" s="83">
        <v>6001637.576100003</v>
      </c>
      <c r="K244" s="66">
        <v>65700000</v>
      </c>
      <c r="L244" s="251">
        <v>73800000</v>
      </c>
      <c r="M244" s="63">
        <v>4514612.8142999904</v>
      </c>
      <c r="N244" s="64">
        <v>2951917.7273999983</v>
      </c>
      <c r="O244" s="65">
        <v>80029483.397499993</v>
      </c>
      <c r="P244" s="66">
        <v>82100000</v>
      </c>
      <c r="Q244" s="66">
        <f t="shared" si="52"/>
        <v>8274740.7104000002</v>
      </c>
      <c r="R244" s="63">
        <f t="shared" si="53"/>
        <v>6297672.1383920023</v>
      </c>
      <c r="S244" s="83">
        <f t="shared" si="54"/>
        <v>4930979.7476039939</v>
      </c>
      <c r="T244" s="64">
        <f t="shared" si="55"/>
        <v>3389472.3517319961</v>
      </c>
      <c r="U244" s="66">
        <f t="shared" si="56"/>
        <v>52575740</v>
      </c>
      <c r="V244" s="63">
        <f t="shared" si="57"/>
        <v>69962220</v>
      </c>
      <c r="W244" s="83">
        <f t="shared" si="58"/>
        <v>77077954.163764507</v>
      </c>
      <c r="X244" s="64">
        <f t="shared" si="59"/>
        <v>81118989.233735502</v>
      </c>
      <c r="Z244" s="67">
        <v>7058903.8700000001</v>
      </c>
      <c r="AA244" s="68">
        <v>8553260.398199996</v>
      </c>
      <c r="AB244" s="69">
        <v>65700000</v>
      </c>
      <c r="AC244" s="70">
        <v>73800000</v>
      </c>
      <c r="AD244" s="67">
        <v>4514612.8142999904</v>
      </c>
      <c r="AE244" s="68">
        <v>2951917.7273999983</v>
      </c>
      <c r="AF244" s="69">
        <v>80029483.397499993</v>
      </c>
      <c r="AG244" s="70">
        <v>82100000</v>
      </c>
      <c r="AH244" s="70">
        <f t="shared" si="60"/>
        <v>8274740.7104000002</v>
      </c>
      <c r="AI244" s="70">
        <f t="shared" si="61"/>
        <v>8134840.570303997</v>
      </c>
      <c r="AJ244" s="70">
        <f t="shared" si="62"/>
        <v>5645434.1377919922</v>
      </c>
      <c r="AK244" s="70">
        <f t="shared" si="63"/>
        <v>3389472.3517319961</v>
      </c>
      <c r="AL244" s="70">
        <f t="shared" si="64"/>
        <v>52575740</v>
      </c>
      <c r="AM244" s="70">
        <f t="shared" si="65"/>
        <v>69962220</v>
      </c>
      <c r="AN244" s="70">
        <f t="shared" si="66"/>
        <v>77077954.163764507</v>
      </c>
      <c r="AO244" s="70">
        <f t="shared" si="67"/>
        <v>81118989.233735502</v>
      </c>
    </row>
    <row r="245" spans="1:41">
      <c r="A245" s="29" t="s">
        <v>297</v>
      </c>
      <c r="B245" s="29" t="s">
        <v>825</v>
      </c>
      <c r="C245" s="107">
        <v>0</v>
      </c>
      <c r="D245" s="108">
        <v>163955</v>
      </c>
      <c r="F245" s="107">
        <v>0</v>
      </c>
      <c r="G245" s="108">
        <v>180291</v>
      </c>
      <c r="I245" s="64">
        <v>0</v>
      </c>
      <c r="J245" s="83">
        <v>0</v>
      </c>
      <c r="K245" s="66">
        <v>180291</v>
      </c>
      <c r="L245" s="251">
        <v>195000</v>
      </c>
      <c r="M245" s="63">
        <v>0</v>
      </c>
      <c r="N245" s="64">
        <v>0</v>
      </c>
      <c r="O245" s="65">
        <v>195000</v>
      </c>
      <c r="P245" s="66">
        <v>195000</v>
      </c>
      <c r="Q245" s="66">
        <f t="shared" si="52"/>
        <v>0</v>
      </c>
      <c r="R245" s="63">
        <f t="shared" si="53"/>
        <v>0</v>
      </c>
      <c r="S245" s="83">
        <f t="shared" si="54"/>
        <v>0</v>
      </c>
      <c r="T245" s="64">
        <f t="shared" si="55"/>
        <v>0</v>
      </c>
      <c r="U245" s="66">
        <f t="shared" si="56"/>
        <v>172551.00320000001</v>
      </c>
      <c r="V245" s="63">
        <f t="shared" si="57"/>
        <v>188030.87579999998</v>
      </c>
      <c r="W245" s="83">
        <f t="shared" si="58"/>
        <v>195000</v>
      </c>
      <c r="X245" s="64">
        <f t="shared" si="59"/>
        <v>195000</v>
      </c>
      <c r="Z245" s="67">
        <v>0</v>
      </c>
      <c r="AA245" s="68">
        <v>0</v>
      </c>
      <c r="AB245" s="69">
        <v>180291</v>
      </c>
      <c r="AC245" s="70">
        <v>195000</v>
      </c>
      <c r="AD245" s="67">
        <v>0</v>
      </c>
      <c r="AE245" s="68">
        <v>0</v>
      </c>
      <c r="AF245" s="69">
        <v>195000</v>
      </c>
      <c r="AG245" s="70">
        <v>195000</v>
      </c>
      <c r="AH245" s="70">
        <f t="shared" si="60"/>
        <v>0</v>
      </c>
      <c r="AI245" s="70">
        <f t="shared" si="61"/>
        <v>0</v>
      </c>
      <c r="AJ245" s="70">
        <f t="shared" si="62"/>
        <v>0</v>
      </c>
      <c r="AK245" s="70">
        <f t="shared" si="63"/>
        <v>0</v>
      </c>
      <c r="AL245" s="70">
        <f t="shared" si="64"/>
        <v>172551.00320000001</v>
      </c>
      <c r="AM245" s="70">
        <f t="shared" si="65"/>
        <v>188030.87579999998</v>
      </c>
      <c r="AN245" s="70">
        <f t="shared" si="66"/>
        <v>195000</v>
      </c>
      <c r="AO245" s="70">
        <f t="shared" si="67"/>
        <v>195000</v>
      </c>
    </row>
    <row r="246" spans="1:41">
      <c r="A246" s="29" t="s">
        <v>577</v>
      </c>
      <c r="B246" s="29" t="s">
        <v>937</v>
      </c>
      <c r="C246" s="107">
        <v>0</v>
      </c>
      <c r="D246" s="108">
        <v>359352</v>
      </c>
      <c r="F246" s="107">
        <v>0</v>
      </c>
      <c r="G246" s="108">
        <v>375000</v>
      </c>
      <c r="I246" s="64">
        <v>0</v>
      </c>
      <c r="J246" s="83">
        <v>0</v>
      </c>
      <c r="K246" s="66">
        <v>375000</v>
      </c>
      <c r="L246" s="251">
        <v>376586.30119999999</v>
      </c>
      <c r="M246" s="63">
        <v>0</v>
      </c>
      <c r="N246" s="64">
        <v>0</v>
      </c>
      <c r="O246" s="65">
        <v>389667.20380000008</v>
      </c>
      <c r="P246" s="66">
        <v>405178.53529999993</v>
      </c>
      <c r="Q246" s="66">
        <f t="shared" si="52"/>
        <v>0</v>
      </c>
      <c r="R246" s="63">
        <f t="shared" si="53"/>
        <v>0</v>
      </c>
      <c r="S246" s="83">
        <f t="shared" si="54"/>
        <v>0</v>
      </c>
      <c r="T246" s="64">
        <f t="shared" si="55"/>
        <v>0</v>
      </c>
      <c r="U246" s="66">
        <f t="shared" si="56"/>
        <v>367585.97759999998</v>
      </c>
      <c r="V246" s="63">
        <f t="shared" si="57"/>
        <v>375834.71169143997</v>
      </c>
      <c r="W246" s="83">
        <f t="shared" si="58"/>
        <v>383469.47214812005</v>
      </c>
      <c r="X246" s="64">
        <f t="shared" si="59"/>
        <v>397829.2664353</v>
      </c>
      <c r="Z246" s="67">
        <v>0</v>
      </c>
      <c r="AA246" s="68">
        <v>0</v>
      </c>
      <c r="AB246" s="69">
        <v>375000</v>
      </c>
      <c r="AC246" s="70">
        <v>394462.77979999996</v>
      </c>
      <c r="AD246" s="67">
        <v>0</v>
      </c>
      <c r="AE246" s="68">
        <v>0</v>
      </c>
      <c r="AF246" s="69">
        <v>389667.20380000008</v>
      </c>
      <c r="AG246" s="70">
        <v>405178.53529999993</v>
      </c>
      <c r="AH246" s="70">
        <f t="shared" si="60"/>
        <v>0</v>
      </c>
      <c r="AI246" s="70">
        <f t="shared" si="61"/>
        <v>0</v>
      </c>
      <c r="AJ246" s="70">
        <f t="shared" si="62"/>
        <v>0</v>
      </c>
      <c r="AK246" s="70">
        <f t="shared" si="63"/>
        <v>0</v>
      </c>
      <c r="AL246" s="70">
        <f t="shared" si="64"/>
        <v>367585.97759999998</v>
      </c>
      <c r="AM246" s="70">
        <f t="shared" si="65"/>
        <v>385241.31473075994</v>
      </c>
      <c r="AN246" s="70">
        <f t="shared" si="66"/>
        <v>391939.34770879999</v>
      </c>
      <c r="AO246" s="70">
        <f t="shared" si="67"/>
        <v>397829.2664353</v>
      </c>
    </row>
    <row r="247" spans="1:41">
      <c r="A247" s="29" t="s">
        <v>449</v>
      </c>
      <c r="B247" s="29" t="s">
        <v>826</v>
      </c>
      <c r="C247" s="107">
        <v>0</v>
      </c>
      <c r="D247" s="108">
        <v>12314373</v>
      </c>
      <c r="F247" s="107">
        <v>0</v>
      </c>
      <c r="G247" s="108">
        <v>12967481</v>
      </c>
      <c r="I247" s="64">
        <v>0</v>
      </c>
      <c r="J247" s="83">
        <v>0</v>
      </c>
      <c r="K247" s="66">
        <v>12967481</v>
      </c>
      <c r="L247" s="251">
        <v>13134289.262399999</v>
      </c>
      <c r="M247" s="63">
        <v>0</v>
      </c>
      <c r="N247" s="64">
        <v>0</v>
      </c>
      <c r="O247" s="65">
        <v>13589739.253600001</v>
      </c>
      <c r="P247" s="66">
        <v>14128502.534299999</v>
      </c>
      <c r="Q247" s="66">
        <f t="shared" si="52"/>
        <v>0</v>
      </c>
      <c r="R247" s="63">
        <f t="shared" si="53"/>
        <v>0</v>
      </c>
      <c r="S247" s="83">
        <f t="shared" si="54"/>
        <v>0</v>
      </c>
      <c r="T247" s="64">
        <f t="shared" si="55"/>
        <v>0</v>
      </c>
      <c r="U247" s="66">
        <f t="shared" si="56"/>
        <v>12658038.4296</v>
      </c>
      <c r="V247" s="63">
        <f t="shared" si="57"/>
        <v>13055255.50767488</v>
      </c>
      <c r="W247" s="83">
        <f t="shared" si="58"/>
        <v>13373947.04776944</v>
      </c>
      <c r="X247" s="64">
        <f t="shared" si="59"/>
        <v>13873236.491904341</v>
      </c>
      <c r="Z247" s="67">
        <v>0</v>
      </c>
      <c r="AA247" s="68">
        <v>0</v>
      </c>
      <c r="AB247" s="69">
        <v>12967481</v>
      </c>
      <c r="AC247" s="70">
        <v>13636010.913799999</v>
      </c>
      <c r="AD247" s="67">
        <v>0</v>
      </c>
      <c r="AE247" s="68">
        <v>0</v>
      </c>
      <c r="AF247" s="69">
        <v>13589739.253600001</v>
      </c>
      <c r="AG247" s="70">
        <v>14128502.534299999</v>
      </c>
      <c r="AH247" s="70">
        <f t="shared" si="60"/>
        <v>0</v>
      </c>
      <c r="AI247" s="70">
        <f t="shared" si="61"/>
        <v>0</v>
      </c>
      <c r="AJ247" s="70">
        <f t="shared" si="62"/>
        <v>0</v>
      </c>
      <c r="AK247" s="70">
        <f t="shared" si="63"/>
        <v>0</v>
      </c>
      <c r="AL247" s="70">
        <f t="shared" si="64"/>
        <v>12658038.4296</v>
      </c>
      <c r="AM247" s="70">
        <f t="shared" si="65"/>
        <v>13319261.44064156</v>
      </c>
      <c r="AN247" s="70">
        <f t="shared" si="66"/>
        <v>13611662.766202759</v>
      </c>
      <c r="AO247" s="70">
        <f t="shared" si="67"/>
        <v>13873236.491904341</v>
      </c>
    </row>
    <row r="248" spans="1:41">
      <c r="A248" s="29" t="s">
        <v>115</v>
      </c>
      <c r="B248" s="29" t="s">
        <v>902</v>
      </c>
      <c r="C248" s="107">
        <v>0</v>
      </c>
      <c r="D248" s="108">
        <v>0</v>
      </c>
      <c r="F248" s="107">
        <v>0</v>
      </c>
      <c r="G248" s="108">
        <v>0</v>
      </c>
      <c r="I248" s="64">
        <v>0</v>
      </c>
      <c r="J248" s="83">
        <v>0</v>
      </c>
      <c r="K248" s="66">
        <v>0</v>
      </c>
      <c r="L248" s="251">
        <v>0</v>
      </c>
      <c r="M248" s="63">
        <v>0</v>
      </c>
      <c r="N248" s="64">
        <v>0</v>
      </c>
      <c r="O248" s="65">
        <v>0</v>
      </c>
      <c r="P248" s="66">
        <v>0</v>
      </c>
      <c r="Q248" s="66">
        <f t="shared" si="52"/>
        <v>0</v>
      </c>
      <c r="R248" s="63">
        <f t="shared" si="53"/>
        <v>0</v>
      </c>
      <c r="S248" s="83">
        <f t="shared" si="54"/>
        <v>0</v>
      </c>
      <c r="T248" s="64">
        <f t="shared" si="55"/>
        <v>0</v>
      </c>
      <c r="U248" s="66">
        <f t="shared" si="56"/>
        <v>0</v>
      </c>
      <c r="V248" s="63">
        <f t="shared" si="57"/>
        <v>0</v>
      </c>
      <c r="W248" s="83">
        <f t="shared" si="58"/>
        <v>0</v>
      </c>
      <c r="X248" s="64">
        <f t="shared" si="59"/>
        <v>0</v>
      </c>
      <c r="Z248" s="67">
        <v>0</v>
      </c>
      <c r="AA248" s="68">
        <v>0</v>
      </c>
      <c r="AB248" s="69">
        <v>0</v>
      </c>
      <c r="AC248" s="70">
        <v>0</v>
      </c>
      <c r="AD248" s="67">
        <v>0</v>
      </c>
      <c r="AE248" s="68">
        <v>0</v>
      </c>
      <c r="AF248" s="69">
        <v>0</v>
      </c>
      <c r="AG248" s="70">
        <v>0</v>
      </c>
      <c r="AH248" s="70">
        <f t="shared" si="60"/>
        <v>0</v>
      </c>
      <c r="AI248" s="70">
        <f t="shared" si="61"/>
        <v>0</v>
      </c>
      <c r="AJ248" s="70">
        <f t="shared" si="62"/>
        <v>0</v>
      </c>
      <c r="AK248" s="70">
        <f t="shared" si="63"/>
        <v>0</v>
      </c>
      <c r="AL248" s="70">
        <f t="shared" si="64"/>
        <v>0</v>
      </c>
      <c r="AM248" s="70">
        <f t="shared" si="65"/>
        <v>0</v>
      </c>
      <c r="AN248" s="70">
        <f t="shared" si="66"/>
        <v>0</v>
      </c>
      <c r="AO248" s="70">
        <f t="shared" si="67"/>
        <v>0</v>
      </c>
    </row>
    <row r="249" spans="1:41">
      <c r="A249" s="29" t="s">
        <v>75</v>
      </c>
      <c r="B249" s="29" t="s">
        <v>903</v>
      </c>
      <c r="C249" s="107">
        <v>0</v>
      </c>
      <c r="D249" s="108">
        <v>0</v>
      </c>
      <c r="F249" s="107">
        <v>0</v>
      </c>
      <c r="G249" s="108">
        <v>0</v>
      </c>
      <c r="I249" s="64">
        <v>0</v>
      </c>
      <c r="J249" s="83">
        <v>0</v>
      </c>
      <c r="K249" s="66">
        <v>0</v>
      </c>
      <c r="L249" s="251">
        <v>0</v>
      </c>
      <c r="M249" s="63">
        <v>0</v>
      </c>
      <c r="N249" s="64">
        <v>0</v>
      </c>
      <c r="O249" s="65">
        <v>0</v>
      </c>
      <c r="P249" s="66">
        <v>0</v>
      </c>
      <c r="Q249" s="66">
        <f t="shared" si="52"/>
        <v>0</v>
      </c>
      <c r="R249" s="63">
        <f t="shared" si="53"/>
        <v>0</v>
      </c>
      <c r="S249" s="83">
        <f t="shared" si="54"/>
        <v>0</v>
      </c>
      <c r="T249" s="64">
        <f t="shared" si="55"/>
        <v>0</v>
      </c>
      <c r="U249" s="66">
        <f t="shared" si="56"/>
        <v>0</v>
      </c>
      <c r="V249" s="63">
        <f t="shared" si="57"/>
        <v>0</v>
      </c>
      <c r="W249" s="83">
        <f t="shared" si="58"/>
        <v>0</v>
      </c>
      <c r="X249" s="64">
        <f t="shared" si="59"/>
        <v>0</v>
      </c>
      <c r="Z249" s="67">
        <v>0</v>
      </c>
      <c r="AA249" s="68">
        <v>0</v>
      </c>
      <c r="AB249" s="69">
        <v>0</v>
      </c>
      <c r="AC249" s="70">
        <v>0</v>
      </c>
      <c r="AD249" s="67">
        <v>0</v>
      </c>
      <c r="AE249" s="68">
        <v>0</v>
      </c>
      <c r="AF249" s="69">
        <v>0</v>
      </c>
      <c r="AG249" s="70">
        <v>0</v>
      </c>
      <c r="AH249" s="70">
        <f t="shared" si="60"/>
        <v>0</v>
      </c>
      <c r="AI249" s="70">
        <f t="shared" si="61"/>
        <v>0</v>
      </c>
      <c r="AJ249" s="70">
        <f t="shared" si="62"/>
        <v>0</v>
      </c>
      <c r="AK249" s="70">
        <f t="shared" si="63"/>
        <v>0</v>
      </c>
      <c r="AL249" s="70">
        <f t="shared" si="64"/>
        <v>0</v>
      </c>
      <c r="AM249" s="70">
        <f t="shared" si="65"/>
        <v>0</v>
      </c>
      <c r="AN249" s="70">
        <f t="shared" si="66"/>
        <v>0</v>
      </c>
      <c r="AO249" s="70">
        <f t="shared" si="67"/>
        <v>0</v>
      </c>
    </row>
    <row r="250" spans="1:41">
      <c r="A250" s="29" t="s">
        <v>31</v>
      </c>
      <c r="B250" s="29" t="s">
        <v>907</v>
      </c>
      <c r="C250" s="107">
        <v>0</v>
      </c>
      <c r="D250" s="108">
        <v>0</v>
      </c>
      <c r="F250" s="107">
        <v>0</v>
      </c>
      <c r="G250" s="108">
        <v>0</v>
      </c>
      <c r="I250" s="64">
        <v>0</v>
      </c>
      <c r="J250" s="83">
        <v>0</v>
      </c>
      <c r="K250" s="66">
        <v>0</v>
      </c>
      <c r="L250" s="251">
        <v>0</v>
      </c>
      <c r="M250" s="63">
        <v>0</v>
      </c>
      <c r="N250" s="64">
        <v>0</v>
      </c>
      <c r="O250" s="65">
        <v>0</v>
      </c>
      <c r="P250" s="66">
        <v>0</v>
      </c>
      <c r="Q250" s="66">
        <f t="shared" si="52"/>
        <v>0</v>
      </c>
      <c r="R250" s="63">
        <f t="shared" si="53"/>
        <v>0</v>
      </c>
      <c r="S250" s="83">
        <f t="shared" si="54"/>
        <v>0</v>
      </c>
      <c r="T250" s="64">
        <f t="shared" si="55"/>
        <v>0</v>
      </c>
      <c r="U250" s="66">
        <f t="shared" si="56"/>
        <v>0</v>
      </c>
      <c r="V250" s="63">
        <f t="shared" si="57"/>
        <v>0</v>
      </c>
      <c r="W250" s="83">
        <f t="shared" si="58"/>
        <v>0</v>
      </c>
      <c r="X250" s="64">
        <f t="shared" si="59"/>
        <v>0</v>
      </c>
      <c r="Z250" s="67">
        <v>0</v>
      </c>
      <c r="AA250" s="68">
        <v>0</v>
      </c>
      <c r="AB250" s="69">
        <v>0</v>
      </c>
      <c r="AC250" s="70">
        <v>0</v>
      </c>
      <c r="AD250" s="67">
        <v>0</v>
      </c>
      <c r="AE250" s="68">
        <v>0</v>
      </c>
      <c r="AF250" s="69">
        <v>0</v>
      </c>
      <c r="AG250" s="70">
        <v>0</v>
      </c>
      <c r="AH250" s="70">
        <f t="shared" si="60"/>
        <v>0</v>
      </c>
      <c r="AI250" s="70">
        <f t="shared" si="61"/>
        <v>0</v>
      </c>
      <c r="AJ250" s="70">
        <f t="shared" si="62"/>
        <v>0</v>
      </c>
      <c r="AK250" s="70">
        <f t="shared" si="63"/>
        <v>0</v>
      </c>
      <c r="AL250" s="70">
        <f t="shared" si="64"/>
        <v>0</v>
      </c>
      <c r="AM250" s="70">
        <f t="shared" si="65"/>
        <v>0</v>
      </c>
      <c r="AN250" s="70">
        <f t="shared" si="66"/>
        <v>0</v>
      </c>
      <c r="AO250" s="70">
        <f t="shared" si="67"/>
        <v>0</v>
      </c>
    </row>
    <row r="251" spans="1:41">
      <c r="A251" s="29" t="s">
        <v>361</v>
      </c>
      <c r="B251" s="29" t="s">
        <v>827</v>
      </c>
      <c r="C251" s="107">
        <v>0</v>
      </c>
      <c r="D251" s="108">
        <v>6025000</v>
      </c>
      <c r="F251" s="107">
        <v>0</v>
      </c>
      <c r="G251" s="108">
        <v>6625000</v>
      </c>
      <c r="I251" s="64">
        <v>0</v>
      </c>
      <c r="J251" s="83">
        <v>0</v>
      </c>
      <c r="K251" s="66">
        <v>6625000</v>
      </c>
      <c r="L251" s="251">
        <v>6625000</v>
      </c>
      <c r="M251" s="63">
        <v>0</v>
      </c>
      <c r="N251" s="64">
        <v>0</v>
      </c>
      <c r="O251" s="65">
        <v>6625000</v>
      </c>
      <c r="P251" s="66">
        <v>6625000</v>
      </c>
      <c r="Q251" s="66">
        <f t="shared" si="52"/>
        <v>0</v>
      </c>
      <c r="R251" s="63">
        <f t="shared" si="53"/>
        <v>0</v>
      </c>
      <c r="S251" s="83">
        <f t="shared" si="54"/>
        <v>0</v>
      </c>
      <c r="T251" s="64">
        <f t="shared" si="55"/>
        <v>0</v>
      </c>
      <c r="U251" s="66">
        <f t="shared" si="56"/>
        <v>6340720</v>
      </c>
      <c r="V251" s="63">
        <f t="shared" si="57"/>
        <v>6625000</v>
      </c>
      <c r="W251" s="83">
        <f t="shared" si="58"/>
        <v>6625000</v>
      </c>
      <c r="X251" s="64">
        <f t="shared" si="59"/>
        <v>6625000</v>
      </c>
      <c r="Z251" s="67">
        <v>0</v>
      </c>
      <c r="AA251" s="68">
        <v>0</v>
      </c>
      <c r="AB251" s="69">
        <v>6625000</v>
      </c>
      <c r="AC251" s="70">
        <v>6625000</v>
      </c>
      <c r="AD251" s="67">
        <v>0</v>
      </c>
      <c r="AE251" s="68">
        <v>0</v>
      </c>
      <c r="AF251" s="69">
        <v>6625000</v>
      </c>
      <c r="AG251" s="70">
        <v>6625000</v>
      </c>
      <c r="AH251" s="70">
        <f t="shared" si="60"/>
        <v>0</v>
      </c>
      <c r="AI251" s="70">
        <f t="shared" si="61"/>
        <v>0</v>
      </c>
      <c r="AJ251" s="70">
        <f t="shared" si="62"/>
        <v>0</v>
      </c>
      <c r="AK251" s="70">
        <f t="shared" si="63"/>
        <v>0</v>
      </c>
      <c r="AL251" s="70">
        <f t="shared" si="64"/>
        <v>6340720</v>
      </c>
      <c r="AM251" s="70">
        <f t="shared" si="65"/>
        <v>6625000</v>
      </c>
      <c r="AN251" s="70">
        <f t="shared" si="66"/>
        <v>6625000</v>
      </c>
      <c r="AO251" s="70">
        <f t="shared" si="67"/>
        <v>6625000</v>
      </c>
    </row>
    <row r="252" spans="1:41">
      <c r="A252" s="29" t="s">
        <v>569</v>
      </c>
      <c r="B252" s="29" t="s">
        <v>875</v>
      </c>
      <c r="C252" s="107">
        <v>25972.99</v>
      </c>
      <c r="D252" s="108">
        <v>110000</v>
      </c>
      <c r="F252" s="107">
        <v>12230.33</v>
      </c>
      <c r="G252" s="108">
        <v>110000</v>
      </c>
      <c r="I252" s="64">
        <v>12230.33</v>
      </c>
      <c r="J252" s="83">
        <v>23489.025000000005</v>
      </c>
      <c r="K252" s="66">
        <v>110000</v>
      </c>
      <c r="L252" s="251">
        <v>110000</v>
      </c>
      <c r="M252" s="63">
        <v>24011.949000000008</v>
      </c>
      <c r="N252" s="64">
        <v>22954.213500000002</v>
      </c>
      <c r="O252" s="65">
        <v>110000</v>
      </c>
      <c r="P252" s="66">
        <v>110000</v>
      </c>
      <c r="Q252" s="66">
        <f t="shared" si="52"/>
        <v>16078.274799999999</v>
      </c>
      <c r="R252" s="63">
        <f t="shared" si="53"/>
        <v>20336.590400000001</v>
      </c>
      <c r="S252" s="83">
        <f t="shared" si="54"/>
        <v>23865.53028000001</v>
      </c>
      <c r="T252" s="64">
        <f t="shared" si="55"/>
        <v>23250.379440000004</v>
      </c>
      <c r="U252" s="66">
        <f t="shared" si="56"/>
        <v>110000</v>
      </c>
      <c r="V252" s="63">
        <f t="shared" si="57"/>
        <v>110000</v>
      </c>
      <c r="W252" s="83">
        <f t="shared" si="58"/>
        <v>110000</v>
      </c>
      <c r="X252" s="64">
        <f t="shared" si="59"/>
        <v>110000</v>
      </c>
      <c r="Z252" s="67">
        <v>12230.33</v>
      </c>
      <c r="AA252" s="68">
        <v>25087.686000000002</v>
      </c>
      <c r="AB252" s="69">
        <v>110000</v>
      </c>
      <c r="AC252" s="70">
        <v>110000</v>
      </c>
      <c r="AD252" s="67">
        <v>24011.949000000008</v>
      </c>
      <c r="AE252" s="68">
        <v>22954.213500000002</v>
      </c>
      <c r="AF252" s="69">
        <v>110000</v>
      </c>
      <c r="AG252" s="70">
        <v>110000</v>
      </c>
      <c r="AH252" s="70">
        <f t="shared" si="60"/>
        <v>16078.274799999999</v>
      </c>
      <c r="AI252" s="70">
        <f t="shared" si="61"/>
        <v>21487.626319999999</v>
      </c>
      <c r="AJ252" s="70">
        <f t="shared" si="62"/>
        <v>24313.155360000008</v>
      </c>
      <c r="AK252" s="70">
        <f t="shared" si="63"/>
        <v>23250.379440000004</v>
      </c>
      <c r="AL252" s="70">
        <f t="shared" si="64"/>
        <v>110000</v>
      </c>
      <c r="AM252" s="70">
        <f t="shared" si="65"/>
        <v>110000</v>
      </c>
      <c r="AN252" s="70">
        <f t="shared" si="66"/>
        <v>110000</v>
      </c>
      <c r="AO252" s="70">
        <f t="shared" si="67"/>
        <v>110000</v>
      </c>
    </row>
    <row r="253" spans="1:41">
      <c r="A253" s="29" t="s">
        <v>421</v>
      </c>
      <c r="B253" s="29" t="s">
        <v>828</v>
      </c>
      <c r="C253" s="107">
        <v>0</v>
      </c>
      <c r="D253" s="108">
        <v>2100000</v>
      </c>
      <c r="F253" s="107">
        <v>0</v>
      </c>
      <c r="G253" s="108">
        <v>2210000</v>
      </c>
      <c r="I253" s="64">
        <v>0</v>
      </c>
      <c r="J253" s="83">
        <v>0</v>
      </c>
      <c r="K253" s="66">
        <v>2210000</v>
      </c>
      <c r="L253" s="251">
        <v>2300000</v>
      </c>
      <c r="M253" s="63">
        <v>0</v>
      </c>
      <c r="N253" s="64">
        <v>0</v>
      </c>
      <c r="O253" s="65">
        <v>2300000</v>
      </c>
      <c r="P253" s="66">
        <v>2300000</v>
      </c>
      <c r="Q253" s="66">
        <f t="shared" si="52"/>
        <v>0</v>
      </c>
      <c r="R253" s="63">
        <f t="shared" si="53"/>
        <v>0</v>
      </c>
      <c r="S253" s="83">
        <f t="shared" si="54"/>
        <v>0</v>
      </c>
      <c r="T253" s="64">
        <f t="shared" si="55"/>
        <v>0</v>
      </c>
      <c r="U253" s="66">
        <f t="shared" si="56"/>
        <v>2157882</v>
      </c>
      <c r="V253" s="63">
        <f t="shared" si="57"/>
        <v>2257358</v>
      </c>
      <c r="W253" s="83">
        <f t="shared" si="58"/>
        <v>2300000</v>
      </c>
      <c r="X253" s="64">
        <f t="shared" si="59"/>
        <v>2300000</v>
      </c>
      <c r="Z253" s="67">
        <v>0</v>
      </c>
      <c r="AA253" s="68">
        <v>0</v>
      </c>
      <c r="AB253" s="69">
        <v>2210000</v>
      </c>
      <c r="AC253" s="70">
        <v>2300000</v>
      </c>
      <c r="AD253" s="67">
        <v>0</v>
      </c>
      <c r="AE253" s="68">
        <v>0</v>
      </c>
      <c r="AF253" s="69">
        <v>2300000</v>
      </c>
      <c r="AG253" s="70">
        <v>2300000</v>
      </c>
      <c r="AH253" s="70">
        <f t="shared" si="60"/>
        <v>0</v>
      </c>
      <c r="AI253" s="70">
        <f t="shared" si="61"/>
        <v>0</v>
      </c>
      <c r="AJ253" s="70">
        <f t="shared" si="62"/>
        <v>0</v>
      </c>
      <c r="AK253" s="70">
        <f t="shared" si="63"/>
        <v>0</v>
      </c>
      <c r="AL253" s="70">
        <f t="shared" si="64"/>
        <v>2157882</v>
      </c>
      <c r="AM253" s="70">
        <f t="shared" si="65"/>
        <v>2257358</v>
      </c>
      <c r="AN253" s="70">
        <f t="shared" si="66"/>
        <v>2300000</v>
      </c>
      <c r="AO253" s="70">
        <f t="shared" si="67"/>
        <v>2300000</v>
      </c>
    </row>
    <row r="254" spans="1:41">
      <c r="A254" s="29" t="s">
        <v>443</v>
      </c>
      <c r="B254" s="29" t="s">
        <v>829</v>
      </c>
      <c r="C254" s="107">
        <v>184230.55</v>
      </c>
      <c r="D254" s="108">
        <v>3083775</v>
      </c>
      <c r="F254" s="107">
        <v>0</v>
      </c>
      <c r="G254" s="108">
        <v>3515504</v>
      </c>
      <c r="I254" s="64">
        <v>0</v>
      </c>
      <c r="J254" s="83">
        <v>0</v>
      </c>
      <c r="K254" s="66">
        <v>3515504</v>
      </c>
      <c r="L254" s="251">
        <v>3515504</v>
      </c>
      <c r="M254" s="63">
        <v>0</v>
      </c>
      <c r="N254" s="64">
        <v>0</v>
      </c>
      <c r="O254" s="65">
        <v>3515504</v>
      </c>
      <c r="P254" s="66">
        <v>3515504</v>
      </c>
      <c r="Q254" s="66">
        <f t="shared" si="52"/>
        <v>51584.554000000004</v>
      </c>
      <c r="R254" s="63">
        <f t="shared" si="53"/>
        <v>0</v>
      </c>
      <c r="S254" s="83">
        <f t="shared" si="54"/>
        <v>0</v>
      </c>
      <c r="T254" s="64">
        <f t="shared" si="55"/>
        <v>0</v>
      </c>
      <c r="U254" s="66">
        <f t="shared" si="56"/>
        <v>3310950.7998000002</v>
      </c>
      <c r="V254" s="63">
        <f t="shared" si="57"/>
        <v>3515504</v>
      </c>
      <c r="W254" s="83">
        <f t="shared" si="58"/>
        <v>3515504</v>
      </c>
      <c r="X254" s="64">
        <f t="shared" si="59"/>
        <v>3515504</v>
      </c>
      <c r="Z254" s="67">
        <v>0</v>
      </c>
      <c r="AA254" s="68">
        <v>0</v>
      </c>
      <c r="AB254" s="69">
        <v>3515504</v>
      </c>
      <c r="AC254" s="70">
        <v>3515504</v>
      </c>
      <c r="AD254" s="67">
        <v>0</v>
      </c>
      <c r="AE254" s="68">
        <v>0</v>
      </c>
      <c r="AF254" s="69">
        <v>3515504</v>
      </c>
      <c r="AG254" s="70">
        <v>3515504</v>
      </c>
      <c r="AH254" s="70">
        <f t="shared" si="60"/>
        <v>51584.554000000004</v>
      </c>
      <c r="AI254" s="70">
        <f t="shared" si="61"/>
        <v>0</v>
      </c>
      <c r="AJ254" s="70">
        <f t="shared" si="62"/>
        <v>0</v>
      </c>
      <c r="AK254" s="70">
        <f t="shared" si="63"/>
        <v>0</v>
      </c>
      <c r="AL254" s="70">
        <f t="shared" si="64"/>
        <v>3310950.7998000002</v>
      </c>
      <c r="AM254" s="70">
        <f t="shared" si="65"/>
        <v>3515504</v>
      </c>
      <c r="AN254" s="70">
        <f t="shared" si="66"/>
        <v>3515504</v>
      </c>
      <c r="AO254" s="70">
        <f t="shared" si="67"/>
        <v>3515504</v>
      </c>
    </row>
    <row r="255" spans="1:41">
      <c r="A255" s="29" t="s">
        <v>495</v>
      </c>
      <c r="B255" s="29" t="s">
        <v>878</v>
      </c>
      <c r="C255" s="107">
        <v>58557.15</v>
      </c>
      <c r="D255" s="108">
        <v>93000</v>
      </c>
      <c r="F255" s="107">
        <v>53356.02</v>
      </c>
      <c r="G255" s="108">
        <v>94500</v>
      </c>
      <c r="I255" s="64">
        <v>53356.02</v>
      </c>
      <c r="J255" s="83">
        <v>86314.16541999999</v>
      </c>
      <c r="K255" s="66">
        <v>94500</v>
      </c>
      <c r="L255" s="251">
        <v>96500</v>
      </c>
      <c r="M255" s="63">
        <v>85593.037449999974</v>
      </c>
      <c r="N255" s="64">
        <v>88345.370880000002</v>
      </c>
      <c r="O255" s="65">
        <v>98500</v>
      </c>
      <c r="P255" s="66">
        <v>101500</v>
      </c>
      <c r="Q255" s="66">
        <f t="shared" si="52"/>
        <v>54812.3364</v>
      </c>
      <c r="R255" s="63">
        <f t="shared" si="53"/>
        <v>77085.884702399984</v>
      </c>
      <c r="S255" s="83">
        <f t="shared" si="54"/>
        <v>85794.953281599985</v>
      </c>
      <c r="T255" s="64">
        <f t="shared" si="55"/>
        <v>87574.717519600003</v>
      </c>
      <c r="U255" s="66">
        <f t="shared" si="56"/>
        <v>93789.3</v>
      </c>
      <c r="V255" s="63">
        <f t="shared" si="57"/>
        <v>95552.4</v>
      </c>
      <c r="W255" s="83">
        <f t="shared" si="58"/>
        <v>97552.4</v>
      </c>
      <c r="X255" s="64">
        <f t="shared" si="59"/>
        <v>100078.6</v>
      </c>
      <c r="Z255" s="67">
        <v>53356.02</v>
      </c>
      <c r="AA255" s="68">
        <v>86314.16541999999</v>
      </c>
      <c r="AB255" s="69">
        <v>94500</v>
      </c>
      <c r="AC255" s="70">
        <v>96500</v>
      </c>
      <c r="AD255" s="67">
        <v>85593.037449999974</v>
      </c>
      <c r="AE255" s="68">
        <v>88345.370880000002</v>
      </c>
      <c r="AF255" s="69">
        <v>98500</v>
      </c>
      <c r="AG255" s="70">
        <v>101500</v>
      </c>
      <c r="AH255" s="70">
        <f t="shared" si="60"/>
        <v>54812.3364</v>
      </c>
      <c r="AI255" s="70">
        <f t="shared" si="61"/>
        <v>77085.884702399984</v>
      </c>
      <c r="AJ255" s="70">
        <f t="shared" si="62"/>
        <v>85794.953281599985</v>
      </c>
      <c r="AK255" s="70">
        <f t="shared" si="63"/>
        <v>87574.717519600003</v>
      </c>
      <c r="AL255" s="70">
        <f t="shared" si="64"/>
        <v>93789.3</v>
      </c>
      <c r="AM255" s="70">
        <f t="shared" si="65"/>
        <v>95552.4</v>
      </c>
      <c r="AN255" s="70">
        <f t="shared" si="66"/>
        <v>97552.4</v>
      </c>
      <c r="AO255" s="70">
        <f t="shared" si="67"/>
        <v>100078.6</v>
      </c>
    </row>
    <row r="256" spans="1:41">
      <c r="A256" s="29" t="s">
        <v>371</v>
      </c>
      <c r="B256" s="29" t="s">
        <v>830</v>
      </c>
      <c r="C256" s="107">
        <v>0</v>
      </c>
      <c r="D256" s="108">
        <v>28000000</v>
      </c>
      <c r="F256" s="107">
        <v>0</v>
      </c>
      <c r="G256" s="108">
        <v>32500000</v>
      </c>
      <c r="I256" s="64">
        <v>0</v>
      </c>
      <c r="J256" s="83">
        <v>0</v>
      </c>
      <c r="K256" s="66">
        <v>32500000</v>
      </c>
      <c r="L256" s="251">
        <v>25897461.6776</v>
      </c>
      <c r="M256" s="63">
        <v>0</v>
      </c>
      <c r="N256" s="64">
        <v>0</v>
      </c>
      <c r="O256" s="65">
        <v>26807886.8299</v>
      </c>
      <c r="P256" s="66">
        <v>27886940.604599997</v>
      </c>
      <c r="Q256" s="66">
        <f t="shared" si="52"/>
        <v>0</v>
      </c>
      <c r="R256" s="63">
        <f t="shared" si="53"/>
        <v>0</v>
      </c>
      <c r="S256" s="83">
        <f t="shared" si="54"/>
        <v>0</v>
      </c>
      <c r="T256" s="64">
        <f t="shared" si="55"/>
        <v>0</v>
      </c>
      <c r="U256" s="66">
        <f t="shared" si="56"/>
        <v>30367900</v>
      </c>
      <c r="V256" s="63">
        <f t="shared" si="57"/>
        <v>29025744.334753118</v>
      </c>
      <c r="W256" s="83">
        <f t="shared" si="58"/>
        <v>26376527.392740261</v>
      </c>
      <c r="X256" s="64">
        <f t="shared" si="59"/>
        <v>27375684.926147141</v>
      </c>
      <c r="Z256" s="67">
        <v>0</v>
      </c>
      <c r="AA256" s="68">
        <v>0</v>
      </c>
      <c r="AB256" s="69">
        <v>32500000</v>
      </c>
      <c r="AC256" s="70">
        <v>28503656.508599997</v>
      </c>
      <c r="AD256" s="67">
        <v>0</v>
      </c>
      <c r="AE256" s="68">
        <v>0</v>
      </c>
      <c r="AF256" s="69">
        <v>26807886.8299</v>
      </c>
      <c r="AG256" s="70">
        <v>27886940.604599997</v>
      </c>
      <c r="AH256" s="70">
        <f t="shared" si="60"/>
        <v>0</v>
      </c>
      <c r="AI256" s="70">
        <f t="shared" si="61"/>
        <v>0</v>
      </c>
      <c r="AJ256" s="70">
        <f t="shared" si="62"/>
        <v>0</v>
      </c>
      <c r="AK256" s="70">
        <f t="shared" si="63"/>
        <v>0</v>
      </c>
      <c r="AL256" s="70">
        <f t="shared" si="64"/>
        <v>30367900</v>
      </c>
      <c r="AM256" s="70">
        <f t="shared" si="65"/>
        <v>30397124.054825321</v>
      </c>
      <c r="AN256" s="70">
        <f t="shared" si="66"/>
        <v>27611342.503668059</v>
      </c>
      <c r="AO256" s="70">
        <f t="shared" si="67"/>
        <v>27375684.926147141</v>
      </c>
    </row>
    <row r="257" spans="1:41">
      <c r="A257" s="29" t="s">
        <v>595</v>
      </c>
      <c r="B257" s="29" t="s">
        <v>831</v>
      </c>
      <c r="C257" s="107">
        <v>8209895.96</v>
      </c>
      <c r="D257" s="108">
        <v>2800000</v>
      </c>
      <c r="F257" s="107">
        <v>8430840.6600000001</v>
      </c>
      <c r="G257" s="108">
        <v>3100000</v>
      </c>
      <c r="I257" s="64">
        <v>8430840.6600000001</v>
      </c>
      <c r="J257" s="83">
        <v>8876663.1799999997</v>
      </c>
      <c r="K257" s="66">
        <v>3100000</v>
      </c>
      <c r="L257" s="251">
        <v>3400000</v>
      </c>
      <c r="M257" s="63">
        <v>9107835.1475999989</v>
      </c>
      <c r="N257" s="64">
        <v>9422704.5770999976</v>
      </c>
      <c r="O257" s="65">
        <v>3700000</v>
      </c>
      <c r="P257" s="66">
        <v>3700000</v>
      </c>
      <c r="Q257" s="66">
        <f t="shared" si="52"/>
        <v>8368976.1440000003</v>
      </c>
      <c r="R257" s="63">
        <f t="shared" si="53"/>
        <v>8751832.874400001</v>
      </c>
      <c r="S257" s="83">
        <f t="shared" si="54"/>
        <v>9043106.9966719989</v>
      </c>
      <c r="T257" s="64">
        <f t="shared" si="55"/>
        <v>9334541.136839997</v>
      </c>
      <c r="U257" s="66">
        <f t="shared" si="56"/>
        <v>2957860</v>
      </c>
      <c r="V257" s="63">
        <f t="shared" si="57"/>
        <v>3257860</v>
      </c>
      <c r="W257" s="83">
        <f t="shared" si="58"/>
        <v>3557860</v>
      </c>
      <c r="X257" s="64">
        <f t="shared" si="59"/>
        <v>3700000</v>
      </c>
      <c r="Z257" s="67">
        <v>8430840.6600000001</v>
      </c>
      <c r="AA257" s="68">
        <v>8876663.1799999997</v>
      </c>
      <c r="AB257" s="69">
        <v>3100000</v>
      </c>
      <c r="AC257" s="70">
        <v>3400000</v>
      </c>
      <c r="AD257" s="67">
        <v>9107835.1475999989</v>
      </c>
      <c r="AE257" s="68">
        <v>9422704.5770999976</v>
      </c>
      <c r="AF257" s="69">
        <v>3700000</v>
      </c>
      <c r="AG257" s="70">
        <v>3700000</v>
      </c>
      <c r="AH257" s="70">
        <f t="shared" si="60"/>
        <v>8368976.1440000003</v>
      </c>
      <c r="AI257" s="70">
        <f t="shared" si="61"/>
        <v>8751832.874400001</v>
      </c>
      <c r="AJ257" s="70">
        <f t="shared" si="62"/>
        <v>9043106.9966719989</v>
      </c>
      <c r="AK257" s="70">
        <f t="shared" si="63"/>
        <v>9334541.136839997</v>
      </c>
      <c r="AL257" s="70">
        <f t="shared" si="64"/>
        <v>2957860</v>
      </c>
      <c r="AM257" s="70">
        <f t="shared" si="65"/>
        <v>3257860</v>
      </c>
      <c r="AN257" s="70">
        <f t="shared" si="66"/>
        <v>3557860</v>
      </c>
      <c r="AO257" s="70">
        <f t="shared" si="67"/>
        <v>3700000</v>
      </c>
    </row>
    <row r="258" spans="1:41">
      <c r="A258" s="29" t="s">
        <v>365</v>
      </c>
      <c r="B258" s="29" t="s">
        <v>832</v>
      </c>
      <c r="C258" s="107">
        <v>0</v>
      </c>
      <c r="D258" s="108">
        <v>73871787</v>
      </c>
      <c r="F258" s="107">
        <v>0</v>
      </c>
      <c r="G258" s="108">
        <v>76000000</v>
      </c>
      <c r="I258" s="64">
        <v>0</v>
      </c>
      <c r="J258" s="83">
        <v>0</v>
      </c>
      <c r="K258" s="66">
        <v>76000000</v>
      </c>
      <c r="L258" s="251">
        <v>76000000</v>
      </c>
      <c r="M258" s="63">
        <v>0</v>
      </c>
      <c r="N258" s="64">
        <v>0</v>
      </c>
      <c r="O258" s="65">
        <v>76000000</v>
      </c>
      <c r="P258" s="66">
        <v>76000000</v>
      </c>
      <c r="Q258" s="66">
        <f t="shared" si="52"/>
        <v>0</v>
      </c>
      <c r="R258" s="63">
        <f t="shared" si="53"/>
        <v>0</v>
      </c>
      <c r="S258" s="83">
        <f t="shared" si="54"/>
        <v>0</v>
      </c>
      <c r="T258" s="64">
        <f t="shared" si="55"/>
        <v>0</v>
      </c>
      <c r="U258" s="66">
        <f t="shared" si="56"/>
        <v>74991652.680600002</v>
      </c>
      <c r="V258" s="63">
        <f t="shared" si="57"/>
        <v>76000000</v>
      </c>
      <c r="W258" s="83">
        <f t="shared" si="58"/>
        <v>76000000</v>
      </c>
      <c r="X258" s="64">
        <f t="shared" si="59"/>
        <v>76000000</v>
      </c>
      <c r="Z258" s="67">
        <v>0</v>
      </c>
      <c r="AA258" s="68">
        <v>0</v>
      </c>
      <c r="AB258" s="69">
        <v>76000000</v>
      </c>
      <c r="AC258" s="70">
        <v>76000000</v>
      </c>
      <c r="AD258" s="67">
        <v>0</v>
      </c>
      <c r="AE258" s="68">
        <v>0</v>
      </c>
      <c r="AF258" s="69">
        <v>76000000</v>
      </c>
      <c r="AG258" s="70">
        <v>76000000</v>
      </c>
      <c r="AH258" s="70">
        <f t="shared" si="60"/>
        <v>0</v>
      </c>
      <c r="AI258" s="70">
        <f t="shared" si="61"/>
        <v>0</v>
      </c>
      <c r="AJ258" s="70">
        <f t="shared" si="62"/>
        <v>0</v>
      </c>
      <c r="AK258" s="70">
        <f t="shared" si="63"/>
        <v>0</v>
      </c>
      <c r="AL258" s="70">
        <f t="shared" si="64"/>
        <v>74991652.680600002</v>
      </c>
      <c r="AM258" s="70">
        <f t="shared" si="65"/>
        <v>76000000</v>
      </c>
      <c r="AN258" s="70">
        <f t="shared" si="66"/>
        <v>76000000</v>
      </c>
      <c r="AO258" s="70">
        <f t="shared" si="67"/>
        <v>76000000</v>
      </c>
    </row>
    <row r="259" spans="1:41">
      <c r="A259" s="29" t="s">
        <v>153</v>
      </c>
      <c r="B259" s="29" t="s">
        <v>833</v>
      </c>
      <c r="C259" s="107">
        <v>249741.76</v>
      </c>
      <c r="D259" s="108">
        <v>35000</v>
      </c>
      <c r="F259" s="107">
        <v>256091.21</v>
      </c>
      <c r="G259" s="108">
        <v>36000</v>
      </c>
      <c r="I259" s="64">
        <v>256091.21</v>
      </c>
      <c r="J259" s="83">
        <v>274567.5049</v>
      </c>
      <c r="K259" s="66">
        <v>36000</v>
      </c>
      <c r="L259" s="251">
        <v>36000</v>
      </c>
      <c r="M259" s="63">
        <v>284978.4903</v>
      </c>
      <c r="N259" s="64">
        <v>297088.51079999999</v>
      </c>
      <c r="O259" s="65">
        <v>36000</v>
      </c>
      <c r="P259" s="66">
        <v>36000</v>
      </c>
      <c r="Q259" s="66">
        <f t="shared" si="52"/>
        <v>254313.364</v>
      </c>
      <c r="R259" s="63">
        <f t="shared" si="53"/>
        <v>269394.14232800005</v>
      </c>
      <c r="S259" s="83">
        <f t="shared" si="54"/>
        <v>282063.41438799998</v>
      </c>
      <c r="T259" s="64">
        <f t="shared" si="55"/>
        <v>293697.70506000001</v>
      </c>
      <c r="U259" s="66">
        <f t="shared" si="56"/>
        <v>35526.199999999997</v>
      </c>
      <c r="V259" s="63">
        <f t="shared" si="57"/>
        <v>36000</v>
      </c>
      <c r="W259" s="83">
        <f t="shared" si="58"/>
        <v>36000</v>
      </c>
      <c r="X259" s="64">
        <f t="shared" si="59"/>
        <v>36000</v>
      </c>
      <c r="Z259" s="67">
        <v>256091.21</v>
      </c>
      <c r="AA259" s="68">
        <v>276628.0013</v>
      </c>
      <c r="AB259" s="69">
        <v>36000</v>
      </c>
      <c r="AC259" s="70">
        <v>36000</v>
      </c>
      <c r="AD259" s="67">
        <v>284978.4903</v>
      </c>
      <c r="AE259" s="68">
        <v>297088.51079999999</v>
      </c>
      <c r="AF259" s="69">
        <v>36000</v>
      </c>
      <c r="AG259" s="70">
        <v>36000</v>
      </c>
      <c r="AH259" s="70">
        <f t="shared" si="60"/>
        <v>254313.364</v>
      </c>
      <c r="AI259" s="70">
        <f t="shared" si="61"/>
        <v>270877.69973600004</v>
      </c>
      <c r="AJ259" s="70">
        <f t="shared" si="62"/>
        <v>282640.35337999999</v>
      </c>
      <c r="AK259" s="70">
        <f t="shared" si="63"/>
        <v>293697.70506000001</v>
      </c>
      <c r="AL259" s="70">
        <f t="shared" si="64"/>
        <v>35526.199999999997</v>
      </c>
      <c r="AM259" s="70">
        <f t="shared" si="65"/>
        <v>36000</v>
      </c>
      <c r="AN259" s="70">
        <f t="shared" si="66"/>
        <v>36000</v>
      </c>
      <c r="AO259" s="70">
        <f t="shared" si="67"/>
        <v>36000</v>
      </c>
    </row>
    <row r="260" spans="1:41">
      <c r="A260" s="29" t="s">
        <v>207</v>
      </c>
      <c r="B260" s="29" t="s">
        <v>834</v>
      </c>
      <c r="C260" s="107">
        <v>2640185.17</v>
      </c>
      <c r="D260" s="108">
        <v>15672954</v>
      </c>
      <c r="F260" s="107">
        <v>496370.45</v>
      </c>
      <c r="G260" s="108">
        <v>16699783</v>
      </c>
      <c r="I260" s="64">
        <v>496370.45</v>
      </c>
      <c r="J260" s="83">
        <v>1603017.6871000004</v>
      </c>
      <c r="K260" s="66">
        <v>16699783</v>
      </c>
      <c r="L260" s="251">
        <v>19504860</v>
      </c>
      <c r="M260" s="63">
        <v>1696138.8371999995</v>
      </c>
      <c r="N260" s="64">
        <v>1630840.3305000011</v>
      </c>
      <c r="O260" s="65">
        <v>21258878</v>
      </c>
      <c r="P260" s="66">
        <v>21258878</v>
      </c>
      <c r="Q260" s="66">
        <f t="shared" si="52"/>
        <v>1096638.5716000001</v>
      </c>
      <c r="R260" s="63">
        <f t="shared" si="53"/>
        <v>1293156.4607120003</v>
      </c>
      <c r="S260" s="83">
        <f t="shared" si="54"/>
        <v>1670064.9151719997</v>
      </c>
      <c r="T260" s="64">
        <f t="shared" si="55"/>
        <v>1649123.9123760008</v>
      </c>
      <c r="U260" s="66">
        <f t="shared" si="56"/>
        <v>16213271.4198</v>
      </c>
      <c r="V260" s="63">
        <f t="shared" si="57"/>
        <v>18175814.5174</v>
      </c>
      <c r="W260" s="83">
        <f t="shared" si="58"/>
        <v>20427824.271600001</v>
      </c>
      <c r="X260" s="64">
        <f t="shared" si="59"/>
        <v>21258878</v>
      </c>
      <c r="Z260" s="67">
        <v>496370.45</v>
      </c>
      <c r="AA260" s="68">
        <v>2225678.3836999997</v>
      </c>
      <c r="AB260" s="69">
        <v>16699783</v>
      </c>
      <c r="AC260" s="70">
        <v>19504860</v>
      </c>
      <c r="AD260" s="67">
        <v>1696138.8371999995</v>
      </c>
      <c r="AE260" s="68">
        <v>1630840.3305000011</v>
      </c>
      <c r="AF260" s="69">
        <v>21258878</v>
      </c>
      <c r="AG260" s="70">
        <v>21258878</v>
      </c>
      <c r="AH260" s="70">
        <f t="shared" si="60"/>
        <v>1096638.5716000001</v>
      </c>
      <c r="AI260" s="70">
        <f t="shared" si="61"/>
        <v>1741472.1622639997</v>
      </c>
      <c r="AJ260" s="70">
        <f t="shared" si="62"/>
        <v>1844409.9102199995</v>
      </c>
      <c r="AK260" s="70">
        <f t="shared" si="63"/>
        <v>1649123.9123760008</v>
      </c>
      <c r="AL260" s="70">
        <f t="shared" si="64"/>
        <v>16213271.4198</v>
      </c>
      <c r="AM260" s="70">
        <f t="shared" si="65"/>
        <v>18175814.5174</v>
      </c>
      <c r="AN260" s="70">
        <f t="shared" si="66"/>
        <v>20427824.271600001</v>
      </c>
      <c r="AO260" s="70">
        <f t="shared" si="67"/>
        <v>21258878</v>
      </c>
    </row>
    <row r="261" spans="1:41">
      <c r="A261" s="29" t="s">
        <v>559</v>
      </c>
      <c r="B261" s="29" t="s">
        <v>835</v>
      </c>
      <c r="C261" s="107">
        <v>202838.46</v>
      </c>
      <c r="D261" s="108">
        <v>211946</v>
      </c>
      <c r="F261" s="107">
        <v>163911.63</v>
      </c>
      <c r="G261" s="108">
        <v>236818</v>
      </c>
      <c r="I261" s="64">
        <v>163911.63</v>
      </c>
      <c r="J261" s="83">
        <v>181998.5214</v>
      </c>
      <c r="K261" s="66">
        <v>236818</v>
      </c>
      <c r="L261" s="251">
        <v>204865.7</v>
      </c>
      <c r="M261" s="63">
        <v>190020.36989999999</v>
      </c>
      <c r="N261" s="64">
        <v>201384.72990000001</v>
      </c>
      <c r="O261" s="65">
        <v>209119.57750000001</v>
      </c>
      <c r="P261" s="66">
        <v>211014.76749999999</v>
      </c>
      <c r="Q261" s="66">
        <f t="shared" si="52"/>
        <v>174811.14240000001</v>
      </c>
      <c r="R261" s="63">
        <f t="shared" si="53"/>
        <v>176934.191808</v>
      </c>
      <c r="S261" s="83">
        <f t="shared" si="54"/>
        <v>187774.25232</v>
      </c>
      <c r="T261" s="64">
        <f t="shared" si="55"/>
        <v>198202.70910000001</v>
      </c>
      <c r="U261" s="66">
        <f t="shared" si="56"/>
        <v>225033.6464</v>
      </c>
      <c r="V261" s="63">
        <f t="shared" si="57"/>
        <v>220004.69974000001</v>
      </c>
      <c r="W261" s="83">
        <f t="shared" si="58"/>
        <v>207104.0903405</v>
      </c>
      <c r="X261" s="64">
        <f t="shared" si="59"/>
        <v>210116.826478</v>
      </c>
      <c r="Z261" s="67">
        <v>163911.63</v>
      </c>
      <c r="AA261" s="68">
        <v>232924.75569999998</v>
      </c>
      <c r="AB261" s="69">
        <v>236818</v>
      </c>
      <c r="AC261" s="70">
        <v>204865.7</v>
      </c>
      <c r="AD261" s="67">
        <v>190020.36989999999</v>
      </c>
      <c r="AE261" s="68">
        <v>201384.72990000001</v>
      </c>
      <c r="AF261" s="69">
        <v>209119.57750000001</v>
      </c>
      <c r="AG261" s="70">
        <v>211014.76749999999</v>
      </c>
      <c r="AH261" s="70">
        <f t="shared" si="60"/>
        <v>174811.14240000001</v>
      </c>
      <c r="AI261" s="70">
        <f t="shared" si="61"/>
        <v>213601.08050399998</v>
      </c>
      <c r="AJ261" s="70">
        <f t="shared" si="62"/>
        <v>202033.597924</v>
      </c>
      <c r="AK261" s="70">
        <f t="shared" si="63"/>
        <v>198202.70910000001</v>
      </c>
      <c r="AL261" s="70">
        <f t="shared" si="64"/>
        <v>225033.6464</v>
      </c>
      <c r="AM261" s="70">
        <f t="shared" si="65"/>
        <v>220004.69974000001</v>
      </c>
      <c r="AN261" s="70">
        <f t="shared" si="66"/>
        <v>207104.0903405</v>
      </c>
      <c r="AO261" s="70">
        <f t="shared" si="67"/>
        <v>210116.826478</v>
      </c>
    </row>
    <row r="262" spans="1:41">
      <c r="A262" s="29" t="s">
        <v>521</v>
      </c>
      <c r="B262" s="29" t="s">
        <v>836</v>
      </c>
      <c r="C262" s="107">
        <v>263041.56</v>
      </c>
      <c r="D262" s="108">
        <v>3213815</v>
      </c>
      <c r="F262" s="107">
        <v>0</v>
      </c>
      <c r="G262" s="108">
        <v>3535196</v>
      </c>
      <c r="I262" s="64">
        <v>0</v>
      </c>
      <c r="J262" s="83">
        <v>77983.871000000334</v>
      </c>
      <c r="K262" s="66">
        <v>3535196</v>
      </c>
      <c r="L262" s="251">
        <v>3604528.5825</v>
      </c>
      <c r="M262" s="63">
        <v>0</v>
      </c>
      <c r="N262" s="64">
        <v>0</v>
      </c>
      <c r="O262" s="65">
        <v>3757123.0951999999</v>
      </c>
      <c r="P262" s="66">
        <v>3905982.3571999995</v>
      </c>
      <c r="Q262" s="66">
        <f t="shared" si="52"/>
        <v>73651.636800000007</v>
      </c>
      <c r="R262" s="63">
        <f t="shared" si="53"/>
        <v>56148.38712000024</v>
      </c>
      <c r="S262" s="83">
        <f t="shared" si="54"/>
        <v>21835.483880000094</v>
      </c>
      <c r="T262" s="64">
        <f t="shared" si="55"/>
        <v>0</v>
      </c>
      <c r="U262" s="66">
        <f t="shared" si="56"/>
        <v>3382925.6821999997</v>
      </c>
      <c r="V262" s="63">
        <f t="shared" si="57"/>
        <v>3571678.8049114998</v>
      </c>
      <c r="W262" s="83">
        <f t="shared" si="58"/>
        <v>3684823.81508274</v>
      </c>
      <c r="X262" s="64">
        <f t="shared" si="59"/>
        <v>3835452.8388643996</v>
      </c>
      <c r="Z262" s="67">
        <v>0</v>
      </c>
      <c r="AA262" s="68">
        <v>158716.25150000039</v>
      </c>
      <c r="AB262" s="69">
        <v>3535196</v>
      </c>
      <c r="AC262" s="70">
        <v>3604528.5825</v>
      </c>
      <c r="AD262" s="67">
        <v>0</v>
      </c>
      <c r="AE262" s="68">
        <v>0</v>
      </c>
      <c r="AF262" s="69">
        <v>3757123.0951999999</v>
      </c>
      <c r="AG262" s="70">
        <v>3905982.3571999995</v>
      </c>
      <c r="AH262" s="70">
        <f t="shared" si="60"/>
        <v>73651.636800000007</v>
      </c>
      <c r="AI262" s="70">
        <f t="shared" si="61"/>
        <v>114275.70108000028</v>
      </c>
      <c r="AJ262" s="70">
        <f t="shared" si="62"/>
        <v>44440.550420000116</v>
      </c>
      <c r="AK262" s="70">
        <f t="shared" si="63"/>
        <v>0</v>
      </c>
      <c r="AL262" s="70">
        <f t="shared" si="64"/>
        <v>3382925.6821999997</v>
      </c>
      <c r="AM262" s="70">
        <f t="shared" si="65"/>
        <v>3571678.8049114998</v>
      </c>
      <c r="AN262" s="70">
        <f t="shared" si="66"/>
        <v>3684823.81508274</v>
      </c>
      <c r="AO262" s="70">
        <f t="shared" si="67"/>
        <v>3835452.8388643996</v>
      </c>
    </row>
    <row r="263" spans="1:41">
      <c r="A263" s="29" t="s">
        <v>243</v>
      </c>
      <c r="B263" s="29" t="s">
        <v>837</v>
      </c>
      <c r="C263" s="107">
        <v>0</v>
      </c>
      <c r="D263" s="108">
        <v>582351</v>
      </c>
      <c r="F263" s="107">
        <v>0</v>
      </c>
      <c r="G263" s="108">
        <v>596786</v>
      </c>
      <c r="I263" s="64">
        <v>0</v>
      </c>
      <c r="J263" s="83">
        <v>0</v>
      </c>
      <c r="K263" s="66">
        <v>596786</v>
      </c>
      <c r="L263" s="251">
        <v>622711.73119999992</v>
      </c>
      <c r="M263" s="63">
        <v>0</v>
      </c>
      <c r="N263" s="64">
        <v>0</v>
      </c>
      <c r="O263" s="65">
        <v>644311.69420000003</v>
      </c>
      <c r="P263" s="66">
        <v>669840.71</v>
      </c>
      <c r="Q263" s="66">
        <f t="shared" si="52"/>
        <v>0</v>
      </c>
      <c r="R263" s="63">
        <f t="shared" si="53"/>
        <v>0</v>
      </c>
      <c r="S263" s="83">
        <f t="shared" si="54"/>
        <v>0</v>
      </c>
      <c r="T263" s="64">
        <f t="shared" si="55"/>
        <v>0</v>
      </c>
      <c r="U263" s="66">
        <f t="shared" si="56"/>
        <v>589946.69699999993</v>
      </c>
      <c r="V263" s="63">
        <f t="shared" si="57"/>
        <v>610428.11975743994</v>
      </c>
      <c r="W263" s="83">
        <f t="shared" si="58"/>
        <v>634077.63173060003</v>
      </c>
      <c r="X263" s="64">
        <f t="shared" si="59"/>
        <v>657745.06231395993</v>
      </c>
      <c r="Z263" s="67">
        <v>0</v>
      </c>
      <c r="AA263" s="68">
        <v>0</v>
      </c>
      <c r="AB263" s="69">
        <v>596786</v>
      </c>
      <c r="AC263" s="70">
        <v>645021.34619999991</v>
      </c>
      <c r="AD263" s="67">
        <v>0</v>
      </c>
      <c r="AE263" s="68">
        <v>0</v>
      </c>
      <c r="AF263" s="69">
        <v>644311.69420000003</v>
      </c>
      <c r="AG263" s="70">
        <v>669840.71</v>
      </c>
      <c r="AH263" s="70">
        <f t="shared" si="60"/>
        <v>0</v>
      </c>
      <c r="AI263" s="70">
        <f t="shared" si="61"/>
        <v>0</v>
      </c>
      <c r="AJ263" s="70">
        <f t="shared" si="62"/>
        <v>0</v>
      </c>
      <c r="AK263" s="70">
        <f t="shared" si="63"/>
        <v>0</v>
      </c>
      <c r="AL263" s="70">
        <f t="shared" si="64"/>
        <v>589946.69699999993</v>
      </c>
      <c r="AM263" s="70">
        <f t="shared" si="65"/>
        <v>622167.43917043996</v>
      </c>
      <c r="AN263" s="70">
        <f t="shared" si="66"/>
        <v>644647.9273176</v>
      </c>
      <c r="AO263" s="70">
        <f t="shared" si="67"/>
        <v>657745.06231395993</v>
      </c>
    </row>
    <row r="264" spans="1:41">
      <c r="A264" s="29" t="s">
        <v>285</v>
      </c>
      <c r="B264" s="29" t="s">
        <v>838</v>
      </c>
      <c r="C264" s="107">
        <v>294189.95</v>
      </c>
      <c r="D264" s="108">
        <v>895000</v>
      </c>
      <c r="F264" s="107">
        <v>116175.03999999999</v>
      </c>
      <c r="G264" s="108">
        <v>1100000</v>
      </c>
      <c r="I264" s="64">
        <v>116175.03999999999</v>
      </c>
      <c r="J264" s="83">
        <v>221687.77577799998</v>
      </c>
      <c r="K264" s="66">
        <v>1100000</v>
      </c>
      <c r="L264" s="251">
        <v>1150000</v>
      </c>
      <c r="M264" s="63">
        <v>162125.05061399998</v>
      </c>
      <c r="N264" s="64">
        <v>96906.665082000021</v>
      </c>
      <c r="O264" s="65">
        <v>1200000</v>
      </c>
      <c r="P264" s="66">
        <v>1200000</v>
      </c>
      <c r="Q264" s="66">
        <f t="shared" si="52"/>
        <v>166019.21480000002</v>
      </c>
      <c r="R264" s="63">
        <f t="shared" si="53"/>
        <v>192144.20976015998</v>
      </c>
      <c r="S264" s="83">
        <f t="shared" si="54"/>
        <v>178802.61365991997</v>
      </c>
      <c r="T264" s="64">
        <f t="shared" si="55"/>
        <v>115167.81303096001</v>
      </c>
      <c r="U264" s="66">
        <f t="shared" si="56"/>
        <v>1002871</v>
      </c>
      <c r="V264" s="63">
        <f t="shared" si="57"/>
        <v>1126310</v>
      </c>
      <c r="W264" s="83">
        <f t="shared" si="58"/>
        <v>1176310</v>
      </c>
      <c r="X264" s="64">
        <f t="shared" si="59"/>
        <v>1200000</v>
      </c>
      <c r="Z264" s="67">
        <v>116175.03999999999</v>
      </c>
      <c r="AA264" s="68">
        <v>285190.85379399976</v>
      </c>
      <c r="AB264" s="69">
        <v>1100000</v>
      </c>
      <c r="AC264" s="70">
        <v>1150000</v>
      </c>
      <c r="AD264" s="67">
        <v>162125.05061399998</v>
      </c>
      <c r="AE264" s="68">
        <v>96906.665082000021</v>
      </c>
      <c r="AF264" s="69">
        <v>1200000</v>
      </c>
      <c r="AG264" s="70">
        <v>1200000</v>
      </c>
      <c r="AH264" s="70">
        <f t="shared" si="60"/>
        <v>166019.21480000002</v>
      </c>
      <c r="AI264" s="70">
        <f t="shared" si="61"/>
        <v>237866.42593167984</v>
      </c>
      <c r="AJ264" s="70">
        <f t="shared" si="62"/>
        <v>196583.47550439992</v>
      </c>
      <c r="AK264" s="70">
        <f t="shared" si="63"/>
        <v>115167.81303096001</v>
      </c>
      <c r="AL264" s="70">
        <f t="shared" si="64"/>
        <v>1002871</v>
      </c>
      <c r="AM264" s="70">
        <f t="shared" si="65"/>
        <v>1126310</v>
      </c>
      <c r="AN264" s="70">
        <f t="shared" si="66"/>
        <v>1176310</v>
      </c>
      <c r="AO264" s="70">
        <f t="shared" si="67"/>
        <v>1200000</v>
      </c>
    </row>
    <row r="265" spans="1:41">
      <c r="A265" s="29" t="s">
        <v>339</v>
      </c>
      <c r="B265" s="29" t="s">
        <v>839</v>
      </c>
      <c r="C265" s="107">
        <v>932679.48</v>
      </c>
      <c r="D265" s="108">
        <v>878240</v>
      </c>
      <c r="F265" s="107">
        <v>922725.58</v>
      </c>
      <c r="G265" s="108">
        <v>922152</v>
      </c>
      <c r="I265" s="64">
        <v>922725.58</v>
      </c>
      <c r="J265" s="83">
        <v>1064571.8818000001</v>
      </c>
      <c r="K265" s="66">
        <v>922152</v>
      </c>
      <c r="L265" s="251">
        <v>922152</v>
      </c>
      <c r="M265" s="63">
        <v>1078347.5752159997</v>
      </c>
      <c r="N265" s="64">
        <v>1128843.2033279999</v>
      </c>
      <c r="O265" s="65">
        <v>922152</v>
      </c>
      <c r="P265" s="66">
        <v>922152</v>
      </c>
      <c r="Q265" s="66">
        <f t="shared" ref="Q265:Q309" si="68">(0.28*C265)+(0.72*I265)</f>
        <v>925512.6719999999</v>
      </c>
      <c r="R265" s="63">
        <f t="shared" ref="R265:R309" si="69">(0.28*I265)+(0.72*J265)</f>
        <v>1024854.9172960001</v>
      </c>
      <c r="S265" s="83">
        <f t="shared" ref="S265:S309" si="70">(0.28*J265)+(0.72*M265)</f>
        <v>1074490.3810595199</v>
      </c>
      <c r="T265" s="64">
        <f t="shared" ref="T265:T309" si="71">(0.28*M265)+(0.72*N265)</f>
        <v>1114704.4274566397</v>
      </c>
      <c r="U265" s="66">
        <f t="shared" ref="U265:U309" si="72">(0.4738*D265)+(0.5262*G265)</f>
        <v>901346.49439999997</v>
      </c>
      <c r="V265" s="63">
        <f t="shared" ref="V265:V309" si="73">(0.4738*G265)+(0.5262*L265)</f>
        <v>922152</v>
      </c>
      <c r="W265" s="83">
        <f t="shared" ref="W265:W309" si="74">(0.4738*L265)+(0.5262*O265)</f>
        <v>922152</v>
      </c>
      <c r="X265" s="64">
        <f t="shared" ref="X265:X309" si="75">(0.4738*O265)+(0.5262*P265)</f>
        <v>922152</v>
      </c>
      <c r="Z265" s="67">
        <v>922725.58</v>
      </c>
      <c r="AA265" s="68">
        <v>1064571.8818000001</v>
      </c>
      <c r="AB265" s="69">
        <v>922152</v>
      </c>
      <c r="AC265" s="70">
        <v>922152</v>
      </c>
      <c r="AD265" s="67">
        <v>1078347.5752159997</v>
      </c>
      <c r="AE265" s="68">
        <v>1128843.2033279999</v>
      </c>
      <c r="AF265" s="69">
        <v>922152</v>
      </c>
      <c r="AG265" s="70">
        <v>922152</v>
      </c>
      <c r="AH265" s="70">
        <f t="shared" ref="AH265:AH309" si="76">(0.28*C265)+(0.72*Z265)</f>
        <v>925512.6719999999</v>
      </c>
      <c r="AI265" s="70">
        <f t="shared" ref="AI265:AI309" si="77">(0.28*Z265)+(0.72*AA265)</f>
        <v>1024854.9172960001</v>
      </c>
      <c r="AJ265" s="70">
        <f t="shared" ref="AJ265:AJ309" si="78">(0.28*AA265)+(0.72*AD265)</f>
        <v>1074490.3810595199</v>
      </c>
      <c r="AK265" s="70">
        <f t="shared" ref="AK265:AK309" si="79">(0.28*AD265)+(0.72*AE265)</f>
        <v>1114704.4274566397</v>
      </c>
      <c r="AL265" s="70">
        <f t="shared" ref="AL265:AL309" si="80">(0.4738*D265)+(0.5262*G265)</f>
        <v>901346.49439999997</v>
      </c>
      <c r="AM265" s="70">
        <f t="shared" ref="AM265:AM309" si="81">(0.4738*G265)+(0.5262*AC265)</f>
        <v>922152</v>
      </c>
      <c r="AN265" s="70">
        <f t="shared" ref="AN265:AN309" si="82">(0.4738*AC265)+(0.5262*AF265)</f>
        <v>922152</v>
      </c>
      <c r="AO265" s="70">
        <f t="shared" ref="AO265:AO309" si="83">(0.4738*AF265)+(0.5262*AG265)</f>
        <v>922152</v>
      </c>
    </row>
    <row r="266" spans="1:41">
      <c r="A266" s="29" t="s">
        <v>597</v>
      </c>
      <c r="B266" s="29" t="s">
        <v>840</v>
      </c>
      <c r="C266" s="107">
        <v>5962185.2800000003</v>
      </c>
      <c r="D266" s="108">
        <v>1400000</v>
      </c>
      <c r="F266" s="107">
        <v>6427140.7300000004</v>
      </c>
      <c r="G266" s="108">
        <v>1420000</v>
      </c>
      <c r="I266" s="64">
        <v>6427140.7300000004</v>
      </c>
      <c r="J266" s="83">
        <v>6840852.1515999995</v>
      </c>
      <c r="K266" s="66">
        <v>1420000</v>
      </c>
      <c r="L266" s="251">
        <v>1460000</v>
      </c>
      <c r="M266" s="63">
        <v>7071092.1672</v>
      </c>
      <c r="N266" s="64">
        <v>7333244.2208999991</v>
      </c>
      <c r="O266" s="65">
        <v>1500000</v>
      </c>
      <c r="P266" s="66">
        <v>1540000</v>
      </c>
      <c r="Q266" s="66">
        <f t="shared" si="68"/>
        <v>6296953.2039999999</v>
      </c>
      <c r="R266" s="63">
        <f t="shared" si="69"/>
        <v>6725012.9535520002</v>
      </c>
      <c r="S266" s="83">
        <f t="shared" si="70"/>
        <v>7006624.9628320001</v>
      </c>
      <c r="T266" s="64">
        <f t="shared" si="71"/>
        <v>7259841.6458639996</v>
      </c>
      <c r="U266" s="66">
        <f t="shared" si="72"/>
        <v>1410524</v>
      </c>
      <c r="V266" s="63">
        <f t="shared" si="73"/>
        <v>1441048</v>
      </c>
      <c r="W266" s="83">
        <f t="shared" si="74"/>
        <v>1481048</v>
      </c>
      <c r="X266" s="64">
        <f t="shared" si="75"/>
        <v>1521048</v>
      </c>
      <c r="Z266" s="67">
        <v>6427140.7300000004</v>
      </c>
      <c r="AA266" s="68">
        <v>6840852.1515999995</v>
      </c>
      <c r="AB266" s="69">
        <v>1420000</v>
      </c>
      <c r="AC266" s="70">
        <v>1460000</v>
      </c>
      <c r="AD266" s="67">
        <v>7071092.1672</v>
      </c>
      <c r="AE266" s="68">
        <v>7333244.2208999991</v>
      </c>
      <c r="AF266" s="69">
        <v>1500000</v>
      </c>
      <c r="AG266" s="70">
        <v>1540000</v>
      </c>
      <c r="AH266" s="70">
        <f t="shared" si="76"/>
        <v>6296953.2039999999</v>
      </c>
      <c r="AI266" s="70">
        <f t="shared" si="77"/>
        <v>6725012.9535520002</v>
      </c>
      <c r="AJ266" s="70">
        <f t="shared" si="78"/>
        <v>7006624.9628320001</v>
      </c>
      <c r="AK266" s="70">
        <f t="shared" si="79"/>
        <v>7259841.6458639996</v>
      </c>
      <c r="AL266" s="70">
        <f t="shared" si="80"/>
        <v>1410524</v>
      </c>
      <c r="AM266" s="70">
        <f t="shared" si="81"/>
        <v>1441048</v>
      </c>
      <c r="AN266" s="70">
        <f t="shared" si="82"/>
        <v>1481048</v>
      </c>
      <c r="AO266" s="70">
        <f t="shared" si="83"/>
        <v>1521048</v>
      </c>
    </row>
    <row r="267" spans="1:41">
      <c r="A267" s="29" t="s">
        <v>531</v>
      </c>
      <c r="B267" s="29" t="s">
        <v>841</v>
      </c>
      <c r="C267" s="107">
        <v>0</v>
      </c>
      <c r="D267" s="108">
        <v>572275</v>
      </c>
      <c r="F267" s="107">
        <v>0</v>
      </c>
      <c r="G267" s="108">
        <v>734966</v>
      </c>
      <c r="I267" s="64">
        <v>0</v>
      </c>
      <c r="J267" s="83">
        <v>0</v>
      </c>
      <c r="K267" s="66">
        <v>734966</v>
      </c>
      <c r="L267" s="251">
        <v>618854.32679999992</v>
      </c>
      <c r="M267" s="63">
        <v>0</v>
      </c>
      <c r="N267" s="64">
        <v>0</v>
      </c>
      <c r="O267" s="65">
        <v>640314.5046000001</v>
      </c>
      <c r="P267" s="66">
        <v>665665.46970000002</v>
      </c>
      <c r="Q267" s="66">
        <f t="shared" si="68"/>
        <v>0</v>
      </c>
      <c r="R267" s="63">
        <f t="shared" si="69"/>
        <v>0</v>
      </c>
      <c r="S267" s="83">
        <f t="shared" si="70"/>
        <v>0</v>
      </c>
      <c r="T267" s="64">
        <f t="shared" si="71"/>
        <v>0</v>
      </c>
      <c r="U267" s="66">
        <f t="shared" si="72"/>
        <v>657883.00420000008</v>
      </c>
      <c r="V267" s="63">
        <f t="shared" si="73"/>
        <v>673868.03756215994</v>
      </c>
      <c r="W267" s="83">
        <f t="shared" si="74"/>
        <v>630146.67235836003</v>
      </c>
      <c r="X267" s="64">
        <f t="shared" si="75"/>
        <v>653654.18243562011</v>
      </c>
      <c r="Z267" s="67">
        <v>0</v>
      </c>
      <c r="AA267" s="68">
        <v>0</v>
      </c>
      <c r="AB267" s="69">
        <v>734966</v>
      </c>
      <c r="AC267" s="70">
        <v>633305.19999999995</v>
      </c>
      <c r="AD267" s="67">
        <v>0</v>
      </c>
      <c r="AE267" s="68">
        <v>0</v>
      </c>
      <c r="AF267" s="69">
        <v>640314.5046000001</v>
      </c>
      <c r="AG267" s="70">
        <v>665665.46970000002</v>
      </c>
      <c r="AH267" s="70">
        <f t="shared" si="76"/>
        <v>0</v>
      </c>
      <c r="AI267" s="70">
        <f t="shared" si="77"/>
        <v>0</v>
      </c>
      <c r="AJ267" s="70">
        <f t="shared" si="78"/>
        <v>0</v>
      </c>
      <c r="AK267" s="70">
        <f t="shared" si="79"/>
        <v>0</v>
      </c>
      <c r="AL267" s="70">
        <f t="shared" si="80"/>
        <v>657883.00420000008</v>
      </c>
      <c r="AM267" s="70">
        <f t="shared" si="81"/>
        <v>681472.0870399999</v>
      </c>
      <c r="AN267" s="70">
        <f t="shared" si="82"/>
        <v>636993.4960805201</v>
      </c>
      <c r="AO267" s="70">
        <f t="shared" si="83"/>
        <v>653654.18243562011</v>
      </c>
    </row>
    <row r="268" spans="1:41">
      <c r="A268" s="29" t="s">
        <v>79</v>
      </c>
      <c r="B268" s="29" t="s">
        <v>842</v>
      </c>
      <c r="C268" s="107">
        <v>255828.49</v>
      </c>
      <c r="D268" s="108">
        <v>1358225</v>
      </c>
      <c r="F268" s="107">
        <v>111943.83</v>
      </c>
      <c r="G268" s="108">
        <v>1453000</v>
      </c>
      <c r="I268" s="64">
        <v>111943.83</v>
      </c>
      <c r="J268" s="83">
        <v>173900.48819999991</v>
      </c>
      <c r="K268" s="66">
        <v>1453000</v>
      </c>
      <c r="L268" s="251">
        <v>1555030</v>
      </c>
      <c r="M268" s="63">
        <v>106628.55959999991</v>
      </c>
      <c r="N268" s="64">
        <v>41111.661299999927</v>
      </c>
      <c r="O268" s="65">
        <v>1663885</v>
      </c>
      <c r="P268" s="66">
        <v>1663885</v>
      </c>
      <c r="Q268" s="66">
        <f t="shared" si="68"/>
        <v>152231.53480000002</v>
      </c>
      <c r="R268" s="63">
        <f t="shared" si="69"/>
        <v>156552.62390399992</v>
      </c>
      <c r="S268" s="83">
        <f t="shared" si="70"/>
        <v>125464.69960799991</v>
      </c>
      <c r="T268" s="64">
        <f t="shared" si="71"/>
        <v>59456.392823999922</v>
      </c>
      <c r="U268" s="66">
        <f t="shared" si="72"/>
        <v>1408095.605</v>
      </c>
      <c r="V268" s="63">
        <f t="shared" si="73"/>
        <v>1506688.186</v>
      </c>
      <c r="W268" s="83">
        <f t="shared" si="74"/>
        <v>1612309.5010000002</v>
      </c>
      <c r="X268" s="64">
        <f t="shared" si="75"/>
        <v>1663885</v>
      </c>
      <c r="Z268" s="67">
        <v>111943.83</v>
      </c>
      <c r="AA268" s="68">
        <v>210527.58799999999</v>
      </c>
      <c r="AB268" s="69">
        <v>1453000</v>
      </c>
      <c r="AC268" s="70">
        <v>1555030</v>
      </c>
      <c r="AD268" s="67">
        <v>106628.55959999991</v>
      </c>
      <c r="AE268" s="68">
        <v>41111.661299999927</v>
      </c>
      <c r="AF268" s="69">
        <v>1663885</v>
      </c>
      <c r="AG268" s="70">
        <v>1663885</v>
      </c>
      <c r="AH268" s="70">
        <f t="shared" si="76"/>
        <v>152231.53480000002</v>
      </c>
      <c r="AI268" s="70">
        <f t="shared" si="77"/>
        <v>182924.13575999998</v>
      </c>
      <c r="AJ268" s="70">
        <f t="shared" si="78"/>
        <v>135720.28755199994</v>
      </c>
      <c r="AK268" s="70">
        <f t="shared" si="79"/>
        <v>59456.392823999922</v>
      </c>
      <c r="AL268" s="70">
        <f t="shared" si="80"/>
        <v>1408095.605</v>
      </c>
      <c r="AM268" s="70">
        <f t="shared" si="81"/>
        <v>1506688.186</v>
      </c>
      <c r="AN268" s="70">
        <f t="shared" si="82"/>
        <v>1612309.5010000002</v>
      </c>
      <c r="AO268" s="70">
        <f t="shared" si="83"/>
        <v>1663885</v>
      </c>
    </row>
    <row r="269" spans="1:41">
      <c r="A269" s="29" t="s">
        <v>257</v>
      </c>
      <c r="B269" s="29" t="s">
        <v>843</v>
      </c>
      <c r="C269" s="107">
        <v>49804.93</v>
      </c>
      <c r="D269" s="108">
        <v>290000</v>
      </c>
      <c r="F269" s="107">
        <v>0</v>
      </c>
      <c r="G269" s="108">
        <v>540000</v>
      </c>
      <c r="I269" s="64">
        <v>0</v>
      </c>
      <c r="J269" s="83">
        <v>0</v>
      </c>
      <c r="K269" s="66">
        <v>540000</v>
      </c>
      <c r="L269" s="251">
        <v>541015.36040000001</v>
      </c>
      <c r="M269" s="63">
        <v>0</v>
      </c>
      <c r="N269" s="64">
        <v>0</v>
      </c>
      <c r="O269" s="65">
        <v>559753.49950000003</v>
      </c>
      <c r="P269" s="66">
        <v>575000</v>
      </c>
      <c r="Q269" s="66">
        <f t="shared" si="68"/>
        <v>13945.380400000002</v>
      </c>
      <c r="R269" s="63">
        <f t="shared" si="69"/>
        <v>0</v>
      </c>
      <c r="S269" s="83">
        <f t="shared" si="70"/>
        <v>0</v>
      </c>
      <c r="T269" s="64">
        <f t="shared" si="71"/>
        <v>0</v>
      </c>
      <c r="U269" s="66">
        <f t="shared" si="72"/>
        <v>421550</v>
      </c>
      <c r="V269" s="63">
        <f t="shared" si="73"/>
        <v>540534.28264247999</v>
      </c>
      <c r="W269" s="83">
        <f t="shared" si="74"/>
        <v>550875.36919442005</v>
      </c>
      <c r="X269" s="64">
        <f t="shared" si="75"/>
        <v>567776.2080631</v>
      </c>
      <c r="Z269" s="67">
        <v>0</v>
      </c>
      <c r="AA269" s="68">
        <v>43241.73449999997</v>
      </c>
      <c r="AB269" s="69">
        <v>540000</v>
      </c>
      <c r="AC269" s="70">
        <v>575000</v>
      </c>
      <c r="AD269" s="67">
        <v>0</v>
      </c>
      <c r="AE269" s="68">
        <v>0</v>
      </c>
      <c r="AF269" s="69">
        <v>559753.49950000003</v>
      </c>
      <c r="AG269" s="70">
        <v>575000</v>
      </c>
      <c r="AH269" s="70">
        <f t="shared" si="76"/>
        <v>13945.380400000002</v>
      </c>
      <c r="AI269" s="70">
        <f t="shared" si="77"/>
        <v>31134.048839999978</v>
      </c>
      <c r="AJ269" s="70">
        <f t="shared" si="78"/>
        <v>12107.685659999992</v>
      </c>
      <c r="AK269" s="70">
        <f t="shared" si="79"/>
        <v>0</v>
      </c>
      <c r="AL269" s="70">
        <f t="shared" si="80"/>
        <v>421550</v>
      </c>
      <c r="AM269" s="70">
        <f t="shared" si="81"/>
        <v>558417</v>
      </c>
      <c r="AN269" s="70">
        <f t="shared" si="82"/>
        <v>566977.29143690004</v>
      </c>
      <c r="AO269" s="70">
        <f t="shared" si="83"/>
        <v>567776.2080631</v>
      </c>
    </row>
    <row r="270" spans="1:41">
      <c r="A270" s="29" t="s">
        <v>201</v>
      </c>
      <c r="B270" s="29" t="s">
        <v>844</v>
      </c>
      <c r="C270" s="107">
        <v>0</v>
      </c>
      <c r="D270" s="108">
        <v>7850000</v>
      </c>
      <c r="F270" s="107">
        <v>0</v>
      </c>
      <c r="G270" s="108">
        <v>8250000</v>
      </c>
      <c r="I270" s="64">
        <v>0</v>
      </c>
      <c r="J270" s="83">
        <v>0</v>
      </c>
      <c r="K270" s="66">
        <v>8250000</v>
      </c>
      <c r="L270" s="251">
        <v>7737118.415</v>
      </c>
      <c r="M270" s="63">
        <v>0</v>
      </c>
      <c r="N270" s="64">
        <v>0</v>
      </c>
      <c r="O270" s="65">
        <v>8005253.9069999997</v>
      </c>
      <c r="P270" s="66">
        <v>8322395.3505000006</v>
      </c>
      <c r="Q270" s="66">
        <f t="shared" si="68"/>
        <v>0</v>
      </c>
      <c r="R270" s="63">
        <f t="shared" si="69"/>
        <v>0</v>
      </c>
      <c r="S270" s="83">
        <f t="shared" si="70"/>
        <v>0</v>
      </c>
      <c r="T270" s="64">
        <f t="shared" si="71"/>
        <v>0</v>
      </c>
      <c r="U270" s="66">
        <f t="shared" si="72"/>
        <v>8060480</v>
      </c>
      <c r="V270" s="63">
        <f t="shared" si="73"/>
        <v>7980121.709973</v>
      </c>
      <c r="W270" s="83">
        <f t="shared" si="74"/>
        <v>7878211.3108903999</v>
      </c>
      <c r="X270" s="64">
        <f t="shared" si="75"/>
        <v>8172133.7345697004</v>
      </c>
      <c r="Z270" s="67">
        <v>0</v>
      </c>
      <c r="AA270" s="68">
        <v>0</v>
      </c>
      <c r="AB270" s="69">
        <v>8250000</v>
      </c>
      <c r="AC270" s="70">
        <v>8182303.1839999994</v>
      </c>
      <c r="AD270" s="67">
        <v>0</v>
      </c>
      <c r="AE270" s="68">
        <v>0</v>
      </c>
      <c r="AF270" s="69">
        <v>8005253.9069999997</v>
      </c>
      <c r="AG270" s="70">
        <v>8322395.3505000006</v>
      </c>
      <c r="AH270" s="70">
        <f t="shared" si="76"/>
        <v>0</v>
      </c>
      <c r="AI270" s="70">
        <f t="shared" si="77"/>
        <v>0</v>
      </c>
      <c r="AJ270" s="70">
        <f t="shared" si="78"/>
        <v>0</v>
      </c>
      <c r="AK270" s="70">
        <f t="shared" si="79"/>
        <v>0</v>
      </c>
      <c r="AL270" s="70">
        <f t="shared" si="80"/>
        <v>8060480</v>
      </c>
      <c r="AM270" s="70">
        <f t="shared" si="81"/>
        <v>8214377.9354208</v>
      </c>
      <c r="AN270" s="70">
        <f t="shared" si="82"/>
        <v>8089139.8544426002</v>
      </c>
      <c r="AO270" s="70">
        <f t="shared" si="83"/>
        <v>8172133.7345697004</v>
      </c>
    </row>
    <row r="271" spans="1:41">
      <c r="A271" s="29" t="s">
        <v>511</v>
      </c>
      <c r="B271" s="29" t="s">
        <v>845</v>
      </c>
      <c r="C271" s="107">
        <v>1373028.74</v>
      </c>
      <c r="D271" s="108">
        <v>16750000</v>
      </c>
      <c r="F271" s="107">
        <v>0</v>
      </c>
      <c r="G271" s="108">
        <v>18172977</v>
      </c>
      <c r="I271" s="64">
        <v>0</v>
      </c>
      <c r="J271" s="83">
        <v>674468.95289999922</v>
      </c>
      <c r="K271" s="66">
        <v>18172977</v>
      </c>
      <c r="L271" s="251">
        <v>18294020.914999999</v>
      </c>
      <c r="M271" s="63">
        <v>151880.9453999993</v>
      </c>
      <c r="N271" s="64">
        <v>0</v>
      </c>
      <c r="O271" s="65">
        <v>19535999.6501</v>
      </c>
      <c r="P271" s="66">
        <v>20310201.118899997</v>
      </c>
      <c r="Q271" s="66">
        <f t="shared" si="68"/>
        <v>384448.04720000003</v>
      </c>
      <c r="R271" s="63">
        <f t="shared" si="69"/>
        <v>485617.6460879994</v>
      </c>
      <c r="S271" s="83">
        <f t="shared" si="70"/>
        <v>298205.58749999927</v>
      </c>
      <c r="T271" s="64">
        <f t="shared" si="71"/>
        <v>42526.664711999809</v>
      </c>
      <c r="U271" s="66">
        <f t="shared" si="72"/>
        <v>17498770.497400001</v>
      </c>
      <c r="V271" s="63">
        <f t="shared" si="73"/>
        <v>18236670.308072999</v>
      </c>
      <c r="W271" s="83">
        <f t="shared" si="74"/>
        <v>18947550.125409618</v>
      </c>
      <c r="X271" s="64">
        <f t="shared" si="75"/>
        <v>19943384.462982558</v>
      </c>
      <c r="Z271" s="67">
        <v>0</v>
      </c>
      <c r="AA271" s="68">
        <v>1067419.8266999987</v>
      </c>
      <c r="AB271" s="69">
        <v>18172977</v>
      </c>
      <c r="AC271" s="70">
        <v>18294020.914999999</v>
      </c>
      <c r="AD271" s="67">
        <v>151880.9453999993</v>
      </c>
      <c r="AE271" s="68">
        <v>0</v>
      </c>
      <c r="AF271" s="69">
        <v>19535999.6501</v>
      </c>
      <c r="AG271" s="70">
        <v>20310201.118899997</v>
      </c>
      <c r="AH271" s="70">
        <f t="shared" si="76"/>
        <v>384448.04720000003</v>
      </c>
      <c r="AI271" s="70">
        <f t="shared" si="77"/>
        <v>768542.27522399905</v>
      </c>
      <c r="AJ271" s="70">
        <f t="shared" si="78"/>
        <v>408231.83216399915</v>
      </c>
      <c r="AK271" s="70">
        <f t="shared" si="79"/>
        <v>42526.664711999809</v>
      </c>
      <c r="AL271" s="70">
        <f t="shared" si="80"/>
        <v>17498770.497400001</v>
      </c>
      <c r="AM271" s="70">
        <f t="shared" si="81"/>
        <v>18236670.308072999</v>
      </c>
      <c r="AN271" s="70">
        <f t="shared" si="82"/>
        <v>18947550.125409618</v>
      </c>
      <c r="AO271" s="70">
        <f t="shared" si="83"/>
        <v>19943384.462982558</v>
      </c>
    </row>
    <row r="272" spans="1:41">
      <c r="A272" s="29" t="s">
        <v>581</v>
      </c>
      <c r="B272" s="29" t="s">
        <v>846</v>
      </c>
      <c r="C272" s="107">
        <v>446193.49</v>
      </c>
      <c r="D272" s="108">
        <v>922500</v>
      </c>
      <c r="F272" s="107">
        <v>410087.1</v>
      </c>
      <c r="G272" s="108">
        <v>922500</v>
      </c>
      <c r="I272" s="64">
        <v>410087.1</v>
      </c>
      <c r="J272" s="83">
        <v>733927.44654599985</v>
      </c>
      <c r="K272" s="66">
        <v>922500</v>
      </c>
      <c r="L272" s="251">
        <v>922500</v>
      </c>
      <c r="M272" s="63">
        <v>665450.87185799994</v>
      </c>
      <c r="N272" s="64">
        <v>609240.34209599986</v>
      </c>
      <c r="O272" s="65">
        <v>922500</v>
      </c>
      <c r="P272" s="66">
        <v>922500</v>
      </c>
      <c r="Q272" s="66">
        <f t="shared" si="68"/>
        <v>420196.88919999998</v>
      </c>
      <c r="R272" s="63">
        <f t="shared" si="69"/>
        <v>643252.14951311995</v>
      </c>
      <c r="S272" s="83">
        <f t="shared" si="70"/>
        <v>684624.3127706399</v>
      </c>
      <c r="T272" s="64">
        <f t="shared" si="71"/>
        <v>624979.29042935988</v>
      </c>
      <c r="U272" s="66">
        <f t="shared" si="72"/>
        <v>922500</v>
      </c>
      <c r="V272" s="63">
        <f t="shared" si="73"/>
        <v>922500</v>
      </c>
      <c r="W272" s="83">
        <f t="shared" si="74"/>
        <v>922500</v>
      </c>
      <c r="X272" s="64">
        <f t="shared" si="75"/>
        <v>922500</v>
      </c>
      <c r="Z272" s="67">
        <v>410087.1</v>
      </c>
      <c r="AA272" s="68">
        <v>733927.44654599985</v>
      </c>
      <c r="AB272" s="69">
        <v>922500</v>
      </c>
      <c r="AC272" s="70">
        <v>922500</v>
      </c>
      <c r="AD272" s="67">
        <v>665450.87185799994</v>
      </c>
      <c r="AE272" s="68">
        <v>609240.34209599986</v>
      </c>
      <c r="AF272" s="69">
        <v>922500</v>
      </c>
      <c r="AG272" s="70">
        <v>922500</v>
      </c>
      <c r="AH272" s="70">
        <f t="shared" si="76"/>
        <v>420196.88919999998</v>
      </c>
      <c r="AI272" s="70">
        <f t="shared" si="77"/>
        <v>643252.14951311995</v>
      </c>
      <c r="AJ272" s="70">
        <f t="shared" si="78"/>
        <v>684624.3127706399</v>
      </c>
      <c r="AK272" s="70">
        <f t="shared" si="79"/>
        <v>624979.29042935988</v>
      </c>
      <c r="AL272" s="70">
        <f t="shared" si="80"/>
        <v>922500</v>
      </c>
      <c r="AM272" s="70">
        <f t="shared" si="81"/>
        <v>922500</v>
      </c>
      <c r="AN272" s="70">
        <f t="shared" si="82"/>
        <v>922500</v>
      </c>
      <c r="AO272" s="70">
        <f t="shared" si="83"/>
        <v>922500</v>
      </c>
    </row>
    <row r="273" spans="1:41">
      <c r="A273" s="29" t="s">
        <v>369</v>
      </c>
      <c r="B273" s="29" t="s">
        <v>847</v>
      </c>
      <c r="C273" s="107">
        <v>2022238</v>
      </c>
      <c r="D273" s="108">
        <v>12053000</v>
      </c>
      <c r="F273" s="107">
        <v>1322159.98</v>
      </c>
      <c r="G273" s="108">
        <v>13258000</v>
      </c>
      <c r="I273" s="64">
        <v>1322159.98</v>
      </c>
      <c r="J273" s="83">
        <v>1494507.1325999999</v>
      </c>
      <c r="K273" s="66">
        <v>13258000</v>
      </c>
      <c r="L273" s="251">
        <v>13258000</v>
      </c>
      <c r="M273" s="63">
        <v>1251451.3479000002</v>
      </c>
      <c r="N273" s="64">
        <v>1020417.0668999997</v>
      </c>
      <c r="O273" s="65">
        <v>13258000</v>
      </c>
      <c r="P273" s="66">
        <v>13258000</v>
      </c>
      <c r="Q273" s="66">
        <f t="shared" si="68"/>
        <v>1518181.8256000001</v>
      </c>
      <c r="R273" s="63">
        <f t="shared" si="69"/>
        <v>1446249.9298719999</v>
      </c>
      <c r="S273" s="83">
        <f t="shared" si="70"/>
        <v>1319506.9676160002</v>
      </c>
      <c r="T273" s="64">
        <f t="shared" si="71"/>
        <v>1085106.6655799998</v>
      </c>
      <c r="U273" s="66">
        <f t="shared" si="72"/>
        <v>12687071</v>
      </c>
      <c r="V273" s="63">
        <f t="shared" si="73"/>
        <v>13258000</v>
      </c>
      <c r="W273" s="83">
        <f t="shared" si="74"/>
        <v>13258000</v>
      </c>
      <c r="X273" s="64">
        <f t="shared" si="75"/>
        <v>13258000</v>
      </c>
      <c r="Z273" s="67">
        <v>1322159.98</v>
      </c>
      <c r="AA273" s="68">
        <v>1494507.1325999999</v>
      </c>
      <c r="AB273" s="69">
        <v>13258000</v>
      </c>
      <c r="AC273" s="70">
        <v>13258000</v>
      </c>
      <c r="AD273" s="67">
        <v>1251451.3479000002</v>
      </c>
      <c r="AE273" s="68">
        <v>1020417.0668999997</v>
      </c>
      <c r="AF273" s="69">
        <v>13258000</v>
      </c>
      <c r="AG273" s="70">
        <v>13258000</v>
      </c>
      <c r="AH273" s="70">
        <f t="shared" si="76"/>
        <v>1518181.8256000001</v>
      </c>
      <c r="AI273" s="70">
        <f t="shared" si="77"/>
        <v>1446249.9298719999</v>
      </c>
      <c r="AJ273" s="70">
        <f t="shared" si="78"/>
        <v>1319506.9676160002</v>
      </c>
      <c r="AK273" s="70">
        <f t="shared" si="79"/>
        <v>1085106.6655799998</v>
      </c>
      <c r="AL273" s="70">
        <f t="shared" si="80"/>
        <v>12687071</v>
      </c>
      <c r="AM273" s="70">
        <f t="shared" si="81"/>
        <v>13258000</v>
      </c>
      <c r="AN273" s="70">
        <f t="shared" si="82"/>
        <v>13258000</v>
      </c>
      <c r="AO273" s="70">
        <f t="shared" si="83"/>
        <v>13258000</v>
      </c>
    </row>
    <row r="274" spans="1:41">
      <c r="A274" s="29" t="s">
        <v>489</v>
      </c>
      <c r="B274" s="29" t="s">
        <v>848</v>
      </c>
      <c r="C274" s="107">
        <v>952381.13</v>
      </c>
      <c r="D274" s="108">
        <v>152000</v>
      </c>
      <c r="F274" s="107">
        <v>1150999.3999999999</v>
      </c>
      <c r="G274" s="108">
        <v>152000</v>
      </c>
      <c r="I274" s="64">
        <v>1150999.3999999999</v>
      </c>
      <c r="J274" s="83">
        <v>1220327.13708</v>
      </c>
      <c r="K274" s="66">
        <v>152000</v>
      </c>
      <c r="L274" s="251">
        <v>152000</v>
      </c>
      <c r="M274" s="63">
        <v>1189036.5732799999</v>
      </c>
      <c r="N274" s="64">
        <v>1177182.2626739999</v>
      </c>
      <c r="O274" s="65">
        <v>152000</v>
      </c>
      <c r="P274" s="66">
        <v>152000</v>
      </c>
      <c r="Q274" s="66">
        <f t="shared" si="68"/>
        <v>1095386.2843999998</v>
      </c>
      <c r="R274" s="63">
        <f t="shared" si="69"/>
        <v>1200915.3706976001</v>
      </c>
      <c r="S274" s="83">
        <f t="shared" si="70"/>
        <v>1197797.931144</v>
      </c>
      <c r="T274" s="64">
        <f t="shared" si="71"/>
        <v>1180501.4696436799</v>
      </c>
      <c r="U274" s="66">
        <f t="shared" si="72"/>
        <v>152000</v>
      </c>
      <c r="V274" s="63">
        <f t="shared" si="73"/>
        <v>152000</v>
      </c>
      <c r="W274" s="83">
        <f t="shared" si="74"/>
        <v>152000</v>
      </c>
      <c r="X274" s="64">
        <f t="shared" si="75"/>
        <v>152000</v>
      </c>
      <c r="Z274" s="67">
        <v>1150999.3999999999</v>
      </c>
      <c r="AA274" s="68">
        <v>1220327.13708</v>
      </c>
      <c r="AB274" s="69">
        <v>152000</v>
      </c>
      <c r="AC274" s="70">
        <v>152000</v>
      </c>
      <c r="AD274" s="67">
        <v>1189036.5732799999</v>
      </c>
      <c r="AE274" s="68">
        <v>1177182.2626739999</v>
      </c>
      <c r="AF274" s="69">
        <v>152000</v>
      </c>
      <c r="AG274" s="70">
        <v>152000</v>
      </c>
      <c r="AH274" s="70">
        <f t="shared" si="76"/>
        <v>1095386.2843999998</v>
      </c>
      <c r="AI274" s="70">
        <f t="shared" si="77"/>
        <v>1200915.3706976001</v>
      </c>
      <c r="AJ274" s="70">
        <f t="shared" si="78"/>
        <v>1197797.931144</v>
      </c>
      <c r="AK274" s="70">
        <f t="shared" si="79"/>
        <v>1180501.4696436799</v>
      </c>
      <c r="AL274" s="70">
        <f t="shared" si="80"/>
        <v>152000</v>
      </c>
      <c r="AM274" s="70">
        <f t="shared" si="81"/>
        <v>152000</v>
      </c>
      <c r="AN274" s="70">
        <f t="shared" si="82"/>
        <v>152000</v>
      </c>
      <c r="AO274" s="70">
        <f t="shared" si="83"/>
        <v>152000</v>
      </c>
    </row>
    <row r="275" spans="1:41">
      <c r="A275" s="29" t="s">
        <v>55</v>
      </c>
      <c r="B275" s="29" t="s">
        <v>849</v>
      </c>
      <c r="C275" s="107">
        <v>2912848.12</v>
      </c>
      <c r="D275" s="108">
        <v>45400000</v>
      </c>
      <c r="F275" s="107">
        <v>0</v>
      </c>
      <c r="G275" s="108">
        <v>48640000</v>
      </c>
      <c r="I275" s="64">
        <v>0</v>
      </c>
      <c r="J275" s="83">
        <v>0</v>
      </c>
      <c r="K275" s="66">
        <v>48640000</v>
      </c>
      <c r="L275" s="251">
        <v>52175000</v>
      </c>
      <c r="M275" s="63">
        <v>0</v>
      </c>
      <c r="N275" s="64">
        <v>0</v>
      </c>
      <c r="O275" s="65">
        <v>52175000</v>
      </c>
      <c r="P275" s="66">
        <v>52175000</v>
      </c>
      <c r="Q275" s="66">
        <f t="shared" si="68"/>
        <v>815597.47360000014</v>
      </c>
      <c r="R275" s="63">
        <f t="shared" si="69"/>
        <v>0</v>
      </c>
      <c r="S275" s="83">
        <f t="shared" si="70"/>
        <v>0</v>
      </c>
      <c r="T275" s="64">
        <f t="shared" si="71"/>
        <v>0</v>
      </c>
      <c r="U275" s="66">
        <f t="shared" si="72"/>
        <v>47104888</v>
      </c>
      <c r="V275" s="63">
        <f t="shared" si="73"/>
        <v>50500117</v>
      </c>
      <c r="W275" s="83">
        <f t="shared" si="74"/>
        <v>52175000</v>
      </c>
      <c r="X275" s="64">
        <f t="shared" si="75"/>
        <v>52175000</v>
      </c>
      <c r="Z275" s="67">
        <v>0</v>
      </c>
      <c r="AA275" s="68">
        <v>127229.14939999767</v>
      </c>
      <c r="AB275" s="69">
        <v>48640000</v>
      </c>
      <c r="AC275" s="70">
        <v>52175000</v>
      </c>
      <c r="AD275" s="67">
        <v>0</v>
      </c>
      <c r="AE275" s="68">
        <v>0</v>
      </c>
      <c r="AF275" s="69">
        <v>52175000</v>
      </c>
      <c r="AG275" s="70">
        <v>52175000</v>
      </c>
      <c r="AH275" s="70">
        <f t="shared" si="76"/>
        <v>815597.47360000014</v>
      </c>
      <c r="AI275" s="70">
        <f t="shared" si="77"/>
        <v>91604.987567998323</v>
      </c>
      <c r="AJ275" s="70">
        <f t="shared" si="78"/>
        <v>35624.16183199935</v>
      </c>
      <c r="AK275" s="70">
        <f t="shared" si="79"/>
        <v>0</v>
      </c>
      <c r="AL275" s="70">
        <f t="shared" si="80"/>
        <v>47104888</v>
      </c>
      <c r="AM275" s="70">
        <f t="shared" si="81"/>
        <v>50500117</v>
      </c>
      <c r="AN275" s="70">
        <f t="shared" si="82"/>
        <v>52175000</v>
      </c>
      <c r="AO275" s="70">
        <f t="shared" si="83"/>
        <v>52175000</v>
      </c>
    </row>
    <row r="276" spans="1:41">
      <c r="A276" s="29" t="s">
        <v>193</v>
      </c>
      <c r="B276" s="29" t="s">
        <v>850</v>
      </c>
      <c r="C276" s="107">
        <v>0</v>
      </c>
      <c r="D276" s="108">
        <v>3906182</v>
      </c>
      <c r="F276" s="107">
        <v>0</v>
      </c>
      <c r="G276" s="108">
        <v>5274470</v>
      </c>
      <c r="I276" s="64">
        <v>0</v>
      </c>
      <c r="J276" s="83">
        <v>0</v>
      </c>
      <c r="K276" s="66">
        <v>5274470</v>
      </c>
      <c r="L276" s="251">
        <v>4256156.3832</v>
      </c>
      <c r="M276" s="63">
        <v>0</v>
      </c>
      <c r="N276" s="64">
        <v>0</v>
      </c>
      <c r="O276" s="65">
        <v>4403639.1218999997</v>
      </c>
      <c r="P276" s="66">
        <v>4578105.9323999994</v>
      </c>
      <c r="Q276" s="66">
        <f t="shared" si="68"/>
        <v>0</v>
      </c>
      <c r="R276" s="63">
        <f t="shared" si="69"/>
        <v>0</v>
      </c>
      <c r="S276" s="83">
        <f t="shared" si="70"/>
        <v>0</v>
      </c>
      <c r="T276" s="64">
        <f t="shared" si="71"/>
        <v>0</v>
      </c>
      <c r="U276" s="66">
        <f t="shared" si="72"/>
        <v>4626175.1456000004</v>
      </c>
      <c r="V276" s="63">
        <f t="shared" si="73"/>
        <v>4738633.3748398405</v>
      </c>
      <c r="W276" s="83">
        <f t="shared" si="74"/>
        <v>4333761.8003039397</v>
      </c>
      <c r="X276" s="64">
        <f t="shared" si="75"/>
        <v>4495443.5575850997</v>
      </c>
      <c r="Z276" s="67">
        <v>0</v>
      </c>
      <c r="AA276" s="68">
        <v>0</v>
      </c>
      <c r="AB276" s="69">
        <v>5274470</v>
      </c>
      <c r="AC276" s="70">
        <v>4319170.2505999999</v>
      </c>
      <c r="AD276" s="67">
        <v>0</v>
      </c>
      <c r="AE276" s="68">
        <v>0</v>
      </c>
      <c r="AF276" s="69">
        <v>4403639.1218999997</v>
      </c>
      <c r="AG276" s="70">
        <v>4578105.9323999994</v>
      </c>
      <c r="AH276" s="70">
        <f t="shared" si="76"/>
        <v>0</v>
      </c>
      <c r="AI276" s="70">
        <f t="shared" si="77"/>
        <v>0</v>
      </c>
      <c r="AJ276" s="70">
        <f t="shared" si="78"/>
        <v>0</v>
      </c>
      <c r="AK276" s="70">
        <f t="shared" si="79"/>
        <v>0</v>
      </c>
      <c r="AL276" s="70">
        <f t="shared" si="80"/>
        <v>4626175.1456000004</v>
      </c>
      <c r="AM276" s="70">
        <f t="shared" si="81"/>
        <v>4771791.2718657199</v>
      </c>
      <c r="AN276" s="70">
        <f t="shared" si="82"/>
        <v>4363617.7706780601</v>
      </c>
      <c r="AO276" s="70">
        <f t="shared" si="83"/>
        <v>4495443.5575850997</v>
      </c>
    </row>
    <row r="277" spans="1:41">
      <c r="A277" s="29" t="s">
        <v>523</v>
      </c>
      <c r="B277" s="29" t="s">
        <v>851</v>
      </c>
      <c r="C277" s="107">
        <v>55791.64</v>
      </c>
      <c r="D277" s="108">
        <v>997000</v>
      </c>
      <c r="F277" s="107">
        <v>0</v>
      </c>
      <c r="G277" s="108">
        <v>997000</v>
      </c>
      <c r="I277" s="64">
        <v>0</v>
      </c>
      <c r="J277" s="83">
        <v>0</v>
      </c>
      <c r="K277" s="66">
        <v>997000</v>
      </c>
      <c r="L277" s="251">
        <v>997000</v>
      </c>
      <c r="M277" s="63">
        <v>0</v>
      </c>
      <c r="N277" s="64">
        <v>0</v>
      </c>
      <c r="O277" s="65">
        <v>997000</v>
      </c>
      <c r="P277" s="66">
        <v>997000</v>
      </c>
      <c r="Q277" s="66">
        <f t="shared" si="68"/>
        <v>15621.659200000002</v>
      </c>
      <c r="R277" s="63">
        <f t="shared" si="69"/>
        <v>0</v>
      </c>
      <c r="S277" s="83">
        <f t="shared" si="70"/>
        <v>0</v>
      </c>
      <c r="T277" s="64">
        <f t="shared" si="71"/>
        <v>0</v>
      </c>
      <c r="U277" s="66">
        <f t="shared" si="72"/>
        <v>997000</v>
      </c>
      <c r="V277" s="63">
        <f t="shared" si="73"/>
        <v>997000</v>
      </c>
      <c r="W277" s="83">
        <f t="shared" si="74"/>
        <v>997000</v>
      </c>
      <c r="X277" s="64">
        <f t="shared" si="75"/>
        <v>997000</v>
      </c>
      <c r="Z277" s="67">
        <v>0</v>
      </c>
      <c r="AA277" s="68">
        <v>38890.586900000024</v>
      </c>
      <c r="AB277" s="69">
        <v>997000</v>
      </c>
      <c r="AC277" s="70">
        <v>997000</v>
      </c>
      <c r="AD277" s="67">
        <v>0</v>
      </c>
      <c r="AE277" s="68">
        <v>0</v>
      </c>
      <c r="AF277" s="69">
        <v>997000</v>
      </c>
      <c r="AG277" s="70">
        <v>997000</v>
      </c>
      <c r="AH277" s="70">
        <f t="shared" si="76"/>
        <v>15621.659200000002</v>
      </c>
      <c r="AI277" s="70">
        <f t="shared" si="77"/>
        <v>28001.222568000016</v>
      </c>
      <c r="AJ277" s="70">
        <f t="shared" si="78"/>
        <v>10889.364332000008</v>
      </c>
      <c r="AK277" s="70">
        <f t="shared" si="79"/>
        <v>0</v>
      </c>
      <c r="AL277" s="70">
        <f t="shared" si="80"/>
        <v>997000</v>
      </c>
      <c r="AM277" s="70">
        <f t="shared" si="81"/>
        <v>997000</v>
      </c>
      <c r="AN277" s="70">
        <f t="shared" si="82"/>
        <v>997000</v>
      </c>
      <c r="AO277" s="70">
        <f t="shared" si="83"/>
        <v>997000</v>
      </c>
    </row>
    <row r="278" spans="1:41">
      <c r="A278" s="29" t="s">
        <v>121</v>
      </c>
      <c r="B278" s="29" t="s">
        <v>852</v>
      </c>
      <c r="C278" s="107">
        <v>2720099.8</v>
      </c>
      <c r="D278" s="108">
        <v>2214962</v>
      </c>
      <c r="F278" s="107">
        <v>2829074.82</v>
      </c>
      <c r="G278" s="108">
        <v>2434238</v>
      </c>
      <c r="I278" s="64">
        <v>2829074.82</v>
      </c>
      <c r="J278" s="83">
        <v>3052039.2398999999</v>
      </c>
      <c r="K278" s="66">
        <v>2434238</v>
      </c>
      <c r="L278" s="251">
        <v>2162929.125</v>
      </c>
      <c r="M278" s="63">
        <v>3130677.9783000005</v>
      </c>
      <c r="N278" s="64">
        <v>3244982.9309999999</v>
      </c>
      <c r="O278" s="65">
        <v>2283120.9300000002</v>
      </c>
      <c r="P278" s="66">
        <v>2389790.9175</v>
      </c>
      <c r="Q278" s="66">
        <f t="shared" si="68"/>
        <v>2798561.8144</v>
      </c>
      <c r="R278" s="63">
        <f t="shared" si="69"/>
        <v>2989609.2023279998</v>
      </c>
      <c r="S278" s="83">
        <f t="shared" si="70"/>
        <v>3108659.1315480005</v>
      </c>
      <c r="T278" s="64">
        <f t="shared" si="71"/>
        <v>3212977.5442439998</v>
      </c>
      <c r="U278" s="66">
        <f t="shared" si="72"/>
        <v>2330345.0312000001</v>
      </c>
      <c r="V278" s="63">
        <f t="shared" si="73"/>
        <v>2291475.2699750001</v>
      </c>
      <c r="W278" s="83">
        <f t="shared" si="74"/>
        <v>2226174.0527909999</v>
      </c>
      <c r="X278" s="64">
        <f t="shared" si="75"/>
        <v>2339250.6774225002</v>
      </c>
      <c r="Z278" s="67">
        <v>2829074.82</v>
      </c>
      <c r="AA278" s="68">
        <v>3052039.2398999999</v>
      </c>
      <c r="AB278" s="69">
        <v>2434238</v>
      </c>
      <c r="AC278" s="70">
        <v>2162929.125</v>
      </c>
      <c r="AD278" s="67">
        <v>3130677.9783000005</v>
      </c>
      <c r="AE278" s="68">
        <v>3244982.9309999999</v>
      </c>
      <c r="AF278" s="69">
        <v>2283120.9300000002</v>
      </c>
      <c r="AG278" s="70">
        <v>2389790.9175</v>
      </c>
      <c r="AH278" s="70">
        <f t="shared" si="76"/>
        <v>2798561.8144</v>
      </c>
      <c r="AI278" s="70">
        <f t="shared" si="77"/>
        <v>2989609.2023279998</v>
      </c>
      <c r="AJ278" s="70">
        <f t="shared" si="78"/>
        <v>3108659.1315480005</v>
      </c>
      <c r="AK278" s="70">
        <f t="shared" si="79"/>
        <v>3212977.5442439998</v>
      </c>
      <c r="AL278" s="70">
        <f t="shared" si="80"/>
        <v>2330345.0312000001</v>
      </c>
      <c r="AM278" s="70">
        <f t="shared" si="81"/>
        <v>2291475.2699750001</v>
      </c>
      <c r="AN278" s="70">
        <f t="shared" si="82"/>
        <v>2226174.0527909999</v>
      </c>
      <c r="AO278" s="70">
        <f t="shared" si="83"/>
        <v>2339250.6774225002</v>
      </c>
    </row>
    <row r="279" spans="1:41">
      <c r="A279" s="29" t="s">
        <v>535</v>
      </c>
      <c r="B279" s="29" t="s">
        <v>853</v>
      </c>
      <c r="C279" s="107">
        <v>156008.42000000001</v>
      </c>
      <c r="D279" s="108">
        <v>490289</v>
      </c>
      <c r="F279" s="107">
        <v>91442.71</v>
      </c>
      <c r="G279" s="108">
        <v>640535</v>
      </c>
      <c r="I279" s="64">
        <v>91442.71</v>
      </c>
      <c r="J279" s="83">
        <v>105219.43349999993</v>
      </c>
      <c r="K279" s="66">
        <v>640535</v>
      </c>
      <c r="L279" s="251">
        <v>494295.60749999998</v>
      </c>
      <c r="M279" s="63">
        <v>112636.86810000001</v>
      </c>
      <c r="N279" s="64">
        <v>112331.27910000001</v>
      </c>
      <c r="O279" s="65">
        <v>505486.4375</v>
      </c>
      <c r="P279" s="66">
        <v>533912.37749999994</v>
      </c>
      <c r="Q279" s="66">
        <f t="shared" si="68"/>
        <v>109521.10880000002</v>
      </c>
      <c r="R279" s="63">
        <f t="shared" si="69"/>
        <v>101361.95091999994</v>
      </c>
      <c r="S279" s="83">
        <f t="shared" si="70"/>
        <v>110559.986412</v>
      </c>
      <c r="T279" s="64">
        <f t="shared" si="71"/>
        <v>112416.84402000002</v>
      </c>
      <c r="U279" s="66">
        <f t="shared" si="72"/>
        <v>569348.44519999996</v>
      </c>
      <c r="V279" s="63">
        <f t="shared" si="73"/>
        <v>563583.83166649996</v>
      </c>
      <c r="W279" s="83">
        <f t="shared" si="74"/>
        <v>500184.22224599996</v>
      </c>
      <c r="X279" s="64">
        <f t="shared" si="75"/>
        <v>520444.167128</v>
      </c>
      <c r="Z279" s="67">
        <v>91442.71</v>
      </c>
      <c r="AA279" s="68">
        <v>188527.43450000003</v>
      </c>
      <c r="AB279" s="69">
        <v>640535</v>
      </c>
      <c r="AC279" s="70">
        <v>494295.60749999998</v>
      </c>
      <c r="AD279" s="67">
        <v>112636.86810000001</v>
      </c>
      <c r="AE279" s="68">
        <v>112331.27910000001</v>
      </c>
      <c r="AF279" s="69">
        <v>505486.4375</v>
      </c>
      <c r="AG279" s="70">
        <v>533912.37749999994</v>
      </c>
      <c r="AH279" s="70">
        <f t="shared" si="76"/>
        <v>109521.10880000002</v>
      </c>
      <c r="AI279" s="70">
        <f t="shared" si="77"/>
        <v>161343.71164000002</v>
      </c>
      <c r="AJ279" s="70">
        <f t="shared" si="78"/>
        <v>133886.22669200003</v>
      </c>
      <c r="AK279" s="70">
        <f t="shared" si="79"/>
        <v>112416.84402000002</v>
      </c>
      <c r="AL279" s="70">
        <f t="shared" si="80"/>
        <v>569348.44519999996</v>
      </c>
      <c r="AM279" s="70">
        <f t="shared" si="81"/>
        <v>563583.83166649996</v>
      </c>
      <c r="AN279" s="70">
        <f t="shared" si="82"/>
        <v>500184.22224599996</v>
      </c>
      <c r="AO279" s="70">
        <f t="shared" si="83"/>
        <v>520444.167128</v>
      </c>
    </row>
    <row r="280" spans="1:41">
      <c r="A280" s="29" t="s">
        <v>527</v>
      </c>
      <c r="B280" s="29" t="s">
        <v>854</v>
      </c>
      <c r="C280" s="107">
        <v>3325252.83</v>
      </c>
      <c r="D280" s="108">
        <v>11010402</v>
      </c>
      <c r="F280" s="107">
        <v>2566230.59</v>
      </c>
      <c r="G280" s="108">
        <v>11285662</v>
      </c>
      <c r="I280" s="64">
        <v>2566230.59</v>
      </c>
      <c r="J280" s="83">
        <v>3303499.6303999997</v>
      </c>
      <c r="K280" s="66">
        <v>11285662</v>
      </c>
      <c r="L280" s="251">
        <v>10866705.890000001</v>
      </c>
      <c r="M280" s="63">
        <v>3132466.4630999994</v>
      </c>
      <c r="N280" s="64">
        <v>3133222.7649000012</v>
      </c>
      <c r="O280" s="65">
        <v>11719634.26</v>
      </c>
      <c r="P280" s="66">
        <v>11856999</v>
      </c>
      <c r="Q280" s="66">
        <f t="shared" si="68"/>
        <v>2778756.8171999999</v>
      </c>
      <c r="R280" s="63">
        <f t="shared" si="69"/>
        <v>3097064.2990879999</v>
      </c>
      <c r="S280" s="83">
        <f t="shared" si="70"/>
        <v>3180355.7499439996</v>
      </c>
      <c r="T280" s="64">
        <f t="shared" si="71"/>
        <v>3133011.0003960012</v>
      </c>
      <c r="U280" s="66">
        <f t="shared" si="72"/>
        <v>11155243.811999999</v>
      </c>
      <c r="V280" s="63">
        <f t="shared" si="73"/>
        <v>11065207.294918001</v>
      </c>
      <c r="W280" s="83">
        <f t="shared" si="74"/>
        <v>11315516.798294</v>
      </c>
      <c r="X280" s="64">
        <f t="shared" si="75"/>
        <v>11791915.586188</v>
      </c>
      <c r="Z280" s="67">
        <v>2566230.59</v>
      </c>
      <c r="AA280" s="68">
        <v>3570564.8318999996</v>
      </c>
      <c r="AB280" s="69">
        <v>11285662</v>
      </c>
      <c r="AC280" s="70">
        <v>10866705.890000001</v>
      </c>
      <c r="AD280" s="67">
        <v>3132466.4630999994</v>
      </c>
      <c r="AE280" s="68">
        <v>3133222.7649000012</v>
      </c>
      <c r="AF280" s="69">
        <v>11719634.26</v>
      </c>
      <c r="AG280" s="70">
        <v>11856999</v>
      </c>
      <c r="AH280" s="70">
        <f t="shared" si="76"/>
        <v>2778756.8171999999</v>
      </c>
      <c r="AI280" s="70">
        <f t="shared" si="77"/>
        <v>3289351.2441679998</v>
      </c>
      <c r="AJ280" s="70">
        <f t="shared" si="78"/>
        <v>3255134.0063639996</v>
      </c>
      <c r="AK280" s="70">
        <f t="shared" si="79"/>
        <v>3133011.0003960012</v>
      </c>
      <c r="AL280" s="70">
        <f t="shared" si="80"/>
        <v>11155243.811999999</v>
      </c>
      <c r="AM280" s="70">
        <f t="shared" si="81"/>
        <v>11065207.294918001</v>
      </c>
      <c r="AN280" s="70">
        <f t="shared" si="82"/>
        <v>11315516.798294</v>
      </c>
      <c r="AO280" s="70">
        <f t="shared" si="83"/>
        <v>11791915.586188</v>
      </c>
    </row>
    <row r="281" spans="1:41">
      <c r="A281" s="29" t="s">
        <v>605</v>
      </c>
      <c r="B281" s="29" t="s">
        <v>855</v>
      </c>
      <c r="C281" s="107">
        <v>4046853.2</v>
      </c>
      <c r="D281" s="108">
        <v>1350000</v>
      </c>
      <c r="F281" s="107">
        <v>4006526.46</v>
      </c>
      <c r="G281" s="108">
        <v>1350000</v>
      </c>
      <c r="I281" s="64">
        <v>4006526.46</v>
      </c>
      <c r="J281" s="83">
        <v>3888921.2800113331</v>
      </c>
      <c r="K281" s="66">
        <v>1350000</v>
      </c>
      <c r="L281" s="251">
        <v>1350000</v>
      </c>
      <c r="M281" s="63">
        <v>3799242.4137360002</v>
      </c>
      <c r="N281" s="64">
        <v>3676873.1506720004</v>
      </c>
      <c r="O281" s="65">
        <v>1350000</v>
      </c>
      <c r="P281" s="66">
        <v>1350000</v>
      </c>
      <c r="Q281" s="66">
        <f t="shared" si="68"/>
        <v>4017817.9471999998</v>
      </c>
      <c r="R281" s="63">
        <f t="shared" si="69"/>
        <v>3921850.73040816</v>
      </c>
      <c r="S281" s="83">
        <f t="shared" si="70"/>
        <v>3824352.4962930935</v>
      </c>
      <c r="T281" s="64">
        <f t="shared" si="71"/>
        <v>3711136.5443299208</v>
      </c>
      <c r="U281" s="66">
        <f t="shared" si="72"/>
        <v>1350000</v>
      </c>
      <c r="V281" s="63">
        <f t="shared" si="73"/>
        <v>1350000</v>
      </c>
      <c r="W281" s="83">
        <f t="shared" si="74"/>
        <v>1350000</v>
      </c>
      <c r="X281" s="64">
        <f t="shared" si="75"/>
        <v>1350000</v>
      </c>
      <c r="Z281" s="67">
        <v>4006526.46</v>
      </c>
      <c r="AA281" s="68">
        <v>4026101.3146473337</v>
      </c>
      <c r="AB281" s="69">
        <v>1350000</v>
      </c>
      <c r="AC281" s="70">
        <v>1350000</v>
      </c>
      <c r="AD281" s="67">
        <v>3799242.4137360002</v>
      </c>
      <c r="AE281" s="68">
        <v>3676873.1506720004</v>
      </c>
      <c r="AF281" s="69">
        <v>1350000</v>
      </c>
      <c r="AG281" s="70">
        <v>1350000</v>
      </c>
      <c r="AH281" s="70">
        <f t="shared" si="76"/>
        <v>4017817.9471999998</v>
      </c>
      <c r="AI281" s="70">
        <f t="shared" si="77"/>
        <v>4020620.3553460799</v>
      </c>
      <c r="AJ281" s="70">
        <f t="shared" si="78"/>
        <v>3862762.9059911738</v>
      </c>
      <c r="AK281" s="70">
        <f t="shared" si="79"/>
        <v>3711136.5443299208</v>
      </c>
      <c r="AL281" s="70">
        <f t="shared" si="80"/>
        <v>1350000</v>
      </c>
      <c r="AM281" s="70">
        <f t="shared" si="81"/>
        <v>1350000</v>
      </c>
      <c r="AN281" s="70">
        <f t="shared" si="82"/>
        <v>1350000</v>
      </c>
      <c r="AO281" s="70">
        <f t="shared" si="83"/>
        <v>1350000</v>
      </c>
    </row>
    <row r="282" spans="1:41">
      <c r="A282" s="29" t="s">
        <v>125</v>
      </c>
      <c r="B282" s="29" t="s">
        <v>856</v>
      </c>
      <c r="C282" s="107">
        <v>657907.32999999996</v>
      </c>
      <c r="D282" s="108">
        <v>1082316</v>
      </c>
      <c r="F282" s="107">
        <v>663415.88</v>
      </c>
      <c r="G282" s="108">
        <v>1168901</v>
      </c>
      <c r="I282" s="64">
        <v>663415.88</v>
      </c>
      <c r="J282" s="83">
        <v>672768.23749999993</v>
      </c>
      <c r="K282" s="66">
        <v>1168901</v>
      </c>
      <c r="L282" s="251">
        <v>1168901</v>
      </c>
      <c r="M282" s="63">
        <v>678504.07470000011</v>
      </c>
      <c r="N282" s="64">
        <v>714342.40469999996</v>
      </c>
      <c r="O282" s="65">
        <v>1168901</v>
      </c>
      <c r="P282" s="66">
        <v>1168901</v>
      </c>
      <c r="Q282" s="66">
        <f t="shared" si="68"/>
        <v>661873.48600000003</v>
      </c>
      <c r="R282" s="63">
        <f t="shared" si="69"/>
        <v>670149.57739999995</v>
      </c>
      <c r="S282" s="83">
        <f t="shared" si="70"/>
        <v>676898.0402840001</v>
      </c>
      <c r="T282" s="64">
        <f t="shared" si="71"/>
        <v>704307.67229999998</v>
      </c>
      <c r="U282" s="66">
        <f t="shared" si="72"/>
        <v>1127877.027</v>
      </c>
      <c r="V282" s="63">
        <f t="shared" si="73"/>
        <v>1168901</v>
      </c>
      <c r="W282" s="83">
        <f t="shared" si="74"/>
        <v>1168901</v>
      </c>
      <c r="X282" s="64">
        <f t="shared" si="75"/>
        <v>1168901</v>
      </c>
      <c r="Z282" s="67">
        <v>663415.88</v>
      </c>
      <c r="AA282" s="68">
        <v>701402.03230000008</v>
      </c>
      <c r="AB282" s="69">
        <v>1168901</v>
      </c>
      <c r="AC282" s="70">
        <v>1168901</v>
      </c>
      <c r="AD282" s="67">
        <v>678504.07470000011</v>
      </c>
      <c r="AE282" s="68">
        <v>714342.40469999996</v>
      </c>
      <c r="AF282" s="69">
        <v>1168901</v>
      </c>
      <c r="AG282" s="70">
        <v>1168901</v>
      </c>
      <c r="AH282" s="70">
        <f t="shared" si="76"/>
        <v>661873.48600000003</v>
      </c>
      <c r="AI282" s="70">
        <f t="shared" si="77"/>
        <v>690765.90965600009</v>
      </c>
      <c r="AJ282" s="70">
        <f t="shared" si="78"/>
        <v>684915.50282800011</v>
      </c>
      <c r="AK282" s="70">
        <f t="shared" si="79"/>
        <v>704307.67229999998</v>
      </c>
      <c r="AL282" s="70">
        <f t="shared" si="80"/>
        <v>1127877.027</v>
      </c>
      <c r="AM282" s="70">
        <f t="shared" si="81"/>
        <v>1168901</v>
      </c>
      <c r="AN282" s="70">
        <f t="shared" si="82"/>
        <v>1168901</v>
      </c>
      <c r="AO282" s="70">
        <f t="shared" si="83"/>
        <v>1168901</v>
      </c>
    </row>
    <row r="283" spans="1:41">
      <c r="A283" s="29" t="s">
        <v>63</v>
      </c>
      <c r="B283" s="29" t="s">
        <v>857</v>
      </c>
      <c r="C283" s="107">
        <v>0</v>
      </c>
      <c r="D283" s="108">
        <v>7392656</v>
      </c>
      <c r="F283" s="107">
        <v>0</v>
      </c>
      <c r="G283" s="108">
        <v>7984068</v>
      </c>
      <c r="I283" s="64">
        <v>0</v>
      </c>
      <c r="J283" s="83">
        <v>0</v>
      </c>
      <c r="K283" s="66">
        <v>7984068</v>
      </c>
      <c r="L283" s="251">
        <v>8271771.9367999993</v>
      </c>
      <c r="M283" s="63">
        <v>0</v>
      </c>
      <c r="N283" s="64">
        <v>0</v>
      </c>
      <c r="O283" s="65">
        <v>8559070.4043000005</v>
      </c>
      <c r="P283" s="66">
        <v>8622793</v>
      </c>
      <c r="Q283" s="66">
        <f t="shared" si="68"/>
        <v>0</v>
      </c>
      <c r="R283" s="63">
        <f t="shared" si="69"/>
        <v>0</v>
      </c>
      <c r="S283" s="83">
        <f t="shared" si="70"/>
        <v>0</v>
      </c>
      <c r="T283" s="64">
        <f t="shared" si="71"/>
        <v>0</v>
      </c>
      <c r="U283" s="66">
        <f t="shared" si="72"/>
        <v>7703856.9944000002</v>
      </c>
      <c r="V283" s="63">
        <f t="shared" si="73"/>
        <v>8135457.8115441594</v>
      </c>
      <c r="W283" s="83">
        <f t="shared" si="74"/>
        <v>8422948.3903985005</v>
      </c>
      <c r="X283" s="64">
        <f t="shared" si="75"/>
        <v>8592601.2341573406</v>
      </c>
      <c r="Z283" s="67">
        <v>0</v>
      </c>
      <c r="AA283" s="68">
        <v>0</v>
      </c>
      <c r="AB283" s="69">
        <v>7984068</v>
      </c>
      <c r="AC283" s="70">
        <v>8622793</v>
      </c>
      <c r="AD283" s="67">
        <v>0</v>
      </c>
      <c r="AE283" s="68">
        <v>0</v>
      </c>
      <c r="AF283" s="69">
        <v>8559070.4043000005</v>
      </c>
      <c r="AG283" s="70">
        <v>8622793</v>
      </c>
      <c r="AH283" s="70">
        <f t="shared" si="76"/>
        <v>0</v>
      </c>
      <c r="AI283" s="70">
        <f t="shared" si="77"/>
        <v>0</v>
      </c>
      <c r="AJ283" s="70">
        <f t="shared" si="78"/>
        <v>0</v>
      </c>
      <c r="AK283" s="70">
        <f t="shared" si="79"/>
        <v>0</v>
      </c>
      <c r="AL283" s="70">
        <f t="shared" si="80"/>
        <v>7703856.9944000002</v>
      </c>
      <c r="AM283" s="70">
        <f t="shared" si="81"/>
        <v>8320165.0949999997</v>
      </c>
      <c r="AN283" s="70">
        <f t="shared" si="82"/>
        <v>8589262.1701426618</v>
      </c>
      <c r="AO283" s="70">
        <f t="shared" si="83"/>
        <v>8592601.2341573406</v>
      </c>
    </row>
    <row r="284" spans="1:41">
      <c r="A284" s="29" t="s">
        <v>3</v>
      </c>
      <c r="B284" s="29" t="s">
        <v>910</v>
      </c>
      <c r="C284" s="107">
        <v>3513.6</v>
      </c>
      <c r="D284" s="108">
        <v>142000</v>
      </c>
      <c r="F284" s="107">
        <v>0</v>
      </c>
      <c r="G284" s="108">
        <v>150000</v>
      </c>
      <c r="I284" s="64">
        <v>0</v>
      </c>
      <c r="J284" s="83">
        <v>10640.863500000005</v>
      </c>
      <c r="K284" s="66">
        <v>150000</v>
      </c>
      <c r="L284" s="251">
        <v>150000</v>
      </c>
      <c r="M284" s="63">
        <v>10891.123499999991</v>
      </c>
      <c r="N284" s="64">
        <v>7948.8300000000045</v>
      </c>
      <c r="O284" s="65">
        <v>150000</v>
      </c>
      <c r="P284" s="66">
        <v>150000</v>
      </c>
      <c r="Q284" s="66">
        <f t="shared" si="68"/>
        <v>983.80800000000011</v>
      </c>
      <c r="R284" s="63">
        <f t="shared" si="69"/>
        <v>7661.421720000003</v>
      </c>
      <c r="S284" s="83">
        <f t="shared" si="70"/>
        <v>10821.050699999994</v>
      </c>
      <c r="T284" s="64">
        <f t="shared" si="71"/>
        <v>8772.6721800000014</v>
      </c>
      <c r="U284" s="66">
        <f t="shared" si="72"/>
        <v>146209.60000000001</v>
      </c>
      <c r="V284" s="63">
        <f t="shared" si="73"/>
        <v>150000</v>
      </c>
      <c r="W284" s="83">
        <f t="shared" si="74"/>
        <v>150000</v>
      </c>
      <c r="X284" s="64">
        <f t="shared" si="75"/>
        <v>150000</v>
      </c>
      <c r="Z284" s="67">
        <v>0</v>
      </c>
      <c r="AA284" s="68">
        <v>10640.863500000005</v>
      </c>
      <c r="AB284" s="69">
        <v>150000</v>
      </c>
      <c r="AC284" s="70">
        <v>150000</v>
      </c>
      <c r="AD284" s="67">
        <v>10891.123499999991</v>
      </c>
      <c r="AE284" s="68">
        <v>7948.8300000000045</v>
      </c>
      <c r="AF284" s="69">
        <v>150000</v>
      </c>
      <c r="AG284" s="70">
        <v>150000</v>
      </c>
      <c r="AH284" s="70">
        <f t="shared" si="76"/>
        <v>983.80800000000011</v>
      </c>
      <c r="AI284" s="70">
        <f t="shared" si="77"/>
        <v>7661.421720000003</v>
      </c>
      <c r="AJ284" s="70">
        <f t="shared" si="78"/>
        <v>10821.050699999994</v>
      </c>
      <c r="AK284" s="70">
        <f t="shared" si="79"/>
        <v>8772.6721800000014</v>
      </c>
      <c r="AL284" s="70">
        <f t="shared" si="80"/>
        <v>146209.60000000001</v>
      </c>
      <c r="AM284" s="70">
        <f t="shared" si="81"/>
        <v>150000</v>
      </c>
      <c r="AN284" s="70">
        <f t="shared" si="82"/>
        <v>150000</v>
      </c>
      <c r="AO284" s="70">
        <f t="shared" si="83"/>
        <v>150000</v>
      </c>
    </row>
    <row r="285" spans="1:41">
      <c r="A285" s="29" t="s">
        <v>99</v>
      </c>
      <c r="B285" s="29" t="s">
        <v>858</v>
      </c>
      <c r="C285" s="107">
        <v>77430.63</v>
      </c>
      <c r="D285" s="108">
        <v>583000</v>
      </c>
      <c r="F285" s="107">
        <v>82049.52</v>
      </c>
      <c r="G285" s="108">
        <v>618083.25</v>
      </c>
      <c r="I285" s="64">
        <v>82049.52</v>
      </c>
      <c r="J285" s="83">
        <v>51289.550800000012</v>
      </c>
      <c r="K285" s="66">
        <v>618083.25</v>
      </c>
      <c r="L285" s="251">
        <v>587346.46250000002</v>
      </c>
      <c r="M285" s="63">
        <v>53630.628600000011</v>
      </c>
      <c r="N285" s="64">
        <v>47812.669800000003</v>
      </c>
      <c r="O285" s="65">
        <v>607608.48250000004</v>
      </c>
      <c r="P285" s="66">
        <v>646015.33499999996</v>
      </c>
      <c r="Q285" s="66">
        <f t="shared" si="68"/>
        <v>80756.230800000005</v>
      </c>
      <c r="R285" s="63">
        <f t="shared" si="69"/>
        <v>59902.342176000013</v>
      </c>
      <c r="S285" s="83">
        <f t="shared" si="70"/>
        <v>52975.126816000011</v>
      </c>
      <c r="T285" s="64">
        <f t="shared" si="71"/>
        <v>49441.698264000006</v>
      </c>
      <c r="U285" s="66">
        <f t="shared" si="72"/>
        <v>601460.80615000008</v>
      </c>
      <c r="V285" s="63">
        <f t="shared" si="73"/>
        <v>601909.55241749994</v>
      </c>
      <c r="W285" s="83">
        <f t="shared" si="74"/>
        <v>598008.33742400003</v>
      </c>
      <c r="X285" s="64">
        <f t="shared" si="75"/>
        <v>627818.16828550003</v>
      </c>
      <c r="Z285" s="67">
        <v>82049.52</v>
      </c>
      <c r="AA285" s="68">
        <v>120387.23179999994</v>
      </c>
      <c r="AB285" s="69">
        <v>618083.25</v>
      </c>
      <c r="AC285" s="70">
        <v>587346.46250000002</v>
      </c>
      <c r="AD285" s="67">
        <v>53630.628600000011</v>
      </c>
      <c r="AE285" s="68">
        <v>47812.669800000003</v>
      </c>
      <c r="AF285" s="69">
        <v>607608.48250000004</v>
      </c>
      <c r="AG285" s="70">
        <v>646015.33499999996</v>
      </c>
      <c r="AH285" s="70">
        <f t="shared" si="76"/>
        <v>80756.230800000005</v>
      </c>
      <c r="AI285" s="70">
        <f t="shared" si="77"/>
        <v>109652.67249599996</v>
      </c>
      <c r="AJ285" s="70">
        <f t="shared" si="78"/>
        <v>72322.477495999992</v>
      </c>
      <c r="AK285" s="70">
        <f t="shared" si="79"/>
        <v>49441.698264000006</v>
      </c>
      <c r="AL285" s="70">
        <f t="shared" si="80"/>
        <v>601460.80615000008</v>
      </c>
      <c r="AM285" s="70">
        <f t="shared" si="81"/>
        <v>601909.55241749994</v>
      </c>
      <c r="AN285" s="70">
        <f t="shared" si="82"/>
        <v>598008.33742400003</v>
      </c>
      <c r="AO285" s="70">
        <f t="shared" si="83"/>
        <v>627818.16828550003</v>
      </c>
    </row>
    <row r="286" spans="1:41">
      <c r="A286" s="29" t="s">
        <v>487</v>
      </c>
      <c r="B286" s="29" t="s">
        <v>859</v>
      </c>
      <c r="C286" s="107">
        <v>480953.65</v>
      </c>
      <c r="D286" s="108">
        <v>50000</v>
      </c>
      <c r="F286" s="107">
        <v>488885.35</v>
      </c>
      <c r="G286" s="108">
        <v>50000</v>
      </c>
      <c r="I286" s="64">
        <v>488885.35</v>
      </c>
      <c r="J286" s="83">
        <v>449428.47641399992</v>
      </c>
      <c r="K286" s="66">
        <v>50000</v>
      </c>
      <c r="L286" s="251">
        <v>50000</v>
      </c>
      <c r="M286" s="63">
        <v>429716.78585999995</v>
      </c>
      <c r="N286" s="64">
        <v>431646.99459599995</v>
      </c>
      <c r="O286" s="65">
        <v>50000</v>
      </c>
      <c r="P286" s="66">
        <v>50000</v>
      </c>
      <c r="Q286" s="66">
        <f t="shared" si="68"/>
        <v>486664.47400000005</v>
      </c>
      <c r="R286" s="63">
        <f t="shared" si="69"/>
        <v>460476.40101807995</v>
      </c>
      <c r="S286" s="83">
        <f t="shared" si="70"/>
        <v>435236.05921511998</v>
      </c>
      <c r="T286" s="64">
        <f t="shared" si="71"/>
        <v>431106.53614991996</v>
      </c>
      <c r="U286" s="66">
        <f t="shared" si="72"/>
        <v>50000</v>
      </c>
      <c r="V286" s="63">
        <f t="shared" si="73"/>
        <v>50000</v>
      </c>
      <c r="W286" s="83">
        <f t="shared" si="74"/>
        <v>50000</v>
      </c>
      <c r="X286" s="64">
        <f t="shared" si="75"/>
        <v>50000</v>
      </c>
      <c r="Z286" s="67">
        <v>488885.35</v>
      </c>
      <c r="AA286" s="68">
        <v>455424.520938</v>
      </c>
      <c r="AB286" s="69">
        <v>50000</v>
      </c>
      <c r="AC286" s="70">
        <v>50000</v>
      </c>
      <c r="AD286" s="67">
        <v>429716.78585999995</v>
      </c>
      <c r="AE286" s="68">
        <v>431646.99459599995</v>
      </c>
      <c r="AF286" s="69">
        <v>50000</v>
      </c>
      <c r="AG286" s="70">
        <v>50000</v>
      </c>
      <c r="AH286" s="70">
        <f t="shared" si="76"/>
        <v>486664.47400000005</v>
      </c>
      <c r="AI286" s="70">
        <f t="shared" si="77"/>
        <v>464793.55307536002</v>
      </c>
      <c r="AJ286" s="70">
        <f t="shared" si="78"/>
        <v>436914.95168184</v>
      </c>
      <c r="AK286" s="70">
        <f t="shared" si="79"/>
        <v>431106.53614991996</v>
      </c>
      <c r="AL286" s="70">
        <f t="shared" si="80"/>
        <v>50000</v>
      </c>
      <c r="AM286" s="70">
        <f t="shared" si="81"/>
        <v>50000</v>
      </c>
      <c r="AN286" s="70">
        <f t="shared" si="82"/>
        <v>50000</v>
      </c>
      <c r="AO286" s="70">
        <f t="shared" si="83"/>
        <v>50000</v>
      </c>
    </row>
    <row r="287" spans="1:41">
      <c r="A287" s="29" t="s">
        <v>41</v>
      </c>
      <c r="B287" s="29" t="s">
        <v>860</v>
      </c>
      <c r="C287" s="107">
        <v>4101924.25</v>
      </c>
      <c r="D287" s="108">
        <v>11489774</v>
      </c>
      <c r="F287" s="107">
        <v>3097336.94</v>
      </c>
      <c r="G287" s="108">
        <v>12064898.85</v>
      </c>
      <c r="I287" s="64">
        <v>3097336.94</v>
      </c>
      <c r="J287" s="83">
        <v>3686191.8868000004</v>
      </c>
      <c r="K287" s="66">
        <v>12064898.85</v>
      </c>
      <c r="L287" s="251">
        <v>12350000</v>
      </c>
      <c r="M287" s="63">
        <v>3360860.6372999991</v>
      </c>
      <c r="N287" s="64">
        <v>2999576.1735</v>
      </c>
      <c r="O287" s="65">
        <v>12700000</v>
      </c>
      <c r="P287" s="66">
        <v>13050000</v>
      </c>
      <c r="Q287" s="66">
        <f t="shared" si="68"/>
        <v>3378621.3868</v>
      </c>
      <c r="R287" s="63">
        <f t="shared" si="69"/>
        <v>3521312.5016960003</v>
      </c>
      <c r="S287" s="83">
        <f t="shared" si="70"/>
        <v>3451953.3871599995</v>
      </c>
      <c r="T287" s="64">
        <f t="shared" si="71"/>
        <v>3100735.8233639998</v>
      </c>
      <c r="U287" s="66">
        <f t="shared" si="72"/>
        <v>11792404.696070001</v>
      </c>
      <c r="V287" s="63">
        <f t="shared" si="73"/>
        <v>12214919.075130001</v>
      </c>
      <c r="W287" s="83">
        <f t="shared" si="74"/>
        <v>12534170</v>
      </c>
      <c r="X287" s="64">
        <f t="shared" si="75"/>
        <v>12884170</v>
      </c>
      <c r="Z287" s="67">
        <v>3097336.94</v>
      </c>
      <c r="AA287" s="68">
        <v>4203465.2977</v>
      </c>
      <c r="AB287" s="69">
        <v>12064898.85</v>
      </c>
      <c r="AC287" s="70">
        <v>12350000</v>
      </c>
      <c r="AD287" s="67">
        <v>3360860.6372999991</v>
      </c>
      <c r="AE287" s="68">
        <v>2999576.1735</v>
      </c>
      <c r="AF287" s="69">
        <v>12700000</v>
      </c>
      <c r="AG287" s="70">
        <v>13050000</v>
      </c>
      <c r="AH287" s="70">
        <f t="shared" si="76"/>
        <v>3378621.3868</v>
      </c>
      <c r="AI287" s="70">
        <f t="shared" si="77"/>
        <v>3893749.3575439998</v>
      </c>
      <c r="AJ287" s="70">
        <f t="shared" si="78"/>
        <v>3596789.9422119996</v>
      </c>
      <c r="AK287" s="70">
        <f t="shared" si="79"/>
        <v>3100735.8233639998</v>
      </c>
      <c r="AL287" s="70">
        <f t="shared" si="80"/>
        <v>11792404.696070001</v>
      </c>
      <c r="AM287" s="70">
        <f t="shared" si="81"/>
        <v>12214919.075130001</v>
      </c>
      <c r="AN287" s="70">
        <f t="shared" si="82"/>
        <v>12534170</v>
      </c>
      <c r="AO287" s="70">
        <f t="shared" si="83"/>
        <v>12884170</v>
      </c>
    </row>
    <row r="288" spans="1:41">
      <c r="A288" s="29" t="s">
        <v>473</v>
      </c>
      <c r="B288" s="29" t="s">
        <v>879</v>
      </c>
      <c r="C288" s="107">
        <v>1875376.87</v>
      </c>
      <c r="D288" s="108">
        <v>6951077</v>
      </c>
      <c r="F288" s="107">
        <v>1293170.04</v>
      </c>
      <c r="G288" s="108">
        <v>7574504</v>
      </c>
      <c r="I288" s="64">
        <v>1293170.04</v>
      </c>
      <c r="J288" s="83">
        <v>1220931.2739000004</v>
      </c>
      <c r="K288" s="66">
        <v>7574504</v>
      </c>
      <c r="L288" s="251">
        <v>7902746.5774999997</v>
      </c>
      <c r="M288" s="63">
        <v>1143850.7195999997</v>
      </c>
      <c r="N288" s="64">
        <v>1097754.4619999994</v>
      </c>
      <c r="O288" s="65">
        <v>8376153.8099999996</v>
      </c>
      <c r="P288" s="66">
        <v>8753286</v>
      </c>
      <c r="Q288" s="66">
        <f t="shared" si="68"/>
        <v>1456187.9524000001</v>
      </c>
      <c r="R288" s="63">
        <f t="shared" si="69"/>
        <v>1241158.1284080003</v>
      </c>
      <c r="S288" s="83">
        <f t="shared" si="70"/>
        <v>1165433.2748039998</v>
      </c>
      <c r="T288" s="64">
        <f t="shared" si="71"/>
        <v>1110661.4141279995</v>
      </c>
      <c r="U288" s="66">
        <f t="shared" si="72"/>
        <v>7279124.2873999998</v>
      </c>
      <c r="V288" s="63">
        <f t="shared" si="73"/>
        <v>7747225.2442804994</v>
      </c>
      <c r="W288" s="83">
        <f t="shared" si="74"/>
        <v>8151853.4632414998</v>
      </c>
      <c r="X288" s="64">
        <f t="shared" si="75"/>
        <v>8574600.7683780007</v>
      </c>
      <c r="Z288" s="67">
        <v>1293170.04</v>
      </c>
      <c r="AA288" s="68">
        <v>1687971.2036000006</v>
      </c>
      <c r="AB288" s="69">
        <v>7574504</v>
      </c>
      <c r="AC288" s="70">
        <v>7902746.5774999997</v>
      </c>
      <c r="AD288" s="67">
        <v>1143850.7195999997</v>
      </c>
      <c r="AE288" s="68">
        <v>1097754.4619999994</v>
      </c>
      <c r="AF288" s="69">
        <v>8376153.8099999996</v>
      </c>
      <c r="AG288" s="70">
        <v>8753286</v>
      </c>
      <c r="AH288" s="70">
        <f t="shared" si="76"/>
        <v>1456187.9524000001</v>
      </c>
      <c r="AI288" s="70">
        <f t="shared" si="77"/>
        <v>1577426.8777920003</v>
      </c>
      <c r="AJ288" s="70">
        <f t="shared" si="78"/>
        <v>1296204.4551200001</v>
      </c>
      <c r="AK288" s="70">
        <f t="shared" si="79"/>
        <v>1110661.4141279995</v>
      </c>
      <c r="AL288" s="70">
        <f t="shared" si="80"/>
        <v>7279124.2873999998</v>
      </c>
      <c r="AM288" s="70">
        <f t="shared" si="81"/>
        <v>7747225.2442804994</v>
      </c>
      <c r="AN288" s="70">
        <f t="shared" si="82"/>
        <v>8151853.4632414998</v>
      </c>
      <c r="AO288" s="70">
        <f t="shared" si="83"/>
        <v>8574600.7683780007</v>
      </c>
    </row>
    <row r="289" spans="1:41">
      <c r="A289" s="29" t="s">
        <v>607</v>
      </c>
      <c r="B289" s="29" t="s">
        <v>872</v>
      </c>
      <c r="C289" s="107">
        <v>3088185.8</v>
      </c>
      <c r="D289" s="108">
        <v>5965626</v>
      </c>
      <c r="F289" s="107">
        <v>2352711.9700000002</v>
      </c>
      <c r="G289" s="108">
        <v>5965626</v>
      </c>
      <c r="I289" s="64">
        <v>2352711.9700000002</v>
      </c>
      <c r="J289" s="83">
        <v>1858752.0402773342</v>
      </c>
      <c r="K289" s="66">
        <v>5965626</v>
      </c>
      <c r="L289" s="251">
        <v>5965626</v>
      </c>
      <c r="M289" s="63">
        <v>1271452.0420319994</v>
      </c>
      <c r="N289" s="64">
        <v>910309.11046400038</v>
      </c>
      <c r="O289" s="65">
        <v>5965626</v>
      </c>
      <c r="P289" s="66">
        <v>5965626</v>
      </c>
      <c r="Q289" s="66">
        <f t="shared" si="68"/>
        <v>2558644.6424000002</v>
      </c>
      <c r="R289" s="63">
        <f t="shared" si="69"/>
        <v>1997060.8205996808</v>
      </c>
      <c r="S289" s="83">
        <f t="shared" si="70"/>
        <v>1435896.0415406933</v>
      </c>
      <c r="T289" s="64">
        <f t="shared" si="71"/>
        <v>1011429.1313030401</v>
      </c>
      <c r="U289" s="66">
        <f t="shared" si="72"/>
        <v>5965626</v>
      </c>
      <c r="V289" s="63">
        <f t="shared" si="73"/>
        <v>5965626</v>
      </c>
      <c r="W289" s="83">
        <f t="shared" si="74"/>
        <v>5965626</v>
      </c>
      <c r="X289" s="64">
        <f t="shared" si="75"/>
        <v>5965626</v>
      </c>
      <c r="Z289" s="67">
        <v>2352711.9700000002</v>
      </c>
      <c r="AA289" s="68">
        <v>2117948.2770773335</v>
      </c>
      <c r="AB289" s="69">
        <v>5965626</v>
      </c>
      <c r="AC289" s="70">
        <v>5965626</v>
      </c>
      <c r="AD289" s="67">
        <v>1271452.0420319994</v>
      </c>
      <c r="AE289" s="68">
        <v>910309.11046400038</v>
      </c>
      <c r="AF289" s="69">
        <v>5965626</v>
      </c>
      <c r="AG289" s="70">
        <v>5965626</v>
      </c>
      <c r="AH289" s="70">
        <f t="shared" si="76"/>
        <v>2558644.6424000002</v>
      </c>
      <c r="AI289" s="70">
        <f t="shared" si="77"/>
        <v>2183682.1110956799</v>
      </c>
      <c r="AJ289" s="70">
        <f t="shared" si="78"/>
        <v>1508470.987844693</v>
      </c>
      <c r="AK289" s="70">
        <f t="shared" si="79"/>
        <v>1011429.1313030401</v>
      </c>
      <c r="AL289" s="70">
        <f t="shared" si="80"/>
        <v>5965626</v>
      </c>
      <c r="AM289" s="70">
        <f t="shared" si="81"/>
        <v>5965626</v>
      </c>
      <c r="AN289" s="70">
        <f t="shared" si="82"/>
        <v>5965626</v>
      </c>
      <c r="AO289" s="70">
        <f t="shared" si="83"/>
        <v>5965626</v>
      </c>
    </row>
    <row r="290" spans="1:41">
      <c r="A290" s="29" t="s">
        <v>293</v>
      </c>
      <c r="B290" s="29" t="s">
        <v>861</v>
      </c>
      <c r="C290" s="107">
        <v>0</v>
      </c>
      <c r="D290" s="108">
        <v>1188000</v>
      </c>
      <c r="F290" s="107">
        <v>0</v>
      </c>
      <c r="G290" s="108">
        <v>947506</v>
      </c>
      <c r="I290" s="64">
        <v>0</v>
      </c>
      <c r="J290" s="83">
        <v>0</v>
      </c>
      <c r="K290" s="66">
        <v>947506</v>
      </c>
      <c r="L290" s="251">
        <v>932927</v>
      </c>
      <c r="M290" s="63">
        <v>0</v>
      </c>
      <c r="N290" s="64">
        <v>0</v>
      </c>
      <c r="O290" s="65">
        <v>932927</v>
      </c>
      <c r="P290" s="66">
        <v>932927</v>
      </c>
      <c r="Q290" s="66">
        <f t="shared" si="68"/>
        <v>0</v>
      </c>
      <c r="R290" s="63">
        <f t="shared" si="69"/>
        <v>0</v>
      </c>
      <c r="S290" s="83">
        <f t="shared" si="70"/>
        <v>0</v>
      </c>
      <c r="T290" s="64">
        <f t="shared" si="71"/>
        <v>0</v>
      </c>
      <c r="U290" s="66">
        <f t="shared" si="72"/>
        <v>1061452.0572000002</v>
      </c>
      <c r="V290" s="63">
        <f t="shared" si="73"/>
        <v>939834.53019999992</v>
      </c>
      <c r="W290" s="83">
        <f t="shared" si="74"/>
        <v>932927</v>
      </c>
      <c r="X290" s="64">
        <f t="shared" si="75"/>
        <v>932927</v>
      </c>
      <c r="Z290" s="67">
        <v>0</v>
      </c>
      <c r="AA290" s="68">
        <v>0</v>
      </c>
      <c r="AB290" s="69">
        <v>947506</v>
      </c>
      <c r="AC290" s="70">
        <v>932927</v>
      </c>
      <c r="AD290" s="67">
        <v>0</v>
      </c>
      <c r="AE290" s="68">
        <v>0</v>
      </c>
      <c r="AF290" s="69">
        <v>932927</v>
      </c>
      <c r="AG290" s="70">
        <v>932927</v>
      </c>
      <c r="AH290" s="70">
        <f t="shared" si="76"/>
        <v>0</v>
      </c>
      <c r="AI290" s="70">
        <f t="shared" si="77"/>
        <v>0</v>
      </c>
      <c r="AJ290" s="70">
        <f t="shared" si="78"/>
        <v>0</v>
      </c>
      <c r="AK290" s="70">
        <f t="shared" si="79"/>
        <v>0</v>
      </c>
      <c r="AL290" s="70">
        <f t="shared" si="80"/>
        <v>1061452.0572000002</v>
      </c>
      <c r="AM290" s="70">
        <f t="shared" si="81"/>
        <v>939834.53019999992</v>
      </c>
      <c r="AN290" s="70">
        <f t="shared" si="82"/>
        <v>932927</v>
      </c>
      <c r="AO290" s="70">
        <f t="shared" si="83"/>
        <v>932927</v>
      </c>
    </row>
    <row r="291" spans="1:41">
      <c r="A291" s="29" t="s">
        <v>387</v>
      </c>
      <c r="B291" s="29" t="s">
        <v>862</v>
      </c>
      <c r="C291" s="107">
        <v>104590.3</v>
      </c>
      <c r="D291" s="108">
        <v>9250000</v>
      </c>
      <c r="F291" s="107">
        <v>0</v>
      </c>
      <c r="G291" s="108">
        <v>9750000</v>
      </c>
      <c r="I291" s="64">
        <v>0</v>
      </c>
      <c r="J291" s="83">
        <v>0</v>
      </c>
      <c r="K291" s="66">
        <v>9750000</v>
      </c>
      <c r="L291" s="251">
        <v>9750000</v>
      </c>
      <c r="M291" s="63">
        <v>0</v>
      </c>
      <c r="N291" s="64">
        <v>0</v>
      </c>
      <c r="O291" s="65">
        <v>9750000</v>
      </c>
      <c r="P291" s="66">
        <v>9750000</v>
      </c>
      <c r="Q291" s="66">
        <f t="shared" si="68"/>
        <v>29285.284000000003</v>
      </c>
      <c r="R291" s="63">
        <f t="shared" si="69"/>
        <v>0</v>
      </c>
      <c r="S291" s="83">
        <f t="shared" si="70"/>
        <v>0</v>
      </c>
      <c r="T291" s="64">
        <f t="shared" si="71"/>
        <v>0</v>
      </c>
      <c r="U291" s="66">
        <f t="shared" si="72"/>
        <v>9513100</v>
      </c>
      <c r="V291" s="63">
        <f t="shared" si="73"/>
        <v>9750000</v>
      </c>
      <c r="W291" s="83">
        <f t="shared" si="74"/>
        <v>9750000</v>
      </c>
      <c r="X291" s="64">
        <f t="shared" si="75"/>
        <v>9750000</v>
      </c>
      <c r="Z291" s="67">
        <v>0</v>
      </c>
      <c r="AA291" s="68">
        <v>0</v>
      </c>
      <c r="AB291" s="69">
        <v>9750000</v>
      </c>
      <c r="AC291" s="70">
        <v>9750000</v>
      </c>
      <c r="AD291" s="67">
        <v>0</v>
      </c>
      <c r="AE291" s="68">
        <v>0</v>
      </c>
      <c r="AF291" s="69">
        <v>9750000</v>
      </c>
      <c r="AG291" s="70">
        <v>9750000</v>
      </c>
      <c r="AH291" s="70">
        <f t="shared" si="76"/>
        <v>29285.284000000003</v>
      </c>
      <c r="AI291" s="70">
        <f t="shared" si="77"/>
        <v>0</v>
      </c>
      <c r="AJ291" s="70">
        <f t="shared" si="78"/>
        <v>0</v>
      </c>
      <c r="AK291" s="70">
        <f t="shared" si="79"/>
        <v>0</v>
      </c>
      <c r="AL291" s="70">
        <f t="shared" si="80"/>
        <v>9513100</v>
      </c>
      <c r="AM291" s="70">
        <f t="shared" si="81"/>
        <v>9750000</v>
      </c>
      <c r="AN291" s="70">
        <f t="shared" si="82"/>
        <v>9750000</v>
      </c>
      <c r="AO291" s="70">
        <f t="shared" si="83"/>
        <v>9750000</v>
      </c>
    </row>
    <row r="292" spans="1:41">
      <c r="A292" s="29" t="s">
        <v>267</v>
      </c>
      <c r="B292" s="29" t="s">
        <v>892</v>
      </c>
      <c r="C292" s="107">
        <v>0</v>
      </c>
      <c r="D292" s="108">
        <v>3260000</v>
      </c>
      <c r="F292" s="107">
        <v>0</v>
      </c>
      <c r="G292" s="108">
        <v>3338537</v>
      </c>
      <c r="I292" s="64">
        <v>0</v>
      </c>
      <c r="J292" s="83">
        <v>0</v>
      </c>
      <c r="K292" s="66">
        <v>3338537</v>
      </c>
      <c r="L292" s="251">
        <v>3289243.2757999999</v>
      </c>
      <c r="M292" s="63">
        <v>0</v>
      </c>
      <c r="N292" s="64">
        <v>0</v>
      </c>
      <c r="O292" s="65">
        <v>3403136.6868000003</v>
      </c>
      <c r="P292" s="66">
        <v>3425000</v>
      </c>
      <c r="Q292" s="66">
        <f t="shared" si="68"/>
        <v>0</v>
      </c>
      <c r="R292" s="63">
        <f t="shared" si="69"/>
        <v>0</v>
      </c>
      <c r="S292" s="83">
        <f t="shared" si="70"/>
        <v>0</v>
      </c>
      <c r="T292" s="64">
        <f t="shared" si="71"/>
        <v>0</v>
      </c>
      <c r="U292" s="66">
        <f t="shared" si="72"/>
        <v>3301326.1694</v>
      </c>
      <c r="V292" s="63">
        <f t="shared" si="73"/>
        <v>3312598.6423259601</v>
      </c>
      <c r="W292" s="83">
        <f t="shared" si="74"/>
        <v>3349173.9886682001</v>
      </c>
      <c r="X292" s="64">
        <f t="shared" si="75"/>
        <v>3414641.1622058405</v>
      </c>
      <c r="Z292" s="67">
        <v>0</v>
      </c>
      <c r="AA292" s="68">
        <v>0</v>
      </c>
      <c r="AB292" s="69">
        <v>3338537</v>
      </c>
      <c r="AC292" s="70">
        <v>3425000</v>
      </c>
      <c r="AD292" s="67">
        <v>0</v>
      </c>
      <c r="AE292" s="68">
        <v>0</v>
      </c>
      <c r="AF292" s="69">
        <v>3403136.6868000003</v>
      </c>
      <c r="AG292" s="70">
        <v>3425000</v>
      </c>
      <c r="AH292" s="70">
        <f t="shared" si="76"/>
        <v>0</v>
      </c>
      <c r="AI292" s="70">
        <f t="shared" si="77"/>
        <v>0</v>
      </c>
      <c r="AJ292" s="70">
        <f t="shared" si="78"/>
        <v>0</v>
      </c>
      <c r="AK292" s="70">
        <f t="shared" si="79"/>
        <v>0</v>
      </c>
      <c r="AL292" s="70">
        <f t="shared" si="80"/>
        <v>3301326.1694</v>
      </c>
      <c r="AM292" s="70">
        <f t="shared" si="81"/>
        <v>3384033.8306</v>
      </c>
      <c r="AN292" s="70">
        <f t="shared" si="82"/>
        <v>3413495.5245941598</v>
      </c>
      <c r="AO292" s="70">
        <f t="shared" si="83"/>
        <v>3414641.1622058405</v>
      </c>
    </row>
    <row r="293" spans="1:41">
      <c r="A293" s="29" t="s">
        <v>307</v>
      </c>
      <c r="B293" s="29" t="s">
        <v>886</v>
      </c>
      <c r="C293" s="107">
        <v>51774.17</v>
      </c>
      <c r="D293" s="108">
        <v>465000</v>
      </c>
      <c r="F293" s="107">
        <v>53609.25</v>
      </c>
      <c r="G293" s="108">
        <v>465000</v>
      </c>
      <c r="I293" s="64">
        <v>53609.25</v>
      </c>
      <c r="J293" s="83">
        <v>29722.34109999994</v>
      </c>
      <c r="K293" s="66">
        <v>465000</v>
      </c>
      <c r="L293" s="251">
        <v>465000</v>
      </c>
      <c r="M293" s="63">
        <v>22495.772399999987</v>
      </c>
      <c r="N293" s="64">
        <v>34560.760799999989</v>
      </c>
      <c r="O293" s="65">
        <v>465000</v>
      </c>
      <c r="P293" s="66">
        <v>465000</v>
      </c>
      <c r="Q293" s="66">
        <f t="shared" si="68"/>
        <v>53095.427599999995</v>
      </c>
      <c r="R293" s="63">
        <f t="shared" si="69"/>
        <v>36410.675591999956</v>
      </c>
      <c r="S293" s="83">
        <f t="shared" si="70"/>
        <v>24519.211635999975</v>
      </c>
      <c r="T293" s="64">
        <f t="shared" si="71"/>
        <v>31182.564047999989</v>
      </c>
      <c r="U293" s="66">
        <f t="shared" si="72"/>
        <v>465000</v>
      </c>
      <c r="V293" s="63">
        <f t="shared" si="73"/>
        <v>465000</v>
      </c>
      <c r="W293" s="83">
        <f t="shared" si="74"/>
        <v>465000</v>
      </c>
      <c r="X293" s="64">
        <f t="shared" si="75"/>
        <v>465000</v>
      </c>
      <c r="Z293" s="67">
        <v>53609.25</v>
      </c>
      <c r="AA293" s="68">
        <v>102319.31339999994</v>
      </c>
      <c r="AB293" s="69">
        <v>465000</v>
      </c>
      <c r="AC293" s="70">
        <v>465000</v>
      </c>
      <c r="AD293" s="67">
        <v>22495.772399999987</v>
      </c>
      <c r="AE293" s="68">
        <v>34560.760799999989</v>
      </c>
      <c r="AF293" s="69">
        <v>465000</v>
      </c>
      <c r="AG293" s="70">
        <v>465000</v>
      </c>
      <c r="AH293" s="70">
        <f t="shared" si="76"/>
        <v>53095.427599999995</v>
      </c>
      <c r="AI293" s="70">
        <f t="shared" si="77"/>
        <v>88680.495647999953</v>
      </c>
      <c r="AJ293" s="70">
        <f t="shared" si="78"/>
        <v>44846.363879999975</v>
      </c>
      <c r="AK293" s="70">
        <f t="shared" si="79"/>
        <v>31182.564047999989</v>
      </c>
      <c r="AL293" s="70">
        <f t="shared" si="80"/>
        <v>465000</v>
      </c>
      <c r="AM293" s="70">
        <f t="shared" si="81"/>
        <v>465000</v>
      </c>
      <c r="AN293" s="70">
        <f t="shared" si="82"/>
        <v>465000</v>
      </c>
      <c r="AO293" s="70">
        <f t="shared" si="83"/>
        <v>465000</v>
      </c>
    </row>
    <row r="294" spans="1:41">
      <c r="A294" s="29" t="s">
        <v>351</v>
      </c>
      <c r="B294" s="29" t="s">
        <v>863</v>
      </c>
      <c r="C294" s="107">
        <v>0</v>
      </c>
      <c r="D294" s="108">
        <v>0</v>
      </c>
      <c r="F294" s="107">
        <v>55580.36</v>
      </c>
      <c r="G294" s="108">
        <v>544125</v>
      </c>
      <c r="I294" s="64">
        <v>55580.36</v>
      </c>
      <c r="J294" s="83">
        <v>53978.011363333339</v>
      </c>
      <c r="K294" s="66">
        <v>544125</v>
      </c>
      <c r="L294" s="251">
        <v>544125</v>
      </c>
      <c r="M294" s="63">
        <v>22985.414577999974</v>
      </c>
      <c r="N294" s="64">
        <v>0</v>
      </c>
      <c r="O294" s="65">
        <v>544125</v>
      </c>
      <c r="P294" s="66">
        <v>544125</v>
      </c>
      <c r="Q294" s="66">
        <f t="shared" si="68"/>
        <v>40017.859199999999</v>
      </c>
      <c r="R294" s="63">
        <f t="shared" si="69"/>
        <v>54426.668981600007</v>
      </c>
      <c r="S294" s="83">
        <f t="shared" si="70"/>
        <v>31663.341677893317</v>
      </c>
      <c r="T294" s="64">
        <f t="shared" si="71"/>
        <v>6435.9160818399932</v>
      </c>
      <c r="U294" s="66">
        <f t="shared" si="72"/>
        <v>286318.57500000001</v>
      </c>
      <c r="V294" s="63">
        <f t="shared" si="73"/>
        <v>544125</v>
      </c>
      <c r="W294" s="83">
        <f t="shared" si="74"/>
        <v>544125</v>
      </c>
      <c r="X294" s="64">
        <f t="shared" si="75"/>
        <v>544125</v>
      </c>
      <c r="Z294" s="67">
        <v>55580.36</v>
      </c>
      <c r="AA294" s="68">
        <v>53978.011363333339</v>
      </c>
      <c r="AB294" s="69">
        <v>544125</v>
      </c>
      <c r="AC294" s="70">
        <v>544125</v>
      </c>
      <c r="AD294" s="67">
        <v>22985.414577999974</v>
      </c>
      <c r="AE294" s="68">
        <v>0</v>
      </c>
      <c r="AF294" s="69">
        <v>544125</v>
      </c>
      <c r="AG294" s="70">
        <v>544125</v>
      </c>
      <c r="AH294" s="70">
        <f t="shared" si="76"/>
        <v>40017.859199999999</v>
      </c>
      <c r="AI294" s="70">
        <f t="shared" si="77"/>
        <v>54426.668981600007</v>
      </c>
      <c r="AJ294" s="70">
        <f t="shared" si="78"/>
        <v>31663.341677893317</v>
      </c>
      <c r="AK294" s="70">
        <f t="shared" si="79"/>
        <v>6435.9160818399932</v>
      </c>
      <c r="AL294" s="70">
        <f t="shared" si="80"/>
        <v>286318.57500000001</v>
      </c>
      <c r="AM294" s="70">
        <f t="shared" si="81"/>
        <v>544125</v>
      </c>
      <c r="AN294" s="70">
        <f t="shared" si="82"/>
        <v>544125</v>
      </c>
      <c r="AO294" s="70">
        <f t="shared" si="83"/>
        <v>544125</v>
      </c>
    </row>
    <row r="295" spans="1:41">
      <c r="A295" s="29" t="s">
        <v>137</v>
      </c>
      <c r="B295" s="29" t="s">
        <v>899</v>
      </c>
      <c r="C295" s="107">
        <v>85825.89</v>
      </c>
      <c r="D295" s="108">
        <v>212375</v>
      </c>
      <c r="F295" s="107">
        <v>51887.49</v>
      </c>
      <c r="G295" s="108">
        <v>213522.47</v>
      </c>
      <c r="I295" s="64">
        <v>51887.49</v>
      </c>
      <c r="J295" s="83">
        <v>75845.729899999991</v>
      </c>
      <c r="K295" s="66">
        <v>213522.47</v>
      </c>
      <c r="L295" s="251">
        <v>212375</v>
      </c>
      <c r="M295" s="63">
        <v>71676.163499999966</v>
      </c>
      <c r="N295" s="64">
        <v>77547.584099999993</v>
      </c>
      <c r="O295" s="65">
        <v>212375</v>
      </c>
      <c r="P295" s="66">
        <v>212375</v>
      </c>
      <c r="Q295" s="66">
        <f t="shared" si="68"/>
        <v>61390.241999999998</v>
      </c>
      <c r="R295" s="63">
        <f t="shared" si="69"/>
        <v>69137.42272799999</v>
      </c>
      <c r="S295" s="83">
        <f t="shared" si="70"/>
        <v>72843.642091999965</v>
      </c>
      <c r="T295" s="64">
        <f t="shared" si="71"/>
        <v>75903.586331999977</v>
      </c>
      <c r="U295" s="66">
        <f t="shared" si="72"/>
        <v>212978.79871399998</v>
      </c>
      <c r="V295" s="63">
        <f t="shared" si="73"/>
        <v>212918.671286</v>
      </c>
      <c r="W295" s="83">
        <f t="shared" si="74"/>
        <v>212375</v>
      </c>
      <c r="X295" s="64">
        <f t="shared" si="75"/>
        <v>212375</v>
      </c>
      <c r="Z295" s="67">
        <v>51887.49</v>
      </c>
      <c r="AA295" s="68">
        <v>90606.699800000002</v>
      </c>
      <c r="AB295" s="69">
        <v>213522.47</v>
      </c>
      <c r="AC295" s="70">
        <v>212375</v>
      </c>
      <c r="AD295" s="67">
        <v>71676.163499999966</v>
      </c>
      <c r="AE295" s="68">
        <v>77547.584099999993</v>
      </c>
      <c r="AF295" s="69">
        <v>212375</v>
      </c>
      <c r="AG295" s="70">
        <v>212375</v>
      </c>
      <c r="AH295" s="70">
        <f t="shared" si="76"/>
        <v>61390.241999999998</v>
      </c>
      <c r="AI295" s="70">
        <f t="shared" si="77"/>
        <v>79765.321056000001</v>
      </c>
      <c r="AJ295" s="70">
        <f t="shared" si="78"/>
        <v>76976.713663999981</v>
      </c>
      <c r="AK295" s="70">
        <f t="shared" si="79"/>
        <v>75903.586331999977</v>
      </c>
      <c r="AL295" s="70">
        <f t="shared" si="80"/>
        <v>212978.79871399998</v>
      </c>
      <c r="AM295" s="70">
        <f t="shared" si="81"/>
        <v>212918.671286</v>
      </c>
      <c r="AN295" s="70">
        <f t="shared" si="82"/>
        <v>212375</v>
      </c>
      <c r="AO295" s="70">
        <f t="shared" si="83"/>
        <v>212375</v>
      </c>
    </row>
    <row r="296" spans="1:41">
      <c r="A296" s="29" t="s">
        <v>281</v>
      </c>
      <c r="B296" s="29" t="s">
        <v>864</v>
      </c>
      <c r="C296" s="107">
        <v>252340.16</v>
      </c>
      <c r="D296" s="108">
        <v>640000</v>
      </c>
      <c r="F296" s="107">
        <v>23104.55</v>
      </c>
      <c r="G296" s="108">
        <v>681288</v>
      </c>
      <c r="I296" s="64">
        <v>23104.55</v>
      </c>
      <c r="J296" s="83">
        <v>206311.00328666662</v>
      </c>
      <c r="K296" s="66">
        <v>681288</v>
      </c>
      <c r="L296" s="251">
        <v>680000</v>
      </c>
      <c r="M296" s="63">
        <v>150170.02169399988</v>
      </c>
      <c r="N296" s="64">
        <v>125390.81952600004</v>
      </c>
      <c r="O296" s="65">
        <v>680000</v>
      </c>
      <c r="P296" s="66">
        <v>680000</v>
      </c>
      <c r="Q296" s="66">
        <f t="shared" si="68"/>
        <v>87290.520800000013</v>
      </c>
      <c r="R296" s="63">
        <f t="shared" si="69"/>
        <v>155013.19636639996</v>
      </c>
      <c r="S296" s="83">
        <f t="shared" si="70"/>
        <v>165889.49653994659</v>
      </c>
      <c r="T296" s="64">
        <f t="shared" si="71"/>
        <v>132328.99613304</v>
      </c>
      <c r="U296" s="66">
        <f t="shared" si="72"/>
        <v>661725.74560000002</v>
      </c>
      <c r="V296" s="63">
        <f t="shared" si="73"/>
        <v>680610.25439999998</v>
      </c>
      <c r="W296" s="83">
        <f t="shared" si="74"/>
        <v>680000</v>
      </c>
      <c r="X296" s="64">
        <f t="shared" si="75"/>
        <v>680000</v>
      </c>
      <c r="Z296" s="67">
        <v>23104.55</v>
      </c>
      <c r="AA296" s="68">
        <v>206311.00328666662</v>
      </c>
      <c r="AB296" s="69">
        <v>681288</v>
      </c>
      <c r="AC296" s="70">
        <v>680000</v>
      </c>
      <c r="AD296" s="67">
        <v>150170.02169399988</v>
      </c>
      <c r="AE296" s="68">
        <v>125390.81952600004</v>
      </c>
      <c r="AF296" s="69">
        <v>680000</v>
      </c>
      <c r="AG296" s="70">
        <v>680000</v>
      </c>
      <c r="AH296" s="70">
        <f t="shared" si="76"/>
        <v>87290.520800000013</v>
      </c>
      <c r="AI296" s="70">
        <f t="shared" si="77"/>
        <v>155013.19636639996</v>
      </c>
      <c r="AJ296" s="70">
        <f t="shared" si="78"/>
        <v>165889.49653994659</v>
      </c>
      <c r="AK296" s="70">
        <f t="shared" si="79"/>
        <v>132328.99613304</v>
      </c>
      <c r="AL296" s="70">
        <f t="shared" si="80"/>
        <v>661725.74560000002</v>
      </c>
      <c r="AM296" s="70">
        <f t="shared" si="81"/>
        <v>680610.25439999998</v>
      </c>
      <c r="AN296" s="70">
        <f t="shared" si="82"/>
        <v>680000</v>
      </c>
      <c r="AO296" s="70">
        <f t="shared" si="83"/>
        <v>680000</v>
      </c>
    </row>
    <row r="297" spans="1:41">
      <c r="A297" s="29" t="s">
        <v>161</v>
      </c>
      <c r="B297" s="29" t="s">
        <v>865</v>
      </c>
      <c r="C297" s="107">
        <v>82955.19</v>
      </c>
      <c r="D297" s="108">
        <v>392654</v>
      </c>
      <c r="F297" s="107">
        <v>66647.570000000007</v>
      </c>
      <c r="G297" s="108">
        <v>305079</v>
      </c>
      <c r="I297" s="64">
        <v>66647.570000000007</v>
      </c>
      <c r="J297" s="83">
        <v>73514.957900000009</v>
      </c>
      <c r="K297" s="66">
        <v>305079</v>
      </c>
      <c r="L297" s="251">
        <v>318912.74</v>
      </c>
      <c r="M297" s="63">
        <v>72437.402999999962</v>
      </c>
      <c r="N297" s="64">
        <v>71340.766499999983</v>
      </c>
      <c r="O297" s="65">
        <v>335993.41</v>
      </c>
      <c r="P297" s="66">
        <v>355901.07750000001</v>
      </c>
      <c r="Q297" s="66">
        <f t="shared" si="68"/>
        <v>71213.703600000008</v>
      </c>
      <c r="R297" s="63">
        <f t="shared" si="69"/>
        <v>71592.089288000017</v>
      </c>
      <c r="S297" s="83">
        <f t="shared" si="70"/>
        <v>72739.118371999968</v>
      </c>
      <c r="T297" s="64">
        <f t="shared" si="71"/>
        <v>71647.824719999975</v>
      </c>
      <c r="U297" s="66">
        <f t="shared" si="72"/>
        <v>346572.03500000003</v>
      </c>
      <c r="V297" s="63">
        <f t="shared" si="73"/>
        <v>312358.31398800004</v>
      </c>
      <c r="W297" s="83">
        <f t="shared" si="74"/>
        <v>327900.58855399996</v>
      </c>
      <c r="X297" s="64">
        <f t="shared" si="75"/>
        <v>346468.82463849999</v>
      </c>
      <c r="Z297" s="67">
        <v>66647.570000000007</v>
      </c>
      <c r="AA297" s="68">
        <v>82254.304700000008</v>
      </c>
      <c r="AB297" s="69">
        <v>305079</v>
      </c>
      <c r="AC297" s="70">
        <v>318912.74</v>
      </c>
      <c r="AD297" s="67">
        <v>72437.402999999962</v>
      </c>
      <c r="AE297" s="68">
        <v>71340.766499999983</v>
      </c>
      <c r="AF297" s="69">
        <v>335993.41</v>
      </c>
      <c r="AG297" s="70">
        <v>355901.07750000001</v>
      </c>
      <c r="AH297" s="70">
        <f t="shared" si="76"/>
        <v>71213.703600000008</v>
      </c>
      <c r="AI297" s="70">
        <f t="shared" si="77"/>
        <v>77884.418984000004</v>
      </c>
      <c r="AJ297" s="70">
        <f t="shared" si="78"/>
        <v>75186.135475999967</v>
      </c>
      <c r="AK297" s="70">
        <f t="shared" si="79"/>
        <v>71647.824719999975</v>
      </c>
      <c r="AL297" s="70">
        <f t="shared" si="80"/>
        <v>346572.03500000003</v>
      </c>
      <c r="AM297" s="70">
        <f t="shared" si="81"/>
        <v>312358.31398800004</v>
      </c>
      <c r="AN297" s="70">
        <f t="shared" si="82"/>
        <v>327900.58855399996</v>
      </c>
      <c r="AO297" s="70">
        <f t="shared" si="83"/>
        <v>346468.82463849999</v>
      </c>
    </row>
    <row r="298" spans="1:41">
      <c r="A298" s="29" t="s">
        <v>251</v>
      </c>
      <c r="B298" s="29" t="s">
        <v>866</v>
      </c>
      <c r="C298" s="107">
        <v>25245.51</v>
      </c>
      <c r="D298" s="108">
        <v>75000</v>
      </c>
      <c r="F298" s="107">
        <v>22056.639999999999</v>
      </c>
      <c r="G298" s="108">
        <v>75000</v>
      </c>
      <c r="I298" s="64">
        <v>22056.639999999999</v>
      </c>
      <c r="J298" s="83">
        <v>22123.05945600001</v>
      </c>
      <c r="K298" s="66">
        <v>75000</v>
      </c>
      <c r="L298" s="251">
        <v>75000</v>
      </c>
      <c r="M298" s="63">
        <v>18036.568030000006</v>
      </c>
      <c r="N298" s="64">
        <v>15280.428997999998</v>
      </c>
      <c r="O298" s="65">
        <v>75000</v>
      </c>
      <c r="P298" s="66">
        <v>75000</v>
      </c>
      <c r="Q298" s="66">
        <f t="shared" si="68"/>
        <v>22949.5236</v>
      </c>
      <c r="R298" s="63">
        <f t="shared" si="69"/>
        <v>22104.462008320006</v>
      </c>
      <c r="S298" s="83">
        <f t="shared" si="70"/>
        <v>19180.785629280006</v>
      </c>
      <c r="T298" s="64">
        <f t="shared" si="71"/>
        <v>16052.14792696</v>
      </c>
      <c r="U298" s="66">
        <f t="shared" si="72"/>
        <v>75000</v>
      </c>
      <c r="V298" s="63">
        <f t="shared" si="73"/>
        <v>75000</v>
      </c>
      <c r="W298" s="83">
        <f t="shared" si="74"/>
        <v>75000</v>
      </c>
      <c r="X298" s="64">
        <f t="shared" si="75"/>
        <v>75000</v>
      </c>
      <c r="Z298" s="67">
        <v>22056.639999999999</v>
      </c>
      <c r="AA298" s="68">
        <v>23477.658209999994</v>
      </c>
      <c r="AB298" s="69">
        <v>75000</v>
      </c>
      <c r="AC298" s="70">
        <v>75000</v>
      </c>
      <c r="AD298" s="67">
        <v>18036.568030000006</v>
      </c>
      <c r="AE298" s="68">
        <v>15280.428997999998</v>
      </c>
      <c r="AF298" s="69">
        <v>75000</v>
      </c>
      <c r="AG298" s="70">
        <v>75000</v>
      </c>
      <c r="AH298" s="70">
        <f t="shared" si="76"/>
        <v>22949.5236</v>
      </c>
      <c r="AI298" s="70">
        <f t="shared" si="77"/>
        <v>23079.773111199996</v>
      </c>
      <c r="AJ298" s="70">
        <f t="shared" si="78"/>
        <v>19560.073280400004</v>
      </c>
      <c r="AK298" s="70">
        <f t="shared" si="79"/>
        <v>16052.14792696</v>
      </c>
      <c r="AL298" s="70">
        <f t="shared" si="80"/>
        <v>75000</v>
      </c>
      <c r="AM298" s="70">
        <f t="shared" si="81"/>
        <v>75000</v>
      </c>
      <c r="AN298" s="70">
        <f t="shared" si="82"/>
        <v>75000</v>
      </c>
      <c r="AO298" s="70">
        <f t="shared" si="83"/>
        <v>75000</v>
      </c>
    </row>
    <row r="299" spans="1:41">
      <c r="A299" s="29" t="s">
        <v>85</v>
      </c>
      <c r="B299" s="29" t="s">
        <v>867</v>
      </c>
      <c r="C299" s="107">
        <v>515206.96</v>
      </c>
      <c r="D299" s="108">
        <v>5400000</v>
      </c>
      <c r="F299" s="107">
        <v>257043.88</v>
      </c>
      <c r="G299" s="108">
        <v>5750000</v>
      </c>
      <c r="I299" s="64">
        <v>257043.88</v>
      </c>
      <c r="J299" s="83">
        <v>74304.956900000005</v>
      </c>
      <c r="K299" s="66">
        <v>5750000</v>
      </c>
      <c r="L299" s="251">
        <v>6100000</v>
      </c>
      <c r="M299" s="63">
        <v>0</v>
      </c>
      <c r="N299" s="64">
        <v>0</v>
      </c>
      <c r="O299" s="65">
        <v>6100000</v>
      </c>
      <c r="P299" s="66">
        <v>6100000</v>
      </c>
      <c r="Q299" s="66">
        <f t="shared" si="68"/>
        <v>329329.54240000003</v>
      </c>
      <c r="R299" s="63">
        <f t="shared" si="69"/>
        <v>125471.85536800002</v>
      </c>
      <c r="S299" s="83">
        <f t="shared" si="70"/>
        <v>20805.387932000005</v>
      </c>
      <c r="T299" s="64">
        <f t="shared" si="71"/>
        <v>0</v>
      </c>
      <c r="U299" s="66">
        <f t="shared" si="72"/>
        <v>5584170</v>
      </c>
      <c r="V299" s="63">
        <f t="shared" si="73"/>
        <v>5934170</v>
      </c>
      <c r="W299" s="83">
        <f t="shared" si="74"/>
        <v>6100000</v>
      </c>
      <c r="X299" s="64">
        <f t="shared" si="75"/>
        <v>6100000</v>
      </c>
      <c r="Z299" s="67">
        <v>257043.88</v>
      </c>
      <c r="AA299" s="68">
        <v>267440.96860000014</v>
      </c>
      <c r="AB299" s="69">
        <v>5750000</v>
      </c>
      <c r="AC299" s="70">
        <v>6100000</v>
      </c>
      <c r="AD299" s="67">
        <v>0</v>
      </c>
      <c r="AE299" s="68">
        <v>0</v>
      </c>
      <c r="AF299" s="69">
        <v>6100000</v>
      </c>
      <c r="AG299" s="70">
        <v>6100000</v>
      </c>
      <c r="AH299" s="70">
        <f t="shared" si="76"/>
        <v>329329.54240000003</v>
      </c>
      <c r="AI299" s="70">
        <f t="shared" si="77"/>
        <v>264529.78379200015</v>
      </c>
      <c r="AJ299" s="70">
        <f t="shared" si="78"/>
        <v>74883.471208000046</v>
      </c>
      <c r="AK299" s="70">
        <f t="shared" si="79"/>
        <v>0</v>
      </c>
      <c r="AL299" s="70">
        <f t="shared" si="80"/>
        <v>5584170</v>
      </c>
      <c r="AM299" s="70">
        <f t="shared" si="81"/>
        <v>5934170</v>
      </c>
      <c r="AN299" s="70">
        <f t="shared" si="82"/>
        <v>6100000</v>
      </c>
      <c r="AO299" s="70">
        <f t="shared" si="83"/>
        <v>6100000</v>
      </c>
    </row>
    <row r="300" spans="1:41">
      <c r="A300" s="29" t="s">
        <v>585</v>
      </c>
      <c r="B300" s="29" t="s">
        <v>868</v>
      </c>
      <c r="C300" s="107">
        <v>16596785.789999999</v>
      </c>
      <c r="D300" s="108">
        <v>14694709</v>
      </c>
      <c r="F300" s="107">
        <v>16269665.529999999</v>
      </c>
      <c r="G300" s="108">
        <v>15282497</v>
      </c>
      <c r="I300" s="64">
        <v>16269665.529999999</v>
      </c>
      <c r="J300" s="83">
        <v>16932294.380899999</v>
      </c>
      <c r="K300" s="66">
        <v>15282497</v>
      </c>
      <c r="L300" s="251">
        <v>15893797</v>
      </c>
      <c r="M300" s="63">
        <v>17065935.794999998</v>
      </c>
      <c r="N300" s="64">
        <v>17191256.536499996</v>
      </c>
      <c r="O300" s="65">
        <v>16529549</v>
      </c>
      <c r="P300" s="66">
        <v>16529549</v>
      </c>
      <c r="Q300" s="66">
        <f t="shared" si="68"/>
        <v>16361259.202799998</v>
      </c>
      <c r="R300" s="63">
        <f t="shared" si="69"/>
        <v>16746758.302648</v>
      </c>
      <c r="S300" s="83">
        <f t="shared" si="70"/>
        <v>17028516.199051999</v>
      </c>
      <c r="T300" s="64">
        <f t="shared" si="71"/>
        <v>17156166.728879996</v>
      </c>
      <c r="U300" s="66">
        <f t="shared" si="72"/>
        <v>15004003.045600001</v>
      </c>
      <c r="V300" s="63">
        <f t="shared" si="73"/>
        <v>15604163.059999999</v>
      </c>
      <c r="W300" s="83">
        <f t="shared" si="74"/>
        <v>16228329.702400001</v>
      </c>
      <c r="X300" s="64">
        <f t="shared" si="75"/>
        <v>16529549</v>
      </c>
      <c r="Z300" s="67">
        <v>16269665.529999999</v>
      </c>
      <c r="AA300" s="68">
        <v>17939290.944800001</v>
      </c>
      <c r="AB300" s="69">
        <v>15282497</v>
      </c>
      <c r="AC300" s="70">
        <v>15893797</v>
      </c>
      <c r="AD300" s="67">
        <v>17065935.794999998</v>
      </c>
      <c r="AE300" s="68">
        <v>17191256.536499996</v>
      </c>
      <c r="AF300" s="69">
        <v>16529549</v>
      </c>
      <c r="AG300" s="70">
        <v>16529549</v>
      </c>
      <c r="AH300" s="70">
        <f t="shared" si="76"/>
        <v>16361259.202799998</v>
      </c>
      <c r="AI300" s="70">
        <f t="shared" si="77"/>
        <v>17471795.828656003</v>
      </c>
      <c r="AJ300" s="70">
        <f t="shared" si="78"/>
        <v>17310475.236943997</v>
      </c>
      <c r="AK300" s="70">
        <f t="shared" si="79"/>
        <v>17156166.728879996</v>
      </c>
      <c r="AL300" s="70">
        <f t="shared" si="80"/>
        <v>15004003.045600001</v>
      </c>
      <c r="AM300" s="70">
        <f t="shared" si="81"/>
        <v>15604163.059999999</v>
      </c>
      <c r="AN300" s="70">
        <f t="shared" si="82"/>
        <v>16228329.702400001</v>
      </c>
      <c r="AO300" s="70">
        <f t="shared" si="83"/>
        <v>16529549</v>
      </c>
    </row>
    <row r="301" spans="1:41">
      <c r="A301" s="29" t="s">
        <v>507</v>
      </c>
      <c r="B301" s="29" t="s">
        <v>869</v>
      </c>
      <c r="C301" s="107">
        <v>3382845.63</v>
      </c>
      <c r="D301" s="108">
        <v>10017576</v>
      </c>
      <c r="F301" s="107">
        <v>1934808.38</v>
      </c>
      <c r="G301" s="108">
        <v>10942599</v>
      </c>
      <c r="I301" s="64">
        <v>1934808.38</v>
      </c>
      <c r="J301" s="83">
        <v>2861973.7133999998</v>
      </c>
      <c r="K301" s="66">
        <v>10942599</v>
      </c>
      <c r="L301" s="251">
        <v>11255021.675000001</v>
      </c>
      <c r="M301" s="63">
        <v>2628347.4647999993</v>
      </c>
      <c r="N301" s="64">
        <v>2589669.7082999996</v>
      </c>
      <c r="O301" s="65">
        <v>12199774.522500001</v>
      </c>
      <c r="P301" s="66">
        <v>12750000</v>
      </c>
      <c r="Q301" s="66">
        <f t="shared" si="68"/>
        <v>2340258.81</v>
      </c>
      <c r="R301" s="63">
        <f t="shared" si="69"/>
        <v>2602367.4200479998</v>
      </c>
      <c r="S301" s="83">
        <f t="shared" si="70"/>
        <v>2693762.8144079992</v>
      </c>
      <c r="T301" s="64">
        <f t="shared" si="71"/>
        <v>2600499.4801199995</v>
      </c>
      <c r="U301" s="66">
        <f t="shared" si="72"/>
        <v>10504323.102600001</v>
      </c>
      <c r="V301" s="63">
        <f t="shared" si="73"/>
        <v>11106995.811585002</v>
      </c>
      <c r="W301" s="83">
        <f t="shared" si="74"/>
        <v>11752150.6233545</v>
      </c>
      <c r="X301" s="64">
        <f t="shared" si="75"/>
        <v>12489303.168760501</v>
      </c>
      <c r="Z301" s="67">
        <v>1934808.38</v>
      </c>
      <c r="AA301" s="68">
        <v>3381609.5900000008</v>
      </c>
      <c r="AB301" s="69">
        <v>10942599</v>
      </c>
      <c r="AC301" s="70">
        <v>11255021.675000001</v>
      </c>
      <c r="AD301" s="67">
        <v>2628347.4647999993</v>
      </c>
      <c r="AE301" s="68">
        <v>2589669.7082999996</v>
      </c>
      <c r="AF301" s="69">
        <v>12199774.522500001</v>
      </c>
      <c r="AG301" s="70">
        <v>12750000</v>
      </c>
      <c r="AH301" s="70">
        <f t="shared" si="76"/>
        <v>2340258.81</v>
      </c>
      <c r="AI301" s="70">
        <f t="shared" si="77"/>
        <v>2976505.2512000008</v>
      </c>
      <c r="AJ301" s="70">
        <f t="shared" si="78"/>
        <v>2839260.8598559997</v>
      </c>
      <c r="AK301" s="70">
        <f t="shared" si="79"/>
        <v>2600499.4801199995</v>
      </c>
      <c r="AL301" s="70">
        <f t="shared" si="80"/>
        <v>10504323.102600001</v>
      </c>
      <c r="AM301" s="70">
        <f t="shared" si="81"/>
        <v>11106995.811585002</v>
      </c>
      <c r="AN301" s="70">
        <f t="shared" si="82"/>
        <v>11752150.6233545</v>
      </c>
      <c r="AO301" s="70">
        <f t="shared" si="83"/>
        <v>12489303.168760501</v>
      </c>
    </row>
    <row r="302" spans="1:41">
      <c r="A302" s="29" t="s">
        <v>603</v>
      </c>
      <c r="B302" s="29" t="s">
        <v>870</v>
      </c>
      <c r="C302" s="107">
        <v>1252245.8999999999</v>
      </c>
      <c r="D302" s="108">
        <v>1100000</v>
      </c>
      <c r="F302" s="107">
        <v>1190487.07</v>
      </c>
      <c r="G302" s="108">
        <v>1100000</v>
      </c>
      <c r="I302" s="64">
        <v>1190487.07</v>
      </c>
      <c r="J302" s="83">
        <v>1255393.1881999997</v>
      </c>
      <c r="K302" s="66">
        <v>1100000</v>
      </c>
      <c r="L302" s="251">
        <v>1100000</v>
      </c>
      <c r="M302" s="63">
        <v>1275176.4362999997</v>
      </c>
      <c r="N302" s="64">
        <v>1301281.1463000001</v>
      </c>
      <c r="O302" s="65">
        <v>1100000</v>
      </c>
      <c r="P302" s="66">
        <v>1100000</v>
      </c>
      <c r="Q302" s="66">
        <f t="shared" si="68"/>
        <v>1207779.5423999999</v>
      </c>
      <c r="R302" s="63">
        <f t="shared" si="69"/>
        <v>1237219.4751039997</v>
      </c>
      <c r="S302" s="83">
        <f t="shared" si="70"/>
        <v>1269637.1268319997</v>
      </c>
      <c r="T302" s="64">
        <f t="shared" si="71"/>
        <v>1293971.8275000001</v>
      </c>
      <c r="U302" s="66">
        <f t="shared" si="72"/>
        <v>1100000</v>
      </c>
      <c r="V302" s="63">
        <f t="shared" si="73"/>
        <v>1100000</v>
      </c>
      <c r="W302" s="83">
        <f t="shared" si="74"/>
        <v>1100000</v>
      </c>
      <c r="X302" s="64">
        <f t="shared" si="75"/>
        <v>1100000</v>
      </c>
      <c r="Z302" s="67">
        <v>1190487.07</v>
      </c>
      <c r="AA302" s="68">
        <v>1317101.5027999999</v>
      </c>
      <c r="AB302" s="69">
        <v>1100000</v>
      </c>
      <c r="AC302" s="70">
        <v>1100000</v>
      </c>
      <c r="AD302" s="67">
        <v>1275176.4362999997</v>
      </c>
      <c r="AE302" s="68">
        <v>1301281.1463000001</v>
      </c>
      <c r="AF302" s="69">
        <v>1100000</v>
      </c>
      <c r="AG302" s="70">
        <v>1100000</v>
      </c>
      <c r="AH302" s="70">
        <f t="shared" si="76"/>
        <v>1207779.5423999999</v>
      </c>
      <c r="AI302" s="70">
        <f t="shared" si="77"/>
        <v>1281649.4616159999</v>
      </c>
      <c r="AJ302" s="70">
        <f t="shared" si="78"/>
        <v>1286915.4549199997</v>
      </c>
      <c r="AK302" s="70">
        <f t="shared" si="79"/>
        <v>1293971.8275000001</v>
      </c>
      <c r="AL302" s="70">
        <f t="shared" si="80"/>
        <v>1100000</v>
      </c>
      <c r="AM302" s="70">
        <f t="shared" si="81"/>
        <v>1100000</v>
      </c>
      <c r="AN302" s="70">
        <f t="shared" si="82"/>
        <v>1100000</v>
      </c>
      <c r="AO302" s="70">
        <f t="shared" si="83"/>
        <v>1100000</v>
      </c>
    </row>
    <row r="303" spans="1:41">
      <c r="A303" s="342" t="s">
        <v>1039</v>
      </c>
      <c r="B303" s="342" t="s">
        <v>1285</v>
      </c>
      <c r="C303" s="107">
        <v>0</v>
      </c>
      <c r="D303" s="107">
        <v>0</v>
      </c>
      <c r="F303" s="107">
        <v>33951.78</v>
      </c>
      <c r="G303" s="108">
        <v>0</v>
      </c>
      <c r="I303" s="64">
        <v>33951.78</v>
      </c>
      <c r="J303" s="83">
        <v>225588.83</v>
      </c>
      <c r="K303" s="66">
        <v>0</v>
      </c>
      <c r="L303" s="251">
        <v>0</v>
      </c>
      <c r="M303" s="63">
        <v>36774.633810988453</v>
      </c>
      <c r="N303" s="64">
        <v>38732.256849472476</v>
      </c>
      <c r="O303" s="65">
        <v>0</v>
      </c>
      <c r="P303" s="66">
        <v>0</v>
      </c>
      <c r="Q303" s="66">
        <f t="shared" si="68"/>
        <v>24445.281599999998</v>
      </c>
      <c r="R303" s="63">
        <f t="shared" si="69"/>
        <v>171930.45600000001</v>
      </c>
      <c r="S303" s="83">
        <f t="shared" si="70"/>
        <v>89642.608743911682</v>
      </c>
      <c r="T303" s="64">
        <f t="shared" si="71"/>
        <v>38184.122398696949</v>
      </c>
      <c r="U303" s="66">
        <f t="shared" si="72"/>
        <v>0</v>
      </c>
      <c r="V303" s="63">
        <f t="shared" si="73"/>
        <v>0</v>
      </c>
      <c r="W303" s="83">
        <f t="shared" si="74"/>
        <v>0</v>
      </c>
      <c r="X303" s="64">
        <f t="shared" si="75"/>
        <v>0</v>
      </c>
      <c r="Z303" s="67">
        <v>33951.78</v>
      </c>
      <c r="AA303" s="68">
        <v>38554.996780934693</v>
      </c>
      <c r="AB303" s="69">
        <v>0</v>
      </c>
      <c r="AC303" s="70">
        <v>0</v>
      </c>
      <c r="AD303" s="67">
        <v>36774.633810988453</v>
      </c>
      <c r="AE303" s="68">
        <v>38732.256849472476</v>
      </c>
      <c r="AF303" s="69">
        <v>0</v>
      </c>
      <c r="AG303" s="70">
        <v>0</v>
      </c>
      <c r="AH303" s="70">
        <f t="shared" si="76"/>
        <v>24445.281599999998</v>
      </c>
      <c r="AI303" s="70">
        <f t="shared" si="77"/>
        <v>37266.096082272983</v>
      </c>
      <c r="AJ303" s="70">
        <f t="shared" si="78"/>
        <v>37273.135442573403</v>
      </c>
      <c r="AK303" s="70">
        <f t="shared" si="79"/>
        <v>38184.122398696949</v>
      </c>
      <c r="AL303" s="70">
        <f t="shared" si="80"/>
        <v>0</v>
      </c>
      <c r="AM303" s="70">
        <f t="shared" si="81"/>
        <v>0</v>
      </c>
      <c r="AN303" s="70">
        <f t="shared" si="82"/>
        <v>0</v>
      </c>
      <c r="AO303" s="70">
        <f t="shared" si="83"/>
        <v>0</v>
      </c>
    </row>
    <row r="304" spans="1:41">
      <c r="A304" s="342" t="s">
        <v>1038</v>
      </c>
      <c r="B304" s="342" t="s">
        <v>1286</v>
      </c>
      <c r="C304" s="107">
        <v>0</v>
      </c>
      <c r="D304" s="107">
        <v>0</v>
      </c>
      <c r="F304" s="107">
        <v>848882.75</v>
      </c>
      <c r="G304" s="108">
        <v>0</v>
      </c>
      <c r="I304" s="64">
        <v>848882.75</v>
      </c>
      <c r="J304" s="83">
        <v>991152.05709999998</v>
      </c>
      <c r="K304" s="66">
        <v>0</v>
      </c>
      <c r="L304" s="251">
        <v>0</v>
      </c>
      <c r="M304" s="63">
        <v>1025460.2022849113</v>
      </c>
      <c r="N304" s="64">
        <v>1066127.4480000001</v>
      </c>
      <c r="O304" s="65">
        <v>0</v>
      </c>
      <c r="P304" s="66">
        <v>0</v>
      </c>
      <c r="Q304" s="66">
        <f t="shared" si="68"/>
        <v>611195.57999999996</v>
      </c>
      <c r="R304" s="63">
        <f t="shared" si="69"/>
        <v>951316.65111199999</v>
      </c>
      <c r="S304" s="83">
        <f t="shared" si="70"/>
        <v>1015853.9216331361</v>
      </c>
      <c r="T304" s="64">
        <f t="shared" si="71"/>
        <v>1054740.6191997752</v>
      </c>
      <c r="U304" s="66">
        <f t="shared" si="72"/>
        <v>0</v>
      </c>
      <c r="V304" s="63">
        <f t="shared" si="73"/>
        <v>0</v>
      </c>
      <c r="W304" s="83">
        <f t="shared" si="74"/>
        <v>0</v>
      </c>
      <c r="X304" s="64">
        <f t="shared" si="75"/>
        <v>0</v>
      </c>
      <c r="Z304" s="67">
        <v>848882.75</v>
      </c>
      <c r="AA304" s="68">
        <v>911654.69767613348</v>
      </c>
      <c r="AB304" s="69">
        <v>0</v>
      </c>
      <c r="AC304" s="70">
        <v>0</v>
      </c>
      <c r="AD304" s="67">
        <v>1025460.2022849113</v>
      </c>
      <c r="AE304" s="68">
        <v>1066127.4480000001</v>
      </c>
      <c r="AF304" s="69">
        <v>0</v>
      </c>
      <c r="AG304" s="70">
        <v>0</v>
      </c>
      <c r="AH304" s="70">
        <f t="shared" si="76"/>
        <v>611195.57999999996</v>
      </c>
      <c r="AI304" s="70">
        <f t="shared" si="77"/>
        <v>894078.55232681613</v>
      </c>
      <c r="AJ304" s="70">
        <f t="shared" si="78"/>
        <v>993594.66099445347</v>
      </c>
      <c r="AK304" s="70">
        <f t="shared" si="79"/>
        <v>1054740.6191997752</v>
      </c>
      <c r="AL304" s="70">
        <f t="shared" si="80"/>
        <v>0</v>
      </c>
      <c r="AM304" s="70">
        <f t="shared" si="81"/>
        <v>0</v>
      </c>
      <c r="AN304" s="70">
        <f t="shared" si="82"/>
        <v>0</v>
      </c>
      <c r="AO304" s="70">
        <f t="shared" si="83"/>
        <v>0</v>
      </c>
    </row>
    <row r="305" spans="1:41">
      <c r="A305" s="342" t="s">
        <v>1024</v>
      </c>
      <c r="B305" s="342" t="s">
        <v>1287</v>
      </c>
      <c r="C305" s="107">
        <v>0</v>
      </c>
      <c r="D305" s="107">
        <v>0</v>
      </c>
      <c r="F305" s="107">
        <v>236161.32</v>
      </c>
      <c r="G305" s="108">
        <v>0</v>
      </c>
      <c r="I305" s="64">
        <v>236161.32</v>
      </c>
      <c r="J305" s="83">
        <v>250492.41580000002</v>
      </c>
      <c r="K305" s="66">
        <v>0</v>
      </c>
      <c r="L305" s="251">
        <v>0</v>
      </c>
      <c r="M305" s="63">
        <v>259180.14689999999</v>
      </c>
      <c r="N305" s="64">
        <v>269441.84130000003</v>
      </c>
      <c r="O305" s="65">
        <v>0</v>
      </c>
      <c r="P305" s="66">
        <v>0</v>
      </c>
      <c r="Q305" s="66">
        <f t="shared" si="68"/>
        <v>170036.15040000001</v>
      </c>
      <c r="R305" s="63">
        <f t="shared" si="69"/>
        <v>246479.70897600002</v>
      </c>
      <c r="S305" s="83">
        <f t="shared" si="70"/>
        <v>256747.582192</v>
      </c>
      <c r="T305" s="64">
        <f t="shared" si="71"/>
        <v>266568.56686800002</v>
      </c>
      <c r="U305" s="66">
        <f t="shared" si="72"/>
        <v>0</v>
      </c>
      <c r="V305" s="63">
        <f t="shared" si="73"/>
        <v>0</v>
      </c>
      <c r="W305" s="83">
        <f t="shared" si="74"/>
        <v>0</v>
      </c>
      <c r="X305" s="64">
        <f t="shared" si="75"/>
        <v>0</v>
      </c>
      <c r="Z305" s="67">
        <v>236161.32</v>
      </c>
      <c r="AA305" s="68">
        <v>250492.41580000002</v>
      </c>
      <c r="AB305" s="69">
        <v>0</v>
      </c>
      <c r="AC305" s="70">
        <v>0</v>
      </c>
      <c r="AD305" s="67">
        <v>259180.14689999999</v>
      </c>
      <c r="AE305" s="68">
        <v>269441.84130000003</v>
      </c>
      <c r="AF305" s="69">
        <v>0</v>
      </c>
      <c r="AG305" s="70">
        <v>0</v>
      </c>
      <c r="AH305" s="70">
        <f t="shared" si="76"/>
        <v>170036.15040000001</v>
      </c>
      <c r="AI305" s="70">
        <f t="shared" si="77"/>
        <v>246479.70897600002</v>
      </c>
      <c r="AJ305" s="70">
        <f t="shared" si="78"/>
        <v>256747.582192</v>
      </c>
      <c r="AK305" s="70">
        <f t="shared" si="79"/>
        <v>266568.56686800002</v>
      </c>
      <c r="AL305" s="70">
        <f t="shared" si="80"/>
        <v>0</v>
      </c>
      <c r="AM305" s="70">
        <f t="shared" si="81"/>
        <v>0</v>
      </c>
      <c r="AN305" s="70">
        <f t="shared" si="82"/>
        <v>0</v>
      </c>
      <c r="AO305" s="70">
        <f t="shared" si="83"/>
        <v>0</v>
      </c>
    </row>
    <row r="306" spans="1:41">
      <c r="A306" s="342" t="s">
        <v>53</v>
      </c>
      <c r="B306" s="342" t="s">
        <v>1288</v>
      </c>
      <c r="C306" s="107">
        <v>0</v>
      </c>
      <c r="D306" s="107">
        <v>0</v>
      </c>
      <c r="F306" s="107">
        <v>33028.71</v>
      </c>
      <c r="G306" s="108">
        <v>0</v>
      </c>
      <c r="I306" s="64">
        <v>33028.71</v>
      </c>
      <c r="J306" s="83">
        <v>233031.48509999999</v>
      </c>
      <c r="K306" s="66">
        <v>0</v>
      </c>
      <c r="L306" s="251">
        <v>0</v>
      </c>
      <c r="M306" s="63">
        <v>38544.622720826766</v>
      </c>
      <c r="N306" s="64">
        <v>40784.652254413631</v>
      </c>
      <c r="O306" s="65">
        <v>0</v>
      </c>
      <c r="P306" s="66">
        <v>0</v>
      </c>
      <c r="Q306" s="66">
        <f t="shared" si="68"/>
        <v>23780.671199999997</v>
      </c>
      <c r="R306" s="63">
        <f t="shared" si="69"/>
        <v>177030.70807200001</v>
      </c>
      <c r="S306" s="83">
        <f t="shared" si="70"/>
        <v>93000.944186995272</v>
      </c>
      <c r="T306" s="64">
        <f t="shared" si="71"/>
        <v>40157.443985009311</v>
      </c>
      <c r="U306" s="66">
        <f t="shared" si="72"/>
        <v>0</v>
      </c>
      <c r="V306" s="63">
        <f t="shared" si="73"/>
        <v>0</v>
      </c>
      <c r="W306" s="83">
        <f t="shared" si="74"/>
        <v>0</v>
      </c>
      <c r="X306" s="64">
        <f t="shared" si="75"/>
        <v>0</v>
      </c>
      <c r="Z306" s="67">
        <v>33028.71</v>
      </c>
      <c r="AA306" s="68">
        <v>35379.743250446154</v>
      </c>
      <c r="AB306" s="69">
        <v>0</v>
      </c>
      <c r="AC306" s="70">
        <v>0</v>
      </c>
      <c r="AD306" s="67">
        <v>38544.622720826766</v>
      </c>
      <c r="AE306" s="68">
        <v>40784.652254413631</v>
      </c>
      <c r="AF306" s="69">
        <v>0</v>
      </c>
      <c r="AG306" s="70">
        <v>0</v>
      </c>
      <c r="AH306" s="70">
        <f t="shared" si="76"/>
        <v>23780.671199999997</v>
      </c>
      <c r="AI306" s="70">
        <f t="shared" si="77"/>
        <v>34721.453940321233</v>
      </c>
      <c r="AJ306" s="70">
        <f t="shared" si="78"/>
        <v>37658.456469120196</v>
      </c>
      <c r="AK306" s="70">
        <f t="shared" si="79"/>
        <v>40157.443985009311</v>
      </c>
      <c r="AL306" s="70">
        <f t="shared" si="80"/>
        <v>0</v>
      </c>
      <c r="AM306" s="70">
        <f t="shared" si="81"/>
        <v>0</v>
      </c>
      <c r="AN306" s="70">
        <f t="shared" si="82"/>
        <v>0</v>
      </c>
      <c r="AO306" s="70">
        <f t="shared" si="83"/>
        <v>0</v>
      </c>
    </row>
    <row r="307" spans="1:41">
      <c r="A307" s="342" t="s">
        <v>223</v>
      </c>
      <c r="B307" s="342" t="s">
        <v>1289</v>
      </c>
      <c r="C307" s="107">
        <v>0</v>
      </c>
      <c r="D307" s="107">
        <v>0</v>
      </c>
      <c r="F307" s="107">
        <v>943275</v>
      </c>
      <c r="G307" s="108">
        <v>0</v>
      </c>
      <c r="I307" s="64">
        <v>943275</v>
      </c>
      <c r="J307" s="83">
        <v>1000548.6311999999</v>
      </c>
      <c r="K307" s="66">
        <v>0</v>
      </c>
      <c r="L307" s="251">
        <v>0</v>
      </c>
      <c r="M307" s="63">
        <v>1035215.3078999999</v>
      </c>
      <c r="N307" s="64">
        <v>1076228.9685</v>
      </c>
      <c r="O307" s="65">
        <v>0</v>
      </c>
      <c r="P307" s="66">
        <v>0</v>
      </c>
      <c r="Q307" s="66">
        <f t="shared" si="68"/>
        <v>679158</v>
      </c>
      <c r="R307" s="63">
        <f t="shared" si="69"/>
        <v>984512.01446399989</v>
      </c>
      <c r="S307" s="83">
        <f t="shared" si="70"/>
        <v>1025508.638424</v>
      </c>
      <c r="T307" s="64">
        <f t="shared" si="71"/>
        <v>1064745.143532</v>
      </c>
      <c r="U307" s="66">
        <f t="shared" si="72"/>
        <v>0</v>
      </c>
      <c r="V307" s="63">
        <f t="shared" si="73"/>
        <v>0</v>
      </c>
      <c r="W307" s="83">
        <f t="shared" si="74"/>
        <v>0</v>
      </c>
      <c r="X307" s="64">
        <f t="shared" si="75"/>
        <v>0</v>
      </c>
      <c r="Z307" s="67">
        <v>943275</v>
      </c>
      <c r="AA307" s="68">
        <v>1000548.6311999999</v>
      </c>
      <c r="AB307" s="69">
        <v>0</v>
      </c>
      <c r="AC307" s="70">
        <v>0</v>
      </c>
      <c r="AD307" s="67">
        <v>1035215.3078999999</v>
      </c>
      <c r="AE307" s="68">
        <v>1076228.9685</v>
      </c>
      <c r="AF307" s="69">
        <v>0</v>
      </c>
      <c r="AG307" s="70">
        <v>0</v>
      </c>
      <c r="AH307" s="70">
        <f t="shared" si="76"/>
        <v>679158</v>
      </c>
      <c r="AI307" s="70">
        <f t="shared" si="77"/>
        <v>984512.01446399989</v>
      </c>
      <c r="AJ307" s="70">
        <f t="shared" si="78"/>
        <v>1025508.638424</v>
      </c>
      <c r="AK307" s="70">
        <f t="shared" si="79"/>
        <v>1064745.143532</v>
      </c>
      <c r="AL307" s="70">
        <f t="shared" si="80"/>
        <v>0</v>
      </c>
      <c r="AM307" s="70">
        <f t="shared" si="81"/>
        <v>0</v>
      </c>
      <c r="AN307" s="70">
        <f t="shared" si="82"/>
        <v>0</v>
      </c>
      <c r="AO307" s="70">
        <f t="shared" si="83"/>
        <v>0</v>
      </c>
    </row>
    <row r="308" spans="1:41">
      <c r="A308" s="342" t="s">
        <v>237</v>
      </c>
      <c r="B308" s="342" t="s">
        <v>1290</v>
      </c>
      <c r="C308" s="107">
        <v>0</v>
      </c>
      <c r="D308" s="107">
        <v>0</v>
      </c>
      <c r="F308" s="107">
        <v>149106.44</v>
      </c>
      <c r="G308" s="108">
        <v>0</v>
      </c>
      <c r="I308" s="64">
        <v>149106.44</v>
      </c>
      <c r="J308" s="83">
        <v>156562.20060000001</v>
      </c>
      <c r="K308" s="66">
        <v>0</v>
      </c>
      <c r="L308" s="251">
        <v>0</v>
      </c>
      <c r="M308" s="63">
        <v>159849.82259999998</v>
      </c>
      <c r="N308" s="64">
        <v>163366.60860000001</v>
      </c>
      <c r="O308" s="65">
        <v>0</v>
      </c>
      <c r="P308" s="66">
        <v>0</v>
      </c>
      <c r="Q308" s="66">
        <f t="shared" si="68"/>
        <v>107356.63679999999</v>
      </c>
      <c r="R308" s="63">
        <f t="shared" si="69"/>
        <v>154474.58763200001</v>
      </c>
      <c r="S308" s="83">
        <f t="shared" si="70"/>
        <v>158929.28843999997</v>
      </c>
      <c r="T308" s="64">
        <f t="shared" si="71"/>
        <v>162381.90852</v>
      </c>
      <c r="U308" s="66">
        <f t="shared" si="72"/>
        <v>0</v>
      </c>
      <c r="V308" s="63">
        <f t="shared" si="73"/>
        <v>0</v>
      </c>
      <c r="W308" s="83">
        <f t="shared" si="74"/>
        <v>0</v>
      </c>
      <c r="X308" s="64">
        <f t="shared" si="75"/>
        <v>0</v>
      </c>
      <c r="Z308" s="67">
        <v>149106.44</v>
      </c>
      <c r="AA308" s="68">
        <v>156562.20060000001</v>
      </c>
      <c r="AB308" s="69">
        <v>0</v>
      </c>
      <c r="AC308" s="70">
        <v>0</v>
      </c>
      <c r="AD308" s="67">
        <v>159849.82259999998</v>
      </c>
      <c r="AE308" s="68">
        <v>163366.60860000001</v>
      </c>
      <c r="AF308" s="69">
        <v>0</v>
      </c>
      <c r="AG308" s="70">
        <v>0</v>
      </c>
      <c r="AH308" s="70">
        <f t="shared" si="76"/>
        <v>107356.63679999999</v>
      </c>
      <c r="AI308" s="70">
        <f t="shared" si="77"/>
        <v>154474.58763200001</v>
      </c>
      <c r="AJ308" s="70">
        <f t="shared" si="78"/>
        <v>158929.28843999997</v>
      </c>
      <c r="AK308" s="70">
        <f t="shared" si="79"/>
        <v>162381.90852</v>
      </c>
      <c r="AL308" s="70">
        <f t="shared" si="80"/>
        <v>0</v>
      </c>
      <c r="AM308" s="70">
        <f t="shared" si="81"/>
        <v>0</v>
      </c>
      <c r="AN308" s="70">
        <f t="shared" si="82"/>
        <v>0</v>
      </c>
      <c r="AO308" s="70">
        <f t="shared" si="83"/>
        <v>0</v>
      </c>
    </row>
    <row r="309" spans="1:41">
      <c r="A309" s="342" t="s">
        <v>553</v>
      </c>
      <c r="B309" s="342" t="s">
        <v>1291</v>
      </c>
      <c r="C309" s="107">
        <v>0</v>
      </c>
      <c r="D309" s="107">
        <v>0</v>
      </c>
      <c r="F309" s="107">
        <v>671554.15</v>
      </c>
      <c r="G309" s="108">
        <v>0</v>
      </c>
      <c r="I309" s="64">
        <v>671554.15</v>
      </c>
      <c r="J309" s="83">
        <v>712327.81579999998</v>
      </c>
      <c r="K309" s="66">
        <v>0</v>
      </c>
      <c r="L309" s="251">
        <v>0</v>
      </c>
      <c r="M309" s="63">
        <v>737006.70419999992</v>
      </c>
      <c r="N309" s="64">
        <v>766214.23109999998</v>
      </c>
      <c r="O309" s="65">
        <v>0</v>
      </c>
      <c r="P309" s="66">
        <v>0</v>
      </c>
      <c r="Q309" s="66">
        <f t="shared" si="68"/>
        <v>483518.98800000001</v>
      </c>
      <c r="R309" s="63">
        <f t="shared" si="69"/>
        <v>700911.18937599997</v>
      </c>
      <c r="S309" s="83">
        <f t="shared" si="70"/>
        <v>730096.61544799991</v>
      </c>
      <c r="T309" s="64">
        <f t="shared" si="71"/>
        <v>758036.12356800004</v>
      </c>
      <c r="U309" s="66">
        <f t="shared" si="72"/>
        <v>0</v>
      </c>
      <c r="V309" s="63">
        <f t="shared" si="73"/>
        <v>0</v>
      </c>
      <c r="W309" s="83">
        <f t="shared" si="74"/>
        <v>0</v>
      </c>
      <c r="X309" s="64">
        <f t="shared" si="75"/>
        <v>0</v>
      </c>
      <c r="Z309" s="67">
        <v>671554.15</v>
      </c>
      <c r="AA309" s="68">
        <v>712327.81579999998</v>
      </c>
      <c r="AB309" s="69">
        <v>0</v>
      </c>
      <c r="AC309" s="70">
        <v>0</v>
      </c>
      <c r="AD309" s="67">
        <v>737006.70419999992</v>
      </c>
      <c r="AE309" s="68">
        <v>766214.23109999998</v>
      </c>
      <c r="AF309" s="69">
        <v>0</v>
      </c>
      <c r="AG309" s="70">
        <v>0</v>
      </c>
      <c r="AH309" s="70">
        <f t="shared" si="76"/>
        <v>483518.98800000001</v>
      </c>
      <c r="AI309" s="70">
        <f t="shared" si="77"/>
        <v>700911.18937599997</v>
      </c>
      <c r="AJ309" s="70">
        <f t="shared" si="78"/>
        <v>730096.61544799991</v>
      </c>
      <c r="AK309" s="70">
        <f t="shared" si="79"/>
        <v>758036.12356800004</v>
      </c>
      <c r="AL309" s="70">
        <f t="shared" si="80"/>
        <v>0</v>
      </c>
      <c r="AM309" s="70">
        <f t="shared" si="81"/>
        <v>0</v>
      </c>
      <c r="AN309" s="70">
        <f t="shared" si="82"/>
        <v>0</v>
      </c>
      <c r="AO309" s="70">
        <f t="shared" si="83"/>
        <v>0</v>
      </c>
    </row>
    <row r="310" spans="1:41">
      <c r="A310" s="71"/>
      <c r="B310" s="71"/>
    </row>
    <row r="311" spans="1:41">
      <c r="A311" s="71"/>
      <c r="B311" s="71"/>
    </row>
    <row r="312" spans="1:41">
      <c r="A312" s="71"/>
      <c r="B312" s="71"/>
    </row>
    <row r="313" spans="1:41">
      <c r="A313" s="71"/>
      <c r="B313" s="71"/>
    </row>
    <row r="314" spans="1:41">
      <c r="A314" s="71"/>
      <c r="B314" s="71"/>
    </row>
    <row r="315" spans="1:41">
      <c r="A315" s="71"/>
      <c r="B315" s="71"/>
    </row>
  </sheetData>
  <autoFilter ref="A7:Y309" xr:uid="{00000000-0009-0000-0000-000011000000}"/>
  <mergeCells count="16">
    <mergeCell ref="AD3:AE3"/>
    <mergeCell ref="AF3:AG3"/>
    <mergeCell ref="AH3:AK3"/>
    <mergeCell ref="AL3:AO3"/>
    <mergeCell ref="I2:P2"/>
    <mergeCell ref="Q2:X2"/>
    <mergeCell ref="I3:J3"/>
    <mergeCell ref="O3:P3"/>
    <mergeCell ref="Q3:T3"/>
    <mergeCell ref="U3:X3"/>
    <mergeCell ref="AB3:AC3"/>
    <mergeCell ref="C3:D3"/>
    <mergeCell ref="F3:G3"/>
    <mergeCell ref="K3:L3"/>
    <mergeCell ref="M3:N3"/>
    <mergeCell ref="Z3:AA3"/>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
    <tabColor theme="5" tint="0.59999389629810485"/>
  </sheetPr>
  <dimension ref="A1:BF322"/>
  <sheetViews>
    <sheetView zoomScaleNormal="100" workbookViewId="0">
      <pane xSplit="2" ySplit="4" topLeftCell="AQ5"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5.21875" customWidth="1"/>
    <col min="2" max="2" width="7.21875" bestFit="1" customWidth="1"/>
    <col min="3" max="3" width="54.5546875" bestFit="1" customWidth="1"/>
    <col min="4" max="4" width="7.5546875" bestFit="1" customWidth="1"/>
    <col min="5" max="5" width="10.21875" bestFit="1" customWidth="1"/>
    <col min="6" max="7" width="18.21875" customWidth="1"/>
    <col min="8" max="10" width="14.21875" bestFit="1" customWidth="1"/>
    <col min="11" max="11" width="15.21875" bestFit="1" customWidth="1"/>
    <col min="12" max="12" width="16.77734375" bestFit="1" customWidth="1"/>
    <col min="13" max="13" width="15.21875" bestFit="1" customWidth="1"/>
    <col min="14" max="14" width="15.21875" customWidth="1"/>
    <col min="15" max="15" width="8" bestFit="1" customWidth="1"/>
    <col min="16" max="16" width="7.21875" bestFit="1" customWidth="1"/>
    <col min="17" max="17" width="54.5546875" bestFit="1" customWidth="1"/>
    <col min="18" max="18" width="7.5546875" bestFit="1" customWidth="1"/>
    <col min="19" max="19" width="10.21875" bestFit="1" customWidth="1"/>
    <col min="20" max="21" width="18.21875" customWidth="1"/>
    <col min="22" max="24" width="14.21875" bestFit="1" customWidth="1"/>
    <col min="25" max="25" width="15.21875" bestFit="1" customWidth="1"/>
    <col min="26" max="26" width="16.77734375" bestFit="1" customWidth="1"/>
    <col min="27" max="27" width="15.21875" bestFit="1" customWidth="1"/>
    <col min="28" max="28" width="15.21875" customWidth="1"/>
    <col min="29" max="29" width="8" bestFit="1" customWidth="1"/>
    <col min="30" max="30" width="7.21875" bestFit="1" customWidth="1"/>
    <col min="31" max="31" width="54.5546875" bestFit="1" customWidth="1"/>
    <col min="32" max="32" width="7.5546875" bestFit="1" customWidth="1"/>
    <col min="33" max="33" width="10.21875" bestFit="1" customWidth="1"/>
    <col min="34" max="35" width="18.21875" customWidth="1"/>
    <col min="36" max="38" width="14.21875" bestFit="1" customWidth="1"/>
    <col min="39" max="39" width="15.21875" bestFit="1" customWidth="1"/>
    <col min="40" max="40" width="16.77734375" bestFit="1" customWidth="1"/>
    <col min="41" max="41" width="15.21875" bestFit="1" customWidth="1"/>
    <col min="42" max="42" width="15.21875" customWidth="1"/>
    <col min="44" max="44" width="7.21875" bestFit="1" customWidth="1"/>
    <col min="45" max="45" width="54.5546875" bestFit="1" customWidth="1"/>
    <col min="46" max="46" width="7.5546875" bestFit="1" customWidth="1"/>
    <col min="47" max="47" width="10.21875" bestFit="1" customWidth="1"/>
    <col min="48" max="49" width="18.21875" customWidth="1"/>
    <col min="50" max="52" width="14.21875" bestFit="1" customWidth="1"/>
    <col min="53" max="53" width="15.21875" bestFit="1" customWidth="1"/>
    <col min="54" max="54" width="16.77734375" bestFit="1" customWidth="1"/>
    <col min="55" max="55" width="15.21875" bestFit="1" customWidth="1"/>
    <col min="56" max="56" width="15.21875" customWidth="1"/>
  </cols>
  <sheetData>
    <row r="1" spans="1:58" s="27" customFormat="1">
      <c r="A1" s="45"/>
      <c r="B1" s="45">
        <v>1</v>
      </c>
      <c r="C1" s="45">
        <f>B1+1</f>
        <v>2</v>
      </c>
      <c r="D1" s="45">
        <f>C1+1</f>
        <v>3</v>
      </c>
      <c r="E1" s="45">
        <f t="shared" ref="E1:N1" si="0">D1+1</f>
        <v>4</v>
      </c>
      <c r="F1" s="45">
        <f t="shared" si="0"/>
        <v>5</v>
      </c>
      <c r="G1" s="45">
        <f t="shared" si="0"/>
        <v>6</v>
      </c>
      <c r="H1" s="45">
        <f t="shared" si="0"/>
        <v>7</v>
      </c>
      <c r="I1" s="45">
        <f t="shared" si="0"/>
        <v>8</v>
      </c>
      <c r="J1" s="45">
        <f t="shared" si="0"/>
        <v>9</v>
      </c>
      <c r="K1" s="45">
        <f t="shared" si="0"/>
        <v>10</v>
      </c>
      <c r="L1" s="45">
        <f t="shared" si="0"/>
        <v>11</v>
      </c>
      <c r="M1" s="45">
        <f t="shared" si="0"/>
        <v>12</v>
      </c>
      <c r="N1" s="45">
        <f t="shared" si="0"/>
        <v>13</v>
      </c>
      <c r="O1" s="45"/>
      <c r="P1" s="45">
        <v>1</v>
      </c>
      <c r="Q1" s="45">
        <f>P1+1</f>
        <v>2</v>
      </c>
      <c r="R1" s="45">
        <f t="shared" ref="R1:AB1" si="1">Q1+1</f>
        <v>3</v>
      </c>
      <c r="S1" s="45">
        <f t="shared" si="1"/>
        <v>4</v>
      </c>
      <c r="T1" s="45">
        <f t="shared" si="1"/>
        <v>5</v>
      </c>
      <c r="U1" s="45">
        <f t="shared" si="1"/>
        <v>6</v>
      </c>
      <c r="V1" s="45">
        <f t="shared" si="1"/>
        <v>7</v>
      </c>
      <c r="W1" s="45">
        <f t="shared" si="1"/>
        <v>8</v>
      </c>
      <c r="X1" s="45">
        <f t="shared" si="1"/>
        <v>9</v>
      </c>
      <c r="Y1" s="45">
        <f t="shared" si="1"/>
        <v>10</v>
      </c>
      <c r="Z1" s="45">
        <f t="shared" si="1"/>
        <v>11</v>
      </c>
      <c r="AA1" s="45">
        <f t="shared" si="1"/>
        <v>12</v>
      </c>
      <c r="AB1" s="45">
        <f t="shared" si="1"/>
        <v>13</v>
      </c>
      <c r="AC1" s="45"/>
      <c r="AD1" s="45">
        <v>1</v>
      </c>
      <c r="AE1" s="45">
        <f>AD1+1</f>
        <v>2</v>
      </c>
      <c r="AF1" s="45">
        <f t="shared" ref="AF1:AP1" si="2">AE1+1</f>
        <v>3</v>
      </c>
      <c r="AG1" s="45">
        <f t="shared" si="2"/>
        <v>4</v>
      </c>
      <c r="AH1" s="45">
        <f t="shared" si="2"/>
        <v>5</v>
      </c>
      <c r="AI1" s="45">
        <f t="shared" si="2"/>
        <v>6</v>
      </c>
      <c r="AJ1" s="45">
        <f t="shared" si="2"/>
        <v>7</v>
      </c>
      <c r="AK1" s="45">
        <f t="shared" si="2"/>
        <v>8</v>
      </c>
      <c r="AL1" s="45">
        <f t="shared" si="2"/>
        <v>9</v>
      </c>
      <c r="AM1" s="45">
        <f t="shared" si="2"/>
        <v>10</v>
      </c>
      <c r="AN1" s="45">
        <f t="shared" si="2"/>
        <v>11</v>
      </c>
      <c r="AO1" s="45">
        <f t="shared" si="2"/>
        <v>12</v>
      </c>
      <c r="AP1" s="45">
        <f t="shared" si="2"/>
        <v>13</v>
      </c>
      <c r="AR1" s="45">
        <v>1</v>
      </c>
      <c r="AS1" s="45">
        <f>AR1+1</f>
        <v>2</v>
      </c>
      <c r="AT1" s="45">
        <f t="shared" ref="AT1:BD1" si="3">AS1+1</f>
        <v>3</v>
      </c>
      <c r="AU1" s="45">
        <f t="shared" si="3"/>
        <v>4</v>
      </c>
      <c r="AV1" s="45">
        <f t="shared" si="3"/>
        <v>5</v>
      </c>
      <c r="AW1" s="45">
        <f t="shared" si="3"/>
        <v>6</v>
      </c>
      <c r="AX1" s="45">
        <f t="shared" si="3"/>
        <v>7</v>
      </c>
      <c r="AY1" s="45">
        <f t="shared" si="3"/>
        <v>8</v>
      </c>
      <c r="AZ1" s="45">
        <f t="shared" si="3"/>
        <v>9</v>
      </c>
      <c r="BA1" s="45">
        <f t="shared" si="3"/>
        <v>10</v>
      </c>
      <c r="BB1" s="45">
        <f t="shared" si="3"/>
        <v>11</v>
      </c>
      <c r="BC1" s="45">
        <f t="shared" si="3"/>
        <v>12</v>
      </c>
      <c r="BD1" s="45">
        <f t="shared" si="3"/>
        <v>13</v>
      </c>
      <c r="BE1" s="45"/>
      <c r="BF1" s="45"/>
    </row>
    <row r="2" spans="1:58">
      <c r="B2" s="35"/>
      <c r="C2" s="35"/>
      <c r="D2" s="36"/>
      <c r="E2" s="36"/>
      <c r="K2" s="77"/>
      <c r="L2" s="77"/>
      <c r="M2" s="77"/>
      <c r="N2" s="77"/>
      <c r="P2" s="35"/>
      <c r="Q2" s="35"/>
      <c r="R2" s="36"/>
      <c r="S2" s="36"/>
      <c r="Y2" s="77"/>
      <c r="Z2" s="77"/>
      <c r="AA2" s="77"/>
      <c r="AB2" s="77"/>
      <c r="AD2" s="35"/>
      <c r="AE2" s="35"/>
      <c r="AF2" s="36"/>
      <c r="AG2" s="36"/>
      <c r="AM2" s="77"/>
      <c r="AN2" s="77"/>
      <c r="AO2" s="77"/>
      <c r="AP2" s="77"/>
      <c r="AR2" s="35"/>
      <c r="AS2" s="35"/>
      <c r="AT2" s="36"/>
      <c r="AU2" s="36"/>
      <c r="BA2" s="77"/>
      <c r="BB2" s="77"/>
      <c r="BC2" s="77"/>
      <c r="BD2" s="77"/>
    </row>
    <row r="3" spans="1:58" ht="28.2" thickBot="1">
      <c r="B3" s="32" t="s">
        <v>623</v>
      </c>
      <c r="C3" s="32" t="s">
        <v>911</v>
      </c>
      <c r="D3" s="33" t="s">
        <v>916</v>
      </c>
      <c r="E3" s="33" t="s">
        <v>917</v>
      </c>
      <c r="F3" s="34" t="s">
        <v>971</v>
      </c>
      <c r="G3" s="34" t="s">
        <v>628</v>
      </c>
      <c r="H3" s="34" t="s">
        <v>918</v>
      </c>
      <c r="I3" s="34" t="s">
        <v>626</v>
      </c>
      <c r="J3" s="34" t="s">
        <v>919</v>
      </c>
      <c r="K3" s="34" t="s">
        <v>920</v>
      </c>
      <c r="L3" s="34" t="s">
        <v>1048</v>
      </c>
      <c r="M3" s="34" t="s">
        <v>629</v>
      </c>
      <c r="N3" s="34" t="s">
        <v>1055</v>
      </c>
      <c r="P3" s="32" t="s">
        <v>623</v>
      </c>
      <c r="Q3" s="32" t="s">
        <v>911</v>
      </c>
      <c r="R3" s="33" t="s">
        <v>916</v>
      </c>
      <c r="S3" s="33" t="s">
        <v>917</v>
      </c>
      <c r="T3" s="34" t="s">
        <v>971</v>
      </c>
      <c r="U3" s="34" t="s">
        <v>628</v>
      </c>
      <c r="V3" s="34" t="s">
        <v>918</v>
      </c>
      <c r="W3" s="34" t="s">
        <v>626</v>
      </c>
      <c r="X3" s="34" t="s">
        <v>919</v>
      </c>
      <c r="Y3" s="34" t="s">
        <v>920</v>
      </c>
      <c r="Z3" s="34" t="s">
        <v>1048</v>
      </c>
      <c r="AA3" s="34" t="s">
        <v>629</v>
      </c>
      <c r="AB3" s="34" t="s">
        <v>1055</v>
      </c>
      <c r="AD3" s="32" t="s">
        <v>623</v>
      </c>
      <c r="AE3" s="32" t="s">
        <v>911</v>
      </c>
      <c r="AF3" s="33" t="s">
        <v>916</v>
      </c>
      <c r="AG3" s="33" t="s">
        <v>917</v>
      </c>
      <c r="AH3" s="34" t="s">
        <v>971</v>
      </c>
      <c r="AI3" s="34" t="s">
        <v>628</v>
      </c>
      <c r="AJ3" s="34" t="s">
        <v>918</v>
      </c>
      <c r="AK3" s="34" t="s">
        <v>626</v>
      </c>
      <c r="AL3" s="34" t="s">
        <v>919</v>
      </c>
      <c r="AM3" s="34" t="s">
        <v>920</v>
      </c>
      <c r="AN3" s="34" t="s">
        <v>1048</v>
      </c>
      <c r="AO3" s="34" t="s">
        <v>629</v>
      </c>
      <c r="AP3" s="34" t="s">
        <v>1055</v>
      </c>
      <c r="AR3" s="32" t="s">
        <v>623</v>
      </c>
      <c r="AS3" s="32" t="s">
        <v>911</v>
      </c>
      <c r="AT3" s="33" t="s">
        <v>916</v>
      </c>
      <c r="AU3" s="33" t="s">
        <v>917</v>
      </c>
      <c r="AV3" s="34" t="s">
        <v>971</v>
      </c>
      <c r="AW3" s="34" t="s">
        <v>628</v>
      </c>
      <c r="AX3" s="34" t="s">
        <v>918</v>
      </c>
      <c r="AY3" s="34" t="s">
        <v>626</v>
      </c>
      <c r="AZ3" s="34" t="s">
        <v>919</v>
      </c>
      <c r="BA3" s="34" t="s">
        <v>920</v>
      </c>
      <c r="BB3" s="34" t="s">
        <v>1048</v>
      </c>
      <c r="BC3" s="34" t="s">
        <v>629</v>
      </c>
      <c r="BD3" s="34" t="s">
        <v>1055</v>
      </c>
    </row>
    <row r="4" spans="1:58">
      <c r="B4" s="37" t="s">
        <v>627</v>
      </c>
      <c r="C4" s="38" t="s">
        <v>871</v>
      </c>
      <c r="D4" s="39" t="s">
        <v>1049</v>
      </c>
      <c r="E4" s="40">
        <v>32</v>
      </c>
      <c r="F4" s="41">
        <v>9230761835.2088699</v>
      </c>
      <c r="G4" s="41">
        <v>326698166.14000022</v>
      </c>
      <c r="H4" s="41">
        <v>216662589.81000006</v>
      </c>
      <c r="I4" s="41">
        <v>28451620.379999999</v>
      </c>
      <c r="J4" s="41">
        <v>1335776939.3022685</v>
      </c>
      <c r="K4" s="41">
        <v>590218986.73336327</v>
      </c>
      <c r="L4" s="41">
        <v>728398828.01556575</v>
      </c>
      <c r="M4" s="41">
        <f>SUM(M5:M318)</f>
        <v>12336247421.177702</v>
      </c>
      <c r="N4" s="41">
        <v>134812916.28999996</v>
      </c>
      <c r="P4" s="37" t="s">
        <v>627</v>
      </c>
      <c r="Q4" s="38" t="s">
        <v>871</v>
      </c>
      <c r="R4" s="39" t="s">
        <v>1050</v>
      </c>
      <c r="S4" s="40">
        <v>32</v>
      </c>
      <c r="T4" s="41">
        <v>9650004954.0895805</v>
      </c>
      <c r="U4" s="41">
        <v>341764250.91999996</v>
      </c>
      <c r="V4" s="41">
        <v>225460622.76999983</v>
      </c>
      <c r="W4" s="41">
        <v>29600331.119999986</v>
      </c>
      <c r="X4" s="41">
        <v>1384662417.245461</v>
      </c>
      <c r="Y4" s="41">
        <v>590726943.9611603</v>
      </c>
      <c r="Z4" s="41">
        <v>759806695.75256693</v>
      </c>
      <c r="AA4" s="41">
        <f>SUM(AA5:AA318)</f>
        <v>12852898602.258963</v>
      </c>
      <c r="AB4" s="41">
        <v>138570819.76999995</v>
      </c>
      <c r="AD4" s="37" t="s">
        <v>627</v>
      </c>
      <c r="AE4" s="38" t="s">
        <v>871</v>
      </c>
      <c r="AF4" s="39" t="s">
        <v>1275</v>
      </c>
      <c r="AG4" s="40">
        <v>32</v>
      </c>
      <c r="AH4" s="41">
        <v>9842725789.2234535</v>
      </c>
      <c r="AI4" s="41">
        <v>348970164.74000013</v>
      </c>
      <c r="AJ4" s="41">
        <v>230049231.40999991</v>
      </c>
      <c r="AK4" s="41">
        <v>30201892.019999985</v>
      </c>
      <c r="AL4" s="41">
        <v>1411469805.6021364</v>
      </c>
      <c r="AM4" s="41">
        <v>590544633.43131113</v>
      </c>
      <c r="AN4" s="41">
        <v>775043397.54876912</v>
      </c>
      <c r="AO4" s="41">
        <f>SUM(AO5:AO318)</f>
        <v>13097270307.227406</v>
      </c>
      <c r="AP4" s="41">
        <v>141133242.24000001</v>
      </c>
      <c r="AR4" s="37" t="s">
        <v>627</v>
      </c>
      <c r="AS4" s="38" t="s">
        <v>871</v>
      </c>
      <c r="AT4" s="39" t="s">
        <v>1276</v>
      </c>
      <c r="AU4" s="40">
        <v>32</v>
      </c>
      <c r="AV4" s="41">
        <v>10042126330.202068</v>
      </c>
      <c r="AW4" s="41">
        <v>355973208.69000012</v>
      </c>
      <c r="AX4" s="41">
        <v>234700497.25999987</v>
      </c>
      <c r="AY4" s="41">
        <v>30813448.390000001</v>
      </c>
      <c r="AZ4" s="41">
        <v>1440143377.0395553</v>
      </c>
      <c r="BA4" s="41">
        <v>590573146.76394188</v>
      </c>
      <c r="BB4" s="41">
        <v>790796956.03061724</v>
      </c>
      <c r="BC4" s="41">
        <f>SUM(BC5:BC318)</f>
        <v>13350947852.150864</v>
      </c>
      <c r="BD4" s="41">
        <v>144015516.45000002</v>
      </c>
    </row>
    <row r="5" spans="1:58">
      <c r="B5" s="42" t="s">
        <v>141</v>
      </c>
      <c r="C5" s="42" t="s">
        <v>142</v>
      </c>
      <c r="D5" s="43" t="s">
        <v>1049</v>
      </c>
      <c r="E5" s="44">
        <v>32</v>
      </c>
      <c r="F5" s="31">
        <v>24093043.616767928</v>
      </c>
      <c r="G5" s="31">
        <v>1407852.5799999996</v>
      </c>
      <c r="H5" s="31">
        <v>637372.91</v>
      </c>
      <c r="I5" s="31">
        <v>87406.13</v>
      </c>
      <c r="J5" s="31">
        <v>4058166.9319256772</v>
      </c>
      <c r="K5" s="31">
        <v>1174309.784083107</v>
      </c>
      <c r="L5" s="31">
        <v>3097255.8582306374</v>
      </c>
      <c r="M5" s="31">
        <f t="shared" ref="M5:M68" si="4">SUM(F5:L5,N5)</f>
        <v>35450321.851007342</v>
      </c>
      <c r="N5" s="31">
        <v>894914.04</v>
      </c>
      <c r="P5" s="42" t="s">
        <v>141</v>
      </c>
      <c r="Q5" s="42" t="s">
        <v>142</v>
      </c>
      <c r="R5" s="43" t="s">
        <v>1050</v>
      </c>
      <c r="S5" s="44">
        <v>32</v>
      </c>
      <c r="T5" s="31">
        <v>25399200.942293867</v>
      </c>
      <c r="U5" s="31">
        <v>1481424.3900000001</v>
      </c>
      <c r="V5" s="31">
        <v>665187.75999999989</v>
      </c>
      <c r="W5" s="31">
        <v>91167.359999999986</v>
      </c>
      <c r="X5" s="31">
        <v>4216264.7167838393</v>
      </c>
      <c r="Y5" s="31">
        <v>1175216.4936996752</v>
      </c>
      <c r="Z5" s="31">
        <v>3254155.2433206867</v>
      </c>
      <c r="AA5" s="31">
        <f t="shared" ref="AA5:AA68" si="5">SUM(T5:Z5,AB5)</f>
        <v>37204023.936098069</v>
      </c>
      <c r="AB5" s="31">
        <v>921407.02999999991</v>
      </c>
      <c r="AD5" s="42" t="s">
        <v>141</v>
      </c>
      <c r="AE5" s="42" t="s">
        <v>142</v>
      </c>
      <c r="AF5" s="43" t="s">
        <v>1275</v>
      </c>
      <c r="AG5" s="44">
        <v>32</v>
      </c>
      <c r="AH5" s="31">
        <v>25905973.661741704</v>
      </c>
      <c r="AI5" s="31">
        <v>1513339.0099999998</v>
      </c>
      <c r="AJ5" s="31">
        <v>678715.50000000012</v>
      </c>
      <c r="AK5" s="31">
        <v>93053.88</v>
      </c>
      <c r="AL5" s="31">
        <v>4297553.7488400657</v>
      </c>
      <c r="AM5" s="31">
        <v>1174908.4579997361</v>
      </c>
      <c r="AN5" s="31">
        <v>3319372.2275387859</v>
      </c>
      <c r="AO5" s="31">
        <f t="shared" ref="AO5:AO68" si="6">SUM(AH5:AN5,AP5)</f>
        <v>37921268.316120289</v>
      </c>
      <c r="AP5" s="31">
        <v>938351.83</v>
      </c>
      <c r="AR5" s="42" t="s">
        <v>141</v>
      </c>
      <c r="AS5" s="42" t="s">
        <v>142</v>
      </c>
      <c r="AT5" s="43" t="s">
        <v>1276</v>
      </c>
      <c r="AU5" s="44">
        <v>32</v>
      </c>
      <c r="AV5" s="31">
        <v>26427743.861330152</v>
      </c>
      <c r="AW5" s="31">
        <v>1543360.9400000002</v>
      </c>
      <c r="AX5" s="31">
        <v>692159.96000000008</v>
      </c>
      <c r="AY5" s="31">
        <v>94858.170000000013</v>
      </c>
      <c r="AZ5" s="31">
        <v>4384243.7697272208</v>
      </c>
      <c r="BA5" s="31">
        <v>1174957.477367616</v>
      </c>
      <c r="BB5" s="31">
        <v>3386448.8987445785</v>
      </c>
      <c r="BC5" s="31">
        <f t="shared" ref="BC5:BC68" si="7">SUM(AV5:BB5,BD5)</f>
        <v>38661180.037169568</v>
      </c>
      <c r="BD5" s="31">
        <v>957406.9600000002</v>
      </c>
    </row>
    <row r="6" spans="1:58">
      <c r="B6" s="42" t="s">
        <v>279</v>
      </c>
      <c r="C6" s="42" t="s">
        <v>280</v>
      </c>
      <c r="D6" s="43" t="s">
        <v>1049</v>
      </c>
      <c r="E6" s="44">
        <v>32</v>
      </c>
      <c r="F6" s="31">
        <v>5272220.1589501528</v>
      </c>
      <c r="G6" s="31">
        <v>106430.69999999998</v>
      </c>
      <c r="H6" s="31">
        <v>0</v>
      </c>
      <c r="I6" s="31">
        <v>17856.14</v>
      </c>
      <c r="J6" s="31">
        <v>679387.56522808468</v>
      </c>
      <c r="K6" s="31">
        <v>350110.06392341462</v>
      </c>
      <c r="L6" s="31">
        <v>463065.29464732751</v>
      </c>
      <c r="M6" s="31">
        <f t="shared" si="4"/>
        <v>6889069.9227489801</v>
      </c>
      <c r="N6" s="31">
        <v>0</v>
      </c>
      <c r="P6" s="42" t="s">
        <v>279</v>
      </c>
      <c r="Q6" s="42" t="s">
        <v>280</v>
      </c>
      <c r="R6" s="43" t="s">
        <v>1050</v>
      </c>
      <c r="S6" s="44">
        <v>32</v>
      </c>
      <c r="T6" s="31">
        <v>5494623.1650552619</v>
      </c>
      <c r="U6" s="31">
        <v>111003.08</v>
      </c>
      <c r="V6" s="31">
        <v>0</v>
      </c>
      <c r="W6" s="31">
        <v>18640.150000000001</v>
      </c>
      <c r="X6" s="31">
        <v>705769.36580908368</v>
      </c>
      <c r="Y6" s="31">
        <v>350511.86642197141</v>
      </c>
      <c r="Z6" s="31">
        <v>482064.02355746779</v>
      </c>
      <c r="AA6" s="31">
        <f t="shared" si="5"/>
        <v>7162611.6508437851</v>
      </c>
      <c r="AB6" s="31">
        <v>0</v>
      </c>
      <c r="AD6" s="42" t="s">
        <v>279</v>
      </c>
      <c r="AE6" s="42" t="s">
        <v>280</v>
      </c>
      <c r="AF6" s="43" t="s">
        <v>1275</v>
      </c>
      <c r="AG6" s="44">
        <v>32</v>
      </c>
      <c r="AH6" s="31">
        <v>5603161.564295792</v>
      </c>
      <c r="AI6" s="31">
        <v>113282.49000000002</v>
      </c>
      <c r="AJ6" s="31">
        <v>0</v>
      </c>
      <c r="AK6" s="31">
        <v>19004.990000000002</v>
      </c>
      <c r="AL6" s="31">
        <v>719411.00612520601</v>
      </c>
      <c r="AM6" s="31">
        <v>350375.36239508266</v>
      </c>
      <c r="AN6" s="31">
        <v>491632.88129508158</v>
      </c>
      <c r="AO6" s="31">
        <f t="shared" si="6"/>
        <v>7296868.2941111624</v>
      </c>
      <c r="AP6" s="31">
        <v>0</v>
      </c>
      <c r="AR6" s="42" t="s">
        <v>279</v>
      </c>
      <c r="AS6" s="42" t="s">
        <v>280</v>
      </c>
      <c r="AT6" s="43" t="s">
        <v>1276</v>
      </c>
      <c r="AU6" s="44">
        <v>32</v>
      </c>
      <c r="AV6" s="31">
        <v>5714363.4214870716</v>
      </c>
      <c r="AW6" s="31">
        <v>115578.70000000001</v>
      </c>
      <c r="AX6" s="31">
        <v>0</v>
      </c>
      <c r="AY6" s="31">
        <v>19462.440000000002</v>
      </c>
      <c r="AZ6" s="31">
        <v>733953.58308795793</v>
      </c>
      <c r="BA6" s="31">
        <v>350397.08501071605</v>
      </c>
      <c r="BB6" s="31">
        <v>501538.75033069303</v>
      </c>
      <c r="BC6" s="31">
        <f t="shared" si="7"/>
        <v>7435293.9799164385</v>
      </c>
      <c r="BD6" s="31">
        <v>0</v>
      </c>
    </row>
    <row r="7" spans="1:58">
      <c r="B7" s="42" t="s">
        <v>301</v>
      </c>
      <c r="C7" s="42" t="s">
        <v>302</v>
      </c>
      <c r="D7" s="43" t="s">
        <v>1049</v>
      </c>
      <c r="E7" s="44">
        <v>32</v>
      </c>
      <c r="F7" s="31">
        <v>2075727.5904541076</v>
      </c>
      <c r="G7" s="31">
        <v>23303.780000000002</v>
      </c>
      <c r="H7" s="31">
        <v>0</v>
      </c>
      <c r="I7" s="31">
        <v>0</v>
      </c>
      <c r="J7" s="31">
        <v>82898.691177076049</v>
      </c>
      <c r="K7" s="31">
        <v>178371.18282314594</v>
      </c>
      <c r="L7" s="31">
        <v>30424.361647055375</v>
      </c>
      <c r="M7" s="31">
        <f t="shared" si="4"/>
        <v>2390725.6061013849</v>
      </c>
      <c r="N7" s="31">
        <v>0</v>
      </c>
      <c r="P7" s="42" t="s">
        <v>301</v>
      </c>
      <c r="Q7" s="42" t="s">
        <v>302</v>
      </c>
      <c r="R7" s="43" t="s">
        <v>1050</v>
      </c>
      <c r="S7" s="44">
        <v>32</v>
      </c>
      <c r="T7" s="31">
        <v>2151982.7081103157</v>
      </c>
      <c r="U7" s="31">
        <v>24190.29</v>
      </c>
      <c r="V7" s="31">
        <v>0</v>
      </c>
      <c r="W7" s="31">
        <v>0</v>
      </c>
      <c r="X7" s="31">
        <v>85691.780625405503</v>
      </c>
      <c r="Y7" s="31">
        <v>178507.23216451195</v>
      </c>
      <c r="Z7" s="31">
        <v>31503.283422536966</v>
      </c>
      <c r="AA7" s="31">
        <f t="shared" si="5"/>
        <v>2471875.2943227706</v>
      </c>
      <c r="AB7" s="31">
        <v>0</v>
      </c>
      <c r="AD7" s="42" t="s">
        <v>301</v>
      </c>
      <c r="AE7" s="42" t="s">
        <v>302</v>
      </c>
      <c r="AF7" s="43" t="s">
        <v>1275</v>
      </c>
      <c r="AG7" s="44">
        <v>32</v>
      </c>
      <c r="AH7" s="31">
        <v>2193164.5767854513</v>
      </c>
      <c r="AI7" s="31">
        <v>24663.780000000002</v>
      </c>
      <c r="AJ7" s="31">
        <v>0</v>
      </c>
      <c r="AK7" s="31">
        <v>0</v>
      </c>
      <c r="AL7" s="31">
        <v>87280.903761288748</v>
      </c>
      <c r="AM7" s="31">
        <v>178461.01223552015</v>
      </c>
      <c r="AN7" s="31">
        <v>32110.355728339709</v>
      </c>
      <c r="AO7" s="31">
        <f t="shared" si="6"/>
        <v>2515680.6285105995</v>
      </c>
      <c r="AP7" s="31">
        <v>0</v>
      </c>
      <c r="AR7" s="42" t="s">
        <v>301</v>
      </c>
      <c r="AS7" s="42" t="s">
        <v>302</v>
      </c>
      <c r="AT7" s="43" t="s">
        <v>1276</v>
      </c>
      <c r="AU7" s="44">
        <v>32</v>
      </c>
      <c r="AV7" s="31">
        <v>2233118.8705244008</v>
      </c>
      <c r="AW7" s="31">
        <v>25116.350000000002</v>
      </c>
      <c r="AX7" s="31">
        <v>0</v>
      </c>
      <c r="AY7" s="31">
        <v>0</v>
      </c>
      <c r="AZ7" s="31">
        <v>88891.609395019943</v>
      </c>
      <c r="BA7" s="31">
        <v>178468.36745994084</v>
      </c>
      <c r="BB7" s="31">
        <v>32703.964626654437</v>
      </c>
      <c r="BC7" s="31">
        <f t="shared" si="7"/>
        <v>2558299.1620060164</v>
      </c>
      <c r="BD7" s="31">
        <v>0</v>
      </c>
    </row>
    <row r="8" spans="1:58">
      <c r="B8" s="42" t="s">
        <v>407</v>
      </c>
      <c r="C8" s="42" t="s">
        <v>408</v>
      </c>
      <c r="D8" s="43" t="s">
        <v>1049</v>
      </c>
      <c r="E8" s="44">
        <v>32</v>
      </c>
      <c r="F8" s="31">
        <v>22427530.43284009</v>
      </c>
      <c r="G8" s="31">
        <v>501412.21</v>
      </c>
      <c r="H8" s="31">
        <v>90195.99000000002</v>
      </c>
      <c r="I8" s="31">
        <v>77911.25</v>
      </c>
      <c r="J8" s="31">
        <v>3030597.5501745851</v>
      </c>
      <c r="K8" s="31">
        <v>1043096.536471059</v>
      </c>
      <c r="L8" s="31">
        <v>1145673.3317024559</v>
      </c>
      <c r="M8" s="31">
        <f t="shared" si="4"/>
        <v>28334413.401188191</v>
      </c>
      <c r="N8" s="31">
        <v>17996.100000000002</v>
      </c>
      <c r="P8" s="42" t="s">
        <v>407</v>
      </c>
      <c r="Q8" s="42" t="s">
        <v>408</v>
      </c>
      <c r="R8" s="43" t="s">
        <v>1050</v>
      </c>
      <c r="S8" s="44">
        <v>32</v>
      </c>
      <c r="T8" s="31">
        <v>23389004.277158003</v>
      </c>
      <c r="U8" s="31">
        <v>522846.4</v>
      </c>
      <c r="V8" s="31">
        <v>94015.75</v>
      </c>
      <c r="W8" s="31">
        <v>81159.849999999991</v>
      </c>
      <c r="X8" s="31">
        <v>3147157.7374282507</v>
      </c>
      <c r="Y8" s="31">
        <v>1043843.8345362506</v>
      </c>
      <c r="Z8" s="31">
        <v>1191736.3045048933</v>
      </c>
      <c r="AA8" s="31">
        <f t="shared" si="5"/>
        <v>29488318.753627401</v>
      </c>
      <c r="AB8" s="31">
        <v>18554.600000000002</v>
      </c>
      <c r="AD8" s="42" t="s">
        <v>407</v>
      </c>
      <c r="AE8" s="42" t="s">
        <v>408</v>
      </c>
      <c r="AF8" s="43" t="s">
        <v>1275</v>
      </c>
      <c r="AG8" s="44">
        <v>32</v>
      </c>
      <c r="AH8" s="31">
        <v>23857718.964891654</v>
      </c>
      <c r="AI8" s="31">
        <v>533579.35000000009</v>
      </c>
      <c r="AJ8" s="31">
        <v>95971.819999999992</v>
      </c>
      <c r="AK8" s="31">
        <v>82864.05</v>
      </c>
      <c r="AL8" s="31">
        <v>3208168.3020351497</v>
      </c>
      <c r="AM8" s="31">
        <v>1043570.5516639218</v>
      </c>
      <c r="AN8" s="31">
        <v>1215435.5689485183</v>
      </c>
      <c r="AO8" s="31">
        <f t="shared" si="6"/>
        <v>30056194.177539244</v>
      </c>
      <c r="AP8" s="31">
        <v>18885.570000000003</v>
      </c>
      <c r="AR8" s="42" t="s">
        <v>407</v>
      </c>
      <c r="AS8" s="42" t="s">
        <v>408</v>
      </c>
      <c r="AT8" s="43" t="s">
        <v>1276</v>
      </c>
      <c r="AU8" s="44">
        <v>32</v>
      </c>
      <c r="AV8" s="31">
        <v>24343156.36203929</v>
      </c>
      <c r="AW8" s="31">
        <v>544380.48999999987</v>
      </c>
      <c r="AX8" s="31">
        <v>97864.49</v>
      </c>
      <c r="AY8" s="31">
        <v>84514.06</v>
      </c>
      <c r="AZ8" s="31">
        <v>3273487.4632375878</v>
      </c>
      <c r="BA8" s="31">
        <v>1043613.0369090819</v>
      </c>
      <c r="BB8" s="31">
        <v>1240299.8677316497</v>
      </c>
      <c r="BC8" s="31">
        <f t="shared" si="7"/>
        <v>30646555.799917605</v>
      </c>
      <c r="BD8" s="31">
        <v>19240.030000000002</v>
      </c>
    </row>
    <row r="9" spans="1:58">
      <c r="B9" s="42" t="s">
        <v>431</v>
      </c>
      <c r="C9" s="42" t="s">
        <v>432</v>
      </c>
      <c r="D9" s="43" t="s">
        <v>1049</v>
      </c>
      <c r="E9" s="44">
        <v>32</v>
      </c>
      <c r="F9" s="31">
        <v>47764717.996696949</v>
      </c>
      <c r="G9" s="31">
        <v>1253229.7000000002</v>
      </c>
      <c r="H9" s="31">
        <v>504183.07999999996</v>
      </c>
      <c r="I9" s="31">
        <v>171471.17</v>
      </c>
      <c r="J9" s="31">
        <v>7576316.1276263483</v>
      </c>
      <c r="K9" s="31">
        <v>3610176.8081120225</v>
      </c>
      <c r="L9" s="31">
        <v>3749072.543494808</v>
      </c>
      <c r="M9" s="31">
        <f t="shared" si="4"/>
        <v>64629167.425930128</v>
      </c>
      <c r="N9" s="31">
        <v>0</v>
      </c>
      <c r="P9" s="42" t="s">
        <v>431</v>
      </c>
      <c r="Q9" s="42" t="s">
        <v>432</v>
      </c>
      <c r="R9" s="43" t="s">
        <v>1050</v>
      </c>
      <c r="S9" s="44">
        <v>32</v>
      </c>
      <c r="T9" s="31">
        <v>49495322.74528221</v>
      </c>
      <c r="U9" s="31">
        <v>1296168.6199999999</v>
      </c>
      <c r="V9" s="31">
        <v>521397.17</v>
      </c>
      <c r="W9" s="31">
        <v>177270.45</v>
      </c>
      <c r="X9" s="31">
        <v>7816018.2256977204</v>
      </c>
      <c r="Y9" s="31">
        <v>3612731.8130786857</v>
      </c>
      <c r="Z9" s="31">
        <v>3874027.5165942959</v>
      </c>
      <c r="AA9" s="31">
        <f t="shared" si="5"/>
        <v>66792936.540652916</v>
      </c>
      <c r="AB9" s="31">
        <v>0</v>
      </c>
      <c r="AD9" s="42" t="s">
        <v>431</v>
      </c>
      <c r="AE9" s="42" t="s">
        <v>432</v>
      </c>
      <c r="AF9" s="43" t="s">
        <v>1275</v>
      </c>
      <c r="AG9" s="44">
        <v>32</v>
      </c>
      <c r="AH9" s="31">
        <v>50485633.047636077</v>
      </c>
      <c r="AI9" s="31">
        <v>1322507.9800000002</v>
      </c>
      <c r="AJ9" s="31">
        <v>532083.67000000004</v>
      </c>
      <c r="AK9" s="31">
        <v>180861.77</v>
      </c>
      <c r="AL9" s="31">
        <v>7967720.295134577</v>
      </c>
      <c r="AM9" s="31">
        <v>3611779.5904525951</v>
      </c>
      <c r="AN9" s="31">
        <v>3951783.0184279503</v>
      </c>
      <c r="AO9" s="31">
        <f t="shared" si="6"/>
        <v>68052369.371651202</v>
      </c>
      <c r="AP9" s="31">
        <v>0</v>
      </c>
      <c r="AR9" s="42" t="s">
        <v>431</v>
      </c>
      <c r="AS9" s="42" t="s">
        <v>432</v>
      </c>
      <c r="AT9" s="43" t="s">
        <v>1276</v>
      </c>
      <c r="AU9" s="44">
        <v>32</v>
      </c>
      <c r="AV9" s="31">
        <v>51514840.026903056</v>
      </c>
      <c r="AW9" s="31">
        <v>1349439.53</v>
      </c>
      <c r="AX9" s="31">
        <v>542794.64</v>
      </c>
      <c r="AY9" s="31">
        <v>184576.33</v>
      </c>
      <c r="AZ9" s="31">
        <v>8130330.1106037749</v>
      </c>
      <c r="BA9" s="31">
        <v>3611926.8655629354</v>
      </c>
      <c r="BB9" s="31">
        <v>4032376.4541634684</v>
      </c>
      <c r="BC9" s="31">
        <f t="shared" si="7"/>
        <v>69366283.957233235</v>
      </c>
      <c r="BD9" s="31">
        <v>0</v>
      </c>
    </row>
    <row r="10" spans="1:58">
      <c r="B10" s="42" t="s">
        <v>15</v>
      </c>
      <c r="C10" s="42" t="s">
        <v>16</v>
      </c>
      <c r="D10" s="43" t="s">
        <v>1049</v>
      </c>
      <c r="E10" s="44">
        <v>32</v>
      </c>
      <c r="F10" s="31">
        <v>5409384.3150998112</v>
      </c>
      <c r="G10" s="31">
        <v>118100.58</v>
      </c>
      <c r="H10" s="31">
        <v>0</v>
      </c>
      <c r="I10" s="31">
        <v>17052.489999999998</v>
      </c>
      <c r="J10" s="31">
        <v>744226.44108178397</v>
      </c>
      <c r="K10" s="31">
        <v>280331.01026898378</v>
      </c>
      <c r="L10" s="31">
        <v>432894.90237023687</v>
      </c>
      <c r="M10" s="31">
        <f t="shared" si="4"/>
        <v>7001989.7388208155</v>
      </c>
      <c r="N10" s="31">
        <v>0</v>
      </c>
      <c r="P10" s="42" t="s">
        <v>15</v>
      </c>
      <c r="Q10" s="42" t="s">
        <v>16</v>
      </c>
      <c r="R10" s="43" t="s">
        <v>1050</v>
      </c>
      <c r="S10" s="44">
        <v>32</v>
      </c>
      <c r="T10" s="31">
        <v>5638282.8831966687</v>
      </c>
      <c r="U10" s="31">
        <v>123242.87999999999</v>
      </c>
      <c r="V10" s="31">
        <v>0</v>
      </c>
      <c r="W10" s="31">
        <v>17808.509999999998</v>
      </c>
      <c r="X10" s="31">
        <v>773175.83190925943</v>
      </c>
      <c r="Y10" s="31">
        <v>280695.53021253669</v>
      </c>
      <c r="Z10" s="31">
        <v>450488.13573093869</v>
      </c>
      <c r="AA10" s="31">
        <f t="shared" si="5"/>
        <v>7283693.7710494036</v>
      </c>
      <c r="AB10" s="31">
        <v>0</v>
      </c>
      <c r="AD10" s="42" t="s">
        <v>15</v>
      </c>
      <c r="AE10" s="42" t="s">
        <v>16</v>
      </c>
      <c r="AF10" s="43" t="s">
        <v>1275</v>
      </c>
      <c r="AG10" s="44">
        <v>32</v>
      </c>
      <c r="AH10" s="31">
        <v>5750050.0092404624</v>
      </c>
      <c r="AI10" s="31">
        <v>125756.84</v>
      </c>
      <c r="AJ10" s="31">
        <v>0</v>
      </c>
      <c r="AK10" s="31">
        <v>18156.859999999997</v>
      </c>
      <c r="AL10" s="31">
        <v>788084.31363335496</v>
      </c>
      <c r="AM10" s="31">
        <v>280571.69215688761</v>
      </c>
      <c r="AN10" s="31">
        <v>459760.90543890628</v>
      </c>
      <c r="AO10" s="31">
        <f t="shared" si="6"/>
        <v>7422380.6204696121</v>
      </c>
      <c r="AP10" s="31">
        <v>0</v>
      </c>
      <c r="AR10" s="42" t="s">
        <v>15</v>
      </c>
      <c r="AS10" s="42" t="s">
        <v>16</v>
      </c>
      <c r="AT10" s="43" t="s">
        <v>1276</v>
      </c>
      <c r="AU10" s="44">
        <v>32</v>
      </c>
      <c r="AV10" s="31">
        <v>5863178.2287174063</v>
      </c>
      <c r="AW10" s="31">
        <v>128263.36</v>
      </c>
      <c r="AX10" s="31">
        <v>0</v>
      </c>
      <c r="AY10" s="31">
        <v>18488.429999999997</v>
      </c>
      <c r="AZ10" s="31">
        <v>803978.73136489163</v>
      </c>
      <c r="BA10" s="31">
        <v>280591.39916879759</v>
      </c>
      <c r="BB10" s="31">
        <v>468885.12464844767</v>
      </c>
      <c r="BC10" s="31">
        <f t="shared" si="7"/>
        <v>7563385.273899544</v>
      </c>
      <c r="BD10" s="31">
        <v>0</v>
      </c>
    </row>
    <row r="11" spans="1:58">
      <c r="B11" s="42" t="s">
        <v>205</v>
      </c>
      <c r="C11" s="42" t="s">
        <v>206</v>
      </c>
      <c r="D11" s="43" t="s">
        <v>1049</v>
      </c>
      <c r="E11" s="44">
        <v>32</v>
      </c>
      <c r="F11" s="31">
        <v>152613269.73470962</v>
      </c>
      <c r="G11" s="31">
        <v>6783230.8200000003</v>
      </c>
      <c r="H11" s="31">
        <v>6921230.669999999</v>
      </c>
      <c r="I11" s="31">
        <v>537320.85</v>
      </c>
      <c r="J11" s="31">
        <v>18959632.789758548</v>
      </c>
      <c r="K11" s="31">
        <v>8948766.3267089985</v>
      </c>
      <c r="L11" s="31">
        <v>9643539.791825952</v>
      </c>
      <c r="M11" s="31">
        <f t="shared" si="4"/>
        <v>207998322.50300312</v>
      </c>
      <c r="N11" s="31">
        <v>3591331.52</v>
      </c>
      <c r="P11" s="42" t="s">
        <v>205</v>
      </c>
      <c r="Q11" s="42" t="s">
        <v>206</v>
      </c>
      <c r="R11" s="43" t="s">
        <v>1050</v>
      </c>
      <c r="S11" s="44">
        <v>32</v>
      </c>
      <c r="T11" s="31">
        <v>159755465.79740307</v>
      </c>
      <c r="U11" s="31">
        <v>7058868.1600000001</v>
      </c>
      <c r="V11" s="31">
        <v>7157881.1099999994</v>
      </c>
      <c r="W11" s="31">
        <v>555729.71</v>
      </c>
      <c r="X11" s="31">
        <v>19559064.282280557</v>
      </c>
      <c r="Y11" s="31">
        <v>8956680.880852785</v>
      </c>
      <c r="Z11" s="31">
        <v>10063225.511647528</v>
      </c>
      <c r="AA11" s="31">
        <f t="shared" si="5"/>
        <v>216777315.80218396</v>
      </c>
      <c r="AB11" s="31">
        <v>3670400.3499999996</v>
      </c>
      <c r="AD11" s="42" t="s">
        <v>205</v>
      </c>
      <c r="AE11" s="42" t="s">
        <v>206</v>
      </c>
      <c r="AF11" s="43" t="s">
        <v>1275</v>
      </c>
      <c r="AG11" s="44">
        <v>32</v>
      </c>
      <c r="AH11" s="31">
        <v>162956232.18652013</v>
      </c>
      <c r="AI11" s="31">
        <v>7208811.1400000006</v>
      </c>
      <c r="AJ11" s="31">
        <v>7303665.2699999986</v>
      </c>
      <c r="AK11" s="31">
        <v>566972.49000000011</v>
      </c>
      <c r="AL11" s="31">
        <v>19938696.297324277</v>
      </c>
      <c r="AM11" s="31">
        <v>8953731.212406164</v>
      </c>
      <c r="AN11" s="31">
        <v>10264800.096891085</v>
      </c>
      <c r="AO11" s="31">
        <f t="shared" si="6"/>
        <v>220931835.86314166</v>
      </c>
      <c r="AP11" s="31">
        <v>3738927.17</v>
      </c>
      <c r="AR11" s="42" t="s">
        <v>205</v>
      </c>
      <c r="AS11" s="42" t="s">
        <v>206</v>
      </c>
      <c r="AT11" s="43" t="s">
        <v>1276</v>
      </c>
      <c r="AU11" s="44">
        <v>32</v>
      </c>
      <c r="AV11" s="31">
        <v>166276197.32814819</v>
      </c>
      <c r="AW11" s="31">
        <v>7354395.790000001</v>
      </c>
      <c r="AX11" s="31">
        <v>7452105.75</v>
      </c>
      <c r="AY11" s="31">
        <v>578568.92999999993</v>
      </c>
      <c r="AZ11" s="31">
        <v>20345530.462736398</v>
      </c>
      <c r="BA11" s="31">
        <v>8954187.4216308147</v>
      </c>
      <c r="BB11" s="31">
        <v>10474782.033236876</v>
      </c>
      <c r="BC11" s="31">
        <f t="shared" si="7"/>
        <v>225251626.91575223</v>
      </c>
      <c r="BD11" s="31">
        <v>3815859.1999999997</v>
      </c>
    </row>
    <row r="12" spans="1:58">
      <c r="B12" s="42" t="s">
        <v>229</v>
      </c>
      <c r="C12" s="42" t="s">
        <v>230</v>
      </c>
      <c r="D12" s="43" t="s">
        <v>1049</v>
      </c>
      <c r="E12" s="44">
        <v>32</v>
      </c>
      <c r="F12" s="31">
        <v>31652438.34856236</v>
      </c>
      <c r="G12" s="31">
        <v>181349.87999999998</v>
      </c>
      <c r="H12" s="31">
        <v>72833.55</v>
      </c>
      <c r="I12" s="31">
        <v>116985.36</v>
      </c>
      <c r="J12" s="31">
        <v>4428634.9932812192</v>
      </c>
      <c r="K12" s="31">
        <v>1437654.570036853</v>
      </c>
      <c r="L12" s="31">
        <v>3258762.0203841329</v>
      </c>
      <c r="M12" s="31">
        <f t="shared" si="4"/>
        <v>41148658.722264566</v>
      </c>
      <c r="N12" s="31">
        <v>0</v>
      </c>
      <c r="P12" s="42" t="s">
        <v>229</v>
      </c>
      <c r="Q12" s="42" t="s">
        <v>230</v>
      </c>
      <c r="R12" s="43" t="s">
        <v>1050</v>
      </c>
      <c r="S12" s="44">
        <v>32</v>
      </c>
      <c r="T12" s="31">
        <v>32996131.105647594</v>
      </c>
      <c r="U12" s="31">
        <v>188871.50999999998</v>
      </c>
      <c r="V12" s="31">
        <v>75993.570000000007</v>
      </c>
      <c r="W12" s="31">
        <v>121894.13999999998</v>
      </c>
      <c r="X12" s="31">
        <v>4598127.6648339732</v>
      </c>
      <c r="Y12" s="31">
        <v>1438561.7341752108</v>
      </c>
      <c r="Z12" s="31">
        <v>3389011.5815437646</v>
      </c>
      <c r="AA12" s="31">
        <f t="shared" si="5"/>
        <v>42808591.306200549</v>
      </c>
      <c r="AB12" s="31">
        <v>0</v>
      </c>
      <c r="AD12" s="42" t="s">
        <v>229</v>
      </c>
      <c r="AE12" s="42" t="s">
        <v>230</v>
      </c>
      <c r="AF12" s="43" t="s">
        <v>1275</v>
      </c>
      <c r="AG12" s="44">
        <v>32</v>
      </c>
      <c r="AH12" s="31">
        <v>33656703.800538287</v>
      </c>
      <c r="AI12" s="31">
        <v>192813.59999999998</v>
      </c>
      <c r="AJ12" s="31">
        <v>77483.599999999991</v>
      </c>
      <c r="AK12" s="31">
        <v>124403.58000000002</v>
      </c>
      <c r="AL12" s="31">
        <v>4687477.6881263023</v>
      </c>
      <c r="AM12" s="31">
        <v>1438218.8940582722</v>
      </c>
      <c r="AN12" s="31">
        <v>3456619.1684529716</v>
      </c>
      <c r="AO12" s="31">
        <f t="shared" si="6"/>
        <v>43633720.331175834</v>
      </c>
      <c r="AP12" s="31">
        <v>0</v>
      </c>
      <c r="AR12" s="42" t="s">
        <v>229</v>
      </c>
      <c r="AS12" s="42" t="s">
        <v>230</v>
      </c>
      <c r="AT12" s="43" t="s">
        <v>1276</v>
      </c>
      <c r="AU12" s="44">
        <v>32</v>
      </c>
      <c r="AV12" s="31">
        <v>34344140.685280211</v>
      </c>
      <c r="AW12" s="31">
        <v>196646.93</v>
      </c>
      <c r="AX12" s="31">
        <v>79047.929999999978</v>
      </c>
      <c r="AY12" s="31">
        <v>126841.52</v>
      </c>
      <c r="AZ12" s="31">
        <v>4783349.3519382346</v>
      </c>
      <c r="BA12" s="31">
        <v>1438271.6596781495</v>
      </c>
      <c r="BB12" s="31">
        <v>3527543.6005984456</v>
      </c>
      <c r="BC12" s="31">
        <f t="shared" si="7"/>
        <v>44495841.67749504</v>
      </c>
      <c r="BD12" s="31">
        <v>0</v>
      </c>
    </row>
    <row r="13" spans="1:58">
      <c r="B13" s="42" t="s">
        <v>69</v>
      </c>
      <c r="C13" s="42" t="s">
        <v>70</v>
      </c>
      <c r="D13" s="43" t="s">
        <v>1049</v>
      </c>
      <c r="E13" s="44">
        <v>32</v>
      </c>
      <c r="F13" s="31">
        <v>97202896.090791419</v>
      </c>
      <c r="G13" s="31">
        <v>2646410.7200000002</v>
      </c>
      <c r="H13" s="31">
        <v>1252769.1599999999</v>
      </c>
      <c r="I13" s="31">
        <v>346897.00999999995</v>
      </c>
      <c r="J13" s="31">
        <v>15068084.789676208</v>
      </c>
      <c r="K13" s="31">
        <v>10644551.552892311</v>
      </c>
      <c r="L13" s="31">
        <v>8912708.6767557617</v>
      </c>
      <c r="M13" s="31">
        <f t="shared" si="4"/>
        <v>136074318.00011569</v>
      </c>
      <c r="N13" s="31">
        <v>0</v>
      </c>
      <c r="P13" s="42" t="s">
        <v>69</v>
      </c>
      <c r="Q13" s="42" t="s">
        <v>70</v>
      </c>
      <c r="R13" s="43" t="s">
        <v>1050</v>
      </c>
      <c r="S13" s="44">
        <v>32</v>
      </c>
      <c r="T13" s="31">
        <v>101380662.08376007</v>
      </c>
      <c r="U13" s="31">
        <v>2760050.18</v>
      </c>
      <c r="V13" s="31">
        <v>1306601.9400000002</v>
      </c>
      <c r="W13" s="31">
        <v>361844.61</v>
      </c>
      <c r="X13" s="31">
        <v>15651380.60608154</v>
      </c>
      <c r="Y13" s="31">
        <v>10654388.017469002</v>
      </c>
      <c r="Z13" s="31">
        <v>9272646.3824460208</v>
      </c>
      <c r="AA13" s="31">
        <f t="shared" si="5"/>
        <v>141387573.81975663</v>
      </c>
      <c r="AB13" s="31">
        <v>0</v>
      </c>
      <c r="AD13" s="42" t="s">
        <v>69</v>
      </c>
      <c r="AE13" s="42" t="s">
        <v>70</v>
      </c>
      <c r="AF13" s="43" t="s">
        <v>1275</v>
      </c>
      <c r="AG13" s="44">
        <v>32</v>
      </c>
      <c r="AH13" s="31">
        <v>103398033.93048368</v>
      </c>
      <c r="AI13" s="31">
        <v>2816258.59</v>
      </c>
      <c r="AJ13" s="31">
        <v>1333160.0799999998</v>
      </c>
      <c r="AK13" s="31">
        <v>369146.04000000004</v>
      </c>
      <c r="AL13" s="31">
        <v>15954059.56729771</v>
      </c>
      <c r="AM13" s="31">
        <v>10650916.014050376</v>
      </c>
      <c r="AN13" s="31">
        <v>9458668.0448468439</v>
      </c>
      <c r="AO13" s="31">
        <f t="shared" si="6"/>
        <v>143980242.2666786</v>
      </c>
      <c r="AP13" s="31">
        <v>0</v>
      </c>
      <c r="AR13" s="42" t="s">
        <v>69</v>
      </c>
      <c r="AS13" s="42" t="s">
        <v>70</v>
      </c>
      <c r="AT13" s="43" t="s">
        <v>1276</v>
      </c>
      <c r="AU13" s="44">
        <v>32</v>
      </c>
      <c r="AV13" s="31">
        <v>105492017.02139114</v>
      </c>
      <c r="AW13" s="31">
        <v>2873031.8000000003</v>
      </c>
      <c r="AX13" s="31">
        <v>1360001.9699999997</v>
      </c>
      <c r="AY13" s="31">
        <v>376598.92</v>
      </c>
      <c r="AZ13" s="31">
        <v>16277543.927727729</v>
      </c>
      <c r="BA13" s="31">
        <v>10651461.793972049</v>
      </c>
      <c r="BB13" s="31">
        <v>9650513.9586778134</v>
      </c>
      <c r="BC13" s="31">
        <f t="shared" si="7"/>
        <v>146681169.39176875</v>
      </c>
      <c r="BD13" s="31">
        <v>0</v>
      </c>
    </row>
    <row r="14" spans="1:58">
      <c r="B14" s="42" t="s">
        <v>199</v>
      </c>
      <c r="C14" s="42" t="s">
        <v>200</v>
      </c>
      <c r="D14" s="43" t="s">
        <v>1049</v>
      </c>
      <c r="E14" s="44">
        <v>32</v>
      </c>
      <c r="F14" s="31">
        <v>173161095.97000167</v>
      </c>
      <c r="G14" s="31">
        <v>2382616.7899999996</v>
      </c>
      <c r="H14" s="31">
        <v>5627040.7600000007</v>
      </c>
      <c r="I14" s="31">
        <v>616205.68000000005</v>
      </c>
      <c r="J14" s="31">
        <v>17020425.07177471</v>
      </c>
      <c r="K14" s="31">
        <v>9618336.659874713</v>
      </c>
      <c r="L14" s="31">
        <v>10158930.69058672</v>
      </c>
      <c r="M14" s="31">
        <f t="shared" si="4"/>
        <v>218728399.07223779</v>
      </c>
      <c r="N14" s="31">
        <v>143747.45000000001</v>
      </c>
      <c r="P14" s="42" t="s">
        <v>199</v>
      </c>
      <c r="Q14" s="42" t="s">
        <v>200</v>
      </c>
      <c r="R14" s="43" t="s">
        <v>1050</v>
      </c>
      <c r="S14" s="44">
        <v>32</v>
      </c>
      <c r="T14" s="31">
        <v>180508676.94433039</v>
      </c>
      <c r="U14" s="31">
        <v>2484568.7200000002</v>
      </c>
      <c r="V14" s="31">
        <v>5863682.0100000007</v>
      </c>
      <c r="W14" s="31">
        <v>642139.76</v>
      </c>
      <c r="X14" s="31">
        <v>17671774.152450666</v>
      </c>
      <c r="Y14" s="31">
        <v>9625622.9518794809</v>
      </c>
      <c r="Z14" s="31">
        <v>10563422.041520413</v>
      </c>
      <c r="AA14" s="31">
        <f t="shared" si="5"/>
        <v>227507926.8701809</v>
      </c>
      <c r="AB14" s="31">
        <v>148040.29000000004</v>
      </c>
      <c r="AD14" s="42" t="s">
        <v>199</v>
      </c>
      <c r="AE14" s="42" t="s">
        <v>200</v>
      </c>
      <c r="AF14" s="43" t="s">
        <v>1275</v>
      </c>
      <c r="AG14" s="44">
        <v>32</v>
      </c>
      <c r="AH14" s="31">
        <v>184123270.83650294</v>
      </c>
      <c r="AI14" s="31">
        <v>2535325.5700000003</v>
      </c>
      <c r="AJ14" s="31">
        <v>5983072.0599999996</v>
      </c>
      <c r="AK14" s="31">
        <v>655208.12000000011</v>
      </c>
      <c r="AL14" s="31">
        <v>18015180.90654375</v>
      </c>
      <c r="AM14" s="31">
        <v>9622869.2790904697</v>
      </c>
      <c r="AN14" s="31">
        <v>10775920.934049545</v>
      </c>
      <c r="AO14" s="31">
        <f t="shared" si="6"/>
        <v>231861660.51618671</v>
      </c>
      <c r="AP14" s="31">
        <v>150812.81000000003</v>
      </c>
      <c r="AR14" s="42" t="s">
        <v>199</v>
      </c>
      <c r="AS14" s="42" t="s">
        <v>200</v>
      </c>
      <c r="AT14" s="43" t="s">
        <v>1276</v>
      </c>
      <c r="AU14" s="44">
        <v>32</v>
      </c>
      <c r="AV14" s="31">
        <v>187882487.93395731</v>
      </c>
      <c r="AW14" s="31">
        <v>2586997.4099999997</v>
      </c>
      <c r="AX14" s="31">
        <v>6105054</v>
      </c>
      <c r="AY14" s="31">
        <v>668502.25</v>
      </c>
      <c r="AZ14" s="31">
        <v>18383599.024317566</v>
      </c>
      <c r="BA14" s="31">
        <v>9623293.0896204319</v>
      </c>
      <c r="BB14" s="31">
        <v>10996160.503167737</v>
      </c>
      <c r="BC14" s="31">
        <f t="shared" si="7"/>
        <v>236399992.52106306</v>
      </c>
      <c r="BD14" s="31">
        <v>153898.31</v>
      </c>
    </row>
    <row r="15" spans="1:58">
      <c r="B15" s="42" t="s">
        <v>539</v>
      </c>
      <c r="C15" s="42" t="s">
        <v>540</v>
      </c>
      <c r="D15" s="43" t="s">
        <v>1049</v>
      </c>
      <c r="E15" s="44">
        <v>32</v>
      </c>
      <c r="F15" s="31">
        <v>96982174.343626767</v>
      </c>
      <c r="G15" s="31">
        <v>2900654.81</v>
      </c>
      <c r="H15" s="31">
        <v>1387232.81</v>
      </c>
      <c r="I15" s="31">
        <v>343043.74999999994</v>
      </c>
      <c r="J15" s="31">
        <v>15305919.41801808</v>
      </c>
      <c r="K15" s="31">
        <v>4179309.7792304317</v>
      </c>
      <c r="L15" s="31">
        <v>7262980.4003748037</v>
      </c>
      <c r="M15" s="31">
        <f t="shared" si="4"/>
        <v>128862148.57125008</v>
      </c>
      <c r="N15" s="31">
        <v>500833.25999999989</v>
      </c>
      <c r="P15" s="42" t="s">
        <v>539</v>
      </c>
      <c r="Q15" s="42" t="s">
        <v>540</v>
      </c>
      <c r="R15" s="43" t="s">
        <v>1050</v>
      </c>
      <c r="S15" s="44">
        <v>32</v>
      </c>
      <c r="T15" s="31">
        <v>100515283.71112344</v>
      </c>
      <c r="U15" s="31">
        <v>3006402.1100000003</v>
      </c>
      <c r="V15" s="31">
        <v>1434740.9400000002</v>
      </c>
      <c r="W15" s="31">
        <v>354810.79</v>
      </c>
      <c r="X15" s="31">
        <v>15789376.076350193</v>
      </c>
      <c r="Y15" s="31">
        <v>4183414.4642865984</v>
      </c>
      <c r="Z15" s="31">
        <v>7504915.9717002455</v>
      </c>
      <c r="AA15" s="31">
        <f t="shared" si="5"/>
        <v>133300527.63346048</v>
      </c>
      <c r="AB15" s="31">
        <v>511583.57</v>
      </c>
      <c r="AD15" s="42" t="s">
        <v>539</v>
      </c>
      <c r="AE15" s="42" t="s">
        <v>540</v>
      </c>
      <c r="AF15" s="43" t="s">
        <v>1275</v>
      </c>
      <c r="AG15" s="44">
        <v>32</v>
      </c>
      <c r="AH15" s="31">
        <v>102523084.29114178</v>
      </c>
      <c r="AI15" s="31">
        <v>3068436.6</v>
      </c>
      <c r="AJ15" s="31">
        <v>1463954.71</v>
      </c>
      <c r="AK15" s="31">
        <v>361982.74</v>
      </c>
      <c r="AL15" s="31">
        <v>16095089.005135026</v>
      </c>
      <c r="AM15" s="31">
        <v>4181935.7908822428</v>
      </c>
      <c r="AN15" s="31">
        <v>7655457.4999271957</v>
      </c>
      <c r="AO15" s="31">
        <f t="shared" si="6"/>
        <v>135870952.76708624</v>
      </c>
      <c r="AP15" s="31">
        <v>521012.12999999995</v>
      </c>
      <c r="AR15" s="42" t="s">
        <v>539</v>
      </c>
      <c r="AS15" s="42" t="s">
        <v>540</v>
      </c>
      <c r="AT15" s="43" t="s">
        <v>1276</v>
      </c>
      <c r="AU15" s="44">
        <v>32</v>
      </c>
      <c r="AV15" s="31">
        <v>104603681.72239478</v>
      </c>
      <c r="AW15" s="31">
        <v>3130375.8999999994</v>
      </c>
      <c r="AX15" s="31">
        <v>1493462.73</v>
      </c>
      <c r="AY15" s="31">
        <v>369342.47000000003</v>
      </c>
      <c r="AZ15" s="31">
        <v>16422139.635395736</v>
      </c>
      <c r="BA15" s="31">
        <v>4182166.9143154533</v>
      </c>
      <c r="BB15" s="31">
        <v>7810815.4458916299</v>
      </c>
      <c r="BC15" s="31">
        <f t="shared" si="7"/>
        <v>138543754.51799759</v>
      </c>
      <c r="BD15" s="31">
        <v>531769.70000000007</v>
      </c>
    </row>
    <row r="16" spans="1:58">
      <c r="B16" s="42" t="s">
        <v>5</v>
      </c>
      <c r="C16" s="42" t="s">
        <v>6</v>
      </c>
      <c r="D16" s="43" t="s">
        <v>1049</v>
      </c>
      <c r="E16" s="44">
        <v>32</v>
      </c>
      <c r="F16" s="31">
        <v>328897.83339915954</v>
      </c>
      <c r="G16" s="31">
        <v>0</v>
      </c>
      <c r="H16" s="31">
        <v>0</v>
      </c>
      <c r="I16" s="31">
        <v>292.33000000000004</v>
      </c>
      <c r="J16" s="31">
        <v>0</v>
      </c>
      <c r="K16" s="31">
        <v>65135.600284457054</v>
      </c>
      <c r="L16" s="31">
        <v>0</v>
      </c>
      <c r="M16" s="31">
        <f t="shared" si="4"/>
        <v>394325.76368361659</v>
      </c>
      <c r="N16" s="31">
        <v>0</v>
      </c>
      <c r="P16" s="42" t="s">
        <v>5</v>
      </c>
      <c r="Q16" s="42" t="s">
        <v>6</v>
      </c>
      <c r="R16" s="43" t="s">
        <v>1050</v>
      </c>
      <c r="S16" s="44">
        <v>32</v>
      </c>
      <c r="T16" s="31">
        <v>340965.351079977</v>
      </c>
      <c r="U16" s="31">
        <v>0</v>
      </c>
      <c r="V16" s="31">
        <v>0</v>
      </c>
      <c r="W16" s="31">
        <v>303.55999999999995</v>
      </c>
      <c r="X16" s="31">
        <v>0</v>
      </c>
      <c r="Y16" s="31">
        <v>65175.66185850319</v>
      </c>
      <c r="Z16" s="31">
        <v>0</v>
      </c>
      <c r="AA16" s="31">
        <f t="shared" si="5"/>
        <v>406444.57293848018</v>
      </c>
      <c r="AB16" s="31">
        <v>0</v>
      </c>
      <c r="AD16" s="42" t="s">
        <v>5</v>
      </c>
      <c r="AE16" s="42" t="s">
        <v>6</v>
      </c>
      <c r="AF16" s="43" t="s">
        <v>1275</v>
      </c>
      <c r="AG16" s="44">
        <v>32</v>
      </c>
      <c r="AH16" s="31">
        <v>347487.53148404113</v>
      </c>
      <c r="AI16" s="31">
        <v>0</v>
      </c>
      <c r="AJ16" s="31">
        <v>0</v>
      </c>
      <c r="AK16" s="31">
        <v>309.51</v>
      </c>
      <c r="AL16" s="31">
        <v>0</v>
      </c>
      <c r="AM16" s="31">
        <v>65162.051773447871</v>
      </c>
      <c r="AN16" s="31">
        <v>0</v>
      </c>
      <c r="AO16" s="31">
        <f t="shared" si="6"/>
        <v>412959.09325748903</v>
      </c>
      <c r="AP16" s="31">
        <v>0</v>
      </c>
      <c r="AR16" s="42" t="s">
        <v>5</v>
      </c>
      <c r="AS16" s="42" t="s">
        <v>6</v>
      </c>
      <c r="AT16" s="43" t="s">
        <v>1276</v>
      </c>
      <c r="AU16" s="44">
        <v>32</v>
      </c>
      <c r="AV16" s="31">
        <v>353800.62883113383</v>
      </c>
      <c r="AW16" s="31">
        <v>0</v>
      </c>
      <c r="AX16" s="31">
        <v>0</v>
      </c>
      <c r="AY16" s="31">
        <v>315.15999999999997</v>
      </c>
      <c r="AZ16" s="31">
        <v>0</v>
      </c>
      <c r="BA16" s="31">
        <v>65164.217619050629</v>
      </c>
      <c r="BB16" s="31">
        <v>0</v>
      </c>
      <c r="BC16" s="31">
        <f t="shared" si="7"/>
        <v>419280.00645018445</v>
      </c>
      <c r="BD16" s="31">
        <v>0</v>
      </c>
    </row>
    <row r="17" spans="2:56">
      <c r="B17" s="42" t="s">
        <v>383</v>
      </c>
      <c r="C17" s="42" t="s">
        <v>384</v>
      </c>
      <c r="D17" s="43" t="s">
        <v>1049</v>
      </c>
      <c r="E17" s="44">
        <v>32</v>
      </c>
      <c r="F17" s="31">
        <v>162446464.79937142</v>
      </c>
      <c r="G17" s="31">
        <v>6223082.5600000005</v>
      </c>
      <c r="H17" s="31">
        <v>1923714.38</v>
      </c>
      <c r="I17" s="31">
        <v>565265.28</v>
      </c>
      <c r="J17" s="31">
        <v>24222147.444630902</v>
      </c>
      <c r="K17" s="31">
        <v>15094726.044891372</v>
      </c>
      <c r="L17" s="31">
        <v>13974934.555609494</v>
      </c>
      <c r="M17" s="31">
        <f t="shared" si="4"/>
        <v>227365821.56450316</v>
      </c>
      <c r="N17" s="31">
        <v>2915486.5</v>
      </c>
      <c r="P17" s="42" t="s">
        <v>383</v>
      </c>
      <c r="Q17" s="42" t="s">
        <v>384</v>
      </c>
      <c r="R17" s="43" t="s">
        <v>1050</v>
      </c>
      <c r="S17" s="44">
        <v>32</v>
      </c>
      <c r="T17" s="31">
        <v>169520790.36901206</v>
      </c>
      <c r="U17" s="31">
        <v>6534208.2100000009</v>
      </c>
      <c r="V17" s="31">
        <v>2007401.8900000001</v>
      </c>
      <c r="W17" s="31">
        <v>589805.22</v>
      </c>
      <c r="X17" s="31">
        <v>25165489.178223055</v>
      </c>
      <c r="Y17" s="31">
        <v>15109151.637641637</v>
      </c>
      <c r="Z17" s="31">
        <v>14544429.168454718</v>
      </c>
      <c r="AA17" s="31">
        <f t="shared" si="5"/>
        <v>236473111.75333145</v>
      </c>
      <c r="AB17" s="31">
        <v>3001836.0799999996</v>
      </c>
      <c r="AD17" s="42" t="s">
        <v>383</v>
      </c>
      <c r="AE17" s="42" t="s">
        <v>384</v>
      </c>
      <c r="AF17" s="43" t="s">
        <v>1275</v>
      </c>
      <c r="AG17" s="44">
        <v>32</v>
      </c>
      <c r="AH17" s="31">
        <v>172900845.94977206</v>
      </c>
      <c r="AI17" s="31">
        <v>6672844.5099999998</v>
      </c>
      <c r="AJ17" s="31">
        <v>2048216.6700000002</v>
      </c>
      <c r="AK17" s="31">
        <v>601858.37000000011</v>
      </c>
      <c r="AL17" s="31">
        <v>25650724.100076508</v>
      </c>
      <c r="AM17" s="31">
        <v>15104250.843077786</v>
      </c>
      <c r="AN17" s="31">
        <v>14836116.280375928</v>
      </c>
      <c r="AO17" s="31">
        <f t="shared" si="6"/>
        <v>240871815.21330225</v>
      </c>
      <c r="AP17" s="31">
        <v>3056958.49</v>
      </c>
      <c r="AR17" s="42" t="s">
        <v>383</v>
      </c>
      <c r="AS17" s="42" t="s">
        <v>384</v>
      </c>
      <c r="AT17" s="43" t="s">
        <v>1276</v>
      </c>
      <c r="AU17" s="44">
        <v>32</v>
      </c>
      <c r="AV17" s="31">
        <v>176385264.77109998</v>
      </c>
      <c r="AW17" s="31">
        <v>6805577.75</v>
      </c>
      <c r="AX17" s="31">
        <v>2089085.5999999999</v>
      </c>
      <c r="AY17" s="31">
        <v>613899.34</v>
      </c>
      <c r="AZ17" s="31">
        <v>26168115.857937641</v>
      </c>
      <c r="BA17" s="31">
        <v>15105030.732719399</v>
      </c>
      <c r="BB17" s="31">
        <v>15135194.658872452</v>
      </c>
      <c r="BC17" s="31">
        <f t="shared" si="7"/>
        <v>245421191.93062946</v>
      </c>
      <c r="BD17" s="31">
        <v>3119023.22</v>
      </c>
    </row>
    <row r="18" spans="2:56">
      <c r="B18" s="42" t="s">
        <v>253</v>
      </c>
      <c r="C18" s="42" t="s">
        <v>254</v>
      </c>
      <c r="D18" s="43" t="s">
        <v>1049</v>
      </c>
      <c r="E18" s="44">
        <v>32</v>
      </c>
      <c r="F18" s="31">
        <v>2028344.3853565911</v>
      </c>
      <c r="G18" s="31">
        <v>0</v>
      </c>
      <c r="H18" s="31">
        <v>0</v>
      </c>
      <c r="I18" s="31">
        <v>3215.6</v>
      </c>
      <c r="J18" s="31">
        <v>143796.12253377982</v>
      </c>
      <c r="K18" s="31">
        <v>204245.10318151774</v>
      </c>
      <c r="L18" s="31">
        <v>0</v>
      </c>
      <c r="M18" s="31">
        <f t="shared" si="4"/>
        <v>2379601.2110718889</v>
      </c>
      <c r="N18" s="31">
        <v>0</v>
      </c>
      <c r="P18" s="42" t="s">
        <v>253</v>
      </c>
      <c r="Q18" s="42" t="s">
        <v>254</v>
      </c>
      <c r="R18" s="43" t="s">
        <v>1050</v>
      </c>
      <c r="S18" s="44">
        <v>32</v>
      </c>
      <c r="T18" s="31">
        <v>2106359.5986461942</v>
      </c>
      <c r="U18" s="31">
        <v>0</v>
      </c>
      <c r="V18" s="31">
        <v>0</v>
      </c>
      <c r="W18" s="31">
        <v>3339.09</v>
      </c>
      <c r="X18" s="31">
        <v>149408.581628994</v>
      </c>
      <c r="Y18" s="31">
        <v>204401.06373382264</v>
      </c>
      <c r="Z18" s="31">
        <v>0</v>
      </c>
      <c r="AA18" s="31">
        <f t="shared" si="5"/>
        <v>2463508.3340090108</v>
      </c>
      <c r="AB18" s="31">
        <v>0</v>
      </c>
      <c r="AD18" s="42" t="s">
        <v>253</v>
      </c>
      <c r="AE18" s="42" t="s">
        <v>254</v>
      </c>
      <c r="AF18" s="43" t="s">
        <v>1275</v>
      </c>
      <c r="AG18" s="44">
        <v>32</v>
      </c>
      <c r="AH18" s="31">
        <v>2146893.423680997</v>
      </c>
      <c r="AI18" s="31">
        <v>0</v>
      </c>
      <c r="AJ18" s="31">
        <v>0</v>
      </c>
      <c r="AK18" s="31">
        <v>3404.4199999999996</v>
      </c>
      <c r="AL18" s="31">
        <v>152277.08739665823</v>
      </c>
      <c r="AM18" s="31">
        <v>204348.07938578629</v>
      </c>
      <c r="AN18" s="31">
        <v>0</v>
      </c>
      <c r="AO18" s="31">
        <f t="shared" si="6"/>
        <v>2506923.0104634413</v>
      </c>
      <c r="AP18" s="31">
        <v>0</v>
      </c>
      <c r="AR18" s="42" t="s">
        <v>253</v>
      </c>
      <c r="AS18" s="42" t="s">
        <v>254</v>
      </c>
      <c r="AT18" s="43" t="s">
        <v>1276</v>
      </c>
      <c r="AU18" s="44">
        <v>32</v>
      </c>
      <c r="AV18" s="31">
        <v>2186959.3556367895</v>
      </c>
      <c r="AW18" s="31">
        <v>0</v>
      </c>
      <c r="AX18" s="31">
        <v>0</v>
      </c>
      <c r="AY18" s="31">
        <v>3466.5899999999992</v>
      </c>
      <c r="AZ18" s="31">
        <v>155350.63127047854</v>
      </c>
      <c r="BA18" s="31">
        <v>204356.51106837625</v>
      </c>
      <c r="BB18" s="31">
        <v>0</v>
      </c>
      <c r="BC18" s="31">
        <f t="shared" si="7"/>
        <v>2550133.087975644</v>
      </c>
      <c r="BD18" s="31">
        <v>0</v>
      </c>
    </row>
    <row r="19" spans="2:56">
      <c r="B19" s="42" t="s">
        <v>543</v>
      </c>
      <c r="C19" s="42" t="s">
        <v>544</v>
      </c>
      <c r="D19" s="43" t="s">
        <v>1049</v>
      </c>
      <c r="E19" s="44">
        <v>32</v>
      </c>
      <c r="F19" s="31">
        <v>19186818.572017204</v>
      </c>
      <c r="G19" s="31">
        <v>698005.57999999984</v>
      </c>
      <c r="H19" s="31">
        <v>155680.70999999996</v>
      </c>
      <c r="I19" s="31">
        <v>67387.5</v>
      </c>
      <c r="J19" s="31">
        <v>3045027.1744312509</v>
      </c>
      <c r="K19" s="31">
        <v>1278916.7381508555</v>
      </c>
      <c r="L19" s="31">
        <v>1255749.1972670495</v>
      </c>
      <c r="M19" s="31">
        <f t="shared" si="4"/>
        <v>25851606.221866354</v>
      </c>
      <c r="N19" s="31">
        <v>164020.75</v>
      </c>
      <c r="P19" s="42" t="s">
        <v>543</v>
      </c>
      <c r="Q19" s="42" t="s">
        <v>544</v>
      </c>
      <c r="R19" s="43" t="s">
        <v>1050</v>
      </c>
      <c r="S19" s="44">
        <v>32</v>
      </c>
      <c r="T19" s="31">
        <v>20002179.929377608</v>
      </c>
      <c r="U19" s="31">
        <v>729471.12999999989</v>
      </c>
      <c r="V19" s="31">
        <v>162263.24000000002</v>
      </c>
      <c r="W19" s="31">
        <v>70233.349999999991</v>
      </c>
      <c r="X19" s="31">
        <v>3161786.3217851613</v>
      </c>
      <c r="Y19" s="31">
        <v>1280234.0715194601</v>
      </c>
      <c r="Z19" s="31">
        <v>1306015.0508294541</v>
      </c>
      <c r="AA19" s="31">
        <f t="shared" si="5"/>
        <v>26881214.363511682</v>
      </c>
      <c r="AB19" s="31">
        <v>169031.27</v>
      </c>
      <c r="AD19" s="42" t="s">
        <v>543</v>
      </c>
      <c r="AE19" s="42" t="s">
        <v>544</v>
      </c>
      <c r="AF19" s="43" t="s">
        <v>1275</v>
      </c>
      <c r="AG19" s="44">
        <v>32</v>
      </c>
      <c r="AH19" s="31">
        <v>20402346.173448339</v>
      </c>
      <c r="AI19" s="31">
        <v>744530.52</v>
      </c>
      <c r="AJ19" s="31">
        <v>165561.69999999998</v>
      </c>
      <c r="AK19" s="31">
        <v>71610.12</v>
      </c>
      <c r="AL19" s="31">
        <v>3223150.0228112843</v>
      </c>
      <c r="AM19" s="31">
        <v>1279752.3298108226</v>
      </c>
      <c r="AN19" s="31">
        <v>1332357.5689131834</v>
      </c>
      <c r="AO19" s="31">
        <f t="shared" si="6"/>
        <v>27391481.674983628</v>
      </c>
      <c r="AP19" s="31">
        <v>172173.24000000002</v>
      </c>
      <c r="AR19" s="42" t="s">
        <v>543</v>
      </c>
      <c r="AS19" s="42" t="s">
        <v>544</v>
      </c>
      <c r="AT19" s="43" t="s">
        <v>1276</v>
      </c>
      <c r="AU19" s="44">
        <v>32</v>
      </c>
      <c r="AV19" s="31">
        <v>20817626.086291078</v>
      </c>
      <c r="AW19" s="31">
        <v>759644.69000000006</v>
      </c>
      <c r="AX19" s="31">
        <v>168758.35000000003</v>
      </c>
      <c r="AY19" s="31">
        <v>73060.740000000005</v>
      </c>
      <c r="AZ19" s="31">
        <v>3288930.4057912803</v>
      </c>
      <c r="BA19" s="31">
        <v>1279827.2225928726</v>
      </c>
      <c r="BB19" s="31">
        <v>1359449.9489189545</v>
      </c>
      <c r="BC19" s="31">
        <f t="shared" si="7"/>
        <v>27922950.043594185</v>
      </c>
      <c r="BD19" s="31">
        <v>175652.6</v>
      </c>
    </row>
    <row r="20" spans="2:56">
      <c r="B20" s="42" t="s">
        <v>283</v>
      </c>
      <c r="C20" s="42" t="s">
        <v>284</v>
      </c>
      <c r="D20" s="43" t="s">
        <v>1049</v>
      </c>
      <c r="E20" s="44">
        <v>32</v>
      </c>
      <c r="F20" s="31">
        <v>837661.23932314338</v>
      </c>
      <c r="G20" s="31">
        <v>28063.480000000003</v>
      </c>
      <c r="H20" s="31">
        <v>0</v>
      </c>
      <c r="I20" s="31">
        <v>0</v>
      </c>
      <c r="J20" s="31">
        <v>121492.51273492345</v>
      </c>
      <c r="K20" s="31">
        <v>147224.19300537929</v>
      </c>
      <c r="L20" s="31">
        <v>0</v>
      </c>
      <c r="M20" s="31">
        <f t="shared" si="4"/>
        <v>1159581.6650634462</v>
      </c>
      <c r="N20" s="31">
        <v>25140.239999999998</v>
      </c>
      <c r="P20" s="42" t="s">
        <v>283</v>
      </c>
      <c r="Q20" s="42" t="s">
        <v>284</v>
      </c>
      <c r="R20" s="43" t="s">
        <v>1050</v>
      </c>
      <c r="S20" s="44">
        <v>32</v>
      </c>
      <c r="T20" s="31">
        <v>880868.09629908041</v>
      </c>
      <c r="U20" s="31">
        <v>29488.529999999995</v>
      </c>
      <c r="V20" s="31">
        <v>0</v>
      </c>
      <c r="W20" s="31">
        <v>0</v>
      </c>
      <c r="X20" s="31">
        <v>125611.1208791237</v>
      </c>
      <c r="Y20" s="31">
        <v>147364.38455477581</v>
      </c>
      <c r="Z20" s="31">
        <v>0</v>
      </c>
      <c r="AA20" s="31">
        <f t="shared" si="5"/>
        <v>1209090.4117329801</v>
      </c>
      <c r="AB20" s="31">
        <v>25758.280000000002</v>
      </c>
      <c r="AD20" s="42" t="s">
        <v>283</v>
      </c>
      <c r="AE20" s="42" t="s">
        <v>284</v>
      </c>
      <c r="AF20" s="43" t="s">
        <v>1275</v>
      </c>
      <c r="AG20" s="44">
        <v>32</v>
      </c>
      <c r="AH20" s="31">
        <v>897748.94307194417</v>
      </c>
      <c r="AI20" s="31">
        <v>30115.429999999997</v>
      </c>
      <c r="AJ20" s="31">
        <v>0</v>
      </c>
      <c r="AK20" s="31">
        <v>0</v>
      </c>
      <c r="AL20" s="31">
        <v>127936.24126963617</v>
      </c>
      <c r="AM20" s="31">
        <v>147316.7573969131</v>
      </c>
      <c r="AN20" s="31">
        <v>0</v>
      </c>
      <c r="AO20" s="31">
        <f t="shared" si="6"/>
        <v>1229329.4617384935</v>
      </c>
      <c r="AP20" s="31">
        <v>26212.09</v>
      </c>
      <c r="AR20" s="42" t="s">
        <v>283</v>
      </c>
      <c r="AS20" s="42" t="s">
        <v>284</v>
      </c>
      <c r="AT20" s="43" t="s">
        <v>1276</v>
      </c>
      <c r="AU20" s="44">
        <v>32</v>
      </c>
      <c r="AV20" s="31">
        <v>914148.38083440089</v>
      </c>
      <c r="AW20" s="31">
        <v>30657.970000000005</v>
      </c>
      <c r="AX20" s="31">
        <v>0</v>
      </c>
      <c r="AY20" s="31">
        <v>0</v>
      </c>
      <c r="AZ20" s="31">
        <v>130289.36067362179</v>
      </c>
      <c r="BA20" s="31">
        <v>147324.33656118796</v>
      </c>
      <c r="BB20" s="31">
        <v>0</v>
      </c>
      <c r="BC20" s="31">
        <f t="shared" si="7"/>
        <v>1249118.1780692104</v>
      </c>
      <c r="BD20" s="31">
        <v>26698.13</v>
      </c>
    </row>
    <row r="21" spans="2:56">
      <c r="B21" s="42" t="s">
        <v>227</v>
      </c>
      <c r="C21" s="42" t="s">
        <v>228</v>
      </c>
      <c r="D21" s="43" t="s">
        <v>1049</v>
      </c>
      <c r="E21" s="44">
        <v>32</v>
      </c>
      <c r="F21" s="31">
        <v>38639172.35587088</v>
      </c>
      <c r="G21" s="31">
        <v>2128094.62</v>
      </c>
      <c r="H21" s="31">
        <v>769664.26000000013</v>
      </c>
      <c r="I21" s="31">
        <v>148264.25</v>
      </c>
      <c r="J21" s="31">
        <v>6700103.1409654683</v>
      </c>
      <c r="K21" s="31">
        <v>1974796.0191229219</v>
      </c>
      <c r="L21" s="31">
        <v>7034712.7100287881</v>
      </c>
      <c r="M21" s="31">
        <f t="shared" si="4"/>
        <v>58683340.065988056</v>
      </c>
      <c r="N21" s="31">
        <v>1288532.71</v>
      </c>
      <c r="P21" s="42" t="s">
        <v>227</v>
      </c>
      <c r="Q21" s="42" t="s">
        <v>228</v>
      </c>
      <c r="R21" s="43" t="s">
        <v>1050</v>
      </c>
      <c r="S21" s="44">
        <v>32</v>
      </c>
      <c r="T21" s="31">
        <v>40703645.889415532</v>
      </c>
      <c r="U21" s="31">
        <v>2232952.39</v>
      </c>
      <c r="V21" s="31">
        <v>802089.22000000009</v>
      </c>
      <c r="W21" s="31">
        <v>154446.07999999999</v>
      </c>
      <c r="X21" s="31">
        <v>6956249.9335673098</v>
      </c>
      <c r="Y21" s="31">
        <v>1976226.2431769932</v>
      </c>
      <c r="Z21" s="31">
        <v>7384502.0154350167</v>
      </c>
      <c r="AA21" s="31">
        <f t="shared" si="5"/>
        <v>61537381.671594851</v>
      </c>
      <c r="AB21" s="31">
        <v>1327269.8999999999</v>
      </c>
      <c r="AD21" s="42" t="s">
        <v>227</v>
      </c>
      <c r="AE21" s="42" t="s">
        <v>228</v>
      </c>
      <c r="AF21" s="43" t="s">
        <v>1275</v>
      </c>
      <c r="AG21" s="44">
        <v>32</v>
      </c>
      <c r="AH21" s="31">
        <v>41517491.772453614</v>
      </c>
      <c r="AI21" s="31">
        <v>2280642.88</v>
      </c>
      <c r="AJ21" s="31">
        <v>818413.22000000009</v>
      </c>
      <c r="AK21" s="31">
        <v>157593.79999999999</v>
      </c>
      <c r="AL21" s="31">
        <v>7091435.4713652926</v>
      </c>
      <c r="AM21" s="31">
        <v>1975685.7255780131</v>
      </c>
      <c r="AN21" s="31">
        <v>7532952.9383398397</v>
      </c>
      <c r="AO21" s="31">
        <f t="shared" si="6"/>
        <v>62726229.157736756</v>
      </c>
      <c r="AP21" s="31">
        <v>1352013.3499999999</v>
      </c>
      <c r="AR21" s="42" t="s">
        <v>227</v>
      </c>
      <c r="AS21" s="42" t="s">
        <v>228</v>
      </c>
      <c r="AT21" s="43" t="s">
        <v>1276</v>
      </c>
      <c r="AU21" s="44">
        <v>32</v>
      </c>
      <c r="AV21" s="31">
        <v>42364417.940239921</v>
      </c>
      <c r="AW21" s="31">
        <v>2326817.0400000005</v>
      </c>
      <c r="AX21" s="31">
        <v>834989.35000000009</v>
      </c>
      <c r="AY21" s="31">
        <v>160892.94</v>
      </c>
      <c r="AZ21" s="31">
        <v>7236429.6396765942</v>
      </c>
      <c r="BA21" s="31">
        <v>1975768.9152187689</v>
      </c>
      <c r="BB21" s="31">
        <v>7686724.2048244234</v>
      </c>
      <c r="BC21" s="31">
        <f t="shared" si="7"/>
        <v>63965962.80995971</v>
      </c>
      <c r="BD21" s="31">
        <v>1379922.7799999998</v>
      </c>
    </row>
    <row r="22" spans="2:56">
      <c r="B22" s="42" t="s">
        <v>333</v>
      </c>
      <c r="C22" s="42" t="s">
        <v>334</v>
      </c>
      <c r="D22" s="43" t="s">
        <v>1049</v>
      </c>
      <c r="E22" s="44">
        <v>32</v>
      </c>
      <c r="F22" s="31">
        <v>7739781.7000827799</v>
      </c>
      <c r="G22" s="31">
        <v>580174.03</v>
      </c>
      <c r="H22" s="31">
        <v>532719.42999999993</v>
      </c>
      <c r="I22" s="31">
        <v>27478.850000000002</v>
      </c>
      <c r="J22" s="31">
        <v>975017.96678022982</v>
      </c>
      <c r="K22" s="31">
        <v>208965.42034072077</v>
      </c>
      <c r="L22" s="31">
        <v>813910.64368802216</v>
      </c>
      <c r="M22" s="31">
        <f t="shared" si="4"/>
        <v>11152739.090891752</v>
      </c>
      <c r="N22" s="31">
        <v>274691.05</v>
      </c>
      <c r="P22" s="42" t="s">
        <v>333</v>
      </c>
      <c r="Q22" s="42" t="s">
        <v>334</v>
      </c>
      <c r="R22" s="43" t="s">
        <v>1050</v>
      </c>
      <c r="S22" s="44">
        <v>32</v>
      </c>
      <c r="T22" s="31">
        <v>8166099.0058909105</v>
      </c>
      <c r="U22" s="31">
        <v>609201.99</v>
      </c>
      <c r="V22" s="31">
        <v>556009.53999999992</v>
      </c>
      <c r="W22" s="31">
        <v>28736.43</v>
      </c>
      <c r="X22" s="31">
        <v>1012979.9287389301</v>
      </c>
      <c r="Y22" s="31">
        <v>209176.99398165039</v>
      </c>
      <c r="Z22" s="31">
        <v>855388.77523686667</v>
      </c>
      <c r="AA22" s="31">
        <f t="shared" si="5"/>
        <v>11720434.373848356</v>
      </c>
      <c r="AB22" s="31">
        <v>282841.70999999996</v>
      </c>
      <c r="AD22" s="42" t="s">
        <v>333</v>
      </c>
      <c r="AE22" s="42" t="s">
        <v>334</v>
      </c>
      <c r="AF22" s="43" t="s">
        <v>1275</v>
      </c>
      <c r="AG22" s="44">
        <v>32</v>
      </c>
      <c r="AH22" s="31">
        <v>8328863.7564810095</v>
      </c>
      <c r="AI22" s="31">
        <v>622084.09999999986</v>
      </c>
      <c r="AJ22" s="31">
        <v>567195.29999999993</v>
      </c>
      <c r="AK22" s="31">
        <v>29298.570000000007</v>
      </c>
      <c r="AL22" s="31">
        <v>1032522.227950472</v>
      </c>
      <c r="AM22" s="31">
        <v>209105.11624551355</v>
      </c>
      <c r="AN22" s="31">
        <v>872474.30667962972</v>
      </c>
      <c r="AO22" s="31">
        <f t="shared" si="6"/>
        <v>11949571.477356626</v>
      </c>
      <c r="AP22" s="31">
        <v>288028.10000000003</v>
      </c>
      <c r="AR22" s="42" t="s">
        <v>333</v>
      </c>
      <c r="AS22" s="42" t="s">
        <v>334</v>
      </c>
      <c r="AT22" s="43" t="s">
        <v>1276</v>
      </c>
      <c r="AU22" s="44">
        <v>32</v>
      </c>
      <c r="AV22" s="31">
        <v>8496874.873583734</v>
      </c>
      <c r="AW22" s="31">
        <v>634526.19000000018</v>
      </c>
      <c r="AX22" s="31">
        <v>578708.35000000009</v>
      </c>
      <c r="AY22" s="31">
        <v>29833.59</v>
      </c>
      <c r="AZ22" s="31">
        <v>1053342.9411842611</v>
      </c>
      <c r="BA22" s="31">
        <v>209116.55453396769</v>
      </c>
      <c r="BB22" s="31">
        <v>889941.48751610983</v>
      </c>
      <c r="BC22" s="31">
        <f t="shared" si="7"/>
        <v>12186230.256818071</v>
      </c>
      <c r="BD22" s="31">
        <v>293886.26999999996</v>
      </c>
    </row>
    <row r="23" spans="2:56">
      <c r="B23" s="42" t="s">
        <v>91</v>
      </c>
      <c r="C23" s="42" t="s">
        <v>92</v>
      </c>
      <c r="D23" s="43" t="s">
        <v>1049</v>
      </c>
      <c r="E23" s="44">
        <v>32</v>
      </c>
      <c r="F23" s="31">
        <v>6343488.0439552311</v>
      </c>
      <c r="G23" s="31">
        <v>443559.30999999994</v>
      </c>
      <c r="H23" s="31">
        <v>535545.25</v>
      </c>
      <c r="I23" s="31">
        <v>20950.2</v>
      </c>
      <c r="J23" s="31">
        <v>647627.22401884221</v>
      </c>
      <c r="K23" s="31">
        <v>200527.8836296314</v>
      </c>
      <c r="L23" s="31">
        <v>249918.29588849843</v>
      </c>
      <c r="M23" s="31">
        <f t="shared" si="4"/>
        <v>8656282.5474922024</v>
      </c>
      <c r="N23" s="31">
        <v>214666.34000000005</v>
      </c>
      <c r="P23" s="42" t="s">
        <v>91</v>
      </c>
      <c r="Q23" s="42" t="s">
        <v>92</v>
      </c>
      <c r="R23" s="43" t="s">
        <v>1050</v>
      </c>
      <c r="S23" s="44">
        <v>32</v>
      </c>
      <c r="T23" s="31">
        <v>6681037.626231431</v>
      </c>
      <c r="U23" s="31">
        <v>465799.42999999993</v>
      </c>
      <c r="V23" s="31">
        <v>558741.51</v>
      </c>
      <c r="W23" s="31">
        <v>21855.890000000003</v>
      </c>
      <c r="X23" s="31">
        <v>672858.89044202247</v>
      </c>
      <c r="Y23" s="31">
        <v>200713.43785578324</v>
      </c>
      <c r="Z23" s="31">
        <v>262566.91558078397</v>
      </c>
      <c r="AA23" s="31">
        <f t="shared" si="5"/>
        <v>9084615.5501100216</v>
      </c>
      <c r="AB23" s="31">
        <v>221041.85</v>
      </c>
      <c r="AD23" s="42" t="s">
        <v>91</v>
      </c>
      <c r="AE23" s="42" t="s">
        <v>92</v>
      </c>
      <c r="AF23" s="43" t="s">
        <v>1275</v>
      </c>
      <c r="AG23" s="44">
        <v>32</v>
      </c>
      <c r="AH23" s="31">
        <v>6814166.7673091833</v>
      </c>
      <c r="AI23" s="31">
        <v>475754.75000000012</v>
      </c>
      <c r="AJ23" s="31">
        <v>570187.06999999995</v>
      </c>
      <c r="AK23" s="31">
        <v>22283.399999999998</v>
      </c>
      <c r="AL23" s="31">
        <v>685839.20113414596</v>
      </c>
      <c r="AM23" s="31">
        <v>200650.39967367402</v>
      </c>
      <c r="AN23" s="31">
        <v>267763.16142699105</v>
      </c>
      <c r="AO23" s="31">
        <f t="shared" si="6"/>
        <v>9261682.5895439945</v>
      </c>
      <c r="AP23" s="31">
        <v>225037.84</v>
      </c>
      <c r="AR23" s="42" t="s">
        <v>91</v>
      </c>
      <c r="AS23" s="42" t="s">
        <v>92</v>
      </c>
      <c r="AT23" s="43" t="s">
        <v>1276</v>
      </c>
      <c r="AU23" s="44">
        <v>32</v>
      </c>
      <c r="AV23" s="31">
        <v>6949073.0690392423</v>
      </c>
      <c r="AW23" s="31">
        <v>485225.76000000007</v>
      </c>
      <c r="AX23" s="31">
        <v>581544.61</v>
      </c>
      <c r="AY23" s="31">
        <v>22690.32</v>
      </c>
      <c r="AZ23" s="31">
        <v>699668.00912075036</v>
      </c>
      <c r="BA23" s="31">
        <v>200660.43127663402</v>
      </c>
      <c r="BB23" s="31">
        <v>273327.95887018321</v>
      </c>
      <c r="BC23" s="31">
        <f t="shared" si="7"/>
        <v>9441814.6783068106</v>
      </c>
      <c r="BD23" s="31">
        <v>229624.51999999996</v>
      </c>
    </row>
    <row r="24" spans="2:56">
      <c r="B24" s="42" t="s">
        <v>175</v>
      </c>
      <c r="C24" s="42" t="s">
        <v>176</v>
      </c>
      <c r="D24" s="43" t="s">
        <v>1049</v>
      </c>
      <c r="E24" s="44">
        <v>32</v>
      </c>
      <c r="F24" s="31">
        <v>687171.97915355011</v>
      </c>
      <c r="G24" s="31">
        <v>35469.12999999999</v>
      </c>
      <c r="H24" s="31">
        <v>0</v>
      </c>
      <c r="I24" s="31">
        <v>2046.29</v>
      </c>
      <c r="J24" s="31">
        <v>71998.760080828826</v>
      </c>
      <c r="K24" s="31">
        <v>97630.34124617363</v>
      </c>
      <c r="L24" s="31">
        <v>0</v>
      </c>
      <c r="M24" s="31">
        <f t="shared" si="4"/>
        <v>914876.94048055261</v>
      </c>
      <c r="N24" s="31">
        <v>20560.440000000002</v>
      </c>
      <c r="P24" s="42" t="s">
        <v>175</v>
      </c>
      <c r="Q24" s="42" t="s">
        <v>176</v>
      </c>
      <c r="R24" s="43" t="s">
        <v>1050</v>
      </c>
      <c r="S24" s="44">
        <v>32</v>
      </c>
      <c r="T24" s="31">
        <v>723249.33502281504</v>
      </c>
      <c r="U24" s="31">
        <v>37115.279999999999</v>
      </c>
      <c r="V24" s="31">
        <v>0</v>
      </c>
      <c r="W24" s="31">
        <v>2124.87</v>
      </c>
      <c r="X24" s="31">
        <v>74436.406057939515</v>
      </c>
      <c r="Y24" s="31">
        <v>97690.834245149425</v>
      </c>
      <c r="Z24" s="31">
        <v>0</v>
      </c>
      <c r="AA24" s="31">
        <f t="shared" si="5"/>
        <v>955682.60532590398</v>
      </c>
      <c r="AB24" s="31">
        <v>21065.880000000005</v>
      </c>
      <c r="AD24" s="42" t="s">
        <v>175</v>
      </c>
      <c r="AE24" s="42" t="s">
        <v>176</v>
      </c>
      <c r="AF24" s="43" t="s">
        <v>1275</v>
      </c>
      <c r="AG24" s="44">
        <v>32</v>
      </c>
      <c r="AH24" s="31">
        <v>737151.66752847692</v>
      </c>
      <c r="AI24" s="31">
        <v>37882.25</v>
      </c>
      <c r="AJ24" s="31">
        <v>0</v>
      </c>
      <c r="AK24" s="31">
        <v>2166.4499999999998</v>
      </c>
      <c r="AL24" s="31">
        <v>75814.148017313113</v>
      </c>
      <c r="AM24" s="31">
        <v>97670.283009185412</v>
      </c>
      <c r="AN24" s="31">
        <v>0</v>
      </c>
      <c r="AO24" s="31">
        <f t="shared" si="6"/>
        <v>972121.81855497544</v>
      </c>
      <c r="AP24" s="31">
        <v>21437.02</v>
      </c>
      <c r="AR24" s="42" t="s">
        <v>175</v>
      </c>
      <c r="AS24" s="42" t="s">
        <v>176</v>
      </c>
      <c r="AT24" s="43" t="s">
        <v>1276</v>
      </c>
      <c r="AU24" s="44">
        <v>32</v>
      </c>
      <c r="AV24" s="31">
        <v>750669.37785375572</v>
      </c>
      <c r="AW24" s="31">
        <v>38567.979999999996</v>
      </c>
      <c r="AX24" s="31">
        <v>0</v>
      </c>
      <c r="AY24" s="31">
        <v>2206.02</v>
      </c>
      <c r="AZ24" s="31">
        <v>77208.386624649924</v>
      </c>
      <c r="BA24" s="31">
        <v>97673.553437243943</v>
      </c>
      <c r="BB24" s="31">
        <v>0</v>
      </c>
      <c r="BC24" s="31">
        <f t="shared" si="7"/>
        <v>988159.83791564964</v>
      </c>
      <c r="BD24" s="31">
        <v>21834.52</v>
      </c>
    </row>
    <row r="25" spans="2:56">
      <c r="B25" s="42" t="s">
        <v>403</v>
      </c>
      <c r="C25" s="42" t="s">
        <v>404</v>
      </c>
      <c r="D25" s="43" t="s">
        <v>1049</v>
      </c>
      <c r="E25" s="44">
        <v>32</v>
      </c>
      <c r="F25" s="31">
        <v>27783206.817980524</v>
      </c>
      <c r="G25" s="31">
        <v>1270243.3699999999</v>
      </c>
      <c r="H25" s="31">
        <v>1290926.69</v>
      </c>
      <c r="I25" s="31">
        <v>104862.09</v>
      </c>
      <c r="J25" s="31">
        <v>4625190.9548425321</v>
      </c>
      <c r="K25" s="31">
        <v>2079618.5127864762</v>
      </c>
      <c r="L25" s="31">
        <v>3932026.1783980927</v>
      </c>
      <c r="M25" s="31">
        <f t="shared" si="4"/>
        <v>41539772.68400763</v>
      </c>
      <c r="N25" s="31">
        <v>453698.07</v>
      </c>
      <c r="P25" s="42" t="s">
        <v>403</v>
      </c>
      <c r="Q25" s="42" t="s">
        <v>404</v>
      </c>
      <c r="R25" s="43" t="s">
        <v>1050</v>
      </c>
      <c r="S25" s="44">
        <v>32</v>
      </c>
      <c r="T25" s="31">
        <v>29093127.196970887</v>
      </c>
      <c r="U25" s="31">
        <v>1319198.4400000002</v>
      </c>
      <c r="V25" s="31">
        <v>1335078.8400000001</v>
      </c>
      <c r="W25" s="31">
        <v>108376.45000000001</v>
      </c>
      <c r="X25" s="31">
        <v>4771546.412497161</v>
      </c>
      <c r="Y25" s="31">
        <v>2081206.7586834843</v>
      </c>
      <c r="Z25" s="31">
        <v>4102949.3427513693</v>
      </c>
      <c r="AA25" s="31">
        <f t="shared" si="5"/>
        <v>43275174.870902903</v>
      </c>
      <c r="AB25" s="31">
        <v>463691.43</v>
      </c>
      <c r="AD25" s="42" t="s">
        <v>403</v>
      </c>
      <c r="AE25" s="42" t="s">
        <v>404</v>
      </c>
      <c r="AF25" s="43" t="s">
        <v>1275</v>
      </c>
      <c r="AG25" s="44">
        <v>32</v>
      </c>
      <c r="AH25" s="31">
        <v>29675745.323862813</v>
      </c>
      <c r="AI25" s="31">
        <v>1346905.7099999997</v>
      </c>
      <c r="AJ25" s="31">
        <v>1362180.87</v>
      </c>
      <c r="AK25" s="31">
        <v>110617.40000000001</v>
      </c>
      <c r="AL25" s="31">
        <v>4864164.7207213687</v>
      </c>
      <c r="AM25" s="31">
        <v>2080614.8366721151</v>
      </c>
      <c r="AN25" s="31">
        <v>4185288.564272495</v>
      </c>
      <c r="AO25" s="31">
        <f t="shared" si="6"/>
        <v>44097847.80552879</v>
      </c>
      <c r="AP25" s="31">
        <v>472330.38000000006</v>
      </c>
      <c r="AR25" s="42" t="s">
        <v>403</v>
      </c>
      <c r="AS25" s="42" t="s">
        <v>404</v>
      </c>
      <c r="AT25" s="43" t="s">
        <v>1276</v>
      </c>
      <c r="AU25" s="44">
        <v>32</v>
      </c>
      <c r="AV25" s="31">
        <v>30280723.826280743</v>
      </c>
      <c r="AW25" s="31">
        <v>1374063.02</v>
      </c>
      <c r="AX25" s="31">
        <v>1389849.04</v>
      </c>
      <c r="AY25" s="31">
        <v>112908.9</v>
      </c>
      <c r="AZ25" s="31">
        <v>4963416.3303203043</v>
      </c>
      <c r="BA25" s="31">
        <v>2080706.3860400345</v>
      </c>
      <c r="BB25" s="31">
        <v>4270772.6454990888</v>
      </c>
      <c r="BC25" s="31">
        <f t="shared" si="7"/>
        <v>44954480.468140163</v>
      </c>
      <c r="BD25" s="31">
        <v>482040.31999999995</v>
      </c>
    </row>
    <row r="26" spans="2:56">
      <c r="B26" s="42" t="s">
        <v>67</v>
      </c>
      <c r="C26" s="42" t="s">
        <v>68</v>
      </c>
      <c r="D26" s="43" t="s">
        <v>1049</v>
      </c>
      <c r="E26" s="44">
        <v>32</v>
      </c>
      <c r="F26" s="31">
        <v>60835390.650329225</v>
      </c>
      <c r="G26" s="31">
        <v>725852.97</v>
      </c>
      <c r="H26" s="31">
        <v>379734.03</v>
      </c>
      <c r="I26" s="31">
        <v>214839.77000000002</v>
      </c>
      <c r="J26" s="31">
        <v>7341555.980055741</v>
      </c>
      <c r="K26" s="31">
        <v>3464597.7384328274</v>
      </c>
      <c r="L26" s="31">
        <v>4099741.4671753743</v>
      </c>
      <c r="M26" s="31">
        <f t="shared" si="4"/>
        <v>77061712.605993167</v>
      </c>
      <c r="N26" s="31">
        <v>0</v>
      </c>
      <c r="P26" s="42" t="s">
        <v>67</v>
      </c>
      <c r="Q26" s="42" t="s">
        <v>68</v>
      </c>
      <c r="R26" s="43" t="s">
        <v>1050</v>
      </c>
      <c r="S26" s="44">
        <v>32</v>
      </c>
      <c r="T26" s="31">
        <v>63042377.074282721</v>
      </c>
      <c r="U26" s="31">
        <v>750767</v>
      </c>
      <c r="V26" s="31">
        <v>392682.01999999996</v>
      </c>
      <c r="W26" s="31">
        <v>222206.94</v>
      </c>
      <c r="X26" s="31">
        <v>7573567.6119593065</v>
      </c>
      <c r="Y26" s="31">
        <v>3466362.9300029925</v>
      </c>
      <c r="Z26" s="31">
        <v>4236242.5518972427</v>
      </c>
      <c r="AA26" s="31">
        <f t="shared" si="5"/>
        <v>79684206.128142253</v>
      </c>
      <c r="AB26" s="31">
        <v>0</v>
      </c>
      <c r="AD26" s="42" t="s">
        <v>67</v>
      </c>
      <c r="AE26" s="42" t="s">
        <v>68</v>
      </c>
      <c r="AF26" s="43" t="s">
        <v>1275</v>
      </c>
      <c r="AG26" s="44">
        <v>32</v>
      </c>
      <c r="AH26" s="31">
        <v>64303623.889827617</v>
      </c>
      <c r="AI26" s="31">
        <v>766028</v>
      </c>
      <c r="AJ26" s="31">
        <v>400595.69999999995</v>
      </c>
      <c r="AK26" s="31">
        <v>226781.66000000003</v>
      </c>
      <c r="AL26" s="31">
        <v>7720200.6195421889</v>
      </c>
      <c r="AM26" s="31">
        <v>3465727.0366780045</v>
      </c>
      <c r="AN26" s="31">
        <v>4321351.3004678413</v>
      </c>
      <c r="AO26" s="31">
        <f t="shared" si="6"/>
        <v>81204308.20651564</v>
      </c>
      <c r="AP26" s="31">
        <v>0</v>
      </c>
      <c r="AR26" s="42" t="s">
        <v>67</v>
      </c>
      <c r="AS26" s="42" t="s">
        <v>68</v>
      </c>
      <c r="AT26" s="43" t="s">
        <v>1276</v>
      </c>
      <c r="AU26" s="44">
        <v>32</v>
      </c>
      <c r="AV26" s="31">
        <v>65608897.349337012</v>
      </c>
      <c r="AW26" s="31">
        <v>781523.67999999993</v>
      </c>
      <c r="AX26" s="31">
        <v>408781.3</v>
      </c>
      <c r="AY26" s="31">
        <v>231306.52000000002</v>
      </c>
      <c r="AZ26" s="31">
        <v>7877079.371994311</v>
      </c>
      <c r="BA26" s="31">
        <v>3465826.4297204395</v>
      </c>
      <c r="BB26" s="31">
        <v>4409265.6011683177</v>
      </c>
      <c r="BC26" s="31">
        <f t="shared" si="7"/>
        <v>82782680.252220094</v>
      </c>
      <c r="BD26" s="31">
        <v>0</v>
      </c>
    </row>
    <row r="27" spans="2:56">
      <c r="B27" s="42" t="s">
        <v>49</v>
      </c>
      <c r="C27" s="42" t="s">
        <v>50</v>
      </c>
      <c r="D27" s="43" t="s">
        <v>1049</v>
      </c>
      <c r="E27" s="44">
        <v>32</v>
      </c>
      <c r="F27" s="31">
        <v>4802200.8960865419</v>
      </c>
      <c r="G27" s="31">
        <v>217004.93000000008</v>
      </c>
      <c r="H27" s="31">
        <v>0</v>
      </c>
      <c r="I27" s="31">
        <v>0</v>
      </c>
      <c r="J27" s="31">
        <v>606879.84933551261</v>
      </c>
      <c r="K27" s="31">
        <v>276064.10665396188</v>
      </c>
      <c r="L27" s="31">
        <v>67614.206827759874</v>
      </c>
      <c r="M27" s="31">
        <f t="shared" si="4"/>
        <v>6111543.1789037762</v>
      </c>
      <c r="N27" s="31">
        <v>141779.18999999997</v>
      </c>
      <c r="P27" s="42" t="s">
        <v>49</v>
      </c>
      <c r="Q27" s="42" t="s">
        <v>50</v>
      </c>
      <c r="R27" s="43" t="s">
        <v>1050</v>
      </c>
      <c r="S27" s="44">
        <v>32</v>
      </c>
      <c r="T27" s="31">
        <v>5051386.3637934029</v>
      </c>
      <c r="U27" s="31">
        <v>228419.64</v>
      </c>
      <c r="V27" s="31">
        <v>0</v>
      </c>
      <c r="W27" s="31">
        <v>0</v>
      </c>
      <c r="X27" s="31">
        <v>630495.08543450595</v>
      </c>
      <c r="Y27" s="31">
        <v>276253.72696401167</v>
      </c>
      <c r="Z27" s="31">
        <v>71216.712716736671</v>
      </c>
      <c r="AA27" s="31">
        <f t="shared" si="5"/>
        <v>6403735.0189086571</v>
      </c>
      <c r="AB27" s="31">
        <v>145963.49</v>
      </c>
      <c r="AD27" s="42" t="s">
        <v>49</v>
      </c>
      <c r="AE27" s="42" t="s">
        <v>50</v>
      </c>
      <c r="AF27" s="43" t="s">
        <v>1275</v>
      </c>
      <c r="AG27" s="44">
        <v>32</v>
      </c>
      <c r="AH27" s="31">
        <v>5151355.0237068413</v>
      </c>
      <c r="AI27" s="31">
        <v>233379.32000000004</v>
      </c>
      <c r="AJ27" s="31">
        <v>0</v>
      </c>
      <c r="AK27" s="31">
        <v>0</v>
      </c>
      <c r="AL27" s="31">
        <v>642663.49219074973</v>
      </c>
      <c r="AM27" s="31">
        <v>276189.30741461948</v>
      </c>
      <c r="AN27" s="31">
        <v>72598.084051339887</v>
      </c>
      <c r="AO27" s="31">
        <f t="shared" si="6"/>
        <v>6524821.9473635498</v>
      </c>
      <c r="AP27" s="31">
        <v>148636.72</v>
      </c>
      <c r="AR27" s="42" t="s">
        <v>49</v>
      </c>
      <c r="AS27" s="42" t="s">
        <v>50</v>
      </c>
      <c r="AT27" s="43" t="s">
        <v>1276</v>
      </c>
      <c r="AU27" s="44">
        <v>32</v>
      </c>
      <c r="AV27" s="31">
        <v>5252996.3551899865</v>
      </c>
      <c r="AW27" s="31">
        <v>238024.04999999993</v>
      </c>
      <c r="AX27" s="31">
        <v>0</v>
      </c>
      <c r="AY27" s="31">
        <v>0</v>
      </c>
      <c r="AZ27" s="31">
        <v>655630.43482412689</v>
      </c>
      <c r="BA27" s="31">
        <v>276199.55884194089</v>
      </c>
      <c r="BB27" s="31">
        <v>74064.701139850033</v>
      </c>
      <c r="BC27" s="31">
        <f t="shared" si="7"/>
        <v>6648618.3699959032</v>
      </c>
      <c r="BD27" s="31">
        <v>151703.27000000002</v>
      </c>
    </row>
    <row r="28" spans="2:56">
      <c r="B28" s="42" t="s">
        <v>367</v>
      </c>
      <c r="C28" s="42" t="s">
        <v>368</v>
      </c>
      <c r="D28" s="43" t="s">
        <v>1049</v>
      </c>
      <c r="E28" s="44">
        <v>32</v>
      </c>
      <c r="F28" s="31">
        <v>1676580.6507552369</v>
      </c>
      <c r="G28" s="31">
        <v>36584.26</v>
      </c>
      <c r="H28" s="31">
        <v>0</v>
      </c>
      <c r="I28" s="31">
        <v>5408.1</v>
      </c>
      <c r="J28" s="31">
        <v>257049.6078094382</v>
      </c>
      <c r="K28" s="31">
        <v>111344.81278901687</v>
      </c>
      <c r="L28" s="31">
        <v>0</v>
      </c>
      <c r="M28" s="31">
        <f t="shared" si="4"/>
        <v>2086967.431353692</v>
      </c>
      <c r="N28" s="31">
        <v>0</v>
      </c>
      <c r="P28" s="42" t="s">
        <v>367</v>
      </c>
      <c r="Q28" s="42" t="s">
        <v>368</v>
      </c>
      <c r="R28" s="43" t="s">
        <v>1050</v>
      </c>
      <c r="S28" s="44">
        <v>32</v>
      </c>
      <c r="T28" s="31">
        <v>1748768.5716560124</v>
      </c>
      <c r="U28" s="31">
        <v>38177.9</v>
      </c>
      <c r="V28" s="31">
        <v>0</v>
      </c>
      <c r="W28" s="31">
        <v>5611.17</v>
      </c>
      <c r="X28" s="31">
        <v>266952.77015722072</v>
      </c>
      <c r="Y28" s="31">
        <v>111433.47712073127</v>
      </c>
      <c r="Z28" s="31">
        <v>0</v>
      </c>
      <c r="AA28" s="31">
        <f t="shared" si="5"/>
        <v>2170943.8889339645</v>
      </c>
      <c r="AB28" s="31">
        <v>0</v>
      </c>
      <c r="AD28" s="42" t="s">
        <v>367</v>
      </c>
      <c r="AE28" s="42" t="s">
        <v>368</v>
      </c>
      <c r="AF28" s="43" t="s">
        <v>1275</v>
      </c>
      <c r="AG28" s="44">
        <v>32</v>
      </c>
      <c r="AH28" s="31">
        <v>1783831.3799691473</v>
      </c>
      <c r="AI28" s="31">
        <v>38925.750000000007</v>
      </c>
      <c r="AJ28" s="31">
        <v>0</v>
      </c>
      <c r="AK28" s="31">
        <v>5721.08</v>
      </c>
      <c r="AL28" s="31">
        <v>272101.60592784698</v>
      </c>
      <c r="AM28" s="31">
        <v>111402.18103254608</v>
      </c>
      <c r="AN28" s="31">
        <v>0</v>
      </c>
      <c r="AO28" s="31">
        <f t="shared" si="6"/>
        <v>2211981.9969295403</v>
      </c>
      <c r="AP28" s="31">
        <v>0</v>
      </c>
      <c r="AR28" s="42" t="s">
        <v>367</v>
      </c>
      <c r="AS28" s="42" t="s">
        <v>368</v>
      </c>
      <c r="AT28" s="43" t="s">
        <v>1276</v>
      </c>
      <c r="AU28" s="44">
        <v>32</v>
      </c>
      <c r="AV28" s="31">
        <v>1820266.8540459136</v>
      </c>
      <c r="AW28" s="31">
        <v>39644.820000000007</v>
      </c>
      <c r="AX28" s="31">
        <v>0</v>
      </c>
      <c r="AY28" s="31">
        <v>5941.0100000000011</v>
      </c>
      <c r="AZ28" s="31">
        <v>277631.95812799304</v>
      </c>
      <c r="BA28" s="31">
        <v>111407.10060620398</v>
      </c>
      <c r="BB28" s="31">
        <v>0</v>
      </c>
      <c r="BC28" s="31">
        <f t="shared" si="7"/>
        <v>2254891.7427801108</v>
      </c>
      <c r="BD28" s="31">
        <v>0</v>
      </c>
    </row>
    <row r="29" spans="2:56">
      <c r="B29" s="42" t="s">
        <v>1226</v>
      </c>
      <c r="C29" s="42" t="s">
        <v>1227</v>
      </c>
      <c r="D29" s="43" t="s">
        <v>1049</v>
      </c>
      <c r="E29" s="44">
        <v>32</v>
      </c>
      <c r="F29" s="31">
        <v>1747359.6558962683</v>
      </c>
      <c r="G29" s="31">
        <v>51491.609999999993</v>
      </c>
      <c r="H29" s="31">
        <v>16260.520000000002</v>
      </c>
      <c r="I29" s="31">
        <v>0</v>
      </c>
      <c r="J29" s="31">
        <v>131410.50776088261</v>
      </c>
      <c r="K29" s="31">
        <v>47195.07</v>
      </c>
      <c r="L29" s="31">
        <v>0</v>
      </c>
      <c r="M29" s="31">
        <f t="shared" si="4"/>
        <v>2027480.523657151</v>
      </c>
      <c r="N29" s="31">
        <v>33763.159999999996</v>
      </c>
      <c r="P29" s="42" t="s">
        <v>1226</v>
      </c>
      <c r="Q29" s="42" t="s">
        <v>1227</v>
      </c>
      <c r="R29" s="43" t="s">
        <v>1050</v>
      </c>
      <c r="S29" s="44">
        <v>32</v>
      </c>
      <c r="T29" s="31">
        <v>1812843.0709113898</v>
      </c>
      <c r="U29" s="31">
        <v>54151.12000000001</v>
      </c>
      <c r="V29" s="31">
        <v>16978.53</v>
      </c>
      <c r="W29" s="31">
        <v>0</v>
      </c>
      <c r="X29" s="31">
        <v>136450.86078219587</v>
      </c>
      <c r="Y29" s="31">
        <v>47195.07</v>
      </c>
      <c r="Z29" s="31">
        <v>0</v>
      </c>
      <c r="AA29" s="31">
        <f t="shared" si="5"/>
        <v>2102458.4616935859</v>
      </c>
      <c r="AB29" s="31">
        <v>34839.81</v>
      </c>
      <c r="AD29" s="42" t="s">
        <v>1226</v>
      </c>
      <c r="AE29" s="42" t="s">
        <v>1227</v>
      </c>
      <c r="AF29" s="43" t="s">
        <v>1275</v>
      </c>
      <c r="AG29" s="44">
        <v>32</v>
      </c>
      <c r="AH29" s="31">
        <v>1848861.8867696146</v>
      </c>
      <c r="AI29" s="31">
        <v>55271.259999999995</v>
      </c>
      <c r="AJ29" s="31">
        <v>17311.440000000002</v>
      </c>
      <c r="AK29" s="31">
        <v>0</v>
      </c>
      <c r="AL29" s="31">
        <v>139105.35263308915</v>
      </c>
      <c r="AM29" s="31">
        <v>47195.07</v>
      </c>
      <c r="AN29" s="31">
        <v>0</v>
      </c>
      <c r="AO29" s="31">
        <f t="shared" si="6"/>
        <v>2143209.5694027035</v>
      </c>
      <c r="AP29" s="31">
        <v>35464.559999999998</v>
      </c>
      <c r="AR29" s="42" t="s">
        <v>1226</v>
      </c>
      <c r="AS29" s="42" t="s">
        <v>1227</v>
      </c>
      <c r="AT29" s="43" t="s">
        <v>1276</v>
      </c>
      <c r="AU29" s="44">
        <v>32</v>
      </c>
      <c r="AV29" s="31">
        <v>1883725.7439016844</v>
      </c>
      <c r="AW29" s="31">
        <v>56413.200000000004</v>
      </c>
      <c r="AX29" s="31">
        <v>17633.759999999998</v>
      </c>
      <c r="AY29" s="31">
        <v>0</v>
      </c>
      <c r="AZ29" s="31">
        <v>141955.23383432988</v>
      </c>
      <c r="BA29" s="31">
        <v>47195.07</v>
      </c>
      <c r="BB29" s="31">
        <v>0</v>
      </c>
      <c r="BC29" s="31">
        <f t="shared" si="7"/>
        <v>2183056.6877360144</v>
      </c>
      <c r="BD29" s="31">
        <v>36133.68</v>
      </c>
    </row>
    <row r="30" spans="2:56">
      <c r="B30" s="42" t="s">
        <v>39</v>
      </c>
      <c r="C30" s="42" t="s">
        <v>40</v>
      </c>
      <c r="D30" s="43" t="s">
        <v>1049</v>
      </c>
      <c r="E30" s="44">
        <v>32</v>
      </c>
      <c r="F30" s="31">
        <v>9398777.6727278605</v>
      </c>
      <c r="G30" s="31">
        <v>310549.99</v>
      </c>
      <c r="H30" s="31">
        <v>232108.59</v>
      </c>
      <c r="I30" s="31">
        <v>0</v>
      </c>
      <c r="J30" s="31">
        <v>983613.64915245574</v>
      </c>
      <c r="K30" s="31">
        <v>941105.18427397101</v>
      </c>
      <c r="L30" s="31">
        <v>1552784.7394475355</v>
      </c>
      <c r="M30" s="31">
        <f t="shared" si="4"/>
        <v>13424104.285601825</v>
      </c>
      <c r="N30" s="31">
        <v>5164.46</v>
      </c>
      <c r="P30" s="42" t="s">
        <v>39</v>
      </c>
      <c r="Q30" s="42" t="s">
        <v>40</v>
      </c>
      <c r="R30" s="43" t="s">
        <v>1050</v>
      </c>
      <c r="S30" s="44">
        <v>32</v>
      </c>
      <c r="T30" s="31">
        <v>9806973.6415543891</v>
      </c>
      <c r="U30" s="31">
        <v>324165.74000000005</v>
      </c>
      <c r="V30" s="31">
        <v>242337.19999999998</v>
      </c>
      <c r="W30" s="31">
        <v>0</v>
      </c>
      <c r="X30" s="31">
        <v>1021938.0412148345</v>
      </c>
      <c r="Y30" s="31">
        <v>942133.07659657241</v>
      </c>
      <c r="Z30" s="31">
        <v>1615796.2520079222</v>
      </c>
      <c r="AA30" s="31">
        <f t="shared" si="5"/>
        <v>13958635.371373719</v>
      </c>
      <c r="AB30" s="31">
        <v>5291.42</v>
      </c>
      <c r="AD30" s="42" t="s">
        <v>39</v>
      </c>
      <c r="AE30" s="42" t="s">
        <v>40</v>
      </c>
      <c r="AF30" s="43" t="s">
        <v>1275</v>
      </c>
      <c r="AG30" s="44">
        <v>32</v>
      </c>
      <c r="AH30" s="31">
        <v>10002257.822588759</v>
      </c>
      <c r="AI30" s="31">
        <v>330723.43</v>
      </c>
      <c r="AJ30" s="31">
        <v>247077.62</v>
      </c>
      <c r="AK30" s="31">
        <v>0</v>
      </c>
      <c r="AL30" s="31">
        <v>1041642.4697641088</v>
      </c>
      <c r="AM30" s="31">
        <v>941783.871597233</v>
      </c>
      <c r="AN30" s="31">
        <v>1648244.4610539859</v>
      </c>
      <c r="AO30" s="31">
        <f t="shared" si="6"/>
        <v>14217114.325004086</v>
      </c>
      <c r="AP30" s="31">
        <v>5384.6500000000005</v>
      </c>
      <c r="AR30" s="42" t="s">
        <v>39</v>
      </c>
      <c r="AS30" s="42" t="s">
        <v>40</v>
      </c>
      <c r="AT30" s="43" t="s">
        <v>1276</v>
      </c>
      <c r="AU30" s="44">
        <v>32</v>
      </c>
      <c r="AV30" s="31">
        <v>10204127.709285209</v>
      </c>
      <c r="AW30" s="31">
        <v>337391.51</v>
      </c>
      <c r="AX30" s="31">
        <v>252114.72</v>
      </c>
      <c r="AY30" s="31">
        <v>0</v>
      </c>
      <c r="AZ30" s="31">
        <v>1062655.9978730197</v>
      </c>
      <c r="BA30" s="31">
        <v>941839.44245584297</v>
      </c>
      <c r="BB30" s="31">
        <v>1681603.1854028371</v>
      </c>
      <c r="BC30" s="31">
        <f t="shared" si="7"/>
        <v>14485217.065016909</v>
      </c>
      <c r="BD30" s="31">
        <v>5484.5</v>
      </c>
    </row>
    <row r="31" spans="2:56">
      <c r="B31" s="42" t="s">
        <v>37</v>
      </c>
      <c r="C31" s="42" t="s">
        <v>38</v>
      </c>
      <c r="D31" s="43" t="s">
        <v>1049</v>
      </c>
      <c r="E31" s="44">
        <v>32</v>
      </c>
      <c r="F31" s="31">
        <v>12392364.707411379</v>
      </c>
      <c r="G31" s="31">
        <v>441258.63</v>
      </c>
      <c r="H31" s="31">
        <v>310111.81</v>
      </c>
      <c r="I31" s="31">
        <v>45497.859999999993</v>
      </c>
      <c r="J31" s="31">
        <v>1848344.4327993318</v>
      </c>
      <c r="K31" s="31">
        <v>478942.58102959208</v>
      </c>
      <c r="L31" s="31">
        <v>1622373.0229085854</v>
      </c>
      <c r="M31" s="31">
        <f t="shared" si="4"/>
        <v>17138893.044148888</v>
      </c>
      <c r="N31" s="31">
        <v>0</v>
      </c>
      <c r="P31" s="42" t="s">
        <v>37</v>
      </c>
      <c r="Q31" s="42" t="s">
        <v>38</v>
      </c>
      <c r="R31" s="43" t="s">
        <v>1050</v>
      </c>
      <c r="S31" s="44">
        <v>32</v>
      </c>
      <c r="T31" s="31">
        <v>12931113.481740138</v>
      </c>
      <c r="U31" s="31">
        <v>460243.94000000006</v>
      </c>
      <c r="V31" s="31">
        <v>323479.75999999995</v>
      </c>
      <c r="W31" s="31">
        <v>47438.12</v>
      </c>
      <c r="X31" s="31">
        <v>1920101.7415224793</v>
      </c>
      <c r="Y31" s="31">
        <v>479260.23518231348</v>
      </c>
      <c r="Z31" s="31">
        <v>1688330.4524954055</v>
      </c>
      <c r="AA31" s="31">
        <f t="shared" si="5"/>
        <v>17849967.730940334</v>
      </c>
      <c r="AB31" s="31">
        <v>0</v>
      </c>
      <c r="AD31" s="42" t="s">
        <v>37</v>
      </c>
      <c r="AE31" s="42" t="s">
        <v>38</v>
      </c>
      <c r="AF31" s="43" t="s">
        <v>1275</v>
      </c>
      <c r="AG31" s="44">
        <v>32</v>
      </c>
      <c r="AH31" s="31">
        <v>13189552.303745013</v>
      </c>
      <c r="AI31" s="31">
        <v>469572.5</v>
      </c>
      <c r="AJ31" s="31">
        <v>330024.68</v>
      </c>
      <c r="AK31" s="31">
        <v>48473.36</v>
      </c>
      <c r="AL31" s="31">
        <v>1957173.5648151869</v>
      </c>
      <c r="AM31" s="31">
        <v>479152.31880259921</v>
      </c>
      <c r="AN31" s="31">
        <v>1722003.7643694426</v>
      </c>
      <c r="AO31" s="31">
        <f t="shared" si="6"/>
        <v>18195952.49173224</v>
      </c>
      <c r="AP31" s="31">
        <v>0</v>
      </c>
      <c r="AR31" s="42" t="s">
        <v>37</v>
      </c>
      <c r="AS31" s="42" t="s">
        <v>38</v>
      </c>
      <c r="AT31" s="43" t="s">
        <v>1276</v>
      </c>
      <c r="AU31" s="44">
        <v>32</v>
      </c>
      <c r="AV31" s="31">
        <v>13456003.928833971</v>
      </c>
      <c r="AW31" s="31">
        <v>479058.99</v>
      </c>
      <c r="AX31" s="31">
        <v>336733.01</v>
      </c>
      <c r="AY31" s="31">
        <v>49362.850000000006</v>
      </c>
      <c r="AZ31" s="31">
        <v>1996760.6647715867</v>
      </c>
      <c r="BA31" s="31">
        <v>479169.49211309059</v>
      </c>
      <c r="BB31" s="31">
        <v>1756846.1450741808</v>
      </c>
      <c r="BC31" s="31">
        <f t="shared" si="7"/>
        <v>18553935.080792829</v>
      </c>
      <c r="BD31" s="31">
        <v>0</v>
      </c>
    </row>
    <row r="32" spans="2:56">
      <c r="B32" s="42" t="s">
        <v>81</v>
      </c>
      <c r="C32" s="42" t="s">
        <v>82</v>
      </c>
      <c r="D32" s="43" t="s">
        <v>1049</v>
      </c>
      <c r="E32" s="44">
        <v>32</v>
      </c>
      <c r="F32" s="31">
        <v>11571339.715994649</v>
      </c>
      <c r="G32" s="31">
        <v>460319.44999999995</v>
      </c>
      <c r="H32" s="31">
        <v>32740.770000000004</v>
      </c>
      <c r="I32" s="31">
        <v>39464.32</v>
      </c>
      <c r="J32" s="31">
        <v>1819293.8537274187</v>
      </c>
      <c r="K32" s="31">
        <v>883520.31797443726</v>
      </c>
      <c r="L32" s="31">
        <v>675681.01465600077</v>
      </c>
      <c r="M32" s="31">
        <f t="shared" si="4"/>
        <v>15647037.662352504</v>
      </c>
      <c r="N32" s="31">
        <v>164678.22</v>
      </c>
      <c r="P32" s="42" t="s">
        <v>81</v>
      </c>
      <c r="Q32" s="42" t="s">
        <v>82</v>
      </c>
      <c r="R32" s="43" t="s">
        <v>1050</v>
      </c>
      <c r="S32" s="44">
        <v>32</v>
      </c>
      <c r="T32" s="31">
        <v>12194951.391109217</v>
      </c>
      <c r="U32" s="31">
        <v>482710.82</v>
      </c>
      <c r="V32" s="31">
        <v>34099.22</v>
      </c>
      <c r="W32" s="31">
        <v>41080.97</v>
      </c>
      <c r="X32" s="31">
        <v>1890136.6787558943</v>
      </c>
      <c r="Y32" s="31">
        <v>884374.2127269659</v>
      </c>
      <c r="Z32" s="31">
        <v>709930.3636880297</v>
      </c>
      <c r="AA32" s="31">
        <f t="shared" si="5"/>
        <v>16406808.976280108</v>
      </c>
      <c r="AB32" s="31">
        <v>169525.32</v>
      </c>
      <c r="AD32" s="42" t="s">
        <v>81</v>
      </c>
      <c r="AE32" s="42" t="s">
        <v>82</v>
      </c>
      <c r="AF32" s="43" t="s">
        <v>1275</v>
      </c>
      <c r="AG32" s="44">
        <v>32</v>
      </c>
      <c r="AH32" s="31">
        <v>12438530.340014283</v>
      </c>
      <c r="AI32" s="31">
        <v>492793.6999999999</v>
      </c>
      <c r="AJ32" s="31">
        <v>34766.26</v>
      </c>
      <c r="AK32" s="31">
        <v>41987.72</v>
      </c>
      <c r="AL32" s="31">
        <v>1926577.0184075795</v>
      </c>
      <c r="AM32" s="31">
        <v>884084.11977662833</v>
      </c>
      <c r="AN32" s="31">
        <v>724315.77471935085</v>
      </c>
      <c r="AO32" s="31">
        <f t="shared" si="6"/>
        <v>16715668.602917841</v>
      </c>
      <c r="AP32" s="31">
        <v>172613.66999999998</v>
      </c>
      <c r="AR32" s="42" t="s">
        <v>81</v>
      </c>
      <c r="AS32" s="42" t="s">
        <v>82</v>
      </c>
      <c r="AT32" s="43" t="s">
        <v>1276</v>
      </c>
      <c r="AU32" s="44">
        <v>32</v>
      </c>
      <c r="AV32" s="31">
        <v>12689110.287820781</v>
      </c>
      <c r="AW32" s="31">
        <v>502589.03000000014</v>
      </c>
      <c r="AX32" s="31">
        <v>35506.160000000003</v>
      </c>
      <c r="AY32" s="31">
        <v>42859.509999999995</v>
      </c>
      <c r="AZ32" s="31">
        <v>1965444.1418137948</v>
      </c>
      <c r="BA32" s="31">
        <v>884130.28381883132</v>
      </c>
      <c r="BB32" s="31">
        <v>739194.98231722403</v>
      </c>
      <c r="BC32" s="31">
        <f t="shared" si="7"/>
        <v>17034959.195770629</v>
      </c>
      <c r="BD32" s="31">
        <v>176124.79999999996</v>
      </c>
    </row>
    <row r="33" spans="2:56">
      <c r="B33" s="42" t="s">
        <v>1228</v>
      </c>
      <c r="C33" s="42" t="s">
        <v>1229</v>
      </c>
      <c r="D33" s="43" t="s">
        <v>1049</v>
      </c>
      <c r="E33" s="44">
        <v>32</v>
      </c>
      <c r="F33" s="31">
        <v>3215127.0694825966</v>
      </c>
      <c r="G33" s="31">
        <v>111678.11000000003</v>
      </c>
      <c r="H33" s="31">
        <v>0</v>
      </c>
      <c r="I33" s="31">
        <v>9824.06</v>
      </c>
      <c r="J33" s="31">
        <v>321473.46905599075</v>
      </c>
      <c r="K33" s="31">
        <v>47657.04</v>
      </c>
      <c r="L33" s="31">
        <v>0</v>
      </c>
      <c r="M33" s="31">
        <f t="shared" si="4"/>
        <v>3705759.7485385872</v>
      </c>
      <c r="N33" s="31">
        <v>0</v>
      </c>
      <c r="P33" s="42" t="s">
        <v>1228</v>
      </c>
      <c r="Q33" s="42" t="s">
        <v>1229</v>
      </c>
      <c r="R33" s="43" t="s">
        <v>1050</v>
      </c>
      <c r="S33" s="44">
        <v>32</v>
      </c>
      <c r="T33" s="31">
        <v>3397867.0218973476</v>
      </c>
      <c r="U33" s="31">
        <v>116390.76000000001</v>
      </c>
      <c r="V33" s="31">
        <v>0</v>
      </c>
      <c r="W33" s="31">
        <v>10187.120000000001</v>
      </c>
      <c r="X33" s="31">
        <v>333707.15428259154</v>
      </c>
      <c r="Y33" s="31">
        <v>47657.04</v>
      </c>
      <c r="Z33" s="31">
        <v>0</v>
      </c>
      <c r="AA33" s="31">
        <f t="shared" si="5"/>
        <v>3905809.0961799389</v>
      </c>
      <c r="AB33" s="31">
        <v>0</v>
      </c>
      <c r="AD33" s="42" t="s">
        <v>1228</v>
      </c>
      <c r="AE33" s="42" t="s">
        <v>1229</v>
      </c>
      <c r="AF33" s="43" t="s">
        <v>1275</v>
      </c>
      <c r="AG33" s="44">
        <v>32</v>
      </c>
      <c r="AH33" s="31">
        <v>3466084.3416077234</v>
      </c>
      <c r="AI33" s="31">
        <v>118792.29000000001</v>
      </c>
      <c r="AJ33" s="31">
        <v>0</v>
      </c>
      <c r="AK33" s="31">
        <v>10386.879999999999</v>
      </c>
      <c r="AL33" s="31">
        <v>340182.04337551782</v>
      </c>
      <c r="AM33" s="31">
        <v>47657.04</v>
      </c>
      <c r="AN33" s="31">
        <v>0</v>
      </c>
      <c r="AO33" s="31">
        <f t="shared" si="6"/>
        <v>3983102.5949832411</v>
      </c>
      <c r="AP33" s="31">
        <v>0</v>
      </c>
      <c r="AR33" s="42" t="s">
        <v>1228</v>
      </c>
      <c r="AS33" s="42" t="s">
        <v>1229</v>
      </c>
      <c r="AT33" s="43" t="s">
        <v>1276</v>
      </c>
      <c r="AU33" s="44">
        <v>32</v>
      </c>
      <c r="AV33" s="31">
        <v>3536602.7576391967</v>
      </c>
      <c r="AW33" s="31">
        <v>121247.35999999999</v>
      </c>
      <c r="AX33" s="31">
        <v>0</v>
      </c>
      <c r="AY33" s="31">
        <v>10580.269999999999</v>
      </c>
      <c r="AZ33" s="31">
        <v>347134.40022590652</v>
      </c>
      <c r="BA33" s="31">
        <v>47657.04</v>
      </c>
      <c r="BB33" s="31">
        <v>0</v>
      </c>
      <c r="BC33" s="31">
        <f t="shared" si="7"/>
        <v>4063221.8278651033</v>
      </c>
      <c r="BD33" s="31">
        <v>0</v>
      </c>
    </row>
    <row r="34" spans="2:56">
      <c r="B34" s="42" t="s">
        <v>255</v>
      </c>
      <c r="C34" s="42" t="s">
        <v>256</v>
      </c>
      <c r="D34" s="43" t="s">
        <v>1049</v>
      </c>
      <c r="E34" s="44">
        <v>32</v>
      </c>
      <c r="F34" s="31">
        <v>895447.40019107971</v>
      </c>
      <c r="G34" s="31">
        <v>18663.190000000002</v>
      </c>
      <c r="H34" s="31">
        <v>0</v>
      </c>
      <c r="I34" s="31">
        <v>0</v>
      </c>
      <c r="J34" s="31">
        <v>72461.669974238175</v>
      </c>
      <c r="K34" s="31">
        <v>106398.64056856248</v>
      </c>
      <c r="L34" s="31">
        <v>0</v>
      </c>
      <c r="M34" s="31">
        <f t="shared" si="4"/>
        <v>1092970.9007338805</v>
      </c>
      <c r="N34" s="31">
        <v>0</v>
      </c>
      <c r="P34" s="42" t="s">
        <v>255</v>
      </c>
      <c r="Q34" s="42" t="s">
        <v>256</v>
      </c>
      <c r="R34" s="43" t="s">
        <v>1050</v>
      </c>
      <c r="S34" s="44">
        <v>32</v>
      </c>
      <c r="T34" s="31">
        <v>929585.34640376491</v>
      </c>
      <c r="U34" s="31">
        <v>19373.170000000002</v>
      </c>
      <c r="V34" s="31">
        <v>0</v>
      </c>
      <c r="W34" s="31">
        <v>0</v>
      </c>
      <c r="X34" s="31">
        <v>74901.027295182692</v>
      </c>
      <c r="Y34" s="31">
        <v>106515.93485840832</v>
      </c>
      <c r="Z34" s="31">
        <v>0</v>
      </c>
      <c r="AA34" s="31">
        <f t="shared" si="5"/>
        <v>1130375.4785573559</v>
      </c>
      <c r="AB34" s="31">
        <v>0</v>
      </c>
      <c r="AD34" s="42" t="s">
        <v>255</v>
      </c>
      <c r="AE34" s="42" t="s">
        <v>256</v>
      </c>
      <c r="AF34" s="43" t="s">
        <v>1275</v>
      </c>
      <c r="AG34" s="44">
        <v>32</v>
      </c>
      <c r="AH34" s="31">
        <v>947418.53365995619</v>
      </c>
      <c r="AI34" s="31">
        <v>19752.36</v>
      </c>
      <c r="AJ34" s="31">
        <v>0</v>
      </c>
      <c r="AK34" s="31">
        <v>0</v>
      </c>
      <c r="AL34" s="31">
        <v>76289.477211308171</v>
      </c>
      <c r="AM34" s="31">
        <v>106476.08656738843</v>
      </c>
      <c r="AN34" s="31">
        <v>0</v>
      </c>
      <c r="AO34" s="31">
        <f t="shared" si="6"/>
        <v>1149936.4574386529</v>
      </c>
      <c r="AP34" s="31">
        <v>0</v>
      </c>
      <c r="AR34" s="42" t="s">
        <v>255</v>
      </c>
      <c r="AS34" s="42" t="s">
        <v>256</v>
      </c>
      <c r="AT34" s="43" t="s">
        <v>1276</v>
      </c>
      <c r="AU34" s="44">
        <v>32</v>
      </c>
      <c r="AV34" s="31">
        <v>964775.19721171667</v>
      </c>
      <c r="AW34" s="31">
        <v>20114.82</v>
      </c>
      <c r="AX34" s="31">
        <v>0</v>
      </c>
      <c r="AY34" s="31">
        <v>0</v>
      </c>
      <c r="AZ34" s="31">
        <v>77696.325566785643</v>
      </c>
      <c r="BA34" s="31">
        <v>106482.42783899193</v>
      </c>
      <c r="BB34" s="31">
        <v>0</v>
      </c>
      <c r="BC34" s="31">
        <f t="shared" si="7"/>
        <v>1169068.7706174941</v>
      </c>
      <c r="BD34" s="31">
        <v>0</v>
      </c>
    </row>
    <row r="35" spans="2:56">
      <c r="B35" s="42" t="s">
        <v>233</v>
      </c>
      <c r="C35" s="42" t="s">
        <v>234</v>
      </c>
      <c r="D35" s="43" t="s">
        <v>1049</v>
      </c>
      <c r="E35" s="44">
        <v>32</v>
      </c>
      <c r="F35" s="31">
        <v>100811593.27431473</v>
      </c>
      <c r="G35" s="31">
        <v>3057766.8500000006</v>
      </c>
      <c r="H35" s="31">
        <v>763340.74</v>
      </c>
      <c r="I35" s="31">
        <v>361909.32999999996</v>
      </c>
      <c r="J35" s="31">
        <v>16234883.168405313</v>
      </c>
      <c r="K35" s="31">
        <v>5555917.4045732347</v>
      </c>
      <c r="L35" s="31">
        <v>7774165.2287344141</v>
      </c>
      <c r="M35" s="31">
        <f t="shared" si="4"/>
        <v>134896078.25602767</v>
      </c>
      <c r="N35" s="31">
        <v>336502.25999999995</v>
      </c>
      <c r="P35" s="42" t="s">
        <v>233</v>
      </c>
      <c r="Q35" s="42" t="s">
        <v>234</v>
      </c>
      <c r="R35" s="43" t="s">
        <v>1050</v>
      </c>
      <c r="S35" s="44">
        <v>32</v>
      </c>
      <c r="T35" s="31">
        <v>105086761.21420246</v>
      </c>
      <c r="U35" s="31">
        <v>3190375.7800000003</v>
      </c>
      <c r="V35" s="31">
        <v>795532.01</v>
      </c>
      <c r="W35" s="31">
        <v>377157.58</v>
      </c>
      <c r="X35" s="31">
        <v>16855861.61183396</v>
      </c>
      <c r="Y35" s="31">
        <v>5561690.0365513517</v>
      </c>
      <c r="Z35" s="31">
        <v>8083592.4044721294</v>
      </c>
      <c r="AA35" s="31">
        <f t="shared" si="5"/>
        <v>140297632.65705994</v>
      </c>
      <c r="AB35" s="31">
        <v>346662.01999999996</v>
      </c>
      <c r="AD35" s="42" t="s">
        <v>233</v>
      </c>
      <c r="AE35" s="42" t="s">
        <v>234</v>
      </c>
      <c r="AF35" s="43" t="s">
        <v>1275</v>
      </c>
      <c r="AG35" s="44">
        <v>32</v>
      </c>
      <c r="AH35" s="31">
        <v>107188715.01915671</v>
      </c>
      <c r="AI35" s="31">
        <v>3255903.0599999991</v>
      </c>
      <c r="AJ35" s="31">
        <v>811608.01000000024</v>
      </c>
      <c r="AK35" s="31">
        <v>384791.49</v>
      </c>
      <c r="AL35" s="31">
        <v>17183400.877304211</v>
      </c>
      <c r="AM35" s="31">
        <v>5559508.4139113706</v>
      </c>
      <c r="AN35" s="31">
        <v>8245642.4024114674</v>
      </c>
      <c r="AO35" s="31">
        <f t="shared" si="6"/>
        <v>142982683.35278377</v>
      </c>
      <c r="AP35" s="31">
        <v>353114.07999999996</v>
      </c>
      <c r="AR35" s="42" t="s">
        <v>233</v>
      </c>
      <c r="AS35" s="42" t="s">
        <v>234</v>
      </c>
      <c r="AT35" s="43" t="s">
        <v>1276</v>
      </c>
      <c r="AU35" s="44">
        <v>32</v>
      </c>
      <c r="AV35" s="31">
        <v>109375931.58123721</v>
      </c>
      <c r="AW35" s="31">
        <v>3322162.45</v>
      </c>
      <c r="AX35" s="31">
        <v>828179.08000000007</v>
      </c>
      <c r="AY35" s="31">
        <v>392685.79</v>
      </c>
      <c r="AZ35" s="31">
        <v>17534774.207886137</v>
      </c>
      <c r="BA35" s="31">
        <v>5559844.1817088053</v>
      </c>
      <c r="BB35" s="31">
        <v>8414630.0864505265</v>
      </c>
      <c r="BC35" s="31">
        <f t="shared" si="7"/>
        <v>145788583.90728268</v>
      </c>
      <c r="BD35" s="31">
        <v>360376.52999999997</v>
      </c>
    </row>
    <row r="36" spans="2:56">
      <c r="B36" s="42" t="s">
        <v>463</v>
      </c>
      <c r="C36" s="42" t="s">
        <v>464</v>
      </c>
      <c r="D36" s="43" t="s">
        <v>1049</v>
      </c>
      <c r="E36" s="44">
        <v>32</v>
      </c>
      <c r="F36" s="31">
        <v>115808044.69396487</v>
      </c>
      <c r="G36" s="31">
        <v>3350081.08</v>
      </c>
      <c r="H36" s="31">
        <v>763268.91</v>
      </c>
      <c r="I36" s="31">
        <v>394837.94</v>
      </c>
      <c r="J36" s="31">
        <v>18413126.553750012</v>
      </c>
      <c r="K36" s="31">
        <v>6595479.5111921662</v>
      </c>
      <c r="L36" s="31">
        <v>6680697.2382057672</v>
      </c>
      <c r="M36" s="31">
        <f t="shared" si="4"/>
        <v>152985907.25711283</v>
      </c>
      <c r="N36" s="31">
        <v>980371.33</v>
      </c>
      <c r="P36" s="42" t="s">
        <v>463</v>
      </c>
      <c r="Q36" s="42" t="s">
        <v>464</v>
      </c>
      <c r="R36" s="43" t="s">
        <v>1050</v>
      </c>
      <c r="S36" s="44">
        <v>32</v>
      </c>
      <c r="T36" s="31">
        <v>120862658.95716861</v>
      </c>
      <c r="U36" s="31">
        <v>3509441.2199999997</v>
      </c>
      <c r="V36" s="31">
        <v>796525.41</v>
      </c>
      <c r="W36" s="31">
        <v>412023.81</v>
      </c>
      <c r="X36" s="31">
        <v>19130213.639557373</v>
      </c>
      <c r="Y36" s="31">
        <v>6600560.8651899826</v>
      </c>
      <c r="Z36" s="31">
        <v>6952727.5794034274</v>
      </c>
      <c r="AA36" s="31">
        <f t="shared" si="5"/>
        <v>159273615.83131936</v>
      </c>
      <c r="AB36" s="31">
        <v>1009464.3499999999</v>
      </c>
      <c r="AD36" s="42" t="s">
        <v>463</v>
      </c>
      <c r="AE36" s="42" t="s">
        <v>464</v>
      </c>
      <c r="AF36" s="43" t="s">
        <v>1275</v>
      </c>
      <c r="AG36" s="44">
        <v>32</v>
      </c>
      <c r="AH36" s="31">
        <v>123276234.76511107</v>
      </c>
      <c r="AI36" s="31">
        <v>3582641.8299999991</v>
      </c>
      <c r="AJ36" s="31">
        <v>812725.45000000007</v>
      </c>
      <c r="AK36" s="31">
        <v>420393.04</v>
      </c>
      <c r="AL36" s="31">
        <v>19499065.065512754</v>
      </c>
      <c r="AM36" s="31">
        <v>6598834.5810448099</v>
      </c>
      <c r="AN36" s="31">
        <v>7092025.4046212323</v>
      </c>
      <c r="AO36" s="31">
        <f t="shared" si="6"/>
        <v>162309880.70628989</v>
      </c>
      <c r="AP36" s="31">
        <v>1027960.5700000001</v>
      </c>
      <c r="AR36" s="42" t="s">
        <v>463</v>
      </c>
      <c r="AS36" s="42" t="s">
        <v>464</v>
      </c>
      <c r="AT36" s="43" t="s">
        <v>1276</v>
      </c>
      <c r="AU36" s="44">
        <v>32</v>
      </c>
      <c r="AV36" s="31">
        <v>125759733.24852173</v>
      </c>
      <c r="AW36" s="31">
        <v>3654105.7600000007</v>
      </c>
      <c r="AX36" s="31">
        <v>828932.20000000007</v>
      </c>
      <c r="AY36" s="31">
        <v>428805.13</v>
      </c>
      <c r="AZ36" s="31">
        <v>19892335.969944697</v>
      </c>
      <c r="BA36" s="31">
        <v>6599109.2938706102</v>
      </c>
      <c r="BB36" s="31">
        <v>7235305.7776954062</v>
      </c>
      <c r="BC36" s="31">
        <f t="shared" si="7"/>
        <v>165447211.60003245</v>
      </c>
      <c r="BD36" s="31">
        <v>1048884.22</v>
      </c>
    </row>
    <row r="37" spans="2:56">
      <c r="B37" s="42" t="s">
        <v>295</v>
      </c>
      <c r="C37" s="42" t="s">
        <v>296</v>
      </c>
      <c r="D37" s="43" t="s">
        <v>1049</v>
      </c>
      <c r="E37" s="44">
        <v>32</v>
      </c>
      <c r="F37" s="31">
        <v>27079753.167837314</v>
      </c>
      <c r="G37" s="31">
        <v>1697842.1400000001</v>
      </c>
      <c r="H37" s="31">
        <v>739687.79</v>
      </c>
      <c r="I37" s="31">
        <v>94714.340000000011</v>
      </c>
      <c r="J37" s="31">
        <v>4300637.4243836282</v>
      </c>
      <c r="K37" s="31">
        <v>1995130.505136417</v>
      </c>
      <c r="L37" s="31">
        <v>2464974.5261939624</v>
      </c>
      <c r="M37" s="31">
        <f t="shared" si="4"/>
        <v>39311698.053551316</v>
      </c>
      <c r="N37" s="31">
        <v>938958.16000000015</v>
      </c>
      <c r="P37" s="42" t="s">
        <v>295</v>
      </c>
      <c r="Q37" s="42" t="s">
        <v>296</v>
      </c>
      <c r="R37" s="43" t="s">
        <v>1050</v>
      </c>
      <c r="S37" s="44">
        <v>32</v>
      </c>
      <c r="T37" s="31">
        <v>28565678.529259197</v>
      </c>
      <c r="U37" s="31">
        <v>1784780.0700000003</v>
      </c>
      <c r="V37" s="31">
        <v>771836.35000000009</v>
      </c>
      <c r="W37" s="31">
        <v>98857.400000000009</v>
      </c>
      <c r="X37" s="31">
        <v>4468092.8304928159</v>
      </c>
      <c r="Y37" s="31">
        <v>1997918.8936907249</v>
      </c>
      <c r="Z37" s="31">
        <v>2589963.106459816</v>
      </c>
      <c r="AA37" s="31">
        <f t="shared" si="5"/>
        <v>41243860.759902559</v>
      </c>
      <c r="AB37" s="31">
        <v>966733.58000000007</v>
      </c>
      <c r="AD37" s="42" t="s">
        <v>295</v>
      </c>
      <c r="AE37" s="42" t="s">
        <v>296</v>
      </c>
      <c r="AF37" s="43" t="s">
        <v>1275</v>
      </c>
      <c r="AG37" s="44">
        <v>32</v>
      </c>
      <c r="AH37" s="31">
        <v>29136201.8867452</v>
      </c>
      <c r="AI37" s="31">
        <v>1822923.1000000003</v>
      </c>
      <c r="AJ37" s="31">
        <v>787450.27999999991</v>
      </c>
      <c r="AK37" s="31">
        <v>100791.16</v>
      </c>
      <c r="AL37" s="31">
        <v>4554243.2680501612</v>
      </c>
      <c r="AM37" s="31">
        <v>1996971.5967785337</v>
      </c>
      <c r="AN37" s="31">
        <v>2641944.0315508205</v>
      </c>
      <c r="AO37" s="31">
        <f t="shared" si="6"/>
        <v>42025002.293124713</v>
      </c>
      <c r="AP37" s="31">
        <v>984476.97</v>
      </c>
      <c r="AR37" s="42" t="s">
        <v>295</v>
      </c>
      <c r="AS37" s="42" t="s">
        <v>296</v>
      </c>
      <c r="AT37" s="43" t="s">
        <v>1276</v>
      </c>
      <c r="AU37" s="44">
        <v>32</v>
      </c>
      <c r="AV37" s="31">
        <v>29723039.677363299</v>
      </c>
      <c r="AW37" s="31">
        <v>1859112.1800000004</v>
      </c>
      <c r="AX37" s="31">
        <v>803195.49</v>
      </c>
      <c r="AY37" s="31">
        <v>102841.80000000002</v>
      </c>
      <c r="AZ37" s="31">
        <v>4646085.6648381157</v>
      </c>
      <c r="BA37" s="31">
        <v>1997122.3452010038</v>
      </c>
      <c r="BB37" s="31">
        <v>2695492.4533529608</v>
      </c>
      <c r="BC37" s="31">
        <f t="shared" si="7"/>
        <v>42831380.450755373</v>
      </c>
      <c r="BD37" s="31">
        <v>1004490.8400000001</v>
      </c>
    </row>
    <row r="38" spans="2:56">
      <c r="B38" s="42" t="s">
        <v>291</v>
      </c>
      <c r="C38" s="42" t="s">
        <v>292</v>
      </c>
      <c r="D38" s="43" t="s">
        <v>1049</v>
      </c>
      <c r="E38" s="44">
        <v>32</v>
      </c>
      <c r="F38" s="31">
        <v>23656915.479530647</v>
      </c>
      <c r="G38" s="31">
        <v>858608.19999999972</v>
      </c>
      <c r="H38" s="31">
        <v>180478.21</v>
      </c>
      <c r="I38" s="31">
        <v>82622.490000000005</v>
      </c>
      <c r="J38" s="31">
        <v>3648495.1463529528</v>
      </c>
      <c r="K38" s="31">
        <v>1280371.5930994134</v>
      </c>
      <c r="L38" s="31">
        <v>1553536.4958006898</v>
      </c>
      <c r="M38" s="31">
        <f t="shared" si="4"/>
        <v>31631265.184783705</v>
      </c>
      <c r="N38" s="31">
        <v>370237.57000000007</v>
      </c>
      <c r="P38" s="42" t="s">
        <v>291</v>
      </c>
      <c r="Q38" s="42" t="s">
        <v>292</v>
      </c>
      <c r="R38" s="43" t="s">
        <v>1050</v>
      </c>
      <c r="S38" s="44">
        <v>32</v>
      </c>
      <c r="T38" s="31">
        <v>24683960.23942041</v>
      </c>
      <c r="U38" s="31">
        <v>900634.79000000027</v>
      </c>
      <c r="V38" s="31">
        <v>188286.36000000002</v>
      </c>
      <c r="W38" s="31">
        <v>86184.47</v>
      </c>
      <c r="X38" s="31">
        <v>3790132.6722092782</v>
      </c>
      <c r="Y38" s="31">
        <v>1281358.0109315654</v>
      </c>
      <c r="Z38" s="31">
        <v>1616623.5423967848</v>
      </c>
      <c r="AA38" s="31">
        <f t="shared" si="5"/>
        <v>32928421.514958035</v>
      </c>
      <c r="AB38" s="31">
        <v>381241.43</v>
      </c>
      <c r="AD38" s="42" t="s">
        <v>291</v>
      </c>
      <c r="AE38" s="42" t="s">
        <v>292</v>
      </c>
      <c r="AF38" s="43" t="s">
        <v>1275</v>
      </c>
      <c r="AG38" s="44">
        <v>32</v>
      </c>
      <c r="AH38" s="31">
        <v>25177206.251480214</v>
      </c>
      <c r="AI38" s="31">
        <v>919621.79999999981</v>
      </c>
      <c r="AJ38" s="31">
        <v>192185.18999999994</v>
      </c>
      <c r="AK38" s="31">
        <v>87978.110000000015</v>
      </c>
      <c r="AL38" s="31">
        <v>3863323.5886424296</v>
      </c>
      <c r="AM38" s="31">
        <v>1281022.8960261897</v>
      </c>
      <c r="AN38" s="31">
        <v>1648905.4343943242</v>
      </c>
      <c r="AO38" s="31">
        <f t="shared" si="6"/>
        <v>33558441.740543157</v>
      </c>
      <c r="AP38" s="31">
        <v>388198.47000000003</v>
      </c>
      <c r="AR38" s="42" t="s">
        <v>291</v>
      </c>
      <c r="AS38" s="42" t="s">
        <v>292</v>
      </c>
      <c r="AT38" s="43" t="s">
        <v>1276</v>
      </c>
      <c r="AU38" s="44">
        <v>32</v>
      </c>
      <c r="AV38" s="31">
        <v>25685985.327118006</v>
      </c>
      <c r="AW38" s="31">
        <v>938032.71000000008</v>
      </c>
      <c r="AX38" s="31">
        <v>195929.27</v>
      </c>
      <c r="AY38" s="31">
        <v>89701.25</v>
      </c>
      <c r="AZ38" s="31">
        <v>3941446.7240288514</v>
      </c>
      <c r="BA38" s="31">
        <v>1281076.224652813</v>
      </c>
      <c r="BB38" s="31">
        <v>1682198.5958212609</v>
      </c>
      <c r="BC38" s="31">
        <f t="shared" si="7"/>
        <v>34210548.23162093</v>
      </c>
      <c r="BD38" s="31">
        <v>396178.13</v>
      </c>
    </row>
    <row r="39" spans="2:56">
      <c r="B39" s="42" t="s">
        <v>467</v>
      </c>
      <c r="C39" s="42" t="s">
        <v>468</v>
      </c>
      <c r="D39" s="43" t="s">
        <v>1049</v>
      </c>
      <c r="E39" s="44">
        <v>32</v>
      </c>
      <c r="F39" s="31">
        <v>40798137.945282385</v>
      </c>
      <c r="G39" s="31">
        <v>1594845.1799999997</v>
      </c>
      <c r="H39" s="31">
        <v>364046.04</v>
      </c>
      <c r="I39" s="31">
        <v>144702.47</v>
      </c>
      <c r="J39" s="31">
        <v>6779568.6987778274</v>
      </c>
      <c r="K39" s="31">
        <v>2921707.6402007653</v>
      </c>
      <c r="L39" s="31">
        <v>4423596.4114251006</v>
      </c>
      <c r="M39" s="31">
        <f t="shared" si="4"/>
        <v>57457398.70568607</v>
      </c>
      <c r="N39" s="31">
        <v>430794.31999999995</v>
      </c>
      <c r="P39" s="42" t="s">
        <v>467</v>
      </c>
      <c r="Q39" s="42" t="s">
        <v>468</v>
      </c>
      <c r="R39" s="43" t="s">
        <v>1050</v>
      </c>
      <c r="S39" s="44">
        <v>32</v>
      </c>
      <c r="T39" s="31">
        <v>42574774.715497285</v>
      </c>
      <c r="U39" s="31">
        <v>1670164.33</v>
      </c>
      <c r="V39" s="31">
        <v>379948.3</v>
      </c>
      <c r="W39" s="31">
        <v>150967.47</v>
      </c>
      <c r="X39" s="31">
        <v>7043594.4135018736</v>
      </c>
      <c r="Y39" s="31">
        <v>2924227.9531201669</v>
      </c>
      <c r="Z39" s="31">
        <v>4603590.8541374393</v>
      </c>
      <c r="AA39" s="31">
        <f t="shared" si="5"/>
        <v>59790749.456256762</v>
      </c>
      <c r="AB39" s="31">
        <v>443481.42000000004</v>
      </c>
      <c r="AD39" s="42" t="s">
        <v>467</v>
      </c>
      <c r="AE39" s="42" t="s">
        <v>468</v>
      </c>
      <c r="AF39" s="43" t="s">
        <v>1275</v>
      </c>
      <c r="AG39" s="44">
        <v>32</v>
      </c>
      <c r="AH39" s="31">
        <v>43423679.29228498</v>
      </c>
      <c r="AI39" s="31">
        <v>1704940.78</v>
      </c>
      <c r="AJ39" s="31">
        <v>387586.88999999996</v>
      </c>
      <c r="AK39" s="31">
        <v>154023.75999999998</v>
      </c>
      <c r="AL39" s="31">
        <v>7179393.3070988096</v>
      </c>
      <c r="AM39" s="31">
        <v>2923371.7293192851</v>
      </c>
      <c r="AN39" s="31">
        <v>4695534.9171522874</v>
      </c>
      <c r="AO39" s="31">
        <f t="shared" si="6"/>
        <v>60920231.875855364</v>
      </c>
      <c r="AP39" s="31">
        <v>451701.2</v>
      </c>
      <c r="AR39" s="42" t="s">
        <v>467</v>
      </c>
      <c r="AS39" s="42" t="s">
        <v>468</v>
      </c>
      <c r="AT39" s="43" t="s">
        <v>1276</v>
      </c>
      <c r="AU39" s="44">
        <v>32</v>
      </c>
      <c r="AV39" s="31">
        <v>44298318.00743793</v>
      </c>
      <c r="AW39" s="31">
        <v>1739004.7099999997</v>
      </c>
      <c r="AX39" s="31">
        <v>395294.88</v>
      </c>
      <c r="AY39" s="31">
        <v>157151.51</v>
      </c>
      <c r="AZ39" s="31">
        <v>7324205.2365879314</v>
      </c>
      <c r="BA39" s="31">
        <v>2923507.9847906195</v>
      </c>
      <c r="BB39" s="31">
        <v>4790517.8630443821</v>
      </c>
      <c r="BC39" s="31">
        <f t="shared" si="7"/>
        <v>62088801.451860867</v>
      </c>
      <c r="BD39" s="31">
        <v>460801.26</v>
      </c>
    </row>
    <row r="40" spans="2:56">
      <c r="B40" s="42" t="s">
        <v>485</v>
      </c>
      <c r="C40" s="42" t="s">
        <v>486</v>
      </c>
      <c r="D40" s="43" t="s">
        <v>1049</v>
      </c>
      <c r="E40" s="44">
        <v>32</v>
      </c>
      <c r="F40" s="31">
        <v>6138978.8253290355</v>
      </c>
      <c r="G40" s="31">
        <v>278491.32</v>
      </c>
      <c r="H40" s="31">
        <v>1753.96</v>
      </c>
      <c r="I40" s="31">
        <v>21534.85</v>
      </c>
      <c r="J40" s="31">
        <v>942991.21989566379</v>
      </c>
      <c r="K40" s="31">
        <v>567589.48461338005</v>
      </c>
      <c r="L40" s="31">
        <v>628610.55154032598</v>
      </c>
      <c r="M40" s="31">
        <f t="shared" si="4"/>
        <v>8795493.5313784052</v>
      </c>
      <c r="N40" s="31">
        <v>215543.32</v>
      </c>
      <c r="P40" s="42" t="s">
        <v>485</v>
      </c>
      <c r="Q40" s="42" t="s">
        <v>486</v>
      </c>
      <c r="R40" s="43" t="s">
        <v>1050</v>
      </c>
      <c r="S40" s="44">
        <v>32</v>
      </c>
      <c r="T40" s="31">
        <v>6450447.93676358</v>
      </c>
      <c r="U40" s="31">
        <v>293595.28000000003</v>
      </c>
      <c r="V40" s="31">
        <v>1821.32</v>
      </c>
      <c r="W40" s="31">
        <v>22462.999999999996</v>
      </c>
      <c r="X40" s="31">
        <v>979728.3931462944</v>
      </c>
      <c r="Y40" s="31">
        <v>568255.88103784237</v>
      </c>
      <c r="Z40" s="31">
        <v>660390.7940661913</v>
      </c>
      <c r="AA40" s="31">
        <f t="shared" si="5"/>
        <v>9198643.0050139092</v>
      </c>
      <c r="AB40" s="31">
        <v>221940.4</v>
      </c>
      <c r="AD40" s="42" t="s">
        <v>485</v>
      </c>
      <c r="AE40" s="42" t="s">
        <v>486</v>
      </c>
      <c r="AF40" s="43" t="s">
        <v>1275</v>
      </c>
      <c r="AG40" s="44">
        <v>32</v>
      </c>
      <c r="AH40" s="31">
        <v>6577620.132007408</v>
      </c>
      <c r="AI40" s="31">
        <v>299977.52999999997</v>
      </c>
      <c r="AJ40" s="31">
        <v>1856.9399999999998</v>
      </c>
      <c r="AK40" s="31">
        <v>22902.390000000003</v>
      </c>
      <c r="AL40" s="31">
        <v>998620.20867459569</v>
      </c>
      <c r="AM40" s="31">
        <v>568029.48673773196</v>
      </c>
      <c r="AN40" s="31">
        <v>673590.60466862249</v>
      </c>
      <c r="AO40" s="31">
        <f t="shared" si="6"/>
        <v>9368549.4720883593</v>
      </c>
      <c r="AP40" s="31">
        <v>225952.18</v>
      </c>
      <c r="AR40" s="42" t="s">
        <v>485</v>
      </c>
      <c r="AS40" s="42" t="s">
        <v>486</v>
      </c>
      <c r="AT40" s="43" t="s">
        <v>1276</v>
      </c>
      <c r="AU40" s="44">
        <v>32</v>
      </c>
      <c r="AV40" s="31">
        <v>6707848.7800466409</v>
      </c>
      <c r="AW40" s="31">
        <v>305923.26</v>
      </c>
      <c r="AX40" s="31">
        <v>1890.8499999999997</v>
      </c>
      <c r="AY40" s="31">
        <v>23320.600000000002</v>
      </c>
      <c r="AZ40" s="31">
        <v>1018773.501954484</v>
      </c>
      <c r="BA40" s="31">
        <v>568065.51407315186</v>
      </c>
      <c r="BB40" s="31">
        <v>687308.25170412252</v>
      </c>
      <c r="BC40" s="31">
        <f t="shared" si="7"/>
        <v>9543686.6077783983</v>
      </c>
      <c r="BD40" s="31">
        <v>230555.84999999998</v>
      </c>
    </row>
    <row r="41" spans="2:56">
      <c r="B41" s="42" t="s">
        <v>1038</v>
      </c>
      <c r="C41" s="42" t="s">
        <v>1043</v>
      </c>
      <c r="D41" s="43" t="s">
        <v>1049</v>
      </c>
      <c r="E41" s="44">
        <v>32</v>
      </c>
      <c r="F41" s="31">
        <v>5379636.1083789701</v>
      </c>
      <c r="G41" s="31">
        <v>201202.34000000003</v>
      </c>
      <c r="H41" s="31">
        <v>0</v>
      </c>
      <c r="I41" s="31">
        <v>0</v>
      </c>
      <c r="J41" s="31">
        <v>0</v>
      </c>
      <c r="K41" s="31">
        <v>487556.37</v>
      </c>
      <c r="L41" s="31">
        <v>266444.6497730267</v>
      </c>
      <c r="M41" s="31">
        <f t="shared" si="4"/>
        <v>6513571.9581519971</v>
      </c>
      <c r="N41" s="31">
        <v>178732.49</v>
      </c>
      <c r="P41" s="42" t="s">
        <v>1038</v>
      </c>
      <c r="Q41" s="42" t="s">
        <v>1043</v>
      </c>
      <c r="R41" s="43" t="s">
        <v>1050</v>
      </c>
      <c r="S41" s="44">
        <v>32</v>
      </c>
      <c r="T41" s="31">
        <v>5659851.4154697824</v>
      </c>
      <c r="U41" s="31">
        <v>212244.43</v>
      </c>
      <c r="V41" s="31">
        <v>0</v>
      </c>
      <c r="W41" s="31">
        <v>0</v>
      </c>
      <c r="X41" s="31">
        <v>0</v>
      </c>
      <c r="Y41" s="31">
        <v>487556.37</v>
      </c>
      <c r="Z41" s="31">
        <v>279974.2174939721</v>
      </c>
      <c r="AA41" s="31">
        <f t="shared" si="5"/>
        <v>6823728.5629637539</v>
      </c>
      <c r="AB41" s="31">
        <v>184102.13</v>
      </c>
      <c r="AD41" s="42" t="s">
        <v>1038</v>
      </c>
      <c r="AE41" s="42" t="s">
        <v>1043</v>
      </c>
      <c r="AF41" s="43" t="s">
        <v>1275</v>
      </c>
      <c r="AG41" s="44">
        <v>32</v>
      </c>
      <c r="AH41" s="31">
        <v>5772429.7809751695</v>
      </c>
      <c r="AI41" s="31">
        <v>216849.58999999997</v>
      </c>
      <c r="AJ41" s="31">
        <v>0</v>
      </c>
      <c r="AK41" s="31">
        <v>0</v>
      </c>
      <c r="AL41" s="31">
        <v>0</v>
      </c>
      <c r="AM41" s="31">
        <v>487556.37</v>
      </c>
      <c r="AN41" s="31">
        <v>285518.45110562572</v>
      </c>
      <c r="AO41" s="31">
        <f t="shared" si="6"/>
        <v>6949828.0920807952</v>
      </c>
      <c r="AP41" s="31">
        <v>187473.90000000002</v>
      </c>
      <c r="AR41" s="42" t="s">
        <v>1038</v>
      </c>
      <c r="AS41" s="42" t="s">
        <v>1043</v>
      </c>
      <c r="AT41" s="43" t="s">
        <v>1276</v>
      </c>
      <c r="AU41" s="44">
        <v>32</v>
      </c>
      <c r="AV41" s="31">
        <v>5886726.8606353234</v>
      </c>
      <c r="AW41" s="31">
        <v>221123.89999999994</v>
      </c>
      <c r="AX41" s="31">
        <v>0</v>
      </c>
      <c r="AY41" s="31">
        <v>0</v>
      </c>
      <c r="AZ41" s="31">
        <v>0</v>
      </c>
      <c r="BA41" s="31">
        <v>487556.37</v>
      </c>
      <c r="BB41" s="31">
        <v>291313.34938038129</v>
      </c>
      <c r="BC41" s="31">
        <f t="shared" si="7"/>
        <v>7078019.9500157051</v>
      </c>
      <c r="BD41" s="31">
        <v>191299.47</v>
      </c>
    </row>
    <row r="42" spans="2:56">
      <c r="B42" s="42" t="s">
        <v>179</v>
      </c>
      <c r="C42" s="42" t="s">
        <v>180</v>
      </c>
      <c r="D42" s="43" t="s">
        <v>1049</v>
      </c>
      <c r="E42" s="44">
        <v>32</v>
      </c>
      <c r="F42" s="31">
        <v>6495669.4829871859</v>
      </c>
      <c r="G42" s="31">
        <v>239121.79000000004</v>
      </c>
      <c r="H42" s="31">
        <v>25431.610000000004</v>
      </c>
      <c r="I42" s="31">
        <v>0</v>
      </c>
      <c r="J42" s="31">
        <v>989307.09997019242</v>
      </c>
      <c r="K42" s="31">
        <v>876122.4026050932</v>
      </c>
      <c r="L42" s="31">
        <v>132507.25916775406</v>
      </c>
      <c r="M42" s="31">
        <f t="shared" si="4"/>
        <v>8861502.5147302244</v>
      </c>
      <c r="N42" s="31">
        <v>103342.87</v>
      </c>
      <c r="P42" s="42" t="s">
        <v>179</v>
      </c>
      <c r="Q42" s="42" t="s">
        <v>180</v>
      </c>
      <c r="R42" s="43" t="s">
        <v>1050</v>
      </c>
      <c r="S42" s="44">
        <v>32</v>
      </c>
      <c r="T42" s="31">
        <v>6827598.9331126846</v>
      </c>
      <c r="U42" s="31">
        <v>250590.54999999993</v>
      </c>
      <c r="V42" s="31">
        <v>26494.329999999998</v>
      </c>
      <c r="W42" s="31">
        <v>0</v>
      </c>
      <c r="X42" s="31">
        <v>1027379.7955211682</v>
      </c>
      <c r="Y42" s="31">
        <v>877087.49697255762</v>
      </c>
      <c r="Z42" s="31">
        <v>139134.13603051036</v>
      </c>
      <c r="AA42" s="31">
        <f t="shared" si="5"/>
        <v>9254753.2816369198</v>
      </c>
      <c r="AB42" s="31">
        <v>106468.04</v>
      </c>
      <c r="AD42" s="42" t="s">
        <v>179</v>
      </c>
      <c r="AE42" s="42" t="s">
        <v>180</v>
      </c>
      <c r="AF42" s="43" t="s">
        <v>1275</v>
      </c>
      <c r="AG42" s="44">
        <v>32</v>
      </c>
      <c r="AH42" s="31">
        <v>6962824.8077747393</v>
      </c>
      <c r="AI42" s="31">
        <v>255916.99999999997</v>
      </c>
      <c r="AJ42" s="31">
        <v>27127.430000000004</v>
      </c>
      <c r="AK42" s="31">
        <v>0</v>
      </c>
      <c r="AL42" s="31">
        <v>1047285.1992360081</v>
      </c>
      <c r="AM42" s="31">
        <v>876734.5671670438</v>
      </c>
      <c r="AN42" s="31">
        <v>141951.41454405157</v>
      </c>
      <c r="AO42" s="31">
        <f t="shared" si="6"/>
        <v>9420320.0187218431</v>
      </c>
      <c r="AP42" s="31">
        <v>108479.6</v>
      </c>
      <c r="AR42" s="42" t="s">
        <v>179</v>
      </c>
      <c r="AS42" s="42" t="s">
        <v>180</v>
      </c>
      <c r="AT42" s="43" t="s">
        <v>1276</v>
      </c>
      <c r="AU42" s="44">
        <v>32</v>
      </c>
      <c r="AV42" s="31">
        <v>7102065.6795239318</v>
      </c>
      <c r="AW42" s="31">
        <v>261092.32999999996</v>
      </c>
      <c r="AX42" s="31">
        <v>27629.600000000002</v>
      </c>
      <c r="AY42" s="31">
        <v>0</v>
      </c>
      <c r="AZ42" s="31">
        <v>1068616.197338596</v>
      </c>
      <c r="BA42" s="31">
        <v>876789.43452548375</v>
      </c>
      <c r="BB42" s="31">
        <v>144957.91885020732</v>
      </c>
      <c r="BC42" s="31">
        <f t="shared" si="7"/>
        <v>9591781.3602382187</v>
      </c>
      <c r="BD42" s="31">
        <v>110630.2</v>
      </c>
    </row>
    <row r="43" spans="2:56">
      <c r="B43" s="42" t="s">
        <v>13</v>
      </c>
      <c r="C43" s="42" t="s">
        <v>14</v>
      </c>
      <c r="D43" s="43" t="s">
        <v>1049</v>
      </c>
      <c r="E43" s="44">
        <v>32</v>
      </c>
      <c r="F43" s="31">
        <v>19979849.394951396</v>
      </c>
      <c r="G43" s="31">
        <v>871332.89999999991</v>
      </c>
      <c r="H43" s="31">
        <v>28843.039999999997</v>
      </c>
      <c r="I43" s="31">
        <v>68404.789999999994</v>
      </c>
      <c r="J43" s="31">
        <v>3143610.2215422094</v>
      </c>
      <c r="K43" s="31">
        <v>988731.65387451707</v>
      </c>
      <c r="L43" s="31">
        <v>1376257.8429764521</v>
      </c>
      <c r="M43" s="31">
        <f t="shared" si="4"/>
        <v>26842026.083344568</v>
      </c>
      <c r="N43" s="31">
        <v>384996.24000000005</v>
      </c>
      <c r="P43" s="42" t="s">
        <v>13</v>
      </c>
      <c r="Q43" s="42" t="s">
        <v>14</v>
      </c>
      <c r="R43" s="43" t="s">
        <v>1050</v>
      </c>
      <c r="S43" s="44">
        <v>32</v>
      </c>
      <c r="T43" s="31">
        <v>21050236.976093661</v>
      </c>
      <c r="U43" s="31">
        <v>914591.63000000012</v>
      </c>
      <c r="V43" s="31">
        <v>30051.83</v>
      </c>
      <c r="W43" s="31">
        <v>71436.350000000006</v>
      </c>
      <c r="X43" s="31">
        <v>3266004.611723118</v>
      </c>
      <c r="Y43" s="31">
        <v>989517.63358080399</v>
      </c>
      <c r="Z43" s="31">
        <v>1446188.210146066</v>
      </c>
      <c r="AA43" s="31">
        <f t="shared" si="5"/>
        <v>28164484.861543648</v>
      </c>
      <c r="AB43" s="31">
        <v>396457.61999999994</v>
      </c>
      <c r="AD43" s="42" t="s">
        <v>13</v>
      </c>
      <c r="AE43" s="42" t="s">
        <v>14</v>
      </c>
      <c r="AF43" s="43" t="s">
        <v>1275</v>
      </c>
      <c r="AG43" s="44">
        <v>32</v>
      </c>
      <c r="AH43" s="31">
        <v>21470038.688785568</v>
      </c>
      <c r="AI43" s="31">
        <v>933979.37999999966</v>
      </c>
      <c r="AJ43" s="31">
        <v>30742.85</v>
      </c>
      <c r="AK43" s="31">
        <v>72833.75</v>
      </c>
      <c r="AL43" s="31">
        <v>3328972.3770221667</v>
      </c>
      <c r="AM43" s="31">
        <v>989250.61335234263</v>
      </c>
      <c r="AN43" s="31">
        <v>1475100.2567635262</v>
      </c>
      <c r="AO43" s="31">
        <f t="shared" si="6"/>
        <v>28704665.225923602</v>
      </c>
      <c r="AP43" s="31">
        <v>403747.31</v>
      </c>
      <c r="AR43" s="42" t="s">
        <v>13</v>
      </c>
      <c r="AS43" s="42" t="s">
        <v>14</v>
      </c>
      <c r="AT43" s="43" t="s">
        <v>1276</v>
      </c>
      <c r="AU43" s="44">
        <v>32</v>
      </c>
      <c r="AV43" s="31">
        <v>21902543.340427827</v>
      </c>
      <c r="AW43" s="31">
        <v>952506.12999999989</v>
      </c>
      <c r="AX43" s="31">
        <v>31409.289999999997</v>
      </c>
      <c r="AY43" s="31">
        <v>74268.800000000003</v>
      </c>
      <c r="AZ43" s="31">
        <v>3396138.6161331418</v>
      </c>
      <c r="BA43" s="31">
        <v>989293.10570895241</v>
      </c>
      <c r="BB43" s="31">
        <v>1504807.4918064617</v>
      </c>
      <c r="BC43" s="31">
        <f t="shared" si="7"/>
        <v>29262821.464076385</v>
      </c>
      <c r="BD43" s="31">
        <v>411854.69</v>
      </c>
    </row>
    <row r="44" spans="2:56">
      <c r="B44" s="42" t="s">
        <v>249</v>
      </c>
      <c r="C44" s="42" t="s">
        <v>250</v>
      </c>
      <c r="D44" s="43" t="s">
        <v>1049</v>
      </c>
      <c r="E44" s="44">
        <v>32</v>
      </c>
      <c r="F44" s="31">
        <v>7070248.9119836539</v>
      </c>
      <c r="G44" s="31">
        <v>224215.74</v>
      </c>
      <c r="H44" s="31">
        <v>19878.32</v>
      </c>
      <c r="I44" s="31">
        <v>24847.89</v>
      </c>
      <c r="J44" s="31">
        <v>1178767.8008160098</v>
      </c>
      <c r="K44" s="31">
        <v>545428.20381599013</v>
      </c>
      <c r="L44" s="31">
        <v>621319.32991310372</v>
      </c>
      <c r="M44" s="31">
        <f t="shared" si="4"/>
        <v>9691039.9765287563</v>
      </c>
      <c r="N44" s="31">
        <v>6333.78</v>
      </c>
      <c r="P44" s="42" t="s">
        <v>249</v>
      </c>
      <c r="Q44" s="42" t="s">
        <v>250</v>
      </c>
      <c r="R44" s="43" t="s">
        <v>1050</v>
      </c>
      <c r="S44" s="44">
        <v>32</v>
      </c>
      <c r="T44" s="31">
        <v>7378216.0092314463</v>
      </c>
      <c r="U44" s="31">
        <v>234026.36</v>
      </c>
      <c r="V44" s="31">
        <v>20742.839999999997</v>
      </c>
      <c r="W44" s="31">
        <v>25903.269999999997</v>
      </c>
      <c r="X44" s="31">
        <v>1224679.4474448224</v>
      </c>
      <c r="Y44" s="31">
        <v>545641.22045273939</v>
      </c>
      <c r="Z44" s="31">
        <v>646784.68694185221</v>
      </c>
      <c r="AA44" s="31">
        <f t="shared" si="5"/>
        <v>10082483.334070859</v>
      </c>
      <c r="AB44" s="31">
        <v>6489.5</v>
      </c>
      <c r="AD44" s="42" t="s">
        <v>249</v>
      </c>
      <c r="AE44" s="42" t="s">
        <v>250</v>
      </c>
      <c r="AF44" s="43" t="s">
        <v>1275</v>
      </c>
      <c r="AG44" s="44">
        <v>32</v>
      </c>
      <c r="AH44" s="31">
        <v>7527349.5232836613</v>
      </c>
      <c r="AI44" s="31">
        <v>238720.01000000007</v>
      </c>
      <c r="AJ44" s="31">
        <v>21251.769999999997</v>
      </c>
      <c r="AK44" s="31">
        <v>26409.969999999998</v>
      </c>
      <c r="AL44" s="31">
        <v>1248285.4558890541</v>
      </c>
      <c r="AM44" s="31">
        <v>545568.85248883918</v>
      </c>
      <c r="AN44" s="31">
        <v>659760.65161850839</v>
      </c>
      <c r="AO44" s="31">
        <f t="shared" si="6"/>
        <v>10273950.063280063</v>
      </c>
      <c r="AP44" s="31">
        <v>6603.83</v>
      </c>
      <c r="AR44" s="42" t="s">
        <v>249</v>
      </c>
      <c r="AS44" s="42" t="s">
        <v>250</v>
      </c>
      <c r="AT44" s="43" t="s">
        <v>1276</v>
      </c>
      <c r="AU44" s="44">
        <v>32</v>
      </c>
      <c r="AV44" s="31">
        <v>7679497.8100639051</v>
      </c>
      <c r="AW44" s="31">
        <v>243602.63000000003</v>
      </c>
      <c r="AX44" s="31">
        <v>21639.850000000002</v>
      </c>
      <c r="AY44" s="31">
        <v>26997.289999999997</v>
      </c>
      <c r="AZ44" s="31">
        <v>1273480.7063495531</v>
      </c>
      <c r="BA44" s="31">
        <v>545580.36878985842</v>
      </c>
      <c r="BB44" s="31">
        <v>673180.57609364856</v>
      </c>
      <c r="BC44" s="31">
        <f t="shared" si="7"/>
        <v>10470705.501296964</v>
      </c>
      <c r="BD44" s="31">
        <v>6726.2699999999995</v>
      </c>
    </row>
    <row r="45" spans="2:56">
      <c r="B45" s="42" t="s">
        <v>377</v>
      </c>
      <c r="C45" s="42" t="s">
        <v>378</v>
      </c>
      <c r="D45" s="43" t="s">
        <v>1049</v>
      </c>
      <c r="E45" s="44">
        <v>32</v>
      </c>
      <c r="F45" s="31">
        <v>102387788.89440536</v>
      </c>
      <c r="G45" s="31">
        <v>5432873.0199999986</v>
      </c>
      <c r="H45" s="31">
        <v>2678422.5000000005</v>
      </c>
      <c r="I45" s="31">
        <v>355105.19</v>
      </c>
      <c r="J45" s="31">
        <v>16873765.356205255</v>
      </c>
      <c r="K45" s="31">
        <v>6271752.4814209342</v>
      </c>
      <c r="L45" s="31">
        <v>8714246.0450060349</v>
      </c>
      <c r="M45" s="31">
        <f t="shared" si="4"/>
        <v>145527707.88703758</v>
      </c>
      <c r="N45" s="31">
        <v>2813754.4000000004</v>
      </c>
      <c r="P45" s="42" t="s">
        <v>377</v>
      </c>
      <c r="Q45" s="42" t="s">
        <v>378</v>
      </c>
      <c r="R45" s="43" t="s">
        <v>1050</v>
      </c>
      <c r="S45" s="44">
        <v>32</v>
      </c>
      <c r="T45" s="31">
        <v>107936078.84073243</v>
      </c>
      <c r="U45" s="31">
        <v>5703411.8399999989</v>
      </c>
      <c r="V45" s="31">
        <v>2793274.2799999993</v>
      </c>
      <c r="W45" s="31">
        <v>370363.63</v>
      </c>
      <c r="X45" s="31">
        <v>17525971.086605988</v>
      </c>
      <c r="Y45" s="31">
        <v>6274072.6651738891</v>
      </c>
      <c r="Z45" s="31">
        <v>9154540.7423433922</v>
      </c>
      <c r="AA45" s="31">
        <f t="shared" si="5"/>
        <v>152655192.2148557</v>
      </c>
      <c r="AB45" s="31">
        <v>2897479.13</v>
      </c>
      <c r="AD45" s="42" t="s">
        <v>377</v>
      </c>
      <c r="AE45" s="42" t="s">
        <v>378</v>
      </c>
      <c r="AF45" s="43" t="s">
        <v>1275</v>
      </c>
      <c r="AG45" s="44">
        <v>32</v>
      </c>
      <c r="AH45" s="31">
        <v>110092772.78867507</v>
      </c>
      <c r="AI45" s="31">
        <v>5824795.5800000019</v>
      </c>
      <c r="AJ45" s="31">
        <v>2850241.7399999998</v>
      </c>
      <c r="AK45" s="31">
        <v>377940.41000000003</v>
      </c>
      <c r="AL45" s="31">
        <v>17864805.509143878</v>
      </c>
      <c r="AM45" s="31">
        <v>6273253.703659893</v>
      </c>
      <c r="AN45" s="31">
        <v>9338126.719618842</v>
      </c>
      <c r="AO45" s="31">
        <f t="shared" si="6"/>
        <v>155573045.15109766</v>
      </c>
      <c r="AP45" s="31">
        <v>2951108.6999999997</v>
      </c>
      <c r="AR45" s="42" t="s">
        <v>377</v>
      </c>
      <c r="AS45" s="42" t="s">
        <v>378</v>
      </c>
      <c r="AT45" s="43" t="s">
        <v>1276</v>
      </c>
      <c r="AU45" s="44">
        <v>32</v>
      </c>
      <c r="AV45" s="31">
        <v>112320506.48550226</v>
      </c>
      <c r="AW45" s="31">
        <v>5941267.9900000002</v>
      </c>
      <c r="AX45" s="31">
        <v>2907639.9899999998</v>
      </c>
      <c r="AY45" s="31">
        <v>385555.03999999992</v>
      </c>
      <c r="AZ45" s="31">
        <v>18226821.82673708</v>
      </c>
      <c r="BA45" s="31">
        <v>6273382.4399245419</v>
      </c>
      <c r="BB45" s="31">
        <v>9527349.9069621842</v>
      </c>
      <c r="BC45" s="31">
        <f t="shared" si="7"/>
        <v>158593828.02912605</v>
      </c>
      <c r="BD45" s="31">
        <v>3011304.35</v>
      </c>
    </row>
    <row r="46" spans="2:56">
      <c r="B46" s="42" t="s">
        <v>563</v>
      </c>
      <c r="C46" s="42" t="s">
        <v>564</v>
      </c>
      <c r="D46" s="43" t="s">
        <v>1049</v>
      </c>
      <c r="E46" s="44">
        <v>32</v>
      </c>
      <c r="F46" s="31">
        <v>4396647.4582698913</v>
      </c>
      <c r="G46" s="31">
        <v>104263.70999999999</v>
      </c>
      <c r="H46" s="31">
        <v>0</v>
      </c>
      <c r="I46" s="31">
        <v>14518.98</v>
      </c>
      <c r="J46" s="31">
        <v>666655.21119231952</v>
      </c>
      <c r="K46" s="31">
        <v>515238.60352280445</v>
      </c>
      <c r="L46" s="31">
        <v>498999.28716624848</v>
      </c>
      <c r="M46" s="31">
        <f t="shared" si="4"/>
        <v>6196323.2501512635</v>
      </c>
      <c r="N46" s="31">
        <v>0</v>
      </c>
      <c r="P46" s="42" t="s">
        <v>563</v>
      </c>
      <c r="Q46" s="42" t="s">
        <v>564</v>
      </c>
      <c r="R46" s="43" t="s">
        <v>1050</v>
      </c>
      <c r="S46" s="44">
        <v>32</v>
      </c>
      <c r="T46" s="31">
        <v>4581996.9786016652</v>
      </c>
      <c r="U46" s="31">
        <v>108874.66000000002</v>
      </c>
      <c r="V46" s="31">
        <v>0</v>
      </c>
      <c r="W46" s="31">
        <v>15177.699999999999</v>
      </c>
      <c r="X46" s="31">
        <v>692618.17237798218</v>
      </c>
      <c r="Y46" s="31">
        <v>515677.32358392846</v>
      </c>
      <c r="Z46" s="31">
        <v>519290.25516973261</v>
      </c>
      <c r="AA46" s="31">
        <f t="shared" si="5"/>
        <v>6433635.0897333091</v>
      </c>
      <c r="AB46" s="31">
        <v>0</v>
      </c>
      <c r="AD46" s="42" t="s">
        <v>563</v>
      </c>
      <c r="AE46" s="42" t="s">
        <v>564</v>
      </c>
      <c r="AF46" s="43" t="s">
        <v>1275</v>
      </c>
      <c r="AG46" s="44">
        <v>32</v>
      </c>
      <c r="AH46" s="31">
        <v>4672648.1962976791</v>
      </c>
      <c r="AI46" s="31">
        <v>111107.56</v>
      </c>
      <c r="AJ46" s="31">
        <v>0</v>
      </c>
      <c r="AK46" s="31">
        <v>15474.580000000002</v>
      </c>
      <c r="AL46" s="31">
        <v>705969.12857739429</v>
      </c>
      <c r="AM46" s="31">
        <v>515528.27758437546</v>
      </c>
      <c r="AN46" s="31">
        <v>529568.97371512279</v>
      </c>
      <c r="AO46" s="31">
        <f t="shared" si="6"/>
        <v>6550296.7161745718</v>
      </c>
      <c r="AP46" s="31">
        <v>0</v>
      </c>
      <c r="AR46" s="42" t="s">
        <v>563</v>
      </c>
      <c r="AS46" s="42" t="s">
        <v>564</v>
      </c>
      <c r="AT46" s="43" t="s">
        <v>1276</v>
      </c>
      <c r="AU46" s="44">
        <v>32</v>
      </c>
      <c r="AV46" s="31">
        <v>4764829.8038573284</v>
      </c>
      <c r="AW46" s="31">
        <v>113241.52</v>
      </c>
      <c r="AX46" s="31">
        <v>0</v>
      </c>
      <c r="AY46" s="31">
        <v>15757.160000000002</v>
      </c>
      <c r="AZ46" s="31">
        <v>720211.11001079076</v>
      </c>
      <c r="BA46" s="31">
        <v>515551.99607117608</v>
      </c>
      <c r="BB46" s="31">
        <v>540213.02104577969</v>
      </c>
      <c r="BC46" s="31">
        <f t="shared" si="7"/>
        <v>6669804.6109850742</v>
      </c>
      <c r="BD46" s="31">
        <v>0</v>
      </c>
    </row>
    <row r="47" spans="2:56">
      <c r="B47" s="42" t="s">
        <v>529</v>
      </c>
      <c r="C47" s="42" t="s">
        <v>530</v>
      </c>
      <c r="D47" s="43" t="s">
        <v>1049</v>
      </c>
      <c r="E47" s="44">
        <v>32</v>
      </c>
      <c r="F47" s="31">
        <v>12071663.154265825</v>
      </c>
      <c r="G47" s="31">
        <v>537981.2899999998</v>
      </c>
      <c r="H47" s="31">
        <v>456616.64</v>
      </c>
      <c r="I47" s="31">
        <v>42777.36</v>
      </c>
      <c r="J47" s="31">
        <v>2078968.5525369041</v>
      </c>
      <c r="K47" s="31">
        <v>458977.0713379485</v>
      </c>
      <c r="L47" s="31">
        <v>1168789.2035574224</v>
      </c>
      <c r="M47" s="31">
        <f t="shared" si="4"/>
        <v>17251634.631698098</v>
      </c>
      <c r="N47" s="31">
        <v>435861.36000000004</v>
      </c>
      <c r="P47" s="42" t="s">
        <v>529</v>
      </c>
      <c r="Q47" s="42" t="s">
        <v>530</v>
      </c>
      <c r="R47" s="43" t="s">
        <v>1050</v>
      </c>
      <c r="S47" s="44">
        <v>32</v>
      </c>
      <c r="T47" s="31">
        <v>12733039.720554985</v>
      </c>
      <c r="U47" s="31">
        <v>567424.39000000013</v>
      </c>
      <c r="V47" s="31">
        <v>476478.43</v>
      </c>
      <c r="W47" s="31">
        <v>44622.42</v>
      </c>
      <c r="X47" s="31">
        <v>2159972.4669540557</v>
      </c>
      <c r="Y47" s="31">
        <v>459343.39066439786</v>
      </c>
      <c r="Z47" s="31">
        <v>1227966.1573490384</v>
      </c>
      <c r="AA47" s="31">
        <f t="shared" si="5"/>
        <v>18117619.835522477</v>
      </c>
      <c r="AB47" s="31">
        <v>448772.86000000004</v>
      </c>
      <c r="AD47" s="42" t="s">
        <v>529</v>
      </c>
      <c r="AE47" s="42" t="s">
        <v>530</v>
      </c>
      <c r="AF47" s="43" t="s">
        <v>1275</v>
      </c>
      <c r="AG47" s="44">
        <v>32</v>
      </c>
      <c r="AH47" s="31">
        <v>12987419.193066664</v>
      </c>
      <c r="AI47" s="31">
        <v>579814.83000000007</v>
      </c>
      <c r="AJ47" s="31">
        <v>486108.44999999995</v>
      </c>
      <c r="AK47" s="31">
        <v>45495.3</v>
      </c>
      <c r="AL47" s="31">
        <v>2201619.9055743804</v>
      </c>
      <c r="AM47" s="31">
        <v>459218.9413059018</v>
      </c>
      <c r="AN47" s="31">
        <v>1252565.0568506233</v>
      </c>
      <c r="AO47" s="31">
        <f t="shared" si="6"/>
        <v>18469327.52679757</v>
      </c>
      <c r="AP47" s="31">
        <v>457085.85000000003</v>
      </c>
      <c r="AR47" s="42" t="s">
        <v>529</v>
      </c>
      <c r="AS47" s="42" t="s">
        <v>530</v>
      </c>
      <c r="AT47" s="43" t="s">
        <v>1276</v>
      </c>
      <c r="AU47" s="44">
        <v>32</v>
      </c>
      <c r="AV47" s="31">
        <v>13248821.992248455</v>
      </c>
      <c r="AW47" s="31">
        <v>591230.46</v>
      </c>
      <c r="AX47" s="31">
        <v>495930.67000000004</v>
      </c>
      <c r="AY47" s="31">
        <v>46431.12</v>
      </c>
      <c r="AZ47" s="31">
        <v>2246018.5298813512</v>
      </c>
      <c r="BA47" s="31">
        <v>459238.74559770222</v>
      </c>
      <c r="BB47" s="31">
        <v>1277784.7197234852</v>
      </c>
      <c r="BC47" s="31">
        <f t="shared" si="7"/>
        <v>18831741.977450989</v>
      </c>
      <c r="BD47" s="31">
        <v>466285.74000000005</v>
      </c>
    </row>
    <row r="48" spans="2:56">
      <c r="B48" s="42" t="s">
        <v>571</v>
      </c>
      <c r="C48" s="42" t="s">
        <v>572</v>
      </c>
      <c r="D48" s="43" t="s">
        <v>1049</v>
      </c>
      <c r="E48" s="44">
        <v>32</v>
      </c>
      <c r="F48" s="31">
        <v>2436379.3704066649</v>
      </c>
      <c r="G48" s="31">
        <v>31677</v>
      </c>
      <c r="H48" s="31">
        <v>0</v>
      </c>
      <c r="I48" s="31">
        <v>0</v>
      </c>
      <c r="J48" s="31">
        <v>203244.91047961198</v>
      </c>
      <c r="K48" s="31">
        <v>161853.08523781027</v>
      </c>
      <c r="L48" s="31">
        <v>85856.700911586959</v>
      </c>
      <c r="M48" s="31">
        <f t="shared" si="4"/>
        <v>2919011.0670356746</v>
      </c>
      <c r="N48" s="31">
        <v>0</v>
      </c>
      <c r="P48" s="42" t="s">
        <v>571</v>
      </c>
      <c r="Q48" s="42" t="s">
        <v>572</v>
      </c>
      <c r="R48" s="43" t="s">
        <v>1050</v>
      </c>
      <c r="S48" s="44">
        <v>32</v>
      </c>
      <c r="T48" s="31">
        <v>2532689.9348157831</v>
      </c>
      <c r="U48" s="31">
        <v>33091.480000000003</v>
      </c>
      <c r="V48" s="31">
        <v>0</v>
      </c>
      <c r="W48" s="31">
        <v>0</v>
      </c>
      <c r="X48" s="31">
        <v>211123.44759911302</v>
      </c>
      <c r="Y48" s="31">
        <v>162067.36899873716</v>
      </c>
      <c r="Z48" s="31">
        <v>89408.755767879818</v>
      </c>
      <c r="AA48" s="31">
        <f t="shared" si="5"/>
        <v>3028380.9871815131</v>
      </c>
      <c r="AB48" s="31">
        <v>0</v>
      </c>
      <c r="AD48" s="42" t="s">
        <v>571</v>
      </c>
      <c r="AE48" s="42" t="s">
        <v>572</v>
      </c>
      <c r="AF48" s="43" t="s">
        <v>1275</v>
      </c>
      <c r="AG48" s="44">
        <v>32</v>
      </c>
      <c r="AH48" s="31">
        <v>2581899.101948956</v>
      </c>
      <c r="AI48" s="31">
        <v>33739.17</v>
      </c>
      <c r="AJ48" s="31">
        <v>0</v>
      </c>
      <c r="AK48" s="31">
        <v>0</v>
      </c>
      <c r="AL48" s="31">
        <v>215183.49546707168</v>
      </c>
      <c r="AM48" s="31">
        <v>161994.57055579952</v>
      </c>
      <c r="AN48" s="31">
        <v>91143.734247044471</v>
      </c>
      <c r="AO48" s="31">
        <f t="shared" si="6"/>
        <v>3083960.0722188721</v>
      </c>
      <c r="AP48" s="31">
        <v>0</v>
      </c>
      <c r="AR48" s="42" t="s">
        <v>571</v>
      </c>
      <c r="AS48" s="42" t="s">
        <v>572</v>
      </c>
      <c r="AT48" s="43" t="s">
        <v>1276</v>
      </c>
      <c r="AU48" s="44">
        <v>32</v>
      </c>
      <c r="AV48" s="31">
        <v>2631242.2241351362</v>
      </c>
      <c r="AW48" s="31">
        <v>34467.020000000004</v>
      </c>
      <c r="AX48" s="31">
        <v>0</v>
      </c>
      <c r="AY48" s="31">
        <v>0</v>
      </c>
      <c r="AZ48" s="31">
        <v>219542.21319673042</v>
      </c>
      <c r="BA48" s="31">
        <v>162006.15536124955</v>
      </c>
      <c r="BB48" s="31">
        <v>92966.150382873326</v>
      </c>
      <c r="BC48" s="31">
        <f t="shared" si="7"/>
        <v>3140223.7630759892</v>
      </c>
      <c r="BD48" s="31">
        <v>0</v>
      </c>
    </row>
    <row r="49" spans="2:56">
      <c r="B49" s="42" t="s">
        <v>499</v>
      </c>
      <c r="C49" s="42" t="s">
        <v>500</v>
      </c>
      <c r="D49" s="43" t="s">
        <v>1049</v>
      </c>
      <c r="E49" s="44">
        <v>32</v>
      </c>
      <c r="F49" s="31">
        <v>1889913.6444681901</v>
      </c>
      <c r="G49" s="31">
        <v>52034.419999999984</v>
      </c>
      <c r="H49" s="31">
        <v>0</v>
      </c>
      <c r="I49" s="31">
        <v>2923.29</v>
      </c>
      <c r="J49" s="31">
        <v>130916.18449914776</v>
      </c>
      <c r="K49" s="31">
        <v>215130.65942224776</v>
      </c>
      <c r="L49" s="31">
        <v>65853.469344846046</v>
      </c>
      <c r="M49" s="31">
        <f t="shared" si="4"/>
        <v>2385907.0577344317</v>
      </c>
      <c r="N49" s="31">
        <v>29135.39</v>
      </c>
      <c r="P49" s="42" t="s">
        <v>499</v>
      </c>
      <c r="Q49" s="42" t="s">
        <v>500</v>
      </c>
      <c r="R49" s="43" t="s">
        <v>1050</v>
      </c>
      <c r="S49" s="44">
        <v>32</v>
      </c>
      <c r="T49" s="31">
        <v>1970174.9941083547</v>
      </c>
      <c r="U49" s="31">
        <v>54741.400000000009</v>
      </c>
      <c r="V49" s="31">
        <v>0</v>
      </c>
      <c r="W49" s="31">
        <v>3035.55</v>
      </c>
      <c r="X49" s="31">
        <v>136030.20998894764</v>
      </c>
      <c r="Y49" s="31">
        <v>215262.57558711225</v>
      </c>
      <c r="Z49" s="31">
        <v>69148.59460007603</v>
      </c>
      <c r="AA49" s="31">
        <f t="shared" si="5"/>
        <v>2478444.6342844907</v>
      </c>
      <c r="AB49" s="31">
        <v>30051.309999999998</v>
      </c>
      <c r="AD49" s="42" t="s">
        <v>499</v>
      </c>
      <c r="AE49" s="42" t="s">
        <v>500</v>
      </c>
      <c r="AF49" s="43" t="s">
        <v>1275</v>
      </c>
      <c r="AG49" s="44">
        <v>32</v>
      </c>
      <c r="AH49" s="31">
        <v>2008436.044319418</v>
      </c>
      <c r="AI49" s="31">
        <v>55870.619999999995</v>
      </c>
      <c r="AJ49" s="31">
        <v>0</v>
      </c>
      <c r="AK49" s="31">
        <v>3094.92</v>
      </c>
      <c r="AL49" s="31">
        <v>138644.08879655125</v>
      </c>
      <c r="AM49" s="31">
        <v>215217.75981871758</v>
      </c>
      <c r="AN49" s="31">
        <v>70634.376215862983</v>
      </c>
      <c r="AO49" s="31">
        <f t="shared" si="6"/>
        <v>2522478.5791505496</v>
      </c>
      <c r="AP49" s="31">
        <v>30580.77</v>
      </c>
      <c r="AR49" s="42" t="s">
        <v>499</v>
      </c>
      <c r="AS49" s="42" t="s">
        <v>500</v>
      </c>
      <c r="AT49" s="43" t="s">
        <v>1276</v>
      </c>
      <c r="AU49" s="44">
        <v>32</v>
      </c>
      <c r="AV49" s="31">
        <v>2045110.5053337836</v>
      </c>
      <c r="AW49" s="31">
        <v>56987.3</v>
      </c>
      <c r="AX49" s="31">
        <v>0</v>
      </c>
      <c r="AY49" s="31">
        <v>3151.4399999999996</v>
      </c>
      <c r="AZ49" s="31">
        <v>141434.59258761324</v>
      </c>
      <c r="BA49" s="31">
        <v>215224.89159155492</v>
      </c>
      <c r="BB49" s="31">
        <v>72064.128850145702</v>
      </c>
      <c r="BC49" s="31">
        <f t="shared" si="7"/>
        <v>2565120.6683630971</v>
      </c>
      <c r="BD49" s="31">
        <v>31147.809999999998</v>
      </c>
    </row>
    <row r="50" spans="2:56">
      <c r="B50" s="42" t="s">
        <v>533</v>
      </c>
      <c r="C50" s="42" t="s">
        <v>534</v>
      </c>
      <c r="D50" s="43" t="s">
        <v>1049</v>
      </c>
      <c r="E50" s="44">
        <v>32</v>
      </c>
      <c r="F50" s="31">
        <v>6186508.0167204402</v>
      </c>
      <c r="G50" s="31">
        <v>256139.84999999992</v>
      </c>
      <c r="H50" s="31">
        <v>215887.84999999998</v>
      </c>
      <c r="I50" s="31">
        <v>20579.969999999998</v>
      </c>
      <c r="J50" s="31">
        <v>962898.01659741835</v>
      </c>
      <c r="K50" s="31">
        <v>440105.10158555338</v>
      </c>
      <c r="L50" s="31">
        <v>493820.03311586019</v>
      </c>
      <c r="M50" s="31">
        <f t="shared" si="4"/>
        <v>8787186.10801927</v>
      </c>
      <c r="N50" s="31">
        <v>211247.27000000002</v>
      </c>
      <c r="P50" s="42" t="s">
        <v>533</v>
      </c>
      <c r="Q50" s="42" t="s">
        <v>534</v>
      </c>
      <c r="R50" s="43" t="s">
        <v>1050</v>
      </c>
      <c r="S50" s="44">
        <v>32</v>
      </c>
      <c r="T50" s="31">
        <v>6517992.9170144852</v>
      </c>
      <c r="U50" s="31">
        <v>269974.65000000002</v>
      </c>
      <c r="V50" s="31">
        <v>225252.5</v>
      </c>
      <c r="W50" s="31">
        <v>21467.57</v>
      </c>
      <c r="X50" s="31">
        <v>1000275.527015266</v>
      </c>
      <c r="Y50" s="31">
        <v>440557.43028385681</v>
      </c>
      <c r="Z50" s="31">
        <v>518922.01486773696</v>
      </c>
      <c r="AA50" s="31">
        <f t="shared" si="5"/>
        <v>9212043.799181344</v>
      </c>
      <c r="AB50" s="31">
        <v>217601.19</v>
      </c>
      <c r="AD50" s="42" t="s">
        <v>533</v>
      </c>
      <c r="AE50" s="42" t="s">
        <v>534</v>
      </c>
      <c r="AF50" s="43" t="s">
        <v>1275</v>
      </c>
      <c r="AG50" s="44">
        <v>32</v>
      </c>
      <c r="AH50" s="31">
        <v>6646966.7050910434</v>
      </c>
      <c r="AI50" s="31">
        <v>275882.19000000006</v>
      </c>
      <c r="AJ50" s="31">
        <v>229874.85</v>
      </c>
      <c r="AK50" s="31">
        <v>21887.739999999998</v>
      </c>
      <c r="AL50" s="31">
        <v>1019577.8476701963</v>
      </c>
      <c r="AM50" s="31">
        <v>440403.7610333729</v>
      </c>
      <c r="AN50" s="31">
        <v>529286.97629008</v>
      </c>
      <c r="AO50" s="31">
        <f t="shared" si="6"/>
        <v>9385437.2400846928</v>
      </c>
      <c r="AP50" s="31">
        <v>221557.16999999998</v>
      </c>
      <c r="AR50" s="42" t="s">
        <v>533</v>
      </c>
      <c r="AS50" s="42" t="s">
        <v>534</v>
      </c>
      <c r="AT50" s="43" t="s">
        <v>1276</v>
      </c>
      <c r="AU50" s="44">
        <v>32</v>
      </c>
      <c r="AV50" s="31">
        <v>6778883.5854054671</v>
      </c>
      <c r="AW50" s="31">
        <v>281433.98</v>
      </c>
      <c r="AX50" s="31">
        <v>234310.52000000002</v>
      </c>
      <c r="AY50" s="31">
        <v>22398.13</v>
      </c>
      <c r="AZ50" s="31">
        <v>1040206.0537388697</v>
      </c>
      <c r="BA50" s="31">
        <v>440428.21524281299</v>
      </c>
      <c r="BB50" s="31">
        <v>540050.2121438497</v>
      </c>
      <c r="BC50" s="31">
        <f t="shared" si="7"/>
        <v>9563822.6465309989</v>
      </c>
      <c r="BD50" s="31">
        <v>226111.94999999998</v>
      </c>
    </row>
    <row r="51" spans="2:56">
      <c r="B51" s="42" t="s">
        <v>491</v>
      </c>
      <c r="C51" s="42" t="s">
        <v>492</v>
      </c>
      <c r="D51" s="43" t="s">
        <v>1049</v>
      </c>
      <c r="E51" s="44">
        <v>32</v>
      </c>
      <c r="F51" s="31">
        <v>13185159.208482901</v>
      </c>
      <c r="G51" s="31">
        <v>566352.5199999999</v>
      </c>
      <c r="H51" s="31">
        <v>23707.32</v>
      </c>
      <c r="I51" s="31">
        <v>47515.519999999982</v>
      </c>
      <c r="J51" s="31">
        <v>2142681.5994578665</v>
      </c>
      <c r="K51" s="31">
        <v>1561149.3770833279</v>
      </c>
      <c r="L51" s="31">
        <v>1304764.8941347373</v>
      </c>
      <c r="M51" s="31">
        <f t="shared" si="4"/>
        <v>19160105.439158831</v>
      </c>
      <c r="N51" s="31">
        <v>328775</v>
      </c>
      <c r="P51" s="42" t="s">
        <v>491</v>
      </c>
      <c r="Q51" s="42" t="s">
        <v>492</v>
      </c>
      <c r="R51" s="43" t="s">
        <v>1050</v>
      </c>
      <c r="S51" s="44">
        <v>32</v>
      </c>
      <c r="T51" s="31">
        <v>13894473.252627179</v>
      </c>
      <c r="U51" s="31">
        <v>595134.37000000011</v>
      </c>
      <c r="V51" s="31">
        <v>24713.899999999998</v>
      </c>
      <c r="W51" s="31">
        <v>49532.510000000009</v>
      </c>
      <c r="X51" s="31">
        <v>2225879.3117888817</v>
      </c>
      <c r="Y51" s="31">
        <v>1562768.4155045897</v>
      </c>
      <c r="Z51" s="31">
        <v>1370467.1260073376</v>
      </c>
      <c r="AA51" s="31">
        <f t="shared" si="5"/>
        <v>20061517.075927991</v>
      </c>
      <c r="AB51" s="31">
        <v>338548.19</v>
      </c>
      <c r="AD51" s="42" t="s">
        <v>491</v>
      </c>
      <c r="AE51" s="42" t="s">
        <v>492</v>
      </c>
      <c r="AF51" s="43" t="s">
        <v>1275</v>
      </c>
      <c r="AG51" s="44">
        <v>32</v>
      </c>
      <c r="AH51" s="31">
        <v>14171886.831011282</v>
      </c>
      <c r="AI51" s="31">
        <v>607955.02999999991</v>
      </c>
      <c r="AJ51" s="31">
        <v>25197.62</v>
      </c>
      <c r="AK51" s="31">
        <v>50501.990000000013</v>
      </c>
      <c r="AL51" s="31">
        <v>2268881.2590974937</v>
      </c>
      <c r="AM51" s="31">
        <v>1562218.3809354077</v>
      </c>
      <c r="AN51" s="31">
        <v>1397894.4248658237</v>
      </c>
      <c r="AO51" s="31">
        <f t="shared" si="6"/>
        <v>20429285.225910008</v>
      </c>
      <c r="AP51" s="31">
        <v>344749.69000000006</v>
      </c>
      <c r="AR51" s="42" t="s">
        <v>491</v>
      </c>
      <c r="AS51" s="42" t="s">
        <v>492</v>
      </c>
      <c r="AT51" s="43" t="s">
        <v>1276</v>
      </c>
      <c r="AU51" s="44">
        <v>32</v>
      </c>
      <c r="AV51" s="31">
        <v>14457952.399554374</v>
      </c>
      <c r="AW51" s="31">
        <v>620004.80999999994</v>
      </c>
      <c r="AX51" s="31">
        <v>25660.000000000004</v>
      </c>
      <c r="AY51" s="31">
        <v>51537.45</v>
      </c>
      <c r="AZ51" s="31">
        <v>2314760.4125047433</v>
      </c>
      <c r="BA51" s="31">
        <v>1562305.9108772252</v>
      </c>
      <c r="BB51" s="31">
        <v>1426083.5940666466</v>
      </c>
      <c r="BC51" s="31">
        <f t="shared" si="7"/>
        <v>20810117.597002987</v>
      </c>
      <c r="BD51" s="31">
        <v>351813.02</v>
      </c>
    </row>
    <row r="52" spans="2:56">
      <c r="B52" s="42" t="s">
        <v>401</v>
      </c>
      <c r="C52" s="42" t="s">
        <v>402</v>
      </c>
      <c r="D52" s="43" t="s">
        <v>1049</v>
      </c>
      <c r="E52" s="44">
        <v>32</v>
      </c>
      <c r="F52" s="31">
        <v>4874307.9428666057</v>
      </c>
      <c r="G52" s="31">
        <v>236643.2699999999</v>
      </c>
      <c r="H52" s="31">
        <v>0</v>
      </c>
      <c r="I52" s="31">
        <v>15086.54</v>
      </c>
      <c r="J52" s="31">
        <v>658433.69628310541</v>
      </c>
      <c r="K52" s="31">
        <v>686676.3555047285</v>
      </c>
      <c r="L52" s="31">
        <v>482923.43812768772</v>
      </c>
      <c r="M52" s="31">
        <f t="shared" si="4"/>
        <v>7113342.1027821284</v>
      </c>
      <c r="N52" s="31">
        <v>159270.85999999999</v>
      </c>
      <c r="P52" s="42" t="s">
        <v>401</v>
      </c>
      <c r="Q52" s="42" t="s">
        <v>402</v>
      </c>
      <c r="R52" s="43" t="s">
        <v>1050</v>
      </c>
      <c r="S52" s="44">
        <v>32</v>
      </c>
      <c r="T52" s="31">
        <v>5126245.277493366</v>
      </c>
      <c r="U52" s="31">
        <v>248722.2</v>
      </c>
      <c r="V52" s="31">
        <v>0</v>
      </c>
      <c r="W52" s="31">
        <v>15762.43</v>
      </c>
      <c r="X52" s="31">
        <v>683733.42814362783</v>
      </c>
      <c r="Y52" s="31">
        <v>687338.61104287358</v>
      </c>
      <c r="Z52" s="31">
        <v>507450.27906186512</v>
      </c>
      <c r="AA52" s="31">
        <f t="shared" si="5"/>
        <v>7433372.0357417325</v>
      </c>
      <c r="AB52" s="31">
        <v>164119.81</v>
      </c>
      <c r="AD52" s="42" t="s">
        <v>401</v>
      </c>
      <c r="AE52" s="42" t="s">
        <v>402</v>
      </c>
      <c r="AF52" s="43" t="s">
        <v>1275</v>
      </c>
      <c r="AG52" s="44">
        <v>32</v>
      </c>
      <c r="AH52" s="31">
        <v>5227776.7654882707</v>
      </c>
      <c r="AI52" s="31">
        <v>254113.31000000003</v>
      </c>
      <c r="AJ52" s="31">
        <v>0</v>
      </c>
      <c r="AK52" s="31">
        <v>16071.29</v>
      </c>
      <c r="AL52" s="31">
        <v>696987.78551525774</v>
      </c>
      <c r="AM52" s="31">
        <v>687096.42776405904</v>
      </c>
      <c r="AN52" s="31">
        <v>517626.62236849213</v>
      </c>
      <c r="AO52" s="31">
        <f t="shared" si="6"/>
        <v>7566831.9211360794</v>
      </c>
      <c r="AP52" s="31">
        <v>167159.72</v>
      </c>
      <c r="AR52" s="42" t="s">
        <v>401</v>
      </c>
      <c r="AS52" s="42" t="s">
        <v>402</v>
      </c>
      <c r="AT52" s="43" t="s">
        <v>1276</v>
      </c>
      <c r="AU52" s="44">
        <v>32</v>
      </c>
      <c r="AV52" s="31">
        <v>5332069.2911134548</v>
      </c>
      <c r="AW52" s="31">
        <v>259241.62999999998</v>
      </c>
      <c r="AX52" s="31">
        <v>0</v>
      </c>
      <c r="AY52" s="31">
        <v>16368.789999999999</v>
      </c>
      <c r="AZ52" s="31">
        <v>711193.18306838709</v>
      </c>
      <c r="BA52" s="31">
        <v>687134.07818790898</v>
      </c>
      <c r="BB52" s="31">
        <v>528249.94281489681</v>
      </c>
      <c r="BC52" s="31">
        <f t="shared" si="7"/>
        <v>7704783.1751846476</v>
      </c>
      <c r="BD52" s="31">
        <v>170526.25999999998</v>
      </c>
    </row>
    <row r="53" spans="2:56">
      <c r="B53" s="42" t="s">
        <v>411</v>
      </c>
      <c r="C53" s="42" t="s">
        <v>412</v>
      </c>
      <c r="D53" s="43" t="s">
        <v>1049</v>
      </c>
      <c r="E53" s="44">
        <v>32</v>
      </c>
      <c r="F53" s="31">
        <v>4389923.7713699294</v>
      </c>
      <c r="G53" s="31">
        <v>60542.880000000005</v>
      </c>
      <c r="H53" s="31">
        <v>50908.57</v>
      </c>
      <c r="I53" s="31">
        <v>14232.510000000002</v>
      </c>
      <c r="J53" s="31">
        <v>452357.01402670756</v>
      </c>
      <c r="K53" s="31">
        <v>216731.34885787385</v>
      </c>
      <c r="L53" s="31">
        <v>0</v>
      </c>
      <c r="M53" s="31">
        <f t="shared" si="4"/>
        <v>5184696.0942545114</v>
      </c>
      <c r="N53" s="31">
        <v>0</v>
      </c>
      <c r="P53" s="42" t="s">
        <v>411</v>
      </c>
      <c r="Q53" s="42" t="s">
        <v>412</v>
      </c>
      <c r="R53" s="43" t="s">
        <v>1050</v>
      </c>
      <c r="S53" s="44">
        <v>32</v>
      </c>
      <c r="T53" s="31">
        <v>4547628.5837695068</v>
      </c>
      <c r="U53" s="31">
        <v>62646.880000000005</v>
      </c>
      <c r="V53" s="31">
        <v>52731.54</v>
      </c>
      <c r="W53" s="31">
        <v>14647.660000000002</v>
      </c>
      <c r="X53" s="31">
        <v>466578.4433580786</v>
      </c>
      <c r="Y53" s="31">
        <v>216930.00744162078</v>
      </c>
      <c r="Z53" s="31">
        <v>0</v>
      </c>
      <c r="AA53" s="31">
        <f t="shared" si="5"/>
        <v>5361163.1145692058</v>
      </c>
      <c r="AB53" s="31">
        <v>0</v>
      </c>
      <c r="AD53" s="42" t="s">
        <v>411</v>
      </c>
      <c r="AE53" s="42" t="s">
        <v>412</v>
      </c>
      <c r="AF53" s="43" t="s">
        <v>1275</v>
      </c>
      <c r="AG53" s="44">
        <v>32</v>
      </c>
      <c r="AH53" s="31">
        <v>4638686.4833741672</v>
      </c>
      <c r="AI53" s="31">
        <v>63989.389999999992</v>
      </c>
      <c r="AJ53" s="31">
        <v>53879.749999999993</v>
      </c>
      <c r="AK53" s="31">
        <v>14934.689999999997</v>
      </c>
      <c r="AL53" s="31">
        <v>475613.5189299325</v>
      </c>
      <c r="AM53" s="31">
        <v>216858.44259308453</v>
      </c>
      <c r="AN53" s="31">
        <v>0</v>
      </c>
      <c r="AO53" s="31">
        <f t="shared" si="6"/>
        <v>5463962.2748971842</v>
      </c>
      <c r="AP53" s="31">
        <v>0</v>
      </c>
      <c r="AR53" s="42" t="s">
        <v>411</v>
      </c>
      <c r="AS53" s="42" t="s">
        <v>412</v>
      </c>
      <c r="AT53" s="43" t="s">
        <v>1276</v>
      </c>
      <c r="AU53" s="44">
        <v>32</v>
      </c>
      <c r="AV53" s="31">
        <v>4732976.2457999839</v>
      </c>
      <c r="AW53" s="31">
        <v>65292.130000000005</v>
      </c>
      <c r="AX53" s="31">
        <v>54878.149999999994</v>
      </c>
      <c r="AY53" s="31">
        <v>15328.44</v>
      </c>
      <c r="AZ53" s="31">
        <v>485298.11850002996</v>
      </c>
      <c r="BA53" s="31">
        <v>216869.62850705453</v>
      </c>
      <c r="BB53" s="31">
        <v>0</v>
      </c>
      <c r="BC53" s="31">
        <f t="shared" si="7"/>
        <v>5570642.7128070686</v>
      </c>
      <c r="BD53" s="31">
        <v>0</v>
      </c>
    </row>
    <row r="54" spans="2:56">
      <c r="B54" s="42" t="s">
        <v>157</v>
      </c>
      <c r="C54" s="42" t="s">
        <v>158</v>
      </c>
      <c r="D54" s="43" t="s">
        <v>1049</v>
      </c>
      <c r="E54" s="44">
        <v>32</v>
      </c>
      <c r="F54" s="31">
        <v>1527751.2586801329</v>
      </c>
      <c r="G54" s="31">
        <v>51352.32</v>
      </c>
      <c r="H54" s="31">
        <v>3215.6</v>
      </c>
      <c r="I54" s="31">
        <v>4579.8100000000004</v>
      </c>
      <c r="J54" s="31">
        <v>210533.79901758637</v>
      </c>
      <c r="K54" s="31">
        <v>56006.816169358382</v>
      </c>
      <c r="L54" s="31">
        <v>0</v>
      </c>
      <c r="M54" s="31">
        <f t="shared" si="4"/>
        <v>1853439.6038670777</v>
      </c>
      <c r="N54" s="31">
        <v>0</v>
      </c>
      <c r="P54" s="42" t="s">
        <v>157</v>
      </c>
      <c r="Q54" s="42" t="s">
        <v>158</v>
      </c>
      <c r="R54" s="43" t="s">
        <v>1050</v>
      </c>
      <c r="S54" s="44">
        <v>32</v>
      </c>
      <c r="T54" s="31">
        <v>1616856.8851600112</v>
      </c>
      <c r="U54" s="31">
        <v>53627.860000000008</v>
      </c>
      <c r="V54" s="31">
        <v>3440.27</v>
      </c>
      <c r="W54" s="31">
        <v>4755.67</v>
      </c>
      <c r="X54" s="31">
        <v>218700.25488780631</v>
      </c>
      <c r="Y54" s="31">
        <v>56050.774500258412</v>
      </c>
      <c r="Z54" s="31">
        <v>0</v>
      </c>
      <c r="AA54" s="31">
        <f t="shared" si="5"/>
        <v>1953431.714548076</v>
      </c>
      <c r="AB54" s="31">
        <v>0</v>
      </c>
      <c r="AD54" s="42" t="s">
        <v>157</v>
      </c>
      <c r="AE54" s="42" t="s">
        <v>158</v>
      </c>
      <c r="AF54" s="43" t="s">
        <v>1275</v>
      </c>
      <c r="AG54" s="44">
        <v>32</v>
      </c>
      <c r="AH54" s="31">
        <v>1649183.0009605559</v>
      </c>
      <c r="AI54" s="31">
        <v>54676.880000000005</v>
      </c>
      <c r="AJ54" s="31">
        <v>3507.5800000000004</v>
      </c>
      <c r="AK54" s="31">
        <v>4848.7099999999991</v>
      </c>
      <c r="AL54" s="31">
        <v>222899.91931502547</v>
      </c>
      <c r="AM54" s="31">
        <v>56035.840573255184</v>
      </c>
      <c r="AN54" s="31">
        <v>0</v>
      </c>
      <c r="AO54" s="31">
        <f t="shared" si="6"/>
        <v>1991151.9308488364</v>
      </c>
      <c r="AP54" s="31">
        <v>0</v>
      </c>
      <c r="AR54" s="42" t="s">
        <v>157</v>
      </c>
      <c r="AS54" s="42" t="s">
        <v>158</v>
      </c>
      <c r="AT54" s="43" t="s">
        <v>1276</v>
      </c>
      <c r="AU54" s="44">
        <v>32</v>
      </c>
      <c r="AV54" s="31">
        <v>1682428.4868269241</v>
      </c>
      <c r="AW54" s="31">
        <v>55780.380000000005</v>
      </c>
      <c r="AX54" s="31">
        <v>3571.63</v>
      </c>
      <c r="AY54" s="31">
        <v>4937.25</v>
      </c>
      <c r="AZ54" s="31">
        <v>227381.97912593459</v>
      </c>
      <c r="BA54" s="31">
        <v>56038.217088905185</v>
      </c>
      <c r="BB54" s="31">
        <v>0</v>
      </c>
      <c r="BC54" s="31">
        <f t="shared" si="7"/>
        <v>2030137.9430417637</v>
      </c>
      <c r="BD54" s="31">
        <v>0</v>
      </c>
    </row>
    <row r="55" spans="2:56">
      <c r="B55" s="42" t="s">
        <v>127</v>
      </c>
      <c r="C55" s="42" t="s">
        <v>128</v>
      </c>
      <c r="D55" s="43" t="s">
        <v>1049</v>
      </c>
      <c r="E55" s="44">
        <v>32</v>
      </c>
      <c r="F55" s="31">
        <v>2547115.7377046687</v>
      </c>
      <c r="G55" s="31">
        <v>55639.81</v>
      </c>
      <c r="H55" s="31">
        <v>0</v>
      </c>
      <c r="I55" s="31">
        <v>6138.8899999999994</v>
      </c>
      <c r="J55" s="31">
        <v>193612.51293849712</v>
      </c>
      <c r="K55" s="31">
        <v>300728.23419932398</v>
      </c>
      <c r="L55" s="31">
        <v>151861.39887626271</v>
      </c>
      <c r="M55" s="31">
        <f t="shared" si="4"/>
        <v>3255096.583718753</v>
      </c>
      <c r="N55" s="31">
        <v>0</v>
      </c>
      <c r="P55" s="42" t="s">
        <v>127</v>
      </c>
      <c r="Q55" s="42" t="s">
        <v>128</v>
      </c>
      <c r="R55" s="43" t="s">
        <v>1050</v>
      </c>
      <c r="S55" s="44">
        <v>32</v>
      </c>
      <c r="T55" s="31">
        <v>2649957.2413870506</v>
      </c>
      <c r="U55" s="31">
        <v>58079.979999999996</v>
      </c>
      <c r="V55" s="31">
        <v>0</v>
      </c>
      <c r="W55" s="31">
        <v>6374.6399999999994</v>
      </c>
      <c r="X55" s="31">
        <v>201162.07064037095</v>
      </c>
      <c r="Y55" s="31">
        <v>300974.62679712835</v>
      </c>
      <c r="Z55" s="31">
        <v>157973.66101969959</v>
      </c>
      <c r="AA55" s="31">
        <f t="shared" si="5"/>
        <v>3374522.21984425</v>
      </c>
      <c r="AB55" s="31">
        <v>0</v>
      </c>
      <c r="AD55" s="42" t="s">
        <v>127</v>
      </c>
      <c r="AE55" s="42" t="s">
        <v>128</v>
      </c>
      <c r="AF55" s="43" t="s">
        <v>1275</v>
      </c>
      <c r="AG55" s="44">
        <v>32</v>
      </c>
      <c r="AH55" s="31">
        <v>2701840.0524778496</v>
      </c>
      <c r="AI55" s="31">
        <v>59216.090000000004</v>
      </c>
      <c r="AJ55" s="31">
        <v>0</v>
      </c>
      <c r="AK55" s="31">
        <v>6499.34</v>
      </c>
      <c r="AL55" s="31">
        <v>205034.40806344379</v>
      </c>
      <c r="AM55" s="31">
        <v>300890.92004588444</v>
      </c>
      <c r="AN55" s="31">
        <v>161141.09829136022</v>
      </c>
      <c r="AO55" s="31">
        <f t="shared" si="6"/>
        <v>3434621.9088785378</v>
      </c>
      <c r="AP55" s="31">
        <v>0</v>
      </c>
      <c r="AR55" s="42" t="s">
        <v>127</v>
      </c>
      <c r="AS55" s="42" t="s">
        <v>128</v>
      </c>
      <c r="AT55" s="43" t="s">
        <v>1276</v>
      </c>
      <c r="AU55" s="44">
        <v>32</v>
      </c>
      <c r="AV55" s="31">
        <v>2753895.9737632778</v>
      </c>
      <c r="AW55" s="31">
        <v>60402.5</v>
      </c>
      <c r="AX55" s="31">
        <v>0</v>
      </c>
      <c r="AY55" s="31">
        <v>6618.0300000000007</v>
      </c>
      <c r="AZ55" s="31">
        <v>209162.29687225036</v>
      </c>
      <c r="BA55" s="31">
        <v>300904.24074875779</v>
      </c>
      <c r="BB55" s="31">
        <v>164267.99329849161</v>
      </c>
      <c r="BC55" s="31">
        <f t="shared" si="7"/>
        <v>3495251.0346827772</v>
      </c>
      <c r="BD55" s="31">
        <v>0</v>
      </c>
    </row>
    <row r="56" spans="2:56">
      <c r="B56" s="42" t="s">
        <v>169</v>
      </c>
      <c r="C56" s="42" t="s">
        <v>170</v>
      </c>
      <c r="D56" s="43" t="s">
        <v>1049</v>
      </c>
      <c r="E56" s="44">
        <v>32</v>
      </c>
      <c r="F56" s="31">
        <v>9160496.5552699007</v>
      </c>
      <c r="G56" s="31">
        <v>234966.65999999997</v>
      </c>
      <c r="H56" s="31">
        <v>49150.63</v>
      </c>
      <c r="I56" s="31">
        <v>30913.730000000003</v>
      </c>
      <c r="J56" s="31">
        <v>1370074.2391633033</v>
      </c>
      <c r="K56" s="31">
        <v>465687.19539049524</v>
      </c>
      <c r="L56" s="31">
        <v>148342.20255037345</v>
      </c>
      <c r="M56" s="31">
        <f t="shared" si="4"/>
        <v>11476867.292374074</v>
      </c>
      <c r="N56" s="31">
        <v>17236.080000000002</v>
      </c>
      <c r="P56" s="42" t="s">
        <v>169</v>
      </c>
      <c r="Q56" s="42" t="s">
        <v>170</v>
      </c>
      <c r="R56" s="43" t="s">
        <v>1050</v>
      </c>
      <c r="S56" s="44">
        <v>32</v>
      </c>
      <c r="T56" s="31">
        <v>9543983.5990406834</v>
      </c>
      <c r="U56" s="31">
        <v>245046.47000000003</v>
      </c>
      <c r="V56" s="31">
        <v>51204.600000000006</v>
      </c>
      <c r="W56" s="31">
        <v>32175.859999999997</v>
      </c>
      <c r="X56" s="31">
        <v>1422607.3076499165</v>
      </c>
      <c r="Y56" s="31">
        <v>466046.40100416174</v>
      </c>
      <c r="Z56" s="31">
        <v>154301.71758193531</v>
      </c>
      <c r="AA56" s="31">
        <f t="shared" si="5"/>
        <v>11933146.715276696</v>
      </c>
      <c r="AB56" s="31">
        <v>17780.759999999998</v>
      </c>
      <c r="AD56" s="42" t="s">
        <v>169</v>
      </c>
      <c r="AE56" s="42" t="s">
        <v>170</v>
      </c>
      <c r="AF56" s="43" t="s">
        <v>1275</v>
      </c>
      <c r="AG56" s="44">
        <v>32</v>
      </c>
      <c r="AH56" s="31">
        <v>9733915.8833621573</v>
      </c>
      <c r="AI56" s="31">
        <v>250115.56</v>
      </c>
      <c r="AJ56" s="31">
        <v>52325.97</v>
      </c>
      <c r="AK56" s="31">
        <v>32924.199999999997</v>
      </c>
      <c r="AL56" s="31">
        <v>1450202.206138592</v>
      </c>
      <c r="AM56" s="31">
        <v>465915.04144840769</v>
      </c>
      <c r="AN56" s="31">
        <v>157300.91568570709</v>
      </c>
      <c r="AO56" s="31">
        <f t="shared" si="6"/>
        <v>12160798.846634865</v>
      </c>
      <c r="AP56" s="31">
        <v>18099.07</v>
      </c>
      <c r="AR56" s="42" t="s">
        <v>169</v>
      </c>
      <c r="AS56" s="42" t="s">
        <v>170</v>
      </c>
      <c r="AT56" s="43" t="s">
        <v>1276</v>
      </c>
      <c r="AU56" s="44">
        <v>32</v>
      </c>
      <c r="AV56" s="31">
        <v>9929918.3185341768</v>
      </c>
      <c r="AW56" s="31">
        <v>255239.93</v>
      </c>
      <c r="AX56" s="31">
        <v>53298.409999999996</v>
      </c>
      <c r="AY56" s="31">
        <v>33536.07</v>
      </c>
      <c r="AZ56" s="31">
        <v>1479808.3450211009</v>
      </c>
      <c r="BA56" s="31">
        <v>465935.46293652651</v>
      </c>
      <c r="BB56" s="31">
        <v>160642.96980007883</v>
      </c>
      <c r="BC56" s="31">
        <f t="shared" si="7"/>
        <v>12396937.706291882</v>
      </c>
      <c r="BD56" s="31">
        <v>18558.199999999997</v>
      </c>
    </row>
    <row r="57" spans="2:56">
      <c r="B57" s="42" t="s">
        <v>45</v>
      </c>
      <c r="C57" s="42" t="s">
        <v>46</v>
      </c>
      <c r="D57" s="43" t="s">
        <v>1049</v>
      </c>
      <c r="E57" s="44">
        <v>32</v>
      </c>
      <c r="F57" s="31">
        <v>3430031.1514204848</v>
      </c>
      <c r="G57" s="31">
        <v>114202.90000000002</v>
      </c>
      <c r="H57" s="31">
        <v>0</v>
      </c>
      <c r="I57" s="31">
        <v>8672.41</v>
      </c>
      <c r="J57" s="31">
        <v>277731.14619303163</v>
      </c>
      <c r="K57" s="31">
        <v>114891.53201593457</v>
      </c>
      <c r="L57" s="31">
        <v>33741.919104134184</v>
      </c>
      <c r="M57" s="31">
        <f t="shared" si="4"/>
        <v>4041049.7387335855</v>
      </c>
      <c r="N57" s="31">
        <v>61778.68</v>
      </c>
      <c r="P57" s="42" t="s">
        <v>45</v>
      </c>
      <c r="Q57" s="42" t="s">
        <v>46</v>
      </c>
      <c r="R57" s="43" t="s">
        <v>1050</v>
      </c>
      <c r="S57" s="44">
        <v>32</v>
      </c>
      <c r="T57" s="31">
        <v>3589028.9877836863</v>
      </c>
      <c r="U57" s="31">
        <v>120053.15</v>
      </c>
      <c r="V57" s="31">
        <v>0</v>
      </c>
      <c r="W57" s="31">
        <v>9005.4399999999987</v>
      </c>
      <c r="X57" s="31">
        <v>288558.27272788982</v>
      </c>
      <c r="Y57" s="31">
        <v>114983.33716706123</v>
      </c>
      <c r="Z57" s="31">
        <v>35379.937192412384</v>
      </c>
      <c r="AA57" s="31">
        <f t="shared" si="5"/>
        <v>4220606.08487105</v>
      </c>
      <c r="AB57" s="31">
        <v>63596.959999999999</v>
      </c>
      <c r="AD57" s="42" t="s">
        <v>45</v>
      </c>
      <c r="AE57" s="42" t="s">
        <v>46</v>
      </c>
      <c r="AF57" s="43" t="s">
        <v>1275</v>
      </c>
      <c r="AG57" s="44">
        <v>32</v>
      </c>
      <c r="AH57" s="31">
        <v>3659088.9960206798</v>
      </c>
      <c r="AI57" s="31">
        <v>122525.12</v>
      </c>
      <c r="AJ57" s="31">
        <v>0</v>
      </c>
      <c r="AK57" s="31">
        <v>9181.6</v>
      </c>
      <c r="AL57" s="31">
        <v>294129.88903257548</v>
      </c>
      <c r="AM57" s="31">
        <v>114952.148279827</v>
      </c>
      <c r="AN57" s="31">
        <v>36066.225551182797</v>
      </c>
      <c r="AO57" s="31">
        <f t="shared" si="6"/>
        <v>4300661.4088842645</v>
      </c>
      <c r="AP57" s="31">
        <v>64717.429999999993</v>
      </c>
      <c r="AR57" s="42" t="s">
        <v>45</v>
      </c>
      <c r="AS57" s="42" t="s">
        <v>46</v>
      </c>
      <c r="AT57" s="43" t="s">
        <v>1276</v>
      </c>
      <c r="AU57" s="44">
        <v>32</v>
      </c>
      <c r="AV57" s="31">
        <v>3730709.0154588236</v>
      </c>
      <c r="AW57" s="31">
        <v>125061.01999999999</v>
      </c>
      <c r="AX57" s="31">
        <v>0</v>
      </c>
      <c r="AY57" s="31">
        <v>9349.26</v>
      </c>
      <c r="AZ57" s="31">
        <v>300060.90687913192</v>
      </c>
      <c r="BA57" s="31">
        <v>114957.11153420759</v>
      </c>
      <c r="BB57" s="31">
        <v>36848.072531766127</v>
      </c>
      <c r="BC57" s="31">
        <f t="shared" si="7"/>
        <v>4383006.3264039289</v>
      </c>
      <c r="BD57" s="31">
        <v>66020.94</v>
      </c>
    </row>
    <row r="58" spans="2:56">
      <c r="B58" s="42" t="s">
        <v>303</v>
      </c>
      <c r="C58" s="42" t="s">
        <v>304</v>
      </c>
      <c r="D58" s="43" t="s">
        <v>1049</v>
      </c>
      <c r="E58" s="44">
        <v>32</v>
      </c>
      <c r="F58" s="31">
        <v>1910430.6572916026</v>
      </c>
      <c r="G58" s="31">
        <v>27339.09</v>
      </c>
      <c r="H58" s="31">
        <v>0</v>
      </c>
      <c r="I58" s="31">
        <v>2522.06</v>
      </c>
      <c r="J58" s="31">
        <v>102795.59651943565</v>
      </c>
      <c r="K58" s="31">
        <v>528604.00680148334</v>
      </c>
      <c r="L58" s="31">
        <v>63683.5688976737</v>
      </c>
      <c r="M58" s="31">
        <f t="shared" si="4"/>
        <v>2647178.1795101957</v>
      </c>
      <c r="N58" s="31">
        <v>11803.2</v>
      </c>
      <c r="P58" s="42" t="s">
        <v>303</v>
      </c>
      <c r="Q58" s="42" t="s">
        <v>304</v>
      </c>
      <c r="R58" s="43" t="s">
        <v>1050</v>
      </c>
      <c r="S58" s="44">
        <v>32</v>
      </c>
      <c r="T58" s="31">
        <v>1980393.251441041</v>
      </c>
      <c r="U58" s="31">
        <v>28536.65</v>
      </c>
      <c r="V58" s="31">
        <v>0</v>
      </c>
      <c r="W58" s="31">
        <v>2618</v>
      </c>
      <c r="X58" s="31">
        <v>106270.49528755242</v>
      </c>
      <c r="Y58" s="31">
        <v>529165.20554805954</v>
      </c>
      <c r="Z58" s="31">
        <v>65942.198009823536</v>
      </c>
      <c r="AA58" s="31">
        <f t="shared" si="5"/>
        <v>2725020.4802864767</v>
      </c>
      <c r="AB58" s="31">
        <v>12094.68</v>
      </c>
      <c r="AD58" s="42" t="s">
        <v>303</v>
      </c>
      <c r="AE58" s="42" t="s">
        <v>304</v>
      </c>
      <c r="AF58" s="43" t="s">
        <v>1275</v>
      </c>
      <c r="AG58" s="44">
        <v>32</v>
      </c>
      <c r="AH58" s="31">
        <v>2018275.0446484601</v>
      </c>
      <c r="AI58" s="31">
        <v>29117.86</v>
      </c>
      <c r="AJ58" s="31">
        <v>0</v>
      </c>
      <c r="AK58" s="31">
        <v>2669.23</v>
      </c>
      <c r="AL58" s="31">
        <v>108242.24289966472</v>
      </c>
      <c r="AM58" s="31">
        <v>528974.54996710189</v>
      </c>
      <c r="AN58" s="31">
        <v>67212.968090153605</v>
      </c>
      <c r="AO58" s="31">
        <f t="shared" si="6"/>
        <v>2766800.6156053809</v>
      </c>
      <c r="AP58" s="31">
        <v>12308.72</v>
      </c>
      <c r="AR58" s="42" t="s">
        <v>303</v>
      </c>
      <c r="AS58" s="42" t="s">
        <v>304</v>
      </c>
      <c r="AT58" s="43" t="s">
        <v>1276</v>
      </c>
      <c r="AU58" s="44">
        <v>32</v>
      </c>
      <c r="AV58" s="31">
        <v>2055035.2430019653</v>
      </c>
      <c r="AW58" s="31">
        <v>29648.820000000007</v>
      </c>
      <c r="AX58" s="31">
        <v>0</v>
      </c>
      <c r="AY58" s="31">
        <v>2718.21</v>
      </c>
      <c r="AZ58" s="31">
        <v>110241.59379981935</v>
      </c>
      <c r="BA58" s="31">
        <v>529004.89000906178</v>
      </c>
      <c r="BB58" s="31">
        <v>68455.520019907097</v>
      </c>
      <c r="BC58" s="31">
        <f t="shared" si="7"/>
        <v>2807642.2168307537</v>
      </c>
      <c r="BD58" s="31">
        <v>12537.94</v>
      </c>
    </row>
    <row r="59" spans="2:56">
      <c r="B59" s="42" t="s">
        <v>103</v>
      </c>
      <c r="C59" s="42" t="s">
        <v>104</v>
      </c>
      <c r="D59" s="43" t="s">
        <v>1049</v>
      </c>
      <c r="E59" s="44">
        <v>32</v>
      </c>
      <c r="F59" s="31">
        <v>2857128.154405233</v>
      </c>
      <c r="G59" s="31">
        <v>83126.900000000009</v>
      </c>
      <c r="H59" s="31">
        <v>0</v>
      </c>
      <c r="I59" s="31">
        <v>0</v>
      </c>
      <c r="J59" s="31">
        <v>240388.16719346348</v>
      </c>
      <c r="K59" s="31">
        <v>129473.50271876868</v>
      </c>
      <c r="L59" s="31">
        <v>73862.921473186085</v>
      </c>
      <c r="M59" s="31">
        <f t="shared" si="4"/>
        <v>3456211.2857906511</v>
      </c>
      <c r="N59" s="31">
        <v>72231.64</v>
      </c>
      <c r="P59" s="42" t="s">
        <v>103</v>
      </c>
      <c r="Q59" s="42" t="s">
        <v>104</v>
      </c>
      <c r="R59" s="43" t="s">
        <v>1050</v>
      </c>
      <c r="S59" s="44">
        <v>32</v>
      </c>
      <c r="T59" s="31">
        <v>2989174.527335125</v>
      </c>
      <c r="U59" s="31">
        <v>87676.13</v>
      </c>
      <c r="V59" s="31">
        <v>0</v>
      </c>
      <c r="W59" s="31">
        <v>0</v>
      </c>
      <c r="X59" s="31">
        <v>249728.89288894983</v>
      </c>
      <c r="Y59" s="31">
        <v>129555.09373389764</v>
      </c>
      <c r="Z59" s="31">
        <v>77491.512236733222</v>
      </c>
      <c r="AA59" s="31">
        <f t="shared" si="5"/>
        <v>3607951.6961947056</v>
      </c>
      <c r="AB59" s="31">
        <v>74325.540000000008</v>
      </c>
      <c r="AD59" s="42" t="s">
        <v>103</v>
      </c>
      <c r="AE59" s="42" t="s">
        <v>104</v>
      </c>
      <c r="AF59" s="43" t="s">
        <v>1275</v>
      </c>
      <c r="AG59" s="44">
        <v>32</v>
      </c>
      <c r="AH59" s="31">
        <v>3047570.1384550133</v>
      </c>
      <c r="AI59" s="31">
        <v>89533.21</v>
      </c>
      <c r="AJ59" s="31">
        <v>0</v>
      </c>
      <c r="AK59" s="31">
        <v>0</v>
      </c>
      <c r="AL59" s="31">
        <v>254548.11028532955</v>
      </c>
      <c r="AM59" s="31">
        <v>129527.37488654589</v>
      </c>
      <c r="AN59" s="31">
        <v>79075.365254159246</v>
      </c>
      <c r="AO59" s="31">
        <f t="shared" si="6"/>
        <v>3676000.2488810476</v>
      </c>
      <c r="AP59" s="31">
        <v>75746.05</v>
      </c>
      <c r="AR59" s="42" t="s">
        <v>103</v>
      </c>
      <c r="AS59" s="42" t="s">
        <v>104</v>
      </c>
      <c r="AT59" s="43" t="s">
        <v>1276</v>
      </c>
      <c r="AU59" s="44">
        <v>32</v>
      </c>
      <c r="AV59" s="31">
        <v>3106729.7612360641</v>
      </c>
      <c r="AW59" s="31">
        <v>91374.489999999991</v>
      </c>
      <c r="AX59" s="31">
        <v>0</v>
      </c>
      <c r="AY59" s="31">
        <v>0</v>
      </c>
      <c r="AZ59" s="31">
        <v>259695.79977589473</v>
      </c>
      <c r="BA59" s="31">
        <v>129531.78593492701</v>
      </c>
      <c r="BB59" s="31">
        <v>80670.411418708361</v>
      </c>
      <c r="BC59" s="31">
        <f t="shared" si="7"/>
        <v>3745266.0983655946</v>
      </c>
      <c r="BD59" s="31">
        <v>77263.850000000006</v>
      </c>
    </row>
    <row r="60" spans="2:56">
      <c r="B60" s="42" t="s">
        <v>357</v>
      </c>
      <c r="C60" s="42" t="s">
        <v>358</v>
      </c>
      <c r="D60" s="43" t="s">
        <v>1049</v>
      </c>
      <c r="E60" s="44">
        <v>32</v>
      </c>
      <c r="F60" s="31">
        <v>3409704.4477415001</v>
      </c>
      <c r="G60" s="31">
        <v>138563.56000000006</v>
      </c>
      <c r="H60" s="31">
        <v>0</v>
      </c>
      <c r="I60" s="31">
        <v>9062.18</v>
      </c>
      <c r="J60" s="31">
        <v>391045.89287423418</v>
      </c>
      <c r="K60" s="31">
        <v>215612.36805868376</v>
      </c>
      <c r="L60" s="31">
        <v>107979.30060007858</v>
      </c>
      <c r="M60" s="31">
        <f t="shared" si="4"/>
        <v>4336864.6092744973</v>
      </c>
      <c r="N60" s="31">
        <v>64896.86</v>
      </c>
      <c r="P60" s="42" t="s">
        <v>357</v>
      </c>
      <c r="Q60" s="42" t="s">
        <v>358</v>
      </c>
      <c r="R60" s="43" t="s">
        <v>1050</v>
      </c>
      <c r="S60" s="44">
        <v>32</v>
      </c>
      <c r="T60" s="31">
        <v>3566732.035105654</v>
      </c>
      <c r="U60" s="31">
        <v>145493.56999999995</v>
      </c>
      <c r="V60" s="31">
        <v>0</v>
      </c>
      <c r="W60" s="31">
        <v>9410.17</v>
      </c>
      <c r="X60" s="31">
        <v>406284.33769806573</v>
      </c>
      <c r="Y60" s="31">
        <v>215780.61450210717</v>
      </c>
      <c r="Z60" s="31">
        <v>113522.77133899384</v>
      </c>
      <c r="AA60" s="31">
        <f t="shared" si="5"/>
        <v>4524015.2886448205</v>
      </c>
      <c r="AB60" s="31">
        <v>66791.790000000008</v>
      </c>
      <c r="AD60" s="42" t="s">
        <v>357</v>
      </c>
      <c r="AE60" s="42" t="s">
        <v>358</v>
      </c>
      <c r="AF60" s="43" t="s">
        <v>1275</v>
      </c>
      <c r="AG60" s="44">
        <v>32</v>
      </c>
      <c r="AH60" s="31">
        <v>3635974.4567099493</v>
      </c>
      <c r="AI60" s="31">
        <v>148574.13999999998</v>
      </c>
      <c r="AJ60" s="31">
        <v>0</v>
      </c>
      <c r="AK60" s="31">
        <v>9594.26</v>
      </c>
      <c r="AL60" s="31">
        <v>414103.74612782913</v>
      </c>
      <c r="AM60" s="31">
        <v>215723.45627855332</v>
      </c>
      <c r="AN60" s="31">
        <v>115804.74746033644</v>
      </c>
      <c r="AO60" s="31">
        <f t="shared" si="6"/>
        <v>4607844.9265766684</v>
      </c>
      <c r="AP60" s="31">
        <v>68070.12</v>
      </c>
      <c r="AR60" s="42" t="s">
        <v>357</v>
      </c>
      <c r="AS60" s="42" t="s">
        <v>358</v>
      </c>
      <c r="AT60" s="43" t="s">
        <v>1276</v>
      </c>
      <c r="AU60" s="44">
        <v>32</v>
      </c>
      <c r="AV60" s="31">
        <v>3707381.5152673349</v>
      </c>
      <c r="AW60" s="31">
        <v>151584.76</v>
      </c>
      <c r="AX60" s="31">
        <v>0</v>
      </c>
      <c r="AY60" s="31">
        <v>9769.4700000000012</v>
      </c>
      <c r="AZ60" s="31">
        <v>422480.67620745918</v>
      </c>
      <c r="BA60" s="31">
        <v>215732.55217227052</v>
      </c>
      <c r="BB60" s="31">
        <v>118162.47807887061</v>
      </c>
      <c r="BC60" s="31">
        <f t="shared" si="7"/>
        <v>4694547.2517259354</v>
      </c>
      <c r="BD60" s="31">
        <v>69435.799999999988</v>
      </c>
    </row>
    <row r="61" spans="2:56">
      <c r="B61" s="42" t="s">
        <v>239</v>
      </c>
      <c r="C61" s="42" t="s">
        <v>240</v>
      </c>
      <c r="D61" s="43" t="s">
        <v>1049</v>
      </c>
      <c r="E61" s="44">
        <v>32</v>
      </c>
      <c r="F61" s="31">
        <v>425635.18949655013</v>
      </c>
      <c r="G61" s="31">
        <v>0</v>
      </c>
      <c r="H61" s="31">
        <v>0</v>
      </c>
      <c r="I61" s="31">
        <v>0</v>
      </c>
      <c r="J61" s="31">
        <v>51164.771231945269</v>
      </c>
      <c r="K61" s="31">
        <v>0</v>
      </c>
      <c r="L61" s="31">
        <v>0</v>
      </c>
      <c r="M61" s="31">
        <f t="shared" si="4"/>
        <v>476799.96072849538</v>
      </c>
      <c r="N61" s="31">
        <v>0</v>
      </c>
      <c r="P61" s="42" t="s">
        <v>239</v>
      </c>
      <c r="Q61" s="42" t="s">
        <v>240</v>
      </c>
      <c r="R61" s="43" t="s">
        <v>1050</v>
      </c>
      <c r="S61" s="44">
        <v>32</v>
      </c>
      <c r="T61" s="31">
        <v>441966.69967525988</v>
      </c>
      <c r="U61" s="31">
        <v>0</v>
      </c>
      <c r="V61" s="31">
        <v>0</v>
      </c>
      <c r="W61" s="31">
        <v>0</v>
      </c>
      <c r="X61" s="31">
        <v>52888.944051886268</v>
      </c>
      <c r="Y61" s="31">
        <v>0</v>
      </c>
      <c r="Z61" s="31">
        <v>0</v>
      </c>
      <c r="AA61" s="31">
        <f t="shared" si="5"/>
        <v>494855.64372714615</v>
      </c>
      <c r="AB61" s="31">
        <v>0</v>
      </c>
      <c r="AD61" s="42" t="s">
        <v>239</v>
      </c>
      <c r="AE61" s="42" t="s">
        <v>240</v>
      </c>
      <c r="AF61" s="43" t="s">
        <v>1275</v>
      </c>
      <c r="AG61" s="44">
        <v>32</v>
      </c>
      <c r="AH61" s="31">
        <v>450465.55260667019</v>
      </c>
      <c r="AI61" s="31">
        <v>0</v>
      </c>
      <c r="AJ61" s="31">
        <v>0</v>
      </c>
      <c r="AK61" s="31">
        <v>0</v>
      </c>
      <c r="AL61" s="31">
        <v>53867.534538157517</v>
      </c>
      <c r="AM61" s="31">
        <v>0</v>
      </c>
      <c r="AN61" s="31">
        <v>0</v>
      </c>
      <c r="AO61" s="31">
        <f t="shared" si="6"/>
        <v>504333.0871448277</v>
      </c>
      <c r="AP61" s="31">
        <v>0</v>
      </c>
      <c r="AR61" s="42" t="s">
        <v>239</v>
      </c>
      <c r="AS61" s="42" t="s">
        <v>240</v>
      </c>
      <c r="AT61" s="43" t="s">
        <v>1276</v>
      </c>
      <c r="AU61" s="44">
        <v>32</v>
      </c>
      <c r="AV61" s="31">
        <v>458722.37269163062</v>
      </c>
      <c r="AW61" s="31">
        <v>0</v>
      </c>
      <c r="AX61" s="31">
        <v>0</v>
      </c>
      <c r="AY61" s="31">
        <v>0</v>
      </c>
      <c r="AZ61" s="31">
        <v>54857.562991681749</v>
      </c>
      <c r="BA61" s="31">
        <v>0</v>
      </c>
      <c r="BB61" s="31">
        <v>0</v>
      </c>
      <c r="BC61" s="31">
        <f t="shared" si="7"/>
        <v>513579.93568331236</v>
      </c>
      <c r="BD61" s="31">
        <v>0</v>
      </c>
    </row>
    <row r="62" spans="2:56">
      <c r="B62" s="42" t="s">
        <v>445</v>
      </c>
      <c r="C62" s="42" t="s">
        <v>446</v>
      </c>
      <c r="D62" s="43" t="s">
        <v>1049</v>
      </c>
      <c r="E62" s="44">
        <v>32</v>
      </c>
      <c r="F62" s="31">
        <v>4365284.2314913711</v>
      </c>
      <c r="G62" s="31">
        <v>132115.07</v>
      </c>
      <c r="H62" s="31">
        <v>7435.51</v>
      </c>
      <c r="I62" s="31">
        <v>12500.279999999999</v>
      </c>
      <c r="J62" s="31">
        <v>573153.62381470762</v>
      </c>
      <c r="K62" s="31">
        <v>289016.93840799463</v>
      </c>
      <c r="L62" s="31">
        <v>233923.43747625902</v>
      </c>
      <c r="M62" s="31">
        <f t="shared" si="4"/>
        <v>5703194.0511903325</v>
      </c>
      <c r="N62" s="31">
        <v>89764.959999999992</v>
      </c>
      <c r="P62" s="42" t="s">
        <v>445</v>
      </c>
      <c r="Q62" s="42" t="s">
        <v>446</v>
      </c>
      <c r="R62" s="43" t="s">
        <v>1050</v>
      </c>
      <c r="S62" s="44">
        <v>32</v>
      </c>
      <c r="T62" s="31">
        <v>4544649.6631975295</v>
      </c>
      <c r="U62" s="31">
        <v>138852.73999999996</v>
      </c>
      <c r="V62" s="31">
        <v>7713.5300000000007</v>
      </c>
      <c r="W62" s="31">
        <v>13079.480000000001</v>
      </c>
      <c r="X62" s="31">
        <v>595158.83902607835</v>
      </c>
      <c r="Y62" s="31">
        <v>289286.73837789043</v>
      </c>
      <c r="Z62" s="31">
        <v>243312.68576133641</v>
      </c>
      <c r="AA62" s="31">
        <f t="shared" si="5"/>
        <v>5924495.3163628355</v>
      </c>
      <c r="AB62" s="31">
        <v>92441.640000000014</v>
      </c>
      <c r="AD62" s="42" t="s">
        <v>445</v>
      </c>
      <c r="AE62" s="42" t="s">
        <v>446</v>
      </c>
      <c r="AF62" s="43" t="s">
        <v>1275</v>
      </c>
      <c r="AG62" s="44">
        <v>32</v>
      </c>
      <c r="AH62" s="31">
        <v>4634478.0185313541</v>
      </c>
      <c r="AI62" s="31">
        <v>141737.25999999995</v>
      </c>
      <c r="AJ62" s="31">
        <v>7864.6900000000005</v>
      </c>
      <c r="AK62" s="31">
        <v>13335.76</v>
      </c>
      <c r="AL62" s="31">
        <v>606700.16329480766</v>
      </c>
      <c r="AM62" s="31">
        <v>289188.07398390671</v>
      </c>
      <c r="AN62" s="31">
        <v>248242.03841388563</v>
      </c>
      <c r="AO62" s="31">
        <f t="shared" si="6"/>
        <v>6035749.0042239549</v>
      </c>
      <c r="AP62" s="31">
        <v>94203.000000000015</v>
      </c>
      <c r="AR62" s="42" t="s">
        <v>445</v>
      </c>
      <c r="AS62" s="42" t="s">
        <v>446</v>
      </c>
      <c r="AT62" s="43" t="s">
        <v>1276</v>
      </c>
      <c r="AU62" s="44">
        <v>32</v>
      </c>
      <c r="AV62" s="31">
        <v>4726158.2288869387</v>
      </c>
      <c r="AW62" s="31">
        <v>144686.53000000003</v>
      </c>
      <c r="AX62" s="31">
        <v>8010.2800000000007</v>
      </c>
      <c r="AY62" s="31">
        <v>13582.619999999999</v>
      </c>
      <c r="AZ62" s="31">
        <v>619064.95233202423</v>
      </c>
      <c r="BA62" s="31">
        <v>289203.41259964672</v>
      </c>
      <c r="BB62" s="31">
        <v>253450.28023189714</v>
      </c>
      <c r="BC62" s="31">
        <f t="shared" si="7"/>
        <v>6150241.9440505067</v>
      </c>
      <c r="BD62" s="31">
        <v>96085.64</v>
      </c>
    </row>
    <row r="63" spans="2:56">
      <c r="B63" s="42" t="s">
        <v>311</v>
      </c>
      <c r="C63" s="42" t="s">
        <v>312</v>
      </c>
      <c r="D63" s="43" t="s">
        <v>1049</v>
      </c>
      <c r="E63" s="44">
        <v>32</v>
      </c>
      <c r="F63" s="31">
        <v>4713969.5300585181</v>
      </c>
      <c r="G63" s="31">
        <v>195859.87999999998</v>
      </c>
      <c r="H63" s="31">
        <v>0</v>
      </c>
      <c r="I63" s="31">
        <v>0</v>
      </c>
      <c r="J63" s="31">
        <v>687046.57864156016</v>
      </c>
      <c r="K63" s="31">
        <v>375179.09913079883</v>
      </c>
      <c r="L63" s="31">
        <v>776157.51099964837</v>
      </c>
      <c r="M63" s="31">
        <f t="shared" si="4"/>
        <v>6819638.1288305251</v>
      </c>
      <c r="N63" s="31">
        <v>71425.53</v>
      </c>
      <c r="P63" s="42" t="s">
        <v>311</v>
      </c>
      <c r="Q63" s="42" t="s">
        <v>312</v>
      </c>
      <c r="R63" s="43" t="s">
        <v>1050</v>
      </c>
      <c r="S63" s="44">
        <v>32</v>
      </c>
      <c r="T63" s="31">
        <v>4960104.6287304144</v>
      </c>
      <c r="U63" s="31">
        <v>205284.06</v>
      </c>
      <c r="V63" s="31">
        <v>0</v>
      </c>
      <c r="W63" s="31">
        <v>0</v>
      </c>
      <c r="X63" s="31">
        <v>713794.50597005046</v>
      </c>
      <c r="Y63" s="31">
        <v>375649.89692607772</v>
      </c>
      <c r="Z63" s="31">
        <v>815734.79594225204</v>
      </c>
      <c r="AA63" s="31">
        <f t="shared" si="5"/>
        <v>7144148.6675687945</v>
      </c>
      <c r="AB63" s="31">
        <v>73580.780000000013</v>
      </c>
      <c r="AD63" s="42" t="s">
        <v>311</v>
      </c>
      <c r="AE63" s="42" t="s">
        <v>312</v>
      </c>
      <c r="AF63" s="43" t="s">
        <v>1275</v>
      </c>
      <c r="AG63" s="44">
        <v>32</v>
      </c>
      <c r="AH63" s="31">
        <v>5058154.2548031295</v>
      </c>
      <c r="AI63" s="31">
        <v>209648.95999999996</v>
      </c>
      <c r="AJ63" s="31">
        <v>0</v>
      </c>
      <c r="AK63" s="31">
        <v>0</v>
      </c>
      <c r="AL63" s="31">
        <v>727553.07497221814</v>
      </c>
      <c r="AM63" s="31">
        <v>375489.95318472042</v>
      </c>
      <c r="AN63" s="31">
        <v>831971.31365754525</v>
      </c>
      <c r="AO63" s="31">
        <f t="shared" si="6"/>
        <v>7277694.7066176133</v>
      </c>
      <c r="AP63" s="31">
        <v>74877.150000000009</v>
      </c>
      <c r="AR63" s="42" t="s">
        <v>311</v>
      </c>
      <c r="AS63" s="42" t="s">
        <v>312</v>
      </c>
      <c r="AT63" s="43" t="s">
        <v>1276</v>
      </c>
      <c r="AU63" s="44">
        <v>32</v>
      </c>
      <c r="AV63" s="31">
        <v>5157432.5374600263</v>
      </c>
      <c r="AW63" s="31">
        <v>213774.55</v>
      </c>
      <c r="AX63" s="31">
        <v>0</v>
      </c>
      <c r="AY63" s="31">
        <v>0</v>
      </c>
      <c r="AZ63" s="31">
        <v>742233.22125727101</v>
      </c>
      <c r="BA63" s="31">
        <v>375515.40588744043</v>
      </c>
      <c r="BB63" s="31">
        <v>848735.2063129564</v>
      </c>
      <c r="BC63" s="31">
        <f t="shared" si="7"/>
        <v>7414163.440917694</v>
      </c>
      <c r="BD63" s="31">
        <v>76472.52</v>
      </c>
    </row>
    <row r="64" spans="2:56">
      <c r="B64" s="42" t="s">
        <v>73</v>
      </c>
      <c r="C64" s="42" t="s">
        <v>74</v>
      </c>
      <c r="D64" s="43" t="s">
        <v>1049</v>
      </c>
      <c r="E64" s="44">
        <v>32</v>
      </c>
      <c r="F64" s="31">
        <v>3482093.3089041272</v>
      </c>
      <c r="G64" s="31">
        <v>118295.46</v>
      </c>
      <c r="H64" s="31">
        <v>2923.29</v>
      </c>
      <c r="I64" s="31">
        <v>10036.619999999999</v>
      </c>
      <c r="J64" s="31">
        <v>451705.33406930225</v>
      </c>
      <c r="K64" s="31">
        <v>248758.78826502379</v>
      </c>
      <c r="L64" s="31">
        <v>409172.82958479715</v>
      </c>
      <c r="M64" s="31">
        <f t="shared" si="4"/>
        <v>4826762.1508232495</v>
      </c>
      <c r="N64" s="31">
        <v>103776.52</v>
      </c>
      <c r="P64" s="42" t="s">
        <v>73</v>
      </c>
      <c r="Q64" s="42" t="s">
        <v>74</v>
      </c>
      <c r="R64" s="43" t="s">
        <v>1050</v>
      </c>
      <c r="S64" s="44">
        <v>32</v>
      </c>
      <c r="T64" s="31">
        <v>3658587.7372388123</v>
      </c>
      <c r="U64" s="31">
        <v>124885.91</v>
      </c>
      <c r="V64" s="31">
        <v>3035.55</v>
      </c>
      <c r="W64" s="31">
        <v>10422.02</v>
      </c>
      <c r="X64" s="31">
        <v>469282.21004397533</v>
      </c>
      <c r="Y64" s="31">
        <v>248997.42175740181</v>
      </c>
      <c r="Z64" s="31">
        <v>429924.54995929624</v>
      </c>
      <c r="AA64" s="31">
        <f t="shared" si="5"/>
        <v>5051962.2989994865</v>
      </c>
      <c r="AB64" s="31">
        <v>106826.9</v>
      </c>
      <c r="AD64" s="42" t="s">
        <v>73</v>
      </c>
      <c r="AE64" s="42" t="s">
        <v>74</v>
      </c>
      <c r="AF64" s="43" t="s">
        <v>1275</v>
      </c>
      <c r="AG64" s="44">
        <v>32</v>
      </c>
      <c r="AH64" s="31">
        <v>3730657.753327271</v>
      </c>
      <c r="AI64" s="31">
        <v>127641.11000000004</v>
      </c>
      <c r="AJ64" s="31">
        <v>3094.92</v>
      </c>
      <c r="AK64" s="31">
        <v>10625.88</v>
      </c>
      <c r="AL64" s="31">
        <v>478334.89917929529</v>
      </c>
      <c r="AM64" s="31">
        <v>248916.35100055701</v>
      </c>
      <c r="AN64" s="31">
        <v>438630.78206410789</v>
      </c>
      <c r="AO64" s="31">
        <f t="shared" si="6"/>
        <v>5146712.3155712308</v>
      </c>
      <c r="AP64" s="31">
        <v>108810.62</v>
      </c>
      <c r="AR64" s="42" t="s">
        <v>73</v>
      </c>
      <c r="AS64" s="42" t="s">
        <v>74</v>
      </c>
      <c r="AT64" s="43" t="s">
        <v>1276</v>
      </c>
      <c r="AU64" s="44">
        <v>32</v>
      </c>
      <c r="AV64" s="31">
        <v>3803452.0297857309</v>
      </c>
      <c r="AW64" s="31">
        <v>130154.54999999997</v>
      </c>
      <c r="AX64" s="31">
        <v>3151.4399999999996</v>
      </c>
      <c r="AY64" s="31">
        <v>10819.92</v>
      </c>
      <c r="AZ64" s="31">
        <v>487979.15228141012</v>
      </c>
      <c r="BA64" s="31">
        <v>248929.25222354798</v>
      </c>
      <c r="BB64" s="31">
        <v>447275.28933869407</v>
      </c>
      <c r="BC64" s="31">
        <f t="shared" si="7"/>
        <v>5242796.8436293826</v>
      </c>
      <c r="BD64" s="31">
        <v>111035.21</v>
      </c>
    </row>
    <row r="65" spans="2:56">
      <c r="B65" s="42" t="s">
        <v>475</v>
      </c>
      <c r="C65" s="42" t="s">
        <v>476</v>
      </c>
      <c r="D65" s="43" t="s">
        <v>1049</v>
      </c>
      <c r="E65" s="44">
        <v>32</v>
      </c>
      <c r="F65" s="31">
        <v>20880251.649480652</v>
      </c>
      <c r="G65" s="31">
        <v>759371.20000000007</v>
      </c>
      <c r="H65" s="31">
        <v>37320.590000000004</v>
      </c>
      <c r="I65" s="31">
        <v>70548.53</v>
      </c>
      <c r="J65" s="31">
        <v>2642414.0780187803</v>
      </c>
      <c r="K65" s="31">
        <v>1410156.1344572301</v>
      </c>
      <c r="L65" s="31">
        <v>986219.41939784714</v>
      </c>
      <c r="M65" s="31">
        <f t="shared" si="4"/>
        <v>27166698.021354511</v>
      </c>
      <c r="N65" s="31">
        <v>380416.42000000004</v>
      </c>
      <c r="P65" s="42" t="s">
        <v>475</v>
      </c>
      <c r="Q65" s="42" t="s">
        <v>476</v>
      </c>
      <c r="R65" s="43" t="s">
        <v>1050</v>
      </c>
      <c r="S65" s="44">
        <v>32</v>
      </c>
      <c r="T65" s="31">
        <v>21780643.03386296</v>
      </c>
      <c r="U65" s="31">
        <v>797658.76999999979</v>
      </c>
      <c r="V65" s="31">
        <v>38854.89</v>
      </c>
      <c r="W65" s="31">
        <v>73561.239999999991</v>
      </c>
      <c r="X65" s="31">
        <v>2745394.7992739622</v>
      </c>
      <c r="Y65" s="31">
        <v>1411346.9354479986</v>
      </c>
      <c r="Z65" s="31">
        <v>1026250.9063697306</v>
      </c>
      <c r="AA65" s="31">
        <f t="shared" si="5"/>
        <v>28265375.964954652</v>
      </c>
      <c r="AB65" s="31">
        <v>391665.39000000007</v>
      </c>
      <c r="AD65" s="42" t="s">
        <v>475</v>
      </c>
      <c r="AE65" s="42" t="s">
        <v>476</v>
      </c>
      <c r="AF65" s="43" t="s">
        <v>1275</v>
      </c>
      <c r="AG65" s="44">
        <v>32</v>
      </c>
      <c r="AH65" s="31">
        <v>22212215.581801012</v>
      </c>
      <c r="AI65" s="31">
        <v>814646.69000000006</v>
      </c>
      <c r="AJ65" s="31">
        <v>39718.120000000003</v>
      </c>
      <c r="AK65" s="31">
        <v>75103.33</v>
      </c>
      <c r="AL65" s="31">
        <v>2798333.7680509826</v>
      </c>
      <c r="AM65" s="31">
        <v>1410942.3856230299</v>
      </c>
      <c r="AN65" s="31">
        <v>1046794.0698530999</v>
      </c>
      <c r="AO65" s="31">
        <f t="shared" si="6"/>
        <v>28796624.585328128</v>
      </c>
      <c r="AP65" s="31">
        <v>398870.64</v>
      </c>
      <c r="AR65" s="42" t="s">
        <v>475</v>
      </c>
      <c r="AS65" s="42" t="s">
        <v>476</v>
      </c>
      <c r="AT65" s="43" t="s">
        <v>1276</v>
      </c>
      <c r="AU65" s="44">
        <v>32</v>
      </c>
      <c r="AV65" s="31">
        <v>22660673.010719918</v>
      </c>
      <c r="AW65" s="31">
        <v>830787.15999999992</v>
      </c>
      <c r="AX65" s="31">
        <v>40548.460000000006</v>
      </c>
      <c r="AY65" s="31">
        <v>76579.840000000011</v>
      </c>
      <c r="AZ65" s="31">
        <v>2854813.5402575638</v>
      </c>
      <c r="BA65" s="31">
        <v>1411006.7637996499</v>
      </c>
      <c r="BB65" s="31">
        <v>1067908.351373361</v>
      </c>
      <c r="BC65" s="31">
        <f t="shared" si="7"/>
        <v>29349308.206150491</v>
      </c>
      <c r="BD65" s="31">
        <v>406991.08</v>
      </c>
    </row>
    <row r="66" spans="2:56">
      <c r="B66" s="42" t="s">
        <v>373</v>
      </c>
      <c r="C66" s="42" t="s">
        <v>374</v>
      </c>
      <c r="D66" s="43" t="s">
        <v>1049</v>
      </c>
      <c r="E66" s="44">
        <v>32</v>
      </c>
      <c r="F66" s="31">
        <v>13003491.973829165</v>
      </c>
      <c r="G66" s="31">
        <v>168802.37</v>
      </c>
      <c r="H66" s="31">
        <v>121653.35</v>
      </c>
      <c r="I66" s="31">
        <v>43701.8</v>
      </c>
      <c r="J66" s="31">
        <v>1732082.9783211304</v>
      </c>
      <c r="K66" s="31">
        <v>1086389.496340974</v>
      </c>
      <c r="L66" s="31">
        <v>292066.31945842132</v>
      </c>
      <c r="M66" s="31">
        <f t="shared" si="4"/>
        <v>16448188.287949691</v>
      </c>
      <c r="N66" s="31">
        <v>0</v>
      </c>
      <c r="P66" s="42" t="s">
        <v>373</v>
      </c>
      <c r="Q66" s="42" t="s">
        <v>374</v>
      </c>
      <c r="R66" s="43" t="s">
        <v>1050</v>
      </c>
      <c r="S66" s="44">
        <v>32</v>
      </c>
      <c r="T66" s="31">
        <v>13559057.101385966</v>
      </c>
      <c r="U66" s="31">
        <v>175986.99000000002</v>
      </c>
      <c r="V66" s="31">
        <v>126858.24000000001</v>
      </c>
      <c r="W66" s="31">
        <v>45553.649999999994</v>
      </c>
      <c r="X66" s="31">
        <v>1798464.3156417287</v>
      </c>
      <c r="Y66" s="31">
        <v>1087016.2234294927</v>
      </c>
      <c r="Z66" s="31">
        <v>303833.27075015526</v>
      </c>
      <c r="AA66" s="31">
        <f t="shared" si="5"/>
        <v>17096769.791207343</v>
      </c>
      <c r="AB66" s="31">
        <v>0</v>
      </c>
      <c r="AD66" s="42" t="s">
        <v>373</v>
      </c>
      <c r="AE66" s="42" t="s">
        <v>374</v>
      </c>
      <c r="AF66" s="43" t="s">
        <v>1275</v>
      </c>
      <c r="AG66" s="44">
        <v>32</v>
      </c>
      <c r="AH66" s="31">
        <v>13830793.511129027</v>
      </c>
      <c r="AI66" s="31">
        <v>179554.47</v>
      </c>
      <c r="AJ66" s="31">
        <v>129462.66</v>
      </c>
      <c r="AK66" s="31">
        <v>46446.630000000005</v>
      </c>
      <c r="AL66" s="31">
        <v>1833362.8347364112</v>
      </c>
      <c r="AM66" s="31">
        <v>1086787.0327131047</v>
      </c>
      <c r="AN66" s="31">
        <v>309857.14207957825</v>
      </c>
      <c r="AO66" s="31">
        <f t="shared" si="6"/>
        <v>17416264.280658122</v>
      </c>
      <c r="AP66" s="31">
        <v>0</v>
      </c>
      <c r="AR66" s="42" t="s">
        <v>373</v>
      </c>
      <c r="AS66" s="42" t="s">
        <v>374</v>
      </c>
      <c r="AT66" s="43" t="s">
        <v>1276</v>
      </c>
      <c r="AU66" s="44">
        <v>32</v>
      </c>
      <c r="AV66" s="31">
        <v>14112715.737239011</v>
      </c>
      <c r="AW66" s="31">
        <v>183130.95</v>
      </c>
      <c r="AX66" s="31">
        <v>131988.41999999998</v>
      </c>
      <c r="AY66" s="31">
        <v>47429.610000000008</v>
      </c>
      <c r="AZ66" s="31">
        <v>1870745.866899804</v>
      </c>
      <c r="BA66" s="31">
        <v>1086822.6632804037</v>
      </c>
      <c r="BB66" s="31">
        <v>316179.26720618142</v>
      </c>
      <c r="BC66" s="31">
        <f t="shared" si="7"/>
        <v>17749012.514625397</v>
      </c>
      <c r="BD66" s="31">
        <v>0</v>
      </c>
    </row>
    <row r="67" spans="2:56">
      <c r="B67" s="42" t="s">
        <v>525</v>
      </c>
      <c r="C67" s="42" t="s">
        <v>526</v>
      </c>
      <c r="D67" s="43" t="s">
        <v>1049</v>
      </c>
      <c r="E67" s="44">
        <v>32</v>
      </c>
      <c r="F67" s="31">
        <v>369483.16628448508</v>
      </c>
      <c r="G67" s="31">
        <v>11011.02</v>
      </c>
      <c r="H67" s="31">
        <v>0</v>
      </c>
      <c r="I67" s="31">
        <v>0</v>
      </c>
      <c r="J67" s="31">
        <v>19542.514764255699</v>
      </c>
      <c r="K67" s="31">
        <v>93212.844263618346</v>
      </c>
      <c r="L67" s="31">
        <v>0</v>
      </c>
      <c r="M67" s="31">
        <f t="shared" si="4"/>
        <v>497244.70531235909</v>
      </c>
      <c r="N67" s="31">
        <v>3995.1600000000003</v>
      </c>
      <c r="P67" s="42" t="s">
        <v>525</v>
      </c>
      <c r="Q67" s="42" t="s">
        <v>526</v>
      </c>
      <c r="R67" s="43" t="s">
        <v>1050</v>
      </c>
      <c r="S67" s="44">
        <v>32</v>
      </c>
      <c r="T67" s="31">
        <v>385607.59896137257</v>
      </c>
      <c r="U67" s="31">
        <v>11489.07</v>
      </c>
      <c r="V67" s="31">
        <v>0</v>
      </c>
      <c r="W67" s="31">
        <v>0</v>
      </c>
      <c r="X67" s="31">
        <v>20199.775819888106</v>
      </c>
      <c r="Y67" s="31">
        <v>93275.39228663173</v>
      </c>
      <c r="Z67" s="31">
        <v>0</v>
      </c>
      <c r="AA67" s="31">
        <f t="shared" si="5"/>
        <v>514665.19706789241</v>
      </c>
      <c r="AB67" s="31">
        <v>4093.36</v>
      </c>
      <c r="AD67" s="42" t="s">
        <v>525</v>
      </c>
      <c r="AE67" s="42" t="s">
        <v>526</v>
      </c>
      <c r="AF67" s="43" t="s">
        <v>1275</v>
      </c>
      <c r="AG67" s="44">
        <v>32</v>
      </c>
      <c r="AH67" s="31">
        <v>392990.69230746524</v>
      </c>
      <c r="AI67" s="31">
        <v>11721.77</v>
      </c>
      <c r="AJ67" s="31">
        <v>0</v>
      </c>
      <c r="AK67" s="31">
        <v>0</v>
      </c>
      <c r="AL67" s="31">
        <v>20573.479813030426</v>
      </c>
      <c r="AM67" s="31">
        <v>93254.142899069629</v>
      </c>
      <c r="AN67" s="31">
        <v>0</v>
      </c>
      <c r="AO67" s="31">
        <f t="shared" si="6"/>
        <v>522705.56501956534</v>
      </c>
      <c r="AP67" s="31">
        <v>4165.4799999999996</v>
      </c>
      <c r="AR67" s="42" t="s">
        <v>525</v>
      </c>
      <c r="AS67" s="42" t="s">
        <v>526</v>
      </c>
      <c r="AT67" s="43" t="s">
        <v>1276</v>
      </c>
      <c r="AU67" s="44">
        <v>32</v>
      </c>
      <c r="AV67" s="31">
        <v>400140.13862161041</v>
      </c>
      <c r="AW67" s="31">
        <v>11934.640000000003</v>
      </c>
      <c r="AX67" s="31">
        <v>0</v>
      </c>
      <c r="AY67" s="31">
        <v>0</v>
      </c>
      <c r="AZ67" s="31">
        <v>20951.511342221198</v>
      </c>
      <c r="BA67" s="31">
        <v>93257.524427724711</v>
      </c>
      <c r="BB67" s="31">
        <v>0</v>
      </c>
      <c r="BC67" s="31">
        <f t="shared" si="7"/>
        <v>530526.54439155629</v>
      </c>
      <c r="BD67" s="31">
        <v>4242.7299999999996</v>
      </c>
    </row>
    <row r="68" spans="2:56">
      <c r="B68" s="42" t="s">
        <v>469</v>
      </c>
      <c r="C68" s="42" t="s">
        <v>470</v>
      </c>
      <c r="D68" s="43" t="s">
        <v>1049</v>
      </c>
      <c r="E68" s="44">
        <v>32</v>
      </c>
      <c r="F68" s="31">
        <v>28946654.90689211</v>
      </c>
      <c r="G68" s="31">
        <v>1236916.33</v>
      </c>
      <c r="H68" s="31">
        <v>157477.07999999999</v>
      </c>
      <c r="I68" s="31">
        <v>101689.25</v>
      </c>
      <c r="J68" s="31">
        <v>4885557.0036764331</v>
      </c>
      <c r="K68" s="31">
        <v>2371052.8070992967</v>
      </c>
      <c r="L68" s="31">
        <v>2201703.5246145553</v>
      </c>
      <c r="M68" s="31">
        <f t="shared" si="4"/>
        <v>40461854.9122824</v>
      </c>
      <c r="N68" s="31">
        <v>560804.01</v>
      </c>
      <c r="P68" s="42" t="s">
        <v>469</v>
      </c>
      <c r="Q68" s="42" t="s">
        <v>470</v>
      </c>
      <c r="R68" s="43" t="s">
        <v>1050</v>
      </c>
      <c r="S68" s="44">
        <v>32</v>
      </c>
      <c r="T68" s="31">
        <v>30499895.226196226</v>
      </c>
      <c r="U68" s="31">
        <v>1297774.7999999998</v>
      </c>
      <c r="V68" s="31">
        <v>164200.78</v>
      </c>
      <c r="W68" s="31">
        <v>106081.26</v>
      </c>
      <c r="X68" s="31">
        <v>5075227.7145591974</v>
      </c>
      <c r="Y68" s="31">
        <v>2373582.3054574742</v>
      </c>
      <c r="Z68" s="31">
        <v>2313577.8639764572</v>
      </c>
      <c r="AA68" s="31">
        <f t="shared" si="5"/>
        <v>42407784.290189363</v>
      </c>
      <c r="AB68" s="31">
        <v>577444.34</v>
      </c>
      <c r="AD68" s="42" t="s">
        <v>469</v>
      </c>
      <c r="AE68" s="42" t="s">
        <v>470</v>
      </c>
      <c r="AF68" s="43" t="s">
        <v>1275</v>
      </c>
      <c r="AG68" s="44">
        <v>32</v>
      </c>
      <c r="AH68" s="31">
        <v>31108083.23795104</v>
      </c>
      <c r="AI68" s="31">
        <v>1325226.5699999996</v>
      </c>
      <c r="AJ68" s="31">
        <v>167414.65</v>
      </c>
      <c r="AK68" s="31">
        <v>108264.33000000002</v>
      </c>
      <c r="AL68" s="31">
        <v>5173235.7979512829</v>
      </c>
      <c r="AM68" s="31">
        <v>2372722.9610951571</v>
      </c>
      <c r="AN68" s="31">
        <v>2359894.7147449176</v>
      </c>
      <c r="AO68" s="31">
        <f t="shared" si="6"/>
        <v>43202926.111742392</v>
      </c>
      <c r="AP68" s="31">
        <v>588083.85000000009</v>
      </c>
      <c r="AR68" s="42" t="s">
        <v>469</v>
      </c>
      <c r="AS68" s="42" t="s">
        <v>470</v>
      </c>
      <c r="AT68" s="43" t="s">
        <v>1276</v>
      </c>
      <c r="AU68" s="44">
        <v>32</v>
      </c>
      <c r="AV68" s="31">
        <v>31736589.587184209</v>
      </c>
      <c r="AW68" s="31">
        <v>1351682.77</v>
      </c>
      <c r="AX68" s="31">
        <v>170921.62999999998</v>
      </c>
      <c r="AY68" s="31">
        <v>110468.43999999999</v>
      </c>
      <c r="AZ68" s="31">
        <v>5277862.2424924616</v>
      </c>
      <c r="BA68" s="31">
        <v>2372859.7131581176</v>
      </c>
      <c r="BB68" s="31">
        <v>2407533.3600372048</v>
      </c>
      <c r="BC68" s="31">
        <f t="shared" si="7"/>
        <v>44028025.262871996</v>
      </c>
      <c r="BD68" s="31">
        <v>600107.5199999999</v>
      </c>
    </row>
    <row r="69" spans="2:56">
      <c r="B69" s="42" t="s">
        <v>587</v>
      </c>
      <c r="C69" s="42" t="s">
        <v>588</v>
      </c>
      <c r="D69" s="43" t="s">
        <v>1049</v>
      </c>
      <c r="E69" s="44">
        <v>32</v>
      </c>
      <c r="F69" s="31">
        <v>26517901.745412007</v>
      </c>
      <c r="G69" s="31">
        <v>1186949.9100000004</v>
      </c>
      <c r="H69" s="31">
        <v>538858.30999999994</v>
      </c>
      <c r="I69" s="31">
        <v>91401.279999999999</v>
      </c>
      <c r="J69" s="31">
        <v>3678180.6928263046</v>
      </c>
      <c r="K69" s="31">
        <v>1742989.5621444487</v>
      </c>
      <c r="L69" s="31">
        <v>1833932.1486166811</v>
      </c>
      <c r="M69" s="31">
        <f t="shared" ref="M69:M132" si="8">SUM(F69:L69,N69)</f>
        <v>36519719.848999441</v>
      </c>
      <c r="N69" s="31">
        <v>929506.2</v>
      </c>
      <c r="P69" s="42" t="s">
        <v>587</v>
      </c>
      <c r="Q69" s="42" t="s">
        <v>588</v>
      </c>
      <c r="R69" s="43" t="s">
        <v>1050</v>
      </c>
      <c r="S69" s="44">
        <v>32</v>
      </c>
      <c r="T69" s="31">
        <v>27973045.89804301</v>
      </c>
      <c r="U69" s="31">
        <v>1251507.6600000004</v>
      </c>
      <c r="V69" s="31">
        <v>562181.81999999995</v>
      </c>
      <c r="W69" s="31">
        <v>95417.110000000015</v>
      </c>
      <c r="X69" s="31">
        <v>3821426.6373586059</v>
      </c>
      <c r="Y69" s="31">
        <v>1744401.8553134389</v>
      </c>
      <c r="Z69" s="31">
        <v>1926547.5429174048</v>
      </c>
      <c r="AA69" s="31">
        <f t="shared" ref="AA69:AA132" si="9">SUM(T69:Z69,AB69)</f>
        <v>38331577.803632461</v>
      </c>
      <c r="AB69" s="31">
        <v>957049.28</v>
      </c>
      <c r="AD69" s="42" t="s">
        <v>587</v>
      </c>
      <c r="AE69" s="42" t="s">
        <v>588</v>
      </c>
      <c r="AF69" s="43" t="s">
        <v>1275</v>
      </c>
      <c r="AG69" s="44">
        <v>32</v>
      </c>
      <c r="AH69" s="31">
        <v>28532211.808695611</v>
      </c>
      <c r="AI69" s="31">
        <v>1278787.73</v>
      </c>
      <c r="AJ69" s="31">
        <v>573694.63</v>
      </c>
      <c r="AK69" s="31">
        <v>97283.590000000011</v>
      </c>
      <c r="AL69" s="31">
        <v>3895099.613446536</v>
      </c>
      <c r="AM69" s="31">
        <v>1743922.0581359523</v>
      </c>
      <c r="AN69" s="31">
        <v>1965208.402263832</v>
      </c>
      <c r="AO69" s="31">
        <f t="shared" ref="AO69:AO132" si="10">SUM(AH69:AN69,AP69)</f>
        <v>39060829.872541927</v>
      </c>
      <c r="AP69" s="31">
        <v>974622.04000000015</v>
      </c>
      <c r="AR69" s="42" t="s">
        <v>587</v>
      </c>
      <c r="AS69" s="42" t="s">
        <v>588</v>
      </c>
      <c r="AT69" s="43" t="s">
        <v>1276</v>
      </c>
      <c r="AU69" s="44">
        <v>32</v>
      </c>
      <c r="AV69" s="31">
        <v>29106877.746547267</v>
      </c>
      <c r="AW69" s="31">
        <v>1304097.7299999997</v>
      </c>
      <c r="AX69" s="31">
        <v>585116.25</v>
      </c>
      <c r="AY69" s="31">
        <v>99270.170000000013</v>
      </c>
      <c r="AZ69" s="31">
        <v>3973663.6314842752</v>
      </c>
      <c r="BA69" s="31">
        <v>1743998.4108260972</v>
      </c>
      <c r="BB69" s="31">
        <v>2005046.5353246704</v>
      </c>
      <c r="BC69" s="31">
        <f t="shared" ref="BC69:BC132" si="11">SUM(AV69:BB69,BD69)</f>
        <v>39812523.654182307</v>
      </c>
      <c r="BD69" s="31">
        <v>994453.17999999993</v>
      </c>
    </row>
    <row r="70" spans="2:56">
      <c r="B70" s="42" t="s">
        <v>95</v>
      </c>
      <c r="C70" s="42" t="s">
        <v>96</v>
      </c>
      <c r="D70" s="43" t="s">
        <v>1049</v>
      </c>
      <c r="E70" s="44">
        <v>32</v>
      </c>
      <c r="F70" s="31">
        <v>46282008.110941365</v>
      </c>
      <c r="G70" s="31">
        <v>2122789.8800000004</v>
      </c>
      <c r="H70" s="31">
        <v>1668901.67</v>
      </c>
      <c r="I70" s="31">
        <v>163314.01</v>
      </c>
      <c r="J70" s="31">
        <v>6266505.0426672148</v>
      </c>
      <c r="K70" s="31">
        <v>1869628.0526013325</v>
      </c>
      <c r="L70" s="31">
        <v>4230067.2381449761</v>
      </c>
      <c r="M70" s="31">
        <f t="shared" si="8"/>
        <v>64130433.934354894</v>
      </c>
      <c r="N70" s="31">
        <v>1527219.9300000002</v>
      </c>
      <c r="P70" s="42" t="s">
        <v>95</v>
      </c>
      <c r="Q70" s="42" t="s">
        <v>96</v>
      </c>
      <c r="R70" s="43" t="s">
        <v>1050</v>
      </c>
      <c r="S70" s="44">
        <v>32</v>
      </c>
      <c r="T70" s="31">
        <v>48790894.004261918</v>
      </c>
      <c r="U70" s="31">
        <v>2236339.73</v>
      </c>
      <c r="V70" s="31">
        <v>1741589.8499999999</v>
      </c>
      <c r="W70" s="31">
        <v>170394.90999999997</v>
      </c>
      <c r="X70" s="31">
        <v>6510671.4749989705</v>
      </c>
      <c r="Y70" s="31">
        <v>1871093.7923815828</v>
      </c>
      <c r="Z70" s="31">
        <v>4444668.0147461351</v>
      </c>
      <c r="AA70" s="31">
        <f t="shared" si="9"/>
        <v>67338103.906388611</v>
      </c>
      <c r="AB70" s="31">
        <v>1572452.13</v>
      </c>
      <c r="AD70" s="42" t="s">
        <v>95</v>
      </c>
      <c r="AE70" s="42" t="s">
        <v>96</v>
      </c>
      <c r="AF70" s="43" t="s">
        <v>1275</v>
      </c>
      <c r="AG70" s="44">
        <v>32</v>
      </c>
      <c r="AH70" s="31">
        <v>49764418.555923328</v>
      </c>
      <c r="AI70" s="31">
        <v>2284808.4600000004</v>
      </c>
      <c r="AJ70" s="31">
        <v>1776895.5600000003</v>
      </c>
      <c r="AK70" s="31">
        <v>173934.38</v>
      </c>
      <c r="AL70" s="31">
        <v>6636200.0307221236</v>
      </c>
      <c r="AM70" s="31">
        <v>1870595.8378315393</v>
      </c>
      <c r="AN70" s="31">
        <v>4533637.6537442971</v>
      </c>
      <c r="AO70" s="31">
        <f t="shared" si="10"/>
        <v>68641764.128221303</v>
      </c>
      <c r="AP70" s="31">
        <v>1601273.65</v>
      </c>
      <c r="AR70" s="42" t="s">
        <v>95</v>
      </c>
      <c r="AS70" s="42" t="s">
        <v>96</v>
      </c>
      <c r="AT70" s="43" t="s">
        <v>1276</v>
      </c>
      <c r="AU70" s="44">
        <v>32</v>
      </c>
      <c r="AV70" s="31">
        <v>50767381.818736054</v>
      </c>
      <c r="AW70" s="31">
        <v>2330115.96</v>
      </c>
      <c r="AX70" s="31">
        <v>1812494.74</v>
      </c>
      <c r="AY70" s="31">
        <v>177425.74</v>
      </c>
      <c r="AZ70" s="31">
        <v>6770074.7609027429</v>
      </c>
      <c r="BA70" s="31">
        <v>1870675.0800014597</v>
      </c>
      <c r="BB70" s="31">
        <v>4625163.7997543085</v>
      </c>
      <c r="BC70" s="31">
        <f t="shared" si="11"/>
        <v>69987194.659394577</v>
      </c>
      <c r="BD70" s="31">
        <v>1633862.76</v>
      </c>
    </row>
    <row r="71" spans="2:56">
      <c r="B71" s="42" t="s">
        <v>241</v>
      </c>
      <c r="C71" s="42" t="s">
        <v>242</v>
      </c>
      <c r="D71" s="43" t="s">
        <v>1049</v>
      </c>
      <c r="E71" s="44">
        <v>32</v>
      </c>
      <c r="F71" s="31">
        <v>1942673.4093458413</v>
      </c>
      <c r="G71" s="31">
        <v>38587.31</v>
      </c>
      <c r="H71" s="31">
        <v>13934.31</v>
      </c>
      <c r="I71" s="31">
        <v>0</v>
      </c>
      <c r="J71" s="31">
        <v>95661.212467181642</v>
      </c>
      <c r="K71" s="31">
        <v>111636.73228081799</v>
      </c>
      <c r="L71" s="31">
        <v>0</v>
      </c>
      <c r="M71" s="31">
        <f t="shared" si="8"/>
        <v>2227048.554093841</v>
      </c>
      <c r="N71" s="31">
        <v>24555.579999999998</v>
      </c>
      <c r="P71" s="42" t="s">
        <v>241</v>
      </c>
      <c r="Q71" s="42" t="s">
        <v>242</v>
      </c>
      <c r="R71" s="43" t="s">
        <v>1050</v>
      </c>
      <c r="S71" s="44">
        <v>32</v>
      </c>
      <c r="T71" s="31">
        <v>2021720.0290214962</v>
      </c>
      <c r="U71" s="31">
        <v>40408.380000000005</v>
      </c>
      <c r="V71" s="31">
        <v>14469.42</v>
      </c>
      <c r="W71" s="31">
        <v>0</v>
      </c>
      <c r="X71" s="31">
        <v>98908.396607239847</v>
      </c>
      <c r="Y71" s="31">
        <v>111697.47970386884</v>
      </c>
      <c r="Z71" s="31">
        <v>0</v>
      </c>
      <c r="AA71" s="31">
        <f t="shared" si="9"/>
        <v>2312362.9553326047</v>
      </c>
      <c r="AB71" s="31">
        <v>25159.249999999996</v>
      </c>
      <c r="AD71" s="42" t="s">
        <v>241</v>
      </c>
      <c r="AE71" s="42" t="s">
        <v>242</v>
      </c>
      <c r="AF71" s="43" t="s">
        <v>1275</v>
      </c>
      <c r="AG71" s="44">
        <v>32</v>
      </c>
      <c r="AH71" s="31">
        <v>2060340.0507676685</v>
      </c>
      <c r="AI71" s="31">
        <v>41247.710000000006</v>
      </c>
      <c r="AJ71" s="31">
        <v>14752.44</v>
      </c>
      <c r="AK71" s="31">
        <v>0</v>
      </c>
      <c r="AL71" s="31">
        <v>100740.56850348873</v>
      </c>
      <c r="AM71" s="31">
        <v>111676.84203262655</v>
      </c>
      <c r="AN71" s="31">
        <v>0</v>
      </c>
      <c r="AO71" s="31">
        <f t="shared" si="10"/>
        <v>2354360.1213037837</v>
      </c>
      <c r="AP71" s="31">
        <v>25602.51</v>
      </c>
      <c r="AR71" s="42" t="s">
        <v>241</v>
      </c>
      <c r="AS71" s="42" t="s">
        <v>242</v>
      </c>
      <c r="AT71" s="43" t="s">
        <v>1276</v>
      </c>
      <c r="AU71" s="44">
        <v>32</v>
      </c>
      <c r="AV71" s="31">
        <v>2097741.8335196297</v>
      </c>
      <c r="AW71" s="31">
        <v>41993.73000000001</v>
      </c>
      <c r="AX71" s="31">
        <v>15021.84</v>
      </c>
      <c r="AY71" s="31">
        <v>0</v>
      </c>
      <c r="AZ71" s="31">
        <v>102595.89103947733</v>
      </c>
      <c r="BA71" s="31">
        <v>111680.12621559303</v>
      </c>
      <c r="BB71" s="31">
        <v>0</v>
      </c>
      <c r="BC71" s="31">
        <f t="shared" si="11"/>
        <v>2395110.6607746999</v>
      </c>
      <c r="BD71" s="31">
        <v>26077.239999999994</v>
      </c>
    </row>
    <row r="72" spans="2:56">
      <c r="B72" s="42" t="s">
        <v>385</v>
      </c>
      <c r="C72" s="42" t="s">
        <v>386</v>
      </c>
      <c r="D72" s="43" t="s">
        <v>1049</v>
      </c>
      <c r="E72" s="44">
        <v>32</v>
      </c>
      <c r="F72" s="31">
        <v>15300877.206247209</v>
      </c>
      <c r="G72" s="31">
        <v>497640.00999999989</v>
      </c>
      <c r="H72" s="31">
        <v>0</v>
      </c>
      <c r="I72" s="31">
        <v>53496.069999999992</v>
      </c>
      <c r="J72" s="31">
        <v>2074772.7654096165</v>
      </c>
      <c r="K72" s="31">
        <v>1335744.2156340177</v>
      </c>
      <c r="L72" s="31">
        <v>1395185.6444581565</v>
      </c>
      <c r="M72" s="31">
        <f t="shared" si="8"/>
        <v>20714914.791748997</v>
      </c>
      <c r="N72" s="31">
        <v>57198.879999999997</v>
      </c>
      <c r="P72" s="42" t="s">
        <v>385</v>
      </c>
      <c r="Q72" s="42" t="s">
        <v>386</v>
      </c>
      <c r="R72" s="43" t="s">
        <v>1050</v>
      </c>
      <c r="S72" s="44">
        <v>32</v>
      </c>
      <c r="T72" s="31">
        <v>15967759.850964628</v>
      </c>
      <c r="U72" s="31">
        <v>520073.87999999995</v>
      </c>
      <c r="V72" s="31">
        <v>0</v>
      </c>
      <c r="W72" s="31">
        <v>55853.919999999998</v>
      </c>
      <c r="X72" s="31">
        <v>2155574.2273717327</v>
      </c>
      <c r="Y72" s="31">
        <v>1337380.0730324832</v>
      </c>
      <c r="Z72" s="31">
        <v>1451796.7070622439</v>
      </c>
      <c r="AA72" s="31">
        <f t="shared" si="9"/>
        <v>21547343.228431091</v>
      </c>
      <c r="AB72" s="31">
        <v>58904.570000000007</v>
      </c>
      <c r="AD72" s="42" t="s">
        <v>385</v>
      </c>
      <c r="AE72" s="42" t="s">
        <v>386</v>
      </c>
      <c r="AF72" s="43" t="s">
        <v>1275</v>
      </c>
      <c r="AG72" s="44">
        <v>32</v>
      </c>
      <c r="AH72" s="31">
        <v>16286591.702466568</v>
      </c>
      <c r="AI72" s="31">
        <v>530774.32000000007</v>
      </c>
      <c r="AJ72" s="31">
        <v>0</v>
      </c>
      <c r="AK72" s="31">
        <v>56946.490000000005</v>
      </c>
      <c r="AL72" s="31">
        <v>2197133.5835365276</v>
      </c>
      <c r="AM72" s="31">
        <v>1336824.3245662383</v>
      </c>
      <c r="AN72" s="31">
        <v>1481208.3905451833</v>
      </c>
      <c r="AO72" s="31">
        <f t="shared" si="10"/>
        <v>21949421.171114512</v>
      </c>
      <c r="AP72" s="31">
        <v>59942.360000000008</v>
      </c>
      <c r="AR72" s="42" t="s">
        <v>385</v>
      </c>
      <c r="AS72" s="42" t="s">
        <v>386</v>
      </c>
      <c r="AT72" s="43" t="s">
        <v>1276</v>
      </c>
      <c r="AU72" s="44">
        <v>32</v>
      </c>
      <c r="AV72" s="31">
        <v>16614877.878034595</v>
      </c>
      <c r="AW72" s="31">
        <v>541396.85000000009</v>
      </c>
      <c r="AX72" s="31">
        <v>0</v>
      </c>
      <c r="AY72" s="31">
        <v>58091.44</v>
      </c>
      <c r="AZ72" s="31">
        <v>2241454.5351826558</v>
      </c>
      <c r="BA72" s="31">
        <v>1336912.7637910456</v>
      </c>
      <c r="BB72" s="31">
        <v>1511266.9516188391</v>
      </c>
      <c r="BC72" s="31">
        <f t="shared" si="11"/>
        <v>22365157.758627139</v>
      </c>
      <c r="BD72" s="31">
        <v>61157.34</v>
      </c>
    </row>
    <row r="73" spans="2:56">
      <c r="B73" s="42" t="s">
        <v>429</v>
      </c>
      <c r="C73" s="42" t="s">
        <v>430</v>
      </c>
      <c r="D73" s="43" t="s">
        <v>1049</v>
      </c>
      <c r="E73" s="44">
        <v>32</v>
      </c>
      <c r="F73" s="31">
        <v>185721688.43698636</v>
      </c>
      <c r="G73" s="31">
        <v>5310638.2899999991</v>
      </c>
      <c r="H73" s="31">
        <v>5891161.1700000009</v>
      </c>
      <c r="I73" s="31">
        <v>652114.32000000007</v>
      </c>
      <c r="J73" s="31">
        <v>29526751.608861737</v>
      </c>
      <c r="K73" s="31">
        <v>15254384.123382561</v>
      </c>
      <c r="L73" s="31">
        <v>10414177.156155415</v>
      </c>
      <c r="M73" s="31">
        <f t="shared" si="8"/>
        <v>253508848.78538606</v>
      </c>
      <c r="N73" s="31">
        <v>737933.68000000017</v>
      </c>
      <c r="P73" s="42" t="s">
        <v>429</v>
      </c>
      <c r="Q73" s="42" t="s">
        <v>430</v>
      </c>
      <c r="R73" s="43" t="s">
        <v>1050</v>
      </c>
      <c r="S73" s="44">
        <v>32</v>
      </c>
      <c r="T73" s="31">
        <v>193599407.42773691</v>
      </c>
      <c r="U73" s="31">
        <v>5542671.96</v>
      </c>
      <c r="V73" s="31">
        <v>6138851.3100000005</v>
      </c>
      <c r="W73" s="31">
        <v>679492.51</v>
      </c>
      <c r="X73" s="31">
        <v>30655870.046303418</v>
      </c>
      <c r="Y73" s="31">
        <v>15267296.658523019</v>
      </c>
      <c r="Z73" s="31">
        <v>10828950.961043961</v>
      </c>
      <c r="AA73" s="31">
        <f t="shared" si="9"/>
        <v>263472650.87360731</v>
      </c>
      <c r="AB73" s="31">
        <v>760110</v>
      </c>
      <c r="AD73" s="42" t="s">
        <v>429</v>
      </c>
      <c r="AE73" s="42" t="s">
        <v>430</v>
      </c>
      <c r="AF73" s="43" t="s">
        <v>1275</v>
      </c>
      <c r="AG73" s="44">
        <v>32</v>
      </c>
      <c r="AH73" s="31">
        <v>197474264.73576495</v>
      </c>
      <c r="AI73" s="31">
        <v>5656929.6899999995</v>
      </c>
      <c r="AJ73" s="31">
        <v>6263875.54</v>
      </c>
      <c r="AK73" s="31">
        <v>693293.29</v>
      </c>
      <c r="AL73" s="31">
        <v>31251564.434724696</v>
      </c>
      <c r="AM73" s="31">
        <v>15262416.687115045</v>
      </c>
      <c r="AN73" s="31">
        <v>11046444.872801086</v>
      </c>
      <c r="AO73" s="31">
        <f t="shared" si="10"/>
        <v>268423118.81040576</v>
      </c>
      <c r="AP73" s="31">
        <v>774329.56</v>
      </c>
      <c r="AR73" s="42" t="s">
        <v>429</v>
      </c>
      <c r="AS73" s="42" t="s">
        <v>430</v>
      </c>
      <c r="AT73" s="43" t="s">
        <v>1276</v>
      </c>
      <c r="AU73" s="44">
        <v>32</v>
      </c>
      <c r="AV73" s="31">
        <v>201505582.93610582</v>
      </c>
      <c r="AW73" s="31">
        <v>5771936.4000000004</v>
      </c>
      <c r="AX73" s="31">
        <v>6391450.7200000007</v>
      </c>
      <c r="AY73" s="31">
        <v>707418.16</v>
      </c>
      <c r="AZ73" s="31">
        <v>31890562.23573165</v>
      </c>
      <c r="BA73" s="31">
        <v>15263167.750668004</v>
      </c>
      <c r="BB73" s="31">
        <v>11272357.72985314</v>
      </c>
      <c r="BC73" s="31">
        <f t="shared" si="11"/>
        <v>273592855.38235861</v>
      </c>
      <c r="BD73" s="31">
        <v>790379.45000000007</v>
      </c>
    </row>
    <row r="74" spans="2:56">
      <c r="B74" s="42" t="s">
        <v>245</v>
      </c>
      <c r="C74" s="42" t="s">
        <v>246</v>
      </c>
      <c r="D74" s="43" t="s">
        <v>1049</v>
      </c>
      <c r="E74" s="44">
        <v>32</v>
      </c>
      <c r="F74" s="31">
        <v>25992264.91705076</v>
      </c>
      <c r="G74" s="31">
        <v>820467.8</v>
      </c>
      <c r="H74" s="31">
        <v>337541.61</v>
      </c>
      <c r="I74" s="31">
        <v>90719.19</v>
      </c>
      <c r="J74" s="31">
        <v>3664280.1141184592</v>
      </c>
      <c r="K74" s="31">
        <v>1688808.6694923157</v>
      </c>
      <c r="L74" s="31">
        <v>2015605.3236128404</v>
      </c>
      <c r="M74" s="31">
        <f t="shared" si="8"/>
        <v>34761990.614274383</v>
      </c>
      <c r="N74" s="31">
        <v>152302.99</v>
      </c>
      <c r="P74" s="42" t="s">
        <v>245</v>
      </c>
      <c r="Q74" s="42" t="s">
        <v>246</v>
      </c>
      <c r="R74" s="43" t="s">
        <v>1050</v>
      </c>
      <c r="S74" s="44">
        <v>32</v>
      </c>
      <c r="T74" s="31">
        <v>27130982.878224064</v>
      </c>
      <c r="U74" s="31">
        <v>858238.35999999987</v>
      </c>
      <c r="V74" s="31">
        <v>352223.69999999995</v>
      </c>
      <c r="W74" s="31">
        <v>94607.64</v>
      </c>
      <c r="X74" s="31">
        <v>3807017.0268728295</v>
      </c>
      <c r="Y74" s="31">
        <v>1690050.1130480126</v>
      </c>
      <c r="Z74" s="31">
        <v>2097670.9406337268</v>
      </c>
      <c r="AA74" s="31">
        <f t="shared" si="9"/>
        <v>36187636.51877863</v>
      </c>
      <c r="AB74" s="31">
        <v>156845.86000000002</v>
      </c>
      <c r="AD74" s="42" t="s">
        <v>245</v>
      </c>
      <c r="AE74" s="42" t="s">
        <v>246</v>
      </c>
      <c r="AF74" s="43" t="s">
        <v>1275</v>
      </c>
      <c r="AG74" s="44">
        <v>32</v>
      </c>
      <c r="AH74" s="31">
        <v>27674531.258845553</v>
      </c>
      <c r="AI74" s="31">
        <v>875951.90999999992</v>
      </c>
      <c r="AJ74" s="31">
        <v>359319.98</v>
      </c>
      <c r="AK74" s="31">
        <v>96561.439999999988</v>
      </c>
      <c r="AL74" s="31">
        <v>3880419.864500931</v>
      </c>
      <c r="AM74" s="31">
        <v>1689628.3584668031</v>
      </c>
      <c r="AN74" s="31">
        <v>2139527.1720092166</v>
      </c>
      <c r="AO74" s="31">
        <f t="shared" si="10"/>
        <v>36875650.803822502</v>
      </c>
      <c r="AP74" s="31">
        <v>159710.81999999998</v>
      </c>
      <c r="AR74" s="42" t="s">
        <v>245</v>
      </c>
      <c r="AS74" s="42" t="s">
        <v>246</v>
      </c>
      <c r="AT74" s="43" t="s">
        <v>1276</v>
      </c>
      <c r="AU74" s="44">
        <v>32</v>
      </c>
      <c r="AV74" s="31">
        <v>28234408.261175588</v>
      </c>
      <c r="AW74" s="31">
        <v>893483.0399999998</v>
      </c>
      <c r="AX74" s="31">
        <v>366616.81000000006</v>
      </c>
      <c r="AY74" s="31">
        <v>98429.780000000013</v>
      </c>
      <c r="AZ74" s="31">
        <v>3958689.5145770367</v>
      </c>
      <c r="BA74" s="31">
        <v>1689695.474528271</v>
      </c>
      <c r="BB74" s="31">
        <v>2182496.459645818</v>
      </c>
      <c r="BC74" s="31">
        <f t="shared" si="11"/>
        <v>37586802.029926702</v>
      </c>
      <c r="BD74" s="31">
        <v>162982.69</v>
      </c>
    </row>
    <row r="75" spans="2:56">
      <c r="B75" s="42" t="s">
        <v>151</v>
      </c>
      <c r="C75" s="42" t="s">
        <v>152</v>
      </c>
      <c r="D75" s="43" t="s">
        <v>1049</v>
      </c>
      <c r="E75" s="44">
        <v>32</v>
      </c>
      <c r="F75" s="31">
        <v>11631235.059165977</v>
      </c>
      <c r="G75" s="31">
        <v>776994.50999999978</v>
      </c>
      <c r="H75" s="31">
        <v>193189.36</v>
      </c>
      <c r="I75" s="31">
        <v>45296.100000000006</v>
      </c>
      <c r="J75" s="31">
        <v>2034711.3325883052</v>
      </c>
      <c r="K75" s="31">
        <v>959356.70389505685</v>
      </c>
      <c r="L75" s="31">
        <v>2374789.8208077531</v>
      </c>
      <c r="M75" s="31">
        <f t="shared" si="8"/>
        <v>18477512.366457094</v>
      </c>
      <c r="N75" s="31">
        <v>461939.48000000004</v>
      </c>
      <c r="P75" s="42" t="s">
        <v>151</v>
      </c>
      <c r="Q75" s="42" t="s">
        <v>152</v>
      </c>
      <c r="R75" s="43" t="s">
        <v>1050</v>
      </c>
      <c r="S75" s="44">
        <v>32</v>
      </c>
      <c r="T75" s="31">
        <v>12256465.66316567</v>
      </c>
      <c r="U75" s="31">
        <v>816726.77000000025</v>
      </c>
      <c r="V75" s="31">
        <v>201481.06</v>
      </c>
      <c r="W75" s="31">
        <v>47228.689999999995</v>
      </c>
      <c r="X75" s="31">
        <v>2113704.5538307084</v>
      </c>
      <c r="Y75" s="31">
        <v>960289.01087326766</v>
      </c>
      <c r="Z75" s="31">
        <v>2495341.0080873528</v>
      </c>
      <c r="AA75" s="31">
        <f t="shared" si="9"/>
        <v>19366858.195957001</v>
      </c>
      <c r="AB75" s="31">
        <v>475621.44</v>
      </c>
      <c r="AD75" s="42" t="s">
        <v>151</v>
      </c>
      <c r="AE75" s="42" t="s">
        <v>152</v>
      </c>
      <c r="AF75" s="43" t="s">
        <v>1275</v>
      </c>
      <c r="AG75" s="44">
        <v>32</v>
      </c>
      <c r="AH75" s="31">
        <v>12500984.337854853</v>
      </c>
      <c r="AI75" s="31">
        <v>834251.72</v>
      </c>
      <c r="AJ75" s="31">
        <v>205638.17999999996</v>
      </c>
      <c r="AK75" s="31">
        <v>48153.07</v>
      </c>
      <c r="AL75" s="31">
        <v>2154523.0919128256</v>
      </c>
      <c r="AM75" s="31">
        <v>959972.27900305938</v>
      </c>
      <c r="AN75" s="31">
        <v>2545250.9797952757</v>
      </c>
      <c r="AO75" s="31">
        <f t="shared" si="10"/>
        <v>19733232.698566012</v>
      </c>
      <c r="AP75" s="31">
        <v>484459.04000000004</v>
      </c>
      <c r="AR75" s="42" t="s">
        <v>151</v>
      </c>
      <c r="AS75" s="42" t="s">
        <v>152</v>
      </c>
      <c r="AT75" s="43" t="s">
        <v>1276</v>
      </c>
      <c r="AU75" s="44">
        <v>32</v>
      </c>
      <c r="AV75" s="31">
        <v>12753171.244393893</v>
      </c>
      <c r="AW75" s="31">
        <v>850853.83999999985</v>
      </c>
      <c r="AX75" s="31">
        <v>209737.80000000002</v>
      </c>
      <c r="AY75" s="31">
        <v>49145.409999999996</v>
      </c>
      <c r="AZ75" s="31">
        <v>2198108.4709108211</v>
      </c>
      <c r="BA75" s="31">
        <v>960022.68223900942</v>
      </c>
      <c r="BB75" s="31">
        <v>2596524.6713475911</v>
      </c>
      <c r="BC75" s="31">
        <f t="shared" si="11"/>
        <v>20111902.688891318</v>
      </c>
      <c r="BD75" s="31">
        <v>494338.57</v>
      </c>
    </row>
    <row r="76" spans="2:56">
      <c r="B76" s="42" t="s">
        <v>573</v>
      </c>
      <c r="C76" s="42" t="s">
        <v>574</v>
      </c>
      <c r="D76" s="43" t="s">
        <v>1049</v>
      </c>
      <c r="E76" s="44">
        <v>32</v>
      </c>
      <c r="F76" s="31">
        <v>1921468.314020202</v>
      </c>
      <c r="G76" s="31">
        <v>27576.280000000002</v>
      </c>
      <c r="H76" s="31">
        <v>0</v>
      </c>
      <c r="I76" s="31">
        <v>2046.29</v>
      </c>
      <c r="J76" s="31">
        <v>90213.333926510473</v>
      </c>
      <c r="K76" s="31">
        <v>230809.1144059161</v>
      </c>
      <c r="L76" s="31">
        <v>0</v>
      </c>
      <c r="M76" s="31">
        <f t="shared" si="8"/>
        <v>2295012.3823526287</v>
      </c>
      <c r="N76" s="31">
        <v>22899.05</v>
      </c>
      <c r="P76" s="42" t="s">
        <v>573</v>
      </c>
      <c r="Q76" s="42" t="s">
        <v>574</v>
      </c>
      <c r="R76" s="43" t="s">
        <v>1050</v>
      </c>
      <c r="S76" s="44">
        <v>32</v>
      </c>
      <c r="T76" s="31">
        <v>1999497.9285269093</v>
      </c>
      <c r="U76" s="31">
        <v>28951.650000000009</v>
      </c>
      <c r="V76" s="31">
        <v>0</v>
      </c>
      <c r="W76" s="31">
        <v>2124.87</v>
      </c>
      <c r="X76" s="31">
        <v>93272.009849751848</v>
      </c>
      <c r="Y76" s="31">
        <v>231044.99920605411</v>
      </c>
      <c r="Z76" s="31">
        <v>0</v>
      </c>
      <c r="AA76" s="31">
        <f t="shared" si="9"/>
        <v>2378353.4575827154</v>
      </c>
      <c r="AB76" s="31">
        <v>23462</v>
      </c>
      <c r="AD76" s="42" t="s">
        <v>573</v>
      </c>
      <c r="AE76" s="42" t="s">
        <v>574</v>
      </c>
      <c r="AF76" s="43" t="s">
        <v>1275</v>
      </c>
      <c r="AG76" s="44">
        <v>32</v>
      </c>
      <c r="AH76" s="31">
        <v>2037692.6717148155</v>
      </c>
      <c r="AI76" s="31">
        <v>29563.55</v>
      </c>
      <c r="AJ76" s="31">
        <v>0</v>
      </c>
      <c r="AK76" s="31">
        <v>2166.4499999999998</v>
      </c>
      <c r="AL76" s="31">
        <v>94999.372270094391</v>
      </c>
      <c r="AM76" s="31">
        <v>230964.86226012587</v>
      </c>
      <c r="AN76" s="31">
        <v>0</v>
      </c>
      <c r="AO76" s="31">
        <f t="shared" si="10"/>
        <v>2419262.2662450359</v>
      </c>
      <c r="AP76" s="31">
        <v>23875.359999999997</v>
      </c>
      <c r="AR76" s="42" t="s">
        <v>573</v>
      </c>
      <c r="AS76" s="42" t="s">
        <v>574</v>
      </c>
      <c r="AT76" s="43" t="s">
        <v>1276</v>
      </c>
      <c r="AU76" s="44">
        <v>32</v>
      </c>
      <c r="AV76" s="31">
        <v>2074655.948879966</v>
      </c>
      <c r="AW76" s="31">
        <v>30096.690000000002</v>
      </c>
      <c r="AX76" s="31">
        <v>0</v>
      </c>
      <c r="AY76" s="31">
        <v>2206.02</v>
      </c>
      <c r="AZ76" s="31">
        <v>96748.230204777123</v>
      </c>
      <c r="BA76" s="31">
        <v>230977.61488079291</v>
      </c>
      <c r="BB76" s="31">
        <v>0</v>
      </c>
      <c r="BC76" s="31">
        <f t="shared" si="11"/>
        <v>2459002.573965536</v>
      </c>
      <c r="BD76" s="31">
        <v>24318.07</v>
      </c>
    </row>
    <row r="77" spans="2:56">
      <c r="B77" s="42" t="s">
        <v>33</v>
      </c>
      <c r="C77" s="42" t="s">
        <v>34</v>
      </c>
      <c r="D77" s="43" t="s">
        <v>1049</v>
      </c>
      <c r="E77" s="44">
        <v>32</v>
      </c>
      <c r="F77" s="31">
        <v>3663482.0130399093</v>
      </c>
      <c r="G77" s="31">
        <v>130743.31000000001</v>
      </c>
      <c r="H77" s="31">
        <v>81512.800000000003</v>
      </c>
      <c r="I77" s="31">
        <v>9079.41</v>
      </c>
      <c r="J77" s="31">
        <v>352259.71179496264</v>
      </c>
      <c r="K77" s="31">
        <v>261053.69399201623</v>
      </c>
      <c r="L77" s="31">
        <v>0</v>
      </c>
      <c r="M77" s="31">
        <f t="shared" si="8"/>
        <v>4590740.7788268877</v>
      </c>
      <c r="N77" s="31">
        <v>92609.839999999982</v>
      </c>
      <c r="P77" s="42" t="s">
        <v>33</v>
      </c>
      <c r="Q77" s="42" t="s">
        <v>34</v>
      </c>
      <c r="R77" s="43" t="s">
        <v>1050</v>
      </c>
      <c r="S77" s="44">
        <v>32</v>
      </c>
      <c r="T77" s="31">
        <v>3846201.2084318153</v>
      </c>
      <c r="U77" s="31">
        <v>137588.03000000003</v>
      </c>
      <c r="V77" s="31">
        <v>85032.549999999988</v>
      </c>
      <c r="W77" s="31">
        <v>9529.51</v>
      </c>
      <c r="X77" s="31">
        <v>365927.4078436651</v>
      </c>
      <c r="Y77" s="31">
        <v>261228.83385550528</v>
      </c>
      <c r="Z77" s="31">
        <v>0</v>
      </c>
      <c r="AA77" s="31">
        <f t="shared" si="9"/>
        <v>4800921.2601309847</v>
      </c>
      <c r="AB77" s="31">
        <v>95413.72</v>
      </c>
      <c r="AD77" s="42" t="s">
        <v>33</v>
      </c>
      <c r="AE77" s="42" t="s">
        <v>34</v>
      </c>
      <c r="AF77" s="43" t="s">
        <v>1275</v>
      </c>
      <c r="AG77" s="44">
        <v>32</v>
      </c>
      <c r="AH77" s="31">
        <v>3922096.310878071</v>
      </c>
      <c r="AI77" s="31">
        <v>140566.83000000002</v>
      </c>
      <c r="AJ77" s="31">
        <v>86696.869999999981</v>
      </c>
      <c r="AK77" s="31">
        <v>9716.0199999999986</v>
      </c>
      <c r="AL77" s="31">
        <v>372991.73977051413</v>
      </c>
      <c r="AM77" s="31">
        <v>261169.3337361161</v>
      </c>
      <c r="AN77" s="31">
        <v>0</v>
      </c>
      <c r="AO77" s="31">
        <f t="shared" si="10"/>
        <v>4890339.3143847017</v>
      </c>
      <c r="AP77" s="31">
        <v>97102.209999999992</v>
      </c>
      <c r="AR77" s="42" t="s">
        <v>33</v>
      </c>
      <c r="AS77" s="42" t="s">
        <v>34</v>
      </c>
      <c r="AT77" s="43" t="s">
        <v>1276</v>
      </c>
      <c r="AU77" s="44">
        <v>32</v>
      </c>
      <c r="AV77" s="31">
        <v>3998990.1961785862</v>
      </c>
      <c r="AW77" s="31">
        <v>143340.26</v>
      </c>
      <c r="AX77" s="31">
        <v>88505.23</v>
      </c>
      <c r="AY77" s="31">
        <v>9894.3099999999977</v>
      </c>
      <c r="AZ77" s="31">
        <v>380535.90155025979</v>
      </c>
      <c r="BA77" s="31">
        <v>261178.80230823881</v>
      </c>
      <c r="BB77" s="31">
        <v>0</v>
      </c>
      <c r="BC77" s="31">
        <f t="shared" si="11"/>
        <v>4981569.6200370844</v>
      </c>
      <c r="BD77" s="31">
        <v>99124.92</v>
      </c>
    </row>
    <row r="78" spans="2:56">
      <c r="B78" s="42" t="s">
        <v>187</v>
      </c>
      <c r="C78" s="42" t="s">
        <v>188</v>
      </c>
      <c r="D78" s="43" t="s">
        <v>1049</v>
      </c>
      <c r="E78" s="44">
        <v>32</v>
      </c>
      <c r="F78" s="31">
        <v>35141045.180763036</v>
      </c>
      <c r="G78" s="31">
        <v>866251.91999999993</v>
      </c>
      <c r="H78" s="31">
        <v>0</v>
      </c>
      <c r="I78" s="31">
        <v>130771.78</v>
      </c>
      <c r="J78" s="31">
        <v>6024407.9697946459</v>
      </c>
      <c r="K78" s="31">
        <v>2372290.0740763433</v>
      </c>
      <c r="L78" s="31">
        <v>4353161.6509491326</v>
      </c>
      <c r="M78" s="31">
        <f t="shared" si="8"/>
        <v>48891153.39558316</v>
      </c>
      <c r="N78" s="31">
        <v>3224.8199999999997</v>
      </c>
      <c r="P78" s="42" t="s">
        <v>187</v>
      </c>
      <c r="Q78" s="42" t="s">
        <v>188</v>
      </c>
      <c r="R78" s="43" t="s">
        <v>1050</v>
      </c>
      <c r="S78" s="44">
        <v>32</v>
      </c>
      <c r="T78" s="31">
        <v>36640029.762310997</v>
      </c>
      <c r="U78" s="31">
        <v>902923.80999999994</v>
      </c>
      <c r="V78" s="31">
        <v>0</v>
      </c>
      <c r="W78" s="31">
        <v>136314.96999999997</v>
      </c>
      <c r="X78" s="31">
        <v>6255466.460312603</v>
      </c>
      <c r="Y78" s="31">
        <v>2374579.3628561231</v>
      </c>
      <c r="Z78" s="31">
        <v>4527042.7974473406</v>
      </c>
      <c r="AA78" s="31">
        <f t="shared" si="9"/>
        <v>50839662.572927058</v>
      </c>
      <c r="AB78" s="31">
        <v>3305.4099999999994</v>
      </c>
      <c r="AD78" s="42" t="s">
        <v>187</v>
      </c>
      <c r="AE78" s="42" t="s">
        <v>188</v>
      </c>
      <c r="AF78" s="43" t="s">
        <v>1275</v>
      </c>
      <c r="AG78" s="44">
        <v>32</v>
      </c>
      <c r="AH78" s="31">
        <v>37373702.023237415</v>
      </c>
      <c r="AI78" s="31">
        <v>921219.02000000014</v>
      </c>
      <c r="AJ78" s="31">
        <v>0</v>
      </c>
      <c r="AK78" s="31">
        <v>139104.74</v>
      </c>
      <c r="AL78" s="31">
        <v>6376876.0403196374</v>
      </c>
      <c r="AM78" s="31">
        <v>2373742.182295288</v>
      </c>
      <c r="AN78" s="31">
        <v>4618085.1983911982</v>
      </c>
      <c r="AO78" s="31">
        <f t="shared" si="10"/>
        <v>51806209.804243542</v>
      </c>
      <c r="AP78" s="31">
        <v>3480.6</v>
      </c>
      <c r="AR78" s="42" t="s">
        <v>187</v>
      </c>
      <c r="AS78" s="42" t="s">
        <v>188</v>
      </c>
      <c r="AT78" s="43" t="s">
        <v>1276</v>
      </c>
      <c r="AU78" s="44">
        <v>32</v>
      </c>
      <c r="AV78" s="31">
        <v>38134930.604076549</v>
      </c>
      <c r="AW78" s="31">
        <v>940015.39000000013</v>
      </c>
      <c r="AX78" s="31">
        <v>0</v>
      </c>
      <c r="AY78" s="31">
        <v>141929.47</v>
      </c>
      <c r="AZ78" s="31">
        <v>6507000.9935760321</v>
      </c>
      <c r="BA78" s="31">
        <v>2373872.3324985085</v>
      </c>
      <c r="BB78" s="31">
        <v>4712465.4114760729</v>
      </c>
      <c r="BC78" s="31">
        <f t="shared" si="11"/>
        <v>52813760.361627162</v>
      </c>
      <c r="BD78" s="31">
        <v>3546.16</v>
      </c>
    </row>
    <row r="79" spans="2:56">
      <c r="B79" s="42" t="s">
        <v>135</v>
      </c>
      <c r="C79" s="42" t="s">
        <v>136</v>
      </c>
      <c r="D79" s="43" t="s">
        <v>1049</v>
      </c>
      <c r="E79" s="44">
        <v>32</v>
      </c>
      <c r="F79" s="31">
        <v>20703260.699231572</v>
      </c>
      <c r="G79" s="31">
        <v>933361.89000000013</v>
      </c>
      <c r="H79" s="31">
        <v>616793.62</v>
      </c>
      <c r="I79" s="31">
        <v>0</v>
      </c>
      <c r="J79" s="31">
        <v>3175990.3474239316</v>
      </c>
      <c r="K79" s="31">
        <v>1478563.1427322172</v>
      </c>
      <c r="L79" s="31">
        <v>2230982.4502273002</v>
      </c>
      <c r="M79" s="31">
        <f t="shared" si="8"/>
        <v>29665355.329615023</v>
      </c>
      <c r="N79" s="31">
        <v>526403.17999999993</v>
      </c>
      <c r="P79" s="42" t="s">
        <v>135</v>
      </c>
      <c r="Q79" s="42" t="s">
        <v>136</v>
      </c>
      <c r="R79" s="43" t="s">
        <v>1050</v>
      </c>
      <c r="S79" s="44">
        <v>32</v>
      </c>
      <c r="T79" s="31">
        <v>21831868.061143719</v>
      </c>
      <c r="U79" s="31">
        <v>980641.35</v>
      </c>
      <c r="V79" s="31">
        <v>643294.30999999994</v>
      </c>
      <c r="W79" s="31">
        <v>0</v>
      </c>
      <c r="X79" s="31">
        <v>3299306.7923484514</v>
      </c>
      <c r="Y79" s="31">
        <v>1479583.281799481</v>
      </c>
      <c r="Z79" s="31">
        <v>2344114.9103239425</v>
      </c>
      <c r="AA79" s="31">
        <f t="shared" si="9"/>
        <v>31120899.315615594</v>
      </c>
      <c r="AB79" s="31">
        <v>542090.61</v>
      </c>
      <c r="AD79" s="42" t="s">
        <v>135</v>
      </c>
      <c r="AE79" s="42" t="s">
        <v>136</v>
      </c>
      <c r="AF79" s="43" t="s">
        <v>1275</v>
      </c>
      <c r="AG79" s="44">
        <v>32</v>
      </c>
      <c r="AH79" s="31">
        <v>22268316.089851968</v>
      </c>
      <c r="AI79" s="31">
        <v>1001606.0999999999</v>
      </c>
      <c r="AJ79" s="31">
        <v>656525.98999999987</v>
      </c>
      <c r="AK79" s="31">
        <v>0</v>
      </c>
      <c r="AL79" s="31">
        <v>3363001.4120774656</v>
      </c>
      <c r="AM79" s="31">
        <v>1479236.710807095</v>
      </c>
      <c r="AN79" s="31">
        <v>2390945.0420360807</v>
      </c>
      <c r="AO79" s="31">
        <f t="shared" si="10"/>
        <v>31711735.804772608</v>
      </c>
      <c r="AP79" s="31">
        <v>552104.46</v>
      </c>
      <c r="AR79" s="42" t="s">
        <v>135</v>
      </c>
      <c r="AS79" s="42" t="s">
        <v>136</v>
      </c>
      <c r="AT79" s="43" t="s">
        <v>1276</v>
      </c>
      <c r="AU79" s="44">
        <v>32</v>
      </c>
      <c r="AV79" s="31">
        <v>22718303.916541226</v>
      </c>
      <c r="AW79" s="31">
        <v>1021588.4500000001</v>
      </c>
      <c r="AX79" s="31">
        <v>669660.54</v>
      </c>
      <c r="AY79" s="31">
        <v>0</v>
      </c>
      <c r="AZ79" s="31">
        <v>3431025.3149130791</v>
      </c>
      <c r="BA79" s="31">
        <v>1479291.8625020953</v>
      </c>
      <c r="BB79" s="31">
        <v>2439466.9038117561</v>
      </c>
      <c r="BC79" s="31">
        <f t="shared" si="11"/>
        <v>32322687.927768156</v>
      </c>
      <c r="BD79" s="31">
        <v>563350.94000000006</v>
      </c>
    </row>
    <row r="80" spans="2:56">
      <c r="B80" s="42" t="s">
        <v>273</v>
      </c>
      <c r="C80" s="42" t="s">
        <v>274</v>
      </c>
      <c r="D80" s="43" t="s">
        <v>1049</v>
      </c>
      <c r="E80" s="44">
        <v>32</v>
      </c>
      <c r="F80" s="31">
        <v>526362.90238324052</v>
      </c>
      <c r="G80" s="31">
        <v>17344.800000000003</v>
      </c>
      <c r="H80" s="31">
        <v>3800.26</v>
      </c>
      <c r="I80" s="31">
        <v>1266.7600000000002</v>
      </c>
      <c r="J80" s="31">
        <v>64829.507592904702</v>
      </c>
      <c r="K80" s="31">
        <v>23198.336213827675</v>
      </c>
      <c r="L80" s="31">
        <v>0</v>
      </c>
      <c r="M80" s="31">
        <f t="shared" si="8"/>
        <v>650249.66618997301</v>
      </c>
      <c r="N80" s="31">
        <v>13447.1</v>
      </c>
      <c r="P80" s="42" t="s">
        <v>273</v>
      </c>
      <c r="Q80" s="42" t="s">
        <v>274</v>
      </c>
      <c r="R80" s="43" t="s">
        <v>1050</v>
      </c>
      <c r="S80" s="44">
        <v>32</v>
      </c>
      <c r="T80" s="31">
        <v>552526.17263417435</v>
      </c>
      <c r="U80" s="31">
        <v>18196.659999999996</v>
      </c>
      <c r="V80" s="31">
        <v>3946.2100000000005</v>
      </c>
      <c r="W80" s="31">
        <v>1315.41</v>
      </c>
      <c r="X80" s="31">
        <v>67021.580432951581</v>
      </c>
      <c r="Y80" s="31">
        <v>23213.993393912926</v>
      </c>
      <c r="Z80" s="31">
        <v>0</v>
      </c>
      <c r="AA80" s="31">
        <f t="shared" si="9"/>
        <v>679997.70646103891</v>
      </c>
      <c r="AB80" s="31">
        <v>13777.68</v>
      </c>
      <c r="AD80" s="42" t="s">
        <v>273</v>
      </c>
      <c r="AE80" s="42" t="s">
        <v>274</v>
      </c>
      <c r="AF80" s="43" t="s">
        <v>1275</v>
      </c>
      <c r="AG80" s="44">
        <v>32</v>
      </c>
      <c r="AH80" s="31">
        <v>563090.44068737782</v>
      </c>
      <c r="AI80" s="31">
        <v>18579.379999999997</v>
      </c>
      <c r="AJ80" s="31">
        <v>4023.4100000000003</v>
      </c>
      <c r="AK80" s="31">
        <v>1341.13</v>
      </c>
      <c r="AL80" s="31">
        <v>68261.93509270667</v>
      </c>
      <c r="AM80" s="31">
        <v>23208.67419321349</v>
      </c>
      <c r="AN80" s="31">
        <v>0</v>
      </c>
      <c r="AO80" s="31">
        <f t="shared" si="10"/>
        <v>692525.38997329806</v>
      </c>
      <c r="AP80" s="31">
        <v>14020.42</v>
      </c>
      <c r="AR80" s="42" t="s">
        <v>273</v>
      </c>
      <c r="AS80" s="42" t="s">
        <v>274</v>
      </c>
      <c r="AT80" s="43" t="s">
        <v>1276</v>
      </c>
      <c r="AU80" s="44">
        <v>32</v>
      </c>
      <c r="AV80" s="31">
        <v>573338.58490477875</v>
      </c>
      <c r="AW80" s="31">
        <v>18914.71</v>
      </c>
      <c r="AX80" s="31">
        <v>4096.87</v>
      </c>
      <c r="AY80" s="31">
        <v>1365.62</v>
      </c>
      <c r="AZ80" s="31">
        <v>69517.019503218617</v>
      </c>
      <c r="BA80" s="31">
        <v>23209.520666060518</v>
      </c>
      <c r="BB80" s="31">
        <v>0</v>
      </c>
      <c r="BC80" s="31">
        <f t="shared" si="11"/>
        <v>704722.71507405781</v>
      </c>
      <c r="BD80" s="31">
        <v>14280.39</v>
      </c>
    </row>
    <row r="81" spans="2:56">
      <c r="B81" s="42" t="s">
        <v>423</v>
      </c>
      <c r="C81" s="42" t="s">
        <v>424</v>
      </c>
      <c r="D81" s="43" t="s">
        <v>1049</v>
      </c>
      <c r="E81" s="44">
        <v>32</v>
      </c>
      <c r="F81" s="31">
        <v>181963987.9831199</v>
      </c>
      <c r="G81" s="31">
        <v>5570813.6999999993</v>
      </c>
      <c r="H81" s="31">
        <v>5796081.1799999997</v>
      </c>
      <c r="I81" s="31">
        <v>651842.75000000012</v>
      </c>
      <c r="J81" s="31">
        <v>26399373.720740926</v>
      </c>
      <c r="K81" s="31">
        <v>12685237.22906089</v>
      </c>
      <c r="L81" s="31">
        <v>15376566.202289466</v>
      </c>
      <c r="M81" s="31">
        <f t="shared" si="8"/>
        <v>251051044.46521115</v>
      </c>
      <c r="N81" s="31">
        <v>2607141.7000000002</v>
      </c>
      <c r="P81" s="42" t="s">
        <v>423</v>
      </c>
      <c r="Q81" s="42" t="s">
        <v>424</v>
      </c>
      <c r="R81" s="43" t="s">
        <v>1050</v>
      </c>
      <c r="S81" s="44">
        <v>32</v>
      </c>
      <c r="T81" s="31">
        <v>187360638.95092347</v>
      </c>
      <c r="U81" s="31">
        <v>5748671.4399999985</v>
      </c>
      <c r="V81" s="31">
        <v>5949160.1299999999</v>
      </c>
      <c r="W81" s="31">
        <v>669071.22</v>
      </c>
      <c r="X81" s="31">
        <v>27061504.144500095</v>
      </c>
      <c r="Y81" s="31">
        <v>12695093.324950587</v>
      </c>
      <c r="Z81" s="31">
        <v>15789402.348351451</v>
      </c>
      <c r="AA81" s="31">
        <f t="shared" si="9"/>
        <v>257918821.59872559</v>
      </c>
      <c r="AB81" s="31">
        <v>2645280.04</v>
      </c>
      <c r="AD81" s="42" t="s">
        <v>423</v>
      </c>
      <c r="AE81" s="42" t="s">
        <v>424</v>
      </c>
      <c r="AF81" s="43" t="s">
        <v>1275</v>
      </c>
      <c r="AG81" s="44">
        <v>32</v>
      </c>
      <c r="AH81" s="31">
        <v>191116174.14425248</v>
      </c>
      <c r="AI81" s="31">
        <v>5870145.5299999993</v>
      </c>
      <c r="AJ81" s="31">
        <v>6070345.5900000008</v>
      </c>
      <c r="AK81" s="31">
        <v>682667.65999999992</v>
      </c>
      <c r="AL81" s="31">
        <v>27587288.699662592</v>
      </c>
      <c r="AM81" s="31">
        <v>12691352.607893966</v>
      </c>
      <c r="AN81" s="31">
        <v>16106487.536802199</v>
      </c>
      <c r="AO81" s="31">
        <f t="shared" si="10"/>
        <v>262819180.48861125</v>
      </c>
      <c r="AP81" s="31">
        <v>2694718.7200000007</v>
      </c>
      <c r="AR81" s="42" t="s">
        <v>423</v>
      </c>
      <c r="AS81" s="42" t="s">
        <v>424</v>
      </c>
      <c r="AT81" s="43" t="s">
        <v>1276</v>
      </c>
      <c r="AU81" s="44">
        <v>32</v>
      </c>
      <c r="AV81" s="31">
        <v>195017845.81742439</v>
      </c>
      <c r="AW81" s="31">
        <v>5989175.540000001</v>
      </c>
      <c r="AX81" s="31">
        <v>6194074.1300000008</v>
      </c>
      <c r="AY81" s="31">
        <v>696594.68</v>
      </c>
      <c r="AZ81" s="31">
        <v>28151282.714534525</v>
      </c>
      <c r="BA81" s="31">
        <v>12691928.331808778</v>
      </c>
      <c r="BB81" s="31">
        <v>16436210.559079226</v>
      </c>
      <c r="BC81" s="31">
        <f t="shared" si="11"/>
        <v>267927353.6828469</v>
      </c>
      <c r="BD81" s="31">
        <v>2750241.9099999997</v>
      </c>
    </row>
    <row r="82" spans="2:56">
      <c r="B82" s="42" t="s">
        <v>65</v>
      </c>
      <c r="C82" s="42" t="s">
        <v>66</v>
      </c>
      <c r="D82" s="43" t="s">
        <v>1049</v>
      </c>
      <c r="E82" s="44">
        <v>32</v>
      </c>
      <c r="F82" s="31">
        <v>180963684.75782695</v>
      </c>
      <c r="G82" s="31">
        <v>8121966.1099999994</v>
      </c>
      <c r="H82" s="31">
        <v>5727135.2300000004</v>
      </c>
      <c r="I82" s="31">
        <v>677993.34</v>
      </c>
      <c r="J82" s="31">
        <v>29313166.775507834</v>
      </c>
      <c r="K82" s="31">
        <v>16429225.342256634</v>
      </c>
      <c r="L82" s="31">
        <v>28000724.103871163</v>
      </c>
      <c r="M82" s="31">
        <f t="shared" si="8"/>
        <v>273244911.58946258</v>
      </c>
      <c r="N82" s="31">
        <v>4011015.93</v>
      </c>
      <c r="P82" s="42" t="s">
        <v>65</v>
      </c>
      <c r="Q82" s="42" t="s">
        <v>66</v>
      </c>
      <c r="R82" s="43" t="s">
        <v>1050</v>
      </c>
      <c r="S82" s="44">
        <v>32</v>
      </c>
      <c r="T82" s="31">
        <v>190723476.46368095</v>
      </c>
      <c r="U82" s="31">
        <v>8523761.6499999985</v>
      </c>
      <c r="V82" s="31">
        <v>5973204.7700000005</v>
      </c>
      <c r="W82" s="31">
        <v>707077.16</v>
      </c>
      <c r="X82" s="31">
        <v>30447851.874232069</v>
      </c>
      <c r="Y82" s="31">
        <v>16445467.038634446</v>
      </c>
      <c r="Z82" s="31">
        <v>29409453.291004259</v>
      </c>
      <c r="AA82" s="31">
        <f t="shared" si="9"/>
        <v>286360656.21755177</v>
      </c>
      <c r="AB82" s="31">
        <v>4130363.97</v>
      </c>
      <c r="AD82" s="42" t="s">
        <v>65</v>
      </c>
      <c r="AE82" s="42" t="s">
        <v>66</v>
      </c>
      <c r="AF82" s="43" t="s">
        <v>1275</v>
      </c>
      <c r="AG82" s="44">
        <v>32</v>
      </c>
      <c r="AH82" s="31">
        <v>194535716.69454163</v>
      </c>
      <c r="AI82" s="31">
        <v>8704712.7800000012</v>
      </c>
      <c r="AJ82" s="31">
        <v>6094601.1600000001</v>
      </c>
      <c r="AK82" s="31">
        <v>721463.36</v>
      </c>
      <c r="AL82" s="31">
        <v>31036633.207539029</v>
      </c>
      <c r="AM82" s="31">
        <v>16439734.163279856</v>
      </c>
      <c r="AN82" s="31">
        <v>29999371.385975678</v>
      </c>
      <c r="AO82" s="31">
        <f t="shared" si="10"/>
        <v>291738945.67133623</v>
      </c>
      <c r="AP82" s="31">
        <v>4206712.92</v>
      </c>
      <c r="AR82" s="42" t="s">
        <v>65</v>
      </c>
      <c r="AS82" s="42" t="s">
        <v>66</v>
      </c>
      <c r="AT82" s="43" t="s">
        <v>1276</v>
      </c>
      <c r="AU82" s="44">
        <v>32</v>
      </c>
      <c r="AV82" s="31">
        <v>198474207.17939818</v>
      </c>
      <c r="AW82" s="31">
        <v>8878934.540000001</v>
      </c>
      <c r="AX82" s="31">
        <v>6217420.3899999997</v>
      </c>
      <c r="AY82" s="31">
        <v>736059.61</v>
      </c>
      <c r="AZ82" s="31">
        <v>31665868.23317799</v>
      </c>
      <c r="BA82" s="31">
        <v>16440635.339887345</v>
      </c>
      <c r="BB82" s="31">
        <v>30607525.298512049</v>
      </c>
      <c r="BC82" s="31">
        <f t="shared" si="11"/>
        <v>297313279.86097556</v>
      </c>
      <c r="BD82" s="31">
        <v>4292629.2699999996</v>
      </c>
    </row>
    <row r="83" spans="2:56">
      <c r="B83" s="42" t="s">
        <v>497</v>
      </c>
      <c r="C83" s="42" t="s">
        <v>498</v>
      </c>
      <c r="D83" s="43" t="s">
        <v>1049</v>
      </c>
      <c r="E83" s="44">
        <v>32</v>
      </c>
      <c r="F83" s="31">
        <v>425627.35472715984</v>
      </c>
      <c r="G83" s="31">
        <v>13349.65</v>
      </c>
      <c r="H83" s="31">
        <v>0</v>
      </c>
      <c r="I83" s="31">
        <v>682.09999999999991</v>
      </c>
      <c r="J83" s="31">
        <v>9228.2530419587183</v>
      </c>
      <c r="K83" s="31">
        <v>0</v>
      </c>
      <c r="L83" s="31">
        <v>0</v>
      </c>
      <c r="M83" s="31">
        <f t="shared" si="8"/>
        <v>455708.34776911855</v>
      </c>
      <c r="N83" s="31">
        <v>6820.99</v>
      </c>
      <c r="P83" s="42" t="s">
        <v>497</v>
      </c>
      <c r="Q83" s="42" t="s">
        <v>498</v>
      </c>
      <c r="R83" s="43" t="s">
        <v>1050</v>
      </c>
      <c r="S83" s="44">
        <v>32</v>
      </c>
      <c r="T83" s="31">
        <v>444835.19118747488</v>
      </c>
      <c r="U83" s="31">
        <v>13956.540000000003</v>
      </c>
      <c r="V83" s="31">
        <v>0</v>
      </c>
      <c r="W83" s="31">
        <v>708.29</v>
      </c>
      <c r="X83" s="31">
        <v>9539.9367261733787</v>
      </c>
      <c r="Y83" s="31">
        <v>0</v>
      </c>
      <c r="Z83" s="31">
        <v>0</v>
      </c>
      <c r="AA83" s="31">
        <f t="shared" si="9"/>
        <v>476028.6279136482</v>
      </c>
      <c r="AB83" s="31">
        <v>6988.67</v>
      </c>
      <c r="AD83" s="42" t="s">
        <v>497</v>
      </c>
      <c r="AE83" s="42" t="s">
        <v>498</v>
      </c>
      <c r="AF83" s="43" t="s">
        <v>1275</v>
      </c>
      <c r="AG83" s="44">
        <v>32</v>
      </c>
      <c r="AH83" s="31">
        <v>453357.14219781745</v>
      </c>
      <c r="AI83" s="31">
        <v>14243.140000000003</v>
      </c>
      <c r="AJ83" s="31">
        <v>0</v>
      </c>
      <c r="AK83" s="31">
        <v>722.15000000000009</v>
      </c>
      <c r="AL83" s="31">
        <v>9716.4775525727655</v>
      </c>
      <c r="AM83" s="31">
        <v>0</v>
      </c>
      <c r="AN83" s="31">
        <v>0</v>
      </c>
      <c r="AO83" s="31">
        <f t="shared" si="10"/>
        <v>485150.70975039026</v>
      </c>
      <c r="AP83" s="31">
        <v>7111.7999999999993</v>
      </c>
      <c r="AR83" s="42" t="s">
        <v>497</v>
      </c>
      <c r="AS83" s="42" t="s">
        <v>498</v>
      </c>
      <c r="AT83" s="43" t="s">
        <v>1276</v>
      </c>
      <c r="AU83" s="44">
        <v>32</v>
      </c>
      <c r="AV83" s="31">
        <v>461616.02227303426</v>
      </c>
      <c r="AW83" s="31">
        <v>14501.240000000003</v>
      </c>
      <c r="AX83" s="31">
        <v>0</v>
      </c>
      <c r="AY83" s="31">
        <v>735.34</v>
      </c>
      <c r="AZ83" s="31">
        <v>9895.1039143323051</v>
      </c>
      <c r="BA83" s="31">
        <v>0</v>
      </c>
      <c r="BB83" s="31">
        <v>0</v>
      </c>
      <c r="BC83" s="31">
        <f t="shared" si="11"/>
        <v>493991.37618736655</v>
      </c>
      <c r="BD83" s="31">
        <v>7243.67</v>
      </c>
    </row>
    <row r="84" spans="2:56">
      <c r="B84" s="42" t="s">
        <v>185</v>
      </c>
      <c r="C84" s="42" t="s">
        <v>186</v>
      </c>
      <c r="D84" s="43" t="s">
        <v>1049</v>
      </c>
      <c r="E84" s="44">
        <v>32</v>
      </c>
      <c r="F84" s="31">
        <v>179101201.58127844</v>
      </c>
      <c r="G84" s="31">
        <v>9248377.5899999999</v>
      </c>
      <c r="H84" s="31">
        <v>8544697.8599999994</v>
      </c>
      <c r="I84" s="31">
        <v>634281.60999999987</v>
      </c>
      <c r="J84" s="31">
        <v>27615229.700525362</v>
      </c>
      <c r="K84" s="31">
        <v>13452641.209165677</v>
      </c>
      <c r="L84" s="31">
        <v>13151729.831512645</v>
      </c>
      <c r="M84" s="31">
        <f t="shared" si="8"/>
        <v>257700341.63248211</v>
      </c>
      <c r="N84" s="31">
        <v>5952182.25</v>
      </c>
      <c r="P84" s="42" t="s">
        <v>185</v>
      </c>
      <c r="Q84" s="42" t="s">
        <v>186</v>
      </c>
      <c r="R84" s="43" t="s">
        <v>1050</v>
      </c>
      <c r="S84" s="44">
        <v>32</v>
      </c>
      <c r="T84" s="31">
        <v>188668668.09862831</v>
      </c>
      <c r="U84" s="31">
        <v>9715984.9900000021</v>
      </c>
      <c r="V84" s="31">
        <v>8907684.3300000001</v>
      </c>
      <c r="W84" s="31">
        <v>661240.35</v>
      </c>
      <c r="X84" s="31">
        <v>28677458.114821464</v>
      </c>
      <c r="Y84" s="31">
        <v>13461803.431212185</v>
      </c>
      <c r="Z84" s="31">
        <v>13813091.717882812</v>
      </c>
      <c r="AA84" s="31">
        <f t="shared" si="9"/>
        <v>270036126.42254478</v>
      </c>
      <c r="AB84" s="31">
        <v>6130195.3899999997</v>
      </c>
      <c r="AD84" s="42" t="s">
        <v>185</v>
      </c>
      <c r="AE84" s="42" t="s">
        <v>186</v>
      </c>
      <c r="AF84" s="43" t="s">
        <v>1275</v>
      </c>
      <c r="AG84" s="44">
        <v>32</v>
      </c>
      <c r="AH84" s="31">
        <v>192441157.90367442</v>
      </c>
      <c r="AI84" s="31">
        <v>9924595.4399999995</v>
      </c>
      <c r="AJ84" s="31">
        <v>9088942.9299999997</v>
      </c>
      <c r="AK84" s="31">
        <v>674652.35000000009</v>
      </c>
      <c r="AL84" s="31">
        <v>29233386.442367338</v>
      </c>
      <c r="AM84" s="31">
        <v>13458452.856020821</v>
      </c>
      <c r="AN84" s="31">
        <v>14090331.964913681</v>
      </c>
      <c r="AO84" s="31">
        <f t="shared" si="10"/>
        <v>275155784.75697625</v>
      </c>
      <c r="AP84" s="31">
        <v>6244264.8699999992</v>
      </c>
      <c r="AR84" s="42" t="s">
        <v>185</v>
      </c>
      <c r="AS84" s="42" t="s">
        <v>186</v>
      </c>
      <c r="AT84" s="43" t="s">
        <v>1276</v>
      </c>
      <c r="AU84" s="44">
        <v>32</v>
      </c>
      <c r="AV84" s="31">
        <v>196353511.62567541</v>
      </c>
      <c r="AW84" s="31">
        <v>10124033.450000001</v>
      </c>
      <c r="AX84" s="31">
        <v>9273211.6300000008</v>
      </c>
      <c r="AY84" s="31">
        <v>688418.03999999992</v>
      </c>
      <c r="AZ84" s="31">
        <v>29828674.29418302</v>
      </c>
      <c r="BA84" s="31">
        <v>13458973.744897682</v>
      </c>
      <c r="BB84" s="31">
        <v>14377345.071358932</v>
      </c>
      <c r="BC84" s="31">
        <f t="shared" si="11"/>
        <v>280476627.48611504</v>
      </c>
      <c r="BD84" s="31">
        <v>6372459.6300000008</v>
      </c>
    </row>
    <row r="85" spans="2:56">
      <c r="B85" s="42" t="s">
        <v>541</v>
      </c>
      <c r="C85" s="42" t="s">
        <v>542</v>
      </c>
      <c r="D85" s="43" t="s">
        <v>1049</v>
      </c>
      <c r="E85" s="44">
        <v>32</v>
      </c>
      <c r="F85" s="31">
        <v>38401502.021323793</v>
      </c>
      <c r="G85" s="31">
        <v>1444919.2800000003</v>
      </c>
      <c r="H85" s="31">
        <v>566366.79999999993</v>
      </c>
      <c r="I85" s="31">
        <v>133612.07999999999</v>
      </c>
      <c r="J85" s="31">
        <v>6032406.234308891</v>
      </c>
      <c r="K85" s="31">
        <v>2666314.9565983322</v>
      </c>
      <c r="L85" s="31">
        <v>2570515.8110656892</v>
      </c>
      <c r="M85" s="31">
        <f t="shared" si="8"/>
        <v>52338527.043296702</v>
      </c>
      <c r="N85" s="31">
        <v>522889.86</v>
      </c>
      <c r="P85" s="42" t="s">
        <v>541</v>
      </c>
      <c r="Q85" s="42" t="s">
        <v>542</v>
      </c>
      <c r="R85" s="43" t="s">
        <v>1050</v>
      </c>
      <c r="S85" s="44">
        <v>32</v>
      </c>
      <c r="T85" s="31">
        <v>39794462.0429812</v>
      </c>
      <c r="U85" s="31">
        <v>1501111.35</v>
      </c>
      <c r="V85" s="31">
        <v>585748.88</v>
      </c>
      <c r="W85" s="31">
        <v>138169.91999999998</v>
      </c>
      <c r="X85" s="31">
        <v>6222737.6399261365</v>
      </c>
      <c r="Y85" s="31">
        <v>2669254.2283466626</v>
      </c>
      <c r="Z85" s="31">
        <v>2656313.9645021386</v>
      </c>
      <c r="AA85" s="31">
        <f t="shared" si="9"/>
        <v>54101910.235756144</v>
      </c>
      <c r="AB85" s="31">
        <v>534112.21000000008</v>
      </c>
      <c r="AD85" s="42" t="s">
        <v>541</v>
      </c>
      <c r="AE85" s="42" t="s">
        <v>542</v>
      </c>
      <c r="AF85" s="43" t="s">
        <v>1275</v>
      </c>
      <c r="AG85" s="44">
        <v>32</v>
      </c>
      <c r="AH85" s="31">
        <v>40589749.433567867</v>
      </c>
      <c r="AI85" s="31">
        <v>1532592.37</v>
      </c>
      <c r="AJ85" s="31">
        <v>597777.80000000005</v>
      </c>
      <c r="AK85" s="31">
        <v>140987.43000000002</v>
      </c>
      <c r="AL85" s="31">
        <v>6343219.4824267132</v>
      </c>
      <c r="AM85" s="31">
        <v>2668195.3839035546</v>
      </c>
      <c r="AN85" s="31">
        <v>2709543.8921836005</v>
      </c>
      <c r="AO85" s="31">
        <f t="shared" si="10"/>
        <v>55126117.002081729</v>
      </c>
      <c r="AP85" s="31">
        <v>544051.21</v>
      </c>
      <c r="AR85" s="42" t="s">
        <v>541</v>
      </c>
      <c r="AS85" s="42" t="s">
        <v>542</v>
      </c>
      <c r="AT85" s="43" t="s">
        <v>1276</v>
      </c>
      <c r="AU85" s="44">
        <v>32</v>
      </c>
      <c r="AV85" s="31">
        <v>41413389.922066644</v>
      </c>
      <c r="AW85" s="31">
        <v>1563349.4499999997</v>
      </c>
      <c r="AX85" s="31">
        <v>609828.7300000001</v>
      </c>
      <c r="AY85" s="31">
        <v>143815.76</v>
      </c>
      <c r="AZ85" s="31">
        <v>6472079.8644254031</v>
      </c>
      <c r="BA85" s="31">
        <v>2668360.8861450944</v>
      </c>
      <c r="BB85" s="31">
        <v>2764501.834669482</v>
      </c>
      <c r="BC85" s="31">
        <f t="shared" si="11"/>
        <v>56190454.667306617</v>
      </c>
      <c r="BD85" s="31">
        <v>555128.22000000009</v>
      </c>
    </row>
    <row r="86" spans="2:56">
      <c r="B86" s="42" t="s">
        <v>389</v>
      </c>
      <c r="C86" s="42" t="s">
        <v>390</v>
      </c>
      <c r="D86" s="43" t="s">
        <v>1049</v>
      </c>
      <c r="E86" s="44">
        <v>32</v>
      </c>
      <c r="F86" s="31">
        <v>31556137.665536307</v>
      </c>
      <c r="G86" s="31">
        <v>1167698.8600000001</v>
      </c>
      <c r="H86" s="31">
        <v>896464.27</v>
      </c>
      <c r="I86" s="31">
        <v>114981.06</v>
      </c>
      <c r="J86" s="31">
        <v>4129633.4162087026</v>
      </c>
      <c r="K86" s="31">
        <v>2039003.2324999091</v>
      </c>
      <c r="L86" s="31">
        <v>3497348.2767773289</v>
      </c>
      <c r="M86" s="31">
        <f t="shared" si="8"/>
        <v>43667113.331022248</v>
      </c>
      <c r="N86" s="31">
        <v>265846.55</v>
      </c>
      <c r="P86" s="42" t="s">
        <v>389</v>
      </c>
      <c r="Q86" s="42" t="s">
        <v>390</v>
      </c>
      <c r="R86" s="43" t="s">
        <v>1050</v>
      </c>
      <c r="S86" s="44">
        <v>32</v>
      </c>
      <c r="T86" s="31">
        <v>32908216.878094066</v>
      </c>
      <c r="U86" s="31">
        <v>1220623.6000000001</v>
      </c>
      <c r="V86" s="31">
        <v>934567.91999999993</v>
      </c>
      <c r="W86" s="31">
        <v>119839.32999999997</v>
      </c>
      <c r="X86" s="31">
        <v>4288482.8611068781</v>
      </c>
      <c r="Y86" s="31">
        <v>2040549.4507512222</v>
      </c>
      <c r="Z86" s="31">
        <v>3637385.1287789904</v>
      </c>
      <c r="AA86" s="31">
        <f t="shared" si="9"/>
        <v>45423455.908731155</v>
      </c>
      <c r="AB86" s="31">
        <v>273790.74</v>
      </c>
      <c r="AD86" s="42" t="s">
        <v>389</v>
      </c>
      <c r="AE86" s="42" t="s">
        <v>390</v>
      </c>
      <c r="AF86" s="43" t="s">
        <v>1275</v>
      </c>
      <c r="AG86" s="44">
        <v>32</v>
      </c>
      <c r="AH86" s="31">
        <v>33567280.731924474</v>
      </c>
      <c r="AI86" s="31">
        <v>1245935.8299999998</v>
      </c>
      <c r="AJ86" s="31">
        <v>953563.35000000009</v>
      </c>
      <c r="AK86" s="31">
        <v>122301.40000000001</v>
      </c>
      <c r="AL86" s="31">
        <v>4371611.6751890928</v>
      </c>
      <c r="AM86" s="31">
        <v>2039984.0070753342</v>
      </c>
      <c r="AN86" s="31">
        <v>3710468.7944042222</v>
      </c>
      <c r="AO86" s="31">
        <f t="shared" si="10"/>
        <v>46290045.108593121</v>
      </c>
      <c r="AP86" s="31">
        <v>278899.32</v>
      </c>
      <c r="AR86" s="42" t="s">
        <v>389</v>
      </c>
      <c r="AS86" s="42" t="s">
        <v>390</v>
      </c>
      <c r="AT86" s="43" t="s">
        <v>1276</v>
      </c>
      <c r="AU86" s="44">
        <v>32</v>
      </c>
      <c r="AV86" s="31">
        <v>34249762.138515182</v>
      </c>
      <c r="AW86" s="31">
        <v>1271139.73</v>
      </c>
      <c r="AX86" s="31">
        <v>972840.35000000009</v>
      </c>
      <c r="AY86" s="31">
        <v>124797.55</v>
      </c>
      <c r="AZ86" s="31">
        <v>4460615.0232414957</v>
      </c>
      <c r="BA86" s="31">
        <v>2040071.9123764958</v>
      </c>
      <c r="BB86" s="31">
        <v>3786073.7908879328</v>
      </c>
      <c r="BC86" s="31">
        <f t="shared" si="11"/>
        <v>47189892.665021099</v>
      </c>
      <c r="BD86" s="31">
        <v>284592.17</v>
      </c>
    </row>
    <row r="87" spans="2:56">
      <c r="B87" s="42" t="s">
        <v>23</v>
      </c>
      <c r="C87" s="42" t="s">
        <v>24</v>
      </c>
      <c r="D87" s="43" t="s">
        <v>1049</v>
      </c>
      <c r="E87" s="44">
        <v>32</v>
      </c>
      <c r="F87" s="31">
        <v>6743997.5453808475</v>
      </c>
      <c r="G87" s="31">
        <v>418029.32000000007</v>
      </c>
      <c r="H87" s="31">
        <v>257930.90999999997</v>
      </c>
      <c r="I87" s="31">
        <v>23776.03</v>
      </c>
      <c r="J87" s="31">
        <v>987822.41987919831</v>
      </c>
      <c r="K87" s="31">
        <v>621971.80617919401</v>
      </c>
      <c r="L87" s="31">
        <v>623119.02699683991</v>
      </c>
      <c r="M87" s="31">
        <f t="shared" si="8"/>
        <v>9925320.9084360804</v>
      </c>
      <c r="N87" s="31">
        <v>248673.85</v>
      </c>
      <c r="P87" s="42" t="s">
        <v>23</v>
      </c>
      <c r="Q87" s="42" t="s">
        <v>24</v>
      </c>
      <c r="R87" s="43" t="s">
        <v>1050</v>
      </c>
      <c r="S87" s="44">
        <v>32</v>
      </c>
      <c r="T87" s="31">
        <v>7105448.4342018608</v>
      </c>
      <c r="U87" s="31">
        <v>439660.43999999989</v>
      </c>
      <c r="V87" s="31">
        <v>269049.93</v>
      </c>
      <c r="W87" s="31">
        <v>24790.240000000005</v>
      </c>
      <c r="X87" s="31">
        <v>1026314.1141213779</v>
      </c>
      <c r="Y87" s="31">
        <v>622634.4223155583</v>
      </c>
      <c r="Z87" s="31">
        <v>654979.98157301929</v>
      </c>
      <c r="AA87" s="31">
        <f t="shared" si="9"/>
        <v>10398962.632211816</v>
      </c>
      <c r="AB87" s="31">
        <v>256085.07</v>
      </c>
      <c r="AD87" s="42" t="s">
        <v>23</v>
      </c>
      <c r="AE87" s="42" t="s">
        <v>24</v>
      </c>
      <c r="AF87" s="43" t="s">
        <v>1275</v>
      </c>
      <c r="AG87" s="44">
        <v>32</v>
      </c>
      <c r="AH87" s="31">
        <v>7247105.9135859199</v>
      </c>
      <c r="AI87" s="31">
        <v>449069.41</v>
      </c>
      <c r="AJ87" s="31">
        <v>274519.22000000003</v>
      </c>
      <c r="AK87" s="31">
        <v>25275.170000000006</v>
      </c>
      <c r="AL87" s="31">
        <v>1046115.6756891279</v>
      </c>
      <c r="AM87" s="31">
        <v>622409.31228956277</v>
      </c>
      <c r="AN87" s="31">
        <v>667891.04047433054</v>
      </c>
      <c r="AO87" s="31">
        <f t="shared" si="10"/>
        <v>10593084.18203894</v>
      </c>
      <c r="AP87" s="31">
        <v>260698.44</v>
      </c>
      <c r="AR87" s="42" t="s">
        <v>23</v>
      </c>
      <c r="AS87" s="42" t="s">
        <v>24</v>
      </c>
      <c r="AT87" s="43" t="s">
        <v>1276</v>
      </c>
      <c r="AU87" s="44">
        <v>32</v>
      </c>
      <c r="AV87" s="31">
        <v>7390676.3646299886</v>
      </c>
      <c r="AW87" s="31">
        <v>457939.58000000007</v>
      </c>
      <c r="AX87" s="31">
        <v>280162.49</v>
      </c>
      <c r="AY87" s="31">
        <v>25736.710000000006</v>
      </c>
      <c r="AZ87" s="31">
        <v>1067213.4693405114</v>
      </c>
      <c r="BA87" s="31">
        <v>622445.13525157631</v>
      </c>
      <c r="BB87" s="31">
        <v>681646.63273574039</v>
      </c>
      <c r="BC87" s="31">
        <f t="shared" si="11"/>
        <v>10791870.241957815</v>
      </c>
      <c r="BD87" s="31">
        <v>266049.86</v>
      </c>
    </row>
    <row r="88" spans="2:56">
      <c r="B88" s="42" t="s">
        <v>381</v>
      </c>
      <c r="C88" s="42" t="s">
        <v>382</v>
      </c>
      <c r="D88" s="43" t="s">
        <v>1049</v>
      </c>
      <c r="E88" s="44">
        <v>32</v>
      </c>
      <c r="F88" s="31">
        <v>60686154.072240017</v>
      </c>
      <c r="G88" s="31">
        <v>3753998.1799999992</v>
      </c>
      <c r="H88" s="31">
        <v>1525998.0000000002</v>
      </c>
      <c r="I88" s="31">
        <v>216079.58999999997</v>
      </c>
      <c r="J88" s="31">
        <v>9534636.2268059608</v>
      </c>
      <c r="K88" s="31">
        <v>4352037.6187080862</v>
      </c>
      <c r="L88" s="31">
        <v>5892881.4533175211</v>
      </c>
      <c r="M88" s="31">
        <f t="shared" si="8"/>
        <v>88187425.481071591</v>
      </c>
      <c r="N88" s="31">
        <v>2225640.3400000003</v>
      </c>
      <c r="P88" s="42" t="s">
        <v>381</v>
      </c>
      <c r="Q88" s="42" t="s">
        <v>382</v>
      </c>
      <c r="R88" s="43" t="s">
        <v>1050</v>
      </c>
      <c r="S88" s="44">
        <v>32</v>
      </c>
      <c r="T88" s="31">
        <v>63984233.018859133</v>
      </c>
      <c r="U88" s="31">
        <v>3944575.68</v>
      </c>
      <c r="V88" s="31">
        <v>1591562.56</v>
      </c>
      <c r="W88" s="31">
        <v>225327.61000000002</v>
      </c>
      <c r="X88" s="31">
        <v>9903534.1290385053</v>
      </c>
      <c r="Y88" s="31">
        <v>4356209.9670449812</v>
      </c>
      <c r="Z88" s="31">
        <v>6190164.4166838638</v>
      </c>
      <c r="AA88" s="31">
        <f t="shared" si="9"/>
        <v>92487473.641626507</v>
      </c>
      <c r="AB88" s="31">
        <v>2291866.2600000002</v>
      </c>
      <c r="AD88" s="42" t="s">
        <v>381</v>
      </c>
      <c r="AE88" s="42" t="s">
        <v>382</v>
      </c>
      <c r="AF88" s="43" t="s">
        <v>1275</v>
      </c>
      <c r="AG88" s="44">
        <v>32</v>
      </c>
      <c r="AH88" s="31">
        <v>65264057.229013942</v>
      </c>
      <c r="AI88" s="31">
        <v>4029098.16</v>
      </c>
      <c r="AJ88" s="31">
        <v>1623916.8800000001</v>
      </c>
      <c r="AK88" s="31">
        <v>229956.27</v>
      </c>
      <c r="AL88" s="31">
        <v>10095006.731320558</v>
      </c>
      <c r="AM88" s="31">
        <v>4354737.242004755</v>
      </c>
      <c r="AN88" s="31">
        <v>6314408.4258158598</v>
      </c>
      <c r="AO88" s="31">
        <f t="shared" si="10"/>
        <v>94245509.098155111</v>
      </c>
      <c r="AP88" s="31">
        <v>2334328.16</v>
      </c>
      <c r="AR88" s="42" t="s">
        <v>381</v>
      </c>
      <c r="AS88" s="42" t="s">
        <v>382</v>
      </c>
      <c r="AT88" s="43" t="s">
        <v>1276</v>
      </c>
      <c r="AU88" s="44">
        <v>32</v>
      </c>
      <c r="AV88" s="31">
        <v>66585441.417293243</v>
      </c>
      <c r="AW88" s="31">
        <v>4109597.95</v>
      </c>
      <c r="AX88" s="31">
        <v>1656659.31</v>
      </c>
      <c r="AY88" s="31">
        <v>234517.41</v>
      </c>
      <c r="AZ88" s="31">
        <v>10299631.640090495</v>
      </c>
      <c r="BA88" s="31">
        <v>4354968.7463151459</v>
      </c>
      <c r="BB88" s="31">
        <v>6442436.8316192077</v>
      </c>
      <c r="BC88" s="31">
        <f t="shared" si="11"/>
        <v>96065176.955318093</v>
      </c>
      <c r="BD88" s="31">
        <v>2381923.6499999994</v>
      </c>
    </row>
    <row r="89" spans="2:56">
      <c r="B89" s="42" t="s">
        <v>465</v>
      </c>
      <c r="C89" s="42" t="s">
        <v>466</v>
      </c>
      <c r="D89" s="43" t="s">
        <v>1049</v>
      </c>
      <c r="E89" s="44">
        <v>32</v>
      </c>
      <c r="F89" s="31">
        <v>6478884.0118916463</v>
      </c>
      <c r="G89" s="31">
        <v>125396.53000000001</v>
      </c>
      <c r="H89" s="31">
        <v>0</v>
      </c>
      <c r="I89" s="31">
        <v>0</v>
      </c>
      <c r="J89" s="31">
        <v>1013986.9416784635</v>
      </c>
      <c r="K89" s="31">
        <v>751013.30936871737</v>
      </c>
      <c r="L89" s="31">
        <v>1114854.5527293922</v>
      </c>
      <c r="M89" s="31">
        <f t="shared" si="8"/>
        <v>9484135.345668219</v>
      </c>
      <c r="N89" s="31">
        <v>0</v>
      </c>
      <c r="P89" s="42" t="s">
        <v>465</v>
      </c>
      <c r="Q89" s="42" t="s">
        <v>466</v>
      </c>
      <c r="R89" s="43" t="s">
        <v>1050</v>
      </c>
      <c r="S89" s="44">
        <v>32</v>
      </c>
      <c r="T89" s="31">
        <v>6759758.8252760749</v>
      </c>
      <c r="U89" s="31">
        <v>130795.15000000001</v>
      </c>
      <c r="V89" s="31">
        <v>0</v>
      </c>
      <c r="W89" s="31">
        <v>0</v>
      </c>
      <c r="X89" s="31">
        <v>1053374.2216575607</v>
      </c>
      <c r="Y89" s="31">
        <v>751831.88606804865</v>
      </c>
      <c r="Z89" s="31">
        <v>1160496.0522778477</v>
      </c>
      <c r="AA89" s="31">
        <f t="shared" si="9"/>
        <v>9856256.1352795325</v>
      </c>
      <c r="AB89" s="31">
        <v>0</v>
      </c>
      <c r="AD89" s="42" t="s">
        <v>465</v>
      </c>
      <c r="AE89" s="42" t="s">
        <v>466</v>
      </c>
      <c r="AF89" s="43" t="s">
        <v>1275</v>
      </c>
      <c r="AG89" s="44">
        <v>32</v>
      </c>
      <c r="AH89" s="31">
        <v>6894858.7415249264</v>
      </c>
      <c r="AI89" s="31">
        <v>133461.95000000001</v>
      </c>
      <c r="AJ89" s="31">
        <v>0</v>
      </c>
      <c r="AK89" s="31">
        <v>0</v>
      </c>
      <c r="AL89" s="31">
        <v>1073716.4654524568</v>
      </c>
      <c r="AM89" s="31">
        <v>751553.79169039452</v>
      </c>
      <c r="AN89" s="31">
        <v>1183684.859197147</v>
      </c>
      <c r="AO89" s="31">
        <f t="shared" si="10"/>
        <v>10037275.807864925</v>
      </c>
      <c r="AP89" s="31">
        <v>0</v>
      </c>
      <c r="AR89" s="42" t="s">
        <v>465</v>
      </c>
      <c r="AS89" s="42" t="s">
        <v>466</v>
      </c>
      <c r="AT89" s="43" t="s">
        <v>1276</v>
      </c>
      <c r="AU89" s="44">
        <v>32</v>
      </c>
      <c r="AV89" s="31">
        <v>7034221.7061686972</v>
      </c>
      <c r="AW89" s="31">
        <v>136128.44</v>
      </c>
      <c r="AX89" s="31">
        <v>0</v>
      </c>
      <c r="AY89" s="31">
        <v>0</v>
      </c>
      <c r="AZ89" s="31">
        <v>1095447.5347388403</v>
      </c>
      <c r="BA89" s="31">
        <v>751598.04633557447</v>
      </c>
      <c r="BB89" s="31">
        <v>1207525.5110651257</v>
      </c>
      <c r="BC89" s="31">
        <f t="shared" si="11"/>
        <v>10224921.238308238</v>
      </c>
      <c r="BD89" s="31">
        <v>0</v>
      </c>
    </row>
    <row r="90" spans="2:56">
      <c r="B90" s="42" t="s">
        <v>567</v>
      </c>
      <c r="C90" s="42" t="s">
        <v>568</v>
      </c>
      <c r="D90" s="43" t="s">
        <v>1049</v>
      </c>
      <c r="E90" s="44">
        <v>32</v>
      </c>
      <c r="F90" s="31">
        <v>2030412.8579348968</v>
      </c>
      <c r="G90" s="31">
        <v>34299.810000000005</v>
      </c>
      <c r="H90" s="31">
        <v>0</v>
      </c>
      <c r="I90" s="31">
        <v>0</v>
      </c>
      <c r="J90" s="31">
        <v>130256.8708251879</v>
      </c>
      <c r="K90" s="31">
        <v>246235.321783847</v>
      </c>
      <c r="L90" s="31">
        <v>43351.06109314035</v>
      </c>
      <c r="M90" s="31">
        <f t="shared" si="8"/>
        <v>2508039.6416370724</v>
      </c>
      <c r="N90" s="31">
        <v>23483.72</v>
      </c>
      <c r="P90" s="42" t="s">
        <v>567</v>
      </c>
      <c r="Q90" s="42" t="s">
        <v>568</v>
      </c>
      <c r="R90" s="43" t="s">
        <v>1050</v>
      </c>
      <c r="S90" s="44">
        <v>32</v>
      </c>
      <c r="T90" s="31">
        <v>2122218.7439533914</v>
      </c>
      <c r="U90" s="31">
        <v>36044.000000000007</v>
      </c>
      <c r="V90" s="31">
        <v>0</v>
      </c>
      <c r="W90" s="31">
        <v>0</v>
      </c>
      <c r="X90" s="31">
        <v>135329.61002735939</v>
      </c>
      <c r="Y90" s="31">
        <v>246371.7026964644</v>
      </c>
      <c r="Z90" s="31">
        <v>45441.089360692706</v>
      </c>
      <c r="AA90" s="31">
        <f t="shared" si="9"/>
        <v>2609565.9960379079</v>
      </c>
      <c r="AB90" s="31">
        <v>24160.85</v>
      </c>
      <c r="AD90" s="42" t="s">
        <v>567</v>
      </c>
      <c r="AE90" s="42" t="s">
        <v>568</v>
      </c>
      <c r="AF90" s="43" t="s">
        <v>1275</v>
      </c>
      <c r="AG90" s="44">
        <v>32</v>
      </c>
      <c r="AH90" s="31">
        <v>2163218.8116417872</v>
      </c>
      <c r="AI90" s="31">
        <v>36899.19</v>
      </c>
      <c r="AJ90" s="31">
        <v>0</v>
      </c>
      <c r="AK90" s="31">
        <v>0</v>
      </c>
      <c r="AL90" s="31">
        <v>137927.69185450854</v>
      </c>
      <c r="AM90" s="31">
        <v>246325.3701230486</v>
      </c>
      <c r="AN90" s="31">
        <v>46426.216161568664</v>
      </c>
      <c r="AO90" s="31">
        <f t="shared" si="10"/>
        <v>2655383.7997809132</v>
      </c>
      <c r="AP90" s="31">
        <v>24586.52</v>
      </c>
      <c r="AR90" s="42" t="s">
        <v>567</v>
      </c>
      <c r="AS90" s="42" t="s">
        <v>568</v>
      </c>
      <c r="AT90" s="43" t="s">
        <v>1276</v>
      </c>
      <c r="AU90" s="44">
        <v>32</v>
      </c>
      <c r="AV90" s="31">
        <v>2204079.6412034384</v>
      </c>
      <c r="AW90" s="31">
        <v>37566.069999999992</v>
      </c>
      <c r="AX90" s="31">
        <v>0</v>
      </c>
      <c r="AY90" s="31">
        <v>0</v>
      </c>
      <c r="AZ90" s="31">
        <v>140713.34086386074</v>
      </c>
      <c r="BA90" s="31">
        <v>246332.74327317873</v>
      </c>
      <c r="BB90" s="31">
        <v>47296.474015531625</v>
      </c>
      <c r="BC90" s="31">
        <f t="shared" si="11"/>
        <v>2701030.6793560092</v>
      </c>
      <c r="BD90" s="31">
        <v>25042.41</v>
      </c>
    </row>
    <row r="91" spans="2:56">
      <c r="B91" s="42" t="s">
        <v>259</v>
      </c>
      <c r="C91" s="42" t="s">
        <v>260</v>
      </c>
      <c r="D91" s="43" t="s">
        <v>1049</v>
      </c>
      <c r="E91" s="44">
        <v>32</v>
      </c>
      <c r="F91" s="31">
        <v>1956150.5269975346</v>
      </c>
      <c r="G91" s="31">
        <v>18965.86</v>
      </c>
      <c r="H91" s="31">
        <v>0</v>
      </c>
      <c r="I91" s="31">
        <v>0</v>
      </c>
      <c r="J91" s="31">
        <v>61495.652379815343</v>
      </c>
      <c r="K91" s="31">
        <v>67624.64671058477</v>
      </c>
      <c r="L91" s="31">
        <v>0</v>
      </c>
      <c r="M91" s="31">
        <f t="shared" si="8"/>
        <v>2108978.1460879347</v>
      </c>
      <c r="N91" s="31">
        <v>4741.46</v>
      </c>
      <c r="P91" s="42" t="s">
        <v>259</v>
      </c>
      <c r="Q91" s="42" t="s">
        <v>260</v>
      </c>
      <c r="R91" s="43" t="s">
        <v>1050</v>
      </c>
      <c r="S91" s="44">
        <v>32</v>
      </c>
      <c r="T91" s="31">
        <v>2030981.8816806376</v>
      </c>
      <c r="U91" s="31">
        <v>19750.63</v>
      </c>
      <c r="V91" s="31">
        <v>0</v>
      </c>
      <c r="W91" s="31">
        <v>0</v>
      </c>
      <c r="X91" s="31">
        <v>63574.114231717809</v>
      </c>
      <c r="Y91" s="31">
        <v>67683.828483749181</v>
      </c>
      <c r="Z91" s="31">
        <v>0</v>
      </c>
      <c r="AA91" s="31">
        <f t="shared" si="9"/>
        <v>2186849.0043961043</v>
      </c>
      <c r="AB91" s="31">
        <v>4858.55</v>
      </c>
      <c r="AD91" s="42" t="s">
        <v>259</v>
      </c>
      <c r="AE91" s="42" t="s">
        <v>260</v>
      </c>
      <c r="AF91" s="43" t="s">
        <v>1275</v>
      </c>
      <c r="AG91" s="44">
        <v>32</v>
      </c>
      <c r="AH91" s="31">
        <v>2069776.3829622965</v>
      </c>
      <c r="AI91" s="31">
        <v>20146.309999999998</v>
      </c>
      <c r="AJ91" s="31">
        <v>0</v>
      </c>
      <c r="AK91" s="31">
        <v>0</v>
      </c>
      <c r="AL91" s="31">
        <v>64753.861839698802</v>
      </c>
      <c r="AM91" s="31">
        <v>67663.722709433758</v>
      </c>
      <c r="AN91" s="31">
        <v>0</v>
      </c>
      <c r="AO91" s="31">
        <f t="shared" si="10"/>
        <v>2227284.8075114288</v>
      </c>
      <c r="AP91" s="31">
        <v>4944.53</v>
      </c>
      <c r="AR91" s="42" t="s">
        <v>259</v>
      </c>
      <c r="AS91" s="42" t="s">
        <v>260</v>
      </c>
      <c r="AT91" s="43" t="s">
        <v>1276</v>
      </c>
      <c r="AU91" s="44">
        <v>32</v>
      </c>
      <c r="AV91" s="31">
        <v>2107381.6275806301</v>
      </c>
      <c r="AW91" s="31">
        <v>20514.64</v>
      </c>
      <c r="AX91" s="31">
        <v>0</v>
      </c>
      <c r="AY91" s="31">
        <v>0</v>
      </c>
      <c r="AZ91" s="31">
        <v>65950.279147848545</v>
      </c>
      <c r="BA91" s="31">
        <v>67666.922248798423</v>
      </c>
      <c r="BB91" s="31">
        <v>0</v>
      </c>
      <c r="BC91" s="31">
        <f t="shared" si="11"/>
        <v>2266550.078977277</v>
      </c>
      <c r="BD91" s="31">
        <v>5036.6100000000006</v>
      </c>
    </row>
    <row r="92" spans="2:56">
      <c r="B92" s="42" t="s">
        <v>265</v>
      </c>
      <c r="C92" s="42" t="s">
        <v>266</v>
      </c>
      <c r="D92" s="43" t="s">
        <v>1049</v>
      </c>
      <c r="E92" s="44">
        <v>32</v>
      </c>
      <c r="F92" s="31">
        <v>18534781.405275632</v>
      </c>
      <c r="G92" s="31">
        <v>825827.14999999991</v>
      </c>
      <c r="H92" s="31">
        <v>108843.53000000001</v>
      </c>
      <c r="I92" s="31">
        <v>0</v>
      </c>
      <c r="J92" s="31">
        <v>2616339.1519687646</v>
      </c>
      <c r="K92" s="31">
        <v>513964.93255708745</v>
      </c>
      <c r="L92" s="31">
        <v>953505.55392894894</v>
      </c>
      <c r="M92" s="31">
        <f t="shared" si="8"/>
        <v>23709072.653730433</v>
      </c>
      <c r="N92" s="31">
        <v>155810.93000000002</v>
      </c>
      <c r="P92" s="42" t="s">
        <v>265</v>
      </c>
      <c r="Q92" s="42" t="s">
        <v>266</v>
      </c>
      <c r="R92" s="43" t="s">
        <v>1050</v>
      </c>
      <c r="S92" s="44">
        <v>32</v>
      </c>
      <c r="T92" s="31">
        <v>19386011.378747005</v>
      </c>
      <c r="U92" s="31">
        <v>863850.63000000012</v>
      </c>
      <c r="V92" s="31">
        <v>113630.36</v>
      </c>
      <c r="W92" s="31">
        <v>0</v>
      </c>
      <c r="X92" s="31">
        <v>2718431.3572136988</v>
      </c>
      <c r="Y92" s="31">
        <v>514573.00577292783</v>
      </c>
      <c r="Z92" s="31">
        <v>1001724.691858416</v>
      </c>
      <c r="AA92" s="31">
        <f t="shared" si="9"/>
        <v>24758561.623592045</v>
      </c>
      <c r="AB92" s="31">
        <v>160340.19999999998</v>
      </c>
      <c r="AD92" s="42" t="s">
        <v>265</v>
      </c>
      <c r="AE92" s="42" t="s">
        <v>266</v>
      </c>
      <c r="AF92" s="43" t="s">
        <v>1275</v>
      </c>
      <c r="AG92" s="44">
        <v>32</v>
      </c>
      <c r="AH92" s="31">
        <v>19765574.454483744</v>
      </c>
      <c r="AI92" s="31">
        <v>881785.47000000009</v>
      </c>
      <c r="AJ92" s="31">
        <v>115853.12</v>
      </c>
      <c r="AK92" s="31">
        <v>0</v>
      </c>
      <c r="AL92" s="31">
        <v>2770896.4428999978</v>
      </c>
      <c r="AM92" s="31">
        <v>514366.42556771869</v>
      </c>
      <c r="AN92" s="31">
        <v>1021873.2123748835</v>
      </c>
      <c r="AO92" s="31">
        <f t="shared" si="10"/>
        <v>25233717.445326347</v>
      </c>
      <c r="AP92" s="31">
        <v>163368.31999999998</v>
      </c>
      <c r="AR92" s="42" t="s">
        <v>265</v>
      </c>
      <c r="AS92" s="42" t="s">
        <v>266</v>
      </c>
      <c r="AT92" s="43" t="s">
        <v>1276</v>
      </c>
      <c r="AU92" s="44">
        <v>32</v>
      </c>
      <c r="AV92" s="31">
        <v>20165622.459720567</v>
      </c>
      <c r="AW92" s="31">
        <v>899315.47999999975</v>
      </c>
      <c r="AX92" s="31">
        <v>118178.76999999999</v>
      </c>
      <c r="AY92" s="31">
        <v>0</v>
      </c>
      <c r="AZ92" s="31">
        <v>2826890.502282952</v>
      </c>
      <c r="BA92" s="31">
        <v>514399.2997802787</v>
      </c>
      <c r="BB92" s="31">
        <v>1042475.2295199635</v>
      </c>
      <c r="BC92" s="31">
        <f t="shared" si="11"/>
        <v>25733486.291303761</v>
      </c>
      <c r="BD92" s="31">
        <v>166604.54999999999</v>
      </c>
    </row>
    <row r="93" spans="2:56">
      <c r="B93" s="42" t="s">
        <v>139</v>
      </c>
      <c r="C93" s="42" t="s">
        <v>140</v>
      </c>
      <c r="D93" s="43" t="s">
        <v>1049</v>
      </c>
      <c r="E93" s="44">
        <v>32</v>
      </c>
      <c r="F93" s="31">
        <v>5988564.7930151904</v>
      </c>
      <c r="G93" s="31">
        <v>329258.97000000009</v>
      </c>
      <c r="H93" s="31">
        <v>0</v>
      </c>
      <c r="I93" s="31">
        <v>20170.64</v>
      </c>
      <c r="J93" s="31">
        <v>870886.80414785841</v>
      </c>
      <c r="K93" s="31">
        <v>483437.74882389733</v>
      </c>
      <c r="L93" s="31">
        <v>300792.25297684624</v>
      </c>
      <c r="M93" s="31">
        <f t="shared" si="8"/>
        <v>8198033.288963791</v>
      </c>
      <c r="N93" s="31">
        <v>204922.08</v>
      </c>
      <c r="P93" s="42" t="s">
        <v>139</v>
      </c>
      <c r="Q93" s="42" t="s">
        <v>140</v>
      </c>
      <c r="R93" s="43" t="s">
        <v>1050</v>
      </c>
      <c r="S93" s="44">
        <v>32</v>
      </c>
      <c r="T93" s="31">
        <v>6301517.392719008</v>
      </c>
      <c r="U93" s="31">
        <v>346368.10000000009</v>
      </c>
      <c r="V93" s="31">
        <v>0</v>
      </c>
      <c r="W93" s="31">
        <v>21046.41</v>
      </c>
      <c r="X93" s="31">
        <v>904808.87090152514</v>
      </c>
      <c r="Y93" s="31">
        <v>483893.74967191834</v>
      </c>
      <c r="Z93" s="31">
        <v>315986.2167888257</v>
      </c>
      <c r="AA93" s="31">
        <f t="shared" si="9"/>
        <v>8584678.7600812763</v>
      </c>
      <c r="AB93" s="31">
        <v>211058.02</v>
      </c>
      <c r="AD93" s="42" t="s">
        <v>139</v>
      </c>
      <c r="AE93" s="42" t="s">
        <v>140</v>
      </c>
      <c r="AF93" s="43" t="s">
        <v>1275</v>
      </c>
      <c r="AG93" s="44">
        <v>32</v>
      </c>
      <c r="AH93" s="31">
        <v>6426232.1157528209</v>
      </c>
      <c r="AI93" s="31">
        <v>353864.64</v>
      </c>
      <c r="AJ93" s="31">
        <v>0</v>
      </c>
      <c r="AK93" s="31">
        <v>21458.1</v>
      </c>
      <c r="AL93" s="31">
        <v>922262.28548439289</v>
      </c>
      <c r="AM93" s="31">
        <v>483738.83288508124</v>
      </c>
      <c r="AN93" s="31">
        <v>322322.47825991141</v>
      </c>
      <c r="AO93" s="31">
        <f t="shared" si="10"/>
        <v>8744756.5623822045</v>
      </c>
      <c r="AP93" s="31">
        <v>214878.11000000002</v>
      </c>
      <c r="AR93" s="42" t="s">
        <v>139</v>
      </c>
      <c r="AS93" s="42" t="s">
        <v>140</v>
      </c>
      <c r="AT93" s="43" t="s">
        <v>1276</v>
      </c>
      <c r="AU93" s="44">
        <v>32</v>
      </c>
      <c r="AV93" s="31">
        <v>6553827.3698819615</v>
      </c>
      <c r="AW93" s="31">
        <v>360902.59</v>
      </c>
      <c r="AX93" s="31">
        <v>0</v>
      </c>
      <c r="AY93" s="31">
        <v>21955</v>
      </c>
      <c r="AZ93" s="31">
        <v>940857.30113065382</v>
      </c>
      <c r="BA93" s="31">
        <v>483763.48562165123</v>
      </c>
      <c r="BB93" s="31">
        <v>328762.25301655999</v>
      </c>
      <c r="BC93" s="31">
        <f t="shared" si="11"/>
        <v>8909344.4196508266</v>
      </c>
      <c r="BD93" s="31">
        <v>219276.41999999998</v>
      </c>
    </row>
    <row r="94" spans="2:56">
      <c r="B94" s="42" t="s">
        <v>593</v>
      </c>
      <c r="C94" s="42" t="s">
        <v>594</v>
      </c>
      <c r="D94" s="43" t="s">
        <v>1049</v>
      </c>
      <c r="E94" s="44">
        <v>32</v>
      </c>
      <c r="F94" s="31">
        <v>27605209.846428059</v>
      </c>
      <c r="G94" s="31">
        <v>1863105.0100000002</v>
      </c>
      <c r="H94" s="31">
        <v>1724346.56</v>
      </c>
      <c r="I94" s="31">
        <v>98417.150000000009</v>
      </c>
      <c r="J94" s="31">
        <v>4371075.3524244875</v>
      </c>
      <c r="K94" s="31">
        <v>1176908.6340059193</v>
      </c>
      <c r="L94" s="31">
        <v>2832168.8244953472</v>
      </c>
      <c r="M94" s="31">
        <f t="shared" si="8"/>
        <v>40689118.147353813</v>
      </c>
      <c r="N94" s="31">
        <v>1017886.77</v>
      </c>
      <c r="P94" s="42" t="s">
        <v>593</v>
      </c>
      <c r="Q94" s="42" t="s">
        <v>594</v>
      </c>
      <c r="R94" s="43" t="s">
        <v>1050</v>
      </c>
      <c r="S94" s="44">
        <v>32</v>
      </c>
      <c r="T94" s="31">
        <v>29119157.940332603</v>
      </c>
      <c r="U94" s="31">
        <v>1958294.6200000003</v>
      </c>
      <c r="V94" s="31">
        <v>1799366.28</v>
      </c>
      <c r="W94" s="31">
        <v>102702.40000000001</v>
      </c>
      <c r="X94" s="31">
        <v>4541371.0033000764</v>
      </c>
      <c r="Y94" s="31">
        <v>1177746.315203622</v>
      </c>
      <c r="Z94" s="31">
        <v>2975569.3889164748</v>
      </c>
      <c r="AA94" s="31">
        <f t="shared" si="9"/>
        <v>42722209.867752783</v>
      </c>
      <c r="AB94" s="31">
        <v>1048001.9200000002</v>
      </c>
      <c r="AD94" s="42" t="s">
        <v>593</v>
      </c>
      <c r="AE94" s="42" t="s">
        <v>594</v>
      </c>
      <c r="AF94" s="43" t="s">
        <v>1275</v>
      </c>
      <c r="AG94" s="44">
        <v>32</v>
      </c>
      <c r="AH94" s="31">
        <v>29700882.550135709</v>
      </c>
      <c r="AI94" s="31">
        <v>2000094.4599999995</v>
      </c>
      <c r="AJ94" s="31">
        <v>1836008.49</v>
      </c>
      <c r="AK94" s="31">
        <v>104814.56000000001</v>
      </c>
      <c r="AL94" s="31">
        <v>4628940.2902938239</v>
      </c>
      <c r="AM94" s="31">
        <v>1177461.7304707095</v>
      </c>
      <c r="AN94" s="31">
        <v>3035198.4614898791</v>
      </c>
      <c r="AO94" s="31">
        <f t="shared" si="10"/>
        <v>43550679.252390124</v>
      </c>
      <c r="AP94" s="31">
        <v>1067278.71</v>
      </c>
      <c r="AR94" s="42" t="s">
        <v>593</v>
      </c>
      <c r="AS94" s="42" t="s">
        <v>594</v>
      </c>
      <c r="AT94" s="43" t="s">
        <v>1276</v>
      </c>
      <c r="AU94" s="44">
        <v>32</v>
      </c>
      <c r="AV94" s="31">
        <v>30299145.895678304</v>
      </c>
      <c r="AW94" s="31">
        <v>2039812.2699999996</v>
      </c>
      <c r="AX94" s="31">
        <v>1872687.13</v>
      </c>
      <c r="AY94" s="31">
        <v>106833.62999999999</v>
      </c>
      <c r="AZ94" s="31">
        <v>4722294.8239188623</v>
      </c>
      <c r="BA94" s="31">
        <v>1177507.0179608231</v>
      </c>
      <c r="BB94" s="31">
        <v>3096474.8925419021</v>
      </c>
      <c r="BC94" s="31">
        <f t="shared" si="11"/>
        <v>44403687.060099892</v>
      </c>
      <c r="BD94" s="31">
        <v>1088931.3999999999</v>
      </c>
    </row>
    <row r="95" spans="2:56">
      <c r="B95" s="42" t="s">
        <v>601</v>
      </c>
      <c r="C95" s="42" t="s">
        <v>602</v>
      </c>
      <c r="D95" s="43" t="s">
        <v>1049</v>
      </c>
      <c r="E95" s="44">
        <v>32</v>
      </c>
      <c r="F95" s="31">
        <v>11098922.818280533</v>
      </c>
      <c r="G95" s="31">
        <v>825632.24000000011</v>
      </c>
      <c r="H95" s="31">
        <v>901052.95</v>
      </c>
      <c r="I95" s="31">
        <v>40828.519999999997</v>
      </c>
      <c r="J95" s="31">
        <v>1842467.0536756071</v>
      </c>
      <c r="K95" s="31">
        <v>534062.38875469787</v>
      </c>
      <c r="L95" s="31">
        <v>1658149.3210313136</v>
      </c>
      <c r="M95" s="31">
        <f t="shared" si="8"/>
        <v>17311836.411742151</v>
      </c>
      <c r="N95" s="31">
        <v>410721.12</v>
      </c>
      <c r="P95" s="42" t="s">
        <v>601</v>
      </c>
      <c r="Q95" s="42" t="s">
        <v>602</v>
      </c>
      <c r="R95" s="43" t="s">
        <v>1050</v>
      </c>
      <c r="S95" s="44">
        <v>32</v>
      </c>
      <c r="T95" s="31">
        <v>11711144.196257755</v>
      </c>
      <c r="U95" s="31">
        <v>867290.48999999976</v>
      </c>
      <c r="V95" s="31">
        <v>940207.58</v>
      </c>
      <c r="W95" s="31">
        <v>42598.729999999996</v>
      </c>
      <c r="X95" s="31">
        <v>1914235.7701074036</v>
      </c>
      <c r="Y95" s="31">
        <v>534584.38127326267</v>
      </c>
      <c r="Z95" s="31">
        <v>1741916.0144842707</v>
      </c>
      <c r="AA95" s="31">
        <f t="shared" si="9"/>
        <v>18174891.892122693</v>
      </c>
      <c r="AB95" s="31">
        <v>422914.73</v>
      </c>
      <c r="AD95" s="42" t="s">
        <v>601</v>
      </c>
      <c r="AE95" s="42" t="s">
        <v>602</v>
      </c>
      <c r="AF95" s="43" t="s">
        <v>1275</v>
      </c>
      <c r="AG95" s="44">
        <v>32</v>
      </c>
      <c r="AH95" s="31">
        <v>11945460.34073665</v>
      </c>
      <c r="AI95" s="31">
        <v>885701.17999999993</v>
      </c>
      <c r="AJ95" s="31">
        <v>959321.3899999999</v>
      </c>
      <c r="AK95" s="31">
        <v>43535.18</v>
      </c>
      <c r="AL95" s="31">
        <v>1951134.9333125099</v>
      </c>
      <c r="AM95" s="31">
        <v>534407.04519136716</v>
      </c>
      <c r="AN95" s="31">
        <v>1776731.9970438671</v>
      </c>
      <c r="AO95" s="31">
        <f t="shared" si="10"/>
        <v>18526962.64628439</v>
      </c>
      <c r="AP95" s="31">
        <v>430670.58</v>
      </c>
      <c r="AR95" s="42" t="s">
        <v>601</v>
      </c>
      <c r="AS95" s="42" t="s">
        <v>602</v>
      </c>
      <c r="AT95" s="43" t="s">
        <v>1276</v>
      </c>
      <c r="AU95" s="44">
        <v>32</v>
      </c>
      <c r="AV95" s="31">
        <v>12185720.919977896</v>
      </c>
      <c r="AW95" s="31">
        <v>903340.2899999998</v>
      </c>
      <c r="AX95" s="31">
        <v>978520.27</v>
      </c>
      <c r="AY95" s="31">
        <v>44435.229999999996</v>
      </c>
      <c r="AZ95" s="31">
        <v>1990494.7168801492</v>
      </c>
      <c r="BA95" s="31">
        <v>534435.26563022705</v>
      </c>
      <c r="BB95" s="31">
        <v>1812720.34049727</v>
      </c>
      <c r="BC95" s="31">
        <f t="shared" si="11"/>
        <v>18889047.702985544</v>
      </c>
      <c r="BD95" s="31">
        <v>439380.67</v>
      </c>
    </row>
    <row r="96" spans="2:56">
      <c r="B96" s="42" t="s">
        <v>447</v>
      </c>
      <c r="C96" s="42" t="s">
        <v>448</v>
      </c>
      <c r="D96" s="43" t="s">
        <v>1049</v>
      </c>
      <c r="E96" s="44">
        <v>32</v>
      </c>
      <c r="F96" s="31">
        <v>18571884.828790981</v>
      </c>
      <c r="G96" s="31">
        <v>688808.70000000007</v>
      </c>
      <c r="H96" s="31">
        <v>139227.29</v>
      </c>
      <c r="I96" s="31">
        <v>67242.899999999994</v>
      </c>
      <c r="J96" s="31">
        <v>3208117.1660679472</v>
      </c>
      <c r="K96" s="31">
        <v>1596233.6024708068</v>
      </c>
      <c r="L96" s="31">
        <v>1972302.8211859725</v>
      </c>
      <c r="M96" s="31">
        <f t="shared" si="8"/>
        <v>26306103.208515704</v>
      </c>
      <c r="N96" s="31">
        <v>62285.9</v>
      </c>
      <c r="P96" s="42" t="s">
        <v>447</v>
      </c>
      <c r="Q96" s="42" t="s">
        <v>448</v>
      </c>
      <c r="R96" s="43" t="s">
        <v>1050</v>
      </c>
      <c r="S96" s="44">
        <v>32</v>
      </c>
      <c r="T96" s="31">
        <v>19365456.017303754</v>
      </c>
      <c r="U96" s="31">
        <v>718812.15000000014</v>
      </c>
      <c r="V96" s="31">
        <v>145103.95000000001</v>
      </c>
      <c r="W96" s="31">
        <v>70092.59</v>
      </c>
      <c r="X96" s="31">
        <v>3331487.0610456769</v>
      </c>
      <c r="Y96" s="31">
        <v>1597454.0891416857</v>
      </c>
      <c r="Z96" s="31">
        <v>2051432.7296192762</v>
      </c>
      <c r="AA96" s="31">
        <f t="shared" si="9"/>
        <v>27344006.54711039</v>
      </c>
      <c r="AB96" s="31">
        <v>64167.960000000006</v>
      </c>
      <c r="AD96" s="42" t="s">
        <v>447</v>
      </c>
      <c r="AE96" s="42" t="s">
        <v>448</v>
      </c>
      <c r="AF96" s="43" t="s">
        <v>1275</v>
      </c>
      <c r="AG96" s="44">
        <v>32</v>
      </c>
      <c r="AH96" s="31">
        <v>19752669.078771085</v>
      </c>
      <c r="AI96" s="31">
        <v>733578.8600000001</v>
      </c>
      <c r="AJ96" s="31">
        <v>148061.04999999999</v>
      </c>
      <c r="AK96" s="31">
        <v>71579.959999999992</v>
      </c>
      <c r="AL96" s="31">
        <v>3396084.0573841729</v>
      </c>
      <c r="AM96" s="31">
        <v>1597007.7637481212</v>
      </c>
      <c r="AN96" s="31">
        <v>2092582.0925328056</v>
      </c>
      <c r="AO96" s="31">
        <f t="shared" si="10"/>
        <v>27856875.432436187</v>
      </c>
      <c r="AP96" s="31">
        <v>65312.57</v>
      </c>
      <c r="AR96" s="42" t="s">
        <v>447</v>
      </c>
      <c r="AS96" s="42" t="s">
        <v>448</v>
      </c>
      <c r="AT96" s="43" t="s">
        <v>1276</v>
      </c>
      <c r="AU96" s="44">
        <v>32</v>
      </c>
      <c r="AV96" s="31">
        <v>20153816.931385096</v>
      </c>
      <c r="AW96" s="31">
        <v>748420.07000000007</v>
      </c>
      <c r="AX96" s="31">
        <v>151034.06</v>
      </c>
      <c r="AY96" s="31">
        <v>73021.069999999992</v>
      </c>
      <c r="AZ96" s="31">
        <v>3465225.0856435769</v>
      </c>
      <c r="BA96" s="31">
        <v>1597077.1506204312</v>
      </c>
      <c r="BB96" s="31">
        <v>2134955.5533185387</v>
      </c>
      <c r="BC96" s="31">
        <f t="shared" si="11"/>
        <v>28390202.890967641</v>
      </c>
      <c r="BD96" s="31">
        <v>66652.969999999987</v>
      </c>
    </row>
    <row r="97" spans="2:56">
      <c r="B97" s="42" t="s">
        <v>315</v>
      </c>
      <c r="C97" s="42" t="s">
        <v>316</v>
      </c>
      <c r="D97" s="43" t="s">
        <v>1049</v>
      </c>
      <c r="E97" s="44">
        <v>32</v>
      </c>
      <c r="F97" s="31">
        <v>1912066.7698928902</v>
      </c>
      <c r="G97" s="31">
        <v>60901.709999999992</v>
      </c>
      <c r="H97" s="31">
        <v>0</v>
      </c>
      <c r="I97" s="31">
        <v>6041.4600000000009</v>
      </c>
      <c r="J97" s="31">
        <v>223096.85187945142</v>
      </c>
      <c r="K97" s="31">
        <v>145464.32756712576</v>
      </c>
      <c r="L97" s="31">
        <v>0</v>
      </c>
      <c r="M97" s="31">
        <f t="shared" si="8"/>
        <v>2347571.119339467</v>
      </c>
      <c r="N97" s="31">
        <v>0</v>
      </c>
      <c r="P97" s="42" t="s">
        <v>315</v>
      </c>
      <c r="Q97" s="42" t="s">
        <v>316</v>
      </c>
      <c r="R97" s="43" t="s">
        <v>1050</v>
      </c>
      <c r="S97" s="44">
        <v>32</v>
      </c>
      <c r="T97" s="31">
        <v>1995974.3461131386</v>
      </c>
      <c r="U97" s="31">
        <v>63543.94</v>
      </c>
      <c r="V97" s="31">
        <v>0</v>
      </c>
      <c r="W97" s="31">
        <v>6273.44</v>
      </c>
      <c r="X97" s="31">
        <v>231767.59367812733</v>
      </c>
      <c r="Y97" s="31">
        <v>145588.21037675545</v>
      </c>
      <c r="Z97" s="31">
        <v>0</v>
      </c>
      <c r="AA97" s="31">
        <f t="shared" si="9"/>
        <v>2443147.5301680211</v>
      </c>
      <c r="AB97" s="31">
        <v>0</v>
      </c>
      <c r="AD97" s="42" t="s">
        <v>315</v>
      </c>
      <c r="AE97" s="42" t="s">
        <v>316</v>
      </c>
      <c r="AF97" s="43" t="s">
        <v>1275</v>
      </c>
      <c r="AG97" s="44">
        <v>32</v>
      </c>
      <c r="AH97" s="31">
        <v>2035857.5786402754</v>
      </c>
      <c r="AI97" s="31">
        <v>64786.95</v>
      </c>
      <c r="AJ97" s="31">
        <v>0</v>
      </c>
      <c r="AK97" s="31">
        <v>6396.16</v>
      </c>
      <c r="AL97" s="31">
        <v>236242.90559251656</v>
      </c>
      <c r="AM97" s="31">
        <v>145546.12377341802</v>
      </c>
      <c r="AN97" s="31">
        <v>0</v>
      </c>
      <c r="AO97" s="31">
        <f t="shared" si="10"/>
        <v>2488829.7180062099</v>
      </c>
      <c r="AP97" s="31">
        <v>0</v>
      </c>
      <c r="AR97" s="42" t="s">
        <v>315</v>
      </c>
      <c r="AS97" s="42" t="s">
        <v>316</v>
      </c>
      <c r="AT97" s="43" t="s">
        <v>1276</v>
      </c>
      <c r="AU97" s="44">
        <v>32</v>
      </c>
      <c r="AV97" s="31">
        <v>2076546.2786435904</v>
      </c>
      <c r="AW97" s="31">
        <v>66075.069999999992</v>
      </c>
      <c r="AX97" s="31">
        <v>0</v>
      </c>
      <c r="AY97" s="31">
        <v>6512.9499999999989</v>
      </c>
      <c r="AZ97" s="31">
        <v>241001.20861444459</v>
      </c>
      <c r="BA97" s="31">
        <v>145552.82123962804</v>
      </c>
      <c r="BB97" s="31">
        <v>0</v>
      </c>
      <c r="BC97" s="31">
        <f t="shared" si="11"/>
        <v>2535688.3284976631</v>
      </c>
      <c r="BD97" s="31">
        <v>0</v>
      </c>
    </row>
    <row r="98" spans="2:56">
      <c r="B98" s="42" t="s">
        <v>455</v>
      </c>
      <c r="C98" s="42" t="s">
        <v>456</v>
      </c>
      <c r="D98" s="43" t="s">
        <v>1049</v>
      </c>
      <c r="E98" s="44">
        <v>32</v>
      </c>
      <c r="F98" s="31">
        <v>423367.89391142561</v>
      </c>
      <c r="G98" s="31">
        <v>7600.5400000000009</v>
      </c>
      <c r="H98" s="31">
        <v>0</v>
      </c>
      <c r="I98" s="31">
        <v>0</v>
      </c>
      <c r="J98" s="31">
        <v>26174.992485148319</v>
      </c>
      <c r="K98" s="31">
        <v>155905.36294333485</v>
      </c>
      <c r="L98" s="31">
        <v>0</v>
      </c>
      <c r="M98" s="31">
        <f t="shared" si="8"/>
        <v>613048.78933990875</v>
      </c>
      <c r="N98" s="31">
        <v>0</v>
      </c>
      <c r="P98" s="42" t="s">
        <v>455</v>
      </c>
      <c r="Q98" s="42" t="s">
        <v>456</v>
      </c>
      <c r="R98" s="43" t="s">
        <v>1050</v>
      </c>
      <c r="S98" s="44">
        <v>32</v>
      </c>
      <c r="T98" s="31">
        <v>439253.16521774937</v>
      </c>
      <c r="U98" s="31">
        <v>7892.4100000000008</v>
      </c>
      <c r="V98" s="31">
        <v>0</v>
      </c>
      <c r="W98" s="31">
        <v>0</v>
      </c>
      <c r="X98" s="31">
        <v>27057.006124787502</v>
      </c>
      <c r="Y98" s="31">
        <v>156111.54617280414</v>
      </c>
      <c r="Z98" s="31">
        <v>0</v>
      </c>
      <c r="AA98" s="31">
        <f t="shared" si="9"/>
        <v>630314.12751534092</v>
      </c>
      <c r="AB98" s="31">
        <v>0</v>
      </c>
      <c r="AD98" s="42" t="s">
        <v>455</v>
      </c>
      <c r="AE98" s="42" t="s">
        <v>456</v>
      </c>
      <c r="AF98" s="43" t="s">
        <v>1275</v>
      </c>
      <c r="AG98" s="44">
        <v>32</v>
      </c>
      <c r="AH98" s="31">
        <v>447674.04011387937</v>
      </c>
      <c r="AI98" s="31">
        <v>8046.78</v>
      </c>
      <c r="AJ98" s="31">
        <v>0</v>
      </c>
      <c r="AK98" s="31">
        <v>0</v>
      </c>
      <c r="AL98" s="31">
        <v>27557.633191176603</v>
      </c>
      <c r="AM98" s="31">
        <v>156041.49971664575</v>
      </c>
      <c r="AN98" s="31">
        <v>0</v>
      </c>
      <c r="AO98" s="31">
        <f t="shared" si="10"/>
        <v>639319.95302170166</v>
      </c>
      <c r="AP98" s="31">
        <v>0</v>
      </c>
      <c r="AR98" s="42" t="s">
        <v>455</v>
      </c>
      <c r="AS98" s="42" t="s">
        <v>456</v>
      </c>
      <c r="AT98" s="43" t="s">
        <v>1276</v>
      </c>
      <c r="AU98" s="44">
        <v>32</v>
      </c>
      <c r="AV98" s="31">
        <v>455837.7220485945</v>
      </c>
      <c r="AW98" s="31">
        <v>8193.73</v>
      </c>
      <c r="AX98" s="31">
        <v>0</v>
      </c>
      <c r="AY98" s="31">
        <v>0</v>
      </c>
      <c r="AZ98" s="31">
        <v>28064.110219700342</v>
      </c>
      <c r="BA98" s="31">
        <v>156052.64658372576</v>
      </c>
      <c r="BB98" s="31">
        <v>0</v>
      </c>
      <c r="BC98" s="31">
        <f t="shared" si="11"/>
        <v>648148.20885202056</v>
      </c>
      <c r="BD98" s="31">
        <v>0</v>
      </c>
    </row>
    <row r="99" spans="2:56">
      <c r="B99" s="42" t="s">
        <v>1023</v>
      </c>
      <c r="C99" s="42" t="s">
        <v>1041</v>
      </c>
      <c r="D99" s="43" t="s">
        <v>1049</v>
      </c>
      <c r="E99" s="44">
        <v>32</v>
      </c>
      <c r="F99" s="31">
        <v>2651337.9339300469</v>
      </c>
      <c r="G99" s="31">
        <v>0</v>
      </c>
      <c r="H99" s="31">
        <v>46184.36</v>
      </c>
      <c r="I99" s="31">
        <v>0</v>
      </c>
      <c r="J99" s="31">
        <v>197015.1047303337</v>
      </c>
      <c r="K99" s="31">
        <v>443653.05</v>
      </c>
      <c r="L99" s="31">
        <v>0</v>
      </c>
      <c r="M99" s="31">
        <f t="shared" si="8"/>
        <v>3338190.4486603802</v>
      </c>
      <c r="N99" s="31">
        <v>0</v>
      </c>
      <c r="P99" s="42" t="s">
        <v>1023</v>
      </c>
      <c r="Q99" s="42" t="s">
        <v>1041</v>
      </c>
      <c r="R99" s="43" t="s">
        <v>1050</v>
      </c>
      <c r="S99" s="44">
        <v>32</v>
      </c>
      <c r="T99" s="31">
        <v>2762990.1806050367</v>
      </c>
      <c r="U99" s="31">
        <v>0</v>
      </c>
      <c r="V99" s="31">
        <v>48008.249999999993</v>
      </c>
      <c r="W99" s="31">
        <v>0</v>
      </c>
      <c r="X99" s="31">
        <v>204590.46411853158</v>
      </c>
      <c r="Y99" s="31">
        <v>443653.05</v>
      </c>
      <c r="Z99" s="31">
        <v>0</v>
      </c>
      <c r="AA99" s="31">
        <f t="shared" si="9"/>
        <v>3459241.9447235679</v>
      </c>
      <c r="AB99" s="31">
        <v>0</v>
      </c>
      <c r="AD99" s="42" t="s">
        <v>1023</v>
      </c>
      <c r="AE99" s="42" t="s">
        <v>1041</v>
      </c>
      <c r="AF99" s="43" t="s">
        <v>1275</v>
      </c>
      <c r="AG99" s="44">
        <v>32</v>
      </c>
      <c r="AH99" s="31">
        <v>2816480.485590443</v>
      </c>
      <c r="AI99" s="31">
        <v>0</v>
      </c>
      <c r="AJ99" s="31">
        <v>49068.960000000006</v>
      </c>
      <c r="AK99" s="31">
        <v>0</v>
      </c>
      <c r="AL99" s="31">
        <v>208574.72732886596</v>
      </c>
      <c r="AM99" s="31">
        <v>443653.05</v>
      </c>
      <c r="AN99" s="31">
        <v>0</v>
      </c>
      <c r="AO99" s="31">
        <f t="shared" si="10"/>
        <v>3517777.2229193086</v>
      </c>
      <c r="AP99" s="31">
        <v>0</v>
      </c>
      <c r="AR99" s="42" t="s">
        <v>1023</v>
      </c>
      <c r="AS99" s="42" t="s">
        <v>1041</v>
      </c>
      <c r="AT99" s="43" t="s">
        <v>1276</v>
      </c>
      <c r="AU99" s="44">
        <v>32</v>
      </c>
      <c r="AV99" s="31">
        <v>2870496.9794905121</v>
      </c>
      <c r="AW99" s="31">
        <v>0</v>
      </c>
      <c r="AX99" s="31">
        <v>49982.610000000008</v>
      </c>
      <c r="AY99" s="31">
        <v>0</v>
      </c>
      <c r="AZ99" s="31">
        <v>212837.09860301562</v>
      </c>
      <c r="BA99" s="31">
        <v>443653.05</v>
      </c>
      <c r="BB99" s="31">
        <v>0</v>
      </c>
      <c r="BC99" s="31">
        <f t="shared" si="11"/>
        <v>3576969.7380935275</v>
      </c>
      <c r="BD99" s="31">
        <v>0</v>
      </c>
    </row>
    <row r="100" spans="2:56">
      <c r="B100" s="42" t="s">
        <v>61</v>
      </c>
      <c r="C100" s="42" t="s">
        <v>62</v>
      </c>
      <c r="D100" s="43" t="s">
        <v>1049</v>
      </c>
      <c r="E100" s="44">
        <v>32</v>
      </c>
      <c r="F100" s="31">
        <v>1361698.2623225916</v>
      </c>
      <c r="G100" s="31">
        <v>48526.47</v>
      </c>
      <c r="H100" s="31">
        <v>0</v>
      </c>
      <c r="I100" s="31">
        <v>4287.4900000000007</v>
      </c>
      <c r="J100" s="31">
        <v>186065.36220417946</v>
      </c>
      <c r="K100" s="31">
        <v>182148.95969046818</v>
      </c>
      <c r="L100" s="31">
        <v>0</v>
      </c>
      <c r="M100" s="31">
        <f t="shared" si="8"/>
        <v>1782726.5442172391</v>
      </c>
      <c r="N100" s="31">
        <v>0</v>
      </c>
      <c r="P100" s="42" t="s">
        <v>61</v>
      </c>
      <c r="Q100" s="42" t="s">
        <v>62</v>
      </c>
      <c r="R100" s="43" t="s">
        <v>1050</v>
      </c>
      <c r="S100" s="44">
        <v>32</v>
      </c>
      <c r="T100" s="31">
        <v>1441326.4770535436</v>
      </c>
      <c r="U100" s="31">
        <v>50693.5</v>
      </c>
      <c r="V100" s="31">
        <v>0</v>
      </c>
      <c r="W100" s="31">
        <v>4452.13</v>
      </c>
      <c r="X100" s="31">
        <v>193304.45941122971</v>
      </c>
      <c r="Y100" s="31">
        <v>182280.9428036368</v>
      </c>
      <c r="Z100" s="31">
        <v>0</v>
      </c>
      <c r="AA100" s="31">
        <f t="shared" si="9"/>
        <v>1872057.50926841</v>
      </c>
      <c r="AB100" s="31">
        <v>0</v>
      </c>
      <c r="AD100" s="42" t="s">
        <v>61</v>
      </c>
      <c r="AE100" s="42" t="s">
        <v>62</v>
      </c>
      <c r="AF100" s="43" t="s">
        <v>1275</v>
      </c>
      <c r="AG100" s="44">
        <v>32</v>
      </c>
      <c r="AH100" s="31">
        <v>1469926.4516901912</v>
      </c>
      <c r="AI100" s="31">
        <v>51685.14</v>
      </c>
      <c r="AJ100" s="31">
        <v>0</v>
      </c>
      <c r="AK100" s="31">
        <v>4539.2099999999991</v>
      </c>
      <c r="AL100" s="31">
        <v>197034.00682398348</v>
      </c>
      <c r="AM100" s="31">
        <v>182236.10429095075</v>
      </c>
      <c r="AN100" s="31">
        <v>0</v>
      </c>
      <c r="AO100" s="31">
        <f t="shared" si="10"/>
        <v>1905420.9128051254</v>
      </c>
      <c r="AP100" s="31">
        <v>0</v>
      </c>
      <c r="AR100" s="42" t="s">
        <v>61</v>
      </c>
      <c r="AS100" s="42" t="s">
        <v>62</v>
      </c>
      <c r="AT100" s="43" t="s">
        <v>1276</v>
      </c>
      <c r="AU100" s="44">
        <v>32</v>
      </c>
      <c r="AV100" s="31">
        <v>1499580.5605430338</v>
      </c>
      <c r="AW100" s="31">
        <v>52733.979999999996</v>
      </c>
      <c r="AX100" s="31">
        <v>0</v>
      </c>
      <c r="AY100" s="31">
        <v>4622.0999999999995</v>
      </c>
      <c r="AZ100" s="31">
        <v>200991.83603391011</v>
      </c>
      <c r="BA100" s="31">
        <v>182243.23968320881</v>
      </c>
      <c r="BB100" s="31">
        <v>0</v>
      </c>
      <c r="BC100" s="31">
        <f t="shared" si="11"/>
        <v>1940171.7162601526</v>
      </c>
      <c r="BD100" s="31">
        <v>0</v>
      </c>
    </row>
    <row r="101" spans="2:56">
      <c r="B101" s="42" t="s">
        <v>517</v>
      </c>
      <c r="C101" s="42" t="s">
        <v>518</v>
      </c>
      <c r="D101" s="43" t="s">
        <v>1049</v>
      </c>
      <c r="E101" s="44">
        <v>32</v>
      </c>
      <c r="F101" s="31">
        <v>5266566.7732619513</v>
      </c>
      <c r="G101" s="31">
        <v>64312.21</v>
      </c>
      <c r="H101" s="31">
        <v>3410.5</v>
      </c>
      <c r="I101" s="31">
        <v>16955.04</v>
      </c>
      <c r="J101" s="31">
        <v>795840.51088336494</v>
      </c>
      <c r="K101" s="31">
        <v>692073.33428741153</v>
      </c>
      <c r="L101" s="31">
        <v>0</v>
      </c>
      <c r="M101" s="31">
        <f t="shared" si="8"/>
        <v>6839158.3684327276</v>
      </c>
      <c r="N101" s="31">
        <v>0</v>
      </c>
      <c r="P101" s="42" t="s">
        <v>517</v>
      </c>
      <c r="Q101" s="42" t="s">
        <v>518</v>
      </c>
      <c r="R101" s="43" t="s">
        <v>1050</v>
      </c>
      <c r="S101" s="44">
        <v>32</v>
      </c>
      <c r="T101" s="31">
        <v>5497214.0491120908</v>
      </c>
      <c r="U101" s="31">
        <v>67186.600000000006</v>
      </c>
      <c r="V101" s="31">
        <v>3541.4700000000003</v>
      </c>
      <c r="W101" s="31">
        <v>17606.12</v>
      </c>
      <c r="X101" s="31">
        <v>826808.17762523843</v>
      </c>
      <c r="Y101" s="31">
        <v>692766.30011963809</v>
      </c>
      <c r="Z101" s="31">
        <v>0</v>
      </c>
      <c r="AA101" s="31">
        <f t="shared" si="9"/>
        <v>7105122.7168569677</v>
      </c>
      <c r="AB101" s="31">
        <v>0</v>
      </c>
      <c r="AD101" s="42" t="s">
        <v>517</v>
      </c>
      <c r="AE101" s="42" t="s">
        <v>518</v>
      </c>
      <c r="AF101" s="43" t="s">
        <v>1275</v>
      </c>
      <c r="AG101" s="44">
        <v>32</v>
      </c>
      <c r="AH101" s="31">
        <v>5607021.2110712836</v>
      </c>
      <c r="AI101" s="31">
        <v>68500.86</v>
      </c>
      <c r="AJ101" s="31">
        <v>3610.75</v>
      </c>
      <c r="AK101" s="31">
        <v>18053.690000000002</v>
      </c>
      <c r="AL101" s="31">
        <v>842733.15751732804</v>
      </c>
      <c r="AM101" s="31">
        <v>692530.87941684248</v>
      </c>
      <c r="AN101" s="31">
        <v>0</v>
      </c>
      <c r="AO101" s="31">
        <f t="shared" si="10"/>
        <v>7232450.5480054542</v>
      </c>
      <c r="AP101" s="31">
        <v>0</v>
      </c>
      <c r="AR101" s="42" t="s">
        <v>517</v>
      </c>
      <c r="AS101" s="42" t="s">
        <v>518</v>
      </c>
      <c r="AT101" s="43" t="s">
        <v>1276</v>
      </c>
      <c r="AU101" s="44">
        <v>32</v>
      </c>
      <c r="AV101" s="31">
        <v>5719834.8163051978</v>
      </c>
      <c r="AW101" s="31">
        <v>69856.800000000003</v>
      </c>
      <c r="AX101" s="31">
        <v>3676.6800000000003</v>
      </c>
      <c r="AY101" s="31">
        <v>18383.36</v>
      </c>
      <c r="AZ101" s="31">
        <v>859714.29549076373</v>
      </c>
      <c r="BA101" s="31">
        <v>692568.34317198256</v>
      </c>
      <c r="BB101" s="31">
        <v>0</v>
      </c>
      <c r="BC101" s="31">
        <f t="shared" si="11"/>
        <v>7364034.2949679438</v>
      </c>
      <c r="BD101" s="31">
        <v>0</v>
      </c>
    </row>
    <row r="102" spans="2:56">
      <c r="B102" s="42" t="s">
        <v>309</v>
      </c>
      <c r="C102" s="42" t="s">
        <v>310</v>
      </c>
      <c r="D102" s="43" t="s">
        <v>1049</v>
      </c>
      <c r="E102" s="44">
        <v>32</v>
      </c>
      <c r="F102" s="31">
        <v>2191834.168591762</v>
      </c>
      <c r="G102" s="31">
        <v>37729.950000000004</v>
      </c>
      <c r="H102" s="31">
        <v>0</v>
      </c>
      <c r="I102" s="31">
        <v>0</v>
      </c>
      <c r="J102" s="31">
        <v>149848.77340297698</v>
      </c>
      <c r="K102" s="31">
        <v>260521.41208158573</v>
      </c>
      <c r="L102" s="31">
        <v>49739.174243028814</v>
      </c>
      <c r="M102" s="31">
        <f t="shared" si="8"/>
        <v>2723065.4683193536</v>
      </c>
      <c r="N102" s="31">
        <v>33391.99</v>
      </c>
      <c r="P102" s="42" t="s">
        <v>309</v>
      </c>
      <c r="Q102" s="42" t="s">
        <v>310</v>
      </c>
      <c r="R102" s="43" t="s">
        <v>1050</v>
      </c>
      <c r="S102" s="44">
        <v>32</v>
      </c>
      <c r="T102" s="31">
        <v>2288163.6353146015</v>
      </c>
      <c r="U102" s="31">
        <v>39823.05000000001</v>
      </c>
      <c r="V102" s="31">
        <v>0</v>
      </c>
      <c r="W102" s="31">
        <v>0</v>
      </c>
      <c r="X102" s="31">
        <v>155663.17425124897</v>
      </c>
      <c r="Y102" s="31">
        <v>260744.5349347333</v>
      </c>
      <c r="Z102" s="31">
        <v>52360.235328729905</v>
      </c>
      <c r="AA102" s="31">
        <f t="shared" si="9"/>
        <v>2831177.9998293133</v>
      </c>
      <c r="AB102" s="31">
        <v>34423.370000000003</v>
      </c>
      <c r="AD102" s="42" t="s">
        <v>309</v>
      </c>
      <c r="AE102" s="42" t="s">
        <v>310</v>
      </c>
      <c r="AF102" s="43" t="s">
        <v>1275</v>
      </c>
      <c r="AG102" s="44">
        <v>32</v>
      </c>
      <c r="AH102" s="31">
        <v>2332906.5169165824</v>
      </c>
      <c r="AI102" s="31">
        <v>40667.079999999994</v>
      </c>
      <c r="AJ102" s="31">
        <v>0</v>
      </c>
      <c r="AK102" s="31">
        <v>0</v>
      </c>
      <c r="AL102" s="31">
        <v>158667.83249621783</v>
      </c>
      <c r="AM102" s="31">
        <v>260668.73359438585</v>
      </c>
      <c r="AN102" s="31">
        <v>53376.300056174143</v>
      </c>
      <c r="AO102" s="31">
        <f t="shared" si="10"/>
        <v>2881319.0030633602</v>
      </c>
      <c r="AP102" s="31">
        <v>35032.54</v>
      </c>
      <c r="AR102" s="42" t="s">
        <v>309</v>
      </c>
      <c r="AS102" s="42" t="s">
        <v>310</v>
      </c>
      <c r="AT102" s="43" t="s">
        <v>1276</v>
      </c>
      <c r="AU102" s="44">
        <v>32</v>
      </c>
      <c r="AV102" s="31">
        <v>2376731.4555084631</v>
      </c>
      <c r="AW102" s="31">
        <v>41514.019999999997</v>
      </c>
      <c r="AX102" s="31">
        <v>0</v>
      </c>
      <c r="AY102" s="31">
        <v>0</v>
      </c>
      <c r="AZ102" s="31">
        <v>161885.0423281377</v>
      </c>
      <c r="BA102" s="31">
        <v>260680.79626695602</v>
      </c>
      <c r="BB102" s="31">
        <v>54635.934729741784</v>
      </c>
      <c r="BC102" s="31">
        <f t="shared" si="11"/>
        <v>2931239.3688332988</v>
      </c>
      <c r="BD102" s="31">
        <v>35792.120000000003</v>
      </c>
    </row>
    <row r="103" spans="2:56">
      <c r="B103" s="42" t="s">
        <v>599</v>
      </c>
      <c r="C103" s="42" t="s">
        <v>600</v>
      </c>
      <c r="D103" s="43" t="s">
        <v>1049</v>
      </c>
      <c r="E103" s="44">
        <v>32</v>
      </c>
      <c r="F103" s="31">
        <v>8419137.9696160853</v>
      </c>
      <c r="G103" s="31">
        <v>529893.59000000008</v>
      </c>
      <c r="H103" s="31">
        <v>484192.93</v>
      </c>
      <c r="I103" s="31">
        <v>28940.489999999998</v>
      </c>
      <c r="J103" s="31">
        <v>1156986.6995734496</v>
      </c>
      <c r="K103" s="31">
        <v>779634.85062575317</v>
      </c>
      <c r="L103" s="31">
        <v>411352.38187223196</v>
      </c>
      <c r="M103" s="31">
        <f t="shared" si="8"/>
        <v>12115719.30168752</v>
      </c>
      <c r="N103" s="31">
        <v>305580.39</v>
      </c>
      <c r="P103" s="42" t="s">
        <v>599</v>
      </c>
      <c r="Q103" s="42" t="s">
        <v>600</v>
      </c>
      <c r="R103" s="43" t="s">
        <v>1050</v>
      </c>
      <c r="S103" s="44">
        <v>32</v>
      </c>
      <c r="T103" s="31">
        <v>8876966.2795210034</v>
      </c>
      <c r="U103" s="31">
        <v>557216.51</v>
      </c>
      <c r="V103" s="31">
        <v>505316.05</v>
      </c>
      <c r="W103" s="31">
        <v>30254.199999999997</v>
      </c>
      <c r="X103" s="31">
        <v>1202088.2673688508</v>
      </c>
      <c r="Y103" s="31">
        <v>780387.5437822591</v>
      </c>
      <c r="Z103" s="31">
        <v>432160.16727732931</v>
      </c>
      <c r="AA103" s="31">
        <f t="shared" si="9"/>
        <v>12698979.297949441</v>
      </c>
      <c r="AB103" s="31">
        <v>314590.27999999997</v>
      </c>
      <c r="AD103" s="42" t="s">
        <v>599</v>
      </c>
      <c r="AE103" s="42" t="s">
        <v>600</v>
      </c>
      <c r="AF103" s="43" t="s">
        <v>1275</v>
      </c>
      <c r="AG103" s="44">
        <v>32</v>
      </c>
      <c r="AH103" s="31">
        <v>9054373.8062171433</v>
      </c>
      <c r="AI103" s="31">
        <v>569143.39999999991</v>
      </c>
      <c r="AJ103" s="31">
        <v>515613.33000000007</v>
      </c>
      <c r="AK103" s="31">
        <v>30846.019999999997</v>
      </c>
      <c r="AL103" s="31">
        <v>1225259.7023603059</v>
      </c>
      <c r="AM103" s="31">
        <v>780131.831965524</v>
      </c>
      <c r="AN103" s="31">
        <v>440894.05834477546</v>
      </c>
      <c r="AO103" s="31">
        <f t="shared" si="10"/>
        <v>12936598.14888775</v>
      </c>
      <c r="AP103" s="31">
        <v>320336.00000000006</v>
      </c>
      <c r="AR103" s="42" t="s">
        <v>599</v>
      </c>
      <c r="AS103" s="42" t="s">
        <v>600</v>
      </c>
      <c r="AT103" s="43" t="s">
        <v>1276</v>
      </c>
      <c r="AU103" s="44">
        <v>32</v>
      </c>
      <c r="AV103" s="31">
        <v>9236783.8737294059</v>
      </c>
      <c r="AW103" s="31">
        <v>580506.16000000015</v>
      </c>
      <c r="AX103" s="31">
        <v>525869.29</v>
      </c>
      <c r="AY103" s="31">
        <v>31514.33</v>
      </c>
      <c r="AZ103" s="31">
        <v>1249981.6089470836</v>
      </c>
      <c r="BA103" s="31">
        <v>780172.5247541141</v>
      </c>
      <c r="BB103" s="31">
        <v>449743.72372430132</v>
      </c>
      <c r="BC103" s="31">
        <f t="shared" si="11"/>
        <v>13181468.241154907</v>
      </c>
      <c r="BD103" s="31">
        <v>326896.72999999992</v>
      </c>
    </row>
    <row r="104" spans="2:56">
      <c r="B104" s="42" t="s">
        <v>191</v>
      </c>
      <c r="C104" s="42" t="s">
        <v>192</v>
      </c>
      <c r="D104" s="43" t="s">
        <v>1049</v>
      </c>
      <c r="E104" s="44">
        <v>32</v>
      </c>
      <c r="F104" s="31">
        <v>161308633.97328416</v>
      </c>
      <c r="G104" s="31">
        <v>9008211.1300000008</v>
      </c>
      <c r="H104" s="31">
        <v>9977970.0399999991</v>
      </c>
      <c r="I104" s="31">
        <v>572731.39</v>
      </c>
      <c r="J104" s="31">
        <v>25266163.584082298</v>
      </c>
      <c r="K104" s="31">
        <v>6904016.4027555939</v>
      </c>
      <c r="L104" s="31">
        <v>11936036.557593139</v>
      </c>
      <c r="M104" s="31">
        <f t="shared" si="8"/>
        <v>230216875.05771515</v>
      </c>
      <c r="N104" s="31">
        <v>5243111.9800000004</v>
      </c>
      <c r="P104" s="42" t="s">
        <v>191</v>
      </c>
      <c r="Q104" s="42" t="s">
        <v>192</v>
      </c>
      <c r="R104" s="43" t="s">
        <v>1050</v>
      </c>
      <c r="S104" s="44">
        <v>32</v>
      </c>
      <c r="T104" s="31">
        <v>169872083.93094981</v>
      </c>
      <c r="U104" s="31">
        <v>9449724.4700000007</v>
      </c>
      <c r="V104" s="31">
        <v>10397418.130000001</v>
      </c>
      <c r="W104" s="31">
        <v>596824.63</v>
      </c>
      <c r="X104" s="31">
        <v>26232309.100616671</v>
      </c>
      <c r="Y104" s="31">
        <v>6910807.9005690766</v>
      </c>
      <c r="Z104" s="31">
        <v>12529794.668018397</v>
      </c>
      <c r="AA104" s="31">
        <f t="shared" si="9"/>
        <v>241389598.20015395</v>
      </c>
      <c r="AB104" s="31">
        <v>5400635.3699999992</v>
      </c>
      <c r="AD104" s="42" t="s">
        <v>191</v>
      </c>
      <c r="AE104" s="42" t="s">
        <v>192</v>
      </c>
      <c r="AF104" s="43" t="s">
        <v>1275</v>
      </c>
      <c r="AG104" s="44">
        <v>32</v>
      </c>
      <c r="AH104" s="31">
        <v>173272225.96038914</v>
      </c>
      <c r="AI104" s="31">
        <v>9651277.1099999994</v>
      </c>
      <c r="AJ104" s="31">
        <v>10609285.49</v>
      </c>
      <c r="AK104" s="31">
        <v>609004.47999999986</v>
      </c>
      <c r="AL104" s="31">
        <v>26742025.612497795</v>
      </c>
      <c r="AM104" s="31">
        <v>6908241.2229347769</v>
      </c>
      <c r="AN104" s="31">
        <v>12781765.26925757</v>
      </c>
      <c r="AO104" s="31">
        <f t="shared" si="10"/>
        <v>246075429.60507932</v>
      </c>
      <c r="AP104" s="31">
        <v>5501604.46</v>
      </c>
      <c r="AR104" s="42" t="s">
        <v>191</v>
      </c>
      <c r="AS104" s="42" t="s">
        <v>192</v>
      </c>
      <c r="AT104" s="43" t="s">
        <v>1276</v>
      </c>
      <c r="AU104" s="44">
        <v>32</v>
      </c>
      <c r="AV104" s="31">
        <v>176808107.55978957</v>
      </c>
      <c r="AW104" s="31">
        <v>9846526.0500000007</v>
      </c>
      <c r="AX104" s="31">
        <v>10825431.499999996</v>
      </c>
      <c r="AY104" s="31">
        <v>621316.72</v>
      </c>
      <c r="AZ104" s="31">
        <v>27288836.784078274</v>
      </c>
      <c r="BA104" s="31">
        <v>6908636.2535327375</v>
      </c>
      <c r="BB104" s="31">
        <v>13043301.497472294</v>
      </c>
      <c r="BC104" s="31">
        <f t="shared" si="11"/>
        <v>250957283.64487287</v>
      </c>
      <c r="BD104" s="31">
        <v>5615127.2800000003</v>
      </c>
    </row>
    <row r="105" spans="2:56">
      <c r="B105" s="42" t="s">
        <v>57</v>
      </c>
      <c r="C105" s="42" t="s">
        <v>58</v>
      </c>
      <c r="D105" s="43" t="s">
        <v>1049</v>
      </c>
      <c r="E105" s="44">
        <v>32</v>
      </c>
      <c r="F105" s="31">
        <v>16791089.01800067</v>
      </c>
      <c r="G105" s="31">
        <v>228699.63</v>
      </c>
      <c r="H105" s="31">
        <v>114708.91</v>
      </c>
      <c r="I105" s="31">
        <v>56738.860000000008</v>
      </c>
      <c r="J105" s="31">
        <v>1730041.8072024474</v>
      </c>
      <c r="K105" s="31">
        <v>1336694.0039319897</v>
      </c>
      <c r="L105" s="31">
        <v>467849.77252552868</v>
      </c>
      <c r="M105" s="31">
        <f t="shared" si="8"/>
        <v>20725822.001660634</v>
      </c>
      <c r="N105" s="31">
        <v>0</v>
      </c>
      <c r="P105" s="42" t="s">
        <v>57</v>
      </c>
      <c r="Q105" s="42" t="s">
        <v>58</v>
      </c>
      <c r="R105" s="43" t="s">
        <v>1050</v>
      </c>
      <c r="S105" s="44">
        <v>32</v>
      </c>
      <c r="T105" s="31">
        <v>17516880.806538001</v>
      </c>
      <c r="U105" s="31">
        <v>238532.04</v>
      </c>
      <c r="V105" s="31">
        <v>119585.5</v>
      </c>
      <c r="W105" s="31">
        <v>59100.58</v>
      </c>
      <c r="X105" s="31">
        <v>1796994.382529377</v>
      </c>
      <c r="Y105" s="31">
        <v>1337907.776071847</v>
      </c>
      <c r="Z105" s="31">
        <v>486494.88604798215</v>
      </c>
      <c r="AA105" s="31">
        <f t="shared" si="9"/>
        <v>21555495.971187204</v>
      </c>
      <c r="AB105" s="31">
        <v>0</v>
      </c>
      <c r="AD105" s="42" t="s">
        <v>57</v>
      </c>
      <c r="AE105" s="42" t="s">
        <v>58</v>
      </c>
      <c r="AF105" s="43" t="s">
        <v>1275</v>
      </c>
      <c r="AG105" s="44">
        <v>32</v>
      </c>
      <c r="AH105" s="31">
        <v>17867342.965639703</v>
      </c>
      <c r="AI105" s="31">
        <v>243310.66</v>
      </c>
      <c r="AJ105" s="31">
        <v>121926.77</v>
      </c>
      <c r="AK105" s="31">
        <v>60366.22</v>
      </c>
      <c r="AL105" s="31">
        <v>1831748.5131052404</v>
      </c>
      <c r="AM105" s="31">
        <v>1337479.3476475733</v>
      </c>
      <c r="AN105" s="31">
        <v>496374.7522300299</v>
      </c>
      <c r="AO105" s="31">
        <f t="shared" si="10"/>
        <v>21958549.228622545</v>
      </c>
      <c r="AP105" s="31">
        <v>0</v>
      </c>
      <c r="AR105" s="42" t="s">
        <v>57</v>
      </c>
      <c r="AS105" s="42" t="s">
        <v>58</v>
      </c>
      <c r="AT105" s="43" t="s">
        <v>1276</v>
      </c>
      <c r="AU105" s="44">
        <v>32</v>
      </c>
      <c r="AV105" s="31">
        <v>18229086.787761118</v>
      </c>
      <c r="AW105" s="31">
        <v>248228</v>
      </c>
      <c r="AX105" s="31">
        <v>124500.99</v>
      </c>
      <c r="AY105" s="31">
        <v>61587.089999999989</v>
      </c>
      <c r="AZ105" s="31">
        <v>1868870.2051104675</v>
      </c>
      <c r="BA105" s="31">
        <v>1337546.6942494195</v>
      </c>
      <c r="BB105" s="31">
        <v>506605.32678144402</v>
      </c>
      <c r="BC105" s="31">
        <f t="shared" si="11"/>
        <v>22376425.093902446</v>
      </c>
      <c r="BD105" s="31">
        <v>0</v>
      </c>
    </row>
    <row r="106" spans="2:56">
      <c r="B106" s="42" t="s">
        <v>325</v>
      </c>
      <c r="C106" s="42" t="s">
        <v>326</v>
      </c>
      <c r="D106" s="43" t="s">
        <v>1049</v>
      </c>
      <c r="E106" s="44">
        <v>32</v>
      </c>
      <c r="F106" s="31">
        <v>2651079.6708279261</v>
      </c>
      <c r="G106" s="31">
        <v>150451.59000000003</v>
      </c>
      <c r="H106" s="31">
        <v>0</v>
      </c>
      <c r="I106" s="31">
        <v>8477.5300000000007</v>
      </c>
      <c r="J106" s="31">
        <v>330567.63728040882</v>
      </c>
      <c r="K106" s="31">
        <v>523766.02213386068</v>
      </c>
      <c r="L106" s="31">
        <v>0</v>
      </c>
      <c r="M106" s="31">
        <f t="shared" si="8"/>
        <v>3749507.3902421952</v>
      </c>
      <c r="N106" s="31">
        <v>85164.939999999988</v>
      </c>
      <c r="P106" s="42" t="s">
        <v>325</v>
      </c>
      <c r="Q106" s="42" t="s">
        <v>326</v>
      </c>
      <c r="R106" s="43" t="s">
        <v>1050</v>
      </c>
      <c r="S106" s="44">
        <v>32</v>
      </c>
      <c r="T106" s="31">
        <v>2806668.6035845838</v>
      </c>
      <c r="U106" s="31">
        <v>158220.68999999997</v>
      </c>
      <c r="V106" s="31">
        <v>0</v>
      </c>
      <c r="W106" s="31">
        <v>8803.06</v>
      </c>
      <c r="X106" s="31">
        <v>343437.94193382305</v>
      </c>
      <c r="Y106" s="31">
        <v>524230.23141152004</v>
      </c>
      <c r="Z106" s="31">
        <v>0</v>
      </c>
      <c r="AA106" s="31">
        <f t="shared" si="9"/>
        <v>3929018.4769299268</v>
      </c>
      <c r="AB106" s="31">
        <v>87657.950000000012</v>
      </c>
      <c r="AD106" s="42" t="s">
        <v>325</v>
      </c>
      <c r="AE106" s="42" t="s">
        <v>326</v>
      </c>
      <c r="AF106" s="43" t="s">
        <v>1275</v>
      </c>
      <c r="AG106" s="44">
        <v>32</v>
      </c>
      <c r="AH106" s="31">
        <v>2862828.8293285007</v>
      </c>
      <c r="AI106" s="31">
        <v>161590.74</v>
      </c>
      <c r="AJ106" s="31">
        <v>0</v>
      </c>
      <c r="AK106" s="31">
        <v>8975.2799999999988</v>
      </c>
      <c r="AL106" s="31">
        <v>350053.96641075477</v>
      </c>
      <c r="AM106" s="31">
        <v>524072.52598174493</v>
      </c>
      <c r="AN106" s="31">
        <v>0</v>
      </c>
      <c r="AO106" s="31">
        <f t="shared" si="10"/>
        <v>3996825.2917210003</v>
      </c>
      <c r="AP106" s="31">
        <v>89303.950000000012</v>
      </c>
      <c r="AR106" s="42" t="s">
        <v>325</v>
      </c>
      <c r="AS106" s="42" t="s">
        <v>326</v>
      </c>
      <c r="AT106" s="43" t="s">
        <v>1276</v>
      </c>
      <c r="AU106" s="44">
        <v>32</v>
      </c>
      <c r="AV106" s="31">
        <v>2920422.6296910616</v>
      </c>
      <c r="AW106" s="31">
        <v>164729.60000000001</v>
      </c>
      <c r="AX106" s="31">
        <v>0</v>
      </c>
      <c r="AY106" s="31">
        <v>9139.17</v>
      </c>
      <c r="AZ106" s="31">
        <v>357103.82182482746</v>
      </c>
      <c r="BA106" s="31">
        <v>524097.62248997547</v>
      </c>
      <c r="BB106" s="31">
        <v>0</v>
      </c>
      <c r="BC106" s="31">
        <f t="shared" si="11"/>
        <v>4066659.6840058644</v>
      </c>
      <c r="BD106" s="31">
        <v>91166.84</v>
      </c>
    </row>
    <row r="107" spans="2:56">
      <c r="B107" s="42" t="s">
        <v>143</v>
      </c>
      <c r="C107" s="42" t="s">
        <v>144</v>
      </c>
      <c r="D107" s="43" t="s">
        <v>1049</v>
      </c>
      <c r="E107" s="44">
        <v>32</v>
      </c>
      <c r="F107" s="31">
        <v>12407152.958058584</v>
      </c>
      <c r="G107" s="31">
        <v>748262.73</v>
      </c>
      <c r="H107" s="31">
        <v>153277.43000000002</v>
      </c>
      <c r="I107" s="31">
        <v>44044.12</v>
      </c>
      <c r="J107" s="31">
        <v>1946280.1728292361</v>
      </c>
      <c r="K107" s="31">
        <v>1082271.6148795504</v>
      </c>
      <c r="L107" s="31">
        <v>1277782.3855893856</v>
      </c>
      <c r="M107" s="31">
        <f t="shared" si="8"/>
        <v>18111303.121356759</v>
      </c>
      <c r="N107" s="31">
        <v>452231.71</v>
      </c>
      <c r="P107" s="42" t="s">
        <v>143</v>
      </c>
      <c r="Q107" s="42" t="s">
        <v>144</v>
      </c>
      <c r="R107" s="43" t="s">
        <v>1050</v>
      </c>
      <c r="S107" s="44">
        <v>32</v>
      </c>
      <c r="T107" s="31">
        <v>13073638.298958192</v>
      </c>
      <c r="U107" s="31">
        <v>787120.03</v>
      </c>
      <c r="V107" s="31">
        <v>159972.88999999996</v>
      </c>
      <c r="W107" s="31">
        <v>45937.820000000007</v>
      </c>
      <c r="X107" s="31">
        <v>2022095.5955251954</v>
      </c>
      <c r="Y107" s="31">
        <v>1083155.7511798895</v>
      </c>
      <c r="Z107" s="31">
        <v>1342476.2498763471</v>
      </c>
      <c r="AA107" s="31">
        <f t="shared" si="9"/>
        <v>18979942.325539626</v>
      </c>
      <c r="AB107" s="31">
        <v>465545.68999999994</v>
      </c>
      <c r="AD107" s="42" t="s">
        <v>143</v>
      </c>
      <c r="AE107" s="42" t="s">
        <v>144</v>
      </c>
      <c r="AF107" s="43" t="s">
        <v>1275</v>
      </c>
      <c r="AG107" s="44">
        <v>32</v>
      </c>
      <c r="AH107" s="31">
        <v>13333950.784121685</v>
      </c>
      <c r="AI107" s="31">
        <v>803943.74</v>
      </c>
      <c r="AJ107" s="31">
        <v>163308.51000000004</v>
      </c>
      <c r="AK107" s="31">
        <v>46836.42</v>
      </c>
      <c r="AL107" s="31">
        <v>2061094.3545786645</v>
      </c>
      <c r="AM107" s="31">
        <v>1082855.3842937991</v>
      </c>
      <c r="AN107" s="31">
        <v>1369360.516207627</v>
      </c>
      <c r="AO107" s="31">
        <f t="shared" si="10"/>
        <v>19335503.909201775</v>
      </c>
      <c r="AP107" s="31">
        <v>474154.2</v>
      </c>
      <c r="AR107" s="42" t="s">
        <v>143</v>
      </c>
      <c r="AS107" s="42" t="s">
        <v>144</v>
      </c>
      <c r="AT107" s="43" t="s">
        <v>1276</v>
      </c>
      <c r="AU107" s="44">
        <v>32</v>
      </c>
      <c r="AV107" s="31">
        <v>13602729.496696355</v>
      </c>
      <c r="AW107" s="31">
        <v>819974.18999999971</v>
      </c>
      <c r="AX107" s="31">
        <v>166500.76999999999</v>
      </c>
      <c r="AY107" s="31">
        <v>47796.74</v>
      </c>
      <c r="AZ107" s="31">
        <v>2102680.5237510866</v>
      </c>
      <c r="BA107" s="31">
        <v>1082903.1832823292</v>
      </c>
      <c r="BB107" s="31">
        <v>1397190.9255204904</v>
      </c>
      <c r="BC107" s="31">
        <f t="shared" si="11"/>
        <v>19703549.88925026</v>
      </c>
      <c r="BD107" s="31">
        <v>483774.06000000006</v>
      </c>
    </row>
    <row r="108" spans="2:56">
      <c r="B108" s="42" t="s">
        <v>1315</v>
      </c>
      <c r="C108" s="42" t="s">
        <v>1316</v>
      </c>
      <c r="D108" s="43" t="s">
        <v>1049</v>
      </c>
      <c r="E108" s="44">
        <v>32</v>
      </c>
      <c r="F108" s="31">
        <v>2829301.0156453652</v>
      </c>
      <c r="G108" s="31">
        <v>94937.479999999981</v>
      </c>
      <c r="H108" s="31">
        <v>41488.01</v>
      </c>
      <c r="I108" s="31">
        <v>0</v>
      </c>
      <c r="J108" s="31">
        <v>28920.383798683935</v>
      </c>
      <c r="K108" s="31">
        <v>78040.08</v>
      </c>
      <c r="L108" s="31">
        <v>0</v>
      </c>
      <c r="M108" s="31">
        <f t="shared" si="8"/>
        <v>3157063.8794440492</v>
      </c>
      <c r="N108" s="31">
        <v>84376.91</v>
      </c>
      <c r="P108" s="42" t="s">
        <v>1315</v>
      </c>
      <c r="Q108" s="42" t="s">
        <v>1316</v>
      </c>
      <c r="R108" s="43" t="s">
        <v>1050</v>
      </c>
      <c r="S108" s="44">
        <v>32</v>
      </c>
      <c r="T108" s="31">
        <v>2987312.252099935</v>
      </c>
      <c r="U108" s="31">
        <v>99994.130000000019</v>
      </c>
      <c r="V108" s="31">
        <v>43262.9</v>
      </c>
      <c r="W108" s="31">
        <v>0</v>
      </c>
      <c r="X108" s="31">
        <v>30020.99748937503</v>
      </c>
      <c r="Y108" s="31">
        <v>78040.08</v>
      </c>
      <c r="Z108" s="31">
        <v>0</v>
      </c>
      <c r="AA108" s="31">
        <f t="shared" si="9"/>
        <v>3325549.7995893098</v>
      </c>
      <c r="AB108" s="31">
        <v>86919.440000000017</v>
      </c>
      <c r="AD108" s="42" t="s">
        <v>1315</v>
      </c>
      <c r="AE108" s="42" t="s">
        <v>1316</v>
      </c>
      <c r="AF108" s="43" t="s">
        <v>1275</v>
      </c>
      <c r="AG108" s="44">
        <v>32</v>
      </c>
      <c r="AH108" s="31">
        <v>3047288.9307108624</v>
      </c>
      <c r="AI108" s="31">
        <v>102221.53</v>
      </c>
      <c r="AJ108" s="31">
        <v>44110.57</v>
      </c>
      <c r="AK108" s="31">
        <v>0</v>
      </c>
      <c r="AL108" s="31">
        <v>30602.342671460217</v>
      </c>
      <c r="AM108" s="31">
        <v>78040.08</v>
      </c>
      <c r="AN108" s="31">
        <v>0</v>
      </c>
      <c r="AO108" s="31">
        <f t="shared" si="10"/>
        <v>3390845.7633823222</v>
      </c>
      <c r="AP108" s="31">
        <v>88582.31</v>
      </c>
      <c r="AR108" s="42" t="s">
        <v>1315</v>
      </c>
      <c r="AS108" s="42" t="s">
        <v>1316</v>
      </c>
      <c r="AT108" s="43" t="s">
        <v>1276</v>
      </c>
      <c r="AU108" s="44">
        <v>32</v>
      </c>
      <c r="AV108" s="31">
        <v>3109001.8135968265</v>
      </c>
      <c r="AW108" s="31">
        <v>104208.64999999998</v>
      </c>
      <c r="AX108" s="31">
        <v>45043.210000000006</v>
      </c>
      <c r="AY108" s="31">
        <v>0</v>
      </c>
      <c r="AZ108" s="31">
        <v>31224.312013251631</v>
      </c>
      <c r="BA108" s="31">
        <v>78040.08</v>
      </c>
      <c r="BB108" s="31">
        <v>0</v>
      </c>
      <c r="BC108" s="31">
        <f t="shared" si="11"/>
        <v>3457877.5056100781</v>
      </c>
      <c r="BD108" s="31">
        <v>90359.440000000017</v>
      </c>
    </row>
    <row r="109" spans="2:56">
      <c r="B109" s="42" t="s">
        <v>1230</v>
      </c>
      <c r="C109" s="42" t="s">
        <v>1231</v>
      </c>
      <c r="D109" s="43" t="s">
        <v>1049</v>
      </c>
      <c r="E109" s="44">
        <v>32</v>
      </c>
      <c r="F109" s="31">
        <v>3416333.7281552423</v>
      </c>
      <c r="G109" s="31">
        <v>124438.09000000001</v>
      </c>
      <c r="H109" s="31">
        <v>66171.27</v>
      </c>
      <c r="I109" s="31">
        <v>9485.3000000000011</v>
      </c>
      <c r="J109" s="31">
        <v>102749.24875892818</v>
      </c>
      <c r="K109" s="31">
        <v>38906.230000000003</v>
      </c>
      <c r="L109" s="31">
        <v>0</v>
      </c>
      <c r="M109" s="31">
        <f t="shared" si="8"/>
        <v>3758083.8669141703</v>
      </c>
      <c r="N109" s="31">
        <v>0</v>
      </c>
      <c r="P109" s="42" t="s">
        <v>1230</v>
      </c>
      <c r="Q109" s="42" t="s">
        <v>1231</v>
      </c>
      <c r="R109" s="43" t="s">
        <v>1050</v>
      </c>
      <c r="S109" s="44">
        <v>32</v>
      </c>
      <c r="T109" s="31">
        <v>3606618.1174493777</v>
      </c>
      <c r="U109" s="31">
        <v>129739.38</v>
      </c>
      <c r="V109" s="31">
        <v>68967.97</v>
      </c>
      <c r="W109" s="31">
        <v>9952.9300000000021</v>
      </c>
      <c r="X109" s="31">
        <v>106638.3198143348</v>
      </c>
      <c r="Y109" s="31">
        <v>38906.230000000003</v>
      </c>
      <c r="Z109" s="31">
        <v>0</v>
      </c>
      <c r="AA109" s="31">
        <f t="shared" si="9"/>
        <v>3960822.9472637125</v>
      </c>
      <c r="AB109" s="31">
        <v>0</v>
      </c>
      <c r="AD109" s="42" t="s">
        <v>1230</v>
      </c>
      <c r="AE109" s="42" t="s">
        <v>1231</v>
      </c>
      <c r="AF109" s="43" t="s">
        <v>1275</v>
      </c>
      <c r="AG109" s="44">
        <v>32</v>
      </c>
      <c r="AH109" s="31">
        <v>3678978.5581953283</v>
      </c>
      <c r="AI109" s="31">
        <v>132283.26</v>
      </c>
      <c r="AJ109" s="31">
        <v>70320.260000000009</v>
      </c>
      <c r="AK109" s="31">
        <v>10148.080000000002</v>
      </c>
      <c r="AL109" s="31">
        <v>108708.55223484806</v>
      </c>
      <c r="AM109" s="31">
        <v>38906.230000000003</v>
      </c>
      <c r="AN109" s="31">
        <v>0</v>
      </c>
      <c r="AO109" s="31">
        <f t="shared" si="10"/>
        <v>4039344.940430176</v>
      </c>
      <c r="AP109" s="31">
        <v>0</v>
      </c>
      <c r="AR109" s="42" t="s">
        <v>1230</v>
      </c>
      <c r="AS109" s="42" t="s">
        <v>1231</v>
      </c>
      <c r="AT109" s="43" t="s">
        <v>1276</v>
      </c>
      <c r="AU109" s="44">
        <v>32</v>
      </c>
      <c r="AV109" s="31">
        <v>3753924.8834591671</v>
      </c>
      <c r="AW109" s="31">
        <v>134989.52000000002</v>
      </c>
      <c r="AX109" s="31">
        <v>71751.19</v>
      </c>
      <c r="AY109" s="31">
        <v>10337.030000000002</v>
      </c>
      <c r="AZ109" s="31">
        <v>110927.76617777784</v>
      </c>
      <c r="BA109" s="31">
        <v>38906.230000000003</v>
      </c>
      <c r="BB109" s="31">
        <v>0</v>
      </c>
      <c r="BC109" s="31">
        <f t="shared" si="11"/>
        <v>4120836.6196369445</v>
      </c>
      <c r="BD109" s="31">
        <v>0</v>
      </c>
    </row>
    <row r="110" spans="2:56">
      <c r="B110" s="42" t="s">
        <v>1032</v>
      </c>
      <c r="C110" s="42" t="s">
        <v>1042</v>
      </c>
      <c r="D110" s="43" t="s">
        <v>1049</v>
      </c>
      <c r="E110" s="44">
        <v>32</v>
      </c>
      <c r="F110" s="31">
        <v>6776490.6034356095</v>
      </c>
      <c r="G110" s="31">
        <v>280493.86</v>
      </c>
      <c r="H110" s="31">
        <v>241423.45</v>
      </c>
      <c r="I110" s="31">
        <v>19422.27</v>
      </c>
      <c r="J110" s="31">
        <v>273094.09519344935</v>
      </c>
      <c r="K110" s="31">
        <v>87788.41</v>
      </c>
      <c r="L110" s="31">
        <v>0</v>
      </c>
      <c r="M110" s="31">
        <f t="shared" si="8"/>
        <v>7878129.7986290595</v>
      </c>
      <c r="N110" s="31">
        <v>199417.11000000002</v>
      </c>
      <c r="P110" s="42" t="s">
        <v>1032</v>
      </c>
      <c r="Q110" s="42" t="s">
        <v>1042</v>
      </c>
      <c r="R110" s="43" t="s">
        <v>1050</v>
      </c>
      <c r="S110" s="44">
        <v>32</v>
      </c>
      <c r="T110" s="31">
        <v>7156115.7594520152</v>
      </c>
      <c r="U110" s="31">
        <v>294654.78000000003</v>
      </c>
      <c r="V110" s="31">
        <v>251516.43000000002</v>
      </c>
      <c r="W110" s="31">
        <v>20257.140000000003</v>
      </c>
      <c r="X110" s="31">
        <v>283448.66877323936</v>
      </c>
      <c r="Y110" s="31">
        <v>87788.41</v>
      </c>
      <c r="Z110" s="31">
        <v>0</v>
      </c>
      <c r="AA110" s="31">
        <f t="shared" si="9"/>
        <v>8299231.958225254</v>
      </c>
      <c r="AB110" s="31">
        <v>205450.77</v>
      </c>
      <c r="AD110" s="42" t="s">
        <v>1032</v>
      </c>
      <c r="AE110" s="42" t="s">
        <v>1042</v>
      </c>
      <c r="AF110" s="43" t="s">
        <v>1275</v>
      </c>
      <c r="AG110" s="44">
        <v>32</v>
      </c>
      <c r="AH110" s="31">
        <v>7299641.2429455891</v>
      </c>
      <c r="AI110" s="31">
        <v>301016.79000000004</v>
      </c>
      <c r="AJ110" s="31">
        <v>256686.86</v>
      </c>
      <c r="AK110" s="31">
        <v>20654.329999999998</v>
      </c>
      <c r="AL110" s="31">
        <v>288950.42096588539</v>
      </c>
      <c r="AM110" s="31">
        <v>87788.41</v>
      </c>
      <c r="AN110" s="31">
        <v>0</v>
      </c>
      <c r="AO110" s="31">
        <f t="shared" si="10"/>
        <v>8463990.8439114746</v>
      </c>
      <c r="AP110" s="31">
        <v>209252.79</v>
      </c>
      <c r="AR110" s="42" t="s">
        <v>1032</v>
      </c>
      <c r="AS110" s="42" t="s">
        <v>1042</v>
      </c>
      <c r="AT110" s="43" t="s">
        <v>1276</v>
      </c>
      <c r="AU110" s="44">
        <v>32</v>
      </c>
      <c r="AV110" s="31">
        <v>7448704.1594647951</v>
      </c>
      <c r="AW110" s="31">
        <v>307182.53000000003</v>
      </c>
      <c r="AX110" s="31">
        <v>261952.68</v>
      </c>
      <c r="AY110" s="31">
        <v>21038.909999999996</v>
      </c>
      <c r="AZ110" s="31">
        <v>294848.47060371278</v>
      </c>
      <c r="BA110" s="31">
        <v>87788.41</v>
      </c>
      <c r="BB110" s="31">
        <v>0</v>
      </c>
      <c r="BC110" s="31">
        <f t="shared" si="11"/>
        <v>8635076.0500685088</v>
      </c>
      <c r="BD110" s="31">
        <v>213560.88999999998</v>
      </c>
    </row>
    <row r="111" spans="2:56">
      <c r="B111" s="42" t="s">
        <v>107</v>
      </c>
      <c r="C111" s="42" t="s">
        <v>108</v>
      </c>
      <c r="D111" s="43" t="s">
        <v>1049</v>
      </c>
      <c r="E111" s="44">
        <v>32</v>
      </c>
      <c r="F111" s="31">
        <v>2811344.7319271076</v>
      </c>
      <c r="G111" s="31">
        <v>116151.74999999999</v>
      </c>
      <c r="H111" s="31">
        <v>0</v>
      </c>
      <c r="I111" s="31">
        <v>0</v>
      </c>
      <c r="J111" s="31">
        <v>214940.78815853238</v>
      </c>
      <c r="K111" s="31">
        <v>0</v>
      </c>
      <c r="L111" s="31">
        <v>0</v>
      </c>
      <c r="M111" s="31">
        <f t="shared" si="8"/>
        <v>3208503.4400856397</v>
      </c>
      <c r="N111" s="31">
        <v>66066.17</v>
      </c>
      <c r="P111" s="42" t="s">
        <v>107</v>
      </c>
      <c r="Q111" s="42" t="s">
        <v>108</v>
      </c>
      <c r="R111" s="43" t="s">
        <v>1050</v>
      </c>
      <c r="S111" s="44">
        <v>32</v>
      </c>
      <c r="T111" s="31">
        <v>2946946.3161666365</v>
      </c>
      <c r="U111" s="31">
        <v>122034.87</v>
      </c>
      <c r="V111" s="31">
        <v>0</v>
      </c>
      <c r="W111" s="31">
        <v>0</v>
      </c>
      <c r="X111" s="31">
        <v>223319.47294244863</v>
      </c>
      <c r="Y111" s="31">
        <v>0</v>
      </c>
      <c r="Z111" s="31">
        <v>0</v>
      </c>
      <c r="AA111" s="31">
        <f t="shared" si="9"/>
        <v>3360290.5091090854</v>
      </c>
      <c r="AB111" s="31">
        <v>67989.850000000006</v>
      </c>
      <c r="AD111" s="42" t="s">
        <v>107</v>
      </c>
      <c r="AE111" s="42" t="s">
        <v>108</v>
      </c>
      <c r="AF111" s="43" t="s">
        <v>1275</v>
      </c>
      <c r="AG111" s="44">
        <v>32</v>
      </c>
      <c r="AH111" s="31">
        <v>3004246.44090195</v>
      </c>
      <c r="AI111" s="31">
        <v>124657.30999999997</v>
      </c>
      <c r="AJ111" s="31">
        <v>0</v>
      </c>
      <c r="AK111" s="31">
        <v>0</v>
      </c>
      <c r="AL111" s="31">
        <v>227616.63843000273</v>
      </c>
      <c r="AM111" s="31">
        <v>0</v>
      </c>
      <c r="AN111" s="31">
        <v>0</v>
      </c>
      <c r="AO111" s="31">
        <f t="shared" si="10"/>
        <v>3425708.1093319529</v>
      </c>
      <c r="AP111" s="31">
        <v>69187.72</v>
      </c>
      <c r="AR111" s="42" t="s">
        <v>107</v>
      </c>
      <c r="AS111" s="42" t="s">
        <v>108</v>
      </c>
      <c r="AT111" s="43" t="s">
        <v>1276</v>
      </c>
      <c r="AU111" s="44">
        <v>32</v>
      </c>
      <c r="AV111" s="31">
        <v>3062298.2261863872</v>
      </c>
      <c r="AW111" s="31">
        <v>127127.43000000002</v>
      </c>
      <c r="AX111" s="31">
        <v>0</v>
      </c>
      <c r="AY111" s="31">
        <v>0</v>
      </c>
      <c r="AZ111" s="31">
        <v>232218.39409244142</v>
      </c>
      <c r="BA111" s="31">
        <v>0</v>
      </c>
      <c r="BB111" s="31">
        <v>0</v>
      </c>
      <c r="BC111" s="31">
        <f t="shared" si="11"/>
        <v>3492321.630278829</v>
      </c>
      <c r="BD111" s="31">
        <v>70677.579999999987</v>
      </c>
    </row>
    <row r="112" spans="2:56">
      <c r="B112" s="42" t="s">
        <v>435</v>
      </c>
      <c r="C112" s="42" t="s">
        <v>436</v>
      </c>
      <c r="D112" s="43" t="s">
        <v>1049</v>
      </c>
      <c r="E112" s="44">
        <v>32</v>
      </c>
      <c r="F112" s="31">
        <v>591608.562918109</v>
      </c>
      <c r="G112" s="31">
        <v>8189.84</v>
      </c>
      <c r="H112" s="31">
        <v>0</v>
      </c>
      <c r="I112" s="31">
        <v>0</v>
      </c>
      <c r="J112" s="31">
        <v>34133.292587697448</v>
      </c>
      <c r="K112" s="31">
        <v>81182.484782710977</v>
      </c>
      <c r="L112" s="31">
        <v>0</v>
      </c>
      <c r="M112" s="31">
        <f t="shared" si="8"/>
        <v>715114.1802885175</v>
      </c>
      <c r="N112" s="31">
        <v>0</v>
      </c>
      <c r="P112" s="42" t="s">
        <v>435</v>
      </c>
      <c r="Q112" s="42" t="s">
        <v>436</v>
      </c>
      <c r="R112" s="43" t="s">
        <v>1050</v>
      </c>
      <c r="S112" s="44">
        <v>32</v>
      </c>
      <c r="T112" s="31">
        <v>613002.40886419034</v>
      </c>
      <c r="U112" s="31">
        <v>8496.08</v>
      </c>
      <c r="V112" s="31">
        <v>0</v>
      </c>
      <c r="W112" s="31">
        <v>0</v>
      </c>
      <c r="X112" s="31">
        <v>35264.534105023282</v>
      </c>
      <c r="Y112" s="31">
        <v>81238.371446521283</v>
      </c>
      <c r="Z112" s="31">
        <v>0</v>
      </c>
      <c r="AA112" s="31">
        <f t="shared" si="9"/>
        <v>738001.3944157348</v>
      </c>
      <c r="AB112" s="31">
        <v>0</v>
      </c>
      <c r="AD112" s="42" t="s">
        <v>435</v>
      </c>
      <c r="AE112" s="42" t="s">
        <v>436</v>
      </c>
      <c r="AF112" s="43" t="s">
        <v>1275</v>
      </c>
      <c r="AG112" s="44">
        <v>32</v>
      </c>
      <c r="AH112" s="31">
        <v>624767.7185124954</v>
      </c>
      <c r="AI112" s="31">
        <v>8662.5500000000011</v>
      </c>
      <c r="AJ112" s="31">
        <v>0</v>
      </c>
      <c r="AK112" s="31">
        <v>0</v>
      </c>
      <c r="AL112" s="31">
        <v>35920.777019003785</v>
      </c>
      <c r="AM112" s="31">
        <v>81217.933994957639</v>
      </c>
      <c r="AN112" s="31">
        <v>0</v>
      </c>
      <c r="AO112" s="31">
        <f t="shared" si="10"/>
        <v>750568.97952645679</v>
      </c>
      <c r="AP112" s="31">
        <v>0</v>
      </c>
      <c r="AR112" s="42" t="s">
        <v>435</v>
      </c>
      <c r="AS112" s="42" t="s">
        <v>436</v>
      </c>
      <c r="AT112" s="43" t="s">
        <v>1276</v>
      </c>
      <c r="AU112" s="44">
        <v>32</v>
      </c>
      <c r="AV112" s="31">
        <v>636260.64362205006</v>
      </c>
      <c r="AW112" s="31">
        <v>8822.9</v>
      </c>
      <c r="AX112" s="31">
        <v>0</v>
      </c>
      <c r="AY112" s="31">
        <v>0</v>
      </c>
      <c r="AZ112" s="31">
        <v>36588.002135321294</v>
      </c>
      <c r="BA112" s="31">
        <v>81221.111252766481</v>
      </c>
      <c r="BB112" s="31">
        <v>0</v>
      </c>
      <c r="BC112" s="31">
        <f t="shared" si="11"/>
        <v>762892.6570101378</v>
      </c>
      <c r="BD112" s="31">
        <v>0</v>
      </c>
    </row>
    <row r="113" spans="2:56">
      <c r="B113" s="42" t="s">
        <v>211</v>
      </c>
      <c r="C113" s="42" t="s">
        <v>212</v>
      </c>
      <c r="D113" s="43" t="s">
        <v>1049</v>
      </c>
      <c r="E113" s="44">
        <v>32</v>
      </c>
      <c r="F113" s="31">
        <v>175489078.77735424</v>
      </c>
      <c r="G113" s="31">
        <v>1409696.12</v>
      </c>
      <c r="H113" s="31">
        <v>2558094.8299999996</v>
      </c>
      <c r="I113" s="31">
        <v>625352.22</v>
      </c>
      <c r="J113" s="31">
        <v>16798344.095787942</v>
      </c>
      <c r="K113" s="31">
        <v>9139448.7948959023</v>
      </c>
      <c r="L113" s="31">
        <v>11565238.856265876</v>
      </c>
      <c r="M113" s="31">
        <f t="shared" si="8"/>
        <v>217585253.69430396</v>
      </c>
      <c r="N113" s="31">
        <v>0</v>
      </c>
      <c r="P113" s="42" t="s">
        <v>211</v>
      </c>
      <c r="Q113" s="42" t="s">
        <v>212</v>
      </c>
      <c r="R113" s="43" t="s">
        <v>1050</v>
      </c>
      <c r="S113" s="44">
        <v>32</v>
      </c>
      <c r="T113" s="31">
        <v>182938505.0265837</v>
      </c>
      <c r="U113" s="31">
        <v>1468935.6499999997</v>
      </c>
      <c r="V113" s="31">
        <v>2665629.3499999996</v>
      </c>
      <c r="W113" s="31">
        <v>651624.31000000006</v>
      </c>
      <c r="X113" s="31">
        <v>17441076.908940699</v>
      </c>
      <c r="Y113" s="31">
        <v>9148081.6544111129</v>
      </c>
      <c r="Z113" s="31">
        <v>12025683.654740715</v>
      </c>
      <c r="AA113" s="31">
        <f t="shared" si="9"/>
        <v>226339536.55467623</v>
      </c>
      <c r="AB113" s="31">
        <v>0</v>
      </c>
      <c r="AD113" s="42" t="s">
        <v>211</v>
      </c>
      <c r="AE113" s="42" t="s">
        <v>212</v>
      </c>
      <c r="AF113" s="43" t="s">
        <v>1275</v>
      </c>
      <c r="AG113" s="44">
        <v>32</v>
      </c>
      <c r="AH113" s="31">
        <v>186604596.99978745</v>
      </c>
      <c r="AI113" s="31">
        <v>1498812.44</v>
      </c>
      <c r="AJ113" s="31">
        <v>2719925.5100000002</v>
      </c>
      <c r="AK113" s="31">
        <v>664878.65</v>
      </c>
      <c r="AL113" s="31">
        <v>17779978.977531873</v>
      </c>
      <c r="AM113" s="31">
        <v>9144819.0799325127</v>
      </c>
      <c r="AN113" s="31">
        <v>12267256.018355517</v>
      </c>
      <c r="AO113" s="31">
        <f t="shared" si="10"/>
        <v>230680267.67560735</v>
      </c>
      <c r="AP113" s="31">
        <v>0</v>
      </c>
      <c r="AR113" s="42" t="s">
        <v>211</v>
      </c>
      <c r="AS113" s="42" t="s">
        <v>212</v>
      </c>
      <c r="AT113" s="43" t="s">
        <v>1276</v>
      </c>
      <c r="AU113" s="44">
        <v>32</v>
      </c>
      <c r="AV113" s="31">
        <v>190414805.78027767</v>
      </c>
      <c r="AW113" s="31">
        <v>1529395.01</v>
      </c>
      <c r="AX113" s="31">
        <v>2775433.6</v>
      </c>
      <c r="AY113" s="31">
        <v>678474.45000000007</v>
      </c>
      <c r="AZ113" s="31">
        <v>18143537.725318216</v>
      </c>
      <c r="BA113" s="31">
        <v>9145321.2141818423</v>
      </c>
      <c r="BB113" s="31">
        <v>12518081.512551684</v>
      </c>
      <c r="BC113" s="31">
        <f t="shared" si="11"/>
        <v>235205049.2923294</v>
      </c>
      <c r="BD113" s="31">
        <v>0</v>
      </c>
    </row>
    <row r="114" spans="2:56">
      <c r="B114" s="42" t="s">
        <v>117</v>
      </c>
      <c r="C114" s="42" t="s">
        <v>118</v>
      </c>
      <c r="D114" s="43" t="s">
        <v>1049</v>
      </c>
      <c r="E114" s="44">
        <v>32</v>
      </c>
      <c r="F114" s="31">
        <v>1840082.8244621293</v>
      </c>
      <c r="G114" s="31">
        <v>16040.26</v>
      </c>
      <c r="H114" s="31">
        <v>0</v>
      </c>
      <c r="I114" s="31">
        <v>0</v>
      </c>
      <c r="J114" s="31">
        <v>44726.633909913333</v>
      </c>
      <c r="K114" s="31">
        <v>96319.635234996982</v>
      </c>
      <c r="L114" s="31">
        <v>33412.072526612319</v>
      </c>
      <c r="M114" s="31">
        <f t="shared" si="8"/>
        <v>2040669.6461336517</v>
      </c>
      <c r="N114" s="31">
        <v>10088.219999999999</v>
      </c>
      <c r="P114" s="42" t="s">
        <v>117</v>
      </c>
      <c r="Q114" s="42" t="s">
        <v>118</v>
      </c>
      <c r="R114" s="43" t="s">
        <v>1050</v>
      </c>
      <c r="S114" s="44">
        <v>32</v>
      </c>
      <c r="T114" s="31">
        <v>1909185.7031238615</v>
      </c>
      <c r="U114" s="31">
        <v>16785.11</v>
      </c>
      <c r="V114" s="31">
        <v>0</v>
      </c>
      <c r="W114" s="31">
        <v>0</v>
      </c>
      <c r="X114" s="31">
        <v>46232.895649745515</v>
      </c>
      <c r="Y114" s="31">
        <v>96387.138928247528</v>
      </c>
      <c r="Z114" s="31">
        <v>34911.227454874825</v>
      </c>
      <c r="AA114" s="31">
        <f t="shared" si="9"/>
        <v>2113839.4251567298</v>
      </c>
      <c r="AB114" s="31">
        <v>10337.35</v>
      </c>
      <c r="AD114" s="42" t="s">
        <v>117</v>
      </c>
      <c r="AE114" s="42" t="s">
        <v>118</v>
      </c>
      <c r="AF114" s="43" t="s">
        <v>1275</v>
      </c>
      <c r="AG114" s="44">
        <v>32</v>
      </c>
      <c r="AH114" s="31">
        <v>1945639.253423644</v>
      </c>
      <c r="AI114" s="31">
        <v>17133.050000000003</v>
      </c>
      <c r="AJ114" s="31">
        <v>0</v>
      </c>
      <c r="AK114" s="31">
        <v>0</v>
      </c>
      <c r="AL114" s="31">
        <v>47090.621699011739</v>
      </c>
      <c r="AM114" s="31">
        <v>96364.205954979174</v>
      </c>
      <c r="AN114" s="31">
        <v>35584.188701720319</v>
      </c>
      <c r="AO114" s="31">
        <f t="shared" si="10"/>
        <v>2152331.5997793553</v>
      </c>
      <c r="AP114" s="31">
        <v>10520.28</v>
      </c>
      <c r="AR114" s="42" t="s">
        <v>117</v>
      </c>
      <c r="AS114" s="42" t="s">
        <v>118</v>
      </c>
      <c r="AT114" s="43" t="s">
        <v>1276</v>
      </c>
      <c r="AU114" s="44">
        <v>32</v>
      </c>
      <c r="AV114" s="31">
        <v>1980941.6597807708</v>
      </c>
      <c r="AW114" s="31">
        <v>17444.560000000005</v>
      </c>
      <c r="AX114" s="31">
        <v>0</v>
      </c>
      <c r="AY114" s="31">
        <v>0</v>
      </c>
      <c r="AZ114" s="31">
        <v>47960.282697745439</v>
      </c>
      <c r="BA114" s="31">
        <v>96367.85540162916</v>
      </c>
      <c r="BB114" s="31">
        <v>36242.109015131835</v>
      </c>
      <c r="BC114" s="31">
        <f t="shared" si="11"/>
        <v>2189672.6768952771</v>
      </c>
      <c r="BD114" s="31">
        <v>10716.210000000001</v>
      </c>
    </row>
    <row r="115" spans="2:56">
      <c r="B115" s="42" t="s">
        <v>83</v>
      </c>
      <c r="C115" s="42" t="s">
        <v>84</v>
      </c>
      <c r="D115" s="43" t="s">
        <v>1049</v>
      </c>
      <c r="E115" s="44">
        <v>32</v>
      </c>
      <c r="F115" s="31">
        <v>8676480.8764516823</v>
      </c>
      <c r="G115" s="31">
        <v>209794.2</v>
      </c>
      <c r="H115" s="31">
        <v>0</v>
      </c>
      <c r="I115" s="31">
        <v>0</v>
      </c>
      <c r="J115" s="31">
        <v>1390202.5460782247</v>
      </c>
      <c r="K115" s="31">
        <v>0</v>
      </c>
      <c r="L115" s="31">
        <v>486266.41722639167</v>
      </c>
      <c r="M115" s="31">
        <f t="shared" si="8"/>
        <v>10762744.039756296</v>
      </c>
      <c r="N115" s="31">
        <v>0</v>
      </c>
      <c r="P115" s="42" t="s">
        <v>83</v>
      </c>
      <c r="Q115" s="42" t="s">
        <v>84</v>
      </c>
      <c r="R115" s="43" t="s">
        <v>1050</v>
      </c>
      <c r="S115" s="44">
        <v>32</v>
      </c>
      <c r="T115" s="31">
        <v>9048447.3474479988</v>
      </c>
      <c r="U115" s="31">
        <v>218963.55</v>
      </c>
      <c r="V115" s="31">
        <v>0</v>
      </c>
      <c r="W115" s="31">
        <v>0</v>
      </c>
      <c r="X115" s="31">
        <v>1444326.2356196626</v>
      </c>
      <c r="Y115" s="31">
        <v>0</v>
      </c>
      <c r="Z115" s="31">
        <v>506091.69096920762</v>
      </c>
      <c r="AA115" s="31">
        <f t="shared" si="9"/>
        <v>11217828.82403687</v>
      </c>
      <c r="AB115" s="31">
        <v>0</v>
      </c>
      <c r="AD115" s="42" t="s">
        <v>83</v>
      </c>
      <c r="AE115" s="42" t="s">
        <v>84</v>
      </c>
      <c r="AF115" s="43" t="s">
        <v>1275</v>
      </c>
      <c r="AG115" s="44">
        <v>32</v>
      </c>
      <c r="AH115" s="31">
        <v>9228443.3507938813</v>
      </c>
      <c r="AI115" s="31">
        <v>223453.08</v>
      </c>
      <c r="AJ115" s="31">
        <v>0</v>
      </c>
      <c r="AK115" s="31">
        <v>0</v>
      </c>
      <c r="AL115" s="31">
        <v>1472174.0176621708</v>
      </c>
      <c r="AM115" s="31">
        <v>0</v>
      </c>
      <c r="AN115" s="31">
        <v>516274.51901578874</v>
      </c>
      <c r="AO115" s="31">
        <f t="shared" si="10"/>
        <v>11440344.967471842</v>
      </c>
      <c r="AP115" s="31">
        <v>0</v>
      </c>
      <c r="AR115" s="42" t="s">
        <v>83</v>
      </c>
      <c r="AS115" s="42" t="s">
        <v>84</v>
      </c>
      <c r="AT115" s="43" t="s">
        <v>1276</v>
      </c>
      <c r="AU115" s="44">
        <v>32</v>
      </c>
      <c r="AV115" s="31">
        <v>9411724.9647973254</v>
      </c>
      <c r="AW115" s="31">
        <v>227848.68</v>
      </c>
      <c r="AX115" s="31">
        <v>0</v>
      </c>
      <c r="AY115" s="31">
        <v>0</v>
      </c>
      <c r="AZ115" s="31">
        <v>1501858.6389945375</v>
      </c>
      <c r="BA115" s="31">
        <v>0</v>
      </c>
      <c r="BB115" s="31">
        <v>526563.2900443977</v>
      </c>
      <c r="BC115" s="31">
        <f t="shared" si="11"/>
        <v>11667995.57383626</v>
      </c>
      <c r="BD115" s="31">
        <v>0</v>
      </c>
    </row>
    <row r="116" spans="2:56">
      <c r="B116" s="42" t="s">
        <v>101</v>
      </c>
      <c r="C116" s="42" t="s">
        <v>102</v>
      </c>
      <c r="D116" s="43" t="s">
        <v>1049</v>
      </c>
      <c r="E116" s="44">
        <v>32</v>
      </c>
      <c r="F116" s="31">
        <v>422854.39426809677</v>
      </c>
      <c r="G116" s="31">
        <v>19585.979999999996</v>
      </c>
      <c r="H116" s="31">
        <v>0</v>
      </c>
      <c r="I116" s="31">
        <v>0</v>
      </c>
      <c r="J116" s="31">
        <v>33719.872121661443</v>
      </c>
      <c r="K116" s="31">
        <v>92293.884993765387</v>
      </c>
      <c r="L116" s="31">
        <v>0</v>
      </c>
      <c r="M116" s="31">
        <f t="shared" si="8"/>
        <v>577906.08138352353</v>
      </c>
      <c r="N116" s="31">
        <v>9451.9500000000025</v>
      </c>
      <c r="P116" s="42" t="s">
        <v>101</v>
      </c>
      <c r="Q116" s="42" t="s">
        <v>102</v>
      </c>
      <c r="R116" s="43" t="s">
        <v>1050</v>
      </c>
      <c r="S116" s="44">
        <v>32</v>
      </c>
      <c r="T116" s="31">
        <v>443425.39385442465</v>
      </c>
      <c r="U116" s="31">
        <v>20468.690000000002</v>
      </c>
      <c r="V116" s="31">
        <v>0</v>
      </c>
      <c r="W116" s="31">
        <v>0</v>
      </c>
      <c r="X116" s="31">
        <v>34855.113349964107</v>
      </c>
      <c r="Y116" s="31">
        <v>92378.142682082093</v>
      </c>
      <c r="Z116" s="31">
        <v>0</v>
      </c>
      <c r="AA116" s="31">
        <f t="shared" si="9"/>
        <v>600811.66988647077</v>
      </c>
      <c r="AB116" s="31">
        <v>9684.33</v>
      </c>
      <c r="AD116" s="42" t="s">
        <v>101</v>
      </c>
      <c r="AE116" s="42" t="s">
        <v>102</v>
      </c>
      <c r="AF116" s="43" t="s">
        <v>1275</v>
      </c>
      <c r="AG116" s="44">
        <v>32</v>
      </c>
      <c r="AH116" s="31">
        <v>451939.87582314521</v>
      </c>
      <c r="AI116" s="31">
        <v>20887.909999999996</v>
      </c>
      <c r="AJ116" s="31">
        <v>0</v>
      </c>
      <c r="AK116" s="31">
        <v>0</v>
      </c>
      <c r="AL116" s="31">
        <v>35499.98942787783</v>
      </c>
      <c r="AM116" s="31">
        <v>92349.517888077884</v>
      </c>
      <c r="AN116" s="31">
        <v>0</v>
      </c>
      <c r="AO116" s="31">
        <f t="shared" si="10"/>
        <v>610532.23313910083</v>
      </c>
      <c r="AP116" s="31">
        <v>9854.94</v>
      </c>
      <c r="AR116" s="42" t="s">
        <v>101</v>
      </c>
      <c r="AS116" s="42" t="s">
        <v>102</v>
      </c>
      <c r="AT116" s="43" t="s">
        <v>1276</v>
      </c>
      <c r="AU116" s="44">
        <v>32</v>
      </c>
      <c r="AV116" s="31">
        <v>460199.27823944489</v>
      </c>
      <c r="AW116" s="31">
        <v>21266.57</v>
      </c>
      <c r="AX116" s="31">
        <v>0</v>
      </c>
      <c r="AY116" s="31">
        <v>0</v>
      </c>
      <c r="AZ116" s="31">
        <v>36152.369537405029</v>
      </c>
      <c r="BA116" s="31">
        <v>92354.073104593554</v>
      </c>
      <c r="BB116" s="31">
        <v>0</v>
      </c>
      <c r="BC116" s="31">
        <f t="shared" si="11"/>
        <v>620009.97088144359</v>
      </c>
      <c r="BD116" s="31">
        <v>10037.680000000002</v>
      </c>
    </row>
    <row r="117" spans="2:56">
      <c r="B117" s="42" t="s">
        <v>87</v>
      </c>
      <c r="C117" s="42" t="s">
        <v>88</v>
      </c>
      <c r="D117" s="43" t="s">
        <v>1049</v>
      </c>
      <c r="E117" s="44">
        <v>32</v>
      </c>
      <c r="F117" s="31">
        <v>38075234.968129143</v>
      </c>
      <c r="G117" s="31">
        <v>1828707.7300000004</v>
      </c>
      <c r="H117" s="31">
        <v>455252.43</v>
      </c>
      <c r="I117" s="31">
        <v>134276.08000000002</v>
      </c>
      <c r="J117" s="31">
        <v>6040227.4989624843</v>
      </c>
      <c r="K117" s="31">
        <v>2338852.3585415701</v>
      </c>
      <c r="L117" s="31">
        <v>3741895.8956274572</v>
      </c>
      <c r="M117" s="31">
        <f t="shared" si="8"/>
        <v>53909558.30126065</v>
      </c>
      <c r="N117" s="31">
        <v>1295111.3399999999</v>
      </c>
      <c r="P117" s="42" t="s">
        <v>87</v>
      </c>
      <c r="Q117" s="42" t="s">
        <v>88</v>
      </c>
      <c r="R117" s="43" t="s">
        <v>1050</v>
      </c>
      <c r="S117" s="44">
        <v>32</v>
      </c>
      <c r="T117" s="31">
        <v>40134104.627467908</v>
      </c>
      <c r="U117" s="31">
        <v>1926223.4799999997</v>
      </c>
      <c r="V117" s="31">
        <v>475061.86</v>
      </c>
      <c r="W117" s="31">
        <v>140140.73000000001</v>
      </c>
      <c r="X117" s="31">
        <v>6275502.9576692414</v>
      </c>
      <c r="Y117" s="31">
        <v>2341143.5959276031</v>
      </c>
      <c r="Z117" s="31">
        <v>3931686.8209157009</v>
      </c>
      <c r="AA117" s="31">
        <f t="shared" si="9"/>
        <v>56557303.461980447</v>
      </c>
      <c r="AB117" s="31">
        <v>1333439.3899999999</v>
      </c>
      <c r="AD117" s="42" t="s">
        <v>87</v>
      </c>
      <c r="AE117" s="42" t="s">
        <v>88</v>
      </c>
      <c r="AF117" s="43" t="s">
        <v>1275</v>
      </c>
      <c r="AG117" s="44">
        <v>32</v>
      </c>
      <c r="AH117" s="31">
        <v>40934899.619003847</v>
      </c>
      <c r="AI117" s="31">
        <v>1967953.64</v>
      </c>
      <c r="AJ117" s="31">
        <v>484664.14</v>
      </c>
      <c r="AK117" s="31">
        <v>142985.21999999997</v>
      </c>
      <c r="AL117" s="31">
        <v>6396509.953731237</v>
      </c>
      <c r="AM117" s="31">
        <v>2340365.1957661435</v>
      </c>
      <c r="AN117" s="31">
        <v>4010475.8049511216</v>
      </c>
      <c r="AO117" s="31">
        <f t="shared" si="10"/>
        <v>57635801.913452357</v>
      </c>
      <c r="AP117" s="31">
        <v>1357948.34</v>
      </c>
      <c r="AR117" s="42" t="s">
        <v>87</v>
      </c>
      <c r="AS117" s="42" t="s">
        <v>88</v>
      </c>
      <c r="AT117" s="43" t="s">
        <v>1276</v>
      </c>
      <c r="AU117" s="44">
        <v>32</v>
      </c>
      <c r="AV117" s="31">
        <v>41760084.577706076</v>
      </c>
      <c r="AW117" s="31">
        <v>2006905.44</v>
      </c>
      <c r="AX117" s="31">
        <v>494249.89999999997</v>
      </c>
      <c r="AY117" s="31">
        <v>145911.39000000001</v>
      </c>
      <c r="AZ117" s="31">
        <v>6525533.3908808529</v>
      </c>
      <c r="BA117" s="31">
        <v>2340489.0667456435</v>
      </c>
      <c r="BB117" s="31">
        <v>4091399.1825597393</v>
      </c>
      <c r="BC117" s="31">
        <f t="shared" si="11"/>
        <v>58750081.137892306</v>
      </c>
      <c r="BD117" s="31">
        <v>1385508.19</v>
      </c>
    </row>
    <row r="118" spans="2:56">
      <c r="B118" s="42" t="s">
        <v>17</v>
      </c>
      <c r="C118" s="42" t="s">
        <v>18</v>
      </c>
      <c r="D118" s="43" t="s">
        <v>1049</v>
      </c>
      <c r="E118" s="44">
        <v>32</v>
      </c>
      <c r="F118" s="31">
        <v>145935856.89833647</v>
      </c>
      <c r="G118" s="31">
        <v>6712245.0599999987</v>
      </c>
      <c r="H118" s="31">
        <v>4057905.09</v>
      </c>
      <c r="I118" s="31">
        <v>514010.41000000003</v>
      </c>
      <c r="J118" s="31">
        <v>20616345.450004131</v>
      </c>
      <c r="K118" s="31">
        <v>8176657.1704723854</v>
      </c>
      <c r="L118" s="31">
        <v>14377796.381748267</v>
      </c>
      <c r="M118" s="31">
        <f t="shared" si="8"/>
        <v>204009742.05056125</v>
      </c>
      <c r="N118" s="31">
        <v>3618925.5900000003</v>
      </c>
      <c r="P118" s="42" t="s">
        <v>17</v>
      </c>
      <c r="Q118" s="42" t="s">
        <v>18</v>
      </c>
      <c r="R118" s="43" t="s">
        <v>1050</v>
      </c>
      <c r="S118" s="44">
        <v>32</v>
      </c>
      <c r="T118" s="31">
        <v>153831215.44752634</v>
      </c>
      <c r="U118" s="31">
        <v>7054451.4700000007</v>
      </c>
      <c r="V118" s="31">
        <v>4234374.41</v>
      </c>
      <c r="W118" s="31">
        <v>536379.73</v>
      </c>
      <c r="X118" s="31">
        <v>21419346.008481659</v>
      </c>
      <c r="Y118" s="31">
        <v>8183747.8961061994</v>
      </c>
      <c r="Z118" s="31">
        <v>15103575.088930856</v>
      </c>
      <c r="AA118" s="31">
        <f t="shared" si="9"/>
        <v>214089152.65104502</v>
      </c>
      <c r="AB118" s="31">
        <v>3726062.6</v>
      </c>
      <c r="AD118" s="42" t="s">
        <v>17</v>
      </c>
      <c r="AE118" s="42" t="s">
        <v>18</v>
      </c>
      <c r="AF118" s="43" t="s">
        <v>1275</v>
      </c>
      <c r="AG118" s="44">
        <v>32</v>
      </c>
      <c r="AH118" s="31">
        <v>156900839.74508774</v>
      </c>
      <c r="AI118" s="31">
        <v>7204990.4100000001</v>
      </c>
      <c r="AJ118" s="31">
        <v>4320505.43</v>
      </c>
      <c r="AK118" s="31">
        <v>547284.66</v>
      </c>
      <c r="AL118" s="31">
        <v>21832370.396253262</v>
      </c>
      <c r="AM118" s="31">
        <v>8181338.9698151592</v>
      </c>
      <c r="AN118" s="31">
        <v>15406109.952527326</v>
      </c>
      <c r="AO118" s="31">
        <f t="shared" si="10"/>
        <v>218187993.80368349</v>
      </c>
      <c r="AP118" s="31">
        <v>3794554.2399999998</v>
      </c>
      <c r="AR118" s="42" t="s">
        <v>17</v>
      </c>
      <c r="AS118" s="42" t="s">
        <v>18</v>
      </c>
      <c r="AT118" s="43" t="s">
        <v>1276</v>
      </c>
      <c r="AU118" s="44">
        <v>32</v>
      </c>
      <c r="AV118" s="31">
        <v>160062235.31128901</v>
      </c>
      <c r="AW118" s="31">
        <v>7348197.6499999985</v>
      </c>
      <c r="AX118" s="31">
        <v>4406965.3</v>
      </c>
      <c r="AY118" s="31">
        <v>558224.01</v>
      </c>
      <c r="AZ118" s="31">
        <v>22272759.744538307</v>
      </c>
      <c r="BA118" s="31">
        <v>8181722.3151354557</v>
      </c>
      <c r="BB118" s="31">
        <v>15717031.723875893</v>
      </c>
      <c r="BC118" s="31">
        <f t="shared" si="11"/>
        <v>222418673.69483864</v>
      </c>
      <c r="BD118" s="31">
        <v>3871537.64</v>
      </c>
    </row>
    <row r="119" spans="2:56">
      <c r="B119" s="42" t="s">
        <v>217</v>
      </c>
      <c r="C119" s="42" t="s">
        <v>218</v>
      </c>
      <c r="D119" s="43" t="s">
        <v>1049</v>
      </c>
      <c r="E119" s="44">
        <v>32</v>
      </c>
      <c r="F119" s="31">
        <v>225744409.21730953</v>
      </c>
      <c r="G119" s="31">
        <v>9323936.0800000019</v>
      </c>
      <c r="H119" s="31">
        <v>10181226.449999999</v>
      </c>
      <c r="I119" s="31">
        <v>802862.82000000018</v>
      </c>
      <c r="J119" s="31">
        <v>28806044.02240482</v>
      </c>
      <c r="K119" s="31">
        <v>12813779.656117178</v>
      </c>
      <c r="L119" s="31">
        <v>16320506.984031525</v>
      </c>
      <c r="M119" s="31">
        <f t="shared" si="8"/>
        <v>307806871.73986304</v>
      </c>
      <c r="N119" s="31">
        <v>3814106.5100000002</v>
      </c>
      <c r="P119" s="42" t="s">
        <v>217</v>
      </c>
      <c r="Q119" s="42" t="s">
        <v>218</v>
      </c>
      <c r="R119" s="43" t="s">
        <v>1050</v>
      </c>
      <c r="S119" s="44">
        <v>32</v>
      </c>
      <c r="T119" s="31">
        <v>237852354.65158889</v>
      </c>
      <c r="U119" s="31">
        <v>9761635.8899999987</v>
      </c>
      <c r="V119" s="31">
        <v>10609357.02</v>
      </c>
      <c r="W119" s="31">
        <v>836631.73999999987</v>
      </c>
      <c r="X119" s="31">
        <v>29907705.189329974</v>
      </c>
      <c r="Y119" s="31">
        <v>12825205.09043332</v>
      </c>
      <c r="Z119" s="31">
        <v>17138347.785703145</v>
      </c>
      <c r="AA119" s="31">
        <f t="shared" si="9"/>
        <v>322860034.94705528</v>
      </c>
      <c r="AB119" s="31">
        <v>3928797.58</v>
      </c>
      <c r="AD119" s="42" t="s">
        <v>217</v>
      </c>
      <c r="AE119" s="42" t="s">
        <v>218</v>
      </c>
      <c r="AF119" s="43" t="s">
        <v>1275</v>
      </c>
      <c r="AG119" s="44">
        <v>32</v>
      </c>
      <c r="AH119" s="31">
        <v>242618856.52081245</v>
      </c>
      <c r="AI119" s="31">
        <v>9967061.5499999989</v>
      </c>
      <c r="AJ119" s="31">
        <v>10825380.000000002</v>
      </c>
      <c r="AK119" s="31">
        <v>853633.03</v>
      </c>
      <c r="AL119" s="31">
        <v>30488839.786709782</v>
      </c>
      <c r="AM119" s="31">
        <v>12820887.131784614</v>
      </c>
      <c r="AN119" s="31">
        <v>17482418.42213659</v>
      </c>
      <c r="AO119" s="31">
        <f t="shared" si="10"/>
        <v>329059271.58144343</v>
      </c>
      <c r="AP119" s="31">
        <v>4002195.14</v>
      </c>
      <c r="AR119" s="42" t="s">
        <v>217</v>
      </c>
      <c r="AS119" s="42" t="s">
        <v>218</v>
      </c>
      <c r="AT119" s="43" t="s">
        <v>1276</v>
      </c>
      <c r="AU119" s="44">
        <v>32</v>
      </c>
      <c r="AV119" s="31">
        <v>247571447.26096007</v>
      </c>
      <c r="AW119" s="31">
        <v>10169135.099999998</v>
      </c>
      <c r="AX119" s="31">
        <v>11046036.01</v>
      </c>
      <c r="AY119" s="31">
        <v>871108.16999999993</v>
      </c>
      <c r="AZ119" s="31">
        <v>31112206.96291915</v>
      </c>
      <c r="BA119" s="31">
        <v>12821551.697433285</v>
      </c>
      <c r="BB119" s="31">
        <v>17840030.144742075</v>
      </c>
      <c r="BC119" s="31">
        <f t="shared" si="11"/>
        <v>335516302.83605462</v>
      </c>
      <c r="BD119" s="31">
        <v>4084787.49</v>
      </c>
    </row>
    <row r="120" spans="2:56">
      <c r="B120" s="42" t="s">
        <v>505</v>
      </c>
      <c r="C120" s="42" t="s">
        <v>506</v>
      </c>
      <c r="D120" s="43" t="s">
        <v>1049</v>
      </c>
      <c r="E120" s="44">
        <v>32</v>
      </c>
      <c r="F120" s="31">
        <v>8800805.2128784116</v>
      </c>
      <c r="G120" s="31">
        <v>364588.17999999993</v>
      </c>
      <c r="H120" s="31">
        <v>0</v>
      </c>
      <c r="I120" s="31">
        <v>30466.409999999996</v>
      </c>
      <c r="J120" s="31">
        <v>1318287.4116704226</v>
      </c>
      <c r="K120" s="31">
        <v>955215.39119258686</v>
      </c>
      <c r="L120" s="31">
        <v>501262.22054942674</v>
      </c>
      <c r="M120" s="31">
        <f t="shared" si="8"/>
        <v>12185503.856290847</v>
      </c>
      <c r="N120" s="31">
        <v>214879.03</v>
      </c>
      <c r="P120" s="42" t="s">
        <v>505</v>
      </c>
      <c r="Q120" s="42" t="s">
        <v>506</v>
      </c>
      <c r="R120" s="43" t="s">
        <v>1050</v>
      </c>
      <c r="S120" s="44">
        <v>32</v>
      </c>
      <c r="T120" s="31">
        <v>9243316.5761889834</v>
      </c>
      <c r="U120" s="31">
        <v>383119.22999999986</v>
      </c>
      <c r="V120" s="31">
        <v>0</v>
      </c>
      <c r="W120" s="31">
        <v>31834.85</v>
      </c>
      <c r="X120" s="31">
        <v>1369491.3673833464</v>
      </c>
      <c r="Y120" s="31">
        <v>956069.60986831272</v>
      </c>
      <c r="Z120" s="31">
        <v>526634.9064883414</v>
      </c>
      <c r="AA120" s="31">
        <f t="shared" si="9"/>
        <v>12731685.809928983</v>
      </c>
      <c r="AB120" s="31">
        <v>221219.27</v>
      </c>
      <c r="AD120" s="42" t="s">
        <v>505</v>
      </c>
      <c r="AE120" s="42" t="s">
        <v>506</v>
      </c>
      <c r="AF120" s="43" t="s">
        <v>1275</v>
      </c>
      <c r="AG120" s="44">
        <v>32</v>
      </c>
      <c r="AH120" s="31">
        <v>9426519.7378130332</v>
      </c>
      <c r="AI120" s="31">
        <v>391356.47999999992</v>
      </c>
      <c r="AJ120" s="31">
        <v>0</v>
      </c>
      <c r="AK120" s="31">
        <v>32457.939999999995</v>
      </c>
      <c r="AL120" s="31">
        <v>1395956.3850294864</v>
      </c>
      <c r="AM120" s="31">
        <v>955779.40687181812</v>
      </c>
      <c r="AN120" s="31">
        <v>537229.55499069311</v>
      </c>
      <c r="AO120" s="31">
        <f t="shared" si="10"/>
        <v>12964643.974705031</v>
      </c>
      <c r="AP120" s="31">
        <v>225344.47000000003</v>
      </c>
      <c r="AR120" s="42" t="s">
        <v>505</v>
      </c>
      <c r="AS120" s="42" t="s">
        <v>506</v>
      </c>
      <c r="AT120" s="43" t="s">
        <v>1276</v>
      </c>
      <c r="AU120" s="44">
        <v>32</v>
      </c>
      <c r="AV120" s="31">
        <v>9617049.9669600781</v>
      </c>
      <c r="AW120" s="31">
        <v>399133.35000000009</v>
      </c>
      <c r="AX120" s="31">
        <v>0</v>
      </c>
      <c r="AY120" s="31">
        <v>33162.26</v>
      </c>
      <c r="AZ120" s="31">
        <v>1424200.6822134627</v>
      </c>
      <c r="BA120" s="31">
        <v>955825.58842625434</v>
      </c>
      <c r="BB120" s="31">
        <v>548099.21077947947</v>
      </c>
      <c r="BC120" s="31">
        <f t="shared" si="11"/>
        <v>13207333.678379273</v>
      </c>
      <c r="BD120" s="31">
        <v>229862.62</v>
      </c>
    </row>
    <row r="121" spans="2:56">
      <c r="B121" s="42" t="s">
        <v>21</v>
      </c>
      <c r="C121" s="42" t="s">
        <v>22</v>
      </c>
      <c r="D121" s="43" t="s">
        <v>1049</v>
      </c>
      <c r="E121" s="44">
        <v>32</v>
      </c>
      <c r="F121" s="31">
        <v>11371052.95961256</v>
      </c>
      <c r="G121" s="31">
        <v>611453.14000000013</v>
      </c>
      <c r="H121" s="31">
        <v>543925.31999999995</v>
      </c>
      <c r="I121" s="31">
        <v>39074.549999999996</v>
      </c>
      <c r="J121" s="31">
        <v>1644237.8240866514</v>
      </c>
      <c r="K121" s="31">
        <v>731585.67916059343</v>
      </c>
      <c r="L121" s="31">
        <v>756149.24569961138</v>
      </c>
      <c r="M121" s="31">
        <f t="shared" si="8"/>
        <v>16094752.738559416</v>
      </c>
      <c r="N121" s="31">
        <v>397274.01999999996</v>
      </c>
      <c r="P121" s="42" t="s">
        <v>21</v>
      </c>
      <c r="Q121" s="42" t="s">
        <v>22</v>
      </c>
      <c r="R121" s="43" t="s">
        <v>1050</v>
      </c>
      <c r="S121" s="44">
        <v>32</v>
      </c>
      <c r="T121" s="31">
        <v>11998382.94790878</v>
      </c>
      <c r="U121" s="31">
        <v>643485.27000000025</v>
      </c>
      <c r="V121" s="31">
        <v>567544.6100000001</v>
      </c>
      <c r="W121" s="31">
        <v>40777.409999999989</v>
      </c>
      <c r="X121" s="31">
        <v>1708244.5399632929</v>
      </c>
      <c r="Y121" s="31">
        <v>732075.30895366916</v>
      </c>
      <c r="Z121" s="31">
        <v>794407.29541379027</v>
      </c>
      <c r="AA121" s="31">
        <f t="shared" si="9"/>
        <v>16893954.62223953</v>
      </c>
      <c r="AB121" s="31">
        <v>409037.24000000005</v>
      </c>
      <c r="AD121" s="42" t="s">
        <v>21</v>
      </c>
      <c r="AE121" s="42" t="s">
        <v>22</v>
      </c>
      <c r="AF121" s="43" t="s">
        <v>1275</v>
      </c>
      <c r="AG121" s="44">
        <v>32</v>
      </c>
      <c r="AH121" s="31">
        <v>12238137.036744272</v>
      </c>
      <c r="AI121" s="31">
        <v>657387.94999999984</v>
      </c>
      <c r="AJ121" s="31">
        <v>579162.31000000006</v>
      </c>
      <c r="AK121" s="31">
        <v>41575.07</v>
      </c>
      <c r="AL121" s="31">
        <v>1741186.0967586918</v>
      </c>
      <c r="AM121" s="31">
        <v>731908.96743344562</v>
      </c>
      <c r="AN121" s="31">
        <v>810310.13392856112</v>
      </c>
      <c r="AO121" s="31">
        <f t="shared" si="10"/>
        <v>17216216.134864971</v>
      </c>
      <c r="AP121" s="31">
        <v>416548.56999999995</v>
      </c>
      <c r="AR121" s="42" t="s">
        <v>21</v>
      </c>
      <c r="AS121" s="42" t="s">
        <v>22</v>
      </c>
      <c r="AT121" s="43" t="s">
        <v>1276</v>
      </c>
      <c r="AU121" s="44">
        <v>32</v>
      </c>
      <c r="AV121" s="31">
        <v>12484828.525879733</v>
      </c>
      <c r="AW121" s="31">
        <v>670441.65999999992</v>
      </c>
      <c r="AX121" s="31">
        <v>590683.80000000005</v>
      </c>
      <c r="AY121" s="31">
        <v>42439.319999999992</v>
      </c>
      <c r="AZ121" s="31">
        <v>1776296.3223024979</v>
      </c>
      <c r="BA121" s="31">
        <v>731935.43824892305</v>
      </c>
      <c r="BB121" s="31">
        <v>826587.79828146193</v>
      </c>
      <c r="BC121" s="31">
        <f t="shared" si="11"/>
        <v>17548209.664712619</v>
      </c>
      <c r="BD121" s="31">
        <v>424996.8</v>
      </c>
    </row>
    <row r="122" spans="2:56">
      <c r="B122" s="42" t="s">
        <v>247</v>
      </c>
      <c r="C122" s="42" t="s">
        <v>248</v>
      </c>
      <c r="D122" s="43" t="s">
        <v>1049</v>
      </c>
      <c r="E122" s="44">
        <v>32</v>
      </c>
      <c r="F122" s="31">
        <v>4839700.7607450802</v>
      </c>
      <c r="G122" s="31">
        <v>171109.43</v>
      </c>
      <c r="H122" s="31">
        <v>54567.93</v>
      </c>
      <c r="I122" s="31">
        <v>0</v>
      </c>
      <c r="J122" s="31">
        <v>724780.13679404021</v>
      </c>
      <c r="K122" s="31">
        <v>411250.93964047218</v>
      </c>
      <c r="L122" s="31">
        <v>491623.43671317084</v>
      </c>
      <c r="M122" s="31">
        <f t="shared" si="8"/>
        <v>6693032.6338927625</v>
      </c>
      <c r="N122" s="31">
        <v>0</v>
      </c>
      <c r="P122" s="42" t="s">
        <v>247</v>
      </c>
      <c r="Q122" s="42" t="s">
        <v>248</v>
      </c>
      <c r="R122" s="43" t="s">
        <v>1050</v>
      </c>
      <c r="S122" s="44">
        <v>32</v>
      </c>
      <c r="T122" s="31">
        <v>5047497.8171853116</v>
      </c>
      <c r="U122" s="31">
        <v>178489.69</v>
      </c>
      <c r="V122" s="31">
        <v>56865.760000000002</v>
      </c>
      <c r="W122" s="31">
        <v>0</v>
      </c>
      <c r="X122" s="31">
        <v>752995.70834156428</v>
      </c>
      <c r="Y122" s="31">
        <v>411586.58485361066</v>
      </c>
      <c r="Z122" s="31">
        <v>511502.50346237951</v>
      </c>
      <c r="AA122" s="31">
        <f t="shared" si="9"/>
        <v>6958938.0638428666</v>
      </c>
      <c r="AB122" s="31">
        <v>0</v>
      </c>
      <c r="AD122" s="42" t="s">
        <v>247</v>
      </c>
      <c r="AE122" s="42" t="s">
        <v>248</v>
      </c>
      <c r="AF122" s="43" t="s">
        <v>1275</v>
      </c>
      <c r="AG122" s="44">
        <v>32</v>
      </c>
      <c r="AH122" s="31">
        <v>5148672.4009181373</v>
      </c>
      <c r="AI122" s="31">
        <v>182187.50999999998</v>
      </c>
      <c r="AJ122" s="31">
        <v>58081.30999999999</v>
      </c>
      <c r="AK122" s="31">
        <v>0</v>
      </c>
      <c r="AL122" s="31">
        <v>767526.74198118318</v>
      </c>
      <c r="AM122" s="31">
        <v>411472.55638598313</v>
      </c>
      <c r="AN122" s="31">
        <v>521790.30274843867</v>
      </c>
      <c r="AO122" s="31">
        <f t="shared" si="10"/>
        <v>7089730.8220337415</v>
      </c>
      <c r="AP122" s="31">
        <v>0</v>
      </c>
      <c r="AR122" s="42" t="s">
        <v>247</v>
      </c>
      <c r="AS122" s="42" t="s">
        <v>248</v>
      </c>
      <c r="AT122" s="43" t="s">
        <v>1276</v>
      </c>
      <c r="AU122" s="44">
        <v>32</v>
      </c>
      <c r="AV122" s="31">
        <v>5251682.8499346711</v>
      </c>
      <c r="AW122" s="31">
        <v>185829.56</v>
      </c>
      <c r="AX122" s="31">
        <v>59246.960000000006</v>
      </c>
      <c r="AY122" s="31">
        <v>0</v>
      </c>
      <c r="AZ122" s="31">
        <v>783011.88033056317</v>
      </c>
      <c r="BA122" s="31">
        <v>411490.70234570315</v>
      </c>
      <c r="BB122" s="31">
        <v>532436.21950073063</v>
      </c>
      <c r="BC122" s="31">
        <f t="shared" si="11"/>
        <v>7223698.1721116677</v>
      </c>
      <c r="BD122" s="31">
        <v>0</v>
      </c>
    </row>
    <row r="123" spans="2:56">
      <c r="B123" s="42" t="s">
        <v>261</v>
      </c>
      <c r="C123" s="42" t="s">
        <v>262</v>
      </c>
      <c r="D123" s="43" t="s">
        <v>1049</v>
      </c>
      <c r="E123" s="44">
        <v>32</v>
      </c>
      <c r="F123" s="31">
        <v>2001218.9268738618</v>
      </c>
      <c r="G123" s="31">
        <v>30970.840000000004</v>
      </c>
      <c r="H123" s="31">
        <v>0</v>
      </c>
      <c r="I123" s="31">
        <v>2723.82</v>
      </c>
      <c r="J123" s="31">
        <v>116007.66203102519</v>
      </c>
      <c r="K123" s="31">
        <v>95501.994369712687</v>
      </c>
      <c r="L123" s="31">
        <v>0</v>
      </c>
      <c r="M123" s="31">
        <f t="shared" si="8"/>
        <v>2273358.7832745998</v>
      </c>
      <c r="N123" s="31">
        <v>26935.54</v>
      </c>
      <c r="P123" s="42" t="s">
        <v>261</v>
      </c>
      <c r="Q123" s="42" t="s">
        <v>262</v>
      </c>
      <c r="R123" s="43" t="s">
        <v>1050</v>
      </c>
      <c r="S123" s="44">
        <v>32</v>
      </c>
      <c r="T123" s="31">
        <v>2084127.6697498767</v>
      </c>
      <c r="U123" s="31">
        <v>32508.49</v>
      </c>
      <c r="V123" s="31">
        <v>0</v>
      </c>
      <c r="W123" s="31">
        <v>2827.4399999999996</v>
      </c>
      <c r="X123" s="31">
        <v>119923.58108203112</v>
      </c>
      <c r="Y123" s="31">
        <v>95586.570864098278</v>
      </c>
      <c r="Z123" s="31">
        <v>0</v>
      </c>
      <c r="AA123" s="31">
        <f t="shared" si="9"/>
        <v>2362574.4716960061</v>
      </c>
      <c r="AB123" s="31">
        <v>27600.719999999998</v>
      </c>
      <c r="AD123" s="42" t="s">
        <v>261</v>
      </c>
      <c r="AE123" s="42" t="s">
        <v>262</v>
      </c>
      <c r="AF123" s="43" t="s">
        <v>1275</v>
      </c>
      <c r="AG123" s="44">
        <v>32</v>
      </c>
      <c r="AH123" s="31">
        <v>2124011.3705703234</v>
      </c>
      <c r="AI123" s="31">
        <v>33196.560000000005</v>
      </c>
      <c r="AJ123" s="31">
        <v>0</v>
      </c>
      <c r="AK123" s="31">
        <v>2882.7900000000004</v>
      </c>
      <c r="AL123" s="31">
        <v>122148.0260760142</v>
      </c>
      <c r="AM123" s="31">
        <v>95557.837762374824</v>
      </c>
      <c r="AN123" s="31">
        <v>0</v>
      </c>
      <c r="AO123" s="31">
        <f t="shared" si="10"/>
        <v>2405885.7344087125</v>
      </c>
      <c r="AP123" s="31">
        <v>28089.149999999994</v>
      </c>
      <c r="AR123" s="42" t="s">
        <v>261</v>
      </c>
      <c r="AS123" s="42" t="s">
        <v>262</v>
      </c>
      <c r="AT123" s="43" t="s">
        <v>1276</v>
      </c>
      <c r="AU123" s="44">
        <v>32</v>
      </c>
      <c r="AV123" s="31">
        <v>2162722.8167816941</v>
      </c>
      <c r="AW123" s="31">
        <v>33798.030000000006</v>
      </c>
      <c r="AX123" s="31">
        <v>0</v>
      </c>
      <c r="AY123" s="31">
        <v>2935.6899999999996</v>
      </c>
      <c r="AZ123" s="31">
        <v>124403.10032348329</v>
      </c>
      <c r="BA123" s="31">
        <v>95562.410214476942</v>
      </c>
      <c r="BB123" s="31">
        <v>0</v>
      </c>
      <c r="BC123" s="31">
        <f t="shared" si="11"/>
        <v>2448034.3173196539</v>
      </c>
      <c r="BD123" s="31">
        <v>28612.269999999997</v>
      </c>
    </row>
    <row r="124" spans="2:56">
      <c r="B124" s="42" t="s">
        <v>59</v>
      </c>
      <c r="C124" s="42" t="s">
        <v>60</v>
      </c>
      <c r="D124" s="43" t="s">
        <v>1049</v>
      </c>
      <c r="E124" s="44">
        <v>32</v>
      </c>
      <c r="F124" s="31">
        <v>14913763.567702662</v>
      </c>
      <c r="G124" s="31">
        <v>289068.68</v>
      </c>
      <c r="H124" s="31">
        <v>71577.909999999989</v>
      </c>
      <c r="I124" s="31">
        <v>51005.88</v>
      </c>
      <c r="J124" s="31">
        <v>2152277.0076281372</v>
      </c>
      <c r="K124" s="31">
        <v>0</v>
      </c>
      <c r="L124" s="31">
        <v>423526.18710599205</v>
      </c>
      <c r="M124" s="31">
        <f t="shared" si="8"/>
        <v>17901219.232436791</v>
      </c>
      <c r="N124" s="31">
        <v>0</v>
      </c>
      <c r="P124" s="42" t="s">
        <v>59</v>
      </c>
      <c r="Q124" s="42" t="s">
        <v>60</v>
      </c>
      <c r="R124" s="43" t="s">
        <v>1050</v>
      </c>
      <c r="S124" s="44">
        <v>32</v>
      </c>
      <c r="T124" s="31">
        <v>15554372.352630042</v>
      </c>
      <c r="U124" s="31">
        <v>301352.42000000004</v>
      </c>
      <c r="V124" s="31">
        <v>74485.440000000002</v>
      </c>
      <c r="W124" s="31">
        <v>53251.030000000006</v>
      </c>
      <c r="X124" s="31">
        <v>2235319.4127662871</v>
      </c>
      <c r="Y124" s="31">
        <v>0</v>
      </c>
      <c r="Z124" s="31">
        <v>440472.32485374634</v>
      </c>
      <c r="AA124" s="31">
        <f t="shared" si="9"/>
        <v>18659252.980250075</v>
      </c>
      <c r="AB124" s="31">
        <v>0</v>
      </c>
      <c r="AD124" s="42" t="s">
        <v>59</v>
      </c>
      <c r="AE124" s="42" t="s">
        <v>60</v>
      </c>
      <c r="AF124" s="43" t="s">
        <v>1275</v>
      </c>
      <c r="AG124" s="44">
        <v>32</v>
      </c>
      <c r="AH124" s="31">
        <v>15864823.816238325</v>
      </c>
      <c r="AI124" s="31">
        <v>307479.84999999998</v>
      </c>
      <c r="AJ124" s="31">
        <v>76056.679999999993</v>
      </c>
      <c r="AK124" s="31">
        <v>54294.13</v>
      </c>
      <c r="AL124" s="31">
        <v>2278596.7768867691</v>
      </c>
      <c r="AM124" s="31">
        <v>0</v>
      </c>
      <c r="AN124" s="31">
        <v>449448.57368081453</v>
      </c>
      <c r="AO124" s="31">
        <f t="shared" si="10"/>
        <v>19030699.826805908</v>
      </c>
      <c r="AP124" s="31">
        <v>0</v>
      </c>
      <c r="AR124" s="42" t="s">
        <v>59</v>
      </c>
      <c r="AS124" s="42" t="s">
        <v>60</v>
      </c>
      <c r="AT124" s="43" t="s">
        <v>1276</v>
      </c>
      <c r="AU124" s="44">
        <v>32</v>
      </c>
      <c r="AV124" s="31">
        <v>16186671.521657446</v>
      </c>
      <c r="AW124" s="31">
        <v>313731.15999999997</v>
      </c>
      <c r="AX124" s="31">
        <v>77575.929999999993</v>
      </c>
      <c r="AY124" s="31">
        <v>55411.360000000001</v>
      </c>
      <c r="AZ124" s="31">
        <v>2324893.2167559038</v>
      </c>
      <c r="BA124" s="31">
        <v>0</v>
      </c>
      <c r="BB124" s="31">
        <v>458476.59947893216</v>
      </c>
      <c r="BC124" s="31">
        <f t="shared" si="11"/>
        <v>19416759.787892282</v>
      </c>
      <c r="BD124" s="31">
        <v>0</v>
      </c>
    </row>
    <row r="125" spans="2:56">
      <c r="B125" s="42" t="s">
        <v>409</v>
      </c>
      <c r="C125" s="42" t="s">
        <v>410</v>
      </c>
      <c r="D125" s="43" t="s">
        <v>1049</v>
      </c>
      <c r="E125" s="44">
        <v>32</v>
      </c>
      <c r="F125" s="31">
        <v>5697579.4130249638</v>
      </c>
      <c r="G125" s="31">
        <v>238525.10000000003</v>
      </c>
      <c r="H125" s="31">
        <v>20460.89</v>
      </c>
      <c r="I125" s="31">
        <v>18459.28</v>
      </c>
      <c r="J125" s="31">
        <v>802992.76765904401</v>
      </c>
      <c r="K125" s="31">
        <v>580917.66512366582</v>
      </c>
      <c r="L125" s="31">
        <v>149238.444619491</v>
      </c>
      <c r="M125" s="31">
        <f t="shared" si="8"/>
        <v>7697325.6104271635</v>
      </c>
      <c r="N125" s="31">
        <v>189152.05</v>
      </c>
      <c r="P125" s="42" t="s">
        <v>409</v>
      </c>
      <c r="Q125" s="42" t="s">
        <v>410</v>
      </c>
      <c r="R125" s="43" t="s">
        <v>1050</v>
      </c>
      <c r="S125" s="44">
        <v>32</v>
      </c>
      <c r="T125" s="31">
        <v>5987891.6530757593</v>
      </c>
      <c r="U125" s="31">
        <v>250944.52000000002</v>
      </c>
      <c r="V125" s="31">
        <v>21335.250000000004</v>
      </c>
      <c r="W125" s="31">
        <v>19259.38</v>
      </c>
      <c r="X125" s="31">
        <v>833817.03960315627</v>
      </c>
      <c r="Y125" s="31">
        <v>581300.46725066379</v>
      </c>
      <c r="Z125" s="31">
        <v>156786.40136420605</v>
      </c>
      <c r="AA125" s="31">
        <f t="shared" si="9"/>
        <v>8046239.2912937859</v>
      </c>
      <c r="AB125" s="31">
        <v>194904.58000000002</v>
      </c>
      <c r="AD125" s="42" t="s">
        <v>409</v>
      </c>
      <c r="AE125" s="42" t="s">
        <v>410</v>
      </c>
      <c r="AF125" s="43" t="s">
        <v>1275</v>
      </c>
      <c r="AG125" s="44">
        <v>32</v>
      </c>
      <c r="AH125" s="31">
        <v>6106749.0868792301</v>
      </c>
      <c r="AI125" s="31">
        <v>256314.58000000002</v>
      </c>
      <c r="AJ125" s="31">
        <v>21753.49</v>
      </c>
      <c r="AK125" s="31">
        <v>19636.929999999997</v>
      </c>
      <c r="AL125" s="31">
        <v>850000.488448316</v>
      </c>
      <c r="AM125" s="31">
        <v>581160.47857723839</v>
      </c>
      <c r="AN125" s="31">
        <v>159833.89214902517</v>
      </c>
      <c r="AO125" s="31">
        <f t="shared" si="10"/>
        <v>8193958.6560538104</v>
      </c>
      <c r="AP125" s="31">
        <v>198509.71000000002</v>
      </c>
      <c r="AR125" s="42" t="s">
        <v>409</v>
      </c>
      <c r="AS125" s="42" t="s">
        <v>410</v>
      </c>
      <c r="AT125" s="43" t="s">
        <v>1276</v>
      </c>
      <c r="AU125" s="44">
        <v>32</v>
      </c>
      <c r="AV125" s="31">
        <v>6228784.0132318409</v>
      </c>
      <c r="AW125" s="31">
        <v>261512.02</v>
      </c>
      <c r="AX125" s="31">
        <v>22277.53</v>
      </c>
      <c r="AY125" s="31">
        <v>20001.88</v>
      </c>
      <c r="AZ125" s="31">
        <v>867338.47959668236</v>
      </c>
      <c r="BA125" s="31">
        <v>581182.24156977236</v>
      </c>
      <c r="BB125" s="31">
        <v>163102.69186010119</v>
      </c>
      <c r="BC125" s="31">
        <f t="shared" si="11"/>
        <v>8346802.2162583973</v>
      </c>
      <c r="BD125" s="31">
        <v>202603.36000000002</v>
      </c>
    </row>
    <row r="126" spans="2:56">
      <c r="B126" s="42" t="s">
        <v>555</v>
      </c>
      <c r="C126" s="42" t="s">
        <v>556</v>
      </c>
      <c r="D126" s="43" t="s">
        <v>1049</v>
      </c>
      <c r="E126" s="44">
        <v>32</v>
      </c>
      <c r="F126" s="31">
        <v>1924304.0592740213</v>
      </c>
      <c r="G126" s="31">
        <v>21790.550000000003</v>
      </c>
      <c r="H126" s="31">
        <v>0</v>
      </c>
      <c r="I126" s="31">
        <v>2320.29</v>
      </c>
      <c r="J126" s="31">
        <v>115869.15710561308</v>
      </c>
      <c r="K126" s="31">
        <v>236903.10679434999</v>
      </c>
      <c r="L126" s="31">
        <v>33887.696309706771</v>
      </c>
      <c r="M126" s="31">
        <f t="shared" si="8"/>
        <v>2335074.8594836909</v>
      </c>
      <c r="N126" s="31">
        <v>0</v>
      </c>
      <c r="P126" s="42" t="s">
        <v>555</v>
      </c>
      <c r="Q126" s="42" t="s">
        <v>556</v>
      </c>
      <c r="R126" s="43" t="s">
        <v>1050</v>
      </c>
      <c r="S126" s="44">
        <v>32</v>
      </c>
      <c r="T126" s="31">
        <v>1994701.6966706878</v>
      </c>
      <c r="U126" s="31">
        <v>22619.500000000004</v>
      </c>
      <c r="V126" s="31">
        <v>0</v>
      </c>
      <c r="W126" s="31">
        <v>2408.5499999999997</v>
      </c>
      <c r="X126" s="31">
        <v>119776.2865638237</v>
      </c>
      <c r="Y126" s="31">
        <v>237094.28552270107</v>
      </c>
      <c r="Z126" s="31">
        <v>35089.488455269464</v>
      </c>
      <c r="AA126" s="31">
        <f t="shared" si="9"/>
        <v>2411689.8072124822</v>
      </c>
      <c r="AB126" s="31">
        <v>0</v>
      </c>
      <c r="AD126" s="42" t="s">
        <v>555</v>
      </c>
      <c r="AE126" s="42" t="s">
        <v>556</v>
      </c>
      <c r="AF126" s="43" t="s">
        <v>1275</v>
      </c>
      <c r="AG126" s="44">
        <v>32</v>
      </c>
      <c r="AH126" s="31">
        <v>2032856.809251708</v>
      </c>
      <c r="AI126" s="31">
        <v>23062.219999999998</v>
      </c>
      <c r="AJ126" s="31">
        <v>0</v>
      </c>
      <c r="AK126" s="31">
        <v>2455.7000000000007</v>
      </c>
      <c r="AL126" s="31">
        <v>121998.1764980771</v>
      </c>
      <c r="AM126" s="31">
        <v>237029.33653316236</v>
      </c>
      <c r="AN126" s="31">
        <v>35765.773120915655</v>
      </c>
      <c r="AO126" s="31">
        <f t="shared" si="10"/>
        <v>2453168.0154038626</v>
      </c>
      <c r="AP126" s="31">
        <v>0</v>
      </c>
      <c r="AR126" s="42" t="s">
        <v>555</v>
      </c>
      <c r="AS126" s="42" t="s">
        <v>556</v>
      </c>
      <c r="AT126" s="43" t="s">
        <v>1276</v>
      </c>
      <c r="AU126" s="44">
        <v>32</v>
      </c>
      <c r="AV126" s="31">
        <v>2069869.9874295604</v>
      </c>
      <c r="AW126" s="31">
        <v>23485.41</v>
      </c>
      <c r="AX126" s="31">
        <v>0</v>
      </c>
      <c r="AY126" s="31">
        <v>2500.7700000000004</v>
      </c>
      <c r="AZ126" s="31">
        <v>124250.79910095759</v>
      </c>
      <c r="BA126" s="31">
        <v>237039.67221312498</v>
      </c>
      <c r="BB126" s="31">
        <v>36427.087134622721</v>
      </c>
      <c r="BC126" s="31">
        <f t="shared" si="11"/>
        <v>2493573.7258782657</v>
      </c>
      <c r="BD126" s="31">
        <v>0</v>
      </c>
    </row>
    <row r="127" spans="2:56">
      <c r="B127" s="42" t="s">
        <v>35</v>
      </c>
      <c r="C127" s="42" t="s">
        <v>36</v>
      </c>
      <c r="D127" s="43" t="s">
        <v>1049</v>
      </c>
      <c r="E127" s="44">
        <v>32</v>
      </c>
      <c r="F127" s="31">
        <v>10140318.580616962</v>
      </c>
      <c r="G127" s="31">
        <v>478054.03000000009</v>
      </c>
      <c r="H127" s="31">
        <v>536617.13</v>
      </c>
      <c r="I127" s="31">
        <v>35176.82</v>
      </c>
      <c r="J127" s="31">
        <v>1156519.6690649325</v>
      </c>
      <c r="K127" s="31">
        <v>784745.92692644184</v>
      </c>
      <c r="L127" s="31">
        <v>898868.49133570888</v>
      </c>
      <c r="M127" s="31">
        <f t="shared" si="8"/>
        <v>14388207.807944044</v>
      </c>
      <c r="N127" s="31">
        <v>357907.16</v>
      </c>
      <c r="P127" s="42" t="s">
        <v>35</v>
      </c>
      <c r="Q127" s="42" t="s">
        <v>36</v>
      </c>
      <c r="R127" s="43" t="s">
        <v>1050</v>
      </c>
      <c r="S127" s="44">
        <v>32</v>
      </c>
      <c r="T127" s="31">
        <v>10685690.880532127</v>
      </c>
      <c r="U127" s="31">
        <v>503809.78</v>
      </c>
      <c r="V127" s="31">
        <v>559854.56999999995</v>
      </c>
      <c r="W127" s="31">
        <v>36730.020000000004</v>
      </c>
      <c r="X127" s="31">
        <v>1201597.9146402609</v>
      </c>
      <c r="Y127" s="31">
        <v>785510.06882230553</v>
      </c>
      <c r="Z127" s="31">
        <v>944445.34236790275</v>
      </c>
      <c r="AA127" s="31">
        <f t="shared" si="9"/>
        <v>15086141.486362595</v>
      </c>
      <c r="AB127" s="31">
        <v>368502.91000000003</v>
      </c>
      <c r="AD127" s="42" t="s">
        <v>35</v>
      </c>
      <c r="AE127" s="42" t="s">
        <v>36</v>
      </c>
      <c r="AF127" s="43" t="s">
        <v>1275</v>
      </c>
      <c r="AG127" s="44">
        <v>32</v>
      </c>
      <c r="AH127" s="31">
        <v>10899192.825296782</v>
      </c>
      <c r="AI127" s="31">
        <v>514693.54999999987</v>
      </c>
      <c r="AJ127" s="31">
        <v>571218.68999999994</v>
      </c>
      <c r="AK127" s="31">
        <v>37448.51</v>
      </c>
      <c r="AL127" s="31">
        <v>1224765.7219717638</v>
      </c>
      <c r="AM127" s="31">
        <v>785250.46753492055</v>
      </c>
      <c r="AN127" s="31">
        <v>963258.26330092968</v>
      </c>
      <c r="AO127" s="31">
        <f t="shared" si="10"/>
        <v>15371026.548104394</v>
      </c>
      <c r="AP127" s="31">
        <v>375198.52000000008</v>
      </c>
      <c r="AR127" s="42" t="s">
        <v>35</v>
      </c>
      <c r="AS127" s="42" t="s">
        <v>36</v>
      </c>
      <c r="AT127" s="43" t="s">
        <v>1276</v>
      </c>
      <c r="AU127" s="44">
        <v>32</v>
      </c>
      <c r="AV127" s="31">
        <v>11118271.027734714</v>
      </c>
      <c r="AW127" s="31">
        <v>524943.08999999985</v>
      </c>
      <c r="AX127" s="31">
        <v>582700.15</v>
      </c>
      <c r="AY127" s="31">
        <v>38237.4</v>
      </c>
      <c r="AZ127" s="31">
        <v>1249479.2523045565</v>
      </c>
      <c r="BA127" s="31">
        <v>785291.77927577053</v>
      </c>
      <c r="BB127" s="31">
        <v>982737.92666580365</v>
      </c>
      <c r="BC127" s="31">
        <f t="shared" si="11"/>
        <v>15664540.615980845</v>
      </c>
      <c r="BD127" s="31">
        <v>382879.99</v>
      </c>
    </row>
    <row r="128" spans="2:56">
      <c r="B128" s="42" t="s">
        <v>155</v>
      </c>
      <c r="C128" s="42" t="s">
        <v>156</v>
      </c>
      <c r="D128" s="43" t="s">
        <v>1049</v>
      </c>
      <c r="E128" s="44">
        <v>32</v>
      </c>
      <c r="F128" s="31">
        <v>2420807.3367021177</v>
      </c>
      <c r="G128" s="31">
        <v>108843.50999999997</v>
      </c>
      <c r="H128" s="31">
        <v>72887.150000000009</v>
      </c>
      <c r="I128" s="31">
        <v>0</v>
      </c>
      <c r="J128" s="31">
        <v>215892.21302987021</v>
      </c>
      <c r="K128" s="31">
        <v>253814.67859208619</v>
      </c>
      <c r="L128" s="31">
        <v>44319.555746018625</v>
      </c>
      <c r="M128" s="31">
        <f t="shared" si="8"/>
        <v>3165967.9240700924</v>
      </c>
      <c r="N128" s="31">
        <v>49403.479999999996</v>
      </c>
      <c r="P128" s="42" t="s">
        <v>155</v>
      </c>
      <c r="Q128" s="42" t="s">
        <v>156</v>
      </c>
      <c r="R128" s="43" t="s">
        <v>1050</v>
      </c>
      <c r="S128" s="44">
        <v>32</v>
      </c>
      <c r="T128" s="31">
        <v>2532801.3917552368</v>
      </c>
      <c r="U128" s="31">
        <v>114317.00999999998</v>
      </c>
      <c r="V128" s="31">
        <v>75989.659999999989</v>
      </c>
      <c r="W128" s="31">
        <v>0</v>
      </c>
      <c r="X128" s="31">
        <v>224298.15016785695</v>
      </c>
      <c r="Y128" s="31">
        <v>254085.44937644177</v>
      </c>
      <c r="Z128" s="31">
        <v>46523.84960695295</v>
      </c>
      <c r="AA128" s="31">
        <f t="shared" si="9"/>
        <v>3298933.0009064884</v>
      </c>
      <c r="AB128" s="31">
        <v>50917.49</v>
      </c>
      <c r="AD128" s="42" t="s">
        <v>155</v>
      </c>
      <c r="AE128" s="42" t="s">
        <v>156</v>
      </c>
      <c r="AF128" s="43" t="s">
        <v>1275</v>
      </c>
      <c r="AG128" s="44">
        <v>32</v>
      </c>
      <c r="AH128" s="31">
        <v>2582397.511555363</v>
      </c>
      <c r="AI128" s="31">
        <v>116755.29999999999</v>
      </c>
      <c r="AJ128" s="31">
        <v>77579.26999999999</v>
      </c>
      <c r="AK128" s="31">
        <v>0</v>
      </c>
      <c r="AL128" s="31">
        <v>228619.09927147551</v>
      </c>
      <c r="AM128" s="31">
        <v>253993.46064426334</v>
      </c>
      <c r="AN128" s="31">
        <v>47426.215656240995</v>
      </c>
      <c r="AO128" s="31">
        <f t="shared" si="10"/>
        <v>3358585.4271273422</v>
      </c>
      <c r="AP128" s="31">
        <v>51814.57</v>
      </c>
      <c r="AR128" s="42" t="s">
        <v>155</v>
      </c>
      <c r="AS128" s="42" t="s">
        <v>156</v>
      </c>
      <c r="AT128" s="43" t="s">
        <v>1276</v>
      </c>
      <c r="AU128" s="44">
        <v>32</v>
      </c>
      <c r="AV128" s="31">
        <v>2631434.7831118554</v>
      </c>
      <c r="AW128" s="31">
        <v>119084.41999999998</v>
      </c>
      <c r="AX128" s="31">
        <v>79101.010000000009</v>
      </c>
      <c r="AY128" s="31">
        <v>0</v>
      </c>
      <c r="AZ128" s="31">
        <v>233231.66406843383</v>
      </c>
      <c r="BA128" s="31">
        <v>254008.09930304336</v>
      </c>
      <c r="BB128" s="31">
        <v>48420.976808193394</v>
      </c>
      <c r="BC128" s="31">
        <f t="shared" si="11"/>
        <v>3418159.7932915259</v>
      </c>
      <c r="BD128" s="31">
        <v>52878.84</v>
      </c>
    </row>
    <row r="129" spans="2:56">
      <c r="B129" s="42" t="s">
        <v>425</v>
      </c>
      <c r="C129" s="42" t="s">
        <v>426</v>
      </c>
      <c r="D129" s="43" t="s">
        <v>1049</v>
      </c>
      <c r="E129" s="44">
        <v>32</v>
      </c>
      <c r="F129" s="31">
        <v>86362423.432278514</v>
      </c>
      <c r="G129" s="31">
        <v>1703320.37</v>
      </c>
      <c r="H129" s="31">
        <v>1085754.96</v>
      </c>
      <c r="I129" s="31">
        <v>306776.49</v>
      </c>
      <c r="J129" s="31">
        <v>13991170.61229125</v>
      </c>
      <c r="K129" s="31">
        <v>5643176.9677509479</v>
      </c>
      <c r="L129" s="31">
        <v>6237020.8009363022</v>
      </c>
      <c r="M129" s="31">
        <f t="shared" si="8"/>
        <v>115329643.633257</v>
      </c>
      <c r="N129" s="31">
        <v>0</v>
      </c>
      <c r="P129" s="42" t="s">
        <v>425</v>
      </c>
      <c r="Q129" s="42" t="s">
        <v>426</v>
      </c>
      <c r="R129" s="43" t="s">
        <v>1050</v>
      </c>
      <c r="S129" s="44">
        <v>32</v>
      </c>
      <c r="T129" s="31">
        <v>88913855.473391935</v>
      </c>
      <c r="U129" s="31">
        <v>1748320.3199999998</v>
      </c>
      <c r="V129" s="31">
        <v>1114377.1100000001</v>
      </c>
      <c r="W129" s="31">
        <v>314863.93000000005</v>
      </c>
      <c r="X129" s="31">
        <v>14342284.332006557</v>
      </c>
      <c r="Y129" s="31">
        <v>5648463.6742754988</v>
      </c>
      <c r="Z129" s="31">
        <v>6404957.3072609296</v>
      </c>
      <c r="AA129" s="31">
        <f t="shared" si="9"/>
        <v>118487122.14693493</v>
      </c>
      <c r="AB129" s="31">
        <v>0</v>
      </c>
      <c r="AD129" s="42" t="s">
        <v>425</v>
      </c>
      <c r="AE129" s="42" t="s">
        <v>426</v>
      </c>
      <c r="AF129" s="43" t="s">
        <v>1275</v>
      </c>
      <c r="AG129" s="44">
        <v>32</v>
      </c>
      <c r="AH129" s="31">
        <v>90696891.982890561</v>
      </c>
      <c r="AI129" s="31">
        <v>1783913.92</v>
      </c>
      <c r="AJ129" s="31">
        <v>1137182.45</v>
      </c>
      <c r="AK129" s="31">
        <v>321276.43</v>
      </c>
      <c r="AL129" s="31">
        <v>14620974.291571541</v>
      </c>
      <c r="AM129" s="31">
        <v>5646457.1928561758</v>
      </c>
      <c r="AN129" s="31">
        <v>6533465.8618493937</v>
      </c>
      <c r="AO129" s="31">
        <f t="shared" si="10"/>
        <v>120740162.12916769</v>
      </c>
      <c r="AP129" s="31">
        <v>0</v>
      </c>
      <c r="AR129" s="42" t="s">
        <v>425</v>
      </c>
      <c r="AS129" s="42" t="s">
        <v>426</v>
      </c>
      <c r="AT129" s="43" t="s">
        <v>1276</v>
      </c>
      <c r="AU129" s="44">
        <v>32</v>
      </c>
      <c r="AV129" s="31">
        <v>92548078.614027351</v>
      </c>
      <c r="AW129" s="31">
        <v>1820291.4</v>
      </c>
      <c r="AX129" s="31">
        <v>1160301.99</v>
      </c>
      <c r="AY129" s="31">
        <v>327866.48999999993</v>
      </c>
      <c r="AZ129" s="31">
        <v>14919888.032634033</v>
      </c>
      <c r="BA129" s="31">
        <v>5646766.0051293969</v>
      </c>
      <c r="BB129" s="31">
        <v>6667129.7687550653</v>
      </c>
      <c r="BC129" s="31">
        <f t="shared" si="11"/>
        <v>123090322.30054584</v>
      </c>
      <c r="BD129" s="31">
        <v>0</v>
      </c>
    </row>
    <row r="130" spans="2:56">
      <c r="B130" s="42" t="s">
        <v>215</v>
      </c>
      <c r="C130" s="42" t="s">
        <v>216</v>
      </c>
      <c r="D130" s="43" t="s">
        <v>1049</v>
      </c>
      <c r="E130" s="44">
        <v>32</v>
      </c>
      <c r="F130" s="31">
        <v>278245844.28020018</v>
      </c>
      <c r="G130" s="31">
        <v>2410621.0099999998</v>
      </c>
      <c r="H130" s="31">
        <v>6599283.9200000009</v>
      </c>
      <c r="I130" s="31">
        <v>993923.83000000007</v>
      </c>
      <c r="J130" s="31">
        <v>29682763.197865915</v>
      </c>
      <c r="K130" s="31">
        <v>11230038.524321584</v>
      </c>
      <c r="L130" s="31">
        <v>23032619.324891828</v>
      </c>
      <c r="M130" s="31">
        <f t="shared" si="8"/>
        <v>352195094.08727944</v>
      </c>
      <c r="N130" s="31">
        <v>0</v>
      </c>
      <c r="P130" s="42" t="s">
        <v>215</v>
      </c>
      <c r="Q130" s="42" t="s">
        <v>216</v>
      </c>
      <c r="R130" s="43" t="s">
        <v>1050</v>
      </c>
      <c r="S130" s="44">
        <v>32</v>
      </c>
      <c r="T130" s="31">
        <v>290059862.04645771</v>
      </c>
      <c r="U130" s="31">
        <v>2511885.84</v>
      </c>
      <c r="V130" s="31">
        <v>6876890.4800000004</v>
      </c>
      <c r="W130" s="31">
        <v>1035690.38</v>
      </c>
      <c r="X130" s="31">
        <v>30817800.88594006</v>
      </c>
      <c r="Y130" s="31">
        <v>11236732.569180302</v>
      </c>
      <c r="Z130" s="31">
        <v>23950106.31481031</v>
      </c>
      <c r="AA130" s="31">
        <f t="shared" si="9"/>
        <v>366488968.51638842</v>
      </c>
      <c r="AB130" s="31">
        <v>0</v>
      </c>
      <c r="AD130" s="42" t="s">
        <v>215</v>
      </c>
      <c r="AE130" s="42" t="s">
        <v>216</v>
      </c>
      <c r="AF130" s="43" t="s">
        <v>1275</v>
      </c>
      <c r="AG130" s="44">
        <v>32</v>
      </c>
      <c r="AH130" s="31">
        <v>295874772.62520868</v>
      </c>
      <c r="AI130" s="31">
        <v>2563048.0700000003</v>
      </c>
      <c r="AJ130" s="31">
        <v>7016863.4500000002</v>
      </c>
      <c r="AK130" s="31">
        <v>1056833.5099999998</v>
      </c>
      <c r="AL130" s="31">
        <v>31416597.890492588</v>
      </c>
      <c r="AM130" s="31">
        <v>11234202.721465744</v>
      </c>
      <c r="AN130" s="31">
        <v>24431275.529803377</v>
      </c>
      <c r="AO130" s="31">
        <f t="shared" si="10"/>
        <v>373593593.79697043</v>
      </c>
      <c r="AP130" s="31">
        <v>0</v>
      </c>
      <c r="AR130" s="42" t="s">
        <v>215</v>
      </c>
      <c r="AS130" s="42" t="s">
        <v>216</v>
      </c>
      <c r="AT130" s="43" t="s">
        <v>1276</v>
      </c>
      <c r="AU130" s="44">
        <v>32</v>
      </c>
      <c r="AV130" s="31">
        <v>301914683.3150605</v>
      </c>
      <c r="AW130" s="31">
        <v>2615270.34</v>
      </c>
      <c r="AX130" s="31">
        <v>7159918.1900000004</v>
      </c>
      <c r="AY130" s="31">
        <v>1078335.3700000001</v>
      </c>
      <c r="AZ130" s="31">
        <v>32058909.982329898</v>
      </c>
      <c r="BA130" s="31">
        <v>11234592.08366771</v>
      </c>
      <c r="BB130" s="31">
        <v>24931669.832143761</v>
      </c>
      <c r="BC130" s="31">
        <f t="shared" si="11"/>
        <v>380993379.11320186</v>
      </c>
      <c r="BD130" s="31">
        <v>0</v>
      </c>
    </row>
    <row r="131" spans="2:56">
      <c r="B131" s="42" t="s">
        <v>441</v>
      </c>
      <c r="C131" s="42" t="s">
        <v>442</v>
      </c>
      <c r="D131" s="43" t="s">
        <v>1049</v>
      </c>
      <c r="E131" s="44">
        <v>32</v>
      </c>
      <c r="F131" s="31">
        <v>23251330.655971952</v>
      </c>
      <c r="G131" s="31">
        <v>778403.53999999992</v>
      </c>
      <c r="H131" s="31">
        <v>365960.85000000003</v>
      </c>
      <c r="I131" s="31">
        <v>81398.76999999999</v>
      </c>
      <c r="J131" s="31">
        <v>3696900.4842654062</v>
      </c>
      <c r="K131" s="31">
        <v>1849661.5236069988</v>
      </c>
      <c r="L131" s="31">
        <v>1204492.7286306112</v>
      </c>
      <c r="M131" s="31">
        <f t="shared" si="8"/>
        <v>31228148.552474968</v>
      </c>
      <c r="N131" s="31">
        <v>0</v>
      </c>
      <c r="P131" s="42" t="s">
        <v>441</v>
      </c>
      <c r="Q131" s="42" t="s">
        <v>442</v>
      </c>
      <c r="R131" s="43" t="s">
        <v>1050</v>
      </c>
      <c r="S131" s="44">
        <v>32</v>
      </c>
      <c r="T131" s="31">
        <v>24091691.894524693</v>
      </c>
      <c r="U131" s="31">
        <v>804984.08999999985</v>
      </c>
      <c r="V131" s="31">
        <v>378459.26999999996</v>
      </c>
      <c r="W131" s="31">
        <v>84114.780000000013</v>
      </c>
      <c r="X131" s="31">
        <v>3813820.8211840428</v>
      </c>
      <c r="Y131" s="31">
        <v>1851438.4733945916</v>
      </c>
      <c r="Z131" s="31">
        <v>1244207.7453874582</v>
      </c>
      <c r="AA131" s="31">
        <f t="shared" si="9"/>
        <v>32268717.074490786</v>
      </c>
      <c r="AB131" s="31">
        <v>0</v>
      </c>
      <c r="AD131" s="42" t="s">
        <v>441</v>
      </c>
      <c r="AE131" s="42" t="s">
        <v>442</v>
      </c>
      <c r="AF131" s="43" t="s">
        <v>1275</v>
      </c>
      <c r="AG131" s="44">
        <v>32</v>
      </c>
      <c r="AH131" s="31">
        <v>24573981.495612729</v>
      </c>
      <c r="AI131" s="31">
        <v>821345.85</v>
      </c>
      <c r="AJ131" s="31">
        <v>386110.71999999997</v>
      </c>
      <c r="AK131" s="31">
        <v>85880.17</v>
      </c>
      <c r="AL131" s="31">
        <v>3887854.6392932069</v>
      </c>
      <c r="AM131" s="31">
        <v>1850776.2234908736</v>
      </c>
      <c r="AN131" s="31">
        <v>1269230.2709940143</v>
      </c>
      <c r="AO131" s="31">
        <f t="shared" si="10"/>
        <v>32875179.369390827</v>
      </c>
      <c r="AP131" s="31">
        <v>0</v>
      </c>
      <c r="AR131" s="42" t="s">
        <v>441</v>
      </c>
      <c r="AS131" s="42" t="s">
        <v>442</v>
      </c>
      <c r="AT131" s="43" t="s">
        <v>1276</v>
      </c>
      <c r="AU131" s="44">
        <v>32</v>
      </c>
      <c r="AV131" s="31">
        <v>25074827.695533194</v>
      </c>
      <c r="AW131" s="31">
        <v>838021.69</v>
      </c>
      <c r="AX131" s="31">
        <v>393992.62000000005</v>
      </c>
      <c r="AY131" s="31">
        <v>87593.55</v>
      </c>
      <c r="AZ131" s="31">
        <v>3967179.8696021256</v>
      </c>
      <c r="BA131" s="31">
        <v>1850878.6500925634</v>
      </c>
      <c r="BB131" s="31">
        <v>1295412.5603517108</v>
      </c>
      <c r="BC131" s="31">
        <f t="shared" si="11"/>
        <v>33507906.635579597</v>
      </c>
      <c r="BD131" s="31">
        <v>0</v>
      </c>
    </row>
    <row r="132" spans="2:56">
      <c r="B132" s="42" t="s">
        <v>557</v>
      </c>
      <c r="C132" s="42" t="s">
        <v>558</v>
      </c>
      <c r="D132" s="43" t="s">
        <v>1049</v>
      </c>
      <c r="E132" s="44">
        <v>32</v>
      </c>
      <c r="F132" s="31">
        <v>585037.08234274713</v>
      </c>
      <c r="G132" s="31">
        <v>16857.580000000002</v>
      </c>
      <c r="H132" s="31">
        <v>0</v>
      </c>
      <c r="I132" s="31">
        <v>1071.8800000000001</v>
      </c>
      <c r="J132" s="31">
        <v>38850.418631978362</v>
      </c>
      <c r="K132" s="31">
        <v>88386.028222811568</v>
      </c>
      <c r="L132" s="31">
        <v>0</v>
      </c>
      <c r="M132" s="31">
        <f t="shared" si="8"/>
        <v>740824.25919753697</v>
      </c>
      <c r="N132" s="31">
        <v>10621.269999999999</v>
      </c>
      <c r="P132" s="42" t="s">
        <v>557</v>
      </c>
      <c r="Q132" s="42" t="s">
        <v>558</v>
      </c>
      <c r="R132" s="43" t="s">
        <v>1050</v>
      </c>
      <c r="S132" s="44">
        <v>32</v>
      </c>
      <c r="T132" s="31">
        <v>611423.23658737412</v>
      </c>
      <c r="U132" s="31">
        <v>17651.700000000004</v>
      </c>
      <c r="V132" s="31">
        <v>0</v>
      </c>
      <c r="W132" s="31">
        <v>1113.04</v>
      </c>
      <c r="X132" s="31">
        <v>40179.666535418932</v>
      </c>
      <c r="Y132" s="31">
        <v>88425.887277866277</v>
      </c>
      <c r="Z132" s="31">
        <v>0</v>
      </c>
      <c r="AA132" s="31">
        <f t="shared" si="9"/>
        <v>769675.9004006593</v>
      </c>
      <c r="AB132" s="31">
        <v>10882.37</v>
      </c>
      <c r="AD132" s="42" t="s">
        <v>557</v>
      </c>
      <c r="AE132" s="42" t="s">
        <v>558</v>
      </c>
      <c r="AF132" s="43" t="s">
        <v>1275</v>
      </c>
      <c r="AG132" s="44">
        <v>32</v>
      </c>
      <c r="AH132" s="31">
        <v>623121.05346997897</v>
      </c>
      <c r="AI132" s="31">
        <v>18018.110000000004</v>
      </c>
      <c r="AJ132" s="31">
        <v>0</v>
      </c>
      <c r="AK132" s="31">
        <v>1134.8100000000002</v>
      </c>
      <c r="AL132" s="31">
        <v>40923.884998603549</v>
      </c>
      <c r="AM132" s="31">
        <v>88412.345994418589</v>
      </c>
      <c r="AN132" s="31">
        <v>0</v>
      </c>
      <c r="AO132" s="31">
        <f t="shared" si="10"/>
        <v>782684.31446300121</v>
      </c>
      <c r="AP132" s="31">
        <v>11074.11</v>
      </c>
      <c r="AR132" s="42" t="s">
        <v>557</v>
      </c>
      <c r="AS132" s="42" t="s">
        <v>558</v>
      </c>
      <c r="AT132" s="43" t="s">
        <v>1276</v>
      </c>
      <c r="AU132" s="44">
        <v>32</v>
      </c>
      <c r="AV132" s="31">
        <v>634469.62954368861</v>
      </c>
      <c r="AW132" s="31">
        <v>18344.030000000006</v>
      </c>
      <c r="AX132" s="31">
        <v>0</v>
      </c>
      <c r="AY132" s="31">
        <v>1155.54</v>
      </c>
      <c r="AZ132" s="31">
        <v>41677.467906926649</v>
      </c>
      <c r="BA132" s="31">
        <v>88414.500891253672</v>
      </c>
      <c r="BB132" s="31">
        <v>0</v>
      </c>
      <c r="BC132" s="31">
        <f t="shared" si="11"/>
        <v>795340.60834186897</v>
      </c>
      <c r="BD132" s="31">
        <v>11279.439999999999</v>
      </c>
    </row>
    <row r="133" spans="2:56">
      <c r="B133" s="42" t="s">
        <v>471</v>
      </c>
      <c r="C133" s="42" t="s">
        <v>472</v>
      </c>
      <c r="D133" s="43" t="s">
        <v>1049</v>
      </c>
      <c r="E133" s="44">
        <v>32</v>
      </c>
      <c r="F133" s="31">
        <v>5137381.7872200273</v>
      </c>
      <c r="G133" s="31">
        <v>114690.1</v>
      </c>
      <c r="H133" s="31">
        <v>1753.96</v>
      </c>
      <c r="I133" s="31">
        <v>0</v>
      </c>
      <c r="J133" s="31">
        <v>593854.47848630731</v>
      </c>
      <c r="K133" s="31">
        <v>562926.75487062999</v>
      </c>
      <c r="L133" s="31">
        <v>267126.35579938983</v>
      </c>
      <c r="M133" s="31">
        <f t="shared" ref="M133:M196" si="12">SUM(F133:L133,N133)</f>
        <v>6677733.4363763537</v>
      </c>
      <c r="N133" s="31">
        <v>0</v>
      </c>
      <c r="P133" s="42" t="s">
        <v>471</v>
      </c>
      <c r="Q133" s="42" t="s">
        <v>472</v>
      </c>
      <c r="R133" s="43" t="s">
        <v>1050</v>
      </c>
      <c r="S133" s="44">
        <v>32</v>
      </c>
      <c r="T133" s="31">
        <v>5355436.6411306625</v>
      </c>
      <c r="U133" s="31">
        <v>119701.42999999998</v>
      </c>
      <c r="V133" s="31">
        <v>1821.32</v>
      </c>
      <c r="W133" s="31">
        <v>0</v>
      </c>
      <c r="X133" s="31">
        <v>616968.12674891285</v>
      </c>
      <c r="Y133" s="31">
        <v>563501.56226290565</v>
      </c>
      <c r="Z133" s="31">
        <v>277957.35311877989</v>
      </c>
      <c r="AA133" s="31">
        <f t="shared" ref="AA133:AA196" si="13">SUM(T133:Z133,AB133)</f>
        <v>6935386.4332612613</v>
      </c>
      <c r="AB133" s="31">
        <v>0</v>
      </c>
      <c r="AD133" s="42" t="s">
        <v>471</v>
      </c>
      <c r="AE133" s="42" t="s">
        <v>472</v>
      </c>
      <c r="AF133" s="43" t="s">
        <v>1275</v>
      </c>
      <c r="AG133" s="44">
        <v>32</v>
      </c>
      <c r="AH133" s="31">
        <v>5461485.7493645186</v>
      </c>
      <c r="AI133" s="31">
        <v>122146.1</v>
      </c>
      <c r="AJ133" s="31">
        <v>1856.9399999999998</v>
      </c>
      <c r="AK133" s="31">
        <v>0</v>
      </c>
      <c r="AL133" s="31">
        <v>628867.14648060361</v>
      </c>
      <c r="AM133" s="31">
        <v>563306.28342812276</v>
      </c>
      <c r="AN133" s="31">
        <v>283451.89572289184</v>
      </c>
      <c r="AO133" s="31">
        <f t="shared" ref="AO133:AO196" si="14">SUM(AH133:AN133,AP133)</f>
        <v>7061114.1149961371</v>
      </c>
      <c r="AP133" s="31">
        <v>0</v>
      </c>
      <c r="AR133" s="42" t="s">
        <v>471</v>
      </c>
      <c r="AS133" s="42" t="s">
        <v>472</v>
      </c>
      <c r="AT133" s="43" t="s">
        <v>1276</v>
      </c>
      <c r="AU133" s="44">
        <v>32</v>
      </c>
      <c r="AV133" s="31">
        <v>5568917.6715559941</v>
      </c>
      <c r="AW133" s="31">
        <v>124586.69</v>
      </c>
      <c r="AX133" s="31">
        <v>1890.8499999999997</v>
      </c>
      <c r="AY133" s="31">
        <v>0</v>
      </c>
      <c r="AZ133" s="31">
        <v>641555.71545120736</v>
      </c>
      <c r="BA133" s="31">
        <v>563337.35919318278</v>
      </c>
      <c r="BB133" s="31">
        <v>289164.93986069842</v>
      </c>
      <c r="BC133" s="31">
        <f t="shared" ref="BC133:BC196" si="15">SUM(AV133:BB133,BD133)</f>
        <v>7189453.2260610824</v>
      </c>
      <c r="BD133" s="31">
        <v>0</v>
      </c>
    </row>
    <row r="134" spans="2:56">
      <c r="B134" s="42" t="s">
        <v>9</v>
      </c>
      <c r="C134" s="42" t="s">
        <v>10</v>
      </c>
      <c r="D134" s="43" t="s">
        <v>1049</v>
      </c>
      <c r="E134" s="44">
        <v>32</v>
      </c>
      <c r="F134" s="31">
        <v>2407576.8893441912</v>
      </c>
      <c r="G134" s="31">
        <v>82728.86</v>
      </c>
      <c r="H134" s="31">
        <v>44823.66</v>
      </c>
      <c r="I134" s="31">
        <v>0</v>
      </c>
      <c r="J134" s="31">
        <v>191074.63870119199</v>
      </c>
      <c r="K134" s="31">
        <v>904332.05379206431</v>
      </c>
      <c r="L134" s="31">
        <v>157889.50691708349</v>
      </c>
      <c r="M134" s="31">
        <f t="shared" si="12"/>
        <v>3841337.0287545314</v>
      </c>
      <c r="N134" s="31">
        <v>52911.42</v>
      </c>
      <c r="P134" s="42" t="s">
        <v>9</v>
      </c>
      <c r="Q134" s="42" t="s">
        <v>10</v>
      </c>
      <c r="R134" s="43" t="s">
        <v>1050</v>
      </c>
      <c r="S134" s="44">
        <v>32</v>
      </c>
      <c r="T134" s="31">
        <v>2520352.2532943124</v>
      </c>
      <c r="U134" s="31">
        <v>87145.49</v>
      </c>
      <c r="V134" s="31">
        <v>46747.299999999996</v>
      </c>
      <c r="W134" s="31">
        <v>0</v>
      </c>
      <c r="X134" s="31">
        <v>198516.84738101804</v>
      </c>
      <c r="Y134" s="31">
        <v>905135.29379710893</v>
      </c>
      <c r="Z134" s="31">
        <v>165739.5836013307</v>
      </c>
      <c r="AA134" s="31">
        <f t="shared" si="13"/>
        <v>3978048.5980737703</v>
      </c>
      <c r="AB134" s="31">
        <v>54411.83</v>
      </c>
      <c r="AD134" s="42" t="s">
        <v>9</v>
      </c>
      <c r="AE134" s="42" t="s">
        <v>10</v>
      </c>
      <c r="AF134" s="43" t="s">
        <v>1275</v>
      </c>
      <c r="AG134" s="44">
        <v>32</v>
      </c>
      <c r="AH134" s="31">
        <v>2569673.6156587955</v>
      </c>
      <c r="AI134" s="31">
        <v>88957.420000000013</v>
      </c>
      <c r="AJ134" s="31">
        <v>47764.9</v>
      </c>
      <c r="AK134" s="31">
        <v>0</v>
      </c>
      <c r="AL134" s="31">
        <v>202359.89181952266</v>
      </c>
      <c r="AM134" s="31">
        <v>904862.40974178188</v>
      </c>
      <c r="AN134" s="31">
        <v>169161.61395316746</v>
      </c>
      <c r="AO134" s="31">
        <f t="shared" si="14"/>
        <v>4038251.9311732678</v>
      </c>
      <c r="AP134" s="31">
        <v>55472.079999999994</v>
      </c>
      <c r="AR134" s="42" t="s">
        <v>9</v>
      </c>
      <c r="AS134" s="42" t="s">
        <v>10</v>
      </c>
      <c r="AT134" s="43" t="s">
        <v>1276</v>
      </c>
      <c r="AU134" s="44">
        <v>32</v>
      </c>
      <c r="AV134" s="31">
        <v>2618944.3410184411</v>
      </c>
      <c r="AW134" s="31">
        <v>90777.91</v>
      </c>
      <c r="AX134" s="31">
        <v>48637.139999999992</v>
      </c>
      <c r="AY134" s="31">
        <v>0</v>
      </c>
      <c r="AZ134" s="31">
        <v>206428.4256142168</v>
      </c>
      <c r="BA134" s="31">
        <v>904905.83524051239</v>
      </c>
      <c r="BB134" s="31">
        <v>172438.06947692845</v>
      </c>
      <c r="BC134" s="31">
        <f t="shared" si="15"/>
        <v>4098735.8813500991</v>
      </c>
      <c r="BD134" s="31">
        <v>56604.160000000003</v>
      </c>
    </row>
    <row r="135" spans="2:56">
      <c r="B135" s="42" t="s">
        <v>77</v>
      </c>
      <c r="C135" s="42" t="s">
        <v>78</v>
      </c>
      <c r="D135" s="43" t="s">
        <v>1049</v>
      </c>
      <c r="E135" s="44">
        <v>32</v>
      </c>
      <c r="F135" s="31">
        <v>50107219.566256091</v>
      </c>
      <c r="G135" s="31">
        <v>2426908.6699999995</v>
      </c>
      <c r="H135" s="31">
        <v>659394.94999999995</v>
      </c>
      <c r="I135" s="31">
        <v>173058.30000000002</v>
      </c>
      <c r="J135" s="31">
        <v>8283157.7234295616</v>
      </c>
      <c r="K135" s="31">
        <v>2690098.7541928706</v>
      </c>
      <c r="L135" s="31">
        <v>3752747.4812527262</v>
      </c>
      <c r="M135" s="31">
        <f t="shared" si="12"/>
        <v>69389450.745131254</v>
      </c>
      <c r="N135" s="31">
        <v>1296865.2999999998</v>
      </c>
      <c r="P135" s="42" t="s">
        <v>77</v>
      </c>
      <c r="Q135" s="42" t="s">
        <v>78</v>
      </c>
      <c r="R135" s="43" t="s">
        <v>1050</v>
      </c>
      <c r="S135" s="44">
        <v>32</v>
      </c>
      <c r="T135" s="31">
        <v>52831908.365078755</v>
      </c>
      <c r="U135" s="31">
        <v>2550455.6800000002</v>
      </c>
      <c r="V135" s="31">
        <v>688055.48999999987</v>
      </c>
      <c r="W135" s="31">
        <v>180614.56</v>
      </c>
      <c r="X135" s="31">
        <v>8605705.0624755155</v>
      </c>
      <c r="Y135" s="31">
        <v>2692999.3607826829</v>
      </c>
      <c r="Z135" s="31">
        <v>3943664.5534379915</v>
      </c>
      <c r="AA135" s="31">
        <f t="shared" si="13"/>
        <v>72828639.551774949</v>
      </c>
      <c r="AB135" s="31">
        <v>1335236.48</v>
      </c>
      <c r="AD135" s="42" t="s">
        <v>77</v>
      </c>
      <c r="AE135" s="42" t="s">
        <v>78</v>
      </c>
      <c r="AF135" s="43" t="s">
        <v>1275</v>
      </c>
      <c r="AG135" s="44">
        <v>32</v>
      </c>
      <c r="AH135" s="31">
        <v>53887410.721766122</v>
      </c>
      <c r="AI135" s="31">
        <v>2604915.96</v>
      </c>
      <c r="AJ135" s="31">
        <v>702030.55999999994</v>
      </c>
      <c r="AK135" s="31">
        <v>184250.77999999997</v>
      </c>
      <c r="AL135" s="31">
        <v>8771642.9116692785</v>
      </c>
      <c r="AM135" s="31">
        <v>2692013.9401311148</v>
      </c>
      <c r="AN135" s="31">
        <v>4022605.8278930178</v>
      </c>
      <c r="AO135" s="31">
        <f t="shared" si="14"/>
        <v>74224647.771459535</v>
      </c>
      <c r="AP135" s="31">
        <v>1359777.07</v>
      </c>
      <c r="AR135" s="42" t="s">
        <v>77</v>
      </c>
      <c r="AS135" s="42" t="s">
        <v>78</v>
      </c>
      <c r="AT135" s="43" t="s">
        <v>1276</v>
      </c>
      <c r="AU135" s="44">
        <v>32</v>
      </c>
      <c r="AV135" s="31">
        <v>54972632.237924322</v>
      </c>
      <c r="AW135" s="31">
        <v>2656654.3000000007</v>
      </c>
      <c r="AX135" s="31">
        <v>716110.85</v>
      </c>
      <c r="AY135" s="31">
        <v>187930.52000000005</v>
      </c>
      <c r="AZ135" s="31">
        <v>8948539.5578487199</v>
      </c>
      <c r="BA135" s="31">
        <v>2692170.7553880648</v>
      </c>
      <c r="BB135" s="31">
        <v>4103690.5937114274</v>
      </c>
      <c r="BC135" s="31">
        <f t="shared" si="15"/>
        <v>75665099.664872527</v>
      </c>
      <c r="BD135" s="31">
        <v>1387370.8499999999</v>
      </c>
    </row>
    <row r="136" spans="2:56">
      <c r="B136" s="42" t="s">
        <v>493</v>
      </c>
      <c r="C136" s="42" t="s">
        <v>494</v>
      </c>
      <c r="D136" s="43" t="s">
        <v>1049</v>
      </c>
      <c r="E136" s="44">
        <v>32</v>
      </c>
      <c r="F136" s="31">
        <v>2062029.2382777671</v>
      </c>
      <c r="G136" s="31">
        <v>80877.460000000006</v>
      </c>
      <c r="H136" s="31">
        <v>0</v>
      </c>
      <c r="I136" s="31">
        <v>0</v>
      </c>
      <c r="J136" s="31">
        <v>170554.54292502906</v>
      </c>
      <c r="K136" s="31">
        <v>0</v>
      </c>
      <c r="L136" s="31">
        <v>0</v>
      </c>
      <c r="M136" s="31">
        <f t="shared" si="12"/>
        <v>2343765.9412027965</v>
      </c>
      <c r="N136" s="31">
        <v>30304.7</v>
      </c>
      <c r="P136" s="42" t="s">
        <v>493</v>
      </c>
      <c r="Q136" s="42" t="s">
        <v>494</v>
      </c>
      <c r="R136" s="43" t="s">
        <v>1050</v>
      </c>
      <c r="S136" s="44">
        <v>32</v>
      </c>
      <c r="T136" s="31">
        <v>2164145.4593079579</v>
      </c>
      <c r="U136" s="31">
        <v>84808.040000000008</v>
      </c>
      <c r="V136" s="31">
        <v>0</v>
      </c>
      <c r="W136" s="31">
        <v>0</v>
      </c>
      <c r="X136" s="31">
        <v>177198.06394432648</v>
      </c>
      <c r="Y136" s="31">
        <v>0</v>
      </c>
      <c r="Z136" s="31">
        <v>0</v>
      </c>
      <c r="AA136" s="31">
        <f t="shared" si="13"/>
        <v>2457301.1032522842</v>
      </c>
      <c r="AB136" s="31">
        <v>31149.54</v>
      </c>
      <c r="AD136" s="42" t="s">
        <v>493</v>
      </c>
      <c r="AE136" s="42" t="s">
        <v>494</v>
      </c>
      <c r="AF136" s="43" t="s">
        <v>1275</v>
      </c>
      <c r="AG136" s="44">
        <v>32</v>
      </c>
      <c r="AH136" s="31">
        <v>2206475.3171352963</v>
      </c>
      <c r="AI136" s="31">
        <v>86632.28</v>
      </c>
      <c r="AJ136" s="31">
        <v>0</v>
      </c>
      <c r="AK136" s="31">
        <v>0</v>
      </c>
      <c r="AL136" s="31">
        <v>180611.79649357882</v>
      </c>
      <c r="AM136" s="31">
        <v>0</v>
      </c>
      <c r="AN136" s="31">
        <v>0</v>
      </c>
      <c r="AO136" s="31">
        <f t="shared" si="14"/>
        <v>2505519.3136288747</v>
      </c>
      <c r="AP136" s="31">
        <v>31799.920000000006</v>
      </c>
      <c r="AR136" s="42" t="s">
        <v>493</v>
      </c>
      <c r="AS136" s="42" t="s">
        <v>494</v>
      </c>
      <c r="AT136" s="43" t="s">
        <v>1276</v>
      </c>
      <c r="AU136" s="44">
        <v>32</v>
      </c>
      <c r="AV136" s="31">
        <v>2250849.0261258953</v>
      </c>
      <c r="AW136" s="31">
        <v>88415.37999999999</v>
      </c>
      <c r="AX136" s="31">
        <v>0</v>
      </c>
      <c r="AY136" s="31">
        <v>0</v>
      </c>
      <c r="AZ136" s="31">
        <v>184253.39079560759</v>
      </c>
      <c r="BA136" s="31">
        <v>0</v>
      </c>
      <c r="BB136" s="31">
        <v>0</v>
      </c>
      <c r="BC136" s="31">
        <f t="shared" si="15"/>
        <v>2555907.3769215029</v>
      </c>
      <c r="BD136" s="31">
        <v>32389.58</v>
      </c>
    </row>
    <row r="137" spans="2:56">
      <c r="B137" s="42" t="s">
        <v>397</v>
      </c>
      <c r="C137" s="42" t="s">
        <v>398</v>
      </c>
      <c r="D137" s="43" t="s">
        <v>1049</v>
      </c>
      <c r="E137" s="44">
        <v>32</v>
      </c>
      <c r="F137" s="31">
        <v>3299511.805334257</v>
      </c>
      <c r="G137" s="31">
        <v>73277.53</v>
      </c>
      <c r="H137" s="31">
        <v>26940.260000000002</v>
      </c>
      <c r="I137" s="31">
        <v>7543.27</v>
      </c>
      <c r="J137" s="31">
        <v>308920.87603469315</v>
      </c>
      <c r="K137" s="31">
        <v>166858.17143649526</v>
      </c>
      <c r="L137" s="31">
        <v>127983.71681888557</v>
      </c>
      <c r="M137" s="31">
        <f t="shared" si="12"/>
        <v>4011035.6296243304</v>
      </c>
      <c r="N137" s="31">
        <v>0</v>
      </c>
      <c r="P137" s="42" t="s">
        <v>397</v>
      </c>
      <c r="Q137" s="42" t="s">
        <v>398</v>
      </c>
      <c r="R137" s="43" t="s">
        <v>1050</v>
      </c>
      <c r="S137" s="44">
        <v>32</v>
      </c>
      <c r="T137" s="31">
        <v>3430087.3847638573</v>
      </c>
      <c r="U137" s="31">
        <v>76464.649999999994</v>
      </c>
      <c r="V137" s="31">
        <v>28171.179999999997</v>
      </c>
      <c r="W137" s="31">
        <v>7825.33</v>
      </c>
      <c r="X137" s="31">
        <v>320820.03724967455</v>
      </c>
      <c r="Y137" s="31">
        <v>167011.01579557944</v>
      </c>
      <c r="Z137" s="31">
        <v>133238.37690904966</v>
      </c>
      <c r="AA137" s="31">
        <f t="shared" si="13"/>
        <v>4163617.9747181614</v>
      </c>
      <c r="AB137" s="31">
        <v>0</v>
      </c>
      <c r="AD137" s="42" t="s">
        <v>397</v>
      </c>
      <c r="AE137" s="42" t="s">
        <v>398</v>
      </c>
      <c r="AF137" s="43" t="s">
        <v>1275</v>
      </c>
      <c r="AG137" s="44">
        <v>32</v>
      </c>
      <c r="AH137" s="31">
        <v>3497543.690351076</v>
      </c>
      <c r="AI137" s="31">
        <v>77962.87</v>
      </c>
      <c r="AJ137" s="31">
        <v>28723.159999999996</v>
      </c>
      <c r="AK137" s="31">
        <v>7978.66</v>
      </c>
      <c r="AL137" s="31">
        <v>327028.33639937826</v>
      </c>
      <c r="AM137" s="31">
        <v>166955.12143773836</v>
      </c>
      <c r="AN137" s="31">
        <v>135941.50548644183</v>
      </c>
      <c r="AO137" s="31">
        <f t="shared" si="14"/>
        <v>4242133.3436746346</v>
      </c>
      <c r="AP137" s="31">
        <v>0</v>
      </c>
      <c r="AR137" s="42" t="s">
        <v>397</v>
      </c>
      <c r="AS137" s="42" t="s">
        <v>398</v>
      </c>
      <c r="AT137" s="43" t="s">
        <v>1276</v>
      </c>
      <c r="AU137" s="44">
        <v>32</v>
      </c>
      <c r="AV137" s="31">
        <v>3565683.0108446903</v>
      </c>
      <c r="AW137" s="31">
        <v>79522.149999999994</v>
      </c>
      <c r="AX137" s="31">
        <v>29370.969999999998</v>
      </c>
      <c r="AY137" s="31">
        <v>8126.36</v>
      </c>
      <c r="AZ137" s="31">
        <v>333688.41330614372</v>
      </c>
      <c r="BA137" s="31">
        <v>166963.81091569836</v>
      </c>
      <c r="BB137" s="31">
        <v>138629.05799567269</v>
      </c>
      <c r="BC137" s="31">
        <f t="shared" si="15"/>
        <v>4321983.7730622049</v>
      </c>
      <c r="BD137" s="31">
        <v>0</v>
      </c>
    </row>
    <row r="138" spans="2:56">
      <c r="B138" s="42" t="s">
        <v>1232</v>
      </c>
      <c r="C138" s="42" t="s">
        <v>1233</v>
      </c>
      <c r="D138" s="43" t="s">
        <v>1049</v>
      </c>
      <c r="E138" s="44">
        <v>32</v>
      </c>
      <c r="F138" s="31">
        <v>1391293.4449826088</v>
      </c>
      <c r="G138" s="31">
        <v>19470.25</v>
      </c>
      <c r="H138" s="31">
        <v>0</v>
      </c>
      <c r="I138" s="31">
        <v>0</v>
      </c>
      <c r="J138" s="31">
        <v>39886.637169416528</v>
      </c>
      <c r="K138" s="31">
        <v>11305.43</v>
      </c>
      <c r="L138" s="31">
        <v>0</v>
      </c>
      <c r="M138" s="31">
        <f t="shared" si="12"/>
        <v>1473456.3421520253</v>
      </c>
      <c r="N138" s="31">
        <v>11500.58</v>
      </c>
      <c r="P138" s="42" t="s">
        <v>1232</v>
      </c>
      <c r="Q138" s="42" t="s">
        <v>1233</v>
      </c>
      <c r="R138" s="43" t="s">
        <v>1050</v>
      </c>
      <c r="S138" s="44">
        <v>32</v>
      </c>
      <c r="T138" s="31">
        <v>1430925.254850969</v>
      </c>
      <c r="U138" s="31">
        <v>20193.86</v>
      </c>
      <c r="V138" s="31">
        <v>0</v>
      </c>
      <c r="W138" s="31">
        <v>0</v>
      </c>
      <c r="X138" s="31">
        <v>40955.409941323756</v>
      </c>
      <c r="Y138" s="31">
        <v>11305.43</v>
      </c>
      <c r="Z138" s="31">
        <v>0</v>
      </c>
      <c r="AA138" s="31">
        <f t="shared" si="13"/>
        <v>1515063.7847922929</v>
      </c>
      <c r="AB138" s="31">
        <v>11683.83</v>
      </c>
      <c r="AD138" s="42" t="s">
        <v>1232</v>
      </c>
      <c r="AE138" s="42" t="s">
        <v>1233</v>
      </c>
      <c r="AF138" s="43" t="s">
        <v>1275</v>
      </c>
      <c r="AG138" s="44">
        <v>32</v>
      </c>
      <c r="AH138" s="31">
        <v>1458245.4700547981</v>
      </c>
      <c r="AI138" s="31">
        <v>20611.169999999998</v>
      </c>
      <c r="AJ138" s="31">
        <v>0</v>
      </c>
      <c r="AK138" s="31">
        <v>0</v>
      </c>
      <c r="AL138" s="31">
        <v>41716.310465118542</v>
      </c>
      <c r="AM138" s="31">
        <v>11305.43</v>
      </c>
      <c r="AN138" s="31">
        <v>0</v>
      </c>
      <c r="AO138" s="31">
        <f t="shared" si="14"/>
        <v>1543768.7505199166</v>
      </c>
      <c r="AP138" s="31">
        <v>11890.37</v>
      </c>
      <c r="AR138" s="42" t="s">
        <v>1232</v>
      </c>
      <c r="AS138" s="42" t="s">
        <v>1233</v>
      </c>
      <c r="AT138" s="43" t="s">
        <v>1276</v>
      </c>
      <c r="AU138" s="44">
        <v>32</v>
      </c>
      <c r="AV138" s="31">
        <v>1484729.6977594884</v>
      </c>
      <c r="AW138" s="31">
        <v>20985.659999999996</v>
      </c>
      <c r="AX138" s="31">
        <v>0</v>
      </c>
      <c r="AY138" s="31">
        <v>0</v>
      </c>
      <c r="AZ138" s="31">
        <v>42488.736959302223</v>
      </c>
      <c r="BA138" s="31">
        <v>11305.43</v>
      </c>
      <c r="BB138" s="31">
        <v>0</v>
      </c>
      <c r="BC138" s="31">
        <f t="shared" si="15"/>
        <v>1571621.0947187906</v>
      </c>
      <c r="BD138" s="31">
        <v>12111.570000000002</v>
      </c>
    </row>
    <row r="139" spans="2:56">
      <c r="B139" s="42" t="s">
        <v>553</v>
      </c>
      <c r="C139" s="42" t="s">
        <v>554</v>
      </c>
      <c r="D139" s="43" t="s">
        <v>1049</v>
      </c>
      <c r="E139" s="44">
        <v>32</v>
      </c>
      <c r="F139" s="31">
        <v>4333407.2570112357</v>
      </c>
      <c r="G139" s="31">
        <v>253650.88</v>
      </c>
      <c r="H139" s="31">
        <v>0</v>
      </c>
      <c r="I139" s="31">
        <v>0</v>
      </c>
      <c r="J139" s="31">
        <v>663130.58193999005</v>
      </c>
      <c r="K139" s="31">
        <v>283188.21999999997</v>
      </c>
      <c r="L139" s="31">
        <v>0</v>
      </c>
      <c r="M139" s="31">
        <f t="shared" si="12"/>
        <v>5660308.4289512252</v>
      </c>
      <c r="N139" s="31">
        <v>126931.49</v>
      </c>
      <c r="P139" s="42" t="s">
        <v>553</v>
      </c>
      <c r="Q139" s="42" t="s">
        <v>554</v>
      </c>
      <c r="R139" s="43" t="s">
        <v>1050</v>
      </c>
      <c r="S139" s="44">
        <v>32</v>
      </c>
      <c r="T139" s="31">
        <v>4519554.2516366523</v>
      </c>
      <c r="U139" s="31">
        <v>263989.80000000005</v>
      </c>
      <c r="V139" s="31">
        <v>0</v>
      </c>
      <c r="W139" s="31">
        <v>0</v>
      </c>
      <c r="X139" s="31">
        <v>684054.63717201247</v>
      </c>
      <c r="Y139" s="31">
        <v>283188.21999999997</v>
      </c>
      <c r="Z139" s="31">
        <v>0</v>
      </c>
      <c r="AA139" s="31">
        <f t="shared" si="13"/>
        <v>5880461.3688086644</v>
      </c>
      <c r="AB139" s="31">
        <v>129674.45999999999</v>
      </c>
      <c r="AD139" s="42" t="s">
        <v>553</v>
      </c>
      <c r="AE139" s="42" t="s">
        <v>554</v>
      </c>
      <c r="AF139" s="43" t="s">
        <v>1275</v>
      </c>
      <c r="AG139" s="44">
        <v>32</v>
      </c>
      <c r="AH139" s="31">
        <v>4608785.9089327473</v>
      </c>
      <c r="AI139" s="31">
        <v>269617.77999999991</v>
      </c>
      <c r="AJ139" s="31">
        <v>0</v>
      </c>
      <c r="AK139" s="31">
        <v>0</v>
      </c>
      <c r="AL139" s="31">
        <v>697303.71055017994</v>
      </c>
      <c r="AM139" s="31">
        <v>283188.21999999997</v>
      </c>
      <c r="AN139" s="31">
        <v>0</v>
      </c>
      <c r="AO139" s="31">
        <f t="shared" si="14"/>
        <v>5990986.2994829267</v>
      </c>
      <c r="AP139" s="31">
        <v>132090.68000000002</v>
      </c>
      <c r="AR139" s="42" t="s">
        <v>553</v>
      </c>
      <c r="AS139" s="42" t="s">
        <v>554</v>
      </c>
      <c r="AT139" s="43" t="s">
        <v>1276</v>
      </c>
      <c r="AU139" s="44">
        <v>32</v>
      </c>
      <c r="AV139" s="31">
        <v>4699995.5039014481</v>
      </c>
      <c r="AW139" s="31">
        <v>275014.74</v>
      </c>
      <c r="AX139" s="31">
        <v>0</v>
      </c>
      <c r="AY139" s="31">
        <v>0</v>
      </c>
      <c r="AZ139" s="31">
        <v>711463.80463504267</v>
      </c>
      <c r="BA139" s="31">
        <v>283188.21999999997</v>
      </c>
      <c r="BB139" s="31">
        <v>0</v>
      </c>
      <c r="BC139" s="31">
        <f t="shared" si="15"/>
        <v>6104448.7885364909</v>
      </c>
      <c r="BD139" s="31">
        <v>134786.52000000002</v>
      </c>
    </row>
    <row r="140" spans="2:56">
      <c r="B140" s="42" t="s">
        <v>269</v>
      </c>
      <c r="C140" s="42" t="s">
        <v>270</v>
      </c>
      <c r="D140" s="43" t="s">
        <v>1049</v>
      </c>
      <c r="E140" s="44">
        <v>32</v>
      </c>
      <c r="F140" s="31">
        <v>2768530.7847080515</v>
      </c>
      <c r="G140" s="31">
        <v>118295.46999999999</v>
      </c>
      <c r="H140" s="31">
        <v>10913.58</v>
      </c>
      <c r="I140" s="31">
        <v>0</v>
      </c>
      <c r="J140" s="31">
        <v>296072.29918646178</v>
      </c>
      <c r="K140" s="31">
        <v>220770.07062199619</v>
      </c>
      <c r="L140" s="31">
        <v>0</v>
      </c>
      <c r="M140" s="31">
        <f t="shared" si="12"/>
        <v>3478017.4345165095</v>
      </c>
      <c r="N140" s="31">
        <v>63435.229999999996</v>
      </c>
      <c r="P140" s="42" t="s">
        <v>269</v>
      </c>
      <c r="Q140" s="42" t="s">
        <v>270</v>
      </c>
      <c r="R140" s="43" t="s">
        <v>1050</v>
      </c>
      <c r="S140" s="44">
        <v>32</v>
      </c>
      <c r="T140" s="31">
        <v>2899462.2460522829</v>
      </c>
      <c r="U140" s="31">
        <v>124325.8</v>
      </c>
      <c r="V140" s="31">
        <v>11433.859999999999</v>
      </c>
      <c r="W140" s="31">
        <v>0</v>
      </c>
      <c r="X140" s="31">
        <v>307611.2363111212</v>
      </c>
      <c r="Y140" s="31">
        <v>221007.9347968846</v>
      </c>
      <c r="Z140" s="31">
        <v>0</v>
      </c>
      <c r="AA140" s="31">
        <f t="shared" si="13"/>
        <v>3629135.2771602888</v>
      </c>
      <c r="AB140" s="31">
        <v>65294.2</v>
      </c>
      <c r="AD140" s="42" t="s">
        <v>269</v>
      </c>
      <c r="AE140" s="42" t="s">
        <v>270</v>
      </c>
      <c r="AF140" s="43" t="s">
        <v>1275</v>
      </c>
      <c r="AG140" s="44">
        <v>32</v>
      </c>
      <c r="AH140" s="31">
        <v>2956041.6794709889</v>
      </c>
      <c r="AI140" s="31">
        <v>126989.36000000003</v>
      </c>
      <c r="AJ140" s="31">
        <v>11657.53</v>
      </c>
      <c r="AK140" s="31">
        <v>0</v>
      </c>
      <c r="AL140" s="31">
        <v>313531.99114182644</v>
      </c>
      <c r="AM140" s="31">
        <v>220927.12539962729</v>
      </c>
      <c r="AN140" s="31">
        <v>0</v>
      </c>
      <c r="AO140" s="31">
        <f t="shared" si="14"/>
        <v>3695693.8560124421</v>
      </c>
      <c r="AP140" s="31">
        <v>66546.17</v>
      </c>
      <c r="AR140" s="42" t="s">
        <v>269</v>
      </c>
      <c r="AS140" s="42" t="s">
        <v>270</v>
      </c>
      <c r="AT140" s="43" t="s">
        <v>1276</v>
      </c>
      <c r="AU140" s="44">
        <v>32</v>
      </c>
      <c r="AV140" s="31">
        <v>3012435.305706447</v>
      </c>
      <c r="AW140" s="31">
        <v>129501.23999999999</v>
      </c>
      <c r="AX140" s="31">
        <v>11870.409999999998</v>
      </c>
      <c r="AY140" s="31">
        <v>0</v>
      </c>
      <c r="AZ140" s="31">
        <v>319859.9746104232</v>
      </c>
      <c r="BA140" s="31">
        <v>220939.98503106966</v>
      </c>
      <c r="BB140" s="31">
        <v>0</v>
      </c>
      <c r="BC140" s="31">
        <f t="shared" si="15"/>
        <v>3762490.5053479401</v>
      </c>
      <c r="BD140" s="31">
        <v>67883.59</v>
      </c>
    </row>
    <row r="141" spans="2:56">
      <c r="B141" s="42" t="s">
        <v>545</v>
      </c>
      <c r="C141" s="42" t="s">
        <v>546</v>
      </c>
      <c r="D141" s="43" t="s">
        <v>1049</v>
      </c>
      <c r="E141" s="44">
        <v>32</v>
      </c>
      <c r="F141" s="31">
        <v>27893583.295769729</v>
      </c>
      <c r="G141" s="31">
        <v>703951.61</v>
      </c>
      <c r="H141" s="31">
        <v>576417.44000000006</v>
      </c>
      <c r="I141" s="31">
        <v>98087.400000000009</v>
      </c>
      <c r="J141" s="31">
        <v>4611648.0675613014</v>
      </c>
      <c r="K141" s="31">
        <v>1461286.0941467665</v>
      </c>
      <c r="L141" s="31">
        <v>2163675.3952683927</v>
      </c>
      <c r="M141" s="31">
        <f t="shared" si="12"/>
        <v>37508649.302746192</v>
      </c>
      <c r="N141" s="31">
        <v>0</v>
      </c>
      <c r="P141" s="42" t="s">
        <v>545</v>
      </c>
      <c r="Q141" s="42" t="s">
        <v>546</v>
      </c>
      <c r="R141" s="43" t="s">
        <v>1050</v>
      </c>
      <c r="S141" s="44">
        <v>32</v>
      </c>
      <c r="T141" s="31">
        <v>29092457.967553098</v>
      </c>
      <c r="U141" s="31">
        <v>734231.48</v>
      </c>
      <c r="V141" s="31">
        <v>601122.08000000007</v>
      </c>
      <c r="W141" s="31">
        <v>102228.03</v>
      </c>
      <c r="X141" s="31">
        <v>4790135.0542265056</v>
      </c>
      <c r="Y141" s="31">
        <v>1462563.7791765621</v>
      </c>
      <c r="Z141" s="31">
        <v>2251110.0055438271</v>
      </c>
      <c r="AA141" s="31">
        <f t="shared" si="13"/>
        <v>39033848.396499991</v>
      </c>
      <c r="AB141" s="31">
        <v>0</v>
      </c>
      <c r="AD141" s="42" t="s">
        <v>545</v>
      </c>
      <c r="AE141" s="42" t="s">
        <v>546</v>
      </c>
      <c r="AF141" s="43" t="s">
        <v>1275</v>
      </c>
      <c r="AG141" s="44">
        <v>32</v>
      </c>
      <c r="AH141" s="31">
        <v>29671815.3213563</v>
      </c>
      <c r="AI141" s="31">
        <v>749149.30999999982</v>
      </c>
      <c r="AJ141" s="31">
        <v>613325.28999999992</v>
      </c>
      <c r="AK141" s="31">
        <v>104338.03999999998</v>
      </c>
      <c r="AL141" s="31">
        <v>4882771.7177265594</v>
      </c>
      <c r="AM141" s="31">
        <v>1462112.7912472314</v>
      </c>
      <c r="AN141" s="31">
        <v>2296042.4661965398</v>
      </c>
      <c r="AO141" s="31">
        <f t="shared" si="14"/>
        <v>39779554.936526626</v>
      </c>
      <c r="AP141" s="31">
        <v>0</v>
      </c>
      <c r="AR141" s="42" t="s">
        <v>545</v>
      </c>
      <c r="AS141" s="42" t="s">
        <v>546</v>
      </c>
      <c r="AT141" s="43" t="s">
        <v>1276</v>
      </c>
      <c r="AU141" s="44">
        <v>32</v>
      </c>
      <c r="AV141" s="31">
        <v>30272445.62177106</v>
      </c>
      <c r="AW141" s="31">
        <v>764254.75000000012</v>
      </c>
      <c r="AX141" s="31">
        <v>625711.49</v>
      </c>
      <c r="AY141" s="31">
        <v>106478.22</v>
      </c>
      <c r="AZ141" s="31">
        <v>4981761.6656969618</v>
      </c>
      <c r="BA141" s="31">
        <v>1462183.6840797167</v>
      </c>
      <c r="BB141" s="31">
        <v>2342905.8436114257</v>
      </c>
      <c r="BC141" s="31">
        <f t="shared" si="15"/>
        <v>40555741.275159158</v>
      </c>
      <c r="BD141" s="31">
        <v>0</v>
      </c>
    </row>
    <row r="142" spans="2:56">
      <c r="B142" s="42" t="s">
        <v>591</v>
      </c>
      <c r="C142" s="42" t="s">
        <v>592</v>
      </c>
      <c r="D142" s="43" t="s">
        <v>1049</v>
      </c>
      <c r="E142" s="44">
        <v>32</v>
      </c>
      <c r="F142" s="31">
        <v>6518204.9000127595</v>
      </c>
      <c r="G142" s="31">
        <v>499101.69</v>
      </c>
      <c r="H142" s="31">
        <v>528139.6</v>
      </c>
      <c r="I142" s="31">
        <v>22704.16</v>
      </c>
      <c r="J142" s="31">
        <v>748142.82838201756</v>
      </c>
      <c r="K142" s="31">
        <v>234595.68018167873</v>
      </c>
      <c r="L142" s="31">
        <v>687180.04785877222</v>
      </c>
      <c r="M142" s="31">
        <f t="shared" si="12"/>
        <v>9471054.4664352294</v>
      </c>
      <c r="N142" s="31">
        <v>232985.56</v>
      </c>
      <c r="P142" s="42" t="s">
        <v>591</v>
      </c>
      <c r="Q142" s="42" t="s">
        <v>592</v>
      </c>
      <c r="R142" s="43" t="s">
        <v>1050</v>
      </c>
      <c r="S142" s="44">
        <v>32</v>
      </c>
      <c r="T142" s="31">
        <v>6870170.9112701314</v>
      </c>
      <c r="U142" s="31">
        <v>524132.54999999981</v>
      </c>
      <c r="V142" s="31">
        <v>551051.49</v>
      </c>
      <c r="W142" s="31">
        <v>23677.210000000003</v>
      </c>
      <c r="X142" s="31">
        <v>777283.15492652077</v>
      </c>
      <c r="Y142" s="31">
        <v>234805.53556086568</v>
      </c>
      <c r="Z142" s="31">
        <v>722130.97285784211</v>
      </c>
      <c r="AA142" s="31">
        <f t="shared" si="13"/>
        <v>9943063.2446153592</v>
      </c>
      <c r="AB142" s="31">
        <v>239811.42000000004</v>
      </c>
      <c r="AD142" s="42" t="s">
        <v>591</v>
      </c>
      <c r="AE142" s="42" t="s">
        <v>592</v>
      </c>
      <c r="AF142" s="43" t="s">
        <v>1275</v>
      </c>
      <c r="AG142" s="44">
        <v>32</v>
      </c>
      <c r="AH142" s="31">
        <v>7006482.7701032544</v>
      </c>
      <c r="AI142" s="31">
        <v>535163.80000000005</v>
      </c>
      <c r="AJ142" s="31">
        <v>562346.6100000001</v>
      </c>
      <c r="AK142" s="31">
        <v>24140.360000000004</v>
      </c>
      <c r="AL142" s="31">
        <v>792281.30486696342</v>
      </c>
      <c r="AM142" s="31">
        <v>234734.24156835402</v>
      </c>
      <c r="AN142" s="31">
        <v>736608.27900714241</v>
      </c>
      <c r="AO142" s="31">
        <f t="shared" si="14"/>
        <v>10135997.065545715</v>
      </c>
      <c r="AP142" s="31">
        <v>244239.69999999998</v>
      </c>
      <c r="AR142" s="42" t="s">
        <v>591</v>
      </c>
      <c r="AS142" s="42" t="s">
        <v>592</v>
      </c>
      <c r="AT142" s="43" t="s">
        <v>1276</v>
      </c>
      <c r="AU142" s="44">
        <v>32</v>
      </c>
      <c r="AV142" s="31">
        <v>7145541.3126480971</v>
      </c>
      <c r="AW142" s="31">
        <v>545819.30000000005</v>
      </c>
      <c r="AX142" s="31">
        <v>573666.03</v>
      </c>
      <c r="AY142" s="31">
        <v>24581.180000000004</v>
      </c>
      <c r="AZ142" s="31">
        <v>808251.56540440687</v>
      </c>
      <c r="BA142" s="31">
        <v>234745.586962564</v>
      </c>
      <c r="BB142" s="31">
        <v>751422.9414063947</v>
      </c>
      <c r="BC142" s="31">
        <f t="shared" si="15"/>
        <v>10333210.346421463</v>
      </c>
      <c r="BD142" s="31">
        <v>249182.43</v>
      </c>
    </row>
    <row r="143" spans="2:56">
      <c r="B143" s="42" t="s">
        <v>97</v>
      </c>
      <c r="C143" s="42" t="s">
        <v>98</v>
      </c>
      <c r="D143" s="43" t="s">
        <v>1049</v>
      </c>
      <c r="E143" s="44">
        <v>32</v>
      </c>
      <c r="F143" s="31">
        <v>1924016.1315290071</v>
      </c>
      <c r="G143" s="31">
        <v>41900.359999999993</v>
      </c>
      <c r="H143" s="31">
        <v>8477.5300000000007</v>
      </c>
      <c r="I143" s="31">
        <v>0</v>
      </c>
      <c r="J143" s="31">
        <v>85276.131561814007</v>
      </c>
      <c r="K143" s="31">
        <v>110838.53747934004</v>
      </c>
      <c r="L143" s="31">
        <v>27584.049888141919</v>
      </c>
      <c r="M143" s="31">
        <f t="shared" si="12"/>
        <v>2224694.620458303</v>
      </c>
      <c r="N143" s="31">
        <v>26601.879999999997</v>
      </c>
      <c r="P143" s="42" t="s">
        <v>97</v>
      </c>
      <c r="Q143" s="42" t="s">
        <v>98</v>
      </c>
      <c r="R143" s="43" t="s">
        <v>1050</v>
      </c>
      <c r="S143" s="44">
        <v>32</v>
      </c>
      <c r="T143" s="31">
        <v>2003113.8074371736</v>
      </c>
      <c r="U143" s="31">
        <v>43876.960000000006</v>
      </c>
      <c r="V143" s="31">
        <v>8803.06</v>
      </c>
      <c r="W143" s="31">
        <v>0</v>
      </c>
      <c r="X143" s="31">
        <v>88165.700407938013</v>
      </c>
      <c r="Y143" s="31">
        <v>110938.76701956966</v>
      </c>
      <c r="Z143" s="31">
        <v>28870.667554082989</v>
      </c>
      <c r="AA143" s="31">
        <f t="shared" si="13"/>
        <v>2311024.8024187642</v>
      </c>
      <c r="AB143" s="31">
        <v>27255.84</v>
      </c>
      <c r="AD143" s="42" t="s">
        <v>97</v>
      </c>
      <c r="AE143" s="42" t="s">
        <v>98</v>
      </c>
      <c r="AF143" s="43" t="s">
        <v>1275</v>
      </c>
      <c r="AG143" s="44">
        <v>32</v>
      </c>
      <c r="AH143" s="31">
        <v>2041412.350458897</v>
      </c>
      <c r="AI143" s="31">
        <v>44788.200000000004</v>
      </c>
      <c r="AJ143" s="31">
        <v>8975.2799999999988</v>
      </c>
      <c r="AK143" s="31">
        <v>0</v>
      </c>
      <c r="AL143" s="31">
        <v>89798.706465868512</v>
      </c>
      <c r="AM143" s="31">
        <v>110904.71612166909</v>
      </c>
      <c r="AN143" s="31">
        <v>29426.828805979851</v>
      </c>
      <c r="AO143" s="31">
        <f t="shared" si="14"/>
        <v>2353042.1218524142</v>
      </c>
      <c r="AP143" s="31">
        <v>27736.04</v>
      </c>
      <c r="AR143" s="42" t="s">
        <v>97</v>
      </c>
      <c r="AS143" s="42" t="s">
        <v>98</v>
      </c>
      <c r="AT143" s="43" t="s">
        <v>1276</v>
      </c>
      <c r="AU143" s="44">
        <v>32</v>
      </c>
      <c r="AV143" s="31">
        <v>2078489.3213426624</v>
      </c>
      <c r="AW143" s="31">
        <v>45598.250000000007</v>
      </c>
      <c r="AX143" s="31">
        <v>9139.17</v>
      </c>
      <c r="AY143" s="31">
        <v>0</v>
      </c>
      <c r="AZ143" s="31">
        <v>91452.202658635739</v>
      </c>
      <c r="BA143" s="31">
        <v>110910.1348231091</v>
      </c>
      <c r="BB143" s="31">
        <v>29969.335777681379</v>
      </c>
      <c r="BC143" s="31">
        <f t="shared" si="15"/>
        <v>2393808.7646020884</v>
      </c>
      <c r="BD143" s="31">
        <v>28250.35</v>
      </c>
    </row>
    <row r="144" spans="2:56">
      <c r="B144" s="42" t="s">
        <v>29</v>
      </c>
      <c r="C144" s="42" t="s">
        <v>30</v>
      </c>
      <c r="D144" s="43" t="s">
        <v>1049</v>
      </c>
      <c r="E144" s="44">
        <v>32</v>
      </c>
      <c r="F144" s="31">
        <v>5290727.7441556994</v>
      </c>
      <c r="G144" s="31">
        <v>262997.94</v>
      </c>
      <c r="H144" s="31">
        <v>334228.56999999995</v>
      </c>
      <c r="I144" s="31">
        <v>16760.150000000001</v>
      </c>
      <c r="J144" s="31">
        <v>664895.35109236941</v>
      </c>
      <c r="K144" s="31">
        <v>369590.65309190226</v>
      </c>
      <c r="L144" s="31">
        <v>150719.43956585517</v>
      </c>
      <c r="M144" s="31">
        <f t="shared" si="12"/>
        <v>7263173.0279058265</v>
      </c>
      <c r="N144" s="31">
        <v>173253.18</v>
      </c>
      <c r="P144" s="42" t="s">
        <v>29</v>
      </c>
      <c r="Q144" s="42" t="s">
        <v>30</v>
      </c>
      <c r="R144" s="43" t="s">
        <v>1050</v>
      </c>
      <c r="S144" s="44">
        <v>32</v>
      </c>
      <c r="T144" s="31">
        <v>5567289.1979902033</v>
      </c>
      <c r="U144" s="31">
        <v>276817.39</v>
      </c>
      <c r="V144" s="31">
        <v>348783.43</v>
      </c>
      <c r="W144" s="31">
        <v>17504.939999999999</v>
      </c>
      <c r="X144" s="31">
        <v>690797.48899944313</v>
      </c>
      <c r="Y144" s="31">
        <v>369821.50185617513</v>
      </c>
      <c r="Z144" s="31">
        <v>158229.45137261151</v>
      </c>
      <c r="AA144" s="31">
        <f t="shared" si="13"/>
        <v>7607554.4802184328</v>
      </c>
      <c r="AB144" s="31">
        <v>178311.08000000002</v>
      </c>
      <c r="AD144" s="42" t="s">
        <v>29</v>
      </c>
      <c r="AE144" s="42" t="s">
        <v>30</v>
      </c>
      <c r="AF144" s="43" t="s">
        <v>1275</v>
      </c>
      <c r="AG144" s="44">
        <v>32</v>
      </c>
      <c r="AH144" s="31">
        <v>5677751.178253321</v>
      </c>
      <c r="AI144" s="31">
        <v>282788.20000000007</v>
      </c>
      <c r="AJ144" s="31">
        <v>355812.39</v>
      </c>
      <c r="AK144" s="31">
        <v>17847.359999999997</v>
      </c>
      <c r="AL144" s="31">
        <v>704117.25913474278</v>
      </c>
      <c r="AM144" s="31">
        <v>369743.07579850074</v>
      </c>
      <c r="AN144" s="31">
        <v>161298.44943917185</v>
      </c>
      <c r="AO144" s="31">
        <f t="shared" si="14"/>
        <v>7751013.7326257359</v>
      </c>
      <c r="AP144" s="31">
        <v>181655.81999999998</v>
      </c>
      <c r="AR144" s="42" t="s">
        <v>29</v>
      </c>
      <c r="AS144" s="42" t="s">
        <v>30</v>
      </c>
      <c r="AT144" s="43" t="s">
        <v>1276</v>
      </c>
      <c r="AU144" s="44">
        <v>32</v>
      </c>
      <c r="AV144" s="31">
        <v>5789442.7779944912</v>
      </c>
      <c r="AW144" s="31">
        <v>288430.96999999997</v>
      </c>
      <c r="AX144" s="31">
        <v>363045.21000000008</v>
      </c>
      <c r="AY144" s="31">
        <v>18278.32</v>
      </c>
      <c r="AZ144" s="31">
        <v>718315.92481227103</v>
      </c>
      <c r="BA144" s="31">
        <v>369755.55615637248</v>
      </c>
      <c r="BB144" s="31">
        <v>164575.19640497377</v>
      </c>
      <c r="BC144" s="31">
        <f t="shared" si="15"/>
        <v>7897178.5753681092</v>
      </c>
      <c r="BD144" s="31">
        <v>185334.62</v>
      </c>
    </row>
    <row r="145" spans="2:56">
      <c r="B145" s="42" t="s">
        <v>319</v>
      </c>
      <c r="C145" s="42" t="s">
        <v>320</v>
      </c>
      <c r="D145" s="43" t="s">
        <v>1049</v>
      </c>
      <c r="E145" s="44">
        <v>32</v>
      </c>
      <c r="F145" s="31">
        <v>13435511.986247918</v>
      </c>
      <c r="G145" s="31">
        <v>185530.97000000003</v>
      </c>
      <c r="H145" s="31">
        <v>0</v>
      </c>
      <c r="I145" s="31">
        <v>40438.74</v>
      </c>
      <c r="J145" s="31">
        <v>1628522.2810486942</v>
      </c>
      <c r="K145" s="31">
        <v>262334.62199512165</v>
      </c>
      <c r="L145" s="31">
        <v>208617.84733025986</v>
      </c>
      <c r="M145" s="31">
        <f t="shared" si="12"/>
        <v>15809580.366621993</v>
      </c>
      <c r="N145" s="31">
        <v>48623.92</v>
      </c>
      <c r="P145" s="42" t="s">
        <v>319</v>
      </c>
      <c r="Q145" s="42" t="s">
        <v>320</v>
      </c>
      <c r="R145" s="43" t="s">
        <v>1050</v>
      </c>
      <c r="S145" s="44">
        <v>32</v>
      </c>
      <c r="T145" s="31">
        <v>13988481.413449032</v>
      </c>
      <c r="U145" s="31">
        <v>194341.93000000002</v>
      </c>
      <c r="V145" s="31">
        <v>0</v>
      </c>
      <c r="W145" s="31">
        <v>42193.99</v>
      </c>
      <c r="X145" s="31">
        <v>1692095.6131051676</v>
      </c>
      <c r="Y145" s="31">
        <v>262529.31034090981</v>
      </c>
      <c r="Z145" s="31">
        <v>217186.63114810106</v>
      </c>
      <c r="AA145" s="31">
        <f t="shared" si="13"/>
        <v>16446847.848043211</v>
      </c>
      <c r="AB145" s="31">
        <v>50018.96</v>
      </c>
      <c r="AD145" s="42" t="s">
        <v>319</v>
      </c>
      <c r="AE145" s="42" t="s">
        <v>320</v>
      </c>
      <c r="AF145" s="43" t="s">
        <v>1275</v>
      </c>
      <c r="AG145" s="44">
        <v>32</v>
      </c>
      <c r="AH145" s="31">
        <v>14258864.769999705</v>
      </c>
      <c r="AI145" s="31">
        <v>198343.83999999994</v>
      </c>
      <c r="AJ145" s="31">
        <v>0</v>
      </c>
      <c r="AK145" s="31">
        <v>43019.37000000001</v>
      </c>
      <c r="AL145" s="31">
        <v>1724761.6353216381</v>
      </c>
      <c r="AM145" s="31">
        <v>262463.16903197358</v>
      </c>
      <c r="AN145" s="31">
        <v>221502.50749959465</v>
      </c>
      <c r="AO145" s="31">
        <f t="shared" si="14"/>
        <v>16759855.511852911</v>
      </c>
      <c r="AP145" s="31">
        <v>50900.219999999994</v>
      </c>
      <c r="AR145" s="42" t="s">
        <v>319</v>
      </c>
      <c r="AS145" s="42" t="s">
        <v>320</v>
      </c>
      <c r="AT145" s="43" t="s">
        <v>1276</v>
      </c>
      <c r="AU145" s="44">
        <v>32</v>
      </c>
      <c r="AV145" s="31">
        <v>14544740.779984904</v>
      </c>
      <c r="AW145" s="31">
        <v>202373.24000000002</v>
      </c>
      <c r="AX145" s="31">
        <v>0</v>
      </c>
      <c r="AY145" s="31">
        <v>43909.979999999996</v>
      </c>
      <c r="AZ145" s="31">
        <v>1759630.0444940696</v>
      </c>
      <c r="BA145" s="31">
        <v>262473.69445209682</v>
      </c>
      <c r="BB145" s="31">
        <v>225948.2011290759</v>
      </c>
      <c r="BC145" s="31">
        <f t="shared" si="15"/>
        <v>17091023.440060146</v>
      </c>
      <c r="BD145" s="31">
        <v>51947.499999999993</v>
      </c>
    </row>
    <row r="146" spans="2:56">
      <c r="B146" s="42" t="s">
        <v>501</v>
      </c>
      <c r="C146" s="42" t="s">
        <v>502</v>
      </c>
      <c r="D146" s="43" t="s">
        <v>1049</v>
      </c>
      <c r="E146" s="44">
        <v>32</v>
      </c>
      <c r="F146" s="31">
        <v>4030237.862977915</v>
      </c>
      <c r="G146" s="31">
        <v>220025.68999999997</v>
      </c>
      <c r="H146" s="31">
        <v>0</v>
      </c>
      <c r="I146" s="31">
        <v>12667.55</v>
      </c>
      <c r="J146" s="31">
        <v>550302.51504864742</v>
      </c>
      <c r="K146" s="31">
        <v>409230.28837248968</v>
      </c>
      <c r="L146" s="31">
        <v>349331.61278077186</v>
      </c>
      <c r="M146" s="31">
        <f t="shared" si="12"/>
        <v>5700419.9191798242</v>
      </c>
      <c r="N146" s="31">
        <v>128624.4</v>
      </c>
      <c r="P146" s="42" t="s">
        <v>501</v>
      </c>
      <c r="Q146" s="42" t="s">
        <v>502</v>
      </c>
      <c r="R146" s="43" t="s">
        <v>1050</v>
      </c>
      <c r="S146" s="44">
        <v>32</v>
      </c>
      <c r="T146" s="31">
        <v>4233588.0504680248</v>
      </c>
      <c r="U146" s="31">
        <v>231373.24999999991</v>
      </c>
      <c r="V146" s="31">
        <v>0</v>
      </c>
      <c r="W146" s="31">
        <v>13154.009999999998</v>
      </c>
      <c r="X146" s="31">
        <v>571731.90404748137</v>
      </c>
      <c r="Y146" s="31">
        <v>409640.92677395337</v>
      </c>
      <c r="Z146" s="31">
        <v>366906.54444362182</v>
      </c>
      <c r="AA146" s="31">
        <f t="shared" si="13"/>
        <v>5958780.175733082</v>
      </c>
      <c r="AB146" s="31">
        <v>132385.49000000002</v>
      </c>
      <c r="AD146" s="42" t="s">
        <v>501</v>
      </c>
      <c r="AE146" s="42" t="s">
        <v>502</v>
      </c>
      <c r="AF146" s="43" t="s">
        <v>1275</v>
      </c>
      <c r="AG146" s="44">
        <v>32</v>
      </c>
      <c r="AH146" s="31">
        <v>4317215.1528378073</v>
      </c>
      <c r="AI146" s="31">
        <v>236364.31999999995</v>
      </c>
      <c r="AJ146" s="31">
        <v>0</v>
      </c>
      <c r="AK146" s="31">
        <v>13411.31</v>
      </c>
      <c r="AL146" s="31">
        <v>582747.37227996904</v>
      </c>
      <c r="AM146" s="31">
        <v>409501.42093315773</v>
      </c>
      <c r="AN146" s="31">
        <v>374413.60479332251</v>
      </c>
      <c r="AO146" s="31">
        <f t="shared" si="14"/>
        <v>6068472.6808442567</v>
      </c>
      <c r="AP146" s="31">
        <v>134819.5</v>
      </c>
      <c r="AR146" s="42" t="s">
        <v>501</v>
      </c>
      <c r="AS146" s="42" t="s">
        <v>502</v>
      </c>
      <c r="AT146" s="43" t="s">
        <v>1276</v>
      </c>
      <c r="AU146" s="44">
        <v>32</v>
      </c>
      <c r="AV146" s="31">
        <v>4401815.6619242122</v>
      </c>
      <c r="AW146" s="31">
        <v>240962.42</v>
      </c>
      <c r="AX146" s="31">
        <v>0</v>
      </c>
      <c r="AY146" s="31">
        <v>13761.259999999998</v>
      </c>
      <c r="AZ146" s="31">
        <v>594516.35696339794</v>
      </c>
      <c r="BA146" s="31">
        <v>409523.62124348775</v>
      </c>
      <c r="BB146" s="31">
        <v>381830.15714050399</v>
      </c>
      <c r="BC146" s="31">
        <f t="shared" si="15"/>
        <v>6180039.3172716014</v>
      </c>
      <c r="BD146" s="31">
        <v>137629.84</v>
      </c>
    </row>
    <row r="147" spans="2:56">
      <c r="B147" s="42" t="s">
        <v>433</v>
      </c>
      <c r="C147" s="42" t="s">
        <v>434</v>
      </c>
      <c r="D147" s="43" t="s">
        <v>1049</v>
      </c>
      <c r="E147" s="44">
        <v>32</v>
      </c>
      <c r="F147" s="31">
        <v>88195790.149863452</v>
      </c>
      <c r="G147" s="31">
        <v>3570537.05</v>
      </c>
      <c r="H147" s="31">
        <v>1850265.23</v>
      </c>
      <c r="I147" s="31">
        <v>317699.84999999998</v>
      </c>
      <c r="J147" s="31">
        <v>14588795.008414406</v>
      </c>
      <c r="K147" s="31">
        <v>7780243.1230761921</v>
      </c>
      <c r="L147" s="31">
        <v>7790228.292259885</v>
      </c>
      <c r="M147" s="31">
        <f t="shared" si="12"/>
        <v>126175009.74361393</v>
      </c>
      <c r="N147" s="31">
        <v>2081451.04</v>
      </c>
      <c r="P147" s="42" t="s">
        <v>433</v>
      </c>
      <c r="Q147" s="42" t="s">
        <v>434</v>
      </c>
      <c r="R147" s="43" t="s">
        <v>1050</v>
      </c>
      <c r="S147" s="44">
        <v>32</v>
      </c>
      <c r="T147" s="31">
        <v>92343970.119781747</v>
      </c>
      <c r="U147" s="31">
        <v>3718020.24</v>
      </c>
      <c r="V147" s="31">
        <v>1913582.4900000005</v>
      </c>
      <c r="W147" s="31">
        <v>328562.59999999998</v>
      </c>
      <c r="X147" s="31">
        <v>15050107.92443024</v>
      </c>
      <c r="Y147" s="31">
        <v>7786882.4431040091</v>
      </c>
      <c r="Z147" s="31">
        <v>8128679.1896952298</v>
      </c>
      <c r="AA147" s="31">
        <f t="shared" si="13"/>
        <v>131397017.6670112</v>
      </c>
      <c r="AB147" s="31">
        <v>2127212.66</v>
      </c>
      <c r="AD147" s="42" t="s">
        <v>433</v>
      </c>
      <c r="AE147" s="42" t="s">
        <v>434</v>
      </c>
      <c r="AF147" s="43" t="s">
        <v>1275</v>
      </c>
      <c r="AG147" s="44">
        <v>32</v>
      </c>
      <c r="AH147" s="31">
        <v>94192322.113788486</v>
      </c>
      <c r="AI147" s="31">
        <v>3797366.2300000009</v>
      </c>
      <c r="AJ147" s="31">
        <v>1952607.06</v>
      </c>
      <c r="AK147" s="31">
        <v>335236.05</v>
      </c>
      <c r="AL147" s="31">
        <v>15342212.464314302</v>
      </c>
      <c r="AM147" s="31">
        <v>7784408.0405745311</v>
      </c>
      <c r="AN147" s="31">
        <v>8291742.2444749102</v>
      </c>
      <c r="AO147" s="31">
        <f t="shared" si="14"/>
        <v>133862765.91315223</v>
      </c>
      <c r="AP147" s="31">
        <v>2166871.7100000004</v>
      </c>
      <c r="AR147" s="42" t="s">
        <v>433</v>
      </c>
      <c r="AS147" s="42" t="s">
        <v>434</v>
      </c>
      <c r="AT147" s="43" t="s">
        <v>1276</v>
      </c>
      <c r="AU147" s="44">
        <v>32</v>
      </c>
      <c r="AV147" s="31">
        <v>96111105.671400636</v>
      </c>
      <c r="AW147" s="31">
        <v>3873911.5799999996</v>
      </c>
      <c r="AX147" s="31">
        <v>1992307.1099999999</v>
      </c>
      <c r="AY147" s="31">
        <v>342054.52999999997</v>
      </c>
      <c r="AZ147" s="31">
        <v>15655264.677861849</v>
      </c>
      <c r="BA147" s="31">
        <v>7784790.7429968109</v>
      </c>
      <c r="BB147" s="31">
        <v>8461356.9263535701</v>
      </c>
      <c r="BC147" s="31">
        <f t="shared" si="15"/>
        <v>136432312.39861286</v>
      </c>
      <c r="BD147" s="31">
        <v>2211521.1599999997</v>
      </c>
    </row>
    <row r="148" spans="2:56">
      <c r="B148" s="42" t="s">
        <v>147</v>
      </c>
      <c r="C148" s="42" t="s">
        <v>148</v>
      </c>
      <c r="D148" s="43" t="s">
        <v>1049</v>
      </c>
      <c r="E148" s="44">
        <v>32</v>
      </c>
      <c r="F148" s="31">
        <v>2573126.4207651331</v>
      </c>
      <c r="G148" s="31">
        <v>110597.48999999999</v>
      </c>
      <c r="H148" s="31">
        <v>2825.85</v>
      </c>
      <c r="I148" s="31">
        <v>8185.1900000000005</v>
      </c>
      <c r="J148" s="31">
        <v>395401.78571019846</v>
      </c>
      <c r="K148" s="31">
        <v>213766.33242272781</v>
      </c>
      <c r="L148" s="31">
        <v>0</v>
      </c>
      <c r="M148" s="31">
        <f t="shared" si="12"/>
        <v>3387119.1688980591</v>
      </c>
      <c r="N148" s="31">
        <v>83216.100000000006</v>
      </c>
      <c r="P148" s="42" t="s">
        <v>147</v>
      </c>
      <c r="Q148" s="42" t="s">
        <v>148</v>
      </c>
      <c r="R148" s="43" t="s">
        <v>1050</v>
      </c>
      <c r="S148" s="44">
        <v>32</v>
      </c>
      <c r="T148" s="31">
        <v>2723815.891239434</v>
      </c>
      <c r="U148" s="31">
        <v>116606.88000000002</v>
      </c>
      <c r="V148" s="31">
        <v>2934.36</v>
      </c>
      <c r="W148" s="31">
        <v>8499.5199999999986</v>
      </c>
      <c r="X148" s="31">
        <v>410782.25470928696</v>
      </c>
      <c r="Y148" s="31">
        <v>213993.14487618339</v>
      </c>
      <c r="Z148" s="31">
        <v>0</v>
      </c>
      <c r="AA148" s="31">
        <f t="shared" si="13"/>
        <v>3562293.2508249045</v>
      </c>
      <c r="AB148" s="31">
        <v>85661.2</v>
      </c>
      <c r="AD148" s="42" t="s">
        <v>147</v>
      </c>
      <c r="AE148" s="42" t="s">
        <v>148</v>
      </c>
      <c r="AF148" s="43" t="s">
        <v>1275</v>
      </c>
      <c r="AG148" s="44">
        <v>32</v>
      </c>
      <c r="AH148" s="31">
        <v>2778574.1067467011</v>
      </c>
      <c r="AI148" s="31">
        <v>119157.44999999998</v>
      </c>
      <c r="AJ148" s="31">
        <v>2991.7700000000004</v>
      </c>
      <c r="AK148" s="31">
        <v>8665.7699999999986</v>
      </c>
      <c r="AL148" s="31">
        <v>418706.73124184867</v>
      </c>
      <c r="AM148" s="31">
        <v>213916.09007100819</v>
      </c>
      <c r="AN148" s="31">
        <v>0</v>
      </c>
      <c r="AO148" s="31">
        <f t="shared" si="14"/>
        <v>3629182.3380595581</v>
      </c>
      <c r="AP148" s="31">
        <v>87170.420000000013</v>
      </c>
      <c r="AR148" s="42" t="s">
        <v>147</v>
      </c>
      <c r="AS148" s="42" t="s">
        <v>148</v>
      </c>
      <c r="AT148" s="43" t="s">
        <v>1276</v>
      </c>
      <c r="AU148" s="44">
        <v>32</v>
      </c>
      <c r="AV148" s="31">
        <v>2834644.8600326804</v>
      </c>
      <c r="AW148" s="31">
        <v>121522.06</v>
      </c>
      <c r="AX148" s="31">
        <v>3046.3900000000003</v>
      </c>
      <c r="AY148" s="31">
        <v>8929.0700000000015</v>
      </c>
      <c r="AZ148" s="31">
        <v>427144.19390273048</v>
      </c>
      <c r="BA148" s="31">
        <v>213928.35221413817</v>
      </c>
      <c r="BB148" s="31">
        <v>0</v>
      </c>
      <c r="BC148" s="31">
        <f t="shared" si="15"/>
        <v>3698208.6661495492</v>
      </c>
      <c r="BD148" s="31">
        <v>88993.739999999991</v>
      </c>
    </row>
    <row r="149" spans="2:56">
      <c r="B149" s="42" t="s">
        <v>461</v>
      </c>
      <c r="C149" s="42" t="s">
        <v>462</v>
      </c>
      <c r="D149" s="43" t="s">
        <v>1049</v>
      </c>
      <c r="E149" s="44">
        <v>32</v>
      </c>
      <c r="F149" s="31">
        <v>84013450.044301584</v>
      </c>
      <c r="G149" s="31">
        <v>1925840.71</v>
      </c>
      <c r="H149" s="31">
        <v>495331.4599999999</v>
      </c>
      <c r="I149" s="31">
        <v>295887.42</v>
      </c>
      <c r="J149" s="31">
        <v>12890212.239045991</v>
      </c>
      <c r="K149" s="31">
        <v>5434454.7534445794</v>
      </c>
      <c r="L149" s="31">
        <v>6649331.8178424779</v>
      </c>
      <c r="M149" s="31">
        <f t="shared" si="12"/>
        <v>111808719.72463463</v>
      </c>
      <c r="N149" s="31">
        <v>104211.28</v>
      </c>
      <c r="P149" s="42" t="s">
        <v>461</v>
      </c>
      <c r="Q149" s="42" t="s">
        <v>462</v>
      </c>
      <c r="R149" s="43" t="s">
        <v>1050</v>
      </c>
      <c r="S149" s="44">
        <v>32</v>
      </c>
      <c r="T149" s="31">
        <v>87091730.096535534</v>
      </c>
      <c r="U149" s="31">
        <v>1993285.03</v>
      </c>
      <c r="V149" s="31">
        <v>512223.38</v>
      </c>
      <c r="W149" s="31">
        <v>306004.92</v>
      </c>
      <c r="X149" s="31">
        <v>13296891.1780688</v>
      </c>
      <c r="Y149" s="31">
        <v>5440025.2811894156</v>
      </c>
      <c r="Z149" s="31">
        <v>6871201.3687977707</v>
      </c>
      <c r="AA149" s="31">
        <f t="shared" si="13"/>
        <v>115617745.55459151</v>
      </c>
      <c r="AB149" s="31">
        <v>106384.3</v>
      </c>
      <c r="AD149" s="42" t="s">
        <v>461</v>
      </c>
      <c r="AE149" s="42" t="s">
        <v>462</v>
      </c>
      <c r="AF149" s="43" t="s">
        <v>1275</v>
      </c>
      <c r="AG149" s="44">
        <v>32</v>
      </c>
      <c r="AH149" s="31">
        <v>88828916.02405493</v>
      </c>
      <c r="AI149" s="31">
        <v>2034082.9699999997</v>
      </c>
      <c r="AJ149" s="31">
        <v>522776.92000000004</v>
      </c>
      <c r="AK149" s="31">
        <v>312205.15000000002</v>
      </c>
      <c r="AL149" s="31">
        <v>13553683.384003498</v>
      </c>
      <c r="AM149" s="31">
        <v>5438090.7156635579</v>
      </c>
      <c r="AN149" s="31">
        <v>7008671.2675345</v>
      </c>
      <c r="AO149" s="31">
        <f t="shared" si="14"/>
        <v>117806691.32125647</v>
      </c>
      <c r="AP149" s="31">
        <v>108264.89000000001</v>
      </c>
      <c r="AR149" s="42" t="s">
        <v>461</v>
      </c>
      <c r="AS149" s="42" t="s">
        <v>462</v>
      </c>
      <c r="AT149" s="43" t="s">
        <v>1276</v>
      </c>
      <c r="AU149" s="44">
        <v>32</v>
      </c>
      <c r="AV149" s="31">
        <v>90623252.051050529</v>
      </c>
      <c r="AW149" s="31">
        <v>2074895.29</v>
      </c>
      <c r="AX149" s="31">
        <v>533221</v>
      </c>
      <c r="AY149" s="31">
        <v>318466.40000000002</v>
      </c>
      <c r="AZ149" s="31">
        <v>13827792.258285834</v>
      </c>
      <c r="BA149" s="31">
        <v>5438396.6411630977</v>
      </c>
      <c r="BB149" s="31">
        <v>7150642.8008718248</v>
      </c>
      <c r="BC149" s="31">
        <f t="shared" si="15"/>
        <v>120077157.9213713</v>
      </c>
      <c r="BD149" s="31">
        <v>110491.48</v>
      </c>
    </row>
    <row r="150" spans="2:56">
      <c r="B150" s="42" t="s">
        <v>459</v>
      </c>
      <c r="C150" s="42" t="s">
        <v>460</v>
      </c>
      <c r="D150" s="43" t="s">
        <v>1049</v>
      </c>
      <c r="E150" s="44">
        <v>32</v>
      </c>
      <c r="F150" s="31">
        <v>14281584.423680754</v>
      </c>
      <c r="G150" s="31">
        <v>418808.85999999987</v>
      </c>
      <c r="H150" s="31">
        <v>28355.84</v>
      </c>
      <c r="I150" s="31">
        <v>49208.59</v>
      </c>
      <c r="J150" s="31">
        <v>2275776.646159648</v>
      </c>
      <c r="K150" s="31">
        <v>1153661.7134751424</v>
      </c>
      <c r="L150" s="31">
        <v>1157588.6523058165</v>
      </c>
      <c r="M150" s="31">
        <f t="shared" si="12"/>
        <v>19371318.505621359</v>
      </c>
      <c r="N150" s="31">
        <v>6333.78</v>
      </c>
      <c r="P150" s="42" t="s">
        <v>459</v>
      </c>
      <c r="Q150" s="42" t="s">
        <v>460</v>
      </c>
      <c r="R150" s="43" t="s">
        <v>1050</v>
      </c>
      <c r="S150" s="44">
        <v>32</v>
      </c>
      <c r="T150" s="31">
        <v>14903991.943979859</v>
      </c>
      <c r="U150" s="31">
        <v>437103.91</v>
      </c>
      <c r="V150" s="31">
        <v>29647.110000000004</v>
      </c>
      <c r="W150" s="31">
        <v>51401.8</v>
      </c>
      <c r="X150" s="31">
        <v>2364348.7191341291</v>
      </c>
      <c r="Y150" s="31">
        <v>1154640.4871514339</v>
      </c>
      <c r="Z150" s="31">
        <v>1204807.5729078678</v>
      </c>
      <c r="AA150" s="31">
        <f t="shared" si="13"/>
        <v>20152431.043173291</v>
      </c>
      <c r="AB150" s="31">
        <v>6489.5</v>
      </c>
      <c r="AD150" s="42" t="s">
        <v>459</v>
      </c>
      <c r="AE150" s="42" t="s">
        <v>460</v>
      </c>
      <c r="AF150" s="43" t="s">
        <v>1275</v>
      </c>
      <c r="AG150" s="44">
        <v>32</v>
      </c>
      <c r="AH150" s="31">
        <v>15201844.146580014</v>
      </c>
      <c r="AI150" s="31">
        <v>445976.35</v>
      </c>
      <c r="AJ150" s="31">
        <v>30227.029999999995</v>
      </c>
      <c r="AK150" s="31">
        <v>52407.270000000004</v>
      </c>
      <c r="AL150" s="31">
        <v>2409955.457038756</v>
      </c>
      <c r="AM150" s="31">
        <v>1154307.9691887375</v>
      </c>
      <c r="AN150" s="31">
        <v>1228852.8021641206</v>
      </c>
      <c r="AO150" s="31">
        <f t="shared" si="14"/>
        <v>20530174.854971625</v>
      </c>
      <c r="AP150" s="31">
        <v>6603.83</v>
      </c>
      <c r="AR150" s="42" t="s">
        <v>459</v>
      </c>
      <c r="AS150" s="42" t="s">
        <v>460</v>
      </c>
      <c r="AT150" s="43" t="s">
        <v>1276</v>
      </c>
      <c r="AU150" s="44">
        <v>32</v>
      </c>
      <c r="AV150" s="31">
        <v>15508030.812291525</v>
      </c>
      <c r="AW150" s="31">
        <v>454853.75999999989</v>
      </c>
      <c r="AX150" s="31">
        <v>30884.040000000005</v>
      </c>
      <c r="AY150" s="31">
        <v>53469.34</v>
      </c>
      <c r="AZ150" s="31">
        <v>2458540.899365834</v>
      </c>
      <c r="BA150" s="31">
        <v>1154360.884549987</v>
      </c>
      <c r="BB150" s="31">
        <v>1253844.7767810905</v>
      </c>
      <c r="BC150" s="31">
        <f t="shared" si="15"/>
        <v>20920710.782988433</v>
      </c>
      <c r="BD150" s="31">
        <v>6726.2699999999995</v>
      </c>
    </row>
    <row r="151" spans="2:56">
      <c r="B151" s="42" t="s">
        <v>189</v>
      </c>
      <c r="C151" s="42" t="s">
        <v>190</v>
      </c>
      <c r="D151" s="43" t="s">
        <v>1049</v>
      </c>
      <c r="E151" s="44">
        <v>32</v>
      </c>
      <c r="F151" s="31">
        <v>35550269.369757548</v>
      </c>
      <c r="G151" s="31">
        <v>99369.8</v>
      </c>
      <c r="H151" s="31">
        <v>280945.52999999997</v>
      </c>
      <c r="I151" s="31">
        <v>129745.33</v>
      </c>
      <c r="J151" s="31">
        <v>4023710.8173615173</v>
      </c>
      <c r="K151" s="31">
        <v>1713918.2668713848</v>
      </c>
      <c r="L151" s="31">
        <v>3052215.7787711304</v>
      </c>
      <c r="M151" s="31">
        <f t="shared" si="12"/>
        <v>44850174.892761581</v>
      </c>
      <c r="N151" s="31">
        <v>0</v>
      </c>
      <c r="P151" s="42" t="s">
        <v>189</v>
      </c>
      <c r="Q151" s="42" t="s">
        <v>190</v>
      </c>
      <c r="R151" s="43" t="s">
        <v>1050</v>
      </c>
      <c r="S151" s="44">
        <v>32</v>
      </c>
      <c r="T151" s="31">
        <v>37060280.919519797</v>
      </c>
      <c r="U151" s="31">
        <v>103627.61</v>
      </c>
      <c r="V151" s="31">
        <v>292616.2</v>
      </c>
      <c r="W151" s="31">
        <v>135125.66999999998</v>
      </c>
      <c r="X151" s="31">
        <v>4177723.1382577335</v>
      </c>
      <c r="Y151" s="31">
        <v>1714634.5670768367</v>
      </c>
      <c r="Z151" s="31">
        <v>3173556.6488866382</v>
      </c>
      <c r="AA151" s="31">
        <f t="shared" si="13"/>
        <v>46657564.753741011</v>
      </c>
      <c r="AB151" s="31">
        <v>0</v>
      </c>
      <c r="AD151" s="42" t="s">
        <v>189</v>
      </c>
      <c r="AE151" s="42" t="s">
        <v>190</v>
      </c>
      <c r="AF151" s="43" t="s">
        <v>1275</v>
      </c>
      <c r="AG151" s="44">
        <v>32</v>
      </c>
      <c r="AH151" s="31">
        <v>37803773.222640842</v>
      </c>
      <c r="AI151" s="31">
        <v>105659.49</v>
      </c>
      <c r="AJ151" s="31">
        <v>298711.87</v>
      </c>
      <c r="AK151" s="31">
        <v>137894.57000000004</v>
      </c>
      <c r="AL151" s="31">
        <v>4258907.1844662996</v>
      </c>
      <c r="AM151" s="31">
        <v>1714363.8592348748</v>
      </c>
      <c r="AN151" s="31">
        <v>3237522.6098895371</v>
      </c>
      <c r="AO151" s="31">
        <f t="shared" si="14"/>
        <v>47556832.806231558</v>
      </c>
      <c r="AP151" s="31">
        <v>0</v>
      </c>
      <c r="AR151" s="42" t="s">
        <v>189</v>
      </c>
      <c r="AS151" s="42" t="s">
        <v>190</v>
      </c>
      <c r="AT151" s="43" t="s">
        <v>1276</v>
      </c>
      <c r="AU151" s="44">
        <v>32</v>
      </c>
      <c r="AV151" s="31">
        <v>38575858.522068866</v>
      </c>
      <c r="AW151" s="31">
        <v>107870.02</v>
      </c>
      <c r="AX151" s="31">
        <v>304760.17</v>
      </c>
      <c r="AY151" s="31">
        <v>140705.31000000003</v>
      </c>
      <c r="AZ151" s="31">
        <v>4345999.9293155745</v>
      </c>
      <c r="BA151" s="31">
        <v>1714405.5231661974</v>
      </c>
      <c r="BB151" s="31">
        <v>3303442.3809411754</v>
      </c>
      <c r="BC151" s="31">
        <f t="shared" si="15"/>
        <v>48493041.855491817</v>
      </c>
      <c r="BD151" s="31">
        <v>0</v>
      </c>
    </row>
    <row r="152" spans="2:56">
      <c r="B152" s="42" t="s">
        <v>547</v>
      </c>
      <c r="C152" s="42" t="s">
        <v>548</v>
      </c>
      <c r="D152" s="43" t="s">
        <v>1049</v>
      </c>
      <c r="E152" s="44">
        <v>32</v>
      </c>
      <c r="F152" s="31">
        <v>15099250.123553924</v>
      </c>
      <c r="G152" s="31">
        <v>431748.79</v>
      </c>
      <c r="H152" s="31">
        <v>298058.50999999995</v>
      </c>
      <c r="I152" s="31">
        <v>51403.549999999996</v>
      </c>
      <c r="J152" s="31">
        <v>1877838.7227489632</v>
      </c>
      <c r="K152" s="31">
        <v>1004557.9005241829</v>
      </c>
      <c r="L152" s="31">
        <v>571186.91942863446</v>
      </c>
      <c r="M152" s="31">
        <f t="shared" si="12"/>
        <v>19334044.516255707</v>
      </c>
      <c r="N152" s="31">
        <v>0</v>
      </c>
      <c r="P152" s="42" t="s">
        <v>547</v>
      </c>
      <c r="Q152" s="42" t="s">
        <v>548</v>
      </c>
      <c r="R152" s="43" t="s">
        <v>1050</v>
      </c>
      <c r="S152" s="44">
        <v>32</v>
      </c>
      <c r="T152" s="31">
        <v>15748706.698065594</v>
      </c>
      <c r="U152" s="31">
        <v>450335.73999999993</v>
      </c>
      <c r="V152" s="31">
        <v>310837.09000000003</v>
      </c>
      <c r="W152" s="31">
        <v>53669.719999999994</v>
      </c>
      <c r="X152" s="31">
        <v>1950521.4028757398</v>
      </c>
      <c r="Y152" s="31">
        <v>1004898.5479307782</v>
      </c>
      <c r="Z152" s="31">
        <v>594206.26070444693</v>
      </c>
      <c r="AA152" s="31">
        <f t="shared" si="13"/>
        <v>20113175.459576558</v>
      </c>
      <c r="AB152" s="31">
        <v>0</v>
      </c>
      <c r="AD152" s="42" t="s">
        <v>547</v>
      </c>
      <c r="AE152" s="42" t="s">
        <v>548</v>
      </c>
      <c r="AF152" s="43" t="s">
        <v>1275</v>
      </c>
      <c r="AG152" s="44">
        <v>32</v>
      </c>
      <c r="AH152" s="31">
        <v>16062175.945160637</v>
      </c>
      <c r="AI152" s="31">
        <v>459478.25000000006</v>
      </c>
      <c r="AJ152" s="31">
        <v>317248.44999999995</v>
      </c>
      <c r="AK152" s="31">
        <v>54720.48000000001</v>
      </c>
      <c r="AL152" s="31">
        <v>1988243.6319351124</v>
      </c>
      <c r="AM152" s="31">
        <v>1004778.3086973602</v>
      </c>
      <c r="AN152" s="31">
        <v>606068.33791427896</v>
      </c>
      <c r="AO152" s="31">
        <f t="shared" si="14"/>
        <v>20492713.403707393</v>
      </c>
      <c r="AP152" s="31">
        <v>0</v>
      </c>
      <c r="AR152" s="42" t="s">
        <v>547</v>
      </c>
      <c r="AS152" s="42" t="s">
        <v>548</v>
      </c>
      <c r="AT152" s="43" t="s">
        <v>1276</v>
      </c>
      <c r="AU152" s="44">
        <v>32</v>
      </c>
      <c r="AV152" s="31">
        <v>16387383.823790345</v>
      </c>
      <c r="AW152" s="31">
        <v>468703.11000000004</v>
      </c>
      <c r="AX152" s="31">
        <v>323636.25</v>
      </c>
      <c r="AY152" s="31">
        <v>55837.490000000005</v>
      </c>
      <c r="AZ152" s="31">
        <v>2028554.0852560527</v>
      </c>
      <c r="BA152" s="31">
        <v>1004797.2096463181</v>
      </c>
      <c r="BB152" s="31">
        <v>618364.82203925494</v>
      </c>
      <c r="BC152" s="31">
        <f t="shared" si="15"/>
        <v>20887276.790731966</v>
      </c>
      <c r="BD152" s="31">
        <v>0</v>
      </c>
    </row>
    <row r="153" spans="2:56">
      <c r="B153" s="42" t="s">
        <v>337</v>
      </c>
      <c r="C153" s="42" t="s">
        <v>338</v>
      </c>
      <c r="D153" s="43" t="s">
        <v>1049</v>
      </c>
      <c r="E153" s="44">
        <v>32</v>
      </c>
      <c r="F153" s="31">
        <v>6157014.5915527493</v>
      </c>
      <c r="G153" s="31">
        <v>175689.22999999998</v>
      </c>
      <c r="H153" s="31">
        <v>36541.030000000006</v>
      </c>
      <c r="I153" s="31">
        <v>20073.189999999999</v>
      </c>
      <c r="J153" s="31">
        <v>759823.98901455023</v>
      </c>
      <c r="K153" s="31">
        <v>625921.68649680004</v>
      </c>
      <c r="L153" s="31">
        <v>347571.48274217802</v>
      </c>
      <c r="M153" s="31">
        <f t="shared" si="12"/>
        <v>8134620.6498062788</v>
      </c>
      <c r="N153" s="31">
        <v>11985.449999999999</v>
      </c>
      <c r="P153" s="42" t="s">
        <v>337</v>
      </c>
      <c r="Q153" s="42" t="s">
        <v>338</v>
      </c>
      <c r="R153" s="43" t="s">
        <v>1050</v>
      </c>
      <c r="S153" s="44">
        <v>32</v>
      </c>
      <c r="T153" s="31">
        <v>6419671.9209906012</v>
      </c>
      <c r="U153" s="31">
        <v>183412.32</v>
      </c>
      <c r="V153" s="31">
        <v>38045.419999999991</v>
      </c>
      <c r="W153" s="31">
        <v>20945.210000000003</v>
      </c>
      <c r="X153" s="31">
        <v>789419.93200491206</v>
      </c>
      <c r="Y153" s="31">
        <v>626752.89835869835</v>
      </c>
      <c r="Z153" s="31">
        <v>361765.5222550616</v>
      </c>
      <c r="AA153" s="31">
        <f t="shared" si="13"/>
        <v>8452393.1636092719</v>
      </c>
      <c r="AB153" s="31">
        <v>12379.94</v>
      </c>
      <c r="AD153" s="42" t="s">
        <v>337</v>
      </c>
      <c r="AE153" s="42" t="s">
        <v>338</v>
      </c>
      <c r="AF153" s="43" t="s">
        <v>1275</v>
      </c>
      <c r="AG153" s="44">
        <v>32</v>
      </c>
      <c r="AH153" s="31">
        <v>6546688.6155352211</v>
      </c>
      <c r="AI153" s="31">
        <v>187230.49</v>
      </c>
      <c r="AJ153" s="31">
        <v>38789.64</v>
      </c>
      <c r="AK153" s="31">
        <v>21354.940000000002</v>
      </c>
      <c r="AL153" s="31">
        <v>804637.65112936217</v>
      </c>
      <c r="AM153" s="31">
        <v>626470.51144782966</v>
      </c>
      <c r="AN153" s="31">
        <v>368885.46905951691</v>
      </c>
      <c r="AO153" s="31">
        <f t="shared" si="14"/>
        <v>8606655.367171932</v>
      </c>
      <c r="AP153" s="31">
        <v>12598.050000000001</v>
      </c>
      <c r="AR153" s="42" t="s">
        <v>337</v>
      </c>
      <c r="AS153" s="42" t="s">
        <v>338</v>
      </c>
      <c r="AT153" s="43" t="s">
        <v>1276</v>
      </c>
      <c r="AU153" s="44">
        <v>32</v>
      </c>
      <c r="AV153" s="31">
        <v>6676705.1271512741</v>
      </c>
      <c r="AW153" s="31">
        <v>190961.07999999996</v>
      </c>
      <c r="AX153" s="31">
        <v>39603.020000000004</v>
      </c>
      <c r="AY153" s="31">
        <v>21849.94</v>
      </c>
      <c r="AZ153" s="31">
        <v>820877.5885870466</v>
      </c>
      <c r="BA153" s="31">
        <v>626515.44918677059</v>
      </c>
      <c r="BB153" s="31">
        <v>376534.74720976944</v>
      </c>
      <c r="BC153" s="31">
        <f t="shared" si="15"/>
        <v>8765878.6021348611</v>
      </c>
      <c r="BD153" s="31">
        <v>12831.65</v>
      </c>
    </row>
    <row r="154" spans="2:56">
      <c r="B154" s="42" t="s">
        <v>419</v>
      </c>
      <c r="C154" s="42" t="s">
        <v>420</v>
      </c>
      <c r="D154" s="43" t="s">
        <v>1049</v>
      </c>
      <c r="E154" s="44">
        <v>32</v>
      </c>
      <c r="F154" s="31">
        <v>1844099.5345432186</v>
      </c>
      <c r="G154" s="31">
        <v>8282.64</v>
      </c>
      <c r="H154" s="31">
        <v>0</v>
      </c>
      <c r="I154" s="31">
        <v>0</v>
      </c>
      <c r="J154" s="31">
        <v>31456.565223040318</v>
      </c>
      <c r="K154" s="31">
        <v>97432.8</v>
      </c>
      <c r="L154" s="31">
        <v>0</v>
      </c>
      <c r="M154" s="31">
        <f t="shared" si="12"/>
        <v>1991015.8097662588</v>
      </c>
      <c r="N154" s="31">
        <v>9744.27</v>
      </c>
      <c r="P154" s="42" t="s">
        <v>419</v>
      </c>
      <c r="Q154" s="42" t="s">
        <v>420</v>
      </c>
      <c r="R154" s="43" t="s">
        <v>1050</v>
      </c>
      <c r="S154" s="44">
        <v>32</v>
      </c>
      <c r="T154" s="31">
        <v>1913622.3894720527</v>
      </c>
      <c r="U154" s="31">
        <v>8735.3300000000017</v>
      </c>
      <c r="V154" s="31">
        <v>0</v>
      </c>
      <c r="W154" s="31">
        <v>0</v>
      </c>
      <c r="X154" s="31">
        <v>32520.818703036493</v>
      </c>
      <c r="Y154" s="31">
        <v>97432.8</v>
      </c>
      <c r="Z154" s="31">
        <v>0</v>
      </c>
      <c r="AA154" s="31">
        <f t="shared" si="13"/>
        <v>2062295.1581750894</v>
      </c>
      <c r="AB154" s="31">
        <v>9983.82</v>
      </c>
      <c r="AD154" s="42" t="s">
        <v>419</v>
      </c>
      <c r="AE154" s="42" t="s">
        <v>420</v>
      </c>
      <c r="AF154" s="43" t="s">
        <v>1275</v>
      </c>
      <c r="AG154" s="44">
        <v>32</v>
      </c>
      <c r="AH154" s="31">
        <v>1950108.4846186861</v>
      </c>
      <c r="AI154" s="31">
        <v>8925.6100000000024</v>
      </c>
      <c r="AJ154" s="31">
        <v>0</v>
      </c>
      <c r="AK154" s="31">
        <v>0</v>
      </c>
      <c r="AL154" s="31">
        <v>33122.888985632162</v>
      </c>
      <c r="AM154" s="31">
        <v>97432.8</v>
      </c>
      <c r="AN154" s="31">
        <v>0</v>
      </c>
      <c r="AO154" s="31">
        <f t="shared" si="14"/>
        <v>2099749.5036043185</v>
      </c>
      <c r="AP154" s="31">
        <v>10159.719999999999</v>
      </c>
      <c r="AR154" s="42" t="s">
        <v>419</v>
      </c>
      <c r="AS154" s="42" t="s">
        <v>420</v>
      </c>
      <c r="AT154" s="43" t="s">
        <v>1276</v>
      </c>
      <c r="AU154" s="44">
        <v>32</v>
      </c>
      <c r="AV154" s="31">
        <v>1985336.8827010905</v>
      </c>
      <c r="AW154" s="31">
        <v>9085.739999999998</v>
      </c>
      <c r="AX154" s="31">
        <v>0</v>
      </c>
      <c r="AY154" s="31">
        <v>0</v>
      </c>
      <c r="AZ154" s="31">
        <v>33732.283443814435</v>
      </c>
      <c r="BA154" s="31">
        <v>97432.8</v>
      </c>
      <c r="BB154" s="31">
        <v>0</v>
      </c>
      <c r="BC154" s="31">
        <f t="shared" si="15"/>
        <v>2135935.8161449046</v>
      </c>
      <c r="BD154" s="31">
        <v>10348.11</v>
      </c>
    </row>
    <row r="155" spans="2:56">
      <c r="B155" s="42" t="s">
        <v>437</v>
      </c>
      <c r="C155" s="42" t="s">
        <v>438</v>
      </c>
      <c r="D155" s="43" t="s">
        <v>1049</v>
      </c>
      <c r="E155" s="44">
        <v>32</v>
      </c>
      <c r="F155" s="31">
        <v>51326406.287598133</v>
      </c>
      <c r="G155" s="31">
        <v>1305696.58</v>
      </c>
      <c r="H155" s="31">
        <v>1196276.8800000001</v>
      </c>
      <c r="I155" s="31">
        <v>188350.95</v>
      </c>
      <c r="J155" s="31">
        <v>7266986.8934142021</v>
      </c>
      <c r="K155" s="31">
        <v>3185444.8858588627</v>
      </c>
      <c r="L155" s="31">
        <v>4599506.8704378568</v>
      </c>
      <c r="M155" s="31">
        <f t="shared" si="12"/>
        <v>69265715.14730905</v>
      </c>
      <c r="N155" s="31">
        <v>197045.79999999996</v>
      </c>
      <c r="P155" s="42" t="s">
        <v>437</v>
      </c>
      <c r="Q155" s="42" t="s">
        <v>438</v>
      </c>
      <c r="R155" s="43" t="s">
        <v>1050</v>
      </c>
      <c r="S155" s="44">
        <v>32</v>
      </c>
      <c r="T155" s="31">
        <v>53498303.845662847</v>
      </c>
      <c r="U155" s="31">
        <v>1362868.83</v>
      </c>
      <c r="V155" s="31">
        <v>1246575.4500000002</v>
      </c>
      <c r="W155" s="31">
        <v>196248.4</v>
      </c>
      <c r="X155" s="31">
        <v>7545041.5652272627</v>
      </c>
      <c r="Y155" s="31">
        <v>3186260.4706873298</v>
      </c>
      <c r="Z155" s="31">
        <v>4782564.1613135394</v>
      </c>
      <c r="AA155" s="31">
        <f t="shared" si="13"/>
        <v>72020882.812890977</v>
      </c>
      <c r="AB155" s="31">
        <v>203020.09</v>
      </c>
      <c r="AD155" s="42" t="s">
        <v>437</v>
      </c>
      <c r="AE155" s="42" t="s">
        <v>438</v>
      </c>
      <c r="AF155" s="43" t="s">
        <v>1275</v>
      </c>
      <c r="AG155" s="44">
        <v>32</v>
      </c>
      <c r="AH155" s="31">
        <v>54565316.721624866</v>
      </c>
      <c r="AI155" s="31">
        <v>1391007.59</v>
      </c>
      <c r="AJ155" s="31">
        <v>1271853.5300000003</v>
      </c>
      <c r="AK155" s="31">
        <v>200215.75000000003</v>
      </c>
      <c r="AL155" s="31">
        <v>7691670.1818108298</v>
      </c>
      <c r="AM155" s="31">
        <v>3185952.240692181</v>
      </c>
      <c r="AN155" s="31">
        <v>4878548.9901450574</v>
      </c>
      <c r="AO155" s="31">
        <f t="shared" si="14"/>
        <v>73391343.514272943</v>
      </c>
      <c r="AP155" s="31">
        <v>206778.51</v>
      </c>
      <c r="AR155" s="42" t="s">
        <v>437</v>
      </c>
      <c r="AS155" s="42" t="s">
        <v>438</v>
      </c>
      <c r="AT155" s="43" t="s">
        <v>1276</v>
      </c>
      <c r="AU155" s="44">
        <v>32</v>
      </c>
      <c r="AV155" s="31">
        <v>55678015.256513186</v>
      </c>
      <c r="AW155" s="31">
        <v>1419293.1800000002</v>
      </c>
      <c r="AX155" s="31">
        <v>1297723.77</v>
      </c>
      <c r="AY155" s="31">
        <v>204308.47999999998</v>
      </c>
      <c r="AZ155" s="31">
        <v>7849000.5829016594</v>
      </c>
      <c r="BA155" s="31">
        <v>3185999.6795593244</v>
      </c>
      <c r="BB155" s="31">
        <v>4978434.0556525765</v>
      </c>
      <c r="BC155" s="31">
        <f t="shared" si="15"/>
        <v>74823814.964626729</v>
      </c>
      <c r="BD155" s="31">
        <v>211039.96</v>
      </c>
    </row>
    <row r="156" spans="2:56">
      <c r="B156" s="42" t="s">
        <v>149</v>
      </c>
      <c r="C156" s="42" t="s">
        <v>150</v>
      </c>
      <c r="D156" s="43" t="s">
        <v>1049</v>
      </c>
      <c r="E156" s="44">
        <v>32</v>
      </c>
      <c r="F156" s="31">
        <v>10514465.054648466</v>
      </c>
      <c r="G156" s="31">
        <v>319090.32</v>
      </c>
      <c r="H156" s="31">
        <v>42168.749999999993</v>
      </c>
      <c r="I156" s="31">
        <v>39344.04</v>
      </c>
      <c r="J156" s="31">
        <v>1869143.542256271</v>
      </c>
      <c r="K156" s="31">
        <v>597041.3099596122</v>
      </c>
      <c r="L156" s="31">
        <v>1525886.8133305199</v>
      </c>
      <c r="M156" s="31">
        <f t="shared" si="12"/>
        <v>14907139.83019487</v>
      </c>
      <c r="N156" s="31">
        <v>0</v>
      </c>
      <c r="P156" s="42" t="s">
        <v>149</v>
      </c>
      <c r="Q156" s="42" t="s">
        <v>150</v>
      </c>
      <c r="R156" s="43" t="s">
        <v>1050</v>
      </c>
      <c r="S156" s="44">
        <v>32</v>
      </c>
      <c r="T156" s="31">
        <v>10971293.040755359</v>
      </c>
      <c r="U156" s="31">
        <v>332799.82</v>
      </c>
      <c r="V156" s="31">
        <v>43877.65</v>
      </c>
      <c r="W156" s="31">
        <v>41050.200000000004</v>
      </c>
      <c r="X156" s="31">
        <v>1941746.8786882651</v>
      </c>
      <c r="Y156" s="31">
        <v>597684.59308047674</v>
      </c>
      <c r="Z156" s="31">
        <v>1587758.5992521294</v>
      </c>
      <c r="AA156" s="31">
        <f t="shared" si="13"/>
        <v>15516210.781776229</v>
      </c>
      <c r="AB156" s="31">
        <v>0</v>
      </c>
      <c r="AD156" s="42" t="s">
        <v>149</v>
      </c>
      <c r="AE156" s="42" t="s">
        <v>150</v>
      </c>
      <c r="AF156" s="43" t="s">
        <v>1275</v>
      </c>
      <c r="AG156" s="44">
        <v>32</v>
      </c>
      <c r="AH156" s="31">
        <v>11190206.247147167</v>
      </c>
      <c r="AI156" s="31">
        <v>339633.94</v>
      </c>
      <c r="AJ156" s="31">
        <v>44843.23</v>
      </c>
      <c r="AK156" s="31">
        <v>41853.660000000003</v>
      </c>
      <c r="AL156" s="31">
        <v>1979250.0940710036</v>
      </c>
      <c r="AM156" s="31">
        <v>597466.0510436726</v>
      </c>
      <c r="AN156" s="31">
        <v>1619640.6499501436</v>
      </c>
      <c r="AO156" s="31">
        <f t="shared" si="14"/>
        <v>15812893.872211987</v>
      </c>
      <c r="AP156" s="31">
        <v>0</v>
      </c>
      <c r="AR156" s="42" t="s">
        <v>149</v>
      </c>
      <c r="AS156" s="42" t="s">
        <v>150</v>
      </c>
      <c r="AT156" s="43" t="s">
        <v>1276</v>
      </c>
      <c r="AU156" s="44">
        <v>32</v>
      </c>
      <c r="AV156" s="31">
        <v>11416465.739041552</v>
      </c>
      <c r="AW156" s="31">
        <v>346409.87</v>
      </c>
      <c r="AX156" s="31">
        <v>45774.82</v>
      </c>
      <c r="AY156" s="31">
        <v>42730.409999999996</v>
      </c>
      <c r="AZ156" s="31">
        <v>2019283.4416643293</v>
      </c>
      <c r="BA156" s="31">
        <v>597500.82880644966</v>
      </c>
      <c r="BB156" s="31">
        <v>1652383.717444713</v>
      </c>
      <c r="BC156" s="31">
        <f t="shared" si="15"/>
        <v>16120548.826957041</v>
      </c>
      <c r="BD156" s="31">
        <v>0</v>
      </c>
    </row>
    <row r="157" spans="2:56">
      <c r="B157" s="42" t="s">
        <v>277</v>
      </c>
      <c r="C157" s="42" t="s">
        <v>278</v>
      </c>
      <c r="D157" s="43" t="s">
        <v>1049</v>
      </c>
      <c r="E157" s="44">
        <v>32</v>
      </c>
      <c r="F157" s="31">
        <v>3341744.4737876356</v>
      </c>
      <c r="G157" s="31">
        <v>140025.21000000002</v>
      </c>
      <c r="H157" s="31">
        <v>0</v>
      </c>
      <c r="I157" s="31">
        <v>10718.71</v>
      </c>
      <c r="J157" s="31">
        <v>435725.09957905917</v>
      </c>
      <c r="K157" s="31">
        <v>254336.19515466917</v>
      </c>
      <c r="L157" s="31">
        <v>730697.93245293933</v>
      </c>
      <c r="M157" s="31">
        <f t="shared" si="12"/>
        <v>5024137.4409743035</v>
      </c>
      <c r="N157" s="31">
        <v>110889.81999999999</v>
      </c>
      <c r="P157" s="42" t="s">
        <v>277</v>
      </c>
      <c r="Q157" s="42" t="s">
        <v>278</v>
      </c>
      <c r="R157" s="43" t="s">
        <v>1050</v>
      </c>
      <c r="S157" s="44">
        <v>32</v>
      </c>
      <c r="T157" s="31">
        <v>3510607.2819393817</v>
      </c>
      <c r="U157" s="31">
        <v>147650.88000000003</v>
      </c>
      <c r="V157" s="31">
        <v>0</v>
      </c>
      <c r="W157" s="31">
        <v>11130.31</v>
      </c>
      <c r="X157" s="31">
        <v>452677.97078491189</v>
      </c>
      <c r="Y157" s="31">
        <v>254490.69333104609</v>
      </c>
      <c r="Z157" s="31">
        <v>767848.46680852864</v>
      </c>
      <c r="AA157" s="31">
        <f t="shared" si="13"/>
        <v>5258620.5428638691</v>
      </c>
      <c r="AB157" s="31">
        <v>114214.94</v>
      </c>
      <c r="AD157" s="42" t="s">
        <v>277</v>
      </c>
      <c r="AE157" s="42" t="s">
        <v>278</v>
      </c>
      <c r="AF157" s="43" t="s">
        <v>1275</v>
      </c>
      <c r="AG157" s="44">
        <v>32</v>
      </c>
      <c r="AH157" s="31">
        <v>3579551.1064024838</v>
      </c>
      <c r="AI157" s="31">
        <v>150865.77000000002</v>
      </c>
      <c r="AJ157" s="31">
        <v>0</v>
      </c>
      <c r="AK157" s="31">
        <v>11348.02</v>
      </c>
      <c r="AL157" s="31">
        <v>461414.76435720391</v>
      </c>
      <c r="AM157" s="31">
        <v>254438.20579476104</v>
      </c>
      <c r="AN157" s="31">
        <v>783132.5671944014</v>
      </c>
      <c r="AO157" s="31">
        <f t="shared" si="14"/>
        <v>5357079.2437488493</v>
      </c>
      <c r="AP157" s="31">
        <v>116328.81</v>
      </c>
      <c r="AR157" s="42" t="s">
        <v>277</v>
      </c>
      <c r="AS157" s="42" t="s">
        <v>278</v>
      </c>
      <c r="AT157" s="43" t="s">
        <v>1276</v>
      </c>
      <c r="AU157" s="44">
        <v>32</v>
      </c>
      <c r="AV157" s="31">
        <v>3649461.1357251764</v>
      </c>
      <c r="AW157" s="31">
        <v>153801.21</v>
      </c>
      <c r="AX157" s="31">
        <v>0</v>
      </c>
      <c r="AY157" s="31">
        <v>11555.25</v>
      </c>
      <c r="AZ157" s="31">
        <v>470701.28252358036</v>
      </c>
      <c r="BA157" s="31">
        <v>254446.55841704083</v>
      </c>
      <c r="BB157" s="31">
        <v>798982.92369858874</v>
      </c>
      <c r="BC157" s="31">
        <f t="shared" si="15"/>
        <v>5457641.1503643868</v>
      </c>
      <c r="BD157" s="31">
        <v>118692.79000000001</v>
      </c>
    </row>
    <row r="158" spans="2:56">
      <c r="B158" s="42" t="s">
        <v>133</v>
      </c>
      <c r="C158" s="42" t="s">
        <v>134</v>
      </c>
      <c r="D158" s="43" t="s">
        <v>1049</v>
      </c>
      <c r="E158" s="44">
        <v>32</v>
      </c>
      <c r="F158" s="31">
        <v>69232191.206650376</v>
      </c>
      <c r="G158" s="31">
        <v>3448051.8400000008</v>
      </c>
      <c r="H158" s="31">
        <v>1891238.13</v>
      </c>
      <c r="I158" s="31">
        <v>243025.16</v>
      </c>
      <c r="J158" s="31">
        <v>11155260.835700126</v>
      </c>
      <c r="K158" s="31">
        <v>4264990.2661867626</v>
      </c>
      <c r="L158" s="31">
        <v>6286754.6413683398</v>
      </c>
      <c r="M158" s="31">
        <f t="shared" si="12"/>
        <v>98767855.459905595</v>
      </c>
      <c r="N158" s="31">
        <v>2246343.38</v>
      </c>
      <c r="P158" s="42" t="s">
        <v>133</v>
      </c>
      <c r="Q158" s="42" t="s">
        <v>134</v>
      </c>
      <c r="R158" s="43" t="s">
        <v>1050</v>
      </c>
      <c r="S158" s="44">
        <v>32</v>
      </c>
      <c r="T158" s="31">
        <v>72527779.912322611</v>
      </c>
      <c r="U158" s="31">
        <v>3596480.98</v>
      </c>
      <c r="V158" s="31">
        <v>1956167.88</v>
      </c>
      <c r="W158" s="31">
        <v>251387.14</v>
      </c>
      <c r="X158" s="31">
        <v>11506650.771639649</v>
      </c>
      <c r="Y158" s="31">
        <v>4269434.0976070976</v>
      </c>
      <c r="Z158" s="31">
        <v>6556948.0960080856</v>
      </c>
      <c r="AA158" s="31">
        <f t="shared" si="13"/>
        <v>102958157.90757744</v>
      </c>
      <c r="AB158" s="31">
        <v>2293309.0299999998</v>
      </c>
      <c r="AD158" s="42" t="s">
        <v>133</v>
      </c>
      <c r="AE158" s="42" t="s">
        <v>134</v>
      </c>
      <c r="AF158" s="43" t="s">
        <v>1275</v>
      </c>
      <c r="AG158" s="44">
        <v>32</v>
      </c>
      <c r="AH158" s="31">
        <v>73975828.660181552</v>
      </c>
      <c r="AI158" s="31">
        <v>3673983.5700000003</v>
      </c>
      <c r="AJ158" s="31">
        <v>1995932.2</v>
      </c>
      <c r="AK158" s="31">
        <v>256518.52000000002</v>
      </c>
      <c r="AL158" s="31">
        <v>11728825.51052474</v>
      </c>
      <c r="AM158" s="31">
        <v>4267890.8177847378</v>
      </c>
      <c r="AN158" s="31">
        <v>6688114.3547683442</v>
      </c>
      <c r="AO158" s="31">
        <f t="shared" si="14"/>
        <v>104922715.51325937</v>
      </c>
      <c r="AP158" s="31">
        <v>2335621.88</v>
      </c>
      <c r="AR158" s="42" t="s">
        <v>133</v>
      </c>
      <c r="AS158" s="42" t="s">
        <v>134</v>
      </c>
      <c r="AT158" s="43" t="s">
        <v>1276</v>
      </c>
      <c r="AU158" s="44">
        <v>32</v>
      </c>
      <c r="AV158" s="31">
        <v>75469419.714510679</v>
      </c>
      <c r="AW158" s="31">
        <v>3747098.68</v>
      </c>
      <c r="AX158" s="31">
        <v>2036071.96</v>
      </c>
      <c r="AY158" s="31">
        <v>261651.31999999998</v>
      </c>
      <c r="AZ158" s="31">
        <v>11965971.760422183</v>
      </c>
      <c r="BA158" s="31">
        <v>4268134.8667167975</v>
      </c>
      <c r="BB158" s="31">
        <v>6823620.2133553345</v>
      </c>
      <c r="BC158" s="31">
        <f t="shared" si="15"/>
        <v>106955078.62500499</v>
      </c>
      <c r="BD158" s="31">
        <v>2383110.11</v>
      </c>
    </row>
    <row r="159" spans="2:56">
      <c r="B159" s="42" t="s">
        <v>275</v>
      </c>
      <c r="C159" s="42" t="s">
        <v>276</v>
      </c>
      <c r="D159" s="43" t="s">
        <v>1049</v>
      </c>
      <c r="E159" s="44">
        <v>32</v>
      </c>
      <c r="F159" s="31">
        <v>5039134.5883529764</v>
      </c>
      <c r="G159" s="31">
        <v>233667.65999999997</v>
      </c>
      <c r="H159" s="31">
        <v>88478.000000000015</v>
      </c>
      <c r="I159" s="31">
        <v>16175.490000000002</v>
      </c>
      <c r="J159" s="31">
        <v>701295.64029573591</v>
      </c>
      <c r="K159" s="31">
        <v>400505.78742226813</v>
      </c>
      <c r="L159" s="31">
        <v>433914.95655061537</v>
      </c>
      <c r="M159" s="31">
        <f t="shared" si="12"/>
        <v>7079799.2026215959</v>
      </c>
      <c r="N159" s="31">
        <v>166627.08000000002</v>
      </c>
      <c r="P159" s="42" t="s">
        <v>275</v>
      </c>
      <c r="Q159" s="42" t="s">
        <v>276</v>
      </c>
      <c r="R159" s="43" t="s">
        <v>1050</v>
      </c>
      <c r="S159" s="44">
        <v>32</v>
      </c>
      <c r="T159" s="31">
        <v>5303579.5755236978</v>
      </c>
      <c r="U159" s="31">
        <v>246169.43999999994</v>
      </c>
      <c r="V159" s="31">
        <v>92280.400000000009</v>
      </c>
      <c r="W159" s="31">
        <v>16897.829999999998</v>
      </c>
      <c r="X159" s="31">
        <v>728595.70793762605</v>
      </c>
      <c r="Y159" s="31">
        <v>400812.06301379553</v>
      </c>
      <c r="Z159" s="31">
        <v>455734.07137902267</v>
      </c>
      <c r="AA159" s="31">
        <f t="shared" si="13"/>
        <v>7415690.9978541434</v>
      </c>
      <c r="AB159" s="31">
        <v>171621.91000000003</v>
      </c>
      <c r="AD159" s="42" t="s">
        <v>275</v>
      </c>
      <c r="AE159" s="42" t="s">
        <v>276</v>
      </c>
      <c r="AF159" s="43" t="s">
        <v>1275</v>
      </c>
      <c r="AG159" s="44">
        <v>32</v>
      </c>
      <c r="AH159" s="31">
        <v>5408274.5690314677</v>
      </c>
      <c r="AI159" s="31">
        <v>251423.01000000007</v>
      </c>
      <c r="AJ159" s="31">
        <v>94188.67</v>
      </c>
      <c r="AK159" s="31">
        <v>17228.38</v>
      </c>
      <c r="AL159" s="31">
        <v>742658.54589319217</v>
      </c>
      <c r="AM159" s="31">
        <v>400708.01226316212</v>
      </c>
      <c r="AN159" s="31">
        <v>464964.61904322007</v>
      </c>
      <c r="AO159" s="31">
        <f t="shared" si="14"/>
        <v>7554193.0062310416</v>
      </c>
      <c r="AP159" s="31">
        <v>174747.2</v>
      </c>
      <c r="AR159" s="42" t="s">
        <v>275</v>
      </c>
      <c r="AS159" s="42" t="s">
        <v>276</v>
      </c>
      <c r="AT159" s="43" t="s">
        <v>1276</v>
      </c>
      <c r="AU159" s="44">
        <v>32</v>
      </c>
      <c r="AV159" s="31">
        <v>5514846.236889963</v>
      </c>
      <c r="AW159" s="31">
        <v>256494.90999999992</v>
      </c>
      <c r="AX159" s="31">
        <v>96118.739999999991</v>
      </c>
      <c r="AY159" s="31">
        <v>17542.98</v>
      </c>
      <c r="AZ159" s="31">
        <v>757634.26599680283</v>
      </c>
      <c r="BA159" s="31">
        <v>400724.57041542977</v>
      </c>
      <c r="BB159" s="31">
        <v>474184.26951787085</v>
      </c>
      <c r="BC159" s="31">
        <f t="shared" si="15"/>
        <v>7695843.8928200668</v>
      </c>
      <c r="BD159" s="31">
        <v>178297.92000000004</v>
      </c>
    </row>
    <row r="160" spans="2:56">
      <c r="B160" s="42" t="s">
        <v>609</v>
      </c>
      <c r="C160" s="42" t="s">
        <v>610</v>
      </c>
      <c r="D160" s="43" t="s">
        <v>1049</v>
      </c>
      <c r="E160" s="44">
        <v>32</v>
      </c>
      <c r="F160" s="31">
        <v>6996307.0938488375</v>
      </c>
      <c r="G160" s="31">
        <v>510405.02000000014</v>
      </c>
      <c r="H160" s="31">
        <v>193326.38000000003</v>
      </c>
      <c r="I160" s="31">
        <v>23093.929999999997</v>
      </c>
      <c r="J160" s="31">
        <v>1034088.0899749969</v>
      </c>
      <c r="K160" s="31">
        <v>762266.82274795126</v>
      </c>
      <c r="L160" s="31">
        <v>223027.36280289176</v>
      </c>
      <c r="M160" s="31">
        <f t="shared" si="12"/>
        <v>9976279.8193746768</v>
      </c>
      <c r="N160" s="31">
        <v>233765.11999999997</v>
      </c>
      <c r="P160" s="42" t="s">
        <v>609</v>
      </c>
      <c r="Q160" s="42" t="s">
        <v>610</v>
      </c>
      <c r="R160" s="43" t="s">
        <v>1050</v>
      </c>
      <c r="S160" s="44">
        <v>32</v>
      </c>
      <c r="T160" s="31">
        <v>7368115.6019425876</v>
      </c>
      <c r="U160" s="31">
        <v>535780.86</v>
      </c>
      <c r="V160" s="31">
        <v>201762.15999999997</v>
      </c>
      <c r="W160" s="31">
        <v>24081.94</v>
      </c>
      <c r="X160" s="31">
        <v>1074357.6938542712</v>
      </c>
      <c r="Y160" s="31">
        <v>762996.07866982499</v>
      </c>
      <c r="Z160" s="31">
        <v>234288.31977804698</v>
      </c>
      <c r="AA160" s="31">
        <f t="shared" si="13"/>
        <v>10442092.634244733</v>
      </c>
      <c r="AB160" s="31">
        <v>240709.98</v>
      </c>
      <c r="AD160" s="42" t="s">
        <v>609</v>
      </c>
      <c r="AE160" s="42" t="s">
        <v>610</v>
      </c>
      <c r="AF160" s="43" t="s">
        <v>1275</v>
      </c>
      <c r="AG160" s="44">
        <v>32</v>
      </c>
      <c r="AH160" s="31">
        <v>7514375.8935642894</v>
      </c>
      <c r="AI160" s="31">
        <v>547144.90000000014</v>
      </c>
      <c r="AJ160" s="31">
        <v>205812.05</v>
      </c>
      <c r="AK160" s="31">
        <v>24553.02</v>
      </c>
      <c r="AL160" s="31">
        <v>1095074.632584607</v>
      </c>
      <c r="AM160" s="31">
        <v>762748.32916521572</v>
      </c>
      <c r="AN160" s="31">
        <v>238936.05320363241</v>
      </c>
      <c r="AO160" s="31">
        <f t="shared" si="14"/>
        <v>10633798.958517745</v>
      </c>
      <c r="AP160" s="31">
        <v>245154.08</v>
      </c>
      <c r="AR160" s="42" t="s">
        <v>609</v>
      </c>
      <c r="AS160" s="42" t="s">
        <v>610</v>
      </c>
      <c r="AT160" s="43" t="s">
        <v>1276</v>
      </c>
      <c r="AU160" s="44">
        <v>32</v>
      </c>
      <c r="AV160" s="31">
        <v>7663602.7671099901</v>
      </c>
      <c r="AW160" s="31">
        <v>558018.94999999995</v>
      </c>
      <c r="AX160" s="31">
        <v>209885.50999999998</v>
      </c>
      <c r="AY160" s="31">
        <v>25106.430000000004</v>
      </c>
      <c r="AZ160" s="31">
        <v>1117168.2199804923</v>
      </c>
      <c r="BA160" s="31">
        <v>762787.75486850564</v>
      </c>
      <c r="BB160" s="31">
        <v>243959.87750637211</v>
      </c>
      <c r="BC160" s="31">
        <f t="shared" si="15"/>
        <v>10830643.279465361</v>
      </c>
      <c r="BD160" s="31">
        <v>250113.77000000002</v>
      </c>
    </row>
    <row r="161" spans="2:56">
      <c r="B161" s="42" t="s">
        <v>551</v>
      </c>
      <c r="C161" s="42" t="s">
        <v>552</v>
      </c>
      <c r="D161" s="43" t="s">
        <v>1049</v>
      </c>
      <c r="E161" s="44">
        <v>32</v>
      </c>
      <c r="F161" s="31">
        <v>14444704.936698059</v>
      </c>
      <c r="G161" s="31">
        <v>625768.49</v>
      </c>
      <c r="H161" s="31">
        <v>155175.93000000002</v>
      </c>
      <c r="I161" s="31">
        <v>50970.990000000005</v>
      </c>
      <c r="J161" s="31">
        <v>2343696.0587622183</v>
      </c>
      <c r="K161" s="31">
        <v>1709965.2634148283</v>
      </c>
      <c r="L161" s="31">
        <v>918636.55672917771</v>
      </c>
      <c r="M161" s="31">
        <f t="shared" si="12"/>
        <v>20657332.645604286</v>
      </c>
      <c r="N161" s="31">
        <v>408414.42</v>
      </c>
      <c r="P161" s="42" t="s">
        <v>551</v>
      </c>
      <c r="Q161" s="42" t="s">
        <v>552</v>
      </c>
      <c r="R161" s="43" t="s">
        <v>1050</v>
      </c>
      <c r="S161" s="44">
        <v>32</v>
      </c>
      <c r="T161" s="31">
        <v>15215179.614420893</v>
      </c>
      <c r="U161" s="31">
        <v>657424.19999999972</v>
      </c>
      <c r="V161" s="31">
        <v>161760.74</v>
      </c>
      <c r="W161" s="31">
        <v>53100.45</v>
      </c>
      <c r="X161" s="31">
        <v>2433853.9231602531</v>
      </c>
      <c r="Y161" s="31">
        <v>1711719.9133919445</v>
      </c>
      <c r="Z161" s="31">
        <v>964737.88829964388</v>
      </c>
      <c r="AA161" s="31">
        <f t="shared" si="13"/>
        <v>21618347.559272733</v>
      </c>
      <c r="AB161" s="31">
        <v>420570.83</v>
      </c>
      <c r="AD161" s="42" t="s">
        <v>551</v>
      </c>
      <c r="AE161" s="42" t="s">
        <v>552</v>
      </c>
      <c r="AF161" s="43" t="s">
        <v>1275</v>
      </c>
      <c r="AG161" s="44">
        <v>32</v>
      </c>
      <c r="AH161" s="31">
        <v>15519534.437173512</v>
      </c>
      <c r="AI161" s="31">
        <v>671504.64</v>
      </c>
      <c r="AJ161" s="31">
        <v>165044.19999999998</v>
      </c>
      <c r="AK161" s="31">
        <v>54140.880000000005</v>
      </c>
      <c r="AL161" s="31">
        <v>2481052.1495384318</v>
      </c>
      <c r="AM161" s="31">
        <v>1711078.2473579838</v>
      </c>
      <c r="AN161" s="31">
        <v>984188.49069333915</v>
      </c>
      <c r="AO161" s="31">
        <f t="shared" si="14"/>
        <v>22014953.114763267</v>
      </c>
      <c r="AP161" s="31">
        <v>428410.06999999995</v>
      </c>
      <c r="AR161" s="42" t="s">
        <v>551</v>
      </c>
      <c r="AS161" s="42" t="s">
        <v>552</v>
      </c>
      <c r="AT161" s="43" t="s">
        <v>1276</v>
      </c>
      <c r="AU161" s="44">
        <v>32</v>
      </c>
      <c r="AV161" s="31">
        <v>15834779.701332644</v>
      </c>
      <c r="AW161" s="31">
        <v>685112.51</v>
      </c>
      <c r="AX161" s="31">
        <v>168331.57</v>
      </c>
      <c r="AY161" s="31">
        <v>55259.19</v>
      </c>
      <c r="AZ161" s="31">
        <v>2531560.8903842675</v>
      </c>
      <c r="BA161" s="31">
        <v>1711178.0023793341</v>
      </c>
      <c r="BB161" s="31">
        <v>1004230.9810919127</v>
      </c>
      <c r="BC161" s="31">
        <f t="shared" si="15"/>
        <v>22427705.525188159</v>
      </c>
      <c r="BD161" s="31">
        <v>437252.68</v>
      </c>
    </row>
    <row r="162" spans="2:56">
      <c r="B162" s="42" t="s">
        <v>417</v>
      </c>
      <c r="C162" s="42" t="s">
        <v>418</v>
      </c>
      <c r="D162" s="43" t="s">
        <v>1049</v>
      </c>
      <c r="E162" s="44">
        <v>32</v>
      </c>
      <c r="F162" s="31">
        <v>634310.17303443793</v>
      </c>
      <c r="G162" s="31">
        <v>8823.77</v>
      </c>
      <c r="H162" s="31">
        <v>0</v>
      </c>
      <c r="I162" s="31">
        <v>1744.22</v>
      </c>
      <c r="J162" s="31">
        <v>42566.034649388181</v>
      </c>
      <c r="K162" s="31">
        <v>74149.7838929891</v>
      </c>
      <c r="L162" s="31">
        <v>0</v>
      </c>
      <c r="M162" s="31">
        <f t="shared" si="12"/>
        <v>761593.98157681525</v>
      </c>
      <c r="N162" s="31">
        <v>0</v>
      </c>
      <c r="P162" s="42" t="s">
        <v>417</v>
      </c>
      <c r="Q162" s="42" t="s">
        <v>418</v>
      </c>
      <c r="R162" s="43" t="s">
        <v>1050</v>
      </c>
      <c r="S162" s="44">
        <v>32</v>
      </c>
      <c r="T162" s="31">
        <v>658333.40457738785</v>
      </c>
      <c r="U162" s="31">
        <v>9157.92</v>
      </c>
      <c r="V162" s="31">
        <v>0</v>
      </c>
      <c r="W162" s="31">
        <v>1810.29</v>
      </c>
      <c r="X162" s="31">
        <v>43994.921549824881</v>
      </c>
      <c r="Y162" s="31">
        <v>74202.491625281487</v>
      </c>
      <c r="Z162" s="31">
        <v>0</v>
      </c>
      <c r="AA162" s="31">
        <f t="shared" si="13"/>
        <v>787499.02775249432</v>
      </c>
      <c r="AB162" s="31">
        <v>0</v>
      </c>
      <c r="AD162" s="42" t="s">
        <v>417</v>
      </c>
      <c r="AE162" s="42" t="s">
        <v>418</v>
      </c>
      <c r="AF162" s="43" t="s">
        <v>1275</v>
      </c>
      <c r="AG162" s="44">
        <v>32</v>
      </c>
      <c r="AH162" s="31">
        <v>671000.57182690827</v>
      </c>
      <c r="AI162" s="31">
        <v>9337.2100000000009</v>
      </c>
      <c r="AJ162" s="31">
        <v>0</v>
      </c>
      <c r="AK162" s="31">
        <v>1845.7300000000002</v>
      </c>
      <c r="AL162" s="31">
        <v>44811.600477561595</v>
      </c>
      <c r="AM162" s="31">
        <v>74183.887234925554</v>
      </c>
      <c r="AN162" s="31">
        <v>0</v>
      </c>
      <c r="AO162" s="31">
        <f t="shared" si="14"/>
        <v>801178.99953939533</v>
      </c>
      <c r="AP162" s="31">
        <v>0</v>
      </c>
      <c r="AR162" s="42" t="s">
        <v>417</v>
      </c>
      <c r="AS162" s="42" t="s">
        <v>418</v>
      </c>
      <c r="AT162" s="43" t="s">
        <v>1276</v>
      </c>
      <c r="AU162" s="44">
        <v>32</v>
      </c>
      <c r="AV162" s="31">
        <v>683366.7820814047</v>
      </c>
      <c r="AW162" s="31">
        <v>9508.94</v>
      </c>
      <c r="AX162" s="31">
        <v>0</v>
      </c>
      <c r="AY162" s="31">
        <v>1879.68</v>
      </c>
      <c r="AZ162" s="31">
        <v>45640.165910840435</v>
      </c>
      <c r="BA162" s="31">
        <v>74186.811743195547</v>
      </c>
      <c r="BB162" s="31">
        <v>0</v>
      </c>
      <c r="BC162" s="31">
        <f t="shared" si="15"/>
        <v>814582.3797354406</v>
      </c>
      <c r="BD162" s="31">
        <v>0</v>
      </c>
    </row>
    <row r="163" spans="2:56">
      <c r="B163" s="42" t="s">
        <v>413</v>
      </c>
      <c r="C163" s="42" t="s">
        <v>414</v>
      </c>
      <c r="D163" s="43" t="s">
        <v>1049</v>
      </c>
      <c r="E163" s="44">
        <v>32</v>
      </c>
      <c r="F163" s="31">
        <v>56196561.714903474</v>
      </c>
      <c r="G163" s="31">
        <v>2867521.8600000003</v>
      </c>
      <c r="H163" s="31">
        <v>2644025.41</v>
      </c>
      <c r="I163" s="31">
        <v>204207.21999999997</v>
      </c>
      <c r="J163" s="31">
        <v>9018612.6032267157</v>
      </c>
      <c r="K163" s="31">
        <v>2911819.6015786654</v>
      </c>
      <c r="L163" s="31">
        <v>6157894.2783128582</v>
      </c>
      <c r="M163" s="31">
        <f t="shared" si="12"/>
        <v>81932367.478021726</v>
      </c>
      <c r="N163" s="31">
        <v>1931724.7899999998</v>
      </c>
      <c r="P163" s="42" t="s">
        <v>413</v>
      </c>
      <c r="Q163" s="42" t="s">
        <v>414</v>
      </c>
      <c r="R163" s="43" t="s">
        <v>1050</v>
      </c>
      <c r="S163" s="44">
        <v>32</v>
      </c>
      <c r="T163" s="31">
        <v>59177233.726849183</v>
      </c>
      <c r="U163" s="31">
        <v>3013640.350000001</v>
      </c>
      <c r="V163" s="31">
        <v>2756304.62</v>
      </c>
      <c r="W163" s="31">
        <v>212848.95000000004</v>
      </c>
      <c r="X163" s="31">
        <v>9365494.3933289293</v>
      </c>
      <c r="Y163" s="31">
        <v>2914746.8682359378</v>
      </c>
      <c r="Z163" s="31">
        <v>6465309.5784862302</v>
      </c>
      <c r="AA163" s="31">
        <f t="shared" si="13"/>
        <v>85895006.636900291</v>
      </c>
      <c r="AB163" s="31">
        <v>1989428.15</v>
      </c>
      <c r="AD163" s="42" t="s">
        <v>413</v>
      </c>
      <c r="AE163" s="42" t="s">
        <v>414</v>
      </c>
      <c r="AF163" s="43" t="s">
        <v>1275</v>
      </c>
      <c r="AG163" s="44">
        <v>32</v>
      </c>
      <c r="AH163" s="31">
        <v>60359510.543220952</v>
      </c>
      <c r="AI163" s="31">
        <v>3078369.4499999997</v>
      </c>
      <c r="AJ163" s="31">
        <v>2812476.22</v>
      </c>
      <c r="AK163" s="31">
        <v>217247.40000000002</v>
      </c>
      <c r="AL163" s="31">
        <v>9547066.3395256642</v>
      </c>
      <c r="AM163" s="31">
        <v>2913676.3826058614</v>
      </c>
      <c r="AN163" s="31">
        <v>6595086.7748506889</v>
      </c>
      <c r="AO163" s="31">
        <f t="shared" si="14"/>
        <v>87549921.720203176</v>
      </c>
      <c r="AP163" s="31">
        <v>2026488.6099999999</v>
      </c>
      <c r="AR163" s="42" t="s">
        <v>413</v>
      </c>
      <c r="AS163" s="42" t="s">
        <v>414</v>
      </c>
      <c r="AT163" s="43" t="s">
        <v>1276</v>
      </c>
      <c r="AU163" s="44">
        <v>32</v>
      </c>
      <c r="AV163" s="31">
        <v>61586570.120690726</v>
      </c>
      <c r="AW163" s="31">
        <v>3140336.0999999996</v>
      </c>
      <c r="AX163" s="31">
        <v>2869414.63</v>
      </c>
      <c r="AY163" s="31">
        <v>221617.23</v>
      </c>
      <c r="AZ163" s="31">
        <v>9741498.17312585</v>
      </c>
      <c r="BA163" s="31">
        <v>2913842.8030040613</v>
      </c>
      <c r="BB163" s="31">
        <v>6729595.6978105223</v>
      </c>
      <c r="BC163" s="31">
        <f t="shared" si="15"/>
        <v>89270949.364631146</v>
      </c>
      <c r="BD163" s="31">
        <v>2068074.61</v>
      </c>
    </row>
    <row r="164" spans="2:56">
      <c r="B164" s="42" t="s">
        <v>223</v>
      </c>
      <c r="C164" s="42" t="s">
        <v>224</v>
      </c>
      <c r="D164" s="43" t="s">
        <v>1049</v>
      </c>
      <c r="E164" s="44">
        <v>32</v>
      </c>
      <c r="F164" s="31">
        <v>5715380.3720149025</v>
      </c>
      <c r="G164" s="31">
        <v>312789.01999999996</v>
      </c>
      <c r="H164" s="31">
        <v>0</v>
      </c>
      <c r="I164" s="31">
        <v>0</v>
      </c>
      <c r="J164" s="31">
        <v>0</v>
      </c>
      <c r="K164" s="31">
        <v>413778.88</v>
      </c>
      <c r="L164" s="31">
        <v>68417.426813222177</v>
      </c>
      <c r="M164" s="31">
        <f t="shared" si="12"/>
        <v>6682569.0488281241</v>
      </c>
      <c r="N164" s="31">
        <v>172203.35000000003</v>
      </c>
      <c r="P164" s="42" t="s">
        <v>223</v>
      </c>
      <c r="Q164" s="42" t="s">
        <v>224</v>
      </c>
      <c r="R164" s="43" t="s">
        <v>1050</v>
      </c>
      <c r="S164" s="44">
        <v>32</v>
      </c>
      <c r="T164" s="31">
        <v>6009141.0241753794</v>
      </c>
      <c r="U164" s="31">
        <v>327934.73</v>
      </c>
      <c r="V164" s="31">
        <v>0</v>
      </c>
      <c r="W164" s="31">
        <v>0</v>
      </c>
      <c r="X164" s="31">
        <v>0</v>
      </c>
      <c r="Y164" s="31">
        <v>413778.88</v>
      </c>
      <c r="Z164" s="31">
        <v>71759.782525557093</v>
      </c>
      <c r="AA164" s="31">
        <f t="shared" si="13"/>
        <v>7000054.4267009366</v>
      </c>
      <c r="AB164" s="31">
        <v>177440.01</v>
      </c>
      <c r="AD164" s="42" t="s">
        <v>223</v>
      </c>
      <c r="AE164" s="42" t="s">
        <v>224</v>
      </c>
      <c r="AF164" s="43" t="s">
        <v>1275</v>
      </c>
      <c r="AG164" s="44">
        <v>32</v>
      </c>
      <c r="AH164" s="31">
        <v>6128062.7023033006</v>
      </c>
      <c r="AI164" s="31">
        <v>334902.37999999989</v>
      </c>
      <c r="AJ164" s="31">
        <v>0</v>
      </c>
      <c r="AK164" s="31">
        <v>0</v>
      </c>
      <c r="AL164" s="31">
        <v>0</v>
      </c>
      <c r="AM164" s="31">
        <v>413778.88</v>
      </c>
      <c r="AN164" s="31">
        <v>73246.511437776047</v>
      </c>
      <c r="AO164" s="31">
        <f t="shared" si="14"/>
        <v>7130730.2037410773</v>
      </c>
      <c r="AP164" s="31">
        <v>180739.73</v>
      </c>
      <c r="AR164" s="42" t="s">
        <v>223</v>
      </c>
      <c r="AS164" s="42" t="s">
        <v>224</v>
      </c>
      <c r="AT164" s="43" t="s">
        <v>1276</v>
      </c>
      <c r="AU164" s="44">
        <v>32</v>
      </c>
      <c r="AV164" s="31">
        <v>6250889.0414592493</v>
      </c>
      <c r="AW164" s="31">
        <v>341706.08</v>
      </c>
      <c r="AX164" s="31">
        <v>0</v>
      </c>
      <c r="AY164" s="31">
        <v>0</v>
      </c>
      <c r="AZ164" s="31">
        <v>0</v>
      </c>
      <c r="BA164" s="31">
        <v>413778.88</v>
      </c>
      <c r="BB164" s="31">
        <v>74880.392952015187</v>
      </c>
      <c r="BC164" s="31">
        <f t="shared" si="15"/>
        <v>7265764.3044112651</v>
      </c>
      <c r="BD164" s="31">
        <v>184509.90999999997</v>
      </c>
    </row>
    <row r="165" spans="2:56">
      <c r="B165" s="42" t="s">
        <v>427</v>
      </c>
      <c r="C165" s="42" t="s">
        <v>428</v>
      </c>
      <c r="D165" s="43" t="s">
        <v>1049</v>
      </c>
      <c r="E165" s="44">
        <v>32</v>
      </c>
      <c r="F165" s="31">
        <v>137409071.55545753</v>
      </c>
      <c r="G165" s="31">
        <v>5480018.8300000001</v>
      </c>
      <c r="H165" s="31">
        <v>5862686.9800000004</v>
      </c>
      <c r="I165" s="31">
        <v>496161.71</v>
      </c>
      <c r="J165" s="31">
        <v>21610811.315077849</v>
      </c>
      <c r="K165" s="31">
        <v>8782089.3412183076</v>
      </c>
      <c r="L165" s="31">
        <v>12888120.640033776</v>
      </c>
      <c r="M165" s="31">
        <f t="shared" si="12"/>
        <v>195451591.2317875</v>
      </c>
      <c r="N165" s="31">
        <v>2922630.86</v>
      </c>
      <c r="P165" s="42" t="s">
        <v>427</v>
      </c>
      <c r="Q165" s="42" t="s">
        <v>428</v>
      </c>
      <c r="R165" s="43" t="s">
        <v>1050</v>
      </c>
      <c r="S165" s="44">
        <v>32</v>
      </c>
      <c r="T165" s="31">
        <v>141466921.82021865</v>
      </c>
      <c r="U165" s="31">
        <v>5659187.9799999986</v>
      </c>
      <c r="V165" s="31">
        <v>6017542.6199999992</v>
      </c>
      <c r="W165" s="31">
        <v>509238.82</v>
      </c>
      <c r="X165" s="31">
        <v>22153662.250696402</v>
      </c>
      <c r="Y165" s="31">
        <v>8788444.5092923176</v>
      </c>
      <c r="Z165" s="31">
        <v>13234145.282705184</v>
      </c>
      <c r="AA165" s="31">
        <f t="shared" si="13"/>
        <v>200794463.54291251</v>
      </c>
      <c r="AB165" s="31">
        <v>2965320.26</v>
      </c>
      <c r="AD165" s="42" t="s">
        <v>427</v>
      </c>
      <c r="AE165" s="42" t="s">
        <v>428</v>
      </c>
      <c r="AF165" s="43" t="s">
        <v>1275</v>
      </c>
      <c r="AG165" s="44">
        <v>32</v>
      </c>
      <c r="AH165" s="31">
        <v>144303573.63520753</v>
      </c>
      <c r="AI165" s="31">
        <v>5779446.8100000024</v>
      </c>
      <c r="AJ165" s="31">
        <v>6140188.2999999998</v>
      </c>
      <c r="AK165" s="31">
        <v>519581.96</v>
      </c>
      <c r="AL165" s="31">
        <v>22584155.488986071</v>
      </c>
      <c r="AM165" s="31">
        <v>8786032.5110855028</v>
      </c>
      <c r="AN165" s="31">
        <v>13500143.54206549</v>
      </c>
      <c r="AO165" s="31">
        <f t="shared" si="14"/>
        <v>204633855.85734466</v>
      </c>
      <c r="AP165" s="31">
        <v>3020733.61</v>
      </c>
      <c r="AR165" s="42" t="s">
        <v>427</v>
      </c>
      <c r="AS165" s="42" t="s">
        <v>428</v>
      </c>
      <c r="AT165" s="43" t="s">
        <v>1276</v>
      </c>
      <c r="AU165" s="44">
        <v>32</v>
      </c>
      <c r="AV165" s="31">
        <v>147249285.35661861</v>
      </c>
      <c r="AW165" s="31">
        <v>5896471.96</v>
      </c>
      <c r="AX165" s="31">
        <v>6265217.2599999998</v>
      </c>
      <c r="AY165" s="31">
        <v>530229.17999999993</v>
      </c>
      <c r="AZ165" s="31">
        <v>23045914.721901454</v>
      </c>
      <c r="BA165" s="31">
        <v>8786403.7353799678</v>
      </c>
      <c r="BB165" s="31">
        <v>13776027.195332646</v>
      </c>
      <c r="BC165" s="31">
        <f t="shared" si="15"/>
        <v>208632557.37923267</v>
      </c>
      <c r="BD165" s="31">
        <v>3083007.9699999997</v>
      </c>
    </row>
    <row r="166" spans="2:56">
      <c r="B166" s="42" t="s">
        <v>583</v>
      </c>
      <c r="C166" s="42" t="s">
        <v>584</v>
      </c>
      <c r="D166" s="43" t="s">
        <v>1049</v>
      </c>
      <c r="E166" s="44">
        <v>32</v>
      </c>
      <c r="F166" s="31">
        <v>9875979.5281293672</v>
      </c>
      <c r="G166" s="31">
        <v>400684.5</v>
      </c>
      <c r="H166" s="31">
        <v>127260.21</v>
      </c>
      <c r="I166" s="31">
        <v>34299.849999999991</v>
      </c>
      <c r="J166" s="31">
        <v>1510256.247462132</v>
      </c>
      <c r="K166" s="31">
        <v>922762.02231205208</v>
      </c>
      <c r="L166" s="31">
        <v>744332.20701646782</v>
      </c>
      <c r="M166" s="31">
        <f t="shared" si="12"/>
        <v>13855965.79492002</v>
      </c>
      <c r="N166" s="31">
        <v>240391.23</v>
      </c>
      <c r="P166" s="42" t="s">
        <v>583</v>
      </c>
      <c r="Q166" s="42" t="s">
        <v>584</v>
      </c>
      <c r="R166" s="43" t="s">
        <v>1050</v>
      </c>
      <c r="S166" s="44">
        <v>32</v>
      </c>
      <c r="T166" s="31">
        <v>10415733.147571335</v>
      </c>
      <c r="U166" s="31">
        <v>421432.6100000001</v>
      </c>
      <c r="V166" s="31">
        <v>132855.44</v>
      </c>
      <c r="W166" s="31">
        <v>35819.370000000003</v>
      </c>
      <c r="X166" s="31">
        <v>1569085.8393635617</v>
      </c>
      <c r="Y166" s="31">
        <v>923786.7822408526</v>
      </c>
      <c r="Z166" s="31">
        <v>782181.23019730928</v>
      </c>
      <c r="AA166" s="31">
        <f t="shared" si="13"/>
        <v>14528393.409373056</v>
      </c>
      <c r="AB166" s="31">
        <v>247498.99</v>
      </c>
      <c r="AD166" s="42" t="s">
        <v>583</v>
      </c>
      <c r="AE166" s="42" t="s">
        <v>584</v>
      </c>
      <c r="AF166" s="43" t="s">
        <v>1275</v>
      </c>
      <c r="AG166" s="44">
        <v>32</v>
      </c>
      <c r="AH166" s="31">
        <v>10623911.109771844</v>
      </c>
      <c r="AI166" s="31">
        <v>430469.87999999995</v>
      </c>
      <c r="AJ166" s="31">
        <v>135454.26</v>
      </c>
      <c r="AK166" s="31">
        <v>36520.03</v>
      </c>
      <c r="AL166" s="31">
        <v>1599325.4373514282</v>
      </c>
      <c r="AM166" s="31">
        <v>923438.64140704006</v>
      </c>
      <c r="AN166" s="31">
        <v>797639.43764693092</v>
      </c>
      <c r="AO166" s="31">
        <f t="shared" si="14"/>
        <v>14798821.476177244</v>
      </c>
      <c r="AP166" s="31">
        <v>252062.68</v>
      </c>
      <c r="AR166" s="42" t="s">
        <v>583</v>
      </c>
      <c r="AS166" s="42" t="s">
        <v>584</v>
      </c>
      <c r="AT166" s="43" t="s">
        <v>1276</v>
      </c>
      <c r="AU166" s="44">
        <v>32</v>
      </c>
      <c r="AV166" s="31">
        <v>10839044.595518077</v>
      </c>
      <c r="AW166" s="31">
        <v>439001.27</v>
      </c>
      <c r="AX166" s="31">
        <v>138242.90000000002</v>
      </c>
      <c r="AY166" s="31">
        <v>37291.979999999996</v>
      </c>
      <c r="AZ166" s="31">
        <v>1631587.2401061684</v>
      </c>
      <c r="BA166" s="31">
        <v>923494.04291930015</v>
      </c>
      <c r="BB166" s="31">
        <v>813785.34341271757</v>
      </c>
      <c r="BC166" s="31">
        <f t="shared" si="15"/>
        <v>15079597.871956265</v>
      </c>
      <c r="BD166" s="31">
        <v>257150.5</v>
      </c>
    </row>
    <row r="167" spans="2:56">
      <c r="B167" s="42" t="s">
        <v>271</v>
      </c>
      <c r="C167" s="42" t="s">
        <v>272</v>
      </c>
      <c r="D167" s="43" t="s">
        <v>1049</v>
      </c>
      <c r="E167" s="44">
        <v>32</v>
      </c>
      <c r="F167" s="31">
        <v>5812132.4280396048</v>
      </c>
      <c r="G167" s="31">
        <v>221779.66999999998</v>
      </c>
      <c r="H167" s="31">
        <v>27576.280000000002</v>
      </c>
      <c r="I167" s="31">
        <v>21534.85</v>
      </c>
      <c r="J167" s="31">
        <v>747561.83150082373</v>
      </c>
      <c r="K167" s="31">
        <v>379541.76707780029</v>
      </c>
      <c r="L167" s="31">
        <v>1068828.9939821053</v>
      </c>
      <c r="M167" s="31">
        <f t="shared" si="12"/>
        <v>8278955.8206003336</v>
      </c>
      <c r="N167" s="31">
        <v>0</v>
      </c>
      <c r="P167" s="42" t="s">
        <v>271</v>
      </c>
      <c r="Q167" s="42" t="s">
        <v>272</v>
      </c>
      <c r="R167" s="43" t="s">
        <v>1050</v>
      </c>
      <c r="S167" s="44">
        <v>32</v>
      </c>
      <c r="T167" s="31">
        <v>6059349.4589598551</v>
      </c>
      <c r="U167" s="31">
        <v>231409.26</v>
      </c>
      <c r="V167" s="31">
        <v>28837.620000000003</v>
      </c>
      <c r="W167" s="31">
        <v>22462.999999999996</v>
      </c>
      <c r="X167" s="31">
        <v>776706.75842779537</v>
      </c>
      <c r="Y167" s="31">
        <v>379970.01043716766</v>
      </c>
      <c r="Z167" s="31">
        <v>1112365.8422404914</v>
      </c>
      <c r="AA167" s="31">
        <f t="shared" si="13"/>
        <v>8611101.9500653092</v>
      </c>
      <c r="AB167" s="31">
        <v>0</v>
      </c>
      <c r="AD167" s="42" t="s">
        <v>271</v>
      </c>
      <c r="AE167" s="42" t="s">
        <v>272</v>
      </c>
      <c r="AF167" s="43" t="s">
        <v>1275</v>
      </c>
      <c r="AG167" s="44">
        <v>32</v>
      </c>
      <c r="AH167" s="31">
        <v>6179636.9441745654</v>
      </c>
      <c r="AI167" s="31">
        <v>236142.25</v>
      </c>
      <c r="AJ167" s="31">
        <v>29401.73</v>
      </c>
      <c r="AK167" s="31">
        <v>22902.390000000003</v>
      </c>
      <c r="AL167" s="31">
        <v>791668.81072051881</v>
      </c>
      <c r="AM167" s="31">
        <v>379824.52367874287</v>
      </c>
      <c r="AN167" s="31">
        <v>1134618.3579472047</v>
      </c>
      <c r="AO167" s="31">
        <f t="shared" si="14"/>
        <v>8774195.0065210331</v>
      </c>
      <c r="AP167" s="31">
        <v>0</v>
      </c>
      <c r="AR167" s="42" t="s">
        <v>271</v>
      </c>
      <c r="AS167" s="42" t="s">
        <v>272</v>
      </c>
      <c r="AT167" s="43" t="s">
        <v>1276</v>
      </c>
      <c r="AU167" s="44">
        <v>32</v>
      </c>
      <c r="AV167" s="31">
        <v>6301907.2433093516</v>
      </c>
      <c r="AW167" s="31">
        <v>240874.61000000002</v>
      </c>
      <c r="AX167" s="31">
        <v>29938.63</v>
      </c>
      <c r="AY167" s="31">
        <v>23320.600000000002</v>
      </c>
      <c r="AZ167" s="31">
        <v>807648.6060290453</v>
      </c>
      <c r="BA167" s="31">
        <v>379847.67576447286</v>
      </c>
      <c r="BB167" s="31">
        <v>1157632.2121074107</v>
      </c>
      <c r="BC167" s="31">
        <f t="shared" si="15"/>
        <v>8941169.577210281</v>
      </c>
      <c r="BD167" s="31">
        <v>0</v>
      </c>
    </row>
    <row r="168" spans="2:56">
      <c r="B168" s="42" t="s">
        <v>349</v>
      </c>
      <c r="C168" s="42" t="s">
        <v>350</v>
      </c>
      <c r="D168" s="43" t="s">
        <v>1049</v>
      </c>
      <c r="E168" s="44">
        <v>32</v>
      </c>
      <c r="F168" s="31">
        <v>3382870.2667499324</v>
      </c>
      <c r="G168" s="31">
        <v>106733.33999999998</v>
      </c>
      <c r="H168" s="31">
        <v>22597.599999999999</v>
      </c>
      <c r="I168" s="31">
        <v>9079.41</v>
      </c>
      <c r="J168" s="31">
        <v>380688.20842747437</v>
      </c>
      <c r="K168" s="31">
        <v>229951.44005905298</v>
      </c>
      <c r="L168" s="31">
        <v>116414.26317744788</v>
      </c>
      <c r="M168" s="31">
        <f t="shared" si="12"/>
        <v>4342760.2484139074</v>
      </c>
      <c r="N168" s="31">
        <v>94425.719999999987</v>
      </c>
      <c r="P168" s="42" t="s">
        <v>349</v>
      </c>
      <c r="Q168" s="42" t="s">
        <v>350</v>
      </c>
      <c r="R168" s="43" t="s">
        <v>1050</v>
      </c>
      <c r="S168" s="44">
        <v>32</v>
      </c>
      <c r="T168" s="31">
        <v>3550595.0419058688</v>
      </c>
      <c r="U168" s="31">
        <v>112582.84999999999</v>
      </c>
      <c r="V168" s="31">
        <v>23666.68</v>
      </c>
      <c r="W168" s="31">
        <v>9424.8100000000013</v>
      </c>
      <c r="X168" s="31">
        <v>395468.60607952526</v>
      </c>
      <c r="Y168" s="31">
        <v>230236.14365159461</v>
      </c>
      <c r="Z168" s="31">
        <v>122255.5811708274</v>
      </c>
      <c r="AA168" s="31">
        <f t="shared" si="13"/>
        <v>4541400.8028078163</v>
      </c>
      <c r="AB168" s="31">
        <v>97171.090000000011</v>
      </c>
      <c r="AD168" s="42" t="s">
        <v>349</v>
      </c>
      <c r="AE168" s="42" t="s">
        <v>350</v>
      </c>
      <c r="AF168" s="43" t="s">
        <v>1275</v>
      </c>
      <c r="AG168" s="44">
        <v>32</v>
      </c>
      <c r="AH168" s="31">
        <v>3620309.0502127921</v>
      </c>
      <c r="AI168" s="31">
        <v>115077.08999999998</v>
      </c>
      <c r="AJ168" s="31">
        <v>24129.920000000002</v>
      </c>
      <c r="AK168" s="31">
        <v>9609.26</v>
      </c>
      <c r="AL168" s="31">
        <v>403114.45531487366</v>
      </c>
      <c r="AM168" s="31">
        <v>230139.42153814033</v>
      </c>
      <c r="AN168" s="31">
        <v>124815.69787717744</v>
      </c>
      <c r="AO168" s="31">
        <f t="shared" si="14"/>
        <v>4626190.7549429834</v>
      </c>
      <c r="AP168" s="31">
        <v>98995.86</v>
      </c>
      <c r="AR168" s="42" t="s">
        <v>349</v>
      </c>
      <c r="AS168" s="42" t="s">
        <v>350</v>
      </c>
      <c r="AT168" s="43" t="s">
        <v>1276</v>
      </c>
      <c r="AU168" s="44">
        <v>32</v>
      </c>
      <c r="AV168" s="31">
        <v>3691005.8058519121</v>
      </c>
      <c r="AW168" s="31">
        <v>117382.29999999999</v>
      </c>
      <c r="AX168" s="31">
        <v>24572.710000000003</v>
      </c>
      <c r="AY168" s="31">
        <v>9894.3099999999977</v>
      </c>
      <c r="AZ168" s="31">
        <v>411258.00484714459</v>
      </c>
      <c r="BA168" s="31">
        <v>230154.81344519032</v>
      </c>
      <c r="BB168" s="31">
        <v>127379.19590718491</v>
      </c>
      <c r="BC168" s="31">
        <f t="shared" si="15"/>
        <v>4712700.9600514313</v>
      </c>
      <c r="BD168" s="31">
        <v>101053.82</v>
      </c>
    </row>
    <row r="169" spans="2:56">
      <c r="B169" s="42" t="s">
        <v>327</v>
      </c>
      <c r="C169" s="42" t="s">
        <v>328</v>
      </c>
      <c r="D169" s="43" t="s">
        <v>1049</v>
      </c>
      <c r="E169" s="44">
        <v>32</v>
      </c>
      <c r="F169" s="31">
        <v>1152415.1436120542</v>
      </c>
      <c r="G169" s="31">
        <v>80000.48000000001</v>
      </c>
      <c r="H169" s="31">
        <v>0</v>
      </c>
      <c r="I169" s="31">
        <v>0</v>
      </c>
      <c r="J169" s="31">
        <v>174682.23429234681</v>
      </c>
      <c r="K169" s="31">
        <v>186915.49262984528</v>
      </c>
      <c r="L169" s="31">
        <v>0</v>
      </c>
      <c r="M169" s="31">
        <f t="shared" si="12"/>
        <v>1631139.0405342462</v>
      </c>
      <c r="N169" s="31">
        <v>37125.689999999995</v>
      </c>
      <c r="P169" s="42" t="s">
        <v>327</v>
      </c>
      <c r="Q169" s="42" t="s">
        <v>328</v>
      </c>
      <c r="R169" s="43" t="s">
        <v>1050</v>
      </c>
      <c r="S169" s="44">
        <v>32</v>
      </c>
      <c r="T169" s="31">
        <v>1220081.6835250454</v>
      </c>
      <c r="U169" s="31">
        <v>83992.979999999981</v>
      </c>
      <c r="V169" s="31">
        <v>0</v>
      </c>
      <c r="W169" s="31">
        <v>0</v>
      </c>
      <c r="X169" s="31">
        <v>181480.08314788924</v>
      </c>
      <c r="Y169" s="31">
        <v>187075.34136663587</v>
      </c>
      <c r="Z169" s="31">
        <v>0</v>
      </c>
      <c r="AA169" s="31">
        <f t="shared" si="13"/>
        <v>1710868.1480395705</v>
      </c>
      <c r="AB169" s="31">
        <v>38238.060000000005</v>
      </c>
      <c r="AD169" s="42" t="s">
        <v>327</v>
      </c>
      <c r="AE169" s="42" t="s">
        <v>328</v>
      </c>
      <c r="AF169" s="43" t="s">
        <v>1275</v>
      </c>
      <c r="AG169" s="44">
        <v>32</v>
      </c>
      <c r="AH169" s="31">
        <v>1244295.9035067703</v>
      </c>
      <c r="AI169" s="31">
        <v>85813.450000000012</v>
      </c>
      <c r="AJ169" s="31">
        <v>0</v>
      </c>
      <c r="AK169" s="31">
        <v>0</v>
      </c>
      <c r="AL169" s="31">
        <v>184972.10691534181</v>
      </c>
      <c r="AM169" s="31">
        <v>187021.03608893507</v>
      </c>
      <c r="AN169" s="31">
        <v>0</v>
      </c>
      <c r="AO169" s="31">
        <f t="shared" si="14"/>
        <v>1741014.2365110472</v>
      </c>
      <c r="AP169" s="31">
        <v>38911.74</v>
      </c>
      <c r="AR169" s="42" t="s">
        <v>327</v>
      </c>
      <c r="AS169" s="42" t="s">
        <v>328</v>
      </c>
      <c r="AT169" s="43" t="s">
        <v>1276</v>
      </c>
      <c r="AU169" s="44">
        <v>32</v>
      </c>
      <c r="AV169" s="31">
        <v>1269472.3433962616</v>
      </c>
      <c r="AW169" s="31">
        <v>87476.170000000013</v>
      </c>
      <c r="AX169" s="31">
        <v>0</v>
      </c>
      <c r="AY169" s="31">
        <v>0</v>
      </c>
      <c r="AZ169" s="31">
        <v>188698.54336435389</v>
      </c>
      <c r="BA169" s="31">
        <v>187029.67797812508</v>
      </c>
      <c r="BB169" s="31">
        <v>0</v>
      </c>
      <c r="BC169" s="31">
        <f t="shared" si="15"/>
        <v>1772413.4547387406</v>
      </c>
      <c r="BD169" s="31">
        <v>39736.719999999994</v>
      </c>
    </row>
    <row r="170" spans="2:56">
      <c r="B170" s="42" t="s">
        <v>355</v>
      </c>
      <c r="C170" s="42" t="s">
        <v>356</v>
      </c>
      <c r="D170" s="43" t="s">
        <v>1049</v>
      </c>
      <c r="E170" s="44">
        <v>32</v>
      </c>
      <c r="F170" s="31">
        <v>7754667.1850839565</v>
      </c>
      <c r="G170" s="31">
        <v>384216.6999999999</v>
      </c>
      <c r="H170" s="31">
        <v>0</v>
      </c>
      <c r="I170" s="31">
        <v>28745.600000000002</v>
      </c>
      <c r="J170" s="31">
        <v>1259800.8254742215</v>
      </c>
      <c r="K170" s="31">
        <v>852641.51881356712</v>
      </c>
      <c r="L170" s="31">
        <v>1185220.0547156399</v>
      </c>
      <c r="M170" s="31">
        <f t="shared" si="12"/>
        <v>11748850.234087383</v>
      </c>
      <c r="N170" s="31">
        <v>283558.35000000003</v>
      </c>
      <c r="P170" s="42" t="s">
        <v>355</v>
      </c>
      <c r="Q170" s="42" t="s">
        <v>356</v>
      </c>
      <c r="R170" s="43" t="s">
        <v>1050</v>
      </c>
      <c r="S170" s="44">
        <v>32</v>
      </c>
      <c r="T170" s="31">
        <v>8165408.1507512834</v>
      </c>
      <c r="U170" s="31">
        <v>404830.37000000011</v>
      </c>
      <c r="V170" s="31">
        <v>0</v>
      </c>
      <c r="W170" s="31">
        <v>29950.65</v>
      </c>
      <c r="X170" s="31">
        <v>1308892.1734544334</v>
      </c>
      <c r="Y170" s="31">
        <v>853477.8612743339</v>
      </c>
      <c r="Z170" s="31">
        <v>1245222.5327545942</v>
      </c>
      <c r="AA170" s="31">
        <f t="shared" si="13"/>
        <v>12299708.728234645</v>
      </c>
      <c r="AB170" s="31">
        <v>291926.99</v>
      </c>
      <c r="AD170" s="42" t="s">
        <v>355</v>
      </c>
      <c r="AE170" s="42" t="s">
        <v>356</v>
      </c>
      <c r="AF170" s="43" t="s">
        <v>1275</v>
      </c>
      <c r="AG170" s="44">
        <v>32</v>
      </c>
      <c r="AH170" s="31">
        <v>8327661.8910960909</v>
      </c>
      <c r="AI170" s="31">
        <v>413629.21999999991</v>
      </c>
      <c r="AJ170" s="31">
        <v>0</v>
      </c>
      <c r="AK170" s="31">
        <v>30536.529999999995</v>
      </c>
      <c r="AL170" s="31">
        <v>1334128.5367776447</v>
      </c>
      <c r="AM170" s="31">
        <v>853193.73134940118</v>
      </c>
      <c r="AN170" s="31">
        <v>1270156.1254756132</v>
      </c>
      <c r="AO170" s="31">
        <f t="shared" si="14"/>
        <v>12526579.47469875</v>
      </c>
      <c r="AP170" s="31">
        <v>297273.44</v>
      </c>
      <c r="AR170" s="42" t="s">
        <v>355</v>
      </c>
      <c r="AS170" s="42" t="s">
        <v>356</v>
      </c>
      <c r="AT170" s="43" t="s">
        <v>1276</v>
      </c>
      <c r="AU170" s="44">
        <v>32</v>
      </c>
      <c r="AV170" s="31">
        <v>8495932.7763251849</v>
      </c>
      <c r="AW170" s="31">
        <v>421841.9200000001</v>
      </c>
      <c r="AX170" s="31">
        <v>0</v>
      </c>
      <c r="AY170" s="31">
        <v>31199.200000000004</v>
      </c>
      <c r="AZ170" s="31">
        <v>1361064.82586397</v>
      </c>
      <c r="BA170" s="31">
        <v>853238.94646348932</v>
      </c>
      <c r="BB170" s="31">
        <v>1295915.670483995</v>
      </c>
      <c r="BC170" s="31">
        <f t="shared" si="15"/>
        <v>12762496.39913664</v>
      </c>
      <c r="BD170" s="31">
        <v>303303.06</v>
      </c>
    </row>
    <row r="171" spans="2:56">
      <c r="B171" s="42" t="s">
        <v>457</v>
      </c>
      <c r="C171" s="42" t="s">
        <v>458</v>
      </c>
      <c r="D171" s="43" t="s">
        <v>1049</v>
      </c>
      <c r="E171" s="44">
        <v>32</v>
      </c>
      <c r="F171" s="31">
        <v>11138590.072786625</v>
      </c>
      <c r="G171" s="31">
        <v>217102.42</v>
      </c>
      <c r="H171" s="31">
        <v>0</v>
      </c>
      <c r="I171" s="31">
        <v>38977.100000000006</v>
      </c>
      <c r="J171" s="31">
        <v>1672889.8607153418</v>
      </c>
      <c r="K171" s="31">
        <v>1005722.1061213798</v>
      </c>
      <c r="L171" s="31">
        <v>879596.46810920304</v>
      </c>
      <c r="M171" s="31">
        <f t="shared" si="12"/>
        <v>14952878.027732549</v>
      </c>
      <c r="N171" s="31">
        <v>0</v>
      </c>
      <c r="P171" s="42" t="s">
        <v>457</v>
      </c>
      <c r="Q171" s="42" t="s">
        <v>458</v>
      </c>
      <c r="R171" s="43" t="s">
        <v>1050</v>
      </c>
      <c r="S171" s="44">
        <v>32</v>
      </c>
      <c r="T171" s="31">
        <v>11623857.301066874</v>
      </c>
      <c r="U171" s="31">
        <v>226451.20000000004</v>
      </c>
      <c r="V171" s="31">
        <v>0</v>
      </c>
      <c r="W171" s="31">
        <v>40676.22</v>
      </c>
      <c r="X171" s="31">
        <v>1738096.8649298721</v>
      </c>
      <c r="Y171" s="31">
        <v>1006768.1269970427</v>
      </c>
      <c r="Z171" s="31">
        <v>915673.5485453154</v>
      </c>
      <c r="AA171" s="31">
        <f t="shared" si="13"/>
        <v>15551523.261539103</v>
      </c>
      <c r="AB171" s="31">
        <v>0</v>
      </c>
      <c r="AD171" s="42" t="s">
        <v>457</v>
      </c>
      <c r="AE171" s="42" t="s">
        <v>458</v>
      </c>
      <c r="AF171" s="43" t="s">
        <v>1275</v>
      </c>
      <c r="AG171" s="44">
        <v>32</v>
      </c>
      <c r="AH171" s="31">
        <v>11855351.893054591</v>
      </c>
      <c r="AI171" s="31">
        <v>231087.19999999998</v>
      </c>
      <c r="AJ171" s="31">
        <v>0</v>
      </c>
      <c r="AK171" s="31">
        <v>41575.07</v>
      </c>
      <c r="AL171" s="31">
        <v>1771612.4248843163</v>
      </c>
      <c r="AM171" s="31">
        <v>1006412.7631995288</v>
      </c>
      <c r="AN171" s="31">
        <v>933926.86087180569</v>
      </c>
      <c r="AO171" s="31">
        <f t="shared" si="14"/>
        <v>15839966.21201024</v>
      </c>
      <c r="AP171" s="31">
        <v>0</v>
      </c>
      <c r="AR171" s="42" t="s">
        <v>457</v>
      </c>
      <c r="AS171" s="42" t="s">
        <v>458</v>
      </c>
      <c r="AT171" s="43" t="s">
        <v>1276</v>
      </c>
      <c r="AU171" s="44">
        <v>32</v>
      </c>
      <c r="AV171" s="31">
        <v>12094214.366670378</v>
      </c>
      <c r="AW171" s="31">
        <v>235727.25999999995</v>
      </c>
      <c r="AX171" s="31">
        <v>0</v>
      </c>
      <c r="AY171" s="31">
        <v>42334.279999999992</v>
      </c>
      <c r="AZ171" s="31">
        <v>1807366.2696891525</v>
      </c>
      <c r="BA171" s="31">
        <v>1006469.314140621</v>
      </c>
      <c r="BB171" s="31">
        <v>952632.72132367163</v>
      </c>
      <c r="BC171" s="31">
        <f t="shared" si="15"/>
        <v>16138744.211823821</v>
      </c>
      <c r="BD171" s="31">
        <v>0</v>
      </c>
    </row>
    <row r="172" spans="2:56">
      <c r="B172" s="42" t="s">
        <v>549</v>
      </c>
      <c r="C172" s="42" t="s">
        <v>550</v>
      </c>
      <c r="D172" s="43" t="s">
        <v>1049</v>
      </c>
      <c r="E172" s="44">
        <v>32</v>
      </c>
      <c r="F172" s="31">
        <v>15616052.716939846</v>
      </c>
      <c r="G172" s="31">
        <v>644545.11</v>
      </c>
      <c r="H172" s="31">
        <v>393170.45999999996</v>
      </c>
      <c r="I172" s="31">
        <v>53250.38</v>
      </c>
      <c r="J172" s="31">
        <v>2515480.3160548015</v>
      </c>
      <c r="K172" s="31">
        <v>1293031.5201573034</v>
      </c>
      <c r="L172" s="31">
        <v>811387.76584809774</v>
      </c>
      <c r="M172" s="31">
        <f t="shared" si="12"/>
        <v>21764823.169000044</v>
      </c>
      <c r="N172" s="31">
        <v>437904.9</v>
      </c>
      <c r="P172" s="42" t="s">
        <v>549</v>
      </c>
      <c r="Q172" s="42" t="s">
        <v>550</v>
      </c>
      <c r="R172" s="43" t="s">
        <v>1050</v>
      </c>
      <c r="S172" s="44">
        <v>32</v>
      </c>
      <c r="T172" s="31">
        <v>16475406.128073271</v>
      </c>
      <c r="U172" s="31">
        <v>678030.47999999975</v>
      </c>
      <c r="V172" s="31">
        <v>409976.98</v>
      </c>
      <c r="W172" s="31">
        <v>55479.99</v>
      </c>
      <c r="X172" s="31">
        <v>2612773.2203401932</v>
      </c>
      <c r="Y172" s="31">
        <v>1294042.785146235</v>
      </c>
      <c r="Z172" s="31">
        <v>852461.11682024284</v>
      </c>
      <c r="AA172" s="31">
        <f t="shared" si="13"/>
        <v>22829120.980379943</v>
      </c>
      <c r="AB172" s="31">
        <v>450950.28</v>
      </c>
      <c r="AD172" s="42" t="s">
        <v>549</v>
      </c>
      <c r="AE172" s="42" t="s">
        <v>550</v>
      </c>
      <c r="AF172" s="43" t="s">
        <v>1275</v>
      </c>
      <c r="AG172" s="44">
        <v>32</v>
      </c>
      <c r="AH172" s="31">
        <v>16804642.946096156</v>
      </c>
      <c r="AI172" s="31">
        <v>692684.55</v>
      </c>
      <c r="AJ172" s="31">
        <v>418437.89</v>
      </c>
      <c r="AK172" s="31">
        <v>56674.77</v>
      </c>
      <c r="AL172" s="31">
        <v>2663270.8530628695</v>
      </c>
      <c r="AM172" s="31">
        <v>1293685.8362169391</v>
      </c>
      <c r="AN172" s="31">
        <v>869682.97902554343</v>
      </c>
      <c r="AO172" s="31">
        <f t="shared" si="14"/>
        <v>23258348.054401506</v>
      </c>
      <c r="AP172" s="31">
        <v>459268.23</v>
      </c>
      <c r="AR172" s="42" t="s">
        <v>549</v>
      </c>
      <c r="AS172" s="42" t="s">
        <v>550</v>
      </c>
      <c r="AT172" s="43" t="s">
        <v>1276</v>
      </c>
      <c r="AU172" s="44">
        <v>32</v>
      </c>
      <c r="AV172" s="31">
        <v>17145158.500046115</v>
      </c>
      <c r="AW172" s="31">
        <v>706529.7699999999</v>
      </c>
      <c r="AX172" s="31">
        <v>426797.36</v>
      </c>
      <c r="AY172" s="31">
        <v>57717.17</v>
      </c>
      <c r="AZ172" s="31">
        <v>2717252.7419347875</v>
      </c>
      <c r="BA172" s="31">
        <v>1293741.9466336593</v>
      </c>
      <c r="BB172" s="31">
        <v>887032.670238183</v>
      </c>
      <c r="BC172" s="31">
        <f t="shared" si="15"/>
        <v>23702941.118852746</v>
      </c>
      <c r="BD172" s="31">
        <v>468710.96000000008</v>
      </c>
    </row>
    <row r="173" spans="2:56">
      <c r="B173" s="42" t="s">
        <v>145</v>
      </c>
      <c r="C173" s="42" t="s">
        <v>146</v>
      </c>
      <c r="D173" s="43" t="s">
        <v>1049</v>
      </c>
      <c r="E173" s="44">
        <v>32</v>
      </c>
      <c r="F173" s="31">
        <v>6384921.8202214371</v>
      </c>
      <c r="G173" s="31">
        <v>340854.69000000006</v>
      </c>
      <c r="H173" s="31">
        <v>28745.600000000002</v>
      </c>
      <c r="I173" s="31">
        <v>20365.53</v>
      </c>
      <c r="J173" s="31">
        <v>898107.67840627523</v>
      </c>
      <c r="K173" s="31">
        <v>593477.41942498717</v>
      </c>
      <c r="L173" s="31">
        <v>346985.02301399177</v>
      </c>
      <c r="M173" s="31">
        <f t="shared" si="12"/>
        <v>8823836.6210666914</v>
      </c>
      <c r="N173" s="31">
        <v>210378.86</v>
      </c>
      <c r="P173" s="42" t="s">
        <v>145</v>
      </c>
      <c r="Q173" s="42" t="s">
        <v>146</v>
      </c>
      <c r="R173" s="43" t="s">
        <v>1050</v>
      </c>
      <c r="S173" s="44">
        <v>32</v>
      </c>
      <c r="T173" s="31">
        <v>6724917.233731227</v>
      </c>
      <c r="U173" s="31">
        <v>358585.68000000005</v>
      </c>
      <c r="V173" s="31">
        <v>30051.83</v>
      </c>
      <c r="W173" s="31">
        <v>21248.78</v>
      </c>
      <c r="X173" s="31">
        <v>933061.85977067624</v>
      </c>
      <c r="Y173" s="31">
        <v>593848.71721667994</v>
      </c>
      <c r="Z173" s="31">
        <v>364758.01081003738</v>
      </c>
      <c r="AA173" s="31">
        <f t="shared" si="13"/>
        <v>9243121.0615286212</v>
      </c>
      <c r="AB173" s="31">
        <v>216648.94999999998</v>
      </c>
      <c r="AD173" s="42" t="s">
        <v>145</v>
      </c>
      <c r="AE173" s="42" t="s">
        <v>146</v>
      </c>
      <c r="AF173" s="43" t="s">
        <v>1275</v>
      </c>
      <c r="AG173" s="44">
        <v>32</v>
      </c>
      <c r="AH173" s="31">
        <v>6858507.1124379439</v>
      </c>
      <c r="AI173" s="31">
        <v>366332.07999999996</v>
      </c>
      <c r="AJ173" s="31">
        <v>30639.700000000004</v>
      </c>
      <c r="AK173" s="31">
        <v>21664.420000000002</v>
      </c>
      <c r="AL173" s="31">
        <v>951049.25672714587</v>
      </c>
      <c r="AM173" s="31">
        <v>593722.57652834919</v>
      </c>
      <c r="AN173" s="31">
        <v>372016.45465789613</v>
      </c>
      <c r="AO173" s="31">
        <f t="shared" si="14"/>
        <v>9414499.1403513346</v>
      </c>
      <c r="AP173" s="31">
        <v>220567.54</v>
      </c>
      <c r="AR173" s="42" t="s">
        <v>145</v>
      </c>
      <c r="AS173" s="42" t="s">
        <v>146</v>
      </c>
      <c r="AT173" s="43" t="s">
        <v>1276</v>
      </c>
      <c r="AU173" s="44">
        <v>32</v>
      </c>
      <c r="AV173" s="31">
        <v>6994385.9811511477</v>
      </c>
      <c r="AW173" s="31">
        <v>373596.05000000005</v>
      </c>
      <c r="AX173" s="31">
        <v>31199.200000000004</v>
      </c>
      <c r="AY173" s="31">
        <v>22060.04</v>
      </c>
      <c r="AZ173" s="31">
        <v>970227.27893504256</v>
      </c>
      <c r="BA173" s="31">
        <v>593742.64997050911</v>
      </c>
      <c r="BB173" s="31">
        <v>379412.50299114286</v>
      </c>
      <c r="BC173" s="31">
        <f t="shared" si="15"/>
        <v>9589695.0630478431</v>
      </c>
      <c r="BD173" s="31">
        <v>225071.36000000002</v>
      </c>
    </row>
    <row r="174" spans="2:56">
      <c r="B174" s="42" t="s">
        <v>113</v>
      </c>
      <c r="C174" s="42" t="s">
        <v>114</v>
      </c>
      <c r="D174" s="43" t="s">
        <v>1049</v>
      </c>
      <c r="E174" s="44">
        <v>32</v>
      </c>
      <c r="F174" s="31">
        <v>16709870.13729937</v>
      </c>
      <c r="G174" s="31">
        <v>958056.95000000019</v>
      </c>
      <c r="H174" s="31">
        <v>1128386.83</v>
      </c>
      <c r="I174" s="31">
        <v>57198.879999999997</v>
      </c>
      <c r="J174" s="31">
        <v>2692651.9099983489</v>
      </c>
      <c r="K174" s="31">
        <v>1509616.5768358549</v>
      </c>
      <c r="L174" s="31">
        <v>989890.6474760616</v>
      </c>
      <c r="M174" s="31">
        <f t="shared" si="12"/>
        <v>24635882.551609635</v>
      </c>
      <c r="N174" s="31">
        <v>590210.61999999988</v>
      </c>
      <c r="P174" s="42" t="s">
        <v>113</v>
      </c>
      <c r="Q174" s="42" t="s">
        <v>114</v>
      </c>
      <c r="R174" s="43" t="s">
        <v>1050</v>
      </c>
      <c r="S174" s="44">
        <v>32</v>
      </c>
      <c r="T174" s="31">
        <v>17616321.766310666</v>
      </c>
      <c r="U174" s="31">
        <v>1007899.68</v>
      </c>
      <c r="V174" s="31">
        <v>1177485.55</v>
      </c>
      <c r="W174" s="31">
        <v>59597.760000000009</v>
      </c>
      <c r="X174" s="31">
        <v>2797500.398663559</v>
      </c>
      <c r="Y174" s="31">
        <v>1510794.0494598208</v>
      </c>
      <c r="Z174" s="31">
        <v>1039963.8626435898</v>
      </c>
      <c r="AA174" s="31">
        <f t="shared" si="13"/>
        <v>25817278.377077635</v>
      </c>
      <c r="AB174" s="31">
        <v>607715.30999999994</v>
      </c>
      <c r="AD174" s="42" t="s">
        <v>113</v>
      </c>
      <c r="AE174" s="42" t="s">
        <v>114</v>
      </c>
      <c r="AF174" s="43" t="s">
        <v>1275</v>
      </c>
      <c r="AG174" s="44">
        <v>32</v>
      </c>
      <c r="AH174" s="31">
        <v>17968362.535798877</v>
      </c>
      <c r="AI174" s="31">
        <v>1029629.4000000001</v>
      </c>
      <c r="AJ174" s="31">
        <v>1201447.1500000001</v>
      </c>
      <c r="AK174" s="31">
        <v>60866.720000000001</v>
      </c>
      <c r="AL174" s="31">
        <v>2851449.4080144982</v>
      </c>
      <c r="AM174" s="31">
        <v>1510394.0276697625</v>
      </c>
      <c r="AN174" s="31">
        <v>1060732.4960131897</v>
      </c>
      <c r="AO174" s="31">
        <f t="shared" si="14"/>
        <v>26301811.957496323</v>
      </c>
      <c r="AP174" s="31">
        <v>618930.22</v>
      </c>
      <c r="AR174" s="42" t="s">
        <v>113</v>
      </c>
      <c r="AS174" s="42" t="s">
        <v>114</v>
      </c>
      <c r="AT174" s="43" t="s">
        <v>1276</v>
      </c>
      <c r="AU174" s="44">
        <v>32</v>
      </c>
      <c r="AV174" s="31">
        <v>18330483.641205963</v>
      </c>
      <c r="AW174" s="31">
        <v>1050058.5900000003</v>
      </c>
      <c r="AX174" s="31">
        <v>1225487.6399999999</v>
      </c>
      <c r="AY174" s="31">
        <v>62083.26</v>
      </c>
      <c r="AZ174" s="31">
        <v>2908956.8302397509</v>
      </c>
      <c r="BA174" s="31">
        <v>1510457.6852759775</v>
      </c>
      <c r="BB174" s="31">
        <v>1082105.3563813537</v>
      </c>
      <c r="BC174" s="31">
        <f t="shared" si="15"/>
        <v>26801074.553103045</v>
      </c>
      <c r="BD174" s="31">
        <v>631441.54999999993</v>
      </c>
    </row>
    <row r="175" spans="2:56">
      <c r="B175" s="42" t="s">
        <v>231</v>
      </c>
      <c r="C175" s="42" t="s">
        <v>232</v>
      </c>
      <c r="D175" s="43" t="s">
        <v>1049</v>
      </c>
      <c r="E175" s="44">
        <v>32</v>
      </c>
      <c r="F175" s="31">
        <v>49315801.343260519</v>
      </c>
      <c r="G175" s="31">
        <v>1299260.1499999999</v>
      </c>
      <c r="H175" s="31">
        <v>426386.77</v>
      </c>
      <c r="I175" s="31">
        <v>176381.41000000003</v>
      </c>
      <c r="J175" s="31">
        <v>7601825.8501590816</v>
      </c>
      <c r="K175" s="31">
        <v>3261896.604598667</v>
      </c>
      <c r="L175" s="31">
        <v>3482825.6920225676</v>
      </c>
      <c r="M175" s="31">
        <f t="shared" si="12"/>
        <v>65675378.400040828</v>
      </c>
      <c r="N175" s="31">
        <v>111000.58</v>
      </c>
      <c r="P175" s="42" t="s">
        <v>231</v>
      </c>
      <c r="Q175" s="42" t="s">
        <v>232</v>
      </c>
      <c r="R175" s="43" t="s">
        <v>1050</v>
      </c>
      <c r="S175" s="44">
        <v>32</v>
      </c>
      <c r="T175" s="31">
        <v>51407800.278226644</v>
      </c>
      <c r="U175" s="31">
        <v>1355161.81</v>
      </c>
      <c r="V175" s="31">
        <v>444369.14</v>
      </c>
      <c r="W175" s="31">
        <v>183836.51</v>
      </c>
      <c r="X175" s="31">
        <v>7892633.7849170249</v>
      </c>
      <c r="Y175" s="31">
        <v>3266227.0981647195</v>
      </c>
      <c r="Z175" s="31">
        <v>3621476.9125020271</v>
      </c>
      <c r="AA175" s="31">
        <f t="shared" si="13"/>
        <v>68285747.743810415</v>
      </c>
      <c r="AB175" s="31">
        <v>114242.21000000002</v>
      </c>
      <c r="AD175" s="42" t="s">
        <v>231</v>
      </c>
      <c r="AE175" s="42" t="s">
        <v>232</v>
      </c>
      <c r="AF175" s="43" t="s">
        <v>1275</v>
      </c>
      <c r="AG175" s="44">
        <v>32</v>
      </c>
      <c r="AH175" s="31">
        <v>52436677.911916614</v>
      </c>
      <c r="AI175" s="31">
        <v>1383000.75</v>
      </c>
      <c r="AJ175" s="31">
        <v>453440.31</v>
      </c>
      <c r="AK175" s="31">
        <v>187560.47999999998</v>
      </c>
      <c r="AL175" s="31">
        <v>8046015.6014557611</v>
      </c>
      <c r="AM175" s="31">
        <v>3264590.4958589077</v>
      </c>
      <c r="AN175" s="31">
        <v>3694391.7899658093</v>
      </c>
      <c r="AO175" s="31">
        <f t="shared" si="14"/>
        <v>69582085.9791971</v>
      </c>
      <c r="AP175" s="31">
        <v>116408.64000000001</v>
      </c>
      <c r="AR175" s="42" t="s">
        <v>231</v>
      </c>
      <c r="AS175" s="42" t="s">
        <v>232</v>
      </c>
      <c r="AT175" s="43" t="s">
        <v>1276</v>
      </c>
      <c r="AU175" s="44">
        <v>32</v>
      </c>
      <c r="AV175" s="31">
        <v>53506470.774896495</v>
      </c>
      <c r="AW175" s="31">
        <v>1411158.0499999998</v>
      </c>
      <c r="AX175" s="31">
        <v>462734.41</v>
      </c>
      <c r="AY175" s="31">
        <v>191417.59</v>
      </c>
      <c r="AZ175" s="31">
        <v>8210530.11112737</v>
      </c>
      <c r="BA175" s="31">
        <v>3264842.3810114674</v>
      </c>
      <c r="BB175" s="31">
        <v>3769880.4304278963</v>
      </c>
      <c r="BC175" s="31">
        <f t="shared" si="15"/>
        <v>70935878.777463228</v>
      </c>
      <c r="BD175" s="31">
        <v>118845.03000000001</v>
      </c>
    </row>
    <row r="176" spans="2:56">
      <c r="B176" s="42" t="s">
        <v>323</v>
      </c>
      <c r="C176" s="42" t="s">
        <v>324</v>
      </c>
      <c r="D176" s="43" t="s">
        <v>1049</v>
      </c>
      <c r="E176" s="44">
        <v>32</v>
      </c>
      <c r="F176" s="31">
        <v>18452896.1620875</v>
      </c>
      <c r="G176" s="31">
        <v>844105.79</v>
      </c>
      <c r="H176" s="31">
        <v>482126.31</v>
      </c>
      <c r="I176" s="31">
        <v>66793.849999999991</v>
      </c>
      <c r="J176" s="31">
        <v>3123279.1372091332</v>
      </c>
      <c r="K176" s="31">
        <v>2097123.2148924915</v>
      </c>
      <c r="L176" s="31">
        <v>2173907.8017640822</v>
      </c>
      <c r="M176" s="31">
        <f t="shared" si="12"/>
        <v>27673314.875953205</v>
      </c>
      <c r="N176" s="31">
        <v>433082.60999999993</v>
      </c>
      <c r="P176" s="42" t="s">
        <v>323</v>
      </c>
      <c r="Q176" s="42" t="s">
        <v>324</v>
      </c>
      <c r="R176" s="43" t="s">
        <v>1050</v>
      </c>
      <c r="S176" s="44">
        <v>32</v>
      </c>
      <c r="T176" s="31">
        <v>19429494.00219807</v>
      </c>
      <c r="U176" s="31">
        <v>886043.81</v>
      </c>
      <c r="V176" s="31">
        <v>502727.60999999987</v>
      </c>
      <c r="W176" s="31">
        <v>69642.839999999982</v>
      </c>
      <c r="X176" s="31">
        <v>3244109.0462718173</v>
      </c>
      <c r="Y176" s="31">
        <v>2099225.8736789441</v>
      </c>
      <c r="Z176" s="31">
        <v>2283924.2360282852</v>
      </c>
      <c r="AA176" s="31">
        <f t="shared" si="13"/>
        <v>28961176.058177114</v>
      </c>
      <c r="AB176" s="31">
        <v>446008.63999999996</v>
      </c>
      <c r="AD176" s="42" t="s">
        <v>323</v>
      </c>
      <c r="AE176" s="42" t="s">
        <v>324</v>
      </c>
      <c r="AF176" s="43" t="s">
        <v>1275</v>
      </c>
      <c r="AG176" s="44">
        <v>32</v>
      </c>
      <c r="AH176" s="31">
        <v>19817251.291265585</v>
      </c>
      <c r="AI176" s="31">
        <v>904869.89000000013</v>
      </c>
      <c r="AJ176" s="31">
        <v>513004.42</v>
      </c>
      <c r="AK176" s="31">
        <v>71114.900000000009</v>
      </c>
      <c r="AL176" s="31">
        <v>3306842.6876902576</v>
      </c>
      <c r="AM176" s="31">
        <v>2098483.692538775</v>
      </c>
      <c r="AN176" s="31">
        <v>2329412.0346679827</v>
      </c>
      <c r="AO176" s="31">
        <f t="shared" si="14"/>
        <v>29495217.886162601</v>
      </c>
      <c r="AP176" s="31">
        <v>454238.97</v>
      </c>
      <c r="AR176" s="42" t="s">
        <v>323</v>
      </c>
      <c r="AS176" s="42" t="s">
        <v>324</v>
      </c>
      <c r="AT176" s="43" t="s">
        <v>1276</v>
      </c>
      <c r="AU176" s="44">
        <v>32</v>
      </c>
      <c r="AV176" s="31">
        <v>20218276.044427823</v>
      </c>
      <c r="AW176" s="31">
        <v>923059.75999999978</v>
      </c>
      <c r="AX176" s="31">
        <v>523434.88999999996</v>
      </c>
      <c r="AY176" s="31">
        <v>72533.440000000002</v>
      </c>
      <c r="AZ176" s="31">
        <v>3373879.1505777715</v>
      </c>
      <c r="BA176" s="31">
        <v>2098600.3593491749</v>
      </c>
      <c r="BB176" s="31">
        <v>2376581.4561089869</v>
      </c>
      <c r="BC176" s="31">
        <f t="shared" si="15"/>
        <v>30049843.930463761</v>
      </c>
      <c r="BD176" s="31">
        <v>463478.83000000007</v>
      </c>
    </row>
    <row r="177" spans="2:56">
      <c r="B177" s="42" t="s">
        <v>353</v>
      </c>
      <c r="C177" s="42" t="s">
        <v>354</v>
      </c>
      <c r="D177" s="43" t="s">
        <v>1049</v>
      </c>
      <c r="E177" s="44">
        <v>32</v>
      </c>
      <c r="F177" s="31">
        <v>1941549.5505428584</v>
      </c>
      <c r="G177" s="31">
        <v>38002.65</v>
      </c>
      <c r="H177" s="31">
        <v>0</v>
      </c>
      <c r="I177" s="31">
        <v>0</v>
      </c>
      <c r="J177" s="31">
        <v>74725.554338031492</v>
      </c>
      <c r="K177" s="31">
        <v>149369.75704981267</v>
      </c>
      <c r="L177" s="31">
        <v>0</v>
      </c>
      <c r="M177" s="31">
        <f t="shared" si="12"/>
        <v>2228787.7519307025</v>
      </c>
      <c r="N177" s="31">
        <v>25140.239999999998</v>
      </c>
      <c r="P177" s="42" t="s">
        <v>353</v>
      </c>
      <c r="Q177" s="42" t="s">
        <v>354</v>
      </c>
      <c r="R177" s="43" t="s">
        <v>1050</v>
      </c>
      <c r="S177" s="44">
        <v>32</v>
      </c>
      <c r="T177" s="31">
        <v>2021276.995912869</v>
      </c>
      <c r="U177" s="31">
        <v>39809.350000000006</v>
      </c>
      <c r="V177" s="31">
        <v>0</v>
      </c>
      <c r="W177" s="31">
        <v>0</v>
      </c>
      <c r="X177" s="31">
        <v>77257.32033826111</v>
      </c>
      <c r="Y177" s="31">
        <v>149530.03785613913</v>
      </c>
      <c r="Z177" s="31">
        <v>0</v>
      </c>
      <c r="AA177" s="31">
        <f t="shared" si="13"/>
        <v>2313631.9841072694</v>
      </c>
      <c r="AB177" s="31">
        <v>25758.280000000002</v>
      </c>
      <c r="AD177" s="42" t="s">
        <v>353</v>
      </c>
      <c r="AE177" s="42" t="s">
        <v>354</v>
      </c>
      <c r="AF177" s="43" t="s">
        <v>1275</v>
      </c>
      <c r="AG177" s="44">
        <v>32</v>
      </c>
      <c r="AH177" s="31">
        <v>2059897.8221636512</v>
      </c>
      <c r="AI177" s="31">
        <v>40638.130000000005</v>
      </c>
      <c r="AJ177" s="31">
        <v>0</v>
      </c>
      <c r="AK177" s="31">
        <v>0</v>
      </c>
      <c r="AL177" s="31">
        <v>78688.113108702251</v>
      </c>
      <c r="AM177" s="31">
        <v>149475.58579181621</v>
      </c>
      <c r="AN177" s="31">
        <v>0</v>
      </c>
      <c r="AO177" s="31">
        <f t="shared" si="14"/>
        <v>2354911.7410641694</v>
      </c>
      <c r="AP177" s="31">
        <v>26212.09</v>
      </c>
      <c r="AR177" s="42" t="s">
        <v>353</v>
      </c>
      <c r="AS177" s="42" t="s">
        <v>354</v>
      </c>
      <c r="AT177" s="43" t="s">
        <v>1276</v>
      </c>
      <c r="AU177" s="44">
        <v>32</v>
      </c>
      <c r="AV177" s="31">
        <v>2097304.046468365</v>
      </c>
      <c r="AW177" s="31">
        <v>41372.839999999997</v>
      </c>
      <c r="AX177" s="31">
        <v>0</v>
      </c>
      <c r="AY177" s="31">
        <v>0</v>
      </c>
      <c r="AZ177" s="31">
        <v>80136.720880170091</v>
      </c>
      <c r="BA177" s="31">
        <v>149484.25103994622</v>
      </c>
      <c r="BB177" s="31">
        <v>0</v>
      </c>
      <c r="BC177" s="31">
        <f t="shared" si="15"/>
        <v>2394995.9883884806</v>
      </c>
      <c r="BD177" s="31">
        <v>26698.13</v>
      </c>
    </row>
    <row r="178" spans="2:56">
      <c r="B178" s="42" t="s">
        <v>509</v>
      </c>
      <c r="C178" s="42" t="s">
        <v>510</v>
      </c>
      <c r="D178" s="43" t="s">
        <v>1049</v>
      </c>
      <c r="E178" s="44">
        <v>32</v>
      </c>
      <c r="F178" s="31">
        <v>123435730.01552919</v>
      </c>
      <c r="G178" s="31">
        <v>4131326.8099999996</v>
      </c>
      <c r="H178" s="31">
        <v>1391366.9499999997</v>
      </c>
      <c r="I178" s="31">
        <v>430464.23000000004</v>
      </c>
      <c r="J178" s="31">
        <v>20149568.994290508</v>
      </c>
      <c r="K178" s="31">
        <v>7819920.7465654491</v>
      </c>
      <c r="L178" s="31">
        <v>9346521.1997727305</v>
      </c>
      <c r="M178" s="31">
        <f t="shared" si="12"/>
        <v>167711904.81615788</v>
      </c>
      <c r="N178" s="31">
        <v>1007005.8700000001</v>
      </c>
      <c r="P178" s="42" t="s">
        <v>509</v>
      </c>
      <c r="Q178" s="42" t="s">
        <v>510</v>
      </c>
      <c r="R178" s="43" t="s">
        <v>1050</v>
      </c>
      <c r="S178" s="44">
        <v>32</v>
      </c>
      <c r="T178" s="31">
        <v>127945709.81792046</v>
      </c>
      <c r="U178" s="31">
        <v>4286671.8400000008</v>
      </c>
      <c r="V178" s="31">
        <v>1439168.0400000003</v>
      </c>
      <c r="W178" s="31">
        <v>445249.09</v>
      </c>
      <c r="X178" s="31">
        <v>20784559.180688132</v>
      </c>
      <c r="Y178" s="31">
        <v>7827042.6915352885</v>
      </c>
      <c r="Z178" s="31">
        <v>9658001.6382389814</v>
      </c>
      <c r="AA178" s="31">
        <f t="shared" si="13"/>
        <v>173414476.26838288</v>
      </c>
      <c r="AB178" s="31">
        <v>1028073.9700000001</v>
      </c>
      <c r="AD178" s="42" t="s">
        <v>509</v>
      </c>
      <c r="AE178" s="42" t="s">
        <v>510</v>
      </c>
      <c r="AF178" s="43" t="s">
        <v>1275</v>
      </c>
      <c r="AG178" s="44">
        <v>32</v>
      </c>
      <c r="AH178" s="31">
        <v>130499201.72854562</v>
      </c>
      <c r="AI178" s="31">
        <v>4375802.129999999</v>
      </c>
      <c r="AJ178" s="31">
        <v>1468391.21</v>
      </c>
      <c r="AK178" s="31">
        <v>454280.22</v>
      </c>
      <c r="AL178" s="31">
        <v>21185887.64847273</v>
      </c>
      <c r="AM178" s="31">
        <v>7824569.3407421829</v>
      </c>
      <c r="AN178" s="31">
        <v>9851864.8511293419</v>
      </c>
      <c r="AO178" s="31">
        <f t="shared" si="14"/>
        <v>176707079.1488899</v>
      </c>
      <c r="AP178" s="31">
        <v>1047082.0200000001</v>
      </c>
      <c r="AR178" s="42" t="s">
        <v>509</v>
      </c>
      <c r="AS178" s="42" t="s">
        <v>510</v>
      </c>
      <c r="AT178" s="43" t="s">
        <v>1276</v>
      </c>
      <c r="AU178" s="44">
        <v>32</v>
      </c>
      <c r="AV178" s="31">
        <v>133135127.90708505</v>
      </c>
      <c r="AW178" s="31">
        <v>4463395.96</v>
      </c>
      <c r="AX178" s="31">
        <v>1497891.7500000002</v>
      </c>
      <c r="AY178" s="31">
        <v>463468.86999999994</v>
      </c>
      <c r="AZ178" s="31">
        <v>21614306.080196176</v>
      </c>
      <c r="BA178" s="31">
        <v>7824960.4678799324</v>
      </c>
      <c r="BB178" s="31">
        <v>10050846.154421221</v>
      </c>
      <c r="BC178" s="31">
        <f t="shared" si="15"/>
        <v>180118364.85958233</v>
      </c>
      <c r="BD178" s="31">
        <v>1068367.6700000002</v>
      </c>
    </row>
    <row r="179" spans="2:56">
      <c r="B179" s="42" t="s">
        <v>503</v>
      </c>
      <c r="C179" s="42" t="s">
        <v>504</v>
      </c>
      <c r="D179" s="43" t="s">
        <v>1049</v>
      </c>
      <c r="E179" s="44">
        <v>32</v>
      </c>
      <c r="F179" s="31">
        <v>3110220.5753675755</v>
      </c>
      <c r="G179" s="31">
        <v>104848.38999999998</v>
      </c>
      <c r="H179" s="31">
        <v>0</v>
      </c>
      <c r="I179" s="31">
        <v>0</v>
      </c>
      <c r="J179" s="31">
        <v>207434.68508498417</v>
      </c>
      <c r="K179" s="31">
        <v>281291.59612940717</v>
      </c>
      <c r="L179" s="31">
        <v>61693.83171361687</v>
      </c>
      <c r="M179" s="31">
        <f t="shared" si="12"/>
        <v>3808363.8682955839</v>
      </c>
      <c r="N179" s="31">
        <v>42874.790000000008</v>
      </c>
      <c r="P179" s="42" t="s">
        <v>503</v>
      </c>
      <c r="Q179" s="42" t="s">
        <v>504</v>
      </c>
      <c r="R179" s="43" t="s">
        <v>1050</v>
      </c>
      <c r="S179" s="44">
        <v>32</v>
      </c>
      <c r="T179" s="31">
        <v>3248261.6576182107</v>
      </c>
      <c r="U179" s="31">
        <v>109975.67000000003</v>
      </c>
      <c r="V179" s="31">
        <v>0</v>
      </c>
      <c r="W179" s="31">
        <v>0</v>
      </c>
      <c r="X179" s="31">
        <v>215525.37461544212</v>
      </c>
      <c r="Y179" s="31">
        <v>281544.19758662197</v>
      </c>
      <c r="Z179" s="31">
        <v>64836.921767780274</v>
      </c>
      <c r="AA179" s="31">
        <f t="shared" si="13"/>
        <v>3964272.3315880545</v>
      </c>
      <c r="AB179" s="31">
        <v>44128.509999999995</v>
      </c>
      <c r="AD179" s="42" t="s">
        <v>503</v>
      </c>
      <c r="AE179" s="42" t="s">
        <v>504</v>
      </c>
      <c r="AF179" s="43" t="s">
        <v>1275</v>
      </c>
      <c r="AG179" s="44">
        <v>32</v>
      </c>
      <c r="AH179" s="31">
        <v>3311020.7713455088</v>
      </c>
      <c r="AI179" s="31">
        <v>112315.86000000002</v>
      </c>
      <c r="AJ179" s="31">
        <v>0</v>
      </c>
      <c r="AK179" s="31">
        <v>0</v>
      </c>
      <c r="AL179" s="31">
        <v>219681.58551319549</v>
      </c>
      <c r="AM179" s="31">
        <v>281458.38150476175</v>
      </c>
      <c r="AN179" s="31">
        <v>66197.604573167046</v>
      </c>
      <c r="AO179" s="31">
        <f t="shared" si="14"/>
        <v>4035580.1729366328</v>
      </c>
      <c r="AP179" s="31">
        <v>44905.969999999994</v>
      </c>
      <c r="AR179" s="42" t="s">
        <v>503</v>
      </c>
      <c r="AS179" s="42" t="s">
        <v>504</v>
      </c>
      <c r="AT179" s="43" t="s">
        <v>1276</v>
      </c>
      <c r="AU179" s="44">
        <v>32</v>
      </c>
      <c r="AV179" s="31">
        <v>3375167.3291650061</v>
      </c>
      <c r="AW179" s="31">
        <v>114565.87999999998</v>
      </c>
      <c r="AX179" s="31">
        <v>0</v>
      </c>
      <c r="AY179" s="31">
        <v>0</v>
      </c>
      <c r="AZ179" s="31">
        <v>224109.23792790013</v>
      </c>
      <c r="BA179" s="31">
        <v>281472.03787669376</v>
      </c>
      <c r="BB179" s="31">
        <v>67772.813528939019</v>
      </c>
      <c r="BC179" s="31">
        <f t="shared" si="15"/>
        <v>4108929.4284985391</v>
      </c>
      <c r="BD179" s="31">
        <v>45842.130000000005</v>
      </c>
    </row>
    <row r="180" spans="2:56">
      <c r="B180" s="42" t="s">
        <v>219</v>
      </c>
      <c r="C180" s="42" t="s">
        <v>220</v>
      </c>
      <c r="D180" s="43" t="s">
        <v>1049</v>
      </c>
      <c r="E180" s="44">
        <v>32</v>
      </c>
      <c r="F180" s="31">
        <v>208765894.03656435</v>
      </c>
      <c r="G180" s="31">
        <v>2348627.81</v>
      </c>
      <c r="H180" s="31">
        <v>3799313.9599999995</v>
      </c>
      <c r="I180" s="31">
        <v>730368.00999999989</v>
      </c>
      <c r="J180" s="31">
        <v>27960204.93074733</v>
      </c>
      <c r="K180" s="31">
        <v>11460425.155261811</v>
      </c>
      <c r="L180" s="31">
        <v>10817746.007111154</v>
      </c>
      <c r="M180" s="31">
        <f t="shared" si="12"/>
        <v>265882579.90968466</v>
      </c>
      <c r="N180" s="31">
        <v>0</v>
      </c>
      <c r="P180" s="42" t="s">
        <v>219</v>
      </c>
      <c r="Q180" s="42" t="s">
        <v>220</v>
      </c>
      <c r="R180" s="43" t="s">
        <v>1050</v>
      </c>
      <c r="S180" s="44">
        <v>32</v>
      </c>
      <c r="T180" s="31">
        <v>217628289.9735592</v>
      </c>
      <c r="U180" s="31">
        <v>2447367.4</v>
      </c>
      <c r="V180" s="31">
        <v>3958925.0199999996</v>
      </c>
      <c r="W180" s="31">
        <v>760989.46</v>
      </c>
      <c r="X180" s="31">
        <v>29029509.670851566</v>
      </c>
      <c r="Y180" s="31">
        <v>11469474.595419252</v>
      </c>
      <c r="Z180" s="31">
        <v>11248516.955225941</v>
      </c>
      <c r="AA180" s="31">
        <f t="shared" si="13"/>
        <v>276543073.07505596</v>
      </c>
      <c r="AB180" s="31">
        <v>0</v>
      </c>
      <c r="AD180" s="42" t="s">
        <v>219</v>
      </c>
      <c r="AE180" s="42" t="s">
        <v>220</v>
      </c>
      <c r="AF180" s="43" t="s">
        <v>1275</v>
      </c>
      <c r="AG180" s="44">
        <v>32</v>
      </c>
      <c r="AH180" s="31">
        <v>221988602.36510599</v>
      </c>
      <c r="AI180" s="31">
        <v>2497264.6100000003</v>
      </c>
      <c r="AJ180" s="31">
        <v>4039534.72</v>
      </c>
      <c r="AK180" s="31">
        <v>776507.59</v>
      </c>
      <c r="AL180" s="31">
        <v>29593580.319971316</v>
      </c>
      <c r="AM180" s="31">
        <v>11466054.584650947</v>
      </c>
      <c r="AN180" s="31">
        <v>11474365.198958326</v>
      </c>
      <c r="AO180" s="31">
        <f t="shared" si="14"/>
        <v>281835909.3886866</v>
      </c>
      <c r="AP180" s="31">
        <v>0</v>
      </c>
      <c r="AR180" s="42" t="s">
        <v>219</v>
      </c>
      <c r="AS180" s="42" t="s">
        <v>220</v>
      </c>
      <c r="AT180" s="43" t="s">
        <v>1276</v>
      </c>
      <c r="AU180" s="44">
        <v>32</v>
      </c>
      <c r="AV180" s="31">
        <v>226519940.99797127</v>
      </c>
      <c r="AW180" s="31">
        <v>2548140.41</v>
      </c>
      <c r="AX180" s="31">
        <v>4121923.87</v>
      </c>
      <c r="AY180" s="31">
        <v>792303.47</v>
      </c>
      <c r="AZ180" s="31">
        <v>30198657.595887464</v>
      </c>
      <c r="BA180" s="31">
        <v>11466580.949505176</v>
      </c>
      <c r="BB180" s="31">
        <v>11709077.074271739</v>
      </c>
      <c r="BC180" s="31">
        <f t="shared" si="15"/>
        <v>287356624.36763561</v>
      </c>
      <c r="BD180" s="31">
        <v>0</v>
      </c>
    </row>
    <row r="181" spans="2:56">
      <c r="B181" s="42" t="s">
        <v>167</v>
      </c>
      <c r="C181" s="42" t="s">
        <v>168</v>
      </c>
      <c r="D181" s="43" t="s">
        <v>1049</v>
      </c>
      <c r="E181" s="44">
        <v>32</v>
      </c>
      <c r="F181" s="31">
        <v>47837802.29688777</v>
      </c>
      <c r="G181" s="31">
        <v>1462102.0699999996</v>
      </c>
      <c r="H181" s="31">
        <v>369512.68000000005</v>
      </c>
      <c r="I181" s="31">
        <v>170693.52</v>
      </c>
      <c r="J181" s="31">
        <v>8510074.0109630115</v>
      </c>
      <c r="K181" s="31">
        <v>2406459.1287051979</v>
      </c>
      <c r="L181" s="31">
        <v>4453475.4989796439</v>
      </c>
      <c r="M181" s="31">
        <f t="shared" si="12"/>
        <v>65487927.225535631</v>
      </c>
      <c r="N181" s="31">
        <v>277808.02</v>
      </c>
      <c r="P181" s="42" t="s">
        <v>167</v>
      </c>
      <c r="Q181" s="42" t="s">
        <v>168</v>
      </c>
      <c r="R181" s="43" t="s">
        <v>1050</v>
      </c>
      <c r="S181" s="44">
        <v>32</v>
      </c>
      <c r="T181" s="31">
        <v>49883490.355879925</v>
      </c>
      <c r="U181" s="31">
        <v>1527639.1199999999</v>
      </c>
      <c r="V181" s="31">
        <v>385118.01</v>
      </c>
      <c r="W181" s="31">
        <v>177970.35</v>
      </c>
      <c r="X181" s="31">
        <v>8837244.3763285875</v>
      </c>
      <c r="Y181" s="31">
        <v>2408156.5133885415</v>
      </c>
      <c r="Z181" s="31">
        <v>4632091.9119871035</v>
      </c>
      <c r="AA181" s="31">
        <f t="shared" si="13"/>
        <v>68137871.087584153</v>
      </c>
      <c r="AB181" s="31">
        <v>286160.45</v>
      </c>
      <c r="AD181" s="42" t="s">
        <v>167</v>
      </c>
      <c r="AE181" s="42" t="s">
        <v>168</v>
      </c>
      <c r="AF181" s="43" t="s">
        <v>1275</v>
      </c>
      <c r="AG181" s="44">
        <v>32</v>
      </c>
      <c r="AH181" s="31">
        <v>50880949.944774732</v>
      </c>
      <c r="AI181" s="31">
        <v>1559216.5599999998</v>
      </c>
      <c r="AJ181" s="31">
        <v>393005.79999999993</v>
      </c>
      <c r="AK181" s="31">
        <v>181571.41999999998</v>
      </c>
      <c r="AL181" s="31">
        <v>9008548.1466734037</v>
      </c>
      <c r="AM181" s="31">
        <v>2407535.7889636871</v>
      </c>
      <c r="AN181" s="31">
        <v>4725222.2857438289</v>
      </c>
      <c r="AO181" s="31">
        <f t="shared" si="14"/>
        <v>69447539.63615565</v>
      </c>
      <c r="AP181" s="31">
        <v>291489.69</v>
      </c>
      <c r="AR181" s="42" t="s">
        <v>167</v>
      </c>
      <c r="AS181" s="42" t="s">
        <v>168</v>
      </c>
      <c r="AT181" s="43" t="s">
        <v>1276</v>
      </c>
      <c r="AU181" s="44">
        <v>32</v>
      </c>
      <c r="AV181" s="31">
        <v>51915488.412192546</v>
      </c>
      <c r="AW181" s="31">
        <v>1590796.9</v>
      </c>
      <c r="AX181" s="31">
        <v>400977.38999999996</v>
      </c>
      <c r="AY181" s="31">
        <v>185280.81</v>
      </c>
      <c r="AZ181" s="31">
        <v>9191991.5178531539</v>
      </c>
      <c r="BA181" s="31">
        <v>2407632.2883496238</v>
      </c>
      <c r="BB181" s="31">
        <v>4821204.1265342664</v>
      </c>
      <c r="BC181" s="31">
        <f t="shared" si="15"/>
        <v>70810790.31492959</v>
      </c>
      <c r="BD181" s="31">
        <v>297418.87</v>
      </c>
    </row>
    <row r="182" spans="2:56">
      <c r="B182" s="42" t="s">
        <v>579</v>
      </c>
      <c r="C182" s="42" t="s">
        <v>580</v>
      </c>
      <c r="D182" s="43" t="s">
        <v>1049</v>
      </c>
      <c r="E182" s="44">
        <v>32</v>
      </c>
      <c r="F182" s="31">
        <v>2328287.7949679666</v>
      </c>
      <c r="G182" s="31">
        <v>37931.699999999997</v>
      </c>
      <c r="H182" s="31">
        <v>0</v>
      </c>
      <c r="I182" s="31">
        <v>0</v>
      </c>
      <c r="J182" s="31">
        <v>175051.28276503447</v>
      </c>
      <c r="K182" s="31">
        <v>357241.67165562755</v>
      </c>
      <c r="L182" s="31">
        <v>54435.959349026438</v>
      </c>
      <c r="M182" s="31">
        <f t="shared" si="12"/>
        <v>2952948.4087376553</v>
      </c>
      <c r="N182" s="31">
        <v>0</v>
      </c>
      <c r="P182" s="42" t="s">
        <v>579</v>
      </c>
      <c r="Q182" s="42" t="s">
        <v>580</v>
      </c>
      <c r="R182" s="43" t="s">
        <v>1050</v>
      </c>
      <c r="S182" s="44">
        <v>32</v>
      </c>
      <c r="T182" s="31">
        <v>2419942.7280772137</v>
      </c>
      <c r="U182" s="31">
        <v>39584.11</v>
      </c>
      <c r="V182" s="31">
        <v>0</v>
      </c>
      <c r="W182" s="31">
        <v>0</v>
      </c>
      <c r="X182" s="31">
        <v>181840.78963352929</v>
      </c>
      <c r="Y182" s="31">
        <v>357596.47114790545</v>
      </c>
      <c r="Z182" s="31">
        <v>56520.165399546604</v>
      </c>
      <c r="AA182" s="31">
        <f t="shared" si="13"/>
        <v>3055484.2642581952</v>
      </c>
      <c r="AB182" s="31">
        <v>0</v>
      </c>
      <c r="AD182" s="42" t="s">
        <v>579</v>
      </c>
      <c r="AE182" s="42" t="s">
        <v>580</v>
      </c>
      <c r="AF182" s="43" t="s">
        <v>1275</v>
      </c>
      <c r="AG182" s="44">
        <v>32</v>
      </c>
      <c r="AH182" s="31">
        <v>2467108.497191865</v>
      </c>
      <c r="AI182" s="31">
        <v>40358.899999999994</v>
      </c>
      <c r="AJ182" s="31">
        <v>0</v>
      </c>
      <c r="AK182" s="31">
        <v>0</v>
      </c>
      <c r="AL182" s="31">
        <v>185365.20715278364</v>
      </c>
      <c r="AM182" s="31">
        <v>357475.9354130408</v>
      </c>
      <c r="AN182" s="31">
        <v>57616.949986295993</v>
      </c>
      <c r="AO182" s="31">
        <f t="shared" si="14"/>
        <v>3107925.4897439848</v>
      </c>
      <c r="AP182" s="31">
        <v>0</v>
      </c>
      <c r="AR182" s="42" t="s">
        <v>579</v>
      </c>
      <c r="AS182" s="42" t="s">
        <v>580</v>
      </c>
      <c r="AT182" s="43" t="s">
        <v>1276</v>
      </c>
      <c r="AU182" s="44">
        <v>32</v>
      </c>
      <c r="AV182" s="31">
        <v>2513901.7597825257</v>
      </c>
      <c r="AW182" s="31">
        <v>41208.22</v>
      </c>
      <c r="AX182" s="31">
        <v>0</v>
      </c>
      <c r="AY182" s="31">
        <v>0</v>
      </c>
      <c r="AZ182" s="31">
        <v>189092.16107935997</v>
      </c>
      <c r="BA182" s="31">
        <v>357495.11690898816</v>
      </c>
      <c r="BB182" s="31">
        <v>58809.203745387065</v>
      </c>
      <c r="BC182" s="31">
        <f t="shared" si="15"/>
        <v>3160506.4615162611</v>
      </c>
      <c r="BD182" s="31">
        <v>0</v>
      </c>
    </row>
    <row r="183" spans="2:56">
      <c r="B183" s="42" t="s">
        <v>165</v>
      </c>
      <c r="C183" s="42" t="s">
        <v>166</v>
      </c>
      <c r="D183" s="43" t="s">
        <v>1049</v>
      </c>
      <c r="E183" s="44">
        <v>32</v>
      </c>
      <c r="F183" s="31">
        <v>3343253.8851690879</v>
      </c>
      <c r="G183" s="31">
        <v>154446.71000000002</v>
      </c>
      <c r="H183" s="31">
        <v>0</v>
      </c>
      <c r="I183" s="31">
        <v>9257.0600000000013</v>
      </c>
      <c r="J183" s="31">
        <v>437668.49279422534</v>
      </c>
      <c r="K183" s="31">
        <v>156279.95291078085</v>
      </c>
      <c r="L183" s="31">
        <v>254948.98544175434</v>
      </c>
      <c r="M183" s="31">
        <f t="shared" si="12"/>
        <v>4440727.7163158488</v>
      </c>
      <c r="N183" s="31">
        <v>84872.63</v>
      </c>
      <c r="P183" s="42" t="s">
        <v>165</v>
      </c>
      <c r="Q183" s="42" t="s">
        <v>166</v>
      </c>
      <c r="R183" s="43" t="s">
        <v>1050</v>
      </c>
      <c r="S183" s="44">
        <v>32</v>
      </c>
      <c r="T183" s="31">
        <v>3507897.0744626271</v>
      </c>
      <c r="U183" s="31">
        <v>162365.20000000001</v>
      </c>
      <c r="V183" s="31">
        <v>0</v>
      </c>
      <c r="W183" s="31">
        <v>9713.73</v>
      </c>
      <c r="X183" s="31">
        <v>454705.08818864153</v>
      </c>
      <c r="Y183" s="31">
        <v>156421.60933800289</v>
      </c>
      <c r="Z183" s="31">
        <v>268024.56067818403</v>
      </c>
      <c r="AA183" s="31">
        <f t="shared" si="13"/>
        <v>4646485.7226674557</v>
      </c>
      <c r="AB183" s="31">
        <v>87358.459999999992</v>
      </c>
      <c r="AD183" s="42" t="s">
        <v>165</v>
      </c>
      <c r="AE183" s="42" t="s">
        <v>166</v>
      </c>
      <c r="AF183" s="43" t="s">
        <v>1275</v>
      </c>
      <c r="AG183" s="44">
        <v>32</v>
      </c>
      <c r="AH183" s="31">
        <v>3576825.9695492308</v>
      </c>
      <c r="AI183" s="31">
        <v>165815.75000000003</v>
      </c>
      <c r="AJ183" s="31">
        <v>0</v>
      </c>
      <c r="AK183" s="31">
        <v>9903.73</v>
      </c>
      <c r="AL183" s="31">
        <v>463480.68477850826</v>
      </c>
      <c r="AM183" s="31">
        <v>156373.48451842129</v>
      </c>
      <c r="AN183" s="31">
        <v>273430.63016002375</v>
      </c>
      <c r="AO183" s="31">
        <f t="shared" si="14"/>
        <v>4734829.409006184</v>
      </c>
      <c r="AP183" s="31">
        <v>88999.16</v>
      </c>
      <c r="AR183" s="42" t="s">
        <v>165</v>
      </c>
      <c r="AS183" s="42" t="s">
        <v>166</v>
      </c>
      <c r="AT183" s="43" t="s">
        <v>1276</v>
      </c>
      <c r="AU183" s="44">
        <v>32</v>
      </c>
      <c r="AV183" s="31">
        <v>3646444.3560503107</v>
      </c>
      <c r="AW183" s="31">
        <v>169136.93</v>
      </c>
      <c r="AX183" s="31">
        <v>0</v>
      </c>
      <c r="AY183" s="31">
        <v>10084.590000000002</v>
      </c>
      <c r="AZ183" s="31">
        <v>472816.86738389026</v>
      </c>
      <c r="BA183" s="31">
        <v>156381.14287826626</v>
      </c>
      <c r="BB183" s="31">
        <v>279077.52566039213</v>
      </c>
      <c r="BC183" s="31">
        <f t="shared" si="15"/>
        <v>4824797.7919728588</v>
      </c>
      <c r="BD183" s="31">
        <v>90856.38</v>
      </c>
    </row>
    <row r="184" spans="2:56">
      <c r="B184" s="42" t="s">
        <v>343</v>
      </c>
      <c r="C184" s="42" t="s">
        <v>344</v>
      </c>
      <c r="D184" s="43" t="s">
        <v>1049</v>
      </c>
      <c r="E184" s="44">
        <v>32</v>
      </c>
      <c r="F184" s="31">
        <v>8146740.6846200144</v>
      </c>
      <c r="G184" s="31">
        <v>409844.1100000001</v>
      </c>
      <c r="H184" s="31">
        <v>66845.72</v>
      </c>
      <c r="I184" s="31">
        <v>28745.600000000002</v>
      </c>
      <c r="J184" s="31">
        <v>1297826.7210932132</v>
      </c>
      <c r="K184" s="31">
        <v>905641.90498795279</v>
      </c>
      <c r="L184" s="31">
        <v>740529.53446643322</v>
      </c>
      <c r="M184" s="31">
        <f t="shared" si="12"/>
        <v>11888015.265167614</v>
      </c>
      <c r="N184" s="31">
        <v>291840.99</v>
      </c>
      <c r="P184" s="42" t="s">
        <v>343</v>
      </c>
      <c r="Q184" s="42" t="s">
        <v>344</v>
      </c>
      <c r="R184" s="43" t="s">
        <v>1050</v>
      </c>
      <c r="S184" s="44">
        <v>32</v>
      </c>
      <c r="T184" s="31">
        <v>8583303.3089047037</v>
      </c>
      <c r="U184" s="31">
        <v>431760.10000000003</v>
      </c>
      <c r="V184" s="31">
        <v>69716.22</v>
      </c>
      <c r="W184" s="31">
        <v>29950.65</v>
      </c>
      <c r="X184" s="31">
        <v>1348417.1349174578</v>
      </c>
      <c r="Y184" s="31">
        <v>906303.82699053874</v>
      </c>
      <c r="Z184" s="31">
        <v>778176.63178376353</v>
      </c>
      <c r="AA184" s="31">
        <f t="shared" si="13"/>
        <v>12448140.942596465</v>
      </c>
      <c r="AB184" s="31">
        <v>300513.07</v>
      </c>
      <c r="AD184" s="42" t="s">
        <v>343</v>
      </c>
      <c r="AE184" s="42" t="s">
        <v>344</v>
      </c>
      <c r="AF184" s="43" t="s">
        <v>1275</v>
      </c>
      <c r="AG184" s="44">
        <v>32</v>
      </c>
      <c r="AH184" s="31">
        <v>8754036.2221596222</v>
      </c>
      <c r="AI184" s="31">
        <v>441102.40000000008</v>
      </c>
      <c r="AJ184" s="31">
        <v>71183.11</v>
      </c>
      <c r="AK184" s="31">
        <v>30639.700000000004</v>
      </c>
      <c r="AL184" s="31">
        <v>1374420.4140045238</v>
      </c>
      <c r="AM184" s="31">
        <v>906078.95278203138</v>
      </c>
      <c r="AN184" s="31">
        <v>793740.87617054442</v>
      </c>
      <c r="AO184" s="31">
        <f t="shared" si="14"/>
        <v>12677212.47511672</v>
      </c>
      <c r="AP184" s="31">
        <v>306010.8</v>
      </c>
      <c r="AR184" s="42" t="s">
        <v>343</v>
      </c>
      <c r="AS184" s="42" t="s">
        <v>344</v>
      </c>
      <c r="AT184" s="43" t="s">
        <v>1276</v>
      </c>
      <c r="AU184" s="44">
        <v>32</v>
      </c>
      <c r="AV184" s="31">
        <v>8930323.4712788295</v>
      </c>
      <c r="AW184" s="31">
        <v>449814.33</v>
      </c>
      <c r="AX184" s="31">
        <v>72588.039999999994</v>
      </c>
      <c r="AY184" s="31">
        <v>31199.200000000004</v>
      </c>
      <c r="AZ184" s="31">
        <v>1402130.5682836582</v>
      </c>
      <c r="BA184" s="31">
        <v>906114.7382171473</v>
      </c>
      <c r="BB184" s="31">
        <v>809668.69069112069</v>
      </c>
      <c r="BC184" s="31">
        <f t="shared" si="15"/>
        <v>12914041.458470754</v>
      </c>
      <c r="BD184" s="31">
        <v>312202.42</v>
      </c>
    </row>
    <row r="185" spans="2:56">
      <c r="B185" s="42" t="s">
        <v>163</v>
      </c>
      <c r="C185" s="42" t="s">
        <v>164</v>
      </c>
      <c r="D185" s="43" t="s">
        <v>1049</v>
      </c>
      <c r="E185" s="44">
        <v>32</v>
      </c>
      <c r="F185" s="31">
        <v>5029803.8239824129</v>
      </c>
      <c r="G185" s="31">
        <v>271280.55999999994</v>
      </c>
      <c r="H185" s="31">
        <v>74056.47</v>
      </c>
      <c r="I185" s="31">
        <v>15980.6</v>
      </c>
      <c r="J185" s="31">
        <v>631518.47884935793</v>
      </c>
      <c r="K185" s="31">
        <v>491459.01277668402</v>
      </c>
      <c r="L185" s="31">
        <v>391213.77718566143</v>
      </c>
      <c r="M185" s="31">
        <f t="shared" si="12"/>
        <v>7073693.7627941156</v>
      </c>
      <c r="N185" s="31">
        <v>168381.04</v>
      </c>
      <c r="P185" s="42" t="s">
        <v>163</v>
      </c>
      <c r="Q185" s="42" t="s">
        <v>164</v>
      </c>
      <c r="R185" s="43" t="s">
        <v>1050</v>
      </c>
      <c r="S185" s="44">
        <v>32</v>
      </c>
      <c r="T185" s="31">
        <v>5288620.9566484755</v>
      </c>
      <c r="U185" s="31">
        <v>285451.95000000007</v>
      </c>
      <c r="V185" s="31">
        <v>77305.040000000008</v>
      </c>
      <c r="W185" s="31">
        <v>16594.28</v>
      </c>
      <c r="X185" s="31">
        <v>656116.00686047121</v>
      </c>
      <c r="Y185" s="31">
        <v>491927.21837541624</v>
      </c>
      <c r="Z185" s="31">
        <v>411027.99878972513</v>
      </c>
      <c r="AA185" s="31">
        <f t="shared" si="13"/>
        <v>7400362.6106740888</v>
      </c>
      <c r="AB185" s="31">
        <v>173319.16</v>
      </c>
      <c r="AD185" s="42" t="s">
        <v>163</v>
      </c>
      <c r="AE185" s="42" t="s">
        <v>164</v>
      </c>
      <c r="AF185" s="43" t="s">
        <v>1275</v>
      </c>
      <c r="AG185" s="44">
        <v>32</v>
      </c>
      <c r="AH185" s="31">
        <v>5393318.7815924743</v>
      </c>
      <c r="AI185" s="31">
        <v>291581.95999999996</v>
      </c>
      <c r="AJ185" s="31">
        <v>78920.41</v>
      </c>
      <c r="AK185" s="31">
        <v>17022.060000000001</v>
      </c>
      <c r="AL185" s="31">
        <v>668759.05711471115</v>
      </c>
      <c r="AM185" s="31">
        <v>491768.15527882433</v>
      </c>
      <c r="AN185" s="31">
        <v>419287.74404706265</v>
      </c>
      <c r="AO185" s="31">
        <f t="shared" si="14"/>
        <v>7537234.1280330718</v>
      </c>
      <c r="AP185" s="31">
        <v>176575.96000000002</v>
      </c>
      <c r="AR185" s="42" t="s">
        <v>163</v>
      </c>
      <c r="AS185" s="42" t="s">
        <v>164</v>
      </c>
      <c r="AT185" s="43" t="s">
        <v>1276</v>
      </c>
      <c r="AU185" s="44">
        <v>32</v>
      </c>
      <c r="AV185" s="31">
        <v>5500014.3206243888</v>
      </c>
      <c r="AW185" s="31">
        <v>297385.17999999993</v>
      </c>
      <c r="AX185" s="31">
        <v>80466.62</v>
      </c>
      <c r="AY185" s="31">
        <v>17332.900000000001</v>
      </c>
      <c r="AZ185" s="31">
        <v>682257.2677608201</v>
      </c>
      <c r="BA185" s="31">
        <v>491793.4678398344</v>
      </c>
      <c r="BB185" s="31">
        <v>427879.98058588989</v>
      </c>
      <c r="BC185" s="31">
        <f t="shared" si="15"/>
        <v>7677186.8268109327</v>
      </c>
      <c r="BD185" s="31">
        <v>180057.09</v>
      </c>
    </row>
    <row r="186" spans="2:56">
      <c r="B186" s="42" t="s">
        <v>305</v>
      </c>
      <c r="C186" s="42" t="s">
        <v>306</v>
      </c>
      <c r="D186" s="43" t="s">
        <v>1049</v>
      </c>
      <c r="E186" s="44">
        <v>32</v>
      </c>
      <c r="F186" s="31">
        <v>2727547.5797611778</v>
      </c>
      <c r="G186" s="31">
        <v>77615.27</v>
      </c>
      <c r="H186" s="31">
        <v>0</v>
      </c>
      <c r="I186" s="31">
        <v>6572.24</v>
      </c>
      <c r="J186" s="31">
        <v>256865.7716030709</v>
      </c>
      <c r="K186" s="31">
        <v>333554.33884224819</v>
      </c>
      <c r="L186" s="31">
        <v>130274.2320431015</v>
      </c>
      <c r="M186" s="31">
        <f t="shared" si="12"/>
        <v>3565186.4222495989</v>
      </c>
      <c r="N186" s="31">
        <v>32756.99</v>
      </c>
      <c r="P186" s="42" t="s">
        <v>305</v>
      </c>
      <c r="Q186" s="42" t="s">
        <v>306</v>
      </c>
      <c r="R186" s="43" t="s">
        <v>1050</v>
      </c>
      <c r="S186" s="44">
        <v>32</v>
      </c>
      <c r="T186" s="31">
        <v>2837166.2092829309</v>
      </c>
      <c r="U186" s="31">
        <v>80737.89</v>
      </c>
      <c r="V186" s="31">
        <v>0</v>
      </c>
      <c r="W186" s="31">
        <v>6764.3899999999994</v>
      </c>
      <c r="X186" s="31">
        <v>264982.00520663662</v>
      </c>
      <c r="Y186" s="31">
        <v>333882.90477642184</v>
      </c>
      <c r="Z186" s="31">
        <v>135872.97280472092</v>
      </c>
      <c r="AA186" s="31">
        <f t="shared" si="13"/>
        <v>3692804.2220707107</v>
      </c>
      <c r="AB186" s="31">
        <v>33397.850000000006</v>
      </c>
      <c r="AD186" s="42" t="s">
        <v>305</v>
      </c>
      <c r="AE186" s="42" t="s">
        <v>306</v>
      </c>
      <c r="AF186" s="43" t="s">
        <v>1275</v>
      </c>
      <c r="AG186" s="44">
        <v>32</v>
      </c>
      <c r="AH186" s="31">
        <v>2893207.0190411215</v>
      </c>
      <c r="AI186" s="31">
        <v>82381.47</v>
      </c>
      <c r="AJ186" s="31">
        <v>0</v>
      </c>
      <c r="AK186" s="31">
        <v>6896.85</v>
      </c>
      <c r="AL186" s="31">
        <v>270097.4427971312</v>
      </c>
      <c r="AM186" s="31">
        <v>333768.79847297282</v>
      </c>
      <c r="AN186" s="31">
        <v>138703.05812816264</v>
      </c>
      <c r="AO186" s="31">
        <f t="shared" si="14"/>
        <v>3759153.2584393886</v>
      </c>
      <c r="AP186" s="31">
        <v>34098.620000000003</v>
      </c>
      <c r="AR186" s="42" t="s">
        <v>305</v>
      </c>
      <c r="AS186" s="42" t="s">
        <v>306</v>
      </c>
      <c r="AT186" s="43" t="s">
        <v>1276</v>
      </c>
      <c r="AU186" s="44">
        <v>32</v>
      </c>
      <c r="AV186" s="31">
        <v>2949275.5546017662</v>
      </c>
      <c r="AW186" s="31">
        <v>84000.73</v>
      </c>
      <c r="AX186" s="31">
        <v>0</v>
      </c>
      <c r="AY186" s="31">
        <v>7023.8400000000011</v>
      </c>
      <c r="AZ186" s="31">
        <v>275577.13910296437</v>
      </c>
      <c r="BA186" s="31">
        <v>333786.84284904425</v>
      </c>
      <c r="BB186" s="31">
        <v>141427.15199921984</v>
      </c>
      <c r="BC186" s="31">
        <f t="shared" si="15"/>
        <v>3825826.8585529942</v>
      </c>
      <c r="BD186" s="31">
        <v>34735.600000000006</v>
      </c>
    </row>
    <row r="187" spans="2:56">
      <c r="B187" s="42" t="s">
        <v>331</v>
      </c>
      <c r="C187" s="42" t="s">
        <v>332</v>
      </c>
      <c r="D187" s="43" t="s">
        <v>1049</v>
      </c>
      <c r="E187" s="44">
        <v>32</v>
      </c>
      <c r="F187" s="31">
        <v>8456601.6162183024</v>
      </c>
      <c r="G187" s="31">
        <v>468496.83</v>
      </c>
      <c r="H187" s="31">
        <v>130844.18000000001</v>
      </c>
      <c r="I187" s="31">
        <v>30062.879999999997</v>
      </c>
      <c r="J187" s="31">
        <v>1332909.2424992614</v>
      </c>
      <c r="K187" s="31">
        <v>535525.255790725</v>
      </c>
      <c r="L187" s="31">
        <v>696550.15804366942</v>
      </c>
      <c r="M187" s="31">
        <f t="shared" si="12"/>
        <v>11959386.962551961</v>
      </c>
      <c r="N187" s="31">
        <v>308396.79999999999</v>
      </c>
      <c r="P187" s="42" t="s">
        <v>331</v>
      </c>
      <c r="Q187" s="42" t="s">
        <v>332</v>
      </c>
      <c r="R187" s="43" t="s">
        <v>1050</v>
      </c>
      <c r="S187" s="44">
        <v>32</v>
      </c>
      <c r="T187" s="31">
        <v>8907327.6001985185</v>
      </c>
      <c r="U187" s="31">
        <v>492863.87000000017</v>
      </c>
      <c r="V187" s="31">
        <v>136554.73000000001</v>
      </c>
      <c r="W187" s="31">
        <v>31415.98</v>
      </c>
      <c r="X187" s="31">
        <v>1384687.4145396096</v>
      </c>
      <c r="Y187" s="31">
        <v>536102.11541374249</v>
      </c>
      <c r="Z187" s="31">
        <v>731668.88033560943</v>
      </c>
      <c r="AA187" s="31">
        <f t="shared" si="13"/>
        <v>12538183.970487481</v>
      </c>
      <c r="AB187" s="31">
        <v>317563.37999999995</v>
      </c>
      <c r="AD187" s="42" t="s">
        <v>331</v>
      </c>
      <c r="AE187" s="42" t="s">
        <v>332</v>
      </c>
      <c r="AF187" s="43" t="s">
        <v>1275</v>
      </c>
      <c r="AG187" s="44">
        <v>32</v>
      </c>
      <c r="AH187" s="31">
        <v>9084754.3349454757</v>
      </c>
      <c r="AI187" s="31">
        <v>503429.92000000016</v>
      </c>
      <c r="AJ187" s="31">
        <v>139227.48000000001</v>
      </c>
      <c r="AK187" s="31">
        <v>32030.86</v>
      </c>
      <c r="AL187" s="31">
        <v>1411415.440277878</v>
      </c>
      <c r="AM187" s="31">
        <v>535906.13937632542</v>
      </c>
      <c r="AN187" s="31">
        <v>746269.64999300474</v>
      </c>
      <c r="AO187" s="31">
        <f t="shared" si="14"/>
        <v>12776427.334592683</v>
      </c>
      <c r="AP187" s="31">
        <v>323393.51</v>
      </c>
      <c r="AR187" s="42" t="s">
        <v>331</v>
      </c>
      <c r="AS187" s="42" t="s">
        <v>332</v>
      </c>
      <c r="AT187" s="43" t="s">
        <v>1276</v>
      </c>
      <c r="AU187" s="44">
        <v>32</v>
      </c>
      <c r="AV187" s="31">
        <v>9268462.7898827754</v>
      </c>
      <c r="AW187" s="31">
        <v>513457.15999999986</v>
      </c>
      <c r="AX187" s="31">
        <v>142108.51999999999</v>
      </c>
      <c r="AY187" s="31">
        <v>32727.370000000003</v>
      </c>
      <c r="AZ187" s="31">
        <v>1439979.6254403119</v>
      </c>
      <c r="BA187" s="31">
        <v>535937.3260909681</v>
      </c>
      <c r="BB187" s="31">
        <v>761519.30760771153</v>
      </c>
      <c r="BC187" s="31">
        <f t="shared" si="15"/>
        <v>13024144.069021767</v>
      </c>
      <c r="BD187" s="31">
        <v>329951.97000000003</v>
      </c>
    </row>
    <row r="188" spans="2:56">
      <c r="B188" s="42" t="s">
        <v>513</v>
      </c>
      <c r="C188" s="42" t="s">
        <v>514</v>
      </c>
      <c r="D188" s="43" t="s">
        <v>1049</v>
      </c>
      <c r="E188" s="44">
        <v>32</v>
      </c>
      <c r="F188" s="31">
        <v>78542631.492798612</v>
      </c>
      <c r="G188" s="31">
        <v>1869245.8100000005</v>
      </c>
      <c r="H188" s="31">
        <v>490186.5</v>
      </c>
      <c r="I188" s="31">
        <v>0</v>
      </c>
      <c r="J188" s="31">
        <v>12530872.880928913</v>
      </c>
      <c r="K188" s="31">
        <v>4276408.44811262</v>
      </c>
      <c r="L188" s="31">
        <v>6567161.3783787889</v>
      </c>
      <c r="M188" s="31">
        <f t="shared" si="12"/>
        <v>104457892.67021894</v>
      </c>
      <c r="N188" s="31">
        <v>181386.16</v>
      </c>
      <c r="P188" s="42" t="s">
        <v>513</v>
      </c>
      <c r="Q188" s="42" t="s">
        <v>514</v>
      </c>
      <c r="R188" s="43" t="s">
        <v>1050</v>
      </c>
      <c r="S188" s="44">
        <v>32</v>
      </c>
      <c r="T188" s="31">
        <v>81935600.542256147</v>
      </c>
      <c r="U188" s="31">
        <v>1952317.37</v>
      </c>
      <c r="V188" s="31">
        <v>511242.52</v>
      </c>
      <c r="W188" s="31">
        <v>0</v>
      </c>
      <c r="X188" s="31">
        <v>13017618.303089263</v>
      </c>
      <c r="Y188" s="31">
        <v>4280493.5554609746</v>
      </c>
      <c r="Z188" s="31">
        <v>6833515.7619434968</v>
      </c>
      <c r="AA188" s="31">
        <f t="shared" si="13"/>
        <v>108717583.95274988</v>
      </c>
      <c r="AB188" s="31">
        <v>186795.90000000002</v>
      </c>
      <c r="AD188" s="42" t="s">
        <v>513</v>
      </c>
      <c r="AE188" s="42" t="s">
        <v>514</v>
      </c>
      <c r="AF188" s="43" t="s">
        <v>1275</v>
      </c>
      <c r="AG188" s="44">
        <v>32</v>
      </c>
      <c r="AH188" s="31">
        <v>83567811.408122405</v>
      </c>
      <c r="AI188" s="31">
        <v>1992376.49</v>
      </c>
      <c r="AJ188" s="31">
        <v>521782.81</v>
      </c>
      <c r="AK188" s="31">
        <v>0</v>
      </c>
      <c r="AL188" s="31">
        <v>13269035.816420902</v>
      </c>
      <c r="AM188" s="31">
        <v>4279105.725357064</v>
      </c>
      <c r="AN188" s="31">
        <v>6970492.9311234932</v>
      </c>
      <c r="AO188" s="31">
        <f t="shared" si="14"/>
        <v>110790811.90102386</v>
      </c>
      <c r="AP188" s="31">
        <v>190206.72</v>
      </c>
      <c r="AR188" s="42" t="s">
        <v>513</v>
      </c>
      <c r="AS188" s="42" t="s">
        <v>514</v>
      </c>
      <c r="AT188" s="43" t="s">
        <v>1276</v>
      </c>
      <c r="AU188" s="44">
        <v>32</v>
      </c>
      <c r="AV188" s="31">
        <v>85256231.027145907</v>
      </c>
      <c r="AW188" s="31">
        <v>2032368.6800000004</v>
      </c>
      <c r="AX188" s="31">
        <v>532227.37</v>
      </c>
      <c r="AY188" s="31">
        <v>0</v>
      </c>
      <c r="AZ188" s="31">
        <v>13537468.450876148</v>
      </c>
      <c r="BA188" s="31">
        <v>4279326.5781816943</v>
      </c>
      <c r="BB188" s="31">
        <v>7111377.96077336</v>
      </c>
      <c r="BC188" s="31">
        <f t="shared" si="15"/>
        <v>112943070.55697712</v>
      </c>
      <c r="BD188" s="31">
        <v>194070.49</v>
      </c>
    </row>
    <row r="189" spans="2:56">
      <c r="B189" s="42" t="s">
        <v>329</v>
      </c>
      <c r="C189" s="42" t="s">
        <v>330</v>
      </c>
      <c r="D189" s="43" t="s">
        <v>1049</v>
      </c>
      <c r="E189" s="44">
        <v>32</v>
      </c>
      <c r="F189" s="31">
        <v>56239719.916402251</v>
      </c>
      <c r="G189" s="31">
        <v>2235141.3600000003</v>
      </c>
      <c r="H189" s="31">
        <v>450672.62999999995</v>
      </c>
      <c r="I189" s="31">
        <v>185433.52</v>
      </c>
      <c r="J189" s="31">
        <v>7789237.5685768183</v>
      </c>
      <c r="K189" s="31">
        <v>980577.83151286631</v>
      </c>
      <c r="L189" s="31">
        <v>1523234.1689746305</v>
      </c>
      <c r="M189" s="31">
        <f t="shared" si="12"/>
        <v>70941468.405466557</v>
      </c>
      <c r="N189" s="31">
        <v>1537451.41</v>
      </c>
      <c r="P189" s="42" t="s">
        <v>329</v>
      </c>
      <c r="Q189" s="42" t="s">
        <v>330</v>
      </c>
      <c r="R189" s="43" t="s">
        <v>1050</v>
      </c>
      <c r="S189" s="44">
        <v>32</v>
      </c>
      <c r="T189" s="31">
        <v>58750872.025068462</v>
      </c>
      <c r="U189" s="31">
        <v>2353755.4500000002</v>
      </c>
      <c r="V189" s="31">
        <v>470204.98</v>
      </c>
      <c r="W189" s="31">
        <v>193566.2</v>
      </c>
      <c r="X189" s="31">
        <v>8093183.546357465</v>
      </c>
      <c r="Y189" s="31">
        <v>981446.84715366689</v>
      </c>
      <c r="Z189" s="31">
        <v>1600492.8440070171</v>
      </c>
      <c r="AA189" s="31">
        <f t="shared" si="13"/>
        <v>74026556.862586603</v>
      </c>
      <c r="AB189" s="31">
        <v>1583034.97</v>
      </c>
      <c r="AD189" s="42" t="s">
        <v>329</v>
      </c>
      <c r="AE189" s="42" t="s">
        <v>330</v>
      </c>
      <c r="AF189" s="43" t="s">
        <v>1275</v>
      </c>
      <c r="AG189" s="44">
        <v>32</v>
      </c>
      <c r="AH189" s="31">
        <v>59894606.515502997</v>
      </c>
      <c r="AI189" s="31">
        <v>2404646.2799999993</v>
      </c>
      <c r="AJ189" s="31">
        <v>479712.27</v>
      </c>
      <c r="AK189" s="31">
        <v>197455.77000000002</v>
      </c>
      <c r="AL189" s="31">
        <v>8249397.5506528178</v>
      </c>
      <c r="AM189" s="31">
        <v>981151.61719659914</v>
      </c>
      <c r="AN189" s="31">
        <v>1632237.3516693881</v>
      </c>
      <c r="AO189" s="31">
        <f t="shared" si="14"/>
        <v>75451351.895021826</v>
      </c>
      <c r="AP189" s="31">
        <v>1612144.5400000003</v>
      </c>
      <c r="AR189" s="42" t="s">
        <v>329</v>
      </c>
      <c r="AS189" s="42" t="s">
        <v>330</v>
      </c>
      <c r="AT189" s="43" t="s">
        <v>1276</v>
      </c>
      <c r="AU189" s="44">
        <v>32</v>
      </c>
      <c r="AV189" s="31">
        <v>61107178.401137337</v>
      </c>
      <c r="AW189" s="31">
        <v>2452347.5699999998</v>
      </c>
      <c r="AX189" s="31">
        <v>489417.70000000007</v>
      </c>
      <c r="AY189" s="31">
        <v>201481.68</v>
      </c>
      <c r="AZ189" s="31">
        <v>8416129.385470584</v>
      </c>
      <c r="BA189" s="31">
        <v>981198.59871814854</v>
      </c>
      <c r="BB189" s="31">
        <v>1665411.5518850721</v>
      </c>
      <c r="BC189" s="31">
        <f t="shared" si="15"/>
        <v>76957996.65721114</v>
      </c>
      <c r="BD189" s="31">
        <v>1644831.77</v>
      </c>
    </row>
    <row r="190" spans="2:56">
      <c r="B190" s="42" t="s">
        <v>287</v>
      </c>
      <c r="C190" s="42" t="s">
        <v>288</v>
      </c>
      <c r="D190" s="43" t="s">
        <v>1049</v>
      </c>
      <c r="E190" s="44">
        <v>32</v>
      </c>
      <c r="F190" s="31">
        <v>6014857.3301627729</v>
      </c>
      <c r="G190" s="31">
        <v>285214.87000000005</v>
      </c>
      <c r="H190" s="31">
        <v>0</v>
      </c>
      <c r="I190" s="31">
        <v>22216.95</v>
      </c>
      <c r="J190" s="31">
        <v>1006932.7795235945</v>
      </c>
      <c r="K190" s="31">
        <v>660766.32628542359</v>
      </c>
      <c r="L190" s="31">
        <v>957544.64472850435</v>
      </c>
      <c r="M190" s="31">
        <f t="shared" si="12"/>
        <v>9176523.3207002953</v>
      </c>
      <c r="N190" s="31">
        <v>228990.41999999998</v>
      </c>
      <c r="P190" s="42" t="s">
        <v>287</v>
      </c>
      <c r="Q190" s="42" t="s">
        <v>288</v>
      </c>
      <c r="R190" s="43" t="s">
        <v>1050</v>
      </c>
      <c r="S190" s="44">
        <v>32</v>
      </c>
      <c r="T190" s="31">
        <v>6338003.2029554229</v>
      </c>
      <c r="U190" s="31">
        <v>300864.03999999998</v>
      </c>
      <c r="V190" s="31">
        <v>0</v>
      </c>
      <c r="W190" s="31">
        <v>23171.29</v>
      </c>
      <c r="X190" s="31">
        <v>1046170.8353255114</v>
      </c>
      <c r="Y190" s="31">
        <v>661352.89554711233</v>
      </c>
      <c r="Z190" s="31">
        <v>1006116.5635684915</v>
      </c>
      <c r="AA190" s="31">
        <f t="shared" si="13"/>
        <v>9611396.8873965386</v>
      </c>
      <c r="AB190" s="31">
        <v>235718.06</v>
      </c>
      <c r="AD190" s="42" t="s">
        <v>287</v>
      </c>
      <c r="AE190" s="42" t="s">
        <v>288</v>
      </c>
      <c r="AF190" s="43" t="s">
        <v>1275</v>
      </c>
      <c r="AG190" s="44">
        <v>32</v>
      </c>
      <c r="AH190" s="31">
        <v>6463443.3427721504</v>
      </c>
      <c r="AI190" s="31">
        <v>307416.78000000003</v>
      </c>
      <c r="AJ190" s="31">
        <v>0</v>
      </c>
      <c r="AK190" s="31">
        <v>23624.539999999997</v>
      </c>
      <c r="AL190" s="31">
        <v>1066327.9779990562</v>
      </c>
      <c r="AM190" s="31">
        <v>661153.6208622678</v>
      </c>
      <c r="AN190" s="31">
        <v>1026228.9784403904</v>
      </c>
      <c r="AO190" s="31">
        <f t="shared" si="14"/>
        <v>9788269.4500738662</v>
      </c>
      <c r="AP190" s="31">
        <v>240074.21</v>
      </c>
      <c r="AR190" s="42" t="s">
        <v>287</v>
      </c>
      <c r="AS190" s="42" t="s">
        <v>288</v>
      </c>
      <c r="AT190" s="43" t="s">
        <v>1276</v>
      </c>
      <c r="AU190" s="44">
        <v>32</v>
      </c>
      <c r="AV190" s="31">
        <v>6592049.404339348</v>
      </c>
      <c r="AW190" s="31">
        <v>313494.37999999995</v>
      </c>
      <c r="AX190" s="31">
        <v>0</v>
      </c>
      <c r="AY190" s="31">
        <v>24160.999999999996</v>
      </c>
      <c r="AZ190" s="31">
        <v>1087838.9472927433</v>
      </c>
      <c r="BA190" s="31">
        <v>661185.33250831231</v>
      </c>
      <c r="BB190" s="31">
        <v>1047157.5716800115</v>
      </c>
      <c r="BC190" s="31">
        <f t="shared" si="15"/>
        <v>9970826.3558204155</v>
      </c>
      <c r="BD190" s="31">
        <v>244939.72000000003</v>
      </c>
    </row>
    <row r="191" spans="2:56">
      <c r="B191" s="42" t="s">
        <v>483</v>
      </c>
      <c r="C191" s="42" t="s">
        <v>484</v>
      </c>
      <c r="D191" s="43" t="s">
        <v>1049</v>
      </c>
      <c r="E191" s="44">
        <v>32</v>
      </c>
      <c r="F191" s="31">
        <v>586998.00635285024</v>
      </c>
      <c r="G191" s="31">
        <v>24312.62999999999</v>
      </c>
      <c r="H191" s="31">
        <v>0</v>
      </c>
      <c r="I191" s="31">
        <v>1412.37</v>
      </c>
      <c r="J191" s="31">
        <v>50799.773471523069</v>
      </c>
      <c r="K191" s="31">
        <v>126719.06494009375</v>
      </c>
      <c r="L191" s="31">
        <v>0</v>
      </c>
      <c r="M191" s="31">
        <f t="shared" si="12"/>
        <v>804466.21476446709</v>
      </c>
      <c r="N191" s="31">
        <v>14224.370000000003</v>
      </c>
      <c r="P191" s="42" t="s">
        <v>483</v>
      </c>
      <c r="Q191" s="42" t="s">
        <v>484</v>
      </c>
      <c r="R191" s="43" t="s">
        <v>1050</v>
      </c>
      <c r="S191" s="44">
        <v>32</v>
      </c>
      <c r="T191" s="31">
        <v>615808.81975678634</v>
      </c>
      <c r="U191" s="31">
        <v>25427.35</v>
      </c>
      <c r="V191" s="31">
        <v>0</v>
      </c>
      <c r="W191" s="31">
        <v>1466.08</v>
      </c>
      <c r="X191" s="31">
        <v>52511.671086222545</v>
      </c>
      <c r="Y191" s="31">
        <v>126829.87908060927</v>
      </c>
      <c r="Z191" s="31">
        <v>0</v>
      </c>
      <c r="AA191" s="31">
        <f t="shared" si="13"/>
        <v>836619.44992361811</v>
      </c>
      <c r="AB191" s="31">
        <v>14575.65</v>
      </c>
      <c r="AD191" s="42" t="s">
        <v>483</v>
      </c>
      <c r="AE191" s="42" t="s">
        <v>484</v>
      </c>
      <c r="AF191" s="43" t="s">
        <v>1275</v>
      </c>
      <c r="AG191" s="44">
        <v>32</v>
      </c>
      <c r="AH191" s="31">
        <v>627639.25483293645</v>
      </c>
      <c r="AI191" s="31">
        <v>25952.380000000005</v>
      </c>
      <c r="AJ191" s="31">
        <v>0</v>
      </c>
      <c r="AK191" s="31">
        <v>1494.77</v>
      </c>
      <c r="AL191" s="31">
        <v>53485.134890427486</v>
      </c>
      <c r="AM191" s="31">
        <v>126792.23228530333</v>
      </c>
      <c r="AN191" s="31">
        <v>0</v>
      </c>
      <c r="AO191" s="31">
        <f t="shared" si="14"/>
        <v>850197.35200866719</v>
      </c>
      <c r="AP191" s="31">
        <v>14833.580000000002</v>
      </c>
      <c r="AR191" s="42" t="s">
        <v>483</v>
      </c>
      <c r="AS191" s="42" t="s">
        <v>484</v>
      </c>
      <c r="AT191" s="43" t="s">
        <v>1276</v>
      </c>
      <c r="AU191" s="44">
        <v>32</v>
      </c>
      <c r="AV191" s="31">
        <v>639152.04813961289</v>
      </c>
      <c r="AW191" s="31">
        <v>26424.540000000005</v>
      </c>
      <c r="AX191" s="31">
        <v>0</v>
      </c>
      <c r="AY191" s="31">
        <v>1522.2</v>
      </c>
      <c r="AZ191" s="31">
        <v>54471.53984506477</v>
      </c>
      <c r="BA191" s="31">
        <v>126798.22322112332</v>
      </c>
      <c r="BB191" s="31">
        <v>0</v>
      </c>
      <c r="BC191" s="31">
        <f t="shared" si="15"/>
        <v>863478.39120580093</v>
      </c>
      <c r="BD191" s="31">
        <v>15109.84</v>
      </c>
    </row>
    <row r="192" spans="2:56">
      <c r="B192" s="42" t="s">
        <v>395</v>
      </c>
      <c r="C192" s="42" t="s">
        <v>396</v>
      </c>
      <c r="D192" s="43" t="s">
        <v>1049</v>
      </c>
      <c r="E192" s="44">
        <v>32</v>
      </c>
      <c r="F192" s="31">
        <v>7055803.4804237569</v>
      </c>
      <c r="G192" s="31">
        <v>149572.36000000002</v>
      </c>
      <c r="H192" s="31">
        <v>57867.689999999995</v>
      </c>
      <c r="I192" s="31">
        <v>22414.3</v>
      </c>
      <c r="J192" s="31">
        <v>813462.92168334324</v>
      </c>
      <c r="K192" s="31">
        <v>202440.0676892247</v>
      </c>
      <c r="L192" s="31">
        <v>113634.68374271283</v>
      </c>
      <c r="M192" s="31">
        <f t="shared" si="12"/>
        <v>8415195.5035390388</v>
      </c>
      <c r="N192" s="31">
        <v>0</v>
      </c>
      <c r="P192" s="42" t="s">
        <v>395</v>
      </c>
      <c r="Q192" s="42" t="s">
        <v>396</v>
      </c>
      <c r="R192" s="43" t="s">
        <v>1050</v>
      </c>
      <c r="S192" s="44">
        <v>32</v>
      </c>
      <c r="T192" s="31">
        <v>7344907.346086923</v>
      </c>
      <c r="U192" s="31">
        <v>155947.63</v>
      </c>
      <c r="V192" s="31">
        <v>60255.03</v>
      </c>
      <c r="W192" s="31">
        <v>23364.21</v>
      </c>
      <c r="X192" s="31">
        <v>844780.88085608359</v>
      </c>
      <c r="Y192" s="31">
        <v>202602.41209749313</v>
      </c>
      <c r="Z192" s="31">
        <v>118045.15462725432</v>
      </c>
      <c r="AA192" s="31">
        <f t="shared" si="13"/>
        <v>8749902.6636677533</v>
      </c>
      <c r="AB192" s="31">
        <v>0</v>
      </c>
      <c r="AD192" s="42" t="s">
        <v>395</v>
      </c>
      <c r="AE192" s="42" t="s">
        <v>396</v>
      </c>
      <c r="AF192" s="43" t="s">
        <v>1275</v>
      </c>
      <c r="AG192" s="44">
        <v>32</v>
      </c>
      <c r="AH192" s="31">
        <v>7488683.3993714433</v>
      </c>
      <c r="AI192" s="31">
        <v>159117.21</v>
      </c>
      <c r="AJ192" s="31">
        <v>61435.65</v>
      </c>
      <c r="AK192" s="31">
        <v>23821.989999999998</v>
      </c>
      <c r="AL192" s="31">
        <v>861181.39892442222</v>
      </c>
      <c r="AM192" s="31">
        <v>202543.04362289829</v>
      </c>
      <c r="AN192" s="31">
        <v>120426.33482200702</v>
      </c>
      <c r="AO192" s="31">
        <f t="shared" si="14"/>
        <v>8917209.0267407708</v>
      </c>
      <c r="AP192" s="31">
        <v>0</v>
      </c>
      <c r="AR192" s="42" t="s">
        <v>395</v>
      </c>
      <c r="AS192" s="42" t="s">
        <v>396</v>
      </c>
      <c r="AT192" s="43" t="s">
        <v>1276</v>
      </c>
      <c r="AU192" s="44">
        <v>32</v>
      </c>
      <c r="AV192" s="31">
        <v>7638049.4090079684</v>
      </c>
      <c r="AW192" s="31">
        <v>162410.91999999998</v>
      </c>
      <c r="AX192" s="31">
        <v>62805.079999999994</v>
      </c>
      <c r="AY192" s="31">
        <v>24379.050000000003</v>
      </c>
      <c r="AZ192" s="31">
        <v>878721.96596771781</v>
      </c>
      <c r="BA192" s="31">
        <v>202552.27319581827</v>
      </c>
      <c r="BB192" s="31">
        <v>122909.65417107235</v>
      </c>
      <c r="BC192" s="31">
        <f t="shared" si="15"/>
        <v>9091828.3523425758</v>
      </c>
      <c r="BD192" s="31">
        <v>0</v>
      </c>
    </row>
    <row r="193" spans="2:56">
      <c r="B193" s="42" t="s">
        <v>453</v>
      </c>
      <c r="C193" s="42" t="s">
        <v>454</v>
      </c>
      <c r="D193" s="43" t="s">
        <v>1049</v>
      </c>
      <c r="E193" s="44">
        <v>32</v>
      </c>
      <c r="F193" s="31">
        <v>743950.00742913526</v>
      </c>
      <c r="G193" s="31">
        <v>6626.11</v>
      </c>
      <c r="H193" s="31">
        <v>0</v>
      </c>
      <c r="I193" s="31">
        <v>0</v>
      </c>
      <c r="J193" s="31">
        <v>38147.509277400262</v>
      </c>
      <c r="K193" s="31">
        <v>32923.575338555747</v>
      </c>
      <c r="L193" s="31">
        <v>0</v>
      </c>
      <c r="M193" s="31">
        <f t="shared" si="12"/>
        <v>821647.2020450912</v>
      </c>
      <c r="N193" s="31">
        <v>0</v>
      </c>
      <c r="P193" s="42" t="s">
        <v>453</v>
      </c>
      <c r="Q193" s="42" t="s">
        <v>454</v>
      </c>
      <c r="R193" s="43" t="s">
        <v>1050</v>
      </c>
      <c r="S193" s="44">
        <v>32</v>
      </c>
      <c r="T193" s="31">
        <v>772430.02675716719</v>
      </c>
      <c r="U193" s="31">
        <v>6880.5499999999993</v>
      </c>
      <c r="V193" s="31">
        <v>0</v>
      </c>
      <c r="W193" s="31">
        <v>0</v>
      </c>
      <c r="X193" s="31">
        <v>39431.58149740722</v>
      </c>
      <c r="Y193" s="31">
        <v>32957.597173473769</v>
      </c>
      <c r="Z193" s="31">
        <v>0</v>
      </c>
      <c r="AA193" s="31">
        <f t="shared" si="13"/>
        <v>851699.7554280482</v>
      </c>
      <c r="AB193" s="31">
        <v>0</v>
      </c>
      <c r="AD193" s="42" t="s">
        <v>453</v>
      </c>
      <c r="AE193" s="42" t="s">
        <v>454</v>
      </c>
      <c r="AF193" s="43" t="s">
        <v>1275</v>
      </c>
      <c r="AG193" s="44">
        <v>32</v>
      </c>
      <c r="AH193" s="31">
        <v>787276.43312334002</v>
      </c>
      <c r="AI193" s="31">
        <v>7015.13</v>
      </c>
      <c r="AJ193" s="31">
        <v>0</v>
      </c>
      <c r="AK193" s="31">
        <v>0</v>
      </c>
      <c r="AL193" s="31">
        <v>40161.129508845661</v>
      </c>
      <c r="AM193" s="31">
        <v>32946.038963942628</v>
      </c>
      <c r="AN193" s="31">
        <v>0</v>
      </c>
      <c r="AO193" s="31">
        <f t="shared" si="14"/>
        <v>867398.73159612832</v>
      </c>
      <c r="AP193" s="31">
        <v>0</v>
      </c>
      <c r="AR193" s="42" t="s">
        <v>453</v>
      </c>
      <c r="AS193" s="42" t="s">
        <v>454</v>
      </c>
      <c r="AT193" s="43" t="s">
        <v>1276</v>
      </c>
      <c r="AU193" s="44">
        <v>32</v>
      </c>
      <c r="AV193" s="31">
        <v>801686.37831025105</v>
      </c>
      <c r="AW193" s="31">
        <v>7143.23</v>
      </c>
      <c r="AX193" s="31">
        <v>0</v>
      </c>
      <c r="AY193" s="31">
        <v>0</v>
      </c>
      <c r="AZ193" s="31">
        <v>40899.165913064513</v>
      </c>
      <c r="BA193" s="31">
        <v>32947.878283622631</v>
      </c>
      <c r="BB193" s="31">
        <v>0</v>
      </c>
      <c r="BC193" s="31">
        <f t="shared" si="15"/>
        <v>882676.6525069382</v>
      </c>
      <c r="BD193" s="31">
        <v>0</v>
      </c>
    </row>
    <row r="194" spans="2:56">
      <c r="B194" s="42" t="s">
        <v>105</v>
      </c>
      <c r="C194" s="42" t="s">
        <v>106</v>
      </c>
      <c r="D194" s="43" t="s">
        <v>1049</v>
      </c>
      <c r="E194" s="44">
        <v>32</v>
      </c>
      <c r="F194" s="31">
        <v>580280.6184730744</v>
      </c>
      <c r="G194" s="31">
        <v>15535.860000000004</v>
      </c>
      <c r="H194" s="31">
        <v>0</v>
      </c>
      <c r="I194" s="31">
        <v>1008.8100000000001</v>
      </c>
      <c r="J194" s="31">
        <v>42434.749134771206</v>
      </c>
      <c r="K194" s="31">
        <v>332269.71829718299</v>
      </c>
      <c r="L194" s="31">
        <v>0</v>
      </c>
      <c r="M194" s="31">
        <f t="shared" si="12"/>
        <v>981012.6659050287</v>
      </c>
      <c r="N194" s="31">
        <v>9482.91</v>
      </c>
      <c r="P194" s="42" t="s">
        <v>105</v>
      </c>
      <c r="Q194" s="42" t="s">
        <v>106</v>
      </c>
      <c r="R194" s="43" t="s">
        <v>1050</v>
      </c>
      <c r="S194" s="44">
        <v>32</v>
      </c>
      <c r="T194" s="31">
        <v>606354.93647221453</v>
      </c>
      <c r="U194" s="31">
        <v>16253.44</v>
      </c>
      <c r="V194" s="31">
        <v>0</v>
      </c>
      <c r="W194" s="31">
        <v>1047.1999999999998</v>
      </c>
      <c r="X194" s="31">
        <v>43862.705010693593</v>
      </c>
      <c r="Y194" s="31">
        <v>332583.79952880356</v>
      </c>
      <c r="Z194" s="31">
        <v>0</v>
      </c>
      <c r="AA194" s="31">
        <f t="shared" si="13"/>
        <v>1009819.1810117116</v>
      </c>
      <c r="AB194" s="31">
        <v>9717.1</v>
      </c>
      <c r="AD194" s="42" t="s">
        <v>105</v>
      </c>
      <c r="AE194" s="42" t="s">
        <v>106</v>
      </c>
      <c r="AF194" s="43" t="s">
        <v>1275</v>
      </c>
      <c r="AG194" s="44">
        <v>32</v>
      </c>
      <c r="AH194" s="31">
        <v>617980.29350470449</v>
      </c>
      <c r="AI194" s="31">
        <v>16589.79</v>
      </c>
      <c r="AJ194" s="31">
        <v>0</v>
      </c>
      <c r="AK194" s="31">
        <v>1067.69</v>
      </c>
      <c r="AL194" s="31">
        <v>44675.773403095198</v>
      </c>
      <c r="AM194" s="31">
        <v>332477.09697458748</v>
      </c>
      <c r="AN194" s="31">
        <v>0</v>
      </c>
      <c r="AO194" s="31">
        <f t="shared" si="14"/>
        <v>1022679.7038823871</v>
      </c>
      <c r="AP194" s="31">
        <v>9889.06</v>
      </c>
      <c r="AR194" s="42" t="s">
        <v>105</v>
      </c>
      <c r="AS194" s="42" t="s">
        <v>106</v>
      </c>
      <c r="AT194" s="43" t="s">
        <v>1276</v>
      </c>
      <c r="AU194" s="44">
        <v>32</v>
      </c>
      <c r="AV194" s="31">
        <v>629272.47420182126</v>
      </c>
      <c r="AW194" s="31">
        <v>16891.509999999998</v>
      </c>
      <c r="AX194" s="31">
        <v>0</v>
      </c>
      <c r="AY194" s="31">
        <v>1087.2800000000002</v>
      </c>
      <c r="AZ194" s="31">
        <v>45499.598840519728</v>
      </c>
      <c r="BA194" s="31">
        <v>332494.07712253748</v>
      </c>
      <c r="BB194" s="31">
        <v>0</v>
      </c>
      <c r="BC194" s="31">
        <f t="shared" si="15"/>
        <v>1035318.1701648785</v>
      </c>
      <c r="BD194" s="31">
        <v>10073.23</v>
      </c>
    </row>
    <row r="195" spans="2:56">
      <c r="B195" s="42" t="s">
        <v>89</v>
      </c>
      <c r="C195" s="42" t="s">
        <v>90</v>
      </c>
      <c r="D195" s="43" t="s">
        <v>1049</v>
      </c>
      <c r="E195" s="44">
        <v>32</v>
      </c>
      <c r="F195" s="31">
        <v>1201730.1683764947</v>
      </c>
      <c r="G195" s="31">
        <v>76784.88</v>
      </c>
      <c r="H195" s="31">
        <v>89744.75</v>
      </c>
      <c r="I195" s="31">
        <v>3897.71</v>
      </c>
      <c r="J195" s="31">
        <v>150004.61351045719</v>
      </c>
      <c r="K195" s="31">
        <v>270288.46799932304</v>
      </c>
      <c r="L195" s="31">
        <v>12749.332884176802</v>
      </c>
      <c r="M195" s="31">
        <f t="shared" si="12"/>
        <v>1844956.5427704516</v>
      </c>
      <c r="N195" s="31">
        <v>39756.620000000003</v>
      </c>
      <c r="P195" s="42" t="s">
        <v>89</v>
      </c>
      <c r="Q195" s="42" t="s">
        <v>90</v>
      </c>
      <c r="R195" s="43" t="s">
        <v>1050</v>
      </c>
      <c r="S195" s="44">
        <v>32</v>
      </c>
      <c r="T195" s="31">
        <v>1272069.5696143857</v>
      </c>
      <c r="U195" s="31">
        <v>80690.25</v>
      </c>
      <c r="V195" s="31">
        <v>93696.97</v>
      </c>
      <c r="W195" s="31">
        <v>4047.3800000000006</v>
      </c>
      <c r="X195" s="31">
        <v>155841.51954124775</v>
      </c>
      <c r="Y195" s="31">
        <v>270530.61714698822</v>
      </c>
      <c r="Z195" s="31">
        <v>13316.128245304411</v>
      </c>
      <c r="AA195" s="31">
        <f t="shared" si="13"/>
        <v>1931126.1145479258</v>
      </c>
      <c r="AB195" s="31">
        <v>40933.68</v>
      </c>
      <c r="AD195" s="42" t="s">
        <v>89</v>
      </c>
      <c r="AE195" s="42" t="s">
        <v>90</v>
      </c>
      <c r="AF195" s="43" t="s">
        <v>1275</v>
      </c>
      <c r="AG195" s="44">
        <v>32</v>
      </c>
      <c r="AH195" s="31">
        <v>1297720.9212877653</v>
      </c>
      <c r="AI195" s="31">
        <v>82451.360000000015</v>
      </c>
      <c r="AJ195" s="31">
        <v>95529.809999999983</v>
      </c>
      <c r="AK195" s="31">
        <v>4126.5599999999995</v>
      </c>
      <c r="AL195" s="31">
        <v>158850.20023578402</v>
      </c>
      <c r="AM195" s="31">
        <v>270448.35201951215</v>
      </c>
      <c r="AN195" s="31">
        <v>13678.127645202741</v>
      </c>
      <c r="AO195" s="31">
        <f t="shared" si="14"/>
        <v>1964460.1911882644</v>
      </c>
      <c r="AP195" s="31">
        <v>41654.859999999993</v>
      </c>
      <c r="AR195" s="42" t="s">
        <v>89</v>
      </c>
      <c r="AS195" s="42" t="s">
        <v>90</v>
      </c>
      <c r="AT195" s="43" t="s">
        <v>1276</v>
      </c>
      <c r="AU195" s="44">
        <v>32</v>
      </c>
      <c r="AV195" s="31">
        <v>1323889.9176445003</v>
      </c>
      <c r="AW195" s="31">
        <v>84051.849999999977</v>
      </c>
      <c r="AX195" s="31">
        <v>97484.36</v>
      </c>
      <c r="AY195" s="31">
        <v>4201.91</v>
      </c>
      <c r="AZ195" s="31">
        <v>162043.1537670609</v>
      </c>
      <c r="BA195" s="31">
        <v>270461.44330908754</v>
      </c>
      <c r="BB195" s="31">
        <v>13934.495151927806</v>
      </c>
      <c r="BC195" s="31">
        <f t="shared" si="15"/>
        <v>1998597.8698725766</v>
      </c>
      <c r="BD195" s="31">
        <v>42530.74</v>
      </c>
    </row>
    <row r="196" spans="2:56">
      <c r="B196" s="42" t="s">
        <v>341</v>
      </c>
      <c r="C196" s="42" t="s">
        <v>342</v>
      </c>
      <c r="D196" s="43" t="s">
        <v>1049</v>
      </c>
      <c r="E196" s="44">
        <v>32</v>
      </c>
      <c r="F196" s="31">
        <v>4697330.575340094</v>
      </c>
      <c r="G196" s="31">
        <v>238734.71000000002</v>
      </c>
      <c r="H196" s="31">
        <v>101535.32</v>
      </c>
      <c r="I196" s="31">
        <v>0</v>
      </c>
      <c r="J196" s="31">
        <v>597525.68906491285</v>
      </c>
      <c r="K196" s="31">
        <v>251361.99620982501</v>
      </c>
      <c r="L196" s="31">
        <v>255975.68077863537</v>
      </c>
      <c r="M196" s="31">
        <f t="shared" si="12"/>
        <v>6291941.1113934675</v>
      </c>
      <c r="N196" s="31">
        <v>149477.14000000001</v>
      </c>
      <c r="P196" s="42" t="s">
        <v>341</v>
      </c>
      <c r="Q196" s="42" t="s">
        <v>342</v>
      </c>
      <c r="R196" s="43" t="s">
        <v>1050</v>
      </c>
      <c r="S196" s="44">
        <v>32</v>
      </c>
      <c r="T196" s="31">
        <v>4938547.2524330001</v>
      </c>
      <c r="U196" s="31">
        <v>251192.71000000005</v>
      </c>
      <c r="V196" s="31">
        <v>105839.12</v>
      </c>
      <c r="W196" s="31">
        <v>0</v>
      </c>
      <c r="X196" s="31">
        <v>620802.44171216479</v>
      </c>
      <c r="Y196" s="31">
        <v>251601.01319332296</v>
      </c>
      <c r="Z196" s="31">
        <v>268703.66821329843</v>
      </c>
      <c r="AA196" s="31">
        <f t="shared" si="13"/>
        <v>6590636.7555517871</v>
      </c>
      <c r="AB196" s="31">
        <v>153950.54999999996</v>
      </c>
      <c r="AD196" s="42" t="s">
        <v>341</v>
      </c>
      <c r="AE196" s="42" t="s">
        <v>342</v>
      </c>
      <c r="AF196" s="43" t="s">
        <v>1275</v>
      </c>
      <c r="AG196" s="44">
        <v>32</v>
      </c>
      <c r="AH196" s="31">
        <v>5035936.9988078754</v>
      </c>
      <c r="AI196" s="31">
        <v>256613.36</v>
      </c>
      <c r="AJ196" s="31">
        <v>108218.96</v>
      </c>
      <c r="AK196" s="31">
        <v>0</v>
      </c>
      <c r="AL196" s="31">
        <v>632775.54373095511</v>
      </c>
      <c r="AM196" s="31">
        <v>251519.81215336063</v>
      </c>
      <c r="AN196" s="31">
        <v>274018.99872704764</v>
      </c>
      <c r="AO196" s="31">
        <f t="shared" si="14"/>
        <v>6715848.1834192397</v>
      </c>
      <c r="AP196" s="31">
        <v>156764.51</v>
      </c>
      <c r="AR196" s="42" t="s">
        <v>341</v>
      </c>
      <c r="AS196" s="42" t="s">
        <v>342</v>
      </c>
      <c r="AT196" s="43" t="s">
        <v>1276</v>
      </c>
      <c r="AU196" s="44">
        <v>32</v>
      </c>
      <c r="AV196" s="31">
        <v>5135715.8063381333</v>
      </c>
      <c r="AW196" s="31">
        <v>261678.55999999997</v>
      </c>
      <c r="AX196" s="31">
        <v>110195.14</v>
      </c>
      <c r="AY196" s="31">
        <v>0</v>
      </c>
      <c r="AZ196" s="31">
        <v>645542.00247990596</v>
      </c>
      <c r="BA196" s="31">
        <v>251532.73410900065</v>
      </c>
      <c r="BB196" s="31">
        <v>279553.76197747083</v>
      </c>
      <c r="BC196" s="31">
        <f t="shared" si="15"/>
        <v>6844096.2749045091</v>
      </c>
      <c r="BD196" s="31">
        <v>159878.26999999999</v>
      </c>
    </row>
    <row r="197" spans="2:56">
      <c r="B197" s="42" t="s">
        <v>375</v>
      </c>
      <c r="C197" s="42" t="s">
        <v>376</v>
      </c>
      <c r="D197" s="43" t="s">
        <v>1049</v>
      </c>
      <c r="E197" s="44">
        <v>32</v>
      </c>
      <c r="F197" s="31">
        <v>21045219.589709699</v>
      </c>
      <c r="G197" s="31">
        <v>537941.72000000009</v>
      </c>
      <c r="H197" s="31">
        <v>106603.35999999999</v>
      </c>
      <c r="I197" s="31">
        <v>76951.420000000013</v>
      </c>
      <c r="J197" s="31">
        <v>3551729.2492769272</v>
      </c>
      <c r="K197" s="31">
        <v>1512852.7542255726</v>
      </c>
      <c r="L197" s="31">
        <v>2573148.2718259608</v>
      </c>
      <c r="M197" s="31">
        <f t="shared" ref="M197:M260" si="16">SUM(F197:L197,N197)</f>
        <v>29404446.365038164</v>
      </c>
      <c r="N197" s="31">
        <v>0</v>
      </c>
      <c r="P197" s="42" t="s">
        <v>375</v>
      </c>
      <c r="Q197" s="42" t="s">
        <v>376</v>
      </c>
      <c r="R197" s="43" t="s">
        <v>1050</v>
      </c>
      <c r="S197" s="44">
        <v>32</v>
      </c>
      <c r="T197" s="31">
        <v>21954974.766565781</v>
      </c>
      <c r="U197" s="31">
        <v>561082.78</v>
      </c>
      <c r="V197" s="31">
        <v>111066.49</v>
      </c>
      <c r="W197" s="31">
        <v>80185.099999999991</v>
      </c>
      <c r="X197" s="31">
        <v>3689211.3736308669</v>
      </c>
      <c r="Y197" s="31">
        <v>1514087.0250916493</v>
      </c>
      <c r="Z197" s="31">
        <v>2676903.0696240468</v>
      </c>
      <c r="AA197" s="31">
        <f t="shared" ref="AA197:AA260" si="17">SUM(T197:Z197,AB197)</f>
        <v>30587510.604912344</v>
      </c>
      <c r="AB197" s="31">
        <v>0</v>
      </c>
      <c r="AD197" s="42" t="s">
        <v>375</v>
      </c>
      <c r="AE197" s="42" t="s">
        <v>376</v>
      </c>
      <c r="AF197" s="43" t="s">
        <v>1275</v>
      </c>
      <c r="AG197" s="44">
        <v>32</v>
      </c>
      <c r="AH197" s="31">
        <v>22393878.317413885</v>
      </c>
      <c r="AI197" s="31">
        <v>572502.09</v>
      </c>
      <c r="AJ197" s="31">
        <v>113349.54000000001</v>
      </c>
      <c r="AK197" s="31">
        <v>81863.58</v>
      </c>
      <c r="AL197" s="31">
        <v>3760539.3602857413</v>
      </c>
      <c r="AM197" s="31">
        <v>1513651.3611767215</v>
      </c>
      <c r="AN197" s="31">
        <v>2730664.3052986814</v>
      </c>
      <c r="AO197" s="31">
        <f t="shared" ref="AO197:AO260" si="18">SUM(AH197:AN197,AP197)</f>
        <v>31166448.554175027</v>
      </c>
      <c r="AP197" s="31">
        <v>0</v>
      </c>
      <c r="AR197" s="42" t="s">
        <v>375</v>
      </c>
      <c r="AS197" s="42" t="s">
        <v>376</v>
      </c>
      <c r="AT197" s="43" t="s">
        <v>1276</v>
      </c>
      <c r="AU197" s="44">
        <v>32</v>
      </c>
      <c r="AV197" s="31">
        <v>22847500.869911</v>
      </c>
      <c r="AW197" s="31">
        <v>584026.86</v>
      </c>
      <c r="AX197" s="31">
        <v>115544.87999999999</v>
      </c>
      <c r="AY197" s="31">
        <v>83479.8</v>
      </c>
      <c r="AZ197" s="31">
        <v>3836775.6611383026</v>
      </c>
      <c r="BA197" s="31">
        <v>1513719.8451580706</v>
      </c>
      <c r="BB197" s="31">
        <v>2786217.2867596513</v>
      </c>
      <c r="BC197" s="31">
        <f t="shared" ref="BC197:BC260" si="19">SUM(AV197:BB197,BD197)</f>
        <v>31767265.202967025</v>
      </c>
      <c r="BD197" s="31">
        <v>0</v>
      </c>
    </row>
    <row r="198" spans="2:56">
      <c r="B198" s="42" t="s">
        <v>7</v>
      </c>
      <c r="C198" s="42" t="s">
        <v>8</v>
      </c>
      <c r="D198" s="43" t="s">
        <v>1049</v>
      </c>
      <c r="E198" s="44">
        <v>32</v>
      </c>
      <c r="F198" s="31">
        <v>36347326.735194393</v>
      </c>
      <c r="G198" s="31">
        <v>2267102.59</v>
      </c>
      <c r="H198" s="31">
        <v>2886935.8000000007</v>
      </c>
      <c r="I198" s="31">
        <v>125116.46000000002</v>
      </c>
      <c r="J198" s="31">
        <v>5470856.796871393</v>
      </c>
      <c r="K198" s="31">
        <v>2096029.985005335</v>
      </c>
      <c r="L198" s="31">
        <v>2324009.8452922851</v>
      </c>
      <c r="M198" s="31">
        <f t="shared" si="16"/>
        <v>52803622.252363399</v>
      </c>
      <c r="N198" s="31">
        <v>1286244.04</v>
      </c>
      <c r="P198" s="42" t="s">
        <v>7</v>
      </c>
      <c r="Q198" s="42" t="s">
        <v>8</v>
      </c>
      <c r="R198" s="43" t="s">
        <v>1050</v>
      </c>
      <c r="S198" s="44">
        <v>32</v>
      </c>
      <c r="T198" s="31">
        <v>38341589.951331198</v>
      </c>
      <c r="U198" s="31">
        <v>2383556.65</v>
      </c>
      <c r="V198" s="31">
        <v>3012468.8000000003</v>
      </c>
      <c r="W198" s="31">
        <v>130629.36</v>
      </c>
      <c r="X198" s="31">
        <v>5683969.2654131157</v>
      </c>
      <c r="Y198" s="31">
        <v>2097769.7769279904</v>
      </c>
      <c r="Z198" s="31">
        <v>2442108.652666667</v>
      </c>
      <c r="AA198" s="31">
        <f t="shared" si="17"/>
        <v>55416446.576338962</v>
      </c>
      <c r="AB198" s="31">
        <v>1324354.1200000001</v>
      </c>
      <c r="AD198" s="42" t="s">
        <v>7</v>
      </c>
      <c r="AE198" s="42" t="s">
        <v>8</v>
      </c>
      <c r="AF198" s="43" t="s">
        <v>1275</v>
      </c>
      <c r="AG198" s="44">
        <v>32</v>
      </c>
      <c r="AH198" s="31">
        <v>39107329.848465636</v>
      </c>
      <c r="AI198" s="31">
        <v>2434627.8600000003</v>
      </c>
      <c r="AJ198" s="31">
        <v>3073769.34</v>
      </c>
      <c r="AK198" s="31">
        <v>133287.79</v>
      </c>
      <c r="AL198" s="31">
        <v>5793561.995382417</v>
      </c>
      <c r="AM198" s="31">
        <v>2097178.7188727418</v>
      </c>
      <c r="AN198" s="31">
        <v>2490976.3294808338</v>
      </c>
      <c r="AO198" s="31">
        <f t="shared" si="18"/>
        <v>56479434.872201636</v>
      </c>
      <c r="AP198" s="31">
        <v>1348702.99</v>
      </c>
      <c r="AR198" s="42" t="s">
        <v>7</v>
      </c>
      <c r="AS198" s="42" t="s">
        <v>8</v>
      </c>
      <c r="AT198" s="43" t="s">
        <v>1276</v>
      </c>
      <c r="AU198" s="44">
        <v>32</v>
      </c>
      <c r="AV198" s="31">
        <v>39895460.397688411</v>
      </c>
      <c r="AW198" s="31">
        <v>2482944.5699999998</v>
      </c>
      <c r="AX198" s="31">
        <v>3135151.5799999996</v>
      </c>
      <c r="AY198" s="31">
        <v>135931.85</v>
      </c>
      <c r="AZ198" s="31">
        <v>5910399.8756513875</v>
      </c>
      <c r="BA198" s="31">
        <v>2097272.7771012341</v>
      </c>
      <c r="BB198" s="31">
        <v>2541278.6890496211</v>
      </c>
      <c r="BC198" s="31">
        <f t="shared" si="19"/>
        <v>57574531.139490657</v>
      </c>
      <c r="BD198" s="31">
        <v>1376091.4</v>
      </c>
    </row>
    <row r="199" spans="2:56">
      <c r="B199" s="42" t="s">
        <v>93</v>
      </c>
      <c r="C199" s="42" t="s">
        <v>94</v>
      </c>
      <c r="D199" s="43" t="s">
        <v>1049</v>
      </c>
      <c r="E199" s="44">
        <v>32</v>
      </c>
      <c r="F199" s="31">
        <v>403263.79399110691</v>
      </c>
      <c r="G199" s="31">
        <v>12472.669999999998</v>
      </c>
      <c r="H199" s="31">
        <v>12570.099999999999</v>
      </c>
      <c r="I199" s="31">
        <v>0</v>
      </c>
      <c r="J199" s="31">
        <v>48951.989249271959</v>
      </c>
      <c r="K199" s="31">
        <v>93000.615266374734</v>
      </c>
      <c r="L199" s="31">
        <v>0</v>
      </c>
      <c r="M199" s="31">
        <f t="shared" si="16"/>
        <v>576592.94850675366</v>
      </c>
      <c r="N199" s="31">
        <v>6333.78</v>
      </c>
      <c r="P199" s="42" t="s">
        <v>93</v>
      </c>
      <c r="Q199" s="42" t="s">
        <v>94</v>
      </c>
      <c r="R199" s="43" t="s">
        <v>1050</v>
      </c>
      <c r="S199" s="44">
        <v>32</v>
      </c>
      <c r="T199" s="31">
        <v>421166.70628282323</v>
      </c>
      <c r="U199" s="31">
        <v>13039.130000000001</v>
      </c>
      <c r="V199" s="31">
        <v>13052.82</v>
      </c>
      <c r="W199" s="31">
        <v>0</v>
      </c>
      <c r="X199" s="31">
        <v>50604.115376220245</v>
      </c>
      <c r="Y199" s="31">
        <v>93078.374028111662</v>
      </c>
      <c r="Z199" s="31">
        <v>0</v>
      </c>
      <c r="AA199" s="31">
        <f t="shared" si="17"/>
        <v>597430.64568715519</v>
      </c>
      <c r="AB199" s="31">
        <v>6489.5</v>
      </c>
      <c r="AD199" s="42" t="s">
        <v>93</v>
      </c>
      <c r="AE199" s="42" t="s">
        <v>94</v>
      </c>
      <c r="AF199" s="43" t="s">
        <v>1275</v>
      </c>
      <c r="AG199" s="44">
        <v>32</v>
      </c>
      <c r="AH199" s="31">
        <v>429231.87104070635</v>
      </c>
      <c r="AI199" s="31">
        <v>13306.799999999997</v>
      </c>
      <c r="AJ199" s="31">
        <v>13308.16</v>
      </c>
      <c r="AK199" s="31">
        <v>0</v>
      </c>
      <c r="AL199" s="31">
        <v>51540.522685067983</v>
      </c>
      <c r="AM199" s="31">
        <v>93051.95710900065</v>
      </c>
      <c r="AN199" s="31">
        <v>0</v>
      </c>
      <c r="AO199" s="31">
        <f t="shared" si="18"/>
        <v>607043.14083477494</v>
      </c>
      <c r="AP199" s="31">
        <v>6603.83</v>
      </c>
      <c r="AR199" s="42" t="s">
        <v>93</v>
      </c>
      <c r="AS199" s="42" t="s">
        <v>94</v>
      </c>
      <c r="AT199" s="43" t="s">
        <v>1276</v>
      </c>
      <c r="AU199" s="44">
        <v>32</v>
      </c>
      <c r="AV199" s="31">
        <v>437045.49180647911</v>
      </c>
      <c r="AW199" s="31">
        <v>13547.95</v>
      </c>
      <c r="AX199" s="31">
        <v>13551.180000000002</v>
      </c>
      <c r="AY199" s="31">
        <v>0</v>
      </c>
      <c r="AZ199" s="31">
        <v>52487.953911251185</v>
      </c>
      <c r="BA199" s="31">
        <v>93056.160974579907</v>
      </c>
      <c r="BB199" s="31">
        <v>0</v>
      </c>
      <c r="BC199" s="31">
        <f t="shared" si="19"/>
        <v>616415.00669231021</v>
      </c>
      <c r="BD199" s="31">
        <v>6726.2699999999995</v>
      </c>
    </row>
    <row r="200" spans="2:56">
      <c r="B200" s="42" t="s">
        <v>565</v>
      </c>
      <c r="C200" s="42" t="s">
        <v>566</v>
      </c>
      <c r="D200" s="43" t="s">
        <v>1049</v>
      </c>
      <c r="E200" s="44">
        <v>32</v>
      </c>
      <c r="F200" s="31">
        <v>2210879.432647232</v>
      </c>
      <c r="G200" s="31">
        <v>34689.61</v>
      </c>
      <c r="H200" s="31">
        <v>0</v>
      </c>
      <c r="I200" s="31">
        <v>0</v>
      </c>
      <c r="J200" s="31">
        <v>163641.20748194394</v>
      </c>
      <c r="K200" s="31">
        <v>0</v>
      </c>
      <c r="L200" s="31">
        <v>85352.69647737511</v>
      </c>
      <c r="M200" s="31">
        <f t="shared" si="16"/>
        <v>2494562.9466065508</v>
      </c>
      <c r="N200" s="31">
        <v>0</v>
      </c>
      <c r="P200" s="42" t="s">
        <v>565</v>
      </c>
      <c r="Q200" s="42" t="s">
        <v>566</v>
      </c>
      <c r="R200" s="43" t="s">
        <v>1050</v>
      </c>
      <c r="S200" s="44">
        <v>32</v>
      </c>
      <c r="T200" s="31">
        <v>2298226.3779582726</v>
      </c>
      <c r="U200" s="31">
        <v>36224.089999999997</v>
      </c>
      <c r="V200" s="31">
        <v>0</v>
      </c>
      <c r="W200" s="31">
        <v>0</v>
      </c>
      <c r="X200" s="31">
        <v>170007.89600356901</v>
      </c>
      <c r="Y200" s="31">
        <v>0</v>
      </c>
      <c r="Z200" s="31">
        <v>88831.708332923838</v>
      </c>
      <c r="AA200" s="31">
        <f t="shared" si="17"/>
        <v>2593290.0722947652</v>
      </c>
      <c r="AB200" s="31">
        <v>0</v>
      </c>
      <c r="AD200" s="42" t="s">
        <v>565</v>
      </c>
      <c r="AE200" s="42" t="s">
        <v>566</v>
      </c>
      <c r="AF200" s="43" t="s">
        <v>1275</v>
      </c>
      <c r="AG200" s="44">
        <v>32</v>
      </c>
      <c r="AH200" s="31">
        <v>2342951.9405573765</v>
      </c>
      <c r="AI200" s="31">
        <v>36932.68</v>
      </c>
      <c r="AJ200" s="31">
        <v>0</v>
      </c>
      <c r="AK200" s="31">
        <v>0</v>
      </c>
      <c r="AL200" s="31">
        <v>173284.37698729621</v>
      </c>
      <c r="AM200" s="31">
        <v>0</v>
      </c>
      <c r="AN200" s="31">
        <v>90658.216983937949</v>
      </c>
      <c r="AO200" s="31">
        <f t="shared" si="18"/>
        <v>2643827.2145286109</v>
      </c>
      <c r="AP200" s="31">
        <v>0</v>
      </c>
      <c r="AR200" s="42" t="s">
        <v>565</v>
      </c>
      <c r="AS200" s="42" t="s">
        <v>566</v>
      </c>
      <c r="AT200" s="43" t="s">
        <v>1276</v>
      </c>
      <c r="AU200" s="44">
        <v>32</v>
      </c>
      <c r="AV200" s="31">
        <v>2387385.6000567544</v>
      </c>
      <c r="AW200" s="31">
        <v>37712.160000000003</v>
      </c>
      <c r="AX200" s="31">
        <v>0</v>
      </c>
      <c r="AY200" s="31">
        <v>0</v>
      </c>
      <c r="AZ200" s="31">
        <v>176784.93537140047</v>
      </c>
      <c r="BA200" s="31">
        <v>0</v>
      </c>
      <c r="BB200" s="31">
        <v>92463.57017317522</v>
      </c>
      <c r="BC200" s="31">
        <f t="shared" si="19"/>
        <v>2694346.26560133</v>
      </c>
      <c r="BD200" s="31">
        <v>0</v>
      </c>
    </row>
    <row r="201" spans="2:56">
      <c r="B201" s="42" t="s">
        <v>111</v>
      </c>
      <c r="C201" s="42" t="s">
        <v>112</v>
      </c>
      <c r="D201" s="43" t="s">
        <v>1049</v>
      </c>
      <c r="E201" s="44">
        <v>32</v>
      </c>
      <c r="F201" s="31">
        <v>146711126.16986844</v>
      </c>
      <c r="G201" s="31">
        <v>8277272.7699999977</v>
      </c>
      <c r="H201" s="31">
        <v>9979792.1700000018</v>
      </c>
      <c r="I201" s="31">
        <v>507481.75</v>
      </c>
      <c r="J201" s="31">
        <v>20982185.700044595</v>
      </c>
      <c r="K201" s="31">
        <v>8015744.0452046283</v>
      </c>
      <c r="L201" s="31">
        <v>10579337.216825472</v>
      </c>
      <c r="M201" s="31">
        <f t="shared" si="16"/>
        <v>209846927.30194318</v>
      </c>
      <c r="N201" s="31">
        <v>4793987.4800000004</v>
      </c>
      <c r="P201" s="42" t="s">
        <v>111</v>
      </c>
      <c r="Q201" s="42" t="s">
        <v>112</v>
      </c>
      <c r="R201" s="43" t="s">
        <v>1050</v>
      </c>
      <c r="S201" s="44">
        <v>32</v>
      </c>
      <c r="T201" s="31">
        <v>154722884.65558499</v>
      </c>
      <c r="U201" s="31">
        <v>8703785.8800000008</v>
      </c>
      <c r="V201" s="31">
        <v>10413820.970000001</v>
      </c>
      <c r="W201" s="31">
        <v>529499.15999999992</v>
      </c>
      <c r="X201" s="31">
        <v>21799406.390019171</v>
      </c>
      <c r="Y201" s="31">
        <v>8023340.9625950577</v>
      </c>
      <c r="Z201" s="31">
        <v>11116125.809645679</v>
      </c>
      <c r="AA201" s="31">
        <f t="shared" si="17"/>
        <v>220244766.0978449</v>
      </c>
      <c r="AB201" s="31">
        <v>4935902.2699999996</v>
      </c>
      <c r="AD201" s="42" t="s">
        <v>111</v>
      </c>
      <c r="AE201" s="42" t="s">
        <v>112</v>
      </c>
      <c r="AF201" s="43" t="s">
        <v>1275</v>
      </c>
      <c r="AG201" s="44">
        <v>32</v>
      </c>
      <c r="AH201" s="31">
        <v>157813774.54777017</v>
      </c>
      <c r="AI201" s="31">
        <v>8890293.8599999975</v>
      </c>
      <c r="AJ201" s="31">
        <v>10625472.25</v>
      </c>
      <c r="AK201" s="31">
        <v>540269.52</v>
      </c>
      <c r="AL201" s="31">
        <v>22219709.897281028</v>
      </c>
      <c r="AM201" s="31">
        <v>8020760.0682017691</v>
      </c>
      <c r="AN201" s="31">
        <v>11338996.939464923</v>
      </c>
      <c r="AO201" s="31">
        <f t="shared" si="18"/>
        <v>224475900.69271791</v>
      </c>
      <c r="AP201" s="31">
        <v>5026623.6100000013</v>
      </c>
      <c r="AR201" s="42" t="s">
        <v>111</v>
      </c>
      <c r="AS201" s="42" t="s">
        <v>112</v>
      </c>
      <c r="AT201" s="43" t="s">
        <v>1276</v>
      </c>
      <c r="AU201" s="44">
        <v>32</v>
      </c>
      <c r="AV201" s="31">
        <v>160992704.62724894</v>
      </c>
      <c r="AW201" s="31">
        <v>9066798.5100000016</v>
      </c>
      <c r="AX201" s="31">
        <v>10838096.640000001</v>
      </c>
      <c r="AY201" s="31">
        <v>551080.74</v>
      </c>
      <c r="AZ201" s="31">
        <v>22667860.119802397</v>
      </c>
      <c r="BA201" s="31">
        <v>8021170.7797256242</v>
      </c>
      <c r="BB201" s="31">
        <v>11567737.992366351</v>
      </c>
      <c r="BC201" s="31">
        <f t="shared" si="19"/>
        <v>228834075.20914328</v>
      </c>
      <c r="BD201" s="31">
        <v>5128625.8</v>
      </c>
    </row>
    <row r="202" spans="2:56">
      <c r="B202" s="42" t="s">
        <v>335</v>
      </c>
      <c r="C202" s="42" t="s">
        <v>336</v>
      </c>
      <c r="D202" s="43" t="s">
        <v>1049</v>
      </c>
      <c r="E202" s="44">
        <v>32</v>
      </c>
      <c r="F202" s="31">
        <v>3263872.2500538221</v>
      </c>
      <c r="G202" s="31">
        <v>137502.41000000003</v>
      </c>
      <c r="H202" s="31">
        <v>57301.08</v>
      </c>
      <c r="I202" s="31">
        <v>8574.99</v>
      </c>
      <c r="J202" s="31">
        <v>370516.36197021039</v>
      </c>
      <c r="K202" s="31">
        <v>197071.99173807609</v>
      </c>
      <c r="L202" s="31">
        <v>101937.06604758077</v>
      </c>
      <c r="M202" s="31">
        <f t="shared" si="16"/>
        <v>4218490.69980969</v>
      </c>
      <c r="N202" s="31">
        <v>81714.55</v>
      </c>
      <c r="P202" s="42" t="s">
        <v>335</v>
      </c>
      <c r="Q202" s="42" t="s">
        <v>336</v>
      </c>
      <c r="R202" s="43" t="s">
        <v>1050</v>
      </c>
      <c r="S202" s="44">
        <v>32</v>
      </c>
      <c r="T202" s="31">
        <v>3423557.6324885963</v>
      </c>
      <c r="U202" s="31">
        <v>144562.23999999999</v>
      </c>
      <c r="V202" s="31">
        <v>59690.340000000011</v>
      </c>
      <c r="W202" s="31">
        <v>8901.18</v>
      </c>
      <c r="X202" s="31">
        <v>384904.78980068048</v>
      </c>
      <c r="Y202" s="31">
        <v>197287.89566039282</v>
      </c>
      <c r="Z202" s="31">
        <v>106979.54622657417</v>
      </c>
      <c r="AA202" s="31">
        <f t="shared" si="17"/>
        <v>4410029.6441762438</v>
      </c>
      <c r="AB202" s="31">
        <v>84146.02</v>
      </c>
      <c r="AD202" s="42" t="s">
        <v>335</v>
      </c>
      <c r="AE202" s="42" t="s">
        <v>336</v>
      </c>
      <c r="AF202" s="43" t="s">
        <v>1275</v>
      </c>
      <c r="AG202" s="44">
        <v>32</v>
      </c>
      <c r="AH202" s="31">
        <v>3490759.9177560857</v>
      </c>
      <c r="AI202" s="31">
        <v>147656.37000000002</v>
      </c>
      <c r="AJ202" s="31">
        <v>60965.420000000006</v>
      </c>
      <c r="AK202" s="31">
        <v>9075.4</v>
      </c>
      <c r="AL202" s="31">
        <v>392322.09917125391</v>
      </c>
      <c r="AM202" s="31">
        <v>197214.54680138081</v>
      </c>
      <c r="AN202" s="31">
        <v>109162.91524254406</v>
      </c>
      <c r="AO202" s="31">
        <f t="shared" si="18"/>
        <v>4492791.7689712644</v>
      </c>
      <c r="AP202" s="31">
        <v>85635.1</v>
      </c>
      <c r="AR202" s="42" t="s">
        <v>335</v>
      </c>
      <c r="AS202" s="42" t="s">
        <v>336</v>
      </c>
      <c r="AT202" s="43" t="s">
        <v>1276</v>
      </c>
      <c r="AU202" s="44">
        <v>32</v>
      </c>
      <c r="AV202" s="31">
        <v>3559025.7375753126</v>
      </c>
      <c r="AW202" s="31">
        <v>150563.05000000002</v>
      </c>
      <c r="AX202" s="31">
        <v>62301.579999999994</v>
      </c>
      <c r="AY202" s="31">
        <v>9350.65</v>
      </c>
      <c r="AZ202" s="31">
        <v>400261.46752352302</v>
      </c>
      <c r="BA202" s="31">
        <v>197226.21919748359</v>
      </c>
      <c r="BB202" s="31">
        <v>111323.39284516897</v>
      </c>
      <c r="BC202" s="31">
        <f t="shared" si="19"/>
        <v>4577496.3371414877</v>
      </c>
      <c r="BD202" s="31">
        <v>87444.239999999991</v>
      </c>
    </row>
    <row r="203" spans="2:56">
      <c r="B203" s="42" t="s">
        <v>19</v>
      </c>
      <c r="C203" s="42" t="s">
        <v>20</v>
      </c>
      <c r="D203" s="43" t="s">
        <v>1049</v>
      </c>
      <c r="E203" s="44">
        <v>32</v>
      </c>
      <c r="F203" s="31">
        <v>1239863.3363786475</v>
      </c>
      <c r="G203" s="31">
        <v>88088.22</v>
      </c>
      <c r="H203" s="31">
        <v>42972.24</v>
      </c>
      <c r="I203" s="31">
        <v>0</v>
      </c>
      <c r="J203" s="31">
        <v>181282.11538752014</v>
      </c>
      <c r="K203" s="31">
        <v>332092.50042596896</v>
      </c>
      <c r="L203" s="31">
        <v>0</v>
      </c>
      <c r="M203" s="31">
        <f t="shared" si="16"/>
        <v>1924932.0421921364</v>
      </c>
      <c r="N203" s="31">
        <v>40633.629999999997</v>
      </c>
      <c r="P203" s="42" t="s">
        <v>19</v>
      </c>
      <c r="Q203" s="42" t="s">
        <v>20</v>
      </c>
      <c r="R203" s="43" t="s">
        <v>1050</v>
      </c>
      <c r="S203" s="44">
        <v>32</v>
      </c>
      <c r="T203" s="31">
        <v>1312806.8322672581</v>
      </c>
      <c r="U203" s="31">
        <v>92439.78</v>
      </c>
      <c r="V203" s="31">
        <v>44723.61</v>
      </c>
      <c r="W203" s="31">
        <v>0</v>
      </c>
      <c r="X203" s="31">
        <v>188341.41434836393</v>
      </c>
      <c r="Y203" s="31">
        <v>332414.68196837831</v>
      </c>
      <c r="Z203" s="31">
        <v>0</v>
      </c>
      <c r="AA203" s="31">
        <f t="shared" si="17"/>
        <v>2012558.5585840004</v>
      </c>
      <c r="AB203" s="31">
        <v>41832.239999999998</v>
      </c>
      <c r="AD203" s="42" t="s">
        <v>19</v>
      </c>
      <c r="AE203" s="42" t="s">
        <v>20</v>
      </c>
      <c r="AF203" s="43" t="s">
        <v>1275</v>
      </c>
      <c r="AG203" s="44">
        <v>32</v>
      </c>
      <c r="AH203" s="31">
        <v>1338959.9937385153</v>
      </c>
      <c r="AI203" s="31">
        <v>94432.450000000012</v>
      </c>
      <c r="AJ203" s="31">
        <v>45598.45</v>
      </c>
      <c r="AK203" s="31">
        <v>0</v>
      </c>
      <c r="AL203" s="31">
        <v>191963.01946561245</v>
      </c>
      <c r="AM203" s="31">
        <v>332305.22750235064</v>
      </c>
      <c r="AN203" s="31">
        <v>0</v>
      </c>
      <c r="AO203" s="31">
        <f t="shared" si="18"/>
        <v>2045828.3907064784</v>
      </c>
      <c r="AP203" s="31">
        <v>42569.249999999993</v>
      </c>
      <c r="AR203" s="42" t="s">
        <v>19</v>
      </c>
      <c r="AS203" s="42" t="s">
        <v>20</v>
      </c>
      <c r="AT203" s="43" t="s">
        <v>1276</v>
      </c>
      <c r="AU203" s="44">
        <v>32</v>
      </c>
      <c r="AV203" s="31">
        <v>1366014.8185748775</v>
      </c>
      <c r="AW203" s="31">
        <v>96356.599999999948</v>
      </c>
      <c r="AX203" s="31">
        <v>46746.290000000008</v>
      </c>
      <c r="AY203" s="31">
        <v>0</v>
      </c>
      <c r="AZ203" s="31">
        <v>195823.51501578864</v>
      </c>
      <c r="BA203" s="31">
        <v>332322.64557674067</v>
      </c>
      <c r="BB203" s="31">
        <v>0</v>
      </c>
      <c r="BC203" s="31">
        <f t="shared" si="19"/>
        <v>2080725.9091674066</v>
      </c>
      <c r="BD203" s="31">
        <v>43462.04</v>
      </c>
    </row>
    <row r="204" spans="2:56">
      <c r="B204" s="42" t="s">
        <v>289</v>
      </c>
      <c r="C204" s="42" t="s">
        <v>290</v>
      </c>
      <c r="D204" s="43" t="s">
        <v>1049</v>
      </c>
      <c r="E204" s="44">
        <v>32</v>
      </c>
      <c r="F204" s="31">
        <v>2880735.7406535917</v>
      </c>
      <c r="G204" s="31">
        <v>94526.58</v>
      </c>
      <c r="H204" s="31">
        <v>0</v>
      </c>
      <c r="I204" s="31">
        <v>7162.6399999999985</v>
      </c>
      <c r="J204" s="31">
        <v>351495.72769695142</v>
      </c>
      <c r="K204" s="31">
        <v>190085.30553271354</v>
      </c>
      <c r="L204" s="31">
        <v>194332.88077086539</v>
      </c>
      <c r="M204" s="31">
        <f t="shared" si="16"/>
        <v>3792890.8046541223</v>
      </c>
      <c r="N204" s="31">
        <v>74551.930000000008</v>
      </c>
      <c r="P204" s="42" t="s">
        <v>289</v>
      </c>
      <c r="Q204" s="42" t="s">
        <v>290</v>
      </c>
      <c r="R204" s="43" t="s">
        <v>1050</v>
      </c>
      <c r="S204" s="44">
        <v>32</v>
      </c>
      <c r="T204" s="31">
        <v>3020640.6294810139</v>
      </c>
      <c r="U204" s="31">
        <v>99646.51999999999</v>
      </c>
      <c r="V204" s="31">
        <v>0</v>
      </c>
      <c r="W204" s="31">
        <v>7539.8300000000008</v>
      </c>
      <c r="X204" s="31">
        <v>365139.30588009942</v>
      </c>
      <c r="Y204" s="31">
        <v>190256.27884637541</v>
      </c>
      <c r="Z204" s="31">
        <v>204149.73332760096</v>
      </c>
      <c r="AA204" s="31">
        <f t="shared" si="17"/>
        <v>3964178.78753509</v>
      </c>
      <c r="AB204" s="31">
        <v>76806.489999999991</v>
      </c>
      <c r="AD204" s="42" t="s">
        <v>289</v>
      </c>
      <c r="AE204" s="42" t="s">
        <v>290</v>
      </c>
      <c r="AF204" s="43" t="s">
        <v>1275</v>
      </c>
      <c r="AG204" s="44">
        <v>32</v>
      </c>
      <c r="AH204" s="31">
        <v>3080029.6973737259</v>
      </c>
      <c r="AI204" s="31">
        <v>101847.78</v>
      </c>
      <c r="AJ204" s="31">
        <v>0</v>
      </c>
      <c r="AK204" s="31">
        <v>7687.4000000000005</v>
      </c>
      <c r="AL204" s="31">
        <v>372192.68818496109</v>
      </c>
      <c r="AM204" s="31">
        <v>190198.1942254754</v>
      </c>
      <c r="AN204" s="31">
        <v>208191.3731638974</v>
      </c>
      <c r="AO204" s="31">
        <f t="shared" si="18"/>
        <v>4038312.8229480595</v>
      </c>
      <c r="AP204" s="31">
        <v>78165.69</v>
      </c>
      <c r="AR204" s="42" t="s">
        <v>289</v>
      </c>
      <c r="AS204" s="42" t="s">
        <v>290</v>
      </c>
      <c r="AT204" s="43" t="s">
        <v>1276</v>
      </c>
      <c r="AU204" s="44">
        <v>32</v>
      </c>
      <c r="AV204" s="31">
        <v>3140045.5185941909</v>
      </c>
      <c r="AW204" s="31">
        <v>103807.17</v>
      </c>
      <c r="AX204" s="31">
        <v>0</v>
      </c>
      <c r="AY204" s="31">
        <v>7828.46</v>
      </c>
      <c r="AZ204" s="31">
        <v>379714.16315161489</v>
      </c>
      <c r="BA204" s="31">
        <v>190207.43754175538</v>
      </c>
      <c r="BB204" s="31">
        <v>212431.07079183433</v>
      </c>
      <c r="BC204" s="31">
        <f t="shared" si="19"/>
        <v>4113869.5600793958</v>
      </c>
      <c r="BD204" s="31">
        <v>79835.740000000005</v>
      </c>
    </row>
    <row r="205" spans="2:56">
      <c r="B205" s="42" t="s">
        <v>379</v>
      </c>
      <c r="C205" s="42" t="s">
        <v>380</v>
      </c>
      <c r="D205" s="43" t="s">
        <v>1049</v>
      </c>
      <c r="E205" s="44">
        <v>32</v>
      </c>
      <c r="F205" s="31">
        <v>76944510.108828098</v>
      </c>
      <c r="G205" s="31">
        <v>1274802.6000000001</v>
      </c>
      <c r="H205" s="31">
        <v>346055.97000000003</v>
      </c>
      <c r="I205" s="31">
        <v>275666.05000000005</v>
      </c>
      <c r="J205" s="31">
        <v>11568412.728672519</v>
      </c>
      <c r="K205" s="31">
        <v>5956432.45225731</v>
      </c>
      <c r="L205" s="31">
        <v>5451540.93344157</v>
      </c>
      <c r="M205" s="31">
        <f t="shared" si="16"/>
        <v>101891813.98319948</v>
      </c>
      <c r="N205" s="31">
        <v>74393.14</v>
      </c>
      <c r="P205" s="42" t="s">
        <v>379</v>
      </c>
      <c r="Q205" s="42" t="s">
        <v>380</v>
      </c>
      <c r="R205" s="43" t="s">
        <v>1050</v>
      </c>
      <c r="S205" s="44">
        <v>32</v>
      </c>
      <c r="T205" s="31">
        <v>80222255.742220476</v>
      </c>
      <c r="U205" s="31">
        <v>1329456.6699999997</v>
      </c>
      <c r="V205" s="31">
        <v>360508.08</v>
      </c>
      <c r="W205" s="31">
        <v>287276.29000000004</v>
      </c>
      <c r="X205" s="31">
        <v>12012167.687186953</v>
      </c>
      <c r="Y205" s="31">
        <v>5962032.7023024103</v>
      </c>
      <c r="Z205" s="31">
        <v>5669336.2190442281</v>
      </c>
      <c r="AA205" s="31">
        <f t="shared" si="17"/>
        <v>105919627.46075407</v>
      </c>
      <c r="AB205" s="31">
        <v>76594.069999999992</v>
      </c>
      <c r="AD205" s="42" t="s">
        <v>379</v>
      </c>
      <c r="AE205" s="42" t="s">
        <v>380</v>
      </c>
      <c r="AF205" s="43" t="s">
        <v>1275</v>
      </c>
      <c r="AG205" s="44">
        <v>32</v>
      </c>
      <c r="AH205" s="31">
        <v>81827400.465612546</v>
      </c>
      <c r="AI205" s="31">
        <v>1356708.26</v>
      </c>
      <c r="AJ205" s="31">
        <v>368045.51000000007</v>
      </c>
      <c r="AK205" s="31">
        <v>293142.95</v>
      </c>
      <c r="AL205" s="31">
        <v>12245342.13436069</v>
      </c>
      <c r="AM205" s="31">
        <v>5959984.7210625662</v>
      </c>
      <c r="AN205" s="31">
        <v>5782994.0183891617</v>
      </c>
      <c r="AO205" s="31">
        <f t="shared" si="18"/>
        <v>107911699.32942498</v>
      </c>
      <c r="AP205" s="31">
        <v>78081.27</v>
      </c>
      <c r="AR205" s="42" t="s">
        <v>379</v>
      </c>
      <c r="AS205" s="42" t="s">
        <v>380</v>
      </c>
      <c r="AT205" s="43" t="s">
        <v>1276</v>
      </c>
      <c r="AU205" s="44">
        <v>32</v>
      </c>
      <c r="AV205" s="31">
        <v>83494743.989342153</v>
      </c>
      <c r="AW205" s="31">
        <v>1384179.6600000004</v>
      </c>
      <c r="AX205" s="31">
        <v>375484.30999999994</v>
      </c>
      <c r="AY205" s="31">
        <v>299189.73</v>
      </c>
      <c r="AZ205" s="31">
        <v>12495245.705005068</v>
      </c>
      <c r="BA205" s="31">
        <v>5960303.1053956812</v>
      </c>
      <c r="BB205" s="31">
        <v>5900831.294354843</v>
      </c>
      <c r="BC205" s="31">
        <f t="shared" si="19"/>
        <v>109989647.96409774</v>
      </c>
      <c r="BD205" s="31">
        <v>79670.17</v>
      </c>
    </row>
    <row r="206" spans="2:56">
      <c r="B206" s="42" t="s">
        <v>1317</v>
      </c>
      <c r="C206" s="42" t="s">
        <v>1318</v>
      </c>
      <c r="D206" s="43" t="s">
        <v>1049</v>
      </c>
      <c r="E206" s="44">
        <v>32</v>
      </c>
      <c r="F206" s="31">
        <v>951358.83248754556</v>
      </c>
      <c r="G206" s="31">
        <v>33593.760000000002</v>
      </c>
      <c r="H206" s="31">
        <v>11904.09</v>
      </c>
      <c r="I206" s="31">
        <v>0</v>
      </c>
      <c r="J206" s="31">
        <v>131187.9391513748</v>
      </c>
      <c r="K206" s="31">
        <v>0</v>
      </c>
      <c r="L206" s="31">
        <v>0</v>
      </c>
      <c r="M206" s="31">
        <f t="shared" si="16"/>
        <v>1128044.6216389204</v>
      </c>
      <c r="N206" s="31">
        <v>0</v>
      </c>
      <c r="P206" s="42" t="s">
        <v>1317</v>
      </c>
      <c r="Q206" s="42" t="s">
        <v>1318</v>
      </c>
      <c r="R206" s="43" t="s">
        <v>1050</v>
      </c>
      <c r="S206" s="44">
        <v>32</v>
      </c>
      <c r="T206" s="31">
        <v>986101.58617071901</v>
      </c>
      <c r="U206" s="31">
        <v>34681.26</v>
      </c>
      <c r="V206" s="31">
        <v>12252.659999999998</v>
      </c>
      <c r="W206" s="31">
        <v>0</v>
      </c>
      <c r="X206" s="31">
        <v>135369.9246391773</v>
      </c>
      <c r="Y206" s="31">
        <v>0</v>
      </c>
      <c r="Z206" s="31">
        <v>0</v>
      </c>
      <c r="AA206" s="31">
        <f t="shared" si="17"/>
        <v>1168405.4308098964</v>
      </c>
      <c r="AB206" s="31">
        <v>0</v>
      </c>
      <c r="AD206" s="42" t="s">
        <v>1317</v>
      </c>
      <c r="AE206" s="42" t="s">
        <v>1318</v>
      </c>
      <c r="AF206" s="43" t="s">
        <v>1275</v>
      </c>
      <c r="AG206" s="44">
        <v>32</v>
      </c>
      <c r="AH206" s="31">
        <v>1005756.8619932898</v>
      </c>
      <c r="AI206" s="31">
        <v>35465.83</v>
      </c>
      <c r="AJ206" s="31">
        <v>12598.3</v>
      </c>
      <c r="AK206" s="31">
        <v>0</v>
      </c>
      <c r="AL206" s="31">
        <v>137982.51760650077</v>
      </c>
      <c r="AM206" s="31">
        <v>0</v>
      </c>
      <c r="AN206" s="31">
        <v>0</v>
      </c>
      <c r="AO206" s="31">
        <f t="shared" si="18"/>
        <v>1191803.5095997904</v>
      </c>
      <c r="AP206" s="31">
        <v>0</v>
      </c>
      <c r="AR206" s="42" t="s">
        <v>1317</v>
      </c>
      <c r="AS206" s="42" t="s">
        <v>1318</v>
      </c>
      <c r="AT206" s="43" t="s">
        <v>1276</v>
      </c>
      <c r="AU206" s="44">
        <v>32</v>
      </c>
      <c r="AV206" s="31">
        <v>1026122.9361668865</v>
      </c>
      <c r="AW206" s="31">
        <v>36115.85</v>
      </c>
      <c r="AX206" s="31">
        <v>12829.21</v>
      </c>
      <c r="AY206" s="31">
        <v>0</v>
      </c>
      <c r="AZ206" s="31">
        <v>140775.27952762801</v>
      </c>
      <c r="BA206" s="31">
        <v>0</v>
      </c>
      <c r="BB206" s="31">
        <v>0</v>
      </c>
      <c r="BC206" s="31">
        <f t="shared" si="19"/>
        <v>1215843.2756945146</v>
      </c>
      <c r="BD206" s="31">
        <v>0</v>
      </c>
    </row>
    <row r="207" spans="2:56">
      <c r="B207" s="42" t="s">
        <v>321</v>
      </c>
      <c r="C207" s="42" t="s">
        <v>322</v>
      </c>
      <c r="D207" s="43" t="s">
        <v>1049</v>
      </c>
      <c r="E207" s="44">
        <v>32</v>
      </c>
      <c r="F207" s="31">
        <v>6125186.5355924778</v>
      </c>
      <c r="G207" s="31">
        <v>279660.63</v>
      </c>
      <c r="H207" s="31">
        <v>50085.570000000007</v>
      </c>
      <c r="I207" s="31">
        <v>19391.120000000003</v>
      </c>
      <c r="J207" s="31">
        <v>943840.28873090807</v>
      </c>
      <c r="K207" s="31">
        <v>671718.46139702224</v>
      </c>
      <c r="L207" s="31">
        <v>0</v>
      </c>
      <c r="M207" s="31">
        <f t="shared" si="16"/>
        <v>8286229.7057204079</v>
      </c>
      <c r="N207" s="31">
        <v>196347.09999999998</v>
      </c>
      <c r="P207" s="42" t="s">
        <v>321</v>
      </c>
      <c r="Q207" s="42" t="s">
        <v>322</v>
      </c>
      <c r="R207" s="43" t="s">
        <v>1050</v>
      </c>
      <c r="S207" s="44">
        <v>32</v>
      </c>
      <c r="T207" s="31">
        <v>6477993.947642535</v>
      </c>
      <c r="U207" s="31">
        <v>294542.93000000005</v>
      </c>
      <c r="V207" s="31">
        <v>52211.26</v>
      </c>
      <c r="W207" s="31">
        <v>20135.739999999998</v>
      </c>
      <c r="X207" s="31">
        <v>980537.95897974877</v>
      </c>
      <c r="Y207" s="31">
        <v>672327.39875193429</v>
      </c>
      <c r="Z207" s="31">
        <v>0</v>
      </c>
      <c r="AA207" s="31">
        <f t="shared" si="17"/>
        <v>8699921.6553742178</v>
      </c>
      <c r="AB207" s="31">
        <v>202172.42</v>
      </c>
      <c r="AD207" s="42" t="s">
        <v>321</v>
      </c>
      <c r="AE207" s="42" t="s">
        <v>322</v>
      </c>
      <c r="AF207" s="43" t="s">
        <v>1275</v>
      </c>
      <c r="AG207" s="44">
        <v>32</v>
      </c>
      <c r="AH207" s="31">
        <v>6607405.1718484061</v>
      </c>
      <c r="AI207" s="31">
        <v>300906.84000000003</v>
      </c>
      <c r="AJ207" s="31">
        <v>53335.76</v>
      </c>
      <c r="AK207" s="31">
        <v>20632.789999999997</v>
      </c>
      <c r="AL207" s="31">
        <v>999432.45214144373</v>
      </c>
      <c r="AM207" s="31">
        <v>672120.52497348085</v>
      </c>
      <c r="AN207" s="31">
        <v>0</v>
      </c>
      <c r="AO207" s="31">
        <f t="shared" si="18"/>
        <v>8859771.0889633298</v>
      </c>
      <c r="AP207" s="31">
        <v>205937.55</v>
      </c>
      <c r="AR207" s="42" t="s">
        <v>321</v>
      </c>
      <c r="AS207" s="42" t="s">
        <v>322</v>
      </c>
      <c r="AT207" s="43" t="s">
        <v>1276</v>
      </c>
      <c r="AU207" s="44">
        <v>32</v>
      </c>
      <c r="AV207" s="31">
        <v>6740246.1044645095</v>
      </c>
      <c r="AW207" s="31">
        <v>306873.64999999991</v>
      </c>
      <c r="AX207" s="31">
        <v>54309.719999999994</v>
      </c>
      <c r="AY207" s="31">
        <v>21009.56</v>
      </c>
      <c r="AZ207" s="31">
        <v>1019566.6268325836</v>
      </c>
      <c r="BA207" s="31">
        <v>672153.44590392092</v>
      </c>
      <c r="BB207" s="31">
        <v>0</v>
      </c>
      <c r="BC207" s="31">
        <f t="shared" si="19"/>
        <v>9024225.6872010138</v>
      </c>
      <c r="BD207" s="31">
        <v>210066.58</v>
      </c>
    </row>
    <row r="208" spans="2:56">
      <c r="B208" s="42" t="s">
        <v>119</v>
      </c>
      <c r="C208" s="42" t="s">
        <v>120</v>
      </c>
      <c r="D208" s="43" t="s">
        <v>1049</v>
      </c>
      <c r="E208" s="44">
        <v>32</v>
      </c>
      <c r="F208" s="31">
        <v>3521560.9433224779</v>
      </c>
      <c r="G208" s="31">
        <v>118839.19999999997</v>
      </c>
      <c r="H208" s="31">
        <v>5144.9800000000014</v>
      </c>
      <c r="I208" s="31">
        <v>0</v>
      </c>
      <c r="J208" s="31">
        <v>487177.17231426295</v>
      </c>
      <c r="K208" s="31">
        <v>298951.78896501078</v>
      </c>
      <c r="L208" s="31">
        <v>476038.16963427508</v>
      </c>
      <c r="M208" s="31">
        <f t="shared" si="16"/>
        <v>5014243.8442360265</v>
      </c>
      <c r="N208" s="31">
        <v>106531.59000000001</v>
      </c>
      <c r="P208" s="42" t="s">
        <v>119</v>
      </c>
      <c r="Q208" s="42" t="s">
        <v>120</v>
      </c>
      <c r="R208" s="43" t="s">
        <v>1050</v>
      </c>
      <c r="S208" s="44">
        <v>32</v>
      </c>
      <c r="T208" s="31">
        <v>3700211.7987737549</v>
      </c>
      <c r="U208" s="31">
        <v>125312.16000000003</v>
      </c>
      <c r="V208" s="31">
        <v>5445.4400000000005</v>
      </c>
      <c r="W208" s="31">
        <v>0</v>
      </c>
      <c r="X208" s="31">
        <v>506068.67432573409</v>
      </c>
      <c r="Y208" s="31">
        <v>299174.72121240559</v>
      </c>
      <c r="Z208" s="31">
        <v>500074.67476030579</v>
      </c>
      <c r="AA208" s="31">
        <f t="shared" si="17"/>
        <v>5245966.7490722006</v>
      </c>
      <c r="AB208" s="31">
        <v>109679.28</v>
      </c>
      <c r="AD208" s="42" t="s">
        <v>119</v>
      </c>
      <c r="AE208" s="42" t="s">
        <v>120</v>
      </c>
      <c r="AF208" s="43" t="s">
        <v>1275</v>
      </c>
      <c r="AG208" s="44">
        <v>32</v>
      </c>
      <c r="AH208" s="31">
        <v>3772782.7494256324</v>
      </c>
      <c r="AI208" s="31">
        <v>128079.01</v>
      </c>
      <c r="AJ208" s="31">
        <v>5552.0300000000007</v>
      </c>
      <c r="AK208" s="31">
        <v>0</v>
      </c>
      <c r="AL208" s="31">
        <v>515832.04607869987</v>
      </c>
      <c r="AM208" s="31">
        <v>299098.9846263912</v>
      </c>
      <c r="AN208" s="31">
        <v>509993.87590426451</v>
      </c>
      <c r="AO208" s="31">
        <f t="shared" si="18"/>
        <v>5343064.1060349876</v>
      </c>
      <c r="AP208" s="31">
        <v>111725.40999999999</v>
      </c>
      <c r="AR208" s="42" t="s">
        <v>119</v>
      </c>
      <c r="AS208" s="42" t="s">
        <v>120</v>
      </c>
      <c r="AT208" s="43" t="s">
        <v>1276</v>
      </c>
      <c r="AU208" s="44">
        <v>32</v>
      </c>
      <c r="AV208" s="31">
        <v>3847174.673456219</v>
      </c>
      <c r="AW208" s="31">
        <v>130619.32999999999</v>
      </c>
      <c r="AX208" s="31">
        <v>5653.9100000000008</v>
      </c>
      <c r="AY208" s="31">
        <v>0</v>
      </c>
      <c r="AZ208" s="31">
        <v>526265.87452052161</v>
      </c>
      <c r="BA208" s="31">
        <v>299111.03699425817</v>
      </c>
      <c r="BB208" s="31">
        <v>520313.52652415843</v>
      </c>
      <c r="BC208" s="31">
        <f t="shared" si="19"/>
        <v>5443158.7814951567</v>
      </c>
      <c r="BD208" s="31">
        <v>114020.43</v>
      </c>
    </row>
    <row r="209" spans="2:56">
      <c r="B209" s="42" t="s">
        <v>43</v>
      </c>
      <c r="C209" s="42" t="s">
        <v>44</v>
      </c>
      <c r="D209" s="43" t="s">
        <v>1049</v>
      </c>
      <c r="E209" s="44">
        <v>32</v>
      </c>
      <c r="F209" s="31">
        <v>28639165.418717742</v>
      </c>
      <c r="G209" s="31">
        <v>1184255.83</v>
      </c>
      <c r="H209" s="31">
        <v>85245.440000000002</v>
      </c>
      <c r="I209" s="31">
        <v>101487.46000000002</v>
      </c>
      <c r="J209" s="31">
        <v>4463521.7235988639</v>
      </c>
      <c r="K209" s="31">
        <v>1686509.1210638948</v>
      </c>
      <c r="L209" s="31">
        <v>2757065.5851950059</v>
      </c>
      <c r="M209" s="31">
        <f t="shared" si="16"/>
        <v>39562392.09857551</v>
      </c>
      <c r="N209" s="31">
        <v>645141.52</v>
      </c>
      <c r="P209" s="42" t="s">
        <v>43</v>
      </c>
      <c r="Q209" s="42" t="s">
        <v>44</v>
      </c>
      <c r="R209" s="43" t="s">
        <v>1050</v>
      </c>
      <c r="S209" s="44">
        <v>32</v>
      </c>
      <c r="T209" s="31">
        <v>29976401.482672237</v>
      </c>
      <c r="U209" s="31">
        <v>1233606.17</v>
      </c>
      <c r="V209" s="31">
        <v>88260.659999999989</v>
      </c>
      <c r="W209" s="31">
        <v>104978.27999999998</v>
      </c>
      <c r="X209" s="31">
        <v>4604230.2311697118</v>
      </c>
      <c r="Y209" s="31">
        <v>1687791.9688160152</v>
      </c>
      <c r="Z209" s="31">
        <v>2876516.5199551014</v>
      </c>
      <c r="AA209" s="31">
        <f t="shared" si="17"/>
        <v>41230383.982613064</v>
      </c>
      <c r="AB209" s="31">
        <v>658598.67000000004</v>
      </c>
      <c r="AD209" s="42" t="s">
        <v>43</v>
      </c>
      <c r="AE209" s="42" t="s">
        <v>44</v>
      </c>
      <c r="AF209" s="43" t="s">
        <v>1275</v>
      </c>
      <c r="AG209" s="44">
        <v>32</v>
      </c>
      <c r="AH209" s="31">
        <v>30573308.98155405</v>
      </c>
      <c r="AI209" s="31">
        <v>1259954.93</v>
      </c>
      <c r="AJ209" s="31">
        <v>89987.939999999973</v>
      </c>
      <c r="AK209" s="31">
        <v>107032.71</v>
      </c>
      <c r="AL209" s="31">
        <v>4693133.9564887499</v>
      </c>
      <c r="AM209" s="31">
        <v>1687346.4539294811</v>
      </c>
      <c r="AN209" s="31">
        <v>2934020.0306623168</v>
      </c>
      <c r="AO209" s="31">
        <f t="shared" si="18"/>
        <v>42015547.492634602</v>
      </c>
      <c r="AP209" s="31">
        <v>670762.49</v>
      </c>
      <c r="AR209" s="42" t="s">
        <v>43</v>
      </c>
      <c r="AS209" s="42" t="s">
        <v>44</v>
      </c>
      <c r="AT209" s="43" t="s">
        <v>1276</v>
      </c>
      <c r="AU209" s="44">
        <v>32</v>
      </c>
      <c r="AV209" s="31">
        <v>31190683.623287428</v>
      </c>
      <c r="AW209" s="31">
        <v>1285036.52</v>
      </c>
      <c r="AX209" s="31">
        <v>91852.87000000001</v>
      </c>
      <c r="AY209" s="31">
        <v>109210.04</v>
      </c>
      <c r="AZ209" s="31">
        <v>4788047.0189967426</v>
      </c>
      <c r="BA209" s="31">
        <v>1687416.9061123584</v>
      </c>
      <c r="BB209" s="31">
        <v>2993775.168701035</v>
      </c>
      <c r="BC209" s="31">
        <f t="shared" si="19"/>
        <v>42830431.907097563</v>
      </c>
      <c r="BD209" s="31">
        <v>684409.76000000013</v>
      </c>
    </row>
    <row r="210" spans="2:56">
      <c r="B210" s="42" t="s">
        <v>181</v>
      </c>
      <c r="C210" s="42" t="s">
        <v>182</v>
      </c>
      <c r="D210" s="43" t="s">
        <v>1049</v>
      </c>
      <c r="E210" s="44">
        <v>32</v>
      </c>
      <c r="F210" s="31">
        <v>10203086.69210157</v>
      </c>
      <c r="G210" s="31">
        <v>413243.1</v>
      </c>
      <c r="H210" s="31">
        <v>58959</v>
      </c>
      <c r="I210" s="31">
        <v>35948.020000000004</v>
      </c>
      <c r="J210" s="31">
        <v>1430360.7111772757</v>
      </c>
      <c r="K210" s="31">
        <v>610361.32258085709</v>
      </c>
      <c r="L210" s="31">
        <v>519523.06880125147</v>
      </c>
      <c r="M210" s="31">
        <f t="shared" si="16"/>
        <v>13510711.184660954</v>
      </c>
      <c r="N210" s="31">
        <v>239229.27</v>
      </c>
      <c r="P210" s="42" t="s">
        <v>181</v>
      </c>
      <c r="Q210" s="42" t="s">
        <v>182</v>
      </c>
      <c r="R210" s="43" t="s">
        <v>1050</v>
      </c>
      <c r="S210" s="44">
        <v>32</v>
      </c>
      <c r="T210" s="31">
        <v>10733399.364892745</v>
      </c>
      <c r="U210" s="31">
        <v>433901.54000000004</v>
      </c>
      <c r="V210" s="31">
        <v>61502.75</v>
      </c>
      <c r="W210" s="31">
        <v>37517.770000000004</v>
      </c>
      <c r="X210" s="31">
        <v>1485573.1768717233</v>
      </c>
      <c r="Y210" s="31">
        <v>610665.26388466265</v>
      </c>
      <c r="Z210" s="31">
        <v>545825.44602754561</v>
      </c>
      <c r="AA210" s="31">
        <f t="shared" si="17"/>
        <v>14154754.681676675</v>
      </c>
      <c r="AB210" s="31">
        <v>246369.37</v>
      </c>
      <c r="AD210" s="42" t="s">
        <v>181</v>
      </c>
      <c r="AE210" s="42" t="s">
        <v>182</v>
      </c>
      <c r="AF210" s="43" t="s">
        <v>1275</v>
      </c>
      <c r="AG210" s="44">
        <v>32</v>
      </c>
      <c r="AH210" s="31">
        <v>10947617.289416855</v>
      </c>
      <c r="AI210" s="31">
        <v>443178.83999999997</v>
      </c>
      <c r="AJ210" s="31">
        <v>62707.5</v>
      </c>
      <c r="AK210" s="31">
        <v>38252.68</v>
      </c>
      <c r="AL210" s="31">
        <v>1514347.2002676518</v>
      </c>
      <c r="AM210" s="31">
        <v>610557.98090329813</v>
      </c>
      <c r="AN210" s="31">
        <v>556888.76447466353</v>
      </c>
      <c r="AO210" s="31">
        <f t="shared" si="18"/>
        <v>14424416.615062468</v>
      </c>
      <c r="AP210" s="31">
        <v>250866.36000000002</v>
      </c>
      <c r="AR210" s="42" t="s">
        <v>181</v>
      </c>
      <c r="AS210" s="42" t="s">
        <v>182</v>
      </c>
      <c r="AT210" s="43" t="s">
        <v>1276</v>
      </c>
      <c r="AU210" s="44">
        <v>32</v>
      </c>
      <c r="AV210" s="31">
        <v>11169484.325466463</v>
      </c>
      <c r="AW210" s="31">
        <v>452106.06</v>
      </c>
      <c r="AX210" s="31">
        <v>63865.9</v>
      </c>
      <c r="AY210" s="31">
        <v>39073.579999999994</v>
      </c>
      <c r="AZ210" s="31">
        <v>1545132.5578266846</v>
      </c>
      <c r="BA210" s="31">
        <v>610574.845200393</v>
      </c>
      <c r="BB210" s="31">
        <v>568057.25949069194</v>
      </c>
      <c r="BC210" s="31">
        <f t="shared" si="19"/>
        <v>14704311.477984233</v>
      </c>
      <c r="BD210" s="31">
        <v>256016.95</v>
      </c>
    </row>
    <row r="211" spans="2:56">
      <c r="B211" s="42" t="s">
        <v>537</v>
      </c>
      <c r="C211" s="42" t="s">
        <v>538</v>
      </c>
      <c r="D211" s="43" t="s">
        <v>1049</v>
      </c>
      <c r="E211" s="44">
        <v>32</v>
      </c>
      <c r="F211" s="31">
        <v>2953633.3551463205</v>
      </c>
      <c r="G211" s="31">
        <v>145384.53999999998</v>
      </c>
      <c r="H211" s="31">
        <v>0</v>
      </c>
      <c r="I211" s="31">
        <v>0</v>
      </c>
      <c r="J211" s="31">
        <v>296926.65283394128</v>
      </c>
      <c r="K211" s="31">
        <v>400674.78069264186</v>
      </c>
      <c r="L211" s="31">
        <v>46491.251988310978</v>
      </c>
      <c r="M211" s="31">
        <f t="shared" si="16"/>
        <v>3909469.1006612144</v>
      </c>
      <c r="N211" s="31">
        <v>66358.52</v>
      </c>
      <c r="P211" s="42" t="s">
        <v>537</v>
      </c>
      <c r="Q211" s="42" t="s">
        <v>538</v>
      </c>
      <c r="R211" s="43" t="s">
        <v>1050</v>
      </c>
      <c r="S211" s="44">
        <v>32</v>
      </c>
      <c r="T211" s="31">
        <v>3098051.2285089912</v>
      </c>
      <c r="U211" s="31">
        <v>152596.70000000001</v>
      </c>
      <c r="V211" s="31">
        <v>0</v>
      </c>
      <c r="W211" s="31">
        <v>0</v>
      </c>
      <c r="X211" s="31">
        <v>308488.48770364298</v>
      </c>
      <c r="Y211" s="31">
        <v>401071.85092153179</v>
      </c>
      <c r="Z211" s="31">
        <v>48797.857512200149</v>
      </c>
      <c r="AA211" s="31">
        <f t="shared" si="17"/>
        <v>4077295.4746463662</v>
      </c>
      <c r="AB211" s="31">
        <v>68289.350000000006</v>
      </c>
      <c r="AD211" s="42" t="s">
        <v>537</v>
      </c>
      <c r="AE211" s="42" t="s">
        <v>538</v>
      </c>
      <c r="AF211" s="43" t="s">
        <v>1275</v>
      </c>
      <c r="AG211" s="44">
        <v>32</v>
      </c>
      <c r="AH211" s="31">
        <v>3158573.0471303295</v>
      </c>
      <c r="AI211" s="31">
        <v>155817.53</v>
      </c>
      <c r="AJ211" s="31">
        <v>0</v>
      </c>
      <c r="AK211" s="31">
        <v>0</v>
      </c>
      <c r="AL211" s="31">
        <v>314424.71480934223</v>
      </c>
      <c r="AM211" s="31">
        <v>400936.95458466036</v>
      </c>
      <c r="AN211" s="31">
        <v>49744.353196385535</v>
      </c>
      <c r="AO211" s="31">
        <f t="shared" si="18"/>
        <v>4148989.0897207176</v>
      </c>
      <c r="AP211" s="31">
        <v>69492.489999999991</v>
      </c>
      <c r="AR211" s="42" t="s">
        <v>537</v>
      </c>
      <c r="AS211" s="42" t="s">
        <v>538</v>
      </c>
      <c r="AT211" s="43" t="s">
        <v>1276</v>
      </c>
      <c r="AU211" s="44">
        <v>32</v>
      </c>
      <c r="AV211" s="31">
        <v>3219981.0953760655</v>
      </c>
      <c r="AW211" s="31">
        <v>158961.61000000002</v>
      </c>
      <c r="AX211" s="31">
        <v>0</v>
      </c>
      <c r="AY211" s="31">
        <v>0</v>
      </c>
      <c r="AZ211" s="31">
        <v>320777.96941272682</v>
      </c>
      <c r="BA211" s="31">
        <v>400958.42135998566</v>
      </c>
      <c r="BB211" s="31">
        <v>50676.912439718515</v>
      </c>
      <c r="BC211" s="31">
        <f t="shared" si="19"/>
        <v>4222344.0385884959</v>
      </c>
      <c r="BD211" s="31">
        <v>70988.03</v>
      </c>
    </row>
    <row r="212" spans="2:56">
      <c r="B212" s="42" t="s">
        <v>481</v>
      </c>
      <c r="C212" s="42" t="s">
        <v>482</v>
      </c>
      <c r="D212" s="43" t="s">
        <v>1049</v>
      </c>
      <c r="E212" s="44">
        <v>32</v>
      </c>
      <c r="F212" s="31">
        <v>5184568.7680800678</v>
      </c>
      <c r="G212" s="31">
        <v>242419.87999999998</v>
      </c>
      <c r="H212" s="31">
        <v>0</v>
      </c>
      <c r="I212" s="31">
        <v>0</v>
      </c>
      <c r="J212" s="31">
        <v>730340.6842751716</v>
      </c>
      <c r="K212" s="31">
        <v>568914.47</v>
      </c>
      <c r="L212" s="31">
        <v>109813.15082704349</v>
      </c>
      <c r="M212" s="31">
        <f t="shared" si="16"/>
        <v>7032272.7731822832</v>
      </c>
      <c r="N212" s="31">
        <v>196215.81999999998</v>
      </c>
      <c r="P212" s="42" t="s">
        <v>481</v>
      </c>
      <c r="Q212" s="42" t="s">
        <v>482</v>
      </c>
      <c r="R212" s="43" t="s">
        <v>1050</v>
      </c>
      <c r="S212" s="44">
        <v>32</v>
      </c>
      <c r="T212" s="31">
        <v>5411301.3413529014</v>
      </c>
      <c r="U212" s="31">
        <v>253394.97999999998</v>
      </c>
      <c r="V212" s="31">
        <v>0</v>
      </c>
      <c r="W212" s="31">
        <v>0</v>
      </c>
      <c r="X212" s="31">
        <v>753626.23480766197</v>
      </c>
      <c r="Y212" s="31">
        <v>568914.47</v>
      </c>
      <c r="Z212" s="31">
        <v>114449.3699378286</v>
      </c>
      <c r="AA212" s="31">
        <f t="shared" si="17"/>
        <v>7301951.236098391</v>
      </c>
      <c r="AB212" s="31">
        <v>200264.84000000003</v>
      </c>
      <c r="AD212" s="42" t="s">
        <v>481</v>
      </c>
      <c r="AE212" s="42" t="s">
        <v>482</v>
      </c>
      <c r="AF212" s="43" t="s">
        <v>1275</v>
      </c>
      <c r="AG212" s="44">
        <v>32</v>
      </c>
      <c r="AH212" s="31">
        <v>5519329.2431684621</v>
      </c>
      <c r="AI212" s="31">
        <v>258947.83</v>
      </c>
      <c r="AJ212" s="31">
        <v>0</v>
      </c>
      <c r="AK212" s="31">
        <v>0</v>
      </c>
      <c r="AL212" s="31">
        <v>768194.49117314944</v>
      </c>
      <c r="AM212" s="31">
        <v>568914.47</v>
      </c>
      <c r="AN212" s="31">
        <v>116670.2150410075</v>
      </c>
      <c r="AO212" s="31">
        <f t="shared" si="18"/>
        <v>7436069.8393826187</v>
      </c>
      <c r="AP212" s="31">
        <v>204013.59</v>
      </c>
      <c r="AR212" s="42" t="s">
        <v>481</v>
      </c>
      <c r="AS212" s="42" t="s">
        <v>482</v>
      </c>
      <c r="AT212" s="43" t="s">
        <v>1276</v>
      </c>
      <c r="AU212" s="44">
        <v>32</v>
      </c>
      <c r="AV212" s="31">
        <v>5631006.6093468172</v>
      </c>
      <c r="AW212" s="31">
        <v>264073.67</v>
      </c>
      <c r="AX212" s="31">
        <v>0</v>
      </c>
      <c r="AY212" s="31">
        <v>0</v>
      </c>
      <c r="AZ212" s="31">
        <v>783746.20313255512</v>
      </c>
      <c r="BA212" s="31">
        <v>568914.47</v>
      </c>
      <c r="BB212" s="31">
        <v>118970.73060080648</v>
      </c>
      <c r="BC212" s="31">
        <f t="shared" si="19"/>
        <v>7574839.3930801786</v>
      </c>
      <c r="BD212" s="31">
        <v>208127.71000000002</v>
      </c>
    </row>
    <row r="213" spans="2:56">
      <c r="B213" s="42" t="s">
        <v>25</v>
      </c>
      <c r="C213" s="42" t="s">
        <v>26</v>
      </c>
      <c r="D213" s="43" t="s">
        <v>1049</v>
      </c>
      <c r="E213" s="44">
        <v>32</v>
      </c>
      <c r="F213" s="31">
        <v>18949273.624064073</v>
      </c>
      <c r="G213" s="31">
        <v>1101395.1899999995</v>
      </c>
      <c r="H213" s="31">
        <v>943732.85999999987</v>
      </c>
      <c r="I213" s="31">
        <v>68892.02</v>
      </c>
      <c r="J213" s="31">
        <v>2854087.2941376646</v>
      </c>
      <c r="K213" s="31">
        <v>1441746.4449851774</v>
      </c>
      <c r="L213" s="31">
        <v>2299335.1333539672</v>
      </c>
      <c r="M213" s="31">
        <f t="shared" si="16"/>
        <v>28367650.746540878</v>
      </c>
      <c r="N213" s="31">
        <v>709188.18</v>
      </c>
      <c r="P213" s="42" t="s">
        <v>25</v>
      </c>
      <c r="Q213" s="42" t="s">
        <v>26</v>
      </c>
      <c r="R213" s="43" t="s">
        <v>1050</v>
      </c>
      <c r="S213" s="44">
        <v>32</v>
      </c>
      <c r="T213" s="31">
        <v>19978662.120514985</v>
      </c>
      <c r="U213" s="31">
        <v>1159101.2700000003</v>
      </c>
      <c r="V213" s="31">
        <v>984728.81999999983</v>
      </c>
      <c r="W213" s="31">
        <v>71841.090000000011</v>
      </c>
      <c r="X213" s="31">
        <v>2965288.305854674</v>
      </c>
      <c r="Y213" s="31">
        <v>1443272.8923710426</v>
      </c>
      <c r="Z213" s="31">
        <v>2415945.224223963</v>
      </c>
      <c r="AA213" s="31">
        <f t="shared" si="17"/>
        <v>29748956.692964666</v>
      </c>
      <c r="AB213" s="31">
        <v>730116.97</v>
      </c>
      <c r="AD213" s="42" t="s">
        <v>25</v>
      </c>
      <c r="AE213" s="42" t="s">
        <v>26</v>
      </c>
      <c r="AF213" s="43" t="s">
        <v>1275</v>
      </c>
      <c r="AG213" s="44">
        <v>32</v>
      </c>
      <c r="AH213" s="31">
        <v>20377645.381394587</v>
      </c>
      <c r="AI213" s="31">
        <v>1184131.23</v>
      </c>
      <c r="AJ213" s="31">
        <v>1004713.5199999999</v>
      </c>
      <c r="AK213" s="31">
        <v>73349.55</v>
      </c>
      <c r="AL213" s="31">
        <v>3022480.2586576049</v>
      </c>
      <c r="AM213" s="31">
        <v>1442754.3136769012</v>
      </c>
      <c r="AN213" s="31">
        <v>2464450.0318863946</v>
      </c>
      <c r="AO213" s="31">
        <f t="shared" si="18"/>
        <v>30313114.265615489</v>
      </c>
      <c r="AP213" s="31">
        <v>743589.9800000001</v>
      </c>
      <c r="AR213" s="42" t="s">
        <v>25</v>
      </c>
      <c r="AS213" s="42" t="s">
        <v>26</v>
      </c>
      <c r="AT213" s="43" t="s">
        <v>1276</v>
      </c>
      <c r="AU213" s="44">
        <v>32</v>
      </c>
      <c r="AV213" s="31">
        <v>20788755.419449128</v>
      </c>
      <c r="AW213" s="31">
        <v>1207559.8700000001</v>
      </c>
      <c r="AX213" s="31">
        <v>1024846.34</v>
      </c>
      <c r="AY213" s="31">
        <v>74794.039999999994</v>
      </c>
      <c r="AZ213" s="31">
        <v>3083456.3104338702</v>
      </c>
      <c r="BA213" s="31">
        <v>1442836.8378771411</v>
      </c>
      <c r="BB213" s="31">
        <v>2513978.3110362277</v>
      </c>
      <c r="BC213" s="31">
        <f t="shared" si="19"/>
        <v>30894846.92879637</v>
      </c>
      <c r="BD213" s="31">
        <v>758619.79999999993</v>
      </c>
    </row>
    <row r="214" spans="2:56">
      <c r="B214" s="42" t="s">
        <v>1319</v>
      </c>
      <c r="C214" s="42" t="s">
        <v>1320</v>
      </c>
      <c r="D214" s="43" t="s">
        <v>1049</v>
      </c>
      <c r="E214" s="44">
        <v>32</v>
      </c>
      <c r="F214" s="31">
        <v>821699.86921582208</v>
      </c>
      <c r="G214" s="31">
        <v>10913.58</v>
      </c>
      <c r="H214" s="31">
        <v>0</v>
      </c>
      <c r="I214" s="31">
        <v>0</v>
      </c>
      <c r="J214" s="31">
        <v>100505.15417953405</v>
      </c>
      <c r="K214" s="31">
        <v>0</v>
      </c>
      <c r="L214" s="31">
        <v>0</v>
      </c>
      <c r="M214" s="31">
        <f t="shared" si="16"/>
        <v>933118.6033953561</v>
      </c>
      <c r="N214" s="31">
        <v>0</v>
      </c>
      <c r="P214" s="42" t="s">
        <v>1319</v>
      </c>
      <c r="Q214" s="42" t="s">
        <v>1320</v>
      </c>
      <c r="R214" s="43" t="s">
        <v>1050</v>
      </c>
      <c r="S214" s="44">
        <v>32</v>
      </c>
      <c r="T214" s="31">
        <v>853179.49617319438</v>
      </c>
      <c r="U214" s="31">
        <v>11332.68</v>
      </c>
      <c r="V214" s="31">
        <v>0</v>
      </c>
      <c r="W214" s="31">
        <v>0</v>
      </c>
      <c r="X214" s="31">
        <v>103887.96716506101</v>
      </c>
      <c r="Y214" s="31">
        <v>0</v>
      </c>
      <c r="Z214" s="31">
        <v>0</v>
      </c>
      <c r="AA214" s="31">
        <f t="shared" si="17"/>
        <v>968400.14333825547</v>
      </c>
      <c r="AB214" s="31">
        <v>0</v>
      </c>
      <c r="AD214" s="42" t="s">
        <v>1319</v>
      </c>
      <c r="AE214" s="42" t="s">
        <v>1320</v>
      </c>
      <c r="AF214" s="43" t="s">
        <v>1275</v>
      </c>
      <c r="AG214" s="44">
        <v>32</v>
      </c>
      <c r="AH214" s="31">
        <v>869535.73685432319</v>
      </c>
      <c r="AI214" s="31">
        <v>11554.370000000003</v>
      </c>
      <c r="AJ214" s="31">
        <v>0</v>
      </c>
      <c r="AK214" s="31">
        <v>0</v>
      </c>
      <c r="AL214" s="31">
        <v>105810.03050115029</v>
      </c>
      <c r="AM214" s="31">
        <v>0</v>
      </c>
      <c r="AN214" s="31">
        <v>0</v>
      </c>
      <c r="AO214" s="31">
        <f t="shared" si="18"/>
        <v>986900.13735547347</v>
      </c>
      <c r="AP214" s="31">
        <v>0</v>
      </c>
      <c r="AR214" s="42" t="s">
        <v>1319</v>
      </c>
      <c r="AS214" s="42" t="s">
        <v>1320</v>
      </c>
      <c r="AT214" s="43" t="s">
        <v>1276</v>
      </c>
      <c r="AU214" s="44">
        <v>32</v>
      </c>
      <c r="AV214" s="31">
        <v>885402.39457601181</v>
      </c>
      <c r="AW214" s="31">
        <v>11765.350000000002</v>
      </c>
      <c r="AX214" s="31">
        <v>0</v>
      </c>
      <c r="AY214" s="31">
        <v>0</v>
      </c>
      <c r="AZ214" s="31">
        <v>107754.43204538681</v>
      </c>
      <c r="BA214" s="31">
        <v>0</v>
      </c>
      <c r="BB214" s="31">
        <v>0</v>
      </c>
      <c r="BC214" s="31">
        <f t="shared" si="19"/>
        <v>1004922.1766213987</v>
      </c>
      <c r="BD214" s="31">
        <v>0</v>
      </c>
    </row>
    <row r="215" spans="2:56">
      <c r="B215" s="42" t="s">
        <v>561</v>
      </c>
      <c r="C215" s="42" t="s">
        <v>562</v>
      </c>
      <c r="D215" s="43" t="s">
        <v>1049</v>
      </c>
      <c r="E215" s="44">
        <v>32</v>
      </c>
      <c r="F215" s="31">
        <v>21221410.408057489</v>
      </c>
      <c r="G215" s="31">
        <v>514400.18</v>
      </c>
      <c r="H215" s="31">
        <v>198295.96000000002</v>
      </c>
      <c r="I215" s="31">
        <v>73374.38</v>
      </c>
      <c r="J215" s="31">
        <v>3185237.8556751674</v>
      </c>
      <c r="K215" s="31">
        <v>1130342.4899041362</v>
      </c>
      <c r="L215" s="31">
        <v>1557640.5354763037</v>
      </c>
      <c r="M215" s="31">
        <f t="shared" si="16"/>
        <v>27880701.809113096</v>
      </c>
      <c r="N215" s="31">
        <v>0</v>
      </c>
      <c r="P215" s="42" t="s">
        <v>561</v>
      </c>
      <c r="Q215" s="42" t="s">
        <v>562</v>
      </c>
      <c r="R215" s="43" t="s">
        <v>1050</v>
      </c>
      <c r="S215" s="44">
        <v>32</v>
      </c>
      <c r="T215" s="31">
        <v>22148947.736050494</v>
      </c>
      <c r="U215" s="31">
        <v>536784.46</v>
      </c>
      <c r="V215" s="31">
        <v>206922.57</v>
      </c>
      <c r="W215" s="31">
        <v>76596.77</v>
      </c>
      <c r="X215" s="31">
        <v>3309274.5822997135</v>
      </c>
      <c r="Y215" s="31">
        <v>1131345.32484168</v>
      </c>
      <c r="Z215" s="31">
        <v>1621072.5135973785</v>
      </c>
      <c r="AA215" s="31">
        <f t="shared" si="17"/>
        <v>29030943.956789263</v>
      </c>
      <c r="AB215" s="31">
        <v>0</v>
      </c>
      <c r="AD215" s="42" t="s">
        <v>561</v>
      </c>
      <c r="AE215" s="42" t="s">
        <v>562</v>
      </c>
      <c r="AF215" s="43" t="s">
        <v>1275</v>
      </c>
      <c r="AG215" s="44">
        <v>32</v>
      </c>
      <c r="AH215" s="31">
        <v>22591224.636197142</v>
      </c>
      <c r="AI215" s="31">
        <v>547697.32000000007</v>
      </c>
      <c r="AJ215" s="31">
        <v>211073.41000000003</v>
      </c>
      <c r="AK215" s="31">
        <v>78198.239999999991</v>
      </c>
      <c r="AL215" s="31">
        <v>3373073.5708482834</v>
      </c>
      <c r="AM215" s="31">
        <v>1131004.6325668157</v>
      </c>
      <c r="AN215" s="31">
        <v>1653478.3922993038</v>
      </c>
      <c r="AO215" s="31">
        <f t="shared" si="18"/>
        <v>29585750.201911546</v>
      </c>
      <c r="AP215" s="31">
        <v>0</v>
      </c>
      <c r="AR215" s="42" t="s">
        <v>561</v>
      </c>
      <c r="AS215" s="42" t="s">
        <v>562</v>
      </c>
      <c r="AT215" s="43" t="s">
        <v>1276</v>
      </c>
      <c r="AU215" s="44">
        <v>32</v>
      </c>
      <c r="AV215" s="31">
        <v>23046605.834496453</v>
      </c>
      <c r="AW215" s="31">
        <v>558644.19999999995</v>
      </c>
      <c r="AX215" s="31">
        <v>215347.98</v>
      </c>
      <c r="AY215" s="31">
        <v>79731.289999999994</v>
      </c>
      <c r="AZ215" s="31">
        <v>3441108.3737899652</v>
      </c>
      <c r="BA215" s="31">
        <v>1131058.8487500655</v>
      </c>
      <c r="BB215" s="31">
        <v>1686896.2482949016</v>
      </c>
      <c r="BC215" s="31">
        <f t="shared" si="19"/>
        <v>30159392.775331385</v>
      </c>
      <c r="BD215" s="31">
        <v>0</v>
      </c>
    </row>
    <row r="216" spans="2:56">
      <c r="B216" s="42" t="s">
        <v>363</v>
      </c>
      <c r="C216" s="42" t="s">
        <v>364</v>
      </c>
      <c r="D216" s="43" t="s">
        <v>1049</v>
      </c>
      <c r="E216" s="44">
        <v>32</v>
      </c>
      <c r="F216" s="31">
        <v>187224272.69127002</v>
      </c>
      <c r="G216" s="31">
        <v>5827890.3299999991</v>
      </c>
      <c r="H216" s="31">
        <v>2444592.77</v>
      </c>
      <c r="I216" s="31">
        <v>659114.57999999996</v>
      </c>
      <c r="J216" s="31">
        <v>24930759.718671951</v>
      </c>
      <c r="K216" s="31">
        <v>10030450.570353607</v>
      </c>
      <c r="L216" s="31">
        <v>15067100.412274923</v>
      </c>
      <c r="M216" s="31">
        <f t="shared" si="16"/>
        <v>246783683.93257055</v>
      </c>
      <c r="N216" s="31">
        <v>599502.86</v>
      </c>
      <c r="P216" s="42" t="s">
        <v>363</v>
      </c>
      <c r="Q216" s="42" t="s">
        <v>364</v>
      </c>
      <c r="R216" s="43" t="s">
        <v>1050</v>
      </c>
      <c r="S216" s="44">
        <v>32</v>
      </c>
      <c r="T216" s="31">
        <v>195307852.72526106</v>
      </c>
      <c r="U216" s="31">
        <v>6086214.0200000005</v>
      </c>
      <c r="V216" s="31">
        <v>2549630.81</v>
      </c>
      <c r="W216" s="31">
        <v>687483.47</v>
      </c>
      <c r="X216" s="31">
        <v>25895491.002382338</v>
      </c>
      <c r="Y216" s="31">
        <v>10034351.072674595</v>
      </c>
      <c r="Z216" s="31">
        <v>15675499.221901897</v>
      </c>
      <c r="AA216" s="31">
        <f t="shared" si="17"/>
        <v>256853911.03221992</v>
      </c>
      <c r="AB216" s="31">
        <v>617388.71</v>
      </c>
      <c r="AD216" s="42" t="s">
        <v>363</v>
      </c>
      <c r="AE216" s="42" t="s">
        <v>364</v>
      </c>
      <c r="AF216" s="43" t="s">
        <v>1275</v>
      </c>
      <c r="AG216" s="44">
        <v>32</v>
      </c>
      <c r="AH216" s="31">
        <v>199209201.19052348</v>
      </c>
      <c r="AI216" s="31">
        <v>6211076.7000000002</v>
      </c>
      <c r="AJ216" s="31">
        <v>2601393.8699999996</v>
      </c>
      <c r="AK216" s="31">
        <v>701486.06</v>
      </c>
      <c r="AL216" s="31">
        <v>26396204.368202794</v>
      </c>
      <c r="AM216" s="31">
        <v>10032974.301855439</v>
      </c>
      <c r="AN216" s="31">
        <v>15989626.794514321</v>
      </c>
      <c r="AO216" s="31">
        <f t="shared" si="18"/>
        <v>261770728.46509606</v>
      </c>
      <c r="AP216" s="31">
        <v>628765.17999999993</v>
      </c>
      <c r="AR216" s="42" t="s">
        <v>363</v>
      </c>
      <c r="AS216" s="42" t="s">
        <v>364</v>
      </c>
      <c r="AT216" s="43" t="s">
        <v>1276</v>
      </c>
      <c r="AU216" s="44">
        <v>32</v>
      </c>
      <c r="AV216" s="31">
        <v>203242238.54757077</v>
      </c>
      <c r="AW216" s="31">
        <v>6336105.6799999997</v>
      </c>
      <c r="AX216" s="31">
        <v>2653883.5100000002</v>
      </c>
      <c r="AY216" s="31">
        <v>715604.28999999992</v>
      </c>
      <c r="AZ216" s="31">
        <v>26931268.904102959</v>
      </c>
      <c r="BA216" s="31">
        <v>10033190.722687809</v>
      </c>
      <c r="BB216" s="31">
        <v>16314071.737017598</v>
      </c>
      <c r="BC216" s="31">
        <f t="shared" si="19"/>
        <v>266867952.38137913</v>
      </c>
      <c r="BD216" s="31">
        <v>641588.98999999987</v>
      </c>
    </row>
    <row r="217" spans="2:56">
      <c r="B217" s="42" t="s">
        <v>173</v>
      </c>
      <c r="C217" s="42" t="s">
        <v>174</v>
      </c>
      <c r="D217" s="43" t="s">
        <v>1049</v>
      </c>
      <c r="E217" s="44">
        <v>32</v>
      </c>
      <c r="F217" s="31">
        <v>576353.27879886597</v>
      </c>
      <c r="G217" s="31">
        <v>31668.889999999992</v>
      </c>
      <c r="H217" s="31">
        <v>0</v>
      </c>
      <c r="I217" s="31">
        <v>0</v>
      </c>
      <c r="J217" s="31">
        <v>70984.585869469636</v>
      </c>
      <c r="K217" s="31">
        <v>64293.501961947935</v>
      </c>
      <c r="L217" s="31">
        <v>0</v>
      </c>
      <c r="M217" s="31">
        <f t="shared" si="16"/>
        <v>757624.33663028351</v>
      </c>
      <c r="N217" s="31">
        <v>14324.08</v>
      </c>
      <c r="P217" s="42" t="s">
        <v>173</v>
      </c>
      <c r="Q217" s="42" t="s">
        <v>174</v>
      </c>
      <c r="R217" s="43" t="s">
        <v>1050</v>
      </c>
      <c r="S217" s="44">
        <v>32</v>
      </c>
      <c r="T217" s="31">
        <v>605020.78330126556</v>
      </c>
      <c r="U217" s="31">
        <v>33082.939999999995</v>
      </c>
      <c r="V217" s="31">
        <v>0</v>
      </c>
      <c r="W217" s="31">
        <v>0</v>
      </c>
      <c r="X217" s="31">
        <v>73387.275509014609</v>
      </c>
      <c r="Y217" s="31">
        <v>64357.938106288326</v>
      </c>
      <c r="Z217" s="31">
        <v>0</v>
      </c>
      <c r="AA217" s="31">
        <f t="shared" si="17"/>
        <v>790525.1569165684</v>
      </c>
      <c r="AB217" s="31">
        <v>14676.220000000001</v>
      </c>
      <c r="AD217" s="42" t="s">
        <v>173</v>
      </c>
      <c r="AE217" s="42" t="s">
        <v>174</v>
      </c>
      <c r="AF217" s="43" t="s">
        <v>1275</v>
      </c>
      <c r="AG217" s="44">
        <v>32</v>
      </c>
      <c r="AH217" s="31">
        <v>616636.73178822827</v>
      </c>
      <c r="AI217" s="31">
        <v>33758.58</v>
      </c>
      <c r="AJ217" s="31">
        <v>0</v>
      </c>
      <c r="AK217" s="31">
        <v>0</v>
      </c>
      <c r="AL217" s="31">
        <v>74745.568834299382</v>
      </c>
      <c r="AM217" s="31">
        <v>64336.047268846451</v>
      </c>
      <c r="AN217" s="31">
        <v>0</v>
      </c>
      <c r="AO217" s="31">
        <f t="shared" si="18"/>
        <v>804411.71789137402</v>
      </c>
      <c r="AP217" s="31">
        <v>14934.79</v>
      </c>
      <c r="AR217" s="42" t="s">
        <v>173</v>
      </c>
      <c r="AS217" s="42" t="s">
        <v>174</v>
      </c>
      <c r="AT217" s="43" t="s">
        <v>1276</v>
      </c>
      <c r="AU217" s="44">
        <v>32</v>
      </c>
      <c r="AV217" s="31">
        <v>627917.99718750524</v>
      </c>
      <c r="AW217" s="31">
        <v>34370.83</v>
      </c>
      <c r="AX217" s="31">
        <v>0</v>
      </c>
      <c r="AY217" s="31">
        <v>0</v>
      </c>
      <c r="AZ217" s="31">
        <v>76120.099986379864</v>
      </c>
      <c r="BA217" s="31">
        <v>64339.530874850483</v>
      </c>
      <c r="BB217" s="31">
        <v>0</v>
      </c>
      <c r="BC217" s="31">
        <f t="shared" si="19"/>
        <v>817960.17804873548</v>
      </c>
      <c r="BD217" s="31">
        <v>15211.720000000001</v>
      </c>
    </row>
    <row r="218" spans="2:56">
      <c r="B218" s="42" t="s">
        <v>177</v>
      </c>
      <c r="C218" s="42" t="s">
        <v>178</v>
      </c>
      <c r="D218" s="43" t="s">
        <v>1049</v>
      </c>
      <c r="E218" s="44">
        <v>32</v>
      </c>
      <c r="F218" s="31">
        <v>6422163.5048898552</v>
      </c>
      <c r="G218" s="31">
        <v>131740.83999999997</v>
      </c>
      <c r="H218" s="31">
        <v>0</v>
      </c>
      <c r="I218" s="31">
        <v>19083.960000000003</v>
      </c>
      <c r="J218" s="31">
        <v>488480.67727231595</v>
      </c>
      <c r="K218" s="31">
        <v>394942.15604624304</v>
      </c>
      <c r="L218" s="31">
        <v>71097.150419779704</v>
      </c>
      <c r="M218" s="31">
        <f t="shared" si="16"/>
        <v>7527508.2886281945</v>
      </c>
      <c r="N218" s="31">
        <v>0</v>
      </c>
      <c r="P218" s="42" t="s">
        <v>177</v>
      </c>
      <c r="Q218" s="42" t="s">
        <v>178</v>
      </c>
      <c r="R218" s="43" t="s">
        <v>1050</v>
      </c>
      <c r="S218" s="44">
        <v>32</v>
      </c>
      <c r="T218" s="31">
        <v>6685566.6373598706</v>
      </c>
      <c r="U218" s="31">
        <v>137475.4</v>
      </c>
      <c r="V218" s="31">
        <v>0</v>
      </c>
      <c r="W218" s="31">
        <v>19913.150000000001</v>
      </c>
      <c r="X218" s="31">
        <v>507428.58178214449</v>
      </c>
      <c r="Y218" s="31">
        <v>395318.25952350046</v>
      </c>
      <c r="Z218" s="31">
        <v>73883.298809366155</v>
      </c>
      <c r="AA218" s="31">
        <f t="shared" si="17"/>
        <v>7819585.3274748828</v>
      </c>
      <c r="AB218" s="31">
        <v>0</v>
      </c>
      <c r="AD218" s="42" t="s">
        <v>177</v>
      </c>
      <c r="AE218" s="42" t="s">
        <v>178</v>
      </c>
      <c r="AF218" s="43" t="s">
        <v>1275</v>
      </c>
      <c r="AG218" s="44">
        <v>32</v>
      </c>
      <c r="AH218" s="31">
        <v>6815265.3535939325</v>
      </c>
      <c r="AI218" s="31">
        <v>140275.49</v>
      </c>
      <c r="AJ218" s="31">
        <v>0</v>
      </c>
      <c r="AK218" s="31">
        <v>20303.02</v>
      </c>
      <c r="AL218" s="31">
        <v>517244.14517079911</v>
      </c>
      <c r="AM218" s="31">
        <v>395185.50526523899</v>
      </c>
      <c r="AN218" s="31">
        <v>75401.514311107516</v>
      </c>
      <c r="AO218" s="31">
        <f t="shared" si="18"/>
        <v>7963675.0283410782</v>
      </c>
      <c r="AP218" s="31">
        <v>0</v>
      </c>
      <c r="AR218" s="42" t="s">
        <v>177</v>
      </c>
      <c r="AS218" s="42" t="s">
        <v>178</v>
      </c>
      <c r="AT218" s="43" t="s">
        <v>1276</v>
      </c>
      <c r="AU218" s="44">
        <v>32</v>
      </c>
      <c r="AV218" s="31">
        <v>6951042.0885547856</v>
      </c>
      <c r="AW218" s="31">
        <v>143076.62999999998</v>
      </c>
      <c r="AX218" s="31">
        <v>0</v>
      </c>
      <c r="AY218" s="31">
        <v>20787.03</v>
      </c>
      <c r="AZ218" s="31">
        <v>527749.49982064229</v>
      </c>
      <c r="BA218" s="31">
        <v>395206.37350755895</v>
      </c>
      <c r="BB218" s="31">
        <v>76932.825104507676</v>
      </c>
      <c r="BC218" s="31">
        <f t="shared" si="19"/>
        <v>8114794.4469874948</v>
      </c>
      <c r="BD218" s="31">
        <v>0</v>
      </c>
    </row>
    <row r="219" spans="2:56">
      <c r="B219" s="42" t="s">
        <v>53</v>
      </c>
      <c r="C219" s="42" t="s">
        <v>54</v>
      </c>
      <c r="D219" s="43" t="s">
        <v>1049</v>
      </c>
      <c r="E219" s="44">
        <v>32</v>
      </c>
      <c r="F219" s="31">
        <v>1922797.2689816442</v>
      </c>
      <c r="G219" s="31">
        <v>68112.47</v>
      </c>
      <c r="H219" s="31">
        <v>0</v>
      </c>
      <c r="I219" s="31">
        <v>0</v>
      </c>
      <c r="J219" s="31">
        <v>137305.83723815694</v>
      </c>
      <c r="K219" s="31">
        <v>72574.649999999994</v>
      </c>
      <c r="L219" s="31">
        <v>92668.987948094917</v>
      </c>
      <c r="M219" s="31">
        <f t="shared" si="16"/>
        <v>2326297.4141678959</v>
      </c>
      <c r="N219" s="31">
        <v>32838.200000000004</v>
      </c>
      <c r="P219" s="42" t="s">
        <v>53</v>
      </c>
      <c r="Q219" s="42" t="s">
        <v>54</v>
      </c>
      <c r="R219" s="43" t="s">
        <v>1050</v>
      </c>
      <c r="S219" s="44">
        <v>32</v>
      </c>
      <c r="T219" s="31">
        <v>2005638.579002555</v>
      </c>
      <c r="U219" s="31">
        <v>71589.210000000006</v>
      </c>
      <c r="V219" s="31">
        <v>0</v>
      </c>
      <c r="W219" s="31">
        <v>0</v>
      </c>
      <c r="X219" s="31">
        <v>142669.85802996589</v>
      </c>
      <c r="Y219" s="31">
        <v>72574.649999999994</v>
      </c>
      <c r="Z219" s="31">
        <v>97247.971549535083</v>
      </c>
      <c r="AA219" s="31">
        <f t="shared" si="17"/>
        <v>2423565.428582056</v>
      </c>
      <c r="AB219" s="31">
        <v>33845.160000000003</v>
      </c>
      <c r="AD219" s="42" t="s">
        <v>53</v>
      </c>
      <c r="AE219" s="42" t="s">
        <v>54</v>
      </c>
      <c r="AF219" s="43" t="s">
        <v>1275</v>
      </c>
      <c r="AG219" s="44">
        <v>32</v>
      </c>
      <c r="AH219" s="31">
        <v>2044226.459118563</v>
      </c>
      <c r="AI219" s="31">
        <v>73055.350000000035</v>
      </c>
      <c r="AJ219" s="31">
        <v>0</v>
      </c>
      <c r="AK219" s="31">
        <v>0</v>
      </c>
      <c r="AL219" s="31">
        <v>145410.32844005758</v>
      </c>
      <c r="AM219" s="31">
        <v>72574.649999999994</v>
      </c>
      <c r="AN219" s="31">
        <v>99134.276688103433</v>
      </c>
      <c r="AO219" s="31">
        <f t="shared" si="18"/>
        <v>2468842.5242467239</v>
      </c>
      <c r="AP219" s="31">
        <v>34441.46</v>
      </c>
      <c r="AR219" s="42" t="s">
        <v>53</v>
      </c>
      <c r="AS219" s="42" t="s">
        <v>54</v>
      </c>
      <c r="AT219" s="43" t="s">
        <v>1276</v>
      </c>
      <c r="AU219" s="44">
        <v>32</v>
      </c>
      <c r="AV219" s="31">
        <v>2081982.4405764656</v>
      </c>
      <c r="AW219" s="31">
        <v>74591.399999999994</v>
      </c>
      <c r="AX219" s="31">
        <v>0</v>
      </c>
      <c r="AY219" s="31">
        <v>0</v>
      </c>
      <c r="AZ219" s="31">
        <v>148347.5417763727</v>
      </c>
      <c r="BA219" s="31">
        <v>72574.649999999994</v>
      </c>
      <c r="BB219" s="31">
        <v>101179.76972414712</v>
      </c>
      <c r="BC219" s="31">
        <f t="shared" si="19"/>
        <v>2513859.372076985</v>
      </c>
      <c r="BD219" s="31">
        <v>35183.570000000007</v>
      </c>
    </row>
    <row r="220" spans="2:56">
      <c r="B220" s="42" t="s">
        <v>51</v>
      </c>
      <c r="C220" s="42" t="s">
        <v>52</v>
      </c>
      <c r="D220" s="43" t="s">
        <v>1049</v>
      </c>
      <c r="E220" s="44">
        <v>32</v>
      </c>
      <c r="F220" s="31">
        <v>27990104.674331315</v>
      </c>
      <c r="G220" s="31">
        <v>1282443.7899999998</v>
      </c>
      <c r="H220" s="31">
        <v>369113.07</v>
      </c>
      <c r="I220" s="31">
        <v>0</v>
      </c>
      <c r="J220" s="31">
        <v>3822528.207699785</v>
      </c>
      <c r="K220" s="31">
        <v>616113.08600477513</v>
      </c>
      <c r="L220" s="31">
        <v>501668.60730505304</v>
      </c>
      <c r="M220" s="31">
        <f t="shared" si="16"/>
        <v>35519175.615340926</v>
      </c>
      <c r="N220" s="31">
        <v>937204.17999999993</v>
      </c>
      <c r="P220" s="42" t="s">
        <v>51</v>
      </c>
      <c r="Q220" s="42" t="s">
        <v>52</v>
      </c>
      <c r="R220" s="43" t="s">
        <v>1050</v>
      </c>
      <c r="S220" s="44">
        <v>32</v>
      </c>
      <c r="T220" s="31">
        <v>29247860.009978689</v>
      </c>
      <c r="U220" s="31">
        <v>1351282.23</v>
      </c>
      <c r="V220" s="31">
        <v>385209.89</v>
      </c>
      <c r="W220" s="31">
        <v>0</v>
      </c>
      <c r="X220" s="31">
        <v>3971667.4807304433</v>
      </c>
      <c r="Y220" s="31">
        <v>616687.54863390129</v>
      </c>
      <c r="Z220" s="31">
        <v>527134.13092161715</v>
      </c>
      <c r="AA220" s="31">
        <f t="shared" si="17"/>
        <v>37064877.620264649</v>
      </c>
      <c r="AB220" s="31">
        <v>965036.33</v>
      </c>
      <c r="AD220" s="42" t="s">
        <v>51</v>
      </c>
      <c r="AE220" s="42" t="s">
        <v>52</v>
      </c>
      <c r="AF220" s="43" t="s">
        <v>1275</v>
      </c>
      <c r="AG220" s="44">
        <v>32</v>
      </c>
      <c r="AH220" s="31">
        <v>29817918.248506632</v>
      </c>
      <c r="AI220" s="31">
        <v>1380632.6800000002</v>
      </c>
      <c r="AJ220" s="31">
        <v>393054.56999999995</v>
      </c>
      <c r="AK220" s="31">
        <v>0</v>
      </c>
      <c r="AL220" s="31">
        <v>4048336.6359489607</v>
      </c>
      <c r="AM220" s="31">
        <v>616492.38692521479</v>
      </c>
      <c r="AN220" s="31">
        <v>537565.55531461816</v>
      </c>
      <c r="AO220" s="31">
        <f t="shared" si="18"/>
        <v>37776749.906695418</v>
      </c>
      <c r="AP220" s="31">
        <v>982749.83000000007</v>
      </c>
      <c r="AR220" s="42" t="s">
        <v>51</v>
      </c>
      <c r="AS220" s="42" t="s">
        <v>52</v>
      </c>
      <c r="AT220" s="43" t="s">
        <v>1276</v>
      </c>
      <c r="AU220" s="44">
        <v>32</v>
      </c>
      <c r="AV220" s="31">
        <v>30421352.00517771</v>
      </c>
      <c r="AW220" s="31">
        <v>1407903.6700000004</v>
      </c>
      <c r="AX220" s="31">
        <v>400862.4</v>
      </c>
      <c r="AY220" s="31">
        <v>0</v>
      </c>
      <c r="AZ220" s="31">
        <v>4130138.5824822015</v>
      </c>
      <c r="BA220" s="31">
        <v>616523.44405137282</v>
      </c>
      <c r="BB220" s="31">
        <v>548462.59655336279</v>
      </c>
      <c r="BC220" s="31">
        <f t="shared" si="19"/>
        <v>38527870.888264641</v>
      </c>
      <c r="BD220" s="31">
        <v>1002628.19</v>
      </c>
    </row>
    <row r="221" spans="2:56">
      <c r="B221" s="42" t="s">
        <v>123</v>
      </c>
      <c r="C221" s="42" t="s">
        <v>124</v>
      </c>
      <c r="D221" s="43" t="s">
        <v>1049</v>
      </c>
      <c r="E221" s="44">
        <v>32</v>
      </c>
      <c r="F221" s="31">
        <v>24915210.81365066</v>
      </c>
      <c r="G221" s="31">
        <v>1623201.0099999998</v>
      </c>
      <c r="H221" s="31">
        <v>1899646.04</v>
      </c>
      <c r="I221" s="31">
        <v>88185.67</v>
      </c>
      <c r="J221" s="31">
        <v>3843999.8081878908</v>
      </c>
      <c r="K221" s="31">
        <v>1637857.6464173042</v>
      </c>
      <c r="L221" s="31">
        <v>2442974.6996986228</v>
      </c>
      <c r="M221" s="31">
        <f t="shared" si="16"/>
        <v>37344333.207954474</v>
      </c>
      <c r="N221" s="31">
        <v>893257.52</v>
      </c>
      <c r="P221" s="42" t="s">
        <v>123</v>
      </c>
      <c r="Q221" s="42" t="s">
        <v>124</v>
      </c>
      <c r="R221" s="43" t="s">
        <v>1050</v>
      </c>
      <c r="S221" s="44">
        <v>32</v>
      </c>
      <c r="T221" s="31">
        <v>26281891.640920773</v>
      </c>
      <c r="U221" s="31">
        <v>1706233.7599999995</v>
      </c>
      <c r="V221" s="31">
        <v>1982308.1</v>
      </c>
      <c r="W221" s="31">
        <v>92077.999999999985</v>
      </c>
      <c r="X221" s="31">
        <v>3993743.4709333819</v>
      </c>
      <c r="Y221" s="31">
        <v>1639496.5280941103</v>
      </c>
      <c r="Z221" s="31">
        <v>2567035.8933857102</v>
      </c>
      <c r="AA221" s="31">
        <f t="shared" si="17"/>
        <v>39182497.153333977</v>
      </c>
      <c r="AB221" s="31">
        <v>919709.76</v>
      </c>
      <c r="AD221" s="42" t="s">
        <v>123</v>
      </c>
      <c r="AE221" s="42" t="s">
        <v>124</v>
      </c>
      <c r="AF221" s="43" t="s">
        <v>1275</v>
      </c>
      <c r="AG221" s="44">
        <v>32</v>
      </c>
      <c r="AH221" s="31">
        <v>26806893.690571647</v>
      </c>
      <c r="AI221" s="31">
        <v>1742747.3699999994</v>
      </c>
      <c r="AJ221" s="31">
        <v>2022528.88</v>
      </c>
      <c r="AK221" s="31">
        <v>93879.170000000013</v>
      </c>
      <c r="AL221" s="31">
        <v>4070741.5103682168</v>
      </c>
      <c r="AM221" s="31">
        <v>1638939.7521923133</v>
      </c>
      <c r="AN221" s="31">
        <v>2618125.6910518743</v>
      </c>
      <c r="AO221" s="31">
        <f t="shared" si="18"/>
        <v>39930379.154184058</v>
      </c>
      <c r="AP221" s="31">
        <v>936523.09000000008</v>
      </c>
      <c r="AR221" s="42" t="s">
        <v>123</v>
      </c>
      <c r="AS221" s="42" t="s">
        <v>124</v>
      </c>
      <c r="AT221" s="43" t="s">
        <v>1276</v>
      </c>
      <c r="AU221" s="44">
        <v>32</v>
      </c>
      <c r="AV221" s="31">
        <v>27347129.835055787</v>
      </c>
      <c r="AW221" s="31">
        <v>1777274.2400000002</v>
      </c>
      <c r="AX221" s="31">
        <v>2063033.73</v>
      </c>
      <c r="AY221" s="31">
        <v>95803.58</v>
      </c>
      <c r="AZ221" s="31">
        <v>4152839.5584665518</v>
      </c>
      <c r="BA221" s="31">
        <v>1639028.3549184334</v>
      </c>
      <c r="BB221" s="31">
        <v>2670998.8477220116</v>
      </c>
      <c r="BC221" s="31">
        <f t="shared" si="19"/>
        <v>40701652.436162777</v>
      </c>
      <c r="BD221" s="31">
        <v>955544.29</v>
      </c>
    </row>
    <row r="222" spans="2:56">
      <c r="B222" s="42" t="s">
        <v>225</v>
      </c>
      <c r="C222" s="42" t="s">
        <v>226</v>
      </c>
      <c r="D222" s="43" t="s">
        <v>1049</v>
      </c>
      <c r="E222" s="44">
        <v>32</v>
      </c>
      <c r="F222" s="31">
        <v>2862141.0068789697</v>
      </c>
      <c r="G222" s="31">
        <v>181011.11999999997</v>
      </c>
      <c r="H222" s="31">
        <v>183495.37</v>
      </c>
      <c r="I222" s="31">
        <v>0</v>
      </c>
      <c r="J222" s="31">
        <v>219875.19641365614</v>
      </c>
      <c r="K222" s="31">
        <v>317130.34000000003</v>
      </c>
      <c r="L222" s="31">
        <v>0</v>
      </c>
      <c r="M222" s="31">
        <f t="shared" si="16"/>
        <v>3874992.3832926261</v>
      </c>
      <c r="N222" s="31">
        <v>111339.35</v>
      </c>
      <c r="P222" s="42" t="s">
        <v>225</v>
      </c>
      <c r="Q222" s="42" t="s">
        <v>226</v>
      </c>
      <c r="R222" s="43" t="s">
        <v>1050</v>
      </c>
      <c r="S222" s="44">
        <v>32</v>
      </c>
      <c r="T222" s="31">
        <v>3032810.876220651</v>
      </c>
      <c r="U222" s="31">
        <v>189853.16000000006</v>
      </c>
      <c r="V222" s="31">
        <v>191213.37999999998</v>
      </c>
      <c r="W222" s="31">
        <v>0</v>
      </c>
      <c r="X222" s="31">
        <v>228349.29503575154</v>
      </c>
      <c r="Y222" s="31">
        <v>317130.34000000003</v>
      </c>
      <c r="Z222" s="31">
        <v>0</v>
      </c>
      <c r="AA222" s="31">
        <f t="shared" si="17"/>
        <v>4073946.5112564024</v>
      </c>
      <c r="AB222" s="31">
        <v>114589.45999999999</v>
      </c>
      <c r="AD222" s="42" t="s">
        <v>225</v>
      </c>
      <c r="AE222" s="42" t="s">
        <v>226</v>
      </c>
      <c r="AF222" s="43" t="s">
        <v>1275</v>
      </c>
      <c r="AG222" s="44">
        <v>32</v>
      </c>
      <c r="AH222" s="31">
        <v>3093783.2345331255</v>
      </c>
      <c r="AI222" s="31">
        <v>194008.04999999996</v>
      </c>
      <c r="AJ222" s="31">
        <v>195082.02000000002</v>
      </c>
      <c r="AK222" s="31">
        <v>0</v>
      </c>
      <c r="AL222" s="31">
        <v>232794.18208254725</v>
      </c>
      <c r="AM222" s="31">
        <v>317130.34000000003</v>
      </c>
      <c r="AN222" s="31">
        <v>0</v>
      </c>
      <c r="AO222" s="31">
        <f t="shared" si="18"/>
        <v>4149559.9466156727</v>
      </c>
      <c r="AP222" s="31">
        <v>116762.12000000002</v>
      </c>
      <c r="AR222" s="42" t="s">
        <v>225</v>
      </c>
      <c r="AS222" s="42" t="s">
        <v>226</v>
      </c>
      <c r="AT222" s="43" t="s">
        <v>1276</v>
      </c>
      <c r="AU222" s="44">
        <v>32</v>
      </c>
      <c r="AV222" s="31">
        <v>3156978.9504143838</v>
      </c>
      <c r="AW222" s="31">
        <v>197837.83999999994</v>
      </c>
      <c r="AX222" s="31">
        <v>199079.16999999998</v>
      </c>
      <c r="AY222" s="31">
        <v>0</v>
      </c>
      <c r="AZ222" s="31">
        <v>237545.89427227798</v>
      </c>
      <c r="BA222" s="31">
        <v>317130.34000000003</v>
      </c>
      <c r="BB222" s="31">
        <v>0</v>
      </c>
      <c r="BC222" s="31">
        <f t="shared" si="19"/>
        <v>4227777.3546866616</v>
      </c>
      <c r="BD222" s="31">
        <v>119205.16</v>
      </c>
    </row>
    <row r="223" spans="2:56">
      <c r="B223" s="42" t="s">
        <v>515</v>
      </c>
      <c r="C223" s="42" t="s">
        <v>516</v>
      </c>
      <c r="D223" s="43" t="s">
        <v>1049</v>
      </c>
      <c r="E223" s="44">
        <v>32</v>
      </c>
      <c r="F223" s="31">
        <v>7286826.6895217421</v>
      </c>
      <c r="G223" s="31">
        <v>243899.15</v>
      </c>
      <c r="H223" s="31">
        <v>0</v>
      </c>
      <c r="I223" s="31">
        <v>24847.89</v>
      </c>
      <c r="J223" s="31">
        <v>1120394.0227980902</v>
      </c>
      <c r="K223" s="31">
        <v>432587.11366815795</v>
      </c>
      <c r="L223" s="31">
        <v>697270.35079997056</v>
      </c>
      <c r="M223" s="31">
        <f t="shared" si="16"/>
        <v>9805825.2167879604</v>
      </c>
      <c r="N223" s="31">
        <v>0</v>
      </c>
      <c r="P223" s="42" t="s">
        <v>515</v>
      </c>
      <c r="Q223" s="42" t="s">
        <v>516</v>
      </c>
      <c r="R223" s="43" t="s">
        <v>1050</v>
      </c>
      <c r="S223" s="44">
        <v>32</v>
      </c>
      <c r="T223" s="31">
        <v>7599025.9281899221</v>
      </c>
      <c r="U223" s="31">
        <v>254479.34</v>
      </c>
      <c r="V223" s="31">
        <v>0</v>
      </c>
      <c r="W223" s="31">
        <v>26004.449999999997</v>
      </c>
      <c r="X223" s="31">
        <v>1164017.3947381617</v>
      </c>
      <c r="Y223" s="31">
        <v>432937.97364868649</v>
      </c>
      <c r="Z223" s="31">
        <v>725492.98085367703</v>
      </c>
      <c r="AA223" s="31">
        <f t="shared" si="17"/>
        <v>10201958.067430446</v>
      </c>
      <c r="AB223" s="31">
        <v>0</v>
      </c>
      <c r="AD223" s="42" t="s">
        <v>515</v>
      </c>
      <c r="AE223" s="42" t="s">
        <v>516</v>
      </c>
      <c r="AF223" s="43" t="s">
        <v>1275</v>
      </c>
      <c r="AG223" s="44">
        <v>32</v>
      </c>
      <c r="AH223" s="31">
        <v>7750114.3981191283</v>
      </c>
      <c r="AI223" s="31">
        <v>259663.63</v>
      </c>
      <c r="AJ223" s="31">
        <v>0</v>
      </c>
      <c r="AK223" s="31">
        <v>26513.13</v>
      </c>
      <c r="AL223" s="31">
        <v>1186465.0332529829</v>
      </c>
      <c r="AM223" s="31">
        <v>432818.7762808546</v>
      </c>
      <c r="AN223" s="31">
        <v>740241.66196274874</v>
      </c>
      <c r="AO223" s="31">
        <f t="shared" si="18"/>
        <v>10395816.629615715</v>
      </c>
      <c r="AP223" s="31">
        <v>0</v>
      </c>
      <c r="AR223" s="42" t="s">
        <v>515</v>
      </c>
      <c r="AS223" s="42" t="s">
        <v>516</v>
      </c>
      <c r="AT223" s="43" t="s">
        <v>1276</v>
      </c>
      <c r="AU223" s="44">
        <v>32</v>
      </c>
      <c r="AV223" s="31">
        <v>7903703.4398289174</v>
      </c>
      <c r="AW223" s="31">
        <v>264930.55</v>
      </c>
      <c r="AX223" s="31">
        <v>0</v>
      </c>
      <c r="AY223" s="31">
        <v>26997.289999999997</v>
      </c>
      <c r="AZ223" s="31">
        <v>1210387.7985084769</v>
      </c>
      <c r="BA223" s="31">
        <v>432837.74479530024</v>
      </c>
      <c r="BB223" s="31">
        <v>755170.49987038819</v>
      </c>
      <c r="BC223" s="31">
        <f t="shared" si="19"/>
        <v>10594027.323003082</v>
      </c>
      <c r="BD223" s="31">
        <v>0</v>
      </c>
    </row>
    <row r="224" spans="2:56">
      <c r="B224" s="42" t="s">
        <v>345</v>
      </c>
      <c r="C224" s="42" t="s">
        <v>346</v>
      </c>
      <c r="D224" s="43" t="s">
        <v>1049</v>
      </c>
      <c r="E224" s="44">
        <v>32</v>
      </c>
      <c r="F224" s="31">
        <v>4660309.6391896475</v>
      </c>
      <c r="G224" s="31">
        <v>229087.84</v>
      </c>
      <c r="H224" s="31">
        <v>95981.11</v>
      </c>
      <c r="I224" s="31">
        <v>14713.87</v>
      </c>
      <c r="J224" s="31">
        <v>628242.97358206427</v>
      </c>
      <c r="K224" s="31">
        <v>483278.13467647217</v>
      </c>
      <c r="L224" s="31">
        <v>345864.48450775794</v>
      </c>
      <c r="M224" s="31">
        <f t="shared" si="16"/>
        <v>6606662.8919559428</v>
      </c>
      <c r="N224" s="31">
        <v>149184.84</v>
      </c>
      <c r="P224" s="42" t="s">
        <v>345</v>
      </c>
      <c r="Q224" s="42" t="s">
        <v>346</v>
      </c>
      <c r="R224" s="43" t="s">
        <v>1050</v>
      </c>
      <c r="S224" s="44">
        <v>32</v>
      </c>
      <c r="T224" s="31">
        <v>4901304.5005370807</v>
      </c>
      <c r="U224" s="31">
        <v>241070.23000000013</v>
      </c>
      <c r="V224" s="31">
        <v>100071.6</v>
      </c>
      <c r="W224" s="31">
        <v>15278.88</v>
      </c>
      <c r="X224" s="31">
        <v>652723.82339048281</v>
      </c>
      <c r="Y224" s="31">
        <v>483715.99059000396</v>
      </c>
      <c r="Z224" s="31">
        <v>363391.5431912198</v>
      </c>
      <c r="AA224" s="31">
        <f t="shared" si="17"/>
        <v>6911207.5877087871</v>
      </c>
      <c r="AB224" s="31">
        <v>153651.01999999999</v>
      </c>
      <c r="AD224" s="42" t="s">
        <v>345</v>
      </c>
      <c r="AE224" s="42" t="s">
        <v>346</v>
      </c>
      <c r="AF224" s="43" t="s">
        <v>1275</v>
      </c>
      <c r="AG224" s="44">
        <v>32</v>
      </c>
      <c r="AH224" s="31">
        <v>4997889.1688050488</v>
      </c>
      <c r="AI224" s="31">
        <v>246292.28999999998</v>
      </c>
      <c r="AJ224" s="31">
        <v>102132.27999999998</v>
      </c>
      <c r="AK224" s="31">
        <v>15577.740000000002</v>
      </c>
      <c r="AL224" s="31">
        <v>665301.49701811059</v>
      </c>
      <c r="AM224" s="31">
        <v>483567.23816658993</v>
      </c>
      <c r="AN224" s="31">
        <v>370647.16172075609</v>
      </c>
      <c r="AO224" s="31">
        <f t="shared" si="18"/>
        <v>7037867.0757105071</v>
      </c>
      <c r="AP224" s="31">
        <v>156459.70000000001</v>
      </c>
      <c r="AR224" s="42" t="s">
        <v>345</v>
      </c>
      <c r="AS224" s="42" t="s">
        <v>346</v>
      </c>
      <c r="AT224" s="43" t="s">
        <v>1276</v>
      </c>
      <c r="AU224" s="44">
        <v>32</v>
      </c>
      <c r="AV224" s="31">
        <v>5096530.8473939896</v>
      </c>
      <c r="AW224" s="31">
        <v>251170.62999999995</v>
      </c>
      <c r="AX224" s="31">
        <v>104312.47</v>
      </c>
      <c r="AY224" s="31">
        <v>15967.28</v>
      </c>
      <c r="AZ224" s="31">
        <v>678717.49561625952</v>
      </c>
      <c r="BA224" s="31">
        <v>483590.90993504989</v>
      </c>
      <c r="BB224" s="31">
        <v>378098.26261782798</v>
      </c>
      <c r="BC224" s="31">
        <f t="shared" si="19"/>
        <v>7168059.2055631271</v>
      </c>
      <c r="BD224" s="31">
        <v>159671.31</v>
      </c>
    </row>
    <row r="225" spans="2:56">
      <c r="B225" s="42" t="s">
        <v>299</v>
      </c>
      <c r="C225" s="42" t="s">
        <v>300</v>
      </c>
      <c r="D225" s="43" t="s">
        <v>1049</v>
      </c>
      <c r="E225" s="44">
        <v>32</v>
      </c>
      <c r="F225" s="31">
        <v>5979110.5931076743</v>
      </c>
      <c r="G225" s="31">
        <v>207260.68999999997</v>
      </c>
      <c r="H225" s="31">
        <v>11303.359999999999</v>
      </c>
      <c r="I225" s="31">
        <v>0</v>
      </c>
      <c r="J225" s="31">
        <v>696276.00938230043</v>
      </c>
      <c r="K225" s="31">
        <v>794958.99997381598</v>
      </c>
      <c r="L225" s="31">
        <v>535286.93798250938</v>
      </c>
      <c r="M225" s="31">
        <f t="shared" si="16"/>
        <v>8224196.5904463008</v>
      </c>
      <c r="N225" s="31">
        <v>0</v>
      </c>
      <c r="P225" s="42" t="s">
        <v>299</v>
      </c>
      <c r="Q225" s="42" t="s">
        <v>300</v>
      </c>
      <c r="R225" s="43" t="s">
        <v>1050</v>
      </c>
      <c r="S225" s="44">
        <v>32</v>
      </c>
      <c r="T225" s="31">
        <v>6233665.6525014751</v>
      </c>
      <c r="U225" s="31">
        <v>216332.75000000003</v>
      </c>
      <c r="V225" s="31">
        <v>11838.62</v>
      </c>
      <c r="W225" s="31">
        <v>0</v>
      </c>
      <c r="X225" s="31">
        <v>723384.25320870942</v>
      </c>
      <c r="Y225" s="31">
        <v>795764.8319458504</v>
      </c>
      <c r="Z225" s="31">
        <v>557105.95389654662</v>
      </c>
      <c r="AA225" s="31">
        <f t="shared" si="17"/>
        <v>8538092.0615525804</v>
      </c>
      <c r="AB225" s="31">
        <v>0</v>
      </c>
      <c r="AD225" s="42" t="s">
        <v>299</v>
      </c>
      <c r="AE225" s="42" t="s">
        <v>300</v>
      </c>
      <c r="AF225" s="43" t="s">
        <v>1275</v>
      </c>
      <c r="AG225" s="44">
        <v>32</v>
      </c>
      <c r="AH225" s="31">
        <v>6357117.899826156</v>
      </c>
      <c r="AI225" s="31">
        <v>220667.65</v>
      </c>
      <c r="AJ225" s="31">
        <v>12070.19</v>
      </c>
      <c r="AK225" s="31">
        <v>0</v>
      </c>
      <c r="AL225" s="31">
        <v>737334.46262116125</v>
      </c>
      <c r="AM225" s="31">
        <v>795491.06732374511</v>
      </c>
      <c r="AN225" s="31">
        <v>568446.58075560746</v>
      </c>
      <c r="AO225" s="31">
        <f t="shared" si="18"/>
        <v>8691127.85052667</v>
      </c>
      <c r="AP225" s="31">
        <v>0</v>
      </c>
      <c r="AR225" s="42" t="s">
        <v>299</v>
      </c>
      <c r="AS225" s="42" t="s">
        <v>300</v>
      </c>
      <c r="AT225" s="43" t="s">
        <v>1276</v>
      </c>
      <c r="AU225" s="44">
        <v>32</v>
      </c>
      <c r="AV225" s="31">
        <v>6482977.0360023677</v>
      </c>
      <c r="AW225" s="31">
        <v>225117.44</v>
      </c>
      <c r="AX225" s="31">
        <v>12290.6</v>
      </c>
      <c r="AY225" s="31">
        <v>0</v>
      </c>
      <c r="AZ225" s="31">
        <v>752204.83795888734</v>
      </c>
      <c r="BA225" s="31">
        <v>795534.6329517751</v>
      </c>
      <c r="BB225" s="31">
        <v>579714.3604943899</v>
      </c>
      <c r="BC225" s="31">
        <f t="shared" si="19"/>
        <v>8847838.9074074198</v>
      </c>
      <c r="BD225" s="31">
        <v>0</v>
      </c>
    </row>
    <row r="226" spans="2:56">
      <c r="B226" s="42" t="s">
        <v>195</v>
      </c>
      <c r="C226" s="42" t="s">
        <v>196</v>
      </c>
      <c r="D226" s="43" t="s">
        <v>1049</v>
      </c>
      <c r="E226" s="44">
        <v>32</v>
      </c>
      <c r="F226" s="31">
        <v>131378298.52612059</v>
      </c>
      <c r="G226" s="31">
        <v>5706310.7700000005</v>
      </c>
      <c r="H226" s="31">
        <v>5366872.5500000007</v>
      </c>
      <c r="I226" s="31">
        <v>481040.16</v>
      </c>
      <c r="J226" s="31">
        <v>21486066.092669141</v>
      </c>
      <c r="K226" s="31">
        <v>7444110.5770329917</v>
      </c>
      <c r="L226" s="31">
        <v>14457247.405506978</v>
      </c>
      <c r="M226" s="31">
        <f t="shared" si="16"/>
        <v>188760829.71132967</v>
      </c>
      <c r="N226" s="31">
        <v>2440883.63</v>
      </c>
      <c r="P226" s="42" t="s">
        <v>195</v>
      </c>
      <c r="Q226" s="42" t="s">
        <v>196</v>
      </c>
      <c r="R226" s="43" t="s">
        <v>1050</v>
      </c>
      <c r="S226" s="44">
        <v>32</v>
      </c>
      <c r="T226" s="31">
        <v>138434670.39970285</v>
      </c>
      <c r="U226" s="31">
        <v>5975362.1799999988</v>
      </c>
      <c r="V226" s="31">
        <v>5592493.8899999997</v>
      </c>
      <c r="W226" s="31">
        <v>501276.48000000004</v>
      </c>
      <c r="X226" s="31">
        <v>22307627.535881154</v>
      </c>
      <c r="Y226" s="31">
        <v>7451049.3712309478</v>
      </c>
      <c r="Z226" s="31">
        <v>15181235.718704581</v>
      </c>
      <c r="AA226" s="31">
        <f t="shared" si="17"/>
        <v>197957970.10551953</v>
      </c>
      <c r="AB226" s="31">
        <v>2514254.5300000003</v>
      </c>
      <c r="AD226" s="42" t="s">
        <v>195</v>
      </c>
      <c r="AE226" s="42" t="s">
        <v>196</v>
      </c>
      <c r="AF226" s="43" t="s">
        <v>1275</v>
      </c>
      <c r="AG226" s="44">
        <v>32</v>
      </c>
      <c r="AH226" s="31">
        <v>141205758.32715204</v>
      </c>
      <c r="AI226" s="31">
        <v>6101298.8500000006</v>
      </c>
      <c r="AJ226" s="31">
        <v>5706447.2199999997</v>
      </c>
      <c r="AK226" s="31">
        <v>511463.49000000005</v>
      </c>
      <c r="AL226" s="31">
        <v>22741067.190379161</v>
      </c>
      <c r="AM226" s="31">
        <v>7448427.0265926942</v>
      </c>
      <c r="AN226" s="31">
        <v>15486228.841888439</v>
      </c>
      <c r="AO226" s="31">
        <f t="shared" si="18"/>
        <v>201761916.75601235</v>
      </c>
      <c r="AP226" s="31">
        <v>2561225.8099999996</v>
      </c>
      <c r="AR226" s="42" t="s">
        <v>195</v>
      </c>
      <c r="AS226" s="42" t="s">
        <v>196</v>
      </c>
      <c r="AT226" s="43" t="s">
        <v>1276</v>
      </c>
      <c r="AU226" s="44">
        <v>32</v>
      </c>
      <c r="AV226" s="31">
        <v>144087698.36543155</v>
      </c>
      <c r="AW226" s="31">
        <v>6225027.5300000003</v>
      </c>
      <c r="AX226" s="31">
        <v>5822548.8500000006</v>
      </c>
      <c r="AY226" s="31">
        <v>521959.55999999994</v>
      </c>
      <c r="AZ226" s="31">
        <v>23206042.328585565</v>
      </c>
      <c r="BA226" s="31">
        <v>7448830.6247526901</v>
      </c>
      <c r="BB226" s="31">
        <v>15803389.83044523</v>
      </c>
      <c r="BC226" s="31">
        <f t="shared" si="19"/>
        <v>205729487.39921504</v>
      </c>
      <c r="BD226" s="31">
        <v>2613990.3099999996</v>
      </c>
    </row>
    <row r="227" spans="2:56">
      <c r="B227" s="42" t="s">
        <v>109</v>
      </c>
      <c r="C227" s="42" t="s">
        <v>110</v>
      </c>
      <c r="D227" s="43" t="s">
        <v>1049</v>
      </c>
      <c r="E227" s="44">
        <v>32</v>
      </c>
      <c r="F227" s="31">
        <v>3762542.6910178643</v>
      </c>
      <c r="G227" s="31">
        <v>167968.81</v>
      </c>
      <c r="H227" s="31">
        <v>0</v>
      </c>
      <c r="I227" s="31">
        <v>10592.62</v>
      </c>
      <c r="J227" s="31">
        <v>456602.94927393354</v>
      </c>
      <c r="K227" s="31">
        <v>417425.80251662078</v>
      </c>
      <c r="L227" s="31">
        <v>109681.7823202669</v>
      </c>
      <c r="M227" s="31">
        <f t="shared" si="16"/>
        <v>5013288.3351286845</v>
      </c>
      <c r="N227" s="31">
        <v>88473.68</v>
      </c>
      <c r="P227" s="42" t="s">
        <v>109</v>
      </c>
      <c r="Q227" s="42" t="s">
        <v>110</v>
      </c>
      <c r="R227" s="43" t="s">
        <v>1050</v>
      </c>
      <c r="S227" s="44">
        <v>32</v>
      </c>
      <c r="T227" s="31">
        <v>3945266.5442576492</v>
      </c>
      <c r="U227" s="31">
        <v>176382.55</v>
      </c>
      <c r="V227" s="31">
        <v>0</v>
      </c>
      <c r="W227" s="31">
        <v>10995.579999999998</v>
      </c>
      <c r="X227" s="31">
        <v>474345.58982287673</v>
      </c>
      <c r="Y227" s="31">
        <v>417838.81707986328</v>
      </c>
      <c r="Z227" s="31">
        <v>115110.46386810085</v>
      </c>
      <c r="AA227" s="31">
        <f t="shared" si="17"/>
        <v>5231011.5950284908</v>
      </c>
      <c r="AB227" s="31">
        <v>91072.05</v>
      </c>
      <c r="AD227" s="42" t="s">
        <v>109</v>
      </c>
      <c r="AE227" s="42" t="s">
        <v>110</v>
      </c>
      <c r="AF227" s="43" t="s">
        <v>1275</v>
      </c>
      <c r="AG227" s="44">
        <v>32</v>
      </c>
      <c r="AH227" s="31">
        <v>4022838.1462557605</v>
      </c>
      <c r="AI227" s="31">
        <v>180114.06999999998</v>
      </c>
      <c r="AJ227" s="31">
        <v>0</v>
      </c>
      <c r="AK227" s="31">
        <v>11210.81</v>
      </c>
      <c r="AL227" s="31">
        <v>483512.06933935621</v>
      </c>
      <c r="AM227" s="31">
        <v>417698.50398761325</v>
      </c>
      <c r="AN227" s="31">
        <v>117451.75889915728</v>
      </c>
      <c r="AO227" s="31">
        <f t="shared" si="18"/>
        <v>5325614.2584818872</v>
      </c>
      <c r="AP227" s="31">
        <v>92788.9</v>
      </c>
      <c r="AR227" s="42" t="s">
        <v>109</v>
      </c>
      <c r="AS227" s="42" t="s">
        <v>110</v>
      </c>
      <c r="AT227" s="43" t="s">
        <v>1276</v>
      </c>
      <c r="AU227" s="44">
        <v>32</v>
      </c>
      <c r="AV227" s="31">
        <v>4101878.0961111314</v>
      </c>
      <c r="AW227" s="31">
        <v>183723.13000000006</v>
      </c>
      <c r="AX227" s="31">
        <v>0</v>
      </c>
      <c r="AY227" s="31">
        <v>11525.25</v>
      </c>
      <c r="AZ227" s="31">
        <v>493289.26509613753</v>
      </c>
      <c r="BA227" s="31">
        <v>417720.83276018326</v>
      </c>
      <c r="BB227" s="31">
        <v>119849.50079900908</v>
      </c>
      <c r="BC227" s="31">
        <f t="shared" si="19"/>
        <v>5422717.3247664608</v>
      </c>
      <c r="BD227" s="31">
        <v>94731.250000000015</v>
      </c>
    </row>
    <row r="228" spans="2:56">
      <c r="B228" s="42" t="s">
        <v>27</v>
      </c>
      <c r="C228" s="42" t="s">
        <v>28</v>
      </c>
      <c r="D228" s="43" t="s">
        <v>1049</v>
      </c>
      <c r="E228" s="44">
        <v>32</v>
      </c>
      <c r="F228" s="31">
        <v>112522771.54386766</v>
      </c>
      <c r="G228" s="31">
        <v>3369868.1600000006</v>
      </c>
      <c r="H228" s="31">
        <v>1280800.1000000001</v>
      </c>
      <c r="I228" s="31">
        <v>389808.72000000003</v>
      </c>
      <c r="J228" s="31">
        <v>15588378.244572576</v>
      </c>
      <c r="K228" s="31">
        <v>4739627.5722763035</v>
      </c>
      <c r="L228" s="31">
        <v>6798673.4565004157</v>
      </c>
      <c r="M228" s="31">
        <f t="shared" si="16"/>
        <v>145424652.67721695</v>
      </c>
      <c r="N228" s="31">
        <v>734724.88</v>
      </c>
      <c r="P228" s="42" t="s">
        <v>27</v>
      </c>
      <c r="Q228" s="42" t="s">
        <v>28</v>
      </c>
      <c r="R228" s="43" t="s">
        <v>1050</v>
      </c>
      <c r="S228" s="44">
        <v>32</v>
      </c>
      <c r="T228" s="31">
        <v>116656785.03218879</v>
      </c>
      <c r="U228" s="31">
        <v>3495423.79</v>
      </c>
      <c r="V228" s="31">
        <v>1324844.52</v>
      </c>
      <c r="W228" s="31">
        <v>403195.49000000005</v>
      </c>
      <c r="X228" s="31">
        <v>16080185.818707088</v>
      </c>
      <c r="Y228" s="31">
        <v>4743616.2839730345</v>
      </c>
      <c r="Z228" s="31">
        <v>7025280.025274625</v>
      </c>
      <c r="AA228" s="31">
        <f t="shared" si="17"/>
        <v>150479452.89014354</v>
      </c>
      <c r="AB228" s="31">
        <v>750121.92999999993</v>
      </c>
      <c r="AD228" s="42" t="s">
        <v>27</v>
      </c>
      <c r="AE228" s="42" t="s">
        <v>28</v>
      </c>
      <c r="AF228" s="43" t="s">
        <v>1275</v>
      </c>
      <c r="AG228" s="44">
        <v>32</v>
      </c>
      <c r="AH228" s="31">
        <v>118982607.82476519</v>
      </c>
      <c r="AI228" s="31">
        <v>3567904.9299999997</v>
      </c>
      <c r="AJ228" s="31">
        <v>1351830.3800000001</v>
      </c>
      <c r="AK228" s="31">
        <v>411403.63</v>
      </c>
      <c r="AL228" s="31">
        <v>16390726.503757162</v>
      </c>
      <c r="AM228" s="31">
        <v>4742231.0607958883</v>
      </c>
      <c r="AN228" s="31">
        <v>7166346.4676867574</v>
      </c>
      <c r="AO228" s="31">
        <f t="shared" si="18"/>
        <v>153377058.74700499</v>
      </c>
      <c r="AP228" s="31">
        <v>764007.95</v>
      </c>
      <c r="AR228" s="42" t="s">
        <v>27</v>
      </c>
      <c r="AS228" s="42" t="s">
        <v>28</v>
      </c>
      <c r="AT228" s="43" t="s">
        <v>1276</v>
      </c>
      <c r="AU228" s="44">
        <v>32</v>
      </c>
      <c r="AV228" s="31">
        <v>121386362.4192185</v>
      </c>
      <c r="AW228" s="31">
        <v>3639359.9700000007</v>
      </c>
      <c r="AX228" s="31">
        <v>1378871.1400000001</v>
      </c>
      <c r="AY228" s="31">
        <v>419698.61999999994</v>
      </c>
      <c r="AZ228" s="31">
        <v>16722215.979172092</v>
      </c>
      <c r="BA228" s="31">
        <v>4742450.115196879</v>
      </c>
      <c r="BB228" s="31">
        <v>7311198.2861926565</v>
      </c>
      <c r="BC228" s="31">
        <f t="shared" si="19"/>
        <v>156379652.70978013</v>
      </c>
      <c r="BD228" s="31">
        <v>779496.17999999993</v>
      </c>
    </row>
    <row r="229" spans="2:56">
      <c r="B229" s="42" t="s">
        <v>71</v>
      </c>
      <c r="C229" s="42" t="s">
        <v>72</v>
      </c>
      <c r="D229" s="43" t="s">
        <v>1049</v>
      </c>
      <c r="E229" s="44">
        <v>32</v>
      </c>
      <c r="F229" s="31">
        <v>31309352.585060846</v>
      </c>
      <c r="G229" s="31">
        <v>583702.18999999994</v>
      </c>
      <c r="H229" s="31">
        <v>189300.50000000003</v>
      </c>
      <c r="I229" s="31">
        <v>109989.23999999999</v>
      </c>
      <c r="J229" s="31">
        <v>3905861.3427862599</v>
      </c>
      <c r="K229" s="31">
        <v>0</v>
      </c>
      <c r="L229" s="31">
        <v>2463665.3174152719</v>
      </c>
      <c r="M229" s="31">
        <f t="shared" si="16"/>
        <v>38561871.175262384</v>
      </c>
      <c r="N229" s="31">
        <v>0</v>
      </c>
      <c r="P229" s="42" t="s">
        <v>71</v>
      </c>
      <c r="Q229" s="42" t="s">
        <v>72</v>
      </c>
      <c r="R229" s="43" t="s">
        <v>1050</v>
      </c>
      <c r="S229" s="44">
        <v>32</v>
      </c>
      <c r="T229" s="31">
        <v>32661966.413498241</v>
      </c>
      <c r="U229" s="31">
        <v>608789.17999999993</v>
      </c>
      <c r="V229" s="31">
        <v>197427.88</v>
      </c>
      <c r="W229" s="31">
        <v>114687.08</v>
      </c>
      <c r="X229" s="31">
        <v>4057003.2677350189</v>
      </c>
      <c r="Y229" s="31">
        <v>0</v>
      </c>
      <c r="Z229" s="31">
        <v>2563312.5589617165</v>
      </c>
      <c r="AA229" s="31">
        <f t="shared" si="17"/>
        <v>40203186.380194977</v>
      </c>
      <c r="AB229" s="31">
        <v>0</v>
      </c>
      <c r="AD229" s="42" t="s">
        <v>71</v>
      </c>
      <c r="AE229" s="42" t="s">
        <v>72</v>
      </c>
      <c r="AF229" s="43" t="s">
        <v>1275</v>
      </c>
      <c r="AG229" s="44">
        <v>32</v>
      </c>
      <c r="AH229" s="31">
        <v>33315040.288414448</v>
      </c>
      <c r="AI229" s="31">
        <v>621142.49000000011</v>
      </c>
      <c r="AJ229" s="31">
        <v>201510.31999999998</v>
      </c>
      <c r="AK229" s="31">
        <v>117041.01999999999</v>
      </c>
      <c r="AL229" s="31">
        <v>4135440.6179392487</v>
      </c>
      <c r="AM229" s="31">
        <v>0</v>
      </c>
      <c r="AN229" s="31">
        <v>2614566.3915850455</v>
      </c>
      <c r="AO229" s="31">
        <f t="shared" si="18"/>
        <v>41004741.127938747</v>
      </c>
      <c r="AP229" s="31">
        <v>0</v>
      </c>
      <c r="AR229" s="42" t="s">
        <v>71</v>
      </c>
      <c r="AS229" s="42" t="s">
        <v>72</v>
      </c>
      <c r="AT229" s="43" t="s">
        <v>1276</v>
      </c>
      <c r="AU229" s="44">
        <v>32</v>
      </c>
      <c r="AV229" s="31">
        <v>33989028.80542098</v>
      </c>
      <c r="AW229" s="31">
        <v>633672.46</v>
      </c>
      <c r="AX229" s="31">
        <v>205548.27000000002</v>
      </c>
      <c r="AY229" s="31">
        <v>119414.8</v>
      </c>
      <c r="AZ229" s="31">
        <v>4219257.1500380253</v>
      </c>
      <c r="BA229" s="31">
        <v>0</v>
      </c>
      <c r="BB229" s="31">
        <v>2667847.5086946664</v>
      </c>
      <c r="BC229" s="31">
        <f t="shared" si="19"/>
        <v>41834768.994153671</v>
      </c>
      <c r="BD229" s="31">
        <v>0</v>
      </c>
    </row>
    <row r="230" spans="2:56">
      <c r="B230" s="42" t="s">
        <v>11</v>
      </c>
      <c r="C230" s="42" t="s">
        <v>12</v>
      </c>
      <c r="D230" s="43" t="s">
        <v>1049</v>
      </c>
      <c r="E230" s="44">
        <v>32</v>
      </c>
      <c r="F230" s="31">
        <v>3619450.6501497226</v>
      </c>
      <c r="G230" s="31">
        <v>105926.27999999997</v>
      </c>
      <c r="H230" s="31">
        <v>0</v>
      </c>
      <c r="I230" s="31">
        <v>0</v>
      </c>
      <c r="J230" s="31">
        <v>275232.47111144627</v>
      </c>
      <c r="K230" s="31">
        <v>0</v>
      </c>
      <c r="L230" s="31">
        <v>279745.66889935784</v>
      </c>
      <c r="M230" s="31">
        <f t="shared" si="16"/>
        <v>4330392.6401605271</v>
      </c>
      <c r="N230" s="31">
        <v>50037.570000000014</v>
      </c>
      <c r="P230" s="42" t="s">
        <v>11</v>
      </c>
      <c r="Q230" s="42" t="s">
        <v>12</v>
      </c>
      <c r="R230" s="43" t="s">
        <v>1050</v>
      </c>
      <c r="S230" s="44">
        <v>32</v>
      </c>
      <c r="T230" s="31">
        <v>3768308.9679360231</v>
      </c>
      <c r="U230" s="31">
        <v>111150.01</v>
      </c>
      <c r="V230" s="31">
        <v>0</v>
      </c>
      <c r="W230" s="31">
        <v>0</v>
      </c>
      <c r="X230" s="31">
        <v>285923.1612017742</v>
      </c>
      <c r="Y230" s="31">
        <v>0</v>
      </c>
      <c r="Z230" s="31">
        <v>291098.22165183141</v>
      </c>
      <c r="AA230" s="31">
        <f t="shared" si="17"/>
        <v>4507960.3507896289</v>
      </c>
      <c r="AB230" s="31">
        <v>51479.990000000005</v>
      </c>
      <c r="AD230" s="42" t="s">
        <v>11</v>
      </c>
      <c r="AE230" s="42" t="s">
        <v>12</v>
      </c>
      <c r="AF230" s="43" t="s">
        <v>1275</v>
      </c>
      <c r="AG230" s="44">
        <v>32</v>
      </c>
      <c r="AH230" s="31">
        <v>3842111.3240037211</v>
      </c>
      <c r="AI230" s="31">
        <v>113530.45000000001</v>
      </c>
      <c r="AJ230" s="31">
        <v>0</v>
      </c>
      <c r="AK230" s="31">
        <v>0</v>
      </c>
      <c r="AL230" s="31">
        <v>291445.84918078408</v>
      </c>
      <c r="AM230" s="31">
        <v>0</v>
      </c>
      <c r="AN230" s="31">
        <v>296854.33113750914</v>
      </c>
      <c r="AO230" s="31">
        <f t="shared" si="18"/>
        <v>4596438.1543220151</v>
      </c>
      <c r="AP230" s="31">
        <v>52496.200000000004</v>
      </c>
      <c r="AR230" s="42" t="s">
        <v>11</v>
      </c>
      <c r="AS230" s="42" t="s">
        <v>12</v>
      </c>
      <c r="AT230" s="43" t="s">
        <v>1276</v>
      </c>
      <c r="AU230" s="44">
        <v>32</v>
      </c>
      <c r="AV230" s="31">
        <v>3917404.3083897047</v>
      </c>
      <c r="AW230" s="31">
        <v>115816.86</v>
      </c>
      <c r="AX230" s="31">
        <v>0</v>
      </c>
      <c r="AY230" s="31">
        <v>0</v>
      </c>
      <c r="AZ230" s="31">
        <v>297343.22680786892</v>
      </c>
      <c r="BA230" s="31">
        <v>0</v>
      </c>
      <c r="BB230" s="31">
        <v>302843.02176670427</v>
      </c>
      <c r="BC230" s="31">
        <f t="shared" si="19"/>
        <v>4686881.276964278</v>
      </c>
      <c r="BD230" s="31">
        <v>53473.86</v>
      </c>
    </row>
    <row r="231" spans="2:56">
      <c r="B231" s="42" t="s">
        <v>477</v>
      </c>
      <c r="C231" s="42" t="s">
        <v>478</v>
      </c>
      <c r="D231" s="43" t="s">
        <v>1049</v>
      </c>
      <c r="E231" s="44">
        <v>32</v>
      </c>
      <c r="F231" s="31">
        <v>11099867.573316412</v>
      </c>
      <c r="G231" s="31">
        <v>454667.77</v>
      </c>
      <c r="H231" s="31">
        <v>25140.239999999998</v>
      </c>
      <c r="I231" s="31">
        <v>40438.74</v>
      </c>
      <c r="J231" s="31">
        <v>1786948.7830444805</v>
      </c>
      <c r="K231" s="31">
        <v>1496343.7500409356</v>
      </c>
      <c r="L231" s="31">
        <v>1503751.4047864215</v>
      </c>
      <c r="M231" s="31">
        <f t="shared" si="16"/>
        <v>16515222.271188248</v>
      </c>
      <c r="N231" s="31">
        <v>108064.01000000001</v>
      </c>
      <c r="P231" s="42" t="s">
        <v>477</v>
      </c>
      <c r="Q231" s="42" t="s">
        <v>478</v>
      </c>
      <c r="R231" s="43" t="s">
        <v>1050</v>
      </c>
      <c r="S231" s="44">
        <v>32</v>
      </c>
      <c r="T231" s="31">
        <v>11691192.818746421</v>
      </c>
      <c r="U231" s="31">
        <v>475954.63000000006</v>
      </c>
      <c r="V231" s="31">
        <v>26206.82</v>
      </c>
      <c r="W231" s="31">
        <v>42193.99</v>
      </c>
      <c r="X231" s="31">
        <v>1856572.60044463</v>
      </c>
      <c r="Y231" s="31">
        <v>1497815.4796086145</v>
      </c>
      <c r="Z231" s="31">
        <v>1580039.175610207</v>
      </c>
      <c r="AA231" s="31">
        <f t="shared" si="17"/>
        <v>17281195.304409873</v>
      </c>
      <c r="AB231" s="31">
        <v>111219.79</v>
      </c>
      <c r="AD231" s="42" t="s">
        <v>477</v>
      </c>
      <c r="AE231" s="42" t="s">
        <v>478</v>
      </c>
      <c r="AF231" s="43" t="s">
        <v>1275</v>
      </c>
      <c r="AG231" s="44">
        <v>32</v>
      </c>
      <c r="AH231" s="31">
        <v>11923941.58504599</v>
      </c>
      <c r="AI231" s="31">
        <v>485792.05999999994</v>
      </c>
      <c r="AJ231" s="31">
        <v>26719.48</v>
      </c>
      <c r="AK231" s="31">
        <v>43019.37000000001</v>
      </c>
      <c r="AL231" s="31">
        <v>1892363.3557601345</v>
      </c>
      <c r="AM231" s="31">
        <v>1497315.4901530959</v>
      </c>
      <c r="AN231" s="31">
        <v>1611916.5145766053</v>
      </c>
      <c r="AO231" s="31">
        <f t="shared" si="18"/>
        <v>17594348.755535826</v>
      </c>
      <c r="AP231" s="31">
        <v>113280.90000000001</v>
      </c>
      <c r="AR231" s="42" t="s">
        <v>477</v>
      </c>
      <c r="AS231" s="42" t="s">
        <v>478</v>
      </c>
      <c r="AT231" s="43" t="s">
        <v>1276</v>
      </c>
      <c r="AU231" s="44">
        <v>32</v>
      </c>
      <c r="AV231" s="31">
        <v>12164489.324258858</v>
      </c>
      <c r="AW231" s="31">
        <v>495474.69000000006</v>
      </c>
      <c r="AX231" s="31">
        <v>27417.48</v>
      </c>
      <c r="AY231" s="31">
        <v>43909.979999999996</v>
      </c>
      <c r="AZ231" s="31">
        <v>1930547.1421947705</v>
      </c>
      <c r="BA231" s="31">
        <v>1497395.0561484045</v>
      </c>
      <c r="BB231" s="31">
        <v>1644375.1841288139</v>
      </c>
      <c r="BC231" s="31">
        <f t="shared" si="19"/>
        <v>17919197.22673085</v>
      </c>
      <c r="BD231" s="31">
        <v>115588.37000000001</v>
      </c>
    </row>
    <row r="232" spans="2:56">
      <c r="B232" s="42" t="s">
        <v>203</v>
      </c>
      <c r="C232" s="42" t="s">
        <v>204</v>
      </c>
      <c r="D232" s="43" t="s">
        <v>1049</v>
      </c>
      <c r="E232" s="44">
        <v>32</v>
      </c>
      <c r="F232" s="31">
        <v>27439065.117330894</v>
      </c>
      <c r="G232" s="31">
        <v>283316.83</v>
      </c>
      <c r="H232" s="31">
        <v>352311.12</v>
      </c>
      <c r="I232" s="31">
        <v>97901.83</v>
      </c>
      <c r="J232" s="31">
        <v>3313213.1274896837</v>
      </c>
      <c r="K232" s="31">
        <v>2290548.1058273027</v>
      </c>
      <c r="L232" s="31">
        <v>1910848.1593277296</v>
      </c>
      <c r="M232" s="31">
        <f t="shared" si="16"/>
        <v>35687204.289975606</v>
      </c>
      <c r="N232" s="31">
        <v>0</v>
      </c>
      <c r="P232" s="42" t="s">
        <v>203</v>
      </c>
      <c r="Q232" s="42" t="s">
        <v>204</v>
      </c>
      <c r="R232" s="43" t="s">
        <v>1050</v>
      </c>
      <c r="S232" s="44">
        <v>32</v>
      </c>
      <c r="T232" s="31">
        <v>28602806.411742318</v>
      </c>
      <c r="U232" s="31">
        <v>295192.25000000006</v>
      </c>
      <c r="V232" s="31">
        <v>367204.65</v>
      </c>
      <c r="W232" s="31">
        <v>101988.28</v>
      </c>
      <c r="X232" s="31">
        <v>3439944.1685353522</v>
      </c>
      <c r="Y232" s="31">
        <v>2292511.4928159867</v>
      </c>
      <c r="Z232" s="31">
        <v>1987001.0282800556</v>
      </c>
      <c r="AA232" s="31">
        <f t="shared" si="17"/>
        <v>37086648.281373717</v>
      </c>
      <c r="AB232" s="31">
        <v>0</v>
      </c>
      <c r="AD232" s="42" t="s">
        <v>203</v>
      </c>
      <c r="AE232" s="42" t="s">
        <v>204</v>
      </c>
      <c r="AF232" s="43" t="s">
        <v>1275</v>
      </c>
      <c r="AG232" s="44">
        <v>32</v>
      </c>
      <c r="AH232" s="31">
        <v>29175048.591377348</v>
      </c>
      <c r="AI232" s="31">
        <v>301219.03999999998</v>
      </c>
      <c r="AJ232" s="31">
        <v>374524.03</v>
      </c>
      <c r="AK232" s="31">
        <v>104107.39999999998</v>
      </c>
      <c r="AL232" s="31">
        <v>3506785.6394566596</v>
      </c>
      <c r="AM232" s="31">
        <v>2291769.4795503234</v>
      </c>
      <c r="AN232" s="31">
        <v>2026657.6282116282</v>
      </c>
      <c r="AO232" s="31">
        <f t="shared" si="18"/>
        <v>37780111.808595955</v>
      </c>
      <c r="AP232" s="31">
        <v>0</v>
      </c>
      <c r="AR232" s="42" t="s">
        <v>203</v>
      </c>
      <c r="AS232" s="42" t="s">
        <v>204</v>
      </c>
      <c r="AT232" s="43" t="s">
        <v>1276</v>
      </c>
      <c r="AU232" s="44">
        <v>32</v>
      </c>
      <c r="AV232" s="31">
        <v>29770486.047880873</v>
      </c>
      <c r="AW232" s="31">
        <v>307435.64</v>
      </c>
      <c r="AX232" s="31">
        <v>382227.12999999995</v>
      </c>
      <c r="AY232" s="31">
        <v>106167.44999999998</v>
      </c>
      <c r="AZ232" s="31">
        <v>3578484.3399982797</v>
      </c>
      <c r="BA232" s="31">
        <v>2291883.6808587043</v>
      </c>
      <c r="BB232" s="31">
        <v>2068182.5485611898</v>
      </c>
      <c r="BC232" s="31">
        <f t="shared" si="19"/>
        <v>38504866.837299049</v>
      </c>
      <c r="BD232" s="31">
        <v>0</v>
      </c>
    </row>
    <row r="233" spans="2:56">
      <c r="B233" s="42" t="s">
        <v>519</v>
      </c>
      <c r="C233" s="42" t="s">
        <v>520</v>
      </c>
      <c r="D233" s="43" t="s">
        <v>1049</v>
      </c>
      <c r="E233" s="44">
        <v>32</v>
      </c>
      <c r="F233" s="31">
        <v>17247549.754493684</v>
      </c>
      <c r="G233" s="31">
        <v>667775.05000000028</v>
      </c>
      <c r="H233" s="31">
        <v>319222.38999999996</v>
      </c>
      <c r="I233" s="31">
        <v>58465.639999999992</v>
      </c>
      <c r="J233" s="31">
        <v>2577800.8213884346</v>
      </c>
      <c r="K233" s="31">
        <v>1885964.6342048864</v>
      </c>
      <c r="L233" s="31">
        <v>971383.01909723331</v>
      </c>
      <c r="M233" s="31">
        <f t="shared" si="16"/>
        <v>24144631.54918424</v>
      </c>
      <c r="N233" s="31">
        <v>416470.24000000005</v>
      </c>
      <c r="P233" s="42" t="s">
        <v>519</v>
      </c>
      <c r="Q233" s="42" t="s">
        <v>520</v>
      </c>
      <c r="R233" s="43" t="s">
        <v>1050</v>
      </c>
      <c r="S233" s="44">
        <v>32</v>
      </c>
      <c r="T233" s="31">
        <v>18187899.33176041</v>
      </c>
      <c r="U233" s="31">
        <v>702641.34999999986</v>
      </c>
      <c r="V233" s="31">
        <v>333099.79999999993</v>
      </c>
      <c r="W233" s="31">
        <v>61014.340000000004</v>
      </c>
      <c r="X233" s="31">
        <v>2678154.6590705956</v>
      </c>
      <c r="Y233" s="31">
        <v>1887947.6689674489</v>
      </c>
      <c r="Z233" s="31">
        <v>1020898.7868524315</v>
      </c>
      <c r="AA233" s="31">
        <f t="shared" si="17"/>
        <v>25300461.136650886</v>
      </c>
      <c r="AB233" s="31">
        <v>428805.19999999995</v>
      </c>
      <c r="AD233" s="42" t="s">
        <v>519</v>
      </c>
      <c r="AE233" s="42" t="s">
        <v>520</v>
      </c>
      <c r="AF233" s="43" t="s">
        <v>1275</v>
      </c>
      <c r="AG233" s="44">
        <v>32</v>
      </c>
      <c r="AH233" s="31">
        <v>18551616.206249919</v>
      </c>
      <c r="AI233" s="31">
        <v>717739.56999999983</v>
      </c>
      <c r="AJ233" s="31">
        <v>339821.99</v>
      </c>
      <c r="AK233" s="31">
        <v>62207.850000000006</v>
      </c>
      <c r="AL233" s="31">
        <v>2729788.7741602915</v>
      </c>
      <c r="AM233" s="31">
        <v>1887273.9742255735</v>
      </c>
      <c r="AN233" s="31">
        <v>1041298.2103950343</v>
      </c>
      <c r="AO233" s="31">
        <f t="shared" si="18"/>
        <v>25766411.385030817</v>
      </c>
      <c r="AP233" s="31">
        <v>436664.81</v>
      </c>
      <c r="AR233" s="42" t="s">
        <v>519</v>
      </c>
      <c r="AS233" s="42" t="s">
        <v>520</v>
      </c>
      <c r="AT233" s="43" t="s">
        <v>1276</v>
      </c>
      <c r="AU233" s="44">
        <v>32</v>
      </c>
      <c r="AV233" s="31">
        <v>18924675.391516868</v>
      </c>
      <c r="AW233" s="31">
        <v>731994.74</v>
      </c>
      <c r="AX233" s="31">
        <v>346657.72999999992</v>
      </c>
      <c r="AY233" s="31">
        <v>63553.939999999995</v>
      </c>
      <c r="AZ233" s="31">
        <v>2784843.8439085493</v>
      </c>
      <c r="BA233" s="31">
        <v>1887381.1828718353</v>
      </c>
      <c r="BB233" s="31">
        <v>1062345.6474482864</v>
      </c>
      <c r="BC233" s="31">
        <f t="shared" si="19"/>
        <v>26246938.525745537</v>
      </c>
      <c r="BD233" s="31">
        <v>445486.05000000005</v>
      </c>
    </row>
    <row r="234" spans="2:56">
      <c r="B234" s="42" t="s">
        <v>263</v>
      </c>
      <c r="C234" s="42" t="s">
        <v>264</v>
      </c>
      <c r="D234" s="43" t="s">
        <v>1049</v>
      </c>
      <c r="E234" s="44">
        <v>32</v>
      </c>
      <c r="F234" s="31">
        <v>429296.23317987961</v>
      </c>
      <c r="G234" s="31">
        <v>0</v>
      </c>
      <c r="H234" s="31">
        <v>0</v>
      </c>
      <c r="I234" s="31">
        <v>0</v>
      </c>
      <c r="J234" s="31">
        <v>52573.259702966912</v>
      </c>
      <c r="K234" s="31">
        <v>115219.65357997973</v>
      </c>
      <c r="L234" s="31">
        <v>0</v>
      </c>
      <c r="M234" s="31">
        <f t="shared" si="16"/>
        <v>597089.14646282629</v>
      </c>
      <c r="N234" s="31">
        <v>0</v>
      </c>
      <c r="P234" s="42" t="s">
        <v>263</v>
      </c>
      <c r="Q234" s="42" t="s">
        <v>264</v>
      </c>
      <c r="R234" s="43" t="s">
        <v>1050</v>
      </c>
      <c r="S234" s="44">
        <v>32</v>
      </c>
      <c r="T234" s="31">
        <v>445538.95993384079</v>
      </c>
      <c r="U234" s="31">
        <v>0</v>
      </c>
      <c r="V234" s="31">
        <v>0</v>
      </c>
      <c r="W234" s="31">
        <v>0</v>
      </c>
      <c r="X234" s="31">
        <v>54350.752664481566</v>
      </c>
      <c r="Y234" s="31">
        <v>115298.82182668713</v>
      </c>
      <c r="Z234" s="31">
        <v>0</v>
      </c>
      <c r="AA234" s="31">
        <f t="shared" si="17"/>
        <v>615188.53442500951</v>
      </c>
      <c r="AB234" s="31">
        <v>0</v>
      </c>
      <c r="AD234" s="42" t="s">
        <v>263</v>
      </c>
      <c r="AE234" s="42" t="s">
        <v>264</v>
      </c>
      <c r="AF234" s="43" t="s">
        <v>1275</v>
      </c>
      <c r="AG234" s="44">
        <v>32</v>
      </c>
      <c r="AH234" s="31">
        <v>454086.88093770167</v>
      </c>
      <c r="AI234" s="31">
        <v>0</v>
      </c>
      <c r="AJ234" s="31">
        <v>0</v>
      </c>
      <c r="AK234" s="31">
        <v>0</v>
      </c>
      <c r="AL234" s="31">
        <v>55356.604914471078</v>
      </c>
      <c r="AM234" s="31">
        <v>115271.92606442558</v>
      </c>
      <c r="AN234" s="31">
        <v>0</v>
      </c>
      <c r="AO234" s="31">
        <f t="shared" si="18"/>
        <v>624715.41191659833</v>
      </c>
      <c r="AP234" s="31">
        <v>0</v>
      </c>
      <c r="AR234" s="42" t="s">
        <v>263</v>
      </c>
      <c r="AS234" s="42" t="s">
        <v>264</v>
      </c>
      <c r="AT234" s="43" t="s">
        <v>1276</v>
      </c>
      <c r="AU234" s="44">
        <v>32</v>
      </c>
      <c r="AV234" s="31">
        <v>462384.44284423656</v>
      </c>
      <c r="AW234" s="31">
        <v>0</v>
      </c>
      <c r="AX234" s="31">
        <v>0</v>
      </c>
      <c r="AY234" s="31">
        <v>0</v>
      </c>
      <c r="AZ234" s="31">
        <v>56374.396982002792</v>
      </c>
      <c r="BA234" s="31">
        <v>115276.20613087558</v>
      </c>
      <c r="BB234" s="31">
        <v>0</v>
      </c>
      <c r="BC234" s="31">
        <f t="shared" si="19"/>
        <v>634035.0459571149</v>
      </c>
      <c r="BD234" s="31">
        <v>0</v>
      </c>
    </row>
    <row r="235" spans="2:56">
      <c r="B235" s="42" t="s">
        <v>575</v>
      </c>
      <c r="C235" s="42" t="s">
        <v>576</v>
      </c>
      <c r="D235" s="43" t="s">
        <v>1049</v>
      </c>
      <c r="E235" s="44">
        <v>32</v>
      </c>
      <c r="F235" s="31">
        <v>2331238.204795897</v>
      </c>
      <c r="G235" s="31">
        <v>63051.360000000001</v>
      </c>
      <c r="H235" s="31">
        <v>0</v>
      </c>
      <c r="I235" s="31">
        <v>0</v>
      </c>
      <c r="J235" s="31">
        <v>174010.49802843464</v>
      </c>
      <c r="K235" s="31">
        <v>208816.82793112096</v>
      </c>
      <c r="L235" s="31">
        <v>69388.780261988024</v>
      </c>
      <c r="M235" s="31">
        <f t="shared" si="16"/>
        <v>2893012.3610174404</v>
      </c>
      <c r="N235" s="31">
        <v>46506.69</v>
      </c>
      <c r="P235" s="42" t="s">
        <v>575</v>
      </c>
      <c r="Q235" s="42" t="s">
        <v>576</v>
      </c>
      <c r="R235" s="43" t="s">
        <v>1050</v>
      </c>
      <c r="S235" s="44">
        <v>32</v>
      </c>
      <c r="T235" s="31">
        <v>2437206.7693932522</v>
      </c>
      <c r="U235" s="31">
        <v>66387.479999999981</v>
      </c>
      <c r="V235" s="31">
        <v>0</v>
      </c>
      <c r="W235" s="31">
        <v>0</v>
      </c>
      <c r="X235" s="31">
        <v>180766.96597655036</v>
      </c>
      <c r="Y235" s="31">
        <v>209006.38335103655</v>
      </c>
      <c r="Z235" s="31">
        <v>72644.76806943542</v>
      </c>
      <c r="AA235" s="31">
        <f t="shared" si="17"/>
        <v>3013874.2867902741</v>
      </c>
      <c r="AB235" s="31">
        <v>47861.920000000006</v>
      </c>
      <c r="AD235" s="42" t="s">
        <v>575</v>
      </c>
      <c r="AE235" s="42" t="s">
        <v>576</v>
      </c>
      <c r="AF235" s="43" t="s">
        <v>1275</v>
      </c>
      <c r="AG235" s="44">
        <v>32</v>
      </c>
      <c r="AH235" s="31">
        <v>2484750.3822339117</v>
      </c>
      <c r="AI235" s="31">
        <v>67776.649999999994</v>
      </c>
      <c r="AJ235" s="31">
        <v>0</v>
      </c>
      <c r="AK235" s="31">
        <v>0</v>
      </c>
      <c r="AL235" s="31">
        <v>184254.66285378294</v>
      </c>
      <c r="AM235" s="31">
        <v>208941.98584671537</v>
      </c>
      <c r="AN235" s="31">
        <v>74054.625540947658</v>
      </c>
      <c r="AO235" s="31">
        <f t="shared" si="18"/>
        <v>3068487.2264753575</v>
      </c>
      <c r="AP235" s="31">
        <v>48708.920000000006</v>
      </c>
      <c r="AR235" s="42" t="s">
        <v>575</v>
      </c>
      <c r="AS235" s="42" t="s">
        <v>576</v>
      </c>
      <c r="AT235" s="43" t="s">
        <v>1276</v>
      </c>
      <c r="AU235" s="44">
        <v>32</v>
      </c>
      <c r="AV235" s="31">
        <v>2531907.0150056155</v>
      </c>
      <c r="AW235" s="31">
        <v>69117.359999999986</v>
      </c>
      <c r="AX235" s="31">
        <v>0</v>
      </c>
      <c r="AY235" s="31">
        <v>0</v>
      </c>
      <c r="AZ235" s="31">
        <v>187969.37437397212</v>
      </c>
      <c r="BA235" s="31">
        <v>208952.23376588675</v>
      </c>
      <c r="BB235" s="31">
        <v>75665.053388722867</v>
      </c>
      <c r="BC235" s="31">
        <f t="shared" si="19"/>
        <v>3123334.2365341969</v>
      </c>
      <c r="BD235" s="31">
        <v>49723.200000000004</v>
      </c>
    </row>
    <row r="236" spans="2:56">
      <c r="B236" s="42" t="s">
        <v>131</v>
      </c>
      <c r="C236" s="42" t="s">
        <v>132</v>
      </c>
      <c r="D236" s="43" t="s">
        <v>1049</v>
      </c>
      <c r="E236" s="44">
        <v>32</v>
      </c>
      <c r="F236" s="31">
        <v>14160607.708229315</v>
      </c>
      <c r="G236" s="31">
        <v>858665.33000000019</v>
      </c>
      <c r="H236" s="31">
        <v>1187631.99</v>
      </c>
      <c r="I236" s="31">
        <v>49306.030000000006</v>
      </c>
      <c r="J236" s="31">
        <v>2182986.048056474</v>
      </c>
      <c r="K236" s="31">
        <v>999305.80799200956</v>
      </c>
      <c r="L236" s="31">
        <v>1056994.416502313</v>
      </c>
      <c r="M236" s="31">
        <f t="shared" si="16"/>
        <v>21002004.650780112</v>
      </c>
      <c r="N236" s="31">
        <v>506507.31999999995</v>
      </c>
      <c r="P236" s="42" t="s">
        <v>131</v>
      </c>
      <c r="Q236" s="42" t="s">
        <v>132</v>
      </c>
      <c r="R236" s="43" t="s">
        <v>1050</v>
      </c>
      <c r="S236" s="44">
        <v>32</v>
      </c>
      <c r="T236" s="31">
        <v>14935866.458410844</v>
      </c>
      <c r="U236" s="31">
        <v>903022.1399999999</v>
      </c>
      <c r="V236" s="31">
        <v>1239208.19</v>
      </c>
      <c r="W236" s="31">
        <v>51401.8</v>
      </c>
      <c r="X236" s="31">
        <v>2268027.1805648869</v>
      </c>
      <c r="Y236" s="31">
        <v>1000173.0076662144</v>
      </c>
      <c r="Z236" s="31">
        <v>1110714.0529520421</v>
      </c>
      <c r="AA236" s="31">
        <f t="shared" si="17"/>
        <v>22029867.919593994</v>
      </c>
      <c r="AB236" s="31">
        <v>521455.09000000008</v>
      </c>
      <c r="AD236" s="42" t="s">
        <v>131</v>
      </c>
      <c r="AE236" s="42" t="s">
        <v>132</v>
      </c>
      <c r="AF236" s="43" t="s">
        <v>1275</v>
      </c>
      <c r="AG236" s="44">
        <v>32</v>
      </c>
      <c r="AH236" s="31">
        <v>15234125.623101303</v>
      </c>
      <c r="AI236" s="31">
        <v>922427.99999999977</v>
      </c>
      <c r="AJ236" s="31">
        <v>1264480.31</v>
      </c>
      <c r="AK236" s="31">
        <v>52510.45</v>
      </c>
      <c r="AL236" s="31">
        <v>2311768.2937984336</v>
      </c>
      <c r="AM236" s="31">
        <v>999878.39464595995</v>
      </c>
      <c r="AN236" s="31">
        <v>1132896.5303202602</v>
      </c>
      <c r="AO236" s="31">
        <f t="shared" si="18"/>
        <v>22449136.231865957</v>
      </c>
      <c r="AP236" s="31">
        <v>531048.62999999989</v>
      </c>
      <c r="AR236" s="42" t="s">
        <v>131</v>
      </c>
      <c r="AS236" s="42" t="s">
        <v>132</v>
      </c>
      <c r="AT236" s="43" t="s">
        <v>1276</v>
      </c>
      <c r="AU236" s="44">
        <v>32</v>
      </c>
      <c r="AV236" s="31">
        <v>15541091.681870444</v>
      </c>
      <c r="AW236" s="31">
        <v>940712.66999999981</v>
      </c>
      <c r="AX236" s="31">
        <v>1289776.8900000001</v>
      </c>
      <c r="AY236" s="31">
        <v>53469.34</v>
      </c>
      <c r="AZ236" s="31">
        <v>2358384.7902171495</v>
      </c>
      <c r="BA236" s="31">
        <v>999925.27799105586</v>
      </c>
      <c r="BB236" s="31">
        <v>1155912.2104401421</v>
      </c>
      <c r="BC236" s="31">
        <f t="shared" si="19"/>
        <v>22881099.79051879</v>
      </c>
      <c r="BD236" s="31">
        <v>541826.93000000005</v>
      </c>
    </row>
    <row r="237" spans="2:56">
      <c r="B237" s="42" t="s">
        <v>399</v>
      </c>
      <c r="C237" s="42" t="s">
        <v>400</v>
      </c>
      <c r="D237" s="43" t="s">
        <v>1049</v>
      </c>
      <c r="E237" s="44">
        <v>32</v>
      </c>
      <c r="F237" s="31">
        <v>7023403.7035549823</v>
      </c>
      <c r="G237" s="31">
        <v>214336.76</v>
      </c>
      <c r="H237" s="31">
        <v>92459.000000000015</v>
      </c>
      <c r="I237" s="31">
        <v>24138.46</v>
      </c>
      <c r="J237" s="31">
        <v>1044378.8546325611</v>
      </c>
      <c r="K237" s="31">
        <v>375674.80553536693</v>
      </c>
      <c r="L237" s="31">
        <v>228763.52704134208</v>
      </c>
      <c r="M237" s="31">
        <f t="shared" si="16"/>
        <v>9003155.110764252</v>
      </c>
      <c r="N237" s="31">
        <v>0</v>
      </c>
      <c r="P237" s="42" t="s">
        <v>399</v>
      </c>
      <c r="Q237" s="42" t="s">
        <v>400</v>
      </c>
      <c r="R237" s="43" t="s">
        <v>1050</v>
      </c>
      <c r="S237" s="44">
        <v>32</v>
      </c>
      <c r="T237" s="31">
        <v>7318157.8057724405</v>
      </c>
      <c r="U237" s="31">
        <v>223469.05000000002</v>
      </c>
      <c r="V237" s="31">
        <v>96363.34</v>
      </c>
      <c r="W237" s="31">
        <v>25152.85</v>
      </c>
      <c r="X237" s="31">
        <v>1084570.8580617579</v>
      </c>
      <c r="Y237" s="31">
        <v>376020.0777218552</v>
      </c>
      <c r="Z237" s="31">
        <v>237881.56508557382</v>
      </c>
      <c r="AA237" s="31">
        <f t="shared" si="17"/>
        <v>9361615.5466416255</v>
      </c>
      <c r="AB237" s="31">
        <v>0</v>
      </c>
      <c r="AD237" s="42" t="s">
        <v>399</v>
      </c>
      <c r="AE237" s="42" t="s">
        <v>400</v>
      </c>
      <c r="AF237" s="43" t="s">
        <v>1275</v>
      </c>
      <c r="AG237" s="44">
        <v>32</v>
      </c>
      <c r="AH237" s="31">
        <v>7463611.4598958865</v>
      </c>
      <c r="AI237" s="31">
        <v>227961.59999999998</v>
      </c>
      <c r="AJ237" s="31">
        <v>98365.430000000008</v>
      </c>
      <c r="AK237" s="31">
        <v>25645.690000000002</v>
      </c>
      <c r="AL237" s="31">
        <v>1105604.4139385002</v>
      </c>
      <c r="AM237" s="31">
        <v>375893.81354527856</v>
      </c>
      <c r="AN237" s="31">
        <v>242705.520448022</v>
      </c>
      <c r="AO237" s="31">
        <f t="shared" si="18"/>
        <v>9539787.9278276879</v>
      </c>
      <c r="AP237" s="31">
        <v>0</v>
      </c>
      <c r="AR237" s="42" t="s">
        <v>399</v>
      </c>
      <c r="AS237" s="42" t="s">
        <v>400</v>
      </c>
      <c r="AT237" s="43" t="s">
        <v>1276</v>
      </c>
      <c r="AU237" s="44">
        <v>32</v>
      </c>
      <c r="AV237" s="31">
        <v>7612770.6307340227</v>
      </c>
      <c r="AW237" s="31">
        <v>232645.83999999997</v>
      </c>
      <c r="AX237" s="31">
        <v>100418.48000000001</v>
      </c>
      <c r="AY237" s="31">
        <v>26236.51</v>
      </c>
      <c r="AZ237" s="31">
        <v>1128121.2992290049</v>
      </c>
      <c r="BA237" s="31">
        <v>375913.44289288856</v>
      </c>
      <c r="BB237" s="31">
        <v>247528.99043545133</v>
      </c>
      <c r="BC237" s="31">
        <f t="shared" si="19"/>
        <v>9723635.193291368</v>
      </c>
      <c r="BD237" s="31">
        <v>0</v>
      </c>
    </row>
    <row r="238" spans="2:56">
      <c r="B238" s="42" t="s">
        <v>159</v>
      </c>
      <c r="C238" s="42" t="s">
        <v>160</v>
      </c>
      <c r="D238" s="43" t="s">
        <v>1049</v>
      </c>
      <c r="E238" s="44">
        <v>32</v>
      </c>
      <c r="F238" s="31">
        <v>589584.46309245448</v>
      </c>
      <c r="G238" s="31">
        <v>21145.090000000004</v>
      </c>
      <c r="H238" s="31">
        <v>0</v>
      </c>
      <c r="I238" s="31">
        <v>0</v>
      </c>
      <c r="J238" s="31">
        <v>68115.135744228697</v>
      </c>
      <c r="K238" s="31">
        <v>0</v>
      </c>
      <c r="L238" s="31">
        <v>0</v>
      </c>
      <c r="M238" s="31">
        <f t="shared" si="16"/>
        <v>694240.62883668323</v>
      </c>
      <c r="N238" s="31">
        <v>15395.940000000002</v>
      </c>
      <c r="P238" s="42" t="s">
        <v>159</v>
      </c>
      <c r="Q238" s="42" t="s">
        <v>160</v>
      </c>
      <c r="R238" s="43" t="s">
        <v>1050</v>
      </c>
      <c r="S238" s="44">
        <v>32</v>
      </c>
      <c r="T238" s="31">
        <v>619346.45543624484</v>
      </c>
      <c r="U238" s="31">
        <v>22169.810000000005</v>
      </c>
      <c r="V238" s="31">
        <v>0</v>
      </c>
      <c r="W238" s="31">
        <v>0</v>
      </c>
      <c r="X238" s="31">
        <v>70413.562918420532</v>
      </c>
      <c r="Y238" s="31">
        <v>0</v>
      </c>
      <c r="Z238" s="31">
        <v>0</v>
      </c>
      <c r="AA238" s="31">
        <f t="shared" si="17"/>
        <v>727704.25835466548</v>
      </c>
      <c r="AB238" s="31">
        <v>15774.43</v>
      </c>
      <c r="AD238" s="42" t="s">
        <v>159</v>
      </c>
      <c r="AE238" s="42" t="s">
        <v>160</v>
      </c>
      <c r="AF238" s="43" t="s">
        <v>1275</v>
      </c>
      <c r="AG238" s="44">
        <v>32</v>
      </c>
      <c r="AH238" s="31">
        <v>631201.52718339371</v>
      </c>
      <c r="AI238" s="31">
        <v>22634.129999999997</v>
      </c>
      <c r="AJ238" s="31">
        <v>0</v>
      </c>
      <c r="AK238" s="31">
        <v>0</v>
      </c>
      <c r="AL238" s="31">
        <v>71716.518330977211</v>
      </c>
      <c r="AM238" s="31">
        <v>0</v>
      </c>
      <c r="AN238" s="31">
        <v>0</v>
      </c>
      <c r="AO238" s="31">
        <f t="shared" si="18"/>
        <v>741604.52551437088</v>
      </c>
      <c r="AP238" s="31">
        <v>16052.35</v>
      </c>
      <c r="AR238" s="42" t="s">
        <v>159</v>
      </c>
      <c r="AS238" s="42" t="s">
        <v>160</v>
      </c>
      <c r="AT238" s="43" t="s">
        <v>1276</v>
      </c>
      <c r="AU238" s="44">
        <v>32</v>
      </c>
      <c r="AV238" s="31">
        <v>642700.45245991007</v>
      </c>
      <c r="AW238" s="31">
        <v>23042.939999999995</v>
      </c>
      <c r="AX238" s="31">
        <v>0</v>
      </c>
      <c r="AY238" s="31">
        <v>0</v>
      </c>
      <c r="AZ238" s="31">
        <v>73034.798242595076</v>
      </c>
      <c r="BA238" s="31">
        <v>0</v>
      </c>
      <c r="BB238" s="31">
        <v>0</v>
      </c>
      <c r="BC238" s="31">
        <f t="shared" si="19"/>
        <v>755128.19070250506</v>
      </c>
      <c r="BD238" s="31">
        <v>16350</v>
      </c>
    </row>
    <row r="239" spans="2:56">
      <c r="B239" s="42" t="s">
        <v>183</v>
      </c>
      <c r="C239" s="42" t="s">
        <v>184</v>
      </c>
      <c r="D239" s="43" t="s">
        <v>1049</v>
      </c>
      <c r="E239" s="44">
        <v>32</v>
      </c>
      <c r="F239" s="31">
        <v>477953237.82958293</v>
      </c>
      <c r="G239" s="31">
        <v>14768384.830000002</v>
      </c>
      <c r="H239" s="31">
        <v>11584599.030000001</v>
      </c>
      <c r="I239" s="31">
        <v>0</v>
      </c>
      <c r="J239" s="31">
        <v>70992859.906978413</v>
      </c>
      <c r="K239" s="31">
        <v>35373539.357970014</v>
      </c>
      <c r="L239" s="31">
        <v>18348204.728756111</v>
      </c>
      <c r="M239" s="31">
        <f t="shared" si="16"/>
        <v>633735583.92328739</v>
      </c>
      <c r="N239" s="31">
        <v>4714758.2399999993</v>
      </c>
      <c r="P239" s="42" t="s">
        <v>183</v>
      </c>
      <c r="Q239" s="42" t="s">
        <v>184</v>
      </c>
      <c r="R239" s="43" t="s">
        <v>1050</v>
      </c>
      <c r="S239" s="44">
        <v>32</v>
      </c>
      <c r="T239" s="31">
        <v>498249568.22706586</v>
      </c>
      <c r="U239" s="31">
        <v>15445715.550000001</v>
      </c>
      <c r="V239" s="31">
        <v>12071735.449999999</v>
      </c>
      <c r="W239" s="31">
        <v>0</v>
      </c>
      <c r="X239" s="31">
        <v>73707116.378633082</v>
      </c>
      <c r="Y239" s="31">
        <v>35407121.11754518</v>
      </c>
      <c r="Z239" s="31">
        <v>19078963.662550576</v>
      </c>
      <c r="AA239" s="31">
        <f t="shared" si="17"/>
        <v>658816729.51579463</v>
      </c>
      <c r="AB239" s="31">
        <v>4856509.129999999</v>
      </c>
      <c r="AD239" s="42" t="s">
        <v>183</v>
      </c>
      <c r="AE239" s="42" t="s">
        <v>184</v>
      </c>
      <c r="AF239" s="43" t="s">
        <v>1275</v>
      </c>
      <c r="AG239" s="44">
        <v>32</v>
      </c>
      <c r="AH239" s="31">
        <v>508236343.09620118</v>
      </c>
      <c r="AI239" s="31">
        <v>15768453.980000002</v>
      </c>
      <c r="AJ239" s="31">
        <v>12317506.65</v>
      </c>
      <c r="AK239" s="31">
        <v>0</v>
      </c>
      <c r="AL239" s="31">
        <v>75139272.990835324</v>
      </c>
      <c r="AM239" s="31">
        <v>35394429.726987585</v>
      </c>
      <c r="AN239" s="31">
        <v>19462071.046888415</v>
      </c>
      <c r="AO239" s="31">
        <f t="shared" si="18"/>
        <v>671265327.03091252</v>
      </c>
      <c r="AP239" s="31">
        <v>4947249.540000001</v>
      </c>
      <c r="AR239" s="42" t="s">
        <v>183</v>
      </c>
      <c r="AS239" s="42" t="s">
        <v>184</v>
      </c>
      <c r="AT239" s="43" t="s">
        <v>1276</v>
      </c>
      <c r="AU239" s="44">
        <v>32</v>
      </c>
      <c r="AV239" s="31">
        <v>518611688.19185919</v>
      </c>
      <c r="AW239" s="31">
        <v>16088548.229999997</v>
      </c>
      <c r="AX239" s="31">
        <v>12568620.750000002</v>
      </c>
      <c r="AY239" s="31">
        <v>0</v>
      </c>
      <c r="AZ239" s="31">
        <v>76675481.249808326</v>
      </c>
      <c r="BA239" s="31">
        <v>35396383.025498435</v>
      </c>
      <c r="BB239" s="31">
        <v>19860739.680830318</v>
      </c>
      <c r="BC239" s="31">
        <f t="shared" si="19"/>
        <v>684250694.00799632</v>
      </c>
      <c r="BD239" s="31">
        <v>5049232.88</v>
      </c>
    </row>
    <row r="240" spans="2:56">
      <c r="B240" s="42" t="s">
        <v>405</v>
      </c>
      <c r="C240" s="42" t="s">
        <v>406</v>
      </c>
      <c r="D240" s="43" t="s">
        <v>1049</v>
      </c>
      <c r="E240" s="44">
        <v>32</v>
      </c>
      <c r="F240" s="31">
        <v>37197884.830767311</v>
      </c>
      <c r="G240" s="31">
        <v>1524495.74</v>
      </c>
      <c r="H240" s="31">
        <v>570056.01</v>
      </c>
      <c r="I240" s="31">
        <v>132977.16</v>
      </c>
      <c r="J240" s="31">
        <v>6108029.4582347209</v>
      </c>
      <c r="K240" s="31">
        <v>3133936.2588345404</v>
      </c>
      <c r="L240" s="31">
        <v>3161633.2030189871</v>
      </c>
      <c r="M240" s="31">
        <f t="shared" si="16"/>
        <v>52512756.590855554</v>
      </c>
      <c r="N240" s="31">
        <v>683743.92999999993</v>
      </c>
      <c r="P240" s="42" t="s">
        <v>405</v>
      </c>
      <c r="Q240" s="42" t="s">
        <v>406</v>
      </c>
      <c r="R240" s="43" t="s">
        <v>1050</v>
      </c>
      <c r="S240" s="44">
        <v>32</v>
      </c>
      <c r="T240" s="31">
        <v>39199319.830095731</v>
      </c>
      <c r="U240" s="31">
        <v>1597797.2600000002</v>
      </c>
      <c r="V240" s="31">
        <v>594389.67000000004</v>
      </c>
      <c r="W240" s="31">
        <v>138620.11000000002</v>
      </c>
      <c r="X240" s="31">
        <v>6342986.7520651491</v>
      </c>
      <c r="Y240" s="31">
        <v>3136743.7199921515</v>
      </c>
      <c r="Z240" s="31">
        <v>3320685.1499530533</v>
      </c>
      <c r="AA240" s="31">
        <f t="shared" si="17"/>
        <v>55034733.582106091</v>
      </c>
      <c r="AB240" s="31">
        <v>704191.09</v>
      </c>
      <c r="AD240" s="42" t="s">
        <v>405</v>
      </c>
      <c r="AE240" s="42" t="s">
        <v>406</v>
      </c>
      <c r="AF240" s="43" t="s">
        <v>1275</v>
      </c>
      <c r="AG240" s="44">
        <v>32</v>
      </c>
      <c r="AH240" s="31">
        <v>39983397.723586917</v>
      </c>
      <c r="AI240" s="31">
        <v>1631602.0900000003</v>
      </c>
      <c r="AJ240" s="31">
        <v>606377.86</v>
      </c>
      <c r="AK240" s="31">
        <v>141450.15</v>
      </c>
      <c r="AL240" s="31">
        <v>6465942.3805612326</v>
      </c>
      <c r="AM240" s="31">
        <v>3135717.0465872008</v>
      </c>
      <c r="AN240" s="31">
        <v>3387157.6728379065</v>
      </c>
      <c r="AO240" s="31">
        <f t="shared" si="18"/>
        <v>56068959.153573252</v>
      </c>
      <c r="AP240" s="31">
        <v>717314.22999999986</v>
      </c>
      <c r="AR240" s="42" t="s">
        <v>405</v>
      </c>
      <c r="AS240" s="42" t="s">
        <v>406</v>
      </c>
      <c r="AT240" s="43" t="s">
        <v>1276</v>
      </c>
      <c r="AU240" s="44">
        <v>32</v>
      </c>
      <c r="AV240" s="31">
        <v>40796286.511394098</v>
      </c>
      <c r="AW240" s="31">
        <v>1664423.4900000002</v>
      </c>
      <c r="AX240" s="31">
        <v>618763.6</v>
      </c>
      <c r="AY240" s="31">
        <v>144300.78</v>
      </c>
      <c r="AZ240" s="31">
        <v>6597598.9348472524</v>
      </c>
      <c r="BA240" s="31">
        <v>3135876.6558262906</v>
      </c>
      <c r="BB240" s="31">
        <v>3456478.3723101569</v>
      </c>
      <c r="BC240" s="31">
        <f t="shared" si="19"/>
        <v>57145765.834377803</v>
      </c>
      <c r="BD240" s="31">
        <v>732037.48999999987</v>
      </c>
    </row>
    <row r="241" spans="2:56">
      <c r="B241" s="42" t="s">
        <v>589</v>
      </c>
      <c r="C241" s="42" t="s">
        <v>590</v>
      </c>
      <c r="D241" s="43" t="s">
        <v>1049</v>
      </c>
      <c r="E241" s="44">
        <v>32</v>
      </c>
      <c r="F241" s="31">
        <v>28108607.672062058</v>
      </c>
      <c r="G241" s="31">
        <v>1253210.9499999997</v>
      </c>
      <c r="H241" s="31">
        <v>503584.03</v>
      </c>
      <c r="I241" s="31">
        <v>101535.32</v>
      </c>
      <c r="J241" s="31">
        <v>4164286.8609550134</v>
      </c>
      <c r="K241" s="31">
        <v>1466585.2283557919</v>
      </c>
      <c r="L241" s="31">
        <v>3499567.8401930635</v>
      </c>
      <c r="M241" s="31">
        <f t="shared" si="16"/>
        <v>39803935.151565932</v>
      </c>
      <c r="N241" s="31">
        <v>706557.25000000012</v>
      </c>
      <c r="P241" s="42" t="s">
        <v>589</v>
      </c>
      <c r="Q241" s="42" t="s">
        <v>590</v>
      </c>
      <c r="R241" s="43" t="s">
        <v>1050</v>
      </c>
      <c r="S241" s="44">
        <v>32</v>
      </c>
      <c r="T241" s="31">
        <v>29651695.045128696</v>
      </c>
      <c r="U241" s="31">
        <v>1317521.3700000001</v>
      </c>
      <c r="V241" s="31">
        <v>525451.78</v>
      </c>
      <c r="W241" s="31">
        <v>105940.31999999999</v>
      </c>
      <c r="X241" s="31">
        <v>4326478.854478485</v>
      </c>
      <c r="Y241" s="31">
        <v>1467561.3315707236</v>
      </c>
      <c r="Z241" s="31">
        <v>3677575.3338222415</v>
      </c>
      <c r="AA241" s="31">
        <f t="shared" si="17"/>
        <v>41799745.225000143</v>
      </c>
      <c r="AB241" s="31">
        <v>727521.19</v>
      </c>
      <c r="AD241" s="42" t="s">
        <v>589</v>
      </c>
      <c r="AE241" s="42" t="s">
        <v>590</v>
      </c>
      <c r="AF241" s="43" t="s">
        <v>1275</v>
      </c>
      <c r="AG241" s="44">
        <v>32</v>
      </c>
      <c r="AH241" s="31">
        <v>30244367.919072457</v>
      </c>
      <c r="AI241" s="31">
        <v>1345746.79</v>
      </c>
      <c r="AJ241" s="31">
        <v>536142.95000000007</v>
      </c>
      <c r="AK241" s="31">
        <v>108115.79999999999</v>
      </c>
      <c r="AL241" s="31">
        <v>4409904.3686675485</v>
      </c>
      <c r="AM241" s="31">
        <v>1467229.720841632</v>
      </c>
      <c r="AN241" s="31">
        <v>3751210.4862948526</v>
      </c>
      <c r="AO241" s="31">
        <f t="shared" si="18"/>
        <v>42603564.904876485</v>
      </c>
      <c r="AP241" s="31">
        <v>740846.87</v>
      </c>
      <c r="AR241" s="42" t="s">
        <v>589</v>
      </c>
      <c r="AS241" s="42" t="s">
        <v>590</v>
      </c>
      <c r="AT241" s="43" t="s">
        <v>1276</v>
      </c>
      <c r="AU241" s="44">
        <v>32</v>
      </c>
      <c r="AV241" s="31">
        <v>30853828.279158983</v>
      </c>
      <c r="AW241" s="31">
        <v>1372444.19</v>
      </c>
      <c r="AX241" s="31">
        <v>546878.85</v>
      </c>
      <c r="AY241" s="31">
        <v>110195.14</v>
      </c>
      <c r="AZ241" s="31">
        <v>4498842.1680896888</v>
      </c>
      <c r="BA241" s="31">
        <v>1467282.4918299476</v>
      </c>
      <c r="BB241" s="31">
        <v>3826957.5589487068</v>
      </c>
      <c r="BC241" s="31">
        <f t="shared" si="19"/>
        <v>43432357.968027331</v>
      </c>
      <c r="BD241" s="31">
        <v>755929.28999999992</v>
      </c>
    </row>
    <row r="242" spans="2:56">
      <c r="B242" s="42" t="s">
        <v>359</v>
      </c>
      <c r="C242" s="42" t="s">
        <v>360</v>
      </c>
      <c r="D242" s="43" t="s">
        <v>1049</v>
      </c>
      <c r="E242" s="44">
        <v>32</v>
      </c>
      <c r="F242" s="31">
        <v>2794385.5840173634</v>
      </c>
      <c r="G242" s="31">
        <v>85164.94</v>
      </c>
      <c r="H242" s="31">
        <v>0</v>
      </c>
      <c r="I242" s="31">
        <v>0</v>
      </c>
      <c r="J242" s="31">
        <v>339634.73523737455</v>
      </c>
      <c r="K242" s="31">
        <v>367129.02046780358</v>
      </c>
      <c r="L242" s="31">
        <v>160532.68136006183</v>
      </c>
      <c r="M242" s="31">
        <f t="shared" si="16"/>
        <v>3796542.7510826034</v>
      </c>
      <c r="N242" s="31">
        <v>49695.79</v>
      </c>
      <c r="P242" s="42" t="s">
        <v>359</v>
      </c>
      <c r="Q242" s="42" t="s">
        <v>360</v>
      </c>
      <c r="R242" s="43" t="s">
        <v>1050</v>
      </c>
      <c r="S242" s="44">
        <v>32</v>
      </c>
      <c r="T242" s="31">
        <v>2929709.866835949</v>
      </c>
      <c r="U242" s="31">
        <v>89632.000000000015</v>
      </c>
      <c r="V242" s="31">
        <v>0</v>
      </c>
      <c r="W242" s="31">
        <v>0</v>
      </c>
      <c r="X242" s="31">
        <v>352855.09819028043</v>
      </c>
      <c r="Y242" s="31">
        <v>367472.2714844154</v>
      </c>
      <c r="Z242" s="31">
        <v>168479.50647054243</v>
      </c>
      <c r="AA242" s="31">
        <f t="shared" si="17"/>
        <v>3959365.7629811876</v>
      </c>
      <c r="AB242" s="31">
        <v>51217.020000000004</v>
      </c>
      <c r="AD242" s="42" t="s">
        <v>359</v>
      </c>
      <c r="AE242" s="42" t="s">
        <v>360</v>
      </c>
      <c r="AF242" s="43" t="s">
        <v>1275</v>
      </c>
      <c r="AG242" s="44">
        <v>32</v>
      </c>
      <c r="AH242" s="31">
        <v>2986714.482537413</v>
      </c>
      <c r="AI242" s="31">
        <v>91484.81</v>
      </c>
      <c r="AJ242" s="31">
        <v>0</v>
      </c>
      <c r="AK242" s="31">
        <v>0</v>
      </c>
      <c r="AL242" s="31">
        <v>359642.64148470655</v>
      </c>
      <c r="AM242" s="31">
        <v>367355.65910353314</v>
      </c>
      <c r="AN242" s="31">
        <v>171747.12928947777</v>
      </c>
      <c r="AO242" s="31">
        <f t="shared" si="18"/>
        <v>4029064.1024151305</v>
      </c>
      <c r="AP242" s="31">
        <v>52119.38</v>
      </c>
      <c r="AR242" s="42" t="s">
        <v>359</v>
      </c>
      <c r="AS242" s="42" t="s">
        <v>360</v>
      </c>
      <c r="AT242" s="43" t="s">
        <v>1276</v>
      </c>
      <c r="AU242" s="44">
        <v>32</v>
      </c>
      <c r="AV242" s="31">
        <v>3044303.2979669692</v>
      </c>
      <c r="AW242" s="31">
        <v>93352.389999999985</v>
      </c>
      <c r="AX242" s="31">
        <v>0</v>
      </c>
      <c r="AY242" s="31">
        <v>0</v>
      </c>
      <c r="AZ242" s="31">
        <v>366906.76020505244</v>
      </c>
      <c r="BA242" s="31">
        <v>367374.21625518455</v>
      </c>
      <c r="BB242" s="31">
        <v>175259.08710258466</v>
      </c>
      <c r="BC242" s="31">
        <f t="shared" si="19"/>
        <v>4100385.041529791</v>
      </c>
      <c r="BD242" s="31">
        <v>53189.29</v>
      </c>
    </row>
    <row r="243" spans="2:56">
      <c r="B243" s="42" t="s">
        <v>47</v>
      </c>
      <c r="C243" s="42" t="s">
        <v>48</v>
      </c>
      <c r="D243" s="43" t="s">
        <v>1049</v>
      </c>
      <c r="E243" s="44">
        <v>32</v>
      </c>
      <c r="F243" s="31">
        <v>20965881.816185206</v>
      </c>
      <c r="G243" s="31">
        <v>742324.72999999986</v>
      </c>
      <c r="H243" s="31">
        <v>78900.87</v>
      </c>
      <c r="I243" s="31">
        <v>75309.789999999994</v>
      </c>
      <c r="J243" s="31">
        <v>3468020.9466406424</v>
      </c>
      <c r="K243" s="31">
        <v>1313146.1157302801</v>
      </c>
      <c r="L243" s="31">
        <v>2078332.1431228213</v>
      </c>
      <c r="M243" s="31">
        <f t="shared" si="16"/>
        <v>28721916.411678948</v>
      </c>
      <c r="N243" s="31">
        <v>0</v>
      </c>
      <c r="P243" s="42" t="s">
        <v>47</v>
      </c>
      <c r="Q243" s="42" t="s">
        <v>48</v>
      </c>
      <c r="R243" s="43" t="s">
        <v>1050</v>
      </c>
      <c r="S243" s="44">
        <v>32</v>
      </c>
      <c r="T243" s="31">
        <v>21868562.431883652</v>
      </c>
      <c r="U243" s="31">
        <v>774164.31</v>
      </c>
      <c r="V243" s="31">
        <v>82314.850000000006</v>
      </c>
      <c r="W243" s="31">
        <v>78481.31</v>
      </c>
      <c r="X243" s="31">
        <v>3602266.2019850845</v>
      </c>
      <c r="Y243" s="31">
        <v>1314033.6088067112</v>
      </c>
      <c r="Z243" s="31">
        <v>2162358.8616397521</v>
      </c>
      <c r="AA243" s="31">
        <f t="shared" si="17"/>
        <v>29882181.574315198</v>
      </c>
      <c r="AB243" s="31">
        <v>0</v>
      </c>
      <c r="AD243" s="42" t="s">
        <v>47</v>
      </c>
      <c r="AE243" s="42" t="s">
        <v>48</v>
      </c>
      <c r="AF243" s="43" t="s">
        <v>1275</v>
      </c>
      <c r="AG243" s="44">
        <v>32</v>
      </c>
      <c r="AH243" s="31">
        <v>22304919.5201867</v>
      </c>
      <c r="AI243" s="31">
        <v>789972.5199999999</v>
      </c>
      <c r="AJ243" s="31">
        <v>84035.01</v>
      </c>
      <c r="AK243" s="31">
        <v>80126.399999999994</v>
      </c>
      <c r="AL243" s="31">
        <v>3671940.8694873773</v>
      </c>
      <c r="AM243" s="31">
        <v>1313720.3479830329</v>
      </c>
      <c r="AN243" s="31">
        <v>2205745.6733113863</v>
      </c>
      <c r="AO243" s="31">
        <f t="shared" si="18"/>
        <v>30450460.340968497</v>
      </c>
      <c r="AP243" s="31">
        <v>0</v>
      </c>
      <c r="AR243" s="42" t="s">
        <v>47</v>
      </c>
      <c r="AS243" s="42" t="s">
        <v>48</v>
      </c>
      <c r="AT243" s="43" t="s">
        <v>1276</v>
      </c>
      <c r="AU243" s="44">
        <v>32</v>
      </c>
      <c r="AV243" s="31">
        <v>22756360.434442259</v>
      </c>
      <c r="AW243" s="31">
        <v>805828.8</v>
      </c>
      <c r="AX243" s="31">
        <v>85691.180000000008</v>
      </c>
      <c r="AY243" s="31">
        <v>81710.689999999988</v>
      </c>
      <c r="AZ243" s="31">
        <v>3746375.2904410828</v>
      </c>
      <c r="BA243" s="31">
        <v>1313769.5908688244</v>
      </c>
      <c r="BB243" s="31">
        <v>2250375.1798070837</v>
      </c>
      <c r="BC243" s="31">
        <f t="shared" si="19"/>
        <v>31040111.165559247</v>
      </c>
      <c r="BD243" s="31">
        <v>0</v>
      </c>
    </row>
    <row r="244" spans="2:56">
      <c r="B244" s="42" t="s">
        <v>393</v>
      </c>
      <c r="C244" s="42" t="s">
        <v>394</v>
      </c>
      <c r="D244" s="43" t="s">
        <v>1049</v>
      </c>
      <c r="E244" s="44">
        <v>32</v>
      </c>
      <c r="F244" s="31">
        <v>385656.21220553294</v>
      </c>
      <c r="G244" s="31">
        <v>0</v>
      </c>
      <c r="H244" s="31">
        <v>0</v>
      </c>
      <c r="I244" s="31">
        <v>0</v>
      </c>
      <c r="J244" s="31">
        <v>0</v>
      </c>
      <c r="K244" s="31">
        <v>0</v>
      </c>
      <c r="L244" s="31">
        <v>0</v>
      </c>
      <c r="M244" s="31">
        <f t="shared" si="16"/>
        <v>385656.21220553294</v>
      </c>
      <c r="N244" s="31">
        <v>0</v>
      </c>
      <c r="P244" s="42" t="s">
        <v>393</v>
      </c>
      <c r="Q244" s="42" t="s">
        <v>394</v>
      </c>
      <c r="R244" s="43" t="s">
        <v>1050</v>
      </c>
      <c r="S244" s="44">
        <v>32</v>
      </c>
      <c r="T244" s="31">
        <v>399401.3085449069</v>
      </c>
      <c r="U244" s="31">
        <v>0</v>
      </c>
      <c r="V244" s="31">
        <v>0</v>
      </c>
      <c r="W244" s="31">
        <v>0</v>
      </c>
      <c r="X244" s="31">
        <v>0</v>
      </c>
      <c r="Y244" s="31">
        <v>0</v>
      </c>
      <c r="Z244" s="31">
        <v>0</v>
      </c>
      <c r="AA244" s="31">
        <f t="shared" si="17"/>
        <v>399401.3085449069</v>
      </c>
      <c r="AB244" s="31">
        <v>0</v>
      </c>
      <c r="AD244" s="42" t="s">
        <v>393</v>
      </c>
      <c r="AE244" s="42" t="s">
        <v>394</v>
      </c>
      <c r="AF244" s="43" t="s">
        <v>1275</v>
      </c>
      <c r="AG244" s="44">
        <v>32</v>
      </c>
      <c r="AH244" s="31">
        <v>407059.46998648078</v>
      </c>
      <c r="AI244" s="31">
        <v>0</v>
      </c>
      <c r="AJ244" s="31">
        <v>0</v>
      </c>
      <c r="AK244" s="31">
        <v>0</v>
      </c>
      <c r="AL244" s="31">
        <v>0</v>
      </c>
      <c r="AM244" s="31">
        <v>0</v>
      </c>
      <c r="AN244" s="31">
        <v>0</v>
      </c>
      <c r="AO244" s="31">
        <f t="shared" si="18"/>
        <v>407059.46998648078</v>
      </c>
      <c r="AP244" s="31">
        <v>0</v>
      </c>
      <c r="AR244" s="42" t="s">
        <v>393</v>
      </c>
      <c r="AS244" s="42" t="s">
        <v>394</v>
      </c>
      <c r="AT244" s="43" t="s">
        <v>1276</v>
      </c>
      <c r="AU244" s="44">
        <v>32</v>
      </c>
      <c r="AV244" s="31">
        <v>414544.61920740642</v>
      </c>
      <c r="AW244" s="31">
        <v>0</v>
      </c>
      <c r="AX244" s="31">
        <v>0</v>
      </c>
      <c r="AY244" s="31">
        <v>0</v>
      </c>
      <c r="AZ244" s="31">
        <v>0</v>
      </c>
      <c r="BA244" s="31">
        <v>0</v>
      </c>
      <c r="BB244" s="31">
        <v>0</v>
      </c>
      <c r="BC244" s="31">
        <f t="shared" si="19"/>
        <v>414544.61920740642</v>
      </c>
      <c r="BD244" s="31">
        <v>0</v>
      </c>
    </row>
    <row r="245" spans="2:56">
      <c r="B245" s="42" t="s">
        <v>317</v>
      </c>
      <c r="C245" s="42" t="s">
        <v>318</v>
      </c>
      <c r="D245" s="43" t="s">
        <v>1049</v>
      </c>
      <c r="E245" s="44">
        <v>32</v>
      </c>
      <c r="F245" s="31">
        <v>30583704.594515305</v>
      </c>
      <c r="G245" s="31">
        <v>1795090.0099999998</v>
      </c>
      <c r="H245" s="31">
        <v>1329118.8400000001</v>
      </c>
      <c r="I245" s="31">
        <v>120049.43999999999</v>
      </c>
      <c r="J245" s="31">
        <v>5465182.0350810001</v>
      </c>
      <c r="K245" s="31">
        <v>3080770.5080781579</v>
      </c>
      <c r="L245" s="31">
        <v>7001494.2626352645</v>
      </c>
      <c r="M245" s="31">
        <f t="shared" si="16"/>
        <v>50606501.140309736</v>
      </c>
      <c r="N245" s="31">
        <v>1231091.4500000002</v>
      </c>
      <c r="P245" s="42" t="s">
        <v>317</v>
      </c>
      <c r="Q245" s="42" t="s">
        <v>318</v>
      </c>
      <c r="R245" s="43" t="s">
        <v>1050</v>
      </c>
      <c r="S245" s="44">
        <v>32</v>
      </c>
      <c r="T245" s="31">
        <v>32228214.093783818</v>
      </c>
      <c r="U245" s="31">
        <v>1890223.7800000007</v>
      </c>
      <c r="V245" s="31">
        <v>1386836.53</v>
      </c>
      <c r="W245" s="31">
        <v>125266.56999999999</v>
      </c>
      <c r="X245" s="31">
        <v>5678090.027866344</v>
      </c>
      <c r="Y245" s="31">
        <v>3083927.6286920668</v>
      </c>
      <c r="Z245" s="31">
        <v>7356725.938135827</v>
      </c>
      <c r="AA245" s="31">
        <f t="shared" si="17"/>
        <v>53016830.738478057</v>
      </c>
      <c r="AB245" s="31">
        <v>1267546.17</v>
      </c>
      <c r="AD245" s="42" t="s">
        <v>317</v>
      </c>
      <c r="AE245" s="42" t="s">
        <v>318</v>
      </c>
      <c r="AF245" s="43" t="s">
        <v>1275</v>
      </c>
      <c r="AG245" s="44">
        <v>32</v>
      </c>
      <c r="AH245" s="31">
        <v>32870996.174864769</v>
      </c>
      <c r="AI245" s="31">
        <v>1931120.1700000006</v>
      </c>
      <c r="AJ245" s="31">
        <v>1414996.4799999997</v>
      </c>
      <c r="AK245" s="31">
        <v>127820.10999999999</v>
      </c>
      <c r="AL245" s="31">
        <v>5787591.5695596747</v>
      </c>
      <c r="AM245" s="31">
        <v>3082855.0627455632</v>
      </c>
      <c r="AN245" s="31">
        <v>7503923.5036315396</v>
      </c>
      <c r="AO245" s="31">
        <f t="shared" si="18"/>
        <v>54010095.650801539</v>
      </c>
      <c r="AP245" s="31">
        <v>1290792.5799999998</v>
      </c>
      <c r="AR245" s="42" t="s">
        <v>317</v>
      </c>
      <c r="AS245" s="42" t="s">
        <v>318</v>
      </c>
      <c r="AT245" s="43" t="s">
        <v>1276</v>
      </c>
      <c r="AU245" s="44">
        <v>32</v>
      </c>
      <c r="AV245" s="31">
        <v>33534197.762853846</v>
      </c>
      <c r="AW245" s="31">
        <v>1969416.7299999995</v>
      </c>
      <c r="AX245" s="31">
        <v>1443356.76</v>
      </c>
      <c r="AY245" s="31">
        <v>130364.32</v>
      </c>
      <c r="AZ245" s="31">
        <v>5904375.1265192283</v>
      </c>
      <c r="BA245" s="31">
        <v>3083025.7458992293</v>
      </c>
      <c r="BB245" s="31">
        <v>7655388.3384449771</v>
      </c>
      <c r="BC245" s="31">
        <f t="shared" si="19"/>
        <v>55037128.483717278</v>
      </c>
      <c r="BD245" s="31">
        <v>1317003.7000000002</v>
      </c>
    </row>
    <row r="246" spans="2:56">
      <c r="B246" s="42" t="s">
        <v>213</v>
      </c>
      <c r="C246" s="42" t="s">
        <v>214</v>
      </c>
      <c r="D246" s="43" t="s">
        <v>1049</v>
      </c>
      <c r="E246" s="44">
        <v>32</v>
      </c>
      <c r="F246" s="31">
        <v>85181361.258341745</v>
      </c>
      <c r="G246" s="31">
        <v>1782995.13</v>
      </c>
      <c r="H246" s="31">
        <v>1555205.55</v>
      </c>
      <c r="I246" s="31">
        <v>300012.73999999993</v>
      </c>
      <c r="J246" s="31">
        <v>11196260.081652844</v>
      </c>
      <c r="K246" s="31">
        <v>4175241.9513095766</v>
      </c>
      <c r="L246" s="31">
        <v>4482145.2827807777</v>
      </c>
      <c r="M246" s="31">
        <f t="shared" si="16"/>
        <v>108673221.99408494</v>
      </c>
      <c r="N246" s="31">
        <v>0</v>
      </c>
      <c r="P246" s="42" t="s">
        <v>213</v>
      </c>
      <c r="Q246" s="42" t="s">
        <v>214</v>
      </c>
      <c r="R246" s="43" t="s">
        <v>1050</v>
      </c>
      <c r="S246" s="44">
        <v>32</v>
      </c>
      <c r="T246" s="31">
        <v>87709285.551824063</v>
      </c>
      <c r="U246" s="31">
        <v>1830051.4499999997</v>
      </c>
      <c r="V246" s="31">
        <v>1596333.1800000002</v>
      </c>
      <c r="W246" s="31">
        <v>307955.43000000005</v>
      </c>
      <c r="X246" s="31">
        <v>11477687.189997312</v>
      </c>
      <c r="Y246" s="31">
        <v>4178773.6670333589</v>
      </c>
      <c r="Z246" s="31">
        <v>4602811.1493638344</v>
      </c>
      <c r="AA246" s="31">
        <f t="shared" si="17"/>
        <v>111702897.61821859</v>
      </c>
      <c r="AB246" s="31">
        <v>0</v>
      </c>
      <c r="AD246" s="42" t="s">
        <v>213</v>
      </c>
      <c r="AE246" s="42" t="s">
        <v>214</v>
      </c>
      <c r="AF246" s="43" t="s">
        <v>1275</v>
      </c>
      <c r="AG246" s="44">
        <v>32</v>
      </c>
      <c r="AH246" s="31">
        <v>89467498.466934085</v>
      </c>
      <c r="AI246" s="31">
        <v>1867367.02</v>
      </c>
      <c r="AJ246" s="31">
        <v>1628827.3099999998</v>
      </c>
      <c r="AK246" s="31">
        <v>314232.46000000002</v>
      </c>
      <c r="AL246" s="31">
        <v>11700730.060414001</v>
      </c>
      <c r="AM246" s="31">
        <v>4177433.2631457606</v>
      </c>
      <c r="AN246" s="31">
        <v>4695257.8312377641</v>
      </c>
      <c r="AO246" s="31">
        <f t="shared" si="18"/>
        <v>113851346.4117316</v>
      </c>
      <c r="AP246" s="31">
        <v>0</v>
      </c>
      <c r="AR246" s="42" t="s">
        <v>213</v>
      </c>
      <c r="AS246" s="42" t="s">
        <v>214</v>
      </c>
      <c r="AT246" s="43" t="s">
        <v>1276</v>
      </c>
      <c r="AU246" s="44">
        <v>32</v>
      </c>
      <c r="AV246" s="31">
        <v>91293817.86360234</v>
      </c>
      <c r="AW246" s="31">
        <v>1905419.92</v>
      </c>
      <c r="AX246" s="31">
        <v>1662073.9200000002</v>
      </c>
      <c r="AY246" s="31">
        <v>320569.75999999995</v>
      </c>
      <c r="AZ246" s="31">
        <v>11939973.488871858</v>
      </c>
      <c r="BA246" s="31">
        <v>4177639.5611795108</v>
      </c>
      <c r="BB246" s="31">
        <v>4791075.8342738841</v>
      </c>
      <c r="BC246" s="31">
        <f t="shared" si="19"/>
        <v>116090570.3479276</v>
      </c>
      <c r="BD246" s="31">
        <v>0</v>
      </c>
    </row>
    <row r="247" spans="2:56">
      <c r="B247" s="42" t="s">
        <v>415</v>
      </c>
      <c r="C247" s="42" t="s">
        <v>416</v>
      </c>
      <c r="D247" s="43" t="s">
        <v>1049</v>
      </c>
      <c r="E247" s="44">
        <v>32</v>
      </c>
      <c r="F247" s="31">
        <v>700207.42173518077</v>
      </c>
      <c r="G247" s="31">
        <v>26894.190000000002</v>
      </c>
      <c r="H247" s="31">
        <v>0</v>
      </c>
      <c r="I247" s="31">
        <v>0</v>
      </c>
      <c r="J247" s="31">
        <v>86245.725569289018</v>
      </c>
      <c r="K247" s="31">
        <v>86595.467739883927</v>
      </c>
      <c r="L247" s="31">
        <v>0</v>
      </c>
      <c r="M247" s="31">
        <f t="shared" si="16"/>
        <v>919918.57504435373</v>
      </c>
      <c r="N247" s="31">
        <v>19975.769999999997</v>
      </c>
      <c r="P247" s="42" t="s">
        <v>415</v>
      </c>
      <c r="Q247" s="42" t="s">
        <v>416</v>
      </c>
      <c r="R247" s="43" t="s">
        <v>1050</v>
      </c>
      <c r="S247" s="44">
        <v>32</v>
      </c>
      <c r="T247" s="31">
        <v>735587.97792259324</v>
      </c>
      <c r="U247" s="31">
        <v>28202.970000000008</v>
      </c>
      <c r="V247" s="31">
        <v>0</v>
      </c>
      <c r="W247" s="31">
        <v>0</v>
      </c>
      <c r="X247" s="31">
        <v>89152.512193572547</v>
      </c>
      <c r="Y247" s="31">
        <v>86619.877020637461</v>
      </c>
      <c r="Z247" s="31">
        <v>0</v>
      </c>
      <c r="AA247" s="31">
        <f t="shared" si="17"/>
        <v>960030.17713680328</v>
      </c>
      <c r="AB247" s="31">
        <v>20466.839999999997</v>
      </c>
      <c r="AD247" s="42" t="s">
        <v>415</v>
      </c>
      <c r="AE247" s="42" t="s">
        <v>416</v>
      </c>
      <c r="AF247" s="43" t="s">
        <v>1275</v>
      </c>
      <c r="AG247" s="44">
        <v>32</v>
      </c>
      <c r="AH247" s="31">
        <v>749726.09386722208</v>
      </c>
      <c r="AI247" s="31">
        <v>28794.430000000004</v>
      </c>
      <c r="AJ247" s="31">
        <v>0</v>
      </c>
      <c r="AK247" s="31">
        <v>0</v>
      </c>
      <c r="AL247" s="31">
        <v>90802.114644308822</v>
      </c>
      <c r="AM247" s="31">
        <v>86611.584476095595</v>
      </c>
      <c r="AN247" s="31">
        <v>0</v>
      </c>
      <c r="AO247" s="31">
        <f t="shared" si="18"/>
        <v>976761.66298762651</v>
      </c>
      <c r="AP247" s="31">
        <v>20827.439999999999</v>
      </c>
      <c r="AR247" s="42" t="s">
        <v>415</v>
      </c>
      <c r="AS247" s="42" t="s">
        <v>416</v>
      </c>
      <c r="AT247" s="43" t="s">
        <v>1276</v>
      </c>
      <c r="AU247" s="44">
        <v>32</v>
      </c>
      <c r="AV247" s="31">
        <v>763448.44883833965</v>
      </c>
      <c r="AW247" s="31">
        <v>29314.380000000005</v>
      </c>
      <c r="AX247" s="31">
        <v>0</v>
      </c>
      <c r="AY247" s="31">
        <v>0</v>
      </c>
      <c r="AZ247" s="31">
        <v>92471.027281268209</v>
      </c>
      <c r="BA247" s="31">
        <v>86612.904113045588</v>
      </c>
      <c r="BB247" s="31">
        <v>0</v>
      </c>
      <c r="BC247" s="31">
        <f t="shared" si="19"/>
        <v>993060.39023265336</v>
      </c>
      <c r="BD247" s="31">
        <v>21213.629999999997</v>
      </c>
    </row>
    <row r="248" spans="2:56">
      <c r="B248" s="42" t="s">
        <v>197</v>
      </c>
      <c r="C248" s="42" t="s">
        <v>198</v>
      </c>
      <c r="D248" s="43" t="s">
        <v>1049</v>
      </c>
      <c r="E248" s="44">
        <v>32</v>
      </c>
      <c r="F248" s="31">
        <v>2142717.5319007295</v>
      </c>
      <c r="G248" s="31">
        <v>22922.82</v>
      </c>
      <c r="H248" s="31">
        <v>0</v>
      </c>
      <c r="I248" s="31">
        <v>0</v>
      </c>
      <c r="J248" s="31">
        <v>56634.450937427348</v>
      </c>
      <c r="K248" s="31">
        <v>51376.613673667569</v>
      </c>
      <c r="L248" s="31">
        <v>0</v>
      </c>
      <c r="M248" s="31">
        <f t="shared" si="16"/>
        <v>2286185.5465118242</v>
      </c>
      <c r="N248" s="31">
        <v>12534.130000000003</v>
      </c>
      <c r="P248" s="42" t="s">
        <v>197</v>
      </c>
      <c r="Q248" s="42" t="s">
        <v>198</v>
      </c>
      <c r="R248" s="43" t="s">
        <v>1050</v>
      </c>
      <c r="S248" s="44">
        <v>32</v>
      </c>
      <c r="T248" s="31">
        <v>2221724.5283649955</v>
      </c>
      <c r="U248" s="31">
        <v>23919.420000000006</v>
      </c>
      <c r="V248" s="31">
        <v>0</v>
      </c>
      <c r="W248" s="31">
        <v>0</v>
      </c>
      <c r="X248" s="31">
        <v>58514.501477729136</v>
      </c>
      <c r="Y248" s="31">
        <v>51403.332077869774</v>
      </c>
      <c r="Z248" s="31">
        <v>0</v>
      </c>
      <c r="AA248" s="31">
        <f t="shared" si="17"/>
        <v>2368409.6719205943</v>
      </c>
      <c r="AB248" s="31">
        <v>12847.890000000001</v>
      </c>
      <c r="AD248" s="42" t="s">
        <v>197</v>
      </c>
      <c r="AE248" s="42" t="s">
        <v>198</v>
      </c>
      <c r="AF248" s="43" t="s">
        <v>1275</v>
      </c>
      <c r="AG248" s="44">
        <v>32</v>
      </c>
      <c r="AH248" s="31">
        <v>2264295.6257855264</v>
      </c>
      <c r="AI248" s="31">
        <v>24409.929999999993</v>
      </c>
      <c r="AJ248" s="31">
        <v>0</v>
      </c>
      <c r="AK248" s="31">
        <v>0</v>
      </c>
      <c r="AL248" s="31">
        <v>59607.127914687429</v>
      </c>
      <c r="AM248" s="31">
        <v>51393.234521723345</v>
      </c>
      <c r="AN248" s="31">
        <v>0</v>
      </c>
      <c r="AO248" s="31">
        <f t="shared" si="18"/>
        <v>2412784.2082219375</v>
      </c>
      <c r="AP248" s="31">
        <v>13078.29</v>
      </c>
      <c r="AR248" s="42" t="s">
        <v>197</v>
      </c>
      <c r="AS248" s="42" t="s">
        <v>198</v>
      </c>
      <c r="AT248" s="43" t="s">
        <v>1276</v>
      </c>
      <c r="AU248" s="44">
        <v>32</v>
      </c>
      <c r="AV248" s="31">
        <v>2305987.234403152</v>
      </c>
      <c r="AW248" s="31">
        <v>24861.199999999993</v>
      </c>
      <c r="AX248" s="31">
        <v>0</v>
      </c>
      <c r="AY248" s="31">
        <v>0</v>
      </c>
      <c r="AZ248" s="31">
        <v>60721.286650756818</v>
      </c>
      <c r="BA248" s="31">
        <v>51394.788610008203</v>
      </c>
      <c r="BB248" s="31">
        <v>0</v>
      </c>
      <c r="BC248" s="31">
        <f t="shared" si="19"/>
        <v>2456289.5396639169</v>
      </c>
      <c r="BD248" s="31">
        <v>13325.030000000002</v>
      </c>
    </row>
    <row r="249" spans="2:56">
      <c r="B249" s="42" t="s">
        <v>439</v>
      </c>
      <c r="C249" s="42" t="s">
        <v>440</v>
      </c>
      <c r="D249" s="43" t="s">
        <v>1049</v>
      </c>
      <c r="E249" s="44">
        <v>32</v>
      </c>
      <c r="F249" s="31">
        <v>85855845.537386566</v>
      </c>
      <c r="G249" s="31">
        <v>1310678.54</v>
      </c>
      <c r="H249" s="31">
        <v>732549.27</v>
      </c>
      <c r="I249" s="31">
        <v>305400.81999999995</v>
      </c>
      <c r="J249" s="31">
        <v>12091594.498744344</v>
      </c>
      <c r="K249" s="31">
        <v>5933475.7636761786</v>
      </c>
      <c r="L249" s="31">
        <v>5455262.0614047665</v>
      </c>
      <c r="M249" s="31">
        <f t="shared" si="16"/>
        <v>111684806.49121185</v>
      </c>
      <c r="N249" s="31">
        <v>0</v>
      </c>
      <c r="P249" s="42" t="s">
        <v>439</v>
      </c>
      <c r="Q249" s="42" t="s">
        <v>440</v>
      </c>
      <c r="R249" s="43" t="s">
        <v>1050</v>
      </c>
      <c r="S249" s="44">
        <v>32</v>
      </c>
      <c r="T249" s="31">
        <v>88414126.246765584</v>
      </c>
      <c r="U249" s="31">
        <v>1345285.1099999999</v>
      </c>
      <c r="V249" s="31">
        <v>751973.27999999991</v>
      </c>
      <c r="W249" s="31">
        <v>313575.88999999996</v>
      </c>
      <c r="X249" s="31">
        <v>12395653.587123759</v>
      </c>
      <c r="Y249" s="31">
        <v>5937478.8813336771</v>
      </c>
      <c r="Z249" s="31">
        <v>5602157.7605927959</v>
      </c>
      <c r="AA249" s="31">
        <f t="shared" si="17"/>
        <v>114760250.7558158</v>
      </c>
      <c r="AB249" s="31">
        <v>0</v>
      </c>
      <c r="AD249" s="42" t="s">
        <v>439</v>
      </c>
      <c r="AE249" s="42" t="s">
        <v>440</v>
      </c>
      <c r="AF249" s="43" t="s">
        <v>1275</v>
      </c>
      <c r="AG249" s="44">
        <v>32</v>
      </c>
      <c r="AH249" s="31">
        <v>90185002.177926272</v>
      </c>
      <c r="AI249" s="31">
        <v>1372618.0099999998</v>
      </c>
      <c r="AJ249" s="31">
        <v>767195.23</v>
      </c>
      <c r="AK249" s="31">
        <v>319843.75</v>
      </c>
      <c r="AL249" s="31">
        <v>12636533.406657379</v>
      </c>
      <c r="AM249" s="31">
        <v>5935959.5646926202</v>
      </c>
      <c r="AN249" s="31">
        <v>5714466.0294559151</v>
      </c>
      <c r="AO249" s="31">
        <f t="shared" si="18"/>
        <v>116931618.1687322</v>
      </c>
      <c r="AP249" s="31">
        <v>0</v>
      </c>
      <c r="AR249" s="42" t="s">
        <v>439</v>
      </c>
      <c r="AS249" s="42" t="s">
        <v>440</v>
      </c>
      <c r="AT249" s="43" t="s">
        <v>1276</v>
      </c>
      <c r="AU249" s="44">
        <v>32</v>
      </c>
      <c r="AV249" s="31">
        <v>92026433.571558639</v>
      </c>
      <c r="AW249" s="31">
        <v>1400607.7</v>
      </c>
      <c r="AX249" s="31">
        <v>782817.71</v>
      </c>
      <c r="AY249" s="31">
        <v>326407.15000000002</v>
      </c>
      <c r="AZ249" s="31">
        <v>12894944.067478314</v>
      </c>
      <c r="BA249" s="31">
        <v>5936193.3987172702</v>
      </c>
      <c r="BB249" s="31">
        <v>5831354.7702928614</v>
      </c>
      <c r="BC249" s="31">
        <f t="shared" si="19"/>
        <v>119198758.36804709</v>
      </c>
      <c r="BD249" s="31">
        <v>0</v>
      </c>
    </row>
    <row r="250" spans="2:56">
      <c r="B250" s="42" t="s">
        <v>209</v>
      </c>
      <c r="C250" s="42" t="s">
        <v>210</v>
      </c>
      <c r="D250" s="43" t="s">
        <v>1049</v>
      </c>
      <c r="E250" s="44">
        <v>32</v>
      </c>
      <c r="F250" s="31">
        <v>64863921.017356321</v>
      </c>
      <c r="G250" s="31">
        <v>542468.77</v>
      </c>
      <c r="H250" s="31">
        <v>498542.79</v>
      </c>
      <c r="I250" s="31">
        <v>230696.01999999996</v>
      </c>
      <c r="J250" s="31">
        <v>7205361.7576231575</v>
      </c>
      <c r="K250" s="31">
        <v>3799938.7519027176</v>
      </c>
      <c r="L250" s="31">
        <v>4505042.7153187245</v>
      </c>
      <c r="M250" s="31">
        <f t="shared" si="16"/>
        <v>81645971.822200924</v>
      </c>
      <c r="N250" s="31">
        <v>0</v>
      </c>
      <c r="P250" s="42" t="s">
        <v>209</v>
      </c>
      <c r="Q250" s="42" t="s">
        <v>210</v>
      </c>
      <c r="R250" s="43" t="s">
        <v>1050</v>
      </c>
      <c r="S250" s="44">
        <v>32</v>
      </c>
      <c r="T250" s="31">
        <v>67615223.134370118</v>
      </c>
      <c r="U250" s="31">
        <v>565326.53</v>
      </c>
      <c r="V250" s="31">
        <v>519425.95000000007</v>
      </c>
      <c r="W250" s="31">
        <v>240392.58999999997</v>
      </c>
      <c r="X250" s="31">
        <v>7480933.9967792779</v>
      </c>
      <c r="Y250" s="31">
        <v>3803461.4931310806</v>
      </c>
      <c r="Z250" s="31">
        <v>4684417.2242932245</v>
      </c>
      <c r="AA250" s="31">
        <f t="shared" si="17"/>
        <v>84909180.918573707</v>
      </c>
      <c r="AB250" s="31">
        <v>0</v>
      </c>
      <c r="AD250" s="42" t="s">
        <v>209</v>
      </c>
      <c r="AE250" s="42" t="s">
        <v>210</v>
      </c>
      <c r="AF250" s="43" t="s">
        <v>1275</v>
      </c>
      <c r="AG250" s="44">
        <v>32</v>
      </c>
      <c r="AH250" s="31">
        <v>68968743.285557166</v>
      </c>
      <c r="AI250" s="31">
        <v>576888.78</v>
      </c>
      <c r="AJ250" s="31">
        <v>529968.81000000006</v>
      </c>
      <c r="AK250" s="31">
        <v>245225.49000000002</v>
      </c>
      <c r="AL250" s="31">
        <v>7626291.3772921311</v>
      </c>
      <c r="AM250" s="31">
        <v>3802130.160725391</v>
      </c>
      <c r="AN250" s="31">
        <v>4778479.130367469</v>
      </c>
      <c r="AO250" s="31">
        <f t="shared" si="18"/>
        <v>86527727.033942148</v>
      </c>
      <c r="AP250" s="31">
        <v>0</v>
      </c>
      <c r="AR250" s="42" t="s">
        <v>209</v>
      </c>
      <c r="AS250" s="42" t="s">
        <v>210</v>
      </c>
      <c r="AT250" s="43" t="s">
        <v>1276</v>
      </c>
      <c r="AU250" s="44">
        <v>32</v>
      </c>
      <c r="AV250" s="31">
        <v>70376149.758786649</v>
      </c>
      <c r="AW250" s="31">
        <v>588603.03999999992</v>
      </c>
      <c r="AX250" s="31">
        <v>540809.44000000006</v>
      </c>
      <c r="AY250" s="31">
        <v>250277.92</v>
      </c>
      <c r="AZ250" s="31">
        <v>7782229.9102539979</v>
      </c>
      <c r="BA250" s="31">
        <v>3802335.0625912407</v>
      </c>
      <c r="BB250" s="31">
        <v>4876091.7801583335</v>
      </c>
      <c r="BC250" s="31">
        <f t="shared" si="19"/>
        <v>88216496.911790222</v>
      </c>
      <c r="BD250" s="31">
        <v>0</v>
      </c>
    </row>
    <row r="251" spans="2:56">
      <c r="B251" s="42" t="s">
        <v>129</v>
      </c>
      <c r="C251" s="42" t="s">
        <v>130</v>
      </c>
      <c r="D251" s="43" t="s">
        <v>1049</v>
      </c>
      <c r="E251" s="44">
        <v>32</v>
      </c>
      <c r="F251" s="31">
        <v>4959821.2148148557</v>
      </c>
      <c r="G251" s="31">
        <v>274398.70999999996</v>
      </c>
      <c r="H251" s="31">
        <v>156298.14000000001</v>
      </c>
      <c r="I251" s="31">
        <v>15493.390000000001</v>
      </c>
      <c r="J251" s="31">
        <v>691724.8891853739</v>
      </c>
      <c r="K251" s="31">
        <v>359194.44337709708</v>
      </c>
      <c r="L251" s="31">
        <v>246344.5105411355</v>
      </c>
      <c r="M251" s="31">
        <f t="shared" si="16"/>
        <v>6861327.4179184614</v>
      </c>
      <c r="N251" s="31">
        <v>158052.12000000002</v>
      </c>
      <c r="P251" s="42" t="s">
        <v>129</v>
      </c>
      <c r="Q251" s="42" t="s">
        <v>130</v>
      </c>
      <c r="R251" s="43" t="s">
        <v>1050</v>
      </c>
      <c r="S251" s="44">
        <v>32</v>
      </c>
      <c r="T251" s="31">
        <v>5215563.5096901627</v>
      </c>
      <c r="U251" s="31">
        <v>288445.97000000009</v>
      </c>
      <c r="V251" s="31">
        <v>163109.63</v>
      </c>
      <c r="W251" s="31">
        <v>16189.540000000003</v>
      </c>
      <c r="X251" s="31">
        <v>718654.64612326387</v>
      </c>
      <c r="Y251" s="31">
        <v>359487.76827475033</v>
      </c>
      <c r="Z251" s="31">
        <v>258863.01139873135</v>
      </c>
      <c r="AA251" s="31">
        <f t="shared" si="17"/>
        <v>7183050.3854869083</v>
      </c>
      <c r="AB251" s="31">
        <v>162736.31000000003</v>
      </c>
      <c r="AD251" s="42" t="s">
        <v>129</v>
      </c>
      <c r="AE251" s="42" t="s">
        <v>130</v>
      </c>
      <c r="AF251" s="43" t="s">
        <v>1275</v>
      </c>
      <c r="AG251" s="44">
        <v>32</v>
      </c>
      <c r="AH251" s="31">
        <v>5318530.7636578446</v>
      </c>
      <c r="AI251" s="31">
        <v>294715.57999999996</v>
      </c>
      <c r="AJ251" s="31">
        <v>166403.43</v>
      </c>
      <c r="AK251" s="31">
        <v>16506.23</v>
      </c>
      <c r="AL251" s="31">
        <v>732528.32266263198</v>
      </c>
      <c r="AM251" s="31">
        <v>359388.11725251877</v>
      </c>
      <c r="AN251" s="31">
        <v>263987.43075641996</v>
      </c>
      <c r="AO251" s="31">
        <f t="shared" si="18"/>
        <v>7317764.9343294147</v>
      </c>
      <c r="AP251" s="31">
        <v>165705.06000000003</v>
      </c>
      <c r="AR251" s="42" t="s">
        <v>129</v>
      </c>
      <c r="AS251" s="42" t="s">
        <v>130</v>
      </c>
      <c r="AT251" s="43" t="s">
        <v>1276</v>
      </c>
      <c r="AU251" s="44">
        <v>32</v>
      </c>
      <c r="AV251" s="31">
        <v>5423683.1192973834</v>
      </c>
      <c r="AW251" s="31">
        <v>300475.59000000008</v>
      </c>
      <c r="AX251" s="31">
        <v>169757.23</v>
      </c>
      <c r="AY251" s="31">
        <v>16912.7</v>
      </c>
      <c r="AZ251" s="31">
        <v>747288.41825456568</v>
      </c>
      <c r="BA251" s="31">
        <v>359403.97525248223</v>
      </c>
      <c r="BB251" s="31">
        <v>269334.06137039047</v>
      </c>
      <c r="BC251" s="31">
        <f t="shared" si="19"/>
        <v>7455943.1641748222</v>
      </c>
      <c r="BD251" s="31">
        <v>169088.06999999998</v>
      </c>
    </row>
    <row r="252" spans="2:56">
      <c r="B252" s="42" t="s">
        <v>347</v>
      </c>
      <c r="C252" s="42" t="s">
        <v>348</v>
      </c>
      <c r="D252" s="43" t="s">
        <v>1049</v>
      </c>
      <c r="E252" s="44">
        <v>32</v>
      </c>
      <c r="F252" s="31">
        <v>4972758.6528821643</v>
      </c>
      <c r="G252" s="31">
        <v>241170.74000000002</v>
      </c>
      <c r="H252" s="31">
        <v>134081.19999999998</v>
      </c>
      <c r="I252" s="31">
        <v>0</v>
      </c>
      <c r="J252" s="31">
        <v>696289.58867765113</v>
      </c>
      <c r="K252" s="31">
        <v>479754.04803993308</v>
      </c>
      <c r="L252" s="31">
        <v>376650.57501439704</v>
      </c>
      <c r="M252" s="31">
        <f t="shared" si="16"/>
        <v>7049889.6446141452</v>
      </c>
      <c r="N252" s="31">
        <v>149184.84</v>
      </c>
      <c r="P252" s="42" t="s">
        <v>347</v>
      </c>
      <c r="Q252" s="42" t="s">
        <v>348</v>
      </c>
      <c r="R252" s="43" t="s">
        <v>1050</v>
      </c>
      <c r="S252" s="44">
        <v>32</v>
      </c>
      <c r="T252" s="31">
        <v>5228095.0282745594</v>
      </c>
      <c r="U252" s="31">
        <v>253819.48999999996</v>
      </c>
      <c r="V252" s="31">
        <v>139837.15999999997</v>
      </c>
      <c r="W252" s="31">
        <v>0</v>
      </c>
      <c r="X252" s="31">
        <v>723398.85014450026</v>
      </c>
      <c r="Y252" s="31">
        <v>480159.7183037402</v>
      </c>
      <c r="Z252" s="31">
        <v>395549.87058016006</v>
      </c>
      <c r="AA252" s="31">
        <f t="shared" si="17"/>
        <v>7374511.1373029593</v>
      </c>
      <c r="AB252" s="31">
        <v>153651.01999999999</v>
      </c>
      <c r="AD252" s="42" t="s">
        <v>347</v>
      </c>
      <c r="AE252" s="42" t="s">
        <v>348</v>
      </c>
      <c r="AF252" s="43" t="s">
        <v>1275</v>
      </c>
      <c r="AG252" s="44">
        <v>32</v>
      </c>
      <c r="AH252" s="31">
        <v>5331085.4805350835</v>
      </c>
      <c r="AI252" s="31">
        <v>259290.94999999995</v>
      </c>
      <c r="AJ252" s="31">
        <v>142778.88999999998</v>
      </c>
      <c r="AK252" s="31">
        <v>0</v>
      </c>
      <c r="AL252" s="31">
        <v>737356.41557422106</v>
      </c>
      <c r="AM252" s="31">
        <v>480021.90028419677</v>
      </c>
      <c r="AN252" s="31">
        <v>403532.46054633817</v>
      </c>
      <c r="AO252" s="31">
        <f t="shared" si="18"/>
        <v>7510525.7969398396</v>
      </c>
      <c r="AP252" s="31">
        <v>156459.70000000001</v>
      </c>
      <c r="AR252" s="42" t="s">
        <v>347</v>
      </c>
      <c r="AS252" s="42" t="s">
        <v>348</v>
      </c>
      <c r="AT252" s="43" t="s">
        <v>1276</v>
      </c>
      <c r="AU252" s="44">
        <v>32</v>
      </c>
      <c r="AV252" s="31">
        <v>5436247.7561587673</v>
      </c>
      <c r="AW252" s="31">
        <v>264406.66000000003</v>
      </c>
      <c r="AX252" s="31">
        <v>145701.29999999999</v>
      </c>
      <c r="AY252" s="31">
        <v>0</v>
      </c>
      <c r="AZ252" s="31">
        <v>752215.91631790169</v>
      </c>
      <c r="BA252" s="31">
        <v>480043.83200250677</v>
      </c>
      <c r="BB252" s="31">
        <v>411600.09668106452</v>
      </c>
      <c r="BC252" s="31">
        <f t="shared" si="19"/>
        <v>7649886.8711602399</v>
      </c>
      <c r="BD252" s="31">
        <v>159671.31</v>
      </c>
    </row>
    <row r="253" spans="2:56">
      <c r="B253" s="42" t="s">
        <v>235</v>
      </c>
      <c r="C253" s="42" t="s">
        <v>236</v>
      </c>
      <c r="D253" s="43" t="s">
        <v>1049</v>
      </c>
      <c r="E253" s="44">
        <v>32</v>
      </c>
      <c r="F253" s="31">
        <v>85289799.398860872</v>
      </c>
      <c r="G253" s="31">
        <v>2598971.94</v>
      </c>
      <c r="H253" s="31">
        <v>429096.86000000004</v>
      </c>
      <c r="I253" s="31">
        <v>313918.23</v>
      </c>
      <c r="J253" s="31">
        <v>14160153.424608892</v>
      </c>
      <c r="K253" s="31">
        <v>5783254.8153874511</v>
      </c>
      <c r="L253" s="31">
        <v>8826506.843074888</v>
      </c>
      <c r="M253" s="31">
        <f t="shared" si="16"/>
        <v>117610378.10193211</v>
      </c>
      <c r="N253" s="31">
        <v>208676.59</v>
      </c>
      <c r="P253" s="42" t="s">
        <v>235</v>
      </c>
      <c r="Q253" s="42" t="s">
        <v>236</v>
      </c>
      <c r="R253" s="43" t="s">
        <v>1050</v>
      </c>
      <c r="S253" s="44">
        <v>32</v>
      </c>
      <c r="T253" s="31">
        <v>88899931.176407993</v>
      </c>
      <c r="U253" s="31">
        <v>2710751.5800000005</v>
      </c>
      <c r="V253" s="31">
        <v>447062.28000000009</v>
      </c>
      <c r="W253" s="31">
        <v>327041.63999999996</v>
      </c>
      <c r="X253" s="31">
        <v>14701735.164051972</v>
      </c>
      <c r="Y253" s="31">
        <v>5789030.7934514247</v>
      </c>
      <c r="Z253" s="31">
        <v>9178246.0057169981</v>
      </c>
      <c r="AA253" s="31">
        <f t="shared" si="17"/>
        <v>122268740.6696284</v>
      </c>
      <c r="AB253" s="31">
        <v>214942.03</v>
      </c>
      <c r="AD253" s="42" t="s">
        <v>235</v>
      </c>
      <c r="AE253" s="42" t="s">
        <v>236</v>
      </c>
      <c r="AF253" s="43" t="s">
        <v>1275</v>
      </c>
      <c r="AG253" s="44">
        <v>32</v>
      </c>
      <c r="AH253" s="31">
        <v>90673591.834507197</v>
      </c>
      <c r="AI253" s="31">
        <v>2766294.17</v>
      </c>
      <c r="AJ253" s="31">
        <v>456186.26</v>
      </c>
      <c r="AK253" s="31">
        <v>333812.31</v>
      </c>
      <c r="AL253" s="31">
        <v>14987437.720403677</v>
      </c>
      <c r="AM253" s="31">
        <v>5786847.9062415417</v>
      </c>
      <c r="AN253" s="31">
        <v>9362622.5921347626</v>
      </c>
      <c r="AO253" s="31">
        <f t="shared" si="18"/>
        <v>124585707.02328718</v>
      </c>
      <c r="AP253" s="31">
        <v>218914.23</v>
      </c>
      <c r="AR253" s="42" t="s">
        <v>235</v>
      </c>
      <c r="AS253" s="42" t="s">
        <v>236</v>
      </c>
      <c r="AT253" s="43" t="s">
        <v>1276</v>
      </c>
      <c r="AU253" s="44">
        <v>32</v>
      </c>
      <c r="AV253" s="31">
        <v>92522742.074645251</v>
      </c>
      <c r="AW253" s="31">
        <v>2822617.6699999995</v>
      </c>
      <c r="AX253" s="31">
        <v>465409.89</v>
      </c>
      <c r="AY253" s="31">
        <v>340514.15</v>
      </c>
      <c r="AZ253" s="31">
        <v>15293921.425111394</v>
      </c>
      <c r="BA253" s="31">
        <v>5787183.8686656021</v>
      </c>
      <c r="BB253" s="31">
        <v>9554071.5763624478</v>
      </c>
      <c r="BC253" s="31">
        <f t="shared" si="19"/>
        <v>127009985.33478472</v>
      </c>
      <c r="BD253" s="31">
        <v>223524.68000000002</v>
      </c>
    </row>
    <row r="254" spans="2:56">
      <c r="B254" s="42" t="s">
        <v>171</v>
      </c>
      <c r="C254" s="42" t="s">
        <v>172</v>
      </c>
      <c r="D254" s="43" t="s">
        <v>1049</v>
      </c>
      <c r="E254" s="44">
        <v>32</v>
      </c>
      <c r="F254" s="31">
        <v>11111683.18512262</v>
      </c>
      <c r="G254" s="31">
        <v>262608.57999999996</v>
      </c>
      <c r="H254" s="31">
        <v>8265.56</v>
      </c>
      <c r="I254" s="31">
        <v>40265.07</v>
      </c>
      <c r="J254" s="31">
        <v>1694261.9335738861</v>
      </c>
      <c r="K254" s="31">
        <v>898693.91896110936</v>
      </c>
      <c r="L254" s="31">
        <v>614274.19545904081</v>
      </c>
      <c r="M254" s="31">
        <f t="shared" si="16"/>
        <v>14645284.683116658</v>
      </c>
      <c r="N254" s="31">
        <v>15232.24</v>
      </c>
      <c r="P254" s="42" t="s">
        <v>171</v>
      </c>
      <c r="Q254" s="42" t="s">
        <v>172</v>
      </c>
      <c r="R254" s="43" t="s">
        <v>1050</v>
      </c>
      <c r="S254" s="44">
        <v>32</v>
      </c>
      <c r="T254" s="31">
        <v>11449141.569201473</v>
      </c>
      <c r="U254" s="31">
        <v>269779.89999999997</v>
      </c>
      <c r="V254" s="31">
        <v>8444.0099999999984</v>
      </c>
      <c r="W254" s="31">
        <v>41375.599999999991</v>
      </c>
      <c r="X254" s="31">
        <v>1737230.3975640943</v>
      </c>
      <c r="Y254" s="31">
        <v>899551.05157807306</v>
      </c>
      <c r="Z254" s="31">
        <v>630793.87598976213</v>
      </c>
      <c r="AA254" s="31">
        <f t="shared" si="17"/>
        <v>15051823.084333401</v>
      </c>
      <c r="AB254" s="31">
        <v>15506.68</v>
      </c>
      <c r="AD254" s="42" t="s">
        <v>171</v>
      </c>
      <c r="AE254" s="42" t="s">
        <v>172</v>
      </c>
      <c r="AF254" s="43" t="s">
        <v>1275</v>
      </c>
      <c r="AG254" s="44">
        <v>32</v>
      </c>
      <c r="AH254" s="31">
        <v>11677998.8098487</v>
      </c>
      <c r="AI254" s="31">
        <v>275343.18</v>
      </c>
      <c r="AJ254" s="31">
        <v>8609.65</v>
      </c>
      <c r="AK254" s="31">
        <v>42187.25</v>
      </c>
      <c r="AL254" s="31">
        <v>1771020.1443201364</v>
      </c>
      <c r="AM254" s="31">
        <v>899225.74116754683</v>
      </c>
      <c r="AN254" s="31">
        <v>643526.0755099114</v>
      </c>
      <c r="AO254" s="31">
        <f t="shared" si="18"/>
        <v>15333696.510846294</v>
      </c>
      <c r="AP254" s="31">
        <v>15785.66</v>
      </c>
      <c r="AR254" s="42" t="s">
        <v>171</v>
      </c>
      <c r="AS254" s="42" t="s">
        <v>172</v>
      </c>
      <c r="AT254" s="43" t="s">
        <v>1276</v>
      </c>
      <c r="AU254" s="44">
        <v>32</v>
      </c>
      <c r="AV254" s="31">
        <v>11917000.013675665</v>
      </c>
      <c r="AW254" s="31">
        <v>280860.39</v>
      </c>
      <c r="AX254" s="31">
        <v>8770.5400000000009</v>
      </c>
      <c r="AY254" s="31">
        <v>43100.850000000006</v>
      </c>
      <c r="AZ254" s="31">
        <v>1807300.8567336514</v>
      </c>
      <c r="BA254" s="31">
        <v>899275.80883645685</v>
      </c>
      <c r="BB254" s="31">
        <v>656487.76270024409</v>
      </c>
      <c r="BC254" s="31">
        <f t="shared" si="19"/>
        <v>15628880.661946017</v>
      </c>
      <c r="BD254" s="31">
        <v>16084.44</v>
      </c>
    </row>
    <row r="255" spans="2:56">
      <c r="B255" s="42" t="s">
        <v>313</v>
      </c>
      <c r="C255" s="42" t="s">
        <v>314</v>
      </c>
      <c r="D255" s="43" t="s">
        <v>1049</v>
      </c>
      <c r="E255" s="44">
        <v>32</v>
      </c>
      <c r="F255" s="31">
        <v>1811518.8183496073</v>
      </c>
      <c r="G255" s="31">
        <v>55152.590000000004</v>
      </c>
      <c r="H255" s="31">
        <v>0</v>
      </c>
      <c r="I255" s="31">
        <v>5651.6799999999994</v>
      </c>
      <c r="J255" s="31">
        <v>249207.61886518804</v>
      </c>
      <c r="K255" s="31">
        <v>95006.49304109544</v>
      </c>
      <c r="L255" s="31">
        <v>0</v>
      </c>
      <c r="M255" s="31">
        <f t="shared" si="16"/>
        <v>2216537.2002558908</v>
      </c>
      <c r="N255" s="31">
        <v>0</v>
      </c>
      <c r="P255" s="42" t="s">
        <v>313</v>
      </c>
      <c r="Q255" s="42" t="s">
        <v>314</v>
      </c>
      <c r="R255" s="43" t="s">
        <v>1050</v>
      </c>
      <c r="S255" s="44">
        <v>32</v>
      </c>
      <c r="T255" s="31">
        <v>1890859.9523178199</v>
      </c>
      <c r="U255" s="31">
        <v>57574.05</v>
      </c>
      <c r="V255" s="31">
        <v>0</v>
      </c>
      <c r="W255" s="31">
        <v>5868.72</v>
      </c>
      <c r="X255" s="31">
        <v>258879.45521632832</v>
      </c>
      <c r="Y255" s="31">
        <v>95091.560540009901</v>
      </c>
      <c r="Z255" s="31">
        <v>0</v>
      </c>
      <c r="AA255" s="31">
        <f t="shared" si="17"/>
        <v>2308273.7380741579</v>
      </c>
      <c r="AB255" s="31">
        <v>0</v>
      </c>
      <c r="AD255" s="42" t="s">
        <v>313</v>
      </c>
      <c r="AE255" s="42" t="s">
        <v>314</v>
      </c>
      <c r="AF255" s="43" t="s">
        <v>1275</v>
      </c>
      <c r="AG255" s="44">
        <v>32</v>
      </c>
      <c r="AH255" s="31">
        <v>1928589.800602752</v>
      </c>
      <c r="AI255" s="31">
        <v>58700.3</v>
      </c>
      <c r="AJ255" s="31">
        <v>0</v>
      </c>
      <c r="AK255" s="31">
        <v>5983.51</v>
      </c>
      <c r="AL255" s="31">
        <v>263863.84846576391</v>
      </c>
      <c r="AM255" s="31">
        <v>95062.660629728387</v>
      </c>
      <c r="AN255" s="31">
        <v>0</v>
      </c>
      <c r="AO255" s="31">
        <f t="shared" si="18"/>
        <v>2352200.1196982441</v>
      </c>
      <c r="AP255" s="31">
        <v>0</v>
      </c>
      <c r="AR255" s="42" t="s">
        <v>313</v>
      </c>
      <c r="AS255" s="42" t="s">
        <v>314</v>
      </c>
      <c r="AT255" s="43" t="s">
        <v>1276</v>
      </c>
      <c r="AU255" s="44">
        <v>32</v>
      </c>
      <c r="AV255" s="31">
        <v>1967555.175341547</v>
      </c>
      <c r="AW255" s="31">
        <v>59877.259999999995</v>
      </c>
      <c r="AX255" s="31">
        <v>0</v>
      </c>
      <c r="AY255" s="31">
        <v>6092.7800000000007</v>
      </c>
      <c r="AZ255" s="31">
        <v>269191.22608602158</v>
      </c>
      <c r="BA255" s="31">
        <v>95067.259626968211</v>
      </c>
      <c r="BB255" s="31">
        <v>0</v>
      </c>
      <c r="BC255" s="31">
        <f t="shared" si="19"/>
        <v>2397783.7010545367</v>
      </c>
      <c r="BD255" s="31">
        <v>0</v>
      </c>
    </row>
    <row r="256" spans="2:56">
      <c r="B256" s="42" t="s">
        <v>479</v>
      </c>
      <c r="C256" s="42" t="s">
        <v>480</v>
      </c>
      <c r="D256" s="43" t="s">
        <v>1049</v>
      </c>
      <c r="E256" s="44">
        <v>32</v>
      </c>
      <c r="F256" s="31">
        <v>7565534.742260335</v>
      </c>
      <c r="G256" s="31">
        <v>221638.13000000003</v>
      </c>
      <c r="H256" s="31">
        <v>23808.190000000002</v>
      </c>
      <c r="I256" s="31">
        <v>19672.019999999993</v>
      </c>
      <c r="J256" s="31">
        <v>757414.07313052251</v>
      </c>
      <c r="K256" s="31">
        <v>338534.88</v>
      </c>
      <c r="L256" s="31">
        <v>0</v>
      </c>
      <c r="M256" s="31">
        <f t="shared" si="16"/>
        <v>8926602.0353908576</v>
      </c>
      <c r="N256" s="31">
        <v>0</v>
      </c>
      <c r="P256" s="42" t="s">
        <v>479</v>
      </c>
      <c r="Q256" s="42" t="s">
        <v>480</v>
      </c>
      <c r="R256" s="43" t="s">
        <v>1050</v>
      </c>
      <c r="S256" s="44">
        <v>32</v>
      </c>
      <c r="T256" s="31">
        <v>7917086.4001474809</v>
      </c>
      <c r="U256" s="31">
        <v>229166.21999999997</v>
      </c>
      <c r="V256" s="31">
        <v>24609.14</v>
      </c>
      <c r="W256" s="31">
        <v>20351.88</v>
      </c>
      <c r="X256" s="31">
        <v>781094.77513894346</v>
      </c>
      <c r="Y256" s="31">
        <v>338534.88</v>
      </c>
      <c r="Z256" s="31">
        <v>0</v>
      </c>
      <c r="AA256" s="31">
        <f t="shared" si="17"/>
        <v>9310843.2952864245</v>
      </c>
      <c r="AB256" s="31">
        <v>0</v>
      </c>
      <c r="AD256" s="42" t="s">
        <v>479</v>
      </c>
      <c r="AE256" s="42" t="s">
        <v>480</v>
      </c>
      <c r="AF256" s="43" t="s">
        <v>1275</v>
      </c>
      <c r="AG256" s="44">
        <v>32</v>
      </c>
      <c r="AH256" s="31">
        <v>8074842.8629991719</v>
      </c>
      <c r="AI256" s="31">
        <v>233862.73</v>
      </c>
      <c r="AJ256" s="31">
        <v>25196.63</v>
      </c>
      <c r="AK256" s="31">
        <v>20750.16</v>
      </c>
      <c r="AL256" s="31">
        <v>796184.48756807239</v>
      </c>
      <c r="AM256" s="31">
        <v>338534.88</v>
      </c>
      <c r="AN256" s="31">
        <v>0</v>
      </c>
      <c r="AO256" s="31">
        <f t="shared" si="18"/>
        <v>9489371.7505672462</v>
      </c>
      <c r="AP256" s="31">
        <v>0</v>
      </c>
      <c r="AR256" s="42" t="s">
        <v>479</v>
      </c>
      <c r="AS256" s="42" t="s">
        <v>480</v>
      </c>
      <c r="AT256" s="43" t="s">
        <v>1276</v>
      </c>
      <c r="AU256" s="44">
        <v>32</v>
      </c>
      <c r="AV256" s="31">
        <v>8234692.7544204313</v>
      </c>
      <c r="AW256" s="31">
        <v>238580.29</v>
      </c>
      <c r="AX256" s="31">
        <v>25658.43</v>
      </c>
      <c r="AY256" s="31">
        <v>21238.279999999995</v>
      </c>
      <c r="AZ256" s="31">
        <v>812249.60301117599</v>
      </c>
      <c r="BA256" s="31">
        <v>338534.88</v>
      </c>
      <c r="BB256" s="31">
        <v>0</v>
      </c>
      <c r="BC256" s="31">
        <f t="shared" si="19"/>
        <v>9670954.2374316063</v>
      </c>
      <c r="BD256" s="31">
        <v>0</v>
      </c>
    </row>
    <row r="257" spans="2:56">
      <c r="B257" s="42" t="s">
        <v>451</v>
      </c>
      <c r="C257" s="42" t="s">
        <v>452</v>
      </c>
      <c r="D257" s="43" t="s">
        <v>1049</v>
      </c>
      <c r="E257" s="44">
        <v>32</v>
      </c>
      <c r="F257" s="31">
        <v>237136371.03916165</v>
      </c>
      <c r="G257" s="31">
        <v>10945211.529999997</v>
      </c>
      <c r="H257" s="31">
        <v>2824196.49</v>
      </c>
      <c r="I257" s="31">
        <v>0</v>
      </c>
      <c r="J257" s="31">
        <v>36969188.307959579</v>
      </c>
      <c r="K257" s="31">
        <v>14047684.638424804</v>
      </c>
      <c r="L257" s="31">
        <v>17926219.580795016</v>
      </c>
      <c r="M257" s="31">
        <f t="shared" si="16"/>
        <v>325208337.99634105</v>
      </c>
      <c r="N257" s="31">
        <v>5359466.41</v>
      </c>
      <c r="P257" s="42" t="s">
        <v>451</v>
      </c>
      <c r="Q257" s="42" t="s">
        <v>452</v>
      </c>
      <c r="R257" s="43" t="s">
        <v>1050</v>
      </c>
      <c r="S257" s="44">
        <v>32</v>
      </c>
      <c r="T257" s="31">
        <v>248288919.54143789</v>
      </c>
      <c r="U257" s="31">
        <v>11392814.980000002</v>
      </c>
      <c r="V257" s="31">
        <v>2921116.5500000003</v>
      </c>
      <c r="W257" s="31">
        <v>0</v>
      </c>
      <c r="X257" s="31">
        <v>38133865.236745171</v>
      </c>
      <c r="Y257" s="31">
        <v>14059436.840638941</v>
      </c>
      <c r="Z257" s="31">
        <v>18699031.980941735</v>
      </c>
      <c r="AA257" s="31">
        <f t="shared" si="17"/>
        <v>338966699.06976372</v>
      </c>
      <c r="AB257" s="31">
        <v>5471513.9399999995</v>
      </c>
      <c r="AD257" s="42" t="s">
        <v>451</v>
      </c>
      <c r="AE257" s="42" t="s">
        <v>452</v>
      </c>
      <c r="AF257" s="43" t="s">
        <v>1275</v>
      </c>
      <c r="AG257" s="44">
        <v>32</v>
      </c>
      <c r="AH257" s="31">
        <v>253246788.66150251</v>
      </c>
      <c r="AI257" s="31">
        <v>11634765.509999998</v>
      </c>
      <c r="AJ257" s="31">
        <v>2980611.85</v>
      </c>
      <c r="AK257" s="31">
        <v>0</v>
      </c>
      <c r="AL257" s="31">
        <v>38870177.318559721</v>
      </c>
      <c r="AM257" s="31">
        <v>14055355.46697063</v>
      </c>
      <c r="AN257" s="31">
        <v>19073790.205213279</v>
      </c>
      <c r="AO257" s="31">
        <f t="shared" si="18"/>
        <v>345433897.10224611</v>
      </c>
      <c r="AP257" s="31">
        <v>5572408.0899999999</v>
      </c>
      <c r="AR257" s="42" t="s">
        <v>451</v>
      </c>
      <c r="AS257" s="42" t="s">
        <v>452</v>
      </c>
      <c r="AT257" s="43" t="s">
        <v>1276</v>
      </c>
      <c r="AU257" s="44">
        <v>32</v>
      </c>
      <c r="AV257" s="31">
        <v>258360645.77764565</v>
      </c>
      <c r="AW257" s="31">
        <v>11866889.140000001</v>
      </c>
      <c r="AX257" s="31">
        <v>3040524.05</v>
      </c>
      <c r="AY257" s="31">
        <v>0</v>
      </c>
      <c r="AZ257" s="31">
        <v>39656157.512235977</v>
      </c>
      <c r="BA257" s="31">
        <v>14056000.881282834</v>
      </c>
      <c r="BB257" s="31">
        <v>19459457.058649294</v>
      </c>
      <c r="BC257" s="31">
        <f t="shared" si="19"/>
        <v>352125523.75981373</v>
      </c>
      <c r="BD257" s="31">
        <v>5685849.3399999999</v>
      </c>
    </row>
    <row r="258" spans="2:56">
      <c r="B258" s="42" t="s">
        <v>297</v>
      </c>
      <c r="C258" s="42" t="s">
        <v>298</v>
      </c>
      <c r="D258" s="43" t="s">
        <v>1049</v>
      </c>
      <c r="E258" s="44">
        <v>32</v>
      </c>
      <c r="F258" s="31">
        <v>1698443.2548857452</v>
      </c>
      <c r="G258" s="31">
        <v>25140.2</v>
      </c>
      <c r="H258" s="31">
        <v>0</v>
      </c>
      <c r="I258" s="31">
        <v>2046.29</v>
      </c>
      <c r="J258" s="31">
        <v>87831.785072903673</v>
      </c>
      <c r="K258" s="31">
        <v>121124.12382249473</v>
      </c>
      <c r="L258" s="31">
        <v>75592.372509023728</v>
      </c>
      <c r="M258" s="31">
        <f t="shared" si="16"/>
        <v>2020214.6462901672</v>
      </c>
      <c r="N258" s="31">
        <v>10036.619999999999</v>
      </c>
      <c r="P258" s="42" t="s">
        <v>297</v>
      </c>
      <c r="Q258" s="42" t="s">
        <v>298</v>
      </c>
      <c r="R258" s="43" t="s">
        <v>1050</v>
      </c>
      <c r="S258" s="44">
        <v>32</v>
      </c>
      <c r="T258" s="31">
        <v>1765518.4393652761</v>
      </c>
      <c r="U258" s="31">
        <v>26244.319999999996</v>
      </c>
      <c r="V258" s="31">
        <v>0</v>
      </c>
      <c r="W258" s="31">
        <v>2124.87</v>
      </c>
      <c r="X258" s="31">
        <v>90798.36654610507</v>
      </c>
      <c r="Y258" s="31">
        <v>121200.30911169526</v>
      </c>
      <c r="Z258" s="31">
        <v>78994.064517482329</v>
      </c>
      <c r="AA258" s="31">
        <f t="shared" si="17"/>
        <v>2095163.7095405592</v>
      </c>
      <c r="AB258" s="31">
        <v>10283.34</v>
      </c>
      <c r="AD258" s="42" t="s">
        <v>297</v>
      </c>
      <c r="AE258" s="42" t="s">
        <v>298</v>
      </c>
      <c r="AF258" s="43" t="s">
        <v>1275</v>
      </c>
      <c r="AG258" s="44">
        <v>32</v>
      </c>
      <c r="AH258" s="31">
        <v>1799259.2331136612</v>
      </c>
      <c r="AI258" s="31">
        <v>26777.679999999997</v>
      </c>
      <c r="AJ258" s="31">
        <v>0</v>
      </c>
      <c r="AK258" s="31">
        <v>2166.4499999999998</v>
      </c>
      <c r="AL258" s="31">
        <v>92480.300044385716</v>
      </c>
      <c r="AM258" s="31">
        <v>121174.42674709346</v>
      </c>
      <c r="AN258" s="31">
        <v>80515.64590893437</v>
      </c>
      <c r="AO258" s="31">
        <f t="shared" si="18"/>
        <v>2132838.2558140745</v>
      </c>
      <c r="AP258" s="31">
        <v>10464.52</v>
      </c>
      <c r="AR258" s="42" t="s">
        <v>297</v>
      </c>
      <c r="AS258" s="42" t="s">
        <v>298</v>
      </c>
      <c r="AT258" s="43" t="s">
        <v>1276</v>
      </c>
      <c r="AU258" s="44">
        <v>32</v>
      </c>
      <c r="AV258" s="31">
        <v>1831900.0302291813</v>
      </c>
      <c r="AW258" s="31">
        <v>27263.719999999998</v>
      </c>
      <c r="AX258" s="31">
        <v>0</v>
      </c>
      <c r="AY258" s="31">
        <v>2206.02</v>
      </c>
      <c r="AZ258" s="31">
        <v>94183.45814788522</v>
      </c>
      <c r="BA258" s="31">
        <v>121178.54554615561</v>
      </c>
      <c r="BB258" s="31">
        <v>82000.022392779501</v>
      </c>
      <c r="BC258" s="31">
        <f t="shared" si="19"/>
        <v>2169390.3563160016</v>
      </c>
      <c r="BD258" s="31">
        <v>10658.560000000001</v>
      </c>
    </row>
    <row r="259" spans="2:56">
      <c r="B259" s="42" t="s">
        <v>577</v>
      </c>
      <c r="C259" s="42" t="s">
        <v>578</v>
      </c>
      <c r="D259" s="43" t="s">
        <v>1049</v>
      </c>
      <c r="E259" s="44">
        <v>32</v>
      </c>
      <c r="F259" s="31">
        <v>2066132.295002026</v>
      </c>
      <c r="G259" s="31">
        <v>38100.12000000001</v>
      </c>
      <c r="H259" s="31">
        <v>0</v>
      </c>
      <c r="I259" s="31">
        <v>3507.94</v>
      </c>
      <c r="J259" s="31">
        <v>146621.51902277383</v>
      </c>
      <c r="K259" s="31">
        <v>362429.03260111262</v>
      </c>
      <c r="L259" s="31">
        <v>49287.291707283337</v>
      </c>
      <c r="M259" s="31">
        <f t="shared" si="16"/>
        <v>2684982.088333196</v>
      </c>
      <c r="N259" s="31">
        <v>18903.889999999996</v>
      </c>
      <c r="P259" s="42" t="s">
        <v>577</v>
      </c>
      <c r="Q259" s="42" t="s">
        <v>578</v>
      </c>
      <c r="R259" s="43" t="s">
        <v>1050</v>
      </c>
      <c r="S259" s="44">
        <v>32</v>
      </c>
      <c r="T259" s="31">
        <v>2145973.0356785217</v>
      </c>
      <c r="U259" s="31">
        <v>40028.11</v>
      </c>
      <c r="V259" s="31">
        <v>0</v>
      </c>
      <c r="W259" s="31">
        <v>3642.64</v>
      </c>
      <c r="X259" s="31">
        <v>152317.41424451719</v>
      </c>
      <c r="Y259" s="31">
        <v>362849.9316610446</v>
      </c>
      <c r="Z259" s="31">
        <v>51268.124554604365</v>
      </c>
      <c r="AA259" s="31">
        <f t="shared" si="17"/>
        <v>2775547.7061386881</v>
      </c>
      <c r="AB259" s="31">
        <v>19468.45</v>
      </c>
      <c r="AD259" s="42" t="s">
        <v>577</v>
      </c>
      <c r="AE259" s="42" t="s">
        <v>578</v>
      </c>
      <c r="AF259" s="43" t="s">
        <v>1275</v>
      </c>
      <c r="AG259" s="44">
        <v>32</v>
      </c>
      <c r="AH259" s="31">
        <v>2187759.7184284544</v>
      </c>
      <c r="AI259" s="31">
        <v>40848.930000000008</v>
      </c>
      <c r="AJ259" s="31">
        <v>0</v>
      </c>
      <c r="AK259" s="31">
        <v>3713.8999999999992</v>
      </c>
      <c r="AL259" s="31">
        <v>155269.69843921732</v>
      </c>
      <c r="AM259" s="31">
        <v>362706.93997532642</v>
      </c>
      <c r="AN259" s="31">
        <v>52366.126290418957</v>
      </c>
      <c r="AO259" s="31">
        <f t="shared" si="18"/>
        <v>2822476.7731334171</v>
      </c>
      <c r="AP259" s="31">
        <v>19811.460000000003</v>
      </c>
      <c r="AR259" s="42" t="s">
        <v>577</v>
      </c>
      <c r="AS259" s="42" t="s">
        <v>578</v>
      </c>
      <c r="AT259" s="43" t="s">
        <v>1276</v>
      </c>
      <c r="AU259" s="44">
        <v>32</v>
      </c>
      <c r="AV259" s="31">
        <v>2228509.7358077951</v>
      </c>
      <c r="AW259" s="31">
        <v>41694.349999999991</v>
      </c>
      <c r="AX259" s="31">
        <v>0</v>
      </c>
      <c r="AY259" s="31">
        <v>3781.72</v>
      </c>
      <c r="AZ259" s="31">
        <v>158399.58180365304</v>
      </c>
      <c r="BA259" s="31">
        <v>362729.69500679645</v>
      </c>
      <c r="BB259" s="31">
        <v>53347.886778711312</v>
      </c>
      <c r="BC259" s="31">
        <f t="shared" si="19"/>
        <v>2868641.7793969563</v>
      </c>
      <c r="BD259" s="31">
        <v>20178.810000000001</v>
      </c>
    </row>
    <row r="260" spans="2:56">
      <c r="B260" s="42" t="s">
        <v>449</v>
      </c>
      <c r="C260" s="42" t="s">
        <v>450</v>
      </c>
      <c r="D260" s="43" t="s">
        <v>1049</v>
      </c>
      <c r="E260" s="44">
        <v>32</v>
      </c>
      <c r="F260" s="31">
        <v>40846470.943433389</v>
      </c>
      <c r="G260" s="31">
        <v>976388.44</v>
      </c>
      <c r="H260" s="31">
        <v>238795.02</v>
      </c>
      <c r="I260" s="31">
        <v>150522.25</v>
      </c>
      <c r="J260" s="31">
        <v>6807800.027756081</v>
      </c>
      <c r="K260" s="31">
        <v>2880669.512812051</v>
      </c>
      <c r="L260" s="31">
        <v>4198176.4756202763</v>
      </c>
      <c r="M260" s="31">
        <f t="shared" si="16"/>
        <v>56104554.669621795</v>
      </c>
      <c r="N260" s="31">
        <v>5732</v>
      </c>
      <c r="P260" s="42" t="s">
        <v>449</v>
      </c>
      <c r="Q260" s="42" t="s">
        <v>450</v>
      </c>
      <c r="R260" s="43" t="s">
        <v>1050</v>
      </c>
      <c r="S260" s="44">
        <v>32</v>
      </c>
      <c r="T260" s="31">
        <v>42326677.557482228</v>
      </c>
      <c r="U260" s="31">
        <v>1009833.5899999999</v>
      </c>
      <c r="V260" s="31">
        <v>246926.13</v>
      </c>
      <c r="W260" s="31">
        <v>155611.83000000002</v>
      </c>
      <c r="X260" s="31">
        <v>7023186.2560919868</v>
      </c>
      <c r="Y260" s="31">
        <v>2882350.9137644409</v>
      </c>
      <c r="Z260" s="31">
        <v>4338067.1833891012</v>
      </c>
      <c r="AA260" s="31">
        <f t="shared" si="17"/>
        <v>57988485.010727763</v>
      </c>
      <c r="AB260" s="31">
        <v>5831.5499999999993</v>
      </c>
      <c r="AD260" s="42" t="s">
        <v>449</v>
      </c>
      <c r="AE260" s="42" t="s">
        <v>450</v>
      </c>
      <c r="AF260" s="43" t="s">
        <v>1275</v>
      </c>
      <c r="AG260" s="44">
        <v>32</v>
      </c>
      <c r="AH260" s="31">
        <v>43174338.390390486</v>
      </c>
      <c r="AI260" s="31">
        <v>1030487.9299999999</v>
      </c>
      <c r="AJ260" s="31">
        <v>252008.89</v>
      </c>
      <c r="AK260" s="31">
        <v>158783.65</v>
      </c>
      <c r="AL260" s="31">
        <v>7159686.7619341407</v>
      </c>
      <c r="AM260" s="31">
        <v>2881724.2738747792</v>
      </c>
      <c r="AN260" s="31">
        <v>4424876.3271984793</v>
      </c>
      <c r="AO260" s="31">
        <f t="shared" si="18"/>
        <v>59087842.433397882</v>
      </c>
      <c r="AP260" s="31">
        <v>5936.21</v>
      </c>
      <c r="AR260" s="42" t="s">
        <v>449</v>
      </c>
      <c r="AS260" s="42" t="s">
        <v>450</v>
      </c>
      <c r="AT260" s="43" t="s">
        <v>1276</v>
      </c>
      <c r="AU260" s="44">
        <v>32</v>
      </c>
      <c r="AV260" s="31">
        <v>44054861.215024531</v>
      </c>
      <c r="AW260" s="31">
        <v>1051406.69</v>
      </c>
      <c r="AX260" s="31">
        <v>257073.06000000003</v>
      </c>
      <c r="AY260" s="31">
        <v>162110.40999999997</v>
      </c>
      <c r="AZ260" s="31">
        <v>7306086.4022593033</v>
      </c>
      <c r="BA260" s="31">
        <v>2881821.192868683</v>
      </c>
      <c r="BB260" s="31">
        <v>4515586.0604861937</v>
      </c>
      <c r="BC260" s="31">
        <f t="shared" si="19"/>
        <v>60234993.320638709</v>
      </c>
      <c r="BD260" s="31">
        <v>6048.29</v>
      </c>
    </row>
    <row r="261" spans="2:56">
      <c r="B261" s="42" t="s">
        <v>115</v>
      </c>
      <c r="C261" s="42" t="s">
        <v>116</v>
      </c>
      <c r="D261" s="43" t="s">
        <v>1049</v>
      </c>
      <c r="E261" s="44">
        <v>32</v>
      </c>
      <c r="F261" s="31">
        <v>338095.06891283992</v>
      </c>
      <c r="G261" s="31">
        <v>0</v>
      </c>
      <c r="H261" s="31">
        <v>0</v>
      </c>
      <c r="I261" s="31">
        <v>0</v>
      </c>
      <c r="J261" s="31">
        <v>0</v>
      </c>
      <c r="K261" s="31">
        <v>105953.36240084749</v>
      </c>
      <c r="L261" s="31">
        <v>0</v>
      </c>
      <c r="M261" s="31">
        <f t="shared" ref="M261:M322" si="20">SUM(F261:L261,N261)</f>
        <v>444048.43131368741</v>
      </c>
      <c r="N261" s="31">
        <v>0</v>
      </c>
      <c r="P261" s="42" t="s">
        <v>115</v>
      </c>
      <c r="Q261" s="42" t="s">
        <v>116</v>
      </c>
      <c r="R261" s="43" t="s">
        <v>1050</v>
      </c>
      <c r="S261" s="44">
        <v>32</v>
      </c>
      <c r="T261" s="31">
        <v>350516.58156306949</v>
      </c>
      <c r="U261" s="31">
        <v>0</v>
      </c>
      <c r="V261" s="31">
        <v>0</v>
      </c>
      <c r="W261" s="31">
        <v>0</v>
      </c>
      <c r="X261" s="31">
        <v>0</v>
      </c>
      <c r="Y261" s="31">
        <v>106074.76114164888</v>
      </c>
      <c r="Z261" s="31">
        <v>0</v>
      </c>
      <c r="AA261" s="31">
        <f t="shared" ref="AA261:AA322" si="21">SUM(T261:Z261,AB261)</f>
        <v>456591.34270471835</v>
      </c>
      <c r="AB261" s="31">
        <v>0</v>
      </c>
      <c r="AD261" s="42" t="s">
        <v>115</v>
      </c>
      <c r="AE261" s="42" t="s">
        <v>116</v>
      </c>
      <c r="AF261" s="43" t="s">
        <v>1275</v>
      </c>
      <c r="AG261" s="44">
        <v>32</v>
      </c>
      <c r="AH261" s="31">
        <v>357221.28839793958</v>
      </c>
      <c r="AI261" s="31">
        <v>0</v>
      </c>
      <c r="AJ261" s="31">
        <v>0</v>
      </c>
      <c r="AK261" s="31">
        <v>0</v>
      </c>
      <c r="AL261" s="31">
        <v>0</v>
      </c>
      <c r="AM261" s="31">
        <v>106033.51844893758</v>
      </c>
      <c r="AN261" s="31">
        <v>0</v>
      </c>
      <c r="AO261" s="31">
        <f t="shared" ref="AO261:AO322" si="22">SUM(AH261:AN261,AP261)</f>
        <v>463254.80684687715</v>
      </c>
      <c r="AP261" s="31">
        <v>0</v>
      </c>
      <c r="AR261" s="42" t="s">
        <v>115</v>
      </c>
      <c r="AS261" s="42" t="s">
        <v>116</v>
      </c>
      <c r="AT261" s="43" t="s">
        <v>1276</v>
      </c>
      <c r="AU261" s="44">
        <v>32</v>
      </c>
      <c r="AV261" s="31">
        <v>363712.52874880552</v>
      </c>
      <c r="AW261" s="31">
        <v>0</v>
      </c>
      <c r="AX261" s="31">
        <v>0</v>
      </c>
      <c r="AY261" s="31">
        <v>0</v>
      </c>
      <c r="AZ261" s="31">
        <v>0</v>
      </c>
      <c r="BA261" s="31">
        <v>106040.08161913756</v>
      </c>
      <c r="BB261" s="31">
        <v>0</v>
      </c>
      <c r="BC261" s="31">
        <f t="shared" ref="BC261:BC322" si="23">SUM(AV261:BB261,BD261)</f>
        <v>469752.61036794307</v>
      </c>
      <c r="BD261" s="31">
        <v>0</v>
      </c>
    </row>
    <row r="262" spans="2:56">
      <c r="B262" s="42" t="s">
        <v>75</v>
      </c>
      <c r="C262" s="42" t="s">
        <v>76</v>
      </c>
      <c r="D262" s="43" t="s">
        <v>1049</v>
      </c>
      <c r="E262" s="44">
        <v>32</v>
      </c>
      <c r="F262" s="31">
        <v>3420955.7901091287</v>
      </c>
      <c r="G262" s="31">
        <v>130280.95</v>
      </c>
      <c r="H262" s="31">
        <v>0</v>
      </c>
      <c r="I262" s="31">
        <v>0</v>
      </c>
      <c r="J262" s="31">
        <v>226726.93169041289</v>
      </c>
      <c r="K262" s="31">
        <v>95832.400409903887</v>
      </c>
      <c r="L262" s="31">
        <v>0</v>
      </c>
      <c r="M262" s="31">
        <f t="shared" si="20"/>
        <v>3880617.062209446</v>
      </c>
      <c r="N262" s="31">
        <v>6820.99</v>
      </c>
      <c r="P262" s="42" t="s">
        <v>75</v>
      </c>
      <c r="Q262" s="42" t="s">
        <v>76</v>
      </c>
      <c r="R262" s="43" t="s">
        <v>1050</v>
      </c>
      <c r="S262" s="44">
        <v>32</v>
      </c>
      <c r="T262" s="31">
        <v>3549071.7495058291</v>
      </c>
      <c r="U262" s="31">
        <v>135378.12</v>
      </c>
      <c r="V262" s="31">
        <v>0</v>
      </c>
      <c r="W262" s="31">
        <v>0</v>
      </c>
      <c r="X262" s="31">
        <v>234426.61836101217</v>
      </c>
      <c r="Y262" s="31">
        <v>95839.499565211547</v>
      </c>
      <c r="Z262" s="31">
        <v>0</v>
      </c>
      <c r="AA262" s="31">
        <f t="shared" si="21"/>
        <v>4021704.6574320528</v>
      </c>
      <c r="AB262" s="31">
        <v>6988.67</v>
      </c>
      <c r="AD262" s="42" t="s">
        <v>75</v>
      </c>
      <c r="AE262" s="42" t="s">
        <v>76</v>
      </c>
      <c r="AF262" s="43" t="s">
        <v>1275</v>
      </c>
      <c r="AG262" s="44">
        <v>32</v>
      </c>
      <c r="AH262" s="31">
        <v>3615651.8650486451</v>
      </c>
      <c r="AI262" s="31">
        <v>138039.85</v>
      </c>
      <c r="AJ262" s="31">
        <v>0</v>
      </c>
      <c r="AK262" s="31">
        <v>0</v>
      </c>
      <c r="AL262" s="31">
        <v>238774.61748158574</v>
      </c>
      <c r="AM262" s="31">
        <v>95837.087775114473</v>
      </c>
      <c r="AN262" s="31">
        <v>0</v>
      </c>
      <c r="AO262" s="31">
        <f t="shared" si="22"/>
        <v>4095415.220305345</v>
      </c>
      <c r="AP262" s="31">
        <v>7111.7999999999993</v>
      </c>
      <c r="AR262" s="42" t="s">
        <v>75</v>
      </c>
      <c r="AS262" s="42" t="s">
        <v>76</v>
      </c>
      <c r="AT262" s="43" t="s">
        <v>1276</v>
      </c>
      <c r="AU262" s="44">
        <v>32</v>
      </c>
      <c r="AV262" s="31">
        <v>3681974.0896979258</v>
      </c>
      <c r="AW262" s="31">
        <v>140558.57999999999</v>
      </c>
      <c r="AX262" s="31">
        <v>0</v>
      </c>
      <c r="AY262" s="31">
        <v>0</v>
      </c>
      <c r="AZ262" s="31">
        <v>243182.02776890274</v>
      </c>
      <c r="BA262" s="31">
        <v>95837.471576167532</v>
      </c>
      <c r="BB262" s="31">
        <v>0</v>
      </c>
      <c r="BC262" s="31">
        <f t="shared" si="23"/>
        <v>4168795.8390429965</v>
      </c>
      <c r="BD262" s="31">
        <v>7243.67</v>
      </c>
    </row>
    <row r="263" spans="2:56">
      <c r="B263" s="42" t="s">
        <v>31</v>
      </c>
      <c r="C263" s="42" t="s">
        <v>32</v>
      </c>
      <c r="D263" s="43" t="s">
        <v>1049</v>
      </c>
      <c r="E263" s="44">
        <v>32</v>
      </c>
      <c r="F263" s="31">
        <v>385114.89577810367</v>
      </c>
      <c r="G263" s="31">
        <v>0</v>
      </c>
      <c r="H263" s="31">
        <v>0</v>
      </c>
      <c r="I263" s="31">
        <v>0</v>
      </c>
      <c r="J263" s="31">
        <v>0</v>
      </c>
      <c r="K263" s="31">
        <v>0</v>
      </c>
      <c r="L263" s="31">
        <v>0</v>
      </c>
      <c r="M263" s="31">
        <f t="shared" si="20"/>
        <v>385114.89577810367</v>
      </c>
      <c r="N263" s="31">
        <v>0</v>
      </c>
      <c r="P263" s="42" t="s">
        <v>31</v>
      </c>
      <c r="Q263" s="42" t="s">
        <v>32</v>
      </c>
      <c r="R263" s="43" t="s">
        <v>1050</v>
      </c>
      <c r="S263" s="44">
        <v>32</v>
      </c>
      <c r="T263" s="31">
        <v>396048.74861358537</v>
      </c>
      <c r="U263" s="31">
        <v>0</v>
      </c>
      <c r="V263" s="31">
        <v>0</v>
      </c>
      <c r="W263" s="31">
        <v>0</v>
      </c>
      <c r="X263" s="31">
        <v>0</v>
      </c>
      <c r="Y263" s="31">
        <v>0</v>
      </c>
      <c r="Z263" s="31">
        <v>0</v>
      </c>
      <c r="AA263" s="31">
        <f t="shared" si="21"/>
        <v>396048.74861358537</v>
      </c>
      <c r="AB263" s="31">
        <v>0</v>
      </c>
      <c r="AD263" s="42" t="s">
        <v>31</v>
      </c>
      <c r="AE263" s="42" t="s">
        <v>32</v>
      </c>
      <c r="AF263" s="43" t="s">
        <v>1275</v>
      </c>
      <c r="AG263" s="44">
        <v>32</v>
      </c>
      <c r="AH263" s="31">
        <v>403621.05043326574</v>
      </c>
      <c r="AI263" s="31">
        <v>0</v>
      </c>
      <c r="AJ263" s="31">
        <v>0</v>
      </c>
      <c r="AK263" s="31">
        <v>0</v>
      </c>
      <c r="AL263" s="31">
        <v>0</v>
      </c>
      <c r="AM263" s="31">
        <v>0</v>
      </c>
      <c r="AN263" s="31">
        <v>0</v>
      </c>
      <c r="AO263" s="31">
        <f t="shared" si="22"/>
        <v>403621.05043326574</v>
      </c>
      <c r="AP263" s="31">
        <v>0</v>
      </c>
      <c r="AR263" s="42" t="s">
        <v>31</v>
      </c>
      <c r="AS263" s="42" t="s">
        <v>32</v>
      </c>
      <c r="AT263" s="43" t="s">
        <v>1276</v>
      </c>
      <c r="AU263" s="44">
        <v>32</v>
      </c>
      <c r="AV263" s="31">
        <v>410974.01338078326</v>
      </c>
      <c r="AW263" s="31">
        <v>0</v>
      </c>
      <c r="AX263" s="31">
        <v>0</v>
      </c>
      <c r="AY263" s="31">
        <v>0</v>
      </c>
      <c r="AZ263" s="31">
        <v>0</v>
      </c>
      <c r="BA263" s="31">
        <v>0</v>
      </c>
      <c r="BB263" s="31">
        <v>0</v>
      </c>
      <c r="BC263" s="31">
        <f t="shared" si="23"/>
        <v>410974.01338078326</v>
      </c>
      <c r="BD263" s="31">
        <v>0</v>
      </c>
    </row>
    <row r="264" spans="2:56">
      <c r="B264" s="42" t="s">
        <v>361</v>
      </c>
      <c r="C264" s="42" t="s">
        <v>362</v>
      </c>
      <c r="D264" s="43" t="s">
        <v>1049</v>
      </c>
      <c r="E264" s="44">
        <v>32</v>
      </c>
      <c r="F264" s="31">
        <v>25954163.133895583</v>
      </c>
      <c r="G264" s="31">
        <v>473641.8</v>
      </c>
      <c r="H264" s="31">
        <v>171701.46</v>
      </c>
      <c r="I264" s="31">
        <v>90793.960000000021</v>
      </c>
      <c r="J264" s="31">
        <v>3829186.6494214335</v>
      </c>
      <c r="K264" s="31">
        <v>2181563.9076841744</v>
      </c>
      <c r="L264" s="31">
        <v>2350314.2429059669</v>
      </c>
      <c r="M264" s="31">
        <f t="shared" si="20"/>
        <v>35062865.733907163</v>
      </c>
      <c r="N264" s="31">
        <v>11500.58</v>
      </c>
      <c r="P264" s="42" t="s">
        <v>361</v>
      </c>
      <c r="Q264" s="42" t="s">
        <v>362</v>
      </c>
      <c r="R264" s="43" t="s">
        <v>1050</v>
      </c>
      <c r="S264" s="44">
        <v>32</v>
      </c>
      <c r="T264" s="31">
        <v>26902608.529834062</v>
      </c>
      <c r="U264" s="31">
        <v>490053.44</v>
      </c>
      <c r="V264" s="31">
        <v>177663.52000000002</v>
      </c>
      <c r="W264" s="31">
        <v>93971.659999999989</v>
      </c>
      <c r="X264" s="31">
        <v>3949808.8594154259</v>
      </c>
      <c r="Y264" s="31">
        <v>2182992.5611091293</v>
      </c>
      <c r="Z264" s="31">
        <v>2428725.8050334286</v>
      </c>
      <c r="AA264" s="31">
        <f t="shared" si="21"/>
        <v>36237610.69539205</v>
      </c>
      <c r="AB264" s="31">
        <v>11786.32</v>
      </c>
      <c r="AD264" s="42" t="s">
        <v>361</v>
      </c>
      <c r="AE264" s="42" t="s">
        <v>362</v>
      </c>
      <c r="AF264" s="43" t="s">
        <v>1275</v>
      </c>
      <c r="AG264" s="44">
        <v>32</v>
      </c>
      <c r="AH264" s="31">
        <v>27438958.803432193</v>
      </c>
      <c r="AI264" s="31">
        <v>500089.57000000007</v>
      </c>
      <c r="AJ264" s="31">
        <v>181140.39</v>
      </c>
      <c r="AK264" s="31">
        <v>95810.67</v>
      </c>
      <c r="AL264" s="31">
        <v>4026078.9401157056</v>
      </c>
      <c r="AM264" s="31">
        <v>2182496.4099739203</v>
      </c>
      <c r="AN264" s="31">
        <v>2477310.054839456</v>
      </c>
      <c r="AO264" s="31">
        <f t="shared" si="22"/>
        <v>36913879.50836128</v>
      </c>
      <c r="AP264" s="31">
        <v>11994.67</v>
      </c>
      <c r="AR264" s="42" t="s">
        <v>361</v>
      </c>
      <c r="AS264" s="42" t="s">
        <v>362</v>
      </c>
      <c r="AT264" s="43" t="s">
        <v>1276</v>
      </c>
      <c r="AU264" s="44">
        <v>32</v>
      </c>
      <c r="AV264" s="31">
        <v>27992832.921531986</v>
      </c>
      <c r="AW264" s="31">
        <v>510114.51999999996</v>
      </c>
      <c r="AX264" s="31">
        <v>184891.63000000003</v>
      </c>
      <c r="AY264" s="31">
        <v>97782.329999999987</v>
      </c>
      <c r="AZ264" s="31">
        <v>4107484.1927567176</v>
      </c>
      <c r="BA264" s="31">
        <v>2182574.8695979845</v>
      </c>
      <c r="BB264" s="31">
        <v>2527392.5477347304</v>
      </c>
      <c r="BC264" s="31">
        <f t="shared" si="23"/>
        <v>37615290.831621416</v>
      </c>
      <c r="BD264" s="31">
        <v>12217.82</v>
      </c>
    </row>
    <row r="265" spans="2:56">
      <c r="B265" s="42" t="s">
        <v>569</v>
      </c>
      <c r="C265" s="42" t="s">
        <v>570</v>
      </c>
      <c r="D265" s="43" t="s">
        <v>1049</v>
      </c>
      <c r="E265" s="44">
        <v>32</v>
      </c>
      <c r="F265" s="31">
        <v>569324.36935035675</v>
      </c>
      <c r="G265" s="31">
        <v>0</v>
      </c>
      <c r="H265" s="31">
        <v>0</v>
      </c>
      <c r="I265" s="31">
        <v>0</v>
      </c>
      <c r="J265" s="31">
        <v>58279.029089469484</v>
      </c>
      <c r="K265" s="31">
        <v>86897.163026802955</v>
      </c>
      <c r="L265" s="31">
        <v>0</v>
      </c>
      <c r="M265" s="31">
        <f t="shared" si="20"/>
        <v>714500.56146662915</v>
      </c>
      <c r="N265" s="31">
        <v>0</v>
      </c>
      <c r="P265" s="42" t="s">
        <v>569</v>
      </c>
      <c r="Q265" s="42" t="s">
        <v>570</v>
      </c>
      <c r="R265" s="43" t="s">
        <v>1050</v>
      </c>
      <c r="S265" s="44">
        <v>32</v>
      </c>
      <c r="T265" s="31">
        <v>590685.87499372265</v>
      </c>
      <c r="U265" s="31">
        <v>0</v>
      </c>
      <c r="V265" s="31">
        <v>0</v>
      </c>
      <c r="W265" s="31">
        <v>0</v>
      </c>
      <c r="X265" s="31">
        <v>60248.138203762828</v>
      </c>
      <c r="Y265" s="31">
        <v>86961.414134309467</v>
      </c>
      <c r="Z265" s="31">
        <v>0</v>
      </c>
      <c r="AA265" s="31">
        <f t="shared" si="21"/>
        <v>737895.42733179498</v>
      </c>
      <c r="AB265" s="31">
        <v>0</v>
      </c>
      <c r="AD265" s="42" t="s">
        <v>569</v>
      </c>
      <c r="AE265" s="42" t="s">
        <v>570</v>
      </c>
      <c r="AF265" s="43" t="s">
        <v>1275</v>
      </c>
      <c r="AG265" s="44">
        <v>32</v>
      </c>
      <c r="AH265" s="31">
        <v>602007.54991868895</v>
      </c>
      <c r="AI265" s="31">
        <v>0</v>
      </c>
      <c r="AJ265" s="31">
        <v>0</v>
      </c>
      <c r="AK265" s="31">
        <v>0</v>
      </c>
      <c r="AL265" s="31">
        <v>61363.124176834135</v>
      </c>
      <c r="AM265" s="31">
        <v>86939.586159276456</v>
      </c>
      <c r="AN265" s="31">
        <v>0</v>
      </c>
      <c r="AO265" s="31">
        <f t="shared" si="22"/>
        <v>750310.2602547995</v>
      </c>
      <c r="AP265" s="31">
        <v>0</v>
      </c>
      <c r="AR265" s="42" t="s">
        <v>569</v>
      </c>
      <c r="AS265" s="42" t="s">
        <v>570</v>
      </c>
      <c r="AT265" s="43" t="s">
        <v>1276</v>
      </c>
      <c r="AU265" s="44">
        <v>32</v>
      </c>
      <c r="AV265" s="31">
        <v>612987.39658904774</v>
      </c>
      <c r="AW265" s="31">
        <v>0</v>
      </c>
      <c r="AX265" s="31">
        <v>0</v>
      </c>
      <c r="AY265" s="31">
        <v>0</v>
      </c>
      <c r="AZ265" s="31">
        <v>62491.33537324475</v>
      </c>
      <c r="BA265" s="31">
        <v>86943.059761649245</v>
      </c>
      <c r="BB265" s="31">
        <v>0</v>
      </c>
      <c r="BC265" s="31">
        <f t="shared" si="23"/>
        <v>762421.79172394169</v>
      </c>
      <c r="BD265" s="31">
        <v>0</v>
      </c>
    </row>
    <row r="266" spans="2:56">
      <c r="B266" s="42" t="s">
        <v>421</v>
      </c>
      <c r="C266" s="42" t="s">
        <v>422</v>
      </c>
      <c r="D266" s="43" t="s">
        <v>1049</v>
      </c>
      <c r="E266" s="44">
        <v>32</v>
      </c>
      <c r="F266" s="31">
        <v>6375834.4942030199</v>
      </c>
      <c r="G266" s="31">
        <v>253643.43999999997</v>
      </c>
      <c r="H266" s="31">
        <v>27089.08</v>
      </c>
      <c r="I266" s="31">
        <v>22022.059999999998</v>
      </c>
      <c r="J266" s="31">
        <v>1036368.1797604333</v>
      </c>
      <c r="K266" s="31">
        <v>678197.32459479372</v>
      </c>
      <c r="L266" s="31">
        <v>513844.2943660398</v>
      </c>
      <c r="M266" s="31">
        <f t="shared" si="20"/>
        <v>9133650.662924286</v>
      </c>
      <c r="N266" s="31">
        <v>226651.79</v>
      </c>
      <c r="P266" s="42" t="s">
        <v>421</v>
      </c>
      <c r="Q266" s="42" t="s">
        <v>422</v>
      </c>
      <c r="R266" s="43" t="s">
        <v>1050</v>
      </c>
      <c r="S266" s="44">
        <v>32</v>
      </c>
      <c r="T266" s="31">
        <v>6718259.7156208046</v>
      </c>
      <c r="U266" s="31">
        <v>267846.89</v>
      </c>
      <c r="V266" s="31">
        <v>28331.7</v>
      </c>
      <c r="W266" s="31">
        <v>22968.92</v>
      </c>
      <c r="X266" s="31">
        <v>1076758.5057972793</v>
      </c>
      <c r="Y266" s="31">
        <v>678774.07607931236</v>
      </c>
      <c r="Z266" s="31">
        <v>539935.20595910924</v>
      </c>
      <c r="AA266" s="31">
        <f t="shared" si="21"/>
        <v>9566296.7834565043</v>
      </c>
      <c r="AB266" s="31">
        <v>233421.77</v>
      </c>
      <c r="AD266" s="42" t="s">
        <v>421</v>
      </c>
      <c r="AE266" s="42" t="s">
        <v>422</v>
      </c>
      <c r="AF266" s="43" t="s">
        <v>1275</v>
      </c>
      <c r="AG266" s="44">
        <v>32</v>
      </c>
      <c r="AH266" s="31">
        <v>6851330.188394771</v>
      </c>
      <c r="AI266" s="31">
        <v>273747.73</v>
      </c>
      <c r="AJ266" s="31">
        <v>28885.889999999996</v>
      </c>
      <c r="AK266" s="31">
        <v>23418.209999999995</v>
      </c>
      <c r="AL266" s="31">
        <v>1097515.5993767511</v>
      </c>
      <c r="AM266" s="31">
        <v>678578.13677969715</v>
      </c>
      <c r="AN266" s="31">
        <v>550759.4748148371</v>
      </c>
      <c r="AO266" s="31">
        <f t="shared" si="22"/>
        <v>9741871.1193660572</v>
      </c>
      <c r="AP266" s="31">
        <v>237635.88999999998</v>
      </c>
      <c r="AR266" s="42" t="s">
        <v>421</v>
      </c>
      <c r="AS266" s="42" t="s">
        <v>422</v>
      </c>
      <c r="AT266" s="43" t="s">
        <v>1276</v>
      </c>
      <c r="AU266" s="44">
        <v>32</v>
      </c>
      <c r="AV266" s="31">
        <v>6987291.2140715662</v>
      </c>
      <c r="AW266" s="31">
        <v>279211.19999999995</v>
      </c>
      <c r="AX266" s="31">
        <v>29518.42</v>
      </c>
      <c r="AY266" s="31">
        <v>23845.849999999995</v>
      </c>
      <c r="AZ266" s="31">
        <v>1119660.1452416822</v>
      </c>
      <c r="BA266" s="31">
        <v>678609.31764805713</v>
      </c>
      <c r="BB266" s="31">
        <v>561960.71653946966</v>
      </c>
      <c r="BC266" s="31">
        <f t="shared" si="23"/>
        <v>9922553.0335007757</v>
      </c>
      <c r="BD266" s="31">
        <v>242456.17</v>
      </c>
    </row>
    <row r="267" spans="2:56">
      <c r="B267" s="42" t="s">
        <v>443</v>
      </c>
      <c r="C267" s="42" t="s">
        <v>444</v>
      </c>
      <c r="D267" s="43" t="s">
        <v>1049</v>
      </c>
      <c r="E267" s="44">
        <v>32</v>
      </c>
      <c r="F267" s="31">
        <v>17552040.264325533</v>
      </c>
      <c r="G267" s="31">
        <v>775197.3600000001</v>
      </c>
      <c r="H267" s="31">
        <v>390478.13999999996</v>
      </c>
      <c r="I267" s="31">
        <v>62783.65</v>
      </c>
      <c r="J267" s="31">
        <v>2801962.5131838545</v>
      </c>
      <c r="K267" s="31">
        <v>1447394.9327474032</v>
      </c>
      <c r="L267" s="31">
        <v>1460433.9602249907</v>
      </c>
      <c r="M267" s="31">
        <f t="shared" si="20"/>
        <v>25119256.480481781</v>
      </c>
      <c r="N267" s="31">
        <v>628965.65999999992</v>
      </c>
      <c r="P267" s="42" t="s">
        <v>443</v>
      </c>
      <c r="Q267" s="42" t="s">
        <v>444</v>
      </c>
      <c r="R267" s="43" t="s">
        <v>1050</v>
      </c>
      <c r="S267" s="44">
        <v>32</v>
      </c>
      <c r="T267" s="31">
        <v>18495068.435457807</v>
      </c>
      <c r="U267" s="31">
        <v>815363.94</v>
      </c>
      <c r="V267" s="31">
        <v>406899.27</v>
      </c>
      <c r="W267" s="31">
        <v>65455.16</v>
      </c>
      <c r="X267" s="31">
        <v>2909099.8748168917</v>
      </c>
      <c r="Y267" s="31">
        <v>1448839.0580175407</v>
      </c>
      <c r="Z267" s="31">
        <v>1533610.8943407806</v>
      </c>
      <c r="AA267" s="31">
        <f t="shared" si="21"/>
        <v>26322287.882633019</v>
      </c>
      <c r="AB267" s="31">
        <v>647951.25</v>
      </c>
      <c r="AD267" s="42" t="s">
        <v>443</v>
      </c>
      <c r="AE267" s="42" t="s">
        <v>444</v>
      </c>
      <c r="AF267" s="43" t="s">
        <v>1275</v>
      </c>
      <c r="AG267" s="44">
        <v>32</v>
      </c>
      <c r="AH267" s="31">
        <v>18865542.075369861</v>
      </c>
      <c r="AI267" s="31">
        <v>833040.04000000015</v>
      </c>
      <c r="AJ267" s="31">
        <v>415116.35999999993</v>
      </c>
      <c r="AK267" s="31">
        <v>66857.97</v>
      </c>
      <c r="AL267" s="31">
        <v>2965621.3088936559</v>
      </c>
      <c r="AM267" s="31">
        <v>1448293.2867997941</v>
      </c>
      <c r="AN267" s="31">
        <v>1564409.9362907293</v>
      </c>
      <c r="AO267" s="31">
        <f t="shared" si="22"/>
        <v>26818922.697354037</v>
      </c>
      <c r="AP267" s="31">
        <v>660041.72000000009</v>
      </c>
      <c r="AR267" s="42" t="s">
        <v>443</v>
      </c>
      <c r="AS267" s="42" t="s">
        <v>444</v>
      </c>
      <c r="AT267" s="43" t="s">
        <v>1276</v>
      </c>
      <c r="AU267" s="44">
        <v>32</v>
      </c>
      <c r="AV267" s="31">
        <v>19250585.733549502</v>
      </c>
      <c r="AW267" s="31">
        <v>849862.41000000015</v>
      </c>
      <c r="AX267" s="31">
        <v>423696.9</v>
      </c>
      <c r="AY267" s="31">
        <v>68102.83</v>
      </c>
      <c r="AZ267" s="31">
        <v>3026243.956374825</v>
      </c>
      <c r="BA267" s="31">
        <v>1448377.2850111839</v>
      </c>
      <c r="BB267" s="31">
        <v>1596621.4654006024</v>
      </c>
      <c r="BC267" s="31">
        <f t="shared" si="23"/>
        <v>27337185.800336108</v>
      </c>
      <c r="BD267" s="31">
        <v>673695.22</v>
      </c>
    </row>
    <row r="268" spans="2:56">
      <c r="B268" s="42" t="s">
        <v>1022</v>
      </c>
      <c r="C268" s="42" t="s">
        <v>1040</v>
      </c>
      <c r="D268" s="43" t="s">
        <v>1049</v>
      </c>
      <c r="E268" s="44">
        <v>32</v>
      </c>
      <c r="F268" s="31">
        <v>4372247.8882674482</v>
      </c>
      <c r="G268" s="31">
        <v>178752.71000000002</v>
      </c>
      <c r="H268" s="31">
        <v>159104.59</v>
      </c>
      <c r="I268" s="31">
        <v>15244.220000000003</v>
      </c>
      <c r="J268" s="31">
        <v>575890.58804156969</v>
      </c>
      <c r="K268" s="31">
        <v>549892.23</v>
      </c>
      <c r="L268" s="31">
        <v>0</v>
      </c>
      <c r="M268" s="31">
        <f t="shared" si="20"/>
        <v>6004816.6563090179</v>
      </c>
      <c r="N268" s="31">
        <v>153684.43</v>
      </c>
      <c r="P268" s="42" t="s">
        <v>1022</v>
      </c>
      <c r="Q268" s="42" t="s">
        <v>1040</v>
      </c>
      <c r="R268" s="43" t="s">
        <v>1050</v>
      </c>
      <c r="S268" s="44">
        <v>32</v>
      </c>
      <c r="T268" s="31">
        <v>4584682.5598078221</v>
      </c>
      <c r="U268" s="31">
        <v>188137.35</v>
      </c>
      <c r="V268" s="31">
        <v>165921.22999999998</v>
      </c>
      <c r="W268" s="31">
        <v>15807.6</v>
      </c>
      <c r="X268" s="31">
        <v>598040.28276891599</v>
      </c>
      <c r="Y268" s="31">
        <v>549892.23</v>
      </c>
      <c r="Z268" s="31">
        <v>0</v>
      </c>
      <c r="AA268" s="31">
        <f t="shared" si="21"/>
        <v>6260823.0325767389</v>
      </c>
      <c r="AB268" s="31">
        <v>158341.78</v>
      </c>
      <c r="AD268" s="42" t="s">
        <v>1022</v>
      </c>
      <c r="AE268" s="42" t="s">
        <v>1040</v>
      </c>
      <c r="AF268" s="43" t="s">
        <v>1275</v>
      </c>
      <c r="AG268" s="44">
        <v>32</v>
      </c>
      <c r="AH268" s="31">
        <v>4675907.5193173839</v>
      </c>
      <c r="AI268" s="31">
        <v>192212.48000000004</v>
      </c>
      <c r="AJ268" s="31">
        <v>169174.55000000002</v>
      </c>
      <c r="AK268" s="31">
        <v>16117.550000000001</v>
      </c>
      <c r="AL268" s="31">
        <v>609666.26383145188</v>
      </c>
      <c r="AM268" s="31">
        <v>549892.23</v>
      </c>
      <c r="AN268" s="31">
        <v>0</v>
      </c>
      <c r="AO268" s="31">
        <f t="shared" si="22"/>
        <v>6374269.6231488353</v>
      </c>
      <c r="AP268" s="31">
        <v>161299.03000000003</v>
      </c>
      <c r="AR268" s="42" t="s">
        <v>1022</v>
      </c>
      <c r="AS268" s="42" t="s">
        <v>1040</v>
      </c>
      <c r="AT268" s="43" t="s">
        <v>1276</v>
      </c>
      <c r="AU268" s="44">
        <v>32</v>
      </c>
      <c r="AV268" s="31">
        <v>4768729.4763608798</v>
      </c>
      <c r="AW268" s="31">
        <v>196119.42999999996</v>
      </c>
      <c r="AX268" s="31">
        <v>172567.71000000002</v>
      </c>
      <c r="AY268" s="31">
        <v>16539.27</v>
      </c>
      <c r="AZ268" s="31">
        <v>622147.56972818845</v>
      </c>
      <c r="BA268" s="31">
        <v>549892.23</v>
      </c>
      <c r="BB268" s="31">
        <v>0</v>
      </c>
      <c r="BC268" s="31">
        <f t="shared" si="23"/>
        <v>6490578.0360890664</v>
      </c>
      <c r="BD268" s="31">
        <v>164582.35</v>
      </c>
    </row>
    <row r="269" spans="2:56">
      <c r="B269" s="42" t="s">
        <v>391</v>
      </c>
      <c r="C269" s="42" t="s">
        <v>392</v>
      </c>
      <c r="D269" s="43" t="s">
        <v>1049</v>
      </c>
      <c r="E269" s="44">
        <v>32</v>
      </c>
      <c r="F269" s="31">
        <v>2004019.8586240229</v>
      </c>
      <c r="G269" s="31">
        <v>81790.639999999985</v>
      </c>
      <c r="H269" s="31">
        <v>32651.61</v>
      </c>
      <c r="I269" s="31">
        <v>5495.8100000000013</v>
      </c>
      <c r="J269" s="31">
        <v>217034.57474780016</v>
      </c>
      <c r="K269" s="31">
        <v>163150.46</v>
      </c>
      <c r="L269" s="31">
        <v>0</v>
      </c>
      <c r="M269" s="31">
        <f t="shared" si="20"/>
        <v>2561364.0733718234</v>
      </c>
      <c r="N269" s="31">
        <v>57221.119999999995</v>
      </c>
      <c r="P269" s="42" t="s">
        <v>391</v>
      </c>
      <c r="Q269" s="42" t="s">
        <v>392</v>
      </c>
      <c r="R269" s="43" t="s">
        <v>1050</v>
      </c>
      <c r="S269" s="44">
        <v>32</v>
      </c>
      <c r="T269" s="31">
        <v>2082147.0146569374</v>
      </c>
      <c r="U269" s="31">
        <v>86015.05</v>
      </c>
      <c r="V269" s="31">
        <v>33984.29</v>
      </c>
      <c r="W269" s="31">
        <v>5813.11</v>
      </c>
      <c r="X269" s="31">
        <v>225405.45597021084</v>
      </c>
      <c r="Y269" s="31">
        <v>163150.46</v>
      </c>
      <c r="Z269" s="31">
        <v>0</v>
      </c>
      <c r="AA269" s="31">
        <f t="shared" si="21"/>
        <v>2655492.4906271482</v>
      </c>
      <c r="AB269" s="31">
        <v>58977.11</v>
      </c>
      <c r="AD269" s="42" t="s">
        <v>391</v>
      </c>
      <c r="AE269" s="42" t="s">
        <v>392</v>
      </c>
      <c r="AF269" s="43" t="s">
        <v>1275</v>
      </c>
      <c r="AG269" s="44">
        <v>32</v>
      </c>
      <c r="AH269" s="31">
        <v>2123055.0326702334</v>
      </c>
      <c r="AI269" s="31">
        <v>87803.97</v>
      </c>
      <c r="AJ269" s="31">
        <v>34650.170000000006</v>
      </c>
      <c r="AK269" s="31">
        <v>5927.01</v>
      </c>
      <c r="AL269" s="31">
        <v>229780.62014344457</v>
      </c>
      <c r="AM269" s="31">
        <v>163150.46</v>
      </c>
      <c r="AN269" s="31">
        <v>0</v>
      </c>
      <c r="AO269" s="31">
        <f t="shared" si="22"/>
        <v>2704396.3828136781</v>
      </c>
      <c r="AP269" s="31">
        <v>60029.119999999995</v>
      </c>
      <c r="AR269" s="42" t="s">
        <v>391</v>
      </c>
      <c r="AS269" s="42" t="s">
        <v>392</v>
      </c>
      <c r="AT269" s="43" t="s">
        <v>1276</v>
      </c>
      <c r="AU269" s="44">
        <v>32</v>
      </c>
      <c r="AV269" s="31">
        <v>2163580.1112604151</v>
      </c>
      <c r="AW269" s="31">
        <v>89647.599999999977</v>
      </c>
      <c r="AX269" s="31">
        <v>35407.68</v>
      </c>
      <c r="AY269" s="31">
        <v>6036.72</v>
      </c>
      <c r="AZ269" s="31">
        <v>234469.60242715897</v>
      </c>
      <c r="BA269" s="31">
        <v>163150.46</v>
      </c>
      <c r="BB269" s="31">
        <v>0</v>
      </c>
      <c r="BC269" s="31">
        <f t="shared" si="23"/>
        <v>2753562.5136875743</v>
      </c>
      <c r="BD269" s="31">
        <v>61270.339999999989</v>
      </c>
    </row>
    <row r="270" spans="2:56">
      <c r="B270" s="42" t="s">
        <v>221</v>
      </c>
      <c r="C270" s="42" t="s">
        <v>222</v>
      </c>
      <c r="D270" s="43" t="s">
        <v>1049</v>
      </c>
      <c r="E270" s="44">
        <v>32</v>
      </c>
      <c r="F270" s="31">
        <v>2812960.1904540053</v>
      </c>
      <c r="G270" s="31">
        <v>82996.38</v>
      </c>
      <c r="H270" s="31">
        <v>100724.84</v>
      </c>
      <c r="I270" s="31">
        <v>9936.98</v>
      </c>
      <c r="J270" s="31">
        <v>388656.25018119102</v>
      </c>
      <c r="K270" s="31">
        <v>567488.78</v>
      </c>
      <c r="L270" s="31">
        <v>0</v>
      </c>
      <c r="M270" s="31">
        <f t="shared" si="20"/>
        <v>3962763.4206351964</v>
      </c>
      <c r="N270" s="31">
        <v>0</v>
      </c>
      <c r="P270" s="42" t="s">
        <v>221</v>
      </c>
      <c r="Q270" s="42" t="s">
        <v>222</v>
      </c>
      <c r="R270" s="43" t="s">
        <v>1050</v>
      </c>
      <c r="S270" s="44">
        <v>32</v>
      </c>
      <c r="T270" s="31">
        <v>2932061.0408820082</v>
      </c>
      <c r="U270" s="31">
        <v>86414.86</v>
      </c>
      <c r="V270" s="31">
        <v>105032.70000000001</v>
      </c>
      <c r="W270" s="31">
        <v>10421.32</v>
      </c>
      <c r="X270" s="31">
        <v>403563.46527557005</v>
      </c>
      <c r="Y270" s="31">
        <v>567488.78</v>
      </c>
      <c r="Z270" s="31">
        <v>0</v>
      </c>
      <c r="AA270" s="31">
        <f t="shared" si="21"/>
        <v>4104982.1661575781</v>
      </c>
      <c r="AB270" s="31">
        <v>0</v>
      </c>
      <c r="AD270" s="42" t="s">
        <v>221</v>
      </c>
      <c r="AE270" s="42" t="s">
        <v>222</v>
      </c>
      <c r="AF270" s="43" t="s">
        <v>1275</v>
      </c>
      <c r="AG270" s="44">
        <v>32</v>
      </c>
      <c r="AH270" s="31">
        <v>2990921.1961361649</v>
      </c>
      <c r="AI270" s="31">
        <v>88228.64</v>
      </c>
      <c r="AJ270" s="31">
        <v>107092.15</v>
      </c>
      <c r="AK270" s="31">
        <v>10625.65</v>
      </c>
      <c r="AL270" s="31">
        <v>411414.32032882038</v>
      </c>
      <c r="AM270" s="31">
        <v>567488.78</v>
      </c>
      <c r="AN270" s="31">
        <v>0</v>
      </c>
      <c r="AO270" s="31">
        <f t="shared" si="22"/>
        <v>4175770.7364649856</v>
      </c>
      <c r="AP270" s="31">
        <v>0</v>
      </c>
      <c r="AR270" s="42" t="s">
        <v>221</v>
      </c>
      <c r="AS270" s="42" t="s">
        <v>222</v>
      </c>
      <c r="AT270" s="43" t="s">
        <v>1276</v>
      </c>
      <c r="AU270" s="44">
        <v>32</v>
      </c>
      <c r="AV270" s="31">
        <v>3052107.4126251894</v>
      </c>
      <c r="AW270" s="31">
        <v>89993.02</v>
      </c>
      <c r="AX270" s="31">
        <v>109329.37000000001</v>
      </c>
      <c r="AY270" s="31">
        <v>10823.49</v>
      </c>
      <c r="AZ270" s="31">
        <v>419843.05376885517</v>
      </c>
      <c r="BA270" s="31">
        <v>567488.78</v>
      </c>
      <c r="BB270" s="31">
        <v>0</v>
      </c>
      <c r="BC270" s="31">
        <f t="shared" si="23"/>
        <v>4249585.1263940446</v>
      </c>
      <c r="BD270" s="31">
        <v>0</v>
      </c>
    </row>
    <row r="271" spans="2:56">
      <c r="B271" s="42" t="s">
        <v>495</v>
      </c>
      <c r="C271" s="42" t="s">
        <v>496</v>
      </c>
      <c r="D271" s="43" t="s">
        <v>1049</v>
      </c>
      <c r="E271" s="44">
        <v>32</v>
      </c>
      <c r="F271" s="31">
        <v>663445.3646271273</v>
      </c>
      <c r="G271" s="31">
        <v>37905.230000000003</v>
      </c>
      <c r="H271" s="31">
        <v>0</v>
      </c>
      <c r="I271" s="31">
        <v>2046.29</v>
      </c>
      <c r="J271" s="31">
        <v>77745.358989579487</v>
      </c>
      <c r="K271" s="31">
        <v>0</v>
      </c>
      <c r="L271" s="31">
        <v>0</v>
      </c>
      <c r="M271" s="31">
        <f t="shared" si="20"/>
        <v>801994.99361670681</v>
      </c>
      <c r="N271" s="31">
        <v>20852.75</v>
      </c>
      <c r="P271" s="42" t="s">
        <v>495</v>
      </c>
      <c r="Q271" s="42" t="s">
        <v>496</v>
      </c>
      <c r="R271" s="43" t="s">
        <v>1050</v>
      </c>
      <c r="S271" s="44">
        <v>32</v>
      </c>
      <c r="T271" s="31">
        <v>698425.62401890371</v>
      </c>
      <c r="U271" s="31">
        <v>39648.959999999999</v>
      </c>
      <c r="V271" s="31">
        <v>0</v>
      </c>
      <c r="W271" s="31">
        <v>2124.87</v>
      </c>
      <c r="X271" s="31">
        <v>80371.938997039804</v>
      </c>
      <c r="Y271" s="31">
        <v>0</v>
      </c>
      <c r="Z271" s="31">
        <v>0</v>
      </c>
      <c r="AA271" s="31">
        <f t="shared" si="21"/>
        <v>841936.77301594347</v>
      </c>
      <c r="AB271" s="31">
        <v>21365.380000000005</v>
      </c>
      <c r="AD271" s="42" t="s">
        <v>495</v>
      </c>
      <c r="AE271" s="42" t="s">
        <v>496</v>
      </c>
      <c r="AF271" s="43" t="s">
        <v>1275</v>
      </c>
      <c r="AG271" s="44">
        <v>32</v>
      </c>
      <c r="AH271" s="31">
        <v>711862.24706126191</v>
      </c>
      <c r="AI271" s="31">
        <v>40466.040000000008</v>
      </c>
      <c r="AJ271" s="31">
        <v>0</v>
      </c>
      <c r="AK271" s="31">
        <v>2166.4499999999998</v>
      </c>
      <c r="AL271" s="31">
        <v>81859.334455844859</v>
      </c>
      <c r="AM271" s="31">
        <v>0</v>
      </c>
      <c r="AN271" s="31">
        <v>0</v>
      </c>
      <c r="AO271" s="31">
        <f t="shared" si="22"/>
        <v>858095.88151710678</v>
      </c>
      <c r="AP271" s="31">
        <v>21741.81</v>
      </c>
      <c r="AR271" s="42" t="s">
        <v>495</v>
      </c>
      <c r="AS271" s="42" t="s">
        <v>496</v>
      </c>
      <c r="AT271" s="43" t="s">
        <v>1276</v>
      </c>
      <c r="AU271" s="44">
        <v>32</v>
      </c>
      <c r="AV271" s="31">
        <v>724922.50656100758</v>
      </c>
      <c r="AW271" s="31">
        <v>41198.880000000005</v>
      </c>
      <c r="AX271" s="31">
        <v>0</v>
      </c>
      <c r="AY271" s="31">
        <v>2206.02</v>
      </c>
      <c r="AZ271" s="31">
        <v>83364.361738224659</v>
      </c>
      <c r="BA271" s="31">
        <v>0</v>
      </c>
      <c r="BB271" s="31">
        <v>0</v>
      </c>
      <c r="BC271" s="31">
        <f t="shared" si="23"/>
        <v>873836.71829923219</v>
      </c>
      <c r="BD271" s="31">
        <v>22144.95</v>
      </c>
    </row>
    <row r="272" spans="2:56">
      <c r="B272" s="42" t="s">
        <v>371</v>
      </c>
      <c r="C272" s="42" t="s">
        <v>372</v>
      </c>
      <c r="D272" s="43" t="s">
        <v>1049</v>
      </c>
      <c r="E272" s="44">
        <v>32</v>
      </c>
      <c r="F272" s="31">
        <v>86685427.923103526</v>
      </c>
      <c r="G272" s="31">
        <v>1980432.78</v>
      </c>
      <c r="H272" s="31">
        <v>726201.79999999993</v>
      </c>
      <c r="I272" s="31">
        <v>306364.68000000005</v>
      </c>
      <c r="J272" s="31">
        <v>12044673.861620503</v>
      </c>
      <c r="K272" s="31">
        <v>4521571.2075299555</v>
      </c>
      <c r="L272" s="31">
        <v>6313522.3172095455</v>
      </c>
      <c r="M272" s="31">
        <f t="shared" si="20"/>
        <v>112715051.11946353</v>
      </c>
      <c r="N272" s="31">
        <v>136856.54999999999</v>
      </c>
      <c r="P272" s="42" t="s">
        <v>371</v>
      </c>
      <c r="Q272" s="42" t="s">
        <v>372</v>
      </c>
      <c r="R272" s="43" t="s">
        <v>1050</v>
      </c>
      <c r="S272" s="44">
        <v>32</v>
      </c>
      <c r="T272" s="31">
        <v>90397945.817547485</v>
      </c>
      <c r="U272" s="31">
        <v>2066263.4900000002</v>
      </c>
      <c r="V272" s="31">
        <v>756932.94000000006</v>
      </c>
      <c r="W272" s="31">
        <v>319385.23</v>
      </c>
      <c r="X272" s="31">
        <v>12507938.430981271</v>
      </c>
      <c r="Y272" s="31">
        <v>4526336.301845816</v>
      </c>
      <c r="Z272" s="31">
        <v>6566348.954305565</v>
      </c>
      <c r="AA272" s="31">
        <f t="shared" si="21"/>
        <v>117282077.74468012</v>
      </c>
      <c r="AB272" s="31">
        <v>140926.58000000002</v>
      </c>
      <c r="AD272" s="42" t="s">
        <v>371</v>
      </c>
      <c r="AE272" s="42" t="s">
        <v>372</v>
      </c>
      <c r="AF272" s="43" t="s">
        <v>1275</v>
      </c>
      <c r="AG272" s="44">
        <v>32</v>
      </c>
      <c r="AH272" s="31">
        <v>92207568.884166613</v>
      </c>
      <c r="AI272" s="31">
        <v>2108593.87</v>
      </c>
      <c r="AJ272" s="31">
        <v>772447.8899999999</v>
      </c>
      <c r="AK272" s="31">
        <v>325871.09999999992</v>
      </c>
      <c r="AL272" s="31">
        <v>12750405.915834194</v>
      </c>
      <c r="AM272" s="31">
        <v>4524593.7325522341</v>
      </c>
      <c r="AN272" s="31">
        <v>6697994.5733561264</v>
      </c>
      <c r="AO272" s="31">
        <f t="shared" si="22"/>
        <v>119531028.73590915</v>
      </c>
      <c r="AP272" s="31">
        <v>143552.76999999999</v>
      </c>
      <c r="AR272" s="42" t="s">
        <v>371</v>
      </c>
      <c r="AS272" s="42" t="s">
        <v>372</v>
      </c>
      <c r="AT272" s="43" t="s">
        <v>1276</v>
      </c>
      <c r="AU272" s="44">
        <v>32</v>
      </c>
      <c r="AV272" s="31">
        <v>94082133.438361868</v>
      </c>
      <c r="AW272" s="31">
        <v>2151309.21</v>
      </c>
      <c r="AX272" s="31">
        <v>788023.89</v>
      </c>
      <c r="AY272" s="31">
        <v>332483.86000000004</v>
      </c>
      <c r="AZ272" s="31">
        <v>13010045.250063464</v>
      </c>
      <c r="BA272" s="31">
        <v>4524864.6367732538</v>
      </c>
      <c r="BB272" s="31">
        <v>6834541.4978809971</v>
      </c>
      <c r="BC272" s="31">
        <f t="shared" si="23"/>
        <v>121869992.52307957</v>
      </c>
      <c r="BD272" s="31">
        <v>146590.74000000002</v>
      </c>
    </row>
    <row r="273" spans="2:56">
      <c r="B273" s="42" t="s">
        <v>595</v>
      </c>
      <c r="C273" s="42" t="s">
        <v>596</v>
      </c>
      <c r="D273" s="43" t="s">
        <v>1049</v>
      </c>
      <c r="E273" s="44">
        <v>32</v>
      </c>
      <c r="F273" s="31">
        <v>53208260.677478388</v>
      </c>
      <c r="G273" s="31">
        <v>3767720.63</v>
      </c>
      <c r="H273" s="31">
        <v>3086693.38</v>
      </c>
      <c r="I273" s="31">
        <v>180658.84</v>
      </c>
      <c r="J273" s="31">
        <v>7850638.4012261145</v>
      </c>
      <c r="K273" s="31">
        <v>3065070.5969906682</v>
      </c>
      <c r="L273" s="31">
        <v>2349537.1804656349</v>
      </c>
      <c r="M273" s="31">
        <f t="shared" si="20"/>
        <v>75362232.776160821</v>
      </c>
      <c r="N273" s="31">
        <v>1853653.07</v>
      </c>
      <c r="P273" s="42" t="s">
        <v>595</v>
      </c>
      <c r="Q273" s="42" t="s">
        <v>596</v>
      </c>
      <c r="R273" s="43" t="s">
        <v>1050</v>
      </c>
      <c r="S273" s="44">
        <v>32</v>
      </c>
      <c r="T273" s="31">
        <v>56096127.520955503</v>
      </c>
      <c r="U273" s="31">
        <v>3957367.76</v>
      </c>
      <c r="V273" s="31">
        <v>3220909.15</v>
      </c>
      <c r="W273" s="31">
        <v>188608.14</v>
      </c>
      <c r="X273" s="31">
        <v>8156471.8757010764</v>
      </c>
      <c r="Y273" s="31">
        <v>3068178.358845924</v>
      </c>
      <c r="Z273" s="31">
        <v>2468730.6932907728</v>
      </c>
      <c r="AA273" s="31">
        <f t="shared" si="21"/>
        <v>79064901.118793264</v>
      </c>
      <c r="AB273" s="31">
        <v>1908507.6199999999</v>
      </c>
      <c r="AD273" s="42" t="s">
        <v>595</v>
      </c>
      <c r="AE273" s="42" t="s">
        <v>596</v>
      </c>
      <c r="AF273" s="43" t="s">
        <v>1275</v>
      </c>
      <c r="AG273" s="44">
        <v>32</v>
      </c>
      <c r="AH273" s="31">
        <v>57217411.663454778</v>
      </c>
      <c r="AI273" s="31">
        <v>4041500.8299999991</v>
      </c>
      <c r="AJ273" s="31">
        <v>3286390.1899999995</v>
      </c>
      <c r="AK273" s="31">
        <v>192400.73</v>
      </c>
      <c r="AL273" s="31">
        <v>8313746.7668446284</v>
      </c>
      <c r="AM273" s="31">
        <v>3067122.5615092292</v>
      </c>
      <c r="AN273" s="31">
        <v>2517993.2705982034</v>
      </c>
      <c r="AO273" s="31">
        <f t="shared" si="22"/>
        <v>80580120.662406832</v>
      </c>
      <c r="AP273" s="31">
        <v>1943554.6500000001</v>
      </c>
      <c r="AR273" s="42" t="s">
        <v>595</v>
      </c>
      <c r="AS273" s="42" t="s">
        <v>596</v>
      </c>
      <c r="AT273" s="43" t="s">
        <v>1276</v>
      </c>
      <c r="AU273" s="44">
        <v>32</v>
      </c>
      <c r="AV273" s="31">
        <v>58370034.112516098</v>
      </c>
      <c r="AW273" s="31">
        <v>4121844.9400000004</v>
      </c>
      <c r="AX273" s="31">
        <v>3352180.34</v>
      </c>
      <c r="AY273" s="31">
        <v>196229.30000000002</v>
      </c>
      <c r="AZ273" s="31">
        <v>8481440.4634448793</v>
      </c>
      <c r="BA273" s="31">
        <v>3067290.5761843603</v>
      </c>
      <c r="BB273" s="31">
        <v>2569007.2167095244</v>
      </c>
      <c r="BC273" s="31">
        <f t="shared" si="23"/>
        <v>82141034.888854846</v>
      </c>
      <c r="BD273" s="31">
        <v>1983007.9400000002</v>
      </c>
    </row>
    <row r="274" spans="2:56">
      <c r="B274" s="42" t="s">
        <v>237</v>
      </c>
      <c r="C274" s="42" t="s">
        <v>238</v>
      </c>
      <c r="D274" s="43" t="s">
        <v>1049</v>
      </c>
      <c r="E274" s="44">
        <v>32</v>
      </c>
      <c r="F274" s="31">
        <v>2273242.2756274929</v>
      </c>
      <c r="G274" s="31">
        <v>39522.080000000002</v>
      </c>
      <c r="H274" s="31">
        <v>0</v>
      </c>
      <c r="I274" s="31">
        <v>0</v>
      </c>
      <c r="J274" s="31">
        <v>106546.04957334505</v>
      </c>
      <c r="K274" s="31">
        <v>68769.66</v>
      </c>
      <c r="L274" s="31">
        <v>37412.189998806687</v>
      </c>
      <c r="M274" s="31">
        <f t="shared" si="20"/>
        <v>2553609.3851996446</v>
      </c>
      <c r="N274" s="31">
        <v>28117.13</v>
      </c>
      <c r="P274" s="42" t="s">
        <v>237</v>
      </c>
      <c r="Q274" s="42" t="s">
        <v>238</v>
      </c>
      <c r="R274" s="43" t="s">
        <v>1050</v>
      </c>
      <c r="S274" s="44">
        <v>32</v>
      </c>
      <c r="T274" s="31">
        <v>2359471.343200135</v>
      </c>
      <c r="U274" s="31">
        <v>41317.920000000013</v>
      </c>
      <c r="V274" s="31">
        <v>0</v>
      </c>
      <c r="W274" s="31">
        <v>0</v>
      </c>
      <c r="X274" s="31">
        <v>110101.34771019369</v>
      </c>
      <c r="Y274" s="31">
        <v>68769.66</v>
      </c>
      <c r="Z274" s="31">
        <v>39063.283960839995</v>
      </c>
      <c r="AA274" s="31">
        <f t="shared" si="21"/>
        <v>2647544.5248711691</v>
      </c>
      <c r="AB274" s="31">
        <v>28820.97</v>
      </c>
      <c r="AD274" s="42" t="s">
        <v>237</v>
      </c>
      <c r="AE274" s="42" t="s">
        <v>238</v>
      </c>
      <c r="AF274" s="43" t="s">
        <v>1275</v>
      </c>
      <c r="AG274" s="44">
        <v>32</v>
      </c>
      <c r="AH274" s="31">
        <v>2404724.7972661024</v>
      </c>
      <c r="AI274" s="31">
        <v>42176.37000000001</v>
      </c>
      <c r="AJ274" s="31">
        <v>0</v>
      </c>
      <c r="AK274" s="31">
        <v>0</v>
      </c>
      <c r="AL274" s="31">
        <v>112158.53526606073</v>
      </c>
      <c r="AM274" s="31">
        <v>68769.66</v>
      </c>
      <c r="AN274" s="31">
        <v>39818.229239457753</v>
      </c>
      <c r="AO274" s="31">
        <f t="shared" si="22"/>
        <v>2696985.3817716213</v>
      </c>
      <c r="AP274" s="31">
        <v>29337.789999999997</v>
      </c>
      <c r="AR274" s="42" t="s">
        <v>237</v>
      </c>
      <c r="AS274" s="42" t="s">
        <v>238</v>
      </c>
      <c r="AT274" s="43" t="s">
        <v>1276</v>
      </c>
      <c r="AU274" s="44">
        <v>32</v>
      </c>
      <c r="AV274" s="31">
        <v>2449132.967625835</v>
      </c>
      <c r="AW274" s="31">
        <v>42954.389999999992</v>
      </c>
      <c r="AX274" s="31">
        <v>0</v>
      </c>
      <c r="AY274" s="31">
        <v>0</v>
      </c>
      <c r="AZ274" s="31">
        <v>114257.35816839349</v>
      </c>
      <c r="BA274" s="31">
        <v>68769.66</v>
      </c>
      <c r="BB274" s="31">
        <v>40563.080927497365</v>
      </c>
      <c r="BC274" s="31">
        <f t="shared" si="23"/>
        <v>2745568.7767217257</v>
      </c>
      <c r="BD274" s="31">
        <v>29891.32</v>
      </c>
    </row>
    <row r="275" spans="2:56">
      <c r="B275" s="42" t="s">
        <v>365</v>
      </c>
      <c r="C275" s="42" t="s">
        <v>366</v>
      </c>
      <c r="D275" s="43" t="s">
        <v>1049</v>
      </c>
      <c r="E275" s="44">
        <v>32</v>
      </c>
      <c r="F275" s="31">
        <v>238270948.37931061</v>
      </c>
      <c r="G275" s="31">
        <v>10841948.199999999</v>
      </c>
      <c r="H275" s="31">
        <v>5127271.330000001</v>
      </c>
      <c r="I275" s="31">
        <v>846032.10000000009</v>
      </c>
      <c r="J275" s="31">
        <v>38062383.343127437</v>
      </c>
      <c r="K275" s="31">
        <v>14300110.210898036</v>
      </c>
      <c r="L275" s="31">
        <v>18828001.909984902</v>
      </c>
      <c r="M275" s="31">
        <f t="shared" si="20"/>
        <v>331969604.60332096</v>
      </c>
      <c r="N275" s="31">
        <v>5692909.1300000008</v>
      </c>
      <c r="P275" s="42" t="s">
        <v>365</v>
      </c>
      <c r="Q275" s="42" t="s">
        <v>366</v>
      </c>
      <c r="R275" s="43" t="s">
        <v>1050</v>
      </c>
      <c r="S275" s="44">
        <v>32</v>
      </c>
      <c r="T275" s="31">
        <v>250956319.60107449</v>
      </c>
      <c r="U275" s="31">
        <v>11373936.41</v>
      </c>
      <c r="V275" s="31">
        <v>5345035.42</v>
      </c>
      <c r="W275" s="31">
        <v>882026.41999999993</v>
      </c>
      <c r="X275" s="31">
        <v>39526283.284620315</v>
      </c>
      <c r="Y275" s="31">
        <v>14314426.794822108</v>
      </c>
      <c r="Z275" s="31">
        <v>19774786.308023598</v>
      </c>
      <c r="AA275" s="31">
        <f t="shared" si="21"/>
        <v>348036066.41854042</v>
      </c>
      <c r="AB275" s="31">
        <v>5863252.1799999997</v>
      </c>
      <c r="AD275" s="42" t="s">
        <v>365</v>
      </c>
      <c r="AE275" s="42" t="s">
        <v>366</v>
      </c>
      <c r="AF275" s="43" t="s">
        <v>1275</v>
      </c>
      <c r="AG275" s="44">
        <v>32</v>
      </c>
      <c r="AH275" s="31">
        <v>255972491.8959235</v>
      </c>
      <c r="AI275" s="31">
        <v>11615813.999999998</v>
      </c>
      <c r="AJ275" s="31">
        <v>5453981.2699999996</v>
      </c>
      <c r="AK275" s="31">
        <v>899992.41</v>
      </c>
      <c r="AL275" s="31">
        <v>40292552.426821724</v>
      </c>
      <c r="AM275" s="31">
        <v>14309191.297289135</v>
      </c>
      <c r="AN275" s="31">
        <v>20171587.843473684</v>
      </c>
      <c r="AO275" s="31">
        <f t="shared" si="22"/>
        <v>354687946.36350805</v>
      </c>
      <c r="AP275" s="31">
        <v>5972335.2200000007</v>
      </c>
      <c r="AR275" s="42" t="s">
        <v>365</v>
      </c>
      <c r="AS275" s="42" t="s">
        <v>366</v>
      </c>
      <c r="AT275" s="43" t="s">
        <v>1276</v>
      </c>
      <c r="AU275" s="44">
        <v>32</v>
      </c>
      <c r="AV275" s="31">
        <v>261175944.12709367</v>
      </c>
      <c r="AW275" s="31">
        <v>11849640.919999998</v>
      </c>
      <c r="AX275" s="31">
        <v>5564344.8799999999</v>
      </c>
      <c r="AY275" s="31">
        <v>918161.62</v>
      </c>
      <c r="AZ275" s="31">
        <v>41113031.080818221</v>
      </c>
      <c r="BA275" s="31">
        <v>14310005.220951192</v>
      </c>
      <c r="BB275" s="31">
        <v>20583049.466792233</v>
      </c>
      <c r="BC275" s="31">
        <f t="shared" si="23"/>
        <v>361609145.24565536</v>
      </c>
      <c r="BD275" s="31">
        <v>6094967.9299999997</v>
      </c>
    </row>
    <row r="276" spans="2:56">
      <c r="B276" s="42" t="s">
        <v>153</v>
      </c>
      <c r="C276" s="42" t="s">
        <v>154</v>
      </c>
      <c r="D276" s="43" t="s">
        <v>1049</v>
      </c>
      <c r="E276" s="44">
        <v>32</v>
      </c>
      <c r="F276" s="31">
        <v>2193906.3891239888</v>
      </c>
      <c r="G276" s="31">
        <v>76492.540000000008</v>
      </c>
      <c r="H276" s="31">
        <v>0</v>
      </c>
      <c r="I276" s="31">
        <v>0</v>
      </c>
      <c r="J276" s="31">
        <v>195989.93451589323</v>
      </c>
      <c r="K276" s="31">
        <v>111849.42634267254</v>
      </c>
      <c r="L276" s="31">
        <v>31852.027890368867</v>
      </c>
      <c r="M276" s="31">
        <f t="shared" si="20"/>
        <v>2655790.9578729235</v>
      </c>
      <c r="N276" s="31">
        <v>45700.639999999999</v>
      </c>
      <c r="P276" s="42" t="s">
        <v>153</v>
      </c>
      <c r="Q276" s="42" t="s">
        <v>154</v>
      </c>
      <c r="R276" s="43" t="s">
        <v>1050</v>
      </c>
      <c r="S276" s="44">
        <v>32</v>
      </c>
      <c r="T276" s="31">
        <v>2294552.5966258403</v>
      </c>
      <c r="U276" s="31">
        <v>80470.179999999993</v>
      </c>
      <c r="V276" s="31">
        <v>0</v>
      </c>
      <c r="W276" s="31">
        <v>0</v>
      </c>
      <c r="X276" s="31">
        <v>203632.67743921181</v>
      </c>
      <c r="Y276" s="31">
        <v>111931.26191209196</v>
      </c>
      <c r="Z276" s="31">
        <v>33562.767619077087</v>
      </c>
      <c r="AA276" s="31">
        <f t="shared" si="21"/>
        <v>2771273.1435962217</v>
      </c>
      <c r="AB276" s="31">
        <v>47123.659999999996</v>
      </c>
      <c r="AD276" s="42" t="s">
        <v>153</v>
      </c>
      <c r="AE276" s="42" t="s">
        <v>154</v>
      </c>
      <c r="AF276" s="43" t="s">
        <v>1275</v>
      </c>
      <c r="AG276" s="44">
        <v>32</v>
      </c>
      <c r="AH276" s="31">
        <v>2339360.4904994294</v>
      </c>
      <c r="AI276" s="31">
        <v>82135.840000000026</v>
      </c>
      <c r="AJ276" s="31">
        <v>0</v>
      </c>
      <c r="AK276" s="31">
        <v>0</v>
      </c>
      <c r="AL276" s="31">
        <v>207544.22563597007</v>
      </c>
      <c r="AM276" s="31">
        <v>111903.45998251559</v>
      </c>
      <c r="AN276" s="31">
        <v>34213.72096001255</v>
      </c>
      <c r="AO276" s="31">
        <f t="shared" si="22"/>
        <v>2823111.6270779278</v>
      </c>
      <c r="AP276" s="31">
        <v>47953.889999999992</v>
      </c>
      <c r="AR276" s="42" t="s">
        <v>153</v>
      </c>
      <c r="AS276" s="42" t="s">
        <v>154</v>
      </c>
      <c r="AT276" s="43" t="s">
        <v>1276</v>
      </c>
      <c r="AU276" s="44">
        <v>32</v>
      </c>
      <c r="AV276" s="31">
        <v>2384171.1178334188</v>
      </c>
      <c r="AW276" s="31">
        <v>83833.84</v>
      </c>
      <c r="AX276" s="31">
        <v>0</v>
      </c>
      <c r="AY276" s="31">
        <v>0</v>
      </c>
      <c r="AZ276" s="31">
        <v>211741.06452735767</v>
      </c>
      <c r="BA276" s="31">
        <v>111907.88425221533</v>
      </c>
      <c r="BB276" s="31">
        <v>34855.037732583369</v>
      </c>
      <c r="BC276" s="31">
        <f t="shared" si="23"/>
        <v>2875455.5143455747</v>
      </c>
      <c r="BD276" s="31">
        <v>48946.57</v>
      </c>
    </row>
    <row r="277" spans="2:56">
      <c r="B277" s="42" t="s">
        <v>207</v>
      </c>
      <c r="C277" s="42" t="s">
        <v>208</v>
      </c>
      <c r="D277" s="43" t="s">
        <v>1049</v>
      </c>
      <c r="E277" s="44">
        <v>32</v>
      </c>
      <c r="F277" s="31">
        <v>80825810.915182307</v>
      </c>
      <c r="G277" s="31">
        <v>848611.08</v>
      </c>
      <c r="H277" s="31">
        <v>679424.10999999987</v>
      </c>
      <c r="I277" s="31">
        <v>290317.37</v>
      </c>
      <c r="J277" s="31">
        <v>11316501.292153418</v>
      </c>
      <c r="K277" s="31">
        <v>4351248.9134863839</v>
      </c>
      <c r="L277" s="31">
        <v>5790616.7415911825</v>
      </c>
      <c r="M277" s="31">
        <f t="shared" si="20"/>
        <v>104102530.42241329</v>
      </c>
      <c r="N277" s="31">
        <v>0</v>
      </c>
      <c r="P277" s="42" t="s">
        <v>207</v>
      </c>
      <c r="Q277" s="42" t="s">
        <v>208</v>
      </c>
      <c r="R277" s="43" t="s">
        <v>1050</v>
      </c>
      <c r="S277" s="44">
        <v>32</v>
      </c>
      <c r="T277" s="31">
        <v>84243411.960109919</v>
      </c>
      <c r="U277" s="31">
        <v>884086.86</v>
      </c>
      <c r="V277" s="31">
        <v>707727.89</v>
      </c>
      <c r="W277" s="31">
        <v>302536.47000000003</v>
      </c>
      <c r="X277" s="31">
        <v>11748142.049785705</v>
      </c>
      <c r="Y277" s="31">
        <v>4354034.3781427974</v>
      </c>
      <c r="Z277" s="31">
        <v>6020273.1650467748</v>
      </c>
      <c r="AA277" s="31">
        <f t="shared" si="21"/>
        <v>108260212.77308521</v>
      </c>
      <c r="AB277" s="31">
        <v>0</v>
      </c>
      <c r="AD277" s="42" t="s">
        <v>207</v>
      </c>
      <c r="AE277" s="42" t="s">
        <v>208</v>
      </c>
      <c r="AF277" s="43" t="s">
        <v>1275</v>
      </c>
      <c r="AG277" s="44">
        <v>32</v>
      </c>
      <c r="AH277" s="31">
        <v>85933247.434799954</v>
      </c>
      <c r="AI277" s="31">
        <v>902167.27</v>
      </c>
      <c r="AJ277" s="31">
        <v>722225.7899999998</v>
      </c>
      <c r="AK277" s="31">
        <v>308594.09999999998</v>
      </c>
      <c r="AL277" s="31">
        <v>11976708.143586148</v>
      </c>
      <c r="AM277" s="31">
        <v>4352981.6810749201</v>
      </c>
      <c r="AN277" s="31">
        <v>6141365.2022580896</v>
      </c>
      <c r="AO277" s="31">
        <f t="shared" si="22"/>
        <v>110337289.62171911</v>
      </c>
      <c r="AP277" s="31">
        <v>0</v>
      </c>
      <c r="AR277" s="42" t="s">
        <v>207</v>
      </c>
      <c r="AS277" s="42" t="s">
        <v>208</v>
      </c>
      <c r="AT277" s="43" t="s">
        <v>1276</v>
      </c>
      <c r="AU277" s="44">
        <v>32</v>
      </c>
      <c r="AV277" s="31">
        <v>87691783.509278849</v>
      </c>
      <c r="AW277" s="31">
        <v>920528.95000000007</v>
      </c>
      <c r="AX277" s="31">
        <v>736849.17</v>
      </c>
      <c r="AY277" s="31">
        <v>314987.03000000003</v>
      </c>
      <c r="AZ277" s="31">
        <v>12222075.888434259</v>
      </c>
      <c r="BA277" s="31">
        <v>4353143.6989094298</v>
      </c>
      <c r="BB277" s="31">
        <v>6267233.4904101435</v>
      </c>
      <c r="BC277" s="31">
        <f t="shared" si="23"/>
        <v>112506601.7370327</v>
      </c>
      <c r="BD277" s="31">
        <v>0</v>
      </c>
    </row>
    <row r="278" spans="2:56">
      <c r="B278" s="42" t="s">
        <v>559</v>
      </c>
      <c r="C278" s="42" t="s">
        <v>560</v>
      </c>
      <c r="D278" s="43" t="s">
        <v>1049</v>
      </c>
      <c r="E278" s="44">
        <v>32</v>
      </c>
      <c r="F278" s="31">
        <v>2385407.5437095566</v>
      </c>
      <c r="G278" s="31">
        <v>81311.040000000008</v>
      </c>
      <c r="H278" s="31">
        <v>0</v>
      </c>
      <c r="I278" s="31">
        <v>0</v>
      </c>
      <c r="J278" s="31">
        <v>263188.72508553398</v>
      </c>
      <c r="K278" s="31">
        <v>144064.7140680064</v>
      </c>
      <c r="L278" s="31">
        <v>224894.25219391473</v>
      </c>
      <c r="M278" s="31">
        <f t="shared" si="20"/>
        <v>3155662.9350570119</v>
      </c>
      <c r="N278" s="31">
        <v>56796.66</v>
      </c>
      <c r="P278" s="42" t="s">
        <v>559</v>
      </c>
      <c r="Q278" s="42" t="s">
        <v>560</v>
      </c>
      <c r="R278" s="43" t="s">
        <v>1050</v>
      </c>
      <c r="S278" s="44">
        <v>32</v>
      </c>
      <c r="T278" s="31">
        <v>2496757.439737631</v>
      </c>
      <c r="U278" s="31">
        <v>85585.16</v>
      </c>
      <c r="V278" s="31">
        <v>0</v>
      </c>
      <c r="W278" s="31">
        <v>0</v>
      </c>
      <c r="X278" s="31">
        <v>273411.35916944925</v>
      </c>
      <c r="Y278" s="31">
        <v>144200.67183978902</v>
      </c>
      <c r="Z278" s="31">
        <v>236241.208766781</v>
      </c>
      <c r="AA278" s="31">
        <f t="shared" si="21"/>
        <v>3294705.2395136501</v>
      </c>
      <c r="AB278" s="31">
        <v>58509.4</v>
      </c>
      <c r="AD278" s="42" t="s">
        <v>559</v>
      </c>
      <c r="AE278" s="42" t="s">
        <v>560</v>
      </c>
      <c r="AF278" s="43" t="s">
        <v>1275</v>
      </c>
      <c r="AG278" s="44">
        <v>32</v>
      </c>
      <c r="AH278" s="31">
        <v>2545583.02836233</v>
      </c>
      <c r="AI278" s="31">
        <v>87370.11</v>
      </c>
      <c r="AJ278" s="31">
        <v>0</v>
      </c>
      <c r="AK278" s="31">
        <v>0</v>
      </c>
      <c r="AL278" s="31">
        <v>278700.36343464477</v>
      </c>
      <c r="AM278" s="31">
        <v>144154.48301965525</v>
      </c>
      <c r="AN278" s="31">
        <v>240932.99752241105</v>
      </c>
      <c r="AO278" s="31">
        <f t="shared" si="22"/>
        <v>3356285.7823390407</v>
      </c>
      <c r="AP278" s="31">
        <v>59544.800000000003</v>
      </c>
      <c r="AR278" s="42" t="s">
        <v>559</v>
      </c>
      <c r="AS278" s="42" t="s">
        <v>560</v>
      </c>
      <c r="AT278" s="43" t="s">
        <v>1276</v>
      </c>
      <c r="AU278" s="44">
        <v>32</v>
      </c>
      <c r="AV278" s="31">
        <v>2594461.3856197353</v>
      </c>
      <c r="AW278" s="31">
        <v>89176.090000000026</v>
      </c>
      <c r="AX278" s="31">
        <v>0</v>
      </c>
      <c r="AY278" s="31">
        <v>0</v>
      </c>
      <c r="AZ278" s="31">
        <v>284330.42552675062</v>
      </c>
      <c r="BA278" s="31">
        <v>144161.83329355702</v>
      </c>
      <c r="BB278" s="31">
        <v>245906.86285817908</v>
      </c>
      <c r="BC278" s="31">
        <f t="shared" si="23"/>
        <v>3418797.4872982223</v>
      </c>
      <c r="BD278" s="31">
        <v>60760.889999999992</v>
      </c>
    </row>
    <row r="279" spans="2:56">
      <c r="B279" s="42" t="s">
        <v>521</v>
      </c>
      <c r="C279" s="42" t="s">
        <v>522</v>
      </c>
      <c r="D279" s="43" t="s">
        <v>1049</v>
      </c>
      <c r="E279" s="44">
        <v>32</v>
      </c>
      <c r="F279" s="31">
        <v>9697119.9903491549</v>
      </c>
      <c r="G279" s="31">
        <v>368236.07000000007</v>
      </c>
      <c r="H279" s="31">
        <v>15590.83</v>
      </c>
      <c r="I279" s="31">
        <v>34689.61</v>
      </c>
      <c r="J279" s="31">
        <v>1565830.9646135771</v>
      </c>
      <c r="K279" s="31">
        <v>1070938.6963558714</v>
      </c>
      <c r="L279" s="31">
        <v>1047941.0990938218</v>
      </c>
      <c r="M279" s="31">
        <f t="shared" si="20"/>
        <v>14043856.650412425</v>
      </c>
      <c r="N279" s="31">
        <v>243509.39</v>
      </c>
      <c r="P279" s="42" t="s">
        <v>521</v>
      </c>
      <c r="Q279" s="42" t="s">
        <v>522</v>
      </c>
      <c r="R279" s="43" t="s">
        <v>1050</v>
      </c>
      <c r="S279" s="44">
        <v>32</v>
      </c>
      <c r="T279" s="31">
        <v>10120776.951888226</v>
      </c>
      <c r="U279" s="31">
        <v>387578.85999999987</v>
      </c>
      <c r="V279" s="31">
        <v>16290.720000000001</v>
      </c>
      <c r="W279" s="31">
        <v>36224.089999999997</v>
      </c>
      <c r="X279" s="31">
        <v>1626839.3441545055</v>
      </c>
      <c r="Y279" s="31">
        <v>1072026.763153292</v>
      </c>
      <c r="Z279" s="31">
        <v>1090471.6437244783</v>
      </c>
      <c r="AA279" s="31">
        <f t="shared" si="21"/>
        <v>14600902.172920503</v>
      </c>
      <c r="AB279" s="31">
        <v>250693.80000000002</v>
      </c>
      <c r="AD279" s="42" t="s">
        <v>521</v>
      </c>
      <c r="AE279" s="42" t="s">
        <v>522</v>
      </c>
      <c r="AF279" s="43" t="s">
        <v>1275</v>
      </c>
      <c r="AG279" s="44">
        <v>32</v>
      </c>
      <c r="AH279" s="31">
        <v>10323468.62256865</v>
      </c>
      <c r="AI279" s="31">
        <v>395960.12000000023</v>
      </c>
      <c r="AJ279" s="31">
        <v>16609.39</v>
      </c>
      <c r="AK279" s="31">
        <v>36932.68</v>
      </c>
      <c r="AL279" s="31">
        <v>1658211.1276409954</v>
      </c>
      <c r="AM279" s="31">
        <v>1071657.1151299339</v>
      </c>
      <c r="AN279" s="31">
        <v>1112218.7610636263</v>
      </c>
      <c r="AO279" s="31">
        <f t="shared" si="22"/>
        <v>14870371.616403209</v>
      </c>
      <c r="AP279" s="31">
        <v>255313.79999999996</v>
      </c>
      <c r="AR279" s="42" t="s">
        <v>521</v>
      </c>
      <c r="AS279" s="42" t="s">
        <v>522</v>
      </c>
      <c r="AT279" s="43" t="s">
        <v>1276</v>
      </c>
      <c r="AU279" s="44">
        <v>32</v>
      </c>
      <c r="AV279" s="31">
        <v>10531108.307005376</v>
      </c>
      <c r="AW279" s="31">
        <v>403861.98</v>
      </c>
      <c r="AX279" s="31">
        <v>16912.7</v>
      </c>
      <c r="AY279" s="31">
        <v>37607.1</v>
      </c>
      <c r="AZ279" s="31">
        <v>1691633.4572069836</v>
      </c>
      <c r="BA279" s="31">
        <v>1071715.9391962572</v>
      </c>
      <c r="BB279" s="31">
        <v>1134373.2108200591</v>
      </c>
      <c r="BC279" s="31">
        <f t="shared" si="23"/>
        <v>15147778.054228673</v>
      </c>
      <c r="BD279" s="31">
        <v>260565.36000000002</v>
      </c>
    </row>
    <row r="280" spans="2:56">
      <c r="B280" s="42" t="s">
        <v>243</v>
      </c>
      <c r="C280" s="42" t="s">
        <v>244</v>
      </c>
      <c r="D280" s="43" t="s">
        <v>1049</v>
      </c>
      <c r="E280" s="44">
        <v>32</v>
      </c>
      <c r="F280" s="31">
        <v>2880120.2185061499</v>
      </c>
      <c r="G280" s="31">
        <v>66261.070000000007</v>
      </c>
      <c r="H280" s="31">
        <v>3897.71</v>
      </c>
      <c r="I280" s="31">
        <v>6236.329999999999</v>
      </c>
      <c r="J280" s="31">
        <v>303046.64767776546</v>
      </c>
      <c r="K280" s="31">
        <v>137478.34774182245</v>
      </c>
      <c r="L280" s="31">
        <v>119872.36120989984</v>
      </c>
      <c r="M280" s="31">
        <f t="shared" si="20"/>
        <v>3516912.6851356374</v>
      </c>
      <c r="N280" s="31">
        <v>0</v>
      </c>
      <c r="P280" s="42" t="s">
        <v>243</v>
      </c>
      <c r="Q280" s="42" t="s">
        <v>244</v>
      </c>
      <c r="R280" s="43" t="s">
        <v>1050</v>
      </c>
      <c r="S280" s="44">
        <v>32</v>
      </c>
      <c r="T280" s="31">
        <v>2996193.3305649143</v>
      </c>
      <c r="U280" s="31">
        <v>69210.289999999994</v>
      </c>
      <c r="V280" s="31">
        <v>4047.3800000000006</v>
      </c>
      <c r="W280" s="31">
        <v>6577.0199999999995</v>
      </c>
      <c r="X280" s="31">
        <v>314841.67124098254</v>
      </c>
      <c r="Y280" s="31">
        <v>137559.03980804179</v>
      </c>
      <c r="Z280" s="31">
        <v>124856.30097739116</v>
      </c>
      <c r="AA280" s="31">
        <f t="shared" si="21"/>
        <v>3653285.0325913299</v>
      </c>
      <c r="AB280" s="31">
        <v>0</v>
      </c>
      <c r="AD280" s="42" t="s">
        <v>243</v>
      </c>
      <c r="AE280" s="42" t="s">
        <v>244</v>
      </c>
      <c r="AF280" s="43" t="s">
        <v>1275</v>
      </c>
      <c r="AG280" s="44">
        <v>32</v>
      </c>
      <c r="AH280" s="31">
        <v>3055107.9731125059</v>
      </c>
      <c r="AI280" s="31">
        <v>70564.13</v>
      </c>
      <c r="AJ280" s="31">
        <v>4126.5599999999995</v>
      </c>
      <c r="AK280" s="31">
        <v>6705.6699999999992</v>
      </c>
      <c r="AL280" s="31">
        <v>320910.06957822264</v>
      </c>
      <c r="AM280" s="31">
        <v>137531.62635985151</v>
      </c>
      <c r="AN280" s="31">
        <v>127381.51130272368</v>
      </c>
      <c r="AO280" s="31">
        <f t="shared" si="22"/>
        <v>3722327.5403533033</v>
      </c>
      <c r="AP280" s="31">
        <v>0</v>
      </c>
      <c r="AR280" s="42" t="s">
        <v>243</v>
      </c>
      <c r="AS280" s="42" t="s">
        <v>244</v>
      </c>
      <c r="AT280" s="43" t="s">
        <v>1276</v>
      </c>
      <c r="AU280" s="44">
        <v>32</v>
      </c>
      <c r="AV280" s="31">
        <v>3113570.2563185333</v>
      </c>
      <c r="AW280" s="31">
        <v>71957.740000000005</v>
      </c>
      <c r="AX280" s="31">
        <v>4201.91</v>
      </c>
      <c r="AY280" s="31">
        <v>6828.11</v>
      </c>
      <c r="AZ280" s="31">
        <v>327368.19965744973</v>
      </c>
      <c r="BA280" s="31">
        <v>137535.98880843123</v>
      </c>
      <c r="BB280" s="31">
        <v>129875.49165502875</v>
      </c>
      <c r="BC280" s="31">
        <f t="shared" si="23"/>
        <v>3791337.6964394432</v>
      </c>
      <c r="BD280" s="31">
        <v>0</v>
      </c>
    </row>
    <row r="281" spans="2:56">
      <c r="B281" s="42" t="s">
        <v>285</v>
      </c>
      <c r="C281" s="42" t="s">
        <v>286</v>
      </c>
      <c r="D281" s="43" t="s">
        <v>1049</v>
      </c>
      <c r="E281" s="44">
        <v>32</v>
      </c>
      <c r="F281" s="31">
        <v>6776934.932862266</v>
      </c>
      <c r="G281" s="31">
        <v>268548.34999999998</v>
      </c>
      <c r="H281" s="31">
        <v>13518.21</v>
      </c>
      <c r="I281" s="31">
        <v>23202.879999999997</v>
      </c>
      <c r="J281" s="31">
        <v>1046072.1492639848</v>
      </c>
      <c r="K281" s="31">
        <v>516724.02064733685</v>
      </c>
      <c r="L281" s="31">
        <v>610290.86754111596</v>
      </c>
      <c r="M281" s="31">
        <f t="shared" si="20"/>
        <v>9433146.6903147027</v>
      </c>
      <c r="N281" s="31">
        <v>177855.28</v>
      </c>
      <c r="P281" s="42" t="s">
        <v>285</v>
      </c>
      <c r="Q281" s="42" t="s">
        <v>286</v>
      </c>
      <c r="R281" s="43" t="s">
        <v>1050</v>
      </c>
      <c r="S281" s="44">
        <v>32</v>
      </c>
      <c r="T281" s="31">
        <v>7136017.0111102825</v>
      </c>
      <c r="U281" s="31">
        <v>282511.56</v>
      </c>
      <c r="V281" s="31">
        <v>14137.190000000002</v>
      </c>
      <c r="W281" s="31">
        <v>24295.01</v>
      </c>
      <c r="X281" s="31">
        <v>1086649.8992502992</v>
      </c>
      <c r="Y281" s="31">
        <v>517215.66347117984</v>
      </c>
      <c r="Z281" s="31">
        <v>641593.11508311611</v>
      </c>
      <c r="AA281" s="31">
        <f t="shared" si="21"/>
        <v>9885597.2589148786</v>
      </c>
      <c r="AB281" s="31">
        <v>183177.81</v>
      </c>
      <c r="AD281" s="42" t="s">
        <v>285</v>
      </c>
      <c r="AE281" s="42" t="s">
        <v>286</v>
      </c>
      <c r="AF281" s="43" t="s">
        <v>1275</v>
      </c>
      <c r="AG281" s="44">
        <v>32</v>
      </c>
      <c r="AH281" s="31">
        <v>7277544.9382022461</v>
      </c>
      <c r="AI281" s="31">
        <v>288599.91999999993</v>
      </c>
      <c r="AJ281" s="31">
        <v>14413.890000000001</v>
      </c>
      <c r="AK281" s="31">
        <v>24770.539999999997</v>
      </c>
      <c r="AL281" s="31">
        <v>1107626.619797426</v>
      </c>
      <c r="AM281" s="31">
        <v>517048.63806569681</v>
      </c>
      <c r="AN281" s="31">
        <v>654365.63564760168</v>
      </c>
      <c r="AO281" s="31">
        <f t="shared" si="22"/>
        <v>10070894.791712971</v>
      </c>
      <c r="AP281" s="31">
        <v>186524.61</v>
      </c>
      <c r="AR281" s="42" t="s">
        <v>285</v>
      </c>
      <c r="AS281" s="42" t="s">
        <v>286</v>
      </c>
      <c r="AT281" s="43" t="s">
        <v>1276</v>
      </c>
      <c r="AU281" s="44">
        <v>32</v>
      </c>
      <c r="AV281" s="31">
        <v>7422128.1571306502</v>
      </c>
      <c r="AW281" s="31">
        <v>294284.35000000003</v>
      </c>
      <c r="AX281" s="31">
        <v>14787.109999999999</v>
      </c>
      <c r="AY281" s="31">
        <v>25225.079999999998</v>
      </c>
      <c r="AZ281" s="31">
        <v>1130032.5302256835</v>
      </c>
      <c r="BA281" s="31">
        <v>517075.21771149203</v>
      </c>
      <c r="BB281" s="31">
        <v>667626.83182407357</v>
      </c>
      <c r="BC281" s="31">
        <f t="shared" si="23"/>
        <v>10261479.096891899</v>
      </c>
      <c r="BD281" s="31">
        <v>190319.82</v>
      </c>
    </row>
    <row r="282" spans="2:56">
      <c r="B282" s="42" t="s">
        <v>339</v>
      </c>
      <c r="C282" s="42" t="s">
        <v>340</v>
      </c>
      <c r="D282" s="43" t="s">
        <v>1049</v>
      </c>
      <c r="E282" s="44">
        <v>32</v>
      </c>
      <c r="F282" s="31">
        <v>9478057.1762963198</v>
      </c>
      <c r="G282" s="31">
        <v>545192.07000000007</v>
      </c>
      <c r="H282" s="31">
        <v>202778.32</v>
      </c>
      <c r="I282" s="31">
        <v>31961.219999999998</v>
      </c>
      <c r="J282" s="31">
        <v>1186237.0633407147</v>
      </c>
      <c r="K282" s="31">
        <v>960823.91342787992</v>
      </c>
      <c r="L282" s="31">
        <v>378929.74975367688</v>
      </c>
      <c r="M282" s="31">
        <f t="shared" si="20"/>
        <v>13108074.042818591</v>
      </c>
      <c r="N282" s="31">
        <v>324094.52999999997</v>
      </c>
      <c r="P282" s="42" t="s">
        <v>339</v>
      </c>
      <c r="Q282" s="42" t="s">
        <v>340</v>
      </c>
      <c r="R282" s="43" t="s">
        <v>1050</v>
      </c>
      <c r="S282" s="44">
        <v>32</v>
      </c>
      <c r="T282" s="31">
        <v>9975279.2576113641</v>
      </c>
      <c r="U282" s="31">
        <v>573462.18999999994</v>
      </c>
      <c r="V282" s="31">
        <v>211678.24999999997</v>
      </c>
      <c r="W282" s="31">
        <v>33390.92</v>
      </c>
      <c r="X282" s="31">
        <v>1232465.5683072945</v>
      </c>
      <c r="Y282" s="31">
        <v>961605.44425501826</v>
      </c>
      <c r="Z282" s="31">
        <v>398171.01451595244</v>
      </c>
      <c r="AA282" s="31">
        <f t="shared" si="21"/>
        <v>13719811.84468963</v>
      </c>
      <c r="AB282" s="31">
        <v>333759.2</v>
      </c>
      <c r="AD282" s="42" t="s">
        <v>339</v>
      </c>
      <c r="AE282" s="42" t="s">
        <v>340</v>
      </c>
      <c r="AF282" s="43" t="s">
        <v>1275</v>
      </c>
      <c r="AG282" s="44">
        <v>32</v>
      </c>
      <c r="AH282" s="31">
        <v>10173702.173519021</v>
      </c>
      <c r="AI282" s="31">
        <v>585744.10999999987</v>
      </c>
      <c r="AJ282" s="31">
        <v>215922.11999999997</v>
      </c>
      <c r="AK282" s="31">
        <v>34044.080000000002</v>
      </c>
      <c r="AL282" s="31">
        <v>1256235.904762415</v>
      </c>
      <c r="AM282" s="31">
        <v>961339.93544055021</v>
      </c>
      <c r="AN282" s="31">
        <v>406181.2655019791</v>
      </c>
      <c r="AO282" s="31">
        <f t="shared" si="22"/>
        <v>13973012.259223964</v>
      </c>
      <c r="AP282" s="31">
        <v>339842.67000000004</v>
      </c>
      <c r="AR282" s="42" t="s">
        <v>339</v>
      </c>
      <c r="AS282" s="42" t="s">
        <v>340</v>
      </c>
      <c r="AT282" s="43" t="s">
        <v>1276</v>
      </c>
      <c r="AU282" s="44">
        <v>32</v>
      </c>
      <c r="AV282" s="31">
        <v>10378693.819529308</v>
      </c>
      <c r="AW282" s="31">
        <v>597404.53</v>
      </c>
      <c r="AX282" s="31">
        <v>220285.24</v>
      </c>
      <c r="AY282" s="31">
        <v>34770.840000000004</v>
      </c>
      <c r="AZ282" s="31">
        <v>1281571.5378715212</v>
      </c>
      <c r="BA282" s="31">
        <v>961382.18727777025</v>
      </c>
      <c r="BB282" s="31">
        <v>414404.01432889211</v>
      </c>
      <c r="BC282" s="31">
        <f t="shared" si="23"/>
        <v>14235277.269007489</v>
      </c>
      <c r="BD282" s="31">
        <v>346765.1</v>
      </c>
    </row>
    <row r="283" spans="2:56">
      <c r="B283" s="42" t="s">
        <v>597</v>
      </c>
      <c r="C283" s="42" t="s">
        <v>598</v>
      </c>
      <c r="D283" s="43" t="s">
        <v>1049</v>
      </c>
      <c r="E283" s="44">
        <v>32</v>
      </c>
      <c r="F283" s="31">
        <v>32084115.568892218</v>
      </c>
      <c r="G283" s="31">
        <v>2490051.54</v>
      </c>
      <c r="H283" s="31">
        <v>2056333.9600000002</v>
      </c>
      <c r="I283" s="31">
        <v>119659.67000000001</v>
      </c>
      <c r="J283" s="31">
        <v>4855135.2442948455</v>
      </c>
      <c r="K283" s="31">
        <v>1461164.8718443906</v>
      </c>
      <c r="L283" s="31">
        <v>5380408.3723059278</v>
      </c>
      <c r="M283" s="31">
        <f t="shared" si="20"/>
        <v>49469335.807337381</v>
      </c>
      <c r="N283" s="31">
        <v>1022466.5800000001</v>
      </c>
      <c r="P283" s="42" t="s">
        <v>597</v>
      </c>
      <c r="Q283" s="42" t="s">
        <v>598</v>
      </c>
      <c r="R283" s="43" t="s">
        <v>1050</v>
      </c>
      <c r="S283" s="44">
        <v>32</v>
      </c>
      <c r="T283" s="31">
        <v>33769957.344908521</v>
      </c>
      <c r="U283" s="31">
        <v>2612617.7300000004</v>
      </c>
      <c r="V283" s="31">
        <v>2145822.4500000002</v>
      </c>
      <c r="W283" s="31">
        <v>124861.84999999998</v>
      </c>
      <c r="X283" s="31">
        <v>5044341.6228180276</v>
      </c>
      <c r="Y283" s="31">
        <v>1462332.4157493324</v>
      </c>
      <c r="Z283" s="31">
        <v>5653591.2969450392</v>
      </c>
      <c r="AA283" s="31">
        <f t="shared" si="21"/>
        <v>51866219.020420939</v>
      </c>
      <c r="AB283" s="31">
        <v>1052694.3099999998</v>
      </c>
      <c r="AD283" s="42" t="s">
        <v>597</v>
      </c>
      <c r="AE283" s="42" t="s">
        <v>598</v>
      </c>
      <c r="AF283" s="43" t="s">
        <v>1275</v>
      </c>
      <c r="AG283" s="44">
        <v>32</v>
      </c>
      <c r="AH283" s="31">
        <v>34439843.795982704</v>
      </c>
      <c r="AI283" s="31">
        <v>2667741.8999999994</v>
      </c>
      <c r="AJ283" s="31">
        <v>2189344.94</v>
      </c>
      <c r="AK283" s="31">
        <v>127407.44</v>
      </c>
      <c r="AL283" s="31">
        <v>5141627.4683742141</v>
      </c>
      <c r="AM283" s="31">
        <v>1461935.7670346866</v>
      </c>
      <c r="AN283" s="31">
        <v>5766710.2272628304</v>
      </c>
      <c r="AO283" s="31">
        <f t="shared" si="22"/>
        <v>52866665.308654435</v>
      </c>
      <c r="AP283" s="31">
        <v>1072053.7700000003</v>
      </c>
      <c r="AR283" s="42" t="s">
        <v>597</v>
      </c>
      <c r="AS283" s="42" t="s">
        <v>598</v>
      </c>
      <c r="AT283" s="43" t="s">
        <v>1276</v>
      </c>
      <c r="AU283" s="44">
        <v>32</v>
      </c>
      <c r="AV283" s="31">
        <v>35134823.534503594</v>
      </c>
      <c r="AW283" s="31">
        <v>2720805.74</v>
      </c>
      <c r="AX283" s="31">
        <v>2233211.19</v>
      </c>
      <c r="AY283" s="31">
        <v>129944.13999999998</v>
      </c>
      <c r="AZ283" s="31">
        <v>5245387.9634023895</v>
      </c>
      <c r="BA283" s="31">
        <v>1461998.8878653767</v>
      </c>
      <c r="BB283" s="31">
        <v>5883066.6627672426</v>
      </c>
      <c r="BC283" s="31">
        <f t="shared" si="23"/>
        <v>53903033.128538601</v>
      </c>
      <c r="BD283" s="31">
        <v>1093795.0099999998</v>
      </c>
    </row>
    <row r="284" spans="2:56">
      <c r="B284" s="42" t="s">
        <v>531</v>
      </c>
      <c r="C284" s="42" t="s">
        <v>532</v>
      </c>
      <c r="D284" s="43" t="s">
        <v>1049</v>
      </c>
      <c r="E284" s="44">
        <v>32</v>
      </c>
      <c r="F284" s="31">
        <v>2471979.9747723937</v>
      </c>
      <c r="G284" s="31">
        <v>70256.200000000012</v>
      </c>
      <c r="H284" s="31">
        <v>61486.37</v>
      </c>
      <c r="I284" s="31">
        <v>0</v>
      </c>
      <c r="J284" s="31">
        <v>195133.20777359622</v>
      </c>
      <c r="K284" s="31">
        <v>140766.65336423967</v>
      </c>
      <c r="L284" s="31">
        <v>128270.77056264319</v>
      </c>
      <c r="M284" s="31">
        <f t="shared" si="20"/>
        <v>3126456.2664728728</v>
      </c>
      <c r="N284" s="31">
        <v>58563.089999999989</v>
      </c>
      <c r="P284" s="42" t="s">
        <v>531</v>
      </c>
      <c r="Q284" s="42" t="s">
        <v>532</v>
      </c>
      <c r="R284" s="43" t="s">
        <v>1050</v>
      </c>
      <c r="S284" s="44">
        <v>32</v>
      </c>
      <c r="T284" s="31">
        <v>2589036.8888545632</v>
      </c>
      <c r="U284" s="31">
        <v>74070.880000000005</v>
      </c>
      <c r="V284" s="31">
        <v>64049.88</v>
      </c>
      <c r="W284" s="31">
        <v>0</v>
      </c>
      <c r="X284" s="31">
        <v>202753.69418112293</v>
      </c>
      <c r="Y284" s="31">
        <v>140862.41582136563</v>
      </c>
      <c r="Z284" s="31">
        <v>134914.96500197609</v>
      </c>
      <c r="AA284" s="31">
        <f t="shared" si="21"/>
        <v>3265991.0338590275</v>
      </c>
      <c r="AB284" s="31">
        <v>60302.31</v>
      </c>
      <c r="AD284" s="42" t="s">
        <v>531</v>
      </c>
      <c r="AE284" s="42" t="s">
        <v>532</v>
      </c>
      <c r="AF284" s="43" t="s">
        <v>1275</v>
      </c>
      <c r="AG284" s="44">
        <v>32</v>
      </c>
      <c r="AH284" s="31">
        <v>2639532.3665472381</v>
      </c>
      <c r="AI284" s="31">
        <v>75741.72</v>
      </c>
      <c r="AJ284" s="31">
        <v>65405.939999999995</v>
      </c>
      <c r="AK284" s="31">
        <v>0</v>
      </c>
      <c r="AL284" s="31">
        <v>206655.9095911324</v>
      </c>
      <c r="AM284" s="31">
        <v>140829.88252187293</v>
      </c>
      <c r="AN284" s="31">
        <v>137531.55260036059</v>
      </c>
      <c r="AO284" s="31">
        <f t="shared" si="22"/>
        <v>3327163.6812606039</v>
      </c>
      <c r="AP284" s="31">
        <v>61466.31</v>
      </c>
      <c r="AR284" s="42" t="s">
        <v>531</v>
      </c>
      <c r="AS284" s="42" t="s">
        <v>532</v>
      </c>
      <c r="AT284" s="43" t="s">
        <v>1276</v>
      </c>
      <c r="AU284" s="44">
        <v>32</v>
      </c>
      <c r="AV284" s="31">
        <v>2690200.7983304663</v>
      </c>
      <c r="AW284" s="31">
        <v>77214.140000000014</v>
      </c>
      <c r="AX284" s="31">
        <v>66810.409999999989</v>
      </c>
      <c r="AY284" s="31">
        <v>0</v>
      </c>
      <c r="AZ284" s="31">
        <v>210827.08872016877</v>
      </c>
      <c r="BA284" s="31">
        <v>140835.05971976428</v>
      </c>
      <c r="BB284" s="31">
        <v>140215.06094270953</v>
      </c>
      <c r="BC284" s="31">
        <f t="shared" si="23"/>
        <v>3388812.0877131089</v>
      </c>
      <c r="BD284" s="31">
        <v>62709.530000000006</v>
      </c>
    </row>
    <row r="285" spans="2:56">
      <c r="B285" s="42" t="s">
        <v>79</v>
      </c>
      <c r="C285" s="42" t="s">
        <v>80</v>
      </c>
      <c r="D285" s="43" t="s">
        <v>1049</v>
      </c>
      <c r="E285" s="44">
        <v>32</v>
      </c>
      <c r="F285" s="31">
        <v>6103363.3288619732</v>
      </c>
      <c r="G285" s="31">
        <v>185017.92</v>
      </c>
      <c r="H285" s="31">
        <v>0</v>
      </c>
      <c r="I285" s="31">
        <v>20277.310000000001</v>
      </c>
      <c r="J285" s="31">
        <v>889542.50505094475</v>
      </c>
      <c r="K285" s="31">
        <v>437617.34661909513</v>
      </c>
      <c r="L285" s="31">
        <v>538326.5781826654</v>
      </c>
      <c r="M285" s="31">
        <f t="shared" si="20"/>
        <v>8174144.9887146782</v>
      </c>
      <c r="N285" s="31">
        <v>0</v>
      </c>
      <c r="P285" s="42" t="s">
        <v>79</v>
      </c>
      <c r="Q285" s="42" t="s">
        <v>80</v>
      </c>
      <c r="R285" s="43" t="s">
        <v>1050</v>
      </c>
      <c r="S285" s="44">
        <v>32</v>
      </c>
      <c r="T285" s="31">
        <v>6361253.9204615448</v>
      </c>
      <c r="U285" s="31">
        <v>192998.76</v>
      </c>
      <c r="V285" s="31">
        <v>0</v>
      </c>
      <c r="W285" s="31">
        <v>21153.429999999997</v>
      </c>
      <c r="X285" s="31">
        <v>924062.5500923756</v>
      </c>
      <c r="Y285" s="31">
        <v>437968.80984948779</v>
      </c>
      <c r="Z285" s="31">
        <v>560009.59506277787</v>
      </c>
      <c r="AA285" s="31">
        <f t="shared" si="21"/>
        <v>8497447.065466186</v>
      </c>
      <c r="AB285" s="31">
        <v>0</v>
      </c>
      <c r="AD285" s="42" t="s">
        <v>79</v>
      </c>
      <c r="AE285" s="42" t="s">
        <v>80</v>
      </c>
      <c r="AF285" s="43" t="s">
        <v>1275</v>
      </c>
      <c r="AG285" s="44">
        <v>32</v>
      </c>
      <c r="AH285" s="31">
        <v>6487097.510427339</v>
      </c>
      <c r="AI285" s="31">
        <v>196883.06</v>
      </c>
      <c r="AJ285" s="31">
        <v>0</v>
      </c>
      <c r="AK285" s="31">
        <v>21567.449999999997</v>
      </c>
      <c r="AL285" s="31">
        <v>941912.14041980309</v>
      </c>
      <c r="AM285" s="31">
        <v>437849.40754008392</v>
      </c>
      <c r="AN285" s="31">
        <v>571091.21337426384</v>
      </c>
      <c r="AO285" s="31">
        <f t="shared" si="22"/>
        <v>8656400.7817614898</v>
      </c>
      <c r="AP285" s="31">
        <v>0</v>
      </c>
      <c r="AR285" s="42" t="s">
        <v>79</v>
      </c>
      <c r="AS285" s="42" t="s">
        <v>80</v>
      </c>
      <c r="AT285" s="43" t="s">
        <v>1276</v>
      </c>
      <c r="AU285" s="44">
        <v>32</v>
      </c>
      <c r="AV285" s="31">
        <v>6615659.2610114487</v>
      </c>
      <c r="AW285" s="31">
        <v>200822.03999999998</v>
      </c>
      <c r="AX285" s="31">
        <v>0</v>
      </c>
      <c r="AY285" s="31">
        <v>21963.21</v>
      </c>
      <c r="AZ285" s="31">
        <v>960943.60136129684</v>
      </c>
      <c r="BA285" s="31">
        <v>437868.40866797772</v>
      </c>
      <c r="BB285" s="31">
        <v>582980.88761126134</v>
      </c>
      <c r="BC285" s="31">
        <f t="shared" si="23"/>
        <v>8820237.4086519852</v>
      </c>
      <c r="BD285" s="31">
        <v>0</v>
      </c>
    </row>
    <row r="286" spans="2:56">
      <c r="B286" s="42" t="s">
        <v>257</v>
      </c>
      <c r="C286" s="42" t="s">
        <v>258</v>
      </c>
      <c r="D286" s="43" t="s">
        <v>1049</v>
      </c>
      <c r="E286" s="44">
        <v>32</v>
      </c>
      <c r="F286" s="31">
        <v>2496010.6640299731</v>
      </c>
      <c r="G286" s="31">
        <v>0</v>
      </c>
      <c r="H286" s="31">
        <v>23678.59</v>
      </c>
      <c r="I286" s="31">
        <v>5359.369999999999</v>
      </c>
      <c r="J286" s="31">
        <v>154913.04096254066</v>
      </c>
      <c r="K286" s="31">
        <v>135749.48480082987</v>
      </c>
      <c r="L286" s="31">
        <v>0</v>
      </c>
      <c r="M286" s="31">
        <f t="shared" si="20"/>
        <v>2815711.1497933436</v>
      </c>
      <c r="N286" s="31">
        <v>0</v>
      </c>
      <c r="P286" s="42" t="s">
        <v>257</v>
      </c>
      <c r="Q286" s="42" t="s">
        <v>258</v>
      </c>
      <c r="R286" s="43" t="s">
        <v>1050</v>
      </c>
      <c r="S286" s="44">
        <v>32</v>
      </c>
      <c r="T286" s="31">
        <v>2596736.7654239694</v>
      </c>
      <c r="U286" s="31">
        <v>0</v>
      </c>
      <c r="V286" s="31">
        <v>24689.05</v>
      </c>
      <c r="W286" s="31">
        <v>5565.16</v>
      </c>
      <c r="X286" s="31">
        <v>160939.34732386994</v>
      </c>
      <c r="Y286" s="31">
        <v>135892.80852232137</v>
      </c>
      <c r="Z286" s="31">
        <v>0</v>
      </c>
      <c r="AA286" s="31">
        <f t="shared" si="21"/>
        <v>2923823.1312701604</v>
      </c>
      <c r="AB286" s="31">
        <v>0</v>
      </c>
      <c r="AD286" s="42" t="s">
        <v>257</v>
      </c>
      <c r="AE286" s="42" t="s">
        <v>258</v>
      </c>
      <c r="AF286" s="43" t="s">
        <v>1275</v>
      </c>
      <c r="AG286" s="44">
        <v>32</v>
      </c>
      <c r="AH286" s="31">
        <v>2647673.9561510026</v>
      </c>
      <c r="AI286" s="31">
        <v>0</v>
      </c>
      <c r="AJ286" s="31">
        <v>25275.170000000006</v>
      </c>
      <c r="AK286" s="31">
        <v>5674.0199999999995</v>
      </c>
      <c r="AL286" s="31">
        <v>164048.83496600785</v>
      </c>
      <c r="AM286" s="31">
        <v>135844.11727425162</v>
      </c>
      <c r="AN286" s="31">
        <v>0</v>
      </c>
      <c r="AO286" s="31">
        <f t="shared" si="22"/>
        <v>2978516.0983912619</v>
      </c>
      <c r="AP286" s="31">
        <v>0</v>
      </c>
      <c r="AR286" s="42" t="s">
        <v>257</v>
      </c>
      <c r="AS286" s="42" t="s">
        <v>258</v>
      </c>
      <c r="AT286" s="43" t="s">
        <v>1276</v>
      </c>
      <c r="AU286" s="44">
        <v>32</v>
      </c>
      <c r="AV286" s="31">
        <v>2698776.1605801466</v>
      </c>
      <c r="AW286" s="31">
        <v>0</v>
      </c>
      <c r="AX286" s="31">
        <v>25736.710000000006</v>
      </c>
      <c r="AY286" s="31">
        <v>5777.6299999999992</v>
      </c>
      <c r="AZ286" s="31">
        <v>167366.24132287782</v>
      </c>
      <c r="BA286" s="31">
        <v>135851.86577289039</v>
      </c>
      <c r="BB286" s="31">
        <v>0</v>
      </c>
      <c r="BC286" s="31">
        <f t="shared" si="23"/>
        <v>3033508.6076759147</v>
      </c>
      <c r="BD286" s="31">
        <v>0</v>
      </c>
    </row>
    <row r="287" spans="2:56">
      <c r="B287" s="42" t="s">
        <v>201</v>
      </c>
      <c r="C287" s="42" t="s">
        <v>202</v>
      </c>
      <c r="D287" s="43" t="s">
        <v>1049</v>
      </c>
      <c r="E287" s="44">
        <v>32</v>
      </c>
      <c r="F287" s="31">
        <v>23687724.728759062</v>
      </c>
      <c r="G287" s="31">
        <v>1369383.6</v>
      </c>
      <c r="H287" s="31">
        <v>1738858.5800000003</v>
      </c>
      <c r="I287" s="31">
        <v>82318.850000000006</v>
      </c>
      <c r="J287" s="31">
        <v>3565386.1782605499</v>
      </c>
      <c r="K287" s="31">
        <v>921753.55166467745</v>
      </c>
      <c r="L287" s="31">
        <v>1035336.0476193475</v>
      </c>
      <c r="M287" s="31">
        <f t="shared" si="20"/>
        <v>33245404.816303641</v>
      </c>
      <c r="N287" s="31">
        <v>844643.2799999998</v>
      </c>
      <c r="P287" s="42" t="s">
        <v>201</v>
      </c>
      <c r="Q287" s="42" t="s">
        <v>202</v>
      </c>
      <c r="R287" s="43" t="s">
        <v>1050</v>
      </c>
      <c r="S287" s="44">
        <v>32</v>
      </c>
      <c r="T287" s="31">
        <v>24954410.49448235</v>
      </c>
      <c r="U287" s="31">
        <v>1437137.13</v>
      </c>
      <c r="V287" s="31">
        <v>1812019.0699999998</v>
      </c>
      <c r="W287" s="31">
        <v>85829.390000000014</v>
      </c>
      <c r="X287" s="31">
        <v>3701744.4473933671</v>
      </c>
      <c r="Y287" s="31">
        <v>922544.26023392158</v>
      </c>
      <c r="Z287" s="31">
        <v>1087024.7353079149</v>
      </c>
      <c r="AA287" s="31">
        <f t="shared" si="21"/>
        <v>34870779.097417548</v>
      </c>
      <c r="AB287" s="31">
        <v>870069.56999999983</v>
      </c>
      <c r="AD287" s="42" t="s">
        <v>201</v>
      </c>
      <c r="AE287" s="42" t="s">
        <v>202</v>
      </c>
      <c r="AF287" s="43" t="s">
        <v>1275</v>
      </c>
      <c r="AG287" s="44">
        <v>32</v>
      </c>
      <c r="AH287" s="31">
        <v>25454762.919152927</v>
      </c>
      <c r="AI287" s="31">
        <v>1467855.9799999997</v>
      </c>
      <c r="AJ287" s="31">
        <v>1848861.69</v>
      </c>
      <c r="AK287" s="31">
        <v>87512.310000000012</v>
      </c>
      <c r="AL287" s="31">
        <v>3773658.1900975029</v>
      </c>
      <c r="AM287" s="31">
        <v>922245.43160205509</v>
      </c>
      <c r="AN287" s="31">
        <v>1108900.9242498726</v>
      </c>
      <c r="AO287" s="31">
        <f t="shared" si="22"/>
        <v>35550058.395102359</v>
      </c>
      <c r="AP287" s="31">
        <v>886260.95</v>
      </c>
      <c r="AR287" s="42" t="s">
        <v>201</v>
      </c>
      <c r="AS287" s="42" t="s">
        <v>202</v>
      </c>
      <c r="AT287" s="43" t="s">
        <v>1276</v>
      </c>
      <c r="AU287" s="44">
        <v>32</v>
      </c>
      <c r="AV287" s="31">
        <v>25974417.549887989</v>
      </c>
      <c r="AW287" s="31">
        <v>1497541.46</v>
      </c>
      <c r="AX287" s="31">
        <v>1886570.0299999996</v>
      </c>
      <c r="AY287" s="31">
        <v>89263.35</v>
      </c>
      <c r="AZ287" s="31">
        <v>3850822.4308956321</v>
      </c>
      <c r="BA287" s="31">
        <v>922291.42353012436</v>
      </c>
      <c r="BB287" s="31">
        <v>1131619.8813836083</v>
      </c>
      <c r="BC287" s="31">
        <f t="shared" si="23"/>
        <v>36257068.805697352</v>
      </c>
      <c r="BD287" s="31">
        <v>904542.67999999982</v>
      </c>
    </row>
    <row r="288" spans="2:56">
      <c r="B288" s="42" t="s">
        <v>511</v>
      </c>
      <c r="C288" s="42" t="s">
        <v>512</v>
      </c>
      <c r="D288" s="43" t="s">
        <v>1049</v>
      </c>
      <c r="E288" s="44">
        <v>32</v>
      </c>
      <c r="F288" s="31">
        <v>50265488.404364049</v>
      </c>
      <c r="G288" s="31">
        <v>1276304.8999999999</v>
      </c>
      <c r="H288" s="31">
        <v>218758.94</v>
      </c>
      <c r="I288" s="31">
        <v>186310.49999999997</v>
      </c>
      <c r="J288" s="31">
        <v>7721549.9907863783</v>
      </c>
      <c r="K288" s="31">
        <v>3678988.4508556905</v>
      </c>
      <c r="L288" s="31">
        <v>8303173.4728904571</v>
      </c>
      <c r="M288" s="31">
        <f t="shared" si="20"/>
        <v>71650574.658896565</v>
      </c>
      <c r="N288" s="31">
        <v>0</v>
      </c>
      <c r="P288" s="42" t="s">
        <v>511</v>
      </c>
      <c r="Q288" s="42" t="s">
        <v>512</v>
      </c>
      <c r="R288" s="43" t="s">
        <v>1050</v>
      </c>
      <c r="S288" s="44">
        <v>32</v>
      </c>
      <c r="T288" s="31">
        <v>52450865.922218844</v>
      </c>
      <c r="U288" s="31">
        <v>1331792.1100000001</v>
      </c>
      <c r="V288" s="31">
        <v>228272.53999999998</v>
      </c>
      <c r="W288" s="31">
        <v>194375.67999999999</v>
      </c>
      <c r="X288" s="31">
        <v>8022348.2557652108</v>
      </c>
      <c r="Y288" s="31">
        <v>3682980.2411143826</v>
      </c>
      <c r="Z288" s="31">
        <v>8641962.3418915384</v>
      </c>
      <c r="AA288" s="31">
        <f t="shared" si="21"/>
        <v>74552597.090989977</v>
      </c>
      <c r="AB288" s="31">
        <v>0</v>
      </c>
      <c r="AD288" s="42" t="s">
        <v>511</v>
      </c>
      <c r="AE288" s="42" t="s">
        <v>512</v>
      </c>
      <c r="AF288" s="43" t="s">
        <v>1275</v>
      </c>
      <c r="AG288" s="44">
        <v>32</v>
      </c>
      <c r="AH288" s="31">
        <v>53496175.574593194</v>
      </c>
      <c r="AI288" s="31">
        <v>1358875.31</v>
      </c>
      <c r="AJ288" s="31">
        <v>232841</v>
      </c>
      <c r="AK288" s="31">
        <v>198281.08</v>
      </c>
      <c r="AL288" s="31">
        <v>8177065.3822837062</v>
      </c>
      <c r="AM288" s="31">
        <v>3681624.1135473219</v>
      </c>
      <c r="AN288" s="31">
        <v>8814975.5855495855</v>
      </c>
      <c r="AO288" s="31">
        <f t="shared" si="22"/>
        <v>75959838.045973808</v>
      </c>
      <c r="AP288" s="31">
        <v>0</v>
      </c>
      <c r="AR288" s="42" t="s">
        <v>511</v>
      </c>
      <c r="AS288" s="42" t="s">
        <v>512</v>
      </c>
      <c r="AT288" s="43" t="s">
        <v>1276</v>
      </c>
      <c r="AU288" s="44">
        <v>32</v>
      </c>
      <c r="AV288" s="31">
        <v>54573934.472205795</v>
      </c>
      <c r="AW288" s="31">
        <v>1386000.6700000004</v>
      </c>
      <c r="AX288" s="31">
        <v>237513.08</v>
      </c>
      <c r="AY288" s="31">
        <v>202322.07</v>
      </c>
      <c r="AZ288" s="31">
        <v>8342051.0844359361</v>
      </c>
      <c r="BA288" s="31">
        <v>3681839.9213777622</v>
      </c>
      <c r="BB288" s="31">
        <v>8992972.9190188423</v>
      </c>
      <c r="BC288" s="31">
        <f t="shared" si="23"/>
        <v>77416634.217038333</v>
      </c>
      <c r="BD288" s="31">
        <v>0</v>
      </c>
    </row>
    <row r="289" spans="2:56">
      <c r="B289" s="42" t="s">
        <v>581</v>
      </c>
      <c r="C289" s="42" t="s">
        <v>582</v>
      </c>
      <c r="D289" s="43" t="s">
        <v>1049</v>
      </c>
      <c r="E289" s="44">
        <v>32</v>
      </c>
      <c r="F289" s="31">
        <v>4994256.0176886478</v>
      </c>
      <c r="G289" s="31">
        <v>327992.24</v>
      </c>
      <c r="H289" s="31">
        <v>257930.90999999997</v>
      </c>
      <c r="I289" s="31">
        <v>15883.19</v>
      </c>
      <c r="J289" s="31">
        <v>687210.35708410887</v>
      </c>
      <c r="K289" s="31">
        <v>136936.44498647811</v>
      </c>
      <c r="L289" s="31">
        <v>0</v>
      </c>
      <c r="M289" s="31">
        <f t="shared" si="20"/>
        <v>6585959.2497592354</v>
      </c>
      <c r="N289" s="31">
        <v>165750.09</v>
      </c>
      <c r="P289" s="42" t="s">
        <v>581</v>
      </c>
      <c r="Q289" s="42" t="s">
        <v>582</v>
      </c>
      <c r="R289" s="43" t="s">
        <v>1050</v>
      </c>
      <c r="S289" s="44">
        <v>32</v>
      </c>
      <c r="T289" s="31">
        <v>5286909.416008221</v>
      </c>
      <c r="U289" s="31">
        <v>344609.93999999994</v>
      </c>
      <c r="V289" s="31">
        <v>269151.10000000003</v>
      </c>
      <c r="W289" s="31">
        <v>16594.28</v>
      </c>
      <c r="X289" s="31">
        <v>713925.95962529769</v>
      </c>
      <c r="Y289" s="31">
        <v>137095.53772354333</v>
      </c>
      <c r="Z289" s="31">
        <v>0</v>
      </c>
      <c r="AA289" s="31">
        <f t="shared" si="21"/>
        <v>6939009.6133570606</v>
      </c>
      <c r="AB289" s="31">
        <v>170723.38</v>
      </c>
      <c r="AD289" s="42" t="s">
        <v>581</v>
      </c>
      <c r="AE289" s="42" t="s">
        <v>582</v>
      </c>
      <c r="AF289" s="43" t="s">
        <v>1275</v>
      </c>
      <c r="AG289" s="44">
        <v>32</v>
      </c>
      <c r="AH289" s="31">
        <v>5392723.5705394112</v>
      </c>
      <c r="AI289" s="31">
        <v>351890.53999999992</v>
      </c>
      <c r="AJ289" s="31">
        <v>274725.53999999998</v>
      </c>
      <c r="AK289" s="31">
        <v>16918.890000000003</v>
      </c>
      <c r="AL289" s="31">
        <v>727685.95593461499</v>
      </c>
      <c r="AM289" s="31">
        <v>137041.48928099714</v>
      </c>
      <c r="AN289" s="31">
        <v>0</v>
      </c>
      <c r="AO289" s="31">
        <f t="shared" si="22"/>
        <v>7074818.8357550222</v>
      </c>
      <c r="AP289" s="31">
        <v>173832.85</v>
      </c>
      <c r="AR289" s="42" t="s">
        <v>581</v>
      </c>
      <c r="AS289" s="42" t="s">
        <v>582</v>
      </c>
      <c r="AT289" s="43" t="s">
        <v>1276</v>
      </c>
      <c r="AU289" s="44">
        <v>32</v>
      </c>
      <c r="AV289" s="31">
        <v>5501291.882664917</v>
      </c>
      <c r="AW289" s="31">
        <v>358902.47000000009</v>
      </c>
      <c r="AX289" s="31">
        <v>280057.42999999993</v>
      </c>
      <c r="AY289" s="31">
        <v>17227.84</v>
      </c>
      <c r="AZ289" s="31">
        <v>742342.87932061357</v>
      </c>
      <c r="BA289" s="31">
        <v>137050.0902986358</v>
      </c>
      <c r="BB289" s="31">
        <v>0</v>
      </c>
      <c r="BC289" s="31">
        <f t="shared" si="23"/>
        <v>7214239.1622841656</v>
      </c>
      <c r="BD289" s="31">
        <v>177366.56999999998</v>
      </c>
    </row>
    <row r="290" spans="2:56">
      <c r="B290" s="42" t="s">
        <v>369</v>
      </c>
      <c r="C290" s="42" t="s">
        <v>370</v>
      </c>
      <c r="D290" s="43" t="s">
        <v>1049</v>
      </c>
      <c r="E290" s="44">
        <v>32</v>
      </c>
      <c r="F290" s="31">
        <v>48387008.641914509</v>
      </c>
      <c r="G290" s="31">
        <v>1374295.78</v>
      </c>
      <c r="H290" s="31">
        <v>518966.31999999995</v>
      </c>
      <c r="I290" s="31">
        <v>169666.13999999998</v>
      </c>
      <c r="J290" s="31">
        <v>5470475.5099328794</v>
      </c>
      <c r="K290" s="31">
        <v>2088915.2169203914</v>
      </c>
      <c r="L290" s="31">
        <v>2810846.2693692246</v>
      </c>
      <c r="M290" s="31">
        <f t="shared" si="20"/>
        <v>60820173.878137</v>
      </c>
      <c r="N290" s="31">
        <v>0</v>
      </c>
      <c r="P290" s="42" t="s">
        <v>369</v>
      </c>
      <c r="Q290" s="42" t="s">
        <v>370</v>
      </c>
      <c r="R290" s="43" t="s">
        <v>1050</v>
      </c>
      <c r="S290" s="44">
        <v>32</v>
      </c>
      <c r="T290" s="31">
        <v>50468235.075863436</v>
      </c>
      <c r="U290" s="31">
        <v>1432936.8099999998</v>
      </c>
      <c r="V290" s="31">
        <v>541092.07999999996</v>
      </c>
      <c r="W290" s="31">
        <v>176916.64</v>
      </c>
      <c r="X290" s="31">
        <v>5681533.6227020165</v>
      </c>
      <c r="Y290" s="31">
        <v>2090435.9464689463</v>
      </c>
      <c r="Z290" s="31">
        <v>2924121.9523673705</v>
      </c>
      <c r="AA290" s="31">
        <f t="shared" si="21"/>
        <v>63315272.127401777</v>
      </c>
      <c r="AB290" s="31">
        <v>0</v>
      </c>
      <c r="AD290" s="42" t="s">
        <v>369</v>
      </c>
      <c r="AE290" s="42" t="s">
        <v>370</v>
      </c>
      <c r="AF290" s="43" t="s">
        <v>1275</v>
      </c>
      <c r="AG290" s="44">
        <v>32</v>
      </c>
      <c r="AH290" s="31">
        <v>51477193.991985984</v>
      </c>
      <c r="AI290" s="31">
        <v>1462015.7299999997</v>
      </c>
      <c r="AJ290" s="31">
        <v>552027.87</v>
      </c>
      <c r="AK290" s="31">
        <v>180606.56000000003</v>
      </c>
      <c r="AL290" s="31">
        <v>5791543.9384574583</v>
      </c>
      <c r="AM290" s="31">
        <v>2089899.1704606335</v>
      </c>
      <c r="AN290" s="31">
        <v>2982557.9638254261</v>
      </c>
      <c r="AO290" s="31">
        <f t="shared" si="22"/>
        <v>64535845.224729501</v>
      </c>
      <c r="AP290" s="31">
        <v>0</v>
      </c>
      <c r="AR290" s="42" t="s">
        <v>369</v>
      </c>
      <c r="AS290" s="42" t="s">
        <v>370</v>
      </c>
      <c r="AT290" s="43" t="s">
        <v>1276</v>
      </c>
      <c r="AU290" s="44">
        <v>32</v>
      </c>
      <c r="AV290" s="31">
        <v>52521738.703286968</v>
      </c>
      <c r="AW290" s="31">
        <v>1491651.19</v>
      </c>
      <c r="AX290" s="31">
        <v>563253.70000000007</v>
      </c>
      <c r="AY290" s="31">
        <v>184171.38</v>
      </c>
      <c r="AZ290" s="31">
        <v>5909212.5250313589</v>
      </c>
      <c r="BA290" s="31">
        <v>2089983.5487092845</v>
      </c>
      <c r="BB290" s="31">
        <v>3043107.1326115504</v>
      </c>
      <c r="BC290" s="31">
        <f t="shared" si="23"/>
        <v>65803118.179639168</v>
      </c>
      <c r="BD290" s="31">
        <v>0</v>
      </c>
    </row>
    <row r="291" spans="2:56">
      <c r="B291" s="42" t="s">
        <v>489</v>
      </c>
      <c r="C291" s="42" t="s">
        <v>490</v>
      </c>
      <c r="D291" s="43" t="s">
        <v>1049</v>
      </c>
      <c r="E291" s="44">
        <v>32</v>
      </c>
      <c r="F291" s="31">
        <v>10957750.718659814</v>
      </c>
      <c r="G291" s="31">
        <v>164873.09999999998</v>
      </c>
      <c r="H291" s="31">
        <v>0</v>
      </c>
      <c r="I291" s="31">
        <v>32448.43</v>
      </c>
      <c r="J291" s="31">
        <v>964206.36550334364</v>
      </c>
      <c r="K291" s="31">
        <v>989170.15045579593</v>
      </c>
      <c r="L291" s="31">
        <v>0</v>
      </c>
      <c r="M291" s="31">
        <f t="shared" si="20"/>
        <v>13182505.234618952</v>
      </c>
      <c r="N291" s="31">
        <v>74056.47</v>
      </c>
      <c r="P291" s="42" t="s">
        <v>489</v>
      </c>
      <c r="Q291" s="42" t="s">
        <v>490</v>
      </c>
      <c r="R291" s="43" t="s">
        <v>1050</v>
      </c>
      <c r="S291" s="44">
        <v>32</v>
      </c>
      <c r="T291" s="31">
        <v>11411781.037627663</v>
      </c>
      <c r="U291" s="31">
        <v>173041.16999999998</v>
      </c>
      <c r="V291" s="31">
        <v>0</v>
      </c>
      <c r="W291" s="31">
        <v>33896.86</v>
      </c>
      <c r="X291" s="31">
        <v>1001815.4419806228</v>
      </c>
      <c r="Y291" s="31">
        <v>989789.78108500352</v>
      </c>
      <c r="Z291" s="31">
        <v>0</v>
      </c>
      <c r="AA291" s="31">
        <f t="shared" si="21"/>
        <v>13686500.870693289</v>
      </c>
      <c r="AB291" s="31">
        <v>76176.58</v>
      </c>
      <c r="AD291" s="42" t="s">
        <v>489</v>
      </c>
      <c r="AE291" s="42" t="s">
        <v>490</v>
      </c>
      <c r="AF291" s="43" t="s">
        <v>1275</v>
      </c>
      <c r="AG291" s="44">
        <v>32</v>
      </c>
      <c r="AH291" s="31">
        <v>11632745.694053886</v>
      </c>
      <c r="AI291" s="31">
        <v>176678.82999999996</v>
      </c>
      <c r="AJ291" s="31">
        <v>0</v>
      </c>
      <c r="AK291" s="31">
        <v>34559.919999999998</v>
      </c>
      <c r="AL291" s="31">
        <v>1021158.0844835074</v>
      </c>
      <c r="AM291" s="31">
        <v>989579.2744894143</v>
      </c>
      <c r="AN291" s="31">
        <v>0</v>
      </c>
      <c r="AO291" s="31">
        <f t="shared" si="22"/>
        <v>13932342.073026808</v>
      </c>
      <c r="AP291" s="31">
        <v>77620.27</v>
      </c>
      <c r="AR291" s="42" t="s">
        <v>489</v>
      </c>
      <c r="AS291" s="42" t="s">
        <v>490</v>
      </c>
      <c r="AT291" s="43" t="s">
        <v>1276</v>
      </c>
      <c r="AU291" s="44">
        <v>32</v>
      </c>
      <c r="AV291" s="31">
        <v>11866057.267109979</v>
      </c>
      <c r="AW291" s="31">
        <v>180200.02000000002</v>
      </c>
      <c r="AX291" s="31">
        <v>0</v>
      </c>
      <c r="AY291" s="31">
        <v>35296.04</v>
      </c>
      <c r="AZ291" s="31">
        <v>1041797.7089227249</v>
      </c>
      <c r="BA291" s="31">
        <v>989612.77352946822</v>
      </c>
      <c r="BB291" s="31">
        <v>0</v>
      </c>
      <c r="BC291" s="31">
        <f t="shared" si="23"/>
        <v>14192126.819562171</v>
      </c>
      <c r="BD291" s="31">
        <v>79163.009999999995</v>
      </c>
    </row>
    <row r="292" spans="2:56">
      <c r="B292" s="42" t="s">
        <v>55</v>
      </c>
      <c r="C292" s="42" t="s">
        <v>56</v>
      </c>
      <c r="D292" s="43" t="s">
        <v>1049</v>
      </c>
      <c r="E292" s="44">
        <v>32</v>
      </c>
      <c r="F292" s="31">
        <v>179097181.73458564</v>
      </c>
      <c r="G292" s="31">
        <v>6821179.2699999996</v>
      </c>
      <c r="H292" s="31">
        <v>4827008.8100000005</v>
      </c>
      <c r="I292" s="31">
        <v>633566.71999999997</v>
      </c>
      <c r="J292" s="31">
        <v>27866759.31251619</v>
      </c>
      <c r="K292" s="31">
        <v>10638587.344901018</v>
      </c>
      <c r="L292" s="31">
        <v>15111380.051453874</v>
      </c>
      <c r="M292" s="31">
        <f t="shared" si="20"/>
        <v>248759203.41345671</v>
      </c>
      <c r="N292" s="31">
        <v>3763540.17</v>
      </c>
      <c r="P292" s="42" t="s">
        <v>55</v>
      </c>
      <c r="Q292" s="42" t="s">
        <v>56</v>
      </c>
      <c r="R292" s="43" t="s">
        <v>1050</v>
      </c>
      <c r="S292" s="44">
        <v>32</v>
      </c>
      <c r="T292" s="31">
        <v>186826510.93812126</v>
      </c>
      <c r="U292" s="31">
        <v>7163848.2799999993</v>
      </c>
      <c r="V292" s="31">
        <v>5034304.2599999988</v>
      </c>
      <c r="W292" s="31">
        <v>660755.09</v>
      </c>
      <c r="X292" s="31">
        <v>28945206.233460512</v>
      </c>
      <c r="Y292" s="31">
        <v>10648142.828096971</v>
      </c>
      <c r="Z292" s="31">
        <v>15721759.882006073</v>
      </c>
      <c r="AA292" s="31">
        <f t="shared" si="21"/>
        <v>258876134.53168482</v>
      </c>
      <c r="AB292" s="31">
        <v>3875607.0199999996</v>
      </c>
      <c r="AD292" s="42" t="s">
        <v>55</v>
      </c>
      <c r="AE292" s="42" t="s">
        <v>56</v>
      </c>
      <c r="AF292" s="43" t="s">
        <v>1275</v>
      </c>
      <c r="AG292" s="44">
        <v>32</v>
      </c>
      <c r="AH292" s="31">
        <v>190557094.50758168</v>
      </c>
      <c r="AI292" s="31">
        <v>7316725.9199999981</v>
      </c>
      <c r="AJ292" s="31">
        <v>5136775.74</v>
      </c>
      <c r="AK292" s="31">
        <v>674125.81999999983</v>
      </c>
      <c r="AL292" s="31">
        <v>29504919.050232142</v>
      </c>
      <c r="AM292" s="31">
        <v>10644770.003433771</v>
      </c>
      <c r="AN292" s="31">
        <v>16036700.949863592</v>
      </c>
      <c r="AO292" s="31">
        <f t="shared" si="22"/>
        <v>263818443.25111115</v>
      </c>
      <c r="AP292" s="31">
        <v>3947331.26</v>
      </c>
      <c r="AR292" s="42" t="s">
        <v>55</v>
      </c>
      <c r="AS292" s="42" t="s">
        <v>56</v>
      </c>
      <c r="AT292" s="43" t="s">
        <v>1276</v>
      </c>
      <c r="AU292" s="44">
        <v>32</v>
      </c>
      <c r="AV292" s="31">
        <v>194414950.00017208</v>
      </c>
      <c r="AW292" s="31">
        <v>7463048.8899999987</v>
      </c>
      <c r="AX292" s="31">
        <v>5240098.66</v>
      </c>
      <c r="AY292" s="31">
        <v>687740.83000000007</v>
      </c>
      <c r="AZ292" s="31">
        <v>30103021.327330388</v>
      </c>
      <c r="BA292" s="31">
        <v>10645300.192998283</v>
      </c>
      <c r="BB292" s="31">
        <v>16362273.820190892</v>
      </c>
      <c r="BC292" s="31">
        <f t="shared" si="23"/>
        <v>268944295.8006916</v>
      </c>
      <c r="BD292" s="31">
        <v>4027862.08</v>
      </c>
    </row>
    <row r="293" spans="2:56">
      <c r="B293" s="42" t="s">
        <v>193</v>
      </c>
      <c r="C293" s="42" t="s">
        <v>194</v>
      </c>
      <c r="D293" s="43" t="s">
        <v>1049</v>
      </c>
      <c r="E293" s="44">
        <v>32</v>
      </c>
      <c r="F293" s="31">
        <v>12472692.103237871</v>
      </c>
      <c r="G293" s="31">
        <v>237720.89999999997</v>
      </c>
      <c r="H293" s="31">
        <v>125757.15000000001</v>
      </c>
      <c r="I293" s="31">
        <v>46013.97</v>
      </c>
      <c r="J293" s="31">
        <v>1662721.4245707518</v>
      </c>
      <c r="K293" s="31">
        <v>966538.69088040106</v>
      </c>
      <c r="L293" s="31">
        <v>1137991.4381617596</v>
      </c>
      <c r="M293" s="31">
        <f t="shared" si="20"/>
        <v>16661720.436850784</v>
      </c>
      <c r="N293" s="31">
        <v>12284.76</v>
      </c>
      <c r="P293" s="42" t="s">
        <v>193</v>
      </c>
      <c r="Q293" s="42" t="s">
        <v>194</v>
      </c>
      <c r="R293" s="43" t="s">
        <v>1050</v>
      </c>
      <c r="S293" s="44">
        <v>32</v>
      </c>
      <c r="T293" s="31">
        <v>13005905.286418036</v>
      </c>
      <c r="U293" s="31">
        <v>247994.18</v>
      </c>
      <c r="V293" s="31">
        <v>131130.17000000001</v>
      </c>
      <c r="W293" s="31">
        <v>47958.079999999994</v>
      </c>
      <c r="X293" s="31">
        <v>1726762.0223042737</v>
      </c>
      <c r="Y293" s="31">
        <v>967522.19453440059</v>
      </c>
      <c r="Z293" s="31">
        <v>1183799.4324477976</v>
      </c>
      <c r="AA293" s="31">
        <f t="shared" si="21"/>
        <v>17323772.435704507</v>
      </c>
      <c r="AB293" s="31">
        <v>12701.07</v>
      </c>
      <c r="AD293" s="42" t="s">
        <v>193</v>
      </c>
      <c r="AE293" s="42" t="s">
        <v>194</v>
      </c>
      <c r="AF293" s="43" t="s">
        <v>1275</v>
      </c>
      <c r="AG293" s="44">
        <v>32</v>
      </c>
      <c r="AH293" s="31">
        <v>13265177.481396724</v>
      </c>
      <c r="AI293" s="31">
        <v>252989.57999999996</v>
      </c>
      <c r="AJ293" s="31">
        <v>133699.48000000001</v>
      </c>
      <c r="AK293" s="31">
        <v>48897.759999999995</v>
      </c>
      <c r="AL293" s="31">
        <v>1760253.261680932</v>
      </c>
      <c r="AM293" s="31">
        <v>967162.53255208046</v>
      </c>
      <c r="AN293" s="31">
        <v>1207572.9899199586</v>
      </c>
      <c r="AO293" s="31">
        <f t="shared" si="22"/>
        <v>17648680.715549696</v>
      </c>
      <c r="AP293" s="31">
        <v>12927.63</v>
      </c>
      <c r="AR293" s="42" t="s">
        <v>193</v>
      </c>
      <c r="AS293" s="42" t="s">
        <v>194</v>
      </c>
      <c r="AT293" s="43" t="s">
        <v>1276</v>
      </c>
      <c r="AU293" s="44">
        <v>32</v>
      </c>
      <c r="AV293" s="31">
        <v>13535053.681931401</v>
      </c>
      <c r="AW293" s="31">
        <v>258133.78</v>
      </c>
      <c r="AX293" s="31">
        <v>136406.6</v>
      </c>
      <c r="AY293" s="31">
        <v>49919.009999999995</v>
      </c>
      <c r="AZ293" s="31">
        <v>1796115.0532354766</v>
      </c>
      <c r="BA293" s="31">
        <v>967218.44651172042</v>
      </c>
      <c r="BB293" s="31">
        <v>1232214.0896288208</v>
      </c>
      <c r="BC293" s="31">
        <f t="shared" si="23"/>
        <v>17988230.931307416</v>
      </c>
      <c r="BD293" s="31">
        <v>13170.269999999999</v>
      </c>
    </row>
    <row r="294" spans="2:56">
      <c r="B294" s="42" t="s">
        <v>1024</v>
      </c>
      <c r="C294" s="42" t="s">
        <v>1044</v>
      </c>
      <c r="D294" s="43" t="s">
        <v>1049</v>
      </c>
      <c r="E294" s="44">
        <v>32</v>
      </c>
      <c r="F294" s="31">
        <v>1143193.3727090994</v>
      </c>
      <c r="G294" s="31">
        <v>80302.2</v>
      </c>
      <c r="H294" s="31">
        <v>0</v>
      </c>
      <c r="I294" s="31">
        <v>0</v>
      </c>
      <c r="J294" s="31">
        <v>153391.91466490593</v>
      </c>
      <c r="K294" s="31">
        <v>146487.5</v>
      </c>
      <c r="L294" s="31">
        <v>0</v>
      </c>
      <c r="M294" s="31">
        <f t="shared" si="20"/>
        <v>1560096.0973740055</v>
      </c>
      <c r="N294" s="31">
        <v>36721.11</v>
      </c>
      <c r="P294" s="42" t="s">
        <v>1024</v>
      </c>
      <c r="Q294" s="42" t="s">
        <v>1044</v>
      </c>
      <c r="R294" s="43" t="s">
        <v>1050</v>
      </c>
      <c r="S294" s="44">
        <v>32</v>
      </c>
      <c r="T294" s="31">
        <v>1201937.641346877</v>
      </c>
      <c r="U294" s="31">
        <v>83561.64</v>
      </c>
      <c r="V294" s="31">
        <v>0</v>
      </c>
      <c r="W294" s="31">
        <v>0</v>
      </c>
      <c r="X294" s="31">
        <v>158202.01707310753</v>
      </c>
      <c r="Y294" s="31">
        <v>146487.5</v>
      </c>
      <c r="Z294" s="31">
        <v>0</v>
      </c>
      <c r="AA294" s="31">
        <f t="shared" si="21"/>
        <v>1627700.0284199845</v>
      </c>
      <c r="AB294" s="31">
        <v>37511.229999999996</v>
      </c>
      <c r="AD294" s="42" t="s">
        <v>1024</v>
      </c>
      <c r="AE294" s="42" t="s">
        <v>1044</v>
      </c>
      <c r="AF294" s="43" t="s">
        <v>1275</v>
      </c>
      <c r="AG294" s="44">
        <v>32</v>
      </c>
      <c r="AH294" s="31">
        <v>1225828.0515038949</v>
      </c>
      <c r="AI294" s="31">
        <v>85373.81</v>
      </c>
      <c r="AJ294" s="31">
        <v>0</v>
      </c>
      <c r="AK294" s="31">
        <v>0</v>
      </c>
      <c r="AL294" s="31">
        <v>161249.12907838885</v>
      </c>
      <c r="AM294" s="31">
        <v>146487.5</v>
      </c>
      <c r="AN294" s="31">
        <v>0</v>
      </c>
      <c r="AO294" s="31">
        <f t="shared" si="22"/>
        <v>1657112.8205822839</v>
      </c>
      <c r="AP294" s="31">
        <v>38174.329999999994</v>
      </c>
      <c r="AR294" s="42" t="s">
        <v>1024</v>
      </c>
      <c r="AS294" s="42" t="s">
        <v>1044</v>
      </c>
      <c r="AT294" s="43" t="s">
        <v>1276</v>
      </c>
      <c r="AU294" s="44">
        <v>32</v>
      </c>
      <c r="AV294" s="31">
        <v>1250499.3811361548</v>
      </c>
      <c r="AW294" s="31">
        <v>87035.85</v>
      </c>
      <c r="AX294" s="31">
        <v>0</v>
      </c>
      <c r="AY294" s="31">
        <v>0</v>
      </c>
      <c r="AZ294" s="31">
        <v>164517.36872285765</v>
      </c>
      <c r="BA294" s="31">
        <v>146487.5</v>
      </c>
      <c r="BB294" s="31">
        <v>0</v>
      </c>
      <c r="BC294" s="31">
        <f t="shared" si="23"/>
        <v>1687424.6098590125</v>
      </c>
      <c r="BD294" s="31">
        <v>38884.51</v>
      </c>
    </row>
    <row r="295" spans="2:56">
      <c r="B295" s="42" t="s">
        <v>523</v>
      </c>
      <c r="C295" s="42" t="s">
        <v>524</v>
      </c>
      <c r="D295" s="43" t="s">
        <v>1049</v>
      </c>
      <c r="E295" s="44">
        <v>32</v>
      </c>
      <c r="F295" s="31">
        <v>4240471.8246802147</v>
      </c>
      <c r="G295" s="31">
        <v>188952.34000000003</v>
      </c>
      <c r="H295" s="31">
        <v>0</v>
      </c>
      <c r="I295" s="31">
        <v>0</v>
      </c>
      <c r="J295" s="31">
        <v>577579.01062242058</v>
      </c>
      <c r="K295" s="31">
        <v>342388.08050716663</v>
      </c>
      <c r="L295" s="31">
        <v>231626.73305109574</v>
      </c>
      <c r="M295" s="31">
        <f t="shared" si="20"/>
        <v>5717713.3288608976</v>
      </c>
      <c r="N295" s="31">
        <v>136695.33999999997</v>
      </c>
      <c r="P295" s="42" t="s">
        <v>523</v>
      </c>
      <c r="Q295" s="42" t="s">
        <v>524</v>
      </c>
      <c r="R295" s="43" t="s">
        <v>1050</v>
      </c>
      <c r="S295" s="44">
        <v>32</v>
      </c>
      <c r="T295" s="31">
        <v>4454638.7949634045</v>
      </c>
      <c r="U295" s="31">
        <v>198916.65000000002</v>
      </c>
      <c r="V295" s="31">
        <v>0</v>
      </c>
      <c r="W295" s="31">
        <v>0</v>
      </c>
      <c r="X295" s="31">
        <v>600018.03905952792</v>
      </c>
      <c r="Y295" s="31">
        <v>342702.37777355523</v>
      </c>
      <c r="Z295" s="31">
        <v>243323.11405066354</v>
      </c>
      <c r="AA295" s="31">
        <f t="shared" si="21"/>
        <v>5980393.6658471515</v>
      </c>
      <c r="AB295" s="31">
        <v>140794.69</v>
      </c>
      <c r="AD295" s="42" t="s">
        <v>523</v>
      </c>
      <c r="AE295" s="42" t="s">
        <v>524</v>
      </c>
      <c r="AF295" s="43" t="s">
        <v>1275</v>
      </c>
      <c r="AG295" s="44">
        <v>32</v>
      </c>
      <c r="AH295" s="31">
        <v>4542640.755450354</v>
      </c>
      <c r="AI295" s="31">
        <v>203289.26</v>
      </c>
      <c r="AJ295" s="31">
        <v>0</v>
      </c>
      <c r="AK295" s="31">
        <v>0</v>
      </c>
      <c r="AL295" s="31">
        <v>611607.3428810616</v>
      </c>
      <c r="AM295" s="31">
        <v>342595.60182602808</v>
      </c>
      <c r="AN295" s="31">
        <v>248152.29432231505</v>
      </c>
      <c r="AO295" s="31">
        <f t="shared" si="22"/>
        <v>6091676.7144797584</v>
      </c>
      <c r="AP295" s="31">
        <v>143391.46000000002</v>
      </c>
      <c r="AR295" s="42" t="s">
        <v>523</v>
      </c>
      <c r="AS295" s="42" t="s">
        <v>524</v>
      </c>
      <c r="AT295" s="43" t="s">
        <v>1276</v>
      </c>
      <c r="AU295" s="44">
        <v>32</v>
      </c>
      <c r="AV295" s="31">
        <v>4632289.1405639322</v>
      </c>
      <c r="AW295" s="31">
        <v>207309.76</v>
      </c>
      <c r="AX295" s="31">
        <v>0</v>
      </c>
      <c r="AY295" s="31">
        <v>0</v>
      </c>
      <c r="AZ295" s="31">
        <v>623981.78458260861</v>
      </c>
      <c r="BA295" s="31">
        <v>342612.5936534481</v>
      </c>
      <c r="BB295" s="31">
        <v>253262.35212980994</v>
      </c>
      <c r="BC295" s="31">
        <f t="shared" si="23"/>
        <v>6205731.8509297976</v>
      </c>
      <c r="BD295" s="31">
        <v>146276.21999999997</v>
      </c>
    </row>
    <row r="296" spans="2:56">
      <c r="B296" s="42" t="s">
        <v>121</v>
      </c>
      <c r="C296" s="42" t="s">
        <v>122</v>
      </c>
      <c r="D296" s="43" t="s">
        <v>1049</v>
      </c>
      <c r="E296" s="44">
        <v>32</v>
      </c>
      <c r="F296" s="31">
        <v>17909774.610841364</v>
      </c>
      <c r="G296" s="31">
        <v>1448583.6499999994</v>
      </c>
      <c r="H296" s="31">
        <v>1897697.1800000002</v>
      </c>
      <c r="I296" s="31">
        <v>67332.94</v>
      </c>
      <c r="J296" s="31">
        <v>2756880.9249971621</v>
      </c>
      <c r="K296" s="31">
        <v>1244300.079216785</v>
      </c>
      <c r="L296" s="31">
        <v>2428360.5454441784</v>
      </c>
      <c r="M296" s="31">
        <f t="shared" si="20"/>
        <v>28454030.38049949</v>
      </c>
      <c r="N296" s="31">
        <v>701100.45000000007</v>
      </c>
      <c r="P296" s="42" t="s">
        <v>121</v>
      </c>
      <c r="Q296" s="42" t="s">
        <v>122</v>
      </c>
      <c r="R296" s="43" t="s">
        <v>1050</v>
      </c>
      <c r="S296" s="44">
        <v>32</v>
      </c>
      <c r="T296" s="31">
        <v>18920760.223792039</v>
      </c>
      <c r="U296" s="31">
        <v>1521333.0099999995</v>
      </c>
      <c r="V296" s="31">
        <v>1980284.41</v>
      </c>
      <c r="W296" s="31">
        <v>70222.12999999999</v>
      </c>
      <c r="X296" s="31">
        <v>2864311.5659778393</v>
      </c>
      <c r="Y296" s="31">
        <v>1245486.0919884949</v>
      </c>
      <c r="Z296" s="31">
        <v>2551685.0132972971</v>
      </c>
      <c r="AA296" s="31">
        <f t="shared" si="21"/>
        <v>29876012.685055666</v>
      </c>
      <c r="AB296" s="31">
        <v>721930.23999999999</v>
      </c>
      <c r="AD296" s="42" t="s">
        <v>121</v>
      </c>
      <c r="AE296" s="42" t="s">
        <v>122</v>
      </c>
      <c r="AF296" s="43" t="s">
        <v>1275</v>
      </c>
      <c r="AG296" s="44">
        <v>32</v>
      </c>
      <c r="AH296" s="31">
        <v>19308620.933199484</v>
      </c>
      <c r="AI296" s="31">
        <v>1553637.56</v>
      </c>
      <c r="AJ296" s="31">
        <v>2020465.5899999999</v>
      </c>
      <c r="AK296" s="31">
        <v>71698.94</v>
      </c>
      <c r="AL296" s="31">
        <v>2919547.9269489716</v>
      </c>
      <c r="AM296" s="31">
        <v>1245083.1688611838</v>
      </c>
      <c r="AN296" s="31">
        <v>2603052.6524512554</v>
      </c>
      <c r="AO296" s="31">
        <f t="shared" si="22"/>
        <v>30457264.181460895</v>
      </c>
      <c r="AP296" s="31">
        <v>735157.41000000015</v>
      </c>
      <c r="AR296" s="42" t="s">
        <v>121</v>
      </c>
      <c r="AS296" s="42" t="s">
        <v>122</v>
      </c>
      <c r="AT296" s="43" t="s">
        <v>1276</v>
      </c>
      <c r="AU296" s="44">
        <v>32</v>
      </c>
      <c r="AV296" s="31">
        <v>19707067.987523541</v>
      </c>
      <c r="AW296" s="31">
        <v>1584553</v>
      </c>
      <c r="AX296" s="31">
        <v>2061037.8299999998</v>
      </c>
      <c r="AY296" s="31">
        <v>73113.259999999995</v>
      </c>
      <c r="AZ296" s="31">
        <v>2978436.0232169605</v>
      </c>
      <c r="BA296" s="31">
        <v>1245147.2881727081</v>
      </c>
      <c r="BB296" s="31">
        <v>2655561.7312137973</v>
      </c>
      <c r="BC296" s="31">
        <f t="shared" si="23"/>
        <v>31055051.470127005</v>
      </c>
      <c r="BD296" s="31">
        <v>750134.35</v>
      </c>
    </row>
    <row r="297" spans="2:56">
      <c r="B297" s="42" t="s">
        <v>535</v>
      </c>
      <c r="C297" s="42" t="s">
        <v>536</v>
      </c>
      <c r="D297" s="43" t="s">
        <v>1049</v>
      </c>
      <c r="E297" s="44">
        <v>32</v>
      </c>
      <c r="F297" s="31">
        <v>2943522.5446933853</v>
      </c>
      <c r="G297" s="31">
        <v>92668.039999999979</v>
      </c>
      <c r="H297" s="31">
        <v>0</v>
      </c>
      <c r="I297" s="31">
        <v>0</v>
      </c>
      <c r="J297" s="31">
        <v>222056.15772976269</v>
      </c>
      <c r="K297" s="31">
        <v>146130.77391307594</v>
      </c>
      <c r="L297" s="31">
        <v>131111.87206232833</v>
      </c>
      <c r="M297" s="31">
        <f t="shared" si="20"/>
        <v>3611787.0483985525</v>
      </c>
      <c r="N297" s="31">
        <v>76297.66</v>
      </c>
      <c r="P297" s="42" t="s">
        <v>535</v>
      </c>
      <c r="Q297" s="42" t="s">
        <v>536</v>
      </c>
      <c r="R297" s="43" t="s">
        <v>1050</v>
      </c>
      <c r="S297" s="44">
        <v>32</v>
      </c>
      <c r="T297" s="31">
        <v>3087834.1412490746</v>
      </c>
      <c r="U297" s="31">
        <v>97792.120000000024</v>
      </c>
      <c r="V297" s="31">
        <v>0</v>
      </c>
      <c r="W297" s="31">
        <v>0</v>
      </c>
      <c r="X297" s="31">
        <v>230712.34216102536</v>
      </c>
      <c r="Y297" s="31">
        <v>146242.22596017845</v>
      </c>
      <c r="Z297" s="31">
        <v>137766.09889942902</v>
      </c>
      <c r="AA297" s="31">
        <f t="shared" si="21"/>
        <v>3778919.6182697075</v>
      </c>
      <c r="AB297" s="31">
        <v>78572.69</v>
      </c>
      <c r="AD297" s="42" t="s">
        <v>535</v>
      </c>
      <c r="AE297" s="42" t="s">
        <v>536</v>
      </c>
      <c r="AF297" s="43" t="s">
        <v>1275</v>
      </c>
      <c r="AG297" s="44">
        <v>32</v>
      </c>
      <c r="AH297" s="31">
        <v>3148390.9411007753</v>
      </c>
      <c r="AI297" s="31">
        <v>99962.450000000041</v>
      </c>
      <c r="AJ297" s="31">
        <v>0</v>
      </c>
      <c r="AK297" s="31">
        <v>0</v>
      </c>
      <c r="AL297" s="31">
        <v>235161.28517626441</v>
      </c>
      <c r="AM297" s="31">
        <v>146204.36244940103</v>
      </c>
      <c r="AN297" s="31">
        <v>140518.41477536107</v>
      </c>
      <c r="AO297" s="31">
        <f t="shared" si="22"/>
        <v>3850296.073501802</v>
      </c>
      <c r="AP297" s="31">
        <v>80058.62</v>
      </c>
      <c r="AR297" s="42" t="s">
        <v>535</v>
      </c>
      <c r="AS297" s="42" t="s">
        <v>536</v>
      </c>
      <c r="AT297" s="43" t="s">
        <v>1276</v>
      </c>
      <c r="AU297" s="44">
        <v>32</v>
      </c>
      <c r="AV297" s="31">
        <v>3209757.6699660015</v>
      </c>
      <c r="AW297" s="31">
        <v>101871.93000000004</v>
      </c>
      <c r="AX297" s="31">
        <v>0</v>
      </c>
      <c r="AY297" s="31">
        <v>0</v>
      </c>
      <c r="AZ297" s="31">
        <v>239909.5256961112</v>
      </c>
      <c r="BA297" s="31">
        <v>146210.38787231271</v>
      </c>
      <c r="BB297" s="31">
        <v>143445.18382473104</v>
      </c>
      <c r="BC297" s="31">
        <f t="shared" si="23"/>
        <v>3922841.2673591566</v>
      </c>
      <c r="BD297" s="31">
        <v>81646.569999999992</v>
      </c>
    </row>
    <row r="298" spans="2:56">
      <c r="B298" s="42" t="s">
        <v>527</v>
      </c>
      <c r="C298" s="42" t="s">
        <v>528</v>
      </c>
      <c r="D298" s="43" t="s">
        <v>1049</v>
      </c>
      <c r="E298" s="44">
        <v>32</v>
      </c>
      <c r="F298" s="31">
        <v>44707368.35328044</v>
      </c>
      <c r="G298" s="31">
        <v>1961048.5899999994</v>
      </c>
      <c r="H298" s="31">
        <v>1244986.9200000002</v>
      </c>
      <c r="I298" s="31">
        <v>159192.07999999999</v>
      </c>
      <c r="J298" s="31">
        <v>6935711.3390098158</v>
      </c>
      <c r="K298" s="31">
        <v>1683763.6898272519</v>
      </c>
      <c r="L298" s="31">
        <v>4201982.771805685</v>
      </c>
      <c r="M298" s="31">
        <f t="shared" si="20"/>
        <v>61695159.093923189</v>
      </c>
      <c r="N298" s="31">
        <v>801105.35000000009</v>
      </c>
      <c r="P298" s="42" t="s">
        <v>527</v>
      </c>
      <c r="Q298" s="42" t="s">
        <v>528</v>
      </c>
      <c r="R298" s="43" t="s">
        <v>1050</v>
      </c>
      <c r="S298" s="44">
        <v>32</v>
      </c>
      <c r="T298" s="31">
        <v>47098209.467195131</v>
      </c>
      <c r="U298" s="31">
        <v>2056446.0400000005</v>
      </c>
      <c r="V298" s="31">
        <v>1298840.8399999999</v>
      </c>
      <c r="W298" s="31">
        <v>165981.01999999999</v>
      </c>
      <c r="X298" s="31">
        <v>7204981.1283906093</v>
      </c>
      <c r="Y298" s="31">
        <v>1684645.3954834293</v>
      </c>
      <c r="Z298" s="31">
        <v>4414224.1652929066</v>
      </c>
      <c r="AA298" s="31">
        <f t="shared" si="21"/>
        <v>64748145.176362075</v>
      </c>
      <c r="AB298" s="31">
        <v>824817.12000000011</v>
      </c>
      <c r="AD298" s="42" t="s">
        <v>527</v>
      </c>
      <c r="AE298" s="42" t="s">
        <v>528</v>
      </c>
      <c r="AF298" s="43" t="s">
        <v>1275</v>
      </c>
      <c r="AG298" s="44">
        <v>32</v>
      </c>
      <c r="AH298" s="31">
        <v>48037104.604714975</v>
      </c>
      <c r="AI298" s="31">
        <v>2099748.2800000003</v>
      </c>
      <c r="AJ298" s="31">
        <v>1325116.93</v>
      </c>
      <c r="AK298" s="31">
        <v>169443.29000000004</v>
      </c>
      <c r="AL298" s="31">
        <v>7344109.3413476683</v>
      </c>
      <c r="AM298" s="31">
        <v>1684345.8543580477</v>
      </c>
      <c r="AN298" s="31">
        <v>4502810.6380056478</v>
      </c>
      <c r="AO298" s="31">
        <f t="shared" si="22"/>
        <v>66002723.578426331</v>
      </c>
      <c r="AP298" s="31">
        <v>840044.6399999999</v>
      </c>
      <c r="AR298" s="42" t="s">
        <v>527</v>
      </c>
      <c r="AS298" s="42" t="s">
        <v>528</v>
      </c>
      <c r="AT298" s="43" t="s">
        <v>1276</v>
      </c>
      <c r="AU298" s="44">
        <v>32</v>
      </c>
      <c r="AV298" s="31">
        <v>49008473.809826031</v>
      </c>
      <c r="AW298" s="31">
        <v>2141767.8499999996</v>
      </c>
      <c r="AX298" s="31">
        <v>1351716.1800000002</v>
      </c>
      <c r="AY298" s="31">
        <v>172770.04</v>
      </c>
      <c r="AZ298" s="31">
        <v>7492660.2306955028</v>
      </c>
      <c r="BA298" s="31">
        <v>1684393.5219388611</v>
      </c>
      <c r="BB298" s="31">
        <v>4593927.4294355195</v>
      </c>
      <c r="BC298" s="31">
        <f t="shared" si="23"/>
        <v>67302898.351895913</v>
      </c>
      <c r="BD298" s="31">
        <v>857189.28999999992</v>
      </c>
    </row>
    <row r="299" spans="2:56">
      <c r="B299" s="42" t="s">
        <v>605</v>
      </c>
      <c r="C299" s="42" t="s">
        <v>606</v>
      </c>
      <c r="D299" s="43" t="s">
        <v>1049</v>
      </c>
      <c r="E299" s="44">
        <v>32</v>
      </c>
      <c r="F299" s="31">
        <v>23837920.896119941</v>
      </c>
      <c r="G299" s="31">
        <v>1732629.2</v>
      </c>
      <c r="H299" s="31">
        <v>1648925.8800000001</v>
      </c>
      <c r="I299" s="31">
        <v>85749.610000000015</v>
      </c>
      <c r="J299" s="31">
        <v>3575710.517867256</v>
      </c>
      <c r="K299" s="31">
        <v>1704815.0473985041</v>
      </c>
      <c r="L299" s="31">
        <v>2786180.7617077222</v>
      </c>
      <c r="M299" s="31">
        <f t="shared" si="20"/>
        <v>36270841.113093421</v>
      </c>
      <c r="N299" s="31">
        <v>898909.2</v>
      </c>
      <c r="P299" s="42" t="s">
        <v>605</v>
      </c>
      <c r="Q299" s="42" t="s">
        <v>606</v>
      </c>
      <c r="R299" s="43" t="s">
        <v>1050</v>
      </c>
      <c r="S299" s="44">
        <v>32</v>
      </c>
      <c r="T299" s="31">
        <v>25149848.493472286</v>
      </c>
      <c r="U299" s="31">
        <v>1820550.63</v>
      </c>
      <c r="V299" s="31">
        <v>1720644.65</v>
      </c>
      <c r="W299" s="31">
        <v>89548.41</v>
      </c>
      <c r="X299" s="31">
        <v>3715003.8440593453</v>
      </c>
      <c r="Y299" s="31">
        <v>1706389.9896247275</v>
      </c>
      <c r="Z299" s="31">
        <v>2927450.638939389</v>
      </c>
      <c r="AA299" s="31">
        <f t="shared" si="21"/>
        <v>38055036.88609574</v>
      </c>
      <c r="AB299" s="31">
        <v>925600.2300000001</v>
      </c>
      <c r="AD299" s="42" t="s">
        <v>605</v>
      </c>
      <c r="AE299" s="42" t="s">
        <v>606</v>
      </c>
      <c r="AF299" s="43" t="s">
        <v>1275</v>
      </c>
      <c r="AG299" s="44">
        <v>32</v>
      </c>
      <c r="AH299" s="31">
        <v>25652540.434841961</v>
      </c>
      <c r="AI299" s="31">
        <v>1859311.8999999997</v>
      </c>
      <c r="AJ299" s="31">
        <v>1755540.6199999999</v>
      </c>
      <c r="AK299" s="31">
        <v>91300.090000000011</v>
      </c>
      <c r="AL299" s="31">
        <v>3786631.1830266649</v>
      </c>
      <c r="AM299" s="31">
        <v>1705854.9358190175</v>
      </c>
      <c r="AN299" s="31">
        <v>2986043.084304837</v>
      </c>
      <c r="AO299" s="31">
        <f t="shared" si="22"/>
        <v>38779739.567992479</v>
      </c>
      <c r="AP299" s="31">
        <v>942517.32000000007</v>
      </c>
      <c r="AR299" s="42" t="s">
        <v>605</v>
      </c>
      <c r="AS299" s="42" t="s">
        <v>606</v>
      </c>
      <c r="AT299" s="43" t="s">
        <v>1276</v>
      </c>
      <c r="AU299" s="44">
        <v>32</v>
      </c>
      <c r="AV299" s="31">
        <v>26169104.438490227</v>
      </c>
      <c r="AW299" s="31">
        <v>1896280.7600000002</v>
      </c>
      <c r="AX299" s="31">
        <v>1790854.8900000004</v>
      </c>
      <c r="AY299" s="31">
        <v>93177.400000000009</v>
      </c>
      <c r="AZ299" s="31">
        <v>3862997.4375163587</v>
      </c>
      <c r="BA299" s="31">
        <v>1705940.0817918472</v>
      </c>
      <c r="BB299" s="31">
        <v>3046707.2711151885</v>
      </c>
      <c r="BC299" s="31">
        <f t="shared" si="23"/>
        <v>39526711.968913622</v>
      </c>
      <c r="BD299" s="31">
        <v>961649.69000000006</v>
      </c>
    </row>
    <row r="300" spans="2:56">
      <c r="B300" s="42" t="s">
        <v>125</v>
      </c>
      <c r="C300" s="42" t="s">
        <v>126</v>
      </c>
      <c r="D300" s="43" t="s">
        <v>1049</v>
      </c>
      <c r="E300" s="44">
        <v>32</v>
      </c>
      <c r="F300" s="31">
        <v>7137822.105181613</v>
      </c>
      <c r="G300" s="31">
        <v>471622.82000000007</v>
      </c>
      <c r="H300" s="31">
        <v>375154.5</v>
      </c>
      <c r="I300" s="31">
        <v>24847.89</v>
      </c>
      <c r="J300" s="31">
        <v>1106431.2426925588</v>
      </c>
      <c r="K300" s="31">
        <v>394530.03798862337</v>
      </c>
      <c r="L300" s="31">
        <v>509592.77930813289</v>
      </c>
      <c r="M300" s="31">
        <f t="shared" si="20"/>
        <v>10277834.835170928</v>
      </c>
      <c r="N300" s="31">
        <v>257833.45999999996</v>
      </c>
      <c r="P300" s="42" t="s">
        <v>125</v>
      </c>
      <c r="Q300" s="42" t="s">
        <v>126</v>
      </c>
      <c r="R300" s="43" t="s">
        <v>1050</v>
      </c>
      <c r="S300" s="44">
        <v>32</v>
      </c>
      <c r="T300" s="31">
        <v>7521103.1165365912</v>
      </c>
      <c r="U300" s="31">
        <v>495640.92999999988</v>
      </c>
      <c r="V300" s="31">
        <v>391483.33</v>
      </c>
      <c r="W300" s="31">
        <v>25903.269999999997</v>
      </c>
      <c r="X300" s="31">
        <v>1149553.4396174452</v>
      </c>
      <c r="Y300" s="31">
        <v>394901.77336848021</v>
      </c>
      <c r="Z300" s="31">
        <v>535629.08923060622</v>
      </c>
      <c r="AA300" s="31">
        <f t="shared" si="21"/>
        <v>10779684.798753122</v>
      </c>
      <c r="AB300" s="31">
        <v>265469.85000000003</v>
      </c>
      <c r="AD300" s="42" t="s">
        <v>125</v>
      </c>
      <c r="AE300" s="42" t="s">
        <v>126</v>
      </c>
      <c r="AF300" s="43" t="s">
        <v>1275</v>
      </c>
      <c r="AG300" s="44">
        <v>32</v>
      </c>
      <c r="AH300" s="31">
        <v>7670543.9928531768</v>
      </c>
      <c r="AI300" s="31">
        <v>506267.89999999997</v>
      </c>
      <c r="AJ300" s="31">
        <v>399347.57999999996</v>
      </c>
      <c r="AK300" s="31">
        <v>26513.13</v>
      </c>
      <c r="AL300" s="31">
        <v>1171721.7117393541</v>
      </c>
      <c r="AM300" s="31">
        <v>394775.48401868838</v>
      </c>
      <c r="AN300" s="31">
        <v>546408.54019200301</v>
      </c>
      <c r="AO300" s="31">
        <f t="shared" si="22"/>
        <v>10985928.518803222</v>
      </c>
      <c r="AP300" s="31">
        <v>270350.18</v>
      </c>
      <c r="AR300" s="42" t="s">
        <v>125</v>
      </c>
      <c r="AS300" s="42" t="s">
        <v>126</v>
      </c>
      <c r="AT300" s="43" t="s">
        <v>1276</v>
      </c>
      <c r="AU300" s="44">
        <v>32</v>
      </c>
      <c r="AV300" s="31">
        <v>7823134.7107176902</v>
      </c>
      <c r="AW300" s="31">
        <v>516283.33</v>
      </c>
      <c r="AX300" s="31">
        <v>407375.37000000005</v>
      </c>
      <c r="AY300" s="31">
        <v>26997.289999999997</v>
      </c>
      <c r="AZ300" s="31">
        <v>1195343.7312399899</v>
      </c>
      <c r="BA300" s="31">
        <v>394795.58111814148</v>
      </c>
      <c r="BB300" s="31">
        <v>557407.7692365218</v>
      </c>
      <c r="BC300" s="31">
        <f t="shared" si="23"/>
        <v>11197114.862312343</v>
      </c>
      <c r="BD300" s="31">
        <v>275777.08</v>
      </c>
    </row>
    <row r="301" spans="2:56">
      <c r="B301" s="42" t="s">
        <v>63</v>
      </c>
      <c r="C301" s="42" t="s">
        <v>64</v>
      </c>
      <c r="D301" s="43" t="s">
        <v>1049</v>
      </c>
      <c r="E301" s="44">
        <v>32</v>
      </c>
      <c r="F301" s="31">
        <v>23701632.537475526</v>
      </c>
      <c r="G301" s="31">
        <v>651214.2300000001</v>
      </c>
      <c r="H301" s="31">
        <v>128354.98</v>
      </c>
      <c r="I301" s="31">
        <v>85672.58</v>
      </c>
      <c r="J301" s="31">
        <v>3961546.6971979942</v>
      </c>
      <c r="K301" s="31">
        <v>2061373.458891331</v>
      </c>
      <c r="L301" s="31">
        <v>2488988.448427551</v>
      </c>
      <c r="M301" s="31">
        <f t="shared" si="20"/>
        <v>33078782.931992404</v>
      </c>
      <c r="N301" s="31">
        <v>0</v>
      </c>
      <c r="P301" s="42" t="s">
        <v>63</v>
      </c>
      <c r="Q301" s="42" t="s">
        <v>64</v>
      </c>
      <c r="R301" s="43" t="s">
        <v>1050</v>
      </c>
      <c r="S301" s="44">
        <v>32</v>
      </c>
      <c r="T301" s="31">
        <v>24725367.192089025</v>
      </c>
      <c r="U301" s="31">
        <v>679283.94000000006</v>
      </c>
      <c r="V301" s="31">
        <v>133748.34</v>
      </c>
      <c r="W301" s="31">
        <v>89343.03</v>
      </c>
      <c r="X301" s="31">
        <v>4114916.014053171</v>
      </c>
      <c r="Y301" s="31">
        <v>2063326.7430885097</v>
      </c>
      <c r="Z301" s="31">
        <v>2589658.2389263217</v>
      </c>
      <c r="AA301" s="31">
        <f t="shared" si="21"/>
        <v>34395643.498157032</v>
      </c>
      <c r="AB301" s="31">
        <v>0</v>
      </c>
      <c r="AD301" s="42" t="s">
        <v>63</v>
      </c>
      <c r="AE301" s="42" t="s">
        <v>64</v>
      </c>
      <c r="AF301" s="43" t="s">
        <v>1275</v>
      </c>
      <c r="AG301" s="44">
        <v>32</v>
      </c>
      <c r="AH301" s="31">
        <v>25219121.811513007</v>
      </c>
      <c r="AI301" s="31">
        <v>693017.4</v>
      </c>
      <c r="AJ301" s="31">
        <v>136584.03</v>
      </c>
      <c r="AK301" s="31">
        <v>91092.209999999992</v>
      </c>
      <c r="AL301" s="31">
        <v>4194482.8051436953</v>
      </c>
      <c r="AM301" s="31">
        <v>2062637.287099798</v>
      </c>
      <c r="AN301" s="31">
        <v>2641380.9495420246</v>
      </c>
      <c r="AO301" s="31">
        <f t="shared" si="22"/>
        <v>35038316.493298523</v>
      </c>
      <c r="AP301" s="31">
        <v>0</v>
      </c>
      <c r="AR301" s="42" t="s">
        <v>63</v>
      </c>
      <c r="AS301" s="42" t="s">
        <v>64</v>
      </c>
      <c r="AT301" s="43" t="s">
        <v>1276</v>
      </c>
      <c r="AU301" s="44">
        <v>32</v>
      </c>
      <c r="AV301" s="31">
        <v>25729783.930157047</v>
      </c>
      <c r="AW301" s="31">
        <v>706979.8899999999</v>
      </c>
      <c r="AX301" s="31">
        <v>139427.85</v>
      </c>
      <c r="AY301" s="31">
        <v>92988.75</v>
      </c>
      <c r="AZ301" s="31">
        <v>4279507.630200726</v>
      </c>
      <c r="BA301" s="31">
        <v>2062745.665805158</v>
      </c>
      <c r="BB301" s="31">
        <v>2694900.6359897261</v>
      </c>
      <c r="BC301" s="31">
        <f t="shared" si="23"/>
        <v>35706334.35215266</v>
      </c>
      <c r="BD301" s="31">
        <v>0</v>
      </c>
    </row>
    <row r="302" spans="2:56">
      <c r="B302" s="42" t="s">
        <v>3</v>
      </c>
      <c r="C302" s="42" t="s">
        <v>4</v>
      </c>
      <c r="D302" s="43" t="s">
        <v>1049</v>
      </c>
      <c r="E302" s="44">
        <v>32</v>
      </c>
      <c r="F302" s="31">
        <v>1869786.8670771243</v>
      </c>
      <c r="G302" s="31">
        <v>36248.68</v>
      </c>
      <c r="H302" s="31">
        <v>0</v>
      </c>
      <c r="I302" s="31">
        <v>2241.1799999999998</v>
      </c>
      <c r="J302" s="31">
        <v>50541.099808965599</v>
      </c>
      <c r="K302" s="31">
        <v>139525.01151309922</v>
      </c>
      <c r="L302" s="31">
        <v>49752.597159475619</v>
      </c>
      <c r="M302" s="31">
        <f t="shared" si="20"/>
        <v>2171579.1555586648</v>
      </c>
      <c r="N302" s="31">
        <v>23483.72</v>
      </c>
      <c r="P302" s="42" t="s">
        <v>3</v>
      </c>
      <c r="Q302" s="42" t="s">
        <v>4</v>
      </c>
      <c r="R302" s="43" t="s">
        <v>1050</v>
      </c>
      <c r="S302" s="44">
        <v>32</v>
      </c>
      <c r="T302" s="31">
        <v>1945128.3264366216</v>
      </c>
      <c r="U302" s="31">
        <v>37965.160000000003</v>
      </c>
      <c r="V302" s="31">
        <v>0</v>
      </c>
      <c r="W302" s="31">
        <v>2327.2400000000002</v>
      </c>
      <c r="X302" s="31">
        <v>52254.211445595851</v>
      </c>
      <c r="Y302" s="31">
        <v>139624.88683373146</v>
      </c>
      <c r="Z302" s="31">
        <v>51929.971526978654</v>
      </c>
      <c r="AA302" s="31">
        <f t="shared" si="21"/>
        <v>2253290.8162429272</v>
      </c>
      <c r="AB302" s="31">
        <v>24061.02</v>
      </c>
      <c r="AD302" s="42" t="s">
        <v>3</v>
      </c>
      <c r="AE302" s="42" t="s">
        <v>4</v>
      </c>
      <c r="AF302" s="43" t="s">
        <v>1275</v>
      </c>
      <c r="AG302" s="44">
        <v>32</v>
      </c>
      <c r="AH302" s="31">
        <v>1982294.9615856442</v>
      </c>
      <c r="AI302" s="31">
        <v>38754.550000000003</v>
      </c>
      <c r="AJ302" s="31">
        <v>0</v>
      </c>
      <c r="AK302" s="31">
        <v>2372.7799999999997</v>
      </c>
      <c r="AL302" s="31">
        <v>53222.070465008495</v>
      </c>
      <c r="AM302" s="31">
        <v>139590.95627455853</v>
      </c>
      <c r="AN302" s="31">
        <v>52930.248724929421</v>
      </c>
      <c r="AO302" s="31">
        <f t="shared" si="22"/>
        <v>2293650.5070501408</v>
      </c>
      <c r="AP302" s="31">
        <v>24484.94</v>
      </c>
      <c r="AR302" s="42" t="s">
        <v>3</v>
      </c>
      <c r="AS302" s="42" t="s">
        <v>4</v>
      </c>
      <c r="AT302" s="43" t="s">
        <v>1276</v>
      </c>
      <c r="AU302" s="44">
        <v>32</v>
      </c>
      <c r="AV302" s="31">
        <v>2018255.7183322674</v>
      </c>
      <c r="AW302" s="31">
        <v>39455.360000000001</v>
      </c>
      <c r="AX302" s="31">
        <v>0</v>
      </c>
      <c r="AY302" s="31">
        <v>2416.1100000000006</v>
      </c>
      <c r="AZ302" s="31">
        <v>54202.078658826293</v>
      </c>
      <c r="BA302" s="31">
        <v>139596.35582585339</v>
      </c>
      <c r="BB302" s="31">
        <v>53906.121504254697</v>
      </c>
      <c r="BC302" s="31">
        <f t="shared" si="23"/>
        <v>2332770.6943212021</v>
      </c>
      <c r="BD302" s="31">
        <v>24938.95</v>
      </c>
    </row>
    <row r="303" spans="2:56">
      <c r="B303" s="42" t="s">
        <v>99</v>
      </c>
      <c r="C303" s="42" t="s">
        <v>100</v>
      </c>
      <c r="D303" s="43" t="s">
        <v>1049</v>
      </c>
      <c r="E303" s="44">
        <v>32</v>
      </c>
      <c r="F303" s="31">
        <v>2876164.0334881954</v>
      </c>
      <c r="G303" s="31">
        <v>90037.089999999982</v>
      </c>
      <c r="H303" s="31">
        <v>22801.599999999999</v>
      </c>
      <c r="I303" s="31">
        <v>7210.77</v>
      </c>
      <c r="J303" s="31">
        <v>310099.22144629748</v>
      </c>
      <c r="K303" s="31">
        <v>159387.74880985575</v>
      </c>
      <c r="L303" s="31">
        <v>135135.10736188351</v>
      </c>
      <c r="M303" s="31">
        <f t="shared" si="20"/>
        <v>3673722.7211062321</v>
      </c>
      <c r="N303" s="31">
        <v>72887.150000000009</v>
      </c>
      <c r="P303" s="42" t="s">
        <v>99</v>
      </c>
      <c r="Q303" s="42" t="s">
        <v>100</v>
      </c>
      <c r="R303" s="43" t="s">
        <v>1050</v>
      </c>
      <c r="S303" s="44">
        <v>32</v>
      </c>
      <c r="T303" s="31">
        <v>3016004.0995627483</v>
      </c>
      <c r="U303" s="31">
        <v>95013.029999999984</v>
      </c>
      <c r="V303" s="31">
        <v>23778.400000000001</v>
      </c>
      <c r="W303" s="31">
        <v>7588.84</v>
      </c>
      <c r="X303" s="31">
        <v>322186.73100222507</v>
      </c>
      <c r="Y303" s="31">
        <v>159490.21758246521</v>
      </c>
      <c r="Z303" s="31">
        <v>141913.37508271745</v>
      </c>
      <c r="AA303" s="31">
        <f t="shared" si="21"/>
        <v>3841053.0532301553</v>
      </c>
      <c r="AB303" s="31">
        <v>75078.36</v>
      </c>
      <c r="AD303" s="42" t="s">
        <v>99</v>
      </c>
      <c r="AE303" s="42" t="s">
        <v>100</v>
      </c>
      <c r="AF303" s="43" t="s">
        <v>1275</v>
      </c>
      <c r="AG303" s="44">
        <v>32</v>
      </c>
      <c r="AH303" s="31">
        <v>3074659.8891452393</v>
      </c>
      <c r="AI303" s="31">
        <v>97120.62999999999</v>
      </c>
      <c r="AJ303" s="31">
        <v>24346.689999999991</v>
      </c>
      <c r="AK303" s="31">
        <v>7737.31</v>
      </c>
      <c r="AL303" s="31">
        <v>328383.74557098304</v>
      </c>
      <c r="AM303" s="31">
        <v>159455.40595202046</v>
      </c>
      <c r="AN303" s="31">
        <v>144769.67343723122</v>
      </c>
      <c r="AO303" s="31">
        <f t="shared" si="22"/>
        <v>3912874.4541054736</v>
      </c>
      <c r="AP303" s="31">
        <v>76401.11</v>
      </c>
      <c r="AR303" s="42" t="s">
        <v>99</v>
      </c>
      <c r="AS303" s="42" t="s">
        <v>100</v>
      </c>
      <c r="AT303" s="43" t="s">
        <v>1276</v>
      </c>
      <c r="AU303" s="44">
        <v>32</v>
      </c>
      <c r="AV303" s="31">
        <v>3134415.4619164206</v>
      </c>
      <c r="AW303" s="31">
        <v>98980.830000000016</v>
      </c>
      <c r="AX303" s="31">
        <v>24791.289999999997</v>
      </c>
      <c r="AY303" s="31">
        <v>7878.6000000000013</v>
      </c>
      <c r="AZ303" s="31">
        <v>335010.89405429258</v>
      </c>
      <c r="BA303" s="31">
        <v>159460.94571289755</v>
      </c>
      <c r="BB303" s="31">
        <v>147670.41464231437</v>
      </c>
      <c r="BC303" s="31">
        <f t="shared" si="23"/>
        <v>3986233.1563259256</v>
      </c>
      <c r="BD303" s="31">
        <v>78024.72</v>
      </c>
    </row>
    <row r="304" spans="2:56">
      <c r="B304" s="42" t="s">
        <v>487</v>
      </c>
      <c r="C304" s="42" t="s">
        <v>488</v>
      </c>
      <c r="D304" s="43" t="s">
        <v>1049</v>
      </c>
      <c r="E304" s="44">
        <v>32</v>
      </c>
      <c r="F304" s="31">
        <v>4031543.1656304356</v>
      </c>
      <c r="G304" s="31">
        <v>218953.82000000004</v>
      </c>
      <c r="H304" s="31">
        <v>0</v>
      </c>
      <c r="I304" s="31">
        <v>10913.58</v>
      </c>
      <c r="J304" s="31">
        <v>503401.18296955025</v>
      </c>
      <c r="K304" s="31">
        <v>279621.71931425604</v>
      </c>
      <c r="L304" s="31">
        <v>58645.518245124011</v>
      </c>
      <c r="M304" s="31">
        <f t="shared" si="20"/>
        <v>5216599.7661593668</v>
      </c>
      <c r="N304" s="31">
        <v>113520.78</v>
      </c>
      <c r="P304" s="42" t="s">
        <v>487</v>
      </c>
      <c r="Q304" s="42" t="s">
        <v>488</v>
      </c>
      <c r="R304" s="43" t="s">
        <v>1050</v>
      </c>
      <c r="S304" s="44">
        <v>32</v>
      </c>
      <c r="T304" s="31">
        <v>4235109.1673333142</v>
      </c>
      <c r="U304" s="31">
        <v>230050.19000000006</v>
      </c>
      <c r="V304" s="31">
        <v>0</v>
      </c>
      <c r="W304" s="31">
        <v>11433.859999999999</v>
      </c>
      <c r="X304" s="31">
        <v>523004.67263349425</v>
      </c>
      <c r="Y304" s="31">
        <v>279871.31509619503</v>
      </c>
      <c r="Z304" s="31">
        <v>61598.325105372147</v>
      </c>
      <c r="AA304" s="31">
        <f t="shared" si="21"/>
        <v>5457878.2501683757</v>
      </c>
      <c r="AB304" s="31">
        <v>116810.71999999999</v>
      </c>
      <c r="AD304" s="42" t="s">
        <v>487</v>
      </c>
      <c r="AE304" s="42" t="s">
        <v>488</v>
      </c>
      <c r="AF304" s="43" t="s">
        <v>1275</v>
      </c>
      <c r="AG304" s="44">
        <v>32</v>
      </c>
      <c r="AH304" s="31">
        <v>4318567.8571856497</v>
      </c>
      <c r="AI304" s="31">
        <v>234985.11000000002</v>
      </c>
      <c r="AJ304" s="31">
        <v>0</v>
      </c>
      <c r="AK304" s="31">
        <v>11657.53</v>
      </c>
      <c r="AL304" s="31">
        <v>533088.94562938449</v>
      </c>
      <c r="AM304" s="31">
        <v>279786.52012988325</v>
      </c>
      <c r="AN304" s="31">
        <v>62793.023074168348</v>
      </c>
      <c r="AO304" s="31">
        <f t="shared" si="22"/>
        <v>5559849.3260190869</v>
      </c>
      <c r="AP304" s="31">
        <v>118970.34</v>
      </c>
      <c r="AR304" s="42" t="s">
        <v>487</v>
      </c>
      <c r="AS304" s="42" t="s">
        <v>488</v>
      </c>
      <c r="AT304" s="43" t="s">
        <v>1276</v>
      </c>
      <c r="AU304" s="44">
        <v>32</v>
      </c>
      <c r="AV304" s="31">
        <v>4403286.7278470732</v>
      </c>
      <c r="AW304" s="31">
        <v>239665.97999999998</v>
      </c>
      <c r="AX304" s="31">
        <v>0</v>
      </c>
      <c r="AY304" s="31">
        <v>11870.409999999998</v>
      </c>
      <c r="AZ304" s="31">
        <v>543842.22298043757</v>
      </c>
      <c r="BA304" s="31">
        <v>279800.01400623861</v>
      </c>
      <c r="BB304" s="31">
        <v>64075.72640624021</v>
      </c>
      <c r="BC304" s="31">
        <f t="shared" si="23"/>
        <v>5663924.3912399895</v>
      </c>
      <c r="BD304" s="31">
        <v>121383.31</v>
      </c>
    </row>
    <row r="305" spans="2:56">
      <c r="B305" s="42" t="s">
        <v>41</v>
      </c>
      <c r="C305" s="42" t="s">
        <v>42</v>
      </c>
      <c r="D305" s="43" t="s">
        <v>1049</v>
      </c>
      <c r="E305" s="44">
        <v>32</v>
      </c>
      <c r="F305" s="31">
        <v>57079730.123818897</v>
      </c>
      <c r="G305" s="31">
        <v>2760943.3499999992</v>
      </c>
      <c r="H305" s="31">
        <v>2617791.5599999996</v>
      </c>
      <c r="I305" s="31">
        <v>0</v>
      </c>
      <c r="J305" s="31">
        <v>9285388.0489470139</v>
      </c>
      <c r="K305" s="31">
        <v>2284201.8460614439</v>
      </c>
      <c r="L305" s="31">
        <v>8472249.3594453558</v>
      </c>
      <c r="M305" s="31">
        <f t="shared" si="20"/>
        <v>84350685.128272712</v>
      </c>
      <c r="N305" s="31">
        <v>1850380.8400000003</v>
      </c>
      <c r="P305" s="42" t="s">
        <v>41</v>
      </c>
      <c r="Q305" s="42" t="s">
        <v>42</v>
      </c>
      <c r="R305" s="43" t="s">
        <v>1050</v>
      </c>
      <c r="S305" s="44">
        <v>32</v>
      </c>
      <c r="T305" s="31">
        <v>59758164.683220319</v>
      </c>
      <c r="U305" s="31">
        <v>2880516.6800000006</v>
      </c>
      <c r="V305" s="31">
        <v>2707525.72</v>
      </c>
      <c r="W305" s="31">
        <v>0</v>
      </c>
      <c r="X305" s="31">
        <v>9578390.9785043485</v>
      </c>
      <c r="Y305" s="31">
        <v>2286482.5113672204</v>
      </c>
      <c r="Z305" s="31">
        <v>8837358.8242507074</v>
      </c>
      <c r="AA305" s="31">
        <f t="shared" si="21"/>
        <v>87937529.117342591</v>
      </c>
      <c r="AB305" s="31">
        <v>1889089.72</v>
      </c>
      <c r="AD305" s="42" t="s">
        <v>41</v>
      </c>
      <c r="AE305" s="42" t="s">
        <v>42</v>
      </c>
      <c r="AF305" s="43" t="s">
        <v>1275</v>
      </c>
      <c r="AG305" s="44">
        <v>32</v>
      </c>
      <c r="AH305" s="31">
        <v>60949606.333614938</v>
      </c>
      <c r="AI305" s="31">
        <v>2942708.7699999996</v>
      </c>
      <c r="AJ305" s="31">
        <v>2762735.1899999995</v>
      </c>
      <c r="AK305" s="31">
        <v>0</v>
      </c>
      <c r="AL305" s="31">
        <v>9763377.5347245187</v>
      </c>
      <c r="AM305" s="31">
        <v>2285690.4685521275</v>
      </c>
      <c r="AN305" s="31">
        <v>9014544.7964276001</v>
      </c>
      <c r="AO305" s="31">
        <f t="shared" si="22"/>
        <v>89642607.233319178</v>
      </c>
      <c r="AP305" s="31">
        <v>1923944.14</v>
      </c>
      <c r="AR305" s="42" t="s">
        <v>41</v>
      </c>
      <c r="AS305" s="42" t="s">
        <v>42</v>
      </c>
      <c r="AT305" s="43" t="s">
        <v>1276</v>
      </c>
      <c r="AU305" s="44">
        <v>32</v>
      </c>
      <c r="AV305" s="31">
        <v>62180664.493991703</v>
      </c>
      <c r="AW305" s="31">
        <v>3001231.1</v>
      </c>
      <c r="AX305" s="31">
        <v>2818222.8600000003</v>
      </c>
      <c r="AY305" s="31">
        <v>0</v>
      </c>
      <c r="AZ305" s="31">
        <v>9960842.3104573488</v>
      </c>
      <c r="BA305" s="31">
        <v>2285815.7194627975</v>
      </c>
      <c r="BB305" s="31">
        <v>9196907.2753379457</v>
      </c>
      <c r="BC305" s="31">
        <f t="shared" si="23"/>
        <v>91406819.979249805</v>
      </c>
      <c r="BD305" s="31">
        <v>1963136.2200000002</v>
      </c>
    </row>
    <row r="306" spans="2:56">
      <c r="B306" s="42" t="s">
        <v>473</v>
      </c>
      <c r="C306" s="42" t="s">
        <v>474</v>
      </c>
      <c r="D306" s="43" t="s">
        <v>1049</v>
      </c>
      <c r="E306" s="44">
        <v>32</v>
      </c>
      <c r="F306" s="31">
        <v>27252421.454663172</v>
      </c>
      <c r="G306" s="31">
        <v>1113185.7600000002</v>
      </c>
      <c r="H306" s="31">
        <v>159513.76</v>
      </c>
      <c r="I306" s="31">
        <v>95688.760000000009</v>
      </c>
      <c r="J306" s="31">
        <v>3790502.1442183964</v>
      </c>
      <c r="K306" s="31">
        <v>1633321.272659702</v>
      </c>
      <c r="L306" s="31">
        <v>2553035.502410965</v>
      </c>
      <c r="M306" s="31">
        <f t="shared" si="20"/>
        <v>37123274.753952242</v>
      </c>
      <c r="N306" s="31">
        <v>525606.1</v>
      </c>
      <c r="P306" s="42" t="s">
        <v>473</v>
      </c>
      <c r="Q306" s="42" t="s">
        <v>474</v>
      </c>
      <c r="R306" s="43" t="s">
        <v>1050</v>
      </c>
      <c r="S306" s="44">
        <v>32</v>
      </c>
      <c r="T306" s="31">
        <v>28652105.312598057</v>
      </c>
      <c r="U306" s="31">
        <v>1168898.3899999997</v>
      </c>
      <c r="V306" s="31">
        <v>166448.73000000001</v>
      </c>
      <c r="W306" s="31">
        <v>99869.23000000001</v>
      </c>
      <c r="X306" s="31">
        <v>3938207.8537285896</v>
      </c>
      <c r="Y306" s="31">
        <v>1634795.1632661815</v>
      </c>
      <c r="Z306" s="31">
        <v>2682816.8250054661</v>
      </c>
      <c r="AA306" s="31">
        <f t="shared" si="21"/>
        <v>38884364.554598294</v>
      </c>
      <c r="AB306" s="31">
        <v>541223.04999999993</v>
      </c>
      <c r="AD306" s="42" t="s">
        <v>473</v>
      </c>
      <c r="AE306" s="42" t="s">
        <v>474</v>
      </c>
      <c r="AF306" s="43" t="s">
        <v>1275</v>
      </c>
      <c r="AG306" s="44">
        <v>32</v>
      </c>
      <c r="AH306" s="31">
        <v>29220536.216450244</v>
      </c>
      <c r="AI306" s="31">
        <v>1193646.6900000004</v>
      </c>
      <c r="AJ306" s="31">
        <v>169807.84</v>
      </c>
      <c r="AK306" s="31">
        <v>101822.8</v>
      </c>
      <c r="AL306" s="31">
        <v>4014163.8167173499</v>
      </c>
      <c r="AM306" s="31">
        <v>1634294.4396427579</v>
      </c>
      <c r="AN306" s="31">
        <v>2736519.1900248127</v>
      </c>
      <c r="AO306" s="31">
        <f t="shared" si="22"/>
        <v>39621955.872835174</v>
      </c>
      <c r="AP306" s="31">
        <v>551164.88</v>
      </c>
      <c r="AR306" s="42" t="s">
        <v>473</v>
      </c>
      <c r="AS306" s="42" t="s">
        <v>474</v>
      </c>
      <c r="AT306" s="43" t="s">
        <v>1276</v>
      </c>
      <c r="AU306" s="44">
        <v>32</v>
      </c>
      <c r="AV306" s="31">
        <v>29809963.418194149</v>
      </c>
      <c r="AW306" s="31">
        <v>1217403.6300000001</v>
      </c>
      <c r="AX306" s="31">
        <v>173223.83000000002</v>
      </c>
      <c r="AY306" s="31">
        <v>103892.27</v>
      </c>
      <c r="AZ306" s="31">
        <v>4095167.2273168284</v>
      </c>
      <c r="BA306" s="31">
        <v>1634374.1224701304</v>
      </c>
      <c r="BB306" s="31">
        <v>2791693.0705399662</v>
      </c>
      <c r="BC306" s="31">
        <f t="shared" si="23"/>
        <v>40388033.748521075</v>
      </c>
      <c r="BD306" s="31">
        <v>562316.17999999993</v>
      </c>
    </row>
    <row r="307" spans="2:56">
      <c r="B307" s="42" t="s">
        <v>607</v>
      </c>
      <c r="C307" s="42" t="s">
        <v>608</v>
      </c>
      <c r="D307" s="43" t="s">
        <v>1049</v>
      </c>
      <c r="E307" s="44">
        <v>32</v>
      </c>
      <c r="F307" s="31">
        <v>41508058.699975565</v>
      </c>
      <c r="G307" s="31">
        <v>1563371.09</v>
      </c>
      <c r="H307" s="31">
        <v>669554.99000000011</v>
      </c>
      <c r="I307" s="31">
        <v>151726.78</v>
      </c>
      <c r="J307" s="31">
        <v>6987543.5982942274</v>
      </c>
      <c r="K307" s="31">
        <v>2269708.6322501143</v>
      </c>
      <c r="L307" s="31">
        <v>5408103.0815354018</v>
      </c>
      <c r="M307" s="31">
        <f t="shared" si="20"/>
        <v>59013751.642055318</v>
      </c>
      <c r="N307" s="31">
        <v>455684.77</v>
      </c>
      <c r="P307" s="42" t="s">
        <v>607</v>
      </c>
      <c r="Q307" s="42" t="s">
        <v>608</v>
      </c>
      <c r="R307" s="43" t="s">
        <v>1050</v>
      </c>
      <c r="S307" s="44">
        <v>32</v>
      </c>
      <c r="T307" s="31">
        <v>43020306.547088817</v>
      </c>
      <c r="U307" s="31">
        <v>1623150.5600000003</v>
      </c>
      <c r="V307" s="31">
        <v>692482.82</v>
      </c>
      <c r="W307" s="31">
        <v>157000.15</v>
      </c>
      <c r="X307" s="31">
        <v>7207802.8772297017</v>
      </c>
      <c r="Y307" s="31">
        <v>2271996.3043406866</v>
      </c>
      <c r="Z307" s="31">
        <v>5588635.1796396347</v>
      </c>
      <c r="AA307" s="31">
        <f t="shared" si="21"/>
        <v>61026575.078298852</v>
      </c>
      <c r="AB307" s="31">
        <v>465200.63999999996</v>
      </c>
      <c r="AD307" s="42" t="s">
        <v>607</v>
      </c>
      <c r="AE307" s="42" t="s">
        <v>608</v>
      </c>
      <c r="AF307" s="43" t="s">
        <v>1275</v>
      </c>
      <c r="AG307" s="44">
        <v>32</v>
      </c>
      <c r="AH307" s="31">
        <v>43879963.650615007</v>
      </c>
      <c r="AI307" s="31">
        <v>1657072.7100000007</v>
      </c>
      <c r="AJ307" s="31">
        <v>706564.00999999978</v>
      </c>
      <c r="AK307" s="31">
        <v>160178.5</v>
      </c>
      <c r="AL307" s="31">
        <v>7346989.1155793173</v>
      </c>
      <c r="AM307" s="31">
        <v>2271201.8281683004</v>
      </c>
      <c r="AN307" s="31">
        <v>5700498.2793290205</v>
      </c>
      <c r="AO307" s="31">
        <f t="shared" si="22"/>
        <v>62196309.483691648</v>
      </c>
      <c r="AP307" s="31">
        <v>473841.38999999996</v>
      </c>
      <c r="AR307" s="42" t="s">
        <v>607</v>
      </c>
      <c r="AS307" s="42" t="s">
        <v>608</v>
      </c>
      <c r="AT307" s="43" t="s">
        <v>1276</v>
      </c>
      <c r="AU307" s="44">
        <v>32</v>
      </c>
      <c r="AV307" s="31">
        <v>44765621.673341364</v>
      </c>
      <c r="AW307" s="31">
        <v>1690236.9499999997</v>
      </c>
      <c r="AX307" s="31">
        <v>720700.04000000015</v>
      </c>
      <c r="AY307" s="31">
        <v>163329.94</v>
      </c>
      <c r="AZ307" s="31">
        <v>7495540.2063361388</v>
      </c>
      <c r="BA307" s="31">
        <v>2271327.4638816742</v>
      </c>
      <c r="BB307" s="31">
        <v>5815908.7792699877</v>
      </c>
      <c r="BC307" s="31">
        <f t="shared" si="23"/>
        <v>63406171.552829161</v>
      </c>
      <c r="BD307" s="31">
        <v>483506.5</v>
      </c>
    </row>
    <row r="308" spans="2:56">
      <c r="B308" s="42" t="s">
        <v>1253</v>
      </c>
      <c r="C308" s="42" t="s">
        <v>1254</v>
      </c>
      <c r="D308" s="43" t="s">
        <v>1049</v>
      </c>
      <c r="E308" s="44">
        <v>32</v>
      </c>
      <c r="F308" s="31">
        <v>1459299.1193121755</v>
      </c>
      <c r="G308" s="31">
        <v>20466</v>
      </c>
      <c r="H308" s="31">
        <v>0</v>
      </c>
      <c r="I308" s="31">
        <v>0</v>
      </c>
      <c r="J308" s="31">
        <v>60028.425250620443</v>
      </c>
      <c r="K308" s="31">
        <v>0</v>
      </c>
      <c r="L308" s="31">
        <v>0</v>
      </c>
      <c r="M308" s="31">
        <f t="shared" si="20"/>
        <v>1554745.364562796</v>
      </c>
      <c r="N308" s="31">
        <v>14951.820000000002</v>
      </c>
      <c r="P308" s="42" t="s">
        <v>1253</v>
      </c>
      <c r="Q308" s="42" t="s">
        <v>1254</v>
      </c>
      <c r="R308" s="43" t="s">
        <v>1050</v>
      </c>
      <c r="S308" s="44">
        <v>32</v>
      </c>
      <c r="T308" s="31">
        <v>1501246.8540100656</v>
      </c>
      <c r="U308" s="31">
        <v>21253.689999999995</v>
      </c>
      <c r="V308" s="31">
        <v>0</v>
      </c>
      <c r="W308" s="31">
        <v>0</v>
      </c>
      <c r="X308" s="31">
        <v>61639.319583651624</v>
      </c>
      <c r="Y308" s="31">
        <v>0</v>
      </c>
      <c r="Z308" s="31">
        <v>0</v>
      </c>
      <c r="AA308" s="31">
        <f t="shared" si="21"/>
        <v>1599338.6135937171</v>
      </c>
      <c r="AB308" s="31">
        <v>15198.75</v>
      </c>
      <c r="AD308" s="42" t="s">
        <v>1253</v>
      </c>
      <c r="AE308" s="42" t="s">
        <v>1254</v>
      </c>
      <c r="AF308" s="43" t="s">
        <v>1275</v>
      </c>
      <c r="AG308" s="44">
        <v>32</v>
      </c>
      <c r="AH308" s="31">
        <v>1529986.1621169744</v>
      </c>
      <c r="AI308" s="31">
        <v>21697.289999999997</v>
      </c>
      <c r="AJ308" s="31">
        <v>0</v>
      </c>
      <c r="AK308" s="31">
        <v>0</v>
      </c>
      <c r="AL308" s="31">
        <v>62787.522805490538</v>
      </c>
      <c r="AM308" s="31">
        <v>0</v>
      </c>
      <c r="AN308" s="31">
        <v>0</v>
      </c>
      <c r="AO308" s="31">
        <f t="shared" si="22"/>
        <v>1629940.064922465</v>
      </c>
      <c r="AP308" s="31">
        <v>15469.09</v>
      </c>
      <c r="AR308" s="42" t="s">
        <v>1253</v>
      </c>
      <c r="AS308" s="42" t="s">
        <v>1254</v>
      </c>
      <c r="AT308" s="43" t="s">
        <v>1276</v>
      </c>
      <c r="AU308" s="44">
        <v>32</v>
      </c>
      <c r="AV308" s="31">
        <v>1557998.8019889533</v>
      </c>
      <c r="AW308" s="31">
        <v>22093.600000000006</v>
      </c>
      <c r="AX308" s="31">
        <v>0</v>
      </c>
      <c r="AY308" s="31">
        <v>0</v>
      </c>
      <c r="AZ308" s="31">
        <v>63955.806975879037</v>
      </c>
      <c r="BA308" s="31">
        <v>0</v>
      </c>
      <c r="BB308" s="31">
        <v>0</v>
      </c>
      <c r="BC308" s="31">
        <f t="shared" si="23"/>
        <v>1659806.8289648325</v>
      </c>
      <c r="BD308" s="31">
        <v>15758.62</v>
      </c>
    </row>
    <row r="309" spans="2:56">
      <c r="B309" s="42" t="s">
        <v>293</v>
      </c>
      <c r="C309" s="42" t="s">
        <v>294</v>
      </c>
      <c r="D309" s="43" t="s">
        <v>1049</v>
      </c>
      <c r="E309" s="44">
        <v>32</v>
      </c>
      <c r="F309" s="31">
        <v>3375597.7565639042</v>
      </c>
      <c r="G309" s="31">
        <v>140707.29</v>
      </c>
      <c r="H309" s="31">
        <v>0</v>
      </c>
      <c r="I309" s="31">
        <v>9062.18</v>
      </c>
      <c r="J309" s="31">
        <v>394223.18565639714</v>
      </c>
      <c r="K309" s="31">
        <v>447455.15663249994</v>
      </c>
      <c r="L309" s="31">
        <v>166403.18024335333</v>
      </c>
      <c r="M309" s="31">
        <f t="shared" si="20"/>
        <v>4628650.3090961548</v>
      </c>
      <c r="N309" s="31">
        <v>95201.56</v>
      </c>
      <c r="P309" s="42" t="s">
        <v>293</v>
      </c>
      <c r="Q309" s="42" t="s">
        <v>294</v>
      </c>
      <c r="R309" s="43" t="s">
        <v>1050</v>
      </c>
      <c r="S309" s="44">
        <v>32</v>
      </c>
      <c r="T309" s="31">
        <v>3542187.1834254721</v>
      </c>
      <c r="U309" s="31">
        <v>148141.06999999995</v>
      </c>
      <c r="V309" s="31">
        <v>0</v>
      </c>
      <c r="W309" s="31">
        <v>9511.3499999999985</v>
      </c>
      <c r="X309" s="31">
        <v>409581.69212665869</v>
      </c>
      <c r="Y309" s="31">
        <v>448000.58638569672</v>
      </c>
      <c r="Z309" s="31">
        <v>174947.01571898605</v>
      </c>
      <c r="AA309" s="31">
        <f t="shared" si="21"/>
        <v>4830410.0376568139</v>
      </c>
      <c r="AB309" s="31">
        <v>98041.14</v>
      </c>
      <c r="AD309" s="42" t="s">
        <v>293</v>
      </c>
      <c r="AE309" s="42" t="s">
        <v>294</v>
      </c>
      <c r="AF309" s="43" t="s">
        <v>1275</v>
      </c>
      <c r="AG309" s="44">
        <v>32</v>
      </c>
      <c r="AH309" s="31">
        <v>3612080.9237972121</v>
      </c>
      <c r="AI309" s="31">
        <v>151332.56000000006</v>
      </c>
      <c r="AJ309" s="31">
        <v>0</v>
      </c>
      <c r="AK309" s="31">
        <v>9697.41</v>
      </c>
      <c r="AL309" s="31">
        <v>417478.44395698624</v>
      </c>
      <c r="AM309" s="31">
        <v>447815.28799167555</v>
      </c>
      <c r="AN309" s="31">
        <v>178443.84075838386</v>
      </c>
      <c r="AO309" s="31">
        <f t="shared" si="22"/>
        <v>4916616.9265042581</v>
      </c>
      <c r="AP309" s="31">
        <v>99768.459999999992</v>
      </c>
      <c r="AR309" s="42" t="s">
        <v>293</v>
      </c>
      <c r="AS309" s="42" t="s">
        <v>294</v>
      </c>
      <c r="AT309" s="43" t="s">
        <v>1276</v>
      </c>
      <c r="AU309" s="44">
        <v>32</v>
      </c>
      <c r="AV309" s="31">
        <v>3682391.008365612</v>
      </c>
      <c r="AW309" s="31">
        <v>154281.14000000004</v>
      </c>
      <c r="AX309" s="31">
        <v>0</v>
      </c>
      <c r="AY309" s="31">
        <v>9874.489999999998</v>
      </c>
      <c r="AZ309" s="31">
        <v>425903.01984113845</v>
      </c>
      <c r="BA309" s="31">
        <v>447844.77551583556</v>
      </c>
      <c r="BB309" s="31">
        <v>182081.24930764956</v>
      </c>
      <c r="BC309" s="31">
        <f t="shared" si="23"/>
        <v>5004201.083030236</v>
      </c>
      <c r="BD309" s="31">
        <v>101825.4</v>
      </c>
    </row>
    <row r="310" spans="2:56">
      <c r="B310" s="42" t="s">
        <v>387</v>
      </c>
      <c r="C310" s="42" t="s">
        <v>388</v>
      </c>
      <c r="D310" s="43" t="s">
        <v>1049</v>
      </c>
      <c r="E310" s="44">
        <v>32</v>
      </c>
      <c r="F310" s="31">
        <v>34797946.118279181</v>
      </c>
      <c r="G310" s="31">
        <v>806348.29999999993</v>
      </c>
      <c r="H310" s="31">
        <v>204793.39</v>
      </c>
      <c r="I310" s="31">
        <v>0</v>
      </c>
      <c r="J310" s="31">
        <v>5597329.136728121</v>
      </c>
      <c r="K310" s="31">
        <v>2480029.0175399454</v>
      </c>
      <c r="L310" s="31">
        <v>2995983.6913767993</v>
      </c>
      <c r="M310" s="31">
        <f t="shared" si="20"/>
        <v>46890535.203924045</v>
      </c>
      <c r="N310" s="31">
        <v>8105.55</v>
      </c>
      <c r="P310" s="42" t="s">
        <v>387</v>
      </c>
      <c r="Q310" s="42" t="s">
        <v>388</v>
      </c>
      <c r="R310" s="43" t="s">
        <v>1050</v>
      </c>
      <c r="S310" s="44">
        <v>32</v>
      </c>
      <c r="T310" s="31">
        <v>36301580.963638529</v>
      </c>
      <c r="U310" s="31">
        <v>841146.19</v>
      </c>
      <c r="V310" s="31">
        <v>213613.98</v>
      </c>
      <c r="W310" s="31">
        <v>0</v>
      </c>
      <c r="X310" s="31">
        <v>5813844.3022720609</v>
      </c>
      <c r="Y310" s="31">
        <v>2481899.1741715916</v>
      </c>
      <c r="Z310" s="31">
        <v>3116609.2294117981</v>
      </c>
      <c r="AA310" s="31">
        <f t="shared" si="21"/>
        <v>48777105.14949397</v>
      </c>
      <c r="AB310" s="31">
        <v>8411.31</v>
      </c>
      <c r="AD310" s="42" t="s">
        <v>387</v>
      </c>
      <c r="AE310" s="42" t="s">
        <v>388</v>
      </c>
      <c r="AF310" s="43" t="s">
        <v>1275</v>
      </c>
      <c r="AG310" s="44">
        <v>32</v>
      </c>
      <c r="AH310" s="31">
        <v>37026984.804725744</v>
      </c>
      <c r="AI310" s="31">
        <v>858281.29</v>
      </c>
      <c r="AJ310" s="31">
        <v>218013.3</v>
      </c>
      <c r="AK310" s="31">
        <v>0</v>
      </c>
      <c r="AL310" s="31">
        <v>5926248.2814342137</v>
      </c>
      <c r="AM310" s="31">
        <v>2481239.0599437798</v>
      </c>
      <c r="AN310" s="31">
        <v>3179386.1201845733</v>
      </c>
      <c r="AO310" s="31">
        <f t="shared" si="22"/>
        <v>49698713.326288305</v>
      </c>
      <c r="AP310" s="31">
        <v>8560.4700000000012</v>
      </c>
      <c r="AR310" s="42" t="s">
        <v>387</v>
      </c>
      <c r="AS310" s="42" t="s">
        <v>388</v>
      </c>
      <c r="AT310" s="43" t="s">
        <v>1276</v>
      </c>
      <c r="AU310" s="44">
        <v>32</v>
      </c>
      <c r="AV310" s="31">
        <v>37776087.700087652</v>
      </c>
      <c r="AW310" s="31">
        <v>875502.19000000006</v>
      </c>
      <c r="AX310" s="31">
        <v>222354.78999999998</v>
      </c>
      <c r="AY310" s="31">
        <v>0</v>
      </c>
      <c r="AZ310" s="31">
        <v>6046356.0390794119</v>
      </c>
      <c r="BA310" s="31">
        <v>2481342.8262850279</v>
      </c>
      <c r="BB310" s="31">
        <v>3244005.7314195796</v>
      </c>
      <c r="BC310" s="31">
        <f t="shared" si="23"/>
        <v>50654369.496871665</v>
      </c>
      <c r="BD310" s="31">
        <v>8720.2199999999993</v>
      </c>
    </row>
    <row r="311" spans="2:56">
      <c r="B311" s="42" t="s">
        <v>267</v>
      </c>
      <c r="C311" s="42" t="s">
        <v>268</v>
      </c>
      <c r="D311" s="43" t="s">
        <v>1049</v>
      </c>
      <c r="E311" s="44">
        <v>32</v>
      </c>
      <c r="F311" s="31">
        <v>9034183.4674334936</v>
      </c>
      <c r="G311" s="31">
        <v>297395.21999999997</v>
      </c>
      <c r="H311" s="31">
        <v>279855.52999999997</v>
      </c>
      <c r="I311" s="31">
        <v>31084.229999999996</v>
      </c>
      <c r="J311" s="31">
        <v>1292749.7461333645</v>
      </c>
      <c r="K311" s="31">
        <v>735897.43484189699</v>
      </c>
      <c r="L311" s="31">
        <v>514407.64999340358</v>
      </c>
      <c r="M311" s="31">
        <f t="shared" si="20"/>
        <v>12190737.73840216</v>
      </c>
      <c r="N311" s="31">
        <v>5164.46</v>
      </c>
      <c r="P311" s="42" t="s">
        <v>267</v>
      </c>
      <c r="Q311" s="42" t="s">
        <v>268</v>
      </c>
      <c r="R311" s="43" t="s">
        <v>1050</v>
      </c>
      <c r="S311" s="44">
        <v>32</v>
      </c>
      <c r="T311" s="31">
        <v>9428751.9923439734</v>
      </c>
      <c r="U311" s="31">
        <v>310404.62000000005</v>
      </c>
      <c r="V311" s="31">
        <v>291917.68</v>
      </c>
      <c r="W311" s="31">
        <v>32379.090000000004</v>
      </c>
      <c r="X311" s="31">
        <v>1343123.9650812796</v>
      </c>
      <c r="Y311" s="31">
        <v>736733.2925573145</v>
      </c>
      <c r="Z311" s="31">
        <v>535504.53938514332</v>
      </c>
      <c r="AA311" s="31">
        <f t="shared" si="21"/>
        <v>12684106.59936771</v>
      </c>
      <c r="AB311" s="31">
        <v>5291.42</v>
      </c>
      <c r="AD311" s="42" t="s">
        <v>267</v>
      </c>
      <c r="AE311" s="42" t="s">
        <v>268</v>
      </c>
      <c r="AF311" s="43" t="s">
        <v>1275</v>
      </c>
      <c r="AG311" s="44">
        <v>32</v>
      </c>
      <c r="AH311" s="31">
        <v>9617351.6203245781</v>
      </c>
      <c r="AI311" s="31">
        <v>316693.12999999995</v>
      </c>
      <c r="AJ311" s="31">
        <v>297834.28000000003</v>
      </c>
      <c r="AK311" s="31">
        <v>33012.46</v>
      </c>
      <c r="AL311" s="31">
        <v>1369033.0376545778</v>
      </c>
      <c r="AM311" s="31">
        <v>736449.32731451408</v>
      </c>
      <c r="AN311" s="31">
        <v>546177.7588032987</v>
      </c>
      <c r="AO311" s="31">
        <f t="shared" si="22"/>
        <v>12921936.264096972</v>
      </c>
      <c r="AP311" s="31">
        <v>5384.6500000000005</v>
      </c>
      <c r="AR311" s="42" t="s">
        <v>267</v>
      </c>
      <c r="AS311" s="42" t="s">
        <v>268</v>
      </c>
      <c r="AT311" s="43" t="s">
        <v>1276</v>
      </c>
      <c r="AU311" s="44">
        <v>32</v>
      </c>
      <c r="AV311" s="31">
        <v>9811129.9511591997</v>
      </c>
      <c r="AW311" s="31">
        <v>323105.02999999997</v>
      </c>
      <c r="AX311" s="31">
        <v>303903.28999999998</v>
      </c>
      <c r="AY311" s="31">
        <v>33720.35</v>
      </c>
      <c r="AZ311" s="31">
        <v>1396632.8566534088</v>
      </c>
      <c r="BA311" s="31">
        <v>736494.51622185402</v>
      </c>
      <c r="BB311" s="31">
        <v>557027.97869169107</v>
      </c>
      <c r="BC311" s="31">
        <f t="shared" si="23"/>
        <v>13167498.472726153</v>
      </c>
      <c r="BD311" s="31">
        <v>5484.5</v>
      </c>
    </row>
    <row r="312" spans="2:56">
      <c r="B312" s="42" t="s">
        <v>307</v>
      </c>
      <c r="C312" s="42" t="s">
        <v>308</v>
      </c>
      <c r="D312" s="43" t="s">
        <v>1049</v>
      </c>
      <c r="E312" s="44">
        <v>32</v>
      </c>
      <c r="F312" s="31">
        <v>2440509.4481912944</v>
      </c>
      <c r="G312" s="31">
        <v>60706.820000000007</v>
      </c>
      <c r="H312" s="31">
        <v>0</v>
      </c>
      <c r="I312" s="31">
        <v>6138.8899999999994</v>
      </c>
      <c r="J312" s="31">
        <v>258163.0520971418</v>
      </c>
      <c r="K312" s="31">
        <v>0</v>
      </c>
      <c r="L312" s="31">
        <v>190374.48518330985</v>
      </c>
      <c r="M312" s="31">
        <f t="shared" si="20"/>
        <v>2955892.6954717459</v>
      </c>
      <c r="N312" s="31">
        <v>0</v>
      </c>
      <c r="P312" s="42" t="s">
        <v>307</v>
      </c>
      <c r="Q312" s="42" t="s">
        <v>308</v>
      </c>
      <c r="R312" s="43" t="s">
        <v>1050</v>
      </c>
      <c r="S312" s="44">
        <v>32</v>
      </c>
      <c r="T312" s="31">
        <v>2538788.7481774529</v>
      </c>
      <c r="U312" s="31">
        <v>63341.560000000005</v>
      </c>
      <c r="V312" s="31">
        <v>0</v>
      </c>
      <c r="W312" s="31">
        <v>6475.82</v>
      </c>
      <c r="X312" s="31">
        <v>268221.72855271591</v>
      </c>
      <c r="Y312" s="31">
        <v>0</v>
      </c>
      <c r="Z312" s="31">
        <v>197995.54929514945</v>
      </c>
      <c r="AA312" s="31">
        <f t="shared" si="21"/>
        <v>3074823.406025318</v>
      </c>
      <c r="AB312" s="31">
        <v>0</v>
      </c>
      <c r="AD312" s="42" t="s">
        <v>307</v>
      </c>
      <c r="AE312" s="42" t="s">
        <v>308</v>
      </c>
      <c r="AF312" s="43" t="s">
        <v>1275</v>
      </c>
      <c r="AG312" s="44">
        <v>32</v>
      </c>
      <c r="AH312" s="31">
        <v>2588530.5303949886</v>
      </c>
      <c r="AI312" s="31">
        <v>64580.62</v>
      </c>
      <c r="AJ312" s="31">
        <v>0</v>
      </c>
      <c r="AK312" s="31">
        <v>6602.4999999999991</v>
      </c>
      <c r="AL312" s="31">
        <v>273396.12063108245</v>
      </c>
      <c r="AM312" s="31">
        <v>0</v>
      </c>
      <c r="AN312" s="31">
        <v>202228.58703550664</v>
      </c>
      <c r="AO312" s="31">
        <f t="shared" si="22"/>
        <v>3135338.3580615777</v>
      </c>
      <c r="AP312" s="31">
        <v>0</v>
      </c>
      <c r="AR312" s="42" t="s">
        <v>307</v>
      </c>
      <c r="AS312" s="42" t="s">
        <v>308</v>
      </c>
      <c r="AT312" s="43" t="s">
        <v>1276</v>
      </c>
      <c r="AU312" s="44">
        <v>32</v>
      </c>
      <c r="AV312" s="31">
        <v>2638451.6005116608</v>
      </c>
      <c r="AW312" s="31">
        <v>65970.03</v>
      </c>
      <c r="AX312" s="31">
        <v>0</v>
      </c>
      <c r="AY312" s="31">
        <v>6723.0699999999988</v>
      </c>
      <c r="AZ312" s="31">
        <v>278911.50776370347</v>
      </c>
      <c r="BA312" s="31">
        <v>0</v>
      </c>
      <c r="BB312" s="31">
        <v>206313.12371273391</v>
      </c>
      <c r="BC312" s="31">
        <f t="shared" si="23"/>
        <v>3196369.3319880976</v>
      </c>
      <c r="BD312" s="31">
        <v>0</v>
      </c>
    </row>
    <row r="313" spans="2:56">
      <c r="B313" s="42" t="s">
        <v>351</v>
      </c>
      <c r="C313" s="42" t="s">
        <v>352</v>
      </c>
      <c r="D313" s="43" t="s">
        <v>1049</v>
      </c>
      <c r="E313" s="44">
        <v>32</v>
      </c>
      <c r="F313" s="31">
        <v>3553301.2571759112</v>
      </c>
      <c r="G313" s="31">
        <v>92862.919999999984</v>
      </c>
      <c r="H313" s="31">
        <v>11205.919999999998</v>
      </c>
      <c r="I313" s="31">
        <v>10036.619999999999</v>
      </c>
      <c r="J313" s="31">
        <v>373859.36491124833</v>
      </c>
      <c r="K313" s="31">
        <v>496022.54982368345</v>
      </c>
      <c r="L313" s="31">
        <v>273099.64873938815</v>
      </c>
      <c r="M313" s="31">
        <f t="shared" si="20"/>
        <v>4810388.2806502311</v>
      </c>
      <c r="N313" s="31">
        <v>0</v>
      </c>
      <c r="P313" s="42" t="s">
        <v>351</v>
      </c>
      <c r="Q313" s="42" t="s">
        <v>352</v>
      </c>
      <c r="R313" s="43" t="s">
        <v>1050</v>
      </c>
      <c r="S313" s="44">
        <v>32</v>
      </c>
      <c r="T313" s="31">
        <v>3700585.918823</v>
      </c>
      <c r="U313" s="31">
        <v>96934.87999999999</v>
      </c>
      <c r="V313" s="31">
        <v>11737.42</v>
      </c>
      <c r="W313" s="31">
        <v>10523.210000000001</v>
      </c>
      <c r="X313" s="31">
        <v>388435.71504888247</v>
      </c>
      <c r="Y313" s="31">
        <v>496504.25616106571</v>
      </c>
      <c r="Z313" s="31">
        <v>284110.48516591033</v>
      </c>
      <c r="AA313" s="31">
        <f t="shared" si="21"/>
        <v>4988831.8851988576</v>
      </c>
      <c r="AB313" s="31">
        <v>0</v>
      </c>
      <c r="AD313" s="42" t="s">
        <v>351</v>
      </c>
      <c r="AE313" s="42" t="s">
        <v>352</v>
      </c>
      <c r="AF313" s="43" t="s">
        <v>1275</v>
      </c>
      <c r="AG313" s="44">
        <v>32</v>
      </c>
      <c r="AH313" s="31">
        <v>3773328.4477404184</v>
      </c>
      <c r="AI313" s="31">
        <v>98831.049999999988</v>
      </c>
      <c r="AJ313" s="31">
        <v>11967</v>
      </c>
      <c r="AK313" s="31">
        <v>10729.04</v>
      </c>
      <c r="AL313" s="31">
        <v>395919.54150726565</v>
      </c>
      <c r="AM313" s="31">
        <v>496340.6064698202</v>
      </c>
      <c r="AN313" s="31">
        <v>289908.23295149516</v>
      </c>
      <c r="AO313" s="31">
        <f t="shared" si="22"/>
        <v>5077023.9186689993</v>
      </c>
      <c r="AP313" s="31">
        <v>0</v>
      </c>
      <c r="AR313" s="42" t="s">
        <v>351</v>
      </c>
      <c r="AS313" s="42" t="s">
        <v>352</v>
      </c>
      <c r="AT313" s="43" t="s">
        <v>1276</v>
      </c>
      <c r="AU313" s="44">
        <v>32</v>
      </c>
      <c r="AV313" s="31">
        <v>3846969.1431525042</v>
      </c>
      <c r="AW313" s="31">
        <v>100845.87999999999</v>
      </c>
      <c r="AX313" s="31">
        <v>12185.53</v>
      </c>
      <c r="AY313" s="31">
        <v>10924.970000000001</v>
      </c>
      <c r="AZ313" s="31">
        <v>403909.07843699941</v>
      </c>
      <c r="BA313" s="31">
        <v>496366.64892016014</v>
      </c>
      <c r="BB313" s="31">
        <v>295888.98431230953</v>
      </c>
      <c r="BC313" s="31">
        <f t="shared" si="23"/>
        <v>5167090.2348219734</v>
      </c>
      <c r="BD313" s="31">
        <v>0</v>
      </c>
    </row>
    <row r="314" spans="2:56">
      <c r="B314" s="42" t="s">
        <v>137</v>
      </c>
      <c r="C314" s="42" t="s">
        <v>138</v>
      </c>
      <c r="D314" s="43" t="s">
        <v>1049</v>
      </c>
      <c r="E314" s="44">
        <v>32</v>
      </c>
      <c r="F314" s="31">
        <v>1991553.8128150434</v>
      </c>
      <c r="G314" s="31">
        <v>48322.55000000001</v>
      </c>
      <c r="H314" s="31">
        <v>0</v>
      </c>
      <c r="I314" s="31">
        <v>3228.24</v>
      </c>
      <c r="J314" s="31">
        <v>139711.81558404976</v>
      </c>
      <c r="K314" s="31">
        <v>257964.46278194519</v>
      </c>
      <c r="L314" s="31">
        <v>123432.80992942845</v>
      </c>
      <c r="M314" s="31">
        <f t="shared" si="20"/>
        <v>2599118.9211104671</v>
      </c>
      <c r="N314" s="31">
        <v>34905.230000000003</v>
      </c>
      <c r="P314" s="42" t="s">
        <v>137</v>
      </c>
      <c r="Q314" s="42" t="s">
        <v>138</v>
      </c>
      <c r="R314" s="43" t="s">
        <v>1050</v>
      </c>
      <c r="S314" s="44">
        <v>32</v>
      </c>
      <c r="T314" s="31">
        <v>2076663.325246227</v>
      </c>
      <c r="U314" s="31">
        <v>50838.810000000012</v>
      </c>
      <c r="V314" s="31">
        <v>0</v>
      </c>
      <c r="W314" s="31">
        <v>3455.75</v>
      </c>
      <c r="X314" s="31">
        <v>145125.85911221674</v>
      </c>
      <c r="Y314" s="31">
        <v>258228.75317501533</v>
      </c>
      <c r="Z314" s="31">
        <v>129780.64093594215</v>
      </c>
      <c r="AA314" s="31">
        <f t="shared" si="21"/>
        <v>2700067.1184694013</v>
      </c>
      <c r="AB314" s="31">
        <v>35973.979999999996</v>
      </c>
      <c r="AD314" s="42" t="s">
        <v>137</v>
      </c>
      <c r="AE314" s="42" t="s">
        <v>138</v>
      </c>
      <c r="AF314" s="43" t="s">
        <v>1275</v>
      </c>
      <c r="AG314" s="44">
        <v>32</v>
      </c>
      <c r="AH314" s="31">
        <v>2116646.1460273731</v>
      </c>
      <c r="AI314" s="31">
        <v>52008.12</v>
      </c>
      <c r="AJ314" s="31">
        <v>0</v>
      </c>
      <c r="AK314" s="31">
        <v>3523.4099999999994</v>
      </c>
      <c r="AL314" s="31">
        <v>147933.14078306482</v>
      </c>
      <c r="AM314" s="31">
        <v>258138.96602075009</v>
      </c>
      <c r="AN314" s="31">
        <v>132299.29962997593</v>
      </c>
      <c r="AO314" s="31">
        <f t="shared" si="22"/>
        <v>2747159.6824611644</v>
      </c>
      <c r="AP314" s="31">
        <v>36610.6</v>
      </c>
      <c r="AR314" s="42" t="s">
        <v>137</v>
      </c>
      <c r="AS314" s="42" t="s">
        <v>138</v>
      </c>
      <c r="AT314" s="43" t="s">
        <v>1276</v>
      </c>
      <c r="AU314" s="44">
        <v>32</v>
      </c>
      <c r="AV314" s="31">
        <v>2156621.3155426974</v>
      </c>
      <c r="AW314" s="31">
        <v>53062.81</v>
      </c>
      <c r="AX314" s="31">
        <v>0</v>
      </c>
      <c r="AY314" s="31">
        <v>3588.0599999999995</v>
      </c>
      <c r="AZ314" s="31">
        <v>150915.99549170295</v>
      </c>
      <c r="BA314" s="31">
        <v>258153.25433066578</v>
      </c>
      <c r="BB314" s="31">
        <v>134976.02207607412</v>
      </c>
      <c r="BC314" s="31">
        <f t="shared" si="23"/>
        <v>2794717.0074411402</v>
      </c>
      <c r="BD314" s="31">
        <v>37399.550000000003</v>
      </c>
    </row>
    <row r="315" spans="2:56">
      <c r="B315" s="42" t="s">
        <v>281</v>
      </c>
      <c r="C315" s="42" t="s">
        <v>282</v>
      </c>
      <c r="D315" s="43" t="s">
        <v>1049</v>
      </c>
      <c r="E315" s="44">
        <v>32</v>
      </c>
      <c r="F315" s="31">
        <v>6339219.7664329167</v>
      </c>
      <c r="G315" s="31">
        <v>429354.52</v>
      </c>
      <c r="H315" s="31">
        <v>68599.89</v>
      </c>
      <c r="I315" s="31">
        <v>21185.25</v>
      </c>
      <c r="J315" s="31">
        <v>948542.57391796773</v>
      </c>
      <c r="K315" s="31">
        <v>460376.82699010579</v>
      </c>
      <c r="L315" s="31">
        <v>518253.9389264402</v>
      </c>
      <c r="M315" s="31">
        <f t="shared" si="20"/>
        <v>9003337.3862674292</v>
      </c>
      <c r="N315" s="31">
        <v>217804.62</v>
      </c>
      <c r="P315" s="42" t="s">
        <v>281</v>
      </c>
      <c r="Q315" s="42" t="s">
        <v>282</v>
      </c>
      <c r="R315" s="43" t="s">
        <v>1050</v>
      </c>
      <c r="S315" s="44">
        <v>32</v>
      </c>
      <c r="T315" s="31">
        <v>6678193.6718137385</v>
      </c>
      <c r="U315" s="31">
        <v>450808.66999999993</v>
      </c>
      <c r="V315" s="31">
        <v>71628.409999999989</v>
      </c>
      <c r="W315" s="31">
        <v>22095.900000000005</v>
      </c>
      <c r="X315" s="31">
        <v>985367.89240744826</v>
      </c>
      <c r="Y315" s="31">
        <v>460636.47493014071</v>
      </c>
      <c r="Z315" s="31">
        <v>544858.54830626736</v>
      </c>
      <c r="AA315" s="31">
        <f t="shared" si="21"/>
        <v>9437910.0474575963</v>
      </c>
      <c r="AB315" s="31">
        <v>224320.47999999998</v>
      </c>
      <c r="AD315" s="42" t="s">
        <v>281</v>
      </c>
      <c r="AE315" s="42" t="s">
        <v>282</v>
      </c>
      <c r="AF315" s="43" t="s">
        <v>1275</v>
      </c>
      <c r="AG315" s="44">
        <v>32</v>
      </c>
      <c r="AH315" s="31">
        <v>6811167.2337040296</v>
      </c>
      <c r="AI315" s="31">
        <v>460375.03999999992</v>
      </c>
      <c r="AJ315" s="31">
        <v>73030.38</v>
      </c>
      <c r="AK315" s="31">
        <v>22635.15</v>
      </c>
      <c r="AL315" s="31">
        <v>1004384.8958683476</v>
      </c>
      <c r="AM315" s="31">
        <v>460548.26495256356</v>
      </c>
      <c r="AN315" s="31">
        <v>555646.64121376374</v>
      </c>
      <c r="AO315" s="31">
        <f t="shared" si="22"/>
        <v>9616182.9657387044</v>
      </c>
      <c r="AP315" s="31">
        <v>228395.36000000002</v>
      </c>
      <c r="AR315" s="42" t="s">
        <v>281</v>
      </c>
      <c r="AS315" s="42" t="s">
        <v>282</v>
      </c>
      <c r="AT315" s="43" t="s">
        <v>1276</v>
      </c>
      <c r="AU315" s="44">
        <v>32</v>
      </c>
      <c r="AV315" s="31">
        <v>6946378.3847362623</v>
      </c>
      <c r="AW315" s="31">
        <v>469527.89000000013</v>
      </c>
      <c r="AX315" s="31">
        <v>74479.210000000006</v>
      </c>
      <c r="AY315" s="31">
        <v>23050.5</v>
      </c>
      <c r="AZ315" s="31">
        <v>1024710.1206995148</v>
      </c>
      <c r="BA315" s="31">
        <v>460562.3022779203</v>
      </c>
      <c r="BB315" s="31">
        <v>567013.97061776707</v>
      </c>
      <c r="BC315" s="31">
        <f t="shared" si="23"/>
        <v>9798799.8583314661</v>
      </c>
      <c r="BD315" s="31">
        <v>233077.48</v>
      </c>
    </row>
    <row r="316" spans="2:56">
      <c r="B316" s="42" t="s">
        <v>161</v>
      </c>
      <c r="C316" s="42" t="s">
        <v>162</v>
      </c>
      <c r="D316" s="43" t="s">
        <v>1049</v>
      </c>
      <c r="E316" s="44">
        <v>32</v>
      </c>
      <c r="F316" s="31">
        <v>2260270.9940265948</v>
      </c>
      <c r="G316" s="31">
        <v>66066.169999999984</v>
      </c>
      <c r="H316" s="31">
        <v>0</v>
      </c>
      <c r="I316" s="31">
        <v>0</v>
      </c>
      <c r="J316" s="31">
        <v>162800.5069257842</v>
      </c>
      <c r="K316" s="31">
        <v>87085.71202076583</v>
      </c>
      <c r="L316" s="31">
        <v>98323.667963401182</v>
      </c>
      <c r="M316" s="31">
        <f t="shared" si="20"/>
        <v>2718883.5009365464</v>
      </c>
      <c r="N316" s="31">
        <v>44336.45</v>
      </c>
      <c r="P316" s="42" t="s">
        <v>161</v>
      </c>
      <c r="Q316" s="42" t="s">
        <v>162</v>
      </c>
      <c r="R316" s="43" t="s">
        <v>1050</v>
      </c>
      <c r="S316" s="44">
        <v>32</v>
      </c>
      <c r="T316" s="31">
        <v>2363341.1692672726</v>
      </c>
      <c r="U316" s="31">
        <v>69522.03</v>
      </c>
      <c r="V316" s="31">
        <v>0</v>
      </c>
      <c r="W316" s="31">
        <v>0</v>
      </c>
      <c r="X316" s="31">
        <v>169131.4453230167</v>
      </c>
      <c r="Y316" s="31">
        <v>87130.304100871988</v>
      </c>
      <c r="Z316" s="31">
        <v>103232.57897507827</v>
      </c>
      <c r="AA316" s="31">
        <f t="shared" si="21"/>
        <v>2837983.5976662389</v>
      </c>
      <c r="AB316" s="31">
        <v>45626.07</v>
      </c>
      <c r="AD316" s="42" t="s">
        <v>161</v>
      </c>
      <c r="AE316" s="42" t="s">
        <v>162</v>
      </c>
      <c r="AF316" s="43" t="s">
        <v>1275</v>
      </c>
      <c r="AG316" s="44">
        <v>32</v>
      </c>
      <c r="AH316" s="31">
        <v>2409616.5322398292</v>
      </c>
      <c r="AI316" s="31">
        <v>71073.78</v>
      </c>
      <c r="AJ316" s="31">
        <v>0</v>
      </c>
      <c r="AK316" s="31">
        <v>0</v>
      </c>
      <c r="AL316" s="31">
        <v>172402.42601796793</v>
      </c>
      <c r="AM316" s="31">
        <v>87115.154870780825</v>
      </c>
      <c r="AN316" s="31">
        <v>105338.74069880575</v>
      </c>
      <c r="AO316" s="31">
        <f t="shared" si="22"/>
        <v>2891976.5638273833</v>
      </c>
      <c r="AP316" s="31">
        <v>46429.93</v>
      </c>
      <c r="AR316" s="42" t="s">
        <v>161</v>
      </c>
      <c r="AS316" s="42" t="s">
        <v>162</v>
      </c>
      <c r="AT316" s="43" t="s">
        <v>1276</v>
      </c>
      <c r="AU316" s="44">
        <v>32</v>
      </c>
      <c r="AV316" s="31">
        <v>2455683.2115727509</v>
      </c>
      <c r="AW316" s="31">
        <v>72465.22</v>
      </c>
      <c r="AX316" s="31">
        <v>0</v>
      </c>
      <c r="AY316" s="31">
        <v>0</v>
      </c>
      <c r="AZ316" s="31">
        <v>175882.55478385484</v>
      </c>
      <c r="BA316" s="31">
        <v>87117.565648762349</v>
      </c>
      <c r="BB316" s="31">
        <v>107419.14251293227</v>
      </c>
      <c r="BC316" s="31">
        <f t="shared" si="23"/>
        <v>2945962.0245183008</v>
      </c>
      <c r="BD316" s="31">
        <v>47394.329999999994</v>
      </c>
    </row>
    <row r="317" spans="2:56">
      <c r="B317" s="42" t="s">
        <v>251</v>
      </c>
      <c r="C317" s="42" t="s">
        <v>252</v>
      </c>
      <c r="D317" s="43" t="s">
        <v>1049</v>
      </c>
      <c r="E317" s="44">
        <v>32</v>
      </c>
      <c r="F317" s="31">
        <v>1920577.6221816805</v>
      </c>
      <c r="G317" s="31">
        <v>34299.85</v>
      </c>
      <c r="H317" s="31">
        <v>0</v>
      </c>
      <c r="I317" s="31">
        <v>0</v>
      </c>
      <c r="J317" s="31">
        <v>58152.173560458454</v>
      </c>
      <c r="K317" s="31">
        <v>47423.275564528092</v>
      </c>
      <c r="L317" s="31">
        <v>23050.984231398241</v>
      </c>
      <c r="M317" s="31">
        <f t="shared" si="20"/>
        <v>2100069.1555380654</v>
      </c>
      <c r="N317" s="31">
        <v>16565.25</v>
      </c>
      <c r="P317" s="42" t="s">
        <v>251</v>
      </c>
      <c r="Q317" s="42" t="s">
        <v>252</v>
      </c>
      <c r="R317" s="43" t="s">
        <v>1050</v>
      </c>
      <c r="S317" s="44">
        <v>32</v>
      </c>
      <c r="T317" s="31">
        <v>1995532.6000415734</v>
      </c>
      <c r="U317" s="31">
        <v>35845.87999999999</v>
      </c>
      <c r="V317" s="31">
        <v>0</v>
      </c>
      <c r="W317" s="31">
        <v>0</v>
      </c>
      <c r="X317" s="31">
        <v>60122.694405913942</v>
      </c>
      <c r="Y317" s="31">
        <v>47472.547058281314</v>
      </c>
      <c r="Z317" s="31">
        <v>24074.612440508343</v>
      </c>
      <c r="AA317" s="31">
        <f t="shared" si="21"/>
        <v>2180020.8239462771</v>
      </c>
      <c r="AB317" s="31">
        <v>16972.490000000002</v>
      </c>
      <c r="AD317" s="42" t="s">
        <v>251</v>
      </c>
      <c r="AE317" s="42" t="s">
        <v>252</v>
      </c>
      <c r="AF317" s="43" t="s">
        <v>1275</v>
      </c>
      <c r="AG317" s="44">
        <v>32</v>
      </c>
      <c r="AH317" s="31">
        <v>2033605.0911427711</v>
      </c>
      <c r="AI317" s="31">
        <v>36580.06</v>
      </c>
      <c r="AJ317" s="31">
        <v>0</v>
      </c>
      <c r="AK317" s="31">
        <v>0</v>
      </c>
      <c r="AL317" s="31">
        <v>61236.386824439149</v>
      </c>
      <c r="AM317" s="31">
        <v>47455.808094904285</v>
      </c>
      <c r="AN317" s="31">
        <v>24538.25233062651</v>
      </c>
      <c r="AO317" s="31">
        <f t="shared" si="22"/>
        <v>2220687.1083927406</v>
      </c>
      <c r="AP317" s="31">
        <v>17271.510000000002</v>
      </c>
      <c r="AR317" s="42" t="s">
        <v>251</v>
      </c>
      <c r="AS317" s="42" t="s">
        <v>252</v>
      </c>
      <c r="AT317" s="43" t="s">
        <v>1276</v>
      </c>
      <c r="AU317" s="44">
        <v>32</v>
      </c>
      <c r="AV317" s="31">
        <v>2070447.9325254504</v>
      </c>
      <c r="AW317" s="31">
        <v>37243.180000000008</v>
      </c>
      <c r="AX317" s="31">
        <v>0</v>
      </c>
      <c r="AY317" s="31">
        <v>0</v>
      </c>
      <c r="AZ317" s="31">
        <v>62364.133391469339</v>
      </c>
      <c r="BA317" s="31">
        <v>47458.471855643285</v>
      </c>
      <c r="BB317" s="31">
        <v>24990.54531882306</v>
      </c>
      <c r="BC317" s="31">
        <f t="shared" si="23"/>
        <v>2260096.0430913856</v>
      </c>
      <c r="BD317" s="31">
        <v>17591.780000000002</v>
      </c>
    </row>
    <row r="318" spans="2:56">
      <c r="B318" s="42" t="s">
        <v>85</v>
      </c>
      <c r="C318" s="42" t="s">
        <v>86</v>
      </c>
      <c r="D318" s="43" t="s">
        <v>1049</v>
      </c>
      <c r="E318" s="44">
        <v>32</v>
      </c>
      <c r="F318" s="31">
        <v>19704009.326226279</v>
      </c>
      <c r="G318" s="31">
        <v>691648.52000000014</v>
      </c>
      <c r="H318" s="31">
        <v>312303.98</v>
      </c>
      <c r="I318" s="31">
        <v>65871.280000000013</v>
      </c>
      <c r="J318" s="31">
        <v>3006235.0527040982</v>
      </c>
      <c r="K318" s="31">
        <v>5702376.3561724639</v>
      </c>
      <c r="L318" s="31">
        <v>767436.93049635959</v>
      </c>
      <c r="M318" s="31">
        <f t="shared" si="20"/>
        <v>30392537.595599204</v>
      </c>
      <c r="N318" s="31">
        <v>142656.15</v>
      </c>
      <c r="P318" s="42" t="s">
        <v>85</v>
      </c>
      <c r="Q318" s="42" t="s">
        <v>86</v>
      </c>
      <c r="R318" s="43" t="s">
        <v>1050</v>
      </c>
      <c r="S318" s="44">
        <v>32</v>
      </c>
      <c r="T318" s="31">
        <v>20561709.214760073</v>
      </c>
      <c r="U318" s="31">
        <v>723730.5</v>
      </c>
      <c r="V318" s="31">
        <v>325915.7</v>
      </c>
      <c r="W318" s="31">
        <v>68805.55</v>
      </c>
      <c r="X318" s="31">
        <v>3123311.0497161252</v>
      </c>
      <c r="Y318" s="31">
        <v>5708161.5845446084</v>
      </c>
      <c r="Z318" s="31">
        <v>798684.80734788126</v>
      </c>
      <c r="AA318" s="31">
        <f t="shared" si="21"/>
        <v>31457180.456368692</v>
      </c>
      <c r="AB318" s="31">
        <v>146862.04999999999</v>
      </c>
      <c r="AD318" s="42" t="s">
        <v>85</v>
      </c>
      <c r="AE318" s="42" t="s">
        <v>86</v>
      </c>
      <c r="AF318" s="43" t="s">
        <v>1275</v>
      </c>
      <c r="AG318" s="44">
        <v>32</v>
      </c>
      <c r="AH318" s="31">
        <v>20971562.981622845</v>
      </c>
      <c r="AI318" s="31">
        <v>738690.33999999985</v>
      </c>
      <c r="AJ318" s="31">
        <v>332497.34000000003</v>
      </c>
      <c r="AK318" s="31">
        <v>70151.47</v>
      </c>
      <c r="AL318" s="31">
        <v>3183520.3387832595</v>
      </c>
      <c r="AM318" s="31">
        <v>5706196.1737467526</v>
      </c>
      <c r="AN318" s="31">
        <v>814669.67489898333</v>
      </c>
      <c r="AO318" s="31">
        <f t="shared" si="22"/>
        <v>31966839.419051841</v>
      </c>
      <c r="AP318" s="31">
        <v>149551.10000000003</v>
      </c>
      <c r="AR318" s="42" t="s">
        <v>85</v>
      </c>
      <c r="AS318" s="42" t="s">
        <v>86</v>
      </c>
      <c r="AT318" s="43" t="s">
        <v>1276</v>
      </c>
      <c r="AU318" s="44">
        <v>32</v>
      </c>
      <c r="AV318" s="31">
        <v>21393808.993253563</v>
      </c>
      <c r="AW318" s="31">
        <v>753402.68</v>
      </c>
      <c r="AX318" s="31">
        <v>339304.4</v>
      </c>
      <c r="AY318" s="31">
        <v>71537.55</v>
      </c>
      <c r="AZ318" s="31">
        <v>3247736.2363744541</v>
      </c>
      <c r="BA318" s="31">
        <v>5706508.9400753127</v>
      </c>
      <c r="BB318" s="31">
        <v>831099.72065214277</v>
      </c>
      <c r="BC318" s="31">
        <f t="shared" si="23"/>
        <v>32496033.120355472</v>
      </c>
      <c r="BD318" s="31">
        <v>152634.59999999998</v>
      </c>
    </row>
    <row r="319" spans="2:56">
      <c r="B319" s="42" t="s">
        <v>1039</v>
      </c>
      <c r="C319" s="42" t="s">
        <v>1045</v>
      </c>
      <c r="D319" s="43" t="s">
        <v>1049</v>
      </c>
      <c r="E319" s="44">
        <v>32</v>
      </c>
      <c r="F319" s="31">
        <v>2039278.1234776743</v>
      </c>
      <c r="G319" s="31">
        <v>0</v>
      </c>
      <c r="H319" s="31">
        <v>0</v>
      </c>
      <c r="I319" s="31">
        <v>0</v>
      </c>
      <c r="J319" s="31">
        <v>144343.61016967293</v>
      </c>
      <c r="K319" s="31">
        <v>0</v>
      </c>
      <c r="L319" s="31">
        <v>0</v>
      </c>
      <c r="M319" s="31">
        <f t="shared" si="20"/>
        <v>2183621.7336473474</v>
      </c>
      <c r="N319" s="31">
        <v>0</v>
      </c>
      <c r="P319" s="42" t="s">
        <v>1039</v>
      </c>
      <c r="Q319" s="42" t="s">
        <v>1045</v>
      </c>
      <c r="R319" s="43" t="s">
        <v>1050</v>
      </c>
      <c r="S319" s="44">
        <v>32</v>
      </c>
      <c r="T319" s="31">
        <v>2118899.7619164209</v>
      </c>
      <c r="U319" s="31">
        <v>0</v>
      </c>
      <c r="V319" s="31">
        <v>0</v>
      </c>
      <c r="W319" s="31">
        <v>0</v>
      </c>
      <c r="X319" s="31">
        <v>149984.3640542246</v>
      </c>
      <c r="Y319" s="31">
        <v>0</v>
      </c>
      <c r="Z319" s="31">
        <v>0</v>
      </c>
      <c r="AA319" s="31">
        <f t="shared" si="21"/>
        <v>2268884.1259706453</v>
      </c>
      <c r="AB319" s="31">
        <v>0</v>
      </c>
      <c r="AD319" s="42" t="s">
        <v>1039</v>
      </c>
      <c r="AE319" s="42" t="s">
        <v>1045</v>
      </c>
      <c r="AF319" s="43" t="s">
        <v>1275</v>
      </c>
      <c r="AG319" s="44">
        <v>32</v>
      </c>
      <c r="AH319" s="31">
        <v>2159829.1577838878</v>
      </c>
      <c r="AI319" s="31">
        <v>0</v>
      </c>
      <c r="AJ319" s="31">
        <v>0</v>
      </c>
      <c r="AK319" s="31">
        <v>0</v>
      </c>
      <c r="AL319" s="31">
        <v>152880.32317063308</v>
      </c>
      <c r="AM319" s="31">
        <v>0</v>
      </c>
      <c r="AN319" s="31">
        <v>0</v>
      </c>
      <c r="AO319" s="31">
        <f t="shared" si="22"/>
        <v>2312709.4809545209</v>
      </c>
      <c r="AP319" s="31">
        <v>0</v>
      </c>
      <c r="AR319" s="42" t="s">
        <v>1039</v>
      </c>
      <c r="AS319" s="42" t="s">
        <v>1045</v>
      </c>
      <c r="AT319" s="43" t="s">
        <v>1276</v>
      </c>
      <c r="AU319" s="44">
        <v>32</v>
      </c>
      <c r="AV319" s="31">
        <v>2200698.1388557106</v>
      </c>
      <c r="AW319" s="31">
        <v>0</v>
      </c>
      <c r="AX319" s="31">
        <v>0</v>
      </c>
      <c r="AY319" s="31">
        <v>0</v>
      </c>
      <c r="AZ319" s="31">
        <v>155971.25228392865</v>
      </c>
      <c r="BA319" s="31">
        <v>0</v>
      </c>
      <c r="BB319" s="31">
        <v>0</v>
      </c>
      <c r="BC319" s="31">
        <f t="shared" si="23"/>
        <v>2356669.3911396391</v>
      </c>
      <c r="BD319" s="31">
        <v>0</v>
      </c>
    </row>
    <row r="320" spans="2:56">
      <c r="B320" s="42" t="s">
        <v>585</v>
      </c>
      <c r="C320" s="42" t="s">
        <v>586</v>
      </c>
      <c r="D320" s="43" t="s">
        <v>1049</v>
      </c>
      <c r="E320" s="44">
        <v>32</v>
      </c>
      <c r="F320" s="31">
        <v>120762643.90729365</v>
      </c>
      <c r="G320" s="31">
        <v>8316542.2000000002</v>
      </c>
      <c r="H320" s="31">
        <v>7147424.2999999989</v>
      </c>
      <c r="I320" s="31">
        <v>438589.74000000005</v>
      </c>
      <c r="J320" s="31">
        <v>18678756.946355462</v>
      </c>
      <c r="K320" s="31">
        <v>3660685.0027060914</v>
      </c>
      <c r="L320" s="31">
        <v>16369644.889343288</v>
      </c>
      <c r="M320" s="31">
        <f t="shared" si="20"/>
        <v>179873899.96569848</v>
      </c>
      <c r="N320" s="31">
        <v>4499612.9799999995</v>
      </c>
      <c r="P320" s="42" t="s">
        <v>585</v>
      </c>
      <c r="Q320" s="42" t="s">
        <v>586</v>
      </c>
      <c r="R320" s="43" t="s">
        <v>1050</v>
      </c>
      <c r="S320" s="44">
        <v>32</v>
      </c>
      <c r="T320" s="31">
        <v>127324038.28919035</v>
      </c>
      <c r="U320" s="31">
        <v>8740677.9999999981</v>
      </c>
      <c r="V320" s="31">
        <v>7458217.9099999992</v>
      </c>
      <c r="W320" s="31">
        <v>457658.08000000007</v>
      </c>
      <c r="X320" s="31">
        <v>19406297.168772876</v>
      </c>
      <c r="Y320" s="31">
        <v>3664142.0557189221</v>
      </c>
      <c r="Z320" s="31">
        <v>17196350.031865444</v>
      </c>
      <c r="AA320" s="31">
        <f t="shared" si="21"/>
        <v>188880174.93554762</v>
      </c>
      <c r="AB320" s="31">
        <v>4632793.4000000004</v>
      </c>
      <c r="AD320" s="42" t="s">
        <v>585</v>
      </c>
      <c r="AE320" s="42" t="s">
        <v>586</v>
      </c>
      <c r="AF320" s="43" t="s">
        <v>1275</v>
      </c>
      <c r="AG320" s="44">
        <v>32</v>
      </c>
      <c r="AH320" s="31">
        <v>129867151.54049493</v>
      </c>
      <c r="AI320" s="31">
        <v>8927315.5500000007</v>
      </c>
      <c r="AJ320" s="31">
        <v>7609887.3899999997</v>
      </c>
      <c r="AK320" s="31">
        <v>466919.94</v>
      </c>
      <c r="AL320" s="31">
        <v>19780504.552510981</v>
      </c>
      <c r="AM320" s="31">
        <v>3662967.5939893057</v>
      </c>
      <c r="AN320" s="31">
        <v>17540551.634407859</v>
      </c>
      <c r="AO320" s="31">
        <f t="shared" si="22"/>
        <v>192573269.48140305</v>
      </c>
      <c r="AP320" s="31">
        <v>4717971.28</v>
      </c>
      <c r="AR320" s="42" t="s">
        <v>585</v>
      </c>
      <c r="AS320" s="42" t="s">
        <v>586</v>
      </c>
      <c r="AT320" s="43" t="s">
        <v>1276</v>
      </c>
      <c r="AU320" s="44">
        <v>32</v>
      </c>
      <c r="AV320" s="31">
        <v>132483461.07864839</v>
      </c>
      <c r="AW320" s="31">
        <v>9104680.379999999</v>
      </c>
      <c r="AX320" s="31">
        <v>7762297.0600000005</v>
      </c>
      <c r="AY320" s="31">
        <v>476286.73000000004</v>
      </c>
      <c r="AZ320" s="31">
        <v>20179504.966886051</v>
      </c>
      <c r="BA320" s="31">
        <v>3663154.4923637356</v>
      </c>
      <c r="BB320" s="31">
        <v>17894600.107953042</v>
      </c>
      <c r="BC320" s="31">
        <f t="shared" si="23"/>
        <v>196377717.68585119</v>
      </c>
      <c r="BD320" s="31">
        <v>4813732.87</v>
      </c>
    </row>
    <row r="321" spans="2:56">
      <c r="B321" s="42" t="s">
        <v>507</v>
      </c>
      <c r="C321" s="42" t="s">
        <v>508</v>
      </c>
      <c r="D321" s="43" t="s">
        <v>1049</v>
      </c>
      <c r="E321" s="44">
        <v>32</v>
      </c>
      <c r="F321" s="31">
        <v>42928363.708672002</v>
      </c>
      <c r="G321" s="31">
        <v>1554893.6799999997</v>
      </c>
      <c r="H321" s="31">
        <v>279758.09000000003</v>
      </c>
      <c r="I321" s="31">
        <v>150354.15000000002</v>
      </c>
      <c r="J321" s="31">
        <v>6923918.7120449366</v>
      </c>
      <c r="K321" s="31">
        <v>4122715.3464736412</v>
      </c>
      <c r="L321" s="31">
        <v>3905525.3188300221</v>
      </c>
      <c r="M321" s="31">
        <f t="shared" si="20"/>
        <v>60015006.146020606</v>
      </c>
      <c r="N321" s="31">
        <v>149477.14000000001</v>
      </c>
      <c r="P321" s="42" t="s">
        <v>507</v>
      </c>
      <c r="Q321" s="42" t="s">
        <v>508</v>
      </c>
      <c r="R321" s="43" t="s">
        <v>1050</v>
      </c>
      <c r="S321" s="44">
        <v>32</v>
      </c>
      <c r="T321" s="31">
        <v>44801642.098432787</v>
      </c>
      <c r="U321" s="31">
        <v>1624571.71</v>
      </c>
      <c r="V321" s="31">
        <v>292018.84999999998</v>
      </c>
      <c r="W321" s="31">
        <v>156937.38000000003</v>
      </c>
      <c r="X321" s="31">
        <v>7193545.2653045785</v>
      </c>
      <c r="Y321" s="31">
        <v>4126356.9816665016</v>
      </c>
      <c r="Z321" s="31">
        <v>4064759.9997904003</v>
      </c>
      <c r="AA321" s="31">
        <f t="shared" si="21"/>
        <v>62413782.835194275</v>
      </c>
      <c r="AB321" s="31">
        <v>153950.54999999996</v>
      </c>
      <c r="AD321" s="42" t="s">
        <v>507</v>
      </c>
      <c r="AE321" s="42" t="s">
        <v>508</v>
      </c>
      <c r="AF321" s="43" t="s">
        <v>1275</v>
      </c>
      <c r="AG321" s="44">
        <v>32</v>
      </c>
      <c r="AH321" s="31">
        <v>45696762.528300919</v>
      </c>
      <c r="AI321" s="31">
        <v>1657889.0399999998</v>
      </c>
      <c r="AJ321" s="31">
        <v>297937.42</v>
      </c>
      <c r="AK321" s="31">
        <v>160110.43</v>
      </c>
      <c r="AL321" s="31">
        <v>7332251.8240083074</v>
      </c>
      <c r="AM321" s="31">
        <v>4125119.8119871924</v>
      </c>
      <c r="AN321" s="31">
        <v>4146005.5823803633</v>
      </c>
      <c r="AO321" s="31">
        <f t="shared" si="22"/>
        <v>63572841.146676779</v>
      </c>
      <c r="AP321" s="31">
        <v>156764.51</v>
      </c>
      <c r="AR321" s="42" t="s">
        <v>507</v>
      </c>
      <c r="AS321" s="42" t="s">
        <v>508</v>
      </c>
      <c r="AT321" s="43" t="s">
        <v>1276</v>
      </c>
      <c r="AU321" s="44">
        <v>32</v>
      </c>
      <c r="AV321" s="31">
        <v>46617061.532741509</v>
      </c>
      <c r="AW321" s="31">
        <v>1691063.9499999997</v>
      </c>
      <c r="AX321" s="31">
        <v>303903.28999999998</v>
      </c>
      <c r="AY321" s="31">
        <v>163244.27000000002</v>
      </c>
      <c r="AZ321" s="31">
        <v>7480137.195636048</v>
      </c>
      <c r="BA321" s="31">
        <v>4125316.6894129324</v>
      </c>
      <c r="BB321" s="31">
        <v>4229824.972188863</v>
      </c>
      <c r="BC321" s="31">
        <f t="shared" si="23"/>
        <v>64770430.169979356</v>
      </c>
      <c r="BD321" s="31">
        <v>159878.26999999999</v>
      </c>
    </row>
    <row r="322" spans="2:56">
      <c r="B322" s="42" t="s">
        <v>603</v>
      </c>
      <c r="C322" s="42" t="s">
        <v>604</v>
      </c>
      <c r="D322" s="43" t="s">
        <v>1049</v>
      </c>
      <c r="E322" s="44">
        <v>32</v>
      </c>
      <c r="F322" s="31">
        <v>10390294.395494634</v>
      </c>
      <c r="G322" s="31">
        <v>452621.50999999995</v>
      </c>
      <c r="H322" s="31">
        <v>212717.47999999998</v>
      </c>
      <c r="I322" s="31">
        <v>0</v>
      </c>
      <c r="J322" s="31">
        <v>1178648.8546684843</v>
      </c>
      <c r="K322" s="31">
        <v>456020.15379510541</v>
      </c>
      <c r="L322" s="31">
        <v>411482.14304740343</v>
      </c>
      <c r="M322" s="31">
        <f t="shared" si="20"/>
        <v>13461932.85700563</v>
      </c>
      <c r="N322" s="31">
        <v>360148.32</v>
      </c>
      <c r="P322" s="42" t="s">
        <v>603</v>
      </c>
      <c r="Q322" s="42" t="s">
        <v>604</v>
      </c>
      <c r="R322" s="43" t="s">
        <v>1050</v>
      </c>
      <c r="S322" s="44">
        <v>32</v>
      </c>
      <c r="T322" s="31">
        <v>10952357.952191001</v>
      </c>
      <c r="U322" s="31">
        <v>477229.2</v>
      </c>
      <c r="V322" s="31">
        <v>221897.89</v>
      </c>
      <c r="W322" s="31">
        <v>0</v>
      </c>
      <c r="X322" s="31">
        <v>1224561.9181736568</v>
      </c>
      <c r="Y322" s="31">
        <v>456348.81247781747</v>
      </c>
      <c r="Z322" s="31">
        <v>432396.51025552792</v>
      </c>
      <c r="AA322" s="31">
        <f t="shared" si="21"/>
        <v>14135591.473098004</v>
      </c>
      <c r="AB322" s="31">
        <v>370799.19</v>
      </c>
      <c r="AD322" s="42" t="s">
        <v>603</v>
      </c>
      <c r="AE322" s="42" t="s">
        <v>604</v>
      </c>
      <c r="AF322" s="43" t="s">
        <v>1275</v>
      </c>
      <c r="AG322" s="44">
        <v>32</v>
      </c>
      <c r="AH322" s="31">
        <v>11171722.688010674</v>
      </c>
      <c r="AI322" s="31">
        <v>487702.21000000014</v>
      </c>
      <c r="AJ322" s="31">
        <v>226444.85</v>
      </c>
      <c r="AK322" s="31">
        <v>0</v>
      </c>
      <c r="AL322" s="31">
        <v>1248173.8559330427</v>
      </c>
      <c r="AM322" s="31">
        <v>456237.1575383303</v>
      </c>
      <c r="AN322" s="31">
        <v>441111.27774022694</v>
      </c>
      <c r="AO322" s="31">
        <f t="shared" si="22"/>
        <v>14409028.879222274</v>
      </c>
      <c r="AP322" s="31">
        <v>377636.84</v>
      </c>
      <c r="AR322" s="42" t="s">
        <v>603</v>
      </c>
      <c r="AS322" s="42" t="s">
        <v>604</v>
      </c>
      <c r="AT322" s="43" t="s">
        <v>1276</v>
      </c>
      <c r="AU322" s="44">
        <v>32</v>
      </c>
      <c r="AV322" s="31">
        <v>11396603.081740398</v>
      </c>
      <c r="AW322" s="31">
        <v>497351.55000000016</v>
      </c>
      <c r="AX322" s="31">
        <v>231000.09999999998</v>
      </c>
      <c r="AY322" s="31">
        <v>0</v>
      </c>
      <c r="AZ322" s="31">
        <v>1273352.4566454035</v>
      </c>
      <c r="BA322" s="31">
        <v>456254.92578582704</v>
      </c>
      <c r="BB322" s="31">
        <v>449989.23416790948</v>
      </c>
      <c r="BC322" s="31">
        <f t="shared" si="23"/>
        <v>14689811.428339537</v>
      </c>
      <c r="BD322" s="31">
        <v>385260.07999999996</v>
      </c>
    </row>
  </sheetData>
  <sortState xmlns:xlrd2="http://schemas.microsoft.com/office/spreadsheetml/2017/richdata2" ref="A5:AZ311">
    <sortCondition ref="B5:B311"/>
  </sortState>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theme="5" tint="0.59999389629810485"/>
  </sheetPr>
  <dimension ref="A1:BF322"/>
  <sheetViews>
    <sheetView workbookViewId="0">
      <pane xSplit="2" ySplit="4" topLeftCell="AQ8"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5.21875" customWidth="1"/>
    <col min="2" max="2" width="7.21875" bestFit="1" customWidth="1"/>
    <col min="3" max="3" width="54.5546875" bestFit="1" customWidth="1"/>
    <col min="4" max="4" width="7.5546875" bestFit="1" customWidth="1"/>
    <col min="5" max="5" width="10.21875" bestFit="1" customWidth="1"/>
    <col min="6" max="7" width="18.21875" customWidth="1"/>
    <col min="8" max="10" width="14.21875" bestFit="1" customWidth="1"/>
    <col min="11" max="11" width="15.21875" bestFit="1" customWidth="1"/>
    <col min="12" max="12" width="16.77734375" bestFit="1" customWidth="1"/>
    <col min="13" max="13" width="15.21875" bestFit="1" customWidth="1"/>
    <col min="14" max="14" width="15.21875" customWidth="1"/>
    <col min="15" max="15" width="8" bestFit="1" customWidth="1"/>
    <col min="16" max="16" width="7.21875" bestFit="1" customWidth="1"/>
    <col min="17" max="17" width="54.5546875" bestFit="1" customWidth="1"/>
    <col min="18" max="18" width="7.5546875" bestFit="1" customWidth="1"/>
    <col min="19" max="19" width="10.21875" bestFit="1" customWidth="1"/>
    <col min="20" max="21" width="18.21875" customWidth="1"/>
    <col min="22" max="24" width="14.21875" bestFit="1" customWidth="1"/>
    <col min="25" max="25" width="15.21875" bestFit="1" customWidth="1"/>
    <col min="26" max="26" width="16.77734375" bestFit="1" customWidth="1"/>
    <col min="27" max="27" width="15.21875" bestFit="1" customWidth="1"/>
    <col min="28" max="28" width="15.21875" customWidth="1"/>
    <col min="29" max="29" width="8" bestFit="1" customWidth="1"/>
    <col min="30" max="30" width="7.21875" bestFit="1" customWidth="1"/>
    <col min="31" max="31" width="54.5546875" bestFit="1" customWidth="1"/>
    <col min="32" max="32" width="7.5546875" bestFit="1" customWidth="1"/>
    <col min="33" max="33" width="10.21875" bestFit="1" customWidth="1"/>
    <col min="34" max="35" width="18.21875" customWidth="1"/>
    <col min="36" max="38" width="14.21875" bestFit="1" customWidth="1"/>
    <col min="39" max="39" width="15.21875" bestFit="1" customWidth="1"/>
    <col min="40" max="40" width="16.77734375" bestFit="1" customWidth="1"/>
    <col min="41" max="41" width="15.21875" bestFit="1" customWidth="1"/>
    <col min="42" max="42" width="15.21875" customWidth="1"/>
    <col min="44" max="44" width="7.21875" bestFit="1" customWidth="1"/>
    <col min="45" max="45" width="54.5546875" bestFit="1" customWidth="1"/>
    <col min="46" max="46" width="7.5546875" bestFit="1" customWidth="1"/>
    <col min="47" max="47" width="10.21875" bestFit="1" customWidth="1"/>
    <col min="48" max="49" width="18.21875" customWidth="1"/>
    <col min="50" max="52" width="14.21875" bestFit="1" customWidth="1"/>
    <col min="53" max="53" width="15.21875" bestFit="1" customWidth="1"/>
    <col min="54" max="54" width="16.77734375" bestFit="1" customWidth="1"/>
    <col min="55" max="55" width="15.21875" bestFit="1" customWidth="1"/>
    <col min="56" max="56" width="15.21875" customWidth="1"/>
  </cols>
  <sheetData>
    <row r="1" spans="1:58" s="27" customFormat="1">
      <c r="A1" s="45"/>
      <c r="B1" s="45">
        <v>1</v>
      </c>
      <c r="C1" s="45">
        <f>B1+1</f>
        <v>2</v>
      </c>
      <c r="D1" s="45">
        <f>C1+1</f>
        <v>3</v>
      </c>
      <c r="E1" s="45">
        <f t="shared" ref="E1:N1" si="0">D1+1</f>
        <v>4</v>
      </c>
      <c r="F1" s="45">
        <f t="shared" si="0"/>
        <v>5</v>
      </c>
      <c r="G1" s="45">
        <f t="shared" si="0"/>
        <v>6</v>
      </c>
      <c r="H1" s="45">
        <f t="shared" si="0"/>
        <v>7</v>
      </c>
      <c r="I1" s="45">
        <f t="shared" si="0"/>
        <v>8</v>
      </c>
      <c r="J1" s="45">
        <f t="shared" si="0"/>
        <v>9</v>
      </c>
      <c r="K1" s="45">
        <f t="shared" si="0"/>
        <v>10</v>
      </c>
      <c r="L1" s="45">
        <f t="shared" si="0"/>
        <v>11</v>
      </c>
      <c r="M1" s="45">
        <f t="shared" si="0"/>
        <v>12</v>
      </c>
      <c r="N1" s="45">
        <f t="shared" si="0"/>
        <v>13</v>
      </c>
      <c r="O1" s="45"/>
      <c r="P1" s="45">
        <v>1</v>
      </c>
      <c r="Q1" s="45">
        <f>P1+1</f>
        <v>2</v>
      </c>
      <c r="R1" s="45">
        <f t="shared" ref="R1:AB1" si="1">Q1+1</f>
        <v>3</v>
      </c>
      <c r="S1" s="45">
        <f t="shared" si="1"/>
        <v>4</v>
      </c>
      <c r="T1" s="45">
        <f t="shared" si="1"/>
        <v>5</v>
      </c>
      <c r="U1" s="45">
        <f t="shared" si="1"/>
        <v>6</v>
      </c>
      <c r="V1" s="45">
        <f t="shared" si="1"/>
        <v>7</v>
      </c>
      <c r="W1" s="45">
        <f t="shared" si="1"/>
        <v>8</v>
      </c>
      <c r="X1" s="45">
        <f t="shared" si="1"/>
        <v>9</v>
      </c>
      <c r="Y1" s="45">
        <f t="shared" si="1"/>
        <v>10</v>
      </c>
      <c r="Z1" s="45">
        <f t="shared" si="1"/>
        <v>11</v>
      </c>
      <c r="AA1" s="45">
        <f t="shared" si="1"/>
        <v>12</v>
      </c>
      <c r="AB1" s="45">
        <f t="shared" si="1"/>
        <v>13</v>
      </c>
      <c r="AC1" s="45"/>
      <c r="AD1" s="45">
        <v>1</v>
      </c>
      <c r="AE1" s="45">
        <f>AD1+1</f>
        <v>2</v>
      </c>
      <c r="AF1" s="45">
        <f t="shared" ref="AF1:AP1" si="2">AE1+1</f>
        <v>3</v>
      </c>
      <c r="AG1" s="45">
        <f t="shared" si="2"/>
        <v>4</v>
      </c>
      <c r="AH1" s="45">
        <f t="shared" si="2"/>
        <v>5</v>
      </c>
      <c r="AI1" s="45">
        <f t="shared" si="2"/>
        <v>6</v>
      </c>
      <c r="AJ1" s="45">
        <f t="shared" si="2"/>
        <v>7</v>
      </c>
      <c r="AK1" s="45">
        <f t="shared" si="2"/>
        <v>8</v>
      </c>
      <c r="AL1" s="45">
        <f t="shared" si="2"/>
        <v>9</v>
      </c>
      <c r="AM1" s="45">
        <f t="shared" si="2"/>
        <v>10</v>
      </c>
      <c r="AN1" s="45">
        <f t="shared" si="2"/>
        <v>11</v>
      </c>
      <c r="AO1" s="45">
        <f t="shared" si="2"/>
        <v>12</v>
      </c>
      <c r="AP1" s="45">
        <f t="shared" si="2"/>
        <v>13</v>
      </c>
      <c r="AR1" s="45">
        <v>1</v>
      </c>
      <c r="AS1" s="45">
        <f>AR1+1</f>
        <v>2</v>
      </c>
      <c r="AT1" s="45">
        <f t="shared" ref="AT1:BD1" si="3">AS1+1</f>
        <v>3</v>
      </c>
      <c r="AU1" s="45">
        <f t="shared" si="3"/>
        <v>4</v>
      </c>
      <c r="AV1" s="45">
        <f t="shared" si="3"/>
        <v>5</v>
      </c>
      <c r="AW1" s="45">
        <f t="shared" si="3"/>
        <v>6</v>
      </c>
      <c r="AX1" s="45">
        <f t="shared" si="3"/>
        <v>7</v>
      </c>
      <c r="AY1" s="45">
        <f t="shared" si="3"/>
        <v>8</v>
      </c>
      <c r="AZ1" s="45">
        <f t="shared" si="3"/>
        <v>9</v>
      </c>
      <c r="BA1" s="45">
        <f t="shared" si="3"/>
        <v>10</v>
      </c>
      <c r="BB1" s="45">
        <f t="shared" si="3"/>
        <v>11</v>
      </c>
      <c r="BC1" s="45">
        <f t="shared" si="3"/>
        <v>12</v>
      </c>
      <c r="BD1" s="45">
        <f t="shared" si="3"/>
        <v>13</v>
      </c>
      <c r="BE1" s="45"/>
      <c r="BF1" s="45"/>
    </row>
    <row r="2" spans="1:58">
      <c r="B2" s="35"/>
      <c r="C2" s="35"/>
      <c r="D2" s="36"/>
      <c r="E2" s="36"/>
      <c r="K2" s="77"/>
      <c r="L2" s="77"/>
      <c r="M2" s="77"/>
      <c r="N2" s="77"/>
      <c r="P2" s="35"/>
      <c r="Q2" s="35"/>
      <c r="R2" s="36"/>
      <c r="S2" s="36"/>
      <c r="Y2" s="77"/>
      <c r="Z2" s="77"/>
      <c r="AA2" s="77"/>
      <c r="AB2" s="77"/>
      <c r="AD2" s="35"/>
      <c r="AE2" s="35"/>
      <c r="AF2" s="36"/>
      <c r="AG2" s="36"/>
      <c r="AM2" s="77"/>
      <c r="AN2" s="77"/>
      <c r="AO2" s="77"/>
      <c r="AP2" s="77"/>
      <c r="AR2" s="35"/>
      <c r="AS2" s="35"/>
      <c r="AT2" s="36"/>
      <c r="AU2" s="36"/>
      <c r="BA2" s="77"/>
      <c r="BB2" s="77"/>
      <c r="BC2" s="77"/>
      <c r="BD2" s="77"/>
    </row>
    <row r="3" spans="1:58" ht="28.2" thickBot="1">
      <c r="B3" s="32" t="s">
        <v>623</v>
      </c>
      <c r="C3" s="32" t="s">
        <v>911</v>
      </c>
      <c r="D3" s="33" t="s">
        <v>916</v>
      </c>
      <c r="E3" s="33" t="s">
        <v>917</v>
      </c>
      <c r="F3" s="34" t="s">
        <v>971</v>
      </c>
      <c r="G3" s="34" t="s">
        <v>628</v>
      </c>
      <c r="H3" s="34" t="s">
        <v>918</v>
      </c>
      <c r="I3" s="34" t="s">
        <v>626</v>
      </c>
      <c r="J3" s="34" t="s">
        <v>919</v>
      </c>
      <c r="K3" s="34" t="s">
        <v>920</v>
      </c>
      <c r="L3" s="34" t="s">
        <v>1048</v>
      </c>
      <c r="M3" s="34" t="s">
        <v>629</v>
      </c>
      <c r="N3" s="34" t="s">
        <v>1055</v>
      </c>
      <c r="P3" s="32" t="s">
        <v>623</v>
      </c>
      <c r="Q3" s="32" t="s">
        <v>911</v>
      </c>
      <c r="R3" s="33" t="s">
        <v>916</v>
      </c>
      <c r="S3" s="33" t="s">
        <v>917</v>
      </c>
      <c r="T3" s="34" t="s">
        <v>971</v>
      </c>
      <c r="U3" s="34" t="s">
        <v>628</v>
      </c>
      <c r="V3" s="34" t="s">
        <v>918</v>
      </c>
      <c r="W3" s="34" t="s">
        <v>626</v>
      </c>
      <c r="X3" s="34" t="s">
        <v>919</v>
      </c>
      <c r="Y3" s="34" t="s">
        <v>920</v>
      </c>
      <c r="Z3" s="34" t="s">
        <v>1048</v>
      </c>
      <c r="AA3" s="34" t="s">
        <v>629</v>
      </c>
      <c r="AB3" s="34" t="s">
        <v>1055</v>
      </c>
      <c r="AD3" s="32" t="s">
        <v>623</v>
      </c>
      <c r="AE3" s="32" t="s">
        <v>911</v>
      </c>
      <c r="AF3" s="33" t="s">
        <v>916</v>
      </c>
      <c r="AG3" s="33" t="s">
        <v>917</v>
      </c>
      <c r="AH3" s="34" t="s">
        <v>971</v>
      </c>
      <c r="AI3" s="34" t="s">
        <v>628</v>
      </c>
      <c r="AJ3" s="34" t="s">
        <v>918</v>
      </c>
      <c r="AK3" s="34" t="s">
        <v>626</v>
      </c>
      <c r="AL3" s="34" t="s">
        <v>919</v>
      </c>
      <c r="AM3" s="34" t="s">
        <v>920</v>
      </c>
      <c r="AN3" s="34" t="s">
        <v>1048</v>
      </c>
      <c r="AO3" s="34" t="s">
        <v>629</v>
      </c>
      <c r="AP3" s="34" t="s">
        <v>1055</v>
      </c>
      <c r="AR3" s="32" t="s">
        <v>623</v>
      </c>
      <c r="AS3" s="32" t="s">
        <v>911</v>
      </c>
      <c r="AT3" s="33" t="s">
        <v>916</v>
      </c>
      <c r="AU3" s="33" t="s">
        <v>917</v>
      </c>
      <c r="AV3" s="34" t="s">
        <v>971</v>
      </c>
      <c r="AW3" s="34" t="s">
        <v>628</v>
      </c>
      <c r="AX3" s="34" t="s">
        <v>918</v>
      </c>
      <c r="AY3" s="34" t="s">
        <v>626</v>
      </c>
      <c r="AZ3" s="34" t="s">
        <v>919</v>
      </c>
      <c r="BA3" s="34" t="s">
        <v>920</v>
      </c>
      <c r="BB3" s="34" t="s">
        <v>1048</v>
      </c>
      <c r="BC3" s="34" t="s">
        <v>629</v>
      </c>
      <c r="BD3" s="34" t="s">
        <v>1055</v>
      </c>
    </row>
    <row r="4" spans="1:58">
      <c r="B4" s="37" t="s">
        <v>627</v>
      </c>
      <c r="C4" s="38" t="s">
        <v>871</v>
      </c>
      <c r="D4" s="39" t="s">
        <v>1049</v>
      </c>
      <c r="E4" s="40">
        <v>34</v>
      </c>
      <c r="F4" s="41">
        <v>9230761835.2088699</v>
      </c>
      <c r="G4" s="41">
        <v>326698166.14000022</v>
      </c>
      <c r="H4" s="41">
        <v>216662589.81000006</v>
      </c>
      <c r="I4" s="41">
        <v>28451620.379999999</v>
      </c>
      <c r="J4" s="41">
        <v>1335776939.3022685</v>
      </c>
      <c r="K4" s="41">
        <v>590218986.73336327</v>
      </c>
      <c r="L4" s="41">
        <v>728398828.01556575</v>
      </c>
      <c r="M4" s="41">
        <f>SUM(M5:M318)</f>
        <v>12336247421.177702</v>
      </c>
      <c r="N4" s="41">
        <v>134812916.28999996</v>
      </c>
      <c r="P4" s="37" t="s">
        <v>627</v>
      </c>
      <c r="Q4" s="38" t="s">
        <v>871</v>
      </c>
      <c r="R4" s="39" t="s">
        <v>1050</v>
      </c>
      <c r="S4" s="40">
        <v>34</v>
      </c>
      <c r="T4" s="41">
        <v>9896910976.1920624</v>
      </c>
      <c r="U4" s="41">
        <v>350880089.12000012</v>
      </c>
      <c r="V4" s="41">
        <v>231265374.20999989</v>
      </c>
      <c r="W4" s="41">
        <v>30362390.510000017</v>
      </c>
      <c r="X4" s="41">
        <v>1419025473.9388125</v>
      </c>
      <c r="Y4" s="41">
        <v>591512069.31925452</v>
      </c>
      <c r="Z4" s="41">
        <v>778896210.96860182</v>
      </c>
      <c r="AA4" s="41">
        <f>SUM(AA5:AA318)</f>
        <v>13166428540.543722</v>
      </c>
      <c r="AB4" s="41">
        <v>141799592.97</v>
      </c>
      <c r="AD4" s="37" t="s">
        <v>627</v>
      </c>
      <c r="AE4" s="38" t="s">
        <v>871</v>
      </c>
      <c r="AF4" s="39" t="s">
        <v>1275</v>
      </c>
      <c r="AG4" s="40">
        <v>34</v>
      </c>
      <c r="AH4" s="41">
        <v>10085198364.383263</v>
      </c>
      <c r="AI4" s="41">
        <v>357284851.63000023</v>
      </c>
      <c r="AJ4" s="41">
        <v>235517622.14000002</v>
      </c>
      <c r="AK4" s="41">
        <v>30919742.060000014</v>
      </c>
      <c r="AL4" s="41">
        <v>1445223728.8818436</v>
      </c>
      <c r="AM4" s="41">
        <v>590514102.67718017</v>
      </c>
      <c r="AN4" s="41">
        <v>793289934.55349457</v>
      </c>
      <c r="AO4" s="41">
        <f>SUM(AO5:AO318)</f>
        <v>13403240070.431826</v>
      </c>
      <c r="AP4" s="41">
        <v>144429014.17000005</v>
      </c>
      <c r="AR4" s="37" t="s">
        <v>627</v>
      </c>
      <c r="AS4" s="38" t="s">
        <v>871</v>
      </c>
      <c r="AT4" s="39" t="s">
        <v>1276</v>
      </c>
      <c r="AU4" s="40">
        <v>34</v>
      </c>
      <c r="AV4" s="41">
        <v>10296123604.614382</v>
      </c>
      <c r="AW4" s="41">
        <v>364490892.49000001</v>
      </c>
      <c r="AX4" s="41">
        <v>240299718.95000008</v>
      </c>
      <c r="AY4" s="41">
        <v>31548496.100000005</v>
      </c>
      <c r="AZ4" s="41">
        <v>1474684726.7618454</v>
      </c>
      <c r="BA4" s="41">
        <v>590542616.00981128</v>
      </c>
      <c r="BB4" s="41">
        <v>809476255.53488588</v>
      </c>
      <c r="BC4" s="41">
        <f>SUM(BC5:BC318)</f>
        <v>13669879847.046394</v>
      </c>
      <c r="BD4" s="41">
        <v>147386283.73999998</v>
      </c>
    </row>
    <row r="5" spans="1:58">
      <c r="B5" s="42" t="s">
        <v>141</v>
      </c>
      <c r="C5" s="42" t="s">
        <v>142</v>
      </c>
      <c r="D5" s="43" t="s">
        <v>1049</v>
      </c>
      <c r="E5" s="44">
        <v>34</v>
      </c>
      <c r="F5" s="31">
        <v>24093043.616767928</v>
      </c>
      <c r="G5" s="31">
        <v>1407852.5799999996</v>
      </c>
      <c r="H5" s="31">
        <v>637372.91</v>
      </c>
      <c r="I5" s="31">
        <v>87406.13</v>
      </c>
      <c r="J5" s="31">
        <v>4058166.9319256772</v>
      </c>
      <c r="K5" s="31">
        <v>1174309.784083107</v>
      </c>
      <c r="L5" s="31">
        <v>3097255.8582306374</v>
      </c>
      <c r="M5" s="31">
        <f t="shared" ref="M5:M68" si="4">SUM(F5:L5,N5)</f>
        <v>35450321.851007342</v>
      </c>
      <c r="N5" s="31">
        <v>894914.04</v>
      </c>
      <c r="P5" s="42" t="s">
        <v>141</v>
      </c>
      <c r="Q5" s="42" t="s">
        <v>142</v>
      </c>
      <c r="R5" s="43" t="s">
        <v>1050</v>
      </c>
      <c r="S5" s="44">
        <v>34</v>
      </c>
      <c r="T5" s="31">
        <v>26043358.790764503</v>
      </c>
      <c r="U5" s="31">
        <v>1521444.9799999997</v>
      </c>
      <c r="V5" s="31">
        <v>682168.57</v>
      </c>
      <c r="W5" s="31">
        <v>93494.659999999974</v>
      </c>
      <c r="X5" s="31">
        <v>4320042.2275578557</v>
      </c>
      <c r="Y5" s="31">
        <v>1176568.0563801352</v>
      </c>
      <c r="Z5" s="31">
        <v>3335364.08864237</v>
      </c>
      <c r="AA5" s="31">
        <f t="shared" ref="AA5:AA68" si="5">SUM(T5:Z5,AB5)</f>
        <v>38115166.913344868</v>
      </c>
      <c r="AB5" s="31">
        <v>942725.5399999998</v>
      </c>
      <c r="AD5" s="42" t="s">
        <v>141</v>
      </c>
      <c r="AE5" s="42" t="s">
        <v>142</v>
      </c>
      <c r="AF5" s="43" t="s">
        <v>1275</v>
      </c>
      <c r="AG5" s="44">
        <v>34</v>
      </c>
      <c r="AH5" s="31">
        <v>26533747.872254927</v>
      </c>
      <c r="AI5" s="31">
        <v>1548920.1099999999</v>
      </c>
      <c r="AJ5" s="31">
        <v>694589.96</v>
      </c>
      <c r="AK5" s="31">
        <v>95230.290000000008</v>
      </c>
      <c r="AL5" s="31">
        <v>4399198.9830830805</v>
      </c>
      <c r="AM5" s="31">
        <v>1174852.3785043354</v>
      </c>
      <c r="AN5" s="31">
        <v>3396631.8100901814</v>
      </c>
      <c r="AO5" s="31">
        <f t="shared" ref="AO5:AO68" si="6">SUM(AH5:AN5,AP5)</f>
        <v>38803284.593932524</v>
      </c>
      <c r="AP5" s="31">
        <v>960113.19</v>
      </c>
      <c r="AR5" s="42" t="s">
        <v>141</v>
      </c>
      <c r="AS5" s="42" t="s">
        <v>142</v>
      </c>
      <c r="AT5" s="43" t="s">
        <v>1276</v>
      </c>
      <c r="AU5" s="44">
        <v>34</v>
      </c>
      <c r="AV5" s="31">
        <v>27083882.143758722</v>
      </c>
      <c r="AW5" s="31">
        <v>1579825.23</v>
      </c>
      <c r="AX5" s="31">
        <v>708412.72</v>
      </c>
      <c r="AY5" s="31">
        <v>97085.55</v>
      </c>
      <c r="AZ5" s="31">
        <v>4488265.0426025232</v>
      </c>
      <c r="BA5" s="31">
        <v>1174901.3978722154</v>
      </c>
      <c r="BB5" s="31">
        <v>3465548.4502943191</v>
      </c>
      <c r="BC5" s="31">
        <f t="shared" ref="BC5:BC68" si="7">SUM(AV5:BB5,BD5)</f>
        <v>39577584.324527778</v>
      </c>
      <c r="BD5" s="31">
        <v>979663.79</v>
      </c>
    </row>
    <row r="6" spans="1:58">
      <c r="B6" s="42" t="s">
        <v>279</v>
      </c>
      <c r="C6" s="42" t="s">
        <v>280</v>
      </c>
      <c r="D6" s="43" t="s">
        <v>1049</v>
      </c>
      <c r="E6" s="44">
        <v>34</v>
      </c>
      <c r="F6" s="31">
        <v>5272220.1589501528</v>
      </c>
      <c r="G6" s="31">
        <v>106430.69999999998</v>
      </c>
      <c r="H6" s="31">
        <v>0</v>
      </c>
      <c r="I6" s="31">
        <v>17856.14</v>
      </c>
      <c r="J6" s="31">
        <v>679387.56522808468</v>
      </c>
      <c r="K6" s="31">
        <v>350110.06392341462</v>
      </c>
      <c r="L6" s="31">
        <v>463065.29464732751</v>
      </c>
      <c r="M6" s="31">
        <f t="shared" si="4"/>
        <v>6889069.9227489801</v>
      </c>
      <c r="N6" s="31">
        <v>0</v>
      </c>
      <c r="P6" s="42" t="s">
        <v>279</v>
      </c>
      <c r="Q6" s="42" t="s">
        <v>280</v>
      </c>
      <c r="R6" s="43" t="s">
        <v>1050</v>
      </c>
      <c r="S6" s="44">
        <v>34</v>
      </c>
      <c r="T6" s="31">
        <v>5631891.8263874417</v>
      </c>
      <c r="U6" s="31">
        <v>113847.48</v>
      </c>
      <c r="V6" s="31">
        <v>0</v>
      </c>
      <c r="W6" s="31">
        <v>19117.800000000003</v>
      </c>
      <c r="X6" s="31">
        <v>723196.93225686473</v>
      </c>
      <c r="Y6" s="31">
        <v>351110.80267680075</v>
      </c>
      <c r="Z6" s="31">
        <v>494124.10142567288</v>
      </c>
      <c r="AA6" s="31">
        <f t="shared" si="5"/>
        <v>7333288.9427467799</v>
      </c>
      <c r="AB6" s="31">
        <v>0</v>
      </c>
      <c r="AD6" s="42" t="s">
        <v>279</v>
      </c>
      <c r="AE6" s="42" t="s">
        <v>280</v>
      </c>
      <c r="AF6" s="43" t="s">
        <v>1275</v>
      </c>
      <c r="AG6" s="44">
        <v>34</v>
      </c>
      <c r="AH6" s="31">
        <v>5735044.2907519098</v>
      </c>
      <c r="AI6" s="31">
        <v>115951.20999999999</v>
      </c>
      <c r="AJ6" s="31">
        <v>0</v>
      </c>
      <c r="AK6" s="31">
        <v>19452.72</v>
      </c>
      <c r="AL6" s="31">
        <v>736498.3651104006</v>
      </c>
      <c r="AM6" s="31">
        <v>350350.51112963009</v>
      </c>
      <c r="AN6" s="31">
        <v>503127.41023555794</v>
      </c>
      <c r="AO6" s="31">
        <f t="shared" si="6"/>
        <v>7460424.5072274981</v>
      </c>
      <c r="AP6" s="31">
        <v>0</v>
      </c>
      <c r="AR6" s="42" t="s">
        <v>279</v>
      </c>
      <c r="AS6" s="42" t="s">
        <v>280</v>
      </c>
      <c r="AT6" s="43" t="s">
        <v>1276</v>
      </c>
      <c r="AU6" s="44">
        <v>34</v>
      </c>
      <c r="AV6" s="31">
        <v>5850467.1923451433</v>
      </c>
      <c r="AW6" s="31">
        <v>118311.87</v>
      </c>
      <c r="AX6" s="31">
        <v>0</v>
      </c>
      <c r="AY6" s="31">
        <v>19922.690000000002</v>
      </c>
      <c r="AZ6" s="31">
        <v>751439.92770270281</v>
      </c>
      <c r="BA6" s="31">
        <v>350372.23374526348</v>
      </c>
      <c r="BB6" s="31">
        <v>513305.59471537883</v>
      </c>
      <c r="BC6" s="31">
        <f t="shared" si="7"/>
        <v>7603819.5085084895</v>
      </c>
      <c r="BD6" s="31">
        <v>0</v>
      </c>
    </row>
    <row r="7" spans="1:58">
      <c r="B7" s="42" t="s">
        <v>301</v>
      </c>
      <c r="C7" s="42" t="s">
        <v>302</v>
      </c>
      <c r="D7" s="43" t="s">
        <v>1049</v>
      </c>
      <c r="E7" s="44">
        <v>34</v>
      </c>
      <c r="F7" s="31">
        <v>2075727.5904541076</v>
      </c>
      <c r="G7" s="31">
        <v>23303.780000000002</v>
      </c>
      <c r="H7" s="31">
        <v>0</v>
      </c>
      <c r="I7" s="31">
        <v>0</v>
      </c>
      <c r="J7" s="31">
        <v>82898.691177076049</v>
      </c>
      <c r="K7" s="31">
        <v>178371.18282314594</v>
      </c>
      <c r="L7" s="31">
        <v>30424.361647055375</v>
      </c>
      <c r="M7" s="31">
        <f t="shared" si="4"/>
        <v>2390725.6061013849</v>
      </c>
      <c r="N7" s="31">
        <v>0</v>
      </c>
      <c r="P7" s="42" t="s">
        <v>301</v>
      </c>
      <c r="Q7" s="42" t="s">
        <v>302</v>
      </c>
      <c r="R7" s="43" t="s">
        <v>1050</v>
      </c>
      <c r="S7" s="44">
        <v>34</v>
      </c>
      <c r="T7" s="31">
        <v>2202438.5638091033</v>
      </c>
      <c r="U7" s="31">
        <v>24810.16</v>
      </c>
      <c r="V7" s="31">
        <v>0</v>
      </c>
      <c r="W7" s="31">
        <v>0</v>
      </c>
      <c r="X7" s="31">
        <v>87808.498768428515</v>
      </c>
      <c r="Y7" s="31">
        <v>178710.03051266167</v>
      </c>
      <c r="Z7" s="31">
        <v>32291.255966221092</v>
      </c>
      <c r="AA7" s="31">
        <f t="shared" si="5"/>
        <v>2526058.5090564145</v>
      </c>
      <c r="AB7" s="31">
        <v>0</v>
      </c>
      <c r="AD7" s="42" t="s">
        <v>301</v>
      </c>
      <c r="AE7" s="42" t="s">
        <v>302</v>
      </c>
      <c r="AF7" s="43" t="s">
        <v>1275</v>
      </c>
      <c r="AG7" s="44">
        <v>34</v>
      </c>
      <c r="AH7" s="31">
        <v>2240724.5111396136</v>
      </c>
      <c r="AI7" s="31">
        <v>25244.799999999999</v>
      </c>
      <c r="AJ7" s="31">
        <v>0</v>
      </c>
      <c r="AK7" s="31">
        <v>0</v>
      </c>
      <c r="AL7" s="31">
        <v>89354.250513487437</v>
      </c>
      <c r="AM7" s="31">
        <v>178452.59765793767</v>
      </c>
      <c r="AN7" s="31">
        <v>32860.947282897512</v>
      </c>
      <c r="AO7" s="31">
        <f t="shared" si="6"/>
        <v>2566637.1065939358</v>
      </c>
      <c r="AP7" s="31">
        <v>0</v>
      </c>
      <c r="AR7" s="42" t="s">
        <v>301</v>
      </c>
      <c r="AS7" s="42" t="s">
        <v>302</v>
      </c>
      <c r="AT7" s="43" t="s">
        <v>1276</v>
      </c>
      <c r="AU7" s="44">
        <v>34</v>
      </c>
      <c r="AV7" s="31">
        <v>2281732.3751676809</v>
      </c>
      <c r="AW7" s="31">
        <v>25710.29</v>
      </c>
      <c r="AX7" s="31">
        <v>0</v>
      </c>
      <c r="AY7" s="31">
        <v>0</v>
      </c>
      <c r="AZ7" s="31">
        <v>91009.737785035555</v>
      </c>
      <c r="BA7" s="31">
        <v>178459.95288235837</v>
      </c>
      <c r="BB7" s="31">
        <v>33471.067665457951</v>
      </c>
      <c r="BC7" s="31">
        <f t="shared" si="7"/>
        <v>2610383.4235005328</v>
      </c>
      <c r="BD7" s="31">
        <v>0</v>
      </c>
    </row>
    <row r="8" spans="1:58">
      <c r="B8" s="42" t="s">
        <v>407</v>
      </c>
      <c r="C8" s="42" t="s">
        <v>408</v>
      </c>
      <c r="D8" s="43" t="s">
        <v>1049</v>
      </c>
      <c r="E8" s="44">
        <v>34</v>
      </c>
      <c r="F8" s="31">
        <v>22427530.43284009</v>
      </c>
      <c r="G8" s="31">
        <v>501412.21</v>
      </c>
      <c r="H8" s="31">
        <v>90195.99000000002</v>
      </c>
      <c r="I8" s="31">
        <v>77911.25</v>
      </c>
      <c r="J8" s="31">
        <v>3030597.5501745851</v>
      </c>
      <c r="K8" s="31">
        <v>1043096.536471059</v>
      </c>
      <c r="L8" s="31">
        <v>1145673.3317024559</v>
      </c>
      <c r="M8" s="31">
        <f t="shared" si="4"/>
        <v>28334413.401188191</v>
      </c>
      <c r="N8" s="31">
        <v>17996.100000000002</v>
      </c>
      <c r="P8" s="42" t="s">
        <v>407</v>
      </c>
      <c r="Q8" s="42" t="s">
        <v>408</v>
      </c>
      <c r="R8" s="43" t="s">
        <v>1050</v>
      </c>
      <c r="S8" s="44">
        <v>34</v>
      </c>
      <c r="T8" s="31">
        <v>23987405.24174162</v>
      </c>
      <c r="U8" s="31">
        <v>536379.84000000008</v>
      </c>
      <c r="V8" s="31">
        <v>96441.340000000011</v>
      </c>
      <c r="W8" s="31">
        <v>83253.759999999995</v>
      </c>
      <c r="X8" s="31">
        <v>3225450.6413698592</v>
      </c>
      <c r="Y8" s="31">
        <v>1045013.1358518916</v>
      </c>
      <c r="Z8" s="31">
        <v>1221744.1424718073</v>
      </c>
      <c r="AA8" s="31">
        <f t="shared" si="5"/>
        <v>30214677.331435181</v>
      </c>
      <c r="AB8" s="31">
        <v>18989.23</v>
      </c>
      <c r="AD8" s="42" t="s">
        <v>407</v>
      </c>
      <c r="AE8" s="42" t="s">
        <v>408</v>
      </c>
      <c r="AF8" s="43" t="s">
        <v>1275</v>
      </c>
      <c r="AG8" s="44">
        <v>34</v>
      </c>
      <c r="AH8" s="31">
        <v>24443416.063526213</v>
      </c>
      <c r="AI8" s="31">
        <v>546320.22</v>
      </c>
      <c r="AJ8" s="31">
        <v>98262.140000000029</v>
      </c>
      <c r="AK8" s="31">
        <v>84841.53</v>
      </c>
      <c r="AL8" s="31">
        <v>3285138.5099167712</v>
      </c>
      <c r="AM8" s="31">
        <v>1043526.1522712871</v>
      </c>
      <c r="AN8" s="31">
        <v>1244166.8900023648</v>
      </c>
      <c r="AO8" s="31">
        <f t="shared" si="6"/>
        <v>30765000.405716635</v>
      </c>
      <c r="AP8" s="31">
        <v>19328.900000000005</v>
      </c>
      <c r="AR8" s="42" t="s">
        <v>407</v>
      </c>
      <c r="AS8" s="42" t="s">
        <v>408</v>
      </c>
      <c r="AT8" s="43" t="s">
        <v>1276</v>
      </c>
      <c r="AU8" s="44">
        <v>34</v>
      </c>
      <c r="AV8" s="31">
        <v>24954354.036038116</v>
      </c>
      <c r="AW8" s="31">
        <v>557426.1</v>
      </c>
      <c r="AX8" s="31">
        <v>100208.27</v>
      </c>
      <c r="AY8" s="31">
        <v>86538.099999999991</v>
      </c>
      <c r="AZ8" s="31">
        <v>3352252.4271114357</v>
      </c>
      <c r="BA8" s="31">
        <v>1043568.6375164471</v>
      </c>
      <c r="BB8" s="31">
        <v>1269714.5377850991</v>
      </c>
      <c r="BC8" s="31">
        <f t="shared" si="7"/>
        <v>31383754.7784511</v>
      </c>
      <c r="BD8" s="31">
        <v>19692.670000000002</v>
      </c>
    </row>
    <row r="9" spans="1:58">
      <c r="B9" s="42" t="s">
        <v>431</v>
      </c>
      <c r="C9" s="42" t="s">
        <v>432</v>
      </c>
      <c r="D9" s="43" t="s">
        <v>1049</v>
      </c>
      <c r="E9" s="44">
        <v>34</v>
      </c>
      <c r="F9" s="31">
        <v>47764717.996696949</v>
      </c>
      <c r="G9" s="31">
        <v>1253229.7000000002</v>
      </c>
      <c r="H9" s="31">
        <v>504183.07999999996</v>
      </c>
      <c r="I9" s="31">
        <v>171471.17</v>
      </c>
      <c r="J9" s="31">
        <v>7576316.1276263483</v>
      </c>
      <c r="K9" s="31">
        <v>3610176.8081120225</v>
      </c>
      <c r="L9" s="31">
        <v>3749072.543494808</v>
      </c>
      <c r="M9" s="31">
        <f t="shared" si="4"/>
        <v>64629167.425930128</v>
      </c>
      <c r="N9" s="31">
        <v>0</v>
      </c>
      <c r="P9" s="42" t="s">
        <v>431</v>
      </c>
      <c r="Q9" s="42" t="s">
        <v>432</v>
      </c>
      <c r="R9" s="43" t="s">
        <v>1050</v>
      </c>
      <c r="S9" s="44">
        <v>34</v>
      </c>
      <c r="T9" s="31">
        <v>50762834.354778692</v>
      </c>
      <c r="U9" s="31">
        <v>1329687.49</v>
      </c>
      <c r="V9" s="31">
        <v>534880.46</v>
      </c>
      <c r="W9" s="31">
        <v>181854.66</v>
      </c>
      <c r="X9" s="31">
        <v>8010909.7502356451</v>
      </c>
      <c r="Y9" s="31">
        <v>3616783.5671434086</v>
      </c>
      <c r="Z9" s="31">
        <v>3971778.9208040358</v>
      </c>
      <c r="AA9" s="31">
        <f t="shared" si="5"/>
        <v>68408729.202961788</v>
      </c>
      <c r="AB9" s="31">
        <v>0</v>
      </c>
      <c r="AD9" s="42" t="s">
        <v>431</v>
      </c>
      <c r="AE9" s="42" t="s">
        <v>432</v>
      </c>
      <c r="AF9" s="43" t="s">
        <v>1275</v>
      </c>
      <c r="AG9" s="44">
        <v>34</v>
      </c>
      <c r="AH9" s="31">
        <v>51728163.079830989</v>
      </c>
      <c r="AI9" s="31">
        <v>1354207.63</v>
      </c>
      <c r="AJ9" s="31">
        <v>544837.37</v>
      </c>
      <c r="AK9" s="31">
        <v>185196.9</v>
      </c>
      <c r="AL9" s="31">
        <v>8159485.0442187991</v>
      </c>
      <c r="AM9" s="31">
        <v>3611628.9382815086</v>
      </c>
      <c r="AN9" s="31">
        <v>4045522.3915437264</v>
      </c>
      <c r="AO9" s="31">
        <f t="shared" si="6"/>
        <v>69629041.353875026</v>
      </c>
      <c r="AP9" s="31">
        <v>0</v>
      </c>
      <c r="AR9" s="42" t="s">
        <v>431</v>
      </c>
      <c r="AS9" s="42" t="s">
        <v>432</v>
      </c>
      <c r="AT9" s="43" t="s">
        <v>1276</v>
      </c>
      <c r="AU9" s="44">
        <v>34</v>
      </c>
      <c r="AV9" s="31">
        <v>52811603.780548021</v>
      </c>
      <c r="AW9" s="31">
        <v>1381897.01</v>
      </c>
      <c r="AX9" s="31">
        <v>555850.23</v>
      </c>
      <c r="AY9" s="31">
        <v>189015.86000000002</v>
      </c>
      <c r="AZ9" s="31">
        <v>8326564.5161465127</v>
      </c>
      <c r="BA9" s="31">
        <v>3611776.2133918488</v>
      </c>
      <c r="BB9" s="31">
        <v>4128332.4902766072</v>
      </c>
      <c r="BC9" s="31">
        <f t="shared" si="7"/>
        <v>71005040.100362986</v>
      </c>
      <c r="BD9" s="31">
        <v>0</v>
      </c>
    </row>
    <row r="10" spans="1:58">
      <c r="B10" s="42" t="s">
        <v>15</v>
      </c>
      <c r="C10" s="42" t="s">
        <v>16</v>
      </c>
      <c r="D10" s="43" t="s">
        <v>1049</v>
      </c>
      <c r="E10" s="44">
        <v>34</v>
      </c>
      <c r="F10" s="31">
        <v>5409384.3150998112</v>
      </c>
      <c r="G10" s="31">
        <v>118100.58</v>
      </c>
      <c r="H10" s="31">
        <v>0</v>
      </c>
      <c r="I10" s="31">
        <v>17052.489999999998</v>
      </c>
      <c r="J10" s="31">
        <v>744226.44108178397</v>
      </c>
      <c r="K10" s="31">
        <v>280331.01026898378</v>
      </c>
      <c r="L10" s="31">
        <v>432894.90237023687</v>
      </c>
      <c r="M10" s="31">
        <f t="shared" si="4"/>
        <v>7001989.7388208155</v>
      </c>
      <c r="N10" s="31">
        <v>0</v>
      </c>
      <c r="P10" s="42" t="s">
        <v>15</v>
      </c>
      <c r="Q10" s="42" t="s">
        <v>16</v>
      </c>
      <c r="R10" s="43" t="s">
        <v>1050</v>
      </c>
      <c r="S10" s="44">
        <v>34</v>
      </c>
      <c r="T10" s="31">
        <v>5778103.0519979298</v>
      </c>
      <c r="U10" s="31">
        <v>126389.01000000001</v>
      </c>
      <c r="V10" s="31">
        <v>0</v>
      </c>
      <c r="W10" s="31">
        <v>18263.099999999995</v>
      </c>
      <c r="X10" s="31">
        <v>792210.52057903691</v>
      </c>
      <c r="Y10" s="31">
        <v>281238.89221398369</v>
      </c>
      <c r="Z10" s="31">
        <v>461726.24497644301</v>
      </c>
      <c r="AA10" s="31">
        <f t="shared" si="5"/>
        <v>7457930.8197673932</v>
      </c>
      <c r="AB10" s="31">
        <v>0</v>
      </c>
      <c r="AD10" s="42" t="s">
        <v>15</v>
      </c>
      <c r="AE10" s="42" t="s">
        <v>16</v>
      </c>
      <c r="AF10" s="43" t="s">
        <v>1275</v>
      </c>
      <c r="AG10" s="44">
        <v>34</v>
      </c>
      <c r="AH10" s="31">
        <v>5883887.8967051124</v>
      </c>
      <c r="AI10" s="31">
        <v>128698.13999999998</v>
      </c>
      <c r="AJ10" s="31">
        <v>0</v>
      </c>
      <c r="AK10" s="31">
        <v>18581.52</v>
      </c>
      <c r="AL10" s="31">
        <v>806725.57837461098</v>
      </c>
      <c r="AM10" s="31">
        <v>280549.14679713367</v>
      </c>
      <c r="AN10" s="31">
        <v>470461.46530657291</v>
      </c>
      <c r="AO10" s="31">
        <f t="shared" si="6"/>
        <v>7588903.7471834291</v>
      </c>
      <c r="AP10" s="31">
        <v>0</v>
      </c>
      <c r="AR10" s="42" t="s">
        <v>15</v>
      </c>
      <c r="AS10" s="42" t="s">
        <v>16</v>
      </c>
      <c r="AT10" s="43" t="s">
        <v>1276</v>
      </c>
      <c r="AU10" s="44">
        <v>34</v>
      </c>
      <c r="AV10" s="31">
        <v>6001187.9238494765</v>
      </c>
      <c r="AW10" s="31">
        <v>131275.15</v>
      </c>
      <c r="AX10" s="31">
        <v>0</v>
      </c>
      <c r="AY10" s="31">
        <v>18922.539999999997</v>
      </c>
      <c r="AZ10" s="31">
        <v>823055.84614314779</v>
      </c>
      <c r="BA10" s="31">
        <v>280568.85380904365</v>
      </c>
      <c r="BB10" s="31">
        <v>479836.54498252936</v>
      </c>
      <c r="BC10" s="31">
        <f t="shared" si="7"/>
        <v>7734846.8587841978</v>
      </c>
      <c r="BD10" s="31">
        <v>0</v>
      </c>
    </row>
    <row r="11" spans="1:58">
      <c r="B11" s="42" t="s">
        <v>205</v>
      </c>
      <c r="C11" s="42" t="s">
        <v>206</v>
      </c>
      <c r="D11" s="43" t="s">
        <v>1049</v>
      </c>
      <c r="E11" s="44">
        <v>34</v>
      </c>
      <c r="F11" s="31">
        <v>152613269.73470962</v>
      </c>
      <c r="G11" s="31">
        <v>6783230.8200000003</v>
      </c>
      <c r="H11" s="31">
        <v>6921230.669999999</v>
      </c>
      <c r="I11" s="31">
        <v>537320.85</v>
      </c>
      <c r="J11" s="31">
        <v>18959632.789758548</v>
      </c>
      <c r="K11" s="31">
        <v>8948766.3267089985</v>
      </c>
      <c r="L11" s="31">
        <v>9643539.791825952</v>
      </c>
      <c r="M11" s="31">
        <f t="shared" si="4"/>
        <v>207998322.50300312</v>
      </c>
      <c r="N11" s="31">
        <v>3591331.52</v>
      </c>
      <c r="P11" s="42" t="s">
        <v>205</v>
      </c>
      <c r="Q11" s="42" t="s">
        <v>206</v>
      </c>
      <c r="R11" s="43" t="s">
        <v>1050</v>
      </c>
      <c r="S11" s="44">
        <v>34</v>
      </c>
      <c r="T11" s="31">
        <v>163809783.41458121</v>
      </c>
      <c r="U11" s="31">
        <v>7250114.6199999992</v>
      </c>
      <c r="V11" s="31">
        <v>7342983.6499999994</v>
      </c>
      <c r="W11" s="31">
        <v>570100.86</v>
      </c>
      <c r="X11" s="31">
        <v>20046801.851530477</v>
      </c>
      <c r="Y11" s="31">
        <v>8969231.8650351949</v>
      </c>
      <c r="Z11" s="31">
        <v>10317196.017541599</v>
      </c>
      <c r="AA11" s="31">
        <f t="shared" si="5"/>
        <v>222062824.64868852</v>
      </c>
      <c r="AB11" s="31">
        <v>3756612.3699999996</v>
      </c>
      <c r="AD11" s="42" t="s">
        <v>205</v>
      </c>
      <c r="AE11" s="42" t="s">
        <v>206</v>
      </c>
      <c r="AF11" s="43" t="s">
        <v>1275</v>
      </c>
      <c r="AG11" s="44">
        <v>34</v>
      </c>
      <c r="AH11" s="31">
        <v>166884713.17485139</v>
      </c>
      <c r="AI11" s="31">
        <v>7383217.2000000011</v>
      </c>
      <c r="AJ11" s="31">
        <v>7478729.2999999989</v>
      </c>
      <c r="AK11" s="31">
        <v>580562.46000000008</v>
      </c>
      <c r="AL11" s="31">
        <v>20418593.05959785</v>
      </c>
      <c r="AM11" s="31">
        <v>8953264.542172445</v>
      </c>
      <c r="AN11" s="31">
        <v>10508305.155786062</v>
      </c>
      <c r="AO11" s="31">
        <f t="shared" si="6"/>
        <v>226034316.07240775</v>
      </c>
      <c r="AP11" s="31">
        <v>3826931.1799999997</v>
      </c>
      <c r="AR11" s="42" t="s">
        <v>205</v>
      </c>
      <c r="AS11" s="42" t="s">
        <v>206</v>
      </c>
      <c r="AT11" s="43" t="s">
        <v>1276</v>
      </c>
      <c r="AU11" s="44">
        <v>34</v>
      </c>
      <c r="AV11" s="31">
        <v>170337597.36122739</v>
      </c>
      <c r="AW11" s="31">
        <v>7533061.9800000004</v>
      </c>
      <c r="AX11" s="31">
        <v>7631347.9500000002</v>
      </c>
      <c r="AY11" s="31">
        <v>592484.99</v>
      </c>
      <c r="AZ11" s="31">
        <v>20836611.580885351</v>
      </c>
      <c r="BA11" s="31">
        <v>8953720.7513970956</v>
      </c>
      <c r="BB11" s="31">
        <v>10724060.855056323</v>
      </c>
      <c r="BC11" s="31">
        <f t="shared" si="7"/>
        <v>230514751.67856616</v>
      </c>
      <c r="BD11" s="31">
        <v>3905866.209999999</v>
      </c>
    </row>
    <row r="12" spans="1:58">
      <c r="B12" s="42" t="s">
        <v>229</v>
      </c>
      <c r="C12" s="42" t="s">
        <v>230</v>
      </c>
      <c r="D12" s="43" t="s">
        <v>1049</v>
      </c>
      <c r="E12" s="44">
        <v>34</v>
      </c>
      <c r="F12" s="31">
        <v>31652438.34856236</v>
      </c>
      <c r="G12" s="31">
        <v>181349.87999999998</v>
      </c>
      <c r="H12" s="31">
        <v>72833.55</v>
      </c>
      <c r="I12" s="31">
        <v>116985.36</v>
      </c>
      <c r="J12" s="31">
        <v>4428634.9932812192</v>
      </c>
      <c r="K12" s="31">
        <v>1437654.570036853</v>
      </c>
      <c r="L12" s="31">
        <v>3258762.0203841329</v>
      </c>
      <c r="M12" s="31">
        <f t="shared" si="4"/>
        <v>41148658.722264566</v>
      </c>
      <c r="N12" s="31">
        <v>0</v>
      </c>
      <c r="P12" s="42" t="s">
        <v>229</v>
      </c>
      <c r="Q12" s="42" t="s">
        <v>230</v>
      </c>
      <c r="R12" s="43" t="s">
        <v>1050</v>
      </c>
      <c r="S12" s="44">
        <v>34</v>
      </c>
      <c r="T12" s="31">
        <v>33838917.958326958</v>
      </c>
      <c r="U12" s="31">
        <v>193766.57</v>
      </c>
      <c r="V12" s="31">
        <v>77963.11</v>
      </c>
      <c r="W12" s="31">
        <v>125053.31999999998</v>
      </c>
      <c r="X12" s="31">
        <v>4713032.1922234828</v>
      </c>
      <c r="Y12" s="31">
        <v>1440012.8341925896</v>
      </c>
      <c r="Z12" s="31">
        <v>3474696.3072265442</v>
      </c>
      <c r="AA12" s="31">
        <f t="shared" si="5"/>
        <v>43863442.291969575</v>
      </c>
      <c r="AB12" s="31">
        <v>0</v>
      </c>
      <c r="AD12" s="42" t="s">
        <v>229</v>
      </c>
      <c r="AE12" s="42" t="s">
        <v>230</v>
      </c>
      <c r="AF12" s="43" t="s">
        <v>1275</v>
      </c>
      <c r="AG12" s="44">
        <v>34</v>
      </c>
      <c r="AH12" s="31">
        <v>34479470.242694423</v>
      </c>
      <c r="AI12" s="31">
        <v>197454.56</v>
      </c>
      <c r="AJ12" s="31">
        <v>79348.61</v>
      </c>
      <c r="AK12" s="31">
        <v>127397.94</v>
      </c>
      <c r="AL12" s="31">
        <v>4800633.5531988638</v>
      </c>
      <c r="AM12" s="31">
        <v>1438166.037496886</v>
      </c>
      <c r="AN12" s="31">
        <v>3538886.9495953582</v>
      </c>
      <c r="AO12" s="31">
        <f t="shared" si="6"/>
        <v>44661357.892985538</v>
      </c>
      <c r="AP12" s="31">
        <v>0</v>
      </c>
      <c r="AR12" s="42" t="s">
        <v>229</v>
      </c>
      <c r="AS12" s="42" t="s">
        <v>230</v>
      </c>
      <c r="AT12" s="43" t="s">
        <v>1276</v>
      </c>
      <c r="AU12" s="44">
        <v>34</v>
      </c>
      <c r="AV12" s="31">
        <v>35198877.376007318</v>
      </c>
      <c r="AW12" s="31">
        <v>201396.18999999997</v>
      </c>
      <c r="AX12" s="31">
        <v>80957.05</v>
      </c>
      <c r="AY12" s="31">
        <v>129904.90000000001</v>
      </c>
      <c r="AZ12" s="31">
        <v>4899141.2819608515</v>
      </c>
      <c r="BA12" s="31">
        <v>1438218.8031167632</v>
      </c>
      <c r="BB12" s="31">
        <v>3611761.4154563365</v>
      </c>
      <c r="BC12" s="31">
        <f t="shared" si="7"/>
        <v>45560257.016541265</v>
      </c>
      <c r="BD12" s="31">
        <v>0</v>
      </c>
    </row>
    <row r="13" spans="1:58">
      <c r="B13" s="42" t="s">
        <v>69</v>
      </c>
      <c r="C13" s="42" t="s">
        <v>70</v>
      </c>
      <c r="D13" s="43" t="s">
        <v>1049</v>
      </c>
      <c r="E13" s="44">
        <v>34</v>
      </c>
      <c r="F13" s="31">
        <v>97202896.090791419</v>
      </c>
      <c r="G13" s="31">
        <v>2646410.7200000002</v>
      </c>
      <c r="H13" s="31">
        <v>1252769.1599999999</v>
      </c>
      <c r="I13" s="31">
        <v>346897.00999999995</v>
      </c>
      <c r="J13" s="31">
        <v>15068084.789676208</v>
      </c>
      <c r="K13" s="31">
        <v>10644551.552892311</v>
      </c>
      <c r="L13" s="31">
        <v>8912708.6767557617</v>
      </c>
      <c r="M13" s="31">
        <f t="shared" si="4"/>
        <v>136074318.00011569</v>
      </c>
      <c r="N13" s="31">
        <v>0</v>
      </c>
      <c r="P13" s="42" t="s">
        <v>69</v>
      </c>
      <c r="Q13" s="42" t="s">
        <v>70</v>
      </c>
      <c r="R13" s="43" t="s">
        <v>1050</v>
      </c>
      <c r="S13" s="44">
        <v>34</v>
      </c>
      <c r="T13" s="31">
        <v>104056584.05839732</v>
      </c>
      <c r="U13" s="31">
        <v>2830902.3400000003</v>
      </c>
      <c r="V13" s="31">
        <v>1340143.2000000002</v>
      </c>
      <c r="W13" s="31">
        <v>371133.39</v>
      </c>
      <c r="X13" s="31">
        <v>16038753.92441237</v>
      </c>
      <c r="Y13" s="31">
        <v>10669422.154005757</v>
      </c>
      <c r="Z13" s="31">
        <v>9505094.837609034</v>
      </c>
      <c r="AA13" s="31">
        <f t="shared" si="5"/>
        <v>144812033.90442449</v>
      </c>
      <c r="AB13" s="31">
        <v>0</v>
      </c>
      <c r="AD13" s="42" t="s">
        <v>69</v>
      </c>
      <c r="AE13" s="42" t="s">
        <v>70</v>
      </c>
      <c r="AF13" s="43" t="s">
        <v>1275</v>
      </c>
      <c r="AG13" s="44">
        <v>34</v>
      </c>
      <c r="AH13" s="31">
        <v>106124469.81051099</v>
      </c>
      <c r="AI13" s="31">
        <v>2882830.58</v>
      </c>
      <c r="AJ13" s="31">
        <v>1364673.92</v>
      </c>
      <c r="AK13" s="31">
        <v>377872.09</v>
      </c>
      <c r="AL13" s="31">
        <v>16334245.968613785</v>
      </c>
      <c r="AM13" s="31">
        <v>10650319.856747204</v>
      </c>
      <c r="AN13" s="31">
        <v>9680605.9894272648</v>
      </c>
      <c r="AO13" s="31">
        <f t="shared" si="6"/>
        <v>147415018.21529925</v>
      </c>
      <c r="AP13" s="31">
        <v>0</v>
      </c>
      <c r="AR13" s="42" t="s">
        <v>69</v>
      </c>
      <c r="AS13" s="42" t="s">
        <v>70</v>
      </c>
      <c r="AT13" s="43" t="s">
        <v>1276</v>
      </c>
      <c r="AU13" s="44">
        <v>34</v>
      </c>
      <c r="AV13" s="31">
        <v>108433336.76893303</v>
      </c>
      <c r="AW13" s="31">
        <v>2941199.8899999997</v>
      </c>
      <c r="AX13" s="31">
        <v>1392270.5800000003</v>
      </c>
      <c r="AY13" s="31">
        <v>385534.43999999994</v>
      </c>
      <c r="AZ13" s="31">
        <v>16666606.268227523</v>
      </c>
      <c r="BA13" s="31">
        <v>10650865.636668878</v>
      </c>
      <c r="BB13" s="31">
        <v>9877718.2533103898</v>
      </c>
      <c r="BC13" s="31">
        <f t="shared" si="7"/>
        <v>150347531.83713982</v>
      </c>
      <c r="BD13" s="31">
        <v>0</v>
      </c>
    </row>
    <row r="14" spans="1:58">
      <c r="B14" s="42" t="s">
        <v>199</v>
      </c>
      <c r="C14" s="42" t="s">
        <v>200</v>
      </c>
      <c r="D14" s="43" t="s">
        <v>1049</v>
      </c>
      <c r="E14" s="44">
        <v>34</v>
      </c>
      <c r="F14" s="31">
        <v>173161095.97000167</v>
      </c>
      <c r="G14" s="31">
        <v>2382616.7899999996</v>
      </c>
      <c r="H14" s="31">
        <v>5627040.7600000007</v>
      </c>
      <c r="I14" s="31">
        <v>616205.68000000005</v>
      </c>
      <c r="J14" s="31">
        <v>17020425.07177471</v>
      </c>
      <c r="K14" s="31">
        <v>9618336.659874713</v>
      </c>
      <c r="L14" s="31">
        <v>10158930.69058672</v>
      </c>
      <c r="M14" s="31">
        <f t="shared" si="4"/>
        <v>218728399.07223779</v>
      </c>
      <c r="N14" s="31">
        <v>143747.45000000001</v>
      </c>
      <c r="P14" s="42" t="s">
        <v>199</v>
      </c>
      <c r="Q14" s="42" t="s">
        <v>200</v>
      </c>
      <c r="R14" s="43" t="s">
        <v>1050</v>
      </c>
      <c r="S14" s="44">
        <v>34</v>
      </c>
      <c r="T14" s="31">
        <v>185128078.53154501</v>
      </c>
      <c r="U14" s="31">
        <v>2549312.8000000007</v>
      </c>
      <c r="V14" s="31">
        <v>6015653.1699999999</v>
      </c>
      <c r="W14" s="31">
        <v>658782.33000000007</v>
      </c>
      <c r="X14" s="31">
        <v>18113383.454512231</v>
      </c>
      <c r="Y14" s="31">
        <v>9637278.1066719592</v>
      </c>
      <c r="Z14" s="31">
        <v>10830498.512868272</v>
      </c>
      <c r="AA14" s="31">
        <f t="shared" si="5"/>
        <v>233084513.4155975</v>
      </c>
      <c r="AB14" s="31">
        <v>151526.51</v>
      </c>
      <c r="AD14" s="42" t="s">
        <v>199</v>
      </c>
      <c r="AE14" s="42" t="s">
        <v>200</v>
      </c>
      <c r="AF14" s="43" t="s">
        <v>1275</v>
      </c>
      <c r="AG14" s="44">
        <v>34</v>
      </c>
      <c r="AH14" s="31">
        <v>188643892.32832444</v>
      </c>
      <c r="AI14" s="31">
        <v>2596421.2300000004</v>
      </c>
      <c r="AJ14" s="31">
        <v>6127082.459999999</v>
      </c>
      <c r="AK14" s="31">
        <v>670978.74</v>
      </c>
      <c r="AL14" s="31">
        <v>18450058.528230377</v>
      </c>
      <c r="AM14" s="31">
        <v>9622444.7381233573</v>
      </c>
      <c r="AN14" s="31">
        <v>11032388.625554547</v>
      </c>
      <c r="AO14" s="31">
        <f t="shared" si="6"/>
        <v>237297638.18023273</v>
      </c>
      <c r="AP14" s="31">
        <v>154371.53000000003</v>
      </c>
      <c r="AR14" s="42" t="s">
        <v>199</v>
      </c>
      <c r="AS14" s="42" t="s">
        <v>200</v>
      </c>
      <c r="AT14" s="43" t="s">
        <v>1276</v>
      </c>
      <c r="AU14" s="44">
        <v>34</v>
      </c>
      <c r="AV14" s="31">
        <v>192588142.37341103</v>
      </c>
      <c r="AW14" s="31">
        <v>2649554.3600000003</v>
      </c>
      <c r="AX14" s="31">
        <v>6252498.7299999995</v>
      </c>
      <c r="AY14" s="31">
        <v>684647.43</v>
      </c>
      <c r="AZ14" s="31">
        <v>18828607.184959732</v>
      </c>
      <c r="BA14" s="31">
        <v>9622868.5486533195</v>
      </c>
      <c r="BB14" s="31">
        <v>11258686.906769298</v>
      </c>
      <c r="BC14" s="31">
        <f t="shared" si="7"/>
        <v>242042542.97379342</v>
      </c>
      <c r="BD14" s="31">
        <v>157537.43999999997</v>
      </c>
    </row>
    <row r="15" spans="1:58">
      <c r="B15" s="42" t="s">
        <v>539</v>
      </c>
      <c r="C15" s="42" t="s">
        <v>540</v>
      </c>
      <c r="D15" s="43" t="s">
        <v>1049</v>
      </c>
      <c r="E15" s="44">
        <v>34</v>
      </c>
      <c r="F15" s="31">
        <v>96982174.343626767</v>
      </c>
      <c r="G15" s="31">
        <v>2900654.81</v>
      </c>
      <c r="H15" s="31">
        <v>1387232.81</v>
      </c>
      <c r="I15" s="31">
        <v>343043.74999999994</v>
      </c>
      <c r="J15" s="31">
        <v>15305919.41801808</v>
      </c>
      <c r="K15" s="31">
        <v>4179309.7792304317</v>
      </c>
      <c r="L15" s="31">
        <v>7262980.4003748037</v>
      </c>
      <c r="M15" s="31">
        <f t="shared" si="4"/>
        <v>128862148.57125008</v>
      </c>
      <c r="N15" s="31">
        <v>500833.25999999989</v>
      </c>
      <c r="P15" s="42" t="s">
        <v>539</v>
      </c>
      <c r="Q15" s="42" t="s">
        <v>540</v>
      </c>
      <c r="R15" s="43" t="s">
        <v>1050</v>
      </c>
      <c r="S15" s="44">
        <v>34</v>
      </c>
      <c r="T15" s="31">
        <v>103092566.40728241</v>
      </c>
      <c r="U15" s="31">
        <v>3084994.1199999992</v>
      </c>
      <c r="V15" s="31">
        <v>1471666.58</v>
      </c>
      <c r="W15" s="31">
        <v>363942.49</v>
      </c>
      <c r="X15" s="31">
        <v>16181189.310698222</v>
      </c>
      <c r="Y15" s="31">
        <v>4189778.2350037098</v>
      </c>
      <c r="Z15" s="31">
        <v>7693477.8662923221</v>
      </c>
      <c r="AA15" s="31">
        <f t="shared" si="5"/>
        <v>136601148.23927665</v>
      </c>
      <c r="AB15" s="31">
        <v>523533.23000000004</v>
      </c>
      <c r="AD15" s="42" t="s">
        <v>539</v>
      </c>
      <c r="AE15" s="42" t="s">
        <v>540</v>
      </c>
      <c r="AF15" s="43" t="s">
        <v>1275</v>
      </c>
      <c r="AG15" s="44">
        <v>34</v>
      </c>
      <c r="AH15" s="31">
        <v>105059468.95905109</v>
      </c>
      <c r="AI15" s="31">
        <v>3141504.38</v>
      </c>
      <c r="AJ15" s="31">
        <v>1498729.6600000001</v>
      </c>
      <c r="AK15" s="31">
        <v>370581.3</v>
      </c>
      <c r="AL15" s="31">
        <v>16479962.399210909</v>
      </c>
      <c r="AM15" s="31">
        <v>4181688.9148413595</v>
      </c>
      <c r="AN15" s="31">
        <v>7835766.6488567991</v>
      </c>
      <c r="AO15" s="31">
        <f t="shared" si="6"/>
        <v>139100910.77196014</v>
      </c>
      <c r="AP15" s="31">
        <v>533208.51000000013</v>
      </c>
      <c r="AR15" s="42" t="s">
        <v>539</v>
      </c>
      <c r="AS15" s="42" t="s">
        <v>540</v>
      </c>
      <c r="AT15" s="43" t="s">
        <v>1276</v>
      </c>
      <c r="AU15" s="44">
        <v>34</v>
      </c>
      <c r="AV15" s="31">
        <v>107264925.5528221</v>
      </c>
      <c r="AW15" s="31">
        <v>3205208.02</v>
      </c>
      <c r="AX15" s="31">
        <v>1529067.9800000002</v>
      </c>
      <c r="AY15" s="31">
        <v>378147.85</v>
      </c>
      <c r="AZ15" s="31">
        <v>16815993.256300788</v>
      </c>
      <c r="BA15" s="31">
        <v>4181920.0382745699</v>
      </c>
      <c r="BB15" s="31">
        <v>7995392.4430952407</v>
      </c>
      <c r="BC15" s="31">
        <f t="shared" si="7"/>
        <v>141914900.9304927</v>
      </c>
      <c r="BD15" s="31">
        <v>544245.78999999992</v>
      </c>
    </row>
    <row r="16" spans="1:58">
      <c r="B16" s="42" t="s">
        <v>5</v>
      </c>
      <c r="C16" s="42" t="s">
        <v>6</v>
      </c>
      <c r="D16" s="43" t="s">
        <v>1049</v>
      </c>
      <c r="E16" s="44">
        <v>34</v>
      </c>
      <c r="F16" s="31">
        <v>328897.83339915954</v>
      </c>
      <c r="G16" s="31">
        <v>0</v>
      </c>
      <c r="H16" s="31">
        <v>0</v>
      </c>
      <c r="I16" s="31">
        <v>292.33000000000004</v>
      </c>
      <c r="J16" s="31">
        <v>0</v>
      </c>
      <c r="K16" s="31">
        <v>65135.600284457054</v>
      </c>
      <c r="L16" s="31">
        <v>0</v>
      </c>
      <c r="M16" s="31">
        <f t="shared" si="4"/>
        <v>394325.76368361659</v>
      </c>
      <c r="N16" s="31">
        <v>0</v>
      </c>
      <c r="P16" s="42" t="s">
        <v>5</v>
      </c>
      <c r="Q16" s="42" t="s">
        <v>6</v>
      </c>
      <c r="R16" s="43" t="s">
        <v>1050</v>
      </c>
      <c r="S16" s="44">
        <v>34</v>
      </c>
      <c r="T16" s="31">
        <v>348914.8546291102</v>
      </c>
      <c r="U16" s="31">
        <v>0</v>
      </c>
      <c r="V16" s="31">
        <v>0</v>
      </c>
      <c r="W16" s="31">
        <v>311.29999999999995</v>
      </c>
      <c r="X16" s="31">
        <v>0</v>
      </c>
      <c r="Y16" s="31">
        <v>65235.378583033147</v>
      </c>
      <c r="Z16" s="31">
        <v>0</v>
      </c>
      <c r="AA16" s="31">
        <f t="shared" si="5"/>
        <v>414461.53321214335</v>
      </c>
      <c r="AB16" s="31">
        <v>0</v>
      </c>
      <c r="AD16" s="42" t="s">
        <v>5</v>
      </c>
      <c r="AE16" s="42" t="s">
        <v>6</v>
      </c>
      <c r="AF16" s="43" t="s">
        <v>1275</v>
      </c>
      <c r="AG16" s="44">
        <v>34</v>
      </c>
      <c r="AH16" s="31">
        <v>354963.71960975707</v>
      </c>
      <c r="AI16" s="31">
        <v>0</v>
      </c>
      <c r="AJ16" s="31">
        <v>0</v>
      </c>
      <c r="AK16" s="31">
        <v>316.72000000000003</v>
      </c>
      <c r="AL16" s="31">
        <v>0</v>
      </c>
      <c r="AM16" s="31">
        <v>65159.573986936724</v>
      </c>
      <c r="AN16" s="31">
        <v>0</v>
      </c>
      <c r="AO16" s="31">
        <f t="shared" si="6"/>
        <v>420440.01359669375</v>
      </c>
      <c r="AP16" s="31">
        <v>0</v>
      </c>
      <c r="AR16" s="42" t="s">
        <v>5</v>
      </c>
      <c r="AS16" s="42" t="s">
        <v>6</v>
      </c>
      <c r="AT16" s="43" t="s">
        <v>1276</v>
      </c>
      <c r="AU16" s="44">
        <v>34</v>
      </c>
      <c r="AV16" s="31">
        <v>361442.66663412983</v>
      </c>
      <c r="AW16" s="31">
        <v>0</v>
      </c>
      <c r="AX16" s="31">
        <v>0</v>
      </c>
      <c r="AY16" s="31">
        <v>322.53000000000003</v>
      </c>
      <c r="AZ16" s="31">
        <v>0</v>
      </c>
      <c r="BA16" s="31">
        <v>65161.739832539482</v>
      </c>
      <c r="BB16" s="31">
        <v>0</v>
      </c>
      <c r="BC16" s="31">
        <f t="shared" si="7"/>
        <v>426926.93646666931</v>
      </c>
      <c r="BD16" s="31">
        <v>0</v>
      </c>
    </row>
    <row r="17" spans="2:56">
      <c r="B17" s="42" t="s">
        <v>383</v>
      </c>
      <c r="C17" s="42" t="s">
        <v>384</v>
      </c>
      <c r="D17" s="43" t="s">
        <v>1049</v>
      </c>
      <c r="E17" s="44">
        <v>34</v>
      </c>
      <c r="F17" s="31">
        <v>162446464.79937142</v>
      </c>
      <c r="G17" s="31">
        <v>6223082.5600000005</v>
      </c>
      <c r="H17" s="31">
        <v>1923714.38</v>
      </c>
      <c r="I17" s="31">
        <v>565265.28</v>
      </c>
      <c r="J17" s="31">
        <v>24222147.444630902</v>
      </c>
      <c r="K17" s="31">
        <v>15094726.044891372</v>
      </c>
      <c r="L17" s="31">
        <v>13974934.555609494</v>
      </c>
      <c r="M17" s="31">
        <f t="shared" si="4"/>
        <v>227365821.56450316</v>
      </c>
      <c r="N17" s="31">
        <v>2915486.5</v>
      </c>
      <c r="P17" s="42" t="s">
        <v>383</v>
      </c>
      <c r="Q17" s="42" t="s">
        <v>384</v>
      </c>
      <c r="R17" s="43" t="s">
        <v>1050</v>
      </c>
      <c r="S17" s="44">
        <v>34</v>
      </c>
      <c r="T17" s="31">
        <v>173856139.02817455</v>
      </c>
      <c r="U17" s="31">
        <v>6708189.6500000022</v>
      </c>
      <c r="V17" s="31">
        <v>2058646.4999999998</v>
      </c>
      <c r="W17" s="31">
        <v>604861.66999999993</v>
      </c>
      <c r="X17" s="31">
        <v>25784939.4031923</v>
      </c>
      <c r="Y17" s="31">
        <v>15130654.765488205</v>
      </c>
      <c r="Z17" s="31">
        <v>14907432.659805138</v>
      </c>
      <c r="AA17" s="31">
        <f t="shared" si="5"/>
        <v>242122152.88666022</v>
      </c>
      <c r="AB17" s="31">
        <v>3071289.2099999995</v>
      </c>
      <c r="AD17" s="42" t="s">
        <v>383</v>
      </c>
      <c r="AE17" s="42" t="s">
        <v>384</v>
      </c>
      <c r="AF17" s="43" t="s">
        <v>1275</v>
      </c>
      <c r="AG17" s="44">
        <v>34</v>
      </c>
      <c r="AH17" s="31">
        <v>177169942.23551083</v>
      </c>
      <c r="AI17" s="31">
        <v>6829520.3899999997</v>
      </c>
      <c r="AJ17" s="31">
        <v>2096122.3400000003</v>
      </c>
      <c r="AK17" s="31">
        <v>615935.21000000008</v>
      </c>
      <c r="AL17" s="31">
        <v>26257432.001478858</v>
      </c>
      <c r="AM17" s="31">
        <v>15103358.628031751</v>
      </c>
      <c r="AN17" s="31">
        <v>15181450.28359367</v>
      </c>
      <c r="AO17" s="31">
        <f t="shared" si="6"/>
        <v>246381613.61861512</v>
      </c>
      <c r="AP17" s="31">
        <v>3127852.5300000003</v>
      </c>
      <c r="AR17" s="42" t="s">
        <v>383</v>
      </c>
      <c r="AS17" s="42" t="s">
        <v>384</v>
      </c>
      <c r="AT17" s="43" t="s">
        <v>1276</v>
      </c>
      <c r="AU17" s="44">
        <v>34</v>
      </c>
      <c r="AV17" s="31">
        <v>180883452.16442621</v>
      </c>
      <c r="AW17" s="31">
        <v>6966111.7099999981</v>
      </c>
      <c r="AX17" s="31">
        <v>2138139.9</v>
      </c>
      <c r="AY17" s="31">
        <v>628314.44999999995</v>
      </c>
      <c r="AZ17" s="31">
        <v>26789006.373002943</v>
      </c>
      <c r="BA17" s="31">
        <v>15104138.517673364</v>
      </c>
      <c r="BB17" s="31">
        <v>15488734.114286497</v>
      </c>
      <c r="BC17" s="31">
        <f t="shared" si="7"/>
        <v>251189428.34938902</v>
      </c>
      <c r="BD17" s="31">
        <v>3191531.12</v>
      </c>
    </row>
    <row r="18" spans="2:56">
      <c r="B18" s="42" t="s">
        <v>253</v>
      </c>
      <c r="C18" s="42" t="s">
        <v>254</v>
      </c>
      <c r="D18" s="43" t="s">
        <v>1049</v>
      </c>
      <c r="E18" s="44">
        <v>34</v>
      </c>
      <c r="F18" s="31">
        <v>2028344.3853565911</v>
      </c>
      <c r="G18" s="31">
        <v>0</v>
      </c>
      <c r="H18" s="31">
        <v>0</v>
      </c>
      <c r="I18" s="31">
        <v>3215.6</v>
      </c>
      <c r="J18" s="31">
        <v>143796.12253377982</v>
      </c>
      <c r="K18" s="31">
        <v>204245.10318151774</v>
      </c>
      <c r="L18" s="31">
        <v>0</v>
      </c>
      <c r="M18" s="31">
        <f t="shared" si="4"/>
        <v>2379601.2110718889</v>
      </c>
      <c r="N18" s="31">
        <v>0</v>
      </c>
      <c r="P18" s="42" t="s">
        <v>253</v>
      </c>
      <c r="Q18" s="42" t="s">
        <v>254</v>
      </c>
      <c r="R18" s="43" t="s">
        <v>1050</v>
      </c>
      <c r="S18" s="44">
        <v>34</v>
      </c>
      <c r="T18" s="31">
        <v>2155921.8817057414</v>
      </c>
      <c r="U18" s="31">
        <v>0</v>
      </c>
      <c r="V18" s="31">
        <v>0</v>
      </c>
      <c r="W18" s="31">
        <v>3424.3399999999997</v>
      </c>
      <c r="X18" s="31">
        <v>153086.07814941116</v>
      </c>
      <c r="Y18" s="31">
        <v>204633.54220131386</v>
      </c>
      <c r="Z18" s="31">
        <v>0</v>
      </c>
      <c r="AA18" s="31">
        <f t="shared" si="5"/>
        <v>2517065.8420564663</v>
      </c>
      <c r="AB18" s="31">
        <v>0</v>
      </c>
      <c r="AD18" s="42" t="s">
        <v>253</v>
      </c>
      <c r="AE18" s="42" t="s">
        <v>254</v>
      </c>
      <c r="AF18" s="43" t="s">
        <v>1275</v>
      </c>
      <c r="AG18" s="44">
        <v>34</v>
      </c>
      <c r="AH18" s="31">
        <v>2193583.7823883966</v>
      </c>
      <c r="AI18" s="31">
        <v>0</v>
      </c>
      <c r="AJ18" s="31">
        <v>0</v>
      </c>
      <c r="AK18" s="31">
        <v>3484.05</v>
      </c>
      <c r="AL18" s="31">
        <v>155878.54656337068</v>
      </c>
      <c r="AM18" s="31">
        <v>204338.43331066385</v>
      </c>
      <c r="AN18" s="31">
        <v>0</v>
      </c>
      <c r="AO18" s="31">
        <f t="shared" si="6"/>
        <v>2557284.8122624308</v>
      </c>
      <c r="AP18" s="31">
        <v>0</v>
      </c>
      <c r="AR18" s="42" t="s">
        <v>253</v>
      </c>
      <c r="AS18" s="42" t="s">
        <v>254</v>
      </c>
      <c r="AT18" s="43" t="s">
        <v>1276</v>
      </c>
      <c r="AU18" s="44">
        <v>34</v>
      </c>
      <c r="AV18" s="31">
        <v>2234710.0524143153</v>
      </c>
      <c r="AW18" s="31">
        <v>0</v>
      </c>
      <c r="AX18" s="31">
        <v>0</v>
      </c>
      <c r="AY18" s="31">
        <v>3547.98</v>
      </c>
      <c r="AZ18" s="31">
        <v>159036.33331248962</v>
      </c>
      <c r="BA18" s="31">
        <v>204346.86499325381</v>
      </c>
      <c r="BB18" s="31">
        <v>0</v>
      </c>
      <c r="BC18" s="31">
        <f t="shared" si="7"/>
        <v>2601641.2307200585</v>
      </c>
      <c r="BD18" s="31">
        <v>0</v>
      </c>
    </row>
    <row r="19" spans="2:56">
      <c r="B19" s="42" t="s">
        <v>543</v>
      </c>
      <c r="C19" s="42" t="s">
        <v>544</v>
      </c>
      <c r="D19" s="43" t="s">
        <v>1049</v>
      </c>
      <c r="E19" s="44">
        <v>34</v>
      </c>
      <c r="F19" s="31">
        <v>19186818.572017204</v>
      </c>
      <c r="G19" s="31">
        <v>698005.57999999984</v>
      </c>
      <c r="H19" s="31">
        <v>155680.70999999996</v>
      </c>
      <c r="I19" s="31">
        <v>67387.5</v>
      </c>
      <c r="J19" s="31">
        <v>3045027.1744312509</v>
      </c>
      <c r="K19" s="31">
        <v>1278916.7381508555</v>
      </c>
      <c r="L19" s="31">
        <v>1255749.1972670495</v>
      </c>
      <c r="M19" s="31">
        <f t="shared" si="4"/>
        <v>25851606.221866354</v>
      </c>
      <c r="N19" s="31">
        <v>164020.75</v>
      </c>
      <c r="P19" s="42" t="s">
        <v>543</v>
      </c>
      <c r="Q19" s="42" t="s">
        <v>544</v>
      </c>
      <c r="R19" s="43" t="s">
        <v>1050</v>
      </c>
      <c r="S19" s="44">
        <v>34</v>
      </c>
      <c r="T19" s="31">
        <v>20514768.360465441</v>
      </c>
      <c r="U19" s="31">
        <v>748750.08000000007</v>
      </c>
      <c r="V19" s="31">
        <v>166462.50000000003</v>
      </c>
      <c r="W19" s="31">
        <v>72050.939999999988</v>
      </c>
      <c r="X19" s="31">
        <v>3240661.9139196514</v>
      </c>
      <c r="Y19" s="31">
        <v>1282295.3101507309</v>
      </c>
      <c r="Z19" s="31">
        <v>1338980.6594190588</v>
      </c>
      <c r="AA19" s="31">
        <f t="shared" si="5"/>
        <v>27536974.793954886</v>
      </c>
      <c r="AB19" s="31">
        <v>173005.03000000003</v>
      </c>
      <c r="AD19" s="42" t="s">
        <v>543</v>
      </c>
      <c r="AE19" s="42" t="s">
        <v>544</v>
      </c>
      <c r="AF19" s="43" t="s">
        <v>1275</v>
      </c>
      <c r="AG19" s="44">
        <v>34</v>
      </c>
      <c r="AH19" s="31">
        <v>20905497.10790759</v>
      </c>
      <c r="AI19" s="31">
        <v>762478.45000000007</v>
      </c>
      <c r="AJ19" s="31">
        <v>169535.71</v>
      </c>
      <c r="AK19" s="31">
        <v>73329.01999999999</v>
      </c>
      <c r="AL19" s="31">
        <v>3300758.6826881696</v>
      </c>
      <c r="AM19" s="31">
        <v>1279674.0627789809</v>
      </c>
      <c r="AN19" s="31">
        <v>1363974.5231390602</v>
      </c>
      <c r="AO19" s="31">
        <f t="shared" si="6"/>
        <v>28031476.756513797</v>
      </c>
      <c r="AP19" s="31">
        <v>176229.19999999998</v>
      </c>
      <c r="AR19" s="42" t="s">
        <v>543</v>
      </c>
      <c r="AS19" s="42" t="s">
        <v>544</v>
      </c>
      <c r="AT19" s="43" t="s">
        <v>1276</v>
      </c>
      <c r="AU19" s="44">
        <v>34</v>
      </c>
      <c r="AV19" s="31">
        <v>21343356.618463114</v>
      </c>
      <c r="AW19" s="31">
        <v>778025.51</v>
      </c>
      <c r="AX19" s="31">
        <v>172823.05000000002</v>
      </c>
      <c r="AY19" s="31">
        <v>74820.490000000005</v>
      </c>
      <c r="AZ19" s="31">
        <v>3368348.0038408563</v>
      </c>
      <c r="BA19" s="31">
        <v>1279748.9555610309</v>
      </c>
      <c r="BB19" s="31">
        <v>1391812.324679577</v>
      </c>
      <c r="BC19" s="31">
        <f t="shared" si="7"/>
        <v>28588734.272544578</v>
      </c>
      <c r="BD19" s="31">
        <v>179799.32</v>
      </c>
    </row>
    <row r="20" spans="2:56">
      <c r="B20" s="42" t="s">
        <v>283</v>
      </c>
      <c r="C20" s="42" t="s">
        <v>284</v>
      </c>
      <c r="D20" s="43" t="s">
        <v>1049</v>
      </c>
      <c r="E20" s="44">
        <v>34</v>
      </c>
      <c r="F20" s="31">
        <v>837661.23932314338</v>
      </c>
      <c r="G20" s="31">
        <v>28063.480000000003</v>
      </c>
      <c r="H20" s="31">
        <v>0</v>
      </c>
      <c r="I20" s="31">
        <v>0</v>
      </c>
      <c r="J20" s="31">
        <v>121492.51273492345</v>
      </c>
      <c r="K20" s="31">
        <v>147224.19300537929</v>
      </c>
      <c r="L20" s="31">
        <v>0</v>
      </c>
      <c r="M20" s="31">
        <f t="shared" si="4"/>
        <v>1159581.6650634462</v>
      </c>
      <c r="N20" s="31">
        <v>25140.239999999998</v>
      </c>
      <c r="P20" s="42" t="s">
        <v>283</v>
      </c>
      <c r="Q20" s="42" t="s">
        <v>284</v>
      </c>
      <c r="R20" s="43" t="s">
        <v>1050</v>
      </c>
      <c r="S20" s="44">
        <v>34</v>
      </c>
      <c r="T20" s="31">
        <v>902439.81935261947</v>
      </c>
      <c r="U20" s="31">
        <v>30302.890000000003</v>
      </c>
      <c r="V20" s="31">
        <v>0</v>
      </c>
      <c r="W20" s="31">
        <v>0</v>
      </c>
      <c r="X20" s="31">
        <v>128701.66816231207</v>
      </c>
      <c r="Y20" s="31">
        <v>147573.35737564147</v>
      </c>
      <c r="Z20" s="31">
        <v>0</v>
      </c>
      <c r="AA20" s="31">
        <f t="shared" si="5"/>
        <v>1235371.9748905732</v>
      </c>
      <c r="AB20" s="31">
        <v>26354.240000000002</v>
      </c>
      <c r="AD20" s="42" t="s">
        <v>283</v>
      </c>
      <c r="AE20" s="42" t="s">
        <v>284</v>
      </c>
      <c r="AF20" s="43" t="s">
        <v>1275</v>
      </c>
      <c r="AG20" s="44">
        <v>34</v>
      </c>
      <c r="AH20" s="31">
        <v>918173.41250175401</v>
      </c>
      <c r="AI20" s="31">
        <v>30824.970000000008</v>
      </c>
      <c r="AJ20" s="31">
        <v>0</v>
      </c>
      <c r="AK20" s="31">
        <v>0</v>
      </c>
      <c r="AL20" s="31">
        <v>130959.84178802118</v>
      </c>
      <c r="AM20" s="31">
        <v>147308.0866260225</v>
      </c>
      <c r="AN20" s="31">
        <v>0</v>
      </c>
      <c r="AO20" s="31">
        <f t="shared" si="6"/>
        <v>1254086.2809157977</v>
      </c>
      <c r="AP20" s="31">
        <v>26819.97</v>
      </c>
      <c r="AR20" s="42" t="s">
        <v>283</v>
      </c>
      <c r="AS20" s="42" t="s">
        <v>284</v>
      </c>
      <c r="AT20" s="43" t="s">
        <v>1276</v>
      </c>
      <c r="AU20" s="44">
        <v>34</v>
      </c>
      <c r="AV20" s="31">
        <v>935024.12654175679</v>
      </c>
      <c r="AW20" s="31">
        <v>31384.120000000006</v>
      </c>
      <c r="AX20" s="31">
        <v>0</v>
      </c>
      <c r="AY20" s="31">
        <v>0</v>
      </c>
      <c r="AZ20" s="31">
        <v>133378.31360692455</v>
      </c>
      <c r="BA20" s="31">
        <v>147315.66579029735</v>
      </c>
      <c r="BB20" s="31">
        <v>0</v>
      </c>
      <c r="BC20" s="31">
        <f t="shared" si="7"/>
        <v>1274420.9959389786</v>
      </c>
      <c r="BD20" s="31">
        <v>27318.77</v>
      </c>
    </row>
    <row r="21" spans="2:56">
      <c r="B21" s="42" t="s">
        <v>227</v>
      </c>
      <c r="C21" s="42" t="s">
        <v>228</v>
      </c>
      <c r="D21" s="43" t="s">
        <v>1049</v>
      </c>
      <c r="E21" s="44">
        <v>34</v>
      </c>
      <c r="F21" s="31">
        <v>38639172.35587088</v>
      </c>
      <c r="G21" s="31">
        <v>2128094.62</v>
      </c>
      <c r="H21" s="31">
        <v>769664.26000000013</v>
      </c>
      <c r="I21" s="31">
        <v>148264.25</v>
      </c>
      <c r="J21" s="31">
        <v>6700103.1409654683</v>
      </c>
      <c r="K21" s="31">
        <v>1974796.0191229219</v>
      </c>
      <c r="L21" s="31">
        <v>7034712.7100287881</v>
      </c>
      <c r="M21" s="31">
        <f t="shared" si="4"/>
        <v>58683340.065988056</v>
      </c>
      <c r="N21" s="31">
        <v>1288532.71</v>
      </c>
      <c r="P21" s="42" t="s">
        <v>227</v>
      </c>
      <c r="Q21" s="42" t="s">
        <v>228</v>
      </c>
      <c r="R21" s="43" t="s">
        <v>1050</v>
      </c>
      <c r="S21" s="44">
        <v>34</v>
      </c>
      <c r="T21" s="31">
        <v>41757160.493901901</v>
      </c>
      <c r="U21" s="31">
        <v>2293967.9500000002</v>
      </c>
      <c r="V21" s="31">
        <v>822877.25</v>
      </c>
      <c r="W21" s="31">
        <v>158448.92000000001</v>
      </c>
      <c r="X21" s="31">
        <v>7130137.2237474015</v>
      </c>
      <c r="Y21" s="31">
        <v>1978514.0299864186</v>
      </c>
      <c r="Z21" s="31">
        <v>7571448.4807492951</v>
      </c>
      <c r="AA21" s="31">
        <f t="shared" si="5"/>
        <v>63071080.268385023</v>
      </c>
      <c r="AB21" s="31">
        <v>1358525.92</v>
      </c>
      <c r="AD21" s="42" t="s">
        <v>227</v>
      </c>
      <c r="AE21" s="42" t="s">
        <v>228</v>
      </c>
      <c r="AF21" s="43" t="s">
        <v>1275</v>
      </c>
      <c r="AG21" s="44">
        <v>34</v>
      </c>
      <c r="AH21" s="31">
        <v>42561479.469112277</v>
      </c>
      <c r="AI21" s="31">
        <v>2336176.2399999993</v>
      </c>
      <c r="AJ21" s="31">
        <v>838112.12000000011</v>
      </c>
      <c r="AK21" s="31">
        <v>161387.03</v>
      </c>
      <c r="AL21" s="31">
        <v>7262670.3095375486</v>
      </c>
      <c r="AM21" s="31">
        <v>1975602.3925599693</v>
      </c>
      <c r="AN21" s="31">
        <v>7712341.9962698668</v>
      </c>
      <c r="AO21" s="31">
        <f t="shared" si="6"/>
        <v>64231686.277479656</v>
      </c>
      <c r="AP21" s="31">
        <v>1383916.72</v>
      </c>
      <c r="AR21" s="42" t="s">
        <v>227</v>
      </c>
      <c r="AS21" s="42" t="s">
        <v>228</v>
      </c>
      <c r="AT21" s="43" t="s">
        <v>1276</v>
      </c>
      <c r="AU21" s="44">
        <v>34</v>
      </c>
      <c r="AV21" s="31">
        <v>43462750.364708655</v>
      </c>
      <c r="AW21" s="31">
        <v>2383709.35</v>
      </c>
      <c r="AX21" s="31">
        <v>855155.41000000015</v>
      </c>
      <c r="AY21" s="31">
        <v>164778.71</v>
      </c>
      <c r="AZ21" s="31">
        <v>7411652.9276710283</v>
      </c>
      <c r="BA21" s="31">
        <v>1975685.5822007251</v>
      </c>
      <c r="BB21" s="31">
        <v>7870349.18283528</v>
      </c>
      <c r="BC21" s="31">
        <f t="shared" si="7"/>
        <v>65536634.427415691</v>
      </c>
      <c r="BD21" s="31">
        <v>1412552.9</v>
      </c>
    </row>
    <row r="22" spans="2:56">
      <c r="B22" s="42" t="s">
        <v>333</v>
      </c>
      <c r="C22" s="42" t="s">
        <v>334</v>
      </c>
      <c r="D22" s="43" t="s">
        <v>1049</v>
      </c>
      <c r="E22" s="44">
        <v>34</v>
      </c>
      <c r="F22" s="31">
        <v>7739781.7000827799</v>
      </c>
      <c r="G22" s="31">
        <v>580174.03</v>
      </c>
      <c r="H22" s="31">
        <v>532719.42999999993</v>
      </c>
      <c r="I22" s="31">
        <v>27478.850000000002</v>
      </c>
      <c r="J22" s="31">
        <v>975017.96678022982</v>
      </c>
      <c r="K22" s="31">
        <v>208965.42034072077</v>
      </c>
      <c r="L22" s="31">
        <v>813910.64368802216</v>
      </c>
      <c r="M22" s="31">
        <f t="shared" si="4"/>
        <v>11152739.090891752</v>
      </c>
      <c r="N22" s="31">
        <v>274691.05</v>
      </c>
      <c r="P22" s="42" t="s">
        <v>333</v>
      </c>
      <c r="Q22" s="42" t="s">
        <v>334</v>
      </c>
      <c r="R22" s="43" t="s">
        <v>1050</v>
      </c>
      <c r="S22" s="44">
        <v>34</v>
      </c>
      <c r="T22" s="31">
        <v>8370795.1360626612</v>
      </c>
      <c r="U22" s="31">
        <v>625429.85999999987</v>
      </c>
      <c r="V22" s="31">
        <v>570203.28</v>
      </c>
      <c r="W22" s="31">
        <v>29470.010000000002</v>
      </c>
      <c r="X22" s="31">
        <v>1037913.6187070931</v>
      </c>
      <c r="Y22" s="31">
        <v>209492.37062707744</v>
      </c>
      <c r="Z22" s="31">
        <v>876731.94367028773</v>
      </c>
      <c r="AA22" s="31">
        <f t="shared" si="5"/>
        <v>12009421.999067117</v>
      </c>
      <c r="AB22" s="31">
        <v>289385.77999999997</v>
      </c>
      <c r="AD22" s="42" t="s">
        <v>333</v>
      </c>
      <c r="AE22" s="42" t="s">
        <v>334</v>
      </c>
      <c r="AF22" s="43" t="s">
        <v>1275</v>
      </c>
      <c r="AG22" s="44">
        <v>34</v>
      </c>
      <c r="AH22" s="31">
        <v>8525480.0294945091</v>
      </c>
      <c r="AI22" s="31">
        <v>636690.99</v>
      </c>
      <c r="AJ22" s="31">
        <v>580461.4</v>
      </c>
      <c r="AK22" s="31">
        <v>29983.810000000005</v>
      </c>
      <c r="AL22" s="31">
        <v>1056942.3567978526</v>
      </c>
      <c r="AM22" s="31">
        <v>209092.03053118274</v>
      </c>
      <c r="AN22" s="31">
        <v>892780.8702845932</v>
      </c>
      <c r="AO22" s="31">
        <f t="shared" si="6"/>
        <v>12226139.257108139</v>
      </c>
      <c r="AP22" s="31">
        <v>294707.77</v>
      </c>
      <c r="AR22" s="42" t="s">
        <v>333</v>
      </c>
      <c r="AS22" s="42" t="s">
        <v>334</v>
      </c>
      <c r="AT22" s="43" t="s">
        <v>1276</v>
      </c>
      <c r="AU22" s="44">
        <v>34</v>
      </c>
      <c r="AV22" s="31">
        <v>8700030.4565362651</v>
      </c>
      <c r="AW22" s="31">
        <v>649494.49</v>
      </c>
      <c r="AX22" s="31">
        <v>592297.1100000001</v>
      </c>
      <c r="AY22" s="31">
        <v>30534.100000000002</v>
      </c>
      <c r="AZ22" s="31">
        <v>1078333.8351557385</v>
      </c>
      <c r="BA22" s="31">
        <v>209103.46881963688</v>
      </c>
      <c r="BB22" s="31">
        <v>910727.72729676613</v>
      </c>
      <c r="BC22" s="31">
        <f t="shared" si="7"/>
        <v>12471239.427808406</v>
      </c>
      <c r="BD22" s="31">
        <v>300718.24</v>
      </c>
    </row>
    <row r="23" spans="2:56">
      <c r="B23" s="42" t="s">
        <v>91</v>
      </c>
      <c r="C23" s="42" t="s">
        <v>92</v>
      </c>
      <c r="D23" s="43" t="s">
        <v>1049</v>
      </c>
      <c r="E23" s="44">
        <v>34</v>
      </c>
      <c r="F23" s="31">
        <v>6343488.0439552311</v>
      </c>
      <c r="G23" s="31">
        <v>443559.30999999994</v>
      </c>
      <c r="H23" s="31">
        <v>535545.25</v>
      </c>
      <c r="I23" s="31">
        <v>20950.2</v>
      </c>
      <c r="J23" s="31">
        <v>647627.22401884221</v>
      </c>
      <c r="K23" s="31">
        <v>200527.8836296314</v>
      </c>
      <c r="L23" s="31">
        <v>249918.29588849843</v>
      </c>
      <c r="M23" s="31">
        <f t="shared" si="4"/>
        <v>8656282.5474922024</v>
      </c>
      <c r="N23" s="31">
        <v>214666.34000000005</v>
      </c>
      <c r="P23" s="42" t="s">
        <v>91</v>
      </c>
      <c r="Q23" s="42" t="s">
        <v>92</v>
      </c>
      <c r="R23" s="43" t="s">
        <v>1050</v>
      </c>
      <c r="S23" s="44">
        <v>34</v>
      </c>
      <c r="T23" s="31">
        <v>6848687.26855666</v>
      </c>
      <c r="U23" s="31">
        <v>478218.75999999989</v>
      </c>
      <c r="V23" s="31">
        <v>573004.98</v>
      </c>
      <c r="W23" s="31">
        <v>22413.81</v>
      </c>
      <c r="X23" s="31">
        <v>689419.43736486766</v>
      </c>
      <c r="Y23" s="31">
        <v>200990.02934956015</v>
      </c>
      <c r="Z23" s="31">
        <v>269118.11553751666</v>
      </c>
      <c r="AA23" s="31">
        <f t="shared" si="5"/>
        <v>9308008.4708086047</v>
      </c>
      <c r="AB23" s="31">
        <v>226156.07000000004</v>
      </c>
      <c r="AD23" s="42" t="s">
        <v>91</v>
      </c>
      <c r="AE23" s="42" t="s">
        <v>92</v>
      </c>
      <c r="AF23" s="43" t="s">
        <v>1275</v>
      </c>
      <c r="AG23" s="44">
        <v>34</v>
      </c>
      <c r="AH23" s="31">
        <v>6975912.9470457025</v>
      </c>
      <c r="AI23" s="31">
        <v>486926.7</v>
      </c>
      <c r="AJ23" s="31">
        <v>583523.13</v>
      </c>
      <c r="AK23" s="31">
        <v>22804.59</v>
      </c>
      <c r="AL23" s="31">
        <v>702058.97166839323</v>
      </c>
      <c r="AM23" s="31">
        <v>200638.92324596015</v>
      </c>
      <c r="AN23" s="31">
        <v>273995.11813945498</v>
      </c>
      <c r="AO23" s="31">
        <f t="shared" si="6"/>
        <v>9476117.0700995103</v>
      </c>
      <c r="AP23" s="31">
        <v>230256.69</v>
      </c>
      <c r="AR23" s="42" t="s">
        <v>91</v>
      </c>
      <c r="AS23" s="42" t="s">
        <v>92</v>
      </c>
      <c r="AT23" s="43" t="s">
        <v>1276</v>
      </c>
      <c r="AU23" s="44">
        <v>34</v>
      </c>
      <c r="AV23" s="31">
        <v>7116774.9696184965</v>
      </c>
      <c r="AW23" s="31">
        <v>496673.25</v>
      </c>
      <c r="AX23" s="31">
        <v>595200.01</v>
      </c>
      <c r="AY23" s="31">
        <v>23223.119999999999</v>
      </c>
      <c r="AZ23" s="31">
        <v>716266.82861881587</v>
      </c>
      <c r="BA23" s="31">
        <v>200648.95484892014</v>
      </c>
      <c r="BB23" s="31">
        <v>279711.9834249033</v>
      </c>
      <c r="BC23" s="31">
        <f t="shared" si="7"/>
        <v>9663461.7065111361</v>
      </c>
      <c r="BD23" s="31">
        <v>234962.58999999997</v>
      </c>
    </row>
    <row r="24" spans="2:56">
      <c r="B24" s="42" t="s">
        <v>175</v>
      </c>
      <c r="C24" s="42" t="s">
        <v>176</v>
      </c>
      <c r="D24" s="43" t="s">
        <v>1049</v>
      </c>
      <c r="E24" s="44">
        <v>34</v>
      </c>
      <c r="F24" s="31">
        <v>687171.97915355011</v>
      </c>
      <c r="G24" s="31">
        <v>35469.12999999999</v>
      </c>
      <c r="H24" s="31">
        <v>0</v>
      </c>
      <c r="I24" s="31">
        <v>2046.29</v>
      </c>
      <c r="J24" s="31">
        <v>71998.760080828826</v>
      </c>
      <c r="K24" s="31">
        <v>97630.34124617363</v>
      </c>
      <c r="L24" s="31">
        <v>0</v>
      </c>
      <c r="M24" s="31">
        <f t="shared" si="4"/>
        <v>914876.94048055261</v>
      </c>
      <c r="N24" s="31">
        <v>20560.440000000002</v>
      </c>
      <c r="P24" s="42" t="s">
        <v>175</v>
      </c>
      <c r="Q24" s="42" t="s">
        <v>176</v>
      </c>
      <c r="R24" s="43" t="s">
        <v>1050</v>
      </c>
      <c r="S24" s="44">
        <v>34</v>
      </c>
      <c r="T24" s="31">
        <v>741116.76025465911</v>
      </c>
      <c r="U24" s="31">
        <v>38113.139999999985</v>
      </c>
      <c r="V24" s="31">
        <v>0</v>
      </c>
      <c r="W24" s="31">
        <v>2179.11</v>
      </c>
      <c r="X24" s="31">
        <v>76268.332432090581</v>
      </c>
      <c r="Y24" s="31">
        <v>97781.00653223104</v>
      </c>
      <c r="Z24" s="31">
        <v>0</v>
      </c>
      <c r="AA24" s="31">
        <f t="shared" si="5"/>
        <v>977011.62921898067</v>
      </c>
      <c r="AB24" s="31">
        <v>21553.280000000002</v>
      </c>
      <c r="AD24" s="42" t="s">
        <v>175</v>
      </c>
      <c r="AE24" s="42" t="s">
        <v>176</v>
      </c>
      <c r="AF24" s="43" t="s">
        <v>1275</v>
      </c>
      <c r="AG24" s="44">
        <v>34</v>
      </c>
      <c r="AH24" s="31">
        <v>754118.74844321818</v>
      </c>
      <c r="AI24" s="31">
        <v>38772.509999999987</v>
      </c>
      <c r="AJ24" s="31">
        <v>0</v>
      </c>
      <c r="AK24" s="31">
        <v>2217.11</v>
      </c>
      <c r="AL24" s="31">
        <v>77606.328655254008</v>
      </c>
      <c r="AM24" s="31">
        <v>97666.541550182621</v>
      </c>
      <c r="AN24" s="31">
        <v>0</v>
      </c>
      <c r="AO24" s="31">
        <f t="shared" si="6"/>
        <v>992315.41864865483</v>
      </c>
      <c r="AP24" s="31">
        <v>21934.18</v>
      </c>
      <c r="AR24" s="42" t="s">
        <v>175</v>
      </c>
      <c r="AS24" s="42" t="s">
        <v>176</v>
      </c>
      <c r="AT24" s="43" t="s">
        <v>1276</v>
      </c>
      <c r="AU24" s="44">
        <v>34</v>
      </c>
      <c r="AV24" s="31">
        <v>768041.84823104402</v>
      </c>
      <c r="AW24" s="31">
        <v>39478.709999999992</v>
      </c>
      <c r="AX24" s="31">
        <v>0</v>
      </c>
      <c r="AY24" s="31">
        <v>2257.7999999999997</v>
      </c>
      <c r="AZ24" s="31">
        <v>79039.304074264364</v>
      </c>
      <c r="BA24" s="31">
        <v>97669.811978241152</v>
      </c>
      <c r="BB24" s="31">
        <v>0</v>
      </c>
      <c r="BC24" s="31">
        <f t="shared" si="7"/>
        <v>1008829.5842835496</v>
      </c>
      <c r="BD24" s="31">
        <v>22342.11</v>
      </c>
    </row>
    <row r="25" spans="2:56">
      <c r="B25" s="42" t="s">
        <v>403</v>
      </c>
      <c r="C25" s="42" t="s">
        <v>404</v>
      </c>
      <c r="D25" s="43" t="s">
        <v>1049</v>
      </c>
      <c r="E25" s="44">
        <v>34</v>
      </c>
      <c r="F25" s="31">
        <v>27783206.817980524</v>
      </c>
      <c r="G25" s="31">
        <v>1270243.3699999999</v>
      </c>
      <c r="H25" s="31">
        <v>1290926.69</v>
      </c>
      <c r="I25" s="31">
        <v>104862.09</v>
      </c>
      <c r="J25" s="31">
        <v>4625190.9548425321</v>
      </c>
      <c r="K25" s="31">
        <v>2079618.5127864762</v>
      </c>
      <c r="L25" s="31">
        <v>3932026.1783980927</v>
      </c>
      <c r="M25" s="31">
        <f t="shared" si="4"/>
        <v>41539772.68400763</v>
      </c>
      <c r="N25" s="31">
        <v>453698.07</v>
      </c>
      <c r="P25" s="42" t="s">
        <v>403</v>
      </c>
      <c r="Q25" s="42" t="s">
        <v>404</v>
      </c>
      <c r="R25" s="43" t="s">
        <v>1050</v>
      </c>
      <c r="S25" s="44">
        <v>34</v>
      </c>
      <c r="T25" s="31">
        <v>29830848.215210188</v>
      </c>
      <c r="U25" s="31">
        <v>1354412.52</v>
      </c>
      <c r="V25" s="31">
        <v>1369603.93</v>
      </c>
      <c r="W25" s="31">
        <v>111179.04999999999</v>
      </c>
      <c r="X25" s="31">
        <v>4890520.457456721</v>
      </c>
      <c r="Y25" s="31">
        <v>2083725.4159279699</v>
      </c>
      <c r="Z25" s="31">
        <v>4206496.7903518938</v>
      </c>
      <c r="AA25" s="31">
        <f t="shared" si="5"/>
        <v>44321369.198946767</v>
      </c>
      <c r="AB25" s="31">
        <v>474582.82</v>
      </c>
      <c r="AD25" s="42" t="s">
        <v>403</v>
      </c>
      <c r="AE25" s="42" t="s">
        <v>404</v>
      </c>
      <c r="AF25" s="43" t="s">
        <v>1275</v>
      </c>
      <c r="AG25" s="44">
        <v>34</v>
      </c>
      <c r="AH25" s="31">
        <v>30389824.001334488</v>
      </c>
      <c r="AI25" s="31">
        <v>1379394.27</v>
      </c>
      <c r="AJ25" s="31">
        <v>1394831.46</v>
      </c>
      <c r="AK25" s="31">
        <v>113268.81</v>
      </c>
      <c r="AL25" s="31">
        <v>4981228.3430434614</v>
      </c>
      <c r="AM25" s="31">
        <v>2080521.1880507912</v>
      </c>
      <c r="AN25" s="31">
        <v>4284573.6562784323</v>
      </c>
      <c r="AO25" s="31">
        <f t="shared" si="6"/>
        <v>45107089.448707171</v>
      </c>
      <c r="AP25" s="31">
        <v>483447.72000000003</v>
      </c>
      <c r="AR25" s="42" t="s">
        <v>403</v>
      </c>
      <c r="AS25" s="42" t="s">
        <v>404</v>
      </c>
      <c r="AT25" s="43" t="s">
        <v>1276</v>
      </c>
      <c r="AU25" s="44">
        <v>34</v>
      </c>
      <c r="AV25" s="31">
        <v>31018318.720326539</v>
      </c>
      <c r="AW25" s="31">
        <v>1407336.8599999999</v>
      </c>
      <c r="AX25" s="31">
        <v>1423278.48</v>
      </c>
      <c r="AY25" s="31">
        <v>115624.64000000001</v>
      </c>
      <c r="AZ25" s="31">
        <v>5083208.1056018434</v>
      </c>
      <c r="BA25" s="31">
        <v>2080612.7374187105</v>
      </c>
      <c r="BB25" s="31">
        <v>4372407.5901739039</v>
      </c>
      <c r="BC25" s="31">
        <f t="shared" si="7"/>
        <v>45994197.623520993</v>
      </c>
      <c r="BD25" s="31">
        <v>493410.49</v>
      </c>
    </row>
    <row r="26" spans="2:56">
      <c r="B26" s="42" t="s">
        <v>67</v>
      </c>
      <c r="C26" s="42" t="s">
        <v>68</v>
      </c>
      <c r="D26" s="43" t="s">
        <v>1049</v>
      </c>
      <c r="E26" s="44">
        <v>34</v>
      </c>
      <c r="F26" s="31">
        <v>60835390.650329225</v>
      </c>
      <c r="G26" s="31">
        <v>725852.97</v>
      </c>
      <c r="H26" s="31">
        <v>379734.03</v>
      </c>
      <c r="I26" s="31">
        <v>214839.77000000002</v>
      </c>
      <c r="J26" s="31">
        <v>7341555.980055741</v>
      </c>
      <c r="K26" s="31">
        <v>3464597.7384328274</v>
      </c>
      <c r="L26" s="31">
        <v>4099741.4671753743</v>
      </c>
      <c r="M26" s="31">
        <f t="shared" si="4"/>
        <v>77061712.605993167</v>
      </c>
      <c r="N26" s="31">
        <v>0</v>
      </c>
      <c r="P26" s="42" t="s">
        <v>67</v>
      </c>
      <c r="Q26" s="42" t="s">
        <v>68</v>
      </c>
      <c r="R26" s="43" t="s">
        <v>1050</v>
      </c>
      <c r="S26" s="44">
        <v>34</v>
      </c>
      <c r="T26" s="31">
        <v>64641927.40839988</v>
      </c>
      <c r="U26" s="31">
        <v>770089.31</v>
      </c>
      <c r="V26" s="31">
        <v>402788.40000000008</v>
      </c>
      <c r="W26" s="31">
        <v>227925.86</v>
      </c>
      <c r="X26" s="31">
        <v>7761487.488317959</v>
      </c>
      <c r="Y26" s="31">
        <v>3469099.6258202349</v>
      </c>
      <c r="Z26" s="31">
        <v>4342678.5525463251</v>
      </c>
      <c r="AA26" s="31">
        <f t="shared" si="5"/>
        <v>81615996.645084396</v>
      </c>
      <c r="AB26" s="31">
        <v>0</v>
      </c>
      <c r="AD26" s="42" t="s">
        <v>67</v>
      </c>
      <c r="AE26" s="42" t="s">
        <v>68</v>
      </c>
      <c r="AF26" s="43" t="s">
        <v>1275</v>
      </c>
      <c r="AG26" s="44">
        <v>34</v>
      </c>
      <c r="AH26" s="31">
        <v>65858121.790909447</v>
      </c>
      <c r="AI26" s="31">
        <v>784224.3</v>
      </c>
      <c r="AJ26" s="31">
        <v>410111.47999999992</v>
      </c>
      <c r="AK26" s="31">
        <v>232168.67000000004</v>
      </c>
      <c r="AL26" s="31">
        <v>7904790.4488563277</v>
      </c>
      <c r="AM26" s="31">
        <v>3465620.8693350102</v>
      </c>
      <c r="AN26" s="31">
        <v>4423132.0261003142</v>
      </c>
      <c r="AO26" s="31">
        <f t="shared" si="6"/>
        <v>83078169.585201085</v>
      </c>
      <c r="AP26" s="31">
        <v>0</v>
      </c>
      <c r="AR26" s="42" t="s">
        <v>67</v>
      </c>
      <c r="AS26" s="42" t="s">
        <v>68</v>
      </c>
      <c r="AT26" s="43" t="s">
        <v>1276</v>
      </c>
      <c r="AU26" s="44">
        <v>34</v>
      </c>
      <c r="AV26" s="31">
        <v>67223454.947993919</v>
      </c>
      <c r="AW26" s="31">
        <v>800155.75</v>
      </c>
      <c r="AX26" s="31">
        <v>418526.93000000005</v>
      </c>
      <c r="AY26" s="31">
        <v>236821.04</v>
      </c>
      <c r="AZ26" s="31">
        <v>8065976.4032463469</v>
      </c>
      <c r="BA26" s="31">
        <v>3465720.2623774451</v>
      </c>
      <c r="BB26" s="31">
        <v>4513461.1558246948</v>
      </c>
      <c r="BC26" s="31">
        <f t="shared" si="7"/>
        <v>84724116.489442408</v>
      </c>
      <c r="BD26" s="31">
        <v>0</v>
      </c>
    </row>
    <row r="27" spans="2:56">
      <c r="B27" s="42" t="s">
        <v>49</v>
      </c>
      <c r="C27" s="42" t="s">
        <v>50</v>
      </c>
      <c r="D27" s="43" t="s">
        <v>1049</v>
      </c>
      <c r="E27" s="44">
        <v>34</v>
      </c>
      <c r="F27" s="31">
        <v>4802200.8960865419</v>
      </c>
      <c r="G27" s="31">
        <v>217004.93000000008</v>
      </c>
      <c r="H27" s="31">
        <v>0</v>
      </c>
      <c r="I27" s="31">
        <v>0</v>
      </c>
      <c r="J27" s="31">
        <v>606879.84933551261</v>
      </c>
      <c r="K27" s="31">
        <v>276064.10665396188</v>
      </c>
      <c r="L27" s="31">
        <v>67614.206827759874</v>
      </c>
      <c r="M27" s="31">
        <f t="shared" si="4"/>
        <v>6111543.1789037762</v>
      </c>
      <c r="N27" s="31">
        <v>141779.18999999997</v>
      </c>
      <c r="P27" s="42" t="s">
        <v>49</v>
      </c>
      <c r="Q27" s="42" t="s">
        <v>50</v>
      </c>
      <c r="R27" s="43" t="s">
        <v>1050</v>
      </c>
      <c r="S27" s="44">
        <v>34</v>
      </c>
      <c r="T27" s="31">
        <v>5176042.1425467869</v>
      </c>
      <c r="U27" s="31">
        <v>234599.70000000004</v>
      </c>
      <c r="V27" s="31">
        <v>0</v>
      </c>
      <c r="W27" s="31">
        <v>0</v>
      </c>
      <c r="X27" s="31">
        <v>646015.17537100927</v>
      </c>
      <c r="Y27" s="31">
        <v>276536.3794580822</v>
      </c>
      <c r="Z27" s="31">
        <v>72993.979404169047</v>
      </c>
      <c r="AA27" s="31">
        <f t="shared" si="5"/>
        <v>6555528.006780047</v>
      </c>
      <c r="AB27" s="31">
        <v>149340.62999999998</v>
      </c>
      <c r="AD27" s="42" t="s">
        <v>49</v>
      </c>
      <c r="AE27" s="42" t="s">
        <v>50</v>
      </c>
      <c r="AF27" s="43" t="s">
        <v>1275</v>
      </c>
      <c r="AG27" s="44">
        <v>34</v>
      </c>
      <c r="AH27" s="31">
        <v>5270579.1096030166</v>
      </c>
      <c r="AI27" s="31">
        <v>238867.23000000004</v>
      </c>
      <c r="AJ27" s="31">
        <v>0</v>
      </c>
      <c r="AK27" s="31">
        <v>0</v>
      </c>
      <c r="AL27" s="31">
        <v>657862.89467577683</v>
      </c>
      <c r="AM27" s="31">
        <v>276177.57950183353</v>
      </c>
      <c r="AN27" s="31">
        <v>74288.11970875485</v>
      </c>
      <c r="AO27" s="31">
        <f t="shared" si="6"/>
        <v>6669858.693489383</v>
      </c>
      <c r="AP27" s="31">
        <v>152083.76</v>
      </c>
      <c r="AR27" s="42" t="s">
        <v>49</v>
      </c>
      <c r="AS27" s="42" t="s">
        <v>50</v>
      </c>
      <c r="AT27" s="43" t="s">
        <v>1276</v>
      </c>
      <c r="AU27" s="44">
        <v>34</v>
      </c>
      <c r="AV27" s="31">
        <v>5375939.0072181243</v>
      </c>
      <c r="AW27" s="31">
        <v>243648.69</v>
      </c>
      <c r="AX27" s="31">
        <v>0</v>
      </c>
      <c r="AY27" s="31">
        <v>0</v>
      </c>
      <c r="AZ27" s="31">
        <v>671185.35141095764</v>
      </c>
      <c r="BA27" s="31">
        <v>276187.83092915494</v>
      </c>
      <c r="BB27" s="31">
        <v>75795.017256347812</v>
      </c>
      <c r="BC27" s="31">
        <f t="shared" si="7"/>
        <v>6797985.8168145847</v>
      </c>
      <c r="BD27" s="31">
        <v>155229.91999999998</v>
      </c>
    </row>
    <row r="28" spans="2:56">
      <c r="B28" s="42" t="s">
        <v>367</v>
      </c>
      <c r="C28" s="42" t="s">
        <v>368</v>
      </c>
      <c r="D28" s="43" t="s">
        <v>1049</v>
      </c>
      <c r="E28" s="44">
        <v>34</v>
      </c>
      <c r="F28" s="31">
        <v>1676580.6507552369</v>
      </c>
      <c r="G28" s="31">
        <v>36584.26</v>
      </c>
      <c r="H28" s="31">
        <v>0</v>
      </c>
      <c r="I28" s="31">
        <v>5408.1</v>
      </c>
      <c r="J28" s="31">
        <v>257049.6078094382</v>
      </c>
      <c r="K28" s="31">
        <v>111344.81278901687</v>
      </c>
      <c r="L28" s="31">
        <v>0</v>
      </c>
      <c r="M28" s="31">
        <f t="shared" si="4"/>
        <v>2086967.431353692</v>
      </c>
      <c r="N28" s="31">
        <v>0</v>
      </c>
      <c r="P28" s="42" t="s">
        <v>367</v>
      </c>
      <c r="Q28" s="42" t="s">
        <v>368</v>
      </c>
      <c r="R28" s="43" t="s">
        <v>1050</v>
      </c>
      <c r="S28" s="44">
        <v>34</v>
      </c>
      <c r="T28" s="31">
        <v>1792550.3200238352</v>
      </c>
      <c r="U28" s="31">
        <v>39161.29</v>
      </c>
      <c r="V28" s="31">
        <v>0</v>
      </c>
      <c r="W28" s="31">
        <v>5755.7</v>
      </c>
      <c r="X28" s="31">
        <v>273581.28543533629</v>
      </c>
      <c r="Y28" s="31">
        <v>111568.99244318699</v>
      </c>
      <c r="Z28" s="31">
        <v>0</v>
      </c>
      <c r="AA28" s="31">
        <f t="shared" si="5"/>
        <v>2222617.5879023587</v>
      </c>
      <c r="AB28" s="31">
        <v>0</v>
      </c>
      <c r="AD28" s="42" t="s">
        <v>367</v>
      </c>
      <c r="AE28" s="42" t="s">
        <v>368</v>
      </c>
      <c r="AF28" s="43" t="s">
        <v>1275</v>
      </c>
      <c r="AG28" s="44">
        <v>34</v>
      </c>
      <c r="AH28" s="31">
        <v>1825604.8569344198</v>
      </c>
      <c r="AI28" s="31">
        <v>39851.85</v>
      </c>
      <c r="AJ28" s="31">
        <v>0</v>
      </c>
      <c r="AK28" s="31">
        <v>5857.1900000000005</v>
      </c>
      <c r="AL28" s="31">
        <v>278609.91126413888</v>
      </c>
      <c r="AM28" s="31">
        <v>111396.80736516078</v>
      </c>
      <c r="AN28" s="31">
        <v>0</v>
      </c>
      <c r="AO28" s="31">
        <f t="shared" si="6"/>
        <v>2261320.6155637195</v>
      </c>
      <c r="AP28" s="31">
        <v>0</v>
      </c>
      <c r="AR28" s="42" t="s">
        <v>367</v>
      </c>
      <c r="AS28" s="42" t="s">
        <v>368</v>
      </c>
      <c r="AT28" s="43" t="s">
        <v>1276</v>
      </c>
      <c r="AU28" s="44">
        <v>34</v>
      </c>
      <c r="AV28" s="31">
        <v>1863039.0081299217</v>
      </c>
      <c r="AW28" s="31">
        <v>40591.449999999997</v>
      </c>
      <c r="AX28" s="31">
        <v>0</v>
      </c>
      <c r="AY28" s="31">
        <v>6082.87</v>
      </c>
      <c r="AZ28" s="31">
        <v>284292.29520341317</v>
      </c>
      <c r="BA28" s="31">
        <v>111401.72693881868</v>
      </c>
      <c r="BB28" s="31">
        <v>0</v>
      </c>
      <c r="BC28" s="31">
        <f t="shared" si="7"/>
        <v>2305407.3502721535</v>
      </c>
      <c r="BD28" s="31">
        <v>0</v>
      </c>
    </row>
    <row r="29" spans="2:56">
      <c r="B29" s="42" t="s">
        <v>1226</v>
      </c>
      <c r="C29" s="42" t="s">
        <v>1227</v>
      </c>
      <c r="D29" s="43" t="s">
        <v>1049</v>
      </c>
      <c r="E29" s="44">
        <v>34</v>
      </c>
      <c r="F29" s="31">
        <v>1747359.6558962683</v>
      </c>
      <c r="G29" s="31">
        <v>51491.609999999993</v>
      </c>
      <c r="H29" s="31">
        <v>16260.520000000002</v>
      </c>
      <c r="I29" s="31">
        <v>0</v>
      </c>
      <c r="J29" s="31">
        <v>131410.50776088261</v>
      </c>
      <c r="K29" s="31">
        <v>47195.07</v>
      </c>
      <c r="L29" s="31">
        <v>0</v>
      </c>
      <c r="M29" s="31">
        <f t="shared" si="4"/>
        <v>2027480.523657151</v>
      </c>
      <c r="N29" s="31">
        <v>33763.159999999996</v>
      </c>
      <c r="P29" s="42" t="s">
        <v>1226</v>
      </c>
      <c r="Q29" s="42" t="s">
        <v>1227</v>
      </c>
      <c r="R29" s="43" t="s">
        <v>1050</v>
      </c>
      <c r="S29" s="44">
        <v>34</v>
      </c>
      <c r="T29" s="31">
        <v>1856682.6132448525</v>
      </c>
      <c r="U29" s="31">
        <v>55637.049999999996</v>
      </c>
      <c r="V29" s="31">
        <v>17418.560000000001</v>
      </c>
      <c r="W29" s="31">
        <v>0</v>
      </c>
      <c r="X29" s="31">
        <v>139859.23085194262</v>
      </c>
      <c r="Y29" s="31">
        <v>47195.07</v>
      </c>
      <c r="Z29" s="31">
        <v>0</v>
      </c>
      <c r="AA29" s="31">
        <f t="shared" si="5"/>
        <v>2152452.7940967954</v>
      </c>
      <c r="AB29" s="31">
        <v>35660.269999999997</v>
      </c>
      <c r="AD29" s="42" t="s">
        <v>1226</v>
      </c>
      <c r="AE29" s="42" t="s">
        <v>1227</v>
      </c>
      <c r="AF29" s="43" t="s">
        <v>1275</v>
      </c>
      <c r="AG29" s="44">
        <v>34</v>
      </c>
      <c r="AH29" s="31">
        <v>1890729.4717361657</v>
      </c>
      <c r="AI29" s="31">
        <v>56618.369999999988</v>
      </c>
      <c r="AJ29" s="31">
        <v>17728.11</v>
      </c>
      <c r="AK29" s="31">
        <v>0</v>
      </c>
      <c r="AL29" s="31">
        <v>142463.76235768985</v>
      </c>
      <c r="AM29" s="31">
        <v>47195.07</v>
      </c>
      <c r="AN29" s="31">
        <v>0</v>
      </c>
      <c r="AO29" s="31">
        <f t="shared" si="6"/>
        <v>2191036.2140938556</v>
      </c>
      <c r="AP29" s="31">
        <v>36301.43</v>
      </c>
      <c r="AR29" s="42" t="s">
        <v>1226</v>
      </c>
      <c r="AS29" s="42" t="s">
        <v>1227</v>
      </c>
      <c r="AT29" s="43" t="s">
        <v>1276</v>
      </c>
      <c r="AU29" s="44">
        <v>34</v>
      </c>
      <c r="AV29" s="31">
        <v>1926528.9050747324</v>
      </c>
      <c r="AW29" s="31">
        <v>57793.899999999972</v>
      </c>
      <c r="AX29" s="31">
        <v>18059.63</v>
      </c>
      <c r="AY29" s="31">
        <v>0</v>
      </c>
      <c r="AZ29" s="31">
        <v>145391.88320681735</v>
      </c>
      <c r="BA29" s="31">
        <v>47195.07</v>
      </c>
      <c r="BB29" s="31">
        <v>0</v>
      </c>
      <c r="BC29" s="31">
        <f t="shared" si="7"/>
        <v>2231957.4982815492</v>
      </c>
      <c r="BD29" s="31">
        <v>36988.110000000008</v>
      </c>
    </row>
    <row r="30" spans="2:56">
      <c r="B30" s="42" t="s">
        <v>39</v>
      </c>
      <c r="C30" s="42" t="s">
        <v>40</v>
      </c>
      <c r="D30" s="43" t="s">
        <v>1049</v>
      </c>
      <c r="E30" s="44">
        <v>34</v>
      </c>
      <c r="F30" s="31">
        <v>9398777.6727278605</v>
      </c>
      <c r="G30" s="31">
        <v>310549.99</v>
      </c>
      <c r="H30" s="31">
        <v>232108.59</v>
      </c>
      <c r="I30" s="31">
        <v>0</v>
      </c>
      <c r="J30" s="31">
        <v>983613.64915245574</v>
      </c>
      <c r="K30" s="31">
        <v>941105.18427397101</v>
      </c>
      <c r="L30" s="31">
        <v>1552784.7394475355</v>
      </c>
      <c r="M30" s="31">
        <f t="shared" si="4"/>
        <v>13424104.285601825</v>
      </c>
      <c r="N30" s="31">
        <v>5164.46</v>
      </c>
      <c r="P30" s="42" t="s">
        <v>39</v>
      </c>
      <c r="Q30" s="42" t="s">
        <v>40</v>
      </c>
      <c r="R30" s="43" t="s">
        <v>1050</v>
      </c>
      <c r="S30" s="44">
        <v>34</v>
      </c>
      <c r="T30" s="31">
        <v>10057220.88597923</v>
      </c>
      <c r="U30" s="31">
        <v>332453.64000000007</v>
      </c>
      <c r="V30" s="31">
        <v>248523.54</v>
      </c>
      <c r="W30" s="31">
        <v>0</v>
      </c>
      <c r="X30" s="31">
        <v>1047091.6154022344</v>
      </c>
      <c r="Y30" s="31">
        <v>943665.27706888935</v>
      </c>
      <c r="Z30" s="31">
        <v>1656105.6031543831</v>
      </c>
      <c r="AA30" s="31">
        <f t="shared" si="5"/>
        <v>14290474.411604736</v>
      </c>
      <c r="AB30" s="31">
        <v>5413.85</v>
      </c>
      <c r="AD30" s="42" t="s">
        <v>39</v>
      </c>
      <c r="AE30" s="42" t="s">
        <v>40</v>
      </c>
      <c r="AF30" s="43" t="s">
        <v>1275</v>
      </c>
      <c r="AG30" s="44">
        <v>34</v>
      </c>
      <c r="AH30" s="31">
        <v>10248361.311276104</v>
      </c>
      <c r="AI30" s="31">
        <v>338459.77999999997</v>
      </c>
      <c r="AJ30" s="31">
        <v>252856.49999999997</v>
      </c>
      <c r="AK30" s="31">
        <v>0</v>
      </c>
      <c r="AL30" s="31">
        <v>1066279.6329195213</v>
      </c>
      <c r="AM30" s="31">
        <v>941720.29701753939</v>
      </c>
      <c r="AN30" s="31">
        <v>1686606.5066927308</v>
      </c>
      <c r="AO30" s="31">
        <f t="shared" si="6"/>
        <v>14539793.557905896</v>
      </c>
      <c r="AP30" s="31">
        <v>5509.5300000000007</v>
      </c>
      <c r="AR30" s="42" t="s">
        <v>39</v>
      </c>
      <c r="AS30" s="42" t="s">
        <v>40</v>
      </c>
      <c r="AT30" s="43" t="s">
        <v>1276</v>
      </c>
      <c r="AU30" s="44">
        <v>34</v>
      </c>
      <c r="AV30" s="31">
        <v>10463202.38934855</v>
      </c>
      <c r="AW30" s="31">
        <v>345315.18999999994</v>
      </c>
      <c r="AX30" s="31">
        <v>258034.7</v>
      </c>
      <c r="AY30" s="31">
        <v>0</v>
      </c>
      <c r="AZ30" s="31">
        <v>1087869.0888434455</v>
      </c>
      <c r="BA30" s="31">
        <v>941775.86787614936</v>
      </c>
      <c r="BB30" s="31">
        <v>1720879.4772990297</v>
      </c>
      <c r="BC30" s="31">
        <f t="shared" si="7"/>
        <v>14822688.703367174</v>
      </c>
      <c r="BD30" s="31">
        <v>5611.99</v>
      </c>
    </row>
    <row r="31" spans="2:56">
      <c r="B31" s="42" t="s">
        <v>37</v>
      </c>
      <c r="C31" s="42" t="s">
        <v>38</v>
      </c>
      <c r="D31" s="43" t="s">
        <v>1049</v>
      </c>
      <c r="E31" s="44">
        <v>34</v>
      </c>
      <c r="F31" s="31">
        <v>12392364.707411379</v>
      </c>
      <c r="G31" s="31">
        <v>441258.63</v>
      </c>
      <c r="H31" s="31">
        <v>310111.81</v>
      </c>
      <c r="I31" s="31">
        <v>45497.859999999993</v>
      </c>
      <c r="J31" s="31">
        <v>1848344.4327993318</v>
      </c>
      <c r="K31" s="31">
        <v>478942.58102959208</v>
      </c>
      <c r="L31" s="31">
        <v>1622373.0229085854</v>
      </c>
      <c r="M31" s="31">
        <f t="shared" si="4"/>
        <v>17138893.044148888</v>
      </c>
      <c r="N31" s="31">
        <v>0</v>
      </c>
      <c r="P31" s="42" t="s">
        <v>37</v>
      </c>
      <c r="Q31" s="42" t="s">
        <v>38</v>
      </c>
      <c r="R31" s="43" t="s">
        <v>1050</v>
      </c>
      <c r="S31" s="44">
        <v>34</v>
      </c>
      <c r="T31" s="31">
        <v>13255941.538956776</v>
      </c>
      <c r="U31" s="31">
        <v>472037.51</v>
      </c>
      <c r="V31" s="31">
        <v>331768.8</v>
      </c>
      <c r="W31" s="31">
        <v>48653.700000000004</v>
      </c>
      <c r="X31" s="31">
        <v>1967517.9584918539</v>
      </c>
      <c r="Y31" s="31">
        <v>479733.73793365352</v>
      </c>
      <c r="Z31" s="31">
        <v>1730570.2374185827</v>
      </c>
      <c r="AA31" s="31">
        <f t="shared" si="5"/>
        <v>18286223.482800867</v>
      </c>
      <c r="AB31" s="31">
        <v>0</v>
      </c>
      <c r="AD31" s="42" t="s">
        <v>37</v>
      </c>
      <c r="AE31" s="42" t="s">
        <v>38</v>
      </c>
      <c r="AF31" s="43" t="s">
        <v>1275</v>
      </c>
      <c r="AG31" s="44">
        <v>34</v>
      </c>
      <c r="AH31" s="31">
        <v>13501897.94276705</v>
      </c>
      <c r="AI31" s="31">
        <v>480634.72000000003</v>
      </c>
      <c r="AJ31" s="31">
        <v>337799.44</v>
      </c>
      <c r="AK31" s="31">
        <v>49615.310000000005</v>
      </c>
      <c r="AL31" s="31">
        <v>2003660.1475757814</v>
      </c>
      <c r="AM31" s="31">
        <v>479132.6720664546</v>
      </c>
      <c r="AN31" s="31">
        <v>1762266.048724083</v>
      </c>
      <c r="AO31" s="31">
        <f t="shared" si="6"/>
        <v>18615006.281133369</v>
      </c>
      <c r="AP31" s="31">
        <v>0</v>
      </c>
      <c r="AR31" s="42" t="s">
        <v>37</v>
      </c>
      <c r="AS31" s="42" t="s">
        <v>38</v>
      </c>
      <c r="AT31" s="43" t="s">
        <v>1276</v>
      </c>
      <c r="AU31" s="44">
        <v>34</v>
      </c>
      <c r="AV31" s="31">
        <v>13778510.992304407</v>
      </c>
      <c r="AW31" s="31">
        <v>490387.67999999993</v>
      </c>
      <c r="AX31" s="31">
        <v>344696.01000000007</v>
      </c>
      <c r="AY31" s="31">
        <v>50530.180000000008</v>
      </c>
      <c r="AZ31" s="31">
        <v>2044333.4736952092</v>
      </c>
      <c r="BA31" s="31">
        <v>479149.84537694597</v>
      </c>
      <c r="BB31" s="31">
        <v>1798065.2211386166</v>
      </c>
      <c r="BC31" s="31">
        <f t="shared" si="7"/>
        <v>18985673.402515177</v>
      </c>
      <c r="BD31" s="31">
        <v>0</v>
      </c>
    </row>
    <row r="32" spans="2:56">
      <c r="B32" s="42" t="s">
        <v>81</v>
      </c>
      <c r="C32" s="42" t="s">
        <v>82</v>
      </c>
      <c r="D32" s="43" t="s">
        <v>1049</v>
      </c>
      <c r="E32" s="44">
        <v>34</v>
      </c>
      <c r="F32" s="31">
        <v>11571339.715994649</v>
      </c>
      <c r="G32" s="31">
        <v>460319.44999999995</v>
      </c>
      <c r="H32" s="31">
        <v>32740.770000000004</v>
      </c>
      <c r="I32" s="31">
        <v>39464.32</v>
      </c>
      <c r="J32" s="31">
        <v>1819293.8537274187</v>
      </c>
      <c r="K32" s="31">
        <v>883520.31797443726</v>
      </c>
      <c r="L32" s="31">
        <v>675681.01465600077</v>
      </c>
      <c r="M32" s="31">
        <f t="shared" si="4"/>
        <v>15647037.662352504</v>
      </c>
      <c r="N32" s="31">
        <v>164678.22</v>
      </c>
      <c r="P32" s="42" t="s">
        <v>81</v>
      </c>
      <c r="Q32" s="42" t="s">
        <v>82</v>
      </c>
      <c r="R32" s="43" t="s">
        <v>1050</v>
      </c>
      <c r="S32" s="44">
        <v>34</v>
      </c>
      <c r="T32" s="31">
        <v>12503284.101784632</v>
      </c>
      <c r="U32" s="31">
        <v>495438.70999999996</v>
      </c>
      <c r="V32" s="31">
        <v>34969.71</v>
      </c>
      <c r="W32" s="31">
        <v>42129.67</v>
      </c>
      <c r="X32" s="31">
        <v>1936664.7958380207</v>
      </c>
      <c r="Y32" s="31">
        <v>885647.04832887219</v>
      </c>
      <c r="Z32" s="31">
        <v>727644.42824471858</v>
      </c>
      <c r="AA32" s="31">
        <f t="shared" si="5"/>
        <v>16799226.064196248</v>
      </c>
      <c r="AB32" s="31">
        <v>173447.6</v>
      </c>
      <c r="AD32" s="42" t="s">
        <v>81</v>
      </c>
      <c r="AE32" s="42" t="s">
        <v>82</v>
      </c>
      <c r="AF32" s="43" t="s">
        <v>1275</v>
      </c>
      <c r="AG32" s="44">
        <v>34</v>
      </c>
      <c r="AH32" s="31">
        <v>12737891.84978669</v>
      </c>
      <c r="AI32" s="31">
        <v>504353.78</v>
      </c>
      <c r="AJ32" s="31">
        <v>35579.4</v>
      </c>
      <c r="AK32" s="31">
        <v>42969.759999999987</v>
      </c>
      <c r="AL32" s="31">
        <v>1972147.8856573312</v>
      </c>
      <c r="AM32" s="31">
        <v>884031.30685177131</v>
      </c>
      <c r="AN32" s="31">
        <v>741174.12876481563</v>
      </c>
      <c r="AO32" s="31">
        <f t="shared" si="6"/>
        <v>17094764.871060606</v>
      </c>
      <c r="AP32" s="31">
        <v>176616.76</v>
      </c>
      <c r="AR32" s="42" t="s">
        <v>81</v>
      </c>
      <c r="AS32" s="42" t="s">
        <v>82</v>
      </c>
      <c r="AT32" s="43" t="s">
        <v>1276</v>
      </c>
      <c r="AU32" s="44">
        <v>34</v>
      </c>
      <c r="AV32" s="31">
        <v>13001065.871768961</v>
      </c>
      <c r="AW32" s="31">
        <v>514431.71000000014</v>
      </c>
      <c r="AX32" s="31">
        <v>36339.89</v>
      </c>
      <c r="AY32" s="31">
        <v>43865.889999999992</v>
      </c>
      <c r="AZ32" s="31">
        <v>2012080.4626812758</v>
      </c>
      <c r="BA32" s="31">
        <v>884077.4708939743</v>
      </c>
      <c r="BB32" s="31">
        <v>756460.72895480692</v>
      </c>
      <c r="BC32" s="31">
        <f t="shared" si="7"/>
        <v>17428541.19429902</v>
      </c>
      <c r="BD32" s="31">
        <v>180219.16999999998</v>
      </c>
    </row>
    <row r="33" spans="2:56">
      <c r="B33" s="42" t="s">
        <v>1228</v>
      </c>
      <c r="C33" s="42" t="s">
        <v>1229</v>
      </c>
      <c r="D33" s="43" t="s">
        <v>1049</v>
      </c>
      <c r="E33" s="44">
        <v>34</v>
      </c>
      <c r="F33" s="31">
        <v>3215127.0694825966</v>
      </c>
      <c r="G33" s="31">
        <v>111678.11000000003</v>
      </c>
      <c r="H33" s="31">
        <v>0</v>
      </c>
      <c r="I33" s="31">
        <v>9824.06</v>
      </c>
      <c r="J33" s="31">
        <v>321473.46905599075</v>
      </c>
      <c r="K33" s="31">
        <v>47657.04</v>
      </c>
      <c r="L33" s="31">
        <v>0</v>
      </c>
      <c r="M33" s="31">
        <f t="shared" si="4"/>
        <v>3705759.7485385872</v>
      </c>
      <c r="N33" s="31">
        <v>0</v>
      </c>
      <c r="P33" s="42" t="s">
        <v>1228</v>
      </c>
      <c r="Q33" s="42" t="s">
        <v>1229</v>
      </c>
      <c r="R33" s="43" t="s">
        <v>1050</v>
      </c>
      <c r="S33" s="44">
        <v>34</v>
      </c>
      <c r="T33" s="31">
        <v>3483594.1659429339</v>
      </c>
      <c r="U33" s="31">
        <v>119407.3</v>
      </c>
      <c r="V33" s="31">
        <v>0</v>
      </c>
      <c r="W33" s="31">
        <v>10451.16</v>
      </c>
      <c r="X33" s="31">
        <v>342059.45577894739</v>
      </c>
      <c r="Y33" s="31">
        <v>47657.04</v>
      </c>
      <c r="Z33" s="31">
        <v>0</v>
      </c>
      <c r="AA33" s="31">
        <f t="shared" si="5"/>
        <v>4003169.1217218814</v>
      </c>
      <c r="AB33" s="31">
        <v>0</v>
      </c>
      <c r="AD33" s="42" t="s">
        <v>1228</v>
      </c>
      <c r="AE33" s="42" t="s">
        <v>1229</v>
      </c>
      <c r="AF33" s="43" t="s">
        <v>1275</v>
      </c>
      <c r="AG33" s="44">
        <v>34</v>
      </c>
      <c r="AH33" s="31">
        <v>3548174.0196228754</v>
      </c>
      <c r="AI33" s="31">
        <v>121651.58</v>
      </c>
      <c r="AJ33" s="31">
        <v>0</v>
      </c>
      <c r="AK33" s="31">
        <v>10636.89</v>
      </c>
      <c r="AL33" s="31">
        <v>348403.55219605012</v>
      </c>
      <c r="AM33" s="31">
        <v>47657.04</v>
      </c>
      <c r="AN33" s="31">
        <v>0</v>
      </c>
      <c r="AO33" s="31">
        <f t="shared" si="6"/>
        <v>4076523.0818189257</v>
      </c>
      <c r="AP33" s="31">
        <v>0</v>
      </c>
      <c r="AR33" s="42" t="s">
        <v>1228</v>
      </c>
      <c r="AS33" s="42" t="s">
        <v>1229</v>
      </c>
      <c r="AT33" s="43" t="s">
        <v>1276</v>
      </c>
      <c r="AU33" s="44">
        <v>34</v>
      </c>
      <c r="AV33" s="31">
        <v>3620634.6859979415</v>
      </c>
      <c r="AW33" s="31">
        <v>124175.65000000001</v>
      </c>
      <c r="AX33" s="31">
        <v>0</v>
      </c>
      <c r="AY33" s="31">
        <v>10835.8</v>
      </c>
      <c r="AZ33" s="31">
        <v>355547.54169606412</v>
      </c>
      <c r="BA33" s="31">
        <v>47657.04</v>
      </c>
      <c r="BB33" s="31">
        <v>0</v>
      </c>
      <c r="BC33" s="31">
        <f t="shared" si="7"/>
        <v>4158850.7176940055</v>
      </c>
      <c r="BD33" s="31">
        <v>0</v>
      </c>
    </row>
    <row r="34" spans="2:56">
      <c r="B34" s="42" t="s">
        <v>255</v>
      </c>
      <c r="C34" s="42" t="s">
        <v>256</v>
      </c>
      <c r="D34" s="43" t="s">
        <v>1049</v>
      </c>
      <c r="E34" s="44">
        <v>34</v>
      </c>
      <c r="F34" s="31">
        <v>895447.40019107971</v>
      </c>
      <c r="G34" s="31">
        <v>18663.190000000002</v>
      </c>
      <c r="H34" s="31">
        <v>0</v>
      </c>
      <c r="I34" s="31">
        <v>0</v>
      </c>
      <c r="J34" s="31">
        <v>72461.669974238175</v>
      </c>
      <c r="K34" s="31">
        <v>106398.64056856248</v>
      </c>
      <c r="L34" s="31">
        <v>0</v>
      </c>
      <c r="M34" s="31">
        <f t="shared" si="4"/>
        <v>1092970.9007338805</v>
      </c>
      <c r="N34" s="31">
        <v>0</v>
      </c>
      <c r="P34" s="42" t="s">
        <v>255</v>
      </c>
      <c r="Q34" s="42" t="s">
        <v>256</v>
      </c>
      <c r="R34" s="43" t="s">
        <v>1050</v>
      </c>
      <c r="S34" s="44">
        <v>34</v>
      </c>
      <c r="T34" s="31">
        <v>952448.0110840199</v>
      </c>
      <c r="U34" s="31">
        <v>19869.599999999999</v>
      </c>
      <c r="V34" s="31">
        <v>0</v>
      </c>
      <c r="W34" s="31">
        <v>0</v>
      </c>
      <c r="X34" s="31">
        <v>76751.314284256834</v>
      </c>
      <c r="Y34" s="31">
        <v>106690.77648563929</v>
      </c>
      <c r="Z34" s="31">
        <v>0</v>
      </c>
      <c r="AA34" s="31">
        <f t="shared" si="5"/>
        <v>1155759.701853916</v>
      </c>
      <c r="AB34" s="31">
        <v>0</v>
      </c>
      <c r="AD34" s="42" t="s">
        <v>255</v>
      </c>
      <c r="AE34" s="42" t="s">
        <v>256</v>
      </c>
      <c r="AF34" s="43" t="s">
        <v>1275</v>
      </c>
      <c r="AG34" s="44">
        <v>34</v>
      </c>
      <c r="AH34" s="31">
        <v>969100.81266901596</v>
      </c>
      <c r="AI34" s="31">
        <v>20217.679999999997</v>
      </c>
      <c r="AJ34" s="31">
        <v>0</v>
      </c>
      <c r="AK34" s="31">
        <v>0</v>
      </c>
      <c r="AL34" s="31">
        <v>78101.45657540315</v>
      </c>
      <c r="AM34" s="31">
        <v>106468.83197951628</v>
      </c>
      <c r="AN34" s="31">
        <v>0</v>
      </c>
      <c r="AO34" s="31">
        <f t="shared" si="6"/>
        <v>1173888.7812239353</v>
      </c>
      <c r="AP34" s="31">
        <v>0</v>
      </c>
      <c r="AR34" s="42" t="s">
        <v>255</v>
      </c>
      <c r="AS34" s="42" t="s">
        <v>256</v>
      </c>
      <c r="AT34" s="43" t="s">
        <v>1276</v>
      </c>
      <c r="AU34" s="44">
        <v>34</v>
      </c>
      <c r="AV34" s="31">
        <v>986935.99166844692</v>
      </c>
      <c r="AW34" s="31">
        <v>20590.490000000002</v>
      </c>
      <c r="AX34" s="31">
        <v>0</v>
      </c>
      <c r="AY34" s="31">
        <v>0</v>
      </c>
      <c r="AZ34" s="31">
        <v>79547.440961907123</v>
      </c>
      <c r="BA34" s="31">
        <v>106475.17325111979</v>
      </c>
      <c r="BB34" s="31">
        <v>0</v>
      </c>
      <c r="BC34" s="31">
        <f t="shared" si="7"/>
        <v>1193549.0958814737</v>
      </c>
      <c r="BD34" s="31">
        <v>0</v>
      </c>
    </row>
    <row r="35" spans="2:56">
      <c r="B35" s="42" t="s">
        <v>233</v>
      </c>
      <c r="C35" s="42" t="s">
        <v>234</v>
      </c>
      <c r="D35" s="43" t="s">
        <v>1049</v>
      </c>
      <c r="E35" s="44">
        <v>34</v>
      </c>
      <c r="F35" s="31">
        <v>100811593.27431473</v>
      </c>
      <c r="G35" s="31">
        <v>3057766.8500000006</v>
      </c>
      <c r="H35" s="31">
        <v>763340.74</v>
      </c>
      <c r="I35" s="31">
        <v>361909.32999999996</v>
      </c>
      <c r="J35" s="31">
        <v>16234883.168405313</v>
      </c>
      <c r="K35" s="31">
        <v>5555917.4045732347</v>
      </c>
      <c r="L35" s="31">
        <v>7774165.2287344141</v>
      </c>
      <c r="M35" s="31">
        <f t="shared" si="4"/>
        <v>134896078.25602767</v>
      </c>
      <c r="N35" s="31">
        <v>336502.25999999995</v>
      </c>
      <c r="P35" s="42" t="s">
        <v>233</v>
      </c>
      <c r="Q35" s="42" t="s">
        <v>234</v>
      </c>
      <c r="R35" s="43" t="s">
        <v>1050</v>
      </c>
      <c r="S35" s="44">
        <v>34</v>
      </c>
      <c r="T35" s="31">
        <v>107803972.8060509</v>
      </c>
      <c r="U35" s="31">
        <v>3273882.9200000009</v>
      </c>
      <c r="V35" s="31">
        <v>816150.08000000019</v>
      </c>
      <c r="W35" s="31">
        <v>386932.50999999995</v>
      </c>
      <c r="X35" s="31">
        <v>17277140.914483637</v>
      </c>
      <c r="Y35" s="31">
        <v>5570923.9403285999</v>
      </c>
      <c r="Z35" s="31">
        <v>8287970.3572531613</v>
      </c>
      <c r="AA35" s="31">
        <f t="shared" si="5"/>
        <v>143771799.11811632</v>
      </c>
      <c r="AB35" s="31">
        <v>354825.59</v>
      </c>
      <c r="AD35" s="42" t="s">
        <v>233</v>
      </c>
      <c r="AE35" s="42" t="s">
        <v>234</v>
      </c>
      <c r="AF35" s="43" t="s">
        <v>1275</v>
      </c>
      <c r="AG35" s="44">
        <v>34</v>
      </c>
      <c r="AH35" s="31">
        <v>109880092.13845888</v>
      </c>
      <c r="AI35" s="31">
        <v>3334438.3999999994</v>
      </c>
      <c r="AJ35" s="31">
        <v>831143.14</v>
      </c>
      <c r="AK35" s="31">
        <v>394053.30000000005</v>
      </c>
      <c r="AL35" s="31">
        <v>17598248.83722157</v>
      </c>
      <c r="AM35" s="31">
        <v>5559172.0674183704</v>
      </c>
      <c r="AN35" s="31">
        <v>8441888.8871365748</v>
      </c>
      <c r="AO35" s="31">
        <f t="shared" si="6"/>
        <v>146400483.27023539</v>
      </c>
      <c r="AP35" s="31">
        <v>361446.49999999994</v>
      </c>
      <c r="AR35" s="42" t="s">
        <v>233</v>
      </c>
      <c r="AS35" s="42" t="s">
        <v>234</v>
      </c>
      <c r="AT35" s="43" t="s">
        <v>1276</v>
      </c>
      <c r="AU35" s="44">
        <v>34</v>
      </c>
      <c r="AV35" s="31">
        <v>112205613.81623121</v>
      </c>
      <c r="AW35" s="31">
        <v>3402578.83</v>
      </c>
      <c r="AX35" s="31">
        <v>848180.62</v>
      </c>
      <c r="AY35" s="31">
        <v>402169.64999999997</v>
      </c>
      <c r="AZ35" s="31">
        <v>17959285.933292743</v>
      </c>
      <c r="BA35" s="31">
        <v>5559507.8352158051</v>
      </c>
      <c r="BB35" s="31">
        <v>8615524.0764134191</v>
      </c>
      <c r="BC35" s="31">
        <f t="shared" si="7"/>
        <v>149361758.87115321</v>
      </c>
      <c r="BD35" s="31">
        <v>368898.10999999993</v>
      </c>
    </row>
    <row r="36" spans="2:56">
      <c r="B36" s="42" t="s">
        <v>463</v>
      </c>
      <c r="C36" s="42" t="s">
        <v>464</v>
      </c>
      <c r="D36" s="43" t="s">
        <v>1049</v>
      </c>
      <c r="E36" s="44">
        <v>34</v>
      </c>
      <c r="F36" s="31">
        <v>115808044.69396487</v>
      </c>
      <c r="G36" s="31">
        <v>3350081.08</v>
      </c>
      <c r="H36" s="31">
        <v>763268.91</v>
      </c>
      <c r="I36" s="31">
        <v>394837.94</v>
      </c>
      <c r="J36" s="31">
        <v>18413126.553750012</v>
      </c>
      <c r="K36" s="31">
        <v>6595479.5111921662</v>
      </c>
      <c r="L36" s="31">
        <v>6680697.2382057672</v>
      </c>
      <c r="M36" s="31">
        <f t="shared" si="4"/>
        <v>152985907.25711283</v>
      </c>
      <c r="N36" s="31">
        <v>980371.33</v>
      </c>
      <c r="P36" s="42" t="s">
        <v>463</v>
      </c>
      <c r="Q36" s="42" t="s">
        <v>464</v>
      </c>
      <c r="R36" s="43" t="s">
        <v>1050</v>
      </c>
      <c r="S36" s="44">
        <v>34</v>
      </c>
      <c r="T36" s="31">
        <v>123909823.77680396</v>
      </c>
      <c r="U36" s="31">
        <v>3601443.2600000007</v>
      </c>
      <c r="V36" s="31">
        <v>816858.99</v>
      </c>
      <c r="W36" s="31">
        <v>422541.89</v>
      </c>
      <c r="X36" s="31">
        <v>19601101.554076687</v>
      </c>
      <c r="Y36" s="31">
        <v>6608135.2509736586</v>
      </c>
      <c r="Z36" s="31">
        <v>7126210.2502195481</v>
      </c>
      <c r="AA36" s="31">
        <f t="shared" si="5"/>
        <v>163118935.18207386</v>
      </c>
      <c r="AB36" s="31">
        <v>1032820.2099999998</v>
      </c>
      <c r="AD36" s="42" t="s">
        <v>463</v>
      </c>
      <c r="AE36" s="42" t="s">
        <v>464</v>
      </c>
      <c r="AF36" s="43" t="s">
        <v>1275</v>
      </c>
      <c r="AG36" s="44">
        <v>34</v>
      </c>
      <c r="AH36" s="31">
        <v>126225880.22669487</v>
      </c>
      <c r="AI36" s="31">
        <v>3666639.5200000005</v>
      </c>
      <c r="AJ36" s="31">
        <v>831734.23999999987</v>
      </c>
      <c r="AK36" s="31">
        <v>430225.58000000007</v>
      </c>
      <c r="AL36" s="31">
        <v>19960255.80793209</v>
      </c>
      <c r="AM36" s="31">
        <v>6598520.3020706577</v>
      </c>
      <c r="AN36" s="31">
        <v>7257095.3498284873</v>
      </c>
      <c r="AO36" s="31">
        <f t="shared" si="6"/>
        <v>166022151.07652608</v>
      </c>
      <c r="AP36" s="31">
        <v>1051800.05</v>
      </c>
      <c r="AR36" s="42" t="s">
        <v>463</v>
      </c>
      <c r="AS36" s="42" t="s">
        <v>464</v>
      </c>
      <c r="AT36" s="43" t="s">
        <v>1276</v>
      </c>
      <c r="AU36" s="44">
        <v>34</v>
      </c>
      <c r="AV36" s="31">
        <v>128825879.06039679</v>
      </c>
      <c r="AW36" s="31">
        <v>3740154.3600000003</v>
      </c>
      <c r="AX36" s="31">
        <v>848396.53</v>
      </c>
      <c r="AY36" s="31">
        <v>438873.99999999994</v>
      </c>
      <c r="AZ36" s="31">
        <v>20364307.407807171</v>
      </c>
      <c r="BA36" s="31">
        <v>6598795.014896458</v>
      </c>
      <c r="BB36" s="31">
        <v>7404304.2801879887</v>
      </c>
      <c r="BC36" s="31">
        <f t="shared" si="7"/>
        <v>169293978.2732884</v>
      </c>
      <c r="BD36" s="31">
        <v>1073267.6199999999</v>
      </c>
    </row>
    <row r="37" spans="2:56">
      <c r="B37" s="42" t="s">
        <v>295</v>
      </c>
      <c r="C37" s="42" t="s">
        <v>296</v>
      </c>
      <c r="D37" s="43" t="s">
        <v>1049</v>
      </c>
      <c r="E37" s="44">
        <v>34</v>
      </c>
      <c r="F37" s="31">
        <v>27079753.167837314</v>
      </c>
      <c r="G37" s="31">
        <v>1697842.1400000001</v>
      </c>
      <c r="H37" s="31">
        <v>739687.79</v>
      </c>
      <c r="I37" s="31">
        <v>94714.340000000011</v>
      </c>
      <c r="J37" s="31">
        <v>4300637.4243836282</v>
      </c>
      <c r="K37" s="31">
        <v>1995130.505136417</v>
      </c>
      <c r="L37" s="31">
        <v>2464974.5261939624</v>
      </c>
      <c r="M37" s="31">
        <f t="shared" si="4"/>
        <v>39311698.053551316</v>
      </c>
      <c r="N37" s="31">
        <v>938958.16000000015</v>
      </c>
      <c r="P37" s="42" t="s">
        <v>295</v>
      </c>
      <c r="Q37" s="42" t="s">
        <v>296</v>
      </c>
      <c r="R37" s="43" t="s">
        <v>1050</v>
      </c>
      <c r="S37" s="44">
        <v>34</v>
      </c>
      <c r="T37" s="31">
        <v>29284290.254034452</v>
      </c>
      <c r="U37" s="31">
        <v>1832653.0499999993</v>
      </c>
      <c r="V37" s="31">
        <v>791539.66</v>
      </c>
      <c r="W37" s="31">
        <v>101381.00000000001</v>
      </c>
      <c r="X37" s="31">
        <v>4578075.921430368</v>
      </c>
      <c r="Y37" s="31">
        <v>2002075.3312532711</v>
      </c>
      <c r="Z37" s="31">
        <v>2654586.6562397825</v>
      </c>
      <c r="AA37" s="31">
        <f t="shared" si="5"/>
        <v>42233702.662957869</v>
      </c>
      <c r="AB37" s="31">
        <v>989100.79000000015</v>
      </c>
      <c r="AD37" s="42" t="s">
        <v>295</v>
      </c>
      <c r="AE37" s="42" t="s">
        <v>296</v>
      </c>
      <c r="AF37" s="43" t="s">
        <v>1275</v>
      </c>
      <c r="AG37" s="44">
        <v>34</v>
      </c>
      <c r="AH37" s="31">
        <v>29829484.802028142</v>
      </c>
      <c r="AI37" s="31">
        <v>1865754.2100000004</v>
      </c>
      <c r="AJ37" s="31">
        <v>805867.94000000006</v>
      </c>
      <c r="AK37" s="31">
        <v>103148.56999999999</v>
      </c>
      <c r="AL37" s="31">
        <v>4661957.7703402564</v>
      </c>
      <c r="AM37" s="31">
        <v>1996799.136466821</v>
      </c>
      <c r="AN37" s="31">
        <v>2703434.13642665</v>
      </c>
      <c r="AO37" s="31">
        <f t="shared" si="6"/>
        <v>42973754.585261874</v>
      </c>
      <c r="AP37" s="31">
        <v>1007308.02</v>
      </c>
      <c r="AR37" s="42" t="s">
        <v>295</v>
      </c>
      <c r="AS37" s="42" t="s">
        <v>296</v>
      </c>
      <c r="AT37" s="43" t="s">
        <v>1276</v>
      </c>
      <c r="AU37" s="44">
        <v>34</v>
      </c>
      <c r="AV37" s="31">
        <v>30441903.007885575</v>
      </c>
      <c r="AW37" s="31">
        <v>1903001.7100000002</v>
      </c>
      <c r="AX37" s="31">
        <v>822055.49</v>
      </c>
      <c r="AY37" s="31">
        <v>105256.66</v>
      </c>
      <c r="AZ37" s="31">
        <v>4756318.0575748254</v>
      </c>
      <c r="BA37" s="31">
        <v>1996949.8848892911</v>
      </c>
      <c r="BB37" s="31">
        <v>2758450.0265515712</v>
      </c>
      <c r="BC37" s="31">
        <f t="shared" si="7"/>
        <v>43811777.076901264</v>
      </c>
      <c r="BD37" s="31">
        <v>1027842.24</v>
      </c>
    </row>
    <row r="38" spans="2:56">
      <c r="B38" s="42" t="s">
        <v>291</v>
      </c>
      <c r="C38" s="42" t="s">
        <v>292</v>
      </c>
      <c r="D38" s="43" t="s">
        <v>1049</v>
      </c>
      <c r="E38" s="44">
        <v>34</v>
      </c>
      <c r="F38" s="31">
        <v>23656915.479530647</v>
      </c>
      <c r="G38" s="31">
        <v>858608.19999999972</v>
      </c>
      <c r="H38" s="31">
        <v>180478.21</v>
      </c>
      <c r="I38" s="31">
        <v>82622.490000000005</v>
      </c>
      <c r="J38" s="31">
        <v>3648495.1463529528</v>
      </c>
      <c r="K38" s="31">
        <v>1280371.5930994134</v>
      </c>
      <c r="L38" s="31">
        <v>1553536.4958006898</v>
      </c>
      <c r="M38" s="31">
        <f t="shared" si="4"/>
        <v>31631265.184783705</v>
      </c>
      <c r="N38" s="31">
        <v>370237.57000000007</v>
      </c>
      <c r="P38" s="42" t="s">
        <v>291</v>
      </c>
      <c r="Q38" s="42" t="s">
        <v>292</v>
      </c>
      <c r="R38" s="43" t="s">
        <v>1050</v>
      </c>
      <c r="S38" s="44">
        <v>34</v>
      </c>
      <c r="T38" s="31">
        <v>25307120.502649933</v>
      </c>
      <c r="U38" s="31">
        <v>924622.55</v>
      </c>
      <c r="V38" s="31">
        <v>193111.15000000002</v>
      </c>
      <c r="W38" s="31">
        <v>88392.91</v>
      </c>
      <c r="X38" s="31">
        <v>3883727.1900197826</v>
      </c>
      <c r="Y38" s="31">
        <v>1282828.3885529302</v>
      </c>
      <c r="Z38" s="31">
        <v>1657069.3911558108</v>
      </c>
      <c r="AA38" s="31">
        <f t="shared" si="5"/>
        <v>33726973.352378458</v>
      </c>
      <c r="AB38" s="31">
        <v>390101.26999999996</v>
      </c>
      <c r="AD38" s="42" t="s">
        <v>291</v>
      </c>
      <c r="AE38" s="42" t="s">
        <v>292</v>
      </c>
      <c r="AF38" s="43" t="s">
        <v>1275</v>
      </c>
      <c r="AG38" s="44">
        <v>34</v>
      </c>
      <c r="AH38" s="31">
        <v>25780352.182787605</v>
      </c>
      <c r="AI38" s="31">
        <v>941389.61000000022</v>
      </c>
      <c r="AJ38" s="31">
        <v>196712.69999999998</v>
      </c>
      <c r="AK38" s="31">
        <v>90050.7</v>
      </c>
      <c r="AL38" s="31">
        <v>3955087.1988554345</v>
      </c>
      <c r="AM38" s="31">
        <v>1280961.8866211164</v>
      </c>
      <c r="AN38" s="31">
        <v>1687458.6852220346</v>
      </c>
      <c r="AO38" s="31">
        <f t="shared" si="6"/>
        <v>34329253.363486186</v>
      </c>
      <c r="AP38" s="31">
        <v>397240.4</v>
      </c>
      <c r="AR38" s="42" t="s">
        <v>291</v>
      </c>
      <c r="AS38" s="42" t="s">
        <v>292</v>
      </c>
      <c r="AT38" s="43" t="s">
        <v>1276</v>
      </c>
      <c r="AU38" s="44">
        <v>34</v>
      </c>
      <c r="AV38" s="31">
        <v>26311958.526433647</v>
      </c>
      <c r="AW38" s="31">
        <v>960334.4600000002</v>
      </c>
      <c r="AX38" s="31">
        <v>200562.55000000002</v>
      </c>
      <c r="AY38" s="31">
        <v>91822.48000000001</v>
      </c>
      <c r="AZ38" s="31">
        <v>4035353.8197777336</v>
      </c>
      <c r="BA38" s="31">
        <v>1281015.2152477398</v>
      </c>
      <c r="BB38" s="31">
        <v>1721665.7715451054</v>
      </c>
      <c r="BC38" s="31">
        <f t="shared" si="7"/>
        <v>35008140.29300423</v>
      </c>
      <c r="BD38" s="31">
        <v>405427.47</v>
      </c>
    </row>
    <row r="39" spans="2:56">
      <c r="B39" s="42" t="s">
        <v>467</v>
      </c>
      <c r="C39" s="42" t="s">
        <v>468</v>
      </c>
      <c r="D39" s="43" t="s">
        <v>1049</v>
      </c>
      <c r="E39" s="44">
        <v>34</v>
      </c>
      <c r="F39" s="31">
        <v>40798137.945282385</v>
      </c>
      <c r="G39" s="31">
        <v>1594845.1799999997</v>
      </c>
      <c r="H39" s="31">
        <v>364046.04</v>
      </c>
      <c r="I39" s="31">
        <v>144702.47</v>
      </c>
      <c r="J39" s="31">
        <v>6779568.6987778274</v>
      </c>
      <c r="K39" s="31">
        <v>2921707.6402007653</v>
      </c>
      <c r="L39" s="31">
        <v>4423596.4114251006</v>
      </c>
      <c r="M39" s="31">
        <f t="shared" si="4"/>
        <v>57457398.70568607</v>
      </c>
      <c r="N39" s="31">
        <v>430794.31999999995</v>
      </c>
      <c r="P39" s="42" t="s">
        <v>467</v>
      </c>
      <c r="Q39" s="42" t="s">
        <v>468</v>
      </c>
      <c r="R39" s="43" t="s">
        <v>1050</v>
      </c>
      <c r="S39" s="44">
        <v>34</v>
      </c>
      <c r="T39" s="31">
        <v>43664227.222461484</v>
      </c>
      <c r="U39" s="31">
        <v>1713860.36</v>
      </c>
      <c r="V39" s="31">
        <v>389647.54999999993</v>
      </c>
      <c r="W39" s="31">
        <v>154821.33000000002</v>
      </c>
      <c r="X39" s="31">
        <v>7216974.4004343273</v>
      </c>
      <c r="Y39" s="31">
        <v>2927984.7908361261</v>
      </c>
      <c r="Z39" s="31">
        <v>4718436.6107725222</v>
      </c>
      <c r="AA39" s="31">
        <f t="shared" si="5"/>
        <v>61239694.464504458</v>
      </c>
      <c r="AB39" s="31">
        <v>453742.19999999995</v>
      </c>
      <c r="AD39" s="42" t="s">
        <v>467</v>
      </c>
      <c r="AE39" s="42" t="s">
        <v>468</v>
      </c>
      <c r="AF39" s="43" t="s">
        <v>1275</v>
      </c>
      <c r="AG39" s="44">
        <v>34</v>
      </c>
      <c r="AH39" s="31">
        <v>44497039.263491042</v>
      </c>
      <c r="AI39" s="31">
        <v>1744906.98</v>
      </c>
      <c r="AJ39" s="31">
        <v>396652.15</v>
      </c>
      <c r="AK39" s="31">
        <v>157626.20000000004</v>
      </c>
      <c r="AL39" s="31">
        <v>7349204.8645094084</v>
      </c>
      <c r="AM39" s="31">
        <v>2923215.8493394232</v>
      </c>
      <c r="AN39" s="31">
        <v>4804821.7668005284</v>
      </c>
      <c r="AO39" s="31">
        <f t="shared" si="6"/>
        <v>62335643.694140404</v>
      </c>
      <c r="AP39" s="31">
        <v>462176.62</v>
      </c>
      <c r="AR39" s="42" t="s">
        <v>467</v>
      </c>
      <c r="AS39" s="42" t="s">
        <v>468</v>
      </c>
      <c r="AT39" s="43" t="s">
        <v>1276</v>
      </c>
      <c r="AU39" s="44">
        <v>34</v>
      </c>
      <c r="AV39" s="31">
        <v>45429766.880799711</v>
      </c>
      <c r="AW39" s="31">
        <v>1779946.63</v>
      </c>
      <c r="AX39" s="31">
        <v>404576.88999999996</v>
      </c>
      <c r="AY39" s="31">
        <v>160841.63999999998</v>
      </c>
      <c r="AZ39" s="31">
        <v>7497986.442932969</v>
      </c>
      <c r="BA39" s="31">
        <v>2923352.1048107576</v>
      </c>
      <c r="BB39" s="31">
        <v>4902407.8222902343</v>
      </c>
      <c r="BC39" s="31">
        <f t="shared" si="7"/>
        <v>63570391.910833679</v>
      </c>
      <c r="BD39" s="31">
        <v>471513.5</v>
      </c>
    </row>
    <row r="40" spans="2:56">
      <c r="B40" s="42" t="s">
        <v>485</v>
      </c>
      <c r="C40" s="42" t="s">
        <v>486</v>
      </c>
      <c r="D40" s="43" t="s">
        <v>1049</v>
      </c>
      <c r="E40" s="44">
        <v>34</v>
      </c>
      <c r="F40" s="31">
        <v>6138978.8253290355</v>
      </c>
      <c r="G40" s="31">
        <v>278491.32</v>
      </c>
      <c r="H40" s="31">
        <v>1753.96</v>
      </c>
      <c r="I40" s="31">
        <v>21534.85</v>
      </c>
      <c r="J40" s="31">
        <v>942991.21989566379</v>
      </c>
      <c r="K40" s="31">
        <v>567589.48461338005</v>
      </c>
      <c r="L40" s="31">
        <v>628610.55154032598</v>
      </c>
      <c r="M40" s="31">
        <f t="shared" si="4"/>
        <v>8795493.5313784052</v>
      </c>
      <c r="N40" s="31">
        <v>215543.32</v>
      </c>
      <c r="P40" s="42" t="s">
        <v>485</v>
      </c>
      <c r="Q40" s="42" t="s">
        <v>486</v>
      </c>
      <c r="R40" s="43" t="s">
        <v>1050</v>
      </c>
      <c r="S40" s="44">
        <v>34</v>
      </c>
      <c r="T40" s="31">
        <v>6622448.2611174202</v>
      </c>
      <c r="U40" s="31">
        <v>301620.78000000009</v>
      </c>
      <c r="V40" s="31">
        <v>1867.83</v>
      </c>
      <c r="W40" s="31">
        <v>23036.420000000002</v>
      </c>
      <c r="X40" s="31">
        <v>1003845.0990991832</v>
      </c>
      <c r="Y40" s="31">
        <v>569249.22722193215</v>
      </c>
      <c r="Z40" s="31">
        <v>676868.49530017748</v>
      </c>
      <c r="AA40" s="31">
        <f t="shared" si="5"/>
        <v>9426011.5327387135</v>
      </c>
      <c r="AB40" s="31">
        <v>227075.41999999998</v>
      </c>
      <c r="AD40" s="42" t="s">
        <v>485</v>
      </c>
      <c r="AE40" s="42" t="s">
        <v>486</v>
      </c>
      <c r="AF40" s="43" t="s">
        <v>1275</v>
      </c>
      <c r="AG40" s="44">
        <v>34</v>
      </c>
      <c r="AH40" s="31">
        <v>6755283.6497049676</v>
      </c>
      <c r="AI40" s="31">
        <v>307038.41000000003</v>
      </c>
      <c r="AJ40" s="31">
        <v>1900.3799999999999</v>
      </c>
      <c r="AK40" s="31">
        <v>23438.05</v>
      </c>
      <c r="AL40" s="31">
        <v>1022244.408285036</v>
      </c>
      <c r="AM40" s="31">
        <v>567988.27048223221</v>
      </c>
      <c r="AN40" s="31">
        <v>689268.12557265721</v>
      </c>
      <c r="AO40" s="31">
        <f t="shared" si="6"/>
        <v>9598353.554044893</v>
      </c>
      <c r="AP40" s="31">
        <v>231192.25999999998</v>
      </c>
      <c r="AR40" s="42" t="s">
        <v>485</v>
      </c>
      <c r="AS40" s="42" t="s">
        <v>486</v>
      </c>
      <c r="AT40" s="43" t="s">
        <v>1276</v>
      </c>
      <c r="AU40" s="44">
        <v>34</v>
      </c>
      <c r="AV40" s="31">
        <v>6901801.2019975418</v>
      </c>
      <c r="AW40" s="31">
        <v>313160.71999999997</v>
      </c>
      <c r="AX40" s="31">
        <v>1935.2599999999998</v>
      </c>
      <c r="AY40" s="31">
        <v>23868.210000000003</v>
      </c>
      <c r="AZ40" s="31">
        <v>1042949.9769017173</v>
      </c>
      <c r="BA40" s="31">
        <v>568024.29781765211</v>
      </c>
      <c r="BB40" s="31">
        <v>703361.81293076847</v>
      </c>
      <c r="BC40" s="31">
        <f t="shared" si="7"/>
        <v>9791017.0696476791</v>
      </c>
      <c r="BD40" s="31">
        <v>235915.59</v>
      </c>
    </row>
    <row r="41" spans="2:56">
      <c r="B41" s="42" t="s">
        <v>1038</v>
      </c>
      <c r="C41" s="42" t="s">
        <v>1043</v>
      </c>
      <c r="D41" s="43" t="s">
        <v>1049</v>
      </c>
      <c r="E41" s="44">
        <v>34</v>
      </c>
      <c r="F41" s="31">
        <v>5379636.1083789701</v>
      </c>
      <c r="G41" s="31">
        <v>201202.34000000003</v>
      </c>
      <c r="H41" s="31">
        <v>0</v>
      </c>
      <c r="I41" s="31">
        <v>0</v>
      </c>
      <c r="J41" s="31">
        <v>0</v>
      </c>
      <c r="K41" s="31">
        <v>487556.37</v>
      </c>
      <c r="L41" s="31">
        <v>266444.6497730267</v>
      </c>
      <c r="M41" s="31">
        <f t="shared" si="4"/>
        <v>6513571.9581519971</v>
      </c>
      <c r="N41" s="31">
        <v>178732.49</v>
      </c>
      <c r="P41" s="42" t="s">
        <v>1038</v>
      </c>
      <c r="Q41" s="42" t="s">
        <v>1043</v>
      </c>
      <c r="R41" s="43" t="s">
        <v>1050</v>
      </c>
      <c r="S41" s="44">
        <v>34</v>
      </c>
      <c r="T41" s="31">
        <v>5800247.9079906773</v>
      </c>
      <c r="U41" s="31">
        <v>218131.5</v>
      </c>
      <c r="V41" s="31">
        <v>0</v>
      </c>
      <c r="W41" s="31">
        <v>0</v>
      </c>
      <c r="X41" s="31">
        <v>0</v>
      </c>
      <c r="Y41" s="31">
        <v>487556.37</v>
      </c>
      <c r="Z41" s="31">
        <v>286993.79473065829</v>
      </c>
      <c r="AA41" s="31">
        <f t="shared" si="5"/>
        <v>6981319.0927213356</v>
      </c>
      <c r="AB41" s="31">
        <v>188389.52000000002</v>
      </c>
      <c r="AD41" s="42" t="s">
        <v>1038</v>
      </c>
      <c r="AE41" s="42" t="s">
        <v>1043</v>
      </c>
      <c r="AF41" s="43" t="s">
        <v>1275</v>
      </c>
      <c r="AG41" s="44">
        <v>34</v>
      </c>
      <c r="AH41" s="31">
        <v>5906197.0310923625</v>
      </c>
      <c r="AI41" s="31">
        <v>222031.53000000003</v>
      </c>
      <c r="AJ41" s="31">
        <v>0</v>
      </c>
      <c r="AK41" s="31">
        <v>0</v>
      </c>
      <c r="AL41" s="31">
        <v>0</v>
      </c>
      <c r="AM41" s="31">
        <v>487556.37</v>
      </c>
      <c r="AN41" s="31">
        <v>292217.96968143655</v>
      </c>
      <c r="AO41" s="31">
        <f t="shared" si="6"/>
        <v>7099852.4507737989</v>
      </c>
      <c r="AP41" s="31">
        <v>191849.55</v>
      </c>
      <c r="AR41" s="42" t="s">
        <v>1038</v>
      </c>
      <c r="AS41" s="42" t="s">
        <v>1043</v>
      </c>
      <c r="AT41" s="43" t="s">
        <v>1276</v>
      </c>
      <c r="AU41" s="44">
        <v>34</v>
      </c>
      <c r="AV41" s="31">
        <v>6023692.0504914671</v>
      </c>
      <c r="AW41" s="31">
        <v>226434.22999999998</v>
      </c>
      <c r="AX41" s="31">
        <v>0</v>
      </c>
      <c r="AY41" s="31">
        <v>0</v>
      </c>
      <c r="AZ41" s="31">
        <v>0</v>
      </c>
      <c r="BA41" s="31">
        <v>487556.37</v>
      </c>
      <c r="BB41" s="31">
        <v>298171.85105715704</v>
      </c>
      <c r="BC41" s="31">
        <f t="shared" si="7"/>
        <v>7231629.1615486247</v>
      </c>
      <c r="BD41" s="31">
        <v>195774.65999999997</v>
      </c>
    </row>
    <row r="42" spans="2:56">
      <c r="B42" s="42" t="s">
        <v>179</v>
      </c>
      <c r="C42" s="42" t="s">
        <v>180</v>
      </c>
      <c r="D42" s="43" t="s">
        <v>1049</v>
      </c>
      <c r="E42" s="44">
        <v>34</v>
      </c>
      <c r="F42" s="31">
        <v>6495669.4829871859</v>
      </c>
      <c r="G42" s="31">
        <v>239121.79000000004</v>
      </c>
      <c r="H42" s="31">
        <v>25431.610000000004</v>
      </c>
      <c r="I42" s="31">
        <v>0</v>
      </c>
      <c r="J42" s="31">
        <v>989307.09997019242</v>
      </c>
      <c r="K42" s="31">
        <v>876122.4026050932</v>
      </c>
      <c r="L42" s="31">
        <v>132507.25916775406</v>
      </c>
      <c r="M42" s="31">
        <f t="shared" si="4"/>
        <v>8861502.5147302244</v>
      </c>
      <c r="N42" s="31">
        <v>103342.87</v>
      </c>
      <c r="P42" s="42" t="s">
        <v>179</v>
      </c>
      <c r="Q42" s="42" t="s">
        <v>180</v>
      </c>
      <c r="R42" s="43" t="s">
        <v>1050</v>
      </c>
      <c r="S42" s="44">
        <v>34</v>
      </c>
      <c r="T42" s="31">
        <v>7004540.2519514831</v>
      </c>
      <c r="U42" s="31">
        <v>257308.62</v>
      </c>
      <c r="V42" s="31">
        <v>27177.879999999997</v>
      </c>
      <c r="W42" s="31">
        <v>0</v>
      </c>
      <c r="X42" s="31">
        <v>1052935.8872934557</v>
      </c>
      <c r="Y42" s="31">
        <v>878597.58533777308</v>
      </c>
      <c r="Z42" s="31">
        <v>142638.19852469239</v>
      </c>
      <c r="AA42" s="31">
        <f t="shared" si="5"/>
        <v>9472160.4631074034</v>
      </c>
      <c r="AB42" s="31">
        <v>108962.04</v>
      </c>
      <c r="AD42" s="42" t="s">
        <v>179</v>
      </c>
      <c r="AE42" s="42" t="s">
        <v>180</v>
      </c>
      <c r="AF42" s="43" t="s">
        <v>1275</v>
      </c>
      <c r="AG42" s="44">
        <v>34</v>
      </c>
      <c r="AH42" s="31">
        <v>7139842.7319296906</v>
      </c>
      <c r="AI42" s="31">
        <v>262066.55999999994</v>
      </c>
      <c r="AJ42" s="31">
        <v>27774.800000000003</v>
      </c>
      <c r="AK42" s="31">
        <v>0</v>
      </c>
      <c r="AL42" s="31">
        <v>1072410.1227552539</v>
      </c>
      <c r="AM42" s="31">
        <v>876677.22779237316</v>
      </c>
      <c r="AN42" s="31">
        <v>145307.18429699092</v>
      </c>
      <c r="AO42" s="31">
        <f t="shared" si="6"/>
        <v>9635104.7367743086</v>
      </c>
      <c r="AP42" s="31">
        <v>111026.11</v>
      </c>
      <c r="AR42" s="42" t="s">
        <v>179</v>
      </c>
      <c r="AS42" s="42" t="s">
        <v>180</v>
      </c>
      <c r="AT42" s="43" t="s">
        <v>1276</v>
      </c>
      <c r="AU42" s="44">
        <v>34</v>
      </c>
      <c r="AV42" s="31">
        <v>7290110.2730833218</v>
      </c>
      <c r="AW42" s="31">
        <v>267392.05999999994</v>
      </c>
      <c r="AX42" s="31">
        <v>28291.290000000005</v>
      </c>
      <c r="AY42" s="31">
        <v>0</v>
      </c>
      <c r="AZ42" s="31">
        <v>1094327.110214649</v>
      </c>
      <c r="BA42" s="31">
        <v>876732.09515081311</v>
      </c>
      <c r="BB42" s="31">
        <v>148395.66400523769</v>
      </c>
      <c r="BC42" s="31">
        <f t="shared" si="7"/>
        <v>9818481.3824540228</v>
      </c>
      <c r="BD42" s="31">
        <v>113232.89</v>
      </c>
    </row>
    <row r="43" spans="2:56">
      <c r="B43" s="42" t="s">
        <v>13</v>
      </c>
      <c r="C43" s="42" t="s">
        <v>14</v>
      </c>
      <c r="D43" s="43" t="s">
        <v>1049</v>
      </c>
      <c r="E43" s="44">
        <v>34</v>
      </c>
      <c r="F43" s="31">
        <v>19979849.394951396</v>
      </c>
      <c r="G43" s="31">
        <v>871332.89999999991</v>
      </c>
      <c r="H43" s="31">
        <v>28843.039999999997</v>
      </c>
      <c r="I43" s="31">
        <v>68404.789999999994</v>
      </c>
      <c r="J43" s="31">
        <v>3143610.2215422094</v>
      </c>
      <c r="K43" s="31">
        <v>988731.65387451707</v>
      </c>
      <c r="L43" s="31">
        <v>1376257.8429764521</v>
      </c>
      <c r="M43" s="31">
        <f t="shared" si="4"/>
        <v>26842026.083344568</v>
      </c>
      <c r="N43" s="31">
        <v>384996.24000000005</v>
      </c>
      <c r="P43" s="42" t="s">
        <v>13</v>
      </c>
      <c r="Q43" s="42" t="s">
        <v>14</v>
      </c>
      <c r="R43" s="43" t="s">
        <v>1050</v>
      </c>
      <c r="S43" s="44">
        <v>34</v>
      </c>
      <c r="T43" s="31">
        <v>21588811.432029571</v>
      </c>
      <c r="U43" s="31">
        <v>938887.10000000009</v>
      </c>
      <c r="V43" s="31">
        <v>30819.010000000002</v>
      </c>
      <c r="W43" s="31">
        <v>73259.97</v>
      </c>
      <c r="X43" s="31">
        <v>3346405.635965351</v>
      </c>
      <c r="Y43" s="31">
        <v>990689.23341740598</v>
      </c>
      <c r="Z43" s="31">
        <v>1482273.2157945302</v>
      </c>
      <c r="AA43" s="31">
        <f t="shared" si="5"/>
        <v>28856776.017206863</v>
      </c>
      <c r="AB43" s="31">
        <v>405630.42</v>
      </c>
      <c r="AD43" s="42" t="s">
        <v>13</v>
      </c>
      <c r="AE43" s="42" t="s">
        <v>14</v>
      </c>
      <c r="AF43" s="43" t="s">
        <v>1275</v>
      </c>
      <c r="AG43" s="44">
        <v>34</v>
      </c>
      <c r="AH43" s="31">
        <v>22000360.912738182</v>
      </c>
      <c r="AI43" s="31">
        <v>955904.11999999988</v>
      </c>
      <c r="AJ43" s="31">
        <v>31461.910000000003</v>
      </c>
      <c r="AK43" s="31">
        <v>74537.249999999985</v>
      </c>
      <c r="AL43" s="31">
        <v>3407720.917923816</v>
      </c>
      <c r="AM43" s="31">
        <v>989202.00093606499</v>
      </c>
      <c r="AN43" s="31">
        <v>1509432.833803063</v>
      </c>
      <c r="AO43" s="31">
        <f t="shared" si="6"/>
        <v>29381730.565401126</v>
      </c>
      <c r="AP43" s="31">
        <v>413110.62000000005</v>
      </c>
      <c r="AR43" s="42" t="s">
        <v>13</v>
      </c>
      <c r="AS43" s="42" t="s">
        <v>14</v>
      </c>
      <c r="AT43" s="43" t="s">
        <v>1276</v>
      </c>
      <c r="AU43" s="44">
        <v>34</v>
      </c>
      <c r="AV43" s="31">
        <v>22461355.914456762</v>
      </c>
      <c r="AW43" s="31">
        <v>974968.63</v>
      </c>
      <c r="AX43" s="31">
        <v>32146.82</v>
      </c>
      <c r="AY43" s="31">
        <v>76012.73000000001</v>
      </c>
      <c r="AZ43" s="31">
        <v>3476728.3875623289</v>
      </c>
      <c r="BA43" s="31">
        <v>989244.49329267477</v>
      </c>
      <c r="BB43" s="31">
        <v>1539955.1619588509</v>
      </c>
      <c r="BC43" s="31">
        <f t="shared" si="7"/>
        <v>29971841.207270615</v>
      </c>
      <c r="BD43" s="31">
        <v>421429.06999999995</v>
      </c>
    </row>
    <row r="44" spans="2:56">
      <c r="B44" s="42" t="s">
        <v>249</v>
      </c>
      <c r="C44" s="42" t="s">
        <v>250</v>
      </c>
      <c r="D44" s="43" t="s">
        <v>1049</v>
      </c>
      <c r="E44" s="44">
        <v>34</v>
      </c>
      <c r="F44" s="31">
        <v>7070248.9119836539</v>
      </c>
      <c r="G44" s="31">
        <v>224215.74</v>
      </c>
      <c r="H44" s="31">
        <v>19878.32</v>
      </c>
      <c r="I44" s="31">
        <v>24847.89</v>
      </c>
      <c r="J44" s="31">
        <v>1178767.8008160098</v>
      </c>
      <c r="K44" s="31">
        <v>545428.20381599013</v>
      </c>
      <c r="L44" s="31">
        <v>621319.32991310372</v>
      </c>
      <c r="M44" s="31">
        <f t="shared" si="4"/>
        <v>9691039.9765287563</v>
      </c>
      <c r="N44" s="31">
        <v>6333.78</v>
      </c>
      <c r="P44" s="42" t="s">
        <v>249</v>
      </c>
      <c r="Q44" s="42" t="s">
        <v>250</v>
      </c>
      <c r="R44" s="43" t="s">
        <v>1050</v>
      </c>
      <c r="S44" s="44">
        <v>34</v>
      </c>
      <c r="T44" s="31">
        <v>7567116.4840357956</v>
      </c>
      <c r="U44" s="31">
        <v>240016.08999999994</v>
      </c>
      <c r="V44" s="31">
        <v>21272.38</v>
      </c>
      <c r="W44" s="31">
        <v>26564.52</v>
      </c>
      <c r="X44" s="31">
        <v>1254824.2356340974</v>
      </c>
      <c r="Y44" s="31">
        <v>545958.748061675</v>
      </c>
      <c r="Z44" s="31">
        <v>662919.721620464</v>
      </c>
      <c r="AA44" s="31">
        <f t="shared" si="5"/>
        <v>10325311.819352033</v>
      </c>
      <c r="AB44" s="31">
        <v>6639.64</v>
      </c>
      <c r="AD44" s="42" t="s">
        <v>249</v>
      </c>
      <c r="AE44" s="42" t="s">
        <v>250</v>
      </c>
      <c r="AF44" s="43" t="s">
        <v>1275</v>
      </c>
      <c r="AG44" s="44">
        <v>34</v>
      </c>
      <c r="AH44" s="31">
        <v>7710068.5068467362</v>
      </c>
      <c r="AI44" s="31">
        <v>244304.71999999997</v>
      </c>
      <c r="AJ44" s="31">
        <v>21748.83</v>
      </c>
      <c r="AK44" s="31">
        <v>27027.67</v>
      </c>
      <c r="AL44" s="31">
        <v>1277808.4825590048</v>
      </c>
      <c r="AM44" s="31">
        <v>545555.6775260038</v>
      </c>
      <c r="AN44" s="31">
        <v>675116.08622946648</v>
      </c>
      <c r="AO44" s="31">
        <f t="shared" si="6"/>
        <v>10508386.943161212</v>
      </c>
      <c r="AP44" s="31">
        <v>6756.97</v>
      </c>
      <c r="AR44" s="42" t="s">
        <v>249</v>
      </c>
      <c r="AS44" s="42" t="s">
        <v>250</v>
      </c>
      <c r="AT44" s="43" t="s">
        <v>1276</v>
      </c>
      <c r="AU44" s="44">
        <v>34</v>
      </c>
      <c r="AV44" s="31">
        <v>7869335.4058034336</v>
      </c>
      <c r="AW44" s="31">
        <v>249324.30000000002</v>
      </c>
      <c r="AX44" s="31">
        <v>22147.98</v>
      </c>
      <c r="AY44" s="31">
        <v>27631.23</v>
      </c>
      <c r="AZ44" s="31">
        <v>1303694.3649704137</v>
      </c>
      <c r="BA44" s="31">
        <v>545567.19382702303</v>
      </c>
      <c r="BB44" s="31">
        <v>688903.65512492775</v>
      </c>
      <c r="BC44" s="31">
        <f t="shared" si="7"/>
        <v>10713486.779725799</v>
      </c>
      <c r="BD44" s="31">
        <v>6882.65</v>
      </c>
    </row>
    <row r="45" spans="2:56">
      <c r="B45" s="42" t="s">
        <v>377</v>
      </c>
      <c r="C45" s="42" t="s">
        <v>378</v>
      </c>
      <c r="D45" s="43" t="s">
        <v>1049</v>
      </c>
      <c r="E45" s="44">
        <v>34</v>
      </c>
      <c r="F45" s="31">
        <v>102387788.89440536</v>
      </c>
      <c r="G45" s="31">
        <v>5432873.0199999986</v>
      </c>
      <c r="H45" s="31">
        <v>2678422.5000000005</v>
      </c>
      <c r="I45" s="31">
        <v>355105.19</v>
      </c>
      <c r="J45" s="31">
        <v>16873765.356205255</v>
      </c>
      <c r="K45" s="31">
        <v>6271752.4814209342</v>
      </c>
      <c r="L45" s="31">
        <v>8714246.0450060349</v>
      </c>
      <c r="M45" s="31">
        <f t="shared" si="4"/>
        <v>145527707.88703758</v>
      </c>
      <c r="N45" s="31">
        <v>2813754.4000000004</v>
      </c>
      <c r="P45" s="42" t="s">
        <v>377</v>
      </c>
      <c r="Q45" s="42" t="s">
        <v>378</v>
      </c>
      <c r="R45" s="43" t="s">
        <v>1050</v>
      </c>
      <c r="S45" s="44">
        <v>34</v>
      </c>
      <c r="T45" s="31">
        <v>110699577.4561919</v>
      </c>
      <c r="U45" s="31">
        <v>5856725.0199999996</v>
      </c>
      <c r="V45" s="31">
        <v>2864979.33</v>
      </c>
      <c r="W45" s="31">
        <v>379871.08</v>
      </c>
      <c r="X45" s="31">
        <v>17959870.725919932</v>
      </c>
      <c r="Y45" s="31">
        <v>6277618.8538538078</v>
      </c>
      <c r="Z45" s="31">
        <v>9384071.5882391594</v>
      </c>
      <c r="AA45" s="31">
        <f t="shared" si="5"/>
        <v>156387670.12420478</v>
      </c>
      <c r="AB45" s="31">
        <v>2964956.07</v>
      </c>
      <c r="AD45" s="42" t="s">
        <v>377</v>
      </c>
      <c r="AE45" s="42" t="s">
        <v>378</v>
      </c>
      <c r="AF45" s="43" t="s">
        <v>1275</v>
      </c>
      <c r="AG45" s="44">
        <v>34</v>
      </c>
      <c r="AH45" s="31">
        <v>112806872.34452242</v>
      </c>
      <c r="AI45" s="31">
        <v>5963365.4900000002</v>
      </c>
      <c r="AJ45" s="31">
        <v>2917617.0599999996</v>
      </c>
      <c r="AK45" s="31">
        <v>386874.31999999995</v>
      </c>
      <c r="AL45" s="31">
        <v>18290579.446340859</v>
      </c>
      <c r="AM45" s="31">
        <v>6273113.0845910963</v>
      </c>
      <c r="AN45" s="31">
        <v>9557243.112508418</v>
      </c>
      <c r="AO45" s="31">
        <f t="shared" si="6"/>
        <v>159215652.47796279</v>
      </c>
      <c r="AP45" s="31">
        <v>3019987.6199999996</v>
      </c>
      <c r="AR45" s="42" t="s">
        <v>377</v>
      </c>
      <c r="AS45" s="42" t="s">
        <v>378</v>
      </c>
      <c r="AT45" s="43" t="s">
        <v>1276</v>
      </c>
      <c r="AU45" s="44">
        <v>34</v>
      </c>
      <c r="AV45" s="31">
        <v>115168424.18020767</v>
      </c>
      <c r="AW45" s="31">
        <v>6083239.3899999987</v>
      </c>
      <c r="AX45" s="31">
        <v>2976629.2199999997</v>
      </c>
      <c r="AY45" s="31">
        <v>394703.05000000005</v>
      </c>
      <c r="AZ45" s="31">
        <v>18662535.830461591</v>
      </c>
      <c r="BA45" s="31">
        <v>6273241.8208557451</v>
      </c>
      <c r="BB45" s="31">
        <v>9751662.5601642169</v>
      </c>
      <c r="BC45" s="31">
        <f t="shared" si="7"/>
        <v>162392185.61168921</v>
      </c>
      <c r="BD45" s="31">
        <v>3081749.56</v>
      </c>
    </row>
    <row r="46" spans="2:56">
      <c r="B46" s="42" t="s">
        <v>563</v>
      </c>
      <c r="C46" s="42" t="s">
        <v>564</v>
      </c>
      <c r="D46" s="43" t="s">
        <v>1049</v>
      </c>
      <c r="E46" s="44">
        <v>34</v>
      </c>
      <c r="F46" s="31">
        <v>4396647.4582698913</v>
      </c>
      <c r="G46" s="31">
        <v>104263.70999999999</v>
      </c>
      <c r="H46" s="31">
        <v>0</v>
      </c>
      <c r="I46" s="31">
        <v>14518.98</v>
      </c>
      <c r="J46" s="31">
        <v>666655.21119231952</v>
      </c>
      <c r="K46" s="31">
        <v>515238.60352280445</v>
      </c>
      <c r="L46" s="31">
        <v>498999.28716624848</v>
      </c>
      <c r="M46" s="31">
        <f t="shared" si="4"/>
        <v>6196323.2501512635</v>
      </c>
      <c r="N46" s="31">
        <v>0</v>
      </c>
      <c r="P46" s="42" t="s">
        <v>563</v>
      </c>
      <c r="Q46" s="42" t="s">
        <v>564</v>
      </c>
      <c r="R46" s="43" t="s">
        <v>1050</v>
      </c>
      <c r="S46" s="44">
        <v>34</v>
      </c>
      <c r="T46" s="31">
        <v>4694884.4752401616</v>
      </c>
      <c r="U46" s="31">
        <v>111654</v>
      </c>
      <c r="V46" s="31">
        <v>0</v>
      </c>
      <c r="W46" s="31">
        <v>15565.149999999998</v>
      </c>
      <c r="X46" s="31">
        <v>709664.39938807278</v>
      </c>
      <c r="Y46" s="31">
        <v>516331.29002582963</v>
      </c>
      <c r="Z46" s="31">
        <v>532244.87518499827</v>
      </c>
      <c r="AA46" s="31">
        <f t="shared" si="5"/>
        <v>6580344.1898390623</v>
      </c>
      <c r="AB46" s="31">
        <v>0</v>
      </c>
      <c r="AD46" s="42" t="s">
        <v>563</v>
      </c>
      <c r="AE46" s="42" t="s">
        <v>564</v>
      </c>
      <c r="AF46" s="43" t="s">
        <v>1275</v>
      </c>
      <c r="AG46" s="44">
        <v>34</v>
      </c>
      <c r="AH46" s="31">
        <v>4779952.1655878145</v>
      </c>
      <c r="AI46" s="31">
        <v>113706.23000000001</v>
      </c>
      <c r="AJ46" s="31">
        <v>0</v>
      </c>
      <c r="AK46" s="31">
        <v>15836.519999999999</v>
      </c>
      <c r="AL46" s="31">
        <v>722664.84901369491</v>
      </c>
      <c r="AM46" s="31">
        <v>515501.14298780746</v>
      </c>
      <c r="AN46" s="31">
        <v>541894.52467556053</v>
      </c>
      <c r="AO46" s="31">
        <f t="shared" si="6"/>
        <v>6689555.4322648766</v>
      </c>
      <c r="AP46" s="31">
        <v>0</v>
      </c>
      <c r="AR46" s="42" t="s">
        <v>563</v>
      </c>
      <c r="AS46" s="42" t="s">
        <v>564</v>
      </c>
      <c r="AT46" s="43" t="s">
        <v>1276</v>
      </c>
      <c r="AU46" s="44">
        <v>34</v>
      </c>
      <c r="AV46" s="31">
        <v>4874820.5271689445</v>
      </c>
      <c r="AW46" s="31">
        <v>115900.57</v>
      </c>
      <c r="AX46" s="31">
        <v>0</v>
      </c>
      <c r="AY46" s="31">
        <v>16127.16</v>
      </c>
      <c r="AZ46" s="31">
        <v>737297.14450583619</v>
      </c>
      <c r="BA46" s="31">
        <v>515524.86147460807</v>
      </c>
      <c r="BB46" s="31">
        <v>552830.72805694584</v>
      </c>
      <c r="BC46" s="31">
        <f t="shared" si="7"/>
        <v>6812500.9912063349</v>
      </c>
      <c r="BD46" s="31">
        <v>0</v>
      </c>
    </row>
    <row r="47" spans="2:56">
      <c r="B47" s="42" t="s">
        <v>529</v>
      </c>
      <c r="C47" s="42" t="s">
        <v>530</v>
      </c>
      <c r="D47" s="43" t="s">
        <v>1049</v>
      </c>
      <c r="E47" s="44">
        <v>34</v>
      </c>
      <c r="F47" s="31">
        <v>12071663.154265825</v>
      </c>
      <c r="G47" s="31">
        <v>537981.2899999998</v>
      </c>
      <c r="H47" s="31">
        <v>456616.64</v>
      </c>
      <c r="I47" s="31">
        <v>42777.36</v>
      </c>
      <c r="J47" s="31">
        <v>2078968.5525369041</v>
      </c>
      <c r="K47" s="31">
        <v>458977.0713379485</v>
      </c>
      <c r="L47" s="31">
        <v>1168789.2035574224</v>
      </c>
      <c r="M47" s="31">
        <f t="shared" si="4"/>
        <v>17251634.631698098</v>
      </c>
      <c r="N47" s="31">
        <v>435861.36000000004</v>
      </c>
      <c r="P47" s="42" t="s">
        <v>529</v>
      </c>
      <c r="Q47" s="42" t="s">
        <v>530</v>
      </c>
      <c r="R47" s="43" t="s">
        <v>1050</v>
      </c>
      <c r="S47" s="44">
        <v>34</v>
      </c>
      <c r="T47" s="31">
        <v>13052957.830220047</v>
      </c>
      <c r="U47" s="31">
        <v>582982.51</v>
      </c>
      <c r="V47" s="31">
        <v>488641.89000000007</v>
      </c>
      <c r="W47" s="31">
        <v>45761.539999999994</v>
      </c>
      <c r="X47" s="31">
        <v>2213136.6240828545</v>
      </c>
      <c r="Y47" s="31">
        <v>459889.43486831209</v>
      </c>
      <c r="Z47" s="31">
        <v>1258606.0710766399</v>
      </c>
      <c r="AA47" s="31">
        <f t="shared" si="5"/>
        <v>18561131.960247852</v>
      </c>
      <c r="AB47" s="31">
        <v>459156.06000000006</v>
      </c>
      <c r="AD47" s="42" t="s">
        <v>529</v>
      </c>
      <c r="AE47" s="42" t="s">
        <v>530</v>
      </c>
      <c r="AF47" s="43" t="s">
        <v>1275</v>
      </c>
      <c r="AG47" s="44">
        <v>34</v>
      </c>
      <c r="AH47" s="31">
        <v>13295683.335978501</v>
      </c>
      <c r="AI47" s="31">
        <v>593466.54999999981</v>
      </c>
      <c r="AJ47" s="31">
        <v>497478.01</v>
      </c>
      <c r="AK47" s="31">
        <v>46559.39</v>
      </c>
      <c r="AL47" s="31">
        <v>2253690.1635021642</v>
      </c>
      <c r="AM47" s="31">
        <v>459196.28465529683</v>
      </c>
      <c r="AN47" s="31">
        <v>1281718.4153444092</v>
      </c>
      <c r="AO47" s="31">
        <f t="shared" si="6"/>
        <v>18895478.299480371</v>
      </c>
      <c r="AP47" s="31">
        <v>467686.15000000008</v>
      </c>
      <c r="AR47" s="42" t="s">
        <v>529</v>
      </c>
      <c r="AS47" s="42" t="s">
        <v>530</v>
      </c>
      <c r="AT47" s="43" t="s">
        <v>1276</v>
      </c>
      <c r="AU47" s="44">
        <v>34</v>
      </c>
      <c r="AV47" s="31">
        <v>13568081.124728149</v>
      </c>
      <c r="AW47" s="31">
        <v>605222.5</v>
      </c>
      <c r="AX47" s="31">
        <v>507575.73</v>
      </c>
      <c r="AY47" s="31">
        <v>47521.39</v>
      </c>
      <c r="AZ47" s="31">
        <v>2299305.7739974624</v>
      </c>
      <c r="BA47" s="31">
        <v>459216.08894709725</v>
      </c>
      <c r="BB47" s="31">
        <v>1307629.8844355098</v>
      </c>
      <c r="BC47" s="31">
        <f t="shared" si="7"/>
        <v>19271677.972108219</v>
      </c>
      <c r="BD47" s="31">
        <v>477125.48000000004</v>
      </c>
    </row>
    <row r="48" spans="2:56">
      <c r="B48" s="42" t="s">
        <v>571</v>
      </c>
      <c r="C48" s="42" t="s">
        <v>572</v>
      </c>
      <c r="D48" s="43" t="s">
        <v>1049</v>
      </c>
      <c r="E48" s="44">
        <v>34</v>
      </c>
      <c r="F48" s="31">
        <v>2436379.3704066649</v>
      </c>
      <c r="G48" s="31">
        <v>31677</v>
      </c>
      <c r="H48" s="31">
        <v>0</v>
      </c>
      <c r="I48" s="31">
        <v>0</v>
      </c>
      <c r="J48" s="31">
        <v>203244.91047961198</v>
      </c>
      <c r="K48" s="31">
        <v>161853.08523781027</v>
      </c>
      <c r="L48" s="31">
        <v>85856.700911586959</v>
      </c>
      <c r="M48" s="31">
        <f t="shared" si="4"/>
        <v>2919011.0670356746</v>
      </c>
      <c r="N48" s="31">
        <v>0</v>
      </c>
      <c r="P48" s="42" t="s">
        <v>571</v>
      </c>
      <c r="Q48" s="42" t="s">
        <v>572</v>
      </c>
      <c r="R48" s="43" t="s">
        <v>1050</v>
      </c>
      <c r="S48" s="44">
        <v>34</v>
      </c>
      <c r="T48" s="31">
        <v>2593156.0001026411</v>
      </c>
      <c r="U48" s="31">
        <v>33939.429999999993</v>
      </c>
      <c r="V48" s="31">
        <v>0</v>
      </c>
      <c r="W48" s="31">
        <v>0</v>
      </c>
      <c r="X48" s="31">
        <v>216339.19438500263</v>
      </c>
      <c r="Y48" s="31">
        <v>162386.78541277463</v>
      </c>
      <c r="Z48" s="31">
        <v>91645.788624872584</v>
      </c>
      <c r="AA48" s="31">
        <f t="shared" si="5"/>
        <v>3097467.1985252909</v>
      </c>
      <c r="AB48" s="31">
        <v>0</v>
      </c>
      <c r="AD48" s="42" t="s">
        <v>571</v>
      </c>
      <c r="AE48" s="42" t="s">
        <v>572</v>
      </c>
      <c r="AF48" s="43" t="s">
        <v>1275</v>
      </c>
      <c r="AG48" s="44">
        <v>34</v>
      </c>
      <c r="AH48" s="31">
        <v>2639152.8938824208</v>
      </c>
      <c r="AI48" s="31">
        <v>34533.999999999993</v>
      </c>
      <c r="AJ48" s="31">
        <v>0</v>
      </c>
      <c r="AK48" s="31">
        <v>0</v>
      </c>
      <c r="AL48" s="31">
        <v>220295.95348879709</v>
      </c>
      <c r="AM48" s="31">
        <v>161981.31722202461</v>
      </c>
      <c r="AN48" s="31">
        <v>93274.979341337341</v>
      </c>
      <c r="AO48" s="31">
        <f t="shared" si="6"/>
        <v>3149239.14393458</v>
      </c>
      <c r="AP48" s="31">
        <v>0</v>
      </c>
      <c r="AR48" s="42" t="s">
        <v>571</v>
      </c>
      <c r="AS48" s="42" t="s">
        <v>572</v>
      </c>
      <c r="AT48" s="43" t="s">
        <v>1276</v>
      </c>
      <c r="AU48" s="44">
        <v>34</v>
      </c>
      <c r="AV48" s="31">
        <v>2689910.2735607289</v>
      </c>
      <c r="AW48" s="31">
        <v>35282.079999999994</v>
      </c>
      <c r="AX48" s="31">
        <v>0</v>
      </c>
      <c r="AY48" s="31">
        <v>0</v>
      </c>
      <c r="AZ48" s="31">
        <v>224774.32970884404</v>
      </c>
      <c r="BA48" s="31">
        <v>161992.90202747463</v>
      </c>
      <c r="BB48" s="31">
        <v>95147.580473665701</v>
      </c>
      <c r="BC48" s="31">
        <f t="shared" si="7"/>
        <v>3207107.1657707132</v>
      </c>
      <c r="BD48" s="31">
        <v>0</v>
      </c>
    </row>
    <row r="49" spans="2:56">
      <c r="B49" s="42" t="s">
        <v>499</v>
      </c>
      <c r="C49" s="42" t="s">
        <v>500</v>
      </c>
      <c r="D49" s="43" t="s">
        <v>1049</v>
      </c>
      <c r="E49" s="44">
        <v>34</v>
      </c>
      <c r="F49" s="31">
        <v>1889913.6444681901</v>
      </c>
      <c r="G49" s="31">
        <v>52034.419999999984</v>
      </c>
      <c r="H49" s="31">
        <v>0</v>
      </c>
      <c r="I49" s="31">
        <v>2923.29</v>
      </c>
      <c r="J49" s="31">
        <v>130916.18449914776</v>
      </c>
      <c r="K49" s="31">
        <v>215130.65942224776</v>
      </c>
      <c r="L49" s="31">
        <v>65853.469344846046</v>
      </c>
      <c r="M49" s="31">
        <f t="shared" si="4"/>
        <v>2385907.0577344317</v>
      </c>
      <c r="N49" s="31">
        <v>29135.39</v>
      </c>
      <c r="P49" s="42" t="s">
        <v>499</v>
      </c>
      <c r="Q49" s="42" t="s">
        <v>500</v>
      </c>
      <c r="R49" s="43" t="s">
        <v>1050</v>
      </c>
      <c r="S49" s="44">
        <v>34</v>
      </c>
      <c r="T49" s="31">
        <v>2016417.5499888347</v>
      </c>
      <c r="U49" s="31">
        <v>56210.71</v>
      </c>
      <c r="V49" s="31">
        <v>0</v>
      </c>
      <c r="W49" s="31">
        <v>3113.03</v>
      </c>
      <c r="X49" s="31">
        <v>139378.613346803</v>
      </c>
      <c r="Y49" s="31">
        <v>215459.21292515559</v>
      </c>
      <c r="Z49" s="31">
        <v>70873.852775676176</v>
      </c>
      <c r="AA49" s="31">
        <f t="shared" si="5"/>
        <v>2532199.5690364693</v>
      </c>
      <c r="AB49" s="31">
        <v>30746.6</v>
      </c>
      <c r="AD49" s="42" t="s">
        <v>499</v>
      </c>
      <c r="AE49" s="42" t="s">
        <v>500</v>
      </c>
      <c r="AF49" s="43" t="s">
        <v>1275</v>
      </c>
      <c r="AG49" s="44">
        <v>34</v>
      </c>
      <c r="AH49" s="31">
        <v>2052031.3831778134</v>
      </c>
      <c r="AI49" s="31">
        <v>57183.440000000017</v>
      </c>
      <c r="AJ49" s="31">
        <v>0</v>
      </c>
      <c r="AK49" s="31">
        <v>3167.3</v>
      </c>
      <c r="AL49" s="31">
        <v>141923.59589383029</v>
      </c>
      <c r="AM49" s="31">
        <v>215209.60087584812</v>
      </c>
      <c r="AN49" s="31">
        <v>72278.517817392276</v>
      </c>
      <c r="AO49" s="31">
        <f t="shared" si="6"/>
        <v>2573083.7977648838</v>
      </c>
      <c r="AP49" s="31">
        <v>31289.959999999995</v>
      </c>
      <c r="AR49" s="42" t="s">
        <v>499</v>
      </c>
      <c r="AS49" s="42" t="s">
        <v>500</v>
      </c>
      <c r="AT49" s="43" t="s">
        <v>1276</v>
      </c>
      <c r="AU49" s="44">
        <v>34</v>
      </c>
      <c r="AV49" s="31">
        <v>2089717.8921297421</v>
      </c>
      <c r="AW49" s="31">
        <v>58332.72</v>
      </c>
      <c r="AX49" s="31">
        <v>0</v>
      </c>
      <c r="AY49" s="31">
        <v>3225.44</v>
      </c>
      <c r="AZ49" s="31">
        <v>144790.60359262049</v>
      </c>
      <c r="BA49" s="31">
        <v>215216.73264868546</v>
      </c>
      <c r="BB49" s="31">
        <v>73747.524495710561</v>
      </c>
      <c r="BC49" s="31">
        <f t="shared" si="7"/>
        <v>2616902.812866759</v>
      </c>
      <c r="BD49" s="31">
        <v>31871.899999999998</v>
      </c>
    </row>
    <row r="50" spans="2:56">
      <c r="B50" s="42" t="s">
        <v>533</v>
      </c>
      <c r="C50" s="42" t="s">
        <v>534</v>
      </c>
      <c r="D50" s="43" t="s">
        <v>1049</v>
      </c>
      <c r="E50" s="44">
        <v>34</v>
      </c>
      <c r="F50" s="31">
        <v>6186508.0167204402</v>
      </c>
      <c r="G50" s="31">
        <v>256139.84999999992</v>
      </c>
      <c r="H50" s="31">
        <v>215887.84999999998</v>
      </c>
      <c r="I50" s="31">
        <v>20579.969999999998</v>
      </c>
      <c r="J50" s="31">
        <v>962898.01659741835</v>
      </c>
      <c r="K50" s="31">
        <v>440105.10158555338</v>
      </c>
      <c r="L50" s="31">
        <v>493820.03311586019</v>
      </c>
      <c r="M50" s="31">
        <f t="shared" si="4"/>
        <v>8787186.10801927</v>
      </c>
      <c r="N50" s="31">
        <v>211247.27000000002</v>
      </c>
      <c r="P50" s="42" t="s">
        <v>533</v>
      </c>
      <c r="Q50" s="42" t="s">
        <v>534</v>
      </c>
      <c r="R50" s="43" t="s">
        <v>1050</v>
      </c>
      <c r="S50" s="44">
        <v>34</v>
      </c>
      <c r="T50" s="31">
        <v>6680701.9372849418</v>
      </c>
      <c r="U50" s="31">
        <v>277411.66999999993</v>
      </c>
      <c r="V50" s="31">
        <v>231024.49</v>
      </c>
      <c r="W50" s="31">
        <v>22017.680000000004</v>
      </c>
      <c r="X50" s="31">
        <v>1024974.863470077</v>
      </c>
      <c r="Y50" s="31">
        <v>441231.68208041548</v>
      </c>
      <c r="Z50" s="31">
        <v>531907.47934492363</v>
      </c>
      <c r="AA50" s="31">
        <f t="shared" si="5"/>
        <v>9431927.9221803565</v>
      </c>
      <c r="AB50" s="31">
        <v>222658.11999999997</v>
      </c>
      <c r="AD50" s="42" t="s">
        <v>533</v>
      </c>
      <c r="AE50" s="42" t="s">
        <v>534</v>
      </c>
      <c r="AF50" s="43" t="s">
        <v>1275</v>
      </c>
      <c r="AG50" s="44">
        <v>34</v>
      </c>
      <c r="AH50" s="31">
        <v>6803195.3351265462</v>
      </c>
      <c r="AI50" s="31">
        <v>282440.39</v>
      </c>
      <c r="AJ50" s="31">
        <v>235290.27</v>
      </c>
      <c r="AK50" s="31">
        <v>22403.390000000003</v>
      </c>
      <c r="AL50" s="31">
        <v>1043792.1295971416</v>
      </c>
      <c r="AM50" s="31">
        <v>440375.78475001547</v>
      </c>
      <c r="AN50" s="31">
        <v>541662.80185210216</v>
      </c>
      <c r="AO50" s="31">
        <f t="shared" si="6"/>
        <v>9595877.8013258036</v>
      </c>
      <c r="AP50" s="31">
        <v>226717.69999999998</v>
      </c>
      <c r="AR50" s="42" t="s">
        <v>533</v>
      </c>
      <c r="AS50" s="42" t="s">
        <v>534</v>
      </c>
      <c r="AT50" s="43" t="s">
        <v>1276</v>
      </c>
      <c r="AU50" s="44">
        <v>34</v>
      </c>
      <c r="AV50" s="31">
        <v>6940110.1347754924</v>
      </c>
      <c r="AW50" s="31">
        <v>288157.41000000003</v>
      </c>
      <c r="AX50" s="31">
        <v>239851.43000000002</v>
      </c>
      <c r="AY50" s="31">
        <v>22927.79</v>
      </c>
      <c r="AZ50" s="31">
        <v>1064986.3023398786</v>
      </c>
      <c r="BA50" s="31">
        <v>440400.23895945557</v>
      </c>
      <c r="BB50" s="31">
        <v>552721.05587077548</v>
      </c>
      <c r="BC50" s="31">
        <f t="shared" si="7"/>
        <v>9780545.201945601</v>
      </c>
      <c r="BD50" s="31">
        <v>231390.83999999997</v>
      </c>
    </row>
    <row r="51" spans="2:56">
      <c r="B51" s="42" t="s">
        <v>491</v>
      </c>
      <c r="C51" s="42" t="s">
        <v>492</v>
      </c>
      <c r="D51" s="43" t="s">
        <v>1049</v>
      </c>
      <c r="E51" s="44">
        <v>34</v>
      </c>
      <c r="F51" s="31">
        <v>13185159.208482901</v>
      </c>
      <c r="G51" s="31">
        <v>566352.5199999999</v>
      </c>
      <c r="H51" s="31">
        <v>23707.32</v>
      </c>
      <c r="I51" s="31">
        <v>47515.519999999982</v>
      </c>
      <c r="J51" s="31">
        <v>2142681.5994578665</v>
      </c>
      <c r="K51" s="31">
        <v>1561149.3770833279</v>
      </c>
      <c r="L51" s="31">
        <v>1304764.8941347373</v>
      </c>
      <c r="M51" s="31">
        <f t="shared" si="4"/>
        <v>19160105.439158831</v>
      </c>
      <c r="N51" s="31">
        <v>328775</v>
      </c>
      <c r="P51" s="42" t="s">
        <v>491</v>
      </c>
      <c r="Q51" s="42" t="s">
        <v>492</v>
      </c>
      <c r="R51" s="43" t="s">
        <v>1050</v>
      </c>
      <c r="S51" s="44">
        <v>34</v>
      </c>
      <c r="T51" s="31">
        <v>14247976.039318524</v>
      </c>
      <c r="U51" s="31">
        <v>611191.97000000009</v>
      </c>
      <c r="V51" s="31">
        <v>25347.17</v>
      </c>
      <c r="W51" s="31">
        <v>50801.770000000004</v>
      </c>
      <c r="X51" s="31">
        <v>2280842.7045655758</v>
      </c>
      <c r="Y51" s="31">
        <v>1565181.7922554517</v>
      </c>
      <c r="Z51" s="31">
        <v>1404769.9133626549</v>
      </c>
      <c r="AA51" s="31">
        <f t="shared" si="5"/>
        <v>20532527.229502209</v>
      </c>
      <c r="AB51" s="31">
        <v>346415.87</v>
      </c>
      <c r="AD51" s="42" t="s">
        <v>491</v>
      </c>
      <c r="AE51" s="42" t="s">
        <v>492</v>
      </c>
      <c r="AF51" s="43" t="s">
        <v>1275</v>
      </c>
      <c r="AG51" s="44">
        <v>34</v>
      </c>
      <c r="AH51" s="31">
        <v>14517163.948654836</v>
      </c>
      <c r="AI51" s="31">
        <v>622369.03</v>
      </c>
      <c r="AJ51" s="31">
        <v>25791.22</v>
      </c>
      <c r="AK51" s="31">
        <v>51691.73</v>
      </c>
      <c r="AL51" s="31">
        <v>2322772.0273980564</v>
      </c>
      <c r="AM51" s="31">
        <v>1562118.2442918348</v>
      </c>
      <c r="AN51" s="31">
        <v>1430582.1913362078</v>
      </c>
      <c r="AO51" s="31">
        <f t="shared" si="6"/>
        <v>20885268.001680933</v>
      </c>
      <c r="AP51" s="31">
        <v>352779.61000000004</v>
      </c>
      <c r="AR51" s="42" t="s">
        <v>491</v>
      </c>
      <c r="AS51" s="42" t="s">
        <v>492</v>
      </c>
      <c r="AT51" s="43" t="s">
        <v>1276</v>
      </c>
      <c r="AU51" s="44">
        <v>34</v>
      </c>
      <c r="AV51" s="31">
        <v>14818950.630161673</v>
      </c>
      <c r="AW51" s="31">
        <v>634772.54000000015</v>
      </c>
      <c r="AX51" s="31">
        <v>26266.79</v>
      </c>
      <c r="AY51" s="31">
        <v>52756.189999999995</v>
      </c>
      <c r="AZ51" s="31">
        <v>2369909.8213941865</v>
      </c>
      <c r="BA51" s="31">
        <v>1562205.7742336523</v>
      </c>
      <c r="BB51" s="31">
        <v>1459545.9743677799</v>
      </c>
      <c r="BC51" s="31">
        <f t="shared" si="7"/>
        <v>21284434.320157293</v>
      </c>
      <c r="BD51" s="31">
        <v>360026.6</v>
      </c>
    </row>
    <row r="52" spans="2:56">
      <c r="B52" s="42" t="s">
        <v>401</v>
      </c>
      <c r="C52" s="42" t="s">
        <v>402</v>
      </c>
      <c r="D52" s="43" t="s">
        <v>1049</v>
      </c>
      <c r="E52" s="44">
        <v>34</v>
      </c>
      <c r="F52" s="31">
        <v>4874307.9428666057</v>
      </c>
      <c r="G52" s="31">
        <v>236643.2699999999</v>
      </c>
      <c r="H52" s="31">
        <v>0</v>
      </c>
      <c r="I52" s="31">
        <v>15086.54</v>
      </c>
      <c r="J52" s="31">
        <v>658433.69628310541</v>
      </c>
      <c r="K52" s="31">
        <v>686676.3555047285</v>
      </c>
      <c r="L52" s="31">
        <v>482923.43812768772</v>
      </c>
      <c r="M52" s="31">
        <f t="shared" si="4"/>
        <v>7113342.1027821284</v>
      </c>
      <c r="N52" s="31">
        <v>159270.85999999999</v>
      </c>
      <c r="P52" s="42" t="s">
        <v>401</v>
      </c>
      <c r="Q52" s="42" t="s">
        <v>402</v>
      </c>
      <c r="R52" s="43" t="s">
        <v>1050</v>
      </c>
      <c r="S52" s="44">
        <v>34</v>
      </c>
      <c r="T52" s="31">
        <v>5253718.1829379266</v>
      </c>
      <c r="U52" s="31">
        <v>255528.97</v>
      </c>
      <c r="V52" s="31">
        <v>0</v>
      </c>
      <c r="W52" s="31">
        <v>16169.109999999999</v>
      </c>
      <c r="X52" s="31">
        <v>700745.75702332892</v>
      </c>
      <c r="Y52" s="31">
        <v>688374.84585748543</v>
      </c>
      <c r="Z52" s="31">
        <v>520230.75354487001</v>
      </c>
      <c r="AA52" s="31">
        <f t="shared" si="5"/>
        <v>7602731.9293636102</v>
      </c>
      <c r="AB52" s="31">
        <v>167964.31000000003</v>
      </c>
      <c r="AD52" s="42" t="s">
        <v>401</v>
      </c>
      <c r="AE52" s="42" t="s">
        <v>402</v>
      </c>
      <c r="AF52" s="43" t="s">
        <v>1275</v>
      </c>
      <c r="AG52" s="44">
        <v>34</v>
      </c>
      <c r="AH52" s="31">
        <v>5349956.3684981605</v>
      </c>
      <c r="AI52" s="31">
        <v>260242.66999999998</v>
      </c>
      <c r="AJ52" s="31">
        <v>0</v>
      </c>
      <c r="AK52" s="31">
        <v>16454.809999999998</v>
      </c>
      <c r="AL52" s="31">
        <v>713711.26732869225</v>
      </c>
      <c r="AM52" s="31">
        <v>687057.08102273545</v>
      </c>
      <c r="AN52" s="31">
        <v>529863.57374457701</v>
      </c>
      <c r="AO52" s="31">
        <f t="shared" si="6"/>
        <v>7728369.5205941657</v>
      </c>
      <c r="AP52" s="31">
        <v>171083.75</v>
      </c>
      <c r="AR52" s="42" t="s">
        <v>401</v>
      </c>
      <c r="AS52" s="42" t="s">
        <v>402</v>
      </c>
      <c r="AT52" s="43" t="s">
        <v>1276</v>
      </c>
      <c r="AU52" s="44">
        <v>34</v>
      </c>
      <c r="AV52" s="31">
        <v>5457576.1860821703</v>
      </c>
      <c r="AW52" s="31">
        <v>265522.39</v>
      </c>
      <c r="AX52" s="31">
        <v>0</v>
      </c>
      <c r="AY52" s="31">
        <v>16760.810000000001</v>
      </c>
      <c r="AZ52" s="31">
        <v>728307.06880849937</v>
      </c>
      <c r="BA52" s="31">
        <v>687094.73144658539</v>
      </c>
      <c r="BB52" s="31">
        <v>540778.92312644608</v>
      </c>
      <c r="BC52" s="31">
        <f t="shared" si="7"/>
        <v>7870578.1794637013</v>
      </c>
      <c r="BD52" s="31">
        <v>174538.07</v>
      </c>
    </row>
    <row r="53" spans="2:56">
      <c r="B53" s="42" t="s">
        <v>411</v>
      </c>
      <c r="C53" s="42" t="s">
        <v>412</v>
      </c>
      <c r="D53" s="43" t="s">
        <v>1049</v>
      </c>
      <c r="E53" s="44">
        <v>34</v>
      </c>
      <c r="F53" s="31">
        <v>4389923.7713699294</v>
      </c>
      <c r="G53" s="31">
        <v>60542.880000000005</v>
      </c>
      <c r="H53" s="31">
        <v>50908.57</v>
      </c>
      <c r="I53" s="31">
        <v>14232.510000000002</v>
      </c>
      <c r="J53" s="31">
        <v>452357.01402670756</v>
      </c>
      <c r="K53" s="31">
        <v>216731.34885787385</v>
      </c>
      <c r="L53" s="31">
        <v>0</v>
      </c>
      <c r="M53" s="31">
        <f t="shared" si="4"/>
        <v>5184696.0942545114</v>
      </c>
      <c r="N53" s="31">
        <v>0</v>
      </c>
      <c r="P53" s="42" t="s">
        <v>411</v>
      </c>
      <c r="Q53" s="42" t="s">
        <v>412</v>
      </c>
      <c r="R53" s="43" t="s">
        <v>1050</v>
      </c>
      <c r="S53" s="44">
        <v>34</v>
      </c>
      <c r="T53" s="31">
        <v>4661757.0351194469</v>
      </c>
      <c r="U53" s="31">
        <v>64264.42</v>
      </c>
      <c r="V53" s="31">
        <v>54093.090000000004</v>
      </c>
      <c r="W53" s="31">
        <v>15025.86</v>
      </c>
      <c r="X53" s="31">
        <v>478194.03963651846</v>
      </c>
      <c r="Y53" s="31">
        <v>217238.00127321866</v>
      </c>
      <c r="Z53" s="31">
        <v>0</v>
      </c>
      <c r="AA53" s="31">
        <f t="shared" si="5"/>
        <v>5490572.4460291844</v>
      </c>
      <c r="AB53" s="31">
        <v>0</v>
      </c>
      <c r="AD53" s="42" t="s">
        <v>411</v>
      </c>
      <c r="AE53" s="42" t="s">
        <v>412</v>
      </c>
      <c r="AF53" s="43" t="s">
        <v>1275</v>
      </c>
      <c r="AG53" s="44">
        <v>34</v>
      </c>
      <c r="AH53" s="31">
        <v>4747740.2581752967</v>
      </c>
      <c r="AI53" s="31">
        <v>65518.720000000001</v>
      </c>
      <c r="AJ53" s="31">
        <v>55167.459999999992</v>
      </c>
      <c r="AK53" s="31">
        <v>15291.630000000001</v>
      </c>
      <c r="AL53" s="31">
        <v>487029.20510873914</v>
      </c>
      <c r="AM53" s="31">
        <v>216846.49428426867</v>
      </c>
      <c r="AN53" s="31">
        <v>0</v>
      </c>
      <c r="AO53" s="31">
        <f t="shared" si="6"/>
        <v>5587593.7675683042</v>
      </c>
      <c r="AP53" s="31">
        <v>0</v>
      </c>
      <c r="AR53" s="42" t="s">
        <v>411</v>
      </c>
      <c r="AS53" s="42" t="s">
        <v>412</v>
      </c>
      <c r="AT53" s="43" t="s">
        <v>1276</v>
      </c>
      <c r="AU53" s="44">
        <v>34</v>
      </c>
      <c r="AV53" s="31">
        <v>4844619.7613125872</v>
      </c>
      <c r="AW53" s="31">
        <v>66858.11</v>
      </c>
      <c r="AX53" s="31">
        <v>56194.339999999989</v>
      </c>
      <c r="AY53" s="31">
        <v>15696.08</v>
      </c>
      <c r="AZ53" s="31">
        <v>496980.22474514408</v>
      </c>
      <c r="BA53" s="31">
        <v>216857.68019823867</v>
      </c>
      <c r="BB53" s="31">
        <v>0</v>
      </c>
      <c r="BC53" s="31">
        <f t="shared" si="7"/>
        <v>5697206.1962559698</v>
      </c>
      <c r="BD53" s="31">
        <v>0</v>
      </c>
    </row>
    <row r="54" spans="2:56">
      <c r="B54" s="42" t="s">
        <v>157</v>
      </c>
      <c r="C54" s="42" t="s">
        <v>158</v>
      </c>
      <c r="D54" s="43" t="s">
        <v>1049</v>
      </c>
      <c r="E54" s="44">
        <v>34</v>
      </c>
      <c r="F54" s="31">
        <v>1527751.2586801329</v>
      </c>
      <c r="G54" s="31">
        <v>51352.32</v>
      </c>
      <c r="H54" s="31">
        <v>3215.6</v>
      </c>
      <c r="I54" s="31">
        <v>4579.8100000000004</v>
      </c>
      <c r="J54" s="31">
        <v>210533.79901758637</v>
      </c>
      <c r="K54" s="31">
        <v>56006.816169358382</v>
      </c>
      <c r="L54" s="31">
        <v>0</v>
      </c>
      <c r="M54" s="31">
        <f t="shared" si="4"/>
        <v>1853439.6038670777</v>
      </c>
      <c r="N54" s="31">
        <v>0</v>
      </c>
      <c r="P54" s="42" t="s">
        <v>157</v>
      </c>
      <c r="Q54" s="42" t="s">
        <v>158</v>
      </c>
      <c r="R54" s="43" t="s">
        <v>1050</v>
      </c>
      <c r="S54" s="44">
        <v>34</v>
      </c>
      <c r="T54" s="31">
        <v>1657171.5789705655</v>
      </c>
      <c r="U54" s="31">
        <v>54996.869999999995</v>
      </c>
      <c r="V54" s="31">
        <v>3528.1</v>
      </c>
      <c r="W54" s="31">
        <v>4877.0899999999992</v>
      </c>
      <c r="X54" s="31">
        <v>224088.25129232462</v>
      </c>
      <c r="Y54" s="31">
        <v>56116.299822207329</v>
      </c>
      <c r="Z54" s="31">
        <v>0</v>
      </c>
      <c r="AA54" s="31">
        <f t="shared" si="5"/>
        <v>2000778.1900850977</v>
      </c>
      <c r="AB54" s="31">
        <v>0</v>
      </c>
      <c r="AD54" s="42" t="s">
        <v>157</v>
      </c>
      <c r="AE54" s="42" t="s">
        <v>158</v>
      </c>
      <c r="AF54" s="43" t="s">
        <v>1275</v>
      </c>
      <c r="AG54" s="44">
        <v>34</v>
      </c>
      <c r="AH54" s="31">
        <v>1687406.8292399491</v>
      </c>
      <c r="AI54" s="31">
        <v>55955.73</v>
      </c>
      <c r="AJ54" s="31">
        <v>3589.61</v>
      </c>
      <c r="AK54" s="31">
        <v>4962.13</v>
      </c>
      <c r="AL54" s="31">
        <v>228173.77503975583</v>
      </c>
      <c r="AM54" s="31">
        <v>56033.121774457337</v>
      </c>
      <c r="AN54" s="31">
        <v>0</v>
      </c>
      <c r="AO54" s="31">
        <f t="shared" si="6"/>
        <v>2036121.1960541622</v>
      </c>
      <c r="AP54" s="31">
        <v>0</v>
      </c>
      <c r="AR54" s="42" t="s">
        <v>157</v>
      </c>
      <c r="AS54" s="42" t="s">
        <v>158</v>
      </c>
      <c r="AT54" s="43" t="s">
        <v>1276</v>
      </c>
      <c r="AU54" s="44">
        <v>34</v>
      </c>
      <c r="AV54" s="31">
        <v>1721564.2260584794</v>
      </c>
      <c r="AW54" s="31">
        <v>57090.189999999995</v>
      </c>
      <c r="AX54" s="31">
        <v>3655.4900000000002</v>
      </c>
      <c r="AY54" s="31">
        <v>5053.1900000000005</v>
      </c>
      <c r="AZ54" s="31">
        <v>232778.97951806601</v>
      </c>
      <c r="BA54" s="31">
        <v>56035.498290107338</v>
      </c>
      <c r="BB54" s="31">
        <v>0</v>
      </c>
      <c r="BC54" s="31">
        <f t="shared" si="7"/>
        <v>2076177.5738666526</v>
      </c>
      <c r="BD54" s="31">
        <v>0</v>
      </c>
    </row>
    <row r="55" spans="2:56">
      <c r="B55" s="42" t="s">
        <v>127</v>
      </c>
      <c r="C55" s="42" t="s">
        <v>128</v>
      </c>
      <c r="D55" s="43" t="s">
        <v>1049</v>
      </c>
      <c r="E55" s="44">
        <v>34</v>
      </c>
      <c r="F55" s="31">
        <v>2547115.7377046687</v>
      </c>
      <c r="G55" s="31">
        <v>55639.81</v>
      </c>
      <c r="H55" s="31">
        <v>0</v>
      </c>
      <c r="I55" s="31">
        <v>6138.8899999999994</v>
      </c>
      <c r="J55" s="31">
        <v>193612.51293849712</v>
      </c>
      <c r="K55" s="31">
        <v>300728.23419932398</v>
      </c>
      <c r="L55" s="31">
        <v>151861.39887626271</v>
      </c>
      <c r="M55" s="31">
        <f t="shared" si="4"/>
        <v>3255096.583718753</v>
      </c>
      <c r="N55" s="31">
        <v>0</v>
      </c>
      <c r="P55" s="42" t="s">
        <v>127</v>
      </c>
      <c r="Q55" s="42" t="s">
        <v>128</v>
      </c>
      <c r="R55" s="43" t="s">
        <v>1050</v>
      </c>
      <c r="S55" s="44">
        <v>34</v>
      </c>
      <c r="T55" s="31">
        <v>2713918.6570123052</v>
      </c>
      <c r="U55" s="31">
        <v>59562.63</v>
      </c>
      <c r="V55" s="31">
        <v>0</v>
      </c>
      <c r="W55" s="31">
        <v>6537.38</v>
      </c>
      <c r="X55" s="31">
        <v>206112.92826993502</v>
      </c>
      <c r="Y55" s="31">
        <v>301341.90539862198</v>
      </c>
      <c r="Z55" s="31">
        <v>161914.36069739546</v>
      </c>
      <c r="AA55" s="31">
        <f t="shared" si="5"/>
        <v>3449387.8613782576</v>
      </c>
      <c r="AB55" s="31">
        <v>0</v>
      </c>
      <c r="AD55" s="42" t="s">
        <v>127</v>
      </c>
      <c r="AE55" s="42" t="s">
        <v>128</v>
      </c>
      <c r="AF55" s="43" t="s">
        <v>1275</v>
      </c>
      <c r="AG55" s="44">
        <v>34</v>
      </c>
      <c r="AH55" s="31">
        <v>2762670.5646001594</v>
      </c>
      <c r="AI55" s="31">
        <v>60601.099999999991</v>
      </c>
      <c r="AJ55" s="31">
        <v>0</v>
      </c>
      <c r="AK55" s="31">
        <v>6651.35</v>
      </c>
      <c r="AL55" s="31">
        <v>209883.44650293025</v>
      </c>
      <c r="AM55" s="31">
        <v>300875.68079805601</v>
      </c>
      <c r="AN55" s="31">
        <v>164891.33928153614</v>
      </c>
      <c r="AO55" s="31">
        <f t="shared" si="6"/>
        <v>3505573.4811826823</v>
      </c>
      <c r="AP55" s="31">
        <v>0</v>
      </c>
      <c r="AR55" s="42" t="s">
        <v>127</v>
      </c>
      <c r="AS55" s="42" t="s">
        <v>128</v>
      </c>
      <c r="AT55" s="43" t="s">
        <v>1276</v>
      </c>
      <c r="AU55" s="44">
        <v>34</v>
      </c>
      <c r="AV55" s="31">
        <v>2816445.8500173707</v>
      </c>
      <c r="AW55" s="31">
        <v>61820.819999999992</v>
      </c>
      <c r="AX55" s="31">
        <v>0</v>
      </c>
      <c r="AY55" s="31">
        <v>6773.42</v>
      </c>
      <c r="AZ55" s="31">
        <v>214124.48600924938</v>
      </c>
      <c r="BA55" s="31">
        <v>300889.00150092936</v>
      </c>
      <c r="BB55" s="31">
        <v>168104.6180898223</v>
      </c>
      <c r="BC55" s="31">
        <f t="shared" si="7"/>
        <v>3568158.1956173712</v>
      </c>
      <c r="BD55" s="31">
        <v>0</v>
      </c>
    </row>
    <row r="56" spans="2:56">
      <c r="B56" s="42" t="s">
        <v>169</v>
      </c>
      <c r="C56" s="42" t="s">
        <v>170</v>
      </c>
      <c r="D56" s="43" t="s">
        <v>1049</v>
      </c>
      <c r="E56" s="44">
        <v>34</v>
      </c>
      <c r="F56" s="31">
        <v>9160496.5552699007</v>
      </c>
      <c r="G56" s="31">
        <v>234966.65999999997</v>
      </c>
      <c r="H56" s="31">
        <v>49150.63</v>
      </c>
      <c r="I56" s="31">
        <v>30913.730000000003</v>
      </c>
      <c r="J56" s="31">
        <v>1370074.2391633033</v>
      </c>
      <c r="K56" s="31">
        <v>465687.19539049524</v>
      </c>
      <c r="L56" s="31">
        <v>148342.20255037345</v>
      </c>
      <c r="M56" s="31">
        <f t="shared" si="4"/>
        <v>11476867.292374074</v>
      </c>
      <c r="N56" s="31">
        <v>17236.080000000002</v>
      </c>
      <c r="P56" s="42" t="s">
        <v>169</v>
      </c>
      <c r="Q56" s="42" t="s">
        <v>170</v>
      </c>
      <c r="R56" s="43" t="s">
        <v>1050</v>
      </c>
      <c r="S56" s="44">
        <v>34</v>
      </c>
      <c r="T56" s="31">
        <v>9790282.9030423053</v>
      </c>
      <c r="U56" s="31">
        <v>251430.25999999998</v>
      </c>
      <c r="V56" s="31">
        <v>52529.750000000007</v>
      </c>
      <c r="W56" s="31">
        <v>33008.559999999998</v>
      </c>
      <c r="X56" s="31">
        <v>1458096.828518067</v>
      </c>
      <c r="Y56" s="31">
        <v>466608.45196643478</v>
      </c>
      <c r="Z56" s="31">
        <v>158196.53193001149</v>
      </c>
      <c r="AA56" s="31">
        <f t="shared" si="5"/>
        <v>12228352.065456817</v>
      </c>
      <c r="AB56" s="31">
        <v>18198.780000000002</v>
      </c>
      <c r="AD56" s="42" t="s">
        <v>169</v>
      </c>
      <c r="AE56" s="42" t="s">
        <v>170</v>
      </c>
      <c r="AF56" s="43" t="s">
        <v>1275</v>
      </c>
      <c r="AG56" s="44">
        <v>34</v>
      </c>
      <c r="AH56" s="31">
        <v>9977692.3203894123</v>
      </c>
      <c r="AI56" s="31">
        <v>256127.22999999992</v>
      </c>
      <c r="AJ56" s="31">
        <v>53581.96</v>
      </c>
      <c r="AK56" s="31">
        <v>33714.5</v>
      </c>
      <c r="AL56" s="31">
        <v>1485121.8481937933</v>
      </c>
      <c r="AM56" s="31">
        <v>465893.69988227671</v>
      </c>
      <c r="AN56" s="31">
        <v>161033.70198392306</v>
      </c>
      <c r="AO56" s="31">
        <f t="shared" si="6"/>
        <v>12451690.700449405</v>
      </c>
      <c r="AP56" s="31">
        <v>18525.440000000002</v>
      </c>
      <c r="AR56" s="42" t="s">
        <v>169</v>
      </c>
      <c r="AS56" s="42" t="s">
        <v>170</v>
      </c>
      <c r="AT56" s="43" t="s">
        <v>1276</v>
      </c>
      <c r="AU56" s="44">
        <v>34</v>
      </c>
      <c r="AV56" s="31">
        <v>10186312.990654672</v>
      </c>
      <c r="AW56" s="31">
        <v>261396.52000000002</v>
      </c>
      <c r="AX56" s="31">
        <v>54582.16</v>
      </c>
      <c r="AY56" s="31">
        <v>34343.839999999997</v>
      </c>
      <c r="AZ56" s="31">
        <v>1515542.1097266956</v>
      </c>
      <c r="BA56" s="31">
        <v>465914.12137039553</v>
      </c>
      <c r="BB56" s="31">
        <v>164467.35478485789</v>
      </c>
      <c r="BC56" s="31">
        <f t="shared" si="7"/>
        <v>12701555.39653662</v>
      </c>
      <c r="BD56" s="31">
        <v>18996.3</v>
      </c>
    </row>
    <row r="57" spans="2:56">
      <c r="B57" s="42" t="s">
        <v>45</v>
      </c>
      <c r="C57" s="42" t="s">
        <v>46</v>
      </c>
      <c r="D57" s="43" t="s">
        <v>1049</v>
      </c>
      <c r="E57" s="44">
        <v>34</v>
      </c>
      <c r="F57" s="31">
        <v>3430031.1514204848</v>
      </c>
      <c r="G57" s="31">
        <v>114202.90000000002</v>
      </c>
      <c r="H57" s="31">
        <v>0</v>
      </c>
      <c r="I57" s="31">
        <v>8672.41</v>
      </c>
      <c r="J57" s="31">
        <v>277731.14619303163</v>
      </c>
      <c r="K57" s="31">
        <v>114891.53201593457</v>
      </c>
      <c r="L57" s="31">
        <v>33741.919104134184</v>
      </c>
      <c r="M57" s="31">
        <f t="shared" si="4"/>
        <v>4041049.7387335855</v>
      </c>
      <c r="N57" s="31">
        <v>61778.68</v>
      </c>
      <c r="P57" s="42" t="s">
        <v>45</v>
      </c>
      <c r="Q57" s="42" t="s">
        <v>46</v>
      </c>
      <c r="R57" s="43" t="s">
        <v>1050</v>
      </c>
      <c r="S57" s="44">
        <v>34</v>
      </c>
      <c r="T57" s="31">
        <v>3683089.1146399798</v>
      </c>
      <c r="U57" s="31">
        <v>123269.92</v>
      </c>
      <c r="V57" s="31">
        <v>0</v>
      </c>
      <c r="W57" s="31">
        <v>9235.32</v>
      </c>
      <c r="X57" s="31">
        <v>295660.42786254454</v>
      </c>
      <c r="Y57" s="31">
        <v>115120.18408460738</v>
      </c>
      <c r="Z57" s="31">
        <v>36262.866353232559</v>
      </c>
      <c r="AA57" s="31">
        <f t="shared" si="5"/>
        <v>4327706.2229403639</v>
      </c>
      <c r="AB57" s="31">
        <v>65068.39</v>
      </c>
      <c r="AD57" s="42" t="s">
        <v>45</v>
      </c>
      <c r="AE57" s="42" t="s">
        <v>46</v>
      </c>
      <c r="AF57" s="43" t="s">
        <v>1275</v>
      </c>
      <c r="AG57" s="44">
        <v>34</v>
      </c>
      <c r="AH57" s="31">
        <v>3756642.6502796779</v>
      </c>
      <c r="AI57" s="31">
        <v>125403.67999999996</v>
      </c>
      <c r="AJ57" s="31">
        <v>0</v>
      </c>
      <c r="AK57" s="31">
        <v>9396.33</v>
      </c>
      <c r="AL57" s="31">
        <v>301088.00342374574</v>
      </c>
      <c r="AM57" s="31">
        <v>114946.47018128666</v>
      </c>
      <c r="AN57" s="31">
        <v>36905.835166023695</v>
      </c>
      <c r="AO57" s="31">
        <f t="shared" si="6"/>
        <v>4410601.2590507343</v>
      </c>
      <c r="AP57" s="31">
        <v>66218.290000000008</v>
      </c>
      <c r="AR57" s="42" t="s">
        <v>45</v>
      </c>
      <c r="AS57" s="42" t="s">
        <v>46</v>
      </c>
      <c r="AT57" s="43" t="s">
        <v>1276</v>
      </c>
      <c r="AU57" s="44">
        <v>34</v>
      </c>
      <c r="AV57" s="31">
        <v>3837740.4899596144</v>
      </c>
      <c r="AW57" s="31">
        <v>128013.08000000002</v>
      </c>
      <c r="AX57" s="31">
        <v>0</v>
      </c>
      <c r="AY57" s="31">
        <v>9568.7799999999988</v>
      </c>
      <c r="AZ57" s="31">
        <v>307181.51214402</v>
      </c>
      <c r="BA57" s="31">
        <v>114951.43343566725</v>
      </c>
      <c r="BB57" s="31">
        <v>37708.935618961579</v>
      </c>
      <c r="BC57" s="31">
        <f t="shared" si="7"/>
        <v>4502719.9511582628</v>
      </c>
      <c r="BD57" s="31">
        <v>67555.72</v>
      </c>
    </row>
    <row r="58" spans="2:56">
      <c r="B58" s="42" t="s">
        <v>303</v>
      </c>
      <c r="C58" s="42" t="s">
        <v>304</v>
      </c>
      <c r="D58" s="43" t="s">
        <v>1049</v>
      </c>
      <c r="E58" s="44">
        <v>34</v>
      </c>
      <c r="F58" s="31">
        <v>1910430.6572916026</v>
      </c>
      <c r="G58" s="31">
        <v>27339.09</v>
      </c>
      <c r="H58" s="31">
        <v>0</v>
      </c>
      <c r="I58" s="31">
        <v>2522.06</v>
      </c>
      <c r="J58" s="31">
        <v>102795.59651943565</v>
      </c>
      <c r="K58" s="31">
        <v>528604.00680148334</v>
      </c>
      <c r="L58" s="31">
        <v>63683.5688976737</v>
      </c>
      <c r="M58" s="31">
        <f t="shared" si="4"/>
        <v>2647178.1795101957</v>
      </c>
      <c r="N58" s="31">
        <v>11803.2</v>
      </c>
      <c r="P58" s="42" t="s">
        <v>303</v>
      </c>
      <c r="Q58" s="42" t="s">
        <v>304</v>
      </c>
      <c r="R58" s="43" t="s">
        <v>1050</v>
      </c>
      <c r="S58" s="44">
        <v>34</v>
      </c>
      <c r="T58" s="31">
        <v>2026633.6479084746</v>
      </c>
      <c r="U58" s="31">
        <v>29296.720000000008</v>
      </c>
      <c r="V58" s="31">
        <v>0</v>
      </c>
      <c r="W58" s="31">
        <v>2685.09</v>
      </c>
      <c r="X58" s="31">
        <v>108893.91248667118</v>
      </c>
      <c r="Y58" s="31">
        <v>530001.7415992202</v>
      </c>
      <c r="Z58" s="31">
        <v>67591.67506025474</v>
      </c>
      <c r="AA58" s="31">
        <f t="shared" si="5"/>
        <v>2777478.5470546205</v>
      </c>
      <c r="AB58" s="31">
        <v>12375.76</v>
      </c>
      <c r="AD58" s="42" t="s">
        <v>303</v>
      </c>
      <c r="AE58" s="42" t="s">
        <v>304</v>
      </c>
      <c r="AF58" s="43" t="s">
        <v>1275</v>
      </c>
      <c r="AG58" s="44">
        <v>34</v>
      </c>
      <c r="AH58" s="31">
        <v>2061855.0376322418</v>
      </c>
      <c r="AI58" s="31">
        <v>29807.110000000004</v>
      </c>
      <c r="AJ58" s="31">
        <v>0</v>
      </c>
      <c r="AK58" s="31">
        <v>2732.13</v>
      </c>
      <c r="AL58" s="31">
        <v>110812.56306851436</v>
      </c>
      <c r="AM58" s="31">
        <v>528939.84013062029</v>
      </c>
      <c r="AN58" s="31">
        <v>68784.163644393426</v>
      </c>
      <c r="AO58" s="31">
        <f t="shared" si="6"/>
        <v>2815526.2544757701</v>
      </c>
      <c r="AP58" s="31">
        <v>12595.41</v>
      </c>
      <c r="AR58" s="42" t="s">
        <v>303</v>
      </c>
      <c r="AS58" s="42" t="s">
        <v>304</v>
      </c>
      <c r="AT58" s="43" t="s">
        <v>1276</v>
      </c>
      <c r="AU58" s="44">
        <v>34</v>
      </c>
      <c r="AV58" s="31">
        <v>2099580.7651533666</v>
      </c>
      <c r="AW58" s="31">
        <v>30353.730000000003</v>
      </c>
      <c r="AX58" s="31">
        <v>0</v>
      </c>
      <c r="AY58" s="31">
        <v>2782.5099999999998</v>
      </c>
      <c r="AZ58" s="31">
        <v>112867.42966076569</v>
      </c>
      <c r="BA58" s="31">
        <v>528970.18017258018</v>
      </c>
      <c r="BB58" s="31">
        <v>70061.279128205962</v>
      </c>
      <c r="BC58" s="31">
        <f t="shared" si="7"/>
        <v>2857446.564114918</v>
      </c>
      <c r="BD58" s="31">
        <v>12830.67</v>
      </c>
    </row>
    <row r="59" spans="2:56">
      <c r="B59" s="42" t="s">
        <v>103</v>
      </c>
      <c r="C59" s="42" t="s">
        <v>104</v>
      </c>
      <c r="D59" s="43" t="s">
        <v>1049</v>
      </c>
      <c r="E59" s="44">
        <v>34</v>
      </c>
      <c r="F59" s="31">
        <v>2857128.154405233</v>
      </c>
      <c r="G59" s="31">
        <v>83126.900000000009</v>
      </c>
      <c r="H59" s="31">
        <v>0</v>
      </c>
      <c r="I59" s="31">
        <v>0</v>
      </c>
      <c r="J59" s="31">
        <v>240388.16719346348</v>
      </c>
      <c r="K59" s="31">
        <v>129473.50271876868</v>
      </c>
      <c r="L59" s="31">
        <v>73862.921473186085</v>
      </c>
      <c r="M59" s="31">
        <f t="shared" si="4"/>
        <v>3456211.2857906511</v>
      </c>
      <c r="N59" s="31">
        <v>72231.64</v>
      </c>
      <c r="P59" s="42" t="s">
        <v>103</v>
      </c>
      <c r="Q59" s="42" t="s">
        <v>104</v>
      </c>
      <c r="R59" s="43" t="s">
        <v>1050</v>
      </c>
      <c r="S59" s="44">
        <v>34</v>
      </c>
      <c r="T59" s="31">
        <v>3066083.0514629339</v>
      </c>
      <c r="U59" s="31">
        <v>90100.09</v>
      </c>
      <c r="V59" s="31">
        <v>0</v>
      </c>
      <c r="W59" s="31">
        <v>0</v>
      </c>
      <c r="X59" s="31">
        <v>255894.54227570762</v>
      </c>
      <c r="Y59" s="31">
        <v>129676.71522008699</v>
      </c>
      <c r="Z59" s="31">
        <v>79430.67007643191</v>
      </c>
      <c r="AA59" s="31">
        <f t="shared" si="5"/>
        <v>3697237.8890351602</v>
      </c>
      <c r="AB59" s="31">
        <v>76052.820000000007</v>
      </c>
      <c r="AD59" s="42" t="s">
        <v>103</v>
      </c>
      <c r="AE59" s="42" t="s">
        <v>104</v>
      </c>
      <c r="AF59" s="43" t="s">
        <v>1275</v>
      </c>
      <c r="AG59" s="44">
        <v>34</v>
      </c>
      <c r="AH59" s="31">
        <v>3125937.0256431676</v>
      </c>
      <c r="AI59" s="31">
        <v>91662.630000000019</v>
      </c>
      <c r="AJ59" s="31">
        <v>0</v>
      </c>
      <c r="AK59" s="31">
        <v>0</v>
      </c>
      <c r="AL59" s="31">
        <v>260594.22555486625</v>
      </c>
      <c r="AM59" s="31">
        <v>129522.32852674775</v>
      </c>
      <c r="AN59" s="31">
        <v>80924.017810767167</v>
      </c>
      <c r="AO59" s="31">
        <f t="shared" si="6"/>
        <v>3766150.5475355485</v>
      </c>
      <c r="AP59" s="31">
        <v>77510.319999999992</v>
      </c>
      <c r="AR59" s="42" t="s">
        <v>103</v>
      </c>
      <c r="AS59" s="42" t="s">
        <v>104</v>
      </c>
      <c r="AT59" s="43" t="s">
        <v>1276</v>
      </c>
      <c r="AU59" s="44">
        <v>34</v>
      </c>
      <c r="AV59" s="31">
        <v>3191566.6568504055</v>
      </c>
      <c r="AW59" s="31">
        <v>93558.560000000027</v>
      </c>
      <c r="AX59" s="31">
        <v>0</v>
      </c>
      <c r="AY59" s="31">
        <v>0</v>
      </c>
      <c r="AZ59" s="31">
        <v>265883.07518051728</v>
      </c>
      <c r="BA59" s="31">
        <v>129526.73957512887</v>
      </c>
      <c r="BB59" s="31">
        <v>82562.935829950511</v>
      </c>
      <c r="BC59" s="31">
        <f t="shared" si="7"/>
        <v>3842165.6574360025</v>
      </c>
      <c r="BD59" s="31">
        <v>79067.69</v>
      </c>
    </row>
    <row r="60" spans="2:56">
      <c r="B60" s="42" t="s">
        <v>357</v>
      </c>
      <c r="C60" s="42" t="s">
        <v>358</v>
      </c>
      <c r="D60" s="43" t="s">
        <v>1049</v>
      </c>
      <c r="E60" s="44">
        <v>34</v>
      </c>
      <c r="F60" s="31">
        <v>3409704.4477415001</v>
      </c>
      <c r="G60" s="31">
        <v>138563.56000000006</v>
      </c>
      <c r="H60" s="31">
        <v>0</v>
      </c>
      <c r="I60" s="31">
        <v>9062.18</v>
      </c>
      <c r="J60" s="31">
        <v>391045.89287423418</v>
      </c>
      <c r="K60" s="31">
        <v>215612.36805868376</v>
      </c>
      <c r="L60" s="31">
        <v>107979.30060007858</v>
      </c>
      <c r="M60" s="31">
        <f t="shared" si="4"/>
        <v>4336864.6092744973</v>
      </c>
      <c r="N60" s="31">
        <v>64896.86</v>
      </c>
      <c r="P60" s="42" t="s">
        <v>357</v>
      </c>
      <c r="Q60" s="42" t="s">
        <v>358</v>
      </c>
      <c r="R60" s="43" t="s">
        <v>1050</v>
      </c>
      <c r="S60" s="44">
        <v>34</v>
      </c>
      <c r="T60" s="31">
        <v>3661321.0415555649</v>
      </c>
      <c r="U60" s="31">
        <v>149367.40999999997</v>
      </c>
      <c r="V60" s="31">
        <v>0</v>
      </c>
      <c r="W60" s="31">
        <v>9650.4100000000017</v>
      </c>
      <c r="X60" s="31">
        <v>416285.25906945439</v>
      </c>
      <c r="Y60" s="31">
        <v>216031.40660786643</v>
      </c>
      <c r="Z60" s="31">
        <v>116355.58460172469</v>
      </c>
      <c r="AA60" s="31">
        <f t="shared" si="5"/>
        <v>4637348.2518346095</v>
      </c>
      <c r="AB60" s="31">
        <v>68337.140000000014</v>
      </c>
      <c r="AD60" s="42" t="s">
        <v>357</v>
      </c>
      <c r="AE60" s="42" t="s">
        <v>358</v>
      </c>
      <c r="AF60" s="43" t="s">
        <v>1275</v>
      </c>
      <c r="AG60" s="44">
        <v>34</v>
      </c>
      <c r="AH60" s="31">
        <v>3735058.1516753905</v>
      </c>
      <c r="AI60" s="31">
        <v>152062.58999999997</v>
      </c>
      <c r="AJ60" s="31">
        <v>0</v>
      </c>
      <c r="AK60" s="31">
        <v>9818.66</v>
      </c>
      <c r="AL60" s="31">
        <v>423901.46310483344</v>
      </c>
      <c r="AM60" s="31">
        <v>215713.05032776413</v>
      </c>
      <c r="AN60" s="31">
        <v>118500.01047634493</v>
      </c>
      <c r="AO60" s="31">
        <f t="shared" si="6"/>
        <v>4724702.6655843332</v>
      </c>
      <c r="AP60" s="31">
        <v>69648.740000000005</v>
      </c>
      <c r="AR60" s="42" t="s">
        <v>357</v>
      </c>
      <c r="AS60" s="42" t="s">
        <v>358</v>
      </c>
      <c r="AT60" s="43" t="s">
        <v>1276</v>
      </c>
      <c r="AU60" s="44">
        <v>34</v>
      </c>
      <c r="AV60" s="31">
        <v>3816837.7122557866</v>
      </c>
      <c r="AW60" s="31">
        <v>155160.44</v>
      </c>
      <c r="AX60" s="31">
        <v>0</v>
      </c>
      <c r="AY60" s="31">
        <v>9998.86</v>
      </c>
      <c r="AZ60" s="31">
        <v>432507.83058477665</v>
      </c>
      <c r="BA60" s="31">
        <v>215722.14622148132</v>
      </c>
      <c r="BB60" s="31">
        <v>120922.07236699734</v>
      </c>
      <c r="BC60" s="31">
        <f t="shared" si="7"/>
        <v>4822199.0314290421</v>
      </c>
      <c r="BD60" s="31">
        <v>71049.969999999987</v>
      </c>
    </row>
    <row r="61" spans="2:56">
      <c r="B61" s="42" t="s">
        <v>239</v>
      </c>
      <c r="C61" s="42" t="s">
        <v>240</v>
      </c>
      <c r="D61" s="43" t="s">
        <v>1049</v>
      </c>
      <c r="E61" s="44">
        <v>34</v>
      </c>
      <c r="F61" s="31">
        <v>425635.18949655013</v>
      </c>
      <c r="G61" s="31">
        <v>0</v>
      </c>
      <c r="H61" s="31">
        <v>0</v>
      </c>
      <c r="I61" s="31">
        <v>0</v>
      </c>
      <c r="J61" s="31">
        <v>51164.771231945269</v>
      </c>
      <c r="K61" s="31">
        <v>0</v>
      </c>
      <c r="L61" s="31">
        <v>0</v>
      </c>
      <c r="M61" s="31">
        <f t="shared" si="4"/>
        <v>476799.96072849538</v>
      </c>
      <c r="N61" s="31">
        <v>0</v>
      </c>
      <c r="P61" s="42" t="s">
        <v>239</v>
      </c>
      <c r="Q61" s="42" t="s">
        <v>240</v>
      </c>
      <c r="R61" s="43" t="s">
        <v>1050</v>
      </c>
      <c r="S61" s="44">
        <v>34</v>
      </c>
      <c r="T61" s="31">
        <v>452859.30033497966</v>
      </c>
      <c r="U61" s="31">
        <v>0</v>
      </c>
      <c r="V61" s="31">
        <v>0</v>
      </c>
      <c r="W61" s="31">
        <v>0</v>
      </c>
      <c r="X61" s="31">
        <v>54191.829256296231</v>
      </c>
      <c r="Y61" s="31">
        <v>0</v>
      </c>
      <c r="Z61" s="31">
        <v>0</v>
      </c>
      <c r="AA61" s="31">
        <f t="shared" si="5"/>
        <v>507051.12959127588</v>
      </c>
      <c r="AB61" s="31">
        <v>0</v>
      </c>
      <c r="AD61" s="42" t="s">
        <v>239</v>
      </c>
      <c r="AE61" s="42" t="s">
        <v>240</v>
      </c>
      <c r="AF61" s="43" t="s">
        <v>1275</v>
      </c>
      <c r="AG61" s="44">
        <v>34</v>
      </c>
      <c r="AH61" s="31">
        <v>460781.50262438436</v>
      </c>
      <c r="AI61" s="31">
        <v>0</v>
      </c>
      <c r="AJ61" s="31">
        <v>0</v>
      </c>
      <c r="AK61" s="31">
        <v>0</v>
      </c>
      <c r="AL61" s="31">
        <v>55141.957948875672</v>
      </c>
      <c r="AM61" s="31">
        <v>0</v>
      </c>
      <c r="AN61" s="31">
        <v>0</v>
      </c>
      <c r="AO61" s="31">
        <f t="shared" si="6"/>
        <v>515923.46057326003</v>
      </c>
      <c r="AP61" s="31">
        <v>0</v>
      </c>
      <c r="AR61" s="42" t="s">
        <v>239</v>
      </c>
      <c r="AS61" s="42" t="s">
        <v>240</v>
      </c>
      <c r="AT61" s="43" t="s">
        <v>1276</v>
      </c>
      <c r="AU61" s="44">
        <v>34</v>
      </c>
      <c r="AV61" s="31">
        <v>469266.2037688368</v>
      </c>
      <c r="AW61" s="31">
        <v>0</v>
      </c>
      <c r="AX61" s="31">
        <v>0</v>
      </c>
      <c r="AY61" s="31">
        <v>0</v>
      </c>
      <c r="AZ61" s="31">
        <v>56159.533265291393</v>
      </c>
      <c r="BA61" s="31">
        <v>0</v>
      </c>
      <c r="BB61" s="31">
        <v>0</v>
      </c>
      <c r="BC61" s="31">
        <f t="shared" si="7"/>
        <v>525425.73703412816</v>
      </c>
      <c r="BD61" s="31">
        <v>0</v>
      </c>
    </row>
    <row r="62" spans="2:56">
      <c r="B62" s="42" t="s">
        <v>445</v>
      </c>
      <c r="C62" s="42" t="s">
        <v>446</v>
      </c>
      <c r="D62" s="43" t="s">
        <v>1049</v>
      </c>
      <c r="E62" s="44">
        <v>34</v>
      </c>
      <c r="F62" s="31">
        <v>4365284.2314913711</v>
      </c>
      <c r="G62" s="31">
        <v>132115.07</v>
      </c>
      <c r="H62" s="31">
        <v>7435.51</v>
      </c>
      <c r="I62" s="31">
        <v>12500.279999999999</v>
      </c>
      <c r="J62" s="31">
        <v>573153.62381470762</v>
      </c>
      <c r="K62" s="31">
        <v>289016.93840799463</v>
      </c>
      <c r="L62" s="31">
        <v>233923.43747625902</v>
      </c>
      <c r="M62" s="31">
        <f t="shared" si="4"/>
        <v>5703194.0511903325</v>
      </c>
      <c r="N62" s="31">
        <v>89764.959999999992</v>
      </c>
      <c r="P62" s="42" t="s">
        <v>445</v>
      </c>
      <c r="Q62" s="42" t="s">
        <v>446</v>
      </c>
      <c r="R62" s="43" t="s">
        <v>1050</v>
      </c>
      <c r="S62" s="44">
        <v>34</v>
      </c>
      <c r="T62" s="31">
        <v>4657447.9604316298</v>
      </c>
      <c r="U62" s="31">
        <v>142654.67000000001</v>
      </c>
      <c r="V62" s="31">
        <v>7912.55</v>
      </c>
      <c r="W62" s="31">
        <v>13416.929999999998</v>
      </c>
      <c r="X62" s="31">
        <v>609970.29401375086</v>
      </c>
      <c r="Y62" s="31">
        <v>289708.89584684925</v>
      </c>
      <c r="Z62" s="31">
        <v>249439.27448606506</v>
      </c>
      <c r="AA62" s="31">
        <f t="shared" si="5"/>
        <v>6065157.6447782945</v>
      </c>
      <c r="AB62" s="31">
        <v>94607.07</v>
      </c>
      <c r="AD62" s="42" t="s">
        <v>445</v>
      </c>
      <c r="AE62" s="42" t="s">
        <v>446</v>
      </c>
      <c r="AF62" s="43" t="s">
        <v>1275</v>
      </c>
      <c r="AG62" s="44">
        <v>34</v>
      </c>
      <c r="AH62" s="31">
        <v>4742654.3871614048</v>
      </c>
      <c r="AI62" s="31">
        <v>145156.41999999998</v>
      </c>
      <c r="AJ62" s="31">
        <v>8052.36</v>
      </c>
      <c r="AK62" s="31">
        <v>13654</v>
      </c>
      <c r="AL62" s="31">
        <v>621260.46768561681</v>
      </c>
      <c r="AM62" s="31">
        <v>289172.04429594922</v>
      </c>
      <c r="AN62" s="31">
        <v>254109.90233506967</v>
      </c>
      <c r="AO62" s="31">
        <f t="shared" si="6"/>
        <v>6170473.9614780406</v>
      </c>
      <c r="AP62" s="31">
        <v>96414.380000000019</v>
      </c>
      <c r="AR62" s="42" t="s">
        <v>445</v>
      </c>
      <c r="AS62" s="42" t="s">
        <v>446</v>
      </c>
      <c r="AT62" s="43" t="s">
        <v>1276</v>
      </c>
      <c r="AU62" s="44">
        <v>34</v>
      </c>
      <c r="AV62" s="31">
        <v>4837349.6631461298</v>
      </c>
      <c r="AW62" s="31">
        <v>148192.29999999999</v>
      </c>
      <c r="AX62" s="31">
        <v>8202.0999999999985</v>
      </c>
      <c r="AY62" s="31">
        <v>13907.900000000001</v>
      </c>
      <c r="AZ62" s="31">
        <v>633965.14270163467</v>
      </c>
      <c r="BA62" s="31">
        <v>289187.38291168923</v>
      </c>
      <c r="BB62" s="31">
        <v>259461.16680683682</v>
      </c>
      <c r="BC62" s="31">
        <f t="shared" si="7"/>
        <v>6288611.8155662911</v>
      </c>
      <c r="BD62" s="31">
        <v>98346.16</v>
      </c>
    </row>
    <row r="63" spans="2:56">
      <c r="B63" s="42" t="s">
        <v>311</v>
      </c>
      <c r="C63" s="42" t="s">
        <v>312</v>
      </c>
      <c r="D63" s="43" t="s">
        <v>1049</v>
      </c>
      <c r="E63" s="44">
        <v>34</v>
      </c>
      <c r="F63" s="31">
        <v>4713969.5300585181</v>
      </c>
      <c r="G63" s="31">
        <v>195859.87999999998</v>
      </c>
      <c r="H63" s="31">
        <v>0</v>
      </c>
      <c r="I63" s="31">
        <v>0</v>
      </c>
      <c r="J63" s="31">
        <v>687046.57864156016</v>
      </c>
      <c r="K63" s="31">
        <v>375179.09913079883</v>
      </c>
      <c r="L63" s="31">
        <v>776157.51099964837</v>
      </c>
      <c r="M63" s="31">
        <f t="shared" si="4"/>
        <v>6819638.1288305251</v>
      </c>
      <c r="N63" s="31">
        <v>71425.53</v>
      </c>
      <c r="P63" s="42" t="s">
        <v>311</v>
      </c>
      <c r="Q63" s="42" t="s">
        <v>312</v>
      </c>
      <c r="R63" s="43" t="s">
        <v>1050</v>
      </c>
      <c r="S63" s="44">
        <v>34</v>
      </c>
      <c r="T63" s="31">
        <v>5083964.5347783631</v>
      </c>
      <c r="U63" s="31">
        <v>210700.43999999994</v>
      </c>
      <c r="V63" s="31">
        <v>0</v>
      </c>
      <c r="W63" s="31">
        <v>0</v>
      </c>
      <c r="X63" s="31">
        <v>731367.79933123395</v>
      </c>
      <c r="Y63" s="31">
        <v>376351.67919298529</v>
      </c>
      <c r="Z63" s="31">
        <v>836089.49638480996</v>
      </c>
      <c r="AA63" s="31">
        <f t="shared" si="5"/>
        <v>7313757.1696873922</v>
      </c>
      <c r="AB63" s="31">
        <v>75283.220000000016</v>
      </c>
      <c r="AD63" s="42" t="s">
        <v>311</v>
      </c>
      <c r="AE63" s="42" t="s">
        <v>312</v>
      </c>
      <c r="AF63" s="43" t="s">
        <v>1275</v>
      </c>
      <c r="AG63" s="44">
        <v>34</v>
      </c>
      <c r="AH63" s="31">
        <v>5177604.1590453973</v>
      </c>
      <c r="AI63" s="31">
        <v>214567.27000000002</v>
      </c>
      <c r="AJ63" s="31">
        <v>0</v>
      </c>
      <c r="AK63" s="31">
        <v>0</v>
      </c>
      <c r="AL63" s="31">
        <v>744764.02884668543</v>
      </c>
      <c r="AM63" s="31">
        <v>375460.83459778532</v>
      </c>
      <c r="AN63" s="31">
        <v>851335.59458174009</v>
      </c>
      <c r="AO63" s="31">
        <f t="shared" si="6"/>
        <v>7440345.5170716085</v>
      </c>
      <c r="AP63" s="31">
        <v>76613.630000000019</v>
      </c>
      <c r="AR63" s="42" t="s">
        <v>311</v>
      </c>
      <c r="AS63" s="42" t="s">
        <v>312</v>
      </c>
      <c r="AT63" s="43" t="s">
        <v>1276</v>
      </c>
      <c r="AU63" s="44">
        <v>34</v>
      </c>
      <c r="AV63" s="31">
        <v>5281361.7803903539</v>
      </c>
      <c r="AW63" s="31">
        <v>218812.15999999995</v>
      </c>
      <c r="AX63" s="31">
        <v>0</v>
      </c>
      <c r="AY63" s="31">
        <v>0</v>
      </c>
      <c r="AZ63" s="31">
        <v>759846.6794907006</v>
      </c>
      <c r="BA63" s="31">
        <v>375486.28730050533</v>
      </c>
      <c r="BB63" s="31">
        <v>868558.71821314772</v>
      </c>
      <c r="BC63" s="31">
        <f t="shared" si="7"/>
        <v>7582315.9153947076</v>
      </c>
      <c r="BD63" s="31">
        <v>78250.290000000008</v>
      </c>
    </row>
    <row r="64" spans="2:56">
      <c r="B64" s="42" t="s">
        <v>73</v>
      </c>
      <c r="C64" s="42" t="s">
        <v>74</v>
      </c>
      <c r="D64" s="43" t="s">
        <v>1049</v>
      </c>
      <c r="E64" s="44">
        <v>34</v>
      </c>
      <c r="F64" s="31">
        <v>3482093.3089041272</v>
      </c>
      <c r="G64" s="31">
        <v>118295.46</v>
      </c>
      <c r="H64" s="31">
        <v>2923.29</v>
      </c>
      <c r="I64" s="31">
        <v>10036.619999999999</v>
      </c>
      <c r="J64" s="31">
        <v>451705.33406930225</v>
      </c>
      <c r="K64" s="31">
        <v>248758.78826502379</v>
      </c>
      <c r="L64" s="31">
        <v>409172.82958479715</v>
      </c>
      <c r="M64" s="31">
        <f t="shared" si="4"/>
        <v>4826762.1508232495</v>
      </c>
      <c r="N64" s="31">
        <v>103776.52</v>
      </c>
      <c r="P64" s="42" t="s">
        <v>73</v>
      </c>
      <c r="Q64" s="42" t="s">
        <v>74</v>
      </c>
      <c r="R64" s="43" t="s">
        <v>1050</v>
      </c>
      <c r="S64" s="44">
        <v>34</v>
      </c>
      <c r="T64" s="31">
        <v>3748234.1816264931</v>
      </c>
      <c r="U64" s="31">
        <v>128329.39000000001</v>
      </c>
      <c r="V64" s="31">
        <v>3113.03</v>
      </c>
      <c r="W64" s="31">
        <v>10688.080000000002</v>
      </c>
      <c r="X64" s="31">
        <v>480835.03094665916</v>
      </c>
      <c r="Y64" s="31">
        <v>249353.13445385121</v>
      </c>
      <c r="Z64" s="31">
        <v>440652.07433075178</v>
      </c>
      <c r="AA64" s="31">
        <f t="shared" si="5"/>
        <v>5170503.4613577547</v>
      </c>
      <c r="AB64" s="31">
        <v>109298.53999999998</v>
      </c>
      <c r="AD64" s="42" t="s">
        <v>73</v>
      </c>
      <c r="AE64" s="42" t="s">
        <v>74</v>
      </c>
      <c r="AF64" s="43" t="s">
        <v>1275</v>
      </c>
      <c r="AG64" s="44">
        <v>34</v>
      </c>
      <c r="AH64" s="31">
        <v>3816224.6626998703</v>
      </c>
      <c r="AI64" s="31">
        <v>130648.05000000002</v>
      </c>
      <c r="AJ64" s="31">
        <v>3167.3</v>
      </c>
      <c r="AK64" s="31">
        <v>10874.430000000002</v>
      </c>
      <c r="AL64" s="31">
        <v>489649.15661233955</v>
      </c>
      <c r="AM64" s="31">
        <v>248901.59164916855</v>
      </c>
      <c r="AN64" s="31">
        <v>448839.51073173771</v>
      </c>
      <c r="AO64" s="31">
        <f t="shared" si="6"/>
        <v>5259638.7516931156</v>
      </c>
      <c r="AP64" s="31">
        <v>111334.04999999999</v>
      </c>
      <c r="AR64" s="42" t="s">
        <v>73</v>
      </c>
      <c r="AS64" s="42" t="s">
        <v>74</v>
      </c>
      <c r="AT64" s="43" t="s">
        <v>1276</v>
      </c>
      <c r="AU64" s="44">
        <v>34</v>
      </c>
      <c r="AV64" s="31">
        <v>3891619.1567049455</v>
      </c>
      <c r="AW64" s="31">
        <v>133236.72999999998</v>
      </c>
      <c r="AX64" s="31">
        <v>3225.44</v>
      </c>
      <c r="AY64" s="31">
        <v>11074</v>
      </c>
      <c r="AZ64" s="31">
        <v>499557.86612653069</v>
      </c>
      <c r="BA64" s="31">
        <v>248914.49287215952</v>
      </c>
      <c r="BB64" s="31">
        <v>457722.30922359508</v>
      </c>
      <c r="BC64" s="31">
        <f t="shared" si="7"/>
        <v>5358966.4449272314</v>
      </c>
      <c r="BD64" s="31">
        <v>113616.45</v>
      </c>
    </row>
    <row r="65" spans="2:56">
      <c r="B65" s="42" t="s">
        <v>475</v>
      </c>
      <c r="C65" s="42" t="s">
        <v>476</v>
      </c>
      <c r="D65" s="43" t="s">
        <v>1049</v>
      </c>
      <c r="E65" s="44">
        <v>34</v>
      </c>
      <c r="F65" s="31">
        <v>20880251.649480652</v>
      </c>
      <c r="G65" s="31">
        <v>759371.20000000007</v>
      </c>
      <c r="H65" s="31">
        <v>37320.590000000004</v>
      </c>
      <c r="I65" s="31">
        <v>70548.53</v>
      </c>
      <c r="J65" s="31">
        <v>2642414.0780187803</v>
      </c>
      <c r="K65" s="31">
        <v>1410156.1344572301</v>
      </c>
      <c r="L65" s="31">
        <v>986219.41939784714</v>
      </c>
      <c r="M65" s="31">
        <f t="shared" si="4"/>
        <v>27166698.021354511</v>
      </c>
      <c r="N65" s="31">
        <v>380416.42000000004</v>
      </c>
      <c r="P65" s="42" t="s">
        <v>475</v>
      </c>
      <c r="Q65" s="42" t="s">
        <v>476</v>
      </c>
      <c r="R65" s="43" t="s">
        <v>1050</v>
      </c>
      <c r="S65" s="44">
        <v>34</v>
      </c>
      <c r="T65" s="31">
        <v>22370699.529507011</v>
      </c>
      <c r="U65" s="31">
        <v>818957.7</v>
      </c>
      <c r="V65" s="31">
        <v>39846.779999999992</v>
      </c>
      <c r="W65" s="31">
        <v>75439.079999999987</v>
      </c>
      <c r="X65" s="31">
        <v>2812969.5970700863</v>
      </c>
      <c r="Y65" s="31">
        <v>1413121.9714127313</v>
      </c>
      <c r="Z65" s="31">
        <v>1051852.9086327953</v>
      </c>
      <c r="AA65" s="31">
        <f t="shared" si="5"/>
        <v>28983614.876622625</v>
      </c>
      <c r="AB65" s="31">
        <v>400727.31000000006</v>
      </c>
      <c r="AD65" s="42" t="s">
        <v>475</v>
      </c>
      <c r="AE65" s="42" t="s">
        <v>476</v>
      </c>
      <c r="AF65" s="43" t="s">
        <v>1275</v>
      </c>
      <c r="AG65" s="44">
        <v>34</v>
      </c>
      <c r="AH65" s="31">
        <v>22831984.237692297</v>
      </c>
      <c r="AI65" s="31">
        <v>833779.37</v>
      </c>
      <c r="AJ65" s="31">
        <v>40647.079999999994</v>
      </c>
      <c r="AK65" s="31">
        <v>76859.929999999978</v>
      </c>
      <c r="AL65" s="31">
        <v>2864529.6142916051</v>
      </c>
      <c r="AM65" s="31">
        <v>1410868.7352310363</v>
      </c>
      <c r="AN65" s="31">
        <v>1071158.1059139506</v>
      </c>
      <c r="AO65" s="31">
        <f t="shared" si="6"/>
        <v>29537947.933128886</v>
      </c>
      <c r="AP65" s="31">
        <v>408120.86</v>
      </c>
      <c r="AR65" s="42" t="s">
        <v>475</v>
      </c>
      <c r="AS65" s="42" t="s">
        <v>476</v>
      </c>
      <c r="AT65" s="43" t="s">
        <v>1276</v>
      </c>
      <c r="AU65" s="44">
        <v>34</v>
      </c>
      <c r="AV65" s="31">
        <v>23345252.699379679</v>
      </c>
      <c r="AW65" s="31">
        <v>850390.37000000034</v>
      </c>
      <c r="AX65" s="31">
        <v>41500.569999999992</v>
      </c>
      <c r="AY65" s="31">
        <v>78378.049999999988</v>
      </c>
      <c r="AZ65" s="31">
        <v>2922556.9498156621</v>
      </c>
      <c r="BA65" s="31">
        <v>1410933.1134076563</v>
      </c>
      <c r="BB65" s="31">
        <v>1092850.9200944747</v>
      </c>
      <c r="BC65" s="31">
        <f t="shared" si="7"/>
        <v>30158315.082697473</v>
      </c>
      <c r="BD65" s="31">
        <v>416452.41</v>
      </c>
    </row>
    <row r="66" spans="2:56">
      <c r="B66" s="42" t="s">
        <v>373</v>
      </c>
      <c r="C66" s="42" t="s">
        <v>374</v>
      </c>
      <c r="D66" s="43" t="s">
        <v>1049</v>
      </c>
      <c r="E66" s="44">
        <v>34</v>
      </c>
      <c r="F66" s="31">
        <v>13003491.973829165</v>
      </c>
      <c r="G66" s="31">
        <v>168802.37</v>
      </c>
      <c r="H66" s="31">
        <v>121653.35</v>
      </c>
      <c r="I66" s="31">
        <v>43701.8</v>
      </c>
      <c r="J66" s="31">
        <v>1732082.9783211304</v>
      </c>
      <c r="K66" s="31">
        <v>1086389.496340974</v>
      </c>
      <c r="L66" s="31">
        <v>292066.31945842132</v>
      </c>
      <c r="M66" s="31">
        <f t="shared" si="4"/>
        <v>16448188.287949691</v>
      </c>
      <c r="N66" s="31">
        <v>0</v>
      </c>
      <c r="P66" s="42" t="s">
        <v>373</v>
      </c>
      <c r="Q66" s="42" t="s">
        <v>374</v>
      </c>
      <c r="R66" s="43" t="s">
        <v>1050</v>
      </c>
      <c r="S66" s="44">
        <v>34</v>
      </c>
      <c r="T66" s="31">
        <v>13900002.13800694</v>
      </c>
      <c r="U66" s="31">
        <v>180541.41999999998</v>
      </c>
      <c r="V66" s="31">
        <v>130141.26000000001</v>
      </c>
      <c r="W66" s="31">
        <v>46732.54</v>
      </c>
      <c r="X66" s="31">
        <v>1843331.2618419465</v>
      </c>
      <c r="Y66" s="31">
        <v>1087996.8666872333</v>
      </c>
      <c r="Z66" s="31">
        <v>311502.47296386462</v>
      </c>
      <c r="AA66" s="31">
        <f t="shared" si="5"/>
        <v>17500247.959499985</v>
      </c>
      <c r="AB66" s="31">
        <v>0</v>
      </c>
      <c r="AD66" s="42" t="s">
        <v>373</v>
      </c>
      <c r="AE66" s="42" t="s">
        <v>374</v>
      </c>
      <c r="AF66" s="43" t="s">
        <v>1275</v>
      </c>
      <c r="AG66" s="44">
        <v>34</v>
      </c>
      <c r="AH66" s="31">
        <v>14157118.481393032</v>
      </c>
      <c r="AI66" s="31">
        <v>183864.36</v>
      </c>
      <c r="AJ66" s="31">
        <v>132570.17000000001</v>
      </c>
      <c r="AK66" s="31">
        <v>47561.499999999993</v>
      </c>
      <c r="AL66" s="31">
        <v>1877496.5745095778</v>
      </c>
      <c r="AM66" s="31">
        <v>1086749.7968317689</v>
      </c>
      <c r="AN66" s="31">
        <v>317210.13916338305</v>
      </c>
      <c r="AO66" s="31">
        <f t="shared" si="6"/>
        <v>17802571.021897759</v>
      </c>
      <c r="AP66" s="31">
        <v>0</v>
      </c>
      <c r="AR66" s="42" t="s">
        <v>373</v>
      </c>
      <c r="AS66" s="42" t="s">
        <v>374</v>
      </c>
      <c r="AT66" s="43" t="s">
        <v>1276</v>
      </c>
      <c r="AU66" s="44">
        <v>34</v>
      </c>
      <c r="AV66" s="31">
        <v>14446784.204114262</v>
      </c>
      <c r="AW66" s="31">
        <v>187541.83</v>
      </c>
      <c r="AX66" s="31">
        <v>135167.49000000002</v>
      </c>
      <c r="AY66" s="31">
        <v>48571.989999999991</v>
      </c>
      <c r="AZ66" s="31">
        <v>1915908.2393065786</v>
      </c>
      <c r="BA66" s="31">
        <v>1086785.4273990679</v>
      </c>
      <c r="BB66" s="31">
        <v>323706.06062802009</v>
      </c>
      <c r="BC66" s="31">
        <f t="shared" si="7"/>
        <v>18144465.241447929</v>
      </c>
      <c r="BD66" s="31">
        <v>0</v>
      </c>
    </row>
    <row r="67" spans="2:56">
      <c r="B67" s="42" t="s">
        <v>525</v>
      </c>
      <c r="C67" s="42" t="s">
        <v>526</v>
      </c>
      <c r="D67" s="43" t="s">
        <v>1049</v>
      </c>
      <c r="E67" s="44">
        <v>34</v>
      </c>
      <c r="F67" s="31">
        <v>369483.16628448508</v>
      </c>
      <c r="G67" s="31">
        <v>11011.02</v>
      </c>
      <c r="H67" s="31">
        <v>0</v>
      </c>
      <c r="I67" s="31">
        <v>0</v>
      </c>
      <c r="J67" s="31">
        <v>19542.514764255699</v>
      </c>
      <c r="K67" s="31">
        <v>93212.844263618346</v>
      </c>
      <c r="L67" s="31">
        <v>0</v>
      </c>
      <c r="M67" s="31">
        <f t="shared" si="4"/>
        <v>497244.70531235909</v>
      </c>
      <c r="N67" s="31">
        <v>3995.1600000000003</v>
      </c>
      <c r="P67" s="42" t="s">
        <v>525</v>
      </c>
      <c r="Q67" s="42" t="s">
        <v>526</v>
      </c>
      <c r="R67" s="43" t="s">
        <v>1050</v>
      </c>
      <c r="S67" s="44">
        <v>34</v>
      </c>
      <c r="T67" s="31">
        <v>394690.62922793347</v>
      </c>
      <c r="U67" s="31">
        <v>11792.14</v>
      </c>
      <c r="V67" s="31">
        <v>0</v>
      </c>
      <c r="W67" s="31">
        <v>0</v>
      </c>
      <c r="X67" s="31">
        <v>20697.595938122671</v>
      </c>
      <c r="Y67" s="31">
        <v>93368.627840878326</v>
      </c>
      <c r="Z67" s="31">
        <v>0</v>
      </c>
      <c r="AA67" s="31">
        <f t="shared" si="5"/>
        <v>524737.07300693449</v>
      </c>
      <c r="AB67" s="31">
        <v>4188.08</v>
      </c>
      <c r="AD67" s="42" t="s">
        <v>525</v>
      </c>
      <c r="AE67" s="42" t="s">
        <v>526</v>
      </c>
      <c r="AF67" s="43" t="s">
        <v>1275</v>
      </c>
      <c r="AG67" s="44">
        <v>34</v>
      </c>
      <c r="AH67" s="31">
        <v>401542.60383055737</v>
      </c>
      <c r="AI67" s="31">
        <v>11996.740000000002</v>
      </c>
      <c r="AJ67" s="31">
        <v>0</v>
      </c>
      <c r="AK67" s="31">
        <v>0</v>
      </c>
      <c r="AL67" s="31">
        <v>21060.398106801753</v>
      </c>
      <c r="AM67" s="31">
        <v>93250.274337950614</v>
      </c>
      <c r="AN67" s="31">
        <v>0</v>
      </c>
      <c r="AO67" s="31">
        <f t="shared" si="6"/>
        <v>532112.10627530969</v>
      </c>
      <c r="AP67" s="31">
        <v>4262.0899999999992</v>
      </c>
      <c r="AR67" s="42" t="s">
        <v>525</v>
      </c>
      <c r="AS67" s="42" t="s">
        <v>526</v>
      </c>
      <c r="AT67" s="43" t="s">
        <v>1276</v>
      </c>
      <c r="AU67" s="44">
        <v>34</v>
      </c>
      <c r="AV67" s="31">
        <v>408881.63674796757</v>
      </c>
      <c r="AW67" s="31">
        <v>12215.87</v>
      </c>
      <c r="AX67" s="31">
        <v>0</v>
      </c>
      <c r="AY67" s="31">
        <v>0</v>
      </c>
      <c r="AZ67" s="31">
        <v>21448.954576822052</v>
      </c>
      <c r="BA67" s="31">
        <v>93253.655866605695</v>
      </c>
      <c r="BB67" s="31">
        <v>0</v>
      </c>
      <c r="BC67" s="31">
        <f t="shared" si="7"/>
        <v>540141.47719139524</v>
      </c>
      <c r="BD67" s="31">
        <v>4341.3599999999988</v>
      </c>
    </row>
    <row r="68" spans="2:56">
      <c r="B68" s="42" t="s">
        <v>469</v>
      </c>
      <c r="C68" s="42" t="s">
        <v>470</v>
      </c>
      <c r="D68" s="43" t="s">
        <v>1049</v>
      </c>
      <c r="E68" s="44">
        <v>34</v>
      </c>
      <c r="F68" s="31">
        <v>28946654.90689211</v>
      </c>
      <c r="G68" s="31">
        <v>1236916.33</v>
      </c>
      <c r="H68" s="31">
        <v>157477.07999999999</v>
      </c>
      <c r="I68" s="31">
        <v>101689.25</v>
      </c>
      <c r="J68" s="31">
        <v>4885557.0036764331</v>
      </c>
      <c r="K68" s="31">
        <v>2371052.8070992967</v>
      </c>
      <c r="L68" s="31">
        <v>2201703.5246145553</v>
      </c>
      <c r="M68" s="31">
        <f t="shared" si="4"/>
        <v>40461854.9122824</v>
      </c>
      <c r="N68" s="31">
        <v>560804.01</v>
      </c>
      <c r="P68" s="42" t="s">
        <v>469</v>
      </c>
      <c r="Q68" s="42" t="s">
        <v>470</v>
      </c>
      <c r="R68" s="43" t="s">
        <v>1050</v>
      </c>
      <c r="S68" s="44">
        <v>34</v>
      </c>
      <c r="T68" s="31">
        <v>31288169.639937077</v>
      </c>
      <c r="U68" s="31">
        <v>1332407.08</v>
      </c>
      <c r="V68" s="31">
        <v>168408.39</v>
      </c>
      <c r="W68" s="31">
        <v>108799.54000000001</v>
      </c>
      <c r="X68" s="31">
        <v>5200556.6952383146</v>
      </c>
      <c r="Y68" s="31">
        <v>2377352.8352045147</v>
      </c>
      <c r="Z68" s="31">
        <v>2371471.5014183554</v>
      </c>
      <c r="AA68" s="31">
        <f t="shared" si="5"/>
        <v>43438029.521798261</v>
      </c>
      <c r="AB68" s="31">
        <v>590863.84</v>
      </c>
      <c r="AD68" s="42" t="s">
        <v>469</v>
      </c>
      <c r="AE68" s="42" t="s">
        <v>470</v>
      </c>
      <c r="AF68" s="43" t="s">
        <v>1275</v>
      </c>
      <c r="AG68" s="44">
        <v>34</v>
      </c>
      <c r="AH68" s="31">
        <v>31892375.162864551</v>
      </c>
      <c r="AI68" s="31">
        <v>1356602.83</v>
      </c>
      <c r="AJ68" s="31">
        <v>171358.64</v>
      </c>
      <c r="AK68" s="31">
        <v>110814.84</v>
      </c>
      <c r="AL68" s="31">
        <v>5296114.7715219688</v>
      </c>
      <c r="AM68" s="31">
        <v>2372566.5130009148</v>
      </c>
      <c r="AN68" s="31">
        <v>2415073.3282292318</v>
      </c>
      <c r="AO68" s="31">
        <f t="shared" si="6"/>
        <v>44216687.615616664</v>
      </c>
      <c r="AP68" s="31">
        <v>601781.52999999991</v>
      </c>
      <c r="AR68" s="42" t="s">
        <v>469</v>
      </c>
      <c r="AS68" s="42" t="s">
        <v>470</v>
      </c>
      <c r="AT68" s="43" t="s">
        <v>1276</v>
      </c>
      <c r="AU68" s="44">
        <v>34</v>
      </c>
      <c r="AV68" s="31">
        <v>32568611.486465897</v>
      </c>
      <c r="AW68" s="31">
        <v>1383827.9</v>
      </c>
      <c r="AX68" s="31">
        <v>174963.52999999997</v>
      </c>
      <c r="AY68" s="31">
        <v>113080.76</v>
      </c>
      <c r="AZ68" s="31">
        <v>5403611.7677366873</v>
      </c>
      <c r="BA68" s="31">
        <v>2372703.2650638754</v>
      </c>
      <c r="BB68" s="31">
        <v>2464020.4934274293</v>
      </c>
      <c r="BC68" s="31">
        <f t="shared" si="7"/>
        <v>45094937.082693897</v>
      </c>
      <c r="BD68" s="31">
        <v>614117.87999999989</v>
      </c>
    </row>
    <row r="69" spans="2:56">
      <c r="B69" s="42" t="s">
        <v>587</v>
      </c>
      <c r="C69" s="42" t="s">
        <v>588</v>
      </c>
      <c r="D69" s="43" t="s">
        <v>1049</v>
      </c>
      <c r="E69" s="44">
        <v>34</v>
      </c>
      <c r="F69" s="31">
        <v>26517901.745412007</v>
      </c>
      <c r="G69" s="31">
        <v>1186949.9100000004</v>
      </c>
      <c r="H69" s="31">
        <v>538858.30999999994</v>
      </c>
      <c r="I69" s="31">
        <v>91401.279999999999</v>
      </c>
      <c r="J69" s="31">
        <v>3678180.6928263046</v>
      </c>
      <c r="K69" s="31">
        <v>1742989.5621444487</v>
      </c>
      <c r="L69" s="31">
        <v>1833932.1486166811</v>
      </c>
      <c r="M69" s="31">
        <f t="shared" ref="M69:M132" si="8">SUM(F69:L69,N69)</f>
        <v>36519719.848999441</v>
      </c>
      <c r="N69" s="31">
        <v>929506.2</v>
      </c>
      <c r="P69" s="42" t="s">
        <v>587</v>
      </c>
      <c r="Q69" s="42" t="s">
        <v>588</v>
      </c>
      <c r="R69" s="43" t="s">
        <v>1050</v>
      </c>
      <c r="S69" s="44">
        <v>34</v>
      </c>
      <c r="T69" s="31">
        <v>28673174.521570768</v>
      </c>
      <c r="U69" s="31">
        <v>1285744.1800000002</v>
      </c>
      <c r="V69" s="31">
        <v>576533.09</v>
      </c>
      <c r="W69" s="31">
        <v>97852.910000000018</v>
      </c>
      <c r="X69" s="31">
        <v>3915488.1801190758</v>
      </c>
      <c r="Y69" s="31">
        <v>1746507.0527285736</v>
      </c>
      <c r="Z69" s="31">
        <v>1974617.7840493578</v>
      </c>
      <c r="AA69" s="31">
        <f t="shared" ref="AA69:AA132" si="9">SUM(T69:Z69,AB69)</f>
        <v>39249110.138467774</v>
      </c>
      <c r="AB69" s="31">
        <v>979192.41999999993</v>
      </c>
      <c r="AD69" s="42" t="s">
        <v>587</v>
      </c>
      <c r="AE69" s="42" t="s">
        <v>588</v>
      </c>
      <c r="AF69" s="43" t="s">
        <v>1275</v>
      </c>
      <c r="AG69" s="44">
        <v>34</v>
      </c>
      <c r="AH69" s="31">
        <v>29203526.359578684</v>
      </c>
      <c r="AI69" s="31">
        <v>1308890.1199999996</v>
      </c>
      <c r="AJ69" s="31">
        <v>587112.75</v>
      </c>
      <c r="AK69" s="31">
        <v>99558.96</v>
      </c>
      <c r="AL69" s="31">
        <v>3987221.3017548393</v>
      </c>
      <c r="AM69" s="31">
        <v>1743834.7085735044</v>
      </c>
      <c r="AN69" s="31">
        <v>2010947.7679369617</v>
      </c>
      <c r="AO69" s="31">
        <f t="shared" ref="AO69:AO132" si="10">SUM(AH69:AN69,AP69)</f>
        <v>39938316.497843988</v>
      </c>
      <c r="AP69" s="31">
        <v>997224.53000000014</v>
      </c>
      <c r="AR69" s="42" t="s">
        <v>587</v>
      </c>
      <c r="AS69" s="42" t="s">
        <v>588</v>
      </c>
      <c r="AT69" s="43" t="s">
        <v>1276</v>
      </c>
      <c r="AU69" s="44">
        <v>34</v>
      </c>
      <c r="AV69" s="31">
        <v>29799485.45419085</v>
      </c>
      <c r="AW69" s="31">
        <v>1334952.48</v>
      </c>
      <c r="AX69" s="31">
        <v>598855.5</v>
      </c>
      <c r="AY69" s="31">
        <v>101601.18000000001</v>
      </c>
      <c r="AZ69" s="31">
        <v>4067939.0142495576</v>
      </c>
      <c r="BA69" s="31">
        <v>1743911.0612636493</v>
      </c>
      <c r="BB69" s="31">
        <v>2051877.8073005655</v>
      </c>
      <c r="BC69" s="31">
        <f t="shared" ref="BC69:BC132" si="11">SUM(AV69:BB69,BD69)</f>
        <v>40716193.727004625</v>
      </c>
      <c r="BD69" s="31">
        <v>1017571.2299999999</v>
      </c>
    </row>
    <row r="70" spans="2:56">
      <c r="B70" s="42" t="s">
        <v>95</v>
      </c>
      <c r="C70" s="42" t="s">
        <v>96</v>
      </c>
      <c r="D70" s="43" t="s">
        <v>1049</v>
      </c>
      <c r="E70" s="44">
        <v>34</v>
      </c>
      <c r="F70" s="31">
        <v>46282008.110941365</v>
      </c>
      <c r="G70" s="31">
        <v>2122789.8800000004</v>
      </c>
      <c r="H70" s="31">
        <v>1668901.67</v>
      </c>
      <c r="I70" s="31">
        <v>163314.01</v>
      </c>
      <c r="J70" s="31">
        <v>6266505.0426672148</v>
      </c>
      <c r="K70" s="31">
        <v>1869628.0526013325</v>
      </c>
      <c r="L70" s="31">
        <v>4230067.2381449761</v>
      </c>
      <c r="M70" s="31">
        <f t="shared" si="8"/>
        <v>64130433.934354894</v>
      </c>
      <c r="N70" s="31">
        <v>1527219.9300000002</v>
      </c>
      <c r="P70" s="42" t="s">
        <v>95</v>
      </c>
      <c r="Q70" s="42" t="s">
        <v>96</v>
      </c>
      <c r="R70" s="43" t="s">
        <v>1050</v>
      </c>
      <c r="S70" s="44">
        <v>34</v>
      </c>
      <c r="T70" s="31">
        <v>50028529.672351792</v>
      </c>
      <c r="U70" s="31">
        <v>2297188.29</v>
      </c>
      <c r="V70" s="31">
        <v>1786048.8800000001</v>
      </c>
      <c r="W70" s="31">
        <v>174744.74000000002</v>
      </c>
      <c r="X70" s="31">
        <v>6670913.7388942428</v>
      </c>
      <c r="Y70" s="31">
        <v>1873278.6585725369</v>
      </c>
      <c r="Z70" s="31">
        <v>4555568.9847780382</v>
      </c>
      <c r="AA70" s="31">
        <f t="shared" si="9"/>
        <v>68995106.73459661</v>
      </c>
      <c r="AB70" s="31">
        <v>1608833.7700000003</v>
      </c>
      <c r="AD70" s="42" t="s">
        <v>95</v>
      </c>
      <c r="AE70" s="42" t="s">
        <v>96</v>
      </c>
      <c r="AF70" s="43" t="s">
        <v>1275</v>
      </c>
      <c r="AG70" s="44">
        <v>34</v>
      </c>
      <c r="AH70" s="31">
        <v>50970998.864162698</v>
      </c>
      <c r="AI70" s="31">
        <v>2338564.67</v>
      </c>
      <c r="AJ70" s="31">
        <v>1818455.2900000005</v>
      </c>
      <c r="AK70" s="31">
        <v>178002.53</v>
      </c>
      <c r="AL70" s="31">
        <v>6793146.9649157049</v>
      </c>
      <c r="AM70" s="31">
        <v>1870505.1826253268</v>
      </c>
      <c r="AN70" s="31">
        <v>4639157.3522776878</v>
      </c>
      <c r="AO70" s="31">
        <f t="shared" si="10"/>
        <v>70247239.693981424</v>
      </c>
      <c r="AP70" s="31">
        <v>1638408.8399999999</v>
      </c>
      <c r="AR70" s="42" t="s">
        <v>95</v>
      </c>
      <c r="AS70" s="42" t="s">
        <v>96</v>
      </c>
      <c r="AT70" s="43" t="s">
        <v>1276</v>
      </c>
      <c r="AU70" s="44">
        <v>34</v>
      </c>
      <c r="AV70" s="31">
        <v>52028806.994058333</v>
      </c>
      <c r="AW70" s="31">
        <v>2385212.6799999997</v>
      </c>
      <c r="AX70" s="31">
        <v>1855054.34</v>
      </c>
      <c r="AY70" s="31">
        <v>181591.91999999998</v>
      </c>
      <c r="AZ70" s="31">
        <v>6930690.8538997173</v>
      </c>
      <c r="BA70" s="31">
        <v>1870584.4247952471</v>
      </c>
      <c r="BB70" s="31">
        <v>4733193.2521432135</v>
      </c>
      <c r="BC70" s="31">
        <f t="shared" si="11"/>
        <v>71656979.624896511</v>
      </c>
      <c r="BD70" s="31">
        <v>1671845.16</v>
      </c>
    </row>
    <row r="71" spans="2:56">
      <c r="B71" s="42" t="s">
        <v>241</v>
      </c>
      <c r="C71" s="42" t="s">
        <v>242</v>
      </c>
      <c r="D71" s="43" t="s">
        <v>1049</v>
      </c>
      <c r="E71" s="44">
        <v>34</v>
      </c>
      <c r="F71" s="31">
        <v>1942673.4093458413</v>
      </c>
      <c r="G71" s="31">
        <v>38587.31</v>
      </c>
      <c r="H71" s="31">
        <v>13934.31</v>
      </c>
      <c r="I71" s="31">
        <v>0</v>
      </c>
      <c r="J71" s="31">
        <v>95661.212467181642</v>
      </c>
      <c r="K71" s="31">
        <v>111636.73228081799</v>
      </c>
      <c r="L71" s="31">
        <v>0</v>
      </c>
      <c r="M71" s="31">
        <f t="shared" si="8"/>
        <v>2227048.554093841</v>
      </c>
      <c r="N71" s="31">
        <v>24555.579999999998</v>
      </c>
      <c r="P71" s="42" t="s">
        <v>241</v>
      </c>
      <c r="Q71" s="42" t="s">
        <v>242</v>
      </c>
      <c r="R71" s="43" t="s">
        <v>1050</v>
      </c>
      <c r="S71" s="44">
        <v>34</v>
      </c>
      <c r="T71" s="31">
        <v>2068913.3752334586</v>
      </c>
      <c r="U71" s="31">
        <v>41500.090000000011</v>
      </c>
      <c r="V71" s="31">
        <v>14838.79</v>
      </c>
      <c r="W71" s="31">
        <v>0</v>
      </c>
      <c r="X71" s="31">
        <v>101341.94801180768</v>
      </c>
      <c r="Y71" s="31">
        <v>111788.03124146083</v>
      </c>
      <c r="Z71" s="31">
        <v>0</v>
      </c>
      <c r="AA71" s="31">
        <f t="shared" si="9"/>
        <v>2364123.5844867271</v>
      </c>
      <c r="AB71" s="31">
        <v>25741.349999999995</v>
      </c>
      <c r="AD71" s="42" t="s">
        <v>241</v>
      </c>
      <c r="AE71" s="42" t="s">
        <v>242</v>
      </c>
      <c r="AF71" s="43" t="s">
        <v>1275</v>
      </c>
      <c r="AG71" s="44">
        <v>34</v>
      </c>
      <c r="AH71" s="31">
        <v>2104972.2185523668</v>
      </c>
      <c r="AI71" s="31">
        <v>42217.530000000013</v>
      </c>
      <c r="AJ71" s="31">
        <v>15097.500000000002</v>
      </c>
      <c r="AK71" s="31">
        <v>0</v>
      </c>
      <c r="AL71" s="31">
        <v>103122.3520708189</v>
      </c>
      <c r="AM71" s="31">
        <v>111673.08483763343</v>
      </c>
      <c r="AN71" s="31">
        <v>0</v>
      </c>
      <c r="AO71" s="31">
        <f t="shared" si="10"/>
        <v>2403278.9454608192</v>
      </c>
      <c r="AP71" s="31">
        <v>26196.259999999995</v>
      </c>
      <c r="AR71" s="42" t="s">
        <v>241</v>
      </c>
      <c r="AS71" s="42" t="s">
        <v>242</v>
      </c>
      <c r="AT71" s="43" t="s">
        <v>1276</v>
      </c>
      <c r="AU71" s="44">
        <v>34</v>
      </c>
      <c r="AV71" s="31">
        <v>2143580.767065201</v>
      </c>
      <c r="AW71" s="31">
        <v>42985.9</v>
      </c>
      <c r="AX71" s="31">
        <v>15374.580000000002</v>
      </c>
      <c r="AY71" s="31">
        <v>0</v>
      </c>
      <c r="AZ71" s="31">
        <v>105029.15450435709</v>
      </c>
      <c r="BA71" s="31">
        <v>111676.36902059992</v>
      </c>
      <c r="BB71" s="31">
        <v>0</v>
      </c>
      <c r="BC71" s="31">
        <f t="shared" si="11"/>
        <v>2445330.2305901577</v>
      </c>
      <c r="BD71" s="31">
        <v>26683.46</v>
      </c>
    </row>
    <row r="72" spans="2:56">
      <c r="B72" s="42" t="s">
        <v>385</v>
      </c>
      <c r="C72" s="42" t="s">
        <v>386</v>
      </c>
      <c r="D72" s="43" t="s">
        <v>1049</v>
      </c>
      <c r="E72" s="44">
        <v>34</v>
      </c>
      <c r="F72" s="31">
        <v>15300877.206247209</v>
      </c>
      <c r="G72" s="31">
        <v>497640.00999999989</v>
      </c>
      <c r="H72" s="31">
        <v>0</v>
      </c>
      <c r="I72" s="31">
        <v>53496.069999999992</v>
      </c>
      <c r="J72" s="31">
        <v>2074772.7654096165</v>
      </c>
      <c r="K72" s="31">
        <v>1335744.2156340177</v>
      </c>
      <c r="L72" s="31">
        <v>1395185.6444581565</v>
      </c>
      <c r="M72" s="31">
        <f t="shared" si="8"/>
        <v>20714914.791748997</v>
      </c>
      <c r="N72" s="31">
        <v>57198.879999999997</v>
      </c>
      <c r="P72" s="42" t="s">
        <v>385</v>
      </c>
      <c r="Q72" s="42" t="s">
        <v>386</v>
      </c>
      <c r="R72" s="43" t="s">
        <v>1050</v>
      </c>
      <c r="S72" s="44">
        <v>34</v>
      </c>
      <c r="T72" s="31">
        <v>16374314.250582039</v>
      </c>
      <c r="U72" s="31">
        <v>533491.09</v>
      </c>
      <c r="V72" s="31">
        <v>0</v>
      </c>
      <c r="W72" s="31">
        <v>57279.75</v>
      </c>
      <c r="X72" s="31">
        <v>2208635.1702686427</v>
      </c>
      <c r="Y72" s="31">
        <v>1339818.5205463513</v>
      </c>
      <c r="Z72" s="31">
        <v>1488014.8116619138</v>
      </c>
      <c r="AA72" s="31">
        <f t="shared" si="9"/>
        <v>22061821.023058947</v>
      </c>
      <c r="AB72" s="31">
        <v>60267.430000000008</v>
      </c>
      <c r="AD72" s="42" t="s">
        <v>385</v>
      </c>
      <c r="AE72" s="42" t="s">
        <v>386</v>
      </c>
      <c r="AF72" s="43" t="s">
        <v>1275</v>
      </c>
      <c r="AG72" s="44">
        <v>34</v>
      </c>
      <c r="AH72" s="31">
        <v>16684557.192189982</v>
      </c>
      <c r="AI72" s="31">
        <v>543200.41</v>
      </c>
      <c r="AJ72" s="31">
        <v>0</v>
      </c>
      <c r="AK72" s="31">
        <v>58278.409999999996</v>
      </c>
      <c r="AL72" s="31">
        <v>2249101.8640592941</v>
      </c>
      <c r="AM72" s="31">
        <v>1336723.1476780958</v>
      </c>
      <c r="AN72" s="31">
        <v>1515682.977678234</v>
      </c>
      <c r="AO72" s="31">
        <f t="shared" si="10"/>
        <v>22448876.491605606</v>
      </c>
      <c r="AP72" s="31">
        <v>61332.490000000005</v>
      </c>
      <c r="AR72" s="42" t="s">
        <v>385</v>
      </c>
      <c r="AS72" s="42" t="s">
        <v>386</v>
      </c>
      <c r="AT72" s="43" t="s">
        <v>1276</v>
      </c>
      <c r="AU72" s="44">
        <v>34</v>
      </c>
      <c r="AV72" s="31">
        <v>17032259.900813669</v>
      </c>
      <c r="AW72" s="31">
        <v>554123.83000000007</v>
      </c>
      <c r="AX72" s="31">
        <v>0</v>
      </c>
      <c r="AY72" s="31">
        <v>59455.5</v>
      </c>
      <c r="AZ72" s="31">
        <v>2294637.7977357879</v>
      </c>
      <c r="BA72" s="31">
        <v>1336811.5869029032</v>
      </c>
      <c r="BB72" s="31">
        <v>1546565.0668186601</v>
      </c>
      <c r="BC72" s="31">
        <f t="shared" si="11"/>
        <v>22886432.742271017</v>
      </c>
      <c r="BD72" s="31">
        <v>62579.05999999999</v>
      </c>
    </row>
    <row r="73" spans="2:56">
      <c r="B73" s="42" t="s">
        <v>429</v>
      </c>
      <c r="C73" s="42" t="s">
        <v>430</v>
      </c>
      <c r="D73" s="43" t="s">
        <v>1049</v>
      </c>
      <c r="E73" s="44">
        <v>34</v>
      </c>
      <c r="F73" s="31">
        <v>185721688.43698636</v>
      </c>
      <c r="G73" s="31">
        <v>5310638.2899999991</v>
      </c>
      <c r="H73" s="31">
        <v>5891161.1700000009</v>
      </c>
      <c r="I73" s="31">
        <v>652114.32000000007</v>
      </c>
      <c r="J73" s="31">
        <v>29526751.608861737</v>
      </c>
      <c r="K73" s="31">
        <v>15254384.123382561</v>
      </c>
      <c r="L73" s="31">
        <v>10414177.156155415</v>
      </c>
      <c r="M73" s="31">
        <f t="shared" si="8"/>
        <v>253508848.78538606</v>
      </c>
      <c r="N73" s="31">
        <v>737933.68000000017</v>
      </c>
      <c r="P73" s="42" t="s">
        <v>429</v>
      </c>
      <c r="Q73" s="42" t="s">
        <v>430</v>
      </c>
      <c r="R73" s="43" t="s">
        <v>1050</v>
      </c>
      <c r="S73" s="44">
        <v>34</v>
      </c>
      <c r="T73" s="31">
        <v>198576369.73444262</v>
      </c>
      <c r="U73" s="31">
        <v>5688123.5200000005</v>
      </c>
      <c r="V73" s="31">
        <v>6297954.1399999997</v>
      </c>
      <c r="W73" s="31">
        <v>697103.16999999993</v>
      </c>
      <c r="X73" s="31">
        <v>31422099.384410638</v>
      </c>
      <c r="Y73" s="31">
        <v>15287951.553458173</v>
      </c>
      <c r="Z73" s="31">
        <v>11102740.826346742</v>
      </c>
      <c r="AA73" s="31">
        <f t="shared" si="9"/>
        <v>269850352.23865819</v>
      </c>
      <c r="AB73" s="31">
        <v>778009.91</v>
      </c>
      <c r="AD73" s="42" t="s">
        <v>429</v>
      </c>
      <c r="AE73" s="42" t="s">
        <v>430</v>
      </c>
      <c r="AF73" s="43" t="s">
        <v>1275</v>
      </c>
      <c r="AG73" s="44">
        <v>34</v>
      </c>
      <c r="AH73" s="31">
        <v>202369474.36903706</v>
      </c>
      <c r="AI73" s="31">
        <v>5793455.9900000002</v>
      </c>
      <c r="AJ73" s="31">
        <v>6414644.8000000007</v>
      </c>
      <c r="AK73" s="31">
        <v>709980.60999999987</v>
      </c>
      <c r="AL73" s="31">
        <v>32006082.346700504</v>
      </c>
      <c r="AM73" s="31">
        <v>15261664.329104574</v>
      </c>
      <c r="AN73" s="31">
        <v>11309350.858619925</v>
      </c>
      <c r="AO73" s="31">
        <f t="shared" si="10"/>
        <v>274657254.67346209</v>
      </c>
      <c r="AP73" s="31">
        <v>792601.37</v>
      </c>
      <c r="AR73" s="42" t="s">
        <v>429</v>
      </c>
      <c r="AS73" s="42" t="s">
        <v>430</v>
      </c>
      <c r="AT73" s="43" t="s">
        <v>1276</v>
      </c>
      <c r="AU73" s="44">
        <v>34</v>
      </c>
      <c r="AV73" s="31">
        <v>206623275.09355247</v>
      </c>
      <c r="AW73" s="31">
        <v>5911735.0199999996</v>
      </c>
      <c r="AX73" s="31">
        <v>6545812.29</v>
      </c>
      <c r="AY73" s="31">
        <v>724503.2</v>
      </c>
      <c r="AZ73" s="31">
        <v>32662656.204842858</v>
      </c>
      <c r="BA73" s="31">
        <v>15262415.392657533</v>
      </c>
      <c r="BB73" s="31">
        <v>11541478.489024665</v>
      </c>
      <c r="BC73" s="31">
        <f t="shared" si="11"/>
        <v>280080944.71007746</v>
      </c>
      <c r="BD73" s="31">
        <v>809069.02</v>
      </c>
    </row>
    <row r="74" spans="2:56">
      <c r="B74" s="42" t="s">
        <v>245</v>
      </c>
      <c r="C74" s="42" t="s">
        <v>246</v>
      </c>
      <c r="D74" s="43" t="s">
        <v>1049</v>
      </c>
      <c r="E74" s="44">
        <v>34</v>
      </c>
      <c r="F74" s="31">
        <v>25992264.91705076</v>
      </c>
      <c r="G74" s="31">
        <v>820467.8</v>
      </c>
      <c r="H74" s="31">
        <v>337541.61</v>
      </c>
      <c r="I74" s="31">
        <v>90719.19</v>
      </c>
      <c r="J74" s="31">
        <v>3664280.1141184592</v>
      </c>
      <c r="K74" s="31">
        <v>1688808.6694923157</v>
      </c>
      <c r="L74" s="31">
        <v>2015605.3236128404</v>
      </c>
      <c r="M74" s="31">
        <f t="shared" si="8"/>
        <v>34761990.614274383</v>
      </c>
      <c r="N74" s="31">
        <v>152302.99</v>
      </c>
      <c r="P74" s="42" t="s">
        <v>245</v>
      </c>
      <c r="Q74" s="42" t="s">
        <v>246</v>
      </c>
      <c r="R74" s="43" t="s">
        <v>1050</v>
      </c>
      <c r="S74" s="44">
        <v>34</v>
      </c>
      <c r="T74" s="31">
        <v>27821333.892856397</v>
      </c>
      <c r="U74" s="31">
        <v>880522.32</v>
      </c>
      <c r="V74" s="31">
        <v>361215.21</v>
      </c>
      <c r="W74" s="31">
        <v>97022.760000000009</v>
      </c>
      <c r="X74" s="31">
        <v>3900721.4194175988</v>
      </c>
      <c r="Y74" s="31">
        <v>1691900.6380111522</v>
      </c>
      <c r="Z74" s="31">
        <v>2150002.0875938665</v>
      </c>
      <c r="AA74" s="31">
        <f t="shared" si="9"/>
        <v>37063193.117879018</v>
      </c>
      <c r="AB74" s="31">
        <v>160474.79</v>
      </c>
      <c r="AD74" s="42" t="s">
        <v>245</v>
      </c>
      <c r="AE74" s="42" t="s">
        <v>246</v>
      </c>
      <c r="AF74" s="43" t="s">
        <v>1275</v>
      </c>
      <c r="AG74" s="44">
        <v>34</v>
      </c>
      <c r="AH74" s="31">
        <v>28347212.125133857</v>
      </c>
      <c r="AI74" s="31">
        <v>896471.10000000009</v>
      </c>
      <c r="AJ74" s="31">
        <v>367724.10000000003</v>
      </c>
      <c r="AK74" s="31">
        <v>98819.909999999989</v>
      </c>
      <c r="AL74" s="31">
        <v>3972195.2892379025</v>
      </c>
      <c r="AM74" s="31">
        <v>1689551.5758597816</v>
      </c>
      <c r="AN74" s="31">
        <v>2189324.038202499</v>
      </c>
      <c r="AO74" s="31">
        <f t="shared" si="10"/>
        <v>37724712.818434052</v>
      </c>
      <c r="AP74" s="31">
        <v>163414.68</v>
      </c>
      <c r="AR74" s="42" t="s">
        <v>245</v>
      </c>
      <c r="AS74" s="42" t="s">
        <v>246</v>
      </c>
      <c r="AT74" s="43" t="s">
        <v>1276</v>
      </c>
      <c r="AU74" s="44">
        <v>34</v>
      </c>
      <c r="AV74" s="31">
        <v>28937349.606603652</v>
      </c>
      <c r="AW74" s="31">
        <v>914501.29</v>
      </c>
      <c r="AX74" s="31">
        <v>375225.44999999995</v>
      </c>
      <c r="AY74" s="31">
        <v>100741.04000000001</v>
      </c>
      <c r="AZ74" s="31">
        <v>4052610.3606820102</v>
      </c>
      <c r="BA74" s="31">
        <v>1689618.6919212495</v>
      </c>
      <c r="BB74" s="31">
        <v>2233472.3961736839</v>
      </c>
      <c r="BC74" s="31">
        <f t="shared" si="11"/>
        <v>38470290.385380588</v>
      </c>
      <c r="BD74" s="31">
        <v>166771.55000000002</v>
      </c>
    </row>
    <row r="75" spans="2:56">
      <c r="B75" s="42" t="s">
        <v>151</v>
      </c>
      <c r="C75" s="42" t="s">
        <v>152</v>
      </c>
      <c r="D75" s="43" t="s">
        <v>1049</v>
      </c>
      <c r="E75" s="44">
        <v>34</v>
      </c>
      <c r="F75" s="31">
        <v>11631235.059165977</v>
      </c>
      <c r="G75" s="31">
        <v>776994.50999999978</v>
      </c>
      <c r="H75" s="31">
        <v>193189.36</v>
      </c>
      <c r="I75" s="31">
        <v>45296.100000000006</v>
      </c>
      <c r="J75" s="31">
        <v>2034711.3325883052</v>
      </c>
      <c r="K75" s="31">
        <v>959356.70389505685</v>
      </c>
      <c r="L75" s="31">
        <v>2374789.8208077531</v>
      </c>
      <c r="M75" s="31">
        <f t="shared" si="8"/>
        <v>18477512.366457094</v>
      </c>
      <c r="N75" s="31">
        <v>461939.48000000004</v>
      </c>
      <c r="P75" s="42" t="s">
        <v>151</v>
      </c>
      <c r="Q75" s="42" t="s">
        <v>152</v>
      </c>
      <c r="R75" s="43" t="s">
        <v>1050</v>
      </c>
      <c r="S75" s="44">
        <v>34</v>
      </c>
      <c r="T75" s="31">
        <v>12572612.918838738</v>
      </c>
      <c r="U75" s="31">
        <v>838789.5199999999</v>
      </c>
      <c r="V75" s="31">
        <v>206643.95</v>
      </c>
      <c r="W75" s="31">
        <v>48438.91</v>
      </c>
      <c r="X75" s="31">
        <v>2165900.7652639928</v>
      </c>
      <c r="Y75" s="31">
        <v>961678.72958304838</v>
      </c>
      <c r="Z75" s="31">
        <v>2557783.0149110816</v>
      </c>
      <c r="AA75" s="31">
        <f t="shared" si="9"/>
        <v>19838522.43859686</v>
      </c>
      <c r="AB75" s="31">
        <v>486674.63</v>
      </c>
      <c r="AD75" s="42" t="s">
        <v>151</v>
      </c>
      <c r="AE75" s="42" t="s">
        <v>152</v>
      </c>
      <c r="AF75" s="43" t="s">
        <v>1275</v>
      </c>
      <c r="AG75" s="44">
        <v>34</v>
      </c>
      <c r="AH75" s="31">
        <v>12814723.971713252</v>
      </c>
      <c r="AI75" s="31">
        <v>854033.99</v>
      </c>
      <c r="AJ75" s="31">
        <v>210482.59999999998</v>
      </c>
      <c r="AK75" s="31">
        <v>49287.479999999996</v>
      </c>
      <c r="AL75" s="31">
        <v>2205700.2730186535</v>
      </c>
      <c r="AM75" s="31">
        <v>959914.61632479832</v>
      </c>
      <c r="AN75" s="31">
        <v>2604764.1576461671</v>
      </c>
      <c r="AO75" s="31">
        <f t="shared" si="10"/>
        <v>20194650.168702871</v>
      </c>
      <c r="AP75" s="31">
        <v>495743.08</v>
      </c>
      <c r="AR75" s="42" t="s">
        <v>151</v>
      </c>
      <c r="AS75" s="42" t="s">
        <v>152</v>
      </c>
      <c r="AT75" s="43" t="s">
        <v>1276</v>
      </c>
      <c r="AU75" s="44">
        <v>34</v>
      </c>
      <c r="AV75" s="31">
        <v>13085342.857534742</v>
      </c>
      <c r="AW75" s="31">
        <v>871123.64</v>
      </c>
      <c r="AX75" s="31">
        <v>214697.63</v>
      </c>
      <c r="AY75" s="31">
        <v>50307.59</v>
      </c>
      <c r="AZ75" s="31">
        <v>2250481.3778607529</v>
      </c>
      <c r="BA75" s="31">
        <v>959965.01956074836</v>
      </c>
      <c r="BB75" s="31">
        <v>2657446.232303415</v>
      </c>
      <c r="BC75" s="31">
        <f t="shared" si="11"/>
        <v>20595243.947259661</v>
      </c>
      <c r="BD75" s="31">
        <v>505879.6</v>
      </c>
    </row>
    <row r="76" spans="2:56">
      <c r="B76" s="42" t="s">
        <v>573</v>
      </c>
      <c r="C76" s="42" t="s">
        <v>574</v>
      </c>
      <c r="D76" s="43" t="s">
        <v>1049</v>
      </c>
      <c r="E76" s="44">
        <v>34</v>
      </c>
      <c r="F76" s="31">
        <v>1921468.314020202</v>
      </c>
      <c r="G76" s="31">
        <v>27576.280000000002</v>
      </c>
      <c r="H76" s="31">
        <v>0</v>
      </c>
      <c r="I76" s="31">
        <v>2046.29</v>
      </c>
      <c r="J76" s="31">
        <v>90213.333926510473</v>
      </c>
      <c r="K76" s="31">
        <v>230809.1144059161</v>
      </c>
      <c r="L76" s="31">
        <v>0</v>
      </c>
      <c r="M76" s="31">
        <f t="shared" si="8"/>
        <v>2295012.3823526287</v>
      </c>
      <c r="N76" s="31">
        <v>22899.05</v>
      </c>
      <c r="P76" s="42" t="s">
        <v>573</v>
      </c>
      <c r="Q76" s="42" t="s">
        <v>574</v>
      </c>
      <c r="R76" s="43" t="s">
        <v>1050</v>
      </c>
      <c r="S76" s="44">
        <v>34</v>
      </c>
      <c r="T76" s="31">
        <v>2045929.0515269483</v>
      </c>
      <c r="U76" s="31">
        <v>29746.809999999998</v>
      </c>
      <c r="V76" s="31">
        <v>0</v>
      </c>
      <c r="W76" s="31">
        <v>2179.11</v>
      </c>
      <c r="X76" s="31">
        <v>95567.285723321082</v>
      </c>
      <c r="Y76" s="31">
        <v>231396.61463720075</v>
      </c>
      <c r="Z76" s="31">
        <v>0</v>
      </c>
      <c r="AA76" s="31">
        <f t="shared" si="9"/>
        <v>2428823.71188747</v>
      </c>
      <c r="AB76" s="31">
        <v>24004.839999999997</v>
      </c>
      <c r="AD76" s="42" t="s">
        <v>573</v>
      </c>
      <c r="AE76" s="42" t="s">
        <v>574</v>
      </c>
      <c r="AF76" s="43" t="s">
        <v>1275</v>
      </c>
      <c r="AG76" s="44">
        <v>34</v>
      </c>
      <c r="AH76" s="31">
        <v>2081449.050311821</v>
      </c>
      <c r="AI76" s="31">
        <v>30259.75</v>
      </c>
      <c r="AJ76" s="31">
        <v>0</v>
      </c>
      <c r="AK76" s="31">
        <v>2217.11</v>
      </c>
      <c r="AL76" s="31">
        <v>97245.549052941453</v>
      </c>
      <c r="AM76" s="31">
        <v>230950.27291385373</v>
      </c>
      <c r="AN76" s="31">
        <v>0</v>
      </c>
      <c r="AO76" s="31">
        <f t="shared" si="10"/>
        <v>2466550.7922786162</v>
      </c>
      <c r="AP76" s="31">
        <v>24429.059999999998</v>
      </c>
      <c r="AR76" s="42" t="s">
        <v>573</v>
      </c>
      <c r="AS76" s="42" t="s">
        <v>574</v>
      </c>
      <c r="AT76" s="43" t="s">
        <v>1276</v>
      </c>
      <c r="AU76" s="44">
        <v>34</v>
      </c>
      <c r="AV76" s="31">
        <v>2119487.9664692888</v>
      </c>
      <c r="AW76" s="31">
        <v>30809.11</v>
      </c>
      <c r="AX76" s="31">
        <v>0</v>
      </c>
      <c r="AY76" s="31">
        <v>2257.7999999999997</v>
      </c>
      <c r="AZ76" s="31">
        <v>99042.956296322693</v>
      </c>
      <c r="BA76" s="31">
        <v>230963.02553452077</v>
      </c>
      <c r="BB76" s="31">
        <v>0</v>
      </c>
      <c r="BC76" s="31">
        <f t="shared" si="11"/>
        <v>2507444.2483001323</v>
      </c>
      <c r="BD76" s="31">
        <v>24883.39</v>
      </c>
    </row>
    <row r="77" spans="2:56">
      <c r="B77" s="42" t="s">
        <v>33</v>
      </c>
      <c r="C77" s="42" t="s">
        <v>34</v>
      </c>
      <c r="D77" s="43" t="s">
        <v>1049</v>
      </c>
      <c r="E77" s="44">
        <v>34</v>
      </c>
      <c r="F77" s="31">
        <v>3663482.0130399093</v>
      </c>
      <c r="G77" s="31">
        <v>130743.31000000001</v>
      </c>
      <c r="H77" s="31">
        <v>81512.800000000003</v>
      </c>
      <c r="I77" s="31">
        <v>9079.41</v>
      </c>
      <c r="J77" s="31">
        <v>352259.71179496264</v>
      </c>
      <c r="K77" s="31">
        <v>261053.69399201623</v>
      </c>
      <c r="L77" s="31">
        <v>0</v>
      </c>
      <c r="M77" s="31">
        <f t="shared" si="8"/>
        <v>4590740.7788268877</v>
      </c>
      <c r="N77" s="31">
        <v>92609.839999999982</v>
      </c>
      <c r="P77" s="42" t="s">
        <v>33</v>
      </c>
      <c r="Q77" s="42" t="s">
        <v>34</v>
      </c>
      <c r="R77" s="43" t="s">
        <v>1050</v>
      </c>
      <c r="S77" s="44">
        <v>34</v>
      </c>
      <c r="T77" s="31">
        <v>3940591.3040227015</v>
      </c>
      <c r="U77" s="31">
        <v>141341.25</v>
      </c>
      <c r="V77" s="31">
        <v>87211.48000000001</v>
      </c>
      <c r="W77" s="31">
        <v>9773.6999999999989</v>
      </c>
      <c r="X77" s="31">
        <v>374966.1284574258</v>
      </c>
      <c r="Y77" s="31">
        <v>261489.90145534909</v>
      </c>
      <c r="Z77" s="31">
        <v>0</v>
      </c>
      <c r="AA77" s="31">
        <f t="shared" si="9"/>
        <v>4913004.8539354764</v>
      </c>
      <c r="AB77" s="31">
        <v>97631.090000000011</v>
      </c>
      <c r="AD77" s="42" t="s">
        <v>33</v>
      </c>
      <c r="AE77" s="42" t="s">
        <v>34</v>
      </c>
      <c r="AF77" s="43" t="s">
        <v>1275</v>
      </c>
      <c r="AG77" s="44">
        <v>34</v>
      </c>
      <c r="AH77" s="31">
        <v>4012420.2298600534</v>
      </c>
      <c r="AI77" s="31">
        <v>143904.13</v>
      </c>
      <c r="AJ77" s="31">
        <v>88739.290000000008</v>
      </c>
      <c r="AK77" s="31">
        <v>9944.9299999999985</v>
      </c>
      <c r="AL77" s="31">
        <v>381852.45568843873</v>
      </c>
      <c r="AM77" s="31">
        <v>261158.50143105446</v>
      </c>
      <c r="AN77" s="31">
        <v>0</v>
      </c>
      <c r="AO77" s="31">
        <f t="shared" si="10"/>
        <v>4997383.4569795458</v>
      </c>
      <c r="AP77" s="31">
        <v>99363.92</v>
      </c>
      <c r="AR77" s="42" t="s">
        <v>33</v>
      </c>
      <c r="AS77" s="42" t="s">
        <v>34</v>
      </c>
      <c r="AT77" s="43" t="s">
        <v>1276</v>
      </c>
      <c r="AU77" s="44">
        <v>34</v>
      </c>
      <c r="AV77" s="31">
        <v>4092130.1530116759</v>
      </c>
      <c r="AW77" s="31">
        <v>146759.81000000006</v>
      </c>
      <c r="AX77" s="31">
        <v>90598.180000000008</v>
      </c>
      <c r="AY77" s="31">
        <v>10128.299999999999</v>
      </c>
      <c r="AZ77" s="31">
        <v>389603.71037508443</v>
      </c>
      <c r="BA77" s="31">
        <v>261167.97000317718</v>
      </c>
      <c r="BB77" s="31">
        <v>0</v>
      </c>
      <c r="BC77" s="31">
        <f t="shared" si="11"/>
        <v>5091827.243389938</v>
      </c>
      <c r="BD77" s="31">
        <v>101439.11999999998</v>
      </c>
    </row>
    <row r="78" spans="2:56">
      <c r="B78" s="42" t="s">
        <v>187</v>
      </c>
      <c r="C78" s="42" t="s">
        <v>188</v>
      </c>
      <c r="D78" s="43" t="s">
        <v>1049</v>
      </c>
      <c r="E78" s="44">
        <v>34</v>
      </c>
      <c r="F78" s="31">
        <v>35141045.180763036</v>
      </c>
      <c r="G78" s="31">
        <v>866251.91999999993</v>
      </c>
      <c r="H78" s="31">
        <v>0</v>
      </c>
      <c r="I78" s="31">
        <v>130771.78</v>
      </c>
      <c r="J78" s="31">
        <v>6024407.9697946459</v>
      </c>
      <c r="K78" s="31">
        <v>2372290.0740763433</v>
      </c>
      <c r="L78" s="31">
        <v>4353161.6509491326</v>
      </c>
      <c r="M78" s="31">
        <f t="shared" si="8"/>
        <v>48891153.39558316</v>
      </c>
      <c r="N78" s="31">
        <v>3224.8199999999997</v>
      </c>
      <c r="P78" s="42" t="s">
        <v>187</v>
      </c>
      <c r="Q78" s="42" t="s">
        <v>188</v>
      </c>
      <c r="R78" s="43" t="s">
        <v>1050</v>
      </c>
      <c r="S78" s="44">
        <v>34</v>
      </c>
      <c r="T78" s="31">
        <v>37568705.736196168</v>
      </c>
      <c r="U78" s="31">
        <v>926298.77999999991</v>
      </c>
      <c r="V78" s="31">
        <v>0</v>
      </c>
      <c r="W78" s="31">
        <v>139842.71</v>
      </c>
      <c r="X78" s="31">
        <v>6411513.6181725133</v>
      </c>
      <c r="Y78" s="31">
        <v>2378161.4253647332</v>
      </c>
      <c r="Z78" s="31">
        <v>4641312.5343020335</v>
      </c>
      <c r="AA78" s="31">
        <f t="shared" si="9"/>
        <v>52069217.904035449</v>
      </c>
      <c r="AB78" s="31">
        <v>3383.0999999999995</v>
      </c>
      <c r="AD78" s="42" t="s">
        <v>187</v>
      </c>
      <c r="AE78" s="42" t="s">
        <v>188</v>
      </c>
      <c r="AF78" s="43" t="s">
        <v>1275</v>
      </c>
      <c r="AG78" s="44">
        <v>34</v>
      </c>
      <c r="AH78" s="31">
        <v>38271960.794888496</v>
      </c>
      <c r="AI78" s="31">
        <v>943332.87000000011</v>
      </c>
      <c r="AJ78" s="31">
        <v>0</v>
      </c>
      <c r="AK78" s="31">
        <v>142443.71000000002</v>
      </c>
      <c r="AL78" s="31">
        <v>6530414.8923040945</v>
      </c>
      <c r="AM78" s="31">
        <v>2373606.1682520001</v>
      </c>
      <c r="AN78" s="31">
        <v>4727672.3338553421</v>
      </c>
      <c r="AO78" s="31">
        <f t="shared" si="10"/>
        <v>52992993.359299928</v>
      </c>
      <c r="AP78" s="31">
        <v>3562.59</v>
      </c>
      <c r="AR78" s="42" t="s">
        <v>187</v>
      </c>
      <c r="AS78" s="42" t="s">
        <v>188</v>
      </c>
      <c r="AT78" s="43" t="s">
        <v>1276</v>
      </c>
      <c r="AU78" s="44">
        <v>34</v>
      </c>
      <c r="AV78" s="31">
        <v>39062153.753732212</v>
      </c>
      <c r="AW78" s="31">
        <v>962658.23</v>
      </c>
      <c r="AX78" s="31">
        <v>0</v>
      </c>
      <c r="AY78" s="31">
        <v>145347.96999999997</v>
      </c>
      <c r="AZ78" s="31">
        <v>6664118.2395845931</v>
      </c>
      <c r="BA78" s="31">
        <v>2373736.3184552207</v>
      </c>
      <c r="BB78" s="31">
        <v>4824648.1065013614</v>
      </c>
      <c r="BC78" s="31">
        <f t="shared" si="11"/>
        <v>54036292.488273382</v>
      </c>
      <c r="BD78" s="31">
        <v>3629.87</v>
      </c>
    </row>
    <row r="79" spans="2:56">
      <c r="B79" s="42" t="s">
        <v>135</v>
      </c>
      <c r="C79" s="42" t="s">
        <v>136</v>
      </c>
      <c r="D79" s="43" t="s">
        <v>1049</v>
      </c>
      <c r="E79" s="44">
        <v>34</v>
      </c>
      <c r="F79" s="31">
        <v>20703260.699231572</v>
      </c>
      <c r="G79" s="31">
        <v>933361.89000000013</v>
      </c>
      <c r="H79" s="31">
        <v>616793.62</v>
      </c>
      <c r="I79" s="31">
        <v>0</v>
      </c>
      <c r="J79" s="31">
        <v>3175990.3474239316</v>
      </c>
      <c r="K79" s="31">
        <v>1478563.1427322172</v>
      </c>
      <c r="L79" s="31">
        <v>2230982.4502273002</v>
      </c>
      <c r="M79" s="31">
        <f t="shared" si="8"/>
        <v>29665355.329615023</v>
      </c>
      <c r="N79" s="31">
        <v>526403.17999999993</v>
      </c>
      <c r="P79" s="42" t="s">
        <v>135</v>
      </c>
      <c r="Q79" s="42" t="s">
        <v>136</v>
      </c>
      <c r="R79" s="43" t="s">
        <v>1050</v>
      </c>
      <c r="S79" s="44">
        <v>34</v>
      </c>
      <c r="T79" s="31">
        <v>22380683.232083436</v>
      </c>
      <c r="U79" s="31">
        <v>1007062.9199999998</v>
      </c>
      <c r="V79" s="31">
        <v>659778.49</v>
      </c>
      <c r="W79" s="31">
        <v>0</v>
      </c>
      <c r="X79" s="31">
        <v>3380777.155603379</v>
      </c>
      <c r="Y79" s="31">
        <v>1481103.9250870331</v>
      </c>
      <c r="Z79" s="31">
        <v>2402772.8525242885</v>
      </c>
      <c r="AA79" s="31">
        <f t="shared" si="9"/>
        <v>31866867.065298133</v>
      </c>
      <c r="AB79" s="31">
        <v>554688.49000000011</v>
      </c>
      <c r="AD79" s="42" t="s">
        <v>135</v>
      </c>
      <c r="AE79" s="42" t="s">
        <v>136</v>
      </c>
      <c r="AF79" s="43" t="s">
        <v>1275</v>
      </c>
      <c r="AG79" s="44">
        <v>34</v>
      </c>
      <c r="AH79" s="31">
        <v>22796433.070956517</v>
      </c>
      <c r="AI79" s="31">
        <v>1025348.91</v>
      </c>
      <c r="AJ79" s="31">
        <v>671992.49</v>
      </c>
      <c r="AK79" s="31">
        <v>0</v>
      </c>
      <c r="AL79" s="31">
        <v>3442876.6787580089</v>
      </c>
      <c r="AM79" s="31">
        <v>1479173.6157620165</v>
      </c>
      <c r="AN79" s="31">
        <v>2446850.2643314591</v>
      </c>
      <c r="AO79" s="31">
        <f t="shared" si="10"/>
        <v>32427639.139808003</v>
      </c>
      <c r="AP79" s="31">
        <v>564964.11</v>
      </c>
      <c r="AR79" s="42" t="s">
        <v>135</v>
      </c>
      <c r="AS79" s="42" t="s">
        <v>136</v>
      </c>
      <c r="AT79" s="43" t="s">
        <v>1276</v>
      </c>
      <c r="AU79" s="44">
        <v>34</v>
      </c>
      <c r="AV79" s="31">
        <v>23263931.035555504</v>
      </c>
      <c r="AW79" s="31">
        <v>1045916.49</v>
      </c>
      <c r="AX79" s="31">
        <v>685496.53</v>
      </c>
      <c r="AY79" s="31">
        <v>0</v>
      </c>
      <c r="AZ79" s="31">
        <v>3512766.8600709024</v>
      </c>
      <c r="BA79" s="31">
        <v>1479228.7674570167</v>
      </c>
      <c r="BB79" s="31">
        <v>2496703.5767561588</v>
      </c>
      <c r="BC79" s="31">
        <f t="shared" si="11"/>
        <v>33060546.41983958</v>
      </c>
      <c r="BD79" s="31">
        <v>576503.15999999992</v>
      </c>
    </row>
    <row r="80" spans="2:56">
      <c r="B80" s="42" t="s">
        <v>273</v>
      </c>
      <c r="C80" s="42" t="s">
        <v>274</v>
      </c>
      <c r="D80" s="43" t="s">
        <v>1049</v>
      </c>
      <c r="E80" s="44">
        <v>34</v>
      </c>
      <c r="F80" s="31">
        <v>526362.90238324052</v>
      </c>
      <c r="G80" s="31">
        <v>17344.800000000003</v>
      </c>
      <c r="H80" s="31">
        <v>3800.26</v>
      </c>
      <c r="I80" s="31">
        <v>1266.7600000000002</v>
      </c>
      <c r="J80" s="31">
        <v>64829.507592904702</v>
      </c>
      <c r="K80" s="31">
        <v>23198.336213827675</v>
      </c>
      <c r="L80" s="31">
        <v>0</v>
      </c>
      <c r="M80" s="31">
        <f t="shared" si="8"/>
        <v>650249.66618997301</v>
      </c>
      <c r="N80" s="31">
        <v>13447.1</v>
      </c>
      <c r="P80" s="42" t="s">
        <v>273</v>
      </c>
      <c r="Q80" s="42" t="s">
        <v>274</v>
      </c>
      <c r="R80" s="43" t="s">
        <v>1050</v>
      </c>
      <c r="S80" s="44">
        <v>34</v>
      </c>
      <c r="T80" s="31">
        <v>565915.00421079411</v>
      </c>
      <c r="U80" s="31">
        <v>18694.120000000006</v>
      </c>
      <c r="V80" s="31">
        <v>4046.94</v>
      </c>
      <c r="W80" s="31">
        <v>1348.9900000000002</v>
      </c>
      <c r="X80" s="31">
        <v>68671.398508185506</v>
      </c>
      <c r="Y80" s="31">
        <v>23237.332354808219</v>
      </c>
      <c r="Z80" s="31">
        <v>0</v>
      </c>
      <c r="AA80" s="31">
        <f t="shared" si="9"/>
        <v>696010.23507378774</v>
      </c>
      <c r="AB80" s="31">
        <v>14096.45</v>
      </c>
      <c r="AD80" s="42" t="s">
        <v>273</v>
      </c>
      <c r="AE80" s="42" t="s">
        <v>274</v>
      </c>
      <c r="AF80" s="43" t="s">
        <v>1275</v>
      </c>
      <c r="AG80" s="44">
        <v>34</v>
      </c>
      <c r="AH80" s="31">
        <v>575744.94748433016</v>
      </c>
      <c r="AI80" s="31">
        <v>19016.719999999998</v>
      </c>
      <c r="AJ80" s="31">
        <v>4117.5</v>
      </c>
      <c r="AK80" s="31">
        <v>1372.5000000000002</v>
      </c>
      <c r="AL80" s="31">
        <v>69875.866916066225</v>
      </c>
      <c r="AM80" s="31">
        <v>23207.705805162306</v>
      </c>
      <c r="AN80" s="31">
        <v>0</v>
      </c>
      <c r="AO80" s="31">
        <f t="shared" si="10"/>
        <v>707680.80020555877</v>
      </c>
      <c r="AP80" s="31">
        <v>14345.560000000001</v>
      </c>
      <c r="AR80" s="42" t="s">
        <v>273</v>
      </c>
      <c r="AS80" s="42" t="s">
        <v>274</v>
      </c>
      <c r="AT80" s="43" t="s">
        <v>1276</v>
      </c>
      <c r="AU80" s="44">
        <v>34</v>
      </c>
      <c r="AV80" s="31">
        <v>586272.99144798703</v>
      </c>
      <c r="AW80" s="31">
        <v>19362.199999999997</v>
      </c>
      <c r="AX80" s="31">
        <v>4193.0600000000004</v>
      </c>
      <c r="AY80" s="31">
        <v>1397.69</v>
      </c>
      <c r="AZ80" s="31">
        <v>71165.835996513953</v>
      </c>
      <c r="BA80" s="31">
        <v>23208.552278009334</v>
      </c>
      <c r="BB80" s="31">
        <v>0</v>
      </c>
      <c r="BC80" s="31">
        <f t="shared" si="11"/>
        <v>720212.6997225103</v>
      </c>
      <c r="BD80" s="31">
        <v>14612.37</v>
      </c>
    </row>
    <row r="81" spans="2:56">
      <c r="B81" s="42" t="s">
        <v>423</v>
      </c>
      <c r="C81" s="42" t="s">
        <v>424</v>
      </c>
      <c r="D81" s="43" t="s">
        <v>1049</v>
      </c>
      <c r="E81" s="44">
        <v>34</v>
      </c>
      <c r="F81" s="31">
        <v>181963987.9831199</v>
      </c>
      <c r="G81" s="31">
        <v>5570813.6999999993</v>
      </c>
      <c r="H81" s="31">
        <v>5796081.1799999997</v>
      </c>
      <c r="I81" s="31">
        <v>651842.75000000012</v>
      </c>
      <c r="J81" s="31">
        <v>26399373.720740926</v>
      </c>
      <c r="K81" s="31">
        <v>12685237.22906089</v>
      </c>
      <c r="L81" s="31">
        <v>15376566.202289466</v>
      </c>
      <c r="M81" s="31">
        <f t="shared" si="8"/>
        <v>251051044.46521115</v>
      </c>
      <c r="N81" s="31">
        <v>2607141.7000000002</v>
      </c>
      <c r="P81" s="42" t="s">
        <v>423</v>
      </c>
      <c r="Q81" s="42" t="s">
        <v>424</v>
      </c>
      <c r="R81" s="43" t="s">
        <v>1050</v>
      </c>
      <c r="S81" s="44">
        <v>34</v>
      </c>
      <c r="T81" s="31">
        <v>192132010.41161299</v>
      </c>
      <c r="U81" s="31">
        <v>5903926.5499999989</v>
      </c>
      <c r="V81" s="31">
        <v>6103346.6600000011</v>
      </c>
      <c r="W81" s="31">
        <v>686411.76</v>
      </c>
      <c r="X81" s="31">
        <v>27737928.128298596</v>
      </c>
      <c r="Y81" s="31">
        <v>12710926.22873777</v>
      </c>
      <c r="Z81" s="31">
        <v>16188607.265531451</v>
      </c>
      <c r="AA81" s="31">
        <f t="shared" si="9"/>
        <v>264170731.01418081</v>
      </c>
      <c r="AB81" s="31">
        <v>2707574.01</v>
      </c>
      <c r="AD81" s="42" t="s">
        <v>423</v>
      </c>
      <c r="AE81" s="42" t="s">
        <v>424</v>
      </c>
      <c r="AF81" s="43" t="s">
        <v>1275</v>
      </c>
      <c r="AG81" s="44">
        <v>34</v>
      </c>
      <c r="AH81" s="31">
        <v>195753451.77185121</v>
      </c>
      <c r="AI81" s="31">
        <v>6012711.6500000004</v>
      </c>
      <c r="AJ81" s="31">
        <v>6216456.6400000006</v>
      </c>
      <c r="AK81" s="31">
        <v>699099.22999999986</v>
      </c>
      <c r="AL81" s="31">
        <v>28253344.113396678</v>
      </c>
      <c r="AM81" s="31">
        <v>12690775.891719388</v>
      </c>
      <c r="AN81" s="31">
        <v>16489822.454310503</v>
      </c>
      <c r="AO81" s="31">
        <f t="shared" si="10"/>
        <v>268873967.58127779</v>
      </c>
      <c r="AP81" s="31">
        <v>2758305.83</v>
      </c>
      <c r="AR81" s="42" t="s">
        <v>423</v>
      </c>
      <c r="AS81" s="42" t="s">
        <v>424</v>
      </c>
      <c r="AT81" s="43" t="s">
        <v>1276</v>
      </c>
      <c r="AU81" s="44">
        <v>34</v>
      </c>
      <c r="AV81" s="31">
        <v>199818947.87070838</v>
      </c>
      <c r="AW81" s="31">
        <v>6135210.2999999989</v>
      </c>
      <c r="AX81" s="31">
        <v>6343668.7999999998</v>
      </c>
      <c r="AY81" s="31">
        <v>713418.30999999994</v>
      </c>
      <c r="AZ81" s="31">
        <v>28832853.309115022</v>
      </c>
      <c r="BA81" s="31">
        <v>12691351.615634199</v>
      </c>
      <c r="BB81" s="31">
        <v>16828614.81846166</v>
      </c>
      <c r="BC81" s="31">
        <f t="shared" si="11"/>
        <v>274179340.08391929</v>
      </c>
      <c r="BD81" s="31">
        <v>2815275.06</v>
      </c>
    </row>
    <row r="82" spans="2:56">
      <c r="B82" s="42" t="s">
        <v>65</v>
      </c>
      <c r="C82" s="42" t="s">
        <v>66</v>
      </c>
      <c r="D82" s="43" t="s">
        <v>1049</v>
      </c>
      <c r="E82" s="44">
        <v>34</v>
      </c>
      <c r="F82" s="31">
        <v>180963684.75782695</v>
      </c>
      <c r="G82" s="31">
        <v>8121966.1099999994</v>
      </c>
      <c r="H82" s="31">
        <v>5727135.2300000004</v>
      </c>
      <c r="I82" s="31">
        <v>677993.34</v>
      </c>
      <c r="J82" s="31">
        <v>29313166.775507834</v>
      </c>
      <c r="K82" s="31">
        <v>16429225.342256634</v>
      </c>
      <c r="L82" s="31">
        <v>28000724.103871163</v>
      </c>
      <c r="M82" s="31">
        <f t="shared" si="8"/>
        <v>273244911.58946258</v>
      </c>
      <c r="N82" s="31">
        <v>4011015.93</v>
      </c>
      <c r="P82" s="42" t="s">
        <v>65</v>
      </c>
      <c r="Q82" s="42" t="s">
        <v>66</v>
      </c>
      <c r="R82" s="43" t="s">
        <v>1050</v>
      </c>
      <c r="S82" s="44">
        <v>34</v>
      </c>
      <c r="T82" s="31">
        <v>195565069.74526843</v>
      </c>
      <c r="U82" s="31">
        <v>8752412.2699999977</v>
      </c>
      <c r="V82" s="31">
        <v>6126540.5900000008</v>
      </c>
      <c r="W82" s="31">
        <v>725228.25</v>
      </c>
      <c r="X82" s="31">
        <v>31201425.066260844</v>
      </c>
      <c r="Y82" s="31">
        <v>16470290.986205118</v>
      </c>
      <c r="Z82" s="31">
        <v>30147213.512479533</v>
      </c>
      <c r="AA82" s="31">
        <f t="shared" si="9"/>
        <v>293214732.93021393</v>
      </c>
      <c r="AB82" s="31">
        <v>4226552.51</v>
      </c>
      <c r="AD82" s="42" t="s">
        <v>65</v>
      </c>
      <c r="AE82" s="42" t="s">
        <v>66</v>
      </c>
      <c r="AF82" s="43" t="s">
        <v>1275</v>
      </c>
      <c r="AG82" s="44">
        <v>34</v>
      </c>
      <c r="AH82" s="31">
        <v>199247454.82803226</v>
      </c>
      <c r="AI82" s="31">
        <v>8911734.1799999997</v>
      </c>
      <c r="AJ82" s="31">
        <v>6238668.1100000013</v>
      </c>
      <c r="AK82" s="31">
        <v>738517.63000000012</v>
      </c>
      <c r="AL82" s="31">
        <v>31776199.039888699</v>
      </c>
      <c r="AM82" s="31">
        <v>16438749.804942969</v>
      </c>
      <c r="AN82" s="31">
        <v>30703409.221878789</v>
      </c>
      <c r="AO82" s="31">
        <f t="shared" si="10"/>
        <v>298359630.47474277</v>
      </c>
      <c r="AP82" s="31">
        <v>4304897.66</v>
      </c>
      <c r="AR82" s="42" t="s">
        <v>65</v>
      </c>
      <c r="AS82" s="42" t="s">
        <v>66</v>
      </c>
      <c r="AT82" s="43" t="s">
        <v>1276</v>
      </c>
      <c r="AU82" s="44">
        <v>34</v>
      </c>
      <c r="AV82" s="31">
        <v>203380255.92419004</v>
      </c>
      <c r="AW82" s="31">
        <v>9091034.629999999</v>
      </c>
      <c r="AX82" s="31">
        <v>6364940.3799999999</v>
      </c>
      <c r="AY82" s="31">
        <v>753524</v>
      </c>
      <c r="AZ82" s="31">
        <v>32422700.201604463</v>
      </c>
      <c r="BA82" s="31">
        <v>16439650.981550459</v>
      </c>
      <c r="BB82" s="31">
        <v>31328270.574883692</v>
      </c>
      <c r="BC82" s="31">
        <f t="shared" si="11"/>
        <v>304173425.9822287</v>
      </c>
      <c r="BD82" s="31">
        <v>4393049.29</v>
      </c>
    </row>
    <row r="83" spans="2:56">
      <c r="B83" s="42" t="s">
        <v>497</v>
      </c>
      <c r="C83" s="42" t="s">
        <v>498</v>
      </c>
      <c r="D83" s="43" t="s">
        <v>1049</v>
      </c>
      <c r="E83" s="44">
        <v>34</v>
      </c>
      <c r="F83" s="31">
        <v>425627.35472715984</v>
      </c>
      <c r="G83" s="31">
        <v>13349.65</v>
      </c>
      <c r="H83" s="31">
        <v>0</v>
      </c>
      <c r="I83" s="31">
        <v>682.09999999999991</v>
      </c>
      <c r="J83" s="31">
        <v>9228.2530419587183</v>
      </c>
      <c r="K83" s="31">
        <v>0</v>
      </c>
      <c r="L83" s="31">
        <v>0</v>
      </c>
      <c r="M83" s="31">
        <f t="shared" si="8"/>
        <v>455708.34776911855</v>
      </c>
      <c r="N83" s="31">
        <v>6820.99</v>
      </c>
      <c r="P83" s="42" t="s">
        <v>497</v>
      </c>
      <c r="Q83" s="42" t="s">
        <v>498</v>
      </c>
      <c r="R83" s="43" t="s">
        <v>1050</v>
      </c>
      <c r="S83" s="44">
        <v>34</v>
      </c>
      <c r="T83" s="31">
        <v>455401.38122881937</v>
      </c>
      <c r="U83" s="31">
        <v>14329.560000000005</v>
      </c>
      <c r="V83" s="31">
        <v>0</v>
      </c>
      <c r="W83" s="31">
        <v>726.3900000000001</v>
      </c>
      <c r="X83" s="31">
        <v>9774.831260691537</v>
      </c>
      <c r="Y83" s="31">
        <v>0</v>
      </c>
      <c r="Z83" s="31">
        <v>0</v>
      </c>
      <c r="AA83" s="31">
        <f t="shared" si="9"/>
        <v>487382.52248951088</v>
      </c>
      <c r="AB83" s="31">
        <v>7150.36</v>
      </c>
      <c r="AD83" s="42" t="s">
        <v>497</v>
      </c>
      <c r="AE83" s="42" t="s">
        <v>498</v>
      </c>
      <c r="AF83" s="43" t="s">
        <v>1275</v>
      </c>
      <c r="AG83" s="44">
        <v>34</v>
      </c>
      <c r="AH83" s="31">
        <v>463318.29487358878</v>
      </c>
      <c r="AI83" s="31">
        <v>14577.680000000004</v>
      </c>
      <c r="AJ83" s="31">
        <v>0</v>
      </c>
      <c r="AK83" s="31">
        <v>739.05000000000007</v>
      </c>
      <c r="AL83" s="31">
        <v>9946.2554483893327</v>
      </c>
      <c r="AM83" s="31">
        <v>0</v>
      </c>
      <c r="AN83" s="31">
        <v>0</v>
      </c>
      <c r="AO83" s="31">
        <f t="shared" si="10"/>
        <v>495858.01032197807</v>
      </c>
      <c r="AP83" s="31">
        <v>7276.73</v>
      </c>
      <c r="AR83" s="42" t="s">
        <v>497</v>
      </c>
      <c r="AS83" s="42" t="s">
        <v>498</v>
      </c>
      <c r="AT83" s="43" t="s">
        <v>1276</v>
      </c>
      <c r="AU83" s="44">
        <v>34</v>
      </c>
      <c r="AV83" s="31">
        <v>471797.83512483689</v>
      </c>
      <c r="AW83" s="31">
        <v>14843.430000000004</v>
      </c>
      <c r="AX83" s="31">
        <v>0</v>
      </c>
      <c r="AY83" s="31">
        <v>752.62</v>
      </c>
      <c r="AZ83" s="31">
        <v>10129.848427096178</v>
      </c>
      <c r="BA83" s="31">
        <v>0</v>
      </c>
      <c r="BB83" s="31">
        <v>0</v>
      </c>
      <c r="BC83" s="31">
        <f t="shared" si="11"/>
        <v>504935.80355193309</v>
      </c>
      <c r="BD83" s="31">
        <v>7412.0700000000006</v>
      </c>
    </row>
    <row r="84" spans="2:56">
      <c r="B84" s="42" t="s">
        <v>185</v>
      </c>
      <c r="C84" s="42" t="s">
        <v>186</v>
      </c>
      <c r="D84" s="43" t="s">
        <v>1049</v>
      </c>
      <c r="E84" s="44">
        <v>34</v>
      </c>
      <c r="F84" s="31">
        <v>179101201.58127844</v>
      </c>
      <c r="G84" s="31">
        <v>9248377.5899999999</v>
      </c>
      <c r="H84" s="31">
        <v>8544697.8599999994</v>
      </c>
      <c r="I84" s="31">
        <v>634281.60999999987</v>
      </c>
      <c r="J84" s="31">
        <v>27615229.700525362</v>
      </c>
      <c r="K84" s="31">
        <v>13452641.209165677</v>
      </c>
      <c r="L84" s="31">
        <v>13151729.831512645</v>
      </c>
      <c r="M84" s="31">
        <f t="shared" si="8"/>
        <v>257700341.63248211</v>
      </c>
      <c r="N84" s="31">
        <v>5952182.25</v>
      </c>
      <c r="P84" s="42" t="s">
        <v>185</v>
      </c>
      <c r="Q84" s="42" t="s">
        <v>186</v>
      </c>
      <c r="R84" s="43" t="s">
        <v>1050</v>
      </c>
      <c r="S84" s="44">
        <v>34</v>
      </c>
      <c r="T84" s="31">
        <v>193512475.77214423</v>
      </c>
      <c r="U84" s="31">
        <v>9981214.7199999969</v>
      </c>
      <c r="V84" s="31">
        <v>9137501.1500000004</v>
      </c>
      <c r="W84" s="31">
        <v>678300.24000000011</v>
      </c>
      <c r="X84" s="31">
        <v>29390856.284673933</v>
      </c>
      <c r="Y84" s="31">
        <v>13476139.609495243</v>
      </c>
      <c r="Z84" s="31">
        <v>14160971.283926781</v>
      </c>
      <c r="AA84" s="31">
        <f t="shared" si="9"/>
        <v>276611253.62024021</v>
      </c>
      <c r="AB84" s="31">
        <v>6273794.5600000005</v>
      </c>
      <c r="AD84" s="42" t="s">
        <v>185</v>
      </c>
      <c r="AE84" s="42" t="s">
        <v>186</v>
      </c>
      <c r="AF84" s="43" t="s">
        <v>1275</v>
      </c>
      <c r="AG84" s="44">
        <v>34</v>
      </c>
      <c r="AH84" s="31">
        <v>197207393.53650296</v>
      </c>
      <c r="AI84" s="31">
        <v>10163871.630000001</v>
      </c>
      <c r="AJ84" s="31">
        <v>9305844.0099999979</v>
      </c>
      <c r="AK84" s="31">
        <v>690752.45000000007</v>
      </c>
      <c r="AL84" s="31">
        <v>29934744.673548661</v>
      </c>
      <c r="AM84" s="31">
        <v>13457908.498805143</v>
      </c>
      <c r="AN84" s="31">
        <v>14423425.111767117</v>
      </c>
      <c r="AO84" s="31">
        <f t="shared" si="10"/>
        <v>281574786.77062386</v>
      </c>
      <c r="AP84" s="31">
        <v>6390846.8599999994</v>
      </c>
      <c r="AR84" s="42" t="s">
        <v>185</v>
      </c>
      <c r="AS84" s="42" t="s">
        <v>186</v>
      </c>
      <c r="AT84" s="43" t="s">
        <v>1276</v>
      </c>
      <c r="AU84" s="44">
        <v>34</v>
      </c>
      <c r="AV84" s="31">
        <v>201348953.85495195</v>
      </c>
      <c r="AW84" s="31">
        <v>10369191.739999998</v>
      </c>
      <c r="AX84" s="31">
        <v>9495297.2300000004</v>
      </c>
      <c r="AY84" s="31">
        <v>704905.08</v>
      </c>
      <c r="AZ84" s="31">
        <v>30546387.815975264</v>
      </c>
      <c r="BA84" s="31">
        <v>13458429.387682004</v>
      </c>
      <c r="BB84" s="31">
        <v>14718327.331763668</v>
      </c>
      <c r="BC84" s="31">
        <f t="shared" si="11"/>
        <v>287163870.9203729</v>
      </c>
      <c r="BD84" s="31">
        <v>6522378.4800000004</v>
      </c>
    </row>
    <row r="85" spans="2:56">
      <c r="B85" s="42" t="s">
        <v>541</v>
      </c>
      <c r="C85" s="42" t="s">
        <v>542</v>
      </c>
      <c r="D85" s="43" t="s">
        <v>1049</v>
      </c>
      <c r="E85" s="44">
        <v>34</v>
      </c>
      <c r="F85" s="31">
        <v>38401502.021323793</v>
      </c>
      <c r="G85" s="31">
        <v>1444919.2800000003</v>
      </c>
      <c r="H85" s="31">
        <v>566366.79999999993</v>
      </c>
      <c r="I85" s="31">
        <v>133612.07999999999</v>
      </c>
      <c r="J85" s="31">
        <v>6032406.234308891</v>
      </c>
      <c r="K85" s="31">
        <v>2666314.9565983322</v>
      </c>
      <c r="L85" s="31">
        <v>2570515.8110656892</v>
      </c>
      <c r="M85" s="31">
        <f t="shared" si="8"/>
        <v>52338527.043296702</v>
      </c>
      <c r="N85" s="31">
        <v>522889.86</v>
      </c>
      <c r="P85" s="42" t="s">
        <v>541</v>
      </c>
      <c r="Q85" s="42" t="s">
        <v>542</v>
      </c>
      <c r="R85" s="43" t="s">
        <v>1050</v>
      </c>
      <c r="S85" s="44">
        <v>34</v>
      </c>
      <c r="T85" s="31">
        <v>40807817.273705348</v>
      </c>
      <c r="U85" s="31">
        <v>1541015.59</v>
      </c>
      <c r="V85" s="31">
        <v>600824.16000000015</v>
      </c>
      <c r="W85" s="31">
        <v>141725.98000000001</v>
      </c>
      <c r="X85" s="31">
        <v>6377172.0657089464</v>
      </c>
      <c r="Y85" s="31">
        <v>2673811.1800313136</v>
      </c>
      <c r="Z85" s="31">
        <v>2723054.1561324634</v>
      </c>
      <c r="AA85" s="31">
        <f t="shared" si="9"/>
        <v>55412008.525578059</v>
      </c>
      <c r="AB85" s="31">
        <v>546588.12000000011</v>
      </c>
      <c r="AD85" s="42" t="s">
        <v>541</v>
      </c>
      <c r="AE85" s="42" t="s">
        <v>542</v>
      </c>
      <c r="AF85" s="43" t="s">
        <v>1275</v>
      </c>
      <c r="AG85" s="44">
        <v>34</v>
      </c>
      <c r="AH85" s="31">
        <v>41578703.165444747</v>
      </c>
      <c r="AI85" s="31">
        <v>1569185.4700000002</v>
      </c>
      <c r="AJ85" s="31">
        <v>611977.49</v>
      </c>
      <c r="AK85" s="31">
        <v>144336.44999999998</v>
      </c>
      <c r="AL85" s="31">
        <v>6494910.9099117098</v>
      </c>
      <c r="AM85" s="31">
        <v>2668018.6015774133</v>
      </c>
      <c r="AN85" s="31">
        <v>2773361.9861484258</v>
      </c>
      <c r="AO85" s="31">
        <f t="shared" si="10"/>
        <v>56397280.983082294</v>
      </c>
      <c r="AP85" s="31">
        <v>556786.91</v>
      </c>
      <c r="AR85" s="42" t="s">
        <v>541</v>
      </c>
      <c r="AS85" s="42" t="s">
        <v>542</v>
      </c>
      <c r="AT85" s="43" t="s">
        <v>1276</v>
      </c>
      <c r="AU85" s="44">
        <v>34</v>
      </c>
      <c r="AV85" s="31">
        <v>42444170.690647304</v>
      </c>
      <c r="AW85" s="31">
        <v>1600831.3699999996</v>
      </c>
      <c r="AX85" s="31">
        <v>624367.48</v>
      </c>
      <c r="AY85" s="31">
        <v>147244.45000000001</v>
      </c>
      <c r="AZ85" s="31">
        <v>6627310.3956820089</v>
      </c>
      <c r="BA85" s="31">
        <v>2668184.103818953</v>
      </c>
      <c r="BB85" s="31">
        <v>2829829.6133253882</v>
      </c>
      <c r="BC85" s="31">
        <f t="shared" si="11"/>
        <v>57510090.45347365</v>
      </c>
      <c r="BD85" s="31">
        <v>568152.35000000009</v>
      </c>
    </row>
    <row r="86" spans="2:56">
      <c r="B86" s="42" t="s">
        <v>389</v>
      </c>
      <c r="C86" s="42" t="s">
        <v>390</v>
      </c>
      <c r="D86" s="43" t="s">
        <v>1049</v>
      </c>
      <c r="E86" s="44">
        <v>34</v>
      </c>
      <c r="F86" s="31">
        <v>31556137.665536307</v>
      </c>
      <c r="G86" s="31">
        <v>1167698.8600000001</v>
      </c>
      <c r="H86" s="31">
        <v>896464.27</v>
      </c>
      <c r="I86" s="31">
        <v>114981.06</v>
      </c>
      <c r="J86" s="31">
        <v>4129633.4162087026</v>
      </c>
      <c r="K86" s="31">
        <v>2039003.2324999091</v>
      </c>
      <c r="L86" s="31">
        <v>3497348.2767773289</v>
      </c>
      <c r="M86" s="31">
        <f t="shared" si="8"/>
        <v>43667113.331022248</v>
      </c>
      <c r="N86" s="31">
        <v>265846.55</v>
      </c>
      <c r="P86" s="42" t="s">
        <v>389</v>
      </c>
      <c r="Q86" s="42" t="s">
        <v>390</v>
      </c>
      <c r="R86" s="43" t="s">
        <v>1050</v>
      </c>
      <c r="S86" s="44">
        <v>34</v>
      </c>
      <c r="T86" s="31">
        <v>33740043.204639211</v>
      </c>
      <c r="U86" s="31">
        <v>1252765.73</v>
      </c>
      <c r="V86" s="31">
        <v>958679.62</v>
      </c>
      <c r="W86" s="31">
        <v>122931.15</v>
      </c>
      <c r="X86" s="31">
        <v>4395164.3452506978</v>
      </c>
      <c r="Y86" s="31">
        <v>2042968.8267937179</v>
      </c>
      <c r="Z86" s="31">
        <v>3728973.6333747739</v>
      </c>
      <c r="AA86" s="31">
        <f t="shared" si="9"/>
        <v>46521730.770058386</v>
      </c>
      <c r="AB86" s="31">
        <v>280204.26</v>
      </c>
      <c r="AD86" s="42" t="s">
        <v>389</v>
      </c>
      <c r="AE86" s="42" t="s">
        <v>390</v>
      </c>
      <c r="AF86" s="43" t="s">
        <v>1275</v>
      </c>
      <c r="AG86" s="44">
        <v>34</v>
      </c>
      <c r="AH86" s="31">
        <v>34370568.868973136</v>
      </c>
      <c r="AI86" s="31">
        <v>1275777.8399999999</v>
      </c>
      <c r="AJ86" s="31">
        <v>976319.4800000001</v>
      </c>
      <c r="AK86" s="31">
        <v>125220.01999999999</v>
      </c>
      <c r="AL86" s="31">
        <v>4476488.4469781816</v>
      </c>
      <c r="AM86" s="31">
        <v>2039892.1412530646</v>
      </c>
      <c r="AN86" s="31">
        <v>3798179.6049127793</v>
      </c>
      <c r="AO86" s="31">
        <f t="shared" si="10"/>
        <v>47347892.792117164</v>
      </c>
      <c r="AP86" s="31">
        <v>285446.39</v>
      </c>
      <c r="AR86" s="42" t="s">
        <v>389</v>
      </c>
      <c r="AS86" s="42" t="s">
        <v>390</v>
      </c>
      <c r="AT86" s="43" t="s">
        <v>1276</v>
      </c>
      <c r="AU86" s="44">
        <v>34</v>
      </c>
      <c r="AV86" s="31">
        <v>35078856.028892085</v>
      </c>
      <c r="AW86" s="31">
        <v>1301702.8700000001</v>
      </c>
      <c r="AX86" s="31">
        <v>996139.04000000015</v>
      </c>
      <c r="AY86" s="31">
        <v>127786.32999999999</v>
      </c>
      <c r="AZ86" s="31">
        <v>4567937.3015901232</v>
      </c>
      <c r="BA86" s="31">
        <v>2039980.0465542262</v>
      </c>
      <c r="BB86" s="31">
        <v>3875861.3680277504</v>
      </c>
      <c r="BC86" s="31">
        <f t="shared" si="11"/>
        <v>48279550.495064177</v>
      </c>
      <c r="BD86" s="31">
        <v>291287.51</v>
      </c>
    </row>
    <row r="87" spans="2:56">
      <c r="B87" s="42" t="s">
        <v>23</v>
      </c>
      <c r="C87" s="42" t="s">
        <v>24</v>
      </c>
      <c r="D87" s="43" t="s">
        <v>1049</v>
      </c>
      <c r="E87" s="44">
        <v>34</v>
      </c>
      <c r="F87" s="31">
        <v>6743997.5453808475</v>
      </c>
      <c r="G87" s="31">
        <v>418029.32000000007</v>
      </c>
      <c r="H87" s="31">
        <v>257930.90999999997</v>
      </c>
      <c r="I87" s="31">
        <v>23776.03</v>
      </c>
      <c r="J87" s="31">
        <v>987822.41987919831</v>
      </c>
      <c r="K87" s="31">
        <v>621971.80617919401</v>
      </c>
      <c r="L87" s="31">
        <v>623119.02699683991</v>
      </c>
      <c r="M87" s="31">
        <f t="shared" si="8"/>
        <v>9925320.9084360804</v>
      </c>
      <c r="N87" s="31">
        <v>248673.85</v>
      </c>
      <c r="P87" s="42" t="s">
        <v>23</v>
      </c>
      <c r="Q87" s="42" t="s">
        <v>24</v>
      </c>
      <c r="R87" s="43" t="s">
        <v>1050</v>
      </c>
      <c r="S87" s="44">
        <v>34</v>
      </c>
      <c r="T87" s="31">
        <v>7284132.4583160523</v>
      </c>
      <c r="U87" s="31">
        <v>451496.30999999994</v>
      </c>
      <c r="V87" s="31">
        <v>275918.19999999995</v>
      </c>
      <c r="W87" s="31">
        <v>25423.08</v>
      </c>
      <c r="X87" s="31">
        <v>1051572.7518788683</v>
      </c>
      <c r="Y87" s="31">
        <v>623622.13351329602</v>
      </c>
      <c r="Z87" s="31">
        <v>671322.7120214873</v>
      </c>
      <c r="AA87" s="31">
        <f t="shared" si="9"/>
        <v>10645497.725729704</v>
      </c>
      <c r="AB87" s="31">
        <v>262010.08</v>
      </c>
      <c r="AD87" s="42" t="s">
        <v>23</v>
      </c>
      <c r="AE87" s="42" t="s">
        <v>24</v>
      </c>
      <c r="AF87" s="43" t="s">
        <v>1275</v>
      </c>
      <c r="AG87" s="44">
        <v>34</v>
      </c>
      <c r="AH87" s="31">
        <v>7419649.5810446125</v>
      </c>
      <c r="AI87" s="31">
        <v>459624.27000000014</v>
      </c>
      <c r="AJ87" s="31">
        <v>280939.96000000002</v>
      </c>
      <c r="AK87" s="31">
        <v>25866.33</v>
      </c>
      <c r="AL87" s="31">
        <v>1070855.3665265576</v>
      </c>
      <c r="AM87" s="31">
        <v>622368.32984282065</v>
      </c>
      <c r="AN87" s="31">
        <v>683436.25184793514</v>
      </c>
      <c r="AO87" s="31">
        <f t="shared" si="10"/>
        <v>10829484.399261927</v>
      </c>
      <c r="AP87" s="31">
        <v>266744.30999999994</v>
      </c>
      <c r="AR87" s="42" t="s">
        <v>23</v>
      </c>
      <c r="AS87" s="42" t="s">
        <v>24</v>
      </c>
      <c r="AT87" s="43" t="s">
        <v>1276</v>
      </c>
      <c r="AU87" s="44">
        <v>34</v>
      </c>
      <c r="AV87" s="31">
        <v>7569652.295995649</v>
      </c>
      <c r="AW87" s="31">
        <v>468754.87000000011</v>
      </c>
      <c r="AX87" s="31">
        <v>286741.06</v>
      </c>
      <c r="AY87" s="31">
        <v>26341.040000000005</v>
      </c>
      <c r="AZ87" s="31">
        <v>1092531.376062321</v>
      </c>
      <c r="BA87" s="31">
        <v>622404.15280483419</v>
      </c>
      <c r="BB87" s="31">
        <v>697567.74321812147</v>
      </c>
      <c r="BC87" s="31">
        <f t="shared" si="11"/>
        <v>11036227.258080928</v>
      </c>
      <c r="BD87" s="31">
        <v>272234.71999999997</v>
      </c>
    </row>
    <row r="88" spans="2:56">
      <c r="B88" s="42" t="s">
        <v>381</v>
      </c>
      <c r="C88" s="42" t="s">
        <v>382</v>
      </c>
      <c r="D88" s="43" t="s">
        <v>1049</v>
      </c>
      <c r="E88" s="44">
        <v>34</v>
      </c>
      <c r="F88" s="31">
        <v>60686154.072240017</v>
      </c>
      <c r="G88" s="31">
        <v>3753998.1799999992</v>
      </c>
      <c r="H88" s="31">
        <v>1525998.0000000002</v>
      </c>
      <c r="I88" s="31">
        <v>216079.58999999997</v>
      </c>
      <c r="J88" s="31">
        <v>9534636.2268059608</v>
      </c>
      <c r="K88" s="31">
        <v>4352037.6187080862</v>
      </c>
      <c r="L88" s="31">
        <v>5892881.4533175211</v>
      </c>
      <c r="M88" s="31">
        <f t="shared" si="8"/>
        <v>88187425.481071591</v>
      </c>
      <c r="N88" s="31">
        <v>2225640.3400000003</v>
      </c>
      <c r="P88" s="42" t="s">
        <v>381</v>
      </c>
      <c r="Q88" s="42" t="s">
        <v>382</v>
      </c>
      <c r="R88" s="43" t="s">
        <v>1050</v>
      </c>
      <c r="S88" s="44">
        <v>34</v>
      </c>
      <c r="T88" s="31">
        <v>65599871.882290021</v>
      </c>
      <c r="U88" s="31">
        <v>4051295.64</v>
      </c>
      <c r="V88" s="31">
        <v>1632418.9499999997</v>
      </c>
      <c r="W88" s="31">
        <v>231111.90999999997</v>
      </c>
      <c r="X88" s="31">
        <v>10148663.117796503</v>
      </c>
      <c r="Y88" s="31">
        <v>4362587.0199064761</v>
      </c>
      <c r="Z88" s="31">
        <v>6345369.1410421301</v>
      </c>
      <c r="AA88" s="31">
        <f t="shared" si="9"/>
        <v>94716557.251035124</v>
      </c>
      <c r="AB88" s="31">
        <v>2345239.5900000003</v>
      </c>
      <c r="AD88" s="42" t="s">
        <v>381</v>
      </c>
      <c r="AE88" s="42" t="s">
        <v>382</v>
      </c>
      <c r="AF88" s="43" t="s">
        <v>1275</v>
      </c>
      <c r="AG88" s="44">
        <v>34</v>
      </c>
      <c r="AH88" s="31">
        <v>66825623.047207162</v>
      </c>
      <c r="AI88" s="31">
        <v>4125036.5</v>
      </c>
      <c r="AJ88" s="31">
        <v>1662303.76</v>
      </c>
      <c r="AK88" s="31">
        <v>235392.07000000004</v>
      </c>
      <c r="AL88" s="31">
        <v>10335558.475194853</v>
      </c>
      <c r="AM88" s="31">
        <v>4354484.3690428259</v>
      </c>
      <c r="AN88" s="31">
        <v>6462574.1307083387</v>
      </c>
      <c r="AO88" s="31">
        <f t="shared" si="10"/>
        <v>96389783.762153178</v>
      </c>
      <c r="AP88" s="31">
        <v>2388811.41</v>
      </c>
      <c r="AR88" s="42" t="s">
        <v>381</v>
      </c>
      <c r="AS88" s="42" t="s">
        <v>382</v>
      </c>
      <c r="AT88" s="43" t="s">
        <v>1276</v>
      </c>
      <c r="AU88" s="44">
        <v>34</v>
      </c>
      <c r="AV88" s="31">
        <v>68202579.201601684</v>
      </c>
      <c r="AW88" s="31">
        <v>4207899.76</v>
      </c>
      <c r="AX88" s="31">
        <v>1695966.67</v>
      </c>
      <c r="AY88" s="31">
        <v>240081.77999999997</v>
      </c>
      <c r="AZ88" s="31">
        <v>10545799.696358807</v>
      </c>
      <c r="BA88" s="31">
        <v>4354715.8733532168</v>
      </c>
      <c r="BB88" s="31">
        <v>6594117.5970848203</v>
      </c>
      <c r="BC88" s="31">
        <f t="shared" si="11"/>
        <v>98278805.968398526</v>
      </c>
      <c r="BD88" s="31">
        <v>2437645.3899999997</v>
      </c>
    </row>
    <row r="89" spans="2:56">
      <c r="B89" s="42" t="s">
        <v>465</v>
      </c>
      <c r="C89" s="42" t="s">
        <v>466</v>
      </c>
      <c r="D89" s="43" t="s">
        <v>1049</v>
      </c>
      <c r="E89" s="44">
        <v>34</v>
      </c>
      <c r="F89" s="31">
        <v>6478884.0118916463</v>
      </c>
      <c r="G89" s="31">
        <v>125396.53000000001</v>
      </c>
      <c r="H89" s="31">
        <v>0</v>
      </c>
      <c r="I89" s="31">
        <v>0</v>
      </c>
      <c r="J89" s="31">
        <v>1013986.9416784635</v>
      </c>
      <c r="K89" s="31">
        <v>751013.30936871737</v>
      </c>
      <c r="L89" s="31">
        <v>1114854.5527293922</v>
      </c>
      <c r="M89" s="31">
        <f t="shared" si="8"/>
        <v>9484135.345668219</v>
      </c>
      <c r="N89" s="31">
        <v>0</v>
      </c>
      <c r="P89" s="42" t="s">
        <v>465</v>
      </c>
      <c r="Q89" s="42" t="s">
        <v>466</v>
      </c>
      <c r="R89" s="43" t="s">
        <v>1050</v>
      </c>
      <c r="S89" s="44">
        <v>34</v>
      </c>
      <c r="T89" s="31">
        <v>6929979.1418390069</v>
      </c>
      <c r="U89" s="31">
        <v>134146.72000000003</v>
      </c>
      <c r="V89" s="31">
        <v>0</v>
      </c>
      <c r="W89" s="31">
        <v>0</v>
      </c>
      <c r="X89" s="31">
        <v>1079381.3562185897</v>
      </c>
      <c r="Y89" s="31">
        <v>753052.0757491705</v>
      </c>
      <c r="Z89" s="31">
        <v>1189530.4967184861</v>
      </c>
      <c r="AA89" s="31">
        <f t="shared" si="9"/>
        <v>10086089.790525254</v>
      </c>
      <c r="AB89" s="31">
        <v>0</v>
      </c>
      <c r="AD89" s="42" t="s">
        <v>465</v>
      </c>
      <c r="AE89" s="42" t="s">
        <v>466</v>
      </c>
      <c r="AF89" s="43" t="s">
        <v>1275</v>
      </c>
      <c r="AG89" s="44">
        <v>34</v>
      </c>
      <c r="AH89" s="31">
        <v>7059120.9282526867</v>
      </c>
      <c r="AI89" s="31">
        <v>136606.04999999999</v>
      </c>
      <c r="AJ89" s="31">
        <v>0</v>
      </c>
      <c r="AK89" s="31">
        <v>0</v>
      </c>
      <c r="AL89" s="31">
        <v>1099215.5354160927</v>
      </c>
      <c r="AM89" s="31">
        <v>751503.1631678706</v>
      </c>
      <c r="AN89" s="31">
        <v>1211360.4980967815</v>
      </c>
      <c r="AO89" s="31">
        <f t="shared" si="10"/>
        <v>10257806.174933432</v>
      </c>
      <c r="AP89" s="31">
        <v>0</v>
      </c>
      <c r="AR89" s="42" t="s">
        <v>465</v>
      </c>
      <c r="AS89" s="42" t="s">
        <v>466</v>
      </c>
      <c r="AT89" s="43" t="s">
        <v>1276</v>
      </c>
      <c r="AU89" s="44">
        <v>34</v>
      </c>
      <c r="AV89" s="31">
        <v>7204283.3514538668</v>
      </c>
      <c r="AW89" s="31">
        <v>139347.57</v>
      </c>
      <c r="AX89" s="31">
        <v>0</v>
      </c>
      <c r="AY89" s="31">
        <v>0</v>
      </c>
      <c r="AZ89" s="31">
        <v>1121542.6290060156</v>
      </c>
      <c r="BA89" s="31">
        <v>751547.41781305056</v>
      </c>
      <c r="BB89" s="31">
        <v>1235856.0835737644</v>
      </c>
      <c r="BC89" s="31">
        <f t="shared" si="11"/>
        <v>10452577.051846696</v>
      </c>
      <c r="BD89" s="31">
        <v>0</v>
      </c>
    </row>
    <row r="90" spans="2:56">
      <c r="B90" s="42" t="s">
        <v>567</v>
      </c>
      <c r="C90" s="42" t="s">
        <v>568</v>
      </c>
      <c r="D90" s="43" t="s">
        <v>1049</v>
      </c>
      <c r="E90" s="44">
        <v>34</v>
      </c>
      <c r="F90" s="31">
        <v>2030412.8579348968</v>
      </c>
      <c r="G90" s="31">
        <v>34299.810000000005</v>
      </c>
      <c r="H90" s="31">
        <v>0</v>
      </c>
      <c r="I90" s="31">
        <v>0</v>
      </c>
      <c r="J90" s="31">
        <v>130256.8708251879</v>
      </c>
      <c r="K90" s="31">
        <v>246235.321783847</v>
      </c>
      <c r="L90" s="31">
        <v>43351.06109314035</v>
      </c>
      <c r="M90" s="31">
        <f t="shared" si="8"/>
        <v>2508039.6416370724</v>
      </c>
      <c r="N90" s="31">
        <v>23483.72</v>
      </c>
      <c r="P90" s="42" t="s">
        <v>567</v>
      </c>
      <c r="Q90" s="42" t="s">
        <v>568</v>
      </c>
      <c r="R90" s="43" t="s">
        <v>1050</v>
      </c>
      <c r="S90" s="44">
        <v>34</v>
      </c>
      <c r="T90" s="31">
        <v>2172144.0966143981</v>
      </c>
      <c r="U90" s="31">
        <v>37021.900000000009</v>
      </c>
      <c r="V90" s="31">
        <v>0</v>
      </c>
      <c r="W90" s="31">
        <v>0</v>
      </c>
      <c r="X90" s="31">
        <v>138661.11017942632</v>
      </c>
      <c r="Y90" s="31">
        <v>246574.99529252006</v>
      </c>
      <c r="Z90" s="31">
        <v>46574.962477387831</v>
      </c>
      <c r="AA90" s="31">
        <f t="shared" si="9"/>
        <v>2665696.924563732</v>
      </c>
      <c r="AB90" s="31">
        <v>24719.859999999997</v>
      </c>
      <c r="AD90" s="42" t="s">
        <v>567</v>
      </c>
      <c r="AE90" s="42" t="s">
        <v>568</v>
      </c>
      <c r="AF90" s="43" t="s">
        <v>1275</v>
      </c>
      <c r="AG90" s="44">
        <v>34</v>
      </c>
      <c r="AH90" s="31">
        <v>2210461.3378173602</v>
      </c>
      <c r="AI90" s="31">
        <v>37767.08</v>
      </c>
      <c r="AJ90" s="31">
        <v>0</v>
      </c>
      <c r="AK90" s="31">
        <v>0</v>
      </c>
      <c r="AL90" s="31">
        <v>141189.92855627759</v>
      </c>
      <c r="AM90" s="31">
        <v>246316.93503796504</v>
      </c>
      <c r="AN90" s="31">
        <v>47506.870401874097</v>
      </c>
      <c r="AO90" s="31">
        <f t="shared" si="10"/>
        <v>2708398.8618134768</v>
      </c>
      <c r="AP90" s="31">
        <v>25156.709999999995</v>
      </c>
      <c r="AR90" s="42" t="s">
        <v>567</v>
      </c>
      <c r="AS90" s="42" t="s">
        <v>568</v>
      </c>
      <c r="AT90" s="43" t="s">
        <v>1276</v>
      </c>
      <c r="AU90" s="44">
        <v>34</v>
      </c>
      <c r="AV90" s="31">
        <v>2252620.2452524016</v>
      </c>
      <c r="AW90" s="31">
        <v>38454.040000000008</v>
      </c>
      <c r="AX90" s="31">
        <v>0</v>
      </c>
      <c r="AY90" s="31">
        <v>0</v>
      </c>
      <c r="AZ90" s="31">
        <v>144051.95312209925</v>
      </c>
      <c r="BA90" s="31">
        <v>246324.30818809516</v>
      </c>
      <c r="BB90" s="31">
        <v>48401.307565394178</v>
      </c>
      <c r="BC90" s="31">
        <f t="shared" si="11"/>
        <v>2755476.4341279906</v>
      </c>
      <c r="BD90" s="31">
        <v>25624.579999999998</v>
      </c>
    </row>
    <row r="91" spans="2:56">
      <c r="B91" s="42" t="s">
        <v>259</v>
      </c>
      <c r="C91" s="42" t="s">
        <v>260</v>
      </c>
      <c r="D91" s="43" t="s">
        <v>1049</v>
      </c>
      <c r="E91" s="44">
        <v>34</v>
      </c>
      <c r="F91" s="31">
        <v>1956150.5269975346</v>
      </c>
      <c r="G91" s="31">
        <v>18965.86</v>
      </c>
      <c r="H91" s="31">
        <v>0</v>
      </c>
      <c r="I91" s="31">
        <v>0</v>
      </c>
      <c r="J91" s="31">
        <v>61495.652379815343</v>
      </c>
      <c r="K91" s="31">
        <v>67624.64671058477</v>
      </c>
      <c r="L91" s="31">
        <v>0</v>
      </c>
      <c r="M91" s="31">
        <f t="shared" si="8"/>
        <v>2108978.1460879347</v>
      </c>
      <c r="N91" s="31">
        <v>4741.46</v>
      </c>
      <c r="P91" s="42" t="s">
        <v>259</v>
      </c>
      <c r="Q91" s="42" t="s">
        <v>260</v>
      </c>
      <c r="R91" s="43" t="s">
        <v>1050</v>
      </c>
      <c r="S91" s="44">
        <v>34</v>
      </c>
      <c r="T91" s="31">
        <v>2077837.0104331719</v>
      </c>
      <c r="U91" s="31">
        <v>20268.32</v>
      </c>
      <c r="V91" s="31">
        <v>0</v>
      </c>
      <c r="W91" s="31">
        <v>0</v>
      </c>
      <c r="X91" s="31">
        <v>65143.675393697362</v>
      </c>
      <c r="Y91" s="31">
        <v>67772.046226796025</v>
      </c>
      <c r="Z91" s="31">
        <v>0</v>
      </c>
      <c r="AA91" s="31">
        <f t="shared" si="9"/>
        <v>2235992.5120536652</v>
      </c>
      <c r="AB91" s="31">
        <v>4971.4600000000009</v>
      </c>
      <c r="AD91" s="42" t="s">
        <v>259</v>
      </c>
      <c r="AE91" s="42" t="s">
        <v>260</v>
      </c>
      <c r="AF91" s="43" t="s">
        <v>1275</v>
      </c>
      <c r="AG91" s="44">
        <v>34</v>
      </c>
      <c r="AH91" s="31">
        <v>2113936.0562657323</v>
      </c>
      <c r="AI91" s="31">
        <v>20622.25</v>
      </c>
      <c r="AJ91" s="31">
        <v>0</v>
      </c>
      <c r="AK91" s="31">
        <v>0</v>
      </c>
      <c r="AL91" s="31">
        <v>66291.79584698641</v>
      </c>
      <c r="AM91" s="31">
        <v>67660.062349032465</v>
      </c>
      <c r="AN91" s="31">
        <v>0</v>
      </c>
      <c r="AO91" s="31">
        <f t="shared" si="10"/>
        <v>2273569.8544617514</v>
      </c>
      <c r="AP91" s="31">
        <v>5059.6900000000005</v>
      </c>
      <c r="AR91" s="42" t="s">
        <v>259</v>
      </c>
      <c r="AS91" s="42" t="s">
        <v>260</v>
      </c>
      <c r="AT91" s="43" t="s">
        <v>1276</v>
      </c>
      <c r="AU91" s="44">
        <v>34</v>
      </c>
      <c r="AV91" s="31">
        <v>2152597.6078636223</v>
      </c>
      <c r="AW91" s="31">
        <v>21001.289999999997</v>
      </c>
      <c r="AX91" s="31">
        <v>0</v>
      </c>
      <c r="AY91" s="31">
        <v>0</v>
      </c>
      <c r="AZ91" s="31">
        <v>67521.430800331436</v>
      </c>
      <c r="BA91" s="31">
        <v>67663.26188839713</v>
      </c>
      <c r="BB91" s="31">
        <v>0</v>
      </c>
      <c r="BC91" s="31">
        <f t="shared" si="11"/>
        <v>2313937.7905523507</v>
      </c>
      <c r="BD91" s="31">
        <v>5154.2000000000007</v>
      </c>
    </row>
    <row r="92" spans="2:56">
      <c r="B92" s="42" t="s">
        <v>265</v>
      </c>
      <c r="C92" s="42" t="s">
        <v>266</v>
      </c>
      <c r="D92" s="43" t="s">
        <v>1049</v>
      </c>
      <c r="E92" s="44">
        <v>34</v>
      </c>
      <c r="F92" s="31">
        <v>18534781.405275632</v>
      </c>
      <c r="G92" s="31">
        <v>825827.14999999991</v>
      </c>
      <c r="H92" s="31">
        <v>108843.53000000001</v>
      </c>
      <c r="I92" s="31">
        <v>0</v>
      </c>
      <c r="J92" s="31">
        <v>2616339.1519687646</v>
      </c>
      <c r="K92" s="31">
        <v>513964.93255708745</v>
      </c>
      <c r="L92" s="31">
        <v>953505.55392894894</v>
      </c>
      <c r="M92" s="31">
        <f t="shared" si="8"/>
        <v>23709072.653730433</v>
      </c>
      <c r="N92" s="31">
        <v>155810.93000000002</v>
      </c>
      <c r="P92" s="42" t="s">
        <v>265</v>
      </c>
      <c r="Q92" s="42" t="s">
        <v>266</v>
      </c>
      <c r="R92" s="43" t="s">
        <v>1050</v>
      </c>
      <c r="S92" s="44">
        <v>34</v>
      </c>
      <c r="T92" s="31">
        <v>19972866.576124683</v>
      </c>
      <c r="U92" s="31">
        <v>886286.25</v>
      </c>
      <c r="V92" s="31">
        <v>116531.06999999999</v>
      </c>
      <c r="W92" s="31">
        <v>0</v>
      </c>
      <c r="X92" s="31">
        <v>2785339.8427613038</v>
      </c>
      <c r="Y92" s="31">
        <v>515479.41401047137</v>
      </c>
      <c r="Z92" s="31">
        <v>1026719.1893372668</v>
      </c>
      <c r="AA92" s="31">
        <f t="shared" si="9"/>
        <v>25467272.312233727</v>
      </c>
      <c r="AB92" s="31">
        <v>164049.96999999997</v>
      </c>
      <c r="AD92" s="42" t="s">
        <v>265</v>
      </c>
      <c r="AE92" s="42" t="s">
        <v>266</v>
      </c>
      <c r="AF92" s="43" t="s">
        <v>1275</v>
      </c>
      <c r="AG92" s="44">
        <v>34</v>
      </c>
      <c r="AH92" s="31">
        <v>20449800.216873664</v>
      </c>
      <c r="AI92" s="31">
        <v>902441.8600000001</v>
      </c>
      <c r="AJ92" s="31">
        <v>118562.77</v>
      </c>
      <c r="AK92" s="31">
        <v>0</v>
      </c>
      <c r="AL92" s="31">
        <v>2836465.2990040998</v>
      </c>
      <c r="AM92" s="31">
        <v>514328.81657087139</v>
      </c>
      <c r="AN92" s="31">
        <v>1045656.9198700076</v>
      </c>
      <c r="AO92" s="31">
        <f t="shared" si="10"/>
        <v>26034412.87231864</v>
      </c>
      <c r="AP92" s="31">
        <v>167156.99</v>
      </c>
      <c r="AR92" s="42" t="s">
        <v>265</v>
      </c>
      <c r="AS92" s="42" t="s">
        <v>266</v>
      </c>
      <c r="AT92" s="43" t="s">
        <v>1276</v>
      </c>
      <c r="AU92" s="44">
        <v>34</v>
      </c>
      <c r="AV92" s="31">
        <v>20973322.029255129</v>
      </c>
      <c r="AW92" s="31">
        <v>920471.53999999992</v>
      </c>
      <c r="AX92" s="31">
        <v>120953.76000000001</v>
      </c>
      <c r="AY92" s="31">
        <v>0</v>
      </c>
      <c r="AZ92" s="31">
        <v>2893992.3313755956</v>
      </c>
      <c r="BA92" s="31">
        <v>514361.6907834314</v>
      </c>
      <c r="BB92" s="31">
        <v>1066824.1082702028</v>
      </c>
      <c r="BC92" s="31">
        <f t="shared" si="11"/>
        <v>26660403.059684359</v>
      </c>
      <c r="BD92" s="31">
        <v>170477.59999999998</v>
      </c>
    </row>
    <row r="93" spans="2:56">
      <c r="B93" s="42" t="s">
        <v>139</v>
      </c>
      <c r="C93" s="42" t="s">
        <v>140</v>
      </c>
      <c r="D93" s="43" t="s">
        <v>1049</v>
      </c>
      <c r="E93" s="44">
        <v>34</v>
      </c>
      <c r="F93" s="31">
        <v>5988564.7930151904</v>
      </c>
      <c r="G93" s="31">
        <v>329258.97000000009</v>
      </c>
      <c r="H93" s="31">
        <v>0</v>
      </c>
      <c r="I93" s="31">
        <v>20170.64</v>
      </c>
      <c r="J93" s="31">
        <v>870886.80414785841</v>
      </c>
      <c r="K93" s="31">
        <v>483437.74882389733</v>
      </c>
      <c r="L93" s="31">
        <v>300792.25297684624</v>
      </c>
      <c r="M93" s="31">
        <f t="shared" si="8"/>
        <v>8198033.288963791</v>
      </c>
      <c r="N93" s="31">
        <v>204922.08</v>
      </c>
      <c r="P93" s="42" t="s">
        <v>139</v>
      </c>
      <c r="Q93" s="42" t="s">
        <v>140</v>
      </c>
      <c r="R93" s="43" t="s">
        <v>1050</v>
      </c>
      <c r="S93" s="44">
        <v>34</v>
      </c>
      <c r="T93" s="31">
        <v>6461353.8302275995</v>
      </c>
      <c r="U93" s="31">
        <v>355714.76000000013</v>
      </c>
      <c r="V93" s="31">
        <v>0</v>
      </c>
      <c r="W93" s="31">
        <v>21583.65</v>
      </c>
      <c r="X93" s="31">
        <v>927080.30848557397</v>
      </c>
      <c r="Y93" s="31">
        <v>484573.47526121599</v>
      </c>
      <c r="Z93" s="31">
        <v>323870.67402589263</v>
      </c>
      <c r="AA93" s="31">
        <f t="shared" si="9"/>
        <v>8790117.9380002823</v>
      </c>
      <c r="AB93" s="31">
        <v>215941.24</v>
      </c>
      <c r="AD93" s="42" t="s">
        <v>139</v>
      </c>
      <c r="AE93" s="42" t="s">
        <v>140</v>
      </c>
      <c r="AF93" s="43" t="s">
        <v>1275</v>
      </c>
      <c r="AG93" s="44">
        <v>34</v>
      </c>
      <c r="AH93" s="31">
        <v>6582197.02567406</v>
      </c>
      <c r="AI93" s="31">
        <v>362183.72</v>
      </c>
      <c r="AJ93" s="31">
        <v>0</v>
      </c>
      <c r="AK93" s="31">
        <v>21959.969999999998</v>
      </c>
      <c r="AL93" s="31">
        <v>944076.74051634048</v>
      </c>
      <c r="AM93" s="31">
        <v>483710.62948126602</v>
      </c>
      <c r="AN93" s="31">
        <v>329824.78324979258</v>
      </c>
      <c r="AO93" s="31">
        <f t="shared" si="10"/>
        <v>8943814.2189214565</v>
      </c>
      <c r="AP93" s="31">
        <v>219861.35</v>
      </c>
      <c r="AR93" s="42" t="s">
        <v>139</v>
      </c>
      <c r="AS93" s="42" t="s">
        <v>140</v>
      </c>
      <c r="AT93" s="43" t="s">
        <v>1276</v>
      </c>
      <c r="AU93" s="44">
        <v>34</v>
      </c>
      <c r="AV93" s="31">
        <v>6716978.2605579989</v>
      </c>
      <c r="AW93" s="31">
        <v>369428.38000000012</v>
      </c>
      <c r="AX93" s="31">
        <v>0</v>
      </c>
      <c r="AY93" s="31">
        <v>22470.52</v>
      </c>
      <c r="AZ93" s="31">
        <v>963181.44980426307</v>
      </c>
      <c r="BA93" s="31">
        <v>483735.28221783601</v>
      </c>
      <c r="BB93" s="31">
        <v>336441.38027114689</v>
      </c>
      <c r="BC93" s="31">
        <f t="shared" si="11"/>
        <v>9116609.2128512431</v>
      </c>
      <c r="BD93" s="31">
        <v>224373.93999999997</v>
      </c>
    </row>
    <row r="94" spans="2:56">
      <c r="B94" s="42" t="s">
        <v>593</v>
      </c>
      <c r="C94" s="42" t="s">
        <v>594</v>
      </c>
      <c r="D94" s="43" t="s">
        <v>1049</v>
      </c>
      <c r="E94" s="44">
        <v>34</v>
      </c>
      <c r="F94" s="31">
        <v>27605209.846428059</v>
      </c>
      <c r="G94" s="31">
        <v>1863105.0100000002</v>
      </c>
      <c r="H94" s="31">
        <v>1724346.56</v>
      </c>
      <c r="I94" s="31">
        <v>98417.150000000009</v>
      </c>
      <c r="J94" s="31">
        <v>4371075.3524244875</v>
      </c>
      <c r="K94" s="31">
        <v>1176908.6340059193</v>
      </c>
      <c r="L94" s="31">
        <v>2832168.8244953472</v>
      </c>
      <c r="M94" s="31">
        <f t="shared" si="8"/>
        <v>40689118.147353813</v>
      </c>
      <c r="N94" s="31">
        <v>1017886.77</v>
      </c>
      <c r="P94" s="42" t="s">
        <v>593</v>
      </c>
      <c r="Q94" s="42" t="s">
        <v>594</v>
      </c>
      <c r="R94" s="43" t="s">
        <v>1050</v>
      </c>
      <c r="S94" s="44">
        <v>34</v>
      </c>
      <c r="T94" s="31">
        <v>29849231.867443811</v>
      </c>
      <c r="U94" s="31">
        <v>2010791.37</v>
      </c>
      <c r="V94" s="31">
        <v>1845300.21</v>
      </c>
      <c r="W94" s="31">
        <v>105324.17</v>
      </c>
      <c r="X94" s="31">
        <v>4653144.2687371885</v>
      </c>
      <c r="Y94" s="31">
        <v>1178994.9824993587</v>
      </c>
      <c r="Z94" s="31">
        <v>3049814.7070037117</v>
      </c>
      <c r="AA94" s="31">
        <f t="shared" si="9"/>
        <v>43764851.005684078</v>
      </c>
      <c r="AB94" s="31">
        <v>1072249.4300000002</v>
      </c>
      <c r="AD94" s="42" t="s">
        <v>593</v>
      </c>
      <c r="AE94" s="42" t="s">
        <v>594</v>
      </c>
      <c r="AF94" s="43" t="s">
        <v>1275</v>
      </c>
      <c r="AG94" s="44">
        <v>34</v>
      </c>
      <c r="AH94" s="31">
        <v>30402525.88327124</v>
      </c>
      <c r="AI94" s="31">
        <v>2047085.82</v>
      </c>
      <c r="AJ94" s="31">
        <v>1878950.81</v>
      </c>
      <c r="AK94" s="31">
        <v>107266.04999999999</v>
      </c>
      <c r="AL94" s="31">
        <v>4738412.9280087948</v>
      </c>
      <c r="AM94" s="31">
        <v>1177409.9203453779</v>
      </c>
      <c r="AN94" s="31">
        <v>3105842.4865012225</v>
      </c>
      <c r="AO94" s="31">
        <f t="shared" si="10"/>
        <v>44549523.908126637</v>
      </c>
      <c r="AP94" s="31">
        <v>1092030.01</v>
      </c>
      <c r="AR94" s="42" t="s">
        <v>593</v>
      </c>
      <c r="AS94" s="42" t="s">
        <v>594</v>
      </c>
      <c r="AT94" s="43" t="s">
        <v>1276</v>
      </c>
      <c r="AU94" s="44">
        <v>34</v>
      </c>
      <c r="AV94" s="31">
        <v>31024330.405417606</v>
      </c>
      <c r="AW94" s="31">
        <v>2087964.6300000004</v>
      </c>
      <c r="AX94" s="31">
        <v>1916660.12</v>
      </c>
      <c r="AY94" s="31">
        <v>109342.19999999998</v>
      </c>
      <c r="AZ94" s="31">
        <v>4834326.2448907737</v>
      </c>
      <c r="BA94" s="31">
        <v>1177455.2078354915</v>
      </c>
      <c r="BB94" s="31">
        <v>3168798.9604664985</v>
      </c>
      <c r="BC94" s="31">
        <f t="shared" si="11"/>
        <v>45433123.558610365</v>
      </c>
      <c r="BD94" s="31">
        <v>1114245.79</v>
      </c>
    </row>
    <row r="95" spans="2:56">
      <c r="B95" s="42" t="s">
        <v>601</v>
      </c>
      <c r="C95" s="42" t="s">
        <v>602</v>
      </c>
      <c r="D95" s="43" t="s">
        <v>1049</v>
      </c>
      <c r="E95" s="44">
        <v>34</v>
      </c>
      <c r="F95" s="31">
        <v>11098922.818280533</v>
      </c>
      <c r="G95" s="31">
        <v>825632.24000000011</v>
      </c>
      <c r="H95" s="31">
        <v>901052.95</v>
      </c>
      <c r="I95" s="31">
        <v>40828.519999999997</v>
      </c>
      <c r="J95" s="31">
        <v>1842467.0536756071</v>
      </c>
      <c r="K95" s="31">
        <v>534062.38875469787</v>
      </c>
      <c r="L95" s="31">
        <v>1658149.3210313136</v>
      </c>
      <c r="M95" s="31">
        <f t="shared" si="8"/>
        <v>17311836.411742151</v>
      </c>
      <c r="N95" s="31">
        <v>410721.12</v>
      </c>
      <c r="P95" s="42" t="s">
        <v>601</v>
      </c>
      <c r="Q95" s="42" t="s">
        <v>602</v>
      </c>
      <c r="R95" s="43" t="s">
        <v>1050</v>
      </c>
      <c r="S95" s="44">
        <v>34</v>
      </c>
      <c r="T95" s="31">
        <v>12003634.536449496</v>
      </c>
      <c r="U95" s="31">
        <v>890441.71</v>
      </c>
      <c r="V95" s="31">
        <v>964209.04999999993</v>
      </c>
      <c r="W95" s="31">
        <v>43686.19000000001</v>
      </c>
      <c r="X95" s="31">
        <v>1961353.5504059508</v>
      </c>
      <c r="Y95" s="31">
        <v>535362.47559881082</v>
      </c>
      <c r="Z95" s="31">
        <v>1785379.267116952</v>
      </c>
      <c r="AA95" s="31">
        <f t="shared" si="9"/>
        <v>18616766.449571211</v>
      </c>
      <c r="AB95" s="31">
        <v>432699.67</v>
      </c>
      <c r="AD95" s="42" t="s">
        <v>601</v>
      </c>
      <c r="AE95" s="42" t="s">
        <v>602</v>
      </c>
      <c r="AF95" s="43" t="s">
        <v>1275</v>
      </c>
      <c r="AG95" s="44">
        <v>34</v>
      </c>
      <c r="AH95" s="31">
        <v>12225119.591839351</v>
      </c>
      <c r="AI95" s="31">
        <v>906502.01999999979</v>
      </c>
      <c r="AJ95" s="31">
        <v>981758.92000000016</v>
      </c>
      <c r="AK95" s="31">
        <v>44553.43</v>
      </c>
      <c r="AL95" s="31">
        <v>1997281.9851170653</v>
      </c>
      <c r="AM95" s="31">
        <v>534374.76023871079</v>
      </c>
      <c r="AN95" s="31">
        <v>1818084.9941357276</v>
      </c>
      <c r="AO95" s="31">
        <f t="shared" si="10"/>
        <v>18948333.991330851</v>
      </c>
      <c r="AP95" s="31">
        <v>440658.29</v>
      </c>
      <c r="AR95" s="42" t="s">
        <v>601</v>
      </c>
      <c r="AS95" s="42" t="s">
        <v>602</v>
      </c>
      <c r="AT95" s="43" t="s">
        <v>1276</v>
      </c>
      <c r="AU95" s="44">
        <v>34</v>
      </c>
      <c r="AV95" s="31">
        <v>12473578.163923664</v>
      </c>
      <c r="AW95" s="31">
        <v>924654.75999999978</v>
      </c>
      <c r="AX95" s="31">
        <v>1001497.12</v>
      </c>
      <c r="AY95" s="31">
        <v>45478.630000000005</v>
      </c>
      <c r="AZ95" s="31">
        <v>2037720.6930698585</v>
      </c>
      <c r="BA95" s="31">
        <v>534402.98067757068</v>
      </c>
      <c r="BB95" s="31">
        <v>1855059.6969366707</v>
      </c>
      <c r="BC95" s="31">
        <f t="shared" si="11"/>
        <v>19321986.994607762</v>
      </c>
      <c r="BD95" s="31">
        <v>449594.95</v>
      </c>
    </row>
    <row r="96" spans="2:56">
      <c r="B96" s="42" t="s">
        <v>447</v>
      </c>
      <c r="C96" s="42" t="s">
        <v>448</v>
      </c>
      <c r="D96" s="43" t="s">
        <v>1049</v>
      </c>
      <c r="E96" s="44">
        <v>34</v>
      </c>
      <c r="F96" s="31">
        <v>18571884.828790981</v>
      </c>
      <c r="G96" s="31">
        <v>688808.70000000007</v>
      </c>
      <c r="H96" s="31">
        <v>139227.29</v>
      </c>
      <c r="I96" s="31">
        <v>67242.899999999994</v>
      </c>
      <c r="J96" s="31">
        <v>3208117.1660679472</v>
      </c>
      <c r="K96" s="31">
        <v>1596233.6024708068</v>
      </c>
      <c r="L96" s="31">
        <v>1972302.8211859725</v>
      </c>
      <c r="M96" s="31">
        <f t="shared" si="8"/>
        <v>26306103.208515704</v>
      </c>
      <c r="N96" s="31">
        <v>62285.9</v>
      </c>
      <c r="P96" s="42" t="s">
        <v>447</v>
      </c>
      <c r="Q96" s="42" t="s">
        <v>448</v>
      </c>
      <c r="R96" s="43" t="s">
        <v>1050</v>
      </c>
      <c r="S96" s="44">
        <v>34</v>
      </c>
      <c r="T96" s="31">
        <v>19866107.791285213</v>
      </c>
      <c r="U96" s="31">
        <v>737509.77</v>
      </c>
      <c r="V96" s="31">
        <v>148847.63</v>
      </c>
      <c r="W96" s="31">
        <v>71900.969999999987</v>
      </c>
      <c r="X96" s="31">
        <v>3414370.2905161828</v>
      </c>
      <c r="Y96" s="31">
        <v>1599363.7912223609</v>
      </c>
      <c r="Z96" s="31">
        <v>2103087.9714728296</v>
      </c>
      <c r="AA96" s="31">
        <f t="shared" si="9"/>
        <v>28006859.314496584</v>
      </c>
      <c r="AB96" s="31">
        <v>65671.099999999991</v>
      </c>
      <c r="AD96" s="42" t="s">
        <v>447</v>
      </c>
      <c r="AE96" s="42" t="s">
        <v>448</v>
      </c>
      <c r="AF96" s="43" t="s">
        <v>1275</v>
      </c>
      <c r="AG96" s="44">
        <v>34</v>
      </c>
      <c r="AH96" s="31">
        <v>20249456.740293249</v>
      </c>
      <c r="AI96" s="31">
        <v>751110.61</v>
      </c>
      <c r="AJ96" s="31">
        <v>151594.42000000001</v>
      </c>
      <c r="AK96" s="31">
        <v>73288.149999999994</v>
      </c>
      <c r="AL96" s="31">
        <v>3477568.959682086</v>
      </c>
      <c r="AM96" s="31">
        <v>1596935.250691511</v>
      </c>
      <c r="AN96" s="31">
        <v>2142048.0130968592</v>
      </c>
      <c r="AO96" s="31">
        <f t="shared" si="10"/>
        <v>28508847.913763702</v>
      </c>
      <c r="AP96" s="31">
        <v>66845.76999999999</v>
      </c>
      <c r="AR96" s="42" t="s">
        <v>447</v>
      </c>
      <c r="AS96" s="42" t="s">
        <v>448</v>
      </c>
      <c r="AT96" s="43" t="s">
        <v>1276</v>
      </c>
      <c r="AU96" s="44">
        <v>34</v>
      </c>
      <c r="AV96" s="31">
        <v>20677988.946473956</v>
      </c>
      <c r="AW96" s="31">
        <v>766372.29</v>
      </c>
      <c r="AX96" s="31">
        <v>154651.19</v>
      </c>
      <c r="AY96" s="31">
        <v>74769.860000000015</v>
      </c>
      <c r="AZ96" s="31">
        <v>3548609.8218859043</v>
      </c>
      <c r="BA96" s="31">
        <v>1597004.6375638209</v>
      </c>
      <c r="BB96" s="31">
        <v>2185586.7491702335</v>
      </c>
      <c r="BC96" s="31">
        <f t="shared" si="11"/>
        <v>29073204.555093911</v>
      </c>
      <c r="BD96" s="31">
        <v>68221.059999999983</v>
      </c>
    </row>
    <row r="97" spans="2:56">
      <c r="B97" s="42" t="s">
        <v>315</v>
      </c>
      <c r="C97" s="42" t="s">
        <v>316</v>
      </c>
      <c r="D97" s="43" t="s">
        <v>1049</v>
      </c>
      <c r="E97" s="44">
        <v>34</v>
      </c>
      <c r="F97" s="31">
        <v>1912066.7698928902</v>
      </c>
      <c r="G97" s="31">
        <v>60901.709999999992</v>
      </c>
      <c r="H97" s="31">
        <v>0</v>
      </c>
      <c r="I97" s="31">
        <v>6041.4600000000009</v>
      </c>
      <c r="J97" s="31">
        <v>223096.85187945142</v>
      </c>
      <c r="K97" s="31">
        <v>145464.32756712576</v>
      </c>
      <c r="L97" s="31">
        <v>0</v>
      </c>
      <c r="M97" s="31">
        <f t="shared" si="8"/>
        <v>2347571.119339467</v>
      </c>
      <c r="N97" s="31">
        <v>0</v>
      </c>
      <c r="P97" s="42" t="s">
        <v>315</v>
      </c>
      <c r="Q97" s="42" t="s">
        <v>316</v>
      </c>
      <c r="R97" s="43" t="s">
        <v>1050</v>
      </c>
      <c r="S97" s="44">
        <v>34</v>
      </c>
      <c r="T97" s="31">
        <v>2045552.3492916296</v>
      </c>
      <c r="U97" s="31">
        <v>65166.079999999987</v>
      </c>
      <c r="V97" s="31">
        <v>0</v>
      </c>
      <c r="W97" s="31">
        <v>6433.5899999999992</v>
      </c>
      <c r="X97" s="31">
        <v>237473.37389434714</v>
      </c>
      <c r="Y97" s="31">
        <v>145772.87300653968</v>
      </c>
      <c r="Z97" s="31">
        <v>0</v>
      </c>
      <c r="AA97" s="31">
        <f t="shared" si="9"/>
        <v>2500398.2661925168</v>
      </c>
      <c r="AB97" s="31">
        <v>0</v>
      </c>
      <c r="AD97" s="42" t="s">
        <v>315</v>
      </c>
      <c r="AE97" s="42" t="s">
        <v>316</v>
      </c>
      <c r="AF97" s="43" t="s">
        <v>1275</v>
      </c>
      <c r="AG97" s="44">
        <v>34</v>
      </c>
      <c r="AH97" s="31">
        <v>2082909.7333341967</v>
      </c>
      <c r="AI97" s="31">
        <v>66302.23</v>
      </c>
      <c r="AJ97" s="31">
        <v>0</v>
      </c>
      <c r="AK97" s="31">
        <v>6545.76</v>
      </c>
      <c r="AL97" s="31">
        <v>241829.05625790777</v>
      </c>
      <c r="AM97" s="31">
        <v>145538.46168918966</v>
      </c>
      <c r="AN97" s="31">
        <v>0</v>
      </c>
      <c r="AO97" s="31">
        <f t="shared" si="10"/>
        <v>2543125.2412812938</v>
      </c>
      <c r="AP97" s="31">
        <v>0</v>
      </c>
      <c r="AR97" s="42" t="s">
        <v>315</v>
      </c>
      <c r="AS97" s="42" t="s">
        <v>316</v>
      </c>
      <c r="AT97" s="43" t="s">
        <v>1276</v>
      </c>
      <c r="AU97" s="44">
        <v>34</v>
      </c>
      <c r="AV97" s="31">
        <v>2124714.2563191261</v>
      </c>
      <c r="AW97" s="31">
        <v>67626.59</v>
      </c>
      <c r="AX97" s="31">
        <v>0</v>
      </c>
      <c r="AY97" s="31">
        <v>6665.8899999999994</v>
      </c>
      <c r="AZ97" s="31">
        <v>246717.93341467637</v>
      </c>
      <c r="BA97" s="31">
        <v>145545.15915539968</v>
      </c>
      <c r="BB97" s="31">
        <v>0</v>
      </c>
      <c r="BC97" s="31">
        <f t="shared" si="11"/>
        <v>2591269.8288892019</v>
      </c>
      <c r="BD97" s="31">
        <v>0</v>
      </c>
    </row>
    <row r="98" spans="2:56">
      <c r="B98" s="42" t="s">
        <v>455</v>
      </c>
      <c r="C98" s="42" t="s">
        <v>456</v>
      </c>
      <c r="D98" s="43" t="s">
        <v>1049</v>
      </c>
      <c r="E98" s="44">
        <v>34</v>
      </c>
      <c r="F98" s="31">
        <v>423367.89391142561</v>
      </c>
      <c r="G98" s="31">
        <v>7600.5400000000009</v>
      </c>
      <c r="H98" s="31">
        <v>0</v>
      </c>
      <c r="I98" s="31">
        <v>0</v>
      </c>
      <c r="J98" s="31">
        <v>26174.992485148319</v>
      </c>
      <c r="K98" s="31">
        <v>155905.36294333485</v>
      </c>
      <c r="L98" s="31">
        <v>0</v>
      </c>
      <c r="M98" s="31">
        <f t="shared" si="8"/>
        <v>613048.78933990875</v>
      </c>
      <c r="N98" s="31">
        <v>0</v>
      </c>
      <c r="P98" s="42" t="s">
        <v>455</v>
      </c>
      <c r="Q98" s="42" t="s">
        <v>456</v>
      </c>
      <c r="R98" s="43" t="s">
        <v>1050</v>
      </c>
      <c r="S98" s="44">
        <v>34</v>
      </c>
      <c r="T98" s="31">
        <v>449760.1762298824</v>
      </c>
      <c r="U98" s="31">
        <v>8093.87</v>
      </c>
      <c r="V98" s="31">
        <v>0</v>
      </c>
      <c r="W98" s="31">
        <v>0</v>
      </c>
      <c r="X98" s="31">
        <v>27723.544549261431</v>
      </c>
      <c r="Y98" s="31">
        <v>156418.88774412469</v>
      </c>
      <c r="Z98" s="31">
        <v>0</v>
      </c>
      <c r="AA98" s="31">
        <f t="shared" si="9"/>
        <v>641996.4785232686</v>
      </c>
      <c r="AB98" s="31">
        <v>0</v>
      </c>
      <c r="AD98" s="42" t="s">
        <v>455</v>
      </c>
      <c r="AE98" s="42" t="s">
        <v>456</v>
      </c>
      <c r="AF98" s="43" t="s">
        <v>1275</v>
      </c>
      <c r="AG98" s="44">
        <v>34</v>
      </c>
      <c r="AH98" s="31">
        <v>457587.2019526551</v>
      </c>
      <c r="AI98" s="31">
        <v>8234.98</v>
      </c>
      <c r="AJ98" s="31">
        <v>0</v>
      </c>
      <c r="AK98" s="31">
        <v>0</v>
      </c>
      <c r="AL98" s="31">
        <v>28209.609919720784</v>
      </c>
      <c r="AM98" s="31">
        <v>156028.74739632467</v>
      </c>
      <c r="AN98" s="31">
        <v>0</v>
      </c>
      <c r="AO98" s="31">
        <f t="shared" si="10"/>
        <v>650060.53926870052</v>
      </c>
      <c r="AP98" s="31">
        <v>0</v>
      </c>
      <c r="AR98" s="42" t="s">
        <v>455</v>
      </c>
      <c r="AS98" s="42" t="s">
        <v>456</v>
      </c>
      <c r="AT98" s="43" t="s">
        <v>1276</v>
      </c>
      <c r="AU98" s="44">
        <v>34</v>
      </c>
      <c r="AV98" s="31">
        <v>465970.37465254462</v>
      </c>
      <c r="AW98" s="31">
        <v>8386.119999999999</v>
      </c>
      <c r="AX98" s="31">
        <v>0</v>
      </c>
      <c r="AY98" s="31">
        <v>0</v>
      </c>
      <c r="AZ98" s="31">
        <v>28730.179534109611</v>
      </c>
      <c r="BA98" s="31">
        <v>156039.89426340468</v>
      </c>
      <c r="BB98" s="31">
        <v>0</v>
      </c>
      <c r="BC98" s="31">
        <f t="shared" si="11"/>
        <v>659126.56845005893</v>
      </c>
      <c r="BD98" s="31">
        <v>0</v>
      </c>
    </row>
    <row r="99" spans="2:56">
      <c r="B99" s="42" t="s">
        <v>1023</v>
      </c>
      <c r="C99" s="42" t="s">
        <v>1041</v>
      </c>
      <c r="D99" s="43" t="s">
        <v>1049</v>
      </c>
      <c r="E99" s="44">
        <v>34</v>
      </c>
      <c r="F99" s="31">
        <v>2651337.9339300469</v>
      </c>
      <c r="G99" s="31">
        <v>0</v>
      </c>
      <c r="H99" s="31">
        <v>46184.36</v>
      </c>
      <c r="I99" s="31">
        <v>0</v>
      </c>
      <c r="J99" s="31">
        <v>197015.1047303337</v>
      </c>
      <c r="K99" s="31">
        <v>443653.05</v>
      </c>
      <c r="L99" s="31">
        <v>0</v>
      </c>
      <c r="M99" s="31">
        <f t="shared" si="8"/>
        <v>3338190.4486603802</v>
      </c>
      <c r="N99" s="31">
        <v>0</v>
      </c>
      <c r="P99" s="42" t="s">
        <v>1023</v>
      </c>
      <c r="Q99" s="42" t="s">
        <v>1041</v>
      </c>
      <c r="R99" s="43" t="s">
        <v>1050</v>
      </c>
      <c r="S99" s="44">
        <v>34</v>
      </c>
      <c r="T99" s="31">
        <v>2829796.9972536424</v>
      </c>
      <c r="U99" s="31">
        <v>0</v>
      </c>
      <c r="V99" s="31">
        <v>49252.5</v>
      </c>
      <c r="W99" s="31">
        <v>0</v>
      </c>
      <c r="X99" s="31">
        <v>209696.62872216242</v>
      </c>
      <c r="Y99" s="31">
        <v>443653.05</v>
      </c>
      <c r="Z99" s="31">
        <v>0</v>
      </c>
      <c r="AA99" s="31">
        <f t="shared" si="9"/>
        <v>3532399.1759758047</v>
      </c>
      <c r="AB99" s="31">
        <v>0</v>
      </c>
      <c r="AD99" s="42" t="s">
        <v>1023</v>
      </c>
      <c r="AE99" s="42" t="s">
        <v>1041</v>
      </c>
      <c r="AF99" s="43" t="s">
        <v>1275</v>
      </c>
      <c r="AG99" s="44">
        <v>34</v>
      </c>
      <c r="AH99" s="31">
        <v>2880237.1425473355</v>
      </c>
      <c r="AI99" s="31">
        <v>0</v>
      </c>
      <c r="AJ99" s="31">
        <v>50250.05</v>
      </c>
      <c r="AK99" s="31">
        <v>0</v>
      </c>
      <c r="AL99" s="31">
        <v>213604.47776349922</v>
      </c>
      <c r="AM99" s="31">
        <v>443653.05</v>
      </c>
      <c r="AN99" s="31">
        <v>0</v>
      </c>
      <c r="AO99" s="31">
        <f t="shared" si="10"/>
        <v>3587744.7203108342</v>
      </c>
      <c r="AP99" s="31">
        <v>0</v>
      </c>
      <c r="AR99" s="42" t="s">
        <v>1023</v>
      </c>
      <c r="AS99" s="42" t="s">
        <v>1041</v>
      </c>
      <c r="AT99" s="43" t="s">
        <v>1276</v>
      </c>
      <c r="AU99" s="44">
        <v>34</v>
      </c>
      <c r="AV99" s="31">
        <v>2935699.4313017726</v>
      </c>
      <c r="AW99" s="31">
        <v>0</v>
      </c>
      <c r="AX99" s="31">
        <v>51189.75</v>
      </c>
      <c r="AY99" s="31">
        <v>0</v>
      </c>
      <c r="AZ99" s="31">
        <v>217983.85461095345</v>
      </c>
      <c r="BA99" s="31">
        <v>443653.05</v>
      </c>
      <c r="BB99" s="31">
        <v>0</v>
      </c>
      <c r="BC99" s="31">
        <f t="shared" si="11"/>
        <v>3648526.0859127259</v>
      </c>
      <c r="BD99" s="31">
        <v>0</v>
      </c>
    </row>
    <row r="100" spans="2:56">
      <c r="B100" s="42" t="s">
        <v>61</v>
      </c>
      <c r="C100" s="42" t="s">
        <v>62</v>
      </c>
      <c r="D100" s="43" t="s">
        <v>1049</v>
      </c>
      <c r="E100" s="44">
        <v>34</v>
      </c>
      <c r="F100" s="31">
        <v>1361698.2623225916</v>
      </c>
      <c r="G100" s="31">
        <v>48526.47</v>
      </c>
      <c r="H100" s="31">
        <v>0</v>
      </c>
      <c r="I100" s="31">
        <v>4287.4900000000007</v>
      </c>
      <c r="J100" s="31">
        <v>186065.36220417946</v>
      </c>
      <c r="K100" s="31">
        <v>182148.95969046818</v>
      </c>
      <c r="L100" s="31">
        <v>0</v>
      </c>
      <c r="M100" s="31">
        <f t="shared" si="8"/>
        <v>1782726.5442172391</v>
      </c>
      <c r="N100" s="31">
        <v>0</v>
      </c>
      <c r="P100" s="42" t="s">
        <v>61</v>
      </c>
      <c r="Q100" s="42" t="s">
        <v>62</v>
      </c>
      <c r="R100" s="43" t="s">
        <v>1050</v>
      </c>
      <c r="S100" s="44">
        <v>34</v>
      </c>
      <c r="T100" s="31">
        <v>1477137.4047740537</v>
      </c>
      <c r="U100" s="31">
        <v>51987.6</v>
      </c>
      <c r="V100" s="31">
        <v>0</v>
      </c>
      <c r="W100" s="31">
        <v>4565.7799999999988</v>
      </c>
      <c r="X100" s="31">
        <v>198063.20538692124</v>
      </c>
      <c r="Y100" s="31">
        <v>182477.67993639701</v>
      </c>
      <c r="Z100" s="31">
        <v>0</v>
      </c>
      <c r="AA100" s="31">
        <f t="shared" si="9"/>
        <v>1914231.670097372</v>
      </c>
      <c r="AB100" s="31">
        <v>0</v>
      </c>
      <c r="AD100" s="42" t="s">
        <v>61</v>
      </c>
      <c r="AE100" s="42" t="s">
        <v>62</v>
      </c>
      <c r="AF100" s="43" t="s">
        <v>1275</v>
      </c>
      <c r="AG100" s="44">
        <v>34</v>
      </c>
      <c r="AH100" s="31">
        <v>1503902.3267658236</v>
      </c>
      <c r="AI100" s="31">
        <v>52894.01</v>
      </c>
      <c r="AJ100" s="31">
        <v>0</v>
      </c>
      <c r="AK100" s="31">
        <v>4645.3799999999992</v>
      </c>
      <c r="AL100" s="31">
        <v>201692.91534084425</v>
      </c>
      <c r="AM100" s="31">
        <v>182227.94120736516</v>
      </c>
      <c r="AN100" s="31">
        <v>0</v>
      </c>
      <c r="AO100" s="31">
        <f t="shared" si="10"/>
        <v>1945362.573314033</v>
      </c>
      <c r="AP100" s="31">
        <v>0</v>
      </c>
      <c r="AR100" s="42" t="s">
        <v>61</v>
      </c>
      <c r="AS100" s="42" t="s">
        <v>62</v>
      </c>
      <c r="AT100" s="43" t="s">
        <v>1276</v>
      </c>
      <c r="AU100" s="44">
        <v>34</v>
      </c>
      <c r="AV100" s="31">
        <v>1534368.5654420634</v>
      </c>
      <c r="AW100" s="31">
        <v>53972.26</v>
      </c>
      <c r="AX100" s="31">
        <v>0</v>
      </c>
      <c r="AY100" s="31">
        <v>4730.6299999999992</v>
      </c>
      <c r="AZ100" s="31">
        <v>205759.38372263539</v>
      </c>
      <c r="BA100" s="31">
        <v>182235.07659962322</v>
      </c>
      <c r="BB100" s="31">
        <v>0</v>
      </c>
      <c r="BC100" s="31">
        <f t="shared" si="11"/>
        <v>1981065.915764322</v>
      </c>
      <c r="BD100" s="31">
        <v>0</v>
      </c>
    </row>
    <row r="101" spans="2:56">
      <c r="B101" s="42" t="s">
        <v>517</v>
      </c>
      <c r="C101" s="42" t="s">
        <v>518</v>
      </c>
      <c r="D101" s="43" t="s">
        <v>1049</v>
      </c>
      <c r="E101" s="44">
        <v>34</v>
      </c>
      <c r="F101" s="31">
        <v>5266566.7732619513</v>
      </c>
      <c r="G101" s="31">
        <v>64312.21</v>
      </c>
      <c r="H101" s="31">
        <v>3410.5</v>
      </c>
      <c r="I101" s="31">
        <v>16955.04</v>
      </c>
      <c r="J101" s="31">
        <v>795840.51088336494</v>
      </c>
      <c r="K101" s="31">
        <v>692073.33428741153</v>
      </c>
      <c r="L101" s="31">
        <v>0</v>
      </c>
      <c r="M101" s="31">
        <f t="shared" si="8"/>
        <v>6839158.3684327276</v>
      </c>
      <c r="N101" s="31">
        <v>0</v>
      </c>
      <c r="P101" s="42" t="s">
        <v>517</v>
      </c>
      <c r="Q101" s="42" t="s">
        <v>518</v>
      </c>
      <c r="R101" s="43" t="s">
        <v>1050</v>
      </c>
      <c r="S101" s="44">
        <v>34</v>
      </c>
      <c r="T101" s="31">
        <v>5633713.8963757902</v>
      </c>
      <c r="U101" s="31">
        <v>68901.73</v>
      </c>
      <c r="V101" s="31">
        <v>3631.88</v>
      </c>
      <c r="W101" s="31">
        <v>18055.560000000001</v>
      </c>
      <c r="X101" s="31">
        <v>847156.47746772331</v>
      </c>
      <c r="Y101" s="31">
        <v>693799.25128785963</v>
      </c>
      <c r="Z101" s="31">
        <v>0</v>
      </c>
      <c r="AA101" s="31">
        <f t="shared" si="9"/>
        <v>7265258.7951313732</v>
      </c>
      <c r="AB101" s="31">
        <v>0</v>
      </c>
      <c r="AD101" s="42" t="s">
        <v>517</v>
      </c>
      <c r="AE101" s="42" t="s">
        <v>518</v>
      </c>
      <c r="AF101" s="43" t="s">
        <v>1275</v>
      </c>
      <c r="AG101" s="44">
        <v>34</v>
      </c>
      <c r="AH101" s="31">
        <v>5736606.9666517209</v>
      </c>
      <c r="AI101" s="31">
        <v>70103.009999999995</v>
      </c>
      <c r="AJ101" s="31">
        <v>3695.21</v>
      </c>
      <c r="AK101" s="31">
        <v>18475.949999999997</v>
      </c>
      <c r="AL101" s="31">
        <v>862654.7856764911</v>
      </c>
      <c r="AM101" s="31">
        <v>692488.01985795959</v>
      </c>
      <c r="AN101" s="31">
        <v>0</v>
      </c>
      <c r="AO101" s="31">
        <f t="shared" si="10"/>
        <v>7384023.9421861721</v>
      </c>
      <c r="AP101" s="31">
        <v>0</v>
      </c>
      <c r="AR101" s="42" t="s">
        <v>517</v>
      </c>
      <c r="AS101" s="42" t="s">
        <v>518</v>
      </c>
      <c r="AT101" s="43" t="s">
        <v>1276</v>
      </c>
      <c r="AU101" s="44">
        <v>34</v>
      </c>
      <c r="AV101" s="31">
        <v>5852509.1240413925</v>
      </c>
      <c r="AW101" s="31">
        <v>71497.119999999995</v>
      </c>
      <c r="AX101" s="31">
        <v>3763.02</v>
      </c>
      <c r="AY101" s="31">
        <v>18815.019999999997</v>
      </c>
      <c r="AZ101" s="31">
        <v>880101.67799289781</v>
      </c>
      <c r="BA101" s="31">
        <v>692525.48361309967</v>
      </c>
      <c r="BB101" s="31">
        <v>0</v>
      </c>
      <c r="BC101" s="31">
        <f t="shared" si="11"/>
        <v>7519211.4456473896</v>
      </c>
      <c r="BD101" s="31">
        <v>0</v>
      </c>
    </row>
    <row r="102" spans="2:56">
      <c r="B102" s="42" t="s">
        <v>309</v>
      </c>
      <c r="C102" s="42" t="s">
        <v>310</v>
      </c>
      <c r="D102" s="43" t="s">
        <v>1049</v>
      </c>
      <c r="E102" s="44">
        <v>34</v>
      </c>
      <c r="F102" s="31">
        <v>2191834.168591762</v>
      </c>
      <c r="G102" s="31">
        <v>37729.950000000004</v>
      </c>
      <c r="H102" s="31">
        <v>0</v>
      </c>
      <c r="I102" s="31">
        <v>0</v>
      </c>
      <c r="J102" s="31">
        <v>149848.77340297698</v>
      </c>
      <c r="K102" s="31">
        <v>260521.41208158573</v>
      </c>
      <c r="L102" s="31">
        <v>49739.174243028814</v>
      </c>
      <c r="M102" s="31">
        <f t="shared" si="8"/>
        <v>2723065.4683193536</v>
      </c>
      <c r="N102" s="31">
        <v>33391.99</v>
      </c>
      <c r="P102" s="42" t="s">
        <v>309</v>
      </c>
      <c r="Q102" s="42" t="s">
        <v>310</v>
      </c>
      <c r="R102" s="43" t="s">
        <v>1050</v>
      </c>
      <c r="S102" s="44">
        <v>34</v>
      </c>
      <c r="T102" s="31">
        <v>2342149.1176184537</v>
      </c>
      <c r="U102" s="31">
        <v>40925.569999999992</v>
      </c>
      <c r="V102" s="31">
        <v>0</v>
      </c>
      <c r="W102" s="31">
        <v>0</v>
      </c>
      <c r="X102" s="31">
        <v>159508.11425145995</v>
      </c>
      <c r="Y102" s="31">
        <v>261077.12710753229</v>
      </c>
      <c r="Z102" s="31">
        <v>53670.258240295414</v>
      </c>
      <c r="AA102" s="31">
        <f t="shared" si="9"/>
        <v>2892553.5472177411</v>
      </c>
      <c r="AB102" s="31">
        <v>35223.360000000001</v>
      </c>
      <c r="AD102" s="42" t="s">
        <v>309</v>
      </c>
      <c r="AE102" s="42" t="s">
        <v>310</v>
      </c>
      <c r="AF102" s="43" t="s">
        <v>1275</v>
      </c>
      <c r="AG102" s="44">
        <v>34</v>
      </c>
      <c r="AH102" s="31">
        <v>2383936.7883725502</v>
      </c>
      <c r="AI102" s="31">
        <v>41634.420000000013</v>
      </c>
      <c r="AJ102" s="31">
        <v>0</v>
      </c>
      <c r="AK102" s="31">
        <v>0</v>
      </c>
      <c r="AL102" s="31">
        <v>162436.82278108745</v>
      </c>
      <c r="AM102" s="31">
        <v>260654.93356757661</v>
      </c>
      <c r="AN102" s="31">
        <v>54624.099430837246</v>
      </c>
      <c r="AO102" s="31">
        <f t="shared" si="10"/>
        <v>2939135.594152051</v>
      </c>
      <c r="AP102" s="31">
        <v>35848.53</v>
      </c>
      <c r="AR102" s="42" t="s">
        <v>309</v>
      </c>
      <c r="AS102" s="42" t="s">
        <v>310</v>
      </c>
      <c r="AT102" s="43" t="s">
        <v>1276</v>
      </c>
      <c r="AU102" s="44">
        <v>34</v>
      </c>
      <c r="AV102" s="31">
        <v>2429000.5454840693</v>
      </c>
      <c r="AW102" s="31">
        <v>42506.540000000015</v>
      </c>
      <c r="AX102" s="31">
        <v>0</v>
      </c>
      <c r="AY102" s="31">
        <v>0</v>
      </c>
      <c r="AZ102" s="31">
        <v>165742.3298412615</v>
      </c>
      <c r="BA102" s="31">
        <v>260666.99624014678</v>
      </c>
      <c r="BB102" s="31">
        <v>55917.852905793377</v>
      </c>
      <c r="BC102" s="31">
        <f t="shared" si="11"/>
        <v>2990462.0044712713</v>
      </c>
      <c r="BD102" s="31">
        <v>36627.74</v>
      </c>
    </row>
    <row r="103" spans="2:56">
      <c r="B103" s="42" t="s">
        <v>599</v>
      </c>
      <c r="C103" s="42" t="s">
        <v>600</v>
      </c>
      <c r="D103" s="43" t="s">
        <v>1049</v>
      </c>
      <c r="E103" s="44">
        <v>34</v>
      </c>
      <c r="F103" s="31">
        <v>8419137.9696160853</v>
      </c>
      <c r="G103" s="31">
        <v>529893.59000000008</v>
      </c>
      <c r="H103" s="31">
        <v>484192.93</v>
      </c>
      <c r="I103" s="31">
        <v>28940.489999999998</v>
      </c>
      <c r="J103" s="31">
        <v>1156986.6995734496</v>
      </c>
      <c r="K103" s="31">
        <v>779634.85062575317</v>
      </c>
      <c r="L103" s="31">
        <v>411352.38187223196</v>
      </c>
      <c r="M103" s="31">
        <f t="shared" si="8"/>
        <v>12115719.30168752</v>
      </c>
      <c r="N103" s="31">
        <v>305580.39</v>
      </c>
      <c r="P103" s="42" t="s">
        <v>599</v>
      </c>
      <c r="Q103" s="42" t="s">
        <v>600</v>
      </c>
      <c r="R103" s="43" t="s">
        <v>1050</v>
      </c>
      <c r="S103" s="44">
        <v>34</v>
      </c>
      <c r="T103" s="31">
        <v>9098741.4964308199</v>
      </c>
      <c r="U103" s="31">
        <v>572193.19999999995</v>
      </c>
      <c r="V103" s="31">
        <v>518215.66999999993</v>
      </c>
      <c r="W103" s="31">
        <v>31026.53</v>
      </c>
      <c r="X103" s="31">
        <v>1231671.4965134035</v>
      </c>
      <c r="Y103" s="31">
        <v>781509.5259048508</v>
      </c>
      <c r="Z103" s="31">
        <v>442942.91073263856</v>
      </c>
      <c r="AA103" s="31">
        <f t="shared" si="9"/>
        <v>12998169.749581711</v>
      </c>
      <c r="AB103" s="31">
        <v>321868.92</v>
      </c>
      <c r="AD103" s="42" t="s">
        <v>599</v>
      </c>
      <c r="AE103" s="42" t="s">
        <v>600</v>
      </c>
      <c r="AF103" s="43" t="s">
        <v>1275</v>
      </c>
      <c r="AG103" s="44">
        <v>34</v>
      </c>
      <c r="AH103" s="31">
        <v>9266522.770399902</v>
      </c>
      <c r="AI103" s="31">
        <v>582518.50000000012</v>
      </c>
      <c r="AJ103" s="31">
        <v>527672.97000000009</v>
      </c>
      <c r="AK103" s="31">
        <v>31567.46</v>
      </c>
      <c r="AL103" s="31">
        <v>1254235.0310874654</v>
      </c>
      <c r="AM103" s="31">
        <v>780085.27830420074</v>
      </c>
      <c r="AN103" s="31">
        <v>451155.84928720247</v>
      </c>
      <c r="AO103" s="31">
        <f t="shared" si="10"/>
        <v>13221522.779078772</v>
      </c>
      <c r="AP103" s="31">
        <v>327764.92000000004</v>
      </c>
      <c r="AR103" s="42" t="s">
        <v>599</v>
      </c>
      <c r="AS103" s="42" t="s">
        <v>600</v>
      </c>
      <c r="AT103" s="43" t="s">
        <v>1276</v>
      </c>
      <c r="AU103" s="44">
        <v>34</v>
      </c>
      <c r="AV103" s="31">
        <v>9455184.5273050703</v>
      </c>
      <c r="AW103" s="31">
        <v>594213.73999999976</v>
      </c>
      <c r="AX103" s="31">
        <v>538217.34000000008</v>
      </c>
      <c r="AY103" s="31">
        <v>32254.33</v>
      </c>
      <c r="AZ103" s="31">
        <v>1279634.3887688043</v>
      </c>
      <c r="BA103" s="31">
        <v>780125.97109279083</v>
      </c>
      <c r="BB103" s="31">
        <v>460248.10156052397</v>
      </c>
      <c r="BC103" s="31">
        <f t="shared" si="11"/>
        <v>13474374.488727188</v>
      </c>
      <c r="BD103" s="31">
        <v>334496.09000000003</v>
      </c>
    </row>
    <row r="104" spans="2:56">
      <c r="B104" s="42" t="s">
        <v>191</v>
      </c>
      <c r="C104" s="42" t="s">
        <v>192</v>
      </c>
      <c r="D104" s="43" t="s">
        <v>1049</v>
      </c>
      <c r="E104" s="44">
        <v>34</v>
      </c>
      <c r="F104" s="31">
        <v>161308633.97328416</v>
      </c>
      <c r="G104" s="31">
        <v>9008211.1300000008</v>
      </c>
      <c r="H104" s="31">
        <v>9977970.0399999991</v>
      </c>
      <c r="I104" s="31">
        <v>572731.39</v>
      </c>
      <c r="J104" s="31">
        <v>25266163.584082298</v>
      </c>
      <c r="K104" s="31">
        <v>6904016.4027555939</v>
      </c>
      <c r="L104" s="31">
        <v>11936036.557593139</v>
      </c>
      <c r="M104" s="31">
        <f t="shared" si="8"/>
        <v>230216875.05771515</v>
      </c>
      <c r="N104" s="31">
        <v>5243111.9800000004</v>
      </c>
      <c r="P104" s="42" t="s">
        <v>191</v>
      </c>
      <c r="Q104" s="42" t="s">
        <v>192</v>
      </c>
      <c r="R104" s="43" t="s">
        <v>1050</v>
      </c>
      <c r="S104" s="44">
        <v>34</v>
      </c>
      <c r="T104" s="31">
        <v>174238085.1714268</v>
      </c>
      <c r="U104" s="31">
        <v>9707426.5400000028</v>
      </c>
      <c r="V104" s="31">
        <v>10666891.789999999</v>
      </c>
      <c r="W104" s="31">
        <v>612292.76</v>
      </c>
      <c r="X104" s="31">
        <v>26887988.987847369</v>
      </c>
      <c r="Y104" s="31">
        <v>6921671.5824304568</v>
      </c>
      <c r="Z104" s="31">
        <v>12846940.045146514</v>
      </c>
      <c r="AA104" s="31">
        <f t="shared" si="9"/>
        <v>247409112.36685112</v>
      </c>
      <c r="AB104" s="31">
        <v>5527815.4899999993</v>
      </c>
      <c r="AD104" s="42" t="s">
        <v>191</v>
      </c>
      <c r="AE104" s="42" t="s">
        <v>192</v>
      </c>
      <c r="AF104" s="43" t="s">
        <v>1275</v>
      </c>
      <c r="AG104" s="44">
        <v>34</v>
      </c>
      <c r="AH104" s="31">
        <v>177563665.76775673</v>
      </c>
      <c r="AI104" s="31">
        <v>9886180.5200000033</v>
      </c>
      <c r="AJ104" s="31">
        <v>10864647.189999999</v>
      </c>
      <c r="AK104" s="31">
        <v>623662.98999999987</v>
      </c>
      <c r="AL104" s="31">
        <v>27387690.188745718</v>
      </c>
      <c r="AM104" s="31">
        <v>6907845.5115018561</v>
      </c>
      <c r="AN104" s="31">
        <v>13086121.877598261</v>
      </c>
      <c r="AO104" s="31">
        <f t="shared" si="10"/>
        <v>251951239.53560257</v>
      </c>
      <c r="AP104" s="31">
        <v>5631425.4899999993</v>
      </c>
      <c r="AR104" s="42" t="s">
        <v>191</v>
      </c>
      <c r="AS104" s="42" t="s">
        <v>192</v>
      </c>
      <c r="AT104" s="43" t="s">
        <v>1276</v>
      </c>
      <c r="AU104" s="44">
        <v>34</v>
      </c>
      <c r="AV104" s="31">
        <v>181292652.49095735</v>
      </c>
      <c r="AW104" s="31">
        <v>10087167.23</v>
      </c>
      <c r="AX104" s="31">
        <v>11086879.259999998</v>
      </c>
      <c r="AY104" s="31">
        <v>636322.31000000017</v>
      </c>
      <c r="AZ104" s="31">
        <v>27949541.826995898</v>
      </c>
      <c r="BA104" s="31">
        <v>6908240.5420998167</v>
      </c>
      <c r="BB104" s="31">
        <v>13354860.700487876</v>
      </c>
      <c r="BC104" s="31">
        <f t="shared" si="11"/>
        <v>257063568.84054092</v>
      </c>
      <c r="BD104" s="31">
        <v>5747904.4799999995</v>
      </c>
    </row>
    <row r="105" spans="2:56">
      <c r="B105" s="42" t="s">
        <v>57</v>
      </c>
      <c r="C105" s="42" t="s">
        <v>58</v>
      </c>
      <c r="D105" s="43" t="s">
        <v>1049</v>
      </c>
      <c r="E105" s="44">
        <v>34</v>
      </c>
      <c r="F105" s="31">
        <v>16791089.01800067</v>
      </c>
      <c r="G105" s="31">
        <v>228699.63</v>
      </c>
      <c r="H105" s="31">
        <v>114708.91</v>
      </c>
      <c r="I105" s="31">
        <v>56738.860000000008</v>
      </c>
      <c r="J105" s="31">
        <v>1730041.8072024474</v>
      </c>
      <c r="K105" s="31">
        <v>1336694.0039319897</v>
      </c>
      <c r="L105" s="31">
        <v>467849.77252552868</v>
      </c>
      <c r="M105" s="31">
        <f t="shared" si="8"/>
        <v>20725822.001660634</v>
      </c>
      <c r="N105" s="31">
        <v>0</v>
      </c>
      <c r="P105" s="42" t="s">
        <v>57</v>
      </c>
      <c r="Q105" s="42" t="s">
        <v>58</v>
      </c>
      <c r="R105" s="43" t="s">
        <v>1050</v>
      </c>
      <c r="S105" s="44">
        <v>34</v>
      </c>
      <c r="T105" s="31">
        <v>17959188.926284909</v>
      </c>
      <c r="U105" s="31">
        <v>244655.32</v>
      </c>
      <c r="V105" s="31">
        <v>122655.31999999999</v>
      </c>
      <c r="W105" s="31">
        <v>60617.73</v>
      </c>
      <c r="X105" s="31">
        <v>1841470.7258615026</v>
      </c>
      <c r="Y105" s="31">
        <v>1339762.9157851913</v>
      </c>
      <c r="Z105" s="31">
        <v>498690.32477999048</v>
      </c>
      <c r="AA105" s="31">
        <f t="shared" si="9"/>
        <v>22067041.262711592</v>
      </c>
      <c r="AB105" s="31">
        <v>0</v>
      </c>
      <c r="AD105" s="42" t="s">
        <v>57</v>
      </c>
      <c r="AE105" s="42" t="s">
        <v>58</v>
      </c>
      <c r="AF105" s="43" t="s">
        <v>1275</v>
      </c>
      <c r="AG105" s="44">
        <v>34</v>
      </c>
      <c r="AH105" s="31">
        <v>18295186.12625172</v>
      </c>
      <c r="AI105" s="31">
        <v>249062.16999999998</v>
      </c>
      <c r="AJ105" s="31">
        <v>124808.92000000001</v>
      </c>
      <c r="AK105" s="31">
        <v>61793.200000000004</v>
      </c>
      <c r="AL105" s="31">
        <v>1875395.9930769578</v>
      </c>
      <c r="AM105" s="31">
        <v>1337405.7847205764</v>
      </c>
      <c r="AN105" s="31">
        <v>508021.81513594324</v>
      </c>
      <c r="AO105" s="31">
        <f t="shared" si="10"/>
        <v>22451674.009185202</v>
      </c>
      <c r="AP105" s="31">
        <v>0</v>
      </c>
      <c r="AR105" s="42" t="s">
        <v>57</v>
      </c>
      <c r="AS105" s="42" t="s">
        <v>58</v>
      </c>
      <c r="AT105" s="43" t="s">
        <v>1276</v>
      </c>
      <c r="AU105" s="44">
        <v>34</v>
      </c>
      <c r="AV105" s="31">
        <v>18672339.037415091</v>
      </c>
      <c r="AW105" s="31">
        <v>254117.67999999996</v>
      </c>
      <c r="AX105" s="31">
        <v>127455.02</v>
      </c>
      <c r="AY105" s="31">
        <v>63048.350000000013</v>
      </c>
      <c r="AZ105" s="31">
        <v>1913536.4704265567</v>
      </c>
      <c r="BA105" s="31">
        <v>1337473.1313224225</v>
      </c>
      <c r="BB105" s="31">
        <v>518532.55740632251</v>
      </c>
      <c r="BC105" s="31">
        <f t="shared" si="11"/>
        <v>22886502.24657039</v>
      </c>
      <c r="BD105" s="31">
        <v>0</v>
      </c>
    </row>
    <row r="106" spans="2:56">
      <c r="B106" s="42" t="s">
        <v>325</v>
      </c>
      <c r="C106" s="42" t="s">
        <v>326</v>
      </c>
      <c r="D106" s="43" t="s">
        <v>1049</v>
      </c>
      <c r="E106" s="44">
        <v>34</v>
      </c>
      <c r="F106" s="31">
        <v>2651079.6708279261</v>
      </c>
      <c r="G106" s="31">
        <v>150451.59000000003</v>
      </c>
      <c r="H106" s="31">
        <v>0</v>
      </c>
      <c r="I106" s="31">
        <v>8477.5300000000007</v>
      </c>
      <c r="J106" s="31">
        <v>330567.63728040882</v>
      </c>
      <c r="K106" s="31">
        <v>523766.02213386068</v>
      </c>
      <c r="L106" s="31">
        <v>0</v>
      </c>
      <c r="M106" s="31">
        <f t="shared" si="8"/>
        <v>3749507.3902421952</v>
      </c>
      <c r="N106" s="31">
        <v>85164.939999999988</v>
      </c>
      <c r="P106" s="42" t="s">
        <v>325</v>
      </c>
      <c r="Q106" s="42" t="s">
        <v>326</v>
      </c>
      <c r="R106" s="43" t="s">
        <v>1050</v>
      </c>
      <c r="S106" s="44">
        <v>34</v>
      </c>
      <c r="T106" s="31">
        <v>2876393.8916614112</v>
      </c>
      <c r="U106" s="31">
        <v>162469.29999999999</v>
      </c>
      <c r="V106" s="31">
        <v>0</v>
      </c>
      <c r="W106" s="31">
        <v>9027.8000000000011</v>
      </c>
      <c r="X106" s="31">
        <v>351891.5150754053</v>
      </c>
      <c r="Y106" s="31">
        <v>524922.19267910055</v>
      </c>
      <c r="Z106" s="31">
        <v>0</v>
      </c>
      <c r="AA106" s="31">
        <f t="shared" si="9"/>
        <v>4014390.7894159164</v>
      </c>
      <c r="AB106" s="31">
        <v>89686.09</v>
      </c>
      <c r="AD106" s="42" t="s">
        <v>325</v>
      </c>
      <c r="AE106" s="42" t="s">
        <v>326</v>
      </c>
      <c r="AF106" s="43" t="s">
        <v>1275</v>
      </c>
      <c r="AG106" s="44">
        <v>34</v>
      </c>
      <c r="AH106" s="31">
        <v>2929000.6920967801</v>
      </c>
      <c r="AI106" s="31">
        <v>165387.84</v>
      </c>
      <c r="AJ106" s="31">
        <v>0</v>
      </c>
      <c r="AK106" s="31">
        <v>9185.19</v>
      </c>
      <c r="AL106" s="31">
        <v>358330.12176695734</v>
      </c>
      <c r="AM106" s="31">
        <v>524043.81489103218</v>
      </c>
      <c r="AN106" s="31">
        <v>0</v>
      </c>
      <c r="AO106" s="31">
        <f t="shared" si="10"/>
        <v>4077322.6587547697</v>
      </c>
      <c r="AP106" s="31">
        <v>91375</v>
      </c>
      <c r="AR106" s="42" t="s">
        <v>325</v>
      </c>
      <c r="AS106" s="42" t="s">
        <v>326</v>
      </c>
      <c r="AT106" s="43" t="s">
        <v>1276</v>
      </c>
      <c r="AU106" s="44">
        <v>34</v>
      </c>
      <c r="AV106" s="31">
        <v>2988171.652186241</v>
      </c>
      <c r="AW106" s="31">
        <v>168619.00000000003</v>
      </c>
      <c r="AX106" s="31">
        <v>0</v>
      </c>
      <c r="AY106" s="31">
        <v>9353.7699999999986</v>
      </c>
      <c r="AZ106" s="31">
        <v>365573.393213387</v>
      </c>
      <c r="BA106" s="31">
        <v>524068.91139926272</v>
      </c>
      <c r="BB106" s="31">
        <v>0</v>
      </c>
      <c r="BC106" s="31">
        <f t="shared" si="11"/>
        <v>4149072.9267988913</v>
      </c>
      <c r="BD106" s="31">
        <v>93286.199999999983</v>
      </c>
    </row>
    <row r="107" spans="2:56">
      <c r="B107" s="42" t="s">
        <v>143</v>
      </c>
      <c r="C107" s="42" t="s">
        <v>144</v>
      </c>
      <c r="D107" s="43" t="s">
        <v>1049</v>
      </c>
      <c r="E107" s="44">
        <v>34</v>
      </c>
      <c r="F107" s="31">
        <v>12407152.958058584</v>
      </c>
      <c r="G107" s="31">
        <v>748262.73</v>
      </c>
      <c r="H107" s="31">
        <v>153277.43000000002</v>
      </c>
      <c r="I107" s="31">
        <v>44044.12</v>
      </c>
      <c r="J107" s="31">
        <v>1946280.1728292361</v>
      </c>
      <c r="K107" s="31">
        <v>1082271.6148795504</v>
      </c>
      <c r="L107" s="31">
        <v>1277782.3855893856</v>
      </c>
      <c r="M107" s="31">
        <f t="shared" si="8"/>
        <v>18111303.121356759</v>
      </c>
      <c r="N107" s="31">
        <v>452231.71</v>
      </c>
      <c r="P107" s="42" t="s">
        <v>143</v>
      </c>
      <c r="Q107" s="42" t="s">
        <v>144</v>
      </c>
      <c r="R107" s="43" t="s">
        <v>1050</v>
      </c>
      <c r="S107" s="44">
        <v>34</v>
      </c>
      <c r="T107" s="31">
        <v>13410432.467681115</v>
      </c>
      <c r="U107" s="31">
        <v>808326.6100000001</v>
      </c>
      <c r="V107" s="31">
        <v>164056.66999999998</v>
      </c>
      <c r="W107" s="31">
        <v>47110.51</v>
      </c>
      <c r="X107" s="31">
        <v>2071867.529680067</v>
      </c>
      <c r="Y107" s="31">
        <v>1084473.6655442494</v>
      </c>
      <c r="Z107" s="31">
        <v>1375972.7715780903</v>
      </c>
      <c r="AA107" s="31">
        <f t="shared" si="9"/>
        <v>19438557.184483521</v>
      </c>
      <c r="AB107" s="31">
        <v>476316.95999999996</v>
      </c>
      <c r="AD107" s="42" t="s">
        <v>143</v>
      </c>
      <c r="AE107" s="42" t="s">
        <v>144</v>
      </c>
      <c r="AF107" s="43" t="s">
        <v>1275</v>
      </c>
      <c r="AG107" s="44">
        <v>34</v>
      </c>
      <c r="AH107" s="31">
        <v>13668315.021636255</v>
      </c>
      <c r="AI107" s="31">
        <v>822841.00999999978</v>
      </c>
      <c r="AJ107" s="31">
        <v>167128.11999999997</v>
      </c>
      <c r="AK107" s="31">
        <v>47931.880000000005</v>
      </c>
      <c r="AL107" s="31">
        <v>2109844.7906240826</v>
      </c>
      <c r="AM107" s="31">
        <v>1082800.7009456991</v>
      </c>
      <c r="AN107" s="31">
        <v>1401232.2279981752</v>
      </c>
      <c r="AO107" s="31">
        <f t="shared" si="10"/>
        <v>19785244.071204212</v>
      </c>
      <c r="AP107" s="31">
        <v>485150.32</v>
      </c>
      <c r="AR107" s="42" t="s">
        <v>143</v>
      </c>
      <c r="AS107" s="42" t="s">
        <v>144</v>
      </c>
      <c r="AT107" s="43" t="s">
        <v>1276</v>
      </c>
      <c r="AU107" s="44">
        <v>34</v>
      </c>
      <c r="AV107" s="31">
        <v>13957277.856045721</v>
      </c>
      <c r="AW107" s="31">
        <v>839341.49999999977</v>
      </c>
      <c r="AX107" s="31">
        <v>170410.40999999997</v>
      </c>
      <c r="AY107" s="31">
        <v>48919.08</v>
      </c>
      <c r="AZ107" s="31">
        <v>2152570.7296964736</v>
      </c>
      <c r="BA107" s="31">
        <v>1082848.4999342293</v>
      </c>
      <c r="BB107" s="31">
        <v>1429825.134572878</v>
      </c>
      <c r="BC107" s="31">
        <f t="shared" si="11"/>
        <v>20176213.570249304</v>
      </c>
      <c r="BD107" s="31">
        <v>495020.36000000004</v>
      </c>
    </row>
    <row r="108" spans="2:56">
      <c r="B108" s="42" t="s">
        <v>1315</v>
      </c>
      <c r="C108" s="42" t="s">
        <v>1316</v>
      </c>
      <c r="D108" s="43" t="s">
        <v>1049</v>
      </c>
      <c r="E108" s="44">
        <v>34</v>
      </c>
      <c r="F108" s="31">
        <v>2829301.0156453652</v>
      </c>
      <c r="G108" s="31">
        <v>94937.479999999981</v>
      </c>
      <c r="H108" s="31">
        <v>41488.01</v>
      </c>
      <c r="I108" s="31">
        <v>0</v>
      </c>
      <c r="J108" s="31">
        <v>28920.383798683935</v>
      </c>
      <c r="K108" s="31">
        <v>78040.08</v>
      </c>
      <c r="L108" s="31">
        <v>0</v>
      </c>
      <c r="M108" s="31">
        <f t="shared" si="8"/>
        <v>3157063.8794440492</v>
      </c>
      <c r="N108" s="31">
        <v>84376.91</v>
      </c>
      <c r="P108" s="42" t="s">
        <v>1315</v>
      </c>
      <c r="Q108" s="42" t="s">
        <v>1316</v>
      </c>
      <c r="R108" s="43" t="s">
        <v>1050</v>
      </c>
      <c r="S108" s="44">
        <v>34</v>
      </c>
      <c r="T108" s="31">
        <v>3062459.0135822631</v>
      </c>
      <c r="U108" s="31">
        <v>102780.40000000001</v>
      </c>
      <c r="V108" s="31">
        <v>44379.07</v>
      </c>
      <c r="W108" s="31">
        <v>0</v>
      </c>
      <c r="X108" s="31">
        <v>30769.919593654697</v>
      </c>
      <c r="Y108" s="31">
        <v>78040.08</v>
      </c>
      <c r="Z108" s="31">
        <v>0</v>
      </c>
      <c r="AA108" s="31">
        <f t="shared" si="9"/>
        <v>3407384.0031759175</v>
      </c>
      <c r="AB108" s="31">
        <v>88955.520000000004</v>
      </c>
      <c r="AD108" s="42" t="s">
        <v>1315</v>
      </c>
      <c r="AE108" s="42" t="s">
        <v>1316</v>
      </c>
      <c r="AF108" s="43" t="s">
        <v>1275</v>
      </c>
      <c r="AG108" s="44">
        <v>34</v>
      </c>
      <c r="AH108" s="31">
        <v>3118963.6468598265</v>
      </c>
      <c r="AI108" s="31">
        <v>104695.48000000001</v>
      </c>
      <c r="AJ108" s="31">
        <v>45163.24</v>
      </c>
      <c r="AK108" s="31">
        <v>0</v>
      </c>
      <c r="AL108" s="31">
        <v>31338.221019760105</v>
      </c>
      <c r="AM108" s="31">
        <v>78040.08</v>
      </c>
      <c r="AN108" s="31">
        <v>0</v>
      </c>
      <c r="AO108" s="31">
        <f t="shared" si="10"/>
        <v>3468862.417879587</v>
      </c>
      <c r="AP108" s="31">
        <v>90661.75</v>
      </c>
      <c r="AR108" s="42" t="s">
        <v>1315</v>
      </c>
      <c r="AS108" s="42" t="s">
        <v>1316</v>
      </c>
      <c r="AT108" s="43" t="s">
        <v>1276</v>
      </c>
      <c r="AU108" s="44">
        <v>34</v>
      </c>
      <c r="AV108" s="31">
        <v>3182376.5101941032</v>
      </c>
      <c r="AW108" s="31">
        <v>106742.56999999999</v>
      </c>
      <c r="AX108" s="31">
        <v>46121.960000000006</v>
      </c>
      <c r="AY108" s="31">
        <v>0</v>
      </c>
      <c r="AZ108" s="31">
        <v>31977.349935938139</v>
      </c>
      <c r="BA108" s="31">
        <v>78040.08</v>
      </c>
      <c r="BB108" s="31">
        <v>0</v>
      </c>
      <c r="BC108" s="31">
        <f t="shared" si="11"/>
        <v>3537743.7101300415</v>
      </c>
      <c r="BD108" s="31">
        <v>92485.24</v>
      </c>
    </row>
    <row r="109" spans="2:56">
      <c r="B109" s="42" t="s">
        <v>1230</v>
      </c>
      <c r="C109" s="42" t="s">
        <v>1231</v>
      </c>
      <c r="D109" s="43" t="s">
        <v>1049</v>
      </c>
      <c r="E109" s="44">
        <v>34</v>
      </c>
      <c r="F109" s="31">
        <v>3416333.7281552423</v>
      </c>
      <c r="G109" s="31">
        <v>124438.09000000001</v>
      </c>
      <c r="H109" s="31">
        <v>66171.27</v>
      </c>
      <c r="I109" s="31">
        <v>9485.3000000000011</v>
      </c>
      <c r="J109" s="31">
        <v>102749.24875892818</v>
      </c>
      <c r="K109" s="31">
        <v>38906.230000000003</v>
      </c>
      <c r="L109" s="31">
        <v>0</v>
      </c>
      <c r="M109" s="31">
        <f t="shared" si="8"/>
        <v>3758083.8669141703</v>
      </c>
      <c r="N109" s="31">
        <v>0</v>
      </c>
      <c r="P109" s="42" t="s">
        <v>1230</v>
      </c>
      <c r="Q109" s="42" t="s">
        <v>1231</v>
      </c>
      <c r="R109" s="43" t="s">
        <v>1050</v>
      </c>
      <c r="S109" s="44">
        <v>34</v>
      </c>
      <c r="T109" s="31">
        <v>3697749.1986449454</v>
      </c>
      <c r="U109" s="31">
        <v>133101.9</v>
      </c>
      <c r="V109" s="31">
        <v>70755.429999999993</v>
      </c>
      <c r="W109" s="31">
        <v>10210.879999999999</v>
      </c>
      <c r="X109" s="31">
        <v>109311.4708132911</v>
      </c>
      <c r="Y109" s="31">
        <v>38906.230000000003</v>
      </c>
      <c r="Z109" s="31">
        <v>0</v>
      </c>
      <c r="AA109" s="31">
        <f t="shared" si="9"/>
        <v>4060035.1094582365</v>
      </c>
      <c r="AB109" s="31">
        <v>0</v>
      </c>
      <c r="AD109" s="42" t="s">
        <v>1230</v>
      </c>
      <c r="AE109" s="42" t="s">
        <v>1231</v>
      </c>
      <c r="AF109" s="43" t="s">
        <v>1275</v>
      </c>
      <c r="AG109" s="44">
        <v>34</v>
      </c>
      <c r="AH109" s="31">
        <v>3766163.3863871377</v>
      </c>
      <c r="AI109" s="31">
        <v>135467.28</v>
      </c>
      <c r="AJ109" s="31">
        <v>72012.84</v>
      </c>
      <c r="AK109" s="31">
        <v>10392.35</v>
      </c>
      <c r="AL109" s="31">
        <v>111339.66073490615</v>
      </c>
      <c r="AM109" s="31">
        <v>38906.230000000003</v>
      </c>
      <c r="AN109" s="31">
        <v>0</v>
      </c>
      <c r="AO109" s="31">
        <f t="shared" si="10"/>
        <v>4134281.7471220437</v>
      </c>
      <c r="AP109" s="31">
        <v>0</v>
      </c>
      <c r="AR109" s="42" t="s">
        <v>1230</v>
      </c>
      <c r="AS109" s="42" t="s">
        <v>1231</v>
      </c>
      <c r="AT109" s="43" t="s">
        <v>1276</v>
      </c>
      <c r="AU109" s="44">
        <v>34</v>
      </c>
      <c r="AV109" s="31">
        <v>3843176.3277554866</v>
      </c>
      <c r="AW109" s="31">
        <v>138249.71</v>
      </c>
      <c r="AX109" s="31">
        <v>73484.09</v>
      </c>
      <c r="AY109" s="31">
        <v>10586.69</v>
      </c>
      <c r="AZ109" s="31">
        <v>113620.16082674376</v>
      </c>
      <c r="BA109" s="31">
        <v>38906.230000000003</v>
      </c>
      <c r="BB109" s="31">
        <v>0</v>
      </c>
      <c r="BC109" s="31">
        <f t="shared" si="11"/>
        <v>4218023.2085822299</v>
      </c>
      <c r="BD109" s="31">
        <v>0</v>
      </c>
    </row>
    <row r="110" spans="2:56">
      <c r="B110" s="42" t="s">
        <v>1032</v>
      </c>
      <c r="C110" s="42" t="s">
        <v>1042</v>
      </c>
      <c r="D110" s="43" t="s">
        <v>1049</v>
      </c>
      <c r="E110" s="44">
        <v>34</v>
      </c>
      <c r="F110" s="31">
        <v>6776490.6034356095</v>
      </c>
      <c r="G110" s="31">
        <v>280493.86</v>
      </c>
      <c r="H110" s="31">
        <v>241423.45</v>
      </c>
      <c r="I110" s="31">
        <v>19422.27</v>
      </c>
      <c r="J110" s="31">
        <v>273094.09519344935</v>
      </c>
      <c r="K110" s="31">
        <v>87788.41</v>
      </c>
      <c r="L110" s="31">
        <v>0</v>
      </c>
      <c r="M110" s="31">
        <f t="shared" si="8"/>
        <v>7878129.7986290595</v>
      </c>
      <c r="N110" s="31">
        <v>199417.11000000002</v>
      </c>
      <c r="P110" s="42" t="s">
        <v>1032</v>
      </c>
      <c r="Q110" s="42" t="s">
        <v>1042</v>
      </c>
      <c r="R110" s="43" t="s">
        <v>1050</v>
      </c>
      <c r="S110" s="44">
        <v>34</v>
      </c>
      <c r="T110" s="31">
        <v>7336844.0710475342</v>
      </c>
      <c r="U110" s="31">
        <v>302778.01</v>
      </c>
      <c r="V110" s="31">
        <v>258035.09</v>
      </c>
      <c r="W110" s="31">
        <v>20782.150000000005</v>
      </c>
      <c r="X110" s="31">
        <v>290550.35523915035</v>
      </c>
      <c r="Y110" s="31">
        <v>87788.41</v>
      </c>
      <c r="Z110" s="31">
        <v>0</v>
      </c>
      <c r="AA110" s="31">
        <f t="shared" si="9"/>
        <v>8507067.0362866838</v>
      </c>
      <c r="AB110" s="31">
        <v>210288.94999999998</v>
      </c>
      <c r="AD110" s="42" t="s">
        <v>1032</v>
      </c>
      <c r="AE110" s="42" t="s">
        <v>1042</v>
      </c>
      <c r="AF110" s="43" t="s">
        <v>1275</v>
      </c>
      <c r="AG110" s="44">
        <v>34</v>
      </c>
      <c r="AH110" s="31">
        <v>7472592.9679563101</v>
      </c>
      <c r="AI110" s="31">
        <v>308361.08000000007</v>
      </c>
      <c r="AJ110" s="31">
        <v>262865.23</v>
      </c>
      <c r="AK110" s="31">
        <v>21151.49</v>
      </c>
      <c r="AL110" s="31">
        <v>295940.55929121742</v>
      </c>
      <c r="AM110" s="31">
        <v>87788.41</v>
      </c>
      <c r="AN110" s="31">
        <v>0</v>
      </c>
      <c r="AO110" s="31">
        <f t="shared" si="10"/>
        <v>8662890.2572475281</v>
      </c>
      <c r="AP110" s="31">
        <v>214190.52</v>
      </c>
      <c r="AR110" s="42" t="s">
        <v>1032</v>
      </c>
      <c r="AS110" s="42" t="s">
        <v>1042</v>
      </c>
      <c r="AT110" s="43" t="s">
        <v>1276</v>
      </c>
      <c r="AU110" s="44">
        <v>34</v>
      </c>
      <c r="AV110" s="31">
        <v>7625762.903674013</v>
      </c>
      <c r="AW110" s="31">
        <v>314709.1999999999</v>
      </c>
      <c r="AX110" s="31">
        <v>268279.17</v>
      </c>
      <c r="AY110" s="31">
        <v>21547.02</v>
      </c>
      <c r="AZ110" s="31">
        <v>302001.39616340998</v>
      </c>
      <c r="BA110" s="31">
        <v>87788.41</v>
      </c>
      <c r="BB110" s="31">
        <v>0</v>
      </c>
      <c r="BC110" s="31">
        <f t="shared" si="11"/>
        <v>8838698.9298374224</v>
      </c>
      <c r="BD110" s="31">
        <v>218610.83000000002</v>
      </c>
    </row>
    <row r="111" spans="2:56">
      <c r="B111" s="42" t="s">
        <v>107</v>
      </c>
      <c r="C111" s="42" t="s">
        <v>108</v>
      </c>
      <c r="D111" s="43" t="s">
        <v>1049</v>
      </c>
      <c r="E111" s="44">
        <v>34</v>
      </c>
      <c r="F111" s="31">
        <v>2811344.7319271076</v>
      </c>
      <c r="G111" s="31">
        <v>116151.74999999999</v>
      </c>
      <c r="H111" s="31">
        <v>0</v>
      </c>
      <c r="I111" s="31">
        <v>0</v>
      </c>
      <c r="J111" s="31">
        <v>214940.78815853238</v>
      </c>
      <c r="K111" s="31">
        <v>0</v>
      </c>
      <c r="L111" s="31">
        <v>0</v>
      </c>
      <c r="M111" s="31">
        <f t="shared" si="8"/>
        <v>3208503.4400856397</v>
      </c>
      <c r="N111" s="31">
        <v>66066.17</v>
      </c>
      <c r="P111" s="42" t="s">
        <v>107</v>
      </c>
      <c r="Q111" s="42" t="s">
        <v>108</v>
      </c>
      <c r="R111" s="43" t="s">
        <v>1050</v>
      </c>
      <c r="S111" s="44">
        <v>34</v>
      </c>
      <c r="T111" s="31">
        <v>3018255.1100010388</v>
      </c>
      <c r="U111" s="31">
        <v>125312.71999999996</v>
      </c>
      <c r="V111" s="31">
        <v>0</v>
      </c>
      <c r="W111" s="31">
        <v>0</v>
      </c>
      <c r="X111" s="31">
        <v>228816.12854671749</v>
      </c>
      <c r="Y111" s="31">
        <v>0</v>
      </c>
      <c r="Z111" s="31">
        <v>0</v>
      </c>
      <c r="AA111" s="31">
        <f t="shared" si="9"/>
        <v>3441946.8885477562</v>
      </c>
      <c r="AB111" s="31">
        <v>69562.930000000008</v>
      </c>
      <c r="AD111" s="42" t="s">
        <v>107</v>
      </c>
      <c r="AE111" s="42" t="s">
        <v>108</v>
      </c>
      <c r="AF111" s="43" t="s">
        <v>1275</v>
      </c>
      <c r="AG111" s="44">
        <v>34</v>
      </c>
      <c r="AH111" s="31">
        <v>3072081.6691846587</v>
      </c>
      <c r="AI111" s="31">
        <v>127586.60999999999</v>
      </c>
      <c r="AJ111" s="31">
        <v>0</v>
      </c>
      <c r="AK111" s="31">
        <v>0</v>
      </c>
      <c r="AL111" s="31">
        <v>232999.77614054648</v>
      </c>
      <c r="AM111" s="31">
        <v>0</v>
      </c>
      <c r="AN111" s="31">
        <v>0</v>
      </c>
      <c r="AO111" s="31">
        <f t="shared" si="10"/>
        <v>3503460.305325205</v>
      </c>
      <c r="AP111" s="31">
        <v>70792.25</v>
      </c>
      <c r="AR111" s="42" t="s">
        <v>107</v>
      </c>
      <c r="AS111" s="42" t="s">
        <v>108</v>
      </c>
      <c r="AT111" s="43" t="s">
        <v>1276</v>
      </c>
      <c r="AU111" s="44">
        <v>34</v>
      </c>
      <c r="AV111" s="31">
        <v>3132070.1645638947</v>
      </c>
      <c r="AW111" s="31">
        <v>130129.10999999999</v>
      </c>
      <c r="AX111" s="31">
        <v>0</v>
      </c>
      <c r="AY111" s="31">
        <v>0</v>
      </c>
      <c r="AZ111" s="31">
        <v>237727.63996503712</v>
      </c>
      <c r="BA111" s="31">
        <v>0</v>
      </c>
      <c r="BB111" s="31">
        <v>0</v>
      </c>
      <c r="BC111" s="31">
        <f t="shared" si="11"/>
        <v>3572247.5345289316</v>
      </c>
      <c r="BD111" s="31">
        <v>72320.62</v>
      </c>
    </row>
    <row r="112" spans="2:56">
      <c r="B112" s="42" t="s">
        <v>435</v>
      </c>
      <c r="C112" s="42" t="s">
        <v>436</v>
      </c>
      <c r="D112" s="43" t="s">
        <v>1049</v>
      </c>
      <c r="E112" s="44">
        <v>34</v>
      </c>
      <c r="F112" s="31">
        <v>591608.562918109</v>
      </c>
      <c r="G112" s="31">
        <v>8189.84</v>
      </c>
      <c r="H112" s="31">
        <v>0</v>
      </c>
      <c r="I112" s="31">
        <v>0</v>
      </c>
      <c r="J112" s="31">
        <v>34133.292587697448</v>
      </c>
      <c r="K112" s="31">
        <v>81182.484782710977</v>
      </c>
      <c r="L112" s="31">
        <v>0</v>
      </c>
      <c r="M112" s="31">
        <f t="shared" si="8"/>
        <v>715114.1802885175</v>
      </c>
      <c r="N112" s="31">
        <v>0</v>
      </c>
      <c r="P112" s="42" t="s">
        <v>435</v>
      </c>
      <c r="Q112" s="42" t="s">
        <v>436</v>
      </c>
      <c r="R112" s="43" t="s">
        <v>1050</v>
      </c>
      <c r="S112" s="44">
        <v>34</v>
      </c>
      <c r="T112" s="31">
        <v>627601.95599941036</v>
      </c>
      <c r="U112" s="31">
        <v>8715.2800000000007</v>
      </c>
      <c r="V112" s="31">
        <v>0</v>
      </c>
      <c r="W112" s="31">
        <v>0</v>
      </c>
      <c r="X112" s="31">
        <v>36143.294080982108</v>
      </c>
      <c r="Y112" s="31">
        <v>81325.817610995728</v>
      </c>
      <c r="Z112" s="31">
        <v>0</v>
      </c>
      <c r="AA112" s="31">
        <f t="shared" si="9"/>
        <v>753786.34769138822</v>
      </c>
      <c r="AB112" s="31">
        <v>0</v>
      </c>
      <c r="AD112" s="42" t="s">
        <v>435</v>
      </c>
      <c r="AE112" s="42" t="s">
        <v>436</v>
      </c>
      <c r="AF112" s="43" t="s">
        <v>1275</v>
      </c>
      <c r="AG112" s="44">
        <v>34</v>
      </c>
      <c r="AH112" s="31">
        <v>638617.33501761989</v>
      </c>
      <c r="AI112" s="31">
        <v>8869.27</v>
      </c>
      <c r="AJ112" s="31">
        <v>0</v>
      </c>
      <c r="AK112" s="31">
        <v>0</v>
      </c>
      <c r="AL112" s="31">
        <v>36783.661560598935</v>
      </c>
      <c r="AM112" s="31">
        <v>81214.613587686239</v>
      </c>
      <c r="AN112" s="31">
        <v>0</v>
      </c>
      <c r="AO112" s="31">
        <f t="shared" si="10"/>
        <v>765484.88016590511</v>
      </c>
      <c r="AP112" s="31">
        <v>0</v>
      </c>
      <c r="AR112" s="42" t="s">
        <v>435</v>
      </c>
      <c r="AS112" s="42" t="s">
        <v>436</v>
      </c>
      <c r="AT112" s="43" t="s">
        <v>1276</v>
      </c>
      <c r="AU112" s="44">
        <v>34</v>
      </c>
      <c r="AV112" s="31">
        <v>650415.70490210201</v>
      </c>
      <c r="AW112" s="31">
        <v>9034.2100000000009</v>
      </c>
      <c r="AX112" s="31">
        <v>0</v>
      </c>
      <c r="AY112" s="31">
        <v>0</v>
      </c>
      <c r="AZ112" s="31">
        <v>37469.487717563679</v>
      </c>
      <c r="BA112" s="31">
        <v>81217.790845495081</v>
      </c>
      <c r="BB112" s="31">
        <v>0</v>
      </c>
      <c r="BC112" s="31">
        <f t="shared" si="11"/>
        <v>778137.19346516067</v>
      </c>
      <c r="BD112" s="31">
        <v>0</v>
      </c>
    </row>
    <row r="113" spans="2:56">
      <c r="B113" s="42" t="s">
        <v>211</v>
      </c>
      <c r="C113" s="42" t="s">
        <v>212</v>
      </c>
      <c r="D113" s="43" t="s">
        <v>1049</v>
      </c>
      <c r="E113" s="44">
        <v>34</v>
      </c>
      <c r="F113" s="31">
        <v>175489078.77735424</v>
      </c>
      <c r="G113" s="31">
        <v>1409696.12</v>
      </c>
      <c r="H113" s="31">
        <v>2558094.8299999996</v>
      </c>
      <c r="I113" s="31">
        <v>625352.22</v>
      </c>
      <c r="J113" s="31">
        <v>16798344.095787942</v>
      </c>
      <c r="K113" s="31">
        <v>9139448.7948959023</v>
      </c>
      <c r="L113" s="31">
        <v>11565238.856265876</v>
      </c>
      <c r="M113" s="31">
        <f t="shared" si="8"/>
        <v>217585253.69430396</v>
      </c>
      <c r="N113" s="31">
        <v>0</v>
      </c>
      <c r="P113" s="42" t="s">
        <v>211</v>
      </c>
      <c r="Q113" s="42" t="s">
        <v>212</v>
      </c>
      <c r="R113" s="43" t="s">
        <v>1050</v>
      </c>
      <c r="S113" s="44">
        <v>34</v>
      </c>
      <c r="T113" s="31">
        <v>187590730.02023822</v>
      </c>
      <c r="U113" s="31">
        <v>1507006.5799999998</v>
      </c>
      <c r="V113" s="31">
        <v>2734715.43</v>
      </c>
      <c r="W113" s="31">
        <v>668512.69000000006</v>
      </c>
      <c r="X113" s="31">
        <v>17876935.339527015</v>
      </c>
      <c r="Y113" s="31">
        <v>9161890.7789817005</v>
      </c>
      <c r="Z113" s="31">
        <v>12329730.4470399</v>
      </c>
      <c r="AA113" s="31">
        <f t="shared" si="9"/>
        <v>231869521.28578687</v>
      </c>
      <c r="AB113" s="31">
        <v>0</v>
      </c>
      <c r="AD113" s="42" t="s">
        <v>211</v>
      </c>
      <c r="AE113" s="42" t="s">
        <v>212</v>
      </c>
      <c r="AF113" s="43" t="s">
        <v>1275</v>
      </c>
      <c r="AG113" s="44">
        <v>34</v>
      </c>
      <c r="AH113" s="31">
        <v>191121658.74797103</v>
      </c>
      <c r="AI113" s="31">
        <v>1534888.32</v>
      </c>
      <c r="AJ113" s="31">
        <v>2785393.14</v>
      </c>
      <c r="AK113" s="31">
        <v>680882.02999999991</v>
      </c>
      <c r="AL113" s="31">
        <v>18209175.817040127</v>
      </c>
      <c r="AM113" s="31">
        <v>9144316.0802551545</v>
      </c>
      <c r="AN113" s="31">
        <v>12559217.28924522</v>
      </c>
      <c r="AO113" s="31">
        <f t="shared" si="10"/>
        <v>236035531.42451149</v>
      </c>
      <c r="AP113" s="31">
        <v>0</v>
      </c>
      <c r="AR113" s="42" t="s">
        <v>211</v>
      </c>
      <c r="AS113" s="42" t="s">
        <v>212</v>
      </c>
      <c r="AT113" s="43" t="s">
        <v>1276</v>
      </c>
      <c r="AU113" s="44">
        <v>34</v>
      </c>
      <c r="AV113" s="31">
        <v>195086454.97693241</v>
      </c>
      <c r="AW113" s="31">
        <v>1566331.83</v>
      </c>
      <c r="AX113" s="31">
        <v>2842463.81</v>
      </c>
      <c r="AY113" s="31">
        <v>694860.47</v>
      </c>
      <c r="AZ113" s="31">
        <v>18582732.630798485</v>
      </c>
      <c r="BA113" s="31">
        <v>9144818.2145044841</v>
      </c>
      <c r="BB113" s="31">
        <v>12816942.472014047</v>
      </c>
      <c r="BC113" s="31">
        <f t="shared" si="11"/>
        <v>240734604.40424943</v>
      </c>
      <c r="BD113" s="31">
        <v>0</v>
      </c>
    </row>
    <row r="114" spans="2:56">
      <c r="B114" s="42" t="s">
        <v>117</v>
      </c>
      <c r="C114" s="42" t="s">
        <v>118</v>
      </c>
      <c r="D114" s="43" t="s">
        <v>1049</v>
      </c>
      <c r="E114" s="44">
        <v>34</v>
      </c>
      <c r="F114" s="31">
        <v>1840082.8244621293</v>
      </c>
      <c r="G114" s="31">
        <v>16040.26</v>
      </c>
      <c r="H114" s="31">
        <v>0</v>
      </c>
      <c r="I114" s="31">
        <v>0</v>
      </c>
      <c r="J114" s="31">
        <v>44726.633909913333</v>
      </c>
      <c r="K114" s="31">
        <v>96319.635234996982</v>
      </c>
      <c r="L114" s="31">
        <v>33412.072526612319</v>
      </c>
      <c r="M114" s="31">
        <f t="shared" si="8"/>
        <v>2040669.6461336517</v>
      </c>
      <c r="N114" s="31">
        <v>10088.219999999999</v>
      </c>
      <c r="P114" s="42" t="s">
        <v>117</v>
      </c>
      <c r="Q114" s="42" t="s">
        <v>118</v>
      </c>
      <c r="R114" s="43" t="s">
        <v>1050</v>
      </c>
      <c r="S114" s="44">
        <v>34</v>
      </c>
      <c r="T114" s="31">
        <v>1952866.6166127098</v>
      </c>
      <c r="U114" s="31">
        <v>17239.869999999995</v>
      </c>
      <c r="V114" s="31">
        <v>0</v>
      </c>
      <c r="W114" s="31">
        <v>0</v>
      </c>
      <c r="X114" s="31">
        <v>47375.218225996548</v>
      </c>
      <c r="Y114" s="31">
        <v>96487.761521108085</v>
      </c>
      <c r="Z114" s="31">
        <v>35784.947804822106</v>
      </c>
      <c r="AA114" s="31">
        <f t="shared" si="9"/>
        <v>2160331.9941646364</v>
      </c>
      <c r="AB114" s="31">
        <v>10577.58</v>
      </c>
      <c r="AD114" s="42" t="s">
        <v>117</v>
      </c>
      <c r="AE114" s="42" t="s">
        <v>118</v>
      </c>
      <c r="AF114" s="43" t="s">
        <v>1275</v>
      </c>
      <c r="AG114" s="44">
        <v>34</v>
      </c>
      <c r="AH114" s="31">
        <v>1986674.9120502691</v>
      </c>
      <c r="AI114" s="31">
        <v>17539.449999999997</v>
      </c>
      <c r="AJ114" s="31">
        <v>0</v>
      </c>
      <c r="AK114" s="31">
        <v>0</v>
      </c>
      <c r="AL114" s="31">
        <v>48209.798782101425</v>
      </c>
      <c r="AM114" s="31">
        <v>96360.030888358087</v>
      </c>
      <c r="AN114" s="31">
        <v>36416.365744266543</v>
      </c>
      <c r="AO114" s="31">
        <f t="shared" si="10"/>
        <v>2195965.8774649948</v>
      </c>
      <c r="AP114" s="31">
        <v>10765.32</v>
      </c>
      <c r="AR114" s="42" t="s">
        <v>117</v>
      </c>
      <c r="AS114" s="42" t="s">
        <v>118</v>
      </c>
      <c r="AT114" s="43" t="s">
        <v>1276</v>
      </c>
      <c r="AU114" s="44">
        <v>34</v>
      </c>
      <c r="AV114" s="31">
        <v>2022888.217309515</v>
      </c>
      <c r="AW114" s="31">
        <v>17860.299999999996</v>
      </c>
      <c r="AX114" s="31">
        <v>0</v>
      </c>
      <c r="AY114" s="31">
        <v>0</v>
      </c>
      <c r="AZ114" s="31">
        <v>49103.632981390751</v>
      </c>
      <c r="BA114" s="31">
        <v>96363.680335008074</v>
      </c>
      <c r="BB114" s="31">
        <v>37092.593528611535</v>
      </c>
      <c r="BC114" s="31">
        <f t="shared" si="11"/>
        <v>2234274.8141545258</v>
      </c>
      <c r="BD114" s="31">
        <v>10966.390000000001</v>
      </c>
    </row>
    <row r="115" spans="2:56">
      <c r="B115" s="42" t="s">
        <v>83</v>
      </c>
      <c r="C115" s="42" t="s">
        <v>84</v>
      </c>
      <c r="D115" s="43" t="s">
        <v>1049</v>
      </c>
      <c r="E115" s="44">
        <v>34</v>
      </c>
      <c r="F115" s="31">
        <v>8676480.8764516823</v>
      </c>
      <c r="G115" s="31">
        <v>209794.2</v>
      </c>
      <c r="H115" s="31">
        <v>0</v>
      </c>
      <c r="I115" s="31">
        <v>0</v>
      </c>
      <c r="J115" s="31">
        <v>1390202.5460782247</v>
      </c>
      <c r="K115" s="31">
        <v>0</v>
      </c>
      <c r="L115" s="31">
        <v>486266.41722639167</v>
      </c>
      <c r="M115" s="31">
        <f t="shared" si="8"/>
        <v>10762744.039756296</v>
      </c>
      <c r="N115" s="31">
        <v>0</v>
      </c>
      <c r="P115" s="42" t="s">
        <v>83</v>
      </c>
      <c r="Q115" s="42" t="s">
        <v>84</v>
      </c>
      <c r="R115" s="43" t="s">
        <v>1050</v>
      </c>
      <c r="S115" s="44">
        <v>34</v>
      </c>
      <c r="T115" s="31">
        <v>9278816.6158856433</v>
      </c>
      <c r="U115" s="31">
        <v>224553.21000000002</v>
      </c>
      <c r="V115" s="31">
        <v>0</v>
      </c>
      <c r="W115" s="31">
        <v>0</v>
      </c>
      <c r="X115" s="31">
        <v>1479878.4226499922</v>
      </c>
      <c r="Y115" s="31">
        <v>0</v>
      </c>
      <c r="Z115" s="31">
        <v>518717.19848083897</v>
      </c>
      <c r="AA115" s="31">
        <f t="shared" si="9"/>
        <v>11501965.447016476</v>
      </c>
      <c r="AB115" s="31">
        <v>0</v>
      </c>
      <c r="AD115" s="42" t="s">
        <v>83</v>
      </c>
      <c r="AE115" s="42" t="s">
        <v>84</v>
      </c>
      <c r="AF115" s="43" t="s">
        <v>1275</v>
      </c>
      <c r="AG115" s="44">
        <v>34</v>
      </c>
      <c r="AH115" s="31">
        <v>9454173.5833138246</v>
      </c>
      <c r="AI115" s="31">
        <v>228679.41999999995</v>
      </c>
      <c r="AJ115" s="31">
        <v>0</v>
      </c>
      <c r="AK115" s="31">
        <v>0</v>
      </c>
      <c r="AL115" s="31">
        <v>1506992.5325386175</v>
      </c>
      <c r="AM115" s="31">
        <v>0</v>
      </c>
      <c r="AN115" s="31">
        <v>528290.10540685931</v>
      </c>
      <c r="AO115" s="31">
        <f t="shared" si="10"/>
        <v>11718135.641259301</v>
      </c>
      <c r="AP115" s="31">
        <v>0</v>
      </c>
      <c r="AR115" s="42" t="s">
        <v>83</v>
      </c>
      <c r="AS115" s="42" t="s">
        <v>84</v>
      </c>
      <c r="AT115" s="43" t="s">
        <v>1276</v>
      </c>
      <c r="AU115" s="44">
        <v>34</v>
      </c>
      <c r="AV115" s="31">
        <v>9648639.9680433217</v>
      </c>
      <c r="AW115" s="31">
        <v>233198.85</v>
      </c>
      <c r="AX115" s="31">
        <v>0</v>
      </c>
      <c r="AY115" s="31">
        <v>0</v>
      </c>
      <c r="AZ115" s="31">
        <v>1537490.9873008714</v>
      </c>
      <c r="BA115" s="31">
        <v>0</v>
      </c>
      <c r="BB115" s="31">
        <v>538861.62987368752</v>
      </c>
      <c r="BC115" s="31">
        <f t="shared" si="11"/>
        <v>11958191.43521788</v>
      </c>
      <c r="BD115" s="31">
        <v>0</v>
      </c>
    </row>
    <row r="116" spans="2:56">
      <c r="B116" s="42" t="s">
        <v>101</v>
      </c>
      <c r="C116" s="42" t="s">
        <v>102</v>
      </c>
      <c r="D116" s="43" t="s">
        <v>1049</v>
      </c>
      <c r="E116" s="44">
        <v>34</v>
      </c>
      <c r="F116" s="31">
        <v>422854.39426809677</v>
      </c>
      <c r="G116" s="31">
        <v>19585.979999999996</v>
      </c>
      <c r="H116" s="31">
        <v>0</v>
      </c>
      <c r="I116" s="31">
        <v>0</v>
      </c>
      <c r="J116" s="31">
        <v>33719.872121661443</v>
      </c>
      <c r="K116" s="31">
        <v>92293.884993765387</v>
      </c>
      <c r="L116" s="31">
        <v>0</v>
      </c>
      <c r="M116" s="31">
        <f t="shared" si="8"/>
        <v>577906.08138352353</v>
      </c>
      <c r="N116" s="31">
        <v>9451.9500000000025</v>
      </c>
      <c r="P116" s="42" t="s">
        <v>101</v>
      </c>
      <c r="Q116" s="42" t="s">
        <v>102</v>
      </c>
      <c r="R116" s="43" t="s">
        <v>1050</v>
      </c>
      <c r="S116" s="44">
        <v>34</v>
      </c>
      <c r="T116" s="31">
        <v>454182.506836763</v>
      </c>
      <c r="U116" s="31">
        <v>21014.400000000001</v>
      </c>
      <c r="V116" s="31">
        <v>0</v>
      </c>
      <c r="W116" s="31">
        <v>0</v>
      </c>
      <c r="X116" s="31">
        <v>35713.921072760277</v>
      </c>
      <c r="Y116" s="31">
        <v>92503.739174045812</v>
      </c>
      <c r="Z116" s="31">
        <v>0</v>
      </c>
      <c r="AA116" s="31">
        <f t="shared" si="9"/>
        <v>613322.94708356913</v>
      </c>
      <c r="AB116" s="31">
        <v>9908.3799999999992</v>
      </c>
      <c r="AD116" s="42" t="s">
        <v>101</v>
      </c>
      <c r="AE116" s="42" t="s">
        <v>102</v>
      </c>
      <c r="AF116" s="43" t="s">
        <v>1275</v>
      </c>
      <c r="AG116" s="44">
        <v>34</v>
      </c>
      <c r="AH116" s="31">
        <v>462104.07416113035</v>
      </c>
      <c r="AI116" s="31">
        <v>21378.430000000008</v>
      </c>
      <c r="AJ116" s="31">
        <v>0</v>
      </c>
      <c r="AK116" s="31">
        <v>0</v>
      </c>
      <c r="AL116" s="31">
        <v>36340.014090003984</v>
      </c>
      <c r="AM116" s="31">
        <v>92344.30659599707</v>
      </c>
      <c r="AN116" s="31">
        <v>0</v>
      </c>
      <c r="AO116" s="31">
        <f t="shared" si="10"/>
        <v>622250.30484713137</v>
      </c>
      <c r="AP116" s="31">
        <v>10083.479999999998</v>
      </c>
      <c r="AR116" s="42" t="s">
        <v>101</v>
      </c>
      <c r="AS116" s="42" t="s">
        <v>102</v>
      </c>
      <c r="AT116" s="43" t="s">
        <v>1276</v>
      </c>
      <c r="AU116" s="44">
        <v>34</v>
      </c>
      <c r="AV116" s="31">
        <v>470588.32133812766</v>
      </c>
      <c r="AW116" s="31">
        <v>21768.29</v>
      </c>
      <c r="AX116" s="31">
        <v>0</v>
      </c>
      <c r="AY116" s="31">
        <v>0</v>
      </c>
      <c r="AZ116" s="31">
        <v>37010.551569360752</v>
      </c>
      <c r="BA116" s="31">
        <v>92348.86181251274</v>
      </c>
      <c r="BB116" s="31">
        <v>0</v>
      </c>
      <c r="BC116" s="31">
        <f t="shared" si="11"/>
        <v>631987.04472000117</v>
      </c>
      <c r="BD116" s="31">
        <v>10271.020000000002</v>
      </c>
    </row>
    <row r="117" spans="2:56">
      <c r="B117" s="42" t="s">
        <v>87</v>
      </c>
      <c r="C117" s="42" t="s">
        <v>88</v>
      </c>
      <c r="D117" s="43" t="s">
        <v>1049</v>
      </c>
      <c r="E117" s="44">
        <v>34</v>
      </c>
      <c r="F117" s="31">
        <v>38075234.968129143</v>
      </c>
      <c r="G117" s="31">
        <v>1828707.7300000004</v>
      </c>
      <c r="H117" s="31">
        <v>455252.43</v>
      </c>
      <c r="I117" s="31">
        <v>134276.08000000002</v>
      </c>
      <c r="J117" s="31">
        <v>6040227.4989624843</v>
      </c>
      <c r="K117" s="31">
        <v>2338852.3585415701</v>
      </c>
      <c r="L117" s="31">
        <v>3741895.8956274572</v>
      </c>
      <c r="M117" s="31">
        <f t="shared" si="8"/>
        <v>53909558.30126065</v>
      </c>
      <c r="N117" s="31">
        <v>1295111.3399999999</v>
      </c>
      <c r="P117" s="42" t="s">
        <v>87</v>
      </c>
      <c r="Q117" s="42" t="s">
        <v>88</v>
      </c>
      <c r="R117" s="43" t="s">
        <v>1050</v>
      </c>
      <c r="S117" s="44">
        <v>34</v>
      </c>
      <c r="T117" s="31">
        <v>41156644.144334897</v>
      </c>
      <c r="U117" s="31">
        <v>1978583.97</v>
      </c>
      <c r="V117" s="31">
        <v>487189.15000000008</v>
      </c>
      <c r="W117" s="31">
        <v>143718.19999999998</v>
      </c>
      <c r="X117" s="31">
        <v>6429973.0775189102</v>
      </c>
      <c r="Y117" s="31">
        <v>2344558.9682656163</v>
      </c>
      <c r="Z117" s="31">
        <v>4029788.2452147799</v>
      </c>
      <c r="AA117" s="31">
        <f t="shared" si="9"/>
        <v>57934746.795334205</v>
      </c>
      <c r="AB117" s="31">
        <v>1364291.0399999998</v>
      </c>
      <c r="AD117" s="42" t="s">
        <v>87</v>
      </c>
      <c r="AE117" s="42" t="s">
        <v>88</v>
      </c>
      <c r="AF117" s="43" t="s">
        <v>1275</v>
      </c>
      <c r="AG117" s="44">
        <v>34</v>
      </c>
      <c r="AH117" s="31">
        <v>41936883.947689615</v>
      </c>
      <c r="AI117" s="31">
        <v>2014250.7799999996</v>
      </c>
      <c r="AJ117" s="31">
        <v>495999.93000000005</v>
      </c>
      <c r="AK117" s="31">
        <v>146329.47999999998</v>
      </c>
      <c r="AL117" s="31">
        <v>6547804.1945140315</v>
      </c>
      <c r="AM117" s="31">
        <v>2340223.4839831167</v>
      </c>
      <c r="AN117" s="31">
        <v>4103818.5609853985</v>
      </c>
      <c r="AO117" s="31">
        <f t="shared" si="10"/>
        <v>58974750.947172157</v>
      </c>
      <c r="AP117" s="31">
        <v>1389440.57</v>
      </c>
      <c r="AR117" s="42" t="s">
        <v>87</v>
      </c>
      <c r="AS117" s="42" t="s">
        <v>88</v>
      </c>
      <c r="AT117" s="43" t="s">
        <v>1276</v>
      </c>
      <c r="AU117" s="44">
        <v>34</v>
      </c>
      <c r="AV117" s="31">
        <v>42811864.365235597</v>
      </c>
      <c r="AW117" s="31">
        <v>2054354.6100000006</v>
      </c>
      <c r="AX117" s="31">
        <v>505855.51</v>
      </c>
      <c r="AY117" s="31">
        <v>149337.59000000003</v>
      </c>
      <c r="AZ117" s="31">
        <v>6680364.2708932133</v>
      </c>
      <c r="BA117" s="31">
        <v>2340347.3549626167</v>
      </c>
      <c r="BB117" s="31">
        <v>4186961.3187270071</v>
      </c>
      <c r="BC117" s="31">
        <f t="shared" si="11"/>
        <v>60146802.099818438</v>
      </c>
      <c r="BD117" s="31">
        <v>1417717.0799999998</v>
      </c>
    </row>
    <row r="118" spans="2:56">
      <c r="B118" s="42" t="s">
        <v>17</v>
      </c>
      <c r="C118" s="42" t="s">
        <v>18</v>
      </c>
      <c r="D118" s="43" t="s">
        <v>1049</v>
      </c>
      <c r="E118" s="44">
        <v>34</v>
      </c>
      <c r="F118" s="31">
        <v>145935856.89833647</v>
      </c>
      <c r="G118" s="31">
        <v>6712245.0599999987</v>
      </c>
      <c r="H118" s="31">
        <v>4057905.09</v>
      </c>
      <c r="I118" s="31">
        <v>514010.41000000003</v>
      </c>
      <c r="J118" s="31">
        <v>20616345.450004131</v>
      </c>
      <c r="K118" s="31">
        <v>8176657.1704723854</v>
      </c>
      <c r="L118" s="31">
        <v>14377796.381748267</v>
      </c>
      <c r="M118" s="31">
        <f t="shared" si="8"/>
        <v>204009742.05056125</v>
      </c>
      <c r="N118" s="31">
        <v>3618925.5900000003</v>
      </c>
      <c r="P118" s="42" t="s">
        <v>17</v>
      </c>
      <c r="Q118" s="42" t="s">
        <v>18</v>
      </c>
      <c r="R118" s="43" t="s">
        <v>1050</v>
      </c>
      <c r="S118" s="44">
        <v>34</v>
      </c>
      <c r="T118" s="31">
        <v>157735670.06361753</v>
      </c>
      <c r="U118" s="31">
        <v>7243445.1700000018</v>
      </c>
      <c r="V118" s="31">
        <v>4342468.83</v>
      </c>
      <c r="W118" s="31">
        <v>550072.35</v>
      </c>
      <c r="X118" s="31">
        <v>21946578.609028872</v>
      </c>
      <c r="Y118" s="31">
        <v>8194317.4985113451</v>
      </c>
      <c r="Z118" s="31">
        <v>15480700.340104409</v>
      </c>
      <c r="AA118" s="31">
        <f t="shared" si="9"/>
        <v>219305524.94126219</v>
      </c>
      <c r="AB118" s="31">
        <v>3812272.08</v>
      </c>
      <c r="AD118" s="42" t="s">
        <v>17</v>
      </c>
      <c r="AE118" s="42" t="s">
        <v>18</v>
      </c>
      <c r="AF118" s="43" t="s">
        <v>1275</v>
      </c>
      <c r="AG118" s="44">
        <v>34</v>
      </c>
      <c r="AH118" s="31">
        <v>160709912.42972901</v>
      </c>
      <c r="AI118" s="31">
        <v>7374258.6199999992</v>
      </c>
      <c r="AJ118" s="31">
        <v>4421557.5299999993</v>
      </c>
      <c r="AK118" s="31">
        <v>560085.06999999995</v>
      </c>
      <c r="AL118" s="31">
        <v>22348769.365462355</v>
      </c>
      <c r="AM118" s="31">
        <v>8180900.4123009332</v>
      </c>
      <c r="AN118" s="31">
        <v>15764731.541052742</v>
      </c>
      <c r="AO118" s="31">
        <f t="shared" si="10"/>
        <v>223242768.85854504</v>
      </c>
      <c r="AP118" s="31">
        <v>3882553.89</v>
      </c>
      <c r="AR118" s="42" t="s">
        <v>17</v>
      </c>
      <c r="AS118" s="42" t="s">
        <v>18</v>
      </c>
      <c r="AT118" s="43" t="s">
        <v>1276</v>
      </c>
      <c r="AU118" s="44">
        <v>34</v>
      </c>
      <c r="AV118" s="31">
        <v>164046767.30896139</v>
      </c>
      <c r="AW118" s="31">
        <v>7521649.25</v>
      </c>
      <c r="AX118" s="31">
        <v>4510446.26</v>
      </c>
      <c r="AY118" s="31">
        <v>571331.81000000006</v>
      </c>
      <c r="AZ118" s="31">
        <v>22801229.896879897</v>
      </c>
      <c r="BA118" s="31">
        <v>8181283.7576212296</v>
      </c>
      <c r="BB118" s="31">
        <v>16084187.09669433</v>
      </c>
      <c r="BC118" s="31">
        <f t="shared" si="11"/>
        <v>227678434.62015685</v>
      </c>
      <c r="BD118" s="31">
        <v>3961539.24</v>
      </c>
    </row>
    <row r="119" spans="2:56">
      <c r="B119" s="42" t="s">
        <v>217</v>
      </c>
      <c r="C119" s="42" t="s">
        <v>218</v>
      </c>
      <c r="D119" s="43" t="s">
        <v>1049</v>
      </c>
      <c r="E119" s="44">
        <v>34</v>
      </c>
      <c r="F119" s="31">
        <v>225744409.21730953</v>
      </c>
      <c r="G119" s="31">
        <v>9323936.0800000019</v>
      </c>
      <c r="H119" s="31">
        <v>10181226.449999999</v>
      </c>
      <c r="I119" s="31">
        <v>802862.82000000018</v>
      </c>
      <c r="J119" s="31">
        <v>28806044.02240482</v>
      </c>
      <c r="K119" s="31">
        <v>12813779.656117178</v>
      </c>
      <c r="L119" s="31">
        <v>16320506.984031525</v>
      </c>
      <c r="M119" s="31">
        <f t="shared" si="8"/>
        <v>307806871.73986304</v>
      </c>
      <c r="N119" s="31">
        <v>3814106.5100000002</v>
      </c>
      <c r="P119" s="42" t="s">
        <v>217</v>
      </c>
      <c r="Q119" s="42" t="s">
        <v>218</v>
      </c>
      <c r="R119" s="43" t="s">
        <v>1050</v>
      </c>
      <c r="S119" s="44">
        <v>34</v>
      </c>
      <c r="T119" s="31">
        <v>243918119.54448366</v>
      </c>
      <c r="U119" s="31">
        <v>10023936.149999999</v>
      </c>
      <c r="V119" s="31">
        <v>10884323.58</v>
      </c>
      <c r="W119" s="31">
        <v>858315.0199999999</v>
      </c>
      <c r="X119" s="31">
        <v>30655211.320501208</v>
      </c>
      <c r="Y119" s="31">
        <v>12843481.218460964</v>
      </c>
      <c r="Z119" s="31">
        <v>17571745.883682173</v>
      </c>
      <c r="AA119" s="31">
        <f t="shared" si="9"/>
        <v>330776449.95712805</v>
      </c>
      <c r="AB119" s="31">
        <v>4021317.24</v>
      </c>
      <c r="AD119" s="42" t="s">
        <v>217</v>
      </c>
      <c r="AE119" s="42" t="s">
        <v>218</v>
      </c>
      <c r="AF119" s="43" t="s">
        <v>1275</v>
      </c>
      <c r="AG119" s="44">
        <v>34</v>
      </c>
      <c r="AH119" s="31">
        <v>248524320.4267115</v>
      </c>
      <c r="AI119" s="31">
        <v>10208857.02</v>
      </c>
      <c r="AJ119" s="31">
        <v>11085943.040000001</v>
      </c>
      <c r="AK119" s="31">
        <v>874179.68</v>
      </c>
      <c r="AL119" s="31">
        <v>31224908.903240968</v>
      </c>
      <c r="AM119" s="31">
        <v>12820221.420757512</v>
      </c>
      <c r="AN119" s="31">
        <v>17898530.650149997</v>
      </c>
      <c r="AO119" s="31">
        <f t="shared" si="10"/>
        <v>336733595.83086002</v>
      </c>
      <c r="AP119" s="31">
        <v>4096634.69</v>
      </c>
      <c r="AR119" s="42" t="s">
        <v>217</v>
      </c>
      <c r="AS119" s="42" t="s">
        <v>218</v>
      </c>
      <c r="AT119" s="43" t="s">
        <v>1276</v>
      </c>
      <c r="AU119" s="44">
        <v>34</v>
      </c>
      <c r="AV119" s="31">
        <v>253694166.5935601</v>
      </c>
      <c r="AW119" s="31">
        <v>10416794.959999999</v>
      </c>
      <c r="AX119" s="31">
        <v>11312811.68</v>
      </c>
      <c r="AY119" s="31">
        <v>892146.53000000014</v>
      </c>
      <c r="AZ119" s="31">
        <v>31865422.153335433</v>
      </c>
      <c r="BA119" s="31">
        <v>12820885.986406183</v>
      </c>
      <c r="BB119" s="31">
        <v>18265981.321767859</v>
      </c>
      <c r="BC119" s="31">
        <f t="shared" si="11"/>
        <v>343449586.98506957</v>
      </c>
      <c r="BD119" s="31">
        <v>4181377.76</v>
      </c>
    </row>
    <row r="120" spans="2:56">
      <c r="B120" s="42" t="s">
        <v>505</v>
      </c>
      <c r="C120" s="42" t="s">
        <v>506</v>
      </c>
      <c r="D120" s="43" t="s">
        <v>1049</v>
      </c>
      <c r="E120" s="44">
        <v>34</v>
      </c>
      <c r="F120" s="31">
        <v>8800805.2128784116</v>
      </c>
      <c r="G120" s="31">
        <v>364588.17999999993</v>
      </c>
      <c r="H120" s="31">
        <v>0</v>
      </c>
      <c r="I120" s="31">
        <v>30466.409999999996</v>
      </c>
      <c r="J120" s="31">
        <v>1318287.4116704226</v>
      </c>
      <c r="K120" s="31">
        <v>955215.39119258686</v>
      </c>
      <c r="L120" s="31">
        <v>501262.22054942674</v>
      </c>
      <c r="M120" s="31">
        <f t="shared" si="8"/>
        <v>12185503.856290847</v>
      </c>
      <c r="N120" s="31">
        <v>214879.03</v>
      </c>
      <c r="P120" s="42" t="s">
        <v>505</v>
      </c>
      <c r="Q120" s="42" t="s">
        <v>506</v>
      </c>
      <c r="R120" s="43" t="s">
        <v>1050</v>
      </c>
      <c r="S120" s="44">
        <v>34</v>
      </c>
      <c r="T120" s="31">
        <v>9499464.886488501</v>
      </c>
      <c r="U120" s="31">
        <v>393464.17</v>
      </c>
      <c r="V120" s="31">
        <v>0</v>
      </c>
      <c r="W120" s="31">
        <v>32650.590000000004</v>
      </c>
      <c r="X120" s="31">
        <v>1403309.6479822285</v>
      </c>
      <c r="Y120" s="31">
        <v>957342.92831775546</v>
      </c>
      <c r="Z120" s="31">
        <v>539813.31820212153</v>
      </c>
      <c r="AA120" s="31">
        <f t="shared" si="9"/>
        <v>13052405.830990605</v>
      </c>
      <c r="AB120" s="31">
        <v>226360.28999999998</v>
      </c>
      <c r="AD120" s="42" t="s">
        <v>505</v>
      </c>
      <c r="AE120" s="42" t="s">
        <v>506</v>
      </c>
      <c r="AF120" s="43" t="s">
        <v>1275</v>
      </c>
      <c r="AG120" s="44">
        <v>34</v>
      </c>
      <c r="AH120" s="31">
        <v>9701515.7752626985</v>
      </c>
      <c r="AI120" s="31">
        <v>400636.03</v>
      </c>
      <c r="AJ120" s="31">
        <v>0</v>
      </c>
      <c r="AK120" s="31">
        <v>33222.579999999994</v>
      </c>
      <c r="AL120" s="31">
        <v>1429120.7749136249</v>
      </c>
      <c r="AM120" s="31">
        <v>955726.57391248806</v>
      </c>
      <c r="AN120" s="31">
        <v>549790.69428210112</v>
      </c>
      <c r="AO120" s="31">
        <f t="shared" si="10"/>
        <v>13300605.638370913</v>
      </c>
      <c r="AP120" s="31">
        <v>230593.21</v>
      </c>
      <c r="AR120" s="42" t="s">
        <v>505</v>
      </c>
      <c r="AS120" s="42" t="s">
        <v>506</v>
      </c>
      <c r="AT120" s="43" t="s">
        <v>1276</v>
      </c>
      <c r="AU120" s="44">
        <v>34</v>
      </c>
      <c r="AV120" s="31">
        <v>9925153.7638806812</v>
      </c>
      <c r="AW120" s="31">
        <v>408641.23000000004</v>
      </c>
      <c r="AX120" s="31">
        <v>0</v>
      </c>
      <c r="AY120" s="31">
        <v>33946.479999999996</v>
      </c>
      <c r="AZ120" s="31">
        <v>1458139.673723581</v>
      </c>
      <c r="BA120" s="31">
        <v>955772.75546692428</v>
      </c>
      <c r="BB120" s="31">
        <v>560959.05105580797</v>
      </c>
      <c r="BC120" s="31">
        <f t="shared" si="11"/>
        <v>13577842.044126995</v>
      </c>
      <c r="BD120" s="31">
        <v>235229.09000000003</v>
      </c>
    </row>
    <row r="121" spans="2:56">
      <c r="B121" s="42" t="s">
        <v>21</v>
      </c>
      <c r="C121" s="42" t="s">
        <v>22</v>
      </c>
      <c r="D121" s="43" t="s">
        <v>1049</v>
      </c>
      <c r="E121" s="44">
        <v>34</v>
      </c>
      <c r="F121" s="31">
        <v>11371052.95961256</v>
      </c>
      <c r="G121" s="31">
        <v>611453.14000000013</v>
      </c>
      <c r="H121" s="31">
        <v>543925.31999999995</v>
      </c>
      <c r="I121" s="31">
        <v>39074.549999999996</v>
      </c>
      <c r="J121" s="31">
        <v>1644237.8240866514</v>
      </c>
      <c r="K121" s="31">
        <v>731585.67916059343</v>
      </c>
      <c r="L121" s="31">
        <v>756149.24569961138</v>
      </c>
      <c r="M121" s="31">
        <f t="shared" si="8"/>
        <v>16094752.738559416</v>
      </c>
      <c r="N121" s="31">
        <v>397274.01999999996</v>
      </c>
      <c r="P121" s="42" t="s">
        <v>21</v>
      </c>
      <c r="Q121" s="42" t="s">
        <v>22</v>
      </c>
      <c r="R121" s="43" t="s">
        <v>1050</v>
      </c>
      <c r="S121" s="44">
        <v>34</v>
      </c>
      <c r="T121" s="31">
        <v>12298641.669516528</v>
      </c>
      <c r="U121" s="31">
        <v>660890.07000000007</v>
      </c>
      <c r="V121" s="31">
        <v>582032.79</v>
      </c>
      <c r="W121" s="31">
        <v>41818.369999999995</v>
      </c>
      <c r="X121" s="31">
        <v>1750292.6238076673</v>
      </c>
      <c r="Y121" s="31">
        <v>732805.16263942537</v>
      </c>
      <c r="Z121" s="31">
        <v>814228.9533622507</v>
      </c>
      <c r="AA121" s="31">
        <f t="shared" si="9"/>
        <v>17299210.71932587</v>
      </c>
      <c r="AB121" s="31">
        <v>418501.08</v>
      </c>
      <c r="AD121" s="42" t="s">
        <v>21</v>
      </c>
      <c r="AE121" s="42" t="s">
        <v>22</v>
      </c>
      <c r="AF121" s="43" t="s">
        <v>1275</v>
      </c>
      <c r="AG121" s="44">
        <v>34</v>
      </c>
      <c r="AH121" s="31">
        <v>12525949.491782637</v>
      </c>
      <c r="AI121" s="31">
        <v>672846.00999999978</v>
      </c>
      <c r="AJ121" s="31">
        <v>592708.30999999994</v>
      </c>
      <c r="AK121" s="31">
        <v>42547.47</v>
      </c>
      <c r="AL121" s="31">
        <v>1782366.4280036138</v>
      </c>
      <c r="AM121" s="31">
        <v>731878.68409771495</v>
      </c>
      <c r="AN121" s="31">
        <v>829169.9150846214</v>
      </c>
      <c r="AO121" s="31">
        <f t="shared" si="10"/>
        <v>17603675.06896859</v>
      </c>
      <c r="AP121" s="31">
        <v>426208.76</v>
      </c>
      <c r="AR121" s="42" t="s">
        <v>21</v>
      </c>
      <c r="AS121" s="42" t="s">
        <v>22</v>
      </c>
      <c r="AT121" s="43" t="s">
        <v>1276</v>
      </c>
      <c r="AU121" s="44">
        <v>34</v>
      </c>
      <c r="AV121" s="31">
        <v>12781725.478791896</v>
      </c>
      <c r="AW121" s="31">
        <v>686284.01000000024</v>
      </c>
      <c r="AX121" s="31">
        <v>604553.76</v>
      </c>
      <c r="AY121" s="31">
        <v>43435.85</v>
      </c>
      <c r="AZ121" s="31">
        <v>1818439.2250140733</v>
      </c>
      <c r="BA121" s="31">
        <v>731905.15491319238</v>
      </c>
      <c r="BB121" s="31">
        <v>845893.97329225857</v>
      </c>
      <c r="BC121" s="31">
        <f t="shared" si="11"/>
        <v>17947114.142011423</v>
      </c>
      <c r="BD121" s="31">
        <v>434876.69</v>
      </c>
    </row>
    <row r="122" spans="2:56">
      <c r="B122" s="42" t="s">
        <v>247</v>
      </c>
      <c r="C122" s="42" t="s">
        <v>248</v>
      </c>
      <c r="D122" s="43" t="s">
        <v>1049</v>
      </c>
      <c r="E122" s="44">
        <v>34</v>
      </c>
      <c r="F122" s="31">
        <v>4839700.7607450802</v>
      </c>
      <c r="G122" s="31">
        <v>171109.43</v>
      </c>
      <c r="H122" s="31">
        <v>54567.93</v>
      </c>
      <c r="I122" s="31">
        <v>0</v>
      </c>
      <c r="J122" s="31">
        <v>724780.13679404021</v>
      </c>
      <c r="K122" s="31">
        <v>411250.93964047218</v>
      </c>
      <c r="L122" s="31">
        <v>491623.43671317084</v>
      </c>
      <c r="M122" s="31">
        <f t="shared" si="8"/>
        <v>6693032.6338927625</v>
      </c>
      <c r="N122" s="31">
        <v>0</v>
      </c>
      <c r="P122" s="42" t="s">
        <v>247</v>
      </c>
      <c r="Q122" s="42" t="s">
        <v>248</v>
      </c>
      <c r="R122" s="43" t="s">
        <v>1050</v>
      </c>
      <c r="S122" s="44">
        <v>34</v>
      </c>
      <c r="T122" s="31">
        <v>5174492.1185373943</v>
      </c>
      <c r="U122" s="31">
        <v>183046.15</v>
      </c>
      <c r="V122" s="31">
        <v>58317.419999999991</v>
      </c>
      <c r="W122" s="31">
        <v>0</v>
      </c>
      <c r="X122" s="31">
        <v>771528.51736911805</v>
      </c>
      <c r="Y122" s="31">
        <v>412086.90550276212</v>
      </c>
      <c r="Z122" s="31">
        <v>524262.98175952892</v>
      </c>
      <c r="AA122" s="31">
        <f t="shared" si="9"/>
        <v>7123734.0931688026</v>
      </c>
      <c r="AB122" s="31">
        <v>0</v>
      </c>
      <c r="AD122" s="42" t="s">
        <v>247</v>
      </c>
      <c r="AE122" s="42" t="s">
        <v>248</v>
      </c>
      <c r="AF122" s="43" t="s">
        <v>1275</v>
      </c>
      <c r="AG122" s="44">
        <v>34</v>
      </c>
      <c r="AH122" s="31">
        <v>5270336.5826905165</v>
      </c>
      <c r="AI122" s="31">
        <v>186448.66999999998</v>
      </c>
      <c r="AJ122" s="31">
        <v>59439.75</v>
      </c>
      <c r="AK122" s="31">
        <v>0</v>
      </c>
      <c r="AL122" s="31">
        <v>785678.67324798566</v>
      </c>
      <c r="AM122" s="31">
        <v>411451.7969125614</v>
      </c>
      <c r="AN122" s="31">
        <v>533934.26395549637</v>
      </c>
      <c r="AO122" s="31">
        <f t="shared" si="10"/>
        <v>7247289.7368065594</v>
      </c>
      <c r="AP122" s="31">
        <v>0</v>
      </c>
      <c r="AR122" s="42" t="s">
        <v>247</v>
      </c>
      <c r="AS122" s="42" t="s">
        <v>248</v>
      </c>
      <c r="AT122" s="43" t="s">
        <v>1276</v>
      </c>
      <c r="AU122" s="44">
        <v>34</v>
      </c>
      <c r="AV122" s="31">
        <v>5377185.5455596605</v>
      </c>
      <c r="AW122" s="31">
        <v>190193.08</v>
      </c>
      <c r="AX122" s="31">
        <v>60638.149999999994</v>
      </c>
      <c r="AY122" s="31">
        <v>0</v>
      </c>
      <c r="AZ122" s="31">
        <v>801588.2144400978</v>
      </c>
      <c r="BA122" s="31">
        <v>411469.94287228142</v>
      </c>
      <c r="BB122" s="31">
        <v>544871.94337773346</v>
      </c>
      <c r="BC122" s="31">
        <f t="shared" si="11"/>
        <v>7385946.8762497734</v>
      </c>
      <c r="BD122" s="31">
        <v>0</v>
      </c>
    </row>
    <row r="123" spans="2:56">
      <c r="B123" s="42" t="s">
        <v>261</v>
      </c>
      <c r="C123" s="42" t="s">
        <v>262</v>
      </c>
      <c r="D123" s="43" t="s">
        <v>1049</v>
      </c>
      <c r="E123" s="44">
        <v>34</v>
      </c>
      <c r="F123" s="31">
        <v>2001218.9268738618</v>
      </c>
      <c r="G123" s="31">
        <v>30970.840000000004</v>
      </c>
      <c r="H123" s="31">
        <v>0</v>
      </c>
      <c r="I123" s="31">
        <v>2723.82</v>
      </c>
      <c r="J123" s="31">
        <v>116007.66203102519</v>
      </c>
      <c r="K123" s="31">
        <v>95501.994369712687</v>
      </c>
      <c r="L123" s="31">
        <v>0</v>
      </c>
      <c r="M123" s="31">
        <f t="shared" si="8"/>
        <v>2273358.7832745998</v>
      </c>
      <c r="N123" s="31">
        <v>26935.54</v>
      </c>
      <c r="P123" s="42" t="s">
        <v>261</v>
      </c>
      <c r="Q123" s="42" t="s">
        <v>262</v>
      </c>
      <c r="R123" s="43" t="s">
        <v>1050</v>
      </c>
      <c r="S123" s="44">
        <v>34</v>
      </c>
      <c r="T123" s="31">
        <v>2133088.0772365415</v>
      </c>
      <c r="U123" s="31">
        <v>33407.349999999991</v>
      </c>
      <c r="V123" s="31">
        <v>0</v>
      </c>
      <c r="W123" s="31">
        <v>2899.8900000000003</v>
      </c>
      <c r="X123" s="31">
        <v>122884.79507217648</v>
      </c>
      <c r="Y123" s="31">
        <v>95712.642575886624</v>
      </c>
      <c r="Z123" s="31">
        <v>0</v>
      </c>
      <c r="AA123" s="31">
        <f t="shared" si="9"/>
        <v>2416234.9048846047</v>
      </c>
      <c r="AB123" s="31">
        <v>28242.149999999998</v>
      </c>
      <c r="AD123" s="42" t="s">
        <v>261</v>
      </c>
      <c r="AE123" s="42" t="s">
        <v>262</v>
      </c>
      <c r="AF123" s="43" t="s">
        <v>1275</v>
      </c>
      <c r="AG123" s="44">
        <v>34</v>
      </c>
      <c r="AH123" s="31">
        <v>2170234.7613454587</v>
      </c>
      <c r="AI123" s="31">
        <v>33986.090000000004</v>
      </c>
      <c r="AJ123" s="31">
        <v>0</v>
      </c>
      <c r="AK123" s="31">
        <v>2950.6800000000003</v>
      </c>
      <c r="AL123" s="31">
        <v>125048.88843120573</v>
      </c>
      <c r="AM123" s="31">
        <v>95552.606752312495</v>
      </c>
      <c r="AN123" s="31">
        <v>0</v>
      </c>
      <c r="AO123" s="31">
        <f t="shared" si="10"/>
        <v>2456516.436528977</v>
      </c>
      <c r="AP123" s="31">
        <v>28743.409999999996</v>
      </c>
      <c r="AR123" s="42" t="s">
        <v>261</v>
      </c>
      <c r="AS123" s="42" t="s">
        <v>262</v>
      </c>
      <c r="AT123" s="43" t="s">
        <v>1276</v>
      </c>
      <c r="AU123" s="44">
        <v>34</v>
      </c>
      <c r="AV123" s="31">
        <v>2210019.093425015</v>
      </c>
      <c r="AW123" s="31">
        <v>34605.930000000008</v>
      </c>
      <c r="AX123" s="31">
        <v>0</v>
      </c>
      <c r="AY123" s="31">
        <v>3005.1000000000004</v>
      </c>
      <c r="AZ123" s="31">
        <v>127366.6174036038</v>
      </c>
      <c r="BA123" s="31">
        <v>95557.179204414613</v>
      </c>
      <c r="BB123" s="31">
        <v>0</v>
      </c>
      <c r="BC123" s="31">
        <f t="shared" si="11"/>
        <v>2499834.1800330332</v>
      </c>
      <c r="BD123" s="31">
        <v>29280.259999999995</v>
      </c>
    </row>
    <row r="124" spans="2:56">
      <c r="B124" s="42" t="s">
        <v>59</v>
      </c>
      <c r="C124" s="42" t="s">
        <v>60</v>
      </c>
      <c r="D124" s="43" t="s">
        <v>1049</v>
      </c>
      <c r="E124" s="44">
        <v>34</v>
      </c>
      <c r="F124" s="31">
        <v>14913763.567702662</v>
      </c>
      <c r="G124" s="31">
        <v>289068.68</v>
      </c>
      <c r="H124" s="31">
        <v>71577.909999999989</v>
      </c>
      <c r="I124" s="31">
        <v>51005.88</v>
      </c>
      <c r="J124" s="31">
        <v>2152277.0076281372</v>
      </c>
      <c r="K124" s="31">
        <v>0</v>
      </c>
      <c r="L124" s="31">
        <v>423526.18710599205</v>
      </c>
      <c r="M124" s="31">
        <f t="shared" si="8"/>
        <v>17901219.232436791</v>
      </c>
      <c r="N124" s="31">
        <v>0</v>
      </c>
      <c r="P124" s="42" t="s">
        <v>59</v>
      </c>
      <c r="Q124" s="42" t="s">
        <v>60</v>
      </c>
      <c r="R124" s="43" t="s">
        <v>1050</v>
      </c>
      <c r="S124" s="44">
        <v>34</v>
      </c>
      <c r="T124" s="31">
        <v>15953765.678533521</v>
      </c>
      <c r="U124" s="31">
        <v>309114.69999999995</v>
      </c>
      <c r="V124" s="31">
        <v>76404.029999999984</v>
      </c>
      <c r="W124" s="31">
        <v>54622.67</v>
      </c>
      <c r="X124" s="31">
        <v>2290809.1754146656</v>
      </c>
      <c r="Y124" s="31">
        <v>0</v>
      </c>
      <c r="Z124" s="31">
        <v>451543.32208830892</v>
      </c>
      <c r="AA124" s="31">
        <f t="shared" si="9"/>
        <v>19136259.576036494</v>
      </c>
      <c r="AB124" s="31">
        <v>0</v>
      </c>
      <c r="AD124" s="42" t="s">
        <v>59</v>
      </c>
      <c r="AE124" s="42" t="s">
        <v>60</v>
      </c>
      <c r="AF124" s="43" t="s">
        <v>1275</v>
      </c>
      <c r="AG124" s="44">
        <v>34</v>
      </c>
      <c r="AH124" s="31">
        <v>16258402.984411051</v>
      </c>
      <c r="AI124" s="31">
        <v>314795.25</v>
      </c>
      <c r="AJ124" s="31">
        <v>77866.17</v>
      </c>
      <c r="AK124" s="31">
        <v>55585.880000000005</v>
      </c>
      <c r="AL124" s="31">
        <v>2333102.8993022707</v>
      </c>
      <c r="AM124" s="31">
        <v>0</v>
      </c>
      <c r="AN124" s="31">
        <v>460038.50260411052</v>
      </c>
      <c r="AO124" s="31">
        <f t="shared" si="10"/>
        <v>19499791.686317436</v>
      </c>
      <c r="AP124" s="31">
        <v>0</v>
      </c>
      <c r="AR124" s="42" t="s">
        <v>59</v>
      </c>
      <c r="AS124" s="42" t="s">
        <v>60</v>
      </c>
      <c r="AT124" s="43" t="s">
        <v>1276</v>
      </c>
      <c r="AU124" s="44">
        <v>34</v>
      </c>
      <c r="AV124" s="31">
        <v>16600089.207275419</v>
      </c>
      <c r="AW124" s="31">
        <v>321222.28000000003</v>
      </c>
      <c r="AX124" s="31">
        <v>79428.23</v>
      </c>
      <c r="AY124" s="31">
        <v>56734.46</v>
      </c>
      <c r="AZ124" s="31">
        <v>2380671.0085711498</v>
      </c>
      <c r="BA124" s="31">
        <v>0</v>
      </c>
      <c r="BB124" s="31">
        <v>469315.01931471634</v>
      </c>
      <c r="BC124" s="31">
        <f t="shared" si="11"/>
        <v>19907460.205161285</v>
      </c>
      <c r="BD124" s="31">
        <v>0</v>
      </c>
    </row>
    <row r="125" spans="2:56">
      <c r="B125" s="42" t="s">
        <v>409</v>
      </c>
      <c r="C125" s="42" t="s">
        <v>410</v>
      </c>
      <c r="D125" s="43" t="s">
        <v>1049</v>
      </c>
      <c r="E125" s="44">
        <v>34</v>
      </c>
      <c r="F125" s="31">
        <v>5697579.4130249638</v>
      </c>
      <c r="G125" s="31">
        <v>238525.10000000003</v>
      </c>
      <c r="H125" s="31">
        <v>20460.89</v>
      </c>
      <c r="I125" s="31">
        <v>18459.28</v>
      </c>
      <c r="J125" s="31">
        <v>802992.76765904401</v>
      </c>
      <c r="K125" s="31">
        <v>580917.66512366582</v>
      </c>
      <c r="L125" s="31">
        <v>149238.444619491</v>
      </c>
      <c r="M125" s="31">
        <f t="shared" si="8"/>
        <v>7697325.6104271635</v>
      </c>
      <c r="N125" s="31">
        <v>189152.05</v>
      </c>
      <c r="P125" s="42" t="s">
        <v>409</v>
      </c>
      <c r="Q125" s="42" t="s">
        <v>410</v>
      </c>
      <c r="R125" s="43" t="s">
        <v>1050</v>
      </c>
      <c r="S125" s="44">
        <v>34</v>
      </c>
      <c r="T125" s="31">
        <v>6138889.6232849807</v>
      </c>
      <c r="U125" s="31">
        <v>257900.81999999998</v>
      </c>
      <c r="V125" s="31">
        <v>21887.39</v>
      </c>
      <c r="W125" s="31">
        <v>19757.820000000003</v>
      </c>
      <c r="X125" s="31">
        <v>854615.37183641968</v>
      </c>
      <c r="Y125" s="31">
        <v>581899.43980469299</v>
      </c>
      <c r="Z125" s="31">
        <v>160744.31620163203</v>
      </c>
      <c r="AA125" s="31">
        <f t="shared" si="9"/>
        <v>8235181.3711277246</v>
      </c>
      <c r="AB125" s="31">
        <v>199486.59</v>
      </c>
      <c r="AD125" s="42" t="s">
        <v>409</v>
      </c>
      <c r="AE125" s="42" t="s">
        <v>410</v>
      </c>
      <c r="AF125" s="43" t="s">
        <v>1275</v>
      </c>
      <c r="AG125" s="44">
        <v>34</v>
      </c>
      <c r="AH125" s="31">
        <v>6252773.9476736952</v>
      </c>
      <c r="AI125" s="31">
        <v>262555.46000000008</v>
      </c>
      <c r="AJ125" s="31">
        <v>22275.63</v>
      </c>
      <c r="AK125" s="31">
        <v>20108.290000000005</v>
      </c>
      <c r="AL125" s="31">
        <v>870465.51335081761</v>
      </c>
      <c r="AM125" s="31">
        <v>581137.73506600806</v>
      </c>
      <c r="AN125" s="31">
        <v>163626.58562699173</v>
      </c>
      <c r="AO125" s="31">
        <f t="shared" si="10"/>
        <v>8376129.2517175116</v>
      </c>
      <c r="AP125" s="31">
        <v>203186.09</v>
      </c>
      <c r="AR125" s="42" t="s">
        <v>409</v>
      </c>
      <c r="AS125" s="42" t="s">
        <v>410</v>
      </c>
      <c r="AT125" s="43" t="s">
        <v>1276</v>
      </c>
      <c r="AU125" s="44">
        <v>34</v>
      </c>
      <c r="AV125" s="31">
        <v>6379535.5913472511</v>
      </c>
      <c r="AW125" s="31">
        <v>267907.73</v>
      </c>
      <c r="AX125" s="31">
        <v>22814.109999999997</v>
      </c>
      <c r="AY125" s="31">
        <v>20483.650000000005</v>
      </c>
      <c r="AZ125" s="31">
        <v>888280.22889188805</v>
      </c>
      <c r="BA125" s="31">
        <v>581159.49805854203</v>
      </c>
      <c r="BB125" s="31">
        <v>166985.42649054481</v>
      </c>
      <c r="BC125" s="31">
        <f t="shared" si="11"/>
        <v>8534552.5447882265</v>
      </c>
      <c r="BD125" s="31">
        <v>207386.30999999997</v>
      </c>
    </row>
    <row r="126" spans="2:56">
      <c r="B126" s="42" t="s">
        <v>555</v>
      </c>
      <c r="C126" s="42" t="s">
        <v>556</v>
      </c>
      <c r="D126" s="43" t="s">
        <v>1049</v>
      </c>
      <c r="E126" s="44">
        <v>34</v>
      </c>
      <c r="F126" s="31">
        <v>1924304.0592740213</v>
      </c>
      <c r="G126" s="31">
        <v>21790.550000000003</v>
      </c>
      <c r="H126" s="31">
        <v>0</v>
      </c>
      <c r="I126" s="31">
        <v>2320.29</v>
      </c>
      <c r="J126" s="31">
        <v>115869.15710561308</v>
      </c>
      <c r="K126" s="31">
        <v>236903.10679434999</v>
      </c>
      <c r="L126" s="31">
        <v>33887.696309706771</v>
      </c>
      <c r="M126" s="31">
        <f t="shared" si="8"/>
        <v>2335074.8594836909</v>
      </c>
      <c r="N126" s="31">
        <v>0</v>
      </c>
      <c r="P126" s="42" t="s">
        <v>555</v>
      </c>
      <c r="Q126" s="42" t="s">
        <v>556</v>
      </c>
      <c r="R126" s="43" t="s">
        <v>1050</v>
      </c>
      <c r="S126" s="44">
        <v>34</v>
      </c>
      <c r="T126" s="31">
        <v>2041237.2069132179</v>
      </c>
      <c r="U126" s="31">
        <v>23199.109999999997</v>
      </c>
      <c r="V126" s="31">
        <v>0</v>
      </c>
      <c r="W126" s="31">
        <v>2470.2700000000004</v>
      </c>
      <c r="X126" s="31">
        <v>122734.7014248552</v>
      </c>
      <c r="Y126" s="31">
        <v>237379.26103174576</v>
      </c>
      <c r="Z126" s="31">
        <v>35967.421804848003</v>
      </c>
      <c r="AA126" s="31">
        <f t="shared" si="9"/>
        <v>2462987.9711746671</v>
      </c>
      <c r="AB126" s="31">
        <v>0</v>
      </c>
      <c r="AD126" s="42" t="s">
        <v>555</v>
      </c>
      <c r="AE126" s="42" t="s">
        <v>556</v>
      </c>
      <c r="AF126" s="43" t="s">
        <v>1275</v>
      </c>
      <c r="AG126" s="44">
        <v>34</v>
      </c>
      <c r="AH126" s="31">
        <v>2076700.3555370884</v>
      </c>
      <c r="AI126" s="31">
        <v>23605.52</v>
      </c>
      <c r="AJ126" s="31">
        <v>0</v>
      </c>
      <c r="AK126" s="31">
        <v>2513.5400000000004</v>
      </c>
      <c r="AL126" s="31">
        <v>124896.44946374305</v>
      </c>
      <c r="AM126" s="31">
        <v>237017.51223305421</v>
      </c>
      <c r="AN126" s="31">
        <v>36602.092181485772</v>
      </c>
      <c r="AO126" s="31">
        <f t="shared" si="10"/>
        <v>2501335.4694153713</v>
      </c>
      <c r="AP126" s="31">
        <v>0</v>
      </c>
      <c r="AR126" s="42" t="s">
        <v>555</v>
      </c>
      <c r="AS126" s="42" t="s">
        <v>556</v>
      </c>
      <c r="AT126" s="43" t="s">
        <v>1276</v>
      </c>
      <c r="AU126" s="44">
        <v>34</v>
      </c>
      <c r="AV126" s="31">
        <v>2114685.0834074141</v>
      </c>
      <c r="AW126" s="31">
        <v>24040.790000000005</v>
      </c>
      <c r="AX126" s="31">
        <v>0</v>
      </c>
      <c r="AY126" s="31">
        <v>2559.9</v>
      </c>
      <c r="AZ126" s="31">
        <v>127211.67139796309</v>
      </c>
      <c r="BA126" s="31">
        <v>237027.84791301683</v>
      </c>
      <c r="BB126" s="31">
        <v>37281.802986464798</v>
      </c>
      <c r="BC126" s="31">
        <f t="shared" si="11"/>
        <v>2542807.0957048591</v>
      </c>
      <c r="BD126" s="31">
        <v>0</v>
      </c>
    </row>
    <row r="127" spans="2:56">
      <c r="B127" s="42" t="s">
        <v>35</v>
      </c>
      <c r="C127" s="42" t="s">
        <v>36</v>
      </c>
      <c r="D127" s="43" t="s">
        <v>1049</v>
      </c>
      <c r="E127" s="44">
        <v>34</v>
      </c>
      <c r="F127" s="31">
        <v>10140318.580616962</v>
      </c>
      <c r="G127" s="31">
        <v>478054.03000000009</v>
      </c>
      <c r="H127" s="31">
        <v>536617.13</v>
      </c>
      <c r="I127" s="31">
        <v>35176.82</v>
      </c>
      <c r="J127" s="31">
        <v>1156519.6690649325</v>
      </c>
      <c r="K127" s="31">
        <v>784745.92692644184</v>
      </c>
      <c r="L127" s="31">
        <v>898868.49133570888</v>
      </c>
      <c r="M127" s="31">
        <f t="shared" si="8"/>
        <v>14388207.807944044</v>
      </c>
      <c r="N127" s="31">
        <v>357907.16</v>
      </c>
      <c r="P127" s="42" t="s">
        <v>35</v>
      </c>
      <c r="Q127" s="42" t="s">
        <v>36</v>
      </c>
      <c r="R127" s="43" t="s">
        <v>1050</v>
      </c>
      <c r="S127" s="44">
        <v>34</v>
      </c>
      <c r="T127" s="31">
        <v>10952409.748173861</v>
      </c>
      <c r="U127" s="31">
        <v>517552.0400000001</v>
      </c>
      <c r="V127" s="31">
        <v>574146.43999999994</v>
      </c>
      <c r="W127" s="31">
        <v>37667.659999999996</v>
      </c>
      <c r="X127" s="31">
        <v>1231170.1119721434</v>
      </c>
      <c r="Y127" s="31">
        <v>786649.11670506059</v>
      </c>
      <c r="Z127" s="31">
        <v>968010.78339635092</v>
      </c>
      <c r="AA127" s="31">
        <f t="shared" si="9"/>
        <v>15444634.830247415</v>
      </c>
      <c r="AB127" s="31">
        <v>377028.93</v>
      </c>
      <c r="AD127" s="42" t="s">
        <v>35</v>
      </c>
      <c r="AE127" s="42" t="s">
        <v>36</v>
      </c>
      <c r="AF127" s="43" t="s">
        <v>1275</v>
      </c>
      <c r="AG127" s="44">
        <v>34</v>
      </c>
      <c r="AH127" s="31">
        <v>11154859.170405446</v>
      </c>
      <c r="AI127" s="31">
        <v>526805.96</v>
      </c>
      <c r="AJ127" s="31">
        <v>584578.89</v>
      </c>
      <c r="AK127" s="31">
        <v>38324.39</v>
      </c>
      <c r="AL127" s="31">
        <v>1253731.0794339911</v>
      </c>
      <c r="AM127" s="31">
        <v>785203.20577531052</v>
      </c>
      <c r="AN127" s="31">
        <v>985677.98109679483</v>
      </c>
      <c r="AO127" s="31">
        <f t="shared" si="10"/>
        <v>15713080.436711542</v>
      </c>
      <c r="AP127" s="31">
        <v>383899.76000000007</v>
      </c>
      <c r="AR127" s="42" t="s">
        <v>35</v>
      </c>
      <c r="AS127" s="42" t="s">
        <v>36</v>
      </c>
      <c r="AT127" s="43" t="s">
        <v>1276</v>
      </c>
      <c r="AU127" s="44">
        <v>34</v>
      </c>
      <c r="AV127" s="31">
        <v>11381969.387078587</v>
      </c>
      <c r="AW127" s="31">
        <v>537359.09000000008</v>
      </c>
      <c r="AX127" s="31">
        <v>596382.67000000016</v>
      </c>
      <c r="AY127" s="31">
        <v>39135.26999999999</v>
      </c>
      <c r="AZ127" s="31">
        <v>1279121.8256679804</v>
      </c>
      <c r="BA127" s="31">
        <v>785244.5175161605</v>
      </c>
      <c r="BB127" s="31">
        <v>1005691.3848588462</v>
      </c>
      <c r="BC127" s="31">
        <f t="shared" si="11"/>
        <v>16016684.945121575</v>
      </c>
      <c r="BD127" s="31">
        <v>391780.80000000005</v>
      </c>
    </row>
    <row r="128" spans="2:56">
      <c r="B128" s="42" t="s">
        <v>155</v>
      </c>
      <c r="C128" s="42" t="s">
        <v>156</v>
      </c>
      <c r="D128" s="43" t="s">
        <v>1049</v>
      </c>
      <c r="E128" s="44">
        <v>34</v>
      </c>
      <c r="F128" s="31">
        <v>2420807.3367021177</v>
      </c>
      <c r="G128" s="31">
        <v>108843.50999999997</v>
      </c>
      <c r="H128" s="31">
        <v>72887.150000000009</v>
      </c>
      <c r="I128" s="31">
        <v>0</v>
      </c>
      <c r="J128" s="31">
        <v>215892.21302987021</v>
      </c>
      <c r="K128" s="31">
        <v>253814.67859208619</v>
      </c>
      <c r="L128" s="31">
        <v>44319.555746018625</v>
      </c>
      <c r="M128" s="31">
        <f t="shared" si="8"/>
        <v>3165967.9240700924</v>
      </c>
      <c r="N128" s="31">
        <v>49403.479999999996</v>
      </c>
      <c r="P128" s="42" t="s">
        <v>155</v>
      </c>
      <c r="Q128" s="42" t="s">
        <v>156</v>
      </c>
      <c r="R128" s="43" t="s">
        <v>1050</v>
      </c>
      <c r="S128" s="44">
        <v>34</v>
      </c>
      <c r="T128" s="31">
        <v>2593763.3465895364</v>
      </c>
      <c r="U128" s="31">
        <v>117357.04000000004</v>
      </c>
      <c r="V128" s="31">
        <v>77929.52</v>
      </c>
      <c r="W128" s="31">
        <v>0</v>
      </c>
      <c r="X128" s="31">
        <v>229819.00932963108</v>
      </c>
      <c r="Y128" s="31">
        <v>254489.06667618899</v>
      </c>
      <c r="Z128" s="31">
        <v>47684.68528202422</v>
      </c>
      <c r="AA128" s="31">
        <f t="shared" si="9"/>
        <v>3373138.2278773808</v>
      </c>
      <c r="AB128" s="31">
        <v>52095.56</v>
      </c>
      <c r="AD128" s="42" t="s">
        <v>155</v>
      </c>
      <c r="AE128" s="42" t="s">
        <v>156</v>
      </c>
      <c r="AF128" s="43" t="s">
        <v>1275</v>
      </c>
      <c r="AG128" s="44">
        <v>34</v>
      </c>
      <c r="AH128" s="31">
        <v>2640615.1066205697</v>
      </c>
      <c r="AI128" s="31">
        <v>119496.33</v>
      </c>
      <c r="AJ128" s="31">
        <v>79393.780000000013</v>
      </c>
      <c r="AK128" s="31">
        <v>0</v>
      </c>
      <c r="AL128" s="31">
        <v>234026.2202029184</v>
      </c>
      <c r="AM128" s="31">
        <v>253976.71361888896</v>
      </c>
      <c r="AN128" s="31">
        <v>48530.100097935181</v>
      </c>
      <c r="AO128" s="31">
        <f t="shared" si="10"/>
        <v>3429054.4505403126</v>
      </c>
      <c r="AP128" s="31">
        <v>53016.2</v>
      </c>
      <c r="AR128" s="42" t="s">
        <v>155</v>
      </c>
      <c r="AS128" s="42" t="s">
        <v>156</v>
      </c>
      <c r="AT128" s="43" t="s">
        <v>1276</v>
      </c>
      <c r="AU128" s="44">
        <v>34</v>
      </c>
      <c r="AV128" s="31">
        <v>2691539.6893789023</v>
      </c>
      <c r="AW128" s="31">
        <v>121893.04999999997</v>
      </c>
      <c r="AX128" s="31">
        <v>80958.38</v>
      </c>
      <c r="AY128" s="31">
        <v>0</v>
      </c>
      <c r="AZ128" s="31">
        <v>238765.21615860035</v>
      </c>
      <c r="BA128" s="31">
        <v>253991.35227766898</v>
      </c>
      <c r="BB128" s="31">
        <v>49552.028312447779</v>
      </c>
      <c r="BC128" s="31">
        <f t="shared" si="11"/>
        <v>3490807.8261276195</v>
      </c>
      <c r="BD128" s="31">
        <v>54108.11</v>
      </c>
    </row>
    <row r="129" spans="2:56">
      <c r="B129" s="42" t="s">
        <v>425</v>
      </c>
      <c r="C129" s="42" t="s">
        <v>426</v>
      </c>
      <c r="D129" s="43" t="s">
        <v>1049</v>
      </c>
      <c r="E129" s="44">
        <v>34</v>
      </c>
      <c r="F129" s="31">
        <v>86362423.432278514</v>
      </c>
      <c r="G129" s="31">
        <v>1703320.37</v>
      </c>
      <c r="H129" s="31">
        <v>1085754.96</v>
      </c>
      <c r="I129" s="31">
        <v>306776.49</v>
      </c>
      <c r="J129" s="31">
        <v>13991170.61229125</v>
      </c>
      <c r="K129" s="31">
        <v>5643176.9677509479</v>
      </c>
      <c r="L129" s="31">
        <v>6237020.8009363022</v>
      </c>
      <c r="M129" s="31">
        <f t="shared" si="8"/>
        <v>115329643.633257</v>
      </c>
      <c r="N129" s="31">
        <v>0</v>
      </c>
      <c r="P129" s="42" t="s">
        <v>425</v>
      </c>
      <c r="Q129" s="42" t="s">
        <v>426</v>
      </c>
      <c r="R129" s="43" t="s">
        <v>1050</v>
      </c>
      <c r="S129" s="44">
        <v>34</v>
      </c>
      <c r="T129" s="31">
        <v>91170291.502899244</v>
      </c>
      <c r="U129" s="31">
        <v>1793632.1600000001</v>
      </c>
      <c r="V129" s="31">
        <v>1143258.81</v>
      </c>
      <c r="W129" s="31">
        <v>323024.38</v>
      </c>
      <c r="X129" s="31">
        <v>14700768.912338253</v>
      </c>
      <c r="Y129" s="31">
        <v>5656956.2779079182</v>
      </c>
      <c r="Z129" s="31">
        <v>6566894.5676270239</v>
      </c>
      <c r="AA129" s="31">
        <f t="shared" si="9"/>
        <v>121354826.61077245</v>
      </c>
      <c r="AB129" s="31">
        <v>0</v>
      </c>
      <c r="AD129" s="42" t="s">
        <v>425</v>
      </c>
      <c r="AE129" s="42" t="s">
        <v>426</v>
      </c>
      <c r="AF129" s="43" t="s">
        <v>1275</v>
      </c>
      <c r="AG129" s="44">
        <v>34</v>
      </c>
      <c r="AH129" s="31">
        <v>92881075.580677792</v>
      </c>
      <c r="AI129" s="31">
        <v>1826852.0999999999</v>
      </c>
      <c r="AJ129" s="31">
        <v>1164554.04</v>
      </c>
      <c r="AK129" s="31">
        <v>329009.43000000005</v>
      </c>
      <c r="AL129" s="31">
        <v>14973968.851330303</v>
      </c>
      <c r="AM129" s="31">
        <v>5646147.8483452182</v>
      </c>
      <c r="AN129" s="31">
        <v>6688963.049346149</v>
      </c>
      <c r="AO129" s="31">
        <f t="shared" si="10"/>
        <v>123510570.89969948</v>
      </c>
      <c r="AP129" s="31">
        <v>0</v>
      </c>
      <c r="AR129" s="42" t="s">
        <v>425</v>
      </c>
      <c r="AS129" s="42" t="s">
        <v>426</v>
      </c>
      <c r="AT129" s="43" t="s">
        <v>1276</v>
      </c>
      <c r="AU129" s="44">
        <v>34</v>
      </c>
      <c r="AV129" s="31">
        <v>94801646.218411699</v>
      </c>
      <c r="AW129" s="31">
        <v>1864253.72</v>
      </c>
      <c r="AX129" s="31">
        <v>1188324.74</v>
      </c>
      <c r="AY129" s="31">
        <v>335784.88</v>
      </c>
      <c r="AZ129" s="31">
        <v>15281105.078139603</v>
      </c>
      <c r="BA129" s="31">
        <v>5646456.6606184393</v>
      </c>
      <c r="BB129" s="31">
        <v>6826302.9254215043</v>
      </c>
      <c r="BC129" s="31">
        <f t="shared" si="11"/>
        <v>125943874.22259124</v>
      </c>
      <c r="BD129" s="31">
        <v>0</v>
      </c>
    </row>
    <row r="130" spans="2:56">
      <c r="B130" s="42" t="s">
        <v>215</v>
      </c>
      <c r="C130" s="42" t="s">
        <v>216</v>
      </c>
      <c r="D130" s="43" t="s">
        <v>1049</v>
      </c>
      <c r="E130" s="44">
        <v>34</v>
      </c>
      <c r="F130" s="31">
        <v>278245844.28020018</v>
      </c>
      <c r="G130" s="31">
        <v>2410621.0099999998</v>
      </c>
      <c r="H130" s="31">
        <v>6599283.9200000009</v>
      </c>
      <c r="I130" s="31">
        <v>993923.83000000007</v>
      </c>
      <c r="J130" s="31">
        <v>29682763.197865915</v>
      </c>
      <c r="K130" s="31">
        <v>11230038.524321584</v>
      </c>
      <c r="L130" s="31">
        <v>23032619.324891828</v>
      </c>
      <c r="M130" s="31">
        <f t="shared" si="8"/>
        <v>352195094.08727944</v>
      </c>
      <c r="N130" s="31">
        <v>0</v>
      </c>
      <c r="P130" s="42" t="s">
        <v>215</v>
      </c>
      <c r="Q130" s="42" t="s">
        <v>216</v>
      </c>
      <c r="R130" s="43" t="s">
        <v>1050</v>
      </c>
      <c r="S130" s="44">
        <v>34</v>
      </c>
      <c r="T130" s="31">
        <v>297425913.95043242</v>
      </c>
      <c r="U130" s="31">
        <v>2576987.2699999996</v>
      </c>
      <c r="V130" s="31">
        <v>7055121.3500000015</v>
      </c>
      <c r="W130" s="31">
        <v>1062532.73</v>
      </c>
      <c r="X130" s="31">
        <v>31588075.547600184</v>
      </c>
      <c r="Y130" s="31">
        <v>11247440.365267133</v>
      </c>
      <c r="Z130" s="31">
        <v>24555891.913442038</v>
      </c>
      <c r="AA130" s="31">
        <f t="shared" si="9"/>
        <v>375511963.12674183</v>
      </c>
      <c r="AB130" s="31">
        <v>0</v>
      </c>
      <c r="AD130" s="42" t="s">
        <v>215</v>
      </c>
      <c r="AE130" s="42" t="s">
        <v>216</v>
      </c>
      <c r="AF130" s="43" t="s">
        <v>1275</v>
      </c>
      <c r="AG130" s="44">
        <v>34</v>
      </c>
      <c r="AH130" s="31">
        <v>303011449.14977491</v>
      </c>
      <c r="AI130" s="31">
        <v>2624739.7399999998</v>
      </c>
      <c r="AJ130" s="31">
        <v>7185756.8300000001</v>
      </c>
      <c r="AK130" s="31">
        <v>1082271.1100000001</v>
      </c>
      <c r="AL130" s="31">
        <v>32175076.620686959</v>
      </c>
      <c r="AM130" s="31">
        <v>11233812.688198293</v>
      </c>
      <c r="AN130" s="31">
        <v>25012853.079955067</v>
      </c>
      <c r="AO130" s="31">
        <f t="shared" si="10"/>
        <v>382325959.21861517</v>
      </c>
      <c r="AP130" s="31">
        <v>0</v>
      </c>
      <c r="AR130" s="42" t="s">
        <v>215</v>
      </c>
      <c r="AS130" s="42" t="s">
        <v>216</v>
      </c>
      <c r="AT130" s="43" t="s">
        <v>1276</v>
      </c>
      <c r="AU130" s="44">
        <v>34</v>
      </c>
      <c r="AV130" s="31">
        <v>309283670.7425375</v>
      </c>
      <c r="AW130" s="31">
        <v>2678432.4000000004</v>
      </c>
      <c r="AX130" s="31">
        <v>7332839.2199999997</v>
      </c>
      <c r="AY130" s="31">
        <v>1104378.51</v>
      </c>
      <c r="AZ130" s="31">
        <v>32835056.890352137</v>
      </c>
      <c r="BA130" s="31">
        <v>11234202.050400259</v>
      </c>
      <c r="BB130" s="31">
        <v>25527015.735701196</v>
      </c>
      <c r="BC130" s="31">
        <f t="shared" si="11"/>
        <v>389995595.54899108</v>
      </c>
      <c r="BD130" s="31">
        <v>0</v>
      </c>
    </row>
    <row r="131" spans="2:56">
      <c r="B131" s="42" t="s">
        <v>441</v>
      </c>
      <c r="C131" s="42" t="s">
        <v>442</v>
      </c>
      <c r="D131" s="43" t="s">
        <v>1049</v>
      </c>
      <c r="E131" s="44">
        <v>34</v>
      </c>
      <c r="F131" s="31">
        <v>23251330.655971952</v>
      </c>
      <c r="G131" s="31">
        <v>778403.53999999992</v>
      </c>
      <c r="H131" s="31">
        <v>365960.85000000003</v>
      </c>
      <c r="I131" s="31">
        <v>81398.76999999999</v>
      </c>
      <c r="J131" s="31">
        <v>3696900.4842654062</v>
      </c>
      <c r="K131" s="31">
        <v>1849661.5236069988</v>
      </c>
      <c r="L131" s="31">
        <v>1204492.7286306112</v>
      </c>
      <c r="M131" s="31">
        <f t="shared" si="8"/>
        <v>31228148.552474968</v>
      </c>
      <c r="N131" s="31">
        <v>0</v>
      </c>
      <c r="P131" s="42" t="s">
        <v>441</v>
      </c>
      <c r="Q131" s="42" t="s">
        <v>442</v>
      </c>
      <c r="R131" s="43" t="s">
        <v>1050</v>
      </c>
      <c r="S131" s="44">
        <v>34</v>
      </c>
      <c r="T131" s="31">
        <v>24705538.270176955</v>
      </c>
      <c r="U131" s="31">
        <v>825800.97</v>
      </c>
      <c r="V131" s="31">
        <v>388246.18999999994</v>
      </c>
      <c r="W131" s="31">
        <v>86289.98000000001</v>
      </c>
      <c r="X131" s="31">
        <v>3908920.5967034101</v>
      </c>
      <c r="Y131" s="31">
        <v>1854256.3792768221</v>
      </c>
      <c r="Z131" s="31">
        <v>1275601.8352421881</v>
      </c>
      <c r="AA131" s="31">
        <f t="shared" si="9"/>
        <v>33044654.221399378</v>
      </c>
      <c r="AB131" s="31">
        <v>0</v>
      </c>
      <c r="AD131" s="42" t="s">
        <v>441</v>
      </c>
      <c r="AE131" s="42" t="s">
        <v>442</v>
      </c>
      <c r="AF131" s="43" t="s">
        <v>1275</v>
      </c>
      <c r="AG131" s="44">
        <v>34</v>
      </c>
      <c r="AH131" s="31">
        <v>25172017.586883001</v>
      </c>
      <c r="AI131" s="31">
        <v>841032.94999999984</v>
      </c>
      <c r="AJ131" s="31">
        <v>395365.55</v>
      </c>
      <c r="AK131" s="31">
        <v>87938.66</v>
      </c>
      <c r="AL131" s="31">
        <v>3981427.093329235</v>
      </c>
      <c r="AM131" s="31">
        <v>1850671.4482176723</v>
      </c>
      <c r="AN131" s="31">
        <v>1299337.5008366816</v>
      </c>
      <c r="AO131" s="31">
        <f t="shared" si="10"/>
        <v>33627790.789266586</v>
      </c>
      <c r="AP131" s="31">
        <v>0</v>
      </c>
      <c r="AR131" s="42" t="s">
        <v>441</v>
      </c>
      <c r="AS131" s="42" t="s">
        <v>442</v>
      </c>
      <c r="AT131" s="43" t="s">
        <v>1276</v>
      </c>
      <c r="AU131" s="44">
        <v>34</v>
      </c>
      <c r="AV131" s="31">
        <v>25695823.601437796</v>
      </c>
      <c r="AW131" s="31">
        <v>858178.24</v>
      </c>
      <c r="AX131" s="31">
        <v>403469.14999999997</v>
      </c>
      <c r="AY131" s="31">
        <v>89700.37999999999</v>
      </c>
      <c r="AZ131" s="31">
        <v>4062932.9298633514</v>
      </c>
      <c r="BA131" s="31">
        <v>1850773.8748193621</v>
      </c>
      <c r="BB131" s="31">
        <v>1326238.8080856972</v>
      </c>
      <c r="BC131" s="31">
        <f t="shared" si="11"/>
        <v>34287116.9842062</v>
      </c>
      <c r="BD131" s="31">
        <v>0</v>
      </c>
    </row>
    <row r="132" spans="2:56">
      <c r="B132" s="42" t="s">
        <v>557</v>
      </c>
      <c r="C132" s="42" t="s">
        <v>558</v>
      </c>
      <c r="D132" s="43" t="s">
        <v>1049</v>
      </c>
      <c r="E132" s="44">
        <v>34</v>
      </c>
      <c r="F132" s="31">
        <v>585037.08234274713</v>
      </c>
      <c r="G132" s="31">
        <v>16857.580000000002</v>
      </c>
      <c r="H132" s="31">
        <v>0</v>
      </c>
      <c r="I132" s="31">
        <v>1071.8800000000001</v>
      </c>
      <c r="J132" s="31">
        <v>38850.418631978362</v>
      </c>
      <c r="K132" s="31">
        <v>88386.028222811568</v>
      </c>
      <c r="L132" s="31">
        <v>0</v>
      </c>
      <c r="M132" s="31">
        <f t="shared" si="8"/>
        <v>740824.25919753697</v>
      </c>
      <c r="N132" s="31">
        <v>10621.269999999999</v>
      </c>
      <c r="P132" s="42" t="s">
        <v>557</v>
      </c>
      <c r="Q132" s="42" t="s">
        <v>558</v>
      </c>
      <c r="R132" s="43" t="s">
        <v>1050</v>
      </c>
      <c r="S132" s="44">
        <v>34</v>
      </c>
      <c r="T132" s="31">
        <v>625825.1349254325</v>
      </c>
      <c r="U132" s="31">
        <v>18128.310000000005</v>
      </c>
      <c r="V132" s="31">
        <v>0</v>
      </c>
      <c r="W132" s="31">
        <v>1141.45</v>
      </c>
      <c r="X132" s="31">
        <v>41166.327875302391</v>
      </c>
      <c r="Y132" s="31">
        <v>88485.302122824316</v>
      </c>
      <c r="Z132" s="31">
        <v>0</v>
      </c>
      <c r="AA132" s="31">
        <f t="shared" si="9"/>
        <v>785880.68492355931</v>
      </c>
      <c r="AB132" s="31">
        <v>11134.159999999998</v>
      </c>
      <c r="AD132" s="42" t="s">
        <v>557</v>
      </c>
      <c r="AE132" s="42" t="s">
        <v>558</v>
      </c>
      <c r="AF132" s="43" t="s">
        <v>1275</v>
      </c>
      <c r="AG132" s="44">
        <v>34</v>
      </c>
      <c r="AH132" s="31">
        <v>636701.45144039835</v>
      </c>
      <c r="AI132" s="31">
        <v>18441.730000000007</v>
      </c>
      <c r="AJ132" s="31">
        <v>0</v>
      </c>
      <c r="AK132" s="31">
        <v>1161.3500000000001</v>
      </c>
      <c r="AL132" s="31">
        <v>41889.448980723479</v>
      </c>
      <c r="AM132" s="31">
        <v>88409.880733596641</v>
      </c>
      <c r="AN132" s="31">
        <v>0</v>
      </c>
      <c r="AO132" s="31">
        <f t="shared" si="10"/>
        <v>797934.78115471848</v>
      </c>
      <c r="AP132" s="31">
        <v>11330.919999999998</v>
      </c>
      <c r="AR132" s="42" t="s">
        <v>557</v>
      </c>
      <c r="AS132" s="42" t="s">
        <v>558</v>
      </c>
      <c r="AT132" s="43" t="s">
        <v>1276</v>
      </c>
      <c r="AU132" s="44">
        <v>34</v>
      </c>
      <c r="AV132" s="31">
        <v>648350.82141212688</v>
      </c>
      <c r="AW132" s="31">
        <v>18777.410000000003</v>
      </c>
      <c r="AX132" s="31">
        <v>0</v>
      </c>
      <c r="AY132" s="31">
        <v>1182.6600000000003</v>
      </c>
      <c r="AZ132" s="31">
        <v>42663.900203659476</v>
      </c>
      <c r="BA132" s="31">
        <v>88412.035630431725</v>
      </c>
      <c r="BB132" s="31">
        <v>0</v>
      </c>
      <c r="BC132" s="31">
        <f t="shared" si="11"/>
        <v>810928.48724621814</v>
      </c>
      <c r="BD132" s="31">
        <v>11541.659999999998</v>
      </c>
    </row>
    <row r="133" spans="2:56">
      <c r="B133" s="42" t="s">
        <v>471</v>
      </c>
      <c r="C133" s="42" t="s">
        <v>472</v>
      </c>
      <c r="D133" s="43" t="s">
        <v>1049</v>
      </c>
      <c r="E133" s="44">
        <v>34</v>
      </c>
      <c r="F133" s="31">
        <v>5137381.7872200273</v>
      </c>
      <c r="G133" s="31">
        <v>114690.1</v>
      </c>
      <c r="H133" s="31">
        <v>1753.96</v>
      </c>
      <c r="I133" s="31">
        <v>0</v>
      </c>
      <c r="J133" s="31">
        <v>593854.47848630731</v>
      </c>
      <c r="K133" s="31">
        <v>562926.75487062999</v>
      </c>
      <c r="L133" s="31">
        <v>267126.35579938983</v>
      </c>
      <c r="M133" s="31">
        <f t="shared" ref="M133:M196" si="12">SUM(F133:L133,N133)</f>
        <v>6677733.4363763537</v>
      </c>
      <c r="N133" s="31">
        <v>0</v>
      </c>
      <c r="P133" s="42" t="s">
        <v>471</v>
      </c>
      <c r="Q133" s="42" t="s">
        <v>472</v>
      </c>
      <c r="R133" s="43" t="s">
        <v>1050</v>
      </c>
      <c r="S133" s="44">
        <v>34</v>
      </c>
      <c r="T133" s="31">
        <v>5488277.3933612593</v>
      </c>
      <c r="U133" s="31">
        <v>122757.15</v>
      </c>
      <c r="V133" s="31">
        <v>1867.83</v>
      </c>
      <c r="W133" s="31">
        <v>0</v>
      </c>
      <c r="X133" s="31">
        <v>632156.76539825136</v>
      </c>
      <c r="Y133" s="31">
        <v>564358.38368142478</v>
      </c>
      <c r="Z133" s="31">
        <v>284891.50668314187</v>
      </c>
      <c r="AA133" s="31">
        <f t="shared" ref="AA133:AA196" si="13">SUM(T133:Z133,AB133)</f>
        <v>7094309.0291240774</v>
      </c>
      <c r="AB133" s="31">
        <v>0</v>
      </c>
      <c r="AD133" s="42" t="s">
        <v>471</v>
      </c>
      <c r="AE133" s="42" t="s">
        <v>472</v>
      </c>
      <c r="AF133" s="43" t="s">
        <v>1275</v>
      </c>
      <c r="AG133" s="44">
        <v>34</v>
      </c>
      <c r="AH133" s="31">
        <v>5588623.4971716125</v>
      </c>
      <c r="AI133" s="31">
        <v>125002.96999999999</v>
      </c>
      <c r="AJ133" s="31">
        <v>1900.3799999999999</v>
      </c>
      <c r="AK133" s="31">
        <v>0</v>
      </c>
      <c r="AL133" s="31">
        <v>643742.52730496612</v>
      </c>
      <c r="AM133" s="31">
        <v>563270.73190432473</v>
      </c>
      <c r="AN133" s="31">
        <v>290049.15638899046</v>
      </c>
      <c r="AO133" s="31">
        <f t="shared" ref="AO133:AO196" si="14">SUM(AH133:AN133,AP133)</f>
        <v>7212589.2627698937</v>
      </c>
      <c r="AP133" s="31">
        <v>0</v>
      </c>
      <c r="AR133" s="42" t="s">
        <v>471</v>
      </c>
      <c r="AS133" s="42" t="s">
        <v>472</v>
      </c>
      <c r="AT133" s="43" t="s">
        <v>1276</v>
      </c>
      <c r="AU133" s="44">
        <v>34</v>
      </c>
      <c r="AV133" s="31">
        <v>5699980.7166485824</v>
      </c>
      <c r="AW133" s="31">
        <v>127512.13999999998</v>
      </c>
      <c r="AX133" s="31">
        <v>1935.2599999999998</v>
      </c>
      <c r="AY133" s="31">
        <v>0</v>
      </c>
      <c r="AZ133" s="31">
        <v>656778.98511203879</v>
      </c>
      <c r="BA133" s="31">
        <v>563301.80766938475</v>
      </c>
      <c r="BB133" s="31">
        <v>295918.77948334452</v>
      </c>
      <c r="BC133" s="31">
        <f t="shared" ref="BC133:BC196" si="15">SUM(AV133:BB133,BD133)</f>
        <v>7345427.6889133491</v>
      </c>
      <c r="BD133" s="31">
        <v>0</v>
      </c>
    </row>
    <row r="134" spans="2:56">
      <c r="B134" s="42" t="s">
        <v>9</v>
      </c>
      <c r="C134" s="42" t="s">
        <v>10</v>
      </c>
      <c r="D134" s="43" t="s">
        <v>1049</v>
      </c>
      <c r="E134" s="44">
        <v>34</v>
      </c>
      <c r="F134" s="31">
        <v>2407576.8893441912</v>
      </c>
      <c r="G134" s="31">
        <v>82728.86</v>
      </c>
      <c r="H134" s="31">
        <v>44823.66</v>
      </c>
      <c r="I134" s="31">
        <v>0</v>
      </c>
      <c r="J134" s="31">
        <v>191074.63870119199</v>
      </c>
      <c r="K134" s="31">
        <v>904332.05379206431</v>
      </c>
      <c r="L134" s="31">
        <v>157889.50691708349</v>
      </c>
      <c r="M134" s="31">
        <f t="shared" si="12"/>
        <v>3841337.0287545314</v>
      </c>
      <c r="N134" s="31">
        <v>52911.42</v>
      </c>
      <c r="P134" s="42" t="s">
        <v>9</v>
      </c>
      <c r="Q134" s="42" t="s">
        <v>10</v>
      </c>
      <c r="R134" s="43" t="s">
        <v>1050</v>
      </c>
      <c r="S134" s="44">
        <v>34</v>
      </c>
      <c r="T134" s="31">
        <v>2580578.1501375893</v>
      </c>
      <c r="U134" s="31">
        <v>89500.209999999992</v>
      </c>
      <c r="V134" s="31">
        <v>47940.66</v>
      </c>
      <c r="W134" s="31">
        <v>0</v>
      </c>
      <c r="X134" s="31">
        <v>203402.32130563972</v>
      </c>
      <c r="Y134" s="31">
        <v>906332.62224100519</v>
      </c>
      <c r="Z134" s="31">
        <v>169874.79944384616</v>
      </c>
      <c r="AA134" s="31">
        <f t="shared" si="13"/>
        <v>4053299.5131280804</v>
      </c>
      <c r="AB134" s="31">
        <v>55670.75</v>
      </c>
      <c r="AD134" s="42" t="s">
        <v>9</v>
      </c>
      <c r="AE134" s="42" t="s">
        <v>10</v>
      </c>
      <c r="AF134" s="43" t="s">
        <v>1275</v>
      </c>
      <c r="AG134" s="44">
        <v>34</v>
      </c>
      <c r="AH134" s="31">
        <v>2626627.9382456476</v>
      </c>
      <c r="AI134" s="31">
        <v>91049.050000000017</v>
      </c>
      <c r="AJ134" s="31">
        <v>48882.090000000004</v>
      </c>
      <c r="AK134" s="31">
        <v>0</v>
      </c>
      <c r="AL134" s="31">
        <v>207144.99685848714</v>
      </c>
      <c r="AM134" s="31">
        <v>904812.72978543711</v>
      </c>
      <c r="AN134" s="31">
        <v>173098.63514993832</v>
      </c>
      <c r="AO134" s="31">
        <f t="shared" si="14"/>
        <v>4108373.9600395099</v>
      </c>
      <c r="AP134" s="31">
        <v>56758.52</v>
      </c>
      <c r="AR134" s="42" t="s">
        <v>9</v>
      </c>
      <c r="AS134" s="42" t="s">
        <v>10</v>
      </c>
      <c r="AT134" s="43" t="s">
        <v>1276</v>
      </c>
      <c r="AU134" s="44">
        <v>34</v>
      </c>
      <c r="AV134" s="31">
        <v>2677295.6812165389</v>
      </c>
      <c r="AW134" s="31">
        <v>92922.739999999962</v>
      </c>
      <c r="AX134" s="31">
        <v>49779.210000000006</v>
      </c>
      <c r="AY134" s="31">
        <v>0</v>
      </c>
      <c r="AZ134" s="31">
        <v>211325.08210193794</v>
      </c>
      <c r="BA134" s="31">
        <v>904856.15528416762</v>
      </c>
      <c r="BB134" s="31">
        <v>176465.65012351488</v>
      </c>
      <c r="BC134" s="31">
        <f t="shared" si="15"/>
        <v>4170564.5487261587</v>
      </c>
      <c r="BD134" s="31">
        <v>57920.029999999992</v>
      </c>
    </row>
    <row r="135" spans="2:56">
      <c r="B135" s="42" t="s">
        <v>77</v>
      </c>
      <c r="C135" s="42" t="s">
        <v>78</v>
      </c>
      <c r="D135" s="43" t="s">
        <v>1049</v>
      </c>
      <c r="E135" s="44">
        <v>34</v>
      </c>
      <c r="F135" s="31">
        <v>50107219.566256091</v>
      </c>
      <c r="G135" s="31">
        <v>2426908.6699999995</v>
      </c>
      <c r="H135" s="31">
        <v>659394.94999999995</v>
      </c>
      <c r="I135" s="31">
        <v>173058.30000000002</v>
      </c>
      <c r="J135" s="31">
        <v>8283157.7234295616</v>
      </c>
      <c r="K135" s="31">
        <v>2690098.7541928706</v>
      </c>
      <c r="L135" s="31">
        <v>3752747.4812527262</v>
      </c>
      <c r="M135" s="31">
        <f t="shared" si="12"/>
        <v>69389450.745131254</v>
      </c>
      <c r="N135" s="31">
        <v>1296865.2999999998</v>
      </c>
      <c r="P135" s="42" t="s">
        <v>77</v>
      </c>
      <c r="Q135" s="42" t="s">
        <v>78</v>
      </c>
      <c r="R135" s="43" t="s">
        <v>1050</v>
      </c>
      <c r="S135" s="44">
        <v>34</v>
      </c>
      <c r="T135" s="31">
        <v>54165350.503830537</v>
      </c>
      <c r="U135" s="31">
        <v>2618755.7899999996</v>
      </c>
      <c r="V135" s="31">
        <v>705620.05</v>
      </c>
      <c r="W135" s="31">
        <v>185225.28</v>
      </c>
      <c r="X135" s="31">
        <v>8817540.2559730299</v>
      </c>
      <c r="Y135" s="31">
        <v>2697323.0731883436</v>
      </c>
      <c r="Z135" s="31">
        <v>4042065.0565832737</v>
      </c>
      <c r="AA135" s="31">
        <f t="shared" si="13"/>
        <v>74598009.699575186</v>
      </c>
      <c r="AB135" s="31">
        <v>1366129.69</v>
      </c>
      <c r="AD135" s="42" t="s">
        <v>77</v>
      </c>
      <c r="AE135" s="42" t="s">
        <v>78</v>
      </c>
      <c r="AF135" s="43" t="s">
        <v>1275</v>
      </c>
      <c r="AG135" s="44">
        <v>34</v>
      </c>
      <c r="AH135" s="31">
        <v>55179197.832940474</v>
      </c>
      <c r="AI135" s="31">
        <v>2666111.3600000003</v>
      </c>
      <c r="AJ135" s="31">
        <v>718450.30999999994</v>
      </c>
      <c r="AK135" s="31">
        <v>188560.20999999996</v>
      </c>
      <c r="AL135" s="31">
        <v>8979115.6495859958</v>
      </c>
      <c r="AM135" s="31">
        <v>2691834.5391950933</v>
      </c>
      <c r="AN135" s="31">
        <v>4116231.4479735666</v>
      </c>
      <c r="AO135" s="31">
        <f t="shared" si="14"/>
        <v>75930813.049695134</v>
      </c>
      <c r="AP135" s="31">
        <v>1391311.7</v>
      </c>
      <c r="AR135" s="42" t="s">
        <v>77</v>
      </c>
      <c r="AS135" s="42" t="s">
        <v>78</v>
      </c>
      <c r="AT135" s="43" t="s">
        <v>1276</v>
      </c>
      <c r="AU135" s="44">
        <v>34</v>
      </c>
      <c r="AV135" s="31">
        <v>56316444.026585147</v>
      </c>
      <c r="AW135" s="31">
        <v>2719360.8</v>
      </c>
      <c r="AX135" s="31">
        <v>732926.02</v>
      </c>
      <c r="AY135" s="31">
        <v>192343.36</v>
      </c>
      <c r="AZ135" s="31">
        <v>9160861.7805329543</v>
      </c>
      <c r="BA135" s="31">
        <v>2691991.3544520433</v>
      </c>
      <c r="BB135" s="31">
        <v>4199539.806580049</v>
      </c>
      <c r="BC135" s="31">
        <f t="shared" si="15"/>
        <v>77433090.198150188</v>
      </c>
      <c r="BD135" s="31">
        <v>1419623.05</v>
      </c>
    </row>
    <row r="136" spans="2:56">
      <c r="B136" s="42" t="s">
        <v>493</v>
      </c>
      <c r="C136" s="42" t="s">
        <v>494</v>
      </c>
      <c r="D136" s="43" t="s">
        <v>1049</v>
      </c>
      <c r="E136" s="44">
        <v>34</v>
      </c>
      <c r="F136" s="31">
        <v>2062029.2382777671</v>
      </c>
      <c r="G136" s="31">
        <v>80877.460000000006</v>
      </c>
      <c r="H136" s="31">
        <v>0</v>
      </c>
      <c r="I136" s="31">
        <v>0</v>
      </c>
      <c r="J136" s="31">
        <v>170554.54292502906</v>
      </c>
      <c r="K136" s="31">
        <v>0</v>
      </c>
      <c r="L136" s="31">
        <v>0</v>
      </c>
      <c r="M136" s="31">
        <f t="shared" si="12"/>
        <v>2343765.9412027965</v>
      </c>
      <c r="N136" s="31">
        <v>30304.7</v>
      </c>
      <c r="P136" s="42" t="s">
        <v>493</v>
      </c>
      <c r="Q136" s="42" t="s">
        <v>494</v>
      </c>
      <c r="R136" s="43" t="s">
        <v>1050</v>
      </c>
      <c r="S136" s="44">
        <v>34</v>
      </c>
      <c r="T136" s="31">
        <v>2227495.369615274</v>
      </c>
      <c r="U136" s="31">
        <v>87047.49000000002</v>
      </c>
      <c r="V136" s="31">
        <v>0</v>
      </c>
      <c r="W136" s="31">
        <v>0</v>
      </c>
      <c r="X136" s="31">
        <v>181560.78627654994</v>
      </c>
      <c r="Y136" s="31">
        <v>0</v>
      </c>
      <c r="Z136" s="31">
        <v>0</v>
      </c>
      <c r="AA136" s="31">
        <f t="shared" si="13"/>
        <v>2527973.8858918245</v>
      </c>
      <c r="AB136" s="31">
        <v>31870.239999999998</v>
      </c>
      <c r="AD136" s="42" t="s">
        <v>493</v>
      </c>
      <c r="AE136" s="42" t="s">
        <v>494</v>
      </c>
      <c r="AF136" s="43" t="s">
        <v>1275</v>
      </c>
      <c r="AG136" s="44">
        <v>34</v>
      </c>
      <c r="AH136" s="31">
        <v>2278156.1894973498</v>
      </c>
      <c r="AI136" s="31">
        <v>88664.799999999988</v>
      </c>
      <c r="AJ136" s="31">
        <v>0</v>
      </c>
      <c r="AK136" s="31">
        <v>0</v>
      </c>
      <c r="AL136" s="31">
        <v>184885.55929286851</v>
      </c>
      <c r="AM136" s="31">
        <v>0</v>
      </c>
      <c r="AN136" s="31">
        <v>0</v>
      </c>
      <c r="AO136" s="31">
        <f t="shared" si="14"/>
        <v>2584243.9487902182</v>
      </c>
      <c r="AP136" s="31">
        <v>32537.400000000005</v>
      </c>
      <c r="AR136" s="42" t="s">
        <v>493</v>
      </c>
      <c r="AS136" s="42" t="s">
        <v>494</v>
      </c>
      <c r="AT136" s="43" t="s">
        <v>1276</v>
      </c>
      <c r="AU136" s="44">
        <v>34</v>
      </c>
      <c r="AV136" s="31">
        <v>2333998.851413365</v>
      </c>
      <c r="AW136" s="31">
        <v>90499.1</v>
      </c>
      <c r="AX136" s="31">
        <v>0</v>
      </c>
      <c r="AY136" s="31">
        <v>0</v>
      </c>
      <c r="AZ136" s="31">
        <v>188626.97190717736</v>
      </c>
      <c r="BA136" s="31">
        <v>0</v>
      </c>
      <c r="BB136" s="31">
        <v>0</v>
      </c>
      <c r="BC136" s="31">
        <f t="shared" si="15"/>
        <v>2646267.4533205424</v>
      </c>
      <c r="BD136" s="31">
        <v>33142.53</v>
      </c>
    </row>
    <row r="137" spans="2:56">
      <c r="B137" s="42" t="s">
        <v>397</v>
      </c>
      <c r="C137" s="42" t="s">
        <v>398</v>
      </c>
      <c r="D137" s="43" t="s">
        <v>1049</v>
      </c>
      <c r="E137" s="44">
        <v>34</v>
      </c>
      <c r="F137" s="31">
        <v>3299511.805334257</v>
      </c>
      <c r="G137" s="31">
        <v>73277.53</v>
      </c>
      <c r="H137" s="31">
        <v>26940.260000000002</v>
      </c>
      <c r="I137" s="31">
        <v>7543.27</v>
      </c>
      <c r="J137" s="31">
        <v>308920.87603469315</v>
      </c>
      <c r="K137" s="31">
        <v>166858.17143649526</v>
      </c>
      <c r="L137" s="31">
        <v>127983.71681888557</v>
      </c>
      <c r="M137" s="31">
        <f t="shared" si="12"/>
        <v>4011035.6296243304</v>
      </c>
      <c r="N137" s="31">
        <v>0</v>
      </c>
      <c r="P137" s="42" t="s">
        <v>397</v>
      </c>
      <c r="Q137" s="42" t="s">
        <v>398</v>
      </c>
      <c r="R137" s="43" t="s">
        <v>1050</v>
      </c>
      <c r="S137" s="44">
        <v>34</v>
      </c>
      <c r="T137" s="31">
        <v>3514914.724565445</v>
      </c>
      <c r="U137" s="31">
        <v>78437.429999999978</v>
      </c>
      <c r="V137" s="31">
        <v>28898.010000000002</v>
      </c>
      <c r="W137" s="31">
        <v>8027.22</v>
      </c>
      <c r="X137" s="31">
        <v>328800.16104196606</v>
      </c>
      <c r="Y137" s="31">
        <v>167250.1721891124</v>
      </c>
      <c r="Z137" s="31">
        <v>136593.32960067113</v>
      </c>
      <c r="AA137" s="31">
        <f t="shared" si="13"/>
        <v>4262921.0473971944</v>
      </c>
      <c r="AB137" s="31">
        <v>0</v>
      </c>
      <c r="AD137" s="42" t="s">
        <v>397</v>
      </c>
      <c r="AE137" s="42" t="s">
        <v>398</v>
      </c>
      <c r="AF137" s="43" t="s">
        <v>1275</v>
      </c>
      <c r="AG137" s="44">
        <v>34</v>
      </c>
      <c r="AH137" s="31">
        <v>3580201.0957122333</v>
      </c>
      <c r="AI137" s="31">
        <v>79823.409999999974</v>
      </c>
      <c r="AJ137" s="31">
        <v>29408.62</v>
      </c>
      <c r="AK137" s="31">
        <v>8169.0599999999995</v>
      </c>
      <c r="AL137" s="31">
        <v>334873.60716535535</v>
      </c>
      <c r="AM137" s="31">
        <v>166946.04046051242</v>
      </c>
      <c r="AN137" s="31">
        <v>139155.05922576255</v>
      </c>
      <c r="AO137" s="31">
        <f t="shared" si="14"/>
        <v>4338576.8925638637</v>
      </c>
      <c r="AP137" s="31">
        <v>0</v>
      </c>
      <c r="AR137" s="42" t="s">
        <v>397</v>
      </c>
      <c r="AS137" s="42" t="s">
        <v>398</v>
      </c>
      <c r="AT137" s="43" t="s">
        <v>1276</v>
      </c>
      <c r="AU137" s="44">
        <v>34</v>
      </c>
      <c r="AV137" s="31">
        <v>3651885.444854713</v>
      </c>
      <c r="AW137" s="31">
        <v>81426.63</v>
      </c>
      <c r="AX137" s="31">
        <v>30074.349999999995</v>
      </c>
      <c r="AY137" s="31">
        <v>8320.9700000000012</v>
      </c>
      <c r="AZ137" s="31">
        <v>341716.64115069353</v>
      </c>
      <c r="BA137" s="31">
        <v>166954.72993847242</v>
      </c>
      <c r="BB137" s="31">
        <v>141916.88919473291</v>
      </c>
      <c r="BC137" s="31">
        <f t="shared" si="15"/>
        <v>4422295.6551386118</v>
      </c>
      <c r="BD137" s="31">
        <v>0</v>
      </c>
    </row>
    <row r="138" spans="2:56">
      <c r="B138" s="42" t="s">
        <v>1232</v>
      </c>
      <c r="C138" s="42" t="s">
        <v>1233</v>
      </c>
      <c r="D138" s="43" t="s">
        <v>1049</v>
      </c>
      <c r="E138" s="44">
        <v>34</v>
      </c>
      <c r="F138" s="31">
        <v>1391293.4449826088</v>
      </c>
      <c r="G138" s="31">
        <v>19470.25</v>
      </c>
      <c r="H138" s="31">
        <v>0</v>
      </c>
      <c r="I138" s="31">
        <v>0</v>
      </c>
      <c r="J138" s="31">
        <v>39886.637169416528</v>
      </c>
      <c r="K138" s="31">
        <v>11305.43</v>
      </c>
      <c r="L138" s="31">
        <v>0</v>
      </c>
      <c r="M138" s="31">
        <f t="shared" si="12"/>
        <v>1473456.3421520253</v>
      </c>
      <c r="N138" s="31">
        <v>11500.58</v>
      </c>
      <c r="P138" s="42" t="s">
        <v>1232</v>
      </c>
      <c r="Q138" s="42" t="s">
        <v>1233</v>
      </c>
      <c r="R138" s="43" t="s">
        <v>1050</v>
      </c>
      <c r="S138" s="44">
        <v>34</v>
      </c>
      <c r="T138" s="31">
        <v>1463828.5296443929</v>
      </c>
      <c r="U138" s="31">
        <v>20738.71</v>
      </c>
      <c r="V138" s="31">
        <v>0</v>
      </c>
      <c r="W138" s="31">
        <v>0</v>
      </c>
      <c r="X138" s="31">
        <v>41966.215540544625</v>
      </c>
      <c r="Y138" s="31">
        <v>11305.43</v>
      </c>
      <c r="Z138" s="31">
        <v>0</v>
      </c>
      <c r="AA138" s="31">
        <f t="shared" si="13"/>
        <v>1549793.9551849375</v>
      </c>
      <c r="AB138" s="31">
        <v>11955.070000000002</v>
      </c>
      <c r="AD138" s="42" t="s">
        <v>1232</v>
      </c>
      <c r="AE138" s="42" t="s">
        <v>1233</v>
      </c>
      <c r="AF138" s="43" t="s">
        <v>1275</v>
      </c>
      <c r="AG138" s="44">
        <v>34</v>
      </c>
      <c r="AH138" s="31">
        <v>1489257.4462110111</v>
      </c>
      <c r="AI138" s="31">
        <v>21098.829999999994</v>
      </c>
      <c r="AJ138" s="31">
        <v>0</v>
      </c>
      <c r="AK138" s="31">
        <v>0</v>
      </c>
      <c r="AL138" s="31">
        <v>42707.413876321509</v>
      </c>
      <c r="AM138" s="31">
        <v>11305.43</v>
      </c>
      <c r="AN138" s="31">
        <v>0</v>
      </c>
      <c r="AO138" s="31">
        <f t="shared" si="14"/>
        <v>1576536.1500873326</v>
      </c>
      <c r="AP138" s="31">
        <v>12167.03</v>
      </c>
      <c r="AR138" s="42" t="s">
        <v>1232</v>
      </c>
      <c r="AS138" s="42" t="s">
        <v>1233</v>
      </c>
      <c r="AT138" s="43" t="s">
        <v>1276</v>
      </c>
      <c r="AU138" s="44">
        <v>34</v>
      </c>
      <c r="AV138" s="31">
        <v>1516491.1516098173</v>
      </c>
      <c r="AW138" s="31">
        <v>21484.509999999995</v>
      </c>
      <c r="AX138" s="31">
        <v>0</v>
      </c>
      <c r="AY138" s="31">
        <v>0</v>
      </c>
      <c r="AZ138" s="31">
        <v>43501.247694195132</v>
      </c>
      <c r="BA138" s="31">
        <v>11305.43</v>
      </c>
      <c r="BB138" s="31">
        <v>0</v>
      </c>
      <c r="BC138" s="31">
        <f t="shared" si="15"/>
        <v>1605176.3793040125</v>
      </c>
      <c r="BD138" s="31">
        <v>12394.039999999999</v>
      </c>
    </row>
    <row r="139" spans="2:56">
      <c r="B139" s="42" t="s">
        <v>553</v>
      </c>
      <c r="C139" s="42" t="s">
        <v>554</v>
      </c>
      <c r="D139" s="43" t="s">
        <v>1049</v>
      </c>
      <c r="E139" s="44">
        <v>34</v>
      </c>
      <c r="F139" s="31">
        <v>4333407.2570112357</v>
      </c>
      <c r="G139" s="31">
        <v>253650.88</v>
      </c>
      <c r="H139" s="31">
        <v>0</v>
      </c>
      <c r="I139" s="31">
        <v>0</v>
      </c>
      <c r="J139" s="31">
        <v>663130.58193999005</v>
      </c>
      <c r="K139" s="31">
        <v>283188.21999999997</v>
      </c>
      <c r="L139" s="31">
        <v>0</v>
      </c>
      <c r="M139" s="31">
        <f t="shared" si="12"/>
        <v>5660308.4289512252</v>
      </c>
      <c r="N139" s="31">
        <v>126931.49</v>
      </c>
      <c r="P139" s="42" t="s">
        <v>553</v>
      </c>
      <c r="Q139" s="42" t="s">
        <v>554</v>
      </c>
      <c r="R139" s="43" t="s">
        <v>1050</v>
      </c>
      <c r="S139" s="44">
        <v>34</v>
      </c>
      <c r="T139" s="31">
        <v>4631292.7531601116</v>
      </c>
      <c r="U139" s="31">
        <v>271092.50000000006</v>
      </c>
      <c r="V139" s="31">
        <v>0</v>
      </c>
      <c r="W139" s="31">
        <v>0</v>
      </c>
      <c r="X139" s="31">
        <v>701031.34321810352</v>
      </c>
      <c r="Y139" s="31">
        <v>283188.21999999997</v>
      </c>
      <c r="Z139" s="31">
        <v>0</v>
      </c>
      <c r="AA139" s="31">
        <f t="shared" si="13"/>
        <v>6019308.2463782141</v>
      </c>
      <c r="AB139" s="31">
        <v>132703.43</v>
      </c>
      <c r="AD139" s="42" t="s">
        <v>553</v>
      </c>
      <c r="AE139" s="42" t="s">
        <v>554</v>
      </c>
      <c r="AF139" s="43" t="s">
        <v>1275</v>
      </c>
      <c r="AG139" s="44">
        <v>34</v>
      </c>
      <c r="AH139" s="31">
        <v>4715433.8933261316</v>
      </c>
      <c r="AI139" s="31">
        <v>276067.90999999992</v>
      </c>
      <c r="AJ139" s="31">
        <v>0</v>
      </c>
      <c r="AK139" s="31">
        <v>0</v>
      </c>
      <c r="AL139" s="31">
        <v>713978.96555058472</v>
      </c>
      <c r="AM139" s="31">
        <v>283188.21999999997</v>
      </c>
      <c r="AN139" s="31">
        <v>0</v>
      </c>
      <c r="AO139" s="31">
        <f t="shared" si="14"/>
        <v>6123851.7788767163</v>
      </c>
      <c r="AP139" s="31">
        <v>135182.79000000004</v>
      </c>
      <c r="AR139" s="42" t="s">
        <v>553</v>
      </c>
      <c r="AS139" s="42" t="s">
        <v>554</v>
      </c>
      <c r="AT139" s="43" t="s">
        <v>1276</v>
      </c>
      <c r="AU139" s="44">
        <v>34</v>
      </c>
      <c r="AV139" s="31">
        <v>4809291.3205730235</v>
      </c>
      <c r="AW139" s="31">
        <v>281622.42999999993</v>
      </c>
      <c r="AX139" s="31">
        <v>0</v>
      </c>
      <c r="AY139" s="31">
        <v>0</v>
      </c>
      <c r="AZ139" s="31">
        <v>728527.97993995377</v>
      </c>
      <c r="BA139" s="31">
        <v>283188.21999999997</v>
      </c>
      <c r="BB139" s="31">
        <v>0</v>
      </c>
      <c r="BC139" s="31">
        <f t="shared" si="15"/>
        <v>6240578.7505129762</v>
      </c>
      <c r="BD139" s="31">
        <v>137948.80000000002</v>
      </c>
    </row>
    <row r="140" spans="2:56">
      <c r="B140" s="42" t="s">
        <v>269</v>
      </c>
      <c r="C140" s="42" t="s">
        <v>270</v>
      </c>
      <c r="D140" s="43" t="s">
        <v>1049</v>
      </c>
      <c r="E140" s="44">
        <v>34</v>
      </c>
      <c r="F140" s="31">
        <v>2768530.7847080515</v>
      </c>
      <c r="G140" s="31">
        <v>118295.46999999999</v>
      </c>
      <c r="H140" s="31">
        <v>10913.58</v>
      </c>
      <c r="I140" s="31">
        <v>0</v>
      </c>
      <c r="J140" s="31">
        <v>296072.29918646178</v>
      </c>
      <c r="K140" s="31">
        <v>220770.07062199619</v>
      </c>
      <c r="L140" s="31">
        <v>0</v>
      </c>
      <c r="M140" s="31">
        <f t="shared" si="12"/>
        <v>3478017.4345165095</v>
      </c>
      <c r="N140" s="31">
        <v>63435.229999999996</v>
      </c>
      <c r="P140" s="42" t="s">
        <v>269</v>
      </c>
      <c r="Q140" s="42" t="s">
        <v>270</v>
      </c>
      <c r="R140" s="43" t="s">
        <v>1050</v>
      </c>
      <c r="S140" s="44">
        <v>34</v>
      </c>
      <c r="T140" s="31">
        <v>2970111.8368135476</v>
      </c>
      <c r="U140" s="31">
        <v>127655.68999999997</v>
      </c>
      <c r="V140" s="31">
        <v>11725.76</v>
      </c>
      <c r="W140" s="31">
        <v>0</v>
      </c>
      <c r="X140" s="31">
        <v>315182.72903283121</v>
      </c>
      <c r="Y140" s="31">
        <v>221362.50073058944</v>
      </c>
      <c r="Z140" s="31">
        <v>0</v>
      </c>
      <c r="AA140" s="31">
        <f t="shared" si="13"/>
        <v>3712843.416576968</v>
      </c>
      <c r="AB140" s="31">
        <v>66804.899999999994</v>
      </c>
      <c r="AD140" s="42" t="s">
        <v>269</v>
      </c>
      <c r="AE140" s="42" t="s">
        <v>270</v>
      </c>
      <c r="AF140" s="43" t="s">
        <v>1275</v>
      </c>
      <c r="AG140" s="44">
        <v>34</v>
      </c>
      <c r="AH140" s="31">
        <v>3024057.0129436851</v>
      </c>
      <c r="AI140" s="31">
        <v>129972.68000000002</v>
      </c>
      <c r="AJ140" s="31">
        <v>11930.189999999999</v>
      </c>
      <c r="AK140" s="31">
        <v>0</v>
      </c>
      <c r="AL140" s="31">
        <v>320947.2717437126</v>
      </c>
      <c r="AM140" s="31">
        <v>220912.41363010611</v>
      </c>
      <c r="AN140" s="31">
        <v>0</v>
      </c>
      <c r="AO140" s="31">
        <f t="shared" si="14"/>
        <v>3775909.0283175036</v>
      </c>
      <c r="AP140" s="31">
        <v>68089.459999999992</v>
      </c>
      <c r="AR140" s="42" t="s">
        <v>269</v>
      </c>
      <c r="AS140" s="42" t="s">
        <v>270</v>
      </c>
      <c r="AT140" s="43" t="s">
        <v>1276</v>
      </c>
      <c r="AU140" s="44">
        <v>34</v>
      </c>
      <c r="AV140" s="31">
        <v>3083077.5210069926</v>
      </c>
      <c r="AW140" s="31">
        <v>132557.97</v>
      </c>
      <c r="AX140" s="31">
        <v>12149.14</v>
      </c>
      <c r="AY140" s="31">
        <v>0</v>
      </c>
      <c r="AZ140" s="31">
        <v>327448.70254076348</v>
      </c>
      <c r="BA140" s="31">
        <v>220925.27326154849</v>
      </c>
      <c r="BB140" s="31">
        <v>0</v>
      </c>
      <c r="BC140" s="31">
        <f t="shared" si="15"/>
        <v>3845620.296809305</v>
      </c>
      <c r="BD140" s="31">
        <v>69461.69</v>
      </c>
    </row>
    <row r="141" spans="2:56">
      <c r="B141" s="42" t="s">
        <v>545</v>
      </c>
      <c r="C141" s="42" t="s">
        <v>546</v>
      </c>
      <c r="D141" s="43" t="s">
        <v>1049</v>
      </c>
      <c r="E141" s="44">
        <v>34</v>
      </c>
      <c r="F141" s="31">
        <v>27893583.295769729</v>
      </c>
      <c r="G141" s="31">
        <v>703951.61</v>
      </c>
      <c r="H141" s="31">
        <v>576417.44000000006</v>
      </c>
      <c r="I141" s="31">
        <v>98087.400000000009</v>
      </c>
      <c r="J141" s="31">
        <v>4611648.0675613014</v>
      </c>
      <c r="K141" s="31">
        <v>1461286.0941467665</v>
      </c>
      <c r="L141" s="31">
        <v>2163675.3952683927</v>
      </c>
      <c r="M141" s="31">
        <f t="shared" si="12"/>
        <v>37508649.302746192</v>
      </c>
      <c r="N141" s="31">
        <v>0</v>
      </c>
      <c r="P141" s="42" t="s">
        <v>545</v>
      </c>
      <c r="Q141" s="42" t="s">
        <v>546</v>
      </c>
      <c r="R141" s="43" t="s">
        <v>1050</v>
      </c>
      <c r="S141" s="44">
        <v>34</v>
      </c>
      <c r="T141" s="31">
        <v>29857296.076379351</v>
      </c>
      <c r="U141" s="31">
        <v>753079.65000000014</v>
      </c>
      <c r="V141" s="31">
        <v>616553.23999999987</v>
      </c>
      <c r="W141" s="31">
        <v>104852.28000000001</v>
      </c>
      <c r="X141" s="31">
        <v>4908697.353649158</v>
      </c>
      <c r="Y141" s="31">
        <v>1464516.6038971874</v>
      </c>
      <c r="Z141" s="31">
        <v>2307541.3087530117</v>
      </c>
      <c r="AA141" s="31">
        <f t="shared" si="13"/>
        <v>40012536.512678705</v>
      </c>
      <c r="AB141" s="31">
        <v>0</v>
      </c>
      <c r="AD141" s="42" t="s">
        <v>545</v>
      </c>
      <c r="AE141" s="42" t="s">
        <v>546</v>
      </c>
      <c r="AF141" s="43" t="s">
        <v>1275</v>
      </c>
      <c r="AG141" s="44">
        <v>34</v>
      </c>
      <c r="AH141" s="31">
        <v>30447587.495493229</v>
      </c>
      <c r="AI141" s="31">
        <v>766858.07</v>
      </c>
      <c r="AJ141" s="31">
        <v>627823.35999999999</v>
      </c>
      <c r="AK141" s="31">
        <v>106804.44</v>
      </c>
      <c r="AL141" s="31">
        <v>4999132.2665676801</v>
      </c>
      <c r="AM141" s="31">
        <v>1462035.3547601961</v>
      </c>
      <c r="AN141" s="31">
        <v>2349916.6623649667</v>
      </c>
      <c r="AO141" s="31">
        <f t="shared" si="14"/>
        <v>40760157.649186067</v>
      </c>
      <c r="AP141" s="31">
        <v>0</v>
      </c>
      <c r="AR141" s="42" t="s">
        <v>545</v>
      </c>
      <c r="AS141" s="42" t="s">
        <v>546</v>
      </c>
      <c r="AT141" s="43" t="s">
        <v>1276</v>
      </c>
      <c r="AU141" s="44">
        <v>34</v>
      </c>
      <c r="AV141" s="31">
        <v>31106532.976960294</v>
      </c>
      <c r="AW141" s="31">
        <v>782388.13000000012</v>
      </c>
      <c r="AX141" s="31">
        <v>640557.66</v>
      </c>
      <c r="AY141" s="31">
        <v>109004.61</v>
      </c>
      <c r="AZ141" s="31">
        <v>5100838.626498729</v>
      </c>
      <c r="BA141" s="31">
        <v>1462106.2475926813</v>
      </c>
      <c r="BB141" s="31">
        <v>2398065.5763374073</v>
      </c>
      <c r="BC141" s="31">
        <f t="shared" si="15"/>
        <v>41599493.827389106</v>
      </c>
      <c r="BD141" s="31">
        <v>0</v>
      </c>
    </row>
    <row r="142" spans="2:56">
      <c r="B142" s="42" t="s">
        <v>591</v>
      </c>
      <c r="C142" s="42" t="s">
        <v>592</v>
      </c>
      <c r="D142" s="43" t="s">
        <v>1049</v>
      </c>
      <c r="E142" s="44">
        <v>34</v>
      </c>
      <c r="F142" s="31">
        <v>6518204.9000127595</v>
      </c>
      <c r="G142" s="31">
        <v>499101.69</v>
      </c>
      <c r="H142" s="31">
        <v>528139.6</v>
      </c>
      <c r="I142" s="31">
        <v>22704.16</v>
      </c>
      <c r="J142" s="31">
        <v>748142.82838201756</v>
      </c>
      <c r="K142" s="31">
        <v>234595.68018167873</v>
      </c>
      <c r="L142" s="31">
        <v>687180.04785877222</v>
      </c>
      <c r="M142" s="31">
        <f t="shared" si="12"/>
        <v>9471054.4664352294</v>
      </c>
      <c r="N142" s="31">
        <v>232985.56</v>
      </c>
      <c r="P142" s="42" t="s">
        <v>591</v>
      </c>
      <c r="Q142" s="42" t="s">
        <v>592</v>
      </c>
      <c r="R142" s="43" t="s">
        <v>1050</v>
      </c>
      <c r="S142" s="44">
        <v>34</v>
      </c>
      <c r="T142" s="31">
        <v>7041597.9909573235</v>
      </c>
      <c r="U142" s="31">
        <v>538085.88</v>
      </c>
      <c r="V142" s="31">
        <v>565118.67000000004</v>
      </c>
      <c r="W142" s="31">
        <v>24281.630000000005</v>
      </c>
      <c r="X142" s="31">
        <v>796415.07564509276</v>
      </c>
      <c r="Y142" s="31">
        <v>235118.35092492512</v>
      </c>
      <c r="Z142" s="31">
        <v>740149.34018558753</v>
      </c>
      <c r="AA142" s="31">
        <f t="shared" si="13"/>
        <v>10186126.84771293</v>
      </c>
      <c r="AB142" s="31">
        <v>245359.91</v>
      </c>
      <c r="AD142" s="42" t="s">
        <v>591</v>
      </c>
      <c r="AE142" s="42" t="s">
        <v>592</v>
      </c>
      <c r="AF142" s="43" t="s">
        <v>1275</v>
      </c>
      <c r="AG142" s="44">
        <v>34</v>
      </c>
      <c r="AH142" s="31">
        <v>7170584.5693820585</v>
      </c>
      <c r="AI142" s="31">
        <v>547729.07000000007</v>
      </c>
      <c r="AJ142" s="31">
        <v>575499.30000000005</v>
      </c>
      <c r="AK142" s="31">
        <v>24704.969999999998</v>
      </c>
      <c r="AL142" s="31">
        <v>811019.26796493318</v>
      </c>
      <c r="AM142" s="31">
        <v>234721.26212757514</v>
      </c>
      <c r="AN142" s="31">
        <v>753752.38140797976</v>
      </c>
      <c r="AO142" s="31">
        <f t="shared" si="14"/>
        <v>10367914.690882545</v>
      </c>
      <c r="AP142" s="31">
        <v>249903.86999999997</v>
      </c>
      <c r="AR142" s="42" t="s">
        <v>591</v>
      </c>
      <c r="AS142" s="42" t="s">
        <v>592</v>
      </c>
      <c r="AT142" s="43" t="s">
        <v>1276</v>
      </c>
      <c r="AU142" s="44">
        <v>34</v>
      </c>
      <c r="AV142" s="31">
        <v>7314640.4123892849</v>
      </c>
      <c r="AW142" s="31">
        <v>558694.18999999994</v>
      </c>
      <c r="AX142" s="31">
        <v>587136.43000000005</v>
      </c>
      <c r="AY142" s="31">
        <v>25158.38</v>
      </c>
      <c r="AZ142" s="31">
        <v>827427.33734729281</v>
      </c>
      <c r="BA142" s="31">
        <v>234732.60752178513</v>
      </c>
      <c r="BB142" s="31">
        <v>768973.49305966333</v>
      </c>
      <c r="BC142" s="31">
        <f t="shared" si="15"/>
        <v>10571738.030318027</v>
      </c>
      <c r="BD142" s="31">
        <v>254975.18</v>
      </c>
    </row>
    <row r="143" spans="2:56">
      <c r="B143" s="42" t="s">
        <v>97</v>
      </c>
      <c r="C143" s="42" t="s">
        <v>98</v>
      </c>
      <c r="D143" s="43" t="s">
        <v>1049</v>
      </c>
      <c r="E143" s="44">
        <v>34</v>
      </c>
      <c r="F143" s="31">
        <v>1924016.1315290071</v>
      </c>
      <c r="G143" s="31">
        <v>41900.359999999993</v>
      </c>
      <c r="H143" s="31">
        <v>8477.5300000000007</v>
      </c>
      <c r="I143" s="31">
        <v>0</v>
      </c>
      <c r="J143" s="31">
        <v>85276.131561814007</v>
      </c>
      <c r="K143" s="31">
        <v>110838.53747934004</v>
      </c>
      <c r="L143" s="31">
        <v>27584.049888141919</v>
      </c>
      <c r="M143" s="31">
        <f t="shared" si="12"/>
        <v>2224694.620458303</v>
      </c>
      <c r="N143" s="31">
        <v>26601.879999999997</v>
      </c>
      <c r="P143" s="42" t="s">
        <v>97</v>
      </c>
      <c r="Q143" s="42" t="s">
        <v>98</v>
      </c>
      <c r="R143" s="43" t="s">
        <v>1050</v>
      </c>
      <c r="S143" s="44">
        <v>34</v>
      </c>
      <c r="T143" s="31">
        <v>2049839.3805059758</v>
      </c>
      <c r="U143" s="31">
        <v>45062.200000000012</v>
      </c>
      <c r="V143" s="31">
        <v>9027.8000000000011</v>
      </c>
      <c r="W143" s="31">
        <v>0</v>
      </c>
      <c r="X143" s="31">
        <v>90335.734761241722</v>
      </c>
      <c r="Y143" s="31">
        <v>111088.17152965615</v>
      </c>
      <c r="Z143" s="31">
        <v>29591.148806540848</v>
      </c>
      <c r="AA143" s="31">
        <f t="shared" si="13"/>
        <v>2362830.8956034146</v>
      </c>
      <c r="AB143" s="31">
        <v>27886.459999999995</v>
      </c>
      <c r="AD143" s="42" t="s">
        <v>97</v>
      </c>
      <c r="AE143" s="42" t="s">
        <v>98</v>
      </c>
      <c r="AF143" s="43" t="s">
        <v>1275</v>
      </c>
      <c r="AG143" s="44">
        <v>34</v>
      </c>
      <c r="AH143" s="31">
        <v>2085365.5745710752</v>
      </c>
      <c r="AI143" s="31">
        <v>45841.240000000005</v>
      </c>
      <c r="AJ143" s="31">
        <v>9185.19</v>
      </c>
      <c r="AK143" s="31">
        <v>0</v>
      </c>
      <c r="AL143" s="31">
        <v>91922.484026057224</v>
      </c>
      <c r="AM143" s="31">
        <v>110898.51697925614</v>
      </c>
      <c r="AN143" s="31">
        <v>30111.795280286868</v>
      </c>
      <c r="AO143" s="31">
        <f t="shared" si="14"/>
        <v>2401704.0808566753</v>
      </c>
      <c r="AP143" s="31">
        <v>28379.279999999999</v>
      </c>
      <c r="AR143" s="42" t="s">
        <v>97</v>
      </c>
      <c r="AS143" s="42" t="s">
        <v>98</v>
      </c>
      <c r="AT143" s="43" t="s">
        <v>1276</v>
      </c>
      <c r="AU143" s="44">
        <v>34</v>
      </c>
      <c r="AV143" s="31">
        <v>2123417.6405723961</v>
      </c>
      <c r="AW143" s="31">
        <v>46675.590000000011</v>
      </c>
      <c r="AX143" s="31">
        <v>9353.7699999999986</v>
      </c>
      <c r="AY143" s="31">
        <v>0</v>
      </c>
      <c r="AZ143" s="31">
        <v>93621.884304281528</v>
      </c>
      <c r="BA143" s="31">
        <v>110903.93568069614</v>
      </c>
      <c r="BB143" s="31">
        <v>30669.390107668845</v>
      </c>
      <c r="BC143" s="31">
        <f t="shared" si="15"/>
        <v>2443549.2806650423</v>
      </c>
      <c r="BD143" s="31">
        <v>28907.069999999996</v>
      </c>
    </row>
    <row r="144" spans="2:56">
      <c r="B144" s="42" t="s">
        <v>29</v>
      </c>
      <c r="C144" s="42" t="s">
        <v>30</v>
      </c>
      <c r="D144" s="43" t="s">
        <v>1049</v>
      </c>
      <c r="E144" s="44">
        <v>34</v>
      </c>
      <c r="F144" s="31">
        <v>5290727.7441556994</v>
      </c>
      <c r="G144" s="31">
        <v>262997.94</v>
      </c>
      <c r="H144" s="31">
        <v>334228.56999999995</v>
      </c>
      <c r="I144" s="31">
        <v>16760.150000000001</v>
      </c>
      <c r="J144" s="31">
        <v>664895.35109236941</v>
      </c>
      <c r="K144" s="31">
        <v>369590.65309190226</v>
      </c>
      <c r="L144" s="31">
        <v>150719.43956585517</v>
      </c>
      <c r="M144" s="31">
        <f t="shared" si="12"/>
        <v>7263173.0279058265</v>
      </c>
      <c r="N144" s="31">
        <v>173253.18</v>
      </c>
      <c r="P144" s="42" t="s">
        <v>29</v>
      </c>
      <c r="Q144" s="42" t="s">
        <v>30</v>
      </c>
      <c r="R144" s="43" t="s">
        <v>1050</v>
      </c>
      <c r="S144" s="44">
        <v>34</v>
      </c>
      <c r="T144" s="31">
        <v>5704789.2727196207</v>
      </c>
      <c r="U144" s="31">
        <v>284310.27000000014</v>
      </c>
      <c r="V144" s="31">
        <v>357687.1</v>
      </c>
      <c r="W144" s="31">
        <v>17951.82</v>
      </c>
      <c r="X144" s="31">
        <v>707799.70434760244</v>
      </c>
      <c r="Y144" s="31">
        <v>370165.61045381258</v>
      </c>
      <c r="Z144" s="31">
        <v>162177.70643844682</v>
      </c>
      <c r="AA144" s="31">
        <f t="shared" si="13"/>
        <v>7787318.1239594817</v>
      </c>
      <c r="AB144" s="31">
        <v>182436.63999999998</v>
      </c>
      <c r="AD144" s="42" t="s">
        <v>29</v>
      </c>
      <c r="AE144" s="42" t="s">
        <v>30</v>
      </c>
      <c r="AF144" s="43" t="s">
        <v>1275</v>
      </c>
      <c r="AG144" s="44">
        <v>34</v>
      </c>
      <c r="AH144" s="31">
        <v>5808272.3986795209</v>
      </c>
      <c r="AI144" s="31">
        <v>289438.28000000003</v>
      </c>
      <c r="AJ144" s="31">
        <v>364134.48</v>
      </c>
      <c r="AK144" s="31">
        <v>18264.810000000001</v>
      </c>
      <c r="AL144" s="31">
        <v>720769.84601002524</v>
      </c>
      <c r="AM144" s="31">
        <v>369728.79792830092</v>
      </c>
      <c r="AN144" s="31">
        <v>165052.89316696639</v>
      </c>
      <c r="AO144" s="31">
        <f t="shared" si="14"/>
        <v>7921530.1057848129</v>
      </c>
      <c r="AP144" s="31">
        <v>185868.59999999998</v>
      </c>
      <c r="AR144" s="42" t="s">
        <v>29</v>
      </c>
      <c r="AS144" s="42" t="s">
        <v>30</v>
      </c>
      <c r="AT144" s="43" t="s">
        <v>1276</v>
      </c>
      <c r="AU144" s="44">
        <v>34</v>
      </c>
      <c r="AV144" s="31">
        <v>5923021.7038449235</v>
      </c>
      <c r="AW144" s="31">
        <v>295247.08</v>
      </c>
      <c r="AX144" s="31">
        <v>371569.95</v>
      </c>
      <c r="AY144" s="31">
        <v>18707.509999999998</v>
      </c>
      <c r="AZ144" s="31">
        <v>735357.68210060638</v>
      </c>
      <c r="BA144" s="31">
        <v>369741.27828617266</v>
      </c>
      <c r="BB144" s="31">
        <v>168419.78274096845</v>
      </c>
      <c r="BC144" s="31">
        <f t="shared" si="15"/>
        <v>8071708.0769726709</v>
      </c>
      <c r="BD144" s="31">
        <v>189643.09000000003</v>
      </c>
    </row>
    <row r="145" spans="2:56">
      <c r="B145" s="42" t="s">
        <v>319</v>
      </c>
      <c r="C145" s="42" t="s">
        <v>320</v>
      </c>
      <c r="D145" s="43" t="s">
        <v>1049</v>
      </c>
      <c r="E145" s="44">
        <v>34</v>
      </c>
      <c r="F145" s="31">
        <v>13435511.986247918</v>
      </c>
      <c r="G145" s="31">
        <v>185530.97000000003</v>
      </c>
      <c r="H145" s="31">
        <v>0</v>
      </c>
      <c r="I145" s="31">
        <v>40438.74</v>
      </c>
      <c r="J145" s="31">
        <v>1628522.2810486942</v>
      </c>
      <c r="K145" s="31">
        <v>262334.62199512165</v>
      </c>
      <c r="L145" s="31">
        <v>208617.84733025986</v>
      </c>
      <c r="M145" s="31">
        <f t="shared" si="12"/>
        <v>15809580.366621993</v>
      </c>
      <c r="N145" s="31">
        <v>48623.92</v>
      </c>
      <c r="P145" s="42" t="s">
        <v>319</v>
      </c>
      <c r="Q145" s="42" t="s">
        <v>320</v>
      </c>
      <c r="R145" s="43" t="s">
        <v>1050</v>
      </c>
      <c r="S145" s="44">
        <v>34</v>
      </c>
      <c r="T145" s="31">
        <v>14430201.986353025</v>
      </c>
      <c r="U145" s="31">
        <v>199422.63999999996</v>
      </c>
      <c r="V145" s="31">
        <v>0</v>
      </c>
      <c r="W145" s="31">
        <v>43271.12</v>
      </c>
      <c r="X145" s="31">
        <v>1733744.9655951143</v>
      </c>
      <c r="Y145" s="31">
        <v>262819.51736825315</v>
      </c>
      <c r="Z145" s="31">
        <v>222604.73620440153</v>
      </c>
      <c r="AA145" s="31">
        <f t="shared" si="13"/>
        <v>16943241.215520795</v>
      </c>
      <c r="AB145" s="31">
        <v>51176.249999999993</v>
      </c>
      <c r="AD145" s="42" t="s">
        <v>319</v>
      </c>
      <c r="AE145" s="42" t="s">
        <v>320</v>
      </c>
      <c r="AF145" s="43" t="s">
        <v>1275</v>
      </c>
      <c r="AG145" s="44">
        <v>34</v>
      </c>
      <c r="AH145" s="31">
        <v>14794963.002028184</v>
      </c>
      <c r="AI145" s="31">
        <v>202992.97999999998</v>
      </c>
      <c r="AJ145" s="31">
        <v>0</v>
      </c>
      <c r="AK145" s="31">
        <v>44025.549999999996</v>
      </c>
      <c r="AL145" s="31">
        <v>1765585.3123900688</v>
      </c>
      <c r="AM145" s="31">
        <v>262451.1276639406</v>
      </c>
      <c r="AN145" s="31">
        <v>226657.88864432619</v>
      </c>
      <c r="AO145" s="31">
        <f t="shared" si="14"/>
        <v>17348756.510726519</v>
      </c>
      <c r="AP145" s="31">
        <v>52080.649999999994</v>
      </c>
      <c r="AR145" s="42" t="s">
        <v>319</v>
      </c>
      <c r="AS145" s="42" t="s">
        <v>320</v>
      </c>
      <c r="AT145" s="43" t="s">
        <v>1276</v>
      </c>
      <c r="AU145" s="44">
        <v>34</v>
      </c>
      <c r="AV145" s="31">
        <v>15192450.015773419</v>
      </c>
      <c r="AW145" s="31">
        <v>207137.36</v>
      </c>
      <c r="AX145" s="31">
        <v>0</v>
      </c>
      <c r="AY145" s="31">
        <v>44941.029999999992</v>
      </c>
      <c r="AZ145" s="31">
        <v>1801408.0091979257</v>
      </c>
      <c r="BA145" s="31">
        <v>262461.65308406384</v>
      </c>
      <c r="BB145" s="31">
        <v>231225.4287638925</v>
      </c>
      <c r="BC145" s="31">
        <f t="shared" si="15"/>
        <v>17792778.626819298</v>
      </c>
      <c r="BD145" s="31">
        <v>53155.13</v>
      </c>
    </row>
    <row r="146" spans="2:56">
      <c r="B146" s="42" t="s">
        <v>501</v>
      </c>
      <c r="C146" s="42" t="s">
        <v>502</v>
      </c>
      <c r="D146" s="43" t="s">
        <v>1049</v>
      </c>
      <c r="E146" s="44">
        <v>34</v>
      </c>
      <c r="F146" s="31">
        <v>4030237.862977915</v>
      </c>
      <c r="G146" s="31">
        <v>220025.68999999997</v>
      </c>
      <c r="H146" s="31">
        <v>0</v>
      </c>
      <c r="I146" s="31">
        <v>12667.55</v>
      </c>
      <c r="J146" s="31">
        <v>550302.51504864742</v>
      </c>
      <c r="K146" s="31">
        <v>409230.28837248968</v>
      </c>
      <c r="L146" s="31">
        <v>349331.61278077186</v>
      </c>
      <c r="M146" s="31">
        <f t="shared" si="12"/>
        <v>5700419.9191798242</v>
      </c>
      <c r="N146" s="31">
        <v>128624.4</v>
      </c>
      <c r="P146" s="42" t="s">
        <v>501</v>
      </c>
      <c r="Q146" s="42" t="s">
        <v>502</v>
      </c>
      <c r="R146" s="43" t="s">
        <v>1050</v>
      </c>
      <c r="S146" s="44">
        <v>34</v>
      </c>
      <c r="T146" s="31">
        <v>4340940.0902813906</v>
      </c>
      <c r="U146" s="31">
        <v>237596.23999999996</v>
      </c>
      <c r="V146" s="31">
        <v>0</v>
      </c>
      <c r="W146" s="31">
        <v>13489.79</v>
      </c>
      <c r="X146" s="31">
        <v>585805.03316140606</v>
      </c>
      <c r="Y146" s="31">
        <v>410253.03403347818</v>
      </c>
      <c r="Z146" s="31">
        <v>376061.56820977427</v>
      </c>
      <c r="AA146" s="31">
        <f t="shared" si="13"/>
        <v>6099594.2256860491</v>
      </c>
      <c r="AB146" s="31">
        <v>135448.47</v>
      </c>
      <c r="AD146" s="42" t="s">
        <v>501</v>
      </c>
      <c r="AE146" s="42" t="s">
        <v>502</v>
      </c>
      <c r="AF146" s="43" t="s">
        <v>1275</v>
      </c>
      <c r="AG146" s="44">
        <v>34</v>
      </c>
      <c r="AH146" s="31">
        <v>4423069.0774741415</v>
      </c>
      <c r="AI146" s="31">
        <v>241919.33999999994</v>
      </c>
      <c r="AJ146" s="31">
        <v>0</v>
      </c>
      <c r="AK146" s="31">
        <v>13724.980000000001</v>
      </c>
      <c r="AL146" s="31">
        <v>596531.83583267813</v>
      </c>
      <c r="AM146" s="31">
        <v>409476.02317192819</v>
      </c>
      <c r="AN146" s="31">
        <v>383127.99521750456</v>
      </c>
      <c r="AO146" s="31">
        <f t="shared" si="14"/>
        <v>6205795.3516962519</v>
      </c>
      <c r="AP146" s="31">
        <v>137946.1</v>
      </c>
      <c r="AR146" s="42" t="s">
        <v>501</v>
      </c>
      <c r="AS146" s="42" t="s">
        <v>502</v>
      </c>
      <c r="AT146" s="43" t="s">
        <v>1276</v>
      </c>
      <c r="AU146" s="44">
        <v>34</v>
      </c>
      <c r="AV146" s="31">
        <v>4513562.8273924496</v>
      </c>
      <c r="AW146" s="31">
        <v>246652.77000000002</v>
      </c>
      <c r="AX146" s="31">
        <v>0</v>
      </c>
      <c r="AY146" s="31">
        <v>14084.4</v>
      </c>
      <c r="AZ146" s="31">
        <v>608623.33766173036</v>
      </c>
      <c r="BA146" s="31">
        <v>409498.22348225821</v>
      </c>
      <c r="BB146" s="31">
        <v>390748.49057900836</v>
      </c>
      <c r="BC146" s="31">
        <f t="shared" si="15"/>
        <v>6323999.3691154467</v>
      </c>
      <c r="BD146" s="31">
        <v>140829.32</v>
      </c>
    </row>
    <row r="147" spans="2:56">
      <c r="B147" s="42" t="s">
        <v>433</v>
      </c>
      <c r="C147" s="42" t="s">
        <v>434</v>
      </c>
      <c r="D147" s="43" t="s">
        <v>1049</v>
      </c>
      <c r="E147" s="44">
        <v>34</v>
      </c>
      <c r="F147" s="31">
        <v>88195790.149863452</v>
      </c>
      <c r="G147" s="31">
        <v>3570537.05</v>
      </c>
      <c r="H147" s="31">
        <v>1850265.23</v>
      </c>
      <c r="I147" s="31">
        <v>317699.84999999998</v>
      </c>
      <c r="J147" s="31">
        <v>14588795.008414406</v>
      </c>
      <c r="K147" s="31">
        <v>7780243.1230761921</v>
      </c>
      <c r="L147" s="31">
        <v>7790228.292259885</v>
      </c>
      <c r="M147" s="31">
        <f t="shared" si="12"/>
        <v>126175009.74361393</v>
      </c>
      <c r="N147" s="31">
        <v>2081451.04</v>
      </c>
      <c r="P147" s="42" t="s">
        <v>433</v>
      </c>
      <c r="Q147" s="42" t="s">
        <v>434</v>
      </c>
      <c r="R147" s="43" t="s">
        <v>1050</v>
      </c>
      <c r="S147" s="44">
        <v>34</v>
      </c>
      <c r="T147" s="31">
        <v>94707657.899264202</v>
      </c>
      <c r="U147" s="31">
        <v>3819212.8099999991</v>
      </c>
      <c r="V147" s="31">
        <v>1963067.6500000004</v>
      </c>
      <c r="W147" s="31">
        <v>337059.24</v>
      </c>
      <c r="X147" s="31">
        <v>15425399.752590431</v>
      </c>
      <c r="Y147" s="31">
        <v>7797411.1474551568</v>
      </c>
      <c r="Z147" s="31">
        <v>8333826.6186708398</v>
      </c>
      <c r="AA147" s="31">
        <f t="shared" si="13"/>
        <v>134560812.70798063</v>
      </c>
      <c r="AB147" s="31">
        <v>2177177.5900000003</v>
      </c>
      <c r="AD147" s="42" t="s">
        <v>433</v>
      </c>
      <c r="AE147" s="42" t="s">
        <v>434</v>
      </c>
      <c r="AF147" s="43" t="s">
        <v>1275</v>
      </c>
      <c r="AG147" s="44">
        <v>34</v>
      </c>
      <c r="AH147" s="31">
        <v>96506642.017658934</v>
      </c>
      <c r="AI147" s="31">
        <v>3889322.899999999</v>
      </c>
      <c r="AJ147" s="31">
        <v>1999409.78</v>
      </c>
      <c r="AK147" s="31">
        <v>343271.42999999993</v>
      </c>
      <c r="AL147" s="31">
        <v>15711471.711642509</v>
      </c>
      <c r="AM147" s="31">
        <v>7784016.5626753569</v>
      </c>
      <c r="AN147" s="31">
        <v>8488441.4423519634</v>
      </c>
      <c r="AO147" s="31">
        <f t="shared" si="14"/>
        <v>136940449.72432876</v>
      </c>
      <c r="AP147" s="31">
        <v>2217873.8800000004</v>
      </c>
      <c r="AR147" s="42" t="s">
        <v>433</v>
      </c>
      <c r="AS147" s="42" t="s">
        <v>434</v>
      </c>
      <c r="AT147" s="43" t="s">
        <v>1276</v>
      </c>
      <c r="AU147" s="44">
        <v>34</v>
      </c>
      <c r="AV147" s="31">
        <v>98524515.16027461</v>
      </c>
      <c r="AW147" s="31">
        <v>3968117.2899999996</v>
      </c>
      <c r="AX147" s="31">
        <v>2040227.2</v>
      </c>
      <c r="AY147" s="31">
        <v>350281.79000000004</v>
      </c>
      <c r="AZ147" s="31">
        <v>16033129.880687462</v>
      </c>
      <c r="BA147" s="31">
        <v>7784399.2650976367</v>
      </c>
      <c r="BB147" s="31">
        <v>8662719.527624188</v>
      </c>
      <c r="BC147" s="31">
        <f t="shared" si="15"/>
        <v>139627075.77368391</v>
      </c>
      <c r="BD147" s="31">
        <v>2263685.6599999997</v>
      </c>
    </row>
    <row r="148" spans="2:56">
      <c r="B148" s="42" t="s">
        <v>147</v>
      </c>
      <c r="C148" s="42" t="s">
        <v>148</v>
      </c>
      <c r="D148" s="43" t="s">
        <v>1049</v>
      </c>
      <c r="E148" s="44">
        <v>34</v>
      </c>
      <c r="F148" s="31">
        <v>2573126.4207651331</v>
      </c>
      <c r="G148" s="31">
        <v>110597.48999999999</v>
      </c>
      <c r="H148" s="31">
        <v>2825.85</v>
      </c>
      <c r="I148" s="31">
        <v>8185.1900000000005</v>
      </c>
      <c r="J148" s="31">
        <v>395401.78571019846</v>
      </c>
      <c r="K148" s="31">
        <v>213766.33242272781</v>
      </c>
      <c r="L148" s="31">
        <v>0</v>
      </c>
      <c r="M148" s="31">
        <f t="shared" si="12"/>
        <v>3387119.1688980591</v>
      </c>
      <c r="N148" s="31">
        <v>83216.100000000006</v>
      </c>
      <c r="P148" s="42" t="s">
        <v>147</v>
      </c>
      <c r="Q148" s="42" t="s">
        <v>148</v>
      </c>
      <c r="R148" s="43" t="s">
        <v>1050</v>
      </c>
      <c r="S148" s="44">
        <v>34</v>
      </c>
      <c r="T148" s="31">
        <v>2791481.8211270445</v>
      </c>
      <c r="U148" s="31">
        <v>119788.42000000001</v>
      </c>
      <c r="V148" s="31">
        <v>3009.2700000000004</v>
      </c>
      <c r="W148" s="31">
        <v>8716.48</v>
      </c>
      <c r="X148" s="31">
        <v>420893.33213663136</v>
      </c>
      <c r="Y148" s="31">
        <v>214331.23685398162</v>
      </c>
      <c r="Z148" s="31">
        <v>0</v>
      </c>
      <c r="AA148" s="31">
        <f t="shared" si="13"/>
        <v>3645863.6901176572</v>
      </c>
      <c r="AB148" s="31">
        <v>87643.13</v>
      </c>
      <c r="AD148" s="42" t="s">
        <v>147</v>
      </c>
      <c r="AE148" s="42" t="s">
        <v>148</v>
      </c>
      <c r="AF148" s="43" t="s">
        <v>1275</v>
      </c>
      <c r="AG148" s="44">
        <v>34</v>
      </c>
      <c r="AH148" s="31">
        <v>2842796.9887056653</v>
      </c>
      <c r="AI148" s="31">
        <v>121961.68000000001</v>
      </c>
      <c r="AJ148" s="31">
        <v>3061.73</v>
      </c>
      <c r="AK148" s="31">
        <v>8868.4499999999989</v>
      </c>
      <c r="AL148" s="31">
        <v>428605.84201785782</v>
      </c>
      <c r="AM148" s="31">
        <v>213902.06184443165</v>
      </c>
      <c r="AN148" s="31">
        <v>0</v>
      </c>
      <c r="AO148" s="31">
        <f t="shared" si="14"/>
        <v>3708388.7325679553</v>
      </c>
      <c r="AP148" s="31">
        <v>89191.98</v>
      </c>
      <c r="AR148" s="42" t="s">
        <v>147</v>
      </c>
      <c r="AS148" s="42" t="s">
        <v>148</v>
      </c>
      <c r="AT148" s="43" t="s">
        <v>1276</v>
      </c>
      <c r="AU148" s="44">
        <v>34</v>
      </c>
      <c r="AV148" s="31">
        <v>2900403.1254139775</v>
      </c>
      <c r="AW148" s="31">
        <v>124396.36999999998</v>
      </c>
      <c r="AX148" s="31">
        <v>3117.9300000000003</v>
      </c>
      <c r="AY148" s="31">
        <v>9138.74</v>
      </c>
      <c r="AZ148" s="31">
        <v>437274.77247648611</v>
      </c>
      <c r="BA148" s="31">
        <v>213914.32398756163</v>
      </c>
      <c r="BB148" s="31">
        <v>0</v>
      </c>
      <c r="BC148" s="31">
        <f t="shared" si="15"/>
        <v>3779307.8418780258</v>
      </c>
      <c r="BD148" s="31">
        <v>91062.58</v>
      </c>
    </row>
    <row r="149" spans="2:56">
      <c r="B149" s="42" t="s">
        <v>461</v>
      </c>
      <c r="C149" s="42" t="s">
        <v>462</v>
      </c>
      <c r="D149" s="43" t="s">
        <v>1049</v>
      </c>
      <c r="E149" s="44">
        <v>34</v>
      </c>
      <c r="F149" s="31">
        <v>84013450.044301584</v>
      </c>
      <c r="G149" s="31">
        <v>1925840.71</v>
      </c>
      <c r="H149" s="31">
        <v>495331.4599999999</v>
      </c>
      <c r="I149" s="31">
        <v>295887.42</v>
      </c>
      <c r="J149" s="31">
        <v>12890212.239045991</v>
      </c>
      <c r="K149" s="31">
        <v>5434454.7534445794</v>
      </c>
      <c r="L149" s="31">
        <v>6649331.8178424779</v>
      </c>
      <c r="M149" s="31">
        <f t="shared" si="12"/>
        <v>111808719.72463463</v>
      </c>
      <c r="N149" s="31">
        <v>104211.28</v>
      </c>
      <c r="P149" s="42" t="s">
        <v>461</v>
      </c>
      <c r="Q149" s="42" t="s">
        <v>462</v>
      </c>
      <c r="R149" s="43" t="s">
        <v>1050</v>
      </c>
      <c r="S149" s="44">
        <v>34</v>
      </c>
      <c r="T149" s="31">
        <v>89324907.125518039</v>
      </c>
      <c r="U149" s="31">
        <v>2044569.12</v>
      </c>
      <c r="V149" s="31">
        <v>525336.82999999996</v>
      </c>
      <c r="W149" s="31">
        <v>313838.94999999995</v>
      </c>
      <c r="X149" s="31">
        <v>13625093.908229336</v>
      </c>
      <c r="Y149" s="31">
        <v>5448456.2158338167</v>
      </c>
      <c r="Z149" s="31">
        <v>7043042.4779356681</v>
      </c>
      <c r="AA149" s="31">
        <f t="shared" si="13"/>
        <v>118434098.56751686</v>
      </c>
      <c r="AB149" s="31">
        <v>108853.94</v>
      </c>
      <c r="AD149" s="42" t="s">
        <v>461</v>
      </c>
      <c r="AE149" s="42" t="s">
        <v>462</v>
      </c>
      <c r="AF149" s="43" t="s">
        <v>1275</v>
      </c>
      <c r="AG149" s="44">
        <v>34</v>
      </c>
      <c r="AH149" s="31">
        <v>91032476.5904762</v>
      </c>
      <c r="AI149" s="31">
        <v>2081945.2600000002</v>
      </c>
      <c r="AJ149" s="31">
        <v>535071.01</v>
      </c>
      <c r="AK149" s="31">
        <v>319547.26</v>
      </c>
      <c r="AL149" s="31">
        <v>13875476.522206074</v>
      </c>
      <c r="AM149" s="31">
        <v>5437748.8233499164</v>
      </c>
      <c r="AN149" s="31">
        <v>7172473.1401054841</v>
      </c>
      <c r="AO149" s="31">
        <f t="shared" si="14"/>
        <v>120565522.54613769</v>
      </c>
      <c r="AP149" s="31">
        <v>110783.93999999999</v>
      </c>
      <c r="AR149" s="42" t="s">
        <v>461</v>
      </c>
      <c r="AS149" s="42" t="s">
        <v>462</v>
      </c>
      <c r="AT149" s="43" t="s">
        <v>1276</v>
      </c>
      <c r="AU149" s="44">
        <v>34</v>
      </c>
      <c r="AV149" s="31">
        <v>92945499.285987675</v>
      </c>
      <c r="AW149" s="31">
        <v>2123909.25</v>
      </c>
      <c r="AX149" s="31">
        <v>545808.86</v>
      </c>
      <c r="AY149" s="31">
        <v>325984.50000000006</v>
      </c>
      <c r="AZ149" s="31">
        <v>14157102.412593529</v>
      </c>
      <c r="BA149" s="31">
        <v>5438054.7488494562</v>
      </c>
      <c r="BB149" s="31">
        <v>7318338.3559034411</v>
      </c>
      <c r="BC149" s="31">
        <f t="shared" si="15"/>
        <v>122967765.7933341</v>
      </c>
      <c r="BD149" s="31">
        <v>113068.37999999999</v>
      </c>
    </row>
    <row r="150" spans="2:56">
      <c r="B150" s="42" t="s">
        <v>459</v>
      </c>
      <c r="C150" s="42" t="s">
        <v>460</v>
      </c>
      <c r="D150" s="43" t="s">
        <v>1049</v>
      </c>
      <c r="E150" s="44">
        <v>34</v>
      </c>
      <c r="F150" s="31">
        <v>14281584.423680754</v>
      </c>
      <c r="G150" s="31">
        <v>418808.85999999987</v>
      </c>
      <c r="H150" s="31">
        <v>28355.84</v>
      </c>
      <c r="I150" s="31">
        <v>49208.59</v>
      </c>
      <c r="J150" s="31">
        <v>2275776.646159648</v>
      </c>
      <c r="K150" s="31">
        <v>1153661.7134751424</v>
      </c>
      <c r="L150" s="31">
        <v>1157588.6523058165</v>
      </c>
      <c r="M150" s="31">
        <f t="shared" si="12"/>
        <v>19371318.505621359</v>
      </c>
      <c r="N150" s="31">
        <v>6333.78</v>
      </c>
      <c r="P150" s="42" t="s">
        <v>459</v>
      </c>
      <c r="Q150" s="42" t="s">
        <v>460</v>
      </c>
      <c r="R150" s="43" t="s">
        <v>1050</v>
      </c>
      <c r="S150" s="44">
        <v>34</v>
      </c>
      <c r="T150" s="31">
        <v>15282386.204253662</v>
      </c>
      <c r="U150" s="31">
        <v>448277.75</v>
      </c>
      <c r="V150" s="31">
        <v>30403.920000000002</v>
      </c>
      <c r="W150" s="31">
        <v>52713.97</v>
      </c>
      <c r="X150" s="31">
        <v>2422552.6301063546</v>
      </c>
      <c r="Y150" s="31">
        <v>1156099.4702142794</v>
      </c>
      <c r="Z150" s="31">
        <v>1234864.0777211701</v>
      </c>
      <c r="AA150" s="31">
        <f t="shared" si="13"/>
        <v>20633937.662295468</v>
      </c>
      <c r="AB150" s="31">
        <v>6639.64</v>
      </c>
      <c r="AD150" s="42" t="s">
        <v>459</v>
      </c>
      <c r="AE150" s="42" t="s">
        <v>460</v>
      </c>
      <c r="AF150" s="43" t="s">
        <v>1275</v>
      </c>
      <c r="AG150" s="44">
        <v>34</v>
      </c>
      <c r="AH150" s="31">
        <v>15571116.6380288</v>
      </c>
      <c r="AI150" s="31">
        <v>456408.58</v>
      </c>
      <c r="AJ150" s="31">
        <v>30934.000000000004</v>
      </c>
      <c r="AK150" s="31">
        <v>53633.03</v>
      </c>
      <c r="AL150" s="31">
        <v>2466959.3977282867</v>
      </c>
      <c r="AM150" s="31">
        <v>1154247.4325705359</v>
      </c>
      <c r="AN150" s="31">
        <v>1257453.7644616214</v>
      </c>
      <c r="AO150" s="31">
        <f t="shared" si="14"/>
        <v>20997509.812789243</v>
      </c>
      <c r="AP150" s="31">
        <v>6756.97</v>
      </c>
      <c r="AR150" s="42" t="s">
        <v>459</v>
      </c>
      <c r="AS150" s="42" t="s">
        <v>460</v>
      </c>
      <c r="AT150" s="43" t="s">
        <v>1276</v>
      </c>
      <c r="AU150" s="44">
        <v>34</v>
      </c>
      <c r="AV150" s="31">
        <v>15894426.568091111</v>
      </c>
      <c r="AW150" s="31">
        <v>465535.85999999987</v>
      </c>
      <c r="AX150" s="31">
        <v>31609.24</v>
      </c>
      <c r="AY150" s="31">
        <v>54724.85</v>
      </c>
      <c r="AZ150" s="31">
        <v>2516876.9962684074</v>
      </c>
      <c r="BA150" s="31">
        <v>1154300.3479317855</v>
      </c>
      <c r="BB150" s="31">
        <v>1283130.1470836862</v>
      </c>
      <c r="BC150" s="31">
        <f t="shared" si="15"/>
        <v>21407486.65937499</v>
      </c>
      <c r="BD150" s="31">
        <v>6882.65</v>
      </c>
    </row>
    <row r="151" spans="2:56">
      <c r="B151" s="42" t="s">
        <v>189</v>
      </c>
      <c r="C151" s="42" t="s">
        <v>190</v>
      </c>
      <c r="D151" s="43" t="s">
        <v>1049</v>
      </c>
      <c r="E151" s="44">
        <v>34</v>
      </c>
      <c r="F151" s="31">
        <v>35550269.369757548</v>
      </c>
      <c r="G151" s="31">
        <v>99369.8</v>
      </c>
      <c r="H151" s="31">
        <v>280945.52999999997</v>
      </c>
      <c r="I151" s="31">
        <v>129745.33</v>
      </c>
      <c r="J151" s="31">
        <v>4023710.8173615173</v>
      </c>
      <c r="K151" s="31">
        <v>1713918.2668713848</v>
      </c>
      <c r="L151" s="31">
        <v>3052215.7787711304</v>
      </c>
      <c r="M151" s="31">
        <f t="shared" si="12"/>
        <v>44850174.892761581</v>
      </c>
      <c r="N151" s="31">
        <v>0</v>
      </c>
      <c r="P151" s="42" t="s">
        <v>189</v>
      </c>
      <c r="Q151" s="42" t="s">
        <v>190</v>
      </c>
      <c r="R151" s="43" t="s">
        <v>1050</v>
      </c>
      <c r="S151" s="44">
        <v>34</v>
      </c>
      <c r="T151" s="31">
        <v>37998025.467033207</v>
      </c>
      <c r="U151" s="31">
        <v>106313.33999999998</v>
      </c>
      <c r="V151" s="31">
        <v>300200.03000000003</v>
      </c>
      <c r="W151" s="31">
        <v>138627.79</v>
      </c>
      <c r="X151" s="31">
        <v>4282114.4894186035</v>
      </c>
      <c r="Y151" s="31">
        <v>1715780.3610920869</v>
      </c>
      <c r="Z151" s="31">
        <v>3253793.7674837499</v>
      </c>
      <c r="AA151" s="31">
        <f t="shared" si="13"/>
        <v>47794855.245027654</v>
      </c>
      <c r="AB151" s="31">
        <v>0</v>
      </c>
      <c r="AD151" s="42" t="s">
        <v>189</v>
      </c>
      <c r="AE151" s="42" t="s">
        <v>190</v>
      </c>
      <c r="AF151" s="43" t="s">
        <v>1275</v>
      </c>
      <c r="AG151" s="44">
        <v>34</v>
      </c>
      <c r="AH151" s="31">
        <v>38708820.375851117</v>
      </c>
      <c r="AI151" s="31">
        <v>108202.65999999999</v>
      </c>
      <c r="AJ151" s="31">
        <v>305901.76</v>
      </c>
      <c r="AK151" s="31">
        <v>141213.65</v>
      </c>
      <c r="AL151" s="31">
        <v>4361708.1453813203</v>
      </c>
      <c r="AM151" s="31">
        <v>1714322.1234957955</v>
      </c>
      <c r="AN151" s="31">
        <v>3314575.77027852</v>
      </c>
      <c r="AO151" s="31">
        <f t="shared" si="14"/>
        <v>48654744.48500675</v>
      </c>
      <c r="AP151" s="31">
        <v>0</v>
      </c>
      <c r="AR151" s="42" t="s">
        <v>189</v>
      </c>
      <c r="AS151" s="42" t="s">
        <v>190</v>
      </c>
      <c r="AT151" s="43" t="s">
        <v>1276</v>
      </c>
      <c r="AU151" s="44">
        <v>34</v>
      </c>
      <c r="AV151" s="31">
        <v>39507059.496775843</v>
      </c>
      <c r="AW151" s="31">
        <v>110475.23000000001</v>
      </c>
      <c r="AX151" s="31">
        <v>312120.52</v>
      </c>
      <c r="AY151" s="31">
        <v>144103.52000000002</v>
      </c>
      <c r="AZ151" s="31">
        <v>4451195.4932352547</v>
      </c>
      <c r="BA151" s="31">
        <v>1714363.787427118</v>
      </c>
      <c r="BB151" s="31">
        <v>3382310.0271403696</v>
      </c>
      <c r="BC151" s="31">
        <f t="shared" si="15"/>
        <v>49621628.074578591</v>
      </c>
      <c r="BD151" s="31">
        <v>0</v>
      </c>
    </row>
    <row r="152" spans="2:56">
      <c r="B152" s="42" t="s">
        <v>547</v>
      </c>
      <c r="C152" s="42" t="s">
        <v>548</v>
      </c>
      <c r="D152" s="43" t="s">
        <v>1049</v>
      </c>
      <c r="E152" s="44">
        <v>34</v>
      </c>
      <c r="F152" s="31">
        <v>15099250.123553924</v>
      </c>
      <c r="G152" s="31">
        <v>431748.79</v>
      </c>
      <c r="H152" s="31">
        <v>298058.50999999995</v>
      </c>
      <c r="I152" s="31">
        <v>51403.549999999996</v>
      </c>
      <c r="J152" s="31">
        <v>1877838.7227489632</v>
      </c>
      <c r="K152" s="31">
        <v>1004557.9005241829</v>
      </c>
      <c r="L152" s="31">
        <v>571186.91942863446</v>
      </c>
      <c r="M152" s="31">
        <f t="shared" si="12"/>
        <v>19334044.516255707</v>
      </c>
      <c r="N152" s="31">
        <v>0</v>
      </c>
      <c r="P152" s="42" t="s">
        <v>547</v>
      </c>
      <c r="Q152" s="42" t="s">
        <v>548</v>
      </c>
      <c r="R152" s="43" t="s">
        <v>1050</v>
      </c>
      <c r="S152" s="44">
        <v>34</v>
      </c>
      <c r="T152" s="31">
        <v>16162653.299606988</v>
      </c>
      <c r="U152" s="31">
        <v>461896.14</v>
      </c>
      <c r="V152" s="31">
        <v>318816.46000000002</v>
      </c>
      <c r="W152" s="31">
        <v>55047.45</v>
      </c>
      <c r="X152" s="31">
        <v>1998798.2785620783</v>
      </c>
      <c r="Y152" s="31">
        <v>1005419.1963387213</v>
      </c>
      <c r="Z152" s="31">
        <v>609101.60834482941</v>
      </c>
      <c r="AA152" s="31">
        <f t="shared" si="13"/>
        <v>20611732.432852618</v>
      </c>
      <c r="AB152" s="31">
        <v>0</v>
      </c>
      <c r="AD152" s="42" t="s">
        <v>547</v>
      </c>
      <c r="AE152" s="42" t="s">
        <v>548</v>
      </c>
      <c r="AF152" s="43" t="s">
        <v>1275</v>
      </c>
      <c r="AG152" s="44">
        <v>34</v>
      </c>
      <c r="AH152" s="31">
        <v>16482003.09330683</v>
      </c>
      <c r="AI152" s="31">
        <v>470339.60000000003</v>
      </c>
      <c r="AJ152" s="31">
        <v>324747.72000000003</v>
      </c>
      <c r="AK152" s="31">
        <v>56013.969999999994</v>
      </c>
      <c r="AL152" s="31">
        <v>2035624.5881092276</v>
      </c>
      <c r="AM152" s="31">
        <v>1004757.6631251971</v>
      </c>
      <c r="AN152" s="31">
        <v>620288.98892675177</v>
      </c>
      <c r="AO152" s="31">
        <f t="shared" si="14"/>
        <v>20993775.623468008</v>
      </c>
      <c r="AP152" s="31">
        <v>0</v>
      </c>
      <c r="AR152" s="42" t="s">
        <v>547</v>
      </c>
      <c r="AS152" s="42" t="s">
        <v>548</v>
      </c>
      <c r="AT152" s="43" t="s">
        <v>1276</v>
      </c>
      <c r="AU152" s="44">
        <v>34</v>
      </c>
      <c r="AV152" s="31">
        <v>16838726.113177929</v>
      </c>
      <c r="AW152" s="31">
        <v>479823.98000000004</v>
      </c>
      <c r="AX152" s="31">
        <v>331315.12</v>
      </c>
      <c r="AY152" s="31">
        <v>57162.330000000009</v>
      </c>
      <c r="AZ152" s="31">
        <v>2077041.1523565706</v>
      </c>
      <c r="BA152" s="31">
        <v>1004776.5640741549</v>
      </c>
      <c r="BB152" s="31">
        <v>632923.05744630028</v>
      </c>
      <c r="BC152" s="31">
        <f t="shared" si="15"/>
        <v>21421768.317054953</v>
      </c>
      <c r="BD152" s="31">
        <v>0</v>
      </c>
    </row>
    <row r="153" spans="2:56">
      <c r="B153" s="42" t="s">
        <v>337</v>
      </c>
      <c r="C153" s="42" t="s">
        <v>338</v>
      </c>
      <c r="D153" s="43" t="s">
        <v>1049</v>
      </c>
      <c r="E153" s="44">
        <v>34</v>
      </c>
      <c r="F153" s="31">
        <v>6157014.5915527493</v>
      </c>
      <c r="G153" s="31">
        <v>175689.22999999998</v>
      </c>
      <c r="H153" s="31">
        <v>36541.030000000006</v>
      </c>
      <c r="I153" s="31">
        <v>20073.189999999999</v>
      </c>
      <c r="J153" s="31">
        <v>759823.98901455023</v>
      </c>
      <c r="K153" s="31">
        <v>625921.68649680004</v>
      </c>
      <c r="L153" s="31">
        <v>347571.48274217802</v>
      </c>
      <c r="M153" s="31">
        <f t="shared" si="12"/>
        <v>8134620.6498062788</v>
      </c>
      <c r="N153" s="31">
        <v>11985.449999999999</v>
      </c>
      <c r="P153" s="42" t="s">
        <v>337</v>
      </c>
      <c r="Q153" s="42" t="s">
        <v>338</v>
      </c>
      <c r="R153" s="43" t="s">
        <v>1050</v>
      </c>
      <c r="S153" s="44">
        <v>34</v>
      </c>
      <c r="T153" s="31">
        <v>6580923.3157476708</v>
      </c>
      <c r="U153" s="31">
        <v>188124.05</v>
      </c>
      <c r="V153" s="31">
        <v>39016.639999999999</v>
      </c>
      <c r="W153" s="31">
        <v>21479.920000000006</v>
      </c>
      <c r="X153" s="31">
        <v>808851.89033539954</v>
      </c>
      <c r="Y153" s="31">
        <v>627991.9223103245</v>
      </c>
      <c r="Z153" s="31">
        <v>370790.55686214159</v>
      </c>
      <c r="AA153" s="31">
        <f t="shared" si="13"/>
        <v>8649844.6552555356</v>
      </c>
      <c r="AB153" s="31">
        <v>12666.36</v>
      </c>
      <c r="AD153" s="42" t="s">
        <v>337</v>
      </c>
      <c r="AE153" s="42" t="s">
        <v>338</v>
      </c>
      <c r="AF153" s="43" t="s">
        <v>1275</v>
      </c>
      <c r="AG153" s="44">
        <v>34</v>
      </c>
      <c r="AH153" s="31">
        <v>6702775.2530758465</v>
      </c>
      <c r="AI153" s="31">
        <v>191612.08999999997</v>
      </c>
      <c r="AJ153" s="31">
        <v>39696.9</v>
      </c>
      <c r="AK153" s="31">
        <v>21854.410000000003</v>
      </c>
      <c r="AL153" s="31">
        <v>823669.52505406784</v>
      </c>
      <c r="AM153" s="31">
        <v>626419.10144739028</v>
      </c>
      <c r="AN153" s="31">
        <v>377471.29620992963</v>
      </c>
      <c r="AO153" s="31">
        <f t="shared" si="14"/>
        <v>8796388.7957872357</v>
      </c>
      <c r="AP153" s="31">
        <v>12890.220000000001</v>
      </c>
      <c r="AR153" s="42" t="s">
        <v>337</v>
      </c>
      <c r="AS153" s="42" t="s">
        <v>338</v>
      </c>
      <c r="AT153" s="43" t="s">
        <v>1276</v>
      </c>
      <c r="AU153" s="44">
        <v>34</v>
      </c>
      <c r="AV153" s="31">
        <v>6839019.6377704348</v>
      </c>
      <c r="AW153" s="31">
        <v>195448.09</v>
      </c>
      <c r="AX153" s="31">
        <v>40532.959999999999</v>
      </c>
      <c r="AY153" s="31">
        <v>22363</v>
      </c>
      <c r="AZ153" s="31">
        <v>840354.61580599716</v>
      </c>
      <c r="BA153" s="31">
        <v>626464.03918633121</v>
      </c>
      <c r="BB153" s="31">
        <v>385329.34034881333</v>
      </c>
      <c r="BC153" s="31">
        <f t="shared" si="15"/>
        <v>8962641.6331115756</v>
      </c>
      <c r="BD153" s="31">
        <v>13129.95</v>
      </c>
    </row>
    <row r="154" spans="2:56">
      <c r="B154" s="42" t="s">
        <v>419</v>
      </c>
      <c r="C154" s="42" t="s">
        <v>420</v>
      </c>
      <c r="D154" s="43" t="s">
        <v>1049</v>
      </c>
      <c r="E154" s="44">
        <v>34</v>
      </c>
      <c r="F154" s="31">
        <v>1844099.5345432186</v>
      </c>
      <c r="G154" s="31">
        <v>8282.64</v>
      </c>
      <c r="H154" s="31">
        <v>0</v>
      </c>
      <c r="I154" s="31">
        <v>0</v>
      </c>
      <c r="J154" s="31">
        <v>31456.565223040318</v>
      </c>
      <c r="K154" s="31">
        <v>97432.8</v>
      </c>
      <c r="L154" s="31">
        <v>0</v>
      </c>
      <c r="M154" s="31">
        <f t="shared" si="12"/>
        <v>1991015.8097662588</v>
      </c>
      <c r="N154" s="31">
        <v>9744.27</v>
      </c>
      <c r="P154" s="42" t="s">
        <v>419</v>
      </c>
      <c r="Q154" s="42" t="s">
        <v>420</v>
      </c>
      <c r="R154" s="43" t="s">
        <v>1050</v>
      </c>
      <c r="S154" s="44">
        <v>34</v>
      </c>
      <c r="T154" s="31">
        <v>1956973.6574877552</v>
      </c>
      <c r="U154" s="31">
        <v>8982.1899999999987</v>
      </c>
      <c r="V154" s="31">
        <v>0</v>
      </c>
      <c r="W154" s="31">
        <v>0</v>
      </c>
      <c r="X154" s="31">
        <v>33321.395837411561</v>
      </c>
      <c r="Y154" s="31">
        <v>97432.8</v>
      </c>
      <c r="Z154" s="31">
        <v>0</v>
      </c>
      <c r="AA154" s="31">
        <f t="shared" si="13"/>
        <v>2106924.8633251665</v>
      </c>
      <c r="AB154" s="31">
        <v>10214.82</v>
      </c>
      <c r="AD154" s="42" t="s">
        <v>419</v>
      </c>
      <c r="AE154" s="42" t="s">
        <v>420</v>
      </c>
      <c r="AF154" s="43" t="s">
        <v>1275</v>
      </c>
      <c r="AG154" s="44">
        <v>34</v>
      </c>
      <c r="AH154" s="31">
        <v>1990705.2310733031</v>
      </c>
      <c r="AI154" s="31">
        <v>9136.369999999999</v>
      </c>
      <c r="AJ154" s="31">
        <v>0</v>
      </c>
      <c r="AK154" s="31">
        <v>0</v>
      </c>
      <c r="AL154" s="31">
        <v>33906.205557506684</v>
      </c>
      <c r="AM154" s="31">
        <v>97432.8</v>
      </c>
      <c r="AN154" s="31">
        <v>0</v>
      </c>
      <c r="AO154" s="31">
        <f t="shared" si="14"/>
        <v>2141575.9466308099</v>
      </c>
      <c r="AP154" s="31">
        <v>10395.34</v>
      </c>
      <c r="AR154" s="42" t="s">
        <v>419</v>
      </c>
      <c r="AS154" s="42" t="s">
        <v>420</v>
      </c>
      <c r="AT154" s="43" t="s">
        <v>1276</v>
      </c>
      <c r="AU154" s="44">
        <v>34</v>
      </c>
      <c r="AV154" s="31">
        <v>2026836.6640914143</v>
      </c>
      <c r="AW154" s="31">
        <v>9301.48</v>
      </c>
      <c r="AX154" s="31">
        <v>0</v>
      </c>
      <c r="AY154" s="31">
        <v>0</v>
      </c>
      <c r="AZ154" s="31">
        <v>34532.531029012564</v>
      </c>
      <c r="BA154" s="31">
        <v>97432.8</v>
      </c>
      <c r="BB154" s="31">
        <v>0</v>
      </c>
      <c r="BC154" s="31">
        <f t="shared" si="15"/>
        <v>2178692.1551204268</v>
      </c>
      <c r="BD154" s="31">
        <v>10588.68</v>
      </c>
    </row>
    <row r="155" spans="2:56">
      <c r="B155" s="42" t="s">
        <v>437</v>
      </c>
      <c r="C155" s="42" t="s">
        <v>438</v>
      </c>
      <c r="D155" s="43" t="s">
        <v>1049</v>
      </c>
      <c r="E155" s="44">
        <v>34</v>
      </c>
      <c r="F155" s="31">
        <v>51326406.287598133</v>
      </c>
      <c r="G155" s="31">
        <v>1305696.58</v>
      </c>
      <c r="H155" s="31">
        <v>1196276.8800000001</v>
      </c>
      <c r="I155" s="31">
        <v>188350.95</v>
      </c>
      <c r="J155" s="31">
        <v>7266986.8934142021</v>
      </c>
      <c r="K155" s="31">
        <v>3185444.8858588627</v>
      </c>
      <c r="L155" s="31">
        <v>4599506.8704378568</v>
      </c>
      <c r="M155" s="31">
        <f t="shared" si="12"/>
        <v>69265715.14730905</v>
      </c>
      <c r="N155" s="31">
        <v>197045.79999999996</v>
      </c>
      <c r="P155" s="42" t="s">
        <v>437</v>
      </c>
      <c r="Q155" s="42" t="s">
        <v>438</v>
      </c>
      <c r="R155" s="43" t="s">
        <v>1050</v>
      </c>
      <c r="S155" s="44">
        <v>34</v>
      </c>
      <c r="T155" s="31">
        <v>54913520.31510748</v>
      </c>
      <c r="U155" s="31">
        <v>1398671.5799999998</v>
      </c>
      <c r="V155" s="31">
        <v>1278883.3699999999</v>
      </c>
      <c r="W155" s="31">
        <v>201334.63</v>
      </c>
      <c r="X155" s="31">
        <v>7733600.4997926662</v>
      </c>
      <c r="Y155" s="31">
        <v>3187565.0804141904</v>
      </c>
      <c r="Z155" s="31">
        <v>4903482.081102699</v>
      </c>
      <c r="AA155" s="31">
        <f t="shared" si="13"/>
        <v>73824858.59641704</v>
      </c>
      <c r="AB155" s="31">
        <v>207801.03999999998</v>
      </c>
      <c r="AD155" s="42" t="s">
        <v>437</v>
      </c>
      <c r="AE155" s="42" t="s">
        <v>438</v>
      </c>
      <c r="AF155" s="43" t="s">
        <v>1275</v>
      </c>
      <c r="AG155" s="44">
        <v>34</v>
      </c>
      <c r="AH155" s="31">
        <v>56005222.366101921</v>
      </c>
      <c r="AI155" s="31">
        <v>1424586.4100000001</v>
      </c>
      <c r="AJ155" s="31">
        <v>1302466.5600000001</v>
      </c>
      <c r="AK155" s="31">
        <v>205034.87</v>
      </c>
      <c r="AL155" s="31">
        <v>7877366.5427135024</v>
      </c>
      <c r="AM155" s="31">
        <v>3185904.7200641832</v>
      </c>
      <c r="AN155" s="31">
        <v>4994658.3789550578</v>
      </c>
      <c r="AO155" s="31">
        <f t="shared" si="14"/>
        <v>75206897.707834646</v>
      </c>
      <c r="AP155" s="31">
        <v>211657.86</v>
      </c>
      <c r="AR155" s="42" t="s">
        <v>437</v>
      </c>
      <c r="AS155" s="42" t="s">
        <v>438</v>
      </c>
      <c r="AT155" s="43" t="s">
        <v>1276</v>
      </c>
      <c r="AU155" s="44">
        <v>34</v>
      </c>
      <c r="AV155" s="31">
        <v>57223977.065840706</v>
      </c>
      <c r="AW155" s="31">
        <v>1453677.45</v>
      </c>
      <c r="AX155" s="31">
        <v>1329065.43</v>
      </c>
      <c r="AY155" s="31">
        <v>209242.79</v>
      </c>
      <c r="AZ155" s="31">
        <v>8039022.8803053722</v>
      </c>
      <c r="BA155" s="31">
        <v>3185952.1589313266</v>
      </c>
      <c r="BB155" s="31">
        <v>5097291.1430806685</v>
      </c>
      <c r="BC155" s="31">
        <f t="shared" si="15"/>
        <v>76754259.198158085</v>
      </c>
      <c r="BD155" s="31">
        <v>216030.28</v>
      </c>
    </row>
    <row r="156" spans="2:56">
      <c r="B156" s="42" t="s">
        <v>149</v>
      </c>
      <c r="C156" s="42" t="s">
        <v>150</v>
      </c>
      <c r="D156" s="43" t="s">
        <v>1049</v>
      </c>
      <c r="E156" s="44">
        <v>34</v>
      </c>
      <c r="F156" s="31">
        <v>10514465.054648466</v>
      </c>
      <c r="G156" s="31">
        <v>319090.32</v>
      </c>
      <c r="H156" s="31">
        <v>42168.749999999993</v>
      </c>
      <c r="I156" s="31">
        <v>39344.04</v>
      </c>
      <c r="J156" s="31">
        <v>1869143.542256271</v>
      </c>
      <c r="K156" s="31">
        <v>597041.3099596122</v>
      </c>
      <c r="L156" s="31">
        <v>1525886.8133305199</v>
      </c>
      <c r="M156" s="31">
        <f t="shared" si="12"/>
        <v>14907139.83019487</v>
      </c>
      <c r="N156" s="31">
        <v>0</v>
      </c>
      <c r="P156" s="42" t="s">
        <v>149</v>
      </c>
      <c r="Q156" s="42" t="s">
        <v>150</v>
      </c>
      <c r="R156" s="43" t="s">
        <v>1050</v>
      </c>
      <c r="S156" s="44">
        <v>34</v>
      </c>
      <c r="T156" s="31">
        <v>11249272.041633202</v>
      </c>
      <c r="U156" s="31">
        <v>341327.69999999995</v>
      </c>
      <c r="V156" s="31">
        <v>45001.98</v>
      </c>
      <c r="W156" s="31">
        <v>42102.090000000004</v>
      </c>
      <c r="X156" s="31">
        <v>1989690.4567870745</v>
      </c>
      <c r="Y156" s="31">
        <v>598643.48603059375</v>
      </c>
      <c r="Z156" s="31">
        <v>1627482.78624112</v>
      </c>
      <c r="AA156" s="31">
        <f t="shared" si="13"/>
        <v>15893520.540691989</v>
      </c>
      <c r="AB156" s="31">
        <v>0</v>
      </c>
      <c r="AD156" s="42" t="s">
        <v>149</v>
      </c>
      <c r="AE156" s="42" t="s">
        <v>150</v>
      </c>
      <c r="AF156" s="43" t="s">
        <v>1275</v>
      </c>
      <c r="AG156" s="44">
        <v>34</v>
      </c>
      <c r="AH156" s="31">
        <v>11460439.703538276</v>
      </c>
      <c r="AI156" s="31">
        <v>347635.07</v>
      </c>
      <c r="AJ156" s="31">
        <v>45899.640000000007</v>
      </c>
      <c r="AK156" s="31">
        <v>42839.65</v>
      </c>
      <c r="AL156" s="31">
        <v>2026255.6036624438</v>
      </c>
      <c r="AM156" s="31">
        <v>597426.26433339785</v>
      </c>
      <c r="AN156" s="31">
        <v>1657509.4992734222</v>
      </c>
      <c r="AO156" s="31">
        <f t="shared" si="14"/>
        <v>16178005.430807542</v>
      </c>
      <c r="AP156" s="31">
        <v>0</v>
      </c>
      <c r="AR156" s="42" t="s">
        <v>149</v>
      </c>
      <c r="AS156" s="42" t="s">
        <v>150</v>
      </c>
      <c r="AT156" s="43" t="s">
        <v>1276</v>
      </c>
      <c r="AU156" s="44">
        <v>34</v>
      </c>
      <c r="AV156" s="31">
        <v>11697935.676675716</v>
      </c>
      <c r="AW156" s="31">
        <v>354601.7</v>
      </c>
      <c r="AX156" s="31">
        <v>46857.29</v>
      </c>
      <c r="AY156" s="31">
        <v>43740.890000000007</v>
      </c>
      <c r="AZ156" s="31">
        <v>2067387.1782452469</v>
      </c>
      <c r="BA156" s="31">
        <v>597461.0420961749</v>
      </c>
      <c r="BB156" s="31">
        <v>1691151.2013865174</v>
      </c>
      <c r="BC156" s="31">
        <f t="shared" si="15"/>
        <v>16499134.978403654</v>
      </c>
      <c r="BD156" s="31">
        <v>0</v>
      </c>
    </row>
    <row r="157" spans="2:56">
      <c r="B157" s="42" t="s">
        <v>277</v>
      </c>
      <c r="C157" s="42" t="s">
        <v>278</v>
      </c>
      <c r="D157" s="43" t="s">
        <v>1049</v>
      </c>
      <c r="E157" s="44">
        <v>34</v>
      </c>
      <c r="F157" s="31">
        <v>3341744.4737876356</v>
      </c>
      <c r="G157" s="31">
        <v>140025.21000000002</v>
      </c>
      <c r="H157" s="31">
        <v>0</v>
      </c>
      <c r="I157" s="31">
        <v>10718.71</v>
      </c>
      <c r="J157" s="31">
        <v>435725.09957905917</v>
      </c>
      <c r="K157" s="31">
        <v>254336.19515466917</v>
      </c>
      <c r="L157" s="31">
        <v>730697.93245293933</v>
      </c>
      <c r="M157" s="31">
        <f t="shared" si="12"/>
        <v>5024137.4409743035</v>
      </c>
      <c r="N157" s="31">
        <v>110889.81999999999</v>
      </c>
      <c r="P157" s="42" t="s">
        <v>277</v>
      </c>
      <c r="Q157" s="42" t="s">
        <v>278</v>
      </c>
      <c r="R157" s="43" t="s">
        <v>1050</v>
      </c>
      <c r="S157" s="44">
        <v>34</v>
      </c>
      <c r="T157" s="31">
        <v>3596737.4768655617</v>
      </c>
      <c r="U157" s="31">
        <v>151693.17000000001</v>
      </c>
      <c r="V157" s="31">
        <v>0</v>
      </c>
      <c r="W157" s="31">
        <v>11414.45</v>
      </c>
      <c r="X157" s="31">
        <v>463822.90377414593</v>
      </c>
      <c r="Y157" s="31">
        <v>254720.99194658356</v>
      </c>
      <c r="Z157" s="31">
        <v>787007.88819440524</v>
      </c>
      <c r="AA157" s="31">
        <f t="shared" si="13"/>
        <v>5382254.4107806971</v>
      </c>
      <c r="AB157" s="31">
        <v>116857.53</v>
      </c>
      <c r="AD157" s="42" t="s">
        <v>277</v>
      </c>
      <c r="AE157" s="42" t="s">
        <v>278</v>
      </c>
      <c r="AF157" s="43" t="s">
        <v>1275</v>
      </c>
      <c r="AG157" s="44">
        <v>34</v>
      </c>
      <c r="AH157" s="31">
        <v>3661802.2402960537</v>
      </c>
      <c r="AI157" s="31">
        <v>154417.37000000005</v>
      </c>
      <c r="AJ157" s="31">
        <v>0</v>
      </c>
      <c r="AK157" s="31">
        <v>11613.460000000001</v>
      </c>
      <c r="AL157" s="31">
        <v>472330.01303094369</v>
      </c>
      <c r="AM157" s="31">
        <v>254428.65016679239</v>
      </c>
      <c r="AN157" s="31">
        <v>801360.27083439101</v>
      </c>
      <c r="AO157" s="31">
        <f t="shared" si="14"/>
        <v>5474978.6143281814</v>
      </c>
      <c r="AP157" s="31">
        <v>119026.61</v>
      </c>
      <c r="AR157" s="42" t="s">
        <v>277</v>
      </c>
      <c r="AS157" s="42" t="s">
        <v>278</v>
      </c>
      <c r="AT157" s="43" t="s">
        <v>1276</v>
      </c>
      <c r="AU157" s="44">
        <v>34</v>
      </c>
      <c r="AV157" s="31">
        <v>3734230.481673094</v>
      </c>
      <c r="AW157" s="31">
        <v>157440.42999999996</v>
      </c>
      <c r="AX157" s="31">
        <v>0</v>
      </c>
      <c r="AY157" s="31">
        <v>11826.6</v>
      </c>
      <c r="AZ157" s="31">
        <v>481871.23986523162</v>
      </c>
      <c r="BA157" s="31">
        <v>254437.00278907217</v>
      </c>
      <c r="BB157" s="31">
        <v>817644.43219210266</v>
      </c>
      <c r="BC157" s="31">
        <f t="shared" si="15"/>
        <v>5578902.2365195006</v>
      </c>
      <c r="BD157" s="31">
        <v>121452.05000000002</v>
      </c>
    </row>
    <row r="158" spans="2:56">
      <c r="B158" s="42" t="s">
        <v>133</v>
      </c>
      <c r="C158" s="42" t="s">
        <v>134</v>
      </c>
      <c r="D158" s="43" t="s">
        <v>1049</v>
      </c>
      <c r="E158" s="44">
        <v>34</v>
      </c>
      <c r="F158" s="31">
        <v>69232191.206650376</v>
      </c>
      <c r="G158" s="31">
        <v>3448051.8400000008</v>
      </c>
      <c r="H158" s="31">
        <v>1891238.13</v>
      </c>
      <c r="I158" s="31">
        <v>243025.16</v>
      </c>
      <c r="J158" s="31">
        <v>11155260.835700126</v>
      </c>
      <c r="K158" s="31">
        <v>4264990.2661867626</v>
      </c>
      <c r="L158" s="31">
        <v>6286754.6413683398</v>
      </c>
      <c r="M158" s="31">
        <f t="shared" si="12"/>
        <v>98767855.459905595</v>
      </c>
      <c r="N158" s="31">
        <v>2246343.38</v>
      </c>
      <c r="P158" s="42" t="s">
        <v>133</v>
      </c>
      <c r="Q158" s="42" t="s">
        <v>134</v>
      </c>
      <c r="R158" s="43" t="s">
        <v>1050</v>
      </c>
      <c r="S158" s="44">
        <v>34</v>
      </c>
      <c r="T158" s="31">
        <v>74372328.54211551</v>
      </c>
      <c r="U158" s="31">
        <v>3694027.790000001</v>
      </c>
      <c r="V158" s="31">
        <v>2006247.81</v>
      </c>
      <c r="W158" s="31">
        <v>257822.92</v>
      </c>
      <c r="X158" s="31">
        <v>11790694.968102861</v>
      </c>
      <c r="Y158" s="31">
        <v>4276159.7893174244</v>
      </c>
      <c r="Z158" s="31">
        <v>6721095.2586504621</v>
      </c>
      <c r="AA158" s="31">
        <f t="shared" si="13"/>
        <v>105464924.08818628</v>
      </c>
      <c r="AB158" s="31">
        <v>2346547.0099999998</v>
      </c>
      <c r="AD158" s="42" t="s">
        <v>133</v>
      </c>
      <c r="AE158" s="42" t="s">
        <v>134</v>
      </c>
      <c r="AF158" s="43" t="s">
        <v>1275</v>
      </c>
      <c r="AG158" s="44">
        <v>34</v>
      </c>
      <c r="AH158" s="31">
        <v>75776814.301773578</v>
      </c>
      <c r="AI158" s="31">
        <v>3760966.82</v>
      </c>
      <c r="AJ158" s="31">
        <v>2042870.3199999998</v>
      </c>
      <c r="AK158" s="31">
        <v>262551.05</v>
      </c>
      <c r="AL158" s="31">
        <v>12007298.415620439</v>
      </c>
      <c r="AM158" s="31">
        <v>4267618.0766953239</v>
      </c>
      <c r="AN158" s="31">
        <v>6844459.2922240626</v>
      </c>
      <c r="AO158" s="31">
        <f t="shared" si="14"/>
        <v>107352544.12631337</v>
      </c>
      <c r="AP158" s="31">
        <v>2389965.85</v>
      </c>
      <c r="AR158" s="42" t="s">
        <v>133</v>
      </c>
      <c r="AS158" s="42" t="s">
        <v>134</v>
      </c>
      <c r="AT158" s="43" t="s">
        <v>1276</v>
      </c>
      <c r="AU158" s="44">
        <v>34</v>
      </c>
      <c r="AV158" s="31">
        <v>77352342.66228582</v>
      </c>
      <c r="AW158" s="31">
        <v>3836236.3999999994</v>
      </c>
      <c r="AX158" s="31">
        <v>2084137.91</v>
      </c>
      <c r="AY158" s="31">
        <v>267828.15999999997</v>
      </c>
      <c r="AZ158" s="31">
        <v>12250949.902269358</v>
      </c>
      <c r="BA158" s="31">
        <v>4267862.1256273836</v>
      </c>
      <c r="BB158" s="31">
        <v>6983686.3408901058</v>
      </c>
      <c r="BC158" s="31">
        <f t="shared" si="15"/>
        <v>109481732.97107267</v>
      </c>
      <c r="BD158" s="31">
        <v>2438689.4699999997</v>
      </c>
    </row>
    <row r="159" spans="2:56">
      <c r="B159" s="42" t="s">
        <v>275</v>
      </c>
      <c r="C159" s="42" t="s">
        <v>276</v>
      </c>
      <c r="D159" s="43" t="s">
        <v>1049</v>
      </c>
      <c r="E159" s="44">
        <v>34</v>
      </c>
      <c r="F159" s="31">
        <v>5039134.5883529764</v>
      </c>
      <c r="G159" s="31">
        <v>233667.65999999997</v>
      </c>
      <c r="H159" s="31">
        <v>88478.000000000015</v>
      </c>
      <c r="I159" s="31">
        <v>16175.490000000002</v>
      </c>
      <c r="J159" s="31">
        <v>701295.64029573591</v>
      </c>
      <c r="K159" s="31">
        <v>400505.78742226813</v>
      </c>
      <c r="L159" s="31">
        <v>433914.95655061537</v>
      </c>
      <c r="M159" s="31">
        <f t="shared" si="12"/>
        <v>7079799.2026215959</v>
      </c>
      <c r="N159" s="31">
        <v>166627.08000000002</v>
      </c>
      <c r="P159" s="42" t="s">
        <v>275</v>
      </c>
      <c r="Q159" s="42" t="s">
        <v>276</v>
      </c>
      <c r="R159" s="43" t="s">
        <v>1050</v>
      </c>
      <c r="S159" s="44">
        <v>34</v>
      </c>
      <c r="T159" s="31">
        <v>5435684.3351234058</v>
      </c>
      <c r="U159" s="31">
        <v>252863.93000000002</v>
      </c>
      <c r="V159" s="31">
        <v>94636.079999999987</v>
      </c>
      <c r="W159" s="31">
        <v>17329.200000000004</v>
      </c>
      <c r="X159" s="31">
        <v>746529.73665770015</v>
      </c>
      <c r="Y159" s="31">
        <v>401268.60461419355</v>
      </c>
      <c r="Z159" s="31">
        <v>467105.63538918243</v>
      </c>
      <c r="AA159" s="31">
        <f t="shared" si="13"/>
        <v>7591010.2417844823</v>
      </c>
      <c r="AB159" s="31">
        <v>175592.72</v>
      </c>
      <c r="AD159" s="42" t="s">
        <v>275</v>
      </c>
      <c r="AE159" s="42" t="s">
        <v>276</v>
      </c>
      <c r="AF159" s="43" t="s">
        <v>1275</v>
      </c>
      <c r="AG159" s="44">
        <v>34</v>
      </c>
      <c r="AH159" s="31">
        <v>5535355.1834218986</v>
      </c>
      <c r="AI159" s="31">
        <v>257338.12</v>
      </c>
      <c r="AJ159" s="31">
        <v>96391.64</v>
      </c>
      <c r="AK159" s="31">
        <v>17631.350000000002</v>
      </c>
      <c r="AL159" s="31">
        <v>760223.17908939475</v>
      </c>
      <c r="AM159" s="31">
        <v>400689.0692848232</v>
      </c>
      <c r="AN159" s="31">
        <v>475786.75877661293</v>
      </c>
      <c r="AO159" s="31">
        <f t="shared" si="14"/>
        <v>7722215.0705727283</v>
      </c>
      <c r="AP159" s="31">
        <v>178799.77000000002</v>
      </c>
      <c r="AR159" s="42" t="s">
        <v>275</v>
      </c>
      <c r="AS159" s="42" t="s">
        <v>276</v>
      </c>
      <c r="AT159" s="43" t="s">
        <v>1276</v>
      </c>
      <c r="AU159" s="44">
        <v>34</v>
      </c>
      <c r="AV159" s="31">
        <v>5646418.9204602055</v>
      </c>
      <c r="AW159" s="31">
        <v>262559.54000000004</v>
      </c>
      <c r="AX159" s="31">
        <v>98375.739999999991</v>
      </c>
      <c r="AY159" s="31">
        <v>17954.920000000002</v>
      </c>
      <c r="AZ159" s="31">
        <v>775609.44598345354</v>
      </c>
      <c r="BA159" s="31">
        <v>400705.62743709085</v>
      </c>
      <c r="BB159" s="31">
        <v>485259.97941455815</v>
      </c>
      <c r="BC159" s="31">
        <f t="shared" si="15"/>
        <v>7869326.9732953077</v>
      </c>
      <c r="BD159" s="31">
        <v>182442.80000000002</v>
      </c>
    </row>
    <row r="160" spans="2:56">
      <c r="B160" s="42" t="s">
        <v>609</v>
      </c>
      <c r="C160" s="42" t="s">
        <v>610</v>
      </c>
      <c r="D160" s="43" t="s">
        <v>1049</v>
      </c>
      <c r="E160" s="44">
        <v>34</v>
      </c>
      <c r="F160" s="31">
        <v>6996307.0938488375</v>
      </c>
      <c r="G160" s="31">
        <v>510405.02000000014</v>
      </c>
      <c r="H160" s="31">
        <v>193326.38000000003</v>
      </c>
      <c r="I160" s="31">
        <v>23093.929999999997</v>
      </c>
      <c r="J160" s="31">
        <v>1034088.0899749969</v>
      </c>
      <c r="K160" s="31">
        <v>762266.82274795126</v>
      </c>
      <c r="L160" s="31">
        <v>223027.36280289176</v>
      </c>
      <c r="M160" s="31">
        <f t="shared" si="12"/>
        <v>9976279.8193746768</v>
      </c>
      <c r="N160" s="31">
        <v>233765.11999999997</v>
      </c>
      <c r="P160" s="42" t="s">
        <v>609</v>
      </c>
      <c r="Q160" s="42" t="s">
        <v>610</v>
      </c>
      <c r="R160" s="43" t="s">
        <v>1050</v>
      </c>
      <c r="S160" s="44">
        <v>34</v>
      </c>
      <c r="T160" s="31">
        <v>7552822.7024813006</v>
      </c>
      <c r="U160" s="31">
        <v>550033.7300000001</v>
      </c>
      <c r="V160" s="31">
        <v>206912.69999999998</v>
      </c>
      <c r="W160" s="31">
        <v>24696.7</v>
      </c>
      <c r="X160" s="31">
        <v>1100802.3987269781</v>
      </c>
      <c r="Y160" s="31">
        <v>764083.1246992253</v>
      </c>
      <c r="Z160" s="31">
        <v>240133.80590514903</v>
      </c>
      <c r="AA160" s="31">
        <f t="shared" si="13"/>
        <v>10685764.411812654</v>
      </c>
      <c r="AB160" s="31">
        <v>246279.25</v>
      </c>
      <c r="AD160" s="42" t="s">
        <v>609</v>
      </c>
      <c r="AE160" s="42" t="s">
        <v>610</v>
      </c>
      <c r="AF160" s="43" t="s">
        <v>1275</v>
      </c>
      <c r="AG160" s="44">
        <v>34</v>
      </c>
      <c r="AH160" s="31">
        <v>7692112.9007809144</v>
      </c>
      <c r="AI160" s="31">
        <v>559990.57000000007</v>
      </c>
      <c r="AJ160" s="31">
        <v>210625.77</v>
      </c>
      <c r="AK160" s="31">
        <v>25127.29</v>
      </c>
      <c r="AL160" s="31">
        <v>1120974.963501699</v>
      </c>
      <c r="AM160" s="31">
        <v>762703.22508407524</v>
      </c>
      <c r="AN160" s="31">
        <v>244496.96504385496</v>
      </c>
      <c r="AO160" s="31">
        <f t="shared" si="14"/>
        <v>10866871.144410545</v>
      </c>
      <c r="AP160" s="31">
        <v>250839.46</v>
      </c>
      <c r="AR160" s="42" t="s">
        <v>609</v>
      </c>
      <c r="AS160" s="42" t="s">
        <v>610</v>
      </c>
      <c r="AT160" s="43" t="s">
        <v>1276</v>
      </c>
      <c r="AU160" s="44">
        <v>34</v>
      </c>
      <c r="AV160" s="31">
        <v>7847494.4004695341</v>
      </c>
      <c r="AW160" s="31">
        <v>571180.52</v>
      </c>
      <c r="AX160" s="31">
        <v>214813.85999999996</v>
      </c>
      <c r="AY160" s="31">
        <v>25695.959999999995</v>
      </c>
      <c r="AZ160" s="31">
        <v>1143674.1576205811</v>
      </c>
      <c r="BA160" s="31">
        <v>762742.65078736516</v>
      </c>
      <c r="BB160" s="31">
        <v>249657.84283707407</v>
      </c>
      <c r="BC160" s="31">
        <f t="shared" si="15"/>
        <v>11071187.551714554</v>
      </c>
      <c r="BD160" s="31">
        <v>255928.15999999997</v>
      </c>
    </row>
    <row r="161" spans="2:56">
      <c r="B161" s="42" t="s">
        <v>551</v>
      </c>
      <c r="C161" s="42" t="s">
        <v>552</v>
      </c>
      <c r="D161" s="43" t="s">
        <v>1049</v>
      </c>
      <c r="E161" s="44">
        <v>34</v>
      </c>
      <c r="F161" s="31">
        <v>14444704.936698059</v>
      </c>
      <c r="G161" s="31">
        <v>625768.49</v>
      </c>
      <c r="H161" s="31">
        <v>155175.93000000002</v>
      </c>
      <c r="I161" s="31">
        <v>50970.990000000005</v>
      </c>
      <c r="J161" s="31">
        <v>2343696.0587622183</v>
      </c>
      <c r="K161" s="31">
        <v>1709965.2634148283</v>
      </c>
      <c r="L161" s="31">
        <v>918636.55672917771</v>
      </c>
      <c r="M161" s="31">
        <f t="shared" si="12"/>
        <v>20657332.645604286</v>
      </c>
      <c r="N161" s="31">
        <v>408414.42</v>
      </c>
      <c r="P161" s="42" t="s">
        <v>551</v>
      </c>
      <c r="Q161" s="42" t="s">
        <v>552</v>
      </c>
      <c r="R161" s="43" t="s">
        <v>1050</v>
      </c>
      <c r="S161" s="44">
        <v>34</v>
      </c>
      <c r="T161" s="31">
        <v>15606988.483950499</v>
      </c>
      <c r="U161" s="31">
        <v>675384.47000000009</v>
      </c>
      <c r="V161" s="31">
        <v>165934.11999999997</v>
      </c>
      <c r="W161" s="31">
        <v>54470.430000000008</v>
      </c>
      <c r="X161" s="31">
        <v>2494396.0810106467</v>
      </c>
      <c r="Y161" s="31">
        <v>1714465.4236806745</v>
      </c>
      <c r="Z161" s="31">
        <v>989034.68658483238</v>
      </c>
      <c r="AA161" s="31">
        <f t="shared" si="13"/>
        <v>22131096.355226655</v>
      </c>
      <c r="AB161" s="31">
        <v>430422.66000000003</v>
      </c>
      <c r="AD161" s="42" t="s">
        <v>551</v>
      </c>
      <c r="AE161" s="42" t="s">
        <v>552</v>
      </c>
      <c r="AF161" s="43" t="s">
        <v>1275</v>
      </c>
      <c r="AG161" s="44">
        <v>34</v>
      </c>
      <c r="AH161" s="31">
        <v>15906529.535033906</v>
      </c>
      <c r="AI161" s="31">
        <v>687696.55000000016</v>
      </c>
      <c r="AJ161" s="31">
        <v>168982.86</v>
      </c>
      <c r="AK161" s="31">
        <v>55432.900000000009</v>
      </c>
      <c r="AL161" s="31">
        <v>2540573.4401846193</v>
      </c>
      <c r="AM161" s="31">
        <v>1710973.9979334243</v>
      </c>
      <c r="AN161" s="31">
        <v>1007454.9196994401</v>
      </c>
      <c r="AO161" s="31">
        <f t="shared" si="14"/>
        <v>22516111.042851392</v>
      </c>
      <c r="AP161" s="31">
        <v>438466.83999999997</v>
      </c>
      <c r="AR161" s="42" t="s">
        <v>551</v>
      </c>
      <c r="AS161" s="42" t="s">
        <v>552</v>
      </c>
      <c r="AT161" s="43" t="s">
        <v>1276</v>
      </c>
      <c r="AU161" s="44">
        <v>34</v>
      </c>
      <c r="AV161" s="31">
        <v>16241587.005327916</v>
      </c>
      <c r="AW161" s="31">
        <v>701705.36999999988</v>
      </c>
      <c r="AX161" s="31">
        <v>172362.97000000003</v>
      </c>
      <c r="AY161" s="31">
        <v>56582.610000000008</v>
      </c>
      <c r="AZ161" s="31">
        <v>2592469.8087118068</v>
      </c>
      <c r="BA161" s="31">
        <v>1711073.7529547745</v>
      </c>
      <c r="BB161" s="31">
        <v>1028048.107406492</v>
      </c>
      <c r="BC161" s="31">
        <f t="shared" si="15"/>
        <v>22951369.144400988</v>
      </c>
      <c r="BD161" s="31">
        <v>447539.52</v>
      </c>
    </row>
    <row r="162" spans="2:56">
      <c r="B162" s="42" t="s">
        <v>417</v>
      </c>
      <c r="C162" s="42" t="s">
        <v>418</v>
      </c>
      <c r="D162" s="43" t="s">
        <v>1049</v>
      </c>
      <c r="E162" s="44">
        <v>34</v>
      </c>
      <c r="F162" s="31">
        <v>634310.17303443793</v>
      </c>
      <c r="G162" s="31">
        <v>8823.77</v>
      </c>
      <c r="H162" s="31">
        <v>0</v>
      </c>
      <c r="I162" s="31">
        <v>1744.22</v>
      </c>
      <c r="J162" s="31">
        <v>42566.034649388181</v>
      </c>
      <c r="K162" s="31">
        <v>74149.7838929891</v>
      </c>
      <c r="L162" s="31">
        <v>0</v>
      </c>
      <c r="M162" s="31">
        <f t="shared" si="12"/>
        <v>761593.98157681525</v>
      </c>
      <c r="N162" s="31">
        <v>0</v>
      </c>
      <c r="P162" s="42" t="s">
        <v>417</v>
      </c>
      <c r="Q162" s="42" t="s">
        <v>418</v>
      </c>
      <c r="R162" s="43" t="s">
        <v>1050</v>
      </c>
      <c r="S162" s="44">
        <v>34</v>
      </c>
      <c r="T162" s="31">
        <v>674581.78845859831</v>
      </c>
      <c r="U162" s="31">
        <v>9393.0200000000023</v>
      </c>
      <c r="V162" s="31">
        <v>0</v>
      </c>
      <c r="W162" s="31">
        <v>1856.75</v>
      </c>
      <c r="X162" s="31">
        <v>45084.026645728474</v>
      </c>
      <c r="Y162" s="31">
        <v>74283.0505738395</v>
      </c>
      <c r="Z162" s="31">
        <v>0</v>
      </c>
      <c r="AA162" s="31">
        <f t="shared" si="13"/>
        <v>805198.63567816629</v>
      </c>
      <c r="AB162" s="31">
        <v>0</v>
      </c>
      <c r="AD162" s="42" t="s">
        <v>417</v>
      </c>
      <c r="AE162" s="42" t="s">
        <v>418</v>
      </c>
      <c r="AF162" s="43" t="s">
        <v>1275</v>
      </c>
      <c r="AG162" s="44">
        <v>34</v>
      </c>
      <c r="AH162" s="31">
        <v>686445.87936814304</v>
      </c>
      <c r="AI162" s="31">
        <v>9557.9400000000023</v>
      </c>
      <c r="AJ162" s="31">
        <v>0</v>
      </c>
      <c r="AK162" s="31">
        <v>1889.3600000000001</v>
      </c>
      <c r="AL162" s="31">
        <v>45879.189085367208</v>
      </c>
      <c r="AM162" s="31">
        <v>74180.69278438951</v>
      </c>
      <c r="AN162" s="31">
        <v>0</v>
      </c>
      <c r="AO162" s="31">
        <f t="shared" si="14"/>
        <v>817953.06123789982</v>
      </c>
      <c r="AP162" s="31">
        <v>0</v>
      </c>
      <c r="AR162" s="42" t="s">
        <v>417</v>
      </c>
      <c r="AS162" s="42" t="s">
        <v>418</v>
      </c>
      <c r="AT162" s="43" t="s">
        <v>1276</v>
      </c>
      <c r="AU162" s="44">
        <v>34</v>
      </c>
      <c r="AV162" s="31">
        <v>699152.41328236531</v>
      </c>
      <c r="AW162" s="31">
        <v>9734.58</v>
      </c>
      <c r="AX162" s="31">
        <v>0</v>
      </c>
      <c r="AY162" s="31">
        <v>1924.2700000000002</v>
      </c>
      <c r="AZ162" s="31">
        <v>46730.797589791538</v>
      </c>
      <c r="BA162" s="31">
        <v>74183.617292659503</v>
      </c>
      <c r="BB162" s="31">
        <v>0</v>
      </c>
      <c r="BC162" s="31">
        <f t="shared" si="15"/>
        <v>831725.67816481635</v>
      </c>
      <c r="BD162" s="31">
        <v>0</v>
      </c>
    </row>
    <row r="163" spans="2:56">
      <c r="B163" s="42" t="s">
        <v>413</v>
      </c>
      <c r="C163" s="42" t="s">
        <v>414</v>
      </c>
      <c r="D163" s="43" t="s">
        <v>1049</v>
      </c>
      <c r="E163" s="44">
        <v>34</v>
      </c>
      <c r="F163" s="31">
        <v>56196561.714903474</v>
      </c>
      <c r="G163" s="31">
        <v>2867521.8600000003</v>
      </c>
      <c r="H163" s="31">
        <v>2644025.41</v>
      </c>
      <c r="I163" s="31">
        <v>204207.21999999997</v>
      </c>
      <c r="J163" s="31">
        <v>9018612.6032267157</v>
      </c>
      <c r="K163" s="31">
        <v>2911819.6015786654</v>
      </c>
      <c r="L163" s="31">
        <v>6157894.2783128582</v>
      </c>
      <c r="M163" s="31">
        <f t="shared" si="12"/>
        <v>81932367.478021726</v>
      </c>
      <c r="N163" s="31">
        <v>1931724.7899999998</v>
      </c>
      <c r="P163" s="42" t="s">
        <v>413</v>
      </c>
      <c r="Q163" s="42" t="s">
        <v>414</v>
      </c>
      <c r="R163" s="43" t="s">
        <v>1050</v>
      </c>
      <c r="S163" s="44">
        <v>34</v>
      </c>
      <c r="T163" s="31">
        <v>60701769.488970593</v>
      </c>
      <c r="U163" s="31">
        <v>3096116.5699999994</v>
      </c>
      <c r="V163" s="31">
        <v>2827416.8399999994</v>
      </c>
      <c r="W163" s="31">
        <v>218340.44</v>
      </c>
      <c r="X163" s="31">
        <v>9598486.8117287736</v>
      </c>
      <c r="Y163" s="31">
        <v>2919327.1781725124</v>
      </c>
      <c r="Z163" s="31">
        <v>6628278.4962232271</v>
      </c>
      <c r="AA163" s="31">
        <f t="shared" si="13"/>
        <v>88025766.115095109</v>
      </c>
      <c r="AB163" s="31">
        <v>2036030.2899999998</v>
      </c>
      <c r="AD163" s="42" t="s">
        <v>413</v>
      </c>
      <c r="AE163" s="42" t="s">
        <v>414</v>
      </c>
      <c r="AF163" s="43" t="s">
        <v>1275</v>
      </c>
      <c r="AG163" s="44">
        <v>34</v>
      </c>
      <c r="AH163" s="31">
        <v>61865904.692018285</v>
      </c>
      <c r="AI163" s="31">
        <v>3152622.0899999985</v>
      </c>
      <c r="AJ163" s="31">
        <v>2879593.9499999997</v>
      </c>
      <c r="AK163" s="31">
        <v>222431.86</v>
      </c>
      <c r="AL163" s="31">
        <v>9776137.3019043859</v>
      </c>
      <c r="AM163" s="31">
        <v>2913502.4642355125</v>
      </c>
      <c r="AN163" s="31">
        <v>6751047.1701298915</v>
      </c>
      <c r="AO163" s="31">
        <f t="shared" si="14"/>
        <v>89635299.258288071</v>
      </c>
      <c r="AP163" s="31">
        <v>2074059.73</v>
      </c>
      <c r="AR163" s="42" t="s">
        <v>413</v>
      </c>
      <c r="AS163" s="42" t="s">
        <v>414</v>
      </c>
      <c r="AT163" s="43" t="s">
        <v>1276</v>
      </c>
      <c r="AU163" s="44">
        <v>34</v>
      </c>
      <c r="AV163" s="31">
        <v>63170701.899726465</v>
      </c>
      <c r="AW163" s="31">
        <v>3216419.5199999991</v>
      </c>
      <c r="AX163" s="31">
        <v>2938134.71</v>
      </c>
      <c r="AY163" s="31">
        <v>226924.74999999997</v>
      </c>
      <c r="AZ163" s="31">
        <v>9975910.868918892</v>
      </c>
      <c r="BA163" s="31">
        <v>2913668.8846337125</v>
      </c>
      <c r="BB163" s="31">
        <v>6889255.5690588485</v>
      </c>
      <c r="BC163" s="31">
        <f t="shared" si="15"/>
        <v>91447744.462337911</v>
      </c>
      <c r="BD163" s="31">
        <v>2116728.2600000002</v>
      </c>
    </row>
    <row r="164" spans="2:56">
      <c r="B164" s="42" t="s">
        <v>223</v>
      </c>
      <c r="C164" s="42" t="s">
        <v>224</v>
      </c>
      <c r="D164" s="43" t="s">
        <v>1049</v>
      </c>
      <c r="E164" s="44">
        <v>34</v>
      </c>
      <c r="F164" s="31">
        <v>5715380.3720149025</v>
      </c>
      <c r="G164" s="31">
        <v>312789.01999999996</v>
      </c>
      <c r="H164" s="31">
        <v>0</v>
      </c>
      <c r="I164" s="31">
        <v>0</v>
      </c>
      <c r="J164" s="31">
        <v>0</v>
      </c>
      <c r="K164" s="31">
        <v>413778.88</v>
      </c>
      <c r="L164" s="31">
        <v>68417.426813222177</v>
      </c>
      <c r="M164" s="31">
        <f t="shared" si="12"/>
        <v>6682569.0488281241</v>
      </c>
      <c r="N164" s="31">
        <v>172203.35000000003</v>
      </c>
      <c r="P164" s="42" t="s">
        <v>223</v>
      </c>
      <c r="Q164" s="42" t="s">
        <v>224</v>
      </c>
      <c r="R164" s="43" t="s">
        <v>1050</v>
      </c>
      <c r="S164" s="44">
        <v>34</v>
      </c>
      <c r="T164" s="31">
        <v>6159243.9499352323</v>
      </c>
      <c r="U164" s="31">
        <v>336854.14999999997</v>
      </c>
      <c r="V164" s="31">
        <v>0</v>
      </c>
      <c r="W164" s="31">
        <v>0</v>
      </c>
      <c r="X164" s="31">
        <v>0</v>
      </c>
      <c r="Y164" s="31">
        <v>413778.88</v>
      </c>
      <c r="Z164" s="31">
        <v>73574.339690628316</v>
      </c>
      <c r="AA164" s="31">
        <f t="shared" si="13"/>
        <v>7165069.8896258613</v>
      </c>
      <c r="AB164" s="31">
        <v>181618.57</v>
      </c>
      <c r="AD164" s="42" t="s">
        <v>223</v>
      </c>
      <c r="AE164" s="42" t="s">
        <v>224</v>
      </c>
      <c r="AF164" s="43" t="s">
        <v>1275</v>
      </c>
      <c r="AG164" s="44">
        <v>34</v>
      </c>
      <c r="AH164" s="31">
        <v>6272040.3607103024</v>
      </c>
      <c r="AI164" s="31">
        <v>343048.79999999993</v>
      </c>
      <c r="AJ164" s="31">
        <v>0</v>
      </c>
      <c r="AK164" s="31">
        <v>0</v>
      </c>
      <c r="AL164" s="31">
        <v>0</v>
      </c>
      <c r="AM164" s="31">
        <v>413778.88</v>
      </c>
      <c r="AN164" s="31">
        <v>74989.479345552027</v>
      </c>
      <c r="AO164" s="31">
        <f t="shared" si="14"/>
        <v>7288862.1500558536</v>
      </c>
      <c r="AP164" s="31">
        <v>185004.63000000003</v>
      </c>
      <c r="AR164" s="42" t="s">
        <v>223</v>
      </c>
      <c r="AS164" s="42" t="s">
        <v>224</v>
      </c>
      <c r="AT164" s="43" t="s">
        <v>1276</v>
      </c>
      <c r="AU164" s="44">
        <v>34</v>
      </c>
      <c r="AV164" s="31">
        <v>6398454.1609059609</v>
      </c>
      <c r="AW164" s="31">
        <v>350051.86</v>
      </c>
      <c r="AX164" s="31">
        <v>0</v>
      </c>
      <c r="AY164" s="31">
        <v>0</v>
      </c>
      <c r="AZ164" s="31">
        <v>0</v>
      </c>
      <c r="BA164" s="31">
        <v>413778.88</v>
      </c>
      <c r="BB164" s="31">
        <v>76667.91683149946</v>
      </c>
      <c r="BC164" s="31">
        <f t="shared" si="15"/>
        <v>7427825.7077374607</v>
      </c>
      <c r="BD164" s="31">
        <v>188872.88999999998</v>
      </c>
    </row>
    <row r="165" spans="2:56">
      <c r="B165" s="42" t="s">
        <v>427</v>
      </c>
      <c r="C165" s="42" t="s">
        <v>428</v>
      </c>
      <c r="D165" s="43" t="s">
        <v>1049</v>
      </c>
      <c r="E165" s="44">
        <v>34</v>
      </c>
      <c r="F165" s="31">
        <v>137409071.55545753</v>
      </c>
      <c r="G165" s="31">
        <v>5480018.8300000001</v>
      </c>
      <c r="H165" s="31">
        <v>5862686.9800000004</v>
      </c>
      <c r="I165" s="31">
        <v>496161.71</v>
      </c>
      <c r="J165" s="31">
        <v>21610811.315077849</v>
      </c>
      <c r="K165" s="31">
        <v>8782089.3412183076</v>
      </c>
      <c r="L165" s="31">
        <v>12888120.640033776</v>
      </c>
      <c r="M165" s="31">
        <f t="shared" si="12"/>
        <v>195451591.2317875</v>
      </c>
      <c r="N165" s="31">
        <v>2922630.86</v>
      </c>
      <c r="P165" s="42" t="s">
        <v>427</v>
      </c>
      <c r="Q165" s="42" t="s">
        <v>428</v>
      </c>
      <c r="R165" s="43" t="s">
        <v>1050</v>
      </c>
      <c r="S165" s="44">
        <v>34</v>
      </c>
      <c r="T165" s="31">
        <v>145054759.68962169</v>
      </c>
      <c r="U165" s="31">
        <v>5812881.8400000017</v>
      </c>
      <c r="V165" s="31">
        <v>6173501.46</v>
      </c>
      <c r="W165" s="31">
        <v>522436.96</v>
      </c>
      <c r="X165" s="31">
        <v>22707372.806859672</v>
      </c>
      <c r="Y165" s="31">
        <v>8798653.497292567</v>
      </c>
      <c r="Z165" s="31">
        <v>13569135.712619219</v>
      </c>
      <c r="AA165" s="31">
        <f t="shared" si="13"/>
        <v>205673892.85639316</v>
      </c>
      <c r="AB165" s="31">
        <v>3035150.8899999992</v>
      </c>
      <c r="AD165" s="42" t="s">
        <v>427</v>
      </c>
      <c r="AE165" s="42" t="s">
        <v>428</v>
      </c>
      <c r="AF165" s="43" t="s">
        <v>1275</v>
      </c>
      <c r="AG165" s="44">
        <v>34</v>
      </c>
      <c r="AH165" s="31">
        <v>147774538.19179595</v>
      </c>
      <c r="AI165" s="31">
        <v>5919983.9400000013</v>
      </c>
      <c r="AJ165" s="31">
        <v>6287980.4300000006</v>
      </c>
      <c r="AK165" s="31">
        <v>532088.11</v>
      </c>
      <c r="AL165" s="31">
        <v>23129405.323821414</v>
      </c>
      <c r="AM165" s="31">
        <v>8785660.6469862219</v>
      </c>
      <c r="AN165" s="31">
        <v>13821619.975746613</v>
      </c>
      <c r="AO165" s="31">
        <f t="shared" si="14"/>
        <v>209343290.29835021</v>
      </c>
      <c r="AP165" s="31">
        <v>3092013.6799999997</v>
      </c>
      <c r="AR165" s="42" t="s">
        <v>427</v>
      </c>
      <c r="AS165" s="42" t="s">
        <v>428</v>
      </c>
      <c r="AT165" s="43" t="s">
        <v>1276</v>
      </c>
      <c r="AU165" s="44">
        <v>34</v>
      </c>
      <c r="AV165" s="31">
        <v>150828512.24969798</v>
      </c>
      <c r="AW165" s="31">
        <v>6040435.8300000019</v>
      </c>
      <c r="AX165" s="31">
        <v>6416530.1400000006</v>
      </c>
      <c r="AY165" s="31">
        <v>543034.9</v>
      </c>
      <c r="AZ165" s="31">
        <v>23603865.268272854</v>
      </c>
      <c r="BA165" s="31">
        <v>8786031.8712806869</v>
      </c>
      <c r="BB165" s="31">
        <v>14105103.539758582</v>
      </c>
      <c r="BC165" s="31">
        <f t="shared" si="15"/>
        <v>213479423.61901015</v>
      </c>
      <c r="BD165" s="31">
        <v>3155909.82</v>
      </c>
    </row>
    <row r="166" spans="2:56">
      <c r="B166" s="42" t="s">
        <v>583</v>
      </c>
      <c r="C166" s="42" t="s">
        <v>584</v>
      </c>
      <c r="D166" s="43" t="s">
        <v>1049</v>
      </c>
      <c r="E166" s="44">
        <v>34</v>
      </c>
      <c r="F166" s="31">
        <v>9875979.5281293672</v>
      </c>
      <c r="G166" s="31">
        <v>400684.5</v>
      </c>
      <c r="H166" s="31">
        <v>127260.21</v>
      </c>
      <c r="I166" s="31">
        <v>34299.849999999991</v>
      </c>
      <c r="J166" s="31">
        <v>1510256.247462132</v>
      </c>
      <c r="K166" s="31">
        <v>922762.02231205208</v>
      </c>
      <c r="L166" s="31">
        <v>744332.20701646782</v>
      </c>
      <c r="M166" s="31">
        <f t="shared" si="12"/>
        <v>13855965.79492002</v>
      </c>
      <c r="N166" s="31">
        <v>240391.23</v>
      </c>
      <c r="P166" s="42" t="s">
        <v>583</v>
      </c>
      <c r="Q166" s="42" t="s">
        <v>584</v>
      </c>
      <c r="R166" s="43" t="s">
        <v>1050</v>
      </c>
      <c r="S166" s="44">
        <v>34</v>
      </c>
      <c r="T166" s="31">
        <v>10680510.36456231</v>
      </c>
      <c r="U166" s="31">
        <v>432782.62</v>
      </c>
      <c r="V166" s="31">
        <v>136246.94</v>
      </c>
      <c r="W166" s="31">
        <v>36733.770000000004</v>
      </c>
      <c r="X166" s="31">
        <v>1607707.7885747727</v>
      </c>
      <c r="Y166" s="31">
        <v>925314.31349329499</v>
      </c>
      <c r="Z166" s="31">
        <v>801698.01907314267</v>
      </c>
      <c r="AA166" s="31">
        <f t="shared" si="13"/>
        <v>14874219.165703518</v>
      </c>
      <c r="AB166" s="31">
        <v>253225.34999999998</v>
      </c>
      <c r="AD166" s="42" t="s">
        <v>583</v>
      </c>
      <c r="AE166" s="42" t="s">
        <v>584</v>
      </c>
      <c r="AF166" s="43" t="s">
        <v>1275</v>
      </c>
      <c r="AG166" s="44">
        <v>34</v>
      </c>
      <c r="AH166" s="31">
        <v>10881312.594987927</v>
      </c>
      <c r="AI166" s="31">
        <v>440588.02</v>
      </c>
      <c r="AJ166" s="31">
        <v>138622.38999999998</v>
      </c>
      <c r="AK166" s="31">
        <v>37374.200000000012</v>
      </c>
      <c r="AL166" s="31">
        <v>1637151.455012864</v>
      </c>
      <c r="AM166" s="31">
        <v>923375.26056419499</v>
      </c>
      <c r="AN166" s="31">
        <v>816204.47508549143</v>
      </c>
      <c r="AO166" s="31">
        <f t="shared" si="14"/>
        <v>15132536.675650476</v>
      </c>
      <c r="AP166" s="31">
        <v>257908.28</v>
      </c>
      <c r="AR166" s="42" t="s">
        <v>583</v>
      </c>
      <c r="AS166" s="42" t="s">
        <v>584</v>
      </c>
      <c r="AT166" s="43" t="s">
        <v>1276</v>
      </c>
      <c r="AU166" s="44">
        <v>34</v>
      </c>
      <c r="AV166" s="31">
        <v>11107574.455121929</v>
      </c>
      <c r="AW166" s="31">
        <v>449369.80999999994</v>
      </c>
      <c r="AX166" s="31">
        <v>141489.00999999998</v>
      </c>
      <c r="AY166" s="31">
        <v>38167.650000000009</v>
      </c>
      <c r="AZ166" s="31">
        <v>1670297.6153951699</v>
      </c>
      <c r="BA166" s="31">
        <v>923430.66207645508</v>
      </c>
      <c r="BB166" s="31">
        <v>832792.64540033939</v>
      </c>
      <c r="BC166" s="31">
        <f t="shared" si="15"/>
        <v>15426250.317993894</v>
      </c>
      <c r="BD166" s="31">
        <v>263128.46999999997</v>
      </c>
    </row>
    <row r="167" spans="2:56">
      <c r="B167" s="42" t="s">
        <v>271</v>
      </c>
      <c r="C167" s="42" t="s">
        <v>272</v>
      </c>
      <c r="D167" s="43" t="s">
        <v>1049</v>
      </c>
      <c r="E167" s="44">
        <v>34</v>
      </c>
      <c r="F167" s="31">
        <v>5812132.4280396048</v>
      </c>
      <c r="G167" s="31">
        <v>221779.66999999998</v>
      </c>
      <c r="H167" s="31">
        <v>27576.280000000002</v>
      </c>
      <c r="I167" s="31">
        <v>21534.85</v>
      </c>
      <c r="J167" s="31">
        <v>747561.83150082373</v>
      </c>
      <c r="K167" s="31">
        <v>379541.76707780029</v>
      </c>
      <c r="L167" s="31">
        <v>1068828.9939821053</v>
      </c>
      <c r="M167" s="31">
        <f t="shared" si="12"/>
        <v>8278955.8206003336</v>
      </c>
      <c r="N167" s="31">
        <v>0</v>
      </c>
      <c r="P167" s="42" t="s">
        <v>271</v>
      </c>
      <c r="Q167" s="42" t="s">
        <v>272</v>
      </c>
      <c r="R167" s="43" t="s">
        <v>1050</v>
      </c>
      <c r="S167" s="44">
        <v>34</v>
      </c>
      <c r="T167" s="31">
        <v>6210693.6704656668</v>
      </c>
      <c r="U167" s="31">
        <v>237316.62</v>
      </c>
      <c r="V167" s="31">
        <v>29573.8</v>
      </c>
      <c r="W167" s="31">
        <v>23036.420000000002</v>
      </c>
      <c r="X167" s="31">
        <v>795821.99881804036</v>
      </c>
      <c r="Y167" s="31">
        <v>380608.36006101611</v>
      </c>
      <c r="Z167" s="31">
        <v>1140116.3881818852</v>
      </c>
      <c r="AA167" s="31">
        <f t="shared" si="13"/>
        <v>8817167.2575266082</v>
      </c>
      <c r="AB167" s="31">
        <v>0</v>
      </c>
      <c r="AD167" s="42" t="s">
        <v>271</v>
      </c>
      <c r="AE167" s="42" t="s">
        <v>272</v>
      </c>
      <c r="AF167" s="43" t="s">
        <v>1275</v>
      </c>
      <c r="AG167" s="44">
        <v>34</v>
      </c>
      <c r="AH167" s="31">
        <v>6324986.554324775</v>
      </c>
      <c r="AI167" s="31">
        <v>241665.37000000002</v>
      </c>
      <c r="AJ167" s="31">
        <v>30089.41</v>
      </c>
      <c r="AK167" s="31">
        <v>23438.05</v>
      </c>
      <c r="AL167" s="31">
        <v>810390.52244279231</v>
      </c>
      <c r="AM167" s="31">
        <v>379798.03706046607</v>
      </c>
      <c r="AN167" s="31">
        <v>1161026.1814024288</v>
      </c>
      <c r="AO167" s="31">
        <f t="shared" si="14"/>
        <v>8971394.1252304614</v>
      </c>
      <c r="AP167" s="31">
        <v>0</v>
      </c>
      <c r="AR167" s="42" t="s">
        <v>271</v>
      </c>
      <c r="AS167" s="42" t="s">
        <v>272</v>
      </c>
      <c r="AT167" s="43" t="s">
        <v>1276</v>
      </c>
      <c r="AU167" s="44">
        <v>34</v>
      </c>
      <c r="AV167" s="31">
        <v>6452049.2514606714</v>
      </c>
      <c r="AW167" s="31">
        <v>246530.63</v>
      </c>
      <c r="AX167" s="31">
        <v>30641.629999999997</v>
      </c>
      <c r="AY167" s="31">
        <v>23868.210000000003</v>
      </c>
      <c r="AZ167" s="31">
        <v>826808.22421192972</v>
      </c>
      <c r="BA167" s="31">
        <v>379821.18914619606</v>
      </c>
      <c r="BB167" s="31">
        <v>1184670.4369054302</v>
      </c>
      <c r="BC167" s="31">
        <f t="shared" si="15"/>
        <v>9144389.5717242267</v>
      </c>
      <c r="BD167" s="31">
        <v>0</v>
      </c>
    </row>
    <row r="168" spans="2:56">
      <c r="B168" s="42" t="s">
        <v>349</v>
      </c>
      <c r="C168" s="42" t="s">
        <v>350</v>
      </c>
      <c r="D168" s="43" t="s">
        <v>1049</v>
      </c>
      <c r="E168" s="44">
        <v>34</v>
      </c>
      <c r="F168" s="31">
        <v>3382870.2667499324</v>
      </c>
      <c r="G168" s="31">
        <v>106733.33999999998</v>
      </c>
      <c r="H168" s="31">
        <v>22597.599999999999</v>
      </c>
      <c r="I168" s="31">
        <v>9079.41</v>
      </c>
      <c r="J168" s="31">
        <v>380688.20842747437</v>
      </c>
      <c r="K168" s="31">
        <v>229951.44005905298</v>
      </c>
      <c r="L168" s="31">
        <v>116414.26317744788</v>
      </c>
      <c r="M168" s="31">
        <f t="shared" si="12"/>
        <v>4342760.2484139074</v>
      </c>
      <c r="N168" s="31">
        <v>94425.719999999987</v>
      </c>
      <c r="P168" s="42" t="s">
        <v>349</v>
      </c>
      <c r="Q168" s="42" t="s">
        <v>350</v>
      </c>
      <c r="R168" s="43" t="s">
        <v>1050</v>
      </c>
      <c r="S168" s="44">
        <v>34</v>
      </c>
      <c r="T168" s="31">
        <v>3637688.8118352131</v>
      </c>
      <c r="U168" s="31">
        <v>115699.51999999999</v>
      </c>
      <c r="V168" s="31">
        <v>24273.139999999996</v>
      </c>
      <c r="W168" s="31">
        <v>9666.2999999999975</v>
      </c>
      <c r="X168" s="31">
        <v>405232.04342923296</v>
      </c>
      <c r="Y168" s="31">
        <v>230660.52952292652</v>
      </c>
      <c r="Z168" s="31">
        <v>125315.39211439717</v>
      </c>
      <c r="AA168" s="31">
        <f t="shared" si="13"/>
        <v>4647965.0369017692</v>
      </c>
      <c r="AB168" s="31">
        <v>99429.300000000017</v>
      </c>
      <c r="AD168" s="42" t="s">
        <v>349</v>
      </c>
      <c r="AE168" s="42" t="s">
        <v>350</v>
      </c>
      <c r="AF168" s="43" t="s">
        <v>1275</v>
      </c>
      <c r="AG168" s="44">
        <v>34</v>
      </c>
      <c r="AH168" s="31">
        <v>3703666.3337163739</v>
      </c>
      <c r="AI168" s="31">
        <v>117814.42999999998</v>
      </c>
      <c r="AJ168" s="31">
        <v>24698.37</v>
      </c>
      <c r="AK168" s="31">
        <v>9835.64</v>
      </c>
      <c r="AL168" s="31">
        <v>412687.08192771999</v>
      </c>
      <c r="AM168" s="31">
        <v>230121.81277617652</v>
      </c>
      <c r="AN168" s="31">
        <v>127734.45620815211</v>
      </c>
      <c r="AO168" s="31">
        <f t="shared" si="14"/>
        <v>4727859.8046284216</v>
      </c>
      <c r="AP168" s="31">
        <v>101301.68000000001</v>
      </c>
      <c r="AR168" s="42" t="s">
        <v>349</v>
      </c>
      <c r="AS168" s="42" t="s">
        <v>350</v>
      </c>
      <c r="AT168" s="43" t="s">
        <v>1276</v>
      </c>
      <c r="AU168" s="44">
        <v>34</v>
      </c>
      <c r="AV168" s="31">
        <v>3776936.2034763186</v>
      </c>
      <c r="AW168" s="31">
        <v>120188.56999999995</v>
      </c>
      <c r="AX168" s="31">
        <v>25153.789999999997</v>
      </c>
      <c r="AY168" s="31">
        <v>10128.299999999999</v>
      </c>
      <c r="AZ168" s="31">
        <v>421054.03435585543</v>
      </c>
      <c r="BA168" s="31">
        <v>230137.2046832265</v>
      </c>
      <c r="BB168" s="31">
        <v>130368.30193723866</v>
      </c>
      <c r="BC168" s="31">
        <f t="shared" si="15"/>
        <v>4817379.474452639</v>
      </c>
      <c r="BD168" s="31">
        <v>103413.07</v>
      </c>
    </row>
    <row r="169" spans="2:56">
      <c r="B169" s="42" t="s">
        <v>327</v>
      </c>
      <c r="C169" s="42" t="s">
        <v>328</v>
      </c>
      <c r="D169" s="43" t="s">
        <v>1049</v>
      </c>
      <c r="E169" s="44">
        <v>34</v>
      </c>
      <c r="F169" s="31">
        <v>1152415.1436120542</v>
      </c>
      <c r="G169" s="31">
        <v>80000.48000000001</v>
      </c>
      <c r="H169" s="31">
        <v>0</v>
      </c>
      <c r="I169" s="31">
        <v>0</v>
      </c>
      <c r="J169" s="31">
        <v>174682.23429234681</v>
      </c>
      <c r="K169" s="31">
        <v>186915.49262984528</v>
      </c>
      <c r="L169" s="31">
        <v>0</v>
      </c>
      <c r="M169" s="31">
        <f t="shared" si="12"/>
        <v>1631139.0405342462</v>
      </c>
      <c r="N169" s="31">
        <v>37125.689999999995</v>
      </c>
      <c r="P169" s="42" t="s">
        <v>327</v>
      </c>
      <c r="Q169" s="42" t="s">
        <v>328</v>
      </c>
      <c r="R169" s="43" t="s">
        <v>1050</v>
      </c>
      <c r="S169" s="44">
        <v>34</v>
      </c>
      <c r="T169" s="31">
        <v>1250399.9582214803</v>
      </c>
      <c r="U169" s="31">
        <v>86228.550000000017</v>
      </c>
      <c r="V169" s="31">
        <v>0</v>
      </c>
      <c r="W169" s="31">
        <v>0</v>
      </c>
      <c r="X169" s="31">
        <v>185948.38343169677</v>
      </c>
      <c r="Y169" s="31">
        <v>187313.61565337225</v>
      </c>
      <c r="Z169" s="31">
        <v>0</v>
      </c>
      <c r="AA169" s="31">
        <f t="shared" si="13"/>
        <v>1749013.2773065493</v>
      </c>
      <c r="AB169" s="31">
        <v>39122.769999999997</v>
      </c>
      <c r="AD169" s="42" t="s">
        <v>327</v>
      </c>
      <c r="AE169" s="42" t="s">
        <v>328</v>
      </c>
      <c r="AF169" s="43" t="s">
        <v>1275</v>
      </c>
      <c r="AG169" s="44">
        <v>34</v>
      </c>
      <c r="AH169" s="31">
        <v>1273056.9587425592</v>
      </c>
      <c r="AI169" s="31">
        <v>87828.23000000001</v>
      </c>
      <c r="AJ169" s="31">
        <v>0</v>
      </c>
      <c r="AK169" s="31">
        <v>0</v>
      </c>
      <c r="AL169" s="31">
        <v>189346.35275891158</v>
      </c>
      <c r="AM169" s="31">
        <v>187011.14953172224</v>
      </c>
      <c r="AN169" s="31">
        <v>0</v>
      </c>
      <c r="AO169" s="31">
        <f t="shared" si="14"/>
        <v>1777056.841033193</v>
      </c>
      <c r="AP169" s="31">
        <v>39814.15</v>
      </c>
      <c r="AR169" s="42" t="s">
        <v>327</v>
      </c>
      <c r="AS169" s="42" t="s">
        <v>328</v>
      </c>
      <c r="AT169" s="43" t="s">
        <v>1276</v>
      </c>
      <c r="AU169" s="44">
        <v>34</v>
      </c>
      <c r="AV169" s="31">
        <v>1298922.4249283015</v>
      </c>
      <c r="AW169" s="31">
        <v>89539.530000000013</v>
      </c>
      <c r="AX169" s="31">
        <v>0</v>
      </c>
      <c r="AY169" s="31">
        <v>0</v>
      </c>
      <c r="AZ169" s="31">
        <v>193175.06142913358</v>
      </c>
      <c r="BA169" s="31">
        <v>187019.79142091225</v>
      </c>
      <c r="BB169" s="31">
        <v>0</v>
      </c>
      <c r="BC169" s="31">
        <f t="shared" si="15"/>
        <v>1809317.2877783473</v>
      </c>
      <c r="BD169" s="31">
        <v>40660.479999999996</v>
      </c>
    </row>
    <row r="170" spans="2:56">
      <c r="B170" s="42" t="s">
        <v>355</v>
      </c>
      <c r="C170" s="42" t="s">
        <v>356</v>
      </c>
      <c r="D170" s="43" t="s">
        <v>1049</v>
      </c>
      <c r="E170" s="44">
        <v>34</v>
      </c>
      <c r="F170" s="31">
        <v>7754667.1850839565</v>
      </c>
      <c r="G170" s="31">
        <v>384216.6999999999</v>
      </c>
      <c r="H170" s="31">
        <v>0</v>
      </c>
      <c r="I170" s="31">
        <v>28745.600000000002</v>
      </c>
      <c r="J170" s="31">
        <v>1259800.8254742215</v>
      </c>
      <c r="K170" s="31">
        <v>852641.51881356712</v>
      </c>
      <c r="L170" s="31">
        <v>1185220.0547156399</v>
      </c>
      <c r="M170" s="31">
        <f t="shared" si="12"/>
        <v>11748850.234087383</v>
      </c>
      <c r="N170" s="31">
        <v>283558.35000000003</v>
      </c>
      <c r="P170" s="42" t="s">
        <v>355</v>
      </c>
      <c r="Q170" s="42" t="s">
        <v>356</v>
      </c>
      <c r="R170" s="43" t="s">
        <v>1050</v>
      </c>
      <c r="S170" s="44">
        <v>34</v>
      </c>
      <c r="T170" s="31">
        <v>8377840.7673598118</v>
      </c>
      <c r="U170" s="31">
        <v>415862.80000000005</v>
      </c>
      <c r="V170" s="31">
        <v>0</v>
      </c>
      <c r="W170" s="31">
        <v>30715.239999999994</v>
      </c>
      <c r="X170" s="31">
        <v>1341108.4354284576</v>
      </c>
      <c r="Y170" s="31">
        <v>854724.53301730647</v>
      </c>
      <c r="Z170" s="31">
        <v>1276292.894697703</v>
      </c>
      <c r="AA170" s="31">
        <f t="shared" si="13"/>
        <v>12595225.940503279</v>
      </c>
      <c r="AB170" s="31">
        <v>298681.27</v>
      </c>
      <c r="AD170" s="42" t="s">
        <v>355</v>
      </c>
      <c r="AE170" s="42" t="s">
        <v>356</v>
      </c>
      <c r="AF170" s="43" t="s">
        <v>1275</v>
      </c>
      <c r="AG170" s="44">
        <v>34</v>
      </c>
      <c r="AH170" s="31">
        <v>8540991.8093949612</v>
      </c>
      <c r="AI170" s="31">
        <v>423362.41000000003</v>
      </c>
      <c r="AJ170" s="31">
        <v>0</v>
      </c>
      <c r="AK170" s="31">
        <v>31250.74</v>
      </c>
      <c r="AL170" s="31">
        <v>1365685.2998318586</v>
      </c>
      <c r="AM170" s="31">
        <v>853142.00402421923</v>
      </c>
      <c r="AN170" s="31">
        <v>1299718.794089881</v>
      </c>
      <c r="AO170" s="31">
        <f t="shared" si="14"/>
        <v>12818318.56734092</v>
      </c>
      <c r="AP170" s="31">
        <v>304167.51</v>
      </c>
      <c r="AR170" s="42" t="s">
        <v>355</v>
      </c>
      <c r="AS170" s="42" t="s">
        <v>356</v>
      </c>
      <c r="AT170" s="43" t="s">
        <v>1276</v>
      </c>
      <c r="AU170" s="44">
        <v>34</v>
      </c>
      <c r="AV170" s="31">
        <v>8724104.7432737797</v>
      </c>
      <c r="AW170" s="31">
        <v>431818.31000000006</v>
      </c>
      <c r="AX170" s="31">
        <v>0</v>
      </c>
      <c r="AY170" s="31">
        <v>31931.81</v>
      </c>
      <c r="AZ170" s="31">
        <v>1393359.6876693184</v>
      </c>
      <c r="BA170" s="31">
        <v>853187.21913830738</v>
      </c>
      <c r="BB170" s="31">
        <v>1326184.2388990463</v>
      </c>
      <c r="BC170" s="31">
        <f t="shared" si="15"/>
        <v>13070939.958980452</v>
      </c>
      <c r="BD170" s="31">
        <v>310353.94999999995</v>
      </c>
    </row>
    <row r="171" spans="2:56">
      <c r="B171" s="42" t="s">
        <v>457</v>
      </c>
      <c r="C171" s="42" t="s">
        <v>458</v>
      </c>
      <c r="D171" s="43" t="s">
        <v>1049</v>
      </c>
      <c r="E171" s="44">
        <v>34</v>
      </c>
      <c r="F171" s="31">
        <v>11138590.072786625</v>
      </c>
      <c r="G171" s="31">
        <v>217102.42</v>
      </c>
      <c r="H171" s="31">
        <v>0</v>
      </c>
      <c r="I171" s="31">
        <v>38977.100000000006</v>
      </c>
      <c r="J171" s="31">
        <v>1672889.8607153418</v>
      </c>
      <c r="K171" s="31">
        <v>1005722.1061213798</v>
      </c>
      <c r="L171" s="31">
        <v>879596.46810920304</v>
      </c>
      <c r="M171" s="31">
        <f t="shared" si="12"/>
        <v>14952878.027732549</v>
      </c>
      <c r="N171" s="31">
        <v>0</v>
      </c>
      <c r="P171" s="42" t="s">
        <v>457</v>
      </c>
      <c r="Q171" s="42" t="s">
        <v>458</v>
      </c>
      <c r="R171" s="43" t="s">
        <v>1050</v>
      </c>
      <c r="S171" s="44">
        <v>34</v>
      </c>
      <c r="T171" s="31">
        <v>11921054.391311476</v>
      </c>
      <c r="U171" s="31">
        <v>232232.01000000004</v>
      </c>
      <c r="V171" s="31">
        <v>0</v>
      </c>
      <c r="W171" s="31">
        <v>41714.590000000004</v>
      </c>
      <c r="X171" s="31">
        <v>1780875.3649673276</v>
      </c>
      <c r="Y171" s="31">
        <v>1008327.35031694</v>
      </c>
      <c r="Z171" s="31">
        <v>938517.13288215222</v>
      </c>
      <c r="AA171" s="31">
        <f t="shared" si="13"/>
        <v>15922720.839477895</v>
      </c>
      <c r="AB171" s="31">
        <v>0</v>
      </c>
      <c r="AD171" s="42" t="s">
        <v>457</v>
      </c>
      <c r="AE171" s="42" t="s">
        <v>458</v>
      </c>
      <c r="AF171" s="43" t="s">
        <v>1275</v>
      </c>
      <c r="AG171" s="44">
        <v>34</v>
      </c>
      <c r="AH171" s="31">
        <v>12148024.382376501</v>
      </c>
      <c r="AI171" s="31">
        <v>236492.08999999997</v>
      </c>
      <c r="AJ171" s="31">
        <v>0</v>
      </c>
      <c r="AK171" s="31">
        <v>42547.47</v>
      </c>
      <c r="AL171" s="31">
        <v>1813514.0338136663</v>
      </c>
      <c r="AM171" s="31">
        <v>1006348.0673787129</v>
      </c>
      <c r="AN171" s="31">
        <v>955663.88752189605</v>
      </c>
      <c r="AO171" s="31">
        <f t="shared" si="14"/>
        <v>16202589.931090778</v>
      </c>
      <c r="AP171" s="31">
        <v>0</v>
      </c>
      <c r="AR171" s="42" t="s">
        <v>457</v>
      </c>
      <c r="AS171" s="42" t="s">
        <v>458</v>
      </c>
      <c r="AT171" s="43" t="s">
        <v>1276</v>
      </c>
      <c r="AU171" s="44">
        <v>34</v>
      </c>
      <c r="AV171" s="31">
        <v>12402537.957404882</v>
      </c>
      <c r="AW171" s="31">
        <v>241262.43</v>
      </c>
      <c r="AX171" s="31">
        <v>0</v>
      </c>
      <c r="AY171" s="31">
        <v>43328.33</v>
      </c>
      <c r="AZ171" s="31">
        <v>1850247.6427047942</v>
      </c>
      <c r="BA171" s="31">
        <v>1006404.6183198051</v>
      </c>
      <c r="BB171" s="31">
        <v>974883.00699273148</v>
      </c>
      <c r="BC171" s="31">
        <f t="shared" si="15"/>
        <v>16518663.985422213</v>
      </c>
      <c r="BD171" s="31">
        <v>0</v>
      </c>
    </row>
    <row r="172" spans="2:56">
      <c r="B172" s="42" t="s">
        <v>549</v>
      </c>
      <c r="C172" s="42" t="s">
        <v>550</v>
      </c>
      <c r="D172" s="43" t="s">
        <v>1049</v>
      </c>
      <c r="E172" s="44">
        <v>34</v>
      </c>
      <c r="F172" s="31">
        <v>15616052.716939846</v>
      </c>
      <c r="G172" s="31">
        <v>644545.11</v>
      </c>
      <c r="H172" s="31">
        <v>393170.45999999996</v>
      </c>
      <c r="I172" s="31">
        <v>53250.38</v>
      </c>
      <c r="J172" s="31">
        <v>2515480.3160548015</v>
      </c>
      <c r="K172" s="31">
        <v>1293031.5201573034</v>
      </c>
      <c r="L172" s="31">
        <v>811387.76584809774</v>
      </c>
      <c r="M172" s="31">
        <f t="shared" si="12"/>
        <v>21764823.169000044</v>
      </c>
      <c r="N172" s="31">
        <v>437904.9</v>
      </c>
      <c r="P172" s="42" t="s">
        <v>549</v>
      </c>
      <c r="Q172" s="42" t="s">
        <v>550</v>
      </c>
      <c r="R172" s="43" t="s">
        <v>1050</v>
      </c>
      <c r="S172" s="44">
        <v>34</v>
      </c>
      <c r="T172" s="31">
        <v>16888785.754217494</v>
      </c>
      <c r="U172" s="31">
        <v>696510.2899999998</v>
      </c>
      <c r="V172" s="31">
        <v>420501.34000000008</v>
      </c>
      <c r="W172" s="31">
        <v>56904.2</v>
      </c>
      <c r="X172" s="31">
        <v>2677447.6000316995</v>
      </c>
      <c r="Y172" s="31">
        <v>1295588.4111991632</v>
      </c>
      <c r="Z172" s="31">
        <v>873834.75043138838</v>
      </c>
      <c r="AA172" s="31">
        <f t="shared" si="13"/>
        <v>23371024.425879743</v>
      </c>
      <c r="AB172" s="31">
        <v>461452.08</v>
      </c>
      <c r="AD172" s="42" t="s">
        <v>549</v>
      </c>
      <c r="AE172" s="42" t="s">
        <v>550</v>
      </c>
      <c r="AF172" s="43" t="s">
        <v>1275</v>
      </c>
      <c r="AG172" s="44">
        <v>34</v>
      </c>
      <c r="AH172" s="31">
        <v>17200967.685807042</v>
      </c>
      <c r="AI172" s="31">
        <v>709195.63</v>
      </c>
      <c r="AJ172" s="31">
        <v>428329.13</v>
      </c>
      <c r="AK172" s="31">
        <v>58014.47</v>
      </c>
      <c r="AL172" s="31">
        <v>2726732.8447025232</v>
      </c>
      <c r="AM172" s="31">
        <v>1293624.5466139631</v>
      </c>
      <c r="AN172" s="31">
        <v>890089.99578507524</v>
      </c>
      <c r="AO172" s="31">
        <f t="shared" si="14"/>
        <v>23776941.862908598</v>
      </c>
      <c r="AP172" s="31">
        <v>469987.55999999994</v>
      </c>
      <c r="AR172" s="42" t="s">
        <v>549</v>
      </c>
      <c r="AS172" s="42" t="s">
        <v>550</v>
      </c>
      <c r="AT172" s="43" t="s">
        <v>1276</v>
      </c>
      <c r="AU172" s="44">
        <v>34</v>
      </c>
      <c r="AV172" s="31">
        <v>17552940.653022874</v>
      </c>
      <c r="AW172" s="31">
        <v>723449.72</v>
      </c>
      <c r="AX172" s="31">
        <v>436923.95999999996</v>
      </c>
      <c r="AY172" s="31">
        <v>59086.6</v>
      </c>
      <c r="AZ172" s="31">
        <v>2782196.6435088324</v>
      </c>
      <c r="BA172" s="31">
        <v>1293680.6570306832</v>
      </c>
      <c r="BB172" s="31">
        <v>907917.57973751088</v>
      </c>
      <c r="BC172" s="31">
        <f t="shared" si="15"/>
        <v>24235871.603299901</v>
      </c>
      <c r="BD172" s="31">
        <v>479675.79000000004</v>
      </c>
    </row>
    <row r="173" spans="2:56">
      <c r="B173" s="42" t="s">
        <v>145</v>
      </c>
      <c r="C173" s="42" t="s">
        <v>146</v>
      </c>
      <c r="D173" s="43" t="s">
        <v>1049</v>
      </c>
      <c r="E173" s="44">
        <v>34</v>
      </c>
      <c r="F173" s="31">
        <v>6384921.8202214371</v>
      </c>
      <c r="G173" s="31">
        <v>340854.69000000006</v>
      </c>
      <c r="H173" s="31">
        <v>28745.600000000002</v>
      </c>
      <c r="I173" s="31">
        <v>20365.53</v>
      </c>
      <c r="J173" s="31">
        <v>898107.67840627523</v>
      </c>
      <c r="K173" s="31">
        <v>593477.41942498717</v>
      </c>
      <c r="L173" s="31">
        <v>346985.02301399177</v>
      </c>
      <c r="M173" s="31">
        <f t="shared" si="12"/>
        <v>8823836.6210666914</v>
      </c>
      <c r="N173" s="31">
        <v>210378.86</v>
      </c>
      <c r="P173" s="42" t="s">
        <v>145</v>
      </c>
      <c r="Q173" s="42" t="s">
        <v>146</v>
      </c>
      <c r="R173" s="43" t="s">
        <v>1050</v>
      </c>
      <c r="S173" s="44">
        <v>34</v>
      </c>
      <c r="T173" s="31">
        <v>6892019.112738058</v>
      </c>
      <c r="U173" s="31">
        <v>368257.58999999985</v>
      </c>
      <c r="V173" s="31">
        <v>30819.010000000002</v>
      </c>
      <c r="W173" s="31">
        <v>21791.200000000004</v>
      </c>
      <c r="X173" s="31">
        <v>956030.48286517756</v>
      </c>
      <c r="Y173" s="31">
        <v>594402.18243798078</v>
      </c>
      <c r="Z173" s="31">
        <v>373859.53965836373</v>
      </c>
      <c r="AA173" s="31">
        <f t="shared" si="13"/>
        <v>9458840.6476995796</v>
      </c>
      <c r="AB173" s="31">
        <v>221661.53</v>
      </c>
      <c r="AD173" s="42" t="s">
        <v>145</v>
      </c>
      <c r="AE173" s="42" t="s">
        <v>146</v>
      </c>
      <c r="AF173" s="43" t="s">
        <v>1275</v>
      </c>
      <c r="AG173" s="44">
        <v>34</v>
      </c>
      <c r="AH173" s="31">
        <v>7018296.2848268496</v>
      </c>
      <c r="AI173" s="31">
        <v>374943.83999999997</v>
      </c>
      <c r="AJ173" s="31">
        <v>31356.34</v>
      </c>
      <c r="AK173" s="31">
        <v>22171.13</v>
      </c>
      <c r="AL173" s="31">
        <v>973542.9336454774</v>
      </c>
      <c r="AM173" s="31">
        <v>593699.61196238338</v>
      </c>
      <c r="AN173" s="31">
        <v>380675.17226184107</v>
      </c>
      <c r="AO173" s="31">
        <f t="shared" si="14"/>
        <v>9620368.0526965521</v>
      </c>
      <c r="AP173" s="31">
        <v>225682.74000000002</v>
      </c>
      <c r="AR173" s="42" t="s">
        <v>145</v>
      </c>
      <c r="AS173" s="42" t="s">
        <v>146</v>
      </c>
      <c r="AT173" s="43" t="s">
        <v>1276</v>
      </c>
      <c r="AU173" s="44">
        <v>34</v>
      </c>
      <c r="AV173" s="31">
        <v>7158986.1337875286</v>
      </c>
      <c r="AW173" s="31">
        <v>382421.28000000009</v>
      </c>
      <c r="AX173" s="31">
        <v>31931.81</v>
      </c>
      <c r="AY173" s="31">
        <v>22578.030000000002</v>
      </c>
      <c r="AZ173" s="31">
        <v>993246.80518008606</v>
      </c>
      <c r="BA173" s="31">
        <v>593719.6854045433</v>
      </c>
      <c r="BB173" s="31">
        <v>388274.82712428458</v>
      </c>
      <c r="BC173" s="31">
        <f t="shared" si="15"/>
        <v>9801462.151496442</v>
      </c>
      <c r="BD173" s="31">
        <v>230303.58000000002</v>
      </c>
    </row>
    <row r="174" spans="2:56">
      <c r="B174" s="42" t="s">
        <v>113</v>
      </c>
      <c r="C174" s="42" t="s">
        <v>114</v>
      </c>
      <c r="D174" s="43" t="s">
        <v>1049</v>
      </c>
      <c r="E174" s="44">
        <v>34</v>
      </c>
      <c r="F174" s="31">
        <v>16709870.13729937</v>
      </c>
      <c r="G174" s="31">
        <v>958056.95000000019</v>
      </c>
      <c r="H174" s="31">
        <v>1128386.83</v>
      </c>
      <c r="I174" s="31">
        <v>57198.879999999997</v>
      </c>
      <c r="J174" s="31">
        <v>2692651.9099983489</v>
      </c>
      <c r="K174" s="31">
        <v>1509616.5768358549</v>
      </c>
      <c r="L174" s="31">
        <v>989890.6474760616</v>
      </c>
      <c r="M174" s="31">
        <f t="shared" si="12"/>
        <v>24635882.551609635</v>
      </c>
      <c r="N174" s="31">
        <v>590210.61999999988</v>
      </c>
      <c r="P174" s="42" t="s">
        <v>113</v>
      </c>
      <c r="Q174" s="42" t="s">
        <v>114</v>
      </c>
      <c r="R174" s="43" t="s">
        <v>1050</v>
      </c>
      <c r="S174" s="44">
        <v>34</v>
      </c>
      <c r="T174" s="31">
        <v>18059300.066498723</v>
      </c>
      <c r="U174" s="31">
        <v>1035082.21</v>
      </c>
      <c r="V174" s="31">
        <v>1207544.2000000002</v>
      </c>
      <c r="W174" s="31">
        <v>61119.140000000007</v>
      </c>
      <c r="X174" s="31">
        <v>2866360.2693913351</v>
      </c>
      <c r="Y174" s="31">
        <v>1512549.2178475123</v>
      </c>
      <c r="Z174" s="31">
        <v>1065912.4348832218</v>
      </c>
      <c r="AA174" s="31">
        <f t="shared" si="13"/>
        <v>26429643.488620792</v>
      </c>
      <c r="AB174" s="31">
        <v>621775.94999999995</v>
      </c>
      <c r="AD174" s="42" t="s">
        <v>113</v>
      </c>
      <c r="AE174" s="42" t="s">
        <v>114</v>
      </c>
      <c r="AF174" s="43" t="s">
        <v>1275</v>
      </c>
      <c r="AG174" s="44">
        <v>34</v>
      </c>
      <c r="AH174" s="31">
        <v>18395611.771791905</v>
      </c>
      <c r="AI174" s="31">
        <v>1053833.8599999999</v>
      </c>
      <c r="AJ174" s="31">
        <v>1229547.73</v>
      </c>
      <c r="AK174" s="31">
        <v>62290.329999999994</v>
      </c>
      <c r="AL174" s="31">
        <v>2918892.1478824238</v>
      </c>
      <c r="AM174" s="31">
        <v>1510321.2016299882</v>
      </c>
      <c r="AN174" s="31">
        <v>1085420.7678111405</v>
      </c>
      <c r="AO174" s="31">
        <f t="shared" si="14"/>
        <v>26889201.669115458</v>
      </c>
      <c r="AP174" s="31">
        <v>633283.86</v>
      </c>
      <c r="AR174" s="42" t="s">
        <v>113</v>
      </c>
      <c r="AS174" s="42" t="s">
        <v>114</v>
      </c>
      <c r="AT174" s="43" t="s">
        <v>1276</v>
      </c>
      <c r="AU174" s="44">
        <v>34</v>
      </c>
      <c r="AV174" s="31">
        <v>18773362.906195212</v>
      </c>
      <c r="AW174" s="31">
        <v>1074863.1800000004</v>
      </c>
      <c r="AX174" s="31">
        <v>1254263.5899999999</v>
      </c>
      <c r="AY174" s="31">
        <v>63541.049999999988</v>
      </c>
      <c r="AZ174" s="31">
        <v>2977975.9892066205</v>
      </c>
      <c r="BA174" s="31">
        <v>1510384.8592362031</v>
      </c>
      <c r="BB174" s="31">
        <v>1107380.2422281918</v>
      </c>
      <c r="BC174" s="31">
        <f t="shared" si="15"/>
        <v>27407892.476866227</v>
      </c>
      <c r="BD174" s="31">
        <v>646120.65999999992</v>
      </c>
    </row>
    <row r="175" spans="2:56">
      <c r="B175" s="42" t="s">
        <v>231</v>
      </c>
      <c r="C175" s="42" t="s">
        <v>232</v>
      </c>
      <c r="D175" s="43" t="s">
        <v>1049</v>
      </c>
      <c r="E175" s="44">
        <v>34</v>
      </c>
      <c r="F175" s="31">
        <v>49315801.343260519</v>
      </c>
      <c r="G175" s="31">
        <v>1299260.1499999999</v>
      </c>
      <c r="H175" s="31">
        <v>426386.77</v>
      </c>
      <c r="I175" s="31">
        <v>176381.41000000003</v>
      </c>
      <c r="J175" s="31">
        <v>7601825.8501590816</v>
      </c>
      <c r="K175" s="31">
        <v>3261896.604598667</v>
      </c>
      <c r="L175" s="31">
        <v>3482825.6920225676</v>
      </c>
      <c r="M175" s="31">
        <f t="shared" si="12"/>
        <v>65675378.400040828</v>
      </c>
      <c r="N175" s="31">
        <v>111000.58</v>
      </c>
      <c r="P175" s="42" t="s">
        <v>231</v>
      </c>
      <c r="Q175" s="42" t="s">
        <v>232</v>
      </c>
      <c r="R175" s="43" t="s">
        <v>1050</v>
      </c>
      <c r="S175" s="44">
        <v>34</v>
      </c>
      <c r="T175" s="31">
        <v>52732202.163785756</v>
      </c>
      <c r="U175" s="31">
        <v>1390554.58</v>
      </c>
      <c r="V175" s="31">
        <v>455886.02</v>
      </c>
      <c r="W175" s="31">
        <v>188601.07</v>
      </c>
      <c r="X175" s="31">
        <v>8089885.4161301134</v>
      </c>
      <c r="Y175" s="31">
        <v>3273154.1569220619</v>
      </c>
      <c r="Z175" s="31">
        <v>3713038.6318765404</v>
      </c>
      <c r="AA175" s="31">
        <f t="shared" si="13"/>
        <v>69960254.548714474</v>
      </c>
      <c r="AB175" s="31">
        <v>116932.51000000001</v>
      </c>
      <c r="AD175" s="42" t="s">
        <v>231</v>
      </c>
      <c r="AE175" s="42" t="s">
        <v>232</v>
      </c>
      <c r="AF175" s="43" t="s">
        <v>1275</v>
      </c>
      <c r="AG175" s="44">
        <v>34</v>
      </c>
      <c r="AH175" s="31">
        <v>53742935.055394068</v>
      </c>
      <c r="AI175" s="31">
        <v>1416344.11</v>
      </c>
      <c r="AJ175" s="31">
        <v>464354.47000000003</v>
      </c>
      <c r="AK175" s="31">
        <v>192075.00999999998</v>
      </c>
      <c r="AL175" s="31">
        <v>8240256.8397243507</v>
      </c>
      <c r="AM175" s="31">
        <v>3264338.1765824622</v>
      </c>
      <c r="AN175" s="31">
        <v>3782318.3825383438</v>
      </c>
      <c r="AO175" s="31">
        <f t="shared" si="14"/>
        <v>71221777.58423923</v>
      </c>
      <c r="AP175" s="31">
        <v>119155.54000000002</v>
      </c>
      <c r="AR175" s="42" t="s">
        <v>231</v>
      </c>
      <c r="AS175" s="42" t="s">
        <v>232</v>
      </c>
      <c r="AT175" s="43" t="s">
        <v>1276</v>
      </c>
      <c r="AU175" s="44">
        <v>34</v>
      </c>
      <c r="AV175" s="31">
        <v>54875070.747495554</v>
      </c>
      <c r="AW175" s="31">
        <v>1445299.2699999998</v>
      </c>
      <c r="AX175" s="31">
        <v>473910.02</v>
      </c>
      <c r="AY175" s="31">
        <v>196040.57000000004</v>
      </c>
      <c r="AZ175" s="31">
        <v>8409295.7552356906</v>
      </c>
      <c r="BA175" s="31">
        <v>3264590.0617350219</v>
      </c>
      <c r="BB175" s="31">
        <v>3859884.0662770569</v>
      </c>
      <c r="BC175" s="31">
        <f t="shared" si="15"/>
        <v>72645745.780743331</v>
      </c>
      <c r="BD175" s="31">
        <v>121655.29</v>
      </c>
    </row>
    <row r="176" spans="2:56">
      <c r="B176" s="42" t="s">
        <v>323</v>
      </c>
      <c r="C176" s="42" t="s">
        <v>324</v>
      </c>
      <c r="D176" s="43" t="s">
        <v>1049</v>
      </c>
      <c r="E176" s="44">
        <v>34</v>
      </c>
      <c r="F176" s="31">
        <v>18452896.1620875</v>
      </c>
      <c r="G176" s="31">
        <v>844105.79</v>
      </c>
      <c r="H176" s="31">
        <v>482126.31</v>
      </c>
      <c r="I176" s="31">
        <v>66793.849999999991</v>
      </c>
      <c r="J176" s="31">
        <v>3123279.1372091332</v>
      </c>
      <c r="K176" s="31">
        <v>2097123.2148924915</v>
      </c>
      <c r="L176" s="31">
        <v>2173907.8017640822</v>
      </c>
      <c r="M176" s="31">
        <f t="shared" si="12"/>
        <v>27673314.875953205</v>
      </c>
      <c r="N176" s="31">
        <v>433082.60999999993</v>
      </c>
      <c r="P176" s="42" t="s">
        <v>323</v>
      </c>
      <c r="Q176" s="42" t="s">
        <v>324</v>
      </c>
      <c r="R176" s="43" t="s">
        <v>1050</v>
      </c>
      <c r="S176" s="44">
        <v>34</v>
      </c>
      <c r="T176" s="31">
        <v>19930723.731473226</v>
      </c>
      <c r="U176" s="31">
        <v>909851.68</v>
      </c>
      <c r="V176" s="31">
        <v>515632.92999999993</v>
      </c>
      <c r="W176" s="31">
        <v>71430.62</v>
      </c>
      <c r="X176" s="31">
        <v>3324409.483208403</v>
      </c>
      <c r="Y176" s="31">
        <v>2102439.5953407544</v>
      </c>
      <c r="Z176" s="31">
        <v>2341188.5080732587</v>
      </c>
      <c r="AA176" s="31">
        <f t="shared" si="13"/>
        <v>29652071.908095643</v>
      </c>
      <c r="AB176" s="31">
        <v>456395.36</v>
      </c>
      <c r="AD176" s="42" t="s">
        <v>323</v>
      </c>
      <c r="AE176" s="42" t="s">
        <v>324</v>
      </c>
      <c r="AF176" s="43" t="s">
        <v>1275</v>
      </c>
      <c r="AG176" s="44">
        <v>34</v>
      </c>
      <c r="AH176" s="31">
        <v>20314375.138156433</v>
      </c>
      <c r="AI176" s="31">
        <v>926395.2</v>
      </c>
      <c r="AJ176" s="31">
        <v>525131.05000000005</v>
      </c>
      <c r="AK176" s="31">
        <v>72795.959999999992</v>
      </c>
      <c r="AL176" s="31">
        <v>3385649.0987510113</v>
      </c>
      <c r="AM176" s="31">
        <v>2098356.2569767544</v>
      </c>
      <c r="AN176" s="31">
        <v>2384070.9309590003</v>
      </c>
      <c r="AO176" s="31">
        <f t="shared" si="14"/>
        <v>30171614.544843201</v>
      </c>
      <c r="AP176" s="31">
        <v>464840.91</v>
      </c>
      <c r="AR176" s="42" t="s">
        <v>323</v>
      </c>
      <c r="AS176" s="42" t="s">
        <v>324</v>
      </c>
      <c r="AT176" s="43" t="s">
        <v>1276</v>
      </c>
      <c r="AU176" s="44">
        <v>34</v>
      </c>
      <c r="AV176" s="31">
        <v>20743773.284505617</v>
      </c>
      <c r="AW176" s="31">
        <v>945115.56</v>
      </c>
      <c r="AX176" s="31">
        <v>535854.38</v>
      </c>
      <c r="AY176" s="31">
        <v>74254.45</v>
      </c>
      <c r="AZ176" s="31">
        <v>3454525.3614382292</v>
      </c>
      <c r="BA176" s="31">
        <v>2098472.9237871543</v>
      </c>
      <c r="BB176" s="31">
        <v>2432535.5389820663</v>
      </c>
      <c r="BC176" s="31">
        <f t="shared" si="15"/>
        <v>30758852.768713064</v>
      </c>
      <c r="BD176" s="31">
        <v>474321.27000000008</v>
      </c>
    </row>
    <row r="177" spans="2:56">
      <c r="B177" s="42" t="s">
        <v>353</v>
      </c>
      <c r="C177" s="42" t="s">
        <v>354</v>
      </c>
      <c r="D177" s="43" t="s">
        <v>1049</v>
      </c>
      <c r="E177" s="44">
        <v>34</v>
      </c>
      <c r="F177" s="31">
        <v>1941549.5505428584</v>
      </c>
      <c r="G177" s="31">
        <v>38002.65</v>
      </c>
      <c r="H177" s="31">
        <v>0</v>
      </c>
      <c r="I177" s="31">
        <v>0</v>
      </c>
      <c r="J177" s="31">
        <v>74725.554338031492</v>
      </c>
      <c r="K177" s="31">
        <v>149369.75704981267</v>
      </c>
      <c r="L177" s="31">
        <v>0</v>
      </c>
      <c r="M177" s="31">
        <f t="shared" si="12"/>
        <v>2228787.7519307025</v>
      </c>
      <c r="N177" s="31">
        <v>25140.239999999998</v>
      </c>
      <c r="P177" s="42" t="s">
        <v>353</v>
      </c>
      <c r="Q177" s="42" t="s">
        <v>354</v>
      </c>
      <c r="R177" s="43" t="s">
        <v>1050</v>
      </c>
      <c r="S177" s="44">
        <v>34</v>
      </c>
      <c r="T177" s="31">
        <v>2068628.8831605096</v>
      </c>
      <c r="U177" s="31">
        <v>40887.199999999997</v>
      </c>
      <c r="V177" s="31">
        <v>0</v>
      </c>
      <c r="W177" s="31">
        <v>0</v>
      </c>
      <c r="X177" s="31">
        <v>79158.862974724412</v>
      </c>
      <c r="Y177" s="31">
        <v>149768.95619588817</v>
      </c>
      <c r="Z177" s="31">
        <v>0</v>
      </c>
      <c r="AA177" s="31">
        <f t="shared" si="13"/>
        <v>2364798.1423311224</v>
      </c>
      <c r="AB177" s="31">
        <v>26354.240000000002</v>
      </c>
      <c r="AD177" s="42" t="s">
        <v>353</v>
      </c>
      <c r="AE177" s="42" t="s">
        <v>354</v>
      </c>
      <c r="AF177" s="43" t="s">
        <v>1275</v>
      </c>
      <c r="AG177" s="44">
        <v>34</v>
      </c>
      <c r="AH177" s="31">
        <v>2104736.6445325762</v>
      </c>
      <c r="AI177" s="31">
        <v>41593.820000000007</v>
      </c>
      <c r="AJ177" s="31">
        <v>0</v>
      </c>
      <c r="AK177" s="31">
        <v>0</v>
      </c>
      <c r="AL177" s="31">
        <v>80549.00203476561</v>
      </c>
      <c r="AM177" s="31">
        <v>149465.67251133817</v>
      </c>
      <c r="AN177" s="31">
        <v>0</v>
      </c>
      <c r="AO177" s="31">
        <f t="shared" si="14"/>
        <v>2403165.1090786802</v>
      </c>
      <c r="AP177" s="31">
        <v>26819.97</v>
      </c>
      <c r="AR177" s="42" t="s">
        <v>353</v>
      </c>
      <c r="AS177" s="42" t="s">
        <v>354</v>
      </c>
      <c r="AT177" s="43" t="s">
        <v>1276</v>
      </c>
      <c r="AU177" s="44">
        <v>34</v>
      </c>
      <c r="AV177" s="31">
        <v>2143394.7513406896</v>
      </c>
      <c r="AW177" s="31">
        <v>42350.59</v>
      </c>
      <c r="AX177" s="31">
        <v>0</v>
      </c>
      <c r="AY177" s="31">
        <v>0</v>
      </c>
      <c r="AZ177" s="31">
        <v>82037.831520888663</v>
      </c>
      <c r="BA177" s="31">
        <v>149474.33775946818</v>
      </c>
      <c r="BB177" s="31">
        <v>0</v>
      </c>
      <c r="BC177" s="31">
        <f t="shared" si="15"/>
        <v>2444576.2806210462</v>
      </c>
      <c r="BD177" s="31">
        <v>27318.77</v>
      </c>
    </row>
    <row r="178" spans="2:56">
      <c r="B178" s="42" t="s">
        <v>509</v>
      </c>
      <c r="C178" s="42" t="s">
        <v>510</v>
      </c>
      <c r="D178" s="43" t="s">
        <v>1049</v>
      </c>
      <c r="E178" s="44">
        <v>34</v>
      </c>
      <c r="F178" s="31">
        <v>123435730.01552919</v>
      </c>
      <c r="G178" s="31">
        <v>4131326.8099999996</v>
      </c>
      <c r="H178" s="31">
        <v>1391366.9499999997</v>
      </c>
      <c r="I178" s="31">
        <v>430464.23000000004</v>
      </c>
      <c r="J178" s="31">
        <v>20149568.994290508</v>
      </c>
      <c r="K178" s="31">
        <v>7819920.7465654491</v>
      </c>
      <c r="L178" s="31">
        <v>9346521.1997727305</v>
      </c>
      <c r="M178" s="31">
        <f t="shared" si="12"/>
        <v>167711904.81615788</v>
      </c>
      <c r="N178" s="31">
        <v>1007005.8700000001</v>
      </c>
      <c r="P178" s="42" t="s">
        <v>509</v>
      </c>
      <c r="Q178" s="42" t="s">
        <v>510</v>
      </c>
      <c r="R178" s="43" t="s">
        <v>1050</v>
      </c>
      <c r="S178" s="44">
        <v>34</v>
      </c>
      <c r="T178" s="31">
        <v>131210120.16757861</v>
      </c>
      <c r="U178" s="31">
        <v>4398868.72</v>
      </c>
      <c r="V178" s="31">
        <v>1476012.25</v>
      </c>
      <c r="W178" s="31">
        <v>456647.93999999994</v>
      </c>
      <c r="X178" s="31">
        <v>21297620.164283089</v>
      </c>
      <c r="Y178" s="31">
        <v>7837821.6796908369</v>
      </c>
      <c r="Z178" s="31">
        <v>9899537.4477993529</v>
      </c>
      <c r="AA178" s="31">
        <f t="shared" si="13"/>
        <v>177628568.52935189</v>
      </c>
      <c r="AB178" s="31">
        <v>1051940.1600000001</v>
      </c>
      <c r="AD178" s="42" t="s">
        <v>509</v>
      </c>
      <c r="AE178" s="42" t="s">
        <v>510</v>
      </c>
      <c r="AF178" s="43" t="s">
        <v>1275</v>
      </c>
      <c r="AG178" s="44">
        <v>34</v>
      </c>
      <c r="AH178" s="31">
        <v>133700471.56764847</v>
      </c>
      <c r="AI178" s="31">
        <v>4478968.58</v>
      </c>
      <c r="AJ178" s="31">
        <v>1502923.22</v>
      </c>
      <c r="AK178" s="31">
        <v>464963.48000000004</v>
      </c>
      <c r="AL178" s="31">
        <v>21688900.140479214</v>
      </c>
      <c r="AM178" s="31">
        <v>7824132.2298695864</v>
      </c>
      <c r="AN178" s="31">
        <v>10082115.419506762</v>
      </c>
      <c r="AO178" s="31">
        <f t="shared" si="14"/>
        <v>180813919.59750402</v>
      </c>
      <c r="AP178" s="31">
        <v>1071444.96</v>
      </c>
      <c r="AR178" s="42" t="s">
        <v>509</v>
      </c>
      <c r="AS178" s="42" t="s">
        <v>510</v>
      </c>
      <c r="AT178" s="43" t="s">
        <v>1276</v>
      </c>
      <c r="AU178" s="44">
        <v>34</v>
      </c>
      <c r="AV178" s="31">
        <v>136492866.9761011</v>
      </c>
      <c r="AW178" s="31">
        <v>4569068.7300000004</v>
      </c>
      <c r="AX178" s="31">
        <v>1533252.79</v>
      </c>
      <c r="AY178" s="31">
        <v>474410.07999999996</v>
      </c>
      <c r="AZ178" s="31">
        <v>22129069.620336957</v>
      </c>
      <c r="BA178" s="31">
        <v>7824523.3570073359</v>
      </c>
      <c r="BB178" s="31">
        <v>10286557.142318379</v>
      </c>
      <c r="BC178" s="31">
        <f t="shared" si="15"/>
        <v>184403033.04576373</v>
      </c>
      <c r="BD178" s="31">
        <v>1093284.3500000001</v>
      </c>
    </row>
    <row r="179" spans="2:56">
      <c r="B179" s="42" t="s">
        <v>503</v>
      </c>
      <c r="C179" s="42" t="s">
        <v>504</v>
      </c>
      <c r="D179" s="43" t="s">
        <v>1049</v>
      </c>
      <c r="E179" s="44">
        <v>34</v>
      </c>
      <c r="F179" s="31">
        <v>3110220.5753675755</v>
      </c>
      <c r="G179" s="31">
        <v>104848.38999999998</v>
      </c>
      <c r="H179" s="31">
        <v>0</v>
      </c>
      <c r="I179" s="31">
        <v>0</v>
      </c>
      <c r="J179" s="31">
        <v>207434.68508498417</v>
      </c>
      <c r="K179" s="31">
        <v>281291.59612940717</v>
      </c>
      <c r="L179" s="31">
        <v>61693.83171361687</v>
      </c>
      <c r="M179" s="31">
        <f t="shared" si="12"/>
        <v>3808363.8682955839</v>
      </c>
      <c r="N179" s="31">
        <v>42874.790000000008</v>
      </c>
      <c r="P179" s="42" t="s">
        <v>503</v>
      </c>
      <c r="Q179" s="42" t="s">
        <v>504</v>
      </c>
      <c r="R179" s="43" t="s">
        <v>1050</v>
      </c>
      <c r="S179" s="44">
        <v>34</v>
      </c>
      <c r="T179" s="31">
        <v>3334564.7130568968</v>
      </c>
      <c r="U179" s="31">
        <v>112888.65000000002</v>
      </c>
      <c r="V179" s="31">
        <v>0</v>
      </c>
      <c r="W179" s="31">
        <v>0</v>
      </c>
      <c r="X179" s="31">
        <v>220830.04020607308</v>
      </c>
      <c r="Y179" s="31">
        <v>281920.7312599867</v>
      </c>
      <c r="Z179" s="31">
        <v>66454.601915164618</v>
      </c>
      <c r="AA179" s="31">
        <f t="shared" si="13"/>
        <v>4061808.2364381216</v>
      </c>
      <c r="AB179" s="31">
        <v>45149.499999999993</v>
      </c>
      <c r="AD179" s="42" t="s">
        <v>503</v>
      </c>
      <c r="AE179" s="42" t="s">
        <v>504</v>
      </c>
      <c r="AF179" s="43" t="s">
        <v>1275</v>
      </c>
      <c r="AG179" s="44">
        <v>34</v>
      </c>
      <c r="AH179" s="31">
        <v>3402515.5475874748</v>
      </c>
      <c r="AI179" s="31">
        <v>114951.69000000003</v>
      </c>
      <c r="AJ179" s="31">
        <v>0</v>
      </c>
      <c r="AK179" s="31">
        <v>0</v>
      </c>
      <c r="AL179" s="31">
        <v>224878.86459215422</v>
      </c>
      <c r="AM179" s="31">
        <v>281442.75824236422</v>
      </c>
      <c r="AN179" s="31">
        <v>67738.276040717872</v>
      </c>
      <c r="AO179" s="31">
        <f t="shared" si="14"/>
        <v>4137474.5264627109</v>
      </c>
      <c r="AP179" s="31">
        <v>45947.389999999992</v>
      </c>
      <c r="AR179" s="42" t="s">
        <v>503</v>
      </c>
      <c r="AS179" s="42" t="s">
        <v>504</v>
      </c>
      <c r="AT179" s="43" t="s">
        <v>1276</v>
      </c>
      <c r="AU179" s="44">
        <v>34</v>
      </c>
      <c r="AV179" s="31">
        <v>3477159.590919368</v>
      </c>
      <c r="AW179" s="31">
        <v>117266.73999999999</v>
      </c>
      <c r="AX179" s="31">
        <v>0</v>
      </c>
      <c r="AY179" s="31">
        <v>0</v>
      </c>
      <c r="AZ179" s="31">
        <v>229427.81507474009</v>
      </c>
      <c r="BA179" s="31">
        <v>281456.41461429623</v>
      </c>
      <c r="BB179" s="31">
        <v>69355.650481506149</v>
      </c>
      <c r="BC179" s="31">
        <f t="shared" si="15"/>
        <v>4221574.0410899101</v>
      </c>
      <c r="BD179" s="31">
        <v>46907.829999999994</v>
      </c>
    </row>
    <row r="180" spans="2:56">
      <c r="B180" s="42" t="s">
        <v>219</v>
      </c>
      <c r="C180" s="42" t="s">
        <v>220</v>
      </c>
      <c r="D180" s="43" t="s">
        <v>1049</v>
      </c>
      <c r="E180" s="44">
        <v>34</v>
      </c>
      <c r="F180" s="31">
        <v>208765894.03656435</v>
      </c>
      <c r="G180" s="31">
        <v>2348627.81</v>
      </c>
      <c r="H180" s="31">
        <v>3799313.9599999995</v>
      </c>
      <c r="I180" s="31">
        <v>730368.00999999989</v>
      </c>
      <c r="J180" s="31">
        <v>27960204.93074733</v>
      </c>
      <c r="K180" s="31">
        <v>11460425.155261811</v>
      </c>
      <c r="L180" s="31">
        <v>10817746.007111154</v>
      </c>
      <c r="M180" s="31">
        <f t="shared" si="12"/>
        <v>265882579.90968466</v>
      </c>
      <c r="N180" s="31">
        <v>0</v>
      </c>
      <c r="P180" s="42" t="s">
        <v>219</v>
      </c>
      <c r="Q180" s="42" t="s">
        <v>220</v>
      </c>
      <c r="R180" s="43" t="s">
        <v>1050</v>
      </c>
      <c r="S180" s="44">
        <v>34</v>
      </c>
      <c r="T180" s="31">
        <v>223182159.83685863</v>
      </c>
      <c r="U180" s="31">
        <v>2510796.71</v>
      </c>
      <c r="V180" s="31">
        <v>4061529.9099999997</v>
      </c>
      <c r="W180" s="31">
        <v>780712.30999999994</v>
      </c>
      <c r="X180" s="31">
        <v>29755068.02399059</v>
      </c>
      <c r="Y180" s="31">
        <v>11483950.082505308</v>
      </c>
      <c r="Z180" s="31">
        <v>11532914.133358791</v>
      </c>
      <c r="AA180" s="31">
        <f t="shared" si="13"/>
        <v>283307131.00671333</v>
      </c>
      <c r="AB180" s="31">
        <v>0</v>
      </c>
      <c r="AD180" s="42" t="s">
        <v>219</v>
      </c>
      <c r="AE180" s="42" t="s">
        <v>220</v>
      </c>
      <c r="AF180" s="43" t="s">
        <v>1275</v>
      </c>
      <c r="AG180" s="44">
        <v>34</v>
      </c>
      <c r="AH180" s="31">
        <v>227402899.93009284</v>
      </c>
      <c r="AI180" s="31">
        <v>2557372.88</v>
      </c>
      <c r="AJ180" s="31">
        <v>4136764.8799999994</v>
      </c>
      <c r="AK180" s="31">
        <v>795197.83</v>
      </c>
      <c r="AL180" s="31">
        <v>30308043.222553365</v>
      </c>
      <c r="AM180" s="31">
        <v>11465527.312607257</v>
      </c>
      <c r="AN180" s="31">
        <v>11747455.761971157</v>
      </c>
      <c r="AO180" s="31">
        <f t="shared" si="14"/>
        <v>288413261.81722462</v>
      </c>
      <c r="AP180" s="31">
        <v>0</v>
      </c>
      <c r="AR180" s="42" t="s">
        <v>219</v>
      </c>
      <c r="AS180" s="42" t="s">
        <v>220</v>
      </c>
      <c r="AT180" s="43" t="s">
        <v>1276</v>
      </c>
      <c r="AU180" s="44">
        <v>34</v>
      </c>
      <c r="AV180" s="31">
        <v>232139068.00747585</v>
      </c>
      <c r="AW180" s="31">
        <v>2609681.19</v>
      </c>
      <c r="AX180" s="31">
        <v>4221473.5199999996</v>
      </c>
      <c r="AY180" s="31">
        <v>811438.59</v>
      </c>
      <c r="AZ180" s="31">
        <v>30929763.292994436</v>
      </c>
      <c r="BA180" s="31">
        <v>11466053.677461486</v>
      </c>
      <c r="BB180" s="31">
        <v>11988623.904057508</v>
      </c>
      <c r="BC180" s="31">
        <f t="shared" si="15"/>
        <v>294166102.18198931</v>
      </c>
      <c r="BD180" s="31">
        <v>0</v>
      </c>
    </row>
    <row r="181" spans="2:56">
      <c r="B181" s="42" t="s">
        <v>167</v>
      </c>
      <c r="C181" s="42" t="s">
        <v>168</v>
      </c>
      <c r="D181" s="43" t="s">
        <v>1049</v>
      </c>
      <c r="E181" s="44">
        <v>34</v>
      </c>
      <c r="F181" s="31">
        <v>47837802.29688777</v>
      </c>
      <c r="G181" s="31">
        <v>1462102.0699999996</v>
      </c>
      <c r="H181" s="31">
        <v>369512.68000000005</v>
      </c>
      <c r="I181" s="31">
        <v>170693.52</v>
      </c>
      <c r="J181" s="31">
        <v>8510074.0109630115</v>
      </c>
      <c r="K181" s="31">
        <v>2406459.1287051979</v>
      </c>
      <c r="L181" s="31">
        <v>4453475.4989796439</v>
      </c>
      <c r="M181" s="31">
        <f t="shared" si="12"/>
        <v>65487927.225535631</v>
      </c>
      <c r="N181" s="31">
        <v>277808.02</v>
      </c>
      <c r="P181" s="42" t="s">
        <v>167</v>
      </c>
      <c r="Q181" s="42" t="s">
        <v>168</v>
      </c>
      <c r="R181" s="43" t="s">
        <v>1050</v>
      </c>
      <c r="S181" s="44">
        <v>34</v>
      </c>
      <c r="T181" s="31">
        <v>51164200.030237213</v>
      </c>
      <c r="U181" s="31">
        <v>1567731.58</v>
      </c>
      <c r="V181" s="31">
        <v>395053.98</v>
      </c>
      <c r="W181" s="31">
        <v>182561.96000000002</v>
      </c>
      <c r="X181" s="31">
        <v>9057117.2447686456</v>
      </c>
      <c r="Y181" s="31">
        <v>2410812.4203630541</v>
      </c>
      <c r="Z181" s="31">
        <v>4748727.3191166632</v>
      </c>
      <c r="AA181" s="31">
        <f t="shared" si="13"/>
        <v>69819068.264485583</v>
      </c>
      <c r="AB181" s="31">
        <v>292863.73</v>
      </c>
      <c r="AD181" s="42" t="s">
        <v>167</v>
      </c>
      <c r="AE181" s="42" t="s">
        <v>168</v>
      </c>
      <c r="AF181" s="43" t="s">
        <v>1275</v>
      </c>
      <c r="AG181" s="44">
        <v>34</v>
      </c>
      <c r="AH181" s="31">
        <v>52141178.089541808</v>
      </c>
      <c r="AI181" s="31">
        <v>1596539.6899999997</v>
      </c>
      <c r="AJ181" s="31">
        <v>402384.59999999992</v>
      </c>
      <c r="AK181" s="31">
        <v>185904.49</v>
      </c>
      <c r="AL181" s="31">
        <v>9224705.2073005345</v>
      </c>
      <c r="AM181" s="31">
        <v>2407434.9418552597</v>
      </c>
      <c r="AN181" s="31">
        <v>4836920.0631534616</v>
      </c>
      <c r="AO181" s="31">
        <f t="shared" si="14"/>
        <v>71093399.391851068</v>
      </c>
      <c r="AP181" s="31">
        <v>298332.31</v>
      </c>
      <c r="AR181" s="42" t="s">
        <v>167</v>
      </c>
      <c r="AS181" s="42" t="s">
        <v>168</v>
      </c>
      <c r="AT181" s="43" t="s">
        <v>1276</v>
      </c>
      <c r="AU181" s="44">
        <v>34</v>
      </c>
      <c r="AV181" s="31">
        <v>53236420.766568951</v>
      </c>
      <c r="AW181" s="31">
        <v>1629020.9699999997</v>
      </c>
      <c r="AX181" s="31">
        <v>410580.46</v>
      </c>
      <c r="AY181" s="31">
        <v>189718.12000000002</v>
      </c>
      <c r="AZ181" s="31">
        <v>9413189.6019037645</v>
      </c>
      <c r="BA181" s="31">
        <v>2407531.4412411964</v>
      </c>
      <c r="BB181" s="31">
        <v>4935540.4831859404</v>
      </c>
      <c r="BC181" s="31">
        <f t="shared" si="15"/>
        <v>72526417.802899852</v>
      </c>
      <c r="BD181" s="31">
        <v>304415.96000000002</v>
      </c>
    </row>
    <row r="182" spans="2:56">
      <c r="B182" s="42" t="s">
        <v>579</v>
      </c>
      <c r="C182" s="42" t="s">
        <v>580</v>
      </c>
      <c r="D182" s="43" t="s">
        <v>1049</v>
      </c>
      <c r="E182" s="44">
        <v>34</v>
      </c>
      <c r="F182" s="31">
        <v>2328287.7949679666</v>
      </c>
      <c r="G182" s="31">
        <v>37931.699999999997</v>
      </c>
      <c r="H182" s="31">
        <v>0</v>
      </c>
      <c r="I182" s="31">
        <v>0</v>
      </c>
      <c r="J182" s="31">
        <v>175051.28276503447</v>
      </c>
      <c r="K182" s="31">
        <v>357241.67165562755</v>
      </c>
      <c r="L182" s="31">
        <v>54435.959349026438</v>
      </c>
      <c r="M182" s="31">
        <f t="shared" si="12"/>
        <v>2952948.4087376553</v>
      </c>
      <c r="N182" s="31">
        <v>0</v>
      </c>
      <c r="P182" s="42" t="s">
        <v>579</v>
      </c>
      <c r="Q182" s="42" t="s">
        <v>580</v>
      </c>
      <c r="R182" s="43" t="s">
        <v>1050</v>
      </c>
      <c r="S182" s="44">
        <v>34</v>
      </c>
      <c r="T182" s="31">
        <v>2477826.8976472709</v>
      </c>
      <c r="U182" s="31">
        <v>40598.450000000004</v>
      </c>
      <c r="V182" s="31">
        <v>0</v>
      </c>
      <c r="W182" s="31">
        <v>0</v>
      </c>
      <c r="X182" s="31">
        <v>186332.44739216412</v>
      </c>
      <c r="Y182" s="31">
        <v>358125.34361605486</v>
      </c>
      <c r="Z182" s="31">
        <v>57934.240591697846</v>
      </c>
      <c r="AA182" s="31">
        <f t="shared" si="13"/>
        <v>3120817.3792471881</v>
      </c>
      <c r="AB182" s="31">
        <v>0</v>
      </c>
      <c r="AD182" s="42" t="s">
        <v>579</v>
      </c>
      <c r="AE182" s="42" t="s">
        <v>580</v>
      </c>
      <c r="AF182" s="43" t="s">
        <v>1275</v>
      </c>
      <c r="AG182" s="44">
        <v>34</v>
      </c>
      <c r="AH182" s="31">
        <v>2522146.4738502055</v>
      </c>
      <c r="AI182" s="31">
        <v>41309.67</v>
      </c>
      <c r="AJ182" s="31">
        <v>0</v>
      </c>
      <c r="AK182" s="31">
        <v>0</v>
      </c>
      <c r="AL182" s="31">
        <v>189768.89522863645</v>
      </c>
      <c r="AM182" s="31">
        <v>357453.99125789816</v>
      </c>
      <c r="AN182" s="31">
        <v>58964.1117453634</v>
      </c>
      <c r="AO182" s="31">
        <f t="shared" si="14"/>
        <v>3169643.1420821035</v>
      </c>
      <c r="AP182" s="31">
        <v>0</v>
      </c>
      <c r="AR182" s="42" t="s">
        <v>579</v>
      </c>
      <c r="AS182" s="42" t="s">
        <v>580</v>
      </c>
      <c r="AT182" s="43" t="s">
        <v>1276</v>
      </c>
      <c r="AU182" s="44">
        <v>34</v>
      </c>
      <c r="AV182" s="31">
        <v>2570481.7788731023</v>
      </c>
      <c r="AW182" s="31">
        <v>42182.68</v>
      </c>
      <c r="AX182" s="31">
        <v>0</v>
      </c>
      <c r="AY182" s="31">
        <v>0</v>
      </c>
      <c r="AZ182" s="31">
        <v>193598.22124819434</v>
      </c>
      <c r="BA182" s="31">
        <v>357473.17275384552</v>
      </c>
      <c r="BB182" s="31">
        <v>60189.034892558906</v>
      </c>
      <c r="BC182" s="31">
        <f t="shared" si="15"/>
        <v>3223924.8877677014</v>
      </c>
      <c r="BD182" s="31">
        <v>0</v>
      </c>
    </row>
    <row r="183" spans="2:56">
      <c r="B183" s="42" t="s">
        <v>165</v>
      </c>
      <c r="C183" s="42" t="s">
        <v>166</v>
      </c>
      <c r="D183" s="43" t="s">
        <v>1049</v>
      </c>
      <c r="E183" s="44">
        <v>34</v>
      </c>
      <c r="F183" s="31">
        <v>3343253.8851690879</v>
      </c>
      <c r="G183" s="31">
        <v>154446.71000000002</v>
      </c>
      <c r="H183" s="31">
        <v>0</v>
      </c>
      <c r="I183" s="31">
        <v>9257.0600000000013</v>
      </c>
      <c r="J183" s="31">
        <v>437668.49279422534</v>
      </c>
      <c r="K183" s="31">
        <v>156279.95291078085</v>
      </c>
      <c r="L183" s="31">
        <v>254948.98544175434</v>
      </c>
      <c r="M183" s="31">
        <f t="shared" si="12"/>
        <v>4440727.7163158488</v>
      </c>
      <c r="N183" s="31">
        <v>84872.63</v>
      </c>
      <c r="P183" s="42" t="s">
        <v>165</v>
      </c>
      <c r="Q183" s="42" t="s">
        <v>166</v>
      </c>
      <c r="R183" s="43" t="s">
        <v>1050</v>
      </c>
      <c r="S183" s="44">
        <v>34</v>
      </c>
      <c r="T183" s="31">
        <v>3595613.0991523173</v>
      </c>
      <c r="U183" s="31">
        <v>166718.90999999997</v>
      </c>
      <c r="V183" s="31">
        <v>0</v>
      </c>
      <c r="W183" s="31">
        <v>9961.6899999999987</v>
      </c>
      <c r="X183" s="31">
        <v>465898.22632682405</v>
      </c>
      <c r="Y183" s="31">
        <v>156632.76574020952</v>
      </c>
      <c r="Z183" s="31">
        <v>274712.39434073621</v>
      </c>
      <c r="AA183" s="31">
        <f t="shared" si="13"/>
        <v>4758916.7555600861</v>
      </c>
      <c r="AB183" s="31">
        <v>89379.67</v>
      </c>
      <c r="AD183" s="42" t="s">
        <v>165</v>
      </c>
      <c r="AE183" s="42" t="s">
        <v>166</v>
      </c>
      <c r="AF183" s="43" t="s">
        <v>1275</v>
      </c>
      <c r="AG183" s="44">
        <v>34</v>
      </c>
      <c r="AH183" s="31">
        <v>3662749.7459467975</v>
      </c>
      <c r="AI183" s="31">
        <v>169711.61</v>
      </c>
      <c r="AJ183" s="31">
        <v>0</v>
      </c>
      <c r="AK183" s="31">
        <v>10135.369999999999</v>
      </c>
      <c r="AL183" s="31">
        <v>474443.89998367324</v>
      </c>
      <c r="AM183" s="31">
        <v>156364.72314563589</v>
      </c>
      <c r="AN183" s="31">
        <v>279795.00407908886</v>
      </c>
      <c r="AO183" s="31">
        <f t="shared" si="14"/>
        <v>4844263.4931551944</v>
      </c>
      <c r="AP183" s="31">
        <v>91063.140000000014</v>
      </c>
      <c r="AR183" s="42" t="s">
        <v>165</v>
      </c>
      <c r="AS183" s="42" t="s">
        <v>166</v>
      </c>
      <c r="AT183" s="43" t="s">
        <v>1276</v>
      </c>
      <c r="AU183" s="44">
        <v>34</v>
      </c>
      <c r="AV183" s="31">
        <v>3736796.9766226769</v>
      </c>
      <c r="AW183" s="31">
        <v>173129.75</v>
      </c>
      <c r="AX183" s="31">
        <v>0</v>
      </c>
      <c r="AY183" s="31">
        <v>10321.379999999999</v>
      </c>
      <c r="AZ183" s="31">
        <v>484036.05321336869</v>
      </c>
      <c r="BA183" s="31">
        <v>156372.38150548085</v>
      </c>
      <c r="BB183" s="31">
        <v>285596.01841759356</v>
      </c>
      <c r="BC183" s="31">
        <f t="shared" si="15"/>
        <v>4939221.0697591193</v>
      </c>
      <c r="BD183" s="31">
        <v>92968.510000000009</v>
      </c>
    </row>
    <row r="184" spans="2:56">
      <c r="B184" s="42" t="s">
        <v>343</v>
      </c>
      <c r="C184" s="42" t="s">
        <v>344</v>
      </c>
      <c r="D184" s="43" t="s">
        <v>1049</v>
      </c>
      <c r="E184" s="44">
        <v>34</v>
      </c>
      <c r="F184" s="31">
        <v>8146740.6846200144</v>
      </c>
      <c r="G184" s="31">
        <v>409844.1100000001</v>
      </c>
      <c r="H184" s="31">
        <v>66845.72</v>
      </c>
      <c r="I184" s="31">
        <v>28745.600000000002</v>
      </c>
      <c r="J184" s="31">
        <v>1297826.7210932132</v>
      </c>
      <c r="K184" s="31">
        <v>905641.90498795279</v>
      </c>
      <c r="L184" s="31">
        <v>740529.53446643322</v>
      </c>
      <c r="M184" s="31">
        <f t="shared" si="12"/>
        <v>11888015.265167614</v>
      </c>
      <c r="N184" s="31">
        <v>291840.99</v>
      </c>
      <c r="P184" s="42" t="s">
        <v>343</v>
      </c>
      <c r="Q184" s="42" t="s">
        <v>344</v>
      </c>
      <c r="R184" s="43" t="s">
        <v>1050</v>
      </c>
      <c r="S184" s="44">
        <v>34</v>
      </c>
      <c r="T184" s="31">
        <v>8804671.9260039739</v>
      </c>
      <c r="U184" s="31">
        <v>443500.50999999995</v>
      </c>
      <c r="V184" s="31">
        <v>71495.920000000013</v>
      </c>
      <c r="W184" s="31">
        <v>30715.239999999994</v>
      </c>
      <c r="X184" s="31">
        <v>1381605.4730327728</v>
      </c>
      <c r="Y184" s="31">
        <v>907290.50349614036</v>
      </c>
      <c r="Z184" s="31">
        <v>797593.21938203229</v>
      </c>
      <c r="AA184" s="31">
        <f t="shared" si="13"/>
        <v>12744338.801914919</v>
      </c>
      <c r="AB184" s="31">
        <v>307466.00999999995</v>
      </c>
      <c r="AD184" s="42" t="s">
        <v>343</v>
      </c>
      <c r="AE184" s="42" t="s">
        <v>344</v>
      </c>
      <c r="AF184" s="43" t="s">
        <v>1275</v>
      </c>
      <c r="AG184" s="44">
        <v>34</v>
      </c>
      <c r="AH184" s="31">
        <v>8974144.9128225241</v>
      </c>
      <c r="AI184" s="31">
        <v>451479.86999999988</v>
      </c>
      <c r="AJ184" s="31">
        <v>72848.009999999995</v>
      </c>
      <c r="AK184" s="31">
        <v>31356.34</v>
      </c>
      <c r="AL184" s="31">
        <v>1406928.3584004678</v>
      </c>
      <c r="AM184" s="31">
        <v>906038.01326708496</v>
      </c>
      <c r="AN184" s="31">
        <v>812214.48247330147</v>
      </c>
      <c r="AO184" s="31">
        <f t="shared" si="14"/>
        <v>12968117.496963376</v>
      </c>
      <c r="AP184" s="31">
        <v>313107.51</v>
      </c>
      <c r="AR184" s="42" t="s">
        <v>343</v>
      </c>
      <c r="AS184" s="42" t="s">
        <v>344</v>
      </c>
      <c r="AT184" s="43" t="s">
        <v>1276</v>
      </c>
      <c r="AU184" s="44">
        <v>34</v>
      </c>
      <c r="AV184" s="31">
        <v>9163975.3009281307</v>
      </c>
      <c r="AW184" s="31">
        <v>460449.62999999995</v>
      </c>
      <c r="AX184" s="31">
        <v>74292.469999999987</v>
      </c>
      <c r="AY184" s="31">
        <v>31931.81</v>
      </c>
      <c r="AZ184" s="31">
        <v>1435397.9688599797</v>
      </c>
      <c r="BA184" s="31">
        <v>906073.79870220087</v>
      </c>
      <c r="BB184" s="31">
        <v>828579.69741149922</v>
      </c>
      <c r="BC184" s="31">
        <f t="shared" si="15"/>
        <v>13220160.865901813</v>
      </c>
      <c r="BD184" s="31">
        <v>319460.19</v>
      </c>
    </row>
    <row r="185" spans="2:56">
      <c r="B185" s="42" t="s">
        <v>163</v>
      </c>
      <c r="C185" s="42" t="s">
        <v>164</v>
      </c>
      <c r="D185" s="43" t="s">
        <v>1049</v>
      </c>
      <c r="E185" s="44">
        <v>34</v>
      </c>
      <c r="F185" s="31">
        <v>5029803.8239824129</v>
      </c>
      <c r="G185" s="31">
        <v>271280.55999999994</v>
      </c>
      <c r="H185" s="31">
        <v>74056.47</v>
      </c>
      <c r="I185" s="31">
        <v>15980.6</v>
      </c>
      <c r="J185" s="31">
        <v>631518.47884935793</v>
      </c>
      <c r="K185" s="31">
        <v>491459.01277668402</v>
      </c>
      <c r="L185" s="31">
        <v>391213.77718566143</v>
      </c>
      <c r="M185" s="31">
        <f t="shared" si="12"/>
        <v>7073693.7627941156</v>
      </c>
      <c r="N185" s="31">
        <v>168381.04</v>
      </c>
      <c r="P185" s="42" t="s">
        <v>163</v>
      </c>
      <c r="Q185" s="42" t="s">
        <v>164</v>
      </c>
      <c r="R185" s="43" t="s">
        <v>1050</v>
      </c>
      <c r="S185" s="44">
        <v>34</v>
      </c>
      <c r="T185" s="31">
        <v>5421896.215787081</v>
      </c>
      <c r="U185" s="31">
        <v>293153.31000000006</v>
      </c>
      <c r="V185" s="31">
        <v>79278.5</v>
      </c>
      <c r="W185" s="31">
        <v>17017.900000000001</v>
      </c>
      <c r="X185" s="31">
        <v>672267.00179613393</v>
      </c>
      <c r="Y185" s="31">
        <v>492625.13665318227</v>
      </c>
      <c r="Z185" s="31">
        <v>421284.12099678023</v>
      </c>
      <c r="AA185" s="31">
        <f t="shared" si="13"/>
        <v>7574851.4152331781</v>
      </c>
      <c r="AB185" s="31">
        <v>177329.22999999998</v>
      </c>
      <c r="AD185" s="42" t="s">
        <v>163</v>
      </c>
      <c r="AE185" s="42" t="s">
        <v>164</v>
      </c>
      <c r="AF185" s="43" t="s">
        <v>1275</v>
      </c>
      <c r="AG185" s="44">
        <v>34</v>
      </c>
      <c r="AH185" s="31">
        <v>5523405.0775333792</v>
      </c>
      <c r="AI185" s="31">
        <v>298436.70999999996</v>
      </c>
      <c r="AJ185" s="31">
        <v>80766.26999999999</v>
      </c>
      <c r="AK185" s="31">
        <v>17420.189999999999</v>
      </c>
      <c r="AL185" s="31">
        <v>684577.58875198965</v>
      </c>
      <c r="AM185" s="31">
        <v>491739.19701783225</v>
      </c>
      <c r="AN185" s="31">
        <v>429046.76835422637</v>
      </c>
      <c r="AO185" s="31">
        <f t="shared" si="14"/>
        <v>7706062.7316574268</v>
      </c>
      <c r="AP185" s="31">
        <v>180670.93000000002</v>
      </c>
      <c r="AR185" s="42" t="s">
        <v>163</v>
      </c>
      <c r="AS185" s="42" t="s">
        <v>164</v>
      </c>
      <c r="AT185" s="43" t="s">
        <v>1276</v>
      </c>
      <c r="AU185" s="44">
        <v>34</v>
      </c>
      <c r="AV185" s="31">
        <v>5636261.8412788771</v>
      </c>
      <c r="AW185" s="31">
        <v>304410.32000000007</v>
      </c>
      <c r="AX185" s="31">
        <v>82356.060000000012</v>
      </c>
      <c r="AY185" s="31">
        <v>17739.879999999997</v>
      </c>
      <c r="AZ185" s="31">
        <v>698445.79831440491</v>
      </c>
      <c r="BA185" s="31">
        <v>491764.50957884232</v>
      </c>
      <c r="BB185" s="31">
        <v>437874.01377463323</v>
      </c>
      <c r="BC185" s="31">
        <f t="shared" si="15"/>
        <v>7853095.2929467577</v>
      </c>
      <c r="BD185" s="31">
        <v>184242.87000000002</v>
      </c>
    </row>
    <row r="186" spans="2:56">
      <c r="B186" s="42" t="s">
        <v>305</v>
      </c>
      <c r="C186" s="42" t="s">
        <v>306</v>
      </c>
      <c r="D186" s="43" t="s">
        <v>1049</v>
      </c>
      <c r="E186" s="44">
        <v>34</v>
      </c>
      <c r="F186" s="31">
        <v>2727547.5797611778</v>
      </c>
      <c r="G186" s="31">
        <v>77615.27</v>
      </c>
      <c r="H186" s="31">
        <v>0</v>
      </c>
      <c r="I186" s="31">
        <v>6572.24</v>
      </c>
      <c r="J186" s="31">
        <v>256865.7716030709</v>
      </c>
      <c r="K186" s="31">
        <v>333554.33884224819</v>
      </c>
      <c r="L186" s="31">
        <v>130274.2320431015</v>
      </c>
      <c r="M186" s="31">
        <f t="shared" si="12"/>
        <v>3565186.4222495989</v>
      </c>
      <c r="N186" s="31">
        <v>32756.99</v>
      </c>
      <c r="P186" s="42" t="s">
        <v>305</v>
      </c>
      <c r="Q186" s="42" t="s">
        <v>306</v>
      </c>
      <c r="R186" s="43" t="s">
        <v>1050</v>
      </c>
      <c r="S186" s="44">
        <v>34</v>
      </c>
      <c r="T186" s="31">
        <v>2906128.6886457442</v>
      </c>
      <c r="U186" s="31">
        <v>82891.810000000012</v>
      </c>
      <c r="V186" s="31">
        <v>0</v>
      </c>
      <c r="W186" s="31">
        <v>6938.19</v>
      </c>
      <c r="X186" s="31">
        <v>271542.51217914419</v>
      </c>
      <c r="Y186" s="31">
        <v>334380.18583205657</v>
      </c>
      <c r="Z186" s="31">
        <v>139281.36704514839</v>
      </c>
      <c r="AA186" s="31">
        <f t="shared" si="13"/>
        <v>3775339.1637020935</v>
      </c>
      <c r="AB186" s="31">
        <v>34176.410000000003</v>
      </c>
      <c r="AD186" s="42" t="s">
        <v>305</v>
      </c>
      <c r="AE186" s="42" t="s">
        <v>306</v>
      </c>
      <c r="AF186" s="43" t="s">
        <v>1275</v>
      </c>
      <c r="AG186" s="44">
        <v>34</v>
      </c>
      <c r="AH186" s="31">
        <v>2958990.9477496296</v>
      </c>
      <c r="AI186" s="31">
        <v>84342.78</v>
      </c>
      <c r="AJ186" s="31">
        <v>0</v>
      </c>
      <c r="AK186" s="31">
        <v>7060.15</v>
      </c>
      <c r="AL186" s="31">
        <v>276535.60255089169</v>
      </c>
      <c r="AM186" s="31">
        <v>333748.63266955805</v>
      </c>
      <c r="AN186" s="31">
        <v>141959.12578500679</v>
      </c>
      <c r="AO186" s="31">
        <f t="shared" si="14"/>
        <v>3837532.528755086</v>
      </c>
      <c r="AP186" s="31">
        <v>34895.29</v>
      </c>
      <c r="AR186" s="42" t="s">
        <v>305</v>
      </c>
      <c r="AS186" s="42" t="s">
        <v>306</v>
      </c>
      <c r="AT186" s="43" t="s">
        <v>1276</v>
      </c>
      <c r="AU186" s="44">
        <v>34</v>
      </c>
      <c r="AV186" s="31">
        <v>3016864.4449810358</v>
      </c>
      <c r="AW186" s="31">
        <v>86009.17</v>
      </c>
      <c r="AX186" s="31">
        <v>0</v>
      </c>
      <c r="AY186" s="31">
        <v>7190.7699999999995</v>
      </c>
      <c r="AZ186" s="31">
        <v>282165.7028952206</v>
      </c>
      <c r="BA186" s="31">
        <v>333766.67704562948</v>
      </c>
      <c r="BB186" s="31">
        <v>144758.5056506407</v>
      </c>
      <c r="BC186" s="31">
        <f t="shared" si="15"/>
        <v>3906304.2605725266</v>
      </c>
      <c r="BD186" s="31">
        <v>35548.990000000005</v>
      </c>
    </row>
    <row r="187" spans="2:56">
      <c r="B187" s="42" t="s">
        <v>331</v>
      </c>
      <c r="C187" s="42" t="s">
        <v>332</v>
      </c>
      <c r="D187" s="43" t="s">
        <v>1049</v>
      </c>
      <c r="E187" s="44">
        <v>34</v>
      </c>
      <c r="F187" s="31">
        <v>8456601.6162183024</v>
      </c>
      <c r="G187" s="31">
        <v>468496.83</v>
      </c>
      <c r="H187" s="31">
        <v>130844.18000000001</v>
      </c>
      <c r="I187" s="31">
        <v>30062.879999999997</v>
      </c>
      <c r="J187" s="31">
        <v>1332909.2424992614</v>
      </c>
      <c r="K187" s="31">
        <v>535525.255790725</v>
      </c>
      <c r="L187" s="31">
        <v>696550.15804366942</v>
      </c>
      <c r="M187" s="31">
        <f t="shared" si="12"/>
        <v>11959386.962551961</v>
      </c>
      <c r="N187" s="31">
        <v>308396.79999999999</v>
      </c>
      <c r="P187" s="42" t="s">
        <v>331</v>
      </c>
      <c r="Q187" s="42" t="s">
        <v>332</v>
      </c>
      <c r="R187" s="43" t="s">
        <v>1050</v>
      </c>
      <c r="S187" s="44">
        <v>34</v>
      </c>
      <c r="T187" s="31">
        <v>9137355.4744878672</v>
      </c>
      <c r="U187" s="31">
        <v>506250.77999999997</v>
      </c>
      <c r="V187" s="31">
        <v>140053.89000000001</v>
      </c>
      <c r="W187" s="31">
        <v>32220.980000000003</v>
      </c>
      <c r="X187" s="31">
        <v>1418878.3546540844</v>
      </c>
      <c r="Y187" s="31">
        <v>536961.99593567406</v>
      </c>
      <c r="Z187" s="31">
        <v>749977.63185030315</v>
      </c>
      <c r="AA187" s="31">
        <f t="shared" si="13"/>
        <v>12846642.486927932</v>
      </c>
      <c r="AB187" s="31">
        <v>324943.37999999995</v>
      </c>
      <c r="AD187" s="42" t="s">
        <v>331</v>
      </c>
      <c r="AE187" s="42" t="s">
        <v>332</v>
      </c>
      <c r="AF187" s="43" t="s">
        <v>1275</v>
      </c>
      <c r="AG187" s="44">
        <v>34</v>
      </c>
      <c r="AH187" s="31">
        <v>9313457.6916438229</v>
      </c>
      <c r="AI187" s="31">
        <v>515375.8</v>
      </c>
      <c r="AJ187" s="31">
        <v>142507.42000000001</v>
      </c>
      <c r="AK187" s="31">
        <v>32785.449999999997</v>
      </c>
      <c r="AL187" s="31">
        <v>1444939.3135048058</v>
      </c>
      <c r="AM187" s="31">
        <v>535870.46092317509</v>
      </c>
      <c r="AN187" s="31">
        <v>763718.69037131709</v>
      </c>
      <c r="AO187" s="31">
        <f t="shared" si="14"/>
        <v>13079580.836443121</v>
      </c>
      <c r="AP187" s="31">
        <v>330926.00999999995</v>
      </c>
      <c r="AR187" s="42" t="s">
        <v>331</v>
      </c>
      <c r="AS187" s="42" t="s">
        <v>332</v>
      </c>
      <c r="AT187" s="43" t="s">
        <v>1276</v>
      </c>
      <c r="AU187" s="44">
        <v>34</v>
      </c>
      <c r="AV187" s="31">
        <v>9510935.7233277652</v>
      </c>
      <c r="AW187" s="31">
        <v>525698.70999999985</v>
      </c>
      <c r="AX187" s="31">
        <v>145469.06</v>
      </c>
      <c r="AY187" s="31">
        <v>33501.290000000008</v>
      </c>
      <c r="AZ187" s="31">
        <v>1474286.9947741139</v>
      </c>
      <c r="BA187" s="31">
        <v>535901.64763781778</v>
      </c>
      <c r="BB187" s="31">
        <v>779385.97523802845</v>
      </c>
      <c r="BC187" s="31">
        <f t="shared" si="15"/>
        <v>13342834.560977725</v>
      </c>
      <c r="BD187" s="31">
        <v>337655.16000000003</v>
      </c>
    </row>
    <row r="188" spans="2:56">
      <c r="B188" s="42" t="s">
        <v>513</v>
      </c>
      <c r="C188" s="42" t="s">
        <v>514</v>
      </c>
      <c r="D188" s="43" t="s">
        <v>1049</v>
      </c>
      <c r="E188" s="44">
        <v>34</v>
      </c>
      <c r="F188" s="31">
        <v>78542631.492798612</v>
      </c>
      <c r="G188" s="31">
        <v>1869245.8100000005</v>
      </c>
      <c r="H188" s="31">
        <v>490186.5</v>
      </c>
      <c r="I188" s="31">
        <v>0</v>
      </c>
      <c r="J188" s="31">
        <v>12530872.880928913</v>
      </c>
      <c r="K188" s="31">
        <v>4276408.44811262</v>
      </c>
      <c r="L188" s="31">
        <v>6567161.3783787889</v>
      </c>
      <c r="M188" s="31">
        <f t="shared" si="12"/>
        <v>104457892.67021894</v>
      </c>
      <c r="N188" s="31">
        <v>181386.16</v>
      </c>
      <c r="P188" s="42" t="s">
        <v>513</v>
      </c>
      <c r="Q188" s="42" t="s">
        <v>514</v>
      </c>
      <c r="R188" s="43" t="s">
        <v>1050</v>
      </c>
      <c r="S188" s="44">
        <v>34</v>
      </c>
      <c r="T188" s="31">
        <v>84069288.915736005</v>
      </c>
      <c r="U188" s="31">
        <v>2002790.3299999998</v>
      </c>
      <c r="V188" s="31">
        <v>524342.91999999993</v>
      </c>
      <c r="W188" s="31">
        <v>0</v>
      </c>
      <c r="X188" s="31">
        <v>13339050.846921807</v>
      </c>
      <c r="Y188" s="31">
        <v>4286582.9125570282</v>
      </c>
      <c r="Z188" s="31">
        <v>7004481.6550614107</v>
      </c>
      <c r="AA188" s="31">
        <f t="shared" si="13"/>
        <v>111417674.51027624</v>
      </c>
      <c r="AB188" s="31">
        <v>191136.93000000002</v>
      </c>
      <c r="AD188" s="42" t="s">
        <v>513</v>
      </c>
      <c r="AE188" s="42" t="s">
        <v>514</v>
      </c>
      <c r="AF188" s="43" t="s">
        <v>1275</v>
      </c>
      <c r="AG188" s="44">
        <v>34</v>
      </c>
      <c r="AH188" s="31">
        <v>85711030.329813257</v>
      </c>
      <c r="AI188" s="31">
        <v>2039363.6999999997</v>
      </c>
      <c r="AJ188" s="31">
        <v>534075.01</v>
      </c>
      <c r="AK188" s="31">
        <v>0</v>
      </c>
      <c r="AL188" s="31">
        <v>13584211.553959403</v>
      </c>
      <c r="AM188" s="31">
        <v>4278853.0636949772</v>
      </c>
      <c r="AN188" s="31">
        <v>7133471.3817752711</v>
      </c>
      <c r="AO188" s="31">
        <f t="shared" si="14"/>
        <v>113475642.05924292</v>
      </c>
      <c r="AP188" s="31">
        <v>194637.02000000002</v>
      </c>
      <c r="AR188" s="42" t="s">
        <v>513</v>
      </c>
      <c r="AS188" s="42" t="s">
        <v>514</v>
      </c>
      <c r="AT188" s="43" t="s">
        <v>1276</v>
      </c>
      <c r="AU188" s="44">
        <v>34</v>
      </c>
      <c r="AV188" s="31">
        <v>87545623.830674827</v>
      </c>
      <c r="AW188" s="31">
        <v>2080488.17</v>
      </c>
      <c r="AX188" s="31">
        <v>544813.35</v>
      </c>
      <c r="AY188" s="31">
        <v>0</v>
      </c>
      <c r="AZ188" s="31">
        <v>13860006.986517642</v>
      </c>
      <c r="BA188" s="31">
        <v>4279073.9165196074</v>
      </c>
      <c r="BB188" s="31">
        <v>7278223.4518131893</v>
      </c>
      <c r="BC188" s="31">
        <f t="shared" si="15"/>
        <v>115786831.03552526</v>
      </c>
      <c r="BD188" s="31">
        <v>198601.33</v>
      </c>
    </row>
    <row r="189" spans="2:56">
      <c r="B189" s="42" t="s">
        <v>329</v>
      </c>
      <c r="C189" s="42" t="s">
        <v>330</v>
      </c>
      <c r="D189" s="43" t="s">
        <v>1049</v>
      </c>
      <c r="E189" s="44">
        <v>34</v>
      </c>
      <c r="F189" s="31">
        <v>56239719.916402251</v>
      </c>
      <c r="G189" s="31">
        <v>2235141.3600000003</v>
      </c>
      <c r="H189" s="31">
        <v>450672.62999999995</v>
      </c>
      <c r="I189" s="31">
        <v>185433.52</v>
      </c>
      <c r="J189" s="31">
        <v>7789237.5685768183</v>
      </c>
      <c r="K189" s="31">
        <v>980577.83151286631</v>
      </c>
      <c r="L189" s="31">
        <v>1523234.1689746305</v>
      </c>
      <c r="M189" s="31">
        <f t="shared" si="12"/>
        <v>70941468.405466557</v>
      </c>
      <c r="N189" s="31">
        <v>1537451.41</v>
      </c>
      <c r="P189" s="42" t="s">
        <v>329</v>
      </c>
      <c r="Q189" s="42" t="s">
        <v>330</v>
      </c>
      <c r="R189" s="43" t="s">
        <v>1050</v>
      </c>
      <c r="S189" s="44">
        <v>34</v>
      </c>
      <c r="T189" s="31">
        <v>60589828.253927395</v>
      </c>
      <c r="U189" s="31">
        <v>2417626.6799999997</v>
      </c>
      <c r="V189" s="31">
        <v>482208.30000000005</v>
      </c>
      <c r="W189" s="31">
        <v>198507.53</v>
      </c>
      <c r="X189" s="31">
        <v>8292387.8478299454</v>
      </c>
      <c r="Y189" s="31">
        <v>982742.22230727761</v>
      </c>
      <c r="Z189" s="31">
        <v>1640427.3335134978</v>
      </c>
      <c r="AA189" s="31">
        <f t="shared" si="13"/>
        <v>76223389.637578115</v>
      </c>
      <c r="AB189" s="31">
        <v>1619661.47</v>
      </c>
      <c r="AD189" s="42" t="s">
        <v>329</v>
      </c>
      <c r="AE189" s="42" t="s">
        <v>330</v>
      </c>
      <c r="AF189" s="43" t="s">
        <v>1275</v>
      </c>
      <c r="AG189" s="44">
        <v>34</v>
      </c>
      <c r="AH189" s="31">
        <v>62098934.722013593</v>
      </c>
      <c r="AI189" s="31">
        <v>2461207.4900000002</v>
      </c>
      <c r="AJ189" s="31">
        <v>490932.26</v>
      </c>
      <c r="AK189" s="31">
        <v>202074.05</v>
      </c>
      <c r="AL189" s="31">
        <v>8444628.9925500564</v>
      </c>
      <c r="AM189" s="31">
        <v>981097.86905304715</v>
      </c>
      <c r="AN189" s="31">
        <v>1670227.3321058527</v>
      </c>
      <c r="AO189" s="31">
        <f t="shared" si="14"/>
        <v>77998634.565722555</v>
      </c>
      <c r="AP189" s="31">
        <v>1649531.8500000003</v>
      </c>
      <c r="AR189" s="42" t="s">
        <v>329</v>
      </c>
      <c r="AS189" s="42" t="s">
        <v>330</v>
      </c>
      <c r="AT189" s="43" t="s">
        <v>1276</v>
      </c>
      <c r="AU189" s="44">
        <v>34</v>
      </c>
      <c r="AV189" s="31">
        <v>63750972.835934237</v>
      </c>
      <c r="AW189" s="31">
        <v>2510316.98</v>
      </c>
      <c r="AX189" s="31">
        <v>500909.83</v>
      </c>
      <c r="AY189" s="31">
        <v>206212.71000000002</v>
      </c>
      <c r="AZ189" s="31">
        <v>8615925.0062298998</v>
      </c>
      <c r="BA189" s="31">
        <v>981144.85057459655</v>
      </c>
      <c r="BB189" s="31">
        <v>1704310.1757894293</v>
      </c>
      <c r="BC189" s="31">
        <f t="shared" si="15"/>
        <v>79952861.548528165</v>
      </c>
      <c r="BD189" s="31">
        <v>1683069.1600000001</v>
      </c>
    </row>
    <row r="190" spans="2:56">
      <c r="B190" s="42" t="s">
        <v>287</v>
      </c>
      <c r="C190" s="42" t="s">
        <v>288</v>
      </c>
      <c r="D190" s="43" t="s">
        <v>1049</v>
      </c>
      <c r="E190" s="44">
        <v>34</v>
      </c>
      <c r="F190" s="31">
        <v>6014857.3301627729</v>
      </c>
      <c r="G190" s="31">
        <v>285214.87000000005</v>
      </c>
      <c r="H190" s="31">
        <v>0</v>
      </c>
      <c r="I190" s="31">
        <v>22216.95</v>
      </c>
      <c r="J190" s="31">
        <v>1006932.7795235945</v>
      </c>
      <c r="K190" s="31">
        <v>660766.32628542359</v>
      </c>
      <c r="L190" s="31">
        <v>957544.64472850435</v>
      </c>
      <c r="M190" s="31">
        <f t="shared" si="12"/>
        <v>9176523.3207002953</v>
      </c>
      <c r="N190" s="31">
        <v>228990.41999999998</v>
      </c>
      <c r="P190" s="42" t="s">
        <v>287</v>
      </c>
      <c r="Q190" s="42" t="s">
        <v>288</v>
      </c>
      <c r="R190" s="43" t="s">
        <v>1050</v>
      </c>
      <c r="S190" s="44">
        <v>34</v>
      </c>
      <c r="T190" s="31">
        <v>6496413.4509034809</v>
      </c>
      <c r="U190" s="31">
        <v>309108.05000000005</v>
      </c>
      <c r="V190" s="31">
        <v>0</v>
      </c>
      <c r="W190" s="31">
        <v>23762.81</v>
      </c>
      <c r="X190" s="31">
        <v>1071920.5560347717</v>
      </c>
      <c r="Y190" s="31">
        <v>662227.24948481994</v>
      </c>
      <c r="Z190" s="31">
        <v>1031221.1623937123</v>
      </c>
      <c r="AA190" s="31">
        <f t="shared" si="13"/>
        <v>9835825.1188167837</v>
      </c>
      <c r="AB190" s="31">
        <v>241171.84</v>
      </c>
      <c r="AD190" s="42" t="s">
        <v>287</v>
      </c>
      <c r="AE190" s="42" t="s">
        <v>288</v>
      </c>
      <c r="AF190" s="43" t="s">
        <v>1275</v>
      </c>
      <c r="AG190" s="44">
        <v>34</v>
      </c>
      <c r="AH190" s="31">
        <v>6615200.7278239448</v>
      </c>
      <c r="AI190" s="31">
        <v>314654.43999999994</v>
      </c>
      <c r="AJ190" s="31">
        <v>0</v>
      </c>
      <c r="AK190" s="31">
        <v>24177.1</v>
      </c>
      <c r="AL190" s="31">
        <v>1091547.9404870523</v>
      </c>
      <c r="AM190" s="31">
        <v>661117.34187325975</v>
      </c>
      <c r="AN190" s="31">
        <v>1050114.786914065</v>
      </c>
      <c r="AO190" s="31">
        <f t="shared" si="14"/>
        <v>10002454.12709832</v>
      </c>
      <c r="AP190" s="31">
        <v>245641.79</v>
      </c>
      <c r="AR190" s="42" t="s">
        <v>287</v>
      </c>
      <c r="AS190" s="42" t="s">
        <v>288</v>
      </c>
      <c r="AT190" s="43" t="s">
        <v>1276</v>
      </c>
      <c r="AU190" s="44">
        <v>34</v>
      </c>
      <c r="AV190" s="31">
        <v>6748495.0910415417</v>
      </c>
      <c r="AW190" s="31">
        <v>320912.97999999986</v>
      </c>
      <c r="AX190" s="31">
        <v>0</v>
      </c>
      <c r="AY190" s="31">
        <v>24728.33</v>
      </c>
      <c r="AZ190" s="31">
        <v>1113648.496247516</v>
      </c>
      <c r="BA190" s="31">
        <v>661149.05351930426</v>
      </c>
      <c r="BB190" s="31">
        <v>1071615.5034969288</v>
      </c>
      <c r="BC190" s="31">
        <f t="shared" si="15"/>
        <v>10191183.284305289</v>
      </c>
      <c r="BD190" s="31">
        <v>250633.83000000005</v>
      </c>
    </row>
    <row r="191" spans="2:56">
      <c r="B191" s="42" t="s">
        <v>483</v>
      </c>
      <c r="C191" s="42" t="s">
        <v>484</v>
      </c>
      <c r="D191" s="43" t="s">
        <v>1049</v>
      </c>
      <c r="E191" s="44">
        <v>34</v>
      </c>
      <c r="F191" s="31">
        <v>586998.00635285024</v>
      </c>
      <c r="G191" s="31">
        <v>24312.62999999999</v>
      </c>
      <c r="H191" s="31">
        <v>0</v>
      </c>
      <c r="I191" s="31">
        <v>1412.37</v>
      </c>
      <c r="J191" s="31">
        <v>50799.773471523069</v>
      </c>
      <c r="K191" s="31">
        <v>126719.06494009375</v>
      </c>
      <c r="L191" s="31">
        <v>0</v>
      </c>
      <c r="M191" s="31">
        <f t="shared" si="12"/>
        <v>804466.21476446709</v>
      </c>
      <c r="N191" s="31">
        <v>14224.370000000003</v>
      </c>
      <c r="P191" s="42" t="s">
        <v>483</v>
      </c>
      <c r="Q191" s="42" t="s">
        <v>484</v>
      </c>
      <c r="R191" s="43" t="s">
        <v>1050</v>
      </c>
      <c r="S191" s="44">
        <v>34</v>
      </c>
      <c r="T191" s="31">
        <v>630798.56804087665</v>
      </c>
      <c r="U191" s="31">
        <v>26113.69</v>
      </c>
      <c r="V191" s="31">
        <v>0</v>
      </c>
      <c r="W191" s="31">
        <v>1503.6499999999999</v>
      </c>
      <c r="X191" s="31">
        <v>53808.547862762338</v>
      </c>
      <c r="Y191" s="31">
        <v>126995.06124483395</v>
      </c>
      <c r="Z191" s="31">
        <v>0</v>
      </c>
      <c r="AA191" s="31">
        <f t="shared" si="13"/>
        <v>854133.89714847296</v>
      </c>
      <c r="AB191" s="31">
        <v>14914.380000000001</v>
      </c>
      <c r="AD191" s="42" t="s">
        <v>483</v>
      </c>
      <c r="AE191" s="42" t="s">
        <v>484</v>
      </c>
      <c r="AF191" s="43" t="s">
        <v>1275</v>
      </c>
      <c r="AG191" s="44">
        <v>34</v>
      </c>
      <c r="AH191" s="31">
        <v>641840.64842350851</v>
      </c>
      <c r="AI191" s="31">
        <v>26567.73</v>
      </c>
      <c r="AJ191" s="31">
        <v>0</v>
      </c>
      <c r="AK191" s="31">
        <v>1529.9999999999998</v>
      </c>
      <c r="AL191" s="31">
        <v>54755.18553269015</v>
      </c>
      <c r="AM191" s="31">
        <v>126785.37849113395</v>
      </c>
      <c r="AN191" s="31">
        <v>0</v>
      </c>
      <c r="AO191" s="31">
        <f t="shared" si="14"/>
        <v>866658.03244733252</v>
      </c>
      <c r="AP191" s="31">
        <v>15179.09</v>
      </c>
      <c r="AR191" s="42" t="s">
        <v>483</v>
      </c>
      <c r="AS191" s="42" t="s">
        <v>484</v>
      </c>
      <c r="AT191" s="43" t="s">
        <v>1276</v>
      </c>
      <c r="AU191" s="44">
        <v>34</v>
      </c>
      <c r="AV191" s="31">
        <v>653667.03610230703</v>
      </c>
      <c r="AW191" s="31">
        <v>27054</v>
      </c>
      <c r="AX191" s="31">
        <v>0</v>
      </c>
      <c r="AY191" s="31">
        <v>1558.2100000000003</v>
      </c>
      <c r="AZ191" s="31">
        <v>55769.021682436556</v>
      </c>
      <c r="BA191" s="31">
        <v>126791.36942695394</v>
      </c>
      <c r="BB191" s="31">
        <v>0</v>
      </c>
      <c r="BC191" s="31">
        <f t="shared" si="15"/>
        <v>880302.2372116975</v>
      </c>
      <c r="BD191" s="31">
        <v>15462.599999999999</v>
      </c>
    </row>
    <row r="192" spans="2:56">
      <c r="B192" s="42" t="s">
        <v>395</v>
      </c>
      <c r="C192" s="42" t="s">
        <v>396</v>
      </c>
      <c r="D192" s="43" t="s">
        <v>1049</v>
      </c>
      <c r="E192" s="44">
        <v>34</v>
      </c>
      <c r="F192" s="31">
        <v>7055803.4804237569</v>
      </c>
      <c r="G192" s="31">
        <v>149572.36000000002</v>
      </c>
      <c r="H192" s="31">
        <v>57867.689999999995</v>
      </c>
      <c r="I192" s="31">
        <v>22414.3</v>
      </c>
      <c r="J192" s="31">
        <v>813462.92168334324</v>
      </c>
      <c r="K192" s="31">
        <v>202440.0676892247</v>
      </c>
      <c r="L192" s="31">
        <v>113634.68374271283</v>
      </c>
      <c r="M192" s="31">
        <f t="shared" si="12"/>
        <v>8415195.5035390388</v>
      </c>
      <c r="N192" s="31">
        <v>0</v>
      </c>
      <c r="P192" s="42" t="s">
        <v>395</v>
      </c>
      <c r="Q192" s="42" t="s">
        <v>396</v>
      </c>
      <c r="R192" s="43" t="s">
        <v>1050</v>
      </c>
      <c r="S192" s="44">
        <v>34</v>
      </c>
      <c r="T192" s="31">
        <v>7550802.1384055624</v>
      </c>
      <c r="U192" s="31">
        <v>159971.04999999999</v>
      </c>
      <c r="V192" s="31">
        <v>61809.599999999999</v>
      </c>
      <c r="W192" s="31">
        <v>23966.98</v>
      </c>
      <c r="X192" s="31">
        <v>865790.98752492806</v>
      </c>
      <c r="Y192" s="31">
        <v>202856.43326925486</v>
      </c>
      <c r="Z192" s="31">
        <v>121017.82085495855</v>
      </c>
      <c r="AA192" s="31">
        <f t="shared" si="13"/>
        <v>8986215.0100547038</v>
      </c>
      <c r="AB192" s="31">
        <v>0</v>
      </c>
      <c r="AD192" s="42" t="s">
        <v>395</v>
      </c>
      <c r="AE192" s="42" t="s">
        <v>396</v>
      </c>
      <c r="AF192" s="43" t="s">
        <v>1275</v>
      </c>
      <c r="AG192" s="44">
        <v>34</v>
      </c>
      <c r="AH192" s="31">
        <v>7713481.9328706618</v>
      </c>
      <c r="AI192" s="31">
        <v>162914.41</v>
      </c>
      <c r="AJ192" s="31">
        <v>62901.759999999995</v>
      </c>
      <c r="AK192" s="31">
        <v>24390.48</v>
      </c>
      <c r="AL192" s="31">
        <v>881843.12924148294</v>
      </c>
      <c r="AM192" s="31">
        <v>202533.39821705487</v>
      </c>
      <c r="AN192" s="31">
        <v>123273.0573295455</v>
      </c>
      <c r="AO192" s="31">
        <f t="shared" si="14"/>
        <v>9171338.1676587444</v>
      </c>
      <c r="AP192" s="31">
        <v>0</v>
      </c>
      <c r="AR192" s="42" t="s">
        <v>395</v>
      </c>
      <c r="AS192" s="42" t="s">
        <v>396</v>
      </c>
      <c r="AT192" s="43" t="s">
        <v>1276</v>
      </c>
      <c r="AU192" s="44">
        <v>34</v>
      </c>
      <c r="AV192" s="31">
        <v>7892401.9722637739</v>
      </c>
      <c r="AW192" s="31">
        <v>166300.53000000003</v>
      </c>
      <c r="AX192" s="31">
        <v>64309.209999999992</v>
      </c>
      <c r="AY192" s="31">
        <v>24962.920000000002</v>
      </c>
      <c r="AZ192" s="31">
        <v>899865.25403481524</v>
      </c>
      <c r="BA192" s="31">
        <v>202542.62778997485</v>
      </c>
      <c r="BB192" s="31">
        <v>125824.24917391432</v>
      </c>
      <c r="BC192" s="31">
        <f t="shared" si="15"/>
        <v>9376206.7632624786</v>
      </c>
      <c r="BD192" s="31">
        <v>0</v>
      </c>
    </row>
    <row r="193" spans="2:56">
      <c r="B193" s="42" t="s">
        <v>453</v>
      </c>
      <c r="C193" s="42" t="s">
        <v>454</v>
      </c>
      <c r="D193" s="43" t="s">
        <v>1049</v>
      </c>
      <c r="E193" s="44">
        <v>34</v>
      </c>
      <c r="F193" s="31">
        <v>743950.00742913526</v>
      </c>
      <c r="G193" s="31">
        <v>6626.11</v>
      </c>
      <c r="H193" s="31">
        <v>0</v>
      </c>
      <c r="I193" s="31">
        <v>0</v>
      </c>
      <c r="J193" s="31">
        <v>38147.509277400262</v>
      </c>
      <c r="K193" s="31">
        <v>32923.575338555747</v>
      </c>
      <c r="L193" s="31">
        <v>0</v>
      </c>
      <c r="M193" s="31">
        <f t="shared" si="12"/>
        <v>821647.2020450912</v>
      </c>
      <c r="N193" s="31">
        <v>0</v>
      </c>
      <c r="P193" s="42" t="s">
        <v>453</v>
      </c>
      <c r="Q193" s="42" t="s">
        <v>454</v>
      </c>
      <c r="R193" s="43" t="s">
        <v>1050</v>
      </c>
      <c r="S193" s="44">
        <v>34</v>
      </c>
      <c r="T193" s="31">
        <v>791382.39560139354</v>
      </c>
      <c r="U193" s="31">
        <v>7056.19</v>
      </c>
      <c r="V193" s="31">
        <v>0</v>
      </c>
      <c r="W193" s="31">
        <v>0</v>
      </c>
      <c r="X193" s="31">
        <v>40403.213072558399</v>
      </c>
      <c r="Y193" s="31">
        <v>33008.310920803378</v>
      </c>
      <c r="Z193" s="31">
        <v>0</v>
      </c>
      <c r="AA193" s="31">
        <f t="shared" si="13"/>
        <v>871850.10959475522</v>
      </c>
      <c r="AB193" s="31">
        <v>0</v>
      </c>
      <c r="AD193" s="42" t="s">
        <v>453</v>
      </c>
      <c r="AE193" s="42" t="s">
        <v>454</v>
      </c>
      <c r="AF193" s="43" t="s">
        <v>1275</v>
      </c>
      <c r="AG193" s="44">
        <v>34</v>
      </c>
      <c r="AH193" s="31">
        <v>805207.00181405083</v>
      </c>
      <c r="AI193" s="31">
        <v>7179.22</v>
      </c>
      <c r="AJ193" s="31">
        <v>0</v>
      </c>
      <c r="AK193" s="31">
        <v>0</v>
      </c>
      <c r="AL193" s="31">
        <v>41111.512150749608</v>
      </c>
      <c r="AM193" s="31">
        <v>32943.934732003385</v>
      </c>
      <c r="AN193" s="31">
        <v>0</v>
      </c>
      <c r="AO193" s="31">
        <f t="shared" si="14"/>
        <v>886441.66869680374</v>
      </c>
      <c r="AP193" s="31">
        <v>0</v>
      </c>
      <c r="AR193" s="42" t="s">
        <v>453</v>
      </c>
      <c r="AS193" s="42" t="s">
        <v>454</v>
      </c>
      <c r="AT193" s="43" t="s">
        <v>1276</v>
      </c>
      <c r="AU193" s="44">
        <v>34</v>
      </c>
      <c r="AV193" s="31">
        <v>820013.29596850672</v>
      </c>
      <c r="AW193" s="31">
        <v>7310.98</v>
      </c>
      <c r="AX193" s="31">
        <v>0</v>
      </c>
      <c r="AY193" s="31">
        <v>0</v>
      </c>
      <c r="AZ193" s="31">
        <v>41870.091273672384</v>
      </c>
      <c r="BA193" s="31">
        <v>32945.774051683387</v>
      </c>
      <c r="BB193" s="31">
        <v>0</v>
      </c>
      <c r="BC193" s="31">
        <f t="shared" si="15"/>
        <v>902140.14129386249</v>
      </c>
      <c r="BD193" s="31">
        <v>0</v>
      </c>
    </row>
    <row r="194" spans="2:56">
      <c r="B194" s="42" t="s">
        <v>105</v>
      </c>
      <c r="C194" s="42" t="s">
        <v>106</v>
      </c>
      <c r="D194" s="43" t="s">
        <v>1049</v>
      </c>
      <c r="E194" s="44">
        <v>34</v>
      </c>
      <c r="F194" s="31">
        <v>580280.6184730744</v>
      </c>
      <c r="G194" s="31">
        <v>15535.860000000004</v>
      </c>
      <c r="H194" s="31">
        <v>0</v>
      </c>
      <c r="I194" s="31">
        <v>1008.8100000000001</v>
      </c>
      <c r="J194" s="31">
        <v>42434.749134771206</v>
      </c>
      <c r="K194" s="31">
        <v>332269.71829718299</v>
      </c>
      <c r="L194" s="31">
        <v>0</v>
      </c>
      <c r="M194" s="31">
        <f t="shared" si="12"/>
        <v>981012.6659050287</v>
      </c>
      <c r="N194" s="31">
        <v>9482.91</v>
      </c>
      <c r="P194" s="42" t="s">
        <v>105</v>
      </c>
      <c r="Q194" s="42" t="s">
        <v>106</v>
      </c>
      <c r="R194" s="43" t="s">
        <v>1050</v>
      </c>
      <c r="S194" s="44">
        <v>34</v>
      </c>
      <c r="T194" s="31">
        <v>620794.95159771992</v>
      </c>
      <c r="U194" s="31">
        <v>16693.080000000002</v>
      </c>
      <c r="V194" s="31">
        <v>0</v>
      </c>
      <c r="W194" s="31">
        <v>1074.03</v>
      </c>
      <c r="X194" s="31">
        <v>44946.34102027303</v>
      </c>
      <c r="Y194" s="31">
        <v>333051.97639991483</v>
      </c>
      <c r="Z194" s="31">
        <v>0</v>
      </c>
      <c r="AA194" s="31">
        <f t="shared" si="13"/>
        <v>1026503.2990179078</v>
      </c>
      <c r="AB194" s="31">
        <v>9942.92</v>
      </c>
      <c r="AD194" s="42" t="s">
        <v>105</v>
      </c>
      <c r="AE194" s="42" t="s">
        <v>106</v>
      </c>
      <c r="AF194" s="43" t="s">
        <v>1275</v>
      </c>
      <c r="AG194" s="44">
        <v>34</v>
      </c>
      <c r="AH194" s="31">
        <v>631619.58573351987</v>
      </c>
      <c r="AI194" s="31">
        <v>16983.230000000003</v>
      </c>
      <c r="AJ194" s="31">
        <v>0</v>
      </c>
      <c r="AK194" s="31">
        <v>1092.8400000000001</v>
      </c>
      <c r="AL194" s="31">
        <v>45736.962937054035</v>
      </c>
      <c r="AM194" s="31">
        <v>332457.67122166482</v>
      </c>
      <c r="AN194" s="31">
        <v>0</v>
      </c>
      <c r="AO194" s="31">
        <f t="shared" si="14"/>
        <v>1038009.6898922386</v>
      </c>
      <c r="AP194" s="31">
        <v>10119.4</v>
      </c>
      <c r="AR194" s="42" t="s">
        <v>105</v>
      </c>
      <c r="AS194" s="42" t="s">
        <v>106</v>
      </c>
      <c r="AT194" s="43" t="s">
        <v>1276</v>
      </c>
      <c r="AU194" s="44">
        <v>34</v>
      </c>
      <c r="AV194" s="31">
        <v>643213.50259496178</v>
      </c>
      <c r="AW194" s="31">
        <v>17293.979999999996</v>
      </c>
      <c r="AX194" s="31">
        <v>0</v>
      </c>
      <c r="AY194" s="31">
        <v>1112.99</v>
      </c>
      <c r="AZ194" s="31">
        <v>46583.708520560896</v>
      </c>
      <c r="BA194" s="31">
        <v>332474.65136961482</v>
      </c>
      <c r="BB194" s="31">
        <v>0</v>
      </c>
      <c r="BC194" s="31">
        <f t="shared" si="15"/>
        <v>1050987.2324851374</v>
      </c>
      <c r="BD194" s="31">
        <v>10308.4</v>
      </c>
    </row>
    <row r="195" spans="2:56">
      <c r="B195" s="42" t="s">
        <v>89</v>
      </c>
      <c r="C195" s="42" t="s">
        <v>90</v>
      </c>
      <c r="D195" s="43" t="s">
        <v>1049</v>
      </c>
      <c r="E195" s="44">
        <v>34</v>
      </c>
      <c r="F195" s="31">
        <v>1201730.1683764947</v>
      </c>
      <c r="G195" s="31">
        <v>76784.88</v>
      </c>
      <c r="H195" s="31">
        <v>89744.75</v>
      </c>
      <c r="I195" s="31">
        <v>3897.71</v>
      </c>
      <c r="J195" s="31">
        <v>150004.61351045719</v>
      </c>
      <c r="K195" s="31">
        <v>270288.46799932304</v>
      </c>
      <c r="L195" s="31">
        <v>12749.332884176802</v>
      </c>
      <c r="M195" s="31">
        <f t="shared" si="12"/>
        <v>1844956.5427704516</v>
      </c>
      <c r="N195" s="31">
        <v>39756.620000000003</v>
      </c>
      <c r="P195" s="42" t="s">
        <v>89</v>
      </c>
      <c r="Q195" s="42" t="s">
        <v>90</v>
      </c>
      <c r="R195" s="43" t="s">
        <v>1050</v>
      </c>
      <c r="S195" s="44">
        <v>34</v>
      </c>
      <c r="T195" s="31">
        <v>1303669.040356562</v>
      </c>
      <c r="U195" s="31">
        <v>82847.950000000012</v>
      </c>
      <c r="V195" s="31">
        <v>96088.85</v>
      </c>
      <c r="W195" s="31">
        <v>4150.7</v>
      </c>
      <c r="X195" s="31">
        <v>159677.20277230302</v>
      </c>
      <c r="Y195" s="31">
        <v>270891.57036189764</v>
      </c>
      <c r="Z195" s="31">
        <v>13648.253972589569</v>
      </c>
      <c r="AA195" s="31">
        <f t="shared" si="13"/>
        <v>1972854.3274633521</v>
      </c>
      <c r="AB195" s="31">
        <v>41880.76</v>
      </c>
      <c r="AD195" s="42" t="s">
        <v>89</v>
      </c>
      <c r="AE195" s="42" t="s">
        <v>90</v>
      </c>
      <c r="AF195" s="43" t="s">
        <v>1275</v>
      </c>
      <c r="AG195" s="44">
        <v>34</v>
      </c>
      <c r="AH195" s="31">
        <v>1327715.7606322546</v>
      </c>
      <c r="AI195" s="31">
        <v>84388.039999999979</v>
      </c>
      <c r="AJ195" s="31">
        <v>97764.140000000014</v>
      </c>
      <c r="AK195" s="31">
        <v>4223.08</v>
      </c>
      <c r="AL195" s="31">
        <v>162605.57038334559</v>
      </c>
      <c r="AM195" s="31">
        <v>270433.37522676116</v>
      </c>
      <c r="AN195" s="31">
        <v>13996.400811673462</v>
      </c>
      <c r="AO195" s="31">
        <f t="shared" si="14"/>
        <v>2003747.2470540353</v>
      </c>
      <c r="AP195" s="31">
        <v>42620.880000000005</v>
      </c>
      <c r="AR195" s="42" t="s">
        <v>89</v>
      </c>
      <c r="AS195" s="42" t="s">
        <v>90</v>
      </c>
      <c r="AT195" s="43" t="s">
        <v>1276</v>
      </c>
      <c r="AU195" s="44">
        <v>34</v>
      </c>
      <c r="AV195" s="31">
        <v>1354601.9964790517</v>
      </c>
      <c r="AW195" s="31">
        <v>86035.489999999991</v>
      </c>
      <c r="AX195" s="31">
        <v>99773.420000000013</v>
      </c>
      <c r="AY195" s="31">
        <v>4300.579999999999</v>
      </c>
      <c r="AZ195" s="31">
        <v>165886.13560252849</v>
      </c>
      <c r="BA195" s="31">
        <v>270446.46651633654</v>
      </c>
      <c r="BB195" s="31">
        <v>14259.89005576049</v>
      </c>
      <c r="BC195" s="31">
        <f t="shared" si="15"/>
        <v>2038823.418653677</v>
      </c>
      <c r="BD195" s="31">
        <v>43519.439999999995</v>
      </c>
    </row>
    <row r="196" spans="2:56">
      <c r="B196" s="42" t="s">
        <v>341</v>
      </c>
      <c r="C196" s="42" t="s">
        <v>342</v>
      </c>
      <c r="D196" s="43" t="s">
        <v>1049</v>
      </c>
      <c r="E196" s="44">
        <v>34</v>
      </c>
      <c r="F196" s="31">
        <v>4697330.575340094</v>
      </c>
      <c r="G196" s="31">
        <v>238734.71000000002</v>
      </c>
      <c r="H196" s="31">
        <v>101535.32</v>
      </c>
      <c r="I196" s="31">
        <v>0</v>
      </c>
      <c r="J196" s="31">
        <v>597525.68906491285</v>
      </c>
      <c r="K196" s="31">
        <v>251361.99620982501</v>
      </c>
      <c r="L196" s="31">
        <v>255975.68077863537</v>
      </c>
      <c r="M196" s="31">
        <f t="shared" si="12"/>
        <v>6291941.1113934675</v>
      </c>
      <c r="N196" s="31">
        <v>149477.14000000001</v>
      </c>
      <c r="P196" s="42" t="s">
        <v>341</v>
      </c>
      <c r="Q196" s="42" t="s">
        <v>342</v>
      </c>
      <c r="R196" s="43" t="s">
        <v>1050</v>
      </c>
      <c r="S196" s="44">
        <v>34</v>
      </c>
      <c r="T196" s="31">
        <v>5062233.5522707039</v>
      </c>
      <c r="U196" s="31">
        <v>257973.19000000003</v>
      </c>
      <c r="V196" s="31">
        <v>108540.97000000002</v>
      </c>
      <c r="W196" s="31">
        <v>0</v>
      </c>
      <c r="X196" s="31">
        <v>636082.77891840064</v>
      </c>
      <c r="Y196" s="31">
        <v>251957.29753065552</v>
      </c>
      <c r="Z196" s="31">
        <v>275408.13416649547</v>
      </c>
      <c r="AA196" s="31">
        <f t="shared" si="13"/>
        <v>6749708.4128862564</v>
      </c>
      <c r="AB196" s="31">
        <v>157512.49000000002</v>
      </c>
      <c r="AD196" s="42" t="s">
        <v>341</v>
      </c>
      <c r="AE196" s="42" t="s">
        <v>342</v>
      </c>
      <c r="AF196" s="43" t="s">
        <v>1275</v>
      </c>
      <c r="AG196" s="44">
        <v>34</v>
      </c>
      <c r="AH196" s="31">
        <v>5155918.8350539673</v>
      </c>
      <c r="AI196" s="31">
        <v>262646.31999999995</v>
      </c>
      <c r="AJ196" s="31">
        <v>110750.09</v>
      </c>
      <c r="AK196" s="31">
        <v>0</v>
      </c>
      <c r="AL196" s="31">
        <v>647741.83636128646</v>
      </c>
      <c r="AM196" s="31">
        <v>251505.02908325553</v>
      </c>
      <c r="AN196" s="31">
        <v>280396.72914893966</v>
      </c>
      <c r="AO196" s="31">
        <f t="shared" si="14"/>
        <v>6869358.8796474487</v>
      </c>
      <c r="AP196" s="31">
        <v>160400.04</v>
      </c>
      <c r="AR196" s="42" t="s">
        <v>341</v>
      </c>
      <c r="AS196" s="42" t="s">
        <v>342</v>
      </c>
      <c r="AT196" s="43" t="s">
        <v>1276</v>
      </c>
      <c r="AU196" s="44">
        <v>34</v>
      </c>
      <c r="AV196" s="31">
        <v>5260781.4693244109</v>
      </c>
      <c r="AW196" s="31">
        <v>267860.53999999992</v>
      </c>
      <c r="AX196" s="31">
        <v>112782.66</v>
      </c>
      <c r="AY196" s="31">
        <v>0</v>
      </c>
      <c r="AZ196" s="31">
        <v>660858.20880755119</v>
      </c>
      <c r="BA196" s="31">
        <v>251517.95103889555</v>
      </c>
      <c r="BB196" s="31">
        <v>286083.15266947873</v>
      </c>
      <c r="BC196" s="31">
        <f t="shared" si="15"/>
        <v>7003478.9418403367</v>
      </c>
      <c r="BD196" s="31">
        <v>163594.96</v>
      </c>
    </row>
    <row r="197" spans="2:56">
      <c r="B197" s="42" t="s">
        <v>375</v>
      </c>
      <c r="C197" s="42" t="s">
        <v>376</v>
      </c>
      <c r="D197" s="43" t="s">
        <v>1049</v>
      </c>
      <c r="E197" s="44">
        <v>34</v>
      </c>
      <c r="F197" s="31">
        <v>21045219.589709699</v>
      </c>
      <c r="G197" s="31">
        <v>537941.72000000009</v>
      </c>
      <c r="H197" s="31">
        <v>106603.35999999999</v>
      </c>
      <c r="I197" s="31">
        <v>76951.420000000013</v>
      </c>
      <c r="J197" s="31">
        <v>3551729.2492769272</v>
      </c>
      <c r="K197" s="31">
        <v>1512852.7542255726</v>
      </c>
      <c r="L197" s="31">
        <v>2573148.2718259608</v>
      </c>
      <c r="M197" s="31">
        <f t="shared" ref="M197:M260" si="16">SUM(F197:L197,N197)</f>
        <v>29404446.365038164</v>
      </c>
      <c r="N197" s="31">
        <v>0</v>
      </c>
      <c r="P197" s="42" t="s">
        <v>375</v>
      </c>
      <c r="Q197" s="42" t="s">
        <v>376</v>
      </c>
      <c r="R197" s="43" t="s">
        <v>1050</v>
      </c>
      <c r="S197" s="44">
        <v>34</v>
      </c>
      <c r="T197" s="31">
        <v>22509227.479860149</v>
      </c>
      <c r="U197" s="31">
        <v>575486.12000000011</v>
      </c>
      <c r="V197" s="31">
        <v>113917.62000000001</v>
      </c>
      <c r="W197" s="31">
        <v>82243.510000000009</v>
      </c>
      <c r="X197" s="31">
        <v>3780517.969508782</v>
      </c>
      <c r="Y197" s="31">
        <v>1515973.4952333614</v>
      </c>
      <c r="Z197" s="31">
        <v>2744008.2538375324</v>
      </c>
      <c r="AA197" s="31">
        <f t="shared" ref="AA197:AA260" si="17">SUM(T197:Z197,AB197)</f>
        <v>31321374.448439829</v>
      </c>
      <c r="AB197" s="31">
        <v>0</v>
      </c>
      <c r="AD197" s="42" t="s">
        <v>375</v>
      </c>
      <c r="AE197" s="42" t="s">
        <v>376</v>
      </c>
      <c r="AF197" s="43" t="s">
        <v>1275</v>
      </c>
      <c r="AG197" s="44">
        <v>34</v>
      </c>
      <c r="AH197" s="31">
        <v>22929750.626698893</v>
      </c>
      <c r="AI197" s="31">
        <v>586035.14999999991</v>
      </c>
      <c r="AJ197" s="31">
        <v>116028.95</v>
      </c>
      <c r="AK197" s="31">
        <v>83798.689999999988</v>
      </c>
      <c r="AL197" s="31">
        <v>3850143.5537372772</v>
      </c>
      <c r="AM197" s="31">
        <v>1513576.5558861452</v>
      </c>
      <c r="AN197" s="31">
        <v>2794736.5516627589</v>
      </c>
      <c r="AO197" s="31">
        <f t="shared" ref="AO197:AO260" si="18">SUM(AH197:AN197,AP197)</f>
        <v>31874070.077985074</v>
      </c>
      <c r="AP197" s="31">
        <v>0</v>
      </c>
      <c r="AR197" s="42" t="s">
        <v>375</v>
      </c>
      <c r="AS197" s="42" t="s">
        <v>376</v>
      </c>
      <c r="AT197" s="43" t="s">
        <v>1276</v>
      </c>
      <c r="AU197" s="44">
        <v>34</v>
      </c>
      <c r="AV197" s="31">
        <v>23402489.603216112</v>
      </c>
      <c r="AW197" s="31">
        <v>597883.99</v>
      </c>
      <c r="AX197" s="31">
        <v>118286.39</v>
      </c>
      <c r="AY197" s="31">
        <v>85460.52</v>
      </c>
      <c r="AZ197" s="31">
        <v>3928471.9771721726</v>
      </c>
      <c r="BA197" s="31">
        <v>1513645.0398674943</v>
      </c>
      <c r="BB197" s="31">
        <v>2851813.7642752728</v>
      </c>
      <c r="BC197" s="31">
        <f t="shared" ref="BC197:BC260" si="19">SUM(AV197:BB197,BD197)</f>
        <v>32498051.284531049</v>
      </c>
      <c r="BD197" s="31">
        <v>0</v>
      </c>
    </row>
    <row r="198" spans="2:56">
      <c r="B198" s="42" t="s">
        <v>7</v>
      </c>
      <c r="C198" s="42" t="s">
        <v>8</v>
      </c>
      <c r="D198" s="43" t="s">
        <v>1049</v>
      </c>
      <c r="E198" s="44">
        <v>34</v>
      </c>
      <c r="F198" s="31">
        <v>36347326.735194393</v>
      </c>
      <c r="G198" s="31">
        <v>2267102.59</v>
      </c>
      <c r="H198" s="31">
        <v>2886935.8000000007</v>
      </c>
      <c r="I198" s="31">
        <v>125116.46000000002</v>
      </c>
      <c r="J198" s="31">
        <v>5470856.796871393</v>
      </c>
      <c r="K198" s="31">
        <v>2096029.985005335</v>
      </c>
      <c r="L198" s="31">
        <v>2324009.8452922851</v>
      </c>
      <c r="M198" s="31">
        <f t="shared" si="16"/>
        <v>52803622.252363399</v>
      </c>
      <c r="N198" s="31">
        <v>1286244.04</v>
      </c>
      <c r="P198" s="42" t="s">
        <v>7</v>
      </c>
      <c r="Q198" s="42" t="s">
        <v>8</v>
      </c>
      <c r="R198" s="43" t="s">
        <v>1050</v>
      </c>
      <c r="S198" s="44">
        <v>34</v>
      </c>
      <c r="T198" s="31">
        <v>39301350.939244777</v>
      </c>
      <c r="U198" s="31">
        <v>2447570.1599999997</v>
      </c>
      <c r="V198" s="31">
        <v>3089370.6100000003</v>
      </c>
      <c r="W198" s="31">
        <v>133964.04</v>
      </c>
      <c r="X198" s="31">
        <v>5823869.1847812524</v>
      </c>
      <c r="Y198" s="31">
        <v>2100363.1516881776</v>
      </c>
      <c r="Z198" s="31">
        <v>2503042.7765134918</v>
      </c>
      <c r="AA198" s="31">
        <f t="shared" si="17"/>
        <v>56754526.412227698</v>
      </c>
      <c r="AB198" s="31">
        <v>1354995.5500000003</v>
      </c>
      <c r="AD198" s="42" t="s">
        <v>7</v>
      </c>
      <c r="AE198" s="42" t="s">
        <v>8</v>
      </c>
      <c r="AF198" s="43" t="s">
        <v>1275</v>
      </c>
      <c r="AG198" s="44">
        <v>34</v>
      </c>
      <c r="AH198" s="31">
        <v>40027767.528249308</v>
      </c>
      <c r="AI198" s="31">
        <v>2491838.1899999995</v>
      </c>
      <c r="AJ198" s="31">
        <v>3145661.58</v>
      </c>
      <c r="AK198" s="31">
        <v>136405.27000000002</v>
      </c>
      <c r="AL198" s="31">
        <v>5930578.4717694568</v>
      </c>
      <c r="AM198" s="31">
        <v>2097071.1136909486</v>
      </c>
      <c r="AN198" s="31">
        <v>2548952.8309409614</v>
      </c>
      <c r="AO198" s="31">
        <f t="shared" si="18"/>
        <v>57758255.794650681</v>
      </c>
      <c r="AP198" s="31">
        <v>1379980.8099999998</v>
      </c>
      <c r="AR198" s="42" t="s">
        <v>7</v>
      </c>
      <c r="AS198" s="42" t="s">
        <v>8</v>
      </c>
      <c r="AT198" s="43" t="s">
        <v>1276</v>
      </c>
      <c r="AU198" s="44">
        <v>34</v>
      </c>
      <c r="AV198" s="31">
        <v>40845200.821812429</v>
      </c>
      <c r="AW198" s="31">
        <v>2541569.5</v>
      </c>
      <c r="AX198" s="31">
        <v>3208768.81</v>
      </c>
      <c r="AY198" s="31">
        <v>139123.70000000001</v>
      </c>
      <c r="AZ198" s="31">
        <v>6050619.0839816891</v>
      </c>
      <c r="BA198" s="31">
        <v>2097165.1719194409</v>
      </c>
      <c r="BB198" s="31">
        <v>2600634.7927920627</v>
      </c>
      <c r="BC198" s="31">
        <f t="shared" si="19"/>
        <v>58891163.260505624</v>
      </c>
      <c r="BD198" s="31">
        <v>1408081.38</v>
      </c>
    </row>
    <row r="199" spans="2:56">
      <c r="B199" s="42" t="s">
        <v>93</v>
      </c>
      <c r="C199" s="42" t="s">
        <v>94</v>
      </c>
      <c r="D199" s="43" t="s">
        <v>1049</v>
      </c>
      <c r="E199" s="44">
        <v>34</v>
      </c>
      <c r="F199" s="31">
        <v>403263.79399110691</v>
      </c>
      <c r="G199" s="31">
        <v>12472.669999999998</v>
      </c>
      <c r="H199" s="31">
        <v>12570.099999999999</v>
      </c>
      <c r="I199" s="31">
        <v>0</v>
      </c>
      <c r="J199" s="31">
        <v>48951.989249271959</v>
      </c>
      <c r="K199" s="31">
        <v>93000.615266374734</v>
      </c>
      <c r="L199" s="31">
        <v>0</v>
      </c>
      <c r="M199" s="31">
        <f t="shared" si="16"/>
        <v>576592.94850675366</v>
      </c>
      <c r="N199" s="31">
        <v>6333.78</v>
      </c>
      <c r="P199" s="42" t="s">
        <v>93</v>
      </c>
      <c r="Q199" s="42" t="s">
        <v>94</v>
      </c>
      <c r="R199" s="43" t="s">
        <v>1050</v>
      </c>
      <c r="S199" s="44">
        <v>34</v>
      </c>
      <c r="T199" s="31">
        <v>431121.70948295883</v>
      </c>
      <c r="U199" s="31">
        <v>13387.519999999997</v>
      </c>
      <c r="V199" s="31">
        <v>13386.019999999999</v>
      </c>
      <c r="W199" s="31">
        <v>0</v>
      </c>
      <c r="X199" s="31">
        <v>51850.302781185994</v>
      </c>
      <c r="Y199" s="31">
        <v>93194.283067259399</v>
      </c>
      <c r="Z199" s="31">
        <v>0</v>
      </c>
      <c r="AA199" s="31">
        <f t="shared" si="17"/>
        <v>609579.47533140425</v>
      </c>
      <c r="AB199" s="31">
        <v>6639.64</v>
      </c>
      <c r="AD199" s="42" t="s">
        <v>93</v>
      </c>
      <c r="AE199" s="42" t="s">
        <v>94</v>
      </c>
      <c r="AF199" s="43" t="s">
        <v>1275</v>
      </c>
      <c r="AG199" s="44">
        <v>34</v>
      </c>
      <c r="AH199" s="31">
        <v>438610.87770004477</v>
      </c>
      <c r="AI199" s="31">
        <v>13619.359999999993</v>
      </c>
      <c r="AJ199" s="31">
        <v>13619.41</v>
      </c>
      <c r="AK199" s="31">
        <v>0</v>
      </c>
      <c r="AL199" s="31">
        <v>52759.539418419838</v>
      </c>
      <c r="AM199" s="31">
        <v>93047.147771985256</v>
      </c>
      <c r="AN199" s="31">
        <v>0</v>
      </c>
      <c r="AO199" s="31">
        <f t="shared" si="18"/>
        <v>618413.30489044974</v>
      </c>
      <c r="AP199" s="31">
        <v>6756.97</v>
      </c>
      <c r="AR199" s="42" t="s">
        <v>93</v>
      </c>
      <c r="AS199" s="42" t="s">
        <v>94</v>
      </c>
      <c r="AT199" s="43" t="s">
        <v>1276</v>
      </c>
      <c r="AU199" s="44">
        <v>34</v>
      </c>
      <c r="AV199" s="31">
        <v>446632.34163974365</v>
      </c>
      <c r="AW199" s="31">
        <v>13867.649999999996</v>
      </c>
      <c r="AX199" s="31">
        <v>13869.359999999999</v>
      </c>
      <c r="AY199" s="31">
        <v>0</v>
      </c>
      <c r="AZ199" s="31">
        <v>53733.319637034307</v>
      </c>
      <c r="BA199" s="31">
        <v>93051.351637564512</v>
      </c>
      <c r="BB199" s="31">
        <v>0</v>
      </c>
      <c r="BC199" s="31">
        <f t="shared" si="19"/>
        <v>628036.67291434249</v>
      </c>
      <c r="BD199" s="31">
        <v>6882.65</v>
      </c>
    </row>
    <row r="200" spans="2:56">
      <c r="B200" s="42" t="s">
        <v>565</v>
      </c>
      <c r="C200" s="42" t="s">
        <v>566</v>
      </c>
      <c r="D200" s="43" t="s">
        <v>1049</v>
      </c>
      <c r="E200" s="44">
        <v>34</v>
      </c>
      <c r="F200" s="31">
        <v>2210879.432647232</v>
      </c>
      <c r="G200" s="31">
        <v>34689.61</v>
      </c>
      <c r="H200" s="31">
        <v>0</v>
      </c>
      <c r="I200" s="31">
        <v>0</v>
      </c>
      <c r="J200" s="31">
        <v>163641.20748194394</v>
      </c>
      <c r="K200" s="31">
        <v>0</v>
      </c>
      <c r="L200" s="31">
        <v>85352.69647737511</v>
      </c>
      <c r="M200" s="31">
        <f t="shared" si="16"/>
        <v>2494562.9466065508</v>
      </c>
      <c r="N200" s="31">
        <v>0</v>
      </c>
      <c r="P200" s="42" t="s">
        <v>565</v>
      </c>
      <c r="Q200" s="42" t="s">
        <v>566</v>
      </c>
      <c r="R200" s="43" t="s">
        <v>1050</v>
      </c>
      <c r="S200" s="44">
        <v>34</v>
      </c>
      <c r="T200" s="31">
        <v>2352940.1418359773</v>
      </c>
      <c r="U200" s="31">
        <v>37148.82</v>
      </c>
      <c r="V200" s="31">
        <v>0</v>
      </c>
      <c r="W200" s="31">
        <v>0</v>
      </c>
      <c r="X200" s="31">
        <v>174193.15509629546</v>
      </c>
      <c r="Y200" s="31">
        <v>0</v>
      </c>
      <c r="Z200" s="31">
        <v>91047.660092354694</v>
      </c>
      <c r="AA200" s="31">
        <f t="shared" si="17"/>
        <v>2655329.7770246272</v>
      </c>
      <c r="AB200" s="31">
        <v>0</v>
      </c>
      <c r="AD200" s="42" t="s">
        <v>565</v>
      </c>
      <c r="AE200" s="42" t="s">
        <v>566</v>
      </c>
      <c r="AF200" s="43" t="s">
        <v>1275</v>
      </c>
      <c r="AG200" s="44">
        <v>34</v>
      </c>
      <c r="AH200" s="31">
        <v>2394729.8012213465</v>
      </c>
      <c r="AI200" s="31">
        <v>37796.5</v>
      </c>
      <c r="AJ200" s="31">
        <v>0</v>
      </c>
      <c r="AK200" s="31">
        <v>0</v>
      </c>
      <c r="AL200" s="31">
        <v>177383.34416643917</v>
      </c>
      <c r="AM200" s="31">
        <v>0</v>
      </c>
      <c r="AN200" s="31">
        <v>92768.136650313958</v>
      </c>
      <c r="AO200" s="31">
        <f t="shared" si="18"/>
        <v>2702677.7820380996</v>
      </c>
      <c r="AP200" s="31">
        <v>0</v>
      </c>
      <c r="AR200" s="42" t="s">
        <v>565</v>
      </c>
      <c r="AS200" s="42" t="s">
        <v>566</v>
      </c>
      <c r="AT200" s="43" t="s">
        <v>1276</v>
      </c>
      <c r="AU200" s="44">
        <v>34</v>
      </c>
      <c r="AV200" s="31">
        <v>2440488.8718922315</v>
      </c>
      <c r="AW200" s="31">
        <v>38597.699999999997</v>
      </c>
      <c r="AX200" s="31">
        <v>0</v>
      </c>
      <c r="AY200" s="31">
        <v>0</v>
      </c>
      <c r="AZ200" s="31">
        <v>180979.86160883406</v>
      </c>
      <c r="BA200" s="31">
        <v>0</v>
      </c>
      <c r="BB200" s="31">
        <v>94623.167946203073</v>
      </c>
      <c r="BC200" s="31">
        <f t="shared" si="19"/>
        <v>2754689.6014472689</v>
      </c>
      <c r="BD200" s="31">
        <v>0</v>
      </c>
    </row>
    <row r="201" spans="2:56">
      <c r="B201" s="42" t="s">
        <v>111</v>
      </c>
      <c r="C201" s="42" t="s">
        <v>112</v>
      </c>
      <c r="D201" s="43" t="s">
        <v>1049</v>
      </c>
      <c r="E201" s="44">
        <v>34</v>
      </c>
      <c r="F201" s="31">
        <v>146711126.16986844</v>
      </c>
      <c r="G201" s="31">
        <v>8277272.7699999977</v>
      </c>
      <c r="H201" s="31">
        <v>9979792.1700000018</v>
      </c>
      <c r="I201" s="31">
        <v>507481.75</v>
      </c>
      <c r="J201" s="31">
        <v>20982185.700044595</v>
      </c>
      <c r="K201" s="31">
        <v>8015744.0452046283</v>
      </c>
      <c r="L201" s="31">
        <v>10579337.216825472</v>
      </c>
      <c r="M201" s="31">
        <f t="shared" si="16"/>
        <v>209846927.30194318</v>
      </c>
      <c r="N201" s="31">
        <v>4793987.4800000004</v>
      </c>
      <c r="P201" s="42" t="s">
        <v>111</v>
      </c>
      <c r="Q201" s="42" t="s">
        <v>112</v>
      </c>
      <c r="R201" s="43" t="s">
        <v>1050</v>
      </c>
      <c r="S201" s="44">
        <v>34</v>
      </c>
      <c r="T201" s="31">
        <v>158612144.57897455</v>
      </c>
      <c r="U201" s="31">
        <v>8937776.2100000009</v>
      </c>
      <c r="V201" s="31">
        <v>10679663.279999999</v>
      </c>
      <c r="W201" s="31">
        <v>543016.15</v>
      </c>
      <c r="X201" s="31">
        <v>22335978.013150342</v>
      </c>
      <c r="Y201" s="31">
        <v>8034665.1063383538</v>
      </c>
      <c r="Z201" s="31">
        <v>11393490.01881548</v>
      </c>
      <c r="AA201" s="31">
        <f t="shared" si="17"/>
        <v>225586837.02727872</v>
      </c>
      <c r="AB201" s="31">
        <v>5050103.67</v>
      </c>
      <c r="AD201" s="42" t="s">
        <v>111</v>
      </c>
      <c r="AE201" s="42" t="s">
        <v>112</v>
      </c>
      <c r="AF201" s="43" t="s">
        <v>1275</v>
      </c>
      <c r="AG201" s="44">
        <v>34</v>
      </c>
      <c r="AH201" s="31">
        <v>161563128.85570258</v>
      </c>
      <c r="AI201" s="31">
        <v>9099223.379999999</v>
      </c>
      <c r="AJ201" s="31">
        <v>10873990.93</v>
      </c>
      <c r="AK201" s="31">
        <v>552905.85</v>
      </c>
      <c r="AL201" s="31">
        <v>22745227.477052629</v>
      </c>
      <c r="AM201" s="31">
        <v>8020290.2030033972</v>
      </c>
      <c r="AN201" s="31">
        <v>11602909.295627588</v>
      </c>
      <c r="AO201" s="31">
        <f t="shared" si="18"/>
        <v>229600872.22138619</v>
      </c>
      <c r="AP201" s="31">
        <v>5143196.2300000004</v>
      </c>
      <c r="AR201" s="42" t="s">
        <v>111</v>
      </c>
      <c r="AS201" s="42" t="s">
        <v>112</v>
      </c>
      <c r="AT201" s="43" t="s">
        <v>1276</v>
      </c>
      <c r="AU201" s="44">
        <v>34</v>
      </c>
      <c r="AV201" s="31">
        <v>164877809.0656535</v>
      </c>
      <c r="AW201" s="31">
        <v>9280899.4500000011</v>
      </c>
      <c r="AX201" s="31">
        <v>11092588.5</v>
      </c>
      <c r="AY201" s="31">
        <v>564020.80999999994</v>
      </c>
      <c r="AZ201" s="31">
        <v>23205662.459024083</v>
      </c>
      <c r="BA201" s="31">
        <v>8020700.9145272523</v>
      </c>
      <c r="BB201" s="31">
        <v>11837923.842229405</v>
      </c>
      <c r="BC201" s="31">
        <f t="shared" si="19"/>
        <v>234127455.9514342</v>
      </c>
      <c r="BD201" s="31">
        <v>5247850.91</v>
      </c>
    </row>
    <row r="202" spans="2:56">
      <c r="B202" s="42" t="s">
        <v>335</v>
      </c>
      <c r="C202" s="42" t="s">
        <v>336</v>
      </c>
      <c r="D202" s="43" t="s">
        <v>1049</v>
      </c>
      <c r="E202" s="44">
        <v>34</v>
      </c>
      <c r="F202" s="31">
        <v>3263872.2500538221</v>
      </c>
      <c r="G202" s="31">
        <v>137502.41000000003</v>
      </c>
      <c r="H202" s="31">
        <v>57301.08</v>
      </c>
      <c r="I202" s="31">
        <v>8574.99</v>
      </c>
      <c r="J202" s="31">
        <v>370516.36197021039</v>
      </c>
      <c r="K202" s="31">
        <v>197071.99173807609</v>
      </c>
      <c r="L202" s="31">
        <v>101937.06604758077</v>
      </c>
      <c r="M202" s="31">
        <f t="shared" si="16"/>
        <v>4218490.69980969</v>
      </c>
      <c r="N202" s="31">
        <v>81714.55</v>
      </c>
      <c r="P202" s="42" t="s">
        <v>335</v>
      </c>
      <c r="Q202" s="42" t="s">
        <v>336</v>
      </c>
      <c r="R202" s="43" t="s">
        <v>1050</v>
      </c>
      <c r="S202" s="44">
        <v>34</v>
      </c>
      <c r="T202" s="31">
        <v>3508060.999697519</v>
      </c>
      <c r="U202" s="31">
        <v>148467.30000000002</v>
      </c>
      <c r="V202" s="31">
        <v>61219.89</v>
      </c>
      <c r="W202" s="31">
        <v>9129.27</v>
      </c>
      <c r="X202" s="31">
        <v>394408.27865318116</v>
      </c>
      <c r="Y202" s="31">
        <v>197609.7271251046</v>
      </c>
      <c r="Z202" s="31">
        <v>109656.36407043407</v>
      </c>
      <c r="AA202" s="31">
        <f t="shared" si="17"/>
        <v>4514653.3595462395</v>
      </c>
      <c r="AB202" s="31">
        <v>86101.53</v>
      </c>
      <c r="AD202" s="42" t="s">
        <v>335</v>
      </c>
      <c r="AE202" s="42" t="s">
        <v>336</v>
      </c>
      <c r="AF202" s="43" t="s">
        <v>1275</v>
      </c>
      <c r="AG202" s="44">
        <v>34</v>
      </c>
      <c r="AH202" s="31">
        <v>3572360.0350382207</v>
      </c>
      <c r="AI202" s="31">
        <v>151157.64000000001</v>
      </c>
      <c r="AJ202" s="31">
        <v>62401.659999999996</v>
      </c>
      <c r="AK202" s="31">
        <v>9289.1999999999989</v>
      </c>
      <c r="AL202" s="31">
        <v>401639.47057625931</v>
      </c>
      <c r="AM202" s="31">
        <v>197201.19326150735</v>
      </c>
      <c r="AN202" s="31">
        <v>111715.21785576791</v>
      </c>
      <c r="AO202" s="31">
        <f t="shared" si="18"/>
        <v>4593394.136731755</v>
      </c>
      <c r="AP202" s="31">
        <v>87629.72</v>
      </c>
      <c r="AR202" s="42" t="s">
        <v>335</v>
      </c>
      <c r="AS202" s="42" t="s">
        <v>336</v>
      </c>
      <c r="AT202" s="43" t="s">
        <v>1276</v>
      </c>
      <c r="AU202" s="44">
        <v>34</v>
      </c>
      <c r="AV202" s="31">
        <v>3643768.0545240208</v>
      </c>
      <c r="AW202" s="31">
        <v>154149.89000000001</v>
      </c>
      <c r="AX202" s="31">
        <v>63774.87</v>
      </c>
      <c r="AY202" s="31">
        <v>9571.8000000000011</v>
      </c>
      <c r="AZ202" s="31">
        <v>409796.61097351642</v>
      </c>
      <c r="BA202" s="31">
        <v>197212.86565761012</v>
      </c>
      <c r="BB202" s="31">
        <v>113935.28729581714</v>
      </c>
      <c r="BC202" s="31">
        <f t="shared" si="19"/>
        <v>4681695.1284509646</v>
      </c>
      <c r="BD202" s="31">
        <v>89485.75</v>
      </c>
    </row>
    <row r="203" spans="2:56">
      <c r="B203" s="42" t="s">
        <v>19</v>
      </c>
      <c r="C203" s="42" t="s">
        <v>20</v>
      </c>
      <c r="D203" s="43" t="s">
        <v>1049</v>
      </c>
      <c r="E203" s="44">
        <v>34</v>
      </c>
      <c r="F203" s="31">
        <v>1239863.3363786475</v>
      </c>
      <c r="G203" s="31">
        <v>88088.22</v>
      </c>
      <c r="H203" s="31">
        <v>42972.24</v>
      </c>
      <c r="I203" s="31">
        <v>0</v>
      </c>
      <c r="J203" s="31">
        <v>181282.11538752014</v>
      </c>
      <c r="K203" s="31">
        <v>332092.50042596896</v>
      </c>
      <c r="L203" s="31">
        <v>0</v>
      </c>
      <c r="M203" s="31">
        <f t="shared" si="16"/>
        <v>1924932.0421921364</v>
      </c>
      <c r="N203" s="31">
        <v>40633.629999999997</v>
      </c>
      <c r="P203" s="42" t="s">
        <v>19</v>
      </c>
      <c r="Q203" s="42" t="s">
        <v>20</v>
      </c>
      <c r="R203" s="43" t="s">
        <v>1050</v>
      </c>
      <c r="S203" s="44">
        <v>34</v>
      </c>
      <c r="T203" s="31">
        <v>1345417.6215659126</v>
      </c>
      <c r="U203" s="31">
        <v>94899.58</v>
      </c>
      <c r="V203" s="31">
        <v>45865.310000000005</v>
      </c>
      <c r="W203" s="31">
        <v>0</v>
      </c>
      <c r="X203" s="31">
        <v>192976.92412198635</v>
      </c>
      <c r="Y203" s="31">
        <v>332894.93335327238</v>
      </c>
      <c r="Z203" s="31">
        <v>0</v>
      </c>
      <c r="AA203" s="31">
        <f t="shared" si="17"/>
        <v>2054854.4690411715</v>
      </c>
      <c r="AB203" s="31">
        <v>42800.099999999991</v>
      </c>
      <c r="AD203" s="42" t="s">
        <v>19</v>
      </c>
      <c r="AE203" s="42" t="s">
        <v>20</v>
      </c>
      <c r="AF203" s="43" t="s">
        <v>1275</v>
      </c>
      <c r="AG203" s="44">
        <v>34</v>
      </c>
      <c r="AH203" s="31">
        <v>1369909.0415406057</v>
      </c>
      <c r="AI203" s="31">
        <v>96649.550000000017</v>
      </c>
      <c r="AJ203" s="31">
        <v>46664.959999999999</v>
      </c>
      <c r="AK203" s="31">
        <v>0</v>
      </c>
      <c r="AL203" s="31">
        <v>196501.14256781837</v>
      </c>
      <c r="AM203" s="31">
        <v>332285.30074962234</v>
      </c>
      <c r="AN203" s="31">
        <v>0</v>
      </c>
      <c r="AO203" s="31">
        <f t="shared" si="18"/>
        <v>2085566.4648580463</v>
      </c>
      <c r="AP203" s="31">
        <v>43556.469999999994</v>
      </c>
      <c r="AR203" s="42" t="s">
        <v>19</v>
      </c>
      <c r="AS203" s="42" t="s">
        <v>20</v>
      </c>
      <c r="AT203" s="43" t="s">
        <v>1276</v>
      </c>
      <c r="AU203" s="44">
        <v>34</v>
      </c>
      <c r="AV203" s="31">
        <v>1397703.7494145171</v>
      </c>
      <c r="AW203" s="31">
        <v>98629.339999999967</v>
      </c>
      <c r="AX203" s="31">
        <v>47843.939999999995</v>
      </c>
      <c r="AY203" s="31">
        <v>0</v>
      </c>
      <c r="AZ203" s="31">
        <v>200467.55670140515</v>
      </c>
      <c r="BA203" s="31">
        <v>332302.71882401238</v>
      </c>
      <c r="BB203" s="31">
        <v>0</v>
      </c>
      <c r="BC203" s="31">
        <f t="shared" si="19"/>
        <v>2121419.7149399347</v>
      </c>
      <c r="BD203" s="31">
        <v>44472.409999999996</v>
      </c>
    </row>
    <row r="204" spans="2:56">
      <c r="B204" s="42" t="s">
        <v>289</v>
      </c>
      <c r="C204" s="42" t="s">
        <v>290</v>
      </c>
      <c r="D204" s="43" t="s">
        <v>1049</v>
      </c>
      <c r="E204" s="44">
        <v>34</v>
      </c>
      <c r="F204" s="31">
        <v>2880735.7406535917</v>
      </c>
      <c r="G204" s="31">
        <v>94526.58</v>
      </c>
      <c r="H204" s="31">
        <v>0</v>
      </c>
      <c r="I204" s="31">
        <v>7162.6399999999985</v>
      </c>
      <c r="J204" s="31">
        <v>351495.72769695142</v>
      </c>
      <c r="K204" s="31">
        <v>190085.30553271354</v>
      </c>
      <c r="L204" s="31">
        <v>194332.88077086539</v>
      </c>
      <c r="M204" s="31">
        <f t="shared" si="16"/>
        <v>3792890.8046541223</v>
      </c>
      <c r="N204" s="31">
        <v>74551.930000000008</v>
      </c>
      <c r="P204" s="42" t="s">
        <v>289</v>
      </c>
      <c r="Q204" s="42" t="s">
        <v>290</v>
      </c>
      <c r="R204" s="43" t="s">
        <v>1050</v>
      </c>
      <c r="S204" s="44">
        <v>34</v>
      </c>
      <c r="T204" s="31">
        <v>3093918.8467390533</v>
      </c>
      <c r="U204" s="31">
        <v>102383.1</v>
      </c>
      <c r="V204" s="31">
        <v>0</v>
      </c>
      <c r="W204" s="31">
        <v>7733.02</v>
      </c>
      <c r="X204" s="31">
        <v>374156.28890960896</v>
      </c>
      <c r="Y204" s="31">
        <v>190511.13568904874</v>
      </c>
      <c r="Z204" s="31">
        <v>209258.01118867638</v>
      </c>
      <c r="AA204" s="31">
        <f t="shared" si="17"/>
        <v>4056551.8425263874</v>
      </c>
      <c r="AB204" s="31">
        <v>78591.44</v>
      </c>
      <c r="AD204" s="42" t="s">
        <v>289</v>
      </c>
      <c r="AE204" s="42" t="s">
        <v>290</v>
      </c>
      <c r="AF204" s="43" t="s">
        <v>1275</v>
      </c>
      <c r="AG204" s="44">
        <v>34</v>
      </c>
      <c r="AH204" s="31">
        <v>3149711.2557838764</v>
      </c>
      <c r="AI204" s="31">
        <v>104267.90000000001</v>
      </c>
      <c r="AJ204" s="31">
        <v>0</v>
      </c>
      <c r="AK204" s="31">
        <v>7868.49</v>
      </c>
      <c r="AL204" s="31">
        <v>381032.75366762624</v>
      </c>
      <c r="AM204" s="31">
        <v>190187.61961924876</v>
      </c>
      <c r="AN204" s="31">
        <v>213058.71565081211</v>
      </c>
      <c r="AO204" s="31">
        <f t="shared" si="18"/>
        <v>4126113.0647215638</v>
      </c>
      <c r="AP204" s="31">
        <v>79986.33</v>
      </c>
      <c r="AR204" s="42" t="s">
        <v>289</v>
      </c>
      <c r="AS204" s="42" t="s">
        <v>290</v>
      </c>
      <c r="AT204" s="43" t="s">
        <v>1276</v>
      </c>
      <c r="AU204" s="44">
        <v>34</v>
      </c>
      <c r="AV204" s="31">
        <v>3211573.0965046361</v>
      </c>
      <c r="AW204" s="31">
        <v>106286.04000000002</v>
      </c>
      <c r="AX204" s="31">
        <v>0</v>
      </c>
      <c r="AY204" s="31">
        <v>8013.59</v>
      </c>
      <c r="AZ204" s="31">
        <v>388760.63916461833</v>
      </c>
      <c r="BA204" s="31">
        <v>190196.86293552874</v>
      </c>
      <c r="BB204" s="31">
        <v>217414.86717606394</v>
      </c>
      <c r="BC204" s="31">
        <f t="shared" si="19"/>
        <v>4203944.7157808468</v>
      </c>
      <c r="BD204" s="31">
        <v>81699.62000000001</v>
      </c>
    </row>
    <row r="205" spans="2:56">
      <c r="B205" s="42" t="s">
        <v>379</v>
      </c>
      <c r="C205" s="42" t="s">
        <v>380</v>
      </c>
      <c r="D205" s="43" t="s">
        <v>1049</v>
      </c>
      <c r="E205" s="44">
        <v>34</v>
      </c>
      <c r="F205" s="31">
        <v>76944510.108828098</v>
      </c>
      <c r="G205" s="31">
        <v>1274802.6000000001</v>
      </c>
      <c r="H205" s="31">
        <v>346055.97000000003</v>
      </c>
      <c r="I205" s="31">
        <v>275666.05000000005</v>
      </c>
      <c r="J205" s="31">
        <v>11568412.728672519</v>
      </c>
      <c r="K205" s="31">
        <v>5956432.45225731</v>
      </c>
      <c r="L205" s="31">
        <v>5451540.93344157</v>
      </c>
      <c r="M205" s="31">
        <f t="shared" si="16"/>
        <v>101891813.98319948</v>
      </c>
      <c r="N205" s="31">
        <v>74393.14</v>
      </c>
      <c r="P205" s="42" t="s">
        <v>379</v>
      </c>
      <c r="Q205" s="42" t="s">
        <v>380</v>
      </c>
      <c r="R205" s="43" t="s">
        <v>1050</v>
      </c>
      <c r="S205" s="44">
        <v>34</v>
      </c>
      <c r="T205" s="31">
        <v>82279700.795470476</v>
      </c>
      <c r="U205" s="31">
        <v>1364043.74</v>
      </c>
      <c r="V205" s="31">
        <v>369837.82</v>
      </c>
      <c r="W205" s="31">
        <v>294710.82</v>
      </c>
      <c r="X205" s="31">
        <v>12311809.718595143</v>
      </c>
      <c r="Y205" s="31">
        <v>5970795.4437715383</v>
      </c>
      <c r="Z205" s="31">
        <v>5812439.5025964743</v>
      </c>
      <c r="AA205" s="31">
        <f t="shared" si="17"/>
        <v>108481732.57043362</v>
      </c>
      <c r="AB205" s="31">
        <v>78394.73</v>
      </c>
      <c r="AD205" s="42" t="s">
        <v>379</v>
      </c>
      <c r="AE205" s="42" t="s">
        <v>380</v>
      </c>
      <c r="AF205" s="43" t="s">
        <v>1275</v>
      </c>
      <c r="AG205" s="44">
        <v>34</v>
      </c>
      <c r="AH205" s="31">
        <v>83847112.855377764</v>
      </c>
      <c r="AI205" s="31">
        <v>1389308.53</v>
      </c>
      <c r="AJ205" s="31">
        <v>376879.81000000006</v>
      </c>
      <c r="AK205" s="31">
        <v>300179.33999999997</v>
      </c>
      <c r="AL205" s="31">
        <v>12540180.548785465</v>
      </c>
      <c r="AM205" s="31">
        <v>5959651.9921125155</v>
      </c>
      <c r="AN205" s="31">
        <v>5920224.3017796101</v>
      </c>
      <c r="AO205" s="31">
        <f t="shared" si="18"/>
        <v>110413458.02805537</v>
      </c>
      <c r="AP205" s="31">
        <v>79920.649999999994</v>
      </c>
      <c r="AR205" s="42" t="s">
        <v>379</v>
      </c>
      <c r="AS205" s="42" t="s">
        <v>380</v>
      </c>
      <c r="AT205" s="43" t="s">
        <v>1276</v>
      </c>
      <c r="AU205" s="44">
        <v>34</v>
      </c>
      <c r="AV205" s="31">
        <v>85604929.638007864</v>
      </c>
      <c r="AW205" s="31">
        <v>1417557.1</v>
      </c>
      <c r="AX205" s="31">
        <v>384528.2</v>
      </c>
      <c r="AY205" s="31">
        <v>306395.99000000005</v>
      </c>
      <c r="AZ205" s="31">
        <v>12796955.584904272</v>
      </c>
      <c r="BA205" s="31">
        <v>5959970.3764456306</v>
      </c>
      <c r="BB205" s="31">
        <v>6041303.7378458362</v>
      </c>
      <c r="BC205" s="31">
        <f t="shared" si="19"/>
        <v>112593191.6072036</v>
      </c>
      <c r="BD205" s="31">
        <v>81550.98</v>
      </c>
    </row>
    <row r="206" spans="2:56">
      <c r="B206" s="42" t="s">
        <v>1317</v>
      </c>
      <c r="C206" s="42" t="s">
        <v>1318</v>
      </c>
      <c r="D206" s="43" t="s">
        <v>1049</v>
      </c>
      <c r="E206" s="44">
        <v>34</v>
      </c>
      <c r="F206" s="31">
        <v>951358.83248754556</v>
      </c>
      <c r="G206" s="31">
        <v>33593.760000000002</v>
      </c>
      <c r="H206" s="31">
        <v>11904.09</v>
      </c>
      <c r="I206" s="31">
        <v>0</v>
      </c>
      <c r="J206" s="31">
        <v>131187.9391513748</v>
      </c>
      <c r="K206" s="31">
        <v>0</v>
      </c>
      <c r="L206" s="31">
        <v>0</v>
      </c>
      <c r="M206" s="31">
        <f t="shared" si="16"/>
        <v>1128044.6216389204</v>
      </c>
      <c r="N206" s="31">
        <v>0</v>
      </c>
      <c r="P206" s="42" t="s">
        <v>1317</v>
      </c>
      <c r="Q206" s="42" t="s">
        <v>1318</v>
      </c>
      <c r="R206" s="43" t="s">
        <v>1050</v>
      </c>
      <c r="S206" s="44">
        <v>34</v>
      </c>
      <c r="T206" s="31">
        <v>1010595.8146260881</v>
      </c>
      <c r="U206" s="31">
        <v>35569.129999999997</v>
      </c>
      <c r="V206" s="31">
        <v>12566.329999999998</v>
      </c>
      <c r="W206" s="31">
        <v>0</v>
      </c>
      <c r="X206" s="31">
        <v>138703.46980957221</v>
      </c>
      <c r="Y206" s="31">
        <v>0</v>
      </c>
      <c r="Z206" s="31">
        <v>0</v>
      </c>
      <c r="AA206" s="31">
        <f t="shared" si="17"/>
        <v>1197434.7444356603</v>
      </c>
      <c r="AB206" s="31">
        <v>0</v>
      </c>
      <c r="AD206" s="42" t="s">
        <v>1317</v>
      </c>
      <c r="AE206" s="42" t="s">
        <v>1318</v>
      </c>
      <c r="AF206" s="43" t="s">
        <v>1275</v>
      </c>
      <c r="AG206" s="44">
        <v>34</v>
      </c>
      <c r="AH206" s="31">
        <v>1029095.9402012848</v>
      </c>
      <c r="AI206" s="31">
        <v>36299.870000000003</v>
      </c>
      <c r="AJ206" s="31">
        <v>12894.58</v>
      </c>
      <c r="AK206" s="31">
        <v>0</v>
      </c>
      <c r="AL206" s="31">
        <v>141250.4442803688</v>
      </c>
      <c r="AM206" s="31">
        <v>0</v>
      </c>
      <c r="AN206" s="31">
        <v>0</v>
      </c>
      <c r="AO206" s="31">
        <f t="shared" si="18"/>
        <v>1219540.8344816538</v>
      </c>
      <c r="AP206" s="31">
        <v>0</v>
      </c>
      <c r="AR206" s="42" t="s">
        <v>1317</v>
      </c>
      <c r="AS206" s="42" t="s">
        <v>1318</v>
      </c>
      <c r="AT206" s="43" t="s">
        <v>1276</v>
      </c>
      <c r="AU206" s="44">
        <v>34</v>
      </c>
      <c r="AV206" s="31">
        <v>1050018.6538731894</v>
      </c>
      <c r="AW206" s="31">
        <v>36968.450000000004</v>
      </c>
      <c r="AX206" s="31">
        <v>13132.07</v>
      </c>
      <c r="AY206" s="31">
        <v>0</v>
      </c>
      <c r="AZ206" s="31">
        <v>144119.60706846585</v>
      </c>
      <c r="BA206" s="31">
        <v>0</v>
      </c>
      <c r="BB206" s="31">
        <v>0</v>
      </c>
      <c r="BC206" s="31">
        <f t="shared" si="19"/>
        <v>1244238.7809416552</v>
      </c>
      <c r="BD206" s="31">
        <v>0</v>
      </c>
    </row>
    <row r="207" spans="2:56">
      <c r="B207" s="42" t="s">
        <v>321</v>
      </c>
      <c r="C207" s="42" t="s">
        <v>322</v>
      </c>
      <c r="D207" s="43" t="s">
        <v>1049</v>
      </c>
      <c r="E207" s="44">
        <v>34</v>
      </c>
      <c r="F207" s="31">
        <v>6125186.5355924778</v>
      </c>
      <c r="G207" s="31">
        <v>279660.63</v>
      </c>
      <c r="H207" s="31">
        <v>50085.570000000007</v>
      </c>
      <c r="I207" s="31">
        <v>19391.120000000003</v>
      </c>
      <c r="J207" s="31">
        <v>943840.28873090807</v>
      </c>
      <c r="K207" s="31">
        <v>671718.46139702224</v>
      </c>
      <c r="L207" s="31">
        <v>0</v>
      </c>
      <c r="M207" s="31">
        <f t="shared" si="16"/>
        <v>8286229.7057204079</v>
      </c>
      <c r="N207" s="31">
        <v>196347.09999999998</v>
      </c>
      <c r="P207" s="42" t="s">
        <v>321</v>
      </c>
      <c r="Q207" s="42" t="s">
        <v>322</v>
      </c>
      <c r="R207" s="43" t="s">
        <v>1050</v>
      </c>
      <c r="S207" s="44">
        <v>34</v>
      </c>
      <c r="T207" s="31">
        <v>6641960.3167063585</v>
      </c>
      <c r="U207" s="31">
        <v>302545.36</v>
      </c>
      <c r="V207" s="31">
        <v>53544.100000000006</v>
      </c>
      <c r="W207" s="31">
        <v>20649.780000000002</v>
      </c>
      <c r="X207" s="31">
        <v>1004676.2425009783</v>
      </c>
      <c r="Y207" s="31">
        <v>673235.09509550326</v>
      </c>
      <c r="Z207" s="31">
        <v>0</v>
      </c>
      <c r="AA207" s="31">
        <f t="shared" si="17"/>
        <v>8903460.9543028418</v>
      </c>
      <c r="AB207" s="31">
        <v>206850.06000000003</v>
      </c>
      <c r="AD207" s="42" t="s">
        <v>321</v>
      </c>
      <c r="AE207" s="42" t="s">
        <v>322</v>
      </c>
      <c r="AF207" s="43" t="s">
        <v>1275</v>
      </c>
      <c r="AG207" s="44">
        <v>34</v>
      </c>
      <c r="AH207" s="31">
        <v>6766647.072078553</v>
      </c>
      <c r="AI207" s="31">
        <v>307985.51</v>
      </c>
      <c r="AJ207" s="31">
        <v>54583.23</v>
      </c>
      <c r="AK207" s="31">
        <v>21115.370000000003</v>
      </c>
      <c r="AL207" s="31">
        <v>1023065.3965531929</v>
      </c>
      <c r="AM207" s="31">
        <v>672082.86253010319</v>
      </c>
      <c r="AN207" s="31">
        <v>0</v>
      </c>
      <c r="AO207" s="31">
        <f t="shared" si="18"/>
        <v>9056192.8911618497</v>
      </c>
      <c r="AP207" s="31">
        <v>210713.44999999998</v>
      </c>
      <c r="AR207" s="42" t="s">
        <v>321</v>
      </c>
      <c r="AS207" s="42" t="s">
        <v>322</v>
      </c>
      <c r="AT207" s="43" t="s">
        <v>1276</v>
      </c>
      <c r="AU207" s="44">
        <v>34</v>
      </c>
      <c r="AV207" s="31">
        <v>6906357.1124330517</v>
      </c>
      <c r="AW207" s="31">
        <v>314128.6100000001</v>
      </c>
      <c r="AX207" s="31">
        <v>55584.979999999996</v>
      </c>
      <c r="AY207" s="31">
        <v>21502.890000000003</v>
      </c>
      <c r="AZ207" s="31">
        <v>1043751.9684321497</v>
      </c>
      <c r="BA207" s="31">
        <v>672115.78346054326</v>
      </c>
      <c r="BB207" s="31">
        <v>0</v>
      </c>
      <c r="BC207" s="31">
        <f t="shared" si="19"/>
        <v>9228391.3543257453</v>
      </c>
      <c r="BD207" s="31">
        <v>214950.01</v>
      </c>
    </row>
    <row r="208" spans="2:56">
      <c r="B208" s="42" t="s">
        <v>119</v>
      </c>
      <c r="C208" s="42" t="s">
        <v>120</v>
      </c>
      <c r="D208" s="43" t="s">
        <v>1049</v>
      </c>
      <c r="E208" s="44">
        <v>34</v>
      </c>
      <c r="F208" s="31">
        <v>3521560.9433224779</v>
      </c>
      <c r="G208" s="31">
        <v>118839.19999999997</v>
      </c>
      <c r="H208" s="31">
        <v>5144.9800000000014</v>
      </c>
      <c r="I208" s="31">
        <v>0</v>
      </c>
      <c r="J208" s="31">
        <v>487177.17231426295</v>
      </c>
      <c r="K208" s="31">
        <v>298951.78896501078</v>
      </c>
      <c r="L208" s="31">
        <v>476038.16963427508</v>
      </c>
      <c r="M208" s="31">
        <f t="shared" si="16"/>
        <v>5014243.8442360265</v>
      </c>
      <c r="N208" s="31">
        <v>106531.59000000001</v>
      </c>
      <c r="P208" s="42" t="s">
        <v>119</v>
      </c>
      <c r="Q208" s="42" t="s">
        <v>120</v>
      </c>
      <c r="R208" s="43" t="s">
        <v>1050</v>
      </c>
      <c r="S208" s="44">
        <v>34</v>
      </c>
      <c r="T208" s="31">
        <v>3790640.2714181719</v>
      </c>
      <c r="U208" s="31">
        <v>128784.84</v>
      </c>
      <c r="V208" s="31">
        <v>5584.98</v>
      </c>
      <c r="W208" s="31">
        <v>0</v>
      </c>
      <c r="X208" s="31">
        <v>518568.70195741841</v>
      </c>
      <c r="Y208" s="31">
        <v>299507.02926378639</v>
      </c>
      <c r="Z208" s="31">
        <v>512588.4146901425</v>
      </c>
      <c r="AA208" s="31">
        <f t="shared" si="17"/>
        <v>5367902.3973295186</v>
      </c>
      <c r="AB208" s="31">
        <v>112228.16</v>
      </c>
      <c r="AD208" s="42" t="s">
        <v>119</v>
      </c>
      <c r="AE208" s="42" t="s">
        <v>120</v>
      </c>
      <c r="AF208" s="43" t="s">
        <v>1275</v>
      </c>
      <c r="AG208" s="44">
        <v>34</v>
      </c>
      <c r="AH208" s="31">
        <v>3858686.847935318</v>
      </c>
      <c r="AI208" s="31">
        <v>131126.02000000002</v>
      </c>
      <c r="AJ208" s="31">
        <v>5682.82</v>
      </c>
      <c r="AK208" s="31">
        <v>0</v>
      </c>
      <c r="AL208" s="31">
        <v>528085.96034037683</v>
      </c>
      <c r="AM208" s="31">
        <v>299085.19638844382</v>
      </c>
      <c r="AN208" s="31">
        <v>521918.84963108768</v>
      </c>
      <c r="AO208" s="31">
        <f t="shared" si="18"/>
        <v>5458913.4342952268</v>
      </c>
      <c r="AP208" s="31">
        <v>114327.73999999998</v>
      </c>
      <c r="AR208" s="42" t="s">
        <v>119</v>
      </c>
      <c r="AS208" s="42" t="s">
        <v>120</v>
      </c>
      <c r="AT208" s="43" t="s">
        <v>1276</v>
      </c>
      <c r="AU208" s="44">
        <v>34</v>
      </c>
      <c r="AV208" s="31">
        <v>3935228.4888443532</v>
      </c>
      <c r="AW208" s="31">
        <v>133742.54999999999</v>
      </c>
      <c r="AX208" s="31">
        <v>5787.5999999999995</v>
      </c>
      <c r="AY208" s="31">
        <v>0</v>
      </c>
      <c r="AZ208" s="31">
        <v>538806.18741971394</v>
      </c>
      <c r="BA208" s="31">
        <v>299097.24875631079</v>
      </c>
      <c r="BB208" s="31">
        <v>532521.89143527823</v>
      </c>
      <c r="BC208" s="31">
        <f t="shared" si="19"/>
        <v>5561866.3564556558</v>
      </c>
      <c r="BD208" s="31">
        <v>116682.39</v>
      </c>
    </row>
    <row r="209" spans="2:56">
      <c r="B209" s="42" t="s">
        <v>43</v>
      </c>
      <c r="C209" s="42" t="s">
        <v>44</v>
      </c>
      <c r="D209" s="43" t="s">
        <v>1049</v>
      </c>
      <c r="E209" s="44">
        <v>34</v>
      </c>
      <c r="F209" s="31">
        <v>28639165.418717742</v>
      </c>
      <c r="G209" s="31">
        <v>1184255.83</v>
      </c>
      <c r="H209" s="31">
        <v>85245.440000000002</v>
      </c>
      <c r="I209" s="31">
        <v>101487.46000000002</v>
      </c>
      <c r="J209" s="31">
        <v>4463521.7235988639</v>
      </c>
      <c r="K209" s="31">
        <v>1686509.1210638948</v>
      </c>
      <c r="L209" s="31">
        <v>2757065.5851950059</v>
      </c>
      <c r="M209" s="31">
        <f t="shared" si="16"/>
        <v>39562392.09857551</v>
      </c>
      <c r="N209" s="31">
        <v>645141.52</v>
      </c>
      <c r="P209" s="42" t="s">
        <v>43</v>
      </c>
      <c r="Q209" s="42" t="s">
        <v>44</v>
      </c>
      <c r="R209" s="43" t="s">
        <v>1050</v>
      </c>
      <c r="S209" s="44">
        <v>34</v>
      </c>
      <c r="T209" s="31">
        <v>30757716.341206856</v>
      </c>
      <c r="U209" s="31">
        <v>1266759.5899999999</v>
      </c>
      <c r="V209" s="31">
        <v>90520.22</v>
      </c>
      <c r="W209" s="31">
        <v>107665.83</v>
      </c>
      <c r="X209" s="31">
        <v>4717887.0819542874</v>
      </c>
      <c r="Y209" s="31">
        <v>1689733.5452791913</v>
      </c>
      <c r="Z209" s="31">
        <v>2948468.2839311566</v>
      </c>
      <c r="AA209" s="31">
        <f t="shared" si="17"/>
        <v>42252638.582371488</v>
      </c>
      <c r="AB209" s="31">
        <v>673887.69000000018</v>
      </c>
      <c r="AD209" s="42" t="s">
        <v>43</v>
      </c>
      <c r="AE209" s="42" t="s">
        <v>44</v>
      </c>
      <c r="AF209" s="43" t="s">
        <v>1275</v>
      </c>
      <c r="AG209" s="44">
        <v>34</v>
      </c>
      <c r="AH209" s="31">
        <v>31358539.473461587</v>
      </c>
      <c r="AI209" s="31">
        <v>1289752.46</v>
      </c>
      <c r="AJ209" s="31">
        <v>92104.159999999989</v>
      </c>
      <c r="AK209" s="31">
        <v>109549.78</v>
      </c>
      <c r="AL209" s="31">
        <v>4804569.6052756682</v>
      </c>
      <c r="AM209" s="31">
        <v>1687267.7188784925</v>
      </c>
      <c r="AN209" s="31">
        <v>3002592.7170375613</v>
      </c>
      <c r="AO209" s="31">
        <f t="shared" si="18"/>
        <v>43030745.33465331</v>
      </c>
      <c r="AP209" s="31">
        <v>686369.42</v>
      </c>
      <c r="AR209" s="42" t="s">
        <v>43</v>
      </c>
      <c r="AS209" s="42" t="s">
        <v>44</v>
      </c>
      <c r="AT209" s="43" t="s">
        <v>1276</v>
      </c>
      <c r="AU209" s="44">
        <v>34</v>
      </c>
      <c r="AV209" s="31">
        <v>32030126.472525209</v>
      </c>
      <c r="AW209" s="31">
        <v>1315567.6900000002</v>
      </c>
      <c r="AX209" s="31">
        <v>94021.25</v>
      </c>
      <c r="AY209" s="31">
        <v>111788.18</v>
      </c>
      <c r="AZ209" s="31">
        <v>4902085.8781327782</v>
      </c>
      <c r="BA209" s="31">
        <v>1687338.1710613698</v>
      </c>
      <c r="BB209" s="31">
        <v>3063986.7200636053</v>
      </c>
      <c r="BC209" s="31">
        <f t="shared" si="19"/>
        <v>43905286.071782961</v>
      </c>
      <c r="BD209" s="31">
        <v>700371.71</v>
      </c>
    </row>
    <row r="210" spans="2:56">
      <c r="B210" s="42" t="s">
        <v>181</v>
      </c>
      <c r="C210" s="42" t="s">
        <v>182</v>
      </c>
      <c r="D210" s="43" t="s">
        <v>1049</v>
      </c>
      <c r="E210" s="44">
        <v>34</v>
      </c>
      <c r="F210" s="31">
        <v>10203086.69210157</v>
      </c>
      <c r="G210" s="31">
        <v>413243.1</v>
      </c>
      <c r="H210" s="31">
        <v>58959</v>
      </c>
      <c r="I210" s="31">
        <v>35948.020000000004</v>
      </c>
      <c r="J210" s="31">
        <v>1430360.7111772757</v>
      </c>
      <c r="K210" s="31">
        <v>610361.32258085709</v>
      </c>
      <c r="L210" s="31">
        <v>519523.06880125147</v>
      </c>
      <c r="M210" s="31">
        <f t="shared" si="16"/>
        <v>13510711.184660954</v>
      </c>
      <c r="N210" s="31">
        <v>239229.27</v>
      </c>
      <c r="P210" s="42" t="s">
        <v>181</v>
      </c>
      <c r="Q210" s="42" t="s">
        <v>182</v>
      </c>
      <c r="R210" s="43" t="s">
        <v>1050</v>
      </c>
      <c r="S210" s="44">
        <v>34</v>
      </c>
      <c r="T210" s="31">
        <v>11014280.196427656</v>
      </c>
      <c r="U210" s="31">
        <v>445663.74000000005</v>
      </c>
      <c r="V210" s="31">
        <v>63086.94999999999</v>
      </c>
      <c r="W210" s="31">
        <v>38484.149999999994</v>
      </c>
      <c r="X210" s="31">
        <v>1522447.726147159</v>
      </c>
      <c r="Y210" s="31">
        <v>611129.81037135457</v>
      </c>
      <c r="Z210" s="31">
        <v>559547.18864381267</v>
      </c>
      <c r="AA210" s="31">
        <f t="shared" si="17"/>
        <v>14506769.441589981</v>
      </c>
      <c r="AB210" s="31">
        <v>252129.68</v>
      </c>
      <c r="AD210" s="42" t="s">
        <v>181</v>
      </c>
      <c r="AE210" s="42" t="s">
        <v>182</v>
      </c>
      <c r="AF210" s="43" t="s">
        <v>1275</v>
      </c>
      <c r="AG210" s="44">
        <v>34</v>
      </c>
      <c r="AH210" s="31">
        <v>11230630.702857666</v>
      </c>
      <c r="AI210" s="31">
        <v>453813.05999999994</v>
      </c>
      <c r="AJ210" s="31">
        <v>64199.409999999996</v>
      </c>
      <c r="AK210" s="31">
        <v>39162.770000000004</v>
      </c>
      <c r="AL210" s="31">
        <v>1550572.2624141113</v>
      </c>
      <c r="AM210" s="31">
        <v>610539.55997303536</v>
      </c>
      <c r="AN210" s="31">
        <v>570011.18090974423</v>
      </c>
      <c r="AO210" s="31">
        <f t="shared" si="18"/>
        <v>14775673.416154556</v>
      </c>
      <c r="AP210" s="31">
        <v>256744.47</v>
      </c>
      <c r="AR210" s="42" t="s">
        <v>181</v>
      </c>
      <c r="AS210" s="42" t="s">
        <v>182</v>
      </c>
      <c r="AT210" s="43" t="s">
        <v>1276</v>
      </c>
      <c r="AU210" s="44">
        <v>34</v>
      </c>
      <c r="AV210" s="31">
        <v>11471909.539462876</v>
      </c>
      <c r="AW210" s="31">
        <v>463002.08999999997</v>
      </c>
      <c r="AX210" s="31">
        <v>65390.85</v>
      </c>
      <c r="AY210" s="31">
        <v>40006.579999999994</v>
      </c>
      <c r="AZ210" s="31">
        <v>1582202.9430830888</v>
      </c>
      <c r="BA210" s="31">
        <v>610556.42427013023</v>
      </c>
      <c r="BB210" s="31">
        <v>581487.29571942915</v>
      </c>
      <c r="BC210" s="31">
        <f t="shared" si="19"/>
        <v>15076584.812535524</v>
      </c>
      <c r="BD210" s="31">
        <v>262029.09</v>
      </c>
    </row>
    <row r="211" spans="2:56">
      <c r="B211" s="42" t="s">
        <v>537</v>
      </c>
      <c r="C211" s="42" t="s">
        <v>538</v>
      </c>
      <c r="D211" s="43" t="s">
        <v>1049</v>
      </c>
      <c r="E211" s="44">
        <v>34</v>
      </c>
      <c r="F211" s="31">
        <v>2953633.3551463205</v>
      </c>
      <c r="G211" s="31">
        <v>145384.53999999998</v>
      </c>
      <c r="H211" s="31">
        <v>0</v>
      </c>
      <c r="I211" s="31">
        <v>0</v>
      </c>
      <c r="J211" s="31">
        <v>296926.65283394128</v>
      </c>
      <c r="K211" s="31">
        <v>400674.78069264186</v>
      </c>
      <c r="L211" s="31">
        <v>46491.251988310978</v>
      </c>
      <c r="M211" s="31">
        <f t="shared" si="16"/>
        <v>3909469.1006612144</v>
      </c>
      <c r="N211" s="31">
        <v>66358.52</v>
      </c>
      <c r="P211" s="42" t="s">
        <v>537</v>
      </c>
      <c r="Q211" s="42" t="s">
        <v>538</v>
      </c>
      <c r="R211" s="43" t="s">
        <v>1050</v>
      </c>
      <c r="S211" s="44">
        <v>34</v>
      </c>
      <c r="T211" s="31">
        <v>3172979.9980918481</v>
      </c>
      <c r="U211" s="31">
        <v>156655.45000000001</v>
      </c>
      <c r="V211" s="31">
        <v>0</v>
      </c>
      <c r="W211" s="31">
        <v>0</v>
      </c>
      <c r="X211" s="31">
        <v>316082.77791782015</v>
      </c>
      <c r="Y211" s="31">
        <v>401663.73314389185</v>
      </c>
      <c r="Z211" s="31">
        <v>50015.49542503024</v>
      </c>
      <c r="AA211" s="31">
        <f t="shared" si="17"/>
        <v>4167266.8045785902</v>
      </c>
      <c r="AB211" s="31">
        <v>69869.350000000006</v>
      </c>
      <c r="AD211" s="42" t="s">
        <v>537</v>
      </c>
      <c r="AE211" s="42" t="s">
        <v>538</v>
      </c>
      <c r="AF211" s="43" t="s">
        <v>1275</v>
      </c>
      <c r="AG211" s="44">
        <v>34</v>
      </c>
      <c r="AH211" s="31">
        <v>3229603.3168423693</v>
      </c>
      <c r="AI211" s="31">
        <v>159475.70000000001</v>
      </c>
      <c r="AJ211" s="31">
        <v>0</v>
      </c>
      <c r="AK211" s="31">
        <v>0</v>
      </c>
      <c r="AL211" s="31">
        <v>321861.87740621989</v>
      </c>
      <c r="AM211" s="31">
        <v>400912.39600750641</v>
      </c>
      <c r="AN211" s="31">
        <v>50902.235977697157</v>
      </c>
      <c r="AO211" s="31">
        <f t="shared" si="18"/>
        <v>4233859.6262337929</v>
      </c>
      <c r="AP211" s="31">
        <v>71104.099999999991</v>
      </c>
      <c r="AR211" s="42" t="s">
        <v>537</v>
      </c>
      <c r="AS211" s="42" t="s">
        <v>538</v>
      </c>
      <c r="AT211" s="43" t="s">
        <v>1276</v>
      </c>
      <c r="AU211" s="44">
        <v>34</v>
      </c>
      <c r="AV211" s="31">
        <v>3292824.9883908601</v>
      </c>
      <c r="AW211" s="31">
        <v>162710.87</v>
      </c>
      <c r="AX211" s="31">
        <v>0</v>
      </c>
      <c r="AY211" s="31">
        <v>0</v>
      </c>
      <c r="AZ211" s="31">
        <v>328389.29652286746</v>
      </c>
      <c r="BA211" s="31">
        <v>400933.86278283171</v>
      </c>
      <c r="BB211" s="31">
        <v>51860.703779022573</v>
      </c>
      <c r="BC211" s="31">
        <f t="shared" si="19"/>
        <v>4309358.0014755819</v>
      </c>
      <c r="BD211" s="31">
        <v>72638.28</v>
      </c>
    </row>
    <row r="212" spans="2:56">
      <c r="B212" s="42" t="s">
        <v>481</v>
      </c>
      <c r="C212" s="42" t="s">
        <v>482</v>
      </c>
      <c r="D212" s="43" t="s">
        <v>1049</v>
      </c>
      <c r="E212" s="44">
        <v>34</v>
      </c>
      <c r="F212" s="31">
        <v>5184568.7680800678</v>
      </c>
      <c r="G212" s="31">
        <v>242419.87999999998</v>
      </c>
      <c r="H212" s="31">
        <v>0</v>
      </c>
      <c r="I212" s="31">
        <v>0</v>
      </c>
      <c r="J212" s="31">
        <v>730340.6842751716</v>
      </c>
      <c r="K212" s="31">
        <v>568914.47</v>
      </c>
      <c r="L212" s="31">
        <v>109813.15082704349</v>
      </c>
      <c r="M212" s="31">
        <f t="shared" si="16"/>
        <v>7032272.7731822832</v>
      </c>
      <c r="N212" s="31">
        <v>196215.81999999998</v>
      </c>
      <c r="P212" s="42" t="s">
        <v>481</v>
      </c>
      <c r="Q212" s="42" t="s">
        <v>482</v>
      </c>
      <c r="R212" s="43" t="s">
        <v>1050</v>
      </c>
      <c r="S212" s="44">
        <v>34</v>
      </c>
      <c r="T212" s="31">
        <v>5546904.4958659271</v>
      </c>
      <c r="U212" s="31">
        <v>260360.09999999998</v>
      </c>
      <c r="V212" s="31">
        <v>0</v>
      </c>
      <c r="W212" s="31">
        <v>0</v>
      </c>
      <c r="X212" s="31">
        <v>772208.89094009832</v>
      </c>
      <c r="Y212" s="31">
        <v>568914.47</v>
      </c>
      <c r="Z212" s="31">
        <v>117312.2185096287</v>
      </c>
      <c r="AA212" s="31">
        <f t="shared" si="17"/>
        <v>7470614.0653156526</v>
      </c>
      <c r="AB212" s="31">
        <v>204913.89</v>
      </c>
      <c r="AD212" s="42" t="s">
        <v>481</v>
      </c>
      <c r="AE212" s="42" t="s">
        <v>482</v>
      </c>
      <c r="AF212" s="43" t="s">
        <v>1275</v>
      </c>
      <c r="AG212" s="44">
        <v>34</v>
      </c>
      <c r="AH212" s="31">
        <v>5649809.244938679</v>
      </c>
      <c r="AI212" s="31">
        <v>265088.36</v>
      </c>
      <c r="AJ212" s="31">
        <v>0</v>
      </c>
      <c r="AK212" s="31">
        <v>0</v>
      </c>
      <c r="AL212" s="31">
        <v>786421.39422322076</v>
      </c>
      <c r="AM212" s="31">
        <v>568914.47</v>
      </c>
      <c r="AN212" s="31">
        <v>119397.11487112782</v>
      </c>
      <c r="AO212" s="31">
        <f t="shared" si="18"/>
        <v>7598391.0440330273</v>
      </c>
      <c r="AP212" s="31">
        <v>208760.45999999996</v>
      </c>
      <c r="AR212" s="42" t="s">
        <v>481</v>
      </c>
      <c r="AS212" s="42" t="s">
        <v>482</v>
      </c>
      <c r="AT212" s="43" t="s">
        <v>1276</v>
      </c>
      <c r="AU212" s="44">
        <v>34</v>
      </c>
      <c r="AV212" s="31">
        <v>5765607.7429363523</v>
      </c>
      <c r="AW212" s="31">
        <v>270367.00999999995</v>
      </c>
      <c r="AX212" s="31">
        <v>0</v>
      </c>
      <c r="AY212" s="31">
        <v>0</v>
      </c>
      <c r="AZ212" s="31">
        <v>802398.77907002054</v>
      </c>
      <c r="BA212" s="31">
        <v>568914.47</v>
      </c>
      <c r="BB212" s="31">
        <v>121761.09756557013</v>
      </c>
      <c r="BC212" s="31">
        <f t="shared" si="19"/>
        <v>7742030.8195719421</v>
      </c>
      <c r="BD212" s="31">
        <v>212981.72000000003</v>
      </c>
    </row>
    <row r="213" spans="2:56">
      <c r="B213" s="42" t="s">
        <v>25</v>
      </c>
      <c r="C213" s="42" t="s">
        <v>26</v>
      </c>
      <c r="D213" s="43" t="s">
        <v>1049</v>
      </c>
      <c r="E213" s="44">
        <v>34</v>
      </c>
      <c r="F213" s="31">
        <v>18949273.624064073</v>
      </c>
      <c r="G213" s="31">
        <v>1101395.1899999995</v>
      </c>
      <c r="H213" s="31">
        <v>943732.85999999987</v>
      </c>
      <c r="I213" s="31">
        <v>68892.02</v>
      </c>
      <c r="J213" s="31">
        <v>2854087.2941376646</v>
      </c>
      <c r="K213" s="31">
        <v>1441746.4449851774</v>
      </c>
      <c r="L213" s="31">
        <v>2299335.1333539672</v>
      </c>
      <c r="M213" s="31">
        <f t="shared" si="16"/>
        <v>28367650.746540878</v>
      </c>
      <c r="N213" s="31">
        <v>709188.18</v>
      </c>
      <c r="P213" s="42" t="s">
        <v>25</v>
      </c>
      <c r="Q213" s="42" t="s">
        <v>26</v>
      </c>
      <c r="R213" s="43" t="s">
        <v>1050</v>
      </c>
      <c r="S213" s="44">
        <v>34</v>
      </c>
      <c r="T213" s="31">
        <v>20478925.539417341</v>
      </c>
      <c r="U213" s="31">
        <v>1190436.29</v>
      </c>
      <c r="V213" s="31">
        <v>1009866.8099999999</v>
      </c>
      <c r="W213" s="31">
        <v>73675.03</v>
      </c>
      <c r="X213" s="31">
        <v>3038269.4597941735</v>
      </c>
      <c r="Y213" s="31">
        <v>1445548.2507467819</v>
      </c>
      <c r="Z213" s="31">
        <v>2476226.268761131</v>
      </c>
      <c r="AA213" s="31">
        <f t="shared" si="17"/>
        <v>30459957.248719431</v>
      </c>
      <c r="AB213" s="31">
        <v>747009.6</v>
      </c>
      <c r="AD213" s="42" t="s">
        <v>25</v>
      </c>
      <c r="AE213" s="42" t="s">
        <v>26</v>
      </c>
      <c r="AF213" s="43" t="s">
        <v>1275</v>
      </c>
      <c r="AG213" s="44">
        <v>34</v>
      </c>
      <c r="AH213" s="31">
        <v>20857744.043088119</v>
      </c>
      <c r="AI213" s="31">
        <v>1211973.98</v>
      </c>
      <c r="AJ213" s="31">
        <v>1028212.7299999999</v>
      </c>
      <c r="AK213" s="31">
        <v>75065.14</v>
      </c>
      <c r="AL213" s="31">
        <v>3093963.5464429096</v>
      </c>
      <c r="AM213" s="31">
        <v>1442659.903738382</v>
      </c>
      <c r="AN213" s="31">
        <v>2521809.0476456815</v>
      </c>
      <c r="AO213" s="31">
        <f t="shared" si="18"/>
        <v>30992263.000915095</v>
      </c>
      <c r="AP213" s="31">
        <v>760834.61</v>
      </c>
      <c r="AR213" s="42" t="s">
        <v>25</v>
      </c>
      <c r="AS213" s="42" t="s">
        <v>26</v>
      </c>
      <c r="AT213" s="43" t="s">
        <v>1276</v>
      </c>
      <c r="AU213" s="44">
        <v>34</v>
      </c>
      <c r="AV213" s="31">
        <v>21284337.497683518</v>
      </c>
      <c r="AW213" s="31">
        <v>1236092.58</v>
      </c>
      <c r="AX213" s="31">
        <v>1048911</v>
      </c>
      <c r="AY213" s="31">
        <v>76550.3</v>
      </c>
      <c r="AZ213" s="31">
        <v>3156610.6531389505</v>
      </c>
      <c r="BA213" s="31">
        <v>1442742.427938622</v>
      </c>
      <c r="BB213" s="31">
        <v>2572696.0665178266</v>
      </c>
      <c r="BC213" s="31">
        <f t="shared" si="19"/>
        <v>31594195.945278917</v>
      </c>
      <c r="BD213" s="31">
        <v>776255.42</v>
      </c>
    </row>
    <row r="214" spans="2:56">
      <c r="B214" s="42" t="s">
        <v>1319</v>
      </c>
      <c r="C214" s="42" t="s">
        <v>1320</v>
      </c>
      <c r="D214" s="43" t="s">
        <v>1049</v>
      </c>
      <c r="E214" s="44">
        <v>34</v>
      </c>
      <c r="F214" s="31">
        <v>821699.86921582208</v>
      </c>
      <c r="G214" s="31">
        <v>10913.58</v>
      </c>
      <c r="H214" s="31">
        <v>0</v>
      </c>
      <c r="I214" s="31">
        <v>0</v>
      </c>
      <c r="J214" s="31">
        <v>100505.15417953405</v>
      </c>
      <c r="K214" s="31">
        <v>0</v>
      </c>
      <c r="L214" s="31">
        <v>0</v>
      </c>
      <c r="M214" s="31">
        <f t="shared" si="16"/>
        <v>933118.6033953561</v>
      </c>
      <c r="N214" s="31">
        <v>0</v>
      </c>
      <c r="P214" s="42" t="s">
        <v>1319</v>
      </c>
      <c r="Q214" s="42" t="s">
        <v>1320</v>
      </c>
      <c r="R214" s="43" t="s">
        <v>1050</v>
      </c>
      <c r="S214" s="44">
        <v>34</v>
      </c>
      <c r="T214" s="31">
        <v>874102.11533609871</v>
      </c>
      <c r="U214" s="31">
        <v>11621.98</v>
      </c>
      <c r="V214" s="31">
        <v>0</v>
      </c>
      <c r="W214" s="31">
        <v>0</v>
      </c>
      <c r="X214" s="31">
        <v>106447.84305232305</v>
      </c>
      <c r="Y214" s="31">
        <v>0</v>
      </c>
      <c r="Z214" s="31">
        <v>0</v>
      </c>
      <c r="AA214" s="31">
        <f t="shared" si="17"/>
        <v>992171.93838842178</v>
      </c>
      <c r="AB214" s="31">
        <v>0</v>
      </c>
      <c r="AD214" s="42" t="s">
        <v>1319</v>
      </c>
      <c r="AE214" s="42" t="s">
        <v>1320</v>
      </c>
      <c r="AF214" s="43" t="s">
        <v>1275</v>
      </c>
      <c r="AG214" s="44">
        <v>34</v>
      </c>
      <c r="AH214" s="31">
        <v>889325.40864848555</v>
      </c>
      <c r="AI214" s="31">
        <v>11824.61</v>
      </c>
      <c r="AJ214" s="31">
        <v>0</v>
      </c>
      <c r="AK214" s="31">
        <v>0</v>
      </c>
      <c r="AL214" s="31">
        <v>108313.90063727915</v>
      </c>
      <c r="AM214" s="31">
        <v>0</v>
      </c>
      <c r="AN214" s="31">
        <v>0</v>
      </c>
      <c r="AO214" s="31">
        <f t="shared" si="18"/>
        <v>1009463.9192857647</v>
      </c>
      <c r="AP214" s="31">
        <v>0</v>
      </c>
      <c r="AR214" s="42" t="s">
        <v>1319</v>
      </c>
      <c r="AS214" s="42" t="s">
        <v>1320</v>
      </c>
      <c r="AT214" s="43" t="s">
        <v>1276</v>
      </c>
      <c r="AU214" s="44">
        <v>34</v>
      </c>
      <c r="AV214" s="31">
        <v>905629.59114305163</v>
      </c>
      <c r="AW214" s="31">
        <v>12041.609999999999</v>
      </c>
      <c r="AX214" s="31">
        <v>0</v>
      </c>
      <c r="AY214" s="31">
        <v>0</v>
      </c>
      <c r="AZ214" s="31">
        <v>110312.42412869672</v>
      </c>
      <c r="BA214" s="31">
        <v>0</v>
      </c>
      <c r="BB214" s="31">
        <v>0</v>
      </c>
      <c r="BC214" s="31">
        <f t="shared" si="19"/>
        <v>1027983.6252717483</v>
      </c>
      <c r="BD214" s="31">
        <v>0</v>
      </c>
    </row>
    <row r="215" spans="2:56">
      <c r="B215" s="42" t="s">
        <v>561</v>
      </c>
      <c r="C215" s="42" t="s">
        <v>562</v>
      </c>
      <c r="D215" s="43" t="s">
        <v>1049</v>
      </c>
      <c r="E215" s="44">
        <v>34</v>
      </c>
      <c r="F215" s="31">
        <v>21221410.408057489</v>
      </c>
      <c r="G215" s="31">
        <v>514400.18</v>
      </c>
      <c r="H215" s="31">
        <v>198295.96000000002</v>
      </c>
      <c r="I215" s="31">
        <v>73374.38</v>
      </c>
      <c r="J215" s="31">
        <v>3185237.8556751674</v>
      </c>
      <c r="K215" s="31">
        <v>1130342.4899041362</v>
      </c>
      <c r="L215" s="31">
        <v>1557640.5354763037</v>
      </c>
      <c r="M215" s="31">
        <f t="shared" si="16"/>
        <v>27880701.809113096</v>
      </c>
      <c r="N215" s="31">
        <v>0</v>
      </c>
      <c r="P215" s="42" t="s">
        <v>561</v>
      </c>
      <c r="Q215" s="42" t="s">
        <v>562</v>
      </c>
      <c r="R215" s="43" t="s">
        <v>1050</v>
      </c>
      <c r="S215" s="44">
        <v>34</v>
      </c>
      <c r="T215" s="31">
        <v>22702501.783123195</v>
      </c>
      <c r="U215" s="31">
        <v>550487.40999999992</v>
      </c>
      <c r="V215" s="31">
        <v>212204.84999999998</v>
      </c>
      <c r="W215" s="31">
        <v>78552.12</v>
      </c>
      <c r="X215" s="31">
        <v>3390733.6845287974</v>
      </c>
      <c r="Y215" s="31">
        <v>1132840.1741864753</v>
      </c>
      <c r="Z215" s="31">
        <v>1661513.3921067808</v>
      </c>
      <c r="AA215" s="31">
        <f t="shared" si="17"/>
        <v>29728833.41394525</v>
      </c>
      <c r="AB215" s="31">
        <v>0</v>
      </c>
      <c r="AD215" s="42" t="s">
        <v>561</v>
      </c>
      <c r="AE215" s="42" t="s">
        <v>562</v>
      </c>
      <c r="AF215" s="43" t="s">
        <v>1275</v>
      </c>
      <c r="AG215" s="44">
        <v>34</v>
      </c>
      <c r="AH215" s="31">
        <v>23121262.919732913</v>
      </c>
      <c r="AI215" s="31">
        <v>560507.4</v>
      </c>
      <c r="AJ215" s="31">
        <v>216010.19</v>
      </c>
      <c r="AK215" s="31">
        <v>80027.249999999985</v>
      </c>
      <c r="AL215" s="31">
        <v>3452855.2883188273</v>
      </c>
      <c r="AM215" s="31">
        <v>1130942.6077727254</v>
      </c>
      <c r="AN215" s="31">
        <v>1691961.9310407457</v>
      </c>
      <c r="AO215" s="31">
        <f t="shared" si="18"/>
        <v>30253567.586865213</v>
      </c>
      <c r="AP215" s="31">
        <v>0</v>
      </c>
      <c r="AR215" s="42" t="s">
        <v>561</v>
      </c>
      <c r="AS215" s="42" t="s">
        <v>562</v>
      </c>
      <c r="AT215" s="43" t="s">
        <v>1276</v>
      </c>
      <c r="AU215" s="44">
        <v>34</v>
      </c>
      <c r="AV215" s="31">
        <v>23592764.548056632</v>
      </c>
      <c r="AW215" s="31">
        <v>571761.85000000009</v>
      </c>
      <c r="AX215" s="31">
        <v>220404.63</v>
      </c>
      <c r="AY215" s="31">
        <v>81603.479999999981</v>
      </c>
      <c r="AZ215" s="31">
        <v>3522755.1401998485</v>
      </c>
      <c r="BA215" s="31">
        <v>1130996.8239559752</v>
      </c>
      <c r="BB215" s="31">
        <v>1726296.4009932519</v>
      </c>
      <c r="BC215" s="31">
        <f t="shared" si="19"/>
        <v>30846582.873205706</v>
      </c>
      <c r="BD215" s="31">
        <v>0</v>
      </c>
    </row>
    <row r="216" spans="2:56">
      <c r="B216" s="42" t="s">
        <v>363</v>
      </c>
      <c r="C216" s="42" t="s">
        <v>364</v>
      </c>
      <c r="D216" s="43" t="s">
        <v>1049</v>
      </c>
      <c r="E216" s="44">
        <v>34</v>
      </c>
      <c r="F216" s="31">
        <v>187224272.69127002</v>
      </c>
      <c r="G216" s="31">
        <v>5827890.3299999991</v>
      </c>
      <c r="H216" s="31">
        <v>2444592.77</v>
      </c>
      <c r="I216" s="31">
        <v>659114.57999999996</v>
      </c>
      <c r="J216" s="31">
        <v>24930759.718671951</v>
      </c>
      <c r="K216" s="31">
        <v>10030450.570353607</v>
      </c>
      <c r="L216" s="31">
        <v>15067100.412274923</v>
      </c>
      <c r="M216" s="31">
        <f t="shared" si="16"/>
        <v>246783683.93257055</v>
      </c>
      <c r="N216" s="31">
        <v>599502.86</v>
      </c>
      <c r="P216" s="42" t="s">
        <v>363</v>
      </c>
      <c r="Q216" s="42" t="s">
        <v>364</v>
      </c>
      <c r="R216" s="43" t="s">
        <v>1050</v>
      </c>
      <c r="S216" s="44">
        <v>34</v>
      </c>
      <c r="T216" s="31">
        <v>200290293.08019802</v>
      </c>
      <c r="U216" s="31">
        <v>6243921.7400000002</v>
      </c>
      <c r="V216" s="31">
        <v>2615081.39</v>
      </c>
      <c r="W216" s="31">
        <v>705131.6</v>
      </c>
      <c r="X216" s="31">
        <v>26536428.874225367</v>
      </c>
      <c r="Y216" s="31">
        <v>10040312.633761752</v>
      </c>
      <c r="Z216" s="31">
        <v>16068455.562964004</v>
      </c>
      <c r="AA216" s="31">
        <f t="shared" si="17"/>
        <v>263131391.43114915</v>
      </c>
      <c r="AB216" s="31">
        <v>631766.55000000005</v>
      </c>
      <c r="AD216" s="42" t="s">
        <v>363</v>
      </c>
      <c r="AE216" s="42" t="s">
        <v>364</v>
      </c>
      <c r="AF216" s="43" t="s">
        <v>1275</v>
      </c>
      <c r="AG216" s="44">
        <v>34</v>
      </c>
      <c r="AH216" s="31">
        <v>204088145.16827154</v>
      </c>
      <c r="AI216" s="31">
        <v>6358084.5999999996</v>
      </c>
      <c r="AJ216" s="31">
        <v>2662886.81</v>
      </c>
      <c r="AK216" s="31">
        <v>718068.12</v>
      </c>
      <c r="AL216" s="31">
        <v>27025191.877827622</v>
      </c>
      <c r="AM216" s="31">
        <v>10032737.904628919</v>
      </c>
      <c r="AN216" s="31">
        <v>16364807.190501502</v>
      </c>
      <c r="AO216" s="31">
        <f t="shared" si="18"/>
        <v>267893362.24122959</v>
      </c>
      <c r="AP216" s="31">
        <v>643440.56999999995</v>
      </c>
      <c r="AR216" s="42" t="s">
        <v>363</v>
      </c>
      <c r="AS216" s="42" t="s">
        <v>364</v>
      </c>
      <c r="AT216" s="43" t="s">
        <v>1276</v>
      </c>
      <c r="AU216" s="44">
        <v>34</v>
      </c>
      <c r="AV216" s="31">
        <v>208347571.6565192</v>
      </c>
      <c r="AW216" s="31">
        <v>6486655.54</v>
      </c>
      <c r="AX216" s="31">
        <v>2716851.9099999997</v>
      </c>
      <c r="AY216" s="31">
        <v>732583.35</v>
      </c>
      <c r="AZ216" s="31">
        <v>27574941.077289388</v>
      </c>
      <c r="BA216" s="31">
        <v>10032954.325461289</v>
      </c>
      <c r="BB216" s="31">
        <v>16698157.765912741</v>
      </c>
      <c r="BC216" s="31">
        <f t="shared" si="19"/>
        <v>273246313.67518264</v>
      </c>
      <c r="BD216" s="31">
        <v>656598.04999999993</v>
      </c>
    </row>
    <row r="217" spans="2:56">
      <c r="B217" s="42" t="s">
        <v>173</v>
      </c>
      <c r="C217" s="42" t="s">
        <v>174</v>
      </c>
      <c r="D217" s="43" t="s">
        <v>1049</v>
      </c>
      <c r="E217" s="44">
        <v>34</v>
      </c>
      <c r="F217" s="31">
        <v>576353.27879886597</v>
      </c>
      <c r="G217" s="31">
        <v>31668.889999999992</v>
      </c>
      <c r="H217" s="31">
        <v>0</v>
      </c>
      <c r="I217" s="31">
        <v>0</v>
      </c>
      <c r="J217" s="31">
        <v>70984.585869469636</v>
      </c>
      <c r="K217" s="31">
        <v>64293.501961947935</v>
      </c>
      <c r="L217" s="31">
        <v>0</v>
      </c>
      <c r="M217" s="31">
        <f t="shared" si="16"/>
        <v>757624.33663028351</v>
      </c>
      <c r="N217" s="31">
        <v>14324.08</v>
      </c>
      <c r="P217" s="42" t="s">
        <v>173</v>
      </c>
      <c r="Q217" s="42" t="s">
        <v>174</v>
      </c>
      <c r="R217" s="43" t="s">
        <v>1050</v>
      </c>
      <c r="S217" s="44">
        <v>34</v>
      </c>
      <c r="T217" s="31">
        <v>619726.13419097406</v>
      </c>
      <c r="U217" s="31">
        <v>33962.549999999996</v>
      </c>
      <c r="V217" s="31">
        <v>0</v>
      </c>
      <c r="W217" s="31">
        <v>0</v>
      </c>
      <c r="X217" s="31">
        <v>75193.495935464554</v>
      </c>
      <c r="Y217" s="31">
        <v>64453.988138594003</v>
      </c>
      <c r="Z217" s="31">
        <v>0</v>
      </c>
      <c r="AA217" s="31">
        <f t="shared" si="17"/>
        <v>808351.95826503262</v>
      </c>
      <c r="AB217" s="31">
        <v>15015.79</v>
      </c>
      <c r="AD217" s="42" t="s">
        <v>173</v>
      </c>
      <c r="AE217" s="42" t="s">
        <v>174</v>
      </c>
      <c r="AF217" s="43" t="s">
        <v>1275</v>
      </c>
      <c r="AG217" s="44">
        <v>34</v>
      </c>
      <c r="AH217" s="31">
        <v>630546.38589333091</v>
      </c>
      <c r="AI217" s="31">
        <v>34551.119999999995</v>
      </c>
      <c r="AJ217" s="31">
        <v>0</v>
      </c>
      <c r="AK217" s="31">
        <v>0</v>
      </c>
      <c r="AL217" s="31">
        <v>76512.583142113217</v>
      </c>
      <c r="AM217" s="31">
        <v>64332.061928452866</v>
      </c>
      <c r="AN217" s="31">
        <v>0</v>
      </c>
      <c r="AO217" s="31">
        <f t="shared" si="18"/>
        <v>821223.2909638969</v>
      </c>
      <c r="AP217" s="31">
        <v>15281.14</v>
      </c>
      <c r="AR217" s="42" t="s">
        <v>173</v>
      </c>
      <c r="AS217" s="42" t="s">
        <v>174</v>
      </c>
      <c r="AT217" s="43" t="s">
        <v>1276</v>
      </c>
      <c r="AU217" s="44">
        <v>34</v>
      </c>
      <c r="AV217" s="31">
        <v>642135.15164425527</v>
      </c>
      <c r="AW217" s="31">
        <v>35181.480000000003</v>
      </c>
      <c r="AX217" s="31">
        <v>0</v>
      </c>
      <c r="AY217" s="31">
        <v>0</v>
      </c>
      <c r="AZ217" s="31">
        <v>77925.307129137553</v>
      </c>
      <c r="BA217" s="31">
        <v>64335.545534456898</v>
      </c>
      <c r="BB217" s="31">
        <v>0</v>
      </c>
      <c r="BC217" s="31">
        <f t="shared" si="19"/>
        <v>835142.83430784964</v>
      </c>
      <c r="BD217" s="31">
        <v>15565.35</v>
      </c>
    </row>
    <row r="218" spans="2:56">
      <c r="B218" s="42" t="s">
        <v>177</v>
      </c>
      <c r="C218" s="42" t="s">
        <v>178</v>
      </c>
      <c r="D218" s="43" t="s">
        <v>1049</v>
      </c>
      <c r="E218" s="44">
        <v>34</v>
      </c>
      <c r="F218" s="31">
        <v>6422163.5048898552</v>
      </c>
      <c r="G218" s="31">
        <v>131740.83999999997</v>
      </c>
      <c r="H218" s="31">
        <v>0</v>
      </c>
      <c r="I218" s="31">
        <v>19083.960000000003</v>
      </c>
      <c r="J218" s="31">
        <v>488480.67727231595</v>
      </c>
      <c r="K218" s="31">
        <v>394942.15604624304</v>
      </c>
      <c r="L218" s="31">
        <v>71097.150419779704</v>
      </c>
      <c r="M218" s="31">
        <f t="shared" si="16"/>
        <v>7527508.2886281945</v>
      </c>
      <c r="N218" s="31">
        <v>0</v>
      </c>
      <c r="P218" s="42" t="s">
        <v>177</v>
      </c>
      <c r="Q218" s="42" t="s">
        <v>178</v>
      </c>
      <c r="R218" s="43" t="s">
        <v>1050</v>
      </c>
      <c r="S218" s="44">
        <v>34</v>
      </c>
      <c r="T218" s="31">
        <v>6883286.8616631124</v>
      </c>
      <c r="U218" s="31">
        <v>141004.47999999998</v>
      </c>
      <c r="V218" s="31">
        <v>0</v>
      </c>
      <c r="W218" s="31">
        <v>20424.349999999999</v>
      </c>
      <c r="X218" s="31">
        <v>519984.85882395355</v>
      </c>
      <c r="Y218" s="31">
        <v>395893.09929290658</v>
      </c>
      <c r="Z218" s="31">
        <v>75735.87440361167</v>
      </c>
      <c r="AA218" s="31">
        <f t="shared" si="17"/>
        <v>8036329.5241835844</v>
      </c>
      <c r="AB218" s="31">
        <v>0</v>
      </c>
      <c r="AD218" s="42" t="s">
        <v>177</v>
      </c>
      <c r="AE218" s="42" t="s">
        <v>178</v>
      </c>
      <c r="AF218" s="43" t="s">
        <v>1275</v>
      </c>
      <c r="AG218" s="44">
        <v>34</v>
      </c>
      <c r="AH218" s="31">
        <v>7043286.7397160456</v>
      </c>
      <c r="AI218" s="31">
        <v>143591.4</v>
      </c>
      <c r="AJ218" s="31">
        <v>0</v>
      </c>
      <c r="AK218" s="31">
        <v>20782.969999999998</v>
      </c>
      <c r="AL218" s="31">
        <v>529573.12246767886</v>
      </c>
      <c r="AM218" s="31">
        <v>395162.71081170667</v>
      </c>
      <c r="AN218" s="31">
        <v>77170.872974627768</v>
      </c>
      <c r="AO218" s="31">
        <f t="shared" si="18"/>
        <v>8209567.8159700586</v>
      </c>
      <c r="AP218" s="31">
        <v>0</v>
      </c>
      <c r="AR218" s="42" t="s">
        <v>177</v>
      </c>
      <c r="AS218" s="42" t="s">
        <v>178</v>
      </c>
      <c r="AT218" s="43" t="s">
        <v>1276</v>
      </c>
      <c r="AU218" s="44">
        <v>34</v>
      </c>
      <c r="AV218" s="31">
        <v>7218502.765211368</v>
      </c>
      <c r="AW218" s="31">
        <v>146471.38999999998</v>
      </c>
      <c r="AX218" s="31">
        <v>0</v>
      </c>
      <c r="AY218" s="31">
        <v>21280.23</v>
      </c>
      <c r="AZ218" s="31">
        <v>540366.38530195295</v>
      </c>
      <c r="BA218" s="31">
        <v>395183.57905402663</v>
      </c>
      <c r="BB218" s="31">
        <v>78744.279857413087</v>
      </c>
      <c r="BC218" s="31">
        <f t="shared" si="19"/>
        <v>8400548.629424762</v>
      </c>
      <c r="BD218" s="31">
        <v>0</v>
      </c>
    </row>
    <row r="219" spans="2:56">
      <c r="B219" s="42" t="s">
        <v>53</v>
      </c>
      <c r="C219" s="42" t="s">
        <v>54</v>
      </c>
      <c r="D219" s="43" t="s">
        <v>1049</v>
      </c>
      <c r="E219" s="44">
        <v>34</v>
      </c>
      <c r="F219" s="31">
        <v>1922797.2689816442</v>
      </c>
      <c r="G219" s="31">
        <v>68112.47</v>
      </c>
      <c r="H219" s="31">
        <v>0</v>
      </c>
      <c r="I219" s="31">
        <v>0</v>
      </c>
      <c r="J219" s="31">
        <v>137305.83723815694</v>
      </c>
      <c r="K219" s="31">
        <v>72574.649999999994</v>
      </c>
      <c r="L219" s="31">
        <v>92668.987948094917</v>
      </c>
      <c r="M219" s="31">
        <f t="shared" si="16"/>
        <v>2326297.4141678959</v>
      </c>
      <c r="N219" s="31">
        <v>32838.200000000004</v>
      </c>
      <c r="P219" s="42" t="s">
        <v>53</v>
      </c>
      <c r="Q219" s="42" t="s">
        <v>54</v>
      </c>
      <c r="R219" s="43" t="s">
        <v>1050</v>
      </c>
      <c r="S219" s="44">
        <v>34</v>
      </c>
      <c r="T219" s="31">
        <v>2052855.5789871817</v>
      </c>
      <c r="U219" s="31">
        <v>73497.67</v>
      </c>
      <c r="V219" s="31">
        <v>0</v>
      </c>
      <c r="W219" s="31">
        <v>0</v>
      </c>
      <c r="X219" s="31">
        <v>146181.54844960655</v>
      </c>
      <c r="Y219" s="31">
        <v>72574.649999999994</v>
      </c>
      <c r="Z219" s="31">
        <v>99674.716130409783</v>
      </c>
      <c r="AA219" s="31">
        <f t="shared" si="17"/>
        <v>2479412.4035671982</v>
      </c>
      <c r="AB219" s="31">
        <v>34628.240000000005</v>
      </c>
      <c r="AD219" s="42" t="s">
        <v>53</v>
      </c>
      <c r="AE219" s="42" t="s">
        <v>54</v>
      </c>
      <c r="AF219" s="43" t="s">
        <v>1275</v>
      </c>
      <c r="AG219" s="44">
        <v>34</v>
      </c>
      <c r="AH219" s="31">
        <v>2088737.4804560686</v>
      </c>
      <c r="AI219" s="31">
        <v>74770.880000000005</v>
      </c>
      <c r="AJ219" s="31">
        <v>0</v>
      </c>
      <c r="AK219" s="31">
        <v>0</v>
      </c>
      <c r="AL219" s="31">
        <v>148849.75266822329</v>
      </c>
      <c r="AM219" s="31">
        <v>72574.649999999994</v>
      </c>
      <c r="AN219" s="31">
        <v>101441.93796699491</v>
      </c>
      <c r="AO219" s="31">
        <f t="shared" si="18"/>
        <v>2521614.8910912867</v>
      </c>
      <c r="AP219" s="31">
        <v>35240.19</v>
      </c>
      <c r="AR219" s="42" t="s">
        <v>53</v>
      </c>
      <c r="AS219" s="42" t="s">
        <v>54</v>
      </c>
      <c r="AT219" s="43" t="s">
        <v>1276</v>
      </c>
      <c r="AU219" s="44">
        <v>34</v>
      </c>
      <c r="AV219" s="31">
        <v>2127520.9801597251</v>
      </c>
      <c r="AW219" s="31">
        <v>76351.109999999986</v>
      </c>
      <c r="AX219" s="31">
        <v>0</v>
      </c>
      <c r="AY219" s="31">
        <v>0</v>
      </c>
      <c r="AZ219" s="31">
        <v>151867.453937824</v>
      </c>
      <c r="BA219" s="31">
        <v>72574.649999999994</v>
      </c>
      <c r="BB219" s="31">
        <v>103543.08897700082</v>
      </c>
      <c r="BC219" s="31">
        <f t="shared" si="19"/>
        <v>2567858.7730745496</v>
      </c>
      <c r="BD219" s="31">
        <v>36001.490000000005</v>
      </c>
    </row>
    <row r="220" spans="2:56">
      <c r="B220" s="42" t="s">
        <v>51</v>
      </c>
      <c r="C220" s="42" t="s">
        <v>52</v>
      </c>
      <c r="D220" s="43" t="s">
        <v>1049</v>
      </c>
      <c r="E220" s="44">
        <v>34</v>
      </c>
      <c r="F220" s="31">
        <v>27990104.674331315</v>
      </c>
      <c r="G220" s="31">
        <v>1282443.7899999998</v>
      </c>
      <c r="H220" s="31">
        <v>369113.07</v>
      </c>
      <c r="I220" s="31">
        <v>0</v>
      </c>
      <c r="J220" s="31">
        <v>3822528.207699785</v>
      </c>
      <c r="K220" s="31">
        <v>616113.08600477513</v>
      </c>
      <c r="L220" s="31">
        <v>501668.60730505304</v>
      </c>
      <c r="M220" s="31">
        <f t="shared" si="16"/>
        <v>35519175.615340926</v>
      </c>
      <c r="N220" s="31">
        <v>937204.17999999993</v>
      </c>
      <c r="P220" s="42" t="s">
        <v>51</v>
      </c>
      <c r="Q220" s="42" t="s">
        <v>52</v>
      </c>
      <c r="R220" s="43" t="s">
        <v>1050</v>
      </c>
      <c r="S220" s="44">
        <v>34</v>
      </c>
      <c r="T220" s="31">
        <v>30153759.142813288</v>
      </c>
      <c r="U220" s="31">
        <v>1388084.8899999997</v>
      </c>
      <c r="V220" s="31">
        <v>395043.47000000003</v>
      </c>
      <c r="W220" s="31">
        <v>0</v>
      </c>
      <c r="X220" s="31">
        <v>4069426.1963890716</v>
      </c>
      <c r="Y220" s="31">
        <v>617543.85614036059</v>
      </c>
      <c r="Z220" s="31">
        <v>540286.81672004226</v>
      </c>
      <c r="AA220" s="31">
        <f t="shared" si="17"/>
        <v>38151508.642062761</v>
      </c>
      <c r="AB220" s="31">
        <v>987364.27</v>
      </c>
      <c r="AD220" s="42" t="s">
        <v>51</v>
      </c>
      <c r="AE220" s="42" t="s">
        <v>52</v>
      </c>
      <c r="AF220" s="43" t="s">
        <v>1275</v>
      </c>
      <c r="AG220" s="44">
        <v>34</v>
      </c>
      <c r="AH220" s="31">
        <v>30894695.762485098</v>
      </c>
      <c r="AI220" s="31">
        <v>1413118.7400000002</v>
      </c>
      <c r="AJ220" s="31">
        <v>402247.71</v>
      </c>
      <c r="AK220" s="31">
        <v>0</v>
      </c>
      <c r="AL220" s="31">
        <v>4144144.0612539761</v>
      </c>
      <c r="AM220" s="31">
        <v>616456.85672482953</v>
      </c>
      <c r="AN220" s="31">
        <v>550077.41871588316</v>
      </c>
      <c r="AO220" s="31">
        <f t="shared" si="18"/>
        <v>39026281.359179787</v>
      </c>
      <c r="AP220" s="31">
        <v>1005540.8099999999</v>
      </c>
      <c r="AR220" s="42" t="s">
        <v>51</v>
      </c>
      <c r="AS220" s="42" t="s">
        <v>52</v>
      </c>
      <c r="AT220" s="43" t="s">
        <v>1276</v>
      </c>
      <c r="AU220" s="44">
        <v>34</v>
      </c>
      <c r="AV220" s="31">
        <v>31706640.886092562</v>
      </c>
      <c r="AW220" s="31">
        <v>1441197.85</v>
      </c>
      <c r="AX220" s="31">
        <v>410275.13</v>
      </c>
      <c r="AY220" s="31">
        <v>0</v>
      </c>
      <c r="AZ220" s="31">
        <v>4228185.44285993</v>
      </c>
      <c r="BA220" s="31">
        <v>616487.91385098756</v>
      </c>
      <c r="BB220" s="31">
        <v>561273.23961738346</v>
      </c>
      <c r="BC220" s="31">
        <f t="shared" si="19"/>
        <v>39989996.732420869</v>
      </c>
      <c r="BD220" s="31">
        <v>1025936.27</v>
      </c>
    </row>
    <row r="221" spans="2:56">
      <c r="B221" s="42" t="s">
        <v>123</v>
      </c>
      <c r="C221" s="42" t="s">
        <v>124</v>
      </c>
      <c r="D221" s="43" t="s">
        <v>1049</v>
      </c>
      <c r="E221" s="44">
        <v>34</v>
      </c>
      <c r="F221" s="31">
        <v>24915210.81365066</v>
      </c>
      <c r="G221" s="31">
        <v>1623201.0099999998</v>
      </c>
      <c r="H221" s="31">
        <v>1899646.04</v>
      </c>
      <c r="I221" s="31">
        <v>88185.67</v>
      </c>
      <c r="J221" s="31">
        <v>3843999.8081878908</v>
      </c>
      <c r="K221" s="31">
        <v>1637857.6464173042</v>
      </c>
      <c r="L221" s="31">
        <v>2442974.6996986228</v>
      </c>
      <c r="M221" s="31">
        <f t="shared" si="16"/>
        <v>37344333.207954474</v>
      </c>
      <c r="N221" s="31">
        <v>893257.52</v>
      </c>
      <c r="P221" s="42" t="s">
        <v>123</v>
      </c>
      <c r="Q221" s="42" t="s">
        <v>124</v>
      </c>
      <c r="R221" s="43" t="s">
        <v>1050</v>
      </c>
      <c r="S221" s="44">
        <v>34</v>
      </c>
      <c r="T221" s="31">
        <v>26943434.990253527</v>
      </c>
      <c r="U221" s="31">
        <v>1751989.1999999997</v>
      </c>
      <c r="V221" s="31">
        <v>2032912.14</v>
      </c>
      <c r="W221" s="31">
        <v>94428.560000000012</v>
      </c>
      <c r="X221" s="31">
        <v>4092041.0277288184</v>
      </c>
      <c r="Y221" s="31">
        <v>1641939.4836684044</v>
      </c>
      <c r="Z221" s="31">
        <v>2631087.2734221411</v>
      </c>
      <c r="AA221" s="31">
        <f t="shared" si="17"/>
        <v>40128821.655072883</v>
      </c>
      <c r="AB221" s="31">
        <v>940988.98</v>
      </c>
      <c r="AD221" s="42" t="s">
        <v>123</v>
      </c>
      <c r="AE221" s="42" t="s">
        <v>124</v>
      </c>
      <c r="AF221" s="43" t="s">
        <v>1275</v>
      </c>
      <c r="AG221" s="44">
        <v>34</v>
      </c>
      <c r="AH221" s="31">
        <v>27445703.900118493</v>
      </c>
      <c r="AI221" s="31">
        <v>1783693.7699999998</v>
      </c>
      <c r="AJ221" s="31">
        <v>2069833.72</v>
      </c>
      <c r="AK221" s="31">
        <v>96074.920000000013</v>
      </c>
      <c r="AL221" s="31">
        <v>4167013.7537428299</v>
      </c>
      <c r="AM221" s="31">
        <v>1638838.3882542045</v>
      </c>
      <c r="AN221" s="31">
        <v>2679062.2771992516</v>
      </c>
      <c r="AO221" s="31">
        <f t="shared" si="18"/>
        <v>40838462.759314783</v>
      </c>
      <c r="AP221" s="31">
        <v>958242.03</v>
      </c>
      <c r="AR221" s="42" t="s">
        <v>123</v>
      </c>
      <c r="AS221" s="42" t="s">
        <v>124</v>
      </c>
      <c r="AT221" s="43" t="s">
        <v>1276</v>
      </c>
      <c r="AU221" s="44">
        <v>34</v>
      </c>
      <c r="AV221" s="31">
        <v>28009964.618914574</v>
      </c>
      <c r="AW221" s="31">
        <v>1819230.6299999997</v>
      </c>
      <c r="AX221" s="31">
        <v>2111476.3199999998</v>
      </c>
      <c r="AY221" s="31">
        <v>98053.16</v>
      </c>
      <c r="AZ221" s="31">
        <v>4251362.1894810032</v>
      </c>
      <c r="BA221" s="31">
        <v>1638926.9909803246</v>
      </c>
      <c r="BB221" s="31">
        <v>2733385.2912579197</v>
      </c>
      <c r="BC221" s="31">
        <f t="shared" si="19"/>
        <v>41640157.020633824</v>
      </c>
      <c r="BD221" s="31">
        <v>977757.82000000007</v>
      </c>
    </row>
    <row r="222" spans="2:56">
      <c r="B222" s="42" t="s">
        <v>225</v>
      </c>
      <c r="C222" s="42" t="s">
        <v>226</v>
      </c>
      <c r="D222" s="43" t="s">
        <v>1049</v>
      </c>
      <c r="E222" s="44">
        <v>34</v>
      </c>
      <c r="F222" s="31">
        <v>2862141.0068789697</v>
      </c>
      <c r="G222" s="31">
        <v>181011.11999999997</v>
      </c>
      <c r="H222" s="31">
        <v>183495.37</v>
      </c>
      <c r="I222" s="31">
        <v>0</v>
      </c>
      <c r="J222" s="31">
        <v>219875.19641365614</v>
      </c>
      <c r="K222" s="31">
        <v>317130.34000000003</v>
      </c>
      <c r="L222" s="31">
        <v>0</v>
      </c>
      <c r="M222" s="31">
        <f t="shared" si="16"/>
        <v>3874992.3832926261</v>
      </c>
      <c r="N222" s="31">
        <v>111339.35</v>
      </c>
      <c r="P222" s="42" t="s">
        <v>225</v>
      </c>
      <c r="Q222" s="42" t="s">
        <v>226</v>
      </c>
      <c r="R222" s="43" t="s">
        <v>1050</v>
      </c>
      <c r="S222" s="44">
        <v>34</v>
      </c>
      <c r="T222" s="31">
        <v>3109039.6943851081</v>
      </c>
      <c r="U222" s="31">
        <v>195045.02000000002</v>
      </c>
      <c r="V222" s="31">
        <v>196169.14</v>
      </c>
      <c r="W222" s="31">
        <v>0</v>
      </c>
      <c r="X222" s="31">
        <v>234042.3719184573</v>
      </c>
      <c r="Y222" s="31">
        <v>317130.34000000003</v>
      </c>
      <c r="Z222" s="31">
        <v>0</v>
      </c>
      <c r="AA222" s="31">
        <f t="shared" si="17"/>
        <v>4168714.5063035651</v>
      </c>
      <c r="AB222" s="31">
        <v>117287.94</v>
      </c>
      <c r="AD222" s="42" t="s">
        <v>225</v>
      </c>
      <c r="AE222" s="42" t="s">
        <v>226</v>
      </c>
      <c r="AF222" s="43" t="s">
        <v>1275</v>
      </c>
      <c r="AG222" s="44">
        <v>34</v>
      </c>
      <c r="AH222" s="31">
        <v>3166951.5101684397</v>
      </c>
      <c r="AI222" s="31">
        <v>198732.94999999995</v>
      </c>
      <c r="AJ222" s="31">
        <v>199777.56000000003</v>
      </c>
      <c r="AK222" s="31">
        <v>0</v>
      </c>
      <c r="AL222" s="31">
        <v>238399.72868356318</v>
      </c>
      <c r="AM222" s="31">
        <v>317130.34000000003</v>
      </c>
      <c r="AN222" s="31">
        <v>0</v>
      </c>
      <c r="AO222" s="31">
        <f t="shared" si="18"/>
        <v>4240509.4388520028</v>
      </c>
      <c r="AP222" s="31">
        <v>119517.35000000002</v>
      </c>
      <c r="AR222" s="42" t="s">
        <v>225</v>
      </c>
      <c r="AS222" s="42" t="s">
        <v>226</v>
      </c>
      <c r="AT222" s="43" t="s">
        <v>1276</v>
      </c>
      <c r="AU222" s="44">
        <v>34</v>
      </c>
      <c r="AV222" s="31">
        <v>3231877.7304040017</v>
      </c>
      <c r="AW222" s="31">
        <v>202676.07000000007</v>
      </c>
      <c r="AX222" s="31">
        <v>203887.18000000002</v>
      </c>
      <c r="AY222" s="31">
        <v>0</v>
      </c>
      <c r="AZ222" s="31">
        <v>243281.83392099902</v>
      </c>
      <c r="BA222" s="31">
        <v>317130.34000000003</v>
      </c>
      <c r="BB222" s="31">
        <v>0</v>
      </c>
      <c r="BC222" s="31">
        <f t="shared" si="19"/>
        <v>4320877.0743250009</v>
      </c>
      <c r="BD222" s="31">
        <v>122023.92</v>
      </c>
    </row>
    <row r="223" spans="2:56">
      <c r="B223" s="42" t="s">
        <v>515</v>
      </c>
      <c r="C223" s="42" t="s">
        <v>516</v>
      </c>
      <c r="D223" s="43" t="s">
        <v>1049</v>
      </c>
      <c r="E223" s="44">
        <v>34</v>
      </c>
      <c r="F223" s="31">
        <v>7286826.6895217421</v>
      </c>
      <c r="G223" s="31">
        <v>243899.15</v>
      </c>
      <c r="H223" s="31">
        <v>0</v>
      </c>
      <c r="I223" s="31">
        <v>24847.89</v>
      </c>
      <c r="J223" s="31">
        <v>1120394.0227980902</v>
      </c>
      <c r="K223" s="31">
        <v>432587.11366815795</v>
      </c>
      <c r="L223" s="31">
        <v>697270.35079997056</v>
      </c>
      <c r="M223" s="31">
        <f t="shared" si="16"/>
        <v>9805825.2167879604</v>
      </c>
      <c r="N223" s="31">
        <v>0</v>
      </c>
      <c r="P223" s="42" t="s">
        <v>515</v>
      </c>
      <c r="Q223" s="42" t="s">
        <v>516</v>
      </c>
      <c r="R223" s="43" t="s">
        <v>1050</v>
      </c>
      <c r="S223" s="44">
        <v>34</v>
      </c>
      <c r="T223" s="31">
        <v>7788991.8728311835</v>
      </c>
      <c r="U223" s="31">
        <v>260975.65</v>
      </c>
      <c r="V223" s="31">
        <v>0</v>
      </c>
      <c r="W223" s="31">
        <v>26668.31</v>
      </c>
      <c r="X223" s="31">
        <v>1192670.2581241552</v>
      </c>
      <c r="Y223" s="31">
        <v>433460.97378796409</v>
      </c>
      <c r="Z223" s="31">
        <v>743591.80913513969</v>
      </c>
      <c r="AA223" s="31">
        <f t="shared" si="17"/>
        <v>10446358.873878442</v>
      </c>
      <c r="AB223" s="31">
        <v>0</v>
      </c>
      <c r="AD223" s="42" t="s">
        <v>515</v>
      </c>
      <c r="AE223" s="42" t="s">
        <v>516</v>
      </c>
      <c r="AF223" s="43" t="s">
        <v>1275</v>
      </c>
      <c r="AG223" s="44">
        <v>34</v>
      </c>
      <c r="AH223" s="31">
        <v>7932576.1252505314</v>
      </c>
      <c r="AI223" s="31">
        <v>265736.88000000006</v>
      </c>
      <c r="AJ223" s="31">
        <v>0</v>
      </c>
      <c r="AK223" s="31">
        <v>27133.260000000002</v>
      </c>
      <c r="AL223" s="31">
        <v>1214526.251587854</v>
      </c>
      <c r="AM223" s="31">
        <v>432797.07578236563</v>
      </c>
      <c r="AN223" s="31">
        <v>757470.05899165757</v>
      </c>
      <c r="AO223" s="31">
        <f t="shared" si="18"/>
        <v>10630239.651612408</v>
      </c>
      <c r="AP223" s="31">
        <v>0</v>
      </c>
      <c r="AR223" s="42" t="s">
        <v>515</v>
      </c>
      <c r="AS223" s="42" t="s">
        <v>516</v>
      </c>
      <c r="AT223" s="43" t="s">
        <v>1276</v>
      </c>
      <c r="AU223" s="44">
        <v>34</v>
      </c>
      <c r="AV223" s="31">
        <v>8092233.9537078701</v>
      </c>
      <c r="AW223" s="31">
        <v>271151.44999999995</v>
      </c>
      <c r="AX223" s="31">
        <v>0</v>
      </c>
      <c r="AY223" s="31">
        <v>27631.23</v>
      </c>
      <c r="AZ223" s="31">
        <v>1239104.9172115957</v>
      </c>
      <c r="BA223" s="31">
        <v>432816.04429681128</v>
      </c>
      <c r="BB223" s="31">
        <v>772808.45309225435</v>
      </c>
      <c r="BC223" s="31">
        <f t="shared" si="19"/>
        <v>10835746.048308531</v>
      </c>
      <c r="BD223" s="31">
        <v>0</v>
      </c>
    </row>
    <row r="224" spans="2:56">
      <c r="B224" s="42" t="s">
        <v>345</v>
      </c>
      <c r="C224" s="42" t="s">
        <v>346</v>
      </c>
      <c r="D224" s="43" t="s">
        <v>1049</v>
      </c>
      <c r="E224" s="44">
        <v>34</v>
      </c>
      <c r="F224" s="31">
        <v>4660309.6391896475</v>
      </c>
      <c r="G224" s="31">
        <v>229087.84</v>
      </c>
      <c r="H224" s="31">
        <v>95981.11</v>
      </c>
      <c r="I224" s="31">
        <v>14713.87</v>
      </c>
      <c r="J224" s="31">
        <v>628242.97358206427</v>
      </c>
      <c r="K224" s="31">
        <v>483278.13467647217</v>
      </c>
      <c r="L224" s="31">
        <v>345864.48450775794</v>
      </c>
      <c r="M224" s="31">
        <f t="shared" si="16"/>
        <v>6606662.8919559428</v>
      </c>
      <c r="N224" s="31">
        <v>149184.84</v>
      </c>
      <c r="P224" s="42" t="s">
        <v>345</v>
      </c>
      <c r="Q224" s="42" t="s">
        <v>346</v>
      </c>
      <c r="R224" s="43" t="s">
        <v>1050</v>
      </c>
      <c r="S224" s="44">
        <v>34</v>
      </c>
      <c r="T224" s="31">
        <v>5023656.7908620816</v>
      </c>
      <c r="U224" s="31">
        <v>247591.59000000003</v>
      </c>
      <c r="V224" s="31">
        <v>102626.22000000002</v>
      </c>
      <c r="W224" s="31">
        <v>15668.919999999998</v>
      </c>
      <c r="X224" s="31">
        <v>668789.98869886657</v>
      </c>
      <c r="Y224" s="31">
        <v>484368.66891317931</v>
      </c>
      <c r="Z224" s="31">
        <v>372458.63444345223</v>
      </c>
      <c r="AA224" s="31">
        <f t="shared" si="17"/>
        <v>7072366.8429175792</v>
      </c>
      <c r="AB224" s="31">
        <v>157206.03000000003</v>
      </c>
      <c r="AD224" s="42" t="s">
        <v>345</v>
      </c>
      <c r="AE224" s="42" t="s">
        <v>346</v>
      </c>
      <c r="AF224" s="43" t="s">
        <v>1275</v>
      </c>
      <c r="AG224" s="44">
        <v>34</v>
      </c>
      <c r="AH224" s="31">
        <v>5116103.9112296049</v>
      </c>
      <c r="AI224" s="31">
        <v>252083.77000000005</v>
      </c>
      <c r="AJ224" s="31">
        <v>104521.06</v>
      </c>
      <c r="AK224" s="31">
        <v>15942.099999999999</v>
      </c>
      <c r="AL224" s="31">
        <v>681037.21351855458</v>
      </c>
      <c r="AM224" s="31">
        <v>483540.15701707936</v>
      </c>
      <c r="AN224" s="31">
        <v>379273.94634441618</v>
      </c>
      <c r="AO224" s="31">
        <f t="shared" si="18"/>
        <v>7192590.3181096548</v>
      </c>
      <c r="AP224" s="31">
        <v>160088.16</v>
      </c>
      <c r="AR224" s="42" t="s">
        <v>345</v>
      </c>
      <c r="AS224" s="42" t="s">
        <v>346</v>
      </c>
      <c r="AT224" s="43" t="s">
        <v>1276</v>
      </c>
      <c r="AU224" s="44">
        <v>34</v>
      </c>
      <c r="AV224" s="31">
        <v>5219363.4573303023</v>
      </c>
      <c r="AW224" s="31">
        <v>257105.84000000003</v>
      </c>
      <c r="AX224" s="31">
        <v>106761.86000000002</v>
      </c>
      <c r="AY224" s="31">
        <v>16342.19</v>
      </c>
      <c r="AZ224" s="31">
        <v>694820.95235048514</v>
      </c>
      <c r="BA224" s="31">
        <v>483563.82878553931</v>
      </c>
      <c r="BB224" s="31">
        <v>386929.49751829146</v>
      </c>
      <c r="BC224" s="31">
        <f t="shared" si="19"/>
        <v>7328270.8159846198</v>
      </c>
      <c r="BD224" s="31">
        <v>163383.19</v>
      </c>
    </row>
    <row r="225" spans="2:56">
      <c r="B225" s="42" t="s">
        <v>299</v>
      </c>
      <c r="C225" s="42" t="s">
        <v>300</v>
      </c>
      <c r="D225" s="43" t="s">
        <v>1049</v>
      </c>
      <c r="E225" s="44">
        <v>34</v>
      </c>
      <c r="F225" s="31">
        <v>5979110.5931076743</v>
      </c>
      <c r="G225" s="31">
        <v>207260.68999999997</v>
      </c>
      <c r="H225" s="31">
        <v>11303.359999999999</v>
      </c>
      <c r="I225" s="31">
        <v>0</v>
      </c>
      <c r="J225" s="31">
        <v>696276.00938230043</v>
      </c>
      <c r="K225" s="31">
        <v>794958.99997381598</v>
      </c>
      <c r="L225" s="31">
        <v>535286.93798250938</v>
      </c>
      <c r="M225" s="31">
        <f t="shared" si="16"/>
        <v>8224196.5904463008</v>
      </c>
      <c r="N225" s="31">
        <v>0</v>
      </c>
      <c r="P225" s="42" t="s">
        <v>299</v>
      </c>
      <c r="Q225" s="42" t="s">
        <v>300</v>
      </c>
      <c r="R225" s="43" t="s">
        <v>1050</v>
      </c>
      <c r="S225" s="44">
        <v>34</v>
      </c>
      <c r="T225" s="31">
        <v>6391043.6820084993</v>
      </c>
      <c r="U225" s="31">
        <v>221855.25</v>
      </c>
      <c r="V225" s="31">
        <v>12140.82</v>
      </c>
      <c r="W225" s="31">
        <v>0</v>
      </c>
      <c r="X225" s="31">
        <v>741190.69582269678</v>
      </c>
      <c r="Y225" s="31">
        <v>796966.02403670538</v>
      </c>
      <c r="Z225" s="31">
        <v>571004.10070465342</v>
      </c>
      <c r="AA225" s="31">
        <f t="shared" si="17"/>
        <v>8734200.5725725554</v>
      </c>
      <c r="AB225" s="31">
        <v>0</v>
      </c>
      <c r="AD225" s="42" t="s">
        <v>299</v>
      </c>
      <c r="AE225" s="42" t="s">
        <v>300</v>
      </c>
      <c r="AF225" s="43" t="s">
        <v>1275</v>
      </c>
      <c r="AG225" s="44">
        <v>34</v>
      </c>
      <c r="AH225" s="31">
        <v>6510294.9238056857</v>
      </c>
      <c r="AI225" s="31">
        <v>225828.84</v>
      </c>
      <c r="AJ225" s="31">
        <v>12352.49</v>
      </c>
      <c r="AK225" s="31">
        <v>0</v>
      </c>
      <c r="AL225" s="31">
        <v>754774.86059894366</v>
      </c>
      <c r="AM225" s="31">
        <v>795441.22705565544</v>
      </c>
      <c r="AN225" s="31">
        <v>581676.98252449324</v>
      </c>
      <c r="AO225" s="31">
        <f t="shared" si="18"/>
        <v>8880369.3239847794</v>
      </c>
      <c r="AP225" s="31">
        <v>0</v>
      </c>
      <c r="AR225" s="42" t="s">
        <v>299</v>
      </c>
      <c r="AS225" s="42" t="s">
        <v>300</v>
      </c>
      <c r="AT225" s="43" t="s">
        <v>1276</v>
      </c>
      <c r="AU225" s="44">
        <v>34</v>
      </c>
      <c r="AV225" s="31">
        <v>6642937.6837617652</v>
      </c>
      <c r="AW225" s="31">
        <v>230403.48</v>
      </c>
      <c r="AX225" s="31">
        <v>12579.179999999998</v>
      </c>
      <c r="AY225" s="31">
        <v>0</v>
      </c>
      <c r="AZ225" s="31">
        <v>770052.86549571448</v>
      </c>
      <c r="BA225" s="31">
        <v>795484.79268368543</v>
      </c>
      <c r="BB225" s="31">
        <v>593254.69723706914</v>
      </c>
      <c r="BC225" s="31">
        <f t="shared" si="19"/>
        <v>9044712.6991782337</v>
      </c>
      <c r="BD225" s="31">
        <v>0</v>
      </c>
    </row>
    <row r="226" spans="2:56">
      <c r="B226" s="42" t="s">
        <v>195</v>
      </c>
      <c r="C226" s="42" t="s">
        <v>196</v>
      </c>
      <c r="D226" s="43" t="s">
        <v>1049</v>
      </c>
      <c r="E226" s="44">
        <v>34</v>
      </c>
      <c r="F226" s="31">
        <v>131378298.52612059</v>
      </c>
      <c r="G226" s="31">
        <v>5706310.7700000005</v>
      </c>
      <c r="H226" s="31">
        <v>5366872.5500000007</v>
      </c>
      <c r="I226" s="31">
        <v>481040.16</v>
      </c>
      <c r="J226" s="31">
        <v>21486066.092669141</v>
      </c>
      <c r="K226" s="31">
        <v>7444110.5770329917</v>
      </c>
      <c r="L226" s="31">
        <v>14457247.405506978</v>
      </c>
      <c r="M226" s="31">
        <f t="shared" si="16"/>
        <v>188760829.71132967</v>
      </c>
      <c r="N226" s="31">
        <v>2440883.63</v>
      </c>
      <c r="P226" s="42" t="s">
        <v>195</v>
      </c>
      <c r="Q226" s="42" t="s">
        <v>196</v>
      </c>
      <c r="R226" s="43" t="s">
        <v>1050</v>
      </c>
      <c r="S226" s="44">
        <v>34</v>
      </c>
      <c r="T226" s="31">
        <v>141994852.0152221</v>
      </c>
      <c r="U226" s="31">
        <v>6136182.209999999</v>
      </c>
      <c r="V226" s="31">
        <v>5737436.5899999999</v>
      </c>
      <c r="W226" s="31">
        <v>514268.26000000007</v>
      </c>
      <c r="X226" s="31">
        <v>22865210.329432614</v>
      </c>
      <c r="Y226" s="31">
        <v>7462148.6684314199</v>
      </c>
      <c r="Z226" s="31">
        <v>15565141.780215589</v>
      </c>
      <c r="AA226" s="31">
        <f t="shared" si="17"/>
        <v>202848702.82330173</v>
      </c>
      <c r="AB226" s="31">
        <v>2573462.9700000002</v>
      </c>
      <c r="AD226" s="42" t="s">
        <v>195</v>
      </c>
      <c r="AE226" s="42" t="s">
        <v>196</v>
      </c>
      <c r="AF226" s="43" t="s">
        <v>1275</v>
      </c>
      <c r="AG226" s="44">
        <v>34</v>
      </c>
      <c r="AH226" s="31">
        <v>144706809.48355678</v>
      </c>
      <c r="AI226" s="31">
        <v>6249365.6199999992</v>
      </c>
      <c r="AJ226" s="31">
        <v>5843799.3600000003</v>
      </c>
      <c r="AK226" s="31">
        <v>523774.23</v>
      </c>
      <c r="AL226" s="31">
        <v>23290119.177247841</v>
      </c>
      <c r="AM226" s="31">
        <v>7448022.7328315508</v>
      </c>
      <c r="AN226" s="31">
        <v>15854828.159183083</v>
      </c>
      <c r="AO226" s="31">
        <f t="shared" si="18"/>
        <v>206538381.65281925</v>
      </c>
      <c r="AP226" s="31">
        <v>2621662.89</v>
      </c>
      <c r="AR226" s="42" t="s">
        <v>195</v>
      </c>
      <c r="AS226" s="42" t="s">
        <v>196</v>
      </c>
      <c r="AT226" s="43" t="s">
        <v>1276</v>
      </c>
      <c r="AU226" s="44">
        <v>34</v>
      </c>
      <c r="AV226" s="31">
        <v>147747881.89734986</v>
      </c>
      <c r="AW226" s="31">
        <v>6376689.6199999992</v>
      </c>
      <c r="AX226" s="31">
        <v>5963170.7100000009</v>
      </c>
      <c r="AY226" s="31">
        <v>534565.55000000005</v>
      </c>
      <c r="AZ226" s="31">
        <v>23767884.427376542</v>
      </c>
      <c r="BA226" s="31">
        <v>7448426.3309915466</v>
      </c>
      <c r="BB226" s="31">
        <v>16180714.116496729</v>
      </c>
      <c r="BC226" s="31">
        <f t="shared" si="19"/>
        <v>210695134.2522147</v>
      </c>
      <c r="BD226" s="31">
        <v>2675801.5999999996</v>
      </c>
    </row>
    <row r="227" spans="2:56">
      <c r="B227" s="42" t="s">
        <v>109</v>
      </c>
      <c r="C227" s="42" t="s">
        <v>110</v>
      </c>
      <c r="D227" s="43" t="s">
        <v>1049</v>
      </c>
      <c r="E227" s="44">
        <v>34</v>
      </c>
      <c r="F227" s="31">
        <v>3762542.6910178643</v>
      </c>
      <c r="G227" s="31">
        <v>167968.81</v>
      </c>
      <c r="H227" s="31">
        <v>0</v>
      </c>
      <c r="I227" s="31">
        <v>10592.62</v>
      </c>
      <c r="J227" s="31">
        <v>456602.94927393354</v>
      </c>
      <c r="K227" s="31">
        <v>417425.80251662078</v>
      </c>
      <c r="L227" s="31">
        <v>109681.7823202669</v>
      </c>
      <c r="M227" s="31">
        <f t="shared" si="16"/>
        <v>5013288.3351286845</v>
      </c>
      <c r="N227" s="31">
        <v>88473.68</v>
      </c>
      <c r="P227" s="42" t="s">
        <v>109</v>
      </c>
      <c r="Q227" s="42" t="s">
        <v>110</v>
      </c>
      <c r="R227" s="43" t="s">
        <v>1050</v>
      </c>
      <c r="S227" s="44">
        <v>34</v>
      </c>
      <c r="T227" s="31">
        <v>4047089.823739294</v>
      </c>
      <c r="U227" s="31">
        <v>181119.51</v>
      </c>
      <c r="V227" s="31">
        <v>0</v>
      </c>
      <c r="W227" s="31">
        <v>11277.35</v>
      </c>
      <c r="X227" s="31">
        <v>486057.53854281153</v>
      </c>
      <c r="Y227" s="31">
        <v>418454.46630202321</v>
      </c>
      <c r="Z227" s="31">
        <v>117991.05407934525</v>
      </c>
      <c r="AA227" s="31">
        <f t="shared" si="17"/>
        <v>5355178.2526634736</v>
      </c>
      <c r="AB227" s="31">
        <v>93188.51</v>
      </c>
      <c r="AD227" s="42" t="s">
        <v>109</v>
      </c>
      <c r="AE227" s="42" t="s">
        <v>110</v>
      </c>
      <c r="AF227" s="43" t="s">
        <v>1275</v>
      </c>
      <c r="AG227" s="44">
        <v>34</v>
      </c>
      <c r="AH227" s="31">
        <v>4125817.7656699708</v>
      </c>
      <c r="AI227" s="31">
        <v>184381.88999999998</v>
      </c>
      <c r="AJ227" s="31">
        <v>0</v>
      </c>
      <c r="AK227" s="31">
        <v>11474.92</v>
      </c>
      <c r="AL227" s="31">
        <v>494996.4221759229</v>
      </c>
      <c r="AM227" s="31">
        <v>417672.95926207327</v>
      </c>
      <c r="AN227" s="31">
        <v>120198.2311520006</v>
      </c>
      <c r="AO227" s="31">
        <f t="shared" si="18"/>
        <v>5449492.338259968</v>
      </c>
      <c r="AP227" s="31">
        <v>94950.15</v>
      </c>
      <c r="AR227" s="42" t="s">
        <v>109</v>
      </c>
      <c r="AS227" s="42" t="s">
        <v>110</v>
      </c>
      <c r="AT227" s="43" t="s">
        <v>1276</v>
      </c>
      <c r="AU227" s="44">
        <v>34</v>
      </c>
      <c r="AV227" s="31">
        <v>4212641.381146797</v>
      </c>
      <c r="AW227" s="31">
        <v>188096.32</v>
      </c>
      <c r="AX227" s="31">
        <v>0</v>
      </c>
      <c r="AY227" s="31">
        <v>11797.789999999999</v>
      </c>
      <c r="AZ227" s="31">
        <v>505041.78223646345</v>
      </c>
      <c r="BA227" s="31">
        <v>417695.28803464328</v>
      </c>
      <c r="BB227" s="31">
        <v>122661.45809043168</v>
      </c>
      <c r="BC227" s="31">
        <f t="shared" si="19"/>
        <v>5554876.9095083354</v>
      </c>
      <c r="BD227" s="31">
        <v>96942.89</v>
      </c>
    </row>
    <row r="228" spans="2:56">
      <c r="B228" s="42" t="s">
        <v>27</v>
      </c>
      <c r="C228" s="42" t="s">
        <v>28</v>
      </c>
      <c r="D228" s="43" t="s">
        <v>1049</v>
      </c>
      <c r="E228" s="44">
        <v>34</v>
      </c>
      <c r="F228" s="31">
        <v>112522771.54386766</v>
      </c>
      <c r="G228" s="31">
        <v>3369868.1600000006</v>
      </c>
      <c r="H228" s="31">
        <v>1280800.1000000001</v>
      </c>
      <c r="I228" s="31">
        <v>389808.72000000003</v>
      </c>
      <c r="J228" s="31">
        <v>15588378.244572576</v>
      </c>
      <c r="K228" s="31">
        <v>4739627.5722763035</v>
      </c>
      <c r="L228" s="31">
        <v>6798673.4565004157</v>
      </c>
      <c r="M228" s="31">
        <f t="shared" si="16"/>
        <v>145424652.67721695</v>
      </c>
      <c r="N228" s="31">
        <v>734724.88</v>
      </c>
      <c r="P228" s="42" t="s">
        <v>27</v>
      </c>
      <c r="Q228" s="42" t="s">
        <v>28</v>
      </c>
      <c r="R228" s="43" t="s">
        <v>1050</v>
      </c>
      <c r="S228" s="44">
        <v>34</v>
      </c>
      <c r="T228" s="31">
        <v>119666346.0386323</v>
      </c>
      <c r="U228" s="31">
        <v>3586700.51</v>
      </c>
      <c r="V228" s="31">
        <v>1358761.9200000002</v>
      </c>
      <c r="W228" s="31">
        <v>413517.72000000003</v>
      </c>
      <c r="X228" s="31">
        <v>16477092.109492293</v>
      </c>
      <c r="Y228" s="31">
        <v>4749653.156810021</v>
      </c>
      <c r="Z228" s="31">
        <v>7200974.8847486982</v>
      </c>
      <c r="AA228" s="31">
        <f t="shared" si="17"/>
        <v>154220581.95968333</v>
      </c>
      <c r="AB228" s="31">
        <v>767535.62000000011</v>
      </c>
      <c r="AD228" s="42" t="s">
        <v>27</v>
      </c>
      <c r="AE228" s="42" t="s">
        <v>28</v>
      </c>
      <c r="AF228" s="43" t="s">
        <v>1275</v>
      </c>
      <c r="AG228" s="44">
        <v>34</v>
      </c>
      <c r="AH228" s="31">
        <v>121973738.75998762</v>
      </c>
      <c r="AI228" s="31">
        <v>3652001.52</v>
      </c>
      <c r="AJ228" s="31">
        <v>1383621.2300000002</v>
      </c>
      <c r="AK228" s="31">
        <v>421078.55</v>
      </c>
      <c r="AL228" s="31">
        <v>16779883.797998507</v>
      </c>
      <c r="AM228" s="31">
        <v>4741986.2527753711</v>
      </c>
      <c r="AN228" s="31">
        <v>7333833.1591947805</v>
      </c>
      <c r="AO228" s="31">
        <f t="shared" si="18"/>
        <v>157067927.74995625</v>
      </c>
      <c r="AP228" s="31">
        <v>781784.48</v>
      </c>
      <c r="AR228" s="42" t="s">
        <v>27</v>
      </c>
      <c r="AS228" s="42" t="s">
        <v>28</v>
      </c>
      <c r="AT228" s="43" t="s">
        <v>1276</v>
      </c>
      <c r="AU228" s="44">
        <v>34</v>
      </c>
      <c r="AV228" s="31">
        <v>124556260.67085151</v>
      </c>
      <c r="AW228" s="31">
        <v>3725497.2299999995</v>
      </c>
      <c r="AX228" s="31">
        <v>1411422.4300000002</v>
      </c>
      <c r="AY228" s="31">
        <v>429606.52999999991</v>
      </c>
      <c r="AZ228" s="31">
        <v>17120463.876790542</v>
      </c>
      <c r="BA228" s="31">
        <v>4742205.3071763618</v>
      </c>
      <c r="BB228" s="31">
        <v>7482659.3797596814</v>
      </c>
      <c r="BC228" s="31">
        <f t="shared" si="19"/>
        <v>160265791.16457811</v>
      </c>
      <c r="BD228" s="31">
        <v>797675.74</v>
      </c>
    </row>
    <row r="229" spans="2:56">
      <c r="B229" s="42" t="s">
        <v>71</v>
      </c>
      <c r="C229" s="42" t="s">
        <v>72</v>
      </c>
      <c r="D229" s="43" t="s">
        <v>1049</v>
      </c>
      <c r="E229" s="44">
        <v>34</v>
      </c>
      <c r="F229" s="31">
        <v>31309352.585060846</v>
      </c>
      <c r="G229" s="31">
        <v>583702.18999999994</v>
      </c>
      <c r="H229" s="31">
        <v>189300.50000000003</v>
      </c>
      <c r="I229" s="31">
        <v>109989.23999999999</v>
      </c>
      <c r="J229" s="31">
        <v>3905861.3427862599</v>
      </c>
      <c r="K229" s="31">
        <v>0</v>
      </c>
      <c r="L229" s="31">
        <v>2463665.3174152719</v>
      </c>
      <c r="M229" s="31">
        <f t="shared" si="16"/>
        <v>38561871.175262384</v>
      </c>
      <c r="N229" s="31">
        <v>0</v>
      </c>
      <c r="P229" s="42" t="s">
        <v>71</v>
      </c>
      <c r="Q229" s="42" t="s">
        <v>72</v>
      </c>
      <c r="R229" s="43" t="s">
        <v>1050</v>
      </c>
      <c r="S229" s="44">
        <v>34</v>
      </c>
      <c r="T229" s="31">
        <v>33492930.496321671</v>
      </c>
      <c r="U229" s="31">
        <v>624417.17000000004</v>
      </c>
      <c r="V229" s="31">
        <v>202495.97999999998</v>
      </c>
      <c r="W229" s="31">
        <v>117631.15</v>
      </c>
      <c r="X229" s="31">
        <v>4157417.0023286478</v>
      </c>
      <c r="Y229" s="31">
        <v>0</v>
      </c>
      <c r="Z229" s="31">
        <v>2627569.8272780189</v>
      </c>
      <c r="AA229" s="31">
        <f t="shared" si="17"/>
        <v>41222461.625928335</v>
      </c>
      <c r="AB229" s="31">
        <v>0</v>
      </c>
      <c r="AD229" s="42" t="s">
        <v>71</v>
      </c>
      <c r="AE229" s="42" t="s">
        <v>72</v>
      </c>
      <c r="AF229" s="43" t="s">
        <v>1275</v>
      </c>
      <c r="AG229" s="44">
        <v>34</v>
      </c>
      <c r="AH229" s="31">
        <v>34125883.976161934</v>
      </c>
      <c r="AI229" s="31">
        <v>635825.35</v>
      </c>
      <c r="AJ229" s="31">
        <v>206273.69999999998</v>
      </c>
      <c r="AK229" s="31">
        <v>119807.67</v>
      </c>
      <c r="AL229" s="31">
        <v>4233979.5628264491</v>
      </c>
      <c r="AM229" s="31">
        <v>0</v>
      </c>
      <c r="AN229" s="31">
        <v>2675914.3459922508</v>
      </c>
      <c r="AO229" s="31">
        <f t="shared" si="18"/>
        <v>41997684.60498064</v>
      </c>
      <c r="AP229" s="31">
        <v>0</v>
      </c>
      <c r="AR229" s="42" t="s">
        <v>71</v>
      </c>
      <c r="AS229" s="42" t="s">
        <v>72</v>
      </c>
      <c r="AT229" s="43" t="s">
        <v>1276</v>
      </c>
      <c r="AU229" s="44">
        <v>34</v>
      </c>
      <c r="AV229" s="31">
        <v>34835140.832834713</v>
      </c>
      <c r="AW229" s="31">
        <v>648707.5199999999</v>
      </c>
      <c r="AX229" s="31">
        <v>210425.28999999998</v>
      </c>
      <c r="AY229" s="31">
        <v>122248.15999999999</v>
      </c>
      <c r="AZ229" s="31">
        <v>4320096.5144702978</v>
      </c>
      <c r="BA229" s="31">
        <v>0</v>
      </c>
      <c r="BB229" s="31">
        <v>2730657.2609473965</v>
      </c>
      <c r="BC229" s="31">
        <f t="shared" si="19"/>
        <v>42867275.578252412</v>
      </c>
      <c r="BD229" s="31">
        <v>0</v>
      </c>
    </row>
    <row r="230" spans="2:56">
      <c r="B230" s="42" t="s">
        <v>11</v>
      </c>
      <c r="C230" s="42" t="s">
        <v>12</v>
      </c>
      <c r="D230" s="43" t="s">
        <v>1049</v>
      </c>
      <c r="E230" s="44">
        <v>34</v>
      </c>
      <c r="F230" s="31">
        <v>3619450.6501497226</v>
      </c>
      <c r="G230" s="31">
        <v>105926.27999999997</v>
      </c>
      <c r="H230" s="31">
        <v>0</v>
      </c>
      <c r="I230" s="31">
        <v>0</v>
      </c>
      <c r="J230" s="31">
        <v>275232.47111144627</v>
      </c>
      <c r="K230" s="31">
        <v>0</v>
      </c>
      <c r="L230" s="31">
        <v>279745.66889935784</v>
      </c>
      <c r="M230" s="31">
        <f t="shared" si="16"/>
        <v>4330392.6401605271</v>
      </c>
      <c r="N230" s="31">
        <v>50037.570000000014</v>
      </c>
      <c r="P230" s="42" t="s">
        <v>11</v>
      </c>
      <c r="Q230" s="42" t="s">
        <v>12</v>
      </c>
      <c r="R230" s="43" t="s">
        <v>1050</v>
      </c>
      <c r="S230" s="44">
        <v>34</v>
      </c>
      <c r="T230" s="31">
        <v>3862707.0184864579</v>
      </c>
      <c r="U230" s="31">
        <v>114120.98000000003</v>
      </c>
      <c r="V230" s="31">
        <v>0</v>
      </c>
      <c r="W230" s="31">
        <v>0</v>
      </c>
      <c r="X230" s="31">
        <v>292983.0565577888</v>
      </c>
      <c r="Y230" s="31">
        <v>0</v>
      </c>
      <c r="Z230" s="31">
        <v>298381.11709379824</v>
      </c>
      <c r="AA230" s="31">
        <f t="shared" si="17"/>
        <v>4620868.5321380449</v>
      </c>
      <c r="AB230" s="31">
        <v>52676.36</v>
      </c>
      <c r="AD230" s="42" t="s">
        <v>11</v>
      </c>
      <c r="AE230" s="42" t="s">
        <v>12</v>
      </c>
      <c r="AF230" s="43" t="s">
        <v>1275</v>
      </c>
      <c r="AG230" s="44">
        <v>34</v>
      </c>
      <c r="AH230" s="31">
        <v>3934576.3446335169</v>
      </c>
      <c r="AI230" s="31">
        <v>116218.97999999998</v>
      </c>
      <c r="AJ230" s="31">
        <v>0</v>
      </c>
      <c r="AK230" s="31">
        <v>0</v>
      </c>
      <c r="AL230" s="31">
        <v>298367.65326163894</v>
      </c>
      <c r="AM230" s="31">
        <v>0</v>
      </c>
      <c r="AN230" s="31">
        <v>303795.2156492949</v>
      </c>
      <c r="AO230" s="31">
        <f t="shared" si="18"/>
        <v>4706677.1435444504</v>
      </c>
      <c r="AP230" s="31">
        <v>53718.950000000004</v>
      </c>
      <c r="AR230" s="42" t="s">
        <v>11</v>
      </c>
      <c r="AS230" s="42" t="s">
        <v>12</v>
      </c>
      <c r="AT230" s="43" t="s">
        <v>1276</v>
      </c>
      <c r="AU230" s="44">
        <v>34</v>
      </c>
      <c r="AV230" s="31">
        <v>4014497.3600027384</v>
      </c>
      <c r="AW230" s="31">
        <v>118571.76999999999</v>
      </c>
      <c r="AX230" s="31">
        <v>0</v>
      </c>
      <c r="AY230" s="31">
        <v>0</v>
      </c>
      <c r="AZ230" s="31">
        <v>304426.80827460595</v>
      </c>
      <c r="BA230" s="31">
        <v>0</v>
      </c>
      <c r="BB230" s="31">
        <v>309948.24676610518</v>
      </c>
      <c r="BC230" s="31">
        <f t="shared" si="19"/>
        <v>4802166.4650434498</v>
      </c>
      <c r="BD230" s="31">
        <v>54722.280000000006</v>
      </c>
    </row>
    <row r="231" spans="2:56">
      <c r="B231" s="42" t="s">
        <v>477</v>
      </c>
      <c r="C231" s="42" t="s">
        <v>478</v>
      </c>
      <c r="D231" s="43" t="s">
        <v>1049</v>
      </c>
      <c r="E231" s="44">
        <v>34</v>
      </c>
      <c r="F231" s="31">
        <v>11099867.573316412</v>
      </c>
      <c r="G231" s="31">
        <v>454667.77</v>
      </c>
      <c r="H231" s="31">
        <v>25140.239999999998</v>
      </c>
      <c r="I231" s="31">
        <v>40438.74</v>
      </c>
      <c r="J231" s="31">
        <v>1786948.7830444805</v>
      </c>
      <c r="K231" s="31">
        <v>1496343.7500409356</v>
      </c>
      <c r="L231" s="31">
        <v>1503751.4047864215</v>
      </c>
      <c r="M231" s="31">
        <f t="shared" si="16"/>
        <v>16515222.271188248</v>
      </c>
      <c r="N231" s="31">
        <v>108064.01000000001</v>
      </c>
      <c r="P231" s="42" t="s">
        <v>477</v>
      </c>
      <c r="Q231" s="42" t="s">
        <v>478</v>
      </c>
      <c r="R231" s="43" t="s">
        <v>1050</v>
      </c>
      <c r="S231" s="44">
        <v>34</v>
      </c>
      <c r="T231" s="31">
        <v>11994421.540443664</v>
      </c>
      <c r="U231" s="31">
        <v>488370.63999999996</v>
      </c>
      <c r="V231" s="31">
        <v>26875.83</v>
      </c>
      <c r="W231" s="31">
        <v>43271.12</v>
      </c>
      <c r="X231" s="31">
        <v>1902269.5994047546</v>
      </c>
      <c r="Y231" s="31">
        <v>1500009.2743175908</v>
      </c>
      <c r="Z231" s="31">
        <v>1619463.6761590787</v>
      </c>
      <c r="AA231" s="31">
        <f t="shared" si="17"/>
        <v>17688474.760325085</v>
      </c>
      <c r="AB231" s="31">
        <v>113793.08</v>
      </c>
      <c r="AD231" s="42" t="s">
        <v>477</v>
      </c>
      <c r="AE231" s="42" t="s">
        <v>478</v>
      </c>
      <c r="AF231" s="43" t="s">
        <v>1275</v>
      </c>
      <c r="AG231" s="44">
        <v>34</v>
      </c>
      <c r="AH231" s="31">
        <v>12227377.651728151</v>
      </c>
      <c r="AI231" s="31">
        <v>497176.6399999999</v>
      </c>
      <c r="AJ231" s="31">
        <v>27344.400000000001</v>
      </c>
      <c r="AK231" s="31">
        <v>44025.549999999996</v>
      </c>
      <c r="AL231" s="31">
        <v>1937122.86136476</v>
      </c>
      <c r="AM231" s="31">
        <v>1497224.4644817968</v>
      </c>
      <c r="AN231" s="31">
        <v>1649433.3128544088</v>
      </c>
      <c r="AO231" s="31">
        <f t="shared" si="18"/>
        <v>17995612.880429119</v>
      </c>
      <c r="AP231" s="31">
        <v>115908</v>
      </c>
      <c r="AR231" s="42" t="s">
        <v>477</v>
      </c>
      <c r="AS231" s="42" t="s">
        <v>478</v>
      </c>
      <c r="AT231" s="43" t="s">
        <v>1276</v>
      </c>
      <c r="AU231" s="44">
        <v>34</v>
      </c>
      <c r="AV231" s="31">
        <v>12488164.534980811</v>
      </c>
      <c r="AW231" s="31">
        <v>507136.10000000003</v>
      </c>
      <c r="AX231" s="31">
        <v>28061.279999999999</v>
      </c>
      <c r="AY231" s="31">
        <v>44941.029999999992</v>
      </c>
      <c r="AZ231" s="31">
        <v>1976353.1107935468</v>
      </c>
      <c r="BA231" s="31">
        <v>1497304.0304771054</v>
      </c>
      <c r="BB231" s="31">
        <v>1682782.3444755101</v>
      </c>
      <c r="BC231" s="31">
        <f t="shared" si="19"/>
        <v>18343017.890726972</v>
      </c>
      <c r="BD231" s="31">
        <v>118275.46</v>
      </c>
    </row>
    <row r="232" spans="2:56">
      <c r="B232" s="42" t="s">
        <v>203</v>
      </c>
      <c r="C232" s="42" t="s">
        <v>204</v>
      </c>
      <c r="D232" s="43" t="s">
        <v>1049</v>
      </c>
      <c r="E232" s="44">
        <v>34</v>
      </c>
      <c r="F232" s="31">
        <v>27439065.117330894</v>
      </c>
      <c r="G232" s="31">
        <v>283316.83</v>
      </c>
      <c r="H232" s="31">
        <v>352311.12</v>
      </c>
      <c r="I232" s="31">
        <v>97901.83</v>
      </c>
      <c r="J232" s="31">
        <v>3313213.1274896837</v>
      </c>
      <c r="K232" s="31">
        <v>2290548.1058273027</v>
      </c>
      <c r="L232" s="31">
        <v>1910848.1593277296</v>
      </c>
      <c r="M232" s="31">
        <f t="shared" si="16"/>
        <v>35687204.289975606</v>
      </c>
      <c r="N232" s="31">
        <v>0</v>
      </c>
      <c r="P232" s="42" t="s">
        <v>203</v>
      </c>
      <c r="Q232" s="42" t="s">
        <v>204</v>
      </c>
      <c r="R232" s="43" t="s">
        <v>1050</v>
      </c>
      <c r="S232" s="44">
        <v>34</v>
      </c>
      <c r="T232" s="31">
        <v>29342419.798540629</v>
      </c>
      <c r="U232" s="31">
        <v>302842.85000000003</v>
      </c>
      <c r="V232" s="31">
        <v>376721.62</v>
      </c>
      <c r="W232" s="31">
        <v>104631.54999999999</v>
      </c>
      <c r="X232" s="31">
        <v>3525919.6773405718</v>
      </c>
      <c r="Y232" s="31">
        <v>2295652.1272094036</v>
      </c>
      <c r="Z232" s="31">
        <v>2037238.6770246569</v>
      </c>
      <c r="AA232" s="31">
        <f t="shared" si="17"/>
        <v>37985426.300115265</v>
      </c>
      <c r="AB232" s="31">
        <v>0</v>
      </c>
      <c r="AD232" s="42" t="s">
        <v>203</v>
      </c>
      <c r="AE232" s="42" t="s">
        <v>204</v>
      </c>
      <c r="AF232" s="43" t="s">
        <v>1275</v>
      </c>
      <c r="AG232" s="44">
        <v>34</v>
      </c>
      <c r="AH232" s="31">
        <v>29907711.688415486</v>
      </c>
      <c r="AI232" s="31">
        <v>308469.27999999997</v>
      </c>
      <c r="AJ232" s="31">
        <v>383538.68999999994</v>
      </c>
      <c r="AK232" s="31">
        <v>106613.24999999999</v>
      </c>
      <c r="AL232" s="31">
        <v>3591449.413516914</v>
      </c>
      <c r="AM232" s="31">
        <v>2291655.0814160667</v>
      </c>
      <c r="AN232" s="31">
        <v>2074892.2967336087</v>
      </c>
      <c r="AO232" s="31">
        <f t="shared" si="18"/>
        <v>38664329.700082086</v>
      </c>
      <c r="AP232" s="31">
        <v>0</v>
      </c>
      <c r="AR232" s="42" t="s">
        <v>203</v>
      </c>
      <c r="AS232" s="42" t="s">
        <v>204</v>
      </c>
      <c r="AT232" s="43" t="s">
        <v>1276</v>
      </c>
      <c r="AU232" s="44">
        <v>34</v>
      </c>
      <c r="AV232" s="31">
        <v>30540836.812096868</v>
      </c>
      <c r="AW232" s="31">
        <v>314860.59999999998</v>
      </c>
      <c r="AX232" s="31">
        <v>391458.39999999997</v>
      </c>
      <c r="AY232" s="31">
        <v>108731.51999999999</v>
      </c>
      <c r="AZ232" s="31">
        <v>3665120.0452467185</v>
      </c>
      <c r="BA232" s="31">
        <v>2291769.2827244475</v>
      </c>
      <c r="BB232" s="31">
        <v>2117559.0254652309</v>
      </c>
      <c r="BC232" s="31">
        <f t="shared" si="19"/>
        <v>39430335.685533263</v>
      </c>
      <c r="BD232" s="31">
        <v>0</v>
      </c>
    </row>
    <row r="233" spans="2:56">
      <c r="B233" s="42" t="s">
        <v>519</v>
      </c>
      <c r="C233" s="42" t="s">
        <v>520</v>
      </c>
      <c r="D233" s="43" t="s">
        <v>1049</v>
      </c>
      <c r="E233" s="44">
        <v>34</v>
      </c>
      <c r="F233" s="31">
        <v>17247549.754493684</v>
      </c>
      <c r="G233" s="31">
        <v>667775.05000000028</v>
      </c>
      <c r="H233" s="31">
        <v>319222.38999999996</v>
      </c>
      <c r="I233" s="31">
        <v>58465.639999999992</v>
      </c>
      <c r="J233" s="31">
        <v>2577800.8213884346</v>
      </c>
      <c r="K233" s="31">
        <v>1885964.6342048864</v>
      </c>
      <c r="L233" s="31">
        <v>971383.01909723331</v>
      </c>
      <c r="M233" s="31">
        <f t="shared" si="16"/>
        <v>24144631.54918424</v>
      </c>
      <c r="N233" s="31">
        <v>416470.24000000005</v>
      </c>
      <c r="P233" s="42" t="s">
        <v>519</v>
      </c>
      <c r="Q233" s="42" t="s">
        <v>520</v>
      </c>
      <c r="R233" s="43" t="s">
        <v>1050</v>
      </c>
      <c r="S233" s="44">
        <v>34</v>
      </c>
      <c r="T233" s="31">
        <v>18647005.616763659</v>
      </c>
      <c r="U233" s="31">
        <v>721603.50000000012</v>
      </c>
      <c r="V233" s="31">
        <v>341603.13000000006</v>
      </c>
      <c r="W233" s="31">
        <v>62571.9</v>
      </c>
      <c r="X233" s="31">
        <v>2744080.9833727838</v>
      </c>
      <c r="Y233" s="31">
        <v>1890903.6272259259</v>
      </c>
      <c r="Z233" s="31">
        <v>1046371.6531072335</v>
      </c>
      <c r="AA233" s="31">
        <f t="shared" si="17"/>
        <v>25892866.820469599</v>
      </c>
      <c r="AB233" s="31">
        <v>438726.41000000003</v>
      </c>
      <c r="AD233" s="42" t="s">
        <v>519</v>
      </c>
      <c r="AE233" s="42" t="s">
        <v>520</v>
      </c>
      <c r="AF233" s="43" t="s">
        <v>1275</v>
      </c>
      <c r="AG233" s="44">
        <v>34</v>
      </c>
      <c r="AH233" s="31">
        <v>18996432.503492709</v>
      </c>
      <c r="AI233" s="31">
        <v>734613.19000000018</v>
      </c>
      <c r="AJ233" s="31">
        <v>347770.06000000006</v>
      </c>
      <c r="AK233" s="31">
        <v>63662.83</v>
      </c>
      <c r="AL233" s="31">
        <v>2794355.7212911681</v>
      </c>
      <c r="AM233" s="31">
        <v>1887151.3246067604</v>
      </c>
      <c r="AN233" s="31">
        <v>1065534.1300812541</v>
      </c>
      <c r="AO233" s="31">
        <f t="shared" si="18"/>
        <v>26336311.279471893</v>
      </c>
      <c r="AP233" s="31">
        <v>446791.52</v>
      </c>
      <c r="AR233" s="42" t="s">
        <v>519</v>
      </c>
      <c r="AS233" s="42" t="s">
        <v>520</v>
      </c>
      <c r="AT233" s="43" t="s">
        <v>1276</v>
      </c>
      <c r="AU233" s="44">
        <v>34</v>
      </c>
      <c r="AV233" s="31">
        <v>19387444.631270528</v>
      </c>
      <c r="AW233" s="31">
        <v>749287.22</v>
      </c>
      <c r="AX233" s="31">
        <v>354797.68</v>
      </c>
      <c r="AY233" s="31">
        <v>65046.26</v>
      </c>
      <c r="AZ233" s="31">
        <v>2850920.1810295018</v>
      </c>
      <c r="BA233" s="31">
        <v>1887258.5332530222</v>
      </c>
      <c r="BB233" s="31">
        <v>1087158.4118949261</v>
      </c>
      <c r="BC233" s="31">
        <f t="shared" si="19"/>
        <v>26837755.187447976</v>
      </c>
      <c r="BD233" s="31">
        <v>455842.27000000008</v>
      </c>
    </row>
    <row r="234" spans="2:56">
      <c r="B234" s="42" t="s">
        <v>263</v>
      </c>
      <c r="C234" s="42" t="s">
        <v>264</v>
      </c>
      <c r="D234" s="43" t="s">
        <v>1049</v>
      </c>
      <c r="E234" s="44">
        <v>34</v>
      </c>
      <c r="F234" s="31">
        <v>429296.23317987961</v>
      </c>
      <c r="G234" s="31">
        <v>0</v>
      </c>
      <c r="H234" s="31">
        <v>0</v>
      </c>
      <c r="I234" s="31">
        <v>0</v>
      </c>
      <c r="J234" s="31">
        <v>52573.259702966912</v>
      </c>
      <c r="K234" s="31">
        <v>115219.65357997973</v>
      </c>
      <c r="L234" s="31">
        <v>0</v>
      </c>
      <c r="M234" s="31">
        <f t="shared" si="16"/>
        <v>597089.14646282629</v>
      </c>
      <c r="N234" s="31">
        <v>0</v>
      </c>
      <c r="P234" s="42" t="s">
        <v>263</v>
      </c>
      <c r="Q234" s="42" t="s">
        <v>264</v>
      </c>
      <c r="R234" s="43" t="s">
        <v>1050</v>
      </c>
      <c r="S234" s="44">
        <v>34</v>
      </c>
      <c r="T234" s="31">
        <v>456298.26476664247</v>
      </c>
      <c r="U234" s="31">
        <v>0</v>
      </c>
      <c r="V234" s="31">
        <v>0</v>
      </c>
      <c r="W234" s="31">
        <v>0</v>
      </c>
      <c r="X234" s="31">
        <v>55688.688811598906</v>
      </c>
      <c r="Y234" s="31">
        <v>115416.83187728329</v>
      </c>
      <c r="Z234" s="31">
        <v>0</v>
      </c>
      <c r="AA234" s="31">
        <f t="shared" si="17"/>
        <v>627403.78545552469</v>
      </c>
      <c r="AB234" s="31">
        <v>0</v>
      </c>
      <c r="AD234" s="42" t="s">
        <v>263</v>
      </c>
      <c r="AE234" s="42" t="s">
        <v>264</v>
      </c>
      <c r="AF234" s="43" t="s">
        <v>1275</v>
      </c>
      <c r="AG234" s="44">
        <v>34</v>
      </c>
      <c r="AH234" s="31">
        <v>464255.48367115943</v>
      </c>
      <c r="AI234" s="31">
        <v>0</v>
      </c>
      <c r="AJ234" s="31">
        <v>0</v>
      </c>
      <c r="AK234" s="31">
        <v>0</v>
      </c>
      <c r="AL234" s="31">
        <v>56665.435318206823</v>
      </c>
      <c r="AM234" s="31">
        <v>115267.02955153328</v>
      </c>
      <c r="AN234" s="31">
        <v>0</v>
      </c>
      <c r="AO234" s="31">
        <f t="shared" si="18"/>
        <v>636187.94854089955</v>
      </c>
      <c r="AP234" s="31">
        <v>0</v>
      </c>
      <c r="AR234" s="42" t="s">
        <v>263</v>
      </c>
      <c r="AS234" s="42" t="s">
        <v>264</v>
      </c>
      <c r="AT234" s="43" t="s">
        <v>1276</v>
      </c>
      <c r="AU234" s="44">
        <v>34</v>
      </c>
      <c r="AV234" s="31">
        <v>472777.95742189698</v>
      </c>
      <c r="AW234" s="31">
        <v>0</v>
      </c>
      <c r="AX234" s="31">
        <v>0</v>
      </c>
      <c r="AY234" s="31">
        <v>0</v>
      </c>
      <c r="AZ234" s="31">
        <v>57711.517393546375</v>
      </c>
      <c r="BA234" s="31">
        <v>115271.30961798328</v>
      </c>
      <c r="BB234" s="31">
        <v>0</v>
      </c>
      <c r="BC234" s="31">
        <f t="shared" si="19"/>
        <v>645760.78443342668</v>
      </c>
      <c r="BD234" s="31">
        <v>0</v>
      </c>
    </row>
    <row r="235" spans="2:56">
      <c r="B235" s="42" t="s">
        <v>575</v>
      </c>
      <c r="C235" s="42" t="s">
        <v>576</v>
      </c>
      <c r="D235" s="43" t="s">
        <v>1049</v>
      </c>
      <c r="E235" s="44">
        <v>34</v>
      </c>
      <c r="F235" s="31">
        <v>2331238.204795897</v>
      </c>
      <c r="G235" s="31">
        <v>63051.360000000001</v>
      </c>
      <c r="H235" s="31">
        <v>0</v>
      </c>
      <c r="I235" s="31">
        <v>0</v>
      </c>
      <c r="J235" s="31">
        <v>174010.49802843464</v>
      </c>
      <c r="K235" s="31">
        <v>208816.82793112096</v>
      </c>
      <c r="L235" s="31">
        <v>69388.780261988024</v>
      </c>
      <c r="M235" s="31">
        <f t="shared" si="16"/>
        <v>2893012.3610174404</v>
      </c>
      <c r="N235" s="31">
        <v>46506.69</v>
      </c>
      <c r="P235" s="42" t="s">
        <v>575</v>
      </c>
      <c r="Q235" s="42" t="s">
        <v>576</v>
      </c>
      <c r="R235" s="43" t="s">
        <v>1050</v>
      </c>
      <c r="S235" s="44">
        <v>34</v>
      </c>
      <c r="T235" s="31">
        <v>2495573.7139326106</v>
      </c>
      <c r="U235" s="31">
        <v>68202.789999999979</v>
      </c>
      <c r="V235" s="31">
        <v>0</v>
      </c>
      <c r="W235" s="31">
        <v>0</v>
      </c>
      <c r="X235" s="31">
        <v>185230.87233473297</v>
      </c>
      <c r="Y235" s="31">
        <v>209288.93911834669</v>
      </c>
      <c r="Z235" s="31">
        <v>74462.752692053502</v>
      </c>
      <c r="AA235" s="31">
        <f t="shared" si="17"/>
        <v>3081733.2780777439</v>
      </c>
      <c r="AB235" s="31">
        <v>48974.21</v>
      </c>
      <c r="AD235" s="42" t="s">
        <v>575</v>
      </c>
      <c r="AE235" s="42" t="s">
        <v>576</v>
      </c>
      <c r="AF235" s="43" t="s">
        <v>1275</v>
      </c>
      <c r="AG235" s="44">
        <v>34</v>
      </c>
      <c r="AH235" s="31">
        <v>2540274.0952043724</v>
      </c>
      <c r="AI235" s="31">
        <v>69386.299999999988</v>
      </c>
      <c r="AJ235" s="31">
        <v>0</v>
      </c>
      <c r="AK235" s="31">
        <v>0</v>
      </c>
      <c r="AL235" s="31">
        <v>188630.91287909291</v>
      </c>
      <c r="AM235" s="31">
        <v>208930.26194734886</v>
      </c>
      <c r="AN235" s="31">
        <v>75786.416376989975</v>
      </c>
      <c r="AO235" s="31">
        <f t="shared" si="18"/>
        <v>3132851.436407804</v>
      </c>
      <c r="AP235" s="31">
        <v>49843.450000000004</v>
      </c>
      <c r="AR235" s="42" t="s">
        <v>575</v>
      </c>
      <c r="AS235" s="42" t="s">
        <v>576</v>
      </c>
      <c r="AT235" s="43" t="s">
        <v>1276</v>
      </c>
      <c r="AU235" s="44">
        <v>34</v>
      </c>
      <c r="AV235" s="31">
        <v>2588999.2597018774</v>
      </c>
      <c r="AW235" s="31">
        <v>70766.83</v>
      </c>
      <c r="AX235" s="31">
        <v>0</v>
      </c>
      <c r="AY235" s="31">
        <v>0</v>
      </c>
      <c r="AZ235" s="31">
        <v>192447.59098111361</v>
      </c>
      <c r="BA235" s="31">
        <v>208940.50986652024</v>
      </c>
      <c r="BB235" s="31">
        <v>77440.676600654187</v>
      </c>
      <c r="BC235" s="31">
        <f t="shared" si="19"/>
        <v>3189478.9171501654</v>
      </c>
      <c r="BD235" s="31">
        <v>50884.05</v>
      </c>
    </row>
    <row r="236" spans="2:56">
      <c r="B236" s="42" t="s">
        <v>131</v>
      </c>
      <c r="C236" s="42" t="s">
        <v>132</v>
      </c>
      <c r="D236" s="43" t="s">
        <v>1049</v>
      </c>
      <c r="E236" s="44">
        <v>34</v>
      </c>
      <c r="F236" s="31">
        <v>14160607.708229315</v>
      </c>
      <c r="G236" s="31">
        <v>858665.33000000019</v>
      </c>
      <c r="H236" s="31">
        <v>1187631.99</v>
      </c>
      <c r="I236" s="31">
        <v>49306.030000000006</v>
      </c>
      <c r="J236" s="31">
        <v>2182986.048056474</v>
      </c>
      <c r="K236" s="31">
        <v>999305.80799200956</v>
      </c>
      <c r="L236" s="31">
        <v>1056994.416502313</v>
      </c>
      <c r="M236" s="31">
        <f t="shared" si="16"/>
        <v>21002004.650780112</v>
      </c>
      <c r="N236" s="31">
        <v>506507.31999999995</v>
      </c>
      <c r="P236" s="42" t="s">
        <v>131</v>
      </c>
      <c r="Q236" s="42" t="s">
        <v>132</v>
      </c>
      <c r="R236" s="43" t="s">
        <v>1050</v>
      </c>
      <c r="S236" s="44">
        <v>34</v>
      </c>
      <c r="T236" s="31">
        <v>15310622.226317422</v>
      </c>
      <c r="U236" s="31">
        <v>927321.09</v>
      </c>
      <c r="V236" s="31">
        <v>1270842.4800000002</v>
      </c>
      <c r="W236" s="31">
        <v>52713.97</v>
      </c>
      <c r="X236" s="31">
        <v>2323848.3169049174</v>
      </c>
      <c r="Y236" s="31">
        <v>1001465.6758973056</v>
      </c>
      <c r="Z236" s="31">
        <v>1138428.3474106698</v>
      </c>
      <c r="AA236" s="31">
        <f t="shared" si="17"/>
        <v>22558762.046530314</v>
      </c>
      <c r="AB236" s="31">
        <v>533519.94000000006</v>
      </c>
      <c r="AD236" s="42" t="s">
        <v>131</v>
      </c>
      <c r="AE236" s="42" t="s">
        <v>132</v>
      </c>
      <c r="AF236" s="43" t="s">
        <v>1275</v>
      </c>
      <c r="AG236" s="44">
        <v>34</v>
      </c>
      <c r="AH236" s="31">
        <v>15594631.273832679</v>
      </c>
      <c r="AI236" s="31">
        <v>944107.72999999975</v>
      </c>
      <c r="AJ236" s="31">
        <v>1294055.18</v>
      </c>
      <c r="AK236" s="31">
        <v>53738.610000000008</v>
      </c>
      <c r="AL236" s="31">
        <v>2366439.653731321</v>
      </c>
      <c r="AM236" s="31">
        <v>999824.75881895178</v>
      </c>
      <c r="AN236" s="31">
        <v>1159265.0590112745</v>
      </c>
      <c r="AO236" s="31">
        <f t="shared" si="18"/>
        <v>22955426.465394221</v>
      </c>
      <c r="AP236" s="31">
        <v>543364.19999999995</v>
      </c>
      <c r="AR236" s="42" t="s">
        <v>131</v>
      </c>
      <c r="AS236" s="42" t="s">
        <v>132</v>
      </c>
      <c r="AT236" s="43" t="s">
        <v>1276</v>
      </c>
      <c r="AU236" s="44">
        <v>34</v>
      </c>
      <c r="AV236" s="31">
        <v>15913995.471091663</v>
      </c>
      <c r="AW236" s="31">
        <v>962928.68999999983</v>
      </c>
      <c r="AX236" s="31">
        <v>1320062.4200000002</v>
      </c>
      <c r="AY236" s="31">
        <v>54724.85</v>
      </c>
      <c r="AZ236" s="31">
        <v>2414333.9342672219</v>
      </c>
      <c r="BA236" s="31">
        <v>999871.64216404769</v>
      </c>
      <c r="BB236" s="31">
        <v>1182910.5867575728</v>
      </c>
      <c r="BC236" s="31">
        <f t="shared" si="19"/>
        <v>23403250.364280511</v>
      </c>
      <c r="BD236" s="31">
        <v>554422.77000000014</v>
      </c>
    </row>
    <row r="237" spans="2:56">
      <c r="B237" s="42" t="s">
        <v>399</v>
      </c>
      <c r="C237" s="42" t="s">
        <v>400</v>
      </c>
      <c r="D237" s="43" t="s">
        <v>1049</v>
      </c>
      <c r="E237" s="44">
        <v>34</v>
      </c>
      <c r="F237" s="31">
        <v>7023403.7035549823</v>
      </c>
      <c r="G237" s="31">
        <v>214336.76</v>
      </c>
      <c r="H237" s="31">
        <v>92459.000000000015</v>
      </c>
      <c r="I237" s="31">
        <v>24138.46</v>
      </c>
      <c r="J237" s="31">
        <v>1044378.8546325611</v>
      </c>
      <c r="K237" s="31">
        <v>375674.80553536693</v>
      </c>
      <c r="L237" s="31">
        <v>228763.52704134208</v>
      </c>
      <c r="M237" s="31">
        <f t="shared" si="16"/>
        <v>9003155.110764252</v>
      </c>
      <c r="N237" s="31">
        <v>0</v>
      </c>
      <c r="P237" s="42" t="s">
        <v>399</v>
      </c>
      <c r="Q237" s="42" t="s">
        <v>400</v>
      </c>
      <c r="R237" s="43" t="s">
        <v>1050</v>
      </c>
      <c r="S237" s="44">
        <v>34</v>
      </c>
      <c r="T237" s="31">
        <v>7505232.6082201563</v>
      </c>
      <c r="U237" s="31">
        <v>229234.51000000004</v>
      </c>
      <c r="V237" s="31">
        <v>98849.49</v>
      </c>
      <c r="W237" s="31">
        <v>25801.779999999995</v>
      </c>
      <c r="X237" s="31">
        <v>1111549.1016771568</v>
      </c>
      <c r="Y237" s="31">
        <v>376560.32697542629</v>
      </c>
      <c r="Z237" s="31">
        <v>243871.68790502285</v>
      </c>
      <c r="AA237" s="31">
        <f t="shared" si="17"/>
        <v>9591099.5047777612</v>
      </c>
      <c r="AB237" s="31">
        <v>0</v>
      </c>
      <c r="AD237" s="42" t="s">
        <v>399</v>
      </c>
      <c r="AE237" s="42" t="s">
        <v>400</v>
      </c>
      <c r="AF237" s="43" t="s">
        <v>1275</v>
      </c>
      <c r="AG237" s="44">
        <v>34</v>
      </c>
      <c r="AH237" s="31">
        <v>7646870.1365236398</v>
      </c>
      <c r="AI237" s="31">
        <v>233401.73</v>
      </c>
      <c r="AJ237" s="31">
        <v>100712.85999999999</v>
      </c>
      <c r="AK237" s="31">
        <v>26257.689999999995</v>
      </c>
      <c r="AL237" s="31">
        <v>1132128.5581774255</v>
      </c>
      <c r="AM237" s="31">
        <v>375873.2998090763</v>
      </c>
      <c r="AN237" s="31">
        <v>248442.82135653816</v>
      </c>
      <c r="AO237" s="31">
        <f t="shared" si="18"/>
        <v>9763687.0958666801</v>
      </c>
      <c r="AP237" s="31">
        <v>0</v>
      </c>
      <c r="AR237" s="42" t="s">
        <v>399</v>
      </c>
      <c r="AS237" s="42" t="s">
        <v>400</v>
      </c>
      <c r="AT237" s="43" t="s">
        <v>1276</v>
      </c>
      <c r="AU237" s="44">
        <v>34</v>
      </c>
      <c r="AV237" s="31">
        <v>7804073.77833068</v>
      </c>
      <c r="AW237" s="31">
        <v>238217.48999999996</v>
      </c>
      <c r="AX237" s="31">
        <v>102823.43000000001</v>
      </c>
      <c r="AY237" s="31">
        <v>26864.86</v>
      </c>
      <c r="AZ237" s="31">
        <v>1155263.9828261777</v>
      </c>
      <c r="BA237" s="31">
        <v>375892.9291566863</v>
      </c>
      <c r="BB237" s="31">
        <v>253399.5013586455</v>
      </c>
      <c r="BC237" s="31">
        <f t="shared" si="19"/>
        <v>9956535.9716721904</v>
      </c>
      <c r="BD237" s="31">
        <v>0</v>
      </c>
    </row>
    <row r="238" spans="2:56">
      <c r="B238" s="42" t="s">
        <v>159</v>
      </c>
      <c r="C238" s="42" t="s">
        <v>160</v>
      </c>
      <c r="D238" s="43" t="s">
        <v>1049</v>
      </c>
      <c r="E238" s="44">
        <v>34</v>
      </c>
      <c r="F238" s="31">
        <v>589584.46309245448</v>
      </c>
      <c r="G238" s="31">
        <v>21145.090000000004</v>
      </c>
      <c r="H238" s="31">
        <v>0</v>
      </c>
      <c r="I238" s="31">
        <v>0</v>
      </c>
      <c r="J238" s="31">
        <v>68115.135744228697</v>
      </c>
      <c r="K238" s="31">
        <v>0</v>
      </c>
      <c r="L238" s="31">
        <v>0</v>
      </c>
      <c r="M238" s="31">
        <f t="shared" si="16"/>
        <v>694240.62883668323</v>
      </c>
      <c r="N238" s="31">
        <v>15395.940000000002</v>
      </c>
      <c r="P238" s="42" t="s">
        <v>159</v>
      </c>
      <c r="Q238" s="42" t="s">
        <v>160</v>
      </c>
      <c r="R238" s="43" t="s">
        <v>1050</v>
      </c>
      <c r="S238" s="44">
        <v>34</v>
      </c>
      <c r="T238" s="31">
        <v>634449.06526714214</v>
      </c>
      <c r="U238" s="31">
        <v>22773.469999999987</v>
      </c>
      <c r="V238" s="31">
        <v>0</v>
      </c>
      <c r="W238" s="31">
        <v>0</v>
      </c>
      <c r="X238" s="31">
        <v>72147.654421352461</v>
      </c>
      <c r="Y238" s="31">
        <v>0</v>
      </c>
      <c r="Z238" s="31">
        <v>0</v>
      </c>
      <c r="AA238" s="31">
        <f t="shared" si="17"/>
        <v>745509.59968849458</v>
      </c>
      <c r="AB238" s="31">
        <v>16139.410000000002</v>
      </c>
      <c r="AD238" s="42" t="s">
        <v>159</v>
      </c>
      <c r="AE238" s="42" t="s">
        <v>160</v>
      </c>
      <c r="AF238" s="43" t="s">
        <v>1275</v>
      </c>
      <c r="AG238" s="44">
        <v>34</v>
      </c>
      <c r="AH238" s="31">
        <v>645480.4384957091</v>
      </c>
      <c r="AI238" s="31">
        <v>23166.699999999993</v>
      </c>
      <c r="AJ238" s="31">
        <v>0</v>
      </c>
      <c r="AK238" s="31">
        <v>0</v>
      </c>
      <c r="AL238" s="31">
        <v>73412.791479701147</v>
      </c>
      <c r="AM238" s="31">
        <v>0</v>
      </c>
      <c r="AN238" s="31">
        <v>0</v>
      </c>
      <c r="AO238" s="31">
        <f t="shared" si="18"/>
        <v>758484.54997541022</v>
      </c>
      <c r="AP238" s="31">
        <v>16424.62</v>
      </c>
      <c r="AR238" s="42" t="s">
        <v>159</v>
      </c>
      <c r="AS238" s="42" t="s">
        <v>160</v>
      </c>
      <c r="AT238" s="43" t="s">
        <v>1276</v>
      </c>
      <c r="AU238" s="44">
        <v>34</v>
      </c>
      <c r="AV238" s="31">
        <v>657295.13365570409</v>
      </c>
      <c r="AW238" s="31">
        <v>23587.839999999993</v>
      </c>
      <c r="AX238" s="31">
        <v>0</v>
      </c>
      <c r="AY238" s="31">
        <v>0</v>
      </c>
      <c r="AZ238" s="31">
        <v>74767.736310338019</v>
      </c>
      <c r="BA238" s="31">
        <v>0</v>
      </c>
      <c r="BB238" s="31">
        <v>0</v>
      </c>
      <c r="BC238" s="31">
        <f t="shared" si="19"/>
        <v>772380.79996604205</v>
      </c>
      <c r="BD238" s="31">
        <v>16730.09</v>
      </c>
    </row>
    <row r="239" spans="2:56">
      <c r="B239" s="42" t="s">
        <v>183</v>
      </c>
      <c r="C239" s="42" t="s">
        <v>184</v>
      </c>
      <c r="D239" s="43" t="s">
        <v>1049</v>
      </c>
      <c r="E239" s="44">
        <v>34</v>
      </c>
      <c r="F239" s="31">
        <v>477953237.82958293</v>
      </c>
      <c r="G239" s="31">
        <v>14768384.830000002</v>
      </c>
      <c r="H239" s="31">
        <v>11584599.030000001</v>
      </c>
      <c r="I239" s="31">
        <v>0</v>
      </c>
      <c r="J239" s="31">
        <v>70992859.906978413</v>
      </c>
      <c r="K239" s="31">
        <v>35373539.357970014</v>
      </c>
      <c r="L239" s="31">
        <v>18348204.728756111</v>
      </c>
      <c r="M239" s="31">
        <f t="shared" si="16"/>
        <v>633735583.92328739</v>
      </c>
      <c r="N239" s="31">
        <v>4714758.2399999993</v>
      </c>
      <c r="P239" s="42" t="s">
        <v>183</v>
      </c>
      <c r="Q239" s="42" t="s">
        <v>184</v>
      </c>
      <c r="R239" s="43" t="s">
        <v>1050</v>
      </c>
      <c r="S239" s="44">
        <v>34</v>
      </c>
      <c r="T239" s="31">
        <v>510921267.86229074</v>
      </c>
      <c r="U239" s="31">
        <v>15857529.230000004</v>
      </c>
      <c r="V239" s="31">
        <v>12384602.999999998</v>
      </c>
      <c r="W239" s="31">
        <v>0</v>
      </c>
      <c r="X239" s="31">
        <v>75549479.765104741</v>
      </c>
      <c r="Y239" s="31">
        <v>35460838.509847924</v>
      </c>
      <c r="Z239" s="31">
        <v>19561421.67017043</v>
      </c>
      <c r="AA239" s="31">
        <f t="shared" si="17"/>
        <v>674706015.59741378</v>
      </c>
      <c r="AB239" s="31">
        <v>4970875.5599999987</v>
      </c>
      <c r="AD239" s="42" t="s">
        <v>183</v>
      </c>
      <c r="AE239" s="42" t="s">
        <v>184</v>
      </c>
      <c r="AF239" s="43" t="s">
        <v>1275</v>
      </c>
      <c r="AG239" s="44">
        <v>34</v>
      </c>
      <c r="AH239" s="31">
        <v>520535640.4045217</v>
      </c>
      <c r="AI239" s="31">
        <v>16150333.629999999</v>
      </c>
      <c r="AJ239" s="31">
        <v>12613984.629999999</v>
      </c>
      <c r="AK239" s="31">
        <v>0</v>
      </c>
      <c r="AL239" s="31">
        <v>76953424.078769907</v>
      </c>
      <c r="AM239" s="31">
        <v>35392473.061968103</v>
      </c>
      <c r="AN239" s="31">
        <v>19925306.266832825</v>
      </c>
      <c r="AO239" s="31">
        <f t="shared" si="18"/>
        <v>686635151.56209254</v>
      </c>
      <c r="AP239" s="31">
        <v>5063989.4900000012</v>
      </c>
      <c r="AR239" s="42" t="s">
        <v>183</v>
      </c>
      <c r="AS239" s="42" t="s">
        <v>184</v>
      </c>
      <c r="AT239" s="43" t="s">
        <v>1276</v>
      </c>
      <c r="AU239" s="44">
        <v>34</v>
      </c>
      <c r="AV239" s="31">
        <v>531330724.66432118</v>
      </c>
      <c r="AW239" s="31">
        <v>16479656.330000004</v>
      </c>
      <c r="AX239" s="31">
        <v>12872168.739999998</v>
      </c>
      <c r="AY239" s="31">
        <v>0</v>
      </c>
      <c r="AZ239" s="31">
        <v>78531891.325582728</v>
      </c>
      <c r="BA239" s="31">
        <v>35394426.360478953</v>
      </c>
      <c r="BB239" s="31">
        <v>20334941.202506781</v>
      </c>
      <c r="BC239" s="31">
        <f t="shared" si="19"/>
        <v>700112437.38288975</v>
      </c>
      <c r="BD239" s="31">
        <v>5168628.76</v>
      </c>
    </row>
    <row r="240" spans="2:56">
      <c r="B240" s="42" t="s">
        <v>405</v>
      </c>
      <c r="C240" s="42" t="s">
        <v>406</v>
      </c>
      <c r="D240" s="43" t="s">
        <v>1049</v>
      </c>
      <c r="E240" s="44">
        <v>34</v>
      </c>
      <c r="F240" s="31">
        <v>37197884.830767311</v>
      </c>
      <c r="G240" s="31">
        <v>1524495.74</v>
      </c>
      <c r="H240" s="31">
        <v>570056.01</v>
      </c>
      <c r="I240" s="31">
        <v>132977.16</v>
      </c>
      <c r="J240" s="31">
        <v>6108029.4582347209</v>
      </c>
      <c r="K240" s="31">
        <v>3133936.2588345404</v>
      </c>
      <c r="L240" s="31">
        <v>3161633.2030189871</v>
      </c>
      <c r="M240" s="31">
        <f t="shared" si="16"/>
        <v>52512756.590855554</v>
      </c>
      <c r="N240" s="31">
        <v>683743.92999999993</v>
      </c>
      <c r="P240" s="42" t="s">
        <v>405</v>
      </c>
      <c r="Q240" s="42" t="s">
        <v>406</v>
      </c>
      <c r="R240" s="43" t="s">
        <v>1050</v>
      </c>
      <c r="S240" s="44">
        <v>34</v>
      </c>
      <c r="T240" s="31">
        <v>40201391.386395603</v>
      </c>
      <c r="U240" s="31">
        <v>1640692.6000000006</v>
      </c>
      <c r="V240" s="31">
        <v>609724.83000000007</v>
      </c>
      <c r="W240" s="31">
        <v>142196.50999999998</v>
      </c>
      <c r="X240" s="31">
        <v>6500777.4870617297</v>
      </c>
      <c r="Y240" s="31">
        <v>3141136.5696168379</v>
      </c>
      <c r="Z240" s="31">
        <v>3404315.6903839344</v>
      </c>
      <c r="AA240" s="31">
        <f t="shared" si="17"/>
        <v>56360921.763458103</v>
      </c>
      <c r="AB240" s="31">
        <v>720686.69</v>
      </c>
      <c r="AD240" s="42" t="s">
        <v>405</v>
      </c>
      <c r="AE240" s="42" t="s">
        <v>406</v>
      </c>
      <c r="AF240" s="43" t="s">
        <v>1275</v>
      </c>
      <c r="AG240" s="44">
        <v>34</v>
      </c>
      <c r="AH240" s="31">
        <v>40964233.900123782</v>
      </c>
      <c r="AI240" s="31">
        <v>1670818.5599999998</v>
      </c>
      <c r="AJ240" s="31">
        <v>620848.62</v>
      </c>
      <c r="AK240" s="31">
        <v>144825.78000000003</v>
      </c>
      <c r="AL240" s="31">
        <v>6621067.7565400023</v>
      </c>
      <c r="AM240" s="31">
        <v>3135550.2462486881</v>
      </c>
      <c r="AN240" s="31">
        <v>3467229.3001929843</v>
      </c>
      <c r="AO240" s="31">
        <f t="shared" si="18"/>
        <v>57358727.113105454</v>
      </c>
      <c r="AP240" s="31">
        <v>734152.95</v>
      </c>
      <c r="AR240" s="42" t="s">
        <v>405</v>
      </c>
      <c r="AS240" s="42" t="s">
        <v>406</v>
      </c>
      <c r="AT240" s="43" t="s">
        <v>1276</v>
      </c>
      <c r="AU240" s="44">
        <v>34</v>
      </c>
      <c r="AV240" s="31">
        <v>41819980.498381764</v>
      </c>
      <c r="AW240" s="31">
        <v>1704594.7700000003</v>
      </c>
      <c r="AX240" s="31">
        <v>633582.48</v>
      </c>
      <c r="AY240" s="31">
        <v>147756.65000000002</v>
      </c>
      <c r="AZ240" s="31">
        <v>6756341.6055370774</v>
      </c>
      <c r="BA240" s="31">
        <v>3135709.8554877779</v>
      </c>
      <c r="BB240" s="31">
        <v>3538454.4596990664</v>
      </c>
      <c r="BC240" s="31">
        <f t="shared" si="19"/>
        <v>58485679.769105688</v>
      </c>
      <c r="BD240" s="31">
        <v>749259.45</v>
      </c>
    </row>
    <row r="241" spans="2:56">
      <c r="B241" s="42" t="s">
        <v>589</v>
      </c>
      <c r="C241" s="42" t="s">
        <v>590</v>
      </c>
      <c r="D241" s="43" t="s">
        <v>1049</v>
      </c>
      <c r="E241" s="44">
        <v>34</v>
      </c>
      <c r="F241" s="31">
        <v>28108607.672062058</v>
      </c>
      <c r="G241" s="31">
        <v>1253210.9499999997</v>
      </c>
      <c r="H241" s="31">
        <v>503584.03</v>
      </c>
      <c r="I241" s="31">
        <v>101535.32</v>
      </c>
      <c r="J241" s="31">
        <v>4164286.8609550134</v>
      </c>
      <c r="K241" s="31">
        <v>1466585.2283557919</v>
      </c>
      <c r="L241" s="31">
        <v>3499567.8401930635</v>
      </c>
      <c r="M241" s="31">
        <f t="shared" si="16"/>
        <v>39803935.151565932</v>
      </c>
      <c r="N241" s="31">
        <v>706557.25000000012</v>
      </c>
      <c r="P241" s="42" t="s">
        <v>589</v>
      </c>
      <c r="Q241" s="42" t="s">
        <v>590</v>
      </c>
      <c r="R241" s="43" t="s">
        <v>1050</v>
      </c>
      <c r="S241" s="44">
        <v>34</v>
      </c>
      <c r="T241" s="31">
        <v>30399965.946685228</v>
      </c>
      <c r="U241" s="31">
        <v>1352894.31</v>
      </c>
      <c r="V241" s="31">
        <v>538865.43999999994</v>
      </c>
      <c r="W241" s="31">
        <v>108644.75</v>
      </c>
      <c r="X241" s="31">
        <v>4432971.8726780964</v>
      </c>
      <c r="Y241" s="31">
        <v>1469016.3339810567</v>
      </c>
      <c r="Z241" s="31">
        <v>3769336.4104005895</v>
      </c>
      <c r="AA241" s="31">
        <f t="shared" si="17"/>
        <v>42816048.83374498</v>
      </c>
      <c r="AB241" s="31">
        <v>744353.7699999999</v>
      </c>
      <c r="AD241" s="42" t="s">
        <v>589</v>
      </c>
      <c r="AE241" s="42" t="s">
        <v>590</v>
      </c>
      <c r="AF241" s="43" t="s">
        <v>1275</v>
      </c>
      <c r="AG241" s="44">
        <v>34</v>
      </c>
      <c r="AH241" s="31">
        <v>30968494.670076471</v>
      </c>
      <c r="AI241" s="31">
        <v>1377369.0400000005</v>
      </c>
      <c r="AJ241" s="31">
        <v>548682.77</v>
      </c>
      <c r="AK241" s="31">
        <v>110644.52</v>
      </c>
      <c r="AL241" s="31">
        <v>4514205.4250291977</v>
      </c>
      <c r="AM241" s="31">
        <v>1467169.3493900097</v>
      </c>
      <c r="AN241" s="31">
        <v>3838519.0017452589</v>
      </c>
      <c r="AO241" s="31">
        <f t="shared" si="18"/>
        <v>43583112.636240937</v>
      </c>
      <c r="AP241" s="31">
        <v>758027.86</v>
      </c>
      <c r="AR241" s="42" t="s">
        <v>589</v>
      </c>
      <c r="AS241" s="42" t="s">
        <v>590</v>
      </c>
      <c r="AT241" s="43" t="s">
        <v>1276</v>
      </c>
      <c r="AU241" s="44">
        <v>34</v>
      </c>
      <c r="AV241" s="31">
        <v>31606496.26703015</v>
      </c>
      <c r="AW241" s="31">
        <v>1404847.9300000002</v>
      </c>
      <c r="AX241" s="31">
        <v>559720.25</v>
      </c>
      <c r="AY241" s="31">
        <v>112782.66</v>
      </c>
      <c r="AZ241" s="31">
        <v>4605581.1730088377</v>
      </c>
      <c r="BA241" s="31">
        <v>1467222.1203783252</v>
      </c>
      <c r="BB241" s="31">
        <v>3916343.0363533935</v>
      </c>
      <c r="BC241" s="31">
        <f t="shared" si="19"/>
        <v>44446495.806770697</v>
      </c>
      <c r="BD241" s="31">
        <v>773502.37000000011</v>
      </c>
    </row>
    <row r="242" spans="2:56">
      <c r="B242" s="42" t="s">
        <v>359</v>
      </c>
      <c r="C242" s="42" t="s">
        <v>360</v>
      </c>
      <c r="D242" s="43" t="s">
        <v>1049</v>
      </c>
      <c r="E242" s="44">
        <v>34</v>
      </c>
      <c r="F242" s="31">
        <v>2794385.5840173634</v>
      </c>
      <c r="G242" s="31">
        <v>85164.94</v>
      </c>
      <c r="H242" s="31">
        <v>0</v>
      </c>
      <c r="I242" s="31">
        <v>0</v>
      </c>
      <c r="J242" s="31">
        <v>339634.73523737455</v>
      </c>
      <c r="K242" s="31">
        <v>367129.02046780358</v>
      </c>
      <c r="L242" s="31">
        <v>160532.68136006183</v>
      </c>
      <c r="M242" s="31">
        <f t="shared" si="16"/>
        <v>3796542.7510826034</v>
      </c>
      <c r="N242" s="31">
        <v>49695.79</v>
      </c>
      <c r="P242" s="42" t="s">
        <v>359</v>
      </c>
      <c r="Q242" s="42" t="s">
        <v>360</v>
      </c>
      <c r="R242" s="43" t="s">
        <v>1050</v>
      </c>
      <c r="S242" s="44">
        <v>34</v>
      </c>
      <c r="T242" s="31">
        <v>3000508.0578642609</v>
      </c>
      <c r="U242" s="31">
        <v>92042.539999999979</v>
      </c>
      <c r="V242" s="31">
        <v>0</v>
      </c>
      <c r="W242" s="31">
        <v>0</v>
      </c>
      <c r="X242" s="31">
        <v>361540.67548050656</v>
      </c>
      <c r="Y242" s="31">
        <v>367983.92952311435</v>
      </c>
      <c r="Z242" s="31">
        <v>172683.06901925307</v>
      </c>
      <c r="AA242" s="31">
        <f t="shared" si="17"/>
        <v>4047160.3018871341</v>
      </c>
      <c r="AB242" s="31">
        <v>52402.030000000006</v>
      </c>
      <c r="AD242" s="42" t="s">
        <v>359</v>
      </c>
      <c r="AE242" s="42" t="s">
        <v>360</v>
      </c>
      <c r="AF242" s="43" t="s">
        <v>1275</v>
      </c>
      <c r="AG242" s="44">
        <v>34</v>
      </c>
      <c r="AH242" s="31">
        <v>3054043.7454660702</v>
      </c>
      <c r="AI242" s="31">
        <v>93634.85</v>
      </c>
      <c r="AJ242" s="31">
        <v>0</v>
      </c>
      <c r="AK242" s="31">
        <v>0</v>
      </c>
      <c r="AL242" s="31">
        <v>368148.29306515021</v>
      </c>
      <c r="AM242" s="31">
        <v>367334.42921531358</v>
      </c>
      <c r="AN242" s="31">
        <v>175744.2793813959</v>
      </c>
      <c r="AO242" s="31">
        <f t="shared" si="18"/>
        <v>4112233.6871279296</v>
      </c>
      <c r="AP242" s="31">
        <v>53328.090000000004</v>
      </c>
      <c r="AR242" s="42" t="s">
        <v>359</v>
      </c>
      <c r="AS242" s="42" t="s">
        <v>360</v>
      </c>
      <c r="AT242" s="43" t="s">
        <v>1276</v>
      </c>
      <c r="AU242" s="44">
        <v>34</v>
      </c>
      <c r="AV242" s="31">
        <v>3113562.574275902</v>
      </c>
      <c r="AW242" s="31">
        <v>95556.879999999976</v>
      </c>
      <c r="AX242" s="31">
        <v>0</v>
      </c>
      <c r="AY242" s="31">
        <v>0</v>
      </c>
      <c r="AZ242" s="31">
        <v>375611.53795779741</v>
      </c>
      <c r="BA242" s="31">
        <v>367352.98636696499</v>
      </c>
      <c r="BB242" s="31">
        <v>179352.16538365569</v>
      </c>
      <c r="BC242" s="31">
        <f t="shared" si="19"/>
        <v>4185861.9139843197</v>
      </c>
      <c r="BD242" s="31">
        <v>54425.770000000011</v>
      </c>
    </row>
    <row r="243" spans="2:56">
      <c r="B243" s="42" t="s">
        <v>47</v>
      </c>
      <c r="C243" s="42" t="s">
        <v>48</v>
      </c>
      <c r="D243" s="43" t="s">
        <v>1049</v>
      </c>
      <c r="E243" s="44">
        <v>34</v>
      </c>
      <c r="F243" s="31">
        <v>20965881.816185206</v>
      </c>
      <c r="G243" s="31">
        <v>742324.72999999986</v>
      </c>
      <c r="H243" s="31">
        <v>78900.87</v>
      </c>
      <c r="I243" s="31">
        <v>75309.789999999994</v>
      </c>
      <c r="J243" s="31">
        <v>3468020.9466406424</v>
      </c>
      <c r="K243" s="31">
        <v>1313146.1157302801</v>
      </c>
      <c r="L243" s="31">
        <v>2078332.1431228213</v>
      </c>
      <c r="M243" s="31">
        <f t="shared" si="16"/>
        <v>28721916.411678948</v>
      </c>
      <c r="N243" s="31">
        <v>0</v>
      </c>
      <c r="P243" s="42" t="s">
        <v>47</v>
      </c>
      <c r="Q243" s="42" t="s">
        <v>48</v>
      </c>
      <c r="R243" s="43" t="s">
        <v>1050</v>
      </c>
      <c r="S243" s="44">
        <v>34</v>
      </c>
      <c r="T243" s="31">
        <v>22435388.822454389</v>
      </c>
      <c r="U243" s="31">
        <v>794037.58000000007</v>
      </c>
      <c r="V243" s="31">
        <v>84427.930000000008</v>
      </c>
      <c r="W243" s="31">
        <v>80495.959999999992</v>
      </c>
      <c r="X243" s="31">
        <v>3691420.8920170246</v>
      </c>
      <c r="Y243" s="31">
        <v>1315390.0608106263</v>
      </c>
      <c r="Z243" s="31">
        <v>2216565.0953362351</v>
      </c>
      <c r="AA243" s="31">
        <f t="shared" si="17"/>
        <v>30617726.340618279</v>
      </c>
      <c r="AB243" s="31">
        <v>0</v>
      </c>
      <c r="AD243" s="42" t="s">
        <v>47</v>
      </c>
      <c r="AE243" s="42" t="s">
        <v>48</v>
      </c>
      <c r="AF243" s="43" t="s">
        <v>1275</v>
      </c>
      <c r="AG243" s="44">
        <v>34</v>
      </c>
      <c r="AH243" s="31">
        <v>22870643.005424857</v>
      </c>
      <c r="AI243" s="31">
        <v>808646.25</v>
      </c>
      <c r="AJ243" s="31">
        <v>86021.470000000016</v>
      </c>
      <c r="AK243" s="31">
        <v>82020.47</v>
      </c>
      <c r="AL243" s="31">
        <v>3759438.8632997898</v>
      </c>
      <c r="AM243" s="31">
        <v>1313666.5598079315</v>
      </c>
      <c r="AN243" s="31">
        <v>2257501.4938498759</v>
      </c>
      <c r="AO243" s="31">
        <f t="shared" si="18"/>
        <v>31177938.112382453</v>
      </c>
      <c r="AP243" s="31">
        <v>0</v>
      </c>
      <c r="AR243" s="42" t="s">
        <v>47</v>
      </c>
      <c r="AS243" s="42" t="s">
        <v>48</v>
      </c>
      <c r="AT243" s="43" t="s">
        <v>1276</v>
      </c>
      <c r="AU243" s="44">
        <v>34</v>
      </c>
      <c r="AV243" s="31">
        <v>23357148.384822875</v>
      </c>
      <c r="AW243" s="31">
        <v>824948.60999999987</v>
      </c>
      <c r="AX243" s="31">
        <v>87724.37000000001</v>
      </c>
      <c r="AY243" s="31">
        <v>83649.429999999993</v>
      </c>
      <c r="AZ243" s="31">
        <v>3835915.7806527675</v>
      </c>
      <c r="BA243" s="31">
        <v>1313715.802693723</v>
      </c>
      <c r="BB243" s="31">
        <v>2303356.2317534485</v>
      </c>
      <c r="BC243" s="31">
        <f t="shared" si="19"/>
        <v>31806458.609922819</v>
      </c>
      <c r="BD243" s="31">
        <v>0</v>
      </c>
    </row>
    <row r="244" spans="2:56">
      <c r="B244" s="42" t="s">
        <v>393</v>
      </c>
      <c r="C244" s="42" t="s">
        <v>394</v>
      </c>
      <c r="D244" s="43" t="s">
        <v>1049</v>
      </c>
      <c r="E244" s="44">
        <v>34</v>
      </c>
      <c r="F244" s="31">
        <v>385656.21220553294</v>
      </c>
      <c r="G244" s="31">
        <v>0</v>
      </c>
      <c r="H244" s="31">
        <v>0</v>
      </c>
      <c r="I244" s="31">
        <v>0</v>
      </c>
      <c r="J244" s="31">
        <v>0</v>
      </c>
      <c r="K244" s="31">
        <v>0</v>
      </c>
      <c r="L244" s="31">
        <v>0</v>
      </c>
      <c r="M244" s="31">
        <f t="shared" si="16"/>
        <v>385656.21220553294</v>
      </c>
      <c r="N244" s="31">
        <v>0</v>
      </c>
      <c r="P244" s="42" t="s">
        <v>393</v>
      </c>
      <c r="Q244" s="42" t="s">
        <v>394</v>
      </c>
      <c r="R244" s="43" t="s">
        <v>1050</v>
      </c>
      <c r="S244" s="44">
        <v>34</v>
      </c>
      <c r="T244" s="31">
        <v>408790.94476371934</v>
      </c>
      <c r="U244" s="31">
        <v>0</v>
      </c>
      <c r="V244" s="31">
        <v>0</v>
      </c>
      <c r="W244" s="31">
        <v>0</v>
      </c>
      <c r="X244" s="31">
        <v>0</v>
      </c>
      <c r="Y244" s="31">
        <v>0</v>
      </c>
      <c r="Z244" s="31">
        <v>0</v>
      </c>
      <c r="AA244" s="31">
        <f t="shared" si="17"/>
        <v>408790.94476371934</v>
      </c>
      <c r="AB244" s="31">
        <v>0</v>
      </c>
      <c r="AD244" s="42" t="s">
        <v>393</v>
      </c>
      <c r="AE244" s="42" t="s">
        <v>394</v>
      </c>
      <c r="AF244" s="43" t="s">
        <v>1275</v>
      </c>
      <c r="AG244" s="44">
        <v>34</v>
      </c>
      <c r="AH244" s="31">
        <v>415962.53778966959</v>
      </c>
      <c r="AI244" s="31">
        <v>0</v>
      </c>
      <c r="AJ244" s="31">
        <v>0</v>
      </c>
      <c r="AK244" s="31">
        <v>0</v>
      </c>
      <c r="AL244" s="31">
        <v>0</v>
      </c>
      <c r="AM244" s="31">
        <v>0</v>
      </c>
      <c r="AN244" s="31">
        <v>0</v>
      </c>
      <c r="AO244" s="31">
        <f t="shared" si="18"/>
        <v>415962.53778966959</v>
      </c>
      <c r="AP244" s="31">
        <v>0</v>
      </c>
      <c r="AR244" s="42" t="s">
        <v>393</v>
      </c>
      <c r="AS244" s="42" t="s">
        <v>394</v>
      </c>
      <c r="AT244" s="43" t="s">
        <v>1276</v>
      </c>
      <c r="AU244" s="44">
        <v>34</v>
      </c>
      <c r="AV244" s="31">
        <v>423644.07653686206</v>
      </c>
      <c r="AW244" s="31">
        <v>0</v>
      </c>
      <c r="AX244" s="31">
        <v>0</v>
      </c>
      <c r="AY244" s="31">
        <v>0</v>
      </c>
      <c r="AZ244" s="31">
        <v>0</v>
      </c>
      <c r="BA244" s="31">
        <v>0</v>
      </c>
      <c r="BB244" s="31">
        <v>0</v>
      </c>
      <c r="BC244" s="31">
        <f t="shared" si="19"/>
        <v>423644.07653686206</v>
      </c>
      <c r="BD244" s="31">
        <v>0</v>
      </c>
    </row>
    <row r="245" spans="2:56">
      <c r="B245" s="42" t="s">
        <v>317</v>
      </c>
      <c r="C245" s="42" t="s">
        <v>318</v>
      </c>
      <c r="D245" s="43" t="s">
        <v>1049</v>
      </c>
      <c r="E245" s="44">
        <v>34</v>
      </c>
      <c r="F245" s="31">
        <v>30583704.594515305</v>
      </c>
      <c r="G245" s="31">
        <v>1795090.0099999998</v>
      </c>
      <c r="H245" s="31">
        <v>1329118.8400000001</v>
      </c>
      <c r="I245" s="31">
        <v>120049.43999999999</v>
      </c>
      <c r="J245" s="31">
        <v>5465182.0350810001</v>
      </c>
      <c r="K245" s="31">
        <v>3080770.5080781579</v>
      </c>
      <c r="L245" s="31">
        <v>7001494.2626352645</v>
      </c>
      <c r="M245" s="31">
        <f t="shared" si="16"/>
        <v>50606501.140309736</v>
      </c>
      <c r="N245" s="31">
        <v>1231091.4500000002</v>
      </c>
      <c r="P245" s="42" t="s">
        <v>317</v>
      </c>
      <c r="Q245" s="42" t="s">
        <v>318</v>
      </c>
      <c r="R245" s="43" t="s">
        <v>1050</v>
      </c>
      <c r="S245" s="44">
        <v>34</v>
      </c>
      <c r="T245" s="31">
        <v>33047846.141797736</v>
      </c>
      <c r="U245" s="31">
        <v>1941507.72</v>
      </c>
      <c r="V245" s="31">
        <v>1422239.4800000002</v>
      </c>
      <c r="W245" s="31">
        <v>128464.36</v>
      </c>
      <c r="X245" s="31">
        <v>5817854.505895555</v>
      </c>
      <c r="Y245" s="31">
        <v>3088633.7069353103</v>
      </c>
      <c r="Z245" s="31">
        <v>7540286.9502910208</v>
      </c>
      <c r="AA245" s="31">
        <f t="shared" si="17"/>
        <v>54283706.10491962</v>
      </c>
      <c r="AB245" s="31">
        <v>1296873.24</v>
      </c>
      <c r="AD245" s="42" t="s">
        <v>317</v>
      </c>
      <c r="AE245" s="42" t="s">
        <v>318</v>
      </c>
      <c r="AF245" s="43" t="s">
        <v>1275</v>
      </c>
      <c r="AG245" s="44">
        <v>34</v>
      </c>
      <c r="AH245" s="31">
        <v>33672342.33399491</v>
      </c>
      <c r="AI245" s="31">
        <v>1976542.4900000007</v>
      </c>
      <c r="AJ245" s="31">
        <v>1448091.76</v>
      </c>
      <c r="AK245" s="31">
        <v>130809.70000000001</v>
      </c>
      <c r="AL245" s="31">
        <v>5924494.2613138407</v>
      </c>
      <c r="AM245" s="31">
        <v>3082659.7965570157</v>
      </c>
      <c r="AN245" s="31">
        <v>7678575.147508367</v>
      </c>
      <c r="AO245" s="31">
        <f t="shared" si="18"/>
        <v>55234242.889374137</v>
      </c>
      <c r="AP245" s="31">
        <v>1320727.3999999999</v>
      </c>
      <c r="AR245" s="42" t="s">
        <v>317</v>
      </c>
      <c r="AS245" s="42" t="s">
        <v>318</v>
      </c>
      <c r="AT245" s="43" t="s">
        <v>1276</v>
      </c>
      <c r="AU245" s="44">
        <v>34</v>
      </c>
      <c r="AV245" s="31">
        <v>34373799.546071827</v>
      </c>
      <c r="AW245" s="31">
        <v>2015969.54</v>
      </c>
      <c r="AX245" s="31">
        <v>1477248.56</v>
      </c>
      <c r="AY245" s="31">
        <v>133425.44</v>
      </c>
      <c r="AZ245" s="31">
        <v>6044478.3450750969</v>
      </c>
      <c r="BA245" s="31">
        <v>3082830.4797106818</v>
      </c>
      <c r="BB245" s="31">
        <v>7834194.0380602498</v>
      </c>
      <c r="BC245" s="31">
        <f t="shared" si="19"/>
        <v>56309566.028917849</v>
      </c>
      <c r="BD245" s="31">
        <v>1347620.08</v>
      </c>
    </row>
    <row r="246" spans="2:56">
      <c r="B246" s="42" t="s">
        <v>213</v>
      </c>
      <c r="C246" s="42" t="s">
        <v>214</v>
      </c>
      <c r="D246" s="43" t="s">
        <v>1049</v>
      </c>
      <c r="E246" s="44">
        <v>34</v>
      </c>
      <c r="F246" s="31">
        <v>85181361.258341745</v>
      </c>
      <c r="G246" s="31">
        <v>1782995.13</v>
      </c>
      <c r="H246" s="31">
        <v>1555205.55</v>
      </c>
      <c r="I246" s="31">
        <v>300012.73999999993</v>
      </c>
      <c r="J246" s="31">
        <v>11196260.081652844</v>
      </c>
      <c r="K246" s="31">
        <v>4175241.9513095766</v>
      </c>
      <c r="L246" s="31">
        <v>4482145.2827807777</v>
      </c>
      <c r="M246" s="31">
        <f t="shared" si="16"/>
        <v>108673221.99408494</v>
      </c>
      <c r="N246" s="31">
        <v>0</v>
      </c>
      <c r="P246" s="42" t="s">
        <v>213</v>
      </c>
      <c r="Q246" s="42" t="s">
        <v>214</v>
      </c>
      <c r="R246" s="43" t="s">
        <v>1050</v>
      </c>
      <c r="S246" s="44">
        <v>34</v>
      </c>
      <c r="T246" s="31">
        <v>89940988.988187939</v>
      </c>
      <c r="U246" s="31">
        <v>1877481.54</v>
      </c>
      <c r="V246" s="31">
        <v>1637705.9400000002</v>
      </c>
      <c r="W246" s="31">
        <v>315936.81999999995</v>
      </c>
      <c r="X246" s="31">
        <v>11764541.920462029</v>
      </c>
      <c r="Y246" s="31">
        <v>4184447.0407387428</v>
      </c>
      <c r="Z246" s="31">
        <v>4719184.296084349</v>
      </c>
      <c r="AA246" s="31">
        <f t="shared" si="17"/>
        <v>114440286.54547305</v>
      </c>
      <c r="AB246" s="31">
        <v>0</v>
      </c>
      <c r="AD246" s="42" t="s">
        <v>213</v>
      </c>
      <c r="AE246" s="42" t="s">
        <v>214</v>
      </c>
      <c r="AF246" s="43" t="s">
        <v>1275</v>
      </c>
      <c r="AG246" s="44">
        <v>34</v>
      </c>
      <c r="AH246" s="31">
        <v>91635493.021931529</v>
      </c>
      <c r="AI246" s="31">
        <v>1912313.86</v>
      </c>
      <c r="AJ246" s="31">
        <v>1668032.61</v>
      </c>
      <c r="AK246" s="31">
        <v>321795.92999999993</v>
      </c>
      <c r="AL246" s="31">
        <v>11983202.881282285</v>
      </c>
      <c r="AM246" s="31">
        <v>4177226.6095574931</v>
      </c>
      <c r="AN246" s="31">
        <v>4807005.334617883</v>
      </c>
      <c r="AO246" s="31">
        <f t="shared" si="18"/>
        <v>116505070.2473892</v>
      </c>
      <c r="AP246" s="31">
        <v>0</v>
      </c>
      <c r="AR246" s="42" t="s">
        <v>213</v>
      </c>
      <c r="AS246" s="42" t="s">
        <v>214</v>
      </c>
      <c r="AT246" s="43" t="s">
        <v>1276</v>
      </c>
      <c r="AU246" s="44">
        <v>34</v>
      </c>
      <c r="AV246" s="31">
        <v>93537116.030663818</v>
      </c>
      <c r="AW246" s="31">
        <v>1951438.22</v>
      </c>
      <c r="AX246" s="31">
        <v>1702215.1099999999</v>
      </c>
      <c r="AY246" s="31">
        <v>328311.92000000004</v>
      </c>
      <c r="AZ246" s="31">
        <v>12229026.163124207</v>
      </c>
      <c r="BA246" s="31">
        <v>4177432.9075912433</v>
      </c>
      <c r="BB246" s="31">
        <v>4905459.6400839128</v>
      </c>
      <c r="BC246" s="31">
        <f t="shared" si="19"/>
        <v>118830999.99146317</v>
      </c>
      <c r="BD246" s="31">
        <v>0</v>
      </c>
    </row>
    <row r="247" spans="2:56">
      <c r="B247" s="42" t="s">
        <v>415</v>
      </c>
      <c r="C247" s="42" t="s">
        <v>416</v>
      </c>
      <c r="D247" s="43" t="s">
        <v>1049</v>
      </c>
      <c r="E247" s="44">
        <v>34</v>
      </c>
      <c r="F247" s="31">
        <v>700207.42173518077</v>
      </c>
      <c r="G247" s="31">
        <v>26894.190000000002</v>
      </c>
      <c r="H247" s="31">
        <v>0</v>
      </c>
      <c r="I247" s="31">
        <v>0</v>
      </c>
      <c r="J247" s="31">
        <v>86245.725569289018</v>
      </c>
      <c r="K247" s="31">
        <v>86595.467739883927</v>
      </c>
      <c r="L247" s="31">
        <v>0</v>
      </c>
      <c r="M247" s="31">
        <f t="shared" si="16"/>
        <v>919918.57504435373</v>
      </c>
      <c r="N247" s="31">
        <v>19975.769999999997</v>
      </c>
      <c r="P247" s="42" t="s">
        <v>415</v>
      </c>
      <c r="Q247" s="42" t="s">
        <v>416</v>
      </c>
      <c r="R247" s="43" t="s">
        <v>1050</v>
      </c>
      <c r="S247" s="44">
        <v>34</v>
      </c>
      <c r="T247" s="31">
        <v>753630.3318016578</v>
      </c>
      <c r="U247" s="31">
        <v>28971.86</v>
      </c>
      <c r="V247" s="31">
        <v>0</v>
      </c>
      <c r="W247" s="31">
        <v>0</v>
      </c>
      <c r="X247" s="31">
        <v>91348.713849279127</v>
      </c>
      <c r="Y247" s="31">
        <v>86656.262068640164</v>
      </c>
      <c r="Z247" s="31">
        <v>0</v>
      </c>
      <c r="AA247" s="31">
        <f t="shared" si="17"/>
        <v>981547.5577195771</v>
      </c>
      <c r="AB247" s="31">
        <v>20940.39</v>
      </c>
      <c r="AD247" s="42" t="s">
        <v>415</v>
      </c>
      <c r="AE247" s="42" t="s">
        <v>416</v>
      </c>
      <c r="AF247" s="43" t="s">
        <v>1275</v>
      </c>
      <c r="AG247" s="44">
        <v>34</v>
      </c>
      <c r="AH247" s="31">
        <v>766795.15870466805</v>
      </c>
      <c r="AI247" s="31">
        <v>29472.010000000006</v>
      </c>
      <c r="AJ247" s="31">
        <v>0</v>
      </c>
      <c r="AK247" s="31">
        <v>0</v>
      </c>
      <c r="AL247" s="31">
        <v>92950.364902137255</v>
      </c>
      <c r="AM247" s="31">
        <v>86610.074775390167</v>
      </c>
      <c r="AN247" s="31">
        <v>0</v>
      </c>
      <c r="AO247" s="31">
        <f t="shared" si="18"/>
        <v>997138.04838219553</v>
      </c>
      <c r="AP247" s="31">
        <v>21310.44</v>
      </c>
      <c r="AR247" s="42" t="s">
        <v>415</v>
      </c>
      <c r="AS247" s="42" t="s">
        <v>416</v>
      </c>
      <c r="AT247" s="43" t="s">
        <v>1276</v>
      </c>
      <c r="AU247" s="44">
        <v>34</v>
      </c>
      <c r="AV247" s="31">
        <v>780894.82808129175</v>
      </c>
      <c r="AW247" s="31">
        <v>30007.670000000006</v>
      </c>
      <c r="AX247" s="31">
        <v>0</v>
      </c>
      <c r="AY247" s="31">
        <v>0</v>
      </c>
      <c r="AZ247" s="31">
        <v>94665.712039664155</v>
      </c>
      <c r="BA247" s="31">
        <v>86611.39441234016</v>
      </c>
      <c r="BB247" s="31">
        <v>0</v>
      </c>
      <c r="BC247" s="31">
        <f t="shared" si="19"/>
        <v>1013886.3845332961</v>
      </c>
      <c r="BD247" s="31">
        <v>21706.78</v>
      </c>
    </row>
    <row r="248" spans="2:56">
      <c r="B248" s="42" t="s">
        <v>197</v>
      </c>
      <c r="C248" s="42" t="s">
        <v>198</v>
      </c>
      <c r="D248" s="43" t="s">
        <v>1049</v>
      </c>
      <c r="E248" s="44">
        <v>34</v>
      </c>
      <c r="F248" s="31">
        <v>2142717.5319007295</v>
      </c>
      <c r="G248" s="31">
        <v>22922.82</v>
      </c>
      <c r="H248" s="31">
        <v>0</v>
      </c>
      <c r="I248" s="31">
        <v>0</v>
      </c>
      <c r="J248" s="31">
        <v>56634.450937427348</v>
      </c>
      <c r="K248" s="31">
        <v>51376.613673667569</v>
      </c>
      <c r="L248" s="31">
        <v>0</v>
      </c>
      <c r="M248" s="31">
        <f t="shared" si="16"/>
        <v>2286185.5465118242</v>
      </c>
      <c r="N248" s="31">
        <v>12534.130000000003</v>
      </c>
      <c r="P248" s="42" t="s">
        <v>197</v>
      </c>
      <c r="Q248" s="42" t="s">
        <v>198</v>
      </c>
      <c r="R248" s="43" t="s">
        <v>1050</v>
      </c>
      <c r="S248" s="44">
        <v>34</v>
      </c>
      <c r="T248" s="31">
        <v>2273725.1082580322</v>
      </c>
      <c r="U248" s="31">
        <v>24569.77</v>
      </c>
      <c r="V248" s="31">
        <v>0</v>
      </c>
      <c r="W248" s="31">
        <v>0</v>
      </c>
      <c r="X248" s="31">
        <v>59976.824114112693</v>
      </c>
      <c r="Y248" s="31">
        <v>51446.070844938273</v>
      </c>
      <c r="Z248" s="31">
        <v>0</v>
      </c>
      <c r="AA248" s="31">
        <f t="shared" si="17"/>
        <v>2422868.2232170831</v>
      </c>
      <c r="AB248" s="31">
        <v>13150.45</v>
      </c>
      <c r="AD248" s="42" t="s">
        <v>197</v>
      </c>
      <c r="AE248" s="42" t="s">
        <v>198</v>
      </c>
      <c r="AF248" s="43" t="s">
        <v>1275</v>
      </c>
      <c r="AG248" s="44">
        <v>34</v>
      </c>
      <c r="AH248" s="31">
        <v>2313742.4135402744</v>
      </c>
      <c r="AI248" s="31">
        <v>25003.660000000003</v>
      </c>
      <c r="AJ248" s="31">
        <v>0</v>
      </c>
      <c r="AK248" s="31">
        <v>0</v>
      </c>
      <c r="AL248" s="31">
        <v>61046.055850196273</v>
      </c>
      <c r="AM248" s="31">
        <v>51391.677754968419</v>
      </c>
      <c r="AN248" s="31">
        <v>0</v>
      </c>
      <c r="AO248" s="31">
        <f t="shared" si="18"/>
        <v>2464570.6971454392</v>
      </c>
      <c r="AP248" s="31">
        <v>13386.890000000001</v>
      </c>
      <c r="AR248" s="42" t="s">
        <v>197</v>
      </c>
      <c r="AS248" s="42" t="s">
        <v>198</v>
      </c>
      <c r="AT248" s="43" t="s">
        <v>1276</v>
      </c>
      <c r="AU248" s="44">
        <v>34</v>
      </c>
      <c r="AV248" s="31">
        <v>2356600.7070449935</v>
      </c>
      <c r="AW248" s="31">
        <v>25468.34</v>
      </c>
      <c r="AX248" s="31">
        <v>0</v>
      </c>
      <c r="AY248" s="31">
        <v>0</v>
      </c>
      <c r="AZ248" s="31">
        <v>62191.198778726495</v>
      </c>
      <c r="BA248" s="31">
        <v>51393.231843253277</v>
      </c>
      <c r="BB248" s="31">
        <v>0</v>
      </c>
      <c r="BC248" s="31">
        <f t="shared" si="19"/>
        <v>2509293.607666973</v>
      </c>
      <c r="BD248" s="31">
        <v>13640.130000000001</v>
      </c>
    </row>
    <row r="249" spans="2:56">
      <c r="B249" s="42" t="s">
        <v>439</v>
      </c>
      <c r="C249" s="42" t="s">
        <v>440</v>
      </c>
      <c r="D249" s="43" t="s">
        <v>1049</v>
      </c>
      <c r="E249" s="44">
        <v>34</v>
      </c>
      <c r="F249" s="31">
        <v>85855845.537386566</v>
      </c>
      <c r="G249" s="31">
        <v>1310678.54</v>
      </c>
      <c r="H249" s="31">
        <v>732549.27</v>
      </c>
      <c r="I249" s="31">
        <v>305400.81999999995</v>
      </c>
      <c r="J249" s="31">
        <v>12091594.498744344</v>
      </c>
      <c r="K249" s="31">
        <v>5933475.7636761786</v>
      </c>
      <c r="L249" s="31">
        <v>5455262.0614047665</v>
      </c>
      <c r="M249" s="31">
        <f t="shared" si="16"/>
        <v>111684806.49121185</v>
      </c>
      <c r="N249" s="31">
        <v>0</v>
      </c>
      <c r="P249" s="42" t="s">
        <v>439</v>
      </c>
      <c r="Q249" s="42" t="s">
        <v>440</v>
      </c>
      <c r="R249" s="43" t="s">
        <v>1050</v>
      </c>
      <c r="S249" s="44">
        <v>34</v>
      </c>
      <c r="T249" s="31">
        <v>90670692.984675035</v>
      </c>
      <c r="U249" s="31">
        <v>1380151.36</v>
      </c>
      <c r="V249" s="31">
        <v>771462.45</v>
      </c>
      <c r="W249" s="31">
        <v>321702.95999999996</v>
      </c>
      <c r="X249" s="31">
        <v>12705454.912779724</v>
      </c>
      <c r="Y249" s="31">
        <v>5943909.5185179422</v>
      </c>
      <c r="Z249" s="31">
        <v>5743797.7403016351</v>
      </c>
      <c r="AA249" s="31">
        <f t="shared" si="17"/>
        <v>117537171.92627433</v>
      </c>
      <c r="AB249" s="31">
        <v>0</v>
      </c>
      <c r="AD249" s="42" t="s">
        <v>439</v>
      </c>
      <c r="AE249" s="42" t="s">
        <v>440</v>
      </c>
      <c r="AF249" s="43" t="s">
        <v>1275</v>
      </c>
      <c r="AG249" s="44">
        <v>34</v>
      </c>
      <c r="AH249" s="31">
        <v>92385476.221411437</v>
      </c>
      <c r="AI249" s="31">
        <v>1405656.4600000002</v>
      </c>
      <c r="AJ249" s="31">
        <v>785661.33</v>
      </c>
      <c r="AK249" s="31">
        <v>327542.26</v>
      </c>
      <c r="AL249" s="31">
        <v>12941609.295672629</v>
      </c>
      <c r="AM249" s="31">
        <v>5935725.3276551915</v>
      </c>
      <c r="AN249" s="31">
        <v>5850471.1817271318</v>
      </c>
      <c r="AO249" s="31">
        <f t="shared" si="18"/>
        <v>119632142.07646638</v>
      </c>
      <c r="AP249" s="31">
        <v>0</v>
      </c>
      <c r="AR249" s="42" t="s">
        <v>439</v>
      </c>
      <c r="AS249" s="42" t="s">
        <v>440</v>
      </c>
      <c r="AT249" s="43" t="s">
        <v>1276</v>
      </c>
      <c r="AU249" s="44">
        <v>34</v>
      </c>
      <c r="AV249" s="31">
        <v>94310461.506626353</v>
      </c>
      <c r="AW249" s="31">
        <v>1434434.13</v>
      </c>
      <c r="AX249" s="31">
        <v>801723.75999999989</v>
      </c>
      <c r="AY249" s="31">
        <v>334290.31</v>
      </c>
      <c r="AZ249" s="31">
        <v>13207126.705801062</v>
      </c>
      <c r="BA249" s="31">
        <v>5935959.1616798416</v>
      </c>
      <c r="BB249" s="31">
        <v>5970575.3075737851</v>
      </c>
      <c r="BC249" s="31">
        <f t="shared" si="19"/>
        <v>121994570.88168104</v>
      </c>
      <c r="BD249" s="31">
        <v>0</v>
      </c>
    </row>
    <row r="250" spans="2:56">
      <c r="B250" s="42" t="s">
        <v>209</v>
      </c>
      <c r="C250" s="42" t="s">
        <v>210</v>
      </c>
      <c r="D250" s="43" t="s">
        <v>1049</v>
      </c>
      <c r="E250" s="44">
        <v>34</v>
      </c>
      <c r="F250" s="31">
        <v>64863921.017356321</v>
      </c>
      <c r="G250" s="31">
        <v>542468.77</v>
      </c>
      <c r="H250" s="31">
        <v>498542.79</v>
      </c>
      <c r="I250" s="31">
        <v>230696.01999999996</v>
      </c>
      <c r="J250" s="31">
        <v>7205361.7576231575</v>
      </c>
      <c r="K250" s="31">
        <v>3799938.7519027176</v>
      </c>
      <c r="L250" s="31">
        <v>4505042.7153187245</v>
      </c>
      <c r="M250" s="31">
        <f t="shared" si="16"/>
        <v>81645971.822200924</v>
      </c>
      <c r="N250" s="31">
        <v>0</v>
      </c>
      <c r="P250" s="42" t="s">
        <v>209</v>
      </c>
      <c r="Q250" s="42" t="s">
        <v>210</v>
      </c>
      <c r="R250" s="43" t="s">
        <v>1050</v>
      </c>
      <c r="S250" s="44">
        <v>34</v>
      </c>
      <c r="T250" s="31">
        <v>69353727.057434037</v>
      </c>
      <c r="U250" s="31">
        <v>579978.30000000005</v>
      </c>
      <c r="V250" s="31">
        <v>532888.09</v>
      </c>
      <c r="W250" s="31">
        <v>246622.93000000002</v>
      </c>
      <c r="X250" s="31">
        <v>7667909.377679918</v>
      </c>
      <c r="Y250" s="31">
        <v>3809096.4710160675</v>
      </c>
      <c r="Z250" s="31">
        <v>4802853.5678591076</v>
      </c>
      <c r="AA250" s="31">
        <f t="shared" si="17"/>
        <v>86993075.793989137</v>
      </c>
      <c r="AB250" s="31">
        <v>0</v>
      </c>
      <c r="AD250" s="42" t="s">
        <v>209</v>
      </c>
      <c r="AE250" s="42" t="s">
        <v>210</v>
      </c>
      <c r="AF250" s="43" t="s">
        <v>1275</v>
      </c>
      <c r="AG250" s="44">
        <v>34</v>
      </c>
      <c r="AH250" s="31">
        <v>70679110.708259165</v>
      </c>
      <c r="AI250" s="31">
        <v>590774.29</v>
      </c>
      <c r="AJ250" s="31">
        <v>542724.97000000009</v>
      </c>
      <c r="AK250" s="31">
        <v>251127.98</v>
      </c>
      <c r="AL250" s="31">
        <v>7810408.0619581491</v>
      </c>
      <c r="AM250" s="31">
        <v>3801924.9057113179</v>
      </c>
      <c r="AN250" s="31">
        <v>4892207.6547586834</v>
      </c>
      <c r="AO250" s="31">
        <f t="shared" si="18"/>
        <v>88568278.570687324</v>
      </c>
      <c r="AP250" s="31">
        <v>0</v>
      </c>
      <c r="AR250" s="42" t="s">
        <v>209</v>
      </c>
      <c r="AS250" s="42" t="s">
        <v>210</v>
      </c>
      <c r="AT250" s="43" t="s">
        <v>1276</v>
      </c>
      <c r="AU250" s="44">
        <v>34</v>
      </c>
      <c r="AV250" s="31">
        <v>72164551.2354801</v>
      </c>
      <c r="AW250" s="31">
        <v>602818.54</v>
      </c>
      <c r="AX250" s="31">
        <v>553870.66</v>
      </c>
      <c r="AY250" s="31">
        <v>256322.43</v>
      </c>
      <c r="AZ250" s="31">
        <v>7970635.6236660592</v>
      </c>
      <c r="BA250" s="31">
        <v>3802129.8075771676</v>
      </c>
      <c r="BB250" s="31">
        <v>4992505.3657607716</v>
      </c>
      <c r="BC250" s="31">
        <f t="shared" si="19"/>
        <v>90342833.662484109</v>
      </c>
      <c r="BD250" s="31">
        <v>0</v>
      </c>
    </row>
    <row r="251" spans="2:56">
      <c r="B251" s="42" t="s">
        <v>129</v>
      </c>
      <c r="C251" s="42" t="s">
        <v>130</v>
      </c>
      <c r="D251" s="43" t="s">
        <v>1049</v>
      </c>
      <c r="E251" s="44">
        <v>34</v>
      </c>
      <c r="F251" s="31">
        <v>4959821.2148148557</v>
      </c>
      <c r="G251" s="31">
        <v>274398.70999999996</v>
      </c>
      <c r="H251" s="31">
        <v>156298.14000000001</v>
      </c>
      <c r="I251" s="31">
        <v>15493.390000000001</v>
      </c>
      <c r="J251" s="31">
        <v>691724.8891853739</v>
      </c>
      <c r="K251" s="31">
        <v>359194.44337709708</v>
      </c>
      <c r="L251" s="31">
        <v>246344.5105411355</v>
      </c>
      <c r="M251" s="31">
        <f t="shared" si="16"/>
        <v>6861327.4179184614</v>
      </c>
      <c r="N251" s="31">
        <v>158052.12000000002</v>
      </c>
      <c r="P251" s="42" t="s">
        <v>129</v>
      </c>
      <c r="Q251" s="42" t="s">
        <v>130</v>
      </c>
      <c r="R251" s="43" t="s">
        <v>1050</v>
      </c>
      <c r="S251" s="44">
        <v>34</v>
      </c>
      <c r="T251" s="31">
        <v>5347498.4085547868</v>
      </c>
      <c r="U251" s="31">
        <v>296198.46000000008</v>
      </c>
      <c r="V251" s="31">
        <v>167273.46000000002</v>
      </c>
      <c r="W251" s="31">
        <v>16602.84</v>
      </c>
      <c r="X251" s="31">
        <v>736344.79837192246</v>
      </c>
      <c r="Y251" s="31">
        <v>359925.00526625657</v>
      </c>
      <c r="Z251" s="31">
        <v>265321.91531454358</v>
      </c>
      <c r="AA251" s="31">
        <f t="shared" si="17"/>
        <v>7355666.407507509</v>
      </c>
      <c r="AB251" s="31">
        <v>166501.51999999999</v>
      </c>
      <c r="AD251" s="42" t="s">
        <v>129</v>
      </c>
      <c r="AE251" s="42" t="s">
        <v>130</v>
      </c>
      <c r="AF251" s="43" t="s">
        <v>1275</v>
      </c>
      <c r="AG251" s="44">
        <v>34</v>
      </c>
      <c r="AH251" s="31">
        <v>5447759.0118474411</v>
      </c>
      <c r="AI251" s="31">
        <v>301641.46999999997</v>
      </c>
      <c r="AJ251" s="31">
        <v>170295.42</v>
      </c>
      <c r="AK251" s="31">
        <v>16892.309999999998</v>
      </c>
      <c r="AL251" s="31">
        <v>749855.22928419942</v>
      </c>
      <c r="AM251" s="31">
        <v>359369.97526753461</v>
      </c>
      <c r="AN251" s="31">
        <v>270131.64174772665</v>
      </c>
      <c r="AO251" s="31">
        <f t="shared" si="18"/>
        <v>7485492.9881469021</v>
      </c>
      <c r="AP251" s="31">
        <v>169547.93000000002</v>
      </c>
      <c r="AR251" s="42" t="s">
        <v>129</v>
      </c>
      <c r="AS251" s="42" t="s">
        <v>130</v>
      </c>
      <c r="AT251" s="43" t="s">
        <v>1276</v>
      </c>
      <c r="AU251" s="44">
        <v>34</v>
      </c>
      <c r="AV251" s="31">
        <v>5559379.0362050049</v>
      </c>
      <c r="AW251" s="31">
        <v>307570.73000000004</v>
      </c>
      <c r="AX251" s="31">
        <v>173743.35999999999</v>
      </c>
      <c r="AY251" s="31">
        <v>17309.84</v>
      </c>
      <c r="AZ251" s="31">
        <v>765019.97600080166</v>
      </c>
      <c r="BA251" s="31">
        <v>359385.83326749806</v>
      </c>
      <c r="BB251" s="31">
        <v>275624.70650309883</v>
      </c>
      <c r="BC251" s="31">
        <f t="shared" si="19"/>
        <v>7631052.3419764042</v>
      </c>
      <c r="BD251" s="31">
        <v>173018.86</v>
      </c>
    </row>
    <row r="252" spans="2:56">
      <c r="B252" s="42" t="s">
        <v>347</v>
      </c>
      <c r="C252" s="42" t="s">
        <v>348</v>
      </c>
      <c r="D252" s="43" t="s">
        <v>1049</v>
      </c>
      <c r="E252" s="44">
        <v>34</v>
      </c>
      <c r="F252" s="31">
        <v>4972758.6528821643</v>
      </c>
      <c r="G252" s="31">
        <v>241170.74000000002</v>
      </c>
      <c r="H252" s="31">
        <v>134081.19999999998</v>
      </c>
      <c r="I252" s="31">
        <v>0</v>
      </c>
      <c r="J252" s="31">
        <v>696289.58867765113</v>
      </c>
      <c r="K252" s="31">
        <v>479754.04803993308</v>
      </c>
      <c r="L252" s="31">
        <v>376650.57501439704</v>
      </c>
      <c r="M252" s="31">
        <f t="shared" si="16"/>
        <v>7049889.6446141452</v>
      </c>
      <c r="N252" s="31">
        <v>149184.84</v>
      </c>
      <c r="P252" s="42" t="s">
        <v>347</v>
      </c>
      <c r="Q252" s="42" t="s">
        <v>348</v>
      </c>
      <c r="R252" s="43" t="s">
        <v>1050</v>
      </c>
      <c r="S252" s="44">
        <v>34</v>
      </c>
      <c r="T252" s="31">
        <v>5360357.9570882721</v>
      </c>
      <c r="U252" s="31">
        <v>260666.32</v>
      </c>
      <c r="V252" s="31">
        <v>143406.9</v>
      </c>
      <c r="W252" s="31">
        <v>0</v>
      </c>
      <c r="X252" s="31">
        <v>741206.24128715857</v>
      </c>
      <c r="Y252" s="31">
        <v>480764.41994042235</v>
      </c>
      <c r="Z252" s="31">
        <v>405419.56961965479</v>
      </c>
      <c r="AA252" s="31">
        <f t="shared" si="17"/>
        <v>7549027.4379355088</v>
      </c>
      <c r="AB252" s="31">
        <v>157206.03000000003</v>
      </c>
      <c r="AD252" s="42" t="s">
        <v>347</v>
      </c>
      <c r="AE252" s="42" t="s">
        <v>348</v>
      </c>
      <c r="AF252" s="43" t="s">
        <v>1275</v>
      </c>
      <c r="AG252" s="44">
        <v>34</v>
      </c>
      <c r="AH252" s="31">
        <v>5460996.8855610276</v>
      </c>
      <c r="AI252" s="31">
        <v>265386.45999999996</v>
      </c>
      <c r="AJ252" s="31">
        <v>146118.32</v>
      </c>
      <c r="AK252" s="31">
        <v>0</v>
      </c>
      <c r="AL252" s="31">
        <v>754797.85133437335</v>
      </c>
      <c r="AM252" s="31">
        <v>479996.80979957239</v>
      </c>
      <c r="AN252" s="31">
        <v>412924.91747668688</v>
      </c>
      <c r="AO252" s="31">
        <f t="shared" si="18"/>
        <v>7680309.4041716605</v>
      </c>
      <c r="AP252" s="31">
        <v>160088.16</v>
      </c>
      <c r="AR252" s="42" t="s">
        <v>347</v>
      </c>
      <c r="AS252" s="42" t="s">
        <v>348</v>
      </c>
      <c r="AT252" s="43" t="s">
        <v>1276</v>
      </c>
      <c r="AU252" s="44">
        <v>34</v>
      </c>
      <c r="AV252" s="31">
        <v>5573015.0599912209</v>
      </c>
      <c r="AW252" s="31">
        <v>270652.63999999996</v>
      </c>
      <c r="AX252" s="31">
        <v>149122.54999999999</v>
      </c>
      <c r="AY252" s="31">
        <v>0</v>
      </c>
      <c r="AZ252" s="31">
        <v>770064.73731126531</v>
      </c>
      <c r="BA252" s="31">
        <v>480018.74151788239</v>
      </c>
      <c r="BB252" s="31">
        <v>421214.13526629709</v>
      </c>
      <c r="BC252" s="31">
        <f t="shared" si="19"/>
        <v>7827471.0540866666</v>
      </c>
      <c r="BD252" s="31">
        <v>163383.19</v>
      </c>
    </row>
    <row r="253" spans="2:56">
      <c r="B253" s="42" t="s">
        <v>235</v>
      </c>
      <c r="C253" s="42" t="s">
        <v>236</v>
      </c>
      <c r="D253" s="43" t="s">
        <v>1049</v>
      </c>
      <c r="E253" s="44">
        <v>34</v>
      </c>
      <c r="F253" s="31">
        <v>85289799.398860872</v>
      </c>
      <c r="G253" s="31">
        <v>2598971.94</v>
      </c>
      <c r="H253" s="31">
        <v>429096.86000000004</v>
      </c>
      <c r="I253" s="31">
        <v>313918.23</v>
      </c>
      <c r="J253" s="31">
        <v>14160153.424608892</v>
      </c>
      <c r="K253" s="31">
        <v>5783254.8153874511</v>
      </c>
      <c r="L253" s="31">
        <v>8826506.843074888</v>
      </c>
      <c r="M253" s="31">
        <f t="shared" si="16"/>
        <v>117610378.10193211</v>
      </c>
      <c r="N253" s="31">
        <v>208676.59</v>
      </c>
      <c r="P253" s="42" t="s">
        <v>235</v>
      </c>
      <c r="Q253" s="42" t="s">
        <v>236</v>
      </c>
      <c r="R253" s="43" t="s">
        <v>1050</v>
      </c>
      <c r="S253" s="44">
        <v>34</v>
      </c>
      <c r="T253" s="31">
        <v>91252735.886076704</v>
      </c>
      <c r="U253" s="31">
        <v>2781516.1500000004</v>
      </c>
      <c r="V253" s="31">
        <v>458648.96</v>
      </c>
      <c r="W253" s="31">
        <v>335517.69</v>
      </c>
      <c r="X253" s="31">
        <v>15069181.026235109</v>
      </c>
      <c r="Y253" s="31">
        <v>5798270.0496285781</v>
      </c>
      <c r="Z253" s="31">
        <v>9410300.8480255492</v>
      </c>
      <c r="AA253" s="31">
        <f t="shared" si="17"/>
        <v>125326174.32996593</v>
      </c>
      <c r="AB253" s="31">
        <v>220003.71999999994</v>
      </c>
      <c r="AD253" s="42" t="s">
        <v>235</v>
      </c>
      <c r="AE253" s="42" t="s">
        <v>236</v>
      </c>
      <c r="AF253" s="43" t="s">
        <v>1275</v>
      </c>
      <c r="AG253" s="44">
        <v>34</v>
      </c>
      <c r="AH253" s="31">
        <v>93067778.208671942</v>
      </c>
      <c r="AI253" s="31">
        <v>2832981.35</v>
      </c>
      <c r="AJ253" s="31">
        <v>467166.52</v>
      </c>
      <c r="AK253" s="31">
        <v>341847.05</v>
      </c>
      <c r="AL253" s="31">
        <v>15349280.399193378</v>
      </c>
      <c r="AM253" s="31">
        <v>5786511.3647864778</v>
      </c>
      <c r="AN253" s="31">
        <v>9585453.494868096</v>
      </c>
      <c r="AO253" s="31">
        <f t="shared" si="18"/>
        <v>127655098.32751988</v>
      </c>
      <c r="AP253" s="31">
        <v>224079.94</v>
      </c>
      <c r="AR253" s="42" t="s">
        <v>235</v>
      </c>
      <c r="AS253" s="42" t="s">
        <v>236</v>
      </c>
      <c r="AT253" s="43" t="s">
        <v>1276</v>
      </c>
      <c r="AU253" s="44">
        <v>34</v>
      </c>
      <c r="AV253" s="31">
        <v>95094077.034422323</v>
      </c>
      <c r="AW253" s="31">
        <v>2890900.2899999996</v>
      </c>
      <c r="AX253" s="31">
        <v>476650.1100000001</v>
      </c>
      <c r="AY253" s="31">
        <v>348738</v>
      </c>
      <c r="AZ253" s="31">
        <v>15664193.134307446</v>
      </c>
      <c r="BA253" s="31">
        <v>5786847.3272105381</v>
      </c>
      <c r="BB253" s="31">
        <v>9782169.0583249293</v>
      </c>
      <c r="BC253" s="31">
        <f t="shared" si="19"/>
        <v>130272385.18426524</v>
      </c>
      <c r="BD253" s="31">
        <v>228810.23</v>
      </c>
    </row>
    <row r="254" spans="2:56">
      <c r="B254" s="42" t="s">
        <v>171</v>
      </c>
      <c r="C254" s="42" t="s">
        <v>172</v>
      </c>
      <c r="D254" s="43" t="s">
        <v>1049</v>
      </c>
      <c r="E254" s="44">
        <v>34</v>
      </c>
      <c r="F254" s="31">
        <v>11111683.18512262</v>
      </c>
      <c r="G254" s="31">
        <v>262608.57999999996</v>
      </c>
      <c r="H254" s="31">
        <v>8265.56</v>
      </c>
      <c r="I254" s="31">
        <v>40265.07</v>
      </c>
      <c r="J254" s="31">
        <v>1694261.9335738861</v>
      </c>
      <c r="K254" s="31">
        <v>898693.91896110936</v>
      </c>
      <c r="L254" s="31">
        <v>614274.19545904081</v>
      </c>
      <c r="M254" s="31">
        <f t="shared" si="16"/>
        <v>14645284.683116658</v>
      </c>
      <c r="N254" s="31">
        <v>15232.24</v>
      </c>
      <c r="P254" s="42" t="s">
        <v>171</v>
      </c>
      <c r="Q254" s="42" t="s">
        <v>172</v>
      </c>
      <c r="R254" s="43" t="s">
        <v>1050</v>
      </c>
      <c r="S254" s="44">
        <v>34</v>
      </c>
      <c r="T254" s="31">
        <v>11745438.3317848</v>
      </c>
      <c r="U254" s="31">
        <v>276828.15000000002</v>
      </c>
      <c r="V254" s="31">
        <v>8663.4700000000012</v>
      </c>
      <c r="W254" s="31">
        <v>42450.960000000006</v>
      </c>
      <c r="X254" s="31">
        <v>1780751.0725013148</v>
      </c>
      <c r="Y254" s="31">
        <v>900927.95561889431</v>
      </c>
      <c r="Z254" s="31">
        <v>646778.45251596067</v>
      </c>
      <c r="AA254" s="31">
        <f t="shared" si="17"/>
        <v>15417711.432420969</v>
      </c>
      <c r="AB254" s="31">
        <v>15873.039999999999</v>
      </c>
      <c r="AD254" s="42" t="s">
        <v>171</v>
      </c>
      <c r="AE254" s="42" t="s">
        <v>172</v>
      </c>
      <c r="AF254" s="43" t="s">
        <v>1275</v>
      </c>
      <c r="AG254" s="44">
        <v>34</v>
      </c>
      <c r="AH254" s="31">
        <v>11971522.168338809</v>
      </c>
      <c r="AI254" s="31">
        <v>282013.77999999997</v>
      </c>
      <c r="AJ254" s="31">
        <v>8817.9700000000012</v>
      </c>
      <c r="AK254" s="31">
        <v>43208.03</v>
      </c>
      <c r="AL254" s="31">
        <v>1813912.0768554432</v>
      </c>
      <c r="AM254" s="31">
        <v>899175.58720704424</v>
      </c>
      <c r="AN254" s="31">
        <v>658896.48377492116</v>
      </c>
      <c r="AO254" s="31">
        <f t="shared" si="18"/>
        <v>15693705.436176216</v>
      </c>
      <c r="AP254" s="31">
        <v>16159.34</v>
      </c>
      <c r="AR254" s="42" t="s">
        <v>171</v>
      </c>
      <c r="AS254" s="42" t="s">
        <v>172</v>
      </c>
      <c r="AT254" s="43" t="s">
        <v>1276</v>
      </c>
      <c r="AU254" s="44">
        <v>34</v>
      </c>
      <c r="AV254" s="31">
        <v>12225277.315130841</v>
      </c>
      <c r="AW254" s="31">
        <v>287687.52</v>
      </c>
      <c r="AX254" s="31">
        <v>8983.44</v>
      </c>
      <c r="AY254" s="31">
        <v>44147.159999999996</v>
      </c>
      <c r="AZ254" s="31">
        <v>1851191.0880210262</v>
      </c>
      <c r="BA254" s="31">
        <v>899225.65487595426</v>
      </c>
      <c r="BB254" s="31">
        <v>672215.96066446463</v>
      </c>
      <c r="BC254" s="31">
        <f t="shared" si="19"/>
        <v>16005194.108692287</v>
      </c>
      <c r="BD254" s="31">
        <v>16465.97</v>
      </c>
    </row>
    <row r="255" spans="2:56">
      <c r="B255" s="42" t="s">
        <v>313</v>
      </c>
      <c r="C255" s="42" t="s">
        <v>314</v>
      </c>
      <c r="D255" s="43" t="s">
        <v>1049</v>
      </c>
      <c r="E255" s="44">
        <v>34</v>
      </c>
      <c r="F255" s="31">
        <v>1811518.8183496073</v>
      </c>
      <c r="G255" s="31">
        <v>55152.590000000004</v>
      </c>
      <c r="H255" s="31">
        <v>0</v>
      </c>
      <c r="I255" s="31">
        <v>5651.6799999999994</v>
      </c>
      <c r="J255" s="31">
        <v>249207.61886518804</v>
      </c>
      <c r="K255" s="31">
        <v>95006.49304109544</v>
      </c>
      <c r="L255" s="31">
        <v>0</v>
      </c>
      <c r="M255" s="31">
        <f t="shared" si="16"/>
        <v>2216537.2002558908</v>
      </c>
      <c r="N255" s="31">
        <v>0</v>
      </c>
      <c r="P255" s="42" t="s">
        <v>313</v>
      </c>
      <c r="Q255" s="42" t="s">
        <v>314</v>
      </c>
      <c r="R255" s="43" t="s">
        <v>1050</v>
      </c>
      <c r="S255" s="44">
        <v>34</v>
      </c>
      <c r="T255" s="31">
        <v>1937838.720778432</v>
      </c>
      <c r="U255" s="31">
        <v>59043.81</v>
      </c>
      <c r="V255" s="31">
        <v>0</v>
      </c>
      <c r="W255" s="31">
        <v>6018.5300000000007</v>
      </c>
      <c r="X255" s="31">
        <v>265254.34580010723</v>
      </c>
      <c r="Y255" s="31">
        <v>95218.364154697527</v>
      </c>
      <c r="Z255" s="31">
        <v>0</v>
      </c>
      <c r="AA255" s="31">
        <f t="shared" si="17"/>
        <v>2363373.7707332368</v>
      </c>
      <c r="AB255" s="31">
        <v>0</v>
      </c>
      <c r="AD255" s="42" t="s">
        <v>313</v>
      </c>
      <c r="AE255" s="42" t="s">
        <v>314</v>
      </c>
      <c r="AF255" s="43" t="s">
        <v>1275</v>
      </c>
      <c r="AG255" s="44">
        <v>34</v>
      </c>
      <c r="AH255" s="31">
        <v>1973163.0954321576</v>
      </c>
      <c r="AI255" s="31">
        <v>60073.229999999996</v>
      </c>
      <c r="AJ255" s="31">
        <v>0</v>
      </c>
      <c r="AK255" s="31">
        <v>6123.46</v>
      </c>
      <c r="AL255" s="31">
        <v>270104.4653545944</v>
      </c>
      <c r="AM255" s="31">
        <v>95057.39925130365</v>
      </c>
      <c r="AN255" s="31">
        <v>0</v>
      </c>
      <c r="AO255" s="31">
        <f t="shared" si="18"/>
        <v>2404521.6500380556</v>
      </c>
      <c r="AP255" s="31">
        <v>0</v>
      </c>
      <c r="AR255" s="42" t="s">
        <v>313</v>
      </c>
      <c r="AS255" s="42" t="s">
        <v>314</v>
      </c>
      <c r="AT255" s="43" t="s">
        <v>1276</v>
      </c>
      <c r="AU255" s="44">
        <v>34</v>
      </c>
      <c r="AV255" s="31">
        <v>2013195.2549589241</v>
      </c>
      <c r="AW255" s="31">
        <v>61283.24</v>
      </c>
      <c r="AX255" s="31">
        <v>0</v>
      </c>
      <c r="AY255" s="31">
        <v>6235.84</v>
      </c>
      <c r="AZ255" s="31">
        <v>275578.04602409562</v>
      </c>
      <c r="BA255" s="31">
        <v>95061.998248543474</v>
      </c>
      <c r="BB255" s="31">
        <v>0</v>
      </c>
      <c r="BC255" s="31">
        <f t="shared" si="19"/>
        <v>2451354.3792315633</v>
      </c>
      <c r="BD255" s="31">
        <v>0</v>
      </c>
    </row>
    <row r="256" spans="2:56">
      <c r="B256" s="42" t="s">
        <v>479</v>
      </c>
      <c r="C256" s="42" t="s">
        <v>480</v>
      </c>
      <c r="D256" s="43" t="s">
        <v>1049</v>
      </c>
      <c r="E256" s="44">
        <v>34</v>
      </c>
      <c r="F256" s="31">
        <v>7565534.742260335</v>
      </c>
      <c r="G256" s="31">
        <v>221638.13000000003</v>
      </c>
      <c r="H256" s="31">
        <v>23808.190000000002</v>
      </c>
      <c r="I256" s="31">
        <v>19672.019999999993</v>
      </c>
      <c r="J256" s="31">
        <v>757414.07313052251</v>
      </c>
      <c r="K256" s="31">
        <v>338534.88</v>
      </c>
      <c r="L256" s="31">
        <v>0</v>
      </c>
      <c r="M256" s="31">
        <f t="shared" si="16"/>
        <v>8926602.0353908576</v>
      </c>
      <c r="N256" s="31">
        <v>0</v>
      </c>
      <c r="P256" s="42" t="s">
        <v>479</v>
      </c>
      <c r="Q256" s="42" t="s">
        <v>480</v>
      </c>
      <c r="R256" s="43" t="s">
        <v>1050</v>
      </c>
      <c r="S256" s="44">
        <v>34</v>
      </c>
      <c r="T256" s="31">
        <v>8111225.8992713541</v>
      </c>
      <c r="U256" s="31">
        <v>235033.13</v>
      </c>
      <c r="V256" s="31">
        <v>25239.159999999996</v>
      </c>
      <c r="W256" s="31">
        <v>20872.91</v>
      </c>
      <c r="X256" s="31">
        <v>800385.40855390741</v>
      </c>
      <c r="Y256" s="31">
        <v>338534.88</v>
      </c>
      <c r="Z256" s="31">
        <v>0</v>
      </c>
      <c r="AA256" s="31">
        <f t="shared" si="17"/>
        <v>9531291.3878252618</v>
      </c>
      <c r="AB256" s="31">
        <v>0</v>
      </c>
      <c r="AD256" s="42" t="s">
        <v>479</v>
      </c>
      <c r="AE256" s="42" t="s">
        <v>480</v>
      </c>
      <c r="AF256" s="43" t="s">
        <v>1275</v>
      </c>
      <c r="AG256" s="44">
        <v>34</v>
      </c>
      <c r="AH256" s="31">
        <v>8258976.7747292165</v>
      </c>
      <c r="AI256" s="31">
        <v>239362.46</v>
      </c>
      <c r="AJ256" s="31">
        <v>25789.170000000002</v>
      </c>
      <c r="AK256" s="31">
        <v>21238.140000000003</v>
      </c>
      <c r="AL256" s="31">
        <v>815089.60062460264</v>
      </c>
      <c r="AM256" s="31">
        <v>338534.88</v>
      </c>
      <c r="AN256" s="31">
        <v>0</v>
      </c>
      <c r="AO256" s="31">
        <f t="shared" si="18"/>
        <v>9698991.025353821</v>
      </c>
      <c r="AP256" s="31">
        <v>0</v>
      </c>
      <c r="AR256" s="42" t="s">
        <v>479</v>
      </c>
      <c r="AS256" s="42" t="s">
        <v>480</v>
      </c>
      <c r="AT256" s="43" t="s">
        <v>1276</v>
      </c>
      <c r="AU256" s="44">
        <v>34</v>
      </c>
      <c r="AV256" s="31">
        <v>8423163.6469425336</v>
      </c>
      <c r="AW256" s="31">
        <v>244212.50999999998</v>
      </c>
      <c r="AX256" s="31">
        <v>26264.160000000003</v>
      </c>
      <c r="AY256" s="31">
        <v>21739.649999999998</v>
      </c>
      <c r="AZ256" s="31">
        <v>831596.0363964343</v>
      </c>
      <c r="BA256" s="31">
        <v>338534.88</v>
      </c>
      <c r="BB256" s="31">
        <v>0</v>
      </c>
      <c r="BC256" s="31">
        <f t="shared" si="19"/>
        <v>9885510.8833389692</v>
      </c>
      <c r="BD256" s="31">
        <v>0</v>
      </c>
    </row>
    <row r="257" spans="2:56">
      <c r="B257" s="42" t="s">
        <v>451</v>
      </c>
      <c r="C257" s="42" t="s">
        <v>452</v>
      </c>
      <c r="D257" s="43" t="s">
        <v>1049</v>
      </c>
      <c r="E257" s="44">
        <v>34</v>
      </c>
      <c r="F257" s="31">
        <v>237136371.03916165</v>
      </c>
      <c r="G257" s="31">
        <v>10945211.529999997</v>
      </c>
      <c r="H257" s="31">
        <v>2824196.49</v>
      </c>
      <c r="I257" s="31">
        <v>0</v>
      </c>
      <c r="J257" s="31">
        <v>36969188.307959579</v>
      </c>
      <c r="K257" s="31">
        <v>14047684.638424804</v>
      </c>
      <c r="L257" s="31">
        <v>17926219.580795016</v>
      </c>
      <c r="M257" s="31">
        <f t="shared" si="16"/>
        <v>325208337.99634105</v>
      </c>
      <c r="N257" s="31">
        <v>5359466.41</v>
      </c>
      <c r="P257" s="42" t="s">
        <v>451</v>
      </c>
      <c r="Q257" s="42" t="s">
        <v>452</v>
      </c>
      <c r="R257" s="43" t="s">
        <v>1050</v>
      </c>
      <c r="S257" s="44">
        <v>34</v>
      </c>
      <c r="T257" s="31">
        <v>254608816.06218052</v>
      </c>
      <c r="U257" s="31">
        <v>11697541.109999999</v>
      </c>
      <c r="V257" s="31">
        <v>2995900.2</v>
      </c>
      <c r="W257" s="31">
        <v>0</v>
      </c>
      <c r="X257" s="31">
        <v>39075227.075132929</v>
      </c>
      <c r="Y257" s="31">
        <v>14077223.674011607</v>
      </c>
      <c r="Z257" s="31">
        <v>19167010.058878288</v>
      </c>
      <c r="AA257" s="31">
        <f t="shared" si="17"/>
        <v>347220250.44020331</v>
      </c>
      <c r="AB257" s="31">
        <v>5598532.2599999988</v>
      </c>
      <c r="AD257" s="42" t="s">
        <v>451</v>
      </c>
      <c r="AE257" s="42" t="s">
        <v>452</v>
      </c>
      <c r="AF257" s="43" t="s">
        <v>1275</v>
      </c>
      <c r="AG257" s="44">
        <v>34</v>
      </c>
      <c r="AH257" s="31">
        <v>259423922.79636449</v>
      </c>
      <c r="AI257" s="31">
        <v>11909768.960000001</v>
      </c>
      <c r="AJ257" s="31">
        <v>3050706.56</v>
      </c>
      <c r="AK257" s="31">
        <v>0</v>
      </c>
      <c r="AL257" s="31">
        <v>39793095.202871516</v>
      </c>
      <c r="AM257" s="31">
        <v>14054634.173084408</v>
      </c>
      <c r="AN257" s="31">
        <v>19519637.515769791</v>
      </c>
      <c r="AO257" s="31">
        <f t="shared" si="18"/>
        <v>353453829.06809014</v>
      </c>
      <c r="AP257" s="31">
        <v>5702063.8600000003</v>
      </c>
      <c r="AR257" s="42" t="s">
        <v>451</v>
      </c>
      <c r="AS257" s="42" t="s">
        <v>452</v>
      </c>
      <c r="AT257" s="43" t="s">
        <v>1276</v>
      </c>
      <c r="AU257" s="44">
        <v>34</v>
      </c>
      <c r="AV257" s="31">
        <v>264824006.58721191</v>
      </c>
      <c r="AW257" s="31">
        <v>12148653.67</v>
      </c>
      <c r="AX257" s="31">
        <v>3112302.3099999996</v>
      </c>
      <c r="AY257" s="31">
        <v>0</v>
      </c>
      <c r="AZ257" s="31">
        <v>40600635.373242624</v>
      </c>
      <c r="BA257" s="31">
        <v>14055279.587396612</v>
      </c>
      <c r="BB257" s="31">
        <v>19915893.244469464</v>
      </c>
      <c r="BC257" s="31">
        <f t="shared" si="19"/>
        <v>360475226.60232061</v>
      </c>
      <c r="BD257" s="31">
        <v>5818455.8300000001</v>
      </c>
    </row>
    <row r="258" spans="2:56">
      <c r="B258" s="42" t="s">
        <v>297</v>
      </c>
      <c r="C258" s="42" t="s">
        <v>298</v>
      </c>
      <c r="D258" s="43" t="s">
        <v>1049</v>
      </c>
      <c r="E258" s="44">
        <v>34</v>
      </c>
      <c r="F258" s="31">
        <v>1698443.2548857452</v>
      </c>
      <c r="G258" s="31">
        <v>25140.2</v>
      </c>
      <c r="H258" s="31">
        <v>0</v>
      </c>
      <c r="I258" s="31">
        <v>2046.29</v>
      </c>
      <c r="J258" s="31">
        <v>87831.785072903673</v>
      </c>
      <c r="K258" s="31">
        <v>121124.12382249473</v>
      </c>
      <c r="L258" s="31">
        <v>75592.372509023728</v>
      </c>
      <c r="M258" s="31">
        <f t="shared" si="16"/>
        <v>2020214.6462901672</v>
      </c>
      <c r="N258" s="31">
        <v>10036.619999999999</v>
      </c>
      <c r="P258" s="42" t="s">
        <v>297</v>
      </c>
      <c r="Q258" s="42" t="s">
        <v>298</v>
      </c>
      <c r="R258" s="43" t="s">
        <v>1050</v>
      </c>
      <c r="S258" s="44">
        <v>34</v>
      </c>
      <c r="T258" s="31">
        <v>1806455.2267202307</v>
      </c>
      <c r="U258" s="31">
        <v>26938.839999999993</v>
      </c>
      <c r="V258" s="31">
        <v>0</v>
      </c>
      <c r="W258" s="31">
        <v>2179.11</v>
      </c>
      <c r="X258" s="31">
        <v>93035.011349828681</v>
      </c>
      <c r="Y258" s="31">
        <v>121313.87269567182</v>
      </c>
      <c r="Z258" s="31">
        <v>80965.113436283689</v>
      </c>
      <c r="AA258" s="31">
        <f t="shared" si="17"/>
        <v>2141408.4442020152</v>
      </c>
      <c r="AB258" s="31">
        <v>10521.27</v>
      </c>
      <c r="AD258" s="42" t="s">
        <v>297</v>
      </c>
      <c r="AE258" s="42" t="s">
        <v>298</v>
      </c>
      <c r="AF258" s="43" t="s">
        <v>1275</v>
      </c>
      <c r="AG258" s="44">
        <v>34</v>
      </c>
      <c r="AH258" s="31">
        <v>1837726.2648259145</v>
      </c>
      <c r="AI258" s="31">
        <v>27406.009999999995</v>
      </c>
      <c r="AJ258" s="31">
        <v>0</v>
      </c>
      <c r="AK258" s="31">
        <v>2217.11</v>
      </c>
      <c r="AL258" s="31">
        <v>94669.443387431311</v>
      </c>
      <c r="AM258" s="31">
        <v>121169.7147284965</v>
      </c>
      <c r="AN258" s="31">
        <v>82389.671928111755</v>
      </c>
      <c r="AO258" s="31">
        <f t="shared" si="18"/>
        <v>2176285.4248699541</v>
      </c>
      <c r="AP258" s="31">
        <v>10707.21</v>
      </c>
      <c r="AR258" s="42" t="s">
        <v>297</v>
      </c>
      <c r="AS258" s="42" t="s">
        <v>298</v>
      </c>
      <c r="AT258" s="43" t="s">
        <v>1276</v>
      </c>
      <c r="AU258" s="44">
        <v>34</v>
      </c>
      <c r="AV258" s="31">
        <v>1871221.030780192</v>
      </c>
      <c r="AW258" s="31">
        <v>27906.379999999994</v>
      </c>
      <c r="AX258" s="31">
        <v>0</v>
      </c>
      <c r="AY258" s="31">
        <v>2257.7999999999997</v>
      </c>
      <c r="AZ258" s="31">
        <v>96419.919745961117</v>
      </c>
      <c r="BA258" s="31">
        <v>121173.83352755866</v>
      </c>
      <c r="BB258" s="31">
        <v>83915.325906259619</v>
      </c>
      <c r="BC258" s="31">
        <f t="shared" si="19"/>
        <v>2213800.6299599712</v>
      </c>
      <c r="BD258" s="31">
        <v>10906.34</v>
      </c>
    </row>
    <row r="259" spans="2:56">
      <c r="B259" s="42" t="s">
        <v>577</v>
      </c>
      <c r="C259" s="42" t="s">
        <v>578</v>
      </c>
      <c r="D259" s="43" t="s">
        <v>1049</v>
      </c>
      <c r="E259" s="44">
        <v>34</v>
      </c>
      <c r="F259" s="31">
        <v>2066132.295002026</v>
      </c>
      <c r="G259" s="31">
        <v>38100.12000000001</v>
      </c>
      <c r="H259" s="31">
        <v>0</v>
      </c>
      <c r="I259" s="31">
        <v>3507.94</v>
      </c>
      <c r="J259" s="31">
        <v>146621.51902277383</v>
      </c>
      <c r="K259" s="31">
        <v>362429.03260111262</v>
      </c>
      <c r="L259" s="31">
        <v>49287.291707283337</v>
      </c>
      <c r="M259" s="31">
        <f t="shared" si="16"/>
        <v>2684982.088333196</v>
      </c>
      <c r="N259" s="31">
        <v>18903.889999999996</v>
      </c>
      <c r="P259" s="42" t="s">
        <v>577</v>
      </c>
      <c r="Q259" s="42" t="s">
        <v>578</v>
      </c>
      <c r="R259" s="43" t="s">
        <v>1050</v>
      </c>
      <c r="S259" s="44">
        <v>34</v>
      </c>
      <c r="T259" s="31">
        <v>2196813.5173557689</v>
      </c>
      <c r="U259" s="31">
        <v>41096.5</v>
      </c>
      <c r="V259" s="31">
        <v>0</v>
      </c>
      <c r="W259" s="31">
        <v>3735.64</v>
      </c>
      <c r="X259" s="31">
        <v>156066.62274240749</v>
      </c>
      <c r="Y259" s="31">
        <v>363477.33369941521</v>
      </c>
      <c r="Z259" s="31">
        <v>52547.00616742218</v>
      </c>
      <c r="AA259" s="31">
        <f t="shared" si="17"/>
        <v>2833655.5099650142</v>
      </c>
      <c r="AB259" s="31">
        <v>19918.889999999996</v>
      </c>
      <c r="AD259" s="42" t="s">
        <v>577</v>
      </c>
      <c r="AE259" s="42" t="s">
        <v>578</v>
      </c>
      <c r="AF259" s="43" t="s">
        <v>1275</v>
      </c>
      <c r="AG259" s="44">
        <v>34</v>
      </c>
      <c r="AH259" s="31">
        <v>2235989.8954931572</v>
      </c>
      <c r="AI259" s="31">
        <v>41808.289999999994</v>
      </c>
      <c r="AJ259" s="31">
        <v>0</v>
      </c>
      <c r="AK259" s="31">
        <v>3800.78</v>
      </c>
      <c r="AL259" s="31">
        <v>158942.23819845461</v>
      </c>
      <c r="AM259" s="31">
        <v>362680.90759796521</v>
      </c>
      <c r="AN259" s="31">
        <v>53584.86364071662</v>
      </c>
      <c r="AO259" s="31">
        <f t="shared" si="18"/>
        <v>2877077.8749302933</v>
      </c>
      <c r="AP259" s="31">
        <v>20270.899999999998</v>
      </c>
      <c r="AR259" s="42" t="s">
        <v>577</v>
      </c>
      <c r="AS259" s="42" t="s">
        <v>578</v>
      </c>
      <c r="AT259" s="43" t="s">
        <v>1276</v>
      </c>
      <c r="AU259" s="44">
        <v>34</v>
      </c>
      <c r="AV259" s="31">
        <v>2278096.1755365171</v>
      </c>
      <c r="AW259" s="31">
        <v>42678.100000000006</v>
      </c>
      <c r="AX259" s="31">
        <v>0</v>
      </c>
      <c r="AY259" s="31">
        <v>3870.5299999999997</v>
      </c>
      <c r="AZ259" s="31">
        <v>162157.9180461386</v>
      </c>
      <c r="BA259" s="31">
        <v>362703.66262943525</v>
      </c>
      <c r="BB259" s="31">
        <v>54593.893955840555</v>
      </c>
      <c r="BC259" s="31">
        <f t="shared" si="19"/>
        <v>2924748.1901679318</v>
      </c>
      <c r="BD259" s="31">
        <v>20647.91</v>
      </c>
    </row>
    <row r="260" spans="2:56">
      <c r="B260" s="42" t="s">
        <v>449</v>
      </c>
      <c r="C260" s="42" t="s">
        <v>450</v>
      </c>
      <c r="D260" s="43" t="s">
        <v>1049</v>
      </c>
      <c r="E260" s="44">
        <v>34</v>
      </c>
      <c r="F260" s="31">
        <v>40846470.943433389</v>
      </c>
      <c r="G260" s="31">
        <v>976388.44</v>
      </c>
      <c r="H260" s="31">
        <v>238795.02</v>
      </c>
      <c r="I260" s="31">
        <v>150522.25</v>
      </c>
      <c r="J260" s="31">
        <v>6807800.027756081</v>
      </c>
      <c r="K260" s="31">
        <v>2880669.512812051</v>
      </c>
      <c r="L260" s="31">
        <v>4198176.4756202763</v>
      </c>
      <c r="M260" s="31">
        <f t="shared" si="16"/>
        <v>56104554.669621795</v>
      </c>
      <c r="N260" s="31">
        <v>5732</v>
      </c>
      <c r="P260" s="42" t="s">
        <v>449</v>
      </c>
      <c r="Q260" s="42" t="s">
        <v>450</v>
      </c>
      <c r="R260" s="43" t="s">
        <v>1050</v>
      </c>
      <c r="S260" s="44">
        <v>34</v>
      </c>
      <c r="T260" s="31">
        <v>43418163.703542091</v>
      </c>
      <c r="U260" s="31">
        <v>1036038.36</v>
      </c>
      <c r="V260" s="31">
        <v>253330.39999999997</v>
      </c>
      <c r="W260" s="31">
        <v>159647.77000000002</v>
      </c>
      <c r="X260" s="31">
        <v>7198792.4990838002</v>
      </c>
      <c r="Y260" s="31">
        <v>2885017.2972870409</v>
      </c>
      <c r="Z260" s="31">
        <v>4447786.0313772764</v>
      </c>
      <c r="AA260" s="31">
        <f t="shared" si="17"/>
        <v>59404745.051290214</v>
      </c>
      <c r="AB260" s="31">
        <v>5968.99</v>
      </c>
      <c r="AD260" s="42" t="s">
        <v>449</v>
      </c>
      <c r="AE260" s="42" t="s">
        <v>450</v>
      </c>
      <c r="AF260" s="43" t="s">
        <v>1275</v>
      </c>
      <c r="AG260" s="44">
        <v>34</v>
      </c>
      <c r="AH260" s="31">
        <v>44251355.871536911</v>
      </c>
      <c r="AI260" s="31">
        <v>1055327.74</v>
      </c>
      <c r="AJ260" s="31">
        <v>258082.82</v>
      </c>
      <c r="AK260" s="31">
        <v>162610.67000000001</v>
      </c>
      <c r="AL260" s="31">
        <v>7332614.1703894446</v>
      </c>
      <c r="AM260" s="31">
        <v>2881625.1325003984</v>
      </c>
      <c r="AN260" s="31">
        <v>4530228.9425321678</v>
      </c>
      <c r="AO260" s="31">
        <f t="shared" si="18"/>
        <v>60477921.736958921</v>
      </c>
      <c r="AP260" s="31">
        <v>6076.3899999999994</v>
      </c>
      <c r="AR260" s="42" t="s">
        <v>449</v>
      </c>
      <c r="AS260" s="42" t="s">
        <v>450</v>
      </c>
      <c r="AT260" s="43" t="s">
        <v>1276</v>
      </c>
      <c r="AU260" s="44">
        <v>34</v>
      </c>
      <c r="AV260" s="31">
        <v>45183761.105921462</v>
      </c>
      <c r="AW260" s="31">
        <v>1076836.1700000002</v>
      </c>
      <c r="AX260" s="31">
        <v>263289.90999999997</v>
      </c>
      <c r="AY260" s="31">
        <v>166030.75999999998</v>
      </c>
      <c r="AZ260" s="31">
        <v>7483041.7547463924</v>
      </c>
      <c r="BA260" s="31">
        <v>2881722.0514943022</v>
      </c>
      <c r="BB260" s="31">
        <v>4623433.3388879457</v>
      </c>
      <c r="BC260" s="31">
        <f t="shared" si="19"/>
        <v>61684306.521050096</v>
      </c>
      <c r="BD260" s="31">
        <v>6191.43</v>
      </c>
    </row>
    <row r="261" spans="2:56">
      <c r="B261" s="42" t="s">
        <v>115</v>
      </c>
      <c r="C261" s="42" t="s">
        <v>116</v>
      </c>
      <c r="D261" s="43" t="s">
        <v>1049</v>
      </c>
      <c r="E261" s="44">
        <v>34</v>
      </c>
      <c r="F261" s="31">
        <v>338095.06891283992</v>
      </c>
      <c r="G261" s="31">
        <v>0</v>
      </c>
      <c r="H261" s="31">
        <v>0</v>
      </c>
      <c r="I261" s="31">
        <v>0</v>
      </c>
      <c r="J261" s="31">
        <v>0</v>
      </c>
      <c r="K261" s="31">
        <v>105953.36240084749</v>
      </c>
      <c r="L261" s="31">
        <v>0</v>
      </c>
      <c r="M261" s="31">
        <f t="shared" ref="M261:M322" si="20">SUM(F261:L261,N261)</f>
        <v>444048.43131368741</v>
      </c>
      <c r="N261" s="31">
        <v>0</v>
      </c>
      <c r="P261" s="42" t="s">
        <v>115</v>
      </c>
      <c r="Q261" s="42" t="s">
        <v>116</v>
      </c>
      <c r="R261" s="43" t="s">
        <v>1050</v>
      </c>
      <c r="S261" s="44">
        <v>34</v>
      </c>
      <c r="T261" s="31">
        <v>358694.11919343728</v>
      </c>
      <c r="U261" s="31">
        <v>0</v>
      </c>
      <c r="V261" s="31">
        <v>0</v>
      </c>
      <c r="W261" s="31">
        <v>0</v>
      </c>
      <c r="X261" s="31">
        <v>0</v>
      </c>
      <c r="Y261" s="31">
        <v>106255.72096001178</v>
      </c>
      <c r="Z261" s="31">
        <v>0</v>
      </c>
      <c r="AA261" s="31">
        <f t="shared" ref="AA261:AA322" si="21">SUM(T261:Z261,AB261)</f>
        <v>464949.84015344904</v>
      </c>
      <c r="AB261" s="31">
        <v>0</v>
      </c>
      <c r="AD261" s="42" t="s">
        <v>115</v>
      </c>
      <c r="AE261" s="42" t="s">
        <v>116</v>
      </c>
      <c r="AF261" s="43" t="s">
        <v>1275</v>
      </c>
      <c r="AG261" s="44">
        <v>34</v>
      </c>
      <c r="AH261" s="31">
        <v>364913.77058971481</v>
      </c>
      <c r="AI261" s="31">
        <v>0</v>
      </c>
      <c r="AJ261" s="31">
        <v>0</v>
      </c>
      <c r="AK261" s="31">
        <v>0</v>
      </c>
      <c r="AL261" s="31">
        <v>0</v>
      </c>
      <c r="AM261" s="31">
        <v>106026.01000301179</v>
      </c>
      <c r="AN261" s="31">
        <v>0</v>
      </c>
      <c r="AO261" s="31">
        <f t="shared" ref="AO261:AO322" si="22">SUM(AH261:AN261,AP261)</f>
        <v>470939.7805927266</v>
      </c>
      <c r="AP261" s="31">
        <v>0</v>
      </c>
      <c r="AR261" s="42" t="s">
        <v>115</v>
      </c>
      <c r="AS261" s="42" t="s">
        <v>116</v>
      </c>
      <c r="AT261" s="43" t="s">
        <v>1276</v>
      </c>
      <c r="AU261" s="44">
        <v>34</v>
      </c>
      <c r="AV261" s="31">
        <v>371575.63519412797</v>
      </c>
      <c r="AW261" s="31">
        <v>0</v>
      </c>
      <c r="AX261" s="31">
        <v>0</v>
      </c>
      <c r="AY261" s="31">
        <v>0</v>
      </c>
      <c r="AZ261" s="31">
        <v>0</v>
      </c>
      <c r="BA261" s="31">
        <v>106032.57317321177</v>
      </c>
      <c r="BB261" s="31">
        <v>0</v>
      </c>
      <c r="BC261" s="31">
        <f t="shared" ref="BC261:BC322" si="23">SUM(AV261:BB261,BD261)</f>
        <v>477608.20836733974</v>
      </c>
      <c r="BD261" s="31">
        <v>0</v>
      </c>
    </row>
    <row r="262" spans="2:56">
      <c r="B262" s="42" t="s">
        <v>75</v>
      </c>
      <c r="C262" s="42" t="s">
        <v>76</v>
      </c>
      <c r="D262" s="43" t="s">
        <v>1049</v>
      </c>
      <c r="E262" s="44">
        <v>34</v>
      </c>
      <c r="F262" s="31">
        <v>3420955.7901091287</v>
      </c>
      <c r="G262" s="31">
        <v>130280.95</v>
      </c>
      <c r="H262" s="31">
        <v>0</v>
      </c>
      <c r="I262" s="31">
        <v>0</v>
      </c>
      <c r="J262" s="31">
        <v>226726.93169041289</v>
      </c>
      <c r="K262" s="31">
        <v>95832.400409903887</v>
      </c>
      <c r="L262" s="31">
        <v>0</v>
      </c>
      <c r="M262" s="31">
        <f t="shared" si="20"/>
        <v>3880617.062209446</v>
      </c>
      <c r="N262" s="31">
        <v>6820.99</v>
      </c>
      <c r="P262" s="42" t="s">
        <v>75</v>
      </c>
      <c r="Q262" s="42" t="s">
        <v>76</v>
      </c>
      <c r="R262" s="43" t="s">
        <v>1050</v>
      </c>
      <c r="S262" s="44">
        <v>34</v>
      </c>
      <c r="T262" s="31">
        <v>3652121.062841597</v>
      </c>
      <c r="U262" s="31">
        <v>138850.73000000004</v>
      </c>
      <c r="V262" s="31">
        <v>0</v>
      </c>
      <c r="W262" s="31">
        <v>0</v>
      </c>
      <c r="X262" s="31">
        <v>240196.84964136651</v>
      </c>
      <c r="Y262" s="31">
        <v>95850.08173308683</v>
      </c>
      <c r="Z262" s="31">
        <v>0</v>
      </c>
      <c r="AA262" s="31">
        <f t="shared" si="21"/>
        <v>4134169.0842160499</v>
      </c>
      <c r="AB262" s="31">
        <v>7150.36</v>
      </c>
      <c r="AD262" s="42" t="s">
        <v>75</v>
      </c>
      <c r="AE262" s="42" t="s">
        <v>76</v>
      </c>
      <c r="AF262" s="43" t="s">
        <v>1275</v>
      </c>
      <c r="AG262" s="44">
        <v>34</v>
      </c>
      <c r="AH262" s="31">
        <v>3734503.109982064</v>
      </c>
      <c r="AI262" s="31">
        <v>141269.86000000002</v>
      </c>
      <c r="AJ262" s="31">
        <v>0</v>
      </c>
      <c r="AK262" s="31">
        <v>0</v>
      </c>
      <c r="AL262" s="31">
        <v>244426.08963149009</v>
      </c>
      <c r="AM262" s="31">
        <v>95836.648696229502</v>
      </c>
      <c r="AN262" s="31">
        <v>0</v>
      </c>
      <c r="AO262" s="31">
        <f t="shared" si="22"/>
        <v>4223312.438309784</v>
      </c>
      <c r="AP262" s="31">
        <v>7276.73</v>
      </c>
      <c r="AR262" s="42" t="s">
        <v>75</v>
      </c>
      <c r="AS262" s="42" t="s">
        <v>76</v>
      </c>
      <c r="AT262" s="43" t="s">
        <v>1276</v>
      </c>
      <c r="AU262" s="44">
        <v>34</v>
      </c>
      <c r="AV262" s="31">
        <v>3821549.541509822</v>
      </c>
      <c r="AW262" s="31">
        <v>143860.76</v>
      </c>
      <c r="AX262" s="31">
        <v>0</v>
      </c>
      <c r="AY262" s="31">
        <v>0</v>
      </c>
      <c r="AZ262" s="31">
        <v>248955.65258864328</v>
      </c>
      <c r="BA262" s="31">
        <v>95837.032497282562</v>
      </c>
      <c r="BB262" s="31">
        <v>0</v>
      </c>
      <c r="BC262" s="31">
        <f t="shared" si="23"/>
        <v>4317615.0565957474</v>
      </c>
      <c r="BD262" s="31">
        <v>7412.0700000000006</v>
      </c>
    </row>
    <row r="263" spans="2:56">
      <c r="B263" s="42" t="s">
        <v>31</v>
      </c>
      <c r="C263" s="42" t="s">
        <v>32</v>
      </c>
      <c r="D263" s="43" t="s">
        <v>1049</v>
      </c>
      <c r="E263" s="44">
        <v>34</v>
      </c>
      <c r="F263" s="31">
        <v>385114.89577810367</v>
      </c>
      <c r="G263" s="31">
        <v>0</v>
      </c>
      <c r="H263" s="31">
        <v>0</v>
      </c>
      <c r="I263" s="31">
        <v>0</v>
      </c>
      <c r="J263" s="31">
        <v>0</v>
      </c>
      <c r="K263" s="31">
        <v>0</v>
      </c>
      <c r="L263" s="31">
        <v>0</v>
      </c>
      <c r="M263" s="31">
        <f t="shared" si="20"/>
        <v>385114.89577810367</v>
      </c>
      <c r="N263" s="31">
        <v>0</v>
      </c>
      <c r="P263" s="42" t="s">
        <v>31</v>
      </c>
      <c r="Q263" s="42" t="s">
        <v>32</v>
      </c>
      <c r="R263" s="43" t="s">
        <v>1050</v>
      </c>
      <c r="S263" s="44">
        <v>34</v>
      </c>
      <c r="T263" s="31">
        <v>405215.5361541973</v>
      </c>
      <c r="U263" s="31">
        <v>0</v>
      </c>
      <c r="V263" s="31">
        <v>0</v>
      </c>
      <c r="W263" s="31">
        <v>0</v>
      </c>
      <c r="X263" s="31">
        <v>0</v>
      </c>
      <c r="Y263" s="31">
        <v>0</v>
      </c>
      <c r="Z263" s="31">
        <v>0</v>
      </c>
      <c r="AA263" s="31">
        <f t="shared" si="21"/>
        <v>405215.5361541973</v>
      </c>
      <c r="AB263" s="31">
        <v>0</v>
      </c>
      <c r="AD263" s="42" t="s">
        <v>31</v>
      </c>
      <c r="AE263" s="42" t="s">
        <v>32</v>
      </c>
      <c r="AF263" s="43" t="s">
        <v>1275</v>
      </c>
      <c r="AG263" s="44">
        <v>34</v>
      </c>
      <c r="AH263" s="31">
        <v>412258.94401428982</v>
      </c>
      <c r="AI263" s="31">
        <v>0</v>
      </c>
      <c r="AJ263" s="31">
        <v>0</v>
      </c>
      <c r="AK263" s="31">
        <v>0</v>
      </c>
      <c r="AL263" s="31">
        <v>0</v>
      </c>
      <c r="AM263" s="31">
        <v>0</v>
      </c>
      <c r="AN263" s="31">
        <v>0</v>
      </c>
      <c r="AO263" s="31">
        <f t="shared" si="22"/>
        <v>412258.94401428982</v>
      </c>
      <c r="AP263" s="31">
        <v>0</v>
      </c>
      <c r="AR263" s="42" t="s">
        <v>31</v>
      </c>
      <c r="AS263" s="42" t="s">
        <v>32</v>
      </c>
      <c r="AT263" s="43" t="s">
        <v>1276</v>
      </c>
      <c r="AU263" s="44">
        <v>34</v>
      </c>
      <c r="AV263" s="31">
        <v>419803.26018084877</v>
      </c>
      <c r="AW263" s="31">
        <v>0</v>
      </c>
      <c r="AX263" s="31">
        <v>0</v>
      </c>
      <c r="AY263" s="31">
        <v>0</v>
      </c>
      <c r="AZ263" s="31">
        <v>0</v>
      </c>
      <c r="BA263" s="31">
        <v>0</v>
      </c>
      <c r="BB263" s="31">
        <v>0</v>
      </c>
      <c r="BC263" s="31">
        <f t="shared" si="23"/>
        <v>419803.26018084877</v>
      </c>
      <c r="BD263" s="31">
        <v>0</v>
      </c>
    </row>
    <row r="264" spans="2:56">
      <c r="B264" s="42" t="s">
        <v>361</v>
      </c>
      <c r="C264" s="42" t="s">
        <v>362</v>
      </c>
      <c r="D264" s="43" t="s">
        <v>1049</v>
      </c>
      <c r="E264" s="44">
        <v>34</v>
      </c>
      <c r="F264" s="31">
        <v>25954163.133895583</v>
      </c>
      <c r="G264" s="31">
        <v>473641.8</v>
      </c>
      <c r="H264" s="31">
        <v>171701.46</v>
      </c>
      <c r="I264" s="31">
        <v>90793.960000000021</v>
      </c>
      <c r="J264" s="31">
        <v>3829186.6494214335</v>
      </c>
      <c r="K264" s="31">
        <v>2181563.9076841744</v>
      </c>
      <c r="L264" s="31">
        <v>2350314.2429059669</v>
      </c>
      <c r="M264" s="31">
        <f t="shared" si="20"/>
        <v>35062865.733907163</v>
      </c>
      <c r="N264" s="31">
        <v>11500.58</v>
      </c>
      <c r="P264" s="42" t="s">
        <v>361</v>
      </c>
      <c r="Q264" s="42" t="s">
        <v>362</v>
      </c>
      <c r="R264" s="43" t="s">
        <v>1050</v>
      </c>
      <c r="S264" s="44">
        <v>34</v>
      </c>
      <c r="T264" s="31">
        <v>27591523.828736246</v>
      </c>
      <c r="U264" s="31">
        <v>502627.45000000007</v>
      </c>
      <c r="V264" s="31">
        <v>182211.89</v>
      </c>
      <c r="W264" s="31">
        <v>96377.42</v>
      </c>
      <c r="X264" s="31">
        <v>4047310.9384047273</v>
      </c>
      <c r="Y264" s="31">
        <v>2185154.8129112977</v>
      </c>
      <c r="Z264" s="31">
        <v>2489465.3873369517</v>
      </c>
      <c r="AA264" s="31">
        <f t="shared" si="21"/>
        <v>37106731.657389224</v>
      </c>
      <c r="AB264" s="31">
        <v>12059.929999999998</v>
      </c>
      <c r="AD264" s="42" t="s">
        <v>361</v>
      </c>
      <c r="AE264" s="42" t="s">
        <v>362</v>
      </c>
      <c r="AF264" s="43" t="s">
        <v>1275</v>
      </c>
      <c r="AG264" s="44">
        <v>34</v>
      </c>
      <c r="AH264" s="31">
        <v>28117850.701385569</v>
      </c>
      <c r="AI264" s="31">
        <v>511853.10000000009</v>
      </c>
      <c r="AJ264" s="31">
        <v>185400.26</v>
      </c>
      <c r="AK264" s="31">
        <v>98063.839999999982</v>
      </c>
      <c r="AL264" s="31">
        <v>4121669.8790213885</v>
      </c>
      <c r="AM264" s="31">
        <v>2182408.7260690508</v>
      </c>
      <c r="AN264" s="31">
        <v>2535207.8739751279</v>
      </c>
      <c r="AO264" s="31">
        <f t="shared" si="22"/>
        <v>37764728.140451133</v>
      </c>
      <c r="AP264" s="31">
        <v>12273.759999999997</v>
      </c>
      <c r="AR264" s="42" t="s">
        <v>361</v>
      </c>
      <c r="AS264" s="42" t="s">
        <v>362</v>
      </c>
      <c r="AT264" s="43" t="s">
        <v>1276</v>
      </c>
      <c r="AU264" s="44">
        <v>34</v>
      </c>
      <c r="AV264" s="31">
        <v>28707753.980323862</v>
      </c>
      <c r="AW264" s="31">
        <v>522160.37</v>
      </c>
      <c r="AX264" s="31">
        <v>189256.39</v>
      </c>
      <c r="AY264" s="31">
        <v>100090.7</v>
      </c>
      <c r="AZ264" s="31">
        <v>4205308.1380193923</v>
      </c>
      <c r="BA264" s="31">
        <v>2182487.185693115</v>
      </c>
      <c r="BB264" s="31">
        <v>2586664.1824282603</v>
      </c>
      <c r="BC264" s="31">
        <f t="shared" si="23"/>
        <v>38506223.706464633</v>
      </c>
      <c r="BD264" s="31">
        <v>12502.76</v>
      </c>
    </row>
    <row r="265" spans="2:56">
      <c r="B265" s="42" t="s">
        <v>569</v>
      </c>
      <c r="C265" s="42" t="s">
        <v>570</v>
      </c>
      <c r="D265" s="43" t="s">
        <v>1049</v>
      </c>
      <c r="E265" s="44">
        <v>34</v>
      </c>
      <c r="F265" s="31">
        <v>569324.36935035675</v>
      </c>
      <c r="G265" s="31">
        <v>0</v>
      </c>
      <c r="H265" s="31">
        <v>0</v>
      </c>
      <c r="I265" s="31">
        <v>0</v>
      </c>
      <c r="J265" s="31">
        <v>58279.029089469484</v>
      </c>
      <c r="K265" s="31">
        <v>86897.163026802955</v>
      </c>
      <c r="L265" s="31">
        <v>0</v>
      </c>
      <c r="M265" s="31">
        <f t="shared" si="20"/>
        <v>714500.56146662915</v>
      </c>
      <c r="N265" s="31">
        <v>0</v>
      </c>
      <c r="P265" s="42" t="s">
        <v>569</v>
      </c>
      <c r="Q265" s="42" t="s">
        <v>570</v>
      </c>
      <c r="R265" s="43" t="s">
        <v>1050</v>
      </c>
      <c r="S265" s="44">
        <v>34</v>
      </c>
      <c r="T265" s="31">
        <v>604799.67160322424</v>
      </c>
      <c r="U265" s="31">
        <v>0</v>
      </c>
      <c r="V265" s="31">
        <v>0</v>
      </c>
      <c r="W265" s="31">
        <v>0</v>
      </c>
      <c r="X265" s="31">
        <v>61731.576486961203</v>
      </c>
      <c r="Y265" s="31">
        <v>87057.188346358424</v>
      </c>
      <c r="Z265" s="31">
        <v>0</v>
      </c>
      <c r="AA265" s="31">
        <f t="shared" si="21"/>
        <v>753588.43643654394</v>
      </c>
      <c r="AB265" s="31">
        <v>0</v>
      </c>
      <c r="AD265" s="42" t="s">
        <v>569</v>
      </c>
      <c r="AE265" s="42" t="s">
        <v>570</v>
      </c>
      <c r="AF265" s="43" t="s">
        <v>1275</v>
      </c>
      <c r="AG265" s="44">
        <v>34</v>
      </c>
      <c r="AH265" s="31">
        <v>615326.3952491805</v>
      </c>
      <c r="AI265" s="31">
        <v>0</v>
      </c>
      <c r="AJ265" s="31">
        <v>0</v>
      </c>
      <c r="AK265" s="31">
        <v>0</v>
      </c>
      <c r="AL265" s="31">
        <v>62814.295744614035</v>
      </c>
      <c r="AM265" s="31">
        <v>86935.612263310148</v>
      </c>
      <c r="AN265" s="31">
        <v>0</v>
      </c>
      <c r="AO265" s="31">
        <f t="shared" si="22"/>
        <v>765076.30325710459</v>
      </c>
      <c r="AP265" s="31">
        <v>0</v>
      </c>
      <c r="AR265" s="42" t="s">
        <v>569</v>
      </c>
      <c r="AS265" s="42" t="s">
        <v>570</v>
      </c>
      <c r="AT265" s="43" t="s">
        <v>1276</v>
      </c>
      <c r="AU265" s="44">
        <v>34</v>
      </c>
      <c r="AV265" s="31">
        <v>626601.10240579967</v>
      </c>
      <c r="AW265" s="31">
        <v>0</v>
      </c>
      <c r="AX265" s="31">
        <v>0</v>
      </c>
      <c r="AY265" s="31">
        <v>0</v>
      </c>
      <c r="AZ265" s="31">
        <v>63973.873298308965</v>
      </c>
      <c r="BA265" s="31">
        <v>86939.085865682937</v>
      </c>
      <c r="BB265" s="31">
        <v>0</v>
      </c>
      <c r="BC265" s="31">
        <f t="shared" si="23"/>
        <v>777514.06156979152</v>
      </c>
      <c r="BD265" s="31">
        <v>0</v>
      </c>
    </row>
    <row r="266" spans="2:56">
      <c r="B266" s="42" t="s">
        <v>421</v>
      </c>
      <c r="C266" s="42" t="s">
        <v>422</v>
      </c>
      <c r="D266" s="43" t="s">
        <v>1049</v>
      </c>
      <c r="E266" s="44">
        <v>34</v>
      </c>
      <c r="F266" s="31">
        <v>6375834.4942030199</v>
      </c>
      <c r="G266" s="31">
        <v>253643.43999999997</v>
      </c>
      <c r="H266" s="31">
        <v>27089.08</v>
      </c>
      <c r="I266" s="31">
        <v>22022.059999999998</v>
      </c>
      <c r="J266" s="31">
        <v>1036368.1797604333</v>
      </c>
      <c r="K266" s="31">
        <v>678197.32459479372</v>
      </c>
      <c r="L266" s="31">
        <v>513844.2943660398</v>
      </c>
      <c r="M266" s="31">
        <f t="shared" si="20"/>
        <v>9133650.662924286</v>
      </c>
      <c r="N266" s="31">
        <v>226651.79</v>
      </c>
      <c r="P266" s="42" t="s">
        <v>421</v>
      </c>
      <c r="Q266" s="42" t="s">
        <v>422</v>
      </c>
      <c r="R266" s="43" t="s">
        <v>1050</v>
      </c>
      <c r="S266" s="44">
        <v>34</v>
      </c>
      <c r="T266" s="31">
        <v>6885195.8831695812</v>
      </c>
      <c r="U266" s="31">
        <v>275242.53000000003</v>
      </c>
      <c r="V266" s="31">
        <v>29054.95</v>
      </c>
      <c r="W266" s="31">
        <v>23555.270000000004</v>
      </c>
      <c r="X266" s="31">
        <v>1103257.4156940321</v>
      </c>
      <c r="Y266" s="31">
        <v>679633.79540745378</v>
      </c>
      <c r="Z266" s="31">
        <v>553407.18241960462</v>
      </c>
      <c r="AA266" s="31">
        <f t="shared" si="21"/>
        <v>9788169.4566906728</v>
      </c>
      <c r="AB266" s="31">
        <v>238822.43000000002</v>
      </c>
      <c r="AD266" s="42" t="s">
        <v>421</v>
      </c>
      <c r="AE266" s="42" t="s">
        <v>422</v>
      </c>
      <c r="AF266" s="43" t="s">
        <v>1275</v>
      </c>
      <c r="AG266" s="44">
        <v>34</v>
      </c>
      <c r="AH266" s="31">
        <v>7010386.4273572098</v>
      </c>
      <c r="AI266" s="31">
        <v>280197.43000000005</v>
      </c>
      <c r="AJ266" s="31">
        <v>29561.52</v>
      </c>
      <c r="AK266" s="31">
        <v>23965.94</v>
      </c>
      <c r="AL266" s="31">
        <v>1123469.105677628</v>
      </c>
      <c r="AM266" s="31">
        <v>678542.46501485386</v>
      </c>
      <c r="AN266" s="31">
        <v>563578.51511356933</v>
      </c>
      <c r="AO266" s="31">
        <f t="shared" si="22"/>
        <v>9952848.3131632619</v>
      </c>
      <c r="AP266" s="31">
        <v>243146.90999999997</v>
      </c>
      <c r="AR266" s="42" t="s">
        <v>421</v>
      </c>
      <c r="AS266" s="42" t="s">
        <v>422</v>
      </c>
      <c r="AT266" s="43" t="s">
        <v>1276</v>
      </c>
      <c r="AU266" s="44">
        <v>34</v>
      </c>
      <c r="AV266" s="31">
        <v>7150540.7188290199</v>
      </c>
      <c r="AW266" s="31">
        <v>285824.21999999997</v>
      </c>
      <c r="AX266" s="31">
        <v>30211.58</v>
      </c>
      <c r="AY266" s="31">
        <v>24405.79</v>
      </c>
      <c r="AZ266" s="31">
        <v>1146220.5136697663</v>
      </c>
      <c r="BA266" s="31">
        <v>678573.64588321385</v>
      </c>
      <c r="BB266" s="31">
        <v>575086.05260400963</v>
      </c>
      <c r="BC266" s="31">
        <f t="shared" si="23"/>
        <v>10138955.060986008</v>
      </c>
      <c r="BD266" s="31">
        <v>248092.54</v>
      </c>
    </row>
    <row r="267" spans="2:56">
      <c r="B267" s="42" t="s">
        <v>443</v>
      </c>
      <c r="C267" s="42" t="s">
        <v>444</v>
      </c>
      <c r="D267" s="43" t="s">
        <v>1049</v>
      </c>
      <c r="E267" s="44">
        <v>34</v>
      </c>
      <c r="F267" s="31">
        <v>17552040.264325533</v>
      </c>
      <c r="G267" s="31">
        <v>775197.3600000001</v>
      </c>
      <c r="H267" s="31">
        <v>390478.13999999996</v>
      </c>
      <c r="I267" s="31">
        <v>62783.65</v>
      </c>
      <c r="J267" s="31">
        <v>2801962.5131838545</v>
      </c>
      <c r="K267" s="31">
        <v>1447394.9327474032</v>
      </c>
      <c r="L267" s="31">
        <v>1460433.9602249907</v>
      </c>
      <c r="M267" s="31">
        <f t="shared" si="20"/>
        <v>25119256.480481781</v>
      </c>
      <c r="N267" s="31">
        <v>628965.65999999992</v>
      </c>
      <c r="P267" s="42" t="s">
        <v>443</v>
      </c>
      <c r="Q267" s="42" t="s">
        <v>444</v>
      </c>
      <c r="R267" s="43" t="s">
        <v>1050</v>
      </c>
      <c r="S267" s="44">
        <v>34</v>
      </c>
      <c r="T267" s="31">
        <v>18969669.64077799</v>
      </c>
      <c r="U267" s="31">
        <v>838030.54000000015</v>
      </c>
      <c r="V267" s="31">
        <v>417445.03</v>
      </c>
      <c r="W267" s="31">
        <v>67151.599999999991</v>
      </c>
      <c r="X267" s="31">
        <v>2981814.5981487753</v>
      </c>
      <c r="Y267" s="31">
        <v>1451149.0812161951</v>
      </c>
      <c r="Z267" s="31">
        <v>1572392.8618890606</v>
      </c>
      <c r="AA267" s="31">
        <f t="shared" si="21"/>
        <v>26960863.272032022</v>
      </c>
      <c r="AB267" s="31">
        <v>663209.92000000004</v>
      </c>
      <c r="AD267" s="42" t="s">
        <v>443</v>
      </c>
      <c r="AE267" s="42" t="s">
        <v>444</v>
      </c>
      <c r="AF267" s="43" t="s">
        <v>1275</v>
      </c>
      <c r="AG267" s="44">
        <v>34</v>
      </c>
      <c r="AH267" s="31">
        <v>19331014.101181816</v>
      </c>
      <c r="AI267" s="31">
        <v>853403.01999999979</v>
      </c>
      <c r="AJ267" s="31">
        <v>425108.06000000006</v>
      </c>
      <c r="AK267" s="31">
        <v>68467.210000000006</v>
      </c>
      <c r="AL267" s="31">
        <v>3037223.2130246335</v>
      </c>
      <c r="AM267" s="31">
        <v>1448209.1438175451</v>
      </c>
      <c r="AN267" s="31">
        <v>1601645.7440000027</v>
      </c>
      <c r="AO267" s="31">
        <f t="shared" si="22"/>
        <v>27440687.172023997</v>
      </c>
      <c r="AP267" s="31">
        <v>675616.68000000017</v>
      </c>
      <c r="AR267" s="42" t="s">
        <v>443</v>
      </c>
      <c r="AS267" s="42" t="s">
        <v>444</v>
      </c>
      <c r="AT267" s="43" t="s">
        <v>1276</v>
      </c>
      <c r="AU267" s="44">
        <v>34</v>
      </c>
      <c r="AV267" s="31">
        <v>19736171.913442671</v>
      </c>
      <c r="AW267" s="31">
        <v>870727.79999999993</v>
      </c>
      <c r="AX267" s="31">
        <v>433929.72</v>
      </c>
      <c r="AY267" s="31">
        <v>69747.600000000006</v>
      </c>
      <c r="AZ267" s="31">
        <v>3099513.4918920519</v>
      </c>
      <c r="BA267" s="31">
        <v>1448293.142028935</v>
      </c>
      <c r="BB267" s="31">
        <v>1634742.7424735199</v>
      </c>
      <c r="BC267" s="31">
        <f t="shared" si="23"/>
        <v>27982752.059837177</v>
      </c>
      <c r="BD267" s="31">
        <v>689625.65</v>
      </c>
    </row>
    <row r="268" spans="2:56">
      <c r="B268" s="42" t="s">
        <v>1022</v>
      </c>
      <c r="C268" s="42" t="s">
        <v>1040</v>
      </c>
      <c r="D268" s="43" t="s">
        <v>1049</v>
      </c>
      <c r="E268" s="44">
        <v>34</v>
      </c>
      <c r="F268" s="31">
        <v>4372247.8882674482</v>
      </c>
      <c r="G268" s="31">
        <v>178752.71000000002</v>
      </c>
      <c r="H268" s="31">
        <v>159104.59</v>
      </c>
      <c r="I268" s="31">
        <v>15244.220000000003</v>
      </c>
      <c r="J268" s="31">
        <v>575890.58804156969</v>
      </c>
      <c r="K268" s="31">
        <v>549892.23</v>
      </c>
      <c r="L268" s="31">
        <v>0</v>
      </c>
      <c r="M268" s="31">
        <f t="shared" si="20"/>
        <v>6004816.6563090179</v>
      </c>
      <c r="N268" s="31">
        <v>153684.43</v>
      </c>
      <c r="P268" s="42" t="s">
        <v>1022</v>
      </c>
      <c r="Q268" s="42" t="s">
        <v>1040</v>
      </c>
      <c r="R268" s="43" t="s">
        <v>1050</v>
      </c>
      <c r="S268" s="44">
        <v>34</v>
      </c>
      <c r="T268" s="31">
        <v>4700075.6049766922</v>
      </c>
      <c r="U268" s="31">
        <v>193388.36999999997</v>
      </c>
      <c r="V268" s="31">
        <v>170221.49000000002</v>
      </c>
      <c r="W268" s="31">
        <v>16217.28</v>
      </c>
      <c r="X268" s="31">
        <v>612965.67136096954</v>
      </c>
      <c r="Y268" s="31">
        <v>549892.23</v>
      </c>
      <c r="Z268" s="31">
        <v>0</v>
      </c>
      <c r="AA268" s="31">
        <f t="shared" si="21"/>
        <v>6404831.2363376617</v>
      </c>
      <c r="AB268" s="31">
        <v>162070.59</v>
      </c>
      <c r="AD268" s="42" t="s">
        <v>1022</v>
      </c>
      <c r="AE268" s="42" t="s">
        <v>1040</v>
      </c>
      <c r="AF268" s="43" t="s">
        <v>1275</v>
      </c>
      <c r="AG268" s="44">
        <v>34</v>
      </c>
      <c r="AH268" s="31">
        <v>4787255.9577409439</v>
      </c>
      <c r="AI268" s="31">
        <v>196915.25</v>
      </c>
      <c r="AJ268" s="31">
        <v>173246.53</v>
      </c>
      <c r="AK268" s="31">
        <v>16505.48</v>
      </c>
      <c r="AL268" s="31">
        <v>624367.61291961372</v>
      </c>
      <c r="AM268" s="31">
        <v>549892.23</v>
      </c>
      <c r="AN268" s="31">
        <v>0</v>
      </c>
      <c r="AO268" s="31">
        <f t="shared" si="22"/>
        <v>6513288.2406605575</v>
      </c>
      <c r="AP268" s="31">
        <v>165105.18</v>
      </c>
      <c r="AR268" s="42" t="s">
        <v>1022</v>
      </c>
      <c r="AS268" s="42" t="s">
        <v>1040</v>
      </c>
      <c r="AT268" s="43" t="s">
        <v>1276</v>
      </c>
      <c r="AU268" s="44">
        <v>34</v>
      </c>
      <c r="AV268" s="31">
        <v>4883182.0415329486</v>
      </c>
      <c r="AW268" s="31">
        <v>200939.05000000005</v>
      </c>
      <c r="AX268" s="31">
        <v>176735.43999999997</v>
      </c>
      <c r="AY268" s="31">
        <v>16938.71</v>
      </c>
      <c r="AZ268" s="31">
        <v>637191.47580037173</v>
      </c>
      <c r="BA268" s="31">
        <v>549892.23</v>
      </c>
      <c r="BB268" s="31">
        <v>0</v>
      </c>
      <c r="BC268" s="31">
        <f t="shared" si="23"/>
        <v>6633353.0773333209</v>
      </c>
      <c r="BD268" s="31">
        <v>168474.13</v>
      </c>
    </row>
    <row r="269" spans="2:56">
      <c r="B269" s="42" t="s">
        <v>391</v>
      </c>
      <c r="C269" s="42" t="s">
        <v>392</v>
      </c>
      <c r="D269" s="43" t="s">
        <v>1049</v>
      </c>
      <c r="E269" s="44">
        <v>34</v>
      </c>
      <c r="F269" s="31">
        <v>2004019.8586240229</v>
      </c>
      <c r="G269" s="31">
        <v>81790.639999999985</v>
      </c>
      <c r="H269" s="31">
        <v>32651.61</v>
      </c>
      <c r="I269" s="31">
        <v>5495.8100000000013</v>
      </c>
      <c r="J269" s="31">
        <v>217034.57474780016</v>
      </c>
      <c r="K269" s="31">
        <v>163150.46</v>
      </c>
      <c r="L269" s="31">
        <v>0</v>
      </c>
      <c r="M269" s="31">
        <f t="shared" si="20"/>
        <v>2561364.0733718234</v>
      </c>
      <c r="N269" s="31">
        <v>57221.119999999995</v>
      </c>
      <c r="P269" s="42" t="s">
        <v>391</v>
      </c>
      <c r="Q269" s="42" t="s">
        <v>392</v>
      </c>
      <c r="R269" s="43" t="s">
        <v>1050</v>
      </c>
      <c r="S269" s="44">
        <v>34</v>
      </c>
      <c r="T269" s="31">
        <v>2133334.9277929384</v>
      </c>
      <c r="U269" s="31">
        <v>88374.32</v>
      </c>
      <c r="V269" s="31">
        <v>34861.07</v>
      </c>
      <c r="W269" s="31">
        <v>5963.0899999999992</v>
      </c>
      <c r="X269" s="31">
        <v>231010.4795027356</v>
      </c>
      <c r="Y269" s="31">
        <v>163150.46</v>
      </c>
      <c r="Z269" s="31">
        <v>0</v>
      </c>
      <c r="AA269" s="31">
        <f t="shared" si="21"/>
        <v>2717052.9772956735</v>
      </c>
      <c r="AB269" s="31">
        <v>60358.63</v>
      </c>
      <c r="AD269" s="42" t="s">
        <v>391</v>
      </c>
      <c r="AE269" s="42" t="s">
        <v>392</v>
      </c>
      <c r="AF269" s="43" t="s">
        <v>1275</v>
      </c>
      <c r="AG269" s="44">
        <v>34</v>
      </c>
      <c r="AH269" s="31">
        <v>2171947.512062103</v>
      </c>
      <c r="AI269" s="31">
        <v>89922.750000000029</v>
      </c>
      <c r="AJ269" s="31">
        <v>35477.06</v>
      </c>
      <c r="AK269" s="31">
        <v>6068.45</v>
      </c>
      <c r="AL269" s="31">
        <v>235294.88427148823</v>
      </c>
      <c r="AM269" s="31">
        <v>163150.46</v>
      </c>
      <c r="AN269" s="31">
        <v>0</v>
      </c>
      <c r="AO269" s="31">
        <f t="shared" si="22"/>
        <v>2763299.3963335911</v>
      </c>
      <c r="AP269" s="31">
        <v>61438.28</v>
      </c>
      <c r="AR269" s="42" t="s">
        <v>391</v>
      </c>
      <c r="AS269" s="42" t="s">
        <v>392</v>
      </c>
      <c r="AT269" s="43" t="s">
        <v>1276</v>
      </c>
      <c r="AU269" s="44">
        <v>34</v>
      </c>
      <c r="AV269" s="31">
        <v>2213578.6044841083</v>
      </c>
      <c r="AW269" s="31">
        <v>91820.53</v>
      </c>
      <c r="AX269" s="31">
        <v>36255.660000000003</v>
      </c>
      <c r="AY269" s="31">
        <v>6181.2899999999991</v>
      </c>
      <c r="AZ269" s="31">
        <v>240112.46319509682</v>
      </c>
      <c r="BA269" s="31">
        <v>163150.46</v>
      </c>
      <c r="BB269" s="31">
        <v>0</v>
      </c>
      <c r="BC269" s="31">
        <f t="shared" si="23"/>
        <v>2813810.7876792047</v>
      </c>
      <c r="BD269" s="31">
        <v>62711.779999999992</v>
      </c>
    </row>
    <row r="270" spans="2:56">
      <c r="B270" s="42" t="s">
        <v>221</v>
      </c>
      <c r="C270" s="42" t="s">
        <v>222</v>
      </c>
      <c r="D270" s="43" t="s">
        <v>1049</v>
      </c>
      <c r="E270" s="44">
        <v>34</v>
      </c>
      <c r="F270" s="31">
        <v>2812960.1904540053</v>
      </c>
      <c r="G270" s="31">
        <v>82996.38</v>
      </c>
      <c r="H270" s="31">
        <v>100724.84</v>
      </c>
      <c r="I270" s="31">
        <v>9936.98</v>
      </c>
      <c r="J270" s="31">
        <v>388656.25018119102</v>
      </c>
      <c r="K270" s="31">
        <v>567488.78</v>
      </c>
      <c r="L270" s="31">
        <v>0</v>
      </c>
      <c r="M270" s="31">
        <f t="shared" si="20"/>
        <v>3962763.4206351964</v>
      </c>
      <c r="N270" s="31">
        <v>0</v>
      </c>
      <c r="P270" s="42" t="s">
        <v>221</v>
      </c>
      <c r="Q270" s="42" t="s">
        <v>222</v>
      </c>
      <c r="R270" s="43" t="s">
        <v>1050</v>
      </c>
      <c r="S270" s="44">
        <v>34</v>
      </c>
      <c r="T270" s="31">
        <v>3006161.0572471097</v>
      </c>
      <c r="U270" s="31">
        <v>88654.510000000009</v>
      </c>
      <c r="V270" s="31">
        <v>107754.88</v>
      </c>
      <c r="W270" s="31">
        <v>10691.4</v>
      </c>
      <c r="X270" s="31">
        <v>413643.9706560683</v>
      </c>
      <c r="Y270" s="31">
        <v>567488.78</v>
      </c>
      <c r="Z270" s="31">
        <v>0</v>
      </c>
      <c r="AA270" s="31">
        <f t="shared" si="21"/>
        <v>4194394.5979031781</v>
      </c>
      <c r="AB270" s="31">
        <v>0</v>
      </c>
      <c r="AD270" s="42" t="s">
        <v>221</v>
      </c>
      <c r="AE270" s="42" t="s">
        <v>222</v>
      </c>
      <c r="AF270" s="43" t="s">
        <v>1275</v>
      </c>
      <c r="AG270" s="44">
        <v>34</v>
      </c>
      <c r="AH270" s="31">
        <v>3062487.988454435</v>
      </c>
      <c r="AI270" s="31">
        <v>90352.28</v>
      </c>
      <c r="AJ270" s="31">
        <v>109669.82</v>
      </c>
      <c r="AK270" s="31">
        <v>10881.39</v>
      </c>
      <c r="AL270" s="31">
        <v>421347.0643108348</v>
      </c>
      <c r="AM270" s="31">
        <v>567488.78</v>
      </c>
      <c r="AN270" s="31">
        <v>0</v>
      </c>
      <c r="AO270" s="31">
        <f t="shared" si="22"/>
        <v>4262227.3227652693</v>
      </c>
      <c r="AP270" s="31">
        <v>0</v>
      </c>
      <c r="AR270" s="42" t="s">
        <v>221</v>
      </c>
      <c r="AS270" s="42" t="s">
        <v>222</v>
      </c>
      <c r="AT270" s="43" t="s">
        <v>1276</v>
      </c>
      <c r="AU270" s="44">
        <v>34</v>
      </c>
      <c r="AV270" s="31">
        <v>3125686.135253326</v>
      </c>
      <c r="AW270" s="31">
        <v>92166.48000000001</v>
      </c>
      <c r="AX270" s="31">
        <v>111969.82000000002</v>
      </c>
      <c r="AY270" s="31">
        <v>11084.88</v>
      </c>
      <c r="AZ270" s="31">
        <v>430007.19726892398</v>
      </c>
      <c r="BA270" s="31">
        <v>567488.78</v>
      </c>
      <c r="BB270" s="31">
        <v>0</v>
      </c>
      <c r="BC270" s="31">
        <f t="shared" si="23"/>
        <v>4338403.2925222497</v>
      </c>
      <c r="BD270" s="31">
        <v>0</v>
      </c>
    </row>
    <row r="271" spans="2:56">
      <c r="B271" s="42" t="s">
        <v>495</v>
      </c>
      <c r="C271" s="42" t="s">
        <v>496</v>
      </c>
      <c r="D271" s="43" t="s">
        <v>1049</v>
      </c>
      <c r="E271" s="44">
        <v>34</v>
      </c>
      <c r="F271" s="31">
        <v>663445.3646271273</v>
      </c>
      <c r="G271" s="31">
        <v>37905.230000000003</v>
      </c>
      <c r="H271" s="31">
        <v>0</v>
      </c>
      <c r="I271" s="31">
        <v>2046.29</v>
      </c>
      <c r="J271" s="31">
        <v>77745.358989579487</v>
      </c>
      <c r="K271" s="31">
        <v>0</v>
      </c>
      <c r="L271" s="31">
        <v>0</v>
      </c>
      <c r="M271" s="31">
        <f t="shared" si="20"/>
        <v>801994.99361670681</v>
      </c>
      <c r="N271" s="31">
        <v>20852.75</v>
      </c>
      <c r="P271" s="42" t="s">
        <v>495</v>
      </c>
      <c r="Q271" s="42" t="s">
        <v>496</v>
      </c>
      <c r="R271" s="43" t="s">
        <v>1050</v>
      </c>
      <c r="S271" s="44">
        <v>34</v>
      </c>
      <c r="T271" s="31">
        <v>715736.98853136576</v>
      </c>
      <c r="U271" s="31">
        <v>40712.19</v>
      </c>
      <c r="V271" s="31">
        <v>0</v>
      </c>
      <c r="W271" s="31">
        <v>2179.11</v>
      </c>
      <c r="X271" s="31">
        <v>82350.89848717417</v>
      </c>
      <c r="Y271" s="31">
        <v>0</v>
      </c>
      <c r="Z271" s="31">
        <v>0</v>
      </c>
      <c r="AA271" s="31">
        <f t="shared" si="21"/>
        <v>862838.89701853984</v>
      </c>
      <c r="AB271" s="31">
        <v>21859.710000000003</v>
      </c>
      <c r="AD271" s="42" t="s">
        <v>495</v>
      </c>
      <c r="AE271" s="42" t="s">
        <v>496</v>
      </c>
      <c r="AF271" s="43" t="s">
        <v>1275</v>
      </c>
      <c r="AG271" s="44">
        <v>34</v>
      </c>
      <c r="AH271" s="31">
        <v>728269.81171337329</v>
      </c>
      <c r="AI271" s="31">
        <v>41416.81</v>
      </c>
      <c r="AJ271" s="31">
        <v>0</v>
      </c>
      <c r="AK271" s="31">
        <v>2217.11</v>
      </c>
      <c r="AL271" s="31">
        <v>83795.240867787594</v>
      </c>
      <c r="AM271" s="31">
        <v>0</v>
      </c>
      <c r="AN271" s="31">
        <v>0</v>
      </c>
      <c r="AO271" s="31">
        <f t="shared" si="22"/>
        <v>877944.99258116097</v>
      </c>
      <c r="AP271" s="31">
        <v>22246.02</v>
      </c>
      <c r="AR271" s="42" t="s">
        <v>495</v>
      </c>
      <c r="AS271" s="42" t="s">
        <v>496</v>
      </c>
      <c r="AT271" s="43" t="s">
        <v>1276</v>
      </c>
      <c r="AU271" s="44">
        <v>34</v>
      </c>
      <c r="AV271" s="31">
        <v>741692.35522809299</v>
      </c>
      <c r="AW271" s="31">
        <v>42171.47</v>
      </c>
      <c r="AX271" s="31">
        <v>0</v>
      </c>
      <c r="AY271" s="31">
        <v>2257.7999999999997</v>
      </c>
      <c r="AZ271" s="31">
        <v>85342.111877528921</v>
      </c>
      <c r="BA271" s="31">
        <v>0</v>
      </c>
      <c r="BB271" s="31">
        <v>0</v>
      </c>
      <c r="BC271" s="31">
        <f t="shared" si="23"/>
        <v>894123.48710562196</v>
      </c>
      <c r="BD271" s="31">
        <v>22659.750000000004</v>
      </c>
    </row>
    <row r="272" spans="2:56">
      <c r="B272" s="42" t="s">
        <v>371</v>
      </c>
      <c r="C272" s="42" t="s">
        <v>372</v>
      </c>
      <c r="D272" s="43" t="s">
        <v>1049</v>
      </c>
      <c r="E272" s="44">
        <v>34</v>
      </c>
      <c r="F272" s="31">
        <v>86685427.923103526</v>
      </c>
      <c r="G272" s="31">
        <v>1980432.78</v>
      </c>
      <c r="H272" s="31">
        <v>726201.79999999993</v>
      </c>
      <c r="I272" s="31">
        <v>306364.68000000005</v>
      </c>
      <c r="J272" s="31">
        <v>12044673.861620503</v>
      </c>
      <c r="K272" s="31">
        <v>4521571.2075299555</v>
      </c>
      <c r="L272" s="31">
        <v>6313522.3172095455</v>
      </c>
      <c r="M272" s="31">
        <f t="shared" si="20"/>
        <v>112715051.11946353</v>
      </c>
      <c r="N272" s="31">
        <v>136856.54999999999</v>
      </c>
      <c r="P272" s="42" t="s">
        <v>371</v>
      </c>
      <c r="Q272" s="42" t="s">
        <v>372</v>
      </c>
      <c r="R272" s="43" t="s">
        <v>1050</v>
      </c>
      <c r="S272" s="44">
        <v>34</v>
      </c>
      <c r="T272" s="31">
        <v>92691878.571002081</v>
      </c>
      <c r="U272" s="31">
        <v>2119907.4500000002</v>
      </c>
      <c r="V272" s="31">
        <v>776461.69000000006</v>
      </c>
      <c r="W272" s="31">
        <v>327625.32000000007</v>
      </c>
      <c r="X272" s="31">
        <v>12819098.825546075</v>
      </c>
      <c r="Y272" s="31">
        <v>4533792.2706382144</v>
      </c>
      <c r="Z272" s="31">
        <v>6731688.4681901634</v>
      </c>
      <c r="AA272" s="31">
        <f t="shared" si="21"/>
        <v>120144680.37537652</v>
      </c>
      <c r="AB272" s="31">
        <v>144227.78</v>
      </c>
      <c r="AD272" s="42" t="s">
        <v>371</v>
      </c>
      <c r="AE272" s="42" t="s">
        <v>372</v>
      </c>
      <c r="AF272" s="43" t="s">
        <v>1275</v>
      </c>
      <c r="AG272" s="44">
        <v>34</v>
      </c>
      <c r="AH272" s="31">
        <v>94433763.170531422</v>
      </c>
      <c r="AI272" s="31">
        <v>2158969.8400000003</v>
      </c>
      <c r="AJ272" s="31">
        <v>790881.78</v>
      </c>
      <c r="AK272" s="31">
        <v>333647.8</v>
      </c>
      <c r="AL272" s="31">
        <v>13056311.297219075</v>
      </c>
      <c r="AM272" s="31">
        <v>4524310.6229025153</v>
      </c>
      <c r="AN272" s="31">
        <v>6856326.2566728201</v>
      </c>
      <c r="AO272" s="31">
        <f t="shared" si="22"/>
        <v>122301133.38732584</v>
      </c>
      <c r="AP272" s="31">
        <v>146922.62</v>
      </c>
      <c r="AR272" s="42" t="s">
        <v>371</v>
      </c>
      <c r="AS272" s="42" t="s">
        <v>372</v>
      </c>
      <c r="AT272" s="43" t="s">
        <v>1276</v>
      </c>
      <c r="AU272" s="44">
        <v>34</v>
      </c>
      <c r="AV272" s="31">
        <v>96389104.864940494</v>
      </c>
      <c r="AW272" s="31">
        <v>2202893.2800000003</v>
      </c>
      <c r="AX272" s="31">
        <v>806896.3899999999</v>
      </c>
      <c r="AY272" s="31">
        <v>340446.56</v>
      </c>
      <c r="AZ272" s="31">
        <v>13323084.383343177</v>
      </c>
      <c r="BA272" s="31">
        <v>4524581.5271235351</v>
      </c>
      <c r="BB272" s="31">
        <v>6996624.4447788317</v>
      </c>
      <c r="BC272" s="31">
        <f t="shared" si="23"/>
        <v>124733670.89018604</v>
      </c>
      <c r="BD272" s="31">
        <v>150039.43999999997</v>
      </c>
    </row>
    <row r="273" spans="2:56">
      <c r="B273" s="42" t="s">
        <v>595</v>
      </c>
      <c r="C273" s="42" t="s">
        <v>596</v>
      </c>
      <c r="D273" s="43" t="s">
        <v>1049</v>
      </c>
      <c r="E273" s="44">
        <v>34</v>
      </c>
      <c r="F273" s="31">
        <v>53208260.677478388</v>
      </c>
      <c r="G273" s="31">
        <v>3767720.63</v>
      </c>
      <c r="H273" s="31">
        <v>3086693.38</v>
      </c>
      <c r="I273" s="31">
        <v>180658.84</v>
      </c>
      <c r="J273" s="31">
        <v>7850638.4012261145</v>
      </c>
      <c r="K273" s="31">
        <v>3065070.5969906682</v>
      </c>
      <c r="L273" s="31">
        <v>2349537.1804656349</v>
      </c>
      <c r="M273" s="31">
        <f t="shared" si="20"/>
        <v>75362232.776160821</v>
      </c>
      <c r="N273" s="31">
        <v>1853653.07</v>
      </c>
      <c r="P273" s="42" t="s">
        <v>595</v>
      </c>
      <c r="Q273" s="42" t="s">
        <v>596</v>
      </c>
      <c r="R273" s="43" t="s">
        <v>1050</v>
      </c>
      <c r="S273" s="44">
        <v>34</v>
      </c>
      <c r="T273" s="31">
        <v>57498865.00079304</v>
      </c>
      <c r="U273" s="31">
        <v>4062953.95</v>
      </c>
      <c r="V273" s="31">
        <v>3303132.0000000005</v>
      </c>
      <c r="W273" s="31">
        <v>193422.91000000003</v>
      </c>
      <c r="X273" s="31">
        <v>8357227.8761329865</v>
      </c>
      <c r="Y273" s="31">
        <v>3072810.8617625912</v>
      </c>
      <c r="Z273" s="31">
        <v>2530329.146819409</v>
      </c>
      <c r="AA273" s="31">
        <f t="shared" si="21"/>
        <v>80971406.295508027</v>
      </c>
      <c r="AB273" s="31">
        <v>1952664.55</v>
      </c>
      <c r="AD273" s="42" t="s">
        <v>595</v>
      </c>
      <c r="AE273" s="42" t="s">
        <v>596</v>
      </c>
      <c r="AF273" s="43" t="s">
        <v>1275</v>
      </c>
      <c r="AG273" s="44">
        <v>34</v>
      </c>
      <c r="AH273" s="31">
        <v>58561175.473989673</v>
      </c>
      <c r="AI273" s="31">
        <v>4136411.9499999993</v>
      </c>
      <c r="AJ273" s="31">
        <v>3363255.4099999997</v>
      </c>
      <c r="AK273" s="31">
        <v>196900.78999999998</v>
      </c>
      <c r="AL273" s="31">
        <v>8510373.1205815207</v>
      </c>
      <c r="AM273" s="31">
        <v>3066930.3481329917</v>
      </c>
      <c r="AN273" s="31">
        <v>2576598.8059383538</v>
      </c>
      <c r="AO273" s="31">
        <f t="shared" si="22"/>
        <v>82400273.588642523</v>
      </c>
      <c r="AP273" s="31">
        <v>1988627.6900000002</v>
      </c>
      <c r="AR273" s="42" t="s">
        <v>595</v>
      </c>
      <c r="AS273" s="42" t="s">
        <v>596</v>
      </c>
      <c r="AT273" s="43" t="s">
        <v>1276</v>
      </c>
      <c r="AU273" s="44">
        <v>34</v>
      </c>
      <c r="AV273" s="31">
        <v>59755139.073885858</v>
      </c>
      <c r="AW273" s="31">
        <v>4219095.45</v>
      </c>
      <c r="AX273" s="31">
        <v>3430893.67</v>
      </c>
      <c r="AY273" s="31">
        <v>200836.99000000002</v>
      </c>
      <c r="AZ273" s="31">
        <v>8682663.1792562064</v>
      </c>
      <c r="BA273" s="31">
        <v>3067098.3628081228</v>
      </c>
      <c r="BB273" s="31">
        <v>2629010.7452208926</v>
      </c>
      <c r="BC273" s="31">
        <f t="shared" si="23"/>
        <v>84013844.371171087</v>
      </c>
      <c r="BD273" s="31">
        <v>2029106.9000000001</v>
      </c>
    </row>
    <row r="274" spans="2:56">
      <c r="B274" s="42" t="s">
        <v>237</v>
      </c>
      <c r="C274" s="42" t="s">
        <v>238</v>
      </c>
      <c r="D274" s="43" t="s">
        <v>1049</v>
      </c>
      <c r="E274" s="44">
        <v>34</v>
      </c>
      <c r="F274" s="31">
        <v>2273242.2756274929</v>
      </c>
      <c r="G274" s="31">
        <v>39522.080000000002</v>
      </c>
      <c r="H274" s="31">
        <v>0</v>
      </c>
      <c r="I274" s="31">
        <v>0</v>
      </c>
      <c r="J274" s="31">
        <v>106546.04957334505</v>
      </c>
      <c r="K274" s="31">
        <v>68769.66</v>
      </c>
      <c r="L274" s="31">
        <v>37412.189998806687</v>
      </c>
      <c r="M274" s="31">
        <f t="shared" si="20"/>
        <v>2553609.3851996446</v>
      </c>
      <c r="N274" s="31">
        <v>28117.13</v>
      </c>
      <c r="P274" s="42" t="s">
        <v>237</v>
      </c>
      <c r="Q274" s="42" t="s">
        <v>238</v>
      </c>
      <c r="R274" s="43" t="s">
        <v>1050</v>
      </c>
      <c r="S274" s="44">
        <v>34</v>
      </c>
      <c r="T274" s="31">
        <v>2415650.1707481761</v>
      </c>
      <c r="U274" s="31">
        <v>42457.030000000006</v>
      </c>
      <c r="V274" s="31">
        <v>0</v>
      </c>
      <c r="W274" s="31">
        <v>0</v>
      </c>
      <c r="X274" s="31">
        <v>112849.54838593493</v>
      </c>
      <c r="Y274" s="31">
        <v>68769.66</v>
      </c>
      <c r="Z274" s="31">
        <v>40051.172865072454</v>
      </c>
      <c r="AA274" s="31">
        <f t="shared" si="21"/>
        <v>2709277.2619991833</v>
      </c>
      <c r="AB274" s="31">
        <v>29499.68</v>
      </c>
      <c r="AD274" s="42" t="s">
        <v>237</v>
      </c>
      <c r="AE274" s="42" t="s">
        <v>238</v>
      </c>
      <c r="AF274" s="43" t="s">
        <v>1275</v>
      </c>
      <c r="AG274" s="44">
        <v>34</v>
      </c>
      <c r="AH274" s="31">
        <v>2458463.3058760697</v>
      </c>
      <c r="AI274" s="31">
        <v>43205.400000000016</v>
      </c>
      <c r="AJ274" s="31">
        <v>0</v>
      </c>
      <c r="AK274" s="31">
        <v>0</v>
      </c>
      <c r="AL274" s="31">
        <v>114863.6191288445</v>
      </c>
      <c r="AM274" s="31">
        <v>68769.66</v>
      </c>
      <c r="AN274" s="31">
        <v>40766.037561374862</v>
      </c>
      <c r="AO274" s="31">
        <f t="shared" si="22"/>
        <v>2756098.092566289</v>
      </c>
      <c r="AP274" s="31">
        <v>30030.07</v>
      </c>
      <c r="AR274" s="42" t="s">
        <v>237</v>
      </c>
      <c r="AS274" s="42" t="s">
        <v>238</v>
      </c>
      <c r="AT274" s="43" t="s">
        <v>1276</v>
      </c>
      <c r="AU274" s="44">
        <v>34</v>
      </c>
      <c r="AV274" s="31">
        <v>2504303.9617564892</v>
      </c>
      <c r="AW274" s="31">
        <v>44006.89</v>
      </c>
      <c r="AX274" s="31">
        <v>0</v>
      </c>
      <c r="AY274" s="31">
        <v>0</v>
      </c>
      <c r="AZ274" s="31">
        <v>117020.69256498985</v>
      </c>
      <c r="BA274" s="31">
        <v>68769.66</v>
      </c>
      <c r="BB274" s="31">
        <v>41531.636539314728</v>
      </c>
      <c r="BC274" s="31">
        <f t="shared" si="23"/>
        <v>2806230.9808607944</v>
      </c>
      <c r="BD274" s="31">
        <v>30598.14</v>
      </c>
    </row>
    <row r="275" spans="2:56">
      <c r="B275" s="42" t="s">
        <v>365</v>
      </c>
      <c r="C275" s="42" t="s">
        <v>366</v>
      </c>
      <c r="D275" s="43" t="s">
        <v>1049</v>
      </c>
      <c r="E275" s="44">
        <v>34</v>
      </c>
      <c r="F275" s="31">
        <v>238270948.37931061</v>
      </c>
      <c r="G275" s="31">
        <v>10841948.199999999</v>
      </c>
      <c r="H275" s="31">
        <v>5127271.330000001</v>
      </c>
      <c r="I275" s="31">
        <v>846032.10000000009</v>
      </c>
      <c r="J275" s="31">
        <v>38062383.343127437</v>
      </c>
      <c r="K275" s="31">
        <v>14300110.210898036</v>
      </c>
      <c r="L275" s="31">
        <v>18828001.909984902</v>
      </c>
      <c r="M275" s="31">
        <f t="shared" si="20"/>
        <v>331969604.60332096</v>
      </c>
      <c r="N275" s="31">
        <v>5692909.1300000008</v>
      </c>
      <c r="P275" s="42" t="s">
        <v>365</v>
      </c>
      <c r="Q275" s="42" t="s">
        <v>366</v>
      </c>
      <c r="R275" s="43" t="s">
        <v>1050</v>
      </c>
      <c r="S275" s="44">
        <v>34</v>
      </c>
      <c r="T275" s="31">
        <v>257417039.65288079</v>
      </c>
      <c r="U275" s="31">
        <v>11681307.059999999</v>
      </c>
      <c r="V275" s="31">
        <v>5482936.46</v>
      </c>
      <c r="W275" s="31">
        <v>904782.56</v>
      </c>
      <c r="X275" s="31">
        <v>40509610.565096222</v>
      </c>
      <c r="Y275" s="31">
        <v>14336828.030952176</v>
      </c>
      <c r="Z275" s="31">
        <v>20272809.108399972</v>
      </c>
      <c r="AA275" s="31">
        <f t="shared" si="21"/>
        <v>356605911.66732913</v>
      </c>
      <c r="AB275" s="31">
        <v>6000598.2299999995</v>
      </c>
      <c r="AD275" s="42" t="s">
        <v>365</v>
      </c>
      <c r="AE275" s="42" t="s">
        <v>366</v>
      </c>
      <c r="AF275" s="43" t="s">
        <v>1275</v>
      </c>
      <c r="AG275" s="44">
        <v>34</v>
      </c>
      <c r="AH275" s="31">
        <v>262349989.18054798</v>
      </c>
      <c r="AI275" s="31">
        <v>11895343.989999998</v>
      </c>
      <c r="AJ275" s="31">
        <v>5584136.5800000001</v>
      </c>
      <c r="AK275" s="31">
        <v>921470.05</v>
      </c>
      <c r="AL275" s="31">
        <v>41259289.577586636</v>
      </c>
      <c r="AM275" s="31">
        <v>14308340.702780141</v>
      </c>
      <c r="AN275" s="31">
        <v>20648440.659255184</v>
      </c>
      <c r="AO275" s="31">
        <f t="shared" si="22"/>
        <v>363079544.49016994</v>
      </c>
      <c r="AP275" s="31">
        <v>6112533.75</v>
      </c>
      <c r="AR275" s="42" t="s">
        <v>365</v>
      </c>
      <c r="AS275" s="42" t="s">
        <v>366</v>
      </c>
      <c r="AT275" s="43" t="s">
        <v>1276</v>
      </c>
      <c r="AU275" s="44">
        <v>34</v>
      </c>
      <c r="AV275" s="31">
        <v>267877510.61425054</v>
      </c>
      <c r="AW275" s="31">
        <v>12136008.659999996</v>
      </c>
      <c r="AX275" s="31">
        <v>5697606.2799999993</v>
      </c>
      <c r="AY275" s="31">
        <v>940150.80999999994</v>
      </c>
      <c r="AZ275" s="31">
        <v>42102311.534461439</v>
      </c>
      <c r="BA275" s="31">
        <v>14309154.626442198</v>
      </c>
      <c r="BB275" s="31">
        <v>21071210.146276355</v>
      </c>
      <c r="BC275" s="31">
        <f t="shared" si="23"/>
        <v>370372311.18143046</v>
      </c>
      <c r="BD275" s="31">
        <v>6238358.5100000007</v>
      </c>
    </row>
    <row r="276" spans="2:56">
      <c r="B276" s="42" t="s">
        <v>153</v>
      </c>
      <c r="C276" s="42" t="s">
        <v>154</v>
      </c>
      <c r="D276" s="43" t="s">
        <v>1049</v>
      </c>
      <c r="E276" s="44">
        <v>34</v>
      </c>
      <c r="F276" s="31">
        <v>2193906.3891239888</v>
      </c>
      <c r="G276" s="31">
        <v>76492.540000000008</v>
      </c>
      <c r="H276" s="31">
        <v>0</v>
      </c>
      <c r="I276" s="31">
        <v>0</v>
      </c>
      <c r="J276" s="31">
        <v>195989.93451589323</v>
      </c>
      <c r="K276" s="31">
        <v>111849.42634267254</v>
      </c>
      <c r="L276" s="31">
        <v>31852.027890368867</v>
      </c>
      <c r="M276" s="31">
        <f t="shared" si="20"/>
        <v>2655790.9578729235</v>
      </c>
      <c r="N276" s="31">
        <v>45700.639999999999</v>
      </c>
      <c r="P276" s="42" t="s">
        <v>153</v>
      </c>
      <c r="Q276" s="42" t="s">
        <v>154</v>
      </c>
      <c r="R276" s="43" t="s">
        <v>1050</v>
      </c>
      <c r="S276" s="44">
        <v>34</v>
      </c>
      <c r="T276" s="31">
        <v>2349261.2770067942</v>
      </c>
      <c r="U276" s="31">
        <v>82637.060000000027</v>
      </c>
      <c r="V276" s="31">
        <v>0</v>
      </c>
      <c r="W276" s="31">
        <v>0</v>
      </c>
      <c r="X276" s="31">
        <v>208644.43636390904</v>
      </c>
      <c r="Y276" s="31">
        <v>112053.24793665862</v>
      </c>
      <c r="Z276" s="31">
        <v>34400.302907930469</v>
      </c>
      <c r="AA276" s="31">
        <f t="shared" si="21"/>
        <v>2835210.2742152927</v>
      </c>
      <c r="AB276" s="31">
        <v>48213.94999999999</v>
      </c>
      <c r="AD276" s="42" t="s">
        <v>153</v>
      </c>
      <c r="AE276" s="42" t="s">
        <v>154</v>
      </c>
      <c r="AF276" s="43" t="s">
        <v>1275</v>
      </c>
      <c r="AG276" s="44">
        <v>34</v>
      </c>
      <c r="AH276" s="31">
        <v>2391016.5940017775</v>
      </c>
      <c r="AI276" s="31">
        <v>84066.390000000014</v>
      </c>
      <c r="AJ276" s="31">
        <v>0</v>
      </c>
      <c r="AK276" s="31">
        <v>0</v>
      </c>
      <c r="AL276" s="31">
        <v>212452.88784532159</v>
      </c>
      <c r="AM276" s="31">
        <v>111898.39849716792</v>
      </c>
      <c r="AN276" s="31">
        <v>35010.148662969186</v>
      </c>
      <c r="AO276" s="31">
        <f t="shared" si="22"/>
        <v>2883510.4090072364</v>
      </c>
      <c r="AP276" s="31">
        <v>49065.99</v>
      </c>
      <c r="AR276" s="42" t="s">
        <v>153</v>
      </c>
      <c r="AS276" s="42" t="s">
        <v>154</v>
      </c>
      <c r="AT276" s="43" t="s">
        <v>1276</v>
      </c>
      <c r="AU276" s="44">
        <v>34</v>
      </c>
      <c r="AV276" s="31">
        <v>2437022.0182449231</v>
      </c>
      <c r="AW276" s="31">
        <v>85813.85</v>
      </c>
      <c r="AX276" s="31">
        <v>0</v>
      </c>
      <c r="AY276" s="31">
        <v>0</v>
      </c>
      <c r="AZ276" s="31">
        <v>216764.70346814513</v>
      </c>
      <c r="BA276" s="31">
        <v>111902.82276686766</v>
      </c>
      <c r="BB276" s="31">
        <v>35669.284275111939</v>
      </c>
      <c r="BC276" s="31">
        <f t="shared" si="23"/>
        <v>2937257.1087550479</v>
      </c>
      <c r="BD276" s="31">
        <v>50084.43</v>
      </c>
    </row>
    <row r="277" spans="2:56">
      <c r="B277" s="42" t="s">
        <v>207</v>
      </c>
      <c r="C277" s="42" t="s">
        <v>208</v>
      </c>
      <c r="D277" s="43" t="s">
        <v>1049</v>
      </c>
      <c r="E277" s="44">
        <v>34</v>
      </c>
      <c r="F277" s="31">
        <v>80825810.915182307</v>
      </c>
      <c r="G277" s="31">
        <v>848611.08</v>
      </c>
      <c r="H277" s="31">
        <v>679424.10999999987</v>
      </c>
      <c r="I277" s="31">
        <v>290317.37</v>
      </c>
      <c r="J277" s="31">
        <v>11316501.292153418</v>
      </c>
      <c r="K277" s="31">
        <v>4351248.9134863839</v>
      </c>
      <c r="L277" s="31">
        <v>5790616.7415911825</v>
      </c>
      <c r="M277" s="31">
        <f t="shared" si="20"/>
        <v>104102530.42241329</v>
      </c>
      <c r="N277" s="31">
        <v>0</v>
      </c>
      <c r="P277" s="42" t="s">
        <v>207</v>
      </c>
      <c r="Q277" s="42" t="s">
        <v>208</v>
      </c>
      <c r="R277" s="43" t="s">
        <v>1050</v>
      </c>
      <c r="S277" s="44">
        <v>34</v>
      </c>
      <c r="T277" s="31">
        <v>86385850.217200443</v>
      </c>
      <c r="U277" s="31">
        <v>907064.26</v>
      </c>
      <c r="V277" s="31">
        <v>726121.69999999984</v>
      </c>
      <c r="W277" s="31">
        <v>310399.40000000002</v>
      </c>
      <c r="X277" s="31">
        <v>12042522.883435011</v>
      </c>
      <c r="Y277" s="31">
        <v>4358490.0082106348</v>
      </c>
      <c r="Z277" s="31">
        <v>6172830.6780018453</v>
      </c>
      <c r="AA277" s="31">
        <f t="shared" si="21"/>
        <v>110903279.14684795</v>
      </c>
      <c r="AB277" s="31">
        <v>0</v>
      </c>
      <c r="AD277" s="42" t="s">
        <v>207</v>
      </c>
      <c r="AE277" s="42" t="s">
        <v>208</v>
      </c>
      <c r="AF277" s="43" t="s">
        <v>1275</v>
      </c>
      <c r="AG277" s="44">
        <v>34</v>
      </c>
      <c r="AH277" s="31">
        <v>88009544.318892226</v>
      </c>
      <c r="AI277" s="31">
        <v>923996.58000000007</v>
      </c>
      <c r="AJ277" s="31">
        <v>739701.17</v>
      </c>
      <c r="AK277" s="31">
        <v>316060.98</v>
      </c>
      <c r="AL277" s="31">
        <v>12266809.472727524</v>
      </c>
      <c r="AM277" s="31">
        <v>4352819.3840027852</v>
      </c>
      <c r="AN277" s="31">
        <v>6288052.6543333186</v>
      </c>
      <c r="AO277" s="31">
        <f t="shared" si="22"/>
        <v>112896984.55995587</v>
      </c>
      <c r="AP277" s="31">
        <v>0</v>
      </c>
      <c r="AR277" s="42" t="s">
        <v>207</v>
      </c>
      <c r="AS277" s="42" t="s">
        <v>208</v>
      </c>
      <c r="AT277" s="43" t="s">
        <v>1276</v>
      </c>
      <c r="AU277" s="44">
        <v>34</v>
      </c>
      <c r="AV277" s="31">
        <v>89833651.549286485</v>
      </c>
      <c r="AW277" s="31">
        <v>942875.80999999994</v>
      </c>
      <c r="AX277" s="31">
        <v>754736.99</v>
      </c>
      <c r="AY277" s="31">
        <v>322633.69999999995</v>
      </c>
      <c r="AZ277" s="31">
        <v>12518931.466012353</v>
      </c>
      <c r="BA277" s="31">
        <v>4352981.4018372949</v>
      </c>
      <c r="BB277" s="31">
        <v>6417385.8695474593</v>
      </c>
      <c r="BC277" s="31">
        <f t="shared" si="23"/>
        <v>115143196.78668359</v>
      </c>
      <c r="BD277" s="31">
        <v>0</v>
      </c>
    </row>
    <row r="278" spans="2:56">
      <c r="B278" s="42" t="s">
        <v>559</v>
      </c>
      <c r="C278" s="42" t="s">
        <v>560</v>
      </c>
      <c r="D278" s="43" t="s">
        <v>1049</v>
      </c>
      <c r="E278" s="44">
        <v>34</v>
      </c>
      <c r="F278" s="31">
        <v>2385407.5437095566</v>
      </c>
      <c r="G278" s="31">
        <v>81311.040000000008</v>
      </c>
      <c r="H278" s="31">
        <v>0</v>
      </c>
      <c r="I278" s="31">
        <v>0</v>
      </c>
      <c r="J278" s="31">
        <v>263188.72508553398</v>
      </c>
      <c r="K278" s="31">
        <v>144064.7140680064</v>
      </c>
      <c r="L278" s="31">
        <v>224894.25219391473</v>
      </c>
      <c r="M278" s="31">
        <f t="shared" si="20"/>
        <v>3155662.9350570119</v>
      </c>
      <c r="N278" s="31">
        <v>56796.66</v>
      </c>
      <c r="P278" s="42" t="s">
        <v>559</v>
      </c>
      <c r="Q278" s="42" t="s">
        <v>560</v>
      </c>
      <c r="R278" s="43" t="s">
        <v>1050</v>
      </c>
      <c r="S278" s="44">
        <v>34</v>
      </c>
      <c r="T278" s="31">
        <v>2557578.6226883577</v>
      </c>
      <c r="U278" s="31">
        <v>87917.829999999987</v>
      </c>
      <c r="V278" s="31">
        <v>0</v>
      </c>
      <c r="W278" s="31">
        <v>0</v>
      </c>
      <c r="X278" s="31">
        <v>280163.46935253835</v>
      </c>
      <c r="Y278" s="31">
        <v>144403.3336921641</v>
      </c>
      <c r="Z278" s="31">
        <v>242152.63556204739</v>
      </c>
      <c r="AA278" s="31">
        <f t="shared" si="21"/>
        <v>3372085.0112951077</v>
      </c>
      <c r="AB278" s="31">
        <v>59869.120000000003</v>
      </c>
      <c r="AD278" s="42" t="s">
        <v>559</v>
      </c>
      <c r="AE278" s="42" t="s">
        <v>560</v>
      </c>
      <c r="AF278" s="43" t="s">
        <v>1275</v>
      </c>
      <c r="AG278" s="44">
        <v>34</v>
      </c>
      <c r="AH278" s="31">
        <v>2604195.4775807657</v>
      </c>
      <c r="AI278" s="31">
        <v>89444.229999999981</v>
      </c>
      <c r="AJ278" s="31">
        <v>0</v>
      </c>
      <c r="AK278" s="31">
        <v>0</v>
      </c>
      <c r="AL278" s="31">
        <v>285320.6997833536</v>
      </c>
      <c r="AM278" s="31">
        <v>144146.07410560161</v>
      </c>
      <c r="AN278" s="31">
        <v>246566.40598470072</v>
      </c>
      <c r="AO278" s="31">
        <f t="shared" si="22"/>
        <v>3430604.6074544219</v>
      </c>
      <c r="AP278" s="31">
        <v>60931.72</v>
      </c>
      <c r="AR278" s="42" t="s">
        <v>559</v>
      </c>
      <c r="AS278" s="42" t="s">
        <v>560</v>
      </c>
      <c r="AT278" s="43" t="s">
        <v>1276</v>
      </c>
      <c r="AU278" s="44">
        <v>34</v>
      </c>
      <c r="AV278" s="31">
        <v>2655324.2867021887</v>
      </c>
      <c r="AW278" s="31">
        <v>91303.209999999992</v>
      </c>
      <c r="AX278" s="31">
        <v>0</v>
      </c>
      <c r="AY278" s="31">
        <v>0</v>
      </c>
      <c r="AZ278" s="31">
        <v>291105.26074076549</v>
      </c>
      <c r="BA278" s="31">
        <v>144153.42437950338</v>
      </c>
      <c r="BB278" s="31">
        <v>251676.49160174199</v>
      </c>
      <c r="BC278" s="31">
        <f t="shared" si="23"/>
        <v>3495742.1134241992</v>
      </c>
      <c r="BD278" s="31">
        <v>62179.439999999995</v>
      </c>
    </row>
    <row r="279" spans="2:56">
      <c r="B279" s="42" t="s">
        <v>521</v>
      </c>
      <c r="C279" s="42" t="s">
        <v>522</v>
      </c>
      <c r="D279" s="43" t="s">
        <v>1049</v>
      </c>
      <c r="E279" s="44">
        <v>34</v>
      </c>
      <c r="F279" s="31">
        <v>9697119.9903491549</v>
      </c>
      <c r="G279" s="31">
        <v>368236.07000000007</v>
      </c>
      <c r="H279" s="31">
        <v>15590.83</v>
      </c>
      <c r="I279" s="31">
        <v>34689.61</v>
      </c>
      <c r="J279" s="31">
        <v>1565830.9646135771</v>
      </c>
      <c r="K279" s="31">
        <v>1070938.6963558714</v>
      </c>
      <c r="L279" s="31">
        <v>1047941.0990938218</v>
      </c>
      <c r="M279" s="31">
        <f t="shared" si="20"/>
        <v>14043856.650412425</v>
      </c>
      <c r="N279" s="31">
        <v>243509.39</v>
      </c>
      <c r="P279" s="42" t="s">
        <v>521</v>
      </c>
      <c r="Q279" s="42" t="s">
        <v>522</v>
      </c>
      <c r="R279" s="43" t="s">
        <v>1050</v>
      </c>
      <c r="S279" s="44">
        <v>34</v>
      </c>
      <c r="T279" s="31">
        <v>10374076.351201523</v>
      </c>
      <c r="U279" s="31">
        <v>398072.29000000004</v>
      </c>
      <c r="V279" s="31">
        <v>16706.610000000004</v>
      </c>
      <c r="W279" s="31">
        <v>37148.82</v>
      </c>
      <c r="X279" s="31">
        <v>1666880.2171628498</v>
      </c>
      <c r="Y279" s="31">
        <v>1073648.6611130908</v>
      </c>
      <c r="Z279" s="31">
        <v>1117675.6918839342</v>
      </c>
      <c r="AA279" s="31">
        <f t="shared" si="21"/>
        <v>14940702.721361397</v>
      </c>
      <c r="AB279" s="31">
        <v>256494.07999999999</v>
      </c>
      <c r="AD279" s="42" t="s">
        <v>521</v>
      </c>
      <c r="AE279" s="42" t="s">
        <v>522</v>
      </c>
      <c r="AF279" s="43" t="s">
        <v>1275</v>
      </c>
      <c r="AG279" s="44">
        <v>34</v>
      </c>
      <c r="AH279" s="31">
        <v>10566475.054670118</v>
      </c>
      <c r="AI279" s="31">
        <v>405271.72000000009</v>
      </c>
      <c r="AJ279" s="31">
        <v>16997.88</v>
      </c>
      <c r="AK279" s="31">
        <v>37796.5</v>
      </c>
      <c r="AL279" s="31">
        <v>1697427.4781852781</v>
      </c>
      <c r="AM279" s="31">
        <v>1071589.8187917827</v>
      </c>
      <c r="AN279" s="31">
        <v>1138105.2608124409</v>
      </c>
      <c r="AO279" s="31">
        <f t="shared" si="22"/>
        <v>15194898.512459621</v>
      </c>
      <c r="AP279" s="31">
        <v>261234.79999999996</v>
      </c>
      <c r="AR279" s="42" t="s">
        <v>521</v>
      </c>
      <c r="AS279" s="42" t="s">
        <v>522</v>
      </c>
      <c r="AT279" s="43" t="s">
        <v>1276</v>
      </c>
      <c r="AU279" s="44">
        <v>34</v>
      </c>
      <c r="AV279" s="31">
        <v>10781868.249172024</v>
      </c>
      <c r="AW279" s="31">
        <v>413406.18000000005</v>
      </c>
      <c r="AX279" s="31">
        <v>17309.84</v>
      </c>
      <c r="AY279" s="31">
        <v>38490.17</v>
      </c>
      <c r="AZ279" s="31">
        <v>1731765.9902253661</v>
      </c>
      <c r="BA279" s="31">
        <v>1071648.6428581059</v>
      </c>
      <c r="BB279" s="31">
        <v>1160868.2882059705</v>
      </c>
      <c r="BC279" s="31">
        <f t="shared" si="23"/>
        <v>15481980.090461466</v>
      </c>
      <c r="BD279" s="31">
        <v>266622.73</v>
      </c>
    </row>
    <row r="280" spans="2:56">
      <c r="B280" s="42" t="s">
        <v>243</v>
      </c>
      <c r="C280" s="42" t="s">
        <v>244</v>
      </c>
      <c r="D280" s="43" t="s">
        <v>1049</v>
      </c>
      <c r="E280" s="44">
        <v>34</v>
      </c>
      <c r="F280" s="31">
        <v>2880120.2185061499</v>
      </c>
      <c r="G280" s="31">
        <v>66261.070000000007</v>
      </c>
      <c r="H280" s="31">
        <v>3897.71</v>
      </c>
      <c r="I280" s="31">
        <v>6236.329999999999</v>
      </c>
      <c r="J280" s="31">
        <v>303046.64767776546</v>
      </c>
      <c r="K280" s="31">
        <v>137478.34774182245</v>
      </c>
      <c r="L280" s="31">
        <v>119872.36120989984</v>
      </c>
      <c r="M280" s="31">
        <f t="shared" si="20"/>
        <v>3516912.6851356374</v>
      </c>
      <c r="N280" s="31">
        <v>0</v>
      </c>
      <c r="P280" s="42" t="s">
        <v>243</v>
      </c>
      <c r="Q280" s="42" t="s">
        <v>244</v>
      </c>
      <c r="R280" s="43" t="s">
        <v>1050</v>
      </c>
      <c r="S280" s="44">
        <v>34</v>
      </c>
      <c r="T280" s="31">
        <v>3068408.3313231319</v>
      </c>
      <c r="U280" s="31">
        <v>70977.079999999987</v>
      </c>
      <c r="V280" s="31">
        <v>4150.7</v>
      </c>
      <c r="W280" s="31">
        <v>6744.9199999999992</v>
      </c>
      <c r="X280" s="31">
        <v>322591.0453365267</v>
      </c>
      <c r="Y280" s="31">
        <v>137679.32129984308</v>
      </c>
      <c r="Z280" s="31">
        <v>127970.95195926689</v>
      </c>
      <c r="AA280" s="31">
        <f t="shared" si="21"/>
        <v>3738522.3499187687</v>
      </c>
      <c r="AB280" s="31">
        <v>0</v>
      </c>
      <c r="AD280" s="42" t="s">
        <v>243</v>
      </c>
      <c r="AE280" s="42" t="s">
        <v>244</v>
      </c>
      <c r="AF280" s="43" t="s">
        <v>1275</v>
      </c>
      <c r="AG280" s="44">
        <v>34</v>
      </c>
      <c r="AH280" s="31">
        <v>3123954.4146306105</v>
      </c>
      <c r="AI280" s="31">
        <v>72214.559999999998</v>
      </c>
      <c r="AJ280" s="31">
        <v>4223.08</v>
      </c>
      <c r="AK280" s="31">
        <v>6862.51</v>
      </c>
      <c r="AL280" s="31">
        <v>328498.67094276857</v>
      </c>
      <c r="AM280" s="31">
        <v>137526.63559955326</v>
      </c>
      <c r="AN280" s="31">
        <v>130346.15375963689</v>
      </c>
      <c r="AO280" s="31">
        <f t="shared" si="22"/>
        <v>3803626.0249325689</v>
      </c>
      <c r="AP280" s="31">
        <v>0</v>
      </c>
      <c r="AR280" s="42" t="s">
        <v>243</v>
      </c>
      <c r="AS280" s="42" t="s">
        <v>244</v>
      </c>
      <c r="AT280" s="43" t="s">
        <v>1276</v>
      </c>
      <c r="AU280" s="44">
        <v>34</v>
      </c>
      <c r="AV280" s="31">
        <v>3184549.1143641993</v>
      </c>
      <c r="AW280" s="31">
        <v>73647.400000000009</v>
      </c>
      <c r="AX280" s="31">
        <v>4300.579999999999</v>
      </c>
      <c r="AY280" s="31">
        <v>6988.4599999999991</v>
      </c>
      <c r="AZ280" s="31">
        <v>335133.91804583615</v>
      </c>
      <c r="BA280" s="31">
        <v>137530.99804813298</v>
      </c>
      <c r="BB280" s="31">
        <v>132908.93882400834</v>
      </c>
      <c r="BC280" s="31">
        <f t="shared" si="23"/>
        <v>3875059.4092821768</v>
      </c>
      <c r="BD280" s="31">
        <v>0</v>
      </c>
    </row>
    <row r="281" spans="2:56">
      <c r="B281" s="42" t="s">
        <v>285</v>
      </c>
      <c r="C281" s="42" t="s">
        <v>286</v>
      </c>
      <c r="D281" s="43" t="s">
        <v>1049</v>
      </c>
      <c r="E281" s="44">
        <v>34</v>
      </c>
      <c r="F281" s="31">
        <v>6776934.932862266</v>
      </c>
      <c r="G281" s="31">
        <v>268548.34999999998</v>
      </c>
      <c r="H281" s="31">
        <v>13518.21</v>
      </c>
      <c r="I281" s="31">
        <v>23202.879999999997</v>
      </c>
      <c r="J281" s="31">
        <v>1046072.1492639848</v>
      </c>
      <c r="K281" s="31">
        <v>516724.02064733685</v>
      </c>
      <c r="L281" s="31">
        <v>610290.86754111596</v>
      </c>
      <c r="M281" s="31">
        <f t="shared" si="20"/>
        <v>9433146.6903147027</v>
      </c>
      <c r="N281" s="31">
        <v>177855.28</v>
      </c>
      <c r="P281" s="42" t="s">
        <v>285</v>
      </c>
      <c r="Q281" s="42" t="s">
        <v>286</v>
      </c>
      <c r="R281" s="43" t="s">
        <v>1050</v>
      </c>
      <c r="S281" s="44">
        <v>34</v>
      </c>
      <c r="T281" s="31">
        <v>7318503.0185839403</v>
      </c>
      <c r="U281" s="31">
        <v>290187.70000000007</v>
      </c>
      <c r="V281" s="31">
        <v>14499.44</v>
      </c>
      <c r="W281" s="31">
        <v>24917.570000000007</v>
      </c>
      <c r="X281" s="31">
        <v>1113488.9085742501</v>
      </c>
      <c r="Y281" s="31">
        <v>517948.51782794442</v>
      </c>
      <c r="Z281" s="31">
        <v>657647.45779761847</v>
      </c>
      <c r="AA281" s="31">
        <f t="shared" si="21"/>
        <v>10124627.382783754</v>
      </c>
      <c r="AB281" s="31">
        <v>187434.77</v>
      </c>
      <c r="AD281" s="42" t="s">
        <v>285</v>
      </c>
      <c r="AE281" s="42" t="s">
        <v>286</v>
      </c>
      <c r="AF281" s="43" t="s">
        <v>1275</v>
      </c>
      <c r="AG281" s="44">
        <v>34</v>
      </c>
      <c r="AH281" s="31">
        <v>7457180.3249330092</v>
      </c>
      <c r="AI281" s="31">
        <v>295448.38</v>
      </c>
      <c r="AJ281" s="31">
        <v>14753.449999999999</v>
      </c>
      <c r="AK281" s="31">
        <v>25354.090000000004</v>
      </c>
      <c r="AL281" s="31">
        <v>1133939.0359887851</v>
      </c>
      <c r="AM281" s="31">
        <v>517018.23022511083</v>
      </c>
      <c r="AN281" s="31">
        <v>669665.58160759695</v>
      </c>
      <c r="AO281" s="31">
        <f t="shared" si="22"/>
        <v>10304228.252754502</v>
      </c>
      <c r="AP281" s="31">
        <v>190869.16</v>
      </c>
      <c r="AR281" s="42" t="s">
        <v>285</v>
      </c>
      <c r="AS281" s="42" t="s">
        <v>286</v>
      </c>
      <c r="AT281" s="43" t="s">
        <v>1276</v>
      </c>
      <c r="AU281" s="44">
        <v>34</v>
      </c>
      <c r="AV281" s="31">
        <v>7611170.9509540284</v>
      </c>
      <c r="AW281" s="31">
        <v>301300.8600000001</v>
      </c>
      <c r="AX281" s="31">
        <v>15136.8</v>
      </c>
      <c r="AY281" s="31">
        <v>25821.600000000006</v>
      </c>
      <c r="AZ281" s="31">
        <v>1156959.8618392856</v>
      </c>
      <c r="BA281" s="31">
        <v>517044.80987090606</v>
      </c>
      <c r="BB281" s="31">
        <v>683290.79184479301</v>
      </c>
      <c r="BC281" s="31">
        <f t="shared" si="23"/>
        <v>10505488.784509012</v>
      </c>
      <c r="BD281" s="31">
        <v>194763.11000000002</v>
      </c>
    </row>
    <row r="282" spans="2:56">
      <c r="B282" s="42" t="s">
        <v>339</v>
      </c>
      <c r="C282" s="42" t="s">
        <v>340</v>
      </c>
      <c r="D282" s="43" t="s">
        <v>1049</v>
      </c>
      <c r="E282" s="44">
        <v>34</v>
      </c>
      <c r="F282" s="31">
        <v>9478057.1762963198</v>
      </c>
      <c r="G282" s="31">
        <v>545192.07000000007</v>
      </c>
      <c r="H282" s="31">
        <v>202778.32</v>
      </c>
      <c r="I282" s="31">
        <v>31961.219999999998</v>
      </c>
      <c r="J282" s="31">
        <v>1186237.0633407147</v>
      </c>
      <c r="K282" s="31">
        <v>960823.91342787992</v>
      </c>
      <c r="L282" s="31">
        <v>378929.74975367688</v>
      </c>
      <c r="M282" s="31">
        <f t="shared" si="20"/>
        <v>13108074.042818591</v>
      </c>
      <c r="N282" s="31">
        <v>324094.52999999997</v>
      </c>
      <c r="P282" s="42" t="s">
        <v>339</v>
      </c>
      <c r="Q282" s="42" t="s">
        <v>340</v>
      </c>
      <c r="R282" s="43" t="s">
        <v>1050</v>
      </c>
      <c r="S282" s="44">
        <v>34</v>
      </c>
      <c r="T282" s="31">
        <v>10235584.675377751</v>
      </c>
      <c r="U282" s="31">
        <v>588899.44999999995</v>
      </c>
      <c r="V282" s="31">
        <v>217081.93000000002</v>
      </c>
      <c r="W282" s="31">
        <v>34243.329999999994</v>
      </c>
      <c r="X282" s="31">
        <v>1262800.2159844697</v>
      </c>
      <c r="Y282" s="31">
        <v>962770.4124877227</v>
      </c>
      <c r="Z282" s="31">
        <v>408106.04703799158</v>
      </c>
      <c r="AA282" s="31">
        <f t="shared" si="21"/>
        <v>14050967.410887932</v>
      </c>
      <c r="AB282" s="31">
        <v>341481.35</v>
      </c>
      <c r="AD282" s="42" t="s">
        <v>339</v>
      </c>
      <c r="AE282" s="42" t="s">
        <v>340</v>
      </c>
      <c r="AF282" s="43" t="s">
        <v>1275</v>
      </c>
      <c r="AG282" s="44">
        <v>34</v>
      </c>
      <c r="AH282" s="31">
        <v>10436110.703486182</v>
      </c>
      <c r="AI282" s="31">
        <v>599511.32999999984</v>
      </c>
      <c r="AJ282" s="31">
        <v>220972.31</v>
      </c>
      <c r="AK282" s="31">
        <v>34840.349999999991</v>
      </c>
      <c r="AL282" s="31">
        <v>1285949.7548038256</v>
      </c>
      <c r="AM282" s="31">
        <v>961291.59818502213</v>
      </c>
      <c r="AN282" s="31">
        <v>415634.93397728162</v>
      </c>
      <c r="AO282" s="31">
        <f t="shared" si="22"/>
        <v>14302034.950452311</v>
      </c>
      <c r="AP282" s="31">
        <v>347723.97000000003</v>
      </c>
      <c r="AR282" s="42" t="s">
        <v>339</v>
      </c>
      <c r="AS282" s="42" t="s">
        <v>340</v>
      </c>
      <c r="AT282" s="43" t="s">
        <v>1276</v>
      </c>
      <c r="AU282" s="44">
        <v>34</v>
      </c>
      <c r="AV282" s="31">
        <v>10660107.266512552</v>
      </c>
      <c r="AW282" s="31">
        <v>611513.54</v>
      </c>
      <c r="AX282" s="31">
        <v>225457.81</v>
      </c>
      <c r="AY282" s="31">
        <v>35587.299999999996</v>
      </c>
      <c r="AZ282" s="31">
        <v>1311979.7022228884</v>
      </c>
      <c r="BA282" s="31">
        <v>961333.85002224217</v>
      </c>
      <c r="BB282" s="31">
        <v>424083.10135510168</v>
      </c>
      <c r="BC282" s="31">
        <f t="shared" si="23"/>
        <v>14584888.910112787</v>
      </c>
      <c r="BD282" s="31">
        <v>354826.33999999997</v>
      </c>
    </row>
    <row r="283" spans="2:56">
      <c r="B283" s="42" t="s">
        <v>597</v>
      </c>
      <c r="C283" s="42" t="s">
        <v>598</v>
      </c>
      <c r="D283" s="43" t="s">
        <v>1049</v>
      </c>
      <c r="E283" s="44">
        <v>34</v>
      </c>
      <c r="F283" s="31">
        <v>32084115.568892218</v>
      </c>
      <c r="G283" s="31">
        <v>2490051.54</v>
      </c>
      <c r="H283" s="31">
        <v>2056333.9600000002</v>
      </c>
      <c r="I283" s="31">
        <v>119659.67000000001</v>
      </c>
      <c r="J283" s="31">
        <v>4855135.2442948455</v>
      </c>
      <c r="K283" s="31">
        <v>1461164.8718443906</v>
      </c>
      <c r="L283" s="31">
        <v>5380408.3723059278</v>
      </c>
      <c r="M283" s="31">
        <f t="shared" si="20"/>
        <v>49469335.807337381</v>
      </c>
      <c r="N283" s="31">
        <v>1022466.5800000001</v>
      </c>
      <c r="P283" s="42" t="s">
        <v>597</v>
      </c>
      <c r="Q283" s="42" t="s">
        <v>598</v>
      </c>
      <c r="R283" s="43" t="s">
        <v>1050</v>
      </c>
      <c r="S283" s="44">
        <v>34</v>
      </c>
      <c r="T283" s="31">
        <v>34676832.027935453</v>
      </c>
      <c r="U283" s="31">
        <v>2681829.16</v>
      </c>
      <c r="V283" s="31">
        <v>2200600.67</v>
      </c>
      <c r="W283" s="31">
        <v>128049.29000000001</v>
      </c>
      <c r="X283" s="31">
        <v>5168498.6222506398</v>
      </c>
      <c r="Y283" s="31">
        <v>1464072.7841549206</v>
      </c>
      <c r="Z283" s="31">
        <v>5794656.534426285</v>
      </c>
      <c r="AA283" s="31">
        <f t="shared" si="21"/>
        <v>53191589.468767308</v>
      </c>
      <c r="AB283" s="31">
        <v>1077050.3799999999</v>
      </c>
      <c r="AD283" s="42" t="s">
        <v>597</v>
      </c>
      <c r="AE283" s="42" t="s">
        <v>598</v>
      </c>
      <c r="AF283" s="43" t="s">
        <v>1275</v>
      </c>
      <c r="AG283" s="44">
        <v>34</v>
      </c>
      <c r="AH283" s="31">
        <v>35382984.666363187</v>
      </c>
      <c r="AI283" s="31">
        <v>2730349.7899999991</v>
      </c>
      <c r="AJ283" s="31">
        <v>2240551.4300000002</v>
      </c>
      <c r="AK283" s="31">
        <v>130387.4</v>
      </c>
      <c r="AL283" s="31">
        <v>5263246.1387787499</v>
      </c>
      <c r="AM283" s="31">
        <v>1461863.5550807705</v>
      </c>
      <c r="AN283" s="31">
        <v>5900929.3154260423</v>
      </c>
      <c r="AO283" s="31">
        <f t="shared" si="22"/>
        <v>54207228.095648743</v>
      </c>
      <c r="AP283" s="31">
        <v>1096915.8</v>
      </c>
      <c r="AR283" s="42" t="s">
        <v>597</v>
      </c>
      <c r="AS283" s="42" t="s">
        <v>598</v>
      </c>
      <c r="AT283" s="43" t="s">
        <v>1276</v>
      </c>
      <c r="AU283" s="44">
        <v>34</v>
      </c>
      <c r="AV283" s="31">
        <v>36169596.977945246</v>
      </c>
      <c r="AW283" s="31">
        <v>2784949.8200000003</v>
      </c>
      <c r="AX283" s="31">
        <v>2285649.7200000002</v>
      </c>
      <c r="AY283" s="31">
        <v>132995.37</v>
      </c>
      <c r="AZ283" s="31">
        <v>5369849.8619509125</v>
      </c>
      <c r="BA283" s="31">
        <v>1461926.6759114605</v>
      </c>
      <c r="BB283" s="31">
        <v>6020476.2426227424</v>
      </c>
      <c r="BC283" s="31">
        <f t="shared" si="23"/>
        <v>55344667.118430361</v>
      </c>
      <c r="BD283" s="31">
        <v>1119222.45</v>
      </c>
    </row>
    <row r="284" spans="2:56">
      <c r="B284" s="42" t="s">
        <v>531</v>
      </c>
      <c r="C284" s="42" t="s">
        <v>532</v>
      </c>
      <c r="D284" s="43" t="s">
        <v>1049</v>
      </c>
      <c r="E284" s="44">
        <v>34</v>
      </c>
      <c r="F284" s="31">
        <v>2471979.9747723937</v>
      </c>
      <c r="G284" s="31">
        <v>70256.200000000012</v>
      </c>
      <c r="H284" s="31">
        <v>61486.37</v>
      </c>
      <c r="I284" s="31">
        <v>0</v>
      </c>
      <c r="J284" s="31">
        <v>195133.20777359622</v>
      </c>
      <c r="K284" s="31">
        <v>140766.65336423967</v>
      </c>
      <c r="L284" s="31">
        <v>128270.77056264319</v>
      </c>
      <c r="M284" s="31">
        <f t="shared" si="20"/>
        <v>3126456.2664728728</v>
      </c>
      <c r="N284" s="31">
        <v>58563.089999999989</v>
      </c>
      <c r="P284" s="42" t="s">
        <v>531</v>
      </c>
      <c r="Q284" s="42" t="s">
        <v>532</v>
      </c>
      <c r="R284" s="43" t="s">
        <v>1050</v>
      </c>
      <c r="S284" s="44">
        <v>34</v>
      </c>
      <c r="T284" s="31">
        <v>2651556.5500995684</v>
      </c>
      <c r="U284" s="31">
        <v>76105.930000000008</v>
      </c>
      <c r="V284" s="31">
        <v>65684.94</v>
      </c>
      <c r="W284" s="31">
        <v>0</v>
      </c>
      <c r="X284" s="31">
        <v>207743.42454628297</v>
      </c>
      <c r="Y284" s="31">
        <v>141005.16159231099</v>
      </c>
      <c r="Z284" s="31">
        <v>138281.1502554708</v>
      </c>
      <c r="AA284" s="31">
        <f t="shared" si="21"/>
        <v>3342074.6664936333</v>
      </c>
      <c r="AB284" s="31">
        <v>61697.509999999995</v>
      </c>
      <c r="AD284" s="42" t="s">
        <v>531</v>
      </c>
      <c r="AE284" s="42" t="s">
        <v>532</v>
      </c>
      <c r="AF284" s="43" t="s">
        <v>1275</v>
      </c>
      <c r="AG284" s="44">
        <v>34</v>
      </c>
      <c r="AH284" s="31">
        <v>2699151.7266183756</v>
      </c>
      <c r="AI284" s="31">
        <v>77525.390000000029</v>
      </c>
      <c r="AJ284" s="31">
        <v>66935.7</v>
      </c>
      <c r="AK284" s="31">
        <v>0</v>
      </c>
      <c r="AL284" s="31">
        <v>211543.02058760545</v>
      </c>
      <c r="AM284" s="31">
        <v>140823.95966611427</v>
      </c>
      <c r="AN284" s="31">
        <v>140732.43431626903</v>
      </c>
      <c r="AO284" s="31">
        <f t="shared" si="22"/>
        <v>3399604.0211883648</v>
      </c>
      <c r="AP284" s="31">
        <v>62891.789999999994</v>
      </c>
      <c r="AR284" s="42" t="s">
        <v>531</v>
      </c>
      <c r="AS284" s="42" t="s">
        <v>532</v>
      </c>
      <c r="AT284" s="43" t="s">
        <v>1276</v>
      </c>
      <c r="AU284" s="44">
        <v>34</v>
      </c>
      <c r="AV284" s="31">
        <v>2751659.552072444</v>
      </c>
      <c r="AW284" s="31">
        <v>79041.919999999984</v>
      </c>
      <c r="AX284" s="31">
        <v>68379.199999999983</v>
      </c>
      <c r="AY284" s="31">
        <v>0</v>
      </c>
      <c r="AZ284" s="31">
        <v>215828.49456938077</v>
      </c>
      <c r="BA284" s="31">
        <v>140829.13686400562</v>
      </c>
      <c r="BB284" s="31">
        <v>143490.02875018999</v>
      </c>
      <c r="BC284" s="31">
        <f t="shared" si="23"/>
        <v>3463395.6722560204</v>
      </c>
      <c r="BD284" s="31">
        <v>64167.340000000004</v>
      </c>
    </row>
    <row r="285" spans="2:56">
      <c r="B285" s="42" t="s">
        <v>79</v>
      </c>
      <c r="C285" s="42" t="s">
        <v>80</v>
      </c>
      <c r="D285" s="43" t="s">
        <v>1049</v>
      </c>
      <c r="E285" s="44">
        <v>34</v>
      </c>
      <c r="F285" s="31">
        <v>6103363.3288619732</v>
      </c>
      <c r="G285" s="31">
        <v>185017.92</v>
      </c>
      <c r="H285" s="31">
        <v>0</v>
      </c>
      <c r="I285" s="31">
        <v>20277.310000000001</v>
      </c>
      <c r="J285" s="31">
        <v>889542.50505094475</v>
      </c>
      <c r="K285" s="31">
        <v>437617.34661909513</v>
      </c>
      <c r="L285" s="31">
        <v>538326.5781826654</v>
      </c>
      <c r="M285" s="31">
        <f t="shared" si="20"/>
        <v>8174144.9887146782</v>
      </c>
      <c r="N285" s="31">
        <v>0</v>
      </c>
      <c r="P285" s="42" t="s">
        <v>79</v>
      </c>
      <c r="Q285" s="42" t="s">
        <v>80</v>
      </c>
      <c r="R285" s="43" t="s">
        <v>1050</v>
      </c>
      <c r="S285" s="44">
        <v>34</v>
      </c>
      <c r="T285" s="31">
        <v>6521582.7355500236</v>
      </c>
      <c r="U285" s="31">
        <v>197944.28999999995</v>
      </c>
      <c r="V285" s="31">
        <v>0</v>
      </c>
      <c r="W285" s="31">
        <v>21695.46</v>
      </c>
      <c r="X285" s="31">
        <v>946881.93678721623</v>
      </c>
      <c r="Y285" s="31">
        <v>438492.70920720138</v>
      </c>
      <c r="Z285" s="31">
        <v>574020.23547413817</v>
      </c>
      <c r="AA285" s="31">
        <f t="shared" si="21"/>
        <v>8700617.3670185786</v>
      </c>
      <c r="AB285" s="31">
        <v>0</v>
      </c>
      <c r="AD285" s="42" t="s">
        <v>79</v>
      </c>
      <c r="AE285" s="42" t="s">
        <v>80</v>
      </c>
      <c r="AF285" s="43" t="s">
        <v>1275</v>
      </c>
      <c r="AG285" s="44">
        <v>34</v>
      </c>
      <c r="AH285" s="31">
        <v>6643022.1035337336</v>
      </c>
      <c r="AI285" s="31">
        <v>201521.23</v>
      </c>
      <c r="AJ285" s="31">
        <v>0</v>
      </c>
      <c r="AK285" s="31">
        <v>22075.53</v>
      </c>
      <c r="AL285" s="31">
        <v>964283.99463843985</v>
      </c>
      <c r="AM285" s="31">
        <v>437827.66973091976</v>
      </c>
      <c r="AN285" s="31">
        <v>584444.13370682695</v>
      </c>
      <c r="AO285" s="31">
        <f t="shared" si="22"/>
        <v>8853174.6616099216</v>
      </c>
      <c r="AP285" s="31">
        <v>0</v>
      </c>
      <c r="AR285" s="42" t="s">
        <v>79</v>
      </c>
      <c r="AS285" s="42" t="s">
        <v>80</v>
      </c>
      <c r="AT285" s="43" t="s">
        <v>1276</v>
      </c>
      <c r="AU285" s="44">
        <v>34</v>
      </c>
      <c r="AV285" s="31">
        <v>6778224.3984796414</v>
      </c>
      <c r="AW285" s="31">
        <v>205571.04000000004</v>
      </c>
      <c r="AX285" s="31">
        <v>0</v>
      </c>
      <c r="AY285" s="31">
        <v>22482.590000000004</v>
      </c>
      <c r="AZ285" s="31">
        <v>983837.73503356637</v>
      </c>
      <c r="BA285" s="31">
        <v>437846.67085881357</v>
      </c>
      <c r="BB285" s="31">
        <v>596658.46834401158</v>
      </c>
      <c r="BC285" s="31">
        <f t="shared" si="23"/>
        <v>9024620.9027160332</v>
      </c>
      <c r="BD285" s="31">
        <v>0</v>
      </c>
    </row>
    <row r="286" spans="2:56">
      <c r="B286" s="42" t="s">
        <v>257</v>
      </c>
      <c r="C286" s="42" t="s">
        <v>258</v>
      </c>
      <c r="D286" s="43" t="s">
        <v>1049</v>
      </c>
      <c r="E286" s="44">
        <v>34</v>
      </c>
      <c r="F286" s="31">
        <v>2496010.6640299731</v>
      </c>
      <c r="G286" s="31">
        <v>0</v>
      </c>
      <c r="H286" s="31">
        <v>23678.59</v>
      </c>
      <c r="I286" s="31">
        <v>5359.369999999999</v>
      </c>
      <c r="J286" s="31">
        <v>154913.04096254066</v>
      </c>
      <c r="K286" s="31">
        <v>135749.48480082987</v>
      </c>
      <c r="L286" s="31">
        <v>0</v>
      </c>
      <c r="M286" s="31">
        <f t="shared" si="20"/>
        <v>2815711.1497933436</v>
      </c>
      <c r="N286" s="31">
        <v>0</v>
      </c>
      <c r="P286" s="42" t="s">
        <v>257</v>
      </c>
      <c r="Q286" s="42" t="s">
        <v>258</v>
      </c>
      <c r="R286" s="43" t="s">
        <v>1050</v>
      </c>
      <c r="S286" s="44">
        <v>34</v>
      </c>
      <c r="T286" s="31">
        <v>2659368.2000300516</v>
      </c>
      <c r="U286" s="31">
        <v>0</v>
      </c>
      <c r="V286" s="31">
        <v>25319.31</v>
      </c>
      <c r="W286" s="31">
        <v>5707.22</v>
      </c>
      <c r="X286" s="31">
        <v>164900.48601160012</v>
      </c>
      <c r="Y286" s="31">
        <v>136106.45023258115</v>
      </c>
      <c r="Z286" s="31">
        <v>0</v>
      </c>
      <c r="AA286" s="31">
        <f t="shared" si="21"/>
        <v>2991401.6662742333</v>
      </c>
      <c r="AB286" s="31">
        <v>0</v>
      </c>
      <c r="AD286" s="42" t="s">
        <v>257</v>
      </c>
      <c r="AE286" s="42" t="s">
        <v>258</v>
      </c>
      <c r="AF286" s="43" t="s">
        <v>1275</v>
      </c>
      <c r="AG286" s="44">
        <v>34</v>
      </c>
      <c r="AH286" s="31">
        <v>2707345.3599472786</v>
      </c>
      <c r="AI286" s="31">
        <v>0</v>
      </c>
      <c r="AJ286" s="31">
        <v>25866.33</v>
      </c>
      <c r="AK286" s="31">
        <v>5806.73</v>
      </c>
      <c r="AL286" s="31">
        <v>167928.73223081155</v>
      </c>
      <c r="AM286" s="31">
        <v>135835.25278022478</v>
      </c>
      <c r="AN286" s="31">
        <v>0</v>
      </c>
      <c r="AO286" s="31">
        <f t="shared" si="22"/>
        <v>3042782.4049583147</v>
      </c>
      <c r="AP286" s="31">
        <v>0</v>
      </c>
      <c r="AR286" s="42" t="s">
        <v>257</v>
      </c>
      <c r="AS286" s="42" t="s">
        <v>258</v>
      </c>
      <c r="AT286" s="43" t="s">
        <v>1276</v>
      </c>
      <c r="AU286" s="44">
        <v>34</v>
      </c>
      <c r="AV286" s="31">
        <v>2760239.3364694309</v>
      </c>
      <c r="AW286" s="31">
        <v>0</v>
      </c>
      <c r="AX286" s="31">
        <v>26341.040000000005</v>
      </c>
      <c r="AY286" s="31">
        <v>5913.3</v>
      </c>
      <c r="AZ286" s="31">
        <v>171337.03372210884</v>
      </c>
      <c r="BA286" s="31">
        <v>135843.00127886355</v>
      </c>
      <c r="BB286" s="31">
        <v>0</v>
      </c>
      <c r="BC286" s="31">
        <f t="shared" si="23"/>
        <v>3099673.7114704032</v>
      </c>
      <c r="BD286" s="31">
        <v>0</v>
      </c>
    </row>
    <row r="287" spans="2:56">
      <c r="B287" s="42" t="s">
        <v>201</v>
      </c>
      <c r="C287" s="42" t="s">
        <v>202</v>
      </c>
      <c r="D287" s="43" t="s">
        <v>1049</v>
      </c>
      <c r="E287" s="44">
        <v>34</v>
      </c>
      <c r="F287" s="31">
        <v>23687724.728759062</v>
      </c>
      <c r="G287" s="31">
        <v>1369383.6</v>
      </c>
      <c r="H287" s="31">
        <v>1738858.5800000003</v>
      </c>
      <c r="I287" s="31">
        <v>82318.850000000006</v>
      </c>
      <c r="J287" s="31">
        <v>3565386.1782605499</v>
      </c>
      <c r="K287" s="31">
        <v>921753.55166467745</v>
      </c>
      <c r="L287" s="31">
        <v>1035336.0476193475</v>
      </c>
      <c r="M287" s="31">
        <f t="shared" si="20"/>
        <v>33245404.816303641</v>
      </c>
      <c r="N287" s="31">
        <v>844643.2799999998</v>
      </c>
      <c r="P287" s="42" t="s">
        <v>201</v>
      </c>
      <c r="Q287" s="42" t="s">
        <v>202</v>
      </c>
      <c r="R287" s="43" t="s">
        <v>1050</v>
      </c>
      <c r="S287" s="44">
        <v>34</v>
      </c>
      <c r="T287" s="31">
        <v>25588878.643610056</v>
      </c>
      <c r="U287" s="31">
        <v>1476444.5</v>
      </c>
      <c r="V287" s="31">
        <v>1858981.8199999998</v>
      </c>
      <c r="W287" s="31">
        <v>88053.87000000001</v>
      </c>
      <c r="X287" s="31">
        <v>3794263.1432619956</v>
      </c>
      <c r="Y287" s="31">
        <v>923809.07788935618</v>
      </c>
      <c r="Z287" s="31">
        <v>1114513.470074205</v>
      </c>
      <c r="AA287" s="31">
        <f t="shared" si="21"/>
        <v>35735503.444835618</v>
      </c>
      <c r="AB287" s="31">
        <v>890558.91999999993</v>
      </c>
      <c r="AD287" s="42" t="s">
        <v>201</v>
      </c>
      <c r="AE287" s="42" t="s">
        <v>202</v>
      </c>
      <c r="AF287" s="43" t="s">
        <v>1275</v>
      </c>
      <c r="AG287" s="44">
        <v>34</v>
      </c>
      <c r="AH287" s="31">
        <v>26070223.65598996</v>
      </c>
      <c r="AI287" s="31">
        <v>1503605.6800000004</v>
      </c>
      <c r="AJ287" s="31">
        <v>1893363.1099999999</v>
      </c>
      <c r="AK287" s="31">
        <v>89618.700000000012</v>
      </c>
      <c r="AL287" s="31">
        <v>3864761.1413251227</v>
      </c>
      <c r="AM287" s="31">
        <v>922199.36040692974</v>
      </c>
      <c r="AN287" s="31">
        <v>1135294.73683271</v>
      </c>
      <c r="AO287" s="31">
        <f t="shared" si="22"/>
        <v>36386240.374554724</v>
      </c>
      <c r="AP287" s="31">
        <v>907173.99</v>
      </c>
      <c r="AR287" s="42" t="s">
        <v>201</v>
      </c>
      <c r="AS287" s="42" t="s">
        <v>202</v>
      </c>
      <c r="AT287" s="43" t="s">
        <v>1276</v>
      </c>
      <c r="AU287" s="44">
        <v>34</v>
      </c>
      <c r="AV287" s="31">
        <v>26610578.477879219</v>
      </c>
      <c r="AW287" s="31">
        <v>1534165.71</v>
      </c>
      <c r="AX287" s="31">
        <v>1932133.08</v>
      </c>
      <c r="AY287" s="31">
        <v>91419.18</v>
      </c>
      <c r="AZ287" s="31">
        <v>3944047.7547805449</v>
      </c>
      <c r="BA287" s="31">
        <v>922245.35233499901</v>
      </c>
      <c r="BB287" s="31">
        <v>1158638.7369670575</v>
      </c>
      <c r="BC287" s="31">
        <f t="shared" si="23"/>
        <v>37119160.091961816</v>
      </c>
      <c r="BD287" s="31">
        <v>925931.79999999981</v>
      </c>
    </row>
    <row r="288" spans="2:56">
      <c r="B288" s="42" t="s">
        <v>511</v>
      </c>
      <c r="C288" s="42" t="s">
        <v>512</v>
      </c>
      <c r="D288" s="43" t="s">
        <v>1049</v>
      </c>
      <c r="E288" s="44">
        <v>34</v>
      </c>
      <c r="F288" s="31">
        <v>50265488.404364049</v>
      </c>
      <c r="G288" s="31">
        <v>1276304.8999999999</v>
      </c>
      <c r="H288" s="31">
        <v>218758.94</v>
      </c>
      <c r="I288" s="31">
        <v>186310.49999999997</v>
      </c>
      <c r="J288" s="31">
        <v>7721549.9907863783</v>
      </c>
      <c r="K288" s="31">
        <v>3678988.4508556905</v>
      </c>
      <c r="L288" s="31">
        <v>8303173.4728904571</v>
      </c>
      <c r="M288" s="31">
        <f t="shared" si="20"/>
        <v>71650574.658896565</v>
      </c>
      <c r="N288" s="31">
        <v>0</v>
      </c>
      <c r="P288" s="42" t="s">
        <v>511</v>
      </c>
      <c r="Q288" s="42" t="s">
        <v>512</v>
      </c>
      <c r="R288" s="43" t="s">
        <v>1050</v>
      </c>
      <c r="S288" s="44">
        <v>34</v>
      </c>
      <c r="T288" s="31">
        <v>53798775.144932754</v>
      </c>
      <c r="U288" s="31">
        <v>1365789.8699999999</v>
      </c>
      <c r="V288" s="31">
        <v>234099.83000000002</v>
      </c>
      <c r="W288" s="31">
        <v>199337.68</v>
      </c>
      <c r="X288" s="31">
        <v>8219817.0549545931</v>
      </c>
      <c r="Y288" s="31">
        <v>3688930.4975617491</v>
      </c>
      <c r="Z288" s="31">
        <v>8857738.7467420176</v>
      </c>
      <c r="AA288" s="31">
        <f t="shared" si="21"/>
        <v>76364488.824191123</v>
      </c>
      <c r="AB288" s="31">
        <v>0</v>
      </c>
      <c r="AD288" s="42" t="s">
        <v>511</v>
      </c>
      <c r="AE288" s="42" t="s">
        <v>512</v>
      </c>
      <c r="AF288" s="43" t="s">
        <v>1275</v>
      </c>
      <c r="AG288" s="44">
        <v>34</v>
      </c>
      <c r="AH288" s="31">
        <v>54831423.192427419</v>
      </c>
      <c r="AI288" s="31">
        <v>1390657.9800000002</v>
      </c>
      <c r="AJ288" s="31">
        <v>238286.90000000002</v>
      </c>
      <c r="AK288" s="31">
        <v>202918.67</v>
      </c>
      <c r="AL288" s="31">
        <v>8370489.6095611565</v>
      </c>
      <c r="AM288" s="31">
        <v>3681377.2234963491</v>
      </c>
      <c r="AN288" s="31">
        <v>9020174.0083090235</v>
      </c>
      <c r="AO288" s="31">
        <f t="shared" si="22"/>
        <v>77735327.583793938</v>
      </c>
      <c r="AP288" s="31">
        <v>0</v>
      </c>
      <c r="AR288" s="42" t="s">
        <v>511</v>
      </c>
      <c r="AS288" s="42" t="s">
        <v>512</v>
      </c>
      <c r="AT288" s="43" t="s">
        <v>1276</v>
      </c>
      <c r="AU288" s="44">
        <v>34</v>
      </c>
      <c r="AV288" s="31">
        <v>55987092.281504124</v>
      </c>
      <c r="AW288" s="31">
        <v>1418545.6700000002</v>
      </c>
      <c r="AX288" s="31">
        <v>243090.18</v>
      </c>
      <c r="AY288" s="31">
        <v>207072.83000000002</v>
      </c>
      <c r="AZ288" s="31">
        <v>8539996.9817112517</v>
      </c>
      <c r="BA288" s="31">
        <v>3681593.0313267894</v>
      </c>
      <c r="BB288" s="31">
        <v>9203055.4970370829</v>
      </c>
      <c r="BC288" s="31">
        <f t="shared" si="23"/>
        <v>79280446.471579254</v>
      </c>
      <c r="BD288" s="31">
        <v>0</v>
      </c>
    </row>
    <row r="289" spans="2:56">
      <c r="B289" s="42" t="s">
        <v>581</v>
      </c>
      <c r="C289" s="42" t="s">
        <v>582</v>
      </c>
      <c r="D289" s="43" t="s">
        <v>1049</v>
      </c>
      <c r="E289" s="44">
        <v>34</v>
      </c>
      <c r="F289" s="31">
        <v>4994256.0176886478</v>
      </c>
      <c r="G289" s="31">
        <v>327992.24</v>
      </c>
      <c r="H289" s="31">
        <v>257930.90999999997</v>
      </c>
      <c r="I289" s="31">
        <v>15883.19</v>
      </c>
      <c r="J289" s="31">
        <v>687210.35708410887</v>
      </c>
      <c r="K289" s="31">
        <v>136936.44498647811</v>
      </c>
      <c r="L289" s="31">
        <v>0</v>
      </c>
      <c r="M289" s="31">
        <f t="shared" si="20"/>
        <v>6585959.2497592354</v>
      </c>
      <c r="N289" s="31">
        <v>165750.09</v>
      </c>
      <c r="P289" s="42" t="s">
        <v>581</v>
      </c>
      <c r="Q289" s="42" t="s">
        <v>582</v>
      </c>
      <c r="R289" s="43" t="s">
        <v>1050</v>
      </c>
      <c r="S289" s="44">
        <v>34</v>
      </c>
      <c r="T289" s="31">
        <v>5418254.5058944738</v>
      </c>
      <c r="U289" s="31">
        <v>353815.29000000004</v>
      </c>
      <c r="V289" s="31">
        <v>276021.97000000003</v>
      </c>
      <c r="W289" s="31">
        <v>17017.900000000001</v>
      </c>
      <c r="X289" s="31">
        <v>731499.4498282799</v>
      </c>
      <c r="Y289" s="31">
        <v>137332.68509930791</v>
      </c>
      <c r="Z289" s="31">
        <v>0</v>
      </c>
      <c r="AA289" s="31">
        <f t="shared" si="21"/>
        <v>7108615.1908220621</v>
      </c>
      <c r="AB289" s="31">
        <v>174673.39</v>
      </c>
      <c r="AD289" s="42" t="s">
        <v>581</v>
      </c>
      <c r="AE289" s="42" t="s">
        <v>582</v>
      </c>
      <c r="AF289" s="43" t="s">
        <v>1275</v>
      </c>
      <c r="AG289" s="44">
        <v>34</v>
      </c>
      <c r="AH289" s="31">
        <v>5517372.0565018635</v>
      </c>
      <c r="AI289" s="31">
        <v>360155.29</v>
      </c>
      <c r="AJ289" s="31">
        <v>281151.07999999996</v>
      </c>
      <c r="AK289" s="31">
        <v>17314.59</v>
      </c>
      <c r="AL289" s="31">
        <v>744890.72959177312</v>
      </c>
      <c r="AM289" s="31">
        <v>137031.64948195513</v>
      </c>
      <c r="AN289" s="31">
        <v>0</v>
      </c>
      <c r="AO289" s="31">
        <f t="shared" si="22"/>
        <v>7235779.6055755913</v>
      </c>
      <c r="AP289" s="31">
        <v>177864.21000000002</v>
      </c>
      <c r="AR289" s="42" t="s">
        <v>581</v>
      </c>
      <c r="AS289" s="42" t="s">
        <v>582</v>
      </c>
      <c r="AT289" s="43" t="s">
        <v>1276</v>
      </c>
      <c r="AU289" s="44">
        <v>34</v>
      </c>
      <c r="AV289" s="31">
        <v>5628914.1272820123</v>
      </c>
      <c r="AW289" s="31">
        <v>367371.47000000003</v>
      </c>
      <c r="AX289" s="31">
        <v>286633.52</v>
      </c>
      <c r="AY289" s="31">
        <v>17632.37</v>
      </c>
      <c r="AZ289" s="31">
        <v>759949.78247954068</v>
      </c>
      <c r="BA289" s="31">
        <v>137040.25049959379</v>
      </c>
      <c r="BB289" s="31">
        <v>0</v>
      </c>
      <c r="BC289" s="31">
        <f t="shared" si="23"/>
        <v>7379031.3302611466</v>
      </c>
      <c r="BD289" s="31">
        <v>181489.81</v>
      </c>
    </row>
    <row r="290" spans="2:56">
      <c r="B290" s="42" t="s">
        <v>369</v>
      </c>
      <c r="C290" s="42" t="s">
        <v>370</v>
      </c>
      <c r="D290" s="43" t="s">
        <v>1049</v>
      </c>
      <c r="E290" s="44">
        <v>34</v>
      </c>
      <c r="F290" s="31">
        <v>48387008.641914509</v>
      </c>
      <c r="G290" s="31">
        <v>1374295.78</v>
      </c>
      <c r="H290" s="31">
        <v>518966.31999999995</v>
      </c>
      <c r="I290" s="31">
        <v>169666.13999999998</v>
      </c>
      <c r="J290" s="31">
        <v>5470475.5099328794</v>
      </c>
      <c r="K290" s="31">
        <v>2088915.2169203914</v>
      </c>
      <c r="L290" s="31">
        <v>2810846.2693692246</v>
      </c>
      <c r="M290" s="31">
        <f t="shared" si="20"/>
        <v>60820173.878137</v>
      </c>
      <c r="N290" s="31">
        <v>0</v>
      </c>
      <c r="P290" s="42" t="s">
        <v>369</v>
      </c>
      <c r="Q290" s="42" t="s">
        <v>370</v>
      </c>
      <c r="R290" s="43" t="s">
        <v>1050</v>
      </c>
      <c r="S290" s="44">
        <v>34</v>
      </c>
      <c r="T290" s="31">
        <v>51751528.518273741</v>
      </c>
      <c r="U290" s="31">
        <v>1469846.6</v>
      </c>
      <c r="V290" s="31">
        <v>555029.59000000008</v>
      </c>
      <c r="W290" s="31">
        <v>181473.69000000003</v>
      </c>
      <c r="X290" s="31">
        <v>5822573.0534187686</v>
      </c>
      <c r="Y290" s="31">
        <v>2092760.2425094801</v>
      </c>
      <c r="Z290" s="31">
        <v>2997618.61980044</v>
      </c>
      <c r="AA290" s="31">
        <f t="shared" si="21"/>
        <v>64870830.314002432</v>
      </c>
      <c r="AB290" s="31">
        <v>0</v>
      </c>
      <c r="AD290" s="42" t="s">
        <v>369</v>
      </c>
      <c r="AE290" s="42" t="s">
        <v>370</v>
      </c>
      <c r="AF290" s="43" t="s">
        <v>1275</v>
      </c>
      <c r="AG290" s="44">
        <v>34</v>
      </c>
      <c r="AH290" s="31">
        <v>52726869.628100738</v>
      </c>
      <c r="AI290" s="31">
        <v>1496799.1600000001</v>
      </c>
      <c r="AJ290" s="31">
        <v>565161.41</v>
      </c>
      <c r="AK290" s="31">
        <v>184903.45999999996</v>
      </c>
      <c r="AL290" s="31">
        <v>5930081.5077072466</v>
      </c>
      <c r="AM290" s="31">
        <v>2089807.0038067049</v>
      </c>
      <c r="AN290" s="31">
        <v>3052834.9150946359</v>
      </c>
      <c r="AO290" s="31">
        <f t="shared" si="22"/>
        <v>66046457.084709316</v>
      </c>
      <c r="AP290" s="31">
        <v>0</v>
      </c>
      <c r="AR290" s="42" t="s">
        <v>369</v>
      </c>
      <c r="AS290" s="42" t="s">
        <v>370</v>
      </c>
      <c r="AT290" s="43" t="s">
        <v>1276</v>
      </c>
      <c r="AU290" s="44">
        <v>34</v>
      </c>
      <c r="AV290" s="31">
        <v>53821939.158161521</v>
      </c>
      <c r="AW290" s="31">
        <v>1527268.0099999998</v>
      </c>
      <c r="AX290" s="31">
        <v>576702.76</v>
      </c>
      <c r="AY290" s="31">
        <v>188568.94</v>
      </c>
      <c r="AZ290" s="31">
        <v>6050982.3189439327</v>
      </c>
      <c r="BA290" s="31">
        <v>2089891.3820553559</v>
      </c>
      <c r="BB290" s="31">
        <v>3115047.6285778852</v>
      </c>
      <c r="BC290" s="31">
        <f t="shared" si="23"/>
        <v>67370400.197738692</v>
      </c>
      <c r="BD290" s="31">
        <v>0</v>
      </c>
    </row>
    <row r="291" spans="2:56">
      <c r="B291" s="42" t="s">
        <v>489</v>
      </c>
      <c r="C291" s="42" t="s">
        <v>490</v>
      </c>
      <c r="D291" s="43" t="s">
        <v>1049</v>
      </c>
      <c r="E291" s="44">
        <v>34</v>
      </c>
      <c r="F291" s="31">
        <v>10957750.718659814</v>
      </c>
      <c r="G291" s="31">
        <v>164873.09999999998</v>
      </c>
      <c r="H291" s="31">
        <v>0</v>
      </c>
      <c r="I291" s="31">
        <v>32448.43</v>
      </c>
      <c r="J291" s="31">
        <v>964206.36550334364</v>
      </c>
      <c r="K291" s="31">
        <v>989170.15045579593</v>
      </c>
      <c r="L291" s="31">
        <v>0</v>
      </c>
      <c r="M291" s="31">
        <f t="shared" si="20"/>
        <v>13182505.234618952</v>
      </c>
      <c r="N291" s="31">
        <v>74056.47</v>
      </c>
      <c r="P291" s="42" t="s">
        <v>489</v>
      </c>
      <c r="Q291" s="42" t="s">
        <v>490</v>
      </c>
      <c r="R291" s="43" t="s">
        <v>1050</v>
      </c>
      <c r="S291" s="44">
        <v>34</v>
      </c>
      <c r="T291" s="31">
        <v>11761510.515523413</v>
      </c>
      <c r="U291" s="31">
        <v>177640.66999999998</v>
      </c>
      <c r="V291" s="31">
        <v>0</v>
      </c>
      <c r="W291" s="31">
        <v>34762.17</v>
      </c>
      <c r="X291" s="31">
        <v>1026475.7640182729</v>
      </c>
      <c r="Y291" s="31">
        <v>990713.41707474506</v>
      </c>
      <c r="Z291" s="31">
        <v>0</v>
      </c>
      <c r="AA291" s="31">
        <f t="shared" si="21"/>
        <v>14069041.616616432</v>
      </c>
      <c r="AB291" s="31">
        <v>77939.08</v>
      </c>
      <c r="AD291" s="42" t="s">
        <v>489</v>
      </c>
      <c r="AE291" s="42" t="s">
        <v>490</v>
      </c>
      <c r="AF291" s="43" t="s">
        <v>1275</v>
      </c>
      <c r="AG291" s="44">
        <v>34</v>
      </c>
      <c r="AH291" s="31">
        <v>12047124.995763775</v>
      </c>
      <c r="AI291" s="31">
        <v>180826.50999999998</v>
      </c>
      <c r="AJ291" s="31">
        <v>0</v>
      </c>
      <c r="AK291" s="31">
        <v>35368.239999999998</v>
      </c>
      <c r="AL291" s="31">
        <v>1045326.9297998414</v>
      </c>
      <c r="AM291" s="31">
        <v>989540.95067285199</v>
      </c>
      <c r="AN291" s="31">
        <v>0</v>
      </c>
      <c r="AO291" s="31">
        <f t="shared" si="22"/>
        <v>14377607.996236468</v>
      </c>
      <c r="AP291" s="31">
        <v>79420.37</v>
      </c>
      <c r="AR291" s="42" t="s">
        <v>489</v>
      </c>
      <c r="AS291" s="42" t="s">
        <v>490</v>
      </c>
      <c r="AT291" s="43" t="s">
        <v>1276</v>
      </c>
      <c r="AU291" s="44">
        <v>34</v>
      </c>
      <c r="AV291" s="31">
        <v>12360060.888376161</v>
      </c>
      <c r="AW291" s="31">
        <v>184449.85999999993</v>
      </c>
      <c r="AX291" s="31">
        <v>0</v>
      </c>
      <c r="AY291" s="31">
        <v>36124.870000000003</v>
      </c>
      <c r="AZ291" s="31">
        <v>1066531.5872897732</v>
      </c>
      <c r="BA291" s="31">
        <v>989574.44971290592</v>
      </c>
      <c r="BB291" s="31">
        <v>0</v>
      </c>
      <c r="BC291" s="31">
        <f t="shared" si="23"/>
        <v>14717744.975378839</v>
      </c>
      <c r="BD291" s="31">
        <v>81003.319999999992</v>
      </c>
    </row>
    <row r="292" spans="2:56">
      <c r="B292" s="42" t="s">
        <v>55</v>
      </c>
      <c r="C292" s="42" t="s">
        <v>56</v>
      </c>
      <c r="D292" s="43" t="s">
        <v>1049</v>
      </c>
      <c r="E292" s="44">
        <v>34</v>
      </c>
      <c r="F292" s="31">
        <v>179097181.73458564</v>
      </c>
      <c r="G292" s="31">
        <v>6821179.2699999996</v>
      </c>
      <c r="H292" s="31">
        <v>4827008.8100000005</v>
      </c>
      <c r="I292" s="31">
        <v>633566.71999999997</v>
      </c>
      <c r="J292" s="31">
        <v>27866759.31251619</v>
      </c>
      <c r="K292" s="31">
        <v>10638587.344901018</v>
      </c>
      <c r="L292" s="31">
        <v>15111380.051453874</v>
      </c>
      <c r="M292" s="31">
        <f t="shared" si="20"/>
        <v>248759203.41345671</v>
      </c>
      <c r="N292" s="31">
        <v>3763540.17</v>
      </c>
      <c r="P292" s="42" t="s">
        <v>55</v>
      </c>
      <c r="Q292" s="42" t="s">
        <v>56</v>
      </c>
      <c r="R292" s="43" t="s">
        <v>1050</v>
      </c>
      <c r="S292" s="44">
        <v>34</v>
      </c>
      <c r="T292" s="31">
        <v>191612427.30314541</v>
      </c>
      <c r="U292" s="31">
        <v>7356982.0999999978</v>
      </c>
      <c r="V292" s="31">
        <v>5163537.91</v>
      </c>
      <c r="W292" s="31">
        <v>677717.08000000007</v>
      </c>
      <c r="X292" s="31">
        <v>29661615.990187477</v>
      </c>
      <c r="Y292" s="31">
        <v>10662747.510289701</v>
      </c>
      <c r="Z292" s="31">
        <v>16115875.724683585</v>
      </c>
      <c r="AA292" s="31">
        <f t="shared" si="21"/>
        <v>265216766.36830616</v>
      </c>
      <c r="AB292" s="31">
        <v>3965862.75</v>
      </c>
      <c r="AD292" s="42" t="s">
        <v>55</v>
      </c>
      <c r="AE292" s="42" t="s">
        <v>56</v>
      </c>
      <c r="AF292" s="43" t="s">
        <v>1275</v>
      </c>
      <c r="AG292" s="44">
        <v>34</v>
      </c>
      <c r="AH292" s="31">
        <v>195267160.75919405</v>
      </c>
      <c r="AI292" s="31">
        <v>7490860.0700000022</v>
      </c>
      <c r="AJ292" s="31">
        <v>5258201.1900000004</v>
      </c>
      <c r="AK292" s="31">
        <v>690061.08999999985</v>
      </c>
      <c r="AL292" s="31">
        <v>30207983.062232155</v>
      </c>
      <c r="AM292" s="31">
        <v>10644190.87553185</v>
      </c>
      <c r="AN292" s="31">
        <v>16412986.035816139</v>
      </c>
      <c r="AO292" s="31">
        <f t="shared" si="22"/>
        <v>270010905.11277419</v>
      </c>
      <c r="AP292" s="31">
        <v>4039462.03</v>
      </c>
      <c r="AR292" s="42" t="s">
        <v>55</v>
      </c>
      <c r="AS292" s="42" t="s">
        <v>56</v>
      </c>
      <c r="AT292" s="43" t="s">
        <v>1276</v>
      </c>
      <c r="AU292" s="44">
        <v>34</v>
      </c>
      <c r="AV292" s="31">
        <v>199363191.66689605</v>
      </c>
      <c r="AW292" s="31">
        <v>7641466.1799999978</v>
      </c>
      <c r="AX292" s="31">
        <v>5364429.8500000006</v>
      </c>
      <c r="AY292" s="31">
        <v>704058.77999999991</v>
      </c>
      <c r="AZ292" s="31">
        <v>30822499.250355873</v>
      </c>
      <c r="BA292" s="31">
        <v>10644721.065096362</v>
      </c>
      <c r="BB292" s="31">
        <v>16747494.737992451</v>
      </c>
      <c r="BC292" s="31">
        <f t="shared" si="23"/>
        <v>275409949.77034074</v>
      </c>
      <c r="BD292" s="31">
        <v>4122088.24</v>
      </c>
    </row>
    <row r="293" spans="2:56">
      <c r="B293" s="42" t="s">
        <v>193</v>
      </c>
      <c r="C293" s="42" t="s">
        <v>194</v>
      </c>
      <c r="D293" s="43" t="s">
        <v>1049</v>
      </c>
      <c r="E293" s="44">
        <v>34</v>
      </c>
      <c r="F293" s="31">
        <v>12472692.103237871</v>
      </c>
      <c r="G293" s="31">
        <v>237720.89999999997</v>
      </c>
      <c r="H293" s="31">
        <v>125757.15000000001</v>
      </c>
      <c r="I293" s="31">
        <v>46013.97</v>
      </c>
      <c r="J293" s="31">
        <v>1662721.4245707518</v>
      </c>
      <c r="K293" s="31">
        <v>966538.69088040106</v>
      </c>
      <c r="L293" s="31">
        <v>1137991.4381617596</v>
      </c>
      <c r="M293" s="31">
        <f t="shared" si="20"/>
        <v>16661720.436850784</v>
      </c>
      <c r="N293" s="31">
        <v>12284.76</v>
      </c>
      <c r="P293" s="42" t="s">
        <v>193</v>
      </c>
      <c r="Q293" s="42" t="s">
        <v>194</v>
      </c>
      <c r="R293" s="43" t="s">
        <v>1050</v>
      </c>
      <c r="S293" s="44">
        <v>34</v>
      </c>
      <c r="T293" s="31">
        <v>13343898.26209884</v>
      </c>
      <c r="U293" s="31">
        <v>254422.57000000004</v>
      </c>
      <c r="V293" s="31">
        <v>134513.31</v>
      </c>
      <c r="W293" s="31">
        <v>49195.389999999992</v>
      </c>
      <c r="X293" s="31">
        <v>1769702.8490045201</v>
      </c>
      <c r="Y293" s="31">
        <v>969061.08800960938</v>
      </c>
      <c r="Z293" s="31">
        <v>1213607.1006179668</v>
      </c>
      <c r="AA293" s="31">
        <f t="shared" si="21"/>
        <v>17747399.159730937</v>
      </c>
      <c r="AB293" s="31">
        <v>12998.589999999998</v>
      </c>
      <c r="AD293" s="42" t="s">
        <v>193</v>
      </c>
      <c r="AE293" s="42" t="s">
        <v>194</v>
      </c>
      <c r="AF293" s="43" t="s">
        <v>1275</v>
      </c>
      <c r="AG293" s="44">
        <v>34</v>
      </c>
      <c r="AH293" s="31">
        <v>13602992.102555078</v>
      </c>
      <c r="AI293" s="31">
        <v>259032.02</v>
      </c>
      <c r="AJ293" s="31">
        <v>136890.12999999998</v>
      </c>
      <c r="AK293" s="31">
        <v>50064.659999999996</v>
      </c>
      <c r="AL293" s="31">
        <v>1802475.2422626512</v>
      </c>
      <c r="AM293" s="31">
        <v>967104.09942221479</v>
      </c>
      <c r="AN293" s="31">
        <v>1236118.2171237438</v>
      </c>
      <c r="AO293" s="31">
        <f t="shared" si="22"/>
        <v>18067907.571363691</v>
      </c>
      <c r="AP293" s="31">
        <v>13231.1</v>
      </c>
      <c r="AR293" s="42" t="s">
        <v>193</v>
      </c>
      <c r="AS293" s="42" t="s">
        <v>194</v>
      </c>
      <c r="AT293" s="43" t="s">
        <v>1276</v>
      </c>
      <c r="AU293" s="44">
        <v>34</v>
      </c>
      <c r="AV293" s="31">
        <v>13893379.848083971</v>
      </c>
      <c r="AW293" s="31">
        <v>264321.44</v>
      </c>
      <c r="AX293" s="31">
        <v>139673.43</v>
      </c>
      <c r="AY293" s="31">
        <v>51114.529999999992</v>
      </c>
      <c r="AZ293" s="31">
        <v>1839321.6786978373</v>
      </c>
      <c r="BA293" s="31">
        <v>967160.01338185475</v>
      </c>
      <c r="BB293" s="31">
        <v>1261436.1549973737</v>
      </c>
      <c r="BC293" s="31">
        <f t="shared" si="23"/>
        <v>18429887.205161035</v>
      </c>
      <c r="BD293" s="31">
        <v>13480.109999999999</v>
      </c>
    </row>
    <row r="294" spans="2:56">
      <c r="B294" s="42" t="s">
        <v>1024</v>
      </c>
      <c r="C294" s="42" t="s">
        <v>1044</v>
      </c>
      <c r="D294" s="43" t="s">
        <v>1049</v>
      </c>
      <c r="E294" s="44">
        <v>34</v>
      </c>
      <c r="F294" s="31">
        <v>1143193.3727090994</v>
      </c>
      <c r="G294" s="31">
        <v>80302.2</v>
      </c>
      <c r="H294" s="31">
        <v>0</v>
      </c>
      <c r="I294" s="31">
        <v>0</v>
      </c>
      <c r="J294" s="31">
        <v>153391.91466490593</v>
      </c>
      <c r="K294" s="31">
        <v>146487.5</v>
      </c>
      <c r="L294" s="31">
        <v>0</v>
      </c>
      <c r="M294" s="31">
        <f t="shared" si="20"/>
        <v>1560096.0973740055</v>
      </c>
      <c r="N294" s="31">
        <v>36721.11</v>
      </c>
      <c r="P294" s="42" t="s">
        <v>1024</v>
      </c>
      <c r="Q294" s="42" t="s">
        <v>1044</v>
      </c>
      <c r="R294" s="43" t="s">
        <v>1050</v>
      </c>
      <c r="S294" s="44">
        <v>34</v>
      </c>
      <c r="T294" s="31">
        <v>1231877.9345153023</v>
      </c>
      <c r="U294" s="31">
        <v>85790.420000000013</v>
      </c>
      <c r="V294" s="31">
        <v>0</v>
      </c>
      <c r="W294" s="31">
        <v>0</v>
      </c>
      <c r="X294" s="31">
        <v>162107.47465931487</v>
      </c>
      <c r="Y294" s="31">
        <v>146487.5</v>
      </c>
      <c r="Z294" s="31">
        <v>0</v>
      </c>
      <c r="AA294" s="31">
        <f t="shared" si="21"/>
        <v>1664645.3591746171</v>
      </c>
      <c r="AB294" s="31">
        <v>38382.03</v>
      </c>
      <c r="AD294" s="42" t="s">
        <v>1024</v>
      </c>
      <c r="AE294" s="42" t="s">
        <v>1044</v>
      </c>
      <c r="AF294" s="43" t="s">
        <v>1275</v>
      </c>
      <c r="AG294" s="44">
        <v>34</v>
      </c>
      <c r="AH294" s="31">
        <v>1254288.775284579</v>
      </c>
      <c r="AI294" s="31">
        <v>87391.060000000012</v>
      </c>
      <c r="AJ294" s="31">
        <v>0</v>
      </c>
      <c r="AK294" s="31">
        <v>0</v>
      </c>
      <c r="AL294" s="31">
        <v>165076.4188445895</v>
      </c>
      <c r="AM294" s="31">
        <v>146487.5</v>
      </c>
      <c r="AN294" s="31">
        <v>0</v>
      </c>
      <c r="AO294" s="31">
        <f t="shared" si="22"/>
        <v>1692306.3041291686</v>
      </c>
      <c r="AP294" s="31">
        <v>39062.550000000003</v>
      </c>
      <c r="AR294" s="42" t="s">
        <v>1024</v>
      </c>
      <c r="AS294" s="42" t="s">
        <v>1044</v>
      </c>
      <c r="AT294" s="43" t="s">
        <v>1276</v>
      </c>
      <c r="AU294" s="44">
        <v>34</v>
      </c>
      <c r="AV294" s="31">
        <v>1279636.5044846493</v>
      </c>
      <c r="AW294" s="31">
        <v>89101.6</v>
      </c>
      <c r="AX294" s="31">
        <v>0</v>
      </c>
      <c r="AY294" s="31">
        <v>0</v>
      </c>
      <c r="AZ294" s="31">
        <v>168434.34672068912</v>
      </c>
      <c r="BA294" s="31">
        <v>146487.5</v>
      </c>
      <c r="BB294" s="31">
        <v>0</v>
      </c>
      <c r="BC294" s="31">
        <f t="shared" si="23"/>
        <v>1723451.3312053385</v>
      </c>
      <c r="BD294" s="31">
        <v>39791.379999999997</v>
      </c>
    </row>
    <row r="295" spans="2:56">
      <c r="B295" s="42" t="s">
        <v>523</v>
      </c>
      <c r="C295" s="42" t="s">
        <v>524</v>
      </c>
      <c r="D295" s="43" t="s">
        <v>1049</v>
      </c>
      <c r="E295" s="44">
        <v>34</v>
      </c>
      <c r="F295" s="31">
        <v>4240471.8246802147</v>
      </c>
      <c r="G295" s="31">
        <v>188952.34000000003</v>
      </c>
      <c r="H295" s="31">
        <v>0</v>
      </c>
      <c r="I295" s="31">
        <v>0</v>
      </c>
      <c r="J295" s="31">
        <v>577579.01062242058</v>
      </c>
      <c r="K295" s="31">
        <v>342388.08050716663</v>
      </c>
      <c r="L295" s="31">
        <v>231626.73305109574</v>
      </c>
      <c r="M295" s="31">
        <f t="shared" si="20"/>
        <v>5717713.3288608976</v>
      </c>
      <c r="N295" s="31">
        <v>136695.33999999997</v>
      </c>
      <c r="P295" s="42" t="s">
        <v>523</v>
      </c>
      <c r="Q295" s="42" t="s">
        <v>524</v>
      </c>
      <c r="R295" s="43" t="s">
        <v>1050</v>
      </c>
      <c r="S295" s="44">
        <v>34</v>
      </c>
      <c r="T295" s="31">
        <v>4566442.7303033546</v>
      </c>
      <c r="U295" s="31">
        <v>204349.63</v>
      </c>
      <c r="V295" s="31">
        <v>0</v>
      </c>
      <c r="W295" s="31">
        <v>0</v>
      </c>
      <c r="X295" s="31">
        <v>614834.9737750839</v>
      </c>
      <c r="Y295" s="31">
        <v>343170.87667117285</v>
      </c>
      <c r="Z295" s="31">
        <v>249411.66845902766</v>
      </c>
      <c r="AA295" s="31">
        <f t="shared" si="21"/>
        <v>6122276.559208639</v>
      </c>
      <c r="AB295" s="31">
        <v>144066.68</v>
      </c>
      <c r="AD295" s="42" t="s">
        <v>523</v>
      </c>
      <c r="AE295" s="42" t="s">
        <v>524</v>
      </c>
      <c r="AF295" s="43" t="s">
        <v>1275</v>
      </c>
      <c r="AG295" s="44">
        <v>34</v>
      </c>
      <c r="AH295" s="31">
        <v>4651335.224873513</v>
      </c>
      <c r="AI295" s="31">
        <v>208116.53999999998</v>
      </c>
      <c r="AJ295" s="31">
        <v>0</v>
      </c>
      <c r="AK295" s="31">
        <v>0</v>
      </c>
      <c r="AL295" s="31">
        <v>626135.27884756227</v>
      </c>
      <c r="AM295" s="31">
        <v>342576.16271147283</v>
      </c>
      <c r="AN295" s="31">
        <v>253954.39838229999</v>
      </c>
      <c r="AO295" s="31">
        <f t="shared" si="22"/>
        <v>6228848.9448148478</v>
      </c>
      <c r="AP295" s="31">
        <v>146731.34000000003</v>
      </c>
      <c r="AR295" s="42" t="s">
        <v>523</v>
      </c>
      <c r="AS295" s="42" t="s">
        <v>524</v>
      </c>
      <c r="AT295" s="43" t="s">
        <v>1276</v>
      </c>
      <c r="AU295" s="44">
        <v>34</v>
      </c>
      <c r="AV295" s="31">
        <v>4745624.1988610364</v>
      </c>
      <c r="AW295" s="31">
        <v>212256.28000000003</v>
      </c>
      <c r="AX295" s="31">
        <v>0</v>
      </c>
      <c r="AY295" s="31">
        <v>0</v>
      </c>
      <c r="AZ295" s="31">
        <v>638849.18741490622</v>
      </c>
      <c r="BA295" s="31">
        <v>342593.15453889285</v>
      </c>
      <c r="BB295" s="31">
        <v>259204.4453923681</v>
      </c>
      <c r="BC295" s="31">
        <f t="shared" si="23"/>
        <v>6348218.5062072044</v>
      </c>
      <c r="BD295" s="31">
        <v>149691.24</v>
      </c>
    </row>
    <row r="296" spans="2:56">
      <c r="B296" s="42" t="s">
        <v>121</v>
      </c>
      <c r="C296" s="42" t="s">
        <v>122</v>
      </c>
      <c r="D296" s="43" t="s">
        <v>1049</v>
      </c>
      <c r="E296" s="44">
        <v>34</v>
      </c>
      <c r="F296" s="31">
        <v>17909774.610841364</v>
      </c>
      <c r="G296" s="31">
        <v>1448583.6499999994</v>
      </c>
      <c r="H296" s="31">
        <v>1897697.1800000002</v>
      </c>
      <c r="I296" s="31">
        <v>67332.94</v>
      </c>
      <c r="J296" s="31">
        <v>2756880.9249971621</v>
      </c>
      <c r="K296" s="31">
        <v>1244300.079216785</v>
      </c>
      <c r="L296" s="31">
        <v>2428360.5454441784</v>
      </c>
      <c r="M296" s="31">
        <f t="shared" si="20"/>
        <v>28454030.38049949</v>
      </c>
      <c r="N296" s="31">
        <v>701100.45000000007</v>
      </c>
      <c r="P296" s="42" t="s">
        <v>121</v>
      </c>
      <c r="Q296" s="42" t="s">
        <v>122</v>
      </c>
      <c r="R296" s="43" t="s">
        <v>1050</v>
      </c>
      <c r="S296" s="44">
        <v>34</v>
      </c>
      <c r="T296" s="31">
        <v>19405388.200752191</v>
      </c>
      <c r="U296" s="31">
        <v>1561895.43</v>
      </c>
      <c r="V296" s="31">
        <v>2030836.7899999998</v>
      </c>
      <c r="W296" s="31">
        <v>72014.760000000009</v>
      </c>
      <c r="X296" s="31">
        <v>2934804.8385960273</v>
      </c>
      <c r="Y296" s="31">
        <v>1247253.9905212794</v>
      </c>
      <c r="Z296" s="31">
        <v>2615353.1194924628</v>
      </c>
      <c r="AA296" s="31">
        <f t="shared" si="21"/>
        <v>30606180.59936196</v>
      </c>
      <c r="AB296" s="31">
        <v>738633.47</v>
      </c>
      <c r="AD296" s="42" t="s">
        <v>121</v>
      </c>
      <c r="AE296" s="42" t="s">
        <v>122</v>
      </c>
      <c r="AF296" s="43" t="s">
        <v>1275</v>
      </c>
      <c r="AG296" s="44">
        <v>34</v>
      </c>
      <c r="AH296" s="31">
        <v>19772254.830138672</v>
      </c>
      <c r="AI296" s="31">
        <v>1590121.02</v>
      </c>
      <c r="AJ296" s="31">
        <v>2067722.1600000001</v>
      </c>
      <c r="AK296" s="31">
        <v>73375.899999999994</v>
      </c>
      <c r="AL296" s="31">
        <v>2988590.5773444031</v>
      </c>
      <c r="AM296" s="31">
        <v>1245009.8146179279</v>
      </c>
      <c r="AN296" s="31">
        <v>2663638.3007004289</v>
      </c>
      <c r="AO296" s="31">
        <f t="shared" si="22"/>
        <v>31152919.07280143</v>
      </c>
      <c r="AP296" s="31">
        <v>752206.4700000002</v>
      </c>
      <c r="AR296" s="42" t="s">
        <v>121</v>
      </c>
      <c r="AS296" s="42" t="s">
        <v>122</v>
      </c>
      <c r="AT296" s="43" t="s">
        <v>1276</v>
      </c>
      <c r="AU296" s="44">
        <v>34</v>
      </c>
      <c r="AV296" s="31">
        <v>20184466.369564094</v>
      </c>
      <c r="AW296" s="31">
        <v>1621935.9599999997</v>
      </c>
      <c r="AX296" s="31">
        <v>2109433.54</v>
      </c>
      <c r="AY296" s="31">
        <v>74830.06</v>
      </c>
      <c r="AZ296" s="31">
        <v>3049092.6238049096</v>
      </c>
      <c r="BA296" s="31">
        <v>1245073.9339294522</v>
      </c>
      <c r="BB296" s="31">
        <v>2717587.8266821322</v>
      </c>
      <c r="BC296" s="31">
        <f t="shared" si="23"/>
        <v>31769993.033980582</v>
      </c>
      <c r="BD296" s="31">
        <v>767572.72</v>
      </c>
    </row>
    <row r="297" spans="2:56">
      <c r="B297" s="42" t="s">
        <v>535</v>
      </c>
      <c r="C297" s="42" t="s">
        <v>536</v>
      </c>
      <c r="D297" s="43" t="s">
        <v>1049</v>
      </c>
      <c r="E297" s="44">
        <v>34</v>
      </c>
      <c r="F297" s="31">
        <v>2943522.5446933853</v>
      </c>
      <c r="G297" s="31">
        <v>92668.039999999979</v>
      </c>
      <c r="H297" s="31">
        <v>0</v>
      </c>
      <c r="I297" s="31">
        <v>0</v>
      </c>
      <c r="J297" s="31">
        <v>222056.15772976269</v>
      </c>
      <c r="K297" s="31">
        <v>146130.77391307594</v>
      </c>
      <c r="L297" s="31">
        <v>131111.87206232833</v>
      </c>
      <c r="M297" s="31">
        <f t="shared" si="20"/>
        <v>3611787.0483985525</v>
      </c>
      <c r="N297" s="31">
        <v>76297.66</v>
      </c>
      <c r="P297" s="42" t="s">
        <v>535</v>
      </c>
      <c r="Q297" s="42" t="s">
        <v>536</v>
      </c>
      <c r="R297" s="43" t="s">
        <v>1050</v>
      </c>
      <c r="S297" s="44">
        <v>34</v>
      </c>
      <c r="T297" s="31">
        <v>3162624.4587075249</v>
      </c>
      <c r="U297" s="31">
        <v>100476.40000000002</v>
      </c>
      <c r="V297" s="31">
        <v>0</v>
      </c>
      <c r="W297" s="31">
        <v>0</v>
      </c>
      <c r="X297" s="31">
        <v>236390.34962562096</v>
      </c>
      <c r="Y297" s="31">
        <v>146408.35900296533</v>
      </c>
      <c r="Z297" s="31">
        <v>141204.22890501071</v>
      </c>
      <c r="AA297" s="31">
        <f t="shared" si="21"/>
        <v>3867494.4162411219</v>
      </c>
      <c r="AB297" s="31">
        <v>80390.62</v>
      </c>
      <c r="AD297" s="42" t="s">
        <v>535</v>
      </c>
      <c r="AE297" s="42" t="s">
        <v>536</v>
      </c>
      <c r="AF297" s="43" t="s">
        <v>1275</v>
      </c>
      <c r="AG297" s="44">
        <v>34</v>
      </c>
      <c r="AH297" s="31">
        <v>3219419.251480802</v>
      </c>
      <c r="AI297" s="31">
        <v>102316.31</v>
      </c>
      <c r="AJ297" s="31">
        <v>0</v>
      </c>
      <c r="AK297" s="31">
        <v>0</v>
      </c>
      <c r="AL297" s="31">
        <v>240722.34388047759</v>
      </c>
      <c r="AM297" s="31">
        <v>146197.46920105707</v>
      </c>
      <c r="AN297" s="31">
        <v>143789.31182693935</v>
      </c>
      <c r="AO297" s="31">
        <f t="shared" si="22"/>
        <v>3934359.9363892763</v>
      </c>
      <c r="AP297" s="31">
        <v>81915.25</v>
      </c>
      <c r="AR297" s="42" t="s">
        <v>535</v>
      </c>
      <c r="AS297" s="42" t="s">
        <v>536</v>
      </c>
      <c r="AT297" s="43" t="s">
        <v>1276</v>
      </c>
      <c r="AU297" s="44">
        <v>34</v>
      </c>
      <c r="AV297" s="31">
        <v>3282686.915881346</v>
      </c>
      <c r="AW297" s="31">
        <v>104283.16000000002</v>
      </c>
      <c r="AX297" s="31">
        <v>0</v>
      </c>
      <c r="AY297" s="31">
        <v>0</v>
      </c>
      <c r="AZ297" s="31">
        <v>245600.70691552921</v>
      </c>
      <c r="BA297" s="31">
        <v>146203.49462396876</v>
      </c>
      <c r="BB297" s="31">
        <v>146795.75670926031</v>
      </c>
      <c r="BC297" s="31">
        <f t="shared" si="23"/>
        <v>4009114.6341301049</v>
      </c>
      <c r="BD297" s="31">
        <v>83544.599999999991</v>
      </c>
    </row>
    <row r="298" spans="2:56">
      <c r="B298" s="42" t="s">
        <v>527</v>
      </c>
      <c r="C298" s="42" t="s">
        <v>528</v>
      </c>
      <c r="D298" s="43" t="s">
        <v>1049</v>
      </c>
      <c r="E298" s="44">
        <v>34</v>
      </c>
      <c r="F298" s="31">
        <v>44707368.35328044</v>
      </c>
      <c r="G298" s="31">
        <v>1961048.5899999994</v>
      </c>
      <c r="H298" s="31">
        <v>1244986.9200000002</v>
      </c>
      <c r="I298" s="31">
        <v>159192.07999999999</v>
      </c>
      <c r="J298" s="31">
        <v>6935711.3390098158</v>
      </c>
      <c r="K298" s="31">
        <v>1683763.6898272519</v>
      </c>
      <c r="L298" s="31">
        <v>4201982.771805685</v>
      </c>
      <c r="M298" s="31">
        <f t="shared" si="20"/>
        <v>61695159.093923189</v>
      </c>
      <c r="N298" s="31">
        <v>801105.35000000009</v>
      </c>
      <c r="P298" s="42" t="s">
        <v>527</v>
      </c>
      <c r="Q298" s="42" t="s">
        <v>528</v>
      </c>
      <c r="R298" s="43" t="s">
        <v>1050</v>
      </c>
      <c r="S298" s="44">
        <v>34</v>
      </c>
      <c r="T298" s="31">
        <v>48312159.375230603</v>
      </c>
      <c r="U298" s="31">
        <v>2111109.0500000003</v>
      </c>
      <c r="V298" s="31">
        <v>1332123.1499999999</v>
      </c>
      <c r="W298" s="31">
        <v>170234.23</v>
      </c>
      <c r="X298" s="31">
        <v>7382908.2449984038</v>
      </c>
      <c r="Y298" s="31">
        <v>1685959.6866724326</v>
      </c>
      <c r="Z298" s="31">
        <v>4524744.5211076271</v>
      </c>
      <c r="AA298" s="31">
        <f t="shared" si="21"/>
        <v>66363223.668009058</v>
      </c>
      <c r="AB298" s="31">
        <v>843985.41</v>
      </c>
      <c r="AD298" s="42" t="s">
        <v>527</v>
      </c>
      <c r="AE298" s="42" t="s">
        <v>528</v>
      </c>
      <c r="AF298" s="43" t="s">
        <v>1275</v>
      </c>
      <c r="AG298" s="44">
        <v>34</v>
      </c>
      <c r="AH298" s="31">
        <v>49240806.855261371</v>
      </c>
      <c r="AI298" s="31">
        <v>2149437.8199999994</v>
      </c>
      <c r="AJ298" s="31">
        <v>1356334.17</v>
      </c>
      <c r="AK298" s="31">
        <v>173435.05</v>
      </c>
      <c r="AL298" s="31">
        <v>7518562.3594833268</v>
      </c>
      <c r="AM298" s="31">
        <v>1684291.321343964</v>
      </c>
      <c r="AN298" s="31">
        <v>4608111.9366320176</v>
      </c>
      <c r="AO298" s="31">
        <f t="shared" si="22"/>
        <v>67590590.52272068</v>
      </c>
      <c r="AP298" s="31">
        <v>859611.01</v>
      </c>
      <c r="AR298" s="42" t="s">
        <v>527</v>
      </c>
      <c r="AS298" s="42" t="s">
        <v>528</v>
      </c>
      <c r="AT298" s="43" t="s">
        <v>1276</v>
      </c>
      <c r="AU298" s="44">
        <v>34</v>
      </c>
      <c r="AV298" s="31">
        <v>50282071.531547405</v>
      </c>
      <c r="AW298" s="31">
        <v>2192674.21</v>
      </c>
      <c r="AX298" s="31">
        <v>1383681.2300000002</v>
      </c>
      <c r="AY298" s="31">
        <v>176855.64</v>
      </c>
      <c r="AZ298" s="31">
        <v>7671188.8251556586</v>
      </c>
      <c r="BA298" s="31">
        <v>1684338.9889247774</v>
      </c>
      <c r="BB298" s="31">
        <v>4701730.7627154067</v>
      </c>
      <c r="BC298" s="31">
        <f t="shared" si="23"/>
        <v>68969742.75834325</v>
      </c>
      <c r="BD298" s="31">
        <v>877201.57</v>
      </c>
    </row>
    <row r="299" spans="2:56">
      <c r="B299" s="42" t="s">
        <v>605</v>
      </c>
      <c r="C299" s="42" t="s">
        <v>606</v>
      </c>
      <c r="D299" s="43" t="s">
        <v>1049</v>
      </c>
      <c r="E299" s="44">
        <v>34</v>
      </c>
      <c r="F299" s="31">
        <v>23837920.896119941</v>
      </c>
      <c r="G299" s="31">
        <v>1732629.2</v>
      </c>
      <c r="H299" s="31">
        <v>1648925.8800000001</v>
      </c>
      <c r="I299" s="31">
        <v>85749.610000000015</v>
      </c>
      <c r="J299" s="31">
        <v>3575710.517867256</v>
      </c>
      <c r="K299" s="31">
        <v>1704815.0473985041</v>
      </c>
      <c r="L299" s="31">
        <v>2786180.7617077222</v>
      </c>
      <c r="M299" s="31">
        <f t="shared" si="20"/>
        <v>36270841.113093421</v>
      </c>
      <c r="N299" s="31">
        <v>898909.2</v>
      </c>
      <c r="P299" s="42" t="s">
        <v>605</v>
      </c>
      <c r="Q299" s="42" t="s">
        <v>606</v>
      </c>
      <c r="R299" s="43" t="s">
        <v>1050</v>
      </c>
      <c r="S299" s="44">
        <v>34</v>
      </c>
      <c r="T299" s="31">
        <v>25778360.021789923</v>
      </c>
      <c r="U299" s="31">
        <v>1869238.42</v>
      </c>
      <c r="V299" s="31">
        <v>1764568.98</v>
      </c>
      <c r="W299" s="31">
        <v>91834.37999999999</v>
      </c>
      <c r="X299" s="31">
        <v>3806441.0724905478</v>
      </c>
      <c r="Y299" s="31">
        <v>1708737.6355501141</v>
      </c>
      <c r="Z299" s="31">
        <v>3000494.9514044411</v>
      </c>
      <c r="AA299" s="31">
        <f t="shared" si="21"/>
        <v>38966691.191235028</v>
      </c>
      <c r="AB299" s="31">
        <v>947015.73</v>
      </c>
      <c r="AD299" s="42" t="s">
        <v>605</v>
      </c>
      <c r="AE299" s="42" t="s">
        <v>606</v>
      </c>
      <c r="AF299" s="43" t="s">
        <v>1275</v>
      </c>
      <c r="AG299" s="44">
        <v>34</v>
      </c>
      <c r="AH299" s="31">
        <v>26254045.090011038</v>
      </c>
      <c r="AI299" s="31">
        <v>1902985.79</v>
      </c>
      <c r="AJ299" s="31">
        <v>1796600.87</v>
      </c>
      <c r="AK299" s="31">
        <v>93435.49</v>
      </c>
      <c r="AL299" s="31">
        <v>3876184.5832530139</v>
      </c>
      <c r="AM299" s="31">
        <v>1705757.5265010644</v>
      </c>
      <c r="AN299" s="31">
        <v>3055542.5830376958</v>
      </c>
      <c r="AO299" s="31">
        <f t="shared" si="22"/>
        <v>39648927.212802812</v>
      </c>
      <c r="AP299" s="31">
        <v>964375.28000000014</v>
      </c>
      <c r="AR299" s="42" t="s">
        <v>605</v>
      </c>
      <c r="AS299" s="42" t="s">
        <v>606</v>
      </c>
      <c r="AT299" s="43" t="s">
        <v>1276</v>
      </c>
      <c r="AU299" s="44">
        <v>34</v>
      </c>
      <c r="AV299" s="31">
        <v>26788717.616408776</v>
      </c>
      <c r="AW299" s="31">
        <v>1941033.0200000005</v>
      </c>
      <c r="AX299" s="31">
        <v>1832906.3800000001</v>
      </c>
      <c r="AY299" s="31">
        <v>95365.32</v>
      </c>
      <c r="AZ299" s="31">
        <v>3954644.1211167788</v>
      </c>
      <c r="BA299" s="31">
        <v>1705842.6724738942</v>
      </c>
      <c r="BB299" s="31">
        <v>3117867.9847286604</v>
      </c>
      <c r="BC299" s="31">
        <f t="shared" si="23"/>
        <v>40420382.264728107</v>
      </c>
      <c r="BD299" s="31">
        <v>984005.15</v>
      </c>
    </row>
    <row r="300" spans="2:56">
      <c r="B300" s="42" t="s">
        <v>125</v>
      </c>
      <c r="C300" s="42" t="s">
        <v>126</v>
      </c>
      <c r="D300" s="43" t="s">
        <v>1049</v>
      </c>
      <c r="E300" s="44">
        <v>34</v>
      </c>
      <c r="F300" s="31">
        <v>7137822.105181613</v>
      </c>
      <c r="G300" s="31">
        <v>471622.82000000007</v>
      </c>
      <c r="H300" s="31">
        <v>375154.5</v>
      </c>
      <c r="I300" s="31">
        <v>24847.89</v>
      </c>
      <c r="J300" s="31">
        <v>1106431.2426925588</v>
      </c>
      <c r="K300" s="31">
        <v>394530.03798862337</v>
      </c>
      <c r="L300" s="31">
        <v>509592.77930813289</v>
      </c>
      <c r="M300" s="31">
        <f t="shared" si="20"/>
        <v>10277834.835170928</v>
      </c>
      <c r="N300" s="31">
        <v>257833.45999999996</v>
      </c>
      <c r="P300" s="42" t="s">
        <v>125</v>
      </c>
      <c r="Q300" s="42" t="s">
        <v>126</v>
      </c>
      <c r="R300" s="43" t="s">
        <v>1050</v>
      </c>
      <c r="S300" s="44">
        <v>34</v>
      </c>
      <c r="T300" s="31">
        <v>7709610.6529682353</v>
      </c>
      <c r="U300" s="31">
        <v>508928.29000000004</v>
      </c>
      <c r="V300" s="31">
        <v>401477.06000000006</v>
      </c>
      <c r="W300" s="31">
        <v>26564.52</v>
      </c>
      <c r="X300" s="31">
        <v>1177844.8354997619</v>
      </c>
      <c r="Y300" s="31">
        <v>395455.89086899051</v>
      </c>
      <c r="Z300" s="31">
        <v>548993.99608905311</v>
      </c>
      <c r="AA300" s="31">
        <f t="shared" si="21"/>
        <v>11040487.245426038</v>
      </c>
      <c r="AB300" s="31">
        <v>271612</v>
      </c>
      <c r="AD300" s="42" t="s">
        <v>125</v>
      </c>
      <c r="AE300" s="42" t="s">
        <v>126</v>
      </c>
      <c r="AF300" s="43" t="s">
        <v>1275</v>
      </c>
      <c r="AG300" s="44">
        <v>34</v>
      </c>
      <c r="AH300" s="31">
        <v>7851702.6187211825</v>
      </c>
      <c r="AI300" s="31">
        <v>518162.46999999991</v>
      </c>
      <c r="AJ300" s="31">
        <v>408687.91000000003</v>
      </c>
      <c r="AK300" s="31">
        <v>27133.260000000002</v>
      </c>
      <c r="AL300" s="31">
        <v>1199431.5363750784</v>
      </c>
      <c r="AM300" s="31">
        <v>394752.49238813331</v>
      </c>
      <c r="AN300" s="31">
        <v>559126.08408495865</v>
      </c>
      <c r="AO300" s="31">
        <f t="shared" si="22"/>
        <v>11235616.261569351</v>
      </c>
      <c r="AP300" s="31">
        <v>276619.88999999996</v>
      </c>
      <c r="AR300" s="42" t="s">
        <v>125</v>
      </c>
      <c r="AS300" s="42" t="s">
        <v>126</v>
      </c>
      <c r="AT300" s="43" t="s">
        <v>1276</v>
      </c>
      <c r="AU300" s="44">
        <v>34</v>
      </c>
      <c r="AV300" s="31">
        <v>8010313.1302234884</v>
      </c>
      <c r="AW300" s="31">
        <v>528470.89999999991</v>
      </c>
      <c r="AX300" s="31">
        <v>416941.04</v>
      </c>
      <c r="AY300" s="31">
        <v>27631.23</v>
      </c>
      <c r="AZ300" s="31">
        <v>1223700.9754781451</v>
      </c>
      <c r="BA300" s="31">
        <v>394772.5894875864</v>
      </c>
      <c r="BB300" s="31">
        <v>570427.42959946918</v>
      </c>
      <c r="BC300" s="31">
        <f t="shared" si="23"/>
        <v>11454445.364788689</v>
      </c>
      <c r="BD300" s="31">
        <v>282188.07</v>
      </c>
    </row>
    <row r="301" spans="2:56">
      <c r="B301" s="42" t="s">
        <v>63</v>
      </c>
      <c r="C301" s="42" t="s">
        <v>64</v>
      </c>
      <c r="D301" s="43" t="s">
        <v>1049</v>
      </c>
      <c r="E301" s="44">
        <v>34</v>
      </c>
      <c r="F301" s="31">
        <v>23701632.537475526</v>
      </c>
      <c r="G301" s="31">
        <v>651214.2300000001</v>
      </c>
      <c r="H301" s="31">
        <v>128354.98</v>
      </c>
      <c r="I301" s="31">
        <v>85672.58</v>
      </c>
      <c r="J301" s="31">
        <v>3961546.6971979942</v>
      </c>
      <c r="K301" s="31">
        <v>2061373.458891331</v>
      </c>
      <c r="L301" s="31">
        <v>2488988.448427551</v>
      </c>
      <c r="M301" s="31">
        <f t="shared" si="20"/>
        <v>33078782.931992404</v>
      </c>
      <c r="N301" s="31">
        <v>0</v>
      </c>
      <c r="P301" s="42" t="s">
        <v>63</v>
      </c>
      <c r="Q301" s="42" t="s">
        <v>64</v>
      </c>
      <c r="R301" s="43" t="s">
        <v>1050</v>
      </c>
      <c r="S301" s="44">
        <v>34</v>
      </c>
      <c r="T301" s="31">
        <v>25355878.615594514</v>
      </c>
      <c r="U301" s="31">
        <v>696721.56</v>
      </c>
      <c r="V301" s="31">
        <v>137181.75</v>
      </c>
      <c r="W301" s="31">
        <v>91636.51</v>
      </c>
      <c r="X301" s="31">
        <v>4216757.1265999936</v>
      </c>
      <c r="Y301" s="31">
        <v>2066312.1593512858</v>
      </c>
      <c r="Z301" s="31">
        <v>2654576.416123556</v>
      </c>
      <c r="AA301" s="31">
        <f t="shared" si="21"/>
        <v>35219064.137669347</v>
      </c>
      <c r="AB301" s="31">
        <v>0</v>
      </c>
      <c r="AD301" s="42" t="s">
        <v>63</v>
      </c>
      <c r="AE301" s="42" t="s">
        <v>64</v>
      </c>
      <c r="AF301" s="43" t="s">
        <v>1275</v>
      </c>
      <c r="AG301" s="44">
        <v>34</v>
      </c>
      <c r="AH301" s="31">
        <v>25836335.137797624</v>
      </c>
      <c r="AI301" s="31">
        <v>709399.27999999991</v>
      </c>
      <c r="AJ301" s="31">
        <v>139812.68</v>
      </c>
      <c r="AK301" s="31">
        <v>93245.48</v>
      </c>
      <c r="AL301" s="31">
        <v>4294429.1272584349</v>
      </c>
      <c r="AM301" s="31">
        <v>2062518.9046636857</v>
      </c>
      <c r="AN301" s="31">
        <v>2703358.3578995862</v>
      </c>
      <c r="AO301" s="31">
        <f t="shared" si="22"/>
        <v>35839098.96761933</v>
      </c>
      <c r="AP301" s="31">
        <v>0</v>
      </c>
      <c r="AR301" s="42" t="s">
        <v>63</v>
      </c>
      <c r="AS301" s="42" t="s">
        <v>64</v>
      </c>
      <c r="AT301" s="43" t="s">
        <v>1276</v>
      </c>
      <c r="AU301" s="44">
        <v>34</v>
      </c>
      <c r="AV301" s="31">
        <v>26375414.973953333</v>
      </c>
      <c r="AW301" s="31">
        <v>723754.32</v>
      </c>
      <c r="AX301" s="31">
        <v>142736.03999999998</v>
      </c>
      <c r="AY301" s="31">
        <v>95195.08</v>
      </c>
      <c r="AZ301" s="31">
        <v>4381787.0898785256</v>
      </c>
      <c r="BA301" s="31">
        <v>2062627.2833690457</v>
      </c>
      <c r="BB301" s="31">
        <v>2758347.3646161216</v>
      </c>
      <c r="BC301" s="31">
        <f t="shared" si="23"/>
        <v>36539862.151817016</v>
      </c>
      <c r="BD301" s="31">
        <v>0</v>
      </c>
    </row>
    <row r="302" spans="2:56">
      <c r="B302" s="42" t="s">
        <v>3</v>
      </c>
      <c r="C302" s="42" t="s">
        <v>4</v>
      </c>
      <c r="D302" s="43" t="s">
        <v>1049</v>
      </c>
      <c r="E302" s="44">
        <v>34</v>
      </c>
      <c r="F302" s="31">
        <v>1869786.8670771243</v>
      </c>
      <c r="G302" s="31">
        <v>36248.68</v>
      </c>
      <c r="H302" s="31">
        <v>0</v>
      </c>
      <c r="I302" s="31">
        <v>2241.1799999999998</v>
      </c>
      <c r="J302" s="31">
        <v>50541.099808965599</v>
      </c>
      <c r="K302" s="31">
        <v>139525.01151309922</v>
      </c>
      <c r="L302" s="31">
        <v>49752.597159475619</v>
      </c>
      <c r="M302" s="31">
        <f t="shared" si="20"/>
        <v>2171579.1555586648</v>
      </c>
      <c r="N302" s="31">
        <v>23483.72</v>
      </c>
      <c r="P302" s="42" t="s">
        <v>3</v>
      </c>
      <c r="Q302" s="42" t="s">
        <v>4</v>
      </c>
      <c r="R302" s="43" t="s">
        <v>1050</v>
      </c>
      <c r="S302" s="44">
        <v>34</v>
      </c>
      <c r="T302" s="31">
        <v>1990206.615405221</v>
      </c>
      <c r="U302" s="31">
        <v>38991.850000000006</v>
      </c>
      <c r="V302" s="31">
        <v>0</v>
      </c>
      <c r="W302" s="31">
        <v>2386.6500000000005</v>
      </c>
      <c r="X302" s="31">
        <v>53540.286652768031</v>
      </c>
      <c r="Y302" s="31">
        <v>139773.76333575475</v>
      </c>
      <c r="Z302" s="31">
        <v>53225.757083047356</v>
      </c>
      <c r="AA302" s="31">
        <f t="shared" si="21"/>
        <v>2302742.6424767911</v>
      </c>
      <c r="AB302" s="31">
        <v>24617.72</v>
      </c>
      <c r="AD302" s="42" t="s">
        <v>3</v>
      </c>
      <c r="AE302" s="42" t="s">
        <v>4</v>
      </c>
      <c r="AF302" s="43" t="s">
        <v>1275</v>
      </c>
      <c r="AG302" s="44">
        <v>34</v>
      </c>
      <c r="AH302" s="31">
        <v>2024657.9116462157</v>
      </c>
      <c r="AI302" s="31">
        <v>39665.819999999992</v>
      </c>
      <c r="AJ302" s="31">
        <v>0</v>
      </c>
      <c r="AK302" s="31">
        <v>2428.2700000000004</v>
      </c>
      <c r="AL302" s="31">
        <v>54480.73337365358</v>
      </c>
      <c r="AM302" s="31">
        <v>139584.77904043454</v>
      </c>
      <c r="AN302" s="31">
        <v>54162.303364919506</v>
      </c>
      <c r="AO302" s="31">
        <f t="shared" si="22"/>
        <v>2340032.5874252231</v>
      </c>
      <c r="AP302" s="31">
        <v>25052.77</v>
      </c>
      <c r="AR302" s="42" t="s">
        <v>3</v>
      </c>
      <c r="AS302" s="42" t="s">
        <v>4</v>
      </c>
      <c r="AT302" s="43" t="s">
        <v>1276</v>
      </c>
      <c r="AU302" s="44">
        <v>34</v>
      </c>
      <c r="AV302" s="31">
        <v>2061559.0222551306</v>
      </c>
      <c r="AW302" s="31">
        <v>40387.649999999994</v>
      </c>
      <c r="AX302" s="31">
        <v>0</v>
      </c>
      <c r="AY302" s="31">
        <v>2472.8300000000004</v>
      </c>
      <c r="AZ302" s="31">
        <v>55487.946552729147</v>
      </c>
      <c r="BA302" s="31">
        <v>139590.1785917294</v>
      </c>
      <c r="BB302" s="31">
        <v>55165.312736804568</v>
      </c>
      <c r="BC302" s="31">
        <f t="shared" si="23"/>
        <v>2380181.650136394</v>
      </c>
      <c r="BD302" s="31">
        <v>25518.710000000003</v>
      </c>
    </row>
    <row r="303" spans="2:56">
      <c r="B303" s="42" t="s">
        <v>99</v>
      </c>
      <c r="C303" s="42" t="s">
        <v>100</v>
      </c>
      <c r="D303" s="43" t="s">
        <v>1049</v>
      </c>
      <c r="E303" s="44">
        <v>34</v>
      </c>
      <c r="F303" s="31">
        <v>2876164.0334881954</v>
      </c>
      <c r="G303" s="31">
        <v>90037.089999999982</v>
      </c>
      <c r="H303" s="31">
        <v>22801.599999999999</v>
      </c>
      <c r="I303" s="31">
        <v>7210.77</v>
      </c>
      <c r="J303" s="31">
        <v>310099.22144629748</v>
      </c>
      <c r="K303" s="31">
        <v>159387.74880985575</v>
      </c>
      <c r="L303" s="31">
        <v>135135.10736188351</v>
      </c>
      <c r="M303" s="31">
        <f t="shared" si="20"/>
        <v>3673722.7211062321</v>
      </c>
      <c r="N303" s="31">
        <v>72887.150000000009</v>
      </c>
      <c r="P303" s="42" t="s">
        <v>99</v>
      </c>
      <c r="Q303" s="42" t="s">
        <v>100</v>
      </c>
      <c r="R303" s="43" t="s">
        <v>1050</v>
      </c>
      <c r="S303" s="44">
        <v>34</v>
      </c>
      <c r="T303" s="31">
        <v>3089260.0662597725</v>
      </c>
      <c r="U303" s="31">
        <v>97617.989999999991</v>
      </c>
      <c r="V303" s="31">
        <v>24385.41</v>
      </c>
      <c r="W303" s="31">
        <v>7782.579999999999</v>
      </c>
      <c r="X303" s="31">
        <v>330116.76646508329</v>
      </c>
      <c r="Y303" s="31">
        <v>159642.95994500429</v>
      </c>
      <c r="Z303" s="31">
        <v>145454.40697256249</v>
      </c>
      <c r="AA303" s="31">
        <f t="shared" si="21"/>
        <v>3931075.619642423</v>
      </c>
      <c r="AB303" s="31">
        <v>76815.44</v>
      </c>
      <c r="AD303" s="42" t="s">
        <v>99</v>
      </c>
      <c r="AE303" s="42" t="s">
        <v>100</v>
      </c>
      <c r="AF303" s="43" t="s">
        <v>1275</v>
      </c>
      <c r="AG303" s="44">
        <v>34</v>
      </c>
      <c r="AH303" s="31">
        <v>3144406.2123341472</v>
      </c>
      <c r="AI303" s="31">
        <v>99407.299999999988</v>
      </c>
      <c r="AJ303" s="31">
        <v>24916.119999999995</v>
      </c>
      <c r="AK303" s="31">
        <v>7918.27</v>
      </c>
      <c r="AL303" s="31">
        <v>336150.34730823949</v>
      </c>
      <c r="AM303" s="31">
        <v>159449.06831430574</v>
      </c>
      <c r="AN303" s="31">
        <v>148139.27255833501</v>
      </c>
      <c r="AO303" s="31">
        <f t="shared" si="22"/>
        <v>3998559.5205150279</v>
      </c>
      <c r="AP303" s="31">
        <v>78172.930000000022</v>
      </c>
      <c r="AR303" s="42" t="s">
        <v>99</v>
      </c>
      <c r="AS303" s="42" t="s">
        <v>100</v>
      </c>
      <c r="AT303" s="43" t="s">
        <v>1276</v>
      </c>
      <c r="AU303" s="44">
        <v>34</v>
      </c>
      <c r="AV303" s="31">
        <v>3206175.3398841368</v>
      </c>
      <c r="AW303" s="31">
        <v>101323.27000000002</v>
      </c>
      <c r="AX303" s="31">
        <v>25373.4</v>
      </c>
      <c r="AY303" s="31">
        <v>8063.6</v>
      </c>
      <c r="AZ303" s="31">
        <v>342959.12828129641</v>
      </c>
      <c r="BA303" s="31">
        <v>159454.60807518283</v>
      </c>
      <c r="BB303" s="31">
        <v>151119.43319319849</v>
      </c>
      <c r="BC303" s="31">
        <f t="shared" si="23"/>
        <v>4074307.3494338142</v>
      </c>
      <c r="BD303" s="31">
        <v>79838.570000000007</v>
      </c>
    </row>
    <row r="304" spans="2:56">
      <c r="B304" s="42" t="s">
        <v>487</v>
      </c>
      <c r="C304" s="42" t="s">
        <v>488</v>
      </c>
      <c r="D304" s="43" t="s">
        <v>1049</v>
      </c>
      <c r="E304" s="44">
        <v>34</v>
      </c>
      <c r="F304" s="31">
        <v>4031543.1656304356</v>
      </c>
      <c r="G304" s="31">
        <v>218953.82000000004</v>
      </c>
      <c r="H304" s="31">
        <v>0</v>
      </c>
      <c r="I304" s="31">
        <v>10913.58</v>
      </c>
      <c r="J304" s="31">
        <v>503401.18296955025</v>
      </c>
      <c r="K304" s="31">
        <v>279621.71931425604</v>
      </c>
      <c r="L304" s="31">
        <v>58645.518245124011</v>
      </c>
      <c r="M304" s="31">
        <f t="shared" si="20"/>
        <v>5216599.7661593668</v>
      </c>
      <c r="N304" s="31">
        <v>113520.78</v>
      </c>
      <c r="P304" s="42" t="s">
        <v>487</v>
      </c>
      <c r="Q304" s="42" t="s">
        <v>488</v>
      </c>
      <c r="R304" s="43" t="s">
        <v>1050</v>
      </c>
      <c r="S304" s="44">
        <v>34</v>
      </c>
      <c r="T304" s="31">
        <v>4340335.4775059037</v>
      </c>
      <c r="U304" s="31">
        <v>236202.17000000004</v>
      </c>
      <c r="V304" s="31">
        <v>0</v>
      </c>
      <c r="W304" s="31">
        <v>11725.76</v>
      </c>
      <c r="X304" s="31">
        <v>535877.01003330143</v>
      </c>
      <c r="Y304" s="31">
        <v>280243.36843929946</v>
      </c>
      <c r="Z304" s="31">
        <v>63135.253680272464</v>
      </c>
      <c r="AA304" s="31">
        <f t="shared" si="21"/>
        <v>5587032.3996587759</v>
      </c>
      <c r="AB304" s="31">
        <v>119513.36</v>
      </c>
      <c r="AD304" s="42" t="s">
        <v>487</v>
      </c>
      <c r="AE304" s="42" t="s">
        <v>488</v>
      </c>
      <c r="AF304" s="43" t="s">
        <v>1275</v>
      </c>
      <c r="AG304" s="44">
        <v>34</v>
      </c>
      <c r="AH304" s="31">
        <v>4420567.6772810007</v>
      </c>
      <c r="AI304" s="31">
        <v>240504.72000000003</v>
      </c>
      <c r="AJ304" s="31">
        <v>0</v>
      </c>
      <c r="AK304" s="31">
        <v>11930.189999999999</v>
      </c>
      <c r="AL304" s="31">
        <v>545696.25729485403</v>
      </c>
      <c r="AM304" s="31">
        <v>279771.08276686264</v>
      </c>
      <c r="AN304" s="31">
        <v>64254.492272511052</v>
      </c>
      <c r="AO304" s="31">
        <f t="shared" si="22"/>
        <v>5684453.7996152285</v>
      </c>
      <c r="AP304" s="31">
        <v>121729.38</v>
      </c>
      <c r="AR304" s="42" t="s">
        <v>487</v>
      </c>
      <c r="AS304" s="42" t="s">
        <v>488</v>
      </c>
      <c r="AT304" s="43" t="s">
        <v>1276</v>
      </c>
      <c r="AU304" s="44">
        <v>34</v>
      </c>
      <c r="AV304" s="31">
        <v>4509637.4881555103</v>
      </c>
      <c r="AW304" s="31">
        <v>245322.0799999999</v>
      </c>
      <c r="AX304" s="31">
        <v>0</v>
      </c>
      <c r="AY304" s="31">
        <v>12149.14</v>
      </c>
      <c r="AZ304" s="31">
        <v>556744.27074840281</v>
      </c>
      <c r="BA304" s="31">
        <v>279784.576643218</v>
      </c>
      <c r="BB304" s="31">
        <v>65572.363207781702</v>
      </c>
      <c r="BC304" s="31">
        <f t="shared" si="23"/>
        <v>5793415.0187549125</v>
      </c>
      <c r="BD304" s="31">
        <v>124205.10000000002</v>
      </c>
    </row>
    <row r="305" spans="2:56">
      <c r="B305" s="42" t="s">
        <v>41</v>
      </c>
      <c r="C305" s="42" t="s">
        <v>42</v>
      </c>
      <c r="D305" s="43" t="s">
        <v>1049</v>
      </c>
      <c r="E305" s="44">
        <v>34</v>
      </c>
      <c r="F305" s="31">
        <v>57079730.123818897</v>
      </c>
      <c r="G305" s="31">
        <v>2760943.3499999992</v>
      </c>
      <c r="H305" s="31">
        <v>2617791.5599999996</v>
      </c>
      <c r="I305" s="31">
        <v>0</v>
      </c>
      <c r="J305" s="31">
        <v>9285388.0489470139</v>
      </c>
      <c r="K305" s="31">
        <v>2284201.8460614439</v>
      </c>
      <c r="L305" s="31">
        <v>8472249.3594453558</v>
      </c>
      <c r="M305" s="31">
        <f t="shared" si="20"/>
        <v>84350685.128272712</v>
      </c>
      <c r="N305" s="31">
        <v>1850380.8400000003</v>
      </c>
      <c r="P305" s="42" t="s">
        <v>41</v>
      </c>
      <c r="Q305" s="42" t="s">
        <v>42</v>
      </c>
      <c r="R305" s="43" t="s">
        <v>1050</v>
      </c>
      <c r="S305" s="44">
        <v>34</v>
      </c>
      <c r="T305" s="31">
        <v>61301511.900058553</v>
      </c>
      <c r="U305" s="31">
        <v>2958769.3600000003</v>
      </c>
      <c r="V305" s="31">
        <v>2776841.2299999995</v>
      </c>
      <c r="W305" s="31">
        <v>0</v>
      </c>
      <c r="X305" s="31">
        <v>9814809.8131045438</v>
      </c>
      <c r="Y305" s="31">
        <v>2289934.2741120658</v>
      </c>
      <c r="Z305" s="31">
        <v>9058539.5837201029</v>
      </c>
      <c r="AA305" s="31">
        <f t="shared" si="21"/>
        <v>90133350.120995253</v>
      </c>
      <c r="AB305" s="31">
        <v>1932943.96</v>
      </c>
      <c r="AD305" s="42" t="s">
        <v>41</v>
      </c>
      <c r="AE305" s="42" t="s">
        <v>42</v>
      </c>
      <c r="AF305" s="43" t="s">
        <v>1275</v>
      </c>
      <c r="AG305" s="44">
        <v>34</v>
      </c>
      <c r="AH305" s="31">
        <v>62484679.343002282</v>
      </c>
      <c r="AI305" s="31">
        <v>3012392.0200000014</v>
      </c>
      <c r="AJ305" s="31">
        <v>2827706.1300000004</v>
      </c>
      <c r="AK305" s="31">
        <v>0</v>
      </c>
      <c r="AL305" s="31">
        <v>9995183.7512166873</v>
      </c>
      <c r="AM305" s="31">
        <v>2285550.4922386156</v>
      </c>
      <c r="AN305" s="31">
        <v>9225260.6459232364</v>
      </c>
      <c r="AO305" s="31">
        <f t="shared" si="22"/>
        <v>91799481.812380835</v>
      </c>
      <c r="AP305" s="31">
        <v>1968709.43</v>
      </c>
      <c r="AR305" s="42" t="s">
        <v>41</v>
      </c>
      <c r="AS305" s="42" t="s">
        <v>42</v>
      </c>
      <c r="AT305" s="43" t="s">
        <v>1276</v>
      </c>
      <c r="AU305" s="44">
        <v>34</v>
      </c>
      <c r="AV305" s="31">
        <v>63808650.879459515</v>
      </c>
      <c r="AW305" s="31">
        <v>3072641.2800000003</v>
      </c>
      <c r="AX305" s="31">
        <v>2884753.2100000004</v>
      </c>
      <c r="AY305" s="31">
        <v>0</v>
      </c>
      <c r="AZ305" s="31">
        <v>10198063.461214101</v>
      </c>
      <c r="BA305" s="31">
        <v>2285675.7431492857</v>
      </c>
      <c r="BB305" s="31">
        <v>9412630.1452301107</v>
      </c>
      <c r="BC305" s="31">
        <f t="shared" si="23"/>
        <v>93671335.589053005</v>
      </c>
      <c r="BD305" s="31">
        <v>2008920.87</v>
      </c>
    </row>
    <row r="306" spans="2:56">
      <c r="B306" s="42" t="s">
        <v>473</v>
      </c>
      <c r="C306" s="42" t="s">
        <v>474</v>
      </c>
      <c r="D306" s="43" t="s">
        <v>1049</v>
      </c>
      <c r="E306" s="44">
        <v>34</v>
      </c>
      <c r="F306" s="31">
        <v>27252421.454663172</v>
      </c>
      <c r="G306" s="31">
        <v>1113185.7600000002</v>
      </c>
      <c r="H306" s="31">
        <v>159513.76</v>
      </c>
      <c r="I306" s="31">
        <v>95688.760000000009</v>
      </c>
      <c r="J306" s="31">
        <v>3790502.1442183964</v>
      </c>
      <c r="K306" s="31">
        <v>1633321.272659702</v>
      </c>
      <c r="L306" s="31">
        <v>2553035.502410965</v>
      </c>
      <c r="M306" s="31">
        <f t="shared" si="20"/>
        <v>37123274.753952242</v>
      </c>
      <c r="N306" s="31">
        <v>525606.1</v>
      </c>
      <c r="P306" s="42" t="s">
        <v>473</v>
      </c>
      <c r="Q306" s="42" t="s">
        <v>474</v>
      </c>
      <c r="R306" s="43" t="s">
        <v>1050</v>
      </c>
      <c r="S306" s="44">
        <v>34</v>
      </c>
      <c r="T306" s="31">
        <v>29423866.896787271</v>
      </c>
      <c r="U306" s="31">
        <v>1200031.8700000003</v>
      </c>
      <c r="V306" s="31">
        <v>170697.78999999998</v>
      </c>
      <c r="W306" s="31">
        <v>102418.68000000001</v>
      </c>
      <c r="X306" s="31">
        <v>4035145.8455417682</v>
      </c>
      <c r="Y306" s="31">
        <v>1636992.1792704216</v>
      </c>
      <c r="Z306" s="31">
        <v>2749757.1760135749</v>
      </c>
      <c r="AA306" s="31">
        <f t="shared" si="21"/>
        <v>39872655.697613038</v>
      </c>
      <c r="AB306" s="31">
        <v>553745.26</v>
      </c>
      <c r="AD306" s="42" t="s">
        <v>473</v>
      </c>
      <c r="AE306" s="42" t="s">
        <v>474</v>
      </c>
      <c r="AF306" s="43" t="s">
        <v>1275</v>
      </c>
      <c r="AG306" s="44">
        <v>34</v>
      </c>
      <c r="AH306" s="31">
        <v>30025886.31249854</v>
      </c>
      <c r="AI306" s="31">
        <v>1221673.9200000002</v>
      </c>
      <c r="AJ306" s="31">
        <v>173779.45</v>
      </c>
      <c r="AK306" s="31">
        <v>104204.33</v>
      </c>
      <c r="AL306" s="31">
        <v>4109124.0818514018</v>
      </c>
      <c r="AM306" s="31">
        <v>1634203.2803123873</v>
      </c>
      <c r="AN306" s="31">
        <v>2800210.793307865</v>
      </c>
      <c r="AO306" s="31">
        <f t="shared" si="22"/>
        <v>40633029.127970196</v>
      </c>
      <c r="AP306" s="31">
        <v>563946.96</v>
      </c>
      <c r="AR306" s="42" t="s">
        <v>473</v>
      </c>
      <c r="AS306" s="42" t="s">
        <v>474</v>
      </c>
      <c r="AT306" s="43" t="s">
        <v>1276</v>
      </c>
      <c r="AU306" s="44">
        <v>34</v>
      </c>
      <c r="AV306" s="31">
        <v>30695598.076790806</v>
      </c>
      <c r="AW306" s="31">
        <v>1246121.4900000002</v>
      </c>
      <c r="AX306" s="31">
        <v>177291.33000000002</v>
      </c>
      <c r="AY306" s="31">
        <v>106331.80000000002</v>
      </c>
      <c r="AZ306" s="31">
        <v>4192347.1511477213</v>
      </c>
      <c r="BA306" s="31">
        <v>1634282.9631397598</v>
      </c>
      <c r="BB306" s="31">
        <v>2856897.7306537656</v>
      </c>
      <c r="BC306" s="31">
        <f t="shared" si="23"/>
        <v>41484258.881732047</v>
      </c>
      <c r="BD306" s="31">
        <v>575388.34</v>
      </c>
    </row>
    <row r="307" spans="2:56">
      <c r="B307" s="42" t="s">
        <v>607</v>
      </c>
      <c r="C307" s="42" t="s">
        <v>608</v>
      </c>
      <c r="D307" s="43" t="s">
        <v>1049</v>
      </c>
      <c r="E307" s="44">
        <v>34</v>
      </c>
      <c r="F307" s="31">
        <v>41508058.699975565</v>
      </c>
      <c r="G307" s="31">
        <v>1563371.09</v>
      </c>
      <c r="H307" s="31">
        <v>669554.99000000011</v>
      </c>
      <c r="I307" s="31">
        <v>151726.78</v>
      </c>
      <c r="J307" s="31">
        <v>6987543.5982942274</v>
      </c>
      <c r="K307" s="31">
        <v>2269708.6322501143</v>
      </c>
      <c r="L307" s="31">
        <v>5408103.0815354018</v>
      </c>
      <c r="M307" s="31">
        <f t="shared" si="20"/>
        <v>59013751.642055318</v>
      </c>
      <c r="N307" s="31">
        <v>455684.77</v>
      </c>
      <c r="P307" s="42" t="s">
        <v>607</v>
      </c>
      <c r="Q307" s="42" t="s">
        <v>608</v>
      </c>
      <c r="R307" s="43" t="s">
        <v>1050</v>
      </c>
      <c r="S307" s="44">
        <v>34</v>
      </c>
      <c r="T307" s="31">
        <v>44111565.922105581</v>
      </c>
      <c r="U307" s="31">
        <v>1665815.1499999997</v>
      </c>
      <c r="V307" s="31">
        <v>710211.08</v>
      </c>
      <c r="W307" s="31">
        <v>161019.52999999997</v>
      </c>
      <c r="X307" s="31">
        <v>7385713.4714245498</v>
      </c>
      <c r="Y307" s="31">
        <v>2275458.6717799851</v>
      </c>
      <c r="Z307" s="31">
        <v>5728400.5937894704</v>
      </c>
      <c r="AA307" s="31">
        <f t="shared" si="21"/>
        <v>62514184.449099585</v>
      </c>
      <c r="AB307" s="31">
        <v>476000.02999999997</v>
      </c>
      <c r="AD307" s="42" t="s">
        <v>607</v>
      </c>
      <c r="AE307" s="42" t="s">
        <v>608</v>
      </c>
      <c r="AF307" s="43" t="s">
        <v>1275</v>
      </c>
      <c r="AG307" s="44">
        <v>34</v>
      </c>
      <c r="AH307" s="31">
        <v>44942547.978582941</v>
      </c>
      <c r="AI307" s="31">
        <v>1696160.09</v>
      </c>
      <c r="AJ307" s="31">
        <v>723180.21000000008</v>
      </c>
      <c r="AK307" s="31">
        <v>163945.42000000001</v>
      </c>
      <c r="AL307" s="31">
        <v>7521413.2079015058</v>
      </c>
      <c r="AM307" s="31">
        <v>2271061.4218118964</v>
      </c>
      <c r="AN307" s="31">
        <v>5833726.194364354</v>
      </c>
      <c r="AO307" s="31">
        <f t="shared" si="22"/>
        <v>63636900.992660701</v>
      </c>
      <c r="AP307" s="31">
        <v>484866.47</v>
      </c>
      <c r="AR307" s="42" t="s">
        <v>607</v>
      </c>
      <c r="AS307" s="42" t="s">
        <v>608</v>
      </c>
      <c r="AT307" s="43" t="s">
        <v>1276</v>
      </c>
      <c r="AU307" s="44">
        <v>34</v>
      </c>
      <c r="AV307" s="31">
        <v>45873884.121714897</v>
      </c>
      <c r="AW307" s="31">
        <v>1730276.5300000003</v>
      </c>
      <c r="AX307" s="31">
        <v>737713.75</v>
      </c>
      <c r="AY307" s="31">
        <v>167185.67000000001</v>
      </c>
      <c r="AZ307" s="31">
        <v>7674038.7363083707</v>
      </c>
      <c r="BA307" s="31">
        <v>2271187.0575252702</v>
      </c>
      <c r="BB307" s="31">
        <v>5952302.3919685865</v>
      </c>
      <c r="BC307" s="31">
        <f t="shared" si="23"/>
        <v>64901371.177517131</v>
      </c>
      <c r="BD307" s="31">
        <v>494782.92</v>
      </c>
    </row>
    <row r="308" spans="2:56">
      <c r="B308" s="42" t="s">
        <v>1253</v>
      </c>
      <c r="C308" s="42" t="s">
        <v>1254</v>
      </c>
      <c r="D308" s="43" t="s">
        <v>1049</v>
      </c>
      <c r="E308" s="44">
        <v>34</v>
      </c>
      <c r="F308" s="31">
        <v>1459299.1193121755</v>
      </c>
      <c r="G308" s="31">
        <v>20466</v>
      </c>
      <c r="H308" s="31">
        <v>0</v>
      </c>
      <c r="I308" s="31">
        <v>0</v>
      </c>
      <c r="J308" s="31">
        <v>60028.425250620443</v>
      </c>
      <c r="K308" s="31">
        <v>0</v>
      </c>
      <c r="L308" s="31">
        <v>0</v>
      </c>
      <c r="M308" s="31">
        <f t="shared" si="20"/>
        <v>1554745.364562796</v>
      </c>
      <c r="N308" s="31">
        <v>14951.820000000002</v>
      </c>
      <c r="P308" s="42" t="s">
        <v>1253</v>
      </c>
      <c r="Q308" s="42" t="s">
        <v>1254</v>
      </c>
      <c r="R308" s="43" t="s">
        <v>1050</v>
      </c>
      <c r="S308" s="44">
        <v>34</v>
      </c>
      <c r="T308" s="31">
        <v>1536331.9468861502</v>
      </c>
      <c r="U308" s="31">
        <v>21836.829999999994</v>
      </c>
      <c r="V308" s="31">
        <v>0</v>
      </c>
      <c r="W308" s="31">
        <v>0</v>
      </c>
      <c r="X308" s="31">
        <v>63168.401374398221</v>
      </c>
      <c r="Y308" s="31">
        <v>0</v>
      </c>
      <c r="Z308" s="31">
        <v>0</v>
      </c>
      <c r="AA308" s="31">
        <f t="shared" si="21"/>
        <v>1636890.9382605485</v>
      </c>
      <c r="AB308" s="31">
        <v>15553.76</v>
      </c>
      <c r="AD308" s="42" t="s">
        <v>1253</v>
      </c>
      <c r="AE308" s="42" t="s">
        <v>1254</v>
      </c>
      <c r="AF308" s="43" t="s">
        <v>1275</v>
      </c>
      <c r="AG308" s="44">
        <v>34</v>
      </c>
      <c r="AH308" s="31">
        <v>1563169.5497097806</v>
      </c>
      <c r="AI308" s="31">
        <v>22218.039999999997</v>
      </c>
      <c r="AJ308" s="31">
        <v>0</v>
      </c>
      <c r="AK308" s="31">
        <v>0</v>
      </c>
      <c r="AL308" s="31">
        <v>64289.474307837903</v>
      </c>
      <c r="AM308" s="31">
        <v>0</v>
      </c>
      <c r="AN308" s="31">
        <v>0</v>
      </c>
      <c r="AO308" s="31">
        <f t="shared" si="22"/>
        <v>1665508.2640176185</v>
      </c>
      <c r="AP308" s="31">
        <v>15831.2</v>
      </c>
      <c r="AR308" s="42" t="s">
        <v>1253</v>
      </c>
      <c r="AS308" s="42" t="s">
        <v>1254</v>
      </c>
      <c r="AT308" s="43" t="s">
        <v>1276</v>
      </c>
      <c r="AU308" s="44">
        <v>34</v>
      </c>
      <c r="AV308" s="31">
        <v>1591915.6615648884</v>
      </c>
      <c r="AW308" s="31">
        <v>22626.299999999996</v>
      </c>
      <c r="AX308" s="31">
        <v>0</v>
      </c>
      <c r="AY308" s="31">
        <v>0</v>
      </c>
      <c r="AZ308" s="31">
        <v>65490.158455733683</v>
      </c>
      <c r="BA308" s="31">
        <v>0</v>
      </c>
      <c r="BB308" s="31">
        <v>0</v>
      </c>
      <c r="BC308" s="31">
        <f t="shared" si="23"/>
        <v>1696160.4600206222</v>
      </c>
      <c r="BD308" s="31">
        <v>16128.340000000002</v>
      </c>
    </row>
    <row r="309" spans="2:56">
      <c r="B309" s="42" t="s">
        <v>293</v>
      </c>
      <c r="C309" s="42" t="s">
        <v>294</v>
      </c>
      <c r="D309" s="43" t="s">
        <v>1049</v>
      </c>
      <c r="E309" s="44">
        <v>34</v>
      </c>
      <c r="F309" s="31">
        <v>3375597.7565639042</v>
      </c>
      <c r="G309" s="31">
        <v>140707.29</v>
      </c>
      <c r="H309" s="31">
        <v>0</v>
      </c>
      <c r="I309" s="31">
        <v>9062.18</v>
      </c>
      <c r="J309" s="31">
        <v>394223.18565639714</v>
      </c>
      <c r="K309" s="31">
        <v>447455.15663249994</v>
      </c>
      <c r="L309" s="31">
        <v>166403.18024335333</v>
      </c>
      <c r="M309" s="31">
        <f t="shared" si="20"/>
        <v>4628650.3090961548</v>
      </c>
      <c r="N309" s="31">
        <v>95201.56</v>
      </c>
      <c r="P309" s="42" t="s">
        <v>293</v>
      </c>
      <c r="Q309" s="42" t="s">
        <v>294</v>
      </c>
      <c r="R309" s="43" t="s">
        <v>1050</v>
      </c>
      <c r="S309" s="44">
        <v>34</v>
      </c>
      <c r="T309" s="31">
        <v>3630370.5649095629</v>
      </c>
      <c r="U309" s="31">
        <v>152157.19999999998</v>
      </c>
      <c r="V309" s="31">
        <v>0</v>
      </c>
      <c r="W309" s="31">
        <v>9754.1499999999978</v>
      </c>
      <c r="X309" s="31">
        <v>419664.21068423695</v>
      </c>
      <c r="Y309" s="31">
        <v>448813.61680443637</v>
      </c>
      <c r="Z309" s="31">
        <v>179311.94531002041</v>
      </c>
      <c r="AA309" s="31">
        <f t="shared" si="21"/>
        <v>4940381.1977082575</v>
      </c>
      <c r="AB309" s="31">
        <v>100309.51000000001</v>
      </c>
      <c r="AD309" s="42" t="s">
        <v>293</v>
      </c>
      <c r="AE309" s="42" t="s">
        <v>294</v>
      </c>
      <c r="AF309" s="43" t="s">
        <v>1275</v>
      </c>
      <c r="AG309" s="44">
        <v>34</v>
      </c>
      <c r="AH309" s="31">
        <v>3698036.4734452264</v>
      </c>
      <c r="AI309" s="31">
        <v>154891.80000000005</v>
      </c>
      <c r="AJ309" s="31">
        <v>0</v>
      </c>
      <c r="AK309" s="31">
        <v>9924.2099999999991</v>
      </c>
      <c r="AL309" s="31">
        <v>427353.55977528717</v>
      </c>
      <c r="AM309" s="31">
        <v>447781.55345883634</v>
      </c>
      <c r="AN309" s="31">
        <v>182596.84257166373</v>
      </c>
      <c r="AO309" s="31">
        <f t="shared" si="22"/>
        <v>5022666.6392510133</v>
      </c>
      <c r="AP309" s="31">
        <v>102082.2</v>
      </c>
      <c r="AR309" s="42" t="s">
        <v>293</v>
      </c>
      <c r="AS309" s="42" t="s">
        <v>294</v>
      </c>
      <c r="AT309" s="43" t="s">
        <v>1276</v>
      </c>
      <c r="AU309" s="44">
        <v>34</v>
      </c>
      <c r="AV309" s="31">
        <v>3772427.7072547716</v>
      </c>
      <c r="AW309" s="31">
        <v>157927.71000000002</v>
      </c>
      <c r="AX309" s="31">
        <v>0</v>
      </c>
      <c r="AY309" s="31">
        <v>10106.35</v>
      </c>
      <c r="AZ309" s="31">
        <v>436009.07159551984</v>
      </c>
      <c r="BA309" s="31">
        <v>447811.04098299635</v>
      </c>
      <c r="BB309" s="31">
        <v>186333.66616507093</v>
      </c>
      <c r="BC309" s="31">
        <f t="shared" si="23"/>
        <v>5114808.0759983584</v>
      </c>
      <c r="BD309" s="31">
        <v>104192.52999999998</v>
      </c>
    </row>
    <row r="310" spans="2:56">
      <c r="B310" s="42" t="s">
        <v>387</v>
      </c>
      <c r="C310" s="42" t="s">
        <v>388</v>
      </c>
      <c r="D310" s="43" t="s">
        <v>1049</v>
      </c>
      <c r="E310" s="44">
        <v>34</v>
      </c>
      <c r="F310" s="31">
        <v>34797946.118279181</v>
      </c>
      <c r="G310" s="31">
        <v>806348.29999999993</v>
      </c>
      <c r="H310" s="31">
        <v>204793.39</v>
      </c>
      <c r="I310" s="31">
        <v>0</v>
      </c>
      <c r="J310" s="31">
        <v>5597329.136728121</v>
      </c>
      <c r="K310" s="31">
        <v>2480029.0175399454</v>
      </c>
      <c r="L310" s="31">
        <v>2995983.6913767993</v>
      </c>
      <c r="M310" s="31">
        <f t="shared" si="20"/>
        <v>46890535.203924045</v>
      </c>
      <c r="N310" s="31">
        <v>8105.55</v>
      </c>
      <c r="P310" s="42" t="s">
        <v>387</v>
      </c>
      <c r="Q310" s="42" t="s">
        <v>388</v>
      </c>
      <c r="R310" s="43" t="s">
        <v>1050</v>
      </c>
      <c r="S310" s="44">
        <v>34</v>
      </c>
      <c r="T310" s="31">
        <v>37221419.365349732</v>
      </c>
      <c r="U310" s="31">
        <v>862758.97</v>
      </c>
      <c r="V310" s="31">
        <v>219097.58000000002</v>
      </c>
      <c r="W310" s="31">
        <v>0</v>
      </c>
      <c r="X310" s="31">
        <v>5957755.992889544</v>
      </c>
      <c r="Y310" s="31">
        <v>2484757.5375526687</v>
      </c>
      <c r="Z310" s="31">
        <v>3194737.0352092385</v>
      </c>
      <c r="AA310" s="31">
        <f t="shared" si="21"/>
        <v>49949133.661001183</v>
      </c>
      <c r="AB310" s="31">
        <v>8607.18</v>
      </c>
      <c r="AD310" s="42" t="s">
        <v>387</v>
      </c>
      <c r="AE310" s="42" t="s">
        <v>388</v>
      </c>
      <c r="AF310" s="43" t="s">
        <v>1275</v>
      </c>
      <c r="AG310" s="44">
        <v>34</v>
      </c>
      <c r="AH310" s="31">
        <v>37920137.754515134</v>
      </c>
      <c r="AI310" s="31">
        <v>878572.29999999993</v>
      </c>
      <c r="AJ310" s="31">
        <v>223166.81</v>
      </c>
      <c r="AK310" s="31">
        <v>0</v>
      </c>
      <c r="AL310" s="31">
        <v>6067471.8136641579</v>
      </c>
      <c r="AM310" s="31">
        <v>2481125.7156089996</v>
      </c>
      <c r="AN310" s="31">
        <v>3253987.6055896874</v>
      </c>
      <c r="AO310" s="31">
        <f t="shared" si="22"/>
        <v>50833222.269377984</v>
      </c>
      <c r="AP310" s="31">
        <v>8760.27</v>
      </c>
      <c r="AR310" s="42" t="s">
        <v>387</v>
      </c>
      <c r="AS310" s="42" t="s">
        <v>388</v>
      </c>
      <c r="AT310" s="43" t="s">
        <v>1276</v>
      </c>
      <c r="AU310" s="44">
        <v>34</v>
      </c>
      <c r="AV310" s="31">
        <v>38704423.231246717</v>
      </c>
      <c r="AW310" s="31">
        <v>896278.05</v>
      </c>
      <c r="AX310" s="31">
        <v>227630.58</v>
      </c>
      <c r="AY310" s="31">
        <v>0</v>
      </c>
      <c r="AZ310" s="31">
        <v>6190876.4764945246</v>
      </c>
      <c r="BA310" s="31">
        <v>2481229.4819502477</v>
      </c>
      <c r="BB310" s="31">
        <v>3320380.1553593501</v>
      </c>
      <c r="BC310" s="31">
        <f t="shared" si="23"/>
        <v>51829742.185050838</v>
      </c>
      <c r="BD310" s="31">
        <v>8924.2100000000009</v>
      </c>
    </row>
    <row r="311" spans="2:56">
      <c r="B311" s="42" t="s">
        <v>267</v>
      </c>
      <c r="C311" s="42" t="s">
        <v>268</v>
      </c>
      <c r="D311" s="43" t="s">
        <v>1049</v>
      </c>
      <c r="E311" s="44">
        <v>34</v>
      </c>
      <c r="F311" s="31">
        <v>9034183.4674334936</v>
      </c>
      <c r="G311" s="31">
        <v>297395.21999999997</v>
      </c>
      <c r="H311" s="31">
        <v>279855.52999999997</v>
      </c>
      <c r="I311" s="31">
        <v>31084.229999999996</v>
      </c>
      <c r="J311" s="31">
        <v>1292749.7461333645</v>
      </c>
      <c r="K311" s="31">
        <v>735897.43484189699</v>
      </c>
      <c r="L311" s="31">
        <v>514407.64999340358</v>
      </c>
      <c r="M311" s="31">
        <f t="shared" si="20"/>
        <v>12190737.73840216</v>
      </c>
      <c r="N311" s="31">
        <v>5164.46</v>
      </c>
      <c r="P311" s="42" t="s">
        <v>267</v>
      </c>
      <c r="Q311" s="42" t="s">
        <v>268</v>
      </c>
      <c r="R311" s="43" t="s">
        <v>1050</v>
      </c>
      <c r="S311" s="44">
        <v>34</v>
      </c>
      <c r="T311" s="31">
        <v>9665854.5933827218</v>
      </c>
      <c r="U311" s="31">
        <v>318341.23</v>
      </c>
      <c r="V311" s="31">
        <v>299369.68000000005</v>
      </c>
      <c r="W311" s="31">
        <v>33205.65</v>
      </c>
      <c r="X311" s="31">
        <v>1376180.9438898012</v>
      </c>
      <c r="Y311" s="31">
        <v>737979.24172746774</v>
      </c>
      <c r="Z311" s="31">
        <v>548863.7995516744</v>
      </c>
      <c r="AA311" s="31">
        <f t="shared" si="21"/>
        <v>12985208.988551665</v>
      </c>
      <c r="AB311" s="31">
        <v>5413.85</v>
      </c>
      <c r="AD311" s="42" t="s">
        <v>267</v>
      </c>
      <c r="AE311" s="42" t="s">
        <v>268</v>
      </c>
      <c r="AF311" s="43" t="s">
        <v>1275</v>
      </c>
      <c r="AG311" s="44">
        <v>34</v>
      </c>
      <c r="AH311" s="31">
        <v>9846204.9856491536</v>
      </c>
      <c r="AI311" s="31">
        <v>324101.34999999998</v>
      </c>
      <c r="AJ311" s="31">
        <v>304800.31</v>
      </c>
      <c r="AK311" s="31">
        <v>33784.589999999997</v>
      </c>
      <c r="AL311" s="31">
        <v>1401410.2720408202</v>
      </c>
      <c r="AM311" s="31">
        <v>736397.62997056765</v>
      </c>
      <c r="AN311" s="31">
        <v>558889.67618845101</v>
      </c>
      <c r="AO311" s="31">
        <f t="shared" si="22"/>
        <v>13211098.34384899</v>
      </c>
      <c r="AP311" s="31">
        <v>5509.5300000000007</v>
      </c>
      <c r="AR311" s="42" t="s">
        <v>267</v>
      </c>
      <c r="AS311" s="42" t="s">
        <v>268</v>
      </c>
      <c r="AT311" s="43" t="s">
        <v>1276</v>
      </c>
      <c r="AU311" s="44">
        <v>34</v>
      </c>
      <c r="AV311" s="31">
        <v>10048445.843308767</v>
      </c>
      <c r="AW311" s="31">
        <v>330693.2</v>
      </c>
      <c r="AX311" s="31">
        <v>311039.30999999994</v>
      </c>
      <c r="AY311" s="31">
        <v>34512.160000000003</v>
      </c>
      <c r="AZ311" s="31">
        <v>1429766.5911557162</v>
      </c>
      <c r="BA311" s="31">
        <v>736442.81887790759</v>
      </c>
      <c r="BB311" s="31">
        <v>570038.22974796325</v>
      </c>
      <c r="BC311" s="31">
        <f t="shared" si="23"/>
        <v>13466550.143090354</v>
      </c>
      <c r="BD311" s="31">
        <v>5611.99</v>
      </c>
    </row>
    <row r="312" spans="2:56">
      <c r="B312" s="42" t="s">
        <v>307</v>
      </c>
      <c r="C312" s="42" t="s">
        <v>308</v>
      </c>
      <c r="D312" s="43" t="s">
        <v>1049</v>
      </c>
      <c r="E312" s="44">
        <v>34</v>
      </c>
      <c r="F312" s="31">
        <v>2440509.4481912944</v>
      </c>
      <c r="G312" s="31">
        <v>60706.820000000007</v>
      </c>
      <c r="H312" s="31">
        <v>0</v>
      </c>
      <c r="I312" s="31">
        <v>6138.8899999999994</v>
      </c>
      <c r="J312" s="31">
        <v>258163.0520971418</v>
      </c>
      <c r="K312" s="31">
        <v>0</v>
      </c>
      <c r="L312" s="31">
        <v>190374.48518330985</v>
      </c>
      <c r="M312" s="31">
        <f t="shared" si="20"/>
        <v>2955892.6954717459</v>
      </c>
      <c r="N312" s="31">
        <v>0</v>
      </c>
      <c r="P312" s="42" t="s">
        <v>307</v>
      </c>
      <c r="Q312" s="42" t="s">
        <v>308</v>
      </c>
      <c r="R312" s="43" t="s">
        <v>1050</v>
      </c>
      <c r="S312" s="44">
        <v>34</v>
      </c>
      <c r="T312" s="31">
        <v>2600273.702315696</v>
      </c>
      <c r="U312" s="31">
        <v>64958.559999999998</v>
      </c>
      <c r="V312" s="31">
        <v>0</v>
      </c>
      <c r="W312" s="31">
        <v>6641.1399999999985</v>
      </c>
      <c r="X312" s="31">
        <v>274824.16372580663</v>
      </c>
      <c r="Y312" s="31">
        <v>0</v>
      </c>
      <c r="Z312" s="31">
        <v>202934.85537657281</v>
      </c>
      <c r="AA312" s="31">
        <f t="shared" si="21"/>
        <v>3149632.4214180759</v>
      </c>
      <c r="AB312" s="31">
        <v>0</v>
      </c>
      <c r="AD312" s="42" t="s">
        <v>307</v>
      </c>
      <c r="AE312" s="42" t="s">
        <v>308</v>
      </c>
      <c r="AF312" s="43" t="s">
        <v>1275</v>
      </c>
      <c r="AG312" s="44">
        <v>34</v>
      </c>
      <c r="AH312" s="31">
        <v>2647080.9777646293</v>
      </c>
      <c r="AI312" s="31">
        <v>66091.11</v>
      </c>
      <c r="AJ312" s="31">
        <v>0</v>
      </c>
      <c r="AK312" s="31">
        <v>6756.9299999999994</v>
      </c>
      <c r="AL312" s="31">
        <v>279863.72704960388</v>
      </c>
      <c r="AM312" s="31">
        <v>0</v>
      </c>
      <c r="AN312" s="31">
        <v>206935.79837975645</v>
      </c>
      <c r="AO312" s="31">
        <f t="shared" si="22"/>
        <v>3206728.5431939899</v>
      </c>
      <c r="AP312" s="31">
        <v>0</v>
      </c>
      <c r="AR312" s="42" t="s">
        <v>307</v>
      </c>
      <c r="AS312" s="42" t="s">
        <v>308</v>
      </c>
      <c r="AT312" s="43" t="s">
        <v>1276</v>
      </c>
      <c r="AU312" s="44">
        <v>34</v>
      </c>
      <c r="AV312" s="31">
        <v>2698691.6980186198</v>
      </c>
      <c r="AW312" s="31">
        <v>67519.06</v>
      </c>
      <c r="AX312" s="31">
        <v>0</v>
      </c>
      <c r="AY312" s="31">
        <v>6880.9299999999994</v>
      </c>
      <c r="AZ312" s="31">
        <v>285530.26371493674</v>
      </c>
      <c r="BA312" s="31">
        <v>0</v>
      </c>
      <c r="BB312" s="31">
        <v>211132.15207437181</v>
      </c>
      <c r="BC312" s="31">
        <f t="shared" si="23"/>
        <v>3269754.1038079285</v>
      </c>
      <c r="BD312" s="31">
        <v>0</v>
      </c>
    </row>
    <row r="313" spans="2:56">
      <c r="B313" s="42" t="s">
        <v>351</v>
      </c>
      <c r="C313" s="42" t="s">
        <v>352</v>
      </c>
      <c r="D313" s="43" t="s">
        <v>1049</v>
      </c>
      <c r="E313" s="44">
        <v>34</v>
      </c>
      <c r="F313" s="31">
        <v>3553301.2571759112</v>
      </c>
      <c r="G313" s="31">
        <v>92862.919999999984</v>
      </c>
      <c r="H313" s="31">
        <v>11205.919999999998</v>
      </c>
      <c r="I313" s="31">
        <v>10036.619999999999</v>
      </c>
      <c r="J313" s="31">
        <v>373859.36491124833</v>
      </c>
      <c r="K313" s="31">
        <v>496022.54982368345</v>
      </c>
      <c r="L313" s="31">
        <v>273099.64873938815</v>
      </c>
      <c r="M313" s="31">
        <f t="shared" si="20"/>
        <v>4810388.2806502311</v>
      </c>
      <c r="N313" s="31">
        <v>0</v>
      </c>
      <c r="P313" s="42" t="s">
        <v>351</v>
      </c>
      <c r="Q313" s="42" t="s">
        <v>352</v>
      </c>
      <c r="R313" s="43" t="s">
        <v>1050</v>
      </c>
      <c r="S313" s="44">
        <v>34</v>
      </c>
      <c r="T313" s="31">
        <v>3792089.9362323731</v>
      </c>
      <c r="U313" s="31">
        <v>99409.41</v>
      </c>
      <c r="V313" s="31">
        <v>12037.050000000001</v>
      </c>
      <c r="W313" s="31">
        <v>10791.85</v>
      </c>
      <c r="X313" s="31">
        <v>397996.07910564833</v>
      </c>
      <c r="Y313" s="31">
        <v>497222.29895740381</v>
      </c>
      <c r="Z313" s="31">
        <v>291198.33492566278</v>
      </c>
      <c r="AA313" s="31">
        <f t="shared" si="21"/>
        <v>5100744.9592210883</v>
      </c>
      <c r="AB313" s="31">
        <v>0</v>
      </c>
      <c r="AD313" s="42" t="s">
        <v>351</v>
      </c>
      <c r="AE313" s="42" t="s">
        <v>352</v>
      </c>
      <c r="AF313" s="43" t="s">
        <v>1275</v>
      </c>
      <c r="AG313" s="44">
        <v>34</v>
      </c>
      <c r="AH313" s="31">
        <v>3861755.1528818784</v>
      </c>
      <c r="AI313" s="31">
        <v>101142.59999999998</v>
      </c>
      <c r="AJ313" s="31">
        <v>12246.92</v>
      </c>
      <c r="AK313" s="31">
        <v>10980</v>
      </c>
      <c r="AL313" s="31">
        <v>405283.13087706937</v>
      </c>
      <c r="AM313" s="31">
        <v>496310.8131955039</v>
      </c>
      <c r="AN313" s="31">
        <v>296655.64120968233</v>
      </c>
      <c r="AO313" s="31">
        <f t="shared" si="22"/>
        <v>5184374.2581641348</v>
      </c>
      <c r="AP313" s="31">
        <v>0</v>
      </c>
      <c r="AR313" s="42" t="s">
        <v>351</v>
      </c>
      <c r="AS313" s="42" t="s">
        <v>352</v>
      </c>
      <c r="AT313" s="43" t="s">
        <v>1276</v>
      </c>
      <c r="AU313" s="44">
        <v>34</v>
      </c>
      <c r="AV313" s="31">
        <v>3938955.1471364927</v>
      </c>
      <c r="AW313" s="31">
        <v>103213.88000000002</v>
      </c>
      <c r="AX313" s="31">
        <v>12471.68</v>
      </c>
      <c r="AY313" s="31">
        <v>11181.51</v>
      </c>
      <c r="AZ313" s="31">
        <v>413491.63592632959</v>
      </c>
      <c r="BA313" s="31">
        <v>496336.85564584384</v>
      </c>
      <c r="BB313" s="31">
        <v>302799.9997858479</v>
      </c>
      <c r="BC313" s="31">
        <f t="shared" si="23"/>
        <v>5278450.7084945142</v>
      </c>
      <c r="BD313" s="31">
        <v>0</v>
      </c>
    </row>
    <row r="314" spans="2:56">
      <c r="B314" s="42" t="s">
        <v>137</v>
      </c>
      <c r="C314" s="42" t="s">
        <v>138</v>
      </c>
      <c r="D314" s="43" t="s">
        <v>1049</v>
      </c>
      <c r="E314" s="44">
        <v>34</v>
      </c>
      <c r="F314" s="31">
        <v>1991553.8128150434</v>
      </c>
      <c r="G314" s="31">
        <v>48322.55000000001</v>
      </c>
      <c r="H314" s="31">
        <v>0</v>
      </c>
      <c r="I314" s="31">
        <v>3228.24</v>
      </c>
      <c r="J314" s="31">
        <v>139711.81558404976</v>
      </c>
      <c r="K314" s="31">
        <v>257964.46278194519</v>
      </c>
      <c r="L314" s="31">
        <v>123432.80992942845</v>
      </c>
      <c r="M314" s="31">
        <f t="shared" si="20"/>
        <v>2599118.9211104671</v>
      </c>
      <c r="N314" s="31">
        <v>34905.230000000003</v>
      </c>
      <c r="P314" s="42" t="s">
        <v>137</v>
      </c>
      <c r="Q314" s="42" t="s">
        <v>138</v>
      </c>
      <c r="R314" s="43" t="s">
        <v>1050</v>
      </c>
      <c r="S314" s="44">
        <v>34</v>
      </c>
      <c r="T314" s="31">
        <v>2125890.7340952945</v>
      </c>
      <c r="U314" s="31">
        <v>52227.320000000007</v>
      </c>
      <c r="V314" s="31">
        <v>0</v>
      </c>
      <c r="W314" s="31">
        <v>3544.32</v>
      </c>
      <c r="X314" s="31">
        <v>148710.20603259085</v>
      </c>
      <c r="Y314" s="31">
        <v>258622.71065109229</v>
      </c>
      <c r="Z314" s="31">
        <v>133028.56471336068</v>
      </c>
      <c r="AA314" s="31">
        <f t="shared" si="21"/>
        <v>2758833.8554923381</v>
      </c>
      <c r="AB314" s="31">
        <v>36810</v>
      </c>
      <c r="AD314" s="42" t="s">
        <v>137</v>
      </c>
      <c r="AE314" s="42" t="s">
        <v>138</v>
      </c>
      <c r="AF314" s="43" t="s">
        <v>1275</v>
      </c>
      <c r="AG314" s="44">
        <v>34</v>
      </c>
      <c r="AH314" s="31">
        <v>2163431.0412525306</v>
      </c>
      <c r="AI314" s="31">
        <v>53243.089999999982</v>
      </c>
      <c r="AJ314" s="31">
        <v>0</v>
      </c>
      <c r="AK314" s="31">
        <v>3606.4100000000003</v>
      </c>
      <c r="AL314" s="31">
        <v>151447.46652943135</v>
      </c>
      <c r="AM314" s="31">
        <v>258122.61980404326</v>
      </c>
      <c r="AN314" s="31">
        <v>135393.10163824994</v>
      </c>
      <c r="AO314" s="31">
        <f t="shared" si="22"/>
        <v>2802707.0592242554</v>
      </c>
      <c r="AP314" s="31">
        <v>37463.33</v>
      </c>
      <c r="AR314" s="42" t="s">
        <v>137</v>
      </c>
      <c r="AS314" s="42" t="s">
        <v>138</v>
      </c>
      <c r="AT314" s="43" t="s">
        <v>1276</v>
      </c>
      <c r="AU314" s="44">
        <v>34</v>
      </c>
      <c r="AV314" s="31">
        <v>2204758.0276506268</v>
      </c>
      <c r="AW314" s="31">
        <v>54328.899999999994</v>
      </c>
      <c r="AX314" s="31">
        <v>0</v>
      </c>
      <c r="AY314" s="31">
        <v>3672.8999999999996</v>
      </c>
      <c r="AZ314" s="31">
        <v>154512.20457892286</v>
      </c>
      <c r="BA314" s="31">
        <v>258136.90811395895</v>
      </c>
      <c r="BB314" s="31">
        <v>138143.06733700127</v>
      </c>
      <c r="BC314" s="31">
        <f t="shared" si="23"/>
        <v>2851824.6976805096</v>
      </c>
      <c r="BD314" s="31">
        <v>38272.69</v>
      </c>
    </row>
    <row r="315" spans="2:56">
      <c r="B315" s="42" t="s">
        <v>281</v>
      </c>
      <c r="C315" s="42" t="s">
        <v>282</v>
      </c>
      <c r="D315" s="43" t="s">
        <v>1049</v>
      </c>
      <c r="E315" s="44">
        <v>34</v>
      </c>
      <c r="F315" s="31">
        <v>6339219.7664329167</v>
      </c>
      <c r="G315" s="31">
        <v>429354.52</v>
      </c>
      <c r="H315" s="31">
        <v>68599.89</v>
      </c>
      <c r="I315" s="31">
        <v>21185.25</v>
      </c>
      <c r="J315" s="31">
        <v>948542.57391796773</v>
      </c>
      <c r="K315" s="31">
        <v>460376.82699010579</v>
      </c>
      <c r="L315" s="31">
        <v>518253.9389264402</v>
      </c>
      <c r="M315" s="31">
        <f t="shared" si="20"/>
        <v>9003337.3862674292</v>
      </c>
      <c r="N315" s="31">
        <v>217804.62</v>
      </c>
      <c r="P315" s="42" t="s">
        <v>281</v>
      </c>
      <c r="Q315" s="42" t="s">
        <v>282</v>
      </c>
      <c r="R315" s="43" t="s">
        <v>1050</v>
      </c>
      <c r="S315" s="44">
        <v>34</v>
      </c>
      <c r="T315" s="31">
        <v>6844579.9493064471</v>
      </c>
      <c r="U315" s="31">
        <v>462895.51</v>
      </c>
      <c r="V315" s="31">
        <v>73463.87999999999</v>
      </c>
      <c r="W315" s="31">
        <v>22662.100000000006</v>
      </c>
      <c r="X315" s="31">
        <v>1009700.9426009221</v>
      </c>
      <c r="Y315" s="31">
        <v>461023.51225653169</v>
      </c>
      <c r="Z315" s="31">
        <v>558492.68633327167</v>
      </c>
      <c r="AA315" s="31">
        <f t="shared" si="21"/>
        <v>9662352.150497172</v>
      </c>
      <c r="AB315" s="31">
        <v>229533.56999999998</v>
      </c>
      <c r="AD315" s="42" t="s">
        <v>281</v>
      </c>
      <c r="AE315" s="42" t="s">
        <v>282</v>
      </c>
      <c r="AF315" s="43" t="s">
        <v>1275</v>
      </c>
      <c r="AG315" s="44">
        <v>34</v>
      </c>
      <c r="AH315" s="31">
        <v>6970388.6262253979</v>
      </c>
      <c r="AI315" s="31">
        <v>471281.35999999987</v>
      </c>
      <c r="AJ315" s="31">
        <v>74750.849999999991</v>
      </c>
      <c r="AK315" s="31">
        <v>23168.389999999996</v>
      </c>
      <c r="AL315" s="31">
        <v>1028239.8982094243</v>
      </c>
      <c r="AM315" s="31">
        <v>460532.20586904569</v>
      </c>
      <c r="AN315" s="31">
        <v>568638.85543961474</v>
      </c>
      <c r="AO315" s="31">
        <f t="shared" si="22"/>
        <v>9830715.3457434811</v>
      </c>
      <c r="AP315" s="31">
        <v>233715.16</v>
      </c>
      <c r="AR315" s="42" t="s">
        <v>281</v>
      </c>
      <c r="AS315" s="42" t="s">
        <v>282</v>
      </c>
      <c r="AT315" s="43" t="s">
        <v>1276</v>
      </c>
      <c r="AU315" s="44">
        <v>34</v>
      </c>
      <c r="AV315" s="31">
        <v>7110217.4657380758</v>
      </c>
      <c r="AW315" s="31">
        <v>480701.40999999992</v>
      </c>
      <c r="AX315" s="31">
        <v>76240.47</v>
      </c>
      <c r="AY315" s="31">
        <v>23595.59</v>
      </c>
      <c r="AZ315" s="31">
        <v>1049122.8192772369</v>
      </c>
      <c r="BA315" s="31">
        <v>460546.24319440243</v>
      </c>
      <c r="BB315" s="31">
        <v>580317.54418978444</v>
      </c>
      <c r="BC315" s="31">
        <f t="shared" si="23"/>
        <v>10019260.552399499</v>
      </c>
      <c r="BD315" s="31">
        <v>238519.01</v>
      </c>
    </row>
    <row r="316" spans="2:56">
      <c r="B316" s="42" t="s">
        <v>161</v>
      </c>
      <c r="C316" s="42" t="s">
        <v>162</v>
      </c>
      <c r="D316" s="43" t="s">
        <v>1049</v>
      </c>
      <c r="E316" s="44">
        <v>34</v>
      </c>
      <c r="F316" s="31">
        <v>2260270.9940265948</v>
      </c>
      <c r="G316" s="31">
        <v>66066.169999999984</v>
      </c>
      <c r="H316" s="31">
        <v>0</v>
      </c>
      <c r="I316" s="31">
        <v>0</v>
      </c>
      <c r="J316" s="31">
        <v>162800.5069257842</v>
      </c>
      <c r="K316" s="31">
        <v>87085.71202076583</v>
      </c>
      <c r="L316" s="31">
        <v>98323.667963401182</v>
      </c>
      <c r="M316" s="31">
        <f t="shared" si="20"/>
        <v>2718883.5009365464</v>
      </c>
      <c r="N316" s="31">
        <v>44336.45</v>
      </c>
      <c r="P316" s="42" t="s">
        <v>161</v>
      </c>
      <c r="Q316" s="42" t="s">
        <v>162</v>
      </c>
      <c r="R316" s="43" t="s">
        <v>1050</v>
      </c>
      <c r="S316" s="44">
        <v>34</v>
      </c>
      <c r="T316" s="31">
        <v>2419519.2640927238</v>
      </c>
      <c r="U316" s="31">
        <v>71405.88</v>
      </c>
      <c r="V316" s="31">
        <v>0</v>
      </c>
      <c r="W316" s="31">
        <v>0</v>
      </c>
      <c r="X316" s="31">
        <v>173294.52281276727</v>
      </c>
      <c r="Y316" s="31">
        <v>87196.774104293479</v>
      </c>
      <c r="Z316" s="31">
        <v>105808.71593091404</v>
      </c>
      <c r="AA316" s="31">
        <f t="shared" si="21"/>
        <v>2903906.8769406988</v>
      </c>
      <c r="AB316" s="31">
        <v>46681.72</v>
      </c>
      <c r="AD316" s="42" t="s">
        <v>161</v>
      </c>
      <c r="AE316" s="42" t="s">
        <v>162</v>
      </c>
      <c r="AF316" s="43" t="s">
        <v>1275</v>
      </c>
      <c r="AG316" s="44">
        <v>34</v>
      </c>
      <c r="AH316" s="31">
        <v>2462699.9022291796</v>
      </c>
      <c r="AI316" s="31">
        <v>72745.34</v>
      </c>
      <c r="AJ316" s="31">
        <v>0</v>
      </c>
      <c r="AK316" s="31">
        <v>0</v>
      </c>
      <c r="AL316" s="31">
        <v>176479.82481607821</v>
      </c>
      <c r="AM316" s="31">
        <v>87112.396874940139</v>
      </c>
      <c r="AN316" s="31">
        <v>107790.8581824733</v>
      </c>
      <c r="AO316" s="31">
        <f t="shared" si="22"/>
        <v>2954335.0021026712</v>
      </c>
      <c r="AP316" s="31">
        <v>47506.68</v>
      </c>
      <c r="AR316" s="42" t="s">
        <v>161</v>
      </c>
      <c r="AS316" s="42" t="s">
        <v>162</v>
      </c>
      <c r="AT316" s="43" t="s">
        <v>1276</v>
      </c>
      <c r="AU316" s="44">
        <v>34</v>
      </c>
      <c r="AV316" s="31">
        <v>2510068.3156303093</v>
      </c>
      <c r="AW316" s="31">
        <v>74177.88</v>
      </c>
      <c r="AX316" s="31">
        <v>0</v>
      </c>
      <c r="AY316" s="31">
        <v>0</v>
      </c>
      <c r="AZ316" s="31">
        <v>180055.35020050593</v>
      </c>
      <c r="BA316" s="31">
        <v>87114.807652921663</v>
      </c>
      <c r="BB316" s="31">
        <v>109928.59334919389</v>
      </c>
      <c r="BC316" s="31">
        <f t="shared" si="23"/>
        <v>3009841.0568329305</v>
      </c>
      <c r="BD316" s="31">
        <v>48496.11</v>
      </c>
    </row>
    <row r="317" spans="2:56">
      <c r="B317" s="42" t="s">
        <v>251</v>
      </c>
      <c r="C317" s="42" t="s">
        <v>252</v>
      </c>
      <c r="D317" s="43" t="s">
        <v>1049</v>
      </c>
      <c r="E317" s="44">
        <v>34</v>
      </c>
      <c r="F317" s="31">
        <v>1920577.6221816805</v>
      </c>
      <c r="G317" s="31">
        <v>34299.85</v>
      </c>
      <c r="H317" s="31">
        <v>0</v>
      </c>
      <c r="I317" s="31">
        <v>0</v>
      </c>
      <c r="J317" s="31">
        <v>58152.173560458454</v>
      </c>
      <c r="K317" s="31">
        <v>47423.275564528092</v>
      </c>
      <c r="L317" s="31">
        <v>23050.984231398241</v>
      </c>
      <c r="M317" s="31">
        <f t="shared" si="20"/>
        <v>2100069.1555380654</v>
      </c>
      <c r="N317" s="31">
        <v>16565.25</v>
      </c>
      <c r="P317" s="42" t="s">
        <v>251</v>
      </c>
      <c r="Q317" s="42" t="s">
        <v>252</v>
      </c>
      <c r="R317" s="43" t="s">
        <v>1050</v>
      </c>
      <c r="S317" s="44">
        <v>34</v>
      </c>
      <c r="T317" s="31">
        <v>2041748.8410039097</v>
      </c>
      <c r="U317" s="31">
        <v>36801.54</v>
      </c>
      <c r="V317" s="31">
        <v>0</v>
      </c>
      <c r="W317" s="31">
        <v>0</v>
      </c>
      <c r="X317" s="31">
        <v>61602.575197897262</v>
      </c>
      <c r="Y317" s="31">
        <v>47545.992305745916</v>
      </c>
      <c r="Z317" s="31">
        <v>24675.139616455119</v>
      </c>
      <c r="AA317" s="31">
        <f t="shared" si="21"/>
        <v>2229739.2681240081</v>
      </c>
      <c r="AB317" s="31">
        <v>17365.18</v>
      </c>
      <c r="AD317" s="42" t="s">
        <v>251</v>
      </c>
      <c r="AE317" s="42" t="s">
        <v>252</v>
      </c>
      <c r="AF317" s="43" t="s">
        <v>1275</v>
      </c>
      <c r="AG317" s="44">
        <v>34</v>
      </c>
      <c r="AH317" s="31">
        <v>2077396.1784334665</v>
      </c>
      <c r="AI317" s="31">
        <v>37439.040000000008</v>
      </c>
      <c r="AJ317" s="31">
        <v>0</v>
      </c>
      <c r="AK317" s="31">
        <v>0</v>
      </c>
      <c r="AL317" s="31">
        <v>62684.794911505509</v>
      </c>
      <c r="AM317" s="31">
        <v>47452.760679880979</v>
      </c>
      <c r="AN317" s="31">
        <v>25109.204707292221</v>
      </c>
      <c r="AO317" s="31">
        <f t="shared" si="22"/>
        <v>2267754.0387321454</v>
      </c>
      <c r="AP317" s="31">
        <v>17672.060000000001</v>
      </c>
      <c r="AR317" s="42" t="s">
        <v>251</v>
      </c>
      <c r="AS317" s="42" t="s">
        <v>252</v>
      </c>
      <c r="AT317" s="43" t="s">
        <v>1276</v>
      </c>
      <c r="AU317" s="44">
        <v>34</v>
      </c>
      <c r="AV317" s="31">
        <v>2115555.9560470413</v>
      </c>
      <c r="AW317" s="31">
        <v>38121.82</v>
      </c>
      <c r="AX317" s="31">
        <v>0</v>
      </c>
      <c r="AY317" s="31">
        <v>0</v>
      </c>
      <c r="AZ317" s="31">
        <v>63843.847793667948</v>
      </c>
      <c r="BA317" s="31">
        <v>47455.42444061998</v>
      </c>
      <c r="BB317" s="31">
        <v>25574.073760178755</v>
      </c>
      <c r="BC317" s="31">
        <f t="shared" si="23"/>
        <v>2308551.8420415083</v>
      </c>
      <c r="BD317" s="31">
        <v>18000.72</v>
      </c>
    </row>
    <row r="318" spans="2:56">
      <c r="B318" s="42" t="s">
        <v>85</v>
      </c>
      <c r="C318" s="42" t="s">
        <v>86</v>
      </c>
      <c r="D318" s="43" t="s">
        <v>1049</v>
      </c>
      <c r="E318" s="44">
        <v>34</v>
      </c>
      <c r="F318" s="31">
        <v>19704009.326226279</v>
      </c>
      <c r="G318" s="31">
        <v>691648.52000000014</v>
      </c>
      <c r="H318" s="31">
        <v>312303.98</v>
      </c>
      <c r="I318" s="31">
        <v>65871.280000000013</v>
      </c>
      <c r="J318" s="31">
        <v>3006235.0527040982</v>
      </c>
      <c r="K318" s="31">
        <v>5702376.3561724639</v>
      </c>
      <c r="L318" s="31">
        <v>767436.93049635959</v>
      </c>
      <c r="M318" s="31">
        <f t="shared" si="20"/>
        <v>30392537.595599204</v>
      </c>
      <c r="N318" s="31">
        <v>142656.15</v>
      </c>
      <c r="P318" s="42" t="s">
        <v>85</v>
      </c>
      <c r="Q318" s="42" t="s">
        <v>86</v>
      </c>
      <c r="R318" s="43" t="s">
        <v>1050</v>
      </c>
      <c r="S318" s="44">
        <v>34</v>
      </c>
      <c r="T318" s="31">
        <v>21090030.809927609</v>
      </c>
      <c r="U318" s="31">
        <v>742556.94</v>
      </c>
      <c r="V318" s="31">
        <v>334235.62000000005</v>
      </c>
      <c r="W318" s="31">
        <v>70561.989999999991</v>
      </c>
      <c r="X318" s="31">
        <v>3200194.19344316</v>
      </c>
      <c r="Y318" s="31">
        <v>5716785.1820259364</v>
      </c>
      <c r="Z318" s="31">
        <v>818609.3688269523</v>
      </c>
      <c r="AA318" s="31">
        <f t="shared" si="21"/>
        <v>32123234.074223656</v>
      </c>
      <c r="AB318" s="31">
        <v>150259.97</v>
      </c>
      <c r="AD318" s="42" t="s">
        <v>85</v>
      </c>
      <c r="AE318" s="42" t="s">
        <v>86</v>
      </c>
      <c r="AF318" s="43" t="s">
        <v>1275</v>
      </c>
      <c r="AG318" s="44">
        <v>34</v>
      </c>
      <c r="AH318" s="31">
        <v>21494709.208918158</v>
      </c>
      <c r="AI318" s="31">
        <v>755997.14</v>
      </c>
      <c r="AJ318" s="31">
        <v>340274.13</v>
      </c>
      <c r="AK318" s="31">
        <v>71792.23</v>
      </c>
      <c r="AL318" s="31">
        <v>3258822.606359506</v>
      </c>
      <c r="AM318" s="31">
        <v>5705838.3605263364</v>
      </c>
      <c r="AN318" s="31">
        <v>833630.46786908456</v>
      </c>
      <c r="AO318" s="31">
        <f t="shared" si="22"/>
        <v>32614083.49367309</v>
      </c>
      <c r="AP318" s="31">
        <v>153019.35</v>
      </c>
      <c r="AR318" s="42" t="s">
        <v>85</v>
      </c>
      <c r="AS318" s="42" t="s">
        <v>86</v>
      </c>
      <c r="AT318" s="43" t="s">
        <v>1276</v>
      </c>
      <c r="AU318" s="44">
        <v>34</v>
      </c>
      <c r="AV318" s="31">
        <v>21947375.907027941</v>
      </c>
      <c r="AW318" s="31">
        <v>771129.26</v>
      </c>
      <c r="AX318" s="31">
        <v>347271.69</v>
      </c>
      <c r="AY318" s="31">
        <v>73217.33</v>
      </c>
      <c r="AZ318" s="31">
        <v>3324798.7956304257</v>
      </c>
      <c r="BA318" s="31">
        <v>5706151.1268548965</v>
      </c>
      <c r="BB318" s="31">
        <v>850511.30008582131</v>
      </c>
      <c r="BC318" s="31">
        <f t="shared" si="23"/>
        <v>33176638.299599085</v>
      </c>
      <c r="BD318" s="31">
        <v>156182.88999999998</v>
      </c>
    </row>
    <row r="319" spans="2:56">
      <c r="B319" s="42" t="s">
        <v>1039</v>
      </c>
      <c r="C319" s="42" t="s">
        <v>1045</v>
      </c>
      <c r="D319" s="43" t="s">
        <v>1049</v>
      </c>
      <c r="E319" s="44">
        <v>34</v>
      </c>
      <c r="F319" s="31">
        <v>2039278.1234776743</v>
      </c>
      <c r="G319" s="31">
        <v>0</v>
      </c>
      <c r="H319" s="31">
        <v>0</v>
      </c>
      <c r="I319" s="31">
        <v>0</v>
      </c>
      <c r="J319" s="31">
        <v>144343.61016967293</v>
      </c>
      <c r="K319" s="31">
        <v>0</v>
      </c>
      <c r="L319" s="31">
        <v>0</v>
      </c>
      <c r="M319" s="31">
        <f t="shared" si="20"/>
        <v>2183621.7336473474</v>
      </c>
      <c r="N319" s="31">
        <v>0</v>
      </c>
      <c r="P319" s="42" t="s">
        <v>1039</v>
      </c>
      <c r="Q319" s="42" t="s">
        <v>1045</v>
      </c>
      <c r="R319" s="43" t="s">
        <v>1050</v>
      </c>
      <c r="S319" s="44">
        <v>34</v>
      </c>
      <c r="T319" s="31">
        <v>2168973.2080349843</v>
      </c>
      <c r="U319" s="31">
        <v>0</v>
      </c>
      <c r="V319" s="31">
        <v>0</v>
      </c>
      <c r="W319" s="31">
        <v>0</v>
      </c>
      <c r="X319" s="31">
        <v>153675.05620119738</v>
      </c>
      <c r="Y319" s="31">
        <v>0</v>
      </c>
      <c r="Z319" s="31">
        <v>0</v>
      </c>
      <c r="AA319" s="31">
        <f t="shared" si="21"/>
        <v>2322648.2642361815</v>
      </c>
      <c r="AB319" s="31">
        <v>0</v>
      </c>
      <c r="AD319" s="42" t="s">
        <v>1039</v>
      </c>
      <c r="AE319" s="42" t="s">
        <v>1045</v>
      </c>
      <c r="AF319" s="43" t="s">
        <v>1275</v>
      </c>
      <c r="AG319" s="44">
        <v>34</v>
      </c>
      <c r="AH319" s="31">
        <v>2207101.1555783483</v>
      </c>
      <c r="AI319" s="31">
        <v>0</v>
      </c>
      <c r="AJ319" s="31">
        <v>0</v>
      </c>
      <c r="AK319" s="31">
        <v>0</v>
      </c>
      <c r="AL319" s="31">
        <v>156497.90582363011</v>
      </c>
      <c r="AM319" s="31">
        <v>0</v>
      </c>
      <c r="AN319" s="31">
        <v>0</v>
      </c>
      <c r="AO319" s="31">
        <f t="shared" si="22"/>
        <v>2363599.0614019786</v>
      </c>
      <c r="AP319" s="31">
        <v>0</v>
      </c>
      <c r="AR319" s="42" t="s">
        <v>1039</v>
      </c>
      <c r="AS319" s="42" t="s">
        <v>1045</v>
      </c>
      <c r="AT319" s="43" t="s">
        <v>1276</v>
      </c>
      <c r="AU319" s="44">
        <v>34</v>
      </c>
      <c r="AV319" s="31">
        <v>2249052.9607923431</v>
      </c>
      <c r="AW319" s="31">
        <v>0</v>
      </c>
      <c r="AX319" s="31">
        <v>0</v>
      </c>
      <c r="AY319" s="31">
        <v>0</v>
      </c>
      <c r="AZ319" s="31">
        <v>159673.39860826955</v>
      </c>
      <c r="BA319" s="31">
        <v>0</v>
      </c>
      <c r="BB319" s="31">
        <v>0</v>
      </c>
      <c r="BC319" s="31">
        <f t="shared" si="23"/>
        <v>2408726.3594006128</v>
      </c>
      <c r="BD319" s="31">
        <v>0</v>
      </c>
    </row>
    <row r="320" spans="2:56">
      <c r="B320" s="42" t="s">
        <v>585</v>
      </c>
      <c r="C320" s="42" t="s">
        <v>586</v>
      </c>
      <c r="D320" s="43" t="s">
        <v>1049</v>
      </c>
      <c r="E320" s="44">
        <v>34</v>
      </c>
      <c r="F320" s="31">
        <v>120762643.90729365</v>
      </c>
      <c r="G320" s="31">
        <v>8316542.2000000002</v>
      </c>
      <c r="H320" s="31">
        <v>7147424.2999999989</v>
      </c>
      <c r="I320" s="31">
        <v>438589.74000000005</v>
      </c>
      <c r="J320" s="31">
        <v>18678756.946355462</v>
      </c>
      <c r="K320" s="31">
        <v>3660685.0027060914</v>
      </c>
      <c r="L320" s="31">
        <v>16369644.889343288</v>
      </c>
      <c r="M320" s="31">
        <f t="shared" si="20"/>
        <v>179873899.96569848</v>
      </c>
      <c r="N320" s="31">
        <v>4499612.9799999995</v>
      </c>
      <c r="P320" s="42" t="s">
        <v>585</v>
      </c>
      <c r="Q320" s="42" t="s">
        <v>586</v>
      </c>
      <c r="R320" s="43" t="s">
        <v>1050</v>
      </c>
      <c r="S320" s="44">
        <v>34</v>
      </c>
      <c r="T320" s="31">
        <v>130528900.74884713</v>
      </c>
      <c r="U320" s="31">
        <v>8974885.370000001</v>
      </c>
      <c r="V320" s="31">
        <v>7648610.0800000001</v>
      </c>
      <c r="W320" s="31">
        <v>469341.10000000003</v>
      </c>
      <c r="X320" s="31">
        <v>19883977.949701726</v>
      </c>
      <c r="Y320" s="31">
        <v>3669295.2202504734</v>
      </c>
      <c r="Z320" s="31">
        <v>17625699.006851293</v>
      </c>
      <c r="AA320" s="31">
        <f t="shared" si="21"/>
        <v>193540691.28565064</v>
      </c>
      <c r="AB320" s="31">
        <v>4739981.8099999996</v>
      </c>
      <c r="AD320" s="42" t="s">
        <v>585</v>
      </c>
      <c r="AE320" s="42" t="s">
        <v>586</v>
      </c>
      <c r="AF320" s="43" t="s">
        <v>1275</v>
      </c>
      <c r="AG320" s="44">
        <v>34</v>
      </c>
      <c r="AH320" s="31">
        <v>132962143.22991537</v>
      </c>
      <c r="AI320" s="31">
        <v>9137049.8999999985</v>
      </c>
      <c r="AJ320" s="31">
        <v>7787874.6799999997</v>
      </c>
      <c r="AK320" s="31">
        <v>477840.72</v>
      </c>
      <c r="AL320" s="31">
        <v>20248371.388000526</v>
      </c>
      <c r="AM320" s="31">
        <v>3662753.7771454235</v>
      </c>
      <c r="AN320" s="31">
        <v>17948852.517843533</v>
      </c>
      <c r="AO320" s="31">
        <f t="shared" si="22"/>
        <v>197052272.14290485</v>
      </c>
      <c r="AP320" s="31">
        <v>4827385.9300000006</v>
      </c>
      <c r="AR320" s="42" t="s">
        <v>585</v>
      </c>
      <c r="AS320" s="42" t="s">
        <v>586</v>
      </c>
      <c r="AT320" s="43" t="s">
        <v>1276</v>
      </c>
      <c r="AU320" s="44">
        <v>34</v>
      </c>
      <c r="AV320" s="31">
        <v>135694880.77452275</v>
      </c>
      <c r="AW320" s="31">
        <v>9319597.0899999999</v>
      </c>
      <c r="AX320" s="31">
        <v>7944565.3700000001</v>
      </c>
      <c r="AY320" s="31">
        <v>487470.51</v>
      </c>
      <c r="AZ320" s="31">
        <v>20658308.415819708</v>
      </c>
      <c r="BA320" s="31">
        <v>3662940.6755198534</v>
      </c>
      <c r="BB320" s="31">
        <v>18312617.557887375</v>
      </c>
      <c r="BC320" s="31">
        <f t="shared" si="23"/>
        <v>201006018.06374967</v>
      </c>
      <c r="BD320" s="31">
        <v>4925637.67</v>
      </c>
    </row>
    <row r="321" spans="2:56">
      <c r="B321" s="42" t="s">
        <v>507</v>
      </c>
      <c r="C321" s="42" t="s">
        <v>508</v>
      </c>
      <c r="D321" s="43" t="s">
        <v>1049</v>
      </c>
      <c r="E321" s="44">
        <v>34</v>
      </c>
      <c r="F321" s="31">
        <v>42928363.708672002</v>
      </c>
      <c r="G321" s="31">
        <v>1554893.6799999997</v>
      </c>
      <c r="H321" s="31">
        <v>279758.09000000003</v>
      </c>
      <c r="I321" s="31">
        <v>150354.15000000002</v>
      </c>
      <c r="J321" s="31">
        <v>6923918.7120449366</v>
      </c>
      <c r="K321" s="31">
        <v>4122715.3464736412</v>
      </c>
      <c r="L321" s="31">
        <v>3905525.3188300221</v>
      </c>
      <c r="M321" s="31">
        <f t="shared" si="20"/>
        <v>60015006.146020606</v>
      </c>
      <c r="N321" s="31">
        <v>149477.14000000001</v>
      </c>
      <c r="P321" s="42" t="s">
        <v>507</v>
      </c>
      <c r="Q321" s="42" t="s">
        <v>508</v>
      </c>
      <c r="R321" s="43" t="s">
        <v>1050</v>
      </c>
      <c r="S321" s="44">
        <v>34</v>
      </c>
      <c r="T321" s="31">
        <v>45929883.403723001</v>
      </c>
      <c r="U321" s="31">
        <v>1666411.58</v>
      </c>
      <c r="V321" s="31">
        <v>299473.45</v>
      </c>
      <c r="W321" s="31">
        <v>160943.63999999998</v>
      </c>
      <c r="X321" s="31">
        <v>7370614.5473561892</v>
      </c>
      <c r="Y321" s="31">
        <v>4131785.2887370186</v>
      </c>
      <c r="Z321" s="31">
        <v>4166163.9641841929</v>
      </c>
      <c r="AA321" s="31">
        <f t="shared" si="21"/>
        <v>63882788.36400041</v>
      </c>
      <c r="AB321" s="31">
        <v>157512.49000000002</v>
      </c>
      <c r="AD321" s="42" t="s">
        <v>507</v>
      </c>
      <c r="AE321" s="42" t="s">
        <v>508</v>
      </c>
      <c r="AF321" s="43" t="s">
        <v>1275</v>
      </c>
      <c r="AG321" s="44">
        <v>34</v>
      </c>
      <c r="AH321" s="31">
        <v>46787249.179248825</v>
      </c>
      <c r="AI321" s="31">
        <v>1696696.3499999999</v>
      </c>
      <c r="AJ321" s="31">
        <v>304905.88000000006</v>
      </c>
      <c r="AK321" s="31">
        <v>163855.23999999996</v>
      </c>
      <c r="AL321" s="31">
        <v>7505672.4566564476</v>
      </c>
      <c r="AM321" s="31">
        <v>4124894.5788361188</v>
      </c>
      <c r="AN321" s="31">
        <v>4242502.4077660087</v>
      </c>
      <c r="AO321" s="31">
        <f t="shared" si="22"/>
        <v>64986176.132507406</v>
      </c>
      <c r="AP321" s="31">
        <v>160400.04</v>
      </c>
      <c r="AR321" s="42" t="s">
        <v>507</v>
      </c>
      <c r="AS321" s="42" t="s">
        <v>508</v>
      </c>
      <c r="AT321" s="43" t="s">
        <v>1276</v>
      </c>
      <c r="AU321" s="44">
        <v>34</v>
      </c>
      <c r="AV321" s="31">
        <v>47749233.657077432</v>
      </c>
      <c r="AW321" s="31">
        <v>1730809.67</v>
      </c>
      <c r="AX321" s="31">
        <v>311039.30999999994</v>
      </c>
      <c r="AY321" s="31">
        <v>167077.46</v>
      </c>
      <c r="AZ321" s="31">
        <v>7657611.9057753356</v>
      </c>
      <c r="BA321" s="31">
        <v>4125091.4562618588</v>
      </c>
      <c r="BB321" s="31">
        <v>4328619.5372734573</v>
      </c>
      <c r="BC321" s="31">
        <f t="shared" si="23"/>
        <v>66233077.956388094</v>
      </c>
      <c r="BD321" s="31">
        <v>163594.96</v>
      </c>
    </row>
    <row r="322" spans="2:56">
      <c r="B322" s="42" t="s">
        <v>603</v>
      </c>
      <c r="C322" s="42" t="s">
        <v>604</v>
      </c>
      <c r="D322" s="43" t="s">
        <v>1049</v>
      </c>
      <c r="E322" s="44">
        <v>34</v>
      </c>
      <c r="F322" s="31">
        <v>10390294.395494634</v>
      </c>
      <c r="G322" s="31">
        <v>452621.50999999995</v>
      </c>
      <c r="H322" s="31">
        <v>212717.47999999998</v>
      </c>
      <c r="I322" s="31">
        <v>0</v>
      </c>
      <c r="J322" s="31">
        <v>1178648.8546684843</v>
      </c>
      <c r="K322" s="31">
        <v>456020.15379510541</v>
      </c>
      <c r="L322" s="31">
        <v>411482.14304740343</v>
      </c>
      <c r="M322" s="31">
        <f t="shared" si="20"/>
        <v>13461932.85700563</v>
      </c>
      <c r="N322" s="31">
        <v>360148.32</v>
      </c>
      <c r="P322" s="42" t="s">
        <v>603</v>
      </c>
      <c r="Q322" s="42" t="s">
        <v>604</v>
      </c>
      <c r="R322" s="43" t="s">
        <v>1050</v>
      </c>
      <c r="S322" s="44">
        <v>34</v>
      </c>
      <c r="T322" s="31">
        <v>11225542.435179178</v>
      </c>
      <c r="U322" s="31">
        <v>490298.38999999996</v>
      </c>
      <c r="V322" s="31">
        <v>227562.47</v>
      </c>
      <c r="W322" s="31">
        <v>0</v>
      </c>
      <c r="X322" s="31">
        <v>1254703.1469323563</v>
      </c>
      <c r="Y322" s="31">
        <v>456838.71884039062</v>
      </c>
      <c r="Z322" s="31">
        <v>443185.28015813907</v>
      </c>
      <c r="AA322" s="31">
        <f t="shared" si="21"/>
        <v>14477508.771110065</v>
      </c>
      <c r="AB322" s="31">
        <v>379378.33</v>
      </c>
      <c r="AD322" s="42" t="s">
        <v>603</v>
      </c>
      <c r="AE322" s="42" t="s">
        <v>604</v>
      </c>
      <c r="AF322" s="43" t="s">
        <v>1275</v>
      </c>
      <c r="AG322" s="44">
        <v>34</v>
      </c>
      <c r="AH322" s="31">
        <v>11432633.221643141</v>
      </c>
      <c r="AI322" s="31">
        <v>499183.81</v>
      </c>
      <c r="AJ322" s="31">
        <v>231741.14999999997</v>
      </c>
      <c r="AK322" s="31">
        <v>0</v>
      </c>
      <c r="AL322" s="31">
        <v>1277695.2035957635</v>
      </c>
      <c r="AM322" s="31">
        <v>456216.83017800597</v>
      </c>
      <c r="AN322" s="31">
        <v>451377.88173353183</v>
      </c>
      <c r="AO322" s="31">
        <f t="shared" si="22"/>
        <v>14735242.727150442</v>
      </c>
      <c r="AP322" s="31">
        <v>386394.63000000006</v>
      </c>
      <c r="AR322" s="42" t="s">
        <v>603</v>
      </c>
      <c r="AS322" s="42" t="s">
        <v>604</v>
      </c>
      <c r="AT322" s="43" t="s">
        <v>1276</v>
      </c>
      <c r="AU322" s="44">
        <v>34</v>
      </c>
      <c r="AV322" s="31">
        <v>11664866.088603368</v>
      </c>
      <c r="AW322" s="31">
        <v>509120.19999999995</v>
      </c>
      <c r="AX322" s="31">
        <v>236424.29000000004</v>
      </c>
      <c r="AY322" s="31">
        <v>0</v>
      </c>
      <c r="AZ322" s="31">
        <v>1303563.9442669982</v>
      </c>
      <c r="BA322" s="31">
        <v>456234.59842550271</v>
      </c>
      <c r="BB322" s="31">
        <v>460499.44369459536</v>
      </c>
      <c r="BC322" s="31">
        <f t="shared" si="23"/>
        <v>15024924.774990462</v>
      </c>
      <c r="BD322" s="31">
        <v>394216.20999999996</v>
      </c>
    </row>
  </sheetData>
  <autoFilter ref="A4:AW311" xr:uid="{00000000-0009-0000-0000-000015000000}"/>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tabColor theme="5" tint="0.59999389629810485"/>
  </sheetPr>
  <dimension ref="A1:AO315"/>
  <sheetViews>
    <sheetView workbookViewId="0">
      <pane ySplit="7" topLeftCell="A8" activePane="bottomLeft" state="frozen"/>
      <selection activeCell="C3" sqref="C3:E3"/>
      <selection pane="bottomLeft" activeCell="C3" sqref="C3:E3"/>
    </sheetView>
  </sheetViews>
  <sheetFormatPr defaultColWidth="9.21875" defaultRowHeight="13.8"/>
  <cols>
    <col min="1" max="1" width="6.5546875" style="29" bestFit="1" customWidth="1"/>
    <col min="2" max="2" width="18" style="29" bestFit="1" customWidth="1"/>
    <col min="3" max="3" width="16" style="29" customWidth="1"/>
    <col min="4" max="4" width="14.5546875" style="29" bestFit="1" customWidth="1"/>
    <col min="5" max="5" width="4.77734375" style="47" customWidth="1"/>
    <col min="6" max="6" width="15.77734375" style="29" customWidth="1"/>
    <col min="7" max="7" width="14.5546875" style="29" bestFit="1" customWidth="1"/>
    <col min="8" max="8" width="4.77734375" style="47" customWidth="1"/>
    <col min="9" max="10" width="14.44140625" style="29" customWidth="1"/>
    <col min="11" max="12" width="14.5546875" style="29" customWidth="1"/>
    <col min="13" max="14" width="14.44140625" style="29" customWidth="1"/>
    <col min="15" max="17" width="16" style="29" customWidth="1"/>
    <col min="18" max="20" width="14.44140625" style="29" customWidth="1"/>
    <col min="21" max="21" width="16" style="29" customWidth="1"/>
    <col min="22" max="23" width="15.21875" style="29" customWidth="1"/>
    <col min="24" max="24" width="14.44140625" style="29" customWidth="1"/>
    <col min="25" max="25" width="4.77734375" style="47" customWidth="1"/>
    <col min="26" max="27" width="14.44140625" style="29" customWidth="1"/>
    <col min="28" max="29" width="16" style="29" customWidth="1"/>
    <col min="30" max="31" width="14.44140625" style="29" customWidth="1"/>
    <col min="32" max="41" width="16" style="29" customWidth="1"/>
    <col min="42" max="16384" width="9.21875" style="47"/>
  </cols>
  <sheetData>
    <row r="1" spans="1:41">
      <c r="A1" s="46">
        <v>1</v>
      </c>
      <c r="B1" s="46">
        <f>A1+1</f>
        <v>2</v>
      </c>
      <c r="C1" s="46">
        <f t="shared" ref="C1:AO1" si="0">B1+1</f>
        <v>3</v>
      </c>
      <c r="D1" s="46">
        <f t="shared" si="0"/>
        <v>4</v>
      </c>
      <c r="E1" s="46">
        <f t="shared" si="0"/>
        <v>5</v>
      </c>
      <c r="F1" s="46">
        <f t="shared" si="0"/>
        <v>6</v>
      </c>
      <c r="G1" s="46">
        <f t="shared" si="0"/>
        <v>7</v>
      </c>
      <c r="H1" s="46">
        <f t="shared" si="0"/>
        <v>8</v>
      </c>
      <c r="I1" s="46">
        <f t="shared" si="0"/>
        <v>9</v>
      </c>
      <c r="J1" s="46">
        <f t="shared" si="0"/>
        <v>10</v>
      </c>
      <c r="K1" s="46">
        <f t="shared" si="0"/>
        <v>11</v>
      </c>
      <c r="L1" s="46">
        <f t="shared" si="0"/>
        <v>12</v>
      </c>
      <c r="M1" s="46">
        <f t="shared" si="0"/>
        <v>13</v>
      </c>
      <c r="N1" s="46">
        <f t="shared" si="0"/>
        <v>14</v>
      </c>
      <c r="O1" s="46">
        <f t="shared" si="0"/>
        <v>15</v>
      </c>
      <c r="P1" s="46">
        <f t="shared" si="0"/>
        <v>16</v>
      </c>
      <c r="Q1" s="46">
        <f t="shared" si="0"/>
        <v>17</v>
      </c>
      <c r="R1" s="46">
        <f t="shared" si="0"/>
        <v>18</v>
      </c>
      <c r="S1" s="46">
        <f t="shared" si="0"/>
        <v>19</v>
      </c>
      <c r="T1" s="46">
        <f t="shared" si="0"/>
        <v>20</v>
      </c>
      <c r="U1" s="46">
        <f t="shared" si="0"/>
        <v>21</v>
      </c>
      <c r="V1" s="46">
        <f t="shared" si="0"/>
        <v>22</v>
      </c>
      <c r="W1" s="46">
        <f t="shared" si="0"/>
        <v>23</v>
      </c>
      <c r="X1" s="46">
        <f t="shared" si="0"/>
        <v>24</v>
      </c>
      <c r="Y1" s="46">
        <f t="shared" si="0"/>
        <v>25</v>
      </c>
      <c r="Z1" s="46">
        <f t="shared" si="0"/>
        <v>26</v>
      </c>
      <c r="AA1" s="46">
        <f t="shared" si="0"/>
        <v>27</v>
      </c>
      <c r="AB1" s="46">
        <f t="shared" si="0"/>
        <v>28</v>
      </c>
      <c r="AC1" s="46">
        <f t="shared" si="0"/>
        <v>29</v>
      </c>
      <c r="AD1" s="46">
        <f t="shared" si="0"/>
        <v>30</v>
      </c>
      <c r="AE1" s="46">
        <f t="shared" si="0"/>
        <v>31</v>
      </c>
      <c r="AF1" s="46">
        <f t="shared" si="0"/>
        <v>32</v>
      </c>
      <c r="AG1" s="46">
        <f t="shared" si="0"/>
        <v>33</v>
      </c>
      <c r="AH1" s="46">
        <f t="shared" si="0"/>
        <v>34</v>
      </c>
      <c r="AI1" s="46">
        <f t="shared" si="0"/>
        <v>35</v>
      </c>
      <c r="AJ1" s="46">
        <f t="shared" si="0"/>
        <v>36</v>
      </c>
      <c r="AK1" s="46">
        <f t="shared" si="0"/>
        <v>37</v>
      </c>
      <c r="AL1" s="46">
        <f t="shared" si="0"/>
        <v>38</v>
      </c>
      <c r="AM1" s="46">
        <f t="shared" si="0"/>
        <v>39</v>
      </c>
      <c r="AN1" s="46">
        <f t="shared" si="0"/>
        <v>40</v>
      </c>
      <c r="AO1" s="46">
        <f t="shared" si="0"/>
        <v>41</v>
      </c>
    </row>
    <row r="2" spans="1:41" ht="12.75" customHeight="1">
      <c r="A2" s="48"/>
      <c r="B2" s="49"/>
      <c r="C2" s="102" t="s">
        <v>1292</v>
      </c>
      <c r="D2" s="421"/>
      <c r="F2" s="102" t="s">
        <v>1343</v>
      </c>
      <c r="G2" s="421"/>
      <c r="I2" s="488" t="s">
        <v>1013</v>
      </c>
      <c r="J2" s="488"/>
      <c r="K2" s="488"/>
      <c r="L2" s="488"/>
      <c r="M2" s="488"/>
      <c r="N2" s="488"/>
      <c r="O2" s="488"/>
      <c r="P2" s="488"/>
      <c r="Q2" s="489" t="s">
        <v>1377</v>
      </c>
      <c r="R2" s="489"/>
      <c r="S2" s="489"/>
      <c r="T2" s="489"/>
      <c r="U2" s="489"/>
      <c r="V2" s="489"/>
      <c r="W2" s="489"/>
      <c r="X2" s="489"/>
      <c r="Z2" s="74" t="s">
        <v>1217</v>
      </c>
      <c r="AA2" s="420"/>
      <c r="AB2" s="420"/>
      <c r="AC2" s="420"/>
      <c r="AD2" s="420"/>
      <c r="AE2" s="420"/>
      <c r="AF2" s="420"/>
      <c r="AG2" s="420"/>
      <c r="AH2" s="222" t="s">
        <v>1217</v>
      </c>
      <c r="AI2" s="222"/>
      <c r="AJ2" s="222"/>
      <c r="AK2" s="222"/>
      <c r="AL2" s="222"/>
      <c r="AM2" s="222"/>
      <c r="AN2" s="222"/>
      <c r="AO2" s="222"/>
    </row>
    <row r="3" spans="1:41" ht="12.75" customHeight="1">
      <c r="A3" s="48"/>
      <c r="B3" s="49"/>
      <c r="C3" s="480" t="s">
        <v>915</v>
      </c>
      <c r="D3" s="480"/>
      <c r="F3" s="480" t="s">
        <v>1052</v>
      </c>
      <c r="G3" s="480"/>
      <c r="I3" s="481" t="s">
        <v>913</v>
      </c>
      <c r="J3" s="483"/>
      <c r="K3" s="481" t="s">
        <v>914</v>
      </c>
      <c r="L3" s="482"/>
      <c r="M3" s="481" t="s">
        <v>913</v>
      </c>
      <c r="N3" s="483"/>
      <c r="O3" s="481" t="s">
        <v>914</v>
      </c>
      <c r="P3" s="482"/>
      <c r="Q3" s="490"/>
      <c r="R3" s="490"/>
      <c r="S3" s="490"/>
      <c r="T3" s="491"/>
      <c r="U3" s="490"/>
      <c r="V3" s="490"/>
      <c r="W3" s="490"/>
      <c r="X3" s="491"/>
      <c r="Z3" s="484" t="s">
        <v>913</v>
      </c>
      <c r="AA3" s="485"/>
      <c r="AB3" s="484" t="s">
        <v>914</v>
      </c>
      <c r="AC3" s="484"/>
      <c r="AD3" s="484" t="s">
        <v>913</v>
      </c>
      <c r="AE3" s="485"/>
      <c r="AF3" s="484" t="s">
        <v>914</v>
      </c>
      <c r="AG3" s="484"/>
      <c r="AH3" s="486" t="s">
        <v>938</v>
      </c>
      <c r="AI3" s="486"/>
      <c r="AJ3" s="486"/>
      <c r="AK3" s="487"/>
      <c r="AL3" s="486" t="s">
        <v>939</v>
      </c>
      <c r="AM3" s="486"/>
      <c r="AN3" s="486"/>
      <c r="AO3" s="487"/>
    </row>
    <row r="4" spans="1:41" ht="12.75" customHeight="1">
      <c r="A4" s="46"/>
      <c r="B4" s="46"/>
      <c r="C4" s="103" t="s">
        <v>913</v>
      </c>
      <c r="D4" s="104" t="s">
        <v>914</v>
      </c>
      <c r="F4" s="103" t="s">
        <v>913</v>
      </c>
      <c r="G4" s="104" t="s">
        <v>914</v>
      </c>
      <c r="I4" s="50" t="s">
        <v>1052</v>
      </c>
      <c r="J4" s="51" t="s">
        <v>1053</v>
      </c>
      <c r="K4" s="50" t="s">
        <v>1052</v>
      </c>
      <c r="L4" s="51" t="s">
        <v>1053</v>
      </c>
      <c r="M4" s="50" t="s">
        <v>1293</v>
      </c>
      <c r="N4" s="51" t="s">
        <v>1294</v>
      </c>
      <c r="O4" s="50" t="s">
        <v>1293</v>
      </c>
      <c r="P4" s="51" t="s">
        <v>1294</v>
      </c>
      <c r="Q4" s="81" t="s">
        <v>1049</v>
      </c>
      <c r="R4" s="79" t="s">
        <v>1050</v>
      </c>
      <c r="S4" s="79" t="s">
        <v>1275</v>
      </c>
      <c r="T4" s="80" t="s">
        <v>1276</v>
      </c>
      <c r="U4" s="81" t="s">
        <v>1049</v>
      </c>
      <c r="V4" s="79" t="s">
        <v>1050</v>
      </c>
      <c r="W4" s="79" t="s">
        <v>1275</v>
      </c>
      <c r="X4" s="80" t="s">
        <v>1276</v>
      </c>
      <c r="Z4" s="52" t="s">
        <v>1052</v>
      </c>
      <c r="AA4" s="52" t="s">
        <v>1053</v>
      </c>
      <c r="AB4" s="52" t="s">
        <v>1052</v>
      </c>
      <c r="AC4" s="52" t="s">
        <v>1053</v>
      </c>
      <c r="AD4" s="52" t="s">
        <v>1293</v>
      </c>
      <c r="AE4" s="52" t="s">
        <v>1294</v>
      </c>
      <c r="AF4" s="52" t="s">
        <v>1293</v>
      </c>
      <c r="AG4" s="52" t="s">
        <v>1294</v>
      </c>
      <c r="AH4" s="54" t="s">
        <v>1049</v>
      </c>
      <c r="AI4" s="53" t="s">
        <v>1050</v>
      </c>
      <c r="AJ4" s="53" t="s">
        <v>1275</v>
      </c>
      <c r="AK4" s="54" t="s">
        <v>1276</v>
      </c>
      <c r="AL4" s="54" t="s">
        <v>1049</v>
      </c>
      <c r="AM4" s="53" t="s">
        <v>1050</v>
      </c>
      <c r="AN4" s="53" t="s">
        <v>1275</v>
      </c>
      <c r="AO4" s="54" t="s">
        <v>1276</v>
      </c>
    </row>
    <row r="5" spans="1:41">
      <c r="C5" s="55"/>
      <c r="D5" s="56"/>
      <c r="F5" s="55"/>
      <c r="G5" s="56"/>
      <c r="I5" s="56"/>
      <c r="J5" s="55"/>
      <c r="M5" s="55"/>
      <c r="N5" s="56"/>
      <c r="Q5" s="227"/>
      <c r="R5" s="55"/>
      <c r="S5" s="55"/>
      <c r="T5" s="56"/>
      <c r="V5" s="55"/>
      <c r="W5" s="55"/>
      <c r="X5" s="56"/>
      <c r="Z5" s="168"/>
      <c r="AA5" s="169"/>
      <c r="AB5" s="170"/>
      <c r="AC5" s="170"/>
      <c r="AD5" s="168"/>
      <c r="AE5" s="169"/>
      <c r="AF5" s="170"/>
      <c r="AG5" s="170"/>
    </row>
    <row r="6" spans="1:41">
      <c r="A6" s="57" t="s">
        <v>627</v>
      </c>
      <c r="B6" s="46" t="s">
        <v>921</v>
      </c>
      <c r="C6" s="105">
        <f>SUM(C8:C309)</f>
        <v>304859356.43000001</v>
      </c>
      <c r="D6" s="106">
        <f>SUM(D8:D309)</f>
        <v>2211368148</v>
      </c>
      <c r="F6" s="105">
        <f>SUM(F8:F309)</f>
        <v>278003186.41999996</v>
      </c>
      <c r="G6" s="106">
        <f>SUM(G8:G309)</f>
        <v>2384156731.4899998</v>
      </c>
      <c r="I6" s="59">
        <f t="shared" ref="I6:X6" si="1">SUM(I8:I315)</f>
        <v>239591917.97</v>
      </c>
      <c r="J6" s="249">
        <f t="shared" si="1"/>
        <v>252998242.97000995</v>
      </c>
      <c r="K6" s="61">
        <f t="shared" si="1"/>
        <v>2384156731.4899998</v>
      </c>
      <c r="L6" s="250">
        <f t="shared" si="1"/>
        <v>2391002580.7719007</v>
      </c>
      <c r="M6" s="58">
        <f t="shared" si="1"/>
        <v>231735952.47999251</v>
      </c>
      <c r="N6" s="59">
        <f t="shared" si="1"/>
        <v>219244540.34299192</v>
      </c>
      <c r="O6" s="60">
        <f t="shared" si="1"/>
        <v>2456241957.4740005</v>
      </c>
      <c r="P6" s="61">
        <f t="shared" si="1"/>
        <v>2498893962.4754</v>
      </c>
      <c r="Q6" s="61">
        <f t="shared" si="1"/>
        <v>257866800.73880005</v>
      </c>
      <c r="R6" s="58">
        <f t="shared" si="1"/>
        <v>249244471.97000712</v>
      </c>
      <c r="S6" s="249">
        <f t="shared" si="1"/>
        <v>237689393.8171975</v>
      </c>
      <c r="T6" s="59">
        <f t="shared" si="1"/>
        <v>222742135.7413522</v>
      </c>
      <c r="U6" s="61">
        <f t="shared" si="1"/>
        <v>2302289500.6324377</v>
      </c>
      <c r="V6" s="58">
        <f t="shared" si="1"/>
        <v>2387759017.3821349</v>
      </c>
      <c r="W6" s="249">
        <f t="shared" si="1"/>
        <v>2425331540.7925448</v>
      </c>
      <c r="X6" s="59">
        <f t="shared" si="1"/>
        <v>2478685442.5057359</v>
      </c>
      <c r="Z6" s="62">
        <f t="shared" ref="Z6:AO6" si="2">SUM(Z8:Z315)</f>
        <v>278003186.41999996</v>
      </c>
      <c r="AA6" s="62">
        <f t="shared" si="2"/>
        <v>288450206.37481481</v>
      </c>
      <c r="AB6" s="62">
        <f t="shared" si="2"/>
        <v>2384156731.4899998</v>
      </c>
      <c r="AC6" s="62">
        <f t="shared" si="2"/>
        <v>2420398546.7810998</v>
      </c>
      <c r="AD6" s="62">
        <f t="shared" si="2"/>
        <v>231735952.47999251</v>
      </c>
      <c r="AE6" s="62">
        <f t="shared" si="2"/>
        <v>219244540.34299192</v>
      </c>
      <c r="AF6" s="62">
        <f t="shared" si="2"/>
        <v>2456241957.4740005</v>
      </c>
      <c r="AG6" s="62">
        <f t="shared" si="2"/>
        <v>2498893962.4754</v>
      </c>
      <c r="AH6" s="62">
        <f t="shared" si="2"/>
        <v>285522914.02279991</v>
      </c>
      <c r="AI6" s="62">
        <f t="shared" si="2"/>
        <v>285525040.78746665</v>
      </c>
      <c r="AJ6" s="62">
        <f t="shared" si="2"/>
        <v>247615943.5705429</v>
      </c>
      <c r="AK6" s="62">
        <f t="shared" si="2"/>
        <v>222742135.7413522</v>
      </c>
      <c r="AL6" s="62">
        <f t="shared" si="2"/>
        <v>2302289500.6324377</v>
      </c>
      <c r="AM6" s="62">
        <f t="shared" si="2"/>
        <v>2403227174.696177</v>
      </c>
      <c r="AN6" s="62">
        <f t="shared" si="2"/>
        <v>2439259349.4877038</v>
      </c>
      <c r="AO6" s="62">
        <f t="shared" si="2"/>
        <v>2478685442.5057359</v>
      </c>
    </row>
    <row r="7" spans="1:41" ht="9" customHeight="1">
      <c r="C7" s="55"/>
      <c r="D7" s="56"/>
      <c r="F7" s="55"/>
      <c r="G7" s="56"/>
      <c r="I7" s="56"/>
      <c r="J7" s="55"/>
      <c r="K7" s="78"/>
      <c r="L7" s="78"/>
      <c r="M7" s="55"/>
      <c r="N7" s="56"/>
      <c r="O7" s="78"/>
      <c r="P7" s="78"/>
      <c r="Q7" s="78"/>
      <c r="R7" s="55"/>
      <c r="S7" s="55"/>
      <c r="T7" s="56"/>
      <c r="U7" s="78"/>
      <c r="V7" s="75"/>
      <c r="W7" s="75"/>
      <c r="X7" s="82"/>
      <c r="Z7" s="55"/>
      <c r="AA7" s="56"/>
      <c r="AD7" s="55"/>
      <c r="AE7" s="56"/>
    </row>
    <row r="8" spans="1:41">
      <c r="A8" s="29" t="s">
        <v>141</v>
      </c>
      <c r="B8" s="29" t="s">
        <v>631</v>
      </c>
      <c r="C8" s="107">
        <v>2986725.54</v>
      </c>
      <c r="D8" s="108">
        <v>5200000</v>
      </c>
      <c r="F8" s="107">
        <v>2816075.59</v>
      </c>
      <c r="G8" s="108">
        <v>4396406</v>
      </c>
      <c r="I8" s="64">
        <v>2413569.41</v>
      </c>
      <c r="J8" s="83">
        <v>2673162.6277999994</v>
      </c>
      <c r="K8" s="66">
        <v>4396406</v>
      </c>
      <c r="L8" s="251">
        <v>4153725.6724999999</v>
      </c>
      <c r="M8" s="63">
        <v>2763166.3313999996</v>
      </c>
      <c r="N8" s="64">
        <v>2877867.4689000007</v>
      </c>
      <c r="O8" s="65">
        <v>4306432.0025000004</v>
      </c>
      <c r="P8" s="66">
        <v>4474124.26</v>
      </c>
      <c r="Q8" s="66">
        <f>(0.28*C8)+(0.72*I8)</f>
        <v>2574053.1264</v>
      </c>
      <c r="R8" s="63">
        <f>(0.28*I8)+(0.72*J8)</f>
        <v>2600476.5268159998</v>
      </c>
      <c r="S8" s="83">
        <f>(0.28*J8)+(0.72*M8)</f>
        <v>2737965.2943919995</v>
      </c>
      <c r="T8" s="64">
        <f>(0.28*M8)+(0.72*N8)</f>
        <v>2845751.1504000006</v>
      </c>
      <c r="U8" s="66">
        <f>(0.4738*D8)+(0.5262*G8)</f>
        <v>4777148.8372</v>
      </c>
      <c r="V8" s="63">
        <f>(0.4738*G8)+(0.5262*L8)</f>
        <v>4268707.6116694994</v>
      </c>
      <c r="W8" s="83">
        <f>(0.4738*L8)+(0.5262*O8)</f>
        <v>4234079.7433460001</v>
      </c>
      <c r="X8" s="64">
        <f>(0.4738*O8)+(0.5262*P8)</f>
        <v>4394671.6683964999</v>
      </c>
      <c r="Z8" s="67">
        <v>2816075.59</v>
      </c>
      <c r="AA8" s="68">
        <v>3427108.9182999986</v>
      </c>
      <c r="AB8" s="69">
        <v>4396406</v>
      </c>
      <c r="AC8" s="70">
        <v>4153725.6724999999</v>
      </c>
      <c r="AD8" s="67">
        <v>2763166.3313999996</v>
      </c>
      <c r="AE8" s="68">
        <v>2877867.4689000007</v>
      </c>
      <c r="AF8" s="69">
        <v>4306432.0025000004</v>
      </c>
      <c r="AG8" s="70">
        <v>4474124.26</v>
      </c>
      <c r="AH8" s="70">
        <f>(0.28*C8)+(0.72*Z8)</f>
        <v>2863857.5759999999</v>
      </c>
      <c r="AI8" s="70">
        <f>(0.28*Z8)+(0.72*AA8)</f>
        <v>3256019.5863759993</v>
      </c>
      <c r="AJ8" s="70">
        <f>(0.28*AA8)+(0.72*AD8)</f>
        <v>2949070.2557319994</v>
      </c>
      <c r="AK8" s="70">
        <f>(0.28*AD8)+(0.72*AE8)</f>
        <v>2845751.1504000006</v>
      </c>
      <c r="AL8" s="70">
        <f>(0.4738*D8)+(0.5262*G8)</f>
        <v>4777148.8372</v>
      </c>
      <c r="AM8" s="70">
        <f>(0.4738*G8)+(0.5262*AC8)</f>
        <v>4268707.6116694994</v>
      </c>
      <c r="AN8" s="70">
        <f>(0.4738*AC8)+(0.5262*AF8)</f>
        <v>4234079.7433460001</v>
      </c>
      <c r="AO8" s="70">
        <f>(0.4738*AF8)+(0.5262*AG8)</f>
        <v>4394671.6683964999</v>
      </c>
    </row>
    <row r="9" spans="1:41">
      <c r="A9" s="29" t="s">
        <v>279</v>
      </c>
      <c r="B9" s="29" t="s">
        <v>632</v>
      </c>
      <c r="C9" s="107">
        <v>189108.11</v>
      </c>
      <c r="D9" s="108">
        <v>906687</v>
      </c>
      <c r="F9" s="107">
        <v>113530.43</v>
      </c>
      <c r="G9" s="108">
        <v>1015489</v>
      </c>
      <c r="I9" s="64">
        <v>41514.769999999997</v>
      </c>
      <c r="J9" s="83">
        <v>41653.814299999976</v>
      </c>
      <c r="K9" s="66">
        <v>1015489</v>
      </c>
      <c r="L9" s="251">
        <v>1015489</v>
      </c>
      <c r="M9" s="63">
        <v>3775.0664379999416</v>
      </c>
      <c r="N9" s="64">
        <v>0</v>
      </c>
      <c r="O9" s="65">
        <v>1015489</v>
      </c>
      <c r="P9" s="66">
        <v>1015489</v>
      </c>
      <c r="Q9" s="66">
        <f t="shared" ref="Q9:Q72" si="3">(0.28*C9)+(0.72*I9)</f>
        <v>82840.905199999994</v>
      </c>
      <c r="R9" s="63">
        <f t="shared" ref="R9:R72" si="4">(0.28*I9)+(0.72*J9)</f>
        <v>41614.881895999984</v>
      </c>
      <c r="S9" s="83">
        <f t="shared" ref="S9:S72" si="5">(0.28*J9)+(0.72*M9)</f>
        <v>14381.115839359953</v>
      </c>
      <c r="T9" s="64">
        <f t="shared" ref="T9:T72" si="6">(0.28*M9)+(0.72*N9)</f>
        <v>1057.0186026399838</v>
      </c>
      <c r="U9" s="66">
        <f t="shared" ref="U9:U72" si="7">(0.4738*D9)+(0.5262*G9)</f>
        <v>963938.61239999998</v>
      </c>
      <c r="V9" s="63">
        <f t="shared" ref="V9:V72" si="8">(0.4738*G9)+(0.5262*L9)</f>
        <v>1015489</v>
      </c>
      <c r="W9" s="83">
        <f t="shared" ref="W9:W72" si="9">(0.4738*L9)+(0.5262*O9)</f>
        <v>1015489</v>
      </c>
      <c r="X9" s="64">
        <f t="shared" ref="X9:X72" si="10">(0.4738*O9)+(0.5262*P9)</f>
        <v>1015489</v>
      </c>
      <c r="Z9" s="67">
        <v>113530.43</v>
      </c>
      <c r="AA9" s="68">
        <v>142227.35409999988</v>
      </c>
      <c r="AB9" s="69">
        <v>1015489</v>
      </c>
      <c r="AC9" s="70">
        <v>1015489</v>
      </c>
      <c r="AD9" s="67">
        <v>3775.0664379999416</v>
      </c>
      <c r="AE9" s="68">
        <v>0</v>
      </c>
      <c r="AF9" s="69">
        <v>1015489</v>
      </c>
      <c r="AG9" s="70">
        <v>1015489</v>
      </c>
      <c r="AH9" s="70">
        <f t="shared" ref="AH9:AH72" si="11">(0.28*C9)+(0.72*Z9)</f>
        <v>134692.18040000001</v>
      </c>
      <c r="AI9" s="70">
        <f t="shared" ref="AI9:AI72" si="12">(0.28*Z9)+(0.72*AA9)</f>
        <v>134192.21535199991</v>
      </c>
      <c r="AJ9" s="70">
        <f t="shared" ref="AJ9:AJ72" si="13">(0.28*AA9)+(0.72*AD9)</f>
        <v>42541.706983359931</v>
      </c>
      <c r="AK9" s="70">
        <f t="shared" ref="AK9:AK72" si="14">(0.28*AD9)+(0.72*AE9)</f>
        <v>1057.0186026399838</v>
      </c>
      <c r="AL9" s="70">
        <f t="shared" ref="AL9:AL72" si="15">(0.4738*D9)+(0.5262*G9)</f>
        <v>963938.61239999998</v>
      </c>
      <c r="AM9" s="70">
        <f t="shared" ref="AM9:AM72" si="16">(0.4738*G9)+(0.5262*AC9)</f>
        <v>1015489</v>
      </c>
      <c r="AN9" s="70">
        <f t="shared" ref="AN9:AN72" si="17">(0.4738*AC9)+(0.5262*AF9)</f>
        <v>1015489</v>
      </c>
      <c r="AO9" s="70">
        <f t="shared" ref="AO9:AO72" si="18">(0.4738*AF9)+(0.5262*AG9)</f>
        <v>1015489</v>
      </c>
    </row>
    <row r="10" spans="1:41">
      <c r="A10" s="29" t="s">
        <v>301</v>
      </c>
      <c r="B10" s="29" t="s">
        <v>888</v>
      </c>
      <c r="C10" s="107">
        <v>27036.52</v>
      </c>
      <c r="D10" s="108">
        <v>195758</v>
      </c>
      <c r="F10" s="107">
        <v>34299.33</v>
      </c>
      <c r="G10" s="108">
        <v>215000</v>
      </c>
      <c r="I10" s="64">
        <v>26229.93</v>
      </c>
      <c r="J10" s="83">
        <v>28406.522000000001</v>
      </c>
      <c r="K10" s="66">
        <v>215000</v>
      </c>
      <c r="L10" s="251">
        <v>209625.75</v>
      </c>
      <c r="M10" s="63">
        <v>25945.18349999997</v>
      </c>
      <c r="N10" s="64">
        <v>30322.887000000006</v>
      </c>
      <c r="O10" s="65">
        <v>215000</v>
      </c>
      <c r="P10" s="66">
        <v>215000</v>
      </c>
      <c r="Q10" s="66">
        <f t="shared" si="3"/>
        <v>26455.7752</v>
      </c>
      <c r="R10" s="63">
        <f t="shared" si="4"/>
        <v>27797.076240000002</v>
      </c>
      <c r="S10" s="83">
        <f t="shared" si="5"/>
        <v>26634.358279999979</v>
      </c>
      <c r="T10" s="64">
        <f t="shared" si="6"/>
        <v>29097.130019999997</v>
      </c>
      <c r="U10" s="66">
        <f t="shared" si="7"/>
        <v>205883.1404</v>
      </c>
      <c r="V10" s="63">
        <f t="shared" si="8"/>
        <v>212172.06965000002</v>
      </c>
      <c r="W10" s="83">
        <f t="shared" si="9"/>
        <v>212453.68034999998</v>
      </c>
      <c r="X10" s="64">
        <f t="shared" si="10"/>
        <v>215000</v>
      </c>
      <c r="Z10" s="67">
        <v>34299.33</v>
      </c>
      <c r="AA10" s="68">
        <v>36879.425299999995</v>
      </c>
      <c r="AB10" s="69">
        <v>215000</v>
      </c>
      <c r="AC10" s="70">
        <v>209625.75</v>
      </c>
      <c r="AD10" s="67">
        <v>25945.18349999997</v>
      </c>
      <c r="AE10" s="68">
        <v>30322.887000000006</v>
      </c>
      <c r="AF10" s="69">
        <v>215000</v>
      </c>
      <c r="AG10" s="70">
        <v>215000</v>
      </c>
      <c r="AH10" s="70">
        <f t="shared" si="11"/>
        <v>32265.743200000001</v>
      </c>
      <c r="AI10" s="70">
        <f t="shared" si="12"/>
        <v>36156.998615999997</v>
      </c>
      <c r="AJ10" s="70">
        <f t="shared" si="13"/>
        <v>29006.771203999975</v>
      </c>
      <c r="AK10" s="70">
        <f t="shared" si="14"/>
        <v>29097.130019999997</v>
      </c>
      <c r="AL10" s="70">
        <f t="shared" si="15"/>
        <v>205883.1404</v>
      </c>
      <c r="AM10" s="70">
        <f t="shared" si="16"/>
        <v>212172.06965000002</v>
      </c>
      <c r="AN10" s="70">
        <f t="shared" si="17"/>
        <v>212453.68034999998</v>
      </c>
      <c r="AO10" s="70">
        <f t="shared" si="18"/>
        <v>215000</v>
      </c>
    </row>
    <row r="11" spans="1:41">
      <c r="A11" s="29" t="s">
        <v>407</v>
      </c>
      <c r="B11" s="29" t="s">
        <v>633</v>
      </c>
      <c r="C11" s="107">
        <v>0</v>
      </c>
      <c r="D11" s="108">
        <v>6965794</v>
      </c>
      <c r="F11" s="107">
        <v>0</v>
      </c>
      <c r="G11" s="108">
        <v>7335234</v>
      </c>
      <c r="I11" s="64">
        <v>0</v>
      </c>
      <c r="J11" s="83">
        <v>0</v>
      </c>
      <c r="K11" s="66">
        <v>7335234</v>
      </c>
      <c r="L11" s="251">
        <v>7276532.8149999995</v>
      </c>
      <c r="M11" s="63">
        <v>0</v>
      </c>
      <c r="N11" s="64">
        <v>0</v>
      </c>
      <c r="O11" s="65">
        <v>7528706.6116000004</v>
      </c>
      <c r="P11" s="66">
        <v>7826983.5643999996</v>
      </c>
      <c r="Q11" s="66">
        <f t="shared" si="3"/>
        <v>0</v>
      </c>
      <c r="R11" s="63">
        <f t="shared" si="4"/>
        <v>0</v>
      </c>
      <c r="S11" s="83">
        <f t="shared" si="5"/>
        <v>0</v>
      </c>
      <c r="T11" s="64">
        <f t="shared" si="6"/>
        <v>0</v>
      </c>
      <c r="U11" s="66">
        <f t="shared" si="7"/>
        <v>7160193.3279999997</v>
      </c>
      <c r="V11" s="63">
        <f t="shared" si="8"/>
        <v>7304345.4364529997</v>
      </c>
      <c r="W11" s="83">
        <f t="shared" si="9"/>
        <v>7409226.6667709202</v>
      </c>
      <c r="X11" s="64">
        <f t="shared" si="10"/>
        <v>7685659.9441633597</v>
      </c>
      <c r="Z11" s="67">
        <v>0</v>
      </c>
      <c r="AA11" s="68">
        <v>0</v>
      </c>
      <c r="AB11" s="69">
        <v>7335234</v>
      </c>
      <c r="AC11" s="70">
        <v>7701998.7630000003</v>
      </c>
      <c r="AD11" s="67">
        <v>0</v>
      </c>
      <c r="AE11" s="68">
        <v>0</v>
      </c>
      <c r="AF11" s="69">
        <v>7528706.6116000004</v>
      </c>
      <c r="AG11" s="70">
        <v>7826983.5643999996</v>
      </c>
      <c r="AH11" s="70">
        <f t="shared" si="11"/>
        <v>0</v>
      </c>
      <c r="AI11" s="70">
        <f t="shared" si="12"/>
        <v>0</v>
      </c>
      <c r="AJ11" s="70">
        <f t="shared" si="13"/>
        <v>0</v>
      </c>
      <c r="AK11" s="70">
        <f t="shared" si="14"/>
        <v>0</v>
      </c>
      <c r="AL11" s="70">
        <f t="shared" si="15"/>
        <v>7160193.3279999997</v>
      </c>
      <c r="AM11" s="70">
        <f t="shared" si="16"/>
        <v>7528225.6182906004</v>
      </c>
      <c r="AN11" s="70">
        <f t="shared" si="17"/>
        <v>7610812.4329333203</v>
      </c>
      <c r="AO11" s="70">
        <f t="shared" si="18"/>
        <v>7685659.9441633597</v>
      </c>
    </row>
    <row r="12" spans="1:41">
      <c r="A12" s="29" t="s">
        <v>431</v>
      </c>
      <c r="B12" s="29" t="s">
        <v>634</v>
      </c>
      <c r="C12" s="107">
        <v>829878.63</v>
      </c>
      <c r="D12" s="108">
        <v>8950000</v>
      </c>
      <c r="F12" s="107">
        <v>336595.58</v>
      </c>
      <c r="G12" s="108">
        <v>9200000</v>
      </c>
      <c r="I12" s="64">
        <v>0</v>
      </c>
      <c r="J12" s="83">
        <v>0</v>
      </c>
      <c r="K12" s="66">
        <v>9200000</v>
      </c>
      <c r="L12" s="251">
        <v>9500000</v>
      </c>
      <c r="M12" s="63">
        <v>0</v>
      </c>
      <c r="N12" s="64">
        <v>0</v>
      </c>
      <c r="O12" s="65">
        <v>9750000</v>
      </c>
      <c r="P12" s="66">
        <v>9750000</v>
      </c>
      <c r="Q12" s="66">
        <f t="shared" si="3"/>
        <v>232366.01640000002</v>
      </c>
      <c r="R12" s="63">
        <f t="shared" si="4"/>
        <v>0</v>
      </c>
      <c r="S12" s="83">
        <f t="shared" si="5"/>
        <v>0</v>
      </c>
      <c r="T12" s="64">
        <f t="shared" si="6"/>
        <v>0</v>
      </c>
      <c r="U12" s="66">
        <f t="shared" si="7"/>
        <v>9081550</v>
      </c>
      <c r="V12" s="63">
        <f t="shared" si="8"/>
        <v>9357860</v>
      </c>
      <c r="W12" s="83">
        <f t="shared" si="9"/>
        <v>9631550</v>
      </c>
      <c r="X12" s="64">
        <f t="shared" si="10"/>
        <v>9750000</v>
      </c>
      <c r="Z12" s="67">
        <v>336595.58</v>
      </c>
      <c r="AA12" s="68">
        <v>129457.03401599849</v>
      </c>
      <c r="AB12" s="69">
        <v>9200000</v>
      </c>
      <c r="AC12" s="70">
        <v>9500000</v>
      </c>
      <c r="AD12" s="67">
        <v>0</v>
      </c>
      <c r="AE12" s="68">
        <v>0</v>
      </c>
      <c r="AF12" s="69">
        <v>9750000</v>
      </c>
      <c r="AG12" s="70">
        <v>9750000</v>
      </c>
      <c r="AH12" s="70">
        <f t="shared" si="11"/>
        <v>474714.83400000003</v>
      </c>
      <c r="AI12" s="70">
        <f t="shared" si="12"/>
        <v>187455.8268915189</v>
      </c>
      <c r="AJ12" s="70">
        <f t="shared" si="13"/>
        <v>36247.96952447958</v>
      </c>
      <c r="AK12" s="70">
        <f t="shared" si="14"/>
        <v>0</v>
      </c>
      <c r="AL12" s="70">
        <f t="shared" si="15"/>
        <v>9081550</v>
      </c>
      <c r="AM12" s="70">
        <f t="shared" si="16"/>
        <v>9357860</v>
      </c>
      <c r="AN12" s="70">
        <f t="shared" si="17"/>
        <v>9631550</v>
      </c>
      <c r="AO12" s="70">
        <f t="shared" si="18"/>
        <v>9750000</v>
      </c>
    </row>
    <row r="13" spans="1:41">
      <c r="A13" s="29" t="s">
        <v>15</v>
      </c>
      <c r="B13" s="29" t="s">
        <v>635</v>
      </c>
      <c r="C13" s="107">
        <v>362607.99</v>
      </c>
      <c r="D13" s="108">
        <v>648000</v>
      </c>
      <c r="F13" s="107">
        <v>388601.53</v>
      </c>
      <c r="G13" s="108">
        <v>1018827</v>
      </c>
      <c r="I13" s="64">
        <v>387045.17</v>
      </c>
      <c r="J13" s="83">
        <v>409641.99159999989</v>
      </c>
      <c r="K13" s="66">
        <v>1018827</v>
      </c>
      <c r="L13" s="251">
        <v>1049392</v>
      </c>
      <c r="M13" s="63">
        <v>424299.68459999998</v>
      </c>
      <c r="N13" s="64">
        <v>424728.67619999987</v>
      </c>
      <c r="O13" s="65">
        <v>1080874</v>
      </c>
      <c r="P13" s="66">
        <v>1113300</v>
      </c>
      <c r="Q13" s="66">
        <f t="shared" si="3"/>
        <v>380202.75959999999</v>
      </c>
      <c r="R13" s="63">
        <f t="shared" si="4"/>
        <v>403314.88155199995</v>
      </c>
      <c r="S13" s="83">
        <f t="shared" si="5"/>
        <v>420195.53055999993</v>
      </c>
      <c r="T13" s="64">
        <f t="shared" si="6"/>
        <v>424608.55855199991</v>
      </c>
      <c r="U13" s="66">
        <f t="shared" si="7"/>
        <v>843129.16740000003</v>
      </c>
      <c r="V13" s="63">
        <f t="shared" si="8"/>
        <v>1034910.303</v>
      </c>
      <c r="W13" s="83">
        <f t="shared" si="9"/>
        <v>1065957.8284</v>
      </c>
      <c r="X13" s="64">
        <f t="shared" si="10"/>
        <v>1097936.5611999999</v>
      </c>
      <c r="Z13" s="67">
        <v>388601.53</v>
      </c>
      <c r="AA13" s="68">
        <v>409641.99159999989</v>
      </c>
      <c r="AB13" s="69">
        <v>1018827</v>
      </c>
      <c r="AC13" s="70">
        <v>1049392</v>
      </c>
      <c r="AD13" s="67">
        <v>424299.68459999998</v>
      </c>
      <c r="AE13" s="68">
        <v>424728.67619999987</v>
      </c>
      <c r="AF13" s="69">
        <v>1080874</v>
      </c>
      <c r="AG13" s="70">
        <v>1113300</v>
      </c>
      <c r="AH13" s="70">
        <f t="shared" si="11"/>
        <v>381323.33880000003</v>
      </c>
      <c r="AI13" s="70">
        <f t="shared" si="12"/>
        <v>403750.66235199996</v>
      </c>
      <c r="AJ13" s="70">
        <f t="shared" si="13"/>
        <v>420195.53055999993</v>
      </c>
      <c r="AK13" s="70">
        <f t="shared" si="14"/>
        <v>424608.55855199991</v>
      </c>
      <c r="AL13" s="70">
        <f t="shared" si="15"/>
        <v>843129.16740000003</v>
      </c>
      <c r="AM13" s="70">
        <f t="shared" si="16"/>
        <v>1034910.303</v>
      </c>
      <c r="AN13" s="70">
        <f t="shared" si="17"/>
        <v>1065957.8284</v>
      </c>
      <c r="AO13" s="70">
        <f t="shared" si="18"/>
        <v>1097936.5611999999</v>
      </c>
    </row>
    <row r="14" spans="1:41">
      <c r="A14" s="29" t="s">
        <v>205</v>
      </c>
      <c r="B14" s="29" t="s">
        <v>636</v>
      </c>
      <c r="C14" s="107">
        <v>4860881</v>
      </c>
      <c r="D14" s="108">
        <v>37652132</v>
      </c>
      <c r="F14" s="107">
        <v>4134598.68</v>
      </c>
      <c r="G14" s="108">
        <v>41187668</v>
      </c>
      <c r="I14" s="64">
        <v>3215379.65</v>
      </c>
      <c r="J14" s="83">
        <v>3148136.3697000002</v>
      </c>
      <c r="K14" s="66">
        <v>41187668</v>
      </c>
      <c r="L14" s="251">
        <v>42958152.884999998</v>
      </c>
      <c r="M14" s="63">
        <v>2672433.0807000026</v>
      </c>
      <c r="N14" s="64">
        <v>2914456.5386999981</v>
      </c>
      <c r="O14" s="65">
        <v>45430642.085000001</v>
      </c>
      <c r="P14" s="66">
        <v>47015517.452500001</v>
      </c>
      <c r="Q14" s="66">
        <f t="shared" si="3"/>
        <v>3676120.0279999999</v>
      </c>
      <c r="R14" s="63">
        <f t="shared" si="4"/>
        <v>3166964.4881840004</v>
      </c>
      <c r="S14" s="83">
        <f t="shared" si="5"/>
        <v>2805630.0016200021</v>
      </c>
      <c r="T14" s="64">
        <f t="shared" si="6"/>
        <v>2846689.9704599995</v>
      </c>
      <c r="U14" s="66">
        <f t="shared" si="7"/>
        <v>39512531.043200001</v>
      </c>
      <c r="V14" s="63">
        <f t="shared" si="8"/>
        <v>42119297.146486998</v>
      </c>
      <c r="W14" s="83">
        <f t="shared" si="9"/>
        <v>44259176.702040002</v>
      </c>
      <c r="X14" s="64">
        <f t="shared" si="10"/>
        <v>46264603.503378496</v>
      </c>
      <c r="Z14" s="67">
        <v>4134598.68</v>
      </c>
      <c r="AA14" s="68">
        <v>4613060.4956</v>
      </c>
      <c r="AB14" s="69">
        <v>41187668</v>
      </c>
      <c r="AC14" s="70">
        <v>42958152.884999998</v>
      </c>
      <c r="AD14" s="67">
        <v>2672433.0807000026</v>
      </c>
      <c r="AE14" s="68">
        <v>2914456.5386999981</v>
      </c>
      <c r="AF14" s="69">
        <v>45430642.085000001</v>
      </c>
      <c r="AG14" s="70">
        <v>47015517.452500001</v>
      </c>
      <c r="AH14" s="70">
        <f t="shared" si="11"/>
        <v>4337957.7296000002</v>
      </c>
      <c r="AI14" s="70">
        <f t="shared" si="12"/>
        <v>4479091.1872319998</v>
      </c>
      <c r="AJ14" s="70">
        <f t="shared" si="13"/>
        <v>3215808.756872002</v>
      </c>
      <c r="AK14" s="70">
        <f t="shared" si="14"/>
        <v>2846689.9704599995</v>
      </c>
      <c r="AL14" s="70">
        <f t="shared" si="15"/>
        <v>39512531.043200001</v>
      </c>
      <c r="AM14" s="70">
        <f t="shared" si="16"/>
        <v>42119297.146486998</v>
      </c>
      <c r="AN14" s="70">
        <f t="shared" si="17"/>
        <v>44259176.702040002</v>
      </c>
      <c r="AO14" s="70">
        <f t="shared" si="18"/>
        <v>46264603.503378496</v>
      </c>
    </row>
    <row r="15" spans="1:41">
      <c r="A15" s="29" t="s">
        <v>229</v>
      </c>
      <c r="B15" s="29" t="s">
        <v>896</v>
      </c>
      <c r="C15" s="107">
        <v>0</v>
      </c>
      <c r="D15" s="108">
        <v>9822589</v>
      </c>
      <c r="F15" s="107">
        <v>0</v>
      </c>
      <c r="G15" s="108">
        <v>10000000</v>
      </c>
      <c r="I15" s="64">
        <v>0</v>
      </c>
      <c r="J15" s="83">
        <v>0</v>
      </c>
      <c r="K15" s="66">
        <v>10000000</v>
      </c>
      <c r="L15" s="251">
        <v>10300000</v>
      </c>
      <c r="M15" s="63">
        <v>0</v>
      </c>
      <c r="N15" s="64">
        <v>0</v>
      </c>
      <c r="O15" s="65">
        <v>10500000</v>
      </c>
      <c r="P15" s="66">
        <v>10500000</v>
      </c>
      <c r="Q15" s="66">
        <f t="shared" si="3"/>
        <v>0</v>
      </c>
      <c r="R15" s="63">
        <f t="shared" si="4"/>
        <v>0</v>
      </c>
      <c r="S15" s="83">
        <f t="shared" si="5"/>
        <v>0</v>
      </c>
      <c r="T15" s="64">
        <f t="shared" si="6"/>
        <v>0</v>
      </c>
      <c r="U15" s="66">
        <f t="shared" si="7"/>
        <v>9915942.6682000011</v>
      </c>
      <c r="V15" s="63">
        <f t="shared" si="8"/>
        <v>10157860</v>
      </c>
      <c r="W15" s="83">
        <f t="shared" si="9"/>
        <v>10405240</v>
      </c>
      <c r="X15" s="64">
        <f t="shared" si="10"/>
        <v>10500000</v>
      </c>
      <c r="Z15" s="67">
        <v>0</v>
      </c>
      <c r="AA15" s="68">
        <v>0</v>
      </c>
      <c r="AB15" s="69">
        <v>10000000</v>
      </c>
      <c r="AC15" s="70">
        <v>10300000</v>
      </c>
      <c r="AD15" s="67">
        <v>0</v>
      </c>
      <c r="AE15" s="68">
        <v>0</v>
      </c>
      <c r="AF15" s="69">
        <v>10500000</v>
      </c>
      <c r="AG15" s="70">
        <v>10500000</v>
      </c>
      <c r="AH15" s="70">
        <f t="shared" si="11"/>
        <v>0</v>
      </c>
      <c r="AI15" s="70">
        <f t="shared" si="12"/>
        <v>0</v>
      </c>
      <c r="AJ15" s="70">
        <f t="shared" si="13"/>
        <v>0</v>
      </c>
      <c r="AK15" s="70">
        <f t="shared" si="14"/>
        <v>0</v>
      </c>
      <c r="AL15" s="70">
        <f t="shared" si="15"/>
        <v>9915942.6682000011</v>
      </c>
      <c r="AM15" s="70">
        <f t="shared" si="16"/>
        <v>10157860</v>
      </c>
      <c r="AN15" s="70">
        <f t="shared" si="17"/>
        <v>10405240</v>
      </c>
      <c r="AO15" s="70">
        <f t="shared" si="18"/>
        <v>10500000</v>
      </c>
    </row>
    <row r="16" spans="1:41">
      <c r="A16" s="29" t="s">
        <v>69</v>
      </c>
      <c r="B16" s="29" t="s">
        <v>637</v>
      </c>
      <c r="C16" s="107">
        <v>2478004.85</v>
      </c>
      <c r="D16" s="108">
        <v>28308300</v>
      </c>
      <c r="F16" s="107">
        <v>1280905.27</v>
      </c>
      <c r="G16" s="108">
        <v>26750000</v>
      </c>
      <c r="I16" s="64">
        <v>0</v>
      </c>
      <c r="J16" s="83">
        <v>0</v>
      </c>
      <c r="K16" s="66">
        <v>26750000</v>
      </c>
      <c r="L16" s="251">
        <v>28200000</v>
      </c>
      <c r="M16" s="63">
        <v>0</v>
      </c>
      <c r="N16" s="64">
        <v>0</v>
      </c>
      <c r="O16" s="65">
        <v>29650000</v>
      </c>
      <c r="P16" s="66">
        <v>31100000</v>
      </c>
      <c r="Q16" s="66">
        <f t="shared" si="3"/>
        <v>693841.35800000012</v>
      </c>
      <c r="R16" s="63">
        <f t="shared" si="4"/>
        <v>0</v>
      </c>
      <c r="S16" s="83">
        <f t="shared" si="5"/>
        <v>0</v>
      </c>
      <c r="T16" s="64">
        <f t="shared" si="6"/>
        <v>0</v>
      </c>
      <c r="U16" s="66">
        <f t="shared" si="7"/>
        <v>27488322.539999999</v>
      </c>
      <c r="V16" s="63">
        <f t="shared" si="8"/>
        <v>27512990</v>
      </c>
      <c r="W16" s="83">
        <f t="shared" si="9"/>
        <v>28962990</v>
      </c>
      <c r="X16" s="64">
        <f t="shared" si="10"/>
        <v>30412990</v>
      </c>
      <c r="Z16" s="67">
        <v>1280905.27</v>
      </c>
      <c r="AA16" s="68">
        <v>650205.925899997</v>
      </c>
      <c r="AB16" s="69">
        <v>26750000</v>
      </c>
      <c r="AC16" s="70">
        <v>28200000</v>
      </c>
      <c r="AD16" s="67">
        <v>0</v>
      </c>
      <c r="AE16" s="68">
        <v>0</v>
      </c>
      <c r="AF16" s="69">
        <v>29650000</v>
      </c>
      <c r="AG16" s="70">
        <v>31100000</v>
      </c>
      <c r="AH16" s="70">
        <f t="shared" si="11"/>
        <v>1616093.1524</v>
      </c>
      <c r="AI16" s="70">
        <f t="shared" si="12"/>
        <v>826801.7422479979</v>
      </c>
      <c r="AJ16" s="70">
        <f t="shared" si="13"/>
        <v>182057.65925199917</v>
      </c>
      <c r="AK16" s="70">
        <f t="shared" si="14"/>
        <v>0</v>
      </c>
      <c r="AL16" s="70">
        <f t="shared" si="15"/>
        <v>27488322.539999999</v>
      </c>
      <c r="AM16" s="70">
        <f t="shared" si="16"/>
        <v>27512990</v>
      </c>
      <c r="AN16" s="70">
        <f t="shared" si="17"/>
        <v>28962990</v>
      </c>
      <c r="AO16" s="70">
        <f t="shared" si="18"/>
        <v>30412990</v>
      </c>
    </row>
    <row r="17" spans="1:41">
      <c r="A17" s="29" t="s">
        <v>199</v>
      </c>
      <c r="B17" s="29" t="s">
        <v>638</v>
      </c>
      <c r="C17" s="107">
        <v>0</v>
      </c>
      <c r="D17" s="108">
        <v>68000000</v>
      </c>
      <c r="F17" s="107">
        <v>0</v>
      </c>
      <c r="G17" s="108">
        <v>70000000</v>
      </c>
      <c r="I17" s="64">
        <v>0</v>
      </c>
      <c r="J17" s="83">
        <v>0</v>
      </c>
      <c r="K17" s="66">
        <v>70000000</v>
      </c>
      <c r="L17" s="251">
        <v>57109735.739999995</v>
      </c>
      <c r="M17" s="63">
        <v>0</v>
      </c>
      <c r="N17" s="64">
        <v>0</v>
      </c>
      <c r="O17" s="65">
        <v>59088954.910700001</v>
      </c>
      <c r="P17" s="66">
        <v>61429859.968399994</v>
      </c>
      <c r="Q17" s="66">
        <f t="shared" si="3"/>
        <v>0</v>
      </c>
      <c r="R17" s="63">
        <f t="shared" si="4"/>
        <v>0</v>
      </c>
      <c r="S17" s="83">
        <f t="shared" si="5"/>
        <v>0</v>
      </c>
      <c r="T17" s="64">
        <f t="shared" si="6"/>
        <v>0</v>
      </c>
      <c r="U17" s="66">
        <f t="shared" si="7"/>
        <v>69052400</v>
      </c>
      <c r="V17" s="63">
        <f t="shared" si="8"/>
        <v>63217142.946387999</v>
      </c>
      <c r="W17" s="83">
        <f t="shared" si="9"/>
        <v>58151200.867622331</v>
      </c>
      <c r="X17" s="64">
        <f t="shared" si="10"/>
        <v>60320739.152061738</v>
      </c>
      <c r="Z17" s="67">
        <v>0</v>
      </c>
      <c r="AA17" s="68">
        <v>0</v>
      </c>
      <c r="AB17" s="69">
        <v>70000000</v>
      </c>
      <c r="AC17" s="70">
        <v>59135304.848999999</v>
      </c>
      <c r="AD17" s="67">
        <v>0</v>
      </c>
      <c r="AE17" s="68">
        <v>0</v>
      </c>
      <c r="AF17" s="69">
        <v>59088954.910700001</v>
      </c>
      <c r="AG17" s="70">
        <v>61429859.968399994</v>
      </c>
      <c r="AH17" s="70">
        <f t="shared" si="11"/>
        <v>0</v>
      </c>
      <c r="AI17" s="70">
        <f t="shared" si="12"/>
        <v>0</v>
      </c>
      <c r="AJ17" s="70">
        <f t="shared" si="13"/>
        <v>0</v>
      </c>
      <c r="AK17" s="70">
        <f t="shared" si="14"/>
        <v>0</v>
      </c>
      <c r="AL17" s="70">
        <f t="shared" si="15"/>
        <v>69052400</v>
      </c>
      <c r="AM17" s="70">
        <f t="shared" si="16"/>
        <v>64282997.411543801</v>
      </c>
      <c r="AN17" s="70">
        <f t="shared" si="17"/>
        <v>59110915.511466533</v>
      </c>
      <c r="AO17" s="70">
        <f t="shared" si="18"/>
        <v>60320739.152061738</v>
      </c>
    </row>
    <row r="18" spans="1:41">
      <c r="A18" s="29" t="s">
        <v>539</v>
      </c>
      <c r="B18" s="29" t="s">
        <v>639</v>
      </c>
      <c r="C18" s="107">
        <v>0</v>
      </c>
      <c r="D18" s="108">
        <v>31000000</v>
      </c>
      <c r="F18" s="107">
        <v>0</v>
      </c>
      <c r="G18" s="108">
        <v>32000000</v>
      </c>
      <c r="I18" s="64">
        <v>0</v>
      </c>
      <c r="J18" s="83">
        <v>0</v>
      </c>
      <c r="K18" s="66">
        <v>32000000</v>
      </c>
      <c r="L18" s="251">
        <v>32740525.869800001</v>
      </c>
      <c r="M18" s="63">
        <v>0</v>
      </c>
      <c r="N18" s="64">
        <v>0</v>
      </c>
      <c r="O18" s="65">
        <v>33875211.953699999</v>
      </c>
      <c r="P18" s="66">
        <v>35000000</v>
      </c>
      <c r="Q18" s="66">
        <f t="shared" si="3"/>
        <v>0</v>
      </c>
      <c r="R18" s="63">
        <f t="shared" si="4"/>
        <v>0</v>
      </c>
      <c r="S18" s="83">
        <f t="shared" si="5"/>
        <v>0</v>
      </c>
      <c r="T18" s="64">
        <f t="shared" si="6"/>
        <v>0</v>
      </c>
      <c r="U18" s="66">
        <f t="shared" si="7"/>
        <v>31526200</v>
      </c>
      <c r="V18" s="63">
        <f t="shared" si="8"/>
        <v>32389664.712688759</v>
      </c>
      <c r="W18" s="83">
        <f t="shared" si="9"/>
        <v>33337597.687148176</v>
      </c>
      <c r="X18" s="64">
        <f t="shared" si="10"/>
        <v>34467075.423663057</v>
      </c>
      <c r="Z18" s="67">
        <v>0</v>
      </c>
      <c r="AA18" s="68">
        <v>0</v>
      </c>
      <c r="AB18" s="69">
        <v>32000000</v>
      </c>
      <c r="AC18" s="70">
        <v>33301375.1976</v>
      </c>
      <c r="AD18" s="67">
        <v>0</v>
      </c>
      <c r="AE18" s="68">
        <v>0</v>
      </c>
      <c r="AF18" s="69">
        <v>33875211.953699999</v>
      </c>
      <c r="AG18" s="70">
        <v>35000000</v>
      </c>
      <c r="AH18" s="70">
        <f t="shared" si="11"/>
        <v>0</v>
      </c>
      <c r="AI18" s="70">
        <f t="shared" si="12"/>
        <v>0</v>
      </c>
      <c r="AJ18" s="70">
        <f t="shared" si="13"/>
        <v>0</v>
      </c>
      <c r="AK18" s="70">
        <f t="shared" si="14"/>
        <v>0</v>
      </c>
      <c r="AL18" s="70">
        <f t="shared" si="15"/>
        <v>31526200</v>
      </c>
      <c r="AM18" s="70">
        <f t="shared" si="16"/>
        <v>32684783.62897712</v>
      </c>
      <c r="AN18" s="70">
        <f t="shared" si="17"/>
        <v>33603328.098659813</v>
      </c>
      <c r="AO18" s="70">
        <f t="shared" si="18"/>
        <v>34467075.423663057</v>
      </c>
    </row>
    <row r="19" spans="1:41">
      <c r="A19" s="29" t="s">
        <v>5</v>
      </c>
      <c r="B19" s="29" t="s">
        <v>909</v>
      </c>
      <c r="C19" s="107">
        <v>0</v>
      </c>
      <c r="D19" s="108">
        <v>50000</v>
      </c>
      <c r="F19" s="107">
        <v>0</v>
      </c>
      <c r="G19" s="108">
        <v>50000</v>
      </c>
      <c r="I19" s="64">
        <v>0</v>
      </c>
      <c r="J19" s="83">
        <v>0</v>
      </c>
      <c r="K19" s="66">
        <v>50000</v>
      </c>
      <c r="L19" s="251">
        <v>47210.02399999999</v>
      </c>
      <c r="M19" s="63">
        <v>0</v>
      </c>
      <c r="N19" s="64">
        <v>0</v>
      </c>
      <c r="O19" s="65">
        <v>48201.403999999995</v>
      </c>
      <c r="P19" s="66">
        <v>49261.827999999994</v>
      </c>
      <c r="Q19" s="66">
        <f t="shared" si="3"/>
        <v>0</v>
      </c>
      <c r="R19" s="63">
        <f t="shared" si="4"/>
        <v>0</v>
      </c>
      <c r="S19" s="83">
        <f t="shared" si="5"/>
        <v>0</v>
      </c>
      <c r="T19" s="64">
        <f t="shared" si="6"/>
        <v>0</v>
      </c>
      <c r="U19" s="66">
        <f t="shared" si="7"/>
        <v>50000</v>
      </c>
      <c r="V19" s="63">
        <f t="shared" si="8"/>
        <v>48531.91462879999</v>
      </c>
      <c r="W19" s="83">
        <f t="shared" si="9"/>
        <v>47731.688155999989</v>
      </c>
      <c r="X19" s="64">
        <f t="shared" si="10"/>
        <v>48759.399108799997</v>
      </c>
      <c r="Z19" s="67">
        <v>0</v>
      </c>
      <c r="AA19" s="68">
        <v>0</v>
      </c>
      <c r="AB19" s="69">
        <v>50000</v>
      </c>
      <c r="AC19" s="70">
        <v>50000</v>
      </c>
      <c r="AD19" s="67">
        <v>0</v>
      </c>
      <c r="AE19" s="68">
        <v>0</v>
      </c>
      <c r="AF19" s="69">
        <v>48201.403999999995</v>
      </c>
      <c r="AG19" s="70">
        <v>49261.827999999994</v>
      </c>
      <c r="AH19" s="70">
        <f t="shared" si="11"/>
        <v>0</v>
      </c>
      <c r="AI19" s="70">
        <f t="shared" si="12"/>
        <v>0</v>
      </c>
      <c r="AJ19" s="70">
        <f t="shared" si="13"/>
        <v>0</v>
      </c>
      <c r="AK19" s="70">
        <f t="shared" si="14"/>
        <v>0</v>
      </c>
      <c r="AL19" s="70">
        <f t="shared" si="15"/>
        <v>50000</v>
      </c>
      <c r="AM19" s="70">
        <f t="shared" si="16"/>
        <v>50000</v>
      </c>
      <c r="AN19" s="70">
        <f t="shared" si="17"/>
        <v>49053.578784799996</v>
      </c>
      <c r="AO19" s="70">
        <f t="shared" si="18"/>
        <v>48759.399108799997</v>
      </c>
    </row>
    <row r="20" spans="1:41">
      <c r="A20" s="29" t="s">
        <v>383</v>
      </c>
      <c r="B20" s="29" t="s">
        <v>640</v>
      </c>
      <c r="C20" s="107">
        <v>9928658.5099999998</v>
      </c>
      <c r="D20" s="108">
        <v>34000000</v>
      </c>
      <c r="F20" s="107">
        <v>7472327.2999999998</v>
      </c>
      <c r="G20" s="108">
        <v>39000000</v>
      </c>
      <c r="I20" s="64">
        <v>6400652.2599999998</v>
      </c>
      <c r="J20" s="83">
        <v>6214636.3967000004</v>
      </c>
      <c r="K20" s="66">
        <v>39000000</v>
      </c>
      <c r="L20" s="251">
        <v>39000000</v>
      </c>
      <c r="M20" s="63">
        <v>6042375.4437000044</v>
      </c>
      <c r="N20" s="64">
        <v>6118399.1000999985</v>
      </c>
      <c r="O20" s="65">
        <v>39000000</v>
      </c>
      <c r="P20" s="66">
        <v>39000000</v>
      </c>
      <c r="Q20" s="66">
        <f t="shared" si="3"/>
        <v>7388494.0099999998</v>
      </c>
      <c r="R20" s="63">
        <f t="shared" si="4"/>
        <v>6266720.838424</v>
      </c>
      <c r="S20" s="83">
        <f t="shared" si="5"/>
        <v>6090608.510540003</v>
      </c>
      <c r="T20" s="64">
        <f t="shared" si="6"/>
        <v>6097112.4763080003</v>
      </c>
      <c r="U20" s="66">
        <f t="shared" si="7"/>
        <v>36631000</v>
      </c>
      <c r="V20" s="63">
        <f t="shared" si="8"/>
        <v>39000000</v>
      </c>
      <c r="W20" s="83">
        <f t="shared" si="9"/>
        <v>39000000</v>
      </c>
      <c r="X20" s="64">
        <f t="shared" si="10"/>
        <v>39000000</v>
      </c>
      <c r="Z20" s="67">
        <v>7472327.2999999998</v>
      </c>
      <c r="AA20" s="68">
        <v>6982046.9653999973</v>
      </c>
      <c r="AB20" s="69">
        <v>39000000</v>
      </c>
      <c r="AC20" s="70">
        <v>39000000</v>
      </c>
      <c r="AD20" s="67">
        <v>6042375.4437000044</v>
      </c>
      <c r="AE20" s="68">
        <v>6118399.1000999985</v>
      </c>
      <c r="AF20" s="69">
        <v>39000000</v>
      </c>
      <c r="AG20" s="70">
        <v>39000000</v>
      </c>
      <c r="AH20" s="70">
        <f t="shared" si="11"/>
        <v>8160100.0387999993</v>
      </c>
      <c r="AI20" s="70">
        <f t="shared" si="12"/>
        <v>7119325.4590879986</v>
      </c>
      <c r="AJ20" s="70">
        <f t="shared" si="13"/>
        <v>6305483.4697760027</v>
      </c>
      <c r="AK20" s="70">
        <f t="shared" si="14"/>
        <v>6097112.4763080003</v>
      </c>
      <c r="AL20" s="70">
        <f t="shared" si="15"/>
        <v>36631000</v>
      </c>
      <c r="AM20" s="70">
        <f t="shared" si="16"/>
        <v>39000000</v>
      </c>
      <c r="AN20" s="70">
        <f t="shared" si="17"/>
        <v>39000000</v>
      </c>
      <c r="AO20" s="70">
        <f t="shared" si="18"/>
        <v>39000000</v>
      </c>
    </row>
    <row r="21" spans="1:41">
      <c r="A21" s="29" t="s">
        <v>253</v>
      </c>
      <c r="B21" s="29" t="s">
        <v>894</v>
      </c>
      <c r="C21" s="107">
        <v>0</v>
      </c>
      <c r="D21" s="108">
        <v>300000</v>
      </c>
      <c r="F21" s="107">
        <v>0</v>
      </c>
      <c r="G21" s="108">
        <v>300000</v>
      </c>
      <c r="I21" s="64">
        <v>0</v>
      </c>
      <c r="J21" s="83">
        <v>0</v>
      </c>
      <c r="K21" s="66">
        <v>300000</v>
      </c>
      <c r="L21" s="251">
        <v>289478.04959999997</v>
      </c>
      <c r="M21" s="63">
        <v>0</v>
      </c>
      <c r="N21" s="64">
        <v>0</v>
      </c>
      <c r="O21" s="65">
        <v>299642.26450000005</v>
      </c>
      <c r="P21" s="66">
        <v>300000</v>
      </c>
      <c r="Q21" s="66">
        <f t="shared" si="3"/>
        <v>0</v>
      </c>
      <c r="R21" s="63">
        <f t="shared" si="4"/>
        <v>0</v>
      </c>
      <c r="S21" s="83">
        <f t="shared" si="5"/>
        <v>0</v>
      </c>
      <c r="T21" s="64">
        <f t="shared" si="6"/>
        <v>0</v>
      </c>
      <c r="U21" s="66">
        <f t="shared" si="7"/>
        <v>300000</v>
      </c>
      <c r="V21" s="63">
        <f t="shared" si="8"/>
        <v>294463.34969951998</v>
      </c>
      <c r="W21" s="83">
        <f t="shared" si="9"/>
        <v>294826.45948038</v>
      </c>
      <c r="X21" s="64">
        <f t="shared" si="10"/>
        <v>299830.50492010004</v>
      </c>
      <c r="Z21" s="67">
        <v>0</v>
      </c>
      <c r="AA21" s="68">
        <v>0</v>
      </c>
      <c r="AB21" s="69">
        <v>300000</v>
      </c>
      <c r="AC21" s="70">
        <v>300000</v>
      </c>
      <c r="AD21" s="67">
        <v>0</v>
      </c>
      <c r="AE21" s="68">
        <v>0</v>
      </c>
      <c r="AF21" s="69">
        <v>299642.26450000005</v>
      </c>
      <c r="AG21" s="70">
        <v>300000</v>
      </c>
      <c r="AH21" s="70">
        <f t="shared" si="11"/>
        <v>0</v>
      </c>
      <c r="AI21" s="70">
        <f t="shared" si="12"/>
        <v>0</v>
      </c>
      <c r="AJ21" s="70">
        <f t="shared" si="13"/>
        <v>0</v>
      </c>
      <c r="AK21" s="70">
        <f t="shared" si="14"/>
        <v>0</v>
      </c>
      <c r="AL21" s="70">
        <f t="shared" si="15"/>
        <v>300000</v>
      </c>
      <c r="AM21" s="70">
        <f t="shared" si="16"/>
        <v>300000</v>
      </c>
      <c r="AN21" s="70">
        <f t="shared" si="17"/>
        <v>299811.75957990001</v>
      </c>
      <c r="AO21" s="70">
        <f t="shared" si="18"/>
        <v>299830.50492010004</v>
      </c>
    </row>
    <row r="22" spans="1:41">
      <c r="A22" s="29" t="s">
        <v>543</v>
      </c>
      <c r="B22" s="29" t="s">
        <v>641</v>
      </c>
      <c r="C22" s="107">
        <v>0</v>
      </c>
      <c r="D22" s="108">
        <v>5783172</v>
      </c>
      <c r="F22" s="107">
        <v>0</v>
      </c>
      <c r="G22" s="108">
        <v>6082990</v>
      </c>
      <c r="I22" s="64">
        <v>0</v>
      </c>
      <c r="J22" s="83">
        <v>0</v>
      </c>
      <c r="K22" s="66">
        <v>6082990</v>
      </c>
      <c r="L22" s="251">
        <v>6182267.7891999995</v>
      </c>
      <c r="M22" s="63">
        <v>0</v>
      </c>
      <c r="N22" s="64">
        <v>0</v>
      </c>
      <c r="O22" s="65">
        <v>6396532.0484999996</v>
      </c>
      <c r="P22" s="66">
        <v>6649956.2898999993</v>
      </c>
      <c r="Q22" s="66">
        <f t="shared" si="3"/>
        <v>0</v>
      </c>
      <c r="R22" s="63">
        <f t="shared" si="4"/>
        <v>0</v>
      </c>
      <c r="S22" s="83">
        <f t="shared" si="5"/>
        <v>0</v>
      </c>
      <c r="T22" s="64">
        <f t="shared" si="6"/>
        <v>0</v>
      </c>
      <c r="U22" s="66">
        <f t="shared" si="7"/>
        <v>5940936.2315999996</v>
      </c>
      <c r="V22" s="63">
        <f t="shared" si="8"/>
        <v>6135229.9726770399</v>
      </c>
      <c r="W22" s="83">
        <f t="shared" si="9"/>
        <v>6295013.6424436588</v>
      </c>
      <c r="X22" s="64">
        <f t="shared" si="10"/>
        <v>6529883.8843246792</v>
      </c>
      <c r="Z22" s="67">
        <v>0</v>
      </c>
      <c r="AA22" s="68">
        <v>0</v>
      </c>
      <c r="AB22" s="69">
        <v>6082990</v>
      </c>
      <c r="AC22" s="70">
        <v>6387142.0214</v>
      </c>
      <c r="AD22" s="67">
        <v>0</v>
      </c>
      <c r="AE22" s="68">
        <v>0</v>
      </c>
      <c r="AF22" s="69">
        <v>6396532.0484999996</v>
      </c>
      <c r="AG22" s="70">
        <v>6649956.2898999993</v>
      </c>
      <c r="AH22" s="70">
        <f t="shared" si="11"/>
        <v>0</v>
      </c>
      <c r="AI22" s="70">
        <f t="shared" si="12"/>
        <v>0</v>
      </c>
      <c r="AJ22" s="70">
        <f t="shared" si="13"/>
        <v>0</v>
      </c>
      <c r="AK22" s="70">
        <f t="shared" si="14"/>
        <v>0</v>
      </c>
      <c r="AL22" s="70">
        <f t="shared" si="15"/>
        <v>5940936.2315999996</v>
      </c>
      <c r="AM22" s="70">
        <f t="shared" si="16"/>
        <v>6243034.7936606798</v>
      </c>
      <c r="AN22" s="70">
        <f t="shared" si="17"/>
        <v>6392083.0536600202</v>
      </c>
      <c r="AO22" s="70">
        <f t="shared" si="18"/>
        <v>6529883.8843246792</v>
      </c>
    </row>
    <row r="23" spans="1:41">
      <c r="A23" s="29" t="s">
        <v>283</v>
      </c>
      <c r="B23" s="29" t="s">
        <v>890</v>
      </c>
      <c r="C23" s="107">
        <v>0</v>
      </c>
      <c r="D23" s="108">
        <v>250000</v>
      </c>
      <c r="F23" s="107">
        <v>0</v>
      </c>
      <c r="G23" s="108">
        <v>250847</v>
      </c>
      <c r="I23" s="64">
        <v>0</v>
      </c>
      <c r="J23" s="83">
        <v>0</v>
      </c>
      <c r="K23" s="66">
        <v>250847</v>
      </c>
      <c r="L23" s="251">
        <v>250000</v>
      </c>
      <c r="M23" s="63">
        <v>0</v>
      </c>
      <c r="N23" s="64">
        <v>0</v>
      </c>
      <c r="O23" s="65">
        <v>250000</v>
      </c>
      <c r="P23" s="66">
        <v>250000</v>
      </c>
      <c r="Q23" s="66">
        <f t="shared" si="3"/>
        <v>0</v>
      </c>
      <c r="R23" s="63">
        <f t="shared" si="4"/>
        <v>0</v>
      </c>
      <c r="S23" s="83">
        <f t="shared" si="5"/>
        <v>0</v>
      </c>
      <c r="T23" s="64">
        <f t="shared" si="6"/>
        <v>0</v>
      </c>
      <c r="U23" s="66">
        <f t="shared" si="7"/>
        <v>250445.69140000001</v>
      </c>
      <c r="V23" s="63">
        <f t="shared" si="8"/>
        <v>250401.30859999999</v>
      </c>
      <c r="W23" s="83">
        <f t="shared" si="9"/>
        <v>250000</v>
      </c>
      <c r="X23" s="64">
        <f t="shared" si="10"/>
        <v>250000</v>
      </c>
      <c r="Z23" s="67">
        <v>0</v>
      </c>
      <c r="AA23" s="68">
        <v>0</v>
      </c>
      <c r="AB23" s="69">
        <v>250847</v>
      </c>
      <c r="AC23" s="70">
        <v>250000</v>
      </c>
      <c r="AD23" s="67">
        <v>0</v>
      </c>
      <c r="AE23" s="68">
        <v>0</v>
      </c>
      <c r="AF23" s="69">
        <v>250000</v>
      </c>
      <c r="AG23" s="70">
        <v>250000</v>
      </c>
      <c r="AH23" s="70">
        <f t="shared" si="11"/>
        <v>0</v>
      </c>
      <c r="AI23" s="70">
        <f t="shared" si="12"/>
        <v>0</v>
      </c>
      <c r="AJ23" s="70">
        <f t="shared" si="13"/>
        <v>0</v>
      </c>
      <c r="AK23" s="70">
        <f t="shared" si="14"/>
        <v>0</v>
      </c>
      <c r="AL23" s="70">
        <f t="shared" si="15"/>
        <v>250445.69140000001</v>
      </c>
      <c r="AM23" s="70">
        <f t="shared" si="16"/>
        <v>250401.30859999999</v>
      </c>
      <c r="AN23" s="70">
        <f t="shared" si="17"/>
        <v>250000</v>
      </c>
      <c r="AO23" s="70">
        <f t="shared" si="18"/>
        <v>250000</v>
      </c>
    </row>
    <row r="24" spans="1:41">
      <c r="A24" s="29" t="s">
        <v>227</v>
      </c>
      <c r="B24" s="29" t="s">
        <v>642</v>
      </c>
      <c r="C24" s="107">
        <v>0</v>
      </c>
      <c r="D24" s="108">
        <v>12787991</v>
      </c>
      <c r="F24" s="107">
        <v>0</v>
      </c>
      <c r="G24" s="108">
        <v>13508597</v>
      </c>
      <c r="I24" s="64">
        <v>0</v>
      </c>
      <c r="J24" s="83">
        <v>0</v>
      </c>
      <c r="K24" s="66">
        <v>13508597</v>
      </c>
      <c r="L24" s="251">
        <v>13327879.147400001</v>
      </c>
      <c r="M24" s="63">
        <v>0</v>
      </c>
      <c r="N24" s="64">
        <v>0</v>
      </c>
      <c r="O24" s="65">
        <v>13789775.0802</v>
      </c>
      <c r="P24" s="66">
        <v>14336063.041299999</v>
      </c>
      <c r="Q24" s="66">
        <f t="shared" si="3"/>
        <v>0</v>
      </c>
      <c r="R24" s="63">
        <f t="shared" si="4"/>
        <v>0</v>
      </c>
      <c r="S24" s="83">
        <f t="shared" si="5"/>
        <v>0</v>
      </c>
      <c r="T24" s="64">
        <f t="shared" si="6"/>
        <v>0</v>
      </c>
      <c r="U24" s="66">
        <f t="shared" si="7"/>
        <v>13167173.8772</v>
      </c>
      <c r="V24" s="63">
        <f t="shared" si="8"/>
        <v>13413503.265961882</v>
      </c>
      <c r="W24" s="83">
        <f t="shared" si="9"/>
        <v>13570928.787239362</v>
      </c>
      <c r="X24" s="64">
        <f t="shared" si="10"/>
        <v>14077231.80533082</v>
      </c>
      <c r="Z24" s="67">
        <v>0</v>
      </c>
      <c r="AA24" s="68">
        <v>0</v>
      </c>
      <c r="AB24" s="69">
        <v>13508597</v>
      </c>
      <c r="AC24" s="70">
        <v>13851143</v>
      </c>
      <c r="AD24" s="67">
        <v>0</v>
      </c>
      <c r="AE24" s="68">
        <v>0</v>
      </c>
      <c r="AF24" s="69">
        <v>13789775.0802</v>
      </c>
      <c r="AG24" s="70">
        <v>14336063.041299999</v>
      </c>
      <c r="AH24" s="70">
        <f t="shared" si="11"/>
        <v>0</v>
      </c>
      <c r="AI24" s="70">
        <f t="shared" si="12"/>
        <v>0</v>
      </c>
      <c r="AJ24" s="70">
        <f t="shared" si="13"/>
        <v>0</v>
      </c>
      <c r="AK24" s="70">
        <f t="shared" si="14"/>
        <v>0</v>
      </c>
      <c r="AL24" s="70">
        <f t="shared" si="15"/>
        <v>13167173.8772</v>
      </c>
      <c r="AM24" s="70">
        <f t="shared" si="16"/>
        <v>13688844.705200002</v>
      </c>
      <c r="AN24" s="70">
        <f t="shared" si="17"/>
        <v>13818851.200601239</v>
      </c>
      <c r="AO24" s="70">
        <f t="shared" si="18"/>
        <v>14077231.80533082</v>
      </c>
    </row>
    <row r="25" spans="1:41">
      <c r="A25" s="29" t="s">
        <v>333</v>
      </c>
      <c r="B25" s="29" t="s">
        <v>643</v>
      </c>
      <c r="C25" s="107">
        <v>810208.08</v>
      </c>
      <c r="D25" s="108">
        <v>931940</v>
      </c>
      <c r="F25" s="107">
        <v>859794.2</v>
      </c>
      <c r="G25" s="108">
        <v>1144955</v>
      </c>
      <c r="I25" s="64">
        <v>808789.44</v>
      </c>
      <c r="J25" s="83">
        <v>827013.09819999989</v>
      </c>
      <c r="K25" s="66">
        <v>1144955</v>
      </c>
      <c r="L25" s="251">
        <v>1384679</v>
      </c>
      <c r="M25" s="63">
        <v>855978.87239999988</v>
      </c>
      <c r="N25" s="64">
        <v>876206.92559999996</v>
      </c>
      <c r="O25" s="65">
        <v>1453530.825</v>
      </c>
      <c r="P25" s="66">
        <v>1488530</v>
      </c>
      <c r="Q25" s="66">
        <f t="shared" si="3"/>
        <v>809186.65919999999</v>
      </c>
      <c r="R25" s="63">
        <f t="shared" si="4"/>
        <v>821910.4739039999</v>
      </c>
      <c r="S25" s="83">
        <f t="shared" si="5"/>
        <v>847868.45562399982</v>
      </c>
      <c r="T25" s="64">
        <f t="shared" si="6"/>
        <v>870543.07070399995</v>
      </c>
      <c r="U25" s="66">
        <f t="shared" si="7"/>
        <v>1044028.493</v>
      </c>
      <c r="V25" s="63">
        <f t="shared" si="8"/>
        <v>1271097.7688</v>
      </c>
      <c r="W25" s="83">
        <f t="shared" si="9"/>
        <v>1420908.8303149999</v>
      </c>
      <c r="X25" s="64">
        <f t="shared" si="10"/>
        <v>1471947.3908850001</v>
      </c>
      <c r="Z25" s="67">
        <v>859794.2</v>
      </c>
      <c r="AA25" s="68">
        <v>863711.24959999998</v>
      </c>
      <c r="AB25" s="69">
        <v>1144955</v>
      </c>
      <c r="AC25" s="70">
        <v>1384679</v>
      </c>
      <c r="AD25" s="67">
        <v>855978.87239999988</v>
      </c>
      <c r="AE25" s="68">
        <v>876206.92559999996</v>
      </c>
      <c r="AF25" s="69">
        <v>1453530.825</v>
      </c>
      <c r="AG25" s="70">
        <v>1488530</v>
      </c>
      <c r="AH25" s="70">
        <f t="shared" si="11"/>
        <v>845910.08639999991</v>
      </c>
      <c r="AI25" s="70">
        <f t="shared" si="12"/>
        <v>862614.47571200004</v>
      </c>
      <c r="AJ25" s="70">
        <f t="shared" si="13"/>
        <v>858143.93801599985</v>
      </c>
      <c r="AK25" s="70">
        <f t="shared" si="14"/>
        <v>870543.07070399995</v>
      </c>
      <c r="AL25" s="70">
        <f t="shared" si="15"/>
        <v>1044028.493</v>
      </c>
      <c r="AM25" s="70">
        <f t="shared" si="16"/>
        <v>1271097.7688</v>
      </c>
      <c r="AN25" s="70">
        <f t="shared" si="17"/>
        <v>1420908.8303149999</v>
      </c>
      <c r="AO25" s="70">
        <f t="shared" si="18"/>
        <v>1471947.3908850001</v>
      </c>
    </row>
    <row r="26" spans="1:41">
      <c r="A26" s="29" t="s">
        <v>91</v>
      </c>
      <c r="B26" s="29" t="s">
        <v>644</v>
      </c>
      <c r="C26" s="107">
        <v>1002764.28</v>
      </c>
      <c r="D26" s="108">
        <v>280674</v>
      </c>
      <c r="F26" s="107">
        <v>1051315</v>
      </c>
      <c r="G26" s="108">
        <v>297738.62</v>
      </c>
      <c r="I26" s="64">
        <v>996216.33</v>
      </c>
      <c r="J26" s="83">
        <v>1052843.6793</v>
      </c>
      <c r="K26" s="66">
        <v>297738.62</v>
      </c>
      <c r="L26" s="251">
        <v>315366</v>
      </c>
      <c r="M26" s="63">
        <v>1088839.4391000001</v>
      </c>
      <c r="N26" s="64">
        <v>1123040.2131000001</v>
      </c>
      <c r="O26" s="65">
        <v>334287</v>
      </c>
      <c r="P26" s="66">
        <v>334287</v>
      </c>
      <c r="Q26" s="66">
        <f t="shared" si="3"/>
        <v>998049.75599999994</v>
      </c>
      <c r="R26" s="63">
        <f t="shared" si="4"/>
        <v>1036988.021496</v>
      </c>
      <c r="S26" s="83">
        <f t="shared" si="5"/>
        <v>1078760.6263560001</v>
      </c>
      <c r="T26" s="64">
        <f t="shared" si="6"/>
        <v>1113463.9963800001</v>
      </c>
      <c r="U26" s="66">
        <f t="shared" si="7"/>
        <v>289653.40304400004</v>
      </c>
      <c r="V26" s="63">
        <f t="shared" si="8"/>
        <v>307014.14735599997</v>
      </c>
      <c r="W26" s="83">
        <f t="shared" si="9"/>
        <v>325322.23019999999</v>
      </c>
      <c r="X26" s="64">
        <f t="shared" si="10"/>
        <v>334287</v>
      </c>
      <c r="Z26" s="67">
        <v>1051315</v>
      </c>
      <c r="AA26" s="68">
        <v>1097197.6406</v>
      </c>
      <c r="AB26" s="69">
        <v>297738.62</v>
      </c>
      <c r="AC26" s="70">
        <v>315366</v>
      </c>
      <c r="AD26" s="67">
        <v>1088839.4391000001</v>
      </c>
      <c r="AE26" s="68">
        <v>1123040.2131000001</v>
      </c>
      <c r="AF26" s="69">
        <v>334287</v>
      </c>
      <c r="AG26" s="70">
        <v>334287</v>
      </c>
      <c r="AH26" s="70">
        <f t="shared" si="11"/>
        <v>1037720.7984</v>
      </c>
      <c r="AI26" s="70">
        <f t="shared" si="12"/>
        <v>1084350.5012320001</v>
      </c>
      <c r="AJ26" s="70">
        <f t="shared" si="13"/>
        <v>1091179.7355200001</v>
      </c>
      <c r="AK26" s="70">
        <f t="shared" si="14"/>
        <v>1113463.9963800001</v>
      </c>
      <c r="AL26" s="70">
        <f t="shared" si="15"/>
        <v>289653.40304400004</v>
      </c>
      <c r="AM26" s="70">
        <f t="shared" si="16"/>
        <v>307014.14735599997</v>
      </c>
      <c r="AN26" s="70">
        <f t="shared" si="17"/>
        <v>325322.23019999999</v>
      </c>
      <c r="AO26" s="70">
        <f t="shared" si="18"/>
        <v>334287</v>
      </c>
    </row>
    <row r="27" spans="1:41">
      <c r="A27" s="29" t="s">
        <v>175</v>
      </c>
      <c r="B27" s="29" t="s">
        <v>898</v>
      </c>
      <c r="C27" s="107">
        <v>0</v>
      </c>
      <c r="D27" s="108">
        <v>247019</v>
      </c>
      <c r="F27" s="107">
        <v>0</v>
      </c>
      <c r="G27" s="108">
        <v>327561.46000000002</v>
      </c>
      <c r="I27" s="64">
        <v>0</v>
      </c>
      <c r="J27" s="83">
        <v>0</v>
      </c>
      <c r="K27" s="66">
        <v>327561.46000000002</v>
      </c>
      <c r="L27" s="251">
        <v>327395</v>
      </c>
      <c r="M27" s="63">
        <v>0</v>
      </c>
      <c r="N27" s="64">
        <v>0</v>
      </c>
      <c r="O27" s="65">
        <v>327395</v>
      </c>
      <c r="P27" s="66">
        <v>327395</v>
      </c>
      <c r="Q27" s="66">
        <f t="shared" si="3"/>
        <v>0</v>
      </c>
      <c r="R27" s="63">
        <f t="shared" si="4"/>
        <v>0</v>
      </c>
      <c r="S27" s="83">
        <f t="shared" si="5"/>
        <v>0</v>
      </c>
      <c r="T27" s="64">
        <f t="shared" si="6"/>
        <v>0</v>
      </c>
      <c r="U27" s="66">
        <f t="shared" si="7"/>
        <v>289400.44245199999</v>
      </c>
      <c r="V27" s="63">
        <f t="shared" si="8"/>
        <v>327473.86874800001</v>
      </c>
      <c r="W27" s="83">
        <f t="shared" si="9"/>
        <v>327395</v>
      </c>
      <c r="X27" s="64">
        <f t="shared" si="10"/>
        <v>327395</v>
      </c>
      <c r="Z27" s="67">
        <v>0</v>
      </c>
      <c r="AA27" s="68">
        <v>0</v>
      </c>
      <c r="AB27" s="69">
        <v>327561.46000000002</v>
      </c>
      <c r="AC27" s="70">
        <v>327395</v>
      </c>
      <c r="AD27" s="67">
        <v>0</v>
      </c>
      <c r="AE27" s="68">
        <v>0</v>
      </c>
      <c r="AF27" s="69">
        <v>327395</v>
      </c>
      <c r="AG27" s="70">
        <v>327395</v>
      </c>
      <c r="AH27" s="70">
        <f t="shared" si="11"/>
        <v>0</v>
      </c>
      <c r="AI27" s="70">
        <f t="shared" si="12"/>
        <v>0</v>
      </c>
      <c r="AJ27" s="70">
        <f t="shared" si="13"/>
        <v>0</v>
      </c>
      <c r="AK27" s="70">
        <f t="shared" si="14"/>
        <v>0</v>
      </c>
      <c r="AL27" s="70">
        <f t="shared" si="15"/>
        <v>289400.44245199999</v>
      </c>
      <c r="AM27" s="70">
        <f t="shared" si="16"/>
        <v>327473.86874800001</v>
      </c>
      <c r="AN27" s="70">
        <f t="shared" si="17"/>
        <v>327395</v>
      </c>
      <c r="AO27" s="70">
        <f t="shared" si="18"/>
        <v>327395</v>
      </c>
    </row>
    <row r="28" spans="1:41">
      <c r="A28" s="29" t="s">
        <v>403</v>
      </c>
      <c r="B28" s="29" t="s">
        <v>922</v>
      </c>
      <c r="C28" s="107">
        <v>0</v>
      </c>
      <c r="D28" s="108">
        <v>10258000</v>
      </c>
      <c r="F28" s="107">
        <v>0</v>
      </c>
      <c r="G28" s="108">
        <v>10566000</v>
      </c>
      <c r="I28" s="64">
        <v>0</v>
      </c>
      <c r="J28" s="83">
        <v>0</v>
      </c>
      <c r="K28" s="66">
        <v>10566000</v>
      </c>
      <c r="L28" s="251">
        <v>9623705.8191999998</v>
      </c>
      <c r="M28" s="63">
        <v>0</v>
      </c>
      <c r="N28" s="64">
        <v>0</v>
      </c>
      <c r="O28" s="65">
        <v>9957234.4224000014</v>
      </c>
      <c r="P28" s="66">
        <v>10351712.3248</v>
      </c>
      <c r="Q28" s="66">
        <f t="shared" si="3"/>
        <v>0</v>
      </c>
      <c r="R28" s="63">
        <f t="shared" si="4"/>
        <v>0</v>
      </c>
      <c r="S28" s="83">
        <f t="shared" si="5"/>
        <v>0</v>
      </c>
      <c r="T28" s="64">
        <f t="shared" si="6"/>
        <v>0</v>
      </c>
      <c r="U28" s="66">
        <f t="shared" si="7"/>
        <v>10420069.600000001</v>
      </c>
      <c r="V28" s="63">
        <f t="shared" si="8"/>
        <v>10070164.80206304</v>
      </c>
      <c r="W28" s="83">
        <f t="shared" si="9"/>
        <v>9799208.5702038407</v>
      </c>
      <c r="X28" s="64">
        <f t="shared" si="10"/>
        <v>10164808.694642881</v>
      </c>
      <c r="Z28" s="67">
        <v>0</v>
      </c>
      <c r="AA28" s="68">
        <v>0</v>
      </c>
      <c r="AB28" s="69">
        <v>10566000</v>
      </c>
      <c r="AC28" s="70">
        <v>10123786.634400001</v>
      </c>
      <c r="AD28" s="67">
        <v>0</v>
      </c>
      <c r="AE28" s="68">
        <v>0</v>
      </c>
      <c r="AF28" s="69">
        <v>9957234.4224000014</v>
      </c>
      <c r="AG28" s="70">
        <v>10351712.3248</v>
      </c>
      <c r="AH28" s="70">
        <f t="shared" si="11"/>
        <v>0</v>
      </c>
      <c r="AI28" s="70">
        <f t="shared" si="12"/>
        <v>0</v>
      </c>
      <c r="AJ28" s="70">
        <f t="shared" si="13"/>
        <v>0</v>
      </c>
      <c r="AK28" s="70">
        <f t="shared" si="14"/>
        <v>0</v>
      </c>
      <c r="AL28" s="70">
        <f t="shared" si="15"/>
        <v>10420069.600000001</v>
      </c>
      <c r="AM28" s="70">
        <f t="shared" si="16"/>
        <v>10333307.32702128</v>
      </c>
      <c r="AN28" s="70">
        <f t="shared" si="17"/>
        <v>10036146.8604456</v>
      </c>
      <c r="AO28" s="70">
        <f t="shared" si="18"/>
        <v>10164808.694642881</v>
      </c>
    </row>
    <row r="29" spans="1:41">
      <c r="A29" s="29" t="s">
        <v>67</v>
      </c>
      <c r="B29" s="29" t="s">
        <v>645</v>
      </c>
      <c r="C29" s="107">
        <v>1895007.94</v>
      </c>
      <c r="D29" s="108">
        <v>16900000</v>
      </c>
      <c r="F29" s="107">
        <v>1344754.54</v>
      </c>
      <c r="G29" s="108">
        <v>17180000</v>
      </c>
      <c r="I29" s="64">
        <v>637776.18999999994</v>
      </c>
      <c r="J29" s="83">
        <v>446105.94840000098</v>
      </c>
      <c r="K29" s="66">
        <v>17180000</v>
      </c>
      <c r="L29" s="251">
        <v>17690000</v>
      </c>
      <c r="M29" s="63">
        <v>0</v>
      </c>
      <c r="N29" s="64">
        <v>0</v>
      </c>
      <c r="O29" s="65">
        <v>18220000</v>
      </c>
      <c r="P29" s="66">
        <v>18220000</v>
      </c>
      <c r="Q29" s="66">
        <f t="shared" si="3"/>
        <v>989801.08</v>
      </c>
      <c r="R29" s="63">
        <f t="shared" si="4"/>
        <v>499773.61604800069</v>
      </c>
      <c r="S29" s="83">
        <f t="shared" si="5"/>
        <v>124909.66555200028</v>
      </c>
      <c r="T29" s="64">
        <f t="shared" si="6"/>
        <v>0</v>
      </c>
      <c r="U29" s="66">
        <f t="shared" si="7"/>
        <v>17047336</v>
      </c>
      <c r="V29" s="63">
        <f t="shared" si="8"/>
        <v>17448362</v>
      </c>
      <c r="W29" s="83">
        <f t="shared" si="9"/>
        <v>17968886</v>
      </c>
      <c r="X29" s="64">
        <f t="shared" si="10"/>
        <v>18220000</v>
      </c>
      <c r="Z29" s="67">
        <v>1344754.54</v>
      </c>
      <c r="AA29" s="68">
        <v>1061501.6188999999</v>
      </c>
      <c r="AB29" s="69">
        <v>17180000</v>
      </c>
      <c r="AC29" s="70">
        <v>17690000</v>
      </c>
      <c r="AD29" s="67">
        <v>0</v>
      </c>
      <c r="AE29" s="68">
        <v>0</v>
      </c>
      <c r="AF29" s="69">
        <v>18220000</v>
      </c>
      <c r="AG29" s="70">
        <v>18220000</v>
      </c>
      <c r="AH29" s="70">
        <f t="shared" si="11"/>
        <v>1498825.4920000001</v>
      </c>
      <c r="AI29" s="70">
        <f t="shared" si="12"/>
        <v>1140812.4368079999</v>
      </c>
      <c r="AJ29" s="70">
        <f t="shared" si="13"/>
        <v>297220.45329199999</v>
      </c>
      <c r="AK29" s="70">
        <f t="shared" si="14"/>
        <v>0</v>
      </c>
      <c r="AL29" s="70">
        <f t="shared" si="15"/>
        <v>17047336</v>
      </c>
      <c r="AM29" s="70">
        <f t="shared" si="16"/>
        <v>17448362</v>
      </c>
      <c r="AN29" s="70">
        <f t="shared" si="17"/>
        <v>17968886</v>
      </c>
      <c r="AO29" s="70">
        <f t="shared" si="18"/>
        <v>18220000</v>
      </c>
    </row>
    <row r="30" spans="1:41">
      <c r="A30" s="29" t="s">
        <v>49</v>
      </c>
      <c r="B30" s="29" t="s">
        <v>646</v>
      </c>
      <c r="C30" s="107">
        <v>592717.17000000004</v>
      </c>
      <c r="D30" s="108">
        <v>360000</v>
      </c>
      <c r="F30" s="107">
        <v>624305.84</v>
      </c>
      <c r="G30" s="108">
        <v>362464.25</v>
      </c>
      <c r="I30" s="64">
        <v>615492.09</v>
      </c>
      <c r="J30" s="83">
        <v>645407.71460000006</v>
      </c>
      <c r="K30" s="66">
        <v>362464.25</v>
      </c>
      <c r="L30" s="251">
        <v>361981</v>
      </c>
      <c r="M30" s="63">
        <v>656526.74699999997</v>
      </c>
      <c r="N30" s="64">
        <v>677314.49399999995</v>
      </c>
      <c r="O30" s="65">
        <v>362162</v>
      </c>
      <c r="P30" s="66">
        <v>362162</v>
      </c>
      <c r="Q30" s="66">
        <f t="shared" si="3"/>
        <v>609115.11239999998</v>
      </c>
      <c r="R30" s="63">
        <f t="shared" si="4"/>
        <v>637031.33971199999</v>
      </c>
      <c r="S30" s="83">
        <f t="shared" si="5"/>
        <v>653413.41792799998</v>
      </c>
      <c r="T30" s="64">
        <f t="shared" si="6"/>
        <v>671493.92483999999</v>
      </c>
      <c r="U30" s="66">
        <f t="shared" si="7"/>
        <v>361296.68835000001</v>
      </c>
      <c r="V30" s="63">
        <f t="shared" si="8"/>
        <v>362209.96385</v>
      </c>
      <c r="W30" s="83">
        <f t="shared" si="9"/>
        <v>362076.24219999998</v>
      </c>
      <c r="X30" s="64">
        <f t="shared" si="10"/>
        <v>362162</v>
      </c>
      <c r="Z30" s="67">
        <v>624305.84</v>
      </c>
      <c r="AA30" s="68">
        <v>645478.76619999995</v>
      </c>
      <c r="AB30" s="69">
        <v>362464.25</v>
      </c>
      <c r="AC30" s="70">
        <v>361981</v>
      </c>
      <c r="AD30" s="67">
        <v>656526.74699999997</v>
      </c>
      <c r="AE30" s="68">
        <v>677314.49399999995</v>
      </c>
      <c r="AF30" s="69">
        <v>362162</v>
      </c>
      <c r="AG30" s="70">
        <v>362162</v>
      </c>
      <c r="AH30" s="70">
        <f t="shared" si="11"/>
        <v>615461.01240000001</v>
      </c>
      <c r="AI30" s="70">
        <f t="shared" si="12"/>
        <v>639550.34686399996</v>
      </c>
      <c r="AJ30" s="70">
        <f t="shared" si="13"/>
        <v>653433.31237599999</v>
      </c>
      <c r="AK30" s="70">
        <f t="shared" si="14"/>
        <v>671493.92483999999</v>
      </c>
      <c r="AL30" s="70">
        <f t="shared" si="15"/>
        <v>361296.68835000001</v>
      </c>
      <c r="AM30" s="70">
        <f t="shared" si="16"/>
        <v>362209.96385</v>
      </c>
      <c r="AN30" s="70">
        <f t="shared" si="17"/>
        <v>362076.24219999998</v>
      </c>
      <c r="AO30" s="70">
        <f t="shared" si="18"/>
        <v>362162</v>
      </c>
    </row>
    <row r="31" spans="1:41">
      <c r="A31" s="29" t="s">
        <v>367</v>
      </c>
      <c r="B31" s="29" t="s">
        <v>883</v>
      </c>
      <c r="C31" s="107">
        <v>153800.54</v>
      </c>
      <c r="D31" s="108">
        <v>383145</v>
      </c>
      <c r="F31" s="107">
        <v>139377.71</v>
      </c>
      <c r="G31" s="108">
        <v>410950</v>
      </c>
      <c r="I31" s="64">
        <v>131359.04999999999</v>
      </c>
      <c r="J31" s="83">
        <v>200814.4762</v>
      </c>
      <c r="K31" s="66">
        <v>410950</v>
      </c>
      <c r="L31" s="251">
        <v>441485</v>
      </c>
      <c r="M31" s="63">
        <v>199492.86569999991</v>
      </c>
      <c r="N31" s="64">
        <v>193341.49079999994</v>
      </c>
      <c r="O31" s="65">
        <v>480828</v>
      </c>
      <c r="P31" s="66">
        <v>480828</v>
      </c>
      <c r="Q31" s="66">
        <f t="shared" si="3"/>
        <v>137642.6672</v>
      </c>
      <c r="R31" s="63">
        <f t="shared" si="4"/>
        <v>181366.95686400001</v>
      </c>
      <c r="S31" s="83">
        <f t="shared" si="5"/>
        <v>199862.91663999995</v>
      </c>
      <c r="T31" s="64">
        <f t="shared" si="6"/>
        <v>195063.87577199994</v>
      </c>
      <c r="U31" s="66">
        <f t="shared" si="7"/>
        <v>397775.99100000004</v>
      </c>
      <c r="V31" s="63">
        <f t="shared" si="8"/>
        <v>427017.51699999999</v>
      </c>
      <c r="W31" s="83">
        <f t="shared" si="9"/>
        <v>462187.28659999999</v>
      </c>
      <c r="X31" s="64">
        <f t="shared" si="10"/>
        <v>480828</v>
      </c>
      <c r="Z31" s="67">
        <v>139377.71</v>
      </c>
      <c r="AA31" s="68">
        <v>200814.4762</v>
      </c>
      <c r="AB31" s="69">
        <v>410950</v>
      </c>
      <c r="AC31" s="70">
        <v>441485</v>
      </c>
      <c r="AD31" s="67">
        <v>199492.86569999991</v>
      </c>
      <c r="AE31" s="68">
        <v>193341.49079999994</v>
      </c>
      <c r="AF31" s="69">
        <v>480828</v>
      </c>
      <c r="AG31" s="70">
        <v>480828</v>
      </c>
      <c r="AH31" s="70">
        <f t="shared" si="11"/>
        <v>143416.1024</v>
      </c>
      <c r="AI31" s="70">
        <f t="shared" si="12"/>
        <v>183612.181664</v>
      </c>
      <c r="AJ31" s="70">
        <f t="shared" si="13"/>
        <v>199862.91663999995</v>
      </c>
      <c r="AK31" s="70">
        <f t="shared" si="14"/>
        <v>195063.87577199994</v>
      </c>
      <c r="AL31" s="70">
        <f t="shared" si="15"/>
        <v>397775.99100000004</v>
      </c>
      <c r="AM31" s="70">
        <f t="shared" si="16"/>
        <v>427017.51699999999</v>
      </c>
      <c r="AN31" s="70">
        <f t="shared" si="17"/>
        <v>462187.28659999999</v>
      </c>
      <c r="AO31" s="70">
        <f t="shared" si="18"/>
        <v>480828</v>
      </c>
    </row>
    <row r="32" spans="1:41">
      <c r="A32" s="29" t="s">
        <v>39</v>
      </c>
      <c r="B32" s="29" t="s">
        <v>647</v>
      </c>
      <c r="C32" s="107">
        <v>0</v>
      </c>
      <c r="D32" s="108">
        <v>3259592</v>
      </c>
      <c r="F32" s="107">
        <v>0</v>
      </c>
      <c r="G32" s="108">
        <v>3488439.33</v>
      </c>
      <c r="I32" s="64">
        <v>0</v>
      </c>
      <c r="J32" s="83">
        <v>0</v>
      </c>
      <c r="K32" s="66">
        <v>3488439.33</v>
      </c>
      <c r="L32" s="251">
        <v>3520514.8202</v>
      </c>
      <c r="M32" s="63">
        <v>0</v>
      </c>
      <c r="N32" s="64">
        <v>0</v>
      </c>
      <c r="O32" s="65">
        <v>3642527.1963</v>
      </c>
      <c r="P32" s="66">
        <v>3786822.8012999999</v>
      </c>
      <c r="Q32" s="66">
        <f t="shared" si="3"/>
        <v>0</v>
      </c>
      <c r="R32" s="63">
        <f t="shared" si="4"/>
        <v>0</v>
      </c>
      <c r="S32" s="83">
        <f t="shared" si="5"/>
        <v>0</v>
      </c>
      <c r="T32" s="64">
        <f t="shared" si="6"/>
        <v>0</v>
      </c>
      <c r="U32" s="66">
        <f t="shared" si="7"/>
        <v>3380011.4650459997</v>
      </c>
      <c r="V32" s="63">
        <f t="shared" si="8"/>
        <v>3505317.4529432403</v>
      </c>
      <c r="W32" s="83">
        <f t="shared" si="9"/>
        <v>3584717.7325038202</v>
      </c>
      <c r="X32" s="64">
        <f t="shared" si="10"/>
        <v>3718455.5436509997</v>
      </c>
      <c r="Z32" s="67">
        <v>0</v>
      </c>
      <c r="AA32" s="68">
        <v>0</v>
      </c>
      <c r="AB32" s="69">
        <v>3488439.33</v>
      </c>
      <c r="AC32" s="70">
        <v>3650000</v>
      </c>
      <c r="AD32" s="67">
        <v>0</v>
      </c>
      <c r="AE32" s="68">
        <v>0</v>
      </c>
      <c r="AF32" s="69">
        <v>3642527.1963</v>
      </c>
      <c r="AG32" s="70">
        <v>3786822.8012999999</v>
      </c>
      <c r="AH32" s="70">
        <f t="shared" si="11"/>
        <v>0</v>
      </c>
      <c r="AI32" s="70">
        <f t="shared" si="12"/>
        <v>0</v>
      </c>
      <c r="AJ32" s="70">
        <f t="shared" si="13"/>
        <v>0</v>
      </c>
      <c r="AK32" s="70">
        <f t="shared" si="14"/>
        <v>0</v>
      </c>
      <c r="AL32" s="70">
        <f t="shared" si="15"/>
        <v>3380011.4650459997</v>
      </c>
      <c r="AM32" s="70">
        <f t="shared" si="16"/>
        <v>3573452.554554</v>
      </c>
      <c r="AN32" s="70">
        <f t="shared" si="17"/>
        <v>3646067.81069306</v>
      </c>
      <c r="AO32" s="70">
        <f t="shared" si="18"/>
        <v>3718455.5436509997</v>
      </c>
    </row>
    <row r="33" spans="1:41">
      <c r="A33" s="29" t="s">
        <v>37</v>
      </c>
      <c r="B33" s="29" t="s">
        <v>648</v>
      </c>
      <c r="C33" s="107">
        <v>1093272.6200000001</v>
      </c>
      <c r="D33" s="108">
        <v>1673883</v>
      </c>
      <c r="F33" s="107">
        <v>1023637.8</v>
      </c>
      <c r="G33" s="108">
        <v>2065314</v>
      </c>
      <c r="I33" s="64">
        <v>983256.92</v>
      </c>
      <c r="J33" s="83">
        <v>1084703.2833999998</v>
      </c>
      <c r="K33" s="66">
        <v>2065314</v>
      </c>
      <c r="L33" s="251">
        <v>2508661</v>
      </c>
      <c r="M33" s="63">
        <v>1030131.6054</v>
      </c>
      <c r="N33" s="64">
        <v>957885.16920000024</v>
      </c>
      <c r="O33" s="65">
        <v>2709354</v>
      </c>
      <c r="P33" s="66">
        <v>2709354</v>
      </c>
      <c r="Q33" s="66">
        <f t="shared" si="3"/>
        <v>1014061.3160000001</v>
      </c>
      <c r="R33" s="63">
        <f t="shared" si="4"/>
        <v>1056298.3016479998</v>
      </c>
      <c r="S33" s="83">
        <f t="shared" si="5"/>
        <v>1045411.67524</v>
      </c>
      <c r="T33" s="64">
        <f t="shared" si="6"/>
        <v>978114.17133600009</v>
      </c>
      <c r="U33" s="66">
        <f t="shared" si="7"/>
        <v>1879853.9922000002</v>
      </c>
      <c r="V33" s="63">
        <f t="shared" si="8"/>
        <v>2298603.1913999999</v>
      </c>
      <c r="W33" s="83">
        <f t="shared" si="9"/>
        <v>2614265.6566000003</v>
      </c>
      <c r="X33" s="64">
        <f t="shared" si="10"/>
        <v>2709354</v>
      </c>
      <c r="Z33" s="67">
        <v>1023637.8</v>
      </c>
      <c r="AA33" s="68">
        <v>1098949.1291999999</v>
      </c>
      <c r="AB33" s="69">
        <v>2065314</v>
      </c>
      <c r="AC33" s="70">
        <v>2508661</v>
      </c>
      <c r="AD33" s="67">
        <v>1030131.6054</v>
      </c>
      <c r="AE33" s="68">
        <v>957885.16920000024</v>
      </c>
      <c r="AF33" s="69">
        <v>2709354</v>
      </c>
      <c r="AG33" s="70">
        <v>2709354</v>
      </c>
      <c r="AH33" s="70">
        <f t="shared" si="11"/>
        <v>1043135.5496</v>
      </c>
      <c r="AI33" s="70">
        <f t="shared" si="12"/>
        <v>1077861.9570239999</v>
      </c>
      <c r="AJ33" s="70">
        <f t="shared" si="13"/>
        <v>1049400.5120640001</v>
      </c>
      <c r="AK33" s="70">
        <f t="shared" si="14"/>
        <v>978114.17133600009</v>
      </c>
      <c r="AL33" s="70">
        <f t="shared" si="15"/>
        <v>1879853.9922000002</v>
      </c>
      <c r="AM33" s="70">
        <f t="shared" si="16"/>
        <v>2298603.1913999999</v>
      </c>
      <c r="AN33" s="70">
        <f t="shared" si="17"/>
        <v>2614265.6566000003</v>
      </c>
      <c r="AO33" s="70">
        <f t="shared" si="18"/>
        <v>2709354</v>
      </c>
    </row>
    <row r="34" spans="1:41">
      <c r="A34" s="29" t="s">
        <v>81</v>
      </c>
      <c r="B34" s="29" t="s">
        <v>649</v>
      </c>
      <c r="C34" s="107">
        <v>524986.59</v>
      </c>
      <c r="D34" s="108">
        <v>2375000</v>
      </c>
      <c r="F34" s="107">
        <v>372409.96</v>
      </c>
      <c r="G34" s="108">
        <v>2575000</v>
      </c>
      <c r="I34" s="64">
        <v>253669.53</v>
      </c>
      <c r="J34" s="83">
        <v>262929.1958999997</v>
      </c>
      <c r="K34" s="66">
        <v>2575000</v>
      </c>
      <c r="L34" s="251">
        <v>2575000</v>
      </c>
      <c r="M34" s="63">
        <v>89968.253700000074</v>
      </c>
      <c r="N34" s="64">
        <v>0</v>
      </c>
      <c r="O34" s="65">
        <v>2575000</v>
      </c>
      <c r="P34" s="66">
        <v>2575000</v>
      </c>
      <c r="Q34" s="66">
        <f t="shared" si="3"/>
        <v>329638.30680000002</v>
      </c>
      <c r="R34" s="63">
        <f t="shared" si="4"/>
        <v>260336.4894479998</v>
      </c>
      <c r="S34" s="83">
        <f t="shared" si="5"/>
        <v>138397.31751599998</v>
      </c>
      <c r="T34" s="64">
        <f t="shared" si="6"/>
        <v>25191.111036000024</v>
      </c>
      <c r="U34" s="66">
        <f t="shared" si="7"/>
        <v>2480240</v>
      </c>
      <c r="V34" s="63">
        <f t="shared" si="8"/>
        <v>2575000</v>
      </c>
      <c r="W34" s="83">
        <f t="shared" si="9"/>
        <v>2575000</v>
      </c>
      <c r="X34" s="64">
        <f t="shared" si="10"/>
        <v>2575000</v>
      </c>
      <c r="Z34" s="67">
        <v>372409.96</v>
      </c>
      <c r="AA34" s="68">
        <v>362969.84869999997</v>
      </c>
      <c r="AB34" s="69">
        <v>2575000</v>
      </c>
      <c r="AC34" s="70">
        <v>2575000</v>
      </c>
      <c r="AD34" s="67">
        <v>89968.253700000074</v>
      </c>
      <c r="AE34" s="68">
        <v>0</v>
      </c>
      <c r="AF34" s="69">
        <v>2575000</v>
      </c>
      <c r="AG34" s="70">
        <v>2575000</v>
      </c>
      <c r="AH34" s="70">
        <f t="shared" si="11"/>
        <v>415131.41639999999</v>
      </c>
      <c r="AI34" s="70">
        <f t="shared" si="12"/>
        <v>365613.07986399997</v>
      </c>
      <c r="AJ34" s="70">
        <f t="shared" si="13"/>
        <v>166408.70030000005</v>
      </c>
      <c r="AK34" s="70">
        <f t="shared" si="14"/>
        <v>25191.111036000024</v>
      </c>
      <c r="AL34" s="70">
        <f t="shared" si="15"/>
        <v>2480240</v>
      </c>
      <c r="AM34" s="70">
        <f t="shared" si="16"/>
        <v>2575000</v>
      </c>
      <c r="AN34" s="70">
        <f t="shared" si="17"/>
        <v>2575000</v>
      </c>
      <c r="AO34" s="70">
        <f t="shared" si="18"/>
        <v>2575000</v>
      </c>
    </row>
    <row r="35" spans="1:41">
      <c r="A35" s="29" t="s">
        <v>255</v>
      </c>
      <c r="B35" s="29" t="s">
        <v>893</v>
      </c>
      <c r="C35" s="107">
        <v>0</v>
      </c>
      <c r="D35" s="108">
        <v>273368</v>
      </c>
      <c r="F35" s="107">
        <v>0</v>
      </c>
      <c r="G35" s="108">
        <v>259947</v>
      </c>
      <c r="I35" s="64">
        <v>0</v>
      </c>
      <c r="J35" s="83">
        <v>22775.534899999988</v>
      </c>
      <c r="K35" s="66">
        <v>259947</v>
      </c>
      <c r="L35" s="251">
        <v>295000</v>
      </c>
      <c r="M35" s="63">
        <v>32597.888399999985</v>
      </c>
      <c r="N35" s="64">
        <v>35342.746200000001</v>
      </c>
      <c r="O35" s="65">
        <v>295000</v>
      </c>
      <c r="P35" s="66">
        <v>295000</v>
      </c>
      <c r="Q35" s="66">
        <f t="shared" si="3"/>
        <v>0</v>
      </c>
      <c r="R35" s="63">
        <f t="shared" si="4"/>
        <v>16398.385127999991</v>
      </c>
      <c r="S35" s="83">
        <f t="shared" si="5"/>
        <v>29847.629419999987</v>
      </c>
      <c r="T35" s="64">
        <f t="shared" si="6"/>
        <v>34574.186016</v>
      </c>
      <c r="U35" s="66">
        <f t="shared" si="7"/>
        <v>266305.86979999999</v>
      </c>
      <c r="V35" s="63">
        <f t="shared" si="8"/>
        <v>278391.88860000001</v>
      </c>
      <c r="W35" s="83">
        <f t="shared" si="9"/>
        <v>295000</v>
      </c>
      <c r="X35" s="64">
        <f t="shared" si="10"/>
        <v>295000</v>
      </c>
      <c r="Z35" s="67">
        <v>0</v>
      </c>
      <c r="AA35" s="68">
        <v>22775.534899999988</v>
      </c>
      <c r="AB35" s="69">
        <v>259947</v>
      </c>
      <c r="AC35" s="70">
        <v>295000</v>
      </c>
      <c r="AD35" s="67">
        <v>32597.888399999985</v>
      </c>
      <c r="AE35" s="68">
        <v>35342.746200000001</v>
      </c>
      <c r="AF35" s="69">
        <v>295000</v>
      </c>
      <c r="AG35" s="70">
        <v>295000</v>
      </c>
      <c r="AH35" s="70">
        <f t="shared" si="11"/>
        <v>0</v>
      </c>
      <c r="AI35" s="70">
        <f t="shared" si="12"/>
        <v>16398.385127999991</v>
      </c>
      <c r="AJ35" s="70">
        <f t="shared" si="13"/>
        <v>29847.629419999987</v>
      </c>
      <c r="AK35" s="70">
        <f t="shared" si="14"/>
        <v>34574.186016</v>
      </c>
      <c r="AL35" s="70">
        <f t="shared" si="15"/>
        <v>266305.86979999999</v>
      </c>
      <c r="AM35" s="70">
        <f t="shared" si="16"/>
        <v>278391.88860000001</v>
      </c>
      <c r="AN35" s="70">
        <f t="shared" si="17"/>
        <v>295000</v>
      </c>
      <c r="AO35" s="70">
        <f t="shared" si="18"/>
        <v>295000</v>
      </c>
    </row>
    <row r="36" spans="1:41">
      <c r="A36" s="29" t="s">
        <v>233</v>
      </c>
      <c r="B36" s="29" t="s">
        <v>650</v>
      </c>
      <c r="C36" s="107">
        <v>3798043.5</v>
      </c>
      <c r="D36" s="108">
        <v>15500000</v>
      </c>
      <c r="F36" s="107">
        <v>3122851.72</v>
      </c>
      <c r="G36" s="108">
        <v>17500000</v>
      </c>
      <c r="I36" s="64">
        <v>1889382.5</v>
      </c>
      <c r="J36" s="83">
        <v>1060328.6348159981</v>
      </c>
      <c r="K36" s="66">
        <v>17500000</v>
      </c>
      <c r="L36" s="251">
        <v>18000000</v>
      </c>
      <c r="M36" s="63">
        <v>0</v>
      </c>
      <c r="N36" s="64">
        <v>0</v>
      </c>
      <c r="O36" s="65">
        <v>18000000</v>
      </c>
      <c r="P36" s="66">
        <v>18000000</v>
      </c>
      <c r="Q36" s="66">
        <f t="shared" si="3"/>
        <v>2423807.58</v>
      </c>
      <c r="R36" s="63">
        <f t="shared" si="4"/>
        <v>1292463.7170675187</v>
      </c>
      <c r="S36" s="83">
        <f t="shared" si="5"/>
        <v>296892.0177484795</v>
      </c>
      <c r="T36" s="64">
        <f t="shared" si="6"/>
        <v>0</v>
      </c>
      <c r="U36" s="66">
        <f t="shared" si="7"/>
        <v>16552400</v>
      </c>
      <c r="V36" s="63">
        <f t="shared" si="8"/>
        <v>17763100</v>
      </c>
      <c r="W36" s="83">
        <f t="shared" si="9"/>
        <v>18000000</v>
      </c>
      <c r="X36" s="64">
        <f t="shared" si="10"/>
        <v>18000000</v>
      </c>
      <c r="Z36" s="67">
        <v>3122851.72</v>
      </c>
      <c r="AA36" s="68">
        <v>2128698.8602799987</v>
      </c>
      <c r="AB36" s="69">
        <v>17500000</v>
      </c>
      <c r="AC36" s="70">
        <v>18000000</v>
      </c>
      <c r="AD36" s="67">
        <v>0</v>
      </c>
      <c r="AE36" s="68">
        <v>0</v>
      </c>
      <c r="AF36" s="69">
        <v>18000000</v>
      </c>
      <c r="AG36" s="70">
        <v>18000000</v>
      </c>
      <c r="AH36" s="70">
        <f t="shared" si="11"/>
        <v>3311905.4184000003</v>
      </c>
      <c r="AI36" s="70">
        <f t="shared" si="12"/>
        <v>2407061.6610015994</v>
      </c>
      <c r="AJ36" s="70">
        <f t="shared" si="13"/>
        <v>596035.68087839975</v>
      </c>
      <c r="AK36" s="70">
        <f t="shared" si="14"/>
        <v>0</v>
      </c>
      <c r="AL36" s="70">
        <f t="shared" si="15"/>
        <v>16552400</v>
      </c>
      <c r="AM36" s="70">
        <f t="shared" si="16"/>
        <v>17763100</v>
      </c>
      <c r="AN36" s="70">
        <f t="shared" si="17"/>
        <v>18000000</v>
      </c>
      <c r="AO36" s="70">
        <f t="shared" si="18"/>
        <v>18000000</v>
      </c>
    </row>
    <row r="37" spans="1:41">
      <c r="A37" s="29" t="s">
        <v>463</v>
      </c>
      <c r="B37" s="29" t="s">
        <v>651</v>
      </c>
      <c r="C37" s="107">
        <v>6122648.2199999997</v>
      </c>
      <c r="D37" s="108">
        <v>27665500</v>
      </c>
      <c r="F37" s="107">
        <v>5070842.1900000004</v>
      </c>
      <c r="G37" s="108">
        <v>29211000</v>
      </c>
      <c r="I37" s="64">
        <v>4444760.9400000004</v>
      </c>
      <c r="J37" s="83">
        <v>4576640.0623000022</v>
      </c>
      <c r="K37" s="66">
        <v>29211000</v>
      </c>
      <c r="L37" s="251">
        <v>31110000</v>
      </c>
      <c r="M37" s="63">
        <v>3673275.9498000005</v>
      </c>
      <c r="N37" s="64">
        <v>3260244.4937999998</v>
      </c>
      <c r="O37" s="65">
        <v>33132000</v>
      </c>
      <c r="P37" s="66">
        <v>33132000</v>
      </c>
      <c r="Q37" s="66">
        <f t="shared" si="3"/>
        <v>4914569.3783999998</v>
      </c>
      <c r="R37" s="63">
        <f t="shared" si="4"/>
        <v>4539713.9080560021</v>
      </c>
      <c r="S37" s="83">
        <f t="shared" si="5"/>
        <v>3926217.901300001</v>
      </c>
      <c r="T37" s="64">
        <f t="shared" si="6"/>
        <v>3375893.3014799999</v>
      </c>
      <c r="U37" s="66">
        <f t="shared" si="7"/>
        <v>28478742.100000001</v>
      </c>
      <c r="V37" s="63">
        <f t="shared" si="8"/>
        <v>30210253.800000001</v>
      </c>
      <c r="W37" s="83">
        <f t="shared" si="9"/>
        <v>32173976.399999999</v>
      </c>
      <c r="X37" s="64">
        <f t="shared" si="10"/>
        <v>33132000</v>
      </c>
      <c r="Z37" s="67">
        <v>5070842.1900000004</v>
      </c>
      <c r="AA37" s="68">
        <v>4983978.8851000005</v>
      </c>
      <c r="AB37" s="69">
        <v>29211000</v>
      </c>
      <c r="AC37" s="70">
        <v>31110000</v>
      </c>
      <c r="AD37" s="67">
        <v>3673275.9498000005</v>
      </c>
      <c r="AE37" s="68">
        <v>3260244.4937999998</v>
      </c>
      <c r="AF37" s="69">
        <v>33132000</v>
      </c>
      <c r="AG37" s="70">
        <v>33132000</v>
      </c>
      <c r="AH37" s="70">
        <f t="shared" si="11"/>
        <v>5365347.8783999998</v>
      </c>
      <c r="AI37" s="70">
        <f t="shared" si="12"/>
        <v>5008300.6104720011</v>
      </c>
      <c r="AJ37" s="70">
        <f t="shared" si="13"/>
        <v>4040272.7716840003</v>
      </c>
      <c r="AK37" s="70">
        <f t="shared" si="14"/>
        <v>3375893.3014799999</v>
      </c>
      <c r="AL37" s="70">
        <f t="shared" si="15"/>
        <v>28478742.100000001</v>
      </c>
      <c r="AM37" s="70">
        <f t="shared" si="16"/>
        <v>30210253.800000001</v>
      </c>
      <c r="AN37" s="70">
        <f t="shared" si="17"/>
        <v>32173976.399999999</v>
      </c>
      <c r="AO37" s="70">
        <f t="shared" si="18"/>
        <v>33132000</v>
      </c>
    </row>
    <row r="38" spans="1:41">
      <c r="A38" s="29" t="s">
        <v>295</v>
      </c>
      <c r="B38" s="29" t="s">
        <v>652</v>
      </c>
      <c r="C38" s="107">
        <v>0</v>
      </c>
      <c r="D38" s="108">
        <v>0</v>
      </c>
      <c r="F38" s="107">
        <v>1036998.58</v>
      </c>
      <c r="G38" s="108">
        <v>4500000</v>
      </c>
      <c r="I38" s="64">
        <v>801789.8</v>
      </c>
      <c r="J38" s="83">
        <v>463638.70301866578</v>
      </c>
      <c r="K38" s="66">
        <v>4500000</v>
      </c>
      <c r="L38" s="251">
        <v>4600000</v>
      </c>
      <c r="M38" s="63">
        <v>167447.04933599982</v>
      </c>
      <c r="N38" s="64">
        <v>0</v>
      </c>
      <c r="O38" s="65">
        <v>4600000</v>
      </c>
      <c r="P38" s="66">
        <v>4600000</v>
      </c>
      <c r="Q38" s="66">
        <f t="shared" si="3"/>
        <v>577288.65599999996</v>
      </c>
      <c r="R38" s="63">
        <f t="shared" si="4"/>
        <v>558321.0101734394</v>
      </c>
      <c r="S38" s="83">
        <f t="shared" si="5"/>
        <v>250380.71236714628</v>
      </c>
      <c r="T38" s="64">
        <f t="shared" si="6"/>
        <v>46885.173814079957</v>
      </c>
      <c r="U38" s="66">
        <f t="shared" si="7"/>
        <v>2367900</v>
      </c>
      <c r="V38" s="63">
        <f t="shared" si="8"/>
        <v>4552620</v>
      </c>
      <c r="W38" s="83">
        <f t="shared" si="9"/>
        <v>4600000</v>
      </c>
      <c r="X38" s="64">
        <f t="shared" si="10"/>
        <v>4600000</v>
      </c>
      <c r="Z38" s="67">
        <v>1036998.58</v>
      </c>
      <c r="AA38" s="68">
        <v>646758.57066666672</v>
      </c>
      <c r="AB38" s="69">
        <v>4500000</v>
      </c>
      <c r="AC38" s="70">
        <v>4600000</v>
      </c>
      <c r="AD38" s="67">
        <v>167447.04933599982</v>
      </c>
      <c r="AE38" s="68">
        <v>0</v>
      </c>
      <c r="AF38" s="69">
        <v>4600000</v>
      </c>
      <c r="AG38" s="70">
        <v>4600000</v>
      </c>
      <c r="AH38" s="70">
        <f t="shared" si="11"/>
        <v>746638.97759999998</v>
      </c>
      <c r="AI38" s="70">
        <f t="shared" si="12"/>
        <v>756025.77328000008</v>
      </c>
      <c r="AJ38" s="70">
        <f t="shared" si="13"/>
        <v>301654.27530858654</v>
      </c>
      <c r="AK38" s="70">
        <f t="shared" si="14"/>
        <v>46885.173814079957</v>
      </c>
      <c r="AL38" s="70">
        <f t="shared" si="15"/>
        <v>2367900</v>
      </c>
      <c r="AM38" s="70">
        <f t="shared" si="16"/>
        <v>4552620</v>
      </c>
      <c r="AN38" s="70">
        <f t="shared" si="17"/>
        <v>4600000</v>
      </c>
      <c r="AO38" s="70">
        <f t="shared" si="18"/>
        <v>4600000</v>
      </c>
    </row>
    <row r="39" spans="1:41">
      <c r="A39" s="29" t="s">
        <v>291</v>
      </c>
      <c r="B39" s="29" t="s">
        <v>653</v>
      </c>
      <c r="C39" s="107">
        <v>1303076.24</v>
      </c>
      <c r="D39" s="108">
        <v>5215000</v>
      </c>
      <c r="F39" s="107">
        <v>1095654.1399999999</v>
      </c>
      <c r="G39" s="108">
        <v>5415000</v>
      </c>
      <c r="I39" s="64">
        <v>965697.74</v>
      </c>
      <c r="J39" s="83">
        <v>1046733.6089999997</v>
      </c>
      <c r="K39" s="66">
        <v>5415000</v>
      </c>
      <c r="L39" s="251">
        <v>5650000</v>
      </c>
      <c r="M39" s="63">
        <v>911309.70869999961</v>
      </c>
      <c r="N39" s="64">
        <v>794534.29679999989</v>
      </c>
      <c r="O39" s="65">
        <v>5850000</v>
      </c>
      <c r="P39" s="66">
        <v>5850000</v>
      </c>
      <c r="Q39" s="66">
        <f t="shared" si="3"/>
        <v>1060163.72</v>
      </c>
      <c r="R39" s="63">
        <f t="shared" si="4"/>
        <v>1024043.5656799998</v>
      </c>
      <c r="S39" s="83">
        <f t="shared" si="5"/>
        <v>949228.40078399959</v>
      </c>
      <c r="T39" s="64">
        <f t="shared" si="6"/>
        <v>827231.41213199985</v>
      </c>
      <c r="U39" s="66">
        <f t="shared" si="7"/>
        <v>5320240</v>
      </c>
      <c r="V39" s="63">
        <f t="shared" si="8"/>
        <v>5538657</v>
      </c>
      <c r="W39" s="83">
        <f t="shared" si="9"/>
        <v>5755240</v>
      </c>
      <c r="X39" s="64">
        <f t="shared" si="10"/>
        <v>5850000</v>
      </c>
      <c r="Z39" s="67">
        <v>1095654.1399999999</v>
      </c>
      <c r="AA39" s="68">
        <v>1237418.3405000002</v>
      </c>
      <c r="AB39" s="69">
        <v>5415000</v>
      </c>
      <c r="AC39" s="70">
        <v>5650000</v>
      </c>
      <c r="AD39" s="67">
        <v>911309.70869999961</v>
      </c>
      <c r="AE39" s="68">
        <v>794534.29679999989</v>
      </c>
      <c r="AF39" s="69">
        <v>5850000</v>
      </c>
      <c r="AG39" s="70">
        <v>5850000</v>
      </c>
      <c r="AH39" s="70">
        <f t="shared" si="11"/>
        <v>1153732.328</v>
      </c>
      <c r="AI39" s="70">
        <f t="shared" si="12"/>
        <v>1197724.36436</v>
      </c>
      <c r="AJ39" s="70">
        <f t="shared" si="13"/>
        <v>1002620.1256039997</v>
      </c>
      <c r="AK39" s="70">
        <f t="shared" si="14"/>
        <v>827231.41213199985</v>
      </c>
      <c r="AL39" s="70">
        <f t="shared" si="15"/>
        <v>5320240</v>
      </c>
      <c r="AM39" s="70">
        <f t="shared" si="16"/>
        <v>5538657</v>
      </c>
      <c r="AN39" s="70">
        <f t="shared" si="17"/>
        <v>5755240</v>
      </c>
      <c r="AO39" s="70">
        <f t="shared" si="18"/>
        <v>5850000</v>
      </c>
    </row>
    <row r="40" spans="1:41">
      <c r="A40" s="29" t="s">
        <v>467</v>
      </c>
      <c r="B40" s="29" t="s">
        <v>654</v>
      </c>
      <c r="C40" s="107">
        <v>646449.04</v>
      </c>
      <c r="D40" s="108">
        <v>7000000</v>
      </c>
      <c r="F40" s="107">
        <v>160024.84</v>
      </c>
      <c r="G40" s="108">
        <v>8700000</v>
      </c>
      <c r="I40" s="64">
        <v>25213.27</v>
      </c>
      <c r="J40" s="83">
        <v>0</v>
      </c>
      <c r="K40" s="66">
        <v>8700000</v>
      </c>
      <c r="L40" s="251">
        <v>9300000</v>
      </c>
      <c r="M40" s="63">
        <v>0</v>
      </c>
      <c r="N40" s="64">
        <v>0</v>
      </c>
      <c r="O40" s="65">
        <v>9900000</v>
      </c>
      <c r="P40" s="66">
        <v>9900000</v>
      </c>
      <c r="Q40" s="66">
        <f t="shared" si="3"/>
        <v>199159.28560000003</v>
      </c>
      <c r="R40" s="63">
        <f t="shared" si="4"/>
        <v>7059.7156000000004</v>
      </c>
      <c r="S40" s="83">
        <f t="shared" si="5"/>
        <v>0</v>
      </c>
      <c r="T40" s="64">
        <f t="shared" si="6"/>
        <v>0</v>
      </c>
      <c r="U40" s="66">
        <f t="shared" si="7"/>
        <v>7894540</v>
      </c>
      <c r="V40" s="63">
        <f t="shared" si="8"/>
        <v>9015720</v>
      </c>
      <c r="W40" s="83">
        <f t="shared" si="9"/>
        <v>9615720</v>
      </c>
      <c r="X40" s="64">
        <f t="shared" si="10"/>
        <v>9900000</v>
      </c>
      <c r="Z40" s="67">
        <v>160024.84</v>
      </c>
      <c r="AA40" s="68">
        <v>0</v>
      </c>
      <c r="AB40" s="69">
        <v>8700000</v>
      </c>
      <c r="AC40" s="70">
        <v>9300000</v>
      </c>
      <c r="AD40" s="67">
        <v>0</v>
      </c>
      <c r="AE40" s="68">
        <v>0</v>
      </c>
      <c r="AF40" s="69">
        <v>9900000</v>
      </c>
      <c r="AG40" s="70">
        <v>9900000</v>
      </c>
      <c r="AH40" s="70">
        <f t="shared" si="11"/>
        <v>296223.61600000004</v>
      </c>
      <c r="AI40" s="70">
        <f t="shared" si="12"/>
        <v>44806.955200000004</v>
      </c>
      <c r="AJ40" s="70">
        <f t="shared" si="13"/>
        <v>0</v>
      </c>
      <c r="AK40" s="70">
        <f t="shared" si="14"/>
        <v>0</v>
      </c>
      <c r="AL40" s="70">
        <f t="shared" si="15"/>
        <v>7894540</v>
      </c>
      <c r="AM40" s="70">
        <f t="shared" si="16"/>
        <v>9015720</v>
      </c>
      <c r="AN40" s="70">
        <f t="shared" si="17"/>
        <v>9615720</v>
      </c>
      <c r="AO40" s="70">
        <f t="shared" si="18"/>
        <v>9900000</v>
      </c>
    </row>
    <row r="41" spans="1:41">
      <c r="A41" s="29" t="s">
        <v>485</v>
      </c>
      <c r="B41" s="29" t="s">
        <v>655</v>
      </c>
      <c r="C41" s="107">
        <v>276120.40000000002</v>
      </c>
      <c r="D41" s="108">
        <v>1000000</v>
      </c>
      <c r="F41" s="107">
        <v>266969.2</v>
      </c>
      <c r="G41" s="108">
        <v>1000000</v>
      </c>
      <c r="I41" s="64">
        <v>160933.45000000001</v>
      </c>
      <c r="J41" s="83">
        <v>101063.99299999989</v>
      </c>
      <c r="K41" s="66">
        <v>1000000</v>
      </c>
      <c r="L41" s="251">
        <v>1000000</v>
      </c>
      <c r="M41" s="63">
        <v>66225.152559999973</v>
      </c>
      <c r="N41" s="64">
        <v>76822.461983999921</v>
      </c>
      <c r="O41" s="65">
        <v>1000000</v>
      </c>
      <c r="P41" s="66">
        <v>1000000</v>
      </c>
      <c r="Q41" s="66">
        <f t="shared" si="3"/>
        <v>193185.79600000003</v>
      </c>
      <c r="R41" s="63">
        <f t="shared" si="4"/>
        <v>117827.44095999992</v>
      </c>
      <c r="S41" s="83">
        <f t="shared" si="5"/>
        <v>75980.027883199946</v>
      </c>
      <c r="T41" s="64">
        <f t="shared" si="6"/>
        <v>73855.215345279939</v>
      </c>
      <c r="U41" s="66">
        <f t="shared" si="7"/>
        <v>1000000</v>
      </c>
      <c r="V41" s="63">
        <f t="shared" si="8"/>
        <v>1000000</v>
      </c>
      <c r="W41" s="83">
        <f t="shared" si="9"/>
        <v>1000000</v>
      </c>
      <c r="X41" s="64">
        <f t="shared" si="10"/>
        <v>1000000</v>
      </c>
      <c r="Z41" s="67">
        <v>266969.2</v>
      </c>
      <c r="AA41" s="68">
        <v>360704.30230000004</v>
      </c>
      <c r="AB41" s="69">
        <v>1000000</v>
      </c>
      <c r="AC41" s="70">
        <v>1000000</v>
      </c>
      <c r="AD41" s="67">
        <v>66225.152559999973</v>
      </c>
      <c r="AE41" s="68">
        <v>76822.461983999921</v>
      </c>
      <c r="AF41" s="69">
        <v>1000000</v>
      </c>
      <c r="AG41" s="70">
        <v>1000000</v>
      </c>
      <c r="AH41" s="70">
        <f t="shared" si="11"/>
        <v>269531.53600000002</v>
      </c>
      <c r="AI41" s="70">
        <f t="shared" si="12"/>
        <v>334458.47365600005</v>
      </c>
      <c r="AJ41" s="70">
        <f t="shared" si="13"/>
        <v>148679.3144872</v>
      </c>
      <c r="AK41" s="70">
        <f t="shared" si="14"/>
        <v>73855.215345279939</v>
      </c>
      <c r="AL41" s="70">
        <f t="shared" si="15"/>
        <v>1000000</v>
      </c>
      <c r="AM41" s="70">
        <f t="shared" si="16"/>
        <v>1000000</v>
      </c>
      <c r="AN41" s="70">
        <f t="shared" si="17"/>
        <v>1000000</v>
      </c>
      <c r="AO41" s="70">
        <f t="shared" si="18"/>
        <v>1000000</v>
      </c>
    </row>
    <row r="42" spans="1:41">
      <c r="A42" s="29" t="s">
        <v>179</v>
      </c>
      <c r="B42" s="29" t="s">
        <v>656</v>
      </c>
      <c r="C42" s="107">
        <v>0</v>
      </c>
      <c r="D42" s="108">
        <v>2074277</v>
      </c>
      <c r="F42" s="107">
        <v>0</v>
      </c>
      <c r="G42" s="108">
        <v>2101671.06</v>
      </c>
      <c r="I42" s="64">
        <v>0</v>
      </c>
      <c r="J42" s="83">
        <v>0</v>
      </c>
      <c r="K42" s="66">
        <v>2101671.06</v>
      </c>
      <c r="L42" s="251">
        <v>2057119.2226</v>
      </c>
      <c r="M42" s="63">
        <v>0</v>
      </c>
      <c r="N42" s="64">
        <v>0</v>
      </c>
      <c r="O42" s="65">
        <v>2128532.8531000004</v>
      </c>
      <c r="P42" s="66">
        <v>2213027.5474999999</v>
      </c>
      <c r="Q42" s="66">
        <f t="shared" si="3"/>
        <v>0</v>
      </c>
      <c r="R42" s="63">
        <f t="shared" si="4"/>
        <v>0</v>
      </c>
      <c r="S42" s="83">
        <f t="shared" si="5"/>
        <v>0</v>
      </c>
      <c r="T42" s="64">
        <f t="shared" si="6"/>
        <v>0</v>
      </c>
      <c r="U42" s="66">
        <f t="shared" si="7"/>
        <v>2088691.754372</v>
      </c>
      <c r="V42" s="63">
        <f t="shared" si="8"/>
        <v>2078227.8831601201</v>
      </c>
      <c r="W42" s="83">
        <f t="shared" si="9"/>
        <v>2094697.0749691003</v>
      </c>
      <c r="X42" s="64">
        <f t="shared" si="10"/>
        <v>2172993.9612932801</v>
      </c>
      <c r="Z42" s="67">
        <v>0</v>
      </c>
      <c r="AA42" s="68">
        <v>0</v>
      </c>
      <c r="AB42" s="69">
        <v>2101671.06</v>
      </c>
      <c r="AC42" s="70">
        <v>2150000</v>
      </c>
      <c r="AD42" s="67">
        <v>0</v>
      </c>
      <c r="AE42" s="68">
        <v>0</v>
      </c>
      <c r="AF42" s="69">
        <v>2128532.8531000004</v>
      </c>
      <c r="AG42" s="70">
        <v>2213027.5474999999</v>
      </c>
      <c r="AH42" s="70">
        <f t="shared" si="11"/>
        <v>0</v>
      </c>
      <c r="AI42" s="70">
        <f t="shared" si="12"/>
        <v>0</v>
      </c>
      <c r="AJ42" s="70">
        <f t="shared" si="13"/>
        <v>0</v>
      </c>
      <c r="AK42" s="70">
        <f t="shared" si="14"/>
        <v>0</v>
      </c>
      <c r="AL42" s="70">
        <f t="shared" si="15"/>
        <v>2088691.754372</v>
      </c>
      <c r="AM42" s="70">
        <f t="shared" si="16"/>
        <v>2127101.748228</v>
      </c>
      <c r="AN42" s="70">
        <f t="shared" si="17"/>
        <v>2138703.9873012202</v>
      </c>
      <c r="AO42" s="70">
        <f t="shared" si="18"/>
        <v>2172993.9612932801</v>
      </c>
    </row>
    <row r="43" spans="1:41">
      <c r="A43" s="29" t="s">
        <v>13</v>
      </c>
      <c r="B43" s="29" t="s">
        <v>657</v>
      </c>
      <c r="C43" s="107">
        <v>1928920.01</v>
      </c>
      <c r="D43" s="108">
        <v>2827917</v>
      </c>
      <c r="F43" s="107">
        <v>1968986.22</v>
      </c>
      <c r="G43" s="108">
        <v>3110709</v>
      </c>
      <c r="I43" s="64">
        <v>1760298.11</v>
      </c>
      <c r="J43" s="83">
        <v>1992861.6725000001</v>
      </c>
      <c r="K43" s="66">
        <v>3110709</v>
      </c>
      <c r="L43" s="251">
        <v>3110709</v>
      </c>
      <c r="M43" s="63">
        <v>2095545.4776000001</v>
      </c>
      <c r="N43" s="64">
        <v>2226485.0013000006</v>
      </c>
      <c r="O43" s="65">
        <v>3110709</v>
      </c>
      <c r="P43" s="66">
        <v>3110709</v>
      </c>
      <c r="Q43" s="66">
        <f t="shared" si="3"/>
        <v>1807512.2420000001</v>
      </c>
      <c r="R43" s="63">
        <f t="shared" si="4"/>
        <v>1927743.875</v>
      </c>
      <c r="S43" s="83">
        <f t="shared" si="5"/>
        <v>2066794.012172</v>
      </c>
      <c r="T43" s="64">
        <f t="shared" si="6"/>
        <v>2189821.9346640003</v>
      </c>
      <c r="U43" s="66">
        <f t="shared" si="7"/>
        <v>2976722.1503999997</v>
      </c>
      <c r="V43" s="63">
        <f t="shared" si="8"/>
        <v>3110709</v>
      </c>
      <c r="W43" s="83">
        <f t="shared" si="9"/>
        <v>3110709</v>
      </c>
      <c r="X43" s="64">
        <f t="shared" si="10"/>
        <v>3110709</v>
      </c>
      <c r="Z43" s="67">
        <v>1968986.22</v>
      </c>
      <c r="AA43" s="68">
        <v>2167346.6392000006</v>
      </c>
      <c r="AB43" s="69">
        <v>3110709</v>
      </c>
      <c r="AC43" s="70">
        <v>3110709</v>
      </c>
      <c r="AD43" s="67">
        <v>2095545.4776000001</v>
      </c>
      <c r="AE43" s="68">
        <v>2226485.0013000006</v>
      </c>
      <c r="AF43" s="69">
        <v>3110709</v>
      </c>
      <c r="AG43" s="70">
        <v>3110709</v>
      </c>
      <c r="AH43" s="70">
        <f t="shared" si="11"/>
        <v>1957767.6812</v>
      </c>
      <c r="AI43" s="70">
        <f t="shared" si="12"/>
        <v>2111805.7218240006</v>
      </c>
      <c r="AJ43" s="70">
        <f t="shared" si="13"/>
        <v>2115649.8028480001</v>
      </c>
      <c r="AK43" s="70">
        <f t="shared" si="14"/>
        <v>2189821.9346640003</v>
      </c>
      <c r="AL43" s="70">
        <f t="shared" si="15"/>
        <v>2976722.1503999997</v>
      </c>
      <c r="AM43" s="70">
        <f t="shared" si="16"/>
        <v>3110709</v>
      </c>
      <c r="AN43" s="70">
        <f t="shared" si="17"/>
        <v>3110709</v>
      </c>
      <c r="AO43" s="70">
        <f t="shared" si="18"/>
        <v>3110709</v>
      </c>
    </row>
    <row r="44" spans="1:41">
      <c r="A44" s="29" t="s">
        <v>249</v>
      </c>
      <c r="B44" s="29" t="s">
        <v>658</v>
      </c>
      <c r="C44" s="107">
        <v>0</v>
      </c>
      <c r="D44" s="108">
        <v>2348721</v>
      </c>
      <c r="F44" s="107">
        <v>0</v>
      </c>
      <c r="G44" s="108">
        <v>2700000</v>
      </c>
      <c r="I44" s="64">
        <v>0</v>
      </c>
      <c r="J44" s="83">
        <v>0</v>
      </c>
      <c r="K44" s="66">
        <v>2700000</v>
      </c>
      <c r="L44" s="251">
        <v>2448904.8486000001</v>
      </c>
      <c r="M44" s="63">
        <v>0</v>
      </c>
      <c r="N44" s="64">
        <v>0</v>
      </c>
      <c r="O44" s="65">
        <v>2533777.3399</v>
      </c>
      <c r="P44" s="66">
        <v>2634156.1015000003</v>
      </c>
      <c r="Q44" s="66">
        <f t="shared" si="3"/>
        <v>0</v>
      </c>
      <c r="R44" s="63">
        <f t="shared" si="4"/>
        <v>0</v>
      </c>
      <c r="S44" s="83">
        <f t="shared" si="5"/>
        <v>0</v>
      </c>
      <c r="T44" s="64">
        <f t="shared" si="6"/>
        <v>0</v>
      </c>
      <c r="U44" s="66">
        <f t="shared" si="7"/>
        <v>2533564.0098000001</v>
      </c>
      <c r="V44" s="63">
        <f t="shared" si="8"/>
        <v>2567873.73133332</v>
      </c>
      <c r="W44" s="83">
        <f t="shared" si="9"/>
        <v>2493564.7535220599</v>
      </c>
      <c r="X44" s="64">
        <f t="shared" si="10"/>
        <v>2586596.6442539203</v>
      </c>
      <c r="Z44" s="67">
        <v>0</v>
      </c>
      <c r="AA44" s="68">
        <v>0</v>
      </c>
      <c r="AB44" s="69">
        <v>2700000</v>
      </c>
      <c r="AC44" s="70">
        <v>2598595.1686</v>
      </c>
      <c r="AD44" s="67">
        <v>0</v>
      </c>
      <c r="AE44" s="68">
        <v>0</v>
      </c>
      <c r="AF44" s="69">
        <v>2533777.3399</v>
      </c>
      <c r="AG44" s="70">
        <v>2634156.1015000003</v>
      </c>
      <c r="AH44" s="70">
        <f t="shared" si="11"/>
        <v>0</v>
      </c>
      <c r="AI44" s="70">
        <f t="shared" si="12"/>
        <v>0</v>
      </c>
      <c r="AJ44" s="70">
        <f t="shared" si="13"/>
        <v>0</v>
      </c>
      <c r="AK44" s="70">
        <f t="shared" si="14"/>
        <v>0</v>
      </c>
      <c r="AL44" s="70">
        <f t="shared" si="15"/>
        <v>2533564.0098000001</v>
      </c>
      <c r="AM44" s="70">
        <f t="shared" si="16"/>
        <v>2646640.7777173202</v>
      </c>
      <c r="AN44" s="70">
        <f t="shared" si="17"/>
        <v>2564488.02713806</v>
      </c>
      <c r="AO44" s="70">
        <f t="shared" si="18"/>
        <v>2586596.6442539203</v>
      </c>
    </row>
    <row r="45" spans="1:41">
      <c r="A45" s="29" t="s">
        <v>377</v>
      </c>
      <c r="B45" s="29" t="s">
        <v>659</v>
      </c>
      <c r="C45" s="107">
        <v>8128992.6600000001</v>
      </c>
      <c r="D45" s="108">
        <v>20467699</v>
      </c>
      <c r="F45" s="107">
        <v>7199723.7300000004</v>
      </c>
      <c r="G45" s="108">
        <v>22105114</v>
      </c>
      <c r="I45" s="64">
        <v>6043971.2000000002</v>
      </c>
      <c r="J45" s="83">
        <v>6734380.1079999991</v>
      </c>
      <c r="K45" s="66">
        <v>22105114</v>
      </c>
      <c r="L45" s="251">
        <v>23873524</v>
      </c>
      <c r="M45" s="63">
        <v>6732808.6094999993</v>
      </c>
      <c r="N45" s="64">
        <v>6609533.9997000014</v>
      </c>
      <c r="O45" s="65">
        <v>25520625.524999999</v>
      </c>
      <c r="P45" s="66">
        <v>25783405</v>
      </c>
      <c r="Q45" s="66">
        <f t="shared" si="3"/>
        <v>6627777.2088000011</v>
      </c>
      <c r="R45" s="63">
        <f t="shared" si="4"/>
        <v>6541065.6137600001</v>
      </c>
      <c r="S45" s="83">
        <f t="shared" si="5"/>
        <v>6733248.6290799994</v>
      </c>
      <c r="T45" s="64">
        <f t="shared" si="6"/>
        <v>6644050.8904440012</v>
      </c>
      <c r="U45" s="66">
        <f t="shared" si="7"/>
        <v>21329306.773000002</v>
      </c>
      <c r="V45" s="63">
        <f t="shared" si="8"/>
        <v>23035651.342</v>
      </c>
      <c r="W45" s="83">
        <f t="shared" si="9"/>
        <v>24740228.822454996</v>
      </c>
      <c r="X45" s="64">
        <f t="shared" si="10"/>
        <v>25658900.084744997</v>
      </c>
      <c r="Z45" s="67">
        <v>7199723.7300000004</v>
      </c>
      <c r="AA45" s="68">
        <v>7732797.1911999984</v>
      </c>
      <c r="AB45" s="69">
        <v>22105114</v>
      </c>
      <c r="AC45" s="70">
        <v>23873524</v>
      </c>
      <c r="AD45" s="67">
        <v>6732808.6094999993</v>
      </c>
      <c r="AE45" s="68">
        <v>6609533.9997000014</v>
      </c>
      <c r="AF45" s="69">
        <v>25520625.524999999</v>
      </c>
      <c r="AG45" s="70">
        <v>25783405</v>
      </c>
      <c r="AH45" s="70">
        <f t="shared" si="11"/>
        <v>7459919.0304000005</v>
      </c>
      <c r="AI45" s="70">
        <f t="shared" si="12"/>
        <v>7583536.6220639991</v>
      </c>
      <c r="AJ45" s="70">
        <f t="shared" si="13"/>
        <v>7012805.4123759996</v>
      </c>
      <c r="AK45" s="70">
        <f t="shared" si="14"/>
        <v>6644050.8904440012</v>
      </c>
      <c r="AL45" s="70">
        <f t="shared" si="15"/>
        <v>21329306.773000002</v>
      </c>
      <c r="AM45" s="70">
        <f t="shared" si="16"/>
        <v>23035651.342</v>
      </c>
      <c r="AN45" s="70">
        <f t="shared" si="17"/>
        <v>24740228.822454996</v>
      </c>
      <c r="AO45" s="70">
        <f t="shared" si="18"/>
        <v>25658900.084744997</v>
      </c>
    </row>
    <row r="46" spans="1:41">
      <c r="A46" s="29" t="s">
        <v>563</v>
      </c>
      <c r="B46" s="29" t="s">
        <v>660</v>
      </c>
      <c r="C46" s="107">
        <v>181853.41</v>
      </c>
      <c r="D46" s="108">
        <v>900000</v>
      </c>
      <c r="F46" s="107">
        <v>213710.26</v>
      </c>
      <c r="G46" s="108">
        <v>900000</v>
      </c>
      <c r="I46" s="64">
        <v>177575.55</v>
      </c>
      <c r="J46" s="83">
        <v>218911.66770000005</v>
      </c>
      <c r="K46" s="66">
        <v>900000</v>
      </c>
      <c r="L46" s="251">
        <v>900000</v>
      </c>
      <c r="M46" s="63">
        <v>226155.53429999994</v>
      </c>
      <c r="N46" s="64">
        <v>228970.64039999995</v>
      </c>
      <c r="O46" s="65">
        <v>900000</v>
      </c>
      <c r="P46" s="66">
        <v>900000</v>
      </c>
      <c r="Q46" s="66">
        <f t="shared" si="3"/>
        <v>178773.35080000001</v>
      </c>
      <c r="R46" s="63">
        <f t="shared" si="4"/>
        <v>207337.55474400005</v>
      </c>
      <c r="S46" s="83">
        <f t="shared" si="5"/>
        <v>224127.25165199995</v>
      </c>
      <c r="T46" s="64">
        <f t="shared" si="6"/>
        <v>228182.41069199995</v>
      </c>
      <c r="U46" s="66">
        <f t="shared" si="7"/>
        <v>900000</v>
      </c>
      <c r="V46" s="63">
        <f t="shared" si="8"/>
        <v>900000</v>
      </c>
      <c r="W46" s="83">
        <f t="shared" si="9"/>
        <v>900000</v>
      </c>
      <c r="X46" s="64">
        <f t="shared" si="10"/>
        <v>900000</v>
      </c>
      <c r="Z46" s="67">
        <v>213710.26</v>
      </c>
      <c r="AA46" s="68">
        <v>263407.73220000003</v>
      </c>
      <c r="AB46" s="69">
        <v>900000</v>
      </c>
      <c r="AC46" s="70">
        <v>900000</v>
      </c>
      <c r="AD46" s="67">
        <v>226155.53429999994</v>
      </c>
      <c r="AE46" s="68">
        <v>228970.64039999995</v>
      </c>
      <c r="AF46" s="69">
        <v>900000</v>
      </c>
      <c r="AG46" s="70">
        <v>900000</v>
      </c>
      <c r="AH46" s="70">
        <f t="shared" si="11"/>
        <v>204790.342</v>
      </c>
      <c r="AI46" s="70">
        <f t="shared" si="12"/>
        <v>249492.43998400003</v>
      </c>
      <c r="AJ46" s="70">
        <f t="shared" si="13"/>
        <v>236586.14971199995</v>
      </c>
      <c r="AK46" s="70">
        <f t="shared" si="14"/>
        <v>228182.41069199995</v>
      </c>
      <c r="AL46" s="70">
        <f t="shared" si="15"/>
        <v>900000</v>
      </c>
      <c r="AM46" s="70">
        <f t="shared" si="16"/>
        <v>900000</v>
      </c>
      <c r="AN46" s="70">
        <f t="shared" si="17"/>
        <v>900000</v>
      </c>
      <c r="AO46" s="70">
        <f t="shared" si="18"/>
        <v>900000</v>
      </c>
    </row>
    <row r="47" spans="1:41">
      <c r="A47" s="29" t="s">
        <v>529</v>
      </c>
      <c r="B47" s="29" t="s">
        <v>661</v>
      </c>
      <c r="C47" s="107">
        <v>714762.56</v>
      </c>
      <c r="D47" s="108">
        <v>2600000</v>
      </c>
      <c r="F47" s="107">
        <v>468022.55</v>
      </c>
      <c r="G47" s="108">
        <v>2750000</v>
      </c>
      <c r="I47" s="64">
        <v>452746.5</v>
      </c>
      <c r="J47" s="83">
        <v>681387.45559999987</v>
      </c>
      <c r="K47" s="66">
        <v>2750000</v>
      </c>
      <c r="L47" s="251">
        <v>2750000</v>
      </c>
      <c r="M47" s="63">
        <v>624947.31239999982</v>
      </c>
      <c r="N47" s="64">
        <v>575823.06089999992</v>
      </c>
      <c r="O47" s="65">
        <v>2750000</v>
      </c>
      <c r="P47" s="66">
        <v>2750000</v>
      </c>
      <c r="Q47" s="66">
        <f t="shared" si="3"/>
        <v>526110.99680000008</v>
      </c>
      <c r="R47" s="63">
        <f t="shared" si="4"/>
        <v>617367.98803199991</v>
      </c>
      <c r="S47" s="83">
        <f t="shared" si="5"/>
        <v>640750.55249599984</v>
      </c>
      <c r="T47" s="64">
        <f t="shared" si="6"/>
        <v>589577.8513199999</v>
      </c>
      <c r="U47" s="66">
        <f t="shared" si="7"/>
        <v>2678930</v>
      </c>
      <c r="V47" s="63">
        <f t="shared" si="8"/>
        <v>2750000</v>
      </c>
      <c r="W47" s="83">
        <f t="shared" si="9"/>
        <v>2750000</v>
      </c>
      <c r="X47" s="64">
        <f t="shared" si="10"/>
        <v>2750000</v>
      </c>
      <c r="Z47" s="67">
        <v>468022.55</v>
      </c>
      <c r="AA47" s="68">
        <v>681387.45559999987</v>
      </c>
      <c r="AB47" s="69">
        <v>2750000</v>
      </c>
      <c r="AC47" s="70">
        <v>2750000</v>
      </c>
      <c r="AD47" s="67">
        <v>624947.31239999982</v>
      </c>
      <c r="AE47" s="68">
        <v>575823.06089999992</v>
      </c>
      <c r="AF47" s="69">
        <v>2750000</v>
      </c>
      <c r="AG47" s="70">
        <v>2750000</v>
      </c>
      <c r="AH47" s="70">
        <f t="shared" si="11"/>
        <v>537109.75280000002</v>
      </c>
      <c r="AI47" s="70">
        <f t="shared" si="12"/>
        <v>621645.2820319999</v>
      </c>
      <c r="AJ47" s="70">
        <f t="shared" si="13"/>
        <v>640750.55249599984</v>
      </c>
      <c r="AK47" s="70">
        <f t="shared" si="14"/>
        <v>589577.8513199999</v>
      </c>
      <c r="AL47" s="70">
        <f t="shared" si="15"/>
        <v>2678930</v>
      </c>
      <c r="AM47" s="70">
        <f t="shared" si="16"/>
        <v>2750000</v>
      </c>
      <c r="AN47" s="70">
        <f t="shared" si="17"/>
        <v>2750000</v>
      </c>
      <c r="AO47" s="70">
        <f t="shared" si="18"/>
        <v>2750000</v>
      </c>
    </row>
    <row r="48" spans="1:41">
      <c r="A48" s="29" t="s">
        <v>571</v>
      </c>
      <c r="B48" s="29" t="s">
        <v>662</v>
      </c>
      <c r="C48" s="107">
        <v>21577.88</v>
      </c>
      <c r="D48" s="108">
        <v>398947</v>
      </c>
      <c r="F48" s="107">
        <v>25924.14</v>
      </c>
      <c r="G48" s="108">
        <v>398947</v>
      </c>
      <c r="I48" s="64">
        <v>0</v>
      </c>
      <c r="J48" s="83">
        <v>2876.3297999999554</v>
      </c>
      <c r="K48" s="66">
        <v>398947</v>
      </c>
      <c r="L48" s="251">
        <v>398947</v>
      </c>
      <c r="M48" s="63">
        <v>12961.998899999959</v>
      </c>
      <c r="N48" s="64">
        <v>15799.963200000026</v>
      </c>
      <c r="O48" s="65">
        <v>398947</v>
      </c>
      <c r="P48" s="66">
        <v>398947</v>
      </c>
      <c r="Q48" s="66">
        <f t="shared" si="3"/>
        <v>6041.8064000000013</v>
      </c>
      <c r="R48" s="63">
        <f t="shared" si="4"/>
        <v>2070.9574559999678</v>
      </c>
      <c r="S48" s="83">
        <f t="shared" si="5"/>
        <v>10138.011551999956</v>
      </c>
      <c r="T48" s="64">
        <f t="shared" si="6"/>
        <v>15005.333196000007</v>
      </c>
      <c r="U48" s="66">
        <f t="shared" si="7"/>
        <v>398947</v>
      </c>
      <c r="V48" s="63">
        <f t="shared" si="8"/>
        <v>398947</v>
      </c>
      <c r="W48" s="83">
        <f t="shared" si="9"/>
        <v>398947</v>
      </c>
      <c r="X48" s="64">
        <f t="shared" si="10"/>
        <v>398947</v>
      </c>
      <c r="Z48" s="67">
        <v>25924.14</v>
      </c>
      <c r="AA48" s="68">
        <v>27868.730099999964</v>
      </c>
      <c r="AB48" s="69">
        <v>398947</v>
      </c>
      <c r="AC48" s="70">
        <v>398947</v>
      </c>
      <c r="AD48" s="67">
        <v>12961.998899999959</v>
      </c>
      <c r="AE48" s="68">
        <v>15799.963200000026</v>
      </c>
      <c r="AF48" s="69">
        <v>398947</v>
      </c>
      <c r="AG48" s="70">
        <v>398947</v>
      </c>
      <c r="AH48" s="70">
        <f t="shared" si="11"/>
        <v>24707.1872</v>
      </c>
      <c r="AI48" s="70">
        <f t="shared" si="12"/>
        <v>27324.244871999974</v>
      </c>
      <c r="AJ48" s="70">
        <f t="shared" si="13"/>
        <v>17135.883635999962</v>
      </c>
      <c r="AK48" s="70">
        <f t="shared" si="14"/>
        <v>15005.333196000007</v>
      </c>
      <c r="AL48" s="70">
        <f t="shared" si="15"/>
        <v>398947</v>
      </c>
      <c r="AM48" s="70">
        <f t="shared" si="16"/>
        <v>398947</v>
      </c>
      <c r="AN48" s="70">
        <f t="shared" si="17"/>
        <v>398947</v>
      </c>
      <c r="AO48" s="70">
        <f t="shared" si="18"/>
        <v>398947</v>
      </c>
    </row>
    <row r="49" spans="1:41">
      <c r="A49" s="29" t="s">
        <v>499</v>
      </c>
      <c r="B49" s="29" t="s">
        <v>923</v>
      </c>
      <c r="C49" s="107">
        <v>0</v>
      </c>
      <c r="D49" s="108">
        <v>175000</v>
      </c>
      <c r="F49" s="107">
        <v>0</v>
      </c>
      <c r="G49" s="108">
        <v>175000</v>
      </c>
      <c r="I49" s="64">
        <v>0</v>
      </c>
      <c r="J49" s="83">
        <v>0</v>
      </c>
      <c r="K49" s="66">
        <v>175000</v>
      </c>
      <c r="L49" s="251">
        <v>175000</v>
      </c>
      <c r="M49" s="63">
        <v>0</v>
      </c>
      <c r="N49" s="64">
        <v>0</v>
      </c>
      <c r="O49" s="65">
        <v>175000</v>
      </c>
      <c r="P49" s="66">
        <v>175000</v>
      </c>
      <c r="Q49" s="66">
        <f t="shared" si="3"/>
        <v>0</v>
      </c>
      <c r="R49" s="63">
        <f t="shared" si="4"/>
        <v>0</v>
      </c>
      <c r="S49" s="83">
        <f t="shared" si="5"/>
        <v>0</v>
      </c>
      <c r="T49" s="64">
        <f t="shared" si="6"/>
        <v>0</v>
      </c>
      <c r="U49" s="66">
        <f t="shared" si="7"/>
        <v>175000</v>
      </c>
      <c r="V49" s="63">
        <f t="shared" si="8"/>
        <v>175000</v>
      </c>
      <c r="W49" s="83">
        <f t="shared" si="9"/>
        <v>175000</v>
      </c>
      <c r="X49" s="64">
        <f t="shared" si="10"/>
        <v>175000</v>
      </c>
      <c r="Z49" s="67">
        <v>0</v>
      </c>
      <c r="AA49" s="68">
        <v>0</v>
      </c>
      <c r="AB49" s="69">
        <v>175000</v>
      </c>
      <c r="AC49" s="70">
        <v>175000</v>
      </c>
      <c r="AD49" s="67">
        <v>0</v>
      </c>
      <c r="AE49" s="68">
        <v>0</v>
      </c>
      <c r="AF49" s="69">
        <v>175000</v>
      </c>
      <c r="AG49" s="70">
        <v>175000</v>
      </c>
      <c r="AH49" s="70">
        <f t="shared" si="11"/>
        <v>0</v>
      </c>
      <c r="AI49" s="70">
        <f t="shared" si="12"/>
        <v>0</v>
      </c>
      <c r="AJ49" s="70">
        <f t="shared" si="13"/>
        <v>0</v>
      </c>
      <c r="AK49" s="70">
        <f t="shared" si="14"/>
        <v>0</v>
      </c>
      <c r="AL49" s="70">
        <f t="shared" si="15"/>
        <v>175000</v>
      </c>
      <c r="AM49" s="70">
        <f t="shared" si="16"/>
        <v>175000</v>
      </c>
      <c r="AN49" s="70">
        <f t="shared" si="17"/>
        <v>175000</v>
      </c>
      <c r="AO49" s="70">
        <f t="shared" si="18"/>
        <v>175000</v>
      </c>
    </row>
    <row r="50" spans="1:41">
      <c r="A50" s="29" t="s">
        <v>533</v>
      </c>
      <c r="B50" s="29" t="s">
        <v>924</v>
      </c>
      <c r="C50" s="107">
        <v>0</v>
      </c>
      <c r="D50" s="108">
        <v>2500000</v>
      </c>
      <c r="F50" s="107">
        <v>0</v>
      </c>
      <c r="G50" s="108">
        <v>2006571</v>
      </c>
      <c r="I50" s="64">
        <v>0</v>
      </c>
      <c r="J50" s="83">
        <v>0</v>
      </c>
      <c r="K50" s="66">
        <v>2006571</v>
      </c>
      <c r="L50" s="251">
        <v>2015090.7865999998</v>
      </c>
      <c r="M50" s="63">
        <v>0</v>
      </c>
      <c r="N50" s="64">
        <v>0</v>
      </c>
      <c r="O50" s="65">
        <v>2084916.4607000002</v>
      </c>
      <c r="P50" s="66">
        <v>2167520.432</v>
      </c>
      <c r="Q50" s="66">
        <f t="shared" si="3"/>
        <v>0</v>
      </c>
      <c r="R50" s="63">
        <f t="shared" si="4"/>
        <v>0</v>
      </c>
      <c r="S50" s="83">
        <f t="shared" si="5"/>
        <v>0</v>
      </c>
      <c r="T50" s="64">
        <f t="shared" si="6"/>
        <v>0</v>
      </c>
      <c r="U50" s="66">
        <f t="shared" si="7"/>
        <v>2240357.6601999998</v>
      </c>
      <c r="V50" s="63">
        <f t="shared" si="8"/>
        <v>2011054.1117089198</v>
      </c>
      <c r="W50" s="83">
        <f t="shared" si="9"/>
        <v>2051833.0563114202</v>
      </c>
      <c r="X50" s="64">
        <f t="shared" si="10"/>
        <v>2128382.6703980602</v>
      </c>
      <c r="Z50" s="67">
        <v>0</v>
      </c>
      <c r="AA50" s="68">
        <v>0</v>
      </c>
      <c r="AB50" s="69">
        <v>2006571</v>
      </c>
      <c r="AC50" s="70">
        <v>2168753.6573999999</v>
      </c>
      <c r="AD50" s="67">
        <v>0</v>
      </c>
      <c r="AE50" s="68">
        <v>0</v>
      </c>
      <c r="AF50" s="69">
        <v>2084916.4607000002</v>
      </c>
      <c r="AG50" s="70">
        <v>2167520.432</v>
      </c>
      <c r="AH50" s="70">
        <f t="shared" si="11"/>
        <v>0</v>
      </c>
      <c r="AI50" s="70">
        <f t="shared" si="12"/>
        <v>0</v>
      </c>
      <c r="AJ50" s="70">
        <f t="shared" si="13"/>
        <v>0</v>
      </c>
      <c r="AK50" s="70">
        <f t="shared" si="14"/>
        <v>0</v>
      </c>
      <c r="AL50" s="70">
        <f t="shared" si="15"/>
        <v>2240357.6601999998</v>
      </c>
      <c r="AM50" s="70">
        <f t="shared" si="16"/>
        <v>2091911.51432388</v>
      </c>
      <c r="AN50" s="70">
        <f t="shared" si="17"/>
        <v>2124638.5244964603</v>
      </c>
      <c r="AO50" s="70">
        <f t="shared" si="18"/>
        <v>2128382.6703980602</v>
      </c>
    </row>
    <row r="51" spans="1:41">
      <c r="A51" s="29" t="s">
        <v>491</v>
      </c>
      <c r="B51" s="29" t="s">
        <v>663</v>
      </c>
      <c r="C51" s="107">
        <v>823070.17</v>
      </c>
      <c r="D51" s="108">
        <v>1687402</v>
      </c>
      <c r="F51" s="107">
        <v>866224.61</v>
      </c>
      <c r="G51" s="108">
        <v>1738024</v>
      </c>
      <c r="I51" s="64">
        <v>632105.17000000004</v>
      </c>
      <c r="J51" s="83">
        <v>614142.50555733335</v>
      </c>
      <c r="K51" s="66">
        <v>1738024</v>
      </c>
      <c r="L51" s="251">
        <v>1738024</v>
      </c>
      <c r="M51" s="63">
        <v>548476.50863999955</v>
      </c>
      <c r="N51" s="64">
        <v>580475.00627999986</v>
      </c>
      <c r="O51" s="65">
        <v>1738024</v>
      </c>
      <c r="P51" s="66">
        <v>1738024</v>
      </c>
      <c r="Q51" s="66">
        <f t="shared" si="3"/>
        <v>685575.37000000011</v>
      </c>
      <c r="R51" s="63">
        <f t="shared" si="4"/>
        <v>619172.05160127999</v>
      </c>
      <c r="S51" s="83">
        <f t="shared" si="5"/>
        <v>566862.98777685303</v>
      </c>
      <c r="T51" s="64">
        <f t="shared" si="6"/>
        <v>571515.42694079969</v>
      </c>
      <c r="U51" s="66">
        <f t="shared" si="7"/>
        <v>1714039.2963999999</v>
      </c>
      <c r="V51" s="63">
        <f t="shared" si="8"/>
        <v>1738024</v>
      </c>
      <c r="W51" s="83">
        <f t="shared" si="9"/>
        <v>1738024</v>
      </c>
      <c r="X51" s="64">
        <f t="shared" si="10"/>
        <v>1738024</v>
      </c>
      <c r="Z51" s="67">
        <v>866224.61</v>
      </c>
      <c r="AA51" s="68">
        <v>884949.52115200006</v>
      </c>
      <c r="AB51" s="69">
        <v>1738024</v>
      </c>
      <c r="AC51" s="70">
        <v>1738024</v>
      </c>
      <c r="AD51" s="67">
        <v>548476.50863999955</v>
      </c>
      <c r="AE51" s="68">
        <v>580475.00627999986</v>
      </c>
      <c r="AF51" s="69">
        <v>1738024</v>
      </c>
      <c r="AG51" s="70">
        <v>1738024</v>
      </c>
      <c r="AH51" s="70">
        <f t="shared" si="11"/>
        <v>854141.36679999996</v>
      </c>
      <c r="AI51" s="70">
        <f t="shared" si="12"/>
        <v>879706.54602944013</v>
      </c>
      <c r="AJ51" s="70">
        <f t="shared" si="13"/>
        <v>642688.9521433597</v>
      </c>
      <c r="AK51" s="70">
        <f t="shared" si="14"/>
        <v>571515.42694079969</v>
      </c>
      <c r="AL51" s="70">
        <f t="shared" si="15"/>
        <v>1714039.2963999999</v>
      </c>
      <c r="AM51" s="70">
        <f t="shared" si="16"/>
        <v>1738024</v>
      </c>
      <c r="AN51" s="70">
        <f t="shared" si="17"/>
        <v>1738024</v>
      </c>
      <c r="AO51" s="70">
        <f t="shared" si="18"/>
        <v>1738024</v>
      </c>
    </row>
    <row r="52" spans="1:41">
      <c r="A52" s="29" t="s">
        <v>401</v>
      </c>
      <c r="B52" s="29" t="s">
        <v>664</v>
      </c>
      <c r="C52" s="107">
        <v>0</v>
      </c>
      <c r="D52" s="108">
        <v>1329290</v>
      </c>
      <c r="F52" s="107">
        <v>0</v>
      </c>
      <c r="G52" s="108">
        <v>1395300</v>
      </c>
      <c r="I52" s="64">
        <v>0</v>
      </c>
      <c r="J52" s="83">
        <v>0</v>
      </c>
      <c r="K52" s="66">
        <v>1395300</v>
      </c>
      <c r="L52" s="251">
        <v>1439905.7319999998</v>
      </c>
      <c r="M52" s="63">
        <v>0</v>
      </c>
      <c r="N52" s="64">
        <v>0</v>
      </c>
      <c r="O52" s="65">
        <v>1489805.4679</v>
      </c>
      <c r="P52" s="66">
        <v>1500000</v>
      </c>
      <c r="Q52" s="66">
        <f t="shared" si="3"/>
        <v>0</v>
      </c>
      <c r="R52" s="63">
        <f t="shared" si="4"/>
        <v>0</v>
      </c>
      <c r="S52" s="83">
        <f t="shared" si="5"/>
        <v>0</v>
      </c>
      <c r="T52" s="64">
        <f t="shared" si="6"/>
        <v>0</v>
      </c>
      <c r="U52" s="66">
        <f t="shared" si="7"/>
        <v>1364024.4619999998</v>
      </c>
      <c r="V52" s="63">
        <f t="shared" si="8"/>
        <v>1418771.5361783998</v>
      </c>
      <c r="W52" s="83">
        <f t="shared" si="9"/>
        <v>1466162.97303058</v>
      </c>
      <c r="X52" s="64">
        <f t="shared" si="10"/>
        <v>1495169.83069102</v>
      </c>
      <c r="Z52" s="67">
        <v>0</v>
      </c>
      <c r="AA52" s="68">
        <v>0</v>
      </c>
      <c r="AB52" s="69">
        <v>1395300</v>
      </c>
      <c r="AC52" s="70">
        <v>1465065.2204</v>
      </c>
      <c r="AD52" s="67">
        <v>0</v>
      </c>
      <c r="AE52" s="68">
        <v>0</v>
      </c>
      <c r="AF52" s="69">
        <v>1489805.4679</v>
      </c>
      <c r="AG52" s="70">
        <v>1500000</v>
      </c>
      <c r="AH52" s="70">
        <f t="shared" si="11"/>
        <v>0</v>
      </c>
      <c r="AI52" s="70">
        <f t="shared" si="12"/>
        <v>0</v>
      </c>
      <c r="AJ52" s="70">
        <f t="shared" si="13"/>
        <v>0</v>
      </c>
      <c r="AK52" s="70">
        <f t="shared" si="14"/>
        <v>0</v>
      </c>
      <c r="AL52" s="70">
        <f t="shared" si="15"/>
        <v>1364024.4619999998</v>
      </c>
      <c r="AM52" s="70">
        <f t="shared" si="16"/>
        <v>1432010.4589744802</v>
      </c>
      <c r="AN52" s="70">
        <f t="shared" si="17"/>
        <v>1478083.5386345</v>
      </c>
      <c r="AO52" s="70">
        <f t="shared" si="18"/>
        <v>1495169.83069102</v>
      </c>
    </row>
    <row r="53" spans="1:41">
      <c r="A53" s="29" t="s">
        <v>411</v>
      </c>
      <c r="B53" s="29" t="s">
        <v>665</v>
      </c>
      <c r="C53" s="107">
        <v>0</v>
      </c>
      <c r="D53" s="108">
        <v>1075000</v>
      </c>
      <c r="F53" s="107">
        <v>0</v>
      </c>
      <c r="G53" s="108">
        <v>1014000</v>
      </c>
      <c r="I53" s="64">
        <v>0</v>
      </c>
      <c r="J53" s="83">
        <v>0</v>
      </c>
      <c r="K53" s="66">
        <v>1014000</v>
      </c>
      <c r="L53" s="251">
        <v>1164000</v>
      </c>
      <c r="M53" s="63">
        <v>0</v>
      </c>
      <c r="N53" s="64">
        <v>0</v>
      </c>
      <c r="O53" s="65">
        <v>1164000</v>
      </c>
      <c r="P53" s="66">
        <v>1164000</v>
      </c>
      <c r="Q53" s="66">
        <f t="shared" si="3"/>
        <v>0</v>
      </c>
      <c r="R53" s="63">
        <f t="shared" si="4"/>
        <v>0</v>
      </c>
      <c r="S53" s="83">
        <f t="shared" si="5"/>
        <v>0</v>
      </c>
      <c r="T53" s="64">
        <f t="shared" si="6"/>
        <v>0</v>
      </c>
      <c r="U53" s="66">
        <f t="shared" si="7"/>
        <v>1042901.8</v>
      </c>
      <c r="V53" s="63">
        <f t="shared" si="8"/>
        <v>1092930</v>
      </c>
      <c r="W53" s="83">
        <f t="shared" si="9"/>
        <v>1164000</v>
      </c>
      <c r="X53" s="64">
        <f t="shared" si="10"/>
        <v>1164000</v>
      </c>
      <c r="Z53" s="67">
        <v>0</v>
      </c>
      <c r="AA53" s="68">
        <v>0</v>
      </c>
      <c r="AB53" s="69">
        <v>1014000</v>
      </c>
      <c r="AC53" s="70">
        <v>1164000</v>
      </c>
      <c r="AD53" s="67">
        <v>0</v>
      </c>
      <c r="AE53" s="68">
        <v>0</v>
      </c>
      <c r="AF53" s="69">
        <v>1164000</v>
      </c>
      <c r="AG53" s="70">
        <v>1164000</v>
      </c>
      <c r="AH53" s="70">
        <f t="shared" si="11"/>
        <v>0</v>
      </c>
      <c r="AI53" s="70">
        <f t="shared" si="12"/>
        <v>0</v>
      </c>
      <c r="AJ53" s="70">
        <f t="shared" si="13"/>
        <v>0</v>
      </c>
      <c r="AK53" s="70">
        <f t="shared" si="14"/>
        <v>0</v>
      </c>
      <c r="AL53" s="70">
        <f t="shared" si="15"/>
        <v>1042901.8</v>
      </c>
      <c r="AM53" s="70">
        <f t="shared" si="16"/>
        <v>1092930</v>
      </c>
      <c r="AN53" s="70">
        <f t="shared" si="17"/>
        <v>1164000</v>
      </c>
      <c r="AO53" s="70">
        <f t="shared" si="18"/>
        <v>1164000</v>
      </c>
    </row>
    <row r="54" spans="1:41">
      <c r="A54" s="29" t="s">
        <v>157</v>
      </c>
      <c r="B54" s="29" t="s">
        <v>666</v>
      </c>
      <c r="C54" s="107">
        <v>126123.63</v>
      </c>
      <c r="D54" s="108">
        <v>593758</v>
      </c>
      <c r="F54" s="107">
        <v>107475.06</v>
      </c>
      <c r="G54" s="108">
        <v>624150</v>
      </c>
      <c r="I54" s="64">
        <v>89170.87</v>
      </c>
      <c r="J54" s="83">
        <v>296262.62680000003</v>
      </c>
      <c r="K54" s="66">
        <v>624150</v>
      </c>
      <c r="L54" s="251">
        <v>655991.86750000005</v>
      </c>
      <c r="M54" s="63">
        <v>287333.39879999991</v>
      </c>
      <c r="N54" s="64">
        <v>288236.01089999999</v>
      </c>
      <c r="O54" s="65">
        <v>682821</v>
      </c>
      <c r="P54" s="66">
        <v>682821</v>
      </c>
      <c r="Q54" s="66">
        <f t="shared" si="3"/>
        <v>99517.642800000001</v>
      </c>
      <c r="R54" s="63">
        <f t="shared" si="4"/>
        <v>238276.93489599999</v>
      </c>
      <c r="S54" s="83">
        <f t="shared" si="5"/>
        <v>289833.58263999992</v>
      </c>
      <c r="T54" s="64">
        <f t="shared" si="6"/>
        <v>287983.27951199998</v>
      </c>
      <c r="U54" s="66">
        <f t="shared" si="7"/>
        <v>609750.27040000004</v>
      </c>
      <c r="V54" s="63">
        <f t="shared" si="8"/>
        <v>640905.1906785001</v>
      </c>
      <c r="W54" s="83">
        <f t="shared" si="9"/>
        <v>670109.35702150001</v>
      </c>
      <c r="X54" s="64">
        <f t="shared" si="10"/>
        <v>682821</v>
      </c>
      <c r="Z54" s="67">
        <v>107475.06</v>
      </c>
      <c r="AA54" s="68">
        <v>296262.62680000003</v>
      </c>
      <c r="AB54" s="69">
        <v>624150</v>
      </c>
      <c r="AC54" s="70">
        <v>655991.86750000005</v>
      </c>
      <c r="AD54" s="67">
        <v>287333.39879999991</v>
      </c>
      <c r="AE54" s="68">
        <v>288236.01089999999</v>
      </c>
      <c r="AF54" s="69">
        <v>682821</v>
      </c>
      <c r="AG54" s="70">
        <v>682821</v>
      </c>
      <c r="AH54" s="70">
        <f t="shared" si="11"/>
        <v>112696.65960000001</v>
      </c>
      <c r="AI54" s="70">
        <f t="shared" si="12"/>
        <v>243402.10809600001</v>
      </c>
      <c r="AJ54" s="70">
        <f t="shared" si="13"/>
        <v>289833.58263999992</v>
      </c>
      <c r="AK54" s="70">
        <f t="shared" si="14"/>
        <v>287983.27951199998</v>
      </c>
      <c r="AL54" s="70">
        <f t="shared" si="15"/>
        <v>609750.27040000004</v>
      </c>
      <c r="AM54" s="70">
        <f t="shared" si="16"/>
        <v>640905.1906785001</v>
      </c>
      <c r="AN54" s="70">
        <f t="shared" si="17"/>
        <v>670109.35702150001</v>
      </c>
      <c r="AO54" s="70">
        <f t="shared" si="18"/>
        <v>682821</v>
      </c>
    </row>
    <row r="55" spans="1:41">
      <c r="A55" s="29" t="s">
        <v>127</v>
      </c>
      <c r="B55" s="29" t="s">
        <v>925</v>
      </c>
      <c r="C55" s="107">
        <v>11465.58</v>
      </c>
      <c r="D55" s="108">
        <v>366318</v>
      </c>
      <c r="F55" s="107">
        <v>8681.2999999999993</v>
      </c>
      <c r="G55" s="108">
        <v>366318</v>
      </c>
      <c r="I55" s="64">
        <v>0</v>
      </c>
      <c r="J55" s="83">
        <v>11683.123999999998</v>
      </c>
      <c r="K55" s="66">
        <v>366318</v>
      </c>
      <c r="L55" s="251">
        <v>366318</v>
      </c>
      <c r="M55" s="63">
        <v>11810.001047999995</v>
      </c>
      <c r="N55" s="64">
        <v>20716.250478000027</v>
      </c>
      <c r="O55" s="65">
        <v>366318</v>
      </c>
      <c r="P55" s="66">
        <v>366318</v>
      </c>
      <c r="Q55" s="66">
        <f t="shared" si="3"/>
        <v>3210.3624000000004</v>
      </c>
      <c r="R55" s="63">
        <f t="shared" si="4"/>
        <v>8411.8492799999985</v>
      </c>
      <c r="S55" s="83">
        <f t="shared" si="5"/>
        <v>11774.475474559995</v>
      </c>
      <c r="T55" s="64">
        <f t="shared" si="6"/>
        <v>18222.500637600016</v>
      </c>
      <c r="U55" s="66">
        <f t="shared" si="7"/>
        <v>366318</v>
      </c>
      <c r="V55" s="63">
        <f t="shared" si="8"/>
        <v>366318</v>
      </c>
      <c r="W55" s="83">
        <f t="shared" si="9"/>
        <v>366318</v>
      </c>
      <c r="X55" s="64">
        <f t="shared" si="10"/>
        <v>366318</v>
      </c>
      <c r="Z55" s="67">
        <v>8681.2999999999993</v>
      </c>
      <c r="AA55" s="68">
        <v>31204.551100000001</v>
      </c>
      <c r="AB55" s="69">
        <v>366318</v>
      </c>
      <c r="AC55" s="70">
        <v>366318</v>
      </c>
      <c r="AD55" s="67">
        <v>11810.001047999995</v>
      </c>
      <c r="AE55" s="68">
        <v>20716.250478000027</v>
      </c>
      <c r="AF55" s="69">
        <v>366318</v>
      </c>
      <c r="AG55" s="70">
        <v>366318</v>
      </c>
      <c r="AH55" s="70">
        <f t="shared" si="11"/>
        <v>9460.8984</v>
      </c>
      <c r="AI55" s="70">
        <f t="shared" si="12"/>
        <v>24898.040792</v>
      </c>
      <c r="AJ55" s="70">
        <f t="shared" si="13"/>
        <v>17240.475062559999</v>
      </c>
      <c r="AK55" s="70">
        <f t="shared" si="14"/>
        <v>18222.500637600016</v>
      </c>
      <c r="AL55" s="70">
        <f t="shared" si="15"/>
        <v>366318</v>
      </c>
      <c r="AM55" s="70">
        <f t="shared" si="16"/>
        <v>366318</v>
      </c>
      <c r="AN55" s="70">
        <f t="shared" si="17"/>
        <v>366318</v>
      </c>
      <c r="AO55" s="70">
        <f t="shared" si="18"/>
        <v>366318</v>
      </c>
    </row>
    <row r="56" spans="1:41">
      <c r="A56" s="29" t="s">
        <v>169</v>
      </c>
      <c r="B56" s="29" t="s">
        <v>667</v>
      </c>
      <c r="C56" s="107">
        <v>0</v>
      </c>
      <c r="D56" s="108">
        <v>2440000</v>
      </c>
      <c r="F56" s="107">
        <v>0</v>
      </c>
      <c r="G56" s="108">
        <v>2440000</v>
      </c>
      <c r="I56" s="64">
        <v>0</v>
      </c>
      <c r="J56" s="83">
        <v>0</v>
      </c>
      <c r="K56" s="66">
        <v>2440000</v>
      </c>
      <c r="L56" s="251">
        <v>2440000</v>
      </c>
      <c r="M56" s="63">
        <v>0</v>
      </c>
      <c r="N56" s="64">
        <v>0</v>
      </c>
      <c r="O56" s="65">
        <v>2440000</v>
      </c>
      <c r="P56" s="66">
        <v>2440000</v>
      </c>
      <c r="Q56" s="66">
        <f t="shared" si="3"/>
        <v>0</v>
      </c>
      <c r="R56" s="63">
        <f t="shared" si="4"/>
        <v>0</v>
      </c>
      <c r="S56" s="83">
        <f t="shared" si="5"/>
        <v>0</v>
      </c>
      <c r="T56" s="64">
        <f t="shared" si="6"/>
        <v>0</v>
      </c>
      <c r="U56" s="66">
        <f t="shared" si="7"/>
        <v>2440000</v>
      </c>
      <c r="V56" s="63">
        <f t="shared" si="8"/>
        <v>2440000</v>
      </c>
      <c r="W56" s="83">
        <f t="shared" si="9"/>
        <v>2440000</v>
      </c>
      <c r="X56" s="64">
        <f t="shared" si="10"/>
        <v>2440000</v>
      </c>
      <c r="Z56" s="67">
        <v>0</v>
      </c>
      <c r="AA56" s="68">
        <v>0</v>
      </c>
      <c r="AB56" s="69">
        <v>2440000</v>
      </c>
      <c r="AC56" s="70">
        <v>2440000</v>
      </c>
      <c r="AD56" s="67">
        <v>0</v>
      </c>
      <c r="AE56" s="68">
        <v>0</v>
      </c>
      <c r="AF56" s="69">
        <v>2440000</v>
      </c>
      <c r="AG56" s="70">
        <v>2440000</v>
      </c>
      <c r="AH56" s="70">
        <f t="shared" si="11"/>
        <v>0</v>
      </c>
      <c r="AI56" s="70">
        <f t="shared" si="12"/>
        <v>0</v>
      </c>
      <c r="AJ56" s="70">
        <f t="shared" si="13"/>
        <v>0</v>
      </c>
      <c r="AK56" s="70">
        <f t="shared" si="14"/>
        <v>0</v>
      </c>
      <c r="AL56" s="70">
        <f t="shared" si="15"/>
        <v>2440000</v>
      </c>
      <c r="AM56" s="70">
        <f t="shared" si="16"/>
        <v>2440000</v>
      </c>
      <c r="AN56" s="70">
        <f t="shared" si="17"/>
        <v>2440000</v>
      </c>
      <c r="AO56" s="70">
        <f t="shared" si="18"/>
        <v>2440000</v>
      </c>
    </row>
    <row r="57" spans="1:41">
      <c r="A57" s="29" t="s">
        <v>45</v>
      </c>
      <c r="B57" s="29" t="s">
        <v>906</v>
      </c>
      <c r="C57" s="107">
        <v>0</v>
      </c>
      <c r="D57" s="108">
        <v>520000</v>
      </c>
      <c r="F57" s="107">
        <v>0</v>
      </c>
      <c r="G57" s="108">
        <v>521367.52</v>
      </c>
      <c r="I57" s="64">
        <v>0</v>
      </c>
      <c r="J57" s="83">
        <v>0</v>
      </c>
      <c r="K57" s="66">
        <v>521367.52</v>
      </c>
      <c r="L57" s="251">
        <v>520000</v>
      </c>
      <c r="M57" s="63">
        <v>0</v>
      </c>
      <c r="N57" s="64">
        <v>0</v>
      </c>
      <c r="O57" s="65">
        <v>520000</v>
      </c>
      <c r="P57" s="66">
        <v>520000</v>
      </c>
      <c r="Q57" s="66">
        <f t="shared" si="3"/>
        <v>0</v>
      </c>
      <c r="R57" s="63">
        <f t="shared" si="4"/>
        <v>0</v>
      </c>
      <c r="S57" s="83">
        <f t="shared" si="5"/>
        <v>0</v>
      </c>
      <c r="T57" s="64">
        <f t="shared" si="6"/>
        <v>0</v>
      </c>
      <c r="U57" s="66">
        <f t="shared" si="7"/>
        <v>520719.58902399999</v>
      </c>
      <c r="V57" s="63">
        <f t="shared" si="8"/>
        <v>520647.93097600003</v>
      </c>
      <c r="W57" s="83">
        <f t="shared" si="9"/>
        <v>520000</v>
      </c>
      <c r="X57" s="64">
        <f t="shared" si="10"/>
        <v>520000</v>
      </c>
      <c r="Z57" s="67">
        <v>0</v>
      </c>
      <c r="AA57" s="68">
        <v>0</v>
      </c>
      <c r="AB57" s="69">
        <v>521367.52</v>
      </c>
      <c r="AC57" s="70">
        <v>520000</v>
      </c>
      <c r="AD57" s="67">
        <v>0</v>
      </c>
      <c r="AE57" s="68">
        <v>0</v>
      </c>
      <c r="AF57" s="69">
        <v>520000</v>
      </c>
      <c r="AG57" s="70">
        <v>520000</v>
      </c>
      <c r="AH57" s="70">
        <f t="shared" si="11"/>
        <v>0</v>
      </c>
      <c r="AI57" s="70">
        <f t="shared" si="12"/>
        <v>0</v>
      </c>
      <c r="AJ57" s="70">
        <f t="shared" si="13"/>
        <v>0</v>
      </c>
      <c r="AK57" s="70">
        <f t="shared" si="14"/>
        <v>0</v>
      </c>
      <c r="AL57" s="70">
        <f t="shared" si="15"/>
        <v>520719.58902399999</v>
      </c>
      <c r="AM57" s="70">
        <f t="shared" si="16"/>
        <v>520647.93097600003</v>
      </c>
      <c r="AN57" s="70">
        <f t="shared" si="17"/>
        <v>520000</v>
      </c>
      <c r="AO57" s="70">
        <f t="shared" si="18"/>
        <v>520000</v>
      </c>
    </row>
    <row r="58" spans="1:41">
      <c r="A58" s="29" t="s">
        <v>303</v>
      </c>
      <c r="B58" s="29" t="s">
        <v>668</v>
      </c>
      <c r="C58" s="107">
        <v>0</v>
      </c>
      <c r="D58" s="108">
        <v>240000</v>
      </c>
      <c r="F58" s="107">
        <v>0</v>
      </c>
      <c r="G58" s="108">
        <v>240000</v>
      </c>
      <c r="I58" s="64">
        <v>0</v>
      </c>
      <c r="J58" s="83">
        <v>0</v>
      </c>
      <c r="K58" s="66">
        <v>240000</v>
      </c>
      <c r="L58" s="251">
        <v>240000</v>
      </c>
      <c r="M58" s="63">
        <v>0</v>
      </c>
      <c r="N58" s="64">
        <v>0</v>
      </c>
      <c r="O58" s="65">
        <v>240000</v>
      </c>
      <c r="P58" s="66">
        <v>240000</v>
      </c>
      <c r="Q58" s="66">
        <f t="shared" si="3"/>
        <v>0</v>
      </c>
      <c r="R58" s="63">
        <f t="shared" si="4"/>
        <v>0</v>
      </c>
      <c r="S58" s="83">
        <f t="shared" si="5"/>
        <v>0</v>
      </c>
      <c r="T58" s="64">
        <f t="shared" si="6"/>
        <v>0</v>
      </c>
      <c r="U58" s="66">
        <f t="shared" si="7"/>
        <v>240000</v>
      </c>
      <c r="V58" s="63">
        <f t="shared" si="8"/>
        <v>240000</v>
      </c>
      <c r="W58" s="83">
        <f t="shared" si="9"/>
        <v>240000</v>
      </c>
      <c r="X58" s="64">
        <f t="shared" si="10"/>
        <v>240000</v>
      </c>
      <c r="Z58" s="67">
        <v>0</v>
      </c>
      <c r="AA58" s="68">
        <v>0</v>
      </c>
      <c r="AB58" s="69">
        <v>240000</v>
      </c>
      <c r="AC58" s="70">
        <v>240000</v>
      </c>
      <c r="AD58" s="67">
        <v>0</v>
      </c>
      <c r="AE58" s="68">
        <v>0</v>
      </c>
      <c r="AF58" s="69">
        <v>240000</v>
      </c>
      <c r="AG58" s="70">
        <v>240000</v>
      </c>
      <c r="AH58" s="70">
        <f t="shared" si="11"/>
        <v>0</v>
      </c>
      <c r="AI58" s="70">
        <f t="shared" si="12"/>
        <v>0</v>
      </c>
      <c r="AJ58" s="70">
        <f t="shared" si="13"/>
        <v>0</v>
      </c>
      <c r="AK58" s="70">
        <f t="shared" si="14"/>
        <v>0</v>
      </c>
      <c r="AL58" s="70">
        <f t="shared" si="15"/>
        <v>240000</v>
      </c>
      <c r="AM58" s="70">
        <f t="shared" si="16"/>
        <v>240000</v>
      </c>
      <c r="AN58" s="70">
        <f t="shared" si="17"/>
        <v>240000</v>
      </c>
      <c r="AO58" s="70">
        <f t="shared" si="18"/>
        <v>240000</v>
      </c>
    </row>
    <row r="59" spans="1:41">
      <c r="A59" s="29" t="s">
        <v>103</v>
      </c>
      <c r="B59" s="29" t="s">
        <v>669</v>
      </c>
      <c r="C59" s="107">
        <v>206134.55</v>
      </c>
      <c r="D59" s="108">
        <v>195000</v>
      </c>
      <c r="F59" s="107">
        <v>269189.49</v>
      </c>
      <c r="G59" s="108">
        <v>200000</v>
      </c>
      <c r="I59" s="64">
        <v>269189.49</v>
      </c>
      <c r="J59" s="83">
        <v>295803.92196000007</v>
      </c>
      <c r="K59" s="66">
        <v>200000</v>
      </c>
      <c r="L59" s="251">
        <v>200000</v>
      </c>
      <c r="M59" s="63">
        <v>296571.26570999995</v>
      </c>
      <c r="N59" s="64">
        <v>312099.70035999996</v>
      </c>
      <c r="O59" s="65">
        <v>200000</v>
      </c>
      <c r="P59" s="66">
        <v>200000</v>
      </c>
      <c r="Q59" s="66">
        <f t="shared" si="3"/>
        <v>251534.10679999998</v>
      </c>
      <c r="R59" s="63">
        <f t="shared" si="4"/>
        <v>288351.88101120002</v>
      </c>
      <c r="S59" s="83">
        <f t="shared" si="5"/>
        <v>296356.40946</v>
      </c>
      <c r="T59" s="64">
        <f t="shared" si="6"/>
        <v>307751.73865799996</v>
      </c>
      <c r="U59" s="66">
        <f t="shared" si="7"/>
        <v>197631</v>
      </c>
      <c r="V59" s="63">
        <f t="shared" si="8"/>
        <v>200000</v>
      </c>
      <c r="W59" s="83">
        <f t="shared" si="9"/>
        <v>200000</v>
      </c>
      <c r="X59" s="64">
        <f t="shared" si="10"/>
        <v>200000</v>
      </c>
      <c r="Z59" s="67">
        <v>269189.49</v>
      </c>
      <c r="AA59" s="68">
        <v>295803.92196000007</v>
      </c>
      <c r="AB59" s="69">
        <v>200000</v>
      </c>
      <c r="AC59" s="70">
        <v>200000</v>
      </c>
      <c r="AD59" s="67">
        <v>296571.26570999995</v>
      </c>
      <c r="AE59" s="68">
        <v>312099.70035999996</v>
      </c>
      <c r="AF59" s="69">
        <v>200000</v>
      </c>
      <c r="AG59" s="70">
        <v>200000</v>
      </c>
      <c r="AH59" s="70">
        <f t="shared" si="11"/>
        <v>251534.10679999998</v>
      </c>
      <c r="AI59" s="70">
        <f t="shared" si="12"/>
        <v>288351.88101120002</v>
      </c>
      <c r="AJ59" s="70">
        <f t="shared" si="13"/>
        <v>296356.40946</v>
      </c>
      <c r="AK59" s="70">
        <f t="shared" si="14"/>
        <v>307751.73865799996</v>
      </c>
      <c r="AL59" s="70">
        <f t="shared" si="15"/>
        <v>197631</v>
      </c>
      <c r="AM59" s="70">
        <f t="shared" si="16"/>
        <v>200000</v>
      </c>
      <c r="AN59" s="70">
        <f t="shared" si="17"/>
        <v>200000</v>
      </c>
      <c r="AO59" s="70">
        <f t="shared" si="18"/>
        <v>200000</v>
      </c>
    </row>
    <row r="60" spans="1:41">
      <c r="A60" s="29" t="s">
        <v>357</v>
      </c>
      <c r="B60" s="29" t="s">
        <v>670</v>
      </c>
      <c r="C60" s="107">
        <v>0</v>
      </c>
      <c r="D60" s="108">
        <v>495000</v>
      </c>
      <c r="F60" s="107">
        <v>0</v>
      </c>
      <c r="G60" s="108">
        <v>495000</v>
      </c>
      <c r="I60" s="64">
        <v>0</v>
      </c>
      <c r="J60" s="83">
        <v>11593.727399999994</v>
      </c>
      <c r="K60" s="66">
        <v>495000</v>
      </c>
      <c r="L60" s="251">
        <v>495000</v>
      </c>
      <c r="M60" s="63">
        <v>18912.055651999941</v>
      </c>
      <c r="N60" s="64">
        <v>38586.333320000042</v>
      </c>
      <c r="O60" s="65">
        <v>495000</v>
      </c>
      <c r="P60" s="66">
        <v>495000</v>
      </c>
      <c r="Q60" s="66">
        <f t="shared" si="3"/>
        <v>0</v>
      </c>
      <c r="R60" s="63">
        <f t="shared" si="4"/>
        <v>8347.4837279999956</v>
      </c>
      <c r="S60" s="83">
        <f t="shared" si="5"/>
        <v>16862.923741439954</v>
      </c>
      <c r="T60" s="64">
        <f t="shared" si="6"/>
        <v>33077.535572960012</v>
      </c>
      <c r="U60" s="66">
        <f t="shared" si="7"/>
        <v>495000</v>
      </c>
      <c r="V60" s="63">
        <f t="shared" si="8"/>
        <v>495000</v>
      </c>
      <c r="W60" s="83">
        <f t="shared" si="9"/>
        <v>495000</v>
      </c>
      <c r="X60" s="64">
        <f t="shared" si="10"/>
        <v>495000</v>
      </c>
      <c r="Z60" s="67">
        <v>0</v>
      </c>
      <c r="AA60" s="68">
        <v>11593.727399999994</v>
      </c>
      <c r="AB60" s="69">
        <v>495000</v>
      </c>
      <c r="AC60" s="70">
        <v>495000</v>
      </c>
      <c r="AD60" s="67">
        <v>18912.055651999941</v>
      </c>
      <c r="AE60" s="68">
        <v>38586.333320000042</v>
      </c>
      <c r="AF60" s="69">
        <v>495000</v>
      </c>
      <c r="AG60" s="70">
        <v>495000</v>
      </c>
      <c r="AH60" s="70">
        <f t="shared" si="11"/>
        <v>0</v>
      </c>
      <c r="AI60" s="70">
        <f t="shared" si="12"/>
        <v>8347.4837279999956</v>
      </c>
      <c r="AJ60" s="70">
        <f t="shared" si="13"/>
        <v>16862.923741439954</v>
      </c>
      <c r="AK60" s="70">
        <f t="shared" si="14"/>
        <v>33077.535572960012</v>
      </c>
      <c r="AL60" s="70">
        <f t="shared" si="15"/>
        <v>495000</v>
      </c>
      <c r="AM60" s="70">
        <f t="shared" si="16"/>
        <v>495000</v>
      </c>
      <c r="AN60" s="70">
        <f t="shared" si="17"/>
        <v>495000</v>
      </c>
      <c r="AO60" s="70">
        <f t="shared" si="18"/>
        <v>495000</v>
      </c>
    </row>
    <row r="61" spans="1:41">
      <c r="A61" s="29" t="s">
        <v>239</v>
      </c>
      <c r="B61" s="29" t="s">
        <v>895</v>
      </c>
      <c r="C61" s="107">
        <v>0</v>
      </c>
      <c r="D61" s="108">
        <v>85000</v>
      </c>
      <c r="F61" s="107">
        <v>0</v>
      </c>
      <c r="G61" s="108">
        <v>85000</v>
      </c>
      <c r="I61" s="64">
        <v>0</v>
      </c>
      <c r="J61" s="83">
        <v>0</v>
      </c>
      <c r="K61" s="66">
        <v>85000</v>
      </c>
      <c r="L61" s="251">
        <v>85000</v>
      </c>
      <c r="M61" s="63">
        <v>0</v>
      </c>
      <c r="N61" s="64">
        <v>0</v>
      </c>
      <c r="O61" s="65">
        <v>85000</v>
      </c>
      <c r="P61" s="66">
        <v>85000</v>
      </c>
      <c r="Q61" s="66">
        <f t="shared" si="3"/>
        <v>0</v>
      </c>
      <c r="R61" s="63">
        <f t="shared" si="4"/>
        <v>0</v>
      </c>
      <c r="S61" s="83">
        <f t="shared" si="5"/>
        <v>0</v>
      </c>
      <c r="T61" s="64">
        <f t="shared" si="6"/>
        <v>0</v>
      </c>
      <c r="U61" s="66">
        <f t="shared" si="7"/>
        <v>85000</v>
      </c>
      <c r="V61" s="63">
        <f t="shared" si="8"/>
        <v>85000</v>
      </c>
      <c r="W61" s="83">
        <f t="shared" si="9"/>
        <v>85000</v>
      </c>
      <c r="X61" s="64">
        <f t="shared" si="10"/>
        <v>85000</v>
      </c>
      <c r="Z61" s="67">
        <v>0</v>
      </c>
      <c r="AA61" s="68">
        <v>0</v>
      </c>
      <c r="AB61" s="69">
        <v>85000</v>
      </c>
      <c r="AC61" s="70">
        <v>85000</v>
      </c>
      <c r="AD61" s="67">
        <v>0</v>
      </c>
      <c r="AE61" s="68">
        <v>0</v>
      </c>
      <c r="AF61" s="69">
        <v>85000</v>
      </c>
      <c r="AG61" s="70">
        <v>85000</v>
      </c>
      <c r="AH61" s="70">
        <f t="shared" si="11"/>
        <v>0</v>
      </c>
      <c r="AI61" s="70">
        <f t="shared" si="12"/>
        <v>0</v>
      </c>
      <c r="AJ61" s="70">
        <f t="shared" si="13"/>
        <v>0</v>
      </c>
      <c r="AK61" s="70">
        <f t="shared" si="14"/>
        <v>0</v>
      </c>
      <c r="AL61" s="70">
        <f t="shared" si="15"/>
        <v>85000</v>
      </c>
      <c r="AM61" s="70">
        <f t="shared" si="16"/>
        <v>85000</v>
      </c>
      <c r="AN61" s="70">
        <f t="shared" si="17"/>
        <v>85000</v>
      </c>
      <c r="AO61" s="70">
        <f t="shared" si="18"/>
        <v>85000</v>
      </c>
    </row>
    <row r="62" spans="1:41">
      <c r="A62" s="29" t="s">
        <v>445</v>
      </c>
      <c r="B62" s="29" t="s">
        <v>671</v>
      </c>
      <c r="C62" s="107">
        <v>0</v>
      </c>
      <c r="D62" s="108">
        <v>520596</v>
      </c>
      <c r="F62" s="107">
        <v>0</v>
      </c>
      <c r="G62" s="108">
        <v>520596</v>
      </c>
      <c r="I62" s="64">
        <v>0</v>
      </c>
      <c r="J62" s="83">
        <v>0</v>
      </c>
      <c r="K62" s="66">
        <v>520596</v>
      </c>
      <c r="L62" s="251">
        <v>520596</v>
      </c>
      <c r="M62" s="63">
        <v>0</v>
      </c>
      <c r="N62" s="64">
        <v>0</v>
      </c>
      <c r="O62" s="65">
        <v>520596</v>
      </c>
      <c r="P62" s="66">
        <v>520596</v>
      </c>
      <c r="Q62" s="66">
        <f t="shared" si="3"/>
        <v>0</v>
      </c>
      <c r="R62" s="63">
        <f t="shared" si="4"/>
        <v>0</v>
      </c>
      <c r="S62" s="83">
        <f t="shared" si="5"/>
        <v>0</v>
      </c>
      <c r="T62" s="64">
        <f t="shared" si="6"/>
        <v>0</v>
      </c>
      <c r="U62" s="66">
        <f t="shared" si="7"/>
        <v>520596</v>
      </c>
      <c r="V62" s="63">
        <f t="shared" si="8"/>
        <v>520596</v>
      </c>
      <c r="W62" s="83">
        <f t="shared" si="9"/>
        <v>520596</v>
      </c>
      <c r="X62" s="64">
        <f t="shared" si="10"/>
        <v>520596</v>
      </c>
      <c r="Z62" s="67">
        <v>0</v>
      </c>
      <c r="AA62" s="68">
        <v>0</v>
      </c>
      <c r="AB62" s="69">
        <v>520596</v>
      </c>
      <c r="AC62" s="70">
        <v>520596</v>
      </c>
      <c r="AD62" s="67">
        <v>0</v>
      </c>
      <c r="AE62" s="68">
        <v>0</v>
      </c>
      <c r="AF62" s="69">
        <v>520596</v>
      </c>
      <c r="AG62" s="70">
        <v>520596</v>
      </c>
      <c r="AH62" s="70">
        <f t="shared" si="11"/>
        <v>0</v>
      </c>
      <c r="AI62" s="70">
        <f t="shared" si="12"/>
        <v>0</v>
      </c>
      <c r="AJ62" s="70">
        <f t="shared" si="13"/>
        <v>0</v>
      </c>
      <c r="AK62" s="70">
        <f t="shared" si="14"/>
        <v>0</v>
      </c>
      <c r="AL62" s="70">
        <f t="shared" si="15"/>
        <v>520596</v>
      </c>
      <c r="AM62" s="70">
        <f t="shared" si="16"/>
        <v>520596</v>
      </c>
      <c r="AN62" s="70">
        <f t="shared" si="17"/>
        <v>520596</v>
      </c>
      <c r="AO62" s="70">
        <f t="shared" si="18"/>
        <v>520596</v>
      </c>
    </row>
    <row r="63" spans="1:41">
      <c r="A63" s="29" t="s">
        <v>311</v>
      </c>
      <c r="B63" s="29" t="s">
        <v>672</v>
      </c>
      <c r="C63" s="107">
        <v>418773.27</v>
      </c>
      <c r="D63" s="108">
        <v>738000</v>
      </c>
      <c r="F63" s="107">
        <v>425687.75</v>
      </c>
      <c r="G63" s="108">
        <v>760000</v>
      </c>
      <c r="I63" s="64">
        <v>385408.37</v>
      </c>
      <c r="J63" s="83">
        <v>421521.02630000003</v>
      </c>
      <c r="K63" s="66">
        <v>760000</v>
      </c>
      <c r="L63" s="251">
        <v>782000</v>
      </c>
      <c r="M63" s="63">
        <v>421454.68380000012</v>
      </c>
      <c r="N63" s="64">
        <v>431881.57829999994</v>
      </c>
      <c r="O63" s="65">
        <v>805000</v>
      </c>
      <c r="P63" s="66">
        <v>805000</v>
      </c>
      <c r="Q63" s="66">
        <f t="shared" si="3"/>
        <v>394750.54200000002</v>
      </c>
      <c r="R63" s="63">
        <f t="shared" si="4"/>
        <v>411409.48253600002</v>
      </c>
      <c r="S63" s="83">
        <f t="shared" si="5"/>
        <v>421473.25970000011</v>
      </c>
      <c r="T63" s="64">
        <f t="shared" si="6"/>
        <v>428962.04783999996</v>
      </c>
      <c r="U63" s="66">
        <f t="shared" si="7"/>
        <v>749576.4</v>
      </c>
      <c r="V63" s="63">
        <f t="shared" si="8"/>
        <v>771576.4</v>
      </c>
      <c r="W63" s="83">
        <f t="shared" si="9"/>
        <v>794102.6</v>
      </c>
      <c r="X63" s="64">
        <f t="shared" si="10"/>
        <v>805000</v>
      </c>
      <c r="Z63" s="67">
        <v>425687.75</v>
      </c>
      <c r="AA63" s="68">
        <v>454169.23649999994</v>
      </c>
      <c r="AB63" s="69">
        <v>760000</v>
      </c>
      <c r="AC63" s="70">
        <v>782000</v>
      </c>
      <c r="AD63" s="67">
        <v>421454.68380000012</v>
      </c>
      <c r="AE63" s="68">
        <v>431881.57829999994</v>
      </c>
      <c r="AF63" s="69">
        <v>805000</v>
      </c>
      <c r="AG63" s="70">
        <v>805000</v>
      </c>
      <c r="AH63" s="70">
        <f t="shared" si="11"/>
        <v>423751.69559999998</v>
      </c>
      <c r="AI63" s="70">
        <f t="shared" si="12"/>
        <v>446194.42027999996</v>
      </c>
      <c r="AJ63" s="70">
        <f t="shared" si="13"/>
        <v>430614.75855600007</v>
      </c>
      <c r="AK63" s="70">
        <f t="shared" si="14"/>
        <v>428962.04783999996</v>
      </c>
      <c r="AL63" s="70">
        <f t="shared" si="15"/>
        <v>749576.4</v>
      </c>
      <c r="AM63" s="70">
        <f t="shared" si="16"/>
        <v>771576.4</v>
      </c>
      <c r="AN63" s="70">
        <f t="shared" si="17"/>
        <v>794102.6</v>
      </c>
      <c r="AO63" s="70">
        <f t="shared" si="18"/>
        <v>805000</v>
      </c>
    </row>
    <row r="64" spans="1:41">
      <c r="A64" s="29" t="s">
        <v>73</v>
      </c>
      <c r="B64" s="29" t="s">
        <v>673</v>
      </c>
      <c r="C64" s="107">
        <v>0</v>
      </c>
      <c r="D64" s="108">
        <v>1051600</v>
      </c>
      <c r="F64" s="107">
        <v>0</v>
      </c>
      <c r="G64" s="108">
        <v>1074800</v>
      </c>
      <c r="I64" s="64">
        <v>0</v>
      </c>
      <c r="J64" s="83">
        <v>0</v>
      </c>
      <c r="K64" s="66">
        <v>1074800</v>
      </c>
      <c r="L64" s="251">
        <v>1098400</v>
      </c>
      <c r="M64" s="63">
        <v>0</v>
      </c>
      <c r="N64" s="64">
        <v>0</v>
      </c>
      <c r="O64" s="65">
        <v>1120000</v>
      </c>
      <c r="P64" s="66">
        <v>1120000</v>
      </c>
      <c r="Q64" s="66">
        <f t="shared" si="3"/>
        <v>0</v>
      </c>
      <c r="R64" s="63">
        <f t="shared" si="4"/>
        <v>0</v>
      </c>
      <c r="S64" s="83">
        <f t="shared" si="5"/>
        <v>0</v>
      </c>
      <c r="T64" s="64">
        <f t="shared" si="6"/>
        <v>0</v>
      </c>
      <c r="U64" s="66">
        <f t="shared" si="7"/>
        <v>1063807.8400000001</v>
      </c>
      <c r="V64" s="63">
        <f t="shared" si="8"/>
        <v>1087218.3199999998</v>
      </c>
      <c r="W64" s="83">
        <f t="shared" si="9"/>
        <v>1109765.92</v>
      </c>
      <c r="X64" s="64">
        <f t="shared" si="10"/>
        <v>1120000</v>
      </c>
      <c r="Z64" s="67">
        <v>0</v>
      </c>
      <c r="AA64" s="68">
        <v>0</v>
      </c>
      <c r="AB64" s="69">
        <v>1074800</v>
      </c>
      <c r="AC64" s="70">
        <v>1098400</v>
      </c>
      <c r="AD64" s="67">
        <v>0</v>
      </c>
      <c r="AE64" s="68">
        <v>0</v>
      </c>
      <c r="AF64" s="69">
        <v>1120000</v>
      </c>
      <c r="AG64" s="70">
        <v>1120000</v>
      </c>
      <c r="AH64" s="70">
        <f t="shared" si="11"/>
        <v>0</v>
      </c>
      <c r="AI64" s="70">
        <f t="shared" si="12"/>
        <v>0</v>
      </c>
      <c r="AJ64" s="70">
        <f t="shared" si="13"/>
        <v>0</v>
      </c>
      <c r="AK64" s="70">
        <f t="shared" si="14"/>
        <v>0</v>
      </c>
      <c r="AL64" s="70">
        <f t="shared" si="15"/>
        <v>1063807.8400000001</v>
      </c>
      <c r="AM64" s="70">
        <f t="shared" si="16"/>
        <v>1087218.3199999998</v>
      </c>
      <c r="AN64" s="70">
        <f t="shared" si="17"/>
        <v>1109765.92</v>
      </c>
      <c r="AO64" s="70">
        <f t="shared" si="18"/>
        <v>1120000</v>
      </c>
    </row>
    <row r="65" spans="1:41">
      <c r="A65" s="29" t="s">
        <v>475</v>
      </c>
      <c r="B65" s="29" t="s">
        <v>674</v>
      </c>
      <c r="C65" s="107">
        <v>2055951.25</v>
      </c>
      <c r="D65" s="108">
        <v>2000000</v>
      </c>
      <c r="F65" s="107">
        <v>1977145.57</v>
      </c>
      <c r="G65" s="108">
        <v>2205000</v>
      </c>
      <c r="I65" s="64">
        <v>1893541.76</v>
      </c>
      <c r="J65" s="83">
        <v>1886471.7389</v>
      </c>
      <c r="K65" s="66">
        <v>2205000</v>
      </c>
      <c r="L65" s="251">
        <v>2550000</v>
      </c>
      <c r="M65" s="63">
        <v>1842938.1087000002</v>
      </c>
      <c r="N65" s="64">
        <v>1788372.9472180002</v>
      </c>
      <c r="O65" s="65">
        <v>2550000</v>
      </c>
      <c r="P65" s="66">
        <v>2550000</v>
      </c>
      <c r="Q65" s="66">
        <f t="shared" si="3"/>
        <v>1939016.4172</v>
      </c>
      <c r="R65" s="63">
        <f t="shared" si="4"/>
        <v>1888451.3448080001</v>
      </c>
      <c r="S65" s="83">
        <f t="shared" si="5"/>
        <v>1855127.5251560002</v>
      </c>
      <c r="T65" s="64">
        <f t="shared" si="6"/>
        <v>1803651.19243296</v>
      </c>
      <c r="U65" s="66">
        <f t="shared" si="7"/>
        <v>2107871</v>
      </c>
      <c r="V65" s="63">
        <f t="shared" si="8"/>
        <v>2386539</v>
      </c>
      <c r="W65" s="83">
        <f t="shared" si="9"/>
        <v>2550000</v>
      </c>
      <c r="X65" s="64">
        <f t="shared" si="10"/>
        <v>2550000</v>
      </c>
      <c r="Z65" s="67">
        <v>1977145.57</v>
      </c>
      <c r="AA65" s="68">
        <v>2170553.7985999994</v>
      </c>
      <c r="AB65" s="69">
        <v>2205000</v>
      </c>
      <c r="AC65" s="70">
        <v>2550000</v>
      </c>
      <c r="AD65" s="67">
        <v>1842938.1087000002</v>
      </c>
      <c r="AE65" s="68">
        <v>1788372.9472180002</v>
      </c>
      <c r="AF65" s="69">
        <v>2550000</v>
      </c>
      <c r="AG65" s="70">
        <v>2550000</v>
      </c>
      <c r="AH65" s="70">
        <f t="shared" si="11"/>
        <v>1999211.1604000002</v>
      </c>
      <c r="AI65" s="70">
        <f t="shared" si="12"/>
        <v>2116399.4945919998</v>
      </c>
      <c r="AJ65" s="70">
        <f t="shared" si="13"/>
        <v>1934670.5018719998</v>
      </c>
      <c r="AK65" s="70">
        <f t="shared" si="14"/>
        <v>1803651.19243296</v>
      </c>
      <c r="AL65" s="70">
        <f t="shared" si="15"/>
        <v>2107871</v>
      </c>
      <c r="AM65" s="70">
        <f t="shared" si="16"/>
        <v>2386539</v>
      </c>
      <c r="AN65" s="70">
        <f t="shared" si="17"/>
        <v>2550000</v>
      </c>
      <c r="AO65" s="70">
        <f t="shared" si="18"/>
        <v>2550000</v>
      </c>
    </row>
    <row r="66" spans="1:41">
      <c r="A66" s="29" t="s">
        <v>373</v>
      </c>
      <c r="B66" s="29" t="s">
        <v>675</v>
      </c>
      <c r="C66" s="107">
        <v>0</v>
      </c>
      <c r="D66" s="108">
        <v>6000000</v>
      </c>
      <c r="F66" s="107">
        <v>0</v>
      </c>
      <c r="G66" s="108">
        <v>5474012</v>
      </c>
      <c r="I66" s="64">
        <v>0</v>
      </c>
      <c r="J66" s="83">
        <v>0</v>
      </c>
      <c r="K66" s="66">
        <v>5474012</v>
      </c>
      <c r="L66" s="251">
        <v>6500000</v>
      </c>
      <c r="M66" s="63">
        <v>0</v>
      </c>
      <c r="N66" s="64">
        <v>0</v>
      </c>
      <c r="O66" s="65">
        <v>6500000</v>
      </c>
      <c r="P66" s="66">
        <v>6500000</v>
      </c>
      <c r="Q66" s="66">
        <f t="shared" si="3"/>
        <v>0</v>
      </c>
      <c r="R66" s="63">
        <f t="shared" si="4"/>
        <v>0</v>
      </c>
      <c r="S66" s="83">
        <f t="shared" si="5"/>
        <v>0</v>
      </c>
      <c r="T66" s="64">
        <f t="shared" si="6"/>
        <v>0</v>
      </c>
      <c r="U66" s="66">
        <f t="shared" si="7"/>
        <v>5723225.1143999994</v>
      </c>
      <c r="V66" s="63">
        <f t="shared" si="8"/>
        <v>6013886.8856000006</v>
      </c>
      <c r="W66" s="83">
        <f t="shared" si="9"/>
        <v>6500000</v>
      </c>
      <c r="X66" s="64">
        <f t="shared" si="10"/>
        <v>6500000</v>
      </c>
      <c r="Z66" s="67">
        <v>0</v>
      </c>
      <c r="AA66" s="68">
        <v>0</v>
      </c>
      <c r="AB66" s="69">
        <v>5474012</v>
      </c>
      <c r="AC66" s="70">
        <v>6500000</v>
      </c>
      <c r="AD66" s="67">
        <v>0</v>
      </c>
      <c r="AE66" s="68">
        <v>0</v>
      </c>
      <c r="AF66" s="69">
        <v>6500000</v>
      </c>
      <c r="AG66" s="70">
        <v>6500000</v>
      </c>
      <c r="AH66" s="70">
        <f t="shared" si="11"/>
        <v>0</v>
      </c>
      <c r="AI66" s="70">
        <f t="shared" si="12"/>
        <v>0</v>
      </c>
      <c r="AJ66" s="70">
        <f t="shared" si="13"/>
        <v>0</v>
      </c>
      <c r="AK66" s="70">
        <f t="shared" si="14"/>
        <v>0</v>
      </c>
      <c r="AL66" s="70">
        <f t="shared" si="15"/>
        <v>5723225.1143999994</v>
      </c>
      <c r="AM66" s="70">
        <f t="shared" si="16"/>
        <v>6013886.8856000006</v>
      </c>
      <c r="AN66" s="70">
        <f t="shared" si="17"/>
        <v>6500000</v>
      </c>
      <c r="AO66" s="70">
        <f t="shared" si="18"/>
        <v>6500000</v>
      </c>
    </row>
    <row r="67" spans="1:41">
      <c r="A67" s="29" t="s">
        <v>525</v>
      </c>
      <c r="B67" s="29" t="s">
        <v>676</v>
      </c>
      <c r="C67" s="107">
        <v>0</v>
      </c>
      <c r="D67" s="108">
        <v>73302</v>
      </c>
      <c r="F67" s="107">
        <v>0</v>
      </c>
      <c r="G67" s="108">
        <v>137431</v>
      </c>
      <c r="I67" s="64">
        <v>0</v>
      </c>
      <c r="J67" s="83">
        <v>0</v>
      </c>
      <c r="K67" s="66">
        <v>137431</v>
      </c>
      <c r="L67" s="251">
        <v>199779.00400000002</v>
      </c>
      <c r="M67" s="63">
        <v>0</v>
      </c>
      <c r="N67" s="64">
        <v>0</v>
      </c>
      <c r="O67" s="65">
        <v>203974.23400000003</v>
      </c>
      <c r="P67" s="66">
        <v>208461.63800000001</v>
      </c>
      <c r="Q67" s="66">
        <f t="shared" si="3"/>
        <v>0</v>
      </c>
      <c r="R67" s="63">
        <f t="shared" si="4"/>
        <v>0</v>
      </c>
      <c r="S67" s="83">
        <f t="shared" si="5"/>
        <v>0</v>
      </c>
      <c r="T67" s="64">
        <f t="shared" si="6"/>
        <v>0</v>
      </c>
      <c r="U67" s="66">
        <f t="shared" si="7"/>
        <v>107046.67980000001</v>
      </c>
      <c r="V67" s="63">
        <f t="shared" si="8"/>
        <v>170238.51970480001</v>
      </c>
      <c r="W67" s="83">
        <f t="shared" si="9"/>
        <v>201986.53402600001</v>
      </c>
      <c r="X67" s="64">
        <f t="shared" si="10"/>
        <v>206335.50598480002</v>
      </c>
      <c r="Z67" s="67">
        <v>0</v>
      </c>
      <c r="AA67" s="68">
        <v>0</v>
      </c>
      <c r="AB67" s="69">
        <v>137431</v>
      </c>
      <c r="AC67" s="70">
        <v>199779.00400000002</v>
      </c>
      <c r="AD67" s="67">
        <v>0</v>
      </c>
      <c r="AE67" s="68">
        <v>0</v>
      </c>
      <c r="AF67" s="69">
        <v>203974.23400000003</v>
      </c>
      <c r="AG67" s="70">
        <v>208461.63800000001</v>
      </c>
      <c r="AH67" s="70">
        <f t="shared" si="11"/>
        <v>0</v>
      </c>
      <c r="AI67" s="70">
        <f t="shared" si="12"/>
        <v>0</v>
      </c>
      <c r="AJ67" s="70">
        <f t="shared" si="13"/>
        <v>0</v>
      </c>
      <c r="AK67" s="70">
        <f t="shared" si="14"/>
        <v>0</v>
      </c>
      <c r="AL67" s="70">
        <f t="shared" si="15"/>
        <v>107046.67980000001</v>
      </c>
      <c r="AM67" s="70">
        <f t="shared" si="16"/>
        <v>170238.51970480001</v>
      </c>
      <c r="AN67" s="70">
        <f t="shared" si="17"/>
        <v>201986.53402600001</v>
      </c>
      <c r="AO67" s="70">
        <f t="shared" si="18"/>
        <v>206335.50598480002</v>
      </c>
    </row>
    <row r="68" spans="1:41">
      <c r="A68" s="29" t="s">
        <v>469</v>
      </c>
      <c r="B68" s="29" t="s">
        <v>926</v>
      </c>
      <c r="C68" s="107">
        <v>210627.47</v>
      </c>
      <c r="D68" s="108">
        <v>9945273</v>
      </c>
      <c r="F68" s="107">
        <v>0</v>
      </c>
      <c r="G68" s="108">
        <v>10939800</v>
      </c>
      <c r="I68" s="64">
        <v>0</v>
      </c>
      <c r="J68" s="83">
        <v>0</v>
      </c>
      <c r="K68" s="66">
        <v>10939800</v>
      </c>
      <c r="L68" s="251">
        <v>10415135.812999999</v>
      </c>
      <c r="M68" s="63">
        <v>0</v>
      </c>
      <c r="N68" s="64">
        <v>0</v>
      </c>
      <c r="O68" s="65">
        <v>10776099.8595</v>
      </c>
      <c r="P68" s="66">
        <v>11203010.7805</v>
      </c>
      <c r="Q68" s="66">
        <f t="shared" si="3"/>
        <v>58975.691600000006</v>
      </c>
      <c r="R68" s="63">
        <f t="shared" si="4"/>
        <v>0</v>
      </c>
      <c r="S68" s="83">
        <f t="shared" si="5"/>
        <v>0</v>
      </c>
      <c r="T68" s="64">
        <f t="shared" si="6"/>
        <v>0</v>
      </c>
      <c r="U68" s="66">
        <f t="shared" si="7"/>
        <v>10468593.1074</v>
      </c>
      <c r="V68" s="63">
        <f t="shared" si="8"/>
        <v>10663721.7048006</v>
      </c>
      <c r="W68" s="83">
        <f t="shared" si="9"/>
        <v>10605075.0942683</v>
      </c>
      <c r="X68" s="64">
        <f t="shared" si="10"/>
        <v>11000740.386130199</v>
      </c>
      <c r="Z68" s="67">
        <v>0</v>
      </c>
      <c r="AA68" s="68">
        <v>0</v>
      </c>
      <c r="AB68" s="69">
        <v>10939800</v>
      </c>
      <c r="AC68" s="70">
        <v>11375715.868399998</v>
      </c>
      <c r="AD68" s="67">
        <v>0</v>
      </c>
      <c r="AE68" s="68">
        <v>0</v>
      </c>
      <c r="AF68" s="69">
        <v>10776099.8595</v>
      </c>
      <c r="AG68" s="70">
        <v>11203010.7805</v>
      </c>
      <c r="AH68" s="70">
        <f t="shared" si="11"/>
        <v>58975.691600000006</v>
      </c>
      <c r="AI68" s="70">
        <f t="shared" si="12"/>
        <v>0</v>
      </c>
      <c r="AJ68" s="70">
        <f t="shared" si="13"/>
        <v>0</v>
      </c>
      <c r="AK68" s="70">
        <f t="shared" si="14"/>
        <v>0</v>
      </c>
      <c r="AL68" s="70">
        <f t="shared" si="15"/>
        <v>10468593.1074</v>
      </c>
      <c r="AM68" s="70">
        <f t="shared" si="16"/>
        <v>11169178.929952079</v>
      </c>
      <c r="AN68" s="70">
        <f t="shared" si="17"/>
        <v>11060197.924516819</v>
      </c>
      <c r="AO68" s="70">
        <f t="shared" si="18"/>
        <v>11000740.386130199</v>
      </c>
    </row>
    <row r="69" spans="1:41">
      <c r="A69" s="29" t="s">
        <v>587</v>
      </c>
      <c r="B69" s="29" t="s">
        <v>873</v>
      </c>
      <c r="C69" s="107">
        <v>2247819.9900000002</v>
      </c>
      <c r="D69" s="108">
        <v>3746000</v>
      </c>
      <c r="F69" s="107">
        <v>2058329.88</v>
      </c>
      <c r="G69" s="108">
        <v>4155352</v>
      </c>
      <c r="I69" s="64">
        <v>1930335.86</v>
      </c>
      <c r="J69" s="83">
        <v>2059089.0707999996</v>
      </c>
      <c r="K69" s="66">
        <v>4155352</v>
      </c>
      <c r="L69" s="251">
        <v>4464999</v>
      </c>
      <c r="M69" s="63">
        <v>1964377.4294999994</v>
      </c>
      <c r="N69" s="64">
        <v>1899011.1402000003</v>
      </c>
      <c r="O69" s="65">
        <v>4753174</v>
      </c>
      <c r="P69" s="66">
        <v>4753174</v>
      </c>
      <c r="Q69" s="66">
        <f t="shared" si="3"/>
        <v>2019231.4164</v>
      </c>
      <c r="R69" s="63">
        <f t="shared" si="4"/>
        <v>2023038.1717759997</v>
      </c>
      <c r="S69" s="83">
        <f t="shared" si="5"/>
        <v>1990896.6890639996</v>
      </c>
      <c r="T69" s="64">
        <f t="shared" si="6"/>
        <v>1917313.701204</v>
      </c>
      <c r="U69" s="66">
        <f t="shared" si="7"/>
        <v>3961401.0224000001</v>
      </c>
      <c r="V69" s="63">
        <f t="shared" si="8"/>
        <v>4318288.2513999995</v>
      </c>
      <c r="W69" s="83">
        <f t="shared" si="9"/>
        <v>4616636.6850000005</v>
      </c>
      <c r="X69" s="64">
        <f t="shared" si="10"/>
        <v>4753174</v>
      </c>
      <c r="Z69" s="67">
        <v>2058329.88</v>
      </c>
      <c r="AA69" s="68">
        <v>2136730.7067</v>
      </c>
      <c r="AB69" s="69">
        <v>4155352</v>
      </c>
      <c r="AC69" s="70">
        <v>4464999</v>
      </c>
      <c r="AD69" s="67">
        <v>1964377.4294999994</v>
      </c>
      <c r="AE69" s="68">
        <v>1899011.1402000003</v>
      </c>
      <c r="AF69" s="69">
        <v>4753174</v>
      </c>
      <c r="AG69" s="70">
        <v>4753174</v>
      </c>
      <c r="AH69" s="70">
        <f t="shared" si="11"/>
        <v>2111387.1107999999</v>
      </c>
      <c r="AI69" s="70">
        <f t="shared" si="12"/>
        <v>2114778.4752239999</v>
      </c>
      <c r="AJ69" s="70">
        <f t="shared" si="13"/>
        <v>2012636.3471159996</v>
      </c>
      <c r="AK69" s="70">
        <f t="shared" si="14"/>
        <v>1917313.701204</v>
      </c>
      <c r="AL69" s="70">
        <f t="shared" si="15"/>
        <v>3961401.0224000001</v>
      </c>
      <c r="AM69" s="70">
        <f t="shared" si="16"/>
        <v>4318288.2513999995</v>
      </c>
      <c r="AN69" s="70">
        <f t="shared" si="17"/>
        <v>4616636.6850000005</v>
      </c>
      <c r="AO69" s="70">
        <f t="shared" si="18"/>
        <v>4753174</v>
      </c>
    </row>
    <row r="70" spans="1:41">
      <c r="A70" s="29" t="s">
        <v>95</v>
      </c>
      <c r="B70" s="29" t="s">
        <v>677</v>
      </c>
      <c r="C70" s="107">
        <v>2191993.14</v>
      </c>
      <c r="D70" s="108">
        <v>10523103</v>
      </c>
      <c r="F70" s="107">
        <v>1662623.37</v>
      </c>
      <c r="G70" s="108">
        <v>11049000</v>
      </c>
      <c r="I70" s="64">
        <v>1365171.76</v>
      </c>
      <c r="J70" s="83">
        <v>1248674.9428000005</v>
      </c>
      <c r="K70" s="66">
        <v>11049000</v>
      </c>
      <c r="L70" s="251">
        <v>11602000</v>
      </c>
      <c r="M70" s="63">
        <v>866175.77220000001</v>
      </c>
      <c r="N70" s="64">
        <v>141997.32300000059</v>
      </c>
      <c r="O70" s="65">
        <v>12182000</v>
      </c>
      <c r="P70" s="66">
        <v>12791000</v>
      </c>
      <c r="Q70" s="66">
        <f t="shared" si="3"/>
        <v>1596681.7464000001</v>
      </c>
      <c r="R70" s="63">
        <f t="shared" si="4"/>
        <v>1281294.0516160005</v>
      </c>
      <c r="S70" s="83">
        <f t="shared" si="5"/>
        <v>973275.53996800014</v>
      </c>
      <c r="T70" s="64">
        <f t="shared" si="6"/>
        <v>344767.28877600044</v>
      </c>
      <c r="U70" s="66">
        <f t="shared" si="7"/>
        <v>10799830.001399999</v>
      </c>
      <c r="V70" s="63">
        <f t="shared" si="8"/>
        <v>11339988.600000001</v>
      </c>
      <c r="W70" s="83">
        <f t="shared" si="9"/>
        <v>11907196</v>
      </c>
      <c r="X70" s="64">
        <f t="shared" si="10"/>
        <v>12502455.800000001</v>
      </c>
      <c r="Z70" s="67">
        <v>1662623.37</v>
      </c>
      <c r="AA70" s="68">
        <v>1613436.0943000007</v>
      </c>
      <c r="AB70" s="69">
        <v>11049000</v>
      </c>
      <c r="AC70" s="70">
        <v>11602000</v>
      </c>
      <c r="AD70" s="67">
        <v>866175.77220000001</v>
      </c>
      <c r="AE70" s="68">
        <v>141997.32300000059</v>
      </c>
      <c r="AF70" s="69">
        <v>12182000</v>
      </c>
      <c r="AG70" s="70">
        <v>12791000</v>
      </c>
      <c r="AH70" s="70">
        <f t="shared" si="11"/>
        <v>1810846.9056000002</v>
      </c>
      <c r="AI70" s="70">
        <f t="shared" si="12"/>
        <v>1627208.5314960005</v>
      </c>
      <c r="AJ70" s="70">
        <f t="shared" si="13"/>
        <v>1075408.6623880002</v>
      </c>
      <c r="AK70" s="70">
        <f t="shared" si="14"/>
        <v>344767.28877600044</v>
      </c>
      <c r="AL70" s="70">
        <f t="shared" si="15"/>
        <v>10799830.001399999</v>
      </c>
      <c r="AM70" s="70">
        <f t="shared" si="16"/>
        <v>11339988.600000001</v>
      </c>
      <c r="AN70" s="70">
        <f t="shared" si="17"/>
        <v>11907196</v>
      </c>
      <c r="AO70" s="70">
        <f t="shared" si="18"/>
        <v>12502455.800000001</v>
      </c>
    </row>
    <row r="71" spans="1:41">
      <c r="A71" s="29" t="s">
        <v>241</v>
      </c>
      <c r="B71" s="29" t="s">
        <v>678</v>
      </c>
      <c r="C71" s="107">
        <v>0</v>
      </c>
      <c r="D71" s="108">
        <v>254441</v>
      </c>
      <c r="F71" s="107">
        <v>0</v>
      </c>
      <c r="G71" s="108">
        <v>249656</v>
      </c>
      <c r="I71" s="64">
        <v>0</v>
      </c>
      <c r="J71" s="83">
        <v>0</v>
      </c>
      <c r="K71" s="66">
        <v>249656</v>
      </c>
      <c r="L71" s="251">
        <v>247392.04039999997</v>
      </c>
      <c r="M71" s="63">
        <v>0</v>
      </c>
      <c r="N71" s="64">
        <v>0</v>
      </c>
      <c r="O71" s="65">
        <v>252587.1134</v>
      </c>
      <c r="P71" s="66">
        <v>258143.9938</v>
      </c>
      <c r="Q71" s="66">
        <f t="shared" si="3"/>
        <v>0</v>
      </c>
      <c r="R71" s="63">
        <f t="shared" si="4"/>
        <v>0</v>
      </c>
      <c r="S71" s="83">
        <f t="shared" si="5"/>
        <v>0</v>
      </c>
      <c r="T71" s="64">
        <f t="shared" si="6"/>
        <v>0</v>
      </c>
      <c r="U71" s="66">
        <f t="shared" si="7"/>
        <v>251923.133</v>
      </c>
      <c r="V71" s="63">
        <f t="shared" si="8"/>
        <v>248464.70445848</v>
      </c>
      <c r="W71" s="83">
        <f t="shared" si="9"/>
        <v>250125.68781259999</v>
      </c>
      <c r="X71" s="64">
        <f t="shared" si="10"/>
        <v>255511.14386648001</v>
      </c>
      <c r="Z71" s="67">
        <v>0</v>
      </c>
      <c r="AA71" s="68">
        <v>0</v>
      </c>
      <c r="AB71" s="69">
        <v>249656</v>
      </c>
      <c r="AC71" s="70">
        <v>269845.58839999995</v>
      </c>
      <c r="AD71" s="67">
        <v>0</v>
      </c>
      <c r="AE71" s="68">
        <v>0</v>
      </c>
      <c r="AF71" s="69">
        <v>252587.1134</v>
      </c>
      <c r="AG71" s="70">
        <v>258143.9938</v>
      </c>
      <c r="AH71" s="70">
        <f t="shared" si="11"/>
        <v>0</v>
      </c>
      <c r="AI71" s="70">
        <f t="shared" si="12"/>
        <v>0</v>
      </c>
      <c r="AJ71" s="70">
        <f t="shared" si="13"/>
        <v>0</v>
      </c>
      <c r="AK71" s="70">
        <f t="shared" si="14"/>
        <v>0</v>
      </c>
      <c r="AL71" s="70">
        <f t="shared" si="15"/>
        <v>251923.133</v>
      </c>
      <c r="AM71" s="70">
        <f t="shared" si="16"/>
        <v>260279.76141607997</v>
      </c>
      <c r="AN71" s="70">
        <f t="shared" si="17"/>
        <v>260764.17885499998</v>
      </c>
      <c r="AO71" s="70">
        <f t="shared" si="18"/>
        <v>255511.14386648001</v>
      </c>
    </row>
    <row r="72" spans="1:41">
      <c r="A72" s="29" t="s">
        <v>385</v>
      </c>
      <c r="B72" s="29" t="s">
        <v>679</v>
      </c>
      <c r="C72" s="107">
        <v>180917.09</v>
      </c>
      <c r="D72" s="108">
        <v>5745000</v>
      </c>
      <c r="F72" s="107">
        <v>0</v>
      </c>
      <c r="G72" s="108">
        <v>5251891</v>
      </c>
      <c r="I72" s="64">
        <v>0</v>
      </c>
      <c r="J72" s="83">
        <v>0</v>
      </c>
      <c r="K72" s="66">
        <v>5251891</v>
      </c>
      <c r="L72" s="251">
        <v>5237520.3637999995</v>
      </c>
      <c r="M72" s="63">
        <v>0</v>
      </c>
      <c r="N72" s="64">
        <v>0</v>
      </c>
      <c r="O72" s="65">
        <v>5419042.8447000002</v>
      </c>
      <c r="P72" s="66">
        <v>5633720.8234999999</v>
      </c>
      <c r="Q72" s="66">
        <f t="shared" si="3"/>
        <v>50656.785200000006</v>
      </c>
      <c r="R72" s="63">
        <f t="shared" si="4"/>
        <v>0</v>
      </c>
      <c r="S72" s="83">
        <f t="shared" si="5"/>
        <v>0</v>
      </c>
      <c r="T72" s="64">
        <f t="shared" si="6"/>
        <v>0</v>
      </c>
      <c r="U72" s="66">
        <f t="shared" si="7"/>
        <v>5485526.0441999994</v>
      </c>
      <c r="V72" s="63">
        <f t="shared" si="8"/>
        <v>5244329.1712315604</v>
      </c>
      <c r="W72" s="83">
        <f t="shared" si="9"/>
        <v>5333037.4932495803</v>
      </c>
      <c r="X72" s="64">
        <f t="shared" si="10"/>
        <v>5532006.3971445598</v>
      </c>
      <c r="Z72" s="67">
        <v>0</v>
      </c>
      <c r="AA72" s="68">
        <v>0</v>
      </c>
      <c r="AB72" s="69">
        <v>5251891</v>
      </c>
      <c r="AC72" s="70">
        <v>5597122.5709999995</v>
      </c>
      <c r="AD72" s="67">
        <v>0</v>
      </c>
      <c r="AE72" s="68">
        <v>0</v>
      </c>
      <c r="AF72" s="69">
        <v>5419042.8447000002</v>
      </c>
      <c r="AG72" s="70">
        <v>5633720.8234999999</v>
      </c>
      <c r="AH72" s="70">
        <f t="shared" si="11"/>
        <v>50656.785200000006</v>
      </c>
      <c r="AI72" s="70">
        <f t="shared" si="12"/>
        <v>0</v>
      </c>
      <c r="AJ72" s="70">
        <f t="shared" si="13"/>
        <v>0</v>
      </c>
      <c r="AK72" s="70">
        <f t="shared" si="14"/>
        <v>0</v>
      </c>
      <c r="AL72" s="70">
        <f t="shared" si="15"/>
        <v>5485526.0441999994</v>
      </c>
      <c r="AM72" s="70">
        <f t="shared" si="16"/>
        <v>5433551.8526601996</v>
      </c>
      <c r="AN72" s="70">
        <f t="shared" si="17"/>
        <v>5503417.0190209392</v>
      </c>
      <c r="AO72" s="70">
        <f t="shared" si="18"/>
        <v>5532006.3971445598</v>
      </c>
    </row>
    <row r="73" spans="1:41">
      <c r="A73" s="29" t="s">
        <v>429</v>
      </c>
      <c r="B73" s="29" t="s">
        <v>680</v>
      </c>
      <c r="C73" s="107">
        <v>0</v>
      </c>
      <c r="D73" s="108">
        <v>54194690</v>
      </c>
      <c r="F73" s="107">
        <v>0</v>
      </c>
      <c r="G73" s="108">
        <v>57068976</v>
      </c>
      <c r="I73" s="64">
        <v>0</v>
      </c>
      <c r="J73" s="83">
        <v>0</v>
      </c>
      <c r="K73" s="66">
        <v>57068976</v>
      </c>
      <c r="L73" s="251">
        <v>58566136.193799995</v>
      </c>
      <c r="M73" s="63">
        <v>0</v>
      </c>
      <c r="N73" s="64">
        <v>0</v>
      </c>
      <c r="O73" s="65">
        <v>60595836.607700005</v>
      </c>
      <c r="P73" s="66">
        <v>62996476.211900003</v>
      </c>
      <c r="Q73" s="66">
        <f t="shared" ref="Q73:Q136" si="19">(0.28*C73)+(0.72*I73)</f>
        <v>0</v>
      </c>
      <c r="R73" s="63">
        <f t="shared" ref="R73:R136" si="20">(0.28*I73)+(0.72*J73)</f>
        <v>0</v>
      </c>
      <c r="S73" s="83">
        <f t="shared" ref="S73:S136" si="21">(0.28*J73)+(0.72*M73)</f>
        <v>0</v>
      </c>
      <c r="T73" s="64">
        <f t="shared" ref="T73:T136" si="22">(0.28*M73)+(0.72*N73)</f>
        <v>0</v>
      </c>
      <c r="U73" s="66">
        <f t="shared" ref="U73:U136" si="23">(0.4738*D73)+(0.5262*G73)</f>
        <v>55707139.293200001</v>
      </c>
      <c r="V73" s="63">
        <f t="shared" ref="V73:V136" si="24">(0.4738*G73)+(0.5262*L73)</f>
        <v>57856781.693977557</v>
      </c>
      <c r="W73" s="83">
        <f t="shared" ref="W73:W136" si="25">(0.4738*L73)+(0.5262*O73)</f>
        <v>59634164.551594183</v>
      </c>
      <c r="X73" s="64">
        <f t="shared" ref="X73:X136" si="26">(0.4738*O73)+(0.5262*P73)</f>
        <v>61859053.167430043</v>
      </c>
      <c r="Z73" s="67">
        <v>0</v>
      </c>
      <c r="AA73" s="68">
        <v>0</v>
      </c>
      <c r="AB73" s="69">
        <v>57068976</v>
      </c>
      <c r="AC73" s="70">
        <v>59922445.639399998</v>
      </c>
      <c r="AD73" s="67">
        <v>0</v>
      </c>
      <c r="AE73" s="68">
        <v>0</v>
      </c>
      <c r="AF73" s="69">
        <v>60595836.607700005</v>
      </c>
      <c r="AG73" s="70">
        <v>62996476.211900003</v>
      </c>
      <c r="AH73" s="70">
        <f t="shared" ref="AH73:AH136" si="27">(0.28*C73)+(0.72*Z73)</f>
        <v>0</v>
      </c>
      <c r="AI73" s="70">
        <f t="shared" ref="AI73:AI136" si="28">(0.28*Z73)+(0.72*AA73)</f>
        <v>0</v>
      </c>
      <c r="AJ73" s="70">
        <f t="shared" ref="AJ73:AJ136" si="29">(0.28*AA73)+(0.72*AD73)</f>
        <v>0</v>
      </c>
      <c r="AK73" s="70">
        <f t="shared" ref="AK73:AK136" si="30">(0.28*AD73)+(0.72*AE73)</f>
        <v>0</v>
      </c>
      <c r="AL73" s="70">
        <f t="shared" ref="AL73:AL136" si="31">(0.4738*D73)+(0.5262*G73)</f>
        <v>55707139.293200001</v>
      </c>
      <c r="AM73" s="70">
        <f t="shared" ref="AM73:AM136" si="32">(0.4738*G73)+(0.5262*AC73)</f>
        <v>58570471.724252284</v>
      </c>
      <c r="AN73" s="70">
        <f t="shared" ref="AN73:AN136" si="33">(0.4738*AC73)+(0.5262*AF73)</f>
        <v>60276783.966919459</v>
      </c>
      <c r="AO73" s="70">
        <f t="shared" ref="AO73:AO136" si="34">(0.4738*AF73)+(0.5262*AG73)</f>
        <v>61859053.167430043</v>
      </c>
    </row>
    <row r="74" spans="1:41">
      <c r="A74" s="29" t="s">
        <v>245</v>
      </c>
      <c r="B74" s="29" t="s">
        <v>681</v>
      </c>
      <c r="C74" s="107">
        <v>211961.1</v>
      </c>
      <c r="D74" s="108">
        <v>4741027</v>
      </c>
      <c r="F74" s="107">
        <v>0</v>
      </c>
      <c r="G74" s="108">
        <v>4859552</v>
      </c>
      <c r="I74" s="64">
        <v>0</v>
      </c>
      <c r="J74" s="83">
        <v>0</v>
      </c>
      <c r="K74" s="66">
        <v>4859552</v>
      </c>
      <c r="L74" s="251">
        <v>4859552</v>
      </c>
      <c r="M74" s="63">
        <v>0</v>
      </c>
      <c r="N74" s="64">
        <v>0</v>
      </c>
      <c r="O74" s="65">
        <v>4859552</v>
      </c>
      <c r="P74" s="66">
        <v>4859552</v>
      </c>
      <c r="Q74" s="66">
        <f t="shared" si="19"/>
        <v>59349.108000000007</v>
      </c>
      <c r="R74" s="63">
        <f t="shared" si="20"/>
        <v>0</v>
      </c>
      <c r="S74" s="83">
        <f t="shared" si="21"/>
        <v>0</v>
      </c>
      <c r="T74" s="64">
        <f t="shared" si="22"/>
        <v>0</v>
      </c>
      <c r="U74" s="66">
        <f t="shared" si="23"/>
        <v>4803394.8550000004</v>
      </c>
      <c r="V74" s="63">
        <f t="shared" si="24"/>
        <v>4859552</v>
      </c>
      <c r="W74" s="83">
        <f t="shared" si="25"/>
        <v>4859552</v>
      </c>
      <c r="X74" s="64">
        <f t="shared" si="26"/>
        <v>4859552</v>
      </c>
      <c r="Z74" s="67">
        <v>0</v>
      </c>
      <c r="AA74" s="68">
        <v>0</v>
      </c>
      <c r="AB74" s="69">
        <v>4859552</v>
      </c>
      <c r="AC74" s="70">
        <v>4859552</v>
      </c>
      <c r="AD74" s="67">
        <v>0</v>
      </c>
      <c r="AE74" s="68">
        <v>0</v>
      </c>
      <c r="AF74" s="69">
        <v>4859552</v>
      </c>
      <c r="AG74" s="70">
        <v>4859552</v>
      </c>
      <c r="AH74" s="70">
        <f t="shared" si="27"/>
        <v>59349.108000000007</v>
      </c>
      <c r="AI74" s="70">
        <f t="shared" si="28"/>
        <v>0</v>
      </c>
      <c r="AJ74" s="70">
        <f t="shared" si="29"/>
        <v>0</v>
      </c>
      <c r="AK74" s="70">
        <f t="shared" si="30"/>
        <v>0</v>
      </c>
      <c r="AL74" s="70">
        <f t="shared" si="31"/>
        <v>4803394.8550000004</v>
      </c>
      <c r="AM74" s="70">
        <f t="shared" si="32"/>
        <v>4859552</v>
      </c>
      <c r="AN74" s="70">
        <f t="shared" si="33"/>
        <v>4859552</v>
      </c>
      <c r="AO74" s="70">
        <f t="shared" si="34"/>
        <v>4859552</v>
      </c>
    </row>
    <row r="75" spans="1:41">
      <c r="A75" s="29" t="s">
        <v>151</v>
      </c>
      <c r="B75" s="29" t="s">
        <v>682</v>
      </c>
      <c r="C75" s="107">
        <v>810545.64</v>
      </c>
      <c r="D75" s="108">
        <v>2643570</v>
      </c>
      <c r="F75" s="107">
        <v>676350.22</v>
      </c>
      <c r="G75" s="108">
        <v>2775749</v>
      </c>
      <c r="I75" s="64">
        <v>538764.26</v>
      </c>
      <c r="J75" s="83">
        <v>443541.77919999999</v>
      </c>
      <c r="K75" s="66">
        <v>2775749</v>
      </c>
      <c r="L75" s="251">
        <v>2775749</v>
      </c>
      <c r="M75" s="63">
        <v>401148.22259999998</v>
      </c>
      <c r="N75" s="64">
        <v>367388.43660000025</v>
      </c>
      <c r="O75" s="65">
        <v>2775749</v>
      </c>
      <c r="P75" s="66">
        <v>2775749</v>
      </c>
      <c r="Q75" s="66">
        <f t="shared" si="19"/>
        <v>614863.04639999999</v>
      </c>
      <c r="R75" s="63">
        <f t="shared" si="20"/>
        <v>470204.07382399996</v>
      </c>
      <c r="S75" s="83">
        <f t="shared" si="21"/>
        <v>413018.41844799998</v>
      </c>
      <c r="T75" s="64">
        <f t="shared" si="22"/>
        <v>376841.17668000015</v>
      </c>
      <c r="U75" s="66">
        <f t="shared" si="23"/>
        <v>2713122.5898000002</v>
      </c>
      <c r="V75" s="63">
        <f t="shared" si="24"/>
        <v>2775749</v>
      </c>
      <c r="W75" s="83">
        <f t="shared" si="25"/>
        <v>2775749</v>
      </c>
      <c r="X75" s="64">
        <f t="shared" si="26"/>
        <v>2775749</v>
      </c>
      <c r="Z75" s="67">
        <v>676350.22</v>
      </c>
      <c r="AA75" s="68">
        <v>945770.01379999961</v>
      </c>
      <c r="AB75" s="69">
        <v>2775749</v>
      </c>
      <c r="AC75" s="70">
        <v>2775749</v>
      </c>
      <c r="AD75" s="67">
        <v>401148.22259999998</v>
      </c>
      <c r="AE75" s="68">
        <v>367388.43660000025</v>
      </c>
      <c r="AF75" s="69">
        <v>2775749</v>
      </c>
      <c r="AG75" s="70">
        <v>2775749</v>
      </c>
      <c r="AH75" s="70">
        <f t="shared" si="27"/>
        <v>713924.93759999995</v>
      </c>
      <c r="AI75" s="70">
        <f t="shared" si="28"/>
        <v>870332.47153599968</v>
      </c>
      <c r="AJ75" s="70">
        <f t="shared" si="29"/>
        <v>553642.32413599989</v>
      </c>
      <c r="AK75" s="70">
        <f t="shared" si="30"/>
        <v>376841.17668000015</v>
      </c>
      <c r="AL75" s="70">
        <f t="shared" si="31"/>
        <v>2713122.5898000002</v>
      </c>
      <c r="AM75" s="70">
        <f t="shared" si="32"/>
        <v>2775749</v>
      </c>
      <c r="AN75" s="70">
        <f t="shared" si="33"/>
        <v>2775749</v>
      </c>
      <c r="AO75" s="70">
        <f t="shared" si="34"/>
        <v>2775749</v>
      </c>
    </row>
    <row r="76" spans="1:41">
      <c r="A76" s="29" t="s">
        <v>573</v>
      </c>
      <c r="B76" s="29" t="s">
        <v>874</v>
      </c>
      <c r="C76" s="107">
        <v>0</v>
      </c>
      <c r="D76" s="108">
        <v>211545</v>
      </c>
      <c r="F76" s="107">
        <v>0</v>
      </c>
      <c r="G76" s="108">
        <v>220000</v>
      </c>
      <c r="I76" s="64">
        <v>0</v>
      </c>
      <c r="J76" s="83">
        <v>0</v>
      </c>
      <c r="K76" s="66">
        <v>220000</v>
      </c>
      <c r="L76" s="251">
        <v>229774.64119999995</v>
      </c>
      <c r="M76" s="63">
        <v>0</v>
      </c>
      <c r="N76" s="64">
        <v>0</v>
      </c>
      <c r="O76" s="65">
        <v>234599.76019999999</v>
      </c>
      <c r="P76" s="66">
        <v>239760.92139999999</v>
      </c>
      <c r="Q76" s="66">
        <f t="shared" si="19"/>
        <v>0</v>
      </c>
      <c r="R76" s="63">
        <f t="shared" si="20"/>
        <v>0</v>
      </c>
      <c r="S76" s="83">
        <f t="shared" si="21"/>
        <v>0</v>
      </c>
      <c r="T76" s="64">
        <f t="shared" si="22"/>
        <v>0</v>
      </c>
      <c r="U76" s="66">
        <f t="shared" si="23"/>
        <v>215994.02100000001</v>
      </c>
      <c r="V76" s="63">
        <f t="shared" si="24"/>
        <v>225143.41619943996</v>
      </c>
      <c r="W76" s="83">
        <f t="shared" si="25"/>
        <v>232313.61881779996</v>
      </c>
      <c r="X76" s="64">
        <f t="shared" si="26"/>
        <v>237315.56322344</v>
      </c>
      <c r="Z76" s="67">
        <v>0</v>
      </c>
      <c r="AA76" s="68">
        <v>0</v>
      </c>
      <c r="AB76" s="69">
        <v>220000</v>
      </c>
      <c r="AC76" s="70">
        <v>231760.9166</v>
      </c>
      <c r="AD76" s="67">
        <v>0</v>
      </c>
      <c r="AE76" s="68">
        <v>0</v>
      </c>
      <c r="AF76" s="69">
        <v>234599.76019999999</v>
      </c>
      <c r="AG76" s="70">
        <v>239760.92139999999</v>
      </c>
      <c r="AH76" s="70">
        <f t="shared" si="27"/>
        <v>0</v>
      </c>
      <c r="AI76" s="70">
        <f t="shared" si="28"/>
        <v>0</v>
      </c>
      <c r="AJ76" s="70">
        <f t="shared" si="29"/>
        <v>0</v>
      </c>
      <c r="AK76" s="70">
        <f t="shared" si="30"/>
        <v>0</v>
      </c>
      <c r="AL76" s="70">
        <f t="shared" si="31"/>
        <v>215994.02100000001</v>
      </c>
      <c r="AM76" s="70">
        <f t="shared" si="32"/>
        <v>226188.59431492002</v>
      </c>
      <c r="AN76" s="70">
        <f t="shared" si="33"/>
        <v>233254.71610232</v>
      </c>
      <c r="AO76" s="70">
        <f t="shared" si="34"/>
        <v>237315.56322344</v>
      </c>
    </row>
    <row r="77" spans="1:41">
      <c r="A77" s="29" t="s">
        <v>33</v>
      </c>
      <c r="B77" s="29" t="s">
        <v>683</v>
      </c>
      <c r="C77" s="107">
        <v>0</v>
      </c>
      <c r="D77" s="108">
        <v>485000</v>
      </c>
      <c r="F77" s="107">
        <v>0</v>
      </c>
      <c r="G77" s="108">
        <v>500000</v>
      </c>
      <c r="I77" s="64">
        <v>0</v>
      </c>
      <c r="J77" s="83">
        <v>0</v>
      </c>
      <c r="K77" s="66">
        <v>500000</v>
      </c>
      <c r="L77" s="251">
        <v>500000</v>
      </c>
      <c r="M77" s="63">
        <v>0</v>
      </c>
      <c r="N77" s="64">
        <v>0</v>
      </c>
      <c r="O77" s="65">
        <v>515000</v>
      </c>
      <c r="P77" s="66">
        <v>515000</v>
      </c>
      <c r="Q77" s="66">
        <f t="shared" si="19"/>
        <v>0</v>
      </c>
      <c r="R77" s="63">
        <f t="shared" si="20"/>
        <v>0</v>
      </c>
      <c r="S77" s="83">
        <f t="shared" si="21"/>
        <v>0</v>
      </c>
      <c r="T77" s="64">
        <f t="shared" si="22"/>
        <v>0</v>
      </c>
      <c r="U77" s="66">
        <f t="shared" si="23"/>
        <v>492893</v>
      </c>
      <c r="V77" s="63">
        <f t="shared" si="24"/>
        <v>500000</v>
      </c>
      <c r="W77" s="83">
        <f t="shared" si="25"/>
        <v>507893</v>
      </c>
      <c r="X77" s="64">
        <f t="shared" si="26"/>
        <v>515000</v>
      </c>
      <c r="Z77" s="67">
        <v>0</v>
      </c>
      <c r="AA77" s="68">
        <v>0</v>
      </c>
      <c r="AB77" s="69">
        <v>500000</v>
      </c>
      <c r="AC77" s="70">
        <v>500000</v>
      </c>
      <c r="AD77" s="67">
        <v>0</v>
      </c>
      <c r="AE77" s="68">
        <v>0</v>
      </c>
      <c r="AF77" s="69">
        <v>515000</v>
      </c>
      <c r="AG77" s="70">
        <v>515000</v>
      </c>
      <c r="AH77" s="70">
        <f t="shared" si="27"/>
        <v>0</v>
      </c>
      <c r="AI77" s="70">
        <f t="shared" si="28"/>
        <v>0</v>
      </c>
      <c r="AJ77" s="70">
        <f t="shared" si="29"/>
        <v>0</v>
      </c>
      <c r="AK77" s="70">
        <f t="shared" si="30"/>
        <v>0</v>
      </c>
      <c r="AL77" s="70">
        <f t="shared" si="31"/>
        <v>492893</v>
      </c>
      <c r="AM77" s="70">
        <f t="shared" si="32"/>
        <v>500000</v>
      </c>
      <c r="AN77" s="70">
        <f t="shared" si="33"/>
        <v>507893</v>
      </c>
      <c r="AO77" s="70">
        <f t="shared" si="34"/>
        <v>515000</v>
      </c>
    </row>
    <row r="78" spans="1:41">
      <c r="A78" s="29" t="s">
        <v>187</v>
      </c>
      <c r="B78" s="29" t="s">
        <v>684</v>
      </c>
      <c r="C78" s="107">
        <v>372999.7</v>
      </c>
      <c r="D78" s="108">
        <v>8358411</v>
      </c>
      <c r="F78" s="107">
        <v>0</v>
      </c>
      <c r="G78" s="108">
        <v>9612173</v>
      </c>
      <c r="I78" s="64">
        <v>0</v>
      </c>
      <c r="J78" s="83">
        <v>0</v>
      </c>
      <c r="K78" s="66">
        <v>9612173</v>
      </c>
      <c r="L78" s="251">
        <v>9612173</v>
      </c>
      <c r="M78" s="63">
        <v>0</v>
      </c>
      <c r="N78" s="64">
        <v>0</v>
      </c>
      <c r="O78" s="65">
        <v>9612173</v>
      </c>
      <c r="P78" s="66">
        <v>9612173</v>
      </c>
      <c r="Q78" s="66">
        <f t="shared" si="19"/>
        <v>104439.91600000001</v>
      </c>
      <c r="R78" s="63">
        <f t="shared" si="20"/>
        <v>0</v>
      </c>
      <c r="S78" s="83">
        <f t="shared" si="21"/>
        <v>0</v>
      </c>
      <c r="T78" s="64">
        <f t="shared" si="22"/>
        <v>0</v>
      </c>
      <c r="U78" s="66">
        <f t="shared" si="23"/>
        <v>9018140.5644000005</v>
      </c>
      <c r="V78" s="63">
        <f t="shared" si="24"/>
        <v>9612173</v>
      </c>
      <c r="W78" s="83">
        <f t="shared" si="25"/>
        <v>9612173</v>
      </c>
      <c r="X78" s="64">
        <f t="shared" si="26"/>
        <v>9612173</v>
      </c>
      <c r="Z78" s="67">
        <v>0</v>
      </c>
      <c r="AA78" s="68">
        <v>0</v>
      </c>
      <c r="AB78" s="69">
        <v>9612173</v>
      </c>
      <c r="AC78" s="70">
        <v>9612173</v>
      </c>
      <c r="AD78" s="67">
        <v>0</v>
      </c>
      <c r="AE78" s="68">
        <v>0</v>
      </c>
      <c r="AF78" s="69">
        <v>9612173</v>
      </c>
      <c r="AG78" s="70">
        <v>9612173</v>
      </c>
      <c r="AH78" s="70">
        <f t="shared" si="27"/>
        <v>104439.91600000001</v>
      </c>
      <c r="AI78" s="70">
        <f t="shared" si="28"/>
        <v>0</v>
      </c>
      <c r="AJ78" s="70">
        <f t="shared" si="29"/>
        <v>0</v>
      </c>
      <c r="AK78" s="70">
        <f t="shared" si="30"/>
        <v>0</v>
      </c>
      <c r="AL78" s="70">
        <f t="shared" si="31"/>
        <v>9018140.5644000005</v>
      </c>
      <c r="AM78" s="70">
        <f t="shared" si="32"/>
        <v>9612173</v>
      </c>
      <c r="AN78" s="70">
        <f t="shared" si="33"/>
        <v>9612173</v>
      </c>
      <c r="AO78" s="70">
        <f t="shared" si="34"/>
        <v>9612173</v>
      </c>
    </row>
    <row r="79" spans="1:41">
      <c r="A79" s="29" t="s">
        <v>135</v>
      </c>
      <c r="B79" s="29" t="s">
        <v>685</v>
      </c>
      <c r="C79" s="107">
        <v>2732394.97</v>
      </c>
      <c r="D79" s="108">
        <v>1694000</v>
      </c>
      <c r="F79" s="107">
        <v>2766633.48</v>
      </c>
      <c r="G79" s="108">
        <v>1882897.36</v>
      </c>
      <c r="I79" s="64">
        <v>2657941.7599999998</v>
      </c>
      <c r="J79" s="83">
        <v>2863749.3826000001</v>
      </c>
      <c r="K79" s="66">
        <v>1882897.36</v>
      </c>
      <c r="L79" s="251">
        <v>2004000</v>
      </c>
      <c r="M79" s="63">
        <v>2942732.8721999996</v>
      </c>
      <c r="N79" s="64">
        <v>2983514.6483999998</v>
      </c>
      <c r="O79" s="65">
        <v>2113500</v>
      </c>
      <c r="P79" s="66">
        <v>2230000</v>
      </c>
      <c r="Q79" s="66">
        <f t="shared" si="19"/>
        <v>2678788.6587999999</v>
      </c>
      <c r="R79" s="63">
        <f t="shared" si="20"/>
        <v>2806123.2482719999</v>
      </c>
      <c r="S79" s="83">
        <f t="shared" si="21"/>
        <v>2920617.4951119996</v>
      </c>
      <c r="T79" s="64">
        <f t="shared" si="22"/>
        <v>2972095.7510639997</v>
      </c>
      <c r="U79" s="66">
        <f t="shared" si="23"/>
        <v>1793397.7908319999</v>
      </c>
      <c r="V79" s="63">
        <f t="shared" si="24"/>
        <v>1946621.569168</v>
      </c>
      <c r="W79" s="83">
        <f t="shared" si="25"/>
        <v>2061618.9</v>
      </c>
      <c r="X79" s="64">
        <f t="shared" si="26"/>
        <v>2174802.2999999998</v>
      </c>
      <c r="Z79" s="67">
        <v>2766633.48</v>
      </c>
      <c r="AA79" s="68">
        <v>2931639.1863999995</v>
      </c>
      <c r="AB79" s="69">
        <v>1882897.36</v>
      </c>
      <c r="AC79" s="70">
        <v>2004000</v>
      </c>
      <c r="AD79" s="67">
        <v>2942732.8721999996</v>
      </c>
      <c r="AE79" s="68">
        <v>2983514.6483999998</v>
      </c>
      <c r="AF79" s="69">
        <v>2113500</v>
      </c>
      <c r="AG79" s="70">
        <v>2230000</v>
      </c>
      <c r="AH79" s="70">
        <f t="shared" si="27"/>
        <v>2757046.6972000003</v>
      </c>
      <c r="AI79" s="70">
        <f t="shared" si="28"/>
        <v>2885437.5886079995</v>
      </c>
      <c r="AJ79" s="70">
        <f t="shared" si="29"/>
        <v>2939626.6401759991</v>
      </c>
      <c r="AK79" s="70">
        <f t="shared" si="30"/>
        <v>2972095.7510639997</v>
      </c>
      <c r="AL79" s="70">
        <f t="shared" si="31"/>
        <v>1793397.7908319999</v>
      </c>
      <c r="AM79" s="70">
        <f t="shared" si="32"/>
        <v>1946621.569168</v>
      </c>
      <c r="AN79" s="70">
        <f t="shared" si="33"/>
        <v>2061618.9</v>
      </c>
      <c r="AO79" s="70">
        <f t="shared" si="34"/>
        <v>2174802.2999999998</v>
      </c>
    </row>
    <row r="80" spans="1:41">
      <c r="A80" s="29" t="s">
        <v>273</v>
      </c>
      <c r="B80" s="29" t="s">
        <v>891</v>
      </c>
      <c r="C80" s="107">
        <v>0</v>
      </c>
      <c r="D80" s="108">
        <v>190000</v>
      </c>
      <c r="F80" s="107">
        <v>0</v>
      </c>
      <c r="G80" s="108">
        <v>190904</v>
      </c>
      <c r="I80" s="64">
        <v>0</v>
      </c>
      <c r="J80" s="83">
        <v>0</v>
      </c>
      <c r="K80" s="66">
        <v>190904</v>
      </c>
      <c r="L80" s="251">
        <v>190000</v>
      </c>
      <c r="M80" s="63">
        <v>0</v>
      </c>
      <c r="N80" s="64">
        <v>0</v>
      </c>
      <c r="O80" s="65">
        <v>190000</v>
      </c>
      <c r="P80" s="66">
        <v>190000</v>
      </c>
      <c r="Q80" s="66">
        <f t="shared" si="19"/>
        <v>0</v>
      </c>
      <c r="R80" s="63">
        <f t="shared" si="20"/>
        <v>0</v>
      </c>
      <c r="S80" s="83">
        <f t="shared" si="21"/>
        <v>0</v>
      </c>
      <c r="T80" s="64">
        <f t="shared" si="22"/>
        <v>0</v>
      </c>
      <c r="U80" s="66">
        <f t="shared" si="23"/>
        <v>190475.68479999999</v>
      </c>
      <c r="V80" s="63">
        <f t="shared" si="24"/>
        <v>190428.31520000001</v>
      </c>
      <c r="W80" s="83">
        <f t="shared" si="25"/>
        <v>190000</v>
      </c>
      <c r="X80" s="64">
        <f t="shared" si="26"/>
        <v>190000</v>
      </c>
      <c r="Z80" s="67">
        <v>0</v>
      </c>
      <c r="AA80" s="68">
        <v>0</v>
      </c>
      <c r="AB80" s="69">
        <v>190904</v>
      </c>
      <c r="AC80" s="70">
        <v>190000</v>
      </c>
      <c r="AD80" s="67">
        <v>0</v>
      </c>
      <c r="AE80" s="68">
        <v>0</v>
      </c>
      <c r="AF80" s="69">
        <v>190000</v>
      </c>
      <c r="AG80" s="70">
        <v>190000</v>
      </c>
      <c r="AH80" s="70">
        <f t="shared" si="27"/>
        <v>0</v>
      </c>
      <c r="AI80" s="70">
        <f t="shared" si="28"/>
        <v>0</v>
      </c>
      <c r="AJ80" s="70">
        <f t="shared" si="29"/>
        <v>0</v>
      </c>
      <c r="AK80" s="70">
        <f t="shared" si="30"/>
        <v>0</v>
      </c>
      <c r="AL80" s="70">
        <f t="shared" si="31"/>
        <v>190475.68479999999</v>
      </c>
      <c r="AM80" s="70">
        <f t="shared" si="32"/>
        <v>190428.31520000001</v>
      </c>
      <c r="AN80" s="70">
        <f t="shared" si="33"/>
        <v>190000</v>
      </c>
      <c r="AO80" s="70">
        <f t="shared" si="34"/>
        <v>190000</v>
      </c>
    </row>
    <row r="81" spans="1:41">
      <c r="A81" s="29" t="s">
        <v>423</v>
      </c>
      <c r="B81" s="29" t="s">
        <v>686</v>
      </c>
      <c r="C81" s="107">
        <v>0</v>
      </c>
      <c r="D81" s="108">
        <v>48880000</v>
      </c>
      <c r="F81" s="107">
        <v>0</v>
      </c>
      <c r="G81" s="108">
        <v>53250000</v>
      </c>
      <c r="I81" s="64">
        <v>0</v>
      </c>
      <c r="J81" s="83">
        <v>0</v>
      </c>
      <c r="K81" s="66">
        <v>53250000</v>
      </c>
      <c r="L81" s="251">
        <v>53250000</v>
      </c>
      <c r="M81" s="63">
        <v>0</v>
      </c>
      <c r="N81" s="64">
        <v>0</v>
      </c>
      <c r="O81" s="65">
        <v>53250000</v>
      </c>
      <c r="P81" s="66">
        <v>53250000</v>
      </c>
      <c r="Q81" s="66">
        <f t="shared" si="19"/>
        <v>0</v>
      </c>
      <c r="R81" s="63">
        <f t="shared" si="20"/>
        <v>0</v>
      </c>
      <c r="S81" s="83">
        <f t="shared" si="21"/>
        <v>0</v>
      </c>
      <c r="T81" s="64">
        <f t="shared" si="22"/>
        <v>0</v>
      </c>
      <c r="U81" s="66">
        <f t="shared" si="23"/>
        <v>51179494</v>
      </c>
      <c r="V81" s="63">
        <f t="shared" si="24"/>
        <v>53250000</v>
      </c>
      <c r="W81" s="83">
        <f t="shared" si="25"/>
        <v>53250000</v>
      </c>
      <c r="X81" s="64">
        <f t="shared" si="26"/>
        <v>53250000</v>
      </c>
      <c r="Z81" s="67">
        <v>0</v>
      </c>
      <c r="AA81" s="68">
        <v>0</v>
      </c>
      <c r="AB81" s="69">
        <v>53250000</v>
      </c>
      <c r="AC81" s="70">
        <v>53250000</v>
      </c>
      <c r="AD81" s="67">
        <v>0</v>
      </c>
      <c r="AE81" s="68">
        <v>0</v>
      </c>
      <c r="AF81" s="69">
        <v>53250000</v>
      </c>
      <c r="AG81" s="70">
        <v>53250000</v>
      </c>
      <c r="AH81" s="70">
        <f t="shared" si="27"/>
        <v>0</v>
      </c>
      <c r="AI81" s="70">
        <f t="shared" si="28"/>
        <v>0</v>
      </c>
      <c r="AJ81" s="70">
        <f t="shared" si="29"/>
        <v>0</v>
      </c>
      <c r="AK81" s="70">
        <f t="shared" si="30"/>
        <v>0</v>
      </c>
      <c r="AL81" s="70">
        <f t="shared" si="31"/>
        <v>51179494</v>
      </c>
      <c r="AM81" s="70">
        <f t="shared" si="32"/>
        <v>53250000</v>
      </c>
      <c r="AN81" s="70">
        <f t="shared" si="33"/>
        <v>53250000</v>
      </c>
      <c r="AO81" s="70">
        <f t="shared" si="34"/>
        <v>53250000</v>
      </c>
    </row>
    <row r="82" spans="1:41">
      <c r="A82" s="29" t="s">
        <v>65</v>
      </c>
      <c r="B82" s="29" t="s">
        <v>687</v>
      </c>
      <c r="C82" s="107">
        <v>9857442.4800000004</v>
      </c>
      <c r="D82" s="108">
        <v>35300000</v>
      </c>
      <c r="F82" s="107">
        <v>8418736.7799999993</v>
      </c>
      <c r="G82" s="108">
        <v>38650000</v>
      </c>
      <c r="I82" s="64">
        <v>5988457.4800000004</v>
      </c>
      <c r="J82" s="83">
        <v>5738981.6895999974</v>
      </c>
      <c r="K82" s="66">
        <v>38650000</v>
      </c>
      <c r="L82" s="251">
        <v>38650000</v>
      </c>
      <c r="M82" s="63">
        <v>4541001.2552939951</v>
      </c>
      <c r="N82" s="64">
        <v>3088063.4077919978</v>
      </c>
      <c r="O82" s="65">
        <v>38650000</v>
      </c>
      <c r="P82" s="66">
        <v>38650000</v>
      </c>
      <c r="Q82" s="66">
        <f t="shared" si="19"/>
        <v>7071773.2800000012</v>
      </c>
      <c r="R82" s="63">
        <f t="shared" si="20"/>
        <v>5808834.9109119978</v>
      </c>
      <c r="S82" s="83">
        <f t="shared" si="21"/>
        <v>4876435.7768996758</v>
      </c>
      <c r="T82" s="64">
        <f t="shared" si="22"/>
        <v>3494886.0050925571</v>
      </c>
      <c r="U82" s="66">
        <f t="shared" si="23"/>
        <v>37062770</v>
      </c>
      <c r="V82" s="63">
        <f t="shared" si="24"/>
        <v>38650000</v>
      </c>
      <c r="W82" s="83">
        <f t="shared" si="25"/>
        <v>38650000</v>
      </c>
      <c r="X82" s="64">
        <f t="shared" si="26"/>
        <v>38650000</v>
      </c>
      <c r="Z82" s="67">
        <v>8418736.7799999993</v>
      </c>
      <c r="AA82" s="68">
        <v>7864579.1180999987</v>
      </c>
      <c r="AB82" s="69">
        <v>38650000</v>
      </c>
      <c r="AC82" s="70">
        <v>38650000</v>
      </c>
      <c r="AD82" s="67">
        <v>4541001.2552939951</v>
      </c>
      <c r="AE82" s="68">
        <v>3088063.4077919978</v>
      </c>
      <c r="AF82" s="69">
        <v>38650000</v>
      </c>
      <c r="AG82" s="70">
        <v>38650000</v>
      </c>
      <c r="AH82" s="70">
        <f t="shared" si="27"/>
        <v>8821574.3760000002</v>
      </c>
      <c r="AI82" s="70">
        <f t="shared" si="28"/>
        <v>8019743.2634319998</v>
      </c>
      <c r="AJ82" s="70">
        <f t="shared" si="29"/>
        <v>5471603.0568796769</v>
      </c>
      <c r="AK82" s="70">
        <f t="shared" si="30"/>
        <v>3494886.0050925571</v>
      </c>
      <c r="AL82" s="70">
        <f t="shared" si="31"/>
        <v>37062770</v>
      </c>
      <c r="AM82" s="70">
        <f t="shared" si="32"/>
        <v>38650000</v>
      </c>
      <c r="AN82" s="70">
        <f t="shared" si="33"/>
        <v>38650000</v>
      </c>
      <c r="AO82" s="70">
        <f t="shared" si="34"/>
        <v>38650000</v>
      </c>
    </row>
    <row r="83" spans="1:41">
      <c r="A83" s="29" t="s">
        <v>497</v>
      </c>
      <c r="B83" s="29" t="s">
        <v>927</v>
      </c>
      <c r="C83" s="107">
        <v>0</v>
      </c>
      <c r="D83" s="108">
        <v>30000</v>
      </c>
      <c r="F83" s="107">
        <v>0</v>
      </c>
      <c r="G83" s="108">
        <v>30000</v>
      </c>
      <c r="I83" s="64">
        <v>0</v>
      </c>
      <c r="J83" s="83">
        <v>0</v>
      </c>
      <c r="K83" s="66">
        <v>30000</v>
      </c>
      <c r="L83" s="251">
        <v>30000</v>
      </c>
      <c r="M83" s="63">
        <v>0</v>
      </c>
      <c r="N83" s="64">
        <v>0</v>
      </c>
      <c r="O83" s="65">
        <v>30000</v>
      </c>
      <c r="P83" s="66">
        <v>30000</v>
      </c>
      <c r="Q83" s="66">
        <f t="shared" si="19"/>
        <v>0</v>
      </c>
      <c r="R83" s="63">
        <f t="shared" si="20"/>
        <v>0</v>
      </c>
      <c r="S83" s="83">
        <f t="shared" si="21"/>
        <v>0</v>
      </c>
      <c r="T83" s="64">
        <f t="shared" si="22"/>
        <v>0</v>
      </c>
      <c r="U83" s="66">
        <f t="shared" si="23"/>
        <v>30000</v>
      </c>
      <c r="V83" s="63">
        <f t="shared" si="24"/>
        <v>30000</v>
      </c>
      <c r="W83" s="83">
        <f t="shared" si="25"/>
        <v>30000</v>
      </c>
      <c r="X83" s="64">
        <f t="shared" si="26"/>
        <v>30000</v>
      </c>
      <c r="Z83" s="67">
        <v>0</v>
      </c>
      <c r="AA83" s="68">
        <v>0</v>
      </c>
      <c r="AB83" s="69">
        <v>30000</v>
      </c>
      <c r="AC83" s="70">
        <v>30000</v>
      </c>
      <c r="AD83" s="67">
        <v>0</v>
      </c>
      <c r="AE83" s="68">
        <v>0</v>
      </c>
      <c r="AF83" s="69">
        <v>30000</v>
      </c>
      <c r="AG83" s="70">
        <v>30000</v>
      </c>
      <c r="AH83" s="70">
        <f t="shared" si="27"/>
        <v>0</v>
      </c>
      <c r="AI83" s="70">
        <f t="shared" si="28"/>
        <v>0</v>
      </c>
      <c r="AJ83" s="70">
        <f t="shared" si="29"/>
        <v>0</v>
      </c>
      <c r="AK83" s="70">
        <f t="shared" si="30"/>
        <v>0</v>
      </c>
      <c r="AL83" s="70">
        <f t="shared" si="31"/>
        <v>30000</v>
      </c>
      <c r="AM83" s="70">
        <f t="shared" si="32"/>
        <v>30000</v>
      </c>
      <c r="AN83" s="70">
        <f t="shared" si="33"/>
        <v>30000</v>
      </c>
      <c r="AO83" s="70">
        <f t="shared" si="34"/>
        <v>30000</v>
      </c>
    </row>
    <row r="84" spans="1:41">
      <c r="A84" s="29" t="s">
        <v>185</v>
      </c>
      <c r="B84" s="29" t="s">
        <v>688</v>
      </c>
      <c r="C84" s="107">
        <v>8119652.1100000003</v>
      </c>
      <c r="D84" s="108">
        <v>28400000</v>
      </c>
      <c r="F84" s="107">
        <v>6018339.8899999997</v>
      </c>
      <c r="G84" s="108">
        <v>32500000</v>
      </c>
      <c r="I84" s="64">
        <v>4065712.08</v>
      </c>
      <c r="J84" s="83">
        <v>5580083.912600005</v>
      </c>
      <c r="K84" s="66">
        <v>32500000</v>
      </c>
      <c r="L84" s="251">
        <v>33000000</v>
      </c>
      <c r="M84" s="63">
        <v>3761236.833144004</v>
      </c>
      <c r="N84" s="64">
        <v>3732872.0400160034</v>
      </c>
      <c r="O84" s="65">
        <v>33000000</v>
      </c>
      <c r="P84" s="66">
        <v>33000000</v>
      </c>
      <c r="Q84" s="66">
        <f t="shared" si="19"/>
        <v>5200815.2884</v>
      </c>
      <c r="R84" s="63">
        <f t="shared" si="20"/>
        <v>5156059.7994720042</v>
      </c>
      <c r="S84" s="83">
        <f t="shared" si="21"/>
        <v>4270514.0153916841</v>
      </c>
      <c r="T84" s="64">
        <f t="shared" si="22"/>
        <v>3740814.1820918433</v>
      </c>
      <c r="U84" s="66">
        <f t="shared" si="23"/>
        <v>30557420</v>
      </c>
      <c r="V84" s="63">
        <f t="shared" si="24"/>
        <v>32763100</v>
      </c>
      <c r="W84" s="83">
        <f t="shared" si="25"/>
        <v>33000000</v>
      </c>
      <c r="X84" s="64">
        <f t="shared" si="26"/>
        <v>33000000</v>
      </c>
      <c r="Z84" s="67">
        <v>6018339.8899999997</v>
      </c>
      <c r="AA84" s="68">
        <v>7251608.3283999972</v>
      </c>
      <c r="AB84" s="69">
        <v>32500000</v>
      </c>
      <c r="AC84" s="70">
        <v>33000000</v>
      </c>
      <c r="AD84" s="67">
        <v>3761236.833144004</v>
      </c>
      <c r="AE84" s="68">
        <v>3732872.0400160034</v>
      </c>
      <c r="AF84" s="69">
        <v>33000000</v>
      </c>
      <c r="AG84" s="70">
        <v>33000000</v>
      </c>
      <c r="AH84" s="70">
        <f t="shared" si="27"/>
        <v>6606707.3115999997</v>
      </c>
      <c r="AI84" s="70">
        <f t="shared" si="28"/>
        <v>6906293.1656479985</v>
      </c>
      <c r="AJ84" s="70">
        <f t="shared" si="29"/>
        <v>4738540.8518156819</v>
      </c>
      <c r="AK84" s="70">
        <f t="shared" si="30"/>
        <v>3740814.1820918433</v>
      </c>
      <c r="AL84" s="70">
        <f t="shared" si="31"/>
        <v>30557420</v>
      </c>
      <c r="AM84" s="70">
        <f t="shared" si="32"/>
        <v>32763100</v>
      </c>
      <c r="AN84" s="70">
        <f t="shared" si="33"/>
        <v>33000000</v>
      </c>
      <c r="AO84" s="70">
        <f t="shared" si="34"/>
        <v>33000000</v>
      </c>
    </row>
    <row r="85" spans="1:41">
      <c r="A85" s="29" t="s">
        <v>541</v>
      </c>
      <c r="B85" s="29" t="s">
        <v>689</v>
      </c>
      <c r="C85" s="107">
        <v>0</v>
      </c>
      <c r="D85" s="108">
        <v>8273000</v>
      </c>
      <c r="F85" s="107">
        <v>0</v>
      </c>
      <c r="G85" s="108">
        <v>8617676</v>
      </c>
      <c r="I85" s="64">
        <v>0</v>
      </c>
      <c r="J85" s="83">
        <v>0</v>
      </c>
      <c r="K85" s="66">
        <v>8617676</v>
      </c>
      <c r="L85" s="251">
        <v>8687000</v>
      </c>
      <c r="M85" s="63">
        <v>0</v>
      </c>
      <c r="N85" s="64">
        <v>0</v>
      </c>
      <c r="O85" s="65">
        <v>8687000</v>
      </c>
      <c r="P85" s="66">
        <v>8687000</v>
      </c>
      <c r="Q85" s="66">
        <f t="shared" si="19"/>
        <v>0</v>
      </c>
      <c r="R85" s="63">
        <f t="shared" si="20"/>
        <v>0</v>
      </c>
      <c r="S85" s="83">
        <f t="shared" si="21"/>
        <v>0</v>
      </c>
      <c r="T85" s="64">
        <f t="shared" si="22"/>
        <v>0</v>
      </c>
      <c r="U85" s="66">
        <f t="shared" si="23"/>
        <v>8454368.5111999996</v>
      </c>
      <c r="V85" s="63">
        <f t="shared" si="24"/>
        <v>8654154.2888000011</v>
      </c>
      <c r="W85" s="83">
        <f t="shared" si="25"/>
        <v>8687000</v>
      </c>
      <c r="X85" s="64">
        <f t="shared" si="26"/>
        <v>8687000</v>
      </c>
      <c r="Z85" s="67">
        <v>0</v>
      </c>
      <c r="AA85" s="68">
        <v>0</v>
      </c>
      <c r="AB85" s="69">
        <v>8617676</v>
      </c>
      <c r="AC85" s="70">
        <v>8687000</v>
      </c>
      <c r="AD85" s="67">
        <v>0</v>
      </c>
      <c r="AE85" s="68">
        <v>0</v>
      </c>
      <c r="AF85" s="69">
        <v>8687000</v>
      </c>
      <c r="AG85" s="70">
        <v>8687000</v>
      </c>
      <c r="AH85" s="70">
        <f t="shared" si="27"/>
        <v>0</v>
      </c>
      <c r="AI85" s="70">
        <f t="shared" si="28"/>
        <v>0</v>
      </c>
      <c r="AJ85" s="70">
        <f t="shared" si="29"/>
        <v>0</v>
      </c>
      <c r="AK85" s="70">
        <f t="shared" si="30"/>
        <v>0</v>
      </c>
      <c r="AL85" s="70">
        <f t="shared" si="31"/>
        <v>8454368.5111999996</v>
      </c>
      <c r="AM85" s="70">
        <f t="shared" si="32"/>
        <v>8654154.2888000011</v>
      </c>
      <c r="AN85" s="70">
        <f t="shared" si="33"/>
        <v>8687000</v>
      </c>
      <c r="AO85" s="70">
        <f t="shared" si="34"/>
        <v>8687000</v>
      </c>
    </row>
    <row r="86" spans="1:41">
      <c r="A86" s="29" t="s">
        <v>389</v>
      </c>
      <c r="B86" s="29" t="s">
        <v>690</v>
      </c>
      <c r="C86" s="107">
        <v>0</v>
      </c>
      <c r="D86" s="108">
        <v>9800000</v>
      </c>
      <c r="F86" s="107">
        <v>0</v>
      </c>
      <c r="G86" s="108">
        <v>9900000</v>
      </c>
      <c r="I86" s="64">
        <v>0</v>
      </c>
      <c r="J86" s="83">
        <v>0</v>
      </c>
      <c r="K86" s="66">
        <v>9900000</v>
      </c>
      <c r="L86" s="251">
        <v>9900000</v>
      </c>
      <c r="M86" s="63">
        <v>0</v>
      </c>
      <c r="N86" s="64">
        <v>0</v>
      </c>
      <c r="O86" s="65">
        <v>9900000</v>
      </c>
      <c r="P86" s="66">
        <v>9900000</v>
      </c>
      <c r="Q86" s="66">
        <f t="shared" si="19"/>
        <v>0</v>
      </c>
      <c r="R86" s="63">
        <f t="shared" si="20"/>
        <v>0</v>
      </c>
      <c r="S86" s="83">
        <f t="shared" si="21"/>
        <v>0</v>
      </c>
      <c r="T86" s="64">
        <f t="shared" si="22"/>
        <v>0</v>
      </c>
      <c r="U86" s="66">
        <f t="shared" si="23"/>
        <v>9852620</v>
      </c>
      <c r="V86" s="63">
        <f t="shared" si="24"/>
        <v>9900000</v>
      </c>
      <c r="W86" s="83">
        <f t="shared" si="25"/>
        <v>9900000</v>
      </c>
      <c r="X86" s="64">
        <f t="shared" si="26"/>
        <v>9900000</v>
      </c>
      <c r="Z86" s="67">
        <v>0</v>
      </c>
      <c r="AA86" s="68">
        <v>0</v>
      </c>
      <c r="AB86" s="69">
        <v>9900000</v>
      </c>
      <c r="AC86" s="70">
        <v>9900000</v>
      </c>
      <c r="AD86" s="67">
        <v>0</v>
      </c>
      <c r="AE86" s="68">
        <v>0</v>
      </c>
      <c r="AF86" s="69">
        <v>9900000</v>
      </c>
      <c r="AG86" s="70">
        <v>9900000</v>
      </c>
      <c r="AH86" s="70">
        <f t="shared" si="27"/>
        <v>0</v>
      </c>
      <c r="AI86" s="70">
        <f t="shared" si="28"/>
        <v>0</v>
      </c>
      <c r="AJ86" s="70">
        <f t="shared" si="29"/>
        <v>0</v>
      </c>
      <c r="AK86" s="70">
        <f t="shared" si="30"/>
        <v>0</v>
      </c>
      <c r="AL86" s="70">
        <f t="shared" si="31"/>
        <v>9852620</v>
      </c>
      <c r="AM86" s="70">
        <f t="shared" si="32"/>
        <v>9900000</v>
      </c>
      <c r="AN86" s="70">
        <f t="shared" si="33"/>
        <v>9900000</v>
      </c>
      <c r="AO86" s="70">
        <f t="shared" si="34"/>
        <v>9900000</v>
      </c>
    </row>
    <row r="87" spans="1:41">
      <c r="A87" s="29" t="s">
        <v>23</v>
      </c>
      <c r="B87" s="29" t="s">
        <v>691</v>
      </c>
      <c r="C87" s="107">
        <v>501296.07</v>
      </c>
      <c r="D87" s="108">
        <v>1125000</v>
      </c>
      <c r="F87" s="107">
        <v>532870.36</v>
      </c>
      <c r="G87" s="108">
        <v>1177099</v>
      </c>
      <c r="I87" s="64">
        <v>532870.36</v>
      </c>
      <c r="J87" s="83">
        <v>580314.57399999991</v>
      </c>
      <c r="K87" s="66">
        <v>1177099</v>
      </c>
      <c r="L87" s="251">
        <v>1175000</v>
      </c>
      <c r="M87" s="63">
        <v>557671.89509999962</v>
      </c>
      <c r="N87" s="64">
        <v>563240.36580000015</v>
      </c>
      <c r="O87" s="65">
        <v>1175000</v>
      </c>
      <c r="P87" s="66">
        <v>1175000</v>
      </c>
      <c r="Q87" s="66">
        <f t="shared" si="19"/>
        <v>524029.5588</v>
      </c>
      <c r="R87" s="63">
        <f t="shared" si="20"/>
        <v>567030.19407999993</v>
      </c>
      <c r="S87" s="83">
        <f t="shared" si="21"/>
        <v>564011.84519199969</v>
      </c>
      <c r="T87" s="64">
        <f t="shared" si="22"/>
        <v>561681.19400399993</v>
      </c>
      <c r="U87" s="66">
        <f t="shared" si="23"/>
        <v>1152414.4938000001</v>
      </c>
      <c r="V87" s="63">
        <f t="shared" si="24"/>
        <v>1175994.5061999999</v>
      </c>
      <c r="W87" s="83">
        <f t="shared" si="25"/>
        <v>1175000</v>
      </c>
      <c r="X87" s="64">
        <f t="shared" si="26"/>
        <v>1175000</v>
      </c>
      <c r="Z87" s="67">
        <v>532870.36</v>
      </c>
      <c r="AA87" s="68">
        <v>580314.57399999991</v>
      </c>
      <c r="AB87" s="69">
        <v>1177099</v>
      </c>
      <c r="AC87" s="70">
        <v>1175000</v>
      </c>
      <c r="AD87" s="67">
        <v>557671.89509999962</v>
      </c>
      <c r="AE87" s="68">
        <v>563240.36580000015</v>
      </c>
      <c r="AF87" s="69">
        <v>1175000</v>
      </c>
      <c r="AG87" s="70">
        <v>1175000</v>
      </c>
      <c r="AH87" s="70">
        <f t="shared" si="27"/>
        <v>524029.5588</v>
      </c>
      <c r="AI87" s="70">
        <f t="shared" si="28"/>
        <v>567030.19407999993</v>
      </c>
      <c r="AJ87" s="70">
        <f t="shared" si="29"/>
        <v>564011.84519199969</v>
      </c>
      <c r="AK87" s="70">
        <f t="shared" si="30"/>
        <v>561681.19400399993</v>
      </c>
      <c r="AL87" s="70">
        <f t="shared" si="31"/>
        <v>1152414.4938000001</v>
      </c>
      <c r="AM87" s="70">
        <f t="shared" si="32"/>
        <v>1175994.5061999999</v>
      </c>
      <c r="AN87" s="70">
        <f t="shared" si="33"/>
        <v>1175000</v>
      </c>
      <c r="AO87" s="70">
        <f t="shared" si="34"/>
        <v>1175000</v>
      </c>
    </row>
    <row r="88" spans="1:41">
      <c r="A88" s="29" t="s">
        <v>381</v>
      </c>
      <c r="B88" s="29" t="s">
        <v>692</v>
      </c>
      <c r="C88" s="107">
        <v>3946088.44</v>
      </c>
      <c r="D88" s="108">
        <v>21000000</v>
      </c>
      <c r="F88" s="107">
        <v>3039828.92</v>
      </c>
      <c r="G88" s="108">
        <v>22000000</v>
      </c>
      <c r="I88" s="64">
        <v>2502680.34</v>
      </c>
      <c r="J88" s="83">
        <v>2380072.2590000005</v>
      </c>
      <c r="K88" s="66">
        <v>22000000</v>
      </c>
      <c r="L88" s="251">
        <v>18199387.787500001</v>
      </c>
      <c r="M88" s="63">
        <v>1869993.2894999995</v>
      </c>
      <c r="N88" s="64">
        <v>1633860.5511000012</v>
      </c>
      <c r="O88" s="65">
        <v>19817701.392499998</v>
      </c>
      <c r="P88" s="66">
        <v>21119854.635000002</v>
      </c>
      <c r="Q88" s="66">
        <f t="shared" si="19"/>
        <v>2906834.608</v>
      </c>
      <c r="R88" s="63">
        <f t="shared" si="20"/>
        <v>2414402.5216800002</v>
      </c>
      <c r="S88" s="83">
        <f t="shared" si="21"/>
        <v>2012815.4009599998</v>
      </c>
      <c r="T88" s="64">
        <f t="shared" si="22"/>
        <v>1699977.7178520006</v>
      </c>
      <c r="U88" s="66">
        <f t="shared" si="23"/>
        <v>21526200</v>
      </c>
      <c r="V88" s="63">
        <f t="shared" si="24"/>
        <v>20000117.853782501</v>
      </c>
      <c r="W88" s="83">
        <f t="shared" si="25"/>
        <v>19050944.406451002</v>
      </c>
      <c r="X88" s="64">
        <f t="shared" si="26"/>
        <v>20502894.428703502</v>
      </c>
      <c r="Z88" s="67">
        <v>3039828.92</v>
      </c>
      <c r="AA88" s="68">
        <v>2809792.3358000014</v>
      </c>
      <c r="AB88" s="69">
        <v>22000000</v>
      </c>
      <c r="AC88" s="70">
        <v>18199387.787500001</v>
      </c>
      <c r="AD88" s="67">
        <v>1869993.2894999995</v>
      </c>
      <c r="AE88" s="68">
        <v>1633860.5511000012</v>
      </c>
      <c r="AF88" s="69">
        <v>19817701.392499998</v>
      </c>
      <c r="AG88" s="70">
        <v>21119854.635000002</v>
      </c>
      <c r="AH88" s="70">
        <f t="shared" si="27"/>
        <v>3293581.5855999999</v>
      </c>
      <c r="AI88" s="70">
        <f t="shared" si="28"/>
        <v>2874202.5793760009</v>
      </c>
      <c r="AJ88" s="70">
        <f t="shared" si="29"/>
        <v>2133137.0224640002</v>
      </c>
      <c r="AK88" s="70">
        <f t="shared" si="30"/>
        <v>1699977.7178520006</v>
      </c>
      <c r="AL88" s="70">
        <f t="shared" si="31"/>
        <v>21526200</v>
      </c>
      <c r="AM88" s="70">
        <f t="shared" si="32"/>
        <v>20000117.853782501</v>
      </c>
      <c r="AN88" s="70">
        <f t="shared" si="33"/>
        <v>19050944.406451002</v>
      </c>
      <c r="AO88" s="70">
        <f t="shared" si="34"/>
        <v>20502894.428703502</v>
      </c>
    </row>
    <row r="89" spans="1:41">
      <c r="A89" s="29" t="s">
        <v>465</v>
      </c>
      <c r="B89" s="29" t="s">
        <v>693</v>
      </c>
      <c r="C89" s="107">
        <v>263248.59000000003</v>
      </c>
      <c r="D89" s="108">
        <v>1206738</v>
      </c>
      <c r="F89" s="107">
        <v>173970.13</v>
      </c>
      <c r="G89" s="108">
        <v>1318023</v>
      </c>
      <c r="I89" s="64">
        <v>76557.98</v>
      </c>
      <c r="J89" s="83">
        <v>68832.729100000026</v>
      </c>
      <c r="K89" s="66">
        <v>1318023</v>
      </c>
      <c r="L89" s="251">
        <v>1449825</v>
      </c>
      <c r="M89" s="63">
        <v>42672.699899999985</v>
      </c>
      <c r="N89" s="64">
        <v>28019.46698600013</v>
      </c>
      <c r="O89" s="65">
        <v>1594808</v>
      </c>
      <c r="P89" s="66">
        <v>1594808</v>
      </c>
      <c r="Q89" s="66">
        <f t="shared" si="19"/>
        <v>128831.35080000001</v>
      </c>
      <c r="R89" s="63">
        <f t="shared" si="20"/>
        <v>70995.799352000016</v>
      </c>
      <c r="S89" s="83">
        <f t="shared" si="21"/>
        <v>49997.508075999998</v>
      </c>
      <c r="T89" s="64">
        <f t="shared" si="22"/>
        <v>32122.37220192009</v>
      </c>
      <c r="U89" s="66">
        <f t="shared" si="23"/>
        <v>1265296.1669999999</v>
      </c>
      <c r="V89" s="63">
        <f t="shared" si="24"/>
        <v>1387377.2124000001</v>
      </c>
      <c r="W89" s="83">
        <f t="shared" si="25"/>
        <v>1526115.0545999999</v>
      </c>
      <c r="X89" s="64">
        <f t="shared" si="26"/>
        <v>1594808</v>
      </c>
      <c r="Z89" s="67">
        <v>173970.13</v>
      </c>
      <c r="AA89" s="68">
        <v>158535.37409999999</v>
      </c>
      <c r="AB89" s="69">
        <v>1318023</v>
      </c>
      <c r="AC89" s="70">
        <v>1449825</v>
      </c>
      <c r="AD89" s="67">
        <v>42672.699899999985</v>
      </c>
      <c r="AE89" s="68">
        <v>28019.46698600013</v>
      </c>
      <c r="AF89" s="69">
        <v>1594808</v>
      </c>
      <c r="AG89" s="70">
        <v>1594808</v>
      </c>
      <c r="AH89" s="70">
        <f t="shared" si="27"/>
        <v>198968.09880000004</v>
      </c>
      <c r="AI89" s="70">
        <f t="shared" si="28"/>
        <v>162857.105752</v>
      </c>
      <c r="AJ89" s="70">
        <f t="shared" si="29"/>
        <v>75114.248675999988</v>
      </c>
      <c r="AK89" s="70">
        <f t="shared" si="30"/>
        <v>32122.37220192009</v>
      </c>
      <c r="AL89" s="70">
        <f t="shared" si="31"/>
        <v>1265296.1669999999</v>
      </c>
      <c r="AM89" s="70">
        <f t="shared" si="32"/>
        <v>1387377.2124000001</v>
      </c>
      <c r="AN89" s="70">
        <f t="shared" si="33"/>
        <v>1526115.0545999999</v>
      </c>
      <c r="AO89" s="70">
        <f t="shared" si="34"/>
        <v>1594808</v>
      </c>
    </row>
    <row r="90" spans="1:41">
      <c r="A90" s="29" t="s">
        <v>567</v>
      </c>
      <c r="B90" s="29" t="s">
        <v>694</v>
      </c>
      <c r="C90" s="107">
        <v>65549.919999999998</v>
      </c>
      <c r="D90" s="108">
        <v>176040</v>
      </c>
      <c r="F90" s="107">
        <v>70966.73</v>
      </c>
      <c r="G90" s="108">
        <v>176040</v>
      </c>
      <c r="I90" s="64">
        <v>35779.370000000003</v>
      </c>
      <c r="J90" s="83">
        <v>48406.95659999999</v>
      </c>
      <c r="K90" s="66">
        <v>176040</v>
      </c>
      <c r="L90" s="251">
        <v>176040</v>
      </c>
      <c r="M90" s="63">
        <v>55989.772799999984</v>
      </c>
      <c r="N90" s="64">
        <v>61468.372799999983</v>
      </c>
      <c r="O90" s="65">
        <v>176040</v>
      </c>
      <c r="P90" s="66">
        <v>176040</v>
      </c>
      <c r="Q90" s="66">
        <f t="shared" si="19"/>
        <v>44115.124000000003</v>
      </c>
      <c r="R90" s="63">
        <f t="shared" si="20"/>
        <v>44871.232351999992</v>
      </c>
      <c r="S90" s="83">
        <f t="shared" si="21"/>
        <v>53866.584263999983</v>
      </c>
      <c r="T90" s="64">
        <f t="shared" si="22"/>
        <v>59934.364799999981</v>
      </c>
      <c r="U90" s="66">
        <f t="shared" si="23"/>
        <v>176040</v>
      </c>
      <c r="V90" s="63">
        <f t="shared" si="24"/>
        <v>176040</v>
      </c>
      <c r="W90" s="83">
        <f t="shared" si="25"/>
        <v>176040</v>
      </c>
      <c r="X90" s="64">
        <f t="shared" si="26"/>
        <v>176040</v>
      </c>
      <c r="Z90" s="67">
        <v>70966.73</v>
      </c>
      <c r="AA90" s="68">
        <v>83506.446999999986</v>
      </c>
      <c r="AB90" s="69">
        <v>176040</v>
      </c>
      <c r="AC90" s="70">
        <v>176040</v>
      </c>
      <c r="AD90" s="67">
        <v>55989.772799999984</v>
      </c>
      <c r="AE90" s="68">
        <v>61468.372799999983</v>
      </c>
      <c r="AF90" s="69">
        <v>176040</v>
      </c>
      <c r="AG90" s="70">
        <v>176040</v>
      </c>
      <c r="AH90" s="70">
        <f t="shared" si="27"/>
        <v>69450.023199999996</v>
      </c>
      <c r="AI90" s="70">
        <f t="shared" si="28"/>
        <v>79995.326239999995</v>
      </c>
      <c r="AJ90" s="70">
        <f t="shared" si="29"/>
        <v>63694.441575999983</v>
      </c>
      <c r="AK90" s="70">
        <f t="shared" si="30"/>
        <v>59934.364799999981</v>
      </c>
      <c r="AL90" s="70">
        <f t="shared" si="31"/>
        <v>176040</v>
      </c>
      <c r="AM90" s="70">
        <f t="shared" si="32"/>
        <v>176040</v>
      </c>
      <c r="AN90" s="70">
        <f t="shared" si="33"/>
        <v>176040</v>
      </c>
      <c r="AO90" s="70">
        <f t="shared" si="34"/>
        <v>176040</v>
      </c>
    </row>
    <row r="91" spans="1:41">
      <c r="A91" s="29" t="s">
        <v>259</v>
      </c>
      <c r="B91" s="29" t="s">
        <v>695</v>
      </c>
      <c r="C91" s="107">
        <v>18570.41</v>
      </c>
      <c r="D91" s="108">
        <v>110000</v>
      </c>
      <c r="F91" s="107">
        <v>8411.7900000000009</v>
      </c>
      <c r="G91" s="108">
        <v>110000</v>
      </c>
      <c r="I91" s="64">
        <v>1255.9000000000001</v>
      </c>
      <c r="J91" s="83">
        <v>13927.749000000014</v>
      </c>
      <c r="K91" s="66">
        <v>110000</v>
      </c>
      <c r="L91" s="251">
        <v>110000</v>
      </c>
      <c r="M91" s="63">
        <v>14761.215</v>
      </c>
      <c r="N91" s="64">
        <v>13979.731500000016</v>
      </c>
      <c r="O91" s="65">
        <v>110000</v>
      </c>
      <c r="P91" s="66">
        <v>110000</v>
      </c>
      <c r="Q91" s="66">
        <f t="shared" si="19"/>
        <v>6103.9628000000012</v>
      </c>
      <c r="R91" s="63">
        <f t="shared" si="20"/>
        <v>10379.631280000011</v>
      </c>
      <c r="S91" s="83">
        <f t="shared" si="21"/>
        <v>14527.844520000004</v>
      </c>
      <c r="T91" s="64">
        <f t="shared" si="22"/>
        <v>14198.546880000013</v>
      </c>
      <c r="U91" s="66">
        <f t="shared" si="23"/>
        <v>110000</v>
      </c>
      <c r="V91" s="63">
        <f t="shared" si="24"/>
        <v>110000</v>
      </c>
      <c r="W91" s="83">
        <f t="shared" si="25"/>
        <v>110000</v>
      </c>
      <c r="X91" s="64">
        <f t="shared" si="26"/>
        <v>110000</v>
      </c>
      <c r="Z91" s="67">
        <v>8411.7900000000009</v>
      </c>
      <c r="AA91" s="68">
        <v>21441.45570000002</v>
      </c>
      <c r="AB91" s="69">
        <v>110000</v>
      </c>
      <c r="AC91" s="70">
        <v>110000</v>
      </c>
      <c r="AD91" s="67">
        <v>14761.215</v>
      </c>
      <c r="AE91" s="68">
        <v>13979.731500000016</v>
      </c>
      <c r="AF91" s="69">
        <v>110000</v>
      </c>
      <c r="AG91" s="70">
        <v>110000</v>
      </c>
      <c r="AH91" s="70">
        <f t="shared" si="27"/>
        <v>11256.203600000001</v>
      </c>
      <c r="AI91" s="70">
        <f t="shared" si="28"/>
        <v>17793.149304000013</v>
      </c>
      <c r="AJ91" s="70">
        <f t="shared" si="29"/>
        <v>16631.682396000007</v>
      </c>
      <c r="AK91" s="70">
        <f t="shared" si="30"/>
        <v>14198.546880000013</v>
      </c>
      <c r="AL91" s="70">
        <f t="shared" si="31"/>
        <v>110000</v>
      </c>
      <c r="AM91" s="70">
        <f t="shared" si="32"/>
        <v>110000</v>
      </c>
      <c r="AN91" s="70">
        <f t="shared" si="33"/>
        <v>110000</v>
      </c>
      <c r="AO91" s="70">
        <f t="shared" si="34"/>
        <v>110000</v>
      </c>
    </row>
    <row r="92" spans="1:41">
      <c r="A92" s="29" t="s">
        <v>265</v>
      </c>
      <c r="B92" s="29" t="s">
        <v>696</v>
      </c>
      <c r="C92" s="107">
        <v>0</v>
      </c>
      <c r="D92" s="108">
        <v>2315399</v>
      </c>
      <c r="F92" s="107">
        <v>1865851.44</v>
      </c>
      <c r="G92" s="108">
        <v>2522224</v>
      </c>
      <c r="I92" s="64">
        <v>1865851.44</v>
      </c>
      <c r="J92" s="83">
        <v>2055613.4536000004</v>
      </c>
      <c r="K92" s="66">
        <v>2522224</v>
      </c>
      <c r="L92" s="251">
        <v>2572668</v>
      </c>
      <c r="M92" s="63">
        <v>2163911.6597999991</v>
      </c>
      <c r="N92" s="64">
        <v>2336640.1803000001</v>
      </c>
      <c r="O92" s="65">
        <v>2624121</v>
      </c>
      <c r="P92" s="66">
        <v>2624121</v>
      </c>
      <c r="Q92" s="66">
        <f t="shared" si="19"/>
        <v>1343413.0367999999</v>
      </c>
      <c r="R92" s="63">
        <f t="shared" si="20"/>
        <v>2002480.0897920004</v>
      </c>
      <c r="S92" s="83">
        <f t="shared" si="21"/>
        <v>2133588.1620639996</v>
      </c>
      <c r="T92" s="64">
        <f t="shared" si="22"/>
        <v>2288276.1945599997</v>
      </c>
      <c r="U92" s="66">
        <f t="shared" si="23"/>
        <v>2424230.3149999999</v>
      </c>
      <c r="V92" s="63">
        <f t="shared" si="24"/>
        <v>2548767.6327999998</v>
      </c>
      <c r="W92" s="83">
        <f t="shared" si="25"/>
        <v>2599742.5685999999</v>
      </c>
      <c r="X92" s="64">
        <f t="shared" si="26"/>
        <v>2624121</v>
      </c>
      <c r="Z92" s="67">
        <v>1865851.44</v>
      </c>
      <c r="AA92" s="68">
        <v>2055613.4536000004</v>
      </c>
      <c r="AB92" s="69">
        <v>2522224</v>
      </c>
      <c r="AC92" s="70">
        <v>2572668</v>
      </c>
      <c r="AD92" s="67">
        <v>2163911.6597999991</v>
      </c>
      <c r="AE92" s="68">
        <v>2336640.1803000001</v>
      </c>
      <c r="AF92" s="69">
        <v>2624121</v>
      </c>
      <c r="AG92" s="70">
        <v>2624121</v>
      </c>
      <c r="AH92" s="70">
        <f t="shared" si="27"/>
        <v>1343413.0367999999</v>
      </c>
      <c r="AI92" s="70">
        <f t="shared" si="28"/>
        <v>2002480.0897920004</v>
      </c>
      <c r="AJ92" s="70">
        <f t="shared" si="29"/>
        <v>2133588.1620639996</v>
      </c>
      <c r="AK92" s="70">
        <f t="shared" si="30"/>
        <v>2288276.1945599997</v>
      </c>
      <c r="AL92" s="70">
        <f t="shared" si="31"/>
        <v>2424230.3149999999</v>
      </c>
      <c r="AM92" s="70">
        <f t="shared" si="32"/>
        <v>2548767.6327999998</v>
      </c>
      <c r="AN92" s="70">
        <f t="shared" si="33"/>
        <v>2599742.5685999999</v>
      </c>
      <c r="AO92" s="70">
        <f t="shared" si="34"/>
        <v>2624121</v>
      </c>
    </row>
    <row r="93" spans="1:41">
      <c r="A93" s="29" t="s">
        <v>139</v>
      </c>
      <c r="B93" s="29" t="s">
        <v>697</v>
      </c>
      <c r="C93" s="107">
        <v>643103.92000000004</v>
      </c>
      <c r="D93" s="108">
        <v>806022</v>
      </c>
      <c r="F93" s="107">
        <v>653384.29</v>
      </c>
      <c r="G93" s="108">
        <v>845307</v>
      </c>
      <c r="I93" s="64">
        <v>622476.93000000005</v>
      </c>
      <c r="J93" s="83">
        <v>600624.14279999991</v>
      </c>
      <c r="K93" s="66">
        <v>845307</v>
      </c>
      <c r="L93" s="251">
        <v>845307</v>
      </c>
      <c r="M93" s="63">
        <v>615306.6068999999</v>
      </c>
      <c r="N93" s="64">
        <v>647437.821</v>
      </c>
      <c r="O93" s="65">
        <v>845307</v>
      </c>
      <c r="P93" s="66">
        <v>845307</v>
      </c>
      <c r="Q93" s="66">
        <f t="shared" si="19"/>
        <v>628252.48720000009</v>
      </c>
      <c r="R93" s="63">
        <f t="shared" si="20"/>
        <v>606742.92321599997</v>
      </c>
      <c r="S93" s="83">
        <f t="shared" si="21"/>
        <v>611195.51695199986</v>
      </c>
      <c r="T93" s="64">
        <f t="shared" si="22"/>
        <v>638441.08105199994</v>
      </c>
      <c r="U93" s="66">
        <f t="shared" si="23"/>
        <v>826693.76699999999</v>
      </c>
      <c r="V93" s="63">
        <f t="shared" si="24"/>
        <v>845307</v>
      </c>
      <c r="W93" s="83">
        <f t="shared" si="25"/>
        <v>845307</v>
      </c>
      <c r="X93" s="64">
        <f t="shared" si="26"/>
        <v>845307</v>
      </c>
      <c r="Z93" s="67">
        <v>653384.29</v>
      </c>
      <c r="AA93" s="68">
        <v>791539.79200000002</v>
      </c>
      <c r="AB93" s="69">
        <v>845307</v>
      </c>
      <c r="AC93" s="70">
        <v>845307</v>
      </c>
      <c r="AD93" s="67">
        <v>615306.6068999999</v>
      </c>
      <c r="AE93" s="68">
        <v>647437.821</v>
      </c>
      <c r="AF93" s="69">
        <v>845307</v>
      </c>
      <c r="AG93" s="70">
        <v>845307</v>
      </c>
      <c r="AH93" s="70">
        <f t="shared" si="27"/>
        <v>650505.7864000001</v>
      </c>
      <c r="AI93" s="70">
        <f t="shared" si="28"/>
        <v>752856.25144000002</v>
      </c>
      <c r="AJ93" s="70">
        <f t="shared" si="29"/>
        <v>664651.898728</v>
      </c>
      <c r="AK93" s="70">
        <f t="shared" si="30"/>
        <v>638441.08105199994</v>
      </c>
      <c r="AL93" s="70">
        <f t="shared" si="31"/>
        <v>826693.76699999999</v>
      </c>
      <c r="AM93" s="70">
        <f t="shared" si="32"/>
        <v>845307</v>
      </c>
      <c r="AN93" s="70">
        <f t="shared" si="33"/>
        <v>845307</v>
      </c>
      <c r="AO93" s="70">
        <f t="shared" si="34"/>
        <v>845307</v>
      </c>
    </row>
    <row r="94" spans="1:41">
      <c r="A94" s="29" t="s">
        <v>593</v>
      </c>
      <c r="B94" s="29" t="s">
        <v>698</v>
      </c>
      <c r="C94" s="107">
        <v>4250634.0199999996</v>
      </c>
      <c r="D94" s="108">
        <v>1800000</v>
      </c>
      <c r="F94" s="107">
        <v>4357464.32</v>
      </c>
      <c r="G94" s="108">
        <v>1850000</v>
      </c>
      <c r="I94" s="64">
        <v>4282369.75</v>
      </c>
      <c r="J94" s="83">
        <v>4554662.4105999991</v>
      </c>
      <c r="K94" s="66">
        <v>1850000</v>
      </c>
      <c r="L94" s="251">
        <v>1850000</v>
      </c>
      <c r="M94" s="63">
        <v>4598645.3987599993</v>
      </c>
      <c r="N94" s="64">
        <v>4500424.1433199998</v>
      </c>
      <c r="O94" s="65">
        <v>1850000</v>
      </c>
      <c r="P94" s="66">
        <v>1850000</v>
      </c>
      <c r="Q94" s="66">
        <f t="shared" si="19"/>
        <v>4273483.7456</v>
      </c>
      <c r="R94" s="63">
        <f t="shared" si="20"/>
        <v>4478420.4656319991</v>
      </c>
      <c r="S94" s="83">
        <f t="shared" si="21"/>
        <v>4586330.1620751992</v>
      </c>
      <c r="T94" s="64">
        <f t="shared" si="22"/>
        <v>4527926.0948431995</v>
      </c>
      <c r="U94" s="66">
        <f t="shared" si="23"/>
        <v>1826310</v>
      </c>
      <c r="V94" s="63">
        <f t="shared" si="24"/>
        <v>1850000</v>
      </c>
      <c r="W94" s="83">
        <f t="shared" si="25"/>
        <v>1850000</v>
      </c>
      <c r="X94" s="64">
        <f t="shared" si="26"/>
        <v>1850000</v>
      </c>
      <c r="Z94" s="67">
        <v>4357464.32</v>
      </c>
      <c r="AA94" s="68">
        <v>4569672.0611000005</v>
      </c>
      <c r="AB94" s="69">
        <v>1850000</v>
      </c>
      <c r="AC94" s="70">
        <v>1850000</v>
      </c>
      <c r="AD94" s="67">
        <v>4598645.3987599993</v>
      </c>
      <c r="AE94" s="68">
        <v>4500424.1433199998</v>
      </c>
      <c r="AF94" s="69">
        <v>1850000</v>
      </c>
      <c r="AG94" s="70">
        <v>1850000</v>
      </c>
      <c r="AH94" s="70">
        <f t="shared" si="27"/>
        <v>4327551.8360000001</v>
      </c>
      <c r="AI94" s="70">
        <f t="shared" si="28"/>
        <v>4510253.893592</v>
      </c>
      <c r="AJ94" s="70">
        <f t="shared" si="29"/>
        <v>4590532.8642151998</v>
      </c>
      <c r="AK94" s="70">
        <f t="shared" si="30"/>
        <v>4527926.0948431995</v>
      </c>
      <c r="AL94" s="70">
        <f t="shared" si="31"/>
        <v>1826310</v>
      </c>
      <c r="AM94" s="70">
        <f t="shared" si="32"/>
        <v>1850000</v>
      </c>
      <c r="AN94" s="70">
        <f t="shared" si="33"/>
        <v>1850000</v>
      </c>
      <c r="AO94" s="70">
        <f t="shared" si="34"/>
        <v>1850000</v>
      </c>
    </row>
    <row r="95" spans="1:41">
      <c r="A95" s="29" t="s">
        <v>601</v>
      </c>
      <c r="B95" s="29" t="s">
        <v>699</v>
      </c>
      <c r="C95" s="107">
        <v>1714867.62</v>
      </c>
      <c r="D95" s="108">
        <v>626000</v>
      </c>
      <c r="F95" s="107">
        <v>1770149.17</v>
      </c>
      <c r="G95" s="108">
        <v>715000</v>
      </c>
      <c r="I95" s="64">
        <v>1755448.3</v>
      </c>
      <c r="J95" s="83">
        <v>1827358.8702000002</v>
      </c>
      <c r="K95" s="66">
        <v>715000</v>
      </c>
      <c r="L95" s="251">
        <v>760000</v>
      </c>
      <c r="M95" s="63">
        <v>1872534.7622999998</v>
      </c>
      <c r="N95" s="64">
        <v>1840611.4557120001</v>
      </c>
      <c r="O95" s="65">
        <v>810000</v>
      </c>
      <c r="P95" s="66">
        <v>810000</v>
      </c>
      <c r="Q95" s="66">
        <f t="shared" si="19"/>
        <v>1744085.7096000002</v>
      </c>
      <c r="R95" s="63">
        <f t="shared" si="20"/>
        <v>1807223.9105440001</v>
      </c>
      <c r="S95" s="83">
        <f t="shared" si="21"/>
        <v>1859885.512512</v>
      </c>
      <c r="T95" s="64">
        <f t="shared" si="22"/>
        <v>1849549.98155664</v>
      </c>
      <c r="U95" s="66">
        <f t="shared" si="23"/>
        <v>672831.8</v>
      </c>
      <c r="V95" s="63">
        <f t="shared" si="24"/>
        <v>738679</v>
      </c>
      <c r="W95" s="83">
        <f t="shared" si="25"/>
        <v>786310</v>
      </c>
      <c r="X95" s="64">
        <f t="shared" si="26"/>
        <v>810000</v>
      </c>
      <c r="Z95" s="67">
        <v>1770149.17</v>
      </c>
      <c r="AA95" s="68">
        <v>1827358.8702000002</v>
      </c>
      <c r="AB95" s="69">
        <v>715000</v>
      </c>
      <c r="AC95" s="70">
        <v>760000</v>
      </c>
      <c r="AD95" s="67">
        <v>1872534.7622999998</v>
      </c>
      <c r="AE95" s="68">
        <v>1840611.4557120001</v>
      </c>
      <c r="AF95" s="69">
        <v>810000</v>
      </c>
      <c r="AG95" s="70">
        <v>810000</v>
      </c>
      <c r="AH95" s="70">
        <f t="shared" si="27"/>
        <v>1754670.3359999999</v>
      </c>
      <c r="AI95" s="70">
        <f t="shared" si="28"/>
        <v>1811340.1541440003</v>
      </c>
      <c r="AJ95" s="70">
        <f t="shared" si="29"/>
        <v>1859885.512512</v>
      </c>
      <c r="AK95" s="70">
        <f t="shared" si="30"/>
        <v>1849549.98155664</v>
      </c>
      <c r="AL95" s="70">
        <f t="shared" si="31"/>
        <v>672831.8</v>
      </c>
      <c r="AM95" s="70">
        <f t="shared" si="32"/>
        <v>738679</v>
      </c>
      <c r="AN95" s="70">
        <f t="shared" si="33"/>
        <v>786310</v>
      </c>
      <c r="AO95" s="70">
        <f t="shared" si="34"/>
        <v>810000</v>
      </c>
    </row>
    <row r="96" spans="1:41">
      <c r="A96" s="29" t="s">
        <v>447</v>
      </c>
      <c r="B96" s="29" t="s">
        <v>700</v>
      </c>
      <c r="C96" s="107">
        <v>0</v>
      </c>
      <c r="D96" s="108">
        <v>4449366</v>
      </c>
      <c r="F96" s="107">
        <v>0</v>
      </c>
      <c r="G96" s="108">
        <v>4449366</v>
      </c>
      <c r="I96" s="64">
        <v>0</v>
      </c>
      <c r="J96" s="83">
        <v>0</v>
      </c>
      <c r="K96" s="66">
        <v>4449366</v>
      </c>
      <c r="L96" s="251">
        <v>4449366</v>
      </c>
      <c r="M96" s="63">
        <v>0</v>
      </c>
      <c r="N96" s="64">
        <v>0</v>
      </c>
      <c r="O96" s="65">
        <v>4449366</v>
      </c>
      <c r="P96" s="66">
        <v>4449366</v>
      </c>
      <c r="Q96" s="66">
        <f t="shared" si="19"/>
        <v>0</v>
      </c>
      <c r="R96" s="63">
        <f t="shared" si="20"/>
        <v>0</v>
      </c>
      <c r="S96" s="83">
        <f t="shared" si="21"/>
        <v>0</v>
      </c>
      <c r="T96" s="64">
        <f t="shared" si="22"/>
        <v>0</v>
      </c>
      <c r="U96" s="66">
        <f t="shared" si="23"/>
        <v>4449366</v>
      </c>
      <c r="V96" s="63">
        <f t="shared" si="24"/>
        <v>4449366</v>
      </c>
      <c r="W96" s="83">
        <f t="shared" si="25"/>
        <v>4449366</v>
      </c>
      <c r="X96" s="64">
        <f t="shared" si="26"/>
        <v>4449366</v>
      </c>
      <c r="Z96" s="67">
        <v>0</v>
      </c>
      <c r="AA96" s="68">
        <v>0</v>
      </c>
      <c r="AB96" s="69">
        <v>4449366</v>
      </c>
      <c r="AC96" s="70">
        <v>4449366</v>
      </c>
      <c r="AD96" s="67">
        <v>0</v>
      </c>
      <c r="AE96" s="68">
        <v>0</v>
      </c>
      <c r="AF96" s="69">
        <v>4449366</v>
      </c>
      <c r="AG96" s="70">
        <v>4449366</v>
      </c>
      <c r="AH96" s="70">
        <f t="shared" si="27"/>
        <v>0</v>
      </c>
      <c r="AI96" s="70">
        <f t="shared" si="28"/>
        <v>0</v>
      </c>
      <c r="AJ96" s="70">
        <f t="shared" si="29"/>
        <v>0</v>
      </c>
      <c r="AK96" s="70">
        <f t="shared" si="30"/>
        <v>0</v>
      </c>
      <c r="AL96" s="70">
        <f t="shared" si="31"/>
        <v>4449366</v>
      </c>
      <c r="AM96" s="70">
        <f t="shared" si="32"/>
        <v>4449366</v>
      </c>
      <c r="AN96" s="70">
        <f t="shared" si="33"/>
        <v>4449366</v>
      </c>
      <c r="AO96" s="70">
        <f t="shared" si="34"/>
        <v>4449366</v>
      </c>
    </row>
    <row r="97" spans="1:41">
      <c r="A97" s="29" t="s">
        <v>315</v>
      </c>
      <c r="B97" s="29" t="s">
        <v>701</v>
      </c>
      <c r="C97" s="107">
        <v>0</v>
      </c>
      <c r="D97" s="108">
        <v>698493</v>
      </c>
      <c r="F97" s="107">
        <v>0</v>
      </c>
      <c r="G97" s="108">
        <v>735538</v>
      </c>
      <c r="I97" s="64">
        <v>0</v>
      </c>
      <c r="J97" s="83">
        <v>0</v>
      </c>
      <c r="K97" s="66">
        <v>735538</v>
      </c>
      <c r="L97" s="251">
        <v>776529</v>
      </c>
      <c r="M97" s="63">
        <v>0</v>
      </c>
      <c r="N97" s="64">
        <v>0</v>
      </c>
      <c r="O97" s="65">
        <v>807343</v>
      </c>
      <c r="P97" s="66">
        <v>807343</v>
      </c>
      <c r="Q97" s="66">
        <f t="shared" si="19"/>
        <v>0</v>
      </c>
      <c r="R97" s="63">
        <f t="shared" si="20"/>
        <v>0</v>
      </c>
      <c r="S97" s="83">
        <f t="shared" si="21"/>
        <v>0</v>
      </c>
      <c r="T97" s="64">
        <f t="shared" si="22"/>
        <v>0</v>
      </c>
      <c r="U97" s="66">
        <f t="shared" si="23"/>
        <v>717986.07900000003</v>
      </c>
      <c r="V97" s="63">
        <f t="shared" si="24"/>
        <v>757107.46420000005</v>
      </c>
      <c r="W97" s="83">
        <f t="shared" si="25"/>
        <v>792743.32680000004</v>
      </c>
      <c r="X97" s="64">
        <f t="shared" si="26"/>
        <v>807343</v>
      </c>
      <c r="Z97" s="67">
        <v>0</v>
      </c>
      <c r="AA97" s="68">
        <v>0</v>
      </c>
      <c r="AB97" s="69">
        <v>735538</v>
      </c>
      <c r="AC97" s="70">
        <v>776529</v>
      </c>
      <c r="AD97" s="67">
        <v>0</v>
      </c>
      <c r="AE97" s="68">
        <v>0</v>
      </c>
      <c r="AF97" s="69">
        <v>807343</v>
      </c>
      <c r="AG97" s="70">
        <v>807343</v>
      </c>
      <c r="AH97" s="70">
        <f t="shared" si="27"/>
        <v>0</v>
      </c>
      <c r="AI97" s="70">
        <f t="shared" si="28"/>
        <v>0</v>
      </c>
      <c r="AJ97" s="70">
        <f t="shared" si="29"/>
        <v>0</v>
      </c>
      <c r="AK97" s="70">
        <f t="shared" si="30"/>
        <v>0</v>
      </c>
      <c r="AL97" s="70">
        <f t="shared" si="31"/>
        <v>717986.07900000003</v>
      </c>
      <c r="AM97" s="70">
        <f t="shared" si="32"/>
        <v>757107.46420000005</v>
      </c>
      <c r="AN97" s="70">
        <f t="shared" si="33"/>
        <v>792743.32680000004</v>
      </c>
      <c r="AO97" s="70">
        <f t="shared" si="34"/>
        <v>807343</v>
      </c>
    </row>
    <row r="98" spans="1:41">
      <c r="A98" s="29" t="s">
        <v>455</v>
      </c>
      <c r="B98" s="29" t="s">
        <v>880</v>
      </c>
      <c r="C98" s="107">
        <v>0</v>
      </c>
      <c r="D98" s="108">
        <v>215000</v>
      </c>
      <c r="F98" s="107">
        <v>0</v>
      </c>
      <c r="G98" s="108">
        <v>211633</v>
      </c>
      <c r="I98" s="64">
        <v>0</v>
      </c>
      <c r="J98" s="83">
        <v>0</v>
      </c>
      <c r="K98" s="66">
        <v>211633</v>
      </c>
      <c r="L98" s="251">
        <v>253619</v>
      </c>
      <c r="M98" s="63">
        <v>0</v>
      </c>
      <c r="N98" s="64">
        <v>0</v>
      </c>
      <c r="O98" s="65">
        <v>266424</v>
      </c>
      <c r="P98" s="66">
        <v>266424</v>
      </c>
      <c r="Q98" s="66">
        <f t="shared" si="19"/>
        <v>0</v>
      </c>
      <c r="R98" s="63">
        <f t="shared" si="20"/>
        <v>0</v>
      </c>
      <c r="S98" s="83">
        <f t="shared" si="21"/>
        <v>0</v>
      </c>
      <c r="T98" s="64">
        <f t="shared" si="22"/>
        <v>0</v>
      </c>
      <c r="U98" s="66">
        <f t="shared" si="23"/>
        <v>213228.28460000001</v>
      </c>
      <c r="V98" s="63">
        <f t="shared" si="24"/>
        <v>233726.03320000001</v>
      </c>
      <c r="W98" s="83">
        <f t="shared" si="25"/>
        <v>260356.99099999998</v>
      </c>
      <c r="X98" s="64">
        <f t="shared" si="26"/>
        <v>266424</v>
      </c>
      <c r="Z98" s="67">
        <v>0</v>
      </c>
      <c r="AA98" s="68">
        <v>0</v>
      </c>
      <c r="AB98" s="69">
        <v>211633</v>
      </c>
      <c r="AC98" s="70">
        <v>253619</v>
      </c>
      <c r="AD98" s="67">
        <v>0</v>
      </c>
      <c r="AE98" s="68">
        <v>0</v>
      </c>
      <c r="AF98" s="69">
        <v>266424</v>
      </c>
      <c r="AG98" s="70">
        <v>266424</v>
      </c>
      <c r="AH98" s="70">
        <f t="shared" si="27"/>
        <v>0</v>
      </c>
      <c r="AI98" s="70">
        <f t="shared" si="28"/>
        <v>0</v>
      </c>
      <c r="AJ98" s="70">
        <f t="shared" si="29"/>
        <v>0</v>
      </c>
      <c r="AK98" s="70">
        <f t="shared" si="30"/>
        <v>0</v>
      </c>
      <c r="AL98" s="70">
        <f t="shared" si="31"/>
        <v>213228.28460000001</v>
      </c>
      <c r="AM98" s="70">
        <f t="shared" si="32"/>
        <v>233726.03320000001</v>
      </c>
      <c r="AN98" s="70">
        <f t="shared" si="33"/>
        <v>260356.99099999998</v>
      </c>
      <c r="AO98" s="70">
        <f t="shared" si="34"/>
        <v>266424</v>
      </c>
    </row>
    <row r="99" spans="1:41">
      <c r="A99" s="29" t="s">
        <v>61</v>
      </c>
      <c r="B99" s="29" t="s">
        <v>904</v>
      </c>
      <c r="C99" s="107">
        <v>23351.93</v>
      </c>
      <c r="D99" s="108">
        <v>353241</v>
      </c>
      <c r="F99" s="107">
        <v>38618.129999999997</v>
      </c>
      <c r="G99" s="108">
        <v>388566</v>
      </c>
      <c r="I99" s="64">
        <v>28789.35</v>
      </c>
      <c r="J99" s="83">
        <v>89262.892699999982</v>
      </c>
      <c r="K99" s="66">
        <v>388566</v>
      </c>
      <c r="L99" s="251">
        <v>388566</v>
      </c>
      <c r="M99" s="63">
        <v>83464.493399999992</v>
      </c>
      <c r="N99" s="64">
        <v>89295.540300000008</v>
      </c>
      <c r="O99" s="65">
        <v>388566</v>
      </c>
      <c r="P99" s="66">
        <v>388566</v>
      </c>
      <c r="Q99" s="66">
        <f t="shared" si="19"/>
        <v>27266.8724</v>
      </c>
      <c r="R99" s="63">
        <f t="shared" si="20"/>
        <v>72330.300743999978</v>
      </c>
      <c r="S99" s="83">
        <f t="shared" si="21"/>
        <v>85088.045203999995</v>
      </c>
      <c r="T99" s="64">
        <f t="shared" si="22"/>
        <v>87662.847168000008</v>
      </c>
      <c r="U99" s="66">
        <f t="shared" si="23"/>
        <v>371829.01500000001</v>
      </c>
      <c r="V99" s="63">
        <f t="shared" si="24"/>
        <v>388566</v>
      </c>
      <c r="W99" s="83">
        <f t="shared" si="25"/>
        <v>388566</v>
      </c>
      <c r="X99" s="64">
        <f t="shared" si="26"/>
        <v>388566</v>
      </c>
      <c r="Z99" s="67">
        <v>38618.129999999997</v>
      </c>
      <c r="AA99" s="68">
        <v>89262.892699999982</v>
      </c>
      <c r="AB99" s="69">
        <v>388566</v>
      </c>
      <c r="AC99" s="70">
        <v>388566</v>
      </c>
      <c r="AD99" s="67">
        <v>83464.493399999992</v>
      </c>
      <c r="AE99" s="68">
        <v>89295.540300000008</v>
      </c>
      <c r="AF99" s="69">
        <v>388566</v>
      </c>
      <c r="AG99" s="70">
        <v>388566</v>
      </c>
      <c r="AH99" s="70">
        <f t="shared" si="27"/>
        <v>34343.593999999997</v>
      </c>
      <c r="AI99" s="70">
        <f t="shared" si="28"/>
        <v>75082.359143999987</v>
      </c>
      <c r="AJ99" s="70">
        <f t="shared" si="29"/>
        <v>85088.045203999995</v>
      </c>
      <c r="AK99" s="70">
        <f t="shared" si="30"/>
        <v>87662.847168000008</v>
      </c>
      <c r="AL99" s="70">
        <f t="shared" si="31"/>
        <v>371829.01500000001</v>
      </c>
      <c r="AM99" s="70">
        <f t="shared" si="32"/>
        <v>388566</v>
      </c>
      <c r="AN99" s="70">
        <f t="shared" si="33"/>
        <v>388566</v>
      </c>
      <c r="AO99" s="70">
        <f t="shared" si="34"/>
        <v>388566</v>
      </c>
    </row>
    <row r="100" spans="1:41">
      <c r="A100" s="29" t="s">
        <v>517</v>
      </c>
      <c r="B100" s="29" t="s">
        <v>702</v>
      </c>
      <c r="C100" s="107">
        <v>0</v>
      </c>
      <c r="D100" s="108">
        <v>2500000</v>
      </c>
      <c r="F100" s="107">
        <v>0</v>
      </c>
      <c r="G100" s="108">
        <v>2309671</v>
      </c>
      <c r="I100" s="64">
        <v>0</v>
      </c>
      <c r="J100" s="83">
        <v>0</v>
      </c>
      <c r="K100" s="66">
        <v>2309671</v>
      </c>
      <c r="L100" s="251">
        <v>3000000</v>
      </c>
      <c r="M100" s="63">
        <v>0</v>
      </c>
      <c r="N100" s="64">
        <v>0</v>
      </c>
      <c r="O100" s="65">
        <v>3096734.4693000005</v>
      </c>
      <c r="P100" s="66">
        <v>3208086.4353999998</v>
      </c>
      <c r="Q100" s="66">
        <f t="shared" si="19"/>
        <v>0</v>
      </c>
      <c r="R100" s="63">
        <f t="shared" si="20"/>
        <v>0</v>
      </c>
      <c r="S100" s="83">
        <f t="shared" si="21"/>
        <v>0</v>
      </c>
      <c r="T100" s="64">
        <f t="shared" si="22"/>
        <v>0</v>
      </c>
      <c r="U100" s="66">
        <f t="shared" si="23"/>
        <v>2399848.8802</v>
      </c>
      <c r="V100" s="63">
        <f t="shared" si="24"/>
        <v>2672922.1198</v>
      </c>
      <c r="W100" s="83">
        <f t="shared" si="25"/>
        <v>3050901.6777456603</v>
      </c>
      <c r="X100" s="64">
        <f t="shared" si="26"/>
        <v>3155327.87386182</v>
      </c>
      <c r="Z100" s="67">
        <v>0</v>
      </c>
      <c r="AA100" s="68">
        <v>0</v>
      </c>
      <c r="AB100" s="69">
        <v>2309671</v>
      </c>
      <c r="AC100" s="70">
        <v>3000000</v>
      </c>
      <c r="AD100" s="67">
        <v>0</v>
      </c>
      <c r="AE100" s="68">
        <v>0</v>
      </c>
      <c r="AF100" s="69">
        <v>3096734.4693000005</v>
      </c>
      <c r="AG100" s="70">
        <v>3208086.4353999998</v>
      </c>
      <c r="AH100" s="70">
        <f t="shared" si="27"/>
        <v>0</v>
      </c>
      <c r="AI100" s="70">
        <f t="shared" si="28"/>
        <v>0</v>
      </c>
      <c r="AJ100" s="70">
        <f t="shared" si="29"/>
        <v>0</v>
      </c>
      <c r="AK100" s="70">
        <f t="shared" si="30"/>
        <v>0</v>
      </c>
      <c r="AL100" s="70">
        <f t="shared" si="31"/>
        <v>2399848.8802</v>
      </c>
      <c r="AM100" s="70">
        <f t="shared" si="32"/>
        <v>2672922.1198</v>
      </c>
      <c r="AN100" s="70">
        <f t="shared" si="33"/>
        <v>3050901.6777456603</v>
      </c>
      <c r="AO100" s="70">
        <f t="shared" si="34"/>
        <v>3155327.87386182</v>
      </c>
    </row>
    <row r="101" spans="1:41">
      <c r="A101" s="29" t="s">
        <v>309</v>
      </c>
      <c r="B101" s="29" t="s">
        <v>885</v>
      </c>
      <c r="C101" s="107">
        <v>0</v>
      </c>
      <c r="D101" s="108">
        <v>325000</v>
      </c>
      <c r="F101" s="107">
        <v>0</v>
      </c>
      <c r="G101" s="108">
        <v>375000</v>
      </c>
      <c r="I101" s="64">
        <v>0</v>
      </c>
      <c r="J101" s="83">
        <v>0</v>
      </c>
      <c r="K101" s="66">
        <v>375000</v>
      </c>
      <c r="L101" s="251">
        <v>348058.7806</v>
      </c>
      <c r="M101" s="63">
        <v>0</v>
      </c>
      <c r="N101" s="64">
        <v>0</v>
      </c>
      <c r="O101" s="65">
        <v>360129.1483</v>
      </c>
      <c r="P101" s="66">
        <v>374389.89279999997</v>
      </c>
      <c r="Q101" s="66">
        <f t="shared" si="19"/>
        <v>0</v>
      </c>
      <c r="R101" s="63">
        <f t="shared" si="20"/>
        <v>0</v>
      </c>
      <c r="S101" s="83">
        <f t="shared" si="21"/>
        <v>0</v>
      </c>
      <c r="T101" s="64">
        <f t="shared" si="22"/>
        <v>0</v>
      </c>
      <c r="U101" s="66">
        <f t="shared" si="23"/>
        <v>351310</v>
      </c>
      <c r="V101" s="63">
        <f t="shared" si="24"/>
        <v>360823.53035171999</v>
      </c>
      <c r="W101" s="83">
        <f t="shared" si="25"/>
        <v>354410.20808373997</v>
      </c>
      <c r="X101" s="64">
        <f t="shared" si="26"/>
        <v>367633.15205589996</v>
      </c>
      <c r="Z101" s="67">
        <v>0</v>
      </c>
      <c r="AA101" s="68">
        <v>0</v>
      </c>
      <c r="AB101" s="69">
        <v>375000</v>
      </c>
      <c r="AC101" s="70">
        <v>362970.23940000002</v>
      </c>
      <c r="AD101" s="67">
        <v>0</v>
      </c>
      <c r="AE101" s="68">
        <v>0</v>
      </c>
      <c r="AF101" s="69">
        <v>360129.1483</v>
      </c>
      <c r="AG101" s="70">
        <v>374389.89279999997</v>
      </c>
      <c r="AH101" s="70">
        <f t="shared" si="27"/>
        <v>0</v>
      </c>
      <c r="AI101" s="70">
        <f t="shared" si="28"/>
        <v>0</v>
      </c>
      <c r="AJ101" s="70">
        <f t="shared" si="29"/>
        <v>0</v>
      </c>
      <c r="AK101" s="70">
        <f t="shared" si="30"/>
        <v>0</v>
      </c>
      <c r="AL101" s="70">
        <f t="shared" si="31"/>
        <v>351310</v>
      </c>
      <c r="AM101" s="70">
        <f t="shared" si="32"/>
        <v>368669.93997228</v>
      </c>
      <c r="AN101" s="70">
        <f t="shared" si="33"/>
        <v>361475.25726317998</v>
      </c>
      <c r="AO101" s="70">
        <f t="shared" si="34"/>
        <v>367633.15205589996</v>
      </c>
    </row>
    <row r="102" spans="1:41">
      <c r="A102" s="29" t="s">
        <v>599</v>
      </c>
      <c r="B102" s="29" t="s">
        <v>703</v>
      </c>
      <c r="C102" s="107">
        <v>782244.9</v>
      </c>
      <c r="D102" s="108">
        <v>1200000</v>
      </c>
      <c r="F102" s="107">
        <v>788052.32</v>
      </c>
      <c r="G102" s="108">
        <v>1250000</v>
      </c>
      <c r="I102" s="64">
        <v>717593.02</v>
      </c>
      <c r="J102" s="83">
        <v>743599.04379999998</v>
      </c>
      <c r="K102" s="66">
        <v>1250000</v>
      </c>
      <c r="L102" s="251">
        <v>1350000</v>
      </c>
      <c r="M102" s="63">
        <v>710757.36990000005</v>
      </c>
      <c r="N102" s="64">
        <v>636055.78323000018</v>
      </c>
      <c r="O102" s="65">
        <v>1350000</v>
      </c>
      <c r="P102" s="66">
        <v>1350000</v>
      </c>
      <c r="Q102" s="66">
        <f t="shared" si="19"/>
        <v>735695.54639999999</v>
      </c>
      <c r="R102" s="63">
        <f t="shared" si="20"/>
        <v>736317.35713599995</v>
      </c>
      <c r="S102" s="83">
        <f t="shared" si="21"/>
        <v>719953.03859200003</v>
      </c>
      <c r="T102" s="64">
        <f t="shared" si="22"/>
        <v>656972.22749760014</v>
      </c>
      <c r="U102" s="66">
        <f t="shared" si="23"/>
        <v>1226310</v>
      </c>
      <c r="V102" s="63">
        <f t="shared" si="24"/>
        <v>1302620</v>
      </c>
      <c r="W102" s="83">
        <f t="shared" si="25"/>
        <v>1350000</v>
      </c>
      <c r="X102" s="64">
        <f t="shared" si="26"/>
        <v>1350000</v>
      </c>
      <c r="Z102" s="67">
        <v>788052.32</v>
      </c>
      <c r="AA102" s="68">
        <v>798539.69350000005</v>
      </c>
      <c r="AB102" s="69">
        <v>1250000</v>
      </c>
      <c r="AC102" s="70">
        <v>1350000</v>
      </c>
      <c r="AD102" s="67">
        <v>710757.36990000005</v>
      </c>
      <c r="AE102" s="68">
        <v>636055.78323000018</v>
      </c>
      <c r="AF102" s="69">
        <v>1350000</v>
      </c>
      <c r="AG102" s="70">
        <v>1350000</v>
      </c>
      <c r="AH102" s="70">
        <f t="shared" si="27"/>
        <v>786426.24239999999</v>
      </c>
      <c r="AI102" s="70">
        <f t="shared" si="28"/>
        <v>795603.22892000002</v>
      </c>
      <c r="AJ102" s="70">
        <f t="shared" si="29"/>
        <v>735336.42050800007</v>
      </c>
      <c r="AK102" s="70">
        <f t="shared" si="30"/>
        <v>656972.22749760014</v>
      </c>
      <c r="AL102" s="70">
        <f t="shared" si="31"/>
        <v>1226310</v>
      </c>
      <c r="AM102" s="70">
        <f t="shared" si="32"/>
        <v>1302620</v>
      </c>
      <c r="AN102" s="70">
        <f t="shared" si="33"/>
        <v>1350000</v>
      </c>
      <c r="AO102" s="70">
        <f t="shared" si="34"/>
        <v>1350000</v>
      </c>
    </row>
    <row r="103" spans="1:41">
      <c r="A103" s="29" t="s">
        <v>191</v>
      </c>
      <c r="B103" s="29" t="s">
        <v>704</v>
      </c>
      <c r="C103" s="107">
        <v>0</v>
      </c>
      <c r="D103" s="108">
        <v>50211909</v>
      </c>
      <c r="F103" s="107">
        <v>0</v>
      </c>
      <c r="G103" s="108">
        <v>51718266</v>
      </c>
      <c r="I103" s="64">
        <v>0</v>
      </c>
      <c r="J103" s="83">
        <v>0</v>
      </c>
      <c r="K103" s="66">
        <v>51718266</v>
      </c>
      <c r="L103" s="251">
        <v>52986832.528200001</v>
      </c>
      <c r="M103" s="63">
        <v>0</v>
      </c>
      <c r="N103" s="64">
        <v>0</v>
      </c>
      <c r="O103" s="65">
        <v>54823160.047800004</v>
      </c>
      <c r="P103" s="66">
        <v>56995093.940400004</v>
      </c>
      <c r="Q103" s="66">
        <f t="shared" si="19"/>
        <v>0</v>
      </c>
      <c r="R103" s="63">
        <f t="shared" si="20"/>
        <v>0</v>
      </c>
      <c r="S103" s="83">
        <f t="shared" si="21"/>
        <v>0</v>
      </c>
      <c r="T103" s="64">
        <f t="shared" si="22"/>
        <v>0</v>
      </c>
      <c r="U103" s="66">
        <f t="shared" si="23"/>
        <v>51004554.053400002</v>
      </c>
      <c r="V103" s="63">
        <f t="shared" si="24"/>
        <v>52385785.707138836</v>
      </c>
      <c r="W103" s="83">
        <f t="shared" si="25"/>
        <v>53953108.069013521</v>
      </c>
      <c r="X103" s="64">
        <f t="shared" si="26"/>
        <v>55966031.662086129</v>
      </c>
      <c r="Z103" s="67">
        <v>0</v>
      </c>
      <c r="AA103" s="68">
        <v>0</v>
      </c>
      <c r="AB103" s="69">
        <v>51718266</v>
      </c>
      <c r="AC103" s="70">
        <v>53249308.747000001</v>
      </c>
      <c r="AD103" s="67">
        <v>0</v>
      </c>
      <c r="AE103" s="68">
        <v>0</v>
      </c>
      <c r="AF103" s="69">
        <v>54823160.047800004</v>
      </c>
      <c r="AG103" s="70">
        <v>56995093.940400004</v>
      </c>
      <c r="AH103" s="70">
        <f t="shared" si="27"/>
        <v>0</v>
      </c>
      <c r="AI103" s="70">
        <f t="shared" si="28"/>
        <v>0</v>
      </c>
      <c r="AJ103" s="70">
        <f t="shared" si="29"/>
        <v>0</v>
      </c>
      <c r="AK103" s="70">
        <f t="shared" si="30"/>
        <v>0</v>
      </c>
      <c r="AL103" s="70">
        <f t="shared" si="31"/>
        <v>51004554.053400002</v>
      </c>
      <c r="AM103" s="70">
        <f t="shared" si="32"/>
        <v>52523900.693471402</v>
      </c>
      <c r="AN103" s="70">
        <f t="shared" si="33"/>
        <v>54077469.301480964</v>
      </c>
      <c r="AO103" s="70">
        <f t="shared" si="34"/>
        <v>55966031.662086129</v>
      </c>
    </row>
    <row r="104" spans="1:41">
      <c r="A104" s="29" t="s">
        <v>57</v>
      </c>
      <c r="B104" s="29" t="s">
        <v>705</v>
      </c>
      <c r="C104" s="107">
        <v>444708.4</v>
      </c>
      <c r="D104" s="108">
        <v>2813450</v>
      </c>
      <c r="F104" s="107">
        <v>345228.48</v>
      </c>
      <c r="G104" s="108">
        <v>3065000</v>
      </c>
      <c r="I104" s="64">
        <v>0</v>
      </c>
      <c r="J104" s="83">
        <v>0</v>
      </c>
      <c r="K104" s="66">
        <v>3065000</v>
      </c>
      <c r="L104" s="251">
        <v>3335000</v>
      </c>
      <c r="M104" s="63">
        <v>0</v>
      </c>
      <c r="N104" s="64">
        <v>0</v>
      </c>
      <c r="O104" s="65">
        <v>3335000</v>
      </c>
      <c r="P104" s="66">
        <v>3335000</v>
      </c>
      <c r="Q104" s="66">
        <f t="shared" si="19"/>
        <v>124518.35200000001</v>
      </c>
      <c r="R104" s="63">
        <f t="shared" si="20"/>
        <v>0</v>
      </c>
      <c r="S104" s="83">
        <f t="shared" si="21"/>
        <v>0</v>
      </c>
      <c r="T104" s="64">
        <f t="shared" si="22"/>
        <v>0</v>
      </c>
      <c r="U104" s="66">
        <f t="shared" si="23"/>
        <v>2945815.6100000003</v>
      </c>
      <c r="V104" s="63">
        <f t="shared" si="24"/>
        <v>3207074</v>
      </c>
      <c r="W104" s="83">
        <f t="shared" si="25"/>
        <v>3335000</v>
      </c>
      <c r="X104" s="64">
        <f t="shared" si="26"/>
        <v>3335000</v>
      </c>
      <c r="Z104" s="67">
        <v>345228.48</v>
      </c>
      <c r="AA104" s="68">
        <v>127998.47015000015</v>
      </c>
      <c r="AB104" s="69">
        <v>3065000</v>
      </c>
      <c r="AC104" s="70">
        <v>3335000</v>
      </c>
      <c r="AD104" s="67">
        <v>0</v>
      </c>
      <c r="AE104" s="68">
        <v>0</v>
      </c>
      <c r="AF104" s="69">
        <v>3335000</v>
      </c>
      <c r="AG104" s="70">
        <v>3335000</v>
      </c>
      <c r="AH104" s="70">
        <f t="shared" si="27"/>
        <v>373082.85759999999</v>
      </c>
      <c r="AI104" s="70">
        <f t="shared" si="28"/>
        <v>188822.87290800011</v>
      </c>
      <c r="AJ104" s="70">
        <f t="shared" si="29"/>
        <v>35839.571642000046</v>
      </c>
      <c r="AK104" s="70">
        <f t="shared" si="30"/>
        <v>0</v>
      </c>
      <c r="AL104" s="70">
        <f t="shared" si="31"/>
        <v>2945815.6100000003</v>
      </c>
      <c r="AM104" s="70">
        <f t="shared" si="32"/>
        <v>3207074</v>
      </c>
      <c r="AN104" s="70">
        <f t="shared" si="33"/>
        <v>3335000</v>
      </c>
      <c r="AO104" s="70">
        <f t="shared" si="34"/>
        <v>3335000</v>
      </c>
    </row>
    <row r="105" spans="1:41">
      <c r="A105" s="29" t="s">
        <v>325</v>
      </c>
      <c r="B105" s="29" t="s">
        <v>706</v>
      </c>
      <c r="C105" s="107">
        <v>0</v>
      </c>
      <c r="D105" s="108">
        <v>1418528</v>
      </c>
      <c r="F105" s="107">
        <v>0</v>
      </c>
      <c r="G105" s="108">
        <v>1226226</v>
      </c>
      <c r="I105" s="64">
        <v>0</v>
      </c>
      <c r="J105" s="83">
        <v>0</v>
      </c>
      <c r="K105" s="66">
        <v>1226226</v>
      </c>
      <c r="L105" s="251">
        <v>1475269</v>
      </c>
      <c r="M105" s="63">
        <v>0</v>
      </c>
      <c r="N105" s="64">
        <v>0</v>
      </c>
      <c r="O105" s="65">
        <v>1475269</v>
      </c>
      <c r="P105" s="66">
        <v>1475269</v>
      </c>
      <c r="Q105" s="66">
        <f t="shared" si="19"/>
        <v>0</v>
      </c>
      <c r="R105" s="63">
        <f t="shared" si="20"/>
        <v>0</v>
      </c>
      <c r="S105" s="83">
        <f t="shared" si="21"/>
        <v>0</v>
      </c>
      <c r="T105" s="64">
        <f t="shared" si="22"/>
        <v>0</v>
      </c>
      <c r="U105" s="66">
        <f t="shared" si="23"/>
        <v>1317338.6876000001</v>
      </c>
      <c r="V105" s="63">
        <f t="shared" si="24"/>
        <v>1357272.4265999999</v>
      </c>
      <c r="W105" s="83">
        <f t="shared" si="25"/>
        <v>1475269</v>
      </c>
      <c r="X105" s="64">
        <f t="shared" si="26"/>
        <v>1475269</v>
      </c>
      <c r="Z105" s="67">
        <v>0</v>
      </c>
      <c r="AA105" s="68">
        <v>0</v>
      </c>
      <c r="AB105" s="69">
        <v>1226226</v>
      </c>
      <c r="AC105" s="70">
        <v>1475269</v>
      </c>
      <c r="AD105" s="67">
        <v>0</v>
      </c>
      <c r="AE105" s="68">
        <v>0</v>
      </c>
      <c r="AF105" s="69">
        <v>1475269</v>
      </c>
      <c r="AG105" s="70">
        <v>1475269</v>
      </c>
      <c r="AH105" s="70">
        <f t="shared" si="27"/>
        <v>0</v>
      </c>
      <c r="AI105" s="70">
        <f t="shared" si="28"/>
        <v>0</v>
      </c>
      <c r="AJ105" s="70">
        <f t="shared" si="29"/>
        <v>0</v>
      </c>
      <c r="AK105" s="70">
        <f t="shared" si="30"/>
        <v>0</v>
      </c>
      <c r="AL105" s="70">
        <f t="shared" si="31"/>
        <v>1317338.6876000001</v>
      </c>
      <c r="AM105" s="70">
        <f t="shared" si="32"/>
        <v>1357272.4265999999</v>
      </c>
      <c r="AN105" s="70">
        <f t="shared" si="33"/>
        <v>1475269</v>
      </c>
      <c r="AO105" s="70">
        <f t="shared" si="34"/>
        <v>1475269</v>
      </c>
    </row>
    <row r="106" spans="1:41">
      <c r="A106" s="29" t="s">
        <v>143</v>
      </c>
      <c r="B106" s="29" t="s">
        <v>707</v>
      </c>
      <c r="C106" s="107">
        <v>1450288.36</v>
      </c>
      <c r="D106" s="108">
        <v>1999296</v>
      </c>
      <c r="F106" s="107">
        <v>1439414.73</v>
      </c>
      <c r="G106" s="108">
        <v>2110907</v>
      </c>
      <c r="I106" s="64">
        <v>1420400.03</v>
      </c>
      <c r="J106" s="83">
        <v>1568093.4319</v>
      </c>
      <c r="K106" s="66">
        <v>2110907</v>
      </c>
      <c r="L106" s="251">
        <v>2136636.06</v>
      </c>
      <c r="M106" s="63">
        <v>1581827.5397999999</v>
      </c>
      <c r="N106" s="64">
        <v>1592156.9790000001</v>
      </c>
      <c r="O106" s="65">
        <v>2278358.9874999998</v>
      </c>
      <c r="P106" s="66">
        <v>2287145</v>
      </c>
      <c r="Q106" s="66">
        <f t="shared" si="19"/>
        <v>1428768.7624000001</v>
      </c>
      <c r="R106" s="63">
        <f t="shared" si="20"/>
        <v>1526739.2793680001</v>
      </c>
      <c r="S106" s="83">
        <f t="shared" si="21"/>
        <v>1577981.9895879999</v>
      </c>
      <c r="T106" s="64">
        <f t="shared" si="22"/>
        <v>1589264.736024</v>
      </c>
      <c r="U106" s="66">
        <f t="shared" si="23"/>
        <v>2058025.7082000002</v>
      </c>
      <c r="V106" s="63">
        <f t="shared" si="24"/>
        <v>2124445.6313720001</v>
      </c>
      <c r="W106" s="83">
        <f t="shared" si="25"/>
        <v>2211210.6644505002</v>
      </c>
      <c r="X106" s="64">
        <f t="shared" si="26"/>
        <v>2282982.1872774996</v>
      </c>
      <c r="Z106" s="67">
        <v>1439414.73</v>
      </c>
      <c r="AA106" s="68">
        <v>1568093.4319</v>
      </c>
      <c r="AB106" s="69">
        <v>2110907</v>
      </c>
      <c r="AC106" s="70">
        <v>2136636.06</v>
      </c>
      <c r="AD106" s="67">
        <v>1581827.5397999999</v>
      </c>
      <c r="AE106" s="68">
        <v>1592156.9790000001</v>
      </c>
      <c r="AF106" s="69">
        <v>2278358.9874999998</v>
      </c>
      <c r="AG106" s="70">
        <v>2287145</v>
      </c>
      <c r="AH106" s="70">
        <f t="shared" si="27"/>
        <v>1442459.3463999999</v>
      </c>
      <c r="AI106" s="70">
        <f t="shared" si="28"/>
        <v>1532063.395368</v>
      </c>
      <c r="AJ106" s="70">
        <f t="shared" si="29"/>
        <v>1577981.9895879999</v>
      </c>
      <c r="AK106" s="70">
        <f t="shared" si="30"/>
        <v>1589264.736024</v>
      </c>
      <c r="AL106" s="70">
        <f t="shared" si="31"/>
        <v>2058025.7082000002</v>
      </c>
      <c r="AM106" s="70">
        <f t="shared" si="32"/>
        <v>2124445.6313720001</v>
      </c>
      <c r="AN106" s="70">
        <f t="shared" si="33"/>
        <v>2211210.6644505002</v>
      </c>
      <c r="AO106" s="70">
        <f t="shared" si="34"/>
        <v>2282982.1872774996</v>
      </c>
    </row>
    <row r="107" spans="1:41">
      <c r="A107" s="29" t="s">
        <v>107</v>
      </c>
      <c r="B107" s="29" t="s">
        <v>708</v>
      </c>
      <c r="C107" s="107">
        <v>238768.3</v>
      </c>
      <c r="D107" s="108">
        <v>106582</v>
      </c>
      <c r="F107" s="107">
        <v>229294.05</v>
      </c>
      <c r="G107" s="108">
        <v>107149</v>
      </c>
      <c r="I107" s="64">
        <v>229294.05</v>
      </c>
      <c r="J107" s="83">
        <v>262454.3601339999</v>
      </c>
      <c r="K107" s="66">
        <v>107149</v>
      </c>
      <c r="L107" s="251">
        <v>107149</v>
      </c>
      <c r="M107" s="63">
        <v>261802.65607999999</v>
      </c>
      <c r="N107" s="64">
        <v>265249.19995200005</v>
      </c>
      <c r="O107" s="65">
        <v>107149</v>
      </c>
      <c r="P107" s="66">
        <v>107149</v>
      </c>
      <c r="Q107" s="66">
        <f t="shared" si="19"/>
        <v>231946.83999999997</v>
      </c>
      <c r="R107" s="63">
        <f t="shared" si="20"/>
        <v>253169.47329647993</v>
      </c>
      <c r="S107" s="83">
        <f t="shared" si="21"/>
        <v>261985.13321511995</v>
      </c>
      <c r="T107" s="64">
        <f t="shared" si="22"/>
        <v>264284.16766784003</v>
      </c>
      <c r="U107" s="66">
        <f t="shared" si="23"/>
        <v>106880.3554</v>
      </c>
      <c r="V107" s="63">
        <f t="shared" si="24"/>
        <v>107149</v>
      </c>
      <c r="W107" s="83">
        <f t="shared" si="25"/>
        <v>107149</v>
      </c>
      <c r="X107" s="64">
        <f t="shared" si="26"/>
        <v>107149</v>
      </c>
      <c r="Z107" s="67">
        <v>229294.05</v>
      </c>
      <c r="AA107" s="68">
        <v>262454.3601339999</v>
      </c>
      <c r="AB107" s="69">
        <v>107149</v>
      </c>
      <c r="AC107" s="70">
        <v>107149</v>
      </c>
      <c r="AD107" s="67">
        <v>261802.65607999999</v>
      </c>
      <c r="AE107" s="68">
        <v>265249.19995200005</v>
      </c>
      <c r="AF107" s="69">
        <v>107149</v>
      </c>
      <c r="AG107" s="70">
        <v>107149</v>
      </c>
      <c r="AH107" s="70">
        <f t="shared" si="27"/>
        <v>231946.83999999997</v>
      </c>
      <c r="AI107" s="70">
        <f t="shared" si="28"/>
        <v>253169.47329647993</v>
      </c>
      <c r="AJ107" s="70">
        <f t="shared" si="29"/>
        <v>261985.13321511995</v>
      </c>
      <c r="AK107" s="70">
        <f t="shared" si="30"/>
        <v>264284.16766784003</v>
      </c>
      <c r="AL107" s="70">
        <f t="shared" si="31"/>
        <v>106880.3554</v>
      </c>
      <c r="AM107" s="70">
        <f t="shared" si="32"/>
        <v>107149</v>
      </c>
      <c r="AN107" s="70">
        <f t="shared" si="33"/>
        <v>107149</v>
      </c>
      <c r="AO107" s="70">
        <f t="shared" si="34"/>
        <v>107149</v>
      </c>
    </row>
    <row r="108" spans="1:41">
      <c r="A108" s="29" t="s">
        <v>435</v>
      </c>
      <c r="B108" s="29" t="s">
        <v>709</v>
      </c>
      <c r="C108" s="107">
        <v>0</v>
      </c>
      <c r="D108" s="108">
        <v>96426</v>
      </c>
      <c r="F108" s="107">
        <v>0</v>
      </c>
      <c r="G108" s="108">
        <v>101822</v>
      </c>
      <c r="I108" s="64">
        <v>0</v>
      </c>
      <c r="J108" s="83">
        <v>0</v>
      </c>
      <c r="K108" s="66">
        <v>101822</v>
      </c>
      <c r="L108" s="251">
        <v>101386.40519999999</v>
      </c>
      <c r="M108" s="63">
        <v>0</v>
      </c>
      <c r="N108" s="64">
        <v>0</v>
      </c>
      <c r="O108" s="65">
        <v>103515.45420000001</v>
      </c>
      <c r="P108" s="66">
        <v>105792.7794</v>
      </c>
      <c r="Q108" s="66">
        <f t="shared" si="19"/>
        <v>0</v>
      </c>
      <c r="R108" s="63">
        <f t="shared" si="20"/>
        <v>0</v>
      </c>
      <c r="S108" s="83">
        <f t="shared" si="21"/>
        <v>0</v>
      </c>
      <c r="T108" s="64">
        <f t="shared" si="22"/>
        <v>0</v>
      </c>
      <c r="U108" s="66">
        <f t="shared" si="23"/>
        <v>99265.375200000009</v>
      </c>
      <c r="V108" s="63">
        <f t="shared" si="24"/>
        <v>101592.79001624</v>
      </c>
      <c r="W108" s="83">
        <f t="shared" si="25"/>
        <v>102506.71078379999</v>
      </c>
      <c r="X108" s="64">
        <f t="shared" si="26"/>
        <v>104713.78272024001</v>
      </c>
      <c r="Z108" s="67">
        <v>0</v>
      </c>
      <c r="AA108" s="68">
        <v>0</v>
      </c>
      <c r="AB108" s="69">
        <v>101822</v>
      </c>
      <c r="AC108" s="70">
        <v>101386.40519999999</v>
      </c>
      <c r="AD108" s="67">
        <v>0</v>
      </c>
      <c r="AE108" s="68">
        <v>0</v>
      </c>
      <c r="AF108" s="69">
        <v>103515.45420000001</v>
      </c>
      <c r="AG108" s="70">
        <v>105792.7794</v>
      </c>
      <c r="AH108" s="70">
        <f t="shared" si="27"/>
        <v>0</v>
      </c>
      <c r="AI108" s="70">
        <f t="shared" si="28"/>
        <v>0</v>
      </c>
      <c r="AJ108" s="70">
        <f t="shared" si="29"/>
        <v>0</v>
      </c>
      <c r="AK108" s="70">
        <f t="shared" si="30"/>
        <v>0</v>
      </c>
      <c r="AL108" s="70">
        <f t="shared" si="31"/>
        <v>99265.375200000009</v>
      </c>
      <c r="AM108" s="70">
        <f t="shared" si="32"/>
        <v>101592.79001624</v>
      </c>
      <c r="AN108" s="70">
        <f t="shared" si="33"/>
        <v>102506.71078379999</v>
      </c>
      <c r="AO108" s="70">
        <f t="shared" si="34"/>
        <v>104713.78272024001</v>
      </c>
    </row>
    <row r="109" spans="1:41">
      <c r="A109" s="29" t="s">
        <v>211</v>
      </c>
      <c r="B109" s="29" t="s">
        <v>710</v>
      </c>
      <c r="C109" s="107">
        <v>0</v>
      </c>
      <c r="D109" s="108">
        <v>49850000</v>
      </c>
      <c r="F109" s="107">
        <v>0</v>
      </c>
      <c r="G109" s="108">
        <v>54000000</v>
      </c>
      <c r="I109" s="64">
        <v>0</v>
      </c>
      <c r="J109" s="83">
        <v>0</v>
      </c>
      <c r="K109" s="66">
        <v>54000000</v>
      </c>
      <c r="L109" s="251">
        <v>54000000</v>
      </c>
      <c r="M109" s="63">
        <v>0</v>
      </c>
      <c r="N109" s="64">
        <v>0</v>
      </c>
      <c r="O109" s="65">
        <v>54000000</v>
      </c>
      <c r="P109" s="66">
        <v>54000000</v>
      </c>
      <c r="Q109" s="66">
        <f t="shared" si="19"/>
        <v>0</v>
      </c>
      <c r="R109" s="63">
        <f t="shared" si="20"/>
        <v>0</v>
      </c>
      <c r="S109" s="83">
        <f t="shared" si="21"/>
        <v>0</v>
      </c>
      <c r="T109" s="64">
        <f t="shared" si="22"/>
        <v>0</v>
      </c>
      <c r="U109" s="66">
        <f t="shared" si="23"/>
        <v>52033730</v>
      </c>
      <c r="V109" s="63">
        <f t="shared" si="24"/>
        <v>54000000</v>
      </c>
      <c r="W109" s="83">
        <f t="shared" si="25"/>
        <v>54000000</v>
      </c>
      <c r="X109" s="64">
        <f t="shared" si="26"/>
        <v>54000000</v>
      </c>
      <c r="Z109" s="67">
        <v>0</v>
      </c>
      <c r="AA109" s="68">
        <v>0</v>
      </c>
      <c r="AB109" s="69">
        <v>54000000</v>
      </c>
      <c r="AC109" s="70">
        <v>54000000</v>
      </c>
      <c r="AD109" s="67">
        <v>0</v>
      </c>
      <c r="AE109" s="68">
        <v>0</v>
      </c>
      <c r="AF109" s="69">
        <v>54000000</v>
      </c>
      <c r="AG109" s="70">
        <v>54000000</v>
      </c>
      <c r="AH109" s="70">
        <f t="shared" si="27"/>
        <v>0</v>
      </c>
      <c r="AI109" s="70">
        <f t="shared" si="28"/>
        <v>0</v>
      </c>
      <c r="AJ109" s="70">
        <f t="shared" si="29"/>
        <v>0</v>
      </c>
      <c r="AK109" s="70">
        <f t="shared" si="30"/>
        <v>0</v>
      </c>
      <c r="AL109" s="70">
        <f t="shared" si="31"/>
        <v>52033730</v>
      </c>
      <c r="AM109" s="70">
        <f t="shared" si="32"/>
        <v>54000000</v>
      </c>
      <c r="AN109" s="70">
        <f t="shared" si="33"/>
        <v>54000000</v>
      </c>
      <c r="AO109" s="70">
        <f t="shared" si="34"/>
        <v>54000000</v>
      </c>
    </row>
    <row r="110" spans="1:41">
      <c r="A110" s="29" t="s">
        <v>117</v>
      </c>
      <c r="B110" s="29" t="s">
        <v>901</v>
      </c>
      <c r="C110" s="107">
        <v>0</v>
      </c>
      <c r="D110" s="108">
        <v>75000</v>
      </c>
      <c r="F110" s="107">
        <v>0</v>
      </c>
      <c r="G110" s="108">
        <v>75000</v>
      </c>
      <c r="I110" s="64">
        <v>0</v>
      </c>
      <c r="J110" s="83">
        <v>0</v>
      </c>
      <c r="K110" s="66">
        <v>75000</v>
      </c>
      <c r="L110" s="251">
        <v>75000</v>
      </c>
      <c r="M110" s="63">
        <v>0</v>
      </c>
      <c r="N110" s="64">
        <v>0</v>
      </c>
      <c r="O110" s="65">
        <v>75000</v>
      </c>
      <c r="P110" s="66">
        <v>75000</v>
      </c>
      <c r="Q110" s="66">
        <f t="shared" si="19"/>
        <v>0</v>
      </c>
      <c r="R110" s="63">
        <f t="shared" si="20"/>
        <v>0</v>
      </c>
      <c r="S110" s="83">
        <f t="shared" si="21"/>
        <v>0</v>
      </c>
      <c r="T110" s="64">
        <f t="shared" si="22"/>
        <v>0</v>
      </c>
      <c r="U110" s="66">
        <f t="shared" si="23"/>
        <v>75000</v>
      </c>
      <c r="V110" s="63">
        <f t="shared" si="24"/>
        <v>75000</v>
      </c>
      <c r="W110" s="83">
        <f t="shared" si="25"/>
        <v>75000</v>
      </c>
      <c r="X110" s="64">
        <f t="shared" si="26"/>
        <v>75000</v>
      </c>
      <c r="Z110" s="67">
        <v>0</v>
      </c>
      <c r="AA110" s="68">
        <v>0</v>
      </c>
      <c r="AB110" s="69">
        <v>75000</v>
      </c>
      <c r="AC110" s="70">
        <v>75000</v>
      </c>
      <c r="AD110" s="67">
        <v>0</v>
      </c>
      <c r="AE110" s="68">
        <v>0</v>
      </c>
      <c r="AF110" s="69">
        <v>75000</v>
      </c>
      <c r="AG110" s="70">
        <v>75000</v>
      </c>
      <c r="AH110" s="70">
        <f t="shared" si="27"/>
        <v>0</v>
      </c>
      <c r="AI110" s="70">
        <f t="shared" si="28"/>
        <v>0</v>
      </c>
      <c r="AJ110" s="70">
        <f t="shared" si="29"/>
        <v>0</v>
      </c>
      <c r="AK110" s="70">
        <f t="shared" si="30"/>
        <v>0</v>
      </c>
      <c r="AL110" s="70">
        <f t="shared" si="31"/>
        <v>75000</v>
      </c>
      <c r="AM110" s="70">
        <f t="shared" si="32"/>
        <v>75000</v>
      </c>
      <c r="AN110" s="70">
        <f t="shared" si="33"/>
        <v>75000</v>
      </c>
      <c r="AO110" s="70">
        <f t="shared" si="34"/>
        <v>75000</v>
      </c>
    </row>
    <row r="111" spans="1:41">
      <c r="A111" s="29" t="s">
        <v>83</v>
      </c>
      <c r="B111" s="29" t="s">
        <v>711</v>
      </c>
      <c r="C111" s="107">
        <v>0</v>
      </c>
      <c r="D111" s="108">
        <v>2329475</v>
      </c>
      <c r="F111" s="107">
        <v>0</v>
      </c>
      <c r="G111" s="108">
        <v>2492539</v>
      </c>
      <c r="I111" s="64">
        <v>0</v>
      </c>
      <c r="J111" s="83">
        <v>0</v>
      </c>
      <c r="K111" s="66">
        <v>2492539</v>
      </c>
      <c r="L111" s="251">
        <v>2667016</v>
      </c>
      <c r="M111" s="63">
        <v>0</v>
      </c>
      <c r="N111" s="64">
        <v>0</v>
      </c>
      <c r="O111" s="65">
        <v>2667016</v>
      </c>
      <c r="P111" s="66">
        <v>2667016</v>
      </c>
      <c r="Q111" s="66">
        <f t="shared" si="19"/>
        <v>0</v>
      </c>
      <c r="R111" s="63">
        <f t="shared" si="20"/>
        <v>0</v>
      </c>
      <c r="S111" s="83">
        <f t="shared" si="21"/>
        <v>0</v>
      </c>
      <c r="T111" s="64">
        <f t="shared" si="22"/>
        <v>0</v>
      </c>
      <c r="U111" s="66">
        <f t="shared" si="23"/>
        <v>2415279.2768000001</v>
      </c>
      <c r="V111" s="63">
        <f t="shared" si="24"/>
        <v>2584348.7974</v>
      </c>
      <c r="W111" s="83">
        <f t="shared" si="25"/>
        <v>2667016</v>
      </c>
      <c r="X111" s="64">
        <f t="shared" si="26"/>
        <v>2667016</v>
      </c>
      <c r="Z111" s="67">
        <v>0</v>
      </c>
      <c r="AA111" s="68">
        <v>0</v>
      </c>
      <c r="AB111" s="69">
        <v>2492539</v>
      </c>
      <c r="AC111" s="70">
        <v>2667016</v>
      </c>
      <c r="AD111" s="67">
        <v>0</v>
      </c>
      <c r="AE111" s="68">
        <v>0</v>
      </c>
      <c r="AF111" s="69">
        <v>2667016</v>
      </c>
      <c r="AG111" s="70">
        <v>2667016</v>
      </c>
      <c r="AH111" s="70">
        <f t="shared" si="27"/>
        <v>0</v>
      </c>
      <c r="AI111" s="70">
        <f t="shared" si="28"/>
        <v>0</v>
      </c>
      <c r="AJ111" s="70">
        <f t="shared" si="29"/>
        <v>0</v>
      </c>
      <c r="AK111" s="70">
        <f t="shared" si="30"/>
        <v>0</v>
      </c>
      <c r="AL111" s="70">
        <f t="shared" si="31"/>
        <v>2415279.2768000001</v>
      </c>
      <c r="AM111" s="70">
        <f t="shared" si="32"/>
        <v>2584348.7974</v>
      </c>
      <c r="AN111" s="70">
        <f t="shared" si="33"/>
        <v>2667016</v>
      </c>
      <c r="AO111" s="70">
        <f t="shared" si="34"/>
        <v>2667016</v>
      </c>
    </row>
    <row r="112" spans="1:41">
      <c r="A112" s="29" t="s">
        <v>101</v>
      </c>
      <c r="B112" s="29" t="s">
        <v>712</v>
      </c>
      <c r="C112" s="107">
        <v>53371.51</v>
      </c>
      <c r="D112" s="108">
        <v>18325</v>
      </c>
      <c r="F112" s="107">
        <v>47579.4</v>
      </c>
      <c r="G112" s="108">
        <v>18325</v>
      </c>
      <c r="I112" s="64">
        <v>46609.49</v>
      </c>
      <c r="J112" s="83">
        <v>88163.741373333352</v>
      </c>
      <c r="K112" s="66">
        <v>18325</v>
      </c>
      <c r="L112" s="251">
        <v>18325</v>
      </c>
      <c r="M112" s="63">
        <v>84429.064740000002</v>
      </c>
      <c r="N112" s="64">
        <v>85461.329540000006</v>
      </c>
      <c r="O112" s="65">
        <v>18325</v>
      </c>
      <c r="P112" s="66">
        <v>18325</v>
      </c>
      <c r="Q112" s="66">
        <f t="shared" si="19"/>
        <v>48502.855599999995</v>
      </c>
      <c r="R112" s="63">
        <f t="shared" si="20"/>
        <v>76528.550988800009</v>
      </c>
      <c r="S112" s="83">
        <f t="shared" si="21"/>
        <v>85474.774197333347</v>
      </c>
      <c r="T112" s="64">
        <f t="shared" si="22"/>
        <v>85172.295396000001</v>
      </c>
      <c r="U112" s="66">
        <f t="shared" si="23"/>
        <v>18325</v>
      </c>
      <c r="V112" s="63">
        <f t="shared" si="24"/>
        <v>18325</v>
      </c>
      <c r="W112" s="83">
        <f t="shared" si="25"/>
        <v>18325</v>
      </c>
      <c r="X112" s="64">
        <f t="shared" si="26"/>
        <v>18325</v>
      </c>
      <c r="Z112" s="67">
        <v>47579.4</v>
      </c>
      <c r="AA112" s="68">
        <v>88163.741373333352</v>
      </c>
      <c r="AB112" s="69">
        <v>18325</v>
      </c>
      <c r="AC112" s="70">
        <v>18325</v>
      </c>
      <c r="AD112" s="67">
        <v>84429.064740000002</v>
      </c>
      <c r="AE112" s="68">
        <v>85461.329540000006</v>
      </c>
      <c r="AF112" s="69">
        <v>18325</v>
      </c>
      <c r="AG112" s="70">
        <v>18325</v>
      </c>
      <c r="AH112" s="70">
        <f t="shared" si="27"/>
        <v>49201.190799999997</v>
      </c>
      <c r="AI112" s="70">
        <f t="shared" si="28"/>
        <v>76800.125788800011</v>
      </c>
      <c r="AJ112" s="70">
        <f t="shared" si="29"/>
        <v>85474.774197333347</v>
      </c>
      <c r="AK112" s="70">
        <f t="shared" si="30"/>
        <v>85172.295396000001</v>
      </c>
      <c r="AL112" s="70">
        <f t="shared" si="31"/>
        <v>18325</v>
      </c>
      <c r="AM112" s="70">
        <f t="shared" si="32"/>
        <v>18325</v>
      </c>
      <c r="AN112" s="70">
        <f t="shared" si="33"/>
        <v>18325</v>
      </c>
      <c r="AO112" s="70">
        <f t="shared" si="34"/>
        <v>18325</v>
      </c>
    </row>
    <row r="113" spans="1:41">
      <c r="A113" s="29" t="s">
        <v>87</v>
      </c>
      <c r="B113" s="29" t="s">
        <v>713</v>
      </c>
      <c r="C113" s="107">
        <v>3652504.41</v>
      </c>
      <c r="D113" s="108">
        <v>6000000</v>
      </c>
      <c r="F113" s="107">
        <v>3402505.36</v>
      </c>
      <c r="G113" s="108">
        <v>6500000</v>
      </c>
      <c r="I113" s="64">
        <v>3033224.16</v>
      </c>
      <c r="J113" s="83">
        <v>3259665.4402999999</v>
      </c>
      <c r="K113" s="66">
        <v>6500000</v>
      </c>
      <c r="L113" s="251">
        <v>7000000</v>
      </c>
      <c r="M113" s="63">
        <v>2975111.3583000004</v>
      </c>
      <c r="N113" s="64">
        <v>2591404.6550999996</v>
      </c>
      <c r="O113" s="65">
        <v>7500000</v>
      </c>
      <c r="P113" s="66">
        <v>7500000</v>
      </c>
      <c r="Q113" s="66">
        <f t="shared" si="19"/>
        <v>3206622.6300000004</v>
      </c>
      <c r="R113" s="63">
        <f t="shared" si="20"/>
        <v>3196261.8818159997</v>
      </c>
      <c r="S113" s="83">
        <f t="shared" si="21"/>
        <v>3054786.5012600003</v>
      </c>
      <c r="T113" s="64">
        <f t="shared" si="22"/>
        <v>2698842.5319959996</v>
      </c>
      <c r="U113" s="66">
        <f t="shared" si="23"/>
        <v>6263100</v>
      </c>
      <c r="V113" s="63">
        <f t="shared" si="24"/>
        <v>6763100</v>
      </c>
      <c r="W113" s="83">
        <f t="shared" si="25"/>
        <v>7263100</v>
      </c>
      <c r="X113" s="64">
        <f t="shared" si="26"/>
        <v>7500000</v>
      </c>
      <c r="Z113" s="67">
        <v>3402505.36</v>
      </c>
      <c r="AA113" s="68">
        <v>3561403.8225999987</v>
      </c>
      <c r="AB113" s="69">
        <v>6500000</v>
      </c>
      <c r="AC113" s="70">
        <v>7000000</v>
      </c>
      <c r="AD113" s="67">
        <v>2975111.3583000004</v>
      </c>
      <c r="AE113" s="68">
        <v>2591404.6550999996</v>
      </c>
      <c r="AF113" s="69">
        <v>7500000</v>
      </c>
      <c r="AG113" s="70">
        <v>7500000</v>
      </c>
      <c r="AH113" s="70">
        <f t="shared" si="27"/>
        <v>3472505.094</v>
      </c>
      <c r="AI113" s="70">
        <f t="shared" si="28"/>
        <v>3516912.2530719992</v>
      </c>
      <c r="AJ113" s="70">
        <f t="shared" si="29"/>
        <v>3139273.2483040001</v>
      </c>
      <c r="AK113" s="70">
        <f t="shared" si="30"/>
        <v>2698842.5319959996</v>
      </c>
      <c r="AL113" s="70">
        <f t="shared" si="31"/>
        <v>6263100</v>
      </c>
      <c r="AM113" s="70">
        <f t="shared" si="32"/>
        <v>6763100</v>
      </c>
      <c r="AN113" s="70">
        <f t="shared" si="33"/>
        <v>7263100</v>
      </c>
      <c r="AO113" s="70">
        <f t="shared" si="34"/>
        <v>7500000</v>
      </c>
    </row>
    <row r="114" spans="1:41">
      <c r="A114" s="29" t="s">
        <v>17</v>
      </c>
      <c r="B114" s="29" t="s">
        <v>714</v>
      </c>
      <c r="C114" s="107">
        <v>15470345.84</v>
      </c>
      <c r="D114" s="108">
        <v>16500000</v>
      </c>
      <c r="F114" s="107">
        <v>15462027.65</v>
      </c>
      <c r="G114" s="108">
        <v>18150000</v>
      </c>
      <c r="I114" s="64">
        <v>14449325.27</v>
      </c>
      <c r="J114" s="83">
        <v>15362582.602999996</v>
      </c>
      <c r="K114" s="66">
        <v>18150000</v>
      </c>
      <c r="L114" s="251">
        <v>18150000</v>
      </c>
      <c r="M114" s="63">
        <v>14487183.204079997</v>
      </c>
      <c r="N114" s="64">
        <v>13051437.755818</v>
      </c>
      <c r="O114" s="65">
        <v>18150000</v>
      </c>
      <c r="P114" s="66">
        <v>18150000</v>
      </c>
      <c r="Q114" s="66">
        <f t="shared" si="19"/>
        <v>14735211.0296</v>
      </c>
      <c r="R114" s="63">
        <f t="shared" si="20"/>
        <v>15106870.549759997</v>
      </c>
      <c r="S114" s="83">
        <f t="shared" si="21"/>
        <v>14732295.035777597</v>
      </c>
      <c r="T114" s="64">
        <f t="shared" si="22"/>
        <v>13453446.48133136</v>
      </c>
      <c r="U114" s="66">
        <f t="shared" si="23"/>
        <v>17368230</v>
      </c>
      <c r="V114" s="63">
        <f t="shared" si="24"/>
        <v>18150000</v>
      </c>
      <c r="W114" s="83">
        <f t="shared" si="25"/>
        <v>18150000</v>
      </c>
      <c r="X114" s="64">
        <f t="shared" si="26"/>
        <v>18150000</v>
      </c>
      <c r="Z114" s="67">
        <v>15462027.65</v>
      </c>
      <c r="AA114" s="68">
        <v>16095977.218199998</v>
      </c>
      <c r="AB114" s="69">
        <v>18150000</v>
      </c>
      <c r="AC114" s="70">
        <v>18150000</v>
      </c>
      <c r="AD114" s="67">
        <v>14487183.204079997</v>
      </c>
      <c r="AE114" s="68">
        <v>13051437.755818</v>
      </c>
      <c r="AF114" s="69">
        <v>18150000</v>
      </c>
      <c r="AG114" s="70">
        <v>18150000</v>
      </c>
      <c r="AH114" s="70">
        <f t="shared" si="27"/>
        <v>15464356.7432</v>
      </c>
      <c r="AI114" s="70">
        <f t="shared" si="28"/>
        <v>15918471.339103999</v>
      </c>
      <c r="AJ114" s="70">
        <f t="shared" si="29"/>
        <v>14937645.528033597</v>
      </c>
      <c r="AK114" s="70">
        <f t="shared" si="30"/>
        <v>13453446.48133136</v>
      </c>
      <c r="AL114" s="70">
        <f t="shared" si="31"/>
        <v>17368230</v>
      </c>
      <c r="AM114" s="70">
        <f t="shared" si="32"/>
        <v>18150000</v>
      </c>
      <c r="AN114" s="70">
        <f t="shared" si="33"/>
        <v>18150000</v>
      </c>
      <c r="AO114" s="70">
        <f t="shared" si="34"/>
        <v>18150000</v>
      </c>
    </row>
    <row r="115" spans="1:41">
      <c r="A115" s="29" t="s">
        <v>217</v>
      </c>
      <c r="B115" s="29" t="s">
        <v>715</v>
      </c>
      <c r="C115" s="107">
        <v>0</v>
      </c>
      <c r="D115" s="108">
        <v>67800000</v>
      </c>
      <c r="F115" s="107">
        <v>0</v>
      </c>
      <c r="G115" s="108">
        <v>76250000</v>
      </c>
      <c r="I115" s="64">
        <v>0</v>
      </c>
      <c r="J115" s="83">
        <v>0</v>
      </c>
      <c r="K115" s="66">
        <v>76250000</v>
      </c>
      <c r="L115" s="251">
        <v>73640354.430199996</v>
      </c>
      <c r="M115" s="63">
        <v>0</v>
      </c>
      <c r="N115" s="64">
        <v>0</v>
      </c>
      <c r="O115" s="65">
        <v>76192458.951500013</v>
      </c>
      <c r="P115" s="66">
        <v>76250000</v>
      </c>
      <c r="Q115" s="66">
        <f t="shared" si="19"/>
        <v>0</v>
      </c>
      <c r="R115" s="63">
        <f t="shared" si="20"/>
        <v>0</v>
      </c>
      <c r="S115" s="83">
        <f t="shared" si="21"/>
        <v>0</v>
      </c>
      <c r="T115" s="64">
        <f t="shared" si="22"/>
        <v>0</v>
      </c>
      <c r="U115" s="66">
        <f t="shared" si="23"/>
        <v>72246390</v>
      </c>
      <c r="V115" s="63">
        <f t="shared" si="24"/>
        <v>74876804.501171231</v>
      </c>
      <c r="W115" s="83">
        <f t="shared" si="25"/>
        <v>74983271.829308063</v>
      </c>
      <c r="X115" s="64">
        <f t="shared" si="26"/>
        <v>76222737.051220715</v>
      </c>
      <c r="Z115" s="67">
        <v>0</v>
      </c>
      <c r="AA115" s="68">
        <v>0</v>
      </c>
      <c r="AB115" s="69">
        <v>76250000</v>
      </c>
      <c r="AC115" s="70">
        <v>76250000</v>
      </c>
      <c r="AD115" s="67">
        <v>0</v>
      </c>
      <c r="AE115" s="68">
        <v>0</v>
      </c>
      <c r="AF115" s="69">
        <v>76192458.951500013</v>
      </c>
      <c r="AG115" s="70">
        <v>76250000</v>
      </c>
      <c r="AH115" s="70">
        <f t="shared" si="27"/>
        <v>0</v>
      </c>
      <c r="AI115" s="70">
        <f t="shared" si="28"/>
        <v>0</v>
      </c>
      <c r="AJ115" s="70">
        <f t="shared" si="29"/>
        <v>0</v>
      </c>
      <c r="AK115" s="70">
        <f t="shared" si="30"/>
        <v>0</v>
      </c>
      <c r="AL115" s="70">
        <f t="shared" si="31"/>
        <v>72246390</v>
      </c>
      <c r="AM115" s="70">
        <f t="shared" si="32"/>
        <v>76250000</v>
      </c>
      <c r="AN115" s="70">
        <f t="shared" si="33"/>
        <v>76219721.900279313</v>
      </c>
      <c r="AO115" s="70">
        <f t="shared" si="34"/>
        <v>76222737.051220715</v>
      </c>
    </row>
    <row r="116" spans="1:41">
      <c r="A116" s="29" t="s">
        <v>505</v>
      </c>
      <c r="B116" s="29" t="s">
        <v>716</v>
      </c>
      <c r="C116" s="107">
        <v>660950.36</v>
      </c>
      <c r="D116" s="108">
        <v>910606</v>
      </c>
      <c r="F116" s="107">
        <v>677563.77</v>
      </c>
      <c r="G116" s="108">
        <v>965242</v>
      </c>
      <c r="I116" s="64">
        <v>677563.77</v>
      </c>
      <c r="J116" s="83">
        <v>716777.74406333314</v>
      </c>
      <c r="K116" s="66">
        <v>965242</v>
      </c>
      <c r="L116" s="251">
        <v>1023157</v>
      </c>
      <c r="M116" s="63">
        <v>679129.83279000001</v>
      </c>
      <c r="N116" s="64">
        <v>678648.06099999987</v>
      </c>
      <c r="O116" s="65">
        <v>1023157</v>
      </c>
      <c r="P116" s="66">
        <v>1023157</v>
      </c>
      <c r="Q116" s="66">
        <f t="shared" si="19"/>
        <v>672912.01520000002</v>
      </c>
      <c r="R116" s="63">
        <f t="shared" si="20"/>
        <v>705797.83132559992</v>
      </c>
      <c r="S116" s="83">
        <f t="shared" si="21"/>
        <v>689671.24794653326</v>
      </c>
      <c r="T116" s="64">
        <f t="shared" si="22"/>
        <v>678782.95710119989</v>
      </c>
      <c r="U116" s="66">
        <f t="shared" si="23"/>
        <v>939355.4632</v>
      </c>
      <c r="V116" s="63">
        <f t="shared" si="24"/>
        <v>995716.87300000002</v>
      </c>
      <c r="W116" s="83">
        <f t="shared" si="25"/>
        <v>1023157</v>
      </c>
      <c r="X116" s="64">
        <f t="shared" si="26"/>
        <v>1023157</v>
      </c>
      <c r="Z116" s="67">
        <v>677563.77</v>
      </c>
      <c r="AA116" s="68">
        <v>734219.72766999959</v>
      </c>
      <c r="AB116" s="69">
        <v>965242</v>
      </c>
      <c r="AC116" s="70">
        <v>1023157</v>
      </c>
      <c r="AD116" s="67">
        <v>679129.83279000001</v>
      </c>
      <c r="AE116" s="68">
        <v>678648.06099999987</v>
      </c>
      <c r="AF116" s="69">
        <v>1023157</v>
      </c>
      <c r="AG116" s="70">
        <v>1023157</v>
      </c>
      <c r="AH116" s="70">
        <f t="shared" si="27"/>
        <v>672912.01520000002</v>
      </c>
      <c r="AI116" s="70">
        <f t="shared" si="28"/>
        <v>718356.05952239968</v>
      </c>
      <c r="AJ116" s="70">
        <f t="shared" si="29"/>
        <v>694555.00335639995</v>
      </c>
      <c r="AK116" s="70">
        <f t="shared" si="30"/>
        <v>678782.95710119989</v>
      </c>
      <c r="AL116" s="70">
        <f t="shared" si="31"/>
        <v>939355.4632</v>
      </c>
      <c r="AM116" s="70">
        <f t="shared" si="32"/>
        <v>995716.87300000002</v>
      </c>
      <c r="AN116" s="70">
        <f t="shared" si="33"/>
        <v>1023157</v>
      </c>
      <c r="AO116" s="70">
        <f t="shared" si="34"/>
        <v>1023157</v>
      </c>
    </row>
    <row r="117" spans="1:41">
      <c r="A117" s="29" t="s">
        <v>21</v>
      </c>
      <c r="B117" s="29" t="s">
        <v>928</v>
      </c>
      <c r="C117" s="107">
        <v>0</v>
      </c>
      <c r="D117" s="108">
        <v>0</v>
      </c>
      <c r="F117" s="107">
        <v>845501.54</v>
      </c>
      <c r="G117" s="108">
        <v>1448076</v>
      </c>
      <c r="I117" s="64">
        <v>825672.56</v>
      </c>
      <c r="J117" s="83">
        <v>739001.24750133359</v>
      </c>
      <c r="K117" s="66">
        <v>1448076</v>
      </c>
      <c r="L117" s="251">
        <v>1560697</v>
      </c>
      <c r="M117" s="63">
        <v>560909.4319000002</v>
      </c>
      <c r="N117" s="64">
        <v>537064.42948399973</v>
      </c>
      <c r="O117" s="65">
        <v>1560697</v>
      </c>
      <c r="P117" s="66">
        <v>1560697</v>
      </c>
      <c r="Q117" s="66">
        <f t="shared" si="19"/>
        <v>594484.24320000003</v>
      </c>
      <c r="R117" s="63">
        <f t="shared" si="20"/>
        <v>763269.21500096016</v>
      </c>
      <c r="S117" s="83">
        <f t="shared" si="21"/>
        <v>610775.14026837354</v>
      </c>
      <c r="T117" s="64">
        <f t="shared" si="22"/>
        <v>543741.03016047995</v>
      </c>
      <c r="U117" s="66">
        <f t="shared" si="23"/>
        <v>761977.59120000002</v>
      </c>
      <c r="V117" s="63">
        <f t="shared" si="24"/>
        <v>1507337.1702000001</v>
      </c>
      <c r="W117" s="83">
        <f t="shared" si="25"/>
        <v>1560697</v>
      </c>
      <c r="X117" s="64">
        <f t="shared" si="26"/>
        <v>1560697</v>
      </c>
      <c r="Z117" s="67">
        <v>845501.54</v>
      </c>
      <c r="AA117" s="68">
        <v>739001.24750133359</v>
      </c>
      <c r="AB117" s="69">
        <v>1448076</v>
      </c>
      <c r="AC117" s="70">
        <v>1560697</v>
      </c>
      <c r="AD117" s="67">
        <v>560909.4319000002</v>
      </c>
      <c r="AE117" s="68">
        <v>537064.42948399973</v>
      </c>
      <c r="AF117" s="69">
        <v>1560697</v>
      </c>
      <c r="AG117" s="70">
        <v>1560697</v>
      </c>
      <c r="AH117" s="70">
        <f t="shared" si="27"/>
        <v>608761.10880000005</v>
      </c>
      <c r="AI117" s="70">
        <f t="shared" si="28"/>
        <v>768821.32940096012</v>
      </c>
      <c r="AJ117" s="70">
        <f t="shared" si="29"/>
        <v>610775.14026837354</v>
      </c>
      <c r="AK117" s="70">
        <f t="shared" si="30"/>
        <v>543741.03016047995</v>
      </c>
      <c r="AL117" s="70">
        <f t="shared" si="31"/>
        <v>761977.59120000002</v>
      </c>
      <c r="AM117" s="70">
        <f t="shared" si="32"/>
        <v>1507337.1702000001</v>
      </c>
      <c r="AN117" s="70">
        <f t="shared" si="33"/>
        <v>1560697</v>
      </c>
      <c r="AO117" s="70">
        <f t="shared" si="34"/>
        <v>1560697</v>
      </c>
    </row>
    <row r="118" spans="1:41">
      <c r="A118" s="29" t="s">
        <v>247</v>
      </c>
      <c r="B118" s="29" t="s">
        <v>717</v>
      </c>
      <c r="C118" s="107">
        <v>0</v>
      </c>
      <c r="D118" s="108">
        <v>1683268</v>
      </c>
      <c r="F118" s="107">
        <v>0</v>
      </c>
      <c r="G118" s="108">
        <v>1700097</v>
      </c>
      <c r="I118" s="64">
        <v>0</v>
      </c>
      <c r="J118" s="83">
        <v>0</v>
      </c>
      <c r="K118" s="66">
        <v>1700097</v>
      </c>
      <c r="L118" s="251">
        <v>1700097</v>
      </c>
      <c r="M118" s="63">
        <v>0</v>
      </c>
      <c r="N118" s="64">
        <v>0</v>
      </c>
      <c r="O118" s="65">
        <v>1700097</v>
      </c>
      <c r="P118" s="66">
        <v>1700097</v>
      </c>
      <c r="Q118" s="66">
        <f t="shared" si="19"/>
        <v>0</v>
      </c>
      <c r="R118" s="63">
        <f t="shared" si="20"/>
        <v>0</v>
      </c>
      <c r="S118" s="83">
        <f t="shared" si="21"/>
        <v>0</v>
      </c>
      <c r="T118" s="64">
        <f t="shared" si="22"/>
        <v>0</v>
      </c>
      <c r="U118" s="66">
        <f t="shared" si="23"/>
        <v>1692123.4198</v>
      </c>
      <c r="V118" s="63">
        <f t="shared" si="24"/>
        <v>1700097</v>
      </c>
      <c r="W118" s="83">
        <f t="shared" si="25"/>
        <v>1700097</v>
      </c>
      <c r="X118" s="64">
        <f t="shared" si="26"/>
        <v>1700097</v>
      </c>
      <c r="Z118" s="67">
        <v>0</v>
      </c>
      <c r="AA118" s="68">
        <v>0</v>
      </c>
      <c r="AB118" s="69">
        <v>1700097</v>
      </c>
      <c r="AC118" s="70">
        <v>1700097</v>
      </c>
      <c r="AD118" s="67">
        <v>0</v>
      </c>
      <c r="AE118" s="68">
        <v>0</v>
      </c>
      <c r="AF118" s="69">
        <v>1700097</v>
      </c>
      <c r="AG118" s="70">
        <v>1700097</v>
      </c>
      <c r="AH118" s="70">
        <f t="shared" si="27"/>
        <v>0</v>
      </c>
      <c r="AI118" s="70">
        <f t="shared" si="28"/>
        <v>0</v>
      </c>
      <c r="AJ118" s="70">
        <f t="shared" si="29"/>
        <v>0</v>
      </c>
      <c r="AK118" s="70">
        <f t="shared" si="30"/>
        <v>0</v>
      </c>
      <c r="AL118" s="70">
        <f t="shared" si="31"/>
        <v>1692123.4198</v>
      </c>
      <c r="AM118" s="70">
        <f t="shared" si="32"/>
        <v>1700097</v>
      </c>
      <c r="AN118" s="70">
        <f t="shared" si="33"/>
        <v>1700097</v>
      </c>
      <c r="AO118" s="70">
        <f t="shared" si="34"/>
        <v>1700097</v>
      </c>
    </row>
    <row r="119" spans="1:41">
      <c r="A119" s="29" t="s">
        <v>261</v>
      </c>
      <c r="B119" s="29" t="s">
        <v>718</v>
      </c>
      <c r="C119" s="107">
        <v>55908.19</v>
      </c>
      <c r="D119" s="108">
        <v>90000</v>
      </c>
      <c r="F119" s="107">
        <v>55587.21</v>
      </c>
      <c r="G119" s="108">
        <v>90000</v>
      </c>
      <c r="I119" s="64">
        <v>45352.42</v>
      </c>
      <c r="J119" s="83">
        <v>47196.930500000002</v>
      </c>
      <c r="K119" s="66">
        <v>90000</v>
      </c>
      <c r="L119" s="251">
        <v>90000</v>
      </c>
      <c r="M119" s="63">
        <v>45701.116499999989</v>
      </c>
      <c r="N119" s="64">
        <v>42836.801899999999</v>
      </c>
      <c r="O119" s="65">
        <v>90000</v>
      </c>
      <c r="P119" s="66">
        <v>90000</v>
      </c>
      <c r="Q119" s="66">
        <f t="shared" si="19"/>
        <v>48308.035600000003</v>
      </c>
      <c r="R119" s="63">
        <f t="shared" si="20"/>
        <v>46680.467560000005</v>
      </c>
      <c r="S119" s="83">
        <f t="shared" si="21"/>
        <v>46119.944419999993</v>
      </c>
      <c r="T119" s="64">
        <f t="shared" si="22"/>
        <v>43638.809987999994</v>
      </c>
      <c r="U119" s="66">
        <f t="shared" si="23"/>
        <v>90000</v>
      </c>
      <c r="V119" s="63">
        <f t="shared" si="24"/>
        <v>90000</v>
      </c>
      <c r="W119" s="83">
        <f t="shared" si="25"/>
        <v>90000</v>
      </c>
      <c r="X119" s="64">
        <f t="shared" si="26"/>
        <v>90000</v>
      </c>
      <c r="Z119" s="67">
        <v>55587.21</v>
      </c>
      <c r="AA119" s="68">
        <v>57943.484999999986</v>
      </c>
      <c r="AB119" s="69">
        <v>90000</v>
      </c>
      <c r="AC119" s="70">
        <v>90000</v>
      </c>
      <c r="AD119" s="67">
        <v>45701.116499999989</v>
      </c>
      <c r="AE119" s="68">
        <v>42836.801899999999</v>
      </c>
      <c r="AF119" s="69">
        <v>90000</v>
      </c>
      <c r="AG119" s="70">
        <v>90000</v>
      </c>
      <c r="AH119" s="70">
        <f t="shared" si="27"/>
        <v>55677.0844</v>
      </c>
      <c r="AI119" s="70">
        <f t="shared" si="28"/>
        <v>57283.727999999988</v>
      </c>
      <c r="AJ119" s="70">
        <f t="shared" si="29"/>
        <v>49128.979679999989</v>
      </c>
      <c r="AK119" s="70">
        <f t="shared" si="30"/>
        <v>43638.809987999994</v>
      </c>
      <c r="AL119" s="70">
        <f t="shared" si="31"/>
        <v>90000</v>
      </c>
      <c r="AM119" s="70">
        <f t="shared" si="32"/>
        <v>90000</v>
      </c>
      <c r="AN119" s="70">
        <f t="shared" si="33"/>
        <v>90000</v>
      </c>
      <c r="AO119" s="70">
        <f t="shared" si="34"/>
        <v>90000</v>
      </c>
    </row>
    <row r="120" spans="1:41">
      <c r="A120" s="29" t="s">
        <v>409</v>
      </c>
      <c r="B120" s="29" t="s">
        <v>719</v>
      </c>
      <c r="C120" s="107">
        <v>0</v>
      </c>
      <c r="D120" s="108">
        <v>874605</v>
      </c>
      <c r="F120" s="107">
        <v>0</v>
      </c>
      <c r="G120" s="108">
        <v>964783</v>
      </c>
      <c r="I120" s="64">
        <v>0</v>
      </c>
      <c r="J120" s="83">
        <v>0</v>
      </c>
      <c r="K120" s="66">
        <v>964783</v>
      </c>
      <c r="L120" s="251">
        <v>993717</v>
      </c>
      <c r="M120" s="63">
        <v>0</v>
      </c>
      <c r="N120" s="64">
        <v>0</v>
      </c>
      <c r="O120" s="65">
        <v>1023519</v>
      </c>
      <c r="P120" s="66">
        <v>1054215</v>
      </c>
      <c r="Q120" s="66">
        <f t="shared" si="19"/>
        <v>0</v>
      </c>
      <c r="R120" s="63">
        <f t="shared" si="20"/>
        <v>0</v>
      </c>
      <c r="S120" s="83">
        <f t="shared" si="21"/>
        <v>0</v>
      </c>
      <c r="T120" s="64">
        <f t="shared" si="22"/>
        <v>0</v>
      </c>
      <c r="U120" s="66">
        <f t="shared" si="23"/>
        <v>922056.66359999997</v>
      </c>
      <c r="V120" s="63">
        <f t="shared" si="24"/>
        <v>980008.0708000001</v>
      </c>
      <c r="W120" s="83">
        <f t="shared" si="25"/>
        <v>1009398.8123999999</v>
      </c>
      <c r="X120" s="64">
        <f t="shared" si="26"/>
        <v>1039671.2352</v>
      </c>
      <c r="Z120" s="67">
        <v>0</v>
      </c>
      <c r="AA120" s="68">
        <v>0</v>
      </c>
      <c r="AB120" s="69">
        <v>964783</v>
      </c>
      <c r="AC120" s="70">
        <v>993717</v>
      </c>
      <c r="AD120" s="67">
        <v>0</v>
      </c>
      <c r="AE120" s="68">
        <v>0</v>
      </c>
      <c r="AF120" s="69">
        <v>1023519</v>
      </c>
      <c r="AG120" s="70">
        <v>1054215</v>
      </c>
      <c r="AH120" s="70">
        <f t="shared" si="27"/>
        <v>0</v>
      </c>
      <c r="AI120" s="70">
        <f t="shared" si="28"/>
        <v>0</v>
      </c>
      <c r="AJ120" s="70">
        <f t="shared" si="29"/>
        <v>0</v>
      </c>
      <c r="AK120" s="70">
        <f t="shared" si="30"/>
        <v>0</v>
      </c>
      <c r="AL120" s="70">
        <f t="shared" si="31"/>
        <v>922056.66359999997</v>
      </c>
      <c r="AM120" s="70">
        <f t="shared" si="32"/>
        <v>980008.0708000001</v>
      </c>
      <c r="AN120" s="70">
        <f t="shared" si="33"/>
        <v>1009398.8123999999</v>
      </c>
      <c r="AO120" s="70">
        <f t="shared" si="34"/>
        <v>1039671.2352</v>
      </c>
    </row>
    <row r="121" spans="1:41">
      <c r="A121" s="29" t="s">
        <v>59</v>
      </c>
      <c r="B121" s="29" t="s">
        <v>905</v>
      </c>
      <c r="C121" s="107">
        <v>476648.53</v>
      </c>
      <c r="D121" s="108">
        <v>2203025</v>
      </c>
      <c r="F121" s="107">
        <v>341586.52</v>
      </c>
      <c r="G121" s="108">
        <v>2464030</v>
      </c>
      <c r="I121" s="64">
        <v>133828.85</v>
      </c>
      <c r="J121" s="83">
        <v>36535.790599999964</v>
      </c>
      <c r="K121" s="66">
        <v>2464030</v>
      </c>
      <c r="L121" s="251">
        <v>3181637</v>
      </c>
      <c r="M121" s="63">
        <v>0</v>
      </c>
      <c r="N121" s="64">
        <v>0</v>
      </c>
      <c r="O121" s="65">
        <v>3181637</v>
      </c>
      <c r="P121" s="66">
        <v>3181637</v>
      </c>
      <c r="Q121" s="66">
        <f t="shared" si="19"/>
        <v>229818.36040000001</v>
      </c>
      <c r="R121" s="63">
        <f t="shared" si="20"/>
        <v>63777.847231999986</v>
      </c>
      <c r="S121" s="83">
        <f t="shared" si="21"/>
        <v>10230.021367999991</v>
      </c>
      <c r="T121" s="64">
        <f t="shared" si="22"/>
        <v>0</v>
      </c>
      <c r="U121" s="66">
        <f t="shared" si="23"/>
        <v>2340365.8309999998</v>
      </c>
      <c r="V121" s="63">
        <f t="shared" si="24"/>
        <v>2841634.8034000001</v>
      </c>
      <c r="W121" s="83">
        <f t="shared" si="25"/>
        <v>3181637</v>
      </c>
      <c r="X121" s="64">
        <f t="shared" si="26"/>
        <v>3181637</v>
      </c>
      <c r="Z121" s="67">
        <v>341586.52</v>
      </c>
      <c r="AA121" s="68">
        <v>314685.04170000006</v>
      </c>
      <c r="AB121" s="69">
        <v>2464030</v>
      </c>
      <c r="AC121" s="70">
        <v>3181637</v>
      </c>
      <c r="AD121" s="67">
        <v>0</v>
      </c>
      <c r="AE121" s="68">
        <v>0</v>
      </c>
      <c r="AF121" s="69">
        <v>3181637</v>
      </c>
      <c r="AG121" s="70">
        <v>3181637</v>
      </c>
      <c r="AH121" s="70">
        <f t="shared" si="27"/>
        <v>379403.88280000002</v>
      </c>
      <c r="AI121" s="70">
        <f t="shared" si="28"/>
        <v>322217.45562400005</v>
      </c>
      <c r="AJ121" s="70">
        <f t="shared" si="29"/>
        <v>88111.811676000027</v>
      </c>
      <c r="AK121" s="70">
        <f t="shared" si="30"/>
        <v>0</v>
      </c>
      <c r="AL121" s="70">
        <f t="shared" si="31"/>
        <v>2340365.8309999998</v>
      </c>
      <c r="AM121" s="70">
        <f t="shared" si="32"/>
        <v>2841634.8034000001</v>
      </c>
      <c r="AN121" s="70">
        <f t="shared" si="33"/>
        <v>3181637</v>
      </c>
      <c r="AO121" s="70">
        <f t="shared" si="34"/>
        <v>3181637</v>
      </c>
    </row>
    <row r="122" spans="1:41">
      <c r="A122" s="29" t="s">
        <v>555</v>
      </c>
      <c r="B122" s="29" t="s">
        <v>929</v>
      </c>
      <c r="C122" s="107">
        <v>0</v>
      </c>
      <c r="D122" s="108">
        <v>205963</v>
      </c>
      <c r="F122" s="107">
        <v>0</v>
      </c>
      <c r="G122" s="108">
        <v>221727</v>
      </c>
      <c r="I122" s="64">
        <v>0</v>
      </c>
      <c r="J122" s="83">
        <v>0</v>
      </c>
      <c r="K122" s="66">
        <v>221727</v>
      </c>
      <c r="L122" s="251">
        <v>241145.34819999998</v>
      </c>
      <c r="M122" s="63">
        <v>0</v>
      </c>
      <c r="N122" s="64">
        <v>0</v>
      </c>
      <c r="O122" s="65">
        <v>246209.24470000001</v>
      </c>
      <c r="P122" s="66">
        <v>251625.81289999999</v>
      </c>
      <c r="Q122" s="66">
        <f t="shared" si="19"/>
        <v>0</v>
      </c>
      <c r="R122" s="63">
        <f t="shared" si="20"/>
        <v>0</v>
      </c>
      <c r="S122" s="83">
        <f t="shared" si="21"/>
        <v>0</v>
      </c>
      <c r="T122" s="64">
        <f t="shared" si="22"/>
        <v>0</v>
      </c>
      <c r="U122" s="66">
        <f t="shared" si="23"/>
        <v>214258.01680000001</v>
      </c>
      <c r="V122" s="63">
        <f t="shared" si="24"/>
        <v>231944.93482283998</v>
      </c>
      <c r="W122" s="83">
        <f t="shared" si="25"/>
        <v>243809.9705383</v>
      </c>
      <c r="X122" s="64">
        <f t="shared" si="26"/>
        <v>249059.44288684003</v>
      </c>
      <c r="Z122" s="67">
        <v>0</v>
      </c>
      <c r="AA122" s="68">
        <v>0</v>
      </c>
      <c r="AB122" s="69">
        <v>221727</v>
      </c>
      <c r="AC122" s="70">
        <v>241145.34819999998</v>
      </c>
      <c r="AD122" s="67">
        <v>0</v>
      </c>
      <c r="AE122" s="68">
        <v>0</v>
      </c>
      <c r="AF122" s="69">
        <v>246209.24470000001</v>
      </c>
      <c r="AG122" s="70">
        <v>251625.81289999999</v>
      </c>
      <c r="AH122" s="70">
        <f t="shared" si="27"/>
        <v>0</v>
      </c>
      <c r="AI122" s="70">
        <f t="shared" si="28"/>
        <v>0</v>
      </c>
      <c r="AJ122" s="70">
        <f t="shared" si="29"/>
        <v>0</v>
      </c>
      <c r="AK122" s="70">
        <f t="shared" si="30"/>
        <v>0</v>
      </c>
      <c r="AL122" s="70">
        <f t="shared" si="31"/>
        <v>214258.01680000001</v>
      </c>
      <c r="AM122" s="70">
        <f t="shared" si="32"/>
        <v>231944.93482283998</v>
      </c>
      <c r="AN122" s="70">
        <f t="shared" si="33"/>
        <v>243809.9705383</v>
      </c>
      <c r="AO122" s="70">
        <f t="shared" si="34"/>
        <v>249059.44288684003</v>
      </c>
    </row>
    <row r="123" spans="1:41">
      <c r="A123" s="29" t="s">
        <v>35</v>
      </c>
      <c r="B123" s="29" t="s">
        <v>720</v>
      </c>
      <c r="C123" s="107">
        <v>0</v>
      </c>
      <c r="D123" s="108">
        <v>3539532</v>
      </c>
      <c r="F123" s="107">
        <v>0</v>
      </c>
      <c r="G123" s="108">
        <v>3625239.1799999997</v>
      </c>
      <c r="I123" s="64">
        <v>0</v>
      </c>
      <c r="J123" s="83">
        <v>0</v>
      </c>
      <c r="K123" s="66">
        <v>3625239.1799999997</v>
      </c>
      <c r="L123" s="251">
        <v>3538823.0977999996</v>
      </c>
      <c r="M123" s="63">
        <v>0</v>
      </c>
      <c r="N123" s="64">
        <v>0</v>
      </c>
      <c r="O123" s="65">
        <v>3608822</v>
      </c>
      <c r="P123" s="66">
        <v>3608822</v>
      </c>
      <c r="Q123" s="66">
        <f t="shared" si="19"/>
        <v>0</v>
      </c>
      <c r="R123" s="63">
        <f t="shared" si="20"/>
        <v>0</v>
      </c>
      <c r="S123" s="83">
        <f t="shared" si="21"/>
        <v>0</v>
      </c>
      <c r="T123" s="64">
        <f t="shared" si="22"/>
        <v>0</v>
      </c>
      <c r="U123" s="66">
        <f t="shared" si="23"/>
        <v>3584631.1181159997</v>
      </c>
      <c r="V123" s="63">
        <f t="shared" si="24"/>
        <v>3579767.0375463599</v>
      </c>
      <c r="W123" s="83">
        <f t="shared" si="25"/>
        <v>3575656.5201376397</v>
      </c>
      <c r="X123" s="64">
        <f t="shared" si="26"/>
        <v>3608822</v>
      </c>
      <c r="Z123" s="67">
        <v>0</v>
      </c>
      <c r="AA123" s="68">
        <v>0</v>
      </c>
      <c r="AB123" s="69">
        <v>3625239.1799999997</v>
      </c>
      <c r="AC123" s="70">
        <v>3608822</v>
      </c>
      <c r="AD123" s="67">
        <v>0</v>
      </c>
      <c r="AE123" s="68">
        <v>0</v>
      </c>
      <c r="AF123" s="69">
        <v>3608822</v>
      </c>
      <c r="AG123" s="70">
        <v>3608822</v>
      </c>
      <c r="AH123" s="70">
        <f t="shared" si="27"/>
        <v>0</v>
      </c>
      <c r="AI123" s="70">
        <f t="shared" si="28"/>
        <v>0</v>
      </c>
      <c r="AJ123" s="70">
        <f t="shared" si="29"/>
        <v>0</v>
      </c>
      <c r="AK123" s="70">
        <f t="shared" si="30"/>
        <v>0</v>
      </c>
      <c r="AL123" s="70">
        <f t="shared" si="31"/>
        <v>3584631.1181159997</v>
      </c>
      <c r="AM123" s="70">
        <f t="shared" si="32"/>
        <v>3616600.459884</v>
      </c>
      <c r="AN123" s="70">
        <f t="shared" si="33"/>
        <v>3608822</v>
      </c>
      <c r="AO123" s="70">
        <f t="shared" si="34"/>
        <v>3608822</v>
      </c>
    </row>
    <row r="124" spans="1:41">
      <c r="A124" s="29" t="s">
        <v>425</v>
      </c>
      <c r="B124" s="29" t="s">
        <v>721</v>
      </c>
      <c r="C124" s="107">
        <v>3412503.41</v>
      </c>
      <c r="D124" s="108">
        <v>12627600</v>
      </c>
      <c r="F124" s="107">
        <v>2449555.98</v>
      </c>
      <c r="G124" s="108">
        <v>14521800</v>
      </c>
      <c r="I124" s="64">
        <v>1781791.23</v>
      </c>
      <c r="J124" s="83">
        <v>1803645.9255999986</v>
      </c>
      <c r="K124" s="66">
        <v>14521800</v>
      </c>
      <c r="L124" s="251">
        <v>14521800</v>
      </c>
      <c r="M124" s="63">
        <v>1067156.7274939986</v>
      </c>
      <c r="N124" s="64">
        <v>276580.06865399878</v>
      </c>
      <c r="O124" s="65">
        <v>14521800</v>
      </c>
      <c r="P124" s="66">
        <v>14521800</v>
      </c>
      <c r="Q124" s="66">
        <f t="shared" si="19"/>
        <v>2238390.6403999999</v>
      </c>
      <c r="R124" s="63">
        <f t="shared" si="20"/>
        <v>1797526.610831999</v>
      </c>
      <c r="S124" s="83">
        <f t="shared" si="21"/>
        <v>1273373.7029636786</v>
      </c>
      <c r="T124" s="64">
        <f t="shared" si="22"/>
        <v>497941.53312919871</v>
      </c>
      <c r="U124" s="66">
        <f t="shared" si="23"/>
        <v>13624328.039999999</v>
      </c>
      <c r="V124" s="63">
        <f t="shared" si="24"/>
        <v>14521800</v>
      </c>
      <c r="W124" s="83">
        <f t="shared" si="25"/>
        <v>14521800</v>
      </c>
      <c r="X124" s="64">
        <f t="shared" si="26"/>
        <v>14521800</v>
      </c>
      <c r="Z124" s="67">
        <v>2449555.98</v>
      </c>
      <c r="AA124" s="68">
        <v>2345343.3240000014</v>
      </c>
      <c r="AB124" s="69">
        <v>14521800</v>
      </c>
      <c r="AC124" s="70">
        <v>14521800</v>
      </c>
      <c r="AD124" s="67">
        <v>1067156.7274939986</v>
      </c>
      <c r="AE124" s="68">
        <v>276580.06865399878</v>
      </c>
      <c r="AF124" s="69">
        <v>14521800</v>
      </c>
      <c r="AG124" s="70">
        <v>14521800</v>
      </c>
      <c r="AH124" s="70">
        <f t="shared" si="27"/>
        <v>2719181.2604</v>
      </c>
      <c r="AI124" s="70">
        <f t="shared" si="28"/>
        <v>2374522.8676800011</v>
      </c>
      <c r="AJ124" s="70">
        <f t="shared" si="29"/>
        <v>1425048.9745156793</v>
      </c>
      <c r="AK124" s="70">
        <f t="shared" si="30"/>
        <v>497941.53312919871</v>
      </c>
      <c r="AL124" s="70">
        <f t="shared" si="31"/>
        <v>13624328.039999999</v>
      </c>
      <c r="AM124" s="70">
        <f t="shared" si="32"/>
        <v>14521800</v>
      </c>
      <c r="AN124" s="70">
        <f t="shared" si="33"/>
        <v>14521800</v>
      </c>
      <c r="AO124" s="70">
        <f t="shared" si="34"/>
        <v>14521800</v>
      </c>
    </row>
    <row r="125" spans="1:41">
      <c r="A125" s="29" t="s">
        <v>215</v>
      </c>
      <c r="B125" s="29" t="s">
        <v>722</v>
      </c>
      <c r="C125" s="107">
        <v>0</v>
      </c>
      <c r="D125" s="108">
        <v>65100000</v>
      </c>
      <c r="F125" s="107">
        <v>0</v>
      </c>
      <c r="G125" s="108">
        <v>67700000</v>
      </c>
      <c r="I125" s="64">
        <v>0</v>
      </c>
      <c r="J125" s="83">
        <v>0</v>
      </c>
      <c r="K125" s="66">
        <v>67700000</v>
      </c>
      <c r="L125" s="251">
        <v>67700000</v>
      </c>
      <c r="M125" s="63">
        <v>0</v>
      </c>
      <c r="N125" s="64">
        <v>0</v>
      </c>
      <c r="O125" s="65">
        <v>67700000</v>
      </c>
      <c r="P125" s="66">
        <v>67700000</v>
      </c>
      <c r="Q125" s="66">
        <f t="shared" si="19"/>
        <v>0</v>
      </c>
      <c r="R125" s="63">
        <f t="shared" si="20"/>
        <v>0</v>
      </c>
      <c r="S125" s="83">
        <f t="shared" si="21"/>
        <v>0</v>
      </c>
      <c r="T125" s="64">
        <f t="shared" si="22"/>
        <v>0</v>
      </c>
      <c r="U125" s="66">
        <f t="shared" si="23"/>
        <v>66468120</v>
      </c>
      <c r="V125" s="63">
        <f t="shared" si="24"/>
        <v>67700000</v>
      </c>
      <c r="W125" s="83">
        <f t="shared" si="25"/>
        <v>67700000</v>
      </c>
      <c r="X125" s="64">
        <f t="shared" si="26"/>
        <v>67700000</v>
      </c>
      <c r="Z125" s="67">
        <v>0</v>
      </c>
      <c r="AA125" s="68">
        <v>0</v>
      </c>
      <c r="AB125" s="69">
        <v>67700000</v>
      </c>
      <c r="AC125" s="70">
        <v>67700000</v>
      </c>
      <c r="AD125" s="67">
        <v>0</v>
      </c>
      <c r="AE125" s="68">
        <v>0</v>
      </c>
      <c r="AF125" s="69">
        <v>67700000</v>
      </c>
      <c r="AG125" s="70">
        <v>67700000</v>
      </c>
      <c r="AH125" s="70">
        <f t="shared" si="27"/>
        <v>0</v>
      </c>
      <c r="AI125" s="70">
        <f t="shared" si="28"/>
        <v>0</v>
      </c>
      <c r="AJ125" s="70">
        <f t="shared" si="29"/>
        <v>0</v>
      </c>
      <c r="AK125" s="70">
        <f t="shared" si="30"/>
        <v>0</v>
      </c>
      <c r="AL125" s="70">
        <f t="shared" si="31"/>
        <v>66468120</v>
      </c>
      <c r="AM125" s="70">
        <f t="shared" si="32"/>
        <v>67700000</v>
      </c>
      <c r="AN125" s="70">
        <f t="shared" si="33"/>
        <v>67700000</v>
      </c>
      <c r="AO125" s="70">
        <f t="shared" si="34"/>
        <v>67700000</v>
      </c>
    </row>
    <row r="126" spans="1:41">
      <c r="A126" s="29" t="s">
        <v>441</v>
      </c>
      <c r="B126" s="29" t="s">
        <v>723</v>
      </c>
      <c r="C126" s="107">
        <v>0</v>
      </c>
      <c r="D126" s="108">
        <v>0</v>
      </c>
      <c r="F126" s="107">
        <v>0</v>
      </c>
      <c r="G126" s="108">
        <v>6081871</v>
      </c>
      <c r="I126" s="64">
        <v>0</v>
      </c>
      <c r="J126" s="83">
        <v>0</v>
      </c>
      <c r="K126" s="66">
        <v>6081871</v>
      </c>
      <c r="L126" s="251">
        <v>6446783</v>
      </c>
      <c r="M126" s="63">
        <v>0</v>
      </c>
      <c r="N126" s="64">
        <v>0</v>
      </c>
      <c r="O126" s="65">
        <v>6833590</v>
      </c>
      <c r="P126" s="66">
        <v>6833590</v>
      </c>
      <c r="Q126" s="66">
        <f t="shared" si="19"/>
        <v>0</v>
      </c>
      <c r="R126" s="63">
        <f t="shared" si="20"/>
        <v>0</v>
      </c>
      <c r="S126" s="83">
        <f t="shared" si="21"/>
        <v>0</v>
      </c>
      <c r="T126" s="64">
        <f t="shared" si="22"/>
        <v>0</v>
      </c>
      <c r="U126" s="66">
        <f t="shared" si="23"/>
        <v>3200280.5202000001</v>
      </c>
      <c r="V126" s="63">
        <f t="shared" si="24"/>
        <v>6273887.6943999995</v>
      </c>
      <c r="W126" s="83">
        <f t="shared" si="25"/>
        <v>6650320.8433999997</v>
      </c>
      <c r="X126" s="64">
        <f t="shared" si="26"/>
        <v>6833590</v>
      </c>
      <c r="Z126" s="67">
        <v>0</v>
      </c>
      <c r="AA126" s="68">
        <v>0</v>
      </c>
      <c r="AB126" s="69">
        <v>6081871</v>
      </c>
      <c r="AC126" s="70">
        <v>6446783</v>
      </c>
      <c r="AD126" s="67">
        <v>0</v>
      </c>
      <c r="AE126" s="68">
        <v>0</v>
      </c>
      <c r="AF126" s="69">
        <v>6833590</v>
      </c>
      <c r="AG126" s="70">
        <v>6833590</v>
      </c>
      <c r="AH126" s="70">
        <f t="shared" si="27"/>
        <v>0</v>
      </c>
      <c r="AI126" s="70">
        <f t="shared" si="28"/>
        <v>0</v>
      </c>
      <c r="AJ126" s="70">
        <f t="shared" si="29"/>
        <v>0</v>
      </c>
      <c r="AK126" s="70">
        <f t="shared" si="30"/>
        <v>0</v>
      </c>
      <c r="AL126" s="70">
        <f t="shared" si="31"/>
        <v>3200280.5202000001</v>
      </c>
      <c r="AM126" s="70">
        <f t="shared" si="32"/>
        <v>6273887.6943999995</v>
      </c>
      <c r="AN126" s="70">
        <f t="shared" si="33"/>
        <v>6650320.8433999997</v>
      </c>
      <c r="AO126" s="70">
        <f t="shared" si="34"/>
        <v>6833590</v>
      </c>
    </row>
    <row r="127" spans="1:41">
      <c r="A127" s="29" t="s">
        <v>557</v>
      </c>
      <c r="B127" s="29" t="s">
        <v>724</v>
      </c>
      <c r="C127" s="107">
        <v>10781.67</v>
      </c>
      <c r="D127" s="108">
        <v>90000</v>
      </c>
      <c r="F127" s="107">
        <v>12104.9</v>
      </c>
      <c r="G127" s="108">
        <v>130000</v>
      </c>
      <c r="I127" s="64">
        <v>0</v>
      </c>
      <c r="J127" s="83">
        <v>9153.2698999999939</v>
      </c>
      <c r="K127" s="66">
        <v>130000</v>
      </c>
      <c r="L127" s="251">
        <v>125101.065</v>
      </c>
      <c r="M127" s="63">
        <v>9655.1933999999837</v>
      </c>
      <c r="N127" s="64">
        <v>9686.2868999999973</v>
      </c>
      <c r="O127" s="65">
        <v>127211.8475</v>
      </c>
      <c r="P127" s="66">
        <v>130312.79</v>
      </c>
      <c r="Q127" s="66">
        <f t="shared" si="19"/>
        <v>3018.8676000000005</v>
      </c>
      <c r="R127" s="63">
        <f t="shared" si="20"/>
        <v>6590.3543279999949</v>
      </c>
      <c r="S127" s="83">
        <f t="shared" si="21"/>
        <v>9514.654819999987</v>
      </c>
      <c r="T127" s="64">
        <f t="shared" si="22"/>
        <v>9677.5807199999945</v>
      </c>
      <c r="U127" s="66">
        <f t="shared" si="23"/>
        <v>111048</v>
      </c>
      <c r="V127" s="63">
        <f t="shared" si="24"/>
        <v>127422.18040300001</v>
      </c>
      <c r="W127" s="83">
        <f t="shared" si="25"/>
        <v>126211.75875150002</v>
      </c>
      <c r="X127" s="64">
        <f t="shared" si="26"/>
        <v>128843.5634435</v>
      </c>
      <c r="Z127" s="67">
        <v>12104.9</v>
      </c>
      <c r="AA127" s="68">
        <v>12013.096800000012</v>
      </c>
      <c r="AB127" s="69">
        <v>130000</v>
      </c>
      <c r="AC127" s="70">
        <v>125101.065</v>
      </c>
      <c r="AD127" s="67">
        <v>9655.1933999999837</v>
      </c>
      <c r="AE127" s="68">
        <v>9686.2868999999973</v>
      </c>
      <c r="AF127" s="69">
        <v>127211.8475</v>
      </c>
      <c r="AG127" s="70">
        <v>130312.79</v>
      </c>
      <c r="AH127" s="70">
        <f t="shared" si="27"/>
        <v>11734.3956</v>
      </c>
      <c r="AI127" s="70">
        <f t="shared" si="28"/>
        <v>12038.80169600001</v>
      </c>
      <c r="AJ127" s="70">
        <f t="shared" si="29"/>
        <v>10315.406351999991</v>
      </c>
      <c r="AK127" s="70">
        <f t="shared" si="30"/>
        <v>9677.5807199999945</v>
      </c>
      <c r="AL127" s="70">
        <f t="shared" si="31"/>
        <v>111048</v>
      </c>
      <c r="AM127" s="70">
        <f t="shared" si="32"/>
        <v>127422.18040300001</v>
      </c>
      <c r="AN127" s="70">
        <f t="shared" si="33"/>
        <v>126211.75875150002</v>
      </c>
      <c r="AO127" s="70">
        <f t="shared" si="34"/>
        <v>128843.5634435</v>
      </c>
    </row>
    <row r="128" spans="1:41">
      <c r="A128" s="29" t="s">
        <v>471</v>
      </c>
      <c r="B128" s="29" t="s">
        <v>725</v>
      </c>
      <c r="C128" s="107">
        <v>0</v>
      </c>
      <c r="D128" s="108">
        <v>1419402</v>
      </c>
      <c r="F128" s="107">
        <v>0</v>
      </c>
      <c r="G128" s="108">
        <v>1484202</v>
      </c>
      <c r="I128" s="64">
        <v>0</v>
      </c>
      <c r="J128" s="83">
        <v>0</v>
      </c>
      <c r="K128" s="66">
        <v>1484202</v>
      </c>
      <c r="L128" s="251">
        <v>1560665.5189999999</v>
      </c>
      <c r="M128" s="63">
        <v>0</v>
      </c>
      <c r="N128" s="64">
        <v>0</v>
      </c>
      <c r="O128" s="65">
        <v>1614776.4250999999</v>
      </c>
      <c r="P128" s="66">
        <v>1647984</v>
      </c>
      <c r="Q128" s="66">
        <f t="shared" si="19"/>
        <v>0</v>
      </c>
      <c r="R128" s="63">
        <f t="shared" si="20"/>
        <v>0</v>
      </c>
      <c r="S128" s="83">
        <f t="shared" si="21"/>
        <v>0</v>
      </c>
      <c r="T128" s="64">
        <f t="shared" si="22"/>
        <v>0</v>
      </c>
      <c r="U128" s="66">
        <f t="shared" si="23"/>
        <v>1453499.76</v>
      </c>
      <c r="V128" s="63">
        <f t="shared" si="24"/>
        <v>1524437.1036978001</v>
      </c>
      <c r="W128" s="83">
        <f t="shared" si="25"/>
        <v>1589138.6777898199</v>
      </c>
      <c r="X128" s="64">
        <f t="shared" si="26"/>
        <v>1632250.2510123798</v>
      </c>
      <c r="Z128" s="67">
        <v>0</v>
      </c>
      <c r="AA128" s="68">
        <v>0</v>
      </c>
      <c r="AB128" s="69">
        <v>1484202</v>
      </c>
      <c r="AC128" s="70">
        <v>1564881</v>
      </c>
      <c r="AD128" s="67">
        <v>0</v>
      </c>
      <c r="AE128" s="68">
        <v>0</v>
      </c>
      <c r="AF128" s="69">
        <v>1614776.4250999999</v>
      </c>
      <c r="AG128" s="70">
        <v>1647984</v>
      </c>
      <c r="AH128" s="70">
        <f t="shared" si="27"/>
        <v>0</v>
      </c>
      <c r="AI128" s="70">
        <f t="shared" si="28"/>
        <v>0</v>
      </c>
      <c r="AJ128" s="70">
        <f t="shared" si="29"/>
        <v>0</v>
      </c>
      <c r="AK128" s="70">
        <f t="shared" si="30"/>
        <v>0</v>
      </c>
      <c r="AL128" s="70">
        <f t="shared" si="31"/>
        <v>1453499.76</v>
      </c>
      <c r="AM128" s="70">
        <f t="shared" si="32"/>
        <v>1526655.2897999999</v>
      </c>
      <c r="AN128" s="70">
        <f t="shared" si="33"/>
        <v>1591135.97268762</v>
      </c>
      <c r="AO128" s="70">
        <f t="shared" si="34"/>
        <v>1632250.2510123798</v>
      </c>
    </row>
    <row r="129" spans="1:41">
      <c r="A129" s="29" t="s">
        <v>9</v>
      </c>
      <c r="B129" s="29" t="s">
        <v>726</v>
      </c>
      <c r="C129" s="107">
        <v>0</v>
      </c>
      <c r="D129" s="108">
        <v>525000</v>
      </c>
      <c r="F129" s="107">
        <v>0</v>
      </c>
      <c r="G129" s="108">
        <v>525000</v>
      </c>
      <c r="I129" s="64">
        <v>0</v>
      </c>
      <c r="J129" s="83">
        <v>0</v>
      </c>
      <c r="K129" s="66">
        <v>525000</v>
      </c>
      <c r="L129" s="251">
        <v>525000</v>
      </c>
      <c r="M129" s="63">
        <v>0</v>
      </c>
      <c r="N129" s="64">
        <v>0</v>
      </c>
      <c r="O129" s="65">
        <v>525000</v>
      </c>
      <c r="P129" s="66">
        <v>525000</v>
      </c>
      <c r="Q129" s="66">
        <f t="shared" si="19"/>
        <v>0</v>
      </c>
      <c r="R129" s="63">
        <f t="shared" si="20"/>
        <v>0</v>
      </c>
      <c r="S129" s="83">
        <f t="shared" si="21"/>
        <v>0</v>
      </c>
      <c r="T129" s="64">
        <f t="shared" si="22"/>
        <v>0</v>
      </c>
      <c r="U129" s="66">
        <f t="shared" si="23"/>
        <v>525000</v>
      </c>
      <c r="V129" s="63">
        <f t="shared" si="24"/>
        <v>525000</v>
      </c>
      <c r="W129" s="83">
        <f t="shared" si="25"/>
        <v>525000</v>
      </c>
      <c r="X129" s="64">
        <f t="shared" si="26"/>
        <v>525000</v>
      </c>
      <c r="Z129" s="67">
        <v>0</v>
      </c>
      <c r="AA129" s="68">
        <v>0</v>
      </c>
      <c r="AB129" s="69">
        <v>525000</v>
      </c>
      <c r="AC129" s="70">
        <v>525000</v>
      </c>
      <c r="AD129" s="67">
        <v>0</v>
      </c>
      <c r="AE129" s="68">
        <v>0</v>
      </c>
      <c r="AF129" s="69">
        <v>525000</v>
      </c>
      <c r="AG129" s="70">
        <v>525000</v>
      </c>
      <c r="AH129" s="70">
        <f t="shared" si="27"/>
        <v>0</v>
      </c>
      <c r="AI129" s="70">
        <f t="shared" si="28"/>
        <v>0</v>
      </c>
      <c r="AJ129" s="70">
        <f t="shared" si="29"/>
        <v>0</v>
      </c>
      <c r="AK129" s="70">
        <f t="shared" si="30"/>
        <v>0</v>
      </c>
      <c r="AL129" s="70">
        <f t="shared" si="31"/>
        <v>525000</v>
      </c>
      <c r="AM129" s="70">
        <f t="shared" si="32"/>
        <v>525000</v>
      </c>
      <c r="AN129" s="70">
        <f t="shared" si="33"/>
        <v>525000</v>
      </c>
      <c r="AO129" s="70">
        <f t="shared" si="34"/>
        <v>525000</v>
      </c>
    </row>
    <row r="130" spans="1:41">
      <c r="A130" s="29" t="s">
        <v>77</v>
      </c>
      <c r="B130" s="29" t="s">
        <v>727</v>
      </c>
      <c r="C130" s="107">
        <v>1248637.42</v>
      </c>
      <c r="D130" s="108">
        <v>13790705</v>
      </c>
      <c r="F130" s="107">
        <v>804321.65</v>
      </c>
      <c r="G130" s="108">
        <v>14496559</v>
      </c>
      <c r="I130" s="64">
        <v>240478.04</v>
      </c>
      <c r="J130" s="83">
        <v>123952.60199999889</v>
      </c>
      <c r="K130" s="66">
        <v>14496559</v>
      </c>
      <c r="L130" s="251">
        <v>15235033</v>
      </c>
      <c r="M130" s="63">
        <v>0</v>
      </c>
      <c r="N130" s="64">
        <v>0</v>
      </c>
      <c r="O130" s="65">
        <v>16007613</v>
      </c>
      <c r="P130" s="66">
        <v>16007613</v>
      </c>
      <c r="Q130" s="66">
        <f t="shared" si="19"/>
        <v>522762.66639999999</v>
      </c>
      <c r="R130" s="63">
        <f t="shared" si="20"/>
        <v>156579.72463999921</v>
      </c>
      <c r="S130" s="83">
        <f t="shared" si="21"/>
        <v>34706.72855999969</v>
      </c>
      <c r="T130" s="64">
        <f t="shared" si="22"/>
        <v>0</v>
      </c>
      <c r="U130" s="66">
        <f t="shared" si="23"/>
        <v>14162125.3748</v>
      </c>
      <c r="V130" s="63">
        <f t="shared" si="24"/>
        <v>14885144.0188</v>
      </c>
      <c r="W130" s="83">
        <f t="shared" si="25"/>
        <v>15641564.596000001</v>
      </c>
      <c r="X130" s="64">
        <f t="shared" si="26"/>
        <v>16007613</v>
      </c>
      <c r="Z130" s="67">
        <v>804321.65</v>
      </c>
      <c r="AA130" s="68">
        <v>604474.57280000008</v>
      </c>
      <c r="AB130" s="69">
        <v>14496559</v>
      </c>
      <c r="AC130" s="70">
        <v>15235033</v>
      </c>
      <c r="AD130" s="67">
        <v>0</v>
      </c>
      <c r="AE130" s="68">
        <v>0</v>
      </c>
      <c r="AF130" s="69">
        <v>16007613</v>
      </c>
      <c r="AG130" s="70">
        <v>16007613</v>
      </c>
      <c r="AH130" s="70">
        <f t="shared" si="27"/>
        <v>928730.06559999997</v>
      </c>
      <c r="AI130" s="70">
        <f t="shared" si="28"/>
        <v>660431.7544160001</v>
      </c>
      <c r="AJ130" s="70">
        <f t="shared" si="29"/>
        <v>169252.88038400005</v>
      </c>
      <c r="AK130" s="70">
        <f t="shared" si="30"/>
        <v>0</v>
      </c>
      <c r="AL130" s="70">
        <f t="shared" si="31"/>
        <v>14162125.3748</v>
      </c>
      <c r="AM130" s="70">
        <f t="shared" si="32"/>
        <v>14885144.0188</v>
      </c>
      <c r="AN130" s="70">
        <f t="shared" si="33"/>
        <v>15641564.596000001</v>
      </c>
      <c r="AO130" s="70">
        <f t="shared" si="34"/>
        <v>16007613</v>
      </c>
    </row>
    <row r="131" spans="1:41">
      <c r="A131" s="29" t="s">
        <v>493</v>
      </c>
      <c r="B131" s="29" t="s">
        <v>728</v>
      </c>
      <c r="C131" s="107">
        <v>0</v>
      </c>
      <c r="D131" s="108">
        <v>250000</v>
      </c>
      <c r="F131" s="107">
        <v>0</v>
      </c>
      <c r="G131" s="108">
        <v>250000</v>
      </c>
      <c r="I131" s="64">
        <v>0</v>
      </c>
      <c r="J131" s="83">
        <v>9307.9808333333367</v>
      </c>
      <c r="K131" s="66">
        <v>250000</v>
      </c>
      <c r="L131" s="251">
        <v>250000</v>
      </c>
      <c r="M131" s="63">
        <v>0</v>
      </c>
      <c r="N131" s="64">
        <v>0</v>
      </c>
      <c r="O131" s="65">
        <v>250000</v>
      </c>
      <c r="P131" s="66">
        <v>250000</v>
      </c>
      <c r="Q131" s="66">
        <f t="shared" si="19"/>
        <v>0</v>
      </c>
      <c r="R131" s="63">
        <f t="shared" si="20"/>
        <v>6701.7462000000023</v>
      </c>
      <c r="S131" s="83">
        <f t="shared" si="21"/>
        <v>2606.2346333333344</v>
      </c>
      <c r="T131" s="64">
        <f t="shared" si="22"/>
        <v>0</v>
      </c>
      <c r="U131" s="66">
        <f t="shared" si="23"/>
        <v>250000</v>
      </c>
      <c r="V131" s="63">
        <f t="shared" si="24"/>
        <v>250000</v>
      </c>
      <c r="W131" s="83">
        <f t="shared" si="25"/>
        <v>250000</v>
      </c>
      <c r="X131" s="64">
        <f t="shared" si="26"/>
        <v>250000</v>
      </c>
      <c r="Z131" s="67">
        <v>0</v>
      </c>
      <c r="AA131" s="68">
        <v>9307.9808333333367</v>
      </c>
      <c r="AB131" s="69">
        <v>250000</v>
      </c>
      <c r="AC131" s="70">
        <v>250000</v>
      </c>
      <c r="AD131" s="67">
        <v>0</v>
      </c>
      <c r="AE131" s="68">
        <v>0</v>
      </c>
      <c r="AF131" s="69">
        <v>250000</v>
      </c>
      <c r="AG131" s="70">
        <v>250000</v>
      </c>
      <c r="AH131" s="70">
        <f t="shared" si="27"/>
        <v>0</v>
      </c>
      <c r="AI131" s="70">
        <f t="shared" si="28"/>
        <v>6701.7462000000023</v>
      </c>
      <c r="AJ131" s="70">
        <f t="shared" si="29"/>
        <v>2606.2346333333344</v>
      </c>
      <c r="AK131" s="70">
        <f t="shared" si="30"/>
        <v>0</v>
      </c>
      <c r="AL131" s="70">
        <f t="shared" si="31"/>
        <v>250000</v>
      </c>
      <c r="AM131" s="70">
        <f t="shared" si="32"/>
        <v>250000</v>
      </c>
      <c r="AN131" s="70">
        <f t="shared" si="33"/>
        <v>250000</v>
      </c>
      <c r="AO131" s="70">
        <f t="shared" si="34"/>
        <v>250000</v>
      </c>
    </row>
    <row r="132" spans="1:41">
      <c r="A132" s="29" t="s">
        <v>397</v>
      </c>
      <c r="B132" s="29" t="s">
        <v>729</v>
      </c>
      <c r="C132" s="107">
        <v>0</v>
      </c>
      <c r="D132" s="108">
        <v>988350</v>
      </c>
      <c r="F132" s="107">
        <v>0</v>
      </c>
      <c r="G132" s="108">
        <v>1006141</v>
      </c>
      <c r="I132" s="64">
        <v>0</v>
      </c>
      <c r="J132" s="83">
        <v>0</v>
      </c>
      <c r="K132" s="66">
        <v>1006141</v>
      </c>
      <c r="L132" s="251">
        <v>678615.30839999998</v>
      </c>
      <c r="M132" s="63">
        <v>0</v>
      </c>
      <c r="N132" s="64">
        <v>0</v>
      </c>
      <c r="O132" s="65">
        <v>702123.98789999995</v>
      </c>
      <c r="P132" s="66">
        <v>729946.14769999997</v>
      </c>
      <c r="Q132" s="66">
        <f t="shared" si="19"/>
        <v>0</v>
      </c>
      <c r="R132" s="63">
        <f t="shared" si="20"/>
        <v>0</v>
      </c>
      <c r="S132" s="83">
        <f t="shared" si="21"/>
        <v>0</v>
      </c>
      <c r="T132" s="64">
        <f t="shared" si="22"/>
        <v>0</v>
      </c>
      <c r="U132" s="66">
        <f t="shared" si="23"/>
        <v>997711.62419999996</v>
      </c>
      <c r="V132" s="63">
        <f t="shared" si="24"/>
        <v>833796.98108008003</v>
      </c>
      <c r="W132" s="83">
        <f t="shared" si="25"/>
        <v>690985.57555289986</v>
      </c>
      <c r="X132" s="64">
        <f t="shared" si="26"/>
        <v>716764.00838676002</v>
      </c>
      <c r="Z132" s="67">
        <v>0</v>
      </c>
      <c r="AA132" s="68">
        <v>0</v>
      </c>
      <c r="AB132" s="69">
        <v>1006141</v>
      </c>
      <c r="AC132" s="70">
        <v>690014.80199999991</v>
      </c>
      <c r="AD132" s="67">
        <v>0</v>
      </c>
      <c r="AE132" s="68">
        <v>0</v>
      </c>
      <c r="AF132" s="69">
        <v>702123.98789999995</v>
      </c>
      <c r="AG132" s="70">
        <v>729946.14769999997</v>
      </c>
      <c r="AH132" s="70">
        <f t="shared" si="27"/>
        <v>0</v>
      </c>
      <c r="AI132" s="70">
        <f t="shared" si="28"/>
        <v>0</v>
      </c>
      <c r="AJ132" s="70">
        <f t="shared" si="29"/>
        <v>0</v>
      </c>
      <c r="AK132" s="70">
        <f t="shared" si="30"/>
        <v>0</v>
      </c>
      <c r="AL132" s="70">
        <f t="shared" si="31"/>
        <v>997711.62419999996</v>
      </c>
      <c r="AM132" s="70">
        <f t="shared" si="32"/>
        <v>839795.39461239998</v>
      </c>
      <c r="AN132" s="70">
        <f t="shared" si="33"/>
        <v>696386.65562057984</v>
      </c>
      <c r="AO132" s="70">
        <f t="shared" si="34"/>
        <v>716764.00838676002</v>
      </c>
    </row>
    <row r="133" spans="1:41">
      <c r="A133" s="29" t="s">
        <v>269</v>
      </c>
      <c r="B133" s="29" t="s">
        <v>730</v>
      </c>
      <c r="C133" s="107">
        <v>0</v>
      </c>
      <c r="D133" s="108">
        <v>625881</v>
      </c>
      <c r="F133" s="107">
        <v>0</v>
      </c>
      <c r="G133" s="108">
        <v>647945</v>
      </c>
      <c r="I133" s="64">
        <v>0</v>
      </c>
      <c r="J133" s="83">
        <v>0</v>
      </c>
      <c r="K133" s="66">
        <v>647945</v>
      </c>
      <c r="L133" s="251">
        <v>606936.67440000002</v>
      </c>
      <c r="M133" s="63">
        <v>0</v>
      </c>
      <c r="N133" s="64">
        <v>0</v>
      </c>
      <c r="O133" s="65">
        <v>627970.2426</v>
      </c>
      <c r="P133" s="66">
        <v>652839.37179999996</v>
      </c>
      <c r="Q133" s="66">
        <f t="shared" si="19"/>
        <v>0</v>
      </c>
      <c r="R133" s="63">
        <f t="shared" si="20"/>
        <v>0</v>
      </c>
      <c r="S133" s="83">
        <f t="shared" si="21"/>
        <v>0</v>
      </c>
      <c r="T133" s="64">
        <f t="shared" si="22"/>
        <v>0</v>
      </c>
      <c r="U133" s="66">
        <f t="shared" si="23"/>
        <v>637491.07679999992</v>
      </c>
      <c r="V133" s="63">
        <f t="shared" si="24"/>
        <v>626366.41906928003</v>
      </c>
      <c r="W133" s="83">
        <f t="shared" si="25"/>
        <v>618004.53798684001</v>
      </c>
      <c r="X133" s="64">
        <f t="shared" si="26"/>
        <v>641056.37838503998</v>
      </c>
      <c r="Z133" s="67">
        <v>0</v>
      </c>
      <c r="AA133" s="68">
        <v>0</v>
      </c>
      <c r="AB133" s="69">
        <v>647945</v>
      </c>
      <c r="AC133" s="70">
        <v>698938.64800000004</v>
      </c>
      <c r="AD133" s="67">
        <v>0</v>
      </c>
      <c r="AE133" s="68">
        <v>0</v>
      </c>
      <c r="AF133" s="69">
        <v>627970.2426</v>
      </c>
      <c r="AG133" s="70">
        <v>652839.37179999996</v>
      </c>
      <c r="AH133" s="70">
        <f t="shared" si="27"/>
        <v>0</v>
      </c>
      <c r="AI133" s="70">
        <f t="shared" si="28"/>
        <v>0</v>
      </c>
      <c r="AJ133" s="70">
        <f t="shared" si="29"/>
        <v>0</v>
      </c>
      <c r="AK133" s="70">
        <f t="shared" si="30"/>
        <v>0</v>
      </c>
      <c r="AL133" s="70">
        <f t="shared" si="31"/>
        <v>637491.07679999992</v>
      </c>
      <c r="AM133" s="70">
        <f t="shared" si="32"/>
        <v>674777.85757760005</v>
      </c>
      <c r="AN133" s="70">
        <f t="shared" si="33"/>
        <v>661595.07307852001</v>
      </c>
      <c r="AO133" s="70">
        <f t="shared" si="34"/>
        <v>641056.37838503998</v>
      </c>
    </row>
    <row r="134" spans="1:41">
      <c r="A134" s="29" t="s">
        <v>545</v>
      </c>
      <c r="B134" s="29" t="s">
        <v>731</v>
      </c>
      <c r="C134" s="107">
        <v>854719.14</v>
      </c>
      <c r="D134" s="108">
        <v>6700000</v>
      </c>
      <c r="F134" s="107">
        <v>390771.94</v>
      </c>
      <c r="G134" s="108">
        <v>7200000</v>
      </c>
      <c r="I134" s="64">
        <v>107581.36</v>
      </c>
      <c r="J134" s="83">
        <v>179409.63469999935</v>
      </c>
      <c r="K134" s="66">
        <v>7200000</v>
      </c>
      <c r="L134" s="251">
        <v>7600000</v>
      </c>
      <c r="M134" s="63">
        <v>0</v>
      </c>
      <c r="N134" s="64">
        <v>0</v>
      </c>
      <c r="O134" s="65">
        <v>8000000</v>
      </c>
      <c r="P134" s="66">
        <v>8000000</v>
      </c>
      <c r="Q134" s="66">
        <f t="shared" si="19"/>
        <v>316779.93840000004</v>
      </c>
      <c r="R134" s="63">
        <f t="shared" si="20"/>
        <v>159297.71778399954</v>
      </c>
      <c r="S134" s="83">
        <f t="shared" si="21"/>
        <v>50234.697715999821</v>
      </c>
      <c r="T134" s="64">
        <f t="shared" si="22"/>
        <v>0</v>
      </c>
      <c r="U134" s="66">
        <f t="shared" si="23"/>
        <v>6963100</v>
      </c>
      <c r="V134" s="63">
        <f t="shared" si="24"/>
        <v>7410480</v>
      </c>
      <c r="W134" s="83">
        <f t="shared" si="25"/>
        <v>7810480</v>
      </c>
      <c r="X134" s="64">
        <f t="shared" si="26"/>
        <v>8000000</v>
      </c>
      <c r="Z134" s="67">
        <v>390771.94</v>
      </c>
      <c r="AA134" s="68">
        <v>417023.94799999928</v>
      </c>
      <c r="AB134" s="69">
        <v>7200000</v>
      </c>
      <c r="AC134" s="70">
        <v>7600000</v>
      </c>
      <c r="AD134" s="67">
        <v>0</v>
      </c>
      <c r="AE134" s="68">
        <v>0</v>
      </c>
      <c r="AF134" s="69">
        <v>8000000</v>
      </c>
      <c r="AG134" s="70">
        <v>8000000</v>
      </c>
      <c r="AH134" s="70">
        <f t="shared" si="27"/>
        <v>520677.15600000008</v>
      </c>
      <c r="AI134" s="70">
        <f t="shared" si="28"/>
        <v>409673.38575999945</v>
      </c>
      <c r="AJ134" s="70">
        <f t="shared" si="29"/>
        <v>116766.7054399998</v>
      </c>
      <c r="AK134" s="70">
        <f t="shared" si="30"/>
        <v>0</v>
      </c>
      <c r="AL134" s="70">
        <f t="shared" si="31"/>
        <v>6963100</v>
      </c>
      <c r="AM134" s="70">
        <f t="shared" si="32"/>
        <v>7410480</v>
      </c>
      <c r="AN134" s="70">
        <f t="shared" si="33"/>
        <v>7810480</v>
      </c>
      <c r="AO134" s="70">
        <f t="shared" si="34"/>
        <v>8000000</v>
      </c>
    </row>
    <row r="135" spans="1:41">
      <c r="A135" s="29" t="s">
        <v>591</v>
      </c>
      <c r="B135" s="29" t="s">
        <v>732</v>
      </c>
      <c r="C135" s="107">
        <v>1030604.25</v>
      </c>
      <c r="D135" s="108">
        <v>385000</v>
      </c>
      <c r="F135" s="107">
        <v>1074439.1599999999</v>
      </c>
      <c r="G135" s="108">
        <v>400000</v>
      </c>
      <c r="I135" s="64">
        <v>1051685.79</v>
      </c>
      <c r="J135" s="83">
        <v>1104676.0135999999</v>
      </c>
      <c r="K135" s="66">
        <v>400000</v>
      </c>
      <c r="L135" s="251">
        <v>415000</v>
      </c>
      <c r="M135" s="63">
        <v>1134990.0204</v>
      </c>
      <c r="N135" s="64">
        <v>1075667.1502880002</v>
      </c>
      <c r="O135" s="65">
        <v>430000</v>
      </c>
      <c r="P135" s="66">
        <v>430000</v>
      </c>
      <c r="Q135" s="66">
        <f t="shared" si="19"/>
        <v>1045782.9587999999</v>
      </c>
      <c r="R135" s="63">
        <f t="shared" si="20"/>
        <v>1089838.7509919999</v>
      </c>
      <c r="S135" s="83">
        <f t="shared" si="21"/>
        <v>1126502.098496</v>
      </c>
      <c r="T135" s="64">
        <f t="shared" si="22"/>
        <v>1092277.55391936</v>
      </c>
      <c r="U135" s="66">
        <f t="shared" si="23"/>
        <v>392893</v>
      </c>
      <c r="V135" s="63">
        <f t="shared" si="24"/>
        <v>407893</v>
      </c>
      <c r="W135" s="83">
        <f t="shared" si="25"/>
        <v>422893</v>
      </c>
      <c r="X135" s="64">
        <f t="shared" si="26"/>
        <v>430000</v>
      </c>
      <c r="Z135" s="67">
        <v>1074439.1599999999</v>
      </c>
      <c r="AA135" s="68">
        <v>1113308.7830000001</v>
      </c>
      <c r="AB135" s="69">
        <v>400000</v>
      </c>
      <c r="AC135" s="70">
        <v>415000</v>
      </c>
      <c r="AD135" s="67">
        <v>1134990.0204</v>
      </c>
      <c r="AE135" s="68">
        <v>1075667.1502880002</v>
      </c>
      <c r="AF135" s="69">
        <v>430000</v>
      </c>
      <c r="AG135" s="70">
        <v>430000</v>
      </c>
      <c r="AH135" s="70">
        <f t="shared" si="27"/>
        <v>1062165.3851999999</v>
      </c>
      <c r="AI135" s="70">
        <f t="shared" si="28"/>
        <v>1102425.28856</v>
      </c>
      <c r="AJ135" s="70">
        <f t="shared" si="29"/>
        <v>1128919.2739280001</v>
      </c>
      <c r="AK135" s="70">
        <f t="shared" si="30"/>
        <v>1092277.55391936</v>
      </c>
      <c r="AL135" s="70">
        <f t="shared" si="31"/>
        <v>392893</v>
      </c>
      <c r="AM135" s="70">
        <f t="shared" si="32"/>
        <v>407893</v>
      </c>
      <c r="AN135" s="70">
        <f t="shared" si="33"/>
        <v>422893</v>
      </c>
      <c r="AO135" s="70">
        <f t="shared" si="34"/>
        <v>430000</v>
      </c>
    </row>
    <row r="136" spans="1:41">
      <c r="A136" s="29" t="s">
        <v>97</v>
      </c>
      <c r="B136" s="29" t="s">
        <v>733</v>
      </c>
      <c r="C136" s="107">
        <v>33913.93</v>
      </c>
      <c r="D136" s="108">
        <v>175000</v>
      </c>
      <c r="F136" s="107">
        <v>42535.68</v>
      </c>
      <c r="G136" s="108">
        <v>175350.42</v>
      </c>
      <c r="I136" s="64">
        <v>32571.57</v>
      </c>
      <c r="J136" s="83">
        <v>27437.405999999992</v>
      </c>
      <c r="K136" s="66">
        <v>175350.42</v>
      </c>
      <c r="L136" s="251">
        <v>175000</v>
      </c>
      <c r="M136" s="63">
        <v>28928.878499999995</v>
      </c>
      <c r="N136" s="64">
        <v>24440.559000000005</v>
      </c>
      <c r="O136" s="65">
        <v>175000</v>
      </c>
      <c r="P136" s="66">
        <v>175000</v>
      </c>
      <c r="Q136" s="66">
        <f t="shared" si="19"/>
        <v>32947.430800000002</v>
      </c>
      <c r="R136" s="63">
        <f t="shared" si="20"/>
        <v>28874.971919999993</v>
      </c>
      <c r="S136" s="83">
        <f t="shared" si="21"/>
        <v>28511.266199999995</v>
      </c>
      <c r="T136" s="64">
        <f t="shared" si="22"/>
        <v>25697.288460000003</v>
      </c>
      <c r="U136" s="66">
        <f t="shared" si="23"/>
        <v>175184.391004</v>
      </c>
      <c r="V136" s="63">
        <f t="shared" si="24"/>
        <v>175166.02899600001</v>
      </c>
      <c r="W136" s="83">
        <f t="shared" si="25"/>
        <v>175000</v>
      </c>
      <c r="X136" s="64">
        <f t="shared" si="26"/>
        <v>175000</v>
      </c>
      <c r="Z136" s="67">
        <v>42535.68</v>
      </c>
      <c r="AA136" s="68">
        <v>37899.754100000006</v>
      </c>
      <c r="AB136" s="69">
        <v>175350.42</v>
      </c>
      <c r="AC136" s="70">
        <v>175000</v>
      </c>
      <c r="AD136" s="67">
        <v>28928.878499999995</v>
      </c>
      <c r="AE136" s="68">
        <v>24440.559000000005</v>
      </c>
      <c r="AF136" s="69">
        <v>175000</v>
      </c>
      <c r="AG136" s="70">
        <v>175000</v>
      </c>
      <c r="AH136" s="70">
        <f t="shared" si="27"/>
        <v>40121.589999999997</v>
      </c>
      <c r="AI136" s="70">
        <f t="shared" si="28"/>
        <v>39197.813352000005</v>
      </c>
      <c r="AJ136" s="70">
        <f t="shared" si="29"/>
        <v>31440.723667999999</v>
      </c>
      <c r="AK136" s="70">
        <f t="shared" si="30"/>
        <v>25697.288460000003</v>
      </c>
      <c r="AL136" s="70">
        <f t="shared" si="31"/>
        <v>175184.391004</v>
      </c>
      <c r="AM136" s="70">
        <f t="shared" si="32"/>
        <v>175166.02899600001</v>
      </c>
      <c r="AN136" s="70">
        <f t="shared" si="33"/>
        <v>175000</v>
      </c>
      <c r="AO136" s="70">
        <f t="shared" si="34"/>
        <v>175000</v>
      </c>
    </row>
    <row r="137" spans="1:41">
      <c r="A137" s="29" t="s">
        <v>29</v>
      </c>
      <c r="B137" s="29" t="s">
        <v>734</v>
      </c>
      <c r="C137" s="107">
        <v>0</v>
      </c>
      <c r="D137" s="108">
        <v>1536273</v>
      </c>
      <c r="F137" s="107">
        <v>0</v>
      </c>
      <c r="G137" s="108">
        <v>1681182.1</v>
      </c>
      <c r="I137" s="64">
        <v>0</v>
      </c>
      <c r="J137" s="83">
        <v>0</v>
      </c>
      <c r="K137" s="66">
        <v>1681182.1</v>
      </c>
      <c r="L137" s="251">
        <v>1738474</v>
      </c>
      <c r="M137" s="63">
        <v>0</v>
      </c>
      <c r="N137" s="64">
        <v>0</v>
      </c>
      <c r="O137" s="65">
        <v>1738474</v>
      </c>
      <c r="P137" s="66">
        <v>1738474</v>
      </c>
      <c r="Q137" s="66">
        <f t="shared" ref="Q137:Q200" si="35">(0.28*C137)+(0.72*I137)</f>
        <v>0</v>
      </c>
      <c r="R137" s="63">
        <f t="shared" ref="R137:R200" si="36">(0.28*I137)+(0.72*J137)</f>
        <v>0</v>
      </c>
      <c r="S137" s="83">
        <f t="shared" ref="S137:S200" si="37">(0.28*J137)+(0.72*M137)</f>
        <v>0</v>
      </c>
      <c r="T137" s="64">
        <f t="shared" ref="T137:T200" si="38">(0.28*M137)+(0.72*N137)</f>
        <v>0</v>
      </c>
      <c r="U137" s="66">
        <f t="shared" ref="U137:U200" si="39">(0.4738*D137)+(0.5262*G137)</f>
        <v>1612524.16842</v>
      </c>
      <c r="V137" s="63">
        <f t="shared" ref="V137:V200" si="40">(0.4738*G137)+(0.5262*L137)</f>
        <v>1711329.09778</v>
      </c>
      <c r="W137" s="83">
        <f t="shared" ref="W137:W200" si="41">(0.4738*L137)+(0.5262*O137)</f>
        <v>1738474</v>
      </c>
      <c r="X137" s="64">
        <f t="shared" ref="X137:X200" si="42">(0.4738*O137)+(0.5262*P137)</f>
        <v>1738474</v>
      </c>
      <c r="Z137" s="67">
        <v>0</v>
      </c>
      <c r="AA137" s="68">
        <v>0</v>
      </c>
      <c r="AB137" s="69">
        <v>1681182.1</v>
      </c>
      <c r="AC137" s="70">
        <v>1738474</v>
      </c>
      <c r="AD137" s="67">
        <v>0</v>
      </c>
      <c r="AE137" s="68">
        <v>0</v>
      </c>
      <c r="AF137" s="69">
        <v>1738474</v>
      </c>
      <c r="AG137" s="70">
        <v>1738474</v>
      </c>
      <c r="AH137" s="70">
        <f t="shared" ref="AH137:AH200" si="43">(0.28*C137)+(0.72*Z137)</f>
        <v>0</v>
      </c>
      <c r="AI137" s="70">
        <f t="shared" ref="AI137:AI200" si="44">(0.28*Z137)+(0.72*AA137)</f>
        <v>0</v>
      </c>
      <c r="AJ137" s="70">
        <f t="shared" ref="AJ137:AJ200" si="45">(0.28*AA137)+(0.72*AD137)</f>
        <v>0</v>
      </c>
      <c r="AK137" s="70">
        <f t="shared" ref="AK137:AK200" si="46">(0.28*AD137)+(0.72*AE137)</f>
        <v>0</v>
      </c>
      <c r="AL137" s="70">
        <f t="shared" ref="AL137:AL200" si="47">(0.4738*D137)+(0.5262*G137)</f>
        <v>1612524.16842</v>
      </c>
      <c r="AM137" s="70">
        <f t="shared" ref="AM137:AM200" si="48">(0.4738*G137)+(0.5262*AC137)</f>
        <v>1711329.09778</v>
      </c>
      <c r="AN137" s="70">
        <f t="shared" ref="AN137:AN200" si="49">(0.4738*AC137)+(0.5262*AF137)</f>
        <v>1738474</v>
      </c>
      <c r="AO137" s="70">
        <f t="shared" ref="AO137:AO200" si="50">(0.4738*AF137)+(0.5262*AG137)</f>
        <v>1738474</v>
      </c>
    </row>
    <row r="138" spans="1:41">
      <c r="A138" s="29" t="s">
        <v>319</v>
      </c>
      <c r="B138" s="29" t="s">
        <v>735</v>
      </c>
      <c r="C138" s="107">
        <v>2498872.66</v>
      </c>
      <c r="D138" s="108">
        <v>522624</v>
      </c>
      <c r="F138" s="107">
        <v>3122223.14</v>
      </c>
      <c r="G138" s="108">
        <v>609919</v>
      </c>
      <c r="I138" s="64">
        <v>3122223.14</v>
      </c>
      <c r="J138" s="83">
        <v>3340092.2582000005</v>
      </c>
      <c r="K138" s="66">
        <v>609919</v>
      </c>
      <c r="L138" s="251">
        <v>615497.70499999996</v>
      </c>
      <c r="M138" s="63">
        <v>3427486.1192999999</v>
      </c>
      <c r="N138" s="64">
        <v>3539675.5014</v>
      </c>
      <c r="O138" s="65">
        <v>655664</v>
      </c>
      <c r="P138" s="66">
        <v>655664</v>
      </c>
      <c r="Q138" s="66">
        <f t="shared" si="35"/>
        <v>2947685.0056000003</v>
      </c>
      <c r="R138" s="63">
        <f t="shared" si="36"/>
        <v>3279088.9051040001</v>
      </c>
      <c r="S138" s="83">
        <f t="shared" si="37"/>
        <v>3403015.8381920001</v>
      </c>
      <c r="T138" s="64">
        <f t="shared" si="38"/>
        <v>3508262.4744120003</v>
      </c>
      <c r="U138" s="66">
        <f t="shared" si="39"/>
        <v>568558.62899999996</v>
      </c>
      <c r="V138" s="63">
        <f t="shared" si="40"/>
        <v>612854.51457099989</v>
      </c>
      <c r="W138" s="83">
        <f t="shared" si="41"/>
        <v>636633.20942900004</v>
      </c>
      <c r="X138" s="64">
        <f t="shared" si="42"/>
        <v>655664</v>
      </c>
      <c r="Z138" s="67">
        <v>3122223.14</v>
      </c>
      <c r="AA138" s="68">
        <v>3340092.2582000005</v>
      </c>
      <c r="AB138" s="69">
        <v>609919</v>
      </c>
      <c r="AC138" s="70">
        <v>615497.70499999996</v>
      </c>
      <c r="AD138" s="67">
        <v>3427486.1192999999</v>
      </c>
      <c r="AE138" s="68">
        <v>3539675.5014</v>
      </c>
      <c r="AF138" s="69">
        <v>655664</v>
      </c>
      <c r="AG138" s="70">
        <v>655664</v>
      </c>
      <c r="AH138" s="70">
        <f t="shared" si="43"/>
        <v>2947685.0056000003</v>
      </c>
      <c r="AI138" s="70">
        <f t="shared" si="44"/>
        <v>3279088.9051040001</v>
      </c>
      <c r="AJ138" s="70">
        <f t="shared" si="45"/>
        <v>3403015.8381920001</v>
      </c>
      <c r="AK138" s="70">
        <f t="shared" si="46"/>
        <v>3508262.4744120003</v>
      </c>
      <c r="AL138" s="70">
        <f t="shared" si="47"/>
        <v>568558.62899999996</v>
      </c>
      <c r="AM138" s="70">
        <f t="shared" si="48"/>
        <v>612854.51457099989</v>
      </c>
      <c r="AN138" s="70">
        <f t="shared" si="49"/>
        <v>636633.20942900004</v>
      </c>
      <c r="AO138" s="70">
        <f t="shared" si="50"/>
        <v>655664</v>
      </c>
    </row>
    <row r="139" spans="1:41">
      <c r="A139" s="29" t="s">
        <v>501</v>
      </c>
      <c r="B139" s="29" t="s">
        <v>736</v>
      </c>
      <c r="C139" s="107">
        <v>315313.99</v>
      </c>
      <c r="D139" s="108">
        <v>287000</v>
      </c>
      <c r="F139" s="107">
        <v>358019.99</v>
      </c>
      <c r="G139" s="108">
        <v>342273</v>
      </c>
      <c r="I139" s="64">
        <v>318095.2</v>
      </c>
      <c r="J139" s="83">
        <v>318398.821</v>
      </c>
      <c r="K139" s="66">
        <v>342273</v>
      </c>
      <c r="L139" s="251">
        <v>350830</v>
      </c>
      <c r="M139" s="63">
        <v>307669.726196</v>
      </c>
      <c r="N139" s="64">
        <v>335613.64985999995</v>
      </c>
      <c r="O139" s="65">
        <v>359601</v>
      </c>
      <c r="P139" s="66">
        <v>368591</v>
      </c>
      <c r="Q139" s="66">
        <f t="shared" si="35"/>
        <v>317316.46120000002</v>
      </c>
      <c r="R139" s="63">
        <f t="shared" si="36"/>
        <v>318313.80712000001</v>
      </c>
      <c r="S139" s="83">
        <f t="shared" si="37"/>
        <v>310673.87274111999</v>
      </c>
      <c r="T139" s="64">
        <f t="shared" si="38"/>
        <v>327789.35123407992</v>
      </c>
      <c r="U139" s="66">
        <f t="shared" si="39"/>
        <v>316084.65260000003</v>
      </c>
      <c r="V139" s="63">
        <f t="shared" si="40"/>
        <v>346775.69339999999</v>
      </c>
      <c r="W139" s="83">
        <f t="shared" si="41"/>
        <v>355445.3002</v>
      </c>
      <c r="X139" s="64">
        <f t="shared" si="42"/>
        <v>364331.538</v>
      </c>
      <c r="Z139" s="67">
        <v>358019.99</v>
      </c>
      <c r="AA139" s="68">
        <v>378406.1602959999</v>
      </c>
      <c r="AB139" s="69">
        <v>342273</v>
      </c>
      <c r="AC139" s="70">
        <v>350830</v>
      </c>
      <c r="AD139" s="67">
        <v>307669.726196</v>
      </c>
      <c r="AE139" s="68">
        <v>335613.64985999995</v>
      </c>
      <c r="AF139" s="69">
        <v>359601</v>
      </c>
      <c r="AG139" s="70">
        <v>368591</v>
      </c>
      <c r="AH139" s="70">
        <f t="shared" si="43"/>
        <v>346062.31</v>
      </c>
      <c r="AI139" s="70">
        <f t="shared" si="44"/>
        <v>372698.03261311993</v>
      </c>
      <c r="AJ139" s="70">
        <f t="shared" si="45"/>
        <v>327475.92774399999</v>
      </c>
      <c r="AK139" s="70">
        <f t="shared" si="46"/>
        <v>327789.35123407992</v>
      </c>
      <c r="AL139" s="70">
        <f t="shared" si="47"/>
        <v>316084.65260000003</v>
      </c>
      <c r="AM139" s="70">
        <f t="shared" si="48"/>
        <v>346775.69339999999</v>
      </c>
      <c r="AN139" s="70">
        <f t="shared" si="49"/>
        <v>355445.3002</v>
      </c>
      <c r="AO139" s="70">
        <f t="shared" si="50"/>
        <v>364331.538</v>
      </c>
    </row>
    <row r="140" spans="1:41">
      <c r="A140" s="29" t="s">
        <v>433</v>
      </c>
      <c r="B140" s="29" t="s">
        <v>737</v>
      </c>
      <c r="C140" s="107">
        <v>1546373.51</v>
      </c>
      <c r="D140" s="108">
        <v>26500000</v>
      </c>
      <c r="F140" s="107">
        <v>569973.31000000006</v>
      </c>
      <c r="G140" s="108">
        <v>26500000</v>
      </c>
      <c r="I140" s="64">
        <v>0</v>
      </c>
      <c r="J140" s="83">
        <v>646347.72060000058</v>
      </c>
      <c r="K140" s="66">
        <v>26500000</v>
      </c>
      <c r="L140" s="251">
        <v>26500000</v>
      </c>
      <c r="M140" s="63">
        <v>489768.95279999683</v>
      </c>
      <c r="N140" s="64">
        <v>347705.89650000003</v>
      </c>
      <c r="O140" s="65">
        <v>26500000</v>
      </c>
      <c r="P140" s="66">
        <v>26500000</v>
      </c>
      <c r="Q140" s="66">
        <f t="shared" si="35"/>
        <v>432984.58280000003</v>
      </c>
      <c r="R140" s="63">
        <f t="shared" si="36"/>
        <v>465370.35883200041</v>
      </c>
      <c r="S140" s="83">
        <f t="shared" si="37"/>
        <v>533611.0077839978</v>
      </c>
      <c r="T140" s="64">
        <f t="shared" si="38"/>
        <v>387483.55226399912</v>
      </c>
      <c r="U140" s="66">
        <f t="shared" si="39"/>
        <v>26500000</v>
      </c>
      <c r="V140" s="63">
        <f t="shared" si="40"/>
        <v>26500000</v>
      </c>
      <c r="W140" s="83">
        <f t="shared" si="41"/>
        <v>26500000</v>
      </c>
      <c r="X140" s="64">
        <f t="shared" si="42"/>
        <v>26500000</v>
      </c>
      <c r="Z140" s="67">
        <v>569973.31000000006</v>
      </c>
      <c r="AA140" s="68">
        <v>1312687.3883000009</v>
      </c>
      <c r="AB140" s="69">
        <v>26500000</v>
      </c>
      <c r="AC140" s="70">
        <v>26500000</v>
      </c>
      <c r="AD140" s="67">
        <v>489768.95279999683</v>
      </c>
      <c r="AE140" s="68">
        <v>347705.89650000003</v>
      </c>
      <c r="AF140" s="69">
        <v>26500000</v>
      </c>
      <c r="AG140" s="70">
        <v>26500000</v>
      </c>
      <c r="AH140" s="70">
        <f t="shared" si="43"/>
        <v>843365.36600000004</v>
      </c>
      <c r="AI140" s="70">
        <f t="shared" si="44"/>
        <v>1104727.4463760008</v>
      </c>
      <c r="AJ140" s="70">
        <f t="shared" si="45"/>
        <v>720186.11473999801</v>
      </c>
      <c r="AK140" s="70">
        <f t="shared" si="46"/>
        <v>387483.55226399912</v>
      </c>
      <c r="AL140" s="70">
        <f t="shared" si="47"/>
        <v>26500000</v>
      </c>
      <c r="AM140" s="70">
        <f t="shared" si="48"/>
        <v>26500000</v>
      </c>
      <c r="AN140" s="70">
        <f t="shared" si="49"/>
        <v>26500000</v>
      </c>
      <c r="AO140" s="70">
        <f t="shared" si="50"/>
        <v>26500000</v>
      </c>
    </row>
    <row r="141" spans="1:41">
      <c r="A141" s="29" t="s">
        <v>147</v>
      </c>
      <c r="B141" s="29" t="s">
        <v>930</v>
      </c>
      <c r="C141" s="107">
        <v>210566.98</v>
      </c>
      <c r="D141" s="108">
        <v>815591</v>
      </c>
      <c r="F141" s="107">
        <v>147738.01</v>
      </c>
      <c r="G141" s="108">
        <v>937930</v>
      </c>
      <c r="I141" s="64">
        <v>119774.21</v>
      </c>
      <c r="J141" s="83">
        <v>359749.44869999995</v>
      </c>
      <c r="K141" s="66">
        <v>937930</v>
      </c>
      <c r="L141" s="251">
        <v>937930</v>
      </c>
      <c r="M141" s="63">
        <v>332657.41199999989</v>
      </c>
      <c r="N141" s="64">
        <v>290796.61200000002</v>
      </c>
      <c r="O141" s="65">
        <v>937930</v>
      </c>
      <c r="P141" s="66">
        <v>937930</v>
      </c>
      <c r="Q141" s="66">
        <f t="shared" si="35"/>
        <v>145196.18560000003</v>
      </c>
      <c r="R141" s="63">
        <f t="shared" si="36"/>
        <v>292556.381864</v>
      </c>
      <c r="S141" s="83">
        <f t="shared" si="37"/>
        <v>340243.18227599992</v>
      </c>
      <c r="T141" s="64">
        <f t="shared" si="38"/>
        <v>302517.636</v>
      </c>
      <c r="U141" s="66">
        <f t="shared" si="39"/>
        <v>879965.7818</v>
      </c>
      <c r="V141" s="63">
        <f t="shared" si="40"/>
        <v>937930</v>
      </c>
      <c r="W141" s="83">
        <f t="shared" si="41"/>
        <v>937930</v>
      </c>
      <c r="X141" s="64">
        <f t="shared" si="42"/>
        <v>937930</v>
      </c>
      <c r="Z141" s="67">
        <v>147738.01</v>
      </c>
      <c r="AA141" s="68">
        <v>359749.44869999995</v>
      </c>
      <c r="AB141" s="69">
        <v>937930</v>
      </c>
      <c r="AC141" s="70">
        <v>937930</v>
      </c>
      <c r="AD141" s="67">
        <v>332657.41199999989</v>
      </c>
      <c r="AE141" s="68">
        <v>290796.61200000002</v>
      </c>
      <c r="AF141" s="69">
        <v>937930</v>
      </c>
      <c r="AG141" s="70">
        <v>937930</v>
      </c>
      <c r="AH141" s="70">
        <f t="shared" si="43"/>
        <v>165330.12160000001</v>
      </c>
      <c r="AI141" s="70">
        <f t="shared" si="44"/>
        <v>300386.245864</v>
      </c>
      <c r="AJ141" s="70">
        <f t="shared" si="45"/>
        <v>340243.18227599992</v>
      </c>
      <c r="AK141" s="70">
        <f t="shared" si="46"/>
        <v>302517.636</v>
      </c>
      <c r="AL141" s="70">
        <f t="shared" si="47"/>
        <v>879965.7818</v>
      </c>
      <c r="AM141" s="70">
        <f t="shared" si="48"/>
        <v>937930</v>
      </c>
      <c r="AN141" s="70">
        <f t="shared" si="49"/>
        <v>937930</v>
      </c>
      <c r="AO141" s="70">
        <f t="shared" si="50"/>
        <v>937930</v>
      </c>
    </row>
    <row r="142" spans="1:41">
      <c r="A142" s="29" t="s">
        <v>461</v>
      </c>
      <c r="B142" s="29" t="s">
        <v>738</v>
      </c>
      <c r="C142" s="107">
        <v>5302252.4800000004</v>
      </c>
      <c r="D142" s="108">
        <v>10500000</v>
      </c>
      <c r="F142" s="107">
        <v>5108084.5199999996</v>
      </c>
      <c r="G142" s="108">
        <v>16450000</v>
      </c>
      <c r="I142" s="64">
        <v>4442282.1500000004</v>
      </c>
      <c r="J142" s="83">
        <v>4399077.7569999984</v>
      </c>
      <c r="K142" s="66">
        <v>16450000</v>
      </c>
      <c r="L142" s="251">
        <v>17750000</v>
      </c>
      <c r="M142" s="63">
        <v>4285812.4320000019</v>
      </c>
      <c r="N142" s="64">
        <v>4173649.3305000002</v>
      </c>
      <c r="O142" s="65">
        <v>19000000</v>
      </c>
      <c r="P142" s="66">
        <v>19000000</v>
      </c>
      <c r="Q142" s="66">
        <f t="shared" si="35"/>
        <v>4683073.8424000004</v>
      </c>
      <c r="R142" s="63">
        <f t="shared" si="36"/>
        <v>4411174.9870399991</v>
      </c>
      <c r="S142" s="83">
        <f t="shared" si="37"/>
        <v>4317526.7230000012</v>
      </c>
      <c r="T142" s="64">
        <f t="shared" si="38"/>
        <v>4205054.9989200002</v>
      </c>
      <c r="U142" s="66">
        <f t="shared" si="39"/>
        <v>13630890</v>
      </c>
      <c r="V142" s="63">
        <f t="shared" si="40"/>
        <v>17134060</v>
      </c>
      <c r="W142" s="83">
        <f t="shared" si="41"/>
        <v>18407750</v>
      </c>
      <c r="X142" s="64">
        <f t="shared" si="42"/>
        <v>19000000</v>
      </c>
      <c r="Z142" s="67">
        <v>5108084.5199999996</v>
      </c>
      <c r="AA142" s="68">
        <v>5021756.2164999982</v>
      </c>
      <c r="AB142" s="69">
        <v>16450000</v>
      </c>
      <c r="AC142" s="70">
        <v>17750000</v>
      </c>
      <c r="AD142" s="67">
        <v>4285812.4320000019</v>
      </c>
      <c r="AE142" s="68">
        <v>4173649.3305000002</v>
      </c>
      <c r="AF142" s="69">
        <v>19000000</v>
      </c>
      <c r="AG142" s="70">
        <v>19000000</v>
      </c>
      <c r="AH142" s="70">
        <f t="shared" si="43"/>
        <v>5162451.5488</v>
      </c>
      <c r="AI142" s="70">
        <f t="shared" si="44"/>
        <v>5045928.1414799988</v>
      </c>
      <c r="AJ142" s="70">
        <f t="shared" si="45"/>
        <v>4491876.6916600009</v>
      </c>
      <c r="AK142" s="70">
        <f t="shared" si="46"/>
        <v>4205054.9989200002</v>
      </c>
      <c r="AL142" s="70">
        <f t="shared" si="47"/>
        <v>13630890</v>
      </c>
      <c r="AM142" s="70">
        <f t="shared" si="48"/>
        <v>17134060</v>
      </c>
      <c r="AN142" s="70">
        <f t="shared" si="49"/>
        <v>18407750</v>
      </c>
      <c r="AO142" s="70">
        <f t="shared" si="50"/>
        <v>19000000</v>
      </c>
    </row>
    <row r="143" spans="1:41">
      <c r="A143" s="29" t="s">
        <v>459</v>
      </c>
      <c r="B143" s="29" t="s">
        <v>739</v>
      </c>
      <c r="C143" s="107">
        <v>1470788.76</v>
      </c>
      <c r="D143" s="108">
        <v>1097573</v>
      </c>
      <c r="F143" s="107">
        <v>1695371.3</v>
      </c>
      <c r="G143" s="108">
        <v>1385117</v>
      </c>
      <c r="I143" s="64">
        <v>1522124.31</v>
      </c>
      <c r="J143" s="83">
        <v>1580519.1614000001</v>
      </c>
      <c r="K143" s="66">
        <v>1385117</v>
      </c>
      <c r="L143" s="251">
        <v>1523629</v>
      </c>
      <c r="M143" s="63">
        <v>1609633.6926</v>
      </c>
      <c r="N143" s="64">
        <v>1572520.8314339998</v>
      </c>
      <c r="O143" s="65">
        <v>1675992</v>
      </c>
      <c r="P143" s="66">
        <v>1675992</v>
      </c>
      <c r="Q143" s="66">
        <f t="shared" si="35"/>
        <v>1507750.3559999999</v>
      </c>
      <c r="R143" s="63">
        <f t="shared" si="36"/>
        <v>1564168.6030080002</v>
      </c>
      <c r="S143" s="83">
        <f t="shared" si="37"/>
        <v>1601481.623864</v>
      </c>
      <c r="T143" s="64">
        <f t="shared" si="38"/>
        <v>1582912.43256048</v>
      </c>
      <c r="U143" s="66">
        <f t="shared" si="39"/>
        <v>1248878.6528</v>
      </c>
      <c r="V143" s="63">
        <f t="shared" si="40"/>
        <v>1458002.0144</v>
      </c>
      <c r="W143" s="83">
        <f t="shared" si="41"/>
        <v>1603802.4106000001</v>
      </c>
      <c r="X143" s="64">
        <f t="shared" si="42"/>
        <v>1675992</v>
      </c>
      <c r="Z143" s="67">
        <v>1695371.3</v>
      </c>
      <c r="AA143" s="68">
        <v>1745500.9766000004</v>
      </c>
      <c r="AB143" s="69">
        <v>1385117</v>
      </c>
      <c r="AC143" s="70">
        <v>1523629</v>
      </c>
      <c r="AD143" s="67">
        <v>1609633.6926</v>
      </c>
      <c r="AE143" s="68">
        <v>1572520.8314339998</v>
      </c>
      <c r="AF143" s="69">
        <v>1675992</v>
      </c>
      <c r="AG143" s="70">
        <v>1675992</v>
      </c>
      <c r="AH143" s="70">
        <f t="shared" si="43"/>
        <v>1632488.1887999999</v>
      </c>
      <c r="AI143" s="70">
        <f t="shared" si="44"/>
        <v>1731464.6671520001</v>
      </c>
      <c r="AJ143" s="70">
        <f t="shared" si="45"/>
        <v>1647676.5321200001</v>
      </c>
      <c r="AK143" s="70">
        <f t="shared" si="46"/>
        <v>1582912.43256048</v>
      </c>
      <c r="AL143" s="70">
        <f t="shared" si="47"/>
        <v>1248878.6528</v>
      </c>
      <c r="AM143" s="70">
        <f t="shared" si="48"/>
        <v>1458002.0144</v>
      </c>
      <c r="AN143" s="70">
        <f t="shared" si="49"/>
        <v>1603802.4106000001</v>
      </c>
      <c r="AO143" s="70">
        <f t="shared" si="50"/>
        <v>1675992</v>
      </c>
    </row>
    <row r="144" spans="1:41">
      <c r="A144" s="29" t="s">
        <v>189</v>
      </c>
      <c r="B144" s="29" t="s">
        <v>740</v>
      </c>
      <c r="C144" s="107">
        <v>0</v>
      </c>
      <c r="D144" s="108">
        <v>11358411</v>
      </c>
      <c r="F144" s="107">
        <v>0</v>
      </c>
      <c r="G144" s="108">
        <v>11493460</v>
      </c>
      <c r="I144" s="64">
        <v>0</v>
      </c>
      <c r="J144" s="83">
        <v>0</v>
      </c>
      <c r="K144" s="66">
        <v>11493460</v>
      </c>
      <c r="L144" s="251">
        <v>11848909.999199999</v>
      </c>
      <c r="M144" s="63">
        <v>0</v>
      </c>
      <c r="N144" s="64">
        <v>0</v>
      </c>
      <c r="O144" s="65">
        <v>12259556.849800002</v>
      </c>
      <c r="P144" s="66">
        <v>12745236.411599999</v>
      </c>
      <c r="Q144" s="66">
        <f t="shared" si="35"/>
        <v>0</v>
      </c>
      <c r="R144" s="63">
        <f t="shared" si="36"/>
        <v>0</v>
      </c>
      <c r="S144" s="83">
        <f t="shared" si="37"/>
        <v>0</v>
      </c>
      <c r="T144" s="64">
        <f t="shared" si="38"/>
        <v>0</v>
      </c>
      <c r="U144" s="66">
        <f t="shared" si="39"/>
        <v>11429473.783799998</v>
      </c>
      <c r="V144" s="63">
        <f t="shared" si="40"/>
        <v>11680497.789579041</v>
      </c>
      <c r="W144" s="83">
        <f t="shared" si="41"/>
        <v>12064992.37198572</v>
      </c>
      <c r="X144" s="64">
        <f t="shared" si="42"/>
        <v>12515121.435219161</v>
      </c>
      <c r="Z144" s="67">
        <v>0</v>
      </c>
      <c r="AA144" s="68">
        <v>0</v>
      </c>
      <c r="AB144" s="69">
        <v>11493460</v>
      </c>
      <c r="AC144" s="70">
        <v>12545660.865599999</v>
      </c>
      <c r="AD144" s="67">
        <v>0</v>
      </c>
      <c r="AE144" s="68">
        <v>0</v>
      </c>
      <c r="AF144" s="69">
        <v>12259556.849800002</v>
      </c>
      <c r="AG144" s="70">
        <v>12745236.411599999</v>
      </c>
      <c r="AH144" s="70">
        <f t="shared" si="43"/>
        <v>0</v>
      </c>
      <c r="AI144" s="70">
        <f t="shared" si="44"/>
        <v>0</v>
      </c>
      <c r="AJ144" s="70">
        <f t="shared" si="45"/>
        <v>0</v>
      </c>
      <c r="AK144" s="70">
        <f t="shared" si="46"/>
        <v>0</v>
      </c>
      <c r="AL144" s="70">
        <f t="shared" si="47"/>
        <v>11429473.783799998</v>
      </c>
      <c r="AM144" s="70">
        <f t="shared" si="48"/>
        <v>12047128.095478721</v>
      </c>
      <c r="AN144" s="70">
        <f t="shared" si="49"/>
        <v>12395112.932486041</v>
      </c>
      <c r="AO144" s="70">
        <f t="shared" si="50"/>
        <v>12515121.435219161</v>
      </c>
    </row>
    <row r="145" spans="1:41">
      <c r="A145" s="29" t="s">
        <v>547</v>
      </c>
      <c r="B145" s="29" t="s">
        <v>741</v>
      </c>
      <c r="C145" s="107">
        <v>490226.51</v>
      </c>
      <c r="D145" s="108">
        <v>4027516</v>
      </c>
      <c r="F145" s="107">
        <v>277935.71000000002</v>
      </c>
      <c r="G145" s="108">
        <v>4269167</v>
      </c>
      <c r="I145" s="64">
        <v>277935.71000000002</v>
      </c>
      <c r="J145" s="83">
        <v>427812.75750000012</v>
      </c>
      <c r="K145" s="66">
        <v>4269167</v>
      </c>
      <c r="L145" s="251">
        <v>4525317</v>
      </c>
      <c r="M145" s="63">
        <v>188652.8229</v>
      </c>
      <c r="N145" s="64">
        <v>0</v>
      </c>
      <c r="O145" s="65">
        <v>4796836</v>
      </c>
      <c r="P145" s="66">
        <v>4796836</v>
      </c>
      <c r="Q145" s="66">
        <f t="shared" si="35"/>
        <v>337377.13400000008</v>
      </c>
      <c r="R145" s="63">
        <f t="shared" si="36"/>
        <v>385847.18420000008</v>
      </c>
      <c r="S145" s="83">
        <f t="shared" si="37"/>
        <v>255617.60458800005</v>
      </c>
      <c r="T145" s="64">
        <f t="shared" si="38"/>
        <v>52822.790412000002</v>
      </c>
      <c r="U145" s="66">
        <f t="shared" si="39"/>
        <v>4154672.7561999997</v>
      </c>
      <c r="V145" s="63">
        <f t="shared" si="40"/>
        <v>4403953.13</v>
      </c>
      <c r="W145" s="83">
        <f t="shared" si="41"/>
        <v>4668190.2977999998</v>
      </c>
      <c r="X145" s="64">
        <f t="shared" si="42"/>
        <v>4796836</v>
      </c>
      <c r="Z145" s="67">
        <v>277935.71000000002</v>
      </c>
      <c r="AA145" s="68">
        <v>427812.75750000012</v>
      </c>
      <c r="AB145" s="69">
        <v>4269167</v>
      </c>
      <c r="AC145" s="70">
        <v>4525317</v>
      </c>
      <c r="AD145" s="67">
        <v>188652.8229</v>
      </c>
      <c r="AE145" s="68">
        <v>0</v>
      </c>
      <c r="AF145" s="69">
        <v>4796836</v>
      </c>
      <c r="AG145" s="70">
        <v>4796836</v>
      </c>
      <c r="AH145" s="70">
        <f t="shared" si="43"/>
        <v>337377.13400000008</v>
      </c>
      <c r="AI145" s="70">
        <f t="shared" si="44"/>
        <v>385847.18420000008</v>
      </c>
      <c r="AJ145" s="70">
        <f t="shared" si="45"/>
        <v>255617.60458800005</v>
      </c>
      <c r="AK145" s="70">
        <f t="shared" si="46"/>
        <v>52822.790412000002</v>
      </c>
      <c r="AL145" s="70">
        <f t="shared" si="47"/>
        <v>4154672.7561999997</v>
      </c>
      <c r="AM145" s="70">
        <f t="shared" si="48"/>
        <v>4403953.13</v>
      </c>
      <c r="AN145" s="70">
        <f t="shared" si="49"/>
        <v>4668190.2977999998</v>
      </c>
      <c r="AO145" s="70">
        <f t="shared" si="50"/>
        <v>4796836</v>
      </c>
    </row>
    <row r="146" spans="1:41">
      <c r="A146" s="29" t="s">
        <v>337</v>
      </c>
      <c r="B146" s="29" t="s">
        <v>742</v>
      </c>
      <c r="C146" s="107">
        <v>0</v>
      </c>
      <c r="D146" s="108">
        <v>2000000</v>
      </c>
      <c r="F146" s="107">
        <v>0</v>
      </c>
      <c r="G146" s="108">
        <v>2050000</v>
      </c>
      <c r="I146" s="64">
        <v>0</v>
      </c>
      <c r="J146" s="83">
        <v>0</v>
      </c>
      <c r="K146" s="66">
        <v>2050000</v>
      </c>
      <c r="L146" s="251">
        <v>1977466.7004</v>
      </c>
      <c r="M146" s="63">
        <v>0</v>
      </c>
      <c r="N146" s="64">
        <v>0</v>
      </c>
      <c r="O146" s="65">
        <v>2045973.2532000002</v>
      </c>
      <c r="P146" s="66">
        <v>2127029.6124</v>
      </c>
      <c r="Q146" s="66">
        <f t="shared" si="35"/>
        <v>0</v>
      </c>
      <c r="R146" s="63">
        <f t="shared" si="36"/>
        <v>0</v>
      </c>
      <c r="S146" s="83">
        <f t="shared" si="37"/>
        <v>0</v>
      </c>
      <c r="T146" s="64">
        <f t="shared" si="38"/>
        <v>0</v>
      </c>
      <c r="U146" s="66">
        <f t="shared" si="39"/>
        <v>2026310</v>
      </c>
      <c r="V146" s="63">
        <f t="shared" si="40"/>
        <v>2011832.9777504799</v>
      </c>
      <c r="W146" s="83">
        <f t="shared" si="41"/>
        <v>2013514.8484833601</v>
      </c>
      <c r="X146" s="64">
        <f t="shared" si="42"/>
        <v>2088625.1094110401</v>
      </c>
      <c r="Z146" s="67">
        <v>0</v>
      </c>
      <c r="AA146" s="68">
        <v>0</v>
      </c>
      <c r="AB146" s="69">
        <v>2050000</v>
      </c>
      <c r="AC146" s="70">
        <v>2002280.7495999997</v>
      </c>
      <c r="AD146" s="67">
        <v>0</v>
      </c>
      <c r="AE146" s="68">
        <v>0</v>
      </c>
      <c r="AF146" s="69">
        <v>2045973.2532000002</v>
      </c>
      <c r="AG146" s="70">
        <v>2127029.6124</v>
      </c>
      <c r="AH146" s="70">
        <f t="shared" si="43"/>
        <v>0</v>
      </c>
      <c r="AI146" s="70">
        <f t="shared" si="44"/>
        <v>0</v>
      </c>
      <c r="AJ146" s="70">
        <f t="shared" si="45"/>
        <v>0</v>
      </c>
      <c r="AK146" s="70">
        <f t="shared" si="46"/>
        <v>0</v>
      </c>
      <c r="AL146" s="70">
        <f t="shared" si="47"/>
        <v>2026310</v>
      </c>
      <c r="AM146" s="70">
        <f t="shared" si="48"/>
        <v>2024890.1304395199</v>
      </c>
      <c r="AN146" s="70">
        <f t="shared" si="49"/>
        <v>2025271.74499432</v>
      </c>
      <c r="AO146" s="70">
        <f t="shared" si="50"/>
        <v>2088625.1094110401</v>
      </c>
    </row>
    <row r="147" spans="1:41">
      <c r="A147" s="29" t="s">
        <v>419</v>
      </c>
      <c r="B147" s="29" t="s">
        <v>743</v>
      </c>
      <c r="C147" s="107">
        <v>0</v>
      </c>
      <c r="D147" s="108">
        <v>0</v>
      </c>
      <c r="F147" s="107">
        <v>0</v>
      </c>
      <c r="G147" s="108">
        <v>0</v>
      </c>
      <c r="I147" s="64">
        <v>0</v>
      </c>
      <c r="J147" s="83">
        <v>0</v>
      </c>
      <c r="K147" s="66">
        <v>0</v>
      </c>
      <c r="L147" s="251">
        <v>0</v>
      </c>
      <c r="M147" s="63">
        <v>0</v>
      </c>
      <c r="N147" s="64">
        <v>0</v>
      </c>
      <c r="O147" s="65">
        <v>0</v>
      </c>
      <c r="P147" s="66">
        <v>0</v>
      </c>
      <c r="Q147" s="66">
        <f t="shared" si="35"/>
        <v>0</v>
      </c>
      <c r="R147" s="63">
        <f t="shared" si="36"/>
        <v>0</v>
      </c>
      <c r="S147" s="83">
        <f t="shared" si="37"/>
        <v>0</v>
      </c>
      <c r="T147" s="64">
        <f t="shared" si="38"/>
        <v>0</v>
      </c>
      <c r="U147" s="66">
        <f t="shared" si="39"/>
        <v>0</v>
      </c>
      <c r="V147" s="63">
        <f t="shared" si="40"/>
        <v>0</v>
      </c>
      <c r="W147" s="83">
        <f t="shared" si="41"/>
        <v>0</v>
      </c>
      <c r="X147" s="64">
        <f t="shared" si="42"/>
        <v>0</v>
      </c>
      <c r="Z147" s="67">
        <v>0</v>
      </c>
      <c r="AA147" s="68">
        <v>0</v>
      </c>
      <c r="AB147" s="69">
        <v>0</v>
      </c>
      <c r="AC147" s="70">
        <v>0</v>
      </c>
      <c r="AD147" s="67">
        <v>0</v>
      </c>
      <c r="AE147" s="68">
        <v>0</v>
      </c>
      <c r="AF147" s="69">
        <v>0</v>
      </c>
      <c r="AG147" s="70">
        <v>0</v>
      </c>
      <c r="AH147" s="70">
        <f t="shared" si="43"/>
        <v>0</v>
      </c>
      <c r="AI147" s="70">
        <f t="shared" si="44"/>
        <v>0</v>
      </c>
      <c r="AJ147" s="70">
        <f t="shared" si="45"/>
        <v>0</v>
      </c>
      <c r="AK147" s="70">
        <f t="shared" si="46"/>
        <v>0</v>
      </c>
      <c r="AL147" s="70">
        <f t="shared" si="47"/>
        <v>0</v>
      </c>
      <c r="AM147" s="70">
        <f t="shared" si="48"/>
        <v>0</v>
      </c>
      <c r="AN147" s="70">
        <f t="shared" si="49"/>
        <v>0</v>
      </c>
      <c r="AO147" s="70">
        <f t="shared" si="50"/>
        <v>0</v>
      </c>
    </row>
    <row r="148" spans="1:41">
      <c r="A148" s="29" t="s">
        <v>437</v>
      </c>
      <c r="B148" s="29" t="s">
        <v>744</v>
      </c>
      <c r="C148" s="107">
        <v>0</v>
      </c>
      <c r="D148" s="108">
        <v>13687957</v>
      </c>
      <c r="F148" s="107">
        <v>0</v>
      </c>
      <c r="G148" s="108">
        <v>15741150</v>
      </c>
      <c r="I148" s="64">
        <v>0</v>
      </c>
      <c r="J148" s="83">
        <v>0</v>
      </c>
      <c r="K148" s="66">
        <v>15741150</v>
      </c>
      <c r="L148" s="251">
        <v>15741150</v>
      </c>
      <c r="M148" s="63">
        <v>0</v>
      </c>
      <c r="N148" s="64">
        <v>0</v>
      </c>
      <c r="O148" s="65">
        <v>15741150</v>
      </c>
      <c r="P148" s="66">
        <v>15741150</v>
      </c>
      <c r="Q148" s="66">
        <f t="shared" si="35"/>
        <v>0</v>
      </c>
      <c r="R148" s="63">
        <f t="shared" si="36"/>
        <v>0</v>
      </c>
      <c r="S148" s="83">
        <f t="shared" si="37"/>
        <v>0</v>
      </c>
      <c r="T148" s="64">
        <f t="shared" si="38"/>
        <v>0</v>
      </c>
      <c r="U148" s="66">
        <f t="shared" si="39"/>
        <v>14768347.1566</v>
      </c>
      <c r="V148" s="63">
        <f t="shared" si="40"/>
        <v>15741150</v>
      </c>
      <c r="W148" s="83">
        <f t="shared" si="41"/>
        <v>15741150</v>
      </c>
      <c r="X148" s="64">
        <f t="shared" si="42"/>
        <v>15741150</v>
      </c>
      <c r="Z148" s="67">
        <v>0</v>
      </c>
      <c r="AA148" s="68">
        <v>0</v>
      </c>
      <c r="AB148" s="69">
        <v>15741150</v>
      </c>
      <c r="AC148" s="70">
        <v>15741150</v>
      </c>
      <c r="AD148" s="67">
        <v>0</v>
      </c>
      <c r="AE148" s="68">
        <v>0</v>
      </c>
      <c r="AF148" s="69">
        <v>15741150</v>
      </c>
      <c r="AG148" s="70">
        <v>15741150</v>
      </c>
      <c r="AH148" s="70">
        <f t="shared" si="43"/>
        <v>0</v>
      </c>
      <c r="AI148" s="70">
        <f t="shared" si="44"/>
        <v>0</v>
      </c>
      <c r="AJ148" s="70">
        <f t="shared" si="45"/>
        <v>0</v>
      </c>
      <c r="AK148" s="70">
        <f t="shared" si="46"/>
        <v>0</v>
      </c>
      <c r="AL148" s="70">
        <f t="shared" si="47"/>
        <v>14768347.1566</v>
      </c>
      <c r="AM148" s="70">
        <f t="shared" si="48"/>
        <v>15741150</v>
      </c>
      <c r="AN148" s="70">
        <f t="shared" si="49"/>
        <v>15741150</v>
      </c>
      <c r="AO148" s="70">
        <f t="shared" si="50"/>
        <v>15741150</v>
      </c>
    </row>
    <row r="149" spans="1:41">
      <c r="A149" s="29" t="s">
        <v>149</v>
      </c>
      <c r="B149" s="29" t="s">
        <v>745</v>
      </c>
      <c r="C149" s="107">
        <v>987690.38</v>
      </c>
      <c r="D149" s="108">
        <v>2125182</v>
      </c>
      <c r="F149" s="107">
        <v>878345.48</v>
      </c>
      <c r="G149" s="108">
        <v>2337700</v>
      </c>
      <c r="I149" s="64">
        <v>784456.13</v>
      </c>
      <c r="J149" s="83">
        <v>855183.46849999973</v>
      </c>
      <c r="K149" s="66">
        <v>2337700</v>
      </c>
      <c r="L149" s="251">
        <v>2454586</v>
      </c>
      <c r="M149" s="63">
        <v>745578.61919999996</v>
      </c>
      <c r="N149" s="64">
        <v>672835.09529999981</v>
      </c>
      <c r="O149" s="65">
        <v>2700044</v>
      </c>
      <c r="P149" s="66">
        <v>2700044</v>
      </c>
      <c r="Q149" s="66">
        <f t="shared" si="35"/>
        <v>841361.72</v>
      </c>
      <c r="R149" s="63">
        <f t="shared" si="36"/>
        <v>835379.81371999986</v>
      </c>
      <c r="S149" s="83">
        <f t="shared" si="37"/>
        <v>776267.97700399999</v>
      </c>
      <c r="T149" s="64">
        <f t="shared" si="38"/>
        <v>693203.28199199983</v>
      </c>
      <c r="U149" s="66">
        <f t="shared" si="39"/>
        <v>2237008.9715999998</v>
      </c>
      <c r="V149" s="63">
        <f t="shared" si="40"/>
        <v>2399205.4132000003</v>
      </c>
      <c r="W149" s="83">
        <f t="shared" si="41"/>
        <v>2583745.9995999997</v>
      </c>
      <c r="X149" s="64">
        <f t="shared" si="42"/>
        <v>2700044</v>
      </c>
      <c r="Z149" s="67">
        <v>878345.48</v>
      </c>
      <c r="AA149" s="68">
        <v>928988.31799999974</v>
      </c>
      <c r="AB149" s="69">
        <v>2337700</v>
      </c>
      <c r="AC149" s="70">
        <v>2454586</v>
      </c>
      <c r="AD149" s="67">
        <v>745578.61919999996</v>
      </c>
      <c r="AE149" s="68">
        <v>672835.09529999981</v>
      </c>
      <c r="AF149" s="69">
        <v>2700044</v>
      </c>
      <c r="AG149" s="70">
        <v>2700044</v>
      </c>
      <c r="AH149" s="70">
        <f t="shared" si="43"/>
        <v>908962.05199999991</v>
      </c>
      <c r="AI149" s="70">
        <f t="shared" si="44"/>
        <v>914808.32335999981</v>
      </c>
      <c r="AJ149" s="70">
        <f t="shared" si="45"/>
        <v>796933.33486399986</v>
      </c>
      <c r="AK149" s="70">
        <f t="shared" si="46"/>
        <v>693203.28199199983</v>
      </c>
      <c r="AL149" s="70">
        <f t="shared" si="47"/>
        <v>2237008.9715999998</v>
      </c>
      <c r="AM149" s="70">
        <f t="shared" si="48"/>
        <v>2399205.4132000003</v>
      </c>
      <c r="AN149" s="70">
        <f t="shared" si="49"/>
        <v>2583745.9995999997</v>
      </c>
      <c r="AO149" s="70">
        <f t="shared" si="50"/>
        <v>2700044</v>
      </c>
    </row>
    <row r="150" spans="1:41">
      <c r="A150" s="29" t="s">
        <v>277</v>
      </c>
      <c r="B150" s="29" t="s">
        <v>746</v>
      </c>
      <c r="C150" s="107">
        <v>0</v>
      </c>
      <c r="D150" s="108">
        <v>900000</v>
      </c>
      <c r="F150" s="107">
        <v>0</v>
      </c>
      <c r="G150" s="108">
        <v>939402</v>
      </c>
      <c r="I150" s="64">
        <v>0</v>
      </c>
      <c r="J150" s="83">
        <v>0</v>
      </c>
      <c r="K150" s="66">
        <v>939402</v>
      </c>
      <c r="L150" s="251">
        <v>919444.00399999984</v>
      </c>
      <c r="M150" s="63">
        <v>0</v>
      </c>
      <c r="N150" s="64">
        <v>0</v>
      </c>
      <c r="O150" s="65">
        <v>951331.12480000011</v>
      </c>
      <c r="P150" s="66">
        <v>989021.31019999995</v>
      </c>
      <c r="Q150" s="66">
        <f t="shared" si="35"/>
        <v>0</v>
      </c>
      <c r="R150" s="63">
        <f t="shared" si="36"/>
        <v>0</v>
      </c>
      <c r="S150" s="83">
        <f t="shared" si="37"/>
        <v>0</v>
      </c>
      <c r="T150" s="64">
        <f t="shared" si="38"/>
        <v>0</v>
      </c>
      <c r="U150" s="66">
        <f t="shared" si="39"/>
        <v>920733.33239999996</v>
      </c>
      <c r="V150" s="63">
        <f t="shared" si="40"/>
        <v>928900.10250479984</v>
      </c>
      <c r="W150" s="83">
        <f t="shared" si="41"/>
        <v>936223.0069649599</v>
      </c>
      <c r="X150" s="64">
        <f t="shared" si="42"/>
        <v>971163.70035747997</v>
      </c>
      <c r="Z150" s="67">
        <v>0</v>
      </c>
      <c r="AA150" s="68">
        <v>0</v>
      </c>
      <c r="AB150" s="69">
        <v>939402</v>
      </c>
      <c r="AC150" s="70">
        <v>986372.84899999993</v>
      </c>
      <c r="AD150" s="67">
        <v>0</v>
      </c>
      <c r="AE150" s="68">
        <v>0</v>
      </c>
      <c r="AF150" s="69">
        <v>951331.12480000011</v>
      </c>
      <c r="AG150" s="70">
        <v>989021.31019999995</v>
      </c>
      <c r="AH150" s="70">
        <f t="shared" si="43"/>
        <v>0</v>
      </c>
      <c r="AI150" s="70">
        <f t="shared" si="44"/>
        <v>0</v>
      </c>
      <c r="AJ150" s="70">
        <f t="shared" si="45"/>
        <v>0</v>
      </c>
      <c r="AK150" s="70">
        <f t="shared" si="46"/>
        <v>0</v>
      </c>
      <c r="AL150" s="70">
        <f t="shared" si="47"/>
        <v>920733.33239999996</v>
      </c>
      <c r="AM150" s="70">
        <f t="shared" si="48"/>
        <v>964118.0607437999</v>
      </c>
      <c r="AN150" s="70">
        <f t="shared" si="49"/>
        <v>967933.89372596005</v>
      </c>
      <c r="AO150" s="70">
        <f t="shared" si="50"/>
        <v>971163.70035747997</v>
      </c>
    </row>
    <row r="151" spans="1:41">
      <c r="A151" s="29" t="s">
        <v>133</v>
      </c>
      <c r="B151" s="29" t="s">
        <v>747</v>
      </c>
      <c r="C151" s="107">
        <v>7390888.1600000001</v>
      </c>
      <c r="D151" s="108">
        <v>6952565</v>
      </c>
      <c r="F151" s="107">
        <v>6837035.5800000001</v>
      </c>
      <c r="G151" s="108">
        <v>7093914</v>
      </c>
      <c r="I151" s="64">
        <v>5767404.79</v>
      </c>
      <c r="J151" s="83">
        <v>7090568.8047000002</v>
      </c>
      <c r="K151" s="66">
        <v>7093914</v>
      </c>
      <c r="L151" s="251">
        <v>7661427</v>
      </c>
      <c r="M151" s="63">
        <v>7281067.3013999993</v>
      </c>
      <c r="N151" s="64">
        <v>7717544.3271000022</v>
      </c>
      <c r="O151" s="65">
        <v>8121113</v>
      </c>
      <c r="P151" s="66">
        <v>8121113</v>
      </c>
      <c r="Q151" s="66">
        <f t="shared" si="35"/>
        <v>6221980.1336000003</v>
      </c>
      <c r="R151" s="63">
        <f t="shared" si="36"/>
        <v>6720082.8805839997</v>
      </c>
      <c r="S151" s="83">
        <f t="shared" si="37"/>
        <v>7227727.7223239997</v>
      </c>
      <c r="T151" s="64">
        <f t="shared" si="38"/>
        <v>7595330.7599040009</v>
      </c>
      <c r="U151" s="66">
        <f t="shared" si="39"/>
        <v>7026942.8437999999</v>
      </c>
      <c r="V151" s="63">
        <f t="shared" si="40"/>
        <v>7392539.3405999998</v>
      </c>
      <c r="W151" s="83">
        <f t="shared" si="41"/>
        <v>7903313.7731999997</v>
      </c>
      <c r="X151" s="64">
        <f t="shared" si="42"/>
        <v>8121113</v>
      </c>
      <c r="Z151" s="67">
        <v>6837035.5800000001</v>
      </c>
      <c r="AA151" s="68">
        <v>8138935.1626999993</v>
      </c>
      <c r="AB151" s="69">
        <v>7093914</v>
      </c>
      <c r="AC151" s="70">
        <v>7661427</v>
      </c>
      <c r="AD151" s="67">
        <v>7281067.3013999993</v>
      </c>
      <c r="AE151" s="68">
        <v>7717544.3271000022</v>
      </c>
      <c r="AF151" s="69">
        <v>8121113</v>
      </c>
      <c r="AG151" s="70">
        <v>8121113</v>
      </c>
      <c r="AH151" s="70">
        <f t="shared" si="43"/>
        <v>6992114.3023999995</v>
      </c>
      <c r="AI151" s="70">
        <f t="shared" si="44"/>
        <v>7774403.2795439996</v>
      </c>
      <c r="AJ151" s="70">
        <f t="shared" si="45"/>
        <v>7521270.3025639998</v>
      </c>
      <c r="AK151" s="70">
        <f t="shared" si="46"/>
        <v>7595330.7599040009</v>
      </c>
      <c r="AL151" s="70">
        <f t="shared" si="47"/>
        <v>7026942.8437999999</v>
      </c>
      <c r="AM151" s="70">
        <f t="shared" si="48"/>
        <v>7392539.3405999998</v>
      </c>
      <c r="AN151" s="70">
        <f t="shared" si="49"/>
        <v>7903313.7731999997</v>
      </c>
      <c r="AO151" s="70">
        <f t="shared" si="50"/>
        <v>8121113</v>
      </c>
    </row>
    <row r="152" spans="1:41">
      <c r="A152" s="29" t="s">
        <v>275</v>
      </c>
      <c r="B152" s="29" t="s">
        <v>748</v>
      </c>
      <c r="C152" s="107">
        <v>0</v>
      </c>
      <c r="D152" s="108">
        <v>721664</v>
      </c>
      <c r="F152" s="107">
        <v>0</v>
      </c>
      <c r="G152" s="108">
        <v>757747</v>
      </c>
      <c r="I152" s="64">
        <v>0</v>
      </c>
      <c r="J152" s="83">
        <v>0</v>
      </c>
      <c r="K152" s="66">
        <v>757747</v>
      </c>
      <c r="L152" s="251">
        <v>757747</v>
      </c>
      <c r="M152" s="63">
        <v>0</v>
      </c>
      <c r="N152" s="64">
        <v>0</v>
      </c>
      <c r="O152" s="65">
        <v>757747</v>
      </c>
      <c r="P152" s="66">
        <v>757747</v>
      </c>
      <c r="Q152" s="66">
        <f t="shared" si="35"/>
        <v>0</v>
      </c>
      <c r="R152" s="63">
        <f t="shared" si="36"/>
        <v>0</v>
      </c>
      <c r="S152" s="83">
        <f t="shared" si="37"/>
        <v>0</v>
      </c>
      <c r="T152" s="64">
        <f t="shared" si="38"/>
        <v>0</v>
      </c>
      <c r="U152" s="66">
        <f t="shared" si="39"/>
        <v>740650.87459999998</v>
      </c>
      <c r="V152" s="63">
        <f t="shared" si="40"/>
        <v>757747</v>
      </c>
      <c r="W152" s="83">
        <f t="shared" si="41"/>
        <v>757747</v>
      </c>
      <c r="X152" s="64">
        <f t="shared" si="42"/>
        <v>757747</v>
      </c>
      <c r="Z152" s="67">
        <v>0</v>
      </c>
      <c r="AA152" s="68">
        <v>0</v>
      </c>
      <c r="AB152" s="69">
        <v>757747</v>
      </c>
      <c r="AC152" s="70">
        <v>757747</v>
      </c>
      <c r="AD152" s="67">
        <v>0</v>
      </c>
      <c r="AE152" s="68">
        <v>0</v>
      </c>
      <c r="AF152" s="69">
        <v>757747</v>
      </c>
      <c r="AG152" s="70">
        <v>757747</v>
      </c>
      <c r="AH152" s="70">
        <f t="shared" si="43"/>
        <v>0</v>
      </c>
      <c r="AI152" s="70">
        <f t="shared" si="44"/>
        <v>0</v>
      </c>
      <c r="AJ152" s="70">
        <f t="shared" si="45"/>
        <v>0</v>
      </c>
      <c r="AK152" s="70">
        <f t="shared" si="46"/>
        <v>0</v>
      </c>
      <c r="AL152" s="70">
        <f t="shared" si="47"/>
        <v>740650.87459999998</v>
      </c>
      <c r="AM152" s="70">
        <f t="shared" si="48"/>
        <v>757747</v>
      </c>
      <c r="AN152" s="70">
        <f t="shared" si="49"/>
        <v>757747</v>
      </c>
      <c r="AO152" s="70">
        <f t="shared" si="50"/>
        <v>757747</v>
      </c>
    </row>
    <row r="153" spans="1:41">
      <c r="A153" s="29" t="s">
        <v>609</v>
      </c>
      <c r="B153" s="29" t="s">
        <v>749</v>
      </c>
      <c r="C153" s="107">
        <v>952800.22</v>
      </c>
      <c r="D153" s="108">
        <v>257000</v>
      </c>
      <c r="F153" s="107">
        <v>946309.05</v>
      </c>
      <c r="G153" s="108">
        <v>262000</v>
      </c>
      <c r="I153" s="64">
        <v>934505.95</v>
      </c>
      <c r="J153" s="83">
        <v>896114.015212</v>
      </c>
      <c r="K153" s="66">
        <v>262000</v>
      </c>
      <c r="L153" s="251">
        <v>262000</v>
      </c>
      <c r="M153" s="63">
        <v>849777.76127999998</v>
      </c>
      <c r="N153" s="64">
        <v>839696.91960000002</v>
      </c>
      <c r="O153" s="65">
        <v>262000</v>
      </c>
      <c r="P153" s="66">
        <v>262000</v>
      </c>
      <c r="Q153" s="66">
        <f t="shared" si="35"/>
        <v>939628.3456</v>
      </c>
      <c r="R153" s="63">
        <f t="shared" si="36"/>
        <v>906863.7569526399</v>
      </c>
      <c r="S153" s="83">
        <f t="shared" si="37"/>
        <v>862751.91238096007</v>
      </c>
      <c r="T153" s="64">
        <f t="shared" si="38"/>
        <v>842519.55527040013</v>
      </c>
      <c r="U153" s="66">
        <f t="shared" si="39"/>
        <v>259631</v>
      </c>
      <c r="V153" s="63">
        <f t="shared" si="40"/>
        <v>262000</v>
      </c>
      <c r="W153" s="83">
        <f t="shared" si="41"/>
        <v>262000</v>
      </c>
      <c r="X153" s="64">
        <f t="shared" si="42"/>
        <v>262000</v>
      </c>
      <c r="Z153" s="67">
        <v>946309.05</v>
      </c>
      <c r="AA153" s="68">
        <v>896114.015212</v>
      </c>
      <c r="AB153" s="69">
        <v>262000</v>
      </c>
      <c r="AC153" s="70">
        <v>262000</v>
      </c>
      <c r="AD153" s="67">
        <v>849777.76127999998</v>
      </c>
      <c r="AE153" s="68">
        <v>839696.91960000002</v>
      </c>
      <c r="AF153" s="69">
        <v>262000</v>
      </c>
      <c r="AG153" s="70">
        <v>262000</v>
      </c>
      <c r="AH153" s="70">
        <f t="shared" si="43"/>
        <v>948126.57760000008</v>
      </c>
      <c r="AI153" s="70">
        <f t="shared" si="44"/>
        <v>910168.62495263992</v>
      </c>
      <c r="AJ153" s="70">
        <f t="shared" si="45"/>
        <v>862751.91238096007</v>
      </c>
      <c r="AK153" s="70">
        <f t="shared" si="46"/>
        <v>842519.55527040013</v>
      </c>
      <c r="AL153" s="70">
        <f t="shared" si="47"/>
        <v>259631</v>
      </c>
      <c r="AM153" s="70">
        <f t="shared" si="48"/>
        <v>262000</v>
      </c>
      <c r="AN153" s="70">
        <f t="shared" si="49"/>
        <v>262000</v>
      </c>
      <c r="AO153" s="70">
        <f t="shared" si="50"/>
        <v>262000</v>
      </c>
    </row>
    <row r="154" spans="1:41">
      <c r="A154" s="29" t="s">
        <v>551</v>
      </c>
      <c r="B154" s="29" t="s">
        <v>750</v>
      </c>
      <c r="C154" s="107">
        <v>0</v>
      </c>
      <c r="D154" s="108">
        <v>5000000</v>
      </c>
      <c r="F154" s="107">
        <v>0</v>
      </c>
      <c r="G154" s="108">
        <v>4899368</v>
      </c>
      <c r="I154" s="64">
        <v>0</v>
      </c>
      <c r="J154" s="83">
        <v>0</v>
      </c>
      <c r="K154" s="66">
        <v>4899368</v>
      </c>
      <c r="L154" s="251">
        <v>4897435.4713999992</v>
      </c>
      <c r="M154" s="63">
        <v>0</v>
      </c>
      <c r="N154" s="64">
        <v>0</v>
      </c>
      <c r="O154" s="65">
        <v>5067143.2044000002</v>
      </c>
      <c r="P154" s="66">
        <v>5267891.6752000004</v>
      </c>
      <c r="Q154" s="66">
        <f t="shared" si="35"/>
        <v>0</v>
      </c>
      <c r="R154" s="63">
        <f t="shared" si="36"/>
        <v>0</v>
      </c>
      <c r="S154" s="83">
        <f t="shared" si="37"/>
        <v>0</v>
      </c>
      <c r="T154" s="64">
        <f t="shared" si="38"/>
        <v>0</v>
      </c>
      <c r="U154" s="66">
        <f t="shared" si="39"/>
        <v>4947047.4416000005</v>
      </c>
      <c r="V154" s="63">
        <f t="shared" si="40"/>
        <v>4898351.1034506802</v>
      </c>
      <c r="W154" s="83">
        <f t="shared" si="41"/>
        <v>4986735.6805045996</v>
      </c>
      <c r="X154" s="64">
        <f t="shared" si="42"/>
        <v>5172777.0497349603</v>
      </c>
      <c r="Z154" s="67">
        <v>0</v>
      </c>
      <c r="AA154" s="68">
        <v>0</v>
      </c>
      <c r="AB154" s="69">
        <v>4899368</v>
      </c>
      <c r="AC154" s="70">
        <v>5144338.1395999994</v>
      </c>
      <c r="AD154" s="67">
        <v>0</v>
      </c>
      <c r="AE154" s="68">
        <v>0</v>
      </c>
      <c r="AF154" s="69">
        <v>5067143.2044000002</v>
      </c>
      <c r="AG154" s="70">
        <v>5267891.6752000004</v>
      </c>
      <c r="AH154" s="70">
        <f t="shared" si="43"/>
        <v>0</v>
      </c>
      <c r="AI154" s="70">
        <f t="shared" si="44"/>
        <v>0</v>
      </c>
      <c r="AJ154" s="70">
        <f t="shared" si="45"/>
        <v>0</v>
      </c>
      <c r="AK154" s="70">
        <f t="shared" si="46"/>
        <v>0</v>
      </c>
      <c r="AL154" s="70">
        <f t="shared" si="47"/>
        <v>4947047.4416000005</v>
      </c>
      <c r="AM154" s="70">
        <f t="shared" si="48"/>
        <v>5028271.2874575201</v>
      </c>
      <c r="AN154" s="70">
        <f t="shared" si="49"/>
        <v>5103718.1646977598</v>
      </c>
      <c r="AO154" s="70">
        <f t="shared" si="50"/>
        <v>5172777.0497349603</v>
      </c>
    </row>
    <row r="155" spans="1:41">
      <c r="A155" s="29" t="s">
        <v>417</v>
      </c>
      <c r="B155" s="29" t="s">
        <v>751</v>
      </c>
      <c r="C155" s="107">
        <v>40835.57</v>
      </c>
      <c r="D155" s="108">
        <v>155000</v>
      </c>
      <c r="F155" s="107">
        <v>38933.699999999997</v>
      </c>
      <c r="G155" s="108">
        <v>155000</v>
      </c>
      <c r="I155" s="64">
        <v>25146.34</v>
      </c>
      <c r="J155" s="83">
        <v>37504.238499999992</v>
      </c>
      <c r="K155" s="66">
        <v>155000</v>
      </c>
      <c r="L155" s="251">
        <v>155000</v>
      </c>
      <c r="M155" s="63">
        <v>31979.489999999998</v>
      </c>
      <c r="N155" s="64">
        <v>23601.365999999995</v>
      </c>
      <c r="O155" s="65">
        <v>155000</v>
      </c>
      <c r="P155" s="66">
        <v>155000</v>
      </c>
      <c r="Q155" s="66">
        <f t="shared" si="35"/>
        <v>29539.324399999998</v>
      </c>
      <c r="R155" s="63">
        <f t="shared" si="36"/>
        <v>34044.026919999989</v>
      </c>
      <c r="S155" s="83">
        <f t="shared" si="37"/>
        <v>33526.419579999994</v>
      </c>
      <c r="T155" s="64">
        <f t="shared" si="38"/>
        <v>25947.240719999994</v>
      </c>
      <c r="U155" s="66">
        <f t="shared" si="39"/>
        <v>155000</v>
      </c>
      <c r="V155" s="63">
        <f t="shared" si="40"/>
        <v>155000</v>
      </c>
      <c r="W155" s="83">
        <f t="shared" si="41"/>
        <v>155000</v>
      </c>
      <c r="X155" s="64">
        <f t="shared" si="42"/>
        <v>155000</v>
      </c>
      <c r="Z155" s="67">
        <v>38933.699999999997</v>
      </c>
      <c r="AA155" s="68">
        <v>37504.238499999992</v>
      </c>
      <c r="AB155" s="69">
        <v>155000</v>
      </c>
      <c r="AC155" s="70">
        <v>155000</v>
      </c>
      <c r="AD155" s="67">
        <v>31979.489999999998</v>
      </c>
      <c r="AE155" s="68">
        <v>23601.365999999995</v>
      </c>
      <c r="AF155" s="69">
        <v>155000</v>
      </c>
      <c r="AG155" s="70">
        <v>155000</v>
      </c>
      <c r="AH155" s="70">
        <f t="shared" si="43"/>
        <v>39466.223599999998</v>
      </c>
      <c r="AI155" s="70">
        <f t="shared" si="44"/>
        <v>37904.48771999999</v>
      </c>
      <c r="AJ155" s="70">
        <f t="shared" si="45"/>
        <v>33526.419579999994</v>
      </c>
      <c r="AK155" s="70">
        <f t="shared" si="46"/>
        <v>25947.240719999994</v>
      </c>
      <c r="AL155" s="70">
        <f t="shared" si="47"/>
        <v>155000</v>
      </c>
      <c r="AM155" s="70">
        <f t="shared" si="48"/>
        <v>155000</v>
      </c>
      <c r="AN155" s="70">
        <f t="shared" si="49"/>
        <v>155000</v>
      </c>
      <c r="AO155" s="70">
        <f t="shared" si="50"/>
        <v>155000</v>
      </c>
    </row>
    <row r="156" spans="1:41">
      <c r="A156" s="29" t="s">
        <v>413</v>
      </c>
      <c r="B156" s="29" t="s">
        <v>882</v>
      </c>
      <c r="C156" s="107">
        <v>3471496.14</v>
      </c>
      <c r="D156" s="108">
        <v>11882329</v>
      </c>
      <c r="F156" s="107">
        <v>2969229.69</v>
      </c>
      <c r="G156" s="108">
        <v>13593622</v>
      </c>
      <c r="I156" s="64">
        <v>2492982.31</v>
      </c>
      <c r="J156" s="83">
        <v>2254372.7152000009</v>
      </c>
      <c r="K156" s="66">
        <v>13593622</v>
      </c>
      <c r="L156" s="251">
        <v>14953028</v>
      </c>
      <c r="M156" s="63">
        <v>1642949.9090999993</v>
      </c>
      <c r="N156" s="64">
        <v>1154622.3923999984</v>
      </c>
      <c r="O156" s="65">
        <v>16448331</v>
      </c>
      <c r="P156" s="66">
        <v>16448331</v>
      </c>
      <c r="Q156" s="66">
        <f t="shared" si="35"/>
        <v>2766966.1824000003</v>
      </c>
      <c r="R156" s="63">
        <f t="shared" si="36"/>
        <v>2321183.4017440006</v>
      </c>
      <c r="S156" s="83">
        <f t="shared" si="37"/>
        <v>1814148.2948079999</v>
      </c>
      <c r="T156" s="64">
        <f t="shared" si="38"/>
        <v>1291354.0970759986</v>
      </c>
      <c r="U156" s="66">
        <f t="shared" si="39"/>
        <v>12782811.376600001</v>
      </c>
      <c r="V156" s="63">
        <f t="shared" si="40"/>
        <v>14308941.437200001</v>
      </c>
      <c r="W156" s="83">
        <f t="shared" si="41"/>
        <v>15739856.4386</v>
      </c>
      <c r="X156" s="64">
        <f t="shared" si="42"/>
        <v>16448331</v>
      </c>
      <c r="Z156" s="67">
        <v>2969229.69</v>
      </c>
      <c r="AA156" s="68">
        <v>2946468.5879000002</v>
      </c>
      <c r="AB156" s="69">
        <v>13593622</v>
      </c>
      <c r="AC156" s="70">
        <v>14953028</v>
      </c>
      <c r="AD156" s="67">
        <v>1642949.9090999993</v>
      </c>
      <c r="AE156" s="68">
        <v>1154622.3923999984</v>
      </c>
      <c r="AF156" s="69">
        <v>16448331</v>
      </c>
      <c r="AG156" s="70">
        <v>16448331</v>
      </c>
      <c r="AH156" s="70">
        <f t="shared" si="43"/>
        <v>3109864.2960000001</v>
      </c>
      <c r="AI156" s="70">
        <f t="shared" si="44"/>
        <v>2952841.6964880005</v>
      </c>
      <c r="AJ156" s="70">
        <f t="shared" si="45"/>
        <v>2007935.1391639996</v>
      </c>
      <c r="AK156" s="70">
        <f t="shared" si="46"/>
        <v>1291354.0970759986</v>
      </c>
      <c r="AL156" s="70">
        <f t="shared" si="47"/>
        <v>12782811.376600001</v>
      </c>
      <c r="AM156" s="70">
        <f t="shared" si="48"/>
        <v>14308941.437200001</v>
      </c>
      <c r="AN156" s="70">
        <f t="shared" si="49"/>
        <v>15739856.4386</v>
      </c>
      <c r="AO156" s="70">
        <f t="shared" si="50"/>
        <v>16448331</v>
      </c>
    </row>
    <row r="157" spans="1:41">
      <c r="A157" s="29" t="s">
        <v>427</v>
      </c>
      <c r="B157" s="29" t="s">
        <v>752</v>
      </c>
      <c r="C157" s="107">
        <v>0</v>
      </c>
      <c r="D157" s="108">
        <v>41004068</v>
      </c>
      <c r="F157" s="107">
        <v>0</v>
      </c>
      <c r="G157" s="108">
        <v>43178569</v>
      </c>
      <c r="I157" s="64">
        <v>0</v>
      </c>
      <c r="J157" s="83">
        <v>0</v>
      </c>
      <c r="K157" s="66">
        <v>43178569</v>
      </c>
      <c r="L157" s="251">
        <v>44258217.249399997</v>
      </c>
      <c r="M157" s="63">
        <v>0</v>
      </c>
      <c r="N157" s="64">
        <v>0</v>
      </c>
      <c r="O157" s="65">
        <v>45792068.577500001</v>
      </c>
      <c r="P157" s="66">
        <v>47606180.013700001</v>
      </c>
      <c r="Q157" s="66">
        <f t="shared" si="35"/>
        <v>0</v>
      </c>
      <c r="R157" s="63">
        <f t="shared" si="36"/>
        <v>0</v>
      </c>
      <c r="S157" s="83">
        <f t="shared" si="37"/>
        <v>0</v>
      </c>
      <c r="T157" s="64">
        <f t="shared" si="38"/>
        <v>0</v>
      </c>
      <c r="U157" s="66">
        <f t="shared" si="39"/>
        <v>42148290.426200002</v>
      </c>
      <c r="V157" s="63">
        <f t="shared" si="40"/>
        <v>43746679.908834279</v>
      </c>
      <c r="W157" s="83">
        <f t="shared" si="41"/>
        <v>45065329.818246216</v>
      </c>
      <c r="X157" s="64">
        <f t="shared" si="42"/>
        <v>46746654.015228443</v>
      </c>
      <c r="Z157" s="67">
        <v>0</v>
      </c>
      <c r="AA157" s="68">
        <v>0</v>
      </c>
      <c r="AB157" s="69">
        <v>43178569</v>
      </c>
      <c r="AC157" s="70">
        <v>45337513.243199997</v>
      </c>
      <c r="AD157" s="67">
        <v>0</v>
      </c>
      <c r="AE157" s="68">
        <v>0</v>
      </c>
      <c r="AF157" s="69">
        <v>45792068.577500001</v>
      </c>
      <c r="AG157" s="70">
        <v>47606180.013700001</v>
      </c>
      <c r="AH157" s="70">
        <f t="shared" si="43"/>
        <v>0</v>
      </c>
      <c r="AI157" s="70">
        <f t="shared" si="44"/>
        <v>0</v>
      </c>
      <c r="AJ157" s="70">
        <f t="shared" si="45"/>
        <v>0</v>
      </c>
      <c r="AK157" s="70">
        <f t="shared" si="46"/>
        <v>0</v>
      </c>
      <c r="AL157" s="70">
        <f t="shared" si="47"/>
        <v>42148290.426200002</v>
      </c>
      <c r="AM157" s="70">
        <f t="shared" si="48"/>
        <v>44314605.460771836</v>
      </c>
      <c r="AN157" s="70">
        <f t="shared" si="49"/>
        <v>45576700.260108657</v>
      </c>
      <c r="AO157" s="70">
        <f t="shared" si="50"/>
        <v>46746654.015228443</v>
      </c>
    </row>
    <row r="158" spans="1:41">
      <c r="A158" s="29" t="s">
        <v>583</v>
      </c>
      <c r="B158" s="29" t="s">
        <v>753</v>
      </c>
      <c r="C158" s="107">
        <v>398772.9</v>
      </c>
      <c r="D158" s="108">
        <v>2750000</v>
      </c>
      <c r="F158" s="107">
        <v>325921.09000000003</v>
      </c>
      <c r="G158" s="108">
        <v>2950000</v>
      </c>
      <c r="I158" s="64">
        <v>243738.3</v>
      </c>
      <c r="J158" s="83">
        <v>238402.93999999983</v>
      </c>
      <c r="K158" s="66">
        <v>2950000</v>
      </c>
      <c r="L158" s="251">
        <v>3175000</v>
      </c>
      <c r="M158" s="63">
        <v>185682.60779999994</v>
      </c>
      <c r="N158" s="64">
        <v>89962.244100000025</v>
      </c>
      <c r="O158" s="65">
        <v>3400000</v>
      </c>
      <c r="P158" s="66">
        <v>3400000</v>
      </c>
      <c r="Q158" s="66">
        <f t="shared" si="35"/>
        <v>287147.98800000001</v>
      </c>
      <c r="R158" s="63">
        <f t="shared" si="36"/>
        <v>239896.84079999989</v>
      </c>
      <c r="S158" s="83">
        <f t="shared" si="37"/>
        <v>200444.30081599992</v>
      </c>
      <c r="T158" s="64">
        <f t="shared" si="38"/>
        <v>116763.945936</v>
      </c>
      <c r="U158" s="66">
        <f t="shared" si="39"/>
        <v>2855240</v>
      </c>
      <c r="V158" s="63">
        <f t="shared" si="40"/>
        <v>3068395</v>
      </c>
      <c r="W158" s="83">
        <f t="shared" si="41"/>
        <v>3293395</v>
      </c>
      <c r="X158" s="64">
        <f t="shared" si="42"/>
        <v>3400000</v>
      </c>
      <c r="Z158" s="67">
        <v>325921.09000000003</v>
      </c>
      <c r="AA158" s="68">
        <v>302757.92669999978</v>
      </c>
      <c r="AB158" s="69">
        <v>2950000</v>
      </c>
      <c r="AC158" s="70">
        <v>3175000</v>
      </c>
      <c r="AD158" s="67">
        <v>185682.60779999994</v>
      </c>
      <c r="AE158" s="68">
        <v>89962.244100000025</v>
      </c>
      <c r="AF158" s="69">
        <v>3400000</v>
      </c>
      <c r="AG158" s="70">
        <v>3400000</v>
      </c>
      <c r="AH158" s="70">
        <f t="shared" si="43"/>
        <v>346319.59680000006</v>
      </c>
      <c r="AI158" s="70">
        <f t="shared" si="44"/>
        <v>309243.61242399988</v>
      </c>
      <c r="AJ158" s="70">
        <f t="shared" si="45"/>
        <v>218463.6970919999</v>
      </c>
      <c r="AK158" s="70">
        <f t="shared" si="46"/>
        <v>116763.945936</v>
      </c>
      <c r="AL158" s="70">
        <f t="shared" si="47"/>
        <v>2855240</v>
      </c>
      <c r="AM158" s="70">
        <f t="shared" si="48"/>
        <v>3068395</v>
      </c>
      <c r="AN158" s="70">
        <f t="shared" si="49"/>
        <v>3293395</v>
      </c>
      <c r="AO158" s="70">
        <f t="shared" si="50"/>
        <v>3400000</v>
      </c>
    </row>
    <row r="159" spans="1:41">
      <c r="A159" s="29" t="s">
        <v>271</v>
      </c>
      <c r="B159" s="29" t="s">
        <v>754</v>
      </c>
      <c r="C159" s="107">
        <v>374604.89</v>
      </c>
      <c r="D159" s="108">
        <v>756716</v>
      </c>
      <c r="F159" s="107">
        <v>295774.81</v>
      </c>
      <c r="G159" s="108">
        <v>832388</v>
      </c>
      <c r="I159" s="64">
        <v>237237.48</v>
      </c>
      <c r="J159" s="83">
        <v>218594.9022619999</v>
      </c>
      <c r="K159" s="66">
        <v>832388</v>
      </c>
      <c r="L159" s="251">
        <v>832388</v>
      </c>
      <c r="M159" s="63">
        <v>159424.09078399997</v>
      </c>
      <c r="N159" s="64">
        <v>126394.10014399998</v>
      </c>
      <c r="O159" s="65">
        <v>832388</v>
      </c>
      <c r="P159" s="66">
        <v>832388</v>
      </c>
      <c r="Q159" s="66">
        <f t="shared" si="35"/>
        <v>275700.35480000003</v>
      </c>
      <c r="R159" s="63">
        <f t="shared" si="36"/>
        <v>223814.82402863994</v>
      </c>
      <c r="S159" s="83">
        <f t="shared" si="37"/>
        <v>175991.91799783995</v>
      </c>
      <c r="T159" s="64">
        <f t="shared" si="38"/>
        <v>135642.4975232</v>
      </c>
      <c r="U159" s="66">
        <f t="shared" si="39"/>
        <v>796534.60639999993</v>
      </c>
      <c r="V159" s="63">
        <f t="shared" si="40"/>
        <v>832388</v>
      </c>
      <c r="W159" s="83">
        <f t="shared" si="41"/>
        <v>832388</v>
      </c>
      <c r="X159" s="64">
        <f t="shared" si="42"/>
        <v>832388</v>
      </c>
      <c r="Z159" s="67">
        <v>295774.81</v>
      </c>
      <c r="AA159" s="68">
        <v>342984.93838199979</v>
      </c>
      <c r="AB159" s="69">
        <v>832388</v>
      </c>
      <c r="AC159" s="70">
        <v>832388</v>
      </c>
      <c r="AD159" s="67">
        <v>159424.09078399997</v>
      </c>
      <c r="AE159" s="68">
        <v>126394.10014399998</v>
      </c>
      <c r="AF159" s="69">
        <v>832388</v>
      </c>
      <c r="AG159" s="70">
        <v>832388</v>
      </c>
      <c r="AH159" s="70">
        <f t="shared" si="43"/>
        <v>317847.23239999998</v>
      </c>
      <c r="AI159" s="70">
        <f t="shared" si="44"/>
        <v>329766.10243503982</v>
      </c>
      <c r="AJ159" s="70">
        <f t="shared" si="45"/>
        <v>210821.12811143993</v>
      </c>
      <c r="AK159" s="70">
        <f t="shared" si="46"/>
        <v>135642.4975232</v>
      </c>
      <c r="AL159" s="70">
        <f t="shared" si="47"/>
        <v>796534.60639999993</v>
      </c>
      <c r="AM159" s="70">
        <f t="shared" si="48"/>
        <v>832388</v>
      </c>
      <c r="AN159" s="70">
        <f t="shared" si="49"/>
        <v>832388</v>
      </c>
      <c r="AO159" s="70">
        <f t="shared" si="50"/>
        <v>832388</v>
      </c>
    </row>
    <row r="160" spans="1:41">
      <c r="A160" s="29" t="s">
        <v>349</v>
      </c>
      <c r="B160" s="29" t="s">
        <v>931</v>
      </c>
      <c r="C160" s="107">
        <v>27408.48</v>
      </c>
      <c r="D160" s="108">
        <v>450000</v>
      </c>
      <c r="F160" s="107">
        <v>24607.63</v>
      </c>
      <c r="G160" s="108">
        <v>579000</v>
      </c>
      <c r="I160" s="64">
        <v>0</v>
      </c>
      <c r="J160" s="83">
        <v>0</v>
      </c>
      <c r="K160" s="66">
        <v>579000</v>
      </c>
      <c r="L160" s="251">
        <v>579000</v>
      </c>
      <c r="M160" s="63">
        <v>0</v>
      </c>
      <c r="N160" s="64">
        <v>0</v>
      </c>
      <c r="O160" s="65">
        <v>579000</v>
      </c>
      <c r="P160" s="66">
        <v>579000</v>
      </c>
      <c r="Q160" s="66">
        <f t="shared" si="35"/>
        <v>7674.3744000000006</v>
      </c>
      <c r="R160" s="63">
        <f t="shared" si="36"/>
        <v>0</v>
      </c>
      <c r="S160" s="83">
        <f t="shared" si="37"/>
        <v>0</v>
      </c>
      <c r="T160" s="64">
        <f t="shared" si="38"/>
        <v>0</v>
      </c>
      <c r="U160" s="66">
        <f t="shared" si="39"/>
        <v>517879.8</v>
      </c>
      <c r="V160" s="63">
        <f t="shared" si="40"/>
        <v>579000</v>
      </c>
      <c r="W160" s="83">
        <f t="shared" si="41"/>
        <v>579000</v>
      </c>
      <c r="X160" s="64">
        <f t="shared" si="42"/>
        <v>579000</v>
      </c>
      <c r="Z160" s="67">
        <v>24607.63</v>
      </c>
      <c r="AA160" s="68">
        <v>9703.3625999999458</v>
      </c>
      <c r="AB160" s="69">
        <v>579000</v>
      </c>
      <c r="AC160" s="70">
        <v>579000</v>
      </c>
      <c r="AD160" s="67">
        <v>0</v>
      </c>
      <c r="AE160" s="68">
        <v>0</v>
      </c>
      <c r="AF160" s="69">
        <v>579000</v>
      </c>
      <c r="AG160" s="70">
        <v>579000</v>
      </c>
      <c r="AH160" s="70">
        <f t="shared" si="43"/>
        <v>25391.868000000002</v>
      </c>
      <c r="AI160" s="70">
        <f t="shared" si="44"/>
        <v>13876.557471999962</v>
      </c>
      <c r="AJ160" s="70">
        <f t="shared" si="45"/>
        <v>2716.9415279999853</v>
      </c>
      <c r="AK160" s="70">
        <f t="shared" si="46"/>
        <v>0</v>
      </c>
      <c r="AL160" s="70">
        <f t="shared" si="47"/>
        <v>517879.8</v>
      </c>
      <c r="AM160" s="70">
        <f t="shared" si="48"/>
        <v>579000</v>
      </c>
      <c r="AN160" s="70">
        <f t="shared" si="49"/>
        <v>579000</v>
      </c>
      <c r="AO160" s="70">
        <f t="shared" si="50"/>
        <v>579000</v>
      </c>
    </row>
    <row r="161" spans="1:41">
      <c r="A161" s="29" t="s">
        <v>327</v>
      </c>
      <c r="B161" s="29" t="s">
        <v>755</v>
      </c>
      <c r="C161" s="107">
        <v>253250.42</v>
      </c>
      <c r="D161" s="108">
        <v>36000</v>
      </c>
      <c r="F161" s="107">
        <v>277051.46999999997</v>
      </c>
      <c r="G161" s="108">
        <v>36000</v>
      </c>
      <c r="I161" s="64">
        <v>277051.46999999997</v>
      </c>
      <c r="J161" s="83">
        <v>372763.02909999999</v>
      </c>
      <c r="K161" s="66">
        <v>36000</v>
      </c>
      <c r="L161" s="251">
        <v>36000</v>
      </c>
      <c r="M161" s="63">
        <v>384750.16769999999</v>
      </c>
      <c r="N161" s="64">
        <v>399237.0024</v>
      </c>
      <c r="O161" s="65">
        <v>36000</v>
      </c>
      <c r="P161" s="66">
        <v>36000</v>
      </c>
      <c r="Q161" s="66">
        <f t="shared" si="35"/>
        <v>270387.17599999998</v>
      </c>
      <c r="R161" s="63">
        <f t="shared" si="36"/>
        <v>345963.79255199997</v>
      </c>
      <c r="S161" s="83">
        <f t="shared" si="37"/>
        <v>381393.76889199996</v>
      </c>
      <c r="T161" s="64">
        <f t="shared" si="38"/>
        <v>395180.68868399994</v>
      </c>
      <c r="U161" s="66">
        <f t="shared" si="39"/>
        <v>36000</v>
      </c>
      <c r="V161" s="63">
        <f t="shared" si="40"/>
        <v>36000</v>
      </c>
      <c r="W161" s="83">
        <f t="shared" si="41"/>
        <v>36000</v>
      </c>
      <c r="X161" s="64">
        <f t="shared" si="42"/>
        <v>36000</v>
      </c>
      <c r="Z161" s="67">
        <v>277051.46999999997</v>
      </c>
      <c r="AA161" s="68">
        <v>372763.02909999999</v>
      </c>
      <c r="AB161" s="69">
        <v>36000</v>
      </c>
      <c r="AC161" s="70">
        <v>36000</v>
      </c>
      <c r="AD161" s="67">
        <v>384750.16769999999</v>
      </c>
      <c r="AE161" s="68">
        <v>399237.0024</v>
      </c>
      <c r="AF161" s="69">
        <v>36000</v>
      </c>
      <c r="AG161" s="70">
        <v>36000</v>
      </c>
      <c r="AH161" s="70">
        <f t="shared" si="43"/>
        <v>270387.17599999998</v>
      </c>
      <c r="AI161" s="70">
        <f t="shared" si="44"/>
        <v>345963.79255199997</v>
      </c>
      <c r="AJ161" s="70">
        <f t="shared" si="45"/>
        <v>381393.76889199996</v>
      </c>
      <c r="AK161" s="70">
        <f t="shared" si="46"/>
        <v>395180.68868399994</v>
      </c>
      <c r="AL161" s="70">
        <f t="shared" si="47"/>
        <v>36000</v>
      </c>
      <c r="AM161" s="70">
        <f t="shared" si="48"/>
        <v>36000</v>
      </c>
      <c r="AN161" s="70">
        <f t="shared" si="49"/>
        <v>36000</v>
      </c>
      <c r="AO161" s="70">
        <f t="shared" si="50"/>
        <v>36000</v>
      </c>
    </row>
    <row r="162" spans="1:41">
      <c r="A162" s="29" t="s">
        <v>355</v>
      </c>
      <c r="B162" s="29" t="s">
        <v>756</v>
      </c>
      <c r="C162" s="107">
        <v>228620.98</v>
      </c>
      <c r="D162" s="108">
        <v>1573148</v>
      </c>
      <c r="F162" s="107">
        <v>108720.66</v>
      </c>
      <c r="G162" s="108">
        <v>1606681</v>
      </c>
      <c r="I162" s="64">
        <v>0</v>
      </c>
      <c r="J162" s="83">
        <v>0</v>
      </c>
      <c r="K162" s="66">
        <v>1606681</v>
      </c>
      <c r="L162" s="251">
        <v>1637634</v>
      </c>
      <c r="M162" s="63">
        <v>0</v>
      </c>
      <c r="N162" s="64">
        <v>0</v>
      </c>
      <c r="O162" s="65">
        <v>1637634</v>
      </c>
      <c r="P162" s="66">
        <v>1637634</v>
      </c>
      <c r="Q162" s="66">
        <f t="shared" si="35"/>
        <v>64013.874400000008</v>
      </c>
      <c r="R162" s="63">
        <f t="shared" si="36"/>
        <v>0</v>
      </c>
      <c r="S162" s="83">
        <f t="shared" si="37"/>
        <v>0</v>
      </c>
      <c r="T162" s="64">
        <f t="shared" si="38"/>
        <v>0</v>
      </c>
      <c r="U162" s="66">
        <f t="shared" si="39"/>
        <v>1590793.0646000002</v>
      </c>
      <c r="V162" s="63">
        <f t="shared" si="40"/>
        <v>1622968.4686</v>
      </c>
      <c r="W162" s="83">
        <f t="shared" si="41"/>
        <v>1637634</v>
      </c>
      <c r="X162" s="64">
        <f t="shared" si="42"/>
        <v>1637634</v>
      </c>
      <c r="Z162" s="67">
        <v>108720.66</v>
      </c>
      <c r="AA162" s="68">
        <v>173030.1694120001</v>
      </c>
      <c r="AB162" s="69">
        <v>1606681</v>
      </c>
      <c r="AC162" s="70">
        <v>1637634</v>
      </c>
      <c r="AD162" s="67">
        <v>0</v>
      </c>
      <c r="AE162" s="68">
        <v>0</v>
      </c>
      <c r="AF162" s="69">
        <v>1637634</v>
      </c>
      <c r="AG162" s="70">
        <v>1637634</v>
      </c>
      <c r="AH162" s="70">
        <f t="shared" si="43"/>
        <v>142292.74960000001</v>
      </c>
      <c r="AI162" s="70">
        <f t="shared" si="44"/>
        <v>155023.50677664008</v>
      </c>
      <c r="AJ162" s="70">
        <f t="shared" si="45"/>
        <v>48448.447435360031</v>
      </c>
      <c r="AK162" s="70">
        <f t="shared" si="46"/>
        <v>0</v>
      </c>
      <c r="AL162" s="70">
        <f t="shared" si="47"/>
        <v>1590793.0646000002</v>
      </c>
      <c r="AM162" s="70">
        <f t="shared" si="48"/>
        <v>1622968.4686</v>
      </c>
      <c r="AN162" s="70">
        <f t="shared" si="49"/>
        <v>1637634</v>
      </c>
      <c r="AO162" s="70">
        <f t="shared" si="50"/>
        <v>1637634</v>
      </c>
    </row>
    <row r="163" spans="1:41">
      <c r="A163" s="29" t="s">
        <v>457</v>
      </c>
      <c r="B163" s="29" t="s">
        <v>757</v>
      </c>
      <c r="C163" s="107">
        <v>406882.8</v>
      </c>
      <c r="D163" s="108">
        <v>2240000</v>
      </c>
      <c r="F163" s="107">
        <v>332588.99</v>
      </c>
      <c r="G163" s="108">
        <v>3375550</v>
      </c>
      <c r="I163" s="64">
        <v>167343.73000000001</v>
      </c>
      <c r="J163" s="83">
        <v>152919.20950000006</v>
      </c>
      <c r="K163" s="66">
        <v>3375550</v>
      </c>
      <c r="L163" s="251">
        <v>3611575</v>
      </c>
      <c r="M163" s="63">
        <v>77953.2617999996</v>
      </c>
      <c r="N163" s="64">
        <v>91488.966299999985</v>
      </c>
      <c r="O163" s="65">
        <v>3864120</v>
      </c>
      <c r="P163" s="66">
        <v>3864120</v>
      </c>
      <c r="Q163" s="66">
        <f t="shared" si="35"/>
        <v>234414.66960000002</v>
      </c>
      <c r="R163" s="63">
        <f t="shared" si="36"/>
        <v>156958.07524000003</v>
      </c>
      <c r="S163" s="83">
        <f t="shared" si="37"/>
        <v>98943.727155999717</v>
      </c>
      <c r="T163" s="64">
        <f t="shared" si="38"/>
        <v>87698.969039999865</v>
      </c>
      <c r="U163" s="66">
        <f t="shared" si="39"/>
        <v>2837526.41</v>
      </c>
      <c r="V163" s="63">
        <f t="shared" si="40"/>
        <v>3499746.355</v>
      </c>
      <c r="W163" s="83">
        <f t="shared" si="41"/>
        <v>3744464.179</v>
      </c>
      <c r="X163" s="64">
        <f t="shared" si="42"/>
        <v>3864120</v>
      </c>
      <c r="Z163" s="67">
        <v>332588.99</v>
      </c>
      <c r="AA163" s="68">
        <v>302394.01299999986</v>
      </c>
      <c r="AB163" s="69">
        <v>3375550</v>
      </c>
      <c r="AC163" s="70">
        <v>3611575</v>
      </c>
      <c r="AD163" s="67">
        <v>77953.2617999996</v>
      </c>
      <c r="AE163" s="68">
        <v>91488.966299999985</v>
      </c>
      <c r="AF163" s="69">
        <v>3864120</v>
      </c>
      <c r="AG163" s="70">
        <v>3864120</v>
      </c>
      <c r="AH163" s="70">
        <f t="shared" si="43"/>
        <v>353391.25679999997</v>
      </c>
      <c r="AI163" s="70">
        <f t="shared" si="44"/>
        <v>310848.60655999993</v>
      </c>
      <c r="AJ163" s="70">
        <f t="shared" si="45"/>
        <v>140796.67213599969</v>
      </c>
      <c r="AK163" s="70">
        <f t="shared" si="46"/>
        <v>87698.969039999865</v>
      </c>
      <c r="AL163" s="70">
        <f t="shared" si="47"/>
        <v>2837526.41</v>
      </c>
      <c r="AM163" s="70">
        <f t="shared" si="48"/>
        <v>3499746.355</v>
      </c>
      <c r="AN163" s="70">
        <f t="shared" si="49"/>
        <v>3744464.179</v>
      </c>
      <c r="AO163" s="70">
        <f t="shared" si="50"/>
        <v>3864120</v>
      </c>
    </row>
    <row r="164" spans="1:41">
      <c r="A164" s="29" t="s">
        <v>549</v>
      </c>
      <c r="B164" s="29" t="s">
        <v>758</v>
      </c>
      <c r="C164" s="107">
        <v>1180672.95</v>
      </c>
      <c r="D164" s="108">
        <v>2500000</v>
      </c>
      <c r="F164" s="107">
        <v>988532.19</v>
      </c>
      <c r="G164" s="108">
        <v>2388385</v>
      </c>
      <c r="I164" s="64">
        <v>905300.55</v>
      </c>
      <c r="J164" s="83">
        <v>1056190.4675999996</v>
      </c>
      <c r="K164" s="66">
        <v>2388385</v>
      </c>
      <c r="L164" s="251">
        <v>2900000</v>
      </c>
      <c r="M164" s="63">
        <v>974660.51280000003</v>
      </c>
      <c r="N164" s="64">
        <v>959362.45590000041</v>
      </c>
      <c r="O164" s="65">
        <v>3100000</v>
      </c>
      <c r="P164" s="66">
        <v>3100000</v>
      </c>
      <c r="Q164" s="66">
        <f t="shared" si="35"/>
        <v>982404.82200000016</v>
      </c>
      <c r="R164" s="63">
        <f t="shared" si="36"/>
        <v>1013941.2906719998</v>
      </c>
      <c r="S164" s="83">
        <f t="shared" si="37"/>
        <v>997488.90014399996</v>
      </c>
      <c r="T164" s="64">
        <f t="shared" si="38"/>
        <v>963645.91183200036</v>
      </c>
      <c r="U164" s="66">
        <f t="shared" si="39"/>
        <v>2441268.1869999999</v>
      </c>
      <c r="V164" s="63">
        <f t="shared" si="40"/>
        <v>2657596.8130000001</v>
      </c>
      <c r="W164" s="83">
        <f t="shared" si="41"/>
        <v>3005240</v>
      </c>
      <c r="X164" s="64">
        <f t="shared" si="42"/>
        <v>3100000</v>
      </c>
      <c r="Z164" s="67">
        <v>988532.19</v>
      </c>
      <c r="AA164" s="68">
        <v>1110225.2093999998</v>
      </c>
      <c r="AB164" s="69">
        <v>2388385</v>
      </c>
      <c r="AC164" s="70">
        <v>2900000</v>
      </c>
      <c r="AD164" s="67">
        <v>974660.51280000003</v>
      </c>
      <c r="AE164" s="68">
        <v>959362.45590000041</v>
      </c>
      <c r="AF164" s="69">
        <v>3100000</v>
      </c>
      <c r="AG164" s="70">
        <v>3100000</v>
      </c>
      <c r="AH164" s="70">
        <f t="shared" si="43"/>
        <v>1042331.6028</v>
      </c>
      <c r="AI164" s="70">
        <f t="shared" si="44"/>
        <v>1076151.1639679999</v>
      </c>
      <c r="AJ164" s="70">
        <f t="shared" si="45"/>
        <v>1012618.627848</v>
      </c>
      <c r="AK164" s="70">
        <f t="shared" si="46"/>
        <v>963645.91183200036</v>
      </c>
      <c r="AL164" s="70">
        <f t="shared" si="47"/>
        <v>2441268.1869999999</v>
      </c>
      <c r="AM164" s="70">
        <f t="shared" si="48"/>
        <v>2657596.8130000001</v>
      </c>
      <c r="AN164" s="70">
        <f t="shared" si="49"/>
        <v>3005240</v>
      </c>
      <c r="AO164" s="70">
        <f t="shared" si="50"/>
        <v>3100000</v>
      </c>
    </row>
    <row r="165" spans="1:41">
      <c r="A165" s="29" t="s">
        <v>145</v>
      </c>
      <c r="B165" s="29" t="s">
        <v>759</v>
      </c>
      <c r="C165" s="107">
        <v>0</v>
      </c>
      <c r="D165" s="108">
        <v>1923615</v>
      </c>
      <c r="F165" s="107">
        <v>0</v>
      </c>
      <c r="G165" s="108">
        <v>2015500</v>
      </c>
      <c r="I165" s="64">
        <v>0</v>
      </c>
      <c r="J165" s="83">
        <v>0</v>
      </c>
      <c r="K165" s="66">
        <v>2015500</v>
      </c>
      <c r="L165" s="251">
        <v>2137865.6355999997</v>
      </c>
      <c r="M165" s="63">
        <v>0</v>
      </c>
      <c r="N165" s="64">
        <v>0</v>
      </c>
      <c r="O165" s="65">
        <v>2211944.7949000001</v>
      </c>
      <c r="P165" s="66">
        <v>2299596.1989000002</v>
      </c>
      <c r="Q165" s="66">
        <f t="shared" si="35"/>
        <v>0</v>
      </c>
      <c r="R165" s="63">
        <f t="shared" si="36"/>
        <v>0</v>
      </c>
      <c r="S165" s="83">
        <f t="shared" si="37"/>
        <v>0</v>
      </c>
      <c r="T165" s="64">
        <f t="shared" si="38"/>
        <v>0</v>
      </c>
      <c r="U165" s="66">
        <f t="shared" si="39"/>
        <v>1971964.8870000001</v>
      </c>
      <c r="V165" s="63">
        <f t="shared" si="40"/>
        <v>2079888.7974527199</v>
      </c>
      <c r="W165" s="83">
        <f t="shared" si="41"/>
        <v>2176846.0892236601</v>
      </c>
      <c r="X165" s="64">
        <f t="shared" si="42"/>
        <v>2258066.9636848001</v>
      </c>
      <c r="Z165" s="67">
        <v>0</v>
      </c>
      <c r="AA165" s="68">
        <v>0</v>
      </c>
      <c r="AB165" s="69">
        <v>2015500</v>
      </c>
      <c r="AC165" s="70">
        <v>2137865.6355999997</v>
      </c>
      <c r="AD165" s="67">
        <v>0</v>
      </c>
      <c r="AE165" s="68">
        <v>0</v>
      </c>
      <c r="AF165" s="69">
        <v>2211944.7949000001</v>
      </c>
      <c r="AG165" s="70">
        <v>2299596.1989000002</v>
      </c>
      <c r="AH165" s="70">
        <f t="shared" si="43"/>
        <v>0</v>
      </c>
      <c r="AI165" s="70">
        <f t="shared" si="44"/>
        <v>0</v>
      </c>
      <c r="AJ165" s="70">
        <f t="shared" si="45"/>
        <v>0</v>
      </c>
      <c r="AK165" s="70">
        <f t="shared" si="46"/>
        <v>0</v>
      </c>
      <c r="AL165" s="70">
        <f t="shared" si="47"/>
        <v>1971964.8870000001</v>
      </c>
      <c r="AM165" s="70">
        <f t="shared" si="48"/>
        <v>2079888.7974527199</v>
      </c>
      <c r="AN165" s="70">
        <f t="shared" si="49"/>
        <v>2176846.0892236601</v>
      </c>
      <c r="AO165" s="70">
        <f t="shared" si="50"/>
        <v>2258066.9636848001</v>
      </c>
    </row>
    <row r="166" spans="1:41">
      <c r="A166" s="29" t="s">
        <v>113</v>
      </c>
      <c r="B166" s="29" t="s">
        <v>760</v>
      </c>
      <c r="C166" s="107">
        <v>1512116.8</v>
      </c>
      <c r="D166" s="108">
        <v>1950000</v>
      </c>
      <c r="F166" s="107">
        <v>1565450.04</v>
      </c>
      <c r="G166" s="108">
        <v>2010000</v>
      </c>
      <c r="I166" s="64">
        <v>1514106.95</v>
      </c>
      <c r="J166" s="83">
        <v>1602590.6912766669</v>
      </c>
      <c r="K166" s="66">
        <v>2010000</v>
      </c>
      <c r="L166" s="251">
        <v>2010000</v>
      </c>
      <c r="M166" s="63">
        <v>1581293.3985419995</v>
      </c>
      <c r="N166" s="64">
        <v>1565784.9858560001</v>
      </c>
      <c r="O166" s="65">
        <v>2010000</v>
      </c>
      <c r="P166" s="66">
        <v>2010000</v>
      </c>
      <c r="Q166" s="66">
        <f t="shared" si="35"/>
        <v>1513549.7080000001</v>
      </c>
      <c r="R166" s="63">
        <f t="shared" si="36"/>
        <v>1577815.2437192001</v>
      </c>
      <c r="S166" s="83">
        <f t="shared" si="37"/>
        <v>1587256.6405077064</v>
      </c>
      <c r="T166" s="64">
        <f t="shared" si="38"/>
        <v>1570127.34140808</v>
      </c>
      <c r="U166" s="66">
        <f t="shared" si="39"/>
        <v>1981572</v>
      </c>
      <c r="V166" s="63">
        <f t="shared" si="40"/>
        <v>2010000</v>
      </c>
      <c r="W166" s="83">
        <f t="shared" si="41"/>
        <v>2010000</v>
      </c>
      <c r="X166" s="64">
        <f t="shared" si="42"/>
        <v>2010000</v>
      </c>
      <c r="Z166" s="67">
        <v>1565450.04</v>
      </c>
      <c r="AA166" s="68">
        <v>1630169.0145586662</v>
      </c>
      <c r="AB166" s="69">
        <v>2010000</v>
      </c>
      <c r="AC166" s="70">
        <v>2010000</v>
      </c>
      <c r="AD166" s="67">
        <v>1581293.3985419995</v>
      </c>
      <c r="AE166" s="68">
        <v>1565784.9858560001</v>
      </c>
      <c r="AF166" s="69">
        <v>2010000</v>
      </c>
      <c r="AG166" s="70">
        <v>2010000</v>
      </c>
      <c r="AH166" s="70">
        <f t="shared" si="43"/>
        <v>1550516.7327999999</v>
      </c>
      <c r="AI166" s="70">
        <f t="shared" si="44"/>
        <v>1612047.7016822395</v>
      </c>
      <c r="AJ166" s="70">
        <f t="shared" si="45"/>
        <v>1594978.5710266661</v>
      </c>
      <c r="AK166" s="70">
        <f t="shared" si="46"/>
        <v>1570127.34140808</v>
      </c>
      <c r="AL166" s="70">
        <f t="shared" si="47"/>
        <v>1981572</v>
      </c>
      <c r="AM166" s="70">
        <f t="shared" si="48"/>
        <v>2010000</v>
      </c>
      <c r="AN166" s="70">
        <f t="shared" si="49"/>
        <v>2010000</v>
      </c>
      <c r="AO166" s="70">
        <f t="shared" si="50"/>
        <v>2010000</v>
      </c>
    </row>
    <row r="167" spans="1:41">
      <c r="A167" s="29" t="s">
        <v>231</v>
      </c>
      <c r="B167" s="29" t="s">
        <v>761</v>
      </c>
      <c r="C167" s="107">
        <v>0</v>
      </c>
      <c r="D167" s="108">
        <v>12574688</v>
      </c>
      <c r="F167" s="107">
        <v>0</v>
      </c>
      <c r="G167" s="108">
        <v>13212139</v>
      </c>
      <c r="I167" s="64">
        <v>0</v>
      </c>
      <c r="J167" s="83">
        <v>0</v>
      </c>
      <c r="K167" s="66">
        <v>13212139</v>
      </c>
      <c r="L167" s="251">
        <v>13203423</v>
      </c>
      <c r="M167" s="63">
        <v>0</v>
      </c>
      <c r="N167" s="64">
        <v>0</v>
      </c>
      <c r="O167" s="65">
        <v>13203423</v>
      </c>
      <c r="P167" s="66">
        <v>13203423</v>
      </c>
      <c r="Q167" s="66">
        <f t="shared" si="35"/>
        <v>0</v>
      </c>
      <c r="R167" s="63">
        <f t="shared" si="36"/>
        <v>0</v>
      </c>
      <c r="S167" s="83">
        <f t="shared" si="37"/>
        <v>0</v>
      </c>
      <c r="T167" s="64">
        <f t="shared" si="38"/>
        <v>0</v>
      </c>
      <c r="U167" s="66">
        <f t="shared" si="39"/>
        <v>12910114.7162</v>
      </c>
      <c r="V167" s="63">
        <f t="shared" si="40"/>
        <v>13207552.640799999</v>
      </c>
      <c r="W167" s="83">
        <f t="shared" si="41"/>
        <v>13203423</v>
      </c>
      <c r="X167" s="64">
        <f t="shared" si="42"/>
        <v>13203423</v>
      </c>
      <c r="Z167" s="67">
        <v>0</v>
      </c>
      <c r="AA167" s="68">
        <v>0</v>
      </c>
      <c r="AB167" s="69">
        <v>13212139</v>
      </c>
      <c r="AC167" s="70">
        <v>13203423</v>
      </c>
      <c r="AD167" s="67">
        <v>0</v>
      </c>
      <c r="AE167" s="68">
        <v>0</v>
      </c>
      <c r="AF167" s="69">
        <v>13203423</v>
      </c>
      <c r="AG167" s="70">
        <v>13203423</v>
      </c>
      <c r="AH167" s="70">
        <f t="shared" si="43"/>
        <v>0</v>
      </c>
      <c r="AI167" s="70">
        <f t="shared" si="44"/>
        <v>0</v>
      </c>
      <c r="AJ167" s="70">
        <f t="shared" si="45"/>
        <v>0</v>
      </c>
      <c r="AK167" s="70">
        <f t="shared" si="46"/>
        <v>0</v>
      </c>
      <c r="AL167" s="70">
        <f t="shared" si="47"/>
        <v>12910114.7162</v>
      </c>
      <c r="AM167" s="70">
        <f t="shared" si="48"/>
        <v>13207552.640799999</v>
      </c>
      <c r="AN167" s="70">
        <f t="shared" si="49"/>
        <v>13203423</v>
      </c>
      <c r="AO167" s="70">
        <f t="shared" si="50"/>
        <v>13203423</v>
      </c>
    </row>
    <row r="168" spans="1:41">
      <c r="A168" s="29" t="s">
        <v>323</v>
      </c>
      <c r="B168" s="29" t="s">
        <v>762</v>
      </c>
      <c r="C168" s="107">
        <v>0</v>
      </c>
      <c r="D168" s="108">
        <v>0</v>
      </c>
      <c r="F168" s="107">
        <v>0</v>
      </c>
      <c r="G168" s="108">
        <v>3831125</v>
      </c>
      <c r="I168" s="64">
        <v>0</v>
      </c>
      <c r="J168" s="83">
        <v>0</v>
      </c>
      <c r="K168" s="66">
        <v>3831125</v>
      </c>
      <c r="L168" s="251">
        <v>3831125</v>
      </c>
      <c r="M168" s="63">
        <v>0</v>
      </c>
      <c r="N168" s="64">
        <v>0</v>
      </c>
      <c r="O168" s="65">
        <v>3831125</v>
      </c>
      <c r="P168" s="66">
        <v>3831125</v>
      </c>
      <c r="Q168" s="66">
        <f t="shared" si="35"/>
        <v>0</v>
      </c>
      <c r="R168" s="63">
        <f t="shared" si="36"/>
        <v>0</v>
      </c>
      <c r="S168" s="83">
        <f t="shared" si="37"/>
        <v>0</v>
      </c>
      <c r="T168" s="64">
        <f t="shared" si="38"/>
        <v>0</v>
      </c>
      <c r="U168" s="66">
        <f t="shared" si="39"/>
        <v>2015937.9750000001</v>
      </c>
      <c r="V168" s="63">
        <f t="shared" si="40"/>
        <v>3831125</v>
      </c>
      <c r="W168" s="83">
        <f t="shared" si="41"/>
        <v>3831125</v>
      </c>
      <c r="X168" s="64">
        <f t="shared" si="42"/>
        <v>3831125</v>
      </c>
      <c r="Z168" s="67">
        <v>0</v>
      </c>
      <c r="AA168" s="68">
        <v>0</v>
      </c>
      <c r="AB168" s="69">
        <v>3831125</v>
      </c>
      <c r="AC168" s="70">
        <v>3831125</v>
      </c>
      <c r="AD168" s="67">
        <v>0</v>
      </c>
      <c r="AE168" s="68">
        <v>0</v>
      </c>
      <c r="AF168" s="69">
        <v>3831125</v>
      </c>
      <c r="AG168" s="70">
        <v>3831125</v>
      </c>
      <c r="AH168" s="70">
        <f t="shared" si="43"/>
        <v>0</v>
      </c>
      <c r="AI168" s="70">
        <f t="shared" si="44"/>
        <v>0</v>
      </c>
      <c r="AJ168" s="70">
        <f t="shared" si="45"/>
        <v>0</v>
      </c>
      <c r="AK168" s="70">
        <f t="shared" si="46"/>
        <v>0</v>
      </c>
      <c r="AL168" s="70">
        <f t="shared" si="47"/>
        <v>2015937.9750000001</v>
      </c>
      <c r="AM168" s="70">
        <f t="shared" si="48"/>
        <v>3831125</v>
      </c>
      <c r="AN168" s="70">
        <f t="shared" si="49"/>
        <v>3831125</v>
      </c>
      <c r="AO168" s="70">
        <f t="shared" si="50"/>
        <v>3831125</v>
      </c>
    </row>
    <row r="169" spans="1:41">
      <c r="A169" s="29" t="s">
        <v>353</v>
      </c>
      <c r="B169" s="29" t="s">
        <v>884</v>
      </c>
      <c r="C169" s="107">
        <v>0</v>
      </c>
      <c r="D169" s="108">
        <v>0</v>
      </c>
      <c r="F169" s="107">
        <v>0</v>
      </c>
      <c r="G169" s="108">
        <v>0</v>
      </c>
      <c r="I169" s="64">
        <v>0</v>
      </c>
      <c r="J169" s="83">
        <v>0</v>
      </c>
      <c r="K169" s="66">
        <v>0</v>
      </c>
      <c r="L169" s="251">
        <v>0</v>
      </c>
      <c r="M169" s="63">
        <v>0</v>
      </c>
      <c r="N169" s="64">
        <v>0</v>
      </c>
      <c r="O169" s="65">
        <v>0</v>
      </c>
      <c r="P169" s="66">
        <v>0</v>
      </c>
      <c r="Q169" s="66">
        <f t="shared" si="35"/>
        <v>0</v>
      </c>
      <c r="R169" s="63">
        <f t="shared" si="36"/>
        <v>0</v>
      </c>
      <c r="S169" s="83">
        <f t="shared" si="37"/>
        <v>0</v>
      </c>
      <c r="T169" s="64">
        <f t="shared" si="38"/>
        <v>0</v>
      </c>
      <c r="U169" s="66">
        <f t="shared" si="39"/>
        <v>0</v>
      </c>
      <c r="V169" s="63">
        <f t="shared" si="40"/>
        <v>0</v>
      </c>
      <c r="W169" s="83">
        <f t="shared" si="41"/>
        <v>0</v>
      </c>
      <c r="X169" s="64">
        <f t="shared" si="42"/>
        <v>0</v>
      </c>
      <c r="Z169" s="67">
        <v>0</v>
      </c>
      <c r="AA169" s="68">
        <v>0</v>
      </c>
      <c r="AB169" s="69">
        <v>0</v>
      </c>
      <c r="AC169" s="70">
        <v>0</v>
      </c>
      <c r="AD169" s="67">
        <v>0</v>
      </c>
      <c r="AE169" s="68">
        <v>0</v>
      </c>
      <c r="AF169" s="69">
        <v>0</v>
      </c>
      <c r="AG169" s="70">
        <v>0</v>
      </c>
      <c r="AH169" s="70">
        <f t="shared" si="43"/>
        <v>0</v>
      </c>
      <c r="AI169" s="70">
        <f t="shared" si="44"/>
        <v>0</v>
      </c>
      <c r="AJ169" s="70">
        <f t="shared" si="45"/>
        <v>0</v>
      </c>
      <c r="AK169" s="70">
        <f t="shared" si="46"/>
        <v>0</v>
      </c>
      <c r="AL169" s="70">
        <f t="shared" si="47"/>
        <v>0</v>
      </c>
      <c r="AM169" s="70">
        <f t="shared" si="48"/>
        <v>0</v>
      </c>
      <c r="AN169" s="70">
        <f t="shared" si="49"/>
        <v>0</v>
      </c>
      <c r="AO169" s="70">
        <f t="shared" si="50"/>
        <v>0</v>
      </c>
    </row>
    <row r="170" spans="1:41">
      <c r="A170" s="29" t="s">
        <v>509</v>
      </c>
      <c r="B170" s="29" t="s">
        <v>763</v>
      </c>
      <c r="C170" s="107">
        <v>2020355.68</v>
      </c>
      <c r="D170" s="108">
        <v>43125000</v>
      </c>
      <c r="F170" s="107">
        <v>0</v>
      </c>
      <c r="G170" s="108">
        <v>42100696</v>
      </c>
      <c r="I170" s="64">
        <v>0</v>
      </c>
      <c r="J170" s="83">
        <v>0</v>
      </c>
      <c r="K170" s="66">
        <v>42100696</v>
      </c>
      <c r="L170" s="251">
        <v>41994323.878999993</v>
      </c>
      <c r="M170" s="63">
        <v>0</v>
      </c>
      <c r="N170" s="64">
        <v>0</v>
      </c>
      <c r="O170" s="65">
        <v>43449803.645199999</v>
      </c>
      <c r="P170" s="66">
        <v>45171294.013999999</v>
      </c>
      <c r="Q170" s="66">
        <f t="shared" si="35"/>
        <v>565699.59039999999</v>
      </c>
      <c r="R170" s="63">
        <f t="shared" si="36"/>
        <v>0</v>
      </c>
      <c r="S170" s="83">
        <f t="shared" si="37"/>
        <v>0</v>
      </c>
      <c r="T170" s="64">
        <f t="shared" si="38"/>
        <v>0</v>
      </c>
      <c r="U170" s="66">
        <f t="shared" si="39"/>
        <v>42586011.235200003</v>
      </c>
      <c r="V170" s="63">
        <f t="shared" si="40"/>
        <v>42044722.989929795</v>
      </c>
      <c r="W170" s="83">
        <f t="shared" si="41"/>
        <v>42760197.331974432</v>
      </c>
      <c r="X170" s="64">
        <f t="shared" si="42"/>
        <v>44355651.877262563</v>
      </c>
      <c r="Z170" s="67">
        <v>0</v>
      </c>
      <c r="AA170" s="68">
        <v>0</v>
      </c>
      <c r="AB170" s="69">
        <v>42100696</v>
      </c>
      <c r="AC170" s="70">
        <v>43900054.372199997</v>
      </c>
      <c r="AD170" s="67">
        <v>0</v>
      </c>
      <c r="AE170" s="68">
        <v>0</v>
      </c>
      <c r="AF170" s="69">
        <v>43449803.645199999</v>
      </c>
      <c r="AG170" s="70">
        <v>45171294.013999999</v>
      </c>
      <c r="AH170" s="70">
        <f t="shared" si="43"/>
        <v>565699.59039999999</v>
      </c>
      <c r="AI170" s="70">
        <f t="shared" si="44"/>
        <v>0</v>
      </c>
      <c r="AJ170" s="70">
        <f t="shared" si="45"/>
        <v>0</v>
      </c>
      <c r="AK170" s="70">
        <f t="shared" si="46"/>
        <v>0</v>
      </c>
      <c r="AL170" s="70">
        <f t="shared" si="47"/>
        <v>42586011.235200003</v>
      </c>
      <c r="AM170" s="70">
        <f t="shared" si="48"/>
        <v>43047518.375451639</v>
      </c>
      <c r="AN170" s="70">
        <f t="shared" si="49"/>
        <v>43663132.439652599</v>
      </c>
      <c r="AO170" s="70">
        <f t="shared" si="50"/>
        <v>44355651.877262563</v>
      </c>
    </row>
    <row r="171" spans="1:41">
      <c r="A171" s="29" t="s">
        <v>503</v>
      </c>
      <c r="B171" s="29" t="s">
        <v>764</v>
      </c>
      <c r="C171" s="107">
        <v>10778.12</v>
      </c>
      <c r="D171" s="108">
        <v>375000</v>
      </c>
      <c r="F171" s="107">
        <v>71797.87</v>
      </c>
      <c r="G171" s="108">
        <v>375000</v>
      </c>
      <c r="I171" s="64">
        <v>71797.87</v>
      </c>
      <c r="J171" s="83">
        <v>116506.46310000002</v>
      </c>
      <c r="K171" s="66">
        <v>375000</v>
      </c>
      <c r="L171" s="251">
        <v>375000</v>
      </c>
      <c r="M171" s="63">
        <v>122634.12719999993</v>
      </c>
      <c r="N171" s="64">
        <v>136744.9773</v>
      </c>
      <c r="O171" s="65">
        <v>375000</v>
      </c>
      <c r="P171" s="66">
        <v>375000</v>
      </c>
      <c r="Q171" s="66">
        <f t="shared" si="35"/>
        <v>54712.34</v>
      </c>
      <c r="R171" s="63">
        <f t="shared" si="36"/>
        <v>103988.05703200001</v>
      </c>
      <c r="S171" s="83">
        <f t="shared" si="37"/>
        <v>120918.38125199996</v>
      </c>
      <c r="T171" s="64">
        <f t="shared" si="38"/>
        <v>132793.93927199999</v>
      </c>
      <c r="U171" s="66">
        <f t="shared" si="39"/>
        <v>375000</v>
      </c>
      <c r="V171" s="63">
        <f t="shared" si="40"/>
        <v>375000</v>
      </c>
      <c r="W171" s="83">
        <f t="shared" si="41"/>
        <v>375000</v>
      </c>
      <c r="X171" s="64">
        <f t="shared" si="42"/>
        <v>375000</v>
      </c>
      <c r="Z171" s="67">
        <v>71797.87</v>
      </c>
      <c r="AA171" s="68">
        <v>116506.46310000002</v>
      </c>
      <c r="AB171" s="69">
        <v>375000</v>
      </c>
      <c r="AC171" s="70">
        <v>375000</v>
      </c>
      <c r="AD171" s="67">
        <v>122634.12719999993</v>
      </c>
      <c r="AE171" s="68">
        <v>136744.9773</v>
      </c>
      <c r="AF171" s="69">
        <v>375000</v>
      </c>
      <c r="AG171" s="70">
        <v>375000</v>
      </c>
      <c r="AH171" s="70">
        <f t="shared" si="43"/>
        <v>54712.34</v>
      </c>
      <c r="AI171" s="70">
        <f t="shared" si="44"/>
        <v>103988.05703200001</v>
      </c>
      <c r="AJ171" s="70">
        <f t="shared" si="45"/>
        <v>120918.38125199996</v>
      </c>
      <c r="AK171" s="70">
        <f t="shared" si="46"/>
        <v>132793.93927199999</v>
      </c>
      <c r="AL171" s="70">
        <f t="shared" si="47"/>
        <v>375000</v>
      </c>
      <c r="AM171" s="70">
        <f t="shared" si="48"/>
        <v>375000</v>
      </c>
      <c r="AN171" s="70">
        <f t="shared" si="49"/>
        <v>375000</v>
      </c>
      <c r="AO171" s="70">
        <f t="shared" si="50"/>
        <v>375000</v>
      </c>
    </row>
    <row r="172" spans="1:41">
      <c r="A172" s="29" t="s">
        <v>219</v>
      </c>
      <c r="B172" s="29" t="s">
        <v>765</v>
      </c>
      <c r="C172" s="107">
        <v>0</v>
      </c>
      <c r="D172" s="108">
        <v>59000000</v>
      </c>
      <c r="F172" s="107">
        <v>0</v>
      </c>
      <c r="G172" s="108">
        <v>60000000</v>
      </c>
      <c r="I172" s="64">
        <v>0</v>
      </c>
      <c r="J172" s="83">
        <v>0</v>
      </c>
      <c r="K172" s="66">
        <v>60000000</v>
      </c>
      <c r="L172" s="251">
        <v>60000000</v>
      </c>
      <c r="M172" s="63">
        <v>0</v>
      </c>
      <c r="N172" s="64">
        <v>0</v>
      </c>
      <c r="O172" s="65">
        <v>60000000</v>
      </c>
      <c r="P172" s="66">
        <v>60000000</v>
      </c>
      <c r="Q172" s="66">
        <f t="shared" si="35"/>
        <v>0</v>
      </c>
      <c r="R172" s="63">
        <f t="shared" si="36"/>
        <v>0</v>
      </c>
      <c r="S172" s="83">
        <f t="shared" si="37"/>
        <v>0</v>
      </c>
      <c r="T172" s="64">
        <f t="shared" si="38"/>
        <v>0</v>
      </c>
      <c r="U172" s="66">
        <f t="shared" si="39"/>
        <v>59526200</v>
      </c>
      <c r="V172" s="63">
        <f t="shared" si="40"/>
        <v>60000000</v>
      </c>
      <c r="W172" s="83">
        <f t="shared" si="41"/>
        <v>60000000</v>
      </c>
      <c r="X172" s="64">
        <f t="shared" si="42"/>
        <v>60000000</v>
      </c>
      <c r="Z172" s="67">
        <v>0</v>
      </c>
      <c r="AA172" s="68">
        <v>0</v>
      </c>
      <c r="AB172" s="69">
        <v>60000000</v>
      </c>
      <c r="AC172" s="70">
        <v>60000000</v>
      </c>
      <c r="AD172" s="67">
        <v>0</v>
      </c>
      <c r="AE172" s="68">
        <v>0</v>
      </c>
      <c r="AF172" s="69">
        <v>60000000</v>
      </c>
      <c r="AG172" s="70">
        <v>60000000</v>
      </c>
      <c r="AH172" s="70">
        <f t="shared" si="43"/>
        <v>0</v>
      </c>
      <c r="AI172" s="70">
        <f t="shared" si="44"/>
        <v>0</v>
      </c>
      <c r="AJ172" s="70">
        <f t="shared" si="45"/>
        <v>0</v>
      </c>
      <c r="AK172" s="70">
        <f t="shared" si="46"/>
        <v>0</v>
      </c>
      <c r="AL172" s="70">
        <f t="shared" si="47"/>
        <v>59526200</v>
      </c>
      <c r="AM172" s="70">
        <f t="shared" si="48"/>
        <v>60000000</v>
      </c>
      <c r="AN172" s="70">
        <f t="shared" si="49"/>
        <v>60000000</v>
      </c>
      <c r="AO172" s="70">
        <f t="shared" si="50"/>
        <v>60000000</v>
      </c>
    </row>
    <row r="173" spans="1:41">
      <c r="A173" s="29" t="s">
        <v>167</v>
      </c>
      <c r="B173" s="29" t="s">
        <v>766</v>
      </c>
      <c r="C173" s="107">
        <v>2348064.5099999998</v>
      </c>
      <c r="D173" s="108">
        <v>10950000</v>
      </c>
      <c r="F173" s="107">
        <v>2198614.71</v>
      </c>
      <c r="G173" s="108">
        <v>11400000</v>
      </c>
      <c r="I173" s="64">
        <v>1611425.64</v>
      </c>
      <c r="J173" s="83">
        <v>1754028.9705999992</v>
      </c>
      <c r="K173" s="66">
        <v>11400000</v>
      </c>
      <c r="L173" s="251">
        <v>11850000</v>
      </c>
      <c r="M173" s="63">
        <v>1853198.7506999979</v>
      </c>
      <c r="N173" s="64">
        <v>1411735.0581000017</v>
      </c>
      <c r="O173" s="65">
        <v>12350000</v>
      </c>
      <c r="P173" s="66">
        <v>12850000</v>
      </c>
      <c r="Q173" s="66">
        <f t="shared" si="35"/>
        <v>1817684.5235999997</v>
      </c>
      <c r="R173" s="63">
        <f t="shared" si="36"/>
        <v>1714100.0380319995</v>
      </c>
      <c r="S173" s="83">
        <f t="shared" si="37"/>
        <v>1825431.2122719982</v>
      </c>
      <c r="T173" s="64">
        <f t="shared" si="38"/>
        <v>1535344.8920280007</v>
      </c>
      <c r="U173" s="66">
        <f t="shared" si="39"/>
        <v>11186790</v>
      </c>
      <c r="V173" s="63">
        <f t="shared" si="40"/>
        <v>11636790</v>
      </c>
      <c r="W173" s="83">
        <f t="shared" si="41"/>
        <v>12113100</v>
      </c>
      <c r="X173" s="64">
        <f t="shared" si="42"/>
        <v>12613100</v>
      </c>
      <c r="Z173" s="67">
        <v>2198614.71</v>
      </c>
      <c r="AA173" s="68">
        <v>2270822.783199999</v>
      </c>
      <c r="AB173" s="69">
        <v>11400000</v>
      </c>
      <c r="AC173" s="70">
        <v>11850000</v>
      </c>
      <c r="AD173" s="67">
        <v>1853198.7506999979</v>
      </c>
      <c r="AE173" s="68">
        <v>1411735.0581000017</v>
      </c>
      <c r="AF173" s="69">
        <v>12350000</v>
      </c>
      <c r="AG173" s="70">
        <v>12850000</v>
      </c>
      <c r="AH173" s="70">
        <f t="shared" si="43"/>
        <v>2240460.6540000001</v>
      </c>
      <c r="AI173" s="70">
        <f t="shared" si="44"/>
        <v>2250604.5227039992</v>
      </c>
      <c r="AJ173" s="70">
        <f t="shared" si="45"/>
        <v>1970133.479799998</v>
      </c>
      <c r="AK173" s="70">
        <f t="shared" si="46"/>
        <v>1535344.8920280007</v>
      </c>
      <c r="AL173" s="70">
        <f t="shared" si="47"/>
        <v>11186790</v>
      </c>
      <c r="AM173" s="70">
        <f t="shared" si="48"/>
        <v>11636790</v>
      </c>
      <c r="AN173" s="70">
        <f t="shared" si="49"/>
        <v>12113100</v>
      </c>
      <c r="AO173" s="70">
        <f t="shared" si="50"/>
        <v>12613100</v>
      </c>
    </row>
    <row r="174" spans="1:41">
      <c r="A174" s="29" t="s">
        <v>579</v>
      </c>
      <c r="B174" s="29" t="s">
        <v>767</v>
      </c>
      <c r="C174" s="107">
        <v>0</v>
      </c>
      <c r="D174" s="108">
        <v>310598</v>
      </c>
      <c r="F174" s="107">
        <v>0</v>
      </c>
      <c r="G174" s="108">
        <v>387761</v>
      </c>
      <c r="I174" s="64">
        <v>0</v>
      </c>
      <c r="J174" s="83">
        <v>0</v>
      </c>
      <c r="K174" s="66">
        <v>387761</v>
      </c>
      <c r="L174" s="251">
        <v>423163.01999999996</v>
      </c>
      <c r="M174" s="63">
        <v>0</v>
      </c>
      <c r="N174" s="64">
        <v>9752.6195999999891</v>
      </c>
      <c r="O174" s="65">
        <v>437839.21669999999</v>
      </c>
      <c r="P174" s="66">
        <v>451875.42499999999</v>
      </c>
      <c r="Q174" s="66">
        <f t="shared" si="35"/>
        <v>0</v>
      </c>
      <c r="R174" s="63">
        <f t="shared" si="36"/>
        <v>0</v>
      </c>
      <c r="S174" s="83">
        <f t="shared" si="37"/>
        <v>0</v>
      </c>
      <c r="T174" s="64">
        <f t="shared" si="38"/>
        <v>7021.886111999992</v>
      </c>
      <c r="U174" s="66">
        <f t="shared" si="39"/>
        <v>351201.17060000001</v>
      </c>
      <c r="V174" s="63">
        <f t="shared" si="40"/>
        <v>406389.54292399995</v>
      </c>
      <c r="W174" s="83">
        <f t="shared" si="41"/>
        <v>430885.63470354001</v>
      </c>
      <c r="X174" s="64">
        <f t="shared" si="42"/>
        <v>445225.06950745999</v>
      </c>
      <c r="Z174" s="67">
        <v>0</v>
      </c>
      <c r="AA174" s="68">
        <v>0</v>
      </c>
      <c r="AB174" s="69">
        <v>387761</v>
      </c>
      <c r="AC174" s="70">
        <v>423163.01999999996</v>
      </c>
      <c r="AD174" s="67">
        <v>0</v>
      </c>
      <c r="AE174" s="68">
        <v>9752.6195999999891</v>
      </c>
      <c r="AF174" s="69">
        <v>437839.21669999999</v>
      </c>
      <c r="AG174" s="70">
        <v>451875.42499999999</v>
      </c>
      <c r="AH174" s="70">
        <f t="shared" si="43"/>
        <v>0</v>
      </c>
      <c r="AI174" s="70">
        <f t="shared" si="44"/>
        <v>0</v>
      </c>
      <c r="AJ174" s="70">
        <f t="shared" si="45"/>
        <v>0</v>
      </c>
      <c r="AK174" s="70">
        <f t="shared" si="46"/>
        <v>7021.886111999992</v>
      </c>
      <c r="AL174" s="70">
        <f t="shared" si="47"/>
        <v>351201.17060000001</v>
      </c>
      <c r="AM174" s="70">
        <f t="shared" si="48"/>
        <v>406389.54292399995</v>
      </c>
      <c r="AN174" s="70">
        <f t="shared" si="49"/>
        <v>430885.63470354001</v>
      </c>
      <c r="AO174" s="70">
        <f t="shared" si="50"/>
        <v>445225.06950745999</v>
      </c>
    </row>
    <row r="175" spans="1:41">
      <c r="A175" s="29" t="s">
        <v>165</v>
      </c>
      <c r="B175" s="29" t="s">
        <v>768</v>
      </c>
      <c r="C175" s="107">
        <v>123212.58</v>
      </c>
      <c r="D175" s="108">
        <v>400000</v>
      </c>
      <c r="F175" s="107">
        <v>119778.9</v>
      </c>
      <c r="G175" s="108">
        <v>400000</v>
      </c>
      <c r="I175" s="64">
        <v>119778.9</v>
      </c>
      <c r="J175" s="83">
        <v>116238.14049999996</v>
      </c>
      <c r="K175" s="66">
        <v>400000</v>
      </c>
      <c r="L175" s="251">
        <v>410000</v>
      </c>
      <c r="M175" s="63">
        <v>98999.751993999947</v>
      </c>
      <c r="N175" s="64">
        <v>75080.451820000046</v>
      </c>
      <c r="O175" s="65">
        <v>410000</v>
      </c>
      <c r="P175" s="66">
        <v>410000</v>
      </c>
      <c r="Q175" s="66">
        <f t="shared" si="35"/>
        <v>120740.33039999999</v>
      </c>
      <c r="R175" s="63">
        <f t="shared" si="36"/>
        <v>117229.55315999998</v>
      </c>
      <c r="S175" s="83">
        <f t="shared" si="37"/>
        <v>103826.50077567995</v>
      </c>
      <c r="T175" s="64">
        <f t="shared" si="38"/>
        <v>81777.855868720013</v>
      </c>
      <c r="U175" s="66">
        <f t="shared" si="39"/>
        <v>400000</v>
      </c>
      <c r="V175" s="63">
        <f t="shared" si="40"/>
        <v>405262</v>
      </c>
      <c r="W175" s="83">
        <f t="shared" si="41"/>
        <v>410000</v>
      </c>
      <c r="X175" s="64">
        <f t="shared" si="42"/>
        <v>410000</v>
      </c>
      <c r="Z175" s="67">
        <v>119778.9</v>
      </c>
      <c r="AA175" s="68">
        <v>116238.14049999996</v>
      </c>
      <c r="AB175" s="69">
        <v>400000</v>
      </c>
      <c r="AC175" s="70">
        <v>410000</v>
      </c>
      <c r="AD175" s="67">
        <v>98999.751993999947</v>
      </c>
      <c r="AE175" s="68">
        <v>75080.451820000046</v>
      </c>
      <c r="AF175" s="69">
        <v>410000</v>
      </c>
      <c r="AG175" s="70">
        <v>410000</v>
      </c>
      <c r="AH175" s="70">
        <f t="shared" si="43"/>
        <v>120740.33039999999</v>
      </c>
      <c r="AI175" s="70">
        <f t="shared" si="44"/>
        <v>117229.55315999998</v>
      </c>
      <c r="AJ175" s="70">
        <f t="shared" si="45"/>
        <v>103826.50077567995</v>
      </c>
      <c r="AK175" s="70">
        <f t="shared" si="46"/>
        <v>81777.855868720013</v>
      </c>
      <c r="AL175" s="70">
        <f t="shared" si="47"/>
        <v>400000</v>
      </c>
      <c r="AM175" s="70">
        <f t="shared" si="48"/>
        <v>405262</v>
      </c>
      <c r="AN175" s="70">
        <f t="shared" si="49"/>
        <v>410000</v>
      </c>
      <c r="AO175" s="70">
        <f t="shared" si="50"/>
        <v>410000</v>
      </c>
    </row>
    <row r="176" spans="1:41">
      <c r="A176" s="29" t="s">
        <v>343</v>
      </c>
      <c r="B176" s="29" t="s">
        <v>769</v>
      </c>
      <c r="C176" s="107">
        <v>0</v>
      </c>
      <c r="D176" s="108">
        <v>2756000</v>
      </c>
      <c r="F176" s="107">
        <v>0</v>
      </c>
      <c r="G176" s="108">
        <v>2778958</v>
      </c>
      <c r="I176" s="64">
        <v>0</v>
      </c>
      <c r="J176" s="83">
        <v>0</v>
      </c>
      <c r="K176" s="66">
        <v>2778958</v>
      </c>
      <c r="L176" s="251">
        <v>2911591.8703999999</v>
      </c>
      <c r="M176" s="63">
        <v>0</v>
      </c>
      <c r="N176" s="64">
        <v>0</v>
      </c>
      <c r="O176" s="65">
        <v>3012499.5767000001</v>
      </c>
      <c r="P176" s="66">
        <v>3020160</v>
      </c>
      <c r="Q176" s="66">
        <f t="shared" si="35"/>
        <v>0</v>
      </c>
      <c r="R176" s="63">
        <f t="shared" si="36"/>
        <v>0</v>
      </c>
      <c r="S176" s="83">
        <f t="shared" si="37"/>
        <v>0</v>
      </c>
      <c r="T176" s="64">
        <f t="shared" si="38"/>
        <v>0</v>
      </c>
      <c r="U176" s="66">
        <f t="shared" si="39"/>
        <v>2768080.4995999997</v>
      </c>
      <c r="V176" s="63">
        <f t="shared" si="40"/>
        <v>2848749.9426044803</v>
      </c>
      <c r="W176" s="83">
        <f t="shared" si="41"/>
        <v>2964689.5054550599</v>
      </c>
      <c r="X176" s="64">
        <f t="shared" si="42"/>
        <v>3016530.4914404601</v>
      </c>
      <c r="Z176" s="67">
        <v>0</v>
      </c>
      <c r="AA176" s="68">
        <v>0</v>
      </c>
      <c r="AB176" s="69">
        <v>2778958</v>
      </c>
      <c r="AC176" s="70">
        <v>2932497</v>
      </c>
      <c r="AD176" s="67">
        <v>0</v>
      </c>
      <c r="AE176" s="68">
        <v>0</v>
      </c>
      <c r="AF176" s="69">
        <v>3012499.5767000001</v>
      </c>
      <c r="AG176" s="70">
        <v>3020160</v>
      </c>
      <c r="AH176" s="70">
        <f t="shared" si="43"/>
        <v>0</v>
      </c>
      <c r="AI176" s="70">
        <f t="shared" si="44"/>
        <v>0</v>
      </c>
      <c r="AJ176" s="70">
        <f t="shared" si="45"/>
        <v>0</v>
      </c>
      <c r="AK176" s="70">
        <f t="shared" si="46"/>
        <v>0</v>
      </c>
      <c r="AL176" s="70">
        <f t="shared" si="47"/>
        <v>2768080.4995999997</v>
      </c>
      <c r="AM176" s="70">
        <f t="shared" si="48"/>
        <v>2859750.2218000004</v>
      </c>
      <c r="AN176" s="70">
        <f t="shared" si="49"/>
        <v>2974594.3558595399</v>
      </c>
      <c r="AO176" s="70">
        <f t="shared" si="50"/>
        <v>3016530.4914404601</v>
      </c>
    </row>
    <row r="177" spans="1:41">
      <c r="A177" s="29" t="s">
        <v>163</v>
      </c>
      <c r="B177" s="29" t="s">
        <v>770</v>
      </c>
      <c r="C177" s="107">
        <v>0</v>
      </c>
      <c r="D177" s="108">
        <v>1594640</v>
      </c>
      <c r="F177" s="107">
        <v>0</v>
      </c>
      <c r="G177" s="108">
        <v>1643895</v>
      </c>
      <c r="I177" s="64">
        <v>0</v>
      </c>
      <c r="J177" s="83">
        <v>0</v>
      </c>
      <c r="K177" s="66">
        <v>1643895</v>
      </c>
      <c r="L177" s="251">
        <v>1692600</v>
      </c>
      <c r="M177" s="63">
        <v>0</v>
      </c>
      <c r="N177" s="64">
        <v>0</v>
      </c>
      <c r="O177" s="65">
        <v>1692600</v>
      </c>
      <c r="P177" s="66">
        <v>1692600</v>
      </c>
      <c r="Q177" s="66">
        <f t="shared" si="35"/>
        <v>0</v>
      </c>
      <c r="R177" s="63">
        <f t="shared" si="36"/>
        <v>0</v>
      </c>
      <c r="S177" s="83">
        <f t="shared" si="37"/>
        <v>0</v>
      </c>
      <c r="T177" s="64">
        <f t="shared" si="38"/>
        <v>0</v>
      </c>
      <c r="U177" s="66">
        <f t="shared" si="39"/>
        <v>1620557.9810000001</v>
      </c>
      <c r="V177" s="63">
        <f t="shared" si="40"/>
        <v>1669523.571</v>
      </c>
      <c r="W177" s="83">
        <f t="shared" si="41"/>
        <v>1692600</v>
      </c>
      <c r="X177" s="64">
        <f t="shared" si="42"/>
        <v>1692600</v>
      </c>
      <c r="Z177" s="67">
        <v>0</v>
      </c>
      <c r="AA177" s="68">
        <v>0</v>
      </c>
      <c r="AB177" s="69">
        <v>1643895</v>
      </c>
      <c r="AC177" s="70">
        <v>1692600</v>
      </c>
      <c r="AD177" s="67">
        <v>0</v>
      </c>
      <c r="AE177" s="68">
        <v>0</v>
      </c>
      <c r="AF177" s="69">
        <v>1692600</v>
      </c>
      <c r="AG177" s="70">
        <v>1692600</v>
      </c>
      <c r="AH177" s="70">
        <f t="shared" si="43"/>
        <v>0</v>
      </c>
      <c r="AI177" s="70">
        <f t="shared" si="44"/>
        <v>0</v>
      </c>
      <c r="AJ177" s="70">
        <f t="shared" si="45"/>
        <v>0</v>
      </c>
      <c r="AK177" s="70">
        <f t="shared" si="46"/>
        <v>0</v>
      </c>
      <c r="AL177" s="70">
        <f t="shared" si="47"/>
        <v>1620557.9810000001</v>
      </c>
      <c r="AM177" s="70">
        <f t="shared" si="48"/>
        <v>1669523.571</v>
      </c>
      <c r="AN177" s="70">
        <f t="shared" si="49"/>
        <v>1692600</v>
      </c>
      <c r="AO177" s="70">
        <f t="shared" si="50"/>
        <v>1692600</v>
      </c>
    </row>
    <row r="178" spans="1:41">
      <c r="A178" s="29" t="s">
        <v>305</v>
      </c>
      <c r="B178" s="29" t="s">
        <v>887</v>
      </c>
      <c r="C178" s="107">
        <v>0</v>
      </c>
      <c r="D178" s="108">
        <v>592036</v>
      </c>
      <c r="F178" s="107">
        <v>0</v>
      </c>
      <c r="G178" s="108">
        <v>550000</v>
      </c>
      <c r="I178" s="64">
        <v>0</v>
      </c>
      <c r="J178" s="83">
        <v>0</v>
      </c>
      <c r="K178" s="66">
        <v>550000</v>
      </c>
      <c r="L178" s="251">
        <v>550000</v>
      </c>
      <c r="M178" s="63">
        <v>0</v>
      </c>
      <c r="N178" s="64">
        <v>0</v>
      </c>
      <c r="O178" s="65">
        <v>550000</v>
      </c>
      <c r="P178" s="66">
        <v>550000</v>
      </c>
      <c r="Q178" s="66">
        <f t="shared" si="35"/>
        <v>0</v>
      </c>
      <c r="R178" s="63">
        <f t="shared" si="36"/>
        <v>0</v>
      </c>
      <c r="S178" s="83">
        <f t="shared" si="37"/>
        <v>0</v>
      </c>
      <c r="T178" s="64">
        <f t="shared" si="38"/>
        <v>0</v>
      </c>
      <c r="U178" s="66">
        <f t="shared" si="39"/>
        <v>569916.6568</v>
      </c>
      <c r="V178" s="63">
        <f t="shared" si="40"/>
        <v>550000</v>
      </c>
      <c r="W178" s="83">
        <f t="shared" si="41"/>
        <v>550000</v>
      </c>
      <c r="X178" s="64">
        <f t="shared" si="42"/>
        <v>550000</v>
      </c>
      <c r="Z178" s="67">
        <v>0</v>
      </c>
      <c r="AA178" s="68">
        <v>0</v>
      </c>
      <c r="AB178" s="69">
        <v>550000</v>
      </c>
      <c r="AC178" s="70">
        <v>550000</v>
      </c>
      <c r="AD178" s="67">
        <v>0</v>
      </c>
      <c r="AE178" s="68">
        <v>0</v>
      </c>
      <c r="AF178" s="69">
        <v>550000</v>
      </c>
      <c r="AG178" s="70">
        <v>550000</v>
      </c>
      <c r="AH178" s="70">
        <f t="shared" si="43"/>
        <v>0</v>
      </c>
      <c r="AI178" s="70">
        <f t="shared" si="44"/>
        <v>0</v>
      </c>
      <c r="AJ178" s="70">
        <f t="shared" si="45"/>
        <v>0</v>
      </c>
      <c r="AK178" s="70">
        <f t="shared" si="46"/>
        <v>0</v>
      </c>
      <c r="AL178" s="70">
        <f t="shared" si="47"/>
        <v>569916.6568</v>
      </c>
      <c r="AM178" s="70">
        <f t="shared" si="48"/>
        <v>550000</v>
      </c>
      <c r="AN178" s="70">
        <f t="shared" si="49"/>
        <v>550000</v>
      </c>
      <c r="AO178" s="70">
        <f t="shared" si="50"/>
        <v>550000</v>
      </c>
    </row>
    <row r="179" spans="1:41">
      <c r="A179" s="29" t="s">
        <v>331</v>
      </c>
      <c r="B179" s="29" t="s">
        <v>771</v>
      </c>
      <c r="C179" s="107">
        <v>1301027.01</v>
      </c>
      <c r="D179" s="108">
        <v>642766</v>
      </c>
      <c r="F179" s="107">
        <v>1355159.69</v>
      </c>
      <c r="G179" s="108">
        <v>674904</v>
      </c>
      <c r="I179" s="64">
        <v>1254605.04</v>
      </c>
      <c r="J179" s="83">
        <v>1324249.6195999999</v>
      </c>
      <c r="K179" s="66">
        <v>674904</v>
      </c>
      <c r="L179" s="251">
        <v>708649</v>
      </c>
      <c r="M179" s="63">
        <v>1370238.7898999995</v>
      </c>
      <c r="N179" s="64">
        <v>1425262.5849000001</v>
      </c>
      <c r="O179" s="65">
        <v>708649</v>
      </c>
      <c r="P179" s="66">
        <v>708649</v>
      </c>
      <c r="Q179" s="66">
        <f t="shared" si="35"/>
        <v>1267603.1916</v>
      </c>
      <c r="R179" s="63">
        <f t="shared" si="36"/>
        <v>1304749.1373119999</v>
      </c>
      <c r="S179" s="83">
        <f t="shared" si="37"/>
        <v>1357361.8222159995</v>
      </c>
      <c r="T179" s="64">
        <f t="shared" si="38"/>
        <v>1409855.9223</v>
      </c>
      <c r="U179" s="66">
        <f t="shared" si="39"/>
        <v>659677.01560000004</v>
      </c>
      <c r="V179" s="63">
        <f t="shared" si="40"/>
        <v>692660.61899999995</v>
      </c>
      <c r="W179" s="83">
        <f t="shared" si="41"/>
        <v>708649</v>
      </c>
      <c r="X179" s="64">
        <f t="shared" si="42"/>
        <v>708649</v>
      </c>
      <c r="Z179" s="67">
        <v>1355159.69</v>
      </c>
      <c r="AA179" s="68">
        <v>1410222.0556000001</v>
      </c>
      <c r="AB179" s="69">
        <v>674904</v>
      </c>
      <c r="AC179" s="70">
        <v>708649</v>
      </c>
      <c r="AD179" s="67">
        <v>1370238.7898999995</v>
      </c>
      <c r="AE179" s="68">
        <v>1425262.5849000001</v>
      </c>
      <c r="AF179" s="69">
        <v>708649</v>
      </c>
      <c r="AG179" s="70">
        <v>708649</v>
      </c>
      <c r="AH179" s="70">
        <f t="shared" si="43"/>
        <v>1340002.5396</v>
      </c>
      <c r="AI179" s="70">
        <f t="shared" si="44"/>
        <v>1394804.593232</v>
      </c>
      <c r="AJ179" s="70">
        <f t="shared" si="45"/>
        <v>1381434.1042959997</v>
      </c>
      <c r="AK179" s="70">
        <f t="shared" si="46"/>
        <v>1409855.9223</v>
      </c>
      <c r="AL179" s="70">
        <f t="shared" si="47"/>
        <v>659677.01560000004</v>
      </c>
      <c r="AM179" s="70">
        <f t="shared" si="48"/>
        <v>692660.61899999995</v>
      </c>
      <c r="AN179" s="70">
        <f t="shared" si="49"/>
        <v>708649</v>
      </c>
      <c r="AO179" s="70">
        <f t="shared" si="50"/>
        <v>708649</v>
      </c>
    </row>
    <row r="180" spans="1:41">
      <c r="A180" s="29" t="s">
        <v>513</v>
      </c>
      <c r="B180" s="29" t="s">
        <v>772</v>
      </c>
      <c r="C180" s="107">
        <v>0</v>
      </c>
      <c r="D180" s="108">
        <v>30900000</v>
      </c>
      <c r="F180" s="107">
        <v>0</v>
      </c>
      <c r="G180" s="108">
        <v>27098729</v>
      </c>
      <c r="I180" s="64">
        <v>0</v>
      </c>
      <c r="J180" s="83">
        <v>0</v>
      </c>
      <c r="K180" s="66">
        <v>27098729</v>
      </c>
      <c r="L180" s="251">
        <v>26589549.114799999</v>
      </c>
      <c r="M180" s="63">
        <v>0</v>
      </c>
      <c r="N180" s="64">
        <v>0</v>
      </c>
      <c r="O180" s="65">
        <v>27520914.915900003</v>
      </c>
      <c r="P180" s="66">
        <v>28624215.951099999</v>
      </c>
      <c r="Q180" s="66">
        <f t="shared" si="35"/>
        <v>0</v>
      </c>
      <c r="R180" s="63">
        <f t="shared" si="36"/>
        <v>0</v>
      </c>
      <c r="S180" s="83">
        <f t="shared" si="37"/>
        <v>0</v>
      </c>
      <c r="T180" s="64">
        <f t="shared" si="38"/>
        <v>0</v>
      </c>
      <c r="U180" s="66">
        <f t="shared" si="39"/>
        <v>28899771.1998</v>
      </c>
      <c r="V180" s="63">
        <f t="shared" si="40"/>
        <v>26830798.544407759</v>
      </c>
      <c r="W180" s="83">
        <f t="shared" si="41"/>
        <v>27079633.799338821</v>
      </c>
      <c r="X180" s="64">
        <f t="shared" si="42"/>
        <v>28101471.920622244</v>
      </c>
      <c r="Z180" s="67">
        <v>0</v>
      </c>
      <c r="AA180" s="68">
        <v>0</v>
      </c>
      <c r="AB180" s="69">
        <v>27098729</v>
      </c>
      <c r="AC180" s="70">
        <v>28989689.463000003</v>
      </c>
      <c r="AD180" s="67">
        <v>0</v>
      </c>
      <c r="AE180" s="68">
        <v>0</v>
      </c>
      <c r="AF180" s="69">
        <v>27520914.915900003</v>
      </c>
      <c r="AG180" s="70">
        <v>28624215.951099999</v>
      </c>
      <c r="AH180" s="70">
        <f t="shared" si="43"/>
        <v>0</v>
      </c>
      <c r="AI180" s="70">
        <f t="shared" si="44"/>
        <v>0</v>
      </c>
      <c r="AJ180" s="70">
        <f t="shared" si="45"/>
        <v>0</v>
      </c>
      <c r="AK180" s="70">
        <f t="shared" si="46"/>
        <v>0</v>
      </c>
      <c r="AL180" s="70">
        <f t="shared" si="47"/>
        <v>28899771.1998</v>
      </c>
      <c r="AM180" s="70">
        <f t="shared" si="48"/>
        <v>28093752.395630602</v>
      </c>
      <c r="AN180" s="70">
        <f t="shared" si="49"/>
        <v>28216820.296315983</v>
      </c>
      <c r="AO180" s="70">
        <f t="shared" si="50"/>
        <v>28101471.920622244</v>
      </c>
    </row>
    <row r="181" spans="1:41">
      <c r="A181" s="29" t="s">
        <v>329</v>
      </c>
      <c r="B181" s="29" t="s">
        <v>773</v>
      </c>
      <c r="C181" s="107">
        <v>7635725.1100000003</v>
      </c>
      <c r="D181" s="108">
        <v>1175719</v>
      </c>
      <c r="F181" s="107">
        <v>11831365.82</v>
      </c>
      <c r="G181" s="108">
        <v>1187476</v>
      </c>
      <c r="I181" s="64">
        <v>11831365.82</v>
      </c>
      <c r="J181" s="83">
        <v>12794658.590399999</v>
      </c>
      <c r="K181" s="66">
        <v>1187476</v>
      </c>
      <c r="L181" s="251">
        <v>1199351</v>
      </c>
      <c r="M181" s="63">
        <v>13242326.712599998</v>
      </c>
      <c r="N181" s="64">
        <v>13821528.983099997</v>
      </c>
      <c r="O181" s="65">
        <v>1211344</v>
      </c>
      <c r="P181" s="66">
        <v>1211344</v>
      </c>
      <c r="Q181" s="66">
        <f t="shared" si="35"/>
        <v>10656586.4212</v>
      </c>
      <c r="R181" s="63">
        <f t="shared" si="36"/>
        <v>12524936.614688</v>
      </c>
      <c r="S181" s="83">
        <f t="shared" si="37"/>
        <v>13116979.638383998</v>
      </c>
      <c r="T181" s="64">
        <f t="shared" si="38"/>
        <v>13659352.347359998</v>
      </c>
      <c r="U181" s="66">
        <f t="shared" si="39"/>
        <v>1181905.5334000001</v>
      </c>
      <c r="V181" s="63">
        <f t="shared" si="40"/>
        <v>1193724.625</v>
      </c>
      <c r="W181" s="83">
        <f t="shared" si="41"/>
        <v>1205661.7165999999</v>
      </c>
      <c r="X181" s="64">
        <f t="shared" si="42"/>
        <v>1211344</v>
      </c>
      <c r="Z181" s="67">
        <v>11831365.82</v>
      </c>
      <c r="AA181" s="68">
        <v>12794658.590399999</v>
      </c>
      <c r="AB181" s="69">
        <v>1187476</v>
      </c>
      <c r="AC181" s="70">
        <v>1199351</v>
      </c>
      <c r="AD181" s="67">
        <v>13242326.712599998</v>
      </c>
      <c r="AE181" s="68">
        <v>13821528.983099997</v>
      </c>
      <c r="AF181" s="69">
        <v>1211344</v>
      </c>
      <c r="AG181" s="70">
        <v>1211344</v>
      </c>
      <c r="AH181" s="70">
        <f t="shared" si="43"/>
        <v>10656586.4212</v>
      </c>
      <c r="AI181" s="70">
        <f t="shared" si="44"/>
        <v>12524936.614688</v>
      </c>
      <c r="AJ181" s="70">
        <f t="shared" si="45"/>
        <v>13116979.638383998</v>
      </c>
      <c r="AK181" s="70">
        <f t="shared" si="46"/>
        <v>13659352.347359998</v>
      </c>
      <c r="AL181" s="70">
        <f t="shared" si="47"/>
        <v>1181905.5334000001</v>
      </c>
      <c r="AM181" s="70">
        <f t="shared" si="48"/>
        <v>1193724.625</v>
      </c>
      <c r="AN181" s="70">
        <f t="shared" si="49"/>
        <v>1205661.7165999999</v>
      </c>
      <c r="AO181" s="70">
        <f t="shared" si="50"/>
        <v>1211344</v>
      </c>
    </row>
    <row r="182" spans="1:41">
      <c r="A182" s="29" t="s">
        <v>287</v>
      </c>
      <c r="B182" s="29" t="s">
        <v>774</v>
      </c>
      <c r="C182" s="107">
        <v>261258.13</v>
      </c>
      <c r="D182" s="108">
        <v>916740</v>
      </c>
      <c r="F182" s="107">
        <v>0</v>
      </c>
      <c r="G182" s="108">
        <v>975186</v>
      </c>
      <c r="I182" s="64">
        <v>0</v>
      </c>
      <c r="J182" s="83">
        <v>156518.49983333336</v>
      </c>
      <c r="K182" s="66">
        <v>975186</v>
      </c>
      <c r="L182" s="251">
        <v>971743</v>
      </c>
      <c r="M182" s="63">
        <v>110108.29500199998</v>
      </c>
      <c r="N182" s="64">
        <v>43058.035199999955</v>
      </c>
      <c r="O182" s="65">
        <v>971743</v>
      </c>
      <c r="P182" s="66">
        <v>971743</v>
      </c>
      <c r="Q182" s="66">
        <f t="shared" si="35"/>
        <v>73152.276400000002</v>
      </c>
      <c r="R182" s="63">
        <f t="shared" si="36"/>
        <v>112693.31988000002</v>
      </c>
      <c r="S182" s="83">
        <f t="shared" si="37"/>
        <v>123103.15235477334</v>
      </c>
      <c r="T182" s="64">
        <f t="shared" si="38"/>
        <v>61832.107944559961</v>
      </c>
      <c r="U182" s="66">
        <f t="shared" si="39"/>
        <v>947494.28520000004</v>
      </c>
      <c r="V182" s="63">
        <f t="shared" si="40"/>
        <v>973374.29340000008</v>
      </c>
      <c r="W182" s="83">
        <f t="shared" si="41"/>
        <v>971743</v>
      </c>
      <c r="X182" s="64">
        <f t="shared" si="42"/>
        <v>971743</v>
      </c>
      <c r="Z182" s="67">
        <v>0</v>
      </c>
      <c r="AA182" s="68">
        <v>156518.49983333336</v>
      </c>
      <c r="AB182" s="69">
        <v>975186</v>
      </c>
      <c r="AC182" s="70">
        <v>971743</v>
      </c>
      <c r="AD182" s="67">
        <v>110108.29500199998</v>
      </c>
      <c r="AE182" s="68">
        <v>43058.035199999955</v>
      </c>
      <c r="AF182" s="69">
        <v>971743</v>
      </c>
      <c r="AG182" s="70">
        <v>971743</v>
      </c>
      <c r="AH182" s="70">
        <f t="shared" si="43"/>
        <v>73152.276400000002</v>
      </c>
      <c r="AI182" s="70">
        <f t="shared" si="44"/>
        <v>112693.31988000002</v>
      </c>
      <c r="AJ182" s="70">
        <f t="shared" si="45"/>
        <v>123103.15235477334</v>
      </c>
      <c r="AK182" s="70">
        <f t="shared" si="46"/>
        <v>61832.107944559961</v>
      </c>
      <c r="AL182" s="70">
        <f t="shared" si="47"/>
        <v>947494.28520000004</v>
      </c>
      <c r="AM182" s="70">
        <f t="shared" si="48"/>
        <v>973374.29340000008</v>
      </c>
      <c r="AN182" s="70">
        <f t="shared" si="49"/>
        <v>971743</v>
      </c>
      <c r="AO182" s="70">
        <f t="shared" si="50"/>
        <v>971743</v>
      </c>
    </row>
    <row r="183" spans="1:41">
      <c r="A183" s="29" t="s">
        <v>483</v>
      </c>
      <c r="B183" s="29" t="s">
        <v>775</v>
      </c>
      <c r="C183" s="107">
        <v>40779.519999999997</v>
      </c>
      <c r="D183" s="108">
        <v>74255</v>
      </c>
      <c r="F183" s="107">
        <v>45114.79</v>
      </c>
      <c r="G183" s="108">
        <v>76060</v>
      </c>
      <c r="I183" s="64">
        <v>45114.79</v>
      </c>
      <c r="J183" s="83">
        <v>81290.143700000001</v>
      </c>
      <c r="K183" s="66">
        <v>76060</v>
      </c>
      <c r="L183" s="251">
        <v>77909</v>
      </c>
      <c r="M183" s="63">
        <v>82377.922200000001</v>
      </c>
      <c r="N183" s="64">
        <v>84107.855700000015</v>
      </c>
      <c r="O183" s="65">
        <v>79802</v>
      </c>
      <c r="P183" s="66">
        <v>79802</v>
      </c>
      <c r="Q183" s="66">
        <f t="shared" si="35"/>
        <v>43900.914400000001</v>
      </c>
      <c r="R183" s="63">
        <f t="shared" si="36"/>
        <v>71161.044664000001</v>
      </c>
      <c r="S183" s="83">
        <f t="shared" si="37"/>
        <v>82073.344219999999</v>
      </c>
      <c r="T183" s="64">
        <f t="shared" si="38"/>
        <v>83623.474320000008</v>
      </c>
      <c r="U183" s="66">
        <f t="shared" si="39"/>
        <v>75204.790999999997</v>
      </c>
      <c r="V183" s="63">
        <f t="shared" si="40"/>
        <v>77032.943800000008</v>
      </c>
      <c r="W183" s="83">
        <f t="shared" si="41"/>
        <v>78905.096600000004</v>
      </c>
      <c r="X183" s="64">
        <f t="shared" si="42"/>
        <v>79802</v>
      </c>
      <c r="Z183" s="67">
        <v>45114.79</v>
      </c>
      <c r="AA183" s="68">
        <v>81290.143700000001</v>
      </c>
      <c r="AB183" s="69">
        <v>76060</v>
      </c>
      <c r="AC183" s="70">
        <v>77909</v>
      </c>
      <c r="AD183" s="67">
        <v>82377.922200000001</v>
      </c>
      <c r="AE183" s="68">
        <v>84107.855700000015</v>
      </c>
      <c r="AF183" s="69">
        <v>79802</v>
      </c>
      <c r="AG183" s="70">
        <v>79802</v>
      </c>
      <c r="AH183" s="70">
        <f t="shared" si="43"/>
        <v>43900.914400000001</v>
      </c>
      <c r="AI183" s="70">
        <f t="shared" si="44"/>
        <v>71161.044664000001</v>
      </c>
      <c r="AJ183" s="70">
        <f t="shared" si="45"/>
        <v>82073.344219999999</v>
      </c>
      <c r="AK183" s="70">
        <f t="shared" si="46"/>
        <v>83623.474320000008</v>
      </c>
      <c r="AL183" s="70">
        <f t="shared" si="47"/>
        <v>75204.790999999997</v>
      </c>
      <c r="AM183" s="70">
        <f t="shared" si="48"/>
        <v>77032.943800000008</v>
      </c>
      <c r="AN183" s="70">
        <f t="shared" si="49"/>
        <v>78905.096600000004</v>
      </c>
      <c r="AO183" s="70">
        <f t="shared" si="50"/>
        <v>79802</v>
      </c>
    </row>
    <row r="184" spans="1:41">
      <c r="A184" s="29" t="s">
        <v>395</v>
      </c>
      <c r="B184" s="29" t="s">
        <v>932</v>
      </c>
      <c r="C184" s="107">
        <v>0</v>
      </c>
      <c r="D184" s="108">
        <v>2225000</v>
      </c>
      <c r="F184" s="107">
        <v>0</v>
      </c>
      <c r="G184" s="108">
        <v>2166643</v>
      </c>
      <c r="I184" s="64">
        <v>0</v>
      </c>
      <c r="J184" s="83">
        <v>0</v>
      </c>
      <c r="K184" s="66">
        <v>2166643</v>
      </c>
      <c r="L184" s="251">
        <v>2208076.1529999999</v>
      </c>
      <c r="M184" s="63">
        <v>0</v>
      </c>
      <c r="N184" s="64">
        <v>0</v>
      </c>
      <c r="O184" s="65">
        <v>2284599.5940999999</v>
      </c>
      <c r="P184" s="66">
        <v>2350000</v>
      </c>
      <c r="Q184" s="66">
        <f t="shared" si="35"/>
        <v>0</v>
      </c>
      <c r="R184" s="63">
        <f t="shared" si="36"/>
        <v>0</v>
      </c>
      <c r="S184" s="83">
        <f t="shared" si="37"/>
        <v>0</v>
      </c>
      <c r="T184" s="64">
        <f t="shared" si="38"/>
        <v>0</v>
      </c>
      <c r="U184" s="66">
        <f t="shared" si="39"/>
        <v>2194292.5466</v>
      </c>
      <c r="V184" s="63">
        <f t="shared" si="40"/>
        <v>2188445.1251085997</v>
      </c>
      <c r="W184" s="83">
        <f t="shared" si="41"/>
        <v>2248342.7877068198</v>
      </c>
      <c r="X184" s="64">
        <f t="shared" si="42"/>
        <v>2319013.2876845798</v>
      </c>
      <c r="Z184" s="67">
        <v>0</v>
      </c>
      <c r="AA184" s="68">
        <v>0</v>
      </c>
      <c r="AB184" s="69">
        <v>2166643</v>
      </c>
      <c r="AC184" s="70">
        <v>2274976.2113999999</v>
      </c>
      <c r="AD184" s="67">
        <v>0</v>
      </c>
      <c r="AE184" s="68">
        <v>0</v>
      </c>
      <c r="AF184" s="69">
        <v>2284599.5940999999</v>
      </c>
      <c r="AG184" s="70">
        <v>2350000</v>
      </c>
      <c r="AH184" s="70">
        <f t="shared" si="43"/>
        <v>0</v>
      </c>
      <c r="AI184" s="70">
        <f t="shared" si="44"/>
        <v>0</v>
      </c>
      <c r="AJ184" s="70">
        <f t="shared" si="45"/>
        <v>0</v>
      </c>
      <c r="AK184" s="70">
        <f t="shared" si="46"/>
        <v>0</v>
      </c>
      <c r="AL184" s="70">
        <f t="shared" si="47"/>
        <v>2194292.5466</v>
      </c>
      <c r="AM184" s="70">
        <f t="shared" si="48"/>
        <v>2223647.9358386798</v>
      </c>
      <c r="AN184" s="70">
        <f t="shared" si="49"/>
        <v>2280040.0353767397</v>
      </c>
      <c r="AO184" s="70">
        <f t="shared" si="50"/>
        <v>2319013.2876845798</v>
      </c>
    </row>
    <row r="185" spans="1:41">
      <c r="A185" s="29" t="s">
        <v>453</v>
      </c>
      <c r="B185" s="29" t="s">
        <v>881</v>
      </c>
      <c r="C185" s="107">
        <v>0</v>
      </c>
      <c r="D185" s="108">
        <v>125000</v>
      </c>
      <c r="F185" s="107">
        <v>0</v>
      </c>
      <c r="G185" s="108">
        <v>160000</v>
      </c>
      <c r="I185" s="64">
        <v>0</v>
      </c>
      <c r="J185" s="83">
        <v>51840.250746666672</v>
      </c>
      <c r="K185" s="66">
        <v>160000</v>
      </c>
      <c r="L185" s="251">
        <v>165000</v>
      </c>
      <c r="M185" s="63">
        <v>48566.061767999985</v>
      </c>
      <c r="N185" s="64">
        <v>44903.809650000003</v>
      </c>
      <c r="O185" s="65">
        <v>165000</v>
      </c>
      <c r="P185" s="66">
        <v>165000</v>
      </c>
      <c r="Q185" s="66">
        <f t="shared" si="35"/>
        <v>0</v>
      </c>
      <c r="R185" s="63">
        <f t="shared" si="36"/>
        <v>37324.9805376</v>
      </c>
      <c r="S185" s="83">
        <f t="shared" si="37"/>
        <v>49482.83468202666</v>
      </c>
      <c r="T185" s="64">
        <f t="shared" si="38"/>
        <v>45929.240243039996</v>
      </c>
      <c r="U185" s="66">
        <f t="shared" si="39"/>
        <v>143417</v>
      </c>
      <c r="V185" s="63">
        <f t="shared" si="40"/>
        <v>162631</v>
      </c>
      <c r="W185" s="83">
        <f t="shared" si="41"/>
        <v>165000</v>
      </c>
      <c r="X185" s="64">
        <f t="shared" si="42"/>
        <v>165000</v>
      </c>
      <c r="Z185" s="67">
        <v>0</v>
      </c>
      <c r="AA185" s="68">
        <v>51840.250746666672</v>
      </c>
      <c r="AB185" s="69">
        <v>160000</v>
      </c>
      <c r="AC185" s="70">
        <v>165000</v>
      </c>
      <c r="AD185" s="67">
        <v>48566.061767999985</v>
      </c>
      <c r="AE185" s="68">
        <v>44903.809650000003</v>
      </c>
      <c r="AF185" s="69">
        <v>165000</v>
      </c>
      <c r="AG185" s="70">
        <v>165000</v>
      </c>
      <c r="AH185" s="70">
        <f t="shared" si="43"/>
        <v>0</v>
      </c>
      <c r="AI185" s="70">
        <f t="shared" si="44"/>
        <v>37324.9805376</v>
      </c>
      <c r="AJ185" s="70">
        <f t="shared" si="45"/>
        <v>49482.83468202666</v>
      </c>
      <c r="AK185" s="70">
        <f t="shared" si="46"/>
        <v>45929.240243039996</v>
      </c>
      <c r="AL185" s="70">
        <f t="shared" si="47"/>
        <v>143417</v>
      </c>
      <c r="AM185" s="70">
        <f t="shared" si="48"/>
        <v>162631</v>
      </c>
      <c r="AN185" s="70">
        <f t="shared" si="49"/>
        <v>165000</v>
      </c>
      <c r="AO185" s="70">
        <f t="shared" si="50"/>
        <v>165000</v>
      </c>
    </row>
    <row r="186" spans="1:41">
      <c r="A186" s="29" t="s">
        <v>105</v>
      </c>
      <c r="B186" s="29" t="s">
        <v>776</v>
      </c>
      <c r="C186" s="107">
        <v>0</v>
      </c>
      <c r="D186" s="108">
        <v>60000</v>
      </c>
      <c r="F186" s="107">
        <v>0</v>
      </c>
      <c r="G186" s="108">
        <v>0</v>
      </c>
      <c r="I186" s="64">
        <v>0</v>
      </c>
      <c r="J186" s="83">
        <v>0</v>
      </c>
      <c r="K186" s="66">
        <v>0</v>
      </c>
      <c r="L186" s="251">
        <v>60000</v>
      </c>
      <c r="M186" s="63">
        <v>0</v>
      </c>
      <c r="N186" s="64">
        <v>0</v>
      </c>
      <c r="O186" s="65">
        <v>60000</v>
      </c>
      <c r="P186" s="66">
        <v>60000</v>
      </c>
      <c r="Q186" s="66">
        <f t="shared" si="35"/>
        <v>0</v>
      </c>
      <c r="R186" s="63">
        <f t="shared" si="36"/>
        <v>0</v>
      </c>
      <c r="S186" s="83">
        <f t="shared" si="37"/>
        <v>0</v>
      </c>
      <c r="T186" s="64">
        <f t="shared" si="38"/>
        <v>0</v>
      </c>
      <c r="U186" s="66">
        <f t="shared" si="39"/>
        <v>28428</v>
      </c>
      <c r="V186" s="63">
        <f t="shared" si="40"/>
        <v>31572</v>
      </c>
      <c r="W186" s="83">
        <f t="shared" si="41"/>
        <v>60000</v>
      </c>
      <c r="X186" s="64">
        <f t="shared" si="42"/>
        <v>60000</v>
      </c>
      <c r="Z186" s="67">
        <v>0</v>
      </c>
      <c r="AA186" s="68">
        <v>0</v>
      </c>
      <c r="AB186" s="69">
        <v>0</v>
      </c>
      <c r="AC186" s="70">
        <v>60000</v>
      </c>
      <c r="AD186" s="67">
        <v>0</v>
      </c>
      <c r="AE186" s="68">
        <v>0</v>
      </c>
      <c r="AF186" s="69">
        <v>60000</v>
      </c>
      <c r="AG186" s="70">
        <v>60000</v>
      </c>
      <c r="AH186" s="70">
        <f t="shared" si="43"/>
        <v>0</v>
      </c>
      <c r="AI186" s="70">
        <f t="shared" si="44"/>
        <v>0</v>
      </c>
      <c r="AJ186" s="70">
        <f t="shared" si="45"/>
        <v>0</v>
      </c>
      <c r="AK186" s="70">
        <f t="shared" si="46"/>
        <v>0</v>
      </c>
      <c r="AL186" s="70">
        <f t="shared" si="47"/>
        <v>28428</v>
      </c>
      <c r="AM186" s="70">
        <f t="shared" si="48"/>
        <v>31572</v>
      </c>
      <c r="AN186" s="70">
        <f t="shared" si="49"/>
        <v>60000</v>
      </c>
      <c r="AO186" s="70">
        <f t="shared" si="50"/>
        <v>60000</v>
      </c>
    </row>
    <row r="187" spans="1:41">
      <c r="A187" s="29" t="s">
        <v>89</v>
      </c>
      <c r="B187" s="29" t="s">
        <v>777</v>
      </c>
      <c r="C187" s="107">
        <v>0</v>
      </c>
      <c r="D187" s="108">
        <v>631250</v>
      </c>
      <c r="F187" s="107">
        <v>0</v>
      </c>
      <c r="G187" s="108">
        <v>648925</v>
      </c>
      <c r="I187" s="64">
        <v>0</v>
      </c>
      <c r="J187" s="83">
        <v>0</v>
      </c>
      <c r="K187" s="66">
        <v>648925</v>
      </c>
      <c r="L187" s="251">
        <v>648925</v>
      </c>
      <c r="M187" s="63">
        <v>0</v>
      </c>
      <c r="N187" s="64">
        <v>0</v>
      </c>
      <c r="O187" s="65">
        <v>648925</v>
      </c>
      <c r="P187" s="66">
        <v>648925</v>
      </c>
      <c r="Q187" s="66">
        <f t="shared" si="35"/>
        <v>0</v>
      </c>
      <c r="R187" s="63">
        <f t="shared" si="36"/>
        <v>0</v>
      </c>
      <c r="S187" s="83">
        <f t="shared" si="37"/>
        <v>0</v>
      </c>
      <c r="T187" s="64">
        <f t="shared" si="38"/>
        <v>0</v>
      </c>
      <c r="U187" s="66">
        <f t="shared" si="39"/>
        <v>640550.58499999996</v>
      </c>
      <c r="V187" s="63">
        <f t="shared" si="40"/>
        <v>648925</v>
      </c>
      <c r="W187" s="83">
        <f t="shared" si="41"/>
        <v>648925</v>
      </c>
      <c r="X187" s="64">
        <f t="shared" si="42"/>
        <v>648925</v>
      </c>
      <c r="Z187" s="67">
        <v>0</v>
      </c>
      <c r="AA187" s="68">
        <v>0</v>
      </c>
      <c r="AB187" s="69">
        <v>648925</v>
      </c>
      <c r="AC187" s="70">
        <v>648925</v>
      </c>
      <c r="AD187" s="67">
        <v>0</v>
      </c>
      <c r="AE187" s="68">
        <v>0</v>
      </c>
      <c r="AF187" s="69">
        <v>648925</v>
      </c>
      <c r="AG187" s="70">
        <v>648925</v>
      </c>
      <c r="AH187" s="70">
        <f t="shared" si="43"/>
        <v>0</v>
      </c>
      <c r="AI187" s="70">
        <f t="shared" si="44"/>
        <v>0</v>
      </c>
      <c r="AJ187" s="70">
        <f t="shared" si="45"/>
        <v>0</v>
      </c>
      <c r="AK187" s="70">
        <f t="shared" si="46"/>
        <v>0</v>
      </c>
      <c r="AL187" s="70">
        <f t="shared" si="47"/>
        <v>640550.58499999996</v>
      </c>
      <c r="AM187" s="70">
        <f t="shared" si="48"/>
        <v>648925</v>
      </c>
      <c r="AN187" s="70">
        <f t="shared" si="49"/>
        <v>648925</v>
      </c>
      <c r="AO187" s="70">
        <f t="shared" si="50"/>
        <v>648925</v>
      </c>
    </row>
    <row r="188" spans="1:41">
      <c r="A188" s="29" t="s">
        <v>341</v>
      </c>
      <c r="B188" s="29" t="s">
        <v>778</v>
      </c>
      <c r="C188" s="107">
        <v>99121.76</v>
      </c>
      <c r="D188" s="108">
        <v>1229600</v>
      </c>
      <c r="F188" s="107">
        <v>116231.74</v>
      </c>
      <c r="G188" s="108">
        <v>1229600</v>
      </c>
      <c r="I188" s="64">
        <v>68069.039999999994</v>
      </c>
      <c r="J188" s="83">
        <v>118903.03499999996</v>
      </c>
      <c r="K188" s="66">
        <v>1229600</v>
      </c>
      <c r="L188" s="251">
        <v>1229600</v>
      </c>
      <c r="M188" s="63">
        <v>148750.92059999998</v>
      </c>
      <c r="N188" s="64">
        <v>200237.2203000001</v>
      </c>
      <c r="O188" s="65">
        <v>1229600</v>
      </c>
      <c r="P188" s="66">
        <v>1229600</v>
      </c>
      <c r="Q188" s="66">
        <f t="shared" si="35"/>
        <v>76763.801599999992</v>
      </c>
      <c r="R188" s="63">
        <f t="shared" si="36"/>
        <v>104669.51639999996</v>
      </c>
      <c r="S188" s="83">
        <f t="shared" si="37"/>
        <v>140393.51263199997</v>
      </c>
      <c r="T188" s="64">
        <f t="shared" si="38"/>
        <v>185821.05638400005</v>
      </c>
      <c r="U188" s="66">
        <f t="shared" si="39"/>
        <v>1229600</v>
      </c>
      <c r="V188" s="63">
        <f t="shared" si="40"/>
        <v>1229600</v>
      </c>
      <c r="W188" s="83">
        <f t="shared" si="41"/>
        <v>1229600</v>
      </c>
      <c r="X188" s="64">
        <f t="shared" si="42"/>
        <v>1229600</v>
      </c>
      <c r="Z188" s="67">
        <v>116231.74</v>
      </c>
      <c r="AA188" s="68">
        <v>159899.80819999991</v>
      </c>
      <c r="AB188" s="69">
        <v>1229600</v>
      </c>
      <c r="AC188" s="70">
        <v>1229600</v>
      </c>
      <c r="AD188" s="67">
        <v>148750.92059999998</v>
      </c>
      <c r="AE188" s="68">
        <v>200237.2203000001</v>
      </c>
      <c r="AF188" s="69">
        <v>1229600</v>
      </c>
      <c r="AG188" s="70">
        <v>1229600</v>
      </c>
      <c r="AH188" s="70">
        <f t="shared" si="43"/>
        <v>111440.94560000001</v>
      </c>
      <c r="AI188" s="70">
        <f t="shared" si="44"/>
        <v>147672.74910399993</v>
      </c>
      <c r="AJ188" s="70">
        <f t="shared" si="45"/>
        <v>151872.60912799998</v>
      </c>
      <c r="AK188" s="70">
        <f t="shared" si="46"/>
        <v>185821.05638400005</v>
      </c>
      <c r="AL188" s="70">
        <f t="shared" si="47"/>
        <v>1229600</v>
      </c>
      <c r="AM188" s="70">
        <f t="shared" si="48"/>
        <v>1229600</v>
      </c>
      <c r="AN188" s="70">
        <f t="shared" si="49"/>
        <v>1229600</v>
      </c>
      <c r="AO188" s="70">
        <f t="shared" si="50"/>
        <v>1229600</v>
      </c>
    </row>
    <row r="189" spans="1:41">
      <c r="A189" s="29" t="s">
        <v>375</v>
      </c>
      <c r="B189" s="29" t="s">
        <v>779</v>
      </c>
      <c r="C189" s="107">
        <v>1201551.22</v>
      </c>
      <c r="D189" s="108">
        <v>3900000</v>
      </c>
      <c r="F189" s="107">
        <v>610808.1</v>
      </c>
      <c r="G189" s="108">
        <v>4100000</v>
      </c>
      <c r="I189" s="64">
        <v>325350.64</v>
      </c>
      <c r="J189" s="83">
        <v>424283.03399999999</v>
      </c>
      <c r="K189" s="66">
        <v>4100000</v>
      </c>
      <c r="L189" s="251">
        <v>4100000</v>
      </c>
      <c r="M189" s="63">
        <v>160012.70508800037</v>
      </c>
      <c r="N189" s="64">
        <v>0</v>
      </c>
      <c r="O189" s="65">
        <v>4100000</v>
      </c>
      <c r="P189" s="66">
        <v>4100000</v>
      </c>
      <c r="Q189" s="66">
        <f t="shared" si="35"/>
        <v>570686.80240000004</v>
      </c>
      <c r="R189" s="63">
        <f t="shared" si="36"/>
        <v>396581.96367999999</v>
      </c>
      <c r="S189" s="83">
        <f t="shared" si="37"/>
        <v>234008.39718336027</v>
      </c>
      <c r="T189" s="64">
        <f t="shared" si="38"/>
        <v>44803.557424640108</v>
      </c>
      <c r="U189" s="66">
        <f t="shared" si="39"/>
        <v>4005240</v>
      </c>
      <c r="V189" s="63">
        <f t="shared" si="40"/>
        <v>4100000</v>
      </c>
      <c r="W189" s="83">
        <f t="shared" si="41"/>
        <v>4100000</v>
      </c>
      <c r="X189" s="64">
        <f t="shared" si="42"/>
        <v>4100000</v>
      </c>
      <c r="Z189" s="67">
        <v>610808.1</v>
      </c>
      <c r="AA189" s="68">
        <v>678310.26689999981</v>
      </c>
      <c r="AB189" s="69">
        <v>4100000</v>
      </c>
      <c r="AC189" s="70">
        <v>4100000</v>
      </c>
      <c r="AD189" s="67">
        <v>160012.70508800037</v>
      </c>
      <c r="AE189" s="68">
        <v>0</v>
      </c>
      <c r="AF189" s="69">
        <v>4100000</v>
      </c>
      <c r="AG189" s="70">
        <v>4100000</v>
      </c>
      <c r="AH189" s="70">
        <f t="shared" si="43"/>
        <v>776216.1736000001</v>
      </c>
      <c r="AI189" s="70">
        <f t="shared" si="44"/>
        <v>659409.66016799991</v>
      </c>
      <c r="AJ189" s="70">
        <f t="shared" si="45"/>
        <v>305136.02239536023</v>
      </c>
      <c r="AK189" s="70">
        <f t="shared" si="46"/>
        <v>44803.557424640108</v>
      </c>
      <c r="AL189" s="70">
        <f t="shared" si="47"/>
        <v>4005240</v>
      </c>
      <c r="AM189" s="70">
        <f t="shared" si="48"/>
        <v>4100000</v>
      </c>
      <c r="AN189" s="70">
        <f t="shared" si="49"/>
        <v>4100000</v>
      </c>
      <c r="AO189" s="70">
        <f t="shared" si="50"/>
        <v>4100000</v>
      </c>
    </row>
    <row r="190" spans="1:41">
      <c r="A190" s="29" t="s">
        <v>7</v>
      </c>
      <c r="B190" s="29" t="s">
        <v>780</v>
      </c>
      <c r="C190" s="107">
        <v>5064278.5599999996</v>
      </c>
      <c r="D190" s="108">
        <v>2350000</v>
      </c>
      <c r="F190" s="107">
        <v>5228075.5599999996</v>
      </c>
      <c r="G190" s="108">
        <v>2435000</v>
      </c>
      <c r="I190" s="64">
        <v>5203918.09</v>
      </c>
      <c r="J190" s="83">
        <v>5566198.864599999</v>
      </c>
      <c r="K190" s="66">
        <v>2435000</v>
      </c>
      <c r="L190" s="251">
        <v>2560000</v>
      </c>
      <c r="M190" s="63">
        <v>5527409.6712099994</v>
      </c>
      <c r="N190" s="64">
        <v>5441801.0538600003</v>
      </c>
      <c r="O190" s="65">
        <v>2560000</v>
      </c>
      <c r="P190" s="66">
        <v>2560000</v>
      </c>
      <c r="Q190" s="66">
        <f t="shared" si="35"/>
        <v>5164819.0215999996</v>
      </c>
      <c r="R190" s="63">
        <f t="shared" si="36"/>
        <v>5464760.2477119993</v>
      </c>
      <c r="S190" s="83">
        <f t="shared" si="37"/>
        <v>5538270.6453591995</v>
      </c>
      <c r="T190" s="64">
        <f t="shared" si="38"/>
        <v>5465771.4667180004</v>
      </c>
      <c r="U190" s="66">
        <f t="shared" si="39"/>
        <v>2394727</v>
      </c>
      <c r="V190" s="63">
        <f t="shared" si="40"/>
        <v>2500775</v>
      </c>
      <c r="W190" s="83">
        <f t="shared" si="41"/>
        <v>2560000</v>
      </c>
      <c r="X190" s="64">
        <f t="shared" si="42"/>
        <v>2560000</v>
      </c>
      <c r="Z190" s="67">
        <v>5228075.5599999996</v>
      </c>
      <c r="AA190" s="68">
        <v>5566198.864599999</v>
      </c>
      <c r="AB190" s="69">
        <v>2435000</v>
      </c>
      <c r="AC190" s="70">
        <v>2560000</v>
      </c>
      <c r="AD190" s="67">
        <v>5527409.6712099994</v>
      </c>
      <c r="AE190" s="68">
        <v>5441801.0538600003</v>
      </c>
      <c r="AF190" s="69">
        <v>2560000</v>
      </c>
      <c r="AG190" s="70">
        <v>2560000</v>
      </c>
      <c r="AH190" s="70">
        <f t="shared" si="43"/>
        <v>5182212.3999999994</v>
      </c>
      <c r="AI190" s="70">
        <f t="shared" si="44"/>
        <v>5471524.3393119993</v>
      </c>
      <c r="AJ190" s="70">
        <f t="shared" si="45"/>
        <v>5538270.6453591995</v>
      </c>
      <c r="AK190" s="70">
        <f t="shared" si="46"/>
        <v>5465771.4667180004</v>
      </c>
      <c r="AL190" s="70">
        <f t="shared" si="47"/>
        <v>2394727</v>
      </c>
      <c r="AM190" s="70">
        <f t="shared" si="48"/>
        <v>2500775</v>
      </c>
      <c r="AN190" s="70">
        <f t="shared" si="49"/>
        <v>2560000</v>
      </c>
      <c r="AO190" s="70">
        <f t="shared" si="50"/>
        <v>2560000</v>
      </c>
    </row>
    <row r="191" spans="1:41">
      <c r="A191" s="29" t="s">
        <v>93</v>
      </c>
      <c r="B191" s="29" t="s">
        <v>781</v>
      </c>
      <c r="C191" s="107">
        <v>0</v>
      </c>
      <c r="D191" s="108">
        <v>151980</v>
      </c>
      <c r="F191" s="107">
        <v>0</v>
      </c>
      <c r="G191" s="108">
        <v>151980</v>
      </c>
      <c r="I191" s="64">
        <v>0</v>
      </c>
      <c r="J191" s="83">
        <v>0</v>
      </c>
      <c r="K191" s="66">
        <v>151980</v>
      </c>
      <c r="L191" s="251">
        <v>151980</v>
      </c>
      <c r="M191" s="63">
        <v>0</v>
      </c>
      <c r="N191" s="64">
        <v>0</v>
      </c>
      <c r="O191" s="65">
        <v>151980</v>
      </c>
      <c r="P191" s="66">
        <v>151980</v>
      </c>
      <c r="Q191" s="66">
        <f t="shared" si="35"/>
        <v>0</v>
      </c>
      <c r="R191" s="63">
        <f t="shared" si="36"/>
        <v>0</v>
      </c>
      <c r="S191" s="83">
        <f t="shared" si="37"/>
        <v>0</v>
      </c>
      <c r="T191" s="64">
        <f t="shared" si="38"/>
        <v>0</v>
      </c>
      <c r="U191" s="66">
        <f t="shared" si="39"/>
        <v>151980</v>
      </c>
      <c r="V191" s="63">
        <f t="shared" si="40"/>
        <v>151980</v>
      </c>
      <c r="W191" s="83">
        <f t="shared" si="41"/>
        <v>151980</v>
      </c>
      <c r="X191" s="64">
        <f t="shared" si="42"/>
        <v>151980</v>
      </c>
      <c r="Z191" s="67">
        <v>0</v>
      </c>
      <c r="AA191" s="68">
        <v>0</v>
      </c>
      <c r="AB191" s="69">
        <v>151980</v>
      </c>
      <c r="AC191" s="70">
        <v>151980</v>
      </c>
      <c r="AD191" s="67">
        <v>0</v>
      </c>
      <c r="AE191" s="68">
        <v>0</v>
      </c>
      <c r="AF191" s="69">
        <v>151980</v>
      </c>
      <c r="AG191" s="70">
        <v>151980</v>
      </c>
      <c r="AH191" s="70">
        <f t="shared" si="43"/>
        <v>0</v>
      </c>
      <c r="AI191" s="70">
        <f t="shared" si="44"/>
        <v>0</v>
      </c>
      <c r="AJ191" s="70">
        <f t="shared" si="45"/>
        <v>0</v>
      </c>
      <c r="AK191" s="70">
        <f t="shared" si="46"/>
        <v>0</v>
      </c>
      <c r="AL191" s="70">
        <f t="shared" si="47"/>
        <v>151980</v>
      </c>
      <c r="AM191" s="70">
        <f t="shared" si="48"/>
        <v>151980</v>
      </c>
      <c r="AN191" s="70">
        <f t="shared" si="49"/>
        <v>151980</v>
      </c>
      <c r="AO191" s="70">
        <f t="shared" si="50"/>
        <v>151980</v>
      </c>
    </row>
    <row r="192" spans="1:41">
      <c r="A192" s="29" t="s">
        <v>565</v>
      </c>
      <c r="B192" s="29" t="s">
        <v>876</v>
      </c>
      <c r="C192" s="107">
        <v>63416.52</v>
      </c>
      <c r="D192" s="108">
        <v>378837</v>
      </c>
      <c r="F192" s="107">
        <v>74482.7</v>
      </c>
      <c r="G192" s="108">
        <v>441603</v>
      </c>
      <c r="I192" s="64">
        <v>38111.15</v>
      </c>
      <c r="J192" s="83">
        <v>35079.303099999976</v>
      </c>
      <c r="K192" s="66">
        <v>441603</v>
      </c>
      <c r="L192" s="251">
        <v>419326.9</v>
      </c>
      <c r="M192" s="63">
        <v>31622.528999999995</v>
      </c>
      <c r="N192" s="64">
        <v>21577.16130000004</v>
      </c>
      <c r="O192" s="65">
        <v>441603</v>
      </c>
      <c r="P192" s="66">
        <v>441603</v>
      </c>
      <c r="Q192" s="66">
        <f t="shared" si="35"/>
        <v>45196.653599999998</v>
      </c>
      <c r="R192" s="63">
        <f t="shared" si="36"/>
        <v>35928.220231999985</v>
      </c>
      <c r="S192" s="83">
        <f t="shared" si="37"/>
        <v>32590.425747999991</v>
      </c>
      <c r="T192" s="64">
        <f t="shared" si="38"/>
        <v>24389.86425600003</v>
      </c>
      <c r="U192" s="66">
        <f t="shared" si="39"/>
        <v>411864.46919999999</v>
      </c>
      <c r="V192" s="63">
        <f t="shared" si="40"/>
        <v>429881.31618000002</v>
      </c>
      <c r="W192" s="83">
        <f t="shared" si="41"/>
        <v>431048.58382</v>
      </c>
      <c r="X192" s="64">
        <f t="shared" si="42"/>
        <v>441603</v>
      </c>
      <c r="Z192" s="67">
        <v>74482.7</v>
      </c>
      <c r="AA192" s="68">
        <v>70374.185399999944</v>
      </c>
      <c r="AB192" s="69">
        <v>441603</v>
      </c>
      <c r="AC192" s="70">
        <v>419326.9</v>
      </c>
      <c r="AD192" s="67">
        <v>31622.528999999995</v>
      </c>
      <c r="AE192" s="68">
        <v>21577.16130000004</v>
      </c>
      <c r="AF192" s="69">
        <v>441603</v>
      </c>
      <c r="AG192" s="70">
        <v>441603</v>
      </c>
      <c r="AH192" s="70">
        <f t="shared" si="43"/>
        <v>71384.169599999994</v>
      </c>
      <c r="AI192" s="70">
        <f t="shared" si="44"/>
        <v>71524.56948799995</v>
      </c>
      <c r="AJ192" s="70">
        <f t="shared" si="45"/>
        <v>42472.992791999983</v>
      </c>
      <c r="AK192" s="70">
        <f t="shared" si="46"/>
        <v>24389.86425600003</v>
      </c>
      <c r="AL192" s="70">
        <f t="shared" si="47"/>
        <v>411864.46919999999</v>
      </c>
      <c r="AM192" s="70">
        <f t="shared" si="48"/>
        <v>429881.31618000002</v>
      </c>
      <c r="AN192" s="70">
        <f t="shared" si="49"/>
        <v>431048.58382</v>
      </c>
      <c r="AO192" s="70">
        <f t="shared" si="50"/>
        <v>441603</v>
      </c>
    </row>
    <row r="193" spans="1:41">
      <c r="A193" s="29" t="s">
        <v>111</v>
      </c>
      <c r="B193" s="29" t="s">
        <v>782</v>
      </c>
      <c r="C193" s="107">
        <v>16774148.68</v>
      </c>
      <c r="D193" s="108">
        <v>13218439</v>
      </c>
      <c r="F193" s="107">
        <v>15440768.119999999</v>
      </c>
      <c r="G193" s="108">
        <v>14804651</v>
      </c>
      <c r="I193" s="64">
        <v>14908426.210000001</v>
      </c>
      <c r="J193" s="83">
        <v>14197409.553844001</v>
      </c>
      <c r="K193" s="66">
        <v>14804651</v>
      </c>
      <c r="L193" s="251">
        <v>14804651</v>
      </c>
      <c r="M193" s="63">
        <v>12053810.215919999</v>
      </c>
      <c r="N193" s="64">
        <v>9663220.4216100015</v>
      </c>
      <c r="O193" s="65">
        <v>14804651</v>
      </c>
      <c r="P193" s="66">
        <v>14804651</v>
      </c>
      <c r="Q193" s="66">
        <f t="shared" si="35"/>
        <v>15430828.501600001</v>
      </c>
      <c r="R193" s="63">
        <f t="shared" si="36"/>
        <v>14396494.21756768</v>
      </c>
      <c r="S193" s="83">
        <f t="shared" si="37"/>
        <v>12654018.030538719</v>
      </c>
      <c r="T193" s="64">
        <f t="shared" si="38"/>
        <v>10332585.5640168</v>
      </c>
      <c r="U193" s="66">
        <f t="shared" si="39"/>
        <v>14053103.7544</v>
      </c>
      <c r="V193" s="63">
        <f t="shared" si="40"/>
        <v>14804651</v>
      </c>
      <c r="W193" s="83">
        <f t="shared" si="41"/>
        <v>14804651</v>
      </c>
      <c r="X193" s="64">
        <f t="shared" si="42"/>
        <v>14804651</v>
      </c>
      <c r="Z193" s="67">
        <v>15440768.119999999</v>
      </c>
      <c r="AA193" s="68">
        <v>14417945.667729335</v>
      </c>
      <c r="AB193" s="69">
        <v>14804651</v>
      </c>
      <c r="AC193" s="70">
        <v>14804651</v>
      </c>
      <c r="AD193" s="67">
        <v>12053810.215919999</v>
      </c>
      <c r="AE193" s="68">
        <v>9663220.4216100015</v>
      </c>
      <c r="AF193" s="69">
        <v>14804651</v>
      </c>
      <c r="AG193" s="70">
        <v>14804651</v>
      </c>
      <c r="AH193" s="70">
        <f t="shared" si="43"/>
        <v>15814114.6768</v>
      </c>
      <c r="AI193" s="70">
        <f t="shared" si="44"/>
        <v>14704335.954365121</v>
      </c>
      <c r="AJ193" s="70">
        <f t="shared" si="45"/>
        <v>12715768.142426612</v>
      </c>
      <c r="AK193" s="70">
        <f t="shared" si="46"/>
        <v>10332585.5640168</v>
      </c>
      <c r="AL193" s="70">
        <f t="shared" si="47"/>
        <v>14053103.7544</v>
      </c>
      <c r="AM193" s="70">
        <f t="shared" si="48"/>
        <v>14804651</v>
      </c>
      <c r="AN193" s="70">
        <f t="shared" si="49"/>
        <v>14804651</v>
      </c>
      <c r="AO193" s="70">
        <f t="shared" si="50"/>
        <v>14804651</v>
      </c>
    </row>
    <row r="194" spans="1:41">
      <c r="A194" s="29" t="s">
        <v>335</v>
      </c>
      <c r="B194" s="29" t="s">
        <v>783</v>
      </c>
      <c r="C194" s="107">
        <v>156282.39000000001</v>
      </c>
      <c r="D194" s="108">
        <v>325000</v>
      </c>
      <c r="F194" s="107">
        <v>142736.20000000001</v>
      </c>
      <c r="G194" s="108">
        <v>664000</v>
      </c>
      <c r="I194" s="64">
        <v>129625.53</v>
      </c>
      <c r="J194" s="83">
        <v>173084.55869999999</v>
      </c>
      <c r="K194" s="66">
        <v>664000</v>
      </c>
      <c r="L194" s="251">
        <v>597095.11499999999</v>
      </c>
      <c r="M194" s="63">
        <v>183249.92669999998</v>
      </c>
      <c r="N194" s="64">
        <v>203689.01640000008</v>
      </c>
      <c r="O194" s="65">
        <v>610839.35</v>
      </c>
      <c r="P194" s="66">
        <v>613088.6</v>
      </c>
      <c r="Q194" s="66">
        <f t="shared" si="35"/>
        <v>137089.45079999999</v>
      </c>
      <c r="R194" s="63">
        <f t="shared" si="36"/>
        <v>160916.03066399999</v>
      </c>
      <c r="S194" s="83">
        <f t="shared" si="37"/>
        <v>180403.62365999998</v>
      </c>
      <c r="T194" s="64">
        <f t="shared" si="38"/>
        <v>197966.07128400006</v>
      </c>
      <c r="U194" s="66">
        <f t="shared" si="39"/>
        <v>503381.8</v>
      </c>
      <c r="V194" s="63">
        <f t="shared" si="40"/>
        <v>628794.64951299992</v>
      </c>
      <c r="W194" s="83">
        <f t="shared" si="41"/>
        <v>604327.33145699999</v>
      </c>
      <c r="X194" s="64">
        <f t="shared" si="42"/>
        <v>612022.90535000002</v>
      </c>
      <c r="Z194" s="67">
        <v>142736.20000000001</v>
      </c>
      <c r="AA194" s="68">
        <v>181486.41040000002</v>
      </c>
      <c r="AB194" s="69">
        <v>664000</v>
      </c>
      <c r="AC194" s="70">
        <v>597095.11499999999</v>
      </c>
      <c r="AD194" s="67">
        <v>183249.92669999998</v>
      </c>
      <c r="AE194" s="68">
        <v>203689.01640000008</v>
      </c>
      <c r="AF194" s="69">
        <v>610839.35</v>
      </c>
      <c r="AG194" s="70">
        <v>613088.6</v>
      </c>
      <c r="AH194" s="70">
        <f t="shared" si="43"/>
        <v>146529.13320000001</v>
      </c>
      <c r="AI194" s="70">
        <f t="shared" si="44"/>
        <v>170636.35148800001</v>
      </c>
      <c r="AJ194" s="70">
        <f t="shared" si="45"/>
        <v>182756.14213599998</v>
      </c>
      <c r="AK194" s="70">
        <f t="shared" si="46"/>
        <v>197966.07128400006</v>
      </c>
      <c r="AL194" s="70">
        <f t="shared" si="47"/>
        <v>503381.8</v>
      </c>
      <c r="AM194" s="70">
        <f t="shared" si="48"/>
        <v>628794.64951299992</v>
      </c>
      <c r="AN194" s="70">
        <f t="shared" si="49"/>
        <v>604327.33145699999</v>
      </c>
      <c r="AO194" s="70">
        <f t="shared" si="50"/>
        <v>612022.90535000002</v>
      </c>
    </row>
    <row r="195" spans="1:41">
      <c r="A195" s="29" t="s">
        <v>19</v>
      </c>
      <c r="B195" s="29" t="s">
        <v>908</v>
      </c>
      <c r="C195" s="107">
        <v>0</v>
      </c>
      <c r="D195" s="108">
        <v>335521</v>
      </c>
      <c r="F195" s="107">
        <v>0</v>
      </c>
      <c r="G195" s="108">
        <v>364314</v>
      </c>
      <c r="I195" s="64">
        <v>0</v>
      </c>
      <c r="J195" s="83">
        <v>0</v>
      </c>
      <c r="K195" s="66">
        <v>364314</v>
      </c>
      <c r="L195" s="251">
        <v>355497</v>
      </c>
      <c r="M195" s="63">
        <v>0</v>
      </c>
      <c r="N195" s="64">
        <v>0</v>
      </c>
      <c r="O195" s="65">
        <v>355497</v>
      </c>
      <c r="P195" s="66">
        <v>355497</v>
      </c>
      <c r="Q195" s="66">
        <f t="shared" si="35"/>
        <v>0</v>
      </c>
      <c r="R195" s="63">
        <f t="shared" si="36"/>
        <v>0</v>
      </c>
      <c r="S195" s="83">
        <f t="shared" si="37"/>
        <v>0</v>
      </c>
      <c r="T195" s="64">
        <f t="shared" si="38"/>
        <v>0</v>
      </c>
      <c r="U195" s="66">
        <f t="shared" si="39"/>
        <v>350671.87659999996</v>
      </c>
      <c r="V195" s="63">
        <f t="shared" si="40"/>
        <v>359674.49459999998</v>
      </c>
      <c r="W195" s="83">
        <f t="shared" si="41"/>
        <v>355497</v>
      </c>
      <c r="X195" s="64">
        <f t="shared" si="42"/>
        <v>355497</v>
      </c>
      <c r="Z195" s="67">
        <v>0</v>
      </c>
      <c r="AA195" s="68">
        <v>0</v>
      </c>
      <c r="AB195" s="69">
        <v>364314</v>
      </c>
      <c r="AC195" s="70">
        <v>355497</v>
      </c>
      <c r="AD195" s="67">
        <v>0</v>
      </c>
      <c r="AE195" s="68">
        <v>0</v>
      </c>
      <c r="AF195" s="69">
        <v>355497</v>
      </c>
      <c r="AG195" s="70">
        <v>355497</v>
      </c>
      <c r="AH195" s="70">
        <f t="shared" si="43"/>
        <v>0</v>
      </c>
      <c r="AI195" s="70">
        <f t="shared" si="44"/>
        <v>0</v>
      </c>
      <c r="AJ195" s="70">
        <f t="shared" si="45"/>
        <v>0</v>
      </c>
      <c r="AK195" s="70">
        <f t="shared" si="46"/>
        <v>0</v>
      </c>
      <c r="AL195" s="70">
        <f t="shared" si="47"/>
        <v>350671.87659999996</v>
      </c>
      <c r="AM195" s="70">
        <f t="shared" si="48"/>
        <v>359674.49459999998</v>
      </c>
      <c r="AN195" s="70">
        <f t="shared" si="49"/>
        <v>355497</v>
      </c>
      <c r="AO195" s="70">
        <f t="shared" si="50"/>
        <v>355497</v>
      </c>
    </row>
    <row r="196" spans="1:41">
      <c r="A196" s="29" t="s">
        <v>289</v>
      </c>
      <c r="B196" s="29" t="s">
        <v>784</v>
      </c>
      <c r="C196" s="107">
        <v>30046.880000000001</v>
      </c>
      <c r="D196" s="108">
        <v>350000</v>
      </c>
      <c r="F196" s="107">
        <v>8456.35</v>
      </c>
      <c r="G196" s="108">
        <v>350018</v>
      </c>
      <c r="I196" s="64">
        <v>5481.78</v>
      </c>
      <c r="J196" s="83">
        <v>15762.794468666631</v>
      </c>
      <c r="K196" s="66">
        <v>350018</v>
      </c>
      <c r="L196" s="251">
        <v>350000</v>
      </c>
      <c r="M196" s="63">
        <v>0</v>
      </c>
      <c r="N196" s="64">
        <v>0</v>
      </c>
      <c r="O196" s="65">
        <v>350000</v>
      </c>
      <c r="P196" s="66">
        <v>350000</v>
      </c>
      <c r="Q196" s="66">
        <f t="shared" si="35"/>
        <v>12360.008000000002</v>
      </c>
      <c r="R196" s="63">
        <f t="shared" si="36"/>
        <v>12884.110417439973</v>
      </c>
      <c r="S196" s="83">
        <f t="shared" si="37"/>
        <v>4413.5824512266572</v>
      </c>
      <c r="T196" s="64">
        <f t="shared" si="38"/>
        <v>0</v>
      </c>
      <c r="U196" s="66">
        <f t="shared" si="39"/>
        <v>350009.47159999999</v>
      </c>
      <c r="V196" s="63">
        <f t="shared" si="40"/>
        <v>350008.52840000001</v>
      </c>
      <c r="W196" s="83">
        <f t="shared" si="41"/>
        <v>350000</v>
      </c>
      <c r="X196" s="64">
        <f t="shared" si="42"/>
        <v>350000</v>
      </c>
      <c r="Z196" s="67">
        <v>8456.35</v>
      </c>
      <c r="AA196" s="68">
        <v>15762.794468666631</v>
      </c>
      <c r="AB196" s="69">
        <v>350018</v>
      </c>
      <c r="AC196" s="70">
        <v>350000</v>
      </c>
      <c r="AD196" s="67">
        <v>0</v>
      </c>
      <c r="AE196" s="68">
        <v>0</v>
      </c>
      <c r="AF196" s="69">
        <v>350000</v>
      </c>
      <c r="AG196" s="70">
        <v>350000</v>
      </c>
      <c r="AH196" s="70">
        <f t="shared" si="43"/>
        <v>14501.698400000001</v>
      </c>
      <c r="AI196" s="70">
        <f t="shared" si="44"/>
        <v>13716.990017439974</v>
      </c>
      <c r="AJ196" s="70">
        <f t="shared" si="45"/>
        <v>4413.5824512266572</v>
      </c>
      <c r="AK196" s="70">
        <f t="shared" si="46"/>
        <v>0</v>
      </c>
      <c r="AL196" s="70">
        <f t="shared" si="47"/>
        <v>350009.47159999999</v>
      </c>
      <c r="AM196" s="70">
        <f t="shared" si="48"/>
        <v>350008.52840000001</v>
      </c>
      <c r="AN196" s="70">
        <f t="shared" si="49"/>
        <v>350000</v>
      </c>
      <c r="AO196" s="70">
        <f t="shared" si="50"/>
        <v>350000</v>
      </c>
    </row>
    <row r="197" spans="1:41">
      <c r="A197" s="29" t="s">
        <v>379</v>
      </c>
      <c r="B197" s="29" t="s">
        <v>785</v>
      </c>
      <c r="C197" s="107">
        <v>0</v>
      </c>
      <c r="D197" s="108">
        <v>25140000</v>
      </c>
      <c r="F197" s="107">
        <v>0</v>
      </c>
      <c r="G197" s="108">
        <v>26900000</v>
      </c>
      <c r="I197" s="64">
        <v>0</v>
      </c>
      <c r="J197" s="83">
        <v>0</v>
      </c>
      <c r="K197" s="66">
        <v>26900000</v>
      </c>
      <c r="L197" s="251">
        <v>24416909.266400002</v>
      </c>
      <c r="M197" s="63">
        <v>0</v>
      </c>
      <c r="N197" s="64">
        <v>0</v>
      </c>
      <c r="O197" s="65">
        <v>25263120.005000003</v>
      </c>
      <c r="P197" s="66">
        <v>26263973.635899998</v>
      </c>
      <c r="Q197" s="66">
        <f t="shared" si="35"/>
        <v>0</v>
      </c>
      <c r="R197" s="63">
        <f t="shared" si="36"/>
        <v>0</v>
      </c>
      <c r="S197" s="83">
        <f t="shared" si="37"/>
        <v>0</v>
      </c>
      <c r="T197" s="64">
        <f t="shared" si="38"/>
        <v>0</v>
      </c>
      <c r="U197" s="66">
        <f t="shared" si="39"/>
        <v>26066112</v>
      </c>
      <c r="V197" s="63">
        <f t="shared" si="40"/>
        <v>25593397.655979682</v>
      </c>
      <c r="W197" s="83">
        <f t="shared" si="41"/>
        <v>24862185.35705132</v>
      </c>
      <c r="X197" s="64">
        <f t="shared" si="42"/>
        <v>25789769.185579579</v>
      </c>
      <c r="Z197" s="67">
        <v>0</v>
      </c>
      <c r="AA197" s="68">
        <v>0</v>
      </c>
      <c r="AB197" s="69">
        <v>26900000</v>
      </c>
      <c r="AC197" s="70">
        <v>26596083.672999997</v>
      </c>
      <c r="AD197" s="67">
        <v>0</v>
      </c>
      <c r="AE197" s="68">
        <v>0</v>
      </c>
      <c r="AF197" s="69">
        <v>25263120.005000003</v>
      </c>
      <c r="AG197" s="70">
        <v>26263973.635899998</v>
      </c>
      <c r="AH197" s="70">
        <f t="shared" si="43"/>
        <v>0</v>
      </c>
      <c r="AI197" s="70">
        <f t="shared" si="44"/>
        <v>0</v>
      </c>
      <c r="AJ197" s="70">
        <f t="shared" si="45"/>
        <v>0</v>
      </c>
      <c r="AK197" s="70">
        <f t="shared" si="46"/>
        <v>0</v>
      </c>
      <c r="AL197" s="70">
        <f t="shared" si="47"/>
        <v>26066112</v>
      </c>
      <c r="AM197" s="70">
        <f t="shared" si="48"/>
        <v>26740079.228732601</v>
      </c>
      <c r="AN197" s="70">
        <f t="shared" si="49"/>
        <v>25894678.1908984</v>
      </c>
      <c r="AO197" s="70">
        <f t="shared" si="50"/>
        <v>25789769.185579579</v>
      </c>
    </row>
    <row r="198" spans="1:41">
      <c r="A198" s="29" t="s">
        <v>321</v>
      </c>
      <c r="B198" s="29" t="s">
        <v>786</v>
      </c>
      <c r="C198" s="107">
        <v>0</v>
      </c>
      <c r="D198" s="108">
        <v>2641258</v>
      </c>
      <c r="F198" s="107">
        <v>0</v>
      </c>
      <c r="G198" s="108">
        <v>2727137</v>
      </c>
      <c r="I198" s="64">
        <v>0</v>
      </c>
      <c r="J198" s="83">
        <v>0</v>
      </c>
      <c r="K198" s="66">
        <v>2727137</v>
      </c>
      <c r="L198" s="251">
        <v>2802110</v>
      </c>
      <c r="M198" s="63">
        <v>0</v>
      </c>
      <c r="N198" s="64">
        <v>0</v>
      </c>
      <c r="O198" s="65">
        <v>2802110</v>
      </c>
      <c r="P198" s="66">
        <v>2802110</v>
      </c>
      <c r="Q198" s="66">
        <f t="shared" si="35"/>
        <v>0</v>
      </c>
      <c r="R198" s="63">
        <f t="shared" si="36"/>
        <v>0</v>
      </c>
      <c r="S198" s="83">
        <f t="shared" si="37"/>
        <v>0</v>
      </c>
      <c r="T198" s="64">
        <f t="shared" si="38"/>
        <v>0</v>
      </c>
      <c r="U198" s="66">
        <f t="shared" si="39"/>
        <v>2686447.5298000001</v>
      </c>
      <c r="V198" s="63">
        <f t="shared" si="40"/>
        <v>2766587.7925999998</v>
      </c>
      <c r="W198" s="83">
        <f t="shared" si="41"/>
        <v>2802110</v>
      </c>
      <c r="X198" s="64">
        <f t="shared" si="42"/>
        <v>2802110</v>
      </c>
      <c r="Z198" s="67">
        <v>0</v>
      </c>
      <c r="AA198" s="68">
        <v>0</v>
      </c>
      <c r="AB198" s="69">
        <v>2727137</v>
      </c>
      <c r="AC198" s="70">
        <v>2802110</v>
      </c>
      <c r="AD198" s="67">
        <v>0</v>
      </c>
      <c r="AE198" s="68">
        <v>0</v>
      </c>
      <c r="AF198" s="69">
        <v>2802110</v>
      </c>
      <c r="AG198" s="70">
        <v>2802110</v>
      </c>
      <c r="AH198" s="70">
        <f t="shared" si="43"/>
        <v>0</v>
      </c>
      <c r="AI198" s="70">
        <f t="shared" si="44"/>
        <v>0</v>
      </c>
      <c r="AJ198" s="70">
        <f t="shared" si="45"/>
        <v>0</v>
      </c>
      <c r="AK198" s="70">
        <f t="shared" si="46"/>
        <v>0</v>
      </c>
      <c r="AL198" s="70">
        <f t="shared" si="47"/>
        <v>2686447.5298000001</v>
      </c>
      <c r="AM198" s="70">
        <f t="shared" si="48"/>
        <v>2766587.7925999998</v>
      </c>
      <c r="AN198" s="70">
        <f t="shared" si="49"/>
        <v>2802110</v>
      </c>
      <c r="AO198" s="70">
        <f t="shared" si="50"/>
        <v>2802110</v>
      </c>
    </row>
    <row r="199" spans="1:41">
      <c r="A199" s="29" t="s">
        <v>119</v>
      </c>
      <c r="B199" s="29" t="s">
        <v>900</v>
      </c>
      <c r="C199" s="107">
        <v>0</v>
      </c>
      <c r="D199" s="108">
        <v>793022</v>
      </c>
      <c r="F199" s="107">
        <v>0</v>
      </c>
      <c r="G199" s="108">
        <v>843420</v>
      </c>
      <c r="I199" s="64">
        <v>0</v>
      </c>
      <c r="J199" s="83">
        <v>0</v>
      </c>
      <c r="K199" s="66">
        <v>843420</v>
      </c>
      <c r="L199" s="251">
        <v>894629.95479999983</v>
      </c>
      <c r="M199" s="63">
        <v>0</v>
      </c>
      <c r="N199" s="64">
        <v>0</v>
      </c>
      <c r="O199" s="65">
        <v>925613.91230000008</v>
      </c>
      <c r="P199" s="66">
        <v>962287.75719999999</v>
      </c>
      <c r="Q199" s="66">
        <f t="shared" si="35"/>
        <v>0</v>
      </c>
      <c r="R199" s="63">
        <f t="shared" si="36"/>
        <v>0</v>
      </c>
      <c r="S199" s="83">
        <f t="shared" si="37"/>
        <v>0</v>
      </c>
      <c r="T199" s="64">
        <f t="shared" si="38"/>
        <v>0</v>
      </c>
      <c r="U199" s="66">
        <f t="shared" si="39"/>
        <v>819541.42760000005</v>
      </c>
      <c r="V199" s="63">
        <f t="shared" si="40"/>
        <v>870366.67821575992</v>
      </c>
      <c r="W199" s="83">
        <f t="shared" si="41"/>
        <v>910933.71323650004</v>
      </c>
      <c r="X199" s="64">
        <f t="shared" si="42"/>
        <v>944911.68948637997</v>
      </c>
      <c r="Z199" s="67">
        <v>0</v>
      </c>
      <c r="AA199" s="68">
        <v>0</v>
      </c>
      <c r="AB199" s="69">
        <v>843420</v>
      </c>
      <c r="AC199" s="70">
        <v>894629.95479999983</v>
      </c>
      <c r="AD199" s="67">
        <v>0</v>
      </c>
      <c r="AE199" s="68">
        <v>0</v>
      </c>
      <c r="AF199" s="69">
        <v>925613.91230000008</v>
      </c>
      <c r="AG199" s="70">
        <v>962287.75719999999</v>
      </c>
      <c r="AH199" s="70">
        <f t="shared" si="43"/>
        <v>0</v>
      </c>
      <c r="AI199" s="70">
        <f t="shared" si="44"/>
        <v>0</v>
      </c>
      <c r="AJ199" s="70">
        <f t="shared" si="45"/>
        <v>0</v>
      </c>
      <c r="AK199" s="70">
        <f t="shared" si="46"/>
        <v>0</v>
      </c>
      <c r="AL199" s="70">
        <f t="shared" si="47"/>
        <v>819541.42760000005</v>
      </c>
      <c r="AM199" s="70">
        <f t="shared" si="48"/>
        <v>870366.67821575992</v>
      </c>
      <c r="AN199" s="70">
        <f t="shared" si="49"/>
        <v>910933.71323650004</v>
      </c>
      <c r="AO199" s="70">
        <f t="shared" si="50"/>
        <v>944911.68948637997</v>
      </c>
    </row>
    <row r="200" spans="1:41">
      <c r="A200" s="29" t="s">
        <v>43</v>
      </c>
      <c r="B200" s="29" t="s">
        <v>787</v>
      </c>
      <c r="C200" s="107">
        <v>41618.33</v>
      </c>
      <c r="D200" s="108">
        <v>5936331</v>
      </c>
      <c r="F200" s="107">
        <v>0</v>
      </c>
      <c r="G200" s="108">
        <v>5600000</v>
      </c>
      <c r="I200" s="64">
        <v>0</v>
      </c>
      <c r="J200" s="83">
        <v>0</v>
      </c>
      <c r="K200" s="66">
        <v>5600000</v>
      </c>
      <c r="L200" s="251">
        <v>5600000</v>
      </c>
      <c r="M200" s="63">
        <v>0</v>
      </c>
      <c r="N200" s="64">
        <v>0</v>
      </c>
      <c r="O200" s="65">
        <v>5600000</v>
      </c>
      <c r="P200" s="66">
        <v>5600000</v>
      </c>
      <c r="Q200" s="66">
        <f t="shared" si="35"/>
        <v>11653.132400000002</v>
      </c>
      <c r="R200" s="63">
        <f t="shared" si="36"/>
        <v>0</v>
      </c>
      <c r="S200" s="83">
        <f t="shared" si="37"/>
        <v>0</v>
      </c>
      <c r="T200" s="64">
        <f t="shared" si="38"/>
        <v>0</v>
      </c>
      <c r="U200" s="66">
        <f t="shared" si="39"/>
        <v>5759353.6277999999</v>
      </c>
      <c r="V200" s="63">
        <f t="shared" si="40"/>
        <v>5600000</v>
      </c>
      <c r="W200" s="83">
        <f t="shared" si="41"/>
        <v>5600000</v>
      </c>
      <c r="X200" s="64">
        <f t="shared" si="42"/>
        <v>5600000</v>
      </c>
      <c r="Z200" s="67">
        <v>0</v>
      </c>
      <c r="AA200" s="68">
        <v>0</v>
      </c>
      <c r="AB200" s="69">
        <v>5600000</v>
      </c>
      <c r="AC200" s="70">
        <v>5600000</v>
      </c>
      <c r="AD200" s="67">
        <v>0</v>
      </c>
      <c r="AE200" s="68">
        <v>0</v>
      </c>
      <c r="AF200" s="69">
        <v>5600000</v>
      </c>
      <c r="AG200" s="70">
        <v>5600000</v>
      </c>
      <c r="AH200" s="70">
        <f t="shared" si="43"/>
        <v>11653.132400000002</v>
      </c>
      <c r="AI200" s="70">
        <f t="shared" si="44"/>
        <v>0</v>
      </c>
      <c r="AJ200" s="70">
        <f t="shared" si="45"/>
        <v>0</v>
      </c>
      <c r="AK200" s="70">
        <f t="shared" si="46"/>
        <v>0</v>
      </c>
      <c r="AL200" s="70">
        <f t="shared" si="47"/>
        <v>5759353.6277999999</v>
      </c>
      <c r="AM200" s="70">
        <f t="shared" si="48"/>
        <v>5600000</v>
      </c>
      <c r="AN200" s="70">
        <f t="shared" si="49"/>
        <v>5600000</v>
      </c>
      <c r="AO200" s="70">
        <f t="shared" si="50"/>
        <v>5600000</v>
      </c>
    </row>
    <row r="201" spans="1:41">
      <c r="A201" s="29" t="s">
        <v>181</v>
      </c>
      <c r="B201" s="29" t="s">
        <v>788</v>
      </c>
      <c r="C201" s="107">
        <v>0</v>
      </c>
      <c r="D201" s="108">
        <v>3121025</v>
      </c>
      <c r="F201" s="107">
        <v>0</v>
      </c>
      <c r="G201" s="108">
        <v>3204275.15</v>
      </c>
      <c r="I201" s="64">
        <v>0</v>
      </c>
      <c r="J201" s="83">
        <v>0</v>
      </c>
      <c r="K201" s="66">
        <v>3204275.15</v>
      </c>
      <c r="L201" s="251">
        <v>3178702.7317999997</v>
      </c>
      <c r="M201" s="63">
        <v>0</v>
      </c>
      <c r="N201" s="64">
        <v>0</v>
      </c>
      <c r="O201" s="65">
        <v>3288893.4811</v>
      </c>
      <c r="P201" s="66">
        <v>3375000</v>
      </c>
      <c r="Q201" s="66">
        <f t="shared" ref="Q201:Q264" si="51">(0.28*C201)+(0.72*I201)</f>
        <v>0</v>
      </c>
      <c r="R201" s="63">
        <f t="shared" ref="R201:R264" si="52">(0.28*I201)+(0.72*J201)</f>
        <v>0</v>
      </c>
      <c r="S201" s="83">
        <f t="shared" ref="S201:S264" si="53">(0.28*J201)+(0.72*M201)</f>
        <v>0</v>
      </c>
      <c r="T201" s="64">
        <f t="shared" ref="T201:T264" si="54">(0.28*M201)+(0.72*N201)</f>
        <v>0</v>
      </c>
      <c r="U201" s="66">
        <f t="shared" ref="U201:U264" si="55">(0.4738*D201)+(0.5262*G201)</f>
        <v>3164831.2289300002</v>
      </c>
      <c r="V201" s="63">
        <f t="shared" ref="V201:V264" si="56">(0.4738*G201)+(0.5262*L201)</f>
        <v>3190818.9435431599</v>
      </c>
      <c r="W201" s="83">
        <f t="shared" ref="W201:W264" si="57">(0.4738*L201)+(0.5262*O201)</f>
        <v>3236685.1040816596</v>
      </c>
      <c r="X201" s="64">
        <f t="shared" ref="X201:X264" si="58">(0.4738*O201)+(0.5262*P201)</f>
        <v>3334202.73134518</v>
      </c>
      <c r="Z201" s="67">
        <v>0</v>
      </c>
      <c r="AA201" s="68">
        <v>0</v>
      </c>
      <c r="AB201" s="69">
        <v>3204275.15</v>
      </c>
      <c r="AC201" s="70">
        <v>3375000</v>
      </c>
      <c r="AD201" s="67">
        <v>0</v>
      </c>
      <c r="AE201" s="68">
        <v>0</v>
      </c>
      <c r="AF201" s="69">
        <v>3288893.4811</v>
      </c>
      <c r="AG201" s="70">
        <v>3375000</v>
      </c>
      <c r="AH201" s="70">
        <f t="shared" ref="AH201:AH264" si="59">(0.28*C201)+(0.72*Z201)</f>
        <v>0</v>
      </c>
      <c r="AI201" s="70">
        <f t="shared" ref="AI201:AI264" si="60">(0.28*Z201)+(0.72*AA201)</f>
        <v>0</v>
      </c>
      <c r="AJ201" s="70">
        <f t="shared" ref="AJ201:AJ264" si="61">(0.28*AA201)+(0.72*AD201)</f>
        <v>0</v>
      </c>
      <c r="AK201" s="70">
        <f t="shared" ref="AK201:AK264" si="62">(0.28*AD201)+(0.72*AE201)</f>
        <v>0</v>
      </c>
      <c r="AL201" s="70">
        <f t="shared" ref="AL201:AL264" si="63">(0.4738*D201)+(0.5262*G201)</f>
        <v>3164831.2289300002</v>
      </c>
      <c r="AM201" s="70">
        <f t="shared" ref="AM201:AM264" si="64">(0.4738*G201)+(0.5262*AC201)</f>
        <v>3294110.5660699997</v>
      </c>
      <c r="AN201" s="70">
        <f t="shared" ref="AN201:AN264" si="65">(0.4738*AC201)+(0.5262*AF201)</f>
        <v>3329690.74975482</v>
      </c>
      <c r="AO201" s="70">
        <f t="shared" ref="AO201:AO264" si="66">(0.4738*AF201)+(0.5262*AG201)</f>
        <v>3334202.73134518</v>
      </c>
    </row>
    <row r="202" spans="1:41">
      <c r="A202" s="29" t="s">
        <v>537</v>
      </c>
      <c r="B202" s="29" t="s">
        <v>877</v>
      </c>
      <c r="C202" s="107">
        <v>0</v>
      </c>
      <c r="D202" s="108">
        <v>635612</v>
      </c>
      <c r="F202" s="107">
        <v>0</v>
      </c>
      <c r="G202" s="108">
        <v>670000</v>
      </c>
      <c r="I202" s="64">
        <v>0</v>
      </c>
      <c r="J202" s="83">
        <v>0</v>
      </c>
      <c r="K202" s="66">
        <v>670000</v>
      </c>
      <c r="L202" s="251">
        <v>670000</v>
      </c>
      <c r="M202" s="63">
        <v>0</v>
      </c>
      <c r="N202" s="64">
        <v>0</v>
      </c>
      <c r="O202" s="65">
        <v>670000</v>
      </c>
      <c r="P202" s="66">
        <v>670000</v>
      </c>
      <c r="Q202" s="66">
        <f t="shared" si="51"/>
        <v>0</v>
      </c>
      <c r="R202" s="63">
        <f t="shared" si="52"/>
        <v>0</v>
      </c>
      <c r="S202" s="83">
        <f t="shared" si="53"/>
        <v>0</v>
      </c>
      <c r="T202" s="64">
        <f t="shared" si="54"/>
        <v>0</v>
      </c>
      <c r="U202" s="66">
        <f t="shared" si="55"/>
        <v>653706.9656</v>
      </c>
      <c r="V202" s="63">
        <f t="shared" si="56"/>
        <v>670000</v>
      </c>
      <c r="W202" s="83">
        <f t="shared" si="57"/>
        <v>670000</v>
      </c>
      <c r="X202" s="64">
        <f t="shared" si="58"/>
        <v>670000</v>
      </c>
      <c r="Z202" s="67">
        <v>0</v>
      </c>
      <c r="AA202" s="68">
        <v>0</v>
      </c>
      <c r="AB202" s="69">
        <v>670000</v>
      </c>
      <c r="AC202" s="70">
        <v>670000</v>
      </c>
      <c r="AD202" s="67">
        <v>0</v>
      </c>
      <c r="AE202" s="68">
        <v>0</v>
      </c>
      <c r="AF202" s="69">
        <v>670000</v>
      </c>
      <c r="AG202" s="70">
        <v>670000</v>
      </c>
      <c r="AH202" s="70">
        <f t="shared" si="59"/>
        <v>0</v>
      </c>
      <c r="AI202" s="70">
        <f t="shared" si="60"/>
        <v>0</v>
      </c>
      <c r="AJ202" s="70">
        <f t="shared" si="61"/>
        <v>0</v>
      </c>
      <c r="AK202" s="70">
        <f t="shared" si="62"/>
        <v>0</v>
      </c>
      <c r="AL202" s="70">
        <f t="shared" si="63"/>
        <v>653706.9656</v>
      </c>
      <c r="AM202" s="70">
        <f t="shared" si="64"/>
        <v>670000</v>
      </c>
      <c r="AN202" s="70">
        <f t="shared" si="65"/>
        <v>670000</v>
      </c>
      <c r="AO202" s="70">
        <f t="shared" si="66"/>
        <v>670000</v>
      </c>
    </row>
    <row r="203" spans="1:41">
      <c r="A203" s="29" t="s">
        <v>25</v>
      </c>
      <c r="B203" s="29" t="s">
        <v>789</v>
      </c>
      <c r="C203" s="107">
        <v>1699505.23</v>
      </c>
      <c r="D203" s="108">
        <v>3190400</v>
      </c>
      <c r="F203" s="107">
        <v>1818310.42</v>
      </c>
      <c r="G203" s="108">
        <v>3668960</v>
      </c>
      <c r="I203" s="64">
        <v>1631242.24</v>
      </c>
      <c r="J203" s="83">
        <v>1690030.5230999999</v>
      </c>
      <c r="K203" s="66">
        <v>3668960</v>
      </c>
      <c r="L203" s="251">
        <v>3668960</v>
      </c>
      <c r="M203" s="63">
        <v>1651700.9817000004</v>
      </c>
      <c r="N203" s="64">
        <v>1749714.5816999997</v>
      </c>
      <c r="O203" s="65">
        <v>3668960</v>
      </c>
      <c r="P203" s="66">
        <v>3668960</v>
      </c>
      <c r="Q203" s="66">
        <f t="shared" si="51"/>
        <v>1650355.8772</v>
      </c>
      <c r="R203" s="63">
        <f t="shared" si="52"/>
        <v>1673569.8038320001</v>
      </c>
      <c r="S203" s="83">
        <f t="shared" si="53"/>
        <v>1662433.2532920002</v>
      </c>
      <c r="T203" s="64">
        <f t="shared" si="54"/>
        <v>1722270.7736999998</v>
      </c>
      <c r="U203" s="66">
        <f t="shared" si="55"/>
        <v>3442218.2719999999</v>
      </c>
      <c r="V203" s="63">
        <f t="shared" si="56"/>
        <v>3668960</v>
      </c>
      <c r="W203" s="83">
        <f t="shared" si="57"/>
        <v>3668960</v>
      </c>
      <c r="X203" s="64">
        <f t="shared" si="58"/>
        <v>3668960</v>
      </c>
      <c r="Z203" s="67">
        <v>1818310.42</v>
      </c>
      <c r="AA203" s="68">
        <v>1905370.1597999996</v>
      </c>
      <c r="AB203" s="69">
        <v>3668960</v>
      </c>
      <c r="AC203" s="70">
        <v>3668960</v>
      </c>
      <c r="AD203" s="67">
        <v>1651700.9817000004</v>
      </c>
      <c r="AE203" s="68">
        <v>1749714.5816999997</v>
      </c>
      <c r="AF203" s="69">
        <v>3668960</v>
      </c>
      <c r="AG203" s="70">
        <v>3668960</v>
      </c>
      <c r="AH203" s="70">
        <f t="shared" si="59"/>
        <v>1785044.9668000001</v>
      </c>
      <c r="AI203" s="70">
        <f t="shared" si="60"/>
        <v>1880993.4326559997</v>
      </c>
      <c r="AJ203" s="70">
        <f t="shared" si="61"/>
        <v>1722728.3515680002</v>
      </c>
      <c r="AK203" s="70">
        <f t="shared" si="62"/>
        <v>1722270.7736999998</v>
      </c>
      <c r="AL203" s="70">
        <f t="shared" si="63"/>
        <v>3442218.2719999999</v>
      </c>
      <c r="AM203" s="70">
        <f t="shared" si="64"/>
        <v>3668960</v>
      </c>
      <c r="AN203" s="70">
        <f t="shared" si="65"/>
        <v>3668960</v>
      </c>
      <c r="AO203" s="70">
        <f t="shared" si="66"/>
        <v>3668960</v>
      </c>
    </row>
    <row r="204" spans="1:41">
      <c r="A204" s="29" t="s">
        <v>561</v>
      </c>
      <c r="B204" s="29" t="s">
        <v>790</v>
      </c>
      <c r="C204" s="107">
        <v>617240.6</v>
      </c>
      <c r="D204" s="108">
        <v>5300000</v>
      </c>
      <c r="F204" s="107">
        <v>742635.83</v>
      </c>
      <c r="G204" s="108">
        <v>5300000</v>
      </c>
      <c r="I204" s="64">
        <v>437334.73</v>
      </c>
      <c r="J204" s="83">
        <v>356462.52689999982</v>
      </c>
      <c r="K204" s="66">
        <v>5300000</v>
      </c>
      <c r="L204" s="251">
        <v>5300000</v>
      </c>
      <c r="M204" s="63">
        <v>236092.85579999941</v>
      </c>
      <c r="N204" s="64">
        <v>62241.805500000439</v>
      </c>
      <c r="O204" s="65">
        <v>5300000</v>
      </c>
      <c r="P204" s="66">
        <v>5300000</v>
      </c>
      <c r="Q204" s="66">
        <f t="shared" si="51"/>
        <v>487708.37359999999</v>
      </c>
      <c r="R204" s="63">
        <f t="shared" si="52"/>
        <v>379106.74376799987</v>
      </c>
      <c r="S204" s="83">
        <f t="shared" si="53"/>
        <v>269796.36370799952</v>
      </c>
      <c r="T204" s="64">
        <f t="shared" si="54"/>
        <v>110920.09958400016</v>
      </c>
      <c r="U204" s="66">
        <f t="shared" si="55"/>
        <v>5300000</v>
      </c>
      <c r="V204" s="63">
        <f t="shared" si="56"/>
        <v>5300000</v>
      </c>
      <c r="W204" s="83">
        <f t="shared" si="57"/>
        <v>5300000</v>
      </c>
      <c r="X204" s="64">
        <f t="shared" si="58"/>
        <v>5300000</v>
      </c>
      <c r="Z204" s="67">
        <v>742635.83</v>
      </c>
      <c r="AA204" s="68">
        <v>630757.22869999986</v>
      </c>
      <c r="AB204" s="69">
        <v>5300000</v>
      </c>
      <c r="AC204" s="70">
        <v>5300000</v>
      </c>
      <c r="AD204" s="67">
        <v>236092.85579999941</v>
      </c>
      <c r="AE204" s="68">
        <v>62241.805500000439</v>
      </c>
      <c r="AF204" s="69">
        <v>5300000</v>
      </c>
      <c r="AG204" s="70">
        <v>5300000</v>
      </c>
      <c r="AH204" s="70">
        <f t="shared" si="59"/>
        <v>707525.16559999995</v>
      </c>
      <c r="AI204" s="70">
        <f t="shared" si="60"/>
        <v>662083.23706399987</v>
      </c>
      <c r="AJ204" s="70">
        <f t="shared" si="61"/>
        <v>346598.88021199952</v>
      </c>
      <c r="AK204" s="70">
        <f t="shared" si="62"/>
        <v>110920.09958400016</v>
      </c>
      <c r="AL204" s="70">
        <f t="shared" si="63"/>
        <v>5300000</v>
      </c>
      <c r="AM204" s="70">
        <f t="shared" si="64"/>
        <v>5300000</v>
      </c>
      <c r="AN204" s="70">
        <f t="shared" si="65"/>
        <v>5300000</v>
      </c>
      <c r="AO204" s="70">
        <f t="shared" si="66"/>
        <v>5300000</v>
      </c>
    </row>
    <row r="205" spans="1:41">
      <c r="A205" s="29" t="s">
        <v>363</v>
      </c>
      <c r="B205" s="29" t="s">
        <v>791</v>
      </c>
      <c r="C205" s="107">
        <v>7398485</v>
      </c>
      <c r="D205" s="108">
        <v>52349127</v>
      </c>
      <c r="F205" s="107">
        <v>3607864.39</v>
      </c>
      <c r="G205" s="108">
        <v>55725189</v>
      </c>
      <c r="I205" s="64">
        <v>1489230.06</v>
      </c>
      <c r="J205" s="83">
        <v>1493779.7284000011</v>
      </c>
      <c r="K205" s="66">
        <v>55725189</v>
      </c>
      <c r="L205" s="251">
        <v>55725189</v>
      </c>
      <c r="M205" s="63">
        <v>2091.1301999922052</v>
      </c>
      <c r="N205" s="64">
        <v>0</v>
      </c>
      <c r="O205" s="65">
        <v>55725189</v>
      </c>
      <c r="P205" s="66">
        <v>55725189</v>
      </c>
      <c r="Q205" s="66">
        <f t="shared" si="51"/>
        <v>3143821.4432000006</v>
      </c>
      <c r="R205" s="63">
        <f t="shared" si="52"/>
        <v>1492505.8212480007</v>
      </c>
      <c r="S205" s="83">
        <f t="shared" si="53"/>
        <v>419763.93769599474</v>
      </c>
      <c r="T205" s="64">
        <f t="shared" si="54"/>
        <v>585.5164559978175</v>
      </c>
      <c r="U205" s="66">
        <f t="shared" si="55"/>
        <v>54125610.8244</v>
      </c>
      <c r="V205" s="63">
        <f t="shared" si="56"/>
        <v>55725189</v>
      </c>
      <c r="W205" s="83">
        <f t="shared" si="57"/>
        <v>55725189</v>
      </c>
      <c r="X205" s="64">
        <f t="shared" si="58"/>
        <v>55725189</v>
      </c>
      <c r="Z205" s="67">
        <v>3607864.39</v>
      </c>
      <c r="AA205" s="68">
        <v>3318988.7550000022</v>
      </c>
      <c r="AB205" s="69">
        <v>55725189</v>
      </c>
      <c r="AC205" s="70">
        <v>55725189</v>
      </c>
      <c r="AD205" s="67">
        <v>2091.1301999922052</v>
      </c>
      <c r="AE205" s="68">
        <v>0</v>
      </c>
      <c r="AF205" s="69">
        <v>55725189</v>
      </c>
      <c r="AG205" s="70">
        <v>55725189</v>
      </c>
      <c r="AH205" s="70">
        <f t="shared" si="59"/>
        <v>4669238.1608000007</v>
      </c>
      <c r="AI205" s="70">
        <f t="shared" si="60"/>
        <v>3399873.9328000019</v>
      </c>
      <c r="AJ205" s="70">
        <f t="shared" si="61"/>
        <v>930822.46514399513</v>
      </c>
      <c r="AK205" s="70">
        <f t="shared" si="62"/>
        <v>585.5164559978175</v>
      </c>
      <c r="AL205" s="70">
        <f t="shared" si="63"/>
        <v>54125610.8244</v>
      </c>
      <c r="AM205" s="70">
        <f t="shared" si="64"/>
        <v>55725189</v>
      </c>
      <c r="AN205" s="70">
        <f t="shared" si="65"/>
        <v>55725189</v>
      </c>
      <c r="AO205" s="70">
        <f t="shared" si="66"/>
        <v>55725189</v>
      </c>
    </row>
    <row r="206" spans="1:41">
      <c r="A206" s="29" t="s">
        <v>173</v>
      </c>
      <c r="B206" s="29" t="s">
        <v>792</v>
      </c>
      <c r="C206" s="107">
        <v>0</v>
      </c>
      <c r="D206" s="108">
        <v>75000</v>
      </c>
      <c r="F206" s="107">
        <v>9043.1299999999992</v>
      </c>
      <c r="G206" s="108">
        <v>75000</v>
      </c>
      <c r="I206" s="64">
        <v>9043.1299999999992</v>
      </c>
      <c r="J206" s="83">
        <v>39876.571599999988</v>
      </c>
      <c r="K206" s="66">
        <v>75000</v>
      </c>
      <c r="L206" s="251">
        <v>75000</v>
      </c>
      <c r="M206" s="63">
        <v>40868.684099999984</v>
      </c>
      <c r="N206" s="64">
        <v>42895.674599999991</v>
      </c>
      <c r="O206" s="65">
        <v>75000</v>
      </c>
      <c r="P206" s="66">
        <v>75000</v>
      </c>
      <c r="Q206" s="66">
        <f t="shared" si="51"/>
        <v>6511.0535999999993</v>
      </c>
      <c r="R206" s="63">
        <f t="shared" si="52"/>
        <v>31243.20795199999</v>
      </c>
      <c r="S206" s="83">
        <f t="shared" si="53"/>
        <v>40590.892599999985</v>
      </c>
      <c r="T206" s="64">
        <f t="shared" si="54"/>
        <v>42328.117259999985</v>
      </c>
      <c r="U206" s="66">
        <f t="shared" si="55"/>
        <v>75000</v>
      </c>
      <c r="V206" s="63">
        <f t="shared" si="56"/>
        <v>75000</v>
      </c>
      <c r="W206" s="83">
        <f t="shared" si="57"/>
        <v>75000</v>
      </c>
      <c r="X206" s="64">
        <f t="shared" si="58"/>
        <v>75000</v>
      </c>
      <c r="Z206" s="67">
        <v>9043.1299999999992</v>
      </c>
      <c r="AA206" s="68">
        <v>39876.571599999988</v>
      </c>
      <c r="AB206" s="69">
        <v>75000</v>
      </c>
      <c r="AC206" s="70">
        <v>75000</v>
      </c>
      <c r="AD206" s="67">
        <v>40868.684099999984</v>
      </c>
      <c r="AE206" s="68">
        <v>42895.674599999991</v>
      </c>
      <c r="AF206" s="69">
        <v>75000</v>
      </c>
      <c r="AG206" s="70">
        <v>75000</v>
      </c>
      <c r="AH206" s="70">
        <f t="shared" si="59"/>
        <v>6511.0535999999993</v>
      </c>
      <c r="AI206" s="70">
        <f t="shared" si="60"/>
        <v>31243.20795199999</v>
      </c>
      <c r="AJ206" s="70">
        <f t="shared" si="61"/>
        <v>40590.892599999985</v>
      </c>
      <c r="AK206" s="70">
        <f t="shared" si="62"/>
        <v>42328.117259999985</v>
      </c>
      <c r="AL206" s="70">
        <f t="shared" si="63"/>
        <v>75000</v>
      </c>
      <c r="AM206" s="70">
        <f t="shared" si="64"/>
        <v>75000</v>
      </c>
      <c r="AN206" s="70">
        <f t="shared" si="65"/>
        <v>75000</v>
      </c>
      <c r="AO206" s="70">
        <f t="shared" si="66"/>
        <v>75000</v>
      </c>
    </row>
    <row r="207" spans="1:41">
      <c r="A207" s="29" t="s">
        <v>177</v>
      </c>
      <c r="B207" s="29" t="s">
        <v>793</v>
      </c>
      <c r="C207" s="107">
        <v>389797.16</v>
      </c>
      <c r="D207" s="108">
        <v>599004</v>
      </c>
      <c r="F207" s="107">
        <v>323757.28000000003</v>
      </c>
      <c r="G207" s="108">
        <v>612462.43999999994</v>
      </c>
      <c r="I207" s="64">
        <v>307322.08</v>
      </c>
      <c r="J207" s="83">
        <v>335414.69576999993</v>
      </c>
      <c r="K207" s="66">
        <v>612462.43999999994</v>
      </c>
      <c r="L207" s="251">
        <v>616602</v>
      </c>
      <c r="M207" s="63">
        <v>312593.8578</v>
      </c>
      <c r="N207" s="64">
        <v>305197.57013399998</v>
      </c>
      <c r="O207" s="65">
        <v>625599</v>
      </c>
      <c r="P207" s="66">
        <v>625599</v>
      </c>
      <c r="Q207" s="66">
        <f t="shared" si="51"/>
        <v>330415.10239999997</v>
      </c>
      <c r="R207" s="63">
        <f t="shared" si="52"/>
        <v>327548.76335439994</v>
      </c>
      <c r="S207" s="83">
        <f t="shared" si="53"/>
        <v>318983.69243159995</v>
      </c>
      <c r="T207" s="64">
        <f t="shared" si="54"/>
        <v>307268.53068047995</v>
      </c>
      <c r="U207" s="66">
        <f t="shared" si="55"/>
        <v>606085.83112799993</v>
      </c>
      <c r="V207" s="63">
        <f t="shared" si="56"/>
        <v>614640.67647200008</v>
      </c>
      <c r="W207" s="83">
        <f t="shared" si="57"/>
        <v>621336.22139999992</v>
      </c>
      <c r="X207" s="64">
        <f t="shared" si="58"/>
        <v>625599</v>
      </c>
      <c r="Z207" s="67">
        <v>323757.28000000003</v>
      </c>
      <c r="AA207" s="68">
        <v>433780.30709999986</v>
      </c>
      <c r="AB207" s="69">
        <v>612462.43999999994</v>
      </c>
      <c r="AC207" s="70">
        <v>616602</v>
      </c>
      <c r="AD207" s="67">
        <v>312593.8578</v>
      </c>
      <c r="AE207" s="68">
        <v>305197.57013399998</v>
      </c>
      <c r="AF207" s="69">
        <v>625599</v>
      </c>
      <c r="AG207" s="70">
        <v>625599</v>
      </c>
      <c r="AH207" s="70">
        <f t="shared" si="59"/>
        <v>342248.44640000002</v>
      </c>
      <c r="AI207" s="70">
        <f t="shared" si="60"/>
        <v>402973.85951199988</v>
      </c>
      <c r="AJ207" s="70">
        <f t="shared" si="61"/>
        <v>346526.06360399997</v>
      </c>
      <c r="AK207" s="70">
        <f t="shared" si="62"/>
        <v>307268.53068047995</v>
      </c>
      <c r="AL207" s="70">
        <f t="shared" si="63"/>
        <v>606085.83112799993</v>
      </c>
      <c r="AM207" s="70">
        <f t="shared" si="64"/>
        <v>614640.67647200008</v>
      </c>
      <c r="AN207" s="70">
        <f t="shared" si="65"/>
        <v>621336.22139999992</v>
      </c>
      <c r="AO207" s="70">
        <f t="shared" si="66"/>
        <v>625599</v>
      </c>
    </row>
    <row r="208" spans="1:41">
      <c r="A208" s="29" t="s">
        <v>51</v>
      </c>
      <c r="B208" s="29" t="s">
        <v>794</v>
      </c>
      <c r="C208" s="107">
        <v>4186480</v>
      </c>
      <c r="D208" s="108">
        <v>714304</v>
      </c>
      <c r="F208" s="107">
        <v>4032574.57</v>
      </c>
      <c r="G208" s="108">
        <v>715285.78</v>
      </c>
      <c r="I208" s="64">
        <v>4032574.57</v>
      </c>
      <c r="J208" s="83">
        <v>3987594.4878726653</v>
      </c>
      <c r="K208" s="66">
        <v>715285.78</v>
      </c>
      <c r="L208" s="251">
        <v>714304</v>
      </c>
      <c r="M208" s="63">
        <v>3761219.2240479998</v>
      </c>
      <c r="N208" s="64">
        <v>3672152.7897319999</v>
      </c>
      <c r="O208" s="65">
        <v>714304</v>
      </c>
      <c r="P208" s="66">
        <v>714304</v>
      </c>
      <c r="Q208" s="66">
        <f t="shared" si="51"/>
        <v>4075668.0904000001</v>
      </c>
      <c r="R208" s="63">
        <f t="shared" si="52"/>
        <v>4000188.9108683192</v>
      </c>
      <c r="S208" s="83">
        <f t="shared" si="53"/>
        <v>3824604.2979189064</v>
      </c>
      <c r="T208" s="64">
        <f t="shared" si="54"/>
        <v>3697091.3913404797</v>
      </c>
      <c r="U208" s="66">
        <f t="shared" si="55"/>
        <v>714820.61263600003</v>
      </c>
      <c r="V208" s="63">
        <f t="shared" si="56"/>
        <v>714769.16736399999</v>
      </c>
      <c r="W208" s="83">
        <f t="shared" si="57"/>
        <v>714304</v>
      </c>
      <c r="X208" s="64">
        <f t="shared" si="58"/>
        <v>714304</v>
      </c>
      <c r="Z208" s="67">
        <v>4032574.57</v>
      </c>
      <c r="AA208" s="68">
        <v>3987594.4878726653</v>
      </c>
      <c r="AB208" s="69">
        <v>715285.78</v>
      </c>
      <c r="AC208" s="70">
        <v>714304</v>
      </c>
      <c r="AD208" s="67">
        <v>3761219.2240479998</v>
      </c>
      <c r="AE208" s="68">
        <v>3672152.7897319999</v>
      </c>
      <c r="AF208" s="69">
        <v>714304</v>
      </c>
      <c r="AG208" s="70">
        <v>714304</v>
      </c>
      <c r="AH208" s="70">
        <f t="shared" si="59"/>
        <v>4075668.0904000001</v>
      </c>
      <c r="AI208" s="70">
        <f t="shared" si="60"/>
        <v>4000188.9108683192</v>
      </c>
      <c r="AJ208" s="70">
        <f t="shared" si="61"/>
        <v>3824604.2979189064</v>
      </c>
      <c r="AK208" s="70">
        <f t="shared" si="62"/>
        <v>3697091.3913404797</v>
      </c>
      <c r="AL208" s="70">
        <f t="shared" si="63"/>
        <v>714820.61263600003</v>
      </c>
      <c r="AM208" s="70">
        <f t="shared" si="64"/>
        <v>714769.16736399999</v>
      </c>
      <c r="AN208" s="70">
        <f t="shared" si="65"/>
        <v>714304</v>
      </c>
      <c r="AO208" s="70">
        <f t="shared" si="66"/>
        <v>714304</v>
      </c>
    </row>
    <row r="209" spans="1:41">
      <c r="A209" s="29" t="s">
        <v>155</v>
      </c>
      <c r="B209" s="29" t="s">
        <v>933</v>
      </c>
      <c r="C209" s="107">
        <v>60741.54</v>
      </c>
      <c r="D209" s="108">
        <v>331448</v>
      </c>
      <c r="F209" s="107">
        <v>57868.08</v>
      </c>
      <c r="G209" s="108">
        <v>331448</v>
      </c>
      <c r="I209" s="64">
        <v>34370.370000000003</v>
      </c>
      <c r="J209" s="83">
        <v>38638.087600000013</v>
      </c>
      <c r="K209" s="66">
        <v>331448</v>
      </c>
      <c r="L209" s="251">
        <v>331448</v>
      </c>
      <c r="M209" s="63">
        <v>40086.337500000023</v>
      </c>
      <c r="N209" s="64">
        <v>45965.458799999979</v>
      </c>
      <c r="O209" s="65">
        <v>331448</v>
      </c>
      <c r="P209" s="66">
        <v>331448</v>
      </c>
      <c r="Q209" s="66">
        <f t="shared" si="51"/>
        <v>41754.297600000005</v>
      </c>
      <c r="R209" s="63">
        <f t="shared" si="52"/>
        <v>37443.126672000013</v>
      </c>
      <c r="S209" s="83">
        <f t="shared" si="53"/>
        <v>39680.827528000023</v>
      </c>
      <c r="T209" s="64">
        <f t="shared" si="54"/>
        <v>44319.304835999988</v>
      </c>
      <c r="U209" s="66">
        <f t="shared" si="55"/>
        <v>331448</v>
      </c>
      <c r="V209" s="63">
        <f t="shared" si="56"/>
        <v>331448</v>
      </c>
      <c r="W209" s="83">
        <f t="shared" si="57"/>
        <v>331448</v>
      </c>
      <c r="X209" s="64">
        <f t="shared" si="58"/>
        <v>331448</v>
      </c>
      <c r="Z209" s="67">
        <v>57868.08</v>
      </c>
      <c r="AA209" s="68">
        <v>93845.180799999973</v>
      </c>
      <c r="AB209" s="69">
        <v>331448</v>
      </c>
      <c r="AC209" s="70">
        <v>331448</v>
      </c>
      <c r="AD209" s="67">
        <v>40086.337500000023</v>
      </c>
      <c r="AE209" s="68">
        <v>45965.458799999979</v>
      </c>
      <c r="AF209" s="69">
        <v>331448</v>
      </c>
      <c r="AG209" s="70">
        <v>331448</v>
      </c>
      <c r="AH209" s="70">
        <f t="shared" si="59"/>
        <v>58672.648800000003</v>
      </c>
      <c r="AI209" s="70">
        <f t="shared" si="60"/>
        <v>83771.592575999966</v>
      </c>
      <c r="AJ209" s="70">
        <f t="shared" si="61"/>
        <v>55138.813624000009</v>
      </c>
      <c r="AK209" s="70">
        <f t="shared" si="62"/>
        <v>44319.304835999988</v>
      </c>
      <c r="AL209" s="70">
        <f t="shared" si="63"/>
        <v>331448</v>
      </c>
      <c r="AM209" s="70">
        <f t="shared" si="64"/>
        <v>331448</v>
      </c>
      <c r="AN209" s="70">
        <f t="shared" si="65"/>
        <v>331448</v>
      </c>
      <c r="AO209" s="70">
        <f t="shared" si="66"/>
        <v>331448</v>
      </c>
    </row>
    <row r="210" spans="1:41">
      <c r="A210" s="29" t="s">
        <v>123</v>
      </c>
      <c r="B210" s="29" t="s">
        <v>795</v>
      </c>
      <c r="C210" s="107">
        <v>0</v>
      </c>
      <c r="D210" s="108">
        <v>7998462</v>
      </c>
      <c r="F210" s="107">
        <v>0</v>
      </c>
      <c r="G210" s="108">
        <v>8462372</v>
      </c>
      <c r="I210" s="64">
        <v>0</v>
      </c>
      <c r="J210" s="83">
        <v>0</v>
      </c>
      <c r="K210" s="66">
        <v>8462372</v>
      </c>
      <c r="L210" s="251">
        <v>8462372</v>
      </c>
      <c r="M210" s="63">
        <v>0</v>
      </c>
      <c r="N210" s="64">
        <v>0</v>
      </c>
      <c r="O210" s="65">
        <v>8462372</v>
      </c>
      <c r="P210" s="66">
        <v>8462372</v>
      </c>
      <c r="Q210" s="66">
        <f t="shared" si="51"/>
        <v>0</v>
      </c>
      <c r="R210" s="63">
        <f t="shared" si="52"/>
        <v>0</v>
      </c>
      <c r="S210" s="83">
        <f t="shared" si="53"/>
        <v>0</v>
      </c>
      <c r="T210" s="64">
        <f t="shared" si="54"/>
        <v>0</v>
      </c>
      <c r="U210" s="66">
        <f t="shared" si="55"/>
        <v>8242571.4419999998</v>
      </c>
      <c r="V210" s="63">
        <f t="shared" si="56"/>
        <v>8462372</v>
      </c>
      <c r="W210" s="83">
        <f t="shared" si="57"/>
        <v>8462372</v>
      </c>
      <c r="X210" s="64">
        <f t="shared" si="58"/>
        <v>8462372</v>
      </c>
      <c r="Z210" s="67">
        <v>0</v>
      </c>
      <c r="AA210" s="68">
        <v>0</v>
      </c>
      <c r="AB210" s="69">
        <v>8462372</v>
      </c>
      <c r="AC210" s="70">
        <v>8462372</v>
      </c>
      <c r="AD210" s="67">
        <v>0</v>
      </c>
      <c r="AE210" s="68">
        <v>0</v>
      </c>
      <c r="AF210" s="69">
        <v>8462372</v>
      </c>
      <c r="AG210" s="70">
        <v>8462372</v>
      </c>
      <c r="AH210" s="70">
        <f t="shared" si="59"/>
        <v>0</v>
      </c>
      <c r="AI210" s="70">
        <f t="shared" si="60"/>
        <v>0</v>
      </c>
      <c r="AJ210" s="70">
        <f t="shared" si="61"/>
        <v>0</v>
      </c>
      <c r="AK210" s="70">
        <f t="shared" si="62"/>
        <v>0</v>
      </c>
      <c r="AL210" s="70">
        <f t="shared" si="63"/>
        <v>8242571.4419999998</v>
      </c>
      <c r="AM210" s="70">
        <f t="shared" si="64"/>
        <v>8462372</v>
      </c>
      <c r="AN210" s="70">
        <f t="shared" si="65"/>
        <v>8462372</v>
      </c>
      <c r="AO210" s="70">
        <f t="shared" si="66"/>
        <v>8462372</v>
      </c>
    </row>
    <row r="211" spans="1:41">
      <c r="A211" s="29" t="s">
        <v>515</v>
      </c>
      <c r="B211" s="29" t="s">
        <v>796</v>
      </c>
      <c r="C211" s="107">
        <v>181025.42</v>
      </c>
      <c r="D211" s="108">
        <v>1659080</v>
      </c>
      <c r="F211" s="107">
        <v>265973.43</v>
      </c>
      <c r="G211" s="108">
        <v>1879475</v>
      </c>
      <c r="I211" s="64">
        <v>241731.37</v>
      </c>
      <c r="J211" s="83">
        <v>43676.772599999938</v>
      </c>
      <c r="K211" s="66">
        <v>1879475</v>
      </c>
      <c r="L211" s="251">
        <v>2105012</v>
      </c>
      <c r="M211" s="63">
        <v>0</v>
      </c>
      <c r="N211" s="64">
        <v>0</v>
      </c>
      <c r="O211" s="65">
        <v>2357614</v>
      </c>
      <c r="P211" s="66">
        <v>2357614</v>
      </c>
      <c r="Q211" s="66">
        <f t="shared" si="51"/>
        <v>224733.704</v>
      </c>
      <c r="R211" s="63">
        <f t="shared" si="52"/>
        <v>99132.059871999969</v>
      </c>
      <c r="S211" s="83">
        <f t="shared" si="53"/>
        <v>12229.496327999985</v>
      </c>
      <c r="T211" s="64">
        <f t="shared" si="54"/>
        <v>0</v>
      </c>
      <c r="U211" s="66">
        <f t="shared" si="55"/>
        <v>1775051.8489999999</v>
      </c>
      <c r="V211" s="63">
        <f t="shared" si="56"/>
        <v>1998152.5693999999</v>
      </c>
      <c r="W211" s="83">
        <f t="shared" si="57"/>
        <v>2237931.1724</v>
      </c>
      <c r="X211" s="64">
        <f t="shared" si="58"/>
        <v>2357614</v>
      </c>
      <c r="Z211" s="67">
        <v>265973.43</v>
      </c>
      <c r="AA211" s="68">
        <v>53322.02730000006</v>
      </c>
      <c r="AB211" s="69">
        <v>1879475</v>
      </c>
      <c r="AC211" s="70">
        <v>2105012</v>
      </c>
      <c r="AD211" s="67">
        <v>0</v>
      </c>
      <c r="AE211" s="68">
        <v>0</v>
      </c>
      <c r="AF211" s="69">
        <v>2357614</v>
      </c>
      <c r="AG211" s="70">
        <v>2357614</v>
      </c>
      <c r="AH211" s="70">
        <f t="shared" si="59"/>
        <v>242187.98719999997</v>
      </c>
      <c r="AI211" s="70">
        <f t="shared" si="60"/>
        <v>112864.42005600005</v>
      </c>
      <c r="AJ211" s="70">
        <f t="shared" si="61"/>
        <v>14930.167644000017</v>
      </c>
      <c r="AK211" s="70">
        <f t="shared" si="62"/>
        <v>0</v>
      </c>
      <c r="AL211" s="70">
        <f t="shared" si="63"/>
        <v>1775051.8489999999</v>
      </c>
      <c r="AM211" s="70">
        <f t="shared" si="64"/>
        <v>1998152.5693999999</v>
      </c>
      <c r="AN211" s="70">
        <f t="shared" si="65"/>
        <v>2237931.1724</v>
      </c>
      <c r="AO211" s="70">
        <f t="shared" si="66"/>
        <v>2357614</v>
      </c>
    </row>
    <row r="212" spans="1:41">
      <c r="A212" s="29" t="s">
        <v>345</v>
      </c>
      <c r="B212" s="29" t="s">
        <v>797</v>
      </c>
      <c r="C212" s="107">
        <v>460106.96</v>
      </c>
      <c r="D212" s="108">
        <v>632000</v>
      </c>
      <c r="F212" s="107">
        <v>431242.62</v>
      </c>
      <c r="G212" s="108">
        <v>632000</v>
      </c>
      <c r="I212" s="64">
        <v>404784.43</v>
      </c>
      <c r="J212" s="83">
        <v>461825.64389999985</v>
      </c>
      <c r="K212" s="66">
        <v>632000</v>
      </c>
      <c r="L212" s="251">
        <v>632000</v>
      </c>
      <c r="M212" s="63">
        <v>453430.94639999996</v>
      </c>
      <c r="N212" s="64">
        <v>431874.21329999994</v>
      </c>
      <c r="O212" s="65">
        <v>632000</v>
      </c>
      <c r="P212" s="66">
        <v>632000</v>
      </c>
      <c r="Q212" s="66">
        <f t="shared" si="51"/>
        <v>420274.73839999997</v>
      </c>
      <c r="R212" s="63">
        <f t="shared" si="52"/>
        <v>445854.10400799988</v>
      </c>
      <c r="S212" s="83">
        <f t="shared" si="53"/>
        <v>455781.46169999999</v>
      </c>
      <c r="T212" s="64">
        <f t="shared" si="54"/>
        <v>437910.0985679999</v>
      </c>
      <c r="U212" s="66">
        <f t="shared" si="55"/>
        <v>632000</v>
      </c>
      <c r="V212" s="63">
        <f t="shared" si="56"/>
        <v>632000</v>
      </c>
      <c r="W212" s="83">
        <f t="shared" si="57"/>
        <v>632000</v>
      </c>
      <c r="X212" s="64">
        <f t="shared" si="58"/>
        <v>632000</v>
      </c>
      <c r="Z212" s="67">
        <v>431242.62</v>
      </c>
      <c r="AA212" s="68">
        <v>479943.8018999999</v>
      </c>
      <c r="AB212" s="69">
        <v>632000</v>
      </c>
      <c r="AC212" s="70">
        <v>632000</v>
      </c>
      <c r="AD212" s="67">
        <v>453430.94639999996</v>
      </c>
      <c r="AE212" s="68">
        <v>431874.21329999994</v>
      </c>
      <c r="AF212" s="69">
        <v>632000</v>
      </c>
      <c r="AG212" s="70">
        <v>632000</v>
      </c>
      <c r="AH212" s="70">
        <f t="shared" si="59"/>
        <v>439324.63520000002</v>
      </c>
      <c r="AI212" s="70">
        <f t="shared" si="60"/>
        <v>466307.47096799989</v>
      </c>
      <c r="AJ212" s="70">
        <f t="shared" si="61"/>
        <v>460854.54593999998</v>
      </c>
      <c r="AK212" s="70">
        <f t="shared" si="62"/>
        <v>437910.0985679999</v>
      </c>
      <c r="AL212" s="70">
        <f t="shared" si="63"/>
        <v>632000</v>
      </c>
      <c r="AM212" s="70">
        <f t="shared" si="64"/>
        <v>632000</v>
      </c>
      <c r="AN212" s="70">
        <f t="shared" si="65"/>
        <v>632000</v>
      </c>
      <c r="AO212" s="70">
        <f t="shared" si="66"/>
        <v>632000</v>
      </c>
    </row>
    <row r="213" spans="1:41">
      <c r="A213" s="29" t="s">
        <v>299</v>
      </c>
      <c r="B213" s="29" t="s">
        <v>889</v>
      </c>
      <c r="C213" s="107">
        <v>108971.41</v>
      </c>
      <c r="D213" s="108">
        <v>1300462</v>
      </c>
      <c r="F213" s="107">
        <v>54962.58</v>
      </c>
      <c r="G213" s="108">
        <v>1300112</v>
      </c>
      <c r="I213" s="64">
        <v>54962.58</v>
      </c>
      <c r="J213" s="83">
        <v>141250.79070000001</v>
      </c>
      <c r="K213" s="66">
        <v>1300112</v>
      </c>
      <c r="L213" s="251">
        <v>1358617</v>
      </c>
      <c r="M213" s="63">
        <v>104945.73449999993</v>
      </c>
      <c r="N213" s="64">
        <v>94256.799599999838</v>
      </c>
      <c r="O213" s="65">
        <v>1419755</v>
      </c>
      <c r="P213" s="66">
        <v>1419755</v>
      </c>
      <c r="Q213" s="66">
        <f t="shared" si="51"/>
        <v>70085.0524</v>
      </c>
      <c r="R213" s="63">
        <f t="shared" si="52"/>
        <v>117090.09170400001</v>
      </c>
      <c r="S213" s="83">
        <f t="shared" si="53"/>
        <v>115111.15023599996</v>
      </c>
      <c r="T213" s="64">
        <f t="shared" si="54"/>
        <v>97249.701371999865</v>
      </c>
      <c r="U213" s="66">
        <f t="shared" si="55"/>
        <v>1300277.83</v>
      </c>
      <c r="V213" s="63">
        <f t="shared" si="56"/>
        <v>1330897.331</v>
      </c>
      <c r="W213" s="83">
        <f t="shared" si="57"/>
        <v>1390787.8155999999</v>
      </c>
      <c r="X213" s="64">
        <f t="shared" si="58"/>
        <v>1419755</v>
      </c>
      <c r="Z213" s="67">
        <v>54962.58</v>
      </c>
      <c r="AA213" s="68">
        <v>141250.79070000001</v>
      </c>
      <c r="AB213" s="69">
        <v>1300112</v>
      </c>
      <c r="AC213" s="70">
        <v>1358617</v>
      </c>
      <c r="AD213" s="67">
        <v>104945.73449999993</v>
      </c>
      <c r="AE213" s="68">
        <v>94256.799599999838</v>
      </c>
      <c r="AF213" s="69">
        <v>1419755</v>
      </c>
      <c r="AG213" s="70">
        <v>1419755</v>
      </c>
      <c r="AH213" s="70">
        <f t="shared" si="59"/>
        <v>70085.0524</v>
      </c>
      <c r="AI213" s="70">
        <f t="shared" si="60"/>
        <v>117090.09170400001</v>
      </c>
      <c r="AJ213" s="70">
        <f t="shared" si="61"/>
        <v>115111.15023599996</v>
      </c>
      <c r="AK213" s="70">
        <f t="shared" si="62"/>
        <v>97249.701371999865</v>
      </c>
      <c r="AL213" s="70">
        <f t="shared" si="63"/>
        <v>1300277.83</v>
      </c>
      <c r="AM213" s="70">
        <f t="shared" si="64"/>
        <v>1330897.331</v>
      </c>
      <c r="AN213" s="70">
        <f t="shared" si="65"/>
        <v>1390787.8155999999</v>
      </c>
      <c r="AO213" s="70">
        <f t="shared" si="66"/>
        <v>1419755</v>
      </c>
    </row>
    <row r="214" spans="1:41">
      <c r="A214" s="29" t="s">
        <v>195</v>
      </c>
      <c r="B214" s="29" t="s">
        <v>798</v>
      </c>
      <c r="C214" s="107">
        <v>0</v>
      </c>
      <c r="D214" s="108">
        <v>58000000</v>
      </c>
      <c r="F214" s="107">
        <v>0</v>
      </c>
      <c r="G214" s="108">
        <v>59000000</v>
      </c>
      <c r="I214" s="64">
        <v>0</v>
      </c>
      <c r="J214" s="83">
        <v>0</v>
      </c>
      <c r="K214" s="66">
        <v>59000000</v>
      </c>
      <c r="L214" s="251">
        <v>43611900.506200001</v>
      </c>
      <c r="M214" s="63">
        <v>0</v>
      </c>
      <c r="N214" s="64">
        <v>0</v>
      </c>
      <c r="O214" s="65">
        <v>45123362.270300001</v>
      </c>
      <c r="P214" s="66">
        <v>46910987.484900005</v>
      </c>
      <c r="Q214" s="66">
        <f t="shared" si="51"/>
        <v>0</v>
      </c>
      <c r="R214" s="63">
        <f t="shared" si="52"/>
        <v>0</v>
      </c>
      <c r="S214" s="83">
        <f t="shared" si="53"/>
        <v>0</v>
      </c>
      <c r="T214" s="64">
        <f t="shared" si="54"/>
        <v>0</v>
      </c>
      <c r="U214" s="66">
        <f t="shared" si="55"/>
        <v>58526200</v>
      </c>
      <c r="V214" s="63">
        <f t="shared" si="56"/>
        <v>50902782.046362445</v>
      </c>
      <c r="W214" s="83">
        <f t="shared" si="57"/>
        <v>44407231.686469421</v>
      </c>
      <c r="X214" s="64">
        <f t="shared" si="58"/>
        <v>46064010.658222526</v>
      </c>
      <c r="Z214" s="67">
        <v>0</v>
      </c>
      <c r="AA214" s="68">
        <v>0</v>
      </c>
      <c r="AB214" s="69">
        <v>59000000</v>
      </c>
      <c r="AC214" s="70">
        <v>44498642.932599999</v>
      </c>
      <c r="AD214" s="67">
        <v>0</v>
      </c>
      <c r="AE214" s="68">
        <v>0</v>
      </c>
      <c r="AF214" s="69">
        <v>45123362.270300001</v>
      </c>
      <c r="AG214" s="70">
        <v>46910987.484900005</v>
      </c>
      <c r="AH214" s="70">
        <f t="shared" si="59"/>
        <v>0</v>
      </c>
      <c r="AI214" s="70">
        <f t="shared" si="60"/>
        <v>0</v>
      </c>
      <c r="AJ214" s="70">
        <f t="shared" si="61"/>
        <v>0</v>
      </c>
      <c r="AK214" s="70">
        <f t="shared" si="62"/>
        <v>0</v>
      </c>
      <c r="AL214" s="70">
        <f t="shared" si="63"/>
        <v>58526200</v>
      </c>
      <c r="AM214" s="70">
        <f t="shared" si="64"/>
        <v>51369385.911134124</v>
      </c>
      <c r="AN214" s="70">
        <f t="shared" si="65"/>
        <v>44827370.24809774</v>
      </c>
      <c r="AO214" s="70">
        <f t="shared" si="66"/>
        <v>46064010.658222526</v>
      </c>
    </row>
    <row r="215" spans="1:41">
      <c r="A215" s="29" t="s">
        <v>109</v>
      </c>
      <c r="B215" s="29" t="s">
        <v>799</v>
      </c>
      <c r="C215" s="107">
        <v>37018.559999999998</v>
      </c>
      <c r="D215" s="108">
        <v>475000</v>
      </c>
      <c r="F215" s="107">
        <v>72583.539999999994</v>
      </c>
      <c r="G215" s="108">
        <v>490000</v>
      </c>
      <c r="I215" s="64">
        <v>72583.539999999994</v>
      </c>
      <c r="J215" s="83">
        <v>96331.649549999885</v>
      </c>
      <c r="K215" s="66">
        <v>490000</v>
      </c>
      <c r="L215" s="251">
        <v>490000</v>
      </c>
      <c r="M215" s="63">
        <v>76867.345100000006</v>
      </c>
      <c r="N215" s="64">
        <v>82237.376844000013</v>
      </c>
      <c r="O215" s="65">
        <v>490000</v>
      </c>
      <c r="P215" s="66">
        <v>490000</v>
      </c>
      <c r="Q215" s="66">
        <f t="shared" si="51"/>
        <v>62625.345599999993</v>
      </c>
      <c r="R215" s="63">
        <f t="shared" si="52"/>
        <v>89682.178875999918</v>
      </c>
      <c r="S215" s="83">
        <f t="shared" si="53"/>
        <v>82317.350345999977</v>
      </c>
      <c r="T215" s="64">
        <f t="shared" si="54"/>
        <v>80733.767955680014</v>
      </c>
      <c r="U215" s="66">
        <f t="shared" si="55"/>
        <v>482893</v>
      </c>
      <c r="V215" s="63">
        <f t="shared" si="56"/>
        <v>490000</v>
      </c>
      <c r="W215" s="83">
        <f t="shared" si="57"/>
        <v>490000</v>
      </c>
      <c r="X215" s="64">
        <f t="shared" si="58"/>
        <v>490000</v>
      </c>
      <c r="Z215" s="67">
        <v>72583.539999999994</v>
      </c>
      <c r="AA215" s="68">
        <v>96331.649549999885</v>
      </c>
      <c r="AB215" s="69">
        <v>490000</v>
      </c>
      <c r="AC215" s="70">
        <v>490000</v>
      </c>
      <c r="AD215" s="67">
        <v>76867.345100000006</v>
      </c>
      <c r="AE215" s="68">
        <v>82237.376844000013</v>
      </c>
      <c r="AF215" s="69">
        <v>490000</v>
      </c>
      <c r="AG215" s="70">
        <v>490000</v>
      </c>
      <c r="AH215" s="70">
        <f t="shared" si="59"/>
        <v>62625.345599999993</v>
      </c>
      <c r="AI215" s="70">
        <f t="shared" si="60"/>
        <v>89682.178875999918</v>
      </c>
      <c r="AJ215" s="70">
        <f t="shared" si="61"/>
        <v>82317.350345999977</v>
      </c>
      <c r="AK215" s="70">
        <f t="shared" si="62"/>
        <v>80733.767955680014</v>
      </c>
      <c r="AL215" s="70">
        <f t="shared" si="63"/>
        <v>482893</v>
      </c>
      <c r="AM215" s="70">
        <f t="shared" si="64"/>
        <v>490000</v>
      </c>
      <c r="AN215" s="70">
        <f t="shared" si="65"/>
        <v>490000</v>
      </c>
      <c r="AO215" s="70">
        <f t="shared" si="66"/>
        <v>490000</v>
      </c>
    </row>
    <row r="216" spans="1:41">
      <c r="A216" s="29" t="s">
        <v>27</v>
      </c>
      <c r="B216" s="29" t="s">
        <v>800</v>
      </c>
      <c r="C216" s="107">
        <v>7125854.7400000002</v>
      </c>
      <c r="D216" s="108">
        <v>24513000</v>
      </c>
      <c r="F216" s="107">
        <v>6844096.21</v>
      </c>
      <c r="G216" s="108">
        <v>26000000</v>
      </c>
      <c r="I216" s="64">
        <v>5925435.4400000004</v>
      </c>
      <c r="J216" s="83">
        <v>5622398.5051000034</v>
      </c>
      <c r="K216" s="66">
        <v>26000000</v>
      </c>
      <c r="L216" s="251">
        <v>26000000</v>
      </c>
      <c r="M216" s="63">
        <v>4208789.4668999976</v>
      </c>
      <c r="N216" s="64">
        <v>3199706.2410000027</v>
      </c>
      <c r="O216" s="65">
        <v>26000000</v>
      </c>
      <c r="P216" s="66">
        <v>26000000</v>
      </c>
      <c r="Q216" s="66">
        <f t="shared" si="51"/>
        <v>6261552.8440000005</v>
      </c>
      <c r="R216" s="63">
        <f t="shared" si="52"/>
        <v>5707248.8468720028</v>
      </c>
      <c r="S216" s="83">
        <f t="shared" si="53"/>
        <v>4604599.9975959994</v>
      </c>
      <c r="T216" s="64">
        <f t="shared" si="54"/>
        <v>3482249.5442520012</v>
      </c>
      <c r="U216" s="66">
        <f t="shared" si="55"/>
        <v>25295459.399999999</v>
      </c>
      <c r="V216" s="63">
        <f t="shared" si="56"/>
        <v>26000000</v>
      </c>
      <c r="W216" s="83">
        <f t="shared" si="57"/>
        <v>26000000</v>
      </c>
      <c r="X216" s="64">
        <f t="shared" si="58"/>
        <v>26000000</v>
      </c>
      <c r="Z216" s="67">
        <v>6844096.21</v>
      </c>
      <c r="AA216" s="68">
        <v>6349167.5586000029</v>
      </c>
      <c r="AB216" s="69">
        <v>26000000</v>
      </c>
      <c r="AC216" s="70">
        <v>26000000</v>
      </c>
      <c r="AD216" s="67">
        <v>4208789.4668999976</v>
      </c>
      <c r="AE216" s="68">
        <v>3199706.2410000027</v>
      </c>
      <c r="AF216" s="69">
        <v>26000000</v>
      </c>
      <c r="AG216" s="70">
        <v>26000000</v>
      </c>
      <c r="AH216" s="70">
        <f t="shared" si="59"/>
        <v>6922988.5983999996</v>
      </c>
      <c r="AI216" s="70">
        <f t="shared" si="60"/>
        <v>6487747.580992002</v>
      </c>
      <c r="AJ216" s="70">
        <f t="shared" si="61"/>
        <v>4808095.3325759992</v>
      </c>
      <c r="AK216" s="70">
        <f t="shared" si="62"/>
        <v>3482249.5442520012</v>
      </c>
      <c r="AL216" s="70">
        <f t="shared" si="63"/>
        <v>25295459.399999999</v>
      </c>
      <c r="AM216" s="70">
        <f t="shared" si="64"/>
        <v>26000000</v>
      </c>
      <c r="AN216" s="70">
        <f t="shared" si="65"/>
        <v>26000000</v>
      </c>
      <c r="AO216" s="70">
        <f t="shared" si="66"/>
        <v>26000000</v>
      </c>
    </row>
    <row r="217" spans="1:41">
      <c r="A217" s="29" t="s">
        <v>71</v>
      </c>
      <c r="B217" s="29" t="s">
        <v>801</v>
      </c>
      <c r="C217" s="107">
        <v>0</v>
      </c>
      <c r="D217" s="108">
        <v>6493786</v>
      </c>
      <c r="F217" s="107">
        <v>0</v>
      </c>
      <c r="G217" s="108">
        <v>7642525</v>
      </c>
      <c r="I217" s="64">
        <v>0</v>
      </c>
      <c r="J217" s="83">
        <v>0</v>
      </c>
      <c r="K217" s="66">
        <v>7642525</v>
      </c>
      <c r="L217" s="251">
        <v>7984531</v>
      </c>
      <c r="M217" s="63">
        <v>0</v>
      </c>
      <c r="N217" s="64">
        <v>0</v>
      </c>
      <c r="O217" s="65">
        <v>7984531</v>
      </c>
      <c r="P217" s="66">
        <v>7984531</v>
      </c>
      <c r="Q217" s="66">
        <f t="shared" si="51"/>
        <v>0</v>
      </c>
      <c r="R217" s="63">
        <f t="shared" si="52"/>
        <v>0</v>
      </c>
      <c r="S217" s="83">
        <f t="shared" si="53"/>
        <v>0</v>
      </c>
      <c r="T217" s="64">
        <f t="shared" si="54"/>
        <v>0</v>
      </c>
      <c r="U217" s="66">
        <f t="shared" si="55"/>
        <v>7098252.4617999997</v>
      </c>
      <c r="V217" s="63">
        <f t="shared" si="56"/>
        <v>7822488.5571999997</v>
      </c>
      <c r="W217" s="83">
        <f t="shared" si="57"/>
        <v>7984531</v>
      </c>
      <c r="X217" s="64">
        <f t="shared" si="58"/>
        <v>7984531</v>
      </c>
      <c r="Z217" s="67">
        <v>0</v>
      </c>
      <c r="AA217" s="68">
        <v>0</v>
      </c>
      <c r="AB217" s="69">
        <v>7642525</v>
      </c>
      <c r="AC217" s="70">
        <v>7984531</v>
      </c>
      <c r="AD217" s="67">
        <v>0</v>
      </c>
      <c r="AE217" s="68">
        <v>0</v>
      </c>
      <c r="AF217" s="69">
        <v>7984531</v>
      </c>
      <c r="AG217" s="70">
        <v>7984531</v>
      </c>
      <c r="AH217" s="70">
        <f t="shared" si="59"/>
        <v>0</v>
      </c>
      <c r="AI217" s="70">
        <f t="shared" si="60"/>
        <v>0</v>
      </c>
      <c r="AJ217" s="70">
        <f t="shared" si="61"/>
        <v>0</v>
      </c>
      <c r="AK217" s="70">
        <f t="shared" si="62"/>
        <v>0</v>
      </c>
      <c r="AL217" s="70">
        <f t="shared" si="63"/>
        <v>7098252.4617999997</v>
      </c>
      <c r="AM217" s="70">
        <f t="shared" si="64"/>
        <v>7822488.5571999997</v>
      </c>
      <c r="AN217" s="70">
        <f t="shared" si="65"/>
        <v>7984531</v>
      </c>
      <c r="AO217" s="70">
        <f t="shared" si="66"/>
        <v>7984531</v>
      </c>
    </row>
    <row r="218" spans="1:41">
      <c r="A218" s="29" t="s">
        <v>11</v>
      </c>
      <c r="B218" s="29" t="s">
        <v>802</v>
      </c>
      <c r="C218" s="107">
        <v>0</v>
      </c>
      <c r="D218" s="108">
        <v>877500</v>
      </c>
      <c r="F218" s="107">
        <v>0</v>
      </c>
      <c r="G218" s="108">
        <v>877500</v>
      </c>
      <c r="I218" s="64">
        <v>0</v>
      </c>
      <c r="J218" s="83">
        <v>0</v>
      </c>
      <c r="K218" s="66">
        <v>877500</v>
      </c>
      <c r="L218" s="251">
        <v>877500</v>
      </c>
      <c r="M218" s="63">
        <v>0</v>
      </c>
      <c r="N218" s="64">
        <v>0</v>
      </c>
      <c r="O218" s="65">
        <v>877500</v>
      </c>
      <c r="P218" s="66">
        <v>877500</v>
      </c>
      <c r="Q218" s="66">
        <f t="shared" si="51"/>
        <v>0</v>
      </c>
      <c r="R218" s="63">
        <f t="shared" si="52"/>
        <v>0</v>
      </c>
      <c r="S218" s="83">
        <f t="shared" si="53"/>
        <v>0</v>
      </c>
      <c r="T218" s="64">
        <f t="shared" si="54"/>
        <v>0</v>
      </c>
      <c r="U218" s="66">
        <f t="shared" si="55"/>
        <v>877500</v>
      </c>
      <c r="V218" s="63">
        <f t="shared" si="56"/>
        <v>877500</v>
      </c>
      <c r="W218" s="83">
        <f t="shared" si="57"/>
        <v>877500</v>
      </c>
      <c r="X218" s="64">
        <f t="shared" si="58"/>
        <v>877500</v>
      </c>
      <c r="Z218" s="67">
        <v>0</v>
      </c>
      <c r="AA218" s="68">
        <v>0</v>
      </c>
      <c r="AB218" s="69">
        <v>877500</v>
      </c>
      <c r="AC218" s="70">
        <v>877500</v>
      </c>
      <c r="AD218" s="67">
        <v>0</v>
      </c>
      <c r="AE218" s="68">
        <v>0</v>
      </c>
      <c r="AF218" s="69">
        <v>877500</v>
      </c>
      <c r="AG218" s="70">
        <v>877500</v>
      </c>
      <c r="AH218" s="70">
        <f t="shared" si="59"/>
        <v>0</v>
      </c>
      <c r="AI218" s="70">
        <f t="shared" si="60"/>
        <v>0</v>
      </c>
      <c r="AJ218" s="70">
        <f t="shared" si="61"/>
        <v>0</v>
      </c>
      <c r="AK218" s="70">
        <f t="shared" si="62"/>
        <v>0</v>
      </c>
      <c r="AL218" s="70">
        <f t="shared" si="63"/>
        <v>877500</v>
      </c>
      <c r="AM218" s="70">
        <f t="shared" si="64"/>
        <v>877500</v>
      </c>
      <c r="AN218" s="70">
        <f t="shared" si="65"/>
        <v>877500</v>
      </c>
      <c r="AO218" s="70">
        <f t="shared" si="66"/>
        <v>877500</v>
      </c>
    </row>
    <row r="219" spans="1:41">
      <c r="A219" s="29" t="s">
        <v>477</v>
      </c>
      <c r="B219" s="29" t="s">
        <v>803</v>
      </c>
      <c r="C219" s="107">
        <v>328494.84000000003</v>
      </c>
      <c r="D219" s="108">
        <v>2087900</v>
      </c>
      <c r="F219" s="107">
        <v>103125.31</v>
      </c>
      <c r="G219" s="108">
        <v>2196049</v>
      </c>
      <c r="I219" s="64">
        <v>16650.349999999999</v>
      </c>
      <c r="J219" s="83">
        <v>100141.59920000022</v>
      </c>
      <c r="K219" s="66">
        <v>2196049</v>
      </c>
      <c r="L219" s="251">
        <v>2415654</v>
      </c>
      <c r="M219" s="63">
        <v>14286.823199999955</v>
      </c>
      <c r="N219" s="64">
        <v>0</v>
      </c>
      <c r="O219" s="65">
        <v>2657220</v>
      </c>
      <c r="P219" s="66">
        <v>2657220</v>
      </c>
      <c r="Q219" s="66">
        <f t="shared" si="51"/>
        <v>103966.80720000001</v>
      </c>
      <c r="R219" s="63">
        <f t="shared" si="52"/>
        <v>76764.049424000157</v>
      </c>
      <c r="S219" s="83">
        <f t="shared" si="53"/>
        <v>38326.160480000035</v>
      </c>
      <c r="T219" s="64">
        <f t="shared" si="54"/>
        <v>4000.3104959999878</v>
      </c>
      <c r="U219" s="66">
        <f t="shared" si="55"/>
        <v>2144808.0038000001</v>
      </c>
      <c r="V219" s="63">
        <f t="shared" si="56"/>
        <v>2311605.1510000001</v>
      </c>
      <c r="W219" s="83">
        <f t="shared" si="57"/>
        <v>2542766.0291999998</v>
      </c>
      <c r="X219" s="64">
        <f t="shared" si="58"/>
        <v>2657220</v>
      </c>
      <c r="Z219" s="67">
        <v>103125.31</v>
      </c>
      <c r="AA219" s="68">
        <v>171548.45719999971</v>
      </c>
      <c r="AB219" s="69">
        <v>2196049</v>
      </c>
      <c r="AC219" s="70">
        <v>2415654</v>
      </c>
      <c r="AD219" s="67">
        <v>14286.823199999955</v>
      </c>
      <c r="AE219" s="68">
        <v>0</v>
      </c>
      <c r="AF219" s="69">
        <v>2657220</v>
      </c>
      <c r="AG219" s="70">
        <v>2657220</v>
      </c>
      <c r="AH219" s="70">
        <f t="shared" si="59"/>
        <v>166228.77840000001</v>
      </c>
      <c r="AI219" s="70">
        <f t="shared" si="60"/>
        <v>152389.97598399979</v>
      </c>
      <c r="AJ219" s="70">
        <f t="shared" si="61"/>
        <v>58320.080719999896</v>
      </c>
      <c r="AK219" s="70">
        <f t="shared" si="62"/>
        <v>4000.3104959999878</v>
      </c>
      <c r="AL219" s="70">
        <f t="shared" si="63"/>
        <v>2144808.0038000001</v>
      </c>
      <c r="AM219" s="70">
        <f t="shared" si="64"/>
        <v>2311605.1510000001</v>
      </c>
      <c r="AN219" s="70">
        <f t="shared" si="65"/>
        <v>2542766.0291999998</v>
      </c>
      <c r="AO219" s="70">
        <f t="shared" si="66"/>
        <v>2657220</v>
      </c>
    </row>
    <row r="220" spans="1:41">
      <c r="A220" s="29" t="s">
        <v>203</v>
      </c>
      <c r="B220" s="29" t="s">
        <v>804</v>
      </c>
      <c r="C220" s="107">
        <v>0</v>
      </c>
      <c r="D220" s="108">
        <v>7820000</v>
      </c>
      <c r="F220" s="107">
        <v>0</v>
      </c>
      <c r="G220" s="108">
        <v>7820000</v>
      </c>
      <c r="I220" s="64">
        <v>0</v>
      </c>
      <c r="J220" s="83">
        <v>0</v>
      </c>
      <c r="K220" s="66">
        <v>7820000</v>
      </c>
      <c r="L220" s="251">
        <v>7820000</v>
      </c>
      <c r="M220" s="63">
        <v>0</v>
      </c>
      <c r="N220" s="64">
        <v>0</v>
      </c>
      <c r="O220" s="65">
        <v>7820000</v>
      </c>
      <c r="P220" s="66">
        <v>7820000</v>
      </c>
      <c r="Q220" s="66">
        <f t="shared" si="51"/>
        <v>0</v>
      </c>
      <c r="R220" s="63">
        <f t="shared" si="52"/>
        <v>0</v>
      </c>
      <c r="S220" s="83">
        <f t="shared" si="53"/>
        <v>0</v>
      </c>
      <c r="T220" s="64">
        <f t="shared" si="54"/>
        <v>0</v>
      </c>
      <c r="U220" s="66">
        <f t="shared" si="55"/>
        <v>7820000</v>
      </c>
      <c r="V220" s="63">
        <f t="shared" si="56"/>
        <v>7820000</v>
      </c>
      <c r="W220" s="83">
        <f t="shared" si="57"/>
        <v>7820000</v>
      </c>
      <c r="X220" s="64">
        <f t="shared" si="58"/>
        <v>7820000</v>
      </c>
      <c r="Z220" s="67">
        <v>0</v>
      </c>
      <c r="AA220" s="68">
        <v>0</v>
      </c>
      <c r="AB220" s="69">
        <v>7820000</v>
      </c>
      <c r="AC220" s="70">
        <v>7820000</v>
      </c>
      <c r="AD220" s="67">
        <v>0</v>
      </c>
      <c r="AE220" s="68">
        <v>0</v>
      </c>
      <c r="AF220" s="69">
        <v>7820000</v>
      </c>
      <c r="AG220" s="70">
        <v>7820000</v>
      </c>
      <c r="AH220" s="70">
        <f t="shared" si="59"/>
        <v>0</v>
      </c>
      <c r="AI220" s="70">
        <f t="shared" si="60"/>
        <v>0</v>
      </c>
      <c r="AJ220" s="70">
        <f t="shared" si="61"/>
        <v>0</v>
      </c>
      <c r="AK220" s="70">
        <f t="shared" si="62"/>
        <v>0</v>
      </c>
      <c r="AL220" s="70">
        <f t="shared" si="63"/>
        <v>7820000</v>
      </c>
      <c r="AM220" s="70">
        <f t="shared" si="64"/>
        <v>7820000</v>
      </c>
      <c r="AN220" s="70">
        <f t="shared" si="65"/>
        <v>7820000</v>
      </c>
      <c r="AO220" s="70">
        <f t="shared" si="66"/>
        <v>7820000</v>
      </c>
    </row>
    <row r="221" spans="1:41">
      <c r="A221" s="29" t="s">
        <v>519</v>
      </c>
      <c r="B221" s="29" t="s">
        <v>805</v>
      </c>
      <c r="C221" s="107">
        <v>1441172.54</v>
      </c>
      <c r="D221" s="108">
        <v>3732229</v>
      </c>
      <c r="F221" s="107">
        <v>1217351.0900000001</v>
      </c>
      <c r="G221" s="108">
        <v>4105452</v>
      </c>
      <c r="I221" s="64">
        <v>1122598.98</v>
      </c>
      <c r="J221" s="83">
        <v>1419445.5205999997</v>
      </c>
      <c r="K221" s="66">
        <v>4105452</v>
      </c>
      <c r="L221" s="251">
        <v>3991273.7225000001</v>
      </c>
      <c r="M221" s="63">
        <v>1398744.7584000006</v>
      </c>
      <c r="N221" s="64">
        <v>1416980.3282999997</v>
      </c>
      <c r="O221" s="65">
        <v>4246075.3624999998</v>
      </c>
      <c r="P221" s="66">
        <v>4476261.4275000002</v>
      </c>
      <c r="Q221" s="66">
        <f t="shared" si="51"/>
        <v>1211799.5767999999</v>
      </c>
      <c r="R221" s="63">
        <f t="shared" si="52"/>
        <v>1336328.4892319997</v>
      </c>
      <c r="S221" s="83">
        <f t="shared" si="53"/>
        <v>1404540.9718160003</v>
      </c>
      <c r="T221" s="64">
        <f t="shared" si="54"/>
        <v>1411874.368728</v>
      </c>
      <c r="U221" s="66">
        <f t="shared" si="55"/>
        <v>3928618.9425999997</v>
      </c>
      <c r="V221" s="63">
        <f t="shared" si="56"/>
        <v>4045371.3903795001</v>
      </c>
      <c r="W221" s="83">
        <f t="shared" si="57"/>
        <v>4125350.345468</v>
      </c>
      <c r="X221" s="64">
        <f t="shared" si="58"/>
        <v>4367199.2699030004</v>
      </c>
      <c r="Z221" s="67">
        <v>1217351.0900000001</v>
      </c>
      <c r="AA221" s="68">
        <v>1480425.5562999994</v>
      </c>
      <c r="AB221" s="69">
        <v>4105452</v>
      </c>
      <c r="AC221" s="70">
        <v>3991273.7225000001</v>
      </c>
      <c r="AD221" s="67">
        <v>1398744.7584000006</v>
      </c>
      <c r="AE221" s="68">
        <v>1416980.3282999997</v>
      </c>
      <c r="AF221" s="69">
        <v>4246075.3624999998</v>
      </c>
      <c r="AG221" s="70">
        <v>4476261.4275000002</v>
      </c>
      <c r="AH221" s="70">
        <f t="shared" si="59"/>
        <v>1280021.0960000001</v>
      </c>
      <c r="AI221" s="70">
        <f t="shared" si="60"/>
        <v>1406764.7057359996</v>
      </c>
      <c r="AJ221" s="70">
        <f t="shared" si="61"/>
        <v>1421615.3818120002</v>
      </c>
      <c r="AK221" s="70">
        <f t="shared" si="62"/>
        <v>1411874.368728</v>
      </c>
      <c r="AL221" s="70">
        <f t="shared" si="63"/>
        <v>3928618.9425999997</v>
      </c>
      <c r="AM221" s="70">
        <f t="shared" si="64"/>
        <v>4045371.3903795001</v>
      </c>
      <c r="AN221" s="70">
        <f t="shared" si="65"/>
        <v>4125350.345468</v>
      </c>
      <c r="AO221" s="70">
        <f t="shared" si="66"/>
        <v>4367199.2699030004</v>
      </c>
    </row>
    <row r="222" spans="1:41">
      <c r="A222" s="29" t="s">
        <v>263</v>
      </c>
      <c r="B222" s="29" t="s">
        <v>806</v>
      </c>
      <c r="C222" s="107">
        <v>0</v>
      </c>
      <c r="D222" s="108">
        <v>60000</v>
      </c>
      <c r="F222" s="107">
        <v>0</v>
      </c>
      <c r="G222" s="108">
        <v>60000</v>
      </c>
      <c r="I222" s="64">
        <v>0</v>
      </c>
      <c r="J222" s="83">
        <v>0</v>
      </c>
      <c r="K222" s="66">
        <v>60000</v>
      </c>
      <c r="L222" s="251">
        <v>60000</v>
      </c>
      <c r="M222" s="63">
        <v>0</v>
      </c>
      <c r="N222" s="64">
        <v>0</v>
      </c>
      <c r="O222" s="65">
        <v>60000</v>
      </c>
      <c r="P222" s="66">
        <v>60000</v>
      </c>
      <c r="Q222" s="66">
        <f t="shared" si="51"/>
        <v>0</v>
      </c>
      <c r="R222" s="63">
        <f t="shared" si="52"/>
        <v>0</v>
      </c>
      <c r="S222" s="83">
        <f t="shared" si="53"/>
        <v>0</v>
      </c>
      <c r="T222" s="64">
        <f t="shared" si="54"/>
        <v>0</v>
      </c>
      <c r="U222" s="66">
        <f t="shared" si="55"/>
        <v>60000</v>
      </c>
      <c r="V222" s="63">
        <f t="shared" si="56"/>
        <v>60000</v>
      </c>
      <c r="W222" s="83">
        <f t="shared" si="57"/>
        <v>60000</v>
      </c>
      <c r="X222" s="64">
        <f t="shared" si="58"/>
        <v>60000</v>
      </c>
      <c r="Z222" s="67">
        <v>0</v>
      </c>
      <c r="AA222" s="68">
        <v>0</v>
      </c>
      <c r="AB222" s="69">
        <v>60000</v>
      </c>
      <c r="AC222" s="70">
        <v>60000</v>
      </c>
      <c r="AD222" s="67">
        <v>0</v>
      </c>
      <c r="AE222" s="68">
        <v>0</v>
      </c>
      <c r="AF222" s="69">
        <v>60000</v>
      </c>
      <c r="AG222" s="70">
        <v>60000</v>
      </c>
      <c r="AH222" s="70">
        <f t="shared" si="59"/>
        <v>0</v>
      </c>
      <c r="AI222" s="70">
        <f t="shared" si="60"/>
        <v>0</v>
      </c>
      <c r="AJ222" s="70">
        <f t="shared" si="61"/>
        <v>0</v>
      </c>
      <c r="AK222" s="70">
        <f t="shared" si="62"/>
        <v>0</v>
      </c>
      <c r="AL222" s="70">
        <f t="shared" si="63"/>
        <v>60000</v>
      </c>
      <c r="AM222" s="70">
        <f t="shared" si="64"/>
        <v>60000</v>
      </c>
      <c r="AN222" s="70">
        <f t="shared" si="65"/>
        <v>60000</v>
      </c>
      <c r="AO222" s="70">
        <f t="shared" si="66"/>
        <v>60000</v>
      </c>
    </row>
    <row r="223" spans="1:41">
      <c r="A223" s="29" t="s">
        <v>575</v>
      </c>
      <c r="B223" s="29" t="s">
        <v>807</v>
      </c>
      <c r="C223" s="107">
        <v>54924.07</v>
      </c>
      <c r="D223" s="108">
        <v>448000</v>
      </c>
      <c r="F223" s="107">
        <v>54836.59</v>
      </c>
      <c r="G223" s="108">
        <v>448000</v>
      </c>
      <c r="I223" s="64">
        <v>20731.919999999998</v>
      </c>
      <c r="J223" s="83">
        <v>46807.113399999995</v>
      </c>
      <c r="K223" s="66">
        <v>448000</v>
      </c>
      <c r="L223" s="251">
        <v>427668.30249999999</v>
      </c>
      <c r="M223" s="63">
        <v>58409.053499999973</v>
      </c>
      <c r="N223" s="64">
        <v>66188.392200000002</v>
      </c>
      <c r="O223" s="65">
        <v>425872.29249999998</v>
      </c>
      <c r="P223" s="66">
        <v>433623.54499999998</v>
      </c>
      <c r="Q223" s="66">
        <f t="shared" si="51"/>
        <v>30305.722000000002</v>
      </c>
      <c r="R223" s="63">
        <f t="shared" si="52"/>
        <v>39506.05924799999</v>
      </c>
      <c r="S223" s="83">
        <f t="shared" si="53"/>
        <v>55160.510271999978</v>
      </c>
      <c r="T223" s="64">
        <f t="shared" si="54"/>
        <v>64010.177363999988</v>
      </c>
      <c r="U223" s="66">
        <f t="shared" si="55"/>
        <v>448000</v>
      </c>
      <c r="V223" s="63">
        <f t="shared" si="56"/>
        <v>437301.46077549999</v>
      </c>
      <c r="W223" s="83">
        <f t="shared" si="57"/>
        <v>426723.24203800003</v>
      </c>
      <c r="X223" s="64">
        <f t="shared" si="58"/>
        <v>429951.00156549993</v>
      </c>
      <c r="Z223" s="67">
        <v>54836.59</v>
      </c>
      <c r="AA223" s="68">
        <v>79561.900999999983</v>
      </c>
      <c r="AB223" s="69">
        <v>448000</v>
      </c>
      <c r="AC223" s="70">
        <v>427668.30249999999</v>
      </c>
      <c r="AD223" s="67">
        <v>58409.053499999973</v>
      </c>
      <c r="AE223" s="68">
        <v>66188.392200000002</v>
      </c>
      <c r="AF223" s="69">
        <v>425872.29249999998</v>
      </c>
      <c r="AG223" s="70">
        <v>433623.54499999998</v>
      </c>
      <c r="AH223" s="70">
        <f t="shared" si="59"/>
        <v>54861.0844</v>
      </c>
      <c r="AI223" s="70">
        <f t="shared" si="60"/>
        <v>72638.813919999986</v>
      </c>
      <c r="AJ223" s="70">
        <f t="shared" si="61"/>
        <v>64331.850799999971</v>
      </c>
      <c r="AK223" s="70">
        <f t="shared" si="62"/>
        <v>64010.177363999988</v>
      </c>
      <c r="AL223" s="70">
        <f t="shared" si="63"/>
        <v>448000</v>
      </c>
      <c r="AM223" s="70">
        <f t="shared" si="64"/>
        <v>437301.46077549999</v>
      </c>
      <c r="AN223" s="70">
        <f t="shared" si="65"/>
        <v>426723.24203800003</v>
      </c>
      <c r="AO223" s="70">
        <f t="shared" si="66"/>
        <v>429951.00156549993</v>
      </c>
    </row>
    <row r="224" spans="1:41">
      <c r="A224" s="29" t="s">
        <v>131</v>
      </c>
      <c r="B224" s="29" t="s">
        <v>808</v>
      </c>
      <c r="C224" s="107">
        <v>1552782.16</v>
      </c>
      <c r="D224" s="108">
        <v>1370000</v>
      </c>
      <c r="F224" s="107">
        <v>1638620.57</v>
      </c>
      <c r="G224" s="108">
        <v>1370000</v>
      </c>
      <c r="I224" s="64">
        <v>1638620.57</v>
      </c>
      <c r="J224" s="83">
        <v>1704862.5206599997</v>
      </c>
      <c r="K224" s="66">
        <v>1370000</v>
      </c>
      <c r="L224" s="251">
        <v>1370000</v>
      </c>
      <c r="M224" s="63">
        <v>1554915.3107779997</v>
      </c>
      <c r="N224" s="64">
        <v>1535299.9360400003</v>
      </c>
      <c r="O224" s="65">
        <v>1370000</v>
      </c>
      <c r="P224" s="66">
        <v>1370000</v>
      </c>
      <c r="Q224" s="66">
        <f t="shared" si="51"/>
        <v>1614585.8152000001</v>
      </c>
      <c r="R224" s="63">
        <f t="shared" si="52"/>
        <v>1686314.7744751996</v>
      </c>
      <c r="S224" s="83">
        <f t="shared" si="53"/>
        <v>1596900.5295449598</v>
      </c>
      <c r="T224" s="64">
        <f t="shared" si="54"/>
        <v>1540792.2409666402</v>
      </c>
      <c r="U224" s="66">
        <f t="shared" si="55"/>
        <v>1370000</v>
      </c>
      <c r="V224" s="63">
        <f t="shared" si="56"/>
        <v>1370000</v>
      </c>
      <c r="W224" s="83">
        <f t="shared" si="57"/>
        <v>1370000</v>
      </c>
      <c r="X224" s="64">
        <f t="shared" si="58"/>
        <v>1370000</v>
      </c>
      <c r="Z224" s="67">
        <v>1638620.57</v>
      </c>
      <c r="AA224" s="68">
        <v>1704862.5206599997</v>
      </c>
      <c r="AB224" s="69">
        <v>1370000</v>
      </c>
      <c r="AC224" s="70">
        <v>1370000</v>
      </c>
      <c r="AD224" s="67">
        <v>1554915.3107779997</v>
      </c>
      <c r="AE224" s="68">
        <v>1535299.9360400003</v>
      </c>
      <c r="AF224" s="69">
        <v>1370000</v>
      </c>
      <c r="AG224" s="70">
        <v>1370000</v>
      </c>
      <c r="AH224" s="70">
        <f t="shared" si="59"/>
        <v>1614585.8152000001</v>
      </c>
      <c r="AI224" s="70">
        <f t="shared" si="60"/>
        <v>1686314.7744751996</v>
      </c>
      <c r="AJ224" s="70">
        <f t="shared" si="61"/>
        <v>1596900.5295449598</v>
      </c>
      <c r="AK224" s="70">
        <f t="shared" si="62"/>
        <v>1540792.2409666402</v>
      </c>
      <c r="AL224" s="70">
        <f t="shared" si="63"/>
        <v>1370000</v>
      </c>
      <c r="AM224" s="70">
        <f t="shared" si="64"/>
        <v>1370000</v>
      </c>
      <c r="AN224" s="70">
        <f t="shared" si="65"/>
        <v>1370000</v>
      </c>
      <c r="AO224" s="70">
        <f t="shared" si="66"/>
        <v>1370000</v>
      </c>
    </row>
    <row r="225" spans="1:41">
      <c r="A225" s="29" t="s">
        <v>399</v>
      </c>
      <c r="B225" s="29" t="s">
        <v>934</v>
      </c>
      <c r="C225" s="107">
        <v>0</v>
      </c>
      <c r="D225" s="108">
        <v>2064477</v>
      </c>
      <c r="F225" s="107">
        <v>0</v>
      </c>
      <c r="G225" s="108">
        <v>2169549</v>
      </c>
      <c r="I225" s="64">
        <v>0</v>
      </c>
      <c r="J225" s="83">
        <v>0</v>
      </c>
      <c r="K225" s="66">
        <v>2169549</v>
      </c>
      <c r="L225" s="251">
        <v>2180441.017</v>
      </c>
      <c r="M225" s="63">
        <v>0</v>
      </c>
      <c r="N225" s="64">
        <v>0</v>
      </c>
      <c r="O225" s="65">
        <v>2256090.2271000003</v>
      </c>
      <c r="P225" s="66">
        <v>2345553.8799000001</v>
      </c>
      <c r="Q225" s="66">
        <f t="shared" si="51"/>
        <v>0</v>
      </c>
      <c r="R225" s="63">
        <f t="shared" si="52"/>
        <v>0</v>
      </c>
      <c r="S225" s="83">
        <f t="shared" si="53"/>
        <v>0</v>
      </c>
      <c r="T225" s="64">
        <f t="shared" si="54"/>
        <v>0</v>
      </c>
      <c r="U225" s="66">
        <f t="shared" si="55"/>
        <v>2119765.8864000002</v>
      </c>
      <c r="V225" s="63">
        <f t="shared" si="56"/>
        <v>2175280.3793454003</v>
      </c>
      <c r="W225" s="83">
        <f t="shared" si="57"/>
        <v>2220247.6313546202</v>
      </c>
      <c r="X225" s="64">
        <f t="shared" si="58"/>
        <v>2303166.00120336</v>
      </c>
      <c r="Z225" s="67">
        <v>0</v>
      </c>
      <c r="AA225" s="68">
        <v>0</v>
      </c>
      <c r="AB225" s="69">
        <v>2169549</v>
      </c>
      <c r="AC225" s="70">
        <v>2283784.9109999998</v>
      </c>
      <c r="AD225" s="67">
        <v>0</v>
      </c>
      <c r="AE225" s="68">
        <v>0</v>
      </c>
      <c r="AF225" s="69">
        <v>2256090.2271000003</v>
      </c>
      <c r="AG225" s="70">
        <v>2345553.8799000001</v>
      </c>
      <c r="AH225" s="70">
        <f t="shared" si="59"/>
        <v>0</v>
      </c>
      <c r="AI225" s="70">
        <f t="shared" si="60"/>
        <v>0</v>
      </c>
      <c r="AJ225" s="70">
        <f t="shared" si="61"/>
        <v>0</v>
      </c>
      <c r="AK225" s="70">
        <f t="shared" si="62"/>
        <v>0</v>
      </c>
      <c r="AL225" s="70">
        <f t="shared" si="63"/>
        <v>2119765.8864000002</v>
      </c>
      <c r="AM225" s="70">
        <f t="shared" si="64"/>
        <v>2229659.9363682</v>
      </c>
      <c r="AN225" s="70">
        <f t="shared" si="65"/>
        <v>2269211.9683318203</v>
      </c>
      <c r="AO225" s="70">
        <f t="shared" si="66"/>
        <v>2303166.00120336</v>
      </c>
    </row>
    <row r="226" spans="1:41">
      <c r="A226" s="29" t="s">
        <v>159</v>
      </c>
      <c r="B226" s="29" t="s">
        <v>809</v>
      </c>
      <c r="C226" s="107">
        <v>54128.04</v>
      </c>
      <c r="D226" s="108">
        <v>80000</v>
      </c>
      <c r="F226" s="107">
        <v>42007.43</v>
      </c>
      <c r="G226" s="108">
        <v>83001</v>
      </c>
      <c r="I226" s="64">
        <v>33725.769999999997</v>
      </c>
      <c r="J226" s="83">
        <v>81562.284223333336</v>
      </c>
      <c r="K226" s="66">
        <v>83001</v>
      </c>
      <c r="L226" s="251">
        <v>80000</v>
      </c>
      <c r="M226" s="63">
        <v>74108.542539999995</v>
      </c>
      <c r="N226" s="64">
        <v>67181.465399999986</v>
      </c>
      <c r="O226" s="65">
        <v>80000</v>
      </c>
      <c r="P226" s="66">
        <v>80000</v>
      </c>
      <c r="Q226" s="66">
        <f t="shared" si="51"/>
        <v>39438.405599999998</v>
      </c>
      <c r="R226" s="63">
        <f t="shared" si="52"/>
        <v>68168.060240799998</v>
      </c>
      <c r="S226" s="83">
        <f t="shared" si="53"/>
        <v>76195.590211333329</v>
      </c>
      <c r="T226" s="64">
        <f t="shared" si="54"/>
        <v>69121.046999199985</v>
      </c>
      <c r="U226" s="66">
        <f t="shared" si="55"/>
        <v>81579.126199999999</v>
      </c>
      <c r="V226" s="63">
        <f t="shared" si="56"/>
        <v>81421.873800000001</v>
      </c>
      <c r="W226" s="83">
        <f t="shared" si="57"/>
        <v>80000</v>
      </c>
      <c r="X226" s="64">
        <f t="shared" si="58"/>
        <v>80000</v>
      </c>
      <c r="Z226" s="67">
        <v>42007.43</v>
      </c>
      <c r="AA226" s="68">
        <v>81562.284223333336</v>
      </c>
      <c r="AB226" s="69">
        <v>83001</v>
      </c>
      <c r="AC226" s="70">
        <v>80000</v>
      </c>
      <c r="AD226" s="67">
        <v>74108.542539999995</v>
      </c>
      <c r="AE226" s="68">
        <v>67181.465399999986</v>
      </c>
      <c r="AF226" s="69">
        <v>80000</v>
      </c>
      <c r="AG226" s="70">
        <v>80000</v>
      </c>
      <c r="AH226" s="70">
        <f t="shared" si="59"/>
        <v>45401.200799999999</v>
      </c>
      <c r="AI226" s="70">
        <f t="shared" si="60"/>
        <v>70486.925040800008</v>
      </c>
      <c r="AJ226" s="70">
        <f t="shared" si="61"/>
        <v>76195.590211333329</v>
      </c>
      <c r="AK226" s="70">
        <f t="shared" si="62"/>
        <v>69121.046999199985</v>
      </c>
      <c r="AL226" s="70">
        <f t="shared" si="63"/>
        <v>81579.126199999999</v>
      </c>
      <c r="AM226" s="70">
        <f t="shared" si="64"/>
        <v>81421.873800000001</v>
      </c>
      <c r="AN226" s="70">
        <f t="shared" si="65"/>
        <v>80000</v>
      </c>
      <c r="AO226" s="70">
        <f t="shared" si="66"/>
        <v>80000</v>
      </c>
    </row>
    <row r="227" spans="1:41">
      <c r="A227" s="29" t="s">
        <v>183</v>
      </c>
      <c r="B227" s="29" t="s">
        <v>810</v>
      </c>
      <c r="C227" s="107">
        <v>0</v>
      </c>
      <c r="D227" s="108">
        <v>169025500</v>
      </c>
      <c r="F227" s="107">
        <v>0</v>
      </c>
      <c r="G227" s="108">
        <v>177990203</v>
      </c>
      <c r="I227" s="64">
        <v>0</v>
      </c>
      <c r="J227" s="83">
        <v>0</v>
      </c>
      <c r="K227" s="66">
        <v>177990203</v>
      </c>
      <c r="L227" s="251">
        <v>183113287.824</v>
      </c>
      <c r="M227" s="63">
        <v>0</v>
      </c>
      <c r="N227" s="64">
        <v>0</v>
      </c>
      <c r="O227" s="65">
        <v>189459316.4544</v>
      </c>
      <c r="P227" s="66">
        <v>196965000.14219999</v>
      </c>
      <c r="Q227" s="66">
        <f t="shared" si="51"/>
        <v>0</v>
      </c>
      <c r="R227" s="63">
        <f t="shared" si="52"/>
        <v>0</v>
      </c>
      <c r="S227" s="83">
        <f t="shared" si="53"/>
        <v>0</v>
      </c>
      <c r="T227" s="64">
        <f t="shared" si="54"/>
        <v>0</v>
      </c>
      <c r="U227" s="66">
        <f t="shared" si="55"/>
        <v>173742726.7186</v>
      </c>
      <c r="V227" s="63">
        <f t="shared" si="56"/>
        <v>180685970.2343888</v>
      </c>
      <c r="W227" s="83">
        <f t="shared" si="57"/>
        <v>186452568.08931649</v>
      </c>
      <c r="X227" s="64">
        <f t="shared" si="58"/>
        <v>193408807.21092033</v>
      </c>
      <c r="Z227" s="67">
        <v>0</v>
      </c>
      <c r="AA227" s="68">
        <v>0</v>
      </c>
      <c r="AB227" s="69">
        <v>177990203</v>
      </c>
      <c r="AC227" s="70">
        <v>186889983.34400001</v>
      </c>
      <c r="AD227" s="67">
        <v>0</v>
      </c>
      <c r="AE227" s="68">
        <v>0</v>
      </c>
      <c r="AF227" s="69">
        <v>189459316.4544</v>
      </c>
      <c r="AG227" s="70">
        <v>196965000.14219999</v>
      </c>
      <c r="AH227" s="70">
        <f t="shared" si="59"/>
        <v>0</v>
      </c>
      <c r="AI227" s="70">
        <f t="shared" si="60"/>
        <v>0</v>
      </c>
      <c r="AJ227" s="70">
        <f t="shared" si="61"/>
        <v>0</v>
      </c>
      <c r="AK227" s="70">
        <f t="shared" si="62"/>
        <v>0</v>
      </c>
      <c r="AL227" s="70">
        <f t="shared" si="63"/>
        <v>173742726.7186</v>
      </c>
      <c r="AM227" s="70">
        <f t="shared" si="64"/>
        <v>182673267.41701281</v>
      </c>
      <c r="AN227" s="70">
        <f t="shared" si="65"/>
        <v>188241966.42669249</v>
      </c>
      <c r="AO227" s="70">
        <f t="shared" si="66"/>
        <v>193408807.21092033</v>
      </c>
    </row>
    <row r="228" spans="1:41">
      <c r="A228" s="29" t="s">
        <v>405</v>
      </c>
      <c r="B228" s="29" t="s">
        <v>935</v>
      </c>
      <c r="C228" s="107">
        <v>1274892.21</v>
      </c>
      <c r="D228" s="108">
        <v>13104354</v>
      </c>
      <c r="F228" s="107">
        <v>682349.91</v>
      </c>
      <c r="G228" s="108">
        <v>13667841</v>
      </c>
      <c r="I228" s="64">
        <v>164469.79</v>
      </c>
      <c r="J228" s="83">
        <v>207474.11609999934</v>
      </c>
      <c r="K228" s="66">
        <v>13667841</v>
      </c>
      <c r="L228" s="251">
        <v>12095611.41</v>
      </c>
      <c r="M228" s="63">
        <v>0</v>
      </c>
      <c r="N228" s="64">
        <v>0</v>
      </c>
      <c r="O228" s="65">
        <v>12516787.756999999</v>
      </c>
      <c r="P228" s="66">
        <v>13012692.092399999</v>
      </c>
      <c r="Q228" s="66">
        <f t="shared" si="51"/>
        <v>475388.06760000001</v>
      </c>
      <c r="R228" s="63">
        <f t="shared" si="52"/>
        <v>195432.90479199952</v>
      </c>
      <c r="S228" s="83">
        <f t="shared" si="53"/>
        <v>58092.752507999823</v>
      </c>
      <c r="T228" s="64">
        <f t="shared" si="54"/>
        <v>0</v>
      </c>
      <c r="U228" s="66">
        <f t="shared" si="55"/>
        <v>13400860.8594</v>
      </c>
      <c r="V228" s="63">
        <f t="shared" si="56"/>
        <v>12840533.789742</v>
      </c>
      <c r="W228" s="83">
        <f t="shared" si="57"/>
        <v>12317234.4037914</v>
      </c>
      <c r="X228" s="64">
        <f t="shared" si="58"/>
        <v>12777732.61828748</v>
      </c>
      <c r="Z228" s="67">
        <v>682349.91</v>
      </c>
      <c r="AA228" s="68">
        <v>675881.78909999959</v>
      </c>
      <c r="AB228" s="69">
        <v>13667841</v>
      </c>
      <c r="AC228" s="70">
        <v>12095611.41</v>
      </c>
      <c r="AD228" s="67">
        <v>0</v>
      </c>
      <c r="AE228" s="68">
        <v>0</v>
      </c>
      <c r="AF228" s="69">
        <v>12516787.756999999</v>
      </c>
      <c r="AG228" s="70">
        <v>13012692.092399999</v>
      </c>
      <c r="AH228" s="70">
        <f t="shared" si="59"/>
        <v>848261.75399999996</v>
      </c>
      <c r="AI228" s="70">
        <f t="shared" si="60"/>
        <v>677692.86295199976</v>
      </c>
      <c r="AJ228" s="70">
        <f t="shared" si="61"/>
        <v>189246.90094799991</v>
      </c>
      <c r="AK228" s="70">
        <f t="shared" si="62"/>
        <v>0</v>
      </c>
      <c r="AL228" s="70">
        <f t="shared" si="63"/>
        <v>13400860.8594</v>
      </c>
      <c r="AM228" s="70">
        <f t="shared" si="64"/>
        <v>12840533.789742</v>
      </c>
      <c r="AN228" s="70">
        <f t="shared" si="65"/>
        <v>12317234.4037914</v>
      </c>
      <c r="AO228" s="70">
        <f t="shared" si="66"/>
        <v>12777732.61828748</v>
      </c>
    </row>
    <row r="229" spans="1:41">
      <c r="A229" s="29" t="s">
        <v>589</v>
      </c>
      <c r="B229" s="29" t="s">
        <v>811</v>
      </c>
      <c r="C229" s="107">
        <v>2745248.14</v>
      </c>
      <c r="D229" s="108">
        <v>3468869</v>
      </c>
      <c r="F229" s="107">
        <v>2653342.9300000002</v>
      </c>
      <c r="G229" s="108">
        <v>3550187</v>
      </c>
      <c r="I229" s="64">
        <v>2453473.54</v>
      </c>
      <c r="J229" s="83">
        <v>2478163.976900667</v>
      </c>
      <c r="K229" s="66">
        <v>3550187</v>
      </c>
      <c r="L229" s="251">
        <v>3905205</v>
      </c>
      <c r="M229" s="63">
        <v>2130431.5805119998</v>
      </c>
      <c r="N229" s="64">
        <v>1891676.002356</v>
      </c>
      <c r="O229" s="65">
        <v>3905205</v>
      </c>
      <c r="P229" s="66">
        <v>3905205</v>
      </c>
      <c r="Q229" s="66">
        <f t="shared" si="51"/>
        <v>2535170.4279999998</v>
      </c>
      <c r="R229" s="63">
        <f t="shared" si="52"/>
        <v>2471250.6545684803</v>
      </c>
      <c r="S229" s="83">
        <f t="shared" si="53"/>
        <v>2227796.6515008267</v>
      </c>
      <c r="T229" s="64">
        <f t="shared" si="54"/>
        <v>1958527.5642396798</v>
      </c>
      <c r="U229" s="66">
        <f t="shared" si="55"/>
        <v>3511658.5316000003</v>
      </c>
      <c r="V229" s="63">
        <f t="shared" si="56"/>
        <v>3736997.4715999998</v>
      </c>
      <c r="W229" s="83">
        <f t="shared" si="57"/>
        <v>3905205</v>
      </c>
      <c r="X229" s="64">
        <f t="shared" si="58"/>
        <v>3905205</v>
      </c>
      <c r="Z229" s="67">
        <v>2653342.9300000002</v>
      </c>
      <c r="AA229" s="68">
        <v>2627506.8612633334</v>
      </c>
      <c r="AB229" s="69">
        <v>3550187</v>
      </c>
      <c r="AC229" s="70">
        <v>3905205</v>
      </c>
      <c r="AD229" s="67">
        <v>2130431.5805119998</v>
      </c>
      <c r="AE229" s="68">
        <v>1891676.002356</v>
      </c>
      <c r="AF229" s="69">
        <v>3905205</v>
      </c>
      <c r="AG229" s="70">
        <v>3905205</v>
      </c>
      <c r="AH229" s="70">
        <f t="shared" si="59"/>
        <v>2679076.3888000003</v>
      </c>
      <c r="AI229" s="70">
        <f t="shared" si="60"/>
        <v>2634740.9605096001</v>
      </c>
      <c r="AJ229" s="70">
        <f t="shared" si="61"/>
        <v>2269612.659122373</v>
      </c>
      <c r="AK229" s="70">
        <f t="shared" si="62"/>
        <v>1958527.5642396798</v>
      </c>
      <c r="AL229" s="70">
        <f t="shared" si="63"/>
        <v>3511658.5316000003</v>
      </c>
      <c r="AM229" s="70">
        <f t="shared" si="64"/>
        <v>3736997.4715999998</v>
      </c>
      <c r="AN229" s="70">
        <f t="shared" si="65"/>
        <v>3905205</v>
      </c>
      <c r="AO229" s="70">
        <f t="shared" si="66"/>
        <v>3905205</v>
      </c>
    </row>
    <row r="230" spans="1:41">
      <c r="A230" s="29" t="s">
        <v>359</v>
      </c>
      <c r="B230" s="29" t="s">
        <v>812</v>
      </c>
      <c r="C230" s="107">
        <v>0</v>
      </c>
      <c r="D230" s="108">
        <v>675910</v>
      </c>
      <c r="F230" s="107">
        <v>0</v>
      </c>
      <c r="G230" s="108">
        <v>695760</v>
      </c>
      <c r="I230" s="64">
        <v>0</v>
      </c>
      <c r="J230" s="83">
        <v>0</v>
      </c>
      <c r="K230" s="66">
        <v>695760</v>
      </c>
      <c r="L230" s="251">
        <v>673491.29359999998</v>
      </c>
      <c r="M230" s="63">
        <v>0</v>
      </c>
      <c r="N230" s="64">
        <v>0</v>
      </c>
      <c r="O230" s="65">
        <v>696833.58990000002</v>
      </c>
      <c r="P230" s="66">
        <v>714981</v>
      </c>
      <c r="Q230" s="66">
        <f t="shared" si="51"/>
        <v>0</v>
      </c>
      <c r="R230" s="63">
        <f t="shared" si="52"/>
        <v>0</v>
      </c>
      <c r="S230" s="83">
        <f t="shared" si="53"/>
        <v>0</v>
      </c>
      <c r="T230" s="64">
        <f t="shared" si="54"/>
        <v>0</v>
      </c>
      <c r="U230" s="66">
        <f t="shared" si="55"/>
        <v>686355.07000000007</v>
      </c>
      <c r="V230" s="63">
        <f t="shared" si="56"/>
        <v>684042.20669232006</v>
      </c>
      <c r="W230" s="83">
        <f t="shared" si="57"/>
        <v>685774.00991306</v>
      </c>
      <c r="X230" s="64">
        <f t="shared" si="58"/>
        <v>706382.75709462003</v>
      </c>
      <c r="Z230" s="67">
        <v>0</v>
      </c>
      <c r="AA230" s="68">
        <v>16587.52789999999</v>
      </c>
      <c r="AB230" s="69">
        <v>695760</v>
      </c>
      <c r="AC230" s="70">
        <v>714981</v>
      </c>
      <c r="AD230" s="67">
        <v>0</v>
      </c>
      <c r="AE230" s="68">
        <v>0</v>
      </c>
      <c r="AF230" s="69">
        <v>696833.58990000002</v>
      </c>
      <c r="AG230" s="70">
        <v>714981</v>
      </c>
      <c r="AH230" s="70">
        <f t="shared" si="59"/>
        <v>0</v>
      </c>
      <c r="AI230" s="70">
        <f t="shared" si="60"/>
        <v>11943.020087999992</v>
      </c>
      <c r="AJ230" s="70">
        <f t="shared" si="61"/>
        <v>4644.507811999998</v>
      </c>
      <c r="AK230" s="70">
        <f t="shared" si="62"/>
        <v>0</v>
      </c>
      <c r="AL230" s="70">
        <f t="shared" si="63"/>
        <v>686355.07000000007</v>
      </c>
      <c r="AM230" s="70">
        <f t="shared" si="64"/>
        <v>705874.09019999998</v>
      </c>
      <c r="AN230" s="70">
        <f t="shared" si="65"/>
        <v>705431.83280537999</v>
      </c>
      <c r="AO230" s="70">
        <f t="shared" si="66"/>
        <v>706382.75709462003</v>
      </c>
    </row>
    <row r="231" spans="1:41">
      <c r="A231" s="29" t="s">
        <v>47</v>
      </c>
      <c r="B231" s="29" t="s">
        <v>813</v>
      </c>
      <c r="C231" s="107">
        <v>0</v>
      </c>
      <c r="D231" s="108">
        <v>6924000</v>
      </c>
      <c r="F231" s="107">
        <v>0</v>
      </c>
      <c r="G231" s="108">
        <v>7168803.5300000003</v>
      </c>
      <c r="I231" s="64">
        <v>0</v>
      </c>
      <c r="J231" s="83">
        <v>0</v>
      </c>
      <c r="K231" s="66">
        <v>7168803.5300000003</v>
      </c>
      <c r="L231" s="251">
        <v>7291876.0727999993</v>
      </c>
      <c r="M231" s="63">
        <v>0</v>
      </c>
      <c r="N231" s="64">
        <v>0</v>
      </c>
      <c r="O231" s="65">
        <v>7526780</v>
      </c>
      <c r="P231" s="66">
        <v>7718191</v>
      </c>
      <c r="Q231" s="66">
        <f t="shared" si="51"/>
        <v>0</v>
      </c>
      <c r="R231" s="63">
        <f t="shared" si="52"/>
        <v>0</v>
      </c>
      <c r="S231" s="83">
        <f t="shared" si="53"/>
        <v>0</v>
      </c>
      <c r="T231" s="64">
        <f t="shared" si="54"/>
        <v>0</v>
      </c>
      <c r="U231" s="66">
        <f t="shared" si="55"/>
        <v>7052815.6174860001</v>
      </c>
      <c r="V231" s="63">
        <f t="shared" si="56"/>
        <v>7233564.30202136</v>
      </c>
      <c r="W231" s="83">
        <f t="shared" si="57"/>
        <v>7415482.5192926396</v>
      </c>
      <c r="X231" s="64">
        <f t="shared" si="58"/>
        <v>7627500.4682</v>
      </c>
      <c r="Z231" s="67">
        <v>0</v>
      </c>
      <c r="AA231" s="68">
        <v>0</v>
      </c>
      <c r="AB231" s="69">
        <v>7168803.5300000003</v>
      </c>
      <c r="AC231" s="70">
        <v>7338560</v>
      </c>
      <c r="AD231" s="67">
        <v>0</v>
      </c>
      <c r="AE231" s="68">
        <v>0</v>
      </c>
      <c r="AF231" s="69">
        <v>7526780</v>
      </c>
      <c r="AG231" s="70">
        <v>7718191</v>
      </c>
      <c r="AH231" s="70">
        <f t="shared" si="59"/>
        <v>0</v>
      </c>
      <c r="AI231" s="70">
        <f t="shared" si="60"/>
        <v>0</v>
      </c>
      <c r="AJ231" s="70">
        <f t="shared" si="61"/>
        <v>0</v>
      </c>
      <c r="AK231" s="70">
        <f t="shared" si="62"/>
        <v>0</v>
      </c>
      <c r="AL231" s="70">
        <f t="shared" si="63"/>
        <v>7052815.6174860001</v>
      </c>
      <c r="AM231" s="70">
        <f t="shared" si="64"/>
        <v>7258129.3845140003</v>
      </c>
      <c r="AN231" s="70">
        <f t="shared" si="65"/>
        <v>7437601.3640000001</v>
      </c>
      <c r="AO231" s="70">
        <f t="shared" si="66"/>
        <v>7627500.4682</v>
      </c>
    </row>
    <row r="232" spans="1:41">
      <c r="A232" s="29" t="s">
        <v>393</v>
      </c>
      <c r="B232" s="29" t="s">
        <v>936</v>
      </c>
      <c r="C232" s="107">
        <v>0</v>
      </c>
      <c r="D232" s="108">
        <v>0</v>
      </c>
      <c r="F232" s="107">
        <v>0</v>
      </c>
      <c r="G232" s="108">
        <v>0</v>
      </c>
      <c r="I232" s="64">
        <v>0</v>
      </c>
      <c r="J232" s="83">
        <v>0</v>
      </c>
      <c r="K232" s="66">
        <v>0</v>
      </c>
      <c r="L232" s="251">
        <v>0</v>
      </c>
      <c r="M232" s="63">
        <v>0</v>
      </c>
      <c r="N232" s="64">
        <v>0</v>
      </c>
      <c r="O232" s="65">
        <v>0</v>
      </c>
      <c r="P232" s="66">
        <v>0</v>
      </c>
      <c r="Q232" s="66">
        <f t="shared" si="51"/>
        <v>0</v>
      </c>
      <c r="R232" s="63">
        <f t="shared" si="52"/>
        <v>0</v>
      </c>
      <c r="S232" s="83">
        <f t="shared" si="53"/>
        <v>0</v>
      </c>
      <c r="T232" s="64">
        <f t="shared" si="54"/>
        <v>0</v>
      </c>
      <c r="U232" s="66">
        <f t="shared" si="55"/>
        <v>0</v>
      </c>
      <c r="V232" s="63">
        <f t="shared" si="56"/>
        <v>0</v>
      </c>
      <c r="W232" s="83">
        <f t="shared" si="57"/>
        <v>0</v>
      </c>
      <c r="X232" s="64">
        <f t="shared" si="58"/>
        <v>0</v>
      </c>
      <c r="Z232" s="67">
        <v>0</v>
      </c>
      <c r="AA232" s="68">
        <v>0</v>
      </c>
      <c r="AB232" s="69">
        <v>0</v>
      </c>
      <c r="AC232" s="70">
        <v>0</v>
      </c>
      <c r="AD232" s="67">
        <v>0</v>
      </c>
      <c r="AE232" s="68">
        <v>0</v>
      </c>
      <c r="AF232" s="69">
        <v>0</v>
      </c>
      <c r="AG232" s="70">
        <v>0</v>
      </c>
      <c r="AH232" s="70">
        <f t="shared" si="59"/>
        <v>0</v>
      </c>
      <c r="AI232" s="70">
        <f t="shared" si="60"/>
        <v>0</v>
      </c>
      <c r="AJ232" s="70">
        <f t="shared" si="61"/>
        <v>0</v>
      </c>
      <c r="AK232" s="70">
        <f t="shared" si="62"/>
        <v>0</v>
      </c>
      <c r="AL232" s="70">
        <f t="shared" si="63"/>
        <v>0</v>
      </c>
      <c r="AM232" s="70">
        <f t="shared" si="64"/>
        <v>0</v>
      </c>
      <c r="AN232" s="70">
        <f t="shared" si="65"/>
        <v>0</v>
      </c>
      <c r="AO232" s="70">
        <f t="shared" si="66"/>
        <v>0</v>
      </c>
    </row>
    <row r="233" spans="1:41">
      <c r="A233" s="29" t="s">
        <v>317</v>
      </c>
      <c r="B233" s="29" t="s">
        <v>814</v>
      </c>
      <c r="C233" s="107">
        <v>2947617.02</v>
      </c>
      <c r="D233" s="108">
        <v>5500000</v>
      </c>
      <c r="F233" s="107">
        <v>2785528.91</v>
      </c>
      <c r="G233" s="108">
        <v>5545416</v>
      </c>
      <c r="I233" s="64">
        <v>2441589.38</v>
      </c>
      <c r="J233" s="83">
        <v>1817335.8814999997</v>
      </c>
      <c r="K233" s="66">
        <v>5545416</v>
      </c>
      <c r="L233" s="251">
        <v>5500000</v>
      </c>
      <c r="M233" s="63">
        <v>1569684.316499999</v>
      </c>
      <c r="N233" s="64">
        <v>1294838.1297000004</v>
      </c>
      <c r="O233" s="65">
        <v>5500000</v>
      </c>
      <c r="P233" s="66">
        <v>5500000</v>
      </c>
      <c r="Q233" s="66">
        <f t="shared" si="51"/>
        <v>2583277.1191999996</v>
      </c>
      <c r="R233" s="63">
        <f t="shared" si="52"/>
        <v>1992126.8610799997</v>
      </c>
      <c r="S233" s="83">
        <f t="shared" si="53"/>
        <v>1639026.754699999</v>
      </c>
      <c r="T233" s="64">
        <f t="shared" si="54"/>
        <v>1371795.0620039999</v>
      </c>
      <c r="U233" s="66">
        <f t="shared" si="55"/>
        <v>5523897.8991999999</v>
      </c>
      <c r="V233" s="63">
        <f t="shared" si="56"/>
        <v>5521518.1008000001</v>
      </c>
      <c r="W233" s="83">
        <f t="shared" si="57"/>
        <v>5500000</v>
      </c>
      <c r="X233" s="64">
        <f t="shared" si="58"/>
        <v>5500000</v>
      </c>
      <c r="Z233" s="67">
        <v>2785528.91</v>
      </c>
      <c r="AA233" s="68">
        <v>3861650.2795999995</v>
      </c>
      <c r="AB233" s="69">
        <v>5545416</v>
      </c>
      <c r="AC233" s="70">
        <v>5500000</v>
      </c>
      <c r="AD233" s="67">
        <v>1569684.316499999</v>
      </c>
      <c r="AE233" s="68">
        <v>1294838.1297000004</v>
      </c>
      <c r="AF233" s="69">
        <v>5500000</v>
      </c>
      <c r="AG233" s="70">
        <v>5500000</v>
      </c>
      <c r="AH233" s="70">
        <f t="shared" si="59"/>
        <v>2830913.5808000001</v>
      </c>
      <c r="AI233" s="70">
        <f t="shared" si="60"/>
        <v>3560336.2961119995</v>
      </c>
      <c r="AJ233" s="70">
        <f t="shared" si="61"/>
        <v>2211434.7861679993</v>
      </c>
      <c r="AK233" s="70">
        <f t="shared" si="62"/>
        <v>1371795.0620039999</v>
      </c>
      <c r="AL233" s="70">
        <f t="shared" si="63"/>
        <v>5523897.8991999999</v>
      </c>
      <c r="AM233" s="70">
        <f t="shared" si="64"/>
        <v>5521518.1008000001</v>
      </c>
      <c r="AN233" s="70">
        <f t="shared" si="65"/>
        <v>5500000</v>
      </c>
      <c r="AO233" s="70">
        <f t="shared" si="66"/>
        <v>5500000</v>
      </c>
    </row>
    <row r="234" spans="1:41">
      <c r="A234" s="29" t="s">
        <v>213</v>
      </c>
      <c r="B234" s="29" t="s">
        <v>815</v>
      </c>
      <c r="C234" s="107">
        <v>0</v>
      </c>
      <c r="D234" s="108">
        <v>25032669</v>
      </c>
      <c r="F234" s="107">
        <v>0</v>
      </c>
      <c r="G234" s="108">
        <v>26355275</v>
      </c>
      <c r="I234" s="64">
        <v>0</v>
      </c>
      <c r="J234" s="83">
        <v>0</v>
      </c>
      <c r="K234" s="66">
        <v>26355275</v>
      </c>
      <c r="L234" s="251">
        <v>26992619.087999996</v>
      </c>
      <c r="M234" s="63">
        <v>0</v>
      </c>
      <c r="N234" s="64">
        <v>0</v>
      </c>
      <c r="O234" s="65">
        <v>27928099.215300001</v>
      </c>
      <c r="P234" s="66">
        <v>28250000</v>
      </c>
      <c r="Q234" s="66">
        <f t="shared" si="51"/>
        <v>0</v>
      </c>
      <c r="R234" s="63">
        <f t="shared" si="52"/>
        <v>0</v>
      </c>
      <c r="S234" s="83">
        <f t="shared" si="53"/>
        <v>0</v>
      </c>
      <c r="T234" s="64">
        <f t="shared" si="54"/>
        <v>0</v>
      </c>
      <c r="U234" s="66">
        <f t="shared" si="55"/>
        <v>25728624.277199998</v>
      </c>
      <c r="V234" s="63">
        <f t="shared" si="56"/>
        <v>26690645.459105596</v>
      </c>
      <c r="W234" s="83">
        <f t="shared" si="57"/>
        <v>27484868.730985258</v>
      </c>
      <c r="X234" s="64">
        <f t="shared" si="58"/>
        <v>28097483.408209141</v>
      </c>
      <c r="Z234" s="67">
        <v>0</v>
      </c>
      <c r="AA234" s="68">
        <v>0</v>
      </c>
      <c r="AB234" s="69">
        <v>26355275</v>
      </c>
      <c r="AC234" s="70">
        <v>27673047.952199999</v>
      </c>
      <c r="AD234" s="67">
        <v>0</v>
      </c>
      <c r="AE234" s="68">
        <v>0</v>
      </c>
      <c r="AF234" s="69">
        <v>27928099.215300001</v>
      </c>
      <c r="AG234" s="70">
        <v>28250000</v>
      </c>
      <c r="AH234" s="70">
        <f t="shared" si="59"/>
        <v>0</v>
      </c>
      <c r="AI234" s="70">
        <f t="shared" si="60"/>
        <v>0</v>
      </c>
      <c r="AJ234" s="70">
        <f t="shared" si="61"/>
        <v>0</v>
      </c>
      <c r="AK234" s="70">
        <f t="shared" si="62"/>
        <v>0</v>
      </c>
      <c r="AL234" s="70">
        <f t="shared" si="63"/>
        <v>25728624.277199998</v>
      </c>
      <c r="AM234" s="70">
        <f t="shared" si="64"/>
        <v>27048687.127447639</v>
      </c>
      <c r="AN234" s="70">
        <f t="shared" si="65"/>
        <v>27807255.926843219</v>
      </c>
      <c r="AO234" s="70">
        <f t="shared" si="66"/>
        <v>28097483.408209141</v>
      </c>
    </row>
    <row r="235" spans="1:41">
      <c r="A235" s="29" t="s">
        <v>415</v>
      </c>
      <c r="B235" s="29" t="s">
        <v>816</v>
      </c>
      <c r="C235" s="107">
        <v>0</v>
      </c>
      <c r="D235" s="108">
        <v>229400</v>
      </c>
      <c r="F235" s="107">
        <v>0</v>
      </c>
      <c r="G235" s="108">
        <v>229400</v>
      </c>
      <c r="I235" s="64">
        <v>0</v>
      </c>
      <c r="J235" s="83">
        <v>0</v>
      </c>
      <c r="K235" s="66">
        <v>229400</v>
      </c>
      <c r="L235" s="251">
        <v>229400</v>
      </c>
      <c r="M235" s="63">
        <v>0</v>
      </c>
      <c r="N235" s="64">
        <v>0</v>
      </c>
      <c r="O235" s="65">
        <v>229400</v>
      </c>
      <c r="P235" s="66">
        <v>229400</v>
      </c>
      <c r="Q235" s="66">
        <f t="shared" si="51"/>
        <v>0</v>
      </c>
      <c r="R235" s="63">
        <f t="shared" si="52"/>
        <v>0</v>
      </c>
      <c r="S235" s="83">
        <f t="shared" si="53"/>
        <v>0</v>
      </c>
      <c r="T235" s="64">
        <f t="shared" si="54"/>
        <v>0</v>
      </c>
      <c r="U235" s="66">
        <f t="shared" si="55"/>
        <v>229400</v>
      </c>
      <c r="V235" s="63">
        <f t="shared" si="56"/>
        <v>229400</v>
      </c>
      <c r="W235" s="83">
        <f t="shared" si="57"/>
        <v>229400</v>
      </c>
      <c r="X235" s="64">
        <f t="shared" si="58"/>
        <v>229400</v>
      </c>
      <c r="Z235" s="67">
        <v>0</v>
      </c>
      <c r="AA235" s="68">
        <v>0</v>
      </c>
      <c r="AB235" s="69">
        <v>229400</v>
      </c>
      <c r="AC235" s="70">
        <v>229400</v>
      </c>
      <c r="AD235" s="67">
        <v>0</v>
      </c>
      <c r="AE235" s="68">
        <v>0</v>
      </c>
      <c r="AF235" s="69">
        <v>229400</v>
      </c>
      <c r="AG235" s="70">
        <v>229400</v>
      </c>
      <c r="AH235" s="70">
        <f t="shared" si="59"/>
        <v>0</v>
      </c>
      <c r="AI235" s="70">
        <f t="shared" si="60"/>
        <v>0</v>
      </c>
      <c r="AJ235" s="70">
        <f t="shared" si="61"/>
        <v>0</v>
      </c>
      <c r="AK235" s="70">
        <f t="shared" si="62"/>
        <v>0</v>
      </c>
      <c r="AL235" s="70">
        <f t="shared" si="63"/>
        <v>229400</v>
      </c>
      <c r="AM235" s="70">
        <f t="shared" si="64"/>
        <v>229400</v>
      </c>
      <c r="AN235" s="70">
        <f t="shared" si="65"/>
        <v>229400</v>
      </c>
      <c r="AO235" s="70">
        <f t="shared" si="66"/>
        <v>229400</v>
      </c>
    </row>
    <row r="236" spans="1:41">
      <c r="A236" s="29" t="s">
        <v>197</v>
      </c>
      <c r="B236" s="29" t="s">
        <v>897</v>
      </c>
      <c r="C236" s="107">
        <v>0</v>
      </c>
      <c r="D236" s="108">
        <v>352780</v>
      </c>
      <c r="F236" s="107">
        <v>0</v>
      </c>
      <c r="G236" s="108">
        <v>388058</v>
      </c>
      <c r="I236" s="64">
        <v>0</v>
      </c>
      <c r="J236" s="83">
        <v>0</v>
      </c>
      <c r="K236" s="66">
        <v>388058</v>
      </c>
      <c r="L236" s="251">
        <v>129366.98039999999</v>
      </c>
      <c r="M236" s="63">
        <v>0</v>
      </c>
      <c r="N236" s="64">
        <v>0</v>
      </c>
      <c r="O236" s="65">
        <v>132083.60339999999</v>
      </c>
      <c r="P236" s="66">
        <v>134989.42379999999</v>
      </c>
      <c r="Q236" s="66">
        <f t="shared" si="51"/>
        <v>0</v>
      </c>
      <c r="R236" s="63">
        <f t="shared" si="52"/>
        <v>0</v>
      </c>
      <c r="S236" s="83">
        <f t="shared" si="53"/>
        <v>0</v>
      </c>
      <c r="T236" s="64">
        <f t="shared" si="54"/>
        <v>0</v>
      </c>
      <c r="U236" s="66">
        <f t="shared" si="55"/>
        <v>371343.28359999997</v>
      </c>
      <c r="V236" s="63">
        <f t="shared" si="56"/>
        <v>251934.78548647999</v>
      </c>
      <c r="W236" s="83">
        <f t="shared" si="57"/>
        <v>130796.46742259999</v>
      </c>
      <c r="X236" s="64">
        <f t="shared" si="58"/>
        <v>133612.64609448001</v>
      </c>
      <c r="Z236" s="67">
        <v>0</v>
      </c>
      <c r="AA236" s="68">
        <v>0</v>
      </c>
      <c r="AB236" s="69">
        <v>388058</v>
      </c>
      <c r="AC236" s="70">
        <v>149085.8014</v>
      </c>
      <c r="AD236" s="67">
        <v>0</v>
      </c>
      <c r="AE236" s="68">
        <v>0</v>
      </c>
      <c r="AF236" s="69">
        <v>132083.60339999999</v>
      </c>
      <c r="AG236" s="70">
        <v>134989.42379999999</v>
      </c>
      <c r="AH236" s="70">
        <f t="shared" si="59"/>
        <v>0</v>
      </c>
      <c r="AI236" s="70">
        <f t="shared" si="60"/>
        <v>0</v>
      </c>
      <c r="AJ236" s="70">
        <f t="shared" si="61"/>
        <v>0</v>
      </c>
      <c r="AK236" s="70">
        <f t="shared" si="62"/>
        <v>0</v>
      </c>
      <c r="AL236" s="70">
        <f t="shared" si="63"/>
        <v>371343.28359999997</v>
      </c>
      <c r="AM236" s="70">
        <f t="shared" si="64"/>
        <v>262310.82909667998</v>
      </c>
      <c r="AN236" s="70">
        <f t="shared" si="65"/>
        <v>140139.24481239999</v>
      </c>
      <c r="AO236" s="70">
        <f t="shared" si="66"/>
        <v>133612.64609448001</v>
      </c>
    </row>
    <row r="237" spans="1:41">
      <c r="A237" s="29" t="s">
        <v>439</v>
      </c>
      <c r="B237" s="29" t="s">
        <v>817</v>
      </c>
      <c r="C237" s="107">
        <v>0</v>
      </c>
      <c r="D237" s="108">
        <v>16868639</v>
      </c>
      <c r="F237" s="107">
        <v>0</v>
      </c>
      <c r="G237" s="108">
        <v>19016000</v>
      </c>
      <c r="I237" s="64">
        <v>0</v>
      </c>
      <c r="J237" s="83">
        <v>0</v>
      </c>
      <c r="K237" s="66">
        <v>19016000</v>
      </c>
      <c r="L237" s="251">
        <v>22945000</v>
      </c>
      <c r="M237" s="63">
        <v>0</v>
      </c>
      <c r="N237" s="64">
        <v>0</v>
      </c>
      <c r="O237" s="65">
        <v>22945000</v>
      </c>
      <c r="P237" s="66">
        <v>22945000</v>
      </c>
      <c r="Q237" s="66">
        <f t="shared" si="51"/>
        <v>0</v>
      </c>
      <c r="R237" s="63">
        <f t="shared" si="52"/>
        <v>0</v>
      </c>
      <c r="S237" s="83">
        <f t="shared" si="53"/>
        <v>0</v>
      </c>
      <c r="T237" s="64">
        <f t="shared" si="54"/>
        <v>0</v>
      </c>
      <c r="U237" s="66">
        <f t="shared" si="55"/>
        <v>17998580.358199999</v>
      </c>
      <c r="V237" s="63">
        <f t="shared" si="56"/>
        <v>21083439.800000001</v>
      </c>
      <c r="W237" s="83">
        <f t="shared" si="57"/>
        <v>22945000</v>
      </c>
      <c r="X237" s="64">
        <f t="shared" si="58"/>
        <v>22945000</v>
      </c>
      <c r="Z237" s="67">
        <v>0</v>
      </c>
      <c r="AA237" s="68">
        <v>0</v>
      </c>
      <c r="AB237" s="69">
        <v>19016000</v>
      </c>
      <c r="AC237" s="70">
        <v>22945000</v>
      </c>
      <c r="AD237" s="67">
        <v>0</v>
      </c>
      <c r="AE237" s="68">
        <v>0</v>
      </c>
      <c r="AF237" s="69">
        <v>22945000</v>
      </c>
      <c r="AG237" s="70">
        <v>22945000</v>
      </c>
      <c r="AH237" s="70">
        <f t="shared" si="59"/>
        <v>0</v>
      </c>
      <c r="AI237" s="70">
        <f t="shared" si="60"/>
        <v>0</v>
      </c>
      <c r="AJ237" s="70">
        <f t="shared" si="61"/>
        <v>0</v>
      </c>
      <c r="AK237" s="70">
        <f t="shared" si="62"/>
        <v>0</v>
      </c>
      <c r="AL237" s="70">
        <f t="shared" si="63"/>
        <v>17998580.358199999</v>
      </c>
      <c r="AM237" s="70">
        <f t="shared" si="64"/>
        <v>21083439.800000001</v>
      </c>
      <c r="AN237" s="70">
        <f t="shared" si="65"/>
        <v>22945000</v>
      </c>
      <c r="AO237" s="70">
        <f t="shared" si="66"/>
        <v>22945000</v>
      </c>
    </row>
    <row r="238" spans="1:41">
      <c r="A238" s="29" t="s">
        <v>209</v>
      </c>
      <c r="B238" s="29" t="s">
        <v>818</v>
      </c>
      <c r="C238" s="107">
        <v>0</v>
      </c>
      <c r="D238" s="108">
        <v>15950000</v>
      </c>
      <c r="F238" s="107">
        <v>0</v>
      </c>
      <c r="G238" s="108">
        <v>16900000</v>
      </c>
      <c r="I238" s="64">
        <v>0</v>
      </c>
      <c r="J238" s="83">
        <v>0</v>
      </c>
      <c r="K238" s="66">
        <v>16900000</v>
      </c>
      <c r="L238" s="251">
        <v>16900000</v>
      </c>
      <c r="M238" s="63">
        <v>0</v>
      </c>
      <c r="N238" s="64">
        <v>0</v>
      </c>
      <c r="O238" s="65">
        <v>16900000</v>
      </c>
      <c r="P238" s="66">
        <v>16900000</v>
      </c>
      <c r="Q238" s="66">
        <f t="shared" si="51"/>
        <v>0</v>
      </c>
      <c r="R238" s="63">
        <f t="shared" si="52"/>
        <v>0</v>
      </c>
      <c r="S238" s="83">
        <f t="shared" si="53"/>
        <v>0</v>
      </c>
      <c r="T238" s="64">
        <f t="shared" si="54"/>
        <v>0</v>
      </c>
      <c r="U238" s="66">
        <f t="shared" si="55"/>
        <v>16449890</v>
      </c>
      <c r="V238" s="63">
        <f t="shared" si="56"/>
        <v>16900000</v>
      </c>
      <c r="W238" s="83">
        <f t="shared" si="57"/>
        <v>16900000</v>
      </c>
      <c r="X238" s="64">
        <f t="shared" si="58"/>
        <v>16900000</v>
      </c>
      <c r="Z238" s="67">
        <v>0</v>
      </c>
      <c r="AA238" s="68">
        <v>0</v>
      </c>
      <c r="AB238" s="69">
        <v>16900000</v>
      </c>
      <c r="AC238" s="70">
        <v>16900000</v>
      </c>
      <c r="AD238" s="67">
        <v>0</v>
      </c>
      <c r="AE238" s="68">
        <v>0</v>
      </c>
      <c r="AF238" s="69">
        <v>16900000</v>
      </c>
      <c r="AG238" s="70">
        <v>16900000</v>
      </c>
      <c r="AH238" s="70">
        <f t="shared" si="59"/>
        <v>0</v>
      </c>
      <c r="AI238" s="70">
        <f t="shared" si="60"/>
        <v>0</v>
      </c>
      <c r="AJ238" s="70">
        <f t="shared" si="61"/>
        <v>0</v>
      </c>
      <c r="AK238" s="70">
        <f t="shared" si="62"/>
        <v>0</v>
      </c>
      <c r="AL238" s="70">
        <f t="shared" si="63"/>
        <v>16449890</v>
      </c>
      <c r="AM238" s="70">
        <f t="shared" si="64"/>
        <v>16900000</v>
      </c>
      <c r="AN238" s="70">
        <f t="shared" si="65"/>
        <v>16900000</v>
      </c>
      <c r="AO238" s="70">
        <f t="shared" si="66"/>
        <v>16900000</v>
      </c>
    </row>
    <row r="239" spans="1:41">
      <c r="A239" s="29" t="s">
        <v>129</v>
      </c>
      <c r="B239" s="29" t="s">
        <v>819</v>
      </c>
      <c r="C239" s="107">
        <v>525078.07999999996</v>
      </c>
      <c r="D239" s="108">
        <v>579000</v>
      </c>
      <c r="F239" s="107">
        <v>527870.28</v>
      </c>
      <c r="G239" s="108">
        <v>624665.72</v>
      </c>
      <c r="I239" s="64">
        <v>516146.79</v>
      </c>
      <c r="J239" s="83">
        <v>561694.43059999996</v>
      </c>
      <c r="K239" s="66">
        <v>624665.72</v>
      </c>
      <c r="L239" s="251">
        <v>663000</v>
      </c>
      <c r="M239" s="63">
        <v>581522.38949999993</v>
      </c>
      <c r="N239" s="64">
        <v>598603.89809999999</v>
      </c>
      <c r="O239" s="65">
        <v>693706.91500000004</v>
      </c>
      <c r="P239" s="66">
        <v>709000</v>
      </c>
      <c r="Q239" s="66">
        <f t="shared" si="51"/>
        <v>518647.55119999999</v>
      </c>
      <c r="R239" s="63">
        <f t="shared" si="52"/>
        <v>548941.09123199992</v>
      </c>
      <c r="S239" s="83">
        <f t="shared" si="53"/>
        <v>575970.56100799993</v>
      </c>
      <c r="T239" s="64">
        <f t="shared" si="54"/>
        <v>593821.07569199998</v>
      </c>
      <c r="U239" s="66">
        <f t="shared" si="55"/>
        <v>603029.30186400004</v>
      </c>
      <c r="V239" s="63">
        <f t="shared" si="56"/>
        <v>644837.21813599998</v>
      </c>
      <c r="W239" s="83">
        <f t="shared" si="57"/>
        <v>679157.97867300012</v>
      </c>
      <c r="X239" s="64">
        <f t="shared" si="58"/>
        <v>701754.13632699999</v>
      </c>
      <c r="Z239" s="67">
        <v>527870.28</v>
      </c>
      <c r="AA239" s="68">
        <v>564270.05110000004</v>
      </c>
      <c r="AB239" s="69">
        <v>624665.72</v>
      </c>
      <c r="AC239" s="70">
        <v>663000</v>
      </c>
      <c r="AD239" s="67">
        <v>581522.38949999993</v>
      </c>
      <c r="AE239" s="68">
        <v>598603.89809999999</v>
      </c>
      <c r="AF239" s="69">
        <v>693706.91500000004</v>
      </c>
      <c r="AG239" s="70">
        <v>709000</v>
      </c>
      <c r="AH239" s="70">
        <f t="shared" si="59"/>
        <v>527088.46400000004</v>
      </c>
      <c r="AI239" s="70">
        <f t="shared" si="60"/>
        <v>554078.11519200006</v>
      </c>
      <c r="AJ239" s="70">
        <f t="shared" si="61"/>
        <v>576691.73474799993</v>
      </c>
      <c r="AK239" s="70">
        <f t="shared" si="62"/>
        <v>593821.07569199998</v>
      </c>
      <c r="AL239" s="70">
        <f t="shared" si="63"/>
        <v>603029.30186400004</v>
      </c>
      <c r="AM239" s="70">
        <f t="shared" si="64"/>
        <v>644837.21813599998</v>
      </c>
      <c r="AN239" s="70">
        <f t="shared" si="65"/>
        <v>679157.97867300012</v>
      </c>
      <c r="AO239" s="70">
        <f t="shared" si="66"/>
        <v>701754.13632699999</v>
      </c>
    </row>
    <row r="240" spans="1:41">
      <c r="A240" s="29" t="s">
        <v>347</v>
      </c>
      <c r="B240" s="29" t="s">
        <v>820</v>
      </c>
      <c r="C240" s="107">
        <v>505773.31</v>
      </c>
      <c r="D240" s="108">
        <v>525000</v>
      </c>
      <c r="F240" s="107">
        <v>575967.46</v>
      </c>
      <c r="G240" s="108">
        <v>525000</v>
      </c>
      <c r="I240" s="64">
        <v>575967.46</v>
      </c>
      <c r="J240" s="83">
        <v>612484.40019999992</v>
      </c>
      <c r="K240" s="66">
        <v>525000</v>
      </c>
      <c r="L240" s="251">
        <v>525000</v>
      </c>
      <c r="M240" s="63">
        <v>616221.20340000011</v>
      </c>
      <c r="N240" s="64">
        <v>621762.15780000004</v>
      </c>
      <c r="O240" s="65">
        <v>525000</v>
      </c>
      <c r="P240" s="66">
        <v>525000</v>
      </c>
      <c r="Q240" s="66">
        <f t="shared" si="51"/>
        <v>556313.098</v>
      </c>
      <c r="R240" s="63">
        <f t="shared" si="52"/>
        <v>602259.65694399993</v>
      </c>
      <c r="S240" s="83">
        <f t="shared" si="53"/>
        <v>615174.89850400004</v>
      </c>
      <c r="T240" s="64">
        <f t="shared" si="54"/>
        <v>620210.69056800008</v>
      </c>
      <c r="U240" s="66">
        <f t="shared" si="55"/>
        <v>525000</v>
      </c>
      <c r="V240" s="63">
        <f t="shared" si="56"/>
        <v>525000</v>
      </c>
      <c r="W240" s="83">
        <f t="shared" si="57"/>
        <v>525000</v>
      </c>
      <c r="X240" s="64">
        <f t="shared" si="58"/>
        <v>525000</v>
      </c>
      <c r="Z240" s="67">
        <v>575967.46</v>
      </c>
      <c r="AA240" s="68">
        <v>612484.40019999992</v>
      </c>
      <c r="AB240" s="69">
        <v>525000</v>
      </c>
      <c r="AC240" s="70">
        <v>525000</v>
      </c>
      <c r="AD240" s="67">
        <v>616221.20340000011</v>
      </c>
      <c r="AE240" s="68">
        <v>621762.15780000004</v>
      </c>
      <c r="AF240" s="69">
        <v>525000</v>
      </c>
      <c r="AG240" s="70">
        <v>525000</v>
      </c>
      <c r="AH240" s="70">
        <f t="shared" si="59"/>
        <v>556313.098</v>
      </c>
      <c r="AI240" s="70">
        <f t="shared" si="60"/>
        <v>602259.65694399993</v>
      </c>
      <c r="AJ240" s="70">
        <f t="shared" si="61"/>
        <v>615174.89850400004</v>
      </c>
      <c r="AK240" s="70">
        <f t="shared" si="62"/>
        <v>620210.69056800008</v>
      </c>
      <c r="AL240" s="70">
        <f t="shared" si="63"/>
        <v>525000</v>
      </c>
      <c r="AM240" s="70">
        <f t="shared" si="64"/>
        <v>525000</v>
      </c>
      <c r="AN240" s="70">
        <f t="shared" si="65"/>
        <v>525000</v>
      </c>
      <c r="AO240" s="70">
        <f t="shared" si="66"/>
        <v>525000</v>
      </c>
    </row>
    <row r="241" spans="1:41">
      <c r="A241" s="29" t="s">
        <v>235</v>
      </c>
      <c r="B241" s="29" t="s">
        <v>821</v>
      </c>
      <c r="C241" s="107">
        <v>743277.16</v>
      </c>
      <c r="D241" s="108">
        <v>25520460</v>
      </c>
      <c r="F241" s="107">
        <v>0</v>
      </c>
      <c r="G241" s="108">
        <v>27880220</v>
      </c>
      <c r="I241" s="64">
        <v>0</v>
      </c>
      <c r="J241" s="83">
        <v>0</v>
      </c>
      <c r="K241" s="66">
        <v>27880220</v>
      </c>
      <c r="L241" s="251">
        <v>28661551.009599999</v>
      </c>
      <c r="M241" s="63">
        <v>0</v>
      </c>
      <c r="N241" s="64">
        <v>0</v>
      </c>
      <c r="O241" s="65">
        <v>29654855.731400002</v>
      </c>
      <c r="P241" s="66">
        <v>30829673.998199999</v>
      </c>
      <c r="Q241" s="66">
        <f t="shared" si="51"/>
        <v>208117.60480000003</v>
      </c>
      <c r="R241" s="63">
        <f t="shared" si="52"/>
        <v>0</v>
      </c>
      <c r="S241" s="83">
        <f t="shared" si="53"/>
        <v>0</v>
      </c>
      <c r="T241" s="64">
        <f t="shared" si="54"/>
        <v>0</v>
      </c>
      <c r="U241" s="66">
        <f t="shared" si="55"/>
        <v>26762165.712000001</v>
      </c>
      <c r="V241" s="63">
        <f t="shared" si="56"/>
        <v>28291356.377251521</v>
      </c>
      <c r="W241" s="83">
        <f t="shared" si="57"/>
        <v>29184227.954211161</v>
      </c>
      <c r="X241" s="64">
        <f t="shared" si="58"/>
        <v>30273045.103390161</v>
      </c>
      <c r="Z241" s="67">
        <v>0</v>
      </c>
      <c r="AA241" s="68">
        <v>0</v>
      </c>
      <c r="AB241" s="69">
        <v>27880220</v>
      </c>
      <c r="AC241" s="70">
        <v>28661551.009599999</v>
      </c>
      <c r="AD241" s="67">
        <v>0</v>
      </c>
      <c r="AE241" s="68">
        <v>0</v>
      </c>
      <c r="AF241" s="69">
        <v>29654855.731400002</v>
      </c>
      <c r="AG241" s="70">
        <v>30829673.998199999</v>
      </c>
      <c r="AH241" s="70">
        <f t="shared" si="59"/>
        <v>208117.60480000003</v>
      </c>
      <c r="AI241" s="70">
        <f t="shared" si="60"/>
        <v>0</v>
      </c>
      <c r="AJ241" s="70">
        <f t="shared" si="61"/>
        <v>0</v>
      </c>
      <c r="AK241" s="70">
        <f t="shared" si="62"/>
        <v>0</v>
      </c>
      <c r="AL241" s="70">
        <f t="shared" si="63"/>
        <v>26762165.712000001</v>
      </c>
      <c r="AM241" s="70">
        <f t="shared" si="64"/>
        <v>28291356.377251521</v>
      </c>
      <c r="AN241" s="70">
        <f t="shared" si="65"/>
        <v>29184227.954211161</v>
      </c>
      <c r="AO241" s="70">
        <f t="shared" si="66"/>
        <v>30273045.103390161</v>
      </c>
    </row>
    <row r="242" spans="1:41">
      <c r="A242" s="29" t="s">
        <v>171</v>
      </c>
      <c r="B242" s="29" t="s">
        <v>822</v>
      </c>
      <c r="C242" s="107">
        <v>0</v>
      </c>
      <c r="D242" s="108">
        <v>3347945</v>
      </c>
      <c r="F242" s="107">
        <v>0</v>
      </c>
      <c r="G242" s="108">
        <v>3516049</v>
      </c>
      <c r="I242" s="64">
        <v>0</v>
      </c>
      <c r="J242" s="83">
        <v>0</v>
      </c>
      <c r="K242" s="66">
        <v>3516049</v>
      </c>
      <c r="L242" s="251">
        <v>3496218.9297999996</v>
      </c>
      <c r="M242" s="63">
        <v>0</v>
      </c>
      <c r="N242" s="64">
        <v>0</v>
      </c>
      <c r="O242" s="65">
        <v>3617397.8058000002</v>
      </c>
      <c r="P242" s="66">
        <v>3760690.0022999998</v>
      </c>
      <c r="Q242" s="66">
        <f t="shared" si="51"/>
        <v>0</v>
      </c>
      <c r="R242" s="63">
        <f t="shared" si="52"/>
        <v>0</v>
      </c>
      <c r="S242" s="83">
        <f t="shared" si="53"/>
        <v>0</v>
      </c>
      <c r="T242" s="64">
        <f t="shared" si="54"/>
        <v>0</v>
      </c>
      <c r="U242" s="66">
        <f t="shared" si="55"/>
        <v>3436401.3248000001</v>
      </c>
      <c r="V242" s="63">
        <f t="shared" si="56"/>
        <v>3505614.4170607598</v>
      </c>
      <c r="W242" s="83">
        <f t="shared" si="57"/>
        <v>3559983.2543511996</v>
      </c>
      <c r="X242" s="64">
        <f t="shared" si="58"/>
        <v>3692798.1595983002</v>
      </c>
      <c r="Z242" s="67">
        <v>0</v>
      </c>
      <c r="AA242" s="68">
        <v>0</v>
      </c>
      <c r="AB242" s="69">
        <v>3516049</v>
      </c>
      <c r="AC242" s="70">
        <v>3691852.6634</v>
      </c>
      <c r="AD242" s="67">
        <v>0</v>
      </c>
      <c r="AE242" s="68">
        <v>0</v>
      </c>
      <c r="AF242" s="69">
        <v>3617397.8058000002</v>
      </c>
      <c r="AG242" s="70">
        <v>3760690.0022999998</v>
      </c>
      <c r="AH242" s="70">
        <f t="shared" si="59"/>
        <v>0</v>
      </c>
      <c r="AI242" s="70">
        <f t="shared" si="60"/>
        <v>0</v>
      </c>
      <c r="AJ242" s="70">
        <f t="shared" si="61"/>
        <v>0</v>
      </c>
      <c r="AK242" s="70">
        <f t="shared" si="62"/>
        <v>0</v>
      </c>
      <c r="AL242" s="70">
        <f t="shared" si="63"/>
        <v>3436401.3248000001</v>
      </c>
      <c r="AM242" s="70">
        <f t="shared" si="64"/>
        <v>3608556.88768108</v>
      </c>
      <c r="AN242" s="70">
        <f t="shared" si="65"/>
        <v>3652674.5173308803</v>
      </c>
      <c r="AO242" s="70">
        <f t="shared" si="66"/>
        <v>3692798.1595983002</v>
      </c>
    </row>
    <row r="243" spans="1:41">
      <c r="A243" s="29" t="s">
        <v>313</v>
      </c>
      <c r="B243" s="29" t="s">
        <v>823</v>
      </c>
      <c r="C243" s="107">
        <v>72924.66</v>
      </c>
      <c r="D243" s="108">
        <v>597090</v>
      </c>
      <c r="F243" s="107">
        <v>35906.17</v>
      </c>
      <c r="G243" s="108">
        <v>609032</v>
      </c>
      <c r="I243" s="64">
        <v>11748.69</v>
      </c>
      <c r="J243" s="83">
        <v>173594.18599999999</v>
      </c>
      <c r="K243" s="66">
        <v>609032</v>
      </c>
      <c r="L243" s="251">
        <v>609032</v>
      </c>
      <c r="M243" s="63">
        <v>133501.47839999993</v>
      </c>
      <c r="N243" s="64">
        <v>84370.046100000051</v>
      </c>
      <c r="O243" s="65">
        <v>609032</v>
      </c>
      <c r="P243" s="66">
        <v>609032</v>
      </c>
      <c r="Q243" s="66">
        <f t="shared" si="51"/>
        <v>28877.961600000002</v>
      </c>
      <c r="R243" s="63">
        <f t="shared" si="52"/>
        <v>128277.44711999998</v>
      </c>
      <c r="S243" s="83">
        <f t="shared" si="53"/>
        <v>144727.43652799993</v>
      </c>
      <c r="T243" s="64">
        <f t="shared" si="54"/>
        <v>98126.847144000028</v>
      </c>
      <c r="U243" s="66">
        <f t="shared" si="55"/>
        <v>603373.88040000002</v>
      </c>
      <c r="V243" s="63">
        <f t="shared" si="56"/>
        <v>609032</v>
      </c>
      <c r="W243" s="83">
        <f t="shared" si="57"/>
        <v>609032</v>
      </c>
      <c r="X243" s="64">
        <f t="shared" si="58"/>
        <v>609032</v>
      </c>
      <c r="Z243" s="67">
        <v>35906.17</v>
      </c>
      <c r="AA243" s="68">
        <v>173594.18599999999</v>
      </c>
      <c r="AB243" s="69">
        <v>609032</v>
      </c>
      <c r="AC243" s="70">
        <v>609032</v>
      </c>
      <c r="AD243" s="67">
        <v>133501.47839999993</v>
      </c>
      <c r="AE243" s="68">
        <v>84370.046100000051</v>
      </c>
      <c r="AF243" s="69">
        <v>609032</v>
      </c>
      <c r="AG243" s="70">
        <v>609032</v>
      </c>
      <c r="AH243" s="70">
        <f t="shared" si="59"/>
        <v>46271.347200000004</v>
      </c>
      <c r="AI243" s="70">
        <f t="shared" si="60"/>
        <v>135041.54152</v>
      </c>
      <c r="AJ243" s="70">
        <f t="shared" si="61"/>
        <v>144727.43652799993</v>
      </c>
      <c r="AK243" s="70">
        <f t="shared" si="62"/>
        <v>98126.847144000028</v>
      </c>
      <c r="AL243" s="70">
        <f t="shared" si="63"/>
        <v>603373.88040000002</v>
      </c>
      <c r="AM243" s="70">
        <f t="shared" si="64"/>
        <v>609032</v>
      </c>
      <c r="AN243" s="70">
        <f t="shared" si="65"/>
        <v>609032</v>
      </c>
      <c r="AO243" s="70">
        <f t="shared" si="66"/>
        <v>609032</v>
      </c>
    </row>
    <row r="244" spans="1:41">
      <c r="A244" s="29" t="s">
        <v>451</v>
      </c>
      <c r="B244" s="29" t="s">
        <v>824</v>
      </c>
      <c r="C244" s="107">
        <v>11401178.300000001</v>
      </c>
      <c r="D244" s="108">
        <v>38000000</v>
      </c>
      <c r="F244" s="107">
        <v>9952996.5600000005</v>
      </c>
      <c r="G244" s="108">
        <v>65700000</v>
      </c>
      <c r="I244" s="64">
        <v>7058903.8700000001</v>
      </c>
      <c r="J244" s="83">
        <v>6001637.576100003</v>
      </c>
      <c r="K244" s="66">
        <v>65700000</v>
      </c>
      <c r="L244" s="251">
        <v>73800000</v>
      </c>
      <c r="M244" s="63">
        <v>4514612.8142999904</v>
      </c>
      <c r="N244" s="64">
        <v>2951917.7273999983</v>
      </c>
      <c r="O244" s="65">
        <v>80029483.397499993</v>
      </c>
      <c r="P244" s="66">
        <v>82100000</v>
      </c>
      <c r="Q244" s="66">
        <f t="shared" si="51"/>
        <v>8274740.7104000002</v>
      </c>
      <c r="R244" s="63">
        <f t="shared" si="52"/>
        <v>6297672.1383920023</v>
      </c>
      <c r="S244" s="83">
        <f t="shared" si="53"/>
        <v>4930979.7476039939</v>
      </c>
      <c r="T244" s="64">
        <f t="shared" si="54"/>
        <v>3389472.3517319961</v>
      </c>
      <c r="U244" s="66">
        <f t="shared" si="55"/>
        <v>52575740</v>
      </c>
      <c r="V244" s="63">
        <f t="shared" si="56"/>
        <v>69962220</v>
      </c>
      <c r="W244" s="83">
        <f t="shared" si="57"/>
        <v>77077954.163764507</v>
      </c>
      <c r="X244" s="64">
        <f t="shared" si="58"/>
        <v>81118989.233735502</v>
      </c>
      <c r="Z244" s="67">
        <v>9952996.5600000005</v>
      </c>
      <c r="AA244" s="68">
        <v>8553260.398199996</v>
      </c>
      <c r="AB244" s="69">
        <v>65700000</v>
      </c>
      <c r="AC244" s="70">
        <v>73800000</v>
      </c>
      <c r="AD244" s="67">
        <v>4514612.8142999904</v>
      </c>
      <c r="AE244" s="68">
        <v>2951917.7273999983</v>
      </c>
      <c r="AF244" s="69">
        <v>80029483.397499993</v>
      </c>
      <c r="AG244" s="70">
        <v>82100000</v>
      </c>
      <c r="AH244" s="70">
        <f t="shared" si="59"/>
        <v>10358487.4472</v>
      </c>
      <c r="AI244" s="70">
        <f t="shared" si="60"/>
        <v>8945186.5235039964</v>
      </c>
      <c r="AJ244" s="70">
        <f t="shared" si="61"/>
        <v>5645434.1377919922</v>
      </c>
      <c r="AK244" s="70">
        <f t="shared" si="62"/>
        <v>3389472.3517319961</v>
      </c>
      <c r="AL244" s="70">
        <f t="shared" si="63"/>
        <v>52575740</v>
      </c>
      <c r="AM244" s="70">
        <f t="shared" si="64"/>
        <v>69962220</v>
      </c>
      <c r="AN244" s="70">
        <f t="shared" si="65"/>
        <v>77077954.163764507</v>
      </c>
      <c r="AO244" s="70">
        <f t="shared" si="66"/>
        <v>81118989.233735502</v>
      </c>
    </row>
    <row r="245" spans="1:41">
      <c r="A245" s="29" t="s">
        <v>297</v>
      </c>
      <c r="B245" s="29" t="s">
        <v>825</v>
      </c>
      <c r="C245" s="107">
        <v>0</v>
      </c>
      <c r="D245" s="108">
        <v>163955</v>
      </c>
      <c r="F245" s="107">
        <v>0</v>
      </c>
      <c r="G245" s="108">
        <v>180291</v>
      </c>
      <c r="I245" s="64">
        <v>0</v>
      </c>
      <c r="J245" s="83">
        <v>0</v>
      </c>
      <c r="K245" s="66">
        <v>180291</v>
      </c>
      <c r="L245" s="251">
        <v>195000</v>
      </c>
      <c r="M245" s="63">
        <v>0</v>
      </c>
      <c r="N245" s="64">
        <v>0</v>
      </c>
      <c r="O245" s="65">
        <v>195000</v>
      </c>
      <c r="P245" s="66">
        <v>195000</v>
      </c>
      <c r="Q245" s="66">
        <f t="shared" si="51"/>
        <v>0</v>
      </c>
      <c r="R245" s="63">
        <f t="shared" si="52"/>
        <v>0</v>
      </c>
      <c r="S245" s="83">
        <f t="shared" si="53"/>
        <v>0</v>
      </c>
      <c r="T245" s="64">
        <f t="shared" si="54"/>
        <v>0</v>
      </c>
      <c r="U245" s="66">
        <f t="shared" si="55"/>
        <v>172551.00320000001</v>
      </c>
      <c r="V245" s="63">
        <f t="shared" si="56"/>
        <v>188030.87579999998</v>
      </c>
      <c r="W245" s="83">
        <f t="shared" si="57"/>
        <v>195000</v>
      </c>
      <c r="X245" s="64">
        <f t="shared" si="58"/>
        <v>195000</v>
      </c>
      <c r="Z245" s="67">
        <v>0</v>
      </c>
      <c r="AA245" s="68">
        <v>0</v>
      </c>
      <c r="AB245" s="69">
        <v>180291</v>
      </c>
      <c r="AC245" s="70">
        <v>195000</v>
      </c>
      <c r="AD245" s="67">
        <v>0</v>
      </c>
      <c r="AE245" s="68">
        <v>0</v>
      </c>
      <c r="AF245" s="69">
        <v>195000</v>
      </c>
      <c r="AG245" s="70">
        <v>195000</v>
      </c>
      <c r="AH245" s="70">
        <f t="shared" si="59"/>
        <v>0</v>
      </c>
      <c r="AI245" s="70">
        <f t="shared" si="60"/>
        <v>0</v>
      </c>
      <c r="AJ245" s="70">
        <f t="shared" si="61"/>
        <v>0</v>
      </c>
      <c r="AK245" s="70">
        <f t="shared" si="62"/>
        <v>0</v>
      </c>
      <c r="AL245" s="70">
        <f t="shared" si="63"/>
        <v>172551.00320000001</v>
      </c>
      <c r="AM245" s="70">
        <f t="shared" si="64"/>
        <v>188030.87579999998</v>
      </c>
      <c r="AN245" s="70">
        <f t="shared" si="65"/>
        <v>195000</v>
      </c>
      <c r="AO245" s="70">
        <f t="shared" si="66"/>
        <v>195000</v>
      </c>
    </row>
    <row r="246" spans="1:41">
      <c r="A246" s="29" t="s">
        <v>577</v>
      </c>
      <c r="B246" s="29" t="s">
        <v>937</v>
      </c>
      <c r="C246" s="107">
        <v>0</v>
      </c>
      <c r="D246" s="108">
        <v>359352</v>
      </c>
      <c r="F246" s="107">
        <v>0</v>
      </c>
      <c r="G246" s="108">
        <v>375000</v>
      </c>
      <c r="I246" s="64">
        <v>0</v>
      </c>
      <c r="J246" s="83">
        <v>0</v>
      </c>
      <c r="K246" s="66">
        <v>375000</v>
      </c>
      <c r="L246" s="251">
        <v>376586.30119999999</v>
      </c>
      <c r="M246" s="63">
        <v>0</v>
      </c>
      <c r="N246" s="64">
        <v>0</v>
      </c>
      <c r="O246" s="65">
        <v>389667.20380000008</v>
      </c>
      <c r="P246" s="66">
        <v>405178.53529999993</v>
      </c>
      <c r="Q246" s="66">
        <f t="shared" si="51"/>
        <v>0</v>
      </c>
      <c r="R246" s="63">
        <f t="shared" si="52"/>
        <v>0</v>
      </c>
      <c r="S246" s="83">
        <f t="shared" si="53"/>
        <v>0</v>
      </c>
      <c r="T246" s="64">
        <f t="shared" si="54"/>
        <v>0</v>
      </c>
      <c r="U246" s="66">
        <f t="shared" si="55"/>
        <v>367585.97759999998</v>
      </c>
      <c r="V246" s="63">
        <f t="shared" si="56"/>
        <v>375834.71169143997</v>
      </c>
      <c r="W246" s="83">
        <f t="shared" si="57"/>
        <v>383469.47214812005</v>
      </c>
      <c r="X246" s="64">
        <f t="shared" si="58"/>
        <v>397829.2664353</v>
      </c>
      <c r="Z246" s="67">
        <v>0</v>
      </c>
      <c r="AA246" s="68">
        <v>0</v>
      </c>
      <c r="AB246" s="69">
        <v>375000</v>
      </c>
      <c r="AC246" s="70">
        <v>394462.77979999996</v>
      </c>
      <c r="AD246" s="67">
        <v>0</v>
      </c>
      <c r="AE246" s="68">
        <v>0</v>
      </c>
      <c r="AF246" s="69">
        <v>389667.20380000008</v>
      </c>
      <c r="AG246" s="70">
        <v>405178.53529999993</v>
      </c>
      <c r="AH246" s="70">
        <f t="shared" si="59"/>
        <v>0</v>
      </c>
      <c r="AI246" s="70">
        <f t="shared" si="60"/>
        <v>0</v>
      </c>
      <c r="AJ246" s="70">
        <f t="shared" si="61"/>
        <v>0</v>
      </c>
      <c r="AK246" s="70">
        <f t="shared" si="62"/>
        <v>0</v>
      </c>
      <c r="AL246" s="70">
        <f t="shared" si="63"/>
        <v>367585.97759999998</v>
      </c>
      <c r="AM246" s="70">
        <f t="shared" si="64"/>
        <v>385241.31473075994</v>
      </c>
      <c r="AN246" s="70">
        <f t="shared" si="65"/>
        <v>391939.34770879999</v>
      </c>
      <c r="AO246" s="70">
        <f t="shared" si="66"/>
        <v>397829.2664353</v>
      </c>
    </row>
    <row r="247" spans="1:41">
      <c r="A247" s="29" t="s">
        <v>449</v>
      </c>
      <c r="B247" s="29" t="s">
        <v>826</v>
      </c>
      <c r="C247" s="107">
        <v>0</v>
      </c>
      <c r="D247" s="108">
        <v>12314373</v>
      </c>
      <c r="F247" s="107">
        <v>0</v>
      </c>
      <c r="G247" s="108">
        <v>12967481</v>
      </c>
      <c r="I247" s="64">
        <v>0</v>
      </c>
      <c r="J247" s="83">
        <v>0</v>
      </c>
      <c r="K247" s="66">
        <v>12967481</v>
      </c>
      <c r="L247" s="251">
        <v>13134289.262399999</v>
      </c>
      <c r="M247" s="63">
        <v>0</v>
      </c>
      <c r="N247" s="64">
        <v>0</v>
      </c>
      <c r="O247" s="65">
        <v>13589739.253600001</v>
      </c>
      <c r="P247" s="66">
        <v>14128502.534299999</v>
      </c>
      <c r="Q247" s="66">
        <f t="shared" si="51"/>
        <v>0</v>
      </c>
      <c r="R247" s="63">
        <f t="shared" si="52"/>
        <v>0</v>
      </c>
      <c r="S247" s="83">
        <f t="shared" si="53"/>
        <v>0</v>
      </c>
      <c r="T247" s="64">
        <f t="shared" si="54"/>
        <v>0</v>
      </c>
      <c r="U247" s="66">
        <f t="shared" si="55"/>
        <v>12658038.4296</v>
      </c>
      <c r="V247" s="63">
        <f t="shared" si="56"/>
        <v>13055255.50767488</v>
      </c>
      <c r="W247" s="83">
        <f t="shared" si="57"/>
        <v>13373947.04776944</v>
      </c>
      <c r="X247" s="64">
        <f t="shared" si="58"/>
        <v>13873236.491904341</v>
      </c>
      <c r="Z247" s="67">
        <v>0</v>
      </c>
      <c r="AA247" s="68">
        <v>0</v>
      </c>
      <c r="AB247" s="69">
        <v>12967481</v>
      </c>
      <c r="AC247" s="70">
        <v>13636010.913799999</v>
      </c>
      <c r="AD247" s="67">
        <v>0</v>
      </c>
      <c r="AE247" s="68">
        <v>0</v>
      </c>
      <c r="AF247" s="69">
        <v>13589739.253600001</v>
      </c>
      <c r="AG247" s="70">
        <v>14128502.534299999</v>
      </c>
      <c r="AH247" s="70">
        <f t="shared" si="59"/>
        <v>0</v>
      </c>
      <c r="AI247" s="70">
        <f t="shared" si="60"/>
        <v>0</v>
      </c>
      <c r="AJ247" s="70">
        <f t="shared" si="61"/>
        <v>0</v>
      </c>
      <c r="AK247" s="70">
        <f t="shared" si="62"/>
        <v>0</v>
      </c>
      <c r="AL247" s="70">
        <f t="shared" si="63"/>
        <v>12658038.4296</v>
      </c>
      <c r="AM247" s="70">
        <f t="shared" si="64"/>
        <v>13319261.44064156</v>
      </c>
      <c r="AN247" s="70">
        <f t="shared" si="65"/>
        <v>13611662.766202759</v>
      </c>
      <c r="AO247" s="70">
        <f t="shared" si="66"/>
        <v>13873236.491904341</v>
      </c>
    </row>
    <row r="248" spans="1:41">
      <c r="A248" s="29" t="s">
        <v>115</v>
      </c>
      <c r="B248" s="29" t="s">
        <v>902</v>
      </c>
      <c r="C248" s="107">
        <v>0</v>
      </c>
      <c r="D248" s="108">
        <v>0</v>
      </c>
      <c r="F248" s="107">
        <v>0</v>
      </c>
      <c r="G248" s="108">
        <v>0</v>
      </c>
      <c r="I248" s="64">
        <v>0</v>
      </c>
      <c r="J248" s="83">
        <v>0</v>
      </c>
      <c r="K248" s="66">
        <v>0</v>
      </c>
      <c r="L248" s="251">
        <v>0</v>
      </c>
      <c r="M248" s="63">
        <v>0</v>
      </c>
      <c r="N248" s="64">
        <v>0</v>
      </c>
      <c r="O248" s="65">
        <v>0</v>
      </c>
      <c r="P248" s="66">
        <v>0</v>
      </c>
      <c r="Q248" s="66">
        <f t="shared" si="51"/>
        <v>0</v>
      </c>
      <c r="R248" s="63">
        <f t="shared" si="52"/>
        <v>0</v>
      </c>
      <c r="S248" s="83">
        <f t="shared" si="53"/>
        <v>0</v>
      </c>
      <c r="T248" s="64">
        <f t="shared" si="54"/>
        <v>0</v>
      </c>
      <c r="U248" s="66">
        <f t="shared" si="55"/>
        <v>0</v>
      </c>
      <c r="V248" s="63">
        <f t="shared" si="56"/>
        <v>0</v>
      </c>
      <c r="W248" s="83">
        <f t="shared" si="57"/>
        <v>0</v>
      </c>
      <c r="X248" s="64">
        <f t="shared" si="58"/>
        <v>0</v>
      </c>
      <c r="Z248" s="67">
        <v>0</v>
      </c>
      <c r="AA248" s="68">
        <v>0</v>
      </c>
      <c r="AB248" s="69">
        <v>0</v>
      </c>
      <c r="AC248" s="70">
        <v>0</v>
      </c>
      <c r="AD248" s="67">
        <v>0</v>
      </c>
      <c r="AE248" s="68">
        <v>0</v>
      </c>
      <c r="AF248" s="69">
        <v>0</v>
      </c>
      <c r="AG248" s="70">
        <v>0</v>
      </c>
      <c r="AH248" s="70">
        <f t="shared" si="59"/>
        <v>0</v>
      </c>
      <c r="AI248" s="70">
        <f t="shared" si="60"/>
        <v>0</v>
      </c>
      <c r="AJ248" s="70">
        <f t="shared" si="61"/>
        <v>0</v>
      </c>
      <c r="AK248" s="70">
        <f t="shared" si="62"/>
        <v>0</v>
      </c>
      <c r="AL248" s="70">
        <f t="shared" si="63"/>
        <v>0</v>
      </c>
      <c r="AM248" s="70">
        <f t="shared" si="64"/>
        <v>0</v>
      </c>
      <c r="AN248" s="70">
        <f t="shared" si="65"/>
        <v>0</v>
      </c>
      <c r="AO248" s="70">
        <f t="shared" si="66"/>
        <v>0</v>
      </c>
    </row>
    <row r="249" spans="1:41">
      <c r="A249" s="29" t="s">
        <v>75</v>
      </c>
      <c r="B249" s="29" t="s">
        <v>903</v>
      </c>
      <c r="C249" s="107">
        <v>0</v>
      </c>
      <c r="D249" s="108">
        <v>0</v>
      </c>
      <c r="F249" s="107">
        <v>0</v>
      </c>
      <c r="G249" s="108">
        <v>0</v>
      </c>
      <c r="I249" s="64">
        <v>0</v>
      </c>
      <c r="J249" s="83">
        <v>0</v>
      </c>
      <c r="K249" s="66">
        <v>0</v>
      </c>
      <c r="L249" s="251">
        <v>0</v>
      </c>
      <c r="M249" s="63">
        <v>0</v>
      </c>
      <c r="N249" s="64">
        <v>0</v>
      </c>
      <c r="O249" s="65">
        <v>0</v>
      </c>
      <c r="P249" s="66">
        <v>0</v>
      </c>
      <c r="Q249" s="66">
        <f t="shared" si="51"/>
        <v>0</v>
      </c>
      <c r="R249" s="63">
        <f t="shared" si="52"/>
        <v>0</v>
      </c>
      <c r="S249" s="83">
        <f t="shared" si="53"/>
        <v>0</v>
      </c>
      <c r="T249" s="64">
        <f t="shared" si="54"/>
        <v>0</v>
      </c>
      <c r="U249" s="66">
        <f t="shared" si="55"/>
        <v>0</v>
      </c>
      <c r="V249" s="63">
        <f t="shared" si="56"/>
        <v>0</v>
      </c>
      <c r="W249" s="83">
        <f t="shared" si="57"/>
        <v>0</v>
      </c>
      <c r="X249" s="64">
        <f t="shared" si="58"/>
        <v>0</v>
      </c>
      <c r="Z249" s="67">
        <v>0</v>
      </c>
      <c r="AA249" s="68">
        <v>0</v>
      </c>
      <c r="AB249" s="69">
        <v>0</v>
      </c>
      <c r="AC249" s="70">
        <v>0</v>
      </c>
      <c r="AD249" s="67">
        <v>0</v>
      </c>
      <c r="AE249" s="68">
        <v>0</v>
      </c>
      <c r="AF249" s="69">
        <v>0</v>
      </c>
      <c r="AG249" s="70">
        <v>0</v>
      </c>
      <c r="AH249" s="70">
        <f t="shared" si="59"/>
        <v>0</v>
      </c>
      <c r="AI249" s="70">
        <f t="shared" si="60"/>
        <v>0</v>
      </c>
      <c r="AJ249" s="70">
        <f t="shared" si="61"/>
        <v>0</v>
      </c>
      <c r="AK249" s="70">
        <f t="shared" si="62"/>
        <v>0</v>
      </c>
      <c r="AL249" s="70">
        <f t="shared" si="63"/>
        <v>0</v>
      </c>
      <c r="AM249" s="70">
        <f t="shared" si="64"/>
        <v>0</v>
      </c>
      <c r="AN249" s="70">
        <f t="shared" si="65"/>
        <v>0</v>
      </c>
      <c r="AO249" s="70">
        <f t="shared" si="66"/>
        <v>0</v>
      </c>
    </row>
    <row r="250" spans="1:41">
      <c r="A250" s="29" t="s">
        <v>31</v>
      </c>
      <c r="B250" s="29" t="s">
        <v>907</v>
      </c>
      <c r="C250" s="107">
        <v>0</v>
      </c>
      <c r="D250" s="108">
        <v>0</v>
      </c>
      <c r="F250" s="107">
        <v>0</v>
      </c>
      <c r="G250" s="108">
        <v>0</v>
      </c>
      <c r="I250" s="64">
        <v>0</v>
      </c>
      <c r="J250" s="83">
        <v>0</v>
      </c>
      <c r="K250" s="66">
        <v>0</v>
      </c>
      <c r="L250" s="251">
        <v>0</v>
      </c>
      <c r="M250" s="63">
        <v>0</v>
      </c>
      <c r="N250" s="64">
        <v>0</v>
      </c>
      <c r="O250" s="65">
        <v>0</v>
      </c>
      <c r="P250" s="66">
        <v>0</v>
      </c>
      <c r="Q250" s="66">
        <f t="shared" si="51"/>
        <v>0</v>
      </c>
      <c r="R250" s="63">
        <f t="shared" si="52"/>
        <v>0</v>
      </c>
      <c r="S250" s="83">
        <f t="shared" si="53"/>
        <v>0</v>
      </c>
      <c r="T250" s="64">
        <f t="shared" si="54"/>
        <v>0</v>
      </c>
      <c r="U250" s="66">
        <f t="shared" si="55"/>
        <v>0</v>
      </c>
      <c r="V250" s="63">
        <f t="shared" si="56"/>
        <v>0</v>
      </c>
      <c r="W250" s="83">
        <f t="shared" si="57"/>
        <v>0</v>
      </c>
      <c r="X250" s="64">
        <f t="shared" si="58"/>
        <v>0</v>
      </c>
      <c r="Z250" s="67">
        <v>0</v>
      </c>
      <c r="AA250" s="68">
        <v>0</v>
      </c>
      <c r="AB250" s="69">
        <v>0</v>
      </c>
      <c r="AC250" s="70">
        <v>0</v>
      </c>
      <c r="AD250" s="67">
        <v>0</v>
      </c>
      <c r="AE250" s="68">
        <v>0</v>
      </c>
      <c r="AF250" s="69">
        <v>0</v>
      </c>
      <c r="AG250" s="70">
        <v>0</v>
      </c>
      <c r="AH250" s="70">
        <f t="shared" si="59"/>
        <v>0</v>
      </c>
      <c r="AI250" s="70">
        <f t="shared" si="60"/>
        <v>0</v>
      </c>
      <c r="AJ250" s="70">
        <f t="shared" si="61"/>
        <v>0</v>
      </c>
      <c r="AK250" s="70">
        <f t="shared" si="62"/>
        <v>0</v>
      </c>
      <c r="AL250" s="70">
        <f t="shared" si="63"/>
        <v>0</v>
      </c>
      <c r="AM250" s="70">
        <f t="shared" si="64"/>
        <v>0</v>
      </c>
      <c r="AN250" s="70">
        <f t="shared" si="65"/>
        <v>0</v>
      </c>
      <c r="AO250" s="70">
        <f t="shared" si="66"/>
        <v>0</v>
      </c>
    </row>
    <row r="251" spans="1:41">
      <c r="A251" s="29" t="s">
        <v>361</v>
      </c>
      <c r="B251" s="29" t="s">
        <v>827</v>
      </c>
      <c r="C251" s="107">
        <v>0</v>
      </c>
      <c r="D251" s="108">
        <v>6025000</v>
      </c>
      <c r="F251" s="107">
        <v>0</v>
      </c>
      <c r="G251" s="108">
        <v>6625000</v>
      </c>
      <c r="I251" s="64">
        <v>0</v>
      </c>
      <c r="J251" s="83">
        <v>0</v>
      </c>
      <c r="K251" s="66">
        <v>6625000</v>
      </c>
      <c r="L251" s="251">
        <v>6625000</v>
      </c>
      <c r="M251" s="63">
        <v>0</v>
      </c>
      <c r="N251" s="64">
        <v>0</v>
      </c>
      <c r="O251" s="65">
        <v>6625000</v>
      </c>
      <c r="P251" s="66">
        <v>6625000</v>
      </c>
      <c r="Q251" s="66">
        <f t="shared" si="51"/>
        <v>0</v>
      </c>
      <c r="R251" s="63">
        <f t="shared" si="52"/>
        <v>0</v>
      </c>
      <c r="S251" s="83">
        <f t="shared" si="53"/>
        <v>0</v>
      </c>
      <c r="T251" s="64">
        <f t="shared" si="54"/>
        <v>0</v>
      </c>
      <c r="U251" s="66">
        <f t="shared" si="55"/>
        <v>6340720</v>
      </c>
      <c r="V251" s="63">
        <f t="shared" si="56"/>
        <v>6625000</v>
      </c>
      <c r="W251" s="83">
        <f t="shared" si="57"/>
        <v>6625000</v>
      </c>
      <c r="X251" s="64">
        <f t="shared" si="58"/>
        <v>6625000</v>
      </c>
      <c r="Z251" s="67">
        <v>0</v>
      </c>
      <c r="AA251" s="68">
        <v>0</v>
      </c>
      <c r="AB251" s="69">
        <v>6625000</v>
      </c>
      <c r="AC251" s="70">
        <v>6625000</v>
      </c>
      <c r="AD251" s="67">
        <v>0</v>
      </c>
      <c r="AE251" s="68">
        <v>0</v>
      </c>
      <c r="AF251" s="69">
        <v>6625000</v>
      </c>
      <c r="AG251" s="70">
        <v>6625000</v>
      </c>
      <c r="AH251" s="70">
        <f t="shared" si="59"/>
        <v>0</v>
      </c>
      <c r="AI251" s="70">
        <f t="shared" si="60"/>
        <v>0</v>
      </c>
      <c r="AJ251" s="70">
        <f t="shared" si="61"/>
        <v>0</v>
      </c>
      <c r="AK251" s="70">
        <f t="shared" si="62"/>
        <v>0</v>
      </c>
      <c r="AL251" s="70">
        <f t="shared" si="63"/>
        <v>6340720</v>
      </c>
      <c r="AM251" s="70">
        <f t="shared" si="64"/>
        <v>6625000</v>
      </c>
      <c r="AN251" s="70">
        <f t="shared" si="65"/>
        <v>6625000</v>
      </c>
      <c r="AO251" s="70">
        <f t="shared" si="66"/>
        <v>6625000</v>
      </c>
    </row>
    <row r="252" spans="1:41">
      <c r="A252" s="29" t="s">
        <v>569</v>
      </c>
      <c r="B252" s="29" t="s">
        <v>875</v>
      </c>
      <c r="C252" s="107">
        <v>25972.99</v>
      </c>
      <c r="D252" s="108">
        <v>110000</v>
      </c>
      <c r="F252" s="107">
        <v>28978.16</v>
      </c>
      <c r="G252" s="108">
        <v>110000</v>
      </c>
      <c r="I252" s="64">
        <v>12230.33</v>
      </c>
      <c r="J252" s="83">
        <v>23489.025000000005</v>
      </c>
      <c r="K252" s="66">
        <v>110000</v>
      </c>
      <c r="L252" s="251">
        <v>110000</v>
      </c>
      <c r="M252" s="63">
        <v>24011.949000000008</v>
      </c>
      <c r="N252" s="64">
        <v>22954.213500000002</v>
      </c>
      <c r="O252" s="65">
        <v>110000</v>
      </c>
      <c r="P252" s="66">
        <v>110000</v>
      </c>
      <c r="Q252" s="66">
        <f t="shared" si="51"/>
        <v>16078.274799999999</v>
      </c>
      <c r="R252" s="63">
        <f t="shared" si="52"/>
        <v>20336.590400000001</v>
      </c>
      <c r="S252" s="83">
        <f t="shared" si="53"/>
        <v>23865.53028000001</v>
      </c>
      <c r="T252" s="64">
        <f t="shared" si="54"/>
        <v>23250.379440000004</v>
      </c>
      <c r="U252" s="66">
        <f t="shared" si="55"/>
        <v>110000</v>
      </c>
      <c r="V252" s="63">
        <f t="shared" si="56"/>
        <v>110000</v>
      </c>
      <c r="W252" s="83">
        <f t="shared" si="57"/>
        <v>110000</v>
      </c>
      <c r="X252" s="64">
        <f t="shared" si="58"/>
        <v>110000</v>
      </c>
      <c r="Z252" s="67">
        <v>28978.16</v>
      </c>
      <c r="AA252" s="68">
        <v>25087.686000000002</v>
      </c>
      <c r="AB252" s="69">
        <v>110000</v>
      </c>
      <c r="AC252" s="70">
        <v>110000</v>
      </c>
      <c r="AD252" s="67">
        <v>24011.949000000008</v>
      </c>
      <c r="AE252" s="68">
        <v>22954.213500000002</v>
      </c>
      <c r="AF252" s="69">
        <v>110000</v>
      </c>
      <c r="AG252" s="70">
        <v>110000</v>
      </c>
      <c r="AH252" s="70">
        <f t="shared" si="59"/>
        <v>28136.7124</v>
      </c>
      <c r="AI252" s="70">
        <f t="shared" si="60"/>
        <v>26177.01872</v>
      </c>
      <c r="AJ252" s="70">
        <f t="shared" si="61"/>
        <v>24313.155360000008</v>
      </c>
      <c r="AK252" s="70">
        <f t="shared" si="62"/>
        <v>23250.379440000004</v>
      </c>
      <c r="AL252" s="70">
        <f t="shared" si="63"/>
        <v>110000</v>
      </c>
      <c r="AM252" s="70">
        <f t="shared" si="64"/>
        <v>110000</v>
      </c>
      <c r="AN252" s="70">
        <f t="shared" si="65"/>
        <v>110000</v>
      </c>
      <c r="AO252" s="70">
        <f t="shared" si="66"/>
        <v>110000</v>
      </c>
    </row>
    <row r="253" spans="1:41">
      <c r="A253" s="29" t="s">
        <v>421</v>
      </c>
      <c r="B253" s="29" t="s">
        <v>828</v>
      </c>
      <c r="C253" s="107">
        <v>0</v>
      </c>
      <c r="D253" s="108">
        <v>2100000</v>
      </c>
      <c r="F253" s="107">
        <v>0</v>
      </c>
      <c r="G253" s="108">
        <v>2210000</v>
      </c>
      <c r="I253" s="64">
        <v>0</v>
      </c>
      <c r="J253" s="83">
        <v>0</v>
      </c>
      <c r="K253" s="66">
        <v>2210000</v>
      </c>
      <c r="L253" s="251">
        <v>2300000</v>
      </c>
      <c r="M253" s="63">
        <v>0</v>
      </c>
      <c r="N253" s="64">
        <v>0</v>
      </c>
      <c r="O253" s="65">
        <v>2300000</v>
      </c>
      <c r="P253" s="66">
        <v>2300000</v>
      </c>
      <c r="Q253" s="66">
        <f t="shared" si="51"/>
        <v>0</v>
      </c>
      <c r="R253" s="63">
        <f t="shared" si="52"/>
        <v>0</v>
      </c>
      <c r="S253" s="83">
        <f t="shared" si="53"/>
        <v>0</v>
      </c>
      <c r="T253" s="64">
        <f t="shared" si="54"/>
        <v>0</v>
      </c>
      <c r="U253" s="66">
        <f t="shared" si="55"/>
        <v>2157882</v>
      </c>
      <c r="V253" s="63">
        <f t="shared" si="56"/>
        <v>2257358</v>
      </c>
      <c r="W253" s="83">
        <f t="shared" si="57"/>
        <v>2300000</v>
      </c>
      <c r="X253" s="64">
        <f t="shared" si="58"/>
        <v>2300000</v>
      </c>
      <c r="Z253" s="67">
        <v>0</v>
      </c>
      <c r="AA253" s="68">
        <v>0</v>
      </c>
      <c r="AB253" s="69">
        <v>2210000</v>
      </c>
      <c r="AC253" s="70">
        <v>2300000</v>
      </c>
      <c r="AD253" s="67">
        <v>0</v>
      </c>
      <c r="AE253" s="68">
        <v>0</v>
      </c>
      <c r="AF253" s="69">
        <v>2300000</v>
      </c>
      <c r="AG253" s="70">
        <v>2300000</v>
      </c>
      <c r="AH253" s="70">
        <f t="shared" si="59"/>
        <v>0</v>
      </c>
      <c r="AI253" s="70">
        <f t="shared" si="60"/>
        <v>0</v>
      </c>
      <c r="AJ253" s="70">
        <f t="shared" si="61"/>
        <v>0</v>
      </c>
      <c r="AK253" s="70">
        <f t="shared" si="62"/>
        <v>0</v>
      </c>
      <c r="AL253" s="70">
        <f t="shared" si="63"/>
        <v>2157882</v>
      </c>
      <c r="AM253" s="70">
        <f t="shared" si="64"/>
        <v>2257358</v>
      </c>
      <c r="AN253" s="70">
        <f t="shared" si="65"/>
        <v>2300000</v>
      </c>
      <c r="AO253" s="70">
        <f t="shared" si="66"/>
        <v>2300000</v>
      </c>
    </row>
    <row r="254" spans="1:41">
      <c r="A254" s="29" t="s">
        <v>443</v>
      </c>
      <c r="B254" s="29" t="s">
        <v>829</v>
      </c>
      <c r="C254" s="107">
        <v>184230.55</v>
      </c>
      <c r="D254" s="108">
        <v>3083775</v>
      </c>
      <c r="F254" s="107">
        <v>0</v>
      </c>
      <c r="G254" s="108">
        <v>3515504</v>
      </c>
      <c r="I254" s="64">
        <v>0</v>
      </c>
      <c r="J254" s="83">
        <v>0</v>
      </c>
      <c r="K254" s="66">
        <v>3515504</v>
      </c>
      <c r="L254" s="251">
        <v>3515504</v>
      </c>
      <c r="M254" s="63">
        <v>0</v>
      </c>
      <c r="N254" s="64">
        <v>0</v>
      </c>
      <c r="O254" s="65">
        <v>3515504</v>
      </c>
      <c r="P254" s="66">
        <v>3515504</v>
      </c>
      <c r="Q254" s="66">
        <f t="shared" si="51"/>
        <v>51584.554000000004</v>
      </c>
      <c r="R254" s="63">
        <f t="shared" si="52"/>
        <v>0</v>
      </c>
      <c r="S254" s="83">
        <f t="shared" si="53"/>
        <v>0</v>
      </c>
      <c r="T254" s="64">
        <f t="shared" si="54"/>
        <v>0</v>
      </c>
      <c r="U254" s="66">
        <f t="shared" si="55"/>
        <v>3310950.7998000002</v>
      </c>
      <c r="V254" s="63">
        <f t="shared" si="56"/>
        <v>3515504</v>
      </c>
      <c r="W254" s="83">
        <f t="shared" si="57"/>
        <v>3515504</v>
      </c>
      <c r="X254" s="64">
        <f t="shared" si="58"/>
        <v>3515504</v>
      </c>
      <c r="Z254" s="67">
        <v>0</v>
      </c>
      <c r="AA254" s="68">
        <v>0</v>
      </c>
      <c r="AB254" s="69">
        <v>3515504</v>
      </c>
      <c r="AC254" s="70">
        <v>3515504</v>
      </c>
      <c r="AD254" s="67">
        <v>0</v>
      </c>
      <c r="AE254" s="68">
        <v>0</v>
      </c>
      <c r="AF254" s="69">
        <v>3515504</v>
      </c>
      <c r="AG254" s="70">
        <v>3515504</v>
      </c>
      <c r="AH254" s="70">
        <f t="shared" si="59"/>
        <v>51584.554000000004</v>
      </c>
      <c r="AI254" s="70">
        <f t="shared" si="60"/>
        <v>0</v>
      </c>
      <c r="AJ254" s="70">
        <f t="shared" si="61"/>
        <v>0</v>
      </c>
      <c r="AK254" s="70">
        <f t="shared" si="62"/>
        <v>0</v>
      </c>
      <c r="AL254" s="70">
        <f t="shared" si="63"/>
        <v>3310950.7998000002</v>
      </c>
      <c r="AM254" s="70">
        <f t="shared" si="64"/>
        <v>3515504</v>
      </c>
      <c r="AN254" s="70">
        <f t="shared" si="65"/>
        <v>3515504</v>
      </c>
      <c r="AO254" s="70">
        <f t="shared" si="66"/>
        <v>3515504</v>
      </c>
    </row>
    <row r="255" spans="1:41">
      <c r="A255" s="29" t="s">
        <v>495</v>
      </c>
      <c r="B255" s="29" t="s">
        <v>878</v>
      </c>
      <c r="C255" s="107">
        <v>58557.15</v>
      </c>
      <c r="D255" s="108">
        <v>93000</v>
      </c>
      <c r="F255" s="107">
        <v>64098.32</v>
      </c>
      <c r="G255" s="108">
        <v>94500</v>
      </c>
      <c r="I255" s="64">
        <v>53356.02</v>
      </c>
      <c r="J255" s="83">
        <v>86314.16541999999</v>
      </c>
      <c r="K255" s="66">
        <v>94500</v>
      </c>
      <c r="L255" s="251">
        <v>96500</v>
      </c>
      <c r="M255" s="63">
        <v>85593.037449999974</v>
      </c>
      <c r="N255" s="64">
        <v>88345.370880000002</v>
      </c>
      <c r="O255" s="65">
        <v>98500</v>
      </c>
      <c r="P255" s="66">
        <v>101500</v>
      </c>
      <c r="Q255" s="66">
        <f t="shared" si="51"/>
        <v>54812.3364</v>
      </c>
      <c r="R255" s="63">
        <f t="shared" si="52"/>
        <v>77085.884702399984</v>
      </c>
      <c r="S255" s="83">
        <f t="shared" si="53"/>
        <v>85794.953281599985</v>
      </c>
      <c r="T255" s="64">
        <f t="shared" si="54"/>
        <v>87574.717519600003</v>
      </c>
      <c r="U255" s="66">
        <f t="shared" si="55"/>
        <v>93789.3</v>
      </c>
      <c r="V255" s="63">
        <f t="shared" si="56"/>
        <v>95552.4</v>
      </c>
      <c r="W255" s="83">
        <f t="shared" si="57"/>
        <v>97552.4</v>
      </c>
      <c r="X255" s="64">
        <f t="shared" si="58"/>
        <v>100078.6</v>
      </c>
      <c r="Z255" s="67">
        <v>64098.32</v>
      </c>
      <c r="AA255" s="68">
        <v>86314.16541999999</v>
      </c>
      <c r="AB255" s="69">
        <v>94500</v>
      </c>
      <c r="AC255" s="70">
        <v>96500</v>
      </c>
      <c r="AD255" s="67">
        <v>85593.037449999974</v>
      </c>
      <c r="AE255" s="68">
        <v>88345.370880000002</v>
      </c>
      <c r="AF255" s="69">
        <v>98500</v>
      </c>
      <c r="AG255" s="70">
        <v>101500</v>
      </c>
      <c r="AH255" s="70">
        <f t="shared" si="59"/>
        <v>62546.792399999998</v>
      </c>
      <c r="AI255" s="70">
        <f t="shared" si="60"/>
        <v>80093.728702399996</v>
      </c>
      <c r="AJ255" s="70">
        <f t="shared" si="61"/>
        <v>85794.953281599985</v>
      </c>
      <c r="AK255" s="70">
        <f t="shared" si="62"/>
        <v>87574.717519600003</v>
      </c>
      <c r="AL255" s="70">
        <f t="shared" si="63"/>
        <v>93789.3</v>
      </c>
      <c r="AM255" s="70">
        <f t="shared" si="64"/>
        <v>95552.4</v>
      </c>
      <c r="AN255" s="70">
        <f t="shared" si="65"/>
        <v>97552.4</v>
      </c>
      <c r="AO255" s="70">
        <f t="shared" si="66"/>
        <v>100078.6</v>
      </c>
    </row>
    <row r="256" spans="1:41">
      <c r="A256" s="29" t="s">
        <v>371</v>
      </c>
      <c r="B256" s="29" t="s">
        <v>830</v>
      </c>
      <c r="C256" s="107">
        <v>0</v>
      </c>
      <c r="D256" s="108">
        <v>28000000</v>
      </c>
      <c r="F256" s="107">
        <v>0</v>
      </c>
      <c r="G256" s="108">
        <v>32500000</v>
      </c>
      <c r="I256" s="64">
        <v>0</v>
      </c>
      <c r="J256" s="83">
        <v>0</v>
      </c>
      <c r="K256" s="66">
        <v>32500000</v>
      </c>
      <c r="L256" s="251">
        <v>25897461.6776</v>
      </c>
      <c r="M256" s="63">
        <v>0</v>
      </c>
      <c r="N256" s="64">
        <v>0</v>
      </c>
      <c r="O256" s="65">
        <v>26807886.8299</v>
      </c>
      <c r="P256" s="66">
        <v>27886940.604599997</v>
      </c>
      <c r="Q256" s="66">
        <f t="shared" si="51"/>
        <v>0</v>
      </c>
      <c r="R256" s="63">
        <f t="shared" si="52"/>
        <v>0</v>
      </c>
      <c r="S256" s="83">
        <f t="shared" si="53"/>
        <v>0</v>
      </c>
      <c r="T256" s="64">
        <f t="shared" si="54"/>
        <v>0</v>
      </c>
      <c r="U256" s="66">
        <f t="shared" si="55"/>
        <v>30367900</v>
      </c>
      <c r="V256" s="63">
        <f t="shared" si="56"/>
        <v>29025744.334753118</v>
      </c>
      <c r="W256" s="83">
        <f t="shared" si="57"/>
        <v>26376527.392740261</v>
      </c>
      <c r="X256" s="64">
        <f t="shared" si="58"/>
        <v>27375684.926147141</v>
      </c>
      <c r="Z256" s="67">
        <v>0</v>
      </c>
      <c r="AA256" s="68">
        <v>0</v>
      </c>
      <c r="AB256" s="69">
        <v>32500000</v>
      </c>
      <c r="AC256" s="70">
        <v>28503656.508599997</v>
      </c>
      <c r="AD256" s="67">
        <v>0</v>
      </c>
      <c r="AE256" s="68">
        <v>0</v>
      </c>
      <c r="AF256" s="69">
        <v>26807886.8299</v>
      </c>
      <c r="AG256" s="70">
        <v>27886940.604599997</v>
      </c>
      <c r="AH256" s="70">
        <f t="shared" si="59"/>
        <v>0</v>
      </c>
      <c r="AI256" s="70">
        <f t="shared" si="60"/>
        <v>0</v>
      </c>
      <c r="AJ256" s="70">
        <f t="shared" si="61"/>
        <v>0</v>
      </c>
      <c r="AK256" s="70">
        <f t="shared" si="62"/>
        <v>0</v>
      </c>
      <c r="AL256" s="70">
        <f t="shared" si="63"/>
        <v>30367900</v>
      </c>
      <c r="AM256" s="70">
        <f t="shared" si="64"/>
        <v>30397124.054825321</v>
      </c>
      <c r="AN256" s="70">
        <f t="shared" si="65"/>
        <v>27611342.503668059</v>
      </c>
      <c r="AO256" s="70">
        <f t="shared" si="66"/>
        <v>27375684.926147141</v>
      </c>
    </row>
    <row r="257" spans="1:41">
      <c r="A257" s="29" t="s">
        <v>595</v>
      </c>
      <c r="B257" s="29" t="s">
        <v>831</v>
      </c>
      <c r="C257" s="107">
        <v>8209895.96</v>
      </c>
      <c r="D257" s="108">
        <v>2800000</v>
      </c>
      <c r="F257" s="107">
        <v>8533932.8599999994</v>
      </c>
      <c r="G257" s="108">
        <v>3100000</v>
      </c>
      <c r="I257" s="64">
        <v>8430840.6600000001</v>
      </c>
      <c r="J257" s="83">
        <v>8876663.1799999997</v>
      </c>
      <c r="K257" s="66">
        <v>3100000</v>
      </c>
      <c r="L257" s="251">
        <v>3400000</v>
      </c>
      <c r="M257" s="63">
        <v>9107835.1475999989</v>
      </c>
      <c r="N257" s="64">
        <v>9422704.5770999976</v>
      </c>
      <c r="O257" s="65">
        <v>3700000</v>
      </c>
      <c r="P257" s="66">
        <v>3700000</v>
      </c>
      <c r="Q257" s="66">
        <f t="shared" si="51"/>
        <v>8368976.1440000003</v>
      </c>
      <c r="R257" s="63">
        <f t="shared" si="52"/>
        <v>8751832.874400001</v>
      </c>
      <c r="S257" s="83">
        <f t="shared" si="53"/>
        <v>9043106.9966719989</v>
      </c>
      <c r="T257" s="64">
        <f t="shared" si="54"/>
        <v>9334541.136839997</v>
      </c>
      <c r="U257" s="66">
        <f t="shared" si="55"/>
        <v>2957860</v>
      </c>
      <c r="V257" s="63">
        <f t="shared" si="56"/>
        <v>3257860</v>
      </c>
      <c r="W257" s="83">
        <f t="shared" si="57"/>
        <v>3557860</v>
      </c>
      <c r="X257" s="64">
        <f t="shared" si="58"/>
        <v>3700000</v>
      </c>
      <c r="Z257" s="67">
        <v>8533932.8599999994</v>
      </c>
      <c r="AA257" s="68">
        <v>8876663.1799999997</v>
      </c>
      <c r="AB257" s="69">
        <v>3100000</v>
      </c>
      <c r="AC257" s="70">
        <v>3400000</v>
      </c>
      <c r="AD257" s="67">
        <v>9107835.1475999989</v>
      </c>
      <c r="AE257" s="68">
        <v>9422704.5770999976</v>
      </c>
      <c r="AF257" s="69">
        <v>3700000</v>
      </c>
      <c r="AG257" s="70">
        <v>3700000</v>
      </c>
      <c r="AH257" s="70">
        <f t="shared" si="59"/>
        <v>8443202.5280000009</v>
      </c>
      <c r="AI257" s="70">
        <f t="shared" si="60"/>
        <v>8780698.6904000007</v>
      </c>
      <c r="AJ257" s="70">
        <f t="shared" si="61"/>
        <v>9043106.9966719989</v>
      </c>
      <c r="AK257" s="70">
        <f t="shared" si="62"/>
        <v>9334541.136839997</v>
      </c>
      <c r="AL257" s="70">
        <f t="shared" si="63"/>
        <v>2957860</v>
      </c>
      <c r="AM257" s="70">
        <f t="shared" si="64"/>
        <v>3257860</v>
      </c>
      <c r="AN257" s="70">
        <f t="shared" si="65"/>
        <v>3557860</v>
      </c>
      <c r="AO257" s="70">
        <f t="shared" si="66"/>
        <v>3700000</v>
      </c>
    </row>
    <row r="258" spans="1:41">
      <c r="A258" s="29" t="s">
        <v>365</v>
      </c>
      <c r="B258" s="29" t="s">
        <v>832</v>
      </c>
      <c r="C258" s="107">
        <v>0</v>
      </c>
      <c r="D258" s="108">
        <v>73871787</v>
      </c>
      <c r="F258" s="107">
        <v>0</v>
      </c>
      <c r="G258" s="108">
        <v>76000000</v>
      </c>
      <c r="I258" s="64">
        <v>0</v>
      </c>
      <c r="J258" s="83">
        <v>0</v>
      </c>
      <c r="K258" s="66">
        <v>76000000</v>
      </c>
      <c r="L258" s="251">
        <v>76000000</v>
      </c>
      <c r="M258" s="63">
        <v>0</v>
      </c>
      <c r="N258" s="64">
        <v>0</v>
      </c>
      <c r="O258" s="65">
        <v>76000000</v>
      </c>
      <c r="P258" s="66">
        <v>76000000</v>
      </c>
      <c r="Q258" s="66">
        <f t="shared" si="51"/>
        <v>0</v>
      </c>
      <c r="R258" s="63">
        <f t="shared" si="52"/>
        <v>0</v>
      </c>
      <c r="S258" s="83">
        <f t="shared" si="53"/>
        <v>0</v>
      </c>
      <c r="T258" s="64">
        <f t="shared" si="54"/>
        <v>0</v>
      </c>
      <c r="U258" s="66">
        <f t="shared" si="55"/>
        <v>74991652.680600002</v>
      </c>
      <c r="V258" s="63">
        <f t="shared" si="56"/>
        <v>76000000</v>
      </c>
      <c r="W258" s="83">
        <f t="shared" si="57"/>
        <v>76000000</v>
      </c>
      <c r="X258" s="64">
        <f t="shared" si="58"/>
        <v>76000000</v>
      </c>
      <c r="Z258" s="67">
        <v>0</v>
      </c>
      <c r="AA258" s="68">
        <v>0</v>
      </c>
      <c r="AB258" s="69">
        <v>76000000</v>
      </c>
      <c r="AC258" s="70">
        <v>76000000</v>
      </c>
      <c r="AD258" s="67">
        <v>0</v>
      </c>
      <c r="AE258" s="68">
        <v>0</v>
      </c>
      <c r="AF258" s="69">
        <v>76000000</v>
      </c>
      <c r="AG258" s="70">
        <v>76000000</v>
      </c>
      <c r="AH258" s="70">
        <f t="shared" si="59"/>
        <v>0</v>
      </c>
      <c r="AI258" s="70">
        <f t="shared" si="60"/>
        <v>0</v>
      </c>
      <c r="AJ258" s="70">
        <f t="shared" si="61"/>
        <v>0</v>
      </c>
      <c r="AK258" s="70">
        <f t="shared" si="62"/>
        <v>0</v>
      </c>
      <c r="AL258" s="70">
        <f t="shared" si="63"/>
        <v>74991652.680600002</v>
      </c>
      <c r="AM258" s="70">
        <f t="shared" si="64"/>
        <v>76000000</v>
      </c>
      <c r="AN258" s="70">
        <f t="shared" si="65"/>
        <v>76000000</v>
      </c>
      <c r="AO258" s="70">
        <f t="shared" si="66"/>
        <v>76000000</v>
      </c>
    </row>
    <row r="259" spans="1:41">
      <c r="A259" s="29" t="s">
        <v>153</v>
      </c>
      <c r="B259" s="29" t="s">
        <v>833</v>
      </c>
      <c r="C259" s="107">
        <v>249741.76</v>
      </c>
      <c r="D259" s="108">
        <v>35000</v>
      </c>
      <c r="F259" s="107">
        <v>260946.39</v>
      </c>
      <c r="G259" s="108">
        <v>36000</v>
      </c>
      <c r="I259" s="64">
        <v>256091.21</v>
      </c>
      <c r="J259" s="83">
        <v>274567.5049</v>
      </c>
      <c r="K259" s="66">
        <v>36000</v>
      </c>
      <c r="L259" s="251">
        <v>36000</v>
      </c>
      <c r="M259" s="63">
        <v>284978.4903</v>
      </c>
      <c r="N259" s="64">
        <v>297088.51079999999</v>
      </c>
      <c r="O259" s="65">
        <v>36000</v>
      </c>
      <c r="P259" s="66">
        <v>36000</v>
      </c>
      <c r="Q259" s="66">
        <f t="shared" si="51"/>
        <v>254313.364</v>
      </c>
      <c r="R259" s="63">
        <f t="shared" si="52"/>
        <v>269394.14232800005</v>
      </c>
      <c r="S259" s="83">
        <f t="shared" si="53"/>
        <v>282063.41438799998</v>
      </c>
      <c r="T259" s="64">
        <f t="shared" si="54"/>
        <v>293697.70506000001</v>
      </c>
      <c r="U259" s="66">
        <f t="shared" si="55"/>
        <v>35526.199999999997</v>
      </c>
      <c r="V259" s="63">
        <f t="shared" si="56"/>
        <v>36000</v>
      </c>
      <c r="W259" s="83">
        <f t="shared" si="57"/>
        <v>36000</v>
      </c>
      <c r="X259" s="64">
        <f t="shared" si="58"/>
        <v>36000</v>
      </c>
      <c r="Z259" s="67">
        <v>260946.39</v>
      </c>
      <c r="AA259" s="68">
        <v>276628.0013</v>
      </c>
      <c r="AB259" s="69">
        <v>36000</v>
      </c>
      <c r="AC259" s="70">
        <v>36000</v>
      </c>
      <c r="AD259" s="67">
        <v>284978.4903</v>
      </c>
      <c r="AE259" s="68">
        <v>297088.51079999999</v>
      </c>
      <c r="AF259" s="69">
        <v>36000</v>
      </c>
      <c r="AG259" s="70">
        <v>36000</v>
      </c>
      <c r="AH259" s="70">
        <f t="shared" si="59"/>
        <v>257809.09360000002</v>
      </c>
      <c r="AI259" s="70">
        <f t="shared" si="60"/>
        <v>272237.15013600001</v>
      </c>
      <c r="AJ259" s="70">
        <f t="shared" si="61"/>
        <v>282640.35337999999</v>
      </c>
      <c r="AK259" s="70">
        <f t="shared" si="62"/>
        <v>293697.70506000001</v>
      </c>
      <c r="AL259" s="70">
        <f t="shared" si="63"/>
        <v>35526.199999999997</v>
      </c>
      <c r="AM259" s="70">
        <f t="shared" si="64"/>
        <v>36000</v>
      </c>
      <c r="AN259" s="70">
        <f t="shared" si="65"/>
        <v>36000</v>
      </c>
      <c r="AO259" s="70">
        <f t="shared" si="66"/>
        <v>36000</v>
      </c>
    </row>
    <row r="260" spans="1:41">
      <c r="A260" s="29" t="s">
        <v>207</v>
      </c>
      <c r="B260" s="29" t="s">
        <v>834</v>
      </c>
      <c r="C260" s="107">
        <v>2640185.17</v>
      </c>
      <c r="D260" s="108">
        <v>15672954</v>
      </c>
      <c r="F260" s="107">
        <v>1236218.52</v>
      </c>
      <c r="G260" s="108">
        <v>16699783</v>
      </c>
      <c r="I260" s="64">
        <v>496370.45</v>
      </c>
      <c r="J260" s="83">
        <v>1603017.6871000004</v>
      </c>
      <c r="K260" s="66">
        <v>16699783</v>
      </c>
      <c r="L260" s="251">
        <v>19504860</v>
      </c>
      <c r="M260" s="63">
        <v>1696138.8371999995</v>
      </c>
      <c r="N260" s="64">
        <v>1630840.3305000011</v>
      </c>
      <c r="O260" s="65">
        <v>21258878</v>
      </c>
      <c r="P260" s="66">
        <v>21258878</v>
      </c>
      <c r="Q260" s="66">
        <f t="shared" si="51"/>
        <v>1096638.5716000001</v>
      </c>
      <c r="R260" s="63">
        <f t="shared" si="52"/>
        <v>1293156.4607120003</v>
      </c>
      <c r="S260" s="83">
        <f t="shared" si="53"/>
        <v>1670064.9151719997</v>
      </c>
      <c r="T260" s="64">
        <f t="shared" si="54"/>
        <v>1649123.9123760008</v>
      </c>
      <c r="U260" s="66">
        <f t="shared" si="55"/>
        <v>16213271.4198</v>
      </c>
      <c r="V260" s="63">
        <f t="shared" si="56"/>
        <v>18175814.5174</v>
      </c>
      <c r="W260" s="83">
        <f t="shared" si="57"/>
        <v>20427824.271600001</v>
      </c>
      <c r="X260" s="64">
        <f t="shared" si="58"/>
        <v>21258878</v>
      </c>
      <c r="Z260" s="67">
        <v>1236218.52</v>
      </c>
      <c r="AA260" s="68">
        <v>2225678.3836999997</v>
      </c>
      <c r="AB260" s="69">
        <v>16699783</v>
      </c>
      <c r="AC260" s="70">
        <v>19504860</v>
      </c>
      <c r="AD260" s="67">
        <v>1696138.8371999995</v>
      </c>
      <c r="AE260" s="68">
        <v>1630840.3305000011</v>
      </c>
      <c r="AF260" s="69">
        <v>21258878</v>
      </c>
      <c r="AG260" s="70">
        <v>21258878</v>
      </c>
      <c r="AH260" s="70">
        <f t="shared" si="59"/>
        <v>1629329.182</v>
      </c>
      <c r="AI260" s="70">
        <f t="shared" si="60"/>
        <v>1948629.6218639996</v>
      </c>
      <c r="AJ260" s="70">
        <f t="shared" si="61"/>
        <v>1844409.9102199995</v>
      </c>
      <c r="AK260" s="70">
        <f t="shared" si="62"/>
        <v>1649123.9123760008</v>
      </c>
      <c r="AL260" s="70">
        <f t="shared" si="63"/>
        <v>16213271.4198</v>
      </c>
      <c r="AM260" s="70">
        <f t="shared" si="64"/>
        <v>18175814.5174</v>
      </c>
      <c r="AN260" s="70">
        <f t="shared" si="65"/>
        <v>20427824.271600001</v>
      </c>
      <c r="AO260" s="70">
        <f t="shared" si="66"/>
        <v>21258878</v>
      </c>
    </row>
    <row r="261" spans="1:41">
      <c r="A261" s="29" t="s">
        <v>559</v>
      </c>
      <c r="B261" s="29" t="s">
        <v>835</v>
      </c>
      <c r="C261" s="107">
        <v>202838.46</v>
      </c>
      <c r="D261" s="108">
        <v>211946</v>
      </c>
      <c r="F261" s="107">
        <v>215339.31</v>
      </c>
      <c r="G261" s="108">
        <v>236818</v>
      </c>
      <c r="I261" s="64">
        <v>163911.63</v>
      </c>
      <c r="J261" s="83">
        <v>181998.5214</v>
      </c>
      <c r="K261" s="66">
        <v>236818</v>
      </c>
      <c r="L261" s="251">
        <v>204865.7</v>
      </c>
      <c r="M261" s="63">
        <v>190020.36989999999</v>
      </c>
      <c r="N261" s="64">
        <v>201384.72990000001</v>
      </c>
      <c r="O261" s="65">
        <v>209119.57750000001</v>
      </c>
      <c r="P261" s="66">
        <v>211014.76749999999</v>
      </c>
      <c r="Q261" s="66">
        <f t="shared" si="51"/>
        <v>174811.14240000001</v>
      </c>
      <c r="R261" s="63">
        <f t="shared" si="52"/>
        <v>176934.191808</v>
      </c>
      <c r="S261" s="83">
        <f t="shared" si="53"/>
        <v>187774.25232</v>
      </c>
      <c r="T261" s="64">
        <f t="shared" si="54"/>
        <v>198202.70910000001</v>
      </c>
      <c r="U261" s="66">
        <f t="shared" si="55"/>
        <v>225033.6464</v>
      </c>
      <c r="V261" s="63">
        <f t="shared" si="56"/>
        <v>220004.69974000001</v>
      </c>
      <c r="W261" s="83">
        <f t="shared" si="57"/>
        <v>207104.0903405</v>
      </c>
      <c r="X261" s="64">
        <f t="shared" si="58"/>
        <v>210116.826478</v>
      </c>
      <c r="Z261" s="67">
        <v>215339.31</v>
      </c>
      <c r="AA261" s="68">
        <v>232924.75569999998</v>
      </c>
      <c r="AB261" s="69">
        <v>236818</v>
      </c>
      <c r="AC261" s="70">
        <v>204865.7</v>
      </c>
      <c r="AD261" s="67">
        <v>190020.36989999999</v>
      </c>
      <c r="AE261" s="68">
        <v>201384.72990000001</v>
      </c>
      <c r="AF261" s="69">
        <v>209119.57750000001</v>
      </c>
      <c r="AG261" s="70">
        <v>211014.76749999999</v>
      </c>
      <c r="AH261" s="70">
        <f t="shared" si="59"/>
        <v>211839.07199999999</v>
      </c>
      <c r="AI261" s="70">
        <f t="shared" si="60"/>
        <v>228000.83090399997</v>
      </c>
      <c r="AJ261" s="70">
        <f t="shared" si="61"/>
        <v>202033.597924</v>
      </c>
      <c r="AK261" s="70">
        <f t="shared" si="62"/>
        <v>198202.70910000001</v>
      </c>
      <c r="AL261" s="70">
        <f t="shared" si="63"/>
        <v>225033.6464</v>
      </c>
      <c r="AM261" s="70">
        <f t="shared" si="64"/>
        <v>220004.69974000001</v>
      </c>
      <c r="AN261" s="70">
        <f t="shared" si="65"/>
        <v>207104.0903405</v>
      </c>
      <c r="AO261" s="70">
        <f t="shared" si="66"/>
        <v>210116.826478</v>
      </c>
    </row>
    <row r="262" spans="1:41">
      <c r="A262" s="29" t="s">
        <v>521</v>
      </c>
      <c r="B262" s="29" t="s">
        <v>836</v>
      </c>
      <c r="C262" s="107">
        <v>263041.56</v>
      </c>
      <c r="D262" s="108">
        <v>3213815</v>
      </c>
      <c r="F262" s="107">
        <v>0</v>
      </c>
      <c r="G262" s="108">
        <v>3535196</v>
      </c>
      <c r="I262" s="64">
        <v>0</v>
      </c>
      <c r="J262" s="83">
        <v>77983.871000000334</v>
      </c>
      <c r="K262" s="66">
        <v>3535196</v>
      </c>
      <c r="L262" s="251">
        <v>3604528.5825</v>
      </c>
      <c r="M262" s="63">
        <v>0</v>
      </c>
      <c r="N262" s="64">
        <v>0</v>
      </c>
      <c r="O262" s="65">
        <v>3757123.0951999999</v>
      </c>
      <c r="P262" s="66">
        <v>3905982.3571999995</v>
      </c>
      <c r="Q262" s="66">
        <f t="shared" si="51"/>
        <v>73651.636800000007</v>
      </c>
      <c r="R262" s="63">
        <f t="shared" si="52"/>
        <v>56148.38712000024</v>
      </c>
      <c r="S262" s="83">
        <f t="shared" si="53"/>
        <v>21835.483880000094</v>
      </c>
      <c r="T262" s="64">
        <f t="shared" si="54"/>
        <v>0</v>
      </c>
      <c r="U262" s="66">
        <f t="shared" si="55"/>
        <v>3382925.6821999997</v>
      </c>
      <c r="V262" s="63">
        <f t="shared" si="56"/>
        <v>3571678.8049114998</v>
      </c>
      <c r="W262" s="83">
        <f t="shared" si="57"/>
        <v>3684823.81508274</v>
      </c>
      <c r="X262" s="64">
        <f t="shared" si="58"/>
        <v>3835452.8388643996</v>
      </c>
      <c r="Z262" s="67">
        <v>0</v>
      </c>
      <c r="AA262" s="68">
        <v>158716.25150000039</v>
      </c>
      <c r="AB262" s="69">
        <v>3535196</v>
      </c>
      <c r="AC262" s="70">
        <v>3604528.5825</v>
      </c>
      <c r="AD262" s="67">
        <v>0</v>
      </c>
      <c r="AE262" s="68">
        <v>0</v>
      </c>
      <c r="AF262" s="69">
        <v>3757123.0951999999</v>
      </c>
      <c r="AG262" s="70">
        <v>3905982.3571999995</v>
      </c>
      <c r="AH262" s="70">
        <f t="shared" si="59"/>
        <v>73651.636800000007</v>
      </c>
      <c r="AI262" s="70">
        <f t="shared" si="60"/>
        <v>114275.70108000028</v>
      </c>
      <c r="AJ262" s="70">
        <f t="shared" si="61"/>
        <v>44440.550420000116</v>
      </c>
      <c r="AK262" s="70">
        <f t="shared" si="62"/>
        <v>0</v>
      </c>
      <c r="AL262" s="70">
        <f t="shared" si="63"/>
        <v>3382925.6821999997</v>
      </c>
      <c r="AM262" s="70">
        <f t="shared" si="64"/>
        <v>3571678.8049114998</v>
      </c>
      <c r="AN262" s="70">
        <f t="shared" si="65"/>
        <v>3684823.81508274</v>
      </c>
      <c r="AO262" s="70">
        <f t="shared" si="66"/>
        <v>3835452.8388643996</v>
      </c>
    </row>
    <row r="263" spans="1:41">
      <c r="A263" s="29" t="s">
        <v>243</v>
      </c>
      <c r="B263" s="29" t="s">
        <v>837</v>
      </c>
      <c r="C263" s="107">
        <v>0</v>
      </c>
      <c r="D263" s="108">
        <v>582351</v>
      </c>
      <c r="F263" s="107">
        <v>0</v>
      </c>
      <c r="G263" s="108">
        <v>596786</v>
      </c>
      <c r="I263" s="64">
        <v>0</v>
      </c>
      <c r="J263" s="83">
        <v>0</v>
      </c>
      <c r="K263" s="66">
        <v>596786</v>
      </c>
      <c r="L263" s="251">
        <v>622711.73119999992</v>
      </c>
      <c r="M263" s="63">
        <v>0</v>
      </c>
      <c r="N263" s="64">
        <v>0</v>
      </c>
      <c r="O263" s="65">
        <v>644311.69420000003</v>
      </c>
      <c r="P263" s="66">
        <v>669840.71</v>
      </c>
      <c r="Q263" s="66">
        <f t="shared" si="51"/>
        <v>0</v>
      </c>
      <c r="R263" s="63">
        <f t="shared" si="52"/>
        <v>0</v>
      </c>
      <c r="S263" s="83">
        <f t="shared" si="53"/>
        <v>0</v>
      </c>
      <c r="T263" s="64">
        <f t="shared" si="54"/>
        <v>0</v>
      </c>
      <c r="U263" s="66">
        <f t="shared" si="55"/>
        <v>589946.69699999993</v>
      </c>
      <c r="V263" s="63">
        <f t="shared" si="56"/>
        <v>610428.11975743994</v>
      </c>
      <c r="W263" s="83">
        <f t="shared" si="57"/>
        <v>634077.63173060003</v>
      </c>
      <c r="X263" s="64">
        <f t="shared" si="58"/>
        <v>657745.06231395993</v>
      </c>
      <c r="Z263" s="67">
        <v>0</v>
      </c>
      <c r="AA263" s="68">
        <v>0</v>
      </c>
      <c r="AB263" s="69">
        <v>596786</v>
      </c>
      <c r="AC263" s="70">
        <v>645021.34619999991</v>
      </c>
      <c r="AD263" s="67">
        <v>0</v>
      </c>
      <c r="AE263" s="68">
        <v>0</v>
      </c>
      <c r="AF263" s="69">
        <v>644311.69420000003</v>
      </c>
      <c r="AG263" s="70">
        <v>669840.71</v>
      </c>
      <c r="AH263" s="70">
        <f t="shared" si="59"/>
        <v>0</v>
      </c>
      <c r="AI263" s="70">
        <f t="shared" si="60"/>
        <v>0</v>
      </c>
      <c r="AJ263" s="70">
        <f t="shared" si="61"/>
        <v>0</v>
      </c>
      <c r="AK263" s="70">
        <f t="shared" si="62"/>
        <v>0</v>
      </c>
      <c r="AL263" s="70">
        <f t="shared" si="63"/>
        <v>589946.69699999993</v>
      </c>
      <c r="AM263" s="70">
        <f t="shared" si="64"/>
        <v>622167.43917043996</v>
      </c>
      <c r="AN263" s="70">
        <f t="shared" si="65"/>
        <v>644647.9273176</v>
      </c>
      <c r="AO263" s="70">
        <f t="shared" si="66"/>
        <v>657745.06231395993</v>
      </c>
    </row>
    <row r="264" spans="1:41">
      <c r="A264" s="29" t="s">
        <v>285</v>
      </c>
      <c r="B264" s="29" t="s">
        <v>838</v>
      </c>
      <c r="C264" s="107">
        <v>294189.95</v>
      </c>
      <c r="D264" s="108">
        <v>895000</v>
      </c>
      <c r="F264" s="107">
        <v>185355.42</v>
      </c>
      <c r="G264" s="108">
        <v>1100000</v>
      </c>
      <c r="I264" s="64">
        <v>116175.03999999999</v>
      </c>
      <c r="J264" s="83">
        <v>221687.77577799998</v>
      </c>
      <c r="K264" s="66">
        <v>1100000</v>
      </c>
      <c r="L264" s="251">
        <v>1150000</v>
      </c>
      <c r="M264" s="63">
        <v>162125.05061399998</v>
      </c>
      <c r="N264" s="64">
        <v>96906.665082000021</v>
      </c>
      <c r="O264" s="65">
        <v>1200000</v>
      </c>
      <c r="P264" s="66">
        <v>1200000</v>
      </c>
      <c r="Q264" s="66">
        <f t="shared" si="51"/>
        <v>166019.21480000002</v>
      </c>
      <c r="R264" s="63">
        <f t="shared" si="52"/>
        <v>192144.20976015998</v>
      </c>
      <c r="S264" s="83">
        <f t="shared" si="53"/>
        <v>178802.61365991997</v>
      </c>
      <c r="T264" s="64">
        <f t="shared" si="54"/>
        <v>115167.81303096001</v>
      </c>
      <c r="U264" s="66">
        <f t="shared" si="55"/>
        <v>1002871</v>
      </c>
      <c r="V264" s="63">
        <f t="shared" si="56"/>
        <v>1126310</v>
      </c>
      <c r="W264" s="83">
        <f t="shared" si="57"/>
        <v>1176310</v>
      </c>
      <c r="X264" s="64">
        <f t="shared" si="58"/>
        <v>1200000</v>
      </c>
      <c r="Z264" s="67">
        <v>185355.42</v>
      </c>
      <c r="AA264" s="68">
        <v>285190.85379399976</v>
      </c>
      <c r="AB264" s="69">
        <v>1100000</v>
      </c>
      <c r="AC264" s="70">
        <v>1150000</v>
      </c>
      <c r="AD264" s="67">
        <v>162125.05061399998</v>
      </c>
      <c r="AE264" s="68">
        <v>96906.665082000021</v>
      </c>
      <c r="AF264" s="69">
        <v>1200000</v>
      </c>
      <c r="AG264" s="70">
        <v>1200000</v>
      </c>
      <c r="AH264" s="70">
        <f t="shared" si="59"/>
        <v>215829.08840000001</v>
      </c>
      <c r="AI264" s="70">
        <f t="shared" si="60"/>
        <v>257236.93233167985</v>
      </c>
      <c r="AJ264" s="70">
        <f t="shared" si="61"/>
        <v>196583.47550439992</v>
      </c>
      <c r="AK264" s="70">
        <f t="shared" si="62"/>
        <v>115167.81303096001</v>
      </c>
      <c r="AL264" s="70">
        <f t="shared" si="63"/>
        <v>1002871</v>
      </c>
      <c r="AM264" s="70">
        <f t="shared" si="64"/>
        <v>1126310</v>
      </c>
      <c r="AN264" s="70">
        <f t="shared" si="65"/>
        <v>1176310</v>
      </c>
      <c r="AO264" s="70">
        <f t="shared" si="66"/>
        <v>1200000</v>
      </c>
    </row>
    <row r="265" spans="1:41">
      <c r="A265" s="29" t="s">
        <v>339</v>
      </c>
      <c r="B265" s="29" t="s">
        <v>839</v>
      </c>
      <c r="C265" s="107">
        <v>932679.48</v>
      </c>
      <c r="D265" s="108">
        <v>878240</v>
      </c>
      <c r="F265" s="107">
        <v>933057.58</v>
      </c>
      <c r="G265" s="108">
        <v>922152</v>
      </c>
      <c r="I265" s="64">
        <v>922725.58</v>
      </c>
      <c r="J265" s="83">
        <v>1064571.8818000001</v>
      </c>
      <c r="K265" s="66">
        <v>922152</v>
      </c>
      <c r="L265" s="251">
        <v>922152</v>
      </c>
      <c r="M265" s="63">
        <v>1078347.5752159997</v>
      </c>
      <c r="N265" s="64">
        <v>1128843.2033279999</v>
      </c>
      <c r="O265" s="65">
        <v>922152</v>
      </c>
      <c r="P265" s="66">
        <v>922152</v>
      </c>
      <c r="Q265" s="66">
        <f t="shared" ref="Q265:Q309" si="67">(0.28*C265)+(0.72*I265)</f>
        <v>925512.6719999999</v>
      </c>
      <c r="R265" s="63">
        <f t="shared" ref="R265:R309" si="68">(0.28*I265)+(0.72*J265)</f>
        <v>1024854.9172960001</v>
      </c>
      <c r="S265" s="83">
        <f t="shared" ref="S265:S309" si="69">(0.28*J265)+(0.72*M265)</f>
        <v>1074490.3810595199</v>
      </c>
      <c r="T265" s="64">
        <f t="shared" ref="T265:T309" si="70">(0.28*M265)+(0.72*N265)</f>
        <v>1114704.4274566397</v>
      </c>
      <c r="U265" s="66">
        <f t="shared" ref="U265:U309" si="71">(0.4738*D265)+(0.5262*G265)</f>
        <v>901346.49439999997</v>
      </c>
      <c r="V265" s="63">
        <f t="shared" ref="V265:V309" si="72">(0.4738*G265)+(0.5262*L265)</f>
        <v>922152</v>
      </c>
      <c r="W265" s="83">
        <f t="shared" ref="W265:W309" si="73">(0.4738*L265)+(0.5262*O265)</f>
        <v>922152</v>
      </c>
      <c r="X265" s="64">
        <f t="shared" ref="X265:X309" si="74">(0.4738*O265)+(0.5262*P265)</f>
        <v>922152</v>
      </c>
      <c r="Z265" s="67">
        <v>933057.58</v>
      </c>
      <c r="AA265" s="68">
        <v>1064571.8818000001</v>
      </c>
      <c r="AB265" s="69">
        <v>922152</v>
      </c>
      <c r="AC265" s="70">
        <v>922152</v>
      </c>
      <c r="AD265" s="67">
        <v>1078347.5752159997</v>
      </c>
      <c r="AE265" s="68">
        <v>1128843.2033279999</v>
      </c>
      <c r="AF265" s="69">
        <v>922152</v>
      </c>
      <c r="AG265" s="70">
        <v>922152</v>
      </c>
      <c r="AH265" s="70">
        <f t="shared" ref="AH265:AH309" si="75">(0.28*C265)+(0.72*Z265)</f>
        <v>932951.71199999994</v>
      </c>
      <c r="AI265" s="70">
        <f t="shared" ref="AI265:AI309" si="76">(0.28*Z265)+(0.72*AA265)</f>
        <v>1027747.877296</v>
      </c>
      <c r="AJ265" s="70">
        <f t="shared" ref="AJ265:AJ309" si="77">(0.28*AA265)+(0.72*AD265)</f>
        <v>1074490.3810595199</v>
      </c>
      <c r="AK265" s="70">
        <f t="shared" ref="AK265:AK309" si="78">(0.28*AD265)+(0.72*AE265)</f>
        <v>1114704.4274566397</v>
      </c>
      <c r="AL265" s="70">
        <f t="shared" ref="AL265:AL309" si="79">(0.4738*D265)+(0.5262*G265)</f>
        <v>901346.49439999997</v>
      </c>
      <c r="AM265" s="70">
        <f t="shared" ref="AM265:AM309" si="80">(0.4738*G265)+(0.5262*AC265)</f>
        <v>922152</v>
      </c>
      <c r="AN265" s="70">
        <f t="shared" ref="AN265:AN309" si="81">(0.4738*AC265)+(0.5262*AF265)</f>
        <v>922152</v>
      </c>
      <c r="AO265" s="70">
        <f t="shared" ref="AO265:AO309" si="82">(0.4738*AF265)+(0.5262*AG265)</f>
        <v>922152</v>
      </c>
    </row>
    <row r="266" spans="1:41">
      <c r="A266" s="29" t="s">
        <v>597</v>
      </c>
      <c r="B266" s="29" t="s">
        <v>840</v>
      </c>
      <c r="C266" s="107">
        <v>5962185.2800000003</v>
      </c>
      <c r="D266" s="108">
        <v>1400000</v>
      </c>
      <c r="F266" s="107">
        <v>6427140.7300000004</v>
      </c>
      <c r="G266" s="108">
        <v>1420000</v>
      </c>
      <c r="I266" s="64">
        <v>6427140.7300000004</v>
      </c>
      <c r="J266" s="83">
        <v>6840852.1515999995</v>
      </c>
      <c r="K266" s="66">
        <v>1420000</v>
      </c>
      <c r="L266" s="251">
        <v>1460000</v>
      </c>
      <c r="M266" s="63">
        <v>7071092.1672</v>
      </c>
      <c r="N266" s="64">
        <v>7333244.2208999991</v>
      </c>
      <c r="O266" s="65">
        <v>1500000</v>
      </c>
      <c r="P266" s="66">
        <v>1540000</v>
      </c>
      <c r="Q266" s="66">
        <f t="shared" si="67"/>
        <v>6296953.2039999999</v>
      </c>
      <c r="R266" s="63">
        <f t="shared" si="68"/>
        <v>6725012.9535520002</v>
      </c>
      <c r="S266" s="83">
        <f t="shared" si="69"/>
        <v>7006624.9628320001</v>
      </c>
      <c r="T266" s="64">
        <f t="shared" si="70"/>
        <v>7259841.6458639996</v>
      </c>
      <c r="U266" s="66">
        <f t="shared" si="71"/>
        <v>1410524</v>
      </c>
      <c r="V266" s="63">
        <f t="shared" si="72"/>
        <v>1441048</v>
      </c>
      <c r="W266" s="83">
        <f t="shared" si="73"/>
        <v>1481048</v>
      </c>
      <c r="X266" s="64">
        <f t="shared" si="74"/>
        <v>1521048</v>
      </c>
      <c r="Z266" s="67">
        <v>6427140.7300000004</v>
      </c>
      <c r="AA266" s="68">
        <v>6840852.1515999995</v>
      </c>
      <c r="AB266" s="69">
        <v>1420000</v>
      </c>
      <c r="AC266" s="70">
        <v>1460000</v>
      </c>
      <c r="AD266" s="67">
        <v>7071092.1672</v>
      </c>
      <c r="AE266" s="68">
        <v>7333244.2208999991</v>
      </c>
      <c r="AF266" s="69">
        <v>1500000</v>
      </c>
      <c r="AG266" s="70">
        <v>1540000</v>
      </c>
      <c r="AH266" s="70">
        <f t="shared" si="75"/>
        <v>6296953.2039999999</v>
      </c>
      <c r="AI266" s="70">
        <f t="shared" si="76"/>
        <v>6725012.9535520002</v>
      </c>
      <c r="AJ266" s="70">
        <f t="shared" si="77"/>
        <v>7006624.9628320001</v>
      </c>
      <c r="AK266" s="70">
        <f t="shared" si="78"/>
        <v>7259841.6458639996</v>
      </c>
      <c r="AL266" s="70">
        <f t="shared" si="79"/>
        <v>1410524</v>
      </c>
      <c r="AM266" s="70">
        <f t="shared" si="80"/>
        <v>1441048</v>
      </c>
      <c r="AN266" s="70">
        <f t="shared" si="81"/>
        <v>1481048</v>
      </c>
      <c r="AO266" s="70">
        <f t="shared" si="82"/>
        <v>1521048</v>
      </c>
    </row>
    <row r="267" spans="1:41">
      <c r="A267" s="29" t="s">
        <v>531</v>
      </c>
      <c r="B267" s="29" t="s">
        <v>841</v>
      </c>
      <c r="C267" s="107">
        <v>0</v>
      </c>
      <c r="D267" s="108">
        <v>572275</v>
      </c>
      <c r="F267" s="107">
        <v>0</v>
      </c>
      <c r="G267" s="108">
        <v>734966</v>
      </c>
      <c r="I267" s="64">
        <v>0</v>
      </c>
      <c r="J267" s="83">
        <v>0</v>
      </c>
      <c r="K267" s="66">
        <v>734966</v>
      </c>
      <c r="L267" s="251">
        <v>618854.32679999992</v>
      </c>
      <c r="M267" s="63">
        <v>0</v>
      </c>
      <c r="N267" s="64">
        <v>0</v>
      </c>
      <c r="O267" s="65">
        <v>640314.5046000001</v>
      </c>
      <c r="P267" s="66">
        <v>665665.46970000002</v>
      </c>
      <c r="Q267" s="66">
        <f t="shared" si="67"/>
        <v>0</v>
      </c>
      <c r="R267" s="63">
        <f t="shared" si="68"/>
        <v>0</v>
      </c>
      <c r="S267" s="83">
        <f t="shared" si="69"/>
        <v>0</v>
      </c>
      <c r="T267" s="64">
        <f t="shared" si="70"/>
        <v>0</v>
      </c>
      <c r="U267" s="66">
        <f t="shared" si="71"/>
        <v>657883.00420000008</v>
      </c>
      <c r="V267" s="63">
        <f t="shared" si="72"/>
        <v>673868.03756215994</v>
      </c>
      <c r="W267" s="83">
        <f t="shared" si="73"/>
        <v>630146.67235836003</v>
      </c>
      <c r="X267" s="64">
        <f t="shared" si="74"/>
        <v>653654.18243562011</v>
      </c>
      <c r="Z267" s="67">
        <v>0</v>
      </c>
      <c r="AA267" s="68">
        <v>0</v>
      </c>
      <c r="AB267" s="69">
        <v>734966</v>
      </c>
      <c r="AC267" s="70">
        <v>633305.19999999995</v>
      </c>
      <c r="AD267" s="67">
        <v>0</v>
      </c>
      <c r="AE267" s="68">
        <v>0</v>
      </c>
      <c r="AF267" s="69">
        <v>640314.5046000001</v>
      </c>
      <c r="AG267" s="70">
        <v>665665.46970000002</v>
      </c>
      <c r="AH267" s="70">
        <f t="shared" si="75"/>
        <v>0</v>
      </c>
      <c r="AI267" s="70">
        <f t="shared" si="76"/>
        <v>0</v>
      </c>
      <c r="AJ267" s="70">
        <f t="shared" si="77"/>
        <v>0</v>
      </c>
      <c r="AK267" s="70">
        <f t="shared" si="78"/>
        <v>0</v>
      </c>
      <c r="AL267" s="70">
        <f t="shared" si="79"/>
        <v>657883.00420000008</v>
      </c>
      <c r="AM267" s="70">
        <f t="shared" si="80"/>
        <v>681472.0870399999</v>
      </c>
      <c r="AN267" s="70">
        <f t="shared" si="81"/>
        <v>636993.4960805201</v>
      </c>
      <c r="AO267" s="70">
        <f t="shared" si="82"/>
        <v>653654.18243562011</v>
      </c>
    </row>
    <row r="268" spans="1:41">
      <c r="A268" s="29" t="s">
        <v>79</v>
      </c>
      <c r="B268" s="29" t="s">
        <v>842</v>
      </c>
      <c r="C268" s="107">
        <v>255828.49</v>
      </c>
      <c r="D268" s="108">
        <v>1358225</v>
      </c>
      <c r="F268" s="107">
        <v>158194.91</v>
      </c>
      <c r="G268" s="108">
        <v>1453000</v>
      </c>
      <c r="I268" s="64">
        <v>111943.83</v>
      </c>
      <c r="J268" s="83">
        <v>173900.48819999991</v>
      </c>
      <c r="K268" s="66">
        <v>1453000</v>
      </c>
      <c r="L268" s="251">
        <v>1555030</v>
      </c>
      <c r="M268" s="63">
        <v>106628.55959999991</v>
      </c>
      <c r="N268" s="64">
        <v>41111.661299999927</v>
      </c>
      <c r="O268" s="65">
        <v>1663885</v>
      </c>
      <c r="P268" s="66">
        <v>1663885</v>
      </c>
      <c r="Q268" s="66">
        <f t="shared" si="67"/>
        <v>152231.53480000002</v>
      </c>
      <c r="R268" s="63">
        <f t="shared" si="68"/>
        <v>156552.62390399992</v>
      </c>
      <c r="S268" s="83">
        <f t="shared" si="69"/>
        <v>125464.69960799991</v>
      </c>
      <c r="T268" s="64">
        <f t="shared" si="70"/>
        <v>59456.392823999922</v>
      </c>
      <c r="U268" s="66">
        <f t="shared" si="71"/>
        <v>1408095.605</v>
      </c>
      <c r="V268" s="63">
        <f t="shared" si="72"/>
        <v>1506688.186</v>
      </c>
      <c r="W268" s="83">
        <f t="shared" si="73"/>
        <v>1612309.5010000002</v>
      </c>
      <c r="X268" s="64">
        <f t="shared" si="74"/>
        <v>1663885</v>
      </c>
      <c r="Z268" s="67">
        <v>158194.91</v>
      </c>
      <c r="AA268" s="68">
        <v>210527.58799999999</v>
      </c>
      <c r="AB268" s="69">
        <v>1453000</v>
      </c>
      <c r="AC268" s="70">
        <v>1555030</v>
      </c>
      <c r="AD268" s="67">
        <v>106628.55959999991</v>
      </c>
      <c r="AE268" s="68">
        <v>41111.661299999927</v>
      </c>
      <c r="AF268" s="69">
        <v>1663885</v>
      </c>
      <c r="AG268" s="70">
        <v>1663885</v>
      </c>
      <c r="AH268" s="70">
        <f t="shared" si="75"/>
        <v>185532.3124</v>
      </c>
      <c r="AI268" s="70">
        <f t="shared" si="76"/>
        <v>195874.43815999999</v>
      </c>
      <c r="AJ268" s="70">
        <f t="shared" si="77"/>
        <v>135720.28755199994</v>
      </c>
      <c r="AK268" s="70">
        <f t="shared" si="78"/>
        <v>59456.392823999922</v>
      </c>
      <c r="AL268" s="70">
        <f t="shared" si="79"/>
        <v>1408095.605</v>
      </c>
      <c r="AM268" s="70">
        <f t="shared" si="80"/>
        <v>1506688.186</v>
      </c>
      <c r="AN268" s="70">
        <f t="shared" si="81"/>
        <v>1612309.5010000002</v>
      </c>
      <c r="AO268" s="70">
        <f t="shared" si="82"/>
        <v>1663885</v>
      </c>
    </row>
    <row r="269" spans="1:41">
      <c r="A269" s="29" t="s">
        <v>257</v>
      </c>
      <c r="B269" s="29" t="s">
        <v>843</v>
      </c>
      <c r="C269" s="107">
        <v>49804.93</v>
      </c>
      <c r="D269" s="108">
        <v>290000</v>
      </c>
      <c r="F269" s="107">
        <v>34572.39</v>
      </c>
      <c r="G269" s="108">
        <v>540000</v>
      </c>
      <c r="I269" s="64">
        <v>0</v>
      </c>
      <c r="J269" s="83">
        <v>0</v>
      </c>
      <c r="K269" s="66">
        <v>540000</v>
      </c>
      <c r="L269" s="251">
        <v>541015.36040000001</v>
      </c>
      <c r="M269" s="63">
        <v>0</v>
      </c>
      <c r="N269" s="64">
        <v>0</v>
      </c>
      <c r="O269" s="65">
        <v>559753.49950000003</v>
      </c>
      <c r="P269" s="66">
        <v>575000</v>
      </c>
      <c r="Q269" s="66">
        <f t="shared" si="67"/>
        <v>13945.380400000002</v>
      </c>
      <c r="R269" s="63">
        <f t="shared" si="68"/>
        <v>0</v>
      </c>
      <c r="S269" s="83">
        <f t="shared" si="69"/>
        <v>0</v>
      </c>
      <c r="T269" s="64">
        <f t="shared" si="70"/>
        <v>0</v>
      </c>
      <c r="U269" s="66">
        <f t="shared" si="71"/>
        <v>421550</v>
      </c>
      <c r="V269" s="63">
        <f t="shared" si="72"/>
        <v>540534.28264247999</v>
      </c>
      <c r="W269" s="83">
        <f t="shared" si="73"/>
        <v>550875.36919442005</v>
      </c>
      <c r="X269" s="64">
        <f t="shared" si="74"/>
        <v>567776.2080631</v>
      </c>
      <c r="Z269" s="67">
        <v>34572.39</v>
      </c>
      <c r="AA269" s="68">
        <v>43241.73449999997</v>
      </c>
      <c r="AB269" s="69">
        <v>540000</v>
      </c>
      <c r="AC269" s="70">
        <v>575000</v>
      </c>
      <c r="AD269" s="67">
        <v>0</v>
      </c>
      <c r="AE269" s="68">
        <v>0</v>
      </c>
      <c r="AF269" s="69">
        <v>559753.49950000003</v>
      </c>
      <c r="AG269" s="70">
        <v>575000</v>
      </c>
      <c r="AH269" s="70">
        <f t="shared" si="75"/>
        <v>38837.501199999999</v>
      </c>
      <c r="AI269" s="70">
        <f t="shared" si="76"/>
        <v>40814.318039999976</v>
      </c>
      <c r="AJ269" s="70">
        <f t="shared" si="77"/>
        <v>12107.685659999992</v>
      </c>
      <c r="AK269" s="70">
        <f t="shared" si="78"/>
        <v>0</v>
      </c>
      <c r="AL269" s="70">
        <f t="shared" si="79"/>
        <v>421550</v>
      </c>
      <c r="AM269" s="70">
        <f t="shared" si="80"/>
        <v>558417</v>
      </c>
      <c r="AN269" s="70">
        <f t="shared" si="81"/>
        <v>566977.29143690004</v>
      </c>
      <c r="AO269" s="70">
        <f t="shared" si="82"/>
        <v>567776.2080631</v>
      </c>
    </row>
    <row r="270" spans="1:41">
      <c r="A270" s="29" t="s">
        <v>201</v>
      </c>
      <c r="B270" s="29" t="s">
        <v>844</v>
      </c>
      <c r="C270" s="107">
        <v>0</v>
      </c>
      <c r="D270" s="108">
        <v>7850000</v>
      </c>
      <c r="F270" s="107">
        <v>0</v>
      </c>
      <c r="G270" s="108">
        <v>8250000</v>
      </c>
      <c r="I270" s="64">
        <v>0</v>
      </c>
      <c r="J270" s="83">
        <v>0</v>
      </c>
      <c r="K270" s="66">
        <v>8250000</v>
      </c>
      <c r="L270" s="251">
        <v>7737118.415</v>
      </c>
      <c r="M270" s="63">
        <v>0</v>
      </c>
      <c r="N270" s="64">
        <v>0</v>
      </c>
      <c r="O270" s="65">
        <v>8005253.9069999997</v>
      </c>
      <c r="P270" s="66">
        <v>8322395.3505000006</v>
      </c>
      <c r="Q270" s="66">
        <f t="shared" si="67"/>
        <v>0</v>
      </c>
      <c r="R270" s="63">
        <f t="shared" si="68"/>
        <v>0</v>
      </c>
      <c r="S270" s="83">
        <f t="shared" si="69"/>
        <v>0</v>
      </c>
      <c r="T270" s="64">
        <f t="shared" si="70"/>
        <v>0</v>
      </c>
      <c r="U270" s="66">
        <f t="shared" si="71"/>
        <v>8060480</v>
      </c>
      <c r="V270" s="63">
        <f t="shared" si="72"/>
        <v>7980121.709973</v>
      </c>
      <c r="W270" s="83">
        <f t="shared" si="73"/>
        <v>7878211.3108903999</v>
      </c>
      <c r="X270" s="64">
        <f t="shared" si="74"/>
        <v>8172133.7345697004</v>
      </c>
      <c r="Z270" s="67">
        <v>0</v>
      </c>
      <c r="AA270" s="68">
        <v>0</v>
      </c>
      <c r="AB270" s="69">
        <v>8250000</v>
      </c>
      <c r="AC270" s="70">
        <v>8182303.1839999994</v>
      </c>
      <c r="AD270" s="67">
        <v>0</v>
      </c>
      <c r="AE270" s="68">
        <v>0</v>
      </c>
      <c r="AF270" s="69">
        <v>8005253.9069999997</v>
      </c>
      <c r="AG270" s="70">
        <v>8322395.3505000006</v>
      </c>
      <c r="AH270" s="70">
        <f t="shared" si="75"/>
        <v>0</v>
      </c>
      <c r="AI270" s="70">
        <f t="shared" si="76"/>
        <v>0</v>
      </c>
      <c r="AJ270" s="70">
        <f t="shared" si="77"/>
        <v>0</v>
      </c>
      <c r="AK270" s="70">
        <f t="shared" si="78"/>
        <v>0</v>
      </c>
      <c r="AL270" s="70">
        <f t="shared" si="79"/>
        <v>8060480</v>
      </c>
      <c r="AM270" s="70">
        <f t="shared" si="80"/>
        <v>8214377.9354208</v>
      </c>
      <c r="AN270" s="70">
        <f t="shared" si="81"/>
        <v>8089139.8544426002</v>
      </c>
      <c r="AO270" s="70">
        <f t="shared" si="82"/>
        <v>8172133.7345697004</v>
      </c>
    </row>
    <row r="271" spans="1:41">
      <c r="A271" s="29" t="s">
        <v>511</v>
      </c>
      <c r="B271" s="29" t="s">
        <v>845</v>
      </c>
      <c r="C271" s="107">
        <v>1373028.74</v>
      </c>
      <c r="D271" s="108">
        <v>16750000</v>
      </c>
      <c r="F271" s="107">
        <v>269090.53999999998</v>
      </c>
      <c r="G271" s="108">
        <v>18172977</v>
      </c>
      <c r="I271" s="64">
        <v>0</v>
      </c>
      <c r="J271" s="83">
        <v>674468.95289999922</v>
      </c>
      <c r="K271" s="66">
        <v>18172977</v>
      </c>
      <c r="L271" s="251">
        <v>18294020.914999999</v>
      </c>
      <c r="M271" s="63">
        <v>151880.9453999993</v>
      </c>
      <c r="N271" s="64">
        <v>0</v>
      </c>
      <c r="O271" s="65">
        <v>19535999.6501</v>
      </c>
      <c r="P271" s="66">
        <v>20310201.118899997</v>
      </c>
      <c r="Q271" s="66">
        <f t="shared" si="67"/>
        <v>384448.04720000003</v>
      </c>
      <c r="R271" s="63">
        <f t="shared" si="68"/>
        <v>485617.6460879994</v>
      </c>
      <c r="S271" s="83">
        <f t="shared" si="69"/>
        <v>298205.58749999927</v>
      </c>
      <c r="T271" s="64">
        <f t="shared" si="70"/>
        <v>42526.664711999809</v>
      </c>
      <c r="U271" s="66">
        <f t="shared" si="71"/>
        <v>17498770.497400001</v>
      </c>
      <c r="V271" s="63">
        <f t="shared" si="72"/>
        <v>18236670.308072999</v>
      </c>
      <c r="W271" s="83">
        <f t="shared" si="73"/>
        <v>18947550.125409618</v>
      </c>
      <c r="X271" s="64">
        <f t="shared" si="74"/>
        <v>19943384.462982558</v>
      </c>
      <c r="Z271" s="67">
        <v>269090.53999999998</v>
      </c>
      <c r="AA271" s="68">
        <v>1067419.8266999987</v>
      </c>
      <c r="AB271" s="69">
        <v>18172977</v>
      </c>
      <c r="AC271" s="70">
        <v>18294020.914999999</v>
      </c>
      <c r="AD271" s="67">
        <v>151880.9453999993</v>
      </c>
      <c r="AE271" s="68">
        <v>0</v>
      </c>
      <c r="AF271" s="69">
        <v>19535999.6501</v>
      </c>
      <c r="AG271" s="70">
        <v>20310201.118899997</v>
      </c>
      <c r="AH271" s="70">
        <f t="shared" si="75"/>
        <v>578193.23600000003</v>
      </c>
      <c r="AI271" s="70">
        <f t="shared" si="76"/>
        <v>843887.62642399909</v>
      </c>
      <c r="AJ271" s="70">
        <f t="shared" si="77"/>
        <v>408231.83216399915</v>
      </c>
      <c r="AK271" s="70">
        <f t="shared" si="78"/>
        <v>42526.664711999809</v>
      </c>
      <c r="AL271" s="70">
        <f t="shared" si="79"/>
        <v>17498770.497400001</v>
      </c>
      <c r="AM271" s="70">
        <f t="shared" si="80"/>
        <v>18236670.308072999</v>
      </c>
      <c r="AN271" s="70">
        <f t="shared" si="81"/>
        <v>18947550.125409618</v>
      </c>
      <c r="AO271" s="70">
        <f t="shared" si="82"/>
        <v>19943384.462982558</v>
      </c>
    </row>
    <row r="272" spans="1:41">
      <c r="A272" s="29" t="s">
        <v>581</v>
      </c>
      <c r="B272" s="29" t="s">
        <v>846</v>
      </c>
      <c r="C272" s="107">
        <v>446193.49</v>
      </c>
      <c r="D272" s="108">
        <v>922500</v>
      </c>
      <c r="F272" s="107">
        <v>465693.28</v>
      </c>
      <c r="G272" s="108">
        <v>922500</v>
      </c>
      <c r="I272" s="64">
        <v>410087.1</v>
      </c>
      <c r="J272" s="83">
        <v>733927.44654599985</v>
      </c>
      <c r="K272" s="66">
        <v>922500</v>
      </c>
      <c r="L272" s="251">
        <v>922500</v>
      </c>
      <c r="M272" s="63">
        <v>665450.87185799994</v>
      </c>
      <c r="N272" s="64">
        <v>609240.34209599986</v>
      </c>
      <c r="O272" s="65">
        <v>922500</v>
      </c>
      <c r="P272" s="66">
        <v>922500</v>
      </c>
      <c r="Q272" s="66">
        <f t="shared" si="67"/>
        <v>420196.88919999998</v>
      </c>
      <c r="R272" s="63">
        <f t="shared" si="68"/>
        <v>643252.14951311995</v>
      </c>
      <c r="S272" s="83">
        <f t="shared" si="69"/>
        <v>684624.3127706399</v>
      </c>
      <c r="T272" s="64">
        <f t="shared" si="70"/>
        <v>624979.29042935988</v>
      </c>
      <c r="U272" s="66">
        <f t="shared" si="71"/>
        <v>922500</v>
      </c>
      <c r="V272" s="63">
        <f t="shared" si="72"/>
        <v>922500</v>
      </c>
      <c r="W272" s="83">
        <f t="shared" si="73"/>
        <v>922500</v>
      </c>
      <c r="X272" s="64">
        <f t="shared" si="74"/>
        <v>922500</v>
      </c>
      <c r="Z272" s="67">
        <v>465693.28</v>
      </c>
      <c r="AA272" s="68">
        <v>733927.44654599985</v>
      </c>
      <c r="AB272" s="69">
        <v>922500</v>
      </c>
      <c r="AC272" s="70">
        <v>922500</v>
      </c>
      <c r="AD272" s="67">
        <v>665450.87185799994</v>
      </c>
      <c r="AE272" s="68">
        <v>609240.34209599986</v>
      </c>
      <c r="AF272" s="69">
        <v>922500</v>
      </c>
      <c r="AG272" s="70">
        <v>922500</v>
      </c>
      <c r="AH272" s="70">
        <f t="shared" si="75"/>
        <v>460233.33880000003</v>
      </c>
      <c r="AI272" s="70">
        <f t="shared" si="76"/>
        <v>658821.87991311995</v>
      </c>
      <c r="AJ272" s="70">
        <f t="shared" si="77"/>
        <v>684624.3127706399</v>
      </c>
      <c r="AK272" s="70">
        <f t="shared" si="78"/>
        <v>624979.29042935988</v>
      </c>
      <c r="AL272" s="70">
        <f t="shared" si="79"/>
        <v>922500</v>
      </c>
      <c r="AM272" s="70">
        <f t="shared" si="80"/>
        <v>922500</v>
      </c>
      <c r="AN272" s="70">
        <f t="shared" si="81"/>
        <v>922500</v>
      </c>
      <c r="AO272" s="70">
        <f t="shared" si="82"/>
        <v>922500</v>
      </c>
    </row>
    <row r="273" spans="1:41">
      <c r="A273" s="29" t="s">
        <v>369</v>
      </c>
      <c r="B273" s="29" t="s">
        <v>847</v>
      </c>
      <c r="C273" s="107">
        <v>2022238</v>
      </c>
      <c r="D273" s="108">
        <v>12053000</v>
      </c>
      <c r="F273" s="107">
        <v>1355774.06</v>
      </c>
      <c r="G273" s="108">
        <v>13258000</v>
      </c>
      <c r="I273" s="64">
        <v>1322159.98</v>
      </c>
      <c r="J273" s="83">
        <v>1494507.1325999999</v>
      </c>
      <c r="K273" s="66">
        <v>13258000</v>
      </c>
      <c r="L273" s="251">
        <v>13258000</v>
      </c>
      <c r="M273" s="63">
        <v>1251451.3479000002</v>
      </c>
      <c r="N273" s="64">
        <v>1020417.0668999997</v>
      </c>
      <c r="O273" s="65">
        <v>13258000</v>
      </c>
      <c r="P273" s="66">
        <v>13258000</v>
      </c>
      <c r="Q273" s="66">
        <f t="shared" si="67"/>
        <v>1518181.8256000001</v>
      </c>
      <c r="R273" s="63">
        <f t="shared" si="68"/>
        <v>1446249.9298719999</v>
      </c>
      <c r="S273" s="83">
        <f t="shared" si="69"/>
        <v>1319506.9676160002</v>
      </c>
      <c r="T273" s="64">
        <f t="shared" si="70"/>
        <v>1085106.6655799998</v>
      </c>
      <c r="U273" s="66">
        <f t="shared" si="71"/>
        <v>12687071</v>
      </c>
      <c r="V273" s="63">
        <f t="shared" si="72"/>
        <v>13258000</v>
      </c>
      <c r="W273" s="83">
        <f t="shared" si="73"/>
        <v>13258000</v>
      </c>
      <c r="X273" s="64">
        <f t="shared" si="74"/>
        <v>13258000</v>
      </c>
      <c r="Z273" s="67">
        <v>1355774.06</v>
      </c>
      <c r="AA273" s="68">
        <v>1494507.1325999999</v>
      </c>
      <c r="AB273" s="69">
        <v>13258000</v>
      </c>
      <c r="AC273" s="70">
        <v>13258000</v>
      </c>
      <c r="AD273" s="67">
        <v>1251451.3479000002</v>
      </c>
      <c r="AE273" s="68">
        <v>1020417.0668999997</v>
      </c>
      <c r="AF273" s="69">
        <v>13258000</v>
      </c>
      <c r="AG273" s="70">
        <v>13258000</v>
      </c>
      <c r="AH273" s="70">
        <f t="shared" si="75"/>
        <v>1542383.9632000001</v>
      </c>
      <c r="AI273" s="70">
        <f t="shared" si="76"/>
        <v>1455661.8722719999</v>
      </c>
      <c r="AJ273" s="70">
        <f t="shared" si="77"/>
        <v>1319506.9676160002</v>
      </c>
      <c r="AK273" s="70">
        <f t="shared" si="78"/>
        <v>1085106.6655799998</v>
      </c>
      <c r="AL273" s="70">
        <f t="shared" si="79"/>
        <v>12687071</v>
      </c>
      <c r="AM273" s="70">
        <f t="shared" si="80"/>
        <v>13258000</v>
      </c>
      <c r="AN273" s="70">
        <f t="shared" si="81"/>
        <v>13258000</v>
      </c>
      <c r="AO273" s="70">
        <f t="shared" si="82"/>
        <v>13258000</v>
      </c>
    </row>
    <row r="274" spans="1:41">
      <c r="A274" s="29" t="s">
        <v>489</v>
      </c>
      <c r="B274" s="29" t="s">
        <v>848</v>
      </c>
      <c r="C274" s="107">
        <v>952381.13</v>
      </c>
      <c r="D274" s="108">
        <v>152000</v>
      </c>
      <c r="F274" s="107">
        <v>1150999.3999999999</v>
      </c>
      <c r="G274" s="108">
        <v>152000</v>
      </c>
      <c r="I274" s="64">
        <v>1150999.3999999999</v>
      </c>
      <c r="J274" s="83">
        <v>1220327.13708</v>
      </c>
      <c r="K274" s="66">
        <v>152000</v>
      </c>
      <c r="L274" s="251">
        <v>152000</v>
      </c>
      <c r="M274" s="63">
        <v>1189036.5732799999</v>
      </c>
      <c r="N274" s="64">
        <v>1177182.2626739999</v>
      </c>
      <c r="O274" s="65">
        <v>152000</v>
      </c>
      <c r="P274" s="66">
        <v>152000</v>
      </c>
      <c r="Q274" s="66">
        <f t="shared" si="67"/>
        <v>1095386.2843999998</v>
      </c>
      <c r="R274" s="63">
        <f t="shared" si="68"/>
        <v>1200915.3706976001</v>
      </c>
      <c r="S274" s="83">
        <f t="shared" si="69"/>
        <v>1197797.931144</v>
      </c>
      <c r="T274" s="64">
        <f t="shared" si="70"/>
        <v>1180501.4696436799</v>
      </c>
      <c r="U274" s="66">
        <f t="shared" si="71"/>
        <v>152000</v>
      </c>
      <c r="V274" s="63">
        <f t="shared" si="72"/>
        <v>152000</v>
      </c>
      <c r="W274" s="83">
        <f t="shared" si="73"/>
        <v>152000</v>
      </c>
      <c r="X274" s="64">
        <f t="shared" si="74"/>
        <v>152000</v>
      </c>
      <c r="Z274" s="67">
        <v>1150999.3999999999</v>
      </c>
      <c r="AA274" s="68">
        <v>1220327.13708</v>
      </c>
      <c r="AB274" s="69">
        <v>152000</v>
      </c>
      <c r="AC274" s="70">
        <v>152000</v>
      </c>
      <c r="AD274" s="67">
        <v>1189036.5732799999</v>
      </c>
      <c r="AE274" s="68">
        <v>1177182.2626739999</v>
      </c>
      <c r="AF274" s="69">
        <v>152000</v>
      </c>
      <c r="AG274" s="70">
        <v>152000</v>
      </c>
      <c r="AH274" s="70">
        <f t="shared" si="75"/>
        <v>1095386.2843999998</v>
      </c>
      <c r="AI274" s="70">
        <f t="shared" si="76"/>
        <v>1200915.3706976001</v>
      </c>
      <c r="AJ274" s="70">
        <f t="shared" si="77"/>
        <v>1197797.931144</v>
      </c>
      <c r="AK274" s="70">
        <f t="shared" si="78"/>
        <v>1180501.4696436799</v>
      </c>
      <c r="AL274" s="70">
        <f t="shared" si="79"/>
        <v>152000</v>
      </c>
      <c r="AM274" s="70">
        <f t="shared" si="80"/>
        <v>152000</v>
      </c>
      <c r="AN274" s="70">
        <f t="shared" si="81"/>
        <v>152000</v>
      </c>
      <c r="AO274" s="70">
        <f t="shared" si="82"/>
        <v>152000</v>
      </c>
    </row>
    <row r="275" spans="1:41">
      <c r="A275" s="29" t="s">
        <v>55</v>
      </c>
      <c r="B275" s="29" t="s">
        <v>849</v>
      </c>
      <c r="C275" s="107">
        <v>2912848.12</v>
      </c>
      <c r="D275" s="108">
        <v>45400000</v>
      </c>
      <c r="F275" s="107">
        <v>1373560.08</v>
      </c>
      <c r="G275" s="108">
        <v>48640000</v>
      </c>
      <c r="I275" s="64">
        <v>0</v>
      </c>
      <c r="J275" s="83">
        <v>0</v>
      </c>
      <c r="K275" s="66">
        <v>48640000</v>
      </c>
      <c r="L275" s="251">
        <v>52175000</v>
      </c>
      <c r="M275" s="63">
        <v>0</v>
      </c>
      <c r="N275" s="64">
        <v>0</v>
      </c>
      <c r="O275" s="65">
        <v>52175000</v>
      </c>
      <c r="P275" s="66">
        <v>52175000</v>
      </c>
      <c r="Q275" s="66">
        <f t="shared" si="67"/>
        <v>815597.47360000014</v>
      </c>
      <c r="R275" s="63">
        <f t="shared" si="68"/>
        <v>0</v>
      </c>
      <c r="S275" s="83">
        <f t="shared" si="69"/>
        <v>0</v>
      </c>
      <c r="T275" s="64">
        <f t="shared" si="70"/>
        <v>0</v>
      </c>
      <c r="U275" s="66">
        <f t="shared" si="71"/>
        <v>47104888</v>
      </c>
      <c r="V275" s="63">
        <f t="shared" si="72"/>
        <v>50500117</v>
      </c>
      <c r="W275" s="83">
        <f t="shared" si="73"/>
        <v>52175000</v>
      </c>
      <c r="X275" s="64">
        <f t="shared" si="74"/>
        <v>52175000</v>
      </c>
      <c r="Z275" s="67">
        <v>1373560.08</v>
      </c>
      <c r="AA275" s="68">
        <v>127229.14939999767</v>
      </c>
      <c r="AB275" s="69">
        <v>48640000</v>
      </c>
      <c r="AC275" s="70">
        <v>52175000</v>
      </c>
      <c r="AD275" s="67">
        <v>0</v>
      </c>
      <c r="AE275" s="68">
        <v>0</v>
      </c>
      <c r="AF275" s="69">
        <v>52175000</v>
      </c>
      <c r="AG275" s="70">
        <v>52175000</v>
      </c>
      <c r="AH275" s="70">
        <f t="shared" si="75"/>
        <v>1804560.7312000003</v>
      </c>
      <c r="AI275" s="70">
        <f t="shared" si="76"/>
        <v>476201.80996799842</v>
      </c>
      <c r="AJ275" s="70">
        <f t="shared" si="77"/>
        <v>35624.16183199935</v>
      </c>
      <c r="AK275" s="70">
        <f t="shared" si="78"/>
        <v>0</v>
      </c>
      <c r="AL275" s="70">
        <f t="shared" si="79"/>
        <v>47104888</v>
      </c>
      <c r="AM275" s="70">
        <f t="shared" si="80"/>
        <v>50500117</v>
      </c>
      <c r="AN275" s="70">
        <f t="shared" si="81"/>
        <v>52175000</v>
      </c>
      <c r="AO275" s="70">
        <f t="shared" si="82"/>
        <v>52175000</v>
      </c>
    </row>
    <row r="276" spans="1:41">
      <c r="A276" s="29" t="s">
        <v>193</v>
      </c>
      <c r="B276" s="29" t="s">
        <v>850</v>
      </c>
      <c r="C276" s="107">
        <v>0</v>
      </c>
      <c r="D276" s="108">
        <v>3906182</v>
      </c>
      <c r="F276" s="107">
        <v>0</v>
      </c>
      <c r="G276" s="108">
        <v>5274470</v>
      </c>
      <c r="I276" s="64">
        <v>0</v>
      </c>
      <c r="J276" s="83">
        <v>0</v>
      </c>
      <c r="K276" s="66">
        <v>5274470</v>
      </c>
      <c r="L276" s="251">
        <v>4256156.3832</v>
      </c>
      <c r="M276" s="63">
        <v>0</v>
      </c>
      <c r="N276" s="64">
        <v>0</v>
      </c>
      <c r="O276" s="65">
        <v>4403639.1218999997</v>
      </c>
      <c r="P276" s="66">
        <v>4578105.9323999994</v>
      </c>
      <c r="Q276" s="66">
        <f t="shared" si="67"/>
        <v>0</v>
      </c>
      <c r="R276" s="63">
        <f t="shared" si="68"/>
        <v>0</v>
      </c>
      <c r="S276" s="83">
        <f t="shared" si="69"/>
        <v>0</v>
      </c>
      <c r="T276" s="64">
        <f t="shared" si="70"/>
        <v>0</v>
      </c>
      <c r="U276" s="66">
        <f t="shared" si="71"/>
        <v>4626175.1456000004</v>
      </c>
      <c r="V276" s="63">
        <f t="shared" si="72"/>
        <v>4738633.3748398405</v>
      </c>
      <c r="W276" s="83">
        <f t="shared" si="73"/>
        <v>4333761.8003039397</v>
      </c>
      <c r="X276" s="64">
        <f t="shared" si="74"/>
        <v>4495443.5575850997</v>
      </c>
      <c r="Z276" s="67">
        <v>0</v>
      </c>
      <c r="AA276" s="68">
        <v>0</v>
      </c>
      <c r="AB276" s="69">
        <v>5274470</v>
      </c>
      <c r="AC276" s="70">
        <v>4319170.2505999999</v>
      </c>
      <c r="AD276" s="67">
        <v>0</v>
      </c>
      <c r="AE276" s="68">
        <v>0</v>
      </c>
      <c r="AF276" s="69">
        <v>4403639.1218999997</v>
      </c>
      <c r="AG276" s="70">
        <v>4578105.9323999994</v>
      </c>
      <c r="AH276" s="70">
        <f t="shared" si="75"/>
        <v>0</v>
      </c>
      <c r="AI276" s="70">
        <f t="shared" si="76"/>
        <v>0</v>
      </c>
      <c r="AJ276" s="70">
        <f t="shared" si="77"/>
        <v>0</v>
      </c>
      <c r="AK276" s="70">
        <f t="shared" si="78"/>
        <v>0</v>
      </c>
      <c r="AL276" s="70">
        <f t="shared" si="79"/>
        <v>4626175.1456000004</v>
      </c>
      <c r="AM276" s="70">
        <f t="shared" si="80"/>
        <v>4771791.2718657199</v>
      </c>
      <c r="AN276" s="70">
        <f t="shared" si="81"/>
        <v>4363617.7706780601</v>
      </c>
      <c r="AO276" s="70">
        <f t="shared" si="82"/>
        <v>4495443.5575850997</v>
      </c>
    </row>
    <row r="277" spans="1:41">
      <c r="A277" s="29" t="s">
        <v>523</v>
      </c>
      <c r="B277" s="29" t="s">
        <v>851</v>
      </c>
      <c r="C277" s="107">
        <v>55791.64</v>
      </c>
      <c r="D277" s="108">
        <v>997000</v>
      </c>
      <c r="F277" s="107">
        <v>0</v>
      </c>
      <c r="G277" s="108">
        <v>997000</v>
      </c>
      <c r="I277" s="64">
        <v>0</v>
      </c>
      <c r="J277" s="83">
        <v>0</v>
      </c>
      <c r="K277" s="66">
        <v>997000</v>
      </c>
      <c r="L277" s="251">
        <v>997000</v>
      </c>
      <c r="M277" s="63">
        <v>0</v>
      </c>
      <c r="N277" s="64">
        <v>0</v>
      </c>
      <c r="O277" s="65">
        <v>997000</v>
      </c>
      <c r="P277" s="66">
        <v>997000</v>
      </c>
      <c r="Q277" s="66">
        <f t="shared" si="67"/>
        <v>15621.659200000002</v>
      </c>
      <c r="R277" s="63">
        <f t="shared" si="68"/>
        <v>0</v>
      </c>
      <c r="S277" s="83">
        <f t="shared" si="69"/>
        <v>0</v>
      </c>
      <c r="T277" s="64">
        <f t="shared" si="70"/>
        <v>0</v>
      </c>
      <c r="U277" s="66">
        <f t="shared" si="71"/>
        <v>997000</v>
      </c>
      <c r="V277" s="63">
        <f t="shared" si="72"/>
        <v>997000</v>
      </c>
      <c r="W277" s="83">
        <f t="shared" si="73"/>
        <v>997000</v>
      </c>
      <c r="X277" s="64">
        <f t="shared" si="74"/>
        <v>997000</v>
      </c>
      <c r="Z277" s="67">
        <v>0</v>
      </c>
      <c r="AA277" s="68">
        <v>38890.586900000024</v>
      </c>
      <c r="AB277" s="69">
        <v>997000</v>
      </c>
      <c r="AC277" s="70">
        <v>997000</v>
      </c>
      <c r="AD277" s="67">
        <v>0</v>
      </c>
      <c r="AE277" s="68">
        <v>0</v>
      </c>
      <c r="AF277" s="69">
        <v>997000</v>
      </c>
      <c r="AG277" s="70">
        <v>997000</v>
      </c>
      <c r="AH277" s="70">
        <f t="shared" si="75"/>
        <v>15621.659200000002</v>
      </c>
      <c r="AI277" s="70">
        <f t="shared" si="76"/>
        <v>28001.222568000016</v>
      </c>
      <c r="AJ277" s="70">
        <f t="shared" si="77"/>
        <v>10889.364332000008</v>
      </c>
      <c r="AK277" s="70">
        <f t="shared" si="78"/>
        <v>0</v>
      </c>
      <c r="AL277" s="70">
        <f t="shared" si="79"/>
        <v>997000</v>
      </c>
      <c r="AM277" s="70">
        <f t="shared" si="80"/>
        <v>997000</v>
      </c>
      <c r="AN277" s="70">
        <f t="shared" si="81"/>
        <v>997000</v>
      </c>
      <c r="AO277" s="70">
        <f t="shared" si="82"/>
        <v>997000</v>
      </c>
    </row>
    <row r="278" spans="1:41">
      <c r="A278" s="29" t="s">
        <v>121</v>
      </c>
      <c r="B278" s="29" t="s">
        <v>852</v>
      </c>
      <c r="C278" s="107">
        <v>2720099.8</v>
      </c>
      <c r="D278" s="108">
        <v>2214962</v>
      </c>
      <c r="F278" s="107">
        <v>2829074.82</v>
      </c>
      <c r="G278" s="108">
        <v>2434238</v>
      </c>
      <c r="I278" s="64">
        <v>2829074.82</v>
      </c>
      <c r="J278" s="83">
        <v>3052039.2398999999</v>
      </c>
      <c r="K278" s="66">
        <v>2434238</v>
      </c>
      <c r="L278" s="251">
        <v>2162929.125</v>
      </c>
      <c r="M278" s="63">
        <v>3130677.9783000005</v>
      </c>
      <c r="N278" s="64">
        <v>3244982.9309999999</v>
      </c>
      <c r="O278" s="65">
        <v>2283120.9300000002</v>
      </c>
      <c r="P278" s="66">
        <v>2389790.9175</v>
      </c>
      <c r="Q278" s="66">
        <f t="shared" si="67"/>
        <v>2798561.8144</v>
      </c>
      <c r="R278" s="63">
        <f t="shared" si="68"/>
        <v>2989609.2023279998</v>
      </c>
      <c r="S278" s="83">
        <f t="shared" si="69"/>
        <v>3108659.1315480005</v>
      </c>
      <c r="T278" s="64">
        <f t="shared" si="70"/>
        <v>3212977.5442439998</v>
      </c>
      <c r="U278" s="66">
        <f t="shared" si="71"/>
        <v>2330345.0312000001</v>
      </c>
      <c r="V278" s="63">
        <f t="shared" si="72"/>
        <v>2291475.2699750001</v>
      </c>
      <c r="W278" s="83">
        <f t="shared" si="73"/>
        <v>2226174.0527909999</v>
      </c>
      <c r="X278" s="64">
        <f t="shared" si="74"/>
        <v>2339250.6774225002</v>
      </c>
      <c r="Z278" s="67">
        <v>2829074.82</v>
      </c>
      <c r="AA278" s="68">
        <v>3052039.2398999999</v>
      </c>
      <c r="AB278" s="69">
        <v>2434238</v>
      </c>
      <c r="AC278" s="70">
        <v>2162929.125</v>
      </c>
      <c r="AD278" s="67">
        <v>3130677.9783000005</v>
      </c>
      <c r="AE278" s="68">
        <v>3244982.9309999999</v>
      </c>
      <c r="AF278" s="69">
        <v>2283120.9300000002</v>
      </c>
      <c r="AG278" s="70">
        <v>2389790.9175</v>
      </c>
      <c r="AH278" s="70">
        <f t="shared" si="75"/>
        <v>2798561.8144</v>
      </c>
      <c r="AI278" s="70">
        <f t="shared" si="76"/>
        <v>2989609.2023279998</v>
      </c>
      <c r="AJ278" s="70">
        <f t="shared" si="77"/>
        <v>3108659.1315480005</v>
      </c>
      <c r="AK278" s="70">
        <f t="shared" si="78"/>
        <v>3212977.5442439998</v>
      </c>
      <c r="AL278" s="70">
        <f t="shared" si="79"/>
        <v>2330345.0312000001</v>
      </c>
      <c r="AM278" s="70">
        <f t="shared" si="80"/>
        <v>2291475.2699750001</v>
      </c>
      <c r="AN278" s="70">
        <f t="shared" si="81"/>
        <v>2226174.0527909999</v>
      </c>
      <c r="AO278" s="70">
        <f t="shared" si="82"/>
        <v>2339250.6774225002</v>
      </c>
    </row>
    <row r="279" spans="1:41">
      <c r="A279" s="29" t="s">
        <v>535</v>
      </c>
      <c r="B279" s="29" t="s">
        <v>853</v>
      </c>
      <c r="C279" s="107">
        <v>156008.42000000001</v>
      </c>
      <c r="D279" s="108">
        <v>490289</v>
      </c>
      <c r="F279" s="107">
        <v>146033.87</v>
      </c>
      <c r="G279" s="108">
        <v>640535</v>
      </c>
      <c r="I279" s="64">
        <v>91442.71</v>
      </c>
      <c r="J279" s="83">
        <v>105219.43349999993</v>
      </c>
      <c r="K279" s="66">
        <v>640535</v>
      </c>
      <c r="L279" s="251">
        <v>494295.60749999998</v>
      </c>
      <c r="M279" s="63">
        <v>112636.86810000001</v>
      </c>
      <c r="N279" s="64">
        <v>112331.27910000001</v>
      </c>
      <c r="O279" s="65">
        <v>505486.4375</v>
      </c>
      <c r="P279" s="66">
        <v>533912.37749999994</v>
      </c>
      <c r="Q279" s="66">
        <f t="shared" si="67"/>
        <v>109521.10880000002</v>
      </c>
      <c r="R279" s="63">
        <f t="shared" si="68"/>
        <v>101361.95091999994</v>
      </c>
      <c r="S279" s="83">
        <f t="shared" si="69"/>
        <v>110559.986412</v>
      </c>
      <c r="T279" s="64">
        <f t="shared" si="70"/>
        <v>112416.84402000002</v>
      </c>
      <c r="U279" s="66">
        <f t="shared" si="71"/>
        <v>569348.44519999996</v>
      </c>
      <c r="V279" s="63">
        <f t="shared" si="72"/>
        <v>563583.83166649996</v>
      </c>
      <c r="W279" s="83">
        <f t="shared" si="73"/>
        <v>500184.22224599996</v>
      </c>
      <c r="X279" s="64">
        <f t="shared" si="74"/>
        <v>520444.167128</v>
      </c>
      <c r="Z279" s="67">
        <v>146033.87</v>
      </c>
      <c r="AA279" s="68">
        <v>188527.43450000003</v>
      </c>
      <c r="AB279" s="69">
        <v>640535</v>
      </c>
      <c r="AC279" s="70">
        <v>494295.60749999998</v>
      </c>
      <c r="AD279" s="67">
        <v>112636.86810000001</v>
      </c>
      <c r="AE279" s="68">
        <v>112331.27910000001</v>
      </c>
      <c r="AF279" s="69">
        <v>505486.4375</v>
      </c>
      <c r="AG279" s="70">
        <v>533912.37749999994</v>
      </c>
      <c r="AH279" s="70">
        <f t="shared" si="75"/>
        <v>148826.74400000001</v>
      </c>
      <c r="AI279" s="70">
        <f t="shared" si="76"/>
        <v>176629.23644000004</v>
      </c>
      <c r="AJ279" s="70">
        <f t="shared" si="77"/>
        <v>133886.22669200003</v>
      </c>
      <c r="AK279" s="70">
        <f t="shared" si="78"/>
        <v>112416.84402000002</v>
      </c>
      <c r="AL279" s="70">
        <f t="shared" si="79"/>
        <v>569348.44519999996</v>
      </c>
      <c r="AM279" s="70">
        <f t="shared" si="80"/>
        <v>563583.83166649996</v>
      </c>
      <c r="AN279" s="70">
        <f t="shared" si="81"/>
        <v>500184.22224599996</v>
      </c>
      <c r="AO279" s="70">
        <f t="shared" si="82"/>
        <v>520444.167128</v>
      </c>
    </row>
    <row r="280" spans="1:41">
      <c r="A280" s="29" t="s">
        <v>527</v>
      </c>
      <c r="B280" s="29" t="s">
        <v>854</v>
      </c>
      <c r="C280" s="107">
        <v>3325252.83</v>
      </c>
      <c r="D280" s="108">
        <v>11010402</v>
      </c>
      <c r="F280" s="107">
        <v>2874644.41</v>
      </c>
      <c r="G280" s="108">
        <v>11285662</v>
      </c>
      <c r="I280" s="64">
        <v>2566230.59</v>
      </c>
      <c r="J280" s="83">
        <v>3303499.6303999997</v>
      </c>
      <c r="K280" s="66">
        <v>11285662</v>
      </c>
      <c r="L280" s="251">
        <v>10866705.890000001</v>
      </c>
      <c r="M280" s="63">
        <v>3132466.4630999994</v>
      </c>
      <c r="N280" s="64">
        <v>3133222.7649000012</v>
      </c>
      <c r="O280" s="65">
        <v>11719634.26</v>
      </c>
      <c r="P280" s="66">
        <v>11856999</v>
      </c>
      <c r="Q280" s="66">
        <f t="shared" si="67"/>
        <v>2778756.8171999999</v>
      </c>
      <c r="R280" s="63">
        <f t="shared" si="68"/>
        <v>3097064.2990879999</v>
      </c>
      <c r="S280" s="83">
        <f t="shared" si="69"/>
        <v>3180355.7499439996</v>
      </c>
      <c r="T280" s="64">
        <f t="shared" si="70"/>
        <v>3133011.0003960012</v>
      </c>
      <c r="U280" s="66">
        <f t="shared" si="71"/>
        <v>11155243.811999999</v>
      </c>
      <c r="V280" s="63">
        <f t="shared" si="72"/>
        <v>11065207.294918001</v>
      </c>
      <c r="W280" s="83">
        <f t="shared" si="73"/>
        <v>11315516.798294</v>
      </c>
      <c r="X280" s="64">
        <f t="shared" si="74"/>
        <v>11791915.586188</v>
      </c>
      <c r="Z280" s="67">
        <v>2874644.41</v>
      </c>
      <c r="AA280" s="68">
        <v>3570564.8318999996</v>
      </c>
      <c r="AB280" s="69">
        <v>11285662</v>
      </c>
      <c r="AC280" s="70">
        <v>10866705.890000001</v>
      </c>
      <c r="AD280" s="67">
        <v>3132466.4630999994</v>
      </c>
      <c r="AE280" s="68">
        <v>3133222.7649000012</v>
      </c>
      <c r="AF280" s="69">
        <v>11719634.26</v>
      </c>
      <c r="AG280" s="70">
        <v>11856999</v>
      </c>
      <c r="AH280" s="70">
        <f t="shared" si="75"/>
        <v>3000814.7675999999</v>
      </c>
      <c r="AI280" s="70">
        <f t="shared" si="76"/>
        <v>3375707.1137680002</v>
      </c>
      <c r="AJ280" s="70">
        <f t="shared" si="77"/>
        <v>3255134.0063639996</v>
      </c>
      <c r="AK280" s="70">
        <f t="shared" si="78"/>
        <v>3133011.0003960012</v>
      </c>
      <c r="AL280" s="70">
        <f t="shared" si="79"/>
        <v>11155243.811999999</v>
      </c>
      <c r="AM280" s="70">
        <f t="shared" si="80"/>
        <v>11065207.294918001</v>
      </c>
      <c r="AN280" s="70">
        <f t="shared" si="81"/>
        <v>11315516.798294</v>
      </c>
      <c r="AO280" s="70">
        <f t="shared" si="82"/>
        <v>11791915.586188</v>
      </c>
    </row>
    <row r="281" spans="1:41">
      <c r="A281" s="29" t="s">
        <v>605</v>
      </c>
      <c r="B281" s="29" t="s">
        <v>855</v>
      </c>
      <c r="C281" s="107">
        <v>4046853.2</v>
      </c>
      <c r="D281" s="108">
        <v>1350000</v>
      </c>
      <c r="F281" s="107">
        <v>4201917.8099999996</v>
      </c>
      <c r="G281" s="108">
        <v>1350000</v>
      </c>
      <c r="I281" s="64">
        <v>4006526.46</v>
      </c>
      <c r="J281" s="83">
        <v>3888921.2800113331</v>
      </c>
      <c r="K281" s="66">
        <v>1350000</v>
      </c>
      <c r="L281" s="251">
        <v>1350000</v>
      </c>
      <c r="M281" s="63">
        <v>3799242.4137360002</v>
      </c>
      <c r="N281" s="64">
        <v>3676873.1506720004</v>
      </c>
      <c r="O281" s="65">
        <v>1350000</v>
      </c>
      <c r="P281" s="66">
        <v>1350000</v>
      </c>
      <c r="Q281" s="66">
        <f t="shared" si="67"/>
        <v>4017817.9471999998</v>
      </c>
      <c r="R281" s="63">
        <f t="shared" si="68"/>
        <v>3921850.73040816</v>
      </c>
      <c r="S281" s="83">
        <f t="shared" si="69"/>
        <v>3824352.4962930935</v>
      </c>
      <c r="T281" s="64">
        <f t="shared" si="70"/>
        <v>3711136.5443299208</v>
      </c>
      <c r="U281" s="66">
        <f t="shared" si="71"/>
        <v>1350000</v>
      </c>
      <c r="V281" s="63">
        <f t="shared" si="72"/>
        <v>1350000</v>
      </c>
      <c r="W281" s="83">
        <f t="shared" si="73"/>
        <v>1350000</v>
      </c>
      <c r="X281" s="64">
        <f t="shared" si="74"/>
        <v>1350000</v>
      </c>
      <c r="Z281" s="67">
        <v>4201917.8099999996</v>
      </c>
      <c r="AA281" s="68">
        <v>4026101.3146473337</v>
      </c>
      <c r="AB281" s="69">
        <v>1350000</v>
      </c>
      <c r="AC281" s="70">
        <v>1350000</v>
      </c>
      <c r="AD281" s="67">
        <v>3799242.4137360002</v>
      </c>
      <c r="AE281" s="68">
        <v>3676873.1506720004</v>
      </c>
      <c r="AF281" s="69">
        <v>1350000</v>
      </c>
      <c r="AG281" s="70">
        <v>1350000</v>
      </c>
      <c r="AH281" s="70">
        <f t="shared" si="75"/>
        <v>4158499.7191999997</v>
      </c>
      <c r="AI281" s="70">
        <f t="shared" si="76"/>
        <v>4075329.9333460801</v>
      </c>
      <c r="AJ281" s="70">
        <f t="shared" si="77"/>
        <v>3862762.9059911738</v>
      </c>
      <c r="AK281" s="70">
        <f t="shared" si="78"/>
        <v>3711136.5443299208</v>
      </c>
      <c r="AL281" s="70">
        <f t="shared" si="79"/>
        <v>1350000</v>
      </c>
      <c r="AM281" s="70">
        <f t="shared" si="80"/>
        <v>1350000</v>
      </c>
      <c r="AN281" s="70">
        <f t="shared" si="81"/>
        <v>1350000</v>
      </c>
      <c r="AO281" s="70">
        <f t="shared" si="82"/>
        <v>1350000</v>
      </c>
    </row>
    <row r="282" spans="1:41">
      <c r="A282" s="29" t="s">
        <v>125</v>
      </c>
      <c r="B282" s="29" t="s">
        <v>856</v>
      </c>
      <c r="C282" s="107">
        <v>657907.32999999996</v>
      </c>
      <c r="D282" s="108">
        <v>1082316</v>
      </c>
      <c r="F282" s="107">
        <v>705742.22</v>
      </c>
      <c r="G282" s="108">
        <v>1168901</v>
      </c>
      <c r="I282" s="64">
        <v>663415.88</v>
      </c>
      <c r="J282" s="83">
        <v>672768.23749999993</v>
      </c>
      <c r="K282" s="66">
        <v>1168901</v>
      </c>
      <c r="L282" s="251">
        <v>1168901</v>
      </c>
      <c r="M282" s="63">
        <v>678504.07470000011</v>
      </c>
      <c r="N282" s="64">
        <v>714342.40469999996</v>
      </c>
      <c r="O282" s="65">
        <v>1168901</v>
      </c>
      <c r="P282" s="66">
        <v>1168901</v>
      </c>
      <c r="Q282" s="66">
        <f t="shared" si="67"/>
        <v>661873.48600000003</v>
      </c>
      <c r="R282" s="63">
        <f t="shared" si="68"/>
        <v>670149.57739999995</v>
      </c>
      <c r="S282" s="83">
        <f t="shared" si="69"/>
        <v>676898.0402840001</v>
      </c>
      <c r="T282" s="64">
        <f t="shared" si="70"/>
        <v>704307.67229999998</v>
      </c>
      <c r="U282" s="66">
        <f t="shared" si="71"/>
        <v>1127877.027</v>
      </c>
      <c r="V282" s="63">
        <f t="shared" si="72"/>
        <v>1168901</v>
      </c>
      <c r="W282" s="83">
        <f t="shared" si="73"/>
        <v>1168901</v>
      </c>
      <c r="X282" s="64">
        <f t="shared" si="74"/>
        <v>1168901</v>
      </c>
      <c r="Z282" s="67">
        <v>705742.22</v>
      </c>
      <c r="AA282" s="68">
        <v>701402.03230000008</v>
      </c>
      <c r="AB282" s="69">
        <v>1168901</v>
      </c>
      <c r="AC282" s="70">
        <v>1168901</v>
      </c>
      <c r="AD282" s="67">
        <v>678504.07470000011</v>
      </c>
      <c r="AE282" s="68">
        <v>714342.40469999996</v>
      </c>
      <c r="AF282" s="69">
        <v>1168901</v>
      </c>
      <c r="AG282" s="70">
        <v>1168901</v>
      </c>
      <c r="AH282" s="70">
        <f t="shared" si="75"/>
        <v>692348.45079999999</v>
      </c>
      <c r="AI282" s="70">
        <f t="shared" si="76"/>
        <v>702617.28485599998</v>
      </c>
      <c r="AJ282" s="70">
        <f t="shared" si="77"/>
        <v>684915.50282800011</v>
      </c>
      <c r="AK282" s="70">
        <f t="shared" si="78"/>
        <v>704307.67229999998</v>
      </c>
      <c r="AL282" s="70">
        <f t="shared" si="79"/>
        <v>1127877.027</v>
      </c>
      <c r="AM282" s="70">
        <f t="shared" si="80"/>
        <v>1168901</v>
      </c>
      <c r="AN282" s="70">
        <f t="shared" si="81"/>
        <v>1168901</v>
      </c>
      <c r="AO282" s="70">
        <f t="shared" si="82"/>
        <v>1168901</v>
      </c>
    </row>
    <row r="283" spans="1:41">
      <c r="A283" s="29" t="s">
        <v>63</v>
      </c>
      <c r="B283" s="29" t="s">
        <v>857</v>
      </c>
      <c r="C283" s="107">
        <v>0</v>
      </c>
      <c r="D283" s="108">
        <v>7392656</v>
      </c>
      <c r="F283" s="107">
        <v>0</v>
      </c>
      <c r="G283" s="108">
        <v>7984068</v>
      </c>
      <c r="I283" s="64">
        <v>0</v>
      </c>
      <c r="J283" s="83">
        <v>0</v>
      </c>
      <c r="K283" s="66">
        <v>7984068</v>
      </c>
      <c r="L283" s="251">
        <v>8271771.9367999993</v>
      </c>
      <c r="M283" s="63">
        <v>0</v>
      </c>
      <c r="N283" s="64">
        <v>0</v>
      </c>
      <c r="O283" s="65">
        <v>8559070.4043000005</v>
      </c>
      <c r="P283" s="66">
        <v>8622793</v>
      </c>
      <c r="Q283" s="66">
        <f t="shared" si="67"/>
        <v>0</v>
      </c>
      <c r="R283" s="63">
        <f t="shared" si="68"/>
        <v>0</v>
      </c>
      <c r="S283" s="83">
        <f t="shared" si="69"/>
        <v>0</v>
      </c>
      <c r="T283" s="64">
        <f t="shared" si="70"/>
        <v>0</v>
      </c>
      <c r="U283" s="66">
        <f t="shared" si="71"/>
        <v>7703856.9944000002</v>
      </c>
      <c r="V283" s="63">
        <f t="shared" si="72"/>
        <v>8135457.8115441594</v>
      </c>
      <c r="W283" s="83">
        <f t="shared" si="73"/>
        <v>8422948.3903985005</v>
      </c>
      <c r="X283" s="64">
        <f t="shared" si="74"/>
        <v>8592601.2341573406</v>
      </c>
      <c r="Z283" s="67">
        <v>0</v>
      </c>
      <c r="AA283" s="68">
        <v>0</v>
      </c>
      <c r="AB283" s="69">
        <v>7984068</v>
      </c>
      <c r="AC283" s="70">
        <v>8622793</v>
      </c>
      <c r="AD283" s="67">
        <v>0</v>
      </c>
      <c r="AE283" s="68">
        <v>0</v>
      </c>
      <c r="AF283" s="69">
        <v>8559070.4043000005</v>
      </c>
      <c r="AG283" s="70">
        <v>8622793</v>
      </c>
      <c r="AH283" s="70">
        <f t="shared" si="75"/>
        <v>0</v>
      </c>
      <c r="AI283" s="70">
        <f t="shared" si="76"/>
        <v>0</v>
      </c>
      <c r="AJ283" s="70">
        <f t="shared" si="77"/>
        <v>0</v>
      </c>
      <c r="AK283" s="70">
        <f t="shared" si="78"/>
        <v>0</v>
      </c>
      <c r="AL283" s="70">
        <f t="shared" si="79"/>
        <v>7703856.9944000002</v>
      </c>
      <c r="AM283" s="70">
        <f t="shared" si="80"/>
        <v>8320165.0949999997</v>
      </c>
      <c r="AN283" s="70">
        <f t="shared" si="81"/>
        <v>8589262.1701426618</v>
      </c>
      <c r="AO283" s="70">
        <f t="shared" si="82"/>
        <v>8592601.2341573406</v>
      </c>
    </row>
    <row r="284" spans="1:41">
      <c r="A284" s="29" t="s">
        <v>3</v>
      </c>
      <c r="B284" s="29" t="s">
        <v>910</v>
      </c>
      <c r="C284" s="107">
        <v>3513.6</v>
      </c>
      <c r="D284" s="108">
        <v>142000</v>
      </c>
      <c r="F284" s="107">
        <v>0</v>
      </c>
      <c r="G284" s="108">
        <v>150000</v>
      </c>
      <c r="I284" s="64">
        <v>0</v>
      </c>
      <c r="J284" s="83">
        <v>10640.863500000005</v>
      </c>
      <c r="K284" s="66">
        <v>150000</v>
      </c>
      <c r="L284" s="251">
        <v>150000</v>
      </c>
      <c r="M284" s="63">
        <v>10891.123499999991</v>
      </c>
      <c r="N284" s="64">
        <v>7948.8300000000045</v>
      </c>
      <c r="O284" s="65">
        <v>150000</v>
      </c>
      <c r="P284" s="66">
        <v>150000</v>
      </c>
      <c r="Q284" s="66">
        <f t="shared" si="67"/>
        <v>983.80800000000011</v>
      </c>
      <c r="R284" s="63">
        <f t="shared" si="68"/>
        <v>7661.421720000003</v>
      </c>
      <c r="S284" s="83">
        <f t="shared" si="69"/>
        <v>10821.050699999994</v>
      </c>
      <c r="T284" s="64">
        <f t="shared" si="70"/>
        <v>8772.6721800000014</v>
      </c>
      <c r="U284" s="66">
        <f t="shared" si="71"/>
        <v>146209.60000000001</v>
      </c>
      <c r="V284" s="63">
        <f t="shared" si="72"/>
        <v>150000</v>
      </c>
      <c r="W284" s="83">
        <f t="shared" si="73"/>
        <v>150000</v>
      </c>
      <c r="X284" s="64">
        <f t="shared" si="74"/>
        <v>150000</v>
      </c>
      <c r="Z284" s="67">
        <v>0</v>
      </c>
      <c r="AA284" s="68">
        <v>10640.863500000005</v>
      </c>
      <c r="AB284" s="69">
        <v>150000</v>
      </c>
      <c r="AC284" s="70">
        <v>150000</v>
      </c>
      <c r="AD284" s="67">
        <v>10891.123499999991</v>
      </c>
      <c r="AE284" s="68">
        <v>7948.8300000000045</v>
      </c>
      <c r="AF284" s="69">
        <v>150000</v>
      </c>
      <c r="AG284" s="70">
        <v>150000</v>
      </c>
      <c r="AH284" s="70">
        <f t="shared" si="75"/>
        <v>983.80800000000011</v>
      </c>
      <c r="AI284" s="70">
        <f t="shared" si="76"/>
        <v>7661.421720000003</v>
      </c>
      <c r="AJ284" s="70">
        <f t="shared" si="77"/>
        <v>10821.050699999994</v>
      </c>
      <c r="AK284" s="70">
        <f t="shared" si="78"/>
        <v>8772.6721800000014</v>
      </c>
      <c r="AL284" s="70">
        <f t="shared" si="79"/>
        <v>146209.60000000001</v>
      </c>
      <c r="AM284" s="70">
        <f t="shared" si="80"/>
        <v>150000</v>
      </c>
      <c r="AN284" s="70">
        <f t="shared" si="81"/>
        <v>150000</v>
      </c>
      <c r="AO284" s="70">
        <f t="shared" si="82"/>
        <v>150000</v>
      </c>
    </row>
    <row r="285" spans="1:41">
      <c r="A285" s="29" t="s">
        <v>99</v>
      </c>
      <c r="B285" s="29" t="s">
        <v>858</v>
      </c>
      <c r="C285" s="107">
        <v>77430.63</v>
      </c>
      <c r="D285" s="108">
        <v>583000</v>
      </c>
      <c r="F285" s="107">
        <v>82049.52</v>
      </c>
      <c r="G285" s="108">
        <v>618083.25</v>
      </c>
      <c r="I285" s="64">
        <v>82049.52</v>
      </c>
      <c r="J285" s="83">
        <v>51289.550800000012</v>
      </c>
      <c r="K285" s="66">
        <v>618083.25</v>
      </c>
      <c r="L285" s="251">
        <v>587346.46250000002</v>
      </c>
      <c r="M285" s="63">
        <v>53630.628600000011</v>
      </c>
      <c r="N285" s="64">
        <v>47812.669800000003</v>
      </c>
      <c r="O285" s="65">
        <v>607608.48250000004</v>
      </c>
      <c r="P285" s="66">
        <v>646015.33499999996</v>
      </c>
      <c r="Q285" s="66">
        <f t="shared" si="67"/>
        <v>80756.230800000005</v>
      </c>
      <c r="R285" s="63">
        <f t="shared" si="68"/>
        <v>59902.342176000013</v>
      </c>
      <c r="S285" s="83">
        <f t="shared" si="69"/>
        <v>52975.126816000011</v>
      </c>
      <c r="T285" s="64">
        <f t="shared" si="70"/>
        <v>49441.698264000006</v>
      </c>
      <c r="U285" s="66">
        <f t="shared" si="71"/>
        <v>601460.80615000008</v>
      </c>
      <c r="V285" s="63">
        <f t="shared" si="72"/>
        <v>601909.55241749994</v>
      </c>
      <c r="W285" s="83">
        <f t="shared" si="73"/>
        <v>598008.33742400003</v>
      </c>
      <c r="X285" s="64">
        <f t="shared" si="74"/>
        <v>627818.16828550003</v>
      </c>
      <c r="Z285" s="67">
        <v>82049.52</v>
      </c>
      <c r="AA285" s="68">
        <v>120387.23179999994</v>
      </c>
      <c r="AB285" s="69">
        <v>618083.25</v>
      </c>
      <c r="AC285" s="70">
        <v>587346.46250000002</v>
      </c>
      <c r="AD285" s="67">
        <v>53630.628600000011</v>
      </c>
      <c r="AE285" s="68">
        <v>47812.669800000003</v>
      </c>
      <c r="AF285" s="69">
        <v>607608.48250000004</v>
      </c>
      <c r="AG285" s="70">
        <v>646015.33499999996</v>
      </c>
      <c r="AH285" s="70">
        <f t="shared" si="75"/>
        <v>80756.230800000005</v>
      </c>
      <c r="AI285" s="70">
        <f t="shared" si="76"/>
        <v>109652.67249599996</v>
      </c>
      <c r="AJ285" s="70">
        <f t="shared" si="77"/>
        <v>72322.477495999992</v>
      </c>
      <c r="AK285" s="70">
        <f t="shared" si="78"/>
        <v>49441.698264000006</v>
      </c>
      <c r="AL285" s="70">
        <f t="shared" si="79"/>
        <v>601460.80615000008</v>
      </c>
      <c r="AM285" s="70">
        <f t="shared" si="80"/>
        <v>601909.55241749994</v>
      </c>
      <c r="AN285" s="70">
        <f t="shared" si="81"/>
        <v>598008.33742400003</v>
      </c>
      <c r="AO285" s="70">
        <f t="shared" si="82"/>
        <v>627818.16828550003</v>
      </c>
    </row>
    <row r="286" spans="1:41">
      <c r="A286" s="29" t="s">
        <v>487</v>
      </c>
      <c r="B286" s="29" t="s">
        <v>859</v>
      </c>
      <c r="C286" s="107">
        <v>480953.65</v>
      </c>
      <c r="D286" s="108">
        <v>50000</v>
      </c>
      <c r="F286" s="107">
        <v>500915.7</v>
      </c>
      <c r="G286" s="108">
        <v>50000</v>
      </c>
      <c r="I286" s="64">
        <v>488885.35</v>
      </c>
      <c r="J286" s="83">
        <v>449428.47641399992</v>
      </c>
      <c r="K286" s="66">
        <v>50000</v>
      </c>
      <c r="L286" s="251">
        <v>50000</v>
      </c>
      <c r="M286" s="63">
        <v>429716.78585999995</v>
      </c>
      <c r="N286" s="64">
        <v>431646.99459599995</v>
      </c>
      <c r="O286" s="65">
        <v>50000</v>
      </c>
      <c r="P286" s="66">
        <v>50000</v>
      </c>
      <c r="Q286" s="66">
        <f t="shared" si="67"/>
        <v>486664.47400000005</v>
      </c>
      <c r="R286" s="63">
        <f t="shared" si="68"/>
        <v>460476.40101807995</v>
      </c>
      <c r="S286" s="83">
        <f t="shared" si="69"/>
        <v>435236.05921511998</v>
      </c>
      <c r="T286" s="64">
        <f t="shared" si="70"/>
        <v>431106.53614991996</v>
      </c>
      <c r="U286" s="66">
        <f t="shared" si="71"/>
        <v>50000</v>
      </c>
      <c r="V286" s="63">
        <f t="shared" si="72"/>
        <v>50000</v>
      </c>
      <c r="W286" s="83">
        <f t="shared" si="73"/>
        <v>50000</v>
      </c>
      <c r="X286" s="64">
        <f t="shared" si="74"/>
        <v>50000</v>
      </c>
      <c r="Z286" s="67">
        <v>500915.7</v>
      </c>
      <c r="AA286" s="68">
        <v>455424.520938</v>
      </c>
      <c r="AB286" s="69">
        <v>50000</v>
      </c>
      <c r="AC286" s="70">
        <v>50000</v>
      </c>
      <c r="AD286" s="67">
        <v>429716.78585999995</v>
      </c>
      <c r="AE286" s="68">
        <v>431646.99459599995</v>
      </c>
      <c r="AF286" s="69">
        <v>50000</v>
      </c>
      <c r="AG286" s="70">
        <v>50000</v>
      </c>
      <c r="AH286" s="70">
        <f t="shared" si="75"/>
        <v>495326.326</v>
      </c>
      <c r="AI286" s="70">
        <f t="shared" si="76"/>
        <v>468162.05107535998</v>
      </c>
      <c r="AJ286" s="70">
        <f t="shared" si="77"/>
        <v>436914.95168184</v>
      </c>
      <c r="AK286" s="70">
        <f t="shared" si="78"/>
        <v>431106.53614991996</v>
      </c>
      <c r="AL286" s="70">
        <f t="shared" si="79"/>
        <v>50000</v>
      </c>
      <c r="AM286" s="70">
        <f t="shared" si="80"/>
        <v>50000</v>
      </c>
      <c r="AN286" s="70">
        <f t="shared" si="81"/>
        <v>50000</v>
      </c>
      <c r="AO286" s="70">
        <f t="shared" si="82"/>
        <v>50000</v>
      </c>
    </row>
    <row r="287" spans="1:41">
      <c r="A287" s="29" t="s">
        <v>41</v>
      </c>
      <c r="B287" s="29" t="s">
        <v>860</v>
      </c>
      <c r="C287" s="107">
        <v>4101924.25</v>
      </c>
      <c r="D287" s="108">
        <v>11489774</v>
      </c>
      <c r="F287" s="107">
        <v>3712997.33</v>
      </c>
      <c r="G287" s="108">
        <v>12064898.85</v>
      </c>
      <c r="I287" s="64">
        <v>3097336.94</v>
      </c>
      <c r="J287" s="83">
        <v>3686191.8868000004</v>
      </c>
      <c r="K287" s="66">
        <v>12064898.85</v>
      </c>
      <c r="L287" s="251">
        <v>12350000</v>
      </c>
      <c r="M287" s="63">
        <v>3360860.6372999991</v>
      </c>
      <c r="N287" s="64">
        <v>2999576.1735</v>
      </c>
      <c r="O287" s="65">
        <v>12700000</v>
      </c>
      <c r="P287" s="66">
        <v>13050000</v>
      </c>
      <c r="Q287" s="66">
        <f t="shared" si="67"/>
        <v>3378621.3868</v>
      </c>
      <c r="R287" s="63">
        <f t="shared" si="68"/>
        <v>3521312.5016960003</v>
      </c>
      <c r="S287" s="83">
        <f t="shared" si="69"/>
        <v>3451953.3871599995</v>
      </c>
      <c r="T287" s="64">
        <f t="shared" si="70"/>
        <v>3100735.8233639998</v>
      </c>
      <c r="U287" s="66">
        <f t="shared" si="71"/>
        <v>11792404.696070001</v>
      </c>
      <c r="V287" s="63">
        <f t="shared" si="72"/>
        <v>12214919.075130001</v>
      </c>
      <c r="W287" s="83">
        <f t="shared" si="73"/>
        <v>12534170</v>
      </c>
      <c r="X287" s="64">
        <f t="shared" si="74"/>
        <v>12884170</v>
      </c>
      <c r="Z287" s="67">
        <v>3712997.33</v>
      </c>
      <c r="AA287" s="68">
        <v>4203465.2977</v>
      </c>
      <c r="AB287" s="69">
        <v>12064898.85</v>
      </c>
      <c r="AC287" s="70">
        <v>12350000</v>
      </c>
      <c r="AD287" s="67">
        <v>3360860.6372999991</v>
      </c>
      <c r="AE287" s="68">
        <v>2999576.1735</v>
      </c>
      <c r="AF287" s="69">
        <v>12700000</v>
      </c>
      <c r="AG287" s="70">
        <v>13050000</v>
      </c>
      <c r="AH287" s="70">
        <f t="shared" si="75"/>
        <v>3821896.8676</v>
      </c>
      <c r="AI287" s="70">
        <f t="shared" si="76"/>
        <v>4066134.2667439999</v>
      </c>
      <c r="AJ287" s="70">
        <f t="shared" si="77"/>
        <v>3596789.9422119996</v>
      </c>
      <c r="AK287" s="70">
        <f t="shared" si="78"/>
        <v>3100735.8233639998</v>
      </c>
      <c r="AL287" s="70">
        <f t="shared" si="79"/>
        <v>11792404.696070001</v>
      </c>
      <c r="AM287" s="70">
        <f t="shared" si="80"/>
        <v>12214919.075130001</v>
      </c>
      <c r="AN287" s="70">
        <f t="shared" si="81"/>
        <v>12534170</v>
      </c>
      <c r="AO287" s="70">
        <f t="shared" si="82"/>
        <v>12884170</v>
      </c>
    </row>
    <row r="288" spans="1:41">
      <c r="A288" s="29" t="s">
        <v>473</v>
      </c>
      <c r="B288" s="29" t="s">
        <v>879</v>
      </c>
      <c r="C288" s="107">
        <v>1875376.87</v>
      </c>
      <c r="D288" s="108">
        <v>6951077</v>
      </c>
      <c r="F288" s="107">
        <v>1751434.65</v>
      </c>
      <c r="G288" s="108">
        <v>7574504</v>
      </c>
      <c r="I288" s="64">
        <v>1293170.04</v>
      </c>
      <c r="J288" s="83">
        <v>1220931.2739000004</v>
      </c>
      <c r="K288" s="66">
        <v>7574504</v>
      </c>
      <c r="L288" s="251">
        <v>7902746.5774999997</v>
      </c>
      <c r="M288" s="63">
        <v>1143850.7195999997</v>
      </c>
      <c r="N288" s="64">
        <v>1097754.4619999994</v>
      </c>
      <c r="O288" s="65">
        <v>8376153.8099999996</v>
      </c>
      <c r="P288" s="66">
        <v>8753286</v>
      </c>
      <c r="Q288" s="66">
        <f t="shared" si="67"/>
        <v>1456187.9524000001</v>
      </c>
      <c r="R288" s="63">
        <f t="shared" si="68"/>
        <v>1241158.1284080003</v>
      </c>
      <c r="S288" s="83">
        <f t="shared" si="69"/>
        <v>1165433.2748039998</v>
      </c>
      <c r="T288" s="64">
        <f t="shared" si="70"/>
        <v>1110661.4141279995</v>
      </c>
      <c r="U288" s="66">
        <f t="shared" si="71"/>
        <v>7279124.2873999998</v>
      </c>
      <c r="V288" s="63">
        <f t="shared" si="72"/>
        <v>7747225.2442804994</v>
      </c>
      <c r="W288" s="83">
        <f t="shared" si="73"/>
        <v>8151853.4632414998</v>
      </c>
      <c r="X288" s="64">
        <f t="shared" si="74"/>
        <v>8574600.7683780007</v>
      </c>
      <c r="Z288" s="67">
        <v>1751434.65</v>
      </c>
      <c r="AA288" s="68">
        <v>1687971.2036000006</v>
      </c>
      <c r="AB288" s="69">
        <v>7574504</v>
      </c>
      <c r="AC288" s="70">
        <v>7902746.5774999997</v>
      </c>
      <c r="AD288" s="67">
        <v>1143850.7195999997</v>
      </c>
      <c r="AE288" s="68">
        <v>1097754.4619999994</v>
      </c>
      <c r="AF288" s="69">
        <v>8376153.8099999996</v>
      </c>
      <c r="AG288" s="70">
        <v>8753286</v>
      </c>
      <c r="AH288" s="70">
        <f t="shared" si="75"/>
        <v>1786138.4715999998</v>
      </c>
      <c r="AI288" s="70">
        <f t="shared" si="76"/>
        <v>1705740.9685920004</v>
      </c>
      <c r="AJ288" s="70">
        <f t="shared" si="77"/>
        <v>1296204.4551200001</v>
      </c>
      <c r="AK288" s="70">
        <f t="shared" si="78"/>
        <v>1110661.4141279995</v>
      </c>
      <c r="AL288" s="70">
        <f t="shared" si="79"/>
        <v>7279124.2873999998</v>
      </c>
      <c r="AM288" s="70">
        <f t="shared" si="80"/>
        <v>7747225.2442804994</v>
      </c>
      <c r="AN288" s="70">
        <f t="shared" si="81"/>
        <v>8151853.4632414998</v>
      </c>
      <c r="AO288" s="70">
        <f t="shared" si="82"/>
        <v>8574600.7683780007</v>
      </c>
    </row>
    <row r="289" spans="1:41">
      <c r="A289" s="29" t="s">
        <v>607</v>
      </c>
      <c r="B289" s="29" t="s">
        <v>872</v>
      </c>
      <c r="C289" s="107">
        <v>3088185.8</v>
      </c>
      <c r="D289" s="108">
        <v>5965626</v>
      </c>
      <c r="F289" s="107">
        <v>2715309.59</v>
      </c>
      <c r="G289" s="108">
        <v>5965626</v>
      </c>
      <c r="I289" s="64">
        <v>2352711.9700000002</v>
      </c>
      <c r="J289" s="83">
        <v>1858752.0402773342</v>
      </c>
      <c r="K289" s="66">
        <v>5965626</v>
      </c>
      <c r="L289" s="251">
        <v>5965626</v>
      </c>
      <c r="M289" s="63">
        <v>1271452.0420319994</v>
      </c>
      <c r="N289" s="64">
        <v>910309.11046400038</v>
      </c>
      <c r="O289" s="65">
        <v>5965626</v>
      </c>
      <c r="P289" s="66">
        <v>5965626</v>
      </c>
      <c r="Q289" s="66">
        <f t="shared" si="67"/>
        <v>2558644.6424000002</v>
      </c>
      <c r="R289" s="63">
        <f t="shared" si="68"/>
        <v>1997060.8205996808</v>
      </c>
      <c r="S289" s="83">
        <f t="shared" si="69"/>
        <v>1435896.0415406933</v>
      </c>
      <c r="T289" s="64">
        <f t="shared" si="70"/>
        <v>1011429.1313030401</v>
      </c>
      <c r="U289" s="66">
        <f t="shared" si="71"/>
        <v>5965626</v>
      </c>
      <c r="V289" s="63">
        <f t="shared" si="72"/>
        <v>5965626</v>
      </c>
      <c r="W289" s="83">
        <f t="shared" si="73"/>
        <v>5965626</v>
      </c>
      <c r="X289" s="64">
        <f t="shared" si="74"/>
        <v>5965626</v>
      </c>
      <c r="Z289" s="67">
        <v>2715309.59</v>
      </c>
      <c r="AA289" s="68">
        <v>2117948.2770773335</v>
      </c>
      <c r="AB289" s="69">
        <v>5965626</v>
      </c>
      <c r="AC289" s="70">
        <v>5965626</v>
      </c>
      <c r="AD289" s="67">
        <v>1271452.0420319994</v>
      </c>
      <c r="AE289" s="68">
        <v>910309.11046400038</v>
      </c>
      <c r="AF289" s="69">
        <v>5965626</v>
      </c>
      <c r="AG289" s="70">
        <v>5965626</v>
      </c>
      <c r="AH289" s="70">
        <f t="shared" si="75"/>
        <v>2819714.9287999999</v>
      </c>
      <c r="AI289" s="70">
        <f t="shared" si="76"/>
        <v>2285209.4446956799</v>
      </c>
      <c r="AJ289" s="70">
        <f t="shared" si="77"/>
        <v>1508470.987844693</v>
      </c>
      <c r="AK289" s="70">
        <f t="shared" si="78"/>
        <v>1011429.1313030401</v>
      </c>
      <c r="AL289" s="70">
        <f t="shared" si="79"/>
        <v>5965626</v>
      </c>
      <c r="AM289" s="70">
        <f t="shared" si="80"/>
        <v>5965626</v>
      </c>
      <c r="AN289" s="70">
        <f t="shared" si="81"/>
        <v>5965626</v>
      </c>
      <c r="AO289" s="70">
        <f t="shared" si="82"/>
        <v>5965626</v>
      </c>
    </row>
    <row r="290" spans="1:41">
      <c r="A290" s="29" t="s">
        <v>293</v>
      </c>
      <c r="B290" s="29" t="s">
        <v>861</v>
      </c>
      <c r="C290" s="107">
        <v>0</v>
      </c>
      <c r="D290" s="108">
        <v>1188000</v>
      </c>
      <c r="F290" s="107">
        <v>0</v>
      </c>
      <c r="G290" s="108">
        <v>947506</v>
      </c>
      <c r="I290" s="64">
        <v>0</v>
      </c>
      <c r="J290" s="83">
        <v>0</v>
      </c>
      <c r="K290" s="66">
        <v>947506</v>
      </c>
      <c r="L290" s="251">
        <v>932927</v>
      </c>
      <c r="M290" s="63">
        <v>0</v>
      </c>
      <c r="N290" s="64">
        <v>0</v>
      </c>
      <c r="O290" s="65">
        <v>932927</v>
      </c>
      <c r="P290" s="66">
        <v>932927</v>
      </c>
      <c r="Q290" s="66">
        <f t="shared" si="67"/>
        <v>0</v>
      </c>
      <c r="R290" s="63">
        <f t="shared" si="68"/>
        <v>0</v>
      </c>
      <c r="S290" s="83">
        <f t="shared" si="69"/>
        <v>0</v>
      </c>
      <c r="T290" s="64">
        <f t="shared" si="70"/>
        <v>0</v>
      </c>
      <c r="U290" s="66">
        <f t="shared" si="71"/>
        <v>1061452.0572000002</v>
      </c>
      <c r="V290" s="63">
        <f t="shared" si="72"/>
        <v>939834.53019999992</v>
      </c>
      <c r="W290" s="83">
        <f t="shared" si="73"/>
        <v>932927</v>
      </c>
      <c r="X290" s="64">
        <f t="shared" si="74"/>
        <v>932927</v>
      </c>
      <c r="Z290" s="67">
        <v>0</v>
      </c>
      <c r="AA290" s="68">
        <v>0</v>
      </c>
      <c r="AB290" s="69">
        <v>947506</v>
      </c>
      <c r="AC290" s="70">
        <v>932927</v>
      </c>
      <c r="AD290" s="67">
        <v>0</v>
      </c>
      <c r="AE290" s="68">
        <v>0</v>
      </c>
      <c r="AF290" s="69">
        <v>932927</v>
      </c>
      <c r="AG290" s="70">
        <v>932927</v>
      </c>
      <c r="AH290" s="70">
        <f t="shared" si="75"/>
        <v>0</v>
      </c>
      <c r="AI290" s="70">
        <f t="shared" si="76"/>
        <v>0</v>
      </c>
      <c r="AJ290" s="70">
        <f t="shared" si="77"/>
        <v>0</v>
      </c>
      <c r="AK290" s="70">
        <f t="shared" si="78"/>
        <v>0</v>
      </c>
      <c r="AL290" s="70">
        <f t="shared" si="79"/>
        <v>1061452.0572000002</v>
      </c>
      <c r="AM290" s="70">
        <f t="shared" si="80"/>
        <v>939834.53019999992</v>
      </c>
      <c r="AN290" s="70">
        <f t="shared" si="81"/>
        <v>932927</v>
      </c>
      <c r="AO290" s="70">
        <f t="shared" si="82"/>
        <v>932927</v>
      </c>
    </row>
    <row r="291" spans="1:41">
      <c r="A291" s="29" t="s">
        <v>387</v>
      </c>
      <c r="B291" s="29" t="s">
        <v>862</v>
      </c>
      <c r="C291" s="107">
        <v>104590.3</v>
      </c>
      <c r="D291" s="108">
        <v>9250000</v>
      </c>
      <c r="F291" s="107">
        <v>0</v>
      </c>
      <c r="G291" s="108">
        <v>9750000</v>
      </c>
      <c r="I291" s="64">
        <v>0</v>
      </c>
      <c r="J291" s="83">
        <v>0</v>
      </c>
      <c r="K291" s="66">
        <v>9750000</v>
      </c>
      <c r="L291" s="251">
        <v>9750000</v>
      </c>
      <c r="M291" s="63">
        <v>0</v>
      </c>
      <c r="N291" s="64">
        <v>0</v>
      </c>
      <c r="O291" s="65">
        <v>9750000</v>
      </c>
      <c r="P291" s="66">
        <v>9750000</v>
      </c>
      <c r="Q291" s="66">
        <f t="shared" si="67"/>
        <v>29285.284000000003</v>
      </c>
      <c r="R291" s="63">
        <f t="shared" si="68"/>
        <v>0</v>
      </c>
      <c r="S291" s="83">
        <f t="shared" si="69"/>
        <v>0</v>
      </c>
      <c r="T291" s="64">
        <f t="shared" si="70"/>
        <v>0</v>
      </c>
      <c r="U291" s="66">
        <f t="shared" si="71"/>
        <v>9513100</v>
      </c>
      <c r="V291" s="63">
        <f t="shared" si="72"/>
        <v>9750000</v>
      </c>
      <c r="W291" s="83">
        <f t="shared" si="73"/>
        <v>9750000</v>
      </c>
      <c r="X291" s="64">
        <f t="shared" si="74"/>
        <v>9750000</v>
      </c>
      <c r="Z291" s="67">
        <v>0</v>
      </c>
      <c r="AA291" s="68">
        <v>0</v>
      </c>
      <c r="AB291" s="69">
        <v>9750000</v>
      </c>
      <c r="AC291" s="70">
        <v>9750000</v>
      </c>
      <c r="AD291" s="67">
        <v>0</v>
      </c>
      <c r="AE291" s="68">
        <v>0</v>
      </c>
      <c r="AF291" s="69">
        <v>9750000</v>
      </c>
      <c r="AG291" s="70">
        <v>9750000</v>
      </c>
      <c r="AH291" s="70">
        <f t="shared" si="75"/>
        <v>29285.284000000003</v>
      </c>
      <c r="AI291" s="70">
        <f t="shared" si="76"/>
        <v>0</v>
      </c>
      <c r="AJ291" s="70">
        <f t="shared" si="77"/>
        <v>0</v>
      </c>
      <c r="AK291" s="70">
        <f t="shared" si="78"/>
        <v>0</v>
      </c>
      <c r="AL291" s="70">
        <f t="shared" si="79"/>
        <v>9513100</v>
      </c>
      <c r="AM291" s="70">
        <f t="shared" si="80"/>
        <v>9750000</v>
      </c>
      <c r="AN291" s="70">
        <f t="shared" si="81"/>
        <v>9750000</v>
      </c>
      <c r="AO291" s="70">
        <f t="shared" si="82"/>
        <v>9750000</v>
      </c>
    </row>
    <row r="292" spans="1:41">
      <c r="A292" s="29" t="s">
        <v>267</v>
      </c>
      <c r="B292" s="29" t="s">
        <v>892</v>
      </c>
      <c r="C292" s="107">
        <v>0</v>
      </c>
      <c r="D292" s="108">
        <v>3260000</v>
      </c>
      <c r="F292" s="107">
        <v>0</v>
      </c>
      <c r="G292" s="108">
        <v>3338537</v>
      </c>
      <c r="I292" s="64">
        <v>0</v>
      </c>
      <c r="J292" s="83">
        <v>0</v>
      </c>
      <c r="K292" s="66">
        <v>3338537</v>
      </c>
      <c r="L292" s="251">
        <v>3289243.2757999999</v>
      </c>
      <c r="M292" s="63">
        <v>0</v>
      </c>
      <c r="N292" s="64">
        <v>0</v>
      </c>
      <c r="O292" s="65">
        <v>3403136.6868000003</v>
      </c>
      <c r="P292" s="66">
        <v>3425000</v>
      </c>
      <c r="Q292" s="66">
        <f t="shared" si="67"/>
        <v>0</v>
      </c>
      <c r="R292" s="63">
        <f t="shared" si="68"/>
        <v>0</v>
      </c>
      <c r="S292" s="83">
        <f t="shared" si="69"/>
        <v>0</v>
      </c>
      <c r="T292" s="64">
        <f t="shared" si="70"/>
        <v>0</v>
      </c>
      <c r="U292" s="66">
        <f t="shared" si="71"/>
        <v>3301326.1694</v>
      </c>
      <c r="V292" s="63">
        <f t="shared" si="72"/>
        <v>3312598.6423259601</v>
      </c>
      <c r="W292" s="83">
        <f t="shared" si="73"/>
        <v>3349173.9886682001</v>
      </c>
      <c r="X292" s="64">
        <f t="shared" si="74"/>
        <v>3414641.1622058405</v>
      </c>
      <c r="Z292" s="67">
        <v>0</v>
      </c>
      <c r="AA292" s="68">
        <v>0</v>
      </c>
      <c r="AB292" s="69">
        <v>3338537</v>
      </c>
      <c r="AC292" s="70">
        <v>3425000</v>
      </c>
      <c r="AD292" s="67">
        <v>0</v>
      </c>
      <c r="AE292" s="68">
        <v>0</v>
      </c>
      <c r="AF292" s="69">
        <v>3403136.6868000003</v>
      </c>
      <c r="AG292" s="70">
        <v>3425000</v>
      </c>
      <c r="AH292" s="70">
        <f t="shared" si="75"/>
        <v>0</v>
      </c>
      <c r="AI292" s="70">
        <f t="shared" si="76"/>
        <v>0</v>
      </c>
      <c r="AJ292" s="70">
        <f t="shared" si="77"/>
        <v>0</v>
      </c>
      <c r="AK292" s="70">
        <f t="shared" si="78"/>
        <v>0</v>
      </c>
      <c r="AL292" s="70">
        <f t="shared" si="79"/>
        <v>3301326.1694</v>
      </c>
      <c r="AM292" s="70">
        <f t="shared" si="80"/>
        <v>3384033.8306</v>
      </c>
      <c r="AN292" s="70">
        <f t="shared" si="81"/>
        <v>3413495.5245941598</v>
      </c>
      <c r="AO292" s="70">
        <f t="shared" si="82"/>
        <v>3414641.1622058405</v>
      </c>
    </row>
    <row r="293" spans="1:41">
      <c r="A293" s="29" t="s">
        <v>307</v>
      </c>
      <c r="B293" s="29" t="s">
        <v>886</v>
      </c>
      <c r="C293" s="107">
        <v>51774.17</v>
      </c>
      <c r="D293" s="108">
        <v>465000</v>
      </c>
      <c r="F293" s="107">
        <v>64656.06</v>
      </c>
      <c r="G293" s="108">
        <v>465000</v>
      </c>
      <c r="I293" s="64">
        <v>53609.25</v>
      </c>
      <c r="J293" s="83">
        <v>29722.34109999994</v>
      </c>
      <c r="K293" s="66">
        <v>465000</v>
      </c>
      <c r="L293" s="251">
        <v>465000</v>
      </c>
      <c r="M293" s="63">
        <v>22495.772399999987</v>
      </c>
      <c r="N293" s="64">
        <v>34560.760799999989</v>
      </c>
      <c r="O293" s="65">
        <v>465000</v>
      </c>
      <c r="P293" s="66">
        <v>465000</v>
      </c>
      <c r="Q293" s="66">
        <f t="shared" si="67"/>
        <v>53095.427599999995</v>
      </c>
      <c r="R293" s="63">
        <f t="shared" si="68"/>
        <v>36410.675591999956</v>
      </c>
      <c r="S293" s="83">
        <f t="shared" si="69"/>
        <v>24519.211635999975</v>
      </c>
      <c r="T293" s="64">
        <f t="shared" si="70"/>
        <v>31182.564047999989</v>
      </c>
      <c r="U293" s="66">
        <f t="shared" si="71"/>
        <v>465000</v>
      </c>
      <c r="V293" s="63">
        <f t="shared" si="72"/>
        <v>465000</v>
      </c>
      <c r="W293" s="83">
        <f t="shared" si="73"/>
        <v>465000</v>
      </c>
      <c r="X293" s="64">
        <f t="shared" si="74"/>
        <v>465000</v>
      </c>
      <c r="Z293" s="67">
        <v>64656.06</v>
      </c>
      <c r="AA293" s="68">
        <v>102319.31339999994</v>
      </c>
      <c r="AB293" s="69">
        <v>465000</v>
      </c>
      <c r="AC293" s="70">
        <v>465000</v>
      </c>
      <c r="AD293" s="67">
        <v>22495.772399999987</v>
      </c>
      <c r="AE293" s="68">
        <v>34560.760799999989</v>
      </c>
      <c r="AF293" s="69">
        <v>465000</v>
      </c>
      <c r="AG293" s="70">
        <v>465000</v>
      </c>
      <c r="AH293" s="70">
        <f t="shared" si="75"/>
        <v>61049.130799999999</v>
      </c>
      <c r="AI293" s="70">
        <f t="shared" si="76"/>
        <v>91773.602447999961</v>
      </c>
      <c r="AJ293" s="70">
        <f t="shared" si="77"/>
        <v>44846.363879999975</v>
      </c>
      <c r="AK293" s="70">
        <f t="shared" si="78"/>
        <v>31182.564047999989</v>
      </c>
      <c r="AL293" s="70">
        <f t="shared" si="79"/>
        <v>465000</v>
      </c>
      <c r="AM293" s="70">
        <f t="shared" si="80"/>
        <v>465000</v>
      </c>
      <c r="AN293" s="70">
        <f t="shared" si="81"/>
        <v>465000</v>
      </c>
      <c r="AO293" s="70">
        <f t="shared" si="82"/>
        <v>465000</v>
      </c>
    </row>
    <row r="294" spans="1:41">
      <c r="A294" s="29" t="s">
        <v>351</v>
      </c>
      <c r="B294" s="29" t="s">
        <v>863</v>
      </c>
      <c r="C294" s="107">
        <v>0</v>
      </c>
      <c r="D294" s="108">
        <v>0</v>
      </c>
      <c r="F294" s="107">
        <v>55580.36</v>
      </c>
      <c r="G294" s="108">
        <v>544125</v>
      </c>
      <c r="I294" s="64">
        <v>55580.36</v>
      </c>
      <c r="J294" s="83">
        <v>53978.011363333339</v>
      </c>
      <c r="K294" s="66">
        <v>544125</v>
      </c>
      <c r="L294" s="251">
        <v>544125</v>
      </c>
      <c r="M294" s="63">
        <v>22985.414577999974</v>
      </c>
      <c r="N294" s="64">
        <v>0</v>
      </c>
      <c r="O294" s="65">
        <v>544125</v>
      </c>
      <c r="P294" s="66">
        <v>544125</v>
      </c>
      <c r="Q294" s="66">
        <f t="shared" si="67"/>
        <v>40017.859199999999</v>
      </c>
      <c r="R294" s="63">
        <f t="shared" si="68"/>
        <v>54426.668981600007</v>
      </c>
      <c r="S294" s="83">
        <f t="shared" si="69"/>
        <v>31663.341677893317</v>
      </c>
      <c r="T294" s="64">
        <f t="shared" si="70"/>
        <v>6435.9160818399932</v>
      </c>
      <c r="U294" s="66">
        <f t="shared" si="71"/>
        <v>286318.57500000001</v>
      </c>
      <c r="V294" s="63">
        <f t="shared" si="72"/>
        <v>544125</v>
      </c>
      <c r="W294" s="83">
        <f t="shared" si="73"/>
        <v>544125</v>
      </c>
      <c r="X294" s="64">
        <f t="shared" si="74"/>
        <v>544125</v>
      </c>
      <c r="Z294" s="67">
        <v>55580.36</v>
      </c>
      <c r="AA294" s="68">
        <v>53978.011363333339</v>
      </c>
      <c r="AB294" s="69">
        <v>544125</v>
      </c>
      <c r="AC294" s="70">
        <v>544125</v>
      </c>
      <c r="AD294" s="67">
        <v>22985.414577999974</v>
      </c>
      <c r="AE294" s="68">
        <v>0</v>
      </c>
      <c r="AF294" s="69">
        <v>544125</v>
      </c>
      <c r="AG294" s="70">
        <v>544125</v>
      </c>
      <c r="AH294" s="70">
        <f t="shared" si="75"/>
        <v>40017.859199999999</v>
      </c>
      <c r="AI294" s="70">
        <f t="shared" si="76"/>
        <v>54426.668981600007</v>
      </c>
      <c r="AJ294" s="70">
        <f t="shared" si="77"/>
        <v>31663.341677893317</v>
      </c>
      <c r="AK294" s="70">
        <f t="shared" si="78"/>
        <v>6435.9160818399932</v>
      </c>
      <c r="AL294" s="70">
        <f t="shared" si="79"/>
        <v>286318.57500000001</v>
      </c>
      <c r="AM294" s="70">
        <f t="shared" si="80"/>
        <v>544125</v>
      </c>
      <c r="AN294" s="70">
        <f t="shared" si="81"/>
        <v>544125</v>
      </c>
      <c r="AO294" s="70">
        <f t="shared" si="82"/>
        <v>544125</v>
      </c>
    </row>
    <row r="295" spans="1:41">
      <c r="A295" s="29" t="s">
        <v>137</v>
      </c>
      <c r="B295" s="29" t="s">
        <v>899</v>
      </c>
      <c r="C295" s="107">
        <v>85825.89</v>
      </c>
      <c r="D295" s="108">
        <v>212375</v>
      </c>
      <c r="F295" s="107">
        <v>68229.31</v>
      </c>
      <c r="G295" s="108">
        <v>213522.47</v>
      </c>
      <c r="I295" s="64">
        <v>51887.49</v>
      </c>
      <c r="J295" s="83">
        <v>75845.729899999991</v>
      </c>
      <c r="K295" s="66">
        <v>213522.47</v>
      </c>
      <c r="L295" s="251">
        <v>212375</v>
      </c>
      <c r="M295" s="63">
        <v>71676.163499999966</v>
      </c>
      <c r="N295" s="64">
        <v>77547.584099999993</v>
      </c>
      <c r="O295" s="65">
        <v>212375</v>
      </c>
      <c r="P295" s="66">
        <v>212375</v>
      </c>
      <c r="Q295" s="66">
        <f t="shared" si="67"/>
        <v>61390.241999999998</v>
      </c>
      <c r="R295" s="63">
        <f t="shared" si="68"/>
        <v>69137.42272799999</v>
      </c>
      <c r="S295" s="83">
        <f t="shared" si="69"/>
        <v>72843.642091999965</v>
      </c>
      <c r="T295" s="64">
        <f t="shared" si="70"/>
        <v>75903.586331999977</v>
      </c>
      <c r="U295" s="66">
        <f t="shared" si="71"/>
        <v>212978.79871399998</v>
      </c>
      <c r="V295" s="63">
        <f t="shared" si="72"/>
        <v>212918.671286</v>
      </c>
      <c r="W295" s="83">
        <f t="shared" si="73"/>
        <v>212375</v>
      </c>
      <c r="X295" s="64">
        <f t="shared" si="74"/>
        <v>212375</v>
      </c>
      <c r="Z295" s="67">
        <v>68229.31</v>
      </c>
      <c r="AA295" s="68">
        <v>90606.699800000002</v>
      </c>
      <c r="AB295" s="69">
        <v>213522.47</v>
      </c>
      <c r="AC295" s="70">
        <v>212375</v>
      </c>
      <c r="AD295" s="67">
        <v>71676.163499999966</v>
      </c>
      <c r="AE295" s="68">
        <v>77547.584099999993</v>
      </c>
      <c r="AF295" s="69">
        <v>212375</v>
      </c>
      <c r="AG295" s="70">
        <v>212375</v>
      </c>
      <c r="AH295" s="70">
        <f t="shared" si="75"/>
        <v>73156.352400000003</v>
      </c>
      <c r="AI295" s="70">
        <f t="shared" si="76"/>
        <v>84341.030656000003</v>
      </c>
      <c r="AJ295" s="70">
        <f t="shared" si="77"/>
        <v>76976.713663999981</v>
      </c>
      <c r="AK295" s="70">
        <f t="shared" si="78"/>
        <v>75903.586331999977</v>
      </c>
      <c r="AL295" s="70">
        <f t="shared" si="79"/>
        <v>212978.79871399998</v>
      </c>
      <c r="AM295" s="70">
        <f t="shared" si="80"/>
        <v>212918.671286</v>
      </c>
      <c r="AN295" s="70">
        <f t="shared" si="81"/>
        <v>212375</v>
      </c>
      <c r="AO295" s="70">
        <f t="shared" si="82"/>
        <v>212375</v>
      </c>
    </row>
    <row r="296" spans="1:41">
      <c r="A296" s="29" t="s">
        <v>281</v>
      </c>
      <c r="B296" s="29" t="s">
        <v>864</v>
      </c>
      <c r="C296" s="107">
        <v>252340.16</v>
      </c>
      <c r="D296" s="108">
        <v>640000</v>
      </c>
      <c r="F296" s="107">
        <v>23104.55</v>
      </c>
      <c r="G296" s="108">
        <v>681288</v>
      </c>
      <c r="I296" s="64">
        <v>23104.55</v>
      </c>
      <c r="J296" s="83">
        <v>206311.00328666662</v>
      </c>
      <c r="K296" s="66">
        <v>681288</v>
      </c>
      <c r="L296" s="251">
        <v>680000</v>
      </c>
      <c r="M296" s="63">
        <v>150170.02169399988</v>
      </c>
      <c r="N296" s="64">
        <v>125390.81952600004</v>
      </c>
      <c r="O296" s="65">
        <v>680000</v>
      </c>
      <c r="P296" s="66">
        <v>680000</v>
      </c>
      <c r="Q296" s="66">
        <f t="shared" si="67"/>
        <v>87290.520800000013</v>
      </c>
      <c r="R296" s="63">
        <f t="shared" si="68"/>
        <v>155013.19636639996</v>
      </c>
      <c r="S296" s="83">
        <f t="shared" si="69"/>
        <v>165889.49653994659</v>
      </c>
      <c r="T296" s="64">
        <f t="shared" si="70"/>
        <v>132328.99613304</v>
      </c>
      <c r="U296" s="66">
        <f t="shared" si="71"/>
        <v>661725.74560000002</v>
      </c>
      <c r="V296" s="63">
        <f t="shared" si="72"/>
        <v>680610.25439999998</v>
      </c>
      <c r="W296" s="83">
        <f t="shared" si="73"/>
        <v>680000</v>
      </c>
      <c r="X296" s="64">
        <f t="shared" si="74"/>
        <v>680000</v>
      </c>
      <c r="Z296" s="67">
        <v>23104.55</v>
      </c>
      <c r="AA296" s="68">
        <v>206311.00328666662</v>
      </c>
      <c r="AB296" s="69">
        <v>681288</v>
      </c>
      <c r="AC296" s="70">
        <v>680000</v>
      </c>
      <c r="AD296" s="67">
        <v>150170.02169399988</v>
      </c>
      <c r="AE296" s="68">
        <v>125390.81952600004</v>
      </c>
      <c r="AF296" s="69">
        <v>680000</v>
      </c>
      <c r="AG296" s="70">
        <v>680000</v>
      </c>
      <c r="AH296" s="70">
        <f t="shared" si="75"/>
        <v>87290.520800000013</v>
      </c>
      <c r="AI296" s="70">
        <f t="shared" si="76"/>
        <v>155013.19636639996</v>
      </c>
      <c r="AJ296" s="70">
        <f t="shared" si="77"/>
        <v>165889.49653994659</v>
      </c>
      <c r="AK296" s="70">
        <f t="shared" si="78"/>
        <v>132328.99613304</v>
      </c>
      <c r="AL296" s="70">
        <f t="shared" si="79"/>
        <v>661725.74560000002</v>
      </c>
      <c r="AM296" s="70">
        <f t="shared" si="80"/>
        <v>680610.25439999998</v>
      </c>
      <c r="AN296" s="70">
        <f t="shared" si="81"/>
        <v>680000</v>
      </c>
      <c r="AO296" s="70">
        <f t="shared" si="82"/>
        <v>680000</v>
      </c>
    </row>
    <row r="297" spans="1:41">
      <c r="A297" s="29" t="s">
        <v>161</v>
      </c>
      <c r="B297" s="29" t="s">
        <v>865</v>
      </c>
      <c r="C297" s="107">
        <v>82955.19</v>
      </c>
      <c r="D297" s="108">
        <v>392654</v>
      </c>
      <c r="F297" s="107">
        <v>77525.2</v>
      </c>
      <c r="G297" s="108">
        <v>305079</v>
      </c>
      <c r="I297" s="64">
        <v>66647.570000000007</v>
      </c>
      <c r="J297" s="83">
        <v>73514.957900000009</v>
      </c>
      <c r="K297" s="66">
        <v>305079</v>
      </c>
      <c r="L297" s="251">
        <v>318912.74</v>
      </c>
      <c r="M297" s="63">
        <v>72437.402999999962</v>
      </c>
      <c r="N297" s="64">
        <v>71340.766499999983</v>
      </c>
      <c r="O297" s="65">
        <v>335993.41</v>
      </c>
      <c r="P297" s="66">
        <v>355901.07750000001</v>
      </c>
      <c r="Q297" s="66">
        <f t="shared" si="67"/>
        <v>71213.703600000008</v>
      </c>
      <c r="R297" s="63">
        <f t="shared" si="68"/>
        <v>71592.089288000017</v>
      </c>
      <c r="S297" s="83">
        <f t="shared" si="69"/>
        <v>72739.118371999968</v>
      </c>
      <c r="T297" s="64">
        <f t="shared" si="70"/>
        <v>71647.824719999975</v>
      </c>
      <c r="U297" s="66">
        <f t="shared" si="71"/>
        <v>346572.03500000003</v>
      </c>
      <c r="V297" s="63">
        <f t="shared" si="72"/>
        <v>312358.31398800004</v>
      </c>
      <c r="W297" s="83">
        <f t="shared" si="73"/>
        <v>327900.58855399996</v>
      </c>
      <c r="X297" s="64">
        <f t="shared" si="74"/>
        <v>346468.82463849999</v>
      </c>
      <c r="Z297" s="67">
        <v>77525.2</v>
      </c>
      <c r="AA297" s="68">
        <v>82254.304700000008</v>
      </c>
      <c r="AB297" s="69">
        <v>305079</v>
      </c>
      <c r="AC297" s="70">
        <v>318912.74</v>
      </c>
      <c r="AD297" s="67">
        <v>72437.402999999962</v>
      </c>
      <c r="AE297" s="68">
        <v>71340.766499999983</v>
      </c>
      <c r="AF297" s="69">
        <v>335993.41</v>
      </c>
      <c r="AG297" s="70">
        <v>355901.07750000001</v>
      </c>
      <c r="AH297" s="70">
        <f t="shared" si="75"/>
        <v>79045.597199999989</v>
      </c>
      <c r="AI297" s="70">
        <f t="shared" si="76"/>
        <v>80930.155383999998</v>
      </c>
      <c r="AJ297" s="70">
        <f t="shared" si="77"/>
        <v>75186.135475999967</v>
      </c>
      <c r="AK297" s="70">
        <f t="shared" si="78"/>
        <v>71647.824719999975</v>
      </c>
      <c r="AL297" s="70">
        <f t="shared" si="79"/>
        <v>346572.03500000003</v>
      </c>
      <c r="AM297" s="70">
        <f t="shared" si="80"/>
        <v>312358.31398800004</v>
      </c>
      <c r="AN297" s="70">
        <f t="shared" si="81"/>
        <v>327900.58855399996</v>
      </c>
      <c r="AO297" s="70">
        <f t="shared" si="82"/>
        <v>346468.82463849999</v>
      </c>
    </row>
    <row r="298" spans="1:41">
      <c r="A298" s="29" t="s">
        <v>251</v>
      </c>
      <c r="B298" s="29" t="s">
        <v>866</v>
      </c>
      <c r="C298" s="107">
        <v>25245.51</v>
      </c>
      <c r="D298" s="108">
        <v>75000</v>
      </c>
      <c r="F298" s="107">
        <v>23409.66</v>
      </c>
      <c r="G298" s="108">
        <v>75000</v>
      </c>
      <c r="I298" s="64">
        <v>22056.639999999999</v>
      </c>
      <c r="J298" s="83">
        <v>22123.05945600001</v>
      </c>
      <c r="K298" s="66">
        <v>75000</v>
      </c>
      <c r="L298" s="251">
        <v>75000</v>
      </c>
      <c r="M298" s="63">
        <v>18036.568030000006</v>
      </c>
      <c r="N298" s="64">
        <v>15280.428997999998</v>
      </c>
      <c r="O298" s="65">
        <v>75000</v>
      </c>
      <c r="P298" s="66">
        <v>75000</v>
      </c>
      <c r="Q298" s="66">
        <f t="shared" si="67"/>
        <v>22949.5236</v>
      </c>
      <c r="R298" s="63">
        <f t="shared" si="68"/>
        <v>22104.462008320006</v>
      </c>
      <c r="S298" s="83">
        <f t="shared" si="69"/>
        <v>19180.785629280006</v>
      </c>
      <c r="T298" s="64">
        <f t="shared" si="70"/>
        <v>16052.14792696</v>
      </c>
      <c r="U298" s="66">
        <f t="shared" si="71"/>
        <v>75000</v>
      </c>
      <c r="V298" s="63">
        <f t="shared" si="72"/>
        <v>75000</v>
      </c>
      <c r="W298" s="83">
        <f t="shared" si="73"/>
        <v>75000</v>
      </c>
      <c r="X298" s="64">
        <f t="shared" si="74"/>
        <v>75000</v>
      </c>
      <c r="Z298" s="67">
        <v>23409.66</v>
      </c>
      <c r="AA298" s="68">
        <v>23477.658209999994</v>
      </c>
      <c r="AB298" s="69">
        <v>75000</v>
      </c>
      <c r="AC298" s="70">
        <v>75000</v>
      </c>
      <c r="AD298" s="67">
        <v>18036.568030000006</v>
      </c>
      <c r="AE298" s="68">
        <v>15280.428997999998</v>
      </c>
      <c r="AF298" s="69">
        <v>75000</v>
      </c>
      <c r="AG298" s="70">
        <v>75000</v>
      </c>
      <c r="AH298" s="70">
        <f t="shared" si="75"/>
        <v>23923.698</v>
      </c>
      <c r="AI298" s="70">
        <f t="shared" si="76"/>
        <v>23458.618711199993</v>
      </c>
      <c r="AJ298" s="70">
        <f t="shared" si="77"/>
        <v>19560.073280400004</v>
      </c>
      <c r="AK298" s="70">
        <f t="shared" si="78"/>
        <v>16052.14792696</v>
      </c>
      <c r="AL298" s="70">
        <f t="shared" si="79"/>
        <v>75000</v>
      </c>
      <c r="AM298" s="70">
        <f t="shared" si="80"/>
        <v>75000</v>
      </c>
      <c r="AN298" s="70">
        <f t="shared" si="81"/>
        <v>75000</v>
      </c>
      <c r="AO298" s="70">
        <f t="shared" si="82"/>
        <v>75000</v>
      </c>
    </row>
    <row r="299" spans="1:41">
      <c r="A299" s="29" t="s">
        <v>85</v>
      </c>
      <c r="B299" s="29" t="s">
        <v>867</v>
      </c>
      <c r="C299" s="107">
        <v>515206.96</v>
      </c>
      <c r="D299" s="108">
        <v>5400000</v>
      </c>
      <c r="F299" s="107">
        <v>447630.8</v>
      </c>
      <c r="G299" s="108">
        <v>5750000</v>
      </c>
      <c r="I299" s="64">
        <v>257043.88</v>
      </c>
      <c r="J299" s="83">
        <v>74304.956900000005</v>
      </c>
      <c r="K299" s="66">
        <v>5750000</v>
      </c>
      <c r="L299" s="251">
        <v>6100000</v>
      </c>
      <c r="M299" s="63">
        <v>0</v>
      </c>
      <c r="N299" s="64">
        <v>0</v>
      </c>
      <c r="O299" s="65">
        <v>6100000</v>
      </c>
      <c r="P299" s="66">
        <v>6100000</v>
      </c>
      <c r="Q299" s="66">
        <f t="shared" si="67"/>
        <v>329329.54240000003</v>
      </c>
      <c r="R299" s="63">
        <f t="shared" si="68"/>
        <v>125471.85536800002</v>
      </c>
      <c r="S299" s="83">
        <f t="shared" si="69"/>
        <v>20805.387932000005</v>
      </c>
      <c r="T299" s="64">
        <f t="shared" si="70"/>
        <v>0</v>
      </c>
      <c r="U299" s="66">
        <f t="shared" si="71"/>
        <v>5584170</v>
      </c>
      <c r="V299" s="63">
        <f t="shared" si="72"/>
        <v>5934170</v>
      </c>
      <c r="W299" s="83">
        <f t="shared" si="73"/>
        <v>6100000</v>
      </c>
      <c r="X299" s="64">
        <f t="shared" si="74"/>
        <v>6100000</v>
      </c>
      <c r="Z299" s="67">
        <v>447630.8</v>
      </c>
      <c r="AA299" s="68">
        <v>267440.96860000014</v>
      </c>
      <c r="AB299" s="69">
        <v>5750000</v>
      </c>
      <c r="AC299" s="70">
        <v>6100000</v>
      </c>
      <c r="AD299" s="67">
        <v>0</v>
      </c>
      <c r="AE299" s="68">
        <v>0</v>
      </c>
      <c r="AF299" s="69">
        <v>6100000</v>
      </c>
      <c r="AG299" s="70">
        <v>6100000</v>
      </c>
      <c r="AH299" s="70">
        <f t="shared" si="75"/>
        <v>466552.12479999999</v>
      </c>
      <c r="AI299" s="70">
        <f t="shared" si="76"/>
        <v>317894.12139200012</v>
      </c>
      <c r="AJ299" s="70">
        <f t="shared" si="77"/>
        <v>74883.471208000046</v>
      </c>
      <c r="AK299" s="70">
        <f t="shared" si="78"/>
        <v>0</v>
      </c>
      <c r="AL299" s="70">
        <f t="shared" si="79"/>
        <v>5584170</v>
      </c>
      <c r="AM299" s="70">
        <f t="shared" si="80"/>
        <v>5934170</v>
      </c>
      <c r="AN299" s="70">
        <f t="shared" si="81"/>
        <v>6100000</v>
      </c>
      <c r="AO299" s="70">
        <f t="shared" si="82"/>
        <v>6100000</v>
      </c>
    </row>
    <row r="300" spans="1:41">
      <c r="A300" s="29" t="s">
        <v>585</v>
      </c>
      <c r="B300" s="29" t="s">
        <v>868</v>
      </c>
      <c r="C300" s="107">
        <v>16596785.789999999</v>
      </c>
      <c r="D300" s="108">
        <v>14694709</v>
      </c>
      <c r="F300" s="107">
        <v>16878745.199999999</v>
      </c>
      <c r="G300" s="108">
        <v>15282497</v>
      </c>
      <c r="I300" s="64">
        <v>16269665.529999999</v>
      </c>
      <c r="J300" s="83">
        <v>16932294.380899999</v>
      </c>
      <c r="K300" s="66">
        <v>15282497</v>
      </c>
      <c r="L300" s="251">
        <v>15893797</v>
      </c>
      <c r="M300" s="63">
        <v>17065935.794999998</v>
      </c>
      <c r="N300" s="64">
        <v>17191256.536499996</v>
      </c>
      <c r="O300" s="65">
        <v>16529549</v>
      </c>
      <c r="P300" s="66">
        <v>16529549</v>
      </c>
      <c r="Q300" s="66">
        <f t="shared" si="67"/>
        <v>16361259.202799998</v>
      </c>
      <c r="R300" s="63">
        <f t="shared" si="68"/>
        <v>16746758.302648</v>
      </c>
      <c r="S300" s="83">
        <f t="shared" si="69"/>
        <v>17028516.199051999</v>
      </c>
      <c r="T300" s="64">
        <f t="shared" si="70"/>
        <v>17156166.728879996</v>
      </c>
      <c r="U300" s="66">
        <f t="shared" si="71"/>
        <v>15004003.045600001</v>
      </c>
      <c r="V300" s="63">
        <f t="shared" si="72"/>
        <v>15604163.059999999</v>
      </c>
      <c r="W300" s="83">
        <f t="shared" si="73"/>
        <v>16228329.702400001</v>
      </c>
      <c r="X300" s="64">
        <f t="shared" si="74"/>
        <v>16529549</v>
      </c>
      <c r="Z300" s="67">
        <v>16878745.199999999</v>
      </c>
      <c r="AA300" s="68">
        <v>17939290.944800001</v>
      </c>
      <c r="AB300" s="69">
        <v>15282497</v>
      </c>
      <c r="AC300" s="70">
        <v>15893797</v>
      </c>
      <c r="AD300" s="67">
        <v>17065935.794999998</v>
      </c>
      <c r="AE300" s="68">
        <v>17191256.536499996</v>
      </c>
      <c r="AF300" s="69">
        <v>16529549</v>
      </c>
      <c r="AG300" s="70">
        <v>16529549</v>
      </c>
      <c r="AH300" s="70">
        <f t="shared" si="75"/>
        <v>16799796.565200001</v>
      </c>
      <c r="AI300" s="70">
        <f t="shared" si="76"/>
        <v>17642338.136256002</v>
      </c>
      <c r="AJ300" s="70">
        <f t="shared" si="77"/>
        <v>17310475.236943997</v>
      </c>
      <c r="AK300" s="70">
        <f t="shared" si="78"/>
        <v>17156166.728879996</v>
      </c>
      <c r="AL300" s="70">
        <f t="shared" si="79"/>
        <v>15004003.045600001</v>
      </c>
      <c r="AM300" s="70">
        <f t="shared" si="80"/>
        <v>15604163.059999999</v>
      </c>
      <c r="AN300" s="70">
        <f t="shared" si="81"/>
        <v>16228329.702400001</v>
      </c>
      <c r="AO300" s="70">
        <f t="shared" si="82"/>
        <v>16529549</v>
      </c>
    </row>
    <row r="301" spans="1:41">
      <c r="A301" s="29" t="s">
        <v>507</v>
      </c>
      <c r="B301" s="29" t="s">
        <v>869</v>
      </c>
      <c r="C301" s="107">
        <v>3382845.63</v>
      </c>
      <c r="D301" s="108">
        <v>10017576</v>
      </c>
      <c r="F301" s="107">
        <v>2522149.7000000002</v>
      </c>
      <c r="G301" s="108">
        <v>10942599</v>
      </c>
      <c r="I301" s="64">
        <v>1934808.38</v>
      </c>
      <c r="J301" s="83">
        <v>2861973.7133999998</v>
      </c>
      <c r="K301" s="66">
        <v>10942599</v>
      </c>
      <c r="L301" s="251">
        <v>11255021.675000001</v>
      </c>
      <c r="M301" s="63">
        <v>2628347.4647999993</v>
      </c>
      <c r="N301" s="64">
        <v>2589669.7082999996</v>
      </c>
      <c r="O301" s="65">
        <v>12199774.522500001</v>
      </c>
      <c r="P301" s="66">
        <v>12750000</v>
      </c>
      <c r="Q301" s="66">
        <f t="shared" si="67"/>
        <v>2340258.81</v>
      </c>
      <c r="R301" s="63">
        <f t="shared" si="68"/>
        <v>2602367.4200479998</v>
      </c>
      <c r="S301" s="83">
        <f t="shared" si="69"/>
        <v>2693762.8144079992</v>
      </c>
      <c r="T301" s="64">
        <f t="shared" si="70"/>
        <v>2600499.4801199995</v>
      </c>
      <c r="U301" s="66">
        <f t="shared" si="71"/>
        <v>10504323.102600001</v>
      </c>
      <c r="V301" s="63">
        <f t="shared" si="72"/>
        <v>11106995.811585002</v>
      </c>
      <c r="W301" s="83">
        <f t="shared" si="73"/>
        <v>11752150.6233545</v>
      </c>
      <c r="X301" s="64">
        <f t="shared" si="74"/>
        <v>12489303.168760501</v>
      </c>
      <c r="Z301" s="67">
        <v>2522149.7000000002</v>
      </c>
      <c r="AA301" s="68">
        <v>3381609.5900000008</v>
      </c>
      <c r="AB301" s="69">
        <v>10942599</v>
      </c>
      <c r="AC301" s="70">
        <v>11255021.675000001</v>
      </c>
      <c r="AD301" s="67">
        <v>2628347.4647999993</v>
      </c>
      <c r="AE301" s="68">
        <v>2589669.7082999996</v>
      </c>
      <c r="AF301" s="69">
        <v>12199774.522500001</v>
      </c>
      <c r="AG301" s="70">
        <v>12750000</v>
      </c>
      <c r="AH301" s="70">
        <f t="shared" si="75"/>
        <v>2763144.5603999998</v>
      </c>
      <c r="AI301" s="70">
        <f t="shared" si="76"/>
        <v>3140960.8208000008</v>
      </c>
      <c r="AJ301" s="70">
        <f t="shared" si="77"/>
        <v>2839260.8598559997</v>
      </c>
      <c r="AK301" s="70">
        <f t="shared" si="78"/>
        <v>2600499.4801199995</v>
      </c>
      <c r="AL301" s="70">
        <f t="shared" si="79"/>
        <v>10504323.102600001</v>
      </c>
      <c r="AM301" s="70">
        <f t="shared" si="80"/>
        <v>11106995.811585002</v>
      </c>
      <c r="AN301" s="70">
        <f t="shared" si="81"/>
        <v>11752150.6233545</v>
      </c>
      <c r="AO301" s="70">
        <f t="shared" si="82"/>
        <v>12489303.168760501</v>
      </c>
    </row>
    <row r="302" spans="1:41">
      <c r="A302" s="29" t="s">
        <v>603</v>
      </c>
      <c r="B302" s="29" t="s">
        <v>870</v>
      </c>
      <c r="C302" s="107">
        <v>1252245.8999999999</v>
      </c>
      <c r="D302" s="108">
        <v>1100000</v>
      </c>
      <c r="F302" s="107">
        <v>1270386.06</v>
      </c>
      <c r="G302" s="108">
        <v>1100000</v>
      </c>
      <c r="I302" s="64">
        <v>1190487.07</v>
      </c>
      <c r="J302" s="83">
        <v>1255393.1881999997</v>
      </c>
      <c r="K302" s="66">
        <v>1100000</v>
      </c>
      <c r="L302" s="251">
        <v>1100000</v>
      </c>
      <c r="M302" s="63">
        <v>1275176.4362999997</v>
      </c>
      <c r="N302" s="64">
        <v>1301281.1463000001</v>
      </c>
      <c r="O302" s="65">
        <v>1100000</v>
      </c>
      <c r="P302" s="66">
        <v>1100000</v>
      </c>
      <c r="Q302" s="66">
        <f t="shared" si="67"/>
        <v>1207779.5423999999</v>
      </c>
      <c r="R302" s="63">
        <f t="shared" si="68"/>
        <v>1237219.4751039997</v>
      </c>
      <c r="S302" s="83">
        <f t="shared" si="69"/>
        <v>1269637.1268319997</v>
      </c>
      <c r="T302" s="64">
        <f t="shared" si="70"/>
        <v>1293971.8275000001</v>
      </c>
      <c r="U302" s="66">
        <f t="shared" si="71"/>
        <v>1100000</v>
      </c>
      <c r="V302" s="63">
        <f t="shared" si="72"/>
        <v>1100000</v>
      </c>
      <c r="W302" s="83">
        <f t="shared" si="73"/>
        <v>1100000</v>
      </c>
      <c r="X302" s="64">
        <f t="shared" si="74"/>
        <v>1100000</v>
      </c>
      <c r="Z302" s="67">
        <v>1270386.06</v>
      </c>
      <c r="AA302" s="68">
        <v>1317101.5027999999</v>
      </c>
      <c r="AB302" s="69">
        <v>1100000</v>
      </c>
      <c r="AC302" s="70">
        <v>1100000</v>
      </c>
      <c r="AD302" s="67">
        <v>1275176.4362999997</v>
      </c>
      <c r="AE302" s="68">
        <v>1301281.1463000001</v>
      </c>
      <c r="AF302" s="69">
        <v>1100000</v>
      </c>
      <c r="AG302" s="70">
        <v>1100000</v>
      </c>
      <c r="AH302" s="70">
        <f t="shared" si="75"/>
        <v>1265306.8152000001</v>
      </c>
      <c r="AI302" s="70">
        <f t="shared" si="76"/>
        <v>1304021.178816</v>
      </c>
      <c r="AJ302" s="70">
        <f t="shared" si="77"/>
        <v>1286915.4549199997</v>
      </c>
      <c r="AK302" s="70">
        <f t="shared" si="78"/>
        <v>1293971.8275000001</v>
      </c>
      <c r="AL302" s="70">
        <f t="shared" si="79"/>
        <v>1100000</v>
      </c>
      <c r="AM302" s="70">
        <f t="shared" si="80"/>
        <v>1100000</v>
      </c>
      <c r="AN302" s="70">
        <f t="shared" si="81"/>
        <v>1100000</v>
      </c>
      <c r="AO302" s="70">
        <f t="shared" si="82"/>
        <v>1100000</v>
      </c>
    </row>
    <row r="303" spans="1:41">
      <c r="A303" s="342" t="s">
        <v>1039</v>
      </c>
      <c r="B303" s="342" t="s">
        <v>1285</v>
      </c>
      <c r="C303" s="107">
        <v>0</v>
      </c>
      <c r="D303" s="107">
        <v>0</v>
      </c>
      <c r="F303" s="107">
        <v>37397.730000000003</v>
      </c>
      <c r="G303" s="108">
        <v>0</v>
      </c>
      <c r="I303" s="64">
        <v>33951.78</v>
      </c>
      <c r="J303" s="83">
        <v>225588.83</v>
      </c>
      <c r="K303" s="66">
        <v>0</v>
      </c>
      <c r="L303" s="251">
        <v>0</v>
      </c>
      <c r="M303" s="63">
        <v>36774.633810988453</v>
      </c>
      <c r="N303" s="64">
        <v>38732.256849472476</v>
      </c>
      <c r="O303" s="65">
        <v>0</v>
      </c>
      <c r="P303" s="66">
        <v>0</v>
      </c>
      <c r="Q303" s="66">
        <f t="shared" si="67"/>
        <v>24445.281599999998</v>
      </c>
      <c r="R303" s="63">
        <f t="shared" si="68"/>
        <v>171930.45600000001</v>
      </c>
      <c r="S303" s="83">
        <f t="shared" si="69"/>
        <v>89642.608743911682</v>
      </c>
      <c r="T303" s="64">
        <f t="shared" si="70"/>
        <v>38184.122398696949</v>
      </c>
      <c r="U303" s="66">
        <f t="shared" si="71"/>
        <v>0</v>
      </c>
      <c r="V303" s="63">
        <f t="shared" si="72"/>
        <v>0</v>
      </c>
      <c r="W303" s="83">
        <f t="shared" si="73"/>
        <v>0</v>
      </c>
      <c r="X303" s="64">
        <f t="shared" si="74"/>
        <v>0</v>
      </c>
      <c r="Z303" s="67">
        <v>37397.730000000003</v>
      </c>
      <c r="AA303" s="68">
        <v>38554.996780934693</v>
      </c>
      <c r="AB303" s="69">
        <v>0</v>
      </c>
      <c r="AC303" s="70">
        <v>0</v>
      </c>
      <c r="AD303" s="67">
        <v>36774.633810988453</v>
      </c>
      <c r="AE303" s="68">
        <v>38732.256849472476</v>
      </c>
      <c r="AF303" s="69">
        <v>0</v>
      </c>
      <c r="AG303" s="70">
        <v>0</v>
      </c>
      <c r="AH303" s="70">
        <f t="shared" si="75"/>
        <v>26926.365600000001</v>
      </c>
      <c r="AI303" s="70">
        <f t="shared" si="76"/>
        <v>38230.962082272978</v>
      </c>
      <c r="AJ303" s="70">
        <f t="shared" si="77"/>
        <v>37273.135442573403</v>
      </c>
      <c r="AK303" s="70">
        <f t="shared" si="78"/>
        <v>38184.122398696949</v>
      </c>
      <c r="AL303" s="70">
        <f t="shared" si="79"/>
        <v>0</v>
      </c>
      <c r="AM303" s="70">
        <f t="shared" si="80"/>
        <v>0</v>
      </c>
      <c r="AN303" s="70">
        <f t="shared" si="81"/>
        <v>0</v>
      </c>
      <c r="AO303" s="70">
        <f t="shared" si="82"/>
        <v>0</v>
      </c>
    </row>
    <row r="304" spans="1:41">
      <c r="A304" s="342" t="s">
        <v>1038</v>
      </c>
      <c r="B304" s="342" t="s">
        <v>1286</v>
      </c>
      <c r="C304" s="107">
        <v>0</v>
      </c>
      <c r="D304" s="107">
        <v>0</v>
      </c>
      <c r="F304" s="107">
        <v>848882.75</v>
      </c>
      <c r="G304" s="108">
        <v>0</v>
      </c>
      <c r="I304" s="64">
        <v>848882.75</v>
      </c>
      <c r="J304" s="83">
        <v>991152.05709999998</v>
      </c>
      <c r="K304" s="66">
        <v>0</v>
      </c>
      <c r="L304" s="251">
        <v>0</v>
      </c>
      <c r="M304" s="63">
        <v>1025460.2022849113</v>
      </c>
      <c r="N304" s="64">
        <v>1066127.4480000001</v>
      </c>
      <c r="O304" s="65">
        <v>0</v>
      </c>
      <c r="P304" s="66">
        <v>0</v>
      </c>
      <c r="Q304" s="66">
        <f t="shared" si="67"/>
        <v>611195.57999999996</v>
      </c>
      <c r="R304" s="63">
        <f t="shared" si="68"/>
        <v>951316.65111199999</v>
      </c>
      <c r="S304" s="83">
        <f t="shared" si="69"/>
        <v>1015853.9216331361</v>
      </c>
      <c r="T304" s="64">
        <f t="shared" si="70"/>
        <v>1054740.6191997752</v>
      </c>
      <c r="U304" s="66">
        <f t="shared" si="71"/>
        <v>0</v>
      </c>
      <c r="V304" s="63">
        <f t="shared" si="72"/>
        <v>0</v>
      </c>
      <c r="W304" s="83">
        <f t="shared" si="73"/>
        <v>0</v>
      </c>
      <c r="X304" s="64">
        <f t="shared" si="74"/>
        <v>0</v>
      </c>
      <c r="Z304" s="67">
        <v>848882.75</v>
      </c>
      <c r="AA304" s="68">
        <v>911654.69767613348</v>
      </c>
      <c r="AB304" s="69">
        <v>0</v>
      </c>
      <c r="AC304" s="70">
        <v>0</v>
      </c>
      <c r="AD304" s="67">
        <v>1025460.2022849113</v>
      </c>
      <c r="AE304" s="68">
        <v>1066127.4480000001</v>
      </c>
      <c r="AF304" s="69">
        <v>0</v>
      </c>
      <c r="AG304" s="70">
        <v>0</v>
      </c>
      <c r="AH304" s="70">
        <f t="shared" si="75"/>
        <v>611195.57999999996</v>
      </c>
      <c r="AI304" s="70">
        <f t="shared" si="76"/>
        <v>894078.55232681613</v>
      </c>
      <c r="AJ304" s="70">
        <f t="shared" si="77"/>
        <v>993594.66099445347</v>
      </c>
      <c r="AK304" s="70">
        <f t="shared" si="78"/>
        <v>1054740.6191997752</v>
      </c>
      <c r="AL304" s="70">
        <f t="shared" si="79"/>
        <v>0</v>
      </c>
      <c r="AM304" s="70">
        <f t="shared" si="80"/>
        <v>0</v>
      </c>
      <c r="AN304" s="70">
        <f t="shared" si="81"/>
        <v>0</v>
      </c>
      <c r="AO304" s="70">
        <f t="shared" si="82"/>
        <v>0</v>
      </c>
    </row>
    <row r="305" spans="1:41">
      <c r="A305" s="342" t="s">
        <v>1024</v>
      </c>
      <c r="B305" s="342" t="s">
        <v>1287</v>
      </c>
      <c r="C305" s="107">
        <v>0</v>
      </c>
      <c r="D305" s="107">
        <v>0</v>
      </c>
      <c r="F305" s="107">
        <v>236161.32</v>
      </c>
      <c r="G305" s="108">
        <v>0</v>
      </c>
      <c r="I305" s="64">
        <v>236161.32</v>
      </c>
      <c r="J305" s="83">
        <v>250492.41580000002</v>
      </c>
      <c r="K305" s="66">
        <v>0</v>
      </c>
      <c r="L305" s="251">
        <v>0</v>
      </c>
      <c r="M305" s="63">
        <v>259180.14689999999</v>
      </c>
      <c r="N305" s="64">
        <v>269441.84130000003</v>
      </c>
      <c r="O305" s="65">
        <v>0</v>
      </c>
      <c r="P305" s="66">
        <v>0</v>
      </c>
      <c r="Q305" s="66">
        <f t="shared" si="67"/>
        <v>170036.15040000001</v>
      </c>
      <c r="R305" s="63">
        <f t="shared" si="68"/>
        <v>246479.70897600002</v>
      </c>
      <c r="S305" s="83">
        <f t="shared" si="69"/>
        <v>256747.582192</v>
      </c>
      <c r="T305" s="64">
        <f t="shared" si="70"/>
        <v>266568.56686800002</v>
      </c>
      <c r="U305" s="66">
        <f t="shared" si="71"/>
        <v>0</v>
      </c>
      <c r="V305" s="63">
        <f t="shared" si="72"/>
        <v>0</v>
      </c>
      <c r="W305" s="83">
        <f t="shared" si="73"/>
        <v>0</v>
      </c>
      <c r="X305" s="64">
        <f t="shared" si="74"/>
        <v>0</v>
      </c>
      <c r="Z305" s="67">
        <v>236161.32</v>
      </c>
      <c r="AA305" s="68">
        <v>250492.41580000002</v>
      </c>
      <c r="AB305" s="69">
        <v>0</v>
      </c>
      <c r="AC305" s="70">
        <v>0</v>
      </c>
      <c r="AD305" s="67">
        <v>259180.14689999999</v>
      </c>
      <c r="AE305" s="68">
        <v>269441.84130000003</v>
      </c>
      <c r="AF305" s="69">
        <v>0</v>
      </c>
      <c r="AG305" s="70">
        <v>0</v>
      </c>
      <c r="AH305" s="70">
        <f t="shared" si="75"/>
        <v>170036.15040000001</v>
      </c>
      <c r="AI305" s="70">
        <f t="shared" si="76"/>
        <v>246479.70897600002</v>
      </c>
      <c r="AJ305" s="70">
        <f t="shared" si="77"/>
        <v>256747.582192</v>
      </c>
      <c r="AK305" s="70">
        <f t="shared" si="78"/>
        <v>266568.56686800002</v>
      </c>
      <c r="AL305" s="70">
        <f t="shared" si="79"/>
        <v>0</v>
      </c>
      <c r="AM305" s="70">
        <f t="shared" si="80"/>
        <v>0</v>
      </c>
      <c r="AN305" s="70">
        <f t="shared" si="81"/>
        <v>0</v>
      </c>
      <c r="AO305" s="70">
        <f t="shared" si="82"/>
        <v>0</v>
      </c>
    </row>
    <row r="306" spans="1:41">
      <c r="A306" s="342" t="s">
        <v>53</v>
      </c>
      <c r="B306" s="342" t="s">
        <v>1288</v>
      </c>
      <c r="C306" s="107">
        <v>0</v>
      </c>
      <c r="D306" s="107">
        <v>0</v>
      </c>
      <c r="F306" s="107">
        <v>33028.71</v>
      </c>
      <c r="G306" s="108">
        <v>0</v>
      </c>
      <c r="I306" s="64">
        <v>33028.71</v>
      </c>
      <c r="J306" s="83">
        <v>233031.48509999999</v>
      </c>
      <c r="K306" s="66">
        <v>0</v>
      </c>
      <c r="L306" s="251">
        <v>0</v>
      </c>
      <c r="M306" s="63">
        <v>38544.622720826766</v>
      </c>
      <c r="N306" s="64">
        <v>40784.652254413631</v>
      </c>
      <c r="O306" s="65">
        <v>0</v>
      </c>
      <c r="P306" s="66">
        <v>0</v>
      </c>
      <c r="Q306" s="66">
        <f t="shared" si="67"/>
        <v>23780.671199999997</v>
      </c>
      <c r="R306" s="63">
        <f t="shared" si="68"/>
        <v>177030.70807200001</v>
      </c>
      <c r="S306" s="83">
        <f t="shared" si="69"/>
        <v>93000.944186995272</v>
      </c>
      <c r="T306" s="64">
        <f t="shared" si="70"/>
        <v>40157.443985009311</v>
      </c>
      <c r="U306" s="66">
        <f t="shared" si="71"/>
        <v>0</v>
      </c>
      <c r="V306" s="63">
        <f t="shared" si="72"/>
        <v>0</v>
      </c>
      <c r="W306" s="83">
        <f t="shared" si="73"/>
        <v>0</v>
      </c>
      <c r="X306" s="64">
        <f t="shared" si="74"/>
        <v>0</v>
      </c>
      <c r="Z306" s="67">
        <v>33028.71</v>
      </c>
      <c r="AA306" s="68">
        <v>35379.743250446154</v>
      </c>
      <c r="AB306" s="69">
        <v>0</v>
      </c>
      <c r="AC306" s="70">
        <v>0</v>
      </c>
      <c r="AD306" s="67">
        <v>38544.622720826766</v>
      </c>
      <c r="AE306" s="68">
        <v>40784.652254413631</v>
      </c>
      <c r="AF306" s="69">
        <v>0</v>
      </c>
      <c r="AG306" s="70">
        <v>0</v>
      </c>
      <c r="AH306" s="70">
        <f t="shared" si="75"/>
        <v>23780.671199999997</v>
      </c>
      <c r="AI306" s="70">
        <f t="shared" si="76"/>
        <v>34721.453940321233</v>
      </c>
      <c r="AJ306" s="70">
        <f t="shared" si="77"/>
        <v>37658.456469120196</v>
      </c>
      <c r="AK306" s="70">
        <f t="shared" si="78"/>
        <v>40157.443985009311</v>
      </c>
      <c r="AL306" s="70">
        <f t="shared" si="79"/>
        <v>0</v>
      </c>
      <c r="AM306" s="70">
        <f t="shared" si="80"/>
        <v>0</v>
      </c>
      <c r="AN306" s="70">
        <f t="shared" si="81"/>
        <v>0</v>
      </c>
      <c r="AO306" s="70">
        <f t="shared" si="82"/>
        <v>0</v>
      </c>
    </row>
    <row r="307" spans="1:41">
      <c r="A307" s="342" t="s">
        <v>223</v>
      </c>
      <c r="B307" s="342" t="s">
        <v>1289</v>
      </c>
      <c r="C307" s="107">
        <v>0</v>
      </c>
      <c r="D307" s="107">
        <v>0</v>
      </c>
      <c r="F307" s="107">
        <v>943275</v>
      </c>
      <c r="G307" s="108">
        <v>0</v>
      </c>
      <c r="I307" s="64">
        <v>943275</v>
      </c>
      <c r="J307" s="83">
        <v>1000548.6311999999</v>
      </c>
      <c r="K307" s="66">
        <v>0</v>
      </c>
      <c r="L307" s="251">
        <v>0</v>
      </c>
      <c r="M307" s="63">
        <v>1035215.3078999999</v>
      </c>
      <c r="N307" s="64">
        <v>1076228.9685</v>
      </c>
      <c r="O307" s="65">
        <v>0</v>
      </c>
      <c r="P307" s="66">
        <v>0</v>
      </c>
      <c r="Q307" s="66">
        <f t="shared" si="67"/>
        <v>679158</v>
      </c>
      <c r="R307" s="63">
        <f t="shared" si="68"/>
        <v>984512.01446399989</v>
      </c>
      <c r="S307" s="83">
        <f t="shared" si="69"/>
        <v>1025508.638424</v>
      </c>
      <c r="T307" s="64">
        <f t="shared" si="70"/>
        <v>1064745.143532</v>
      </c>
      <c r="U307" s="66">
        <f t="shared" si="71"/>
        <v>0</v>
      </c>
      <c r="V307" s="63">
        <f t="shared" si="72"/>
        <v>0</v>
      </c>
      <c r="W307" s="83">
        <f t="shared" si="73"/>
        <v>0</v>
      </c>
      <c r="X307" s="64">
        <f t="shared" si="74"/>
        <v>0</v>
      </c>
      <c r="Z307" s="67">
        <v>943275</v>
      </c>
      <c r="AA307" s="68">
        <v>1000548.6311999999</v>
      </c>
      <c r="AB307" s="69">
        <v>0</v>
      </c>
      <c r="AC307" s="70">
        <v>0</v>
      </c>
      <c r="AD307" s="67">
        <v>1035215.3078999999</v>
      </c>
      <c r="AE307" s="68">
        <v>1076228.9685</v>
      </c>
      <c r="AF307" s="69">
        <v>0</v>
      </c>
      <c r="AG307" s="70">
        <v>0</v>
      </c>
      <c r="AH307" s="70">
        <f t="shared" si="75"/>
        <v>679158</v>
      </c>
      <c r="AI307" s="70">
        <f t="shared" si="76"/>
        <v>984512.01446399989</v>
      </c>
      <c r="AJ307" s="70">
        <f t="shared" si="77"/>
        <v>1025508.638424</v>
      </c>
      <c r="AK307" s="70">
        <f t="shared" si="78"/>
        <v>1064745.143532</v>
      </c>
      <c r="AL307" s="70">
        <f t="shared" si="79"/>
        <v>0</v>
      </c>
      <c r="AM307" s="70">
        <f t="shared" si="80"/>
        <v>0</v>
      </c>
      <c r="AN307" s="70">
        <f t="shared" si="81"/>
        <v>0</v>
      </c>
      <c r="AO307" s="70">
        <f t="shared" si="82"/>
        <v>0</v>
      </c>
    </row>
    <row r="308" spans="1:41">
      <c r="A308" s="342" t="s">
        <v>237</v>
      </c>
      <c r="B308" s="342" t="s">
        <v>1290</v>
      </c>
      <c r="C308" s="107">
        <v>0</v>
      </c>
      <c r="D308" s="107">
        <v>0</v>
      </c>
      <c r="F308" s="107">
        <v>149106.44</v>
      </c>
      <c r="G308" s="108">
        <v>0</v>
      </c>
      <c r="I308" s="64">
        <v>149106.44</v>
      </c>
      <c r="J308" s="83">
        <v>156562.20060000001</v>
      </c>
      <c r="K308" s="66">
        <v>0</v>
      </c>
      <c r="L308" s="251">
        <v>0</v>
      </c>
      <c r="M308" s="63">
        <v>159849.82259999998</v>
      </c>
      <c r="N308" s="64">
        <v>163366.60860000001</v>
      </c>
      <c r="O308" s="65">
        <v>0</v>
      </c>
      <c r="P308" s="66">
        <v>0</v>
      </c>
      <c r="Q308" s="66">
        <f t="shared" si="67"/>
        <v>107356.63679999999</v>
      </c>
      <c r="R308" s="63">
        <f t="shared" si="68"/>
        <v>154474.58763200001</v>
      </c>
      <c r="S308" s="83">
        <f t="shared" si="69"/>
        <v>158929.28843999997</v>
      </c>
      <c r="T308" s="64">
        <f t="shared" si="70"/>
        <v>162381.90852</v>
      </c>
      <c r="U308" s="66">
        <f t="shared" si="71"/>
        <v>0</v>
      </c>
      <c r="V308" s="63">
        <f t="shared" si="72"/>
        <v>0</v>
      </c>
      <c r="W308" s="83">
        <f t="shared" si="73"/>
        <v>0</v>
      </c>
      <c r="X308" s="64">
        <f t="shared" si="74"/>
        <v>0</v>
      </c>
      <c r="Z308" s="67">
        <v>149106.44</v>
      </c>
      <c r="AA308" s="68">
        <v>156562.20060000001</v>
      </c>
      <c r="AB308" s="69">
        <v>0</v>
      </c>
      <c r="AC308" s="70">
        <v>0</v>
      </c>
      <c r="AD308" s="67">
        <v>159849.82259999998</v>
      </c>
      <c r="AE308" s="68">
        <v>163366.60860000001</v>
      </c>
      <c r="AF308" s="69">
        <v>0</v>
      </c>
      <c r="AG308" s="70">
        <v>0</v>
      </c>
      <c r="AH308" s="70">
        <f t="shared" si="75"/>
        <v>107356.63679999999</v>
      </c>
      <c r="AI308" s="70">
        <f t="shared" si="76"/>
        <v>154474.58763200001</v>
      </c>
      <c r="AJ308" s="70">
        <f t="shared" si="77"/>
        <v>158929.28843999997</v>
      </c>
      <c r="AK308" s="70">
        <f t="shared" si="78"/>
        <v>162381.90852</v>
      </c>
      <c r="AL308" s="70">
        <f t="shared" si="79"/>
        <v>0</v>
      </c>
      <c r="AM308" s="70">
        <f t="shared" si="80"/>
        <v>0</v>
      </c>
      <c r="AN308" s="70">
        <f t="shared" si="81"/>
        <v>0</v>
      </c>
      <c r="AO308" s="70">
        <f t="shared" si="82"/>
        <v>0</v>
      </c>
    </row>
    <row r="309" spans="1:41">
      <c r="A309" s="342" t="s">
        <v>553</v>
      </c>
      <c r="B309" s="342" t="s">
        <v>1291</v>
      </c>
      <c r="C309" s="107">
        <v>0</v>
      </c>
      <c r="D309" s="107">
        <v>0</v>
      </c>
      <c r="F309" s="107">
        <v>671554.15</v>
      </c>
      <c r="G309" s="108">
        <v>0</v>
      </c>
      <c r="I309" s="64">
        <v>671554.15</v>
      </c>
      <c r="J309" s="83">
        <v>712327.81579999998</v>
      </c>
      <c r="K309" s="66">
        <v>0</v>
      </c>
      <c r="L309" s="251">
        <v>0</v>
      </c>
      <c r="M309" s="63">
        <v>737006.70419999992</v>
      </c>
      <c r="N309" s="64">
        <v>766214.23109999998</v>
      </c>
      <c r="O309" s="65">
        <v>0</v>
      </c>
      <c r="P309" s="66">
        <v>0</v>
      </c>
      <c r="Q309" s="66">
        <f t="shared" si="67"/>
        <v>483518.98800000001</v>
      </c>
      <c r="R309" s="63">
        <f t="shared" si="68"/>
        <v>700911.18937599997</v>
      </c>
      <c r="S309" s="83">
        <f t="shared" si="69"/>
        <v>730096.61544799991</v>
      </c>
      <c r="T309" s="64">
        <f t="shared" si="70"/>
        <v>758036.12356800004</v>
      </c>
      <c r="U309" s="66">
        <f t="shared" si="71"/>
        <v>0</v>
      </c>
      <c r="V309" s="63">
        <f t="shared" si="72"/>
        <v>0</v>
      </c>
      <c r="W309" s="83">
        <f t="shared" si="73"/>
        <v>0</v>
      </c>
      <c r="X309" s="64">
        <f t="shared" si="74"/>
        <v>0</v>
      </c>
      <c r="Z309" s="67">
        <v>671554.15</v>
      </c>
      <c r="AA309" s="68">
        <v>712327.81579999998</v>
      </c>
      <c r="AB309" s="69">
        <v>0</v>
      </c>
      <c r="AC309" s="70">
        <v>0</v>
      </c>
      <c r="AD309" s="67">
        <v>737006.70419999992</v>
      </c>
      <c r="AE309" s="68">
        <v>766214.23109999998</v>
      </c>
      <c r="AF309" s="69">
        <v>0</v>
      </c>
      <c r="AG309" s="70">
        <v>0</v>
      </c>
      <c r="AH309" s="70">
        <f t="shared" si="75"/>
        <v>483518.98800000001</v>
      </c>
      <c r="AI309" s="70">
        <f t="shared" si="76"/>
        <v>700911.18937599997</v>
      </c>
      <c r="AJ309" s="70">
        <f t="shared" si="77"/>
        <v>730096.61544799991</v>
      </c>
      <c r="AK309" s="70">
        <f t="shared" si="78"/>
        <v>758036.12356800004</v>
      </c>
      <c r="AL309" s="70">
        <f t="shared" si="79"/>
        <v>0</v>
      </c>
      <c r="AM309" s="70">
        <f t="shared" si="80"/>
        <v>0</v>
      </c>
      <c r="AN309" s="70">
        <f t="shared" si="81"/>
        <v>0</v>
      </c>
      <c r="AO309" s="70">
        <f t="shared" si="82"/>
        <v>0</v>
      </c>
    </row>
    <row r="310" spans="1:41">
      <c r="A310" s="71"/>
      <c r="B310" s="71"/>
    </row>
    <row r="311" spans="1:41">
      <c r="A311" s="71"/>
      <c r="B311" s="71"/>
    </row>
    <row r="312" spans="1:41">
      <c r="A312" s="71"/>
      <c r="B312" s="71"/>
    </row>
    <row r="313" spans="1:41">
      <c r="A313" s="71"/>
      <c r="B313" s="71"/>
    </row>
    <row r="314" spans="1:41">
      <c r="A314" s="71"/>
      <c r="B314" s="71"/>
    </row>
    <row r="315" spans="1:41">
      <c r="A315" s="71"/>
      <c r="B315" s="71"/>
    </row>
  </sheetData>
  <autoFilter ref="A7:AA302" xr:uid="{00000000-0009-0000-0000-000016000000}"/>
  <mergeCells count="16">
    <mergeCell ref="C3:D3"/>
    <mergeCell ref="M3:N3"/>
    <mergeCell ref="O3:P3"/>
    <mergeCell ref="F3:G3"/>
    <mergeCell ref="AL3:AO3"/>
    <mergeCell ref="AB3:AC3"/>
    <mergeCell ref="AD3:AE3"/>
    <mergeCell ref="AF3:AG3"/>
    <mergeCell ref="AH3:AK3"/>
    <mergeCell ref="Q2:X2"/>
    <mergeCell ref="Q3:T3"/>
    <mergeCell ref="U3:X3"/>
    <mergeCell ref="Z3:AA3"/>
    <mergeCell ref="I2:P2"/>
    <mergeCell ref="I3:J3"/>
    <mergeCell ref="K3:L3"/>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
    <tabColor theme="5" tint="0.59999389629810485"/>
  </sheetPr>
  <dimension ref="A1:AE475"/>
  <sheetViews>
    <sheetView zoomScale="90" zoomScaleNormal="90" workbookViewId="0">
      <pane ySplit="7" topLeftCell="A149"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AD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 t="shared" si="0"/>
        <v>18</v>
      </c>
      <c r="S1" s="389">
        <f t="shared" si="0"/>
        <v>19</v>
      </c>
      <c r="T1" s="389">
        <f t="shared" si="0"/>
        <v>20</v>
      </c>
      <c r="U1" s="389">
        <f t="shared" si="0"/>
        <v>21</v>
      </c>
      <c r="V1" s="389">
        <f t="shared" si="0"/>
        <v>22</v>
      </c>
      <c r="W1" s="389">
        <f t="shared" si="0"/>
        <v>23</v>
      </c>
      <c r="X1" s="389">
        <f t="shared" si="0"/>
        <v>24</v>
      </c>
      <c r="Y1" s="389">
        <f t="shared" si="0"/>
        <v>25</v>
      </c>
      <c r="Z1" s="389">
        <f t="shared" si="0"/>
        <v>26</v>
      </c>
      <c r="AA1" s="389">
        <f t="shared" si="0"/>
        <v>27</v>
      </c>
      <c r="AB1" s="389">
        <f t="shared" si="0"/>
        <v>28</v>
      </c>
      <c r="AC1" s="389">
        <f t="shared" si="0"/>
        <v>29</v>
      </c>
      <c r="AD1" s="389">
        <f t="shared" si="0"/>
        <v>30</v>
      </c>
      <c r="AE1" s="389"/>
    </row>
    <row r="2" spans="1:31" ht="21">
      <c r="A2" s="9" t="s">
        <v>1364</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1">SUM(C8:C325)</f>
        <v>301246.51999999996</v>
      </c>
      <c r="D6" s="16">
        <f t="shared" si="1"/>
        <v>11894.569999999991</v>
      </c>
      <c r="E6" s="16">
        <f t="shared" si="1"/>
        <v>59932.950000000004</v>
      </c>
      <c r="F6" s="16">
        <f t="shared" si="1"/>
        <v>71827.520000000019</v>
      </c>
      <c r="G6" s="16">
        <f t="shared" si="1"/>
        <v>4696.07</v>
      </c>
      <c r="H6" s="16">
        <f t="shared" si="1"/>
        <v>20956.299999999996</v>
      </c>
      <c r="I6" s="16">
        <f t="shared" si="1"/>
        <v>1355.1900000000012</v>
      </c>
      <c r="J6" s="16">
        <f t="shared" si="1"/>
        <v>49284.890000000021</v>
      </c>
      <c r="K6" s="16">
        <f t="shared" si="1"/>
        <v>3775.5699999999993</v>
      </c>
      <c r="L6" s="16">
        <f t="shared" si="1"/>
        <v>49.53</v>
      </c>
      <c r="M6" s="386">
        <f t="shared" si="1"/>
        <v>1062338.2399999993</v>
      </c>
      <c r="N6" s="385">
        <f>AVERAGE(N7:N325)</f>
        <v>0.53765283018867871</v>
      </c>
      <c r="O6" s="16">
        <f t="shared" ref="O6:AD6" si="2">SUM(O8:O325)</f>
        <v>445332</v>
      </c>
      <c r="P6" s="16">
        <f t="shared" si="2"/>
        <v>128008.26999999999</v>
      </c>
      <c r="Q6" s="16">
        <f t="shared" si="2"/>
        <v>83405.240000000005</v>
      </c>
      <c r="R6" s="16">
        <f t="shared" si="2"/>
        <v>44603.03</v>
      </c>
      <c r="S6" s="28">
        <f t="shared" si="2"/>
        <v>22685.010000000002</v>
      </c>
      <c r="T6" s="28">
        <f t="shared" si="2"/>
        <v>150693.27999999997</v>
      </c>
      <c r="U6" s="16">
        <f t="shared" si="2"/>
        <v>488899.52000000037</v>
      </c>
      <c r="V6" s="16">
        <f t="shared" si="2"/>
        <v>46734.46</v>
      </c>
      <c r="W6" s="28">
        <f t="shared" si="2"/>
        <v>267611.63221100008</v>
      </c>
      <c r="X6" s="28">
        <f t="shared" si="2"/>
        <v>136833.96999999997</v>
      </c>
      <c r="Y6" s="28">
        <f t="shared" si="2"/>
        <v>85540.97</v>
      </c>
      <c r="Z6" s="28">
        <f t="shared" si="2"/>
        <v>51293</v>
      </c>
      <c r="AA6" s="370">
        <f t="shared" si="2"/>
        <v>1063423.909999999</v>
      </c>
      <c r="AB6" s="245">
        <f t="shared" si="2"/>
        <v>42.692500644765786</v>
      </c>
      <c r="AC6" s="245">
        <f t="shared" si="2"/>
        <v>4.3544101765149703</v>
      </c>
      <c r="AD6" s="382">
        <f t="shared" si="2"/>
        <v>-44975321.375530876</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845.76</v>
      </c>
      <c r="D8" s="147">
        <v>60.32</v>
      </c>
      <c r="E8" s="22">
        <v>264.47000000000003</v>
      </c>
      <c r="F8" s="22">
        <v>324.79000000000002</v>
      </c>
      <c r="G8" s="22">
        <v>21.12</v>
      </c>
      <c r="H8" s="22">
        <v>52.75</v>
      </c>
      <c r="I8" s="22">
        <v>1.42</v>
      </c>
      <c r="J8" s="22">
        <v>109.48</v>
      </c>
      <c r="K8" s="22">
        <v>10.6</v>
      </c>
      <c r="L8" s="22">
        <v>0</v>
      </c>
      <c r="M8" s="388">
        <v>3115.65</v>
      </c>
      <c r="N8" s="25">
        <v>0.72529999999999994</v>
      </c>
      <c r="O8" s="24">
        <v>3131</v>
      </c>
      <c r="P8" s="24">
        <v>405</v>
      </c>
      <c r="Q8" s="24">
        <v>254</v>
      </c>
      <c r="R8" s="22">
        <v>151</v>
      </c>
      <c r="S8" s="24">
        <v>72</v>
      </c>
      <c r="T8" s="24">
        <f>S8+P8</f>
        <v>477</v>
      </c>
      <c r="U8" s="376">
        <v>2260.09</v>
      </c>
      <c r="V8" s="376">
        <v>155.78</v>
      </c>
      <c r="W8" s="22">
        <f>U8*N8</f>
        <v>1639.243277</v>
      </c>
      <c r="X8" s="22">
        <f>Y8+Z8</f>
        <v>480.5</v>
      </c>
      <c r="Y8" s="22">
        <v>268.5</v>
      </c>
      <c r="Z8" s="22">
        <v>212</v>
      </c>
      <c r="AA8" s="371">
        <v>3110.7</v>
      </c>
      <c r="AB8" s="22">
        <v>0.15446684026103449</v>
      </c>
      <c r="AC8" s="24">
        <v>1.9466840261034485E-2</v>
      </c>
      <c r="AD8" s="384">
        <v>-526865.30447185319</v>
      </c>
    </row>
    <row r="9" spans="1:31">
      <c r="A9" s="21" t="s">
        <v>279</v>
      </c>
      <c r="B9" s="21" t="s">
        <v>280</v>
      </c>
      <c r="C9" s="23">
        <v>164.9</v>
      </c>
      <c r="D9" s="147">
        <v>18.940000000000001</v>
      </c>
      <c r="E9" s="22">
        <v>32.119999999999997</v>
      </c>
      <c r="F9" s="22">
        <v>51.06</v>
      </c>
      <c r="G9" s="22">
        <v>0</v>
      </c>
      <c r="H9" s="22">
        <v>12.53</v>
      </c>
      <c r="I9" s="22">
        <v>2.15</v>
      </c>
      <c r="J9" s="22">
        <v>0.8</v>
      </c>
      <c r="K9" s="22">
        <v>0.2</v>
      </c>
      <c r="L9" s="22">
        <v>0</v>
      </c>
      <c r="M9" s="388">
        <v>616.50999999999988</v>
      </c>
      <c r="N9" s="25">
        <v>0.2676</v>
      </c>
      <c r="O9" s="24">
        <v>0</v>
      </c>
      <c r="P9" s="24">
        <v>0</v>
      </c>
      <c r="Q9" s="24">
        <v>0</v>
      </c>
      <c r="R9" s="22">
        <v>0</v>
      </c>
      <c r="S9" s="24">
        <v>0</v>
      </c>
      <c r="T9" s="24">
        <f t="shared" ref="T9:T72" si="3">S9+P9</f>
        <v>0</v>
      </c>
      <c r="U9" s="376">
        <v>164.98</v>
      </c>
      <c r="V9" s="376">
        <v>30.83</v>
      </c>
      <c r="W9" s="22">
        <f t="shared" ref="W9:W72" si="4">U9*N9</f>
        <v>44.148648000000001</v>
      </c>
      <c r="X9" s="22">
        <f t="shared" ref="X9:X72" si="5">Y9+Z9</f>
        <v>73</v>
      </c>
      <c r="Y9" s="22">
        <v>46</v>
      </c>
      <c r="Z9" s="22">
        <v>27</v>
      </c>
      <c r="AA9" s="371">
        <v>623.91999999999996</v>
      </c>
      <c r="AB9" s="22">
        <v>0.11700217976663675</v>
      </c>
      <c r="AC9" s="24">
        <v>0</v>
      </c>
      <c r="AD9" s="384">
        <v>0</v>
      </c>
    </row>
    <row r="10" spans="1:31">
      <c r="A10" s="21" t="s">
        <v>301</v>
      </c>
      <c r="B10" s="21" t="s">
        <v>302</v>
      </c>
      <c r="C10" s="23">
        <v>37.799999999999997</v>
      </c>
      <c r="D10" s="147">
        <v>0</v>
      </c>
      <c r="E10" s="22">
        <v>3.36</v>
      </c>
      <c r="F10" s="22">
        <v>3.36</v>
      </c>
      <c r="G10" s="22">
        <v>0</v>
      </c>
      <c r="H10" s="22">
        <v>0</v>
      </c>
      <c r="I10" s="22">
        <v>0</v>
      </c>
      <c r="J10" s="22">
        <v>0</v>
      </c>
      <c r="K10" s="22">
        <v>0</v>
      </c>
      <c r="L10" s="22">
        <v>0</v>
      </c>
      <c r="M10" s="388">
        <v>95.25</v>
      </c>
      <c r="N10" s="25">
        <v>0.37959999999999999</v>
      </c>
      <c r="O10" s="24">
        <v>0</v>
      </c>
      <c r="P10" s="24">
        <v>0</v>
      </c>
      <c r="Q10" s="24">
        <v>0</v>
      </c>
      <c r="R10" s="22">
        <v>0</v>
      </c>
      <c r="S10" s="24">
        <v>0</v>
      </c>
      <c r="T10" s="24">
        <f t="shared" si="3"/>
        <v>0</v>
      </c>
      <c r="U10" s="376">
        <v>36.159999999999997</v>
      </c>
      <c r="V10" s="376">
        <v>0</v>
      </c>
      <c r="W10" s="22">
        <f t="shared" si="4"/>
        <v>13.726335999999998</v>
      </c>
      <c r="X10" s="22">
        <f t="shared" si="5"/>
        <v>9</v>
      </c>
      <c r="Y10" s="22">
        <v>9</v>
      </c>
      <c r="Z10" s="22">
        <v>0</v>
      </c>
      <c r="AA10" s="371">
        <v>95.26</v>
      </c>
      <c r="AB10" s="22">
        <v>9.4478269997900474E-2</v>
      </c>
      <c r="AC10" s="24">
        <v>0</v>
      </c>
      <c r="AD10" s="384">
        <v>0</v>
      </c>
    </row>
    <row r="11" spans="1:31">
      <c r="A11" s="21" t="s">
        <v>407</v>
      </c>
      <c r="B11" s="21" t="s">
        <v>408</v>
      </c>
      <c r="C11" s="23">
        <v>730.43</v>
      </c>
      <c r="D11" s="147">
        <v>7.63</v>
      </c>
      <c r="E11" s="22">
        <v>111.21</v>
      </c>
      <c r="F11" s="22">
        <v>118.83999999999999</v>
      </c>
      <c r="G11" s="22">
        <v>0</v>
      </c>
      <c r="H11" s="22">
        <v>36.880000000000003</v>
      </c>
      <c r="I11" s="22">
        <v>1.78</v>
      </c>
      <c r="J11" s="22">
        <v>106.92</v>
      </c>
      <c r="K11" s="22">
        <v>5.4</v>
      </c>
      <c r="L11" s="22">
        <v>0.2</v>
      </c>
      <c r="M11" s="388">
        <v>2510.2800000000002</v>
      </c>
      <c r="N11" s="25">
        <v>0.28989999999999999</v>
      </c>
      <c r="O11" s="24">
        <v>57</v>
      </c>
      <c r="P11" s="24">
        <v>48</v>
      </c>
      <c r="Q11" s="24">
        <v>29.75</v>
      </c>
      <c r="R11" s="22">
        <v>18.25</v>
      </c>
      <c r="S11" s="24">
        <v>16</v>
      </c>
      <c r="T11" s="24">
        <f t="shared" si="3"/>
        <v>64</v>
      </c>
      <c r="U11" s="376">
        <v>727.23</v>
      </c>
      <c r="V11" s="376">
        <v>125.51</v>
      </c>
      <c r="W11" s="22">
        <f t="shared" si="4"/>
        <v>210.82397699999999</v>
      </c>
      <c r="X11" s="22">
        <f t="shared" si="5"/>
        <v>273.25</v>
      </c>
      <c r="Y11" s="22">
        <v>161.5</v>
      </c>
      <c r="Z11" s="22">
        <v>111.75</v>
      </c>
      <c r="AA11" s="371">
        <v>2534.66</v>
      </c>
      <c r="AB11" s="22">
        <v>0.1078053861267389</v>
      </c>
      <c r="AC11" s="24">
        <v>0</v>
      </c>
      <c r="AD11" s="384">
        <v>0</v>
      </c>
    </row>
    <row r="12" spans="1:31">
      <c r="A12" s="21" t="s">
        <v>431</v>
      </c>
      <c r="B12" s="21" t="s">
        <v>432</v>
      </c>
      <c r="C12" s="23">
        <v>1446.89</v>
      </c>
      <c r="D12" s="147">
        <v>31.07</v>
      </c>
      <c r="E12" s="22">
        <v>347.91</v>
      </c>
      <c r="F12" s="22">
        <v>378.98</v>
      </c>
      <c r="G12" s="22">
        <v>0</v>
      </c>
      <c r="H12" s="22">
        <v>69.209999999999994</v>
      </c>
      <c r="I12" s="22">
        <v>3.83</v>
      </c>
      <c r="J12" s="22">
        <v>216.67000000000002</v>
      </c>
      <c r="K12" s="22">
        <v>32.6</v>
      </c>
      <c r="L12" s="22">
        <v>0</v>
      </c>
      <c r="M12" s="388">
        <v>5354.920000000001</v>
      </c>
      <c r="N12" s="25">
        <v>0.32919999999999999</v>
      </c>
      <c r="O12" s="24">
        <v>0</v>
      </c>
      <c r="P12" s="24">
        <v>269.75</v>
      </c>
      <c r="Q12" s="24">
        <v>153.75</v>
      </c>
      <c r="R12" s="22">
        <v>116</v>
      </c>
      <c r="S12" s="24">
        <v>59.75</v>
      </c>
      <c r="T12" s="24">
        <f t="shared" si="3"/>
        <v>329.5</v>
      </c>
      <c r="U12" s="376">
        <v>1762.84</v>
      </c>
      <c r="V12" s="376">
        <v>267.75</v>
      </c>
      <c r="W12" s="22">
        <f t="shared" si="4"/>
        <v>580.32692799999995</v>
      </c>
      <c r="X12" s="22">
        <f t="shared" si="5"/>
        <v>784.25</v>
      </c>
      <c r="Y12" s="22">
        <v>474.25</v>
      </c>
      <c r="Z12" s="22">
        <v>310</v>
      </c>
      <c r="AA12" s="371">
        <v>5403.02</v>
      </c>
      <c r="AB12" s="22">
        <v>0.14515030482952127</v>
      </c>
      <c r="AC12" s="24">
        <v>1.0150304829521256E-2</v>
      </c>
      <c r="AD12" s="384">
        <v>-532582.76835567213</v>
      </c>
    </row>
    <row r="13" spans="1:31">
      <c r="A13" s="21" t="s">
        <v>15</v>
      </c>
      <c r="B13" s="21" t="s">
        <v>16</v>
      </c>
      <c r="C13" s="23">
        <v>210.4</v>
      </c>
      <c r="D13" s="147">
        <v>4.72</v>
      </c>
      <c r="E13" s="22">
        <v>44.03</v>
      </c>
      <c r="F13" s="22">
        <v>48.75</v>
      </c>
      <c r="G13" s="22">
        <v>0</v>
      </c>
      <c r="H13" s="22">
        <v>13.01</v>
      </c>
      <c r="I13" s="22">
        <v>0.75</v>
      </c>
      <c r="J13" s="22">
        <v>0</v>
      </c>
      <c r="K13" s="22">
        <v>0</v>
      </c>
      <c r="L13" s="22">
        <v>0</v>
      </c>
      <c r="M13" s="388">
        <v>607.07000000000005</v>
      </c>
      <c r="N13" s="25">
        <v>0.31240000000000001</v>
      </c>
      <c r="O13" s="24">
        <v>0</v>
      </c>
      <c r="P13" s="24">
        <v>0</v>
      </c>
      <c r="Q13" s="24">
        <v>0</v>
      </c>
      <c r="R13" s="22">
        <v>0</v>
      </c>
      <c r="S13" s="24">
        <v>0</v>
      </c>
      <c r="T13" s="24">
        <f t="shared" si="3"/>
        <v>0</v>
      </c>
      <c r="U13" s="376">
        <v>189.65</v>
      </c>
      <c r="V13" s="376">
        <v>30.35</v>
      </c>
      <c r="W13" s="22">
        <f t="shared" si="4"/>
        <v>59.246660000000006</v>
      </c>
      <c r="X13" s="22">
        <f t="shared" si="5"/>
        <v>83</v>
      </c>
      <c r="Y13" s="22">
        <v>45</v>
      </c>
      <c r="Z13" s="22">
        <v>38</v>
      </c>
      <c r="AA13" s="371">
        <v>607.07000000000005</v>
      </c>
      <c r="AB13" s="22">
        <v>0.13672228902762448</v>
      </c>
      <c r="AC13" s="24">
        <v>1.722289027624474E-3</v>
      </c>
      <c r="AD13" s="384">
        <v>-9267.444405796452</v>
      </c>
    </row>
    <row r="14" spans="1:31">
      <c r="A14" s="21" t="s">
        <v>205</v>
      </c>
      <c r="B14" s="21" t="s">
        <v>206</v>
      </c>
      <c r="C14" s="23">
        <v>4911.2299999999996</v>
      </c>
      <c r="D14" s="147">
        <v>216.88</v>
      </c>
      <c r="E14" s="22">
        <v>757.96</v>
      </c>
      <c r="F14" s="22">
        <v>974.84</v>
      </c>
      <c r="G14" s="22">
        <v>0</v>
      </c>
      <c r="H14" s="22">
        <v>391.45</v>
      </c>
      <c r="I14" s="22">
        <v>30.43</v>
      </c>
      <c r="J14" s="22">
        <v>59.2</v>
      </c>
      <c r="K14" s="22">
        <v>47.81</v>
      </c>
      <c r="L14" s="22">
        <v>5.36</v>
      </c>
      <c r="M14" s="388">
        <v>16785.930000000004</v>
      </c>
      <c r="N14" s="25">
        <v>0.56840000000000002</v>
      </c>
      <c r="O14" s="24">
        <v>11010</v>
      </c>
      <c r="P14" s="24">
        <v>4009.75</v>
      </c>
      <c r="Q14" s="24">
        <v>2679</v>
      </c>
      <c r="R14" s="22">
        <v>1330.75</v>
      </c>
      <c r="S14" s="24">
        <v>506.75</v>
      </c>
      <c r="T14" s="24">
        <f t="shared" si="3"/>
        <v>4516.5</v>
      </c>
      <c r="U14" s="376">
        <v>9539.44</v>
      </c>
      <c r="V14" s="376">
        <v>839.3</v>
      </c>
      <c r="W14" s="22">
        <f t="shared" si="4"/>
        <v>5422.2176960000006</v>
      </c>
      <c r="X14" s="22">
        <f t="shared" si="5"/>
        <v>1746.5</v>
      </c>
      <c r="Y14" s="22">
        <v>981.25</v>
      </c>
      <c r="Z14" s="22">
        <v>765.25</v>
      </c>
      <c r="AA14" s="371">
        <v>16806.63</v>
      </c>
      <c r="AB14" s="22">
        <v>0.10391732310403691</v>
      </c>
      <c r="AC14" s="24">
        <v>0</v>
      </c>
      <c r="AD14" s="384">
        <v>0</v>
      </c>
    </row>
    <row r="15" spans="1:31">
      <c r="A15" s="21" t="s">
        <v>229</v>
      </c>
      <c r="B15" s="21" t="s">
        <v>230</v>
      </c>
      <c r="C15" s="23">
        <v>869.8</v>
      </c>
      <c r="D15" s="147">
        <v>49.6</v>
      </c>
      <c r="E15" s="22">
        <v>275.68</v>
      </c>
      <c r="F15" s="22">
        <v>325.28000000000003</v>
      </c>
      <c r="G15" s="22">
        <v>0</v>
      </c>
      <c r="H15" s="22">
        <v>62.83</v>
      </c>
      <c r="I15" s="22">
        <v>1.67</v>
      </c>
      <c r="J15" s="22">
        <v>97.78</v>
      </c>
      <c r="K15" s="22">
        <v>0</v>
      </c>
      <c r="L15" s="22">
        <v>0</v>
      </c>
      <c r="M15" s="388">
        <v>3597.84</v>
      </c>
      <c r="N15" s="25">
        <v>6.9800000000000001E-2</v>
      </c>
      <c r="O15" s="24">
        <v>0</v>
      </c>
      <c r="P15" s="24">
        <v>38.75</v>
      </c>
      <c r="Q15" s="24">
        <v>22.25</v>
      </c>
      <c r="R15" s="22">
        <v>16.5</v>
      </c>
      <c r="S15" s="24">
        <v>8</v>
      </c>
      <c r="T15" s="24">
        <f t="shared" si="3"/>
        <v>46.75</v>
      </c>
      <c r="U15" s="376">
        <v>250.77</v>
      </c>
      <c r="V15" s="376">
        <v>179.89</v>
      </c>
      <c r="W15" s="22">
        <f t="shared" si="4"/>
        <v>17.503746</v>
      </c>
      <c r="X15" s="22">
        <f t="shared" si="5"/>
        <v>422</v>
      </c>
      <c r="Y15" s="22">
        <v>281.25</v>
      </c>
      <c r="Z15" s="22">
        <v>140.75</v>
      </c>
      <c r="AA15" s="371">
        <v>3605.32</v>
      </c>
      <c r="AB15" s="22">
        <v>0.11704924944249054</v>
      </c>
      <c r="AC15" s="24">
        <v>0</v>
      </c>
      <c r="AD15" s="384">
        <v>0</v>
      </c>
    </row>
    <row r="16" spans="1:31">
      <c r="A16" s="21" t="s">
        <v>69</v>
      </c>
      <c r="B16" s="21" t="s">
        <v>70</v>
      </c>
      <c r="C16" s="23">
        <v>2923.92</v>
      </c>
      <c r="D16" s="147">
        <v>73.3</v>
      </c>
      <c r="E16" s="22">
        <v>889.14</v>
      </c>
      <c r="F16" s="22">
        <v>962.43999999999994</v>
      </c>
      <c r="G16" s="22">
        <v>0</v>
      </c>
      <c r="H16" s="22">
        <v>298.83999999999997</v>
      </c>
      <c r="I16" s="22">
        <v>5.32</v>
      </c>
      <c r="J16" s="22">
        <v>1622.42</v>
      </c>
      <c r="K16" s="22">
        <v>16.8</v>
      </c>
      <c r="L16" s="22">
        <v>0</v>
      </c>
      <c r="M16" s="388">
        <v>11744.859999999999</v>
      </c>
      <c r="N16" s="25">
        <v>0.34350000000000003</v>
      </c>
      <c r="O16" s="24">
        <v>0</v>
      </c>
      <c r="P16" s="24">
        <v>732.75</v>
      </c>
      <c r="Q16" s="24">
        <v>471</v>
      </c>
      <c r="R16" s="22">
        <v>261.75</v>
      </c>
      <c r="S16" s="24">
        <v>184.75</v>
      </c>
      <c r="T16" s="24">
        <f t="shared" si="3"/>
        <v>917.5</v>
      </c>
      <c r="U16" s="376">
        <v>4039.06</v>
      </c>
      <c r="V16" s="376">
        <v>587.24</v>
      </c>
      <c r="W16" s="22">
        <f t="shared" si="4"/>
        <v>1387.4171100000001</v>
      </c>
      <c r="X16" s="22">
        <f t="shared" si="5"/>
        <v>1568.5</v>
      </c>
      <c r="Y16" s="22">
        <v>1021.25</v>
      </c>
      <c r="Z16" s="22">
        <v>547.25</v>
      </c>
      <c r="AA16" s="371">
        <v>11855.88</v>
      </c>
      <c r="AB16" s="22">
        <v>0.13229722298133922</v>
      </c>
      <c r="AC16" s="24">
        <v>0</v>
      </c>
      <c r="AD16" s="384">
        <v>0</v>
      </c>
    </row>
    <row r="17" spans="1:30">
      <c r="A17" s="21" t="s">
        <v>199</v>
      </c>
      <c r="B17" s="21" t="s">
        <v>200</v>
      </c>
      <c r="C17" s="23">
        <v>4768.1400000000003</v>
      </c>
      <c r="D17" s="147">
        <v>248.93</v>
      </c>
      <c r="E17" s="22">
        <v>765.04</v>
      </c>
      <c r="F17" s="22">
        <v>1013.97</v>
      </c>
      <c r="G17" s="22">
        <v>0</v>
      </c>
      <c r="H17" s="22">
        <v>395.6</v>
      </c>
      <c r="I17" s="22">
        <v>44.31</v>
      </c>
      <c r="J17" s="22">
        <v>563.48</v>
      </c>
      <c r="K17" s="22">
        <v>29</v>
      </c>
      <c r="L17" s="22">
        <v>0</v>
      </c>
      <c r="M17" s="388">
        <v>18956.59</v>
      </c>
      <c r="N17" s="25">
        <v>0.1741</v>
      </c>
      <c r="O17" s="24">
        <v>434</v>
      </c>
      <c r="P17" s="24">
        <v>2968</v>
      </c>
      <c r="Q17" s="24">
        <v>2086</v>
      </c>
      <c r="R17" s="22">
        <v>882</v>
      </c>
      <c r="S17" s="24">
        <v>914</v>
      </c>
      <c r="T17" s="24">
        <f t="shared" si="3"/>
        <v>3882</v>
      </c>
      <c r="U17" s="376">
        <v>3300.34</v>
      </c>
      <c r="V17" s="376">
        <v>947.83</v>
      </c>
      <c r="W17" s="22">
        <f t="shared" si="4"/>
        <v>574.58919400000002</v>
      </c>
      <c r="X17" s="22">
        <f t="shared" si="5"/>
        <v>1605.5</v>
      </c>
      <c r="Y17" s="22">
        <v>1069.5</v>
      </c>
      <c r="Z17" s="22">
        <v>536</v>
      </c>
      <c r="AA17" s="371">
        <v>19094.22</v>
      </c>
      <c r="AB17" s="22">
        <v>8.4083036646692033E-2</v>
      </c>
      <c r="AC17" s="24">
        <v>0</v>
      </c>
      <c r="AD17" s="384">
        <v>0</v>
      </c>
    </row>
    <row r="18" spans="1:30">
      <c r="A18" s="21" t="s">
        <v>539</v>
      </c>
      <c r="B18" s="21" t="s">
        <v>540</v>
      </c>
      <c r="C18" s="23">
        <v>3066.34</v>
      </c>
      <c r="D18" s="147">
        <v>102.15</v>
      </c>
      <c r="E18" s="22">
        <v>661.27</v>
      </c>
      <c r="F18" s="22">
        <v>763.42</v>
      </c>
      <c r="G18" s="22">
        <v>0</v>
      </c>
      <c r="H18" s="22">
        <v>275.64999999999998</v>
      </c>
      <c r="I18" s="22">
        <v>26.74</v>
      </c>
      <c r="J18" s="22">
        <v>478.03</v>
      </c>
      <c r="K18" s="22">
        <v>67.75</v>
      </c>
      <c r="L18" s="22">
        <v>4.45</v>
      </c>
      <c r="M18" s="388">
        <v>11238.42</v>
      </c>
      <c r="N18" s="25">
        <v>0.38069999999999998</v>
      </c>
      <c r="O18" s="24">
        <v>1610</v>
      </c>
      <c r="P18" s="24">
        <v>769</v>
      </c>
      <c r="Q18" s="24">
        <v>476.25</v>
      </c>
      <c r="R18" s="22">
        <v>292.75</v>
      </c>
      <c r="S18" s="24">
        <v>127.75</v>
      </c>
      <c r="T18" s="24">
        <f t="shared" si="3"/>
        <v>896.75</v>
      </c>
      <c r="U18" s="376">
        <v>4278.47</v>
      </c>
      <c r="V18" s="376">
        <v>561.91999999999996</v>
      </c>
      <c r="W18" s="22">
        <f t="shared" si="4"/>
        <v>1628.813529</v>
      </c>
      <c r="X18" s="22">
        <f t="shared" si="5"/>
        <v>1627</v>
      </c>
      <c r="Y18" s="22">
        <v>1215.75</v>
      </c>
      <c r="Z18" s="22">
        <v>411.25</v>
      </c>
      <c r="AA18" s="371">
        <v>11260.28</v>
      </c>
      <c r="AB18" s="22">
        <v>0.14449019029722174</v>
      </c>
      <c r="AC18" s="24">
        <v>9.4901902972217289E-3</v>
      </c>
      <c r="AD18" s="384">
        <v>-1000076.2100095166</v>
      </c>
    </row>
    <row r="19" spans="1:30">
      <c r="A19" s="21" t="s">
        <v>5</v>
      </c>
      <c r="B19" s="21" t="s">
        <v>6</v>
      </c>
      <c r="C19" s="23">
        <v>9.8000000000000007</v>
      </c>
      <c r="D19" s="147">
        <v>0</v>
      </c>
      <c r="E19" s="22">
        <v>0</v>
      </c>
      <c r="F19" s="22">
        <v>0</v>
      </c>
      <c r="G19" s="22">
        <v>0</v>
      </c>
      <c r="H19" s="22">
        <v>0</v>
      </c>
      <c r="I19" s="22">
        <v>0</v>
      </c>
      <c r="J19" s="22">
        <v>0</v>
      </c>
      <c r="K19" s="22">
        <v>0</v>
      </c>
      <c r="L19" s="22">
        <v>0</v>
      </c>
      <c r="M19" s="388">
        <v>11.8</v>
      </c>
      <c r="N19" s="25">
        <v>0.21429999999999999</v>
      </c>
      <c r="O19" s="24">
        <v>0</v>
      </c>
      <c r="P19" s="24">
        <v>0</v>
      </c>
      <c r="Q19" s="24">
        <v>0</v>
      </c>
      <c r="R19" s="22">
        <v>0</v>
      </c>
      <c r="S19" s="24">
        <v>0</v>
      </c>
      <c r="T19" s="24">
        <f t="shared" si="3"/>
        <v>0</v>
      </c>
      <c r="U19" s="376">
        <v>0</v>
      </c>
      <c r="V19" s="376">
        <v>0.59</v>
      </c>
      <c r="W19" s="22">
        <f t="shared" si="4"/>
        <v>0</v>
      </c>
      <c r="X19" s="22">
        <f t="shared" si="5"/>
        <v>0</v>
      </c>
      <c r="Y19" s="22">
        <v>0</v>
      </c>
      <c r="Z19" s="22">
        <v>0</v>
      </c>
      <c r="AA19" s="371">
        <v>11.8</v>
      </c>
      <c r="AB19" s="22">
        <v>0</v>
      </c>
      <c r="AC19" s="24">
        <v>0</v>
      </c>
      <c r="AD19" s="384">
        <v>0</v>
      </c>
    </row>
    <row r="20" spans="1:30">
      <c r="A20" s="21" t="s">
        <v>383</v>
      </c>
      <c r="B20" s="21" t="s">
        <v>384</v>
      </c>
      <c r="C20" s="23">
        <v>5837.54</v>
      </c>
      <c r="D20" s="147">
        <v>259.69</v>
      </c>
      <c r="E20" s="22">
        <v>1014.88</v>
      </c>
      <c r="F20" s="22">
        <v>1274.57</v>
      </c>
      <c r="G20" s="22">
        <v>263.58999999999997</v>
      </c>
      <c r="H20" s="22">
        <v>283.07</v>
      </c>
      <c r="I20" s="22">
        <v>18.350000000000001</v>
      </c>
      <c r="J20" s="22">
        <v>1124.47</v>
      </c>
      <c r="K20" s="22">
        <v>231.6</v>
      </c>
      <c r="L20" s="22">
        <v>0</v>
      </c>
      <c r="M20" s="388">
        <v>20151.559999999998</v>
      </c>
      <c r="N20" s="25">
        <v>0.49569999999999997</v>
      </c>
      <c r="O20" s="24">
        <v>10200</v>
      </c>
      <c r="P20" s="24">
        <v>1233.5</v>
      </c>
      <c r="Q20" s="24">
        <v>791.75</v>
      </c>
      <c r="R20" s="22">
        <v>441.75</v>
      </c>
      <c r="S20" s="24">
        <v>208.75</v>
      </c>
      <c r="T20" s="24">
        <f t="shared" si="3"/>
        <v>1442.25</v>
      </c>
      <c r="U20" s="376">
        <v>9989.1299999999992</v>
      </c>
      <c r="V20" s="376">
        <v>1007.58</v>
      </c>
      <c r="W20" s="22">
        <f t="shared" si="4"/>
        <v>4951.6117409999997</v>
      </c>
      <c r="X20" s="22">
        <f t="shared" si="5"/>
        <v>2577.75</v>
      </c>
      <c r="Y20" s="22">
        <v>1412</v>
      </c>
      <c r="Z20" s="22">
        <v>1165.75</v>
      </c>
      <c r="AA20" s="371">
        <v>20090.669999999998</v>
      </c>
      <c r="AB20" s="22">
        <v>0.12830582553991482</v>
      </c>
      <c r="AC20" s="24">
        <v>0</v>
      </c>
      <c r="AD20" s="384">
        <v>0</v>
      </c>
    </row>
    <row r="21" spans="1:30">
      <c r="A21" s="21" t="s">
        <v>253</v>
      </c>
      <c r="B21" s="21" t="s">
        <v>254</v>
      </c>
      <c r="C21" s="23">
        <v>32.799999999999997</v>
      </c>
      <c r="D21" s="147">
        <v>0</v>
      </c>
      <c r="E21" s="22">
        <v>0</v>
      </c>
      <c r="F21" s="22">
        <v>0</v>
      </c>
      <c r="G21" s="22">
        <v>0</v>
      </c>
      <c r="H21" s="22">
        <v>0</v>
      </c>
      <c r="I21" s="22">
        <v>0</v>
      </c>
      <c r="J21" s="22">
        <v>0</v>
      </c>
      <c r="K21" s="22">
        <v>0</v>
      </c>
      <c r="L21" s="22">
        <v>0</v>
      </c>
      <c r="M21" s="388">
        <v>113.39999999999999</v>
      </c>
      <c r="N21" s="25">
        <v>0.47370000000000001</v>
      </c>
      <c r="O21" s="24">
        <v>0</v>
      </c>
      <c r="P21" s="24">
        <v>0</v>
      </c>
      <c r="Q21" s="24">
        <v>0</v>
      </c>
      <c r="R21" s="22">
        <v>0</v>
      </c>
      <c r="S21" s="24">
        <v>0</v>
      </c>
      <c r="T21" s="24">
        <f t="shared" si="3"/>
        <v>0</v>
      </c>
      <c r="U21" s="376">
        <v>0</v>
      </c>
      <c r="V21" s="376">
        <v>5.67</v>
      </c>
      <c r="W21" s="22">
        <f t="shared" si="4"/>
        <v>0</v>
      </c>
      <c r="X21" s="22">
        <f t="shared" si="5"/>
        <v>19.5</v>
      </c>
      <c r="Y21" s="22">
        <v>12.5</v>
      </c>
      <c r="Z21" s="22">
        <v>7</v>
      </c>
      <c r="AA21" s="371">
        <v>113.4</v>
      </c>
      <c r="AB21" s="22">
        <v>0.17195767195767195</v>
      </c>
      <c r="AC21" s="24">
        <v>3.6957671957671939E-2</v>
      </c>
      <c r="AD21" s="384">
        <v>-36622.88457977301</v>
      </c>
    </row>
    <row r="22" spans="1:30">
      <c r="A22" s="21" t="s">
        <v>543</v>
      </c>
      <c r="B22" s="21" t="s">
        <v>544</v>
      </c>
      <c r="C22" s="23">
        <v>620.97</v>
      </c>
      <c r="D22" s="147">
        <v>16.88</v>
      </c>
      <c r="E22" s="22">
        <v>110.88</v>
      </c>
      <c r="F22" s="22">
        <v>127.75999999999999</v>
      </c>
      <c r="G22" s="22">
        <v>0</v>
      </c>
      <c r="H22" s="22">
        <v>44.16</v>
      </c>
      <c r="I22" s="22">
        <v>5.46</v>
      </c>
      <c r="J22" s="22">
        <v>76.55</v>
      </c>
      <c r="K22" s="22">
        <v>14.49</v>
      </c>
      <c r="L22" s="22">
        <v>0.31</v>
      </c>
      <c r="M22" s="388">
        <v>2105</v>
      </c>
      <c r="N22" s="25">
        <v>0.46639999999999998</v>
      </c>
      <c r="O22" s="24">
        <v>503</v>
      </c>
      <c r="P22" s="24">
        <v>90</v>
      </c>
      <c r="Q22" s="24">
        <v>68.5</v>
      </c>
      <c r="R22" s="22">
        <v>21.5</v>
      </c>
      <c r="S22" s="24">
        <v>17.25</v>
      </c>
      <c r="T22" s="24">
        <f t="shared" si="3"/>
        <v>107.25</v>
      </c>
      <c r="U22" s="376">
        <v>981.77</v>
      </c>
      <c r="V22" s="376">
        <v>105.25</v>
      </c>
      <c r="W22" s="22">
        <f t="shared" si="4"/>
        <v>457.89752799999997</v>
      </c>
      <c r="X22" s="22">
        <f t="shared" si="5"/>
        <v>293.25</v>
      </c>
      <c r="Y22" s="22">
        <v>236</v>
      </c>
      <c r="Z22" s="22">
        <v>57.25</v>
      </c>
      <c r="AA22" s="371">
        <v>2107.79</v>
      </c>
      <c r="AB22" s="22">
        <v>0.13912676310258612</v>
      </c>
      <c r="AC22" s="24">
        <v>4.1267631025861118E-3</v>
      </c>
      <c r="AD22" s="384">
        <v>-84657.010845258934</v>
      </c>
    </row>
    <row r="23" spans="1:30">
      <c r="A23" s="21" t="s">
        <v>283</v>
      </c>
      <c r="B23" s="21" t="s">
        <v>284</v>
      </c>
      <c r="C23" s="23">
        <v>29.8</v>
      </c>
      <c r="D23" s="147">
        <v>0</v>
      </c>
      <c r="E23" s="22">
        <v>0</v>
      </c>
      <c r="F23" s="22">
        <v>0</v>
      </c>
      <c r="G23" s="22">
        <v>0</v>
      </c>
      <c r="H23" s="22">
        <v>0</v>
      </c>
      <c r="I23" s="22">
        <v>0</v>
      </c>
      <c r="J23" s="22">
        <v>0</v>
      </c>
      <c r="K23" s="22">
        <v>0</v>
      </c>
      <c r="L23" s="22">
        <v>0</v>
      </c>
      <c r="M23" s="388">
        <v>85.68</v>
      </c>
      <c r="N23" s="25">
        <v>0.52580000000000005</v>
      </c>
      <c r="O23" s="24">
        <v>88</v>
      </c>
      <c r="P23" s="24">
        <v>7</v>
      </c>
      <c r="Q23" s="24">
        <v>5</v>
      </c>
      <c r="R23" s="22">
        <v>2</v>
      </c>
      <c r="S23" s="24">
        <v>1</v>
      </c>
      <c r="T23" s="24">
        <f t="shared" si="3"/>
        <v>8</v>
      </c>
      <c r="U23" s="376">
        <v>45.05</v>
      </c>
      <c r="V23" s="376">
        <v>0</v>
      </c>
      <c r="W23" s="22">
        <f t="shared" si="4"/>
        <v>23.687290000000001</v>
      </c>
      <c r="X23" s="22">
        <f t="shared" si="5"/>
        <v>19.75</v>
      </c>
      <c r="Y23" s="22">
        <v>14.75</v>
      </c>
      <c r="Z23" s="22">
        <v>5</v>
      </c>
      <c r="AA23" s="371">
        <v>85.68</v>
      </c>
      <c r="AB23" s="22">
        <v>0.23050887021475255</v>
      </c>
      <c r="AC23" s="24">
        <v>9.5508870214752545E-2</v>
      </c>
      <c r="AD23" s="384">
        <v>-71747.618385123773</v>
      </c>
    </row>
    <row r="24" spans="1:30">
      <c r="A24" s="21" t="s">
        <v>227</v>
      </c>
      <c r="B24" s="21" t="s">
        <v>228</v>
      </c>
      <c r="C24" s="23">
        <v>1384.77</v>
      </c>
      <c r="D24" s="147">
        <v>85.98</v>
      </c>
      <c r="E24" s="22">
        <v>323.31</v>
      </c>
      <c r="F24" s="22">
        <v>409.29</v>
      </c>
      <c r="G24" s="22">
        <v>257.43</v>
      </c>
      <c r="H24" s="22">
        <v>39.36</v>
      </c>
      <c r="I24" s="22">
        <v>2.67</v>
      </c>
      <c r="J24" s="22">
        <v>311.09000000000003</v>
      </c>
      <c r="K24" s="22">
        <v>31.2</v>
      </c>
      <c r="L24" s="22">
        <v>0</v>
      </c>
      <c r="M24" s="388">
        <v>4560.8900000000003</v>
      </c>
      <c r="N24" s="25">
        <v>0.64629999999999999</v>
      </c>
      <c r="O24" s="24">
        <v>3890</v>
      </c>
      <c r="P24" s="24">
        <v>454</v>
      </c>
      <c r="Q24" s="24">
        <v>319.5</v>
      </c>
      <c r="R24" s="22">
        <v>134.5</v>
      </c>
      <c r="S24" s="24">
        <v>39.25</v>
      </c>
      <c r="T24" s="24">
        <f t="shared" si="3"/>
        <v>493.25</v>
      </c>
      <c r="U24" s="376">
        <v>2951.35</v>
      </c>
      <c r="V24" s="376">
        <v>228.04</v>
      </c>
      <c r="W24" s="22">
        <f t="shared" si="4"/>
        <v>1907.4575049999999</v>
      </c>
      <c r="X24" s="22">
        <f t="shared" si="5"/>
        <v>636.25</v>
      </c>
      <c r="Y24" s="22">
        <v>410.75</v>
      </c>
      <c r="Z24" s="22">
        <v>225.5</v>
      </c>
      <c r="AA24" s="371">
        <v>4387.3900000000003</v>
      </c>
      <c r="AB24" s="22">
        <v>0.14501788079017364</v>
      </c>
      <c r="AC24" s="24">
        <v>1.0017880790173628E-2</v>
      </c>
      <c r="AD24" s="384">
        <v>-437303.833323028</v>
      </c>
    </row>
    <row r="25" spans="1:30">
      <c r="A25" s="21" t="s">
        <v>333</v>
      </c>
      <c r="B25" s="21" t="s">
        <v>334</v>
      </c>
      <c r="C25" s="23">
        <v>290.8</v>
      </c>
      <c r="D25" s="147">
        <v>0</v>
      </c>
      <c r="E25" s="22">
        <v>91.65</v>
      </c>
      <c r="F25" s="22">
        <v>91.65</v>
      </c>
      <c r="G25" s="22">
        <v>0</v>
      </c>
      <c r="H25" s="22">
        <v>13.47</v>
      </c>
      <c r="I25" s="22">
        <v>0.97</v>
      </c>
      <c r="J25" s="22">
        <v>10.02</v>
      </c>
      <c r="K25" s="22">
        <v>0</v>
      </c>
      <c r="L25" s="22">
        <v>0</v>
      </c>
      <c r="M25" s="388">
        <v>980.34000000000015</v>
      </c>
      <c r="N25" s="25">
        <v>0.94989999999999997</v>
      </c>
      <c r="O25" s="24">
        <v>961</v>
      </c>
      <c r="P25" s="24">
        <v>324.75</v>
      </c>
      <c r="Q25" s="24">
        <v>219</v>
      </c>
      <c r="R25" s="22">
        <v>105.75</v>
      </c>
      <c r="S25" s="24">
        <v>95.75</v>
      </c>
      <c r="T25" s="24">
        <f t="shared" si="3"/>
        <v>420.5</v>
      </c>
      <c r="U25" s="376">
        <v>931.22</v>
      </c>
      <c r="V25" s="376">
        <v>49.02</v>
      </c>
      <c r="W25" s="22">
        <f t="shared" si="4"/>
        <v>884.565878</v>
      </c>
      <c r="X25" s="22">
        <f t="shared" si="5"/>
        <v>97.75</v>
      </c>
      <c r="Y25" s="22">
        <v>73.75</v>
      </c>
      <c r="Z25" s="22">
        <v>24</v>
      </c>
      <c r="AA25" s="371">
        <v>980.34</v>
      </c>
      <c r="AB25" s="22">
        <v>9.9710304588204096E-2</v>
      </c>
      <c r="AC25" s="24">
        <v>0</v>
      </c>
      <c r="AD25" s="384">
        <v>0</v>
      </c>
    </row>
    <row r="26" spans="1:30">
      <c r="A26" s="21" t="s">
        <v>91</v>
      </c>
      <c r="B26" s="21" t="s">
        <v>92</v>
      </c>
      <c r="C26" s="23">
        <v>207</v>
      </c>
      <c r="D26" s="147">
        <v>0</v>
      </c>
      <c r="E26" s="22">
        <v>28.14</v>
      </c>
      <c r="F26" s="22">
        <v>28.14</v>
      </c>
      <c r="G26" s="22">
        <v>0</v>
      </c>
      <c r="H26" s="22">
        <v>0</v>
      </c>
      <c r="I26" s="22">
        <v>0</v>
      </c>
      <c r="J26" s="22">
        <v>27.8</v>
      </c>
      <c r="K26" s="22">
        <v>0</v>
      </c>
      <c r="L26" s="22">
        <v>0</v>
      </c>
      <c r="M26" s="388">
        <v>745.77</v>
      </c>
      <c r="N26" s="25">
        <v>0.95469999999999999</v>
      </c>
      <c r="O26" s="24">
        <v>751</v>
      </c>
      <c r="P26" s="24">
        <v>352.5</v>
      </c>
      <c r="Q26" s="24">
        <v>215.25</v>
      </c>
      <c r="R26" s="22">
        <v>137.25</v>
      </c>
      <c r="S26" s="24">
        <v>34</v>
      </c>
      <c r="T26" s="24">
        <f t="shared" si="3"/>
        <v>386.5</v>
      </c>
      <c r="U26" s="376">
        <v>711.99</v>
      </c>
      <c r="V26" s="376">
        <v>37.29</v>
      </c>
      <c r="W26" s="22">
        <f t="shared" si="4"/>
        <v>679.736853</v>
      </c>
      <c r="X26" s="22">
        <f t="shared" si="5"/>
        <v>66.25</v>
      </c>
      <c r="Y26" s="22">
        <v>50.5</v>
      </c>
      <c r="Z26" s="22">
        <v>15.75</v>
      </c>
      <c r="AA26" s="371">
        <v>745.77</v>
      </c>
      <c r="AB26" s="22">
        <v>8.8834359118763154E-2</v>
      </c>
      <c r="AC26" s="24">
        <v>0</v>
      </c>
      <c r="AD26" s="384">
        <v>0</v>
      </c>
    </row>
    <row r="27" spans="1:30">
      <c r="A27" s="21" t="s">
        <v>175</v>
      </c>
      <c r="B27" s="21" t="s">
        <v>176</v>
      </c>
      <c r="C27" s="23">
        <v>29.2</v>
      </c>
      <c r="D27" s="147">
        <v>0</v>
      </c>
      <c r="E27" s="22">
        <v>0</v>
      </c>
      <c r="F27" s="22">
        <v>0</v>
      </c>
      <c r="G27" s="22">
        <v>0</v>
      </c>
      <c r="H27" s="22">
        <v>0</v>
      </c>
      <c r="I27" s="22">
        <v>0</v>
      </c>
      <c r="J27" s="22">
        <v>0.4</v>
      </c>
      <c r="K27" s="22">
        <v>0</v>
      </c>
      <c r="L27" s="22">
        <v>0</v>
      </c>
      <c r="M27" s="388">
        <v>72.800000000000011</v>
      </c>
      <c r="N27" s="25">
        <v>0.78210000000000002</v>
      </c>
      <c r="O27" s="24">
        <v>72</v>
      </c>
      <c r="P27" s="24">
        <v>0.5</v>
      </c>
      <c r="Q27" s="24">
        <v>0.5</v>
      </c>
      <c r="R27" s="22">
        <v>0</v>
      </c>
      <c r="S27" s="24">
        <v>0</v>
      </c>
      <c r="T27" s="24">
        <f t="shared" si="3"/>
        <v>0.5</v>
      </c>
      <c r="U27" s="376">
        <v>56.94</v>
      </c>
      <c r="V27" s="376">
        <v>3.64</v>
      </c>
      <c r="W27" s="22">
        <f t="shared" si="4"/>
        <v>44.532773999999996</v>
      </c>
      <c r="X27" s="22">
        <f t="shared" si="5"/>
        <v>7</v>
      </c>
      <c r="Y27" s="22">
        <v>0</v>
      </c>
      <c r="Z27" s="22">
        <v>7</v>
      </c>
      <c r="AA27" s="371">
        <v>72.8</v>
      </c>
      <c r="AB27" s="22">
        <v>9.6153846153846159E-2</v>
      </c>
      <c r="AC27" s="24">
        <v>0</v>
      </c>
      <c r="AD27" s="384">
        <v>0</v>
      </c>
    </row>
    <row r="28" spans="1:30">
      <c r="A28" s="21" t="s">
        <v>403</v>
      </c>
      <c r="B28" s="21" t="s">
        <v>404</v>
      </c>
      <c r="C28" s="23">
        <v>885.95</v>
      </c>
      <c r="D28" s="147">
        <v>81.25</v>
      </c>
      <c r="E28" s="22">
        <v>316.22000000000003</v>
      </c>
      <c r="F28" s="22">
        <v>397.47</v>
      </c>
      <c r="G28" s="22">
        <v>0</v>
      </c>
      <c r="H28" s="22">
        <v>51.27</v>
      </c>
      <c r="I28" s="22">
        <v>4.2</v>
      </c>
      <c r="J28" s="22">
        <v>21.84</v>
      </c>
      <c r="K28" s="22">
        <v>10</v>
      </c>
      <c r="L28" s="22">
        <v>0.2</v>
      </c>
      <c r="M28" s="388">
        <v>3274.7400000000002</v>
      </c>
      <c r="N28" s="25">
        <v>0.54559999999999997</v>
      </c>
      <c r="O28" s="24">
        <v>1391</v>
      </c>
      <c r="P28" s="24">
        <v>734.75</v>
      </c>
      <c r="Q28" s="24">
        <v>424</v>
      </c>
      <c r="R28" s="22">
        <v>310.75</v>
      </c>
      <c r="S28" s="24">
        <v>73.75</v>
      </c>
      <c r="T28" s="24">
        <f t="shared" si="3"/>
        <v>808.5</v>
      </c>
      <c r="U28" s="376">
        <v>1787.03</v>
      </c>
      <c r="V28" s="376">
        <v>163.74</v>
      </c>
      <c r="W28" s="22">
        <f t="shared" si="4"/>
        <v>975.00356799999997</v>
      </c>
      <c r="X28" s="22">
        <f t="shared" si="5"/>
        <v>487.25</v>
      </c>
      <c r="Y28" s="22">
        <v>350.25</v>
      </c>
      <c r="Z28" s="22">
        <v>137</v>
      </c>
      <c r="AA28" s="371">
        <v>3306.02</v>
      </c>
      <c r="AB28" s="22">
        <v>0.14738265346247148</v>
      </c>
      <c r="AC28" s="24">
        <v>1.2382653462471471E-2</v>
      </c>
      <c r="AD28" s="384">
        <v>-397700.50788328145</v>
      </c>
    </row>
    <row r="29" spans="1:30">
      <c r="A29" s="21" t="s">
        <v>67</v>
      </c>
      <c r="B29" s="21" t="s">
        <v>68</v>
      </c>
      <c r="C29" s="23">
        <v>1838.24</v>
      </c>
      <c r="D29" s="147">
        <v>34.78</v>
      </c>
      <c r="E29" s="22">
        <v>396.16</v>
      </c>
      <c r="F29" s="22">
        <v>430.94000000000005</v>
      </c>
      <c r="G29" s="22">
        <v>0</v>
      </c>
      <c r="H29" s="22">
        <v>170.96</v>
      </c>
      <c r="I29" s="22">
        <v>1.91</v>
      </c>
      <c r="J29" s="22">
        <v>120.72</v>
      </c>
      <c r="K29" s="22">
        <v>6.6</v>
      </c>
      <c r="L29" s="22">
        <v>0</v>
      </c>
      <c r="M29" s="388">
        <v>7039.41</v>
      </c>
      <c r="N29" s="25">
        <v>0.15210000000000001</v>
      </c>
      <c r="O29" s="24">
        <v>0</v>
      </c>
      <c r="P29" s="24">
        <v>187.75</v>
      </c>
      <c r="Q29" s="24">
        <v>139.75</v>
      </c>
      <c r="R29" s="22">
        <v>48</v>
      </c>
      <c r="S29" s="24">
        <v>116.5</v>
      </c>
      <c r="T29" s="24">
        <f t="shared" si="3"/>
        <v>304.25</v>
      </c>
      <c r="U29" s="376">
        <v>1069.99</v>
      </c>
      <c r="V29" s="376">
        <v>351.97</v>
      </c>
      <c r="W29" s="22">
        <f t="shared" si="4"/>
        <v>162.74547900000002</v>
      </c>
      <c r="X29" s="22">
        <f t="shared" si="5"/>
        <v>732.5</v>
      </c>
      <c r="Y29" s="22">
        <v>541.25</v>
      </c>
      <c r="Z29" s="22">
        <v>191.25</v>
      </c>
      <c r="AA29" s="371">
        <v>7095.41</v>
      </c>
      <c r="AB29" s="22">
        <v>0.10323575381831353</v>
      </c>
      <c r="AC29" s="24">
        <v>0</v>
      </c>
      <c r="AD29" s="384">
        <v>0</v>
      </c>
    </row>
    <row r="30" spans="1:30">
      <c r="A30" s="21" t="s">
        <v>49</v>
      </c>
      <c r="B30" s="21" t="s">
        <v>50</v>
      </c>
      <c r="C30" s="23">
        <v>160.79</v>
      </c>
      <c r="D30" s="147">
        <v>0</v>
      </c>
      <c r="E30" s="22">
        <v>7.62</v>
      </c>
      <c r="F30" s="22">
        <v>7.62</v>
      </c>
      <c r="G30" s="22">
        <v>0</v>
      </c>
      <c r="H30" s="22">
        <v>9.5</v>
      </c>
      <c r="I30" s="22">
        <v>0.74</v>
      </c>
      <c r="J30" s="22">
        <v>1.96</v>
      </c>
      <c r="K30" s="22">
        <v>0</v>
      </c>
      <c r="L30" s="22">
        <v>0</v>
      </c>
      <c r="M30" s="388">
        <v>483.21</v>
      </c>
      <c r="N30" s="25">
        <v>0.72089999999999999</v>
      </c>
      <c r="O30" s="24">
        <v>496</v>
      </c>
      <c r="P30" s="24">
        <v>0</v>
      </c>
      <c r="Q30" s="24">
        <v>0</v>
      </c>
      <c r="R30" s="22">
        <v>0</v>
      </c>
      <c r="S30" s="24">
        <v>0</v>
      </c>
      <c r="T30" s="24">
        <f t="shared" si="3"/>
        <v>0</v>
      </c>
      <c r="U30" s="376">
        <v>348.35</v>
      </c>
      <c r="V30" s="376">
        <v>0</v>
      </c>
      <c r="W30" s="22">
        <f t="shared" si="4"/>
        <v>251.12551500000001</v>
      </c>
      <c r="X30" s="22">
        <f t="shared" si="5"/>
        <v>72</v>
      </c>
      <c r="Y30" s="22">
        <v>52</v>
      </c>
      <c r="Z30" s="22">
        <v>20</v>
      </c>
      <c r="AA30" s="371">
        <v>483.21</v>
      </c>
      <c r="AB30" s="22">
        <v>0.14900353883404732</v>
      </c>
      <c r="AC30" s="24">
        <v>1.4003538834047313E-2</v>
      </c>
      <c r="AD30" s="384">
        <v>-59801.55585500053</v>
      </c>
    </row>
    <row r="31" spans="1:30">
      <c r="A31" s="21" t="s">
        <v>367</v>
      </c>
      <c r="B31" s="21" t="s">
        <v>368</v>
      </c>
      <c r="C31" s="23">
        <v>78.2</v>
      </c>
      <c r="D31" s="147">
        <v>0</v>
      </c>
      <c r="E31" s="22">
        <v>0</v>
      </c>
      <c r="F31" s="22">
        <v>0</v>
      </c>
      <c r="G31" s="22">
        <v>0</v>
      </c>
      <c r="H31" s="22">
        <v>0</v>
      </c>
      <c r="I31" s="22">
        <v>0</v>
      </c>
      <c r="J31" s="22">
        <v>0</v>
      </c>
      <c r="K31" s="22">
        <v>0</v>
      </c>
      <c r="L31" s="22">
        <v>0</v>
      </c>
      <c r="M31" s="388">
        <v>177.76000000000002</v>
      </c>
      <c r="N31" s="25">
        <v>0.3034</v>
      </c>
      <c r="O31" s="24">
        <v>0</v>
      </c>
      <c r="P31" s="24">
        <v>0</v>
      </c>
      <c r="Q31" s="24">
        <v>0</v>
      </c>
      <c r="R31" s="22">
        <v>0</v>
      </c>
      <c r="S31" s="24">
        <v>0</v>
      </c>
      <c r="T31" s="24">
        <f t="shared" si="3"/>
        <v>0</v>
      </c>
      <c r="U31" s="376">
        <v>53.93</v>
      </c>
      <c r="V31" s="376">
        <v>8.89</v>
      </c>
      <c r="W31" s="22">
        <f t="shared" si="4"/>
        <v>16.362362000000001</v>
      </c>
      <c r="X31" s="22">
        <f t="shared" si="5"/>
        <v>25.5</v>
      </c>
      <c r="Y31" s="22">
        <v>22.75</v>
      </c>
      <c r="Z31" s="22">
        <v>2.75</v>
      </c>
      <c r="AA31" s="371">
        <v>178.76</v>
      </c>
      <c r="AB31" s="22">
        <v>0.14264936227343925</v>
      </c>
      <c r="AC31" s="24">
        <v>7.6493622734392364E-3</v>
      </c>
      <c r="AD31" s="384">
        <v>-13162.29627455984</v>
      </c>
    </row>
    <row r="32" spans="1:30">
      <c r="A32" s="21" t="s">
        <v>1226</v>
      </c>
      <c r="B32" s="21" t="s">
        <v>1227</v>
      </c>
      <c r="C32" s="23">
        <v>0</v>
      </c>
      <c r="D32" s="147">
        <v>0</v>
      </c>
      <c r="E32" s="22">
        <v>0</v>
      </c>
      <c r="F32" s="22">
        <v>0</v>
      </c>
      <c r="G32" s="22">
        <v>0</v>
      </c>
      <c r="H32" s="22">
        <v>0</v>
      </c>
      <c r="I32" s="22">
        <v>0</v>
      </c>
      <c r="J32" s="22">
        <v>0</v>
      </c>
      <c r="K32" s="22">
        <v>0</v>
      </c>
      <c r="L32" s="22">
        <v>0</v>
      </c>
      <c r="M32" s="388">
        <v>104</v>
      </c>
      <c r="N32" s="25">
        <v>0.68630000000000002</v>
      </c>
      <c r="O32" s="24">
        <v>102</v>
      </c>
      <c r="P32" s="24">
        <v>4.99</v>
      </c>
      <c r="Q32" s="24">
        <v>0</v>
      </c>
      <c r="R32" s="22">
        <v>4.99</v>
      </c>
      <c r="S32" s="24">
        <v>6.76</v>
      </c>
      <c r="T32" s="24">
        <f t="shared" si="3"/>
        <v>11.75</v>
      </c>
      <c r="U32" s="376">
        <v>70.36</v>
      </c>
      <c r="V32" s="376">
        <v>0</v>
      </c>
      <c r="W32" s="22">
        <f t="shared" si="4"/>
        <v>48.288068000000003</v>
      </c>
      <c r="X32" s="22">
        <f t="shared" si="5"/>
        <v>19</v>
      </c>
      <c r="Y32" s="22">
        <v>19</v>
      </c>
      <c r="Z32" s="22">
        <v>0</v>
      </c>
      <c r="AA32" s="371">
        <v>104</v>
      </c>
      <c r="AB32" s="22">
        <v>0.18269230769230768</v>
      </c>
      <c r="AC32" s="24">
        <v>4.7692307692307673E-2</v>
      </c>
      <c r="AD32" s="384">
        <v>-46424.224963958513</v>
      </c>
    </row>
    <row r="33" spans="1:30">
      <c r="A33" s="21" t="s">
        <v>39</v>
      </c>
      <c r="B33" s="21" t="s">
        <v>40</v>
      </c>
      <c r="C33" s="23">
        <v>328.8</v>
      </c>
      <c r="D33" s="147">
        <v>44.46</v>
      </c>
      <c r="E33" s="22">
        <v>130.35</v>
      </c>
      <c r="F33" s="22">
        <v>174.81</v>
      </c>
      <c r="G33" s="22">
        <v>0</v>
      </c>
      <c r="H33" s="22">
        <v>29.82</v>
      </c>
      <c r="I33" s="22">
        <v>0.75</v>
      </c>
      <c r="J33" s="22">
        <v>61.67</v>
      </c>
      <c r="K33" s="22">
        <v>0</v>
      </c>
      <c r="L33" s="22">
        <v>0</v>
      </c>
      <c r="M33" s="388">
        <v>1235.76</v>
      </c>
      <c r="N33" s="25">
        <v>0.40339999999999998</v>
      </c>
      <c r="O33" s="24">
        <v>18</v>
      </c>
      <c r="P33" s="24">
        <v>135.5</v>
      </c>
      <c r="Q33" s="24">
        <v>89</v>
      </c>
      <c r="R33" s="22">
        <v>46.5</v>
      </c>
      <c r="S33" s="24">
        <v>51</v>
      </c>
      <c r="T33" s="24">
        <f t="shared" si="3"/>
        <v>186.5</v>
      </c>
      <c r="U33" s="376">
        <v>498.51</v>
      </c>
      <c r="V33" s="376">
        <v>0</v>
      </c>
      <c r="W33" s="22">
        <f t="shared" si="4"/>
        <v>201.09893399999999</v>
      </c>
      <c r="X33" s="22">
        <f t="shared" si="5"/>
        <v>110.75</v>
      </c>
      <c r="Y33" s="22">
        <v>71</v>
      </c>
      <c r="Z33" s="22">
        <v>39.75</v>
      </c>
      <c r="AA33" s="371">
        <v>1237.5899999999999</v>
      </c>
      <c r="AB33" s="22">
        <v>8.9488441244677155E-2</v>
      </c>
      <c r="AC33" s="24">
        <v>0</v>
      </c>
      <c r="AD33" s="384">
        <v>0</v>
      </c>
    </row>
    <row r="34" spans="1:30">
      <c r="A34" s="21" t="s">
        <v>37</v>
      </c>
      <c r="B34" s="21" t="s">
        <v>38</v>
      </c>
      <c r="C34" s="23">
        <v>469.51</v>
      </c>
      <c r="D34" s="147">
        <v>54.57</v>
      </c>
      <c r="E34" s="22">
        <v>124.28</v>
      </c>
      <c r="F34" s="22">
        <v>178.85</v>
      </c>
      <c r="G34" s="22">
        <v>0</v>
      </c>
      <c r="H34" s="22">
        <v>34.67</v>
      </c>
      <c r="I34" s="22">
        <v>1.3</v>
      </c>
      <c r="J34" s="22">
        <v>0</v>
      </c>
      <c r="K34" s="22">
        <v>0</v>
      </c>
      <c r="L34" s="22">
        <v>0</v>
      </c>
      <c r="M34" s="388">
        <v>1567.21</v>
      </c>
      <c r="N34" s="25">
        <v>0.4365</v>
      </c>
      <c r="O34" s="24">
        <v>0</v>
      </c>
      <c r="P34" s="24">
        <v>186</v>
      </c>
      <c r="Q34" s="24">
        <v>152.25</v>
      </c>
      <c r="R34" s="22">
        <v>33.75</v>
      </c>
      <c r="S34" s="24">
        <v>65.5</v>
      </c>
      <c r="T34" s="24">
        <f t="shared" si="3"/>
        <v>251.5</v>
      </c>
      <c r="U34" s="376">
        <v>684.09</v>
      </c>
      <c r="V34" s="376">
        <v>78.36</v>
      </c>
      <c r="W34" s="22">
        <f t="shared" si="4"/>
        <v>298.60528500000004</v>
      </c>
      <c r="X34" s="22">
        <f t="shared" si="5"/>
        <v>185</v>
      </c>
      <c r="Y34" s="22">
        <v>159</v>
      </c>
      <c r="Z34" s="22">
        <v>26</v>
      </c>
      <c r="AA34" s="371">
        <v>1578.32</v>
      </c>
      <c r="AB34" s="22">
        <v>0.11721323939378581</v>
      </c>
      <c r="AC34" s="24">
        <v>0</v>
      </c>
      <c r="AD34" s="384">
        <v>0</v>
      </c>
    </row>
    <row r="35" spans="1:30">
      <c r="A35" s="21" t="s">
        <v>81</v>
      </c>
      <c r="B35" s="21" t="s">
        <v>82</v>
      </c>
      <c r="C35" s="23">
        <v>416.7</v>
      </c>
      <c r="D35" s="147">
        <v>5.44</v>
      </c>
      <c r="E35" s="22">
        <v>70.650000000000006</v>
      </c>
      <c r="F35" s="22">
        <v>76.09</v>
      </c>
      <c r="G35" s="22">
        <v>0</v>
      </c>
      <c r="H35" s="22">
        <v>23.14</v>
      </c>
      <c r="I35" s="22">
        <v>2.37</v>
      </c>
      <c r="J35" s="22">
        <v>46.43</v>
      </c>
      <c r="K35" s="22">
        <v>0</v>
      </c>
      <c r="L35" s="22">
        <v>0</v>
      </c>
      <c r="M35" s="388">
        <v>1405.16</v>
      </c>
      <c r="N35" s="25">
        <v>0.52590000000000003</v>
      </c>
      <c r="O35" s="24">
        <v>576</v>
      </c>
      <c r="P35" s="24">
        <v>20.25</v>
      </c>
      <c r="Q35" s="24">
        <v>10.25</v>
      </c>
      <c r="R35" s="22">
        <v>10</v>
      </c>
      <c r="S35" s="24">
        <v>3</v>
      </c>
      <c r="T35" s="24">
        <f t="shared" si="3"/>
        <v>23.25</v>
      </c>
      <c r="U35" s="376">
        <v>738.97</v>
      </c>
      <c r="V35" s="376">
        <v>70.260000000000005</v>
      </c>
      <c r="W35" s="22">
        <f t="shared" si="4"/>
        <v>388.62432300000006</v>
      </c>
      <c r="X35" s="22">
        <f t="shared" si="5"/>
        <v>231.75</v>
      </c>
      <c r="Y35" s="22">
        <v>146.5</v>
      </c>
      <c r="Z35" s="22">
        <v>85.25</v>
      </c>
      <c r="AA35" s="371">
        <v>1408.8</v>
      </c>
      <c r="AB35" s="22">
        <v>0.16450170357751279</v>
      </c>
      <c r="AC35" s="24">
        <v>2.9501703577512778E-2</v>
      </c>
      <c r="AD35" s="384">
        <v>-364599.00761114532</v>
      </c>
    </row>
    <row r="36" spans="1:30">
      <c r="A36" s="21" t="s">
        <v>1228</v>
      </c>
      <c r="B36" s="21" t="s">
        <v>1229</v>
      </c>
      <c r="C36" s="23">
        <v>198.2</v>
      </c>
      <c r="D36" s="147">
        <v>0</v>
      </c>
      <c r="E36" s="22">
        <v>0</v>
      </c>
      <c r="F36" s="22">
        <v>0</v>
      </c>
      <c r="G36" s="22">
        <v>0</v>
      </c>
      <c r="H36" s="22">
        <v>0</v>
      </c>
      <c r="I36" s="22">
        <v>0</v>
      </c>
      <c r="J36" s="22">
        <v>0</v>
      </c>
      <c r="K36" s="22">
        <v>0</v>
      </c>
      <c r="L36" s="22">
        <v>0</v>
      </c>
      <c r="M36" s="388">
        <v>301.39999999999998</v>
      </c>
      <c r="N36" s="25">
        <v>0.51339999999999997</v>
      </c>
      <c r="O36" s="24">
        <v>0</v>
      </c>
      <c r="P36" s="24">
        <v>1</v>
      </c>
      <c r="Q36" s="24">
        <v>0</v>
      </c>
      <c r="R36" s="22">
        <v>1</v>
      </c>
      <c r="S36" s="24">
        <v>0</v>
      </c>
      <c r="T36" s="24">
        <f t="shared" si="3"/>
        <v>1</v>
      </c>
      <c r="U36" s="376">
        <v>154.74</v>
      </c>
      <c r="V36" s="376">
        <v>15.07</v>
      </c>
      <c r="W36" s="22">
        <f t="shared" si="4"/>
        <v>79.443516000000002</v>
      </c>
      <c r="X36" s="22">
        <f t="shared" si="5"/>
        <v>29.5</v>
      </c>
      <c r="Y36" s="22">
        <v>28.75</v>
      </c>
      <c r="Z36" s="22">
        <v>0.75</v>
      </c>
      <c r="AA36" s="371">
        <v>301.39999999999998</v>
      </c>
      <c r="AB36" s="22">
        <v>9.787657597876577E-2</v>
      </c>
      <c r="AC36" s="24">
        <v>0</v>
      </c>
      <c r="AD36" s="384">
        <v>0</v>
      </c>
    </row>
    <row r="37" spans="1:30">
      <c r="A37" s="21" t="s">
        <v>255</v>
      </c>
      <c r="B37" s="21" t="s">
        <v>256</v>
      </c>
      <c r="C37" s="23">
        <v>42</v>
      </c>
      <c r="D37" s="147">
        <v>0</v>
      </c>
      <c r="E37" s="22">
        <v>0</v>
      </c>
      <c r="F37" s="22">
        <v>0</v>
      </c>
      <c r="G37" s="22">
        <v>0</v>
      </c>
      <c r="H37" s="22">
        <v>0</v>
      </c>
      <c r="I37" s="22">
        <v>0</v>
      </c>
      <c r="J37" s="22">
        <v>0</v>
      </c>
      <c r="K37" s="22">
        <v>0</v>
      </c>
      <c r="L37" s="22">
        <v>0</v>
      </c>
      <c r="M37" s="388">
        <v>86.8</v>
      </c>
      <c r="N37" s="25">
        <v>0.33329999999999999</v>
      </c>
      <c r="O37" s="24">
        <v>0</v>
      </c>
      <c r="P37" s="24">
        <v>0</v>
      </c>
      <c r="Q37" s="24">
        <v>0</v>
      </c>
      <c r="R37" s="22">
        <v>0</v>
      </c>
      <c r="S37" s="24">
        <v>0</v>
      </c>
      <c r="T37" s="24">
        <f t="shared" si="3"/>
        <v>0</v>
      </c>
      <c r="U37" s="376">
        <v>28.93</v>
      </c>
      <c r="V37" s="376">
        <v>0</v>
      </c>
      <c r="W37" s="22">
        <f t="shared" si="4"/>
        <v>9.6423689999999986</v>
      </c>
      <c r="X37" s="22">
        <f t="shared" si="5"/>
        <v>7.75</v>
      </c>
      <c r="Y37" s="22">
        <v>7</v>
      </c>
      <c r="Z37" s="22">
        <v>0.75</v>
      </c>
      <c r="AA37" s="371">
        <v>86.8</v>
      </c>
      <c r="AB37" s="22">
        <v>8.9285714285714288E-2</v>
      </c>
      <c r="AC37" s="24">
        <v>0</v>
      </c>
      <c r="AD37" s="384">
        <v>0</v>
      </c>
    </row>
    <row r="38" spans="1:30">
      <c r="A38" s="21" t="s">
        <v>233</v>
      </c>
      <c r="B38" s="21" t="s">
        <v>234</v>
      </c>
      <c r="C38" s="23">
        <v>3116.95</v>
      </c>
      <c r="D38" s="147">
        <v>113.01</v>
      </c>
      <c r="E38" s="22">
        <v>662.91</v>
      </c>
      <c r="F38" s="22">
        <v>775.92</v>
      </c>
      <c r="G38" s="22">
        <v>0</v>
      </c>
      <c r="H38" s="22">
        <v>272.89</v>
      </c>
      <c r="I38" s="22">
        <v>10.93</v>
      </c>
      <c r="J38" s="22">
        <v>686.12</v>
      </c>
      <c r="K38" s="22">
        <v>0</v>
      </c>
      <c r="L38" s="22">
        <v>0</v>
      </c>
      <c r="M38" s="388">
        <v>11134.289999999999</v>
      </c>
      <c r="N38" s="25">
        <v>0.38040000000000002</v>
      </c>
      <c r="O38" s="24">
        <v>1016</v>
      </c>
      <c r="P38" s="24">
        <v>410.5</v>
      </c>
      <c r="Q38" s="24">
        <v>235</v>
      </c>
      <c r="R38" s="22">
        <v>175.5</v>
      </c>
      <c r="S38" s="24">
        <v>74.25</v>
      </c>
      <c r="T38" s="24">
        <f t="shared" si="3"/>
        <v>484.75</v>
      </c>
      <c r="U38" s="376">
        <v>4235.4799999999996</v>
      </c>
      <c r="V38" s="376">
        <v>556.71</v>
      </c>
      <c r="W38" s="22">
        <f t="shared" si="4"/>
        <v>1611.1765919999998</v>
      </c>
      <c r="X38" s="22">
        <f t="shared" si="5"/>
        <v>1497.75</v>
      </c>
      <c r="Y38" s="22">
        <v>959</v>
      </c>
      <c r="Z38" s="22">
        <v>538.75</v>
      </c>
      <c r="AA38" s="371">
        <v>11101.92</v>
      </c>
      <c r="AB38" s="22">
        <v>0.134909096804877</v>
      </c>
      <c r="AC38" s="24">
        <v>0</v>
      </c>
      <c r="AD38" s="384">
        <v>0</v>
      </c>
    </row>
    <row r="39" spans="1:30">
      <c r="A39" s="21" t="s">
        <v>463</v>
      </c>
      <c r="B39" s="21" t="s">
        <v>464</v>
      </c>
      <c r="C39" s="23">
        <v>4166.8999999999996</v>
      </c>
      <c r="D39" s="147">
        <v>54.24</v>
      </c>
      <c r="E39" s="22">
        <v>638.70000000000005</v>
      </c>
      <c r="F39" s="22">
        <v>692.94</v>
      </c>
      <c r="G39" s="22">
        <v>52.27</v>
      </c>
      <c r="H39" s="22">
        <v>273.26</v>
      </c>
      <c r="I39" s="22">
        <v>10.78</v>
      </c>
      <c r="J39" s="22">
        <v>228</v>
      </c>
      <c r="K39" s="22">
        <v>91.8</v>
      </c>
      <c r="L39" s="22">
        <v>0</v>
      </c>
      <c r="M39" s="388">
        <v>14077.22</v>
      </c>
      <c r="N39" s="25">
        <v>0.38200000000000001</v>
      </c>
      <c r="O39" s="24">
        <v>3430</v>
      </c>
      <c r="P39" s="24">
        <v>476</v>
      </c>
      <c r="Q39" s="24">
        <v>288.75</v>
      </c>
      <c r="R39" s="22">
        <v>187.25</v>
      </c>
      <c r="S39" s="24">
        <v>96.25</v>
      </c>
      <c r="T39" s="24">
        <f t="shared" si="3"/>
        <v>572.25</v>
      </c>
      <c r="U39" s="376">
        <v>5377.5</v>
      </c>
      <c r="V39" s="376">
        <v>703.86</v>
      </c>
      <c r="W39" s="22">
        <f t="shared" si="4"/>
        <v>2054.2049999999999</v>
      </c>
      <c r="X39" s="22">
        <f t="shared" si="5"/>
        <v>2012</v>
      </c>
      <c r="Y39" s="22">
        <v>915.25</v>
      </c>
      <c r="Z39" s="22">
        <v>1096.75</v>
      </c>
      <c r="AA39" s="371">
        <v>14268.61</v>
      </c>
      <c r="AB39" s="22">
        <v>0.14100882987200575</v>
      </c>
      <c r="AC39" s="24">
        <v>6.0088298720057387E-3</v>
      </c>
      <c r="AD39" s="384">
        <v>-749374.27536408417</v>
      </c>
    </row>
    <row r="40" spans="1:30">
      <c r="A40" s="21" t="s">
        <v>295</v>
      </c>
      <c r="B40" s="21" t="s">
        <v>296</v>
      </c>
      <c r="C40" s="23">
        <v>1046.33</v>
      </c>
      <c r="D40" s="147">
        <v>48.87</v>
      </c>
      <c r="E40" s="22">
        <v>228.67</v>
      </c>
      <c r="F40" s="22">
        <v>277.53999999999996</v>
      </c>
      <c r="G40" s="22">
        <v>0</v>
      </c>
      <c r="H40" s="22">
        <v>52.42</v>
      </c>
      <c r="I40" s="22">
        <v>7.57</v>
      </c>
      <c r="J40" s="22">
        <v>52.77</v>
      </c>
      <c r="K40" s="22">
        <v>8.6</v>
      </c>
      <c r="L40" s="22">
        <v>0</v>
      </c>
      <c r="M40" s="388">
        <v>3375.91</v>
      </c>
      <c r="N40" s="25">
        <v>0.80730000000000002</v>
      </c>
      <c r="O40" s="24">
        <v>3285</v>
      </c>
      <c r="P40" s="24">
        <v>482.5</v>
      </c>
      <c r="Q40" s="24">
        <v>312.5</v>
      </c>
      <c r="R40" s="22">
        <v>170</v>
      </c>
      <c r="S40" s="24">
        <v>67</v>
      </c>
      <c r="T40" s="24">
        <f t="shared" si="3"/>
        <v>549.5</v>
      </c>
      <c r="U40" s="376">
        <v>2725.03</v>
      </c>
      <c r="V40" s="376">
        <v>168.8</v>
      </c>
      <c r="W40" s="22">
        <f t="shared" si="4"/>
        <v>2199.9167190000003</v>
      </c>
      <c r="X40" s="22">
        <f t="shared" si="5"/>
        <v>465.75</v>
      </c>
      <c r="Y40" s="22">
        <v>271.25</v>
      </c>
      <c r="Z40" s="22">
        <v>194.5</v>
      </c>
      <c r="AA40" s="371">
        <v>3390.27</v>
      </c>
      <c r="AB40" s="22">
        <v>0.1373784388853985</v>
      </c>
      <c r="AC40" s="24">
        <v>2.3784388853984872E-3</v>
      </c>
      <c r="AD40" s="384">
        <v>-70799.244817219223</v>
      </c>
    </row>
    <row r="41" spans="1:30">
      <c r="A41" s="21" t="s">
        <v>291</v>
      </c>
      <c r="B41" s="21" t="s">
        <v>292</v>
      </c>
      <c r="C41" s="23">
        <v>806.21</v>
      </c>
      <c r="D41" s="147">
        <v>0</v>
      </c>
      <c r="E41" s="22">
        <v>171.26</v>
      </c>
      <c r="F41" s="22">
        <v>171.26</v>
      </c>
      <c r="G41" s="22">
        <v>0</v>
      </c>
      <c r="H41" s="22">
        <v>75.150000000000006</v>
      </c>
      <c r="I41" s="22">
        <v>7.15</v>
      </c>
      <c r="J41" s="22">
        <v>25.77</v>
      </c>
      <c r="K41" s="22">
        <v>5.4</v>
      </c>
      <c r="L41" s="22">
        <v>0</v>
      </c>
      <c r="M41" s="388">
        <v>2845.2100000000009</v>
      </c>
      <c r="N41" s="25">
        <v>0.46789999999999998</v>
      </c>
      <c r="O41" s="24">
        <v>1251</v>
      </c>
      <c r="P41" s="24">
        <v>108.5</v>
      </c>
      <c r="Q41" s="24">
        <v>56.25</v>
      </c>
      <c r="R41" s="22">
        <v>52.25</v>
      </c>
      <c r="S41" s="24">
        <v>16</v>
      </c>
      <c r="T41" s="24">
        <f t="shared" si="3"/>
        <v>124.5</v>
      </c>
      <c r="U41" s="376">
        <v>1331.27</v>
      </c>
      <c r="V41" s="376">
        <v>142.26</v>
      </c>
      <c r="W41" s="22">
        <f t="shared" si="4"/>
        <v>622.90123299999993</v>
      </c>
      <c r="X41" s="22">
        <f t="shared" si="5"/>
        <v>388.5</v>
      </c>
      <c r="Y41" s="22">
        <v>210.25</v>
      </c>
      <c r="Z41" s="22">
        <v>178.25</v>
      </c>
      <c r="AA41" s="371">
        <v>2850.93</v>
      </c>
      <c r="AB41" s="22">
        <v>0.13627132198966654</v>
      </c>
      <c r="AC41" s="24">
        <v>1.2713219896665351E-3</v>
      </c>
      <c r="AD41" s="384">
        <v>-32310.670892935945</v>
      </c>
    </row>
    <row r="42" spans="1:30">
      <c r="A42" s="21" t="s">
        <v>467</v>
      </c>
      <c r="B42" s="21" t="s">
        <v>468</v>
      </c>
      <c r="C42" s="23">
        <v>1515.2</v>
      </c>
      <c r="D42" s="147">
        <v>97.13</v>
      </c>
      <c r="E42" s="22">
        <v>400.93</v>
      </c>
      <c r="F42" s="22">
        <v>498.06</v>
      </c>
      <c r="G42" s="22">
        <v>0</v>
      </c>
      <c r="H42" s="22">
        <v>98.97</v>
      </c>
      <c r="I42" s="22">
        <v>2.41</v>
      </c>
      <c r="J42" s="22">
        <v>311.99</v>
      </c>
      <c r="K42" s="22">
        <v>8.16</v>
      </c>
      <c r="L42" s="22">
        <v>1</v>
      </c>
      <c r="M42" s="388">
        <v>5158.13</v>
      </c>
      <c r="N42" s="25">
        <v>0.49630000000000002</v>
      </c>
      <c r="O42" s="24">
        <v>1507</v>
      </c>
      <c r="P42" s="24">
        <v>238.25</v>
      </c>
      <c r="Q42" s="24">
        <v>168.75</v>
      </c>
      <c r="R42" s="22">
        <v>69.5</v>
      </c>
      <c r="S42" s="24">
        <v>41.25</v>
      </c>
      <c r="T42" s="24">
        <f t="shared" si="3"/>
        <v>279.5</v>
      </c>
      <c r="U42" s="376">
        <v>2559.98</v>
      </c>
      <c r="V42" s="376">
        <v>257.91000000000003</v>
      </c>
      <c r="W42" s="22">
        <f t="shared" si="4"/>
        <v>1270.5180740000001</v>
      </c>
      <c r="X42" s="22">
        <f t="shared" si="5"/>
        <v>804.75</v>
      </c>
      <c r="Y42" s="22">
        <v>600.75</v>
      </c>
      <c r="Z42" s="22">
        <v>204</v>
      </c>
      <c r="AA42" s="371">
        <v>5179.01</v>
      </c>
      <c r="AB42" s="22">
        <v>0.15538684034207309</v>
      </c>
      <c r="AC42" s="24">
        <v>2.0386840342073081E-2</v>
      </c>
      <c r="AD42" s="384">
        <v>-925991.89723034168</v>
      </c>
    </row>
    <row r="43" spans="1:30">
      <c r="A43" s="21" t="s">
        <v>485</v>
      </c>
      <c r="B43" s="21" t="s">
        <v>486</v>
      </c>
      <c r="C43" s="23">
        <v>185</v>
      </c>
      <c r="D43" s="147">
        <v>10.06</v>
      </c>
      <c r="E43" s="22">
        <v>60.72</v>
      </c>
      <c r="F43" s="22">
        <v>70.78</v>
      </c>
      <c r="G43" s="22">
        <v>0</v>
      </c>
      <c r="H43" s="22">
        <v>23.68</v>
      </c>
      <c r="I43" s="22">
        <v>0.46</v>
      </c>
      <c r="J43" s="22">
        <v>118.30000000000001</v>
      </c>
      <c r="K43" s="22">
        <v>14.4</v>
      </c>
      <c r="L43" s="22">
        <v>0</v>
      </c>
      <c r="M43" s="388">
        <v>766.06000000000006</v>
      </c>
      <c r="N43" s="25">
        <v>0.58360000000000001</v>
      </c>
      <c r="O43" s="24">
        <v>754</v>
      </c>
      <c r="P43" s="24">
        <v>1</v>
      </c>
      <c r="Q43" s="24">
        <v>0</v>
      </c>
      <c r="R43" s="22">
        <v>1</v>
      </c>
      <c r="S43" s="24">
        <v>0</v>
      </c>
      <c r="T43" s="24">
        <f t="shared" si="3"/>
        <v>1</v>
      </c>
      <c r="U43" s="376">
        <v>446.15</v>
      </c>
      <c r="V43" s="376">
        <v>38.299999999999997</v>
      </c>
      <c r="W43" s="22">
        <f t="shared" si="4"/>
        <v>260.37313999999998</v>
      </c>
      <c r="X43" s="22">
        <f t="shared" si="5"/>
        <v>132.75</v>
      </c>
      <c r="Y43" s="22">
        <v>91.25</v>
      </c>
      <c r="Z43" s="22">
        <v>41.5</v>
      </c>
      <c r="AA43" s="371">
        <v>766.06</v>
      </c>
      <c r="AB43" s="22">
        <v>0.17328929848836908</v>
      </c>
      <c r="AC43" s="24">
        <v>3.8289298488369067E-2</v>
      </c>
      <c r="AD43" s="384">
        <v>-254753.23095605348</v>
      </c>
    </row>
    <row r="44" spans="1:30">
      <c r="A44" s="21" t="s">
        <v>1038</v>
      </c>
      <c r="B44" s="21" t="s">
        <v>1043</v>
      </c>
      <c r="C44" s="23">
        <v>172.2</v>
      </c>
      <c r="D44" s="147">
        <v>0</v>
      </c>
      <c r="E44" s="22">
        <v>28.78</v>
      </c>
      <c r="F44" s="22">
        <v>28.78</v>
      </c>
      <c r="G44" s="22">
        <v>0</v>
      </c>
      <c r="H44" s="22">
        <v>0.85</v>
      </c>
      <c r="I44" s="22">
        <v>0</v>
      </c>
      <c r="J44" s="22">
        <v>0</v>
      </c>
      <c r="K44" s="22">
        <v>0</v>
      </c>
      <c r="L44" s="22">
        <v>0</v>
      </c>
      <c r="M44" s="388">
        <v>580.26</v>
      </c>
      <c r="N44" s="25">
        <v>0.52859999999999996</v>
      </c>
      <c r="O44" s="24">
        <v>594</v>
      </c>
      <c r="P44" s="24">
        <v>0</v>
      </c>
      <c r="Q44" s="24">
        <v>0</v>
      </c>
      <c r="R44" s="22">
        <v>0</v>
      </c>
      <c r="S44" s="24">
        <v>0</v>
      </c>
      <c r="T44" s="24">
        <f t="shared" si="3"/>
        <v>0</v>
      </c>
      <c r="U44" s="376">
        <v>307.70999999999998</v>
      </c>
      <c r="V44" s="376">
        <v>0</v>
      </c>
      <c r="W44" s="22">
        <f t="shared" si="4"/>
        <v>162.65550599999997</v>
      </c>
      <c r="X44" s="22">
        <f t="shared" si="5"/>
        <v>0</v>
      </c>
      <c r="Y44" s="22">
        <v>0</v>
      </c>
      <c r="Z44" s="22">
        <v>0</v>
      </c>
      <c r="AA44" s="371">
        <v>580.25</v>
      </c>
      <c r="AB44" s="22">
        <v>0</v>
      </c>
      <c r="AC44" s="24">
        <v>0</v>
      </c>
      <c r="AD44" s="384">
        <v>0</v>
      </c>
    </row>
    <row r="45" spans="1:30">
      <c r="A45" s="21" t="s">
        <v>179</v>
      </c>
      <c r="B45" s="21" t="s">
        <v>180</v>
      </c>
      <c r="C45" s="23">
        <v>178.4</v>
      </c>
      <c r="D45" s="147">
        <v>0</v>
      </c>
      <c r="E45" s="22">
        <v>13.75</v>
      </c>
      <c r="F45" s="22">
        <v>13.75</v>
      </c>
      <c r="G45" s="22">
        <v>0</v>
      </c>
      <c r="H45" s="22">
        <v>9.02</v>
      </c>
      <c r="I45" s="22">
        <v>1.03</v>
      </c>
      <c r="J45" s="22">
        <v>79.349999999999994</v>
      </c>
      <c r="K45" s="22">
        <v>0</v>
      </c>
      <c r="L45" s="22">
        <v>0</v>
      </c>
      <c r="M45" s="388">
        <v>672.93999999999994</v>
      </c>
      <c r="N45" s="25">
        <v>0.51580000000000004</v>
      </c>
      <c r="O45" s="24">
        <v>327</v>
      </c>
      <c r="P45" s="24">
        <v>17.25</v>
      </c>
      <c r="Q45" s="24">
        <v>16.75</v>
      </c>
      <c r="R45" s="22">
        <v>0.5</v>
      </c>
      <c r="S45" s="24">
        <v>1.75</v>
      </c>
      <c r="T45" s="24">
        <f t="shared" si="3"/>
        <v>19</v>
      </c>
      <c r="U45" s="376">
        <v>347.57</v>
      </c>
      <c r="V45" s="376">
        <v>0</v>
      </c>
      <c r="W45" s="22">
        <f t="shared" si="4"/>
        <v>179.27660600000002</v>
      </c>
      <c r="X45" s="22">
        <f t="shared" si="5"/>
        <v>110.75</v>
      </c>
      <c r="Y45" s="22">
        <v>77</v>
      </c>
      <c r="Z45" s="22">
        <v>33.75</v>
      </c>
      <c r="AA45" s="371">
        <v>685.95</v>
      </c>
      <c r="AB45" s="22">
        <v>0.16145491653910635</v>
      </c>
      <c r="AC45" s="24">
        <v>2.6454916539106338E-2</v>
      </c>
      <c r="AD45" s="384">
        <v>-171576.492091725</v>
      </c>
    </row>
    <row r="46" spans="1:30">
      <c r="A46" s="21" t="s">
        <v>13</v>
      </c>
      <c r="B46" s="21" t="s">
        <v>14</v>
      </c>
      <c r="C46" s="23">
        <v>725.11</v>
      </c>
      <c r="D46" s="147">
        <v>0</v>
      </c>
      <c r="E46" s="22">
        <v>154.96</v>
      </c>
      <c r="F46" s="22">
        <v>154.96</v>
      </c>
      <c r="G46" s="22">
        <v>0</v>
      </c>
      <c r="H46" s="22">
        <v>25.16</v>
      </c>
      <c r="I46" s="22">
        <v>2.37</v>
      </c>
      <c r="J46" s="22">
        <v>175.07999999999998</v>
      </c>
      <c r="K46" s="22">
        <v>3.8</v>
      </c>
      <c r="L46" s="22">
        <v>0</v>
      </c>
      <c r="M46" s="388">
        <v>2438.7799999999997</v>
      </c>
      <c r="N46" s="25">
        <v>0.57350000000000001</v>
      </c>
      <c r="O46" s="24">
        <v>1347</v>
      </c>
      <c r="P46" s="24">
        <v>18.25</v>
      </c>
      <c r="Q46" s="24">
        <v>15.25</v>
      </c>
      <c r="R46" s="22">
        <v>3</v>
      </c>
      <c r="S46" s="24">
        <v>6</v>
      </c>
      <c r="T46" s="24">
        <f t="shared" si="3"/>
        <v>24.25</v>
      </c>
      <c r="U46" s="376">
        <v>1398.64</v>
      </c>
      <c r="V46" s="376">
        <v>121.94</v>
      </c>
      <c r="W46" s="22">
        <f t="shared" si="4"/>
        <v>802.12004000000002</v>
      </c>
      <c r="X46" s="22">
        <f t="shared" si="5"/>
        <v>385.75</v>
      </c>
      <c r="Y46" s="22">
        <v>264.75</v>
      </c>
      <c r="Z46" s="22">
        <v>121</v>
      </c>
      <c r="AA46" s="371">
        <v>2438.7800000000002</v>
      </c>
      <c r="AB46" s="22">
        <v>0.15817334896956672</v>
      </c>
      <c r="AC46" s="24">
        <v>2.3173348969566715E-2</v>
      </c>
      <c r="AD46" s="384">
        <v>-496817.75654332561</v>
      </c>
    </row>
    <row r="47" spans="1:30">
      <c r="A47" s="21" t="s">
        <v>249</v>
      </c>
      <c r="B47" s="21" t="s">
        <v>250</v>
      </c>
      <c r="C47" s="23">
        <v>267.52999999999997</v>
      </c>
      <c r="D47" s="147">
        <v>8.83</v>
      </c>
      <c r="E47" s="22">
        <v>61.15</v>
      </c>
      <c r="F47" s="22">
        <v>69.98</v>
      </c>
      <c r="G47" s="22">
        <v>0</v>
      </c>
      <c r="H47" s="22">
        <v>13.99</v>
      </c>
      <c r="I47" s="22">
        <v>0</v>
      </c>
      <c r="J47" s="22">
        <v>22.3</v>
      </c>
      <c r="K47" s="22">
        <v>0</v>
      </c>
      <c r="L47" s="22">
        <v>0</v>
      </c>
      <c r="M47" s="388">
        <v>884.75</v>
      </c>
      <c r="N47" s="25">
        <v>0.40670000000000001</v>
      </c>
      <c r="O47" s="24">
        <v>22</v>
      </c>
      <c r="P47" s="24">
        <v>13</v>
      </c>
      <c r="Q47" s="24">
        <v>7.25</v>
      </c>
      <c r="R47" s="22">
        <v>5.75</v>
      </c>
      <c r="S47" s="24">
        <v>1</v>
      </c>
      <c r="T47" s="24">
        <f t="shared" si="3"/>
        <v>14</v>
      </c>
      <c r="U47" s="376">
        <v>359.83</v>
      </c>
      <c r="V47" s="376">
        <v>44.24</v>
      </c>
      <c r="W47" s="22">
        <f t="shared" si="4"/>
        <v>146.342861</v>
      </c>
      <c r="X47" s="22">
        <f t="shared" si="5"/>
        <v>130.75</v>
      </c>
      <c r="Y47" s="22">
        <v>106</v>
      </c>
      <c r="Z47" s="22">
        <v>24.75</v>
      </c>
      <c r="AA47" s="371">
        <v>883.74</v>
      </c>
      <c r="AB47" s="22">
        <v>0.14795075474687125</v>
      </c>
      <c r="AC47" s="24">
        <v>1.295075474687124E-2</v>
      </c>
      <c r="AD47" s="384">
        <v>-100545.99826962117</v>
      </c>
    </row>
    <row r="48" spans="1:30">
      <c r="A48" s="21" t="s">
        <v>377</v>
      </c>
      <c r="B48" s="21" t="s">
        <v>378</v>
      </c>
      <c r="C48" s="23">
        <v>4258.93</v>
      </c>
      <c r="D48" s="147">
        <v>369.97</v>
      </c>
      <c r="E48" s="22">
        <v>571.04</v>
      </c>
      <c r="F48" s="22">
        <v>941.01</v>
      </c>
      <c r="G48" s="22">
        <v>0</v>
      </c>
      <c r="H48" s="22">
        <v>148.94999999999999</v>
      </c>
      <c r="I48" s="22">
        <v>8.98</v>
      </c>
      <c r="J48" s="22">
        <v>549.36</v>
      </c>
      <c r="K48" s="22">
        <v>193.6</v>
      </c>
      <c r="L48" s="22">
        <v>0</v>
      </c>
      <c r="M48" s="388">
        <v>12024.210000000001</v>
      </c>
      <c r="N48" s="25">
        <v>0.68879999999999997</v>
      </c>
      <c r="O48" s="24">
        <v>9349</v>
      </c>
      <c r="P48" s="24">
        <v>1585.5</v>
      </c>
      <c r="Q48" s="24">
        <v>1102.75</v>
      </c>
      <c r="R48" s="22">
        <v>482.75</v>
      </c>
      <c r="S48" s="24">
        <v>416</v>
      </c>
      <c r="T48" s="24">
        <f t="shared" si="3"/>
        <v>2001.5</v>
      </c>
      <c r="U48" s="376">
        <v>8282.2800000000007</v>
      </c>
      <c r="V48" s="376">
        <v>601.21</v>
      </c>
      <c r="W48" s="22">
        <f t="shared" si="4"/>
        <v>5704.8344640000005</v>
      </c>
      <c r="X48" s="22">
        <f t="shared" si="5"/>
        <v>1759.25</v>
      </c>
      <c r="Y48" s="22">
        <v>888.75</v>
      </c>
      <c r="Z48" s="22">
        <v>870.5</v>
      </c>
      <c r="AA48" s="371">
        <v>12069.44</v>
      </c>
      <c r="AB48" s="22">
        <v>0.14576069809369779</v>
      </c>
      <c r="AC48" s="24">
        <v>1.0760698093697785E-2</v>
      </c>
      <c r="AD48" s="384">
        <v>-1204289.8922519998</v>
      </c>
    </row>
    <row r="49" spans="1:30">
      <c r="A49" s="21" t="s">
        <v>563</v>
      </c>
      <c r="B49" s="21" t="s">
        <v>564</v>
      </c>
      <c r="C49" s="23">
        <v>136</v>
      </c>
      <c r="D49" s="147">
        <v>6.88</v>
      </c>
      <c r="E49" s="22">
        <v>49.3</v>
      </c>
      <c r="F49" s="22">
        <v>56.18</v>
      </c>
      <c r="G49" s="22">
        <v>0</v>
      </c>
      <c r="H49" s="22">
        <v>2.02</v>
      </c>
      <c r="I49" s="22">
        <v>0.25</v>
      </c>
      <c r="J49" s="22">
        <v>0</v>
      </c>
      <c r="K49" s="22">
        <v>0</v>
      </c>
      <c r="L49" s="22">
        <v>0</v>
      </c>
      <c r="M49" s="388">
        <v>518.04999999999995</v>
      </c>
      <c r="N49" s="25">
        <v>0.32319999999999999</v>
      </c>
      <c r="O49" s="24">
        <v>0</v>
      </c>
      <c r="P49" s="24">
        <v>0</v>
      </c>
      <c r="Q49" s="24">
        <v>0</v>
      </c>
      <c r="R49" s="22">
        <v>0</v>
      </c>
      <c r="S49" s="24">
        <v>0</v>
      </c>
      <c r="T49" s="24">
        <f t="shared" si="3"/>
        <v>0</v>
      </c>
      <c r="U49" s="376">
        <v>167.43</v>
      </c>
      <c r="V49" s="376">
        <v>25.9</v>
      </c>
      <c r="W49" s="22">
        <f t="shared" si="4"/>
        <v>54.113376000000002</v>
      </c>
      <c r="X49" s="22">
        <f t="shared" si="5"/>
        <v>77.75</v>
      </c>
      <c r="Y49" s="22">
        <v>50</v>
      </c>
      <c r="Z49" s="22">
        <v>27.75</v>
      </c>
      <c r="AA49" s="371">
        <v>518.04999999999995</v>
      </c>
      <c r="AB49" s="22">
        <v>0.15008203841328058</v>
      </c>
      <c r="AC49" s="24">
        <v>1.5082038413280568E-2</v>
      </c>
      <c r="AD49" s="384">
        <v>-67808.193406779144</v>
      </c>
    </row>
    <row r="50" spans="1:30">
      <c r="A50" s="21" t="s">
        <v>529</v>
      </c>
      <c r="B50" s="21" t="s">
        <v>530</v>
      </c>
      <c r="C50" s="23">
        <v>428.33</v>
      </c>
      <c r="D50" s="147">
        <v>0</v>
      </c>
      <c r="E50" s="22">
        <v>131.59</v>
      </c>
      <c r="F50" s="22">
        <v>131.59</v>
      </c>
      <c r="G50" s="22">
        <v>0</v>
      </c>
      <c r="H50" s="22">
        <v>36.81</v>
      </c>
      <c r="I50" s="22">
        <v>3.89</v>
      </c>
      <c r="J50" s="22">
        <v>0</v>
      </c>
      <c r="K50" s="22">
        <v>8.33</v>
      </c>
      <c r="L50" s="22">
        <v>0.87</v>
      </c>
      <c r="M50" s="388">
        <v>1523.4399999999998</v>
      </c>
      <c r="N50" s="25">
        <v>0.56679999999999997</v>
      </c>
      <c r="O50" s="24">
        <v>1525</v>
      </c>
      <c r="P50" s="24">
        <v>292.25</v>
      </c>
      <c r="Q50" s="24">
        <v>178.25</v>
      </c>
      <c r="R50" s="22">
        <v>114</v>
      </c>
      <c r="S50" s="24">
        <v>44.25</v>
      </c>
      <c r="T50" s="24">
        <f t="shared" si="3"/>
        <v>336.5</v>
      </c>
      <c r="U50" s="376">
        <v>863.49</v>
      </c>
      <c r="V50" s="376">
        <v>76.17</v>
      </c>
      <c r="W50" s="22">
        <f t="shared" si="4"/>
        <v>489.426132</v>
      </c>
      <c r="X50" s="22">
        <f t="shared" si="5"/>
        <v>210</v>
      </c>
      <c r="Y50" s="22">
        <v>103.5</v>
      </c>
      <c r="Z50" s="22">
        <v>106.5</v>
      </c>
      <c r="AA50" s="371">
        <v>1529.2</v>
      </c>
      <c r="AB50" s="22">
        <v>0.1373267067747842</v>
      </c>
      <c r="AC50" s="24">
        <v>2.326706774784193E-3</v>
      </c>
      <c r="AD50" s="384">
        <v>-30963.679062224437</v>
      </c>
    </row>
    <row r="51" spans="1:30">
      <c r="A51" s="21" t="s">
        <v>571</v>
      </c>
      <c r="B51" s="21" t="s">
        <v>572</v>
      </c>
      <c r="C51" s="23">
        <v>64.400000000000006</v>
      </c>
      <c r="D51" s="147">
        <v>0</v>
      </c>
      <c r="E51" s="22">
        <v>9.4600000000000009</v>
      </c>
      <c r="F51" s="22">
        <v>9.4600000000000009</v>
      </c>
      <c r="G51" s="22">
        <v>0</v>
      </c>
      <c r="H51" s="22">
        <v>1.23</v>
      </c>
      <c r="I51" s="22">
        <v>0</v>
      </c>
      <c r="J51" s="22">
        <v>0</v>
      </c>
      <c r="K51" s="22">
        <v>0</v>
      </c>
      <c r="L51" s="22">
        <v>0</v>
      </c>
      <c r="M51" s="388">
        <v>158.57000000000002</v>
      </c>
      <c r="N51" s="25">
        <v>0.31009999999999999</v>
      </c>
      <c r="O51" s="24">
        <v>0</v>
      </c>
      <c r="P51" s="24">
        <v>0</v>
      </c>
      <c r="Q51" s="24">
        <v>0</v>
      </c>
      <c r="R51" s="22">
        <v>0</v>
      </c>
      <c r="S51" s="24">
        <v>0</v>
      </c>
      <c r="T51" s="24">
        <f t="shared" si="3"/>
        <v>0</v>
      </c>
      <c r="U51" s="376">
        <v>49.17</v>
      </c>
      <c r="V51" s="376">
        <v>0</v>
      </c>
      <c r="W51" s="22">
        <f t="shared" si="4"/>
        <v>15.247617</v>
      </c>
      <c r="X51" s="22">
        <f t="shared" si="5"/>
        <v>29.25</v>
      </c>
      <c r="Y51" s="22">
        <v>27.75</v>
      </c>
      <c r="Z51" s="22">
        <v>1.5</v>
      </c>
      <c r="AA51" s="371">
        <v>158.57</v>
      </c>
      <c r="AB51" s="22">
        <v>0.18446112127136283</v>
      </c>
      <c r="AC51" s="24">
        <v>4.9461121271362818E-2</v>
      </c>
      <c r="AD51" s="384">
        <v>-72529.693548178417</v>
      </c>
    </row>
    <row r="52" spans="1:30">
      <c r="A52" s="21" t="s">
        <v>499</v>
      </c>
      <c r="B52" s="21" t="s">
        <v>500</v>
      </c>
      <c r="C52" s="23">
        <v>28</v>
      </c>
      <c r="D52" s="147">
        <v>0</v>
      </c>
      <c r="E52" s="22">
        <v>7.42</v>
      </c>
      <c r="F52" s="22">
        <v>7.42</v>
      </c>
      <c r="G52" s="22">
        <v>0</v>
      </c>
      <c r="H52" s="22">
        <v>0.5</v>
      </c>
      <c r="I52" s="22">
        <v>0</v>
      </c>
      <c r="J52" s="22">
        <v>0</v>
      </c>
      <c r="K52" s="22">
        <v>0</v>
      </c>
      <c r="L52" s="22">
        <v>0</v>
      </c>
      <c r="M52" s="388">
        <v>104.46000000000001</v>
      </c>
      <c r="N52" s="25">
        <v>0.8</v>
      </c>
      <c r="O52" s="24">
        <v>102</v>
      </c>
      <c r="P52" s="24">
        <v>0</v>
      </c>
      <c r="Q52" s="24">
        <v>0</v>
      </c>
      <c r="R52" s="22">
        <v>0</v>
      </c>
      <c r="S52" s="24">
        <v>0</v>
      </c>
      <c r="T52" s="24">
        <f t="shared" si="3"/>
        <v>0</v>
      </c>
      <c r="U52" s="376">
        <v>83.57</v>
      </c>
      <c r="V52" s="376">
        <v>5.22</v>
      </c>
      <c r="W52" s="22">
        <f t="shared" si="4"/>
        <v>66.855999999999995</v>
      </c>
      <c r="X52" s="22">
        <f t="shared" si="5"/>
        <v>16.5</v>
      </c>
      <c r="Y52" s="22">
        <v>16</v>
      </c>
      <c r="Z52" s="22">
        <v>0.5</v>
      </c>
      <c r="AA52" s="371">
        <v>104.46</v>
      </c>
      <c r="AB52" s="22">
        <v>0.1579551981619759</v>
      </c>
      <c r="AC52" s="24">
        <v>2.2955198161975887E-2</v>
      </c>
      <c r="AD52" s="384">
        <v>-20986.321473656772</v>
      </c>
    </row>
    <row r="53" spans="1:30">
      <c r="A53" s="21" t="s">
        <v>533</v>
      </c>
      <c r="B53" s="21" t="s">
        <v>534</v>
      </c>
      <c r="C53" s="23">
        <v>209.2</v>
      </c>
      <c r="D53" s="147">
        <v>0</v>
      </c>
      <c r="E53" s="22">
        <v>54.43</v>
      </c>
      <c r="F53" s="22">
        <v>54.43</v>
      </c>
      <c r="G53" s="22">
        <v>0</v>
      </c>
      <c r="H53" s="22">
        <v>14.08</v>
      </c>
      <c r="I53" s="22">
        <v>0.5</v>
      </c>
      <c r="J53" s="22">
        <v>0</v>
      </c>
      <c r="K53" s="22">
        <v>2.8</v>
      </c>
      <c r="L53" s="22">
        <v>0</v>
      </c>
      <c r="M53" s="388">
        <v>708.86</v>
      </c>
      <c r="N53" s="25">
        <v>0.56020000000000003</v>
      </c>
      <c r="O53" s="24">
        <v>714</v>
      </c>
      <c r="P53" s="24">
        <v>132.5</v>
      </c>
      <c r="Q53" s="24">
        <v>80.75</v>
      </c>
      <c r="R53" s="22">
        <v>51.75</v>
      </c>
      <c r="S53" s="24">
        <v>22</v>
      </c>
      <c r="T53" s="24">
        <f t="shared" si="3"/>
        <v>154.5</v>
      </c>
      <c r="U53" s="376">
        <v>390.37</v>
      </c>
      <c r="V53" s="376">
        <v>35.44</v>
      </c>
      <c r="W53" s="22">
        <f t="shared" si="4"/>
        <v>218.68527400000002</v>
      </c>
      <c r="X53" s="22">
        <f t="shared" si="5"/>
        <v>96.25</v>
      </c>
      <c r="Y53" s="22">
        <v>71.75</v>
      </c>
      <c r="Z53" s="22">
        <v>24.5</v>
      </c>
      <c r="AA53" s="371">
        <v>714.02</v>
      </c>
      <c r="AB53" s="22">
        <v>0.13480014565418336</v>
      </c>
      <c r="AC53" s="24">
        <v>0</v>
      </c>
      <c r="AD53" s="384">
        <v>0</v>
      </c>
    </row>
    <row r="54" spans="1:30">
      <c r="A54" s="21" t="s">
        <v>491</v>
      </c>
      <c r="B54" s="21" t="s">
        <v>492</v>
      </c>
      <c r="C54" s="23">
        <v>428.1</v>
      </c>
      <c r="D54" s="147">
        <v>14.62</v>
      </c>
      <c r="E54" s="22">
        <v>113.13</v>
      </c>
      <c r="F54" s="22">
        <v>127.75</v>
      </c>
      <c r="G54" s="22">
        <v>14.15</v>
      </c>
      <c r="H54" s="22">
        <v>21.99</v>
      </c>
      <c r="I54" s="22">
        <v>1.56</v>
      </c>
      <c r="J54" s="22">
        <v>65.830000000000013</v>
      </c>
      <c r="K54" s="22">
        <v>8.6</v>
      </c>
      <c r="L54" s="22">
        <v>0</v>
      </c>
      <c r="M54" s="388">
        <v>1634.53</v>
      </c>
      <c r="N54" s="25">
        <v>0.53720000000000001</v>
      </c>
      <c r="O54" s="24">
        <v>1111</v>
      </c>
      <c r="P54" s="24">
        <v>16.5</v>
      </c>
      <c r="Q54" s="24">
        <v>14.5</v>
      </c>
      <c r="R54" s="22">
        <v>2</v>
      </c>
      <c r="S54" s="24">
        <v>1.75</v>
      </c>
      <c r="T54" s="24">
        <f t="shared" si="3"/>
        <v>18.25</v>
      </c>
      <c r="U54" s="376">
        <v>848.32</v>
      </c>
      <c r="V54" s="376">
        <v>81.73</v>
      </c>
      <c r="W54" s="22">
        <f t="shared" si="4"/>
        <v>455.71750400000002</v>
      </c>
      <c r="X54" s="22">
        <f t="shared" si="5"/>
        <v>238.5</v>
      </c>
      <c r="Y54" s="22">
        <v>153.5</v>
      </c>
      <c r="Z54" s="22">
        <v>85</v>
      </c>
      <c r="AA54" s="371">
        <v>1634.52</v>
      </c>
      <c r="AB54" s="22">
        <v>0.14591439688715954</v>
      </c>
      <c r="AC54" s="24">
        <v>1.0914396887159533E-2</v>
      </c>
      <c r="AD54" s="384">
        <v>-158414.54486364062</v>
      </c>
    </row>
    <row r="55" spans="1:30">
      <c r="A55" s="21" t="s">
        <v>401</v>
      </c>
      <c r="B55" s="21" t="s">
        <v>402</v>
      </c>
      <c r="C55" s="23">
        <v>169.21</v>
      </c>
      <c r="D55" s="147">
        <v>6.05</v>
      </c>
      <c r="E55" s="22">
        <v>44.06</v>
      </c>
      <c r="F55" s="22">
        <v>50.11</v>
      </c>
      <c r="G55" s="22">
        <v>0</v>
      </c>
      <c r="H55" s="22">
        <v>1.02</v>
      </c>
      <c r="I55" s="22">
        <v>1.98</v>
      </c>
      <c r="J55" s="22">
        <v>4.05</v>
      </c>
      <c r="K55" s="22">
        <v>0</v>
      </c>
      <c r="L55" s="22">
        <v>0</v>
      </c>
      <c r="M55" s="388">
        <v>487.69000000000005</v>
      </c>
      <c r="N55" s="25">
        <v>0.70440000000000003</v>
      </c>
      <c r="O55" s="24">
        <v>504</v>
      </c>
      <c r="P55" s="24">
        <v>0</v>
      </c>
      <c r="Q55" s="24">
        <v>0</v>
      </c>
      <c r="R55" s="22">
        <v>0</v>
      </c>
      <c r="S55" s="24">
        <v>0</v>
      </c>
      <c r="T55" s="24">
        <f t="shared" si="3"/>
        <v>0</v>
      </c>
      <c r="U55" s="376">
        <v>343.53</v>
      </c>
      <c r="V55" s="376">
        <v>24.38</v>
      </c>
      <c r="W55" s="22">
        <f t="shared" si="4"/>
        <v>241.98253199999999</v>
      </c>
      <c r="X55" s="22">
        <f t="shared" si="5"/>
        <v>85</v>
      </c>
      <c r="Y55" s="22">
        <v>53.5</v>
      </c>
      <c r="Z55" s="22">
        <v>31.5</v>
      </c>
      <c r="AA55" s="371">
        <v>497.53</v>
      </c>
      <c r="AB55" s="22">
        <v>0.17084396920788697</v>
      </c>
      <c r="AC55" s="24">
        <v>3.5843969207886961E-2</v>
      </c>
      <c r="AD55" s="384">
        <v>-171886.74819231473</v>
      </c>
    </row>
    <row r="56" spans="1:30">
      <c r="A56" s="21" t="s">
        <v>411</v>
      </c>
      <c r="B56" s="21" t="s">
        <v>412</v>
      </c>
      <c r="C56" s="23">
        <v>205.8</v>
      </c>
      <c r="D56" s="147">
        <v>0</v>
      </c>
      <c r="E56" s="22">
        <v>0</v>
      </c>
      <c r="F56" s="22">
        <v>0</v>
      </c>
      <c r="G56" s="22">
        <v>0</v>
      </c>
      <c r="H56" s="22">
        <v>0</v>
      </c>
      <c r="I56" s="22">
        <v>0</v>
      </c>
      <c r="J56" s="22">
        <v>0</v>
      </c>
      <c r="K56" s="22">
        <v>0</v>
      </c>
      <c r="L56" s="22">
        <v>0</v>
      </c>
      <c r="M56" s="388">
        <v>450.66999999999996</v>
      </c>
      <c r="N56" s="25">
        <v>0.19209999999999999</v>
      </c>
      <c r="O56" s="24">
        <v>0</v>
      </c>
      <c r="P56" s="24">
        <v>31.75</v>
      </c>
      <c r="Q56" s="24">
        <v>24.75</v>
      </c>
      <c r="R56" s="22">
        <v>7</v>
      </c>
      <c r="S56" s="24">
        <v>0</v>
      </c>
      <c r="T56" s="24">
        <f t="shared" si="3"/>
        <v>31.75</v>
      </c>
      <c r="U56" s="376">
        <v>86.57</v>
      </c>
      <c r="V56" s="376">
        <v>22.53</v>
      </c>
      <c r="W56" s="22">
        <f t="shared" si="4"/>
        <v>16.630096999999999</v>
      </c>
      <c r="X56" s="22">
        <f t="shared" si="5"/>
        <v>43.25</v>
      </c>
      <c r="Y56" s="22">
        <v>36.25</v>
      </c>
      <c r="Z56" s="22">
        <v>7</v>
      </c>
      <c r="AA56" s="371">
        <v>451.67</v>
      </c>
      <c r="AB56" s="22">
        <v>9.5755750880067297E-2</v>
      </c>
      <c r="AC56" s="24">
        <v>0</v>
      </c>
      <c r="AD56" s="384">
        <v>0</v>
      </c>
    </row>
    <row r="57" spans="1:30">
      <c r="A57" s="21" t="s">
        <v>157</v>
      </c>
      <c r="B57" s="21" t="s">
        <v>158</v>
      </c>
      <c r="C57" s="23">
        <v>104.4</v>
      </c>
      <c r="D57" s="147">
        <v>0</v>
      </c>
      <c r="E57" s="22">
        <v>0</v>
      </c>
      <c r="F57" s="22">
        <v>0</v>
      </c>
      <c r="G57" s="22">
        <v>0</v>
      </c>
      <c r="H57" s="22">
        <v>0</v>
      </c>
      <c r="I57" s="22">
        <v>0</v>
      </c>
      <c r="J57" s="22">
        <v>0</v>
      </c>
      <c r="K57" s="22">
        <v>0</v>
      </c>
      <c r="L57" s="22">
        <v>0</v>
      </c>
      <c r="M57" s="388">
        <v>163.80000000000001</v>
      </c>
      <c r="N57" s="25">
        <v>0.50329999999999997</v>
      </c>
      <c r="O57" s="24">
        <v>0</v>
      </c>
      <c r="P57" s="24">
        <v>2</v>
      </c>
      <c r="Q57" s="24">
        <v>2</v>
      </c>
      <c r="R57" s="22">
        <v>0</v>
      </c>
      <c r="S57" s="24">
        <v>1</v>
      </c>
      <c r="T57" s="24">
        <f t="shared" si="3"/>
        <v>3</v>
      </c>
      <c r="U57" s="376">
        <v>82.44</v>
      </c>
      <c r="V57" s="376">
        <v>8.19</v>
      </c>
      <c r="W57" s="22">
        <f t="shared" si="4"/>
        <v>41.492051999999994</v>
      </c>
      <c r="X57" s="22">
        <f t="shared" si="5"/>
        <v>23</v>
      </c>
      <c r="Y57" s="22">
        <v>15</v>
      </c>
      <c r="Z57" s="22">
        <v>8</v>
      </c>
      <c r="AA57" s="371">
        <v>163.80000000000001</v>
      </c>
      <c r="AB57" s="22">
        <v>0.14041514041514042</v>
      </c>
      <c r="AC57" s="24">
        <v>5.415140415140407E-3</v>
      </c>
      <c r="AD57" s="384">
        <v>-8444.9635838013292</v>
      </c>
    </row>
    <row r="58" spans="1:30">
      <c r="A58" s="21" t="s">
        <v>127</v>
      </c>
      <c r="B58" s="21" t="s">
        <v>128</v>
      </c>
      <c r="C58" s="23">
        <v>55.4</v>
      </c>
      <c r="D58" s="147">
        <v>0</v>
      </c>
      <c r="E58" s="22">
        <v>17.09</v>
      </c>
      <c r="F58" s="22">
        <v>17.09</v>
      </c>
      <c r="G58" s="22">
        <v>0</v>
      </c>
      <c r="H58" s="22">
        <v>3.97</v>
      </c>
      <c r="I58" s="22">
        <v>0.03</v>
      </c>
      <c r="J58" s="22">
        <v>0</v>
      </c>
      <c r="K58" s="22">
        <v>0</v>
      </c>
      <c r="L58" s="22">
        <v>0</v>
      </c>
      <c r="M58" s="388">
        <v>217.93</v>
      </c>
      <c r="N58" s="25">
        <v>0.4098</v>
      </c>
      <c r="O58" s="24">
        <v>0</v>
      </c>
      <c r="P58" s="24">
        <v>0</v>
      </c>
      <c r="Q58" s="24">
        <v>0</v>
      </c>
      <c r="R58" s="22">
        <v>0</v>
      </c>
      <c r="S58" s="24">
        <v>0</v>
      </c>
      <c r="T58" s="24">
        <f t="shared" si="3"/>
        <v>0</v>
      </c>
      <c r="U58" s="376">
        <v>89.31</v>
      </c>
      <c r="V58" s="376">
        <v>10.9</v>
      </c>
      <c r="W58" s="22">
        <f t="shared" si="4"/>
        <v>36.599238</v>
      </c>
      <c r="X58" s="22">
        <f t="shared" si="5"/>
        <v>21.25</v>
      </c>
      <c r="Y58" s="22">
        <v>9.75</v>
      </c>
      <c r="Z58" s="22">
        <v>11.5</v>
      </c>
      <c r="AA58" s="371">
        <v>217.93</v>
      </c>
      <c r="AB58" s="22">
        <v>9.7508374248611931E-2</v>
      </c>
      <c r="AC58" s="24">
        <v>0</v>
      </c>
      <c r="AD58" s="384">
        <v>0</v>
      </c>
    </row>
    <row r="59" spans="1:30">
      <c r="A59" s="21" t="s">
        <v>169</v>
      </c>
      <c r="B59" s="21" t="s">
        <v>170</v>
      </c>
      <c r="C59" s="23">
        <v>281.39999999999998</v>
      </c>
      <c r="D59" s="147">
        <v>0.81</v>
      </c>
      <c r="E59" s="22">
        <v>14.28</v>
      </c>
      <c r="F59" s="22">
        <v>15.09</v>
      </c>
      <c r="G59" s="22">
        <v>0</v>
      </c>
      <c r="H59" s="22">
        <v>36.74</v>
      </c>
      <c r="I59" s="22">
        <v>1.1200000000000001</v>
      </c>
      <c r="J59" s="22">
        <v>0</v>
      </c>
      <c r="K59" s="22">
        <v>51.8</v>
      </c>
      <c r="L59" s="22">
        <v>0</v>
      </c>
      <c r="M59" s="388">
        <v>965.86</v>
      </c>
      <c r="N59" s="25">
        <v>0.3422</v>
      </c>
      <c r="O59" s="24">
        <v>53</v>
      </c>
      <c r="P59" s="24">
        <v>27.75</v>
      </c>
      <c r="Q59" s="24">
        <v>16.75</v>
      </c>
      <c r="R59" s="22">
        <v>11</v>
      </c>
      <c r="S59" s="24">
        <v>3.75</v>
      </c>
      <c r="T59" s="24">
        <f t="shared" si="3"/>
        <v>31.5</v>
      </c>
      <c r="U59" s="376">
        <v>330.52</v>
      </c>
      <c r="V59" s="376">
        <v>48.29</v>
      </c>
      <c r="W59" s="22">
        <f t="shared" si="4"/>
        <v>113.103944</v>
      </c>
      <c r="X59" s="22">
        <f t="shared" si="5"/>
        <v>144</v>
      </c>
      <c r="Y59" s="22">
        <v>99.25</v>
      </c>
      <c r="Z59" s="22">
        <v>44.75</v>
      </c>
      <c r="AA59" s="371">
        <v>967.86</v>
      </c>
      <c r="AB59" s="22">
        <v>0.14878184861446903</v>
      </c>
      <c r="AC59" s="24">
        <v>1.3781848614469017E-2</v>
      </c>
      <c r="AD59" s="384">
        <v>-129636.01278894188</v>
      </c>
    </row>
    <row r="60" spans="1:30">
      <c r="A60" s="21" t="s">
        <v>45</v>
      </c>
      <c r="B60" s="21" t="s">
        <v>46</v>
      </c>
      <c r="C60" s="23">
        <v>56.6</v>
      </c>
      <c r="D60" s="147">
        <v>0</v>
      </c>
      <c r="E60" s="22">
        <v>3.8</v>
      </c>
      <c r="F60" s="22">
        <v>3.8</v>
      </c>
      <c r="G60" s="22">
        <v>0</v>
      </c>
      <c r="H60" s="22">
        <v>4.4000000000000004</v>
      </c>
      <c r="I60" s="22">
        <v>0</v>
      </c>
      <c r="J60" s="22">
        <v>88.58</v>
      </c>
      <c r="K60" s="22">
        <v>0</v>
      </c>
      <c r="L60" s="22">
        <v>0</v>
      </c>
      <c r="M60" s="388">
        <v>307.8</v>
      </c>
      <c r="N60" s="25">
        <v>0.59550000000000003</v>
      </c>
      <c r="O60" s="24">
        <v>216</v>
      </c>
      <c r="P60" s="24">
        <v>0</v>
      </c>
      <c r="Q60" s="24">
        <v>0</v>
      </c>
      <c r="R60" s="22">
        <v>0</v>
      </c>
      <c r="S60" s="24">
        <v>0</v>
      </c>
      <c r="T60" s="24">
        <f t="shared" si="3"/>
        <v>0</v>
      </c>
      <c r="U60" s="376">
        <v>183.29</v>
      </c>
      <c r="V60" s="376">
        <v>15.39</v>
      </c>
      <c r="W60" s="22">
        <f t="shared" si="4"/>
        <v>109.14919500000001</v>
      </c>
      <c r="X60" s="22">
        <f t="shared" si="5"/>
        <v>31.25</v>
      </c>
      <c r="Y60" s="22">
        <v>23.75</v>
      </c>
      <c r="Z60" s="22">
        <v>7.5</v>
      </c>
      <c r="AA60" s="371">
        <v>307.8</v>
      </c>
      <c r="AB60" s="22">
        <v>0.10152696556205328</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86.8</v>
      </c>
      <c r="N61" s="25">
        <v>0.4884</v>
      </c>
      <c r="O61" s="24">
        <v>40</v>
      </c>
      <c r="P61" s="24">
        <v>0</v>
      </c>
      <c r="Q61" s="24">
        <v>0</v>
      </c>
      <c r="R61" s="22">
        <v>0</v>
      </c>
      <c r="S61" s="24">
        <v>0</v>
      </c>
      <c r="T61" s="24">
        <f t="shared" si="3"/>
        <v>0</v>
      </c>
      <c r="U61" s="376">
        <v>42.39</v>
      </c>
      <c r="V61" s="376">
        <v>4.34</v>
      </c>
      <c r="W61" s="22">
        <f t="shared" si="4"/>
        <v>20.703275999999999</v>
      </c>
      <c r="X61" s="22">
        <f t="shared" si="5"/>
        <v>22</v>
      </c>
      <c r="Y61" s="22">
        <v>17.5</v>
      </c>
      <c r="Z61" s="22">
        <v>4.5</v>
      </c>
      <c r="AA61" s="371">
        <v>86.8</v>
      </c>
      <c r="AB61" s="22">
        <v>0.25345622119815669</v>
      </c>
      <c r="AC61" s="24">
        <v>0.11845622119815669</v>
      </c>
      <c r="AD61" s="384">
        <v>-90198.354959279517</v>
      </c>
    </row>
    <row r="62" spans="1:30">
      <c r="A62" s="21" t="s">
        <v>103</v>
      </c>
      <c r="B62" s="21" t="s">
        <v>104</v>
      </c>
      <c r="C62" s="23">
        <v>46</v>
      </c>
      <c r="D62" s="147">
        <v>0</v>
      </c>
      <c r="E62" s="22">
        <v>8.14</v>
      </c>
      <c r="F62" s="22">
        <v>8.14</v>
      </c>
      <c r="G62" s="22">
        <v>0</v>
      </c>
      <c r="H62" s="22">
        <v>0</v>
      </c>
      <c r="I62" s="22">
        <v>0</v>
      </c>
      <c r="J62" s="22">
        <v>34.090000000000003</v>
      </c>
      <c r="K62" s="22">
        <v>26</v>
      </c>
      <c r="L62" s="22">
        <v>0</v>
      </c>
      <c r="M62" s="388">
        <v>242.10999999999999</v>
      </c>
      <c r="N62" s="25">
        <v>0.53210000000000002</v>
      </c>
      <c r="O62" s="24">
        <v>244</v>
      </c>
      <c r="P62" s="24">
        <v>0</v>
      </c>
      <c r="Q62" s="24">
        <v>0</v>
      </c>
      <c r="R62" s="22">
        <v>0</v>
      </c>
      <c r="S62" s="24">
        <v>0</v>
      </c>
      <c r="T62" s="24">
        <f t="shared" si="3"/>
        <v>0</v>
      </c>
      <c r="U62" s="376">
        <v>128.83000000000001</v>
      </c>
      <c r="V62" s="376">
        <v>0</v>
      </c>
      <c r="W62" s="22">
        <f t="shared" si="4"/>
        <v>68.550443000000016</v>
      </c>
      <c r="X62" s="22">
        <f t="shared" si="5"/>
        <v>26</v>
      </c>
      <c r="Y62" s="22">
        <v>23</v>
      </c>
      <c r="Z62" s="22">
        <v>3</v>
      </c>
      <c r="AA62" s="371">
        <v>242.11</v>
      </c>
      <c r="AB62" s="22">
        <v>0.10738920325471893</v>
      </c>
      <c r="AC62" s="24">
        <v>0</v>
      </c>
      <c r="AD62" s="384">
        <v>0</v>
      </c>
    </row>
    <row r="63" spans="1:30">
      <c r="A63" s="21" t="s">
        <v>357</v>
      </c>
      <c r="B63" s="21" t="s">
        <v>358</v>
      </c>
      <c r="C63" s="23">
        <v>61.9</v>
      </c>
      <c r="D63" s="147">
        <v>0</v>
      </c>
      <c r="E63" s="22">
        <v>12.18</v>
      </c>
      <c r="F63" s="22">
        <v>12.18</v>
      </c>
      <c r="G63" s="22">
        <v>0</v>
      </c>
      <c r="H63" s="22">
        <v>0</v>
      </c>
      <c r="I63" s="22">
        <v>0</v>
      </c>
      <c r="J63" s="22">
        <v>104.00999999999999</v>
      </c>
      <c r="K63" s="22">
        <v>0</v>
      </c>
      <c r="L63" s="22">
        <v>0</v>
      </c>
      <c r="M63" s="388">
        <v>321.44</v>
      </c>
      <c r="N63" s="25">
        <v>0.69210000000000005</v>
      </c>
      <c r="O63" s="24">
        <v>227</v>
      </c>
      <c r="P63" s="24">
        <v>0</v>
      </c>
      <c r="Q63" s="24">
        <v>0</v>
      </c>
      <c r="R63" s="22">
        <v>0</v>
      </c>
      <c r="S63" s="24">
        <v>0</v>
      </c>
      <c r="T63" s="24">
        <f t="shared" si="3"/>
        <v>0</v>
      </c>
      <c r="U63" s="376">
        <v>222.47</v>
      </c>
      <c r="V63" s="376">
        <v>16.07</v>
      </c>
      <c r="W63" s="22">
        <f t="shared" si="4"/>
        <v>153.971487</v>
      </c>
      <c r="X63" s="22">
        <f t="shared" si="5"/>
        <v>46.25</v>
      </c>
      <c r="Y63" s="22">
        <v>36</v>
      </c>
      <c r="Z63" s="22">
        <v>10.25</v>
      </c>
      <c r="AA63" s="371">
        <v>321.44</v>
      </c>
      <c r="AB63" s="22">
        <v>0.14388377302140368</v>
      </c>
      <c r="AC63" s="24">
        <v>8.8837730214036681E-3</v>
      </c>
      <c r="AD63" s="384">
        <v>-24597.664327940776</v>
      </c>
    </row>
    <row r="64" spans="1:30">
      <c r="A64" s="21" t="s">
        <v>239</v>
      </c>
      <c r="B64" s="21" t="s">
        <v>240</v>
      </c>
      <c r="C64" s="23">
        <v>25.6</v>
      </c>
      <c r="D64" s="147">
        <v>0</v>
      </c>
      <c r="E64" s="22">
        <v>0</v>
      </c>
      <c r="F64" s="22">
        <v>0</v>
      </c>
      <c r="G64" s="22">
        <v>0</v>
      </c>
      <c r="H64" s="22">
        <v>0</v>
      </c>
      <c r="I64" s="22">
        <v>0</v>
      </c>
      <c r="J64" s="22">
        <v>0</v>
      </c>
      <c r="K64" s="22">
        <v>0</v>
      </c>
      <c r="L64" s="22">
        <v>0</v>
      </c>
      <c r="M64" s="388">
        <v>41.400000000000006</v>
      </c>
      <c r="N64" s="25">
        <v>0</v>
      </c>
      <c r="O64" s="24">
        <v>0</v>
      </c>
      <c r="P64" s="24">
        <v>0</v>
      </c>
      <c r="Q64" s="24">
        <v>0</v>
      </c>
      <c r="R64" s="22">
        <v>0</v>
      </c>
      <c r="S64" s="24">
        <v>0</v>
      </c>
      <c r="T64" s="24">
        <f t="shared" si="3"/>
        <v>0</v>
      </c>
      <c r="U64" s="376">
        <v>0</v>
      </c>
      <c r="V64" s="376">
        <v>0</v>
      </c>
      <c r="W64" s="22">
        <f t="shared" si="4"/>
        <v>0</v>
      </c>
      <c r="X64" s="22">
        <f t="shared" si="5"/>
        <v>4.25</v>
      </c>
      <c r="Y64" s="22">
        <v>3.25</v>
      </c>
      <c r="Z64" s="22">
        <v>1</v>
      </c>
      <c r="AA64" s="371">
        <v>41.4</v>
      </c>
      <c r="AB64" s="22">
        <v>0.10265700483091787</v>
      </c>
      <c r="AC64" s="24">
        <v>0</v>
      </c>
      <c r="AD64" s="384">
        <v>0</v>
      </c>
    </row>
    <row r="65" spans="1:30">
      <c r="A65" s="21" t="s">
        <v>445</v>
      </c>
      <c r="B65" s="21" t="s">
        <v>446</v>
      </c>
      <c r="C65" s="23">
        <v>150.11000000000001</v>
      </c>
      <c r="D65" s="147">
        <v>0</v>
      </c>
      <c r="E65" s="22">
        <v>24.27</v>
      </c>
      <c r="F65" s="22">
        <v>24.27</v>
      </c>
      <c r="G65" s="22">
        <v>0</v>
      </c>
      <c r="H65" s="22">
        <v>1.5</v>
      </c>
      <c r="I65" s="22">
        <v>0</v>
      </c>
      <c r="J65" s="22">
        <v>4.88</v>
      </c>
      <c r="K65" s="22">
        <v>0</v>
      </c>
      <c r="L65" s="22">
        <v>0</v>
      </c>
      <c r="M65" s="388">
        <v>403.39</v>
      </c>
      <c r="N65" s="25">
        <v>0.47520000000000001</v>
      </c>
      <c r="O65" s="24">
        <v>284</v>
      </c>
      <c r="P65" s="24">
        <v>5</v>
      </c>
      <c r="Q65" s="24">
        <v>4</v>
      </c>
      <c r="R65" s="22">
        <v>1</v>
      </c>
      <c r="S65" s="24">
        <v>0</v>
      </c>
      <c r="T65" s="24">
        <f t="shared" si="3"/>
        <v>5</v>
      </c>
      <c r="U65" s="376">
        <v>191.69</v>
      </c>
      <c r="V65" s="376">
        <v>20.170000000000002</v>
      </c>
      <c r="W65" s="22">
        <f t="shared" si="4"/>
        <v>91.091087999999999</v>
      </c>
      <c r="X65" s="22">
        <f t="shared" si="5"/>
        <v>73.25</v>
      </c>
      <c r="Y65" s="22">
        <v>66.75</v>
      </c>
      <c r="Z65" s="22">
        <v>6.5</v>
      </c>
      <c r="AA65" s="371">
        <v>407.35</v>
      </c>
      <c r="AB65" s="22">
        <v>0.17982079292991285</v>
      </c>
      <c r="AC65" s="24">
        <v>4.4820792929912839E-2</v>
      </c>
      <c r="AD65" s="384">
        <v>-178252.52447629019</v>
      </c>
    </row>
    <row r="66" spans="1:30">
      <c r="A66" s="21" t="s">
        <v>311</v>
      </c>
      <c r="B66" s="21" t="s">
        <v>312</v>
      </c>
      <c r="C66" s="23">
        <v>188.8</v>
      </c>
      <c r="D66" s="147">
        <v>23.83</v>
      </c>
      <c r="E66" s="22">
        <v>61.61</v>
      </c>
      <c r="F66" s="22">
        <v>85.44</v>
      </c>
      <c r="G66" s="22">
        <v>1.73</v>
      </c>
      <c r="H66" s="22">
        <v>6.76</v>
      </c>
      <c r="I66" s="22">
        <v>0.5</v>
      </c>
      <c r="J66" s="22">
        <v>14.760000000000002</v>
      </c>
      <c r="K66" s="22">
        <v>0</v>
      </c>
      <c r="L66" s="22">
        <v>0</v>
      </c>
      <c r="M66" s="388">
        <v>570.99</v>
      </c>
      <c r="N66" s="25">
        <v>0.55049999999999999</v>
      </c>
      <c r="O66" s="24">
        <v>250</v>
      </c>
      <c r="P66" s="24">
        <v>0</v>
      </c>
      <c r="Q66" s="24">
        <v>0</v>
      </c>
      <c r="R66" s="22">
        <v>0</v>
      </c>
      <c r="S66" s="24">
        <v>0</v>
      </c>
      <c r="T66" s="24">
        <f t="shared" si="3"/>
        <v>0</v>
      </c>
      <c r="U66" s="376">
        <v>314.33</v>
      </c>
      <c r="V66" s="376">
        <v>0</v>
      </c>
      <c r="W66" s="22">
        <f t="shared" si="4"/>
        <v>173.03866499999998</v>
      </c>
      <c r="X66" s="22">
        <f t="shared" si="5"/>
        <v>71.5</v>
      </c>
      <c r="Y66" s="22">
        <v>51.5</v>
      </c>
      <c r="Z66" s="22">
        <v>20</v>
      </c>
      <c r="AA66" s="371">
        <v>570.98</v>
      </c>
      <c r="AB66" s="22">
        <v>0.12522330029072823</v>
      </c>
      <c r="AC66" s="24">
        <v>0</v>
      </c>
      <c r="AD66" s="384">
        <v>0</v>
      </c>
    </row>
    <row r="67" spans="1:30">
      <c r="A67" s="21" t="s">
        <v>73</v>
      </c>
      <c r="B67" s="21" t="s">
        <v>74</v>
      </c>
      <c r="C67" s="23">
        <v>120.8</v>
      </c>
      <c r="D67" s="147">
        <v>13.22</v>
      </c>
      <c r="E67" s="22">
        <v>32.86</v>
      </c>
      <c r="F67" s="22">
        <v>46.08</v>
      </c>
      <c r="G67" s="22">
        <v>0</v>
      </c>
      <c r="H67" s="22">
        <v>5.62</v>
      </c>
      <c r="I67" s="22">
        <v>0.43</v>
      </c>
      <c r="J67" s="22">
        <v>0</v>
      </c>
      <c r="K67" s="22">
        <v>1.93</v>
      </c>
      <c r="L67" s="22">
        <v>7.0000000000000007E-2</v>
      </c>
      <c r="M67" s="388">
        <v>356.25</v>
      </c>
      <c r="N67" s="25">
        <v>0.53320000000000001</v>
      </c>
      <c r="O67" s="24">
        <v>363</v>
      </c>
      <c r="P67" s="24">
        <v>1.75</v>
      </c>
      <c r="Q67" s="24">
        <v>1.75</v>
      </c>
      <c r="R67" s="22">
        <v>0</v>
      </c>
      <c r="S67" s="24">
        <v>1</v>
      </c>
      <c r="T67" s="24">
        <f t="shared" si="3"/>
        <v>2.75</v>
      </c>
      <c r="U67" s="376">
        <v>189.95</v>
      </c>
      <c r="V67" s="376">
        <v>17.809999999999999</v>
      </c>
      <c r="W67" s="22">
        <f t="shared" si="4"/>
        <v>101.28134</v>
      </c>
      <c r="X67" s="22">
        <f t="shared" si="5"/>
        <v>47.5</v>
      </c>
      <c r="Y67" s="22">
        <v>35.5</v>
      </c>
      <c r="Z67" s="22">
        <v>12</v>
      </c>
      <c r="AA67" s="371">
        <v>356.89</v>
      </c>
      <c r="AB67" s="22">
        <v>0.13309423071534646</v>
      </c>
      <c r="AC67" s="24">
        <v>0</v>
      </c>
      <c r="AD67" s="384">
        <v>0</v>
      </c>
    </row>
    <row r="68" spans="1:30">
      <c r="A68" s="21" t="s">
        <v>475</v>
      </c>
      <c r="B68" s="21" t="s">
        <v>476</v>
      </c>
      <c r="C68" s="23">
        <v>566.64</v>
      </c>
      <c r="D68" s="147">
        <v>0</v>
      </c>
      <c r="E68" s="22">
        <v>111.04</v>
      </c>
      <c r="F68" s="22">
        <v>111.04</v>
      </c>
      <c r="G68" s="22">
        <v>0</v>
      </c>
      <c r="H68" s="22">
        <v>77.94</v>
      </c>
      <c r="I68" s="22">
        <v>6.53</v>
      </c>
      <c r="J68" s="22">
        <v>561.75</v>
      </c>
      <c r="K68" s="22">
        <v>4.5999999999999996</v>
      </c>
      <c r="L68" s="22">
        <v>0</v>
      </c>
      <c r="M68" s="388">
        <v>2514.6999999999998</v>
      </c>
      <c r="N68" s="25">
        <v>0.48470000000000002</v>
      </c>
      <c r="O68" s="24">
        <v>1331</v>
      </c>
      <c r="P68" s="24">
        <v>24.25</v>
      </c>
      <c r="Q68" s="24">
        <v>16.75</v>
      </c>
      <c r="R68" s="22">
        <v>7.5</v>
      </c>
      <c r="S68" s="24">
        <v>4.25</v>
      </c>
      <c r="T68" s="24">
        <f t="shared" si="3"/>
        <v>28.5</v>
      </c>
      <c r="U68" s="376">
        <v>1218.8800000000001</v>
      </c>
      <c r="V68" s="376">
        <v>125.74</v>
      </c>
      <c r="W68" s="22">
        <f t="shared" si="4"/>
        <v>590.79113600000005</v>
      </c>
      <c r="X68" s="22">
        <f t="shared" si="5"/>
        <v>285</v>
      </c>
      <c r="Y68" s="22">
        <v>180.75</v>
      </c>
      <c r="Z68" s="22">
        <v>104.25</v>
      </c>
      <c r="AA68" s="371">
        <v>2527.89</v>
      </c>
      <c r="AB68" s="22">
        <v>0.11274224748703465</v>
      </c>
      <c r="AC68" s="24">
        <v>0</v>
      </c>
      <c r="AD68" s="384">
        <v>0</v>
      </c>
    </row>
    <row r="69" spans="1:30">
      <c r="A69" s="21" t="s">
        <v>373</v>
      </c>
      <c r="B69" s="21" t="s">
        <v>374</v>
      </c>
      <c r="C69" s="23">
        <v>547.96</v>
      </c>
      <c r="D69" s="147">
        <v>29.72</v>
      </c>
      <c r="E69" s="22">
        <v>0</v>
      </c>
      <c r="F69" s="22">
        <v>29.72</v>
      </c>
      <c r="G69" s="22">
        <v>0</v>
      </c>
      <c r="H69" s="22">
        <v>0</v>
      </c>
      <c r="I69" s="22">
        <v>0</v>
      </c>
      <c r="J69" s="22">
        <v>0</v>
      </c>
      <c r="K69" s="22">
        <v>0</v>
      </c>
      <c r="L69" s="22">
        <v>0</v>
      </c>
      <c r="M69" s="388">
        <v>1365.5600000000002</v>
      </c>
      <c r="N69" s="25">
        <v>0.1739</v>
      </c>
      <c r="O69" s="24">
        <v>0</v>
      </c>
      <c r="P69" s="24">
        <v>56.5</v>
      </c>
      <c r="Q69" s="24">
        <v>48.75</v>
      </c>
      <c r="R69" s="22">
        <v>7.75</v>
      </c>
      <c r="S69" s="24">
        <v>37.75</v>
      </c>
      <c r="T69" s="24">
        <f t="shared" si="3"/>
        <v>94.25</v>
      </c>
      <c r="U69" s="376">
        <v>237.47</v>
      </c>
      <c r="V69" s="376">
        <v>68.28</v>
      </c>
      <c r="W69" s="22">
        <f t="shared" si="4"/>
        <v>41.296033000000001</v>
      </c>
      <c r="X69" s="22">
        <f t="shared" si="5"/>
        <v>155.25</v>
      </c>
      <c r="Y69" s="22">
        <v>82.5</v>
      </c>
      <c r="Z69" s="22">
        <v>72.75</v>
      </c>
      <c r="AA69" s="371">
        <v>1367.06</v>
      </c>
      <c r="AB69" s="22">
        <v>0.11356487645019239</v>
      </c>
      <c r="AC69" s="24">
        <v>0</v>
      </c>
      <c r="AD69" s="384">
        <v>0</v>
      </c>
    </row>
    <row r="70" spans="1:30">
      <c r="A70" s="21" t="s">
        <v>525</v>
      </c>
      <c r="B70" s="21" t="s">
        <v>526</v>
      </c>
      <c r="C70" s="23">
        <v>12.6</v>
      </c>
      <c r="D70" s="147">
        <v>0</v>
      </c>
      <c r="E70" s="22">
        <v>0</v>
      </c>
      <c r="F70" s="22">
        <v>0</v>
      </c>
      <c r="G70" s="22">
        <v>0</v>
      </c>
      <c r="H70" s="22">
        <v>0</v>
      </c>
      <c r="I70" s="22">
        <v>0</v>
      </c>
      <c r="J70" s="22">
        <v>0</v>
      </c>
      <c r="K70" s="22">
        <v>0</v>
      </c>
      <c r="L70" s="22">
        <v>0</v>
      </c>
      <c r="M70" s="388">
        <v>17.600000000000001</v>
      </c>
      <c r="N70" s="25">
        <v>1</v>
      </c>
      <c r="O70" s="24">
        <v>14</v>
      </c>
      <c r="P70" s="24">
        <v>0</v>
      </c>
      <c r="Q70" s="24">
        <v>0</v>
      </c>
      <c r="R70" s="22">
        <v>0</v>
      </c>
      <c r="S70" s="24">
        <v>0</v>
      </c>
      <c r="T70" s="24">
        <f t="shared" si="3"/>
        <v>0</v>
      </c>
      <c r="U70" s="376">
        <v>17.600000000000001</v>
      </c>
      <c r="V70" s="376">
        <v>0</v>
      </c>
      <c r="W70" s="22">
        <f t="shared" si="4"/>
        <v>17.600000000000001</v>
      </c>
      <c r="X70" s="22">
        <f t="shared" si="5"/>
        <v>2</v>
      </c>
      <c r="Y70" s="22">
        <v>2</v>
      </c>
      <c r="Z70" s="22">
        <v>0</v>
      </c>
      <c r="AA70" s="371">
        <v>17.600000000000001</v>
      </c>
      <c r="AB70" s="22">
        <v>0.11363636363636363</v>
      </c>
      <c r="AC70" s="24">
        <v>0</v>
      </c>
      <c r="AD70" s="384">
        <v>0</v>
      </c>
    </row>
    <row r="71" spans="1:30">
      <c r="A71" s="21" t="s">
        <v>469</v>
      </c>
      <c r="B71" s="21" t="s">
        <v>470</v>
      </c>
      <c r="C71" s="23">
        <v>976.02</v>
      </c>
      <c r="D71" s="147">
        <v>30.59</v>
      </c>
      <c r="E71" s="22">
        <v>212.13</v>
      </c>
      <c r="F71" s="22">
        <v>242.72</v>
      </c>
      <c r="G71" s="22">
        <v>0</v>
      </c>
      <c r="H71" s="22">
        <v>80.459999999999994</v>
      </c>
      <c r="I71" s="22">
        <v>6.41</v>
      </c>
      <c r="J71" s="22">
        <v>289.70000000000005</v>
      </c>
      <c r="K71" s="22">
        <v>2.8</v>
      </c>
      <c r="L71" s="22">
        <v>0</v>
      </c>
      <c r="M71" s="388">
        <v>3502.74</v>
      </c>
      <c r="N71" s="25">
        <v>0.54749999999999999</v>
      </c>
      <c r="O71" s="24">
        <v>1895</v>
      </c>
      <c r="P71" s="24">
        <v>90.75</v>
      </c>
      <c r="Q71" s="24">
        <v>63</v>
      </c>
      <c r="R71" s="22">
        <v>27.75</v>
      </c>
      <c r="S71" s="24">
        <v>32</v>
      </c>
      <c r="T71" s="24">
        <f t="shared" si="3"/>
        <v>122.75</v>
      </c>
      <c r="U71" s="376">
        <v>1919.85</v>
      </c>
      <c r="V71" s="376">
        <v>175.14</v>
      </c>
      <c r="W71" s="22">
        <f t="shared" si="4"/>
        <v>1051.1178749999999</v>
      </c>
      <c r="X71" s="22">
        <f t="shared" si="5"/>
        <v>536</v>
      </c>
      <c r="Y71" s="22">
        <v>303.25</v>
      </c>
      <c r="Z71" s="22">
        <v>232.75</v>
      </c>
      <c r="AA71" s="371">
        <v>3598.35</v>
      </c>
      <c r="AB71" s="22">
        <v>0.14895716092097766</v>
      </c>
      <c r="AC71" s="24">
        <v>1.3957160920977651E-2</v>
      </c>
      <c r="AD71" s="384">
        <v>-447484.90159460338</v>
      </c>
    </row>
    <row r="72" spans="1:30">
      <c r="A72" s="21" t="s">
        <v>587</v>
      </c>
      <c r="B72" s="21" t="s">
        <v>588</v>
      </c>
      <c r="C72" s="23">
        <v>983.59</v>
      </c>
      <c r="D72" s="147">
        <v>24.9</v>
      </c>
      <c r="E72" s="22">
        <v>181.58</v>
      </c>
      <c r="F72" s="22">
        <v>206.48000000000002</v>
      </c>
      <c r="G72" s="22">
        <v>0</v>
      </c>
      <c r="H72" s="22">
        <v>49.65</v>
      </c>
      <c r="I72" s="22">
        <v>3.28</v>
      </c>
      <c r="J72" s="22">
        <v>3.2</v>
      </c>
      <c r="K72" s="22">
        <v>14.2</v>
      </c>
      <c r="L72" s="22">
        <v>0</v>
      </c>
      <c r="M72" s="388">
        <v>3259.06</v>
      </c>
      <c r="N72" s="25">
        <v>0.58460000000000001</v>
      </c>
      <c r="O72" s="24">
        <v>3252</v>
      </c>
      <c r="P72" s="24">
        <v>343.75</v>
      </c>
      <c r="Q72" s="24">
        <v>249</v>
      </c>
      <c r="R72" s="22">
        <v>94.75</v>
      </c>
      <c r="S72" s="24">
        <v>80.5</v>
      </c>
      <c r="T72" s="24">
        <f t="shared" si="3"/>
        <v>424.25</v>
      </c>
      <c r="U72" s="376">
        <v>1905.25</v>
      </c>
      <c r="V72" s="376">
        <v>162.94999999999999</v>
      </c>
      <c r="W72" s="22">
        <f t="shared" si="4"/>
        <v>1113.80915</v>
      </c>
      <c r="X72" s="22">
        <f t="shared" si="5"/>
        <v>380</v>
      </c>
      <c r="Y72" s="22">
        <v>206.25</v>
      </c>
      <c r="Z72" s="22">
        <v>173.75</v>
      </c>
      <c r="AA72" s="371">
        <v>3311.05</v>
      </c>
      <c r="AB72" s="22">
        <v>0.11476721885806616</v>
      </c>
      <c r="AC72" s="24">
        <v>0</v>
      </c>
      <c r="AD72" s="384">
        <v>0</v>
      </c>
    </row>
    <row r="73" spans="1:30">
      <c r="A73" s="21" t="s">
        <v>95</v>
      </c>
      <c r="B73" s="21" t="s">
        <v>96</v>
      </c>
      <c r="C73" s="23">
        <v>1570.46</v>
      </c>
      <c r="D73" s="147">
        <v>131.41999999999999</v>
      </c>
      <c r="E73" s="22">
        <v>344.87</v>
      </c>
      <c r="F73" s="22">
        <v>476.28999999999996</v>
      </c>
      <c r="G73" s="22">
        <v>0</v>
      </c>
      <c r="H73" s="22">
        <v>128.69999999999999</v>
      </c>
      <c r="I73" s="22">
        <v>6.2</v>
      </c>
      <c r="J73" s="22">
        <v>205.97</v>
      </c>
      <c r="K73" s="22">
        <v>0</v>
      </c>
      <c r="L73" s="22">
        <v>0</v>
      </c>
      <c r="M73" s="388">
        <v>5822.79</v>
      </c>
      <c r="N73" s="25">
        <v>0.58520000000000005</v>
      </c>
      <c r="O73" s="24">
        <v>5343</v>
      </c>
      <c r="P73" s="24">
        <v>1040.5</v>
      </c>
      <c r="Q73" s="24">
        <v>680.5</v>
      </c>
      <c r="R73" s="22">
        <v>360</v>
      </c>
      <c r="S73" s="24">
        <v>243.75</v>
      </c>
      <c r="T73" s="24">
        <f t="shared" ref="T73:T136" si="6">S73+P73</f>
        <v>1284.25</v>
      </c>
      <c r="U73" s="376">
        <v>3407.5</v>
      </c>
      <c r="V73" s="376">
        <v>291.14</v>
      </c>
      <c r="W73" s="22">
        <f t="shared" ref="W73:W136" si="7">U73*N73</f>
        <v>1994.0690000000002</v>
      </c>
      <c r="X73" s="22">
        <f t="shared" ref="X73:X136" si="8">Y73+Z73</f>
        <v>658.25</v>
      </c>
      <c r="Y73" s="22">
        <v>460.75</v>
      </c>
      <c r="Z73" s="22">
        <v>197.5</v>
      </c>
      <c r="AA73" s="371">
        <v>5858.31</v>
      </c>
      <c r="AB73" s="22">
        <v>0.11236175620614135</v>
      </c>
      <c r="AC73" s="24">
        <v>0</v>
      </c>
      <c r="AD73" s="384">
        <v>0</v>
      </c>
    </row>
    <row r="74" spans="1:30">
      <c r="A74" s="21" t="s">
        <v>241</v>
      </c>
      <c r="B74" s="21" t="s">
        <v>242</v>
      </c>
      <c r="C74" s="23">
        <v>17.96</v>
      </c>
      <c r="D74" s="147">
        <v>0</v>
      </c>
      <c r="E74" s="22">
        <v>0</v>
      </c>
      <c r="F74" s="22">
        <v>0</v>
      </c>
      <c r="G74" s="22">
        <v>0</v>
      </c>
      <c r="H74" s="22">
        <v>2.82</v>
      </c>
      <c r="I74" s="22">
        <v>0</v>
      </c>
      <c r="J74" s="22">
        <v>0</v>
      </c>
      <c r="K74" s="22">
        <v>0</v>
      </c>
      <c r="L74" s="22">
        <v>0</v>
      </c>
      <c r="M74" s="388">
        <v>83.259999999999991</v>
      </c>
      <c r="N74" s="25">
        <v>0.74419999999999997</v>
      </c>
      <c r="O74" s="24">
        <v>86</v>
      </c>
      <c r="P74" s="24">
        <v>6</v>
      </c>
      <c r="Q74" s="24">
        <v>1</v>
      </c>
      <c r="R74" s="22">
        <v>5</v>
      </c>
      <c r="S74" s="24">
        <v>5</v>
      </c>
      <c r="T74" s="24">
        <f t="shared" si="6"/>
        <v>11</v>
      </c>
      <c r="U74" s="376">
        <v>61.96</v>
      </c>
      <c r="V74" s="376">
        <v>0</v>
      </c>
      <c r="W74" s="22">
        <f t="shared" si="7"/>
        <v>46.110631999999995</v>
      </c>
      <c r="X74" s="22">
        <f t="shared" si="8"/>
        <v>7.75</v>
      </c>
      <c r="Y74" s="22">
        <v>5.75</v>
      </c>
      <c r="Z74" s="22">
        <v>2</v>
      </c>
      <c r="AA74" s="371">
        <v>83.26</v>
      </c>
      <c r="AB74" s="22">
        <v>9.3081912082632709E-2</v>
      </c>
      <c r="AC74" s="24">
        <v>0</v>
      </c>
      <c r="AD74" s="384">
        <v>0</v>
      </c>
    </row>
    <row r="75" spans="1:30">
      <c r="A75" s="21" t="s">
        <v>385</v>
      </c>
      <c r="B75" s="21" t="s">
        <v>386</v>
      </c>
      <c r="C75" s="23">
        <v>572.20000000000005</v>
      </c>
      <c r="D75" s="147">
        <v>25.24</v>
      </c>
      <c r="E75" s="22">
        <v>131.85</v>
      </c>
      <c r="F75" s="22">
        <v>157.09</v>
      </c>
      <c r="G75" s="22">
        <v>0</v>
      </c>
      <c r="H75" s="22">
        <v>38.44</v>
      </c>
      <c r="I75" s="22">
        <v>2.38</v>
      </c>
      <c r="J75" s="22">
        <v>64.600000000000009</v>
      </c>
      <c r="K75" s="22">
        <v>24.4</v>
      </c>
      <c r="L75" s="22">
        <v>0</v>
      </c>
      <c r="M75" s="388">
        <v>1907.3200000000002</v>
      </c>
      <c r="N75" s="25">
        <v>0.41880000000000001</v>
      </c>
      <c r="O75" s="24">
        <v>200</v>
      </c>
      <c r="P75" s="24">
        <v>15.25</v>
      </c>
      <c r="Q75" s="24">
        <v>6.25</v>
      </c>
      <c r="R75" s="22">
        <v>9</v>
      </c>
      <c r="S75" s="24">
        <v>1</v>
      </c>
      <c r="T75" s="24">
        <f t="shared" si="6"/>
        <v>16.25</v>
      </c>
      <c r="U75" s="376">
        <v>798.79</v>
      </c>
      <c r="V75" s="376">
        <v>95.37</v>
      </c>
      <c r="W75" s="22">
        <f t="shared" si="7"/>
        <v>334.533252</v>
      </c>
      <c r="X75" s="22">
        <f t="shared" si="8"/>
        <v>211</v>
      </c>
      <c r="Y75" s="22">
        <v>132</v>
      </c>
      <c r="Z75" s="22">
        <v>79</v>
      </c>
      <c r="AA75" s="371">
        <v>1937.62</v>
      </c>
      <c r="AB75" s="22">
        <v>0.10889648125019354</v>
      </c>
      <c r="AC75" s="24">
        <v>0</v>
      </c>
      <c r="AD75" s="384">
        <v>0</v>
      </c>
    </row>
    <row r="76" spans="1:30">
      <c r="A76" s="21" t="s">
        <v>429</v>
      </c>
      <c r="B76" s="21" t="s">
        <v>430</v>
      </c>
      <c r="C76" s="23">
        <v>5927.35</v>
      </c>
      <c r="D76" s="147">
        <v>113.59</v>
      </c>
      <c r="E76" s="22">
        <v>925.87</v>
      </c>
      <c r="F76" s="22">
        <v>1039.46</v>
      </c>
      <c r="G76" s="22">
        <v>0</v>
      </c>
      <c r="H76" s="22">
        <v>358.56</v>
      </c>
      <c r="I76" s="22">
        <v>41.34</v>
      </c>
      <c r="J76" s="22">
        <v>884.1400000000001</v>
      </c>
      <c r="K76" s="22">
        <v>115.72</v>
      </c>
      <c r="L76" s="22">
        <v>0</v>
      </c>
      <c r="M76" s="388">
        <v>20060.140000000003</v>
      </c>
      <c r="N76" s="25">
        <v>0.36670000000000003</v>
      </c>
      <c r="O76" s="24">
        <v>2228</v>
      </c>
      <c r="P76" s="24">
        <v>3298</v>
      </c>
      <c r="Q76" s="24">
        <v>2127.25</v>
      </c>
      <c r="R76" s="22">
        <v>1170.75</v>
      </c>
      <c r="S76" s="24">
        <v>488.25</v>
      </c>
      <c r="T76" s="24">
        <f t="shared" si="6"/>
        <v>3786.25</v>
      </c>
      <c r="U76" s="376">
        <v>7356.05</v>
      </c>
      <c r="V76" s="376">
        <v>1003.01</v>
      </c>
      <c r="W76" s="22">
        <f t="shared" si="7"/>
        <v>2697.4635350000003</v>
      </c>
      <c r="X76" s="22">
        <f t="shared" si="8"/>
        <v>2726.75</v>
      </c>
      <c r="Y76" s="22">
        <v>1427</v>
      </c>
      <c r="Z76" s="22">
        <v>1299.75</v>
      </c>
      <c r="AA76" s="371">
        <v>20082.439999999999</v>
      </c>
      <c r="AB76" s="22">
        <v>0.13577782381025413</v>
      </c>
      <c r="AC76" s="24">
        <v>7.7782381025412461E-4</v>
      </c>
      <c r="AD76" s="384">
        <v>-154545.07614489141</v>
      </c>
    </row>
    <row r="77" spans="1:30">
      <c r="A77" s="21" t="s">
        <v>245</v>
      </c>
      <c r="B77" s="21" t="s">
        <v>246</v>
      </c>
      <c r="C77" s="23">
        <v>923.04</v>
      </c>
      <c r="D77" s="147">
        <v>27.46</v>
      </c>
      <c r="E77" s="22">
        <v>199.46</v>
      </c>
      <c r="F77" s="22">
        <v>226.92000000000002</v>
      </c>
      <c r="G77" s="22">
        <v>0</v>
      </c>
      <c r="H77" s="22">
        <v>91.81</v>
      </c>
      <c r="I77" s="22">
        <v>0.54</v>
      </c>
      <c r="J77" s="22">
        <v>89.78</v>
      </c>
      <c r="K77" s="22">
        <v>2.2000000000000002</v>
      </c>
      <c r="L77" s="22">
        <v>0</v>
      </c>
      <c r="M77" s="388">
        <v>3232.5299999999997</v>
      </c>
      <c r="N77" s="25">
        <v>0.40739999999999998</v>
      </c>
      <c r="O77" s="24">
        <v>533</v>
      </c>
      <c r="P77" s="24">
        <v>218.5</v>
      </c>
      <c r="Q77" s="24">
        <v>148</v>
      </c>
      <c r="R77" s="22">
        <v>70.5</v>
      </c>
      <c r="S77" s="24">
        <v>38</v>
      </c>
      <c r="T77" s="24">
        <f t="shared" si="6"/>
        <v>256.5</v>
      </c>
      <c r="U77" s="376">
        <v>1317.26</v>
      </c>
      <c r="V77" s="376">
        <v>161.63</v>
      </c>
      <c r="W77" s="22">
        <f t="shared" si="7"/>
        <v>536.65172399999994</v>
      </c>
      <c r="X77" s="22">
        <f t="shared" si="8"/>
        <v>384.25</v>
      </c>
      <c r="Y77" s="22">
        <v>251.75</v>
      </c>
      <c r="Z77" s="22">
        <v>132.5</v>
      </c>
      <c r="AA77" s="371">
        <v>3234.11</v>
      </c>
      <c r="AB77" s="22">
        <v>0.11881166688826292</v>
      </c>
      <c r="AC77" s="24">
        <v>0</v>
      </c>
      <c r="AD77" s="384">
        <v>0</v>
      </c>
    </row>
    <row r="78" spans="1:30">
      <c r="A78" s="21" t="s">
        <v>151</v>
      </c>
      <c r="B78" s="21" t="s">
        <v>152</v>
      </c>
      <c r="C78" s="23">
        <v>419.87</v>
      </c>
      <c r="D78" s="147">
        <v>69.92</v>
      </c>
      <c r="E78" s="22">
        <v>191.86</v>
      </c>
      <c r="F78" s="22">
        <v>261.78000000000003</v>
      </c>
      <c r="G78" s="22">
        <v>0</v>
      </c>
      <c r="H78" s="22">
        <v>33.700000000000003</v>
      </c>
      <c r="I78" s="22">
        <v>1.02</v>
      </c>
      <c r="J78" s="22">
        <v>69.36</v>
      </c>
      <c r="K78" s="22">
        <v>38.4</v>
      </c>
      <c r="L78" s="22">
        <v>0</v>
      </c>
      <c r="M78" s="388">
        <v>1559.33</v>
      </c>
      <c r="N78" s="25">
        <v>0.77259999999999995</v>
      </c>
      <c r="O78" s="24">
        <v>1561</v>
      </c>
      <c r="P78" s="24">
        <v>121.5</v>
      </c>
      <c r="Q78" s="24">
        <v>81.25</v>
      </c>
      <c r="R78" s="22">
        <v>40.25</v>
      </c>
      <c r="S78" s="24">
        <v>19</v>
      </c>
      <c r="T78" s="24">
        <f t="shared" si="6"/>
        <v>140.5</v>
      </c>
      <c r="U78" s="376">
        <v>1203.96</v>
      </c>
      <c r="V78" s="376">
        <v>77.97</v>
      </c>
      <c r="W78" s="22">
        <f t="shared" si="7"/>
        <v>930.17949599999997</v>
      </c>
      <c r="X78" s="22">
        <f t="shared" si="8"/>
        <v>268.25</v>
      </c>
      <c r="Y78" s="22">
        <v>116</v>
      </c>
      <c r="Z78" s="22">
        <v>152.25</v>
      </c>
      <c r="AA78" s="371">
        <v>1567.5</v>
      </c>
      <c r="AB78" s="22">
        <v>0.1711323763955343</v>
      </c>
      <c r="AC78" s="24">
        <v>3.6132376395534294E-2</v>
      </c>
      <c r="AD78" s="384">
        <v>-502921.82990498678</v>
      </c>
    </row>
    <row r="79" spans="1:30">
      <c r="A79" s="21" t="s">
        <v>573</v>
      </c>
      <c r="B79" s="21" t="s">
        <v>574</v>
      </c>
      <c r="C79" s="23">
        <v>21</v>
      </c>
      <c r="D79" s="147">
        <v>0</v>
      </c>
      <c r="E79" s="22">
        <v>0</v>
      </c>
      <c r="F79" s="22">
        <v>0</v>
      </c>
      <c r="G79" s="22">
        <v>0</v>
      </c>
      <c r="H79" s="22">
        <v>1.36</v>
      </c>
      <c r="I79" s="22">
        <v>0</v>
      </c>
      <c r="J79" s="22">
        <v>0</v>
      </c>
      <c r="K79" s="22">
        <v>0</v>
      </c>
      <c r="L79" s="22">
        <v>0</v>
      </c>
      <c r="M79" s="388">
        <v>74.679999999999993</v>
      </c>
      <c r="N79" s="25">
        <v>0.59379999999999999</v>
      </c>
      <c r="O79" s="24">
        <v>80</v>
      </c>
      <c r="P79" s="24">
        <v>0</v>
      </c>
      <c r="Q79" s="24">
        <v>0</v>
      </c>
      <c r="R79" s="22">
        <v>0</v>
      </c>
      <c r="S79" s="24">
        <v>0</v>
      </c>
      <c r="T79" s="24">
        <f t="shared" si="6"/>
        <v>0</v>
      </c>
      <c r="U79" s="376">
        <v>44.34</v>
      </c>
      <c r="V79" s="376">
        <v>3.73</v>
      </c>
      <c r="W79" s="22">
        <f t="shared" si="7"/>
        <v>26.329092000000003</v>
      </c>
      <c r="X79" s="22">
        <f t="shared" si="8"/>
        <v>9.25</v>
      </c>
      <c r="Y79" s="22">
        <v>5.25</v>
      </c>
      <c r="Z79" s="22">
        <v>4</v>
      </c>
      <c r="AA79" s="371">
        <v>74.67</v>
      </c>
      <c r="AB79" s="22">
        <v>0.12387839828579081</v>
      </c>
      <c r="AC79" s="24">
        <v>0</v>
      </c>
      <c r="AD79" s="384">
        <v>0</v>
      </c>
    </row>
    <row r="80" spans="1:30">
      <c r="A80" s="21" t="s">
        <v>33</v>
      </c>
      <c r="B80" s="21" t="s">
        <v>34</v>
      </c>
      <c r="C80" s="23">
        <v>115.2</v>
      </c>
      <c r="D80" s="147">
        <v>0</v>
      </c>
      <c r="E80" s="22">
        <v>0</v>
      </c>
      <c r="F80" s="22">
        <v>0</v>
      </c>
      <c r="G80" s="22">
        <v>0</v>
      </c>
      <c r="H80" s="22">
        <v>8.8000000000000007</v>
      </c>
      <c r="I80" s="22">
        <v>0.65</v>
      </c>
      <c r="J80" s="22">
        <v>0</v>
      </c>
      <c r="K80" s="22">
        <v>0</v>
      </c>
      <c r="L80" s="22">
        <v>0</v>
      </c>
      <c r="M80" s="388">
        <v>312.99</v>
      </c>
      <c r="N80" s="25">
        <v>0.64759999999999995</v>
      </c>
      <c r="O80" s="24">
        <v>313</v>
      </c>
      <c r="P80" s="24">
        <v>50.75</v>
      </c>
      <c r="Q80" s="24">
        <v>29.5</v>
      </c>
      <c r="R80" s="22">
        <v>21.25</v>
      </c>
      <c r="S80" s="24">
        <v>6</v>
      </c>
      <c r="T80" s="24">
        <f t="shared" si="6"/>
        <v>56.75</v>
      </c>
      <c r="U80" s="376">
        <v>202.69</v>
      </c>
      <c r="V80" s="376">
        <v>15.65</v>
      </c>
      <c r="W80" s="22">
        <f t="shared" si="7"/>
        <v>131.262044</v>
      </c>
      <c r="X80" s="22">
        <f t="shared" si="8"/>
        <v>36.25</v>
      </c>
      <c r="Y80" s="22">
        <v>31.25</v>
      </c>
      <c r="Z80" s="22">
        <v>5</v>
      </c>
      <c r="AA80" s="371">
        <v>316.87</v>
      </c>
      <c r="AB80" s="22">
        <v>0.11440022722252027</v>
      </c>
      <c r="AC80" s="24">
        <v>0</v>
      </c>
      <c r="AD80" s="384">
        <v>0</v>
      </c>
    </row>
    <row r="81" spans="1:30">
      <c r="A81" s="21" t="s">
        <v>187</v>
      </c>
      <c r="B81" s="21" t="s">
        <v>188</v>
      </c>
      <c r="C81" s="23">
        <v>1201.97</v>
      </c>
      <c r="D81" s="147">
        <v>24.11</v>
      </c>
      <c r="E81" s="22">
        <v>418.76</v>
      </c>
      <c r="F81" s="22">
        <v>442.87</v>
      </c>
      <c r="G81" s="22">
        <v>0</v>
      </c>
      <c r="H81" s="22">
        <v>88.71</v>
      </c>
      <c r="I81" s="22">
        <v>5.31</v>
      </c>
      <c r="J81" s="22">
        <v>0</v>
      </c>
      <c r="K81" s="22">
        <v>8.1999999999999993</v>
      </c>
      <c r="L81" s="22">
        <v>0</v>
      </c>
      <c r="M81" s="388">
        <v>4086.2400000000002</v>
      </c>
      <c r="N81" s="25">
        <v>0.29820000000000002</v>
      </c>
      <c r="O81" s="24">
        <v>10</v>
      </c>
      <c r="P81" s="24">
        <v>277.5</v>
      </c>
      <c r="Q81" s="24">
        <v>191.25</v>
      </c>
      <c r="R81" s="22">
        <v>86.25</v>
      </c>
      <c r="S81" s="24">
        <v>51.25</v>
      </c>
      <c r="T81" s="24">
        <f t="shared" si="6"/>
        <v>328.75</v>
      </c>
      <c r="U81" s="376">
        <v>1218.52</v>
      </c>
      <c r="V81" s="376">
        <v>204.31</v>
      </c>
      <c r="W81" s="22">
        <f t="shared" si="7"/>
        <v>363.362664</v>
      </c>
      <c r="X81" s="22">
        <f t="shared" si="8"/>
        <v>594.5</v>
      </c>
      <c r="Y81" s="22">
        <v>346.75</v>
      </c>
      <c r="Z81" s="22">
        <v>247.75</v>
      </c>
      <c r="AA81" s="371">
        <v>4073.36</v>
      </c>
      <c r="AB81" s="22">
        <v>0.14594830803071665</v>
      </c>
      <c r="AC81" s="24">
        <v>1.0948308030716641E-2</v>
      </c>
      <c r="AD81" s="384">
        <v>-432407.8927834591</v>
      </c>
    </row>
    <row r="82" spans="1:30">
      <c r="A82" s="21" t="s">
        <v>135</v>
      </c>
      <c r="B82" s="21" t="s">
        <v>136</v>
      </c>
      <c r="C82" s="23">
        <v>724.77</v>
      </c>
      <c r="D82" s="147">
        <v>40.92</v>
      </c>
      <c r="E82" s="22">
        <v>205.02</v>
      </c>
      <c r="F82" s="22">
        <v>245.94</v>
      </c>
      <c r="G82" s="22">
        <v>0</v>
      </c>
      <c r="H82" s="22">
        <v>44.81</v>
      </c>
      <c r="I82" s="22">
        <v>3.64</v>
      </c>
      <c r="J82" s="22">
        <v>4.9800000000000004</v>
      </c>
      <c r="K82" s="22">
        <v>12.4</v>
      </c>
      <c r="L82" s="22">
        <v>0</v>
      </c>
      <c r="M82" s="388">
        <v>2582.81</v>
      </c>
      <c r="N82" s="25">
        <v>0.56030000000000002</v>
      </c>
      <c r="O82" s="24">
        <v>1779</v>
      </c>
      <c r="P82" s="24">
        <v>359.5</v>
      </c>
      <c r="Q82" s="24">
        <v>224.75</v>
      </c>
      <c r="R82" s="22">
        <v>134.75</v>
      </c>
      <c r="S82" s="24">
        <v>61</v>
      </c>
      <c r="T82" s="24">
        <f t="shared" si="6"/>
        <v>420.5</v>
      </c>
      <c r="U82" s="376">
        <v>1447.15</v>
      </c>
      <c r="V82" s="376">
        <v>0</v>
      </c>
      <c r="W82" s="22">
        <f t="shared" si="7"/>
        <v>810.83814500000005</v>
      </c>
      <c r="X82" s="22">
        <f t="shared" si="8"/>
        <v>332</v>
      </c>
      <c r="Y82" s="22">
        <v>239.5</v>
      </c>
      <c r="Z82" s="22">
        <v>92.5</v>
      </c>
      <c r="AA82" s="371">
        <v>2597.35</v>
      </c>
      <c r="AB82" s="22">
        <v>0.12782258840741526</v>
      </c>
      <c r="AC82" s="24">
        <v>0</v>
      </c>
      <c r="AD82" s="384">
        <v>0</v>
      </c>
    </row>
    <row r="83" spans="1:30">
      <c r="A83" s="21" t="s">
        <v>273</v>
      </c>
      <c r="B83" s="21" t="s">
        <v>274</v>
      </c>
      <c r="C83" s="23">
        <v>21.2</v>
      </c>
      <c r="D83" s="147">
        <v>0</v>
      </c>
      <c r="E83" s="22">
        <v>0</v>
      </c>
      <c r="F83" s="22">
        <v>0</v>
      </c>
      <c r="G83" s="22">
        <v>0</v>
      </c>
      <c r="H83" s="22">
        <v>0</v>
      </c>
      <c r="I83" s="22">
        <v>0</v>
      </c>
      <c r="J83" s="22">
        <v>0</v>
      </c>
      <c r="K83" s="22">
        <v>0</v>
      </c>
      <c r="L83" s="22">
        <v>0</v>
      </c>
      <c r="M83" s="388">
        <v>46</v>
      </c>
      <c r="N83" s="25">
        <v>0.6038</v>
      </c>
      <c r="O83" s="24">
        <v>47</v>
      </c>
      <c r="P83" s="24">
        <v>2</v>
      </c>
      <c r="Q83" s="24">
        <v>2</v>
      </c>
      <c r="R83" s="22">
        <v>0</v>
      </c>
      <c r="S83" s="24">
        <v>1.75</v>
      </c>
      <c r="T83" s="24">
        <f t="shared" si="6"/>
        <v>3.75</v>
      </c>
      <c r="U83" s="376">
        <v>27.77</v>
      </c>
      <c r="V83" s="376">
        <v>2.2999999999999998</v>
      </c>
      <c r="W83" s="22">
        <f t="shared" si="7"/>
        <v>16.767526</v>
      </c>
      <c r="X83" s="22">
        <f t="shared" si="8"/>
        <v>6</v>
      </c>
      <c r="Y83" s="22">
        <v>5</v>
      </c>
      <c r="Z83" s="22">
        <v>1</v>
      </c>
      <c r="AA83" s="371">
        <v>46</v>
      </c>
      <c r="AB83" s="22">
        <v>0.13043478260869565</v>
      </c>
      <c r="AC83" s="24">
        <v>0</v>
      </c>
      <c r="AD83" s="384">
        <v>0</v>
      </c>
    </row>
    <row r="84" spans="1:30">
      <c r="A84" s="21" t="s">
        <v>423</v>
      </c>
      <c r="B84" s="21" t="s">
        <v>424</v>
      </c>
      <c r="C84" s="23">
        <v>6286.54</v>
      </c>
      <c r="D84" s="147">
        <v>416.83</v>
      </c>
      <c r="E84" s="22">
        <v>1098.77</v>
      </c>
      <c r="F84" s="22">
        <v>1515.6</v>
      </c>
      <c r="G84" s="22">
        <v>0</v>
      </c>
      <c r="H84" s="22">
        <v>320.67</v>
      </c>
      <c r="I84" s="22">
        <v>17.16</v>
      </c>
      <c r="J84" s="22">
        <v>255.17000000000002</v>
      </c>
      <c r="K84" s="22">
        <v>114.4</v>
      </c>
      <c r="L84" s="22">
        <v>0</v>
      </c>
      <c r="M84" s="388">
        <v>19752.27</v>
      </c>
      <c r="N84" s="25">
        <v>0.38479999999999998</v>
      </c>
      <c r="O84" s="24">
        <v>7753</v>
      </c>
      <c r="P84" s="24">
        <v>3154.25</v>
      </c>
      <c r="Q84" s="24">
        <v>2337.5</v>
      </c>
      <c r="R84" s="22">
        <v>816.75</v>
      </c>
      <c r="S84" s="24">
        <v>751.75</v>
      </c>
      <c r="T84" s="24">
        <f t="shared" si="6"/>
        <v>3906</v>
      </c>
      <c r="U84" s="376">
        <v>7533.52</v>
      </c>
      <c r="V84" s="376">
        <v>987.61</v>
      </c>
      <c r="W84" s="22">
        <f t="shared" si="7"/>
        <v>2898.8984959999998</v>
      </c>
      <c r="X84" s="22">
        <f t="shared" si="8"/>
        <v>2405.5</v>
      </c>
      <c r="Y84" s="22">
        <v>1133.25</v>
      </c>
      <c r="Z84" s="22">
        <v>1272.25</v>
      </c>
      <c r="AA84" s="371">
        <v>19847.490000000002</v>
      </c>
      <c r="AB84" s="22">
        <v>0.12119920453417535</v>
      </c>
      <c r="AC84" s="24">
        <v>0</v>
      </c>
      <c r="AD84" s="384">
        <v>0</v>
      </c>
    </row>
    <row r="85" spans="1:30">
      <c r="A85" s="21" t="s">
        <v>65</v>
      </c>
      <c r="B85" s="21" t="s">
        <v>66</v>
      </c>
      <c r="C85" s="23">
        <v>5946.67</v>
      </c>
      <c r="D85" s="147">
        <v>213.52</v>
      </c>
      <c r="E85" s="22">
        <v>2172.5300000000002</v>
      </c>
      <c r="F85" s="22">
        <v>2386.0500000000002</v>
      </c>
      <c r="G85" s="22">
        <v>561.57000000000005</v>
      </c>
      <c r="H85" s="22">
        <v>357.02</v>
      </c>
      <c r="I85" s="22">
        <v>4.8099999999999996</v>
      </c>
      <c r="J85" s="22">
        <v>632.16</v>
      </c>
      <c r="K85" s="22">
        <v>72.8</v>
      </c>
      <c r="L85" s="22">
        <v>0</v>
      </c>
      <c r="M85" s="388">
        <v>22954.33</v>
      </c>
      <c r="N85" s="25">
        <v>0.53939999999999999</v>
      </c>
      <c r="O85" s="24">
        <v>13327</v>
      </c>
      <c r="P85" s="24">
        <v>3283.25</v>
      </c>
      <c r="Q85" s="24">
        <v>2124.5</v>
      </c>
      <c r="R85" s="22">
        <v>1158.75</v>
      </c>
      <c r="S85" s="24">
        <v>606.25</v>
      </c>
      <c r="T85" s="24">
        <f t="shared" si="6"/>
        <v>3889.5</v>
      </c>
      <c r="U85" s="376">
        <v>12340.25</v>
      </c>
      <c r="V85" s="376">
        <v>1147.72</v>
      </c>
      <c r="W85" s="22">
        <f t="shared" si="7"/>
        <v>6656.3308500000003</v>
      </c>
      <c r="X85" s="22">
        <f t="shared" si="8"/>
        <v>3096.5</v>
      </c>
      <c r="Y85" s="22">
        <v>2420.75</v>
      </c>
      <c r="Z85" s="22">
        <v>675.75</v>
      </c>
      <c r="AA85" s="371">
        <v>22566.85</v>
      </c>
      <c r="AB85" s="22">
        <v>0.13721454257018592</v>
      </c>
      <c r="AC85" s="24">
        <v>2.2145425701859123E-3</v>
      </c>
      <c r="AD85" s="384">
        <v>-453749.41115325008</v>
      </c>
    </row>
    <row r="86" spans="1:30">
      <c r="A86" s="21" t="s">
        <v>497</v>
      </c>
      <c r="B86" s="21" t="s">
        <v>498</v>
      </c>
      <c r="C86" s="23">
        <v>13.2</v>
      </c>
      <c r="D86" s="147">
        <v>0</v>
      </c>
      <c r="E86" s="22">
        <v>0</v>
      </c>
      <c r="F86" s="22">
        <v>0</v>
      </c>
      <c r="G86" s="22">
        <v>0</v>
      </c>
      <c r="H86" s="22">
        <v>0</v>
      </c>
      <c r="I86" s="22">
        <v>0</v>
      </c>
      <c r="J86" s="22">
        <v>0</v>
      </c>
      <c r="K86" s="22">
        <v>0</v>
      </c>
      <c r="L86" s="22">
        <v>0</v>
      </c>
      <c r="M86" s="388">
        <v>25.799999999999997</v>
      </c>
      <c r="N86" s="25">
        <v>0.83330000000000004</v>
      </c>
      <c r="O86" s="24">
        <v>24</v>
      </c>
      <c r="P86" s="24">
        <v>0</v>
      </c>
      <c r="Q86" s="24">
        <v>0</v>
      </c>
      <c r="R86" s="22">
        <v>0</v>
      </c>
      <c r="S86" s="24">
        <v>0</v>
      </c>
      <c r="T86" s="24">
        <f t="shared" si="6"/>
        <v>0</v>
      </c>
      <c r="U86" s="376">
        <v>21.5</v>
      </c>
      <c r="V86" s="376">
        <v>1.29</v>
      </c>
      <c r="W86" s="22">
        <f t="shared" si="7"/>
        <v>17.915950000000002</v>
      </c>
      <c r="X86" s="22">
        <f t="shared" si="8"/>
        <v>1</v>
      </c>
      <c r="Y86" s="22">
        <v>1</v>
      </c>
      <c r="Z86" s="22">
        <v>0</v>
      </c>
      <c r="AA86" s="371">
        <v>25.8</v>
      </c>
      <c r="AB86" s="22">
        <v>3.875968992248062E-2</v>
      </c>
      <c r="AC86" s="24">
        <v>0</v>
      </c>
      <c r="AD86" s="384">
        <v>0</v>
      </c>
    </row>
    <row r="87" spans="1:30">
      <c r="A87" s="21" t="s">
        <v>185</v>
      </c>
      <c r="B87" s="21" t="s">
        <v>186</v>
      </c>
      <c r="C87" s="23">
        <v>5729.63</v>
      </c>
      <c r="D87" s="147">
        <v>89.12</v>
      </c>
      <c r="E87" s="22">
        <v>1275.18</v>
      </c>
      <c r="F87" s="22">
        <v>1364.3000000000002</v>
      </c>
      <c r="G87" s="22">
        <v>0</v>
      </c>
      <c r="H87" s="22">
        <v>529.64</v>
      </c>
      <c r="I87" s="22">
        <v>47.73</v>
      </c>
      <c r="J87" s="22">
        <v>829.95</v>
      </c>
      <c r="K87" s="22">
        <v>120.12</v>
      </c>
      <c r="L87" s="22">
        <v>0</v>
      </c>
      <c r="M87" s="388">
        <v>20447.68</v>
      </c>
      <c r="N87" s="25">
        <v>0.65649999999999997</v>
      </c>
      <c r="O87" s="24">
        <v>18830</v>
      </c>
      <c r="P87" s="24">
        <v>5052.25</v>
      </c>
      <c r="Q87" s="24">
        <v>3239.75</v>
      </c>
      <c r="R87" s="22">
        <v>1812.5</v>
      </c>
      <c r="S87" s="24">
        <v>656.75</v>
      </c>
      <c r="T87" s="24">
        <f t="shared" si="6"/>
        <v>5709</v>
      </c>
      <c r="U87" s="376">
        <v>12777.76</v>
      </c>
      <c r="V87" s="376">
        <v>1022.38</v>
      </c>
      <c r="W87" s="22">
        <f t="shared" si="7"/>
        <v>8388.59944</v>
      </c>
      <c r="X87" s="22">
        <f t="shared" si="8"/>
        <v>2656</v>
      </c>
      <c r="Y87" s="22">
        <v>1323.5</v>
      </c>
      <c r="Z87" s="22">
        <v>1332.5</v>
      </c>
      <c r="AA87" s="371">
        <v>20545.96</v>
      </c>
      <c r="AB87" s="22">
        <v>0.12927115598395014</v>
      </c>
      <c r="AC87" s="24">
        <v>0</v>
      </c>
      <c r="AD87" s="384">
        <v>0</v>
      </c>
    </row>
    <row r="88" spans="1:30">
      <c r="A88" s="21" t="s">
        <v>541</v>
      </c>
      <c r="B88" s="21" t="s">
        <v>542</v>
      </c>
      <c r="C88" s="23">
        <v>1343.51</v>
      </c>
      <c r="D88" s="147">
        <v>17.98</v>
      </c>
      <c r="E88" s="22">
        <v>252.22</v>
      </c>
      <c r="F88" s="22">
        <v>270.2</v>
      </c>
      <c r="G88" s="22">
        <v>0</v>
      </c>
      <c r="H88" s="22">
        <v>94.16</v>
      </c>
      <c r="I88" s="22">
        <v>17.37</v>
      </c>
      <c r="J88" s="22">
        <v>97.02000000000001</v>
      </c>
      <c r="K88" s="22">
        <v>36.659999999999997</v>
      </c>
      <c r="L88" s="22">
        <v>3.14</v>
      </c>
      <c r="M88" s="388">
        <v>4375.380000000001</v>
      </c>
      <c r="N88" s="25">
        <v>0.48709999999999998</v>
      </c>
      <c r="O88" s="24">
        <v>1681</v>
      </c>
      <c r="P88" s="24">
        <v>336</v>
      </c>
      <c r="Q88" s="24">
        <v>223</v>
      </c>
      <c r="R88" s="22">
        <v>113</v>
      </c>
      <c r="S88" s="24">
        <v>57.25</v>
      </c>
      <c r="T88" s="24">
        <f t="shared" si="6"/>
        <v>393.25</v>
      </c>
      <c r="U88" s="376">
        <v>2129.9299999999998</v>
      </c>
      <c r="V88" s="376">
        <v>218.77</v>
      </c>
      <c r="W88" s="22">
        <f t="shared" si="7"/>
        <v>1037.4889029999999</v>
      </c>
      <c r="X88" s="22">
        <f t="shared" si="8"/>
        <v>611.5</v>
      </c>
      <c r="Y88" s="22">
        <v>348.75</v>
      </c>
      <c r="Z88" s="22">
        <v>262.75</v>
      </c>
      <c r="AA88" s="371">
        <v>4378.47</v>
      </c>
      <c r="AB88" s="22">
        <v>0.13966065771833538</v>
      </c>
      <c r="AC88" s="24">
        <v>4.6606577183353759E-3</v>
      </c>
      <c r="AD88" s="384">
        <v>-192126.95739651989</v>
      </c>
    </row>
    <row r="89" spans="1:30">
      <c r="A89" s="21" t="s">
        <v>389</v>
      </c>
      <c r="B89" s="21" t="s">
        <v>390</v>
      </c>
      <c r="C89" s="23">
        <v>1083.5999999999999</v>
      </c>
      <c r="D89" s="147">
        <v>47.73</v>
      </c>
      <c r="E89" s="22">
        <v>315.07</v>
      </c>
      <c r="F89" s="22">
        <v>362.8</v>
      </c>
      <c r="G89" s="22">
        <v>0</v>
      </c>
      <c r="H89" s="22">
        <v>61.52</v>
      </c>
      <c r="I89" s="22">
        <v>2.36</v>
      </c>
      <c r="J89" s="22">
        <v>6.89</v>
      </c>
      <c r="K89" s="22">
        <v>17.760000000000002</v>
      </c>
      <c r="L89" s="22">
        <v>0</v>
      </c>
      <c r="M89" s="388">
        <v>3706.1400000000003</v>
      </c>
      <c r="N89" s="25">
        <v>0.45729999999999998</v>
      </c>
      <c r="O89" s="24">
        <v>841</v>
      </c>
      <c r="P89" s="24">
        <v>518</v>
      </c>
      <c r="Q89" s="24">
        <v>355.5</v>
      </c>
      <c r="R89" s="22">
        <v>162.5</v>
      </c>
      <c r="S89" s="24">
        <v>106.5</v>
      </c>
      <c r="T89" s="24">
        <f t="shared" si="6"/>
        <v>624.5</v>
      </c>
      <c r="U89" s="376">
        <v>1694.82</v>
      </c>
      <c r="V89" s="376">
        <v>185.31</v>
      </c>
      <c r="W89" s="22">
        <f t="shared" si="7"/>
        <v>775.04118599999993</v>
      </c>
      <c r="X89" s="22">
        <f t="shared" si="8"/>
        <v>389</v>
      </c>
      <c r="Y89" s="22">
        <v>178.25</v>
      </c>
      <c r="Z89" s="22">
        <v>210.75</v>
      </c>
      <c r="AA89" s="371">
        <v>3719.9</v>
      </c>
      <c r="AB89" s="22">
        <v>0.1045727035673002</v>
      </c>
      <c r="AC89" s="24">
        <v>0</v>
      </c>
      <c r="AD89" s="384">
        <v>0</v>
      </c>
    </row>
    <row r="90" spans="1:30">
      <c r="A90" s="21" t="s">
        <v>23</v>
      </c>
      <c r="B90" s="21" t="s">
        <v>24</v>
      </c>
      <c r="C90" s="23">
        <v>220.18</v>
      </c>
      <c r="D90" s="147">
        <v>5.68</v>
      </c>
      <c r="E90" s="22">
        <v>64.5</v>
      </c>
      <c r="F90" s="22">
        <v>70.180000000000007</v>
      </c>
      <c r="G90" s="22">
        <v>0</v>
      </c>
      <c r="H90" s="22">
        <v>13.36</v>
      </c>
      <c r="I90" s="22">
        <v>0.53</v>
      </c>
      <c r="J90" s="22">
        <v>17.07</v>
      </c>
      <c r="K90" s="22">
        <v>0</v>
      </c>
      <c r="L90" s="22">
        <v>0</v>
      </c>
      <c r="M90" s="388">
        <v>846.00000000000023</v>
      </c>
      <c r="N90" s="25">
        <v>0.79310000000000003</v>
      </c>
      <c r="O90" s="24">
        <v>870</v>
      </c>
      <c r="P90" s="24">
        <v>167</v>
      </c>
      <c r="Q90" s="24">
        <v>113.25</v>
      </c>
      <c r="R90" s="22">
        <v>53.75</v>
      </c>
      <c r="S90" s="24">
        <v>29</v>
      </c>
      <c r="T90" s="24">
        <f t="shared" si="6"/>
        <v>196</v>
      </c>
      <c r="U90" s="376">
        <v>670.96</v>
      </c>
      <c r="V90" s="376">
        <v>42.3</v>
      </c>
      <c r="W90" s="22">
        <f t="shared" si="7"/>
        <v>532.13837599999999</v>
      </c>
      <c r="X90" s="22">
        <f t="shared" si="8"/>
        <v>100.5</v>
      </c>
      <c r="Y90" s="22">
        <v>61.5</v>
      </c>
      <c r="Z90" s="22">
        <v>39</v>
      </c>
      <c r="AA90" s="371">
        <v>863.49</v>
      </c>
      <c r="AB90" s="22">
        <v>0.11638814578049543</v>
      </c>
      <c r="AC90" s="24">
        <v>0</v>
      </c>
      <c r="AD90" s="384">
        <v>0</v>
      </c>
    </row>
    <row r="91" spans="1:30">
      <c r="A91" s="21" t="s">
        <v>381</v>
      </c>
      <c r="B91" s="21" t="s">
        <v>382</v>
      </c>
      <c r="C91" s="23">
        <v>2186.65</v>
      </c>
      <c r="D91" s="147">
        <v>107.61</v>
      </c>
      <c r="E91" s="22">
        <v>528.71</v>
      </c>
      <c r="F91" s="22">
        <v>636.32000000000005</v>
      </c>
      <c r="G91" s="22">
        <v>0</v>
      </c>
      <c r="H91" s="22">
        <v>134.72999999999999</v>
      </c>
      <c r="I91" s="22">
        <v>13.05</v>
      </c>
      <c r="J91" s="22">
        <v>97.800000000000011</v>
      </c>
      <c r="K91" s="22">
        <v>0</v>
      </c>
      <c r="L91" s="22">
        <v>0</v>
      </c>
      <c r="M91" s="388">
        <v>7315.3799999999992</v>
      </c>
      <c r="N91" s="25">
        <v>0.7823</v>
      </c>
      <c r="O91" s="24">
        <v>7395</v>
      </c>
      <c r="P91" s="24">
        <v>924</v>
      </c>
      <c r="Q91" s="24">
        <v>603</v>
      </c>
      <c r="R91" s="22">
        <v>321</v>
      </c>
      <c r="S91" s="24">
        <v>173.5</v>
      </c>
      <c r="T91" s="24">
        <f t="shared" si="6"/>
        <v>1097.5</v>
      </c>
      <c r="U91" s="376">
        <v>5722.82</v>
      </c>
      <c r="V91" s="376">
        <v>365.77</v>
      </c>
      <c r="W91" s="22">
        <f t="shared" si="7"/>
        <v>4476.9620859999995</v>
      </c>
      <c r="X91" s="22">
        <f t="shared" si="8"/>
        <v>954.5</v>
      </c>
      <c r="Y91" s="22">
        <v>475.5</v>
      </c>
      <c r="Z91" s="22">
        <v>479</v>
      </c>
      <c r="AA91" s="371">
        <v>7378.21</v>
      </c>
      <c r="AB91" s="22">
        <v>0.12936742109536054</v>
      </c>
      <c r="AC91" s="24">
        <v>0</v>
      </c>
      <c r="AD91" s="384">
        <v>0</v>
      </c>
    </row>
    <row r="92" spans="1:30">
      <c r="A92" s="21" t="s">
        <v>465</v>
      </c>
      <c r="B92" s="21" t="s">
        <v>466</v>
      </c>
      <c r="C92" s="23">
        <v>210.2</v>
      </c>
      <c r="D92" s="147">
        <v>34.31</v>
      </c>
      <c r="E92" s="22">
        <v>88.61</v>
      </c>
      <c r="F92" s="22">
        <v>122.92</v>
      </c>
      <c r="G92" s="22">
        <v>0</v>
      </c>
      <c r="H92" s="22">
        <v>21.67</v>
      </c>
      <c r="I92" s="22">
        <v>0.33</v>
      </c>
      <c r="J92" s="22">
        <v>1.8</v>
      </c>
      <c r="K92" s="22">
        <v>0.8</v>
      </c>
      <c r="L92" s="22">
        <v>0</v>
      </c>
      <c r="M92" s="388">
        <v>857.86999999999989</v>
      </c>
      <c r="N92" s="25">
        <v>0.2266</v>
      </c>
      <c r="O92" s="24">
        <v>0</v>
      </c>
      <c r="P92" s="24">
        <v>0</v>
      </c>
      <c r="Q92" s="24">
        <v>0</v>
      </c>
      <c r="R92" s="22">
        <v>0</v>
      </c>
      <c r="S92" s="24">
        <v>0</v>
      </c>
      <c r="T92" s="24">
        <f t="shared" si="6"/>
        <v>0</v>
      </c>
      <c r="U92" s="376">
        <v>194.39</v>
      </c>
      <c r="V92" s="376">
        <v>0</v>
      </c>
      <c r="W92" s="22">
        <f t="shared" si="7"/>
        <v>44.048773999999995</v>
      </c>
      <c r="X92" s="22">
        <f t="shared" si="8"/>
        <v>102.5</v>
      </c>
      <c r="Y92" s="22">
        <v>75.25</v>
      </c>
      <c r="Z92" s="22">
        <v>27.25</v>
      </c>
      <c r="AA92" s="371">
        <v>862.72</v>
      </c>
      <c r="AB92" s="22">
        <v>0.11881027448071216</v>
      </c>
      <c r="AC92" s="24">
        <v>0</v>
      </c>
      <c r="AD92" s="384">
        <v>0</v>
      </c>
    </row>
    <row r="93" spans="1:30">
      <c r="A93" s="21" t="s">
        <v>567</v>
      </c>
      <c r="B93" s="21" t="s">
        <v>568</v>
      </c>
      <c r="C93" s="23">
        <v>37.200000000000003</v>
      </c>
      <c r="D93" s="147">
        <v>0</v>
      </c>
      <c r="E93" s="22">
        <v>4.87</v>
      </c>
      <c r="F93" s="22">
        <v>4.87</v>
      </c>
      <c r="G93" s="22">
        <v>0</v>
      </c>
      <c r="H93" s="22">
        <v>2.75</v>
      </c>
      <c r="I93" s="22">
        <v>0</v>
      </c>
      <c r="J93" s="22">
        <v>0</v>
      </c>
      <c r="K93" s="22">
        <v>0</v>
      </c>
      <c r="L93" s="22">
        <v>0</v>
      </c>
      <c r="M93" s="388">
        <v>105.26</v>
      </c>
      <c r="N93" s="25">
        <v>0.52249999999999996</v>
      </c>
      <c r="O93" s="24">
        <v>82</v>
      </c>
      <c r="P93" s="24">
        <v>0</v>
      </c>
      <c r="Q93" s="24">
        <v>0</v>
      </c>
      <c r="R93" s="22">
        <v>0</v>
      </c>
      <c r="S93" s="24">
        <v>0</v>
      </c>
      <c r="T93" s="24">
        <f t="shared" si="6"/>
        <v>0</v>
      </c>
      <c r="U93" s="376">
        <v>55</v>
      </c>
      <c r="V93" s="376">
        <v>0</v>
      </c>
      <c r="W93" s="22">
        <f t="shared" si="7"/>
        <v>28.737499999999997</v>
      </c>
      <c r="X93" s="22">
        <f t="shared" si="8"/>
        <v>13.5</v>
      </c>
      <c r="Y93" s="22">
        <v>11</v>
      </c>
      <c r="Z93" s="22">
        <v>2.5</v>
      </c>
      <c r="AA93" s="371">
        <v>105.26</v>
      </c>
      <c r="AB93" s="22">
        <v>0.12825384761542846</v>
      </c>
      <c r="AC93" s="24">
        <v>0</v>
      </c>
      <c r="AD93" s="384">
        <v>0</v>
      </c>
    </row>
    <row r="94" spans="1:30">
      <c r="A94" s="21" t="s">
        <v>259</v>
      </c>
      <c r="B94" s="21" t="s">
        <v>260</v>
      </c>
      <c r="C94" s="23">
        <v>10.57</v>
      </c>
      <c r="D94" s="147">
        <v>0</v>
      </c>
      <c r="E94" s="22">
        <v>0</v>
      </c>
      <c r="F94" s="22">
        <v>0</v>
      </c>
      <c r="G94" s="22">
        <v>0</v>
      </c>
      <c r="H94" s="22">
        <v>1</v>
      </c>
      <c r="I94" s="22">
        <v>0</v>
      </c>
      <c r="J94" s="22">
        <v>0</v>
      </c>
      <c r="K94" s="22">
        <v>0</v>
      </c>
      <c r="L94" s="22">
        <v>0</v>
      </c>
      <c r="M94" s="388">
        <v>51.97</v>
      </c>
      <c r="N94" s="25">
        <v>0.56599999999999995</v>
      </c>
      <c r="O94" s="24">
        <v>16</v>
      </c>
      <c r="P94" s="24">
        <v>0</v>
      </c>
      <c r="Q94" s="24">
        <v>0</v>
      </c>
      <c r="R94" s="22">
        <v>0</v>
      </c>
      <c r="S94" s="24">
        <v>0</v>
      </c>
      <c r="T94" s="24">
        <f t="shared" si="6"/>
        <v>0</v>
      </c>
      <c r="U94" s="376">
        <v>29.42</v>
      </c>
      <c r="V94" s="376">
        <v>0</v>
      </c>
      <c r="W94" s="22">
        <f t="shared" si="7"/>
        <v>16.651720000000001</v>
      </c>
      <c r="X94" s="22">
        <f t="shared" si="8"/>
        <v>12</v>
      </c>
      <c r="Y94" s="22">
        <v>9</v>
      </c>
      <c r="Z94" s="22">
        <v>3</v>
      </c>
      <c r="AA94" s="371">
        <v>51.97</v>
      </c>
      <c r="AB94" s="22">
        <v>0.23090244371752935</v>
      </c>
      <c r="AC94" s="24">
        <v>9.5902443717529345E-2</v>
      </c>
      <c r="AD94" s="384">
        <v>-43685.802527614745</v>
      </c>
    </row>
    <row r="95" spans="1:30">
      <c r="A95" s="21" t="s">
        <v>265</v>
      </c>
      <c r="B95" s="21" t="s">
        <v>266</v>
      </c>
      <c r="C95" s="23">
        <v>217</v>
      </c>
      <c r="D95" s="147">
        <v>27.1</v>
      </c>
      <c r="E95" s="22">
        <v>80.260000000000005</v>
      </c>
      <c r="F95" s="22">
        <v>107.36000000000001</v>
      </c>
      <c r="G95" s="22">
        <v>0</v>
      </c>
      <c r="H95" s="22">
        <v>6.71</v>
      </c>
      <c r="I95" s="22">
        <v>1.34</v>
      </c>
      <c r="J95" s="22">
        <v>1378.9</v>
      </c>
      <c r="K95" s="22">
        <v>0</v>
      </c>
      <c r="L95" s="22">
        <v>0</v>
      </c>
      <c r="M95" s="388">
        <v>2240.65</v>
      </c>
      <c r="N95" s="25">
        <v>0.59160000000000001</v>
      </c>
      <c r="O95" s="24">
        <v>545</v>
      </c>
      <c r="P95" s="24">
        <v>71.25</v>
      </c>
      <c r="Q95" s="24">
        <v>39.5</v>
      </c>
      <c r="R95" s="22">
        <v>31.75</v>
      </c>
      <c r="S95" s="24">
        <v>5</v>
      </c>
      <c r="T95" s="24">
        <f t="shared" si="6"/>
        <v>76.25</v>
      </c>
      <c r="U95" s="376">
        <v>1325.57</v>
      </c>
      <c r="V95" s="376">
        <v>0</v>
      </c>
      <c r="W95" s="22">
        <f t="shared" si="7"/>
        <v>784.20721200000003</v>
      </c>
      <c r="X95" s="22">
        <f t="shared" si="8"/>
        <v>304</v>
      </c>
      <c r="Y95" s="22">
        <v>224.25</v>
      </c>
      <c r="Z95" s="22">
        <v>79.75</v>
      </c>
      <c r="AA95" s="371">
        <v>2240.66</v>
      </c>
      <c r="AB95" s="22">
        <v>0.13567431024787341</v>
      </c>
      <c r="AC95" s="24">
        <v>6.7431024787339977E-4</v>
      </c>
      <c r="AD95" s="384">
        <v>-12742.698415637025</v>
      </c>
    </row>
    <row r="96" spans="1:30">
      <c r="A96" s="21" t="s">
        <v>139</v>
      </c>
      <c r="B96" s="21" t="s">
        <v>140</v>
      </c>
      <c r="C96" s="23">
        <v>194.36</v>
      </c>
      <c r="D96" s="147">
        <v>7.56</v>
      </c>
      <c r="E96" s="22">
        <v>26.32</v>
      </c>
      <c r="F96" s="22">
        <v>33.880000000000003</v>
      </c>
      <c r="G96" s="22">
        <v>0</v>
      </c>
      <c r="H96" s="22">
        <v>11.57</v>
      </c>
      <c r="I96" s="22">
        <v>1.07</v>
      </c>
      <c r="J96" s="22">
        <v>33.32</v>
      </c>
      <c r="K96" s="22">
        <v>0</v>
      </c>
      <c r="L96" s="22">
        <v>0</v>
      </c>
      <c r="M96" s="388">
        <v>719.05000000000018</v>
      </c>
      <c r="N96" s="25">
        <v>0.73499999999999999</v>
      </c>
      <c r="O96" s="24">
        <v>717</v>
      </c>
      <c r="P96" s="24">
        <v>0</v>
      </c>
      <c r="Q96" s="24">
        <v>0</v>
      </c>
      <c r="R96" s="22">
        <v>0</v>
      </c>
      <c r="S96" s="24">
        <v>0</v>
      </c>
      <c r="T96" s="24">
        <f t="shared" si="6"/>
        <v>0</v>
      </c>
      <c r="U96" s="376">
        <v>528.5</v>
      </c>
      <c r="V96" s="376">
        <v>35.950000000000003</v>
      </c>
      <c r="W96" s="22">
        <f t="shared" si="7"/>
        <v>388.44749999999999</v>
      </c>
      <c r="X96" s="22">
        <f t="shared" si="8"/>
        <v>103.25</v>
      </c>
      <c r="Y96" s="22">
        <v>64.5</v>
      </c>
      <c r="Z96" s="22">
        <v>38.75</v>
      </c>
      <c r="AA96" s="371">
        <v>719.06</v>
      </c>
      <c r="AB96" s="22">
        <v>0.1435902428170111</v>
      </c>
      <c r="AC96" s="24">
        <v>8.5902428170110956E-3</v>
      </c>
      <c r="AD96" s="384">
        <v>-53826.077053843073</v>
      </c>
    </row>
    <row r="97" spans="1:30">
      <c r="A97" s="21" t="s">
        <v>593</v>
      </c>
      <c r="B97" s="21" t="s">
        <v>594</v>
      </c>
      <c r="C97" s="23">
        <v>971.41</v>
      </c>
      <c r="D97" s="147">
        <v>41.76</v>
      </c>
      <c r="E97" s="22">
        <v>277.12</v>
      </c>
      <c r="F97" s="22">
        <v>318.88</v>
      </c>
      <c r="G97" s="22">
        <v>0</v>
      </c>
      <c r="H97" s="22">
        <v>35</v>
      </c>
      <c r="I97" s="22">
        <v>4.17</v>
      </c>
      <c r="J97" s="22">
        <v>44.199999999999996</v>
      </c>
      <c r="K97" s="22">
        <v>7.2</v>
      </c>
      <c r="L97" s="22">
        <v>0</v>
      </c>
      <c r="M97" s="388">
        <v>3508.0599999999995</v>
      </c>
      <c r="N97" s="25">
        <v>0.85250000000000004</v>
      </c>
      <c r="O97" s="24">
        <v>3561</v>
      </c>
      <c r="P97" s="24">
        <v>1094.25</v>
      </c>
      <c r="Q97" s="24">
        <v>679.5</v>
      </c>
      <c r="R97" s="22">
        <v>414.75</v>
      </c>
      <c r="S97" s="24">
        <v>192.75</v>
      </c>
      <c r="T97" s="24">
        <f t="shared" si="6"/>
        <v>1287</v>
      </c>
      <c r="U97" s="376">
        <v>2990.62</v>
      </c>
      <c r="V97" s="376">
        <v>175.4</v>
      </c>
      <c r="W97" s="22">
        <f t="shared" si="7"/>
        <v>2549.5035499999999</v>
      </c>
      <c r="X97" s="22">
        <f t="shared" si="8"/>
        <v>511.5</v>
      </c>
      <c r="Y97" s="22">
        <v>234.5</v>
      </c>
      <c r="Z97" s="22">
        <v>277</v>
      </c>
      <c r="AA97" s="371">
        <v>3518.33</v>
      </c>
      <c r="AB97" s="22">
        <v>0.1453814735968485</v>
      </c>
      <c r="AC97" s="24">
        <v>1.0381473596848489E-2</v>
      </c>
      <c r="AD97" s="384">
        <v>-317325.18161112774</v>
      </c>
    </row>
    <row r="98" spans="1:30">
      <c r="A98" s="21" t="s">
        <v>601</v>
      </c>
      <c r="B98" s="21" t="s">
        <v>602</v>
      </c>
      <c r="C98" s="23">
        <v>429</v>
      </c>
      <c r="D98" s="147">
        <v>21.06</v>
      </c>
      <c r="E98" s="22">
        <v>165.61</v>
      </c>
      <c r="F98" s="22">
        <v>186.67000000000002</v>
      </c>
      <c r="G98" s="22">
        <v>0</v>
      </c>
      <c r="H98" s="22">
        <v>19.579999999999998</v>
      </c>
      <c r="I98" s="22">
        <v>0.8</v>
      </c>
      <c r="J98" s="22">
        <v>0</v>
      </c>
      <c r="K98" s="22">
        <v>0</v>
      </c>
      <c r="L98" s="22">
        <v>0</v>
      </c>
      <c r="M98" s="388">
        <v>1457.05</v>
      </c>
      <c r="N98" s="25">
        <v>0.90959999999999996</v>
      </c>
      <c r="O98" s="24">
        <v>1437</v>
      </c>
      <c r="P98" s="24">
        <v>568.75</v>
      </c>
      <c r="Q98" s="24">
        <v>354.25</v>
      </c>
      <c r="R98" s="22">
        <v>214.5</v>
      </c>
      <c r="S98" s="24">
        <v>107</v>
      </c>
      <c r="T98" s="24">
        <f t="shared" si="6"/>
        <v>675.75</v>
      </c>
      <c r="U98" s="376">
        <v>1325.33</v>
      </c>
      <c r="V98" s="376">
        <v>72.849999999999994</v>
      </c>
      <c r="W98" s="22">
        <f t="shared" si="7"/>
        <v>1205.5201679999998</v>
      </c>
      <c r="X98" s="22">
        <f t="shared" si="8"/>
        <v>190.25</v>
      </c>
      <c r="Y98" s="22">
        <v>88.25</v>
      </c>
      <c r="Z98" s="22">
        <v>102</v>
      </c>
      <c r="AA98" s="371">
        <v>1483.52</v>
      </c>
      <c r="AB98" s="22">
        <v>0.12824228861087145</v>
      </c>
      <c r="AC98" s="24">
        <v>0</v>
      </c>
      <c r="AD98" s="384">
        <v>0</v>
      </c>
    </row>
    <row r="99" spans="1:30">
      <c r="A99" s="21" t="s">
        <v>447</v>
      </c>
      <c r="B99" s="21" t="s">
        <v>448</v>
      </c>
      <c r="C99" s="23">
        <v>633.20000000000005</v>
      </c>
      <c r="D99" s="147">
        <v>71.14</v>
      </c>
      <c r="E99" s="22">
        <v>133.44999999999999</v>
      </c>
      <c r="F99" s="22">
        <v>204.58999999999997</v>
      </c>
      <c r="G99" s="22">
        <v>0</v>
      </c>
      <c r="H99" s="22">
        <v>12.07</v>
      </c>
      <c r="I99" s="22">
        <v>0.08</v>
      </c>
      <c r="J99" s="22">
        <v>139.46</v>
      </c>
      <c r="K99" s="22">
        <v>50.2</v>
      </c>
      <c r="L99" s="22">
        <v>0</v>
      </c>
      <c r="M99" s="388">
        <v>2169.1799999999998</v>
      </c>
      <c r="N99" s="25">
        <v>0.46089999999999998</v>
      </c>
      <c r="O99" s="24">
        <v>197</v>
      </c>
      <c r="P99" s="24">
        <v>83.25</v>
      </c>
      <c r="Q99" s="24">
        <v>51.5</v>
      </c>
      <c r="R99" s="22">
        <v>31.75</v>
      </c>
      <c r="S99" s="24">
        <v>7.75</v>
      </c>
      <c r="T99" s="24">
        <f t="shared" si="6"/>
        <v>91</v>
      </c>
      <c r="U99" s="376">
        <v>999.78</v>
      </c>
      <c r="V99" s="376">
        <v>108.46</v>
      </c>
      <c r="W99" s="22">
        <f t="shared" si="7"/>
        <v>460.79860199999996</v>
      </c>
      <c r="X99" s="22">
        <f t="shared" si="8"/>
        <v>366</v>
      </c>
      <c r="Y99" s="22">
        <v>182.25</v>
      </c>
      <c r="Z99" s="22">
        <v>183.75</v>
      </c>
      <c r="AA99" s="371">
        <v>2180.04</v>
      </c>
      <c r="AB99" s="22">
        <v>0.16788682776462818</v>
      </c>
      <c r="AC99" s="24">
        <v>3.2886827764628174E-2</v>
      </c>
      <c r="AD99" s="384">
        <v>-681742.45727665513</v>
      </c>
    </row>
    <row r="100" spans="1:30">
      <c r="A100" s="21" t="s">
        <v>315</v>
      </c>
      <c r="B100" s="21" t="s">
        <v>316</v>
      </c>
      <c r="C100" s="23">
        <v>99.8</v>
      </c>
      <c r="D100" s="147">
        <v>0</v>
      </c>
      <c r="E100" s="22">
        <v>0</v>
      </c>
      <c r="F100" s="22">
        <v>0</v>
      </c>
      <c r="G100" s="22">
        <v>0</v>
      </c>
      <c r="H100" s="22">
        <v>0</v>
      </c>
      <c r="I100" s="22">
        <v>0</v>
      </c>
      <c r="J100" s="22">
        <v>0</v>
      </c>
      <c r="K100" s="22">
        <v>0</v>
      </c>
      <c r="L100" s="22">
        <v>0</v>
      </c>
      <c r="M100" s="388">
        <v>214.6</v>
      </c>
      <c r="N100" s="25">
        <v>0.45540000000000003</v>
      </c>
      <c r="O100" s="24">
        <v>0</v>
      </c>
      <c r="P100" s="24">
        <v>0</v>
      </c>
      <c r="Q100" s="24">
        <v>0</v>
      </c>
      <c r="R100" s="22">
        <v>0</v>
      </c>
      <c r="S100" s="24">
        <v>0</v>
      </c>
      <c r="T100" s="24">
        <f t="shared" si="6"/>
        <v>0</v>
      </c>
      <c r="U100" s="376">
        <v>97.73</v>
      </c>
      <c r="V100" s="376">
        <v>10.73</v>
      </c>
      <c r="W100" s="22">
        <f t="shared" si="7"/>
        <v>44.506242000000007</v>
      </c>
      <c r="X100" s="22">
        <f t="shared" si="8"/>
        <v>24.5</v>
      </c>
      <c r="Y100" s="22">
        <v>24.5</v>
      </c>
      <c r="Z100" s="22">
        <v>0</v>
      </c>
      <c r="AA100" s="371">
        <v>214.6</v>
      </c>
      <c r="AB100" s="22">
        <v>0.114165890027959</v>
      </c>
      <c r="AC100" s="24">
        <v>0</v>
      </c>
      <c r="AD100" s="384">
        <v>0</v>
      </c>
    </row>
    <row r="101" spans="1:30">
      <c r="A101" s="21" t="s">
        <v>455</v>
      </c>
      <c r="B101" s="21" t="s">
        <v>456</v>
      </c>
      <c r="C101" s="23">
        <v>17.399999999999999</v>
      </c>
      <c r="D101" s="147">
        <v>0</v>
      </c>
      <c r="E101" s="22">
        <v>0</v>
      </c>
      <c r="F101" s="22">
        <v>0</v>
      </c>
      <c r="G101" s="22">
        <v>0</v>
      </c>
      <c r="H101" s="22">
        <v>0</v>
      </c>
      <c r="I101" s="22">
        <v>0</v>
      </c>
      <c r="J101" s="22">
        <v>0</v>
      </c>
      <c r="K101" s="22">
        <v>0</v>
      </c>
      <c r="L101" s="22">
        <v>0</v>
      </c>
      <c r="M101" s="388">
        <v>28</v>
      </c>
      <c r="N101" s="25">
        <v>0.43330000000000002</v>
      </c>
      <c r="O101" s="24">
        <v>0</v>
      </c>
      <c r="P101" s="24">
        <v>0</v>
      </c>
      <c r="Q101" s="24">
        <v>0</v>
      </c>
      <c r="R101" s="22">
        <v>0</v>
      </c>
      <c r="S101" s="24">
        <v>0</v>
      </c>
      <c r="T101" s="24">
        <f t="shared" si="6"/>
        <v>0</v>
      </c>
      <c r="U101" s="376">
        <v>12.13</v>
      </c>
      <c r="V101" s="376">
        <v>0</v>
      </c>
      <c r="W101" s="22">
        <f t="shared" si="7"/>
        <v>5.255929000000001</v>
      </c>
      <c r="X101" s="22">
        <f t="shared" si="8"/>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160.80000000000001</v>
      </c>
      <c r="N102" s="25">
        <v>0.76880000000000004</v>
      </c>
      <c r="O102" s="24">
        <v>160</v>
      </c>
      <c r="P102" s="24">
        <v>22</v>
      </c>
      <c r="Q102" s="24">
        <v>1</v>
      </c>
      <c r="R102" s="22">
        <v>21</v>
      </c>
      <c r="S102" s="24">
        <v>2</v>
      </c>
      <c r="T102" s="24">
        <f t="shared" si="6"/>
        <v>24</v>
      </c>
      <c r="U102" s="376">
        <v>0</v>
      </c>
      <c r="V102" s="376">
        <v>0</v>
      </c>
      <c r="W102" s="22">
        <f t="shared" si="7"/>
        <v>0</v>
      </c>
      <c r="X102" s="22">
        <f t="shared" si="8"/>
        <v>37.25</v>
      </c>
      <c r="Y102" s="22">
        <v>17.75</v>
      </c>
      <c r="Z102" s="22">
        <v>19.5</v>
      </c>
      <c r="AA102" s="371">
        <v>160.80000000000001</v>
      </c>
      <c r="AB102" s="22">
        <v>0.23165422885572137</v>
      </c>
      <c r="AC102" s="24">
        <v>9.6654228855721364E-2</v>
      </c>
      <c r="AD102" s="384">
        <v>-141054.3927454784</v>
      </c>
    </row>
    <row r="103" spans="1:30">
      <c r="A103" s="21" t="s">
        <v>61</v>
      </c>
      <c r="B103" s="21" t="s">
        <v>62</v>
      </c>
      <c r="C103" s="23">
        <v>70.400000000000006</v>
      </c>
      <c r="D103" s="147">
        <v>0</v>
      </c>
      <c r="E103" s="22">
        <v>0</v>
      </c>
      <c r="F103" s="22">
        <v>0</v>
      </c>
      <c r="G103" s="22">
        <v>0</v>
      </c>
      <c r="H103" s="22">
        <v>0</v>
      </c>
      <c r="I103" s="22">
        <v>0</v>
      </c>
      <c r="J103" s="22">
        <v>0</v>
      </c>
      <c r="K103" s="22">
        <v>0</v>
      </c>
      <c r="L103" s="22">
        <v>0</v>
      </c>
      <c r="M103" s="388">
        <v>153.02000000000001</v>
      </c>
      <c r="N103" s="25">
        <v>0.50919999999999999</v>
      </c>
      <c r="O103" s="24">
        <v>0</v>
      </c>
      <c r="P103" s="24">
        <v>3</v>
      </c>
      <c r="Q103" s="24">
        <v>2</v>
      </c>
      <c r="R103" s="22">
        <v>1</v>
      </c>
      <c r="S103" s="24">
        <v>1</v>
      </c>
      <c r="T103" s="24">
        <f t="shared" si="6"/>
        <v>4</v>
      </c>
      <c r="U103" s="376">
        <v>77.92</v>
      </c>
      <c r="V103" s="376">
        <v>7.65</v>
      </c>
      <c r="W103" s="22">
        <f t="shared" si="7"/>
        <v>39.676864000000002</v>
      </c>
      <c r="X103" s="22">
        <f t="shared" si="8"/>
        <v>20.5</v>
      </c>
      <c r="Y103" s="22">
        <v>17.5</v>
      </c>
      <c r="Z103" s="22">
        <v>3</v>
      </c>
      <c r="AA103" s="371">
        <v>153.02000000000001</v>
      </c>
      <c r="AB103" s="22">
        <v>0.1339694157626454</v>
      </c>
      <c r="AC103" s="24">
        <v>0</v>
      </c>
      <c r="AD103" s="384">
        <v>0</v>
      </c>
    </row>
    <row r="104" spans="1:30">
      <c r="A104" s="21" t="s">
        <v>517</v>
      </c>
      <c r="B104" s="21" t="s">
        <v>518</v>
      </c>
      <c r="C104" s="23">
        <v>239.21</v>
      </c>
      <c r="D104" s="147">
        <v>0</v>
      </c>
      <c r="E104" s="22">
        <v>0</v>
      </c>
      <c r="F104" s="22">
        <v>0</v>
      </c>
      <c r="G104" s="22">
        <v>0</v>
      </c>
      <c r="H104" s="22">
        <v>0</v>
      </c>
      <c r="I104" s="22">
        <v>0</v>
      </c>
      <c r="J104" s="22">
        <v>0</v>
      </c>
      <c r="K104" s="22">
        <v>0</v>
      </c>
      <c r="L104" s="22">
        <v>0</v>
      </c>
      <c r="M104" s="388">
        <v>603.01</v>
      </c>
      <c r="N104" s="25">
        <v>0.17130000000000001</v>
      </c>
      <c r="O104" s="24">
        <v>0</v>
      </c>
      <c r="P104" s="24">
        <v>1.5</v>
      </c>
      <c r="Q104" s="24">
        <v>0</v>
      </c>
      <c r="R104" s="22">
        <v>1.5</v>
      </c>
      <c r="S104" s="24">
        <v>1</v>
      </c>
      <c r="T104" s="24">
        <f t="shared" si="6"/>
        <v>2.5</v>
      </c>
      <c r="U104" s="376">
        <v>103.3</v>
      </c>
      <c r="V104" s="376">
        <v>30.15</v>
      </c>
      <c r="W104" s="22">
        <f t="shared" si="7"/>
        <v>17.69529</v>
      </c>
      <c r="X104" s="22">
        <f t="shared" si="8"/>
        <v>76.25</v>
      </c>
      <c r="Y104" s="22">
        <v>59.5</v>
      </c>
      <c r="Z104" s="22">
        <v>16.75</v>
      </c>
      <c r="AA104" s="371">
        <v>603.01</v>
      </c>
      <c r="AB104" s="22">
        <v>0.12644898094558962</v>
      </c>
      <c r="AC104" s="24">
        <v>0</v>
      </c>
      <c r="AD104" s="384">
        <v>0</v>
      </c>
    </row>
    <row r="105" spans="1:30">
      <c r="A105" s="21" t="s">
        <v>309</v>
      </c>
      <c r="B105" s="21" t="s">
        <v>310</v>
      </c>
      <c r="C105" s="23">
        <v>43.6</v>
      </c>
      <c r="D105" s="147">
        <v>1.06</v>
      </c>
      <c r="E105" s="22">
        <v>4.45</v>
      </c>
      <c r="F105" s="22">
        <v>5.51</v>
      </c>
      <c r="G105" s="22">
        <v>0</v>
      </c>
      <c r="H105" s="22">
        <v>1</v>
      </c>
      <c r="I105" s="22">
        <v>0</v>
      </c>
      <c r="J105" s="22">
        <v>0</v>
      </c>
      <c r="K105" s="22">
        <v>0</v>
      </c>
      <c r="L105" s="22">
        <v>0</v>
      </c>
      <c r="M105" s="388">
        <v>112.51</v>
      </c>
      <c r="N105" s="25">
        <v>0.52</v>
      </c>
      <c r="O105" s="24">
        <v>113</v>
      </c>
      <c r="P105" s="24">
        <v>0</v>
      </c>
      <c r="Q105" s="24">
        <v>0</v>
      </c>
      <c r="R105" s="22">
        <v>0</v>
      </c>
      <c r="S105" s="24">
        <v>0</v>
      </c>
      <c r="T105" s="24">
        <f t="shared" si="6"/>
        <v>0</v>
      </c>
      <c r="U105" s="376">
        <v>58.51</v>
      </c>
      <c r="V105" s="376">
        <v>0</v>
      </c>
      <c r="W105" s="22">
        <f t="shared" si="7"/>
        <v>30.4252</v>
      </c>
      <c r="X105" s="22">
        <f t="shared" si="8"/>
        <v>23.75</v>
      </c>
      <c r="Y105" s="22">
        <v>21.25</v>
      </c>
      <c r="Z105" s="22">
        <v>2.5</v>
      </c>
      <c r="AA105" s="371">
        <v>112.51</v>
      </c>
      <c r="AB105" s="22">
        <v>0.21109234734690249</v>
      </c>
      <c r="AC105" s="24">
        <v>7.6092347346902484E-2</v>
      </c>
      <c r="AD105" s="384">
        <v>-78551.001766501518</v>
      </c>
    </row>
    <row r="106" spans="1:30">
      <c r="A106" s="21" t="s">
        <v>599</v>
      </c>
      <c r="B106" s="21" t="s">
        <v>600</v>
      </c>
      <c r="C106" s="23">
        <v>256.8</v>
      </c>
      <c r="D106" s="147">
        <v>0</v>
      </c>
      <c r="E106" s="22">
        <v>46.3</v>
      </c>
      <c r="F106" s="22">
        <v>46.3</v>
      </c>
      <c r="G106" s="22">
        <v>0</v>
      </c>
      <c r="H106" s="22">
        <v>9.92</v>
      </c>
      <c r="I106" s="22">
        <v>0.42</v>
      </c>
      <c r="J106" s="22">
        <v>0</v>
      </c>
      <c r="K106" s="22">
        <v>5.4</v>
      </c>
      <c r="L106" s="22">
        <v>0</v>
      </c>
      <c r="M106" s="388">
        <v>1032.9400000000003</v>
      </c>
      <c r="N106" s="25">
        <v>0.82350000000000001</v>
      </c>
      <c r="O106" s="24">
        <v>1069</v>
      </c>
      <c r="P106" s="24">
        <v>298.5</v>
      </c>
      <c r="Q106" s="24">
        <v>202.5</v>
      </c>
      <c r="R106" s="22">
        <v>96</v>
      </c>
      <c r="S106" s="24">
        <v>81.75</v>
      </c>
      <c r="T106" s="24">
        <f t="shared" si="6"/>
        <v>380.25</v>
      </c>
      <c r="U106" s="376">
        <v>850.63</v>
      </c>
      <c r="V106" s="376">
        <v>51.65</v>
      </c>
      <c r="W106" s="22">
        <f t="shared" si="7"/>
        <v>700.49380499999995</v>
      </c>
      <c r="X106" s="22">
        <f t="shared" si="8"/>
        <v>123.25</v>
      </c>
      <c r="Y106" s="22">
        <v>81.5</v>
      </c>
      <c r="Z106" s="22">
        <v>41.75</v>
      </c>
      <c r="AA106" s="371">
        <v>1054.1099999999999</v>
      </c>
      <c r="AB106" s="22">
        <v>0.11692328125148231</v>
      </c>
      <c r="AC106" s="24">
        <v>0</v>
      </c>
      <c r="AD106" s="384">
        <v>0</v>
      </c>
    </row>
    <row r="107" spans="1:30">
      <c r="A107" s="21" t="s">
        <v>191</v>
      </c>
      <c r="B107" s="21" t="s">
        <v>192</v>
      </c>
      <c r="C107" s="23">
        <v>5214.53</v>
      </c>
      <c r="D107" s="147">
        <v>125.7</v>
      </c>
      <c r="E107" s="22">
        <v>655.34</v>
      </c>
      <c r="F107" s="22">
        <v>781.04000000000008</v>
      </c>
      <c r="G107" s="22">
        <v>360.64</v>
      </c>
      <c r="H107" s="22">
        <v>385.54</v>
      </c>
      <c r="I107" s="22">
        <v>31.37</v>
      </c>
      <c r="J107" s="22">
        <v>622.56999999999994</v>
      </c>
      <c r="K107" s="22">
        <v>160.18</v>
      </c>
      <c r="L107" s="22">
        <v>0</v>
      </c>
      <c r="M107" s="388">
        <v>17619.04</v>
      </c>
      <c r="N107" s="25">
        <v>0.70820000000000005</v>
      </c>
      <c r="O107" s="24">
        <v>15829</v>
      </c>
      <c r="P107" s="24">
        <v>5679</v>
      </c>
      <c r="Q107" s="24">
        <v>3443.75</v>
      </c>
      <c r="R107" s="22">
        <v>2235.25</v>
      </c>
      <c r="S107" s="24">
        <v>510.5</v>
      </c>
      <c r="T107" s="24">
        <f t="shared" si="6"/>
        <v>6189.5</v>
      </c>
      <c r="U107" s="376">
        <v>12477.8</v>
      </c>
      <c r="V107" s="376">
        <v>880.95</v>
      </c>
      <c r="W107" s="22">
        <f t="shared" si="7"/>
        <v>8836.7779599999994</v>
      </c>
      <c r="X107" s="22">
        <f t="shared" si="8"/>
        <v>2499.25</v>
      </c>
      <c r="Y107" s="22">
        <v>1760.75</v>
      </c>
      <c r="Z107" s="22">
        <v>738.5</v>
      </c>
      <c r="AA107" s="371">
        <v>17460.7</v>
      </c>
      <c r="AB107" s="22">
        <v>0.14313572766269392</v>
      </c>
      <c r="AC107" s="24">
        <v>8.135727662693909E-3</v>
      </c>
      <c r="AD107" s="384">
        <v>-1409615.2284091595</v>
      </c>
    </row>
    <row r="108" spans="1:30">
      <c r="A108" s="21" t="s">
        <v>57</v>
      </c>
      <c r="B108" s="21" t="s">
        <v>58</v>
      </c>
      <c r="C108" s="23">
        <v>538.16999999999996</v>
      </c>
      <c r="D108" s="147">
        <v>9.2200000000000006</v>
      </c>
      <c r="E108" s="22">
        <v>41.28</v>
      </c>
      <c r="F108" s="22">
        <v>50.5</v>
      </c>
      <c r="G108" s="22">
        <v>0</v>
      </c>
      <c r="H108" s="22">
        <v>64.099999999999994</v>
      </c>
      <c r="I108" s="22">
        <v>0.55000000000000004</v>
      </c>
      <c r="J108" s="22">
        <v>0</v>
      </c>
      <c r="K108" s="22">
        <v>3.4</v>
      </c>
      <c r="L108" s="22">
        <v>0</v>
      </c>
      <c r="M108" s="388">
        <v>1919.72</v>
      </c>
      <c r="N108" s="25">
        <v>0.18160000000000001</v>
      </c>
      <c r="O108" s="24">
        <v>0</v>
      </c>
      <c r="P108" s="24">
        <v>71.5</v>
      </c>
      <c r="Q108" s="24">
        <v>49.25</v>
      </c>
      <c r="R108" s="22">
        <v>22.25</v>
      </c>
      <c r="S108" s="24">
        <v>11</v>
      </c>
      <c r="T108" s="24">
        <f t="shared" si="6"/>
        <v>82.5</v>
      </c>
      <c r="U108" s="376">
        <v>348.62</v>
      </c>
      <c r="V108" s="376">
        <v>95.99</v>
      </c>
      <c r="W108" s="22">
        <f t="shared" si="7"/>
        <v>63.309392000000003</v>
      </c>
      <c r="X108" s="22">
        <f t="shared" si="8"/>
        <v>175.75</v>
      </c>
      <c r="Y108" s="22">
        <v>108</v>
      </c>
      <c r="Z108" s="22">
        <v>67.75</v>
      </c>
      <c r="AA108" s="371">
        <v>1934.62</v>
      </c>
      <c r="AB108" s="22">
        <v>9.084471369054388E-2</v>
      </c>
      <c r="AC108" s="24">
        <v>0</v>
      </c>
      <c r="AD108" s="384">
        <v>0</v>
      </c>
    </row>
    <row r="109" spans="1:30">
      <c r="A109" s="21" t="s">
        <v>325</v>
      </c>
      <c r="B109" s="21" t="s">
        <v>326</v>
      </c>
      <c r="C109" s="23">
        <v>129.19999999999999</v>
      </c>
      <c r="D109" s="147">
        <v>0</v>
      </c>
      <c r="E109" s="22">
        <v>0</v>
      </c>
      <c r="F109" s="22">
        <v>0</v>
      </c>
      <c r="G109" s="22">
        <v>0</v>
      </c>
      <c r="H109" s="22">
        <v>0</v>
      </c>
      <c r="I109" s="22">
        <v>0</v>
      </c>
      <c r="J109" s="22">
        <v>0</v>
      </c>
      <c r="K109" s="22">
        <v>0</v>
      </c>
      <c r="L109" s="22">
        <v>0</v>
      </c>
      <c r="M109" s="388">
        <v>300.60000000000002</v>
      </c>
      <c r="N109" s="25">
        <v>0.8034</v>
      </c>
      <c r="O109" s="24">
        <v>298</v>
      </c>
      <c r="P109" s="24">
        <v>7.5</v>
      </c>
      <c r="Q109" s="24">
        <v>7.5</v>
      </c>
      <c r="R109" s="22">
        <v>0</v>
      </c>
      <c r="S109" s="24">
        <v>0</v>
      </c>
      <c r="T109" s="24">
        <f t="shared" si="6"/>
        <v>7.5</v>
      </c>
      <c r="U109" s="376">
        <v>241.5</v>
      </c>
      <c r="V109" s="376">
        <v>15.03</v>
      </c>
      <c r="W109" s="22">
        <f t="shared" si="7"/>
        <v>194.02109999999999</v>
      </c>
      <c r="X109" s="22">
        <f t="shared" si="8"/>
        <v>36.75</v>
      </c>
      <c r="Y109" s="22">
        <v>31</v>
      </c>
      <c r="Z109" s="22">
        <v>5.75</v>
      </c>
      <c r="AA109" s="371">
        <v>300.60000000000002</v>
      </c>
      <c r="AB109" s="22">
        <v>0.12225548902195608</v>
      </c>
      <c r="AC109" s="24">
        <v>0</v>
      </c>
      <c r="AD109" s="384">
        <v>0</v>
      </c>
    </row>
    <row r="110" spans="1:30">
      <c r="A110" s="21" t="s">
        <v>143</v>
      </c>
      <c r="B110" s="21" t="s">
        <v>144</v>
      </c>
      <c r="C110" s="23">
        <v>420.8</v>
      </c>
      <c r="D110" s="147">
        <v>16.989999999999998</v>
      </c>
      <c r="E110" s="22">
        <v>126.88</v>
      </c>
      <c r="F110" s="22">
        <v>143.87</v>
      </c>
      <c r="G110" s="22">
        <v>0</v>
      </c>
      <c r="H110" s="22">
        <v>21.82</v>
      </c>
      <c r="I110" s="22">
        <v>0.98</v>
      </c>
      <c r="J110" s="22">
        <v>123.67</v>
      </c>
      <c r="K110" s="22">
        <v>12.08</v>
      </c>
      <c r="L110" s="22">
        <v>0</v>
      </c>
      <c r="M110" s="388">
        <v>1569.03</v>
      </c>
      <c r="N110" s="25">
        <v>0.76549999999999996</v>
      </c>
      <c r="O110" s="24">
        <v>1582</v>
      </c>
      <c r="P110" s="24">
        <v>98.25</v>
      </c>
      <c r="Q110" s="24">
        <v>71</v>
      </c>
      <c r="R110" s="22">
        <v>27.25</v>
      </c>
      <c r="S110" s="24">
        <v>11.75</v>
      </c>
      <c r="T110" s="24">
        <f t="shared" si="6"/>
        <v>110</v>
      </c>
      <c r="U110" s="376">
        <v>1201.0899999999999</v>
      </c>
      <c r="V110" s="376">
        <v>78.45</v>
      </c>
      <c r="W110" s="22">
        <f t="shared" si="7"/>
        <v>919.43439499999988</v>
      </c>
      <c r="X110" s="22">
        <f t="shared" si="8"/>
        <v>236</v>
      </c>
      <c r="Y110" s="22">
        <v>190.75</v>
      </c>
      <c r="Z110" s="22">
        <v>45.25</v>
      </c>
      <c r="AA110" s="371">
        <v>1573.59</v>
      </c>
      <c r="AB110" s="22">
        <v>0.14997553365234909</v>
      </c>
      <c r="AC110" s="24">
        <v>1.4975533652349077E-2</v>
      </c>
      <c r="AD110" s="384">
        <v>-205654.90136433387</v>
      </c>
    </row>
    <row r="111" spans="1:30">
      <c r="A111" s="21" t="s">
        <v>1315</v>
      </c>
      <c r="B111" s="21" t="s">
        <v>1316</v>
      </c>
      <c r="C111" s="23">
        <v>252</v>
      </c>
      <c r="D111" s="147">
        <v>0</v>
      </c>
      <c r="E111" s="22">
        <v>0</v>
      </c>
      <c r="F111" s="22">
        <v>0</v>
      </c>
      <c r="G111" s="22">
        <v>0</v>
      </c>
      <c r="H111" s="22">
        <v>0</v>
      </c>
      <c r="I111" s="22">
        <v>0</v>
      </c>
      <c r="J111" s="22">
        <v>0</v>
      </c>
      <c r="K111" s="22">
        <v>0</v>
      </c>
      <c r="L111" s="22">
        <v>0</v>
      </c>
      <c r="M111" s="388">
        <v>252</v>
      </c>
      <c r="N111" s="25">
        <v>0.54679999999999995</v>
      </c>
      <c r="O111" s="24">
        <v>267</v>
      </c>
      <c r="P111" s="24">
        <v>30.24</v>
      </c>
      <c r="Q111" s="24">
        <v>30.24</v>
      </c>
      <c r="R111" s="22">
        <v>0</v>
      </c>
      <c r="S111" s="24">
        <v>0</v>
      </c>
      <c r="T111" s="24">
        <f t="shared" si="6"/>
        <v>30.24</v>
      </c>
      <c r="U111" s="376">
        <v>137.79</v>
      </c>
      <c r="V111" s="376">
        <v>0</v>
      </c>
      <c r="W111" s="22">
        <f t="shared" si="7"/>
        <v>75.343571999999995</v>
      </c>
      <c r="X111" s="22">
        <f t="shared" si="8"/>
        <v>2.52</v>
      </c>
      <c r="Y111" s="22">
        <v>2.52</v>
      </c>
      <c r="Z111" s="22">
        <v>0</v>
      </c>
      <c r="AA111" s="371">
        <v>252</v>
      </c>
      <c r="AB111" s="22">
        <v>0.01</v>
      </c>
      <c r="AC111" s="24">
        <v>0</v>
      </c>
      <c r="AD111" s="384">
        <v>0</v>
      </c>
    </row>
    <row r="112" spans="1:30">
      <c r="A112" s="21" t="s">
        <v>1230</v>
      </c>
      <c r="B112" s="21" t="s">
        <v>1231</v>
      </c>
      <c r="C112" s="23">
        <v>292.2</v>
      </c>
      <c r="D112" s="147">
        <v>0</v>
      </c>
      <c r="E112" s="22">
        <v>0</v>
      </c>
      <c r="F112" s="22">
        <v>0</v>
      </c>
      <c r="G112" s="22">
        <v>0</v>
      </c>
      <c r="H112" s="22">
        <v>0</v>
      </c>
      <c r="I112" s="22">
        <v>0</v>
      </c>
      <c r="J112" s="22">
        <v>0</v>
      </c>
      <c r="K112" s="22">
        <v>0</v>
      </c>
      <c r="L112" s="22">
        <v>0</v>
      </c>
      <c r="M112" s="388">
        <v>292.2</v>
      </c>
      <c r="N112" s="25">
        <v>0.59</v>
      </c>
      <c r="O112" s="24">
        <v>0</v>
      </c>
      <c r="P112" s="24">
        <v>46</v>
      </c>
      <c r="Q112" s="24">
        <v>46</v>
      </c>
      <c r="R112" s="22">
        <v>0</v>
      </c>
      <c r="S112" s="24">
        <v>0</v>
      </c>
      <c r="T112" s="24">
        <f t="shared" si="6"/>
        <v>46</v>
      </c>
      <c r="U112" s="376">
        <v>172.4</v>
      </c>
      <c r="V112" s="376">
        <v>14.61</v>
      </c>
      <c r="W112" s="22">
        <f t="shared" si="7"/>
        <v>101.71599999999999</v>
      </c>
      <c r="X112" s="22">
        <f t="shared" si="8"/>
        <v>7.75</v>
      </c>
      <c r="Y112" s="22">
        <v>7</v>
      </c>
      <c r="Z112" s="22">
        <v>0.75</v>
      </c>
      <c r="AA112" s="371">
        <v>292.2</v>
      </c>
      <c r="AB112" s="22">
        <v>2.6522929500342234E-2</v>
      </c>
      <c r="AC112" s="24">
        <v>0</v>
      </c>
      <c r="AD112" s="384">
        <v>0</v>
      </c>
    </row>
    <row r="113" spans="1:30">
      <c r="A113" s="21" t="s">
        <v>1032</v>
      </c>
      <c r="B113" s="21" t="s">
        <v>1042</v>
      </c>
      <c r="C113" s="23">
        <v>526.6</v>
      </c>
      <c r="D113" s="147">
        <v>0</v>
      </c>
      <c r="E113" s="22">
        <v>0</v>
      </c>
      <c r="F113" s="22">
        <v>0</v>
      </c>
      <c r="G113" s="22">
        <v>0</v>
      </c>
      <c r="H113" s="22">
        <v>0</v>
      </c>
      <c r="I113" s="22">
        <v>0</v>
      </c>
      <c r="J113" s="22">
        <v>0</v>
      </c>
      <c r="K113" s="22">
        <v>0</v>
      </c>
      <c r="L113" s="22">
        <v>0</v>
      </c>
      <c r="M113" s="388">
        <v>597.80000000000007</v>
      </c>
      <c r="N113" s="25">
        <v>0.65</v>
      </c>
      <c r="O113" s="24">
        <v>602</v>
      </c>
      <c r="P113" s="24">
        <v>151</v>
      </c>
      <c r="Q113" s="24">
        <v>151</v>
      </c>
      <c r="R113" s="22">
        <v>0</v>
      </c>
      <c r="S113" s="24">
        <v>26.75</v>
      </c>
      <c r="T113" s="24">
        <f t="shared" si="6"/>
        <v>177.75</v>
      </c>
      <c r="U113" s="376">
        <v>388.57</v>
      </c>
      <c r="V113" s="376">
        <v>29.89</v>
      </c>
      <c r="W113" s="22">
        <f t="shared" si="7"/>
        <v>252.57050000000001</v>
      </c>
      <c r="X113" s="22">
        <f t="shared" si="8"/>
        <v>23</v>
      </c>
      <c r="Y113" s="22">
        <v>23</v>
      </c>
      <c r="Z113" s="22">
        <v>0</v>
      </c>
      <c r="AA113" s="371">
        <v>597.79999999999995</v>
      </c>
      <c r="AB113" s="22">
        <v>3.8474406155904986E-2</v>
      </c>
      <c r="AC113" s="24">
        <v>0</v>
      </c>
      <c r="AD113" s="384">
        <v>0</v>
      </c>
    </row>
    <row r="114" spans="1:30">
      <c r="A114" s="21" t="s">
        <v>107</v>
      </c>
      <c r="B114" s="21" t="s">
        <v>108</v>
      </c>
      <c r="C114" s="23">
        <v>66.599999999999994</v>
      </c>
      <c r="D114" s="147">
        <v>0</v>
      </c>
      <c r="E114" s="22">
        <v>0</v>
      </c>
      <c r="F114" s="22">
        <v>0</v>
      </c>
      <c r="G114" s="22">
        <v>0</v>
      </c>
      <c r="H114" s="22">
        <v>4.3899999999999997</v>
      </c>
      <c r="I114" s="22">
        <v>0.6</v>
      </c>
      <c r="J114" s="22">
        <v>0</v>
      </c>
      <c r="K114" s="22">
        <v>0</v>
      </c>
      <c r="L114" s="22">
        <v>0</v>
      </c>
      <c r="M114" s="388">
        <v>226.23999999999998</v>
      </c>
      <c r="N114" s="25">
        <v>0.82379999999999998</v>
      </c>
      <c r="O114" s="24">
        <v>231</v>
      </c>
      <c r="P114" s="24">
        <v>0</v>
      </c>
      <c r="Q114" s="24">
        <v>0</v>
      </c>
      <c r="R114" s="22">
        <v>0</v>
      </c>
      <c r="S114" s="24">
        <v>0</v>
      </c>
      <c r="T114" s="24">
        <f t="shared" si="6"/>
        <v>0</v>
      </c>
      <c r="U114" s="376">
        <v>186.38</v>
      </c>
      <c r="V114" s="376">
        <v>0</v>
      </c>
      <c r="W114" s="22">
        <f t="shared" si="7"/>
        <v>153.53984399999999</v>
      </c>
      <c r="X114" s="22">
        <f t="shared" si="8"/>
        <v>24.25</v>
      </c>
      <c r="Y114" s="22">
        <v>18.75</v>
      </c>
      <c r="Z114" s="22">
        <v>5.5</v>
      </c>
      <c r="AA114" s="371">
        <v>226.23</v>
      </c>
      <c r="AB114" s="22">
        <v>0.10719179595986386</v>
      </c>
      <c r="AC114" s="24">
        <v>0</v>
      </c>
      <c r="AD114" s="384">
        <v>0</v>
      </c>
    </row>
    <row r="115" spans="1:30">
      <c r="A115" s="21" t="s">
        <v>435</v>
      </c>
      <c r="B115" s="21" t="s">
        <v>436</v>
      </c>
      <c r="C115" s="23">
        <v>17.48</v>
      </c>
      <c r="D115" s="147">
        <v>0</v>
      </c>
      <c r="E115" s="22">
        <v>0</v>
      </c>
      <c r="F115" s="22">
        <v>0</v>
      </c>
      <c r="G115" s="22">
        <v>0</v>
      </c>
      <c r="H115" s="22">
        <v>0</v>
      </c>
      <c r="I115" s="22">
        <v>0</v>
      </c>
      <c r="J115" s="22">
        <v>0</v>
      </c>
      <c r="K115" s="22">
        <v>0</v>
      </c>
      <c r="L115" s="22">
        <v>0</v>
      </c>
      <c r="M115" s="388">
        <v>23.68</v>
      </c>
      <c r="N115" s="25">
        <v>0.5</v>
      </c>
      <c r="O115" s="24">
        <v>0</v>
      </c>
      <c r="P115" s="24">
        <v>0</v>
      </c>
      <c r="Q115" s="24">
        <v>0</v>
      </c>
      <c r="R115" s="22">
        <v>0</v>
      </c>
      <c r="S115" s="24">
        <v>0</v>
      </c>
      <c r="T115" s="24">
        <f t="shared" si="6"/>
        <v>0</v>
      </c>
      <c r="U115" s="376">
        <v>11.84</v>
      </c>
      <c r="V115" s="376">
        <v>0</v>
      </c>
      <c r="W115" s="22">
        <f t="shared" si="7"/>
        <v>5.92</v>
      </c>
      <c r="X115" s="22">
        <f t="shared" si="8"/>
        <v>4</v>
      </c>
      <c r="Y115" s="22">
        <v>3</v>
      </c>
      <c r="Z115" s="22">
        <v>1</v>
      </c>
      <c r="AA115" s="371">
        <v>23.68</v>
      </c>
      <c r="AB115" s="22">
        <v>0.16891891891891891</v>
      </c>
      <c r="AC115" s="24">
        <v>3.3918918918918906E-2</v>
      </c>
      <c r="AD115" s="384">
        <v>-8576.0324719840391</v>
      </c>
    </row>
    <row r="116" spans="1:30">
      <c r="A116" s="21" t="s">
        <v>211</v>
      </c>
      <c r="B116" s="21" t="s">
        <v>212</v>
      </c>
      <c r="C116" s="23">
        <v>5203.26</v>
      </c>
      <c r="D116" s="147">
        <v>100.48</v>
      </c>
      <c r="E116" s="22">
        <v>1053.8399999999999</v>
      </c>
      <c r="F116" s="22">
        <v>1154.32</v>
      </c>
      <c r="G116" s="22">
        <v>0</v>
      </c>
      <c r="H116" s="22">
        <v>580.16999999999996</v>
      </c>
      <c r="I116" s="22">
        <v>59.98</v>
      </c>
      <c r="J116" s="22">
        <v>8.34</v>
      </c>
      <c r="K116" s="22">
        <v>0</v>
      </c>
      <c r="L116" s="22">
        <v>0</v>
      </c>
      <c r="M116" s="388">
        <v>19237.55</v>
      </c>
      <c r="N116" s="25">
        <v>0.10150000000000001</v>
      </c>
      <c r="O116" s="24">
        <v>0</v>
      </c>
      <c r="P116" s="24">
        <v>1265.25</v>
      </c>
      <c r="Q116" s="24">
        <v>1025.75</v>
      </c>
      <c r="R116" s="22">
        <v>239.5</v>
      </c>
      <c r="S116" s="24">
        <v>657</v>
      </c>
      <c r="T116" s="24">
        <f t="shared" si="6"/>
        <v>1922.25</v>
      </c>
      <c r="U116" s="376">
        <v>1952.61</v>
      </c>
      <c r="V116" s="376">
        <v>961.88</v>
      </c>
      <c r="W116" s="22">
        <f t="shared" si="7"/>
        <v>198.18991500000001</v>
      </c>
      <c r="X116" s="22">
        <f t="shared" si="8"/>
        <v>1567.25</v>
      </c>
      <c r="Y116" s="22">
        <v>1022</v>
      </c>
      <c r="Z116" s="22">
        <v>545.25</v>
      </c>
      <c r="AA116" s="371">
        <v>19348.47</v>
      </c>
      <c r="AB116" s="22">
        <v>8.1001236790299178E-2</v>
      </c>
      <c r="AC116" s="24">
        <v>0</v>
      </c>
      <c r="AD116" s="384">
        <v>0</v>
      </c>
    </row>
    <row r="117" spans="1:30">
      <c r="A117" s="21" t="s">
        <v>117</v>
      </c>
      <c r="B117" s="21" t="s">
        <v>118</v>
      </c>
      <c r="C117" s="23">
        <v>13</v>
      </c>
      <c r="D117" s="147">
        <v>0</v>
      </c>
      <c r="E117" s="22">
        <v>3.68</v>
      </c>
      <c r="F117" s="22">
        <v>3.68</v>
      </c>
      <c r="G117" s="22">
        <v>0</v>
      </c>
      <c r="H117" s="22">
        <v>0</v>
      </c>
      <c r="I117" s="22">
        <v>0</v>
      </c>
      <c r="J117" s="22">
        <v>0</v>
      </c>
      <c r="K117" s="22">
        <v>0</v>
      </c>
      <c r="L117" s="22">
        <v>0</v>
      </c>
      <c r="M117" s="388">
        <v>36.4</v>
      </c>
      <c r="N117" s="25">
        <v>0.68179999999999996</v>
      </c>
      <c r="O117" s="24">
        <v>34</v>
      </c>
      <c r="P117" s="24">
        <v>0</v>
      </c>
      <c r="Q117" s="24">
        <v>0</v>
      </c>
      <c r="R117" s="22">
        <v>0</v>
      </c>
      <c r="S117" s="24">
        <v>1</v>
      </c>
      <c r="T117" s="24">
        <f t="shared" si="6"/>
        <v>1</v>
      </c>
      <c r="U117" s="376">
        <v>24.82</v>
      </c>
      <c r="V117" s="376">
        <v>0</v>
      </c>
      <c r="W117" s="22">
        <f t="shared" si="7"/>
        <v>16.922276</v>
      </c>
      <c r="X117" s="22">
        <f t="shared" si="8"/>
        <v>4</v>
      </c>
      <c r="Y117" s="22">
        <v>4</v>
      </c>
      <c r="Z117" s="22">
        <v>0</v>
      </c>
      <c r="AA117" s="371">
        <v>36.4</v>
      </c>
      <c r="AB117" s="22">
        <v>0.10989010989010989</v>
      </c>
      <c r="AC117" s="24">
        <v>0</v>
      </c>
      <c r="AD117" s="384">
        <v>0</v>
      </c>
    </row>
    <row r="118" spans="1:30">
      <c r="A118" s="21" t="s">
        <v>83</v>
      </c>
      <c r="B118" s="21" t="s">
        <v>84</v>
      </c>
      <c r="C118" s="23">
        <v>325.27999999999997</v>
      </c>
      <c r="D118" s="147">
        <v>17.07</v>
      </c>
      <c r="E118" s="22">
        <v>37.68</v>
      </c>
      <c r="F118" s="22">
        <v>54.75</v>
      </c>
      <c r="G118" s="22">
        <v>0</v>
      </c>
      <c r="H118" s="22">
        <v>37.549999999999997</v>
      </c>
      <c r="I118" s="22">
        <v>1.45</v>
      </c>
      <c r="J118" s="22">
        <v>37.6</v>
      </c>
      <c r="K118" s="22">
        <v>0</v>
      </c>
      <c r="L118" s="22">
        <v>0</v>
      </c>
      <c r="M118" s="388">
        <v>1041.82</v>
      </c>
      <c r="N118" s="25">
        <v>0.32329999999999998</v>
      </c>
      <c r="O118" s="24">
        <v>0</v>
      </c>
      <c r="P118" s="24">
        <v>28.75</v>
      </c>
      <c r="Q118" s="24">
        <v>20.75</v>
      </c>
      <c r="R118" s="22">
        <v>8</v>
      </c>
      <c r="S118" s="24">
        <v>2</v>
      </c>
      <c r="T118" s="24">
        <f t="shared" si="6"/>
        <v>30.75</v>
      </c>
      <c r="U118" s="376">
        <v>336.82</v>
      </c>
      <c r="V118" s="376">
        <v>0</v>
      </c>
      <c r="W118" s="22">
        <f t="shared" si="7"/>
        <v>108.89390599999999</v>
      </c>
      <c r="X118" s="22">
        <f t="shared" si="8"/>
        <v>183</v>
      </c>
      <c r="Y118" s="22">
        <v>127.25</v>
      </c>
      <c r="Z118" s="22">
        <v>55.75</v>
      </c>
      <c r="AA118" s="371">
        <v>1043.6099999999999</v>
      </c>
      <c r="AB118" s="22">
        <v>0.17535286170121023</v>
      </c>
      <c r="AC118" s="24">
        <v>4.0352861701210219E-2</v>
      </c>
      <c r="AD118" s="384">
        <v>-370365.46756246657</v>
      </c>
    </row>
    <row r="119" spans="1:30">
      <c r="A119" s="21" t="s">
        <v>101</v>
      </c>
      <c r="B119" s="21" t="s">
        <v>102</v>
      </c>
      <c r="C119" s="23">
        <v>22.2</v>
      </c>
      <c r="D119" s="147">
        <v>0</v>
      </c>
      <c r="E119" s="22">
        <v>0</v>
      </c>
      <c r="F119" s="22">
        <v>0</v>
      </c>
      <c r="G119" s="22">
        <v>0</v>
      </c>
      <c r="H119" s="22">
        <v>0</v>
      </c>
      <c r="I119" s="22">
        <v>0</v>
      </c>
      <c r="J119" s="22">
        <v>0</v>
      </c>
      <c r="K119" s="22">
        <v>0</v>
      </c>
      <c r="L119" s="22">
        <v>0</v>
      </c>
      <c r="M119" s="388">
        <v>33.4</v>
      </c>
      <c r="N119" s="25">
        <v>0.93940000000000001</v>
      </c>
      <c r="O119" s="24">
        <v>33</v>
      </c>
      <c r="P119" s="24">
        <v>0</v>
      </c>
      <c r="Q119" s="24">
        <v>0</v>
      </c>
      <c r="R119" s="22">
        <v>0</v>
      </c>
      <c r="S119" s="24">
        <v>0</v>
      </c>
      <c r="T119" s="24">
        <f t="shared" si="6"/>
        <v>0</v>
      </c>
      <c r="U119" s="376">
        <v>31.38</v>
      </c>
      <c r="V119" s="376">
        <v>0</v>
      </c>
      <c r="W119" s="22">
        <f t="shared" si="7"/>
        <v>29.478372</v>
      </c>
      <c r="X119" s="22">
        <f t="shared" si="8"/>
        <v>3.5</v>
      </c>
      <c r="Y119" s="22">
        <v>3.5</v>
      </c>
      <c r="Z119" s="22">
        <v>0</v>
      </c>
      <c r="AA119" s="371">
        <v>33.4</v>
      </c>
      <c r="AB119" s="22">
        <v>0.10479041916167665</v>
      </c>
      <c r="AC119" s="24">
        <v>0</v>
      </c>
      <c r="AD119" s="384">
        <v>0</v>
      </c>
    </row>
    <row r="120" spans="1:30">
      <c r="A120" s="21" t="s">
        <v>87</v>
      </c>
      <c r="B120" s="21" t="s">
        <v>88</v>
      </c>
      <c r="C120" s="23">
        <v>1360.64</v>
      </c>
      <c r="D120" s="147">
        <v>63.76</v>
      </c>
      <c r="E120" s="22">
        <v>357.56</v>
      </c>
      <c r="F120" s="22">
        <v>421.32</v>
      </c>
      <c r="G120" s="22">
        <v>0</v>
      </c>
      <c r="H120" s="22">
        <v>80.760000000000005</v>
      </c>
      <c r="I120" s="22">
        <v>8.16</v>
      </c>
      <c r="J120" s="22">
        <v>234.93</v>
      </c>
      <c r="K120" s="22">
        <v>15.24</v>
      </c>
      <c r="L120" s="22">
        <v>1.22</v>
      </c>
      <c r="M120" s="388">
        <v>4788.51</v>
      </c>
      <c r="N120" s="25">
        <v>0.61299999999999999</v>
      </c>
      <c r="O120" s="24">
        <v>4531</v>
      </c>
      <c r="P120" s="24">
        <v>305.75</v>
      </c>
      <c r="Q120" s="24">
        <v>195.5</v>
      </c>
      <c r="R120" s="22">
        <v>110.25</v>
      </c>
      <c r="S120" s="24">
        <v>23.5</v>
      </c>
      <c r="T120" s="24">
        <f t="shared" si="6"/>
        <v>329.25</v>
      </c>
      <c r="U120" s="376">
        <v>2935.84</v>
      </c>
      <c r="V120" s="376">
        <v>239.43</v>
      </c>
      <c r="W120" s="22">
        <f t="shared" si="7"/>
        <v>1799.66992</v>
      </c>
      <c r="X120" s="22">
        <f t="shared" si="8"/>
        <v>682.25</v>
      </c>
      <c r="Y120" s="22">
        <v>354.5</v>
      </c>
      <c r="Z120" s="22">
        <v>327.75</v>
      </c>
      <c r="AA120" s="371">
        <v>4781.29</v>
      </c>
      <c r="AB120" s="22">
        <v>0.14269161669758579</v>
      </c>
      <c r="AC120" s="24">
        <v>7.6916166975857791E-3</v>
      </c>
      <c r="AD120" s="384">
        <v>-320879.94817918958</v>
      </c>
    </row>
    <row r="121" spans="1:30">
      <c r="A121" s="21" t="s">
        <v>17</v>
      </c>
      <c r="B121" s="21" t="s">
        <v>18</v>
      </c>
      <c r="C121" s="23">
        <v>5149.1099999999997</v>
      </c>
      <c r="D121" s="147">
        <v>161.62</v>
      </c>
      <c r="E121" s="22">
        <v>961.01</v>
      </c>
      <c r="F121" s="22">
        <v>1122.6300000000001</v>
      </c>
      <c r="G121" s="22">
        <v>437.59</v>
      </c>
      <c r="H121" s="22">
        <v>269.67</v>
      </c>
      <c r="I121" s="22">
        <v>13.25</v>
      </c>
      <c r="J121" s="22">
        <v>791.23</v>
      </c>
      <c r="K121" s="22">
        <v>28.6</v>
      </c>
      <c r="L121" s="22">
        <v>0</v>
      </c>
      <c r="M121" s="388">
        <v>18323.689999999995</v>
      </c>
      <c r="N121" s="25">
        <v>0.58799999999999997</v>
      </c>
      <c r="O121" s="24">
        <v>12661</v>
      </c>
      <c r="P121" s="24">
        <v>2584.25</v>
      </c>
      <c r="Q121" s="24">
        <v>1687.75</v>
      </c>
      <c r="R121" s="22">
        <v>896.5</v>
      </c>
      <c r="S121" s="24">
        <v>492</v>
      </c>
      <c r="T121" s="24">
        <f t="shared" si="6"/>
        <v>3076.25</v>
      </c>
      <c r="U121" s="376">
        <v>10774.33</v>
      </c>
      <c r="V121" s="376">
        <v>916.18</v>
      </c>
      <c r="W121" s="22">
        <f t="shared" si="7"/>
        <v>6335.3060399999995</v>
      </c>
      <c r="X121" s="22">
        <f t="shared" si="8"/>
        <v>2171.75</v>
      </c>
      <c r="Y121" s="22">
        <v>1055</v>
      </c>
      <c r="Z121" s="22">
        <v>1116.75</v>
      </c>
      <c r="AA121" s="371">
        <v>18041.61</v>
      </c>
      <c r="AB121" s="22">
        <v>0.12037451203079991</v>
      </c>
      <c r="AC121" s="24">
        <v>0</v>
      </c>
      <c r="AD121" s="384">
        <v>0</v>
      </c>
    </row>
    <row r="122" spans="1:30">
      <c r="A122" s="21" t="s">
        <v>217</v>
      </c>
      <c r="B122" s="21" t="s">
        <v>218</v>
      </c>
      <c r="C122" s="23">
        <v>7328.96</v>
      </c>
      <c r="D122" s="147">
        <v>189.54</v>
      </c>
      <c r="E122" s="22">
        <v>1439.41</v>
      </c>
      <c r="F122" s="22">
        <v>1628.95</v>
      </c>
      <c r="G122" s="22">
        <v>0</v>
      </c>
      <c r="H122" s="22">
        <v>734.36</v>
      </c>
      <c r="I122" s="22">
        <v>52.82</v>
      </c>
      <c r="J122" s="22">
        <v>52.16</v>
      </c>
      <c r="K122" s="22">
        <v>187.09</v>
      </c>
      <c r="L122" s="22">
        <v>6.68</v>
      </c>
      <c r="M122" s="388">
        <v>24699.13</v>
      </c>
      <c r="N122" s="25">
        <v>0.52290000000000003</v>
      </c>
      <c r="O122" s="24">
        <v>11515</v>
      </c>
      <c r="P122" s="24">
        <v>5805.75</v>
      </c>
      <c r="Q122" s="24">
        <v>3871.75</v>
      </c>
      <c r="R122" s="22">
        <v>1934</v>
      </c>
      <c r="S122" s="24">
        <v>734.5</v>
      </c>
      <c r="T122" s="24">
        <f t="shared" si="6"/>
        <v>6540.25</v>
      </c>
      <c r="U122" s="376">
        <v>12873.19</v>
      </c>
      <c r="V122" s="376">
        <v>1234.96</v>
      </c>
      <c r="W122" s="22">
        <f t="shared" si="7"/>
        <v>6731.3910510000005</v>
      </c>
      <c r="X122" s="22">
        <f t="shared" si="8"/>
        <v>2656.5</v>
      </c>
      <c r="Y122" s="22">
        <v>1480.75</v>
      </c>
      <c r="Z122" s="22">
        <v>1175.75</v>
      </c>
      <c r="AA122" s="371">
        <v>24742.76</v>
      </c>
      <c r="AB122" s="22">
        <v>0.10736474023108175</v>
      </c>
      <c r="AC122" s="24">
        <v>0</v>
      </c>
      <c r="AD122" s="384">
        <v>0</v>
      </c>
    </row>
    <row r="123" spans="1:30">
      <c r="A123" s="21" t="s">
        <v>505</v>
      </c>
      <c r="B123" s="21" t="s">
        <v>506</v>
      </c>
      <c r="C123" s="23">
        <v>218.2</v>
      </c>
      <c r="D123" s="147">
        <v>0</v>
      </c>
      <c r="E123" s="22">
        <v>55.25</v>
      </c>
      <c r="F123" s="22">
        <v>55.25</v>
      </c>
      <c r="G123" s="22">
        <v>0</v>
      </c>
      <c r="H123" s="22">
        <v>15.87</v>
      </c>
      <c r="I123" s="22">
        <v>1.4</v>
      </c>
      <c r="J123" s="22">
        <v>327.06</v>
      </c>
      <c r="K123" s="22">
        <v>0</v>
      </c>
      <c r="L123" s="22">
        <v>0</v>
      </c>
      <c r="M123" s="388">
        <v>1050.5999999999999</v>
      </c>
      <c r="N123" s="25">
        <v>0.53800000000000003</v>
      </c>
      <c r="O123" s="24">
        <v>726</v>
      </c>
      <c r="P123" s="24">
        <v>3</v>
      </c>
      <c r="Q123" s="24">
        <v>0</v>
      </c>
      <c r="R123" s="22">
        <v>3</v>
      </c>
      <c r="S123" s="24">
        <v>0</v>
      </c>
      <c r="T123" s="24">
        <f t="shared" si="6"/>
        <v>3</v>
      </c>
      <c r="U123" s="376">
        <v>514.58000000000004</v>
      </c>
      <c r="V123" s="376">
        <v>52.53</v>
      </c>
      <c r="W123" s="22">
        <f t="shared" si="7"/>
        <v>276.84404000000006</v>
      </c>
      <c r="X123" s="22">
        <f t="shared" si="8"/>
        <v>138.5</v>
      </c>
      <c r="Y123" s="22">
        <v>115.75</v>
      </c>
      <c r="Z123" s="22">
        <v>22.75</v>
      </c>
      <c r="AA123" s="371">
        <v>1051.67</v>
      </c>
      <c r="AB123" s="22">
        <v>0.13169530365989329</v>
      </c>
      <c r="AC123" s="24">
        <v>0</v>
      </c>
      <c r="AD123" s="384">
        <v>0</v>
      </c>
    </row>
    <row r="124" spans="1:30">
      <c r="A124" s="21" t="s">
        <v>21</v>
      </c>
      <c r="B124" s="21" t="s">
        <v>22</v>
      </c>
      <c r="C124" s="23">
        <v>433.8</v>
      </c>
      <c r="D124" s="147">
        <v>0</v>
      </c>
      <c r="E124" s="22">
        <v>85.13</v>
      </c>
      <c r="F124" s="22">
        <v>85.13</v>
      </c>
      <c r="G124" s="22">
        <v>0</v>
      </c>
      <c r="H124" s="22">
        <v>25.8</v>
      </c>
      <c r="I124" s="22">
        <v>0.3</v>
      </c>
      <c r="J124" s="22">
        <v>0</v>
      </c>
      <c r="K124" s="22">
        <v>2.8</v>
      </c>
      <c r="L124" s="22">
        <v>0</v>
      </c>
      <c r="M124" s="388">
        <v>1391.51</v>
      </c>
      <c r="N124" s="25">
        <v>0.70530000000000004</v>
      </c>
      <c r="O124" s="24">
        <v>1390</v>
      </c>
      <c r="P124" s="24">
        <v>343.5</v>
      </c>
      <c r="Q124" s="24">
        <v>219.5</v>
      </c>
      <c r="R124" s="22">
        <v>124</v>
      </c>
      <c r="S124" s="24">
        <v>68</v>
      </c>
      <c r="T124" s="24">
        <f t="shared" si="6"/>
        <v>411.5</v>
      </c>
      <c r="U124" s="376">
        <v>981.43</v>
      </c>
      <c r="V124" s="376">
        <v>69.58</v>
      </c>
      <c r="W124" s="22">
        <f t="shared" si="7"/>
        <v>692.20257900000001</v>
      </c>
      <c r="X124" s="22">
        <f t="shared" si="8"/>
        <v>177.5</v>
      </c>
      <c r="Y124" s="22">
        <v>129.75</v>
      </c>
      <c r="Z124" s="22">
        <v>47.75</v>
      </c>
      <c r="AA124" s="371">
        <v>1414.66</v>
      </c>
      <c r="AB124" s="22">
        <v>0.12547184482490492</v>
      </c>
      <c r="AC124" s="24">
        <v>0</v>
      </c>
      <c r="AD124" s="384">
        <v>0</v>
      </c>
    </row>
    <row r="125" spans="1:30">
      <c r="A125" s="21" t="s">
        <v>247</v>
      </c>
      <c r="B125" s="21" t="s">
        <v>248</v>
      </c>
      <c r="C125" s="23">
        <v>156.19999999999999</v>
      </c>
      <c r="D125" s="147">
        <v>14.66</v>
      </c>
      <c r="E125" s="22">
        <v>40.69</v>
      </c>
      <c r="F125" s="22">
        <v>55.349999999999994</v>
      </c>
      <c r="G125" s="22">
        <v>0</v>
      </c>
      <c r="H125" s="22">
        <v>12.64</v>
      </c>
      <c r="I125" s="22">
        <v>0</v>
      </c>
      <c r="J125" s="22">
        <v>0</v>
      </c>
      <c r="K125" s="22">
        <v>0</v>
      </c>
      <c r="L125" s="22">
        <v>0</v>
      </c>
      <c r="M125" s="388">
        <v>577.94999999999993</v>
      </c>
      <c r="N125" s="25">
        <v>0.47520000000000001</v>
      </c>
      <c r="O125" s="24">
        <v>0</v>
      </c>
      <c r="P125" s="24">
        <v>32.25</v>
      </c>
      <c r="Q125" s="24">
        <v>13</v>
      </c>
      <c r="R125" s="22">
        <v>19.25</v>
      </c>
      <c r="S125" s="24">
        <v>5.75</v>
      </c>
      <c r="T125" s="24">
        <f t="shared" si="6"/>
        <v>38</v>
      </c>
      <c r="U125" s="376">
        <v>274.64</v>
      </c>
      <c r="V125" s="376">
        <v>0</v>
      </c>
      <c r="W125" s="22">
        <f t="shared" si="7"/>
        <v>130.508928</v>
      </c>
      <c r="X125" s="22">
        <f t="shared" si="8"/>
        <v>82.75</v>
      </c>
      <c r="Y125" s="22">
        <v>61</v>
      </c>
      <c r="Z125" s="22">
        <v>21.75</v>
      </c>
      <c r="AA125" s="371">
        <v>578.49</v>
      </c>
      <c r="AB125" s="22">
        <v>0.14304482359245621</v>
      </c>
      <c r="AC125" s="24">
        <v>8.0448235924562017E-3</v>
      </c>
      <c r="AD125" s="384">
        <v>-40517.009898499746</v>
      </c>
    </row>
    <row r="126" spans="1:30">
      <c r="A126" s="21" t="s">
        <v>261</v>
      </c>
      <c r="B126" s="21" t="s">
        <v>262</v>
      </c>
      <c r="C126" s="23">
        <v>28</v>
      </c>
      <c r="D126" s="147">
        <v>0</v>
      </c>
      <c r="E126" s="22">
        <v>0</v>
      </c>
      <c r="F126" s="22">
        <v>0</v>
      </c>
      <c r="G126" s="22">
        <v>0</v>
      </c>
      <c r="H126" s="22">
        <v>0.64</v>
      </c>
      <c r="I126" s="22">
        <v>0</v>
      </c>
      <c r="J126" s="22">
        <v>0</v>
      </c>
      <c r="K126" s="22">
        <v>0</v>
      </c>
      <c r="L126" s="22">
        <v>0</v>
      </c>
      <c r="M126" s="388">
        <v>92.7</v>
      </c>
      <c r="N126" s="25">
        <v>0.51759999999999995</v>
      </c>
      <c r="O126" s="24">
        <v>91</v>
      </c>
      <c r="P126" s="24">
        <v>0</v>
      </c>
      <c r="Q126" s="24">
        <v>0</v>
      </c>
      <c r="R126" s="22">
        <v>0</v>
      </c>
      <c r="S126" s="24">
        <v>0</v>
      </c>
      <c r="T126" s="24">
        <f t="shared" si="6"/>
        <v>0</v>
      </c>
      <c r="U126" s="376">
        <v>47.98</v>
      </c>
      <c r="V126" s="376">
        <v>4.6399999999999997</v>
      </c>
      <c r="W126" s="22">
        <f t="shared" si="7"/>
        <v>24.834447999999995</v>
      </c>
      <c r="X126" s="22">
        <f t="shared" si="8"/>
        <v>9.5</v>
      </c>
      <c r="Y126" s="22">
        <v>9.25</v>
      </c>
      <c r="Z126" s="22">
        <v>0.25</v>
      </c>
      <c r="AA126" s="371">
        <v>92.7</v>
      </c>
      <c r="AB126" s="22">
        <v>0.10248112189859762</v>
      </c>
      <c r="AC126" s="24">
        <v>0</v>
      </c>
      <c r="AD126" s="384">
        <v>0</v>
      </c>
    </row>
    <row r="127" spans="1:30">
      <c r="A127" s="21" t="s">
        <v>59</v>
      </c>
      <c r="B127" s="21" t="s">
        <v>60</v>
      </c>
      <c r="C127" s="23">
        <v>465.12</v>
      </c>
      <c r="D127" s="147">
        <v>0</v>
      </c>
      <c r="E127" s="22">
        <v>44.81</v>
      </c>
      <c r="F127" s="22">
        <v>44.81</v>
      </c>
      <c r="G127" s="22">
        <v>0</v>
      </c>
      <c r="H127" s="22">
        <v>46.09</v>
      </c>
      <c r="I127" s="22">
        <v>1.4</v>
      </c>
      <c r="J127" s="22">
        <v>85.94</v>
      </c>
      <c r="K127" s="22">
        <v>3</v>
      </c>
      <c r="L127" s="22">
        <v>0</v>
      </c>
      <c r="M127" s="388">
        <v>1672.64</v>
      </c>
      <c r="N127" s="25">
        <v>0.25490000000000002</v>
      </c>
      <c r="O127" s="24">
        <v>0</v>
      </c>
      <c r="P127" s="24">
        <v>43.25</v>
      </c>
      <c r="Q127" s="24">
        <v>26.5</v>
      </c>
      <c r="R127" s="22">
        <v>16.75</v>
      </c>
      <c r="S127" s="24">
        <v>4.25</v>
      </c>
      <c r="T127" s="24">
        <f t="shared" si="6"/>
        <v>47.5</v>
      </c>
      <c r="U127" s="376">
        <v>426.36</v>
      </c>
      <c r="V127" s="376">
        <v>83.63</v>
      </c>
      <c r="W127" s="22">
        <f t="shared" si="7"/>
        <v>108.67916400000001</v>
      </c>
      <c r="X127" s="22">
        <f t="shared" si="8"/>
        <v>221.25</v>
      </c>
      <c r="Y127" s="22">
        <v>108.5</v>
      </c>
      <c r="Z127" s="22">
        <v>112.75</v>
      </c>
      <c r="AA127" s="371">
        <v>1702.47</v>
      </c>
      <c r="AB127" s="22">
        <v>0.12995823714955329</v>
      </c>
      <c r="AC127" s="24">
        <v>0</v>
      </c>
      <c r="AD127" s="384">
        <v>0</v>
      </c>
    </row>
    <row r="128" spans="1:30">
      <c r="A128" s="21" t="s">
        <v>409</v>
      </c>
      <c r="B128" s="21" t="s">
        <v>410</v>
      </c>
      <c r="C128" s="23">
        <v>152.6</v>
      </c>
      <c r="D128" s="147">
        <v>0</v>
      </c>
      <c r="E128" s="22">
        <v>15.18</v>
      </c>
      <c r="F128" s="22">
        <v>15.18</v>
      </c>
      <c r="G128" s="22">
        <v>0</v>
      </c>
      <c r="H128" s="22">
        <v>15.63</v>
      </c>
      <c r="I128" s="22">
        <v>1.27</v>
      </c>
      <c r="J128" s="22">
        <v>0</v>
      </c>
      <c r="K128" s="22">
        <v>0.8</v>
      </c>
      <c r="L128" s="22">
        <v>0</v>
      </c>
      <c r="M128" s="388">
        <v>577.56999999999994</v>
      </c>
      <c r="N128" s="25">
        <v>0.58089999999999997</v>
      </c>
      <c r="O128" s="24">
        <v>580</v>
      </c>
      <c r="P128" s="24">
        <v>11</v>
      </c>
      <c r="Q128" s="24">
        <v>4.25</v>
      </c>
      <c r="R128" s="22">
        <v>6.75</v>
      </c>
      <c r="S128" s="24">
        <v>1</v>
      </c>
      <c r="T128" s="24">
        <f t="shared" si="6"/>
        <v>12</v>
      </c>
      <c r="U128" s="376">
        <v>335.51</v>
      </c>
      <c r="V128" s="376">
        <v>28.88</v>
      </c>
      <c r="W128" s="22">
        <f t="shared" si="7"/>
        <v>194.89775899999998</v>
      </c>
      <c r="X128" s="22">
        <f t="shared" si="8"/>
        <v>86.5</v>
      </c>
      <c r="Y128" s="22">
        <v>74.25</v>
      </c>
      <c r="Z128" s="22">
        <v>12.25</v>
      </c>
      <c r="AA128" s="371">
        <v>590.12</v>
      </c>
      <c r="AB128" s="22">
        <v>0.14658035653765336</v>
      </c>
      <c r="AC128" s="24">
        <v>1.1580356537653352E-2</v>
      </c>
      <c r="AD128" s="384">
        <v>-66037.546821286742</v>
      </c>
    </row>
    <row r="129" spans="1:30">
      <c r="A129" s="21" t="s">
        <v>555</v>
      </c>
      <c r="B129" s="21" t="s">
        <v>556</v>
      </c>
      <c r="C129" s="23">
        <v>26</v>
      </c>
      <c r="D129" s="147">
        <v>0</v>
      </c>
      <c r="E129" s="22">
        <v>3.74</v>
      </c>
      <c r="F129" s="22">
        <v>3.74</v>
      </c>
      <c r="G129" s="22">
        <v>0</v>
      </c>
      <c r="H129" s="22">
        <v>0</v>
      </c>
      <c r="I129" s="22">
        <v>0</v>
      </c>
      <c r="J129" s="22">
        <v>0</v>
      </c>
      <c r="K129" s="22">
        <v>0</v>
      </c>
      <c r="L129" s="22">
        <v>0</v>
      </c>
      <c r="M129" s="388">
        <v>79.400000000000006</v>
      </c>
      <c r="N129" s="25">
        <v>0.42470000000000002</v>
      </c>
      <c r="O129" s="24">
        <v>0</v>
      </c>
      <c r="P129" s="24">
        <v>0</v>
      </c>
      <c r="Q129" s="24">
        <v>0</v>
      </c>
      <c r="R129" s="22">
        <v>0</v>
      </c>
      <c r="S129" s="24">
        <v>0</v>
      </c>
      <c r="T129" s="24">
        <f t="shared" si="6"/>
        <v>0</v>
      </c>
      <c r="U129" s="376">
        <v>33.72</v>
      </c>
      <c r="V129" s="376">
        <v>3.97</v>
      </c>
      <c r="W129" s="22">
        <f t="shared" si="7"/>
        <v>14.320884</v>
      </c>
      <c r="X129" s="22">
        <f t="shared" si="8"/>
        <v>10.5</v>
      </c>
      <c r="Y129" s="22">
        <v>8.5</v>
      </c>
      <c r="Z129" s="22">
        <v>2</v>
      </c>
      <c r="AA129" s="371">
        <v>79.400000000000006</v>
      </c>
      <c r="AB129" s="22">
        <v>0.13224181360201509</v>
      </c>
      <c r="AC129" s="24">
        <v>0</v>
      </c>
      <c r="AD129" s="384">
        <v>0</v>
      </c>
    </row>
    <row r="130" spans="1:30">
      <c r="A130" s="21" t="s">
        <v>35</v>
      </c>
      <c r="B130" s="21" t="s">
        <v>36</v>
      </c>
      <c r="C130" s="23">
        <v>308.60000000000002</v>
      </c>
      <c r="D130" s="147">
        <v>0</v>
      </c>
      <c r="E130" s="22">
        <v>101.2</v>
      </c>
      <c r="F130" s="22">
        <v>101.2</v>
      </c>
      <c r="G130" s="22">
        <v>0</v>
      </c>
      <c r="H130" s="22">
        <v>18.77</v>
      </c>
      <c r="I130" s="22">
        <v>0.05</v>
      </c>
      <c r="J130" s="22">
        <v>6.3999999999999995</v>
      </c>
      <c r="K130" s="22">
        <v>0</v>
      </c>
      <c r="L130" s="22">
        <v>0</v>
      </c>
      <c r="M130" s="388">
        <v>1254.82</v>
      </c>
      <c r="N130" s="25">
        <v>0.61150000000000004</v>
      </c>
      <c r="O130" s="24">
        <v>1252</v>
      </c>
      <c r="P130" s="24">
        <v>358</v>
      </c>
      <c r="Q130" s="24">
        <v>230.25</v>
      </c>
      <c r="R130" s="22">
        <v>127.75</v>
      </c>
      <c r="S130" s="24">
        <v>33</v>
      </c>
      <c r="T130" s="24">
        <f t="shared" si="6"/>
        <v>391</v>
      </c>
      <c r="U130" s="376">
        <v>767.32</v>
      </c>
      <c r="V130" s="376">
        <v>62.74</v>
      </c>
      <c r="W130" s="22">
        <f t="shared" si="7"/>
        <v>469.21618000000007</v>
      </c>
      <c r="X130" s="22">
        <f t="shared" si="8"/>
        <v>128</v>
      </c>
      <c r="Y130" s="22">
        <v>108.25</v>
      </c>
      <c r="Z130" s="22">
        <v>19.75</v>
      </c>
      <c r="AA130" s="371">
        <v>1255.95</v>
      </c>
      <c r="AB130" s="22">
        <v>0.1019148851467017</v>
      </c>
      <c r="AC130" s="24">
        <v>0</v>
      </c>
      <c r="AD130" s="384">
        <v>0</v>
      </c>
    </row>
    <row r="131" spans="1:30">
      <c r="A131" s="21" t="s">
        <v>155</v>
      </c>
      <c r="B131" s="21" t="s">
        <v>156</v>
      </c>
      <c r="C131" s="23">
        <v>50.2</v>
      </c>
      <c r="D131" s="147">
        <v>0</v>
      </c>
      <c r="E131" s="22">
        <v>5</v>
      </c>
      <c r="F131" s="22">
        <v>5</v>
      </c>
      <c r="G131" s="22">
        <v>0</v>
      </c>
      <c r="H131" s="22">
        <v>6.63</v>
      </c>
      <c r="I131" s="22">
        <v>1.08</v>
      </c>
      <c r="J131" s="22">
        <v>0</v>
      </c>
      <c r="K131" s="22">
        <v>0</v>
      </c>
      <c r="L131" s="22">
        <v>0</v>
      </c>
      <c r="M131" s="388">
        <v>174.77</v>
      </c>
      <c r="N131" s="25">
        <v>1</v>
      </c>
      <c r="O131" s="24">
        <v>173</v>
      </c>
      <c r="P131" s="24">
        <v>48</v>
      </c>
      <c r="Q131" s="24">
        <v>27</v>
      </c>
      <c r="R131" s="22">
        <v>21</v>
      </c>
      <c r="S131" s="24">
        <v>3</v>
      </c>
      <c r="T131" s="24">
        <f t="shared" si="6"/>
        <v>51</v>
      </c>
      <c r="U131" s="376">
        <v>174.77</v>
      </c>
      <c r="V131" s="376">
        <v>0</v>
      </c>
      <c r="W131" s="22">
        <f t="shared" si="7"/>
        <v>174.77</v>
      </c>
      <c r="X131" s="22">
        <f t="shared" si="8"/>
        <v>32.5</v>
      </c>
      <c r="Y131" s="22">
        <v>17</v>
      </c>
      <c r="Z131" s="22">
        <v>15.5</v>
      </c>
      <c r="AA131" s="371">
        <v>174.77</v>
      </c>
      <c r="AB131" s="22">
        <v>0.1859586885621102</v>
      </c>
      <c r="AC131" s="24">
        <v>5.0958688562110194E-2</v>
      </c>
      <c r="AD131" s="384">
        <v>-77711.283843212092</v>
      </c>
    </row>
    <row r="132" spans="1:30">
      <c r="A132" s="21" t="s">
        <v>425</v>
      </c>
      <c r="B132" s="21" t="s">
        <v>426</v>
      </c>
      <c r="C132" s="23">
        <v>2870.76</v>
      </c>
      <c r="D132" s="147">
        <v>132.18</v>
      </c>
      <c r="E132" s="22">
        <v>482.6</v>
      </c>
      <c r="F132" s="22">
        <v>614.78</v>
      </c>
      <c r="G132" s="22">
        <v>0</v>
      </c>
      <c r="H132" s="22">
        <v>153.97</v>
      </c>
      <c r="I132" s="22">
        <v>8.15</v>
      </c>
      <c r="J132" s="22">
        <v>70.739999999999995</v>
      </c>
      <c r="K132" s="22">
        <v>0</v>
      </c>
      <c r="L132" s="22">
        <v>0</v>
      </c>
      <c r="M132" s="388">
        <v>9296.1999999999989</v>
      </c>
      <c r="N132" s="25">
        <v>0.25</v>
      </c>
      <c r="O132" s="24">
        <v>0</v>
      </c>
      <c r="P132" s="24">
        <v>589.75</v>
      </c>
      <c r="Q132" s="24">
        <v>446</v>
      </c>
      <c r="R132" s="22">
        <v>143.75</v>
      </c>
      <c r="S132" s="24">
        <v>148.75</v>
      </c>
      <c r="T132" s="24">
        <f t="shared" si="6"/>
        <v>738.5</v>
      </c>
      <c r="U132" s="376">
        <v>2324.0500000000002</v>
      </c>
      <c r="V132" s="376">
        <v>464.81</v>
      </c>
      <c r="W132" s="22">
        <f t="shared" si="7"/>
        <v>581.01250000000005</v>
      </c>
      <c r="X132" s="22">
        <f t="shared" si="8"/>
        <v>1274</v>
      </c>
      <c r="Y132" s="22">
        <v>707.75</v>
      </c>
      <c r="Z132" s="22">
        <v>566.25</v>
      </c>
      <c r="AA132" s="371">
        <v>9346.59</v>
      </c>
      <c r="AB132" s="22">
        <v>0.13630639623648838</v>
      </c>
      <c r="AC132" s="24">
        <v>1.3063962364883719E-3</v>
      </c>
      <c r="AD132" s="384">
        <v>-122697.0919904497</v>
      </c>
    </row>
    <row r="133" spans="1:30">
      <c r="A133" s="21" t="s">
        <v>215</v>
      </c>
      <c r="B133" s="21" t="s">
        <v>216</v>
      </c>
      <c r="C133" s="23">
        <v>9352.93</v>
      </c>
      <c r="D133" s="147">
        <v>317.70999999999998</v>
      </c>
      <c r="E133" s="22">
        <v>1625.12</v>
      </c>
      <c r="F133" s="22">
        <v>1942.83</v>
      </c>
      <c r="G133" s="22">
        <v>312.97000000000003</v>
      </c>
      <c r="H133" s="22">
        <v>508.55</v>
      </c>
      <c r="I133" s="22">
        <v>41.71</v>
      </c>
      <c r="J133" s="22">
        <v>290.98</v>
      </c>
      <c r="K133" s="22">
        <v>0</v>
      </c>
      <c r="L133" s="22">
        <v>0</v>
      </c>
      <c r="M133" s="388">
        <v>30577.479999999996</v>
      </c>
      <c r="N133" s="25">
        <v>0.10920000000000001</v>
      </c>
      <c r="O133" s="24">
        <v>0</v>
      </c>
      <c r="P133" s="24">
        <v>3466</v>
      </c>
      <c r="Q133" s="24">
        <v>2776.5</v>
      </c>
      <c r="R133" s="22">
        <v>689.5</v>
      </c>
      <c r="S133" s="24">
        <v>1325.5</v>
      </c>
      <c r="T133" s="24">
        <f t="shared" si="6"/>
        <v>4791.5</v>
      </c>
      <c r="U133" s="376">
        <v>3339.06</v>
      </c>
      <c r="V133" s="376">
        <v>1528.87</v>
      </c>
      <c r="W133" s="22">
        <f t="shared" si="7"/>
        <v>364.62535200000002</v>
      </c>
      <c r="X133" s="22">
        <f t="shared" si="8"/>
        <v>2745</v>
      </c>
      <c r="Y133" s="22">
        <v>1818.75</v>
      </c>
      <c r="Z133" s="22">
        <v>926.25</v>
      </c>
      <c r="AA133" s="371">
        <v>30482.65</v>
      </c>
      <c r="AB133" s="22">
        <v>9.0051225861268624E-2</v>
      </c>
      <c r="AC133" s="24">
        <v>0</v>
      </c>
      <c r="AD133" s="384">
        <v>0</v>
      </c>
    </row>
    <row r="134" spans="1:30">
      <c r="A134" s="21" t="s">
        <v>441</v>
      </c>
      <c r="B134" s="21" t="s">
        <v>442</v>
      </c>
      <c r="C134" s="23">
        <v>714.84</v>
      </c>
      <c r="D134" s="147">
        <v>18.41</v>
      </c>
      <c r="E134" s="22">
        <v>103.32</v>
      </c>
      <c r="F134" s="22">
        <v>121.72999999999999</v>
      </c>
      <c r="G134" s="22">
        <v>0</v>
      </c>
      <c r="H134" s="22">
        <v>33.369999999999997</v>
      </c>
      <c r="I134" s="22">
        <v>1.61</v>
      </c>
      <c r="J134" s="22">
        <v>79.430000000000007</v>
      </c>
      <c r="K134" s="22">
        <v>0</v>
      </c>
      <c r="L134" s="22">
        <v>0</v>
      </c>
      <c r="M134" s="388">
        <v>2541.9699999999998</v>
      </c>
      <c r="N134" s="25">
        <v>0.43070000000000003</v>
      </c>
      <c r="O134" s="24">
        <v>0</v>
      </c>
      <c r="P134" s="24">
        <v>207.75</v>
      </c>
      <c r="Q134" s="24">
        <v>124.5</v>
      </c>
      <c r="R134" s="22">
        <v>83.25</v>
      </c>
      <c r="S134" s="24">
        <v>25</v>
      </c>
      <c r="T134" s="24">
        <f t="shared" si="6"/>
        <v>232.75</v>
      </c>
      <c r="U134" s="376">
        <v>1095.8399999999999</v>
      </c>
      <c r="V134" s="376">
        <v>127.1</v>
      </c>
      <c r="W134" s="22">
        <f t="shared" si="7"/>
        <v>471.97828800000002</v>
      </c>
      <c r="X134" s="22">
        <f t="shared" si="8"/>
        <v>403</v>
      </c>
      <c r="Y134" s="22">
        <v>238</v>
      </c>
      <c r="Z134" s="22">
        <v>165</v>
      </c>
      <c r="AA134" s="371">
        <v>2556.42</v>
      </c>
      <c r="AB134" s="22">
        <v>0.15764232794298277</v>
      </c>
      <c r="AC134" s="24">
        <v>2.2642327942982765E-2</v>
      </c>
      <c r="AD134" s="384">
        <v>-563393.0248110533</v>
      </c>
    </row>
    <row r="135" spans="1:30">
      <c r="A135" s="21" t="s">
        <v>557</v>
      </c>
      <c r="B135" s="21" t="s">
        <v>558</v>
      </c>
      <c r="C135" s="23">
        <v>0</v>
      </c>
      <c r="D135" s="147">
        <v>0</v>
      </c>
      <c r="E135" s="22">
        <v>0</v>
      </c>
      <c r="F135" s="22">
        <v>0</v>
      </c>
      <c r="G135" s="22">
        <v>0</v>
      </c>
      <c r="H135" s="22">
        <v>0</v>
      </c>
      <c r="I135" s="22">
        <v>0</v>
      </c>
      <c r="J135" s="22">
        <v>0</v>
      </c>
      <c r="K135" s="22">
        <v>0</v>
      </c>
      <c r="L135" s="22">
        <v>0</v>
      </c>
      <c r="M135" s="388">
        <v>36.799999999999997</v>
      </c>
      <c r="N135" s="25">
        <v>0.73529999999999995</v>
      </c>
      <c r="O135" s="24">
        <v>37</v>
      </c>
      <c r="P135" s="24">
        <v>0</v>
      </c>
      <c r="Q135" s="24">
        <v>0</v>
      </c>
      <c r="R135" s="22">
        <v>0</v>
      </c>
      <c r="S135" s="24">
        <v>0</v>
      </c>
      <c r="T135" s="24">
        <f t="shared" si="6"/>
        <v>0</v>
      </c>
      <c r="U135" s="376">
        <v>27.06</v>
      </c>
      <c r="V135" s="376">
        <v>1.84</v>
      </c>
      <c r="W135" s="22">
        <f t="shared" si="7"/>
        <v>19.897217999999999</v>
      </c>
      <c r="X135" s="22">
        <f t="shared" si="8"/>
        <v>8</v>
      </c>
      <c r="Y135" s="22">
        <v>3.75</v>
      </c>
      <c r="Z135" s="22">
        <v>4.25</v>
      </c>
      <c r="AA135" s="371">
        <v>36.799999999999997</v>
      </c>
      <c r="AB135" s="22">
        <v>0.21739130434782611</v>
      </c>
      <c r="AC135" s="24">
        <v>8.23913043478261E-2</v>
      </c>
      <c r="AD135" s="384">
        <v>-23710.641967020612</v>
      </c>
    </row>
    <row r="136" spans="1:30">
      <c r="A136" s="21" t="s">
        <v>471</v>
      </c>
      <c r="B136" s="21" t="s">
        <v>472</v>
      </c>
      <c r="C136" s="23">
        <v>186.6</v>
      </c>
      <c r="D136" s="147">
        <v>0</v>
      </c>
      <c r="E136" s="22">
        <v>30.08</v>
      </c>
      <c r="F136" s="22">
        <v>30.08</v>
      </c>
      <c r="G136" s="22">
        <v>0</v>
      </c>
      <c r="H136" s="22">
        <v>7.62</v>
      </c>
      <c r="I136" s="22">
        <v>0</v>
      </c>
      <c r="J136" s="22">
        <v>4.5999999999999996</v>
      </c>
      <c r="K136" s="22">
        <v>0</v>
      </c>
      <c r="L136" s="22">
        <v>0</v>
      </c>
      <c r="M136" s="388">
        <v>567.97</v>
      </c>
      <c r="N136" s="25">
        <v>0.32419999999999999</v>
      </c>
      <c r="O136" s="24">
        <v>0</v>
      </c>
      <c r="P136" s="24">
        <v>1</v>
      </c>
      <c r="Q136" s="24">
        <v>0</v>
      </c>
      <c r="R136" s="22">
        <v>1</v>
      </c>
      <c r="S136" s="24">
        <v>0</v>
      </c>
      <c r="T136" s="24">
        <f t="shared" si="6"/>
        <v>1</v>
      </c>
      <c r="U136" s="376">
        <v>184.14</v>
      </c>
      <c r="V136" s="376">
        <v>0</v>
      </c>
      <c r="W136" s="22">
        <f t="shared" si="7"/>
        <v>59.698187999999995</v>
      </c>
      <c r="X136" s="22">
        <f t="shared" si="8"/>
        <v>64.5</v>
      </c>
      <c r="Y136" s="22">
        <v>48.75</v>
      </c>
      <c r="Z136" s="22">
        <v>15.75</v>
      </c>
      <c r="AA136" s="371">
        <v>568.51</v>
      </c>
      <c r="AB136" s="22">
        <v>0.11345446869887953</v>
      </c>
      <c r="AC136" s="24">
        <v>0</v>
      </c>
      <c r="AD136" s="384">
        <v>0</v>
      </c>
    </row>
    <row r="137" spans="1:30">
      <c r="A137" s="21" t="s">
        <v>9</v>
      </c>
      <c r="B137" s="21" t="s">
        <v>10</v>
      </c>
      <c r="C137" s="23">
        <v>52</v>
      </c>
      <c r="D137" s="147">
        <v>4.72</v>
      </c>
      <c r="E137" s="22">
        <v>13.05</v>
      </c>
      <c r="F137" s="22">
        <v>17.77</v>
      </c>
      <c r="G137" s="22">
        <v>0</v>
      </c>
      <c r="H137" s="22">
        <v>1</v>
      </c>
      <c r="I137" s="22">
        <v>0</v>
      </c>
      <c r="J137" s="22">
        <v>0</v>
      </c>
      <c r="K137" s="22">
        <v>0</v>
      </c>
      <c r="L137" s="22">
        <v>0</v>
      </c>
      <c r="M137" s="388">
        <v>188.2</v>
      </c>
      <c r="N137" s="25">
        <v>0.70589999999999997</v>
      </c>
      <c r="O137" s="24">
        <v>185</v>
      </c>
      <c r="P137" s="24">
        <v>29</v>
      </c>
      <c r="Q137" s="24">
        <v>18</v>
      </c>
      <c r="R137" s="22">
        <v>11</v>
      </c>
      <c r="S137" s="24">
        <v>4</v>
      </c>
      <c r="T137" s="24">
        <f t="shared" ref="T137:T200" si="9">S137+P137</f>
        <v>33</v>
      </c>
      <c r="U137" s="376">
        <v>132.85</v>
      </c>
      <c r="V137" s="376">
        <v>0</v>
      </c>
      <c r="W137" s="22">
        <f t="shared" ref="W137:W200" si="10">U137*N137</f>
        <v>93.778814999999994</v>
      </c>
      <c r="X137" s="22">
        <f t="shared" ref="X137:X200" si="11">Y137+Z137</f>
        <v>18.5</v>
      </c>
      <c r="Y137" s="22">
        <v>16</v>
      </c>
      <c r="Z137" s="22">
        <v>2.5</v>
      </c>
      <c r="AA137" s="371">
        <v>188.2</v>
      </c>
      <c r="AB137" s="22">
        <v>9.829968119022317E-2</v>
      </c>
      <c r="AC137" s="24">
        <v>0</v>
      </c>
      <c r="AD137" s="384">
        <v>0</v>
      </c>
    </row>
    <row r="138" spans="1:30">
      <c r="A138" s="21" t="s">
        <v>77</v>
      </c>
      <c r="B138" s="21" t="s">
        <v>78</v>
      </c>
      <c r="C138" s="23">
        <v>1859.02</v>
      </c>
      <c r="D138" s="147">
        <v>46.14</v>
      </c>
      <c r="E138" s="22">
        <v>376.42</v>
      </c>
      <c r="F138" s="22">
        <v>422.56</v>
      </c>
      <c r="G138" s="22">
        <v>0</v>
      </c>
      <c r="H138" s="22">
        <v>133.12</v>
      </c>
      <c r="I138" s="22">
        <v>10.94</v>
      </c>
      <c r="J138" s="22">
        <v>108.23</v>
      </c>
      <c r="K138" s="22">
        <v>27.96</v>
      </c>
      <c r="L138" s="22">
        <v>1.44</v>
      </c>
      <c r="M138" s="388">
        <v>6168.8799999999992</v>
      </c>
      <c r="N138" s="25">
        <v>0.63149999999999995</v>
      </c>
      <c r="O138" s="24">
        <v>4537</v>
      </c>
      <c r="P138" s="24">
        <v>402.75</v>
      </c>
      <c r="Q138" s="24">
        <v>267.25</v>
      </c>
      <c r="R138" s="22">
        <v>135.5</v>
      </c>
      <c r="S138" s="24">
        <v>69.25</v>
      </c>
      <c r="T138" s="24">
        <f t="shared" si="9"/>
        <v>472</v>
      </c>
      <c r="U138" s="376">
        <v>3869.74</v>
      </c>
      <c r="V138" s="376">
        <v>308.44</v>
      </c>
      <c r="W138" s="22">
        <f t="shared" si="10"/>
        <v>2443.7408099999998</v>
      </c>
      <c r="X138" s="22">
        <f t="shared" si="11"/>
        <v>997.25</v>
      </c>
      <c r="Y138" s="22">
        <v>560</v>
      </c>
      <c r="Z138" s="22">
        <v>437.25</v>
      </c>
      <c r="AA138" s="371">
        <v>6173.13</v>
      </c>
      <c r="AB138" s="22">
        <v>0.16154689760299881</v>
      </c>
      <c r="AC138" s="24">
        <v>2.6546897602998804E-2</v>
      </c>
      <c r="AD138" s="384">
        <v>-1436449.5074793682</v>
      </c>
    </row>
    <row r="139" spans="1:30">
      <c r="A139" s="21" t="s">
        <v>493</v>
      </c>
      <c r="B139" s="21" t="s">
        <v>494</v>
      </c>
      <c r="C139" s="23">
        <v>59</v>
      </c>
      <c r="D139" s="147">
        <v>0</v>
      </c>
      <c r="E139" s="22">
        <v>0</v>
      </c>
      <c r="F139" s="22">
        <v>0</v>
      </c>
      <c r="G139" s="22">
        <v>0</v>
      </c>
      <c r="H139" s="22">
        <v>0</v>
      </c>
      <c r="I139" s="22">
        <v>0</v>
      </c>
      <c r="J139" s="22">
        <v>126.3</v>
      </c>
      <c r="K139" s="22">
        <v>0</v>
      </c>
      <c r="L139" s="22">
        <v>0</v>
      </c>
      <c r="M139" s="388">
        <v>231.1</v>
      </c>
      <c r="N139" s="25">
        <v>0.56200000000000006</v>
      </c>
      <c r="O139" s="24">
        <v>106</v>
      </c>
      <c r="P139" s="24">
        <v>0</v>
      </c>
      <c r="Q139" s="24">
        <v>0</v>
      </c>
      <c r="R139" s="22">
        <v>0</v>
      </c>
      <c r="S139" s="24">
        <v>0</v>
      </c>
      <c r="T139" s="24">
        <f t="shared" si="9"/>
        <v>0</v>
      </c>
      <c r="U139" s="376">
        <v>128.93</v>
      </c>
      <c r="V139" s="376">
        <v>0</v>
      </c>
      <c r="W139" s="22">
        <f t="shared" si="10"/>
        <v>72.458660000000009</v>
      </c>
      <c r="X139" s="22">
        <f t="shared" si="11"/>
        <v>17.5</v>
      </c>
      <c r="Y139" s="22">
        <v>10.25</v>
      </c>
      <c r="Z139" s="22">
        <v>7.25</v>
      </c>
      <c r="AA139" s="371">
        <v>231.1</v>
      </c>
      <c r="AB139" s="22">
        <v>7.5724794461272185E-2</v>
      </c>
      <c r="AC139" s="24">
        <v>0</v>
      </c>
      <c r="AD139" s="384">
        <v>0</v>
      </c>
    </row>
    <row r="140" spans="1:30">
      <c r="A140" s="21" t="s">
        <v>397</v>
      </c>
      <c r="B140" s="21" t="s">
        <v>398</v>
      </c>
      <c r="C140" s="23">
        <v>63.2</v>
      </c>
      <c r="D140" s="147">
        <v>0.7</v>
      </c>
      <c r="E140" s="22">
        <v>12.57</v>
      </c>
      <c r="F140" s="22">
        <v>13.27</v>
      </c>
      <c r="G140" s="22">
        <v>0</v>
      </c>
      <c r="H140" s="22">
        <v>1.32</v>
      </c>
      <c r="I140" s="22">
        <v>0.1</v>
      </c>
      <c r="J140" s="22">
        <v>19.75</v>
      </c>
      <c r="K140" s="22">
        <v>0</v>
      </c>
      <c r="L140" s="22">
        <v>0</v>
      </c>
      <c r="M140" s="388">
        <v>241.82</v>
      </c>
      <c r="N140" s="25">
        <v>0.44</v>
      </c>
      <c r="O140" s="24">
        <v>0</v>
      </c>
      <c r="P140" s="24">
        <v>18</v>
      </c>
      <c r="Q140" s="24">
        <v>14</v>
      </c>
      <c r="R140" s="22">
        <v>4</v>
      </c>
      <c r="S140" s="24">
        <v>0</v>
      </c>
      <c r="T140" s="24">
        <f t="shared" si="9"/>
        <v>18</v>
      </c>
      <c r="U140" s="376">
        <v>106.4</v>
      </c>
      <c r="V140" s="376">
        <v>12.09</v>
      </c>
      <c r="W140" s="22">
        <f t="shared" si="10"/>
        <v>46.816000000000003</v>
      </c>
      <c r="X140" s="22">
        <f t="shared" si="11"/>
        <v>42.75</v>
      </c>
      <c r="Y140" s="22">
        <v>38</v>
      </c>
      <c r="Z140" s="22">
        <v>4.75</v>
      </c>
      <c r="AA140" s="371">
        <v>241.82</v>
      </c>
      <c r="AB140" s="22">
        <v>0.17678438507981142</v>
      </c>
      <c r="AC140" s="24">
        <v>4.1784385079811415E-2</v>
      </c>
      <c r="AD140" s="384">
        <v>-95615.324766120757</v>
      </c>
    </row>
    <row r="141" spans="1:30">
      <c r="A141" s="21" t="s">
        <v>1232</v>
      </c>
      <c r="B141" s="21" t="s">
        <v>1233</v>
      </c>
      <c r="C141" s="23">
        <v>0</v>
      </c>
      <c r="D141" s="147">
        <v>0</v>
      </c>
      <c r="E141" s="22">
        <v>0</v>
      </c>
      <c r="F141" s="22">
        <v>0</v>
      </c>
      <c r="G141" s="22">
        <v>0</v>
      </c>
      <c r="H141" s="22">
        <v>0</v>
      </c>
      <c r="I141" s="22">
        <v>0</v>
      </c>
      <c r="J141" s="22">
        <v>0</v>
      </c>
      <c r="K141" s="22">
        <v>0.8</v>
      </c>
      <c r="L141" s="22">
        <v>0</v>
      </c>
      <c r="M141" s="388">
        <v>34.599999999999994</v>
      </c>
      <c r="N141" s="25">
        <v>0.87180000000000002</v>
      </c>
      <c r="O141" s="24">
        <v>39</v>
      </c>
      <c r="P141" s="24">
        <v>0</v>
      </c>
      <c r="Q141" s="24">
        <v>0</v>
      </c>
      <c r="R141" s="22">
        <v>0</v>
      </c>
      <c r="S141" s="24">
        <v>0</v>
      </c>
      <c r="T141" s="24">
        <f t="shared" si="9"/>
        <v>0</v>
      </c>
      <c r="U141" s="376">
        <v>29.28</v>
      </c>
      <c r="V141" s="376">
        <v>0</v>
      </c>
      <c r="W141" s="22">
        <f t="shared" si="10"/>
        <v>25.526304000000003</v>
      </c>
      <c r="X141" s="22">
        <f t="shared" si="11"/>
        <v>6.75</v>
      </c>
      <c r="Y141" s="22">
        <v>6.5</v>
      </c>
      <c r="Z141" s="22">
        <v>0.25</v>
      </c>
      <c r="AA141" s="371">
        <v>34.6</v>
      </c>
      <c r="AB141" s="22">
        <v>0.19508670520231214</v>
      </c>
      <c r="AC141" s="24">
        <v>6.008670520231213E-2</v>
      </c>
      <c r="AD141" s="384">
        <v>-17753.011919335677</v>
      </c>
    </row>
    <row r="142" spans="1:30">
      <c r="A142" s="21" t="s">
        <v>553</v>
      </c>
      <c r="B142" s="21" t="s">
        <v>554</v>
      </c>
      <c r="C142" s="23">
        <v>122.6</v>
      </c>
      <c r="D142" s="147">
        <v>0</v>
      </c>
      <c r="E142" s="22">
        <v>0</v>
      </c>
      <c r="F142" s="22">
        <v>0</v>
      </c>
      <c r="G142" s="22">
        <v>0</v>
      </c>
      <c r="H142" s="22">
        <v>2.0099999999999998</v>
      </c>
      <c r="I142" s="22">
        <v>0</v>
      </c>
      <c r="J142" s="22">
        <v>0</v>
      </c>
      <c r="K142" s="22">
        <v>0</v>
      </c>
      <c r="L142" s="22">
        <v>0</v>
      </c>
      <c r="M142" s="388">
        <v>399.13</v>
      </c>
      <c r="N142" s="25">
        <v>0.9375</v>
      </c>
      <c r="O142" s="24">
        <v>408</v>
      </c>
      <c r="P142" s="24">
        <v>0</v>
      </c>
      <c r="Q142" s="24">
        <v>0</v>
      </c>
      <c r="R142" s="22">
        <v>0</v>
      </c>
      <c r="S142" s="24">
        <v>0</v>
      </c>
      <c r="T142" s="24">
        <f t="shared" si="9"/>
        <v>0</v>
      </c>
      <c r="U142" s="376">
        <v>374.18</v>
      </c>
      <c r="V142" s="376">
        <v>0</v>
      </c>
      <c r="W142" s="22">
        <f t="shared" si="10"/>
        <v>350.79374999999999</v>
      </c>
      <c r="X142" s="22">
        <f t="shared" si="11"/>
        <v>112</v>
      </c>
      <c r="Y142" s="22">
        <v>88.25</v>
      </c>
      <c r="Z142" s="22">
        <v>23.75</v>
      </c>
      <c r="AA142" s="371">
        <v>399.13</v>
      </c>
      <c r="AB142" s="22">
        <v>0.28061032746223036</v>
      </c>
      <c r="AC142" s="24">
        <v>0.14561032746223035</v>
      </c>
      <c r="AD142" s="384">
        <v>-549065.80042489187</v>
      </c>
    </row>
    <row r="143" spans="1:30">
      <c r="A143" s="21" t="s">
        <v>269</v>
      </c>
      <c r="B143" s="21" t="s">
        <v>270</v>
      </c>
      <c r="C143" s="23">
        <v>62.4</v>
      </c>
      <c r="D143" s="147">
        <v>0</v>
      </c>
      <c r="E143" s="22">
        <v>0</v>
      </c>
      <c r="F143" s="22">
        <v>0</v>
      </c>
      <c r="G143" s="22">
        <v>0</v>
      </c>
      <c r="H143" s="22">
        <v>13.71</v>
      </c>
      <c r="I143" s="22">
        <v>0</v>
      </c>
      <c r="J143" s="22">
        <v>0</v>
      </c>
      <c r="K143" s="22">
        <v>0</v>
      </c>
      <c r="L143" s="22">
        <v>0</v>
      </c>
      <c r="M143" s="388">
        <v>214.04000000000002</v>
      </c>
      <c r="N143" s="25">
        <v>0.88739999999999997</v>
      </c>
      <c r="O143" s="24">
        <v>222</v>
      </c>
      <c r="P143" s="24">
        <v>8</v>
      </c>
      <c r="Q143" s="24">
        <v>6</v>
      </c>
      <c r="R143" s="22">
        <v>2</v>
      </c>
      <c r="S143" s="24">
        <v>0</v>
      </c>
      <c r="T143" s="24">
        <f t="shared" si="9"/>
        <v>8</v>
      </c>
      <c r="U143" s="376">
        <v>189.83</v>
      </c>
      <c r="V143" s="376">
        <v>0</v>
      </c>
      <c r="W143" s="22">
        <f t="shared" si="10"/>
        <v>168.455142</v>
      </c>
      <c r="X143" s="22">
        <f t="shared" si="11"/>
        <v>39.5</v>
      </c>
      <c r="Y143" s="22">
        <v>35</v>
      </c>
      <c r="Z143" s="22">
        <v>4.5</v>
      </c>
      <c r="AA143" s="371">
        <v>214.04</v>
      </c>
      <c r="AB143" s="22">
        <v>0.18454494487011774</v>
      </c>
      <c r="AC143" s="24">
        <v>4.9544944870117735E-2</v>
      </c>
      <c r="AD143" s="384">
        <v>-93019.662381445218</v>
      </c>
    </row>
    <row r="144" spans="1:30">
      <c r="A144" s="21" t="s">
        <v>545</v>
      </c>
      <c r="B144" s="21" t="s">
        <v>546</v>
      </c>
      <c r="C144" s="23">
        <v>873.85</v>
      </c>
      <c r="D144" s="147">
        <v>14.93</v>
      </c>
      <c r="E144" s="22">
        <v>218.72</v>
      </c>
      <c r="F144" s="22">
        <v>233.65</v>
      </c>
      <c r="G144" s="22">
        <v>0</v>
      </c>
      <c r="H144" s="22">
        <v>106.19</v>
      </c>
      <c r="I144" s="22">
        <v>6.4</v>
      </c>
      <c r="J144" s="22">
        <v>388.61</v>
      </c>
      <c r="K144" s="22">
        <v>17.260000000000002</v>
      </c>
      <c r="L144" s="22">
        <v>1.54</v>
      </c>
      <c r="M144" s="388">
        <v>3319.4400000000005</v>
      </c>
      <c r="N144" s="25">
        <v>0.32329999999999998</v>
      </c>
      <c r="O144" s="24">
        <v>0</v>
      </c>
      <c r="P144" s="24">
        <v>342.25</v>
      </c>
      <c r="Q144" s="24">
        <v>230</v>
      </c>
      <c r="R144" s="22">
        <v>112.25</v>
      </c>
      <c r="S144" s="24">
        <v>82.25</v>
      </c>
      <c r="T144" s="24">
        <f t="shared" si="9"/>
        <v>424.5</v>
      </c>
      <c r="U144" s="376">
        <v>1073.17</v>
      </c>
      <c r="V144" s="376">
        <v>165.97</v>
      </c>
      <c r="W144" s="22">
        <f t="shared" si="10"/>
        <v>346.95586099999997</v>
      </c>
      <c r="X144" s="22">
        <f t="shared" si="11"/>
        <v>447.5</v>
      </c>
      <c r="Y144" s="22">
        <v>332.25</v>
      </c>
      <c r="Z144" s="22">
        <v>115.25</v>
      </c>
      <c r="AA144" s="371">
        <v>3322.08</v>
      </c>
      <c r="AB144" s="22">
        <v>0.13470476328083611</v>
      </c>
      <c r="AC144" s="24">
        <v>0</v>
      </c>
      <c r="AD144" s="384">
        <v>0</v>
      </c>
    </row>
    <row r="145" spans="1:30">
      <c r="A145" s="21" t="s">
        <v>591</v>
      </c>
      <c r="B145" s="21" t="s">
        <v>592</v>
      </c>
      <c r="C145" s="23">
        <v>237.6</v>
      </c>
      <c r="D145" s="147">
        <v>0</v>
      </c>
      <c r="E145" s="22">
        <v>77.38</v>
      </c>
      <c r="F145" s="22">
        <v>77.38</v>
      </c>
      <c r="G145" s="22">
        <v>0</v>
      </c>
      <c r="H145" s="22">
        <v>10.58</v>
      </c>
      <c r="I145" s="22">
        <v>0.92</v>
      </c>
      <c r="J145" s="22">
        <v>0</v>
      </c>
      <c r="K145" s="22">
        <v>3.6</v>
      </c>
      <c r="L145" s="22">
        <v>0</v>
      </c>
      <c r="M145" s="388">
        <v>808.32</v>
      </c>
      <c r="N145" s="25">
        <v>0.99119999999999997</v>
      </c>
      <c r="O145" s="24">
        <v>815</v>
      </c>
      <c r="P145" s="24">
        <v>329.75</v>
      </c>
      <c r="Q145" s="24">
        <v>144.75</v>
      </c>
      <c r="R145" s="22">
        <v>185</v>
      </c>
      <c r="S145" s="24">
        <v>29</v>
      </c>
      <c r="T145" s="24">
        <f t="shared" si="9"/>
        <v>358.75</v>
      </c>
      <c r="U145" s="376">
        <v>801.21</v>
      </c>
      <c r="V145" s="376">
        <v>40.42</v>
      </c>
      <c r="W145" s="22">
        <f t="shared" si="10"/>
        <v>794.15935200000001</v>
      </c>
      <c r="X145" s="22">
        <f t="shared" si="11"/>
        <v>83.5</v>
      </c>
      <c r="Y145" s="22">
        <v>31.5</v>
      </c>
      <c r="Z145" s="22">
        <v>52</v>
      </c>
      <c r="AA145" s="371">
        <v>811.56</v>
      </c>
      <c r="AB145" s="22">
        <v>0.10288826457686431</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91.399999999999991</v>
      </c>
      <c r="N146" s="25">
        <v>0.73629999999999995</v>
      </c>
      <c r="O146" s="24">
        <v>93</v>
      </c>
      <c r="P146" s="24">
        <v>5</v>
      </c>
      <c r="Q146" s="24">
        <v>2</v>
      </c>
      <c r="R146" s="22">
        <v>3</v>
      </c>
      <c r="S146" s="24">
        <v>1</v>
      </c>
      <c r="T146" s="24">
        <f t="shared" si="9"/>
        <v>6</v>
      </c>
      <c r="U146" s="376">
        <v>67.3</v>
      </c>
      <c r="V146" s="376">
        <v>0</v>
      </c>
      <c r="W146" s="22">
        <f t="shared" si="10"/>
        <v>49.552989999999994</v>
      </c>
      <c r="X146" s="22">
        <f t="shared" si="11"/>
        <v>9.75</v>
      </c>
      <c r="Y146" s="22">
        <v>7.75</v>
      </c>
      <c r="Z146" s="22">
        <v>2</v>
      </c>
      <c r="AA146" s="371">
        <v>91.4</v>
      </c>
      <c r="AB146" s="22">
        <v>0.10667396061269147</v>
      </c>
      <c r="AC146" s="24">
        <v>0</v>
      </c>
      <c r="AD146" s="384">
        <v>0</v>
      </c>
    </row>
    <row r="147" spans="1:30">
      <c r="A147" s="21" t="s">
        <v>29</v>
      </c>
      <c r="B147" s="21" t="s">
        <v>30</v>
      </c>
      <c r="C147" s="23">
        <v>161.97999999999999</v>
      </c>
      <c r="D147" s="147">
        <v>4.6100000000000003</v>
      </c>
      <c r="E147" s="22">
        <v>12.35</v>
      </c>
      <c r="F147" s="22">
        <v>16.96</v>
      </c>
      <c r="G147" s="22">
        <v>0</v>
      </c>
      <c r="H147" s="22">
        <v>0</v>
      </c>
      <c r="I147" s="22">
        <v>0</v>
      </c>
      <c r="J147" s="22">
        <v>0</v>
      </c>
      <c r="K147" s="22">
        <v>0</v>
      </c>
      <c r="L147" s="22">
        <v>0</v>
      </c>
      <c r="M147" s="388">
        <v>598.66</v>
      </c>
      <c r="N147" s="25">
        <v>0.70520000000000005</v>
      </c>
      <c r="O147" s="24">
        <v>606</v>
      </c>
      <c r="P147" s="24">
        <v>214.25</v>
      </c>
      <c r="Q147" s="24">
        <v>132.5</v>
      </c>
      <c r="R147" s="22">
        <v>81.75</v>
      </c>
      <c r="S147" s="24">
        <v>33</v>
      </c>
      <c r="T147" s="24">
        <f t="shared" si="9"/>
        <v>247.25</v>
      </c>
      <c r="U147" s="376">
        <v>422.18</v>
      </c>
      <c r="V147" s="376">
        <v>29.93</v>
      </c>
      <c r="W147" s="22">
        <f t="shared" si="10"/>
        <v>297.72133600000001</v>
      </c>
      <c r="X147" s="22">
        <f t="shared" si="11"/>
        <v>72</v>
      </c>
      <c r="Y147" s="22">
        <v>57.75</v>
      </c>
      <c r="Z147" s="22">
        <v>14.25</v>
      </c>
      <c r="AA147" s="371">
        <v>598.66</v>
      </c>
      <c r="AB147" s="22">
        <v>0.12026859987304982</v>
      </c>
      <c r="AC147" s="24">
        <v>0</v>
      </c>
      <c r="AD147" s="384">
        <v>0</v>
      </c>
    </row>
    <row r="148" spans="1:30">
      <c r="A148" s="21" t="s">
        <v>319</v>
      </c>
      <c r="B148" s="21" t="s">
        <v>320</v>
      </c>
      <c r="C148" s="23">
        <v>58.8</v>
      </c>
      <c r="D148" s="147">
        <v>4.8600000000000003</v>
      </c>
      <c r="E148" s="22">
        <v>18.62</v>
      </c>
      <c r="F148" s="22">
        <v>23.48</v>
      </c>
      <c r="G148" s="22">
        <v>0</v>
      </c>
      <c r="H148" s="22">
        <v>4.47</v>
      </c>
      <c r="I148" s="22">
        <v>0.33</v>
      </c>
      <c r="J148" s="22">
        <v>1274.4000000000001</v>
      </c>
      <c r="K148" s="22">
        <v>0</v>
      </c>
      <c r="L148" s="22">
        <v>0</v>
      </c>
      <c r="M148" s="388">
        <v>1440.42</v>
      </c>
      <c r="N148" s="25">
        <v>0.20680000000000001</v>
      </c>
      <c r="O148" s="24">
        <v>170</v>
      </c>
      <c r="P148" s="24">
        <v>31.25</v>
      </c>
      <c r="Q148" s="24">
        <v>27.75</v>
      </c>
      <c r="R148" s="22">
        <v>3.5</v>
      </c>
      <c r="S148" s="24">
        <v>5.25</v>
      </c>
      <c r="T148" s="24">
        <f t="shared" si="9"/>
        <v>36.5</v>
      </c>
      <c r="U148" s="376">
        <v>297.88</v>
      </c>
      <c r="V148" s="376">
        <v>72.02</v>
      </c>
      <c r="W148" s="22">
        <f t="shared" si="10"/>
        <v>61.601584000000003</v>
      </c>
      <c r="X148" s="22">
        <f t="shared" si="11"/>
        <v>246.25</v>
      </c>
      <c r="Y148" s="22">
        <v>212</v>
      </c>
      <c r="Z148" s="22">
        <v>34.25</v>
      </c>
      <c r="AA148" s="371">
        <v>1441.96</v>
      </c>
      <c r="AB148" s="22">
        <v>0.17077450137313102</v>
      </c>
      <c r="AC148" s="24">
        <v>3.5774501373131012E-2</v>
      </c>
      <c r="AD148" s="384">
        <v>-431552.38947815518</v>
      </c>
    </row>
    <row r="149" spans="1:30">
      <c r="A149" s="21" t="s">
        <v>501</v>
      </c>
      <c r="B149" s="21" t="s">
        <v>502</v>
      </c>
      <c r="C149" s="23">
        <v>118.2</v>
      </c>
      <c r="D149" s="147">
        <v>0</v>
      </c>
      <c r="E149" s="22">
        <v>39.33</v>
      </c>
      <c r="F149" s="22">
        <v>39.33</v>
      </c>
      <c r="G149" s="22">
        <v>0</v>
      </c>
      <c r="H149" s="22">
        <v>5.92</v>
      </c>
      <c r="I149" s="22">
        <v>1.02</v>
      </c>
      <c r="J149" s="22">
        <v>37.78</v>
      </c>
      <c r="K149" s="22">
        <v>0</v>
      </c>
      <c r="L149" s="22">
        <v>0</v>
      </c>
      <c r="M149" s="388">
        <v>450.72</v>
      </c>
      <c r="N149" s="25">
        <v>0.78349999999999997</v>
      </c>
      <c r="O149" s="24">
        <v>450</v>
      </c>
      <c r="P149" s="24">
        <v>1</v>
      </c>
      <c r="Q149" s="24">
        <v>0</v>
      </c>
      <c r="R149" s="22">
        <v>1</v>
      </c>
      <c r="S149" s="24">
        <v>0</v>
      </c>
      <c r="T149" s="24">
        <f t="shared" si="9"/>
        <v>1</v>
      </c>
      <c r="U149" s="376">
        <v>353.14</v>
      </c>
      <c r="V149" s="376">
        <v>22.54</v>
      </c>
      <c r="W149" s="22">
        <f t="shared" si="10"/>
        <v>276.68518999999998</v>
      </c>
      <c r="X149" s="22">
        <f t="shared" si="11"/>
        <v>71</v>
      </c>
      <c r="Y149" s="22">
        <v>52</v>
      </c>
      <c r="Z149" s="22">
        <v>19</v>
      </c>
      <c r="AA149" s="371">
        <v>450.72</v>
      </c>
      <c r="AB149" s="22">
        <v>0.15752573659921901</v>
      </c>
      <c r="AC149" s="24">
        <v>2.2525736599218998E-2</v>
      </c>
      <c r="AD149" s="384">
        <v>-88490.915271153848</v>
      </c>
    </row>
    <row r="150" spans="1:30">
      <c r="A150" s="21" t="s">
        <v>433</v>
      </c>
      <c r="B150" s="21" t="s">
        <v>434</v>
      </c>
      <c r="C150" s="23">
        <v>2864.18</v>
      </c>
      <c r="D150" s="147">
        <v>201.04</v>
      </c>
      <c r="E150" s="22">
        <v>586.42999999999995</v>
      </c>
      <c r="F150" s="22">
        <v>787.46999999999991</v>
      </c>
      <c r="G150" s="22">
        <v>0</v>
      </c>
      <c r="H150" s="22">
        <v>154.68</v>
      </c>
      <c r="I150" s="22">
        <v>8.43</v>
      </c>
      <c r="J150" s="22">
        <v>336.75</v>
      </c>
      <c r="K150" s="22">
        <v>76.52</v>
      </c>
      <c r="L150" s="22">
        <v>0</v>
      </c>
      <c r="M150" s="388">
        <v>9923.5600000000013</v>
      </c>
      <c r="N150" s="25">
        <v>0.50609999999999999</v>
      </c>
      <c r="O150" s="24">
        <v>6381</v>
      </c>
      <c r="P150" s="24">
        <v>1016.5</v>
      </c>
      <c r="Q150" s="24">
        <v>619.75</v>
      </c>
      <c r="R150" s="22">
        <v>396.75</v>
      </c>
      <c r="S150" s="24">
        <v>196.5</v>
      </c>
      <c r="T150" s="24">
        <f t="shared" si="9"/>
        <v>1213</v>
      </c>
      <c r="U150" s="376">
        <v>5025.29</v>
      </c>
      <c r="V150" s="376">
        <v>496.18</v>
      </c>
      <c r="W150" s="22">
        <f t="shared" si="10"/>
        <v>2543.2992690000001</v>
      </c>
      <c r="X150" s="22">
        <f t="shared" si="11"/>
        <v>1503.5</v>
      </c>
      <c r="Y150" s="22">
        <v>730</v>
      </c>
      <c r="Z150" s="22">
        <v>773.5</v>
      </c>
      <c r="AA150" s="371">
        <v>9953.17</v>
      </c>
      <c r="AB150" s="22">
        <v>0.15105740181268881</v>
      </c>
      <c r="AC150" s="24">
        <v>1.6057401812688804E-2</v>
      </c>
      <c r="AD150" s="384">
        <v>-1556287.6691872284</v>
      </c>
    </row>
    <row r="151" spans="1:30">
      <c r="A151" s="21" t="s">
        <v>147</v>
      </c>
      <c r="B151" s="21" t="s">
        <v>148</v>
      </c>
      <c r="C151" s="23">
        <v>125.41</v>
      </c>
      <c r="D151" s="147">
        <v>0</v>
      </c>
      <c r="E151" s="22">
        <v>0</v>
      </c>
      <c r="F151" s="22">
        <v>0</v>
      </c>
      <c r="G151" s="22">
        <v>0</v>
      </c>
      <c r="H151" s="22">
        <v>0</v>
      </c>
      <c r="I151" s="22">
        <v>0</v>
      </c>
      <c r="J151" s="22">
        <v>0</v>
      </c>
      <c r="K151" s="22">
        <v>0</v>
      </c>
      <c r="L151" s="22">
        <v>0</v>
      </c>
      <c r="M151" s="388">
        <v>291.75</v>
      </c>
      <c r="N151" s="25">
        <v>0.60860000000000003</v>
      </c>
      <c r="O151" s="24">
        <v>291</v>
      </c>
      <c r="P151" s="24">
        <v>2.25</v>
      </c>
      <c r="Q151" s="24">
        <v>2.25</v>
      </c>
      <c r="R151" s="22">
        <v>0</v>
      </c>
      <c r="S151" s="24">
        <v>0</v>
      </c>
      <c r="T151" s="24">
        <f t="shared" si="9"/>
        <v>2.25</v>
      </c>
      <c r="U151" s="376">
        <v>177.56</v>
      </c>
      <c r="V151" s="376">
        <v>14.59</v>
      </c>
      <c r="W151" s="22">
        <f t="shared" si="10"/>
        <v>108.063016</v>
      </c>
      <c r="X151" s="22">
        <f t="shared" si="11"/>
        <v>61.5</v>
      </c>
      <c r="Y151" s="22">
        <v>51.5</v>
      </c>
      <c r="Z151" s="22">
        <v>10</v>
      </c>
      <c r="AA151" s="371">
        <v>291.75</v>
      </c>
      <c r="AB151" s="22">
        <v>0.21079691516709512</v>
      </c>
      <c r="AC151" s="24">
        <v>7.5796915167095108E-2</v>
      </c>
      <c r="AD151" s="384">
        <v>-198898.32415362209</v>
      </c>
    </row>
    <row r="152" spans="1:30">
      <c r="A152" s="21" t="s">
        <v>461</v>
      </c>
      <c r="B152" s="21" t="s">
        <v>462</v>
      </c>
      <c r="C152" s="23">
        <v>2631.62</v>
      </c>
      <c r="D152" s="147">
        <v>406.12</v>
      </c>
      <c r="E152" s="22">
        <v>321.83999999999997</v>
      </c>
      <c r="F152" s="22">
        <v>727.96</v>
      </c>
      <c r="G152" s="22">
        <v>0</v>
      </c>
      <c r="H152" s="22">
        <v>302.37</v>
      </c>
      <c r="I152" s="22">
        <v>12.32</v>
      </c>
      <c r="J152" s="22">
        <v>538.24</v>
      </c>
      <c r="K152" s="22">
        <v>9.93</v>
      </c>
      <c r="L152" s="22">
        <v>1.7</v>
      </c>
      <c r="M152" s="388">
        <v>10187.290000000001</v>
      </c>
      <c r="N152" s="25">
        <v>0.29310000000000003</v>
      </c>
      <c r="O152" s="24">
        <v>352</v>
      </c>
      <c r="P152" s="24">
        <v>283</v>
      </c>
      <c r="Q152" s="24">
        <v>164.5</v>
      </c>
      <c r="R152" s="22">
        <v>118.5</v>
      </c>
      <c r="S152" s="24">
        <v>84</v>
      </c>
      <c r="T152" s="24">
        <f t="shared" si="9"/>
        <v>367</v>
      </c>
      <c r="U152" s="376">
        <v>2985.89</v>
      </c>
      <c r="V152" s="376">
        <v>509.36</v>
      </c>
      <c r="W152" s="22">
        <f t="shared" si="10"/>
        <v>875.16435899999999</v>
      </c>
      <c r="X152" s="22">
        <f t="shared" si="11"/>
        <v>1347.5</v>
      </c>
      <c r="Y152" s="22">
        <v>626</v>
      </c>
      <c r="Z152" s="22">
        <v>721.5</v>
      </c>
      <c r="AA152" s="371">
        <v>10243.16</v>
      </c>
      <c r="AB152" s="22">
        <v>0.13155120099656747</v>
      </c>
      <c r="AC152" s="24">
        <v>0</v>
      </c>
      <c r="AD152" s="384">
        <v>0</v>
      </c>
    </row>
    <row r="153" spans="1:30">
      <c r="A153" s="21" t="s">
        <v>459</v>
      </c>
      <c r="B153" s="21" t="s">
        <v>460</v>
      </c>
      <c r="C153" s="23">
        <v>565.32000000000005</v>
      </c>
      <c r="D153" s="147">
        <v>1.82</v>
      </c>
      <c r="E153" s="22">
        <v>128.52000000000001</v>
      </c>
      <c r="F153" s="22">
        <v>130.34</v>
      </c>
      <c r="G153" s="22">
        <v>0</v>
      </c>
      <c r="H153" s="22">
        <v>23.43</v>
      </c>
      <c r="I153" s="22">
        <v>1.3</v>
      </c>
      <c r="J153" s="22">
        <v>83.67</v>
      </c>
      <c r="K153" s="22">
        <v>0</v>
      </c>
      <c r="L153" s="22">
        <v>0</v>
      </c>
      <c r="M153" s="388">
        <v>1756.0400000000004</v>
      </c>
      <c r="N153" s="25">
        <v>0.38279999999999997</v>
      </c>
      <c r="O153" s="24">
        <v>22</v>
      </c>
      <c r="P153" s="24">
        <v>21</v>
      </c>
      <c r="Q153" s="24">
        <v>16.5</v>
      </c>
      <c r="R153" s="22">
        <v>4.5</v>
      </c>
      <c r="S153" s="24">
        <v>0</v>
      </c>
      <c r="T153" s="24">
        <f t="shared" si="9"/>
        <v>21</v>
      </c>
      <c r="U153" s="376">
        <v>672.21</v>
      </c>
      <c r="V153" s="376">
        <v>87.8</v>
      </c>
      <c r="W153" s="22">
        <f t="shared" si="10"/>
        <v>257.32198799999998</v>
      </c>
      <c r="X153" s="22">
        <f t="shared" si="11"/>
        <v>230.5</v>
      </c>
      <c r="Y153" s="22">
        <v>185.25</v>
      </c>
      <c r="Z153" s="22">
        <v>45.25</v>
      </c>
      <c r="AA153" s="371">
        <v>1769.29</v>
      </c>
      <c r="AB153" s="22">
        <v>0.13027824720650658</v>
      </c>
      <c r="AC153" s="24">
        <v>0</v>
      </c>
      <c r="AD153" s="384">
        <v>0</v>
      </c>
    </row>
    <row r="154" spans="1:30">
      <c r="A154" s="21" t="s">
        <v>189</v>
      </c>
      <c r="B154" s="21" t="s">
        <v>190</v>
      </c>
      <c r="C154" s="23">
        <v>948.09</v>
      </c>
      <c r="D154" s="147">
        <v>16.190000000000001</v>
      </c>
      <c r="E154" s="22">
        <v>288.45</v>
      </c>
      <c r="F154" s="22">
        <v>304.64</v>
      </c>
      <c r="G154" s="22">
        <v>0</v>
      </c>
      <c r="H154" s="22">
        <v>47.02</v>
      </c>
      <c r="I154" s="22">
        <v>3.21</v>
      </c>
      <c r="J154" s="22">
        <v>12.61</v>
      </c>
      <c r="K154" s="22">
        <v>0</v>
      </c>
      <c r="L154" s="22">
        <v>0</v>
      </c>
      <c r="M154" s="388">
        <v>3990.6800000000003</v>
      </c>
      <c r="N154" s="25">
        <v>3.4500000000000003E-2</v>
      </c>
      <c r="O154" s="24">
        <v>0</v>
      </c>
      <c r="P154" s="24">
        <v>114.25</v>
      </c>
      <c r="Q154" s="24">
        <v>88.75</v>
      </c>
      <c r="R154" s="22">
        <v>25.5</v>
      </c>
      <c r="S154" s="24">
        <v>112</v>
      </c>
      <c r="T154" s="24">
        <f t="shared" si="9"/>
        <v>226.25</v>
      </c>
      <c r="U154" s="376">
        <v>137.68</v>
      </c>
      <c r="V154" s="376">
        <v>199.53</v>
      </c>
      <c r="W154" s="22">
        <f t="shared" si="10"/>
        <v>4.7499600000000006</v>
      </c>
      <c r="X154" s="22">
        <f t="shared" si="11"/>
        <v>388.25</v>
      </c>
      <c r="Y154" s="22">
        <v>260.25</v>
      </c>
      <c r="Z154" s="22">
        <v>128</v>
      </c>
      <c r="AA154" s="371">
        <v>4005.48</v>
      </c>
      <c r="AB154" s="22">
        <v>9.6929706302365762E-2</v>
      </c>
      <c r="AC154" s="24">
        <v>0</v>
      </c>
      <c r="AD154" s="384">
        <v>0</v>
      </c>
    </row>
    <row r="155" spans="1:30">
      <c r="A155" s="21" t="s">
        <v>547</v>
      </c>
      <c r="B155" s="21" t="s">
        <v>548</v>
      </c>
      <c r="C155" s="23">
        <v>444.77</v>
      </c>
      <c r="D155" s="147">
        <v>0</v>
      </c>
      <c r="E155" s="22">
        <v>61.67</v>
      </c>
      <c r="F155" s="22">
        <v>61.67</v>
      </c>
      <c r="G155" s="22">
        <v>0</v>
      </c>
      <c r="H155" s="22">
        <v>43.95</v>
      </c>
      <c r="I155" s="22">
        <v>2.4500000000000002</v>
      </c>
      <c r="J155" s="22">
        <v>224.32999999999998</v>
      </c>
      <c r="K155" s="22">
        <v>8.6999999999999993</v>
      </c>
      <c r="L155" s="22">
        <v>0.9</v>
      </c>
      <c r="M155" s="388">
        <v>1741.69</v>
      </c>
      <c r="N155" s="25">
        <v>0.37790000000000001</v>
      </c>
      <c r="O155" s="24">
        <v>0</v>
      </c>
      <c r="P155" s="24">
        <v>189.5</v>
      </c>
      <c r="Q155" s="24">
        <v>133.5</v>
      </c>
      <c r="R155" s="22">
        <v>56</v>
      </c>
      <c r="S155" s="24">
        <v>24</v>
      </c>
      <c r="T155" s="24">
        <f t="shared" si="9"/>
        <v>213.5</v>
      </c>
      <c r="U155" s="376">
        <v>658.18</v>
      </c>
      <c r="V155" s="376">
        <v>87.08</v>
      </c>
      <c r="W155" s="22">
        <f t="shared" si="10"/>
        <v>248.72622199999998</v>
      </c>
      <c r="X155" s="22">
        <f t="shared" si="11"/>
        <v>191.25</v>
      </c>
      <c r="Y155" s="22">
        <v>134.25</v>
      </c>
      <c r="Z155" s="22">
        <v>57</v>
      </c>
      <c r="AA155" s="371">
        <v>1745.05</v>
      </c>
      <c r="AB155" s="22">
        <v>0.10959571358986848</v>
      </c>
      <c r="AC155" s="24">
        <v>0</v>
      </c>
      <c r="AD155" s="384">
        <v>0</v>
      </c>
    </row>
    <row r="156" spans="1:30">
      <c r="A156" s="21" t="s">
        <v>337</v>
      </c>
      <c r="B156" s="21" t="s">
        <v>338</v>
      </c>
      <c r="C156" s="23">
        <v>212.66</v>
      </c>
      <c r="D156" s="147">
        <v>0</v>
      </c>
      <c r="E156" s="22">
        <v>39.130000000000003</v>
      </c>
      <c r="F156" s="22">
        <v>39.130000000000003</v>
      </c>
      <c r="G156" s="22">
        <v>0</v>
      </c>
      <c r="H156" s="22">
        <v>7.07</v>
      </c>
      <c r="I156" s="22">
        <v>0.28000000000000003</v>
      </c>
      <c r="J156" s="22">
        <v>25.700000000000003</v>
      </c>
      <c r="K156" s="22">
        <v>0</v>
      </c>
      <c r="L156" s="22">
        <v>0</v>
      </c>
      <c r="M156" s="388">
        <v>716.15</v>
      </c>
      <c r="N156" s="25">
        <v>0.39369999999999999</v>
      </c>
      <c r="O156" s="24">
        <v>42</v>
      </c>
      <c r="P156" s="24">
        <v>24</v>
      </c>
      <c r="Q156" s="24">
        <v>16</v>
      </c>
      <c r="R156" s="22">
        <v>8</v>
      </c>
      <c r="S156" s="24">
        <v>3.25</v>
      </c>
      <c r="T156" s="24">
        <f t="shared" si="9"/>
        <v>27.25</v>
      </c>
      <c r="U156" s="376">
        <v>281.95</v>
      </c>
      <c r="V156" s="376">
        <v>35.81</v>
      </c>
      <c r="W156" s="22">
        <f t="shared" si="10"/>
        <v>111.003715</v>
      </c>
      <c r="X156" s="22">
        <f t="shared" si="11"/>
        <v>77.25</v>
      </c>
      <c r="Y156" s="22">
        <v>68.25</v>
      </c>
      <c r="Z156" s="22">
        <v>9</v>
      </c>
      <c r="AA156" s="371">
        <v>716.16</v>
      </c>
      <c r="AB156" s="22">
        <v>0.10786695710455764</v>
      </c>
      <c r="AC156" s="24">
        <v>0</v>
      </c>
      <c r="AD156" s="384">
        <v>0</v>
      </c>
    </row>
    <row r="157" spans="1:30">
      <c r="A157" s="21" t="s">
        <v>419</v>
      </c>
      <c r="B157" s="21" t="s">
        <v>420</v>
      </c>
      <c r="C157" s="23">
        <v>10.27</v>
      </c>
      <c r="D157" s="147">
        <v>0</v>
      </c>
      <c r="E157" s="22">
        <v>0</v>
      </c>
      <c r="F157" s="22">
        <v>0</v>
      </c>
      <c r="G157" s="22">
        <v>0</v>
      </c>
      <c r="H157" s="22">
        <v>0</v>
      </c>
      <c r="I157" s="22">
        <v>0</v>
      </c>
      <c r="J157" s="22">
        <v>0</v>
      </c>
      <c r="K157" s="22">
        <v>0</v>
      </c>
      <c r="L157" s="22">
        <v>0</v>
      </c>
      <c r="M157" s="388">
        <v>25.989999999999995</v>
      </c>
      <c r="N157" s="25">
        <v>0.51160000000000005</v>
      </c>
      <c r="O157" s="24">
        <v>34</v>
      </c>
      <c r="P157" s="24">
        <v>0</v>
      </c>
      <c r="Q157" s="24">
        <v>0</v>
      </c>
      <c r="R157" s="22">
        <v>0</v>
      </c>
      <c r="S157" s="24">
        <v>0</v>
      </c>
      <c r="T157" s="24">
        <f t="shared" si="9"/>
        <v>0</v>
      </c>
      <c r="U157" s="376">
        <v>13.3</v>
      </c>
      <c r="V157" s="376">
        <v>0</v>
      </c>
      <c r="W157" s="22">
        <f t="shared" si="10"/>
        <v>6.8042800000000012</v>
      </c>
      <c r="X157" s="22">
        <f t="shared" si="11"/>
        <v>5.25</v>
      </c>
      <c r="Y157" s="22">
        <v>4.25</v>
      </c>
      <c r="Z157" s="22">
        <v>1</v>
      </c>
      <c r="AA157" s="371">
        <v>25.99</v>
      </c>
      <c r="AB157" s="22">
        <v>0.20200076952674106</v>
      </c>
      <c r="AC157" s="24">
        <v>6.7000769526741055E-2</v>
      </c>
      <c r="AD157" s="384">
        <v>-15611.956123050531</v>
      </c>
    </row>
    <row r="158" spans="1:30">
      <c r="A158" s="21" t="s">
        <v>437</v>
      </c>
      <c r="B158" s="21" t="s">
        <v>438</v>
      </c>
      <c r="C158" s="23">
        <v>1383.4</v>
      </c>
      <c r="D158" s="147">
        <v>74.430000000000007</v>
      </c>
      <c r="E158" s="22">
        <v>384.65</v>
      </c>
      <c r="F158" s="22">
        <v>459.08</v>
      </c>
      <c r="G158" s="22">
        <v>0</v>
      </c>
      <c r="H158" s="22">
        <v>160.72</v>
      </c>
      <c r="I158" s="22">
        <v>13.71</v>
      </c>
      <c r="J158" s="22">
        <v>763.31999999999994</v>
      </c>
      <c r="K158" s="22">
        <v>0</v>
      </c>
      <c r="L158" s="22">
        <v>0</v>
      </c>
      <c r="M158" s="388">
        <v>5792.95</v>
      </c>
      <c r="N158" s="25">
        <v>0.31219999999999998</v>
      </c>
      <c r="O158" s="24">
        <v>595</v>
      </c>
      <c r="P158" s="24">
        <v>661.25</v>
      </c>
      <c r="Q158" s="24">
        <v>432.5</v>
      </c>
      <c r="R158" s="22">
        <v>228.75</v>
      </c>
      <c r="S158" s="24">
        <v>118.5</v>
      </c>
      <c r="T158" s="24">
        <f t="shared" si="9"/>
        <v>779.75</v>
      </c>
      <c r="U158" s="376">
        <v>1803.92</v>
      </c>
      <c r="V158" s="376">
        <v>289.64999999999998</v>
      </c>
      <c r="W158" s="22">
        <f t="shared" si="10"/>
        <v>563.18382399999996</v>
      </c>
      <c r="X158" s="22">
        <f t="shared" si="11"/>
        <v>708</v>
      </c>
      <c r="Y158" s="22">
        <v>546</v>
      </c>
      <c r="Z158" s="22">
        <v>162</v>
      </c>
      <c r="AA158" s="371">
        <v>5847.81</v>
      </c>
      <c r="AB158" s="22">
        <v>0.12107096502793352</v>
      </c>
      <c r="AC158" s="24">
        <v>0</v>
      </c>
      <c r="AD158" s="384">
        <v>0</v>
      </c>
    </row>
    <row r="159" spans="1:30">
      <c r="A159" s="21" t="s">
        <v>149</v>
      </c>
      <c r="B159" s="21" t="s">
        <v>150</v>
      </c>
      <c r="C159" s="23">
        <v>361.18</v>
      </c>
      <c r="D159" s="147">
        <v>21.92</v>
      </c>
      <c r="E159" s="22">
        <v>146.30000000000001</v>
      </c>
      <c r="F159" s="22">
        <v>168.22000000000003</v>
      </c>
      <c r="G159" s="22">
        <v>0</v>
      </c>
      <c r="H159" s="22">
        <v>49.04</v>
      </c>
      <c r="I159" s="22">
        <v>2.3199999999999998</v>
      </c>
      <c r="J159" s="22">
        <v>0</v>
      </c>
      <c r="K159" s="22">
        <v>12</v>
      </c>
      <c r="L159" s="22">
        <v>0</v>
      </c>
      <c r="M159" s="388">
        <v>1355.7599999999998</v>
      </c>
      <c r="N159" s="25">
        <v>0.3649</v>
      </c>
      <c r="O159" s="24">
        <v>0</v>
      </c>
      <c r="P159" s="24">
        <v>24</v>
      </c>
      <c r="Q159" s="24">
        <v>15</v>
      </c>
      <c r="R159" s="22">
        <v>9</v>
      </c>
      <c r="S159" s="24">
        <v>8</v>
      </c>
      <c r="T159" s="24">
        <f t="shared" si="9"/>
        <v>32</v>
      </c>
      <c r="U159" s="376">
        <v>494.72</v>
      </c>
      <c r="V159" s="376">
        <v>67.790000000000006</v>
      </c>
      <c r="W159" s="22">
        <f t="shared" si="10"/>
        <v>180.52332800000002</v>
      </c>
      <c r="X159" s="22">
        <f t="shared" si="11"/>
        <v>190</v>
      </c>
      <c r="Y159" s="22">
        <v>102.25</v>
      </c>
      <c r="Z159" s="22">
        <v>87.75</v>
      </c>
      <c r="AA159" s="371">
        <v>1356.66</v>
      </c>
      <c r="AB159" s="22">
        <v>0.14004982825468429</v>
      </c>
      <c r="AC159" s="24">
        <v>5.0498282546842799E-3</v>
      </c>
      <c r="AD159" s="384">
        <v>-60692.000537186796</v>
      </c>
    </row>
    <row r="160" spans="1:30">
      <c r="A160" s="21" t="s">
        <v>277</v>
      </c>
      <c r="B160" s="21" t="s">
        <v>278</v>
      </c>
      <c r="C160" s="23">
        <v>129</v>
      </c>
      <c r="D160" s="147">
        <v>26.31</v>
      </c>
      <c r="E160" s="22">
        <v>55.96</v>
      </c>
      <c r="F160" s="22">
        <v>82.27</v>
      </c>
      <c r="G160" s="22">
        <v>0</v>
      </c>
      <c r="H160" s="22">
        <v>5.83</v>
      </c>
      <c r="I160" s="22">
        <v>1.9</v>
      </c>
      <c r="J160" s="22">
        <v>0</v>
      </c>
      <c r="K160" s="22">
        <v>1</v>
      </c>
      <c r="L160" s="22">
        <v>0</v>
      </c>
      <c r="M160" s="388">
        <v>380.54999999999995</v>
      </c>
      <c r="N160" s="25">
        <v>0.59050000000000002</v>
      </c>
      <c r="O160" s="24">
        <v>388</v>
      </c>
      <c r="P160" s="24">
        <v>0</v>
      </c>
      <c r="Q160" s="24">
        <v>0</v>
      </c>
      <c r="R160" s="22">
        <v>0</v>
      </c>
      <c r="S160" s="24">
        <v>0</v>
      </c>
      <c r="T160" s="24">
        <f t="shared" si="9"/>
        <v>0</v>
      </c>
      <c r="U160" s="376">
        <v>224.71</v>
      </c>
      <c r="V160" s="376">
        <v>19.03</v>
      </c>
      <c r="W160" s="22">
        <f t="shared" si="10"/>
        <v>132.69125500000001</v>
      </c>
      <c r="X160" s="22">
        <f t="shared" si="11"/>
        <v>44.5</v>
      </c>
      <c r="Y160" s="22">
        <v>30</v>
      </c>
      <c r="Z160" s="22">
        <v>14.5</v>
      </c>
      <c r="AA160" s="371">
        <v>380.56</v>
      </c>
      <c r="AB160" s="22">
        <v>0.11693294092915703</v>
      </c>
      <c r="AC160" s="24">
        <v>0</v>
      </c>
      <c r="AD160" s="384">
        <v>0</v>
      </c>
    </row>
    <row r="161" spans="1:30">
      <c r="A161" s="21" t="s">
        <v>133</v>
      </c>
      <c r="B161" s="21" t="s">
        <v>134</v>
      </c>
      <c r="C161" s="23">
        <v>2535.36</v>
      </c>
      <c r="D161" s="147">
        <v>33.65</v>
      </c>
      <c r="E161" s="22">
        <v>416.27</v>
      </c>
      <c r="F161" s="22">
        <v>449.91999999999996</v>
      </c>
      <c r="G161" s="22">
        <v>210</v>
      </c>
      <c r="H161" s="22">
        <v>211.64</v>
      </c>
      <c r="I161" s="22">
        <v>12.59</v>
      </c>
      <c r="J161" s="22">
        <v>184.47</v>
      </c>
      <c r="K161" s="22">
        <v>103.56</v>
      </c>
      <c r="L161" s="22">
        <v>0</v>
      </c>
      <c r="M161" s="388">
        <v>8368.840000000002</v>
      </c>
      <c r="N161" s="25">
        <v>0.63880000000000003</v>
      </c>
      <c r="O161" s="24">
        <v>7591</v>
      </c>
      <c r="P161" s="24">
        <v>1095.5</v>
      </c>
      <c r="Q161" s="24">
        <v>653.25</v>
      </c>
      <c r="R161" s="22">
        <v>442.25</v>
      </c>
      <c r="S161" s="24">
        <v>303.75</v>
      </c>
      <c r="T161" s="24">
        <f t="shared" si="9"/>
        <v>1399.25</v>
      </c>
      <c r="U161" s="376">
        <v>5346.01</v>
      </c>
      <c r="V161" s="376">
        <v>418.44</v>
      </c>
      <c r="W161" s="22">
        <f t="shared" si="10"/>
        <v>3415.0311880000004</v>
      </c>
      <c r="X161" s="22">
        <f t="shared" si="11"/>
        <v>1115.75</v>
      </c>
      <c r="Y161" s="22">
        <v>750.75</v>
      </c>
      <c r="Z161" s="22">
        <v>365</v>
      </c>
      <c r="AA161" s="371">
        <v>8286.33</v>
      </c>
      <c r="AB161" s="22">
        <v>0.13464947690956069</v>
      </c>
      <c r="AC161" s="24">
        <v>0</v>
      </c>
      <c r="AD161" s="384">
        <v>0</v>
      </c>
    </row>
    <row r="162" spans="1:30">
      <c r="A162" s="21" t="s">
        <v>275</v>
      </c>
      <c r="B162" s="21" t="s">
        <v>276</v>
      </c>
      <c r="C162" s="23">
        <v>174</v>
      </c>
      <c r="D162" s="147">
        <v>14.56</v>
      </c>
      <c r="E162" s="22">
        <v>34.28</v>
      </c>
      <c r="F162" s="22">
        <v>48.84</v>
      </c>
      <c r="G162" s="22">
        <v>0</v>
      </c>
      <c r="H162" s="22">
        <v>6.05</v>
      </c>
      <c r="I162" s="22">
        <v>0.17</v>
      </c>
      <c r="J162" s="22">
        <v>13.36</v>
      </c>
      <c r="K162" s="22">
        <v>0</v>
      </c>
      <c r="L162" s="22">
        <v>0</v>
      </c>
      <c r="M162" s="388">
        <v>576.91999999999996</v>
      </c>
      <c r="N162" s="25">
        <v>0.65010000000000001</v>
      </c>
      <c r="O162" s="24">
        <v>583</v>
      </c>
      <c r="P162" s="24">
        <v>54.75</v>
      </c>
      <c r="Q162" s="24">
        <v>30.25</v>
      </c>
      <c r="R162" s="22">
        <v>24.5</v>
      </c>
      <c r="S162" s="24">
        <v>10</v>
      </c>
      <c r="T162" s="24">
        <f t="shared" si="9"/>
        <v>64.75</v>
      </c>
      <c r="U162" s="376">
        <v>375.06</v>
      </c>
      <c r="V162" s="376">
        <v>28.85</v>
      </c>
      <c r="W162" s="22">
        <f t="shared" si="10"/>
        <v>243.82650599999999</v>
      </c>
      <c r="X162" s="22">
        <f t="shared" si="11"/>
        <v>91.25</v>
      </c>
      <c r="Y162" s="22">
        <v>42.5</v>
      </c>
      <c r="Z162" s="22">
        <v>48.75</v>
      </c>
      <c r="AA162" s="371">
        <v>576.91999999999996</v>
      </c>
      <c r="AB162" s="22">
        <v>0.15816751022672121</v>
      </c>
      <c r="AC162" s="24">
        <v>2.31675102267212E-2</v>
      </c>
      <c r="AD162" s="384">
        <v>-116900.8118576186</v>
      </c>
    </row>
    <row r="163" spans="1:30">
      <c r="A163" s="21" t="s">
        <v>609</v>
      </c>
      <c r="B163" s="21" t="s">
        <v>610</v>
      </c>
      <c r="C163" s="23">
        <v>239.4</v>
      </c>
      <c r="D163" s="147">
        <v>2.3199999999999998</v>
      </c>
      <c r="E163" s="22">
        <v>22.8</v>
      </c>
      <c r="F163" s="22">
        <v>25.12</v>
      </c>
      <c r="G163" s="22">
        <v>0</v>
      </c>
      <c r="H163" s="22">
        <v>2.42</v>
      </c>
      <c r="I163" s="22">
        <v>0.38</v>
      </c>
      <c r="J163" s="22">
        <v>21.599999999999998</v>
      </c>
      <c r="K163" s="22">
        <v>1.2</v>
      </c>
      <c r="L163" s="22">
        <v>0</v>
      </c>
      <c r="M163" s="388">
        <v>822.54000000000008</v>
      </c>
      <c r="N163" s="25">
        <v>0.996</v>
      </c>
      <c r="O163" s="24">
        <v>818</v>
      </c>
      <c r="P163" s="24">
        <v>124.5</v>
      </c>
      <c r="Q163" s="24">
        <v>75.5</v>
      </c>
      <c r="R163" s="22">
        <v>49</v>
      </c>
      <c r="S163" s="24">
        <v>17</v>
      </c>
      <c r="T163" s="24">
        <f t="shared" si="9"/>
        <v>141.5</v>
      </c>
      <c r="U163" s="376">
        <v>819.25</v>
      </c>
      <c r="V163" s="376">
        <v>41.13</v>
      </c>
      <c r="W163" s="22">
        <f t="shared" si="10"/>
        <v>815.97299999999996</v>
      </c>
      <c r="X163" s="22">
        <f t="shared" si="11"/>
        <v>122.5</v>
      </c>
      <c r="Y163" s="22">
        <v>71</v>
      </c>
      <c r="Z163" s="22">
        <v>51.5</v>
      </c>
      <c r="AA163" s="371">
        <v>823.08</v>
      </c>
      <c r="AB163" s="22">
        <v>0.14883121932254459</v>
      </c>
      <c r="AC163" s="24">
        <v>1.383121932254458E-2</v>
      </c>
      <c r="AD163" s="384">
        <v>-99522.733995505143</v>
      </c>
    </row>
    <row r="164" spans="1:30">
      <c r="A164" s="21" t="s">
        <v>551</v>
      </c>
      <c r="B164" s="21" t="s">
        <v>552</v>
      </c>
      <c r="C164" s="23">
        <v>440.03</v>
      </c>
      <c r="D164" s="147">
        <v>7.49</v>
      </c>
      <c r="E164" s="22">
        <v>87.8</v>
      </c>
      <c r="F164" s="22">
        <v>95.289999999999992</v>
      </c>
      <c r="G164" s="22">
        <v>0</v>
      </c>
      <c r="H164" s="22">
        <v>40.83</v>
      </c>
      <c r="I164" s="22">
        <v>3.7</v>
      </c>
      <c r="J164" s="22">
        <v>80.45</v>
      </c>
      <c r="K164" s="22">
        <v>14.37</v>
      </c>
      <c r="L164" s="22">
        <v>0.43</v>
      </c>
      <c r="M164" s="388">
        <v>1642.07</v>
      </c>
      <c r="N164" s="25">
        <v>0.55310000000000004</v>
      </c>
      <c r="O164" s="24">
        <v>1292</v>
      </c>
      <c r="P164" s="24">
        <v>87.25</v>
      </c>
      <c r="Q164" s="24">
        <v>51.25</v>
      </c>
      <c r="R164" s="22">
        <v>36</v>
      </c>
      <c r="S164" s="24">
        <v>17</v>
      </c>
      <c r="T164" s="24">
        <f t="shared" si="9"/>
        <v>104.25</v>
      </c>
      <c r="U164" s="376">
        <v>908.23</v>
      </c>
      <c r="V164" s="376">
        <v>82.1</v>
      </c>
      <c r="W164" s="22">
        <f t="shared" si="10"/>
        <v>502.34201300000007</v>
      </c>
      <c r="X164" s="22">
        <f t="shared" si="11"/>
        <v>285.75</v>
      </c>
      <c r="Y164" s="22">
        <v>207.75</v>
      </c>
      <c r="Z164" s="22">
        <v>78</v>
      </c>
      <c r="AA164" s="371">
        <v>1642.18</v>
      </c>
      <c r="AB164" s="22">
        <v>0.17400650355015893</v>
      </c>
      <c r="AC164" s="24">
        <v>3.9006503550158916E-2</v>
      </c>
      <c r="AD164" s="384">
        <v>-605961.32756081072</v>
      </c>
    </row>
    <row r="165" spans="1:30">
      <c r="A165" s="21" t="s">
        <v>417</v>
      </c>
      <c r="B165" s="21" t="s">
        <v>418</v>
      </c>
      <c r="C165" s="23">
        <v>26.8</v>
      </c>
      <c r="D165" s="147">
        <v>0</v>
      </c>
      <c r="E165" s="22">
        <v>0</v>
      </c>
      <c r="F165" s="22">
        <v>0</v>
      </c>
      <c r="G165" s="22">
        <v>0</v>
      </c>
      <c r="H165" s="22">
        <v>0</v>
      </c>
      <c r="I165" s="22">
        <v>0</v>
      </c>
      <c r="J165" s="22">
        <v>0</v>
      </c>
      <c r="K165" s="22">
        <v>0</v>
      </c>
      <c r="L165" s="22">
        <v>0</v>
      </c>
      <c r="M165" s="388">
        <v>59.8</v>
      </c>
      <c r="N165" s="25">
        <v>0.22409999999999999</v>
      </c>
      <c r="O165" s="24">
        <v>0</v>
      </c>
      <c r="P165" s="24">
        <v>0</v>
      </c>
      <c r="Q165" s="24">
        <v>0</v>
      </c>
      <c r="R165" s="22">
        <v>0</v>
      </c>
      <c r="S165" s="24">
        <v>0</v>
      </c>
      <c r="T165" s="24">
        <f t="shared" si="9"/>
        <v>0</v>
      </c>
      <c r="U165" s="376">
        <v>13.4</v>
      </c>
      <c r="V165" s="376">
        <v>2.99</v>
      </c>
      <c r="W165" s="22">
        <f t="shared" si="10"/>
        <v>3.0029400000000002</v>
      </c>
      <c r="X165" s="22">
        <f t="shared" si="11"/>
        <v>4.5</v>
      </c>
      <c r="Y165" s="22">
        <v>4.5</v>
      </c>
      <c r="Z165" s="22">
        <v>0</v>
      </c>
      <c r="AA165" s="371">
        <v>59.8</v>
      </c>
      <c r="AB165" s="22">
        <v>7.5250836120401343E-2</v>
      </c>
      <c r="AC165" s="24">
        <v>0</v>
      </c>
      <c r="AD165" s="384">
        <v>0</v>
      </c>
    </row>
    <row r="166" spans="1:30">
      <c r="A166" s="21" t="s">
        <v>413</v>
      </c>
      <c r="B166" s="21" t="s">
        <v>414</v>
      </c>
      <c r="C166" s="23">
        <v>1792.34</v>
      </c>
      <c r="D166" s="147">
        <v>0</v>
      </c>
      <c r="E166" s="22">
        <v>421.29</v>
      </c>
      <c r="F166" s="22">
        <v>421.29</v>
      </c>
      <c r="G166" s="22">
        <v>191.36</v>
      </c>
      <c r="H166" s="22">
        <v>113.13</v>
      </c>
      <c r="I166" s="22">
        <v>6.42</v>
      </c>
      <c r="J166" s="22">
        <v>403.72</v>
      </c>
      <c r="K166" s="22">
        <v>23.2</v>
      </c>
      <c r="L166" s="22">
        <v>0</v>
      </c>
      <c r="M166" s="388">
        <v>6582.57</v>
      </c>
      <c r="N166" s="25">
        <v>0.63229999999999997</v>
      </c>
      <c r="O166" s="24">
        <v>6111</v>
      </c>
      <c r="P166" s="24">
        <v>1568.5</v>
      </c>
      <c r="Q166" s="24">
        <v>989.25</v>
      </c>
      <c r="R166" s="22">
        <v>579.25</v>
      </c>
      <c r="S166" s="24">
        <v>182.75</v>
      </c>
      <c r="T166" s="24">
        <f t="shared" si="9"/>
        <v>1751.25</v>
      </c>
      <c r="U166" s="376">
        <v>4162.16</v>
      </c>
      <c r="V166" s="376">
        <v>329.13</v>
      </c>
      <c r="W166" s="22">
        <f t="shared" si="10"/>
        <v>2631.7337679999996</v>
      </c>
      <c r="X166" s="22">
        <f t="shared" si="11"/>
        <v>858</v>
      </c>
      <c r="Y166" s="22">
        <v>514</v>
      </c>
      <c r="Z166" s="22">
        <v>344</v>
      </c>
      <c r="AA166" s="371">
        <v>6418.03</v>
      </c>
      <c r="AB166" s="22">
        <v>0.13368588180485289</v>
      </c>
      <c r="AC166" s="24">
        <v>0</v>
      </c>
      <c r="AD166" s="384">
        <v>0</v>
      </c>
    </row>
    <row r="167" spans="1:30">
      <c r="A167" s="21" t="s">
        <v>223</v>
      </c>
      <c r="B167" s="21" t="s">
        <v>224</v>
      </c>
      <c r="C167" s="23">
        <v>160.19999999999999</v>
      </c>
      <c r="D167" s="147">
        <v>0.27</v>
      </c>
      <c r="E167" s="22">
        <v>6.56</v>
      </c>
      <c r="F167" s="22">
        <v>6.83</v>
      </c>
      <c r="G167" s="22">
        <v>0</v>
      </c>
      <c r="H167" s="22">
        <v>2.69</v>
      </c>
      <c r="I167" s="22">
        <v>0.33</v>
      </c>
      <c r="J167" s="22">
        <v>0</v>
      </c>
      <c r="K167" s="22">
        <v>0</v>
      </c>
      <c r="L167" s="22">
        <v>0</v>
      </c>
      <c r="M167" s="388">
        <v>526.33000000000015</v>
      </c>
      <c r="N167" s="25">
        <v>0.82310000000000005</v>
      </c>
      <c r="O167" s="24">
        <v>520</v>
      </c>
      <c r="P167" s="24">
        <v>0</v>
      </c>
      <c r="Q167" s="24">
        <v>0</v>
      </c>
      <c r="R167" s="22">
        <v>0</v>
      </c>
      <c r="S167" s="24">
        <v>0</v>
      </c>
      <c r="T167" s="24">
        <f t="shared" si="9"/>
        <v>0</v>
      </c>
      <c r="U167" s="376">
        <v>433.22</v>
      </c>
      <c r="V167" s="376">
        <v>0</v>
      </c>
      <c r="W167" s="22">
        <f t="shared" si="10"/>
        <v>356.58338200000003</v>
      </c>
      <c r="X167" s="22">
        <f t="shared" si="11"/>
        <v>0</v>
      </c>
      <c r="Y167" s="22">
        <v>0</v>
      </c>
      <c r="Z167" s="22">
        <v>0</v>
      </c>
      <c r="AA167" s="371">
        <v>526.87</v>
      </c>
      <c r="AB167" s="22">
        <v>0</v>
      </c>
      <c r="AC167" s="24">
        <v>0</v>
      </c>
      <c r="AD167" s="384">
        <v>0</v>
      </c>
    </row>
    <row r="168" spans="1:30">
      <c r="A168" s="21" t="s">
        <v>427</v>
      </c>
      <c r="B168" s="21" t="s">
        <v>428</v>
      </c>
      <c r="C168" s="23">
        <v>4398.29</v>
      </c>
      <c r="D168" s="147">
        <v>166.94</v>
      </c>
      <c r="E168" s="22">
        <v>554.14</v>
      </c>
      <c r="F168" s="22">
        <v>721.07999999999993</v>
      </c>
      <c r="G168" s="22">
        <v>482.67</v>
      </c>
      <c r="H168" s="22">
        <v>288</v>
      </c>
      <c r="I168" s="22">
        <v>26.01</v>
      </c>
      <c r="J168" s="22">
        <v>0</v>
      </c>
      <c r="K168" s="22">
        <v>37.4</v>
      </c>
      <c r="L168" s="22">
        <v>0</v>
      </c>
      <c r="M168" s="388">
        <v>15034.829999999998</v>
      </c>
      <c r="N168" s="25">
        <v>0.49730000000000002</v>
      </c>
      <c r="O168" s="24">
        <v>8691</v>
      </c>
      <c r="P168" s="24">
        <v>3253.75</v>
      </c>
      <c r="Q168" s="24">
        <v>2258.25</v>
      </c>
      <c r="R168" s="22">
        <v>995.5</v>
      </c>
      <c r="S168" s="24">
        <v>546.75</v>
      </c>
      <c r="T168" s="24">
        <f t="shared" si="9"/>
        <v>3800.5</v>
      </c>
      <c r="U168" s="376">
        <v>7478.32</v>
      </c>
      <c r="V168" s="376">
        <v>751.74</v>
      </c>
      <c r="W168" s="22">
        <f t="shared" si="10"/>
        <v>3718.9685359999999</v>
      </c>
      <c r="X168" s="22">
        <f t="shared" si="11"/>
        <v>1979</v>
      </c>
      <c r="Y168" s="22">
        <v>1223.25</v>
      </c>
      <c r="Z168" s="22">
        <v>755.75</v>
      </c>
      <c r="AA168" s="371">
        <v>14647.94</v>
      </c>
      <c r="AB168" s="22">
        <v>0.13510432183638107</v>
      </c>
      <c r="AC168" s="24">
        <v>1.0432183638106607E-4</v>
      </c>
      <c r="AD168" s="384">
        <v>-15314.284996707212</v>
      </c>
    </row>
    <row r="169" spans="1:30">
      <c r="A169" s="21" t="s">
        <v>583</v>
      </c>
      <c r="B169" s="21" t="s">
        <v>584</v>
      </c>
      <c r="C169" s="23">
        <v>360.39</v>
      </c>
      <c r="D169" s="147">
        <v>20.63</v>
      </c>
      <c r="E169" s="22">
        <v>63.17</v>
      </c>
      <c r="F169" s="22">
        <v>83.8</v>
      </c>
      <c r="G169" s="22">
        <v>0</v>
      </c>
      <c r="H169" s="22">
        <v>20.399999999999999</v>
      </c>
      <c r="I169" s="22">
        <v>2.65</v>
      </c>
      <c r="J169" s="22">
        <v>40.160000000000004</v>
      </c>
      <c r="K169" s="22">
        <v>2.8</v>
      </c>
      <c r="L169" s="22">
        <v>0</v>
      </c>
      <c r="M169" s="388">
        <v>1223.7900000000002</v>
      </c>
      <c r="N169" s="25">
        <v>0.52549999999999997</v>
      </c>
      <c r="O169" s="24">
        <v>841</v>
      </c>
      <c r="P169" s="24">
        <v>72.75</v>
      </c>
      <c r="Q169" s="24">
        <v>41</v>
      </c>
      <c r="R169" s="22">
        <v>31.75</v>
      </c>
      <c r="S169" s="24">
        <v>26.25</v>
      </c>
      <c r="T169" s="24">
        <f t="shared" si="9"/>
        <v>99</v>
      </c>
      <c r="U169" s="376">
        <v>640.65</v>
      </c>
      <c r="V169" s="376">
        <v>61.19</v>
      </c>
      <c r="W169" s="22">
        <f t="shared" si="10"/>
        <v>336.66157499999997</v>
      </c>
      <c r="X169" s="22">
        <f t="shared" si="11"/>
        <v>158.25</v>
      </c>
      <c r="Y169" s="22">
        <v>120.75</v>
      </c>
      <c r="Z169" s="22">
        <v>37.5</v>
      </c>
      <c r="AA169" s="371">
        <v>1237.22</v>
      </c>
      <c r="AB169" s="22">
        <v>0.12790772861738414</v>
      </c>
      <c r="AC169" s="24">
        <v>0</v>
      </c>
      <c r="AD169" s="384">
        <v>0</v>
      </c>
    </row>
    <row r="170" spans="1:30">
      <c r="A170" s="21" t="s">
        <v>271</v>
      </c>
      <c r="B170" s="21" t="s">
        <v>272</v>
      </c>
      <c r="C170" s="23">
        <v>200.6</v>
      </c>
      <c r="D170" s="147">
        <v>42.48</v>
      </c>
      <c r="E170" s="22">
        <v>77.87</v>
      </c>
      <c r="F170" s="22">
        <v>120.35</v>
      </c>
      <c r="G170" s="22">
        <v>0</v>
      </c>
      <c r="H170" s="22">
        <v>13.9</v>
      </c>
      <c r="I170" s="22">
        <v>1.45</v>
      </c>
      <c r="J170" s="22">
        <v>0.8</v>
      </c>
      <c r="K170" s="22">
        <v>2.4</v>
      </c>
      <c r="L170" s="22">
        <v>0</v>
      </c>
      <c r="M170" s="388">
        <v>767.12999999999988</v>
      </c>
      <c r="N170" s="25">
        <v>0.46410000000000001</v>
      </c>
      <c r="O170" s="24">
        <v>0</v>
      </c>
      <c r="P170" s="24">
        <v>18</v>
      </c>
      <c r="Q170" s="24">
        <v>12</v>
      </c>
      <c r="R170" s="22">
        <v>6</v>
      </c>
      <c r="S170" s="24">
        <v>2.75</v>
      </c>
      <c r="T170" s="24">
        <f t="shared" si="9"/>
        <v>20.75</v>
      </c>
      <c r="U170" s="376">
        <v>356.03</v>
      </c>
      <c r="V170" s="376">
        <v>38.36</v>
      </c>
      <c r="W170" s="22">
        <f t="shared" si="10"/>
        <v>165.23352299999999</v>
      </c>
      <c r="X170" s="22">
        <f t="shared" si="11"/>
        <v>76.75</v>
      </c>
      <c r="Y170" s="22">
        <v>52.75</v>
      </c>
      <c r="Z170" s="22">
        <v>24</v>
      </c>
      <c r="AA170" s="371">
        <v>770.63</v>
      </c>
      <c r="AB170" s="22">
        <v>9.9593838807209692E-2</v>
      </c>
      <c r="AC170" s="24">
        <v>0</v>
      </c>
      <c r="AD170" s="384">
        <v>0</v>
      </c>
    </row>
    <row r="171" spans="1:30">
      <c r="A171" s="21" t="s">
        <v>349</v>
      </c>
      <c r="B171" s="21" t="s">
        <v>350</v>
      </c>
      <c r="C171" s="23">
        <v>77.8</v>
      </c>
      <c r="D171" s="147">
        <v>2.02</v>
      </c>
      <c r="E171" s="22">
        <v>10.82</v>
      </c>
      <c r="F171" s="22">
        <v>12.84</v>
      </c>
      <c r="G171" s="22">
        <v>0</v>
      </c>
      <c r="H171" s="22">
        <v>7.83</v>
      </c>
      <c r="I171" s="22">
        <v>0.71</v>
      </c>
      <c r="J171" s="22">
        <v>0</v>
      </c>
      <c r="K171" s="22">
        <v>0</v>
      </c>
      <c r="L171" s="22">
        <v>0</v>
      </c>
      <c r="M171" s="388">
        <v>312.36999999999995</v>
      </c>
      <c r="N171" s="25">
        <v>0.52969999999999995</v>
      </c>
      <c r="O171" s="24">
        <v>319</v>
      </c>
      <c r="P171" s="24">
        <v>13</v>
      </c>
      <c r="Q171" s="24">
        <v>2</v>
      </c>
      <c r="R171" s="22">
        <v>11</v>
      </c>
      <c r="S171" s="24">
        <v>0</v>
      </c>
      <c r="T171" s="24">
        <f t="shared" si="9"/>
        <v>13</v>
      </c>
      <c r="U171" s="376">
        <v>165.46</v>
      </c>
      <c r="V171" s="376">
        <v>15.62</v>
      </c>
      <c r="W171" s="22">
        <f t="shared" si="10"/>
        <v>87.644161999999994</v>
      </c>
      <c r="X171" s="22">
        <f t="shared" si="11"/>
        <v>41.75</v>
      </c>
      <c r="Y171" s="22">
        <v>25.5</v>
      </c>
      <c r="Z171" s="22">
        <v>16.25</v>
      </c>
      <c r="AA171" s="371">
        <v>312.37</v>
      </c>
      <c r="AB171" s="22">
        <v>0.13365560072990365</v>
      </c>
      <c r="AC171" s="24">
        <v>0</v>
      </c>
      <c r="AD171" s="384">
        <v>0</v>
      </c>
    </row>
    <row r="172" spans="1:30">
      <c r="A172" s="21" t="s">
        <v>327</v>
      </c>
      <c r="B172" s="21" t="s">
        <v>328</v>
      </c>
      <c r="C172" s="23">
        <v>63</v>
      </c>
      <c r="D172" s="147">
        <v>0</v>
      </c>
      <c r="E172" s="22">
        <v>0</v>
      </c>
      <c r="F172" s="22">
        <v>0</v>
      </c>
      <c r="G172" s="22">
        <v>0</v>
      </c>
      <c r="H172" s="22">
        <v>0</v>
      </c>
      <c r="I172" s="22">
        <v>0</v>
      </c>
      <c r="J172" s="22">
        <v>0</v>
      </c>
      <c r="K172" s="22">
        <v>0</v>
      </c>
      <c r="L172" s="22">
        <v>0</v>
      </c>
      <c r="M172" s="388">
        <v>128.4</v>
      </c>
      <c r="N172" s="25">
        <v>1</v>
      </c>
      <c r="O172" s="24">
        <v>130</v>
      </c>
      <c r="P172" s="24">
        <v>0</v>
      </c>
      <c r="Q172" s="24">
        <v>0</v>
      </c>
      <c r="R172" s="22">
        <v>0</v>
      </c>
      <c r="S172" s="24">
        <v>0</v>
      </c>
      <c r="T172" s="24">
        <f t="shared" si="9"/>
        <v>0</v>
      </c>
      <c r="U172" s="376">
        <v>128.4</v>
      </c>
      <c r="V172" s="376">
        <v>0</v>
      </c>
      <c r="W172" s="22">
        <f t="shared" si="10"/>
        <v>128.4</v>
      </c>
      <c r="X172" s="22">
        <f t="shared" si="11"/>
        <v>25.5</v>
      </c>
      <c r="Y172" s="22">
        <v>25</v>
      </c>
      <c r="Z172" s="22">
        <v>0.5</v>
      </c>
      <c r="AA172" s="371">
        <v>128.4</v>
      </c>
      <c r="AB172" s="22">
        <v>0.19859813084112149</v>
      </c>
      <c r="AC172" s="24">
        <v>6.3598130841121481E-2</v>
      </c>
      <c r="AD172" s="384">
        <v>-74892.997444041073</v>
      </c>
    </row>
    <row r="173" spans="1:30">
      <c r="A173" s="21" t="s">
        <v>355</v>
      </c>
      <c r="B173" s="21" t="s">
        <v>356</v>
      </c>
      <c r="C173" s="23">
        <v>249.8</v>
      </c>
      <c r="D173" s="147">
        <v>31.55</v>
      </c>
      <c r="E173" s="22">
        <v>101.91</v>
      </c>
      <c r="F173" s="22">
        <v>133.46</v>
      </c>
      <c r="G173" s="22">
        <v>0</v>
      </c>
      <c r="H173" s="22">
        <v>17.47</v>
      </c>
      <c r="I173" s="22">
        <v>0.5</v>
      </c>
      <c r="J173" s="22">
        <v>108.42</v>
      </c>
      <c r="K173" s="22">
        <v>0</v>
      </c>
      <c r="L173" s="22">
        <v>0</v>
      </c>
      <c r="M173" s="388">
        <v>1023.4</v>
      </c>
      <c r="N173" s="25">
        <v>0.60260000000000002</v>
      </c>
      <c r="O173" s="24">
        <v>992</v>
      </c>
      <c r="P173" s="24">
        <v>0</v>
      </c>
      <c r="Q173" s="24">
        <v>0</v>
      </c>
      <c r="R173" s="22">
        <v>0</v>
      </c>
      <c r="S173" s="24">
        <v>0</v>
      </c>
      <c r="T173" s="24">
        <f t="shared" si="9"/>
        <v>0</v>
      </c>
      <c r="U173" s="376">
        <v>616.70000000000005</v>
      </c>
      <c r="V173" s="376">
        <v>51.17</v>
      </c>
      <c r="W173" s="22">
        <f t="shared" si="10"/>
        <v>371.62342000000007</v>
      </c>
      <c r="X173" s="22">
        <f t="shared" si="11"/>
        <v>168.75</v>
      </c>
      <c r="Y173" s="22">
        <v>59.5</v>
      </c>
      <c r="Z173" s="22">
        <v>109.25</v>
      </c>
      <c r="AA173" s="371">
        <v>1023.4</v>
      </c>
      <c r="AB173" s="22">
        <v>0.16489153801055306</v>
      </c>
      <c r="AC173" s="24">
        <v>2.9891538010553054E-2</v>
      </c>
      <c r="AD173" s="384">
        <v>-264096.45931569242</v>
      </c>
    </row>
    <row r="174" spans="1:30">
      <c r="A174" s="21" t="s">
        <v>457</v>
      </c>
      <c r="B174" s="21" t="s">
        <v>458</v>
      </c>
      <c r="C174" s="23">
        <v>344.43</v>
      </c>
      <c r="D174" s="147">
        <v>2.48</v>
      </c>
      <c r="E174" s="22">
        <v>96.56</v>
      </c>
      <c r="F174" s="22">
        <v>99.04</v>
      </c>
      <c r="G174" s="22">
        <v>0</v>
      </c>
      <c r="H174" s="22">
        <v>56.85</v>
      </c>
      <c r="I174" s="22">
        <v>1.7</v>
      </c>
      <c r="J174" s="22">
        <v>53.800000000000004</v>
      </c>
      <c r="K174" s="22">
        <v>0.86</v>
      </c>
      <c r="L174" s="22">
        <v>0</v>
      </c>
      <c r="M174" s="388">
        <v>1390.8799999999997</v>
      </c>
      <c r="N174" s="25">
        <v>0.2505</v>
      </c>
      <c r="O174" s="24">
        <v>0</v>
      </c>
      <c r="P174" s="24">
        <v>10.75</v>
      </c>
      <c r="Q174" s="24">
        <v>5.25</v>
      </c>
      <c r="R174" s="22">
        <v>5.5</v>
      </c>
      <c r="S174" s="24">
        <v>0</v>
      </c>
      <c r="T174" s="24">
        <f t="shared" si="9"/>
        <v>10.75</v>
      </c>
      <c r="U174" s="376">
        <v>348.42</v>
      </c>
      <c r="V174" s="376">
        <v>69.540000000000006</v>
      </c>
      <c r="W174" s="22">
        <f t="shared" si="10"/>
        <v>87.279210000000006</v>
      </c>
      <c r="X174" s="22">
        <f t="shared" si="11"/>
        <v>183.5</v>
      </c>
      <c r="Y174" s="22">
        <v>111.5</v>
      </c>
      <c r="Z174" s="22">
        <v>72</v>
      </c>
      <c r="AA174" s="371">
        <v>1399.49</v>
      </c>
      <c r="AB174" s="22">
        <v>0.1311191934204603</v>
      </c>
      <c r="AC174" s="24">
        <v>0</v>
      </c>
      <c r="AD174" s="384">
        <v>0</v>
      </c>
    </row>
    <row r="175" spans="1:30">
      <c r="A175" s="21" t="s">
        <v>549</v>
      </c>
      <c r="B175" s="21" t="s">
        <v>550</v>
      </c>
      <c r="C175" s="23">
        <v>599.30999999999995</v>
      </c>
      <c r="D175" s="147">
        <v>12.82</v>
      </c>
      <c r="E175" s="22">
        <v>74.8</v>
      </c>
      <c r="F175" s="22">
        <v>87.62</v>
      </c>
      <c r="G175" s="22">
        <v>0</v>
      </c>
      <c r="H175" s="22">
        <v>19.079999999999998</v>
      </c>
      <c r="I175" s="22">
        <v>2.1800000000000002</v>
      </c>
      <c r="J175" s="22">
        <v>0</v>
      </c>
      <c r="K175" s="22">
        <v>5.71</v>
      </c>
      <c r="L175" s="22">
        <v>0.89</v>
      </c>
      <c r="M175" s="388">
        <v>1801.7200000000003</v>
      </c>
      <c r="N175" s="25">
        <v>0.5454</v>
      </c>
      <c r="O175" s="24">
        <v>1455</v>
      </c>
      <c r="P175" s="24">
        <v>243.5</v>
      </c>
      <c r="Q175" s="24">
        <v>162.25</v>
      </c>
      <c r="R175" s="22">
        <v>81.25</v>
      </c>
      <c r="S175" s="24">
        <v>37</v>
      </c>
      <c r="T175" s="24">
        <f t="shared" si="9"/>
        <v>280.5</v>
      </c>
      <c r="U175" s="376">
        <v>982.66</v>
      </c>
      <c r="V175" s="376">
        <v>90.09</v>
      </c>
      <c r="W175" s="22">
        <f t="shared" si="10"/>
        <v>535.94276400000001</v>
      </c>
      <c r="X175" s="22">
        <f t="shared" si="11"/>
        <v>275.75</v>
      </c>
      <c r="Y175" s="22">
        <v>187.5</v>
      </c>
      <c r="Z175" s="22">
        <v>88.25</v>
      </c>
      <c r="AA175" s="371">
        <v>1801.72</v>
      </c>
      <c r="AB175" s="22">
        <v>0.15304819838820682</v>
      </c>
      <c r="AC175" s="24">
        <v>1.8048198388206815E-2</v>
      </c>
      <c r="AD175" s="384">
        <v>-299595.30617859989</v>
      </c>
    </row>
    <row r="176" spans="1:30">
      <c r="A176" s="21" t="s">
        <v>145</v>
      </c>
      <c r="B176" s="21" t="s">
        <v>146</v>
      </c>
      <c r="C176" s="23">
        <v>242.46</v>
      </c>
      <c r="D176" s="147">
        <v>14.74</v>
      </c>
      <c r="E176" s="22">
        <v>24.34</v>
      </c>
      <c r="F176" s="22">
        <v>39.08</v>
      </c>
      <c r="G176" s="22">
        <v>0</v>
      </c>
      <c r="H176" s="22">
        <v>9.82</v>
      </c>
      <c r="I176" s="22">
        <v>1.08</v>
      </c>
      <c r="J176" s="22">
        <v>0</v>
      </c>
      <c r="K176" s="22">
        <v>3.2</v>
      </c>
      <c r="L176" s="22">
        <v>0</v>
      </c>
      <c r="M176" s="388">
        <v>724.34000000000015</v>
      </c>
      <c r="N176" s="25">
        <v>0.75539999999999996</v>
      </c>
      <c r="O176" s="24">
        <v>736</v>
      </c>
      <c r="P176" s="24">
        <v>17.75</v>
      </c>
      <c r="Q176" s="24">
        <v>13.75</v>
      </c>
      <c r="R176" s="22">
        <v>4</v>
      </c>
      <c r="S176" s="24">
        <v>6</v>
      </c>
      <c r="T176" s="24">
        <f t="shared" si="9"/>
        <v>23.75</v>
      </c>
      <c r="U176" s="376">
        <v>547.16999999999996</v>
      </c>
      <c r="V176" s="376">
        <v>36.22</v>
      </c>
      <c r="W176" s="22">
        <f t="shared" si="10"/>
        <v>413.33221799999995</v>
      </c>
      <c r="X176" s="22">
        <f t="shared" si="11"/>
        <v>123.5</v>
      </c>
      <c r="Y176" s="22">
        <v>90</v>
      </c>
      <c r="Z176" s="22">
        <v>33.5</v>
      </c>
      <c r="AA176" s="371">
        <v>724.35</v>
      </c>
      <c r="AB176" s="22">
        <v>0.17049768758197004</v>
      </c>
      <c r="AC176" s="24">
        <v>3.5497687581970028E-2</v>
      </c>
      <c r="AD176" s="384">
        <v>-227494.26018192823</v>
      </c>
    </row>
    <row r="177" spans="1:30">
      <c r="A177" s="21" t="s">
        <v>113</v>
      </c>
      <c r="B177" s="21" t="s">
        <v>114</v>
      </c>
      <c r="C177" s="23">
        <v>594.64</v>
      </c>
      <c r="D177" s="147">
        <v>7.41</v>
      </c>
      <c r="E177" s="22">
        <v>104.04</v>
      </c>
      <c r="F177" s="22">
        <v>111.45</v>
      </c>
      <c r="G177" s="22">
        <v>0</v>
      </c>
      <c r="H177" s="22">
        <v>29.05</v>
      </c>
      <c r="I177" s="22">
        <v>1.1000000000000001</v>
      </c>
      <c r="J177" s="22">
        <v>37.9</v>
      </c>
      <c r="K177" s="22">
        <v>3</v>
      </c>
      <c r="L177" s="22">
        <v>0</v>
      </c>
      <c r="M177" s="388">
        <v>2037.73</v>
      </c>
      <c r="N177" s="25">
        <v>0.75470000000000004</v>
      </c>
      <c r="O177" s="24">
        <v>2065</v>
      </c>
      <c r="P177" s="24">
        <v>721</v>
      </c>
      <c r="Q177" s="24">
        <v>430.75</v>
      </c>
      <c r="R177" s="22">
        <v>290.25</v>
      </c>
      <c r="S177" s="24">
        <v>105.75</v>
      </c>
      <c r="T177" s="24">
        <f t="shared" si="9"/>
        <v>826.75</v>
      </c>
      <c r="U177" s="376">
        <v>1537.87</v>
      </c>
      <c r="V177" s="376">
        <v>101.89</v>
      </c>
      <c r="W177" s="22">
        <f t="shared" si="10"/>
        <v>1160.6304889999999</v>
      </c>
      <c r="X177" s="22">
        <f t="shared" si="11"/>
        <v>288.25</v>
      </c>
      <c r="Y177" s="22">
        <v>152.25</v>
      </c>
      <c r="Z177" s="22">
        <v>136</v>
      </c>
      <c r="AA177" s="371">
        <v>2060.73</v>
      </c>
      <c r="AB177" s="22">
        <v>0.13987761618455596</v>
      </c>
      <c r="AC177" s="24">
        <v>4.8776161845559551E-3</v>
      </c>
      <c r="AD177" s="384">
        <v>-87859.09131135403</v>
      </c>
    </row>
    <row r="178" spans="1:30">
      <c r="A178" s="21" t="s">
        <v>231</v>
      </c>
      <c r="B178" s="21" t="s">
        <v>232</v>
      </c>
      <c r="C178" s="23">
        <v>1477.58</v>
      </c>
      <c r="D178" s="147">
        <v>85.33</v>
      </c>
      <c r="E178" s="22">
        <v>262.3</v>
      </c>
      <c r="F178" s="22">
        <v>347.63</v>
      </c>
      <c r="G178" s="22">
        <v>0</v>
      </c>
      <c r="H178" s="22">
        <v>180.11</v>
      </c>
      <c r="I178" s="22">
        <v>7.82</v>
      </c>
      <c r="J178" s="22">
        <v>222.51</v>
      </c>
      <c r="K178" s="22">
        <v>0</v>
      </c>
      <c r="L178" s="22">
        <v>0</v>
      </c>
      <c r="M178" s="388">
        <v>5427.1699999999992</v>
      </c>
      <c r="N178" s="25">
        <v>0.33160000000000001</v>
      </c>
      <c r="O178" s="24">
        <v>335</v>
      </c>
      <c r="P178" s="24">
        <v>238.5</v>
      </c>
      <c r="Q178" s="24">
        <v>164.75</v>
      </c>
      <c r="R178" s="22">
        <v>73.75</v>
      </c>
      <c r="S178" s="24">
        <v>43</v>
      </c>
      <c r="T178" s="24">
        <f t="shared" si="9"/>
        <v>281.5</v>
      </c>
      <c r="U178" s="376">
        <v>1799.65</v>
      </c>
      <c r="V178" s="376">
        <v>271.36</v>
      </c>
      <c r="W178" s="22">
        <f t="shared" si="10"/>
        <v>596.76394000000005</v>
      </c>
      <c r="X178" s="22">
        <f t="shared" si="11"/>
        <v>707.5</v>
      </c>
      <c r="Y178" s="22">
        <v>486.5</v>
      </c>
      <c r="Z178" s="22">
        <v>221</v>
      </c>
      <c r="AA178" s="371">
        <v>5480.32</v>
      </c>
      <c r="AB178" s="22">
        <v>0.12909830082914867</v>
      </c>
      <c r="AC178" s="24">
        <v>0</v>
      </c>
      <c r="AD178" s="384">
        <v>0</v>
      </c>
    </row>
    <row r="179" spans="1:30">
      <c r="A179" s="21" t="s">
        <v>323</v>
      </c>
      <c r="B179" s="21" t="s">
        <v>324</v>
      </c>
      <c r="C179" s="23">
        <v>638.19000000000005</v>
      </c>
      <c r="D179" s="147">
        <v>84.23</v>
      </c>
      <c r="E179" s="22">
        <v>150.52000000000001</v>
      </c>
      <c r="F179" s="22">
        <v>234.75</v>
      </c>
      <c r="G179" s="22">
        <v>0</v>
      </c>
      <c r="H179" s="22">
        <v>59.58</v>
      </c>
      <c r="I179" s="22">
        <v>3.85</v>
      </c>
      <c r="J179" s="22">
        <v>152.79</v>
      </c>
      <c r="K179" s="22">
        <v>0</v>
      </c>
      <c r="L179" s="22">
        <v>0</v>
      </c>
      <c r="M179" s="388">
        <v>2261.5099999999998</v>
      </c>
      <c r="N179" s="25">
        <v>0.56899999999999995</v>
      </c>
      <c r="O179" s="24">
        <v>1439</v>
      </c>
      <c r="P179" s="24">
        <v>301.5</v>
      </c>
      <c r="Q179" s="24">
        <v>185.75</v>
      </c>
      <c r="R179" s="22">
        <v>115.75</v>
      </c>
      <c r="S179" s="24">
        <v>30</v>
      </c>
      <c r="T179" s="24">
        <f t="shared" si="9"/>
        <v>331.5</v>
      </c>
      <c r="U179" s="376">
        <v>1286.8</v>
      </c>
      <c r="V179" s="376">
        <v>113.08</v>
      </c>
      <c r="W179" s="22">
        <f t="shared" si="10"/>
        <v>732.18919999999991</v>
      </c>
      <c r="X179" s="22">
        <f t="shared" si="11"/>
        <v>340.75</v>
      </c>
      <c r="Y179" s="22">
        <v>266</v>
      </c>
      <c r="Z179" s="22">
        <v>74.75</v>
      </c>
      <c r="AA179" s="371">
        <v>2277.7399999999998</v>
      </c>
      <c r="AB179" s="22">
        <v>0.14960004214704051</v>
      </c>
      <c r="AC179" s="24">
        <v>1.4600042147040498E-2</v>
      </c>
      <c r="AD179" s="384">
        <v>-304102.94674671954</v>
      </c>
    </row>
    <row r="180" spans="1:30">
      <c r="A180" s="21" t="s">
        <v>353</v>
      </c>
      <c r="B180" s="21" t="s">
        <v>354</v>
      </c>
      <c r="C180" s="23">
        <v>26.2</v>
      </c>
      <c r="D180" s="147">
        <v>0</v>
      </c>
      <c r="E180" s="22">
        <v>0</v>
      </c>
      <c r="F180" s="22">
        <v>0</v>
      </c>
      <c r="G180" s="22">
        <v>0</v>
      </c>
      <c r="H180" s="22">
        <v>3.35</v>
      </c>
      <c r="I180" s="22">
        <v>0</v>
      </c>
      <c r="J180" s="22">
        <v>0</v>
      </c>
      <c r="K180" s="22">
        <v>0</v>
      </c>
      <c r="L180" s="22">
        <v>0</v>
      </c>
      <c r="M180" s="388">
        <v>86.429999999999993</v>
      </c>
      <c r="N180" s="25">
        <v>0.70589999999999997</v>
      </c>
      <c r="O180" s="24">
        <v>88</v>
      </c>
      <c r="P180" s="24">
        <v>0</v>
      </c>
      <c r="Q180" s="24">
        <v>0</v>
      </c>
      <c r="R180" s="22">
        <v>0</v>
      </c>
      <c r="S180" s="24">
        <v>0</v>
      </c>
      <c r="T180" s="24">
        <f t="shared" si="9"/>
        <v>0</v>
      </c>
      <c r="U180" s="376">
        <v>61.01</v>
      </c>
      <c r="V180" s="376">
        <v>0</v>
      </c>
      <c r="W180" s="22">
        <f t="shared" si="10"/>
        <v>43.066958999999997</v>
      </c>
      <c r="X180" s="22">
        <f t="shared" si="11"/>
        <v>8.5</v>
      </c>
      <c r="Y180" s="22">
        <v>8.25</v>
      </c>
      <c r="Z180" s="22">
        <v>0.25</v>
      </c>
      <c r="AA180" s="371">
        <v>86.43</v>
      </c>
      <c r="AB180" s="22">
        <v>9.834548189286127E-2</v>
      </c>
      <c r="AC180" s="24">
        <v>0</v>
      </c>
      <c r="AD180" s="384">
        <v>0</v>
      </c>
    </row>
    <row r="181" spans="1:30">
      <c r="A181" s="21" t="s">
        <v>509</v>
      </c>
      <c r="B181" s="21" t="s">
        <v>510</v>
      </c>
      <c r="C181" s="23">
        <v>4283.75</v>
      </c>
      <c r="D181" s="147">
        <v>224.06</v>
      </c>
      <c r="E181" s="22">
        <v>799.18</v>
      </c>
      <c r="F181" s="22">
        <v>1023.24</v>
      </c>
      <c r="G181" s="22">
        <v>0</v>
      </c>
      <c r="H181" s="22">
        <v>304.32</v>
      </c>
      <c r="I181" s="22">
        <v>31.37</v>
      </c>
      <c r="J181" s="22">
        <v>647.01</v>
      </c>
      <c r="K181" s="22">
        <v>72.8</v>
      </c>
      <c r="L181" s="22">
        <v>0</v>
      </c>
      <c r="M181" s="388">
        <v>14824.02</v>
      </c>
      <c r="N181" s="25">
        <v>0.43209999999999998</v>
      </c>
      <c r="O181" s="24">
        <v>3403</v>
      </c>
      <c r="P181" s="24">
        <v>867</v>
      </c>
      <c r="Q181" s="24">
        <v>584.75</v>
      </c>
      <c r="R181" s="22">
        <v>282.25</v>
      </c>
      <c r="S181" s="24">
        <v>155</v>
      </c>
      <c r="T181" s="24">
        <f t="shared" si="9"/>
        <v>1022</v>
      </c>
      <c r="U181" s="376">
        <v>6401.01</v>
      </c>
      <c r="V181" s="376">
        <v>741.2</v>
      </c>
      <c r="W181" s="22">
        <f t="shared" si="10"/>
        <v>2765.8764209999999</v>
      </c>
      <c r="X181" s="22">
        <f t="shared" si="11"/>
        <v>2119.75</v>
      </c>
      <c r="Y181" s="22">
        <v>1235.5</v>
      </c>
      <c r="Z181" s="22">
        <v>884.25</v>
      </c>
      <c r="AA181" s="371">
        <v>14884.12</v>
      </c>
      <c r="AB181" s="22">
        <v>0.14241688457228241</v>
      </c>
      <c r="AC181" s="24">
        <v>7.4168845722824006E-3</v>
      </c>
      <c r="AD181" s="384">
        <v>-993166.58633132651</v>
      </c>
    </row>
    <row r="182" spans="1:30">
      <c r="A182" s="21" t="s">
        <v>503</v>
      </c>
      <c r="B182" s="21" t="s">
        <v>504</v>
      </c>
      <c r="C182" s="23">
        <v>41.4</v>
      </c>
      <c r="D182" s="147">
        <v>0</v>
      </c>
      <c r="E182" s="22">
        <v>6.96</v>
      </c>
      <c r="F182" s="22">
        <v>6.96</v>
      </c>
      <c r="G182" s="22">
        <v>0</v>
      </c>
      <c r="H182" s="22">
        <v>1.18</v>
      </c>
      <c r="I182" s="22">
        <v>0.42</v>
      </c>
      <c r="J182" s="22">
        <v>106.76</v>
      </c>
      <c r="K182" s="22">
        <v>0</v>
      </c>
      <c r="L182" s="22">
        <v>0</v>
      </c>
      <c r="M182" s="388">
        <v>251.93</v>
      </c>
      <c r="N182" s="25">
        <v>0.66810000000000003</v>
      </c>
      <c r="O182" s="24">
        <v>150</v>
      </c>
      <c r="P182" s="24">
        <v>0</v>
      </c>
      <c r="Q182" s="24">
        <v>0</v>
      </c>
      <c r="R182" s="22">
        <v>0</v>
      </c>
      <c r="S182" s="24">
        <v>0</v>
      </c>
      <c r="T182" s="24">
        <f t="shared" si="9"/>
        <v>0</v>
      </c>
      <c r="U182" s="376">
        <v>168.31</v>
      </c>
      <c r="V182" s="376">
        <v>0</v>
      </c>
      <c r="W182" s="22">
        <f t="shared" si="10"/>
        <v>112.447911</v>
      </c>
      <c r="X182" s="22">
        <f t="shared" si="11"/>
        <v>24.25</v>
      </c>
      <c r="Y182" s="22">
        <v>20.75</v>
      </c>
      <c r="Z182" s="22">
        <v>3.5</v>
      </c>
      <c r="AA182" s="371">
        <v>251.67</v>
      </c>
      <c r="AB182" s="22">
        <v>9.6356339651130454E-2</v>
      </c>
      <c r="AC182" s="24">
        <v>0</v>
      </c>
      <c r="AD182" s="384">
        <v>0</v>
      </c>
    </row>
    <row r="183" spans="1:30">
      <c r="A183" s="21" t="s">
        <v>219</v>
      </c>
      <c r="B183" s="21" t="s">
        <v>220</v>
      </c>
      <c r="C183" s="23">
        <v>6604.02</v>
      </c>
      <c r="D183" s="147">
        <v>204.85</v>
      </c>
      <c r="E183" s="22">
        <v>874.87</v>
      </c>
      <c r="F183" s="22">
        <v>1079.72</v>
      </c>
      <c r="G183" s="22">
        <v>0</v>
      </c>
      <c r="H183" s="22">
        <v>384.28</v>
      </c>
      <c r="I183" s="22">
        <v>20.440000000000001</v>
      </c>
      <c r="J183" s="22">
        <v>592.69999999999993</v>
      </c>
      <c r="K183" s="22">
        <v>4.2</v>
      </c>
      <c r="L183" s="22">
        <v>0</v>
      </c>
      <c r="M183" s="388">
        <v>22467.399999999998</v>
      </c>
      <c r="N183" s="25">
        <v>0.14480000000000001</v>
      </c>
      <c r="O183" s="24">
        <v>0</v>
      </c>
      <c r="P183" s="24">
        <v>2078.75</v>
      </c>
      <c r="Q183" s="24">
        <v>1565.5</v>
      </c>
      <c r="R183" s="22">
        <v>513.25</v>
      </c>
      <c r="S183" s="24">
        <v>552.75</v>
      </c>
      <c r="T183" s="24">
        <f t="shared" si="9"/>
        <v>2631.5</v>
      </c>
      <c r="U183" s="376">
        <v>3185.88</v>
      </c>
      <c r="V183" s="376">
        <v>1123.3699999999999</v>
      </c>
      <c r="W183" s="22">
        <f t="shared" si="10"/>
        <v>461.31542400000006</v>
      </c>
      <c r="X183" s="22">
        <f t="shared" si="11"/>
        <v>2620.75</v>
      </c>
      <c r="Y183" s="22">
        <v>1695.25</v>
      </c>
      <c r="Z183" s="22">
        <v>925.5</v>
      </c>
      <c r="AA183" s="371">
        <v>22589.87</v>
      </c>
      <c r="AB183" s="22">
        <v>0.11601439052106099</v>
      </c>
      <c r="AC183" s="24">
        <v>0</v>
      </c>
      <c r="AD183" s="384">
        <v>0</v>
      </c>
    </row>
    <row r="184" spans="1:30">
      <c r="A184" s="21" t="s">
        <v>167</v>
      </c>
      <c r="B184" s="21" t="s">
        <v>168</v>
      </c>
      <c r="C184" s="23">
        <v>1704.32</v>
      </c>
      <c r="D184" s="147">
        <v>46.11</v>
      </c>
      <c r="E184" s="22">
        <v>415.88</v>
      </c>
      <c r="F184" s="22">
        <v>461.99</v>
      </c>
      <c r="G184" s="22">
        <v>0</v>
      </c>
      <c r="H184" s="22">
        <v>93.34</v>
      </c>
      <c r="I184" s="22">
        <v>3.49</v>
      </c>
      <c r="J184" s="22">
        <v>293.84999999999997</v>
      </c>
      <c r="K184" s="22">
        <v>9.4</v>
      </c>
      <c r="L184" s="22">
        <v>0</v>
      </c>
      <c r="M184" s="388">
        <v>5503.49</v>
      </c>
      <c r="N184" s="25">
        <v>0.3856</v>
      </c>
      <c r="O184" s="24">
        <v>879</v>
      </c>
      <c r="P184" s="24">
        <v>207.5</v>
      </c>
      <c r="Q184" s="24">
        <v>117.25</v>
      </c>
      <c r="R184" s="22">
        <v>90.25</v>
      </c>
      <c r="S184" s="24">
        <v>38</v>
      </c>
      <c r="T184" s="24">
        <f t="shared" si="9"/>
        <v>245.5</v>
      </c>
      <c r="U184" s="376">
        <v>2122.15</v>
      </c>
      <c r="V184" s="376">
        <v>275.17</v>
      </c>
      <c r="W184" s="22">
        <f t="shared" si="10"/>
        <v>818.30104000000006</v>
      </c>
      <c r="X184" s="22">
        <f t="shared" si="11"/>
        <v>889.5</v>
      </c>
      <c r="Y184" s="22">
        <v>500.5</v>
      </c>
      <c r="Z184" s="22">
        <v>389</v>
      </c>
      <c r="AA184" s="371">
        <v>5501.48</v>
      </c>
      <c r="AB184" s="22">
        <v>0.16168376509593782</v>
      </c>
      <c r="AC184" s="24">
        <v>2.6683765095937811E-2</v>
      </c>
      <c r="AD184" s="384">
        <v>-1403410.209024206</v>
      </c>
    </row>
    <row r="185" spans="1:30">
      <c r="A185" s="21" t="s">
        <v>579</v>
      </c>
      <c r="B185" s="21" t="s">
        <v>580</v>
      </c>
      <c r="C185" s="23">
        <v>52.82</v>
      </c>
      <c r="D185" s="147">
        <v>0.61</v>
      </c>
      <c r="E185" s="22">
        <v>5.38</v>
      </c>
      <c r="F185" s="22">
        <v>5.99</v>
      </c>
      <c r="G185" s="22">
        <v>0</v>
      </c>
      <c r="H185" s="22">
        <v>3.65</v>
      </c>
      <c r="I185" s="22">
        <v>0</v>
      </c>
      <c r="J185" s="22">
        <v>0</v>
      </c>
      <c r="K185" s="22">
        <v>0</v>
      </c>
      <c r="L185" s="22">
        <v>0</v>
      </c>
      <c r="M185" s="388">
        <v>147.49</v>
      </c>
      <c r="N185" s="25">
        <v>0.3987</v>
      </c>
      <c r="O185" s="24">
        <v>0</v>
      </c>
      <c r="P185" s="24">
        <v>0</v>
      </c>
      <c r="Q185" s="24">
        <v>0</v>
      </c>
      <c r="R185" s="22">
        <v>0</v>
      </c>
      <c r="S185" s="24">
        <v>0</v>
      </c>
      <c r="T185" s="24">
        <f t="shared" si="9"/>
        <v>0</v>
      </c>
      <c r="U185" s="376">
        <v>58.8</v>
      </c>
      <c r="V185" s="376">
        <v>0</v>
      </c>
      <c r="W185" s="22">
        <f t="shared" si="10"/>
        <v>23.443559999999998</v>
      </c>
      <c r="X185" s="22">
        <f t="shared" si="11"/>
        <v>19.25</v>
      </c>
      <c r="Y185" s="22">
        <v>10.5</v>
      </c>
      <c r="Z185" s="22">
        <v>8.75</v>
      </c>
      <c r="AA185" s="371">
        <v>147.47999999999999</v>
      </c>
      <c r="AB185" s="22">
        <v>0.13052617304041228</v>
      </c>
      <c r="AC185" s="24">
        <v>0</v>
      </c>
      <c r="AD185" s="384">
        <v>0</v>
      </c>
    </row>
    <row r="186" spans="1:30">
      <c r="A186" s="21" t="s">
        <v>165</v>
      </c>
      <c r="B186" s="21" t="s">
        <v>166</v>
      </c>
      <c r="C186" s="23">
        <v>97</v>
      </c>
      <c r="D186" s="147">
        <v>8.4</v>
      </c>
      <c r="E186" s="22">
        <v>20.329999999999998</v>
      </c>
      <c r="F186" s="22">
        <v>28.729999999999997</v>
      </c>
      <c r="G186" s="22">
        <v>0</v>
      </c>
      <c r="H186" s="22">
        <v>3.32</v>
      </c>
      <c r="I186" s="22">
        <v>1.1499999999999999</v>
      </c>
      <c r="J186" s="22">
        <v>24.700000000000003</v>
      </c>
      <c r="K186" s="22">
        <v>2.8</v>
      </c>
      <c r="L186" s="22">
        <v>0</v>
      </c>
      <c r="M186" s="388">
        <v>330.96999999999997</v>
      </c>
      <c r="N186" s="25">
        <v>0.749</v>
      </c>
      <c r="O186" s="24">
        <v>297</v>
      </c>
      <c r="P186" s="24">
        <v>6</v>
      </c>
      <c r="Q186" s="24">
        <v>3</v>
      </c>
      <c r="R186" s="22">
        <v>3</v>
      </c>
      <c r="S186" s="24">
        <v>0</v>
      </c>
      <c r="T186" s="24">
        <f t="shared" si="9"/>
        <v>6</v>
      </c>
      <c r="U186" s="376">
        <v>247.9</v>
      </c>
      <c r="V186" s="376">
        <v>16.55</v>
      </c>
      <c r="W186" s="22">
        <f t="shared" si="10"/>
        <v>185.6771</v>
      </c>
      <c r="X186" s="22">
        <f t="shared" si="11"/>
        <v>58.75</v>
      </c>
      <c r="Y186" s="22">
        <v>51.5</v>
      </c>
      <c r="Z186" s="22">
        <v>7.25</v>
      </c>
      <c r="AA186" s="371">
        <v>332.59</v>
      </c>
      <c r="AB186" s="22">
        <v>0.17664391593252957</v>
      </c>
      <c r="AC186" s="24">
        <v>4.1643915932529557E-2</v>
      </c>
      <c r="AD186" s="384">
        <v>-121826.37534189952</v>
      </c>
    </row>
    <row r="187" spans="1:30">
      <c r="A187" s="21" t="s">
        <v>343</v>
      </c>
      <c r="B187" s="21" t="s">
        <v>344</v>
      </c>
      <c r="C187" s="23">
        <v>258.54000000000002</v>
      </c>
      <c r="D187" s="147">
        <v>0</v>
      </c>
      <c r="E187" s="22">
        <v>83.38</v>
      </c>
      <c r="F187" s="22">
        <v>83.38</v>
      </c>
      <c r="G187" s="22">
        <v>0</v>
      </c>
      <c r="H187" s="22">
        <v>12.43</v>
      </c>
      <c r="I187" s="22">
        <v>0.44</v>
      </c>
      <c r="J187" s="22">
        <v>91.15</v>
      </c>
      <c r="K187" s="22">
        <v>3.6</v>
      </c>
      <c r="L187" s="22">
        <v>0</v>
      </c>
      <c r="M187" s="388">
        <v>1024.1699999999998</v>
      </c>
      <c r="N187" s="25">
        <v>0.64239999999999997</v>
      </c>
      <c r="O187" s="24">
        <v>1021</v>
      </c>
      <c r="P187" s="24">
        <v>45.75</v>
      </c>
      <c r="Q187" s="24">
        <v>26.5</v>
      </c>
      <c r="R187" s="22">
        <v>19.25</v>
      </c>
      <c r="S187" s="24">
        <v>0</v>
      </c>
      <c r="T187" s="24">
        <f t="shared" si="9"/>
        <v>45.75</v>
      </c>
      <c r="U187" s="376">
        <v>657.93</v>
      </c>
      <c r="V187" s="376">
        <v>51.21</v>
      </c>
      <c r="W187" s="22">
        <f t="shared" si="10"/>
        <v>422.65423199999992</v>
      </c>
      <c r="X187" s="22">
        <f t="shared" si="11"/>
        <v>230.5</v>
      </c>
      <c r="Y187" s="22">
        <v>173.75</v>
      </c>
      <c r="Z187" s="22">
        <v>56.75</v>
      </c>
      <c r="AA187" s="371">
        <v>1024.17</v>
      </c>
      <c r="AB187" s="22">
        <v>0.2250602927248406</v>
      </c>
      <c r="AC187" s="24">
        <v>9.006029272484059E-2</v>
      </c>
      <c r="AD187" s="384">
        <v>-801116.55801144708</v>
      </c>
    </row>
    <row r="188" spans="1:30">
      <c r="A188" s="21" t="s">
        <v>163</v>
      </c>
      <c r="B188" s="21" t="s">
        <v>164</v>
      </c>
      <c r="C188" s="23">
        <v>168.08</v>
      </c>
      <c r="D188" s="147">
        <v>14.69</v>
      </c>
      <c r="E188" s="22">
        <v>29.37</v>
      </c>
      <c r="F188" s="22">
        <v>44.06</v>
      </c>
      <c r="G188" s="22">
        <v>0</v>
      </c>
      <c r="H188" s="22">
        <v>16.18</v>
      </c>
      <c r="I188" s="22">
        <v>0.97</v>
      </c>
      <c r="J188" s="22">
        <v>21.23</v>
      </c>
      <c r="K188" s="22">
        <v>2.2000000000000002</v>
      </c>
      <c r="L188" s="22">
        <v>0</v>
      </c>
      <c r="M188" s="388">
        <v>568.65</v>
      </c>
      <c r="N188" s="25">
        <v>0.76590000000000003</v>
      </c>
      <c r="O188" s="24">
        <v>589</v>
      </c>
      <c r="P188" s="24">
        <v>50.5</v>
      </c>
      <c r="Q188" s="24">
        <v>31.5</v>
      </c>
      <c r="R188" s="22">
        <v>19</v>
      </c>
      <c r="S188" s="24">
        <v>2</v>
      </c>
      <c r="T188" s="24">
        <f t="shared" si="9"/>
        <v>52.5</v>
      </c>
      <c r="U188" s="376">
        <v>435.53</v>
      </c>
      <c r="V188" s="376">
        <v>28.43</v>
      </c>
      <c r="W188" s="22">
        <f t="shared" si="10"/>
        <v>333.572427</v>
      </c>
      <c r="X188" s="22">
        <f t="shared" si="11"/>
        <v>67.25</v>
      </c>
      <c r="Y188" s="22">
        <v>57.5</v>
      </c>
      <c r="Z188" s="22">
        <v>9.75</v>
      </c>
      <c r="AA188" s="371">
        <v>568.65</v>
      </c>
      <c r="AB188" s="22">
        <v>0.11826255165743428</v>
      </c>
      <c r="AC188" s="24">
        <v>0</v>
      </c>
      <c r="AD188" s="384">
        <v>0</v>
      </c>
    </row>
    <row r="189" spans="1:30">
      <c r="A189" s="21" t="s">
        <v>305</v>
      </c>
      <c r="B189" s="21" t="s">
        <v>306</v>
      </c>
      <c r="C189" s="23">
        <v>58.2</v>
      </c>
      <c r="D189" s="147">
        <v>0</v>
      </c>
      <c r="E189" s="22">
        <v>13.98</v>
      </c>
      <c r="F189" s="22">
        <v>13.98</v>
      </c>
      <c r="G189" s="22">
        <v>0</v>
      </c>
      <c r="H189" s="22">
        <v>3.66</v>
      </c>
      <c r="I189" s="22">
        <v>0</v>
      </c>
      <c r="J189" s="22">
        <v>0</v>
      </c>
      <c r="K189" s="22">
        <v>0</v>
      </c>
      <c r="L189" s="22">
        <v>0</v>
      </c>
      <c r="M189" s="388">
        <v>218.75</v>
      </c>
      <c r="N189" s="25">
        <v>0.53200000000000003</v>
      </c>
      <c r="O189" s="24">
        <v>107</v>
      </c>
      <c r="P189" s="24">
        <v>0</v>
      </c>
      <c r="Q189" s="24">
        <v>0</v>
      </c>
      <c r="R189" s="22">
        <v>0</v>
      </c>
      <c r="S189" s="24">
        <v>0</v>
      </c>
      <c r="T189" s="24">
        <f t="shared" si="9"/>
        <v>0</v>
      </c>
      <c r="U189" s="376">
        <v>116.38</v>
      </c>
      <c r="V189" s="376">
        <v>10.94</v>
      </c>
      <c r="W189" s="22">
        <f t="shared" si="10"/>
        <v>61.914160000000003</v>
      </c>
      <c r="X189" s="22">
        <f t="shared" si="11"/>
        <v>23</v>
      </c>
      <c r="Y189" s="22">
        <v>13.5</v>
      </c>
      <c r="Z189" s="22">
        <v>9.5</v>
      </c>
      <c r="AA189" s="371">
        <v>218.75</v>
      </c>
      <c r="AB189" s="22">
        <v>0.10514285714285715</v>
      </c>
      <c r="AC189" s="24">
        <v>0</v>
      </c>
      <c r="AD189" s="384">
        <v>0</v>
      </c>
    </row>
    <row r="190" spans="1:30">
      <c r="A190" s="21" t="s">
        <v>331</v>
      </c>
      <c r="B190" s="21" t="s">
        <v>332</v>
      </c>
      <c r="C190" s="23">
        <v>259</v>
      </c>
      <c r="D190" s="147">
        <v>6.22</v>
      </c>
      <c r="E190" s="22">
        <v>70.56</v>
      </c>
      <c r="F190" s="22">
        <v>76.78</v>
      </c>
      <c r="G190" s="22">
        <v>0</v>
      </c>
      <c r="H190" s="22">
        <v>17.649999999999999</v>
      </c>
      <c r="I190" s="22">
        <v>0.35</v>
      </c>
      <c r="J190" s="22">
        <v>89.83</v>
      </c>
      <c r="K190" s="22">
        <v>0</v>
      </c>
      <c r="L190" s="22">
        <v>0</v>
      </c>
      <c r="M190" s="388">
        <v>1036.31</v>
      </c>
      <c r="N190" s="25">
        <v>0.70089999999999997</v>
      </c>
      <c r="O190" s="24">
        <v>1042</v>
      </c>
      <c r="P190" s="24">
        <v>71.5</v>
      </c>
      <c r="Q190" s="24">
        <v>41</v>
      </c>
      <c r="R190" s="22">
        <v>30.5</v>
      </c>
      <c r="S190" s="24">
        <v>28</v>
      </c>
      <c r="T190" s="24">
        <f t="shared" si="9"/>
        <v>99.5</v>
      </c>
      <c r="U190" s="376">
        <v>726.56</v>
      </c>
      <c r="V190" s="376">
        <v>51.82</v>
      </c>
      <c r="W190" s="22">
        <f t="shared" si="10"/>
        <v>509.24590399999994</v>
      </c>
      <c r="X190" s="22">
        <f t="shared" si="11"/>
        <v>152.5</v>
      </c>
      <c r="Y190" s="22">
        <v>124.5</v>
      </c>
      <c r="Z190" s="22">
        <v>28</v>
      </c>
      <c r="AA190" s="371">
        <v>1036.31</v>
      </c>
      <c r="AB190" s="22">
        <v>0.14715673881367544</v>
      </c>
      <c r="AC190" s="24">
        <v>1.2156738813675433E-2</v>
      </c>
      <c r="AD190" s="384">
        <v>-111800.16860719341</v>
      </c>
    </row>
    <row r="191" spans="1:30">
      <c r="A191" s="21" t="s">
        <v>513</v>
      </c>
      <c r="B191" s="21" t="s">
        <v>514</v>
      </c>
      <c r="C191" s="23">
        <v>2292.6999999999998</v>
      </c>
      <c r="D191" s="147">
        <v>138.66999999999999</v>
      </c>
      <c r="E191" s="22">
        <v>585.29</v>
      </c>
      <c r="F191" s="22">
        <v>723.95999999999992</v>
      </c>
      <c r="G191" s="22">
        <v>0</v>
      </c>
      <c r="H191" s="22">
        <v>343.24</v>
      </c>
      <c r="I191" s="22">
        <v>42.16</v>
      </c>
      <c r="J191" s="22">
        <v>832.66</v>
      </c>
      <c r="K191" s="22">
        <v>36.119999999999997</v>
      </c>
      <c r="L191" s="22">
        <v>0</v>
      </c>
      <c r="M191" s="388">
        <v>9638.36</v>
      </c>
      <c r="N191" s="25">
        <v>0.30070000000000002</v>
      </c>
      <c r="O191" s="24">
        <v>613</v>
      </c>
      <c r="P191" s="24">
        <v>295.75</v>
      </c>
      <c r="Q191" s="24">
        <v>184.25</v>
      </c>
      <c r="R191" s="22">
        <v>111.5</v>
      </c>
      <c r="S191" s="24">
        <v>62</v>
      </c>
      <c r="T191" s="24">
        <f t="shared" si="9"/>
        <v>357.75</v>
      </c>
      <c r="U191" s="376">
        <v>2898.25</v>
      </c>
      <c r="V191" s="376">
        <v>0</v>
      </c>
      <c r="W191" s="22">
        <f t="shared" si="10"/>
        <v>871.50377500000002</v>
      </c>
      <c r="X191" s="22">
        <f t="shared" si="11"/>
        <v>1420.25</v>
      </c>
      <c r="Y191" s="22">
        <v>812.5</v>
      </c>
      <c r="Z191" s="22">
        <v>607.75</v>
      </c>
      <c r="AA191" s="371">
        <v>9700.44</v>
      </c>
      <c r="AB191" s="22">
        <v>0.14641088445472575</v>
      </c>
      <c r="AC191" s="24">
        <v>1.1410884454725739E-2</v>
      </c>
      <c r="AD191" s="384">
        <v>-977184.08888594492</v>
      </c>
    </row>
    <row r="192" spans="1:30">
      <c r="A192" s="21" t="s">
        <v>329</v>
      </c>
      <c r="B192" s="21" t="s">
        <v>330</v>
      </c>
      <c r="C192" s="23">
        <v>509.68</v>
      </c>
      <c r="D192" s="147">
        <v>32.74</v>
      </c>
      <c r="E192" s="22">
        <v>138.75</v>
      </c>
      <c r="F192" s="22">
        <v>171.49</v>
      </c>
      <c r="G192" s="22">
        <v>0</v>
      </c>
      <c r="H192" s="22">
        <v>133.05000000000001</v>
      </c>
      <c r="I192" s="22">
        <v>10.95</v>
      </c>
      <c r="J192" s="22">
        <v>4866.97</v>
      </c>
      <c r="K192" s="22">
        <v>0</v>
      </c>
      <c r="L192" s="22">
        <v>0</v>
      </c>
      <c r="M192" s="388">
        <v>6612.34</v>
      </c>
      <c r="N192" s="25">
        <v>0.54259999999999997</v>
      </c>
      <c r="O192" s="24">
        <v>5379</v>
      </c>
      <c r="P192" s="24">
        <v>268.75</v>
      </c>
      <c r="Q192" s="24">
        <v>161.5</v>
      </c>
      <c r="R192" s="22">
        <v>107.25</v>
      </c>
      <c r="S192" s="24">
        <v>78.5</v>
      </c>
      <c r="T192" s="24">
        <f t="shared" si="9"/>
        <v>347.25</v>
      </c>
      <c r="U192" s="376">
        <v>3587.19</v>
      </c>
      <c r="V192" s="376">
        <v>330.62</v>
      </c>
      <c r="W192" s="22">
        <f t="shared" si="10"/>
        <v>1946.4092939999998</v>
      </c>
      <c r="X192" s="22">
        <f t="shared" si="11"/>
        <v>911</v>
      </c>
      <c r="Y192" s="22">
        <v>756</v>
      </c>
      <c r="Z192" s="22">
        <v>155</v>
      </c>
      <c r="AA192" s="371">
        <v>6592.51</v>
      </c>
      <c r="AB192" s="22">
        <v>0.13818712447914375</v>
      </c>
      <c r="AC192" s="24">
        <v>3.1871244791437381E-3</v>
      </c>
      <c r="AD192" s="384">
        <v>-176899.58743764838</v>
      </c>
    </row>
    <row r="193" spans="1:30">
      <c r="A193" s="21" t="s">
        <v>287</v>
      </c>
      <c r="B193" s="21" t="s">
        <v>288</v>
      </c>
      <c r="C193" s="23">
        <v>217.8</v>
      </c>
      <c r="D193" s="147">
        <v>9.91</v>
      </c>
      <c r="E193" s="22">
        <v>97.92</v>
      </c>
      <c r="F193" s="22">
        <v>107.83</v>
      </c>
      <c r="G193" s="22">
        <v>0</v>
      </c>
      <c r="H193" s="22">
        <v>13.04</v>
      </c>
      <c r="I193" s="22">
        <v>1</v>
      </c>
      <c r="J193" s="22">
        <v>0</v>
      </c>
      <c r="K193" s="22">
        <v>0.8</v>
      </c>
      <c r="L193" s="22">
        <v>0</v>
      </c>
      <c r="M193" s="388">
        <v>791.7199999999998</v>
      </c>
      <c r="N193" s="25">
        <v>0.57830000000000004</v>
      </c>
      <c r="O193" s="24">
        <v>801</v>
      </c>
      <c r="P193" s="24">
        <v>20</v>
      </c>
      <c r="Q193" s="24">
        <v>7.75</v>
      </c>
      <c r="R193" s="22">
        <v>12.25</v>
      </c>
      <c r="S193" s="24">
        <v>6</v>
      </c>
      <c r="T193" s="24">
        <f t="shared" si="9"/>
        <v>26</v>
      </c>
      <c r="U193" s="376">
        <v>457.85</v>
      </c>
      <c r="V193" s="376">
        <v>39.590000000000003</v>
      </c>
      <c r="W193" s="22">
        <f t="shared" si="10"/>
        <v>264.77465500000005</v>
      </c>
      <c r="X193" s="22">
        <f t="shared" si="11"/>
        <v>138.25</v>
      </c>
      <c r="Y193" s="22">
        <v>82</v>
      </c>
      <c r="Z193" s="22">
        <v>56.25</v>
      </c>
      <c r="AA193" s="371">
        <v>794.79</v>
      </c>
      <c r="AB193" s="22">
        <v>0.17394531888926634</v>
      </c>
      <c r="AC193" s="24">
        <v>3.8945318889266334E-2</v>
      </c>
      <c r="AD193" s="384">
        <v>-269586.06781631534</v>
      </c>
    </row>
    <row r="194" spans="1:30">
      <c r="A194" s="21" t="s">
        <v>483</v>
      </c>
      <c r="B194" s="21" t="s">
        <v>484</v>
      </c>
      <c r="C194" s="23">
        <v>21.4</v>
      </c>
      <c r="D194" s="147">
        <v>0</v>
      </c>
      <c r="E194" s="22">
        <v>0</v>
      </c>
      <c r="F194" s="22">
        <v>0</v>
      </c>
      <c r="G194" s="22">
        <v>0</v>
      </c>
      <c r="H194" s="22">
        <v>0</v>
      </c>
      <c r="I194" s="22">
        <v>0</v>
      </c>
      <c r="J194" s="22">
        <v>0</v>
      </c>
      <c r="K194" s="22">
        <v>0</v>
      </c>
      <c r="L194" s="22">
        <v>0</v>
      </c>
      <c r="M194" s="388">
        <v>48.8</v>
      </c>
      <c r="N194" s="25">
        <v>0.77080000000000004</v>
      </c>
      <c r="O194" s="24">
        <v>48</v>
      </c>
      <c r="P194" s="24">
        <v>0</v>
      </c>
      <c r="Q194" s="24">
        <v>0</v>
      </c>
      <c r="R194" s="22">
        <v>0</v>
      </c>
      <c r="S194" s="24">
        <v>0</v>
      </c>
      <c r="T194" s="24">
        <f t="shared" si="9"/>
        <v>0</v>
      </c>
      <c r="U194" s="376">
        <v>37.619999999999997</v>
      </c>
      <c r="V194" s="376">
        <v>2.44</v>
      </c>
      <c r="W194" s="22">
        <f t="shared" si="10"/>
        <v>28.997495999999998</v>
      </c>
      <c r="X194" s="22">
        <f t="shared" si="11"/>
        <v>5.5</v>
      </c>
      <c r="Y194" s="22">
        <v>5.5</v>
      </c>
      <c r="Z194" s="22">
        <v>0</v>
      </c>
      <c r="AA194" s="371">
        <v>48.8</v>
      </c>
      <c r="AB194" s="22">
        <v>0.11270491803278689</v>
      </c>
      <c r="AC194" s="24">
        <v>0</v>
      </c>
      <c r="AD194" s="384">
        <v>0</v>
      </c>
    </row>
    <row r="195" spans="1:30">
      <c r="A195" s="21" t="s">
        <v>395</v>
      </c>
      <c r="B195" s="21" t="s">
        <v>396</v>
      </c>
      <c r="C195" s="23">
        <v>109.65</v>
      </c>
      <c r="D195" s="147">
        <v>0</v>
      </c>
      <c r="E195" s="22">
        <v>11.78</v>
      </c>
      <c r="F195" s="22">
        <v>11.78</v>
      </c>
      <c r="G195" s="22">
        <v>0</v>
      </c>
      <c r="H195" s="22">
        <v>0</v>
      </c>
      <c r="I195" s="22">
        <v>0</v>
      </c>
      <c r="J195" s="22">
        <v>313.81</v>
      </c>
      <c r="K195" s="22">
        <v>0</v>
      </c>
      <c r="L195" s="22">
        <v>0</v>
      </c>
      <c r="M195" s="388">
        <v>723.35</v>
      </c>
      <c r="N195" s="25">
        <v>0.30020000000000002</v>
      </c>
      <c r="O195" s="24">
        <v>0</v>
      </c>
      <c r="P195" s="24">
        <v>35</v>
      </c>
      <c r="Q195" s="24">
        <v>21</v>
      </c>
      <c r="R195" s="22">
        <v>14</v>
      </c>
      <c r="S195" s="24">
        <v>2</v>
      </c>
      <c r="T195" s="24">
        <f t="shared" si="9"/>
        <v>37</v>
      </c>
      <c r="U195" s="376">
        <v>217.15</v>
      </c>
      <c r="V195" s="376">
        <v>36.17</v>
      </c>
      <c r="W195" s="22">
        <f t="shared" si="10"/>
        <v>65.188430000000011</v>
      </c>
      <c r="X195" s="22">
        <f t="shared" si="11"/>
        <v>79.25</v>
      </c>
      <c r="Y195" s="22">
        <v>71</v>
      </c>
      <c r="Z195" s="22">
        <v>8.25</v>
      </c>
      <c r="AA195" s="371">
        <v>723.34</v>
      </c>
      <c r="AB195" s="22">
        <v>0.10956120220090138</v>
      </c>
      <c r="AC195" s="24">
        <v>0</v>
      </c>
      <c r="AD195" s="384">
        <v>0</v>
      </c>
    </row>
    <row r="196" spans="1:30">
      <c r="A196" s="21" t="s">
        <v>453</v>
      </c>
      <c r="B196" s="21" t="s">
        <v>454</v>
      </c>
      <c r="C196" s="23">
        <v>46</v>
      </c>
      <c r="D196" s="147">
        <v>0</v>
      </c>
      <c r="E196" s="22">
        <v>0</v>
      </c>
      <c r="F196" s="22">
        <v>0</v>
      </c>
      <c r="G196" s="22">
        <v>0</v>
      </c>
      <c r="H196" s="22">
        <v>0</v>
      </c>
      <c r="I196" s="22">
        <v>0</v>
      </c>
      <c r="J196" s="22">
        <v>0</v>
      </c>
      <c r="K196" s="22">
        <v>0</v>
      </c>
      <c r="L196" s="22">
        <v>0</v>
      </c>
      <c r="M196" s="388">
        <v>68.400000000000006</v>
      </c>
      <c r="N196" s="25">
        <v>0.15579999999999999</v>
      </c>
      <c r="O196" s="24">
        <v>0</v>
      </c>
      <c r="P196" s="24">
        <v>0</v>
      </c>
      <c r="Q196" s="24">
        <v>0</v>
      </c>
      <c r="R196" s="22">
        <v>0</v>
      </c>
      <c r="S196" s="24">
        <v>0</v>
      </c>
      <c r="T196" s="24">
        <f t="shared" si="9"/>
        <v>0</v>
      </c>
      <c r="U196" s="376">
        <v>10.66</v>
      </c>
      <c r="V196" s="376">
        <v>0</v>
      </c>
      <c r="W196" s="22">
        <f t="shared" si="10"/>
        <v>1.660828</v>
      </c>
      <c r="X196" s="22">
        <f t="shared" si="11"/>
        <v>4</v>
      </c>
      <c r="Y196" s="22">
        <v>0</v>
      </c>
      <c r="Z196" s="22">
        <v>4</v>
      </c>
      <c r="AA196" s="371">
        <v>68.400000000000006</v>
      </c>
      <c r="AB196" s="22">
        <v>5.8479532163742687E-2</v>
      </c>
      <c r="AC196" s="24">
        <v>0</v>
      </c>
      <c r="AD196" s="384">
        <v>0</v>
      </c>
    </row>
    <row r="197" spans="1:30">
      <c r="A197" s="21" t="s">
        <v>105</v>
      </c>
      <c r="B197" s="21" t="s">
        <v>106</v>
      </c>
      <c r="C197" s="23">
        <v>16.8</v>
      </c>
      <c r="D197" s="147">
        <v>0</v>
      </c>
      <c r="E197" s="22">
        <v>0</v>
      </c>
      <c r="F197" s="22">
        <v>0</v>
      </c>
      <c r="G197" s="22">
        <v>0</v>
      </c>
      <c r="H197" s="22">
        <v>0</v>
      </c>
      <c r="I197" s="22">
        <v>0</v>
      </c>
      <c r="J197" s="22">
        <v>0</v>
      </c>
      <c r="K197" s="22">
        <v>0</v>
      </c>
      <c r="L197" s="22">
        <v>0</v>
      </c>
      <c r="M197" s="388">
        <v>33.4</v>
      </c>
      <c r="N197" s="25">
        <v>0.71879999999999999</v>
      </c>
      <c r="O197" s="24">
        <v>32</v>
      </c>
      <c r="P197" s="24">
        <v>0</v>
      </c>
      <c r="Q197" s="24">
        <v>0</v>
      </c>
      <c r="R197" s="22">
        <v>0</v>
      </c>
      <c r="S197" s="24">
        <v>0</v>
      </c>
      <c r="T197" s="24">
        <f t="shared" si="9"/>
        <v>0</v>
      </c>
      <c r="U197" s="376">
        <v>24.01</v>
      </c>
      <c r="V197" s="376">
        <v>1.67</v>
      </c>
      <c r="W197" s="22">
        <f t="shared" si="10"/>
        <v>17.258388</v>
      </c>
      <c r="X197" s="22">
        <f t="shared" si="11"/>
        <v>6.25</v>
      </c>
      <c r="Y197" s="22">
        <v>6.25</v>
      </c>
      <c r="Z197" s="22">
        <v>0</v>
      </c>
      <c r="AA197" s="371">
        <v>33.4</v>
      </c>
      <c r="AB197" s="22">
        <v>0.18712574850299402</v>
      </c>
      <c r="AC197" s="24">
        <v>5.2125748502994007E-2</v>
      </c>
      <c r="AD197" s="384">
        <v>-16384.763416197969</v>
      </c>
    </row>
    <row r="198" spans="1:30">
      <c r="A198" s="21" t="s">
        <v>89</v>
      </c>
      <c r="B198" s="21" t="s">
        <v>90</v>
      </c>
      <c r="C198" s="23">
        <v>57.4</v>
      </c>
      <c r="D198" s="147">
        <v>1.44</v>
      </c>
      <c r="E198" s="22">
        <v>0</v>
      </c>
      <c r="F198" s="22">
        <v>1.44</v>
      </c>
      <c r="G198" s="22">
        <v>0</v>
      </c>
      <c r="H198" s="22">
        <v>0</v>
      </c>
      <c r="I198" s="22">
        <v>0</v>
      </c>
      <c r="J198" s="22">
        <v>0</v>
      </c>
      <c r="K198" s="22">
        <v>0</v>
      </c>
      <c r="L198" s="22">
        <v>0</v>
      </c>
      <c r="M198" s="388">
        <v>138.07999999999998</v>
      </c>
      <c r="N198" s="25">
        <v>0.89300000000000002</v>
      </c>
      <c r="O198" s="24">
        <v>139</v>
      </c>
      <c r="P198" s="24">
        <v>59</v>
      </c>
      <c r="Q198" s="24">
        <v>49.75</v>
      </c>
      <c r="R198" s="22">
        <v>9.25</v>
      </c>
      <c r="S198" s="24">
        <v>15</v>
      </c>
      <c r="T198" s="24">
        <f t="shared" si="9"/>
        <v>74</v>
      </c>
      <c r="U198" s="376">
        <v>123.31</v>
      </c>
      <c r="V198" s="376">
        <v>6.9</v>
      </c>
      <c r="W198" s="22">
        <f t="shared" si="10"/>
        <v>110.11583</v>
      </c>
      <c r="X198" s="22">
        <f t="shared" si="11"/>
        <v>14.75</v>
      </c>
      <c r="Y198" s="22">
        <v>12</v>
      </c>
      <c r="Z198" s="22">
        <v>2.75</v>
      </c>
      <c r="AA198" s="371">
        <v>138.08000000000001</v>
      </c>
      <c r="AB198" s="22">
        <v>0.10682213209733486</v>
      </c>
      <c r="AC198" s="24">
        <v>0</v>
      </c>
      <c r="AD198" s="384">
        <v>0</v>
      </c>
    </row>
    <row r="199" spans="1:30">
      <c r="A199" s="21" t="s">
        <v>341</v>
      </c>
      <c r="B199" s="21" t="s">
        <v>342</v>
      </c>
      <c r="C199" s="23">
        <v>143.63999999999999</v>
      </c>
      <c r="D199" s="147">
        <v>5.17</v>
      </c>
      <c r="E199" s="22">
        <v>23.63</v>
      </c>
      <c r="F199" s="22">
        <v>28.799999999999997</v>
      </c>
      <c r="G199" s="22">
        <v>0</v>
      </c>
      <c r="H199" s="22">
        <v>13.32</v>
      </c>
      <c r="I199" s="22">
        <v>0.9</v>
      </c>
      <c r="J199" s="22">
        <v>15.4</v>
      </c>
      <c r="K199" s="22">
        <v>0</v>
      </c>
      <c r="L199" s="22">
        <v>0</v>
      </c>
      <c r="M199" s="388">
        <v>517.82999999999993</v>
      </c>
      <c r="N199" s="25">
        <v>0.74</v>
      </c>
      <c r="O199" s="24">
        <v>523</v>
      </c>
      <c r="P199" s="24">
        <v>64.5</v>
      </c>
      <c r="Q199" s="24">
        <v>41.25</v>
      </c>
      <c r="R199" s="22">
        <v>23.25</v>
      </c>
      <c r="S199" s="24">
        <v>12</v>
      </c>
      <c r="T199" s="24">
        <f t="shared" si="9"/>
        <v>76.5</v>
      </c>
      <c r="U199" s="376">
        <v>382.16</v>
      </c>
      <c r="V199" s="376">
        <v>0</v>
      </c>
      <c r="W199" s="22">
        <f t="shared" si="10"/>
        <v>282.79840000000002</v>
      </c>
      <c r="X199" s="22">
        <f t="shared" si="11"/>
        <v>65.25</v>
      </c>
      <c r="Y199" s="22">
        <v>49.75</v>
      </c>
      <c r="Z199" s="22">
        <v>15.5</v>
      </c>
      <c r="AA199" s="371">
        <v>517.82000000000005</v>
      </c>
      <c r="AB199" s="22">
        <v>0.12600903788961415</v>
      </c>
      <c r="AC199" s="24">
        <v>0</v>
      </c>
      <c r="AD199" s="384">
        <v>0</v>
      </c>
    </row>
    <row r="200" spans="1:30">
      <c r="A200" s="21" t="s">
        <v>375</v>
      </c>
      <c r="B200" s="21" t="s">
        <v>376</v>
      </c>
      <c r="C200" s="23">
        <v>720.61</v>
      </c>
      <c r="D200" s="147">
        <v>54.03</v>
      </c>
      <c r="E200" s="22">
        <v>223.82</v>
      </c>
      <c r="F200" s="22">
        <v>277.85000000000002</v>
      </c>
      <c r="G200" s="22">
        <v>0</v>
      </c>
      <c r="H200" s="22">
        <v>55.07</v>
      </c>
      <c r="I200" s="22">
        <v>2.33</v>
      </c>
      <c r="J200" s="22">
        <v>21.67</v>
      </c>
      <c r="K200" s="22">
        <v>4.5999999999999996</v>
      </c>
      <c r="L200" s="22">
        <v>0</v>
      </c>
      <c r="M200" s="388">
        <v>2604.17</v>
      </c>
      <c r="N200" s="25">
        <v>0.31490000000000001</v>
      </c>
      <c r="O200" s="24">
        <v>0</v>
      </c>
      <c r="P200" s="24">
        <v>68.5</v>
      </c>
      <c r="Q200" s="24">
        <v>48</v>
      </c>
      <c r="R200" s="22">
        <v>20.5</v>
      </c>
      <c r="S200" s="24">
        <v>7</v>
      </c>
      <c r="T200" s="24">
        <f t="shared" si="9"/>
        <v>75.5</v>
      </c>
      <c r="U200" s="376">
        <v>820.05</v>
      </c>
      <c r="V200" s="376">
        <v>130.21</v>
      </c>
      <c r="W200" s="22">
        <f t="shared" si="10"/>
        <v>258.233745</v>
      </c>
      <c r="X200" s="22">
        <f t="shared" si="11"/>
        <v>388.75</v>
      </c>
      <c r="Y200" s="22">
        <v>210.5</v>
      </c>
      <c r="Z200" s="22">
        <v>178.25</v>
      </c>
      <c r="AA200" s="371">
        <v>2616.88</v>
      </c>
      <c r="AB200" s="22">
        <v>0.1485547675094005</v>
      </c>
      <c r="AC200" s="24">
        <v>1.3554767509400489E-2</v>
      </c>
      <c r="AD200" s="384">
        <v>-322076.68834568613</v>
      </c>
    </row>
    <row r="201" spans="1:30">
      <c r="A201" s="21" t="s">
        <v>7</v>
      </c>
      <c r="B201" s="21" t="s">
        <v>8</v>
      </c>
      <c r="C201" s="23">
        <v>1299.21</v>
      </c>
      <c r="D201" s="147">
        <v>20.58</v>
      </c>
      <c r="E201" s="22">
        <v>241.1</v>
      </c>
      <c r="F201" s="22">
        <v>261.68</v>
      </c>
      <c r="G201" s="22">
        <v>0</v>
      </c>
      <c r="H201" s="22">
        <v>59.94</v>
      </c>
      <c r="I201" s="22">
        <v>6.6</v>
      </c>
      <c r="J201" s="22">
        <v>12.33</v>
      </c>
      <c r="K201" s="22">
        <v>20</v>
      </c>
      <c r="L201" s="22">
        <v>0</v>
      </c>
      <c r="M201" s="388">
        <v>4461.37</v>
      </c>
      <c r="N201" s="25">
        <v>0.81569999999999998</v>
      </c>
      <c r="O201" s="24">
        <v>4500</v>
      </c>
      <c r="P201" s="24">
        <v>1769.25</v>
      </c>
      <c r="Q201" s="24">
        <v>1150.75</v>
      </c>
      <c r="R201" s="22">
        <v>618.5</v>
      </c>
      <c r="S201" s="24">
        <v>274.5</v>
      </c>
      <c r="T201" s="24">
        <f t="shared" ref="T201:T264" si="12">S201+P201</f>
        <v>2043.75</v>
      </c>
      <c r="U201" s="376">
        <v>3639.14</v>
      </c>
      <c r="V201" s="376">
        <v>223.07</v>
      </c>
      <c r="W201" s="22">
        <f t="shared" ref="W201:W264" si="13">U201*N201</f>
        <v>2968.4464979999998</v>
      </c>
      <c r="X201" s="22">
        <f t="shared" ref="X201:X264" si="14">Y201+Z201</f>
        <v>567.75</v>
      </c>
      <c r="Y201" s="22">
        <v>377.25</v>
      </c>
      <c r="Z201" s="22">
        <v>190.5</v>
      </c>
      <c r="AA201" s="371">
        <v>4482.8500000000004</v>
      </c>
      <c r="AB201" s="22">
        <v>0.12664934137881034</v>
      </c>
      <c r="AC201" s="24">
        <v>0</v>
      </c>
      <c r="AD201" s="384">
        <v>0</v>
      </c>
    </row>
    <row r="202" spans="1:30">
      <c r="A202" s="21" t="s">
        <v>93</v>
      </c>
      <c r="B202" s="21" t="s">
        <v>94</v>
      </c>
      <c r="C202" s="23">
        <v>12</v>
      </c>
      <c r="D202" s="147">
        <v>0</v>
      </c>
      <c r="E202" s="22">
        <v>0</v>
      </c>
      <c r="F202" s="22">
        <v>0</v>
      </c>
      <c r="G202" s="22">
        <v>0</v>
      </c>
      <c r="H202" s="22">
        <v>0</v>
      </c>
      <c r="I202" s="22">
        <v>0</v>
      </c>
      <c r="J202" s="22">
        <v>0</v>
      </c>
      <c r="K202" s="22">
        <v>0</v>
      </c>
      <c r="L202" s="22">
        <v>0</v>
      </c>
      <c r="M202" s="388">
        <v>22</v>
      </c>
      <c r="N202" s="25">
        <v>0.91300000000000003</v>
      </c>
      <c r="O202" s="24">
        <v>22</v>
      </c>
      <c r="P202" s="24">
        <v>8.25</v>
      </c>
      <c r="Q202" s="24">
        <v>8.25</v>
      </c>
      <c r="R202" s="22">
        <v>0</v>
      </c>
      <c r="S202" s="24">
        <v>3</v>
      </c>
      <c r="T202" s="24">
        <f t="shared" si="12"/>
        <v>11.25</v>
      </c>
      <c r="U202" s="376">
        <v>20.09</v>
      </c>
      <c r="V202" s="376">
        <v>0</v>
      </c>
      <c r="W202" s="22">
        <f t="shared" si="13"/>
        <v>18.342169999999999</v>
      </c>
      <c r="X202" s="22">
        <f t="shared" si="14"/>
        <v>4</v>
      </c>
      <c r="Y202" s="22">
        <v>4</v>
      </c>
      <c r="Z202" s="22">
        <v>0</v>
      </c>
      <c r="AA202" s="371">
        <v>22</v>
      </c>
      <c r="AB202" s="22">
        <v>0.18181818181818182</v>
      </c>
      <c r="AC202" s="24">
        <v>4.6818181818181814E-2</v>
      </c>
      <c r="AD202" s="384">
        <v>-9598.6514388803935</v>
      </c>
    </row>
    <row r="203" spans="1:30">
      <c r="A203" s="21" t="s">
        <v>565</v>
      </c>
      <c r="B203" s="21" t="s">
        <v>566</v>
      </c>
      <c r="C203" s="23">
        <v>49.1</v>
      </c>
      <c r="D203" s="147">
        <v>0</v>
      </c>
      <c r="E203" s="22">
        <v>9.6</v>
      </c>
      <c r="F203" s="22">
        <v>9.6</v>
      </c>
      <c r="G203" s="22">
        <v>0</v>
      </c>
      <c r="H203" s="22">
        <v>1.75</v>
      </c>
      <c r="I203" s="22">
        <v>0</v>
      </c>
      <c r="J203" s="22">
        <v>0</v>
      </c>
      <c r="K203" s="22">
        <v>0</v>
      </c>
      <c r="L203" s="22">
        <v>0</v>
      </c>
      <c r="M203" s="388">
        <v>152.88999999999999</v>
      </c>
      <c r="N203" s="25">
        <v>0.36420000000000002</v>
      </c>
      <c r="O203" s="24">
        <v>0</v>
      </c>
      <c r="P203" s="24">
        <v>0</v>
      </c>
      <c r="Q203" s="24">
        <v>0</v>
      </c>
      <c r="R203" s="22">
        <v>0</v>
      </c>
      <c r="S203" s="24">
        <v>0</v>
      </c>
      <c r="T203" s="24">
        <f t="shared" si="12"/>
        <v>0</v>
      </c>
      <c r="U203" s="376">
        <v>55.68</v>
      </c>
      <c r="V203" s="376">
        <v>0</v>
      </c>
      <c r="W203" s="22">
        <f t="shared" si="13"/>
        <v>20.278656000000002</v>
      </c>
      <c r="X203" s="22">
        <f t="shared" si="14"/>
        <v>18.5</v>
      </c>
      <c r="Y203" s="22">
        <v>14.5</v>
      </c>
      <c r="Z203" s="22">
        <v>4</v>
      </c>
      <c r="AA203" s="371">
        <v>152.88999999999999</v>
      </c>
      <c r="AB203" s="22">
        <v>0.1210020276015436</v>
      </c>
      <c r="AC203" s="24">
        <v>0</v>
      </c>
      <c r="AD203" s="384">
        <v>0</v>
      </c>
    </row>
    <row r="204" spans="1:30">
      <c r="A204" s="21" t="s">
        <v>111</v>
      </c>
      <c r="B204" s="21" t="s">
        <v>112</v>
      </c>
      <c r="C204" s="23">
        <v>5307.87</v>
      </c>
      <c r="D204" s="147">
        <v>159.84</v>
      </c>
      <c r="E204" s="22">
        <v>1031.3499999999999</v>
      </c>
      <c r="F204" s="22">
        <v>1191.1899999999998</v>
      </c>
      <c r="G204" s="22">
        <v>0</v>
      </c>
      <c r="H204" s="22">
        <v>348.55</v>
      </c>
      <c r="I204" s="22">
        <v>15.35</v>
      </c>
      <c r="J204" s="22">
        <v>223.57999999999998</v>
      </c>
      <c r="K204" s="22">
        <v>21.29</v>
      </c>
      <c r="L204" s="22">
        <v>0</v>
      </c>
      <c r="M204" s="388">
        <v>18091.530000000002</v>
      </c>
      <c r="N204" s="25">
        <v>0.73440000000000005</v>
      </c>
      <c r="O204" s="24">
        <v>16772</v>
      </c>
      <c r="P204" s="24">
        <v>6328.5</v>
      </c>
      <c r="Q204" s="24">
        <v>3441.75</v>
      </c>
      <c r="R204" s="22">
        <v>2886.75</v>
      </c>
      <c r="S204" s="24">
        <v>798.5</v>
      </c>
      <c r="T204" s="24">
        <f t="shared" si="12"/>
        <v>7127</v>
      </c>
      <c r="U204" s="376">
        <v>13286.42</v>
      </c>
      <c r="V204" s="376">
        <v>904.58</v>
      </c>
      <c r="W204" s="22">
        <f t="shared" si="13"/>
        <v>9757.546848</v>
      </c>
      <c r="X204" s="22">
        <f t="shared" si="14"/>
        <v>2257.5</v>
      </c>
      <c r="Y204" s="22">
        <v>1186.5</v>
      </c>
      <c r="Z204" s="22">
        <v>1071</v>
      </c>
      <c r="AA204" s="371">
        <v>18205.89</v>
      </c>
      <c r="AB204" s="22">
        <v>0.12399833240780869</v>
      </c>
      <c r="AC204" s="24">
        <v>0</v>
      </c>
      <c r="AD204" s="384">
        <v>0</v>
      </c>
    </row>
    <row r="205" spans="1:30">
      <c r="A205" s="21" t="s">
        <v>335</v>
      </c>
      <c r="B205" s="21" t="s">
        <v>336</v>
      </c>
      <c r="C205" s="23">
        <v>75.02</v>
      </c>
      <c r="D205" s="147">
        <v>0</v>
      </c>
      <c r="E205" s="22">
        <v>11.24</v>
      </c>
      <c r="F205" s="22">
        <v>11.24</v>
      </c>
      <c r="G205" s="22">
        <v>0</v>
      </c>
      <c r="H205" s="22">
        <v>8.17</v>
      </c>
      <c r="I205" s="22">
        <v>0.59</v>
      </c>
      <c r="J205" s="22">
        <v>7.56</v>
      </c>
      <c r="K205" s="22">
        <v>0</v>
      </c>
      <c r="L205" s="22">
        <v>0</v>
      </c>
      <c r="M205" s="388">
        <v>295</v>
      </c>
      <c r="N205" s="25">
        <v>0.72289999999999999</v>
      </c>
      <c r="O205" s="24">
        <v>276</v>
      </c>
      <c r="P205" s="24">
        <v>32</v>
      </c>
      <c r="Q205" s="24">
        <v>20</v>
      </c>
      <c r="R205" s="22">
        <v>12</v>
      </c>
      <c r="S205" s="24">
        <v>12</v>
      </c>
      <c r="T205" s="24">
        <f t="shared" si="12"/>
        <v>44</v>
      </c>
      <c r="U205" s="376">
        <v>213.26</v>
      </c>
      <c r="V205" s="376">
        <v>14.75</v>
      </c>
      <c r="W205" s="22">
        <f t="shared" si="13"/>
        <v>154.16565399999999</v>
      </c>
      <c r="X205" s="22">
        <f t="shared" si="14"/>
        <v>41.5</v>
      </c>
      <c r="Y205" s="22">
        <v>31.25</v>
      </c>
      <c r="Z205" s="22">
        <v>10.25</v>
      </c>
      <c r="AA205" s="371">
        <v>294.99</v>
      </c>
      <c r="AB205" s="22">
        <v>0.14068273500796638</v>
      </c>
      <c r="AC205" s="24">
        <v>5.6827350079663719E-3</v>
      </c>
      <c r="AD205" s="384">
        <v>-14849.511595372127</v>
      </c>
    </row>
    <row r="206" spans="1:30">
      <c r="A206" s="21" t="s">
        <v>19</v>
      </c>
      <c r="B206" s="21" t="s">
        <v>20</v>
      </c>
      <c r="C206" s="23">
        <v>58</v>
      </c>
      <c r="D206" s="147">
        <v>0</v>
      </c>
      <c r="E206" s="22">
        <v>0</v>
      </c>
      <c r="F206" s="22">
        <v>0</v>
      </c>
      <c r="G206" s="22">
        <v>0</v>
      </c>
      <c r="H206" s="22">
        <v>0</v>
      </c>
      <c r="I206" s="22">
        <v>0</v>
      </c>
      <c r="J206" s="22">
        <v>0</v>
      </c>
      <c r="K206" s="22">
        <v>0</v>
      </c>
      <c r="L206" s="22">
        <v>0</v>
      </c>
      <c r="M206" s="388">
        <v>141.4</v>
      </c>
      <c r="N206" s="25">
        <v>1</v>
      </c>
      <c r="O206" s="24">
        <v>142</v>
      </c>
      <c r="P206" s="24">
        <v>25.5</v>
      </c>
      <c r="Q206" s="24">
        <v>20.25</v>
      </c>
      <c r="R206" s="22">
        <v>5.25</v>
      </c>
      <c r="S206" s="24">
        <v>11</v>
      </c>
      <c r="T206" s="24">
        <f t="shared" si="12"/>
        <v>36.5</v>
      </c>
      <c r="U206" s="376">
        <v>141.4</v>
      </c>
      <c r="V206" s="376">
        <v>0</v>
      </c>
      <c r="W206" s="22">
        <f t="shared" si="13"/>
        <v>141.4</v>
      </c>
      <c r="X206" s="22">
        <f t="shared" si="14"/>
        <v>22.75</v>
      </c>
      <c r="Y206" s="22">
        <v>22.75</v>
      </c>
      <c r="Z206" s="22">
        <v>0</v>
      </c>
      <c r="AA206" s="371">
        <v>141.4</v>
      </c>
      <c r="AB206" s="22">
        <v>0.1608910891089109</v>
      </c>
      <c r="AC206" s="24">
        <v>2.5891089108910886E-2</v>
      </c>
      <c r="AD206" s="384">
        <v>-32805.705188958142</v>
      </c>
    </row>
    <row r="207" spans="1:30">
      <c r="A207" s="21" t="s">
        <v>289</v>
      </c>
      <c r="B207" s="21" t="s">
        <v>290</v>
      </c>
      <c r="C207" s="23">
        <v>76.400000000000006</v>
      </c>
      <c r="D207" s="147">
        <v>6.29</v>
      </c>
      <c r="E207" s="22">
        <v>15.14</v>
      </c>
      <c r="F207" s="22">
        <v>21.43</v>
      </c>
      <c r="G207" s="22">
        <v>0</v>
      </c>
      <c r="H207" s="22">
        <v>2.74</v>
      </c>
      <c r="I207" s="22">
        <v>0.27</v>
      </c>
      <c r="J207" s="22">
        <v>0</v>
      </c>
      <c r="K207" s="22">
        <v>0</v>
      </c>
      <c r="L207" s="22">
        <v>0</v>
      </c>
      <c r="M207" s="388">
        <v>247.95000000000002</v>
      </c>
      <c r="N207" s="25">
        <v>0.59130000000000005</v>
      </c>
      <c r="O207" s="24">
        <v>252</v>
      </c>
      <c r="P207" s="24">
        <v>0</v>
      </c>
      <c r="Q207" s="24">
        <v>0</v>
      </c>
      <c r="R207" s="22">
        <v>0</v>
      </c>
      <c r="S207" s="24">
        <v>0</v>
      </c>
      <c r="T207" s="24">
        <f t="shared" si="12"/>
        <v>0</v>
      </c>
      <c r="U207" s="376">
        <v>146.61000000000001</v>
      </c>
      <c r="V207" s="376">
        <v>12.4</v>
      </c>
      <c r="W207" s="22">
        <f t="shared" si="13"/>
        <v>86.690493000000018</v>
      </c>
      <c r="X207" s="22">
        <f t="shared" si="14"/>
        <v>47.25</v>
      </c>
      <c r="Y207" s="22">
        <v>29.5</v>
      </c>
      <c r="Z207" s="22">
        <v>17.75</v>
      </c>
      <c r="AA207" s="371">
        <v>247.95</v>
      </c>
      <c r="AB207" s="22">
        <v>0.19056261343012704</v>
      </c>
      <c r="AC207" s="24">
        <v>5.5562613430127028E-2</v>
      </c>
      <c r="AD207" s="384">
        <v>-123509.77318057131</v>
      </c>
    </row>
    <row r="208" spans="1:30">
      <c r="A208" s="21" t="s">
        <v>379</v>
      </c>
      <c r="B208" s="21" t="s">
        <v>380</v>
      </c>
      <c r="C208" s="23">
        <v>2370.9699999999998</v>
      </c>
      <c r="D208" s="147">
        <v>82.41</v>
      </c>
      <c r="E208" s="22">
        <v>472.17</v>
      </c>
      <c r="F208" s="22">
        <v>554.58000000000004</v>
      </c>
      <c r="G208" s="22">
        <v>0</v>
      </c>
      <c r="H208" s="22">
        <v>355.14</v>
      </c>
      <c r="I208" s="22">
        <v>13.69</v>
      </c>
      <c r="J208" s="22">
        <v>177.01</v>
      </c>
      <c r="K208" s="22">
        <v>10.89</v>
      </c>
      <c r="L208" s="22">
        <v>3.27</v>
      </c>
      <c r="M208" s="388">
        <v>8612.32</v>
      </c>
      <c r="N208" s="25">
        <v>0.2082</v>
      </c>
      <c r="O208" s="24">
        <v>228</v>
      </c>
      <c r="P208" s="24">
        <v>197.75</v>
      </c>
      <c r="Q208" s="24">
        <v>138.5</v>
      </c>
      <c r="R208" s="22">
        <v>59.25</v>
      </c>
      <c r="S208" s="24">
        <v>34.5</v>
      </c>
      <c r="T208" s="24">
        <f t="shared" si="12"/>
        <v>232.25</v>
      </c>
      <c r="U208" s="376">
        <v>1793.09</v>
      </c>
      <c r="V208" s="376">
        <v>430.62</v>
      </c>
      <c r="W208" s="22">
        <f t="shared" si="13"/>
        <v>373.32133799999997</v>
      </c>
      <c r="X208" s="22">
        <f t="shared" si="14"/>
        <v>1107.5</v>
      </c>
      <c r="Y208" s="22">
        <v>722.25</v>
      </c>
      <c r="Z208" s="22">
        <v>385.25</v>
      </c>
      <c r="AA208" s="371">
        <v>8671.06</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120</v>
      </c>
      <c r="N209" s="25">
        <v>0.43359999999999999</v>
      </c>
      <c r="O209" s="24">
        <v>0</v>
      </c>
      <c r="P209" s="24">
        <v>8</v>
      </c>
      <c r="Q209" s="24">
        <v>5</v>
      </c>
      <c r="R209" s="22">
        <v>3</v>
      </c>
      <c r="S209" s="24">
        <v>0</v>
      </c>
      <c r="T209" s="24">
        <f t="shared" si="12"/>
        <v>8</v>
      </c>
      <c r="U209" s="376">
        <v>50.98</v>
      </c>
      <c r="V209" s="376">
        <v>0</v>
      </c>
      <c r="W209" s="22">
        <f t="shared" si="13"/>
        <v>22.104927999999997</v>
      </c>
      <c r="X209" s="22">
        <f t="shared" si="14"/>
        <v>16.2</v>
      </c>
      <c r="Y209" s="22">
        <v>16.2</v>
      </c>
      <c r="Z209" s="22">
        <v>0</v>
      </c>
      <c r="AA209" s="371">
        <v>120</v>
      </c>
      <c r="AB209" s="22">
        <v>0.13499999999999998</v>
      </c>
      <c r="AC209" s="24">
        <v>0</v>
      </c>
      <c r="AD209" s="384">
        <v>0</v>
      </c>
    </row>
    <row r="210" spans="1:30">
      <c r="A210" s="21" t="s">
        <v>321</v>
      </c>
      <c r="B210" s="21" t="s">
        <v>322</v>
      </c>
      <c r="C210" s="23">
        <v>297.57</v>
      </c>
      <c r="D210" s="147">
        <v>0</v>
      </c>
      <c r="E210" s="22">
        <v>0</v>
      </c>
      <c r="F210" s="22">
        <v>0</v>
      </c>
      <c r="G210" s="22">
        <v>0</v>
      </c>
      <c r="H210" s="22">
        <v>0</v>
      </c>
      <c r="I210" s="22">
        <v>0</v>
      </c>
      <c r="J210" s="22">
        <v>39.799999999999997</v>
      </c>
      <c r="K210" s="22">
        <v>0</v>
      </c>
      <c r="L210" s="22">
        <v>0</v>
      </c>
      <c r="M210" s="388">
        <v>689.6099999999999</v>
      </c>
      <c r="N210" s="25">
        <v>0.65090000000000003</v>
      </c>
      <c r="O210" s="24">
        <v>687</v>
      </c>
      <c r="P210" s="24">
        <v>31.75</v>
      </c>
      <c r="Q210" s="24">
        <v>18</v>
      </c>
      <c r="R210" s="22">
        <v>13.75</v>
      </c>
      <c r="S210" s="24">
        <v>4.5</v>
      </c>
      <c r="T210" s="24">
        <f t="shared" si="12"/>
        <v>36.25</v>
      </c>
      <c r="U210" s="376">
        <v>448.87</v>
      </c>
      <c r="V210" s="376">
        <v>34.479999999999997</v>
      </c>
      <c r="W210" s="22">
        <f t="shared" si="13"/>
        <v>292.16948300000001</v>
      </c>
      <c r="X210" s="22">
        <f t="shared" si="14"/>
        <v>99.5</v>
      </c>
      <c r="Y210" s="22">
        <v>88.25</v>
      </c>
      <c r="Z210" s="22">
        <v>11.25</v>
      </c>
      <c r="AA210" s="371">
        <v>689.6</v>
      </c>
      <c r="AB210" s="22">
        <v>0.14428654292343387</v>
      </c>
      <c r="AC210" s="24">
        <v>9.2865429234338659E-3</v>
      </c>
      <c r="AD210" s="384">
        <v>-57826.077145787633</v>
      </c>
    </row>
    <row r="211" spans="1:30">
      <c r="A211" s="21" t="s">
        <v>119</v>
      </c>
      <c r="B211" s="21" t="s">
        <v>120</v>
      </c>
      <c r="C211" s="23">
        <v>127.4</v>
      </c>
      <c r="D211" s="147">
        <v>13.18</v>
      </c>
      <c r="E211" s="22">
        <v>39.29</v>
      </c>
      <c r="F211" s="22">
        <v>52.47</v>
      </c>
      <c r="G211" s="22">
        <v>0</v>
      </c>
      <c r="H211" s="22">
        <v>1.22</v>
      </c>
      <c r="I211" s="22">
        <v>1.08</v>
      </c>
      <c r="J211" s="22">
        <v>0</v>
      </c>
      <c r="K211" s="22">
        <v>0</v>
      </c>
      <c r="L211" s="22">
        <v>0</v>
      </c>
      <c r="M211" s="388">
        <v>355.34000000000009</v>
      </c>
      <c r="N211" s="25">
        <v>0.51839999999999997</v>
      </c>
      <c r="O211" s="24">
        <v>360</v>
      </c>
      <c r="P211" s="24">
        <v>3</v>
      </c>
      <c r="Q211" s="24">
        <v>2</v>
      </c>
      <c r="R211" s="22">
        <v>1</v>
      </c>
      <c r="S211" s="24">
        <v>1</v>
      </c>
      <c r="T211" s="24">
        <f t="shared" si="12"/>
        <v>4</v>
      </c>
      <c r="U211" s="376">
        <v>184.21</v>
      </c>
      <c r="V211" s="376">
        <v>0</v>
      </c>
      <c r="W211" s="22">
        <f t="shared" si="13"/>
        <v>95.494463999999994</v>
      </c>
      <c r="X211" s="22">
        <f t="shared" si="14"/>
        <v>53.5</v>
      </c>
      <c r="Y211" s="22">
        <v>21</v>
      </c>
      <c r="Z211" s="22">
        <v>32.5</v>
      </c>
      <c r="AA211" s="371">
        <v>355.34</v>
      </c>
      <c r="AB211" s="22">
        <v>0.15056002701637869</v>
      </c>
      <c r="AC211" s="24">
        <v>1.556002701637868E-2</v>
      </c>
      <c r="AD211" s="384">
        <v>-50141.087657640157</v>
      </c>
    </row>
    <row r="212" spans="1:30">
      <c r="A212" s="21" t="s">
        <v>43</v>
      </c>
      <c r="B212" s="21" t="s">
        <v>44</v>
      </c>
      <c r="C212" s="23">
        <v>969.89</v>
      </c>
      <c r="D212" s="147">
        <v>72.28</v>
      </c>
      <c r="E212" s="22">
        <v>229.55</v>
      </c>
      <c r="F212" s="22">
        <v>301.83000000000004</v>
      </c>
      <c r="G212" s="22">
        <v>0</v>
      </c>
      <c r="H212" s="22">
        <v>96.37</v>
      </c>
      <c r="I212" s="22">
        <v>8.33</v>
      </c>
      <c r="J212" s="22">
        <v>359.36</v>
      </c>
      <c r="K212" s="22">
        <v>0</v>
      </c>
      <c r="L212" s="22">
        <v>0</v>
      </c>
      <c r="M212" s="388">
        <v>3493.54</v>
      </c>
      <c r="N212" s="25">
        <v>0.52559999999999996</v>
      </c>
      <c r="O212" s="24">
        <v>2180</v>
      </c>
      <c r="P212" s="24">
        <v>53.5</v>
      </c>
      <c r="Q212" s="24">
        <v>37</v>
      </c>
      <c r="R212" s="22">
        <v>16.5</v>
      </c>
      <c r="S212" s="24">
        <v>9.5</v>
      </c>
      <c r="T212" s="24">
        <f t="shared" si="12"/>
        <v>63</v>
      </c>
      <c r="U212" s="376">
        <v>1838.3</v>
      </c>
      <c r="V212" s="376">
        <v>174.68</v>
      </c>
      <c r="W212" s="22">
        <f t="shared" si="13"/>
        <v>966.21047999999985</v>
      </c>
      <c r="X212" s="22">
        <f t="shared" si="14"/>
        <v>550</v>
      </c>
      <c r="Y212" s="22">
        <v>398.75</v>
      </c>
      <c r="Z212" s="22">
        <v>151.25</v>
      </c>
      <c r="AA212" s="371">
        <v>3493.54</v>
      </c>
      <c r="AB212" s="22">
        <v>0.15743343428155968</v>
      </c>
      <c r="AC212" s="24">
        <v>2.2433434281559667E-2</v>
      </c>
      <c r="AD212" s="384">
        <v>-705320.93136839103</v>
      </c>
    </row>
    <row r="213" spans="1:30">
      <c r="A213" s="21" t="s">
        <v>181</v>
      </c>
      <c r="B213" s="21" t="s">
        <v>182</v>
      </c>
      <c r="C213" s="23">
        <v>268.24</v>
      </c>
      <c r="D213" s="147">
        <v>0</v>
      </c>
      <c r="E213" s="22">
        <v>54.97</v>
      </c>
      <c r="F213" s="22">
        <v>54.97</v>
      </c>
      <c r="G213" s="22">
        <v>0</v>
      </c>
      <c r="H213" s="22">
        <v>27.91</v>
      </c>
      <c r="I213" s="22">
        <v>2.3199999999999998</v>
      </c>
      <c r="J213" s="22">
        <v>135.22999999999999</v>
      </c>
      <c r="K213" s="22">
        <v>0</v>
      </c>
      <c r="L213" s="22">
        <v>0</v>
      </c>
      <c r="M213" s="388">
        <v>1178.02</v>
      </c>
      <c r="N213" s="25">
        <v>0.51739999999999997</v>
      </c>
      <c r="O213" s="24">
        <v>769</v>
      </c>
      <c r="P213" s="24">
        <v>36.25</v>
      </c>
      <c r="Q213" s="24">
        <v>22</v>
      </c>
      <c r="R213" s="22">
        <v>14.25</v>
      </c>
      <c r="S213" s="24">
        <v>2.25</v>
      </c>
      <c r="T213" s="24">
        <f t="shared" si="12"/>
        <v>38.5</v>
      </c>
      <c r="U213" s="376">
        <v>609.51</v>
      </c>
      <c r="V213" s="376">
        <v>58.9</v>
      </c>
      <c r="W213" s="22">
        <f t="shared" si="13"/>
        <v>315.36047399999995</v>
      </c>
      <c r="X213" s="22">
        <f t="shared" si="14"/>
        <v>141.75</v>
      </c>
      <c r="Y213" s="22">
        <v>101.75</v>
      </c>
      <c r="Z213" s="22">
        <v>40</v>
      </c>
      <c r="AA213" s="371">
        <v>1196.08</v>
      </c>
      <c r="AB213" s="22">
        <v>0.1185121396562103</v>
      </c>
      <c r="AC213" s="24">
        <v>0</v>
      </c>
      <c r="AD213" s="384">
        <v>0</v>
      </c>
    </row>
    <row r="214" spans="1:30">
      <c r="A214" s="21" t="s">
        <v>537</v>
      </c>
      <c r="B214" s="21" t="s">
        <v>538</v>
      </c>
      <c r="C214" s="23">
        <v>83.03</v>
      </c>
      <c r="D214" s="147">
        <v>0</v>
      </c>
      <c r="E214" s="22">
        <v>5.24</v>
      </c>
      <c r="F214" s="22">
        <v>5.24</v>
      </c>
      <c r="G214" s="22">
        <v>0</v>
      </c>
      <c r="H214" s="22">
        <v>1</v>
      </c>
      <c r="I214" s="22">
        <v>0</v>
      </c>
      <c r="J214" s="22">
        <v>0</v>
      </c>
      <c r="K214" s="22">
        <v>1</v>
      </c>
      <c r="L214" s="22">
        <v>0</v>
      </c>
      <c r="M214" s="388">
        <v>248.31</v>
      </c>
      <c r="N214" s="25">
        <v>0.93959999999999999</v>
      </c>
      <c r="O214" s="24">
        <v>232</v>
      </c>
      <c r="P214" s="24">
        <v>91</v>
      </c>
      <c r="Q214" s="24">
        <v>63.5</v>
      </c>
      <c r="R214" s="22">
        <v>27.5</v>
      </c>
      <c r="S214" s="24">
        <v>11</v>
      </c>
      <c r="T214" s="24">
        <f t="shared" si="12"/>
        <v>102</v>
      </c>
      <c r="U214" s="376">
        <v>233.31</v>
      </c>
      <c r="V214" s="376">
        <v>0</v>
      </c>
      <c r="W214" s="22">
        <f t="shared" si="13"/>
        <v>219.218076</v>
      </c>
      <c r="X214" s="22">
        <f t="shared" si="14"/>
        <v>35</v>
      </c>
      <c r="Y214" s="22">
        <v>25.75</v>
      </c>
      <c r="Z214" s="22">
        <v>9.25</v>
      </c>
      <c r="AA214" s="371">
        <v>248.31</v>
      </c>
      <c r="AB214" s="22">
        <v>0.14095284120655632</v>
      </c>
      <c r="AC214" s="24">
        <v>5.9528412065563141E-3</v>
      </c>
      <c r="AD214" s="384">
        <v>-13093.016402331308</v>
      </c>
    </row>
    <row r="215" spans="1:30">
      <c r="A215" s="21" t="s">
        <v>481</v>
      </c>
      <c r="B215" s="21" t="s">
        <v>482</v>
      </c>
      <c r="C215" s="23">
        <v>0</v>
      </c>
      <c r="D215" s="147">
        <v>0</v>
      </c>
      <c r="E215" s="22">
        <v>12.01</v>
      </c>
      <c r="F215" s="22">
        <v>12.01</v>
      </c>
      <c r="G215" s="22">
        <v>0</v>
      </c>
      <c r="H215" s="22">
        <v>12.71</v>
      </c>
      <c r="I215" s="22">
        <v>1</v>
      </c>
      <c r="J215" s="22">
        <v>0</v>
      </c>
      <c r="K215" s="22">
        <v>0</v>
      </c>
      <c r="L215" s="22">
        <v>0</v>
      </c>
      <c r="M215" s="388">
        <v>645.70000000000005</v>
      </c>
      <c r="N215" s="25">
        <v>0.58220000000000005</v>
      </c>
      <c r="O215" s="24">
        <v>663</v>
      </c>
      <c r="P215" s="24">
        <v>0</v>
      </c>
      <c r="Q215" s="24">
        <v>0</v>
      </c>
      <c r="R215" s="22">
        <v>0</v>
      </c>
      <c r="S215" s="24">
        <v>0</v>
      </c>
      <c r="T215" s="24">
        <f t="shared" si="12"/>
        <v>0</v>
      </c>
      <c r="U215" s="376">
        <v>375.93</v>
      </c>
      <c r="V215" s="376">
        <v>0</v>
      </c>
      <c r="W215" s="22">
        <f t="shared" si="13"/>
        <v>218.86644600000002</v>
      </c>
      <c r="X215" s="22">
        <f t="shared" si="14"/>
        <v>103.25</v>
      </c>
      <c r="Y215" s="22">
        <v>102.25</v>
      </c>
      <c r="Z215" s="22">
        <v>1</v>
      </c>
      <c r="AA215" s="371">
        <v>648.44000000000005</v>
      </c>
      <c r="AB215" s="22">
        <v>0.15922830177040279</v>
      </c>
      <c r="AC215" s="24">
        <v>2.4228301770402777E-2</v>
      </c>
      <c r="AD215" s="384">
        <v>-131073.44069497273</v>
      </c>
    </row>
    <row r="216" spans="1:30">
      <c r="A216" s="21" t="s">
        <v>25</v>
      </c>
      <c r="B216" s="21" t="s">
        <v>26</v>
      </c>
      <c r="C216" s="23">
        <v>627.26</v>
      </c>
      <c r="D216" s="147">
        <v>29.81</v>
      </c>
      <c r="E216" s="22">
        <v>229.08</v>
      </c>
      <c r="F216" s="22">
        <v>258.89</v>
      </c>
      <c r="G216" s="22">
        <v>0</v>
      </c>
      <c r="H216" s="22">
        <v>38.36</v>
      </c>
      <c r="I216" s="22">
        <v>2.69</v>
      </c>
      <c r="J216" s="22">
        <v>0</v>
      </c>
      <c r="K216" s="22">
        <v>12.6</v>
      </c>
      <c r="L216" s="22">
        <v>0</v>
      </c>
      <c r="M216" s="388">
        <v>2455.8000000000002</v>
      </c>
      <c r="N216" s="25">
        <v>0.71989999999999998</v>
      </c>
      <c r="O216" s="24">
        <v>2481</v>
      </c>
      <c r="P216" s="24">
        <v>586.75</v>
      </c>
      <c r="Q216" s="24">
        <v>378.25</v>
      </c>
      <c r="R216" s="22">
        <v>208.5</v>
      </c>
      <c r="S216" s="24">
        <v>71</v>
      </c>
      <c r="T216" s="24">
        <f t="shared" si="12"/>
        <v>657.75</v>
      </c>
      <c r="U216" s="376">
        <v>1767.19</v>
      </c>
      <c r="V216" s="376">
        <v>122.79</v>
      </c>
      <c r="W216" s="22">
        <f t="shared" si="13"/>
        <v>1272.200081</v>
      </c>
      <c r="X216" s="22">
        <f t="shared" si="14"/>
        <v>314.75</v>
      </c>
      <c r="Y216" s="22">
        <v>143.75</v>
      </c>
      <c r="Z216" s="22">
        <v>171</v>
      </c>
      <c r="AA216" s="371">
        <v>2475.6799999999998</v>
      </c>
      <c r="AB216" s="22">
        <v>0.12713678666063466</v>
      </c>
      <c r="AC216" s="24">
        <v>0</v>
      </c>
      <c r="AD216" s="384">
        <v>0</v>
      </c>
    </row>
    <row r="217" spans="1:30">
      <c r="A217" s="21" t="s">
        <v>1319</v>
      </c>
      <c r="B217" s="21" t="s">
        <v>1320</v>
      </c>
      <c r="C217" s="23">
        <v>52.2</v>
      </c>
      <c r="D217" s="147">
        <v>0</v>
      </c>
      <c r="E217" s="22">
        <v>0</v>
      </c>
      <c r="F217" s="22">
        <v>0</v>
      </c>
      <c r="G217" s="22">
        <v>0</v>
      </c>
      <c r="H217" s="22">
        <v>0</v>
      </c>
      <c r="I217" s="22">
        <v>0</v>
      </c>
      <c r="J217" s="22">
        <v>0</v>
      </c>
      <c r="K217" s="22">
        <v>0</v>
      </c>
      <c r="L217" s="22">
        <v>0</v>
      </c>
      <c r="M217" s="388">
        <v>77</v>
      </c>
      <c r="N217" s="25">
        <v>0.2278</v>
      </c>
      <c r="O217" s="24">
        <v>0</v>
      </c>
      <c r="P217" s="24">
        <v>3</v>
      </c>
      <c r="Q217" s="24">
        <v>3</v>
      </c>
      <c r="R217" s="22">
        <v>0</v>
      </c>
      <c r="S217" s="24">
        <v>0</v>
      </c>
      <c r="T217" s="24">
        <f t="shared" si="12"/>
        <v>3</v>
      </c>
      <c r="U217" s="376">
        <v>1.95</v>
      </c>
      <c r="V217" s="376">
        <v>0</v>
      </c>
      <c r="W217" s="22">
        <f t="shared" si="13"/>
        <v>0.44420999999999999</v>
      </c>
      <c r="X217" s="22">
        <f t="shared" si="14"/>
        <v>11.75</v>
      </c>
      <c r="Y217" s="22">
        <v>11.75</v>
      </c>
      <c r="Z217" s="22">
        <v>0</v>
      </c>
      <c r="AA217" s="371">
        <v>77</v>
      </c>
      <c r="AB217" s="22">
        <v>0.15259740259740259</v>
      </c>
      <c r="AC217" s="24">
        <v>1.7597402597402584E-2</v>
      </c>
      <c r="AD217" s="384">
        <v>-13100.960453416885</v>
      </c>
    </row>
    <row r="218" spans="1:30">
      <c r="A218" s="21" t="s">
        <v>561</v>
      </c>
      <c r="B218" s="21" t="s">
        <v>562</v>
      </c>
      <c r="C218" s="23">
        <v>779.01</v>
      </c>
      <c r="D218" s="147">
        <v>44.01</v>
      </c>
      <c r="E218" s="22">
        <v>131.38</v>
      </c>
      <c r="F218" s="22">
        <v>175.39</v>
      </c>
      <c r="G218" s="22">
        <v>0</v>
      </c>
      <c r="H218" s="22">
        <v>36.26</v>
      </c>
      <c r="I218" s="22">
        <v>0.6</v>
      </c>
      <c r="J218" s="22">
        <v>7.75</v>
      </c>
      <c r="K218" s="22">
        <v>0.8</v>
      </c>
      <c r="L218" s="22">
        <v>0</v>
      </c>
      <c r="M218" s="388">
        <v>2617.0100000000007</v>
      </c>
      <c r="N218" s="25">
        <v>0.3155</v>
      </c>
      <c r="O218" s="24">
        <v>0</v>
      </c>
      <c r="P218" s="24">
        <v>121.25</v>
      </c>
      <c r="Q218" s="24">
        <v>93.5</v>
      </c>
      <c r="R218" s="22">
        <v>27.75</v>
      </c>
      <c r="S218" s="24">
        <v>42.75</v>
      </c>
      <c r="T218" s="24">
        <f t="shared" si="12"/>
        <v>164</v>
      </c>
      <c r="U218" s="376">
        <v>825.67</v>
      </c>
      <c r="V218" s="376">
        <v>130.85</v>
      </c>
      <c r="W218" s="22">
        <f t="shared" si="13"/>
        <v>260.49888499999997</v>
      </c>
      <c r="X218" s="22">
        <f t="shared" si="14"/>
        <v>317</v>
      </c>
      <c r="Y218" s="22">
        <v>236.75</v>
      </c>
      <c r="Z218" s="22">
        <v>80.25</v>
      </c>
      <c r="AA218" s="371">
        <v>2617.1999999999998</v>
      </c>
      <c r="AB218" s="22">
        <v>0.1211218095674767</v>
      </c>
      <c r="AC218" s="24">
        <v>0</v>
      </c>
      <c r="AD218" s="384">
        <v>0</v>
      </c>
    </row>
    <row r="219" spans="1:30">
      <c r="A219" s="21" t="s">
        <v>363</v>
      </c>
      <c r="B219" s="21" t="s">
        <v>364</v>
      </c>
      <c r="C219" s="23">
        <v>6368.81</v>
      </c>
      <c r="D219" s="147">
        <v>359.2</v>
      </c>
      <c r="E219" s="22">
        <v>1267.8</v>
      </c>
      <c r="F219" s="22">
        <v>1627</v>
      </c>
      <c r="G219" s="22">
        <v>0</v>
      </c>
      <c r="H219" s="22">
        <v>626.98</v>
      </c>
      <c r="I219" s="22">
        <v>18.7</v>
      </c>
      <c r="J219" s="22">
        <v>740.55</v>
      </c>
      <c r="K219" s="22">
        <v>51.6</v>
      </c>
      <c r="L219" s="22">
        <v>0</v>
      </c>
      <c r="M219" s="388">
        <v>22317.139999999996</v>
      </c>
      <c r="N219" s="25">
        <v>0.39810000000000001</v>
      </c>
      <c r="O219" s="24">
        <v>1992</v>
      </c>
      <c r="P219" s="24">
        <v>1441.25</v>
      </c>
      <c r="Q219" s="24">
        <v>926.25</v>
      </c>
      <c r="R219" s="22">
        <v>515</v>
      </c>
      <c r="S219" s="24">
        <v>339.5</v>
      </c>
      <c r="T219" s="24">
        <f t="shared" si="12"/>
        <v>1780.75</v>
      </c>
      <c r="U219" s="376">
        <v>8884.4500000000007</v>
      </c>
      <c r="V219" s="376">
        <v>1115.8599999999999</v>
      </c>
      <c r="W219" s="22">
        <f t="shared" si="13"/>
        <v>3536.8995450000002</v>
      </c>
      <c r="X219" s="22">
        <f t="shared" si="14"/>
        <v>2490.5</v>
      </c>
      <c r="Y219" s="22">
        <v>1339.25</v>
      </c>
      <c r="Z219" s="22">
        <v>1151.25</v>
      </c>
      <c r="AA219" s="371">
        <v>22353.34</v>
      </c>
      <c r="AB219" s="22">
        <v>0.11141511738290565</v>
      </c>
      <c r="AC219" s="24">
        <v>0</v>
      </c>
      <c r="AD219" s="384">
        <v>0</v>
      </c>
    </row>
    <row r="220" spans="1:30">
      <c r="A220" s="21" t="s">
        <v>173</v>
      </c>
      <c r="B220" s="21" t="s">
        <v>174</v>
      </c>
      <c r="C220" s="23">
        <v>21</v>
      </c>
      <c r="D220" s="147">
        <v>0</v>
      </c>
      <c r="E220" s="22">
        <v>0</v>
      </c>
      <c r="F220" s="22">
        <v>0</v>
      </c>
      <c r="G220" s="22">
        <v>0</v>
      </c>
      <c r="H220" s="22">
        <v>0</v>
      </c>
      <c r="I220" s="22">
        <v>0</v>
      </c>
      <c r="J220" s="22">
        <v>0</v>
      </c>
      <c r="K220" s="22">
        <v>0</v>
      </c>
      <c r="L220" s="22">
        <v>0</v>
      </c>
      <c r="M220" s="388">
        <v>50.8</v>
      </c>
      <c r="N220" s="25">
        <v>1</v>
      </c>
      <c r="O220" s="24">
        <v>50</v>
      </c>
      <c r="P220" s="24">
        <v>0</v>
      </c>
      <c r="Q220" s="24">
        <v>0</v>
      </c>
      <c r="R220" s="22">
        <v>0</v>
      </c>
      <c r="S220" s="24">
        <v>0</v>
      </c>
      <c r="T220" s="24">
        <f t="shared" si="12"/>
        <v>0</v>
      </c>
      <c r="U220" s="376">
        <v>50.8</v>
      </c>
      <c r="V220" s="376">
        <v>0</v>
      </c>
      <c r="W220" s="22">
        <f t="shared" si="13"/>
        <v>50.8</v>
      </c>
      <c r="X220" s="22">
        <f t="shared" si="14"/>
        <v>8.75</v>
      </c>
      <c r="Y220" s="22">
        <v>0</v>
      </c>
      <c r="Z220" s="22">
        <v>8.75</v>
      </c>
      <c r="AA220" s="371">
        <v>50.8</v>
      </c>
      <c r="AB220" s="22">
        <v>0.17224409448818898</v>
      </c>
      <c r="AC220" s="24">
        <v>3.7244094488188967E-2</v>
      </c>
      <c r="AD220" s="384">
        <v>-16758.989514631372</v>
      </c>
    </row>
    <row r="221" spans="1:30">
      <c r="A221" s="21" t="s">
        <v>177</v>
      </c>
      <c r="B221" s="21" t="s">
        <v>178</v>
      </c>
      <c r="C221" s="23">
        <v>45.1</v>
      </c>
      <c r="D221" s="147">
        <v>0</v>
      </c>
      <c r="E221" s="22">
        <v>7.66</v>
      </c>
      <c r="F221" s="22">
        <v>7.66</v>
      </c>
      <c r="G221" s="22">
        <v>0</v>
      </c>
      <c r="H221" s="22">
        <v>4.34</v>
      </c>
      <c r="I221" s="22">
        <v>0</v>
      </c>
      <c r="J221" s="22">
        <v>436.06</v>
      </c>
      <c r="K221" s="22">
        <v>0</v>
      </c>
      <c r="L221" s="22">
        <v>0</v>
      </c>
      <c r="M221" s="388">
        <v>646.78</v>
      </c>
      <c r="N221" s="25">
        <v>0.31059999999999999</v>
      </c>
      <c r="O221" s="24">
        <v>0</v>
      </c>
      <c r="P221" s="24">
        <v>0</v>
      </c>
      <c r="Q221" s="24">
        <v>0</v>
      </c>
      <c r="R221" s="22">
        <v>0</v>
      </c>
      <c r="S221" s="24">
        <v>0</v>
      </c>
      <c r="T221" s="24">
        <f t="shared" si="12"/>
        <v>0</v>
      </c>
      <c r="U221" s="376">
        <v>201.34</v>
      </c>
      <c r="V221" s="376">
        <v>32.340000000000003</v>
      </c>
      <c r="W221" s="22">
        <f t="shared" si="13"/>
        <v>62.536203999999998</v>
      </c>
      <c r="X221" s="22">
        <f t="shared" si="14"/>
        <v>55.75</v>
      </c>
      <c r="Y221" s="22">
        <v>53</v>
      </c>
      <c r="Z221" s="22">
        <v>2.75</v>
      </c>
      <c r="AA221" s="371">
        <v>653.72</v>
      </c>
      <c r="AB221" s="22">
        <v>8.5281160129719147E-2</v>
      </c>
      <c r="AC221" s="24">
        <v>0</v>
      </c>
      <c r="AD221" s="384">
        <v>0</v>
      </c>
    </row>
    <row r="222" spans="1:30">
      <c r="A222" s="21" t="s">
        <v>53</v>
      </c>
      <c r="B222" s="21" t="s">
        <v>54</v>
      </c>
      <c r="C222" s="23">
        <v>30.4</v>
      </c>
      <c r="D222" s="147">
        <v>1.65</v>
      </c>
      <c r="E222" s="22">
        <v>8.7899999999999991</v>
      </c>
      <c r="F222" s="22">
        <v>10.44</v>
      </c>
      <c r="G222" s="22">
        <v>0</v>
      </c>
      <c r="H222" s="22">
        <v>0.33</v>
      </c>
      <c r="I222" s="22">
        <v>0</v>
      </c>
      <c r="J222" s="22">
        <v>0</v>
      </c>
      <c r="K222" s="22">
        <v>0</v>
      </c>
      <c r="L222" s="22">
        <v>0</v>
      </c>
      <c r="M222" s="388">
        <v>116.49</v>
      </c>
      <c r="N222" s="25">
        <v>0.93910000000000005</v>
      </c>
      <c r="O222" s="24">
        <v>115</v>
      </c>
      <c r="P222" s="24">
        <v>0</v>
      </c>
      <c r="Q222" s="24">
        <v>0</v>
      </c>
      <c r="R222" s="22">
        <v>0</v>
      </c>
      <c r="S222" s="24">
        <v>0</v>
      </c>
      <c r="T222" s="24">
        <f t="shared" si="12"/>
        <v>0</v>
      </c>
      <c r="U222" s="376">
        <v>109.4</v>
      </c>
      <c r="V222" s="376">
        <v>0</v>
      </c>
      <c r="W222" s="22">
        <f t="shared" si="13"/>
        <v>102.73754000000001</v>
      </c>
      <c r="X222" s="22">
        <f t="shared" si="14"/>
        <v>28.25</v>
      </c>
      <c r="Y222" s="22">
        <v>27</v>
      </c>
      <c r="Z222" s="22">
        <v>1.25</v>
      </c>
      <c r="AA222" s="371">
        <v>116.49</v>
      </c>
      <c r="AB222" s="22">
        <v>0.24251008670272128</v>
      </c>
      <c r="AC222" s="24">
        <v>0.10751008670272127</v>
      </c>
      <c r="AD222" s="384">
        <v>-109346.38863899252</v>
      </c>
    </row>
    <row r="223" spans="1:30">
      <c r="A223" s="21" t="s">
        <v>51</v>
      </c>
      <c r="B223" s="21" t="s">
        <v>52</v>
      </c>
      <c r="C223" s="23">
        <v>274.88</v>
      </c>
      <c r="D223" s="147">
        <v>13.1</v>
      </c>
      <c r="E223" s="22">
        <v>43.4</v>
      </c>
      <c r="F223" s="22">
        <v>56.5</v>
      </c>
      <c r="G223" s="22">
        <v>0</v>
      </c>
      <c r="H223" s="22">
        <v>82.68</v>
      </c>
      <c r="I223" s="22">
        <v>9.52</v>
      </c>
      <c r="J223" s="22">
        <v>2271.44</v>
      </c>
      <c r="K223" s="22">
        <v>6.8</v>
      </c>
      <c r="L223" s="22">
        <v>0</v>
      </c>
      <c r="M223" s="388">
        <v>3267.08</v>
      </c>
      <c r="N223" s="25">
        <v>0.63009999999999999</v>
      </c>
      <c r="O223" s="24">
        <v>3279</v>
      </c>
      <c r="P223" s="24">
        <v>231</v>
      </c>
      <c r="Q223" s="24">
        <v>119</v>
      </c>
      <c r="R223" s="22">
        <v>112</v>
      </c>
      <c r="S223" s="24">
        <v>31</v>
      </c>
      <c r="T223" s="24">
        <f t="shared" si="12"/>
        <v>262</v>
      </c>
      <c r="U223" s="376">
        <v>1736.78</v>
      </c>
      <c r="V223" s="376">
        <v>0</v>
      </c>
      <c r="W223" s="22">
        <f t="shared" si="13"/>
        <v>1094.3450780000001</v>
      </c>
      <c r="X223" s="22">
        <f t="shared" si="14"/>
        <v>565.75</v>
      </c>
      <c r="Y223" s="22">
        <v>502</v>
      </c>
      <c r="Z223" s="22">
        <v>63.75</v>
      </c>
      <c r="AA223" s="371">
        <v>3270.9</v>
      </c>
      <c r="AB223" s="22">
        <v>0.17296462747256106</v>
      </c>
      <c r="AC223" s="24">
        <v>3.7964627472561047E-2</v>
      </c>
      <c r="AD223" s="384">
        <v>-1047845.1594923758</v>
      </c>
    </row>
    <row r="224" spans="1:30">
      <c r="A224" s="21" t="s">
        <v>123</v>
      </c>
      <c r="B224" s="21" t="s">
        <v>124</v>
      </c>
      <c r="C224" s="23">
        <v>903.12</v>
      </c>
      <c r="D224" s="147">
        <v>51.71</v>
      </c>
      <c r="E224" s="22">
        <v>223.35</v>
      </c>
      <c r="F224" s="22">
        <v>275.06</v>
      </c>
      <c r="G224" s="22">
        <v>0</v>
      </c>
      <c r="H224" s="22">
        <v>50.26</v>
      </c>
      <c r="I224" s="22">
        <v>2.91</v>
      </c>
      <c r="J224" s="22">
        <v>58.04</v>
      </c>
      <c r="K224" s="22">
        <v>4.2</v>
      </c>
      <c r="L224" s="22">
        <v>0</v>
      </c>
      <c r="M224" s="388">
        <v>3144.2</v>
      </c>
      <c r="N224" s="25">
        <v>0.82869999999999999</v>
      </c>
      <c r="O224" s="24">
        <v>3125</v>
      </c>
      <c r="P224" s="24">
        <v>1196</v>
      </c>
      <c r="Q224" s="24">
        <v>762.75</v>
      </c>
      <c r="R224" s="22">
        <v>433.25</v>
      </c>
      <c r="S224" s="24">
        <v>243.25</v>
      </c>
      <c r="T224" s="24">
        <f t="shared" si="12"/>
        <v>1439.25</v>
      </c>
      <c r="U224" s="376">
        <v>2605.6</v>
      </c>
      <c r="V224" s="376">
        <v>157.21</v>
      </c>
      <c r="W224" s="22">
        <f t="shared" si="13"/>
        <v>2159.2607199999998</v>
      </c>
      <c r="X224" s="22">
        <f t="shared" si="14"/>
        <v>427</v>
      </c>
      <c r="Y224" s="22">
        <v>338</v>
      </c>
      <c r="Z224" s="22">
        <v>89</v>
      </c>
      <c r="AA224" s="371">
        <v>3149.58</v>
      </c>
      <c r="AB224" s="22">
        <v>0.13557363203982753</v>
      </c>
      <c r="AC224" s="24">
        <v>5.7363203982752076E-4</v>
      </c>
      <c r="AD224" s="384">
        <v>-15802.005895841872</v>
      </c>
    </row>
    <row r="225" spans="1:30">
      <c r="A225" s="21" t="s">
        <v>225</v>
      </c>
      <c r="B225" s="21" t="s">
        <v>226</v>
      </c>
      <c r="C225" s="23">
        <v>0</v>
      </c>
      <c r="D225" s="147">
        <v>0</v>
      </c>
      <c r="E225" s="22">
        <v>0</v>
      </c>
      <c r="F225" s="22">
        <v>0</v>
      </c>
      <c r="G225" s="22">
        <v>0</v>
      </c>
      <c r="H225" s="22">
        <v>0</v>
      </c>
      <c r="I225" s="22">
        <v>0</v>
      </c>
      <c r="J225" s="22">
        <v>0</v>
      </c>
      <c r="K225" s="22">
        <v>0</v>
      </c>
      <c r="L225" s="22">
        <v>0</v>
      </c>
      <c r="M225" s="388">
        <v>329</v>
      </c>
      <c r="N225" s="25">
        <v>0.76190000000000002</v>
      </c>
      <c r="O225" s="24">
        <v>336</v>
      </c>
      <c r="P225" s="24">
        <v>96.75</v>
      </c>
      <c r="Q225" s="24">
        <v>54.75</v>
      </c>
      <c r="R225" s="22">
        <v>42</v>
      </c>
      <c r="S225" s="24">
        <v>21</v>
      </c>
      <c r="T225" s="24">
        <f t="shared" si="12"/>
        <v>117.75</v>
      </c>
      <c r="U225" s="376">
        <v>250.67</v>
      </c>
      <c r="V225" s="376">
        <v>0</v>
      </c>
      <c r="W225" s="22">
        <f t="shared" si="13"/>
        <v>190.98547299999998</v>
      </c>
      <c r="X225" s="22">
        <f t="shared" si="14"/>
        <v>24.75</v>
      </c>
      <c r="Y225" s="22">
        <v>24.75</v>
      </c>
      <c r="Z225" s="22">
        <v>0</v>
      </c>
      <c r="AA225" s="371">
        <v>329</v>
      </c>
      <c r="AB225" s="22">
        <v>7.522796352583587E-2</v>
      </c>
      <c r="AC225" s="24">
        <v>0</v>
      </c>
      <c r="AD225" s="384">
        <v>0</v>
      </c>
    </row>
    <row r="226" spans="1:30">
      <c r="A226" s="21" t="s">
        <v>515</v>
      </c>
      <c r="B226" s="21" t="s">
        <v>516</v>
      </c>
      <c r="C226" s="23">
        <v>284.02</v>
      </c>
      <c r="D226" s="147">
        <v>14.94</v>
      </c>
      <c r="E226" s="22">
        <v>63.58</v>
      </c>
      <c r="F226" s="22">
        <v>78.52</v>
      </c>
      <c r="G226" s="22">
        <v>0</v>
      </c>
      <c r="H226" s="22">
        <v>17.89</v>
      </c>
      <c r="I226" s="22">
        <v>1.35</v>
      </c>
      <c r="J226" s="22">
        <v>0</v>
      </c>
      <c r="K226" s="22">
        <v>4.4000000000000004</v>
      </c>
      <c r="L226" s="22">
        <v>0</v>
      </c>
      <c r="M226" s="388">
        <v>886.79</v>
      </c>
      <c r="N226" s="25">
        <v>0.4415</v>
      </c>
      <c r="O226" s="24">
        <v>0</v>
      </c>
      <c r="P226" s="24">
        <v>0</v>
      </c>
      <c r="Q226" s="24">
        <v>0</v>
      </c>
      <c r="R226" s="22">
        <v>0</v>
      </c>
      <c r="S226" s="24">
        <v>0</v>
      </c>
      <c r="T226" s="24">
        <f t="shared" si="12"/>
        <v>0</v>
      </c>
      <c r="U226" s="376">
        <v>391.52</v>
      </c>
      <c r="V226" s="376">
        <v>44.34</v>
      </c>
      <c r="W226" s="22">
        <f t="shared" si="13"/>
        <v>172.85607999999999</v>
      </c>
      <c r="X226" s="22">
        <f t="shared" si="14"/>
        <v>126.75</v>
      </c>
      <c r="Y226" s="22">
        <v>88</v>
      </c>
      <c r="Z226" s="22">
        <v>38.75</v>
      </c>
      <c r="AA226" s="371">
        <v>886.79</v>
      </c>
      <c r="AB226" s="22">
        <v>0.14293124640557517</v>
      </c>
      <c r="AC226" s="24">
        <v>7.9312464055751597E-3</v>
      </c>
      <c r="AD226" s="384">
        <v>-61968.069276755661</v>
      </c>
    </row>
    <row r="227" spans="1:30">
      <c r="A227" s="21" t="s">
        <v>345</v>
      </c>
      <c r="B227" s="21" t="s">
        <v>346</v>
      </c>
      <c r="C227" s="23">
        <v>145.25</v>
      </c>
      <c r="D227" s="147">
        <v>0</v>
      </c>
      <c r="E227" s="22">
        <v>38.950000000000003</v>
      </c>
      <c r="F227" s="22">
        <v>38.950000000000003</v>
      </c>
      <c r="G227" s="22">
        <v>0</v>
      </c>
      <c r="H227" s="22">
        <v>19.68</v>
      </c>
      <c r="I227" s="22">
        <v>0.17</v>
      </c>
      <c r="J227" s="22">
        <v>2</v>
      </c>
      <c r="K227" s="22">
        <v>2</v>
      </c>
      <c r="L227" s="22">
        <v>0</v>
      </c>
      <c r="M227" s="388">
        <v>522.98</v>
      </c>
      <c r="N227" s="25">
        <v>0.70309999999999995</v>
      </c>
      <c r="O227" s="24">
        <v>522</v>
      </c>
      <c r="P227" s="24">
        <v>61.5</v>
      </c>
      <c r="Q227" s="24">
        <v>37.25</v>
      </c>
      <c r="R227" s="22">
        <v>24.25</v>
      </c>
      <c r="S227" s="24">
        <v>9</v>
      </c>
      <c r="T227" s="24">
        <f t="shared" si="12"/>
        <v>70.5</v>
      </c>
      <c r="U227" s="376">
        <v>367.71</v>
      </c>
      <c r="V227" s="376">
        <v>26.15</v>
      </c>
      <c r="W227" s="22">
        <f t="shared" si="13"/>
        <v>258.53690099999994</v>
      </c>
      <c r="X227" s="22">
        <f t="shared" si="14"/>
        <v>81.5</v>
      </c>
      <c r="Y227" s="22">
        <v>50.5</v>
      </c>
      <c r="Z227" s="22">
        <v>31</v>
      </c>
      <c r="AA227" s="371">
        <v>522.97</v>
      </c>
      <c r="AB227" s="22">
        <v>0.15584067919765951</v>
      </c>
      <c r="AC227" s="24">
        <v>2.0840679197659501E-2</v>
      </c>
      <c r="AD227" s="384">
        <v>-95055.150274777392</v>
      </c>
    </row>
    <row r="228" spans="1:30">
      <c r="A228" s="21" t="s">
        <v>299</v>
      </c>
      <c r="B228" s="21" t="s">
        <v>300</v>
      </c>
      <c r="C228" s="23">
        <v>207.3</v>
      </c>
      <c r="D228" s="147">
        <v>10.23</v>
      </c>
      <c r="E228" s="22">
        <v>50.04</v>
      </c>
      <c r="F228" s="22">
        <v>60.269999999999996</v>
      </c>
      <c r="G228" s="22">
        <v>0</v>
      </c>
      <c r="H228" s="22">
        <v>13.68</v>
      </c>
      <c r="I228" s="22">
        <v>0.05</v>
      </c>
      <c r="J228" s="22">
        <v>27.4</v>
      </c>
      <c r="K228" s="22">
        <v>0</v>
      </c>
      <c r="L228" s="22">
        <v>0</v>
      </c>
      <c r="M228" s="388">
        <v>720.36999999999989</v>
      </c>
      <c r="N228" s="25">
        <v>0.46189999999999998</v>
      </c>
      <c r="O228" s="24">
        <v>0</v>
      </c>
      <c r="P228" s="24">
        <v>6</v>
      </c>
      <c r="Q228" s="24">
        <v>5.75</v>
      </c>
      <c r="R228" s="22">
        <v>0.25</v>
      </c>
      <c r="S228" s="24">
        <v>4.75</v>
      </c>
      <c r="T228" s="24">
        <f t="shared" si="12"/>
        <v>10.75</v>
      </c>
      <c r="U228" s="376">
        <v>321.72000000000003</v>
      </c>
      <c r="V228" s="376">
        <v>0</v>
      </c>
      <c r="W228" s="22">
        <f t="shared" si="13"/>
        <v>148.60246800000002</v>
      </c>
      <c r="X228" s="22">
        <f t="shared" si="14"/>
        <v>78.75</v>
      </c>
      <c r="Y228" s="22">
        <v>45.75</v>
      </c>
      <c r="Z228" s="22">
        <v>33</v>
      </c>
      <c r="AA228" s="371">
        <v>720.37</v>
      </c>
      <c r="AB228" s="22">
        <v>0.10931882227188806</v>
      </c>
      <c r="AC228" s="24">
        <v>0</v>
      </c>
      <c r="AD228" s="384">
        <v>0</v>
      </c>
    </row>
    <row r="229" spans="1:30">
      <c r="A229" s="21" t="s">
        <v>195</v>
      </c>
      <c r="B229" s="21" t="s">
        <v>196</v>
      </c>
      <c r="C229" s="23">
        <v>4501.8599999999997</v>
      </c>
      <c r="D229" s="147">
        <v>190.06</v>
      </c>
      <c r="E229" s="22">
        <v>1252.92</v>
      </c>
      <c r="F229" s="22">
        <v>1442.98</v>
      </c>
      <c r="G229" s="22">
        <v>0</v>
      </c>
      <c r="H229" s="22">
        <v>413.14</v>
      </c>
      <c r="I229" s="22">
        <v>39.92</v>
      </c>
      <c r="J229" s="22">
        <v>540.91000000000008</v>
      </c>
      <c r="K229" s="22">
        <v>12.99</v>
      </c>
      <c r="L229" s="22">
        <v>0</v>
      </c>
      <c r="M229" s="388">
        <v>14798.939999999999</v>
      </c>
      <c r="N229" s="25">
        <v>0.53410000000000002</v>
      </c>
      <c r="O229" s="24">
        <v>7369</v>
      </c>
      <c r="P229" s="24">
        <v>3034</v>
      </c>
      <c r="Q229" s="24">
        <v>2059.25</v>
      </c>
      <c r="R229" s="22">
        <v>974.75</v>
      </c>
      <c r="S229" s="24">
        <v>459</v>
      </c>
      <c r="T229" s="24">
        <f t="shared" si="12"/>
        <v>3493</v>
      </c>
      <c r="U229" s="376">
        <v>7904.11</v>
      </c>
      <c r="V229" s="376">
        <v>739.95</v>
      </c>
      <c r="W229" s="22">
        <f t="shared" si="13"/>
        <v>4221.5851510000002</v>
      </c>
      <c r="X229" s="22">
        <f t="shared" si="14"/>
        <v>1961.75</v>
      </c>
      <c r="Y229" s="22">
        <v>1012.75</v>
      </c>
      <c r="Z229" s="22">
        <v>949</v>
      </c>
      <c r="AA229" s="371">
        <v>14860.81</v>
      </c>
      <c r="AB229" s="22">
        <v>0.13200828218650262</v>
      </c>
      <c r="AC229" s="24">
        <v>0</v>
      </c>
      <c r="AD229" s="384">
        <v>0</v>
      </c>
    </row>
    <row r="230" spans="1:30">
      <c r="A230" s="21" t="s">
        <v>109</v>
      </c>
      <c r="B230" s="21" t="s">
        <v>110</v>
      </c>
      <c r="C230" s="23">
        <v>81.400000000000006</v>
      </c>
      <c r="D230" s="147">
        <v>0</v>
      </c>
      <c r="E230" s="22">
        <v>12.1</v>
      </c>
      <c r="F230" s="22">
        <v>12.1</v>
      </c>
      <c r="G230" s="22">
        <v>0</v>
      </c>
      <c r="H230" s="22">
        <v>9.91</v>
      </c>
      <c r="I230" s="22">
        <v>0.7</v>
      </c>
      <c r="J230" s="22">
        <v>59.230000000000004</v>
      </c>
      <c r="K230" s="22">
        <v>0</v>
      </c>
      <c r="L230" s="22">
        <v>0</v>
      </c>
      <c r="M230" s="388">
        <v>364.34000000000003</v>
      </c>
      <c r="N230" s="25">
        <v>0.7147</v>
      </c>
      <c r="O230" s="24">
        <v>299</v>
      </c>
      <c r="P230" s="24">
        <v>0</v>
      </c>
      <c r="Q230" s="24">
        <v>0</v>
      </c>
      <c r="R230" s="22">
        <v>0</v>
      </c>
      <c r="S230" s="24">
        <v>0</v>
      </c>
      <c r="T230" s="24">
        <f t="shared" si="12"/>
        <v>0</v>
      </c>
      <c r="U230" s="376">
        <v>260.69</v>
      </c>
      <c r="V230" s="376">
        <v>18.22</v>
      </c>
      <c r="W230" s="22">
        <f t="shared" si="13"/>
        <v>186.31514300000001</v>
      </c>
      <c r="X230" s="22">
        <f t="shared" si="14"/>
        <v>60.25</v>
      </c>
      <c r="Y230" s="22">
        <v>48.25</v>
      </c>
      <c r="Z230" s="22">
        <v>12</v>
      </c>
      <c r="AA230" s="371">
        <v>364.34</v>
      </c>
      <c r="AB230" s="22">
        <v>0.1653675138606796</v>
      </c>
      <c r="AC230" s="24">
        <v>3.0367513860679596E-2</v>
      </c>
      <c r="AD230" s="384">
        <v>-97601.465647600096</v>
      </c>
    </row>
    <row r="231" spans="1:30">
      <c r="A231" s="21" t="s">
        <v>27</v>
      </c>
      <c r="B231" s="21" t="s">
        <v>28</v>
      </c>
      <c r="C231" s="23">
        <v>3460.81</v>
      </c>
      <c r="D231" s="147">
        <v>76.97</v>
      </c>
      <c r="E231" s="22">
        <v>667.34</v>
      </c>
      <c r="F231" s="22">
        <v>744.31000000000006</v>
      </c>
      <c r="G231" s="22">
        <v>0</v>
      </c>
      <c r="H231" s="22">
        <v>184.6</v>
      </c>
      <c r="I231" s="22">
        <v>19.96</v>
      </c>
      <c r="J231" s="22">
        <v>1146.56</v>
      </c>
      <c r="K231" s="22">
        <v>51.29</v>
      </c>
      <c r="L231" s="22">
        <v>0</v>
      </c>
      <c r="M231" s="388">
        <v>13424.679999999998</v>
      </c>
      <c r="N231" s="25">
        <v>0.38919999999999999</v>
      </c>
      <c r="O231" s="24">
        <v>2483</v>
      </c>
      <c r="P231" s="24">
        <v>791.5</v>
      </c>
      <c r="Q231" s="24">
        <v>491.5</v>
      </c>
      <c r="R231" s="22">
        <v>300</v>
      </c>
      <c r="S231" s="24">
        <v>126.5</v>
      </c>
      <c r="T231" s="24">
        <f t="shared" si="12"/>
        <v>918</v>
      </c>
      <c r="U231" s="376">
        <v>5224.8900000000003</v>
      </c>
      <c r="V231" s="376">
        <v>671.23</v>
      </c>
      <c r="W231" s="22">
        <f t="shared" si="13"/>
        <v>2033.527188</v>
      </c>
      <c r="X231" s="22">
        <f t="shared" si="14"/>
        <v>1602.75</v>
      </c>
      <c r="Y231" s="22">
        <v>991.75</v>
      </c>
      <c r="Z231" s="22">
        <v>611</v>
      </c>
      <c r="AA231" s="371">
        <v>13504.03</v>
      </c>
      <c r="AB231" s="22">
        <v>0.11868679201690162</v>
      </c>
      <c r="AC231" s="24">
        <v>0</v>
      </c>
      <c r="AD231" s="384">
        <v>0</v>
      </c>
    </row>
    <row r="232" spans="1:30">
      <c r="A232" s="21" t="s">
        <v>71</v>
      </c>
      <c r="B232" s="21" t="s">
        <v>72</v>
      </c>
      <c r="C232" s="23">
        <v>1088.92</v>
      </c>
      <c r="D232" s="147">
        <v>68.81</v>
      </c>
      <c r="E232" s="22">
        <v>197.23</v>
      </c>
      <c r="F232" s="22">
        <v>266.03999999999996</v>
      </c>
      <c r="G232" s="22">
        <v>0</v>
      </c>
      <c r="H232" s="22">
        <v>48.4</v>
      </c>
      <c r="I232" s="22">
        <v>0.25</v>
      </c>
      <c r="J232" s="22">
        <v>155.03</v>
      </c>
      <c r="K232" s="22">
        <v>3.4</v>
      </c>
      <c r="L232" s="22">
        <v>0</v>
      </c>
      <c r="M232" s="388">
        <v>3724.7400000000002</v>
      </c>
      <c r="N232" s="25">
        <v>0.2389</v>
      </c>
      <c r="O232" s="24">
        <v>0</v>
      </c>
      <c r="P232" s="24">
        <v>115.25</v>
      </c>
      <c r="Q232" s="24">
        <v>85.5</v>
      </c>
      <c r="R232" s="22">
        <v>29.75</v>
      </c>
      <c r="S232" s="24">
        <v>27.25</v>
      </c>
      <c r="T232" s="24">
        <f t="shared" si="12"/>
        <v>142.5</v>
      </c>
      <c r="U232" s="376">
        <v>890.21</v>
      </c>
      <c r="V232" s="376">
        <v>186.24</v>
      </c>
      <c r="W232" s="22">
        <f t="shared" si="13"/>
        <v>212.67116900000002</v>
      </c>
      <c r="X232" s="22">
        <f t="shared" si="14"/>
        <v>394.25</v>
      </c>
      <c r="Y232" s="22">
        <v>291.25</v>
      </c>
      <c r="Z232" s="22">
        <v>103</v>
      </c>
      <c r="AA232" s="371">
        <v>3755.83</v>
      </c>
      <c r="AB232" s="22">
        <v>0.10497013975605925</v>
      </c>
      <c r="AC232" s="24">
        <v>0</v>
      </c>
      <c r="AD232" s="384">
        <v>0</v>
      </c>
    </row>
    <row r="233" spans="1:30">
      <c r="A233" s="21" t="s">
        <v>11</v>
      </c>
      <c r="B233" s="21" t="s">
        <v>12</v>
      </c>
      <c r="C233" s="23">
        <v>95.9</v>
      </c>
      <c r="D233" s="147">
        <v>9.07</v>
      </c>
      <c r="E233" s="22">
        <v>21.78</v>
      </c>
      <c r="F233" s="22">
        <v>30.85</v>
      </c>
      <c r="G233" s="22">
        <v>0</v>
      </c>
      <c r="H233" s="22">
        <v>1.7</v>
      </c>
      <c r="I233" s="22">
        <v>0</v>
      </c>
      <c r="J233" s="22">
        <v>30.200000000000003</v>
      </c>
      <c r="K233" s="22">
        <v>0</v>
      </c>
      <c r="L233" s="22">
        <v>0</v>
      </c>
      <c r="M233" s="388">
        <v>356.94</v>
      </c>
      <c r="N233" s="25">
        <v>0.46010000000000001</v>
      </c>
      <c r="O233" s="24">
        <v>169</v>
      </c>
      <c r="P233" s="24">
        <v>0</v>
      </c>
      <c r="Q233" s="24">
        <v>0</v>
      </c>
      <c r="R233" s="22">
        <v>0</v>
      </c>
      <c r="S233" s="24">
        <v>0</v>
      </c>
      <c r="T233" s="24">
        <f t="shared" si="12"/>
        <v>0</v>
      </c>
      <c r="U233" s="376">
        <v>163.69</v>
      </c>
      <c r="V233" s="376">
        <v>0</v>
      </c>
      <c r="W233" s="22">
        <f t="shared" si="13"/>
        <v>75.313768999999994</v>
      </c>
      <c r="X233" s="22">
        <f t="shared" si="14"/>
        <v>29.5</v>
      </c>
      <c r="Y233" s="22">
        <v>23.75</v>
      </c>
      <c r="Z233" s="22">
        <v>5.75</v>
      </c>
      <c r="AA233" s="371">
        <v>356.94</v>
      </c>
      <c r="AB233" s="22">
        <v>8.2646943463887484E-2</v>
      </c>
      <c r="AC233" s="24">
        <v>0</v>
      </c>
      <c r="AD233" s="384">
        <v>0</v>
      </c>
    </row>
    <row r="234" spans="1:30">
      <c r="A234" s="21" t="s">
        <v>477</v>
      </c>
      <c r="B234" s="21" t="s">
        <v>478</v>
      </c>
      <c r="C234" s="23">
        <v>374.77</v>
      </c>
      <c r="D234" s="147">
        <v>54.07</v>
      </c>
      <c r="E234" s="22">
        <v>115.25</v>
      </c>
      <c r="F234" s="22">
        <v>169.32</v>
      </c>
      <c r="G234" s="22">
        <v>0</v>
      </c>
      <c r="H234" s="22">
        <v>18.899999999999999</v>
      </c>
      <c r="I234" s="22">
        <v>3.9</v>
      </c>
      <c r="J234" s="22">
        <v>142.76</v>
      </c>
      <c r="K234" s="22">
        <v>4.8</v>
      </c>
      <c r="L234" s="22">
        <v>0</v>
      </c>
      <c r="M234" s="388">
        <v>1440.6000000000001</v>
      </c>
      <c r="N234" s="25">
        <v>0.50660000000000005</v>
      </c>
      <c r="O234" s="24">
        <v>378</v>
      </c>
      <c r="P234" s="24">
        <v>18.75</v>
      </c>
      <c r="Q234" s="24">
        <v>16.25</v>
      </c>
      <c r="R234" s="22">
        <v>2.5</v>
      </c>
      <c r="S234" s="24">
        <v>0.75</v>
      </c>
      <c r="T234" s="24">
        <f t="shared" si="12"/>
        <v>19.5</v>
      </c>
      <c r="U234" s="376">
        <v>729.81</v>
      </c>
      <c r="V234" s="376">
        <v>72.03</v>
      </c>
      <c r="W234" s="22">
        <f t="shared" si="13"/>
        <v>369.721746</v>
      </c>
      <c r="X234" s="22">
        <f t="shared" si="14"/>
        <v>192.25</v>
      </c>
      <c r="Y234" s="22">
        <v>134</v>
      </c>
      <c r="Z234" s="22">
        <v>58.25</v>
      </c>
      <c r="AA234" s="371">
        <v>1453.6</v>
      </c>
      <c r="AB234" s="22">
        <v>0.1322578425976885</v>
      </c>
      <c r="AC234" s="24">
        <v>0</v>
      </c>
      <c r="AD234" s="384">
        <v>0</v>
      </c>
    </row>
    <row r="235" spans="1:30">
      <c r="A235" s="21" t="s">
        <v>203</v>
      </c>
      <c r="B235" s="21" t="s">
        <v>204</v>
      </c>
      <c r="C235" s="23">
        <v>836.47</v>
      </c>
      <c r="D235" s="147">
        <v>31.78</v>
      </c>
      <c r="E235" s="22">
        <v>158.94</v>
      </c>
      <c r="F235" s="22">
        <v>190.72</v>
      </c>
      <c r="G235" s="22">
        <v>0</v>
      </c>
      <c r="H235" s="22">
        <v>71.19</v>
      </c>
      <c r="I235" s="22">
        <v>5.53</v>
      </c>
      <c r="J235" s="22">
        <v>189.19</v>
      </c>
      <c r="K235" s="22">
        <v>0</v>
      </c>
      <c r="L235" s="22">
        <v>0</v>
      </c>
      <c r="M235" s="388">
        <v>3012.01</v>
      </c>
      <c r="N235" s="25">
        <v>0.1303</v>
      </c>
      <c r="O235" s="24">
        <v>0</v>
      </c>
      <c r="P235" s="24">
        <v>193.75</v>
      </c>
      <c r="Q235" s="24">
        <v>144</v>
      </c>
      <c r="R235" s="22">
        <v>49.75</v>
      </c>
      <c r="S235" s="24">
        <v>48.25</v>
      </c>
      <c r="T235" s="24">
        <f t="shared" si="12"/>
        <v>242</v>
      </c>
      <c r="U235" s="376">
        <v>392.46</v>
      </c>
      <c r="V235" s="376">
        <v>150.6</v>
      </c>
      <c r="W235" s="22">
        <f t="shared" si="13"/>
        <v>51.137537999999999</v>
      </c>
      <c r="X235" s="22">
        <f t="shared" si="14"/>
        <v>313.5</v>
      </c>
      <c r="Y235" s="22">
        <v>238</v>
      </c>
      <c r="Z235" s="22">
        <v>75.5</v>
      </c>
      <c r="AA235" s="371">
        <v>3036.45</v>
      </c>
      <c r="AB235" s="22">
        <v>0.10324556636862126</v>
      </c>
      <c r="AC235" s="24">
        <v>0</v>
      </c>
      <c r="AD235" s="384">
        <v>0</v>
      </c>
    </row>
    <row r="236" spans="1:30">
      <c r="A236" s="21" t="s">
        <v>519</v>
      </c>
      <c r="B236" s="21" t="s">
        <v>520</v>
      </c>
      <c r="C236" s="23">
        <v>653.63</v>
      </c>
      <c r="D236" s="147">
        <v>0</v>
      </c>
      <c r="E236" s="22">
        <v>109.39</v>
      </c>
      <c r="F236" s="22">
        <v>109.39</v>
      </c>
      <c r="G236" s="22">
        <v>0</v>
      </c>
      <c r="H236" s="22">
        <v>55.12</v>
      </c>
      <c r="I236" s="22">
        <v>5.73</v>
      </c>
      <c r="J236" s="22">
        <v>29</v>
      </c>
      <c r="K236" s="22">
        <v>8.6</v>
      </c>
      <c r="L236" s="22">
        <v>0</v>
      </c>
      <c r="M236" s="388">
        <v>2084.5599999999995</v>
      </c>
      <c r="N236" s="25">
        <v>0.51419999999999999</v>
      </c>
      <c r="O236" s="24">
        <v>1457</v>
      </c>
      <c r="P236" s="24">
        <v>203</v>
      </c>
      <c r="Q236" s="24">
        <v>140.5</v>
      </c>
      <c r="R236" s="22">
        <v>62.5</v>
      </c>
      <c r="S236" s="24">
        <v>22.5</v>
      </c>
      <c r="T236" s="24">
        <f t="shared" si="12"/>
        <v>225.5</v>
      </c>
      <c r="U236" s="376">
        <v>1071.8800000000001</v>
      </c>
      <c r="V236" s="376">
        <v>104.23</v>
      </c>
      <c r="W236" s="22">
        <f t="shared" si="13"/>
        <v>551.16069600000003</v>
      </c>
      <c r="X236" s="22">
        <f t="shared" si="14"/>
        <v>272.5</v>
      </c>
      <c r="Y236" s="22">
        <v>176.5</v>
      </c>
      <c r="Z236" s="22">
        <v>96</v>
      </c>
      <c r="AA236" s="371">
        <v>2099.4699999999998</v>
      </c>
      <c r="AB236" s="22">
        <v>0.12979466246243102</v>
      </c>
      <c r="AC236" s="24">
        <v>0</v>
      </c>
      <c r="AD236" s="384">
        <v>0</v>
      </c>
    </row>
    <row r="237" spans="1:30">
      <c r="A237" s="21" t="s">
        <v>263</v>
      </c>
      <c r="B237" s="21" t="s">
        <v>264</v>
      </c>
      <c r="C237" s="23">
        <v>16</v>
      </c>
      <c r="D237" s="147">
        <v>0</v>
      </c>
      <c r="E237" s="22">
        <v>0</v>
      </c>
      <c r="F237" s="22">
        <v>0</v>
      </c>
      <c r="G237" s="22">
        <v>0</v>
      </c>
      <c r="H237" s="22">
        <v>0</v>
      </c>
      <c r="I237" s="22">
        <v>0</v>
      </c>
      <c r="J237" s="22">
        <v>0</v>
      </c>
      <c r="K237" s="22">
        <v>0</v>
      </c>
      <c r="L237" s="22">
        <v>0</v>
      </c>
      <c r="M237" s="388">
        <v>34.4</v>
      </c>
      <c r="N237" s="25">
        <v>0</v>
      </c>
      <c r="O237" s="24">
        <v>0</v>
      </c>
      <c r="P237" s="24">
        <v>0</v>
      </c>
      <c r="Q237" s="24">
        <v>0</v>
      </c>
      <c r="R237" s="22">
        <v>0</v>
      </c>
      <c r="S237" s="24">
        <v>0</v>
      </c>
      <c r="T237" s="24">
        <f t="shared" si="12"/>
        <v>0</v>
      </c>
      <c r="U237" s="376">
        <v>0</v>
      </c>
      <c r="V237" s="376">
        <v>0</v>
      </c>
      <c r="W237" s="22">
        <f t="shared" si="13"/>
        <v>0</v>
      </c>
      <c r="X237" s="22">
        <f t="shared" si="14"/>
        <v>5.25</v>
      </c>
      <c r="Y237" s="22">
        <v>4.25</v>
      </c>
      <c r="Z237" s="22">
        <v>1</v>
      </c>
      <c r="AA237" s="371">
        <v>34.4</v>
      </c>
      <c r="AB237" s="22">
        <v>0.15261627906976744</v>
      </c>
      <c r="AC237" s="24">
        <v>1.7616279069767427E-2</v>
      </c>
      <c r="AD237" s="384">
        <v>-5504.2515286147891</v>
      </c>
    </row>
    <row r="238" spans="1:30">
      <c r="A238" s="21" t="s">
        <v>575</v>
      </c>
      <c r="B238" s="21" t="s">
        <v>576</v>
      </c>
      <c r="C238" s="23">
        <v>46.6</v>
      </c>
      <c r="D238" s="147">
        <v>2.35</v>
      </c>
      <c r="E238" s="22">
        <v>5.3</v>
      </c>
      <c r="F238" s="22">
        <v>7.65</v>
      </c>
      <c r="G238" s="22">
        <v>0</v>
      </c>
      <c r="H238" s="22">
        <v>3.85</v>
      </c>
      <c r="I238" s="22">
        <v>0</v>
      </c>
      <c r="J238" s="22">
        <v>0</v>
      </c>
      <c r="K238" s="22">
        <v>0</v>
      </c>
      <c r="L238" s="22">
        <v>0</v>
      </c>
      <c r="M238" s="388">
        <v>153.38</v>
      </c>
      <c r="N238" s="25">
        <v>0.63690000000000002</v>
      </c>
      <c r="O238" s="24">
        <v>157</v>
      </c>
      <c r="P238" s="24">
        <v>0</v>
      </c>
      <c r="Q238" s="24">
        <v>0</v>
      </c>
      <c r="R238" s="22">
        <v>0</v>
      </c>
      <c r="S238" s="24">
        <v>0</v>
      </c>
      <c r="T238" s="24">
        <f t="shared" si="12"/>
        <v>0</v>
      </c>
      <c r="U238" s="376">
        <v>97.69</v>
      </c>
      <c r="V238" s="376">
        <v>0</v>
      </c>
      <c r="W238" s="22">
        <f t="shared" si="13"/>
        <v>62.218761000000001</v>
      </c>
      <c r="X238" s="22">
        <f t="shared" si="14"/>
        <v>18.25</v>
      </c>
      <c r="Y238" s="22">
        <v>14</v>
      </c>
      <c r="Z238" s="22">
        <v>4.25</v>
      </c>
      <c r="AA238" s="371">
        <v>153.38</v>
      </c>
      <c r="AB238" s="22">
        <v>0.11898552614421698</v>
      </c>
      <c r="AC238" s="24">
        <v>0</v>
      </c>
      <c r="AD238" s="384">
        <v>0</v>
      </c>
    </row>
    <row r="239" spans="1:30">
      <c r="A239" s="21" t="s">
        <v>131</v>
      </c>
      <c r="B239" s="21" t="s">
        <v>132</v>
      </c>
      <c r="C239" s="23">
        <v>496.8</v>
      </c>
      <c r="D239" s="147">
        <v>29.34</v>
      </c>
      <c r="E239" s="22">
        <v>89.68</v>
      </c>
      <c r="F239" s="22">
        <v>119.02000000000001</v>
      </c>
      <c r="G239" s="22">
        <v>0</v>
      </c>
      <c r="H239" s="22">
        <v>41.75</v>
      </c>
      <c r="I239" s="22">
        <v>1.98</v>
      </c>
      <c r="J239" s="22">
        <v>0</v>
      </c>
      <c r="K239" s="22">
        <v>6.6</v>
      </c>
      <c r="L239" s="22">
        <v>0</v>
      </c>
      <c r="M239" s="388">
        <v>1756.8799999999999</v>
      </c>
      <c r="N239" s="25">
        <v>0.78449999999999998</v>
      </c>
      <c r="O239" s="24">
        <v>1772</v>
      </c>
      <c r="P239" s="24">
        <v>749.75</v>
      </c>
      <c r="Q239" s="24">
        <v>458.25</v>
      </c>
      <c r="R239" s="22">
        <v>291.5</v>
      </c>
      <c r="S239" s="24">
        <v>135</v>
      </c>
      <c r="T239" s="24">
        <f t="shared" si="12"/>
        <v>884.75</v>
      </c>
      <c r="U239" s="376">
        <v>1378.27</v>
      </c>
      <c r="V239" s="376">
        <v>87.84</v>
      </c>
      <c r="W239" s="22">
        <f t="shared" si="13"/>
        <v>1081.2528150000001</v>
      </c>
      <c r="X239" s="22">
        <f t="shared" si="14"/>
        <v>238.25</v>
      </c>
      <c r="Y239" s="22">
        <v>142.75</v>
      </c>
      <c r="Z239" s="22">
        <v>95.5</v>
      </c>
      <c r="AA239" s="371">
        <v>1767.14</v>
      </c>
      <c r="AB239" s="22">
        <v>0.13482236834659392</v>
      </c>
      <c r="AC239" s="24">
        <v>0</v>
      </c>
      <c r="AD239" s="384">
        <v>0</v>
      </c>
    </row>
    <row r="240" spans="1:30">
      <c r="A240" s="21" t="s">
        <v>399</v>
      </c>
      <c r="B240" s="21" t="s">
        <v>400</v>
      </c>
      <c r="C240" s="23">
        <v>198.74</v>
      </c>
      <c r="D240" s="147">
        <v>0</v>
      </c>
      <c r="E240" s="22">
        <v>23.73</v>
      </c>
      <c r="F240" s="22">
        <v>23.73</v>
      </c>
      <c r="G240" s="22">
        <v>0</v>
      </c>
      <c r="H240" s="22">
        <v>6.44</v>
      </c>
      <c r="I240" s="22">
        <v>0.62</v>
      </c>
      <c r="J240" s="22">
        <v>37.19</v>
      </c>
      <c r="K240" s="22">
        <v>4.5999999999999996</v>
      </c>
      <c r="L240" s="22">
        <v>0</v>
      </c>
      <c r="M240" s="388">
        <v>777.83</v>
      </c>
      <c r="N240" s="25">
        <v>0.4</v>
      </c>
      <c r="O240" s="24">
        <v>0</v>
      </c>
      <c r="P240" s="24">
        <v>48.5</v>
      </c>
      <c r="Q240" s="24">
        <v>30.5</v>
      </c>
      <c r="R240" s="22">
        <v>18</v>
      </c>
      <c r="S240" s="24">
        <v>12.5</v>
      </c>
      <c r="T240" s="24">
        <f t="shared" si="12"/>
        <v>61</v>
      </c>
      <c r="U240" s="376">
        <v>311.13</v>
      </c>
      <c r="V240" s="376">
        <v>38.89</v>
      </c>
      <c r="W240" s="22">
        <f t="shared" si="13"/>
        <v>124.452</v>
      </c>
      <c r="X240" s="22">
        <f t="shared" si="14"/>
        <v>137.25</v>
      </c>
      <c r="Y240" s="22">
        <v>118</v>
      </c>
      <c r="Z240" s="22">
        <v>19.25</v>
      </c>
      <c r="AA240" s="371">
        <v>777.82</v>
      </c>
      <c r="AB240" s="22">
        <v>0.17645470674449101</v>
      </c>
      <c r="AC240" s="24">
        <v>4.1454706744491004E-2</v>
      </c>
      <c r="AD240" s="384">
        <v>-304927.4150999416</v>
      </c>
    </row>
    <row r="241" spans="1:30">
      <c r="A241" s="21" t="s">
        <v>159</v>
      </c>
      <c r="B241" s="21" t="s">
        <v>160</v>
      </c>
      <c r="C241" s="23">
        <v>30</v>
      </c>
      <c r="D241" s="147">
        <v>0</v>
      </c>
      <c r="E241" s="22">
        <v>0</v>
      </c>
      <c r="F241" s="22">
        <v>0</v>
      </c>
      <c r="G241" s="22">
        <v>0</v>
      </c>
      <c r="H241" s="22">
        <v>0</v>
      </c>
      <c r="I241" s="22">
        <v>0</v>
      </c>
      <c r="J241" s="22">
        <v>0</v>
      </c>
      <c r="K241" s="22">
        <v>0</v>
      </c>
      <c r="L241" s="22">
        <v>0</v>
      </c>
      <c r="M241" s="388">
        <v>54</v>
      </c>
      <c r="N241" s="25">
        <v>0.62960000000000005</v>
      </c>
      <c r="O241" s="24">
        <v>54</v>
      </c>
      <c r="P241" s="24">
        <v>0</v>
      </c>
      <c r="Q241" s="24">
        <v>0</v>
      </c>
      <c r="R241" s="22">
        <v>0</v>
      </c>
      <c r="S241" s="24">
        <v>0</v>
      </c>
      <c r="T241" s="24">
        <f t="shared" si="12"/>
        <v>0</v>
      </c>
      <c r="U241" s="376">
        <v>34</v>
      </c>
      <c r="V241" s="376">
        <v>0</v>
      </c>
      <c r="W241" s="22">
        <f t="shared" si="13"/>
        <v>21.406400000000001</v>
      </c>
      <c r="X241" s="22">
        <f t="shared" si="14"/>
        <v>9.5</v>
      </c>
      <c r="Y241" s="22">
        <v>9.5</v>
      </c>
      <c r="Z241" s="22">
        <v>0</v>
      </c>
      <c r="AA241" s="371">
        <v>54</v>
      </c>
      <c r="AB241" s="22">
        <v>0.17592592592592593</v>
      </c>
      <c r="AC241" s="24">
        <v>4.0925925925925921E-2</v>
      </c>
      <c r="AD241" s="384">
        <v>-20649.444443723645</v>
      </c>
    </row>
    <row r="242" spans="1:30">
      <c r="A242" s="21" t="s">
        <v>183</v>
      </c>
      <c r="B242" s="21" t="s">
        <v>184</v>
      </c>
      <c r="C242" s="23">
        <v>15820.4</v>
      </c>
      <c r="D242" s="147">
        <v>172.69</v>
      </c>
      <c r="E242" s="22">
        <v>1541.82</v>
      </c>
      <c r="F242" s="22">
        <v>1714.51</v>
      </c>
      <c r="G242" s="22">
        <v>102.69</v>
      </c>
      <c r="H242" s="22">
        <v>889.52</v>
      </c>
      <c r="I242" s="22">
        <v>26.6</v>
      </c>
      <c r="J242" s="22">
        <v>695.67000000000007</v>
      </c>
      <c r="K242" s="22">
        <v>63.4</v>
      </c>
      <c r="L242" s="22">
        <v>0</v>
      </c>
      <c r="M242" s="388">
        <v>50572.71</v>
      </c>
      <c r="N242" s="25">
        <v>0.40450000000000003</v>
      </c>
      <c r="O242" s="24">
        <v>14234</v>
      </c>
      <c r="P242" s="24">
        <v>6642.5</v>
      </c>
      <c r="Q242" s="24">
        <v>4369.75</v>
      </c>
      <c r="R242" s="22">
        <v>2272.75</v>
      </c>
      <c r="S242" s="24">
        <v>729.5</v>
      </c>
      <c r="T242" s="24">
        <f t="shared" si="12"/>
        <v>7372</v>
      </c>
      <c r="U242" s="376">
        <v>20456.66</v>
      </c>
      <c r="V242" s="376">
        <v>0</v>
      </c>
      <c r="W242" s="22">
        <f t="shared" si="13"/>
        <v>8274.7189699999999</v>
      </c>
      <c r="X242" s="22">
        <f t="shared" si="14"/>
        <v>6762</v>
      </c>
      <c r="Y242" s="22">
        <v>4672.5</v>
      </c>
      <c r="Z242" s="22">
        <v>2089.5</v>
      </c>
      <c r="AA242" s="371">
        <v>50600.91</v>
      </c>
      <c r="AB242" s="22">
        <v>0.13363396033786742</v>
      </c>
      <c r="AC242" s="24">
        <v>0</v>
      </c>
      <c r="AD242" s="384">
        <v>0</v>
      </c>
    </row>
    <row r="243" spans="1:30">
      <c r="A243" s="21" t="s">
        <v>405</v>
      </c>
      <c r="B243" s="21" t="s">
        <v>406</v>
      </c>
      <c r="C243" s="23">
        <v>1216.73</v>
      </c>
      <c r="D243" s="147">
        <v>23.22</v>
      </c>
      <c r="E243" s="22">
        <v>304.77</v>
      </c>
      <c r="F243" s="22">
        <v>327.99</v>
      </c>
      <c r="G243" s="22">
        <v>0</v>
      </c>
      <c r="H243" s="22">
        <v>52.35</v>
      </c>
      <c r="I243" s="22">
        <v>4.5</v>
      </c>
      <c r="J243" s="22">
        <v>169.23000000000002</v>
      </c>
      <c r="K243" s="22">
        <v>29.6</v>
      </c>
      <c r="L243" s="22">
        <v>0</v>
      </c>
      <c r="M243" s="388">
        <v>4285.75</v>
      </c>
      <c r="N243" s="25">
        <v>0.51629999999999998</v>
      </c>
      <c r="O243" s="24">
        <v>2163</v>
      </c>
      <c r="P243" s="24">
        <v>338.75</v>
      </c>
      <c r="Q243" s="24">
        <v>221</v>
      </c>
      <c r="R243" s="22">
        <v>117.75</v>
      </c>
      <c r="S243" s="24">
        <v>43.25</v>
      </c>
      <c r="T243" s="24">
        <f t="shared" si="12"/>
        <v>382</v>
      </c>
      <c r="U243" s="376">
        <v>2212.73</v>
      </c>
      <c r="V243" s="376">
        <v>214.29</v>
      </c>
      <c r="W243" s="22">
        <f t="shared" si="13"/>
        <v>1142.432499</v>
      </c>
      <c r="X243" s="22">
        <f t="shared" si="14"/>
        <v>749.25</v>
      </c>
      <c r="Y243" s="22">
        <v>521.5</v>
      </c>
      <c r="Z243" s="22">
        <v>227.75</v>
      </c>
      <c r="AA243" s="371">
        <v>4341.6899999999996</v>
      </c>
      <c r="AB243" s="22">
        <v>0.17257104952219068</v>
      </c>
      <c r="AC243" s="24">
        <v>3.7571049522190675E-2</v>
      </c>
      <c r="AD243" s="384">
        <v>-1549225.6523850614</v>
      </c>
    </row>
    <row r="244" spans="1:30">
      <c r="A244" s="21" t="s">
        <v>589</v>
      </c>
      <c r="B244" s="21" t="s">
        <v>590</v>
      </c>
      <c r="C244" s="23">
        <v>1046.23</v>
      </c>
      <c r="D244" s="147">
        <v>22.18</v>
      </c>
      <c r="E244" s="22">
        <v>371.88</v>
      </c>
      <c r="F244" s="22">
        <v>394.06</v>
      </c>
      <c r="G244" s="22">
        <v>0</v>
      </c>
      <c r="H244" s="22">
        <v>34.54</v>
      </c>
      <c r="I244" s="22">
        <v>2.69</v>
      </c>
      <c r="J244" s="22">
        <v>98.5</v>
      </c>
      <c r="K244" s="22">
        <v>11.8</v>
      </c>
      <c r="L244" s="22">
        <v>0</v>
      </c>
      <c r="M244" s="388">
        <v>3618.7400000000002</v>
      </c>
      <c r="N244" s="25">
        <v>0.55589999999999995</v>
      </c>
      <c r="O244" s="24">
        <v>2472</v>
      </c>
      <c r="P244" s="24">
        <v>333.5</v>
      </c>
      <c r="Q244" s="24">
        <v>233.25</v>
      </c>
      <c r="R244" s="22">
        <v>100.25</v>
      </c>
      <c r="S244" s="24">
        <v>48</v>
      </c>
      <c r="T244" s="24">
        <f t="shared" si="12"/>
        <v>381.5</v>
      </c>
      <c r="U244" s="376">
        <v>2009.49</v>
      </c>
      <c r="V244" s="376">
        <v>180.94</v>
      </c>
      <c r="W244" s="22">
        <f t="shared" si="13"/>
        <v>1117.0754909999998</v>
      </c>
      <c r="X244" s="22">
        <f t="shared" si="14"/>
        <v>437.5</v>
      </c>
      <c r="Y244" s="22">
        <v>373.5</v>
      </c>
      <c r="Z244" s="22">
        <v>64</v>
      </c>
      <c r="AA244" s="371">
        <v>3654.15</v>
      </c>
      <c r="AB244" s="22">
        <v>0.11972688586949085</v>
      </c>
      <c r="AC244" s="24">
        <v>0</v>
      </c>
      <c r="AD244" s="384">
        <v>0</v>
      </c>
    </row>
    <row r="245" spans="1:30">
      <c r="A245" s="21" t="s">
        <v>359</v>
      </c>
      <c r="B245" s="21" t="s">
        <v>360</v>
      </c>
      <c r="C245" s="23">
        <v>76.25</v>
      </c>
      <c r="D245" s="147">
        <v>5.86</v>
      </c>
      <c r="E245" s="22">
        <v>12.2</v>
      </c>
      <c r="F245" s="22">
        <v>18.059999999999999</v>
      </c>
      <c r="G245" s="22">
        <v>0</v>
      </c>
      <c r="H245" s="22">
        <v>4.66</v>
      </c>
      <c r="I245" s="22">
        <v>0.2</v>
      </c>
      <c r="J245" s="22">
        <v>0</v>
      </c>
      <c r="K245" s="22">
        <v>0</v>
      </c>
      <c r="L245" s="22">
        <v>0</v>
      </c>
      <c r="M245" s="388">
        <v>234.57</v>
      </c>
      <c r="N245" s="25">
        <v>0.58299999999999996</v>
      </c>
      <c r="O245" s="24">
        <v>174</v>
      </c>
      <c r="P245" s="24">
        <v>0</v>
      </c>
      <c r="Q245" s="24">
        <v>0</v>
      </c>
      <c r="R245" s="22">
        <v>0</v>
      </c>
      <c r="S245" s="24">
        <v>0</v>
      </c>
      <c r="T245" s="24">
        <f t="shared" si="12"/>
        <v>0</v>
      </c>
      <c r="U245" s="376">
        <v>136.75</v>
      </c>
      <c r="V245" s="376">
        <v>0</v>
      </c>
      <c r="W245" s="22">
        <f t="shared" si="13"/>
        <v>79.725249999999988</v>
      </c>
      <c r="X245" s="22">
        <f t="shared" si="14"/>
        <v>44.25</v>
      </c>
      <c r="Y245" s="22">
        <v>28.75</v>
      </c>
      <c r="Z245" s="22">
        <v>15.5</v>
      </c>
      <c r="AA245" s="371">
        <v>234.57</v>
      </c>
      <c r="AB245" s="22">
        <v>0.18864304898324594</v>
      </c>
      <c r="AC245" s="24">
        <v>5.3643048983245928E-2</v>
      </c>
      <c r="AD245" s="384">
        <v>-110872.68802361521</v>
      </c>
    </row>
    <row r="246" spans="1:30">
      <c r="A246" s="21" t="s">
        <v>47</v>
      </c>
      <c r="B246" s="21" t="s">
        <v>48</v>
      </c>
      <c r="C246" s="23">
        <v>656.46</v>
      </c>
      <c r="D246" s="147">
        <v>11.93</v>
      </c>
      <c r="E246" s="22">
        <v>212.51</v>
      </c>
      <c r="F246" s="22">
        <v>224.44</v>
      </c>
      <c r="G246" s="22">
        <v>0</v>
      </c>
      <c r="H246" s="22">
        <v>56.32</v>
      </c>
      <c r="I246" s="22">
        <v>7.55</v>
      </c>
      <c r="J246" s="22">
        <v>219.85</v>
      </c>
      <c r="K246" s="22">
        <v>0</v>
      </c>
      <c r="L246" s="22">
        <v>0</v>
      </c>
      <c r="M246" s="388">
        <v>2549.2000000000003</v>
      </c>
      <c r="N246" s="25">
        <v>0.44390000000000002</v>
      </c>
      <c r="O246" s="24">
        <v>0</v>
      </c>
      <c r="P246" s="24">
        <v>47.5</v>
      </c>
      <c r="Q246" s="24">
        <v>34.75</v>
      </c>
      <c r="R246" s="22">
        <v>12.75</v>
      </c>
      <c r="S246" s="24">
        <v>12</v>
      </c>
      <c r="T246" s="24">
        <f t="shared" si="12"/>
        <v>59.5</v>
      </c>
      <c r="U246" s="376">
        <v>1132.0999999999999</v>
      </c>
      <c r="V246" s="376">
        <v>127.46</v>
      </c>
      <c r="W246" s="22">
        <f t="shared" si="13"/>
        <v>502.53918999999996</v>
      </c>
      <c r="X246" s="22">
        <f t="shared" si="14"/>
        <v>394.25</v>
      </c>
      <c r="Y246" s="22">
        <v>345.25</v>
      </c>
      <c r="Z246" s="22">
        <v>49</v>
      </c>
      <c r="AA246" s="371">
        <v>2549.21</v>
      </c>
      <c r="AB246" s="22">
        <v>0.1546557560969869</v>
      </c>
      <c r="AC246" s="24">
        <v>1.9655756096986887E-2</v>
      </c>
      <c r="AD246" s="384">
        <v>-455394.53533692221</v>
      </c>
    </row>
    <row r="247" spans="1:30">
      <c r="A247" s="21" t="s">
        <v>393</v>
      </c>
      <c r="B247" s="21" t="s">
        <v>394</v>
      </c>
      <c r="C247" s="23">
        <v>5.8</v>
      </c>
      <c r="D247" s="147">
        <v>0</v>
      </c>
      <c r="E247" s="22">
        <v>0</v>
      </c>
      <c r="F247" s="22">
        <v>0</v>
      </c>
      <c r="G247" s="22">
        <v>0</v>
      </c>
      <c r="H247" s="22">
        <v>0</v>
      </c>
      <c r="I247" s="22">
        <v>0</v>
      </c>
      <c r="J247" s="22">
        <v>0</v>
      </c>
      <c r="K247" s="22">
        <v>0</v>
      </c>
      <c r="L247" s="22">
        <v>0</v>
      </c>
      <c r="M247" s="388">
        <v>9.8000000000000007</v>
      </c>
      <c r="N247" s="25">
        <v>0</v>
      </c>
      <c r="O247" s="24">
        <v>0</v>
      </c>
      <c r="P247" s="24">
        <v>0</v>
      </c>
      <c r="Q247" s="24">
        <v>0</v>
      </c>
      <c r="R247" s="22">
        <v>0</v>
      </c>
      <c r="S247" s="24">
        <v>0</v>
      </c>
      <c r="T247" s="24">
        <f t="shared" si="12"/>
        <v>0</v>
      </c>
      <c r="U247" s="376">
        <v>0</v>
      </c>
      <c r="V247" s="376">
        <v>0</v>
      </c>
      <c r="W247" s="22">
        <f t="shared" si="13"/>
        <v>0</v>
      </c>
      <c r="X247" s="22">
        <f t="shared" si="14"/>
        <v>0</v>
      </c>
      <c r="Y247" s="22">
        <v>0</v>
      </c>
      <c r="Z247" s="22">
        <v>0</v>
      </c>
      <c r="AA247" s="371">
        <v>9.8000000000000007</v>
      </c>
      <c r="AB247" s="22">
        <v>0</v>
      </c>
      <c r="AC247" s="24">
        <v>0</v>
      </c>
      <c r="AD247" s="384">
        <v>0</v>
      </c>
    </row>
    <row r="248" spans="1:30">
      <c r="A248" s="21" t="s">
        <v>317</v>
      </c>
      <c r="B248" s="21" t="s">
        <v>318</v>
      </c>
      <c r="C248" s="23">
        <v>1090.6400000000001</v>
      </c>
      <c r="D248" s="147">
        <v>113.39</v>
      </c>
      <c r="E248" s="22">
        <v>674.94</v>
      </c>
      <c r="F248" s="22">
        <v>788.33</v>
      </c>
      <c r="G248" s="22">
        <v>0</v>
      </c>
      <c r="H248" s="22">
        <v>51.95</v>
      </c>
      <c r="I248" s="22">
        <v>4.6900000000000004</v>
      </c>
      <c r="J248" s="22">
        <v>151.6</v>
      </c>
      <c r="K248" s="22">
        <v>42</v>
      </c>
      <c r="L248" s="22">
        <v>0</v>
      </c>
      <c r="M248" s="388">
        <v>4278.8799999999992</v>
      </c>
      <c r="N248" s="25">
        <v>0.6734</v>
      </c>
      <c r="O248" s="24">
        <v>4307</v>
      </c>
      <c r="P248" s="24">
        <v>909.25</v>
      </c>
      <c r="Q248" s="24">
        <v>594.25</v>
      </c>
      <c r="R248" s="22">
        <v>315</v>
      </c>
      <c r="S248" s="24">
        <v>46.75</v>
      </c>
      <c r="T248" s="24">
        <f t="shared" si="12"/>
        <v>956</v>
      </c>
      <c r="U248" s="376">
        <v>2881.4</v>
      </c>
      <c r="V248" s="376">
        <v>213.94</v>
      </c>
      <c r="W248" s="22">
        <f t="shared" si="13"/>
        <v>1940.33476</v>
      </c>
      <c r="X248" s="22">
        <f t="shared" si="14"/>
        <v>554.75</v>
      </c>
      <c r="Y248" s="22">
        <v>424.5</v>
      </c>
      <c r="Z248" s="22">
        <v>130.25</v>
      </c>
      <c r="AA248" s="371">
        <v>4294.49</v>
      </c>
      <c r="AB248" s="22">
        <v>0.1291771549124576</v>
      </c>
      <c r="AC248" s="24">
        <v>0</v>
      </c>
      <c r="AD248" s="384">
        <v>0</v>
      </c>
    </row>
    <row r="249" spans="1:30">
      <c r="A249" s="21" t="s">
        <v>213</v>
      </c>
      <c r="B249" s="21" t="s">
        <v>214</v>
      </c>
      <c r="C249" s="23">
        <v>2544.88</v>
      </c>
      <c r="D249" s="147">
        <v>34.69</v>
      </c>
      <c r="E249" s="22">
        <v>407.12</v>
      </c>
      <c r="F249" s="22">
        <v>441.81</v>
      </c>
      <c r="G249" s="22">
        <v>0</v>
      </c>
      <c r="H249" s="22">
        <v>193.24</v>
      </c>
      <c r="I249" s="22">
        <v>7.61</v>
      </c>
      <c r="J249" s="22">
        <v>113.21</v>
      </c>
      <c r="K249" s="22">
        <v>0</v>
      </c>
      <c r="L249" s="22">
        <v>0</v>
      </c>
      <c r="M249" s="388">
        <v>9090.7899999999991</v>
      </c>
      <c r="N249" s="25">
        <v>0.2676</v>
      </c>
      <c r="O249" s="24">
        <v>0</v>
      </c>
      <c r="P249" s="24">
        <v>838.5</v>
      </c>
      <c r="Q249" s="24">
        <v>599.5</v>
      </c>
      <c r="R249" s="22">
        <v>239</v>
      </c>
      <c r="S249" s="24">
        <v>201</v>
      </c>
      <c r="T249" s="24">
        <f t="shared" si="12"/>
        <v>1039.5</v>
      </c>
      <c r="U249" s="376">
        <v>2432.6999999999998</v>
      </c>
      <c r="V249" s="376">
        <v>454.54</v>
      </c>
      <c r="W249" s="22">
        <f t="shared" si="13"/>
        <v>650.99051999999995</v>
      </c>
      <c r="X249" s="22">
        <f t="shared" si="14"/>
        <v>1033.5</v>
      </c>
      <c r="Y249" s="22">
        <v>713</v>
      </c>
      <c r="Z249" s="22">
        <v>320.5</v>
      </c>
      <c r="AA249" s="371">
        <v>9103.58</v>
      </c>
      <c r="AB249" s="22">
        <v>0.11352676639300144</v>
      </c>
      <c r="AC249" s="24">
        <v>0</v>
      </c>
      <c r="AD249" s="384">
        <v>0</v>
      </c>
    </row>
    <row r="250" spans="1:30">
      <c r="A250" s="21" t="s">
        <v>415</v>
      </c>
      <c r="B250" s="21" t="s">
        <v>416</v>
      </c>
      <c r="C250" s="23">
        <v>39.799999999999997</v>
      </c>
      <c r="D250" s="147">
        <v>0</v>
      </c>
      <c r="E250" s="22">
        <v>0</v>
      </c>
      <c r="F250" s="22">
        <v>0</v>
      </c>
      <c r="G250" s="22">
        <v>0</v>
      </c>
      <c r="H250" s="22">
        <v>0</v>
      </c>
      <c r="I250" s="22">
        <v>0</v>
      </c>
      <c r="J250" s="22">
        <v>0</v>
      </c>
      <c r="K250" s="22">
        <v>0</v>
      </c>
      <c r="L250" s="22">
        <v>0</v>
      </c>
      <c r="M250" s="388">
        <v>65.199999999999989</v>
      </c>
      <c r="N250" s="25">
        <v>0.66269999999999996</v>
      </c>
      <c r="O250" s="24">
        <v>70</v>
      </c>
      <c r="P250" s="24">
        <v>0</v>
      </c>
      <c r="Q250" s="24">
        <v>0</v>
      </c>
      <c r="R250" s="22">
        <v>0</v>
      </c>
      <c r="S250" s="24">
        <v>0</v>
      </c>
      <c r="T250" s="24">
        <f t="shared" si="12"/>
        <v>0</v>
      </c>
      <c r="U250" s="376">
        <v>43.21</v>
      </c>
      <c r="V250" s="376">
        <v>0</v>
      </c>
      <c r="W250" s="22">
        <f t="shared" si="13"/>
        <v>28.635266999999999</v>
      </c>
      <c r="X250" s="22">
        <f t="shared" si="14"/>
        <v>9</v>
      </c>
      <c r="Y250" s="22">
        <v>9</v>
      </c>
      <c r="Z250" s="22">
        <v>0</v>
      </c>
      <c r="AA250" s="371">
        <v>65.2</v>
      </c>
      <c r="AB250" s="22">
        <v>0.1380368098159509</v>
      </c>
      <c r="AC250" s="24">
        <v>3.0368098159508916E-3</v>
      </c>
      <c r="AD250" s="384">
        <v>-1879.1655701715804</v>
      </c>
    </row>
    <row r="251" spans="1:30">
      <c r="A251" s="21" t="s">
        <v>197</v>
      </c>
      <c r="B251" s="21" t="s">
        <v>198</v>
      </c>
      <c r="C251" s="23">
        <v>9.6</v>
      </c>
      <c r="D251" s="147">
        <v>0</v>
      </c>
      <c r="E251" s="22">
        <v>0</v>
      </c>
      <c r="F251" s="22">
        <v>0</v>
      </c>
      <c r="G251" s="22">
        <v>0</v>
      </c>
      <c r="H251" s="22">
        <v>1</v>
      </c>
      <c r="I251" s="22">
        <v>0</v>
      </c>
      <c r="J251" s="22">
        <v>0</v>
      </c>
      <c r="K251" s="22">
        <v>0</v>
      </c>
      <c r="L251" s="22">
        <v>0</v>
      </c>
      <c r="M251" s="388">
        <v>36.19</v>
      </c>
      <c r="N251" s="25">
        <v>0.87760000000000005</v>
      </c>
      <c r="O251" s="24">
        <v>38</v>
      </c>
      <c r="P251" s="24">
        <v>1</v>
      </c>
      <c r="Q251" s="24">
        <v>1</v>
      </c>
      <c r="R251" s="22">
        <v>0</v>
      </c>
      <c r="S251" s="24">
        <v>0</v>
      </c>
      <c r="T251" s="24">
        <f t="shared" si="12"/>
        <v>1</v>
      </c>
      <c r="U251" s="376">
        <v>31.76</v>
      </c>
      <c r="V251" s="376">
        <v>0</v>
      </c>
      <c r="W251" s="22">
        <f t="shared" si="13"/>
        <v>27.872576000000002</v>
      </c>
      <c r="X251" s="22">
        <f t="shared" si="14"/>
        <v>12.5</v>
      </c>
      <c r="Y251" s="22">
        <v>12.5</v>
      </c>
      <c r="Z251" s="22">
        <v>0</v>
      </c>
      <c r="AA251" s="371">
        <v>36.19</v>
      </c>
      <c r="AB251" s="22">
        <v>0.34539928156949434</v>
      </c>
      <c r="AC251" s="24">
        <v>0.21039928156949433</v>
      </c>
      <c r="AD251" s="384">
        <v>-75105.338673735096</v>
      </c>
    </row>
    <row r="252" spans="1:30">
      <c r="A252" s="21" t="s">
        <v>439</v>
      </c>
      <c r="B252" s="21" t="s">
        <v>440</v>
      </c>
      <c r="C252" s="23">
        <v>2532.9</v>
      </c>
      <c r="D252" s="147">
        <v>126.33</v>
      </c>
      <c r="E252" s="22">
        <v>411.38</v>
      </c>
      <c r="F252" s="22">
        <v>537.71</v>
      </c>
      <c r="G252" s="22">
        <v>0</v>
      </c>
      <c r="H252" s="22">
        <v>187.71</v>
      </c>
      <c r="I252" s="22">
        <v>13.25</v>
      </c>
      <c r="J252" s="22">
        <v>212.76</v>
      </c>
      <c r="K252" s="22">
        <v>0</v>
      </c>
      <c r="L252" s="22">
        <v>0</v>
      </c>
      <c r="M252" s="388">
        <v>9255.779999999997</v>
      </c>
      <c r="N252" s="25">
        <v>0.19320000000000001</v>
      </c>
      <c r="O252" s="24">
        <v>0</v>
      </c>
      <c r="P252" s="24">
        <v>363.75</v>
      </c>
      <c r="Q252" s="24">
        <v>260.75</v>
      </c>
      <c r="R252" s="22">
        <v>103</v>
      </c>
      <c r="S252" s="24">
        <v>150.75</v>
      </c>
      <c r="T252" s="24">
        <f t="shared" si="12"/>
        <v>514.5</v>
      </c>
      <c r="U252" s="376">
        <v>1789.14</v>
      </c>
      <c r="V252" s="376">
        <v>462.79</v>
      </c>
      <c r="W252" s="22">
        <f t="shared" si="13"/>
        <v>345.66184800000002</v>
      </c>
      <c r="X252" s="22">
        <f t="shared" si="14"/>
        <v>1112.25</v>
      </c>
      <c r="Y252" s="22">
        <v>680.25</v>
      </c>
      <c r="Z252" s="22">
        <v>432</v>
      </c>
      <c r="AA252" s="371">
        <v>9338.4500000000007</v>
      </c>
      <c r="AB252" s="22">
        <v>0.11910434815199523</v>
      </c>
      <c r="AC252" s="24">
        <v>0</v>
      </c>
      <c r="AD252" s="384">
        <v>0</v>
      </c>
    </row>
    <row r="253" spans="1:30">
      <c r="A253" s="21" t="s">
        <v>209</v>
      </c>
      <c r="B253" s="21" t="s">
        <v>210</v>
      </c>
      <c r="C253" s="23">
        <v>2065.1</v>
      </c>
      <c r="D253" s="147">
        <v>71.22</v>
      </c>
      <c r="E253" s="22">
        <v>378.43</v>
      </c>
      <c r="F253" s="22">
        <v>449.65</v>
      </c>
      <c r="G253" s="22">
        <v>0</v>
      </c>
      <c r="H253" s="22">
        <v>208.36</v>
      </c>
      <c r="I253" s="22">
        <v>21.38</v>
      </c>
      <c r="J253" s="22">
        <v>250.78</v>
      </c>
      <c r="K253" s="22">
        <v>16.399999999999999</v>
      </c>
      <c r="L253" s="22">
        <v>0</v>
      </c>
      <c r="M253" s="388">
        <v>7096.079999999999</v>
      </c>
      <c r="N253" s="25">
        <v>0.10589999999999999</v>
      </c>
      <c r="O253" s="24">
        <v>0</v>
      </c>
      <c r="P253" s="24">
        <v>255</v>
      </c>
      <c r="Q253" s="24">
        <v>185.75</v>
      </c>
      <c r="R253" s="22">
        <v>69.25</v>
      </c>
      <c r="S253" s="24">
        <v>99.5</v>
      </c>
      <c r="T253" s="24">
        <f t="shared" si="12"/>
        <v>354.5</v>
      </c>
      <c r="U253" s="376">
        <v>752.18</v>
      </c>
      <c r="V253" s="376">
        <v>354.8</v>
      </c>
      <c r="W253" s="22">
        <f t="shared" si="13"/>
        <v>79.655861999999985</v>
      </c>
      <c r="X253" s="22">
        <f t="shared" si="14"/>
        <v>660.25</v>
      </c>
      <c r="Y253" s="22">
        <v>424.5</v>
      </c>
      <c r="Z253" s="22">
        <v>235.75</v>
      </c>
      <c r="AA253" s="371">
        <v>7136.8</v>
      </c>
      <c r="AB253" s="22">
        <v>9.2513451406792957E-2</v>
      </c>
      <c r="AC253" s="24">
        <v>0</v>
      </c>
      <c r="AD253" s="384">
        <v>0</v>
      </c>
    </row>
    <row r="254" spans="1:30">
      <c r="A254" s="21" t="s">
        <v>129</v>
      </c>
      <c r="B254" s="21" t="s">
        <v>130</v>
      </c>
      <c r="C254" s="23">
        <v>159.49</v>
      </c>
      <c r="D254" s="147">
        <v>1.1399999999999999</v>
      </c>
      <c r="E254" s="22">
        <v>26.59</v>
      </c>
      <c r="F254" s="22">
        <v>27.73</v>
      </c>
      <c r="G254" s="22">
        <v>0</v>
      </c>
      <c r="H254" s="22">
        <v>18.27</v>
      </c>
      <c r="I254" s="22">
        <v>1.35</v>
      </c>
      <c r="J254" s="22">
        <v>25.42</v>
      </c>
      <c r="K254" s="22">
        <v>0</v>
      </c>
      <c r="L254" s="22">
        <v>0</v>
      </c>
      <c r="M254" s="388">
        <v>553.48</v>
      </c>
      <c r="N254" s="25">
        <v>0.79569999999999996</v>
      </c>
      <c r="O254" s="24">
        <v>553</v>
      </c>
      <c r="P254" s="24">
        <v>92.5</v>
      </c>
      <c r="Q254" s="24">
        <v>54.75</v>
      </c>
      <c r="R254" s="22">
        <v>37.75</v>
      </c>
      <c r="S254" s="24">
        <v>28</v>
      </c>
      <c r="T254" s="24">
        <f t="shared" si="12"/>
        <v>120.5</v>
      </c>
      <c r="U254" s="376">
        <v>440.4</v>
      </c>
      <c r="V254" s="376">
        <v>27.67</v>
      </c>
      <c r="W254" s="22">
        <f t="shared" si="13"/>
        <v>350.42627999999996</v>
      </c>
      <c r="X254" s="22">
        <f t="shared" si="14"/>
        <v>105</v>
      </c>
      <c r="Y254" s="22">
        <v>90</v>
      </c>
      <c r="Z254" s="22">
        <v>15</v>
      </c>
      <c r="AA254" s="371">
        <v>556.11</v>
      </c>
      <c r="AB254" s="22">
        <v>0.18881156605707503</v>
      </c>
      <c r="AC254" s="24">
        <v>5.3811566057075017E-2</v>
      </c>
      <c r="AD254" s="384">
        <v>-262719.61345625314</v>
      </c>
    </row>
    <row r="255" spans="1:30">
      <c r="A255" s="21" t="s">
        <v>347</v>
      </c>
      <c r="B255" s="21" t="s">
        <v>348</v>
      </c>
      <c r="C255" s="23">
        <v>161.9</v>
      </c>
      <c r="D255" s="147">
        <v>5.98</v>
      </c>
      <c r="E255" s="22">
        <v>36.42</v>
      </c>
      <c r="F255" s="22">
        <v>42.400000000000006</v>
      </c>
      <c r="G255" s="22">
        <v>0</v>
      </c>
      <c r="H255" s="22">
        <v>14.34</v>
      </c>
      <c r="I255" s="22">
        <v>0.17</v>
      </c>
      <c r="J255" s="22">
        <v>34.730000000000004</v>
      </c>
      <c r="K255" s="22">
        <v>0</v>
      </c>
      <c r="L255" s="22">
        <v>0</v>
      </c>
      <c r="M255" s="388">
        <v>551.57000000000005</v>
      </c>
      <c r="N255" s="25">
        <v>0.70199999999999996</v>
      </c>
      <c r="O255" s="24">
        <v>522</v>
      </c>
      <c r="P255" s="24">
        <v>87.25</v>
      </c>
      <c r="Q255" s="24">
        <v>51.5</v>
      </c>
      <c r="R255" s="22">
        <v>35.75</v>
      </c>
      <c r="S255" s="24">
        <v>9.25</v>
      </c>
      <c r="T255" s="24">
        <f t="shared" si="12"/>
        <v>96.5</v>
      </c>
      <c r="U255" s="376">
        <v>387.59</v>
      </c>
      <c r="V255" s="376">
        <v>0</v>
      </c>
      <c r="W255" s="22">
        <f t="shared" si="13"/>
        <v>272.08817999999997</v>
      </c>
      <c r="X255" s="22">
        <f t="shared" si="14"/>
        <v>75.25</v>
      </c>
      <c r="Y255" s="22">
        <v>26</v>
      </c>
      <c r="Z255" s="22">
        <v>49.25</v>
      </c>
      <c r="AA255" s="371">
        <v>552.07000000000005</v>
      </c>
      <c r="AB255" s="22">
        <v>0.136305178691108</v>
      </c>
      <c r="AC255" s="24">
        <v>1.3051786911079943E-3</v>
      </c>
      <c r="AD255" s="384">
        <v>-6294.3695551047549</v>
      </c>
    </row>
    <row r="256" spans="1:30">
      <c r="A256" s="21" t="s">
        <v>235</v>
      </c>
      <c r="B256" s="21" t="s">
        <v>236</v>
      </c>
      <c r="C256" s="23">
        <v>2668.21</v>
      </c>
      <c r="D256" s="147">
        <v>253.12</v>
      </c>
      <c r="E256" s="22">
        <v>627.89</v>
      </c>
      <c r="F256" s="22">
        <v>881.01</v>
      </c>
      <c r="G256" s="22">
        <v>0</v>
      </c>
      <c r="H256" s="22">
        <v>216.24</v>
      </c>
      <c r="I256" s="22">
        <v>9.8800000000000008</v>
      </c>
      <c r="J256" s="22">
        <v>1336.1599999999999</v>
      </c>
      <c r="K256" s="22">
        <v>0</v>
      </c>
      <c r="L256" s="22">
        <v>0</v>
      </c>
      <c r="M256" s="388">
        <v>9656.5999999999985</v>
      </c>
      <c r="N256" s="25">
        <v>0.37280000000000002</v>
      </c>
      <c r="O256" s="24">
        <v>630</v>
      </c>
      <c r="P256" s="24">
        <v>238.75</v>
      </c>
      <c r="Q256" s="24">
        <v>147.75</v>
      </c>
      <c r="R256" s="22">
        <v>91</v>
      </c>
      <c r="S256" s="24">
        <v>34</v>
      </c>
      <c r="T256" s="24">
        <f t="shared" si="12"/>
        <v>272.75</v>
      </c>
      <c r="U256" s="376">
        <v>3599.98</v>
      </c>
      <c r="V256" s="376">
        <v>482.83</v>
      </c>
      <c r="W256" s="22">
        <f t="shared" si="13"/>
        <v>1342.0725440000001</v>
      </c>
      <c r="X256" s="22">
        <f t="shared" si="14"/>
        <v>1394</v>
      </c>
      <c r="Y256" s="22">
        <v>868</v>
      </c>
      <c r="Z256" s="22">
        <v>526</v>
      </c>
      <c r="AA256" s="371">
        <v>9722.91</v>
      </c>
      <c r="AB256" s="22">
        <v>0.14337271454739373</v>
      </c>
      <c r="AC256" s="24">
        <v>8.372714547393717E-3</v>
      </c>
      <c r="AD256" s="384">
        <v>-803132.92199701979</v>
      </c>
    </row>
    <row r="257" spans="1:30">
      <c r="A257" s="21" t="s">
        <v>171</v>
      </c>
      <c r="B257" s="21" t="s">
        <v>172</v>
      </c>
      <c r="C257" s="23">
        <v>272.10000000000002</v>
      </c>
      <c r="D257" s="147">
        <v>0</v>
      </c>
      <c r="E257" s="22">
        <v>59.42</v>
      </c>
      <c r="F257" s="22">
        <v>59.42</v>
      </c>
      <c r="G257" s="22">
        <v>0</v>
      </c>
      <c r="H257" s="22">
        <v>25.89</v>
      </c>
      <c r="I257" s="22">
        <v>1.92</v>
      </c>
      <c r="J257" s="22">
        <v>74.14</v>
      </c>
      <c r="K257" s="22">
        <v>0</v>
      </c>
      <c r="L257" s="22">
        <v>0</v>
      </c>
      <c r="M257" s="388">
        <v>1185.5800000000002</v>
      </c>
      <c r="N257" s="25">
        <v>0.29339999999999999</v>
      </c>
      <c r="O257" s="24">
        <v>44</v>
      </c>
      <c r="P257" s="24">
        <v>3.25</v>
      </c>
      <c r="Q257" s="24">
        <v>2.5</v>
      </c>
      <c r="R257" s="22">
        <v>0.75</v>
      </c>
      <c r="S257" s="24">
        <v>3</v>
      </c>
      <c r="T257" s="24">
        <f t="shared" si="12"/>
        <v>6.25</v>
      </c>
      <c r="U257" s="376">
        <v>347.85</v>
      </c>
      <c r="V257" s="376">
        <v>59.28</v>
      </c>
      <c r="W257" s="22">
        <f t="shared" si="13"/>
        <v>102.05919</v>
      </c>
      <c r="X257" s="22">
        <f t="shared" si="14"/>
        <v>176</v>
      </c>
      <c r="Y257" s="22">
        <v>119.5</v>
      </c>
      <c r="Z257" s="22">
        <v>56.5</v>
      </c>
      <c r="AA257" s="371">
        <v>1196.56</v>
      </c>
      <c r="AB257" s="22">
        <v>0.14708831985023735</v>
      </c>
      <c r="AC257" s="24">
        <v>1.2088319850237339E-2</v>
      </c>
      <c r="AD257" s="384">
        <v>-145515.3869197797</v>
      </c>
    </row>
    <row r="258" spans="1:30">
      <c r="A258" s="21" t="s">
        <v>313</v>
      </c>
      <c r="B258" s="21" t="s">
        <v>314</v>
      </c>
      <c r="C258" s="23">
        <v>105</v>
      </c>
      <c r="D258" s="147">
        <v>0</v>
      </c>
      <c r="E258" s="22">
        <v>0</v>
      </c>
      <c r="F258" s="22">
        <v>0</v>
      </c>
      <c r="G258" s="22">
        <v>0</v>
      </c>
      <c r="H258" s="22">
        <v>0</v>
      </c>
      <c r="I258" s="22">
        <v>0</v>
      </c>
      <c r="J258" s="22">
        <v>0</v>
      </c>
      <c r="K258" s="22">
        <v>0</v>
      </c>
      <c r="L258" s="22">
        <v>0</v>
      </c>
      <c r="M258" s="388">
        <v>199.79999999999998</v>
      </c>
      <c r="N258" s="25">
        <v>0.44290000000000002</v>
      </c>
      <c r="O258" s="24">
        <v>0</v>
      </c>
      <c r="P258" s="24">
        <v>0</v>
      </c>
      <c r="Q258" s="24">
        <v>0</v>
      </c>
      <c r="R258" s="22">
        <v>0</v>
      </c>
      <c r="S258" s="24">
        <v>0</v>
      </c>
      <c r="T258" s="24">
        <f t="shared" si="12"/>
        <v>0</v>
      </c>
      <c r="U258" s="376">
        <v>88.49</v>
      </c>
      <c r="V258" s="376">
        <v>9.99</v>
      </c>
      <c r="W258" s="22">
        <f t="shared" si="13"/>
        <v>39.192220999999996</v>
      </c>
      <c r="X258" s="22">
        <f t="shared" si="14"/>
        <v>31.75</v>
      </c>
      <c r="Y258" s="22">
        <v>24.25</v>
      </c>
      <c r="Z258" s="22">
        <v>7.5</v>
      </c>
      <c r="AA258" s="371">
        <v>199.8</v>
      </c>
      <c r="AB258" s="22">
        <v>0.15890890890890891</v>
      </c>
      <c r="AC258" s="24">
        <v>2.3908908908908899E-2</v>
      </c>
      <c r="AD258" s="384">
        <v>-44135.424139658273</v>
      </c>
    </row>
    <row r="259" spans="1:30">
      <c r="A259" s="21" t="s">
        <v>479</v>
      </c>
      <c r="B259" s="21" t="s">
        <v>480</v>
      </c>
      <c r="C259" s="23">
        <v>351.8</v>
      </c>
      <c r="D259" s="147">
        <v>0</v>
      </c>
      <c r="E259" s="22">
        <v>0</v>
      </c>
      <c r="F259" s="22">
        <v>0</v>
      </c>
      <c r="G259" s="22">
        <v>0</v>
      </c>
      <c r="H259" s="22">
        <v>0</v>
      </c>
      <c r="I259" s="22">
        <v>0</v>
      </c>
      <c r="J259" s="22">
        <v>0</v>
      </c>
      <c r="K259" s="22">
        <v>0</v>
      </c>
      <c r="L259" s="22">
        <v>0</v>
      </c>
      <c r="M259" s="388">
        <v>678.2</v>
      </c>
      <c r="N259" s="25">
        <v>0.50660000000000005</v>
      </c>
      <c r="O259" s="24">
        <v>0</v>
      </c>
      <c r="P259" s="24">
        <v>16.75</v>
      </c>
      <c r="Q259" s="24">
        <v>15.5</v>
      </c>
      <c r="R259" s="22">
        <v>1.25</v>
      </c>
      <c r="S259" s="24">
        <v>2</v>
      </c>
      <c r="T259" s="24">
        <f t="shared" si="12"/>
        <v>18.75</v>
      </c>
      <c r="U259" s="376">
        <v>305.87</v>
      </c>
      <c r="V259" s="376">
        <v>33.909999999999997</v>
      </c>
      <c r="W259" s="22">
        <f t="shared" si="13"/>
        <v>154.95374200000001</v>
      </c>
      <c r="X259" s="22">
        <f t="shared" si="14"/>
        <v>79.5</v>
      </c>
      <c r="Y259" s="22">
        <v>77</v>
      </c>
      <c r="Z259" s="22">
        <v>2.5</v>
      </c>
      <c r="AA259" s="371">
        <v>678.2</v>
      </c>
      <c r="AB259" s="22">
        <v>0.11722205838985549</v>
      </c>
      <c r="AC259" s="24">
        <v>0</v>
      </c>
      <c r="AD259" s="384">
        <v>0</v>
      </c>
    </row>
    <row r="260" spans="1:30">
      <c r="A260" s="21" t="s">
        <v>451</v>
      </c>
      <c r="B260" s="21" t="s">
        <v>452</v>
      </c>
      <c r="C260" s="23">
        <v>8454.7999999999993</v>
      </c>
      <c r="D260" s="147">
        <v>264.67</v>
      </c>
      <c r="E260" s="22">
        <v>1256.5999999999999</v>
      </c>
      <c r="F260" s="22">
        <v>1521.27</v>
      </c>
      <c r="G260" s="22">
        <v>388.81</v>
      </c>
      <c r="H260" s="22">
        <v>386.72</v>
      </c>
      <c r="I260" s="22">
        <v>13.65</v>
      </c>
      <c r="J260" s="22">
        <v>1322.87</v>
      </c>
      <c r="K260" s="22">
        <v>84.36</v>
      </c>
      <c r="L260" s="22">
        <v>0.61</v>
      </c>
      <c r="M260" s="388">
        <v>28363.690000000002</v>
      </c>
      <c r="N260" s="25">
        <v>0.59830000000000005</v>
      </c>
      <c r="O260" s="24">
        <v>18111</v>
      </c>
      <c r="P260" s="24">
        <v>1736</v>
      </c>
      <c r="Q260" s="24">
        <v>1104</v>
      </c>
      <c r="R260" s="22">
        <v>632</v>
      </c>
      <c r="S260" s="24">
        <v>313.25</v>
      </c>
      <c r="T260" s="24">
        <f t="shared" si="12"/>
        <v>2049.25</v>
      </c>
      <c r="U260" s="376">
        <v>16970</v>
      </c>
      <c r="V260" s="376">
        <v>0</v>
      </c>
      <c r="W260" s="22">
        <f t="shared" si="13"/>
        <v>10153.151000000002</v>
      </c>
      <c r="X260" s="22">
        <f t="shared" si="14"/>
        <v>4414.25</v>
      </c>
      <c r="Y260" s="22">
        <v>2939.5</v>
      </c>
      <c r="Z260" s="22">
        <v>1474.75</v>
      </c>
      <c r="AA260" s="371">
        <v>28158.11</v>
      </c>
      <c r="AB260" s="22">
        <v>0.15676655855098229</v>
      </c>
      <c r="AC260" s="24">
        <v>2.1766558550982279E-2</v>
      </c>
      <c r="AD260" s="384">
        <v>-5533935.7768779676</v>
      </c>
    </row>
    <row r="261" spans="1:30">
      <c r="A261" s="21" t="s">
        <v>297</v>
      </c>
      <c r="B261" s="21" t="s">
        <v>298</v>
      </c>
      <c r="C261" s="23">
        <v>27.2</v>
      </c>
      <c r="D261" s="147">
        <v>0</v>
      </c>
      <c r="E261" s="22">
        <v>8.51</v>
      </c>
      <c r="F261" s="22">
        <v>8.51</v>
      </c>
      <c r="G261" s="22">
        <v>0</v>
      </c>
      <c r="H261" s="22">
        <v>0</v>
      </c>
      <c r="I261" s="22">
        <v>0</v>
      </c>
      <c r="J261" s="22">
        <v>0</v>
      </c>
      <c r="K261" s="22">
        <v>0</v>
      </c>
      <c r="L261" s="22">
        <v>0</v>
      </c>
      <c r="M261" s="388">
        <v>71.599999999999994</v>
      </c>
      <c r="N261" s="25">
        <v>0.56410000000000005</v>
      </c>
      <c r="O261" s="24">
        <v>35</v>
      </c>
      <c r="P261" s="24">
        <v>0</v>
      </c>
      <c r="Q261" s="24">
        <v>0</v>
      </c>
      <c r="R261" s="22">
        <v>0</v>
      </c>
      <c r="S261" s="24">
        <v>0</v>
      </c>
      <c r="T261" s="24">
        <f t="shared" si="12"/>
        <v>0</v>
      </c>
      <c r="U261" s="376">
        <v>40.39</v>
      </c>
      <c r="V261" s="376">
        <v>3.58</v>
      </c>
      <c r="W261" s="22">
        <f t="shared" si="13"/>
        <v>22.783999000000001</v>
      </c>
      <c r="X261" s="22">
        <f t="shared" si="14"/>
        <v>13.5</v>
      </c>
      <c r="Y261" s="22">
        <v>12</v>
      </c>
      <c r="Z261" s="22">
        <v>1.5</v>
      </c>
      <c r="AA261" s="371">
        <v>71.599999999999994</v>
      </c>
      <c r="AB261" s="22">
        <v>0.18854748603351956</v>
      </c>
      <c r="AC261" s="24">
        <v>5.3547486033519553E-2</v>
      </c>
      <c r="AD261" s="384">
        <v>-34838.305811040002</v>
      </c>
    </row>
    <row r="262" spans="1:30">
      <c r="A262" s="21" t="s">
        <v>577</v>
      </c>
      <c r="B262" s="21" t="s">
        <v>578</v>
      </c>
      <c r="C262" s="23">
        <v>34.6</v>
      </c>
      <c r="D262" s="147">
        <v>0</v>
      </c>
      <c r="E262" s="22">
        <v>5.54</v>
      </c>
      <c r="F262" s="22">
        <v>5.54</v>
      </c>
      <c r="G262" s="22">
        <v>0</v>
      </c>
      <c r="H262" s="22">
        <v>3.39</v>
      </c>
      <c r="I262" s="22">
        <v>0</v>
      </c>
      <c r="J262" s="22">
        <v>0</v>
      </c>
      <c r="K262" s="22">
        <v>0</v>
      </c>
      <c r="L262" s="22">
        <v>0</v>
      </c>
      <c r="M262" s="388">
        <v>124.30999999999999</v>
      </c>
      <c r="N262" s="25">
        <v>0.4919</v>
      </c>
      <c r="O262" s="24">
        <v>66</v>
      </c>
      <c r="P262" s="24">
        <v>0</v>
      </c>
      <c r="Q262" s="24">
        <v>0</v>
      </c>
      <c r="R262" s="22">
        <v>0</v>
      </c>
      <c r="S262" s="24">
        <v>0</v>
      </c>
      <c r="T262" s="24">
        <f t="shared" si="12"/>
        <v>0</v>
      </c>
      <c r="U262" s="376">
        <v>61.15</v>
      </c>
      <c r="V262" s="376">
        <v>6.22</v>
      </c>
      <c r="W262" s="22">
        <f t="shared" si="13"/>
        <v>30.079684999999998</v>
      </c>
      <c r="X262" s="22">
        <f t="shared" si="14"/>
        <v>16.75</v>
      </c>
      <c r="Y262" s="22">
        <v>14.25</v>
      </c>
      <c r="Z262" s="22">
        <v>2.5</v>
      </c>
      <c r="AA262" s="371">
        <v>124.31</v>
      </c>
      <c r="AB262" s="22">
        <v>0.1347437856970477</v>
      </c>
      <c r="AC262" s="24">
        <v>0</v>
      </c>
      <c r="AD262" s="384">
        <v>0</v>
      </c>
    </row>
    <row r="263" spans="1:30">
      <c r="A263" s="21" t="s">
        <v>449</v>
      </c>
      <c r="B263" s="21" t="s">
        <v>450</v>
      </c>
      <c r="C263" s="23">
        <v>1327.22</v>
      </c>
      <c r="D263" s="147">
        <v>79.180000000000007</v>
      </c>
      <c r="E263" s="22">
        <v>337.19</v>
      </c>
      <c r="F263" s="22">
        <v>416.37</v>
      </c>
      <c r="G263" s="22">
        <v>0</v>
      </c>
      <c r="H263" s="22">
        <v>62.69</v>
      </c>
      <c r="I263" s="22">
        <v>3.43</v>
      </c>
      <c r="J263" s="22">
        <v>270.32</v>
      </c>
      <c r="K263" s="22">
        <v>6.6</v>
      </c>
      <c r="L263" s="22">
        <v>0</v>
      </c>
      <c r="M263" s="388">
        <v>4560.88</v>
      </c>
      <c r="N263" s="25">
        <v>0.29210000000000003</v>
      </c>
      <c r="O263" s="24">
        <v>17</v>
      </c>
      <c r="P263" s="24">
        <v>123.75</v>
      </c>
      <c r="Q263" s="24">
        <v>83.75</v>
      </c>
      <c r="R263" s="22">
        <v>40</v>
      </c>
      <c r="S263" s="24">
        <v>23</v>
      </c>
      <c r="T263" s="24">
        <f t="shared" si="12"/>
        <v>146.75</v>
      </c>
      <c r="U263" s="376">
        <v>1332.23</v>
      </c>
      <c r="V263" s="376">
        <v>228.04</v>
      </c>
      <c r="W263" s="22">
        <f t="shared" si="13"/>
        <v>389.14438300000006</v>
      </c>
      <c r="X263" s="22">
        <f t="shared" si="14"/>
        <v>625.5</v>
      </c>
      <c r="Y263" s="22">
        <v>357.75</v>
      </c>
      <c r="Z263" s="22">
        <v>267.75</v>
      </c>
      <c r="AA263" s="371">
        <v>4562.9399999999996</v>
      </c>
      <c r="AB263" s="22">
        <v>0.1370826703835685</v>
      </c>
      <c r="AC263" s="24">
        <v>2.0826703835684912E-3</v>
      </c>
      <c r="AD263" s="384">
        <v>-94624.942923005859</v>
      </c>
    </row>
    <row r="264" spans="1:30">
      <c r="A264" s="21" t="s">
        <v>115</v>
      </c>
      <c r="B264" s="21" t="s">
        <v>116</v>
      </c>
      <c r="C264" s="23">
        <v>9</v>
      </c>
      <c r="D264" s="147">
        <v>0</v>
      </c>
      <c r="E264" s="22">
        <v>0</v>
      </c>
      <c r="F264" s="22">
        <v>0</v>
      </c>
      <c r="G264" s="22">
        <v>0</v>
      </c>
      <c r="H264" s="22">
        <v>0</v>
      </c>
      <c r="I264" s="22">
        <v>0</v>
      </c>
      <c r="J264" s="22">
        <v>0</v>
      </c>
      <c r="K264" s="22">
        <v>0</v>
      </c>
      <c r="L264" s="22">
        <v>0</v>
      </c>
      <c r="M264" s="388">
        <v>13</v>
      </c>
      <c r="N264" s="25">
        <v>0</v>
      </c>
      <c r="O264" s="24">
        <v>0</v>
      </c>
      <c r="P264" s="24">
        <v>0</v>
      </c>
      <c r="Q264" s="24">
        <v>0</v>
      </c>
      <c r="R264" s="22">
        <v>0</v>
      </c>
      <c r="S264" s="24">
        <v>0</v>
      </c>
      <c r="T264" s="24">
        <f t="shared" si="12"/>
        <v>0</v>
      </c>
      <c r="U264" s="376">
        <v>0</v>
      </c>
      <c r="V264" s="376">
        <v>0</v>
      </c>
      <c r="W264" s="22">
        <f t="shared" si="13"/>
        <v>0</v>
      </c>
      <c r="X264" s="22">
        <f t="shared" si="14"/>
        <v>0</v>
      </c>
      <c r="Y264" s="22">
        <v>0</v>
      </c>
      <c r="Z264" s="22">
        <v>0</v>
      </c>
      <c r="AA264" s="371">
        <v>13</v>
      </c>
      <c r="AB264" s="22">
        <v>0</v>
      </c>
      <c r="AC264" s="24">
        <v>0</v>
      </c>
      <c r="AD264" s="384">
        <v>0</v>
      </c>
    </row>
    <row r="265" spans="1:30">
      <c r="A265" s="21" t="s">
        <v>75</v>
      </c>
      <c r="B265" s="21" t="s">
        <v>76</v>
      </c>
      <c r="C265" s="23">
        <v>13.4</v>
      </c>
      <c r="D265" s="147">
        <v>0</v>
      </c>
      <c r="E265" s="22">
        <v>0</v>
      </c>
      <c r="F265" s="22">
        <v>0</v>
      </c>
      <c r="G265" s="22">
        <v>0</v>
      </c>
      <c r="H265" s="22">
        <v>0</v>
      </c>
      <c r="I265" s="22">
        <v>0</v>
      </c>
      <c r="J265" s="22">
        <v>235.8</v>
      </c>
      <c r="K265" s="22">
        <v>0</v>
      </c>
      <c r="L265" s="22">
        <v>0</v>
      </c>
      <c r="M265" s="388">
        <v>264.2</v>
      </c>
      <c r="N265" s="25">
        <v>0.79169999999999996</v>
      </c>
      <c r="O265" s="24">
        <v>24</v>
      </c>
      <c r="P265" s="24">
        <v>0</v>
      </c>
      <c r="Q265" s="24">
        <v>0</v>
      </c>
      <c r="R265" s="22">
        <v>0</v>
      </c>
      <c r="S265" s="24">
        <v>0</v>
      </c>
      <c r="T265" s="24">
        <f t="shared" ref="T265:T325" si="15">S265+P265</f>
        <v>0</v>
      </c>
      <c r="U265" s="376">
        <v>237.78</v>
      </c>
      <c r="V265" s="376">
        <v>0</v>
      </c>
      <c r="W265" s="22">
        <f t="shared" ref="W265:W325" si="16">U265*N265</f>
        <v>188.250426</v>
      </c>
      <c r="X265" s="22">
        <f t="shared" ref="X265:X325" si="17">Y265+Z265</f>
        <v>27</v>
      </c>
      <c r="Y265" s="22">
        <v>27</v>
      </c>
      <c r="Z265" s="22">
        <v>0</v>
      </c>
      <c r="AA265" s="371">
        <v>264.2</v>
      </c>
      <c r="AB265" s="22">
        <v>0.10219530658591976</v>
      </c>
      <c r="AC265" s="24">
        <v>0</v>
      </c>
      <c r="AD265" s="384">
        <v>0</v>
      </c>
    </row>
    <row r="266" spans="1:30">
      <c r="A266" s="21" t="s">
        <v>31</v>
      </c>
      <c r="B266" s="21" t="s">
        <v>32</v>
      </c>
      <c r="C266" s="23">
        <v>2</v>
      </c>
      <c r="D266" s="147">
        <v>0</v>
      </c>
      <c r="E266" s="22">
        <v>0</v>
      </c>
      <c r="F266" s="22">
        <v>0</v>
      </c>
      <c r="G266" s="22">
        <v>0</v>
      </c>
      <c r="H266" s="22">
        <v>0</v>
      </c>
      <c r="I266" s="22">
        <v>0</v>
      </c>
      <c r="J266" s="22">
        <v>0</v>
      </c>
      <c r="K266" s="22">
        <v>0</v>
      </c>
      <c r="L266" s="22">
        <v>0</v>
      </c>
      <c r="M266" s="388">
        <v>11</v>
      </c>
      <c r="N266" s="25">
        <v>0</v>
      </c>
      <c r="O266" s="24">
        <v>0</v>
      </c>
      <c r="P266" s="24">
        <v>0</v>
      </c>
      <c r="Q266" s="24">
        <v>0</v>
      </c>
      <c r="R266" s="22">
        <v>0</v>
      </c>
      <c r="S266" s="24">
        <v>0</v>
      </c>
      <c r="T266" s="24">
        <f t="shared" si="15"/>
        <v>0</v>
      </c>
      <c r="U266" s="376">
        <v>0</v>
      </c>
      <c r="V266" s="376">
        <v>0</v>
      </c>
      <c r="W266" s="22">
        <f t="shared" si="16"/>
        <v>0</v>
      </c>
      <c r="X266" s="22">
        <f t="shared" si="17"/>
        <v>0</v>
      </c>
      <c r="Y266" s="22">
        <v>0</v>
      </c>
      <c r="Z266" s="22">
        <v>0</v>
      </c>
      <c r="AA266" s="371">
        <v>11</v>
      </c>
      <c r="AB266" s="22">
        <v>0</v>
      </c>
      <c r="AC266" s="24">
        <v>0</v>
      </c>
      <c r="AD266" s="384">
        <v>0</v>
      </c>
    </row>
    <row r="267" spans="1:30">
      <c r="A267" s="21" t="s">
        <v>361</v>
      </c>
      <c r="B267" s="21" t="s">
        <v>362</v>
      </c>
      <c r="C267" s="23">
        <v>932.02</v>
      </c>
      <c r="D267" s="147">
        <v>22.05</v>
      </c>
      <c r="E267" s="22">
        <v>235.26</v>
      </c>
      <c r="F267" s="22">
        <v>257.31</v>
      </c>
      <c r="G267" s="22">
        <v>0</v>
      </c>
      <c r="H267" s="22">
        <v>156.12</v>
      </c>
      <c r="I267" s="22">
        <v>3.43</v>
      </c>
      <c r="J267" s="22">
        <v>84.789999999999992</v>
      </c>
      <c r="K267" s="22">
        <v>14.6</v>
      </c>
      <c r="L267" s="22">
        <v>0</v>
      </c>
      <c r="M267" s="388">
        <v>3127.6499999999996</v>
      </c>
      <c r="N267" s="25">
        <v>0.23480000000000001</v>
      </c>
      <c r="O267" s="24">
        <v>39</v>
      </c>
      <c r="P267" s="24">
        <v>104.25</v>
      </c>
      <c r="Q267" s="24">
        <v>70.5</v>
      </c>
      <c r="R267" s="22">
        <v>33.75</v>
      </c>
      <c r="S267" s="24">
        <v>24.25</v>
      </c>
      <c r="T267" s="24">
        <f t="shared" si="15"/>
        <v>128.5</v>
      </c>
      <c r="U267" s="376">
        <v>733.43</v>
      </c>
      <c r="V267" s="376">
        <v>156.38</v>
      </c>
      <c r="W267" s="22">
        <f t="shared" si="16"/>
        <v>172.20936399999999</v>
      </c>
      <c r="X267" s="22">
        <f t="shared" si="17"/>
        <v>397.5</v>
      </c>
      <c r="Y267" s="22">
        <v>252.5</v>
      </c>
      <c r="Z267" s="22">
        <v>145</v>
      </c>
      <c r="AA267" s="371">
        <v>3154.54</v>
      </c>
      <c r="AB267" s="22">
        <v>0.12600886341590217</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38.599999999999994</v>
      </c>
      <c r="N268" s="25">
        <v>0</v>
      </c>
      <c r="O268" s="24">
        <v>0</v>
      </c>
      <c r="P268" s="24">
        <v>0</v>
      </c>
      <c r="Q268" s="24">
        <v>0</v>
      </c>
      <c r="R268" s="22">
        <v>0</v>
      </c>
      <c r="S268" s="24">
        <v>0</v>
      </c>
      <c r="T268" s="24">
        <f t="shared" si="15"/>
        <v>0</v>
      </c>
      <c r="U268" s="376">
        <v>0</v>
      </c>
      <c r="V268" s="376">
        <v>0</v>
      </c>
      <c r="W268" s="22">
        <f t="shared" si="16"/>
        <v>0</v>
      </c>
      <c r="X268" s="22">
        <f t="shared" si="17"/>
        <v>5.75</v>
      </c>
      <c r="Y268" s="22">
        <v>5.5</v>
      </c>
      <c r="Z268" s="22">
        <v>0.25</v>
      </c>
      <c r="AA268" s="371">
        <v>38.6</v>
      </c>
      <c r="AB268" s="22">
        <v>0.14896373056994819</v>
      </c>
      <c r="AC268" s="24">
        <v>1.396373056994818E-2</v>
      </c>
      <c r="AD268" s="384">
        <v>-4944.4551252238298</v>
      </c>
    </row>
    <row r="269" spans="1:30">
      <c r="A269" s="21" t="s">
        <v>421</v>
      </c>
      <c r="B269" s="21" t="s">
        <v>422</v>
      </c>
      <c r="C269" s="23">
        <v>204.63</v>
      </c>
      <c r="D269" s="147">
        <v>8.8800000000000008</v>
      </c>
      <c r="E269" s="22">
        <v>48.98</v>
      </c>
      <c r="F269" s="22">
        <v>57.86</v>
      </c>
      <c r="G269" s="22">
        <v>0</v>
      </c>
      <c r="H269" s="22">
        <v>2.48</v>
      </c>
      <c r="I269" s="22">
        <v>0.15</v>
      </c>
      <c r="J269" s="22">
        <v>0</v>
      </c>
      <c r="K269" s="22">
        <v>3.2</v>
      </c>
      <c r="L269" s="22">
        <v>0</v>
      </c>
      <c r="M269" s="388">
        <v>783.81000000000006</v>
      </c>
      <c r="N269" s="25">
        <v>0.51949999999999996</v>
      </c>
      <c r="O269" s="24">
        <v>793</v>
      </c>
      <c r="P269" s="24">
        <v>18.5</v>
      </c>
      <c r="Q269" s="24">
        <v>15</v>
      </c>
      <c r="R269" s="22">
        <v>3.5</v>
      </c>
      <c r="S269" s="24">
        <v>3</v>
      </c>
      <c r="T269" s="24">
        <f t="shared" si="15"/>
        <v>21.5</v>
      </c>
      <c r="U269" s="376">
        <v>406.72</v>
      </c>
      <c r="V269" s="376">
        <v>39.19</v>
      </c>
      <c r="W269" s="22">
        <f t="shared" si="16"/>
        <v>211.29104000000001</v>
      </c>
      <c r="X269" s="22">
        <f t="shared" si="17"/>
        <v>132.75</v>
      </c>
      <c r="Y269" s="22">
        <v>80.75</v>
      </c>
      <c r="Z269" s="22">
        <v>52</v>
      </c>
      <c r="AA269" s="371">
        <v>784.61</v>
      </c>
      <c r="AB269" s="22">
        <v>0.16919233759447369</v>
      </c>
      <c r="AC269" s="24">
        <v>3.4192337594473682E-2</v>
      </c>
      <c r="AD269" s="384">
        <v>-232301.21662263654</v>
      </c>
    </row>
    <row r="270" spans="1:30">
      <c r="A270" s="21" t="s">
        <v>443</v>
      </c>
      <c r="B270" s="21" t="s">
        <v>444</v>
      </c>
      <c r="C270" s="23">
        <v>595.20000000000005</v>
      </c>
      <c r="D270" s="147">
        <v>0</v>
      </c>
      <c r="E270" s="22">
        <v>145.77000000000001</v>
      </c>
      <c r="F270" s="22">
        <v>145.77000000000001</v>
      </c>
      <c r="G270" s="22">
        <v>0</v>
      </c>
      <c r="H270" s="22">
        <v>14.68</v>
      </c>
      <c r="I270" s="22">
        <v>0.59</v>
      </c>
      <c r="J270" s="22">
        <v>91.539999999999992</v>
      </c>
      <c r="K270" s="22">
        <v>11</v>
      </c>
      <c r="L270" s="22">
        <v>0</v>
      </c>
      <c r="M270" s="388">
        <v>1932.7799999999997</v>
      </c>
      <c r="N270" s="25">
        <v>0.55559999999999998</v>
      </c>
      <c r="O270" s="24">
        <v>1899</v>
      </c>
      <c r="P270" s="24">
        <v>214.75</v>
      </c>
      <c r="Q270" s="24">
        <v>149.25</v>
      </c>
      <c r="R270" s="22">
        <v>65.5</v>
      </c>
      <c r="S270" s="24">
        <v>46.5</v>
      </c>
      <c r="T270" s="24">
        <f t="shared" si="15"/>
        <v>261.25</v>
      </c>
      <c r="U270" s="376">
        <v>1073.8499999999999</v>
      </c>
      <c r="V270" s="376">
        <v>96.64</v>
      </c>
      <c r="W270" s="22">
        <f t="shared" si="16"/>
        <v>596.63105999999993</v>
      </c>
      <c r="X270" s="22">
        <f t="shared" si="17"/>
        <v>320.5</v>
      </c>
      <c r="Y270" s="22">
        <v>159.25</v>
      </c>
      <c r="Z270" s="22">
        <v>161.25</v>
      </c>
      <c r="AA270" s="371">
        <v>1943.38</v>
      </c>
      <c r="AB270" s="22">
        <v>0.16491885272051784</v>
      </c>
      <c r="AC270" s="24">
        <v>2.9918852720517836E-2</v>
      </c>
      <c r="AD270" s="384">
        <v>-576783.34020829014</v>
      </c>
    </row>
    <row r="271" spans="1:30">
      <c r="A271" s="21" t="s">
        <v>1022</v>
      </c>
      <c r="B271" s="21" t="s">
        <v>1040</v>
      </c>
      <c r="C271" s="23">
        <v>0</v>
      </c>
      <c r="D271" s="147">
        <v>0</v>
      </c>
      <c r="E271" s="22">
        <v>0</v>
      </c>
      <c r="F271" s="22">
        <v>0</v>
      </c>
      <c r="G271" s="22">
        <v>0</v>
      </c>
      <c r="H271" s="22">
        <v>6.69</v>
      </c>
      <c r="I271" s="22">
        <v>0.25</v>
      </c>
      <c r="J271" s="22">
        <v>0</v>
      </c>
      <c r="K271" s="22">
        <v>0</v>
      </c>
      <c r="L271" s="22">
        <v>0</v>
      </c>
      <c r="M271" s="388">
        <v>467.44</v>
      </c>
      <c r="N271" s="25">
        <v>0.52980000000000005</v>
      </c>
      <c r="O271" s="24">
        <v>464</v>
      </c>
      <c r="P271" s="24">
        <v>74.25</v>
      </c>
      <c r="Q271" s="24">
        <v>12.5</v>
      </c>
      <c r="R271" s="22">
        <v>61.75</v>
      </c>
      <c r="S271" s="24">
        <v>16.75</v>
      </c>
      <c r="T271" s="24">
        <f t="shared" si="15"/>
        <v>91</v>
      </c>
      <c r="U271" s="376">
        <v>247.65</v>
      </c>
      <c r="V271" s="376">
        <v>23.37</v>
      </c>
      <c r="W271" s="22">
        <f t="shared" si="16"/>
        <v>131.20497</v>
      </c>
      <c r="X271" s="22">
        <f t="shared" si="17"/>
        <v>84.25</v>
      </c>
      <c r="Y271" s="22">
        <v>82.5</v>
      </c>
      <c r="Z271" s="22">
        <v>1.75</v>
      </c>
      <c r="AA271" s="371">
        <v>467.46</v>
      </c>
      <c r="AB271" s="22">
        <v>0.18022932443417619</v>
      </c>
      <c r="AC271" s="24">
        <v>4.5229324434176182E-2</v>
      </c>
      <c r="AD271" s="384">
        <v>-192941.79440830115</v>
      </c>
    </row>
    <row r="272" spans="1:30">
      <c r="A272" s="21" t="s">
        <v>391</v>
      </c>
      <c r="B272" s="21" t="s">
        <v>392</v>
      </c>
      <c r="C272" s="23">
        <v>0</v>
      </c>
      <c r="D272" s="147">
        <v>0</v>
      </c>
      <c r="E272" s="22">
        <v>0</v>
      </c>
      <c r="F272" s="22">
        <v>0</v>
      </c>
      <c r="G272" s="22">
        <v>0</v>
      </c>
      <c r="H272" s="22">
        <v>0</v>
      </c>
      <c r="I272" s="22">
        <v>0</v>
      </c>
      <c r="J272" s="22">
        <v>0</v>
      </c>
      <c r="K272" s="22">
        <v>0</v>
      </c>
      <c r="L272" s="22">
        <v>0</v>
      </c>
      <c r="M272" s="388">
        <v>178.6</v>
      </c>
      <c r="N272" s="25">
        <v>0.66490000000000005</v>
      </c>
      <c r="O272" s="24">
        <v>181</v>
      </c>
      <c r="P272" s="24">
        <v>16.75</v>
      </c>
      <c r="Q272" s="24">
        <v>0</v>
      </c>
      <c r="R272" s="22">
        <v>16.75</v>
      </c>
      <c r="S272" s="24">
        <v>0</v>
      </c>
      <c r="T272" s="24">
        <f t="shared" si="15"/>
        <v>16.75</v>
      </c>
      <c r="U272" s="376">
        <v>118.75</v>
      </c>
      <c r="V272" s="376">
        <v>8.93</v>
      </c>
      <c r="W272" s="22">
        <f t="shared" si="16"/>
        <v>78.956875000000011</v>
      </c>
      <c r="X272" s="22">
        <f t="shared" si="17"/>
        <v>27</v>
      </c>
      <c r="Y272" s="22">
        <v>25</v>
      </c>
      <c r="Z272" s="22">
        <v>2</v>
      </c>
      <c r="AA272" s="371">
        <v>178.6</v>
      </c>
      <c r="AB272" s="22">
        <v>0.15117581187010079</v>
      </c>
      <c r="AC272" s="24">
        <v>1.6175811870100781E-2</v>
      </c>
      <c r="AD272" s="384">
        <v>-26005.262595761043</v>
      </c>
    </row>
    <row r="273" spans="1:30">
      <c r="A273" s="21" t="s">
        <v>221</v>
      </c>
      <c r="B273" s="21" t="s">
        <v>222</v>
      </c>
      <c r="C273" s="23">
        <v>0</v>
      </c>
      <c r="D273" s="147">
        <v>0</v>
      </c>
      <c r="E273" s="22">
        <v>0</v>
      </c>
      <c r="F273" s="22">
        <v>0</v>
      </c>
      <c r="G273" s="22">
        <v>0</v>
      </c>
      <c r="H273" s="22">
        <v>4.04</v>
      </c>
      <c r="I273" s="22">
        <v>0.18</v>
      </c>
      <c r="J273" s="22">
        <v>0</v>
      </c>
      <c r="K273" s="22">
        <v>0</v>
      </c>
      <c r="L273" s="22">
        <v>0</v>
      </c>
      <c r="M273" s="388">
        <v>307.07000000000005</v>
      </c>
      <c r="N273" s="25">
        <v>0.37430000000000002</v>
      </c>
      <c r="O273" s="24">
        <v>0</v>
      </c>
      <c r="P273" s="24">
        <v>49.25</v>
      </c>
      <c r="Q273" s="24">
        <v>0</v>
      </c>
      <c r="R273" s="22">
        <v>49.25</v>
      </c>
      <c r="S273" s="24">
        <v>0.25</v>
      </c>
      <c r="T273" s="24">
        <f t="shared" si="15"/>
        <v>49.5</v>
      </c>
      <c r="U273" s="376">
        <v>114.94</v>
      </c>
      <c r="V273" s="376">
        <v>15.35</v>
      </c>
      <c r="W273" s="22">
        <f t="shared" si="16"/>
        <v>43.022041999999999</v>
      </c>
      <c r="X273" s="22">
        <f t="shared" si="17"/>
        <v>59</v>
      </c>
      <c r="Y273" s="22">
        <v>58.5</v>
      </c>
      <c r="Z273" s="22">
        <v>0.5</v>
      </c>
      <c r="AA273" s="371">
        <v>307.62</v>
      </c>
      <c r="AB273" s="22">
        <v>0.19179507184188285</v>
      </c>
      <c r="AC273" s="24">
        <v>5.6795071841882844E-2</v>
      </c>
      <c r="AD273" s="384">
        <v>-163509.33074694473</v>
      </c>
    </row>
    <row r="274" spans="1:30">
      <c r="A274" s="21" t="s">
        <v>495</v>
      </c>
      <c r="B274" s="21" t="s">
        <v>496</v>
      </c>
      <c r="C274" s="23">
        <v>35.6</v>
      </c>
      <c r="D274" s="147">
        <v>0</v>
      </c>
      <c r="E274" s="22">
        <v>0</v>
      </c>
      <c r="F274" s="22">
        <v>0</v>
      </c>
      <c r="G274" s="22">
        <v>0</v>
      </c>
      <c r="H274" s="22">
        <v>0</v>
      </c>
      <c r="I274" s="22">
        <v>0</v>
      </c>
      <c r="J274" s="22">
        <v>0</v>
      </c>
      <c r="K274" s="22">
        <v>0</v>
      </c>
      <c r="L274" s="22">
        <v>0</v>
      </c>
      <c r="M274" s="388">
        <v>71.69</v>
      </c>
      <c r="N274" s="25">
        <v>0.84930000000000005</v>
      </c>
      <c r="O274" s="24">
        <v>73</v>
      </c>
      <c r="P274" s="24">
        <v>0</v>
      </c>
      <c r="Q274" s="24">
        <v>0</v>
      </c>
      <c r="R274" s="22">
        <v>0</v>
      </c>
      <c r="S274" s="24">
        <v>0</v>
      </c>
      <c r="T274" s="24">
        <f t="shared" si="15"/>
        <v>0</v>
      </c>
      <c r="U274" s="376">
        <v>60.89</v>
      </c>
      <c r="V274" s="376">
        <v>3.58</v>
      </c>
      <c r="W274" s="22">
        <f t="shared" si="16"/>
        <v>51.713877000000004</v>
      </c>
      <c r="X274" s="22">
        <f t="shared" si="17"/>
        <v>8.5</v>
      </c>
      <c r="Y274" s="22">
        <v>5.25</v>
      </c>
      <c r="Z274" s="22">
        <v>3.25</v>
      </c>
      <c r="AA274" s="371">
        <v>71.69</v>
      </c>
      <c r="AB274" s="22">
        <v>0.11856604826335612</v>
      </c>
      <c r="AC274" s="24">
        <v>0</v>
      </c>
      <c r="AD274" s="384">
        <v>0</v>
      </c>
    </row>
    <row r="275" spans="1:30">
      <c r="A275" s="21" t="s">
        <v>371</v>
      </c>
      <c r="B275" s="21" t="s">
        <v>372</v>
      </c>
      <c r="C275" s="23">
        <v>2830.11</v>
      </c>
      <c r="D275" s="147">
        <v>111.35</v>
      </c>
      <c r="E275" s="22">
        <v>543.55999999999995</v>
      </c>
      <c r="F275" s="22">
        <v>654.91</v>
      </c>
      <c r="G275" s="22">
        <v>0</v>
      </c>
      <c r="H275" s="22">
        <v>205.08</v>
      </c>
      <c r="I275" s="22">
        <v>6.67</v>
      </c>
      <c r="J275" s="22">
        <v>153.51999999999998</v>
      </c>
      <c r="K275" s="22">
        <v>0</v>
      </c>
      <c r="L275" s="22">
        <v>0</v>
      </c>
      <c r="M275" s="388">
        <v>9874.77</v>
      </c>
      <c r="N275" s="25">
        <v>0.29110000000000003</v>
      </c>
      <c r="O275" s="24">
        <v>433</v>
      </c>
      <c r="P275" s="24">
        <v>412.25</v>
      </c>
      <c r="Q275" s="24">
        <v>244.25</v>
      </c>
      <c r="R275" s="22">
        <v>168</v>
      </c>
      <c r="S275" s="24">
        <v>73.75</v>
      </c>
      <c r="T275" s="24">
        <f t="shared" si="15"/>
        <v>486</v>
      </c>
      <c r="U275" s="376">
        <v>2874.55</v>
      </c>
      <c r="V275" s="376">
        <v>493.74</v>
      </c>
      <c r="W275" s="22">
        <f t="shared" si="16"/>
        <v>836.78150500000015</v>
      </c>
      <c r="X275" s="22">
        <f t="shared" si="17"/>
        <v>1160.25</v>
      </c>
      <c r="Y275" s="22">
        <v>717</v>
      </c>
      <c r="Z275" s="22">
        <v>443.25</v>
      </c>
      <c r="AA275" s="371">
        <v>9946.02</v>
      </c>
      <c r="AB275" s="22">
        <v>0.11665470208183776</v>
      </c>
      <c r="AC275" s="24">
        <v>0</v>
      </c>
      <c r="AD275" s="384">
        <v>0</v>
      </c>
    </row>
    <row r="276" spans="1:30">
      <c r="A276" s="21" t="s">
        <v>595</v>
      </c>
      <c r="B276" s="21" t="s">
        <v>596</v>
      </c>
      <c r="C276" s="23">
        <v>1786.84</v>
      </c>
      <c r="D276" s="147">
        <v>0</v>
      </c>
      <c r="E276" s="22">
        <v>264.54000000000002</v>
      </c>
      <c r="F276" s="22">
        <v>264.54000000000002</v>
      </c>
      <c r="G276" s="22">
        <v>0</v>
      </c>
      <c r="H276" s="22">
        <v>84.59</v>
      </c>
      <c r="I276" s="22">
        <v>7.89</v>
      </c>
      <c r="J276" s="22">
        <v>28.52</v>
      </c>
      <c r="K276" s="22">
        <v>4</v>
      </c>
      <c r="L276" s="22">
        <v>0</v>
      </c>
      <c r="M276" s="388">
        <v>6442.13</v>
      </c>
      <c r="N276" s="25">
        <v>0.93879999999999997</v>
      </c>
      <c r="O276" s="24">
        <v>6485</v>
      </c>
      <c r="P276" s="24">
        <v>2011.75</v>
      </c>
      <c r="Q276" s="24">
        <v>1235.75</v>
      </c>
      <c r="R276" s="22">
        <v>776</v>
      </c>
      <c r="S276" s="24">
        <v>238.25</v>
      </c>
      <c r="T276" s="24">
        <f t="shared" si="15"/>
        <v>2250</v>
      </c>
      <c r="U276" s="376">
        <v>6047.87</v>
      </c>
      <c r="V276" s="376">
        <v>322.11</v>
      </c>
      <c r="W276" s="22">
        <f t="shared" si="16"/>
        <v>5677.7403559999993</v>
      </c>
      <c r="X276" s="22">
        <f t="shared" si="17"/>
        <v>860.5</v>
      </c>
      <c r="Y276" s="22">
        <v>358.5</v>
      </c>
      <c r="Z276" s="22">
        <v>502</v>
      </c>
      <c r="AA276" s="371">
        <v>6480.05</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5"/>
        <v>0</v>
      </c>
      <c r="U277" s="376">
        <v>54.78</v>
      </c>
      <c r="V277" s="376">
        <v>0</v>
      </c>
      <c r="W277" s="22">
        <f t="shared" si="16"/>
        <v>34.801733999999996</v>
      </c>
      <c r="X277" s="22">
        <f t="shared" si="17"/>
        <v>17.75</v>
      </c>
      <c r="Y277" s="22">
        <v>16.75</v>
      </c>
      <c r="Z277" s="22">
        <v>1</v>
      </c>
      <c r="AA277" s="371">
        <v>86.21</v>
      </c>
      <c r="AB277" s="22">
        <v>0.20589258786683681</v>
      </c>
      <c r="AC277" s="24">
        <v>7.0892587866836804E-2</v>
      </c>
      <c r="AD277" s="384">
        <v>-55950.556898094183</v>
      </c>
    </row>
    <row r="278" spans="1:30">
      <c r="A278" s="21" t="s">
        <v>365</v>
      </c>
      <c r="B278" s="21" t="s">
        <v>366</v>
      </c>
      <c r="C278" s="23">
        <v>7802.64</v>
      </c>
      <c r="D278" s="147">
        <v>288.02</v>
      </c>
      <c r="E278" s="22">
        <v>1665.12</v>
      </c>
      <c r="F278" s="22">
        <v>1953.1399999999999</v>
      </c>
      <c r="G278" s="22">
        <v>0</v>
      </c>
      <c r="H278" s="22">
        <v>403.85</v>
      </c>
      <c r="I278" s="22">
        <v>22.45</v>
      </c>
      <c r="J278" s="22">
        <v>1571.94</v>
      </c>
      <c r="K278" s="22">
        <v>241.43</v>
      </c>
      <c r="L278" s="22">
        <v>13.44</v>
      </c>
      <c r="M278" s="388">
        <v>27273.629999999997</v>
      </c>
      <c r="N278" s="25">
        <v>0.57699999999999996</v>
      </c>
      <c r="O278" s="24">
        <v>18010</v>
      </c>
      <c r="P278" s="24">
        <v>2957.29</v>
      </c>
      <c r="Q278" s="24">
        <v>1815.75</v>
      </c>
      <c r="R278" s="22">
        <v>1141.54</v>
      </c>
      <c r="S278" s="24">
        <v>476.5</v>
      </c>
      <c r="T278" s="24">
        <f t="shared" si="15"/>
        <v>3433.79</v>
      </c>
      <c r="U278" s="376">
        <v>15736.88</v>
      </c>
      <c r="V278" s="376">
        <v>1363.68</v>
      </c>
      <c r="W278" s="22">
        <f t="shared" si="16"/>
        <v>9080.1797599999991</v>
      </c>
      <c r="X278" s="22">
        <f t="shared" si="17"/>
        <v>3920.25</v>
      </c>
      <c r="Y278" s="22">
        <v>2416.75</v>
      </c>
      <c r="Z278" s="22">
        <v>1503.5</v>
      </c>
      <c r="AA278" s="371">
        <v>27456.87</v>
      </c>
      <c r="AB278" s="22">
        <v>0.14277847402125587</v>
      </c>
      <c r="AC278" s="24">
        <v>7.7784740212558656E-3</v>
      </c>
      <c r="AD278" s="384">
        <v>-2029217.3932077705</v>
      </c>
    </row>
    <row r="279" spans="1:30">
      <c r="A279" s="21" t="s">
        <v>153</v>
      </c>
      <c r="B279" s="21" t="s">
        <v>154</v>
      </c>
      <c r="C279" s="23">
        <v>38.799999999999997</v>
      </c>
      <c r="D279" s="147">
        <v>0</v>
      </c>
      <c r="E279" s="22">
        <v>3.58</v>
      </c>
      <c r="F279" s="22">
        <v>3.58</v>
      </c>
      <c r="G279" s="22">
        <v>0</v>
      </c>
      <c r="H279" s="22">
        <v>0</v>
      </c>
      <c r="I279" s="22">
        <v>0</v>
      </c>
      <c r="J279" s="22">
        <v>0</v>
      </c>
      <c r="K279" s="22">
        <v>0</v>
      </c>
      <c r="L279" s="22">
        <v>0</v>
      </c>
      <c r="M279" s="388">
        <v>158.76999999999998</v>
      </c>
      <c r="N279" s="25">
        <v>0.77329999999999999</v>
      </c>
      <c r="O279" s="24">
        <v>160</v>
      </c>
      <c r="P279" s="24">
        <v>0</v>
      </c>
      <c r="Q279" s="24">
        <v>0</v>
      </c>
      <c r="R279" s="22">
        <v>0</v>
      </c>
      <c r="S279" s="24">
        <v>0</v>
      </c>
      <c r="T279" s="24">
        <f t="shared" si="15"/>
        <v>0</v>
      </c>
      <c r="U279" s="376">
        <v>122.78</v>
      </c>
      <c r="V279" s="376">
        <v>0</v>
      </c>
      <c r="W279" s="22">
        <f t="shared" si="16"/>
        <v>94.945774</v>
      </c>
      <c r="X279" s="22">
        <f t="shared" si="17"/>
        <v>41.75</v>
      </c>
      <c r="Y279" s="22">
        <v>38.75</v>
      </c>
      <c r="Z279" s="22">
        <v>3</v>
      </c>
      <c r="AA279" s="371">
        <v>158.77000000000001</v>
      </c>
      <c r="AB279" s="22">
        <v>0.26295899729167976</v>
      </c>
      <c r="AC279" s="24">
        <v>0.12795899729167975</v>
      </c>
      <c r="AD279" s="384">
        <v>-176367.35468837753</v>
      </c>
    </row>
    <row r="280" spans="1:30">
      <c r="A280" s="21" t="s">
        <v>207</v>
      </c>
      <c r="B280" s="21" t="s">
        <v>208</v>
      </c>
      <c r="C280" s="23">
        <v>2586.64</v>
      </c>
      <c r="D280" s="147">
        <v>38.25</v>
      </c>
      <c r="E280" s="22">
        <v>528.95000000000005</v>
      </c>
      <c r="F280" s="22">
        <v>567.20000000000005</v>
      </c>
      <c r="G280" s="22">
        <v>0</v>
      </c>
      <c r="H280" s="22">
        <v>189.47</v>
      </c>
      <c r="I280" s="22">
        <v>17.28</v>
      </c>
      <c r="J280" s="22">
        <v>0</v>
      </c>
      <c r="K280" s="22">
        <v>14.56</v>
      </c>
      <c r="L280" s="22">
        <v>1.24</v>
      </c>
      <c r="M280" s="388">
        <v>8668.48</v>
      </c>
      <c r="N280" s="25">
        <v>0.13159999999999999</v>
      </c>
      <c r="O280" s="24">
        <v>0</v>
      </c>
      <c r="P280" s="24">
        <v>356</v>
      </c>
      <c r="Q280" s="24">
        <v>296.25</v>
      </c>
      <c r="R280" s="22">
        <v>59.75</v>
      </c>
      <c r="S280" s="24">
        <v>123</v>
      </c>
      <c r="T280" s="24">
        <f t="shared" si="15"/>
        <v>479</v>
      </c>
      <c r="U280" s="376">
        <v>1141.6400000000001</v>
      </c>
      <c r="V280" s="376">
        <v>433.42</v>
      </c>
      <c r="W280" s="22">
        <f t="shared" si="16"/>
        <v>150.239824</v>
      </c>
      <c r="X280" s="22">
        <f t="shared" si="17"/>
        <v>1009.5</v>
      </c>
      <c r="Y280" s="22">
        <v>514.25</v>
      </c>
      <c r="Z280" s="22">
        <v>495.25</v>
      </c>
      <c r="AA280" s="371">
        <v>8679.9599999999991</v>
      </c>
      <c r="AB280" s="22">
        <v>0.11630237927363722</v>
      </c>
      <c r="AC280" s="24">
        <v>0</v>
      </c>
      <c r="AD280" s="384">
        <v>0</v>
      </c>
    </row>
    <row r="281" spans="1:30">
      <c r="A281" s="21" t="s">
        <v>559</v>
      </c>
      <c r="B281" s="21" t="s">
        <v>560</v>
      </c>
      <c r="C281" s="23">
        <v>55.46</v>
      </c>
      <c r="D281" s="147">
        <v>3.3</v>
      </c>
      <c r="E281" s="22">
        <v>21.49</v>
      </c>
      <c r="F281" s="22">
        <v>24.79</v>
      </c>
      <c r="G281" s="22">
        <v>0</v>
      </c>
      <c r="H281" s="22">
        <v>5.28</v>
      </c>
      <c r="I281" s="22">
        <v>0</v>
      </c>
      <c r="J281" s="22">
        <v>6.3100000000000005</v>
      </c>
      <c r="K281" s="22">
        <v>0</v>
      </c>
      <c r="L281" s="22">
        <v>0</v>
      </c>
      <c r="M281" s="388">
        <v>192.05999999999997</v>
      </c>
      <c r="N281" s="25">
        <v>0.65629999999999999</v>
      </c>
      <c r="O281" s="24">
        <v>192</v>
      </c>
      <c r="P281" s="24">
        <v>0</v>
      </c>
      <c r="Q281" s="24">
        <v>0</v>
      </c>
      <c r="R281" s="22">
        <v>0</v>
      </c>
      <c r="S281" s="24">
        <v>0</v>
      </c>
      <c r="T281" s="24">
        <f t="shared" si="15"/>
        <v>0</v>
      </c>
      <c r="U281" s="376">
        <v>121.04</v>
      </c>
      <c r="V281" s="376">
        <v>0</v>
      </c>
      <c r="W281" s="22">
        <f t="shared" si="16"/>
        <v>79.438552000000001</v>
      </c>
      <c r="X281" s="22">
        <f t="shared" si="17"/>
        <v>37.25</v>
      </c>
      <c r="Y281" s="22">
        <v>28.25</v>
      </c>
      <c r="Z281" s="22">
        <v>9</v>
      </c>
      <c r="AA281" s="371">
        <v>192.07</v>
      </c>
      <c r="AB281" s="22">
        <v>0.19393970948091843</v>
      </c>
      <c r="AC281" s="24">
        <v>5.8939709480918423E-2</v>
      </c>
      <c r="AD281" s="384">
        <v>-101465.55951364517</v>
      </c>
    </row>
    <row r="282" spans="1:30">
      <c r="A282" s="21" t="s">
        <v>521</v>
      </c>
      <c r="B282" s="21" t="s">
        <v>522</v>
      </c>
      <c r="C282" s="23">
        <v>350.26</v>
      </c>
      <c r="D282" s="147">
        <v>28.85</v>
      </c>
      <c r="E282" s="22">
        <v>89.12</v>
      </c>
      <c r="F282" s="22">
        <v>117.97</v>
      </c>
      <c r="G282" s="22">
        <v>0</v>
      </c>
      <c r="H282" s="22">
        <v>16.02</v>
      </c>
      <c r="I282" s="22">
        <v>1.05</v>
      </c>
      <c r="J282" s="22">
        <v>0</v>
      </c>
      <c r="K282" s="22">
        <v>9</v>
      </c>
      <c r="L282" s="22">
        <v>0</v>
      </c>
      <c r="M282" s="388">
        <v>1235.96</v>
      </c>
      <c r="N282" s="25">
        <v>0.47820000000000001</v>
      </c>
      <c r="O282" s="24">
        <v>852</v>
      </c>
      <c r="P282" s="24">
        <v>9</v>
      </c>
      <c r="Q282" s="24">
        <v>2</v>
      </c>
      <c r="R282" s="22">
        <v>7</v>
      </c>
      <c r="S282" s="24">
        <v>1</v>
      </c>
      <c r="T282" s="24">
        <f t="shared" si="15"/>
        <v>10</v>
      </c>
      <c r="U282" s="376">
        <v>591.04</v>
      </c>
      <c r="V282" s="376">
        <v>61.8</v>
      </c>
      <c r="W282" s="22">
        <f t="shared" si="16"/>
        <v>282.63532800000002</v>
      </c>
      <c r="X282" s="22">
        <f t="shared" si="17"/>
        <v>192</v>
      </c>
      <c r="Y282" s="22">
        <v>93.75</v>
      </c>
      <c r="Z282" s="22">
        <v>98.25</v>
      </c>
      <c r="AA282" s="371">
        <v>1242.97</v>
      </c>
      <c r="AB282" s="22">
        <v>0.15446873214960941</v>
      </c>
      <c r="AC282" s="24">
        <v>1.9468732149609397E-2</v>
      </c>
      <c r="AD282" s="384">
        <v>-210669.77477733555</v>
      </c>
    </row>
    <row r="283" spans="1:30">
      <c r="A283" s="21" t="s">
        <v>243</v>
      </c>
      <c r="B283" s="21" t="s">
        <v>244</v>
      </c>
      <c r="C283" s="23">
        <v>75.930000000000007</v>
      </c>
      <c r="D283" s="147">
        <v>3.47</v>
      </c>
      <c r="E283" s="22">
        <v>10.039999999999999</v>
      </c>
      <c r="F283" s="22">
        <v>13.51</v>
      </c>
      <c r="G283" s="22">
        <v>0</v>
      </c>
      <c r="H283" s="22">
        <v>7</v>
      </c>
      <c r="I283" s="22">
        <v>0</v>
      </c>
      <c r="J283" s="22">
        <v>0</v>
      </c>
      <c r="K283" s="22">
        <v>0</v>
      </c>
      <c r="L283" s="22">
        <v>0</v>
      </c>
      <c r="M283" s="388">
        <v>223.17999999999998</v>
      </c>
      <c r="N283" s="25">
        <v>0.47689999999999999</v>
      </c>
      <c r="O283" s="24">
        <v>0</v>
      </c>
      <c r="P283" s="24">
        <v>2</v>
      </c>
      <c r="Q283" s="24">
        <v>1.5</v>
      </c>
      <c r="R283" s="22">
        <v>0.5</v>
      </c>
      <c r="S283" s="24">
        <v>1.5</v>
      </c>
      <c r="T283" s="24">
        <f t="shared" si="15"/>
        <v>3.5</v>
      </c>
      <c r="U283" s="376">
        <v>106.43</v>
      </c>
      <c r="V283" s="376">
        <v>11.16</v>
      </c>
      <c r="W283" s="22">
        <f t="shared" si="16"/>
        <v>50.756467000000001</v>
      </c>
      <c r="X283" s="22">
        <f t="shared" si="17"/>
        <v>31.5</v>
      </c>
      <c r="Y283" s="22">
        <v>26.5</v>
      </c>
      <c r="Z283" s="22">
        <v>5</v>
      </c>
      <c r="AA283" s="371">
        <v>224.18</v>
      </c>
      <c r="AB283" s="22">
        <v>0.14051208850031224</v>
      </c>
      <c r="AC283" s="24">
        <v>5.5120885003122344E-3</v>
      </c>
      <c r="AD283" s="384">
        <v>-10928.074648918466</v>
      </c>
    </row>
    <row r="284" spans="1:30">
      <c r="A284" s="21" t="s">
        <v>285</v>
      </c>
      <c r="B284" s="21" t="s">
        <v>286</v>
      </c>
      <c r="C284" s="23">
        <v>263.68</v>
      </c>
      <c r="D284" s="147">
        <v>17.43</v>
      </c>
      <c r="E284" s="22">
        <v>49.86</v>
      </c>
      <c r="F284" s="22">
        <v>67.289999999999992</v>
      </c>
      <c r="G284" s="22">
        <v>0</v>
      </c>
      <c r="H284" s="22">
        <v>15.81</v>
      </c>
      <c r="I284" s="22">
        <v>2.13</v>
      </c>
      <c r="J284" s="22">
        <v>49.8</v>
      </c>
      <c r="K284" s="22">
        <v>0.4</v>
      </c>
      <c r="L284" s="22">
        <v>0</v>
      </c>
      <c r="M284" s="388">
        <v>800.58999999999992</v>
      </c>
      <c r="N284" s="25">
        <v>0.52</v>
      </c>
      <c r="O284" s="24">
        <v>601</v>
      </c>
      <c r="P284" s="24">
        <v>8</v>
      </c>
      <c r="Q284" s="24">
        <v>3</v>
      </c>
      <c r="R284" s="22">
        <v>5</v>
      </c>
      <c r="S284" s="24">
        <v>0.75</v>
      </c>
      <c r="T284" s="24">
        <f t="shared" si="15"/>
        <v>8.75</v>
      </c>
      <c r="U284" s="376">
        <v>416.31</v>
      </c>
      <c r="V284" s="376">
        <v>40.03</v>
      </c>
      <c r="W284" s="22">
        <f t="shared" si="16"/>
        <v>216.4812</v>
      </c>
      <c r="X284" s="22">
        <f t="shared" si="17"/>
        <v>111.75</v>
      </c>
      <c r="Y284" s="22">
        <v>61</v>
      </c>
      <c r="Z284" s="22">
        <v>50.75</v>
      </c>
      <c r="AA284" s="371">
        <v>798.78</v>
      </c>
      <c r="AB284" s="22">
        <v>0.13990084879441148</v>
      </c>
      <c r="AC284" s="24">
        <v>4.9008487944114665E-3</v>
      </c>
      <c r="AD284" s="384">
        <v>-35341.638829700947</v>
      </c>
    </row>
    <row r="285" spans="1:30">
      <c r="A285" s="21" t="s">
        <v>339</v>
      </c>
      <c r="B285" s="21" t="s">
        <v>340</v>
      </c>
      <c r="C285" s="23">
        <v>275.39999999999998</v>
      </c>
      <c r="D285" s="147">
        <v>12.14</v>
      </c>
      <c r="E285" s="22">
        <v>30.54</v>
      </c>
      <c r="F285" s="22">
        <v>42.68</v>
      </c>
      <c r="G285" s="22">
        <v>0</v>
      </c>
      <c r="H285" s="22">
        <v>50.03</v>
      </c>
      <c r="I285" s="22">
        <v>4.07</v>
      </c>
      <c r="J285" s="22">
        <v>113.13999999999999</v>
      </c>
      <c r="K285" s="22">
        <v>0</v>
      </c>
      <c r="L285" s="22">
        <v>0</v>
      </c>
      <c r="M285" s="388">
        <v>1140.73</v>
      </c>
      <c r="N285" s="25">
        <v>0.76719999999999999</v>
      </c>
      <c r="O285" s="24">
        <v>1134</v>
      </c>
      <c r="P285" s="24">
        <v>128.75</v>
      </c>
      <c r="Q285" s="24">
        <v>91</v>
      </c>
      <c r="R285" s="22">
        <v>37.75</v>
      </c>
      <c r="S285" s="24">
        <v>30</v>
      </c>
      <c r="T285" s="24">
        <f t="shared" si="15"/>
        <v>158.75</v>
      </c>
      <c r="U285" s="376">
        <v>875.17</v>
      </c>
      <c r="V285" s="376">
        <v>57.04</v>
      </c>
      <c r="W285" s="22">
        <f t="shared" si="16"/>
        <v>671.43042400000002</v>
      </c>
      <c r="X285" s="22">
        <f t="shared" si="17"/>
        <v>123</v>
      </c>
      <c r="Y285" s="22">
        <v>78.75</v>
      </c>
      <c r="Z285" s="22">
        <v>44.25</v>
      </c>
      <c r="AA285" s="371">
        <v>1140.73</v>
      </c>
      <c r="AB285" s="22">
        <v>0.10782569056656702</v>
      </c>
      <c r="AC285" s="24">
        <v>0</v>
      </c>
      <c r="AD285" s="384">
        <v>0</v>
      </c>
    </row>
    <row r="286" spans="1:30">
      <c r="A286" s="21" t="s">
        <v>597</v>
      </c>
      <c r="B286" s="21" t="s">
        <v>598</v>
      </c>
      <c r="C286" s="23">
        <v>1003.4</v>
      </c>
      <c r="D286" s="147">
        <v>125.49</v>
      </c>
      <c r="E286" s="22">
        <v>480.32</v>
      </c>
      <c r="F286" s="22">
        <v>605.80999999999995</v>
      </c>
      <c r="G286" s="22">
        <v>0</v>
      </c>
      <c r="H286" s="22">
        <v>64.73</v>
      </c>
      <c r="I286" s="22">
        <v>4.2300000000000004</v>
      </c>
      <c r="J286" s="22">
        <v>827.81</v>
      </c>
      <c r="K286" s="22">
        <v>0</v>
      </c>
      <c r="L286" s="22">
        <v>0</v>
      </c>
      <c r="M286" s="388">
        <v>4265.32</v>
      </c>
      <c r="N286" s="25">
        <v>0.93710000000000004</v>
      </c>
      <c r="O286" s="24">
        <v>3577</v>
      </c>
      <c r="P286" s="24">
        <v>1305.5</v>
      </c>
      <c r="Q286" s="24">
        <v>747.25</v>
      </c>
      <c r="R286" s="22">
        <v>558.25</v>
      </c>
      <c r="S286" s="24">
        <v>186.5</v>
      </c>
      <c r="T286" s="24">
        <f t="shared" si="15"/>
        <v>1492</v>
      </c>
      <c r="U286" s="376">
        <v>3997.03</v>
      </c>
      <c r="V286" s="376">
        <v>213.27</v>
      </c>
      <c r="W286" s="22">
        <f t="shared" si="16"/>
        <v>3745.6168130000005</v>
      </c>
      <c r="X286" s="22">
        <f t="shared" si="17"/>
        <v>527.5</v>
      </c>
      <c r="Y286" s="22">
        <v>484.5</v>
      </c>
      <c r="Z286" s="22">
        <v>43</v>
      </c>
      <c r="AA286" s="371">
        <v>4303.76</v>
      </c>
      <c r="AB286" s="22">
        <v>0.12256724352659069</v>
      </c>
      <c r="AC286" s="24">
        <v>0</v>
      </c>
      <c r="AD286" s="384">
        <v>0</v>
      </c>
    </row>
    <row r="287" spans="1:30">
      <c r="A287" s="21" t="s">
        <v>531</v>
      </c>
      <c r="B287" s="21" t="s">
        <v>532</v>
      </c>
      <c r="C287" s="23">
        <v>49.8</v>
      </c>
      <c r="D287" s="147">
        <v>2.99</v>
      </c>
      <c r="E287" s="22">
        <v>11.44</v>
      </c>
      <c r="F287" s="22">
        <v>14.43</v>
      </c>
      <c r="G287" s="22">
        <v>0</v>
      </c>
      <c r="H287" s="22">
        <v>5.95</v>
      </c>
      <c r="I287" s="22">
        <v>0</v>
      </c>
      <c r="J287" s="22">
        <v>0</v>
      </c>
      <c r="K287" s="22">
        <v>0</v>
      </c>
      <c r="L287" s="22">
        <v>0</v>
      </c>
      <c r="M287" s="388">
        <v>203.44</v>
      </c>
      <c r="N287" s="25">
        <v>0.55400000000000005</v>
      </c>
      <c r="O287" s="24">
        <v>205</v>
      </c>
      <c r="P287" s="24">
        <v>38</v>
      </c>
      <c r="Q287" s="24">
        <v>24</v>
      </c>
      <c r="R287" s="22">
        <v>14</v>
      </c>
      <c r="S287" s="24">
        <v>9</v>
      </c>
      <c r="T287" s="24">
        <f t="shared" si="15"/>
        <v>47</v>
      </c>
      <c r="U287" s="376">
        <v>112.71</v>
      </c>
      <c r="V287" s="376">
        <v>0</v>
      </c>
      <c r="W287" s="22">
        <f t="shared" si="16"/>
        <v>62.441340000000004</v>
      </c>
      <c r="X287" s="22">
        <f t="shared" si="17"/>
        <v>22.5</v>
      </c>
      <c r="Y287" s="22">
        <v>22</v>
      </c>
      <c r="Z287" s="22">
        <v>0.5</v>
      </c>
      <c r="AA287" s="371">
        <v>209.8</v>
      </c>
      <c r="AB287" s="22">
        <v>0.10724499523355577</v>
      </c>
      <c r="AC287" s="24">
        <v>0</v>
      </c>
      <c r="AD287" s="384">
        <v>0</v>
      </c>
    </row>
    <row r="288" spans="1:30">
      <c r="A288" s="21" t="s">
        <v>79</v>
      </c>
      <c r="B288" s="21" t="s">
        <v>80</v>
      </c>
      <c r="C288" s="23">
        <v>212.8</v>
      </c>
      <c r="D288" s="147">
        <v>17.79</v>
      </c>
      <c r="E288" s="22">
        <v>41.55</v>
      </c>
      <c r="F288" s="22">
        <v>59.339999999999996</v>
      </c>
      <c r="G288" s="22">
        <v>0</v>
      </c>
      <c r="H288" s="22">
        <v>23.36</v>
      </c>
      <c r="I288" s="22">
        <v>2.9</v>
      </c>
      <c r="J288" s="22">
        <v>13.799999999999999</v>
      </c>
      <c r="K288" s="22">
        <v>0</v>
      </c>
      <c r="L288" s="22">
        <v>0</v>
      </c>
      <c r="M288" s="388">
        <v>696.68</v>
      </c>
      <c r="N288" s="25">
        <v>0.41170000000000001</v>
      </c>
      <c r="O288" s="24">
        <v>0</v>
      </c>
      <c r="P288" s="24">
        <v>0</v>
      </c>
      <c r="Q288" s="24">
        <v>0</v>
      </c>
      <c r="R288" s="22">
        <v>0</v>
      </c>
      <c r="S288" s="24">
        <v>0</v>
      </c>
      <c r="T288" s="24">
        <f t="shared" si="15"/>
        <v>0</v>
      </c>
      <c r="U288" s="376">
        <v>286.82</v>
      </c>
      <c r="V288" s="376">
        <v>34.83</v>
      </c>
      <c r="W288" s="22">
        <f t="shared" si="16"/>
        <v>118.083794</v>
      </c>
      <c r="X288" s="22">
        <f t="shared" si="17"/>
        <v>104</v>
      </c>
      <c r="Y288" s="22">
        <v>42.75</v>
      </c>
      <c r="Z288" s="22">
        <v>61.25</v>
      </c>
      <c r="AA288" s="371">
        <v>696.68</v>
      </c>
      <c r="AB288" s="22">
        <v>0.14927943962794971</v>
      </c>
      <c r="AC288" s="24">
        <v>1.4279439627949697E-2</v>
      </c>
      <c r="AD288" s="384">
        <v>-88926.052653514547</v>
      </c>
    </row>
    <row r="289" spans="1:30">
      <c r="A289" s="21" t="s">
        <v>257</v>
      </c>
      <c r="B289" s="21" t="s">
        <v>258</v>
      </c>
      <c r="C289" s="23">
        <v>51</v>
      </c>
      <c r="D289" s="147">
        <v>0</v>
      </c>
      <c r="E289" s="22">
        <v>0</v>
      </c>
      <c r="F289" s="22">
        <v>0</v>
      </c>
      <c r="G289" s="22">
        <v>0</v>
      </c>
      <c r="H289" s="22">
        <v>2.89</v>
      </c>
      <c r="I289" s="22">
        <v>0</v>
      </c>
      <c r="J289" s="22">
        <v>2.35</v>
      </c>
      <c r="K289" s="22">
        <v>0</v>
      </c>
      <c r="L289" s="22">
        <v>0</v>
      </c>
      <c r="M289" s="388">
        <v>191.13</v>
      </c>
      <c r="N289" s="25">
        <v>0</v>
      </c>
      <c r="O289" s="24">
        <v>0</v>
      </c>
      <c r="P289" s="24">
        <v>15.5</v>
      </c>
      <c r="Q289" s="24">
        <v>7</v>
      </c>
      <c r="R289" s="22">
        <v>8.5</v>
      </c>
      <c r="S289" s="24">
        <v>0</v>
      </c>
      <c r="T289" s="24">
        <f t="shared" si="15"/>
        <v>15.5</v>
      </c>
      <c r="U289" s="376">
        <v>0</v>
      </c>
      <c r="V289" s="376">
        <v>9.56</v>
      </c>
      <c r="W289" s="22">
        <f t="shared" si="16"/>
        <v>0</v>
      </c>
      <c r="X289" s="22">
        <f t="shared" si="17"/>
        <v>17.25</v>
      </c>
      <c r="Y289" s="22">
        <v>10.5</v>
      </c>
      <c r="Z289" s="22">
        <v>6.75</v>
      </c>
      <c r="AA289" s="371">
        <v>191.13</v>
      </c>
      <c r="AB289" s="22">
        <v>9.0252707581227443E-2</v>
      </c>
      <c r="AC289" s="24">
        <v>0</v>
      </c>
      <c r="AD289" s="384">
        <v>0</v>
      </c>
    </row>
    <row r="290" spans="1:30">
      <c r="A290" s="21" t="s">
        <v>201</v>
      </c>
      <c r="B290" s="21" t="s">
        <v>202</v>
      </c>
      <c r="C290" s="23">
        <v>741.8</v>
      </c>
      <c r="D290" s="147">
        <v>0</v>
      </c>
      <c r="E290" s="22">
        <v>103.33</v>
      </c>
      <c r="F290" s="22">
        <v>103.33</v>
      </c>
      <c r="G290" s="22">
        <v>0</v>
      </c>
      <c r="H290" s="22">
        <v>55.89</v>
      </c>
      <c r="I290" s="22">
        <v>3.3</v>
      </c>
      <c r="J290" s="22">
        <v>21</v>
      </c>
      <c r="K290" s="22">
        <v>0.8</v>
      </c>
      <c r="L290" s="22">
        <v>0</v>
      </c>
      <c r="M290" s="388">
        <v>2532.5300000000002</v>
      </c>
      <c r="N290" s="25">
        <v>0.749</v>
      </c>
      <c r="O290" s="24">
        <v>2550</v>
      </c>
      <c r="P290" s="24">
        <v>1026.5</v>
      </c>
      <c r="Q290" s="24">
        <v>620.75</v>
      </c>
      <c r="R290" s="22">
        <v>405.75</v>
      </c>
      <c r="S290" s="24">
        <v>19.5</v>
      </c>
      <c r="T290" s="24">
        <f t="shared" si="15"/>
        <v>1046</v>
      </c>
      <c r="U290" s="376">
        <v>1896.61</v>
      </c>
      <c r="V290" s="376">
        <v>126.63</v>
      </c>
      <c r="W290" s="22">
        <f t="shared" si="16"/>
        <v>1420.56089</v>
      </c>
      <c r="X290" s="22">
        <f t="shared" si="17"/>
        <v>328.75</v>
      </c>
      <c r="Y290" s="22">
        <v>180.5</v>
      </c>
      <c r="Z290" s="22">
        <v>148.25</v>
      </c>
      <c r="AA290" s="371">
        <v>2564.7600000000002</v>
      </c>
      <c r="AB290" s="22">
        <v>0.12817963474165223</v>
      </c>
      <c r="AC290" s="24">
        <v>0</v>
      </c>
      <c r="AD290" s="384">
        <v>0</v>
      </c>
    </row>
    <row r="291" spans="1:30">
      <c r="A291" s="21" t="s">
        <v>511</v>
      </c>
      <c r="B291" s="21" t="s">
        <v>512</v>
      </c>
      <c r="C291" s="23">
        <v>1728.77</v>
      </c>
      <c r="D291" s="147">
        <v>205.24</v>
      </c>
      <c r="E291" s="22">
        <v>390.78</v>
      </c>
      <c r="F291" s="22">
        <v>596.02</v>
      </c>
      <c r="G291" s="22">
        <v>298.81</v>
      </c>
      <c r="H291" s="22">
        <v>204.08</v>
      </c>
      <c r="I291" s="22">
        <v>17.68</v>
      </c>
      <c r="J291" s="22">
        <v>366.95</v>
      </c>
      <c r="K291" s="22">
        <v>17.399999999999999</v>
      </c>
      <c r="L291" s="22">
        <v>0</v>
      </c>
      <c r="M291" s="388">
        <v>6640.6699999999983</v>
      </c>
      <c r="N291" s="25">
        <v>0.3085</v>
      </c>
      <c r="O291" s="24">
        <v>0</v>
      </c>
      <c r="P291" s="24">
        <v>129</v>
      </c>
      <c r="Q291" s="24">
        <v>93.5</v>
      </c>
      <c r="R291" s="22">
        <v>35.5</v>
      </c>
      <c r="S291" s="24">
        <v>51.5</v>
      </c>
      <c r="T291" s="24">
        <f t="shared" si="15"/>
        <v>180.5</v>
      </c>
      <c r="U291" s="376">
        <v>2049.31</v>
      </c>
      <c r="V291" s="376">
        <v>332.03</v>
      </c>
      <c r="W291" s="22">
        <f t="shared" si="16"/>
        <v>632.21213499999999</v>
      </c>
      <c r="X291" s="22">
        <f t="shared" si="17"/>
        <v>831.75</v>
      </c>
      <c r="Y291" s="22">
        <v>470</v>
      </c>
      <c r="Z291" s="22">
        <v>361.75</v>
      </c>
      <c r="AA291" s="371">
        <v>6446.42</v>
      </c>
      <c r="AB291" s="22">
        <v>0.12902510230484518</v>
      </c>
      <c r="AC291" s="24">
        <v>0</v>
      </c>
      <c r="AD291" s="384">
        <v>0</v>
      </c>
    </row>
    <row r="292" spans="1:30">
      <c r="A292" s="21" t="s">
        <v>581</v>
      </c>
      <c r="B292" s="21" t="s">
        <v>582</v>
      </c>
      <c r="C292" s="23">
        <v>246.31</v>
      </c>
      <c r="D292" s="147">
        <v>0</v>
      </c>
      <c r="E292" s="22">
        <v>0</v>
      </c>
      <c r="F292" s="22">
        <v>0</v>
      </c>
      <c r="G292" s="22">
        <v>0</v>
      </c>
      <c r="H292" s="22">
        <v>0</v>
      </c>
      <c r="I292" s="22">
        <v>0</v>
      </c>
      <c r="J292" s="22">
        <v>0</v>
      </c>
      <c r="K292" s="22">
        <v>0</v>
      </c>
      <c r="L292" s="22">
        <v>0</v>
      </c>
      <c r="M292" s="388">
        <v>565.30999999999995</v>
      </c>
      <c r="N292" s="25">
        <v>0.93140000000000001</v>
      </c>
      <c r="O292" s="24">
        <v>580</v>
      </c>
      <c r="P292" s="24">
        <v>163.75</v>
      </c>
      <c r="Q292" s="24">
        <v>143.75</v>
      </c>
      <c r="R292" s="22">
        <v>20</v>
      </c>
      <c r="S292" s="24">
        <v>56.75</v>
      </c>
      <c r="T292" s="24">
        <f t="shared" si="15"/>
        <v>220.5</v>
      </c>
      <c r="U292" s="376">
        <v>526.53</v>
      </c>
      <c r="V292" s="376">
        <v>28.27</v>
      </c>
      <c r="W292" s="22">
        <f t="shared" si="16"/>
        <v>490.41004199999998</v>
      </c>
      <c r="X292" s="22">
        <f t="shared" si="17"/>
        <v>69.75</v>
      </c>
      <c r="Y292" s="22">
        <v>53.75</v>
      </c>
      <c r="Z292" s="22">
        <v>16</v>
      </c>
      <c r="AA292" s="371">
        <v>565.45000000000005</v>
      </c>
      <c r="AB292" s="22">
        <v>0.1233530816164117</v>
      </c>
      <c r="AC292" s="24">
        <v>0</v>
      </c>
      <c r="AD292" s="384">
        <v>0</v>
      </c>
    </row>
    <row r="293" spans="1:30">
      <c r="A293" s="21" t="s">
        <v>369</v>
      </c>
      <c r="B293" s="21" t="s">
        <v>370</v>
      </c>
      <c r="C293" s="23">
        <v>1579.43</v>
      </c>
      <c r="D293" s="147">
        <v>0</v>
      </c>
      <c r="E293" s="22">
        <v>297.42</v>
      </c>
      <c r="F293" s="22">
        <v>297.42</v>
      </c>
      <c r="G293" s="22">
        <v>0</v>
      </c>
      <c r="H293" s="22">
        <v>215.02</v>
      </c>
      <c r="I293" s="22">
        <v>4.6900000000000004</v>
      </c>
      <c r="J293" s="22">
        <v>52.400000000000006</v>
      </c>
      <c r="K293" s="22">
        <v>0</v>
      </c>
      <c r="L293" s="22">
        <v>0</v>
      </c>
      <c r="M293" s="388">
        <v>5559.82</v>
      </c>
      <c r="N293" s="25">
        <v>0.36459999999999998</v>
      </c>
      <c r="O293" s="24">
        <v>0</v>
      </c>
      <c r="P293" s="24">
        <v>293</v>
      </c>
      <c r="Q293" s="24">
        <v>221.25</v>
      </c>
      <c r="R293" s="22">
        <v>71.75</v>
      </c>
      <c r="S293" s="24">
        <v>97.25</v>
      </c>
      <c r="T293" s="24">
        <f t="shared" si="15"/>
        <v>390.25</v>
      </c>
      <c r="U293" s="376">
        <v>2027.67</v>
      </c>
      <c r="V293" s="376">
        <v>277.99</v>
      </c>
      <c r="W293" s="22">
        <f t="shared" si="16"/>
        <v>739.28848199999993</v>
      </c>
      <c r="X293" s="22">
        <f t="shared" si="17"/>
        <v>544.5</v>
      </c>
      <c r="Y293" s="22">
        <v>274.5</v>
      </c>
      <c r="Z293" s="22">
        <v>270</v>
      </c>
      <c r="AA293" s="371">
        <v>5597.44</v>
      </c>
      <c r="AB293" s="22">
        <v>9.727661216556141E-2</v>
      </c>
      <c r="AC293" s="24">
        <v>0</v>
      </c>
      <c r="AD293" s="384">
        <v>0</v>
      </c>
    </row>
    <row r="294" spans="1:30">
      <c r="A294" s="21" t="s">
        <v>489</v>
      </c>
      <c r="B294" s="21" t="s">
        <v>490</v>
      </c>
      <c r="C294" s="23">
        <v>97.2</v>
      </c>
      <c r="D294" s="147">
        <v>0</v>
      </c>
      <c r="E294" s="22">
        <v>0</v>
      </c>
      <c r="F294" s="22">
        <v>0</v>
      </c>
      <c r="G294" s="22">
        <v>0</v>
      </c>
      <c r="H294" s="22">
        <v>1.75</v>
      </c>
      <c r="I294" s="22">
        <v>0.25</v>
      </c>
      <c r="J294" s="22">
        <v>900.75</v>
      </c>
      <c r="K294" s="22">
        <v>0</v>
      </c>
      <c r="L294" s="22">
        <v>0</v>
      </c>
      <c r="M294" s="388">
        <v>1158.1500000000001</v>
      </c>
      <c r="N294" s="25">
        <v>0.22850000000000001</v>
      </c>
      <c r="O294" s="24">
        <v>259</v>
      </c>
      <c r="P294" s="24">
        <v>36.75</v>
      </c>
      <c r="Q294" s="24">
        <v>26.5</v>
      </c>
      <c r="R294" s="22">
        <v>10.25</v>
      </c>
      <c r="S294" s="24">
        <v>3</v>
      </c>
      <c r="T294" s="24">
        <f t="shared" si="15"/>
        <v>39.75</v>
      </c>
      <c r="U294" s="376">
        <v>264.41000000000003</v>
      </c>
      <c r="V294" s="376">
        <v>57.91</v>
      </c>
      <c r="W294" s="22">
        <f t="shared" si="16"/>
        <v>60.417685000000006</v>
      </c>
      <c r="X294" s="22">
        <f t="shared" si="17"/>
        <v>109.5</v>
      </c>
      <c r="Y294" s="22">
        <v>99</v>
      </c>
      <c r="Z294" s="22">
        <v>10.5</v>
      </c>
      <c r="AA294" s="371">
        <v>1156.2</v>
      </c>
      <c r="AB294" s="22">
        <v>9.4706798131811099E-2</v>
      </c>
      <c r="AC294" s="24">
        <v>0</v>
      </c>
      <c r="AD294" s="384">
        <v>0</v>
      </c>
    </row>
    <row r="295" spans="1:30">
      <c r="A295" s="21" t="s">
        <v>55</v>
      </c>
      <c r="B295" s="21" t="s">
        <v>56</v>
      </c>
      <c r="C295" s="23">
        <v>5953.49</v>
      </c>
      <c r="D295" s="147">
        <v>264.52</v>
      </c>
      <c r="E295" s="22">
        <v>1367.27</v>
      </c>
      <c r="F295" s="22">
        <v>1631.79</v>
      </c>
      <c r="G295" s="22">
        <v>0</v>
      </c>
      <c r="H295" s="22">
        <v>361.05</v>
      </c>
      <c r="I295" s="22">
        <v>4.42</v>
      </c>
      <c r="J295" s="22">
        <v>1056.3499999999999</v>
      </c>
      <c r="K295" s="22">
        <v>212.39</v>
      </c>
      <c r="L295" s="22">
        <v>0.37</v>
      </c>
      <c r="M295" s="388">
        <v>21449.279999999995</v>
      </c>
      <c r="N295" s="25">
        <v>0.48480000000000001</v>
      </c>
      <c r="O295" s="24">
        <v>12505</v>
      </c>
      <c r="P295" s="24">
        <v>2930.5</v>
      </c>
      <c r="Q295" s="24">
        <v>1833</v>
      </c>
      <c r="R295" s="22">
        <v>1097.5</v>
      </c>
      <c r="S295" s="24">
        <v>481.75</v>
      </c>
      <c r="T295" s="24">
        <f t="shared" si="15"/>
        <v>3412.25</v>
      </c>
      <c r="U295" s="376">
        <v>10400.76</v>
      </c>
      <c r="V295" s="376">
        <v>1072.46</v>
      </c>
      <c r="W295" s="22">
        <f t="shared" si="16"/>
        <v>5042.2884480000002</v>
      </c>
      <c r="X295" s="22">
        <f t="shared" si="17"/>
        <v>2856.25</v>
      </c>
      <c r="Y295" s="22">
        <v>1787</v>
      </c>
      <c r="Z295" s="22">
        <v>1069.25</v>
      </c>
      <c r="AA295" s="371">
        <v>21527.19</v>
      </c>
      <c r="AB295" s="22">
        <v>0.13268104197528802</v>
      </c>
      <c r="AC295" s="24">
        <v>0</v>
      </c>
      <c r="AD295" s="384">
        <v>0</v>
      </c>
    </row>
    <row r="296" spans="1:30">
      <c r="A296" s="21" t="s">
        <v>193</v>
      </c>
      <c r="B296" s="21" t="s">
        <v>194</v>
      </c>
      <c r="C296" s="23">
        <v>274.36</v>
      </c>
      <c r="D296" s="147">
        <v>21.13</v>
      </c>
      <c r="E296" s="22">
        <v>96.95</v>
      </c>
      <c r="F296" s="22">
        <v>118.08</v>
      </c>
      <c r="G296" s="22">
        <v>0</v>
      </c>
      <c r="H296" s="22">
        <v>31.75</v>
      </c>
      <c r="I296" s="22">
        <v>0.68</v>
      </c>
      <c r="J296" s="22">
        <v>129.49</v>
      </c>
      <c r="K296" s="22">
        <v>0</v>
      </c>
      <c r="L296" s="22">
        <v>0</v>
      </c>
      <c r="M296" s="388">
        <v>1481.5300000000002</v>
      </c>
      <c r="N296" s="25">
        <v>0.2329</v>
      </c>
      <c r="O296" s="24">
        <v>39</v>
      </c>
      <c r="P296" s="24">
        <v>74.75</v>
      </c>
      <c r="Q296" s="24">
        <v>43.5</v>
      </c>
      <c r="R296" s="22">
        <v>31.25</v>
      </c>
      <c r="S296" s="24">
        <v>6</v>
      </c>
      <c r="T296" s="24">
        <f t="shared" si="15"/>
        <v>80.75</v>
      </c>
      <c r="U296" s="376">
        <v>345.79</v>
      </c>
      <c r="V296" s="376">
        <v>74.08</v>
      </c>
      <c r="W296" s="22">
        <f t="shared" si="16"/>
        <v>80.534491000000003</v>
      </c>
      <c r="X296" s="22">
        <f t="shared" si="17"/>
        <v>165</v>
      </c>
      <c r="Y296" s="22">
        <v>129</v>
      </c>
      <c r="Z296" s="22">
        <v>36</v>
      </c>
      <c r="AA296" s="371">
        <v>1483.22</v>
      </c>
      <c r="AB296" s="22">
        <v>0.11124445463248878</v>
      </c>
      <c r="AC296" s="24">
        <v>0</v>
      </c>
      <c r="AD296" s="384">
        <v>0</v>
      </c>
    </row>
    <row r="297" spans="1:30">
      <c r="A297" s="21" t="s">
        <v>1024</v>
      </c>
      <c r="B297" s="21" t="s">
        <v>1044</v>
      </c>
      <c r="C297" s="23">
        <v>55.2</v>
      </c>
      <c r="D297" s="147">
        <v>0</v>
      </c>
      <c r="E297" s="22">
        <v>0</v>
      </c>
      <c r="F297" s="22">
        <v>0</v>
      </c>
      <c r="G297" s="22">
        <v>0</v>
      </c>
      <c r="H297" s="22">
        <v>0</v>
      </c>
      <c r="I297" s="22">
        <v>0</v>
      </c>
      <c r="J297" s="22">
        <v>0</v>
      </c>
      <c r="K297" s="22">
        <v>0</v>
      </c>
      <c r="L297" s="22">
        <v>0</v>
      </c>
      <c r="M297" s="388">
        <v>125.60000000000001</v>
      </c>
      <c r="N297" s="25">
        <v>0.9919</v>
      </c>
      <c r="O297" s="24">
        <v>124</v>
      </c>
      <c r="P297" s="24">
        <v>0</v>
      </c>
      <c r="Q297" s="24">
        <v>0</v>
      </c>
      <c r="R297" s="22">
        <v>0</v>
      </c>
      <c r="S297" s="24">
        <v>0</v>
      </c>
      <c r="T297" s="24">
        <f t="shared" si="15"/>
        <v>0</v>
      </c>
      <c r="U297" s="376">
        <v>124.58</v>
      </c>
      <c r="V297" s="376">
        <v>0</v>
      </c>
      <c r="W297" s="22">
        <f t="shared" si="16"/>
        <v>123.570902</v>
      </c>
      <c r="X297" s="22">
        <f t="shared" si="17"/>
        <v>16.5</v>
      </c>
      <c r="Y297" s="22">
        <v>15.5</v>
      </c>
      <c r="Z297" s="22">
        <v>1</v>
      </c>
      <c r="AA297" s="371">
        <v>125.6</v>
      </c>
      <c r="AB297" s="22">
        <v>0.13136942675159236</v>
      </c>
      <c r="AC297" s="24">
        <v>0</v>
      </c>
      <c r="AD297" s="384">
        <v>0</v>
      </c>
    </row>
    <row r="298" spans="1:30">
      <c r="A298" s="21" t="s">
        <v>523</v>
      </c>
      <c r="B298" s="21" t="s">
        <v>524</v>
      </c>
      <c r="C298" s="23">
        <v>119.2</v>
      </c>
      <c r="D298" s="147">
        <v>0</v>
      </c>
      <c r="E298" s="22">
        <v>25.53</v>
      </c>
      <c r="F298" s="22">
        <v>25.53</v>
      </c>
      <c r="G298" s="22">
        <v>0</v>
      </c>
      <c r="H298" s="22">
        <v>7.02</v>
      </c>
      <c r="I298" s="22">
        <v>0.53</v>
      </c>
      <c r="J298" s="22">
        <v>19.79</v>
      </c>
      <c r="K298" s="22">
        <v>0</v>
      </c>
      <c r="L298" s="22">
        <v>0</v>
      </c>
      <c r="M298" s="388">
        <v>451.68</v>
      </c>
      <c r="N298" s="25">
        <v>0.64859999999999995</v>
      </c>
      <c r="O298" s="24">
        <v>462</v>
      </c>
      <c r="P298" s="24">
        <v>16.25</v>
      </c>
      <c r="Q298" s="24">
        <v>7.75</v>
      </c>
      <c r="R298" s="22">
        <v>8.5</v>
      </c>
      <c r="S298" s="24">
        <v>0</v>
      </c>
      <c r="T298" s="24">
        <f t="shared" si="15"/>
        <v>16.25</v>
      </c>
      <c r="U298" s="376">
        <v>292.95999999999998</v>
      </c>
      <c r="V298" s="376">
        <v>0</v>
      </c>
      <c r="W298" s="22">
        <f t="shared" si="16"/>
        <v>190.01385599999998</v>
      </c>
      <c r="X298" s="22">
        <f t="shared" si="17"/>
        <v>76.25</v>
      </c>
      <c r="Y298" s="22">
        <v>43.75</v>
      </c>
      <c r="Z298" s="22">
        <v>32.5</v>
      </c>
      <c r="AA298" s="371">
        <v>451.68</v>
      </c>
      <c r="AB298" s="22">
        <v>0.16881420474672335</v>
      </c>
      <c r="AC298" s="24">
        <v>3.3814204746723336E-2</v>
      </c>
      <c r="AD298" s="384">
        <v>-135729.53107407753</v>
      </c>
    </row>
    <row r="299" spans="1:30">
      <c r="A299" s="21" t="s">
        <v>121</v>
      </c>
      <c r="B299" s="21" t="s">
        <v>122</v>
      </c>
      <c r="C299" s="23">
        <v>643.79999999999995</v>
      </c>
      <c r="D299" s="147">
        <v>65.14</v>
      </c>
      <c r="E299" s="22">
        <v>208.3</v>
      </c>
      <c r="F299" s="22">
        <v>273.44</v>
      </c>
      <c r="G299" s="22">
        <v>0</v>
      </c>
      <c r="H299" s="22">
        <v>34.31</v>
      </c>
      <c r="I299" s="22">
        <v>1.99</v>
      </c>
      <c r="J299" s="22">
        <v>0</v>
      </c>
      <c r="K299" s="22">
        <v>0</v>
      </c>
      <c r="L299" s="22">
        <v>0</v>
      </c>
      <c r="M299" s="388">
        <v>2400.6899999999996</v>
      </c>
      <c r="N299" s="25">
        <v>0.96860000000000002</v>
      </c>
      <c r="O299" s="24">
        <v>2453</v>
      </c>
      <c r="P299" s="24">
        <v>1197</v>
      </c>
      <c r="Q299" s="24">
        <v>747.75</v>
      </c>
      <c r="R299" s="22">
        <v>449.25</v>
      </c>
      <c r="S299" s="24">
        <v>228.5</v>
      </c>
      <c r="T299" s="24">
        <f t="shared" si="15"/>
        <v>1425.5</v>
      </c>
      <c r="U299" s="376">
        <v>2324.35</v>
      </c>
      <c r="V299" s="376">
        <v>120.03</v>
      </c>
      <c r="W299" s="22">
        <f t="shared" si="16"/>
        <v>2251.3654099999999</v>
      </c>
      <c r="X299" s="22">
        <f t="shared" si="17"/>
        <v>294.25</v>
      </c>
      <c r="Y299" s="22">
        <v>168.75</v>
      </c>
      <c r="Z299" s="22">
        <v>125.5</v>
      </c>
      <c r="AA299" s="371">
        <v>2428.12</v>
      </c>
      <c r="AB299" s="22">
        <v>0.1211842907269822</v>
      </c>
      <c r="AC299" s="24">
        <v>0</v>
      </c>
      <c r="AD299" s="384">
        <v>0</v>
      </c>
    </row>
    <row r="300" spans="1:30">
      <c r="A300" s="21" t="s">
        <v>535</v>
      </c>
      <c r="B300" s="21" t="s">
        <v>536</v>
      </c>
      <c r="C300" s="23">
        <v>71.5</v>
      </c>
      <c r="D300" s="147">
        <v>4.5</v>
      </c>
      <c r="E300" s="22">
        <v>10.26</v>
      </c>
      <c r="F300" s="22">
        <v>14.76</v>
      </c>
      <c r="G300" s="22">
        <v>0</v>
      </c>
      <c r="H300" s="22">
        <v>2.79</v>
      </c>
      <c r="I300" s="22">
        <v>0.67</v>
      </c>
      <c r="J300" s="22">
        <v>0</v>
      </c>
      <c r="K300" s="22">
        <v>0</v>
      </c>
      <c r="L300" s="22">
        <v>0</v>
      </c>
      <c r="M300" s="388">
        <v>262.04000000000008</v>
      </c>
      <c r="N300" s="25">
        <v>0.56779999999999997</v>
      </c>
      <c r="O300" s="24">
        <v>267</v>
      </c>
      <c r="P300" s="24">
        <v>1.5</v>
      </c>
      <c r="Q300" s="24">
        <v>0.5</v>
      </c>
      <c r="R300" s="22">
        <v>1</v>
      </c>
      <c r="S300" s="24">
        <v>0</v>
      </c>
      <c r="T300" s="24">
        <f t="shared" si="15"/>
        <v>1.5</v>
      </c>
      <c r="U300" s="376">
        <v>148.79</v>
      </c>
      <c r="V300" s="376">
        <v>0</v>
      </c>
      <c r="W300" s="22">
        <f t="shared" si="16"/>
        <v>84.482961999999986</v>
      </c>
      <c r="X300" s="22">
        <f t="shared" si="17"/>
        <v>21.75</v>
      </c>
      <c r="Y300" s="22">
        <v>20.75</v>
      </c>
      <c r="Z300" s="22">
        <v>1</v>
      </c>
      <c r="AA300" s="371">
        <v>264.05</v>
      </c>
      <c r="AB300" s="22">
        <v>8.2370763113046766E-2</v>
      </c>
      <c r="AC300" s="24">
        <v>0</v>
      </c>
      <c r="AD300" s="384">
        <v>0</v>
      </c>
    </row>
    <row r="301" spans="1:30">
      <c r="A301" s="21" t="s">
        <v>527</v>
      </c>
      <c r="B301" s="21" t="s">
        <v>528</v>
      </c>
      <c r="C301" s="23">
        <v>1508.22</v>
      </c>
      <c r="D301" s="147">
        <v>64.94</v>
      </c>
      <c r="E301" s="22">
        <v>293.41000000000003</v>
      </c>
      <c r="F301" s="22">
        <v>358.35</v>
      </c>
      <c r="G301" s="22">
        <v>92.35</v>
      </c>
      <c r="H301" s="22">
        <v>89.96</v>
      </c>
      <c r="I301" s="22">
        <v>9.11</v>
      </c>
      <c r="J301" s="22">
        <v>344.87</v>
      </c>
      <c r="K301" s="22">
        <v>94.2</v>
      </c>
      <c r="L301" s="22">
        <v>0.2</v>
      </c>
      <c r="M301" s="388">
        <v>5480.4599999999991</v>
      </c>
      <c r="N301" s="25">
        <v>0.55479999999999996</v>
      </c>
      <c r="O301" s="24">
        <v>2707</v>
      </c>
      <c r="P301" s="24">
        <v>780.25</v>
      </c>
      <c r="Q301" s="24">
        <v>541</v>
      </c>
      <c r="R301" s="22">
        <v>239.25</v>
      </c>
      <c r="S301" s="24">
        <v>140.5</v>
      </c>
      <c r="T301" s="24">
        <f t="shared" si="15"/>
        <v>920.75</v>
      </c>
      <c r="U301" s="376">
        <v>3040.56</v>
      </c>
      <c r="V301" s="376">
        <v>274.02</v>
      </c>
      <c r="W301" s="22">
        <f t="shared" si="16"/>
        <v>1686.9026879999999</v>
      </c>
      <c r="X301" s="22">
        <f t="shared" si="17"/>
        <v>799</v>
      </c>
      <c r="Y301" s="22">
        <v>459.75</v>
      </c>
      <c r="Z301" s="22">
        <v>339.25</v>
      </c>
      <c r="AA301" s="371">
        <v>5465.81</v>
      </c>
      <c r="AB301" s="22">
        <v>0.14618144428730598</v>
      </c>
      <c r="AC301" s="24">
        <v>1.1181444287305969E-2</v>
      </c>
      <c r="AD301" s="384">
        <v>-544600.34222499118</v>
      </c>
    </row>
    <row r="302" spans="1:30">
      <c r="A302" s="21" t="s">
        <v>605</v>
      </c>
      <c r="B302" s="21" t="s">
        <v>606</v>
      </c>
      <c r="C302" s="23">
        <v>878.61</v>
      </c>
      <c r="D302" s="147">
        <v>57.4</v>
      </c>
      <c r="E302" s="22">
        <v>256.31</v>
      </c>
      <c r="F302" s="22">
        <v>313.70999999999998</v>
      </c>
      <c r="G302" s="22">
        <v>0</v>
      </c>
      <c r="H302" s="22">
        <v>15.45</v>
      </c>
      <c r="I302" s="22">
        <v>1.08</v>
      </c>
      <c r="J302" s="22">
        <v>28.75</v>
      </c>
      <c r="K302" s="22">
        <v>4.2</v>
      </c>
      <c r="L302" s="22">
        <v>0</v>
      </c>
      <c r="M302" s="388">
        <v>3058.3299999999995</v>
      </c>
      <c r="N302" s="25">
        <v>0.90939999999999999</v>
      </c>
      <c r="O302" s="24">
        <v>3145</v>
      </c>
      <c r="P302" s="24">
        <v>1045</v>
      </c>
      <c r="Q302" s="24">
        <v>595.5</v>
      </c>
      <c r="R302" s="22">
        <v>449.5</v>
      </c>
      <c r="S302" s="24">
        <v>151.25</v>
      </c>
      <c r="T302" s="24">
        <f t="shared" si="15"/>
        <v>1196.25</v>
      </c>
      <c r="U302" s="376">
        <v>2780.33</v>
      </c>
      <c r="V302" s="376">
        <v>152.91999999999999</v>
      </c>
      <c r="W302" s="22">
        <f t="shared" si="16"/>
        <v>2528.4321019999998</v>
      </c>
      <c r="X302" s="22">
        <f t="shared" si="17"/>
        <v>385.25</v>
      </c>
      <c r="Y302" s="22">
        <v>290</v>
      </c>
      <c r="Z302" s="22">
        <v>95.25</v>
      </c>
      <c r="AA302" s="371">
        <v>3067.73</v>
      </c>
      <c r="AB302" s="22">
        <v>0.1255814559951495</v>
      </c>
      <c r="AC302" s="24">
        <v>0</v>
      </c>
      <c r="AD302" s="384">
        <v>0</v>
      </c>
    </row>
    <row r="303" spans="1:30">
      <c r="A303" s="21" t="s">
        <v>125</v>
      </c>
      <c r="B303" s="21" t="s">
        <v>126</v>
      </c>
      <c r="C303" s="23">
        <v>230.2</v>
      </c>
      <c r="D303" s="147">
        <v>3.09</v>
      </c>
      <c r="E303" s="22">
        <v>54.3</v>
      </c>
      <c r="F303" s="22">
        <v>57.39</v>
      </c>
      <c r="G303" s="22">
        <v>0</v>
      </c>
      <c r="H303" s="22">
        <v>21.62</v>
      </c>
      <c r="I303" s="22">
        <v>2.0699999999999998</v>
      </c>
      <c r="J303" s="22">
        <v>0</v>
      </c>
      <c r="K303" s="22">
        <v>0</v>
      </c>
      <c r="L303" s="22">
        <v>0</v>
      </c>
      <c r="M303" s="388">
        <v>886.39</v>
      </c>
      <c r="N303" s="25">
        <v>0.85399999999999998</v>
      </c>
      <c r="O303" s="24">
        <v>902</v>
      </c>
      <c r="P303" s="24">
        <v>236.25</v>
      </c>
      <c r="Q303" s="24">
        <v>158.75</v>
      </c>
      <c r="R303" s="22">
        <v>77.5</v>
      </c>
      <c r="S303" s="24">
        <v>53.25</v>
      </c>
      <c r="T303" s="24">
        <f t="shared" si="15"/>
        <v>289.5</v>
      </c>
      <c r="U303" s="376">
        <v>756.98</v>
      </c>
      <c r="V303" s="376">
        <v>44.32</v>
      </c>
      <c r="W303" s="22">
        <f t="shared" si="16"/>
        <v>646.46091999999999</v>
      </c>
      <c r="X303" s="22">
        <f t="shared" si="17"/>
        <v>123.5</v>
      </c>
      <c r="Y303" s="22">
        <v>43.5</v>
      </c>
      <c r="Z303" s="22">
        <v>80</v>
      </c>
      <c r="AA303" s="371">
        <v>887.16</v>
      </c>
      <c r="AB303" s="22">
        <v>0.13920826006582804</v>
      </c>
      <c r="AC303" s="24">
        <v>4.2082600658280289E-3</v>
      </c>
      <c r="AD303" s="384">
        <v>-32244.009104831177</v>
      </c>
    </row>
    <row r="304" spans="1:30">
      <c r="A304" s="21" t="s">
        <v>63</v>
      </c>
      <c r="B304" s="21" t="s">
        <v>64</v>
      </c>
      <c r="C304" s="23">
        <v>757.57</v>
      </c>
      <c r="D304" s="147">
        <v>43.91</v>
      </c>
      <c r="E304" s="22">
        <v>224.87</v>
      </c>
      <c r="F304" s="22">
        <v>268.77999999999997</v>
      </c>
      <c r="G304" s="22">
        <v>0</v>
      </c>
      <c r="H304" s="22">
        <v>63.25</v>
      </c>
      <c r="I304" s="22">
        <v>0.7</v>
      </c>
      <c r="J304" s="22">
        <v>108.76</v>
      </c>
      <c r="K304" s="22">
        <v>5.4</v>
      </c>
      <c r="L304" s="22">
        <v>0</v>
      </c>
      <c r="M304" s="388">
        <v>2899.5800000000004</v>
      </c>
      <c r="N304" s="25">
        <v>0.34239999999999998</v>
      </c>
      <c r="O304" s="24">
        <v>0</v>
      </c>
      <c r="P304" s="24">
        <v>77.25</v>
      </c>
      <c r="Q304" s="24">
        <v>43.75</v>
      </c>
      <c r="R304" s="22">
        <v>33.5</v>
      </c>
      <c r="S304" s="24">
        <v>11</v>
      </c>
      <c r="T304" s="24">
        <f t="shared" si="15"/>
        <v>88.25</v>
      </c>
      <c r="U304" s="376">
        <v>992.82</v>
      </c>
      <c r="V304" s="376">
        <v>144.97999999999999</v>
      </c>
      <c r="W304" s="22">
        <f t="shared" si="16"/>
        <v>339.94156800000002</v>
      </c>
      <c r="X304" s="22">
        <f t="shared" si="17"/>
        <v>440.75</v>
      </c>
      <c r="Y304" s="22">
        <v>316.25</v>
      </c>
      <c r="Z304" s="22">
        <v>124.5</v>
      </c>
      <c r="AA304" s="371">
        <v>2943.94</v>
      </c>
      <c r="AB304" s="22">
        <v>0.14971432841701937</v>
      </c>
      <c r="AC304" s="24">
        <v>1.4714328417019362E-2</v>
      </c>
      <c r="AD304" s="384">
        <v>-392995.07064141636</v>
      </c>
    </row>
    <row r="305" spans="1:30">
      <c r="A305" s="21" t="s">
        <v>3</v>
      </c>
      <c r="B305" s="21" t="s">
        <v>4</v>
      </c>
      <c r="C305" s="23">
        <v>21.4</v>
      </c>
      <c r="D305" s="147">
        <v>2.9</v>
      </c>
      <c r="E305" s="22">
        <v>2.7</v>
      </c>
      <c r="F305" s="22">
        <v>5.6</v>
      </c>
      <c r="G305" s="22">
        <v>0</v>
      </c>
      <c r="H305" s="22">
        <v>0</v>
      </c>
      <c r="I305" s="22">
        <v>0</v>
      </c>
      <c r="J305" s="22">
        <v>0</v>
      </c>
      <c r="K305" s="22">
        <v>0</v>
      </c>
      <c r="L305" s="22">
        <v>0</v>
      </c>
      <c r="M305" s="388">
        <v>78.11</v>
      </c>
      <c r="N305" s="25">
        <v>0.74390000000000001</v>
      </c>
      <c r="O305" s="24">
        <v>82</v>
      </c>
      <c r="P305" s="24">
        <v>1</v>
      </c>
      <c r="Q305" s="24">
        <v>1</v>
      </c>
      <c r="R305" s="22">
        <v>0</v>
      </c>
      <c r="S305" s="24">
        <v>0</v>
      </c>
      <c r="T305" s="24">
        <f t="shared" si="15"/>
        <v>1</v>
      </c>
      <c r="U305" s="376">
        <v>58.11</v>
      </c>
      <c r="V305" s="376">
        <v>3.91</v>
      </c>
      <c r="W305" s="22">
        <f t="shared" si="16"/>
        <v>43.228028999999999</v>
      </c>
      <c r="X305" s="22">
        <f t="shared" si="17"/>
        <v>5.5</v>
      </c>
      <c r="Y305" s="22">
        <v>5.5</v>
      </c>
      <c r="Z305" s="22">
        <v>0</v>
      </c>
      <c r="AA305" s="371">
        <v>78.12</v>
      </c>
      <c r="AB305" s="22">
        <v>7.040450588837685E-2</v>
      </c>
      <c r="AC305" s="24">
        <v>0</v>
      </c>
      <c r="AD305" s="384">
        <v>0</v>
      </c>
    </row>
    <row r="306" spans="1:30">
      <c r="A306" s="21" t="s">
        <v>99</v>
      </c>
      <c r="B306" s="21" t="s">
        <v>100</v>
      </c>
      <c r="C306" s="23">
        <v>71.2</v>
      </c>
      <c r="D306" s="147">
        <v>1.39</v>
      </c>
      <c r="E306" s="22">
        <v>13.83</v>
      </c>
      <c r="F306" s="22">
        <v>15.22</v>
      </c>
      <c r="G306" s="22">
        <v>0</v>
      </c>
      <c r="H306" s="22">
        <v>4.92</v>
      </c>
      <c r="I306" s="22">
        <v>0.17</v>
      </c>
      <c r="J306" s="22">
        <v>0</v>
      </c>
      <c r="K306" s="22">
        <v>0</v>
      </c>
      <c r="L306" s="22">
        <v>0</v>
      </c>
      <c r="M306" s="388">
        <v>258.22000000000003</v>
      </c>
      <c r="N306" s="25">
        <v>0.55989999999999995</v>
      </c>
      <c r="O306" s="24">
        <v>255</v>
      </c>
      <c r="P306" s="24">
        <v>14</v>
      </c>
      <c r="Q306" s="24">
        <v>8</v>
      </c>
      <c r="R306" s="22">
        <v>6</v>
      </c>
      <c r="S306" s="24">
        <v>3</v>
      </c>
      <c r="T306" s="24">
        <f t="shared" si="15"/>
        <v>17</v>
      </c>
      <c r="U306" s="376">
        <v>144.58000000000001</v>
      </c>
      <c r="V306" s="376">
        <v>12.91</v>
      </c>
      <c r="W306" s="22">
        <f t="shared" si="16"/>
        <v>80.950342000000006</v>
      </c>
      <c r="X306" s="22">
        <f t="shared" si="17"/>
        <v>43</v>
      </c>
      <c r="Y306" s="22">
        <v>35</v>
      </c>
      <c r="Z306" s="22">
        <v>8</v>
      </c>
      <c r="AA306" s="371">
        <v>258.76</v>
      </c>
      <c r="AB306" s="22">
        <v>0.16617715257381357</v>
      </c>
      <c r="AC306" s="24">
        <v>3.1177152573813566E-2</v>
      </c>
      <c r="AD306" s="384">
        <v>-70461.056845039027</v>
      </c>
    </row>
    <row r="307" spans="1:30">
      <c r="A307" s="21" t="s">
        <v>487</v>
      </c>
      <c r="B307" s="21" t="s">
        <v>488</v>
      </c>
      <c r="C307" s="23">
        <v>109</v>
      </c>
      <c r="D307" s="147">
        <v>0</v>
      </c>
      <c r="E307" s="22">
        <v>6.6</v>
      </c>
      <c r="F307" s="22">
        <v>6.6</v>
      </c>
      <c r="G307" s="22">
        <v>0</v>
      </c>
      <c r="H307" s="22">
        <v>3.69</v>
      </c>
      <c r="I307" s="22">
        <v>0.08</v>
      </c>
      <c r="J307" s="22">
        <v>0</v>
      </c>
      <c r="K307" s="22">
        <v>21.6</v>
      </c>
      <c r="L307" s="22">
        <v>0</v>
      </c>
      <c r="M307" s="388">
        <v>390.85999999999996</v>
      </c>
      <c r="N307" s="25">
        <v>0.8992</v>
      </c>
      <c r="O307" s="24">
        <v>397</v>
      </c>
      <c r="P307" s="24">
        <v>0</v>
      </c>
      <c r="Q307" s="24">
        <v>0</v>
      </c>
      <c r="R307" s="22">
        <v>0</v>
      </c>
      <c r="S307" s="24">
        <v>0</v>
      </c>
      <c r="T307" s="24">
        <f t="shared" si="15"/>
        <v>0</v>
      </c>
      <c r="U307" s="376">
        <v>351.46</v>
      </c>
      <c r="V307" s="376">
        <v>19.54</v>
      </c>
      <c r="W307" s="22">
        <f t="shared" si="16"/>
        <v>316.03283199999998</v>
      </c>
      <c r="X307" s="22">
        <f t="shared" si="17"/>
        <v>63.25</v>
      </c>
      <c r="Y307" s="22">
        <v>54.75</v>
      </c>
      <c r="Z307" s="22">
        <v>8.5</v>
      </c>
      <c r="AA307" s="371">
        <v>390.86</v>
      </c>
      <c r="AB307" s="22">
        <v>0.16182264749526684</v>
      </c>
      <c r="AC307" s="24">
        <v>2.6822647495266833E-2</v>
      </c>
      <c r="AD307" s="384">
        <v>-91584.876096490872</v>
      </c>
    </row>
    <row r="308" spans="1:30">
      <c r="A308" s="21" t="s">
        <v>41</v>
      </c>
      <c r="B308" s="21" t="s">
        <v>42</v>
      </c>
      <c r="C308" s="23">
        <v>1839.83</v>
      </c>
      <c r="D308" s="147">
        <v>166.8</v>
      </c>
      <c r="E308" s="22">
        <v>535.94000000000005</v>
      </c>
      <c r="F308" s="22">
        <v>702.74</v>
      </c>
      <c r="G308" s="22">
        <v>198.04</v>
      </c>
      <c r="H308" s="22">
        <v>240.99</v>
      </c>
      <c r="I308" s="22">
        <v>15</v>
      </c>
      <c r="J308" s="22">
        <v>431.81000000000006</v>
      </c>
      <c r="K308" s="22">
        <v>49.66</v>
      </c>
      <c r="L308" s="22">
        <v>0</v>
      </c>
      <c r="M308" s="388">
        <v>7292.5</v>
      </c>
      <c r="N308" s="25">
        <v>0.58699999999999997</v>
      </c>
      <c r="O308" s="24">
        <v>6253</v>
      </c>
      <c r="P308" s="24">
        <v>1567.5</v>
      </c>
      <c r="Q308" s="24">
        <v>997</v>
      </c>
      <c r="R308" s="22">
        <v>570.5</v>
      </c>
      <c r="S308" s="24">
        <v>366.75</v>
      </c>
      <c r="T308" s="24">
        <f t="shared" si="15"/>
        <v>1934.25</v>
      </c>
      <c r="U308" s="376">
        <v>4280.7</v>
      </c>
      <c r="V308" s="376">
        <v>0</v>
      </c>
      <c r="W308" s="22">
        <f t="shared" si="16"/>
        <v>2512.7708999999995</v>
      </c>
      <c r="X308" s="22">
        <f t="shared" si="17"/>
        <v>947.25</v>
      </c>
      <c r="Y308" s="22">
        <v>754.5</v>
      </c>
      <c r="Z308" s="22">
        <v>192.75</v>
      </c>
      <c r="AA308" s="371">
        <v>7239.14</v>
      </c>
      <c r="AB308" s="22">
        <v>0.13085117845489933</v>
      </c>
      <c r="AC308" s="24">
        <v>0</v>
      </c>
      <c r="AD308" s="384">
        <v>0</v>
      </c>
    </row>
    <row r="309" spans="1:30">
      <c r="A309" s="21" t="s">
        <v>473</v>
      </c>
      <c r="B309" s="21" t="s">
        <v>474</v>
      </c>
      <c r="C309" s="23">
        <v>786.1</v>
      </c>
      <c r="D309" s="147">
        <v>82.08</v>
      </c>
      <c r="E309" s="22">
        <v>205.38</v>
      </c>
      <c r="F309" s="22">
        <v>287.45999999999998</v>
      </c>
      <c r="G309" s="22">
        <v>0</v>
      </c>
      <c r="H309" s="22">
        <v>66.19</v>
      </c>
      <c r="I309" s="22">
        <v>1.77</v>
      </c>
      <c r="J309" s="22">
        <v>721.08</v>
      </c>
      <c r="K309" s="22">
        <v>2.2000000000000002</v>
      </c>
      <c r="L309" s="22">
        <v>0</v>
      </c>
      <c r="M309" s="388">
        <v>3410.5899999999997</v>
      </c>
      <c r="N309" s="25">
        <v>0.52390000000000003</v>
      </c>
      <c r="O309" s="24">
        <v>1839</v>
      </c>
      <c r="P309" s="24">
        <v>102.25</v>
      </c>
      <c r="Q309" s="24">
        <v>60.25</v>
      </c>
      <c r="R309" s="22">
        <v>42</v>
      </c>
      <c r="S309" s="24">
        <v>13.75</v>
      </c>
      <c r="T309" s="24">
        <f t="shared" si="15"/>
        <v>116</v>
      </c>
      <c r="U309" s="376">
        <v>1786.81</v>
      </c>
      <c r="V309" s="376">
        <v>170.53</v>
      </c>
      <c r="W309" s="22">
        <f t="shared" si="16"/>
        <v>936.10975900000005</v>
      </c>
      <c r="X309" s="22">
        <f t="shared" si="17"/>
        <v>396.25</v>
      </c>
      <c r="Y309" s="22">
        <v>314.25</v>
      </c>
      <c r="Z309" s="22">
        <v>82</v>
      </c>
      <c r="AA309" s="371">
        <v>3195.2</v>
      </c>
      <c r="AB309" s="22">
        <v>0.12401414621932901</v>
      </c>
      <c r="AC309" s="24">
        <v>0</v>
      </c>
      <c r="AD309" s="384">
        <v>0</v>
      </c>
    </row>
    <row r="310" spans="1:30">
      <c r="A310" s="21" t="s">
        <v>607</v>
      </c>
      <c r="B310" s="21" t="s">
        <v>608</v>
      </c>
      <c r="C310" s="23">
        <v>1481.81</v>
      </c>
      <c r="D310" s="147">
        <v>281.89999999999998</v>
      </c>
      <c r="E310" s="22">
        <v>310.18</v>
      </c>
      <c r="F310" s="22">
        <v>592.07999999999993</v>
      </c>
      <c r="G310" s="22">
        <v>0</v>
      </c>
      <c r="H310" s="22">
        <v>80.069999999999993</v>
      </c>
      <c r="I310" s="22">
        <v>8.6199999999999992</v>
      </c>
      <c r="J310" s="22">
        <v>174.32</v>
      </c>
      <c r="K310" s="22">
        <v>5.6</v>
      </c>
      <c r="L310" s="22">
        <v>0</v>
      </c>
      <c r="M310" s="388">
        <v>5225.1799999999994</v>
      </c>
      <c r="N310" s="25">
        <v>0.46389999999999998</v>
      </c>
      <c r="O310" s="24">
        <v>1540</v>
      </c>
      <c r="P310" s="24">
        <v>422</v>
      </c>
      <c r="Q310" s="24">
        <v>299.75</v>
      </c>
      <c r="R310" s="22">
        <v>122.25</v>
      </c>
      <c r="S310" s="24">
        <v>76</v>
      </c>
      <c r="T310" s="24">
        <f t="shared" si="15"/>
        <v>498</v>
      </c>
      <c r="U310" s="376">
        <v>2416.65</v>
      </c>
      <c r="V310" s="376">
        <v>261.26</v>
      </c>
      <c r="W310" s="22">
        <f t="shared" si="16"/>
        <v>1121.0839349999999</v>
      </c>
      <c r="X310" s="22">
        <f t="shared" si="17"/>
        <v>714.25</v>
      </c>
      <c r="Y310" s="22">
        <v>484.5</v>
      </c>
      <c r="Z310" s="22">
        <v>229.75</v>
      </c>
      <c r="AA310" s="371">
        <v>5262.89</v>
      </c>
      <c r="AB310" s="22">
        <v>0.13571440786336023</v>
      </c>
      <c r="AC310" s="24">
        <v>7.1440786336021689E-4</v>
      </c>
      <c r="AD310" s="384">
        <v>-33776.670347178537</v>
      </c>
    </row>
    <row r="311" spans="1:30">
      <c r="A311" s="21" t="s">
        <v>1253</v>
      </c>
      <c r="B311" s="21" t="s">
        <v>1254</v>
      </c>
      <c r="C311" s="23">
        <v>0</v>
      </c>
      <c r="D311" s="147">
        <v>0</v>
      </c>
      <c r="E311" s="22">
        <v>0</v>
      </c>
      <c r="F311" s="22">
        <v>0</v>
      </c>
      <c r="G311" s="22">
        <v>0</v>
      </c>
      <c r="H311" s="22">
        <v>0</v>
      </c>
      <c r="I311" s="22">
        <v>0</v>
      </c>
      <c r="J311" s="22">
        <v>0</v>
      </c>
      <c r="K311" s="22">
        <v>0</v>
      </c>
      <c r="L311" s="22">
        <v>0</v>
      </c>
      <c r="M311" s="388">
        <v>50</v>
      </c>
      <c r="N311" s="25">
        <v>0.60419999999999996</v>
      </c>
      <c r="O311" s="24">
        <v>48</v>
      </c>
      <c r="P311" s="24">
        <v>2.5</v>
      </c>
      <c r="Q311" s="24">
        <v>0</v>
      </c>
      <c r="R311" s="22">
        <v>2.5</v>
      </c>
      <c r="S311" s="24">
        <v>2.5</v>
      </c>
      <c r="T311" s="24">
        <f t="shared" si="15"/>
        <v>5</v>
      </c>
      <c r="U311" s="376">
        <v>0</v>
      </c>
      <c r="V311" s="376">
        <v>0</v>
      </c>
      <c r="W311" s="22">
        <f t="shared" si="16"/>
        <v>0</v>
      </c>
      <c r="X311" s="22">
        <f t="shared" si="17"/>
        <v>6.75</v>
      </c>
      <c r="Y311" s="22">
        <v>6.75</v>
      </c>
      <c r="Z311" s="22">
        <v>0</v>
      </c>
      <c r="AA311" s="371">
        <v>50</v>
      </c>
      <c r="AB311" s="22">
        <v>0.13500000000000001</v>
      </c>
      <c r="AC311" s="24">
        <v>0</v>
      </c>
      <c r="AD311" s="384">
        <v>0</v>
      </c>
    </row>
    <row r="312" spans="1:30">
      <c r="A312" s="21" t="s">
        <v>293</v>
      </c>
      <c r="B312" s="21" t="s">
        <v>294</v>
      </c>
      <c r="C312" s="23">
        <v>96.49</v>
      </c>
      <c r="D312" s="147">
        <v>0.13</v>
      </c>
      <c r="E312" s="22">
        <v>18.62</v>
      </c>
      <c r="F312" s="22">
        <v>18.75</v>
      </c>
      <c r="G312" s="22">
        <v>0</v>
      </c>
      <c r="H312" s="22">
        <v>7.87</v>
      </c>
      <c r="I312" s="22">
        <v>0.92</v>
      </c>
      <c r="J312" s="22">
        <v>18.54</v>
      </c>
      <c r="K312" s="22">
        <v>0</v>
      </c>
      <c r="L312" s="22">
        <v>0</v>
      </c>
      <c r="M312" s="388">
        <v>324.11</v>
      </c>
      <c r="N312" s="25">
        <v>0.69669999999999999</v>
      </c>
      <c r="O312" s="24">
        <v>333</v>
      </c>
      <c r="P312" s="24">
        <v>0</v>
      </c>
      <c r="Q312" s="24">
        <v>0</v>
      </c>
      <c r="R312" s="22">
        <v>0</v>
      </c>
      <c r="S312" s="24">
        <v>0</v>
      </c>
      <c r="T312" s="24">
        <f t="shared" si="15"/>
        <v>0</v>
      </c>
      <c r="U312" s="376">
        <v>225.81</v>
      </c>
      <c r="V312" s="376">
        <v>16.21</v>
      </c>
      <c r="W312" s="22">
        <f t="shared" si="16"/>
        <v>157.32182699999998</v>
      </c>
      <c r="X312" s="22">
        <f t="shared" si="17"/>
        <v>60.5</v>
      </c>
      <c r="Y312" s="22">
        <v>40</v>
      </c>
      <c r="Z312" s="22">
        <v>20.5</v>
      </c>
      <c r="AA312" s="371">
        <v>324.11</v>
      </c>
      <c r="AB312" s="22">
        <v>0.18666502113479991</v>
      </c>
      <c r="AC312" s="24">
        <v>5.1665021134799899E-2</v>
      </c>
      <c r="AD312" s="384">
        <v>-147019.23090794118</v>
      </c>
    </row>
    <row r="313" spans="1:30">
      <c r="A313" s="21" t="s">
        <v>387</v>
      </c>
      <c r="B313" s="21" t="s">
        <v>388</v>
      </c>
      <c r="C313" s="23">
        <v>1286.52</v>
      </c>
      <c r="D313" s="147">
        <v>33.08</v>
      </c>
      <c r="E313" s="22">
        <v>290.43</v>
      </c>
      <c r="F313" s="22">
        <v>323.51</v>
      </c>
      <c r="G313" s="22">
        <v>0</v>
      </c>
      <c r="H313" s="22">
        <v>100.04</v>
      </c>
      <c r="I313" s="22">
        <v>6.32</v>
      </c>
      <c r="J313" s="22">
        <v>46.8</v>
      </c>
      <c r="K313" s="22">
        <v>30.8</v>
      </c>
      <c r="L313" s="22">
        <v>0</v>
      </c>
      <c r="M313" s="388">
        <v>4141.79</v>
      </c>
      <c r="N313" s="25">
        <v>0.29680000000000001</v>
      </c>
      <c r="O313" s="24">
        <v>27</v>
      </c>
      <c r="P313" s="24">
        <v>120.5</v>
      </c>
      <c r="Q313" s="24">
        <v>89.5</v>
      </c>
      <c r="R313" s="22">
        <v>31</v>
      </c>
      <c r="S313" s="24">
        <v>37</v>
      </c>
      <c r="T313" s="24">
        <f t="shared" si="15"/>
        <v>157.5</v>
      </c>
      <c r="U313" s="376">
        <v>1229.28</v>
      </c>
      <c r="V313" s="376">
        <v>0</v>
      </c>
      <c r="W313" s="22">
        <f t="shared" si="16"/>
        <v>364.85030399999999</v>
      </c>
      <c r="X313" s="22">
        <f t="shared" si="17"/>
        <v>566</v>
      </c>
      <c r="Y313" s="22">
        <v>341</v>
      </c>
      <c r="Z313" s="22">
        <v>225</v>
      </c>
      <c r="AA313" s="371">
        <v>4168.96</v>
      </c>
      <c r="AB313" s="22">
        <v>0.13576527479275408</v>
      </c>
      <c r="AC313" s="24">
        <v>7.6527479275406707E-4</v>
      </c>
      <c r="AD313" s="384">
        <v>-29268.838863338151</v>
      </c>
    </row>
    <row r="314" spans="1:30">
      <c r="A314" s="21" t="s">
        <v>267</v>
      </c>
      <c r="B314" s="21" t="s">
        <v>268</v>
      </c>
      <c r="C314" s="23">
        <v>300.05</v>
      </c>
      <c r="D314" s="147">
        <v>0</v>
      </c>
      <c r="E314" s="22">
        <v>57.92</v>
      </c>
      <c r="F314" s="22">
        <v>57.92</v>
      </c>
      <c r="G314" s="22">
        <v>0</v>
      </c>
      <c r="H314" s="22">
        <v>20.85</v>
      </c>
      <c r="I314" s="22">
        <v>0.05</v>
      </c>
      <c r="J314" s="22">
        <v>18.05</v>
      </c>
      <c r="K314" s="22">
        <v>0</v>
      </c>
      <c r="L314" s="22">
        <v>0</v>
      </c>
      <c r="M314" s="388">
        <v>1106.8599999999999</v>
      </c>
      <c r="N314" s="25">
        <v>0.43130000000000002</v>
      </c>
      <c r="O314" s="24">
        <v>18</v>
      </c>
      <c r="P314" s="24">
        <v>181.75</v>
      </c>
      <c r="Q314" s="24">
        <v>107.25</v>
      </c>
      <c r="R314" s="22">
        <v>74.5</v>
      </c>
      <c r="S314" s="24">
        <v>19.75</v>
      </c>
      <c r="T314" s="24">
        <f t="shared" si="15"/>
        <v>201.5</v>
      </c>
      <c r="U314" s="376">
        <v>477.94</v>
      </c>
      <c r="V314" s="376">
        <v>55.34</v>
      </c>
      <c r="W314" s="22">
        <f t="shared" si="16"/>
        <v>206.13552200000001</v>
      </c>
      <c r="X314" s="22">
        <f t="shared" si="17"/>
        <v>144.25</v>
      </c>
      <c r="Y314" s="22">
        <v>101.25</v>
      </c>
      <c r="Z314" s="22">
        <v>43</v>
      </c>
      <c r="AA314" s="371">
        <v>1106.8599999999999</v>
      </c>
      <c r="AB314" s="22">
        <v>0.13032361816309201</v>
      </c>
      <c r="AC314" s="24">
        <v>0</v>
      </c>
      <c r="AD314" s="384">
        <v>0</v>
      </c>
    </row>
    <row r="315" spans="1:30">
      <c r="A315" s="21" t="s">
        <v>307</v>
      </c>
      <c r="B315" s="21" t="s">
        <v>308</v>
      </c>
      <c r="C315" s="23">
        <v>53.3</v>
      </c>
      <c r="D315" s="147">
        <v>6.11</v>
      </c>
      <c r="E315" s="22">
        <v>15.33</v>
      </c>
      <c r="F315" s="22">
        <v>21.44</v>
      </c>
      <c r="G315" s="22">
        <v>0</v>
      </c>
      <c r="H315" s="22">
        <v>4.3</v>
      </c>
      <c r="I315" s="22">
        <v>0</v>
      </c>
      <c r="J315" s="22">
        <v>0</v>
      </c>
      <c r="K315" s="22">
        <v>0</v>
      </c>
      <c r="L315" s="22">
        <v>0</v>
      </c>
      <c r="M315" s="388">
        <v>220.11</v>
      </c>
      <c r="N315" s="25">
        <v>0.44269999999999998</v>
      </c>
      <c r="O315" s="24">
        <v>0</v>
      </c>
      <c r="P315" s="24">
        <v>0</v>
      </c>
      <c r="Q315" s="24">
        <v>0</v>
      </c>
      <c r="R315" s="22">
        <v>0</v>
      </c>
      <c r="S315" s="24">
        <v>0</v>
      </c>
      <c r="T315" s="24">
        <f t="shared" si="15"/>
        <v>0</v>
      </c>
      <c r="U315" s="376">
        <v>97.44</v>
      </c>
      <c r="V315" s="376">
        <v>11.01</v>
      </c>
      <c r="W315" s="22">
        <f t="shared" si="16"/>
        <v>43.136687999999999</v>
      </c>
      <c r="X315" s="22">
        <f t="shared" si="17"/>
        <v>40.25</v>
      </c>
      <c r="Y315" s="22">
        <v>30</v>
      </c>
      <c r="Z315" s="22">
        <v>10.25</v>
      </c>
      <c r="AA315" s="371">
        <v>220.11</v>
      </c>
      <c r="AB315" s="22">
        <v>0.18286311389759666</v>
      </c>
      <c r="AC315" s="24">
        <v>4.7863113897596649E-2</v>
      </c>
      <c r="AD315" s="384">
        <v>-91529.537530938323</v>
      </c>
    </row>
    <row r="316" spans="1:30">
      <c r="A316" s="21" t="s">
        <v>351</v>
      </c>
      <c r="B316" s="21" t="s">
        <v>352</v>
      </c>
      <c r="C316" s="23">
        <v>97.6</v>
      </c>
      <c r="D316" s="147">
        <v>6.34</v>
      </c>
      <c r="E316" s="22">
        <v>24.41</v>
      </c>
      <c r="F316" s="22">
        <v>30.75</v>
      </c>
      <c r="G316" s="22">
        <v>0</v>
      </c>
      <c r="H316" s="22">
        <v>19.3</v>
      </c>
      <c r="I316" s="22">
        <v>0</v>
      </c>
      <c r="J316" s="22">
        <v>0</v>
      </c>
      <c r="K316" s="22">
        <v>0</v>
      </c>
      <c r="L316" s="22">
        <v>0</v>
      </c>
      <c r="M316" s="388">
        <v>358.58</v>
      </c>
      <c r="N316" s="25">
        <v>0.41570000000000001</v>
      </c>
      <c r="O316" s="24">
        <v>0</v>
      </c>
      <c r="P316" s="24">
        <v>8</v>
      </c>
      <c r="Q316" s="24">
        <v>7</v>
      </c>
      <c r="R316" s="22">
        <v>1</v>
      </c>
      <c r="S316" s="24">
        <v>1</v>
      </c>
      <c r="T316" s="24">
        <f t="shared" si="15"/>
        <v>9</v>
      </c>
      <c r="U316" s="376">
        <v>149.06</v>
      </c>
      <c r="V316" s="376">
        <v>17.93</v>
      </c>
      <c r="W316" s="22">
        <f t="shared" si="16"/>
        <v>61.964242000000006</v>
      </c>
      <c r="X316" s="22">
        <f t="shared" si="17"/>
        <v>41</v>
      </c>
      <c r="Y316" s="22">
        <v>23.25</v>
      </c>
      <c r="Z316" s="22">
        <v>17.75</v>
      </c>
      <c r="AA316" s="371">
        <v>358.75</v>
      </c>
      <c r="AB316" s="22">
        <v>0.11428571428571428</v>
      </c>
      <c r="AC316" s="24">
        <v>0</v>
      </c>
      <c r="AD316" s="384">
        <v>0</v>
      </c>
    </row>
    <row r="317" spans="1:30">
      <c r="A317" s="21" t="s">
        <v>137</v>
      </c>
      <c r="B317" s="21" t="s">
        <v>138</v>
      </c>
      <c r="C317" s="23">
        <v>34.799999999999997</v>
      </c>
      <c r="D317" s="147">
        <v>3.05</v>
      </c>
      <c r="E317" s="22">
        <v>10.56</v>
      </c>
      <c r="F317" s="22">
        <v>13.61</v>
      </c>
      <c r="G317" s="22">
        <v>0</v>
      </c>
      <c r="H317" s="22">
        <v>3.41</v>
      </c>
      <c r="I317" s="22">
        <v>0.5</v>
      </c>
      <c r="J317" s="22">
        <v>0</v>
      </c>
      <c r="K317" s="22">
        <v>0</v>
      </c>
      <c r="L317" s="22">
        <v>0</v>
      </c>
      <c r="M317" s="388">
        <v>112.79999999999998</v>
      </c>
      <c r="N317" s="25">
        <v>0.66439999999999999</v>
      </c>
      <c r="O317" s="24">
        <v>118</v>
      </c>
      <c r="P317" s="24">
        <v>2.25</v>
      </c>
      <c r="Q317" s="24">
        <v>1</v>
      </c>
      <c r="R317" s="22">
        <v>1.25</v>
      </c>
      <c r="S317" s="24">
        <v>0.75</v>
      </c>
      <c r="T317" s="24">
        <f t="shared" si="15"/>
        <v>3</v>
      </c>
      <c r="U317" s="376">
        <v>74.94</v>
      </c>
      <c r="V317" s="376">
        <v>5.64</v>
      </c>
      <c r="W317" s="22">
        <f t="shared" si="16"/>
        <v>49.790135999999997</v>
      </c>
      <c r="X317" s="22">
        <f t="shared" si="17"/>
        <v>15.5</v>
      </c>
      <c r="Y317" s="22">
        <v>14.5</v>
      </c>
      <c r="Z317" s="22">
        <v>1</v>
      </c>
      <c r="AA317" s="371">
        <v>114.57</v>
      </c>
      <c r="AB317" s="22">
        <v>0.13528846993104654</v>
      </c>
      <c r="AC317" s="24">
        <v>2.8846993104653107E-4</v>
      </c>
      <c r="AD317" s="384">
        <v>-298.53820598456667</v>
      </c>
    </row>
    <row r="318" spans="1:30">
      <c r="A318" s="21" t="s">
        <v>281</v>
      </c>
      <c r="B318" s="21" t="s">
        <v>282</v>
      </c>
      <c r="C318" s="23">
        <v>226.2</v>
      </c>
      <c r="D318" s="147">
        <v>8.86</v>
      </c>
      <c r="E318" s="22">
        <v>48.29</v>
      </c>
      <c r="F318" s="22">
        <v>57.15</v>
      </c>
      <c r="G318" s="22">
        <v>0</v>
      </c>
      <c r="H318" s="22">
        <v>9.1300000000000008</v>
      </c>
      <c r="I318" s="22">
        <v>0.33</v>
      </c>
      <c r="J318" s="22">
        <v>0</v>
      </c>
      <c r="K318" s="22">
        <v>2</v>
      </c>
      <c r="L318" s="22">
        <v>0</v>
      </c>
      <c r="M318" s="388">
        <v>730.72</v>
      </c>
      <c r="N318" s="25">
        <v>0.91100000000000003</v>
      </c>
      <c r="O318" s="24">
        <v>736</v>
      </c>
      <c r="P318" s="24">
        <v>41</v>
      </c>
      <c r="Q318" s="24">
        <v>22.25</v>
      </c>
      <c r="R318" s="22">
        <v>18.75</v>
      </c>
      <c r="S318" s="24">
        <v>7.25</v>
      </c>
      <c r="T318" s="24">
        <f t="shared" si="15"/>
        <v>48.25</v>
      </c>
      <c r="U318" s="376">
        <v>665.69</v>
      </c>
      <c r="V318" s="376">
        <v>36.54</v>
      </c>
      <c r="W318" s="22">
        <f t="shared" si="16"/>
        <v>606.44359000000009</v>
      </c>
      <c r="X318" s="22">
        <f t="shared" si="17"/>
        <v>115</v>
      </c>
      <c r="Y318" s="22">
        <v>63</v>
      </c>
      <c r="Z318" s="22">
        <v>52</v>
      </c>
      <c r="AA318" s="371">
        <v>731.32</v>
      </c>
      <c r="AB318" s="22">
        <v>0.15724990428266694</v>
      </c>
      <c r="AC318" s="24">
        <v>2.2249904282666932E-2</v>
      </c>
      <c r="AD318" s="384">
        <v>-145742.57761362608</v>
      </c>
    </row>
    <row r="319" spans="1:30">
      <c r="A319" s="21" t="s">
        <v>161</v>
      </c>
      <c r="B319" s="21" t="s">
        <v>162</v>
      </c>
      <c r="C319" s="23">
        <v>48.4</v>
      </c>
      <c r="D319" s="147">
        <v>4.26</v>
      </c>
      <c r="E319" s="22">
        <v>6.81</v>
      </c>
      <c r="F319" s="22">
        <v>11.07</v>
      </c>
      <c r="G319" s="22">
        <v>0</v>
      </c>
      <c r="H319" s="22">
        <v>0.95</v>
      </c>
      <c r="I319" s="22">
        <v>0</v>
      </c>
      <c r="J319" s="22">
        <v>0</v>
      </c>
      <c r="K319" s="22">
        <v>0</v>
      </c>
      <c r="L319" s="22">
        <v>0</v>
      </c>
      <c r="M319" s="388">
        <v>156.47999999999996</v>
      </c>
      <c r="N319" s="25">
        <v>0.6774</v>
      </c>
      <c r="O319" s="24">
        <v>155</v>
      </c>
      <c r="P319" s="24">
        <v>0</v>
      </c>
      <c r="Q319" s="24">
        <v>0</v>
      </c>
      <c r="R319" s="22">
        <v>0</v>
      </c>
      <c r="S319" s="24">
        <v>0</v>
      </c>
      <c r="T319" s="24">
        <f t="shared" si="15"/>
        <v>0</v>
      </c>
      <c r="U319" s="376">
        <v>106</v>
      </c>
      <c r="V319" s="376">
        <v>0</v>
      </c>
      <c r="W319" s="22">
        <f t="shared" si="16"/>
        <v>71.804400000000001</v>
      </c>
      <c r="X319" s="22">
        <f t="shared" si="17"/>
        <v>18.5</v>
      </c>
      <c r="Y319" s="22">
        <v>15.5</v>
      </c>
      <c r="Z319" s="22">
        <v>3</v>
      </c>
      <c r="AA319" s="371">
        <v>156.47999999999999</v>
      </c>
      <c r="AB319" s="22">
        <v>0.11822597137014315</v>
      </c>
      <c r="AC319" s="24">
        <v>0</v>
      </c>
      <c r="AD319" s="384">
        <v>0</v>
      </c>
    </row>
    <row r="320" spans="1:30">
      <c r="A320" s="21" t="s">
        <v>251</v>
      </c>
      <c r="B320" s="21" t="s">
        <v>252</v>
      </c>
      <c r="C320" s="23">
        <v>16.399999999999999</v>
      </c>
      <c r="D320" s="147">
        <v>0</v>
      </c>
      <c r="E320" s="22">
        <v>2.59</v>
      </c>
      <c r="F320" s="22">
        <v>2.59</v>
      </c>
      <c r="G320" s="22">
        <v>0</v>
      </c>
      <c r="H320" s="22">
        <v>4.45</v>
      </c>
      <c r="I320" s="22">
        <v>0.08</v>
      </c>
      <c r="J320" s="22">
        <v>0</v>
      </c>
      <c r="K320" s="22">
        <v>0</v>
      </c>
      <c r="L320" s="22">
        <v>0</v>
      </c>
      <c r="M320" s="388">
        <v>60.22</v>
      </c>
      <c r="N320" s="25">
        <v>0.91379999999999995</v>
      </c>
      <c r="O320" s="24">
        <v>58</v>
      </c>
      <c r="P320" s="24">
        <v>0</v>
      </c>
      <c r="Q320" s="24">
        <v>0</v>
      </c>
      <c r="R320" s="22">
        <v>0</v>
      </c>
      <c r="S320" s="24">
        <v>0</v>
      </c>
      <c r="T320" s="24">
        <f t="shared" si="15"/>
        <v>0</v>
      </c>
      <c r="U320" s="376">
        <v>55.03</v>
      </c>
      <c r="V320" s="376">
        <v>0</v>
      </c>
      <c r="W320" s="22">
        <f t="shared" si="16"/>
        <v>50.286414000000001</v>
      </c>
      <c r="X320" s="22">
        <f t="shared" si="17"/>
        <v>5.5</v>
      </c>
      <c r="Y320" s="22">
        <v>5.5</v>
      </c>
      <c r="Z320" s="22">
        <v>0</v>
      </c>
      <c r="AA320" s="371">
        <v>60.23</v>
      </c>
      <c r="AB320" s="22">
        <v>9.1316619624771708E-2</v>
      </c>
      <c r="AC320" s="24">
        <v>0</v>
      </c>
      <c r="AD320" s="384">
        <v>0</v>
      </c>
    </row>
    <row r="321" spans="1:30">
      <c r="A321" s="21" t="s">
        <v>85</v>
      </c>
      <c r="B321" s="21" t="s">
        <v>86</v>
      </c>
      <c r="C321" s="23">
        <v>681.13</v>
      </c>
      <c r="D321" s="147">
        <v>3.34</v>
      </c>
      <c r="E321" s="22">
        <v>83.07</v>
      </c>
      <c r="F321" s="22">
        <v>86.41</v>
      </c>
      <c r="G321" s="22">
        <v>0</v>
      </c>
      <c r="H321" s="22">
        <v>47.04</v>
      </c>
      <c r="I321" s="22">
        <v>1.1200000000000001</v>
      </c>
      <c r="J321" s="22">
        <v>183.03</v>
      </c>
      <c r="K321" s="22">
        <v>1.8</v>
      </c>
      <c r="L321" s="22">
        <v>0</v>
      </c>
      <c r="M321" s="388">
        <v>2349.67</v>
      </c>
      <c r="N321" s="25">
        <v>0.47249999999999998</v>
      </c>
      <c r="O321" s="24">
        <v>499</v>
      </c>
      <c r="P321" s="24">
        <v>208.75</v>
      </c>
      <c r="Q321" s="24">
        <v>145.5</v>
      </c>
      <c r="R321" s="22">
        <v>63.25</v>
      </c>
      <c r="S321" s="24">
        <v>26</v>
      </c>
      <c r="T321" s="24">
        <f t="shared" si="15"/>
        <v>234.75</v>
      </c>
      <c r="U321" s="376">
        <v>1110.22</v>
      </c>
      <c r="V321" s="376">
        <v>117.48</v>
      </c>
      <c r="W321" s="22">
        <f t="shared" si="16"/>
        <v>524.57894999999996</v>
      </c>
      <c r="X321" s="22">
        <f t="shared" si="17"/>
        <v>318.75</v>
      </c>
      <c r="Y321" s="22">
        <v>186.25</v>
      </c>
      <c r="Z321" s="22">
        <v>132.5</v>
      </c>
      <c r="AA321" s="371">
        <v>2375.35</v>
      </c>
      <c r="AB321" s="22">
        <v>0.1341907508367188</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130.4</v>
      </c>
      <c r="N322" s="25">
        <v>0</v>
      </c>
      <c r="O322" s="24">
        <v>0</v>
      </c>
      <c r="P322" s="24">
        <v>0</v>
      </c>
      <c r="Q322" s="24">
        <v>0</v>
      </c>
      <c r="R322" s="22">
        <v>0</v>
      </c>
      <c r="S322" s="24">
        <v>0</v>
      </c>
      <c r="T322" s="24">
        <f t="shared" si="15"/>
        <v>0</v>
      </c>
      <c r="U322" s="376">
        <v>0</v>
      </c>
      <c r="V322" s="376">
        <v>0</v>
      </c>
      <c r="W322" s="22">
        <f t="shared" si="16"/>
        <v>0</v>
      </c>
      <c r="X322" s="22">
        <f t="shared" si="17"/>
        <v>17.5</v>
      </c>
      <c r="Y322" s="22">
        <v>16.5</v>
      </c>
      <c r="Z322" s="22">
        <v>1</v>
      </c>
      <c r="AA322" s="371">
        <v>130.4</v>
      </c>
      <c r="AB322" s="22">
        <v>0.13420245398773006</v>
      </c>
      <c r="AC322" s="24">
        <v>0</v>
      </c>
      <c r="AD322" s="384">
        <v>0</v>
      </c>
    </row>
    <row r="323" spans="1:30">
      <c r="A323" s="21" t="s">
        <v>585</v>
      </c>
      <c r="B323" s="21" t="s">
        <v>586</v>
      </c>
      <c r="C323" s="23">
        <v>4373.6499999999996</v>
      </c>
      <c r="D323" s="147">
        <v>268.20999999999998</v>
      </c>
      <c r="E323" s="22">
        <v>1066.55</v>
      </c>
      <c r="F323" s="22">
        <v>1334.76</v>
      </c>
      <c r="G323" s="22">
        <v>448.28</v>
      </c>
      <c r="H323" s="22">
        <v>142.85</v>
      </c>
      <c r="I323" s="22">
        <v>15.38</v>
      </c>
      <c r="J323" s="22">
        <v>355.47</v>
      </c>
      <c r="K323" s="22">
        <v>46.8</v>
      </c>
      <c r="L323" s="22">
        <v>0</v>
      </c>
      <c r="M323" s="388">
        <v>15635.349999999997</v>
      </c>
      <c r="N323" s="25">
        <v>0.8538</v>
      </c>
      <c r="O323" s="24">
        <v>15742</v>
      </c>
      <c r="P323" s="24">
        <v>4603.25</v>
      </c>
      <c r="Q323" s="24">
        <v>2883</v>
      </c>
      <c r="R323" s="22">
        <v>1720.25</v>
      </c>
      <c r="S323" s="24">
        <v>690.5</v>
      </c>
      <c r="T323" s="24">
        <f t="shared" si="15"/>
        <v>5293.75</v>
      </c>
      <c r="U323" s="376">
        <v>13349.46</v>
      </c>
      <c r="V323" s="376">
        <v>781.77</v>
      </c>
      <c r="W323" s="22">
        <f t="shared" si="16"/>
        <v>11397.768947999999</v>
      </c>
      <c r="X323" s="22">
        <f t="shared" si="17"/>
        <v>1933</v>
      </c>
      <c r="Y323" s="22">
        <v>1052.25</v>
      </c>
      <c r="Z323" s="22">
        <v>880.75</v>
      </c>
      <c r="AA323" s="371">
        <v>15340.83</v>
      </c>
      <c r="AB323" s="22">
        <v>0.12600361258158782</v>
      </c>
      <c r="AC323" s="24">
        <v>0</v>
      </c>
      <c r="AD323" s="384">
        <v>0</v>
      </c>
    </row>
    <row r="324" spans="1:30">
      <c r="A324" s="21" t="s">
        <v>507</v>
      </c>
      <c r="B324" s="21" t="s">
        <v>508</v>
      </c>
      <c r="C324" s="23">
        <v>1615.46</v>
      </c>
      <c r="D324" s="147">
        <v>35.25</v>
      </c>
      <c r="E324" s="22">
        <v>404.5</v>
      </c>
      <c r="F324" s="22">
        <v>439.75</v>
      </c>
      <c r="G324" s="22">
        <v>0</v>
      </c>
      <c r="H324" s="22">
        <v>98.96</v>
      </c>
      <c r="I324" s="22">
        <v>12.78</v>
      </c>
      <c r="J324" s="22">
        <v>80.69</v>
      </c>
      <c r="K324" s="22">
        <v>17.8</v>
      </c>
      <c r="L324" s="22">
        <v>0</v>
      </c>
      <c r="M324" s="388">
        <v>5360.44</v>
      </c>
      <c r="N324" s="25">
        <v>0.46560000000000001</v>
      </c>
      <c r="O324" s="24">
        <v>523</v>
      </c>
      <c r="P324" s="24">
        <v>182.25</v>
      </c>
      <c r="Q324" s="24">
        <v>108.5</v>
      </c>
      <c r="R324" s="22">
        <v>73.75</v>
      </c>
      <c r="S324" s="24">
        <v>19.5</v>
      </c>
      <c r="T324" s="24">
        <f t="shared" si="15"/>
        <v>201.75</v>
      </c>
      <c r="U324" s="376">
        <v>2495.8200000000002</v>
      </c>
      <c r="V324" s="376">
        <v>268.02</v>
      </c>
      <c r="W324" s="22">
        <f t="shared" si="16"/>
        <v>1162.0537920000002</v>
      </c>
      <c r="X324" s="22">
        <f t="shared" si="17"/>
        <v>749.5</v>
      </c>
      <c r="Y324" s="22">
        <v>574.25</v>
      </c>
      <c r="Z324" s="22">
        <v>175.25</v>
      </c>
      <c r="AA324" s="371">
        <v>5370.27</v>
      </c>
      <c r="AB324" s="22">
        <v>0.13956467738121173</v>
      </c>
      <c r="AC324" s="24">
        <v>4.5646773812117181E-3</v>
      </c>
      <c r="AD324" s="384">
        <v>-215329.11625566363</v>
      </c>
    </row>
    <row r="325" spans="1:30">
      <c r="A325" s="21" t="s">
        <v>603</v>
      </c>
      <c r="B325" s="21" t="s">
        <v>604</v>
      </c>
      <c r="C325" s="23">
        <v>351.34</v>
      </c>
      <c r="D325" s="147">
        <v>0</v>
      </c>
      <c r="E325" s="22">
        <v>46.32</v>
      </c>
      <c r="F325" s="22">
        <v>46.32</v>
      </c>
      <c r="G325" s="22">
        <v>0</v>
      </c>
      <c r="H325" s="22">
        <v>14.3</v>
      </c>
      <c r="I325" s="22">
        <v>1</v>
      </c>
      <c r="J325" s="22">
        <v>0</v>
      </c>
      <c r="K325" s="22">
        <v>0</v>
      </c>
      <c r="L325" s="22">
        <v>0</v>
      </c>
      <c r="M325" s="388">
        <v>1251.8999999999999</v>
      </c>
      <c r="N325" s="25">
        <v>0.58030000000000004</v>
      </c>
      <c r="O325" s="24">
        <v>1260</v>
      </c>
      <c r="P325" s="24">
        <v>142</v>
      </c>
      <c r="Q325" s="24">
        <v>104.25</v>
      </c>
      <c r="R325" s="22">
        <v>37.75</v>
      </c>
      <c r="S325" s="24">
        <v>7</v>
      </c>
      <c r="T325" s="24">
        <f t="shared" si="15"/>
        <v>149</v>
      </c>
      <c r="U325" s="376">
        <v>726.48</v>
      </c>
      <c r="V325" s="376">
        <v>0</v>
      </c>
      <c r="W325" s="22">
        <f t="shared" si="16"/>
        <v>421.57634400000006</v>
      </c>
      <c r="X325" s="22">
        <f t="shared" si="17"/>
        <v>128.25</v>
      </c>
      <c r="Y325" s="22">
        <v>98.5</v>
      </c>
      <c r="Z325" s="22">
        <v>29.75</v>
      </c>
      <c r="AA325" s="371">
        <v>1258.5999999999999</v>
      </c>
      <c r="AB325" s="22">
        <v>0.10189893532496426</v>
      </c>
      <c r="AC325" s="24">
        <v>0</v>
      </c>
      <c r="AD325" s="384">
        <v>0</v>
      </c>
    </row>
    <row r="326" spans="1:30">
      <c r="N326" s="12">
        <v>0.75539999999999996</v>
      </c>
    </row>
    <row r="327" spans="1:30">
      <c r="N327" s="12">
        <v>0.75470000000000004</v>
      </c>
    </row>
    <row r="328" spans="1:30">
      <c r="N328" s="12">
        <v>0.33160000000000001</v>
      </c>
    </row>
    <row r="329" spans="1:30">
      <c r="N329" s="12">
        <v>0.56899999999999995</v>
      </c>
    </row>
    <row r="330" spans="1:30">
      <c r="N330" s="12">
        <v>0.70589999999999997</v>
      </c>
    </row>
    <row r="331" spans="1:30">
      <c r="N331" s="12">
        <v>0.43180000000000002</v>
      </c>
    </row>
    <row r="332" spans="1:30">
      <c r="N332" s="12">
        <v>0.66810000000000003</v>
      </c>
    </row>
    <row r="333" spans="1:30">
      <c r="N333" s="12">
        <v>0.14180000000000001</v>
      </c>
    </row>
    <row r="334" spans="1:30">
      <c r="N334" s="12">
        <v>0.3856</v>
      </c>
    </row>
    <row r="335" spans="1:30">
      <c r="N335" s="12">
        <v>0.3987</v>
      </c>
    </row>
    <row r="336" spans="1:30">
      <c r="N336" s="12">
        <v>0.749</v>
      </c>
    </row>
    <row r="337" spans="14:14">
      <c r="N337" s="12">
        <v>0.64239999999999997</v>
      </c>
    </row>
    <row r="338" spans="14:14">
      <c r="N338" s="12">
        <v>0.76590000000000003</v>
      </c>
    </row>
    <row r="339" spans="14:14">
      <c r="N339" s="12">
        <v>0.53200000000000003</v>
      </c>
    </row>
    <row r="340" spans="14:14">
      <c r="N340" s="12">
        <v>0.70109999999999995</v>
      </c>
    </row>
    <row r="341" spans="14:14">
      <c r="N341" s="12">
        <v>0.30070000000000002</v>
      </c>
    </row>
    <row r="342" spans="14:14">
      <c r="N342" s="12">
        <v>0.54249999999999998</v>
      </c>
    </row>
    <row r="343" spans="14:14">
      <c r="N343" s="12">
        <v>0.57830000000000004</v>
      </c>
    </row>
    <row r="344" spans="14:14">
      <c r="N344" s="12">
        <v>0.77080000000000004</v>
      </c>
    </row>
    <row r="345" spans="14:14">
      <c r="N345" s="12">
        <v>0.30020000000000002</v>
      </c>
    </row>
    <row r="346" spans="14:14">
      <c r="N346" s="12">
        <v>0.15579999999999999</v>
      </c>
    </row>
    <row r="347" spans="14:14">
      <c r="N347" s="12">
        <v>0.71879999999999999</v>
      </c>
    </row>
    <row r="348" spans="14:14">
      <c r="N348" s="12">
        <v>0.89300000000000002</v>
      </c>
    </row>
    <row r="349" spans="14:14">
      <c r="N349" s="12">
        <v>0.73799999999999999</v>
      </c>
    </row>
    <row r="350" spans="14:14">
      <c r="N350" s="12">
        <v>0.31490000000000001</v>
      </c>
    </row>
    <row r="351" spans="14:14">
      <c r="N351" s="12">
        <v>0.81569999999999998</v>
      </c>
    </row>
    <row r="352" spans="14:14">
      <c r="N352" s="12">
        <v>0.91300000000000003</v>
      </c>
    </row>
    <row r="353" spans="14:14">
      <c r="N353" s="12">
        <v>0.36420000000000002</v>
      </c>
    </row>
    <row r="354" spans="14:14">
      <c r="N354" s="12">
        <v>0.73440000000000005</v>
      </c>
    </row>
    <row r="355" spans="14:14">
      <c r="N355" s="12">
        <v>0.72289999999999999</v>
      </c>
    </row>
    <row r="356" spans="14:14">
      <c r="N356" s="12">
        <v>1</v>
      </c>
    </row>
    <row r="357" spans="14:14">
      <c r="N357" s="12">
        <v>0.59130000000000005</v>
      </c>
    </row>
    <row r="358" spans="14:14">
      <c r="N358" s="12">
        <v>0.2082</v>
      </c>
    </row>
    <row r="359" spans="14:14">
      <c r="N359" s="12">
        <v>0.42480000000000001</v>
      </c>
    </row>
    <row r="360" spans="14:14">
      <c r="N360" s="12">
        <v>0.65090000000000003</v>
      </c>
    </row>
    <row r="361" spans="14:14">
      <c r="N361" s="12">
        <v>0.51839999999999997</v>
      </c>
    </row>
    <row r="362" spans="14:14">
      <c r="N362" s="12">
        <v>0.5262</v>
      </c>
    </row>
    <row r="363" spans="14:14">
      <c r="N363" s="12">
        <v>0.51739999999999997</v>
      </c>
    </row>
    <row r="364" spans="14:14">
      <c r="N364" s="12">
        <v>0.93959999999999999</v>
      </c>
    </row>
    <row r="365" spans="14:14">
      <c r="N365" s="12">
        <v>0.58220000000000005</v>
      </c>
    </row>
    <row r="366" spans="14:14">
      <c r="N366" s="12">
        <v>0.71960000000000002</v>
      </c>
    </row>
    <row r="367" spans="14:14">
      <c r="N367" s="12">
        <v>2.53E-2</v>
      </c>
    </row>
    <row r="368" spans="14:14">
      <c r="N368" s="12">
        <v>0.3155</v>
      </c>
    </row>
    <row r="369" spans="14:14">
      <c r="N369" s="12">
        <v>0.39810000000000001</v>
      </c>
    </row>
    <row r="370" spans="14:14">
      <c r="N370" s="12">
        <v>1</v>
      </c>
    </row>
    <row r="371" spans="14:14">
      <c r="N371" s="12">
        <v>0.31130000000000002</v>
      </c>
    </row>
    <row r="372" spans="14:14">
      <c r="N372" s="12">
        <v>0.93910000000000005</v>
      </c>
    </row>
    <row r="373" spans="14:14">
      <c r="N373" s="12">
        <v>0.53159999999999996</v>
      </c>
    </row>
    <row r="374" spans="14:14">
      <c r="N374" s="12">
        <v>0.82869999999999999</v>
      </c>
    </row>
    <row r="375" spans="14:14">
      <c r="N375" s="12">
        <v>0.76190000000000002</v>
      </c>
    </row>
    <row r="376" spans="14:14">
      <c r="N376" s="12">
        <v>0.4415</v>
      </c>
    </row>
    <row r="377" spans="14:14">
      <c r="N377" s="12">
        <v>0.70309999999999995</v>
      </c>
    </row>
    <row r="378" spans="14:14">
      <c r="N378" s="12">
        <v>0.4466</v>
      </c>
    </row>
    <row r="379" spans="14:14">
      <c r="N379" s="12">
        <v>0.53410000000000002</v>
      </c>
    </row>
    <row r="380" spans="14:14">
      <c r="N380" s="12">
        <v>0.71550000000000002</v>
      </c>
    </row>
    <row r="381" spans="14:14">
      <c r="N381" s="12">
        <v>0.38919999999999999</v>
      </c>
    </row>
    <row r="382" spans="14:14">
      <c r="N382" s="12">
        <v>0.23899999999999999</v>
      </c>
    </row>
    <row r="383" spans="14:14">
      <c r="N383" s="12">
        <v>0.45860000000000001</v>
      </c>
    </row>
    <row r="384" spans="14:14">
      <c r="N384" s="12">
        <v>0.50660000000000005</v>
      </c>
    </row>
    <row r="385" spans="14:14">
      <c r="N385" s="12">
        <v>0.1303</v>
      </c>
    </row>
    <row r="386" spans="14:14">
      <c r="N386" s="12">
        <v>0.51419999999999999</v>
      </c>
    </row>
    <row r="387" spans="14:14">
      <c r="N387" s="12">
        <v>0</v>
      </c>
    </row>
    <row r="388" spans="14:14">
      <c r="N388" s="12">
        <v>0.63690000000000002</v>
      </c>
    </row>
    <row r="389" spans="14:14">
      <c r="N389" s="12">
        <v>0.78449999999999998</v>
      </c>
    </row>
    <row r="390" spans="14:14">
      <c r="N390" s="12">
        <v>0.4</v>
      </c>
    </row>
    <row r="391" spans="14:14">
      <c r="N391" s="12">
        <v>0.62960000000000005</v>
      </c>
    </row>
    <row r="392" spans="14:14">
      <c r="N392" s="12">
        <v>0.40450000000000003</v>
      </c>
    </row>
    <row r="393" spans="14:14">
      <c r="N393" s="12">
        <v>0.51629999999999998</v>
      </c>
    </row>
    <row r="394" spans="14:14">
      <c r="N394" s="12">
        <v>0.55530000000000002</v>
      </c>
    </row>
    <row r="395" spans="14:14">
      <c r="N395" s="12">
        <v>0.58299999999999996</v>
      </c>
    </row>
    <row r="396" spans="14:14">
      <c r="N396" s="12">
        <v>0.44409999999999999</v>
      </c>
    </row>
    <row r="397" spans="14:14">
      <c r="N397" s="12">
        <v>0</v>
      </c>
    </row>
    <row r="398" spans="14:14">
      <c r="N398" s="12">
        <v>0.6734</v>
      </c>
    </row>
    <row r="399" spans="14:14">
      <c r="N399" s="12">
        <v>0.2676</v>
      </c>
    </row>
    <row r="400" spans="14:14">
      <c r="N400" s="12">
        <v>0.66269999999999996</v>
      </c>
    </row>
    <row r="401" spans="14:14">
      <c r="N401" s="12">
        <v>0.87760000000000005</v>
      </c>
    </row>
    <row r="402" spans="14:14">
      <c r="N402" s="12">
        <v>0.1933</v>
      </c>
    </row>
    <row r="403" spans="14:14">
      <c r="N403" s="12">
        <v>0.106</v>
      </c>
    </row>
    <row r="404" spans="14:14">
      <c r="N404" s="12">
        <v>0.79569999999999996</v>
      </c>
    </row>
    <row r="405" spans="14:14">
      <c r="N405" s="12">
        <v>0.70269999999999999</v>
      </c>
    </row>
    <row r="406" spans="14:14">
      <c r="N406" s="12">
        <v>0.37280000000000002</v>
      </c>
    </row>
    <row r="407" spans="14:14">
      <c r="N407" s="12">
        <v>0.29339999999999999</v>
      </c>
    </row>
    <row r="408" spans="14:14">
      <c r="N408" s="12">
        <v>0.44290000000000002</v>
      </c>
    </row>
    <row r="409" spans="14:14">
      <c r="N409" s="12">
        <v>0.45100000000000001</v>
      </c>
    </row>
    <row r="410" spans="14:14">
      <c r="N410" s="12">
        <v>0.59830000000000005</v>
      </c>
    </row>
    <row r="411" spans="14:14">
      <c r="N411" s="12">
        <v>0.56410000000000005</v>
      </c>
    </row>
    <row r="412" spans="14:14">
      <c r="N412" s="12">
        <v>0.4919</v>
      </c>
    </row>
    <row r="413" spans="14:14">
      <c r="N413" s="12">
        <v>0.29210000000000003</v>
      </c>
    </row>
    <row r="414" spans="14:14">
      <c r="N414" s="12">
        <v>0</v>
      </c>
    </row>
    <row r="415" spans="14:14">
      <c r="N415" s="12">
        <v>0.9</v>
      </c>
    </row>
    <row r="416" spans="14:14">
      <c r="N416" s="12">
        <v>0</v>
      </c>
    </row>
    <row r="417" spans="14:14">
      <c r="N417" s="12">
        <v>0.23449999999999999</v>
      </c>
    </row>
    <row r="418" spans="14:14">
      <c r="N418" s="12">
        <v>0</v>
      </c>
    </row>
    <row r="419" spans="14:14">
      <c r="N419" s="12">
        <v>0.51890000000000003</v>
      </c>
    </row>
    <row r="420" spans="14:14">
      <c r="N420" s="12">
        <v>0.55559999999999998</v>
      </c>
    </row>
    <row r="421" spans="14:14">
      <c r="N421" s="12">
        <v>0.52980000000000005</v>
      </c>
    </row>
    <row r="422" spans="14:14">
      <c r="N422" s="12">
        <v>0.66490000000000005</v>
      </c>
    </row>
    <row r="423" spans="14:14">
      <c r="N423" s="12">
        <v>0.37430000000000002</v>
      </c>
    </row>
    <row r="424" spans="14:14">
      <c r="N424" s="12">
        <v>0.84930000000000005</v>
      </c>
    </row>
    <row r="425" spans="14:14">
      <c r="N425" s="12">
        <v>0.29110000000000003</v>
      </c>
    </row>
    <row r="426" spans="14:14">
      <c r="N426" s="12">
        <v>0.93879999999999997</v>
      </c>
    </row>
    <row r="427" spans="14:14">
      <c r="N427" s="12">
        <v>0.63529999999999998</v>
      </c>
    </row>
    <row r="428" spans="14:14">
      <c r="N428" s="12">
        <v>0.57699999999999996</v>
      </c>
    </row>
    <row r="429" spans="14:14">
      <c r="N429" s="12">
        <v>0.77329999999999999</v>
      </c>
    </row>
    <row r="430" spans="14:14">
      <c r="N430" s="12">
        <v>0.13170000000000001</v>
      </c>
    </row>
    <row r="431" spans="14:14">
      <c r="N431" s="12">
        <v>0.63019999999999998</v>
      </c>
    </row>
    <row r="432" spans="14:14">
      <c r="N432" s="12">
        <v>0.47820000000000001</v>
      </c>
    </row>
    <row r="433" spans="14:14">
      <c r="N433" s="12">
        <v>0.47689999999999999</v>
      </c>
    </row>
    <row r="434" spans="14:14">
      <c r="N434" s="12">
        <v>0.52</v>
      </c>
    </row>
    <row r="435" spans="14:14">
      <c r="N435" s="12">
        <v>0.76719999999999999</v>
      </c>
    </row>
    <row r="436" spans="14:14">
      <c r="N436" s="12">
        <v>0.93710000000000004</v>
      </c>
    </row>
    <row r="437" spans="14:14">
      <c r="N437" s="12">
        <v>0.55400000000000005</v>
      </c>
    </row>
    <row r="438" spans="14:14">
      <c r="N438" s="12">
        <v>0.41170000000000001</v>
      </c>
    </row>
    <row r="439" spans="14:14">
      <c r="N439" s="12">
        <v>0</v>
      </c>
    </row>
    <row r="440" spans="14:14">
      <c r="N440" s="12">
        <v>0.74890000000000001</v>
      </c>
    </row>
    <row r="441" spans="14:14">
      <c r="N441" s="12">
        <v>0.30859999999999999</v>
      </c>
    </row>
    <row r="442" spans="14:14">
      <c r="N442" s="12">
        <v>0.93140000000000001</v>
      </c>
    </row>
    <row r="443" spans="14:14">
      <c r="N443" s="12">
        <v>0.36470000000000002</v>
      </c>
    </row>
    <row r="444" spans="14:14">
      <c r="N444" s="12">
        <v>0.2283</v>
      </c>
    </row>
    <row r="445" spans="14:14">
      <c r="N445" s="12">
        <v>0.4849</v>
      </c>
    </row>
    <row r="446" spans="14:14">
      <c r="N446" s="12">
        <v>0.2334</v>
      </c>
    </row>
    <row r="447" spans="14:14">
      <c r="N447" s="12">
        <v>0.9919</v>
      </c>
    </row>
    <row r="448" spans="14:14">
      <c r="N448" s="12">
        <v>0.64859999999999995</v>
      </c>
    </row>
    <row r="449" spans="14:14">
      <c r="N449" s="12">
        <v>0.96819999999999995</v>
      </c>
    </row>
    <row r="450" spans="14:14">
      <c r="N450" s="12">
        <v>0.56779999999999997</v>
      </c>
    </row>
    <row r="451" spans="14:14">
      <c r="N451" s="12">
        <v>0.55479999999999996</v>
      </c>
    </row>
    <row r="452" spans="14:14">
      <c r="N452" s="12">
        <v>0.90910000000000002</v>
      </c>
    </row>
    <row r="453" spans="14:14">
      <c r="N453" s="12">
        <v>0.85399999999999998</v>
      </c>
    </row>
    <row r="454" spans="14:14">
      <c r="N454" s="12">
        <v>0.34239999999999998</v>
      </c>
    </row>
    <row r="455" spans="14:14">
      <c r="N455" s="12">
        <v>0.74390000000000001</v>
      </c>
    </row>
    <row r="456" spans="14:14">
      <c r="N456" s="12">
        <v>0.55989999999999995</v>
      </c>
    </row>
    <row r="457" spans="14:14">
      <c r="N457" s="12">
        <v>0.8992</v>
      </c>
    </row>
    <row r="458" spans="14:14">
      <c r="N458" s="12">
        <v>0.58699999999999997</v>
      </c>
    </row>
    <row r="459" spans="14:14">
      <c r="N459" s="12">
        <v>0.52390000000000003</v>
      </c>
    </row>
    <row r="460" spans="14:14">
      <c r="N460" s="12">
        <v>0.46250000000000002</v>
      </c>
    </row>
    <row r="461" spans="14:14">
      <c r="N461" s="12">
        <v>0</v>
      </c>
    </row>
    <row r="462" spans="14:14">
      <c r="N462" s="12">
        <v>0.69669999999999999</v>
      </c>
    </row>
    <row r="463" spans="14:14">
      <c r="N463" s="12">
        <v>0.29680000000000001</v>
      </c>
    </row>
    <row r="464" spans="14:14">
      <c r="N464" s="12">
        <v>0.43180000000000002</v>
      </c>
    </row>
    <row r="465" spans="14:14">
      <c r="N465" s="12">
        <v>0.44269999999999998</v>
      </c>
    </row>
    <row r="466" spans="14:14">
      <c r="N466" s="12">
        <v>0.41570000000000001</v>
      </c>
    </row>
    <row r="467" spans="14:14">
      <c r="N467" s="12">
        <v>0.66439999999999999</v>
      </c>
    </row>
    <row r="468" spans="14:14">
      <c r="N468" s="12">
        <v>0.91100000000000003</v>
      </c>
    </row>
    <row r="469" spans="14:14">
      <c r="N469" s="12">
        <v>0.6774</v>
      </c>
    </row>
    <row r="470" spans="14:14">
      <c r="N470" s="12">
        <v>0.91379999999999995</v>
      </c>
    </row>
    <row r="471" spans="14:14">
      <c r="N471" s="12">
        <v>0.47249999999999998</v>
      </c>
    </row>
    <row r="472" spans="14:14">
      <c r="N472" s="12">
        <v>0</v>
      </c>
    </row>
    <row r="473" spans="14:14">
      <c r="N473" s="12">
        <v>0.8538</v>
      </c>
    </row>
    <row r="474" spans="14:14">
      <c r="N474" s="12">
        <v>0.46560000000000001</v>
      </c>
    </row>
    <row r="475" spans="14:14">
      <c r="N475" s="12">
        <v>0.58030000000000004</v>
      </c>
    </row>
  </sheetData>
  <autoFilter ref="A7:AE7" xr:uid="{00000000-0001-0000-1700-000000000000}"/>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5" tint="0.59999389629810485"/>
  </sheetPr>
  <dimension ref="A1:AE325"/>
  <sheetViews>
    <sheetView workbookViewId="0">
      <pane ySplit="7" topLeftCell="A8"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Q1+1</f>
        <v>18</v>
      </c>
      <c r="S1" s="389">
        <f t="shared" ref="S1:AD1" si="1">R1+1</f>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1365</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302718.99853691465</v>
      </c>
      <c r="D6" s="16">
        <f t="shared" si="2"/>
        <v>11952.862146344867</v>
      </c>
      <c r="E6" s="16">
        <f t="shared" si="2"/>
        <v>60226.617423362361</v>
      </c>
      <c r="F6" s="16">
        <f t="shared" si="2"/>
        <v>72179.479569707284</v>
      </c>
      <c r="G6" s="16">
        <f t="shared" si="2"/>
        <v>4719.0943032365722</v>
      </c>
      <c r="H6" s="16">
        <f t="shared" si="2"/>
        <v>21058.958768207831</v>
      </c>
      <c r="I6" s="16">
        <f t="shared" si="2"/>
        <v>1361.8339519766346</v>
      </c>
      <c r="J6" s="16">
        <f t="shared" si="2"/>
        <v>49525.370212585556</v>
      </c>
      <c r="K6" s="16">
        <f t="shared" si="2"/>
        <v>3794.0772729172099</v>
      </c>
      <c r="L6" s="16">
        <f t="shared" si="2"/>
        <v>49.772840021402452</v>
      </c>
      <c r="M6" s="386">
        <f t="shared" si="2"/>
        <v>1067533.7572493989</v>
      </c>
      <c r="N6" s="385">
        <f>AVERAGE(N7:N325)</f>
        <v>0.53765283018867871</v>
      </c>
      <c r="O6" s="16">
        <f t="shared" ref="O6:AD6" si="3">SUM(O8:O325)</f>
        <v>447507.39650668704</v>
      </c>
      <c r="P6" s="16">
        <f t="shared" si="3"/>
        <v>128635.70242632175</v>
      </c>
      <c r="Q6" s="16">
        <f t="shared" si="3"/>
        <v>83814.050070990706</v>
      </c>
      <c r="R6" s="16">
        <f t="shared" si="3"/>
        <v>44821.652355331025</v>
      </c>
      <c r="S6" s="28">
        <f t="shared" si="3"/>
        <v>22796.157284546498</v>
      </c>
      <c r="T6" s="28">
        <f t="shared" si="3"/>
        <v>151431.85971086824</v>
      </c>
      <c r="U6" s="16">
        <f t="shared" si="3"/>
        <v>491288.82000000024</v>
      </c>
      <c r="V6" s="16">
        <f t="shared" si="3"/>
        <v>46963.319999999992</v>
      </c>
      <c r="W6" s="28">
        <f t="shared" si="3"/>
        <v>268918.30272199982</v>
      </c>
      <c r="X6" s="28">
        <f t="shared" si="3"/>
        <v>137503.12820585218</v>
      </c>
      <c r="Y6" s="28">
        <f t="shared" si="3"/>
        <v>85958.933664028358</v>
      </c>
      <c r="Z6" s="28">
        <f t="shared" si="3"/>
        <v>51544.194541823796</v>
      </c>
      <c r="AA6" s="370">
        <f t="shared" si="3"/>
        <v>1068624.7501183185</v>
      </c>
      <c r="AB6" s="245">
        <f t="shared" si="3"/>
        <v>42.692500644765786</v>
      </c>
      <c r="AC6" s="245">
        <f t="shared" si="3"/>
        <v>4.3544101765149694</v>
      </c>
      <c r="AD6" s="382">
        <f t="shared" si="3"/>
        <v>-46621517.42246516</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849.90666619223373</v>
      </c>
      <c r="D8" s="147">
        <v>60.615742178295896</v>
      </c>
      <c r="E8" s="22">
        <v>265.76666667596015</v>
      </c>
      <c r="F8" s="22">
        <v>326.38240885425603</v>
      </c>
      <c r="G8" s="22">
        <v>21.223548985504134</v>
      </c>
      <c r="H8" s="22">
        <v>53.008627319381773</v>
      </c>
      <c r="I8" s="22">
        <v>1.4269621003511301</v>
      </c>
      <c r="J8" s="22">
        <v>110.016768131297</v>
      </c>
      <c r="K8" s="22">
        <v>10.651970608254915</v>
      </c>
      <c r="L8" s="22">
        <v>0</v>
      </c>
      <c r="M8" s="388">
        <v>3130.9256816612669</v>
      </c>
      <c r="N8" s="25">
        <v>0.72529999999999994</v>
      </c>
      <c r="O8" s="24">
        <v>3146.3509409854851</v>
      </c>
      <c r="P8" s="24">
        <v>406.9856694663435</v>
      </c>
      <c r="Q8" s="24">
        <v>255.24533344308949</v>
      </c>
      <c r="R8" s="22">
        <v>151.740336023254</v>
      </c>
      <c r="S8" s="24">
        <v>72.353007905127726</v>
      </c>
      <c r="T8" s="24">
        <f>S8+P8</f>
        <v>479.33867737147125</v>
      </c>
      <c r="U8" s="376">
        <v>2271.17</v>
      </c>
      <c r="V8" s="376">
        <v>156.55000000000001</v>
      </c>
      <c r="W8" s="22">
        <f>U8*N8</f>
        <v>1647.279601</v>
      </c>
      <c r="X8" s="22">
        <f>Y8+Z8</f>
        <v>482.85583747797051</v>
      </c>
      <c r="Y8" s="22">
        <v>269.81642531287218</v>
      </c>
      <c r="Z8" s="22">
        <v>213.03941216509833</v>
      </c>
      <c r="AA8" s="371">
        <v>3125.9514123677891</v>
      </c>
      <c r="AB8" s="22">
        <v>0.15446684026103452</v>
      </c>
      <c r="AC8" s="24">
        <v>1.9466840261034513E-2</v>
      </c>
      <c r="AD8" s="384">
        <v>-547390.8863300886</v>
      </c>
    </row>
    <row r="9" spans="1:31">
      <c r="A9" s="21" t="s">
        <v>279</v>
      </c>
      <c r="B9" s="21" t="s">
        <v>280</v>
      </c>
      <c r="C9" s="23">
        <v>165.70848616049395</v>
      </c>
      <c r="D9" s="147">
        <v>19.032860690598881</v>
      </c>
      <c r="E9" s="22">
        <v>32.277480748787532</v>
      </c>
      <c r="F9" s="22">
        <v>51.310341439386413</v>
      </c>
      <c r="G9" s="22">
        <v>0</v>
      </c>
      <c r="H9" s="22">
        <v>12.591433181267368</v>
      </c>
      <c r="I9" s="22">
        <v>2.1605412082781195</v>
      </c>
      <c r="J9" s="22">
        <v>0.80392231005697479</v>
      </c>
      <c r="K9" s="22">
        <v>0.2009805775142437</v>
      </c>
      <c r="L9" s="22">
        <v>0</v>
      </c>
      <c r="M9" s="388">
        <v>619.53267921653185</v>
      </c>
      <c r="N9" s="25">
        <v>0.2676</v>
      </c>
      <c r="O9" s="24">
        <v>0</v>
      </c>
      <c r="P9" s="24">
        <v>0</v>
      </c>
      <c r="Q9" s="24">
        <v>0</v>
      </c>
      <c r="R9" s="22">
        <v>0</v>
      </c>
      <c r="S9" s="24">
        <v>0</v>
      </c>
      <c r="T9" s="24">
        <f t="shared" ref="T9:T72" si="4">S9+P9</f>
        <v>0</v>
      </c>
      <c r="U9" s="376">
        <v>165.79</v>
      </c>
      <c r="V9" s="376">
        <v>30.98</v>
      </c>
      <c r="W9" s="22">
        <f t="shared" ref="W9:W72" si="5">U9*N9</f>
        <v>44.365403999999998</v>
      </c>
      <c r="X9" s="22">
        <f t="shared" ref="X9:X72" si="6">Y9+Z9</f>
        <v>73.357910792698959</v>
      </c>
      <c r="Y9" s="22">
        <v>46.225532828276052</v>
      </c>
      <c r="Z9" s="22">
        <v>27.132377964422901</v>
      </c>
      <c r="AA9" s="371">
        <v>626.97900961343464</v>
      </c>
      <c r="AB9" s="22">
        <v>0.11700217976663677</v>
      </c>
      <c r="AC9" s="24">
        <v>0</v>
      </c>
      <c r="AD9" s="384">
        <v>0</v>
      </c>
    </row>
    <row r="10" spans="1:31">
      <c r="A10" s="21" t="s">
        <v>301</v>
      </c>
      <c r="B10" s="21" t="s">
        <v>302</v>
      </c>
      <c r="C10" s="23">
        <v>37.799999999999997</v>
      </c>
      <c r="D10" s="147">
        <v>0</v>
      </c>
      <c r="E10" s="22">
        <v>3.36</v>
      </c>
      <c r="F10" s="22">
        <v>3.36</v>
      </c>
      <c r="G10" s="22">
        <v>0</v>
      </c>
      <c r="H10" s="22">
        <v>0</v>
      </c>
      <c r="I10" s="22">
        <v>0</v>
      </c>
      <c r="J10" s="22">
        <v>0</v>
      </c>
      <c r="K10" s="22">
        <v>0</v>
      </c>
      <c r="L10" s="22">
        <v>0</v>
      </c>
      <c r="M10" s="388">
        <v>95.25</v>
      </c>
      <c r="N10" s="25">
        <v>0.37959999999999999</v>
      </c>
      <c r="O10" s="24">
        <v>0</v>
      </c>
      <c r="P10" s="24">
        <v>0</v>
      </c>
      <c r="Q10" s="24">
        <v>0</v>
      </c>
      <c r="R10" s="22">
        <v>0</v>
      </c>
      <c r="S10" s="24">
        <v>0</v>
      </c>
      <c r="T10" s="24">
        <f t="shared" si="4"/>
        <v>0</v>
      </c>
      <c r="U10" s="376">
        <v>36.159999999999997</v>
      </c>
      <c r="V10" s="376">
        <v>0</v>
      </c>
      <c r="W10" s="22">
        <f t="shared" si="5"/>
        <v>13.726335999999998</v>
      </c>
      <c r="X10" s="22">
        <f t="shared" si="6"/>
        <v>9</v>
      </c>
      <c r="Y10" s="22">
        <v>9</v>
      </c>
      <c r="Z10" s="22">
        <v>0</v>
      </c>
      <c r="AA10" s="371">
        <v>95.26</v>
      </c>
      <c r="AB10" s="22">
        <v>9.4478269997900474E-2</v>
      </c>
      <c r="AC10" s="24">
        <v>0</v>
      </c>
      <c r="AD10" s="384">
        <v>0</v>
      </c>
    </row>
    <row r="11" spans="1:31">
      <c r="A11" s="21" t="s">
        <v>407</v>
      </c>
      <c r="B11" s="21" t="s">
        <v>408</v>
      </c>
      <c r="C11" s="23">
        <v>734.01121616864509</v>
      </c>
      <c r="D11" s="147">
        <v>7.667409032168397</v>
      </c>
      <c r="E11" s="22">
        <v>111.7552501267952</v>
      </c>
      <c r="F11" s="22">
        <v>119.4226591589636</v>
      </c>
      <c r="G11" s="22">
        <v>0</v>
      </c>
      <c r="H11" s="22">
        <v>37.060818493626542</v>
      </c>
      <c r="I11" s="22">
        <v>1.788727139876769</v>
      </c>
      <c r="J11" s="22">
        <v>107.44421673911468</v>
      </c>
      <c r="K11" s="22">
        <v>5.4264755928845805</v>
      </c>
      <c r="L11" s="22">
        <v>0.2009805775142437</v>
      </c>
      <c r="M11" s="388">
        <v>2522.5876206122784</v>
      </c>
      <c r="N11" s="25">
        <v>0.28989999999999999</v>
      </c>
      <c r="O11" s="24">
        <v>57.279464591559453</v>
      </c>
      <c r="P11" s="24">
        <v>48.235338603418484</v>
      </c>
      <c r="Q11" s="24">
        <v>29.895860905243751</v>
      </c>
      <c r="R11" s="22">
        <v>18.339477698174736</v>
      </c>
      <c r="S11" s="24">
        <v>16.078446201139496</v>
      </c>
      <c r="T11" s="24">
        <f t="shared" si="4"/>
        <v>64.313784804557983</v>
      </c>
      <c r="U11" s="376">
        <v>730.79</v>
      </c>
      <c r="V11" s="376">
        <v>126.13</v>
      </c>
      <c r="W11" s="22">
        <f t="shared" si="5"/>
        <v>211.85602099999997</v>
      </c>
      <c r="X11" s="22">
        <f t="shared" si="6"/>
        <v>274.58971402883549</v>
      </c>
      <c r="Y11" s="22">
        <v>162.29181634275179</v>
      </c>
      <c r="Z11" s="22">
        <v>112.29789768608367</v>
      </c>
      <c r="AA11" s="371">
        <v>2547.0871530112645</v>
      </c>
      <c r="AB11" s="22">
        <v>0.10780538612673891</v>
      </c>
      <c r="AC11" s="24">
        <v>0</v>
      </c>
      <c r="AD11" s="384">
        <v>0</v>
      </c>
    </row>
    <row r="12" spans="1:31">
      <c r="A12" s="21" t="s">
        <v>431</v>
      </c>
      <c r="B12" s="21" t="s">
        <v>432</v>
      </c>
      <c r="C12" s="23">
        <v>1453.9839389979204</v>
      </c>
      <c r="D12" s="147">
        <v>31.222332716837759</v>
      </c>
      <c r="E12" s="22">
        <v>349.61576361490268</v>
      </c>
      <c r="F12" s="22">
        <v>380.83809633174042</v>
      </c>
      <c r="G12" s="22">
        <v>0</v>
      </c>
      <c r="H12" s="22">
        <v>69.549328848804024</v>
      </c>
      <c r="I12" s="22">
        <v>3.848778059397767</v>
      </c>
      <c r="J12" s="22">
        <v>217.73230865005593</v>
      </c>
      <c r="K12" s="22">
        <v>32.759834134821723</v>
      </c>
      <c r="L12" s="22">
        <v>0</v>
      </c>
      <c r="M12" s="388">
        <v>5381.1745707128694</v>
      </c>
      <c r="N12" s="25">
        <v>0.32919999999999999</v>
      </c>
      <c r="O12" s="24">
        <v>0</v>
      </c>
      <c r="P12" s="24">
        <v>271.07255392233617</v>
      </c>
      <c r="Q12" s="24">
        <v>154.50381896407484</v>
      </c>
      <c r="R12" s="22">
        <v>116.56873495826135</v>
      </c>
      <c r="S12" s="24">
        <v>60.042947532380303</v>
      </c>
      <c r="T12" s="24">
        <f t="shared" si="4"/>
        <v>331.11550145471648</v>
      </c>
      <c r="U12" s="376">
        <v>1771.48</v>
      </c>
      <c r="V12" s="376">
        <v>269.06</v>
      </c>
      <c r="W12" s="22">
        <f t="shared" si="5"/>
        <v>583.17121599999996</v>
      </c>
      <c r="X12" s="22">
        <f t="shared" si="6"/>
        <v>788.095089577728</v>
      </c>
      <c r="Y12" s="22">
        <v>476.57519443065036</v>
      </c>
      <c r="Z12" s="22">
        <v>311.5198951470777</v>
      </c>
      <c r="AA12" s="371">
        <v>5429.5103996050457</v>
      </c>
      <c r="AB12" s="22">
        <v>0.14515030482952124</v>
      </c>
      <c r="AC12" s="24">
        <v>1.0150304829521228E-2</v>
      </c>
      <c r="AD12" s="384">
        <v>-549432.80534211709</v>
      </c>
    </row>
    <row r="13" spans="1:31">
      <c r="A13" s="21" t="s">
        <v>15</v>
      </c>
      <c r="B13" s="21" t="s">
        <v>16</v>
      </c>
      <c r="C13" s="23">
        <v>211.43156754498438</v>
      </c>
      <c r="D13" s="147">
        <v>4.7431416293361508</v>
      </c>
      <c r="E13" s="22">
        <v>44.245874139760751</v>
      </c>
      <c r="F13" s="22">
        <v>48.989015769096902</v>
      </c>
      <c r="G13" s="22">
        <v>0</v>
      </c>
      <c r="H13" s="22">
        <v>13.073786567301552</v>
      </c>
      <c r="I13" s="22">
        <v>0.75367716567841381</v>
      </c>
      <c r="J13" s="22">
        <v>0</v>
      </c>
      <c r="K13" s="22">
        <v>0</v>
      </c>
      <c r="L13" s="22">
        <v>0</v>
      </c>
      <c r="M13" s="388">
        <v>610.04639595785954</v>
      </c>
      <c r="N13" s="25">
        <v>0.31240000000000001</v>
      </c>
      <c r="O13" s="24">
        <v>0</v>
      </c>
      <c r="P13" s="24">
        <v>0</v>
      </c>
      <c r="Q13" s="24">
        <v>0</v>
      </c>
      <c r="R13" s="22">
        <v>0</v>
      </c>
      <c r="S13" s="24">
        <v>0</v>
      </c>
      <c r="T13" s="24">
        <f t="shared" si="4"/>
        <v>0</v>
      </c>
      <c r="U13" s="376">
        <v>190.58</v>
      </c>
      <c r="V13" s="376">
        <v>30.5</v>
      </c>
      <c r="W13" s="22">
        <f t="shared" si="5"/>
        <v>59.537192000000005</v>
      </c>
      <c r="X13" s="22">
        <f t="shared" si="6"/>
        <v>83.406939668411127</v>
      </c>
      <c r="Y13" s="22">
        <v>45.220629940704832</v>
      </c>
      <c r="Z13" s="22">
        <v>38.186309727706302</v>
      </c>
      <c r="AA13" s="371">
        <v>610.04639595785966</v>
      </c>
      <c r="AB13" s="22">
        <v>0.13672228902762446</v>
      </c>
      <c r="AC13" s="24">
        <v>1.7222890276244462E-3</v>
      </c>
      <c r="AD13" s="384">
        <v>-9627.9353199397519</v>
      </c>
    </row>
    <row r="14" spans="1:31">
      <c r="A14" s="21" t="s">
        <v>205</v>
      </c>
      <c r="B14" s="21" t="s">
        <v>206</v>
      </c>
      <c r="C14" s="23">
        <v>4935.3092085263952</v>
      </c>
      <c r="D14" s="147">
        <v>217.94333825644586</v>
      </c>
      <c r="E14" s="22">
        <v>761.67619266348083</v>
      </c>
      <c r="F14" s="22">
        <v>979.61953091992666</v>
      </c>
      <c r="G14" s="22">
        <v>0</v>
      </c>
      <c r="H14" s="22">
        <v>393.36923533975346</v>
      </c>
      <c r="I14" s="22">
        <v>30.579194868792179</v>
      </c>
      <c r="J14" s="22">
        <v>59.490250944216136</v>
      </c>
      <c r="K14" s="22">
        <v>48.04440705477996</v>
      </c>
      <c r="L14" s="22">
        <v>5.3862794773817315</v>
      </c>
      <c r="M14" s="388">
        <v>16868.229527568339</v>
      </c>
      <c r="N14" s="25">
        <v>0.56840000000000002</v>
      </c>
      <c r="O14" s="24">
        <v>11063.980792159116</v>
      </c>
      <c r="P14" s="24">
        <v>4029.409353438693</v>
      </c>
      <c r="Q14" s="24">
        <v>2692.1348358032942</v>
      </c>
      <c r="R14" s="22">
        <v>1337.274517635399</v>
      </c>
      <c r="S14" s="24">
        <v>509.23453827671494</v>
      </c>
      <c r="T14" s="24">
        <f t="shared" si="4"/>
        <v>4538.6438917154082</v>
      </c>
      <c r="U14" s="376">
        <v>9586.2099999999991</v>
      </c>
      <c r="V14" s="376">
        <v>843.41</v>
      </c>
      <c r="W14" s="22">
        <f t="shared" si="5"/>
        <v>5448.8017639999998</v>
      </c>
      <c r="X14" s="22">
        <f t="shared" si="6"/>
        <v>1755.0628931431329</v>
      </c>
      <c r="Y14" s="22">
        <v>986.06095842925811</v>
      </c>
      <c r="Z14" s="22">
        <v>769.0019347138749</v>
      </c>
      <c r="AA14" s="371">
        <v>16889.031017341069</v>
      </c>
      <c r="AB14" s="22">
        <v>0.1039173231040369</v>
      </c>
      <c r="AC14" s="24">
        <v>0</v>
      </c>
      <c r="AD14" s="384">
        <v>0</v>
      </c>
    </row>
    <row r="15" spans="1:31">
      <c r="A15" s="21" t="s">
        <v>229</v>
      </c>
      <c r="B15" s="21" t="s">
        <v>230</v>
      </c>
      <c r="C15" s="23">
        <v>874.06453160944579</v>
      </c>
      <c r="D15" s="147">
        <v>49.843183223532435</v>
      </c>
      <c r="E15" s="22">
        <v>277.03162804563351</v>
      </c>
      <c r="F15" s="22">
        <v>326.87481126916595</v>
      </c>
      <c r="G15" s="22">
        <v>0</v>
      </c>
      <c r="H15" s="22">
        <v>63.138048426099658</v>
      </c>
      <c r="I15" s="22">
        <v>1.6781878222439348</v>
      </c>
      <c r="J15" s="22">
        <v>98.259404346713751</v>
      </c>
      <c r="K15" s="22">
        <v>0</v>
      </c>
      <c r="L15" s="22">
        <v>0</v>
      </c>
      <c r="M15" s="388">
        <v>3615.479805019233</v>
      </c>
      <c r="N15" s="25">
        <v>6.9800000000000001E-2</v>
      </c>
      <c r="O15" s="24">
        <v>0</v>
      </c>
      <c r="P15" s="24">
        <v>38.939986893384713</v>
      </c>
      <c r="Q15" s="24">
        <v>22.359089248459611</v>
      </c>
      <c r="R15" s="22">
        <v>16.580897644925106</v>
      </c>
      <c r="S15" s="24">
        <v>8.0392231005697479</v>
      </c>
      <c r="T15" s="24">
        <f t="shared" si="4"/>
        <v>46.979209993954463</v>
      </c>
      <c r="U15" s="376">
        <v>252</v>
      </c>
      <c r="V15" s="376">
        <v>180.77</v>
      </c>
      <c r="W15" s="22">
        <f t="shared" si="5"/>
        <v>17.589600000000001</v>
      </c>
      <c r="X15" s="22">
        <f t="shared" si="6"/>
        <v>424.06901855505419</v>
      </c>
      <c r="Y15" s="22">
        <v>282.62893712940519</v>
      </c>
      <c r="Z15" s="22">
        <v>141.440081425649</v>
      </c>
      <c r="AA15" s="371">
        <v>3622.9964786182654</v>
      </c>
      <c r="AB15" s="22">
        <v>0.11704924944249054</v>
      </c>
      <c r="AC15" s="24">
        <v>0</v>
      </c>
      <c r="AD15" s="384">
        <v>0</v>
      </c>
    </row>
    <row r="16" spans="1:31">
      <c r="A16" s="21" t="s">
        <v>69</v>
      </c>
      <c r="B16" s="21" t="s">
        <v>70</v>
      </c>
      <c r="C16" s="23">
        <v>2938.255651027237</v>
      </c>
      <c r="D16" s="147">
        <v>73.659381658970318</v>
      </c>
      <c r="E16" s="22">
        <v>893.49935345507322</v>
      </c>
      <c r="F16" s="22">
        <v>967.15873511404357</v>
      </c>
      <c r="G16" s="22">
        <v>0</v>
      </c>
      <c r="H16" s="22">
        <v>300.3051789217829</v>
      </c>
      <c r="I16" s="22">
        <v>5.3460833618788826</v>
      </c>
      <c r="J16" s="22">
        <v>1630.3745428532964</v>
      </c>
      <c r="K16" s="22">
        <v>16.882368511196471</v>
      </c>
      <c r="L16" s="22">
        <v>0</v>
      </c>
      <c r="M16" s="388">
        <v>11802.443728119701</v>
      </c>
      <c r="N16" s="25">
        <v>0.34350000000000003</v>
      </c>
      <c r="O16" s="24">
        <v>0</v>
      </c>
      <c r="P16" s="24">
        <v>736.34259086781026</v>
      </c>
      <c r="Q16" s="24">
        <v>473.3092600460439</v>
      </c>
      <c r="R16" s="22">
        <v>263.03333082176641</v>
      </c>
      <c r="S16" s="24">
        <v>185.6558084787826</v>
      </c>
      <c r="T16" s="24">
        <f t="shared" si="4"/>
        <v>921.99839934659281</v>
      </c>
      <c r="U16" s="376">
        <v>4058.86</v>
      </c>
      <c r="V16" s="376">
        <v>590.12</v>
      </c>
      <c r="W16" s="22">
        <f t="shared" si="5"/>
        <v>1394.2184100000002</v>
      </c>
      <c r="X16" s="22">
        <f t="shared" si="6"/>
        <v>1576.190179155456</v>
      </c>
      <c r="Y16" s="22">
        <v>1026.2570739321068</v>
      </c>
      <c r="Z16" s="22">
        <v>549.93310522334934</v>
      </c>
      <c r="AA16" s="371">
        <v>11914.008046697856</v>
      </c>
      <c r="AB16" s="22">
        <v>0.13229722298133922</v>
      </c>
      <c r="AC16" s="24">
        <v>0</v>
      </c>
      <c r="AD16" s="384">
        <v>0</v>
      </c>
    </row>
    <row r="17" spans="1:30">
      <c r="A17" s="21" t="s">
        <v>199</v>
      </c>
      <c r="B17" s="21" t="s">
        <v>200</v>
      </c>
      <c r="C17" s="23">
        <v>4791.5176543438301</v>
      </c>
      <c r="D17" s="147">
        <v>250.15047580310343</v>
      </c>
      <c r="E17" s="22">
        <v>768.79090510748495</v>
      </c>
      <c r="F17" s="22">
        <v>1018.9413809105884</v>
      </c>
      <c r="G17" s="22">
        <v>0</v>
      </c>
      <c r="H17" s="22">
        <v>397.53958232317405</v>
      </c>
      <c r="I17" s="22">
        <v>44.527246948280691</v>
      </c>
      <c r="J17" s="22">
        <v>566.24267908863021</v>
      </c>
      <c r="K17" s="22">
        <v>29.142183739565336</v>
      </c>
      <c r="L17" s="22">
        <v>0</v>
      </c>
      <c r="M17" s="388">
        <v>19049.532029503684</v>
      </c>
      <c r="N17" s="25">
        <v>0.1741</v>
      </c>
      <c r="O17" s="24">
        <v>436.12785320590882</v>
      </c>
      <c r="P17" s="24">
        <v>2982.5517703113765</v>
      </c>
      <c r="Q17" s="24">
        <v>2096.2274234735619</v>
      </c>
      <c r="R17" s="22">
        <v>886.32434683781469</v>
      </c>
      <c r="S17" s="24">
        <v>918.48123924009371</v>
      </c>
      <c r="T17" s="24">
        <f t="shared" si="4"/>
        <v>3901.0330095514701</v>
      </c>
      <c r="U17" s="376">
        <v>3316.52</v>
      </c>
      <c r="V17" s="376">
        <v>952.48</v>
      </c>
      <c r="W17" s="22">
        <f t="shared" si="5"/>
        <v>577.40613199999996</v>
      </c>
      <c r="X17" s="22">
        <f t="shared" si="6"/>
        <v>1613.3715859955912</v>
      </c>
      <c r="Y17" s="22">
        <v>1074.7436382574181</v>
      </c>
      <c r="Z17" s="22">
        <v>538.62794773817313</v>
      </c>
      <c r="AA17" s="371">
        <v>19187.836813920112</v>
      </c>
      <c r="AB17" s="22">
        <v>8.4083036646692033E-2</v>
      </c>
      <c r="AC17" s="24">
        <v>0</v>
      </c>
      <c r="AD17" s="384">
        <v>0</v>
      </c>
    </row>
    <row r="18" spans="1:30">
      <c r="A18" s="21" t="s">
        <v>539</v>
      </c>
      <c r="B18" s="21" t="s">
        <v>540</v>
      </c>
      <c r="C18" s="23">
        <v>3081.3739202751303</v>
      </c>
      <c r="D18" s="147">
        <v>102.65082996539998</v>
      </c>
      <c r="E18" s="22">
        <v>664.51213246421958</v>
      </c>
      <c r="F18" s="22">
        <v>767.1629624296196</v>
      </c>
      <c r="G18" s="22">
        <v>0</v>
      </c>
      <c r="H18" s="22">
        <v>277.00148095900636</v>
      </c>
      <c r="I18" s="22">
        <v>26.871103213654379</v>
      </c>
      <c r="J18" s="22">
        <v>480.37372734566958</v>
      </c>
      <c r="K18" s="22">
        <v>68.082170632950053</v>
      </c>
      <c r="L18" s="22">
        <v>4.4718178496919228</v>
      </c>
      <c r="M18" s="388">
        <v>11293.520709738134</v>
      </c>
      <c r="N18" s="25">
        <v>0.38069999999999998</v>
      </c>
      <c r="O18" s="24">
        <v>1617.8936489896619</v>
      </c>
      <c r="P18" s="24">
        <v>772.77032054226697</v>
      </c>
      <c r="Q18" s="24">
        <v>478.58500020579282</v>
      </c>
      <c r="R18" s="22">
        <v>294.18532033647421</v>
      </c>
      <c r="S18" s="24">
        <v>128.37634388722316</v>
      </c>
      <c r="T18" s="24">
        <f t="shared" si="4"/>
        <v>901.1466644294901</v>
      </c>
      <c r="U18" s="376">
        <v>4299.4399999999996</v>
      </c>
      <c r="V18" s="376">
        <v>564.67999999999995</v>
      </c>
      <c r="W18" s="22">
        <f t="shared" si="5"/>
        <v>1636.7968079999998</v>
      </c>
      <c r="X18" s="22">
        <f t="shared" si="6"/>
        <v>1634.9769980783726</v>
      </c>
      <c r="Y18" s="22">
        <v>1221.7106855647089</v>
      </c>
      <c r="Z18" s="22">
        <v>413.26631251366359</v>
      </c>
      <c r="AA18" s="371">
        <v>11315.487886860441</v>
      </c>
      <c r="AB18" s="22">
        <v>0.14449019029722174</v>
      </c>
      <c r="AC18" s="24">
        <v>9.4901902972217289E-3</v>
      </c>
      <c r="AD18" s="384">
        <v>-1031664.8711911165</v>
      </c>
    </row>
    <row r="19" spans="1:30">
      <c r="A19" s="21" t="s">
        <v>5</v>
      </c>
      <c r="B19" s="21" t="s">
        <v>6</v>
      </c>
      <c r="C19" s="23">
        <v>9.8000000000000007</v>
      </c>
      <c r="D19" s="147">
        <v>0</v>
      </c>
      <c r="E19" s="22">
        <v>0</v>
      </c>
      <c r="F19" s="22">
        <v>0</v>
      </c>
      <c r="G19" s="22">
        <v>0</v>
      </c>
      <c r="H19" s="22">
        <v>0</v>
      </c>
      <c r="I19" s="22">
        <v>0</v>
      </c>
      <c r="J19" s="22">
        <v>0</v>
      </c>
      <c r="K19" s="22">
        <v>0</v>
      </c>
      <c r="L19" s="22">
        <v>0</v>
      </c>
      <c r="M19" s="388">
        <v>11.8</v>
      </c>
      <c r="N19" s="25">
        <v>0.21429999999999999</v>
      </c>
      <c r="O19" s="24">
        <v>0</v>
      </c>
      <c r="P19" s="24">
        <v>0</v>
      </c>
      <c r="Q19" s="24">
        <v>0</v>
      </c>
      <c r="R19" s="22">
        <v>0</v>
      </c>
      <c r="S19" s="24">
        <v>0</v>
      </c>
      <c r="T19" s="24">
        <f t="shared" si="4"/>
        <v>0</v>
      </c>
      <c r="U19" s="376">
        <v>0</v>
      </c>
      <c r="V19" s="376">
        <v>0.59</v>
      </c>
      <c r="W19" s="22">
        <f t="shared" si="5"/>
        <v>0</v>
      </c>
      <c r="X19" s="22">
        <f t="shared" si="6"/>
        <v>0</v>
      </c>
      <c r="Y19" s="22">
        <v>0</v>
      </c>
      <c r="Z19" s="22">
        <v>0</v>
      </c>
      <c r="AA19" s="371">
        <v>11.8</v>
      </c>
      <c r="AB19" s="22">
        <v>0</v>
      </c>
      <c r="AC19" s="24">
        <v>0</v>
      </c>
      <c r="AD19" s="384">
        <v>0</v>
      </c>
    </row>
    <row r="20" spans="1:30">
      <c r="A20" s="21" t="s">
        <v>383</v>
      </c>
      <c r="B20" s="21" t="s">
        <v>384</v>
      </c>
      <c r="C20" s="23">
        <v>5866.1608023124909</v>
      </c>
      <c r="D20" s="147">
        <v>260.96323087336975</v>
      </c>
      <c r="E20" s="22">
        <v>1019.8558425382782</v>
      </c>
      <c r="F20" s="22">
        <v>1280.8190734116479</v>
      </c>
      <c r="G20" s="22">
        <v>264.88235213489747</v>
      </c>
      <c r="H20" s="22">
        <v>284.45786038478479</v>
      </c>
      <c r="I20" s="22">
        <v>18.439967986931862</v>
      </c>
      <c r="J20" s="22">
        <v>1129.983149987208</v>
      </c>
      <c r="K20" s="22">
        <v>232.7355087614942</v>
      </c>
      <c r="L20" s="22">
        <v>0</v>
      </c>
      <c r="M20" s="388">
        <v>20250.36083306466</v>
      </c>
      <c r="N20" s="25">
        <v>0.49569999999999997</v>
      </c>
      <c r="O20" s="24">
        <v>10250.009453226428</v>
      </c>
      <c r="P20" s="24">
        <v>1239.5477118190979</v>
      </c>
      <c r="Q20" s="24">
        <v>795.63186123451226</v>
      </c>
      <c r="R20" s="22">
        <v>443.91585058458577</v>
      </c>
      <c r="S20" s="24">
        <v>209.77347778049185</v>
      </c>
      <c r="T20" s="24">
        <f t="shared" si="4"/>
        <v>1449.3211895995898</v>
      </c>
      <c r="U20" s="376">
        <v>10038.1</v>
      </c>
      <c r="V20" s="376">
        <v>1012.52</v>
      </c>
      <c r="W20" s="22">
        <f t="shared" si="5"/>
        <v>4975.8861699999998</v>
      </c>
      <c r="X20" s="22">
        <f t="shared" si="6"/>
        <v>2590.3884184367084</v>
      </c>
      <c r="Y20" s="22">
        <v>1418.9228772505605</v>
      </c>
      <c r="Z20" s="22">
        <v>1171.4655411861479</v>
      </c>
      <c r="AA20" s="371">
        <v>20189.172296240449</v>
      </c>
      <c r="AB20" s="22">
        <v>0.12830582553991482</v>
      </c>
      <c r="AC20" s="24">
        <v>0</v>
      </c>
      <c r="AD20" s="384">
        <v>0</v>
      </c>
    </row>
    <row r="21" spans="1:30">
      <c r="A21" s="21" t="s">
        <v>253</v>
      </c>
      <c r="B21" s="21" t="s">
        <v>254</v>
      </c>
      <c r="C21" s="23">
        <v>32.96081471233596</v>
      </c>
      <c r="D21" s="147">
        <v>0</v>
      </c>
      <c r="E21" s="22">
        <v>0</v>
      </c>
      <c r="F21" s="22">
        <v>0</v>
      </c>
      <c r="G21" s="22">
        <v>0</v>
      </c>
      <c r="H21" s="22">
        <v>0</v>
      </c>
      <c r="I21" s="22">
        <v>0</v>
      </c>
      <c r="J21" s="22">
        <v>0</v>
      </c>
      <c r="K21" s="22">
        <v>0</v>
      </c>
      <c r="L21" s="22">
        <v>0</v>
      </c>
      <c r="M21" s="388">
        <v>113.95598745057617</v>
      </c>
      <c r="N21" s="25">
        <v>0.47370000000000001</v>
      </c>
      <c r="O21" s="24">
        <v>0</v>
      </c>
      <c r="P21" s="24">
        <v>0</v>
      </c>
      <c r="Q21" s="24">
        <v>0</v>
      </c>
      <c r="R21" s="22">
        <v>0</v>
      </c>
      <c r="S21" s="24">
        <v>0</v>
      </c>
      <c r="T21" s="24">
        <f t="shared" si="4"/>
        <v>0</v>
      </c>
      <c r="U21" s="376">
        <v>0</v>
      </c>
      <c r="V21" s="376">
        <v>5.7</v>
      </c>
      <c r="W21" s="22">
        <f t="shared" si="5"/>
        <v>0</v>
      </c>
      <c r="X21" s="22">
        <f t="shared" si="6"/>
        <v>19.595606307638761</v>
      </c>
      <c r="Y21" s="22">
        <v>12.561286094640231</v>
      </c>
      <c r="Z21" s="22">
        <v>7.0343202129985292</v>
      </c>
      <c r="AA21" s="371">
        <v>113.95598745057619</v>
      </c>
      <c r="AB21" s="22">
        <v>0.17195767195767195</v>
      </c>
      <c r="AC21" s="24">
        <v>3.6957671957671939E-2</v>
      </c>
      <c r="AD21" s="384">
        <v>-38052.300325002441</v>
      </c>
    </row>
    <row r="22" spans="1:30">
      <c r="A22" s="21" t="s">
        <v>543</v>
      </c>
      <c r="B22" s="21" t="s">
        <v>544</v>
      </c>
      <c r="C22" s="23">
        <v>624.0145460950996</v>
      </c>
      <c r="D22" s="147">
        <v>16.962760742202168</v>
      </c>
      <c r="E22" s="22">
        <v>111.42363217389671</v>
      </c>
      <c r="F22" s="22">
        <v>128.38639291609888</v>
      </c>
      <c r="G22" s="22">
        <v>0</v>
      </c>
      <c r="H22" s="22">
        <v>44.376511515145005</v>
      </c>
      <c r="I22" s="22">
        <v>5.4867697661388526</v>
      </c>
      <c r="J22" s="22">
        <v>76.925316043576771</v>
      </c>
      <c r="K22" s="22">
        <v>14.561042840906955</v>
      </c>
      <c r="L22" s="22">
        <v>0.31151989514707773</v>
      </c>
      <c r="M22" s="388">
        <v>2115.3205783374151</v>
      </c>
      <c r="N22" s="25">
        <v>0.46639999999999998</v>
      </c>
      <c r="O22" s="24">
        <v>505.46615244832287</v>
      </c>
      <c r="P22" s="24">
        <v>90.441259881409664</v>
      </c>
      <c r="Q22" s="24">
        <v>68.835847798628464</v>
      </c>
      <c r="R22" s="22">
        <v>21.605412082781196</v>
      </c>
      <c r="S22" s="24">
        <v>17.33457481060352</v>
      </c>
      <c r="T22" s="24">
        <f t="shared" si="4"/>
        <v>107.77583469201318</v>
      </c>
      <c r="U22" s="376">
        <v>986.59</v>
      </c>
      <c r="V22" s="376">
        <v>105.77</v>
      </c>
      <c r="W22" s="22">
        <f t="shared" si="5"/>
        <v>460.14557600000001</v>
      </c>
      <c r="X22" s="22">
        <f t="shared" si="6"/>
        <v>294.68777178025982</v>
      </c>
      <c r="Y22" s="22">
        <v>237.15708146680757</v>
      </c>
      <c r="Z22" s="22">
        <v>57.530690313452261</v>
      </c>
      <c r="AA22" s="371">
        <v>2118.1242573937384</v>
      </c>
      <c r="AB22" s="22">
        <v>0.13912676310258615</v>
      </c>
      <c r="AC22" s="24">
        <v>4.1267631025861395E-3</v>
      </c>
      <c r="AD22" s="384">
        <v>-87903.116655684484</v>
      </c>
    </row>
    <row r="23" spans="1:30">
      <c r="A23" s="21" t="s">
        <v>283</v>
      </c>
      <c r="B23" s="21" t="s">
        <v>284</v>
      </c>
      <c r="C23" s="23">
        <v>29.8</v>
      </c>
      <c r="D23" s="147">
        <v>0</v>
      </c>
      <c r="E23" s="22">
        <v>0</v>
      </c>
      <c r="F23" s="22">
        <v>0</v>
      </c>
      <c r="G23" s="22">
        <v>0</v>
      </c>
      <c r="H23" s="22">
        <v>0</v>
      </c>
      <c r="I23" s="22">
        <v>0</v>
      </c>
      <c r="J23" s="22">
        <v>0</v>
      </c>
      <c r="K23" s="22">
        <v>0</v>
      </c>
      <c r="L23" s="22">
        <v>0</v>
      </c>
      <c r="M23" s="388">
        <v>85.68</v>
      </c>
      <c r="N23" s="25">
        <v>0.52580000000000005</v>
      </c>
      <c r="O23" s="24">
        <v>88</v>
      </c>
      <c r="P23" s="24">
        <v>7</v>
      </c>
      <c r="Q23" s="24">
        <v>5</v>
      </c>
      <c r="R23" s="22">
        <v>2</v>
      </c>
      <c r="S23" s="24">
        <v>1</v>
      </c>
      <c r="T23" s="24">
        <f t="shared" si="4"/>
        <v>8</v>
      </c>
      <c r="U23" s="376">
        <v>45.05</v>
      </c>
      <c r="V23" s="376">
        <v>0</v>
      </c>
      <c r="W23" s="22">
        <f t="shared" si="5"/>
        <v>23.687290000000001</v>
      </c>
      <c r="X23" s="22">
        <f t="shared" si="6"/>
        <v>19.75</v>
      </c>
      <c r="Y23" s="22">
        <v>14.75</v>
      </c>
      <c r="Z23" s="22">
        <v>5</v>
      </c>
      <c r="AA23" s="371">
        <v>85.68</v>
      </c>
      <c r="AB23" s="22">
        <v>0.23050887021475255</v>
      </c>
      <c r="AC23" s="24">
        <v>9.5508870214752545E-2</v>
      </c>
      <c r="AD23" s="384">
        <v>-74179.86971284695</v>
      </c>
    </row>
    <row r="24" spans="1:30">
      <c r="A24" s="21" t="s">
        <v>227</v>
      </c>
      <c r="B24" s="21" t="s">
        <v>228</v>
      </c>
      <c r="C24" s="23">
        <v>1391.5593716219962</v>
      </c>
      <c r="D24" s="147">
        <v>86.401550273373374</v>
      </c>
      <c r="E24" s="22">
        <v>324.89515258065063</v>
      </c>
      <c r="F24" s="22">
        <v>411.29670285402403</v>
      </c>
      <c r="G24" s="22">
        <v>258.69215034745878</v>
      </c>
      <c r="H24" s="22">
        <v>39.552977654803158</v>
      </c>
      <c r="I24" s="22">
        <v>2.6830907098151533</v>
      </c>
      <c r="J24" s="22">
        <v>312.6152392945304</v>
      </c>
      <c r="K24" s="22">
        <v>31.352970092222016</v>
      </c>
      <c r="L24" s="22">
        <v>0</v>
      </c>
      <c r="M24" s="388">
        <v>4583.251530894695</v>
      </c>
      <c r="N24" s="25">
        <v>0.64629999999999999</v>
      </c>
      <c r="O24" s="24">
        <v>3909.0722326520399</v>
      </c>
      <c r="P24" s="24">
        <v>456.22591095733321</v>
      </c>
      <c r="Q24" s="24">
        <v>321.06647257900431</v>
      </c>
      <c r="R24" s="22">
        <v>135.15943837832887</v>
      </c>
      <c r="S24" s="24">
        <v>39.442438337170323</v>
      </c>
      <c r="T24" s="24">
        <f t="shared" si="4"/>
        <v>495.66834929450351</v>
      </c>
      <c r="U24" s="376">
        <v>2965.82</v>
      </c>
      <c r="V24" s="376">
        <v>229.16</v>
      </c>
      <c r="W24" s="22">
        <f t="shared" si="5"/>
        <v>1916.8094660000002</v>
      </c>
      <c r="X24" s="22">
        <f t="shared" si="6"/>
        <v>639.36946221718767</v>
      </c>
      <c r="Y24" s="22">
        <v>412.76386106987798</v>
      </c>
      <c r="Z24" s="22">
        <v>226.60560114730976</v>
      </c>
      <c r="AA24" s="371">
        <v>4408.900879901089</v>
      </c>
      <c r="AB24" s="22">
        <v>0.14501788079017361</v>
      </c>
      <c r="AC24" s="24">
        <v>1.00178807901736E-2</v>
      </c>
      <c r="AD24" s="384">
        <v>-454022.07958603028</v>
      </c>
    </row>
    <row r="25" spans="1:30">
      <c r="A25" s="21" t="s">
        <v>333</v>
      </c>
      <c r="B25" s="21" t="s">
        <v>334</v>
      </c>
      <c r="C25" s="23">
        <v>292.22575970571035</v>
      </c>
      <c r="D25" s="147">
        <v>0</v>
      </c>
      <c r="E25" s="22">
        <v>92.09934964590218</v>
      </c>
      <c r="F25" s="22">
        <v>92.09934964590218</v>
      </c>
      <c r="G25" s="22">
        <v>0</v>
      </c>
      <c r="H25" s="22">
        <v>13.536041895584313</v>
      </c>
      <c r="I25" s="22">
        <v>0.97475580094408187</v>
      </c>
      <c r="J25" s="22">
        <v>10.069126933463609</v>
      </c>
      <c r="K25" s="22">
        <v>0</v>
      </c>
      <c r="L25" s="22">
        <v>0</v>
      </c>
      <c r="M25" s="388">
        <v>985.14649680156833</v>
      </c>
      <c r="N25" s="25">
        <v>0.94989999999999997</v>
      </c>
      <c r="O25" s="24">
        <v>965.71167495594091</v>
      </c>
      <c r="P25" s="24">
        <v>326.34221273875323</v>
      </c>
      <c r="Q25" s="24">
        <v>220.07373237809685</v>
      </c>
      <c r="R25" s="22">
        <v>106.26848036065635</v>
      </c>
      <c r="S25" s="24">
        <v>96.219451484944173</v>
      </c>
      <c r="T25" s="24">
        <f t="shared" si="4"/>
        <v>422.56166422369739</v>
      </c>
      <c r="U25" s="376">
        <v>935.79</v>
      </c>
      <c r="V25" s="376">
        <v>49.26</v>
      </c>
      <c r="W25" s="22">
        <f t="shared" si="5"/>
        <v>888.9069209999999</v>
      </c>
      <c r="X25" s="22">
        <f t="shared" si="6"/>
        <v>98.229257260086598</v>
      </c>
      <c r="Y25" s="22">
        <v>74.111587958377356</v>
      </c>
      <c r="Z25" s="22">
        <v>24.117669301709242</v>
      </c>
      <c r="AA25" s="371">
        <v>985.14649680156833</v>
      </c>
      <c r="AB25" s="22">
        <v>9.9710304588204082E-2</v>
      </c>
      <c r="AC25" s="24">
        <v>0</v>
      </c>
      <c r="AD25" s="384">
        <v>0</v>
      </c>
    </row>
    <row r="26" spans="1:30">
      <c r="A26" s="21" t="s">
        <v>91</v>
      </c>
      <c r="B26" s="21" t="s">
        <v>92</v>
      </c>
      <c r="C26" s="23">
        <v>208.01489772724221</v>
      </c>
      <c r="D26" s="147">
        <v>0</v>
      </c>
      <c r="E26" s="22">
        <v>28.27796725625409</v>
      </c>
      <c r="F26" s="22">
        <v>28.27796725625409</v>
      </c>
      <c r="G26" s="22">
        <v>0</v>
      </c>
      <c r="H26" s="22">
        <v>0</v>
      </c>
      <c r="I26" s="22">
        <v>0</v>
      </c>
      <c r="J26" s="22">
        <v>27.936300274479876</v>
      </c>
      <c r="K26" s="22">
        <v>0</v>
      </c>
      <c r="L26" s="22">
        <v>0</v>
      </c>
      <c r="M26" s="388">
        <v>749.4264264639877</v>
      </c>
      <c r="N26" s="25">
        <v>0.95469999999999999</v>
      </c>
      <c r="O26" s="24">
        <v>754.68206856598511</v>
      </c>
      <c r="P26" s="24">
        <v>354.22826786885452</v>
      </c>
      <c r="Q26" s="24">
        <v>216.30534654970478</v>
      </c>
      <c r="R26" s="22">
        <v>137.92292131914974</v>
      </c>
      <c r="S26" s="24">
        <v>34.166698177421431</v>
      </c>
      <c r="T26" s="24">
        <f t="shared" si="4"/>
        <v>388.39496604627595</v>
      </c>
      <c r="U26" s="376">
        <v>715.48</v>
      </c>
      <c r="V26" s="376">
        <v>37.47</v>
      </c>
      <c r="W26" s="22">
        <f t="shared" si="5"/>
        <v>683.06875600000001</v>
      </c>
      <c r="X26" s="22">
        <f t="shared" si="6"/>
        <v>66.574816301593216</v>
      </c>
      <c r="Y26" s="22">
        <v>50.747595822346533</v>
      </c>
      <c r="Z26" s="22">
        <v>15.827220479246691</v>
      </c>
      <c r="AA26" s="371">
        <v>749.42642646398758</v>
      </c>
      <c r="AB26" s="22">
        <v>8.8834359118763154E-2</v>
      </c>
      <c r="AC26" s="24">
        <v>0</v>
      </c>
      <c r="AD26" s="384">
        <v>0</v>
      </c>
    </row>
    <row r="27" spans="1:30">
      <c r="A27" s="21" t="s">
        <v>175</v>
      </c>
      <c r="B27" s="21" t="s">
        <v>176</v>
      </c>
      <c r="C27" s="23">
        <v>29.2</v>
      </c>
      <c r="D27" s="147">
        <v>0</v>
      </c>
      <c r="E27" s="22">
        <v>0</v>
      </c>
      <c r="F27" s="22">
        <v>0</v>
      </c>
      <c r="G27" s="22">
        <v>0</v>
      </c>
      <c r="H27" s="22">
        <v>0</v>
      </c>
      <c r="I27" s="22">
        <v>0</v>
      </c>
      <c r="J27" s="22">
        <v>0.4</v>
      </c>
      <c r="K27" s="22">
        <v>0</v>
      </c>
      <c r="L27" s="22">
        <v>0</v>
      </c>
      <c r="M27" s="388">
        <v>72.800000000000011</v>
      </c>
      <c r="N27" s="25">
        <v>0.78210000000000002</v>
      </c>
      <c r="O27" s="24">
        <v>72</v>
      </c>
      <c r="P27" s="24">
        <v>0.5</v>
      </c>
      <c r="Q27" s="24">
        <v>0.5</v>
      </c>
      <c r="R27" s="22">
        <v>0</v>
      </c>
      <c r="S27" s="24">
        <v>0</v>
      </c>
      <c r="T27" s="24">
        <f t="shared" si="4"/>
        <v>0.5</v>
      </c>
      <c r="U27" s="376">
        <v>56.94</v>
      </c>
      <c r="V27" s="376">
        <v>3.64</v>
      </c>
      <c r="W27" s="22">
        <f t="shared" si="5"/>
        <v>44.532773999999996</v>
      </c>
      <c r="X27" s="22">
        <f t="shared" si="6"/>
        <v>7</v>
      </c>
      <c r="Y27" s="22">
        <v>0</v>
      </c>
      <c r="Z27" s="22">
        <v>7</v>
      </c>
      <c r="AA27" s="371">
        <v>72.8</v>
      </c>
      <c r="AB27" s="22">
        <v>9.6153846153846159E-2</v>
      </c>
      <c r="AC27" s="24">
        <v>0</v>
      </c>
      <c r="AD27" s="384">
        <v>0</v>
      </c>
    </row>
    <row r="28" spans="1:30">
      <c r="A28" s="21" t="s">
        <v>403</v>
      </c>
      <c r="B28" s="21" t="s">
        <v>404</v>
      </c>
      <c r="C28" s="23">
        <v>890.29371324372107</v>
      </c>
      <c r="D28" s="147">
        <v>81.648359615161496</v>
      </c>
      <c r="E28" s="22">
        <v>317.77039110777076</v>
      </c>
      <c r="F28" s="22">
        <v>399.41875072293226</v>
      </c>
      <c r="G28" s="22">
        <v>0</v>
      </c>
      <c r="H28" s="22">
        <v>51.521371045776377</v>
      </c>
      <c r="I28" s="22">
        <v>4.2205921277991179</v>
      </c>
      <c r="J28" s="22">
        <v>21.94707906455541</v>
      </c>
      <c r="K28" s="22">
        <v>10.049028875712185</v>
      </c>
      <c r="L28" s="22">
        <v>0.2009805775142437</v>
      </c>
      <c r="M28" s="388">
        <v>3290.7956820449722</v>
      </c>
      <c r="N28" s="25">
        <v>0.54559999999999997</v>
      </c>
      <c r="O28" s="24">
        <v>1397.8199166115648</v>
      </c>
      <c r="P28" s="24">
        <v>738.35239664295273</v>
      </c>
      <c r="Q28" s="24">
        <v>426.07882433019665</v>
      </c>
      <c r="R28" s="22">
        <v>312.27357231275613</v>
      </c>
      <c r="S28" s="24">
        <v>74.111587958377356</v>
      </c>
      <c r="T28" s="24">
        <f t="shared" si="4"/>
        <v>812.46398460133014</v>
      </c>
      <c r="U28" s="376">
        <v>1795.79</v>
      </c>
      <c r="V28" s="376">
        <v>164.54</v>
      </c>
      <c r="W28" s="22">
        <f t="shared" si="5"/>
        <v>979.78302399999995</v>
      </c>
      <c r="X28" s="22">
        <f t="shared" si="6"/>
        <v>489.63893196907622</v>
      </c>
      <c r="Y28" s="22">
        <v>351.9672363718193</v>
      </c>
      <c r="Z28" s="22">
        <v>137.67169559725693</v>
      </c>
      <c r="AA28" s="371">
        <v>3322.2290443681995</v>
      </c>
      <c r="AB28" s="22">
        <v>0.14738265346247151</v>
      </c>
      <c r="AC28" s="24">
        <v>1.2382653462471499E-2</v>
      </c>
      <c r="AD28" s="384">
        <v>-410284.9915098006</v>
      </c>
    </row>
    <row r="29" spans="1:30">
      <c r="A29" s="21" t="s">
        <v>67</v>
      </c>
      <c r="B29" s="21" t="s">
        <v>68</v>
      </c>
      <c r="C29" s="23">
        <v>1847.2526840489168</v>
      </c>
      <c r="D29" s="147">
        <v>34.950522429726981</v>
      </c>
      <c r="E29" s="22">
        <v>398.10232794021397</v>
      </c>
      <c r="F29" s="22">
        <v>433.05285036994093</v>
      </c>
      <c r="G29" s="22">
        <v>0</v>
      </c>
      <c r="H29" s="22">
        <v>171.79819765917551</v>
      </c>
      <c r="I29" s="22">
        <v>1.9193645152610272</v>
      </c>
      <c r="J29" s="22">
        <v>121.3118765875975</v>
      </c>
      <c r="K29" s="22">
        <v>6.6323590579700413</v>
      </c>
      <c r="L29" s="22">
        <v>0</v>
      </c>
      <c r="M29" s="388">
        <v>7073.923435797713</v>
      </c>
      <c r="N29" s="25">
        <v>0.15210000000000001</v>
      </c>
      <c r="O29" s="24">
        <v>0</v>
      </c>
      <c r="P29" s="24">
        <v>188.67051714149628</v>
      </c>
      <c r="Q29" s="24">
        <v>140.43517853807779</v>
      </c>
      <c r="R29" s="22">
        <v>48.235338603418484</v>
      </c>
      <c r="S29" s="24">
        <v>117.07118640204695</v>
      </c>
      <c r="T29" s="24">
        <f t="shared" si="4"/>
        <v>305.74170354354322</v>
      </c>
      <c r="U29" s="376">
        <v>1075.24</v>
      </c>
      <c r="V29" s="376">
        <v>353.7</v>
      </c>
      <c r="W29" s="22">
        <f t="shared" si="5"/>
        <v>163.54400400000003</v>
      </c>
      <c r="X29" s="22">
        <f t="shared" si="6"/>
        <v>736.09136514591762</v>
      </c>
      <c r="Y29" s="22">
        <v>543.90368789792205</v>
      </c>
      <c r="Z29" s="22">
        <v>192.18767724799554</v>
      </c>
      <c r="AA29" s="371">
        <v>7130.1979975016993</v>
      </c>
      <c r="AB29" s="22">
        <v>0.10323575381831354</v>
      </c>
      <c r="AC29" s="24">
        <v>0</v>
      </c>
      <c r="AD29" s="384">
        <v>0</v>
      </c>
    </row>
    <row r="30" spans="1:30">
      <c r="A30" s="21" t="s">
        <v>49</v>
      </c>
      <c r="B30" s="21" t="s">
        <v>50</v>
      </c>
      <c r="C30" s="23">
        <v>161.57833529257621</v>
      </c>
      <c r="D30" s="147">
        <v>0</v>
      </c>
      <c r="E30" s="22">
        <v>7.657360003292685</v>
      </c>
      <c r="F30" s="22">
        <v>7.657360003292685</v>
      </c>
      <c r="G30" s="22">
        <v>0</v>
      </c>
      <c r="H30" s="22">
        <v>9.5465774319265755</v>
      </c>
      <c r="I30" s="22">
        <v>0.74362813680270168</v>
      </c>
      <c r="J30" s="22">
        <v>1.9696096596395882</v>
      </c>
      <c r="K30" s="22">
        <v>0</v>
      </c>
      <c r="L30" s="22">
        <v>0</v>
      </c>
      <c r="M30" s="388">
        <v>485.57912430328855</v>
      </c>
      <c r="N30" s="25">
        <v>0.72089999999999999</v>
      </c>
      <c r="O30" s="24">
        <v>498.43183223532435</v>
      </c>
      <c r="P30" s="24">
        <v>0</v>
      </c>
      <c r="Q30" s="24">
        <v>0</v>
      </c>
      <c r="R30" s="22">
        <v>0</v>
      </c>
      <c r="S30" s="24">
        <v>0</v>
      </c>
      <c r="T30" s="24">
        <f t="shared" si="4"/>
        <v>0</v>
      </c>
      <c r="U30" s="376">
        <v>350.05</v>
      </c>
      <c r="V30" s="376">
        <v>0</v>
      </c>
      <c r="W30" s="22">
        <f t="shared" si="5"/>
        <v>252.351045</v>
      </c>
      <c r="X30" s="22">
        <f t="shared" si="6"/>
        <v>72.353007905127726</v>
      </c>
      <c r="Y30" s="22">
        <v>52.254950153703362</v>
      </c>
      <c r="Z30" s="22">
        <v>20.098057751424371</v>
      </c>
      <c r="AA30" s="371">
        <v>485.57912430328844</v>
      </c>
      <c r="AB30" s="22">
        <v>0.14900353883404732</v>
      </c>
      <c r="AC30" s="24">
        <v>1.4003538834047313E-2</v>
      </c>
      <c r="AD30" s="384">
        <v>-62128.58625838146</v>
      </c>
    </row>
    <row r="31" spans="1:30">
      <c r="A31" s="21" t="s">
        <v>367</v>
      </c>
      <c r="B31" s="21" t="s">
        <v>368</v>
      </c>
      <c r="C31" s="23">
        <v>78.583405808069287</v>
      </c>
      <c r="D31" s="147">
        <v>0</v>
      </c>
      <c r="E31" s="22">
        <v>0</v>
      </c>
      <c r="F31" s="22">
        <v>0</v>
      </c>
      <c r="G31" s="22">
        <v>0</v>
      </c>
      <c r="H31" s="22">
        <v>0</v>
      </c>
      <c r="I31" s="22">
        <v>0</v>
      </c>
      <c r="J31" s="22">
        <v>0</v>
      </c>
      <c r="K31" s="22">
        <v>0</v>
      </c>
      <c r="L31" s="22">
        <v>0</v>
      </c>
      <c r="M31" s="388">
        <v>178.63153729465981</v>
      </c>
      <c r="N31" s="25">
        <v>0.3034</v>
      </c>
      <c r="O31" s="24">
        <v>0</v>
      </c>
      <c r="P31" s="24">
        <v>0</v>
      </c>
      <c r="Q31" s="24">
        <v>0</v>
      </c>
      <c r="R31" s="22">
        <v>0</v>
      </c>
      <c r="S31" s="24">
        <v>0</v>
      </c>
      <c r="T31" s="24">
        <f t="shared" si="4"/>
        <v>0</v>
      </c>
      <c r="U31" s="376">
        <v>54.2</v>
      </c>
      <c r="V31" s="376">
        <v>8.93</v>
      </c>
      <c r="W31" s="22">
        <f t="shared" si="5"/>
        <v>16.444280000000003</v>
      </c>
      <c r="X31" s="22">
        <f t="shared" si="6"/>
        <v>25.625023633066071</v>
      </c>
      <c r="Y31" s="22">
        <v>22.861540692245221</v>
      </c>
      <c r="Z31" s="22">
        <v>2.7634829408208508</v>
      </c>
      <c r="AA31" s="371">
        <v>179.63644018223101</v>
      </c>
      <c r="AB31" s="22">
        <v>0.14264936227343925</v>
      </c>
      <c r="AC31" s="24">
        <v>7.6493622734392364E-3</v>
      </c>
      <c r="AD31" s="384">
        <v>-13669.390442053034</v>
      </c>
    </row>
    <row r="32" spans="1:30">
      <c r="A32" s="21" t="s">
        <v>1226</v>
      </c>
      <c r="B32" s="21" t="s">
        <v>1227</v>
      </c>
      <c r="C32" s="23">
        <v>0</v>
      </c>
      <c r="D32" s="147">
        <v>0</v>
      </c>
      <c r="E32" s="22">
        <v>0</v>
      </c>
      <c r="F32" s="22">
        <v>0</v>
      </c>
      <c r="G32" s="22">
        <v>0</v>
      </c>
      <c r="H32" s="22">
        <v>0</v>
      </c>
      <c r="I32" s="22">
        <v>0</v>
      </c>
      <c r="J32" s="22">
        <v>0</v>
      </c>
      <c r="K32" s="22">
        <v>0</v>
      </c>
      <c r="L32" s="22">
        <v>0</v>
      </c>
      <c r="M32" s="388">
        <v>104.50990030740672</v>
      </c>
      <c r="N32" s="25">
        <v>0.68630000000000002</v>
      </c>
      <c r="O32" s="24">
        <v>102.50009453226428</v>
      </c>
      <c r="P32" s="24">
        <v>5.0144654089803806</v>
      </c>
      <c r="Q32" s="24">
        <v>0</v>
      </c>
      <c r="R32" s="22">
        <v>5.0144654089803806</v>
      </c>
      <c r="S32" s="24">
        <v>6.7931435199814372</v>
      </c>
      <c r="T32" s="24">
        <f t="shared" si="4"/>
        <v>11.807608928961818</v>
      </c>
      <c r="U32" s="376">
        <v>70.7</v>
      </c>
      <c r="V32" s="376">
        <v>0</v>
      </c>
      <c r="W32" s="22">
        <f t="shared" si="5"/>
        <v>48.521410000000003</v>
      </c>
      <c r="X32" s="22">
        <f t="shared" si="6"/>
        <v>19.093154863853151</v>
      </c>
      <c r="Y32" s="22">
        <v>19.093154863853151</v>
      </c>
      <c r="Z32" s="22">
        <v>0</v>
      </c>
      <c r="AA32" s="371">
        <v>104.50990030740672</v>
      </c>
      <c r="AB32" s="22">
        <v>0.18269230769230768</v>
      </c>
      <c r="AC32" s="24">
        <v>4.7692307692307673E-2</v>
      </c>
      <c r="AD32" s="384">
        <v>-48204.862498553506</v>
      </c>
    </row>
    <row r="33" spans="1:30">
      <c r="A33" s="21" t="s">
        <v>39</v>
      </c>
      <c r="B33" s="21" t="s">
        <v>40</v>
      </c>
      <c r="C33" s="23">
        <v>330.41206943341666</v>
      </c>
      <c r="D33" s="147">
        <v>44.677982381416378</v>
      </c>
      <c r="E33" s="22">
        <v>130.98909139490831</v>
      </c>
      <c r="F33" s="22">
        <v>175.66707377632468</v>
      </c>
      <c r="G33" s="22">
        <v>0</v>
      </c>
      <c r="H33" s="22">
        <v>29.966204107373734</v>
      </c>
      <c r="I33" s="22">
        <v>0.75367716567841381</v>
      </c>
      <c r="J33" s="22">
        <v>61.972361076517046</v>
      </c>
      <c r="K33" s="22">
        <v>0</v>
      </c>
      <c r="L33" s="22">
        <v>0</v>
      </c>
      <c r="M33" s="388">
        <v>1241.8187923450089</v>
      </c>
      <c r="N33" s="25">
        <v>0.40339999999999998</v>
      </c>
      <c r="O33" s="24">
        <v>18.088251976281931</v>
      </c>
      <c r="P33" s="24">
        <v>136.16434126590011</v>
      </c>
      <c r="Q33" s="24">
        <v>89.436356993838444</v>
      </c>
      <c r="R33" s="22">
        <v>46.727984272061661</v>
      </c>
      <c r="S33" s="24">
        <v>51.250047266132142</v>
      </c>
      <c r="T33" s="24">
        <f t="shared" si="4"/>
        <v>187.41438853203226</v>
      </c>
      <c r="U33" s="376">
        <v>500.95</v>
      </c>
      <c r="V33" s="376">
        <v>0</v>
      </c>
      <c r="W33" s="22">
        <f t="shared" si="5"/>
        <v>202.08322999999999</v>
      </c>
      <c r="X33" s="22">
        <f t="shared" si="6"/>
        <v>111.29299479851244</v>
      </c>
      <c r="Y33" s="22">
        <v>71.348105017556506</v>
      </c>
      <c r="Z33" s="22">
        <v>39.944889780955933</v>
      </c>
      <c r="AA33" s="371">
        <v>1243.6577646292642</v>
      </c>
      <c r="AB33" s="22">
        <v>8.9488441244677155E-2</v>
      </c>
      <c r="AC33" s="24">
        <v>0</v>
      </c>
      <c r="AD33" s="384">
        <v>0</v>
      </c>
    </row>
    <row r="34" spans="1:30">
      <c r="A34" s="21" t="s">
        <v>37</v>
      </c>
      <c r="B34" s="21" t="s">
        <v>38</v>
      </c>
      <c r="C34" s="23">
        <v>471.81195474356281</v>
      </c>
      <c r="D34" s="147">
        <v>54.837550574761394</v>
      </c>
      <c r="E34" s="22">
        <v>124.88933086735103</v>
      </c>
      <c r="F34" s="22">
        <v>179.72688144211241</v>
      </c>
      <c r="G34" s="22">
        <v>0</v>
      </c>
      <c r="H34" s="22">
        <v>34.839983112094146</v>
      </c>
      <c r="I34" s="22">
        <v>1.3063737538425841</v>
      </c>
      <c r="J34" s="22">
        <v>0</v>
      </c>
      <c r="K34" s="22">
        <v>0</v>
      </c>
      <c r="L34" s="22">
        <v>0</v>
      </c>
      <c r="M34" s="388">
        <v>1574.8938544304895</v>
      </c>
      <c r="N34" s="25">
        <v>0.4365</v>
      </c>
      <c r="O34" s="24">
        <v>0</v>
      </c>
      <c r="P34" s="24">
        <v>186.91193708824665</v>
      </c>
      <c r="Q34" s="24">
        <v>152.99646463271802</v>
      </c>
      <c r="R34" s="22">
        <v>33.915472455528622</v>
      </c>
      <c r="S34" s="24">
        <v>65.821139135914805</v>
      </c>
      <c r="T34" s="24">
        <f t="shared" si="4"/>
        <v>252.73307622416144</v>
      </c>
      <c r="U34" s="376">
        <v>687.44</v>
      </c>
      <c r="V34" s="376">
        <v>78.739999999999995</v>
      </c>
      <c r="W34" s="22">
        <f t="shared" si="5"/>
        <v>300.06756000000001</v>
      </c>
      <c r="X34" s="22">
        <f t="shared" si="6"/>
        <v>185.90703420067541</v>
      </c>
      <c r="Y34" s="22">
        <v>159.77955912382373</v>
      </c>
      <c r="Z34" s="22">
        <v>26.127475076851681</v>
      </c>
      <c r="AA34" s="371">
        <v>1586.0583255114054</v>
      </c>
      <c r="AB34" s="22">
        <v>0.11721323939378581</v>
      </c>
      <c r="AC34" s="24">
        <v>0</v>
      </c>
      <c r="AD34" s="384">
        <v>0</v>
      </c>
    </row>
    <row r="35" spans="1:30">
      <c r="A35" s="21" t="s">
        <v>81</v>
      </c>
      <c r="B35" s="21" t="s">
        <v>82</v>
      </c>
      <c r="C35" s="23">
        <v>418.74303325092671</v>
      </c>
      <c r="D35" s="147">
        <v>5.4666717083874286</v>
      </c>
      <c r="E35" s="22">
        <v>70.996389006906597</v>
      </c>
      <c r="F35" s="22">
        <v>76.46306071529402</v>
      </c>
      <c r="G35" s="22">
        <v>0</v>
      </c>
      <c r="H35" s="22">
        <v>23.253452818397996</v>
      </c>
      <c r="I35" s="22">
        <v>2.3816198435437879</v>
      </c>
      <c r="J35" s="22">
        <v>46.657641069931671</v>
      </c>
      <c r="K35" s="22">
        <v>0</v>
      </c>
      <c r="L35" s="22">
        <v>0</v>
      </c>
      <c r="M35" s="388">
        <v>1412.0493414995735</v>
      </c>
      <c r="N35" s="25">
        <v>0.52590000000000003</v>
      </c>
      <c r="O35" s="24">
        <v>578.8240632410218</v>
      </c>
      <c r="P35" s="24">
        <v>20.349283473317175</v>
      </c>
      <c r="Q35" s="24">
        <v>10.30025459760499</v>
      </c>
      <c r="R35" s="22">
        <v>10.049028875712185</v>
      </c>
      <c r="S35" s="24">
        <v>3.0147086627136552</v>
      </c>
      <c r="T35" s="24">
        <f t="shared" si="4"/>
        <v>23.363992136030831</v>
      </c>
      <c r="U35" s="376">
        <v>742.6</v>
      </c>
      <c r="V35" s="376">
        <v>70.599999999999994</v>
      </c>
      <c r="W35" s="22">
        <f t="shared" si="5"/>
        <v>390.53334000000001</v>
      </c>
      <c r="X35" s="22">
        <f t="shared" si="6"/>
        <v>232.88624419462988</v>
      </c>
      <c r="Y35" s="22">
        <v>147.21827302918351</v>
      </c>
      <c r="Z35" s="22">
        <v>85.667971165446374</v>
      </c>
      <c r="AA35" s="371">
        <v>1415.7071880103326</v>
      </c>
      <c r="AB35" s="22">
        <v>0.16450170357751276</v>
      </c>
      <c r="AC35" s="24">
        <v>2.950170357751275E-2</v>
      </c>
      <c r="AD35" s="384">
        <v>-378796.39724604785</v>
      </c>
    </row>
    <row r="36" spans="1:30">
      <c r="A36" s="21" t="s">
        <v>1228</v>
      </c>
      <c r="B36" s="21" t="s">
        <v>1229</v>
      </c>
      <c r="C36" s="23">
        <v>199.17175231661548</v>
      </c>
      <c r="D36" s="147">
        <v>0</v>
      </c>
      <c r="E36" s="22">
        <v>0</v>
      </c>
      <c r="F36" s="22">
        <v>0</v>
      </c>
      <c r="G36" s="22">
        <v>0</v>
      </c>
      <c r="H36" s="22">
        <v>0</v>
      </c>
      <c r="I36" s="22">
        <v>0</v>
      </c>
      <c r="J36" s="22">
        <v>0</v>
      </c>
      <c r="K36" s="22">
        <v>0</v>
      </c>
      <c r="L36" s="22">
        <v>0</v>
      </c>
      <c r="M36" s="388">
        <v>302.87773031396523</v>
      </c>
      <c r="N36" s="25">
        <v>0.51339999999999997</v>
      </c>
      <c r="O36" s="24">
        <v>0</v>
      </c>
      <c r="P36" s="24">
        <v>1.0049028875712185</v>
      </c>
      <c r="Q36" s="24">
        <v>0</v>
      </c>
      <c r="R36" s="22">
        <v>1.0049028875712185</v>
      </c>
      <c r="S36" s="24">
        <v>0</v>
      </c>
      <c r="T36" s="24">
        <f t="shared" si="4"/>
        <v>1.0049028875712185</v>
      </c>
      <c r="U36" s="376">
        <v>155.5</v>
      </c>
      <c r="V36" s="376">
        <v>15.14</v>
      </c>
      <c r="W36" s="22">
        <f t="shared" si="5"/>
        <v>79.833699999999993</v>
      </c>
      <c r="X36" s="22">
        <f t="shared" si="6"/>
        <v>29.644635183350946</v>
      </c>
      <c r="Y36" s="22">
        <v>28.890958017672531</v>
      </c>
      <c r="Z36" s="22">
        <v>0.75367716567841381</v>
      </c>
      <c r="AA36" s="371">
        <v>302.87773031396523</v>
      </c>
      <c r="AB36" s="22">
        <v>9.787657597876577E-2</v>
      </c>
      <c r="AC36" s="24">
        <v>0</v>
      </c>
      <c r="AD36" s="384">
        <v>0</v>
      </c>
    </row>
    <row r="37" spans="1:30">
      <c r="A37" s="21" t="s">
        <v>255</v>
      </c>
      <c r="B37" s="21" t="s">
        <v>256</v>
      </c>
      <c r="C37" s="23">
        <v>42</v>
      </c>
      <c r="D37" s="147">
        <v>0</v>
      </c>
      <c r="E37" s="22">
        <v>0</v>
      </c>
      <c r="F37" s="22">
        <v>0</v>
      </c>
      <c r="G37" s="22">
        <v>0</v>
      </c>
      <c r="H37" s="22">
        <v>0</v>
      </c>
      <c r="I37" s="22">
        <v>0</v>
      </c>
      <c r="J37" s="22">
        <v>0</v>
      </c>
      <c r="K37" s="22">
        <v>0</v>
      </c>
      <c r="L37" s="22">
        <v>0</v>
      </c>
      <c r="M37" s="388">
        <v>86.8</v>
      </c>
      <c r="N37" s="25">
        <v>0.33329999999999999</v>
      </c>
      <c r="O37" s="24">
        <v>0</v>
      </c>
      <c r="P37" s="24">
        <v>0</v>
      </c>
      <c r="Q37" s="24">
        <v>0</v>
      </c>
      <c r="R37" s="22">
        <v>0</v>
      </c>
      <c r="S37" s="24">
        <v>0</v>
      </c>
      <c r="T37" s="24">
        <f t="shared" si="4"/>
        <v>0</v>
      </c>
      <c r="U37" s="376">
        <v>28.93</v>
      </c>
      <c r="V37" s="376">
        <v>0</v>
      </c>
      <c r="W37" s="22">
        <f t="shared" si="5"/>
        <v>9.6423689999999986</v>
      </c>
      <c r="X37" s="22">
        <f t="shared" si="6"/>
        <v>7.75</v>
      </c>
      <c r="Y37" s="22">
        <v>7</v>
      </c>
      <c r="Z37" s="22">
        <v>0.75</v>
      </c>
      <c r="AA37" s="371">
        <v>86.8</v>
      </c>
      <c r="AB37" s="22">
        <v>8.9285714285714288E-2</v>
      </c>
      <c r="AC37" s="24">
        <v>0</v>
      </c>
      <c r="AD37" s="384">
        <v>0</v>
      </c>
    </row>
    <row r="38" spans="1:30">
      <c r="A38" s="21" t="s">
        <v>233</v>
      </c>
      <c r="B38" s="21" t="s">
        <v>234</v>
      </c>
      <c r="C38" s="23">
        <v>3132.2320554151092</v>
      </c>
      <c r="D38" s="147">
        <v>113.5640753244234</v>
      </c>
      <c r="E38" s="22">
        <v>666.16017319983644</v>
      </c>
      <c r="F38" s="22">
        <v>779.72424852425979</v>
      </c>
      <c r="G38" s="22">
        <v>0</v>
      </c>
      <c r="H38" s="22">
        <v>274.22794898930982</v>
      </c>
      <c r="I38" s="22">
        <v>10.983588561153418</v>
      </c>
      <c r="J38" s="22">
        <v>689.48396922036454</v>
      </c>
      <c r="K38" s="22">
        <v>0</v>
      </c>
      <c r="L38" s="22">
        <v>0</v>
      </c>
      <c r="M38" s="388">
        <v>11188.880172055342</v>
      </c>
      <c r="N38" s="25">
        <v>0.38040000000000002</v>
      </c>
      <c r="O38" s="24">
        <v>1020.981333772358</v>
      </c>
      <c r="P38" s="24">
        <v>412.51263534798517</v>
      </c>
      <c r="Q38" s="24">
        <v>236.15217857923633</v>
      </c>
      <c r="R38" s="22">
        <v>176.36045676874883</v>
      </c>
      <c r="S38" s="24">
        <v>74.614039402162973</v>
      </c>
      <c r="T38" s="24">
        <f t="shared" si="4"/>
        <v>487.12667475014814</v>
      </c>
      <c r="U38" s="376">
        <v>4256.25</v>
      </c>
      <c r="V38" s="376">
        <v>559.44000000000005</v>
      </c>
      <c r="W38" s="22">
        <f t="shared" si="5"/>
        <v>1619.0775000000001</v>
      </c>
      <c r="X38" s="22">
        <f t="shared" si="6"/>
        <v>1505.0932998597925</v>
      </c>
      <c r="Y38" s="22">
        <v>963.70186918079855</v>
      </c>
      <c r="Z38" s="22">
        <v>541.39143067899397</v>
      </c>
      <c r="AA38" s="371">
        <v>11156.351465584661</v>
      </c>
      <c r="AB38" s="22">
        <v>0.134909096804877</v>
      </c>
      <c r="AC38" s="24">
        <v>0</v>
      </c>
      <c r="AD38" s="384">
        <v>0</v>
      </c>
    </row>
    <row r="39" spans="1:30">
      <c r="A39" s="21" t="s">
        <v>463</v>
      </c>
      <c r="B39" s="21" t="s">
        <v>464</v>
      </c>
      <c r="C39" s="23">
        <v>4187.3298422205098</v>
      </c>
      <c r="D39" s="147">
        <v>54.50593262186289</v>
      </c>
      <c r="E39" s="22">
        <v>641.83147429173732</v>
      </c>
      <c r="F39" s="22">
        <v>696.33740691360026</v>
      </c>
      <c r="G39" s="22">
        <v>52.526273933347596</v>
      </c>
      <c r="H39" s="22">
        <v>274.59976305771113</v>
      </c>
      <c r="I39" s="22">
        <v>10.832853128017735</v>
      </c>
      <c r="J39" s="22">
        <v>229.11785836623781</v>
      </c>
      <c r="K39" s="22">
        <v>92.250085079037859</v>
      </c>
      <c r="L39" s="22">
        <v>0</v>
      </c>
      <c r="M39" s="388">
        <v>14146.239026975309</v>
      </c>
      <c r="N39" s="25">
        <v>0.38200000000000001</v>
      </c>
      <c r="O39" s="24">
        <v>3446.8169043692792</v>
      </c>
      <c r="P39" s="24">
        <v>478.33377448390002</v>
      </c>
      <c r="Q39" s="24">
        <v>290.16570878618933</v>
      </c>
      <c r="R39" s="22">
        <v>188.16806569771066</v>
      </c>
      <c r="S39" s="24">
        <v>96.721902928729776</v>
      </c>
      <c r="T39" s="24">
        <f t="shared" si="4"/>
        <v>575.05567741262985</v>
      </c>
      <c r="U39" s="376">
        <v>5403.86</v>
      </c>
      <c r="V39" s="376">
        <v>707.31</v>
      </c>
      <c r="W39" s="22">
        <f t="shared" si="5"/>
        <v>2064.2745199999999</v>
      </c>
      <c r="X39" s="22">
        <f t="shared" si="6"/>
        <v>2021.8646097932915</v>
      </c>
      <c r="Y39" s="22">
        <v>919.7373678495577</v>
      </c>
      <c r="Z39" s="22">
        <v>1102.1272419437339</v>
      </c>
      <c r="AA39" s="371">
        <v>14338.567390627564</v>
      </c>
      <c r="AB39" s="22">
        <v>0.14100882987200575</v>
      </c>
      <c r="AC39" s="24">
        <v>6.0088298720057387E-3</v>
      </c>
      <c r="AD39" s="384">
        <v>-778558.16294185095</v>
      </c>
    </row>
    <row r="40" spans="1:30">
      <c r="A40" s="21" t="s">
        <v>295</v>
      </c>
      <c r="B40" s="21" t="s">
        <v>296</v>
      </c>
      <c r="C40" s="23">
        <v>1051.460038352393</v>
      </c>
      <c r="D40" s="147">
        <v>49.109604115605443</v>
      </c>
      <c r="E40" s="22">
        <v>229.79114330091051</v>
      </c>
      <c r="F40" s="22">
        <v>278.90074741651597</v>
      </c>
      <c r="G40" s="22">
        <v>0</v>
      </c>
      <c r="H40" s="22">
        <v>52.677009366483276</v>
      </c>
      <c r="I40" s="22">
        <v>7.607114858914124</v>
      </c>
      <c r="J40" s="22">
        <v>53.028725377133199</v>
      </c>
      <c r="K40" s="22">
        <v>8.6421648331124779</v>
      </c>
      <c r="L40" s="22">
        <v>0</v>
      </c>
      <c r="M40" s="388">
        <v>3392.4617071805519</v>
      </c>
      <c r="N40" s="25">
        <v>0.80730000000000002</v>
      </c>
      <c r="O40" s="24">
        <v>3301.1059856714528</v>
      </c>
      <c r="P40" s="24">
        <v>484.86564325311292</v>
      </c>
      <c r="Q40" s="24">
        <v>314.03215236600579</v>
      </c>
      <c r="R40" s="22">
        <v>170.83349088710713</v>
      </c>
      <c r="S40" s="24">
        <v>67.328493467271642</v>
      </c>
      <c r="T40" s="24">
        <f t="shared" si="4"/>
        <v>552.19413672038456</v>
      </c>
      <c r="U40" s="376">
        <v>2738.4</v>
      </c>
      <c r="V40" s="376">
        <v>169.62</v>
      </c>
      <c r="W40" s="22">
        <f t="shared" si="5"/>
        <v>2210.7103200000001</v>
      </c>
      <c r="X40" s="22">
        <f t="shared" si="6"/>
        <v>468.03351988629504</v>
      </c>
      <c r="Y40" s="22">
        <v>272.57990825369302</v>
      </c>
      <c r="Z40" s="22">
        <v>195.45361163260199</v>
      </c>
      <c r="AA40" s="371">
        <v>3406.892112646075</v>
      </c>
      <c r="AB40" s="22">
        <v>0.13737843888539852</v>
      </c>
      <c r="AC40" s="24">
        <v>2.378438885398515E-3</v>
      </c>
      <c r="AD40" s="384">
        <v>-73555.979487730103</v>
      </c>
    </row>
    <row r="41" spans="1:30">
      <c r="A41" s="21" t="s">
        <v>291</v>
      </c>
      <c r="B41" s="21" t="s">
        <v>292</v>
      </c>
      <c r="C41" s="23">
        <v>810.16275698879213</v>
      </c>
      <c r="D41" s="147">
        <v>0</v>
      </c>
      <c r="E41" s="22">
        <v>172.09966852544687</v>
      </c>
      <c r="F41" s="22">
        <v>172.09966852544687</v>
      </c>
      <c r="G41" s="22">
        <v>0</v>
      </c>
      <c r="H41" s="22">
        <v>75.518452000977078</v>
      </c>
      <c r="I41" s="22">
        <v>7.1850556461342121</v>
      </c>
      <c r="J41" s="22">
        <v>25.896347412710302</v>
      </c>
      <c r="K41" s="22">
        <v>5.4264755928845805</v>
      </c>
      <c r="L41" s="22">
        <v>0</v>
      </c>
      <c r="M41" s="388">
        <v>2859.1597447465069</v>
      </c>
      <c r="N41" s="25">
        <v>0.46789999999999998</v>
      </c>
      <c r="O41" s="24">
        <v>1257.1335123515944</v>
      </c>
      <c r="P41" s="24">
        <v>109.03196330147721</v>
      </c>
      <c r="Q41" s="24">
        <v>56.525787425881042</v>
      </c>
      <c r="R41" s="22">
        <v>52.506175875596163</v>
      </c>
      <c r="S41" s="24">
        <v>16.078446201139496</v>
      </c>
      <c r="T41" s="24">
        <f t="shared" si="4"/>
        <v>125.1104095026167</v>
      </c>
      <c r="U41" s="376">
        <v>1337.8</v>
      </c>
      <c r="V41" s="376">
        <v>142.96</v>
      </c>
      <c r="W41" s="22">
        <f t="shared" si="5"/>
        <v>625.95661999999993</v>
      </c>
      <c r="X41" s="22">
        <f t="shared" si="6"/>
        <v>390.40477182141842</v>
      </c>
      <c r="Y41" s="22">
        <v>211.2808321118487</v>
      </c>
      <c r="Z41" s="22">
        <v>179.1239397095697</v>
      </c>
      <c r="AA41" s="371">
        <v>2864.9077892634136</v>
      </c>
      <c r="AB41" s="22">
        <v>0.13627132198966654</v>
      </c>
      <c r="AC41" s="24">
        <v>1.2713219896665351E-3</v>
      </c>
      <c r="AD41" s="384">
        <v>-33564.997211173759</v>
      </c>
    </row>
    <row r="42" spans="1:30">
      <c r="A42" s="21" t="s">
        <v>467</v>
      </c>
      <c r="B42" s="21" t="s">
        <v>468</v>
      </c>
      <c r="C42" s="23">
        <v>1522.6288552479102</v>
      </c>
      <c r="D42" s="147">
        <v>97.606217469792441</v>
      </c>
      <c r="E42" s="22">
        <v>402.89571471392861</v>
      </c>
      <c r="F42" s="22">
        <v>500.50193218372107</v>
      </c>
      <c r="G42" s="22">
        <v>0</v>
      </c>
      <c r="H42" s="22">
        <v>99.455238782923487</v>
      </c>
      <c r="I42" s="22">
        <v>2.4218159590466368</v>
      </c>
      <c r="J42" s="22">
        <v>313.51965189334447</v>
      </c>
      <c r="K42" s="22">
        <v>8.2000075625811437</v>
      </c>
      <c r="L42" s="22">
        <v>1.0049028875712185</v>
      </c>
      <c r="M42" s="388">
        <v>5183.4197314677285</v>
      </c>
      <c r="N42" s="25">
        <v>0.49630000000000002</v>
      </c>
      <c r="O42" s="24">
        <v>1514.3886515698262</v>
      </c>
      <c r="P42" s="24">
        <v>239.41811296384282</v>
      </c>
      <c r="Q42" s="24">
        <v>169.57736227764312</v>
      </c>
      <c r="R42" s="22">
        <v>69.840750686199684</v>
      </c>
      <c r="S42" s="24">
        <v>41.452244112312762</v>
      </c>
      <c r="T42" s="24">
        <f t="shared" si="4"/>
        <v>280.87035707615559</v>
      </c>
      <c r="U42" s="376">
        <v>2572.5300000000002</v>
      </c>
      <c r="V42" s="376">
        <v>259.17</v>
      </c>
      <c r="W42" s="22">
        <f t="shared" si="5"/>
        <v>1276.7466390000002</v>
      </c>
      <c r="X42" s="22">
        <f t="shared" si="6"/>
        <v>808.69559877293818</v>
      </c>
      <c r="Y42" s="22">
        <v>603.69540970840956</v>
      </c>
      <c r="Z42" s="22">
        <v>205.00018906452857</v>
      </c>
      <c r="AA42" s="371">
        <v>5204.4021037602161</v>
      </c>
      <c r="AB42" s="22">
        <v>0.15538684034207312</v>
      </c>
      <c r="AC42" s="24">
        <v>2.0386840342073109E-2</v>
      </c>
      <c r="AD42" s="384">
        <v>-962054.0249788221</v>
      </c>
    </row>
    <row r="43" spans="1:30">
      <c r="A43" s="21" t="s">
        <v>485</v>
      </c>
      <c r="B43" s="21" t="s">
        <v>486</v>
      </c>
      <c r="C43" s="23">
        <v>185.90703420067541</v>
      </c>
      <c r="D43" s="147">
        <v>10.109323048966459</v>
      </c>
      <c r="E43" s="22">
        <v>61.017703333324384</v>
      </c>
      <c r="F43" s="22">
        <v>71.127026382290836</v>
      </c>
      <c r="G43" s="22">
        <v>0</v>
      </c>
      <c r="H43" s="22">
        <v>23.796100377686454</v>
      </c>
      <c r="I43" s="22">
        <v>0.4622553282827605</v>
      </c>
      <c r="J43" s="22">
        <v>118.88001159967516</v>
      </c>
      <c r="K43" s="22">
        <v>14.470601581025546</v>
      </c>
      <c r="L43" s="22">
        <v>0</v>
      </c>
      <c r="M43" s="388">
        <v>769.81590605280758</v>
      </c>
      <c r="N43" s="25">
        <v>0.58360000000000001</v>
      </c>
      <c r="O43" s="24">
        <v>757.69677722869869</v>
      </c>
      <c r="P43" s="24">
        <v>1.0049028875712185</v>
      </c>
      <c r="Q43" s="24">
        <v>0</v>
      </c>
      <c r="R43" s="22">
        <v>1.0049028875712185</v>
      </c>
      <c r="S43" s="24">
        <v>0</v>
      </c>
      <c r="T43" s="24">
        <f t="shared" si="4"/>
        <v>1.0049028875712185</v>
      </c>
      <c r="U43" s="376">
        <v>448.34</v>
      </c>
      <c r="V43" s="376">
        <v>38.49</v>
      </c>
      <c r="W43" s="22">
        <f t="shared" si="5"/>
        <v>261.65122400000001</v>
      </c>
      <c r="X43" s="22">
        <f t="shared" si="6"/>
        <v>133.40085832507927</v>
      </c>
      <c r="Y43" s="22">
        <v>91.697388490873692</v>
      </c>
      <c r="Z43" s="22">
        <v>41.703469834205571</v>
      </c>
      <c r="AA43" s="371">
        <v>769.81590605280758</v>
      </c>
      <c r="AB43" s="22">
        <v>0.1732892984883691</v>
      </c>
      <c r="AC43" s="24">
        <v>3.8289298488369095E-2</v>
      </c>
      <c r="AD43" s="384">
        <v>-264677.94009897229</v>
      </c>
    </row>
    <row r="44" spans="1:30">
      <c r="A44" s="21" t="s">
        <v>1038</v>
      </c>
      <c r="B44" s="21" t="s">
        <v>1043</v>
      </c>
      <c r="C44" s="23">
        <v>173.0442772397638</v>
      </c>
      <c r="D44" s="147">
        <v>0</v>
      </c>
      <c r="E44" s="22">
        <v>28.92110510429967</v>
      </c>
      <c r="F44" s="22">
        <v>28.92110510429967</v>
      </c>
      <c r="G44" s="22">
        <v>0</v>
      </c>
      <c r="H44" s="22">
        <v>0.85416745443553566</v>
      </c>
      <c r="I44" s="22">
        <v>0</v>
      </c>
      <c r="J44" s="22">
        <v>0</v>
      </c>
      <c r="K44" s="22">
        <v>0</v>
      </c>
      <c r="L44" s="22">
        <v>0</v>
      </c>
      <c r="M44" s="388">
        <v>583.10494954207525</v>
      </c>
      <c r="N44" s="25">
        <v>0.52859999999999996</v>
      </c>
      <c r="O44" s="24">
        <v>596.91231521730379</v>
      </c>
      <c r="P44" s="24">
        <v>0</v>
      </c>
      <c r="Q44" s="24">
        <v>0</v>
      </c>
      <c r="R44" s="22">
        <v>0</v>
      </c>
      <c r="S44" s="24">
        <v>0</v>
      </c>
      <c r="T44" s="24">
        <f t="shared" si="4"/>
        <v>0</v>
      </c>
      <c r="U44" s="376">
        <v>309.22000000000003</v>
      </c>
      <c r="V44" s="376">
        <v>0</v>
      </c>
      <c r="W44" s="22">
        <f t="shared" si="5"/>
        <v>163.45369199999999</v>
      </c>
      <c r="X44" s="22">
        <f t="shared" si="6"/>
        <v>0</v>
      </c>
      <c r="Y44" s="22">
        <v>0</v>
      </c>
      <c r="Z44" s="22">
        <v>0</v>
      </c>
      <c r="AA44" s="371">
        <v>583.09490051319949</v>
      </c>
      <c r="AB44" s="22">
        <v>0</v>
      </c>
      <c r="AC44" s="24">
        <v>0</v>
      </c>
      <c r="AD44" s="384">
        <v>0</v>
      </c>
    </row>
    <row r="45" spans="1:30">
      <c r="A45" s="21" t="s">
        <v>179</v>
      </c>
      <c r="B45" s="21" t="s">
        <v>180</v>
      </c>
      <c r="C45" s="23">
        <v>179.27467514270538</v>
      </c>
      <c r="D45" s="147">
        <v>0</v>
      </c>
      <c r="E45" s="22">
        <v>13.817414704104253</v>
      </c>
      <c r="F45" s="22">
        <v>13.817414704104253</v>
      </c>
      <c r="G45" s="22">
        <v>0</v>
      </c>
      <c r="H45" s="22">
        <v>9.0642240458923897</v>
      </c>
      <c r="I45" s="22">
        <v>1.035049974198355</v>
      </c>
      <c r="J45" s="22">
        <v>79.739044128776186</v>
      </c>
      <c r="K45" s="22">
        <v>0</v>
      </c>
      <c r="L45" s="22">
        <v>0</v>
      </c>
      <c r="M45" s="388">
        <v>676.23934916217581</v>
      </c>
      <c r="N45" s="25">
        <v>0.51580000000000004</v>
      </c>
      <c r="O45" s="24">
        <v>328.60324423578845</v>
      </c>
      <c r="P45" s="24">
        <v>17.33457481060352</v>
      </c>
      <c r="Q45" s="24">
        <v>16.83212336681791</v>
      </c>
      <c r="R45" s="22">
        <v>0.50245144378560924</v>
      </c>
      <c r="S45" s="24">
        <v>1.7585800532496323</v>
      </c>
      <c r="T45" s="24">
        <f t="shared" si="4"/>
        <v>19.093154863853151</v>
      </c>
      <c r="U45" s="376">
        <v>349.28</v>
      </c>
      <c r="V45" s="376">
        <v>0</v>
      </c>
      <c r="W45" s="22">
        <f t="shared" si="5"/>
        <v>180.158624</v>
      </c>
      <c r="X45" s="22">
        <f t="shared" si="6"/>
        <v>111.29299479851244</v>
      </c>
      <c r="Y45" s="22">
        <v>77.377522342983823</v>
      </c>
      <c r="Z45" s="22">
        <v>33.915472455528622</v>
      </c>
      <c r="AA45" s="371">
        <v>689.31313572947738</v>
      </c>
      <c r="AB45" s="22">
        <v>0.16145491653910632</v>
      </c>
      <c r="AC45" s="24">
        <v>2.645491653910631E-2</v>
      </c>
      <c r="AD45" s="384">
        <v>-178179.47669307812</v>
      </c>
    </row>
    <row r="46" spans="1:30">
      <c r="A46" s="21" t="s">
        <v>13</v>
      </c>
      <c r="B46" s="21" t="s">
        <v>14</v>
      </c>
      <c r="C46" s="23">
        <v>728.66513280676622</v>
      </c>
      <c r="D46" s="147">
        <v>0</v>
      </c>
      <c r="E46" s="22">
        <v>155.71975145803603</v>
      </c>
      <c r="F46" s="22">
        <v>155.71975145803603</v>
      </c>
      <c r="G46" s="22">
        <v>0</v>
      </c>
      <c r="H46" s="22">
        <v>25.283356651291857</v>
      </c>
      <c r="I46" s="22">
        <v>2.3816198435437879</v>
      </c>
      <c r="J46" s="22">
        <v>175.93839755596892</v>
      </c>
      <c r="K46" s="22">
        <v>3.81863097277063</v>
      </c>
      <c r="L46" s="22">
        <v>0</v>
      </c>
      <c r="M46" s="388">
        <v>2450.7370641509365</v>
      </c>
      <c r="N46" s="25">
        <v>0.57350000000000001</v>
      </c>
      <c r="O46" s="24">
        <v>1353.6041895584312</v>
      </c>
      <c r="P46" s="24">
        <v>18.339477698174736</v>
      </c>
      <c r="Q46" s="24">
        <v>15.324769035461081</v>
      </c>
      <c r="R46" s="22">
        <v>3.0147086627136552</v>
      </c>
      <c r="S46" s="24">
        <v>6.0294173254273105</v>
      </c>
      <c r="T46" s="24">
        <f t="shared" si="4"/>
        <v>24.368895023602047</v>
      </c>
      <c r="U46" s="376">
        <v>1405.5</v>
      </c>
      <c r="V46" s="376">
        <v>122.54</v>
      </c>
      <c r="W46" s="22">
        <f t="shared" si="5"/>
        <v>806.05425000000002</v>
      </c>
      <c r="X46" s="22">
        <f t="shared" si="6"/>
        <v>387.64128888059759</v>
      </c>
      <c r="Y46" s="22">
        <v>266.04803948448011</v>
      </c>
      <c r="Z46" s="22">
        <v>121.59324939611744</v>
      </c>
      <c r="AA46" s="371">
        <v>2450.7370641509365</v>
      </c>
      <c r="AB46" s="22">
        <v>0.15817334896956675</v>
      </c>
      <c r="AC46" s="24">
        <v>2.3173348969566743E-2</v>
      </c>
      <c r="AD46" s="384">
        <v>-516161.02815075091</v>
      </c>
    </row>
    <row r="47" spans="1:30">
      <c r="A47" s="21" t="s">
        <v>249</v>
      </c>
      <c r="B47" s="21" t="s">
        <v>250</v>
      </c>
      <c r="C47" s="23">
        <v>268.84166951192805</v>
      </c>
      <c r="D47" s="147">
        <v>8.8732924972538587</v>
      </c>
      <c r="E47" s="22">
        <v>61.449811574980011</v>
      </c>
      <c r="F47" s="22">
        <v>70.323104072233875</v>
      </c>
      <c r="G47" s="22">
        <v>0</v>
      </c>
      <c r="H47" s="22">
        <v>14.058591397121347</v>
      </c>
      <c r="I47" s="22">
        <v>0</v>
      </c>
      <c r="J47" s="22">
        <v>22.409334392838172</v>
      </c>
      <c r="K47" s="22">
        <v>0</v>
      </c>
      <c r="L47" s="22">
        <v>0</v>
      </c>
      <c r="M47" s="388">
        <v>889.08782977863552</v>
      </c>
      <c r="N47" s="25">
        <v>0.40670000000000001</v>
      </c>
      <c r="O47" s="24">
        <v>22.107863526566806</v>
      </c>
      <c r="P47" s="24">
        <v>13.063737538425841</v>
      </c>
      <c r="Q47" s="24">
        <v>7.2855459348913341</v>
      </c>
      <c r="R47" s="22">
        <v>5.7781916035345064</v>
      </c>
      <c r="S47" s="24">
        <v>1.0049028875712185</v>
      </c>
      <c r="T47" s="24">
        <f t="shared" si="4"/>
        <v>14.068640425997058</v>
      </c>
      <c r="U47" s="376">
        <v>361.59</v>
      </c>
      <c r="V47" s="376">
        <v>44.45</v>
      </c>
      <c r="W47" s="22">
        <f t="shared" si="5"/>
        <v>147.05865299999999</v>
      </c>
      <c r="X47" s="22">
        <f t="shared" si="6"/>
        <v>131.39105254993683</v>
      </c>
      <c r="Y47" s="22">
        <v>106.51970608254916</v>
      </c>
      <c r="Z47" s="22">
        <v>24.871346467387657</v>
      </c>
      <c r="AA47" s="371">
        <v>888.07287786218865</v>
      </c>
      <c r="AB47" s="22">
        <v>0.14795075474687125</v>
      </c>
      <c r="AC47" s="24">
        <v>1.295075474687124E-2</v>
      </c>
      <c r="AD47" s="384">
        <v>-104462.14896469483</v>
      </c>
    </row>
    <row r="48" spans="1:30">
      <c r="A48" s="21" t="s">
        <v>377</v>
      </c>
      <c r="B48" s="21" t="s">
        <v>378</v>
      </c>
      <c r="C48" s="23">
        <v>4279.8110549636895</v>
      </c>
      <c r="D48" s="147">
        <v>371.78392131472373</v>
      </c>
      <c r="E48" s="22">
        <v>573.83974491866854</v>
      </c>
      <c r="F48" s="22">
        <v>945.62366623339221</v>
      </c>
      <c r="G48" s="22">
        <v>0</v>
      </c>
      <c r="H48" s="22">
        <v>149.68028510373298</v>
      </c>
      <c r="I48" s="22">
        <v>9.0240279303895417</v>
      </c>
      <c r="J48" s="22">
        <v>552.05345031612455</v>
      </c>
      <c r="K48" s="22">
        <v>194.54919903378789</v>
      </c>
      <c r="L48" s="22">
        <v>0</v>
      </c>
      <c r="M48" s="388">
        <v>12083.163349762723</v>
      </c>
      <c r="N48" s="25">
        <v>0.68879999999999997</v>
      </c>
      <c r="O48" s="24">
        <v>9394.8370959033218</v>
      </c>
      <c r="P48" s="24">
        <v>1593.2735282441668</v>
      </c>
      <c r="Q48" s="24">
        <v>1108.1566592691611</v>
      </c>
      <c r="R48" s="22">
        <v>485.11686897500573</v>
      </c>
      <c r="S48" s="24">
        <v>418.0396012296269</v>
      </c>
      <c r="T48" s="24">
        <f t="shared" si="4"/>
        <v>2011.3131294737937</v>
      </c>
      <c r="U48" s="376">
        <v>8322.8799999999992</v>
      </c>
      <c r="V48" s="376">
        <v>604.16</v>
      </c>
      <c r="W48" s="22">
        <f t="shared" si="5"/>
        <v>5732.799743999999</v>
      </c>
      <c r="X48" s="22">
        <f t="shared" si="6"/>
        <v>1767.8754049596662</v>
      </c>
      <c r="Y48" s="22">
        <v>893.10744132892046</v>
      </c>
      <c r="Z48" s="22">
        <v>874.76796363074573</v>
      </c>
      <c r="AA48" s="371">
        <v>12128.615107367568</v>
      </c>
      <c r="AB48" s="22">
        <v>0.14576069809369779</v>
      </c>
      <c r="AC48" s="24">
        <v>1.0760698093697785E-2</v>
      </c>
      <c r="AD48" s="384">
        <v>-1250838.1731015728</v>
      </c>
    </row>
    <row r="49" spans="1:30">
      <c r="A49" s="21" t="s">
        <v>563</v>
      </c>
      <c r="B49" s="21" t="s">
        <v>564</v>
      </c>
      <c r="C49" s="23">
        <v>136.66679270968572</v>
      </c>
      <c r="D49" s="147">
        <v>6.9137318664899832</v>
      </c>
      <c r="E49" s="22">
        <v>49.541712357261069</v>
      </c>
      <c r="F49" s="22">
        <v>56.455444223751051</v>
      </c>
      <c r="G49" s="22">
        <v>0</v>
      </c>
      <c r="H49" s="22">
        <v>2.0299038328938614</v>
      </c>
      <c r="I49" s="22">
        <v>0.25122572189280462</v>
      </c>
      <c r="J49" s="22">
        <v>0</v>
      </c>
      <c r="K49" s="22">
        <v>0</v>
      </c>
      <c r="L49" s="22">
        <v>0</v>
      </c>
      <c r="M49" s="388">
        <v>520.5899409062697</v>
      </c>
      <c r="N49" s="25">
        <v>0.32319999999999999</v>
      </c>
      <c r="O49" s="24">
        <v>0</v>
      </c>
      <c r="P49" s="24">
        <v>0</v>
      </c>
      <c r="Q49" s="24">
        <v>0</v>
      </c>
      <c r="R49" s="22">
        <v>0</v>
      </c>
      <c r="S49" s="24">
        <v>0</v>
      </c>
      <c r="T49" s="24">
        <f t="shared" si="4"/>
        <v>0</v>
      </c>
      <c r="U49" s="376">
        <v>168.25</v>
      </c>
      <c r="V49" s="376">
        <v>26.03</v>
      </c>
      <c r="W49" s="22">
        <f t="shared" si="5"/>
        <v>54.378399999999999</v>
      </c>
      <c r="X49" s="22">
        <f t="shared" si="6"/>
        <v>78.131199508662235</v>
      </c>
      <c r="Y49" s="22">
        <v>50.245144378560923</v>
      </c>
      <c r="Z49" s="22">
        <v>27.886055130101312</v>
      </c>
      <c r="AA49" s="371">
        <v>520.5899409062697</v>
      </c>
      <c r="AB49" s="22">
        <v>0.15008203841328058</v>
      </c>
      <c r="AC49" s="24">
        <v>1.5082038413280568E-2</v>
      </c>
      <c r="AD49" s="384">
        <v>-70448.991024398347</v>
      </c>
    </row>
    <row r="50" spans="1:30">
      <c r="A50" s="21" t="s">
        <v>529</v>
      </c>
      <c r="B50" s="21" t="s">
        <v>530</v>
      </c>
      <c r="C50" s="23">
        <v>430.43005383337999</v>
      </c>
      <c r="D50" s="147">
        <v>0</v>
      </c>
      <c r="E50" s="22">
        <v>132.23517097549666</v>
      </c>
      <c r="F50" s="22">
        <v>132.23517097549666</v>
      </c>
      <c r="G50" s="22">
        <v>0</v>
      </c>
      <c r="H50" s="22">
        <v>36.990475291496551</v>
      </c>
      <c r="I50" s="22">
        <v>3.90907223265204</v>
      </c>
      <c r="J50" s="22">
        <v>0</v>
      </c>
      <c r="K50" s="22">
        <v>8.3708410534682507</v>
      </c>
      <c r="L50" s="22">
        <v>0.87426551218696003</v>
      </c>
      <c r="M50" s="388">
        <v>1530.9092550414969</v>
      </c>
      <c r="N50" s="25">
        <v>0.56679999999999997</v>
      </c>
      <c r="O50" s="24">
        <v>1532.4769035461081</v>
      </c>
      <c r="P50" s="24">
        <v>293.68286889268859</v>
      </c>
      <c r="Q50" s="24">
        <v>179.1239397095697</v>
      </c>
      <c r="R50" s="22">
        <v>114.55892918311891</v>
      </c>
      <c r="S50" s="24">
        <v>44.466952775026421</v>
      </c>
      <c r="T50" s="24">
        <f t="shared" si="4"/>
        <v>338.149821667715</v>
      </c>
      <c r="U50" s="376">
        <v>867.72</v>
      </c>
      <c r="V50" s="376">
        <v>76.55</v>
      </c>
      <c r="W50" s="22">
        <f t="shared" si="5"/>
        <v>491.82369599999998</v>
      </c>
      <c r="X50" s="22">
        <f t="shared" si="6"/>
        <v>211.02960638995586</v>
      </c>
      <c r="Y50" s="22">
        <v>104.00744886362111</v>
      </c>
      <c r="Z50" s="22">
        <v>107.02215752633477</v>
      </c>
      <c r="AA50" s="371">
        <v>1536.6974956739073</v>
      </c>
      <c r="AB50" s="22">
        <v>0.1373267067747842</v>
      </c>
      <c r="AC50" s="24">
        <v>2.326706774784193E-3</v>
      </c>
      <c r="AD50" s="384">
        <v>-32170.132717204415</v>
      </c>
    </row>
    <row r="51" spans="1:30">
      <c r="A51" s="21" t="s">
        <v>571</v>
      </c>
      <c r="B51" s="21" t="s">
        <v>572</v>
      </c>
      <c r="C51" s="23">
        <v>64.715745959586471</v>
      </c>
      <c r="D51" s="147">
        <v>0</v>
      </c>
      <c r="E51" s="22">
        <v>9.5063813164237274</v>
      </c>
      <c r="F51" s="22">
        <v>9.5063813164237274</v>
      </c>
      <c r="G51" s="22">
        <v>0</v>
      </c>
      <c r="H51" s="22">
        <v>1.2360305517125987</v>
      </c>
      <c r="I51" s="22">
        <v>0</v>
      </c>
      <c r="J51" s="22">
        <v>0</v>
      </c>
      <c r="K51" s="22">
        <v>0</v>
      </c>
      <c r="L51" s="22">
        <v>0</v>
      </c>
      <c r="M51" s="388">
        <v>159.34745088216809</v>
      </c>
      <c r="N51" s="25">
        <v>0.31009999999999999</v>
      </c>
      <c r="O51" s="24">
        <v>0</v>
      </c>
      <c r="P51" s="24">
        <v>0</v>
      </c>
      <c r="Q51" s="24">
        <v>0</v>
      </c>
      <c r="R51" s="22">
        <v>0</v>
      </c>
      <c r="S51" s="24">
        <v>0</v>
      </c>
      <c r="T51" s="24">
        <f t="shared" si="4"/>
        <v>0</v>
      </c>
      <c r="U51" s="376">
        <v>49.41</v>
      </c>
      <c r="V51" s="376">
        <v>0</v>
      </c>
      <c r="W51" s="22">
        <f t="shared" si="5"/>
        <v>15.322040999999999</v>
      </c>
      <c r="X51" s="22">
        <f t="shared" si="6"/>
        <v>29.393409461458141</v>
      </c>
      <c r="Y51" s="22">
        <v>27.886055130101312</v>
      </c>
      <c r="Z51" s="22">
        <v>1.5073543313568276</v>
      </c>
      <c r="AA51" s="371">
        <v>159.34745088216812</v>
      </c>
      <c r="AB51" s="22">
        <v>0.1844611212713628</v>
      </c>
      <c r="AC51" s="24">
        <v>4.946112127136279E-2</v>
      </c>
      <c r="AD51" s="384">
        <v>-75341.217249002744</v>
      </c>
    </row>
    <row r="52" spans="1:30">
      <c r="A52" s="21" t="s">
        <v>499</v>
      </c>
      <c r="B52" s="21" t="s">
        <v>500</v>
      </c>
      <c r="C52" s="23">
        <v>28.137280851994117</v>
      </c>
      <c r="D52" s="147">
        <v>0</v>
      </c>
      <c r="E52" s="22">
        <v>7.456379425778441</v>
      </c>
      <c r="F52" s="22">
        <v>7.456379425778441</v>
      </c>
      <c r="G52" s="22">
        <v>0</v>
      </c>
      <c r="H52" s="22">
        <v>0.50245144378560924</v>
      </c>
      <c r="I52" s="22">
        <v>0</v>
      </c>
      <c r="J52" s="22">
        <v>0</v>
      </c>
      <c r="K52" s="22">
        <v>0</v>
      </c>
      <c r="L52" s="22">
        <v>0</v>
      </c>
      <c r="M52" s="388">
        <v>104.97215563568948</v>
      </c>
      <c r="N52" s="25">
        <v>0.8</v>
      </c>
      <c r="O52" s="24">
        <v>102.50009453226428</v>
      </c>
      <c r="P52" s="24">
        <v>0</v>
      </c>
      <c r="Q52" s="24">
        <v>0</v>
      </c>
      <c r="R52" s="22">
        <v>0</v>
      </c>
      <c r="S52" s="24">
        <v>0</v>
      </c>
      <c r="T52" s="24">
        <f t="shared" si="4"/>
        <v>0</v>
      </c>
      <c r="U52" s="376">
        <v>83.98</v>
      </c>
      <c r="V52" s="376">
        <v>5.25</v>
      </c>
      <c r="W52" s="22">
        <f t="shared" si="5"/>
        <v>67.184000000000012</v>
      </c>
      <c r="X52" s="22">
        <f t="shared" si="6"/>
        <v>16.580897644925106</v>
      </c>
      <c r="Y52" s="22">
        <v>16.078446201139496</v>
      </c>
      <c r="Z52" s="22">
        <v>0.50245144378560924</v>
      </c>
      <c r="AA52" s="371">
        <v>104.97215563568948</v>
      </c>
      <c r="AB52" s="22">
        <v>0.1579551981619759</v>
      </c>
      <c r="AC52" s="24">
        <v>2.2955198161975887E-2</v>
      </c>
      <c r="AD52" s="384">
        <v>-21806.117615470801</v>
      </c>
    </row>
    <row r="53" spans="1:30">
      <c r="A53" s="21" t="s">
        <v>533</v>
      </c>
      <c r="B53" s="21" t="s">
        <v>534</v>
      </c>
      <c r="C53" s="23">
        <v>210.22568407989888</v>
      </c>
      <c r="D53" s="147">
        <v>0</v>
      </c>
      <c r="E53" s="22">
        <v>54.696864170501421</v>
      </c>
      <c r="F53" s="22">
        <v>54.696864170501421</v>
      </c>
      <c r="G53" s="22">
        <v>0</v>
      </c>
      <c r="H53" s="22">
        <v>14.149032657002756</v>
      </c>
      <c r="I53" s="22">
        <v>0.50245144378560924</v>
      </c>
      <c r="J53" s="22">
        <v>0</v>
      </c>
      <c r="K53" s="22">
        <v>2.8137280851994118</v>
      </c>
      <c r="L53" s="22">
        <v>0</v>
      </c>
      <c r="M53" s="388">
        <v>712.33546088373384</v>
      </c>
      <c r="N53" s="25">
        <v>0.56020000000000003</v>
      </c>
      <c r="O53" s="24">
        <v>717.50066172585002</v>
      </c>
      <c r="P53" s="24">
        <v>133.14963260318643</v>
      </c>
      <c r="Q53" s="24">
        <v>81.145908171375893</v>
      </c>
      <c r="R53" s="22">
        <v>52.003724431810554</v>
      </c>
      <c r="S53" s="24">
        <v>22.107863526566806</v>
      </c>
      <c r="T53" s="24">
        <f t="shared" si="4"/>
        <v>155.25749612975324</v>
      </c>
      <c r="U53" s="376">
        <v>392.28</v>
      </c>
      <c r="V53" s="376">
        <v>35.619999999999997</v>
      </c>
      <c r="W53" s="22">
        <f t="shared" si="5"/>
        <v>219.755256</v>
      </c>
      <c r="X53" s="22">
        <f t="shared" si="6"/>
        <v>96.721902928729776</v>
      </c>
      <c r="Y53" s="22">
        <v>72.101782183234931</v>
      </c>
      <c r="Z53" s="22">
        <v>24.620120745494852</v>
      </c>
      <c r="AA53" s="371">
        <v>717.52075978360142</v>
      </c>
      <c r="AB53" s="22">
        <v>0.13480014565418336</v>
      </c>
      <c r="AC53" s="24">
        <v>0</v>
      </c>
      <c r="AD53" s="384">
        <v>0</v>
      </c>
    </row>
    <row r="54" spans="1:30">
      <c r="A54" s="21" t="s">
        <v>491</v>
      </c>
      <c r="B54" s="21" t="s">
        <v>492</v>
      </c>
      <c r="C54" s="23">
        <v>430.19892616923863</v>
      </c>
      <c r="D54" s="147">
        <v>14.691680216291214</v>
      </c>
      <c r="E54" s="22">
        <v>113.68466367093194</v>
      </c>
      <c r="F54" s="22">
        <v>128.37634388722316</v>
      </c>
      <c r="G54" s="22">
        <v>14.219375859132741</v>
      </c>
      <c r="H54" s="22">
        <v>22.097814497691093</v>
      </c>
      <c r="I54" s="22">
        <v>1.5676485046111008</v>
      </c>
      <c r="J54" s="22">
        <v>66.152757088813303</v>
      </c>
      <c r="K54" s="22">
        <v>8.6421648331124779</v>
      </c>
      <c r="L54" s="22">
        <v>0</v>
      </c>
      <c r="M54" s="388">
        <v>1642.5439168217838</v>
      </c>
      <c r="N54" s="25">
        <v>0.53720000000000001</v>
      </c>
      <c r="O54" s="24">
        <v>1116.4471080916237</v>
      </c>
      <c r="P54" s="24">
        <v>16.580897644925106</v>
      </c>
      <c r="Q54" s="24">
        <v>14.571091869782668</v>
      </c>
      <c r="R54" s="22">
        <v>2.009805775142437</v>
      </c>
      <c r="S54" s="24">
        <v>1.7585800532496323</v>
      </c>
      <c r="T54" s="24">
        <f t="shared" si="4"/>
        <v>18.339477698174736</v>
      </c>
      <c r="U54" s="376">
        <v>852.48</v>
      </c>
      <c r="V54" s="376">
        <v>82.13</v>
      </c>
      <c r="W54" s="22">
        <f t="shared" si="5"/>
        <v>457.95225600000003</v>
      </c>
      <c r="X54" s="22">
        <f t="shared" si="6"/>
        <v>239.6693386857356</v>
      </c>
      <c r="Y54" s="22">
        <v>154.25259324218203</v>
      </c>
      <c r="Z54" s="22">
        <v>85.416745443553566</v>
      </c>
      <c r="AA54" s="371">
        <v>1642.533867792908</v>
      </c>
      <c r="AB54" s="22">
        <v>0.14591439688715951</v>
      </c>
      <c r="AC54" s="24">
        <v>1.0914396887159505E-2</v>
      </c>
      <c r="AD54" s="384">
        <v>-164565.58836723334</v>
      </c>
    </row>
    <row r="55" spans="1:30">
      <c r="A55" s="21" t="s">
        <v>401</v>
      </c>
      <c r="B55" s="21" t="s">
        <v>402</v>
      </c>
      <c r="C55" s="23">
        <v>170.03961760592588</v>
      </c>
      <c r="D55" s="147">
        <v>6.0796624698058714</v>
      </c>
      <c r="E55" s="22">
        <v>44.27602122638789</v>
      </c>
      <c r="F55" s="22">
        <v>50.355683696193765</v>
      </c>
      <c r="G55" s="22">
        <v>0</v>
      </c>
      <c r="H55" s="22">
        <v>1.025000945322643</v>
      </c>
      <c r="I55" s="22">
        <v>1.9897077173910125</v>
      </c>
      <c r="J55" s="22">
        <v>4.0698566946634349</v>
      </c>
      <c r="K55" s="22">
        <v>0</v>
      </c>
      <c r="L55" s="22">
        <v>0</v>
      </c>
      <c r="M55" s="388">
        <v>490.08108923960748</v>
      </c>
      <c r="N55" s="25">
        <v>0.70440000000000003</v>
      </c>
      <c r="O55" s="24">
        <v>506.47105533589411</v>
      </c>
      <c r="P55" s="24">
        <v>0</v>
      </c>
      <c r="Q55" s="24">
        <v>0</v>
      </c>
      <c r="R55" s="22">
        <v>0</v>
      </c>
      <c r="S55" s="24">
        <v>0</v>
      </c>
      <c r="T55" s="24">
        <f t="shared" si="4"/>
        <v>0</v>
      </c>
      <c r="U55" s="376">
        <v>345.21</v>
      </c>
      <c r="V55" s="376">
        <v>24.5</v>
      </c>
      <c r="W55" s="22">
        <f t="shared" si="5"/>
        <v>243.16592399999999</v>
      </c>
      <c r="X55" s="22">
        <f t="shared" si="6"/>
        <v>85.416745443553566</v>
      </c>
      <c r="Y55" s="22">
        <v>53.762304485060191</v>
      </c>
      <c r="Z55" s="22">
        <v>31.654440958493382</v>
      </c>
      <c r="AA55" s="371">
        <v>499.9693336533083</v>
      </c>
      <c r="AB55" s="22">
        <v>0.17084396920788697</v>
      </c>
      <c r="AC55" s="24">
        <v>3.5843969207886961E-2</v>
      </c>
      <c r="AD55" s="384">
        <v>-178491.3443182288</v>
      </c>
    </row>
    <row r="56" spans="1:30">
      <c r="A56" s="21" t="s">
        <v>411</v>
      </c>
      <c r="B56" s="21" t="s">
        <v>412</v>
      </c>
      <c r="C56" s="23">
        <v>206.80901426215678</v>
      </c>
      <c r="D56" s="147">
        <v>0</v>
      </c>
      <c r="E56" s="22">
        <v>0</v>
      </c>
      <c r="F56" s="22">
        <v>0</v>
      </c>
      <c r="G56" s="22">
        <v>0</v>
      </c>
      <c r="H56" s="22">
        <v>0</v>
      </c>
      <c r="I56" s="22">
        <v>0</v>
      </c>
      <c r="J56" s="22">
        <v>0</v>
      </c>
      <c r="K56" s="22">
        <v>0</v>
      </c>
      <c r="L56" s="22">
        <v>0</v>
      </c>
      <c r="M56" s="388">
        <v>452.87958434172106</v>
      </c>
      <c r="N56" s="25">
        <v>0.19209999999999999</v>
      </c>
      <c r="O56" s="24">
        <v>0</v>
      </c>
      <c r="P56" s="24">
        <v>31.905666680386187</v>
      </c>
      <c r="Q56" s="24">
        <v>24.871346467387657</v>
      </c>
      <c r="R56" s="22">
        <v>7.0343202129985292</v>
      </c>
      <c r="S56" s="24">
        <v>0</v>
      </c>
      <c r="T56" s="24">
        <f t="shared" si="4"/>
        <v>31.905666680386187</v>
      </c>
      <c r="U56" s="376">
        <v>87</v>
      </c>
      <c r="V56" s="376">
        <v>22.64</v>
      </c>
      <c r="W56" s="22">
        <f t="shared" si="5"/>
        <v>16.712699999999998</v>
      </c>
      <c r="X56" s="22">
        <f t="shared" si="6"/>
        <v>43.462049887455201</v>
      </c>
      <c r="Y56" s="22">
        <v>36.427729674456671</v>
      </c>
      <c r="Z56" s="22">
        <v>7.0343202129985292</v>
      </c>
      <c r="AA56" s="371">
        <v>453.88448722929229</v>
      </c>
      <c r="AB56" s="22">
        <v>9.5755750880067297E-2</v>
      </c>
      <c r="AC56" s="24">
        <v>0</v>
      </c>
      <c r="AD56" s="384">
        <v>0</v>
      </c>
    </row>
    <row r="57" spans="1:30">
      <c r="A57" s="21" t="s">
        <v>157</v>
      </c>
      <c r="B57" s="21" t="s">
        <v>158</v>
      </c>
      <c r="C57" s="23">
        <v>104.91186146243521</v>
      </c>
      <c r="D57" s="147">
        <v>0</v>
      </c>
      <c r="E57" s="22">
        <v>0</v>
      </c>
      <c r="F57" s="22">
        <v>0</v>
      </c>
      <c r="G57" s="22">
        <v>0</v>
      </c>
      <c r="H57" s="22">
        <v>0</v>
      </c>
      <c r="I57" s="22">
        <v>0</v>
      </c>
      <c r="J57" s="22">
        <v>0</v>
      </c>
      <c r="K57" s="22">
        <v>0</v>
      </c>
      <c r="L57" s="22">
        <v>0</v>
      </c>
      <c r="M57" s="388">
        <v>164.60309298416558</v>
      </c>
      <c r="N57" s="25">
        <v>0.50329999999999997</v>
      </c>
      <c r="O57" s="24">
        <v>0</v>
      </c>
      <c r="P57" s="24">
        <v>2.009805775142437</v>
      </c>
      <c r="Q57" s="24">
        <v>2.009805775142437</v>
      </c>
      <c r="R57" s="22">
        <v>0</v>
      </c>
      <c r="S57" s="24">
        <v>1.0049028875712185</v>
      </c>
      <c r="T57" s="24">
        <f t="shared" si="4"/>
        <v>3.0147086627136552</v>
      </c>
      <c r="U57" s="376">
        <v>82.84</v>
      </c>
      <c r="V57" s="376">
        <v>8.23</v>
      </c>
      <c r="W57" s="22">
        <f t="shared" si="5"/>
        <v>41.693371999999997</v>
      </c>
      <c r="X57" s="22">
        <f t="shared" si="6"/>
        <v>23.112766414138026</v>
      </c>
      <c r="Y57" s="22">
        <v>15.073543313568278</v>
      </c>
      <c r="Z57" s="22">
        <v>8.0392231005697479</v>
      </c>
      <c r="AA57" s="371">
        <v>164.60309298416561</v>
      </c>
      <c r="AB57" s="22">
        <v>0.14041514041514039</v>
      </c>
      <c r="AC57" s="24">
        <v>5.4151404151403792E-3</v>
      </c>
      <c r="AD57" s="384">
        <v>-8772.5376966256445</v>
      </c>
    </row>
    <row r="58" spans="1:30">
      <c r="A58" s="21" t="s">
        <v>127</v>
      </c>
      <c r="B58" s="21" t="s">
        <v>128</v>
      </c>
      <c r="C58" s="23">
        <v>55.671619971445502</v>
      </c>
      <c r="D58" s="147">
        <v>0</v>
      </c>
      <c r="E58" s="22">
        <v>17.173790348592124</v>
      </c>
      <c r="F58" s="22">
        <v>17.173790348592124</v>
      </c>
      <c r="G58" s="22">
        <v>0</v>
      </c>
      <c r="H58" s="22">
        <v>3.9894644636577374</v>
      </c>
      <c r="I58" s="22">
        <v>3.0147086627136555E-2</v>
      </c>
      <c r="J58" s="22">
        <v>0</v>
      </c>
      <c r="K58" s="22">
        <v>0</v>
      </c>
      <c r="L58" s="22">
        <v>0</v>
      </c>
      <c r="M58" s="388">
        <v>218.99848628839558</v>
      </c>
      <c r="N58" s="25">
        <v>0.4098</v>
      </c>
      <c r="O58" s="24">
        <v>0</v>
      </c>
      <c r="P58" s="24">
        <v>0</v>
      </c>
      <c r="Q58" s="24">
        <v>0</v>
      </c>
      <c r="R58" s="22">
        <v>0</v>
      </c>
      <c r="S58" s="24">
        <v>0</v>
      </c>
      <c r="T58" s="24">
        <f t="shared" si="4"/>
        <v>0</v>
      </c>
      <c r="U58" s="376">
        <v>89.75</v>
      </c>
      <c r="V58" s="376">
        <v>10.95</v>
      </c>
      <c r="W58" s="22">
        <f t="shared" si="5"/>
        <v>36.77955</v>
      </c>
      <c r="X58" s="22">
        <f t="shared" si="6"/>
        <v>21.354186360888392</v>
      </c>
      <c r="Y58" s="22">
        <v>9.7978031538193804</v>
      </c>
      <c r="Z58" s="22">
        <v>11.556383207069013</v>
      </c>
      <c r="AA58" s="371">
        <v>218.99848628839564</v>
      </c>
      <c r="AB58" s="22">
        <v>9.7508374248611931E-2</v>
      </c>
      <c r="AC58" s="24">
        <v>0</v>
      </c>
      <c r="AD58" s="384">
        <v>0</v>
      </c>
    </row>
    <row r="59" spans="1:30">
      <c r="A59" s="21" t="s">
        <v>169</v>
      </c>
      <c r="B59" s="21" t="s">
        <v>170</v>
      </c>
      <c r="C59" s="23">
        <v>282.77967256254084</v>
      </c>
      <c r="D59" s="147">
        <v>0.81397133893268703</v>
      </c>
      <c r="E59" s="22">
        <v>14.350013234517</v>
      </c>
      <c r="F59" s="22">
        <v>15.163984573449687</v>
      </c>
      <c r="G59" s="22">
        <v>0</v>
      </c>
      <c r="H59" s="22">
        <v>36.920132089366568</v>
      </c>
      <c r="I59" s="22">
        <v>1.1254912340797647</v>
      </c>
      <c r="J59" s="22">
        <v>0</v>
      </c>
      <c r="K59" s="22">
        <v>52.053969576189118</v>
      </c>
      <c r="L59" s="22">
        <v>0</v>
      </c>
      <c r="M59" s="388">
        <v>970.59550298953707</v>
      </c>
      <c r="N59" s="25">
        <v>0.3422</v>
      </c>
      <c r="O59" s="24">
        <v>53.259853041274582</v>
      </c>
      <c r="P59" s="24">
        <v>27.886055130101312</v>
      </c>
      <c r="Q59" s="24">
        <v>16.83212336681791</v>
      </c>
      <c r="R59" s="22">
        <v>11.053931763283403</v>
      </c>
      <c r="S59" s="24">
        <v>3.7683858283920695</v>
      </c>
      <c r="T59" s="24">
        <f t="shared" si="4"/>
        <v>31.654440958493382</v>
      </c>
      <c r="U59" s="376">
        <v>332.14</v>
      </c>
      <c r="V59" s="376">
        <v>48.53</v>
      </c>
      <c r="W59" s="22">
        <f t="shared" si="5"/>
        <v>113.65830799999999</v>
      </c>
      <c r="X59" s="22">
        <f t="shared" si="6"/>
        <v>144.70601581025545</v>
      </c>
      <c r="Y59" s="22">
        <v>99.736611591443435</v>
      </c>
      <c r="Z59" s="22">
        <v>44.969404218812031</v>
      </c>
      <c r="AA59" s="371">
        <v>972.60530876467953</v>
      </c>
      <c r="AB59" s="22">
        <v>0.14878184861446903</v>
      </c>
      <c r="AC59" s="24">
        <v>1.3781848614469017E-2</v>
      </c>
      <c r="AD59" s="384">
        <v>-134606.67594244509</v>
      </c>
    </row>
    <row r="60" spans="1:30">
      <c r="A60" s="21" t="s">
        <v>45</v>
      </c>
      <c r="B60" s="21" t="s">
        <v>46</v>
      </c>
      <c r="C60" s="23">
        <v>56.877503436530965</v>
      </c>
      <c r="D60" s="147">
        <v>0</v>
      </c>
      <c r="E60" s="22">
        <v>3.81863097277063</v>
      </c>
      <c r="F60" s="22">
        <v>3.81863097277063</v>
      </c>
      <c r="G60" s="22">
        <v>0</v>
      </c>
      <c r="H60" s="22">
        <v>4.4215727053133618</v>
      </c>
      <c r="I60" s="22">
        <v>0</v>
      </c>
      <c r="J60" s="22">
        <v>89.014297781058531</v>
      </c>
      <c r="K60" s="22">
        <v>0</v>
      </c>
      <c r="L60" s="22">
        <v>0</v>
      </c>
      <c r="M60" s="388">
        <v>309.30910879442104</v>
      </c>
      <c r="N60" s="25">
        <v>0.59550000000000003</v>
      </c>
      <c r="O60" s="24">
        <v>217.0590237153832</v>
      </c>
      <c r="P60" s="24">
        <v>0</v>
      </c>
      <c r="Q60" s="24">
        <v>0</v>
      </c>
      <c r="R60" s="22">
        <v>0</v>
      </c>
      <c r="S60" s="24">
        <v>0</v>
      </c>
      <c r="T60" s="24">
        <f t="shared" si="4"/>
        <v>0</v>
      </c>
      <c r="U60" s="376">
        <v>184.19</v>
      </c>
      <c r="V60" s="376">
        <v>15.47</v>
      </c>
      <c r="W60" s="22">
        <f t="shared" si="5"/>
        <v>109.68514500000001</v>
      </c>
      <c r="X60" s="22">
        <f t="shared" si="6"/>
        <v>31.40321523660058</v>
      </c>
      <c r="Y60" s="22">
        <v>23.86644357981644</v>
      </c>
      <c r="Z60" s="22">
        <v>7.536771656784139</v>
      </c>
      <c r="AA60" s="371">
        <v>309.30910879442104</v>
      </c>
      <c r="AB60" s="22">
        <v>0.10152696556205329</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86.8</v>
      </c>
      <c r="N61" s="25">
        <v>0.4884</v>
      </c>
      <c r="O61" s="24">
        <v>40</v>
      </c>
      <c r="P61" s="24">
        <v>0</v>
      </c>
      <c r="Q61" s="24">
        <v>0</v>
      </c>
      <c r="R61" s="22">
        <v>0</v>
      </c>
      <c r="S61" s="24">
        <v>0</v>
      </c>
      <c r="T61" s="24">
        <f t="shared" si="4"/>
        <v>0</v>
      </c>
      <c r="U61" s="376">
        <v>42.39</v>
      </c>
      <c r="V61" s="376">
        <v>4.34</v>
      </c>
      <c r="W61" s="22">
        <f t="shared" si="5"/>
        <v>20.703275999999999</v>
      </c>
      <c r="X61" s="22">
        <f t="shared" si="6"/>
        <v>22</v>
      </c>
      <c r="Y61" s="22">
        <v>17.5</v>
      </c>
      <c r="Z61" s="22">
        <v>4.5</v>
      </c>
      <c r="AA61" s="371">
        <v>86.8</v>
      </c>
      <c r="AB61" s="22">
        <v>0.25345622119815669</v>
      </c>
      <c r="AC61" s="24">
        <v>0.11845622119815669</v>
      </c>
      <c r="AD61" s="384">
        <v>-93247.417011999816</v>
      </c>
    </row>
    <row r="62" spans="1:30">
      <c r="A62" s="21" t="s">
        <v>103</v>
      </c>
      <c r="B62" s="21" t="s">
        <v>104</v>
      </c>
      <c r="C62" s="23">
        <v>46.225532828276052</v>
      </c>
      <c r="D62" s="147">
        <v>0</v>
      </c>
      <c r="E62" s="22">
        <v>8.1799095048297197</v>
      </c>
      <c r="F62" s="22">
        <v>8.1799095048297197</v>
      </c>
      <c r="G62" s="22">
        <v>0</v>
      </c>
      <c r="H62" s="22">
        <v>0</v>
      </c>
      <c r="I62" s="22">
        <v>0</v>
      </c>
      <c r="J62" s="22">
        <v>34.25713943730284</v>
      </c>
      <c r="K62" s="22">
        <v>26.127475076851681</v>
      </c>
      <c r="L62" s="22">
        <v>0</v>
      </c>
      <c r="M62" s="388">
        <v>243.29703810986769</v>
      </c>
      <c r="N62" s="25">
        <v>0.53210000000000002</v>
      </c>
      <c r="O62" s="24">
        <v>245.1963045673773</v>
      </c>
      <c r="P62" s="24">
        <v>0</v>
      </c>
      <c r="Q62" s="24">
        <v>0</v>
      </c>
      <c r="R62" s="22">
        <v>0</v>
      </c>
      <c r="S62" s="24">
        <v>0</v>
      </c>
      <c r="T62" s="24">
        <f t="shared" si="4"/>
        <v>0</v>
      </c>
      <c r="U62" s="376">
        <v>129.46</v>
      </c>
      <c r="V62" s="376">
        <v>0</v>
      </c>
      <c r="W62" s="22">
        <f t="shared" si="5"/>
        <v>68.885666000000001</v>
      </c>
      <c r="X62" s="22">
        <f t="shared" si="6"/>
        <v>26.127475076851681</v>
      </c>
      <c r="Y62" s="22">
        <v>23.112766414138026</v>
      </c>
      <c r="Z62" s="22">
        <v>3.0147086627136552</v>
      </c>
      <c r="AA62" s="371">
        <v>243.29703810986771</v>
      </c>
      <c r="AB62" s="22">
        <v>0.10738920325471893</v>
      </c>
      <c r="AC62" s="24">
        <v>0</v>
      </c>
      <c r="AD62" s="384">
        <v>0</v>
      </c>
    </row>
    <row r="63" spans="1:30">
      <c r="A63" s="21" t="s">
        <v>357</v>
      </c>
      <c r="B63" s="21" t="s">
        <v>358</v>
      </c>
      <c r="C63" s="23">
        <v>62.203488740658422</v>
      </c>
      <c r="D63" s="147">
        <v>0</v>
      </c>
      <c r="E63" s="22">
        <v>12.239717170617441</v>
      </c>
      <c r="F63" s="22">
        <v>12.239717170617441</v>
      </c>
      <c r="G63" s="22">
        <v>0</v>
      </c>
      <c r="H63" s="22">
        <v>0</v>
      </c>
      <c r="I63" s="22">
        <v>0</v>
      </c>
      <c r="J63" s="22">
        <v>104.51994933628244</v>
      </c>
      <c r="K63" s="22">
        <v>0</v>
      </c>
      <c r="L63" s="22">
        <v>0</v>
      </c>
      <c r="M63" s="388">
        <v>323.01598418089247</v>
      </c>
      <c r="N63" s="25">
        <v>0.69210000000000005</v>
      </c>
      <c r="O63" s="24">
        <v>228.11295547866661</v>
      </c>
      <c r="P63" s="24">
        <v>0</v>
      </c>
      <c r="Q63" s="24">
        <v>0</v>
      </c>
      <c r="R63" s="22">
        <v>0</v>
      </c>
      <c r="S63" s="24">
        <v>0</v>
      </c>
      <c r="T63" s="24">
        <f t="shared" si="4"/>
        <v>0</v>
      </c>
      <c r="U63" s="376">
        <v>223.56</v>
      </c>
      <c r="V63" s="376">
        <v>16.149999999999999</v>
      </c>
      <c r="W63" s="22">
        <f t="shared" si="5"/>
        <v>154.725876</v>
      </c>
      <c r="X63" s="22">
        <f t="shared" si="6"/>
        <v>46.476758550168853</v>
      </c>
      <c r="Y63" s="22">
        <v>36.176503952563863</v>
      </c>
      <c r="Z63" s="22">
        <v>10.30025459760499</v>
      </c>
      <c r="AA63" s="371">
        <v>323.01598418089247</v>
      </c>
      <c r="AB63" s="22">
        <v>0.14388377302140368</v>
      </c>
      <c r="AC63" s="24">
        <v>8.8837730214036681E-3</v>
      </c>
      <c r="AD63" s="384">
        <v>-25556.196708632484</v>
      </c>
    </row>
    <row r="64" spans="1:30">
      <c r="A64" s="21" t="s">
        <v>239</v>
      </c>
      <c r="B64" s="21" t="s">
        <v>240</v>
      </c>
      <c r="C64" s="23">
        <v>25.6</v>
      </c>
      <c r="D64" s="147">
        <v>0</v>
      </c>
      <c r="E64" s="22">
        <v>0</v>
      </c>
      <c r="F64" s="22">
        <v>0</v>
      </c>
      <c r="G64" s="22">
        <v>0</v>
      </c>
      <c r="H64" s="22">
        <v>0</v>
      </c>
      <c r="I64" s="22">
        <v>0</v>
      </c>
      <c r="J64" s="22">
        <v>0</v>
      </c>
      <c r="K64" s="22">
        <v>0</v>
      </c>
      <c r="L64" s="22">
        <v>0</v>
      </c>
      <c r="M64" s="388">
        <v>41.400000000000006</v>
      </c>
      <c r="N64" s="25">
        <v>0</v>
      </c>
      <c r="O64" s="24">
        <v>0</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150.84597245331562</v>
      </c>
      <c r="D65" s="147">
        <v>0</v>
      </c>
      <c r="E65" s="22">
        <v>24.388993081353473</v>
      </c>
      <c r="F65" s="22">
        <v>24.388993081353473</v>
      </c>
      <c r="G65" s="22">
        <v>0</v>
      </c>
      <c r="H65" s="22">
        <v>1.5073543313568276</v>
      </c>
      <c r="I65" s="22">
        <v>0</v>
      </c>
      <c r="J65" s="22">
        <v>4.9039260913475466</v>
      </c>
      <c r="K65" s="22">
        <v>0</v>
      </c>
      <c r="L65" s="22">
        <v>0</v>
      </c>
      <c r="M65" s="388">
        <v>405.3677758173539</v>
      </c>
      <c r="N65" s="25">
        <v>0.47520000000000001</v>
      </c>
      <c r="O65" s="24">
        <v>285.39242007022602</v>
      </c>
      <c r="P65" s="24">
        <v>5.0245144378560926</v>
      </c>
      <c r="Q65" s="24">
        <v>4.0196115502848739</v>
      </c>
      <c r="R65" s="22">
        <v>1.0049028875712185</v>
      </c>
      <c r="S65" s="24">
        <v>0</v>
      </c>
      <c r="T65" s="24">
        <f t="shared" si="4"/>
        <v>5.0245144378560926</v>
      </c>
      <c r="U65" s="376">
        <v>192.63</v>
      </c>
      <c r="V65" s="376">
        <v>20.27</v>
      </c>
      <c r="W65" s="22">
        <f t="shared" si="5"/>
        <v>91.537775999999994</v>
      </c>
      <c r="X65" s="22">
        <f t="shared" si="6"/>
        <v>73.609136514591754</v>
      </c>
      <c r="Y65" s="22">
        <v>67.077267745378833</v>
      </c>
      <c r="Z65" s="22">
        <v>6.5318687692129203</v>
      </c>
      <c r="AA65" s="371">
        <v>409.34719125213587</v>
      </c>
      <c r="AB65" s="22">
        <v>0.17982079292991285</v>
      </c>
      <c r="AC65" s="24">
        <v>4.4820792929912839E-2</v>
      </c>
      <c r="AD65" s="384">
        <v>-185096.2134980296</v>
      </c>
    </row>
    <row r="66" spans="1:30">
      <c r="A66" s="21" t="s">
        <v>311</v>
      </c>
      <c r="B66" s="21" t="s">
        <v>312</v>
      </c>
      <c r="C66" s="23">
        <v>189.72566517344606</v>
      </c>
      <c r="D66" s="147">
        <v>23.946835810822133</v>
      </c>
      <c r="E66" s="22">
        <v>61.912066903262769</v>
      </c>
      <c r="F66" s="22">
        <v>85.858902714084905</v>
      </c>
      <c r="G66" s="22">
        <v>1.738481995498208</v>
      </c>
      <c r="H66" s="22">
        <v>6.7931435199814372</v>
      </c>
      <c r="I66" s="22">
        <v>0.50245144378560924</v>
      </c>
      <c r="J66" s="22">
        <v>14.832366620551186</v>
      </c>
      <c r="K66" s="22">
        <v>0</v>
      </c>
      <c r="L66" s="22">
        <v>0</v>
      </c>
      <c r="M66" s="388">
        <v>573.78949977429011</v>
      </c>
      <c r="N66" s="25">
        <v>0.55049999999999999</v>
      </c>
      <c r="O66" s="24">
        <v>251.22572189280461</v>
      </c>
      <c r="P66" s="24">
        <v>0</v>
      </c>
      <c r="Q66" s="24">
        <v>0</v>
      </c>
      <c r="R66" s="22">
        <v>0</v>
      </c>
      <c r="S66" s="24">
        <v>0</v>
      </c>
      <c r="T66" s="24">
        <f t="shared" si="4"/>
        <v>0</v>
      </c>
      <c r="U66" s="376">
        <v>315.87</v>
      </c>
      <c r="V66" s="376">
        <v>0</v>
      </c>
      <c r="W66" s="22">
        <f t="shared" si="5"/>
        <v>173.88643500000001</v>
      </c>
      <c r="X66" s="22">
        <f t="shared" si="6"/>
        <v>71.850556461342123</v>
      </c>
      <c r="Y66" s="22">
        <v>51.752498709917752</v>
      </c>
      <c r="Z66" s="22">
        <v>20.098057751424371</v>
      </c>
      <c r="AA66" s="371">
        <v>573.77945074541435</v>
      </c>
      <c r="AB66" s="22">
        <v>0.12522330029072823</v>
      </c>
      <c r="AC66" s="24">
        <v>0</v>
      </c>
      <c r="AD66" s="384">
        <v>0</v>
      </c>
    </row>
    <row r="67" spans="1:30">
      <c r="A67" s="21" t="s">
        <v>73</v>
      </c>
      <c r="B67" s="21" t="s">
        <v>74</v>
      </c>
      <c r="C67" s="23">
        <v>121.39226881860318</v>
      </c>
      <c r="D67" s="147">
        <v>13.284816173691508</v>
      </c>
      <c r="E67" s="22">
        <v>33.021108885590237</v>
      </c>
      <c r="F67" s="22">
        <v>46.305925059281748</v>
      </c>
      <c r="G67" s="22">
        <v>0</v>
      </c>
      <c r="H67" s="22">
        <v>5.6475542281502475</v>
      </c>
      <c r="I67" s="22">
        <v>0.43210824165562395</v>
      </c>
      <c r="J67" s="22">
        <v>0</v>
      </c>
      <c r="K67" s="22">
        <v>1.9394625730124515</v>
      </c>
      <c r="L67" s="22">
        <v>7.0343202129985294E-2</v>
      </c>
      <c r="M67" s="388">
        <v>357.99665369724664</v>
      </c>
      <c r="N67" s="25">
        <v>0.53320000000000001</v>
      </c>
      <c r="O67" s="24">
        <v>364.7797481883523</v>
      </c>
      <c r="P67" s="24">
        <v>1.7585800532496323</v>
      </c>
      <c r="Q67" s="24">
        <v>1.7585800532496323</v>
      </c>
      <c r="R67" s="22">
        <v>0</v>
      </c>
      <c r="S67" s="24">
        <v>1.0049028875712185</v>
      </c>
      <c r="T67" s="24">
        <f t="shared" si="4"/>
        <v>2.7634829408208508</v>
      </c>
      <c r="U67" s="376">
        <v>190.88</v>
      </c>
      <c r="V67" s="376">
        <v>17.899999999999999</v>
      </c>
      <c r="W67" s="22">
        <f t="shared" si="5"/>
        <v>101.777216</v>
      </c>
      <c r="X67" s="22">
        <f t="shared" si="6"/>
        <v>47.732887159632874</v>
      </c>
      <c r="Y67" s="22">
        <v>35.674052508778253</v>
      </c>
      <c r="Z67" s="22">
        <v>12.058834650854621</v>
      </c>
      <c r="AA67" s="371">
        <v>358.63979154529216</v>
      </c>
      <c r="AB67" s="22">
        <v>0.13309423071534646</v>
      </c>
      <c r="AC67" s="24">
        <v>0</v>
      </c>
      <c r="AD67" s="384">
        <v>0</v>
      </c>
    </row>
    <row r="68" spans="1:30">
      <c r="A68" s="21" t="s">
        <v>475</v>
      </c>
      <c r="B68" s="21" t="s">
        <v>476</v>
      </c>
      <c r="C68" s="23">
        <v>569.41817221335521</v>
      </c>
      <c r="D68" s="147">
        <v>0</v>
      </c>
      <c r="E68" s="22">
        <v>111.58441663590811</v>
      </c>
      <c r="F68" s="22">
        <v>111.58441663590811</v>
      </c>
      <c r="G68" s="22">
        <v>0</v>
      </c>
      <c r="H68" s="22">
        <v>78.322131057300766</v>
      </c>
      <c r="I68" s="22">
        <v>6.5620158558400572</v>
      </c>
      <c r="J68" s="22">
        <v>564.50419709313201</v>
      </c>
      <c r="K68" s="22">
        <v>4.6225532828276048</v>
      </c>
      <c r="L68" s="22">
        <v>0</v>
      </c>
      <c r="M68" s="388">
        <v>2527.0292913753433</v>
      </c>
      <c r="N68" s="25">
        <v>0.48470000000000002</v>
      </c>
      <c r="O68" s="24">
        <v>1337.5257433572917</v>
      </c>
      <c r="P68" s="24">
        <v>24.36889502360205</v>
      </c>
      <c r="Q68" s="24">
        <v>16.83212336681791</v>
      </c>
      <c r="R68" s="22">
        <v>7.536771656784139</v>
      </c>
      <c r="S68" s="24">
        <v>4.2708372721776788</v>
      </c>
      <c r="T68" s="24">
        <f t="shared" si="4"/>
        <v>28.63973229577973</v>
      </c>
      <c r="U68" s="376">
        <v>1224.8499999999999</v>
      </c>
      <c r="V68" s="376">
        <v>126.35</v>
      </c>
      <c r="W68" s="22">
        <f t="shared" si="5"/>
        <v>593.68479500000001</v>
      </c>
      <c r="X68" s="22">
        <f t="shared" si="6"/>
        <v>286.39732295779731</v>
      </c>
      <c r="Y68" s="22">
        <v>181.63619692849775</v>
      </c>
      <c r="Z68" s="22">
        <v>104.76112602929953</v>
      </c>
      <c r="AA68" s="371">
        <v>2540.2839604624073</v>
      </c>
      <c r="AB68" s="22">
        <v>0.11274224748703467</v>
      </c>
      <c r="AC68" s="24">
        <v>0</v>
      </c>
      <c r="AD68" s="384">
        <v>0</v>
      </c>
    </row>
    <row r="69" spans="1:30">
      <c r="A69" s="21" t="s">
        <v>373</v>
      </c>
      <c r="B69" s="21" t="s">
        <v>374</v>
      </c>
      <c r="C69" s="23">
        <v>550.64658627352492</v>
      </c>
      <c r="D69" s="147">
        <v>29.865713818616612</v>
      </c>
      <c r="E69" s="22">
        <v>0</v>
      </c>
      <c r="F69" s="22">
        <v>29.865713818616612</v>
      </c>
      <c r="G69" s="22">
        <v>0</v>
      </c>
      <c r="H69" s="22">
        <v>0</v>
      </c>
      <c r="I69" s="22">
        <v>0</v>
      </c>
      <c r="J69" s="22">
        <v>0</v>
      </c>
      <c r="K69" s="22">
        <v>0</v>
      </c>
      <c r="L69" s="22">
        <v>0</v>
      </c>
      <c r="M69" s="388">
        <v>1372.255187151753</v>
      </c>
      <c r="N69" s="25">
        <v>0.1739</v>
      </c>
      <c r="O69" s="24">
        <v>0</v>
      </c>
      <c r="P69" s="24">
        <v>56.777013147773843</v>
      </c>
      <c r="Q69" s="24">
        <v>48.989015769096902</v>
      </c>
      <c r="R69" s="22">
        <v>7.787997378676943</v>
      </c>
      <c r="S69" s="24">
        <v>37.935084005813501</v>
      </c>
      <c r="T69" s="24">
        <f t="shared" si="4"/>
        <v>94.712097153587337</v>
      </c>
      <c r="U69" s="376">
        <v>238.64</v>
      </c>
      <c r="V69" s="376">
        <v>68.61</v>
      </c>
      <c r="W69" s="22">
        <f t="shared" si="5"/>
        <v>41.499496000000001</v>
      </c>
      <c r="X69" s="22">
        <f t="shared" si="6"/>
        <v>156.01117329543166</v>
      </c>
      <c r="Y69" s="22">
        <v>82.904488224625524</v>
      </c>
      <c r="Z69" s="22">
        <v>73.106685070806151</v>
      </c>
      <c r="AA69" s="371">
        <v>1373.76254148311</v>
      </c>
      <c r="AB69" s="22">
        <v>0.11356487645019238</v>
      </c>
      <c r="AC69" s="24">
        <v>0</v>
      </c>
      <c r="AD69" s="384">
        <v>0</v>
      </c>
    </row>
    <row r="70" spans="1:30">
      <c r="A70" s="21" t="s">
        <v>525</v>
      </c>
      <c r="B70" s="21" t="s">
        <v>526</v>
      </c>
      <c r="C70" s="23">
        <v>12.6</v>
      </c>
      <c r="D70" s="147">
        <v>0</v>
      </c>
      <c r="E70" s="22">
        <v>0</v>
      </c>
      <c r="F70" s="22">
        <v>0</v>
      </c>
      <c r="G70" s="22">
        <v>0</v>
      </c>
      <c r="H70" s="22">
        <v>0</v>
      </c>
      <c r="I70" s="22">
        <v>0</v>
      </c>
      <c r="J70" s="22">
        <v>0</v>
      </c>
      <c r="K70" s="22">
        <v>0</v>
      </c>
      <c r="L70" s="22">
        <v>0</v>
      </c>
      <c r="M70" s="388">
        <v>17.600000000000001</v>
      </c>
      <c r="N70" s="25">
        <v>1</v>
      </c>
      <c r="O70" s="24">
        <v>14</v>
      </c>
      <c r="P70" s="24">
        <v>0</v>
      </c>
      <c r="Q70" s="24">
        <v>0</v>
      </c>
      <c r="R70" s="22">
        <v>0</v>
      </c>
      <c r="S70" s="24">
        <v>0</v>
      </c>
      <c r="T70" s="24">
        <f t="shared" si="4"/>
        <v>0</v>
      </c>
      <c r="U70" s="376">
        <v>17.600000000000001</v>
      </c>
      <c r="V70" s="376">
        <v>0</v>
      </c>
      <c r="W70" s="22">
        <f t="shared" si="5"/>
        <v>17.600000000000001</v>
      </c>
      <c r="X70" s="22">
        <f t="shared" si="6"/>
        <v>2</v>
      </c>
      <c r="Y70" s="22">
        <v>2</v>
      </c>
      <c r="Z70" s="22">
        <v>0</v>
      </c>
      <c r="AA70" s="371">
        <v>17.600000000000001</v>
      </c>
      <c r="AB70" s="22">
        <v>0.11363636363636363</v>
      </c>
      <c r="AC70" s="24">
        <v>0</v>
      </c>
      <c r="AD70" s="384">
        <v>0</v>
      </c>
    </row>
    <row r="71" spans="1:30">
      <c r="A71" s="21" t="s">
        <v>469</v>
      </c>
      <c r="B71" s="21" t="s">
        <v>470</v>
      </c>
      <c r="C71" s="23">
        <v>980.8053163272607</v>
      </c>
      <c r="D71" s="147">
        <v>30.739979330803575</v>
      </c>
      <c r="E71" s="22">
        <v>213.17004954048258</v>
      </c>
      <c r="F71" s="22">
        <v>243.91002887128616</v>
      </c>
      <c r="G71" s="22">
        <v>0</v>
      </c>
      <c r="H71" s="22">
        <v>80.854486333980233</v>
      </c>
      <c r="I71" s="22">
        <v>6.4414275093315103</v>
      </c>
      <c r="J71" s="22">
        <v>291.12036652938201</v>
      </c>
      <c r="K71" s="22">
        <v>2.8137280851994118</v>
      </c>
      <c r="L71" s="22">
        <v>0</v>
      </c>
      <c r="M71" s="388">
        <v>3519.9135404112094</v>
      </c>
      <c r="N71" s="25">
        <v>0.54749999999999999</v>
      </c>
      <c r="O71" s="24">
        <v>1904.290971947459</v>
      </c>
      <c r="P71" s="24">
        <v>91.194937047088075</v>
      </c>
      <c r="Q71" s="24">
        <v>63.308881916986763</v>
      </c>
      <c r="R71" s="22">
        <v>27.886055130101312</v>
      </c>
      <c r="S71" s="24">
        <v>32.156892402278991</v>
      </c>
      <c r="T71" s="24">
        <f t="shared" si="4"/>
        <v>123.35182944936707</v>
      </c>
      <c r="U71" s="376">
        <v>1929.26</v>
      </c>
      <c r="V71" s="376">
        <v>176</v>
      </c>
      <c r="W71" s="22">
        <f t="shared" si="5"/>
        <v>1056.2698499999999</v>
      </c>
      <c r="X71" s="22">
        <f t="shared" si="6"/>
        <v>538.62794773817313</v>
      </c>
      <c r="Y71" s="22">
        <v>304.73680065597199</v>
      </c>
      <c r="Z71" s="22">
        <v>233.89114708220112</v>
      </c>
      <c r="AA71" s="371">
        <v>3615.9923054918941</v>
      </c>
      <c r="AB71" s="22">
        <v>0.14895716092097769</v>
      </c>
      <c r="AC71" s="24">
        <v>1.3957160920977679E-2</v>
      </c>
      <c r="AD71" s="384">
        <v>-464857.49172729196</v>
      </c>
    </row>
    <row r="72" spans="1:30">
      <c r="A72" s="21" t="s">
        <v>587</v>
      </c>
      <c r="B72" s="21" t="s">
        <v>588</v>
      </c>
      <c r="C72" s="23">
        <v>988.41243118617479</v>
      </c>
      <c r="D72" s="147">
        <v>25.022081900523339</v>
      </c>
      <c r="E72" s="22">
        <v>182.47026632518185</v>
      </c>
      <c r="F72" s="22">
        <v>207.4923482257052</v>
      </c>
      <c r="G72" s="22">
        <v>0</v>
      </c>
      <c r="H72" s="22">
        <v>49.893428367911</v>
      </c>
      <c r="I72" s="22">
        <v>3.2960814712335966</v>
      </c>
      <c r="J72" s="22">
        <v>3.2156892402278991</v>
      </c>
      <c r="K72" s="22">
        <v>14.269621003511302</v>
      </c>
      <c r="L72" s="22">
        <v>0</v>
      </c>
      <c r="M72" s="388">
        <v>3275.0388047678557</v>
      </c>
      <c r="N72" s="25">
        <v>0.58460000000000001</v>
      </c>
      <c r="O72" s="24">
        <v>3267.9441903816023</v>
      </c>
      <c r="P72" s="24">
        <v>345.43536760260633</v>
      </c>
      <c r="Q72" s="24">
        <v>250.22081900523341</v>
      </c>
      <c r="R72" s="22">
        <v>95.214548597372954</v>
      </c>
      <c r="S72" s="24">
        <v>80.894682449483085</v>
      </c>
      <c r="T72" s="24">
        <f t="shared" si="4"/>
        <v>426.3300500520894</v>
      </c>
      <c r="U72" s="376">
        <v>1914.59</v>
      </c>
      <c r="V72" s="376">
        <v>163.75</v>
      </c>
      <c r="W72" s="22">
        <f t="shared" si="5"/>
        <v>1119.2693139999999</v>
      </c>
      <c r="X72" s="22">
        <f t="shared" si="6"/>
        <v>381.86309727706305</v>
      </c>
      <c r="Y72" s="22">
        <v>207.26122056156382</v>
      </c>
      <c r="Z72" s="22">
        <v>174.6018767154992</v>
      </c>
      <c r="AA72" s="371">
        <v>3327.283705892683</v>
      </c>
      <c r="AB72" s="22">
        <v>0.11476721885806618</v>
      </c>
      <c r="AC72" s="24">
        <v>0</v>
      </c>
      <c r="AD72" s="384">
        <v>0</v>
      </c>
    </row>
    <row r="73" spans="1:30">
      <c r="A73" s="21" t="s">
        <v>95</v>
      </c>
      <c r="B73" s="21" t="s">
        <v>96</v>
      </c>
      <c r="C73" s="23">
        <v>1578.1597888150959</v>
      </c>
      <c r="D73" s="147">
        <v>132.06433748460952</v>
      </c>
      <c r="E73" s="22">
        <v>346.56085883668612</v>
      </c>
      <c r="F73" s="22">
        <v>478.62519632129568</v>
      </c>
      <c r="G73" s="22">
        <v>0</v>
      </c>
      <c r="H73" s="22">
        <v>129.33100163041581</v>
      </c>
      <c r="I73" s="22">
        <v>6.2303979029415544</v>
      </c>
      <c r="J73" s="22">
        <v>206.97984775304386</v>
      </c>
      <c r="K73" s="22">
        <v>0</v>
      </c>
      <c r="L73" s="22">
        <v>0</v>
      </c>
      <c r="M73" s="388">
        <v>5851.3384847208154</v>
      </c>
      <c r="N73" s="25">
        <v>0.58520000000000005</v>
      </c>
      <c r="O73" s="24">
        <v>5369.1961282930206</v>
      </c>
      <c r="P73" s="24">
        <v>1045.6014545178527</v>
      </c>
      <c r="Q73" s="24">
        <v>683.83641499221415</v>
      </c>
      <c r="R73" s="22">
        <v>361.76503952563866</v>
      </c>
      <c r="S73" s="24">
        <v>244.94507884548452</v>
      </c>
      <c r="T73" s="24">
        <f t="shared" ref="T73:T136" si="7">S73+P73</f>
        <v>1290.5465333633372</v>
      </c>
      <c r="U73" s="376">
        <v>3424.2</v>
      </c>
      <c r="V73" s="376">
        <v>292.57</v>
      </c>
      <c r="W73" s="22">
        <f t="shared" ref="W73:W136" si="8">U73*N73</f>
        <v>2003.84184</v>
      </c>
      <c r="X73" s="22">
        <f t="shared" ref="X73:X136" si="9">Y73+Z73</f>
        <v>661.47732574375459</v>
      </c>
      <c r="Y73" s="22">
        <v>463.00900544843893</v>
      </c>
      <c r="Z73" s="22">
        <v>198.46832029531566</v>
      </c>
      <c r="AA73" s="371">
        <v>5887.0326352873453</v>
      </c>
      <c r="AB73" s="22">
        <v>0.11236175620614136</v>
      </c>
      <c r="AC73" s="24">
        <v>0</v>
      </c>
      <c r="AD73" s="384">
        <v>0</v>
      </c>
    </row>
    <row r="74" spans="1:30">
      <c r="A74" s="21" t="s">
        <v>241</v>
      </c>
      <c r="B74" s="21" t="s">
        <v>242</v>
      </c>
      <c r="C74" s="23">
        <v>17.96</v>
      </c>
      <c r="D74" s="147">
        <v>0</v>
      </c>
      <c r="E74" s="22">
        <v>0</v>
      </c>
      <c r="F74" s="22">
        <v>0</v>
      </c>
      <c r="G74" s="22">
        <v>0</v>
      </c>
      <c r="H74" s="22">
        <v>2.82</v>
      </c>
      <c r="I74" s="22">
        <v>0</v>
      </c>
      <c r="J74" s="22">
        <v>0</v>
      </c>
      <c r="K74" s="22">
        <v>0</v>
      </c>
      <c r="L74" s="22">
        <v>0</v>
      </c>
      <c r="M74" s="388">
        <v>83.259999999999991</v>
      </c>
      <c r="N74" s="25">
        <v>0.74419999999999997</v>
      </c>
      <c r="O74" s="24">
        <v>86</v>
      </c>
      <c r="P74" s="24">
        <v>6</v>
      </c>
      <c r="Q74" s="24">
        <v>1</v>
      </c>
      <c r="R74" s="22">
        <v>5</v>
      </c>
      <c r="S74" s="24">
        <v>5</v>
      </c>
      <c r="T74" s="24">
        <f t="shared" si="7"/>
        <v>11</v>
      </c>
      <c r="U74" s="376">
        <v>61.96</v>
      </c>
      <c r="V74" s="376">
        <v>0</v>
      </c>
      <c r="W74" s="22">
        <f t="shared" si="8"/>
        <v>46.110631999999995</v>
      </c>
      <c r="X74" s="22">
        <f t="shared" si="9"/>
        <v>7.75</v>
      </c>
      <c r="Y74" s="22">
        <v>5.75</v>
      </c>
      <c r="Z74" s="22">
        <v>2</v>
      </c>
      <c r="AA74" s="371">
        <v>83.26</v>
      </c>
      <c r="AB74" s="22">
        <v>9.3081912082632709E-2</v>
      </c>
      <c r="AC74" s="24">
        <v>0</v>
      </c>
      <c r="AD74" s="384">
        <v>0</v>
      </c>
    </row>
    <row r="75" spans="1:30">
      <c r="A75" s="21" t="s">
        <v>385</v>
      </c>
      <c r="B75" s="21" t="s">
        <v>386</v>
      </c>
      <c r="C75" s="23">
        <v>575.0054322682513</v>
      </c>
      <c r="D75" s="147">
        <v>25.363748882297553</v>
      </c>
      <c r="E75" s="22">
        <v>132.49644572626516</v>
      </c>
      <c r="F75" s="22">
        <v>157.86019460856272</v>
      </c>
      <c r="G75" s="22">
        <v>0</v>
      </c>
      <c r="H75" s="22">
        <v>38.628466998237634</v>
      </c>
      <c r="I75" s="22">
        <v>2.3916688724194999</v>
      </c>
      <c r="J75" s="22">
        <v>64.916726537100715</v>
      </c>
      <c r="K75" s="22">
        <v>24.51963045673773</v>
      </c>
      <c r="L75" s="22">
        <v>0</v>
      </c>
      <c r="M75" s="388">
        <v>1916.6713755223366</v>
      </c>
      <c r="N75" s="25">
        <v>0.41880000000000001</v>
      </c>
      <c r="O75" s="24">
        <v>200.98057751424369</v>
      </c>
      <c r="P75" s="24">
        <v>15.324769035461081</v>
      </c>
      <c r="Q75" s="24">
        <v>6.2806430473201154</v>
      </c>
      <c r="R75" s="22">
        <v>9.0441259881409657</v>
      </c>
      <c r="S75" s="24">
        <v>1.0049028875712185</v>
      </c>
      <c r="T75" s="24">
        <f t="shared" si="7"/>
        <v>16.329671923032301</v>
      </c>
      <c r="U75" s="376">
        <v>802.7</v>
      </c>
      <c r="V75" s="376">
        <v>95.83</v>
      </c>
      <c r="W75" s="22">
        <f t="shared" si="8"/>
        <v>336.17076000000003</v>
      </c>
      <c r="X75" s="22">
        <f t="shared" si="9"/>
        <v>212.03450927752709</v>
      </c>
      <c r="Y75" s="22">
        <v>132.64718115940084</v>
      </c>
      <c r="Z75" s="22">
        <v>79.387328118126263</v>
      </c>
      <c r="AA75" s="371">
        <v>1947.1199330157442</v>
      </c>
      <c r="AB75" s="22">
        <v>0.10889648125019354</v>
      </c>
      <c r="AC75" s="24">
        <v>0</v>
      </c>
      <c r="AD75" s="384">
        <v>0</v>
      </c>
    </row>
    <row r="76" spans="1:30">
      <c r="A76" s="21" t="s">
        <v>429</v>
      </c>
      <c r="B76" s="21" t="s">
        <v>430</v>
      </c>
      <c r="C76" s="23">
        <v>5956.4111306452623</v>
      </c>
      <c r="D76" s="147">
        <v>114.14691899921471</v>
      </c>
      <c r="E76" s="22">
        <v>930.40943651556404</v>
      </c>
      <c r="F76" s="22">
        <v>1044.5563555147787</v>
      </c>
      <c r="G76" s="22">
        <v>0</v>
      </c>
      <c r="H76" s="22">
        <v>360.31797936753611</v>
      </c>
      <c r="I76" s="22">
        <v>41.542685372194178</v>
      </c>
      <c r="J76" s="22">
        <v>888.47483901721716</v>
      </c>
      <c r="K76" s="22">
        <v>116.2873621497414</v>
      </c>
      <c r="L76" s="22">
        <v>0</v>
      </c>
      <c r="M76" s="388">
        <v>20158.492611082904</v>
      </c>
      <c r="N76" s="25">
        <v>0.36670000000000003</v>
      </c>
      <c r="O76" s="24">
        <v>2238.9236335086748</v>
      </c>
      <c r="P76" s="24">
        <v>3314.1697232098786</v>
      </c>
      <c r="Q76" s="24">
        <v>2137.6796675858745</v>
      </c>
      <c r="R76" s="22">
        <v>1176.4900556240041</v>
      </c>
      <c r="S76" s="24">
        <v>490.6438348566474</v>
      </c>
      <c r="T76" s="24">
        <f t="shared" si="7"/>
        <v>3804.8135580665262</v>
      </c>
      <c r="U76" s="376">
        <v>7392.12</v>
      </c>
      <c r="V76" s="376">
        <v>1007.92</v>
      </c>
      <c r="W76" s="22">
        <f t="shared" si="8"/>
        <v>2710.6904039999999</v>
      </c>
      <c r="X76" s="22">
        <f t="shared" si="9"/>
        <v>2740.1189486848198</v>
      </c>
      <c r="Y76" s="22">
        <v>1433.9964205641288</v>
      </c>
      <c r="Z76" s="22">
        <v>1306.1225281206912</v>
      </c>
      <c r="AA76" s="371">
        <v>20180.90194547574</v>
      </c>
      <c r="AB76" s="22">
        <v>0.13577782381025413</v>
      </c>
      <c r="AC76" s="24">
        <v>7.7782381025412461E-4</v>
      </c>
      <c r="AD76" s="384">
        <v>-160454.96075402849</v>
      </c>
    </row>
    <row r="77" spans="1:30">
      <c r="A77" s="21" t="s">
        <v>245</v>
      </c>
      <c r="B77" s="21" t="s">
        <v>246</v>
      </c>
      <c r="C77" s="23">
        <v>927.5655613437375</v>
      </c>
      <c r="D77" s="147">
        <v>27.594633292705659</v>
      </c>
      <c r="E77" s="22">
        <v>200.43792995495525</v>
      </c>
      <c r="F77" s="22">
        <v>228.0325632476609</v>
      </c>
      <c r="G77" s="22">
        <v>0</v>
      </c>
      <c r="H77" s="22">
        <v>92.260134107913572</v>
      </c>
      <c r="I77" s="22">
        <v>0.54264755928845798</v>
      </c>
      <c r="J77" s="22">
        <v>90.220181246143994</v>
      </c>
      <c r="K77" s="22">
        <v>2.2107863526566809</v>
      </c>
      <c r="L77" s="22">
        <v>0</v>
      </c>
      <c r="M77" s="388">
        <v>3248.3787311605911</v>
      </c>
      <c r="N77" s="25">
        <v>0.40739999999999998</v>
      </c>
      <c r="O77" s="24">
        <v>535.61323907545943</v>
      </c>
      <c r="P77" s="24">
        <v>219.57128093431123</v>
      </c>
      <c r="Q77" s="24">
        <v>148.72562736054033</v>
      </c>
      <c r="R77" s="22">
        <v>70.845653573770903</v>
      </c>
      <c r="S77" s="24">
        <v>38.186309727706302</v>
      </c>
      <c r="T77" s="24">
        <f t="shared" si="7"/>
        <v>257.75759066201755</v>
      </c>
      <c r="U77" s="376">
        <v>1323.71</v>
      </c>
      <c r="V77" s="376">
        <v>162.41999999999999</v>
      </c>
      <c r="W77" s="22">
        <f t="shared" si="8"/>
        <v>539.27945399999999</v>
      </c>
      <c r="X77" s="22">
        <f t="shared" si="9"/>
        <v>386.13393454924073</v>
      </c>
      <c r="Y77" s="22">
        <v>252.98430194605425</v>
      </c>
      <c r="Z77" s="22">
        <v>133.14963260318646</v>
      </c>
      <c r="AA77" s="371">
        <v>3249.9664777229536</v>
      </c>
      <c r="AB77" s="22">
        <v>0.11881166688826292</v>
      </c>
      <c r="AC77" s="24">
        <v>0</v>
      </c>
      <c r="AD77" s="384">
        <v>0</v>
      </c>
    </row>
    <row r="78" spans="1:30">
      <c r="A78" s="21" t="s">
        <v>151</v>
      </c>
      <c r="B78" s="21" t="s">
        <v>152</v>
      </c>
      <c r="C78" s="23">
        <v>421.92857540452752</v>
      </c>
      <c r="D78" s="147">
        <v>70.262809898979597</v>
      </c>
      <c r="E78" s="22">
        <v>192.80066800941398</v>
      </c>
      <c r="F78" s="22">
        <v>263.06347790839357</v>
      </c>
      <c r="G78" s="22">
        <v>0</v>
      </c>
      <c r="H78" s="22">
        <v>33.865227311150065</v>
      </c>
      <c r="I78" s="22">
        <v>1.025000945322643</v>
      </c>
      <c r="J78" s="22">
        <v>69.700064281939717</v>
      </c>
      <c r="K78" s="22">
        <v>38.58827088273479</v>
      </c>
      <c r="L78" s="22">
        <v>0</v>
      </c>
      <c r="M78" s="388">
        <v>1566.9752196764284</v>
      </c>
      <c r="N78" s="25">
        <v>0.77259999999999995</v>
      </c>
      <c r="O78" s="24">
        <v>1568.6534074986721</v>
      </c>
      <c r="P78" s="24">
        <v>122.09570083990303</v>
      </c>
      <c r="Q78" s="24">
        <v>81.648359615161496</v>
      </c>
      <c r="R78" s="22">
        <v>40.447341224741542</v>
      </c>
      <c r="S78" s="24">
        <v>19.093154863853151</v>
      </c>
      <c r="T78" s="24">
        <f t="shared" si="7"/>
        <v>141.18885570375619</v>
      </c>
      <c r="U78" s="376">
        <v>1209.8599999999999</v>
      </c>
      <c r="V78" s="376">
        <v>78.349999999999994</v>
      </c>
      <c r="W78" s="22">
        <f t="shared" si="8"/>
        <v>934.7378359999999</v>
      </c>
      <c r="X78" s="22">
        <f t="shared" si="9"/>
        <v>269.56519959097938</v>
      </c>
      <c r="Y78" s="22">
        <v>116.56873495826135</v>
      </c>
      <c r="Z78" s="22">
        <v>152.99646463271802</v>
      </c>
      <c r="AA78" s="371">
        <v>1575.185276267885</v>
      </c>
      <c r="AB78" s="22">
        <v>0.1711323763955343</v>
      </c>
      <c r="AC78" s="24">
        <v>3.6132376395534294E-2</v>
      </c>
      <c r="AD78" s="384">
        <v>-522446.67096771515</v>
      </c>
    </row>
    <row r="79" spans="1:30">
      <c r="A79" s="21" t="s">
        <v>573</v>
      </c>
      <c r="B79" s="21" t="s">
        <v>574</v>
      </c>
      <c r="C79" s="23">
        <v>21</v>
      </c>
      <c r="D79" s="147">
        <v>0</v>
      </c>
      <c r="E79" s="22">
        <v>0</v>
      </c>
      <c r="F79" s="22">
        <v>0</v>
      </c>
      <c r="G79" s="22">
        <v>0</v>
      </c>
      <c r="H79" s="22">
        <v>1.36</v>
      </c>
      <c r="I79" s="22">
        <v>0</v>
      </c>
      <c r="J79" s="22">
        <v>0</v>
      </c>
      <c r="K79" s="22">
        <v>0</v>
      </c>
      <c r="L79" s="22">
        <v>0</v>
      </c>
      <c r="M79" s="388">
        <v>74.679999999999993</v>
      </c>
      <c r="N79" s="25">
        <v>0.59379999999999999</v>
      </c>
      <c r="O79" s="24">
        <v>80</v>
      </c>
      <c r="P79" s="24">
        <v>0</v>
      </c>
      <c r="Q79" s="24">
        <v>0</v>
      </c>
      <c r="R79" s="22">
        <v>0</v>
      </c>
      <c r="S79" s="24">
        <v>0</v>
      </c>
      <c r="T79" s="24">
        <f t="shared" si="7"/>
        <v>0</v>
      </c>
      <c r="U79" s="376">
        <v>44.34</v>
      </c>
      <c r="V79" s="376">
        <v>3.73</v>
      </c>
      <c r="W79" s="22">
        <f t="shared" si="8"/>
        <v>26.329092000000003</v>
      </c>
      <c r="X79" s="22">
        <f t="shared" si="9"/>
        <v>9.25</v>
      </c>
      <c r="Y79" s="22">
        <v>5.25</v>
      </c>
      <c r="Z79" s="22">
        <v>4</v>
      </c>
      <c r="AA79" s="371">
        <v>74.67</v>
      </c>
      <c r="AB79" s="22">
        <v>0.12387839828579081</v>
      </c>
      <c r="AC79" s="24">
        <v>0</v>
      </c>
      <c r="AD79" s="384">
        <v>0</v>
      </c>
    </row>
    <row r="80" spans="1:30">
      <c r="A80" s="21" t="s">
        <v>33</v>
      </c>
      <c r="B80" s="21" t="s">
        <v>34</v>
      </c>
      <c r="C80" s="23">
        <v>115.76481264820437</v>
      </c>
      <c r="D80" s="147">
        <v>0</v>
      </c>
      <c r="E80" s="22">
        <v>0</v>
      </c>
      <c r="F80" s="22">
        <v>0</v>
      </c>
      <c r="G80" s="22">
        <v>0</v>
      </c>
      <c r="H80" s="22">
        <v>8.8431454106267235</v>
      </c>
      <c r="I80" s="22">
        <v>0.65318687692129207</v>
      </c>
      <c r="J80" s="22">
        <v>0</v>
      </c>
      <c r="K80" s="22">
        <v>0</v>
      </c>
      <c r="L80" s="22">
        <v>0</v>
      </c>
      <c r="M80" s="388">
        <v>314.52455478091565</v>
      </c>
      <c r="N80" s="25">
        <v>0.64759999999999995</v>
      </c>
      <c r="O80" s="24">
        <v>314.53460380979141</v>
      </c>
      <c r="P80" s="24">
        <v>50.998821544239334</v>
      </c>
      <c r="Q80" s="24">
        <v>29.644635183350946</v>
      </c>
      <c r="R80" s="22">
        <v>21.354186360888392</v>
      </c>
      <c r="S80" s="24">
        <v>6.0294173254273105</v>
      </c>
      <c r="T80" s="24">
        <f t="shared" si="7"/>
        <v>57.028238869666644</v>
      </c>
      <c r="U80" s="376">
        <v>203.69</v>
      </c>
      <c r="V80" s="376">
        <v>15.73</v>
      </c>
      <c r="W80" s="22">
        <f t="shared" si="8"/>
        <v>131.90964399999999</v>
      </c>
      <c r="X80" s="22">
        <f t="shared" si="9"/>
        <v>36.427729674456671</v>
      </c>
      <c r="Y80" s="22">
        <v>31.403215236600577</v>
      </c>
      <c r="Z80" s="22">
        <v>5.0245144378560926</v>
      </c>
      <c r="AA80" s="371">
        <v>318.42357798469203</v>
      </c>
      <c r="AB80" s="22">
        <v>0.11440022722252027</v>
      </c>
      <c r="AC80" s="24">
        <v>0</v>
      </c>
      <c r="AD80" s="384">
        <v>0</v>
      </c>
    </row>
    <row r="81" spans="1:30">
      <c r="A81" s="21" t="s">
        <v>187</v>
      </c>
      <c r="B81" s="21" t="s">
        <v>188</v>
      </c>
      <c r="C81" s="23">
        <v>1207.8631237739776</v>
      </c>
      <c r="D81" s="147">
        <v>24.228208619342077</v>
      </c>
      <c r="E81" s="22">
        <v>420.81313319932343</v>
      </c>
      <c r="F81" s="22">
        <v>445.0413418186655</v>
      </c>
      <c r="G81" s="22">
        <v>0</v>
      </c>
      <c r="H81" s="22">
        <v>89.144935156442784</v>
      </c>
      <c r="I81" s="22">
        <v>5.3360343330031696</v>
      </c>
      <c r="J81" s="22">
        <v>0</v>
      </c>
      <c r="K81" s="22">
        <v>8.24020367808399</v>
      </c>
      <c r="L81" s="22">
        <v>0</v>
      </c>
      <c r="M81" s="388">
        <v>4106.2743753090153</v>
      </c>
      <c r="N81" s="25">
        <v>0.29820000000000002</v>
      </c>
      <c r="O81" s="24">
        <v>10.049028875712185</v>
      </c>
      <c r="P81" s="24">
        <v>278.86055130101312</v>
      </c>
      <c r="Q81" s="24">
        <v>192.18767724799554</v>
      </c>
      <c r="R81" s="22">
        <v>86.672874053017594</v>
      </c>
      <c r="S81" s="24">
        <v>51.501272988024944</v>
      </c>
      <c r="T81" s="24">
        <f t="shared" si="7"/>
        <v>330.36182428903805</v>
      </c>
      <c r="U81" s="376">
        <v>1224.49</v>
      </c>
      <c r="V81" s="376">
        <v>205.31</v>
      </c>
      <c r="W81" s="22">
        <f t="shared" si="8"/>
        <v>365.14291800000001</v>
      </c>
      <c r="X81" s="22">
        <f t="shared" si="9"/>
        <v>597.4147666610894</v>
      </c>
      <c r="Y81" s="22">
        <v>348.45007626532004</v>
      </c>
      <c r="Z81" s="22">
        <v>248.96469039576937</v>
      </c>
      <c r="AA81" s="371">
        <v>4093.3312261170986</v>
      </c>
      <c r="AB81" s="22">
        <v>0.14594830803071665</v>
      </c>
      <c r="AC81" s="24">
        <v>1.0948308030716641E-2</v>
      </c>
      <c r="AD81" s="384">
        <v>-448992.34647509747</v>
      </c>
    </row>
    <row r="82" spans="1:30">
      <c r="A82" s="21" t="s">
        <v>135</v>
      </c>
      <c r="B82" s="21" t="s">
        <v>136</v>
      </c>
      <c r="C82" s="23">
        <v>728.32346582499201</v>
      </c>
      <c r="D82" s="147">
        <v>41.120626159414265</v>
      </c>
      <c r="E82" s="22">
        <v>206.02519000985123</v>
      </c>
      <c r="F82" s="22">
        <v>247.14581616926549</v>
      </c>
      <c r="G82" s="22">
        <v>0</v>
      </c>
      <c r="H82" s="22">
        <v>45.029698392066301</v>
      </c>
      <c r="I82" s="22">
        <v>3.6578465107592355</v>
      </c>
      <c r="J82" s="22">
        <v>5.0044163801046686</v>
      </c>
      <c r="K82" s="22">
        <v>12.460795805883109</v>
      </c>
      <c r="L82" s="22">
        <v>0</v>
      </c>
      <c r="M82" s="388">
        <v>2595.4732270478189</v>
      </c>
      <c r="N82" s="25">
        <v>0.56030000000000002</v>
      </c>
      <c r="O82" s="24">
        <v>1787.7222369891977</v>
      </c>
      <c r="P82" s="24">
        <v>361.26258808185304</v>
      </c>
      <c r="Q82" s="24">
        <v>225.85192398163136</v>
      </c>
      <c r="R82" s="22">
        <v>135.41066410022168</v>
      </c>
      <c r="S82" s="24">
        <v>61.299076141844324</v>
      </c>
      <c r="T82" s="24">
        <f t="shared" si="7"/>
        <v>422.56166422369733</v>
      </c>
      <c r="U82" s="376">
        <v>1454.24</v>
      </c>
      <c r="V82" s="376">
        <v>0</v>
      </c>
      <c r="W82" s="22">
        <f t="shared" si="8"/>
        <v>814.81067200000007</v>
      </c>
      <c r="X82" s="22">
        <f t="shared" si="9"/>
        <v>333.62775867364451</v>
      </c>
      <c r="Y82" s="22">
        <v>240.67424157330683</v>
      </c>
      <c r="Z82" s="22">
        <v>92.953517100337706</v>
      </c>
      <c r="AA82" s="371">
        <v>2610.0845150331043</v>
      </c>
      <c r="AB82" s="22">
        <v>0.12782258840741526</v>
      </c>
      <c r="AC82" s="24">
        <v>0</v>
      </c>
      <c r="AD82" s="384">
        <v>0</v>
      </c>
    </row>
    <row r="83" spans="1:30">
      <c r="A83" s="21" t="s">
        <v>273</v>
      </c>
      <c r="B83" s="21" t="s">
        <v>274</v>
      </c>
      <c r="C83" s="23">
        <v>21.2</v>
      </c>
      <c r="D83" s="147">
        <v>0</v>
      </c>
      <c r="E83" s="22">
        <v>0</v>
      </c>
      <c r="F83" s="22">
        <v>0</v>
      </c>
      <c r="G83" s="22">
        <v>0</v>
      </c>
      <c r="H83" s="22">
        <v>0</v>
      </c>
      <c r="I83" s="22">
        <v>0</v>
      </c>
      <c r="J83" s="22">
        <v>0</v>
      </c>
      <c r="K83" s="22">
        <v>0</v>
      </c>
      <c r="L83" s="22">
        <v>0</v>
      </c>
      <c r="M83" s="388">
        <v>46</v>
      </c>
      <c r="N83" s="25">
        <v>0.6038</v>
      </c>
      <c r="O83" s="24">
        <v>47</v>
      </c>
      <c r="P83" s="24">
        <v>2</v>
      </c>
      <c r="Q83" s="24">
        <v>2</v>
      </c>
      <c r="R83" s="22">
        <v>0</v>
      </c>
      <c r="S83" s="24">
        <v>1.75</v>
      </c>
      <c r="T83" s="24">
        <f t="shared" si="7"/>
        <v>3.75</v>
      </c>
      <c r="U83" s="376">
        <v>27.77</v>
      </c>
      <c r="V83" s="376">
        <v>2.2999999999999998</v>
      </c>
      <c r="W83" s="22">
        <f t="shared" si="8"/>
        <v>16.767526</v>
      </c>
      <c r="X83" s="22">
        <f t="shared" si="9"/>
        <v>6</v>
      </c>
      <c r="Y83" s="22">
        <v>5</v>
      </c>
      <c r="Z83" s="22">
        <v>1</v>
      </c>
      <c r="AA83" s="371">
        <v>46</v>
      </c>
      <c r="AB83" s="22">
        <v>0.13043478260869565</v>
      </c>
      <c r="AC83" s="24">
        <v>0</v>
      </c>
      <c r="AD83" s="384">
        <v>0</v>
      </c>
    </row>
    <row r="84" spans="1:30">
      <c r="A84" s="21" t="s">
        <v>423</v>
      </c>
      <c r="B84" s="21" t="s">
        <v>424</v>
      </c>
      <c r="C84" s="23">
        <v>6317.3621988319674</v>
      </c>
      <c r="D84" s="147">
        <v>418.87367062631097</v>
      </c>
      <c r="E84" s="22">
        <v>1104.1571457766277</v>
      </c>
      <c r="F84" s="22">
        <v>1523.0308164029386</v>
      </c>
      <c r="G84" s="22">
        <v>0</v>
      </c>
      <c r="H84" s="22">
        <v>322.24220895746265</v>
      </c>
      <c r="I84" s="22">
        <v>17.244133550722108</v>
      </c>
      <c r="J84" s="22">
        <v>256.4210698215478</v>
      </c>
      <c r="K84" s="22">
        <v>114.96089033814739</v>
      </c>
      <c r="L84" s="22">
        <v>0</v>
      </c>
      <c r="M84" s="388">
        <v>19849.113159086348</v>
      </c>
      <c r="N84" s="25">
        <v>0.38479999999999998</v>
      </c>
      <c r="O84" s="24">
        <v>7791.0120873396572</v>
      </c>
      <c r="P84" s="24">
        <v>3169.714933121516</v>
      </c>
      <c r="Q84" s="24">
        <v>2348.9604996977232</v>
      </c>
      <c r="R84" s="22">
        <v>820.75443342379265</v>
      </c>
      <c r="S84" s="24">
        <v>755.43574573166347</v>
      </c>
      <c r="T84" s="24">
        <f t="shared" si="7"/>
        <v>3925.1506788531797</v>
      </c>
      <c r="U84" s="376">
        <v>7570.45</v>
      </c>
      <c r="V84" s="376">
        <v>992.46</v>
      </c>
      <c r="W84" s="22">
        <f t="shared" si="8"/>
        <v>2913.1091599999995</v>
      </c>
      <c r="X84" s="22">
        <f t="shared" si="9"/>
        <v>2417.2938960525662</v>
      </c>
      <c r="Y84" s="22">
        <v>1138.8061973400834</v>
      </c>
      <c r="Z84" s="22">
        <v>1278.4876987124828</v>
      </c>
      <c r="AA84" s="371">
        <v>19944.800012040883</v>
      </c>
      <c r="AB84" s="22">
        <v>0.12119920453417536</v>
      </c>
      <c r="AC84" s="24">
        <v>0</v>
      </c>
      <c r="AD84" s="384">
        <v>0</v>
      </c>
    </row>
    <row r="85" spans="1:30">
      <c r="A85" s="21" t="s">
        <v>65</v>
      </c>
      <c r="B85" s="21" t="s">
        <v>66</v>
      </c>
      <c r="C85" s="23">
        <v>5975.8258544331375</v>
      </c>
      <c r="D85" s="147">
        <v>214.56686455420657</v>
      </c>
      <c r="E85" s="22">
        <v>2183.1816703350996</v>
      </c>
      <c r="F85" s="22">
        <v>2397.748534889306</v>
      </c>
      <c r="G85" s="22">
        <v>564.3233145733692</v>
      </c>
      <c r="H85" s="22">
        <v>358.77042892067641</v>
      </c>
      <c r="I85" s="22">
        <v>4.8335828892175607</v>
      </c>
      <c r="J85" s="22">
        <v>635.25940940702139</v>
      </c>
      <c r="K85" s="22">
        <v>73.156930215184701</v>
      </c>
      <c r="L85" s="22">
        <v>0</v>
      </c>
      <c r="M85" s="388">
        <v>23066.872499262648</v>
      </c>
      <c r="N85" s="25">
        <v>0.53939999999999999</v>
      </c>
      <c r="O85" s="24">
        <v>13392.340782661629</v>
      </c>
      <c r="P85" s="24">
        <v>3299.3474056182031</v>
      </c>
      <c r="Q85" s="24">
        <v>2134.9161846450538</v>
      </c>
      <c r="R85" s="22">
        <v>1164.4312209731495</v>
      </c>
      <c r="S85" s="24">
        <v>609.22237559005123</v>
      </c>
      <c r="T85" s="24">
        <f t="shared" si="7"/>
        <v>3908.5697812082544</v>
      </c>
      <c r="U85" s="376">
        <v>12400.75</v>
      </c>
      <c r="V85" s="376">
        <v>1153.3399999999999</v>
      </c>
      <c r="W85" s="22">
        <f t="shared" si="8"/>
        <v>6688.9645499999997</v>
      </c>
      <c r="X85" s="22">
        <f t="shared" si="9"/>
        <v>3111.6817913642781</v>
      </c>
      <c r="Y85" s="22">
        <v>2432.6186650880272</v>
      </c>
      <c r="Z85" s="22">
        <v>679.06312627625084</v>
      </c>
      <c r="AA85" s="371">
        <v>22677.492728386551</v>
      </c>
      <c r="AB85" s="22">
        <v>0.13721454257018592</v>
      </c>
      <c r="AC85" s="24">
        <v>2.2145425701859123E-3</v>
      </c>
      <c r="AD85" s="384">
        <v>-471313.6238271491</v>
      </c>
    </row>
    <row r="86" spans="1:30">
      <c r="A86" s="21" t="s">
        <v>497</v>
      </c>
      <c r="B86" s="21" t="s">
        <v>498</v>
      </c>
      <c r="C86" s="23">
        <v>13.2</v>
      </c>
      <c r="D86" s="147">
        <v>0</v>
      </c>
      <c r="E86" s="22">
        <v>0</v>
      </c>
      <c r="F86" s="22">
        <v>0</v>
      </c>
      <c r="G86" s="22">
        <v>0</v>
      </c>
      <c r="H86" s="22">
        <v>0</v>
      </c>
      <c r="I86" s="22">
        <v>0</v>
      </c>
      <c r="J86" s="22">
        <v>0</v>
      </c>
      <c r="K86" s="22">
        <v>0</v>
      </c>
      <c r="L86" s="22">
        <v>0</v>
      </c>
      <c r="M86" s="388">
        <v>25.799999999999997</v>
      </c>
      <c r="N86" s="25">
        <v>0.83330000000000004</v>
      </c>
      <c r="O86" s="24">
        <v>24</v>
      </c>
      <c r="P86" s="24">
        <v>0</v>
      </c>
      <c r="Q86" s="24">
        <v>0</v>
      </c>
      <c r="R86" s="22">
        <v>0</v>
      </c>
      <c r="S86" s="24">
        <v>0</v>
      </c>
      <c r="T86" s="24">
        <f t="shared" si="7"/>
        <v>0</v>
      </c>
      <c r="U86" s="376">
        <v>21.5</v>
      </c>
      <c r="V86" s="376">
        <v>1.29</v>
      </c>
      <c r="W86" s="22">
        <f t="shared" si="8"/>
        <v>17.915950000000002</v>
      </c>
      <c r="X86" s="22">
        <f t="shared" si="9"/>
        <v>1</v>
      </c>
      <c r="Y86" s="22">
        <v>1</v>
      </c>
      <c r="Z86" s="22">
        <v>0</v>
      </c>
      <c r="AA86" s="371">
        <v>25.8</v>
      </c>
      <c r="AB86" s="22">
        <v>3.875968992248062E-2</v>
      </c>
      <c r="AC86" s="24">
        <v>0</v>
      </c>
      <c r="AD86" s="384">
        <v>0</v>
      </c>
    </row>
    <row r="87" spans="1:30">
      <c r="A87" s="21" t="s">
        <v>185</v>
      </c>
      <c r="B87" s="21" t="s">
        <v>186</v>
      </c>
      <c r="C87" s="23">
        <v>5757.7217317146806</v>
      </c>
      <c r="D87" s="147">
        <v>89.556945340346999</v>
      </c>
      <c r="E87" s="22">
        <v>1281.4320641730665</v>
      </c>
      <c r="F87" s="22">
        <v>1370.9890095134135</v>
      </c>
      <c r="G87" s="22">
        <v>0</v>
      </c>
      <c r="H87" s="22">
        <v>532.23676537322012</v>
      </c>
      <c r="I87" s="22">
        <v>47.964014823774257</v>
      </c>
      <c r="J87" s="22">
        <v>834.01915153973277</v>
      </c>
      <c r="K87" s="22">
        <v>120.70893485505476</v>
      </c>
      <c r="L87" s="22">
        <v>0</v>
      </c>
      <c r="M87" s="388">
        <v>20547.932676132255</v>
      </c>
      <c r="N87" s="25">
        <v>0.65649999999999997</v>
      </c>
      <c r="O87" s="24">
        <v>18922.321372966046</v>
      </c>
      <c r="P87" s="24">
        <v>5077.0206137316891</v>
      </c>
      <c r="Q87" s="24">
        <v>3255.6341300088552</v>
      </c>
      <c r="R87" s="22">
        <v>1821.3864837228334</v>
      </c>
      <c r="S87" s="24">
        <v>659.96997141239774</v>
      </c>
      <c r="T87" s="24">
        <f t="shared" si="7"/>
        <v>5736.9905851440872</v>
      </c>
      <c r="U87" s="376">
        <v>12840.4</v>
      </c>
      <c r="V87" s="376">
        <v>1027.4000000000001</v>
      </c>
      <c r="W87" s="22">
        <f t="shared" si="8"/>
        <v>8429.7225999999991</v>
      </c>
      <c r="X87" s="22">
        <f t="shared" si="9"/>
        <v>2669.0220693891561</v>
      </c>
      <c r="Y87" s="22">
        <v>1329.9889717005076</v>
      </c>
      <c r="Z87" s="22">
        <v>1339.0330976886487</v>
      </c>
      <c r="AA87" s="371">
        <v>20646.694531922753</v>
      </c>
      <c r="AB87" s="22">
        <v>0.12927115598395011</v>
      </c>
      <c r="AC87" s="24">
        <v>0</v>
      </c>
      <c r="AD87" s="384">
        <v>0</v>
      </c>
    </row>
    <row r="88" spans="1:30">
      <c r="A88" s="21" t="s">
        <v>541</v>
      </c>
      <c r="B88" s="21" t="s">
        <v>542</v>
      </c>
      <c r="C88" s="23">
        <v>1350.0970784808078</v>
      </c>
      <c r="D88" s="147">
        <v>18.068153918530509</v>
      </c>
      <c r="E88" s="22">
        <v>253.45660630321274</v>
      </c>
      <c r="F88" s="22">
        <v>271.52476022174324</v>
      </c>
      <c r="G88" s="22">
        <v>0</v>
      </c>
      <c r="H88" s="22">
        <v>94.621655893705935</v>
      </c>
      <c r="I88" s="22">
        <v>17.455163157112064</v>
      </c>
      <c r="J88" s="22">
        <v>97.495678152159627</v>
      </c>
      <c r="K88" s="22">
        <v>36.839739858360865</v>
      </c>
      <c r="L88" s="22">
        <v>3.1553950669736262</v>
      </c>
      <c r="M88" s="388">
        <v>4396.8319962213591</v>
      </c>
      <c r="N88" s="25">
        <v>0.48709999999999998</v>
      </c>
      <c r="O88" s="24">
        <v>1689.2417540072183</v>
      </c>
      <c r="P88" s="24">
        <v>337.64737022392944</v>
      </c>
      <c r="Q88" s="24">
        <v>224.09334392838173</v>
      </c>
      <c r="R88" s="22">
        <v>113.55402629554769</v>
      </c>
      <c r="S88" s="24">
        <v>57.530690313452261</v>
      </c>
      <c r="T88" s="24">
        <f t="shared" si="7"/>
        <v>395.17806053738173</v>
      </c>
      <c r="U88" s="376">
        <v>2140.38</v>
      </c>
      <c r="V88" s="376">
        <v>219.84</v>
      </c>
      <c r="W88" s="22">
        <f t="shared" si="8"/>
        <v>1042.5790979999999</v>
      </c>
      <c r="X88" s="22">
        <f t="shared" si="9"/>
        <v>614.49811574980004</v>
      </c>
      <c r="Y88" s="22">
        <v>350.45988204046245</v>
      </c>
      <c r="Z88" s="22">
        <v>264.03823370933765</v>
      </c>
      <c r="AA88" s="371">
        <v>4399.9371461439532</v>
      </c>
      <c r="AB88" s="22">
        <v>0.13966065771833538</v>
      </c>
      <c r="AC88" s="24">
        <v>4.6606577183353759E-3</v>
      </c>
      <c r="AD88" s="384">
        <v>-198188.84919191446</v>
      </c>
    </row>
    <row r="89" spans="1:30">
      <c r="A89" s="21" t="s">
        <v>389</v>
      </c>
      <c r="B89" s="21" t="s">
        <v>390</v>
      </c>
      <c r="C89" s="23">
        <v>1088.9127689721722</v>
      </c>
      <c r="D89" s="147">
        <v>47.964014823774257</v>
      </c>
      <c r="E89" s="22">
        <v>316.61475278706382</v>
      </c>
      <c r="F89" s="22">
        <v>364.5787676108381</v>
      </c>
      <c r="G89" s="22">
        <v>0</v>
      </c>
      <c r="H89" s="22">
        <v>61.821625643381367</v>
      </c>
      <c r="I89" s="22">
        <v>2.3715708146680754</v>
      </c>
      <c r="J89" s="22">
        <v>6.9237808953656952</v>
      </c>
      <c r="K89" s="22">
        <v>17.847075283264843</v>
      </c>
      <c r="L89" s="22">
        <v>0</v>
      </c>
      <c r="M89" s="388">
        <v>3724.3107877431962</v>
      </c>
      <c r="N89" s="25">
        <v>0.45729999999999998</v>
      </c>
      <c r="O89" s="24">
        <v>845.12332844739478</v>
      </c>
      <c r="P89" s="24">
        <v>520.53969576189115</v>
      </c>
      <c r="Q89" s="24">
        <v>357.24297653156816</v>
      </c>
      <c r="R89" s="22">
        <v>163.29671923032299</v>
      </c>
      <c r="S89" s="24">
        <v>107.02215752633477</v>
      </c>
      <c r="T89" s="24">
        <f t="shared" si="7"/>
        <v>627.56185328822596</v>
      </c>
      <c r="U89" s="376">
        <v>1703.13</v>
      </c>
      <c r="V89" s="376">
        <v>186.22</v>
      </c>
      <c r="W89" s="22">
        <f t="shared" si="8"/>
        <v>778.84134900000004</v>
      </c>
      <c r="X89" s="22">
        <f t="shared" si="9"/>
        <v>390.90722326520398</v>
      </c>
      <c r="Y89" s="22">
        <v>179.1239397095697</v>
      </c>
      <c r="Z89" s="22">
        <v>211.78328355563428</v>
      </c>
      <c r="AA89" s="371">
        <v>3738.1382514761758</v>
      </c>
      <c r="AB89" s="22">
        <v>0.1045727035673002</v>
      </c>
      <c r="AC89" s="24">
        <v>0</v>
      </c>
      <c r="AD89" s="384">
        <v>0</v>
      </c>
    </row>
    <row r="90" spans="1:30">
      <c r="A90" s="21" t="s">
        <v>23</v>
      </c>
      <c r="B90" s="21" t="s">
        <v>24</v>
      </c>
      <c r="C90" s="23">
        <v>221.25951778543089</v>
      </c>
      <c r="D90" s="147">
        <v>5.7078484014045205</v>
      </c>
      <c r="E90" s="22">
        <v>64.816236248343586</v>
      </c>
      <c r="F90" s="22">
        <v>70.524084649748104</v>
      </c>
      <c r="G90" s="22">
        <v>0</v>
      </c>
      <c r="H90" s="22">
        <v>13.425502577951479</v>
      </c>
      <c r="I90" s="22">
        <v>0.53259853041274585</v>
      </c>
      <c r="J90" s="22">
        <v>17.153692290840702</v>
      </c>
      <c r="K90" s="22">
        <v>0</v>
      </c>
      <c r="L90" s="22">
        <v>0</v>
      </c>
      <c r="M90" s="388">
        <v>850.14784288525084</v>
      </c>
      <c r="N90" s="25">
        <v>0.79310000000000003</v>
      </c>
      <c r="O90" s="24">
        <v>874.26551218696011</v>
      </c>
      <c r="P90" s="24">
        <v>167.81878222439349</v>
      </c>
      <c r="Q90" s="24">
        <v>113.80525201744049</v>
      </c>
      <c r="R90" s="22">
        <v>54.013530206952993</v>
      </c>
      <c r="S90" s="24">
        <v>29.142183739565336</v>
      </c>
      <c r="T90" s="24">
        <f t="shared" si="7"/>
        <v>196.96096596395881</v>
      </c>
      <c r="U90" s="376">
        <v>674.25</v>
      </c>
      <c r="V90" s="376">
        <v>42.51</v>
      </c>
      <c r="W90" s="22">
        <f t="shared" si="8"/>
        <v>534.74767500000007</v>
      </c>
      <c r="X90" s="22">
        <f t="shared" si="9"/>
        <v>100.99274020090746</v>
      </c>
      <c r="Y90" s="22">
        <v>61.801527585629934</v>
      </c>
      <c r="Z90" s="22">
        <v>39.191212615277522</v>
      </c>
      <c r="AA90" s="371">
        <v>867.72359438887145</v>
      </c>
      <c r="AB90" s="22">
        <v>0.11638814578049543</v>
      </c>
      <c r="AC90" s="24">
        <v>0</v>
      </c>
      <c r="AD90" s="384">
        <v>0</v>
      </c>
    </row>
    <row r="91" spans="1:30">
      <c r="A91" s="21" t="s">
        <v>381</v>
      </c>
      <c r="B91" s="21" t="s">
        <v>382</v>
      </c>
      <c r="C91" s="23">
        <v>2197.3708991076051</v>
      </c>
      <c r="D91" s="147">
        <v>108.13759973153883</v>
      </c>
      <c r="E91" s="22">
        <v>531.30220568777895</v>
      </c>
      <c r="F91" s="22">
        <v>639.43980541931774</v>
      </c>
      <c r="G91" s="22">
        <v>0</v>
      </c>
      <c r="H91" s="22">
        <v>135.39056604247025</v>
      </c>
      <c r="I91" s="22">
        <v>13.113982682804401</v>
      </c>
      <c r="J91" s="22">
        <v>98.279502404465177</v>
      </c>
      <c r="K91" s="22">
        <v>0</v>
      </c>
      <c r="L91" s="22">
        <v>0</v>
      </c>
      <c r="M91" s="388">
        <v>7351.2464856807401</v>
      </c>
      <c r="N91" s="25">
        <v>0.7823</v>
      </c>
      <c r="O91" s="24">
        <v>7431.2568535891605</v>
      </c>
      <c r="P91" s="24">
        <v>928.53026811580594</v>
      </c>
      <c r="Q91" s="24">
        <v>605.95644120544478</v>
      </c>
      <c r="R91" s="22">
        <v>322.57382691036111</v>
      </c>
      <c r="S91" s="24">
        <v>174.35065099360639</v>
      </c>
      <c r="T91" s="24">
        <f t="shared" si="7"/>
        <v>1102.8809191094124</v>
      </c>
      <c r="U91" s="376">
        <v>5750.88</v>
      </c>
      <c r="V91" s="376">
        <v>367.56</v>
      </c>
      <c r="W91" s="22">
        <f t="shared" si="8"/>
        <v>4498.9134240000003</v>
      </c>
      <c r="X91" s="22">
        <f t="shared" si="9"/>
        <v>959.179806186728</v>
      </c>
      <c r="Y91" s="22">
        <v>477.8313230401144</v>
      </c>
      <c r="Z91" s="22">
        <v>481.34848314661366</v>
      </c>
      <c r="AA91" s="371">
        <v>7414.38453410684</v>
      </c>
      <c r="AB91" s="22">
        <v>0.12936742109536054</v>
      </c>
      <c r="AC91" s="24">
        <v>0</v>
      </c>
      <c r="AD91" s="384">
        <v>0</v>
      </c>
    </row>
    <row r="92" spans="1:30">
      <c r="A92" s="21" t="s">
        <v>465</v>
      </c>
      <c r="B92" s="21" t="s">
        <v>466</v>
      </c>
      <c r="C92" s="23">
        <v>211.23058696747012</v>
      </c>
      <c r="D92" s="147">
        <v>34.478218072568509</v>
      </c>
      <c r="E92" s="22">
        <v>89.044444867685669</v>
      </c>
      <c r="F92" s="22">
        <v>123.52266294025418</v>
      </c>
      <c r="G92" s="22">
        <v>0</v>
      </c>
      <c r="H92" s="22">
        <v>21.776245573668305</v>
      </c>
      <c r="I92" s="22">
        <v>0.3316179528985021</v>
      </c>
      <c r="J92" s="22">
        <v>1.8088251976281933</v>
      </c>
      <c r="K92" s="22">
        <v>0.80392231005697479</v>
      </c>
      <c r="L92" s="22">
        <v>0</v>
      </c>
      <c r="M92" s="388">
        <v>862.07604016072116</v>
      </c>
      <c r="N92" s="25">
        <v>0.2266</v>
      </c>
      <c r="O92" s="24">
        <v>0</v>
      </c>
      <c r="P92" s="24">
        <v>0</v>
      </c>
      <c r="Q92" s="24">
        <v>0</v>
      </c>
      <c r="R92" s="22">
        <v>0</v>
      </c>
      <c r="S92" s="24">
        <v>0</v>
      </c>
      <c r="T92" s="24">
        <f t="shared" si="7"/>
        <v>0</v>
      </c>
      <c r="U92" s="376">
        <v>195.35</v>
      </c>
      <c r="V92" s="376">
        <v>0</v>
      </c>
      <c r="W92" s="22">
        <f t="shared" si="8"/>
        <v>44.266309999999997</v>
      </c>
      <c r="X92" s="22">
        <f t="shared" si="9"/>
        <v>103.0025459760499</v>
      </c>
      <c r="Y92" s="22">
        <v>75.618942289734193</v>
      </c>
      <c r="Z92" s="22">
        <v>27.383603686315702</v>
      </c>
      <c r="AA92" s="371">
        <v>866.94981916544168</v>
      </c>
      <c r="AB92" s="22">
        <v>0.11881027448071216</v>
      </c>
      <c r="AC92" s="24">
        <v>0</v>
      </c>
      <c r="AD92" s="384">
        <v>0</v>
      </c>
    </row>
    <row r="93" spans="1:30">
      <c r="A93" s="21" t="s">
        <v>567</v>
      </c>
      <c r="B93" s="21" t="s">
        <v>568</v>
      </c>
      <c r="C93" s="23">
        <v>37.382387417649333</v>
      </c>
      <c r="D93" s="147">
        <v>0</v>
      </c>
      <c r="E93" s="22">
        <v>4.8938770624718337</v>
      </c>
      <c r="F93" s="22">
        <v>4.8938770624718337</v>
      </c>
      <c r="G93" s="22">
        <v>0</v>
      </c>
      <c r="H93" s="22">
        <v>2.7634829408208508</v>
      </c>
      <c r="I93" s="22">
        <v>0</v>
      </c>
      <c r="J93" s="22">
        <v>0</v>
      </c>
      <c r="K93" s="22">
        <v>0</v>
      </c>
      <c r="L93" s="22">
        <v>0</v>
      </c>
      <c r="M93" s="388">
        <v>105.77607794574647</v>
      </c>
      <c r="N93" s="25">
        <v>0.52249999999999996</v>
      </c>
      <c r="O93" s="24">
        <v>82.402036780839921</v>
      </c>
      <c r="P93" s="24">
        <v>0</v>
      </c>
      <c r="Q93" s="24">
        <v>0</v>
      </c>
      <c r="R93" s="22">
        <v>0</v>
      </c>
      <c r="S93" s="24">
        <v>0</v>
      </c>
      <c r="T93" s="24">
        <f t="shared" si="7"/>
        <v>0</v>
      </c>
      <c r="U93" s="376">
        <v>55.27</v>
      </c>
      <c r="V93" s="376">
        <v>0</v>
      </c>
      <c r="W93" s="22">
        <f t="shared" si="8"/>
        <v>28.878575000000001</v>
      </c>
      <c r="X93" s="22">
        <f t="shared" si="9"/>
        <v>13.56618898221145</v>
      </c>
      <c r="Y93" s="22">
        <v>11.053931763283403</v>
      </c>
      <c r="Z93" s="22">
        <v>2.5122572189280463</v>
      </c>
      <c r="AA93" s="371">
        <v>105.77607794574647</v>
      </c>
      <c r="AB93" s="22">
        <v>0.12825384761542846</v>
      </c>
      <c r="AC93" s="24">
        <v>0</v>
      </c>
      <c r="AD93" s="384">
        <v>0</v>
      </c>
    </row>
    <row r="94" spans="1:30">
      <c r="A94" s="21" t="s">
        <v>259</v>
      </c>
      <c r="B94" s="21" t="s">
        <v>260</v>
      </c>
      <c r="C94" s="23">
        <v>10.57</v>
      </c>
      <c r="D94" s="147">
        <v>0</v>
      </c>
      <c r="E94" s="22">
        <v>0</v>
      </c>
      <c r="F94" s="22">
        <v>0</v>
      </c>
      <c r="G94" s="22">
        <v>0</v>
      </c>
      <c r="H94" s="22">
        <v>1</v>
      </c>
      <c r="I94" s="22">
        <v>0</v>
      </c>
      <c r="J94" s="22">
        <v>0</v>
      </c>
      <c r="K94" s="22">
        <v>0</v>
      </c>
      <c r="L94" s="22">
        <v>0</v>
      </c>
      <c r="M94" s="388">
        <v>51.97</v>
      </c>
      <c r="N94" s="25">
        <v>0.56599999999999995</v>
      </c>
      <c r="O94" s="24">
        <v>16</v>
      </c>
      <c r="P94" s="24">
        <v>0</v>
      </c>
      <c r="Q94" s="24">
        <v>0</v>
      </c>
      <c r="R94" s="22">
        <v>0</v>
      </c>
      <c r="S94" s="24">
        <v>0</v>
      </c>
      <c r="T94" s="24">
        <f t="shared" si="7"/>
        <v>0</v>
      </c>
      <c r="U94" s="376">
        <v>29.42</v>
      </c>
      <c r="V94" s="376">
        <v>0</v>
      </c>
      <c r="W94" s="22">
        <f t="shared" si="8"/>
        <v>16.651720000000001</v>
      </c>
      <c r="X94" s="22">
        <f t="shared" si="9"/>
        <v>12</v>
      </c>
      <c r="Y94" s="22">
        <v>9</v>
      </c>
      <c r="Z94" s="22">
        <v>3</v>
      </c>
      <c r="AA94" s="371">
        <v>51.97</v>
      </c>
      <c r="AB94" s="22">
        <v>0.23090244371752935</v>
      </c>
      <c r="AC94" s="24">
        <v>9.5902443717529345E-2</v>
      </c>
      <c r="AD94" s="384">
        <v>-45162.317866659978</v>
      </c>
    </row>
    <row r="95" spans="1:30">
      <c r="A95" s="21" t="s">
        <v>265</v>
      </c>
      <c r="B95" s="21" t="s">
        <v>266</v>
      </c>
      <c r="C95" s="23">
        <v>218.06392660295441</v>
      </c>
      <c r="D95" s="147">
        <v>27.232868253180023</v>
      </c>
      <c r="E95" s="22">
        <v>80.653505756466004</v>
      </c>
      <c r="F95" s="22">
        <v>107.88637400964603</v>
      </c>
      <c r="G95" s="22">
        <v>0</v>
      </c>
      <c r="H95" s="22">
        <v>6.7428983756028762</v>
      </c>
      <c r="I95" s="22">
        <v>1.3465698693454329</v>
      </c>
      <c r="J95" s="22">
        <v>1385.6605916719532</v>
      </c>
      <c r="K95" s="22">
        <v>0</v>
      </c>
      <c r="L95" s="22">
        <v>0</v>
      </c>
      <c r="M95" s="388">
        <v>2251.6356550364508</v>
      </c>
      <c r="N95" s="25">
        <v>0.59160000000000001</v>
      </c>
      <c r="O95" s="24">
        <v>547.67207372631412</v>
      </c>
      <c r="P95" s="24">
        <v>71.599330739449314</v>
      </c>
      <c r="Q95" s="24">
        <v>39.693664059063131</v>
      </c>
      <c r="R95" s="22">
        <v>31.905666680386187</v>
      </c>
      <c r="S95" s="24">
        <v>5.0245144378560926</v>
      </c>
      <c r="T95" s="24">
        <f t="shared" si="7"/>
        <v>76.623845177305412</v>
      </c>
      <c r="U95" s="376">
        <v>1332.07</v>
      </c>
      <c r="V95" s="376">
        <v>0</v>
      </c>
      <c r="W95" s="22">
        <f t="shared" si="8"/>
        <v>788.05261199999995</v>
      </c>
      <c r="X95" s="22">
        <f t="shared" si="9"/>
        <v>305.49047782165042</v>
      </c>
      <c r="Y95" s="22">
        <v>225.34947253784574</v>
      </c>
      <c r="Z95" s="22">
        <v>80.141005283804674</v>
      </c>
      <c r="AA95" s="371">
        <v>2251.6457040653263</v>
      </c>
      <c r="AB95" s="22">
        <v>0.13567431024787341</v>
      </c>
      <c r="AC95" s="24">
        <v>6.7431024787339977E-4</v>
      </c>
      <c r="AD95" s="384">
        <v>-13239.931421933086</v>
      </c>
    </row>
    <row r="96" spans="1:30">
      <c r="A96" s="21" t="s">
        <v>139</v>
      </c>
      <c r="B96" s="21" t="s">
        <v>140</v>
      </c>
      <c r="C96" s="23">
        <v>195.31292522834204</v>
      </c>
      <c r="D96" s="147">
        <v>7.5970658300384111</v>
      </c>
      <c r="E96" s="22">
        <v>26.449044000874469</v>
      </c>
      <c r="F96" s="22">
        <v>34.046109830912883</v>
      </c>
      <c r="G96" s="22">
        <v>0</v>
      </c>
      <c r="H96" s="22">
        <v>11.626726409198998</v>
      </c>
      <c r="I96" s="22">
        <v>1.0752460897012039</v>
      </c>
      <c r="J96" s="22">
        <v>33.483364213873003</v>
      </c>
      <c r="K96" s="22">
        <v>0</v>
      </c>
      <c r="L96" s="22">
        <v>0</v>
      </c>
      <c r="M96" s="388">
        <v>722.57542130808463</v>
      </c>
      <c r="N96" s="25">
        <v>0.73499999999999999</v>
      </c>
      <c r="O96" s="24">
        <v>720.51537038856361</v>
      </c>
      <c r="P96" s="24">
        <v>0</v>
      </c>
      <c r="Q96" s="24">
        <v>0</v>
      </c>
      <c r="R96" s="22">
        <v>0</v>
      </c>
      <c r="S96" s="24">
        <v>0</v>
      </c>
      <c r="T96" s="24">
        <f t="shared" si="7"/>
        <v>0</v>
      </c>
      <c r="U96" s="376">
        <v>531.09</v>
      </c>
      <c r="V96" s="376">
        <v>36.130000000000003</v>
      </c>
      <c r="W96" s="22">
        <f t="shared" si="8"/>
        <v>390.35115000000002</v>
      </c>
      <c r="X96" s="22">
        <f t="shared" si="9"/>
        <v>103.7562231417283</v>
      </c>
      <c r="Y96" s="22">
        <v>64.816236248343586</v>
      </c>
      <c r="Z96" s="22">
        <v>38.939986893384713</v>
      </c>
      <c r="AA96" s="371">
        <v>722.58547033696027</v>
      </c>
      <c r="AB96" s="22">
        <v>0.1435902428170111</v>
      </c>
      <c r="AC96" s="24">
        <v>8.5902428170110956E-3</v>
      </c>
      <c r="AD96" s="384">
        <v>-55922.666151544538</v>
      </c>
    </row>
    <row r="97" spans="1:30">
      <c r="A97" s="21" t="s">
        <v>593</v>
      </c>
      <c r="B97" s="21" t="s">
        <v>594</v>
      </c>
      <c r="C97" s="23">
        <v>976.17271401555729</v>
      </c>
      <c r="D97" s="147">
        <v>41.964744584974085</v>
      </c>
      <c r="E97" s="22">
        <v>278.47868820373606</v>
      </c>
      <c r="F97" s="22">
        <v>320.44343278871014</v>
      </c>
      <c r="G97" s="22">
        <v>0</v>
      </c>
      <c r="H97" s="22">
        <v>35.17160106499265</v>
      </c>
      <c r="I97" s="22">
        <v>4.1904450411719809</v>
      </c>
      <c r="J97" s="22">
        <v>44.416707630647849</v>
      </c>
      <c r="K97" s="22">
        <v>7.2353007905127731</v>
      </c>
      <c r="L97" s="22">
        <v>0</v>
      </c>
      <c r="M97" s="388">
        <v>3525.2596237730886</v>
      </c>
      <c r="N97" s="25">
        <v>0.85250000000000004</v>
      </c>
      <c r="O97" s="24">
        <v>3578.4591826411092</v>
      </c>
      <c r="P97" s="24">
        <v>1099.6149847248057</v>
      </c>
      <c r="Q97" s="24">
        <v>682.83151210464291</v>
      </c>
      <c r="R97" s="22">
        <v>416.78347262016285</v>
      </c>
      <c r="S97" s="24">
        <v>193.69503157935236</v>
      </c>
      <c r="T97" s="24">
        <f t="shared" si="7"/>
        <v>1293.3100163041581</v>
      </c>
      <c r="U97" s="376">
        <v>3005.28</v>
      </c>
      <c r="V97" s="376">
        <v>176.26</v>
      </c>
      <c r="W97" s="22">
        <f t="shared" si="8"/>
        <v>2562.0012000000002</v>
      </c>
      <c r="X97" s="22">
        <f t="shared" si="9"/>
        <v>514.00782699267825</v>
      </c>
      <c r="Y97" s="22">
        <v>235.64972713545075</v>
      </c>
      <c r="Z97" s="22">
        <v>278.3580998572275</v>
      </c>
      <c r="AA97" s="371">
        <v>3535.5799764284452</v>
      </c>
      <c r="AB97" s="22">
        <v>0.1453814735968485</v>
      </c>
      <c r="AC97" s="24">
        <v>1.0381473596848489E-2</v>
      </c>
      <c r="AD97" s="384">
        <v>-329688.0657951553</v>
      </c>
    </row>
    <row r="98" spans="1:30">
      <c r="A98" s="21" t="s">
        <v>601</v>
      </c>
      <c r="B98" s="21" t="s">
        <v>602</v>
      </c>
      <c r="C98" s="23">
        <v>431.10333876805271</v>
      </c>
      <c r="D98" s="147">
        <v>21.16325481224986</v>
      </c>
      <c r="E98" s="22">
        <v>166.42196721066949</v>
      </c>
      <c r="F98" s="22">
        <v>187.58522202291937</v>
      </c>
      <c r="G98" s="22">
        <v>0</v>
      </c>
      <c r="H98" s="22">
        <v>19.675998538644457</v>
      </c>
      <c r="I98" s="22">
        <v>0.80392231005697479</v>
      </c>
      <c r="J98" s="22">
        <v>0</v>
      </c>
      <c r="K98" s="22">
        <v>0</v>
      </c>
      <c r="L98" s="22">
        <v>0</v>
      </c>
      <c r="M98" s="388">
        <v>1464.1937523356441</v>
      </c>
      <c r="N98" s="25">
        <v>0.90959999999999996</v>
      </c>
      <c r="O98" s="24">
        <v>1444.0454494398409</v>
      </c>
      <c r="P98" s="24">
        <v>571.53851730613053</v>
      </c>
      <c r="Q98" s="24">
        <v>355.98684792210418</v>
      </c>
      <c r="R98" s="22">
        <v>215.55166938402635</v>
      </c>
      <c r="S98" s="24">
        <v>107.52460897012038</v>
      </c>
      <c r="T98" s="24">
        <f t="shared" si="7"/>
        <v>679.06312627625096</v>
      </c>
      <c r="U98" s="376">
        <v>1331.83</v>
      </c>
      <c r="V98" s="376">
        <v>73.209999999999994</v>
      </c>
      <c r="W98" s="22">
        <f t="shared" si="8"/>
        <v>1211.4325679999999</v>
      </c>
      <c r="X98" s="22">
        <f t="shared" si="9"/>
        <v>191.18277436042433</v>
      </c>
      <c r="Y98" s="22">
        <v>88.682679828160033</v>
      </c>
      <c r="Z98" s="22">
        <v>102.50009453226428</v>
      </c>
      <c r="AA98" s="371">
        <v>1490.793531769654</v>
      </c>
      <c r="AB98" s="22">
        <v>0.12824228861087145</v>
      </c>
      <c r="AC98" s="24">
        <v>0</v>
      </c>
      <c r="AD98" s="384">
        <v>0</v>
      </c>
    </row>
    <row r="99" spans="1:30">
      <c r="A99" s="21" t="s">
        <v>447</v>
      </c>
      <c r="B99" s="21" t="s">
        <v>448</v>
      </c>
      <c r="C99" s="23">
        <v>636.30450841009554</v>
      </c>
      <c r="D99" s="147">
        <v>71.488791421816487</v>
      </c>
      <c r="E99" s="22">
        <v>134.10429034637909</v>
      </c>
      <c r="F99" s="22">
        <v>205.59308176819559</v>
      </c>
      <c r="G99" s="22">
        <v>0</v>
      </c>
      <c r="H99" s="22">
        <v>12.129177852984608</v>
      </c>
      <c r="I99" s="22">
        <v>8.0392231005697479E-2</v>
      </c>
      <c r="J99" s="22">
        <v>140.14375670068213</v>
      </c>
      <c r="K99" s="22">
        <v>50.446124956075174</v>
      </c>
      <c r="L99" s="22">
        <v>0</v>
      </c>
      <c r="M99" s="388">
        <v>2179.8152456617354</v>
      </c>
      <c r="N99" s="25">
        <v>0.46089999999999998</v>
      </c>
      <c r="O99" s="24">
        <v>197.96586885153005</v>
      </c>
      <c r="P99" s="24">
        <v>83.658165390303935</v>
      </c>
      <c r="Q99" s="24">
        <v>51.752498709917752</v>
      </c>
      <c r="R99" s="22">
        <v>31.905666680386187</v>
      </c>
      <c r="S99" s="24">
        <v>7.787997378676943</v>
      </c>
      <c r="T99" s="24">
        <f t="shared" si="7"/>
        <v>91.446162768980884</v>
      </c>
      <c r="U99" s="376">
        <v>1004.68</v>
      </c>
      <c r="V99" s="376">
        <v>108.99</v>
      </c>
      <c r="W99" s="22">
        <f t="shared" si="8"/>
        <v>463.05701199999993</v>
      </c>
      <c r="X99" s="22">
        <f t="shared" si="9"/>
        <v>367.794456851066</v>
      </c>
      <c r="Y99" s="22">
        <v>183.14355125985458</v>
      </c>
      <c r="Z99" s="22">
        <v>184.6509055912114</v>
      </c>
      <c r="AA99" s="371">
        <v>2190.7284910207591</v>
      </c>
      <c r="AB99" s="22">
        <v>0.16788682776462818</v>
      </c>
      <c r="AC99" s="24">
        <v>3.2886827764628174E-2</v>
      </c>
      <c r="AD99" s="384">
        <v>-707959.23521907872</v>
      </c>
    </row>
    <row r="100" spans="1:30">
      <c r="A100" s="21" t="s">
        <v>315</v>
      </c>
      <c r="B100" s="21" t="s">
        <v>316</v>
      </c>
      <c r="C100" s="23">
        <v>100.2893081796076</v>
      </c>
      <c r="D100" s="147">
        <v>0</v>
      </c>
      <c r="E100" s="22">
        <v>0</v>
      </c>
      <c r="F100" s="22">
        <v>0</v>
      </c>
      <c r="G100" s="22">
        <v>0</v>
      </c>
      <c r="H100" s="22">
        <v>0</v>
      </c>
      <c r="I100" s="22">
        <v>0</v>
      </c>
      <c r="J100" s="22">
        <v>0</v>
      </c>
      <c r="K100" s="22">
        <v>0</v>
      </c>
      <c r="L100" s="22">
        <v>0</v>
      </c>
      <c r="M100" s="388">
        <v>215.65215967278348</v>
      </c>
      <c r="N100" s="25">
        <v>0.45540000000000003</v>
      </c>
      <c r="O100" s="24">
        <v>0</v>
      </c>
      <c r="P100" s="24">
        <v>0</v>
      </c>
      <c r="Q100" s="24">
        <v>0</v>
      </c>
      <c r="R100" s="22">
        <v>0</v>
      </c>
      <c r="S100" s="24">
        <v>0</v>
      </c>
      <c r="T100" s="24">
        <f t="shared" si="7"/>
        <v>0</v>
      </c>
      <c r="U100" s="376">
        <v>98.21</v>
      </c>
      <c r="V100" s="376">
        <v>10.78</v>
      </c>
      <c r="W100" s="22">
        <f t="shared" si="8"/>
        <v>44.724834000000001</v>
      </c>
      <c r="X100" s="22">
        <f t="shared" si="9"/>
        <v>24.620120745494852</v>
      </c>
      <c r="Y100" s="22">
        <v>24.620120745494852</v>
      </c>
      <c r="Z100" s="22">
        <v>0</v>
      </c>
      <c r="AA100" s="371">
        <v>215.65215967278348</v>
      </c>
      <c r="AB100" s="22">
        <v>0.11416589002795899</v>
      </c>
      <c r="AC100" s="24">
        <v>0</v>
      </c>
      <c r="AD100" s="384">
        <v>0</v>
      </c>
    </row>
    <row r="101" spans="1:30">
      <c r="A101" s="21" t="s">
        <v>455</v>
      </c>
      <c r="B101" s="21" t="s">
        <v>456</v>
      </c>
      <c r="C101" s="23">
        <v>17.399999999999999</v>
      </c>
      <c r="D101" s="147">
        <v>0</v>
      </c>
      <c r="E101" s="22">
        <v>0</v>
      </c>
      <c r="F101" s="22">
        <v>0</v>
      </c>
      <c r="G101" s="22">
        <v>0</v>
      </c>
      <c r="H101" s="22">
        <v>0</v>
      </c>
      <c r="I101" s="22">
        <v>0</v>
      </c>
      <c r="J101" s="22">
        <v>0</v>
      </c>
      <c r="K101" s="22">
        <v>0</v>
      </c>
      <c r="L101" s="22">
        <v>0</v>
      </c>
      <c r="M101" s="388">
        <v>28</v>
      </c>
      <c r="N101" s="25">
        <v>0.43330000000000002</v>
      </c>
      <c r="O101" s="24">
        <v>0</v>
      </c>
      <c r="P101" s="24">
        <v>0</v>
      </c>
      <c r="Q101" s="24">
        <v>0</v>
      </c>
      <c r="R101" s="22">
        <v>0</v>
      </c>
      <c r="S101" s="24">
        <v>0</v>
      </c>
      <c r="T101" s="24">
        <f t="shared" si="7"/>
        <v>0</v>
      </c>
      <c r="U101" s="376">
        <v>12.13</v>
      </c>
      <c r="V101" s="376">
        <v>0</v>
      </c>
      <c r="W101" s="22">
        <f t="shared" si="8"/>
        <v>5.255929000000001</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161.58838432145194</v>
      </c>
      <c r="N102" s="25">
        <v>0.76880000000000004</v>
      </c>
      <c r="O102" s="24">
        <v>160.78446201139496</v>
      </c>
      <c r="P102" s="24">
        <v>22.107863526566806</v>
      </c>
      <c r="Q102" s="24">
        <v>1.0049028875712185</v>
      </c>
      <c r="R102" s="22">
        <v>21.102960638995587</v>
      </c>
      <c r="S102" s="24">
        <v>2.009805775142437</v>
      </c>
      <c r="T102" s="24">
        <f t="shared" si="7"/>
        <v>24.117669301709242</v>
      </c>
      <c r="U102" s="376">
        <v>0</v>
      </c>
      <c r="V102" s="376">
        <v>0</v>
      </c>
      <c r="W102" s="22">
        <f t="shared" si="8"/>
        <v>0</v>
      </c>
      <c r="X102" s="22">
        <f t="shared" si="9"/>
        <v>37.432632562027891</v>
      </c>
      <c r="Y102" s="22">
        <v>17.837026254389126</v>
      </c>
      <c r="Z102" s="22">
        <v>19.595606307638761</v>
      </c>
      <c r="AA102" s="371">
        <v>161.58838432145194</v>
      </c>
      <c r="AB102" s="22">
        <v>0.2316542288557214</v>
      </c>
      <c r="AC102" s="24">
        <v>9.6654228855721391E-2</v>
      </c>
      <c r="AD102" s="384">
        <v>-146478.0262267467</v>
      </c>
    </row>
    <row r="103" spans="1:30">
      <c r="A103" s="21" t="s">
        <v>61</v>
      </c>
      <c r="B103" s="21" t="s">
        <v>62</v>
      </c>
      <c r="C103" s="23">
        <v>70.745163285013788</v>
      </c>
      <c r="D103" s="147">
        <v>0</v>
      </c>
      <c r="E103" s="22">
        <v>0</v>
      </c>
      <c r="F103" s="22">
        <v>0</v>
      </c>
      <c r="G103" s="22">
        <v>0</v>
      </c>
      <c r="H103" s="22">
        <v>0</v>
      </c>
      <c r="I103" s="22">
        <v>0</v>
      </c>
      <c r="J103" s="22">
        <v>0</v>
      </c>
      <c r="K103" s="22">
        <v>0</v>
      </c>
      <c r="L103" s="22">
        <v>0</v>
      </c>
      <c r="M103" s="388">
        <v>153.77023985614787</v>
      </c>
      <c r="N103" s="25">
        <v>0.50919999999999999</v>
      </c>
      <c r="O103" s="24">
        <v>0</v>
      </c>
      <c r="P103" s="24">
        <v>3.0147086627136552</v>
      </c>
      <c r="Q103" s="24">
        <v>2.009805775142437</v>
      </c>
      <c r="R103" s="22">
        <v>1.0049028875712185</v>
      </c>
      <c r="S103" s="24">
        <v>1.0049028875712185</v>
      </c>
      <c r="T103" s="24">
        <f t="shared" si="7"/>
        <v>4.0196115502848739</v>
      </c>
      <c r="U103" s="376">
        <v>78.3</v>
      </c>
      <c r="V103" s="376">
        <v>7.69</v>
      </c>
      <c r="W103" s="22">
        <f t="shared" si="8"/>
        <v>39.870359999999998</v>
      </c>
      <c r="X103" s="22">
        <f t="shared" si="9"/>
        <v>20.60050919520998</v>
      </c>
      <c r="Y103" s="22">
        <v>17.585800532496325</v>
      </c>
      <c r="Z103" s="22">
        <v>3.0147086627136552</v>
      </c>
      <c r="AA103" s="371">
        <v>153.77023985614787</v>
      </c>
      <c r="AB103" s="22">
        <v>0.1339694157626454</v>
      </c>
      <c r="AC103" s="24">
        <v>0</v>
      </c>
      <c r="AD103" s="384">
        <v>0</v>
      </c>
    </row>
    <row r="104" spans="1:30">
      <c r="A104" s="21" t="s">
        <v>517</v>
      </c>
      <c r="B104" s="21" t="s">
        <v>518</v>
      </c>
      <c r="C104" s="23">
        <v>240.38281973591117</v>
      </c>
      <c r="D104" s="147">
        <v>0</v>
      </c>
      <c r="E104" s="22">
        <v>0</v>
      </c>
      <c r="F104" s="22">
        <v>0</v>
      </c>
      <c r="G104" s="22">
        <v>0</v>
      </c>
      <c r="H104" s="22">
        <v>0</v>
      </c>
      <c r="I104" s="22">
        <v>0</v>
      </c>
      <c r="J104" s="22">
        <v>0</v>
      </c>
      <c r="K104" s="22">
        <v>0</v>
      </c>
      <c r="L104" s="22">
        <v>0</v>
      </c>
      <c r="M104" s="388">
        <v>605.96649023432042</v>
      </c>
      <c r="N104" s="25">
        <v>0.17130000000000001</v>
      </c>
      <c r="O104" s="24">
        <v>0</v>
      </c>
      <c r="P104" s="24">
        <v>1.5073543313568276</v>
      </c>
      <c r="Q104" s="24">
        <v>0</v>
      </c>
      <c r="R104" s="22">
        <v>1.5073543313568276</v>
      </c>
      <c r="S104" s="24">
        <v>1.0049028875712185</v>
      </c>
      <c r="T104" s="24">
        <f t="shared" si="7"/>
        <v>2.5122572189280463</v>
      </c>
      <c r="U104" s="376">
        <v>103.8</v>
      </c>
      <c r="V104" s="376">
        <v>30.3</v>
      </c>
      <c r="W104" s="22">
        <f t="shared" si="8"/>
        <v>17.780940000000001</v>
      </c>
      <c r="X104" s="22">
        <f t="shared" si="9"/>
        <v>76.623845177305412</v>
      </c>
      <c r="Y104" s="22">
        <v>59.791721810487502</v>
      </c>
      <c r="Z104" s="22">
        <v>16.83212336681791</v>
      </c>
      <c r="AA104" s="371">
        <v>605.96649023432042</v>
      </c>
      <c r="AB104" s="22">
        <v>0.12644898094558965</v>
      </c>
      <c r="AC104" s="24">
        <v>0</v>
      </c>
      <c r="AD104" s="384">
        <v>0</v>
      </c>
    </row>
    <row r="105" spans="1:30">
      <c r="A105" s="21" t="s">
        <v>309</v>
      </c>
      <c r="B105" s="21" t="s">
        <v>310</v>
      </c>
      <c r="C105" s="23">
        <v>43.813765898105125</v>
      </c>
      <c r="D105" s="147">
        <v>1.0651970608254917</v>
      </c>
      <c r="E105" s="22">
        <v>4.4718178496919228</v>
      </c>
      <c r="F105" s="22">
        <v>5.5370149105174145</v>
      </c>
      <c r="G105" s="22">
        <v>0</v>
      </c>
      <c r="H105" s="22">
        <v>1.0049028875712185</v>
      </c>
      <c r="I105" s="22">
        <v>0</v>
      </c>
      <c r="J105" s="22">
        <v>0</v>
      </c>
      <c r="K105" s="22">
        <v>0</v>
      </c>
      <c r="L105" s="22">
        <v>0</v>
      </c>
      <c r="M105" s="388">
        <v>113.0616238806378</v>
      </c>
      <c r="N105" s="25">
        <v>0.52</v>
      </c>
      <c r="O105" s="24">
        <v>113.55402629554769</v>
      </c>
      <c r="P105" s="24">
        <v>0</v>
      </c>
      <c r="Q105" s="24">
        <v>0</v>
      </c>
      <c r="R105" s="22">
        <v>0</v>
      </c>
      <c r="S105" s="24">
        <v>0</v>
      </c>
      <c r="T105" s="24">
        <f t="shared" si="7"/>
        <v>0</v>
      </c>
      <c r="U105" s="376">
        <v>58.79</v>
      </c>
      <c r="V105" s="376">
        <v>0</v>
      </c>
      <c r="W105" s="22">
        <f t="shared" si="8"/>
        <v>30.570800000000002</v>
      </c>
      <c r="X105" s="22">
        <f t="shared" si="9"/>
        <v>23.866443579816437</v>
      </c>
      <c r="Y105" s="22">
        <v>21.354186360888392</v>
      </c>
      <c r="Z105" s="22">
        <v>2.5122572189280463</v>
      </c>
      <c r="AA105" s="371">
        <v>113.0616238806378</v>
      </c>
      <c r="AB105" s="22">
        <v>0.21109234734690246</v>
      </c>
      <c r="AC105" s="24">
        <v>7.6092347346902456E-2</v>
      </c>
      <c r="AD105" s="384">
        <v>-81598.921351905898</v>
      </c>
    </row>
    <row r="106" spans="1:30">
      <c r="A106" s="21" t="s">
        <v>599</v>
      </c>
      <c r="B106" s="21" t="s">
        <v>600</v>
      </c>
      <c r="C106" s="23">
        <v>258.05906152828891</v>
      </c>
      <c r="D106" s="147">
        <v>0</v>
      </c>
      <c r="E106" s="22">
        <v>46.52700369454741</v>
      </c>
      <c r="F106" s="22">
        <v>46.52700369454741</v>
      </c>
      <c r="G106" s="22">
        <v>0</v>
      </c>
      <c r="H106" s="22">
        <v>9.9686366447064874</v>
      </c>
      <c r="I106" s="22">
        <v>0.42205921277991176</v>
      </c>
      <c r="J106" s="22">
        <v>0</v>
      </c>
      <c r="K106" s="22">
        <v>5.4264755928845805</v>
      </c>
      <c r="L106" s="22">
        <v>0</v>
      </c>
      <c r="M106" s="388">
        <v>1038.0043886878143</v>
      </c>
      <c r="N106" s="25">
        <v>0.82350000000000001</v>
      </c>
      <c r="O106" s="24">
        <v>1074.2411868136326</v>
      </c>
      <c r="P106" s="24">
        <v>299.96351194000874</v>
      </c>
      <c r="Q106" s="24">
        <v>203.49283473317175</v>
      </c>
      <c r="R106" s="22">
        <v>96.470677206836967</v>
      </c>
      <c r="S106" s="24">
        <v>82.150811058947113</v>
      </c>
      <c r="T106" s="24">
        <f t="shared" si="7"/>
        <v>382.11432299895586</v>
      </c>
      <c r="U106" s="376">
        <v>854.8</v>
      </c>
      <c r="V106" s="376">
        <v>51.9</v>
      </c>
      <c r="W106" s="22">
        <f t="shared" si="8"/>
        <v>703.92779999999993</v>
      </c>
      <c r="X106" s="22">
        <f t="shared" si="9"/>
        <v>123.85428089315268</v>
      </c>
      <c r="Y106" s="22">
        <v>81.899585337054305</v>
      </c>
      <c r="Z106" s="22">
        <v>41.954695556098372</v>
      </c>
      <c r="AA106" s="371">
        <v>1059.2781828176969</v>
      </c>
      <c r="AB106" s="22">
        <v>0.11692328125148231</v>
      </c>
      <c r="AC106" s="24">
        <v>0</v>
      </c>
      <c r="AD106" s="384">
        <v>0</v>
      </c>
    </row>
    <row r="107" spans="1:30">
      <c r="A107" s="21" t="s">
        <v>191</v>
      </c>
      <c r="B107" s="21" t="s">
        <v>192</v>
      </c>
      <c r="C107" s="23">
        <v>5240.096254326746</v>
      </c>
      <c r="D107" s="147">
        <v>126.31629296770217</v>
      </c>
      <c r="E107" s="22">
        <v>658.55305834092235</v>
      </c>
      <c r="F107" s="22">
        <v>784.86935130862457</v>
      </c>
      <c r="G107" s="22">
        <v>362.40817737368423</v>
      </c>
      <c r="H107" s="22">
        <v>387.43025927420757</v>
      </c>
      <c r="I107" s="22">
        <v>31.523803583109125</v>
      </c>
      <c r="J107" s="22">
        <v>625.62239071521344</v>
      </c>
      <c r="K107" s="22">
        <v>160.9653445311578</v>
      </c>
      <c r="L107" s="22">
        <v>0</v>
      </c>
      <c r="M107" s="388">
        <v>17705.424172232797</v>
      </c>
      <c r="N107" s="25">
        <v>0.70820000000000005</v>
      </c>
      <c r="O107" s="24">
        <v>15906.607807364817</v>
      </c>
      <c r="P107" s="24">
        <v>5706.8434985169497</v>
      </c>
      <c r="Q107" s="24">
        <v>3460.6343190733837</v>
      </c>
      <c r="R107" s="22">
        <v>2246.209179443566</v>
      </c>
      <c r="S107" s="24">
        <v>513.00292410510701</v>
      </c>
      <c r="T107" s="24">
        <f t="shared" si="7"/>
        <v>6219.8464226220567</v>
      </c>
      <c r="U107" s="376">
        <v>12538.98</v>
      </c>
      <c r="V107" s="376">
        <v>885.27</v>
      </c>
      <c r="W107" s="22">
        <f t="shared" si="8"/>
        <v>8880.1056360000002</v>
      </c>
      <c r="X107" s="22">
        <f t="shared" si="9"/>
        <v>2511.5035417623676</v>
      </c>
      <c r="Y107" s="22">
        <v>1769.3827592910229</v>
      </c>
      <c r="Z107" s="22">
        <v>742.1207824713448</v>
      </c>
      <c r="AA107" s="371">
        <v>17546.307849014775</v>
      </c>
      <c r="AB107" s="22">
        <v>0.14313572766269392</v>
      </c>
      <c r="AC107" s="24">
        <v>8.135727662693909E-3</v>
      </c>
      <c r="AD107" s="384">
        <v>-1463517.0971449451</v>
      </c>
    </row>
    <row r="108" spans="1:30">
      <c r="A108" s="21" t="s">
        <v>57</v>
      </c>
      <c r="B108" s="21" t="s">
        <v>58</v>
      </c>
      <c r="C108" s="23">
        <v>540.80858700420265</v>
      </c>
      <c r="D108" s="147">
        <v>9.2652046234066354</v>
      </c>
      <c r="E108" s="22">
        <v>41.482391198939901</v>
      </c>
      <c r="F108" s="22">
        <v>50.74759582234654</v>
      </c>
      <c r="G108" s="22">
        <v>0</v>
      </c>
      <c r="H108" s="22">
        <v>64.414275093315098</v>
      </c>
      <c r="I108" s="22">
        <v>0.55269658816417022</v>
      </c>
      <c r="J108" s="22">
        <v>0</v>
      </c>
      <c r="K108" s="22">
        <v>3.4166698177421426</v>
      </c>
      <c r="L108" s="22">
        <v>0</v>
      </c>
      <c r="M108" s="388">
        <v>1929.1321713282196</v>
      </c>
      <c r="N108" s="25">
        <v>0.18160000000000001</v>
      </c>
      <c r="O108" s="24">
        <v>0</v>
      </c>
      <c r="P108" s="24">
        <v>71.850556461342123</v>
      </c>
      <c r="Q108" s="24">
        <v>49.491467212882512</v>
      </c>
      <c r="R108" s="22">
        <v>22.359089248459611</v>
      </c>
      <c r="S108" s="24">
        <v>11.053931763283403</v>
      </c>
      <c r="T108" s="24">
        <f t="shared" si="7"/>
        <v>82.904488224625524</v>
      </c>
      <c r="U108" s="376">
        <v>350.33</v>
      </c>
      <c r="V108" s="376">
        <v>96.46</v>
      </c>
      <c r="W108" s="22">
        <f t="shared" si="8"/>
        <v>63.619928000000002</v>
      </c>
      <c r="X108" s="22">
        <f t="shared" si="9"/>
        <v>176.61168249064167</v>
      </c>
      <c r="Y108" s="22">
        <v>108.5295118576916</v>
      </c>
      <c r="Z108" s="22">
        <v>68.082170632950053</v>
      </c>
      <c r="AA108" s="371">
        <v>1944.1052243530305</v>
      </c>
      <c r="AB108" s="22">
        <v>9.0844713690543893E-2</v>
      </c>
      <c r="AC108" s="24">
        <v>0</v>
      </c>
      <c r="AD108" s="384">
        <v>0</v>
      </c>
    </row>
    <row r="109" spans="1:30">
      <c r="A109" s="21" t="s">
        <v>325</v>
      </c>
      <c r="B109" s="21" t="s">
        <v>326</v>
      </c>
      <c r="C109" s="23">
        <v>129.83345307420143</v>
      </c>
      <c r="D109" s="147">
        <v>0</v>
      </c>
      <c r="E109" s="22">
        <v>0</v>
      </c>
      <c r="F109" s="22">
        <v>0</v>
      </c>
      <c r="G109" s="22">
        <v>0</v>
      </c>
      <c r="H109" s="22">
        <v>0</v>
      </c>
      <c r="I109" s="22">
        <v>0</v>
      </c>
      <c r="J109" s="22">
        <v>0</v>
      </c>
      <c r="K109" s="22">
        <v>0</v>
      </c>
      <c r="L109" s="22">
        <v>0</v>
      </c>
      <c r="M109" s="388">
        <v>302.07380800390831</v>
      </c>
      <c r="N109" s="25">
        <v>0.8034</v>
      </c>
      <c r="O109" s="24">
        <v>299.46106049622313</v>
      </c>
      <c r="P109" s="24">
        <v>7.536771656784139</v>
      </c>
      <c r="Q109" s="24">
        <v>7.536771656784139</v>
      </c>
      <c r="R109" s="22">
        <v>0</v>
      </c>
      <c r="S109" s="24">
        <v>0</v>
      </c>
      <c r="T109" s="24">
        <f t="shared" si="7"/>
        <v>7.536771656784139</v>
      </c>
      <c r="U109" s="376">
        <v>242.69</v>
      </c>
      <c r="V109" s="376">
        <v>15.1</v>
      </c>
      <c r="W109" s="22">
        <f t="shared" si="8"/>
        <v>194.977146</v>
      </c>
      <c r="X109" s="22">
        <f t="shared" si="9"/>
        <v>36.930181118242281</v>
      </c>
      <c r="Y109" s="22">
        <v>31.151989514707772</v>
      </c>
      <c r="Z109" s="22">
        <v>5.7781916035345064</v>
      </c>
      <c r="AA109" s="371">
        <v>302.07380800390831</v>
      </c>
      <c r="AB109" s="22">
        <v>0.12225548902195608</v>
      </c>
      <c r="AC109" s="24">
        <v>0</v>
      </c>
      <c r="AD109" s="384">
        <v>0</v>
      </c>
    </row>
    <row r="110" spans="1:30">
      <c r="A110" s="21" t="s">
        <v>143</v>
      </c>
      <c r="B110" s="21" t="s">
        <v>144</v>
      </c>
      <c r="C110" s="23">
        <v>422.86313508996875</v>
      </c>
      <c r="D110" s="147">
        <v>17.073300059834999</v>
      </c>
      <c r="E110" s="22">
        <v>127.50207837503619</v>
      </c>
      <c r="F110" s="22">
        <v>144.5753784348712</v>
      </c>
      <c r="G110" s="22">
        <v>0</v>
      </c>
      <c r="H110" s="22">
        <v>21.926981006803988</v>
      </c>
      <c r="I110" s="22">
        <v>0.98480482981979411</v>
      </c>
      <c r="J110" s="22">
        <v>124.27634010593259</v>
      </c>
      <c r="K110" s="22">
        <v>12.139226881860319</v>
      </c>
      <c r="L110" s="22">
        <v>0</v>
      </c>
      <c r="M110" s="388">
        <v>1576.722777685869</v>
      </c>
      <c r="N110" s="25">
        <v>0.76549999999999996</v>
      </c>
      <c r="O110" s="24">
        <v>1589.7563681376676</v>
      </c>
      <c r="P110" s="24">
        <v>98.731708703872215</v>
      </c>
      <c r="Q110" s="24">
        <v>71.348105017556506</v>
      </c>
      <c r="R110" s="22">
        <v>27.383603686315702</v>
      </c>
      <c r="S110" s="24">
        <v>11.807608928961818</v>
      </c>
      <c r="T110" s="24">
        <f t="shared" si="7"/>
        <v>110.53931763283403</v>
      </c>
      <c r="U110" s="376">
        <v>1206.98</v>
      </c>
      <c r="V110" s="376">
        <v>78.84</v>
      </c>
      <c r="W110" s="22">
        <f t="shared" si="8"/>
        <v>923.94318999999996</v>
      </c>
      <c r="X110" s="22">
        <f t="shared" si="9"/>
        <v>237.15708146680754</v>
      </c>
      <c r="Y110" s="22">
        <v>191.68522580420992</v>
      </c>
      <c r="Z110" s="22">
        <v>45.471855662597633</v>
      </c>
      <c r="AA110" s="371">
        <v>1581.3051348531935</v>
      </c>
      <c r="AB110" s="22">
        <v>0.14997553365234909</v>
      </c>
      <c r="AC110" s="24">
        <v>1.4975533652349077E-2</v>
      </c>
      <c r="AD110" s="384">
        <v>-213665.98501719124</v>
      </c>
    </row>
    <row r="111" spans="1:30">
      <c r="A111" s="21" t="s">
        <v>1315</v>
      </c>
      <c r="B111" s="21" t="s">
        <v>1316</v>
      </c>
      <c r="C111" s="23">
        <v>253.23552766794705</v>
      </c>
      <c r="D111" s="147">
        <v>0</v>
      </c>
      <c r="E111" s="22">
        <v>0</v>
      </c>
      <c r="F111" s="22">
        <v>0</v>
      </c>
      <c r="G111" s="22">
        <v>0</v>
      </c>
      <c r="H111" s="22">
        <v>0</v>
      </c>
      <c r="I111" s="22">
        <v>0</v>
      </c>
      <c r="J111" s="22">
        <v>0</v>
      </c>
      <c r="K111" s="22">
        <v>0</v>
      </c>
      <c r="L111" s="22">
        <v>0</v>
      </c>
      <c r="M111" s="388">
        <v>253.23552766794705</v>
      </c>
      <c r="N111" s="25">
        <v>0.54679999999999995</v>
      </c>
      <c r="O111" s="24">
        <v>268.30907098151533</v>
      </c>
      <c r="P111" s="24">
        <v>30.388263320153644</v>
      </c>
      <c r="Q111" s="24">
        <v>30.388263320153644</v>
      </c>
      <c r="R111" s="22">
        <v>0</v>
      </c>
      <c r="S111" s="24">
        <v>0</v>
      </c>
      <c r="T111" s="24">
        <f t="shared" si="7"/>
        <v>30.388263320153644</v>
      </c>
      <c r="U111" s="376">
        <v>138.47</v>
      </c>
      <c r="V111" s="376">
        <v>0</v>
      </c>
      <c r="W111" s="22">
        <f t="shared" si="8"/>
        <v>75.715395999999998</v>
      </c>
      <c r="X111" s="22">
        <f t="shared" si="9"/>
        <v>2.5323552766794708</v>
      </c>
      <c r="Y111" s="22">
        <v>2.5323552766794708</v>
      </c>
      <c r="Z111" s="22">
        <v>0</v>
      </c>
      <c r="AA111" s="371">
        <v>253.23552766794705</v>
      </c>
      <c r="AB111" s="22">
        <v>0.01</v>
      </c>
      <c r="AC111" s="24">
        <v>0</v>
      </c>
      <c r="AD111" s="384">
        <v>0</v>
      </c>
    </row>
    <row r="112" spans="1:30">
      <c r="A112" s="21" t="s">
        <v>1230</v>
      </c>
      <c r="B112" s="21" t="s">
        <v>1231</v>
      </c>
      <c r="C112" s="23">
        <v>293.63262374831004</v>
      </c>
      <c r="D112" s="147">
        <v>0</v>
      </c>
      <c r="E112" s="22">
        <v>0</v>
      </c>
      <c r="F112" s="22">
        <v>0</v>
      </c>
      <c r="G112" s="22">
        <v>0</v>
      </c>
      <c r="H112" s="22">
        <v>0</v>
      </c>
      <c r="I112" s="22">
        <v>0</v>
      </c>
      <c r="J112" s="22">
        <v>0</v>
      </c>
      <c r="K112" s="22">
        <v>0</v>
      </c>
      <c r="L112" s="22">
        <v>0</v>
      </c>
      <c r="M112" s="388">
        <v>293.63262374831004</v>
      </c>
      <c r="N112" s="25">
        <v>0.59</v>
      </c>
      <c r="O112" s="24">
        <v>0</v>
      </c>
      <c r="P112" s="24">
        <v>46.225532828276052</v>
      </c>
      <c r="Q112" s="24">
        <v>46.225532828276052</v>
      </c>
      <c r="R112" s="22">
        <v>0</v>
      </c>
      <c r="S112" s="24">
        <v>0</v>
      </c>
      <c r="T112" s="24">
        <f t="shared" si="7"/>
        <v>46.225532828276052</v>
      </c>
      <c r="U112" s="376">
        <v>173.24</v>
      </c>
      <c r="V112" s="376">
        <v>14.68</v>
      </c>
      <c r="W112" s="22">
        <f t="shared" si="8"/>
        <v>102.2116</v>
      </c>
      <c r="X112" s="22">
        <f t="shared" si="9"/>
        <v>7.787997378676943</v>
      </c>
      <c r="Y112" s="22">
        <v>7.0343202129985292</v>
      </c>
      <c r="Z112" s="22">
        <v>0.75367716567841381</v>
      </c>
      <c r="AA112" s="371">
        <v>293.63262374831004</v>
      </c>
      <c r="AB112" s="22">
        <v>2.652292950034223E-2</v>
      </c>
      <c r="AC112" s="24">
        <v>0</v>
      </c>
      <c r="AD112" s="384">
        <v>0</v>
      </c>
    </row>
    <row r="113" spans="1:30">
      <c r="A113" s="21" t="s">
        <v>1032</v>
      </c>
      <c r="B113" s="21" t="s">
        <v>1042</v>
      </c>
      <c r="C113" s="23">
        <v>529.18186059500363</v>
      </c>
      <c r="D113" s="147">
        <v>0</v>
      </c>
      <c r="E113" s="22">
        <v>0</v>
      </c>
      <c r="F113" s="22">
        <v>0</v>
      </c>
      <c r="G113" s="22">
        <v>0</v>
      </c>
      <c r="H113" s="22">
        <v>0</v>
      </c>
      <c r="I113" s="22">
        <v>0</v>
      </c>
      <c r="J113" s="22">
        <v>0</v>
      </c>
      <c r="K113" s="22">
        <v>0</v>
      </c>
      <c r="L113" s="22">
        <v>0</v>
      </c>
      <c r="M113" s="388">
        <v>600.73094619007441</v>
      </c>
      <c r="N113" s="25">
        <v>0.65</v>
      </c>
      <c r="O113" s="24">
        <v>604.95153831787354</v>
      </c>
      <c r="P113" s="24">
        <v>151.740336023254</v>
      </c>
      <c r="Q113" s="24">
        <v>151.740336023254</v>
      </c>
      <c r="R113" s="22">
        <v>0</v>
      </c>
      <c r="S113" s="24">
        <v>26.881152242530096</v>
      </c>
      <c r="T113" s="24">
        <f t="shared" si="7"/>
        <v>178.62148826578411</v>
      </c>
      <c r="U113" s="376">
        <v>390.48</v>
      </c>
      <c r="V113" s="376">
        <v>30.04</v>
      </c>
      <c r="W113" s="22">
        <f t="shared" si="8"/>
        <v>253.81200000000001</v>
      </c>
      <c r="X113" s="22">
        <f t="shared" si="9"/>
        <v>23.112766414138026</v>
      </c>
      <c r="Y113" s="22">
        <v>23.112766414138026</v>
      </c>
      <c r="Z113" s="22">
        <v>0</v>
      </c>
      <c r="AA113" s="371">
        <v>600.73094619007441</v>
      </c>
      <c r="AB113" s="22">
        <v>3.8474406155904986E-2</v>
      </c>
      <c r="AC113" s="24">
        <v>0</v>
      </c>
      <c r="AD113" s="384">
        <v>0</v>
      </c>
    </row>
    <row r="114" spans="1:30">
      <c r="A114" s="21" t="s">
        <v>107</v>
      </c>
      <c r="B114" s="21" t="s">
        <v>108</v>
      </c>
      <c r="C114" s="23">
        <v>66.92653231224314</v>
      </c>
      <c r="D114" s="147">
        <v>0</v>
      </c>
      <c r="E114" s="22">
        <v>0</v>
      </c>
      <c r="F114" s="22">
        <v>0</v>
      </c>
      <c r="G114" s="22">
        <v>0</v>
      </c>
      <c r="H114" s="22">
        <v>4.4115236764376489</v>
      </c>
      <c r="I114" s="22">
        <v>0.60294173254273109</v>
      </c>
      <c r="J114" s="22">
        <v>0</v>
      </c>
      <c r="K114" s="22">
        <v>0</v>
      </c>
      <c r="L114" s="22">
        <v>0</v>
      </c>
      <c r="M114" s="388">
        <v>227.34922928411243</v>
      </c>
      <c r="N114" s="25">
        <v>0.82379999999999998</v>
      </c>
      <c r="O114" s="24">
        <v>232.13256702895146</v>
      </c>
      <c r="P114" s="24">
        <v>0</v>
      </c>
      <c r="Q114" s="24">
        <v>0</v>
      </c>
      <c r="R114" s="22">
        <v>0</v>
      </c>
      <c r="S114" s="24">
        <v>0</v>
      </c>
      <c r="T114" s="24">
        <f t="shared" si="7"/>
        <v>0</v>
      </c>
      <c r="U114" s="376">
        <v>187.29</v>
      </c>
      <c r="V114" s="376">
        <v>0</v>
      </c>
      <c r="W114" s="22">
        <f t="shared" si="8"/>
        <v>154.289502</v>
      </c>
      <c r="X114" s="22">
        <f t="shared" si="9"/>
        <v>24.368895023602047</v>
      </c>
      <c r="Y114" s="22">
        <v>18.841929141960346</v>
      </c>
      <c r="Z114" s="22">
        <v>5.5269658816417016</v>
      </c>
      <c r="AA114" s="371">
        <v>227.33918025523676</v>
      </c>
      <c r="AB114" s="22">
        <v>0.10719179595986385</v>
      </c>
      <c r="AC114" s="24">
        <v>0</v>
      </c>
      <c r="AD114" s="384">
        <v>0</v>
      </c>
    </row>
    <row r="115" spans="1:30">
      <c r="A115" s="21" t="s">
        <v>435</v>
      </c>
      <c r="B115" s="21" t="s">
        <v>436</v>
      </c>
      <c r="C115" s="23">
        <v>17.48</v>
      </c>
      <c r="D115" s="147">
        <v>0</v>
      </c>
      <c r="E115" s="22">
        <v>0</v>
      </c>
      <c r="F115" s="22">
        <v>0</v>
      </c>
      <c r="G115" s="22">
        <v>0</v>
      </c>
      <c r="H115" s="22">
        <v>0</v>
      </c>
      <c r="I115" s="22">
        <v>0</v>
      </c>
      <c r="J115" s="22">
        <v>0</v>
      </c>
      <c r="K115" s="22">
        <v>0</v>
      </c>
      <c r="L115" s="22">
        <v>0</v>
      </c>
      <c r="M115" s="388">
        <v>23.68</v>
      </c>
      <c r="N115" s="25">
        <v>0.5</v>
      </c>
      <c r="O115" s="24">
        <v>0</v>
      </c>
      <c r="P115" s="24">
        <v>0</v>
      </c>
      <c r="Q115" s="24">
        <v>0</v>
      </c>
      <c r="R115" s="22">
        <v>0</v>
      </c>
      <c r="S115" s="24">
        <v>0</v>
      </c>
      <c r="T115" s="24">
        <f t="shared" si="7"/>
        <v>0</v>
      </c>
      <c r="U115" s="376">
        <v>11.84</v>
      </c>
      <c r="V115" s="376">
        <v>0</v>
      </c>
      <c r="W115" s="22">
        <f t="shared" si="8"/>
        <v>5.92</v>
      </c>
      <c r="X115" s="22">
        <f t="shared" si="9"/>
        <v>4</v>
      </c>
      <c r="Y115" s="22">
        <v>3</v>
      </c>
      <c r="Z115" s="22">
        <v>1</v>
      </c>
      <c r="AA115" s="371">
        <v>23.68</v>
      </c>
      <c r="AB115" s="22">
        <v>0.16891891891891891</v>
      </c>
      <c r="AC115" s="24">
        <v>3.3918918918918906E-2</v>
      </c>
      <c r="AD115" s="384">
        <v>-8860.25831867952</v>
      </c>
    </row>
    <row r="116" spans="1:30">
      <c r="A116" s="21" t="s">
        <v>211</v>
      </c>
      <c r="B116" s="21" t="s">
        <v>212</v>
      </c>
      <c r="C116" s="23">
        <v>5228.7709987838189</v>
      </c>
      <c r="D116" s="147">
        <v>100.97264214315604</v>
      </c>
      <c r="E116" s="22">
        <v>1059.0068590380529</v>
      </c>
      <c r="F116" s="22">
        <v>1159.9795011812089</v>
      </c>
      <c r="G116" s="22">
        <v>0</v>
      </c>
      <c r="H116" s="22">
        <v>583.01450828219379</v>
      </c>
      <c r="I116" s="22">
        <v>60.274075196521679</v>
      </c>
      <c r="J116" s="22">
        <v>8.3808900823439618</v>
      </c>
      <c r="K116" s="22">
        <v>0</v>
      </c>
      <c r="L116" s="22">
        <v>0</v>
      </c>
      <c r="M116" s="388">
        <v>19331.869544795692</v>
      </c>
      <c r="N116" s="25">
        <v>0.10150000000000001</v>
      </c>
      <c r="O116" s="24">
        <v>0</v>
      </c>
      <c r="P116" s="24">
        <v>1271.4533784994842</v>
      </c>
      <c r="Q116" s="24">
        <v>1030.7791369261774</v>
      </c>
      <c r="R116" s="22">
        <v>240.67424157330683</v>
      </c>
      <c r="S116" s="24">
        <v>660.22119713429049</v>
      </c>
      <c r="T116" s="24">
        <f t="shared" si="7"/>
        <v>1931.6745756337746</v>
      </c>
      <c r="U116" s="376">
        <v>1962.18</v>
      </c>
      <c r="V116" s="376">
        <v>966.59</v>
      </c>
      <c r="W116" s="22">
        <f t="shared" si="8"/>
        <v>199.16127000000003</v>
      </c>
      <c r="X116" s="22">
        <f t="shared" si="9"/>
        <v>1574.9340505459922</v>
      </c>
      <c r="Y116" s="22">
        <v>1027.0107510977853</v>
      </c>
      <c r="Z116" s="22">
        <v>547.92329944820688</v>
      </c>
      <c r="AA116" s="371">
        <v>19443.333373085094</v>
      </c>
      <c r="AB116" s="22">
        <v>8.1001236790299191E-2</v>
      </c>
      <c r="AC116" s="24">
        <v>0</v>
      </c>
      <c r="AD116" s="384">
        <v>0</v>
      </c>
    </row>
    <row r="117" spans="1:30">
      <c r="A117" s="21" t="s">
        <v>117</v>
      </c>
      <c r="B117" s="21" t="s">
        <v>118</v>
      </c>
      <c r="C117" s="23">
        <v>13</v>
      </c>
      <c r="D117" s="147">
        <v>0</v>
      </c>
      <c r="E117" s="22">
        <v>3.68</v>
      </c>
      <c r="F117" s="22">
        <v>3.68</v>
      </c>
      <c r="G117" s="22">
        <v>0</v>
      </c>
      <c r="H117" s="22">
        <v>0</v>
      </c>
      <c r="I117" s="22">
        <v>0</v>
      </c>
      <c r="J117" s="22">
        <v>0</v>
      </c>
      <c r="K117" s="22">
        <v>0</v>
      </c>
      <c r="L117" s="22">
        <v>0</v>
      </c>
      <c r="M117" s="388">
        <v>36.4</v>
      </c>
      <c r="N117" s="25">
        <v>0.68179999999999996</v>
      </c>
      <c r="O117" s="24">
        <v>34</v>
      </c>
      <c r="P117" s="24">
        <v>0</v>
      </c>
      <c r="Q117" s="24">
        <v>0</v>
      </c>
      <c r="R117" s="22">
        <v>0</v>
      </c>
      <c r="S117" s="24">
        <v>1</v>
      </c>
      <c r="T117" s="24">
        <f t="shared" si="7"/>
        <v>1</v>
      </c>
      <c r="U117" s="376">
        <v>24.82</v>
      </c>
      <c r="V117" s="376">
        <v>0</v>
      </c>
      <c r="W117" s="22">
        <f t="shared" si="8"/>
        <v>16.922276</v>
      </c>
      <c r="X117" s="22">
        <f t="shared" si="9"/>
        <v>4</v>
      </c>
      <c r="Y117" s="22">
        <v>4</v>
      </c>
      <c r="Z117" s="22">
        <v>0</v>
      </c>
      <c r="AA117" s="371">
        <v>36.4</v>
      </c>
      <c r="AB117" s="22">
        <v>0.10989010989010989</v>
      </c>
      <c r="AC117" s="24">
        <v>0</v>
      </c>
      <c r="AD117" s="384">
        <v>0</v>
      </c>
    </row>
    <row r="118" spans="1:30">
      <c r="A118" s="21" t="s">
        <v>83</v>
      </c>
      <c r="B118" s="21" t="s">
        <v>84</v>
      </c>
      <c r="C118" s="23">
        <v>326.87481126916595</v>
      </c>
      <c r="D118" s="147">
        <v>17.153692290840699</v>
      </c>
      <c r="E118" s="22">
        <v>37.86474080368351</v>
      </c>
      <c r="F118" s="22">
        <v>55.018433094524212</v>
      </c>
      <c r="G118" s="22">
        <v>0</v>
      </c>
      <c r="H118" s="22">
        <v>37.73410342829925</v>
      </c>
      <c r="I118" s="22">
        <v>1.4571091869782669</v>
      </c>
      <c r="J118" s="22">
        <v>37.784348572677814</v>
      </c>
      <c r="K118" s="22">
        <v>0</v>
      </c>
      <c r="L118" s="22">
        <v>0</v>
      </c>
      <c r="M118" s="388">
        <v>1046.927926329447</v>
      </c>
      <c r="N118" s="25">
        <v>0.32329999999999998</v>
      </c>
      <c r="O118" s="24">
        <v>0</v>
      </c>
      <c r="P118" s="24">
        <v>28.890958017672531</v>
      </c>
      <c r="Q118" s="24">
        <v>20.851734917102785</v>
      </c>
      <c r="R118" s="22">
        <v>8.0392231005697479</v>
      </c>
      <c r="S118" s="24">
        <v>2.009805775142437</v>
      </c>
      <c r="T118" s="24">
        <f t="shared" si="7"/>
        <v>30.900763792814967</v>
      </c>
      <c r="U118" s="376">
        <v>338.47</v>
      </c>
      <c r="V118" s="376">
        <v>0</v>
      </c>
      <c r="W118" s="22">
        <f t="shared" si="8"/>
        <v>109.427351</v>
      </c>
      <c r="X118" s="22">
        <f t="shared" si="9"/>
        <v>183.897228425533</v>
      </c>
      <c r="Y118" s="22">
        <v>127.87389244343755</v>
      </c>
      <c r="Z118" s="22">
        <v>56.023335982095432</v>
      </c>
      <c r="AA118" s="371">
        <v>1048.7267024981993</v>
      </c>
      <c r="AB118" s="22">
        <v>0.17535286170121026</v>
      </c>
      <c r="AC118" s="24">
        <v>4.0352861701210246E-2</v>
      </c>
      <c r="AD118" s="384">
        <v>-384784.62226749101</v>
      </c>
    </row>
    <row r="119" spans="1:30">
      <c r="A119" s="21" t="s">
        <v>101</v>
      </c>
      <c r="B119" s="21" t="s">
        <v>102</v>
      </c>
      <c r="C119" s="23">
        <v>22.2</v>
      </c>
      <c r="D119" s="147">
        <v>0</v>
      </c>
      <c r="E119" s="22">
        <v>0</v>
      </c>
      <c r="F119" s="22">
        <v>0</v>
      </c>
      <c r="G119" s="22">
        <v>0</v>
      </c>
      <c r="H119" s="22">
        <v>0</v>
      </c>
      <c r="I119" s="22">
        <v>0</v>
      </c>
      <c r="J119" s="22">
        <v>0</v>
      </c>
      <c r="K119" s="22">
        <v>0</v>
      </c>
      <c r="L119" s="22">
        <v>0</v>
      </c>
      <c r="M119" s="388">
        <v>33.4</v>
      </c>
      <c r="N119" s="25">
        <v>0.93940000000000001</v>
      </c>
      <c r="O119" s="24">
        <v>33</v>
      </c>
      <c r="P119" s="24">
        <v>0</v>
      </c>
      <c r="Q119" s="24">
        <v>0</v>
      </c>
      <c r="R119" s="22">
        <v>0</v>
      </c>
      <c r="S119" s="24">
        <v>0</v>
      </c>
      <c r="T119" s="24">
        <f t="shared" si="7"/>
        <v>0</v>
      </c>
      <c r="U119" s="376">
        <v>31.38</v>
      </c>
      <c r="V119" s="376">
        <v>0</v>
      </c>
      <c r="W119" s="22">
        <f t="shared" si="8"/>
        <v>29.478372</v>
      </c>
      <c r="X119" s="22">
        <f t="shared" si="9"/>
        <v>3.5</v>
      </c>
      <c r="Y119" s="22">
        <v>3.5</v>
      </c>
      <c r="Z119" s="22">
        <v>0</v>
      </c>
      <c r="AA119" s="371">
        <v>33.4</v>
      </c>
      <c r="AB119" s="22">
        <v>0.10479041916167665</v>
      </c>
      <c r="AC119" s="24">
        <v>0</v>
      </c>
      <c r="AD119" s="384">
        <v>0</v>
      </c>
    </row>
    <row r="120" spans="1:30">
      <c r="A120" s="21" t="s">
        <v>87</v>
      </c>
      <c r="B120" s="21" t="s">
        <v>88</v>
      </c>
      <c r="C120" s="23">
        <v>1367.3110649449029</v>
      </c>
      <c r="D120" s="147">
        <v>64.072608111540887</v>
      </c>
      <c r="E120" s="22">
        <v>359.31307647996488</v>
      </c>
      <c r="F120" s="22">
        <v>423.38568459150576</v>
      </c>
      <c r="G120" s="22">
        <v>0</v>
      </c>
      <c r="H120" s="22">
        <v>81.155957200251606</v>
      </c>
      <c r="I120" s="22">
        <v>8.2000075625811437</v>
      </c>
      <c r="J120" s="22">
        <v>236.08183537710636</v>
      </c>
      <c r="K120" s="22">
        <v>15.31472000658537</v>
      </c>
      <c r="L120" s="22">
        <v>1.2259815228368864</v>
      </c>
      <c r="M120" s="388">
        <v>4811.9875261636553</v>
      </c>
      <c r="N120" s="25">
        <v>0.61299999999999999</v>
      </c>
      <c r="O120" s="24">
        <v>4553.2149835851906</v>
      </c>
      <c r="P120" s="24">
        <v>307.24905787490007</v>
      </c>
      <c r="Q120" s="24">
        <v>196.45851452017322</v>
      </c>
      <c r="R120" s="22">
        <v>110.79054335472684</v>
      </c>
      <c r="S120" s="24">
        <v>23.615217857923636</v>
      </c>
      <c r="T120" s="24">
        <f t="shared" si="7"/>
        <v>330.86427573282373</v>
      </c>
      <c r="U120" s="376">
        <v>2950.23</v>
      </c>
      <c r="V120" s="376">
        <v>240.6</v>
      </c>
      <c r="W120" s="22">
        <f t="shared" si="8"/>
        <v>1808.49099</v>
      </c>
      <c r="X120" s="22">
        <f t="shared" si="9"/>
        <v>685.59499504546375</v>
      </c>
      <c r="Y120" s="22">
        <v>356.23807364399693</v>
      </c>
      <c r="Z120" s="22">
        <v>329.35692140146688</v>
      </c>
      <c r="AA120" s="371">
        <v>4804.7321273153912</v>
      </c>
      <c r="AB120" s="22">
        <v>0.14269161669758579</v>
      </c>
      <c r="AC120" s="24">
        <v>7.6916166975857791E-3</v>
      </c>
      <c r="AD120" s="384">
        <v>-333378.6788992869</v>
      </c>
    </row>
    <row r="121" spans="1:30">
      <c r="A121" s="21" t="s">
        <v>17</v>
      </c>
      <c r="B121" s="21" t="s">
        <v>18</v>
      </c>
      <c r="C121" s="23">
        <v>5174.3555074218366</v>
      </c>
      <c r="D121" s="147">
        <v>162.41240468926034</v>
      </c>
      <c r="E121" s="22">
        <v>965.72172398481666</v>
      </c>
      <c r="F121" s="22">
        <v>1128.1341286740769</v>
      </c>
      <c r="G121" s="22">
        <v>439.73545457228948</v>
      </c>
      <c r="H121" s="22">
        <v>270.99216169133052</v>
      </c>
      <c r="I121" s="22">
        <v>13.314963260318645</v>
      </c>
      <c r="J121" s="22">
        <v>795.10931173297524</v>
      </c>
      <c r="K121" s="22">
        <v>28.740222584536848</v>
      </c>
      <c r="L121" s="22">
        <v>0</v>
      </c>
      <c r="M121" s="388">
        <v>18413.528991959858</v>
      </c>
      <c r="N121" s="25">
        <v>0.58799999999999997</v>
      </c>
      <c r="O121" s="24">
        <v>12723.075459539197</v>
      </c>
      <c r="P121" s="24">
        <v>2596.9202872059213</v>
      </c>
      <c r="Q121" s="24">
        <v>1696.024848498324</v>
      </c>
      <c r="R121" s="22">
        <v>900.89543870759735</v>
      </c>
      <c r="S121" s="24">
        <v>494.41222068503947</v>
      </c>
      <c r="T121" s="24">
        <f t="shared" si="7"/>
        <v>3091.3325078909606</v>
      </c>
      <c r="U121" s="376">
        <v>10827.16</v>
      </c>
      <c r="V121" s="376">
        <v>920.68</v>
      </c>
      <c r="W121" s="22">
        <f t="shared" si="8"/>
        <v>6366.3700799999997</v>
      </c>
      <c r="X121" s="22">
        <f t="shared" si="9"/>
        <v>2182.3978460827939</v>
      </c>
      <c r="Y121" s="22">
        <v>1060.1725463876355</v>
      </c>
      <c r="Z121" s="22">
        <v>1122.2252996951584</v>
      </c>
      <c r="AA121" s="371">
        <v>18130.065985433772</v>
      </c>
      <c r="AB121" s="22">
        <v>0.12037451203079992</v>
      </c>
      <c r="AC121" s="24">
        <v>0</v>
      </c>
      <c r="AD121" s="384">
        <v>0</v>
      </c>
    </row>
    <row r="122" spans="1:30">
      <c r="A122" s="21" t="s">
        <v>217</v>
      </c>
      <c r="B122" s="21" t="s">
        <v>218</v>
      </c>
      <c r="C122" s="23">
        <v>7364.8930668939574</v>
      </c>
      <c r="D122" s="147">
        <v>190.46929331024873</v>
      </c>
      <c r="E122" s="22">
        <v>1446.4672653988878</v>
      </c>
      <c r="F122" s="22">
        <v>1636.9365587091365</v>
      </c>
      <c r="G122" s="22">
        <v>0</v>
      </c>
      <c r="H122" s="22">
        <v>737.96048451679997</v>
      </c>
      <c r="I122" s="22">
        <v>53.078970521511764</v>
      </c>
      <c r="J122" s="22">
        <v>52.415734615714754</v>
      </c>
      <c r="K122" s="22">
        <v>188.00728123569928</v>
      </c>
      <c r="L122" s="22">
        <v>6.7127512889757393</v>
      </c>
      <c r="M122" s="388">
        <v>24820.227057496908</v>
      </c>
      <c r="N122" s="25">
        <v>0.52290000000000003</v>
      </c>
      <c r="O122" s="24">
        <v>11571.45675038258</v>
      </c>
      <c r="P122" s="24">
        <v>5834.2149395166016</v>
      </c>
      <c r="Q122" s="24">
        <v>3890.732754953865</v>
      </c>
      <c r="R122" s="22">
        <v>1943.4821845627366</v>
      </c>
      <c r="S122" s="24">
        <v>738.10117092105997</v>
      </c>
      <c r="T122" s="24">
        <f t="shared" si="7"/>
        <v>6572.3161104376613</v>
      </c>
      <c r="U122" s="376">
        <v>12936.3</v>
      </c>
      <c r="V122" s="376">
        <v>1241.01</v>
      </c>
      <c r="W122" s="22">
        <f t="shared" si="8"/>
        <v>6764.3912700000001</v>
      </c>
      <c r="X122" s="22">
        <f t="shared" si="9"/>
        <v>2669.524520832942</v>
      </c>
      <c r="Y122" s="22">
        <v>1488.0099507710818</v>
      </c>
      <c r="Z122" s="22">
        <v>1181.5145700618602</v>
      </c>
      <c r="AA122" s="371">
        <v>24864.07097048164</v>
      </c>
      <c r="AB122" s="22">
        <v>0.10736474023108175</v>
      </c>
      <c r="AC122" s="24">
        <v>0</v>
      </c>
      <c r="AD122" s="384">
        <v>0</v>
      </c>
    </row>
    <row r="123" spans="1:30">
      <c r="A123" s="21" t="s">
        <v>505</v>
      </c>
      <c r="B123" s="21" t="s">
        <v>506</v>
      </c>
      <c r="C123" s="23">
        <v>219.26981006803987</v>
      </c>
      <c r="D123" s="147">
        <v>0</v>
      </c>
      <c r="E123" s="22">
        <v>55.520884538309822</v>
      </c>
      <c r="F123" s="22">
        <v>55.520884538309822</v>
      </c>
      <c r="G123" s="22">
        <v>0</v>
      </c>
      <c r="H123" s="22">
        <v>15.947808825755237</v>
      </c>
      <c r="I123" s="22">
        <v>1.4068640425997059</v>
      </c>
      <c r="J123" s="22">
        <v>328.6635384090427</v>
      </c>
      <c r="K123" s="22">
        <v>0</v>
      </c>
      <c r="L123" s="22">
        <v>0</v>
      </c>
      <c r="M123" s="388">
        <v>1055.7509736823222</v>
      </c>
      <c r="N123" s="25">
        <v>0.53800000000000003</v>
      </c>
      <c r="O123" s="24">
        <v>729.5594963767046</v>
      </c>
      <c r="P123" s="24">
        <v>3.0147086627136552</v>
      </c>
      <c r="Q123" s="24">
        <v>0</v>
      </c>
      <c r="R123" s="22">
        <v>3.0147086627136552</v>
      </c>
      <c r="S123" s="24">
        <v>0</v>
      </c>
      <c r="T123" s="24">
        <f t="shared" si="7"/>
        <v>3.0147086627136552</v>
      </c>
      <c r="U123" s="376">
        <v>517.11</v>
      </c>
      <c r="V123" s="376">
        <v>52.79</v>
      </c>
      <c r="W123" s="22">
        <f t="shared" si="8"/>
        <v>278.20518000000004</v>
      </c>
      <c r="X123" s="22">
        <f t="shared" si="9"/>
        <v>139.17904992861375</v>
      </c>
      <c r="Y123" s="22">
        <v>116.31750923636854</v>
      </c>
      <c r="Z123" s="22">
        <v>22.861540692245221</v>
      </c>
      <c r="AA123" s="371">
        <v>1056.8262197720235</v>
      </c>
      <c r="AB123" s="22">
        <v>0.13169530365989329</v>
      </c>
      <c r="AC123" s="24">
        <v>0</v>
      </c>
      <c r="AD123" s="384">
        <v>0</v>
      </c>
    </row>
    <row r="124" spans="1:30">
      <c r="A124" s="21" t="s">
        <v>21</v>
      </c>
      <c r="B124" s="21" t="s">
        <v>22</v>
      </c>
      <c r="C124" s="23">
        <v>435.92687262839456</v>
      </c>
      <c r="D124" s="147">
        <v>0</v>
      </c>
      <c r="E124" s="22">
        <v>85.54738281893782</v>
      </c>
      <c r="F124" s="22">
        <v>85.54738281893782</v>
      </c>
      <c r="G124" s="22">
        <v>0</v>
      </c>
      <c r="H124" s="22">
        <v>25.926494499337437</v>
      </c>
      <c r="I124" s="22">
        <v>0.30147086627136555</v>
      </c>
      <c r="J124" s="22">
        <v>0</v>
      </c>
      <c r="K124" s="22">
        <v>2.8137280851994118</v>
      </c>
      <c r="L124" s="22">
        <v>0</v>
      </c>
      <c r="M124" s="388">
        <v>1398.3324170842261</v>
      </c>
      <c r="N124" s="25">
        <v>0.70530000000000004</v>
      </c>
      <c r="O124" s="24">
        <v>1396.8150137239936</v>
      </c>
      <c r="P124" s="24">
        <v>345.18414188071358</v>
      </c>
      <c r="Q124" s="24">
        <v>220.57618382188247</v>
      </c>
      <c r="R124" s="22">
        <v>124.60795805883109</v>
      </c>
      <c r="S124" s="24">
        <v>68.333396354842861</v>
      </c>
      <c r="T124" s="24">
        <f t="shared" si="7"/>
        <v>413.51753823555646</v>
      </c>
      <c r="U124" s="376">
        <v>986.24</v>
      </c>
      <c r="V124" s="376">
        <v>69.92</v>
      </c>
      <c r="W124" s="22">
        <f t="shared" si="8"/>
        <v>695.59507200000007</v>
      </c>
      <c r="X124" s="22">
        <f t="shared" si="9"/>
        <v>178.37026254389127</v>
      </c>
      <c r="Y124" s="22">
        <v>130.3861496623656</v>
      </c>
      <c r="Z124" s="22">
        <v>47.984112881525682</v>
      </c>
      <c r="AA124" s="371">
        <v>1421.5959189314999</v>
      </c>
      <c r="AB124" s="22">
        <v>0.12547184482490492</v>
      </c>
      <c r="AC124" s="24">
        <v>0</v>
      </c>
      <c r="AD124" s="384">
        <v>0</v>
      </c>
    </row>
    <row r="125" spans="1:30">
      <c r="A125" s="21" t="s">
        <v>247</v>
      </c>
      <c r="B125" s="21" t="s">
        <v>248</v>
      </c>
      <c r="C125" s="23">
        <v>156.96583103862432</v>
      </c>
      <c r="D125" s="147">
        <v>14.731876331794064</v>
      </c>
      <c r="E125" s="22">
        <v>40.889498495272875</v>
      </c>
      <c r="F125" s="22">
        <v>55.621374827066937</v>
      </c>
      <c r="G125" s="22">
        <v>0</v>
      </c>
      <c r="H125" s="22">
        <v>12.701972498900203</v>
      </c>
      <c r="I125" s="22">
        <v>0</v>
      </c>
      <c r="J125" s="22">
        <v>0</v>
      </c>
      <c r="K125" s="22">
        <v>0</v>
      </c>
      <c r="L125" s="22">
        <v>0</v>
      </c>
      <c r="M125" s="388">
        <v>580.78362387178572</v>
      </c>
      <c r="N125" s="25">
        <v>0.47520000000000001</v>
      </c>
      <c r="O125" s="24">
        <v>0</v>
      </c>
      <c r="P125" s="24">
        <v>32.408118124171793</v>
      </c>
      <c r="Q125" s="24">
        <v>13.063737538425841</v>
      </c>
      <c r="R125" s="22">
        <v>19.344380585745956</v>
      </c>
      <c r="S125" s="24">
        <v>5.7781916035345064</v>
      </c>
      <c r="T125" s="24">
        <f t="shared" si="7"/>
        <v>38.186309727706302</v>
      </c>
      <c r="U125" s="376">
        <v>275.99</v>
      </c>
      <c r="V125" s="376">
        <v>0</v>
      </c>
      <c r="W125" s="22">
        <f t="shared" si="8"/>
        <v>131.15044800000001</v>
      </c>
      <c r="X125" s="22">
        <f t="shared" si="9"/>
        <v>83.155713946518318</v>
      </c>
      <c r="Y125" s="22">
        <v>61.299076141844324</v>
      </c>
      <c r="Z125" s="22">
        <v>21.856637804674001</v>
      </c>
      <c r="AA125" s="371">
        <v>581.32627143107425</v>
      </c>
      <c r="AB125" s="22">
        <v>0.14304482359245618</v>
      </c>
      <c r="AC125" s="24">
        <v>8.044823592456174E-3</v>
      </c>
      <c r="AD125" s="384">
        <v>-42094.330431509356</v>
      </c>
    </row>
    <row r="126" spans="1:30">
      <c r="A126" s="21" t="s">
        <v>261</v>
      </c>
      <c r="B126" s="21" t="s">
        <v>262</v>
      </c>
      <c r="C126" s="23">
        <v>28</v>
      </c>
      <c r="D126" s="147">
        <v>0</v>
      </c>
      <c r="E126" s="22">
        <v>0</v>
      </c>
      <c r="F126" s="22">
        <v>0</v>
      </c>
      <c r="G126" s="22">
        <v>0</v>
      </c>
      <c r="H126" s="22">
        <v>0.64</v>
      </c>
      <c r="I126" s="22">
        <v>0</v>
      </c>
      <c r="J126" s="22">
        <v>0</v>
      </c>
      <c r="K126" s="22">
        <v>0</v>
      </c>
      <c r="L126" s="22">
        <v>0</v>
      </c>
      <c r="M126" s="388">
        <v>92.7</v>
      </c>
      <c r="N126" s="25">
        <v>0.51759999999999995</v>
      </c>
      <c r="O126" s="24">
        <v>91</v>
      </c>
      <c r="P126" s="24">
        <v>0</v>
      </c>
      <c r="Q126" s="24">
        <v>0</v>
      </c>
      <c r="R126" s="22">
        <v>0</v>
      </c>
      <c r="S126" s="24">
        <v>0</v>
      </c>
      <c r="T126" s="24">
        <f t="shared" si="7"/>
        <v>0</v>
      </c>
      <c r="U126" s="376">
        <v>47.98</v>
      </c>
      <c r="V126" s="376">
        <v>4.6399999999999997</v>
      </c>
      <c r="W126" s="22">
        <f t="shared" si="8"/>
        <v>24.834447999999995</v>
      </c>
      <c r="X126" s="22">
        <f t="shared" si="9"/>
        <v>9.5</v>
      </c>
      <c r="Y126" s="22">
        <v>9.25</v>
      </c>
      <c r="Z126" s="22">
        <v>0.25</v>
      </c>
      <c r="AA126" s="371">
        <v>92.7</v>
      </c>
      <c r="AB126" s="22">
        <v>0.10248112189859762</v>
      </c>
      <c r="AC126" s="24">
        <v>0</v>
      </c>
      <c r="AD126" s="384">
        <v>0</v>
      </c>
    </row>
    <row r="127" spans="1:30">
      <c r="A127" s="21" t="s">
        <v>59</v>
      </c>
      <c r="B127" s="21" t="s">
        <v>60</v>
      </c>
      <c r="C127" s="23">
        <v>467.40043106712517</v>
      </c>
      <c r="D127" s="147">
        <v>0</v>
      </c>
      <c r="E127" s="22">
        <v>45.029698392066301</v>
      </c>
      <c r="F127" s="22">
        <v>45.029698392066301</v>
      </c>
      <c r="G127" s="22">
        <v>0</v>
      </c>
      <c r="H127" s="22">
        <v>46.315974088157461</v>
      </c>
      <c r="I127" s="22">
        <v>1.4068640425997059</v>
      </c>
      <c r="J127" s="22">
        <v>86.361354157870522</v>
      </c>
      <c r="K127" s="22">
        <v>3.0147086627136552</v>
      </c>
      <c r="L127" s="22">
        <v>0</v>
      </c>
      <c r="M127" s="388">
        <v>1680.8407658671229</v>
      </c>
      <c r="N127" s="25">
        <v>0.25490000000000002</v>
      </c>
      <c r="O127" s="24">
        <v>0</v>
      </c>
      <c r="P127" s="24">
        <v>43.462049887455201</v>
      </c>
      <c r="Q127" s="24">
        <v>26.629926520637291</v>
      </c>
      <c r="R127" s="22">
        <v>16.83212336681791</v>
      </c>
      <c r="S127" s="24">
        <v>4.2708372721776788</v>
      </c>
      <c r="T127" s="24">
        <f t="shared" si="7"/>
        <v>47.732887159632881</v>
      </c>
      <c r="U127" s="376">
        <v>428.45</v>
      </c>
      <c r="V127" s="376">
        <v>84.04</v>
      </c>
      <c r="W127" s="22">
        <f t="shared" si="8"/>
        <v>109.211905</v>
      </c>
      <c r="X127" s="22">
        <f t="shared" si="9"/>
        <v>222.33476387513207</v>
      </c>
      <c r="Y127" s="22">
        <v>109.03196330147721</v>
      </c>
      <c r="Z127" s="22">
        <v>113.30280057365488</v>
      </c>
      <c r="AA127" s="371">
        <v>1710.8170190033723</v>
      </c>
      <c r="AB127" s="22">
        <v>0.12995823714955329</v>
      </c>
      <c r="AC127" s="24">
        <v>0</v>
      </c>
      <c r="AD127" s="384">
        <v>0</v>
      </c>
    </row>
    <row r="128" spans="1:30">
      <c r="A128" s="21" t="s">
        <v>409</v>
      </c>
      <c r="B128" s="21" t="s">
        <v>410</v>
      </c>
      <c r="C128" s="23">
        <v>153.34818064336793</v>
      </c>
      <c r="D128" s="147">
        <v>0</v>
      </c>
      <c r="E128" s="22">
        <v>15.254425833331096</v>
      </c>
      <c r="F128" s="22">
        <v>15.254425833331096</v>
      </c>
      <c r="G128" s="22">
        <v>0</v>
      </c>
      <c r="H128" s="22">
        <v>15.706632132738145</v>
      </c>
      <c r="I128" s="22">
        <v>1.2762266672154474</v>
      </c>
      <c r="J128" s="22">
        <v>0</v>
      </c>
      <c r="K128" s="22">
        <v>0.80392231005697479</v>
      </c>
      <c r="L128" s="22">
        <v>0</v>
      </c>
      <c r="M128" s="388">
        <v>580.40176077450872</v>
      </c>
      <c r="N128" s="25">
        <v>0.58089999999999997</v>
      </c>
      <c r="O128" s="24">
        <v>582.84367479130674</v>
      </c>
      <c r="P128" s="24">
        <v>11.053931763283405</v>
      </c>
      <c r="Q128" s="24">
        <v>4.2708372721776788</v>
      </c>
      <c r="R128" s="22">
        <v>6.7830944911057252</v>
      </c>
      <c r="S128" s="24">
        <v>1.0049028875712185</v>
      </c>
      <c r="T128" s="24">
        <f t="shared" si="7"/>
        <v>12.058834650854623</v>
      </c>
      <c r="U128" s="376">
        <v>337.16</v>
      </c>
      <c r="V128" s="376">
        <v>29.02</v>
      </c>
      <c r="W128" s="22">
        <f t="shared" si="8"/>
        <v>195.856244</v>
      </c>
      <c r="X128" s="22">
        <f t="shared" si="9"/>
        <v>86.924099774910403</v>
      </c>
      <c r="Y128" s="22">
        <v>74.614039402162973</v>
      </c>
      <c r="Z128" s="22">
        <v>12.310060372747426</v>
      </c>
      <c r="AA128" s="371">
        <v>593.01329201352746</v>
      </c>
      <c r="AB128" s="22">
        <v>0.14658035653765336</v>
      </c>
      <c r="AC128" s="24">
        <v>1.1580356537653352E-2</v>
      </c>
      <c r="AD128" s="384">
        <v>-68572.512743427782</v>
      </c>
    </row>
    <row r="129" spans="1:30">
      <c r="A129" s="21" t="s">
        <v>555</v>
      </c>
      <c r="B129" s="21" t="s">
        <v>556</v>
      </c>
      <c r="C129" s="23">
        <v>26</v>
      </c>
      <c r="D129" s="147">
        <v>0</v>
      </c>
      <c r="E129" s="22">
        <v>3.74</v>
      </c>
      <c r="F129" s="22">
        <v>3.74</v>
      </c>
      <c r="G129" s="22">
        <v>0</v>
      </c>
      <c r="H129" s="22">
        <v>0</v>
      </c>
      <c r="I129" s="22">
        <v>0</v>
      </c>
      <c r="J129" s="22">
        <v>0</v>
      </c>
      <c r="K129" s="22">
        <v>0</v>
      </c>
      <c r="L129" s="22">
        <v>0</v>
      </c>
      <c r="M129" s="388">
        <v>79.400000000000006</v>
      </c>
      <c r="N129" s="25">
        <v>0.42470000000000002</v>
      </c>
      <c r="O129" s="24">
        <v>0</v>
      </c>
      <c r="P129" s="24">
        <v>0</v>
      </c>
      <c r="Q129" s="24">
        <v>0</v>
      </c>
      <c r="R129" s="22">
        <v>0</v>
      </c>
      <c r="S129" s="24">
        <v>0</v>
      </c>
      <c r="T129" s="24">
        <f t="shared" si="7"/>
        <v>0</v>
      </c>
      <c r="U129" s="376">
        <v>33.72</v>
      </c>
      <c r="V129" s="376">
        <v>3.97</v>
      </c>
      <c r="W129" s="22">
        <f t="shared" si="8"/>
        <v>14.320884</v>
      </c>
      <c r="X129" s="22">
        <f t="shared" si="9"/>
        <v>10.5</v>
      </c>
      <c r="Y129" s="22">
        <v>8.5</v>
      </c>
      <c r="Z129" s="22">
        <v>2</v>
      </c>
      <c r="AA129" s="371">
        <v>79.400000000000006</v>
      </c>
      <c r="AB129" s="22">
        <v>0.13224181360201509</v>
      </c>
      <c r="AC129" s="24">
        <v>0</v>
      </c>
      <c r="AD129" s="384">
        <v>0</v>
      </c>
    </row>
    <row r="130" spans="1:30">
      <c r="A130" s="21" t="s">
        <v>35</v>
      </c>
      <c r="B130" s="21" t="s">
        <v>36</v>
      </c>
      <c r="C130" s="23">
        <v>310.11303110447807</v>
      </c>
      <c r="D130" s="147">
        <v>0</v>
      </c>
      <c r="E130" s="22">
        <v>101.69617222220731</v>
      </c>
      <c r="F130" s="22">
        <v>101.69617222220731</v>
      </c>
      <c r="G130" s="22">
        <v>0</v>
      </c>
      <c r="H130" s="22">
        <v>18.862027199711772</v>
      </c>
      <c r="I130" s="22">
        <v>5.0245144378560924E-2</v>
      </c>
      <c r="J130" s="22">
        <v>6.4313784804557983</v>
      </c>
      <c r="K130" s="22">
        <v>0</v>
      </c>
      <c r="L130" s="22">
        <v>0</v>
      </c>
      <c r="M130" s="388">
        <v>1260.9722413821164</v>
      </c>
      <c r="N130" s="25">
        <v>0.61150000000000004</v>
      </c>
      <c r="O130" s="24">
        <v>1258.1384152391656</v>
      </c>
      <c r="P130" s="24">
        <v>359.75523375049625</v>
      </c>
      <c r="Q130" s="24">
        <v>231.37888986327306</v>
      </c>
      <c r="R130" s="22">
        <v>128.37634388722316</v>
      </c>
      <c r="S130" s="24">
        <v>33.161795289850211</v>
      </c>
      <c r="T130" s="24">
        <f t="shared" si="7"/>
        <v>392.91702904034645</v>
      </c>
      <c r="U130" s="376">
        <v>771.08</v>
      </c>
      <c r="V130" s="376">
        <v>63.05</v>
      </c>
      <c r="W130" s="22">
        <f t="shared" si="8"/>
        <v>471.51542000000006</v>
      </c>
      <c r="X130" s="22">
        <f t="shared" si="9"/>
        <v>128.62756960911597</v>
      </c>
      <c r="Y130" s="22">
        <v>108.7807375795844</v>
      </c>
      <c r="Z130" s="22">
        <v>19.846832029531566</v>
      </c>
      <c r="AA130" s="371">
        <v>1262.107781645072</v>
      </c>
      <c r="AB130" s="22">
        <v>0.10191488514670169</v>
      </c>
      <c r="AC130" s="24">
        <v>0</v>
      </c>
      <c r="AD130" s="384">
        <v>0</v>
      </c>
    </row>
    <row r="131" spans="1:30">
      <c r="A131" s="21" t="s">
        <v>155</v>
      </c>
      <c r="B131" s="21" t="s">
        <v>156</v>
      </c>
      <c r="C131" s="23">
        <v>50.446124956075174</v>
      </c>
      <c r="D131" s="147">
        <v>0</v>
      </c>
      <c r="E131" s="22">
        <v>5.0245144378560926</v>
      </c>
      <c r="F131" s="22">
        <v>5.0245144378560926</v>
      </c>
      <c r="G131" s="22">
        <v>0</v>
      </c>
      <c r="H131" s="22">
        <v>6.6625061445971783</v>
      </c>
      <c r="I131" s="22">
        <v>1.085295118576916</v>
      </c>
      <c r="J131" s="22">
        <v>0</v>
      </c>
      <c r="K131" s="22">
        <v>0</v>
      </c>
      <c r="L131" s="22">
        <v>0</v>
      </c>
      <c r="M131" s="388">
        <v>175.62687766082186</v>
      </c>
      <c r="N131" s="25">
        <v>1</v>
      </c>
      <c r="O131" s="24">
        <v>173.84819954982081</v>
      </c>
      <c r="P131" s="24">
        <v>48.235338603418484</v>
      </c>
      <c r="Q131" s="24">
        <v>27.132377964422901</v>
      </c>
      <c r="R131" s="22">
        <v>21.102960638995587</v>
      </c>
      <c r="S131" s="24">
        <v>3.0147086627136552</v>
      </c>
      <c r="T131" s="24">
        <f t="shared" si="7"/>
        <v>51.250047266132142</v>
      </c>
      <c r="U131" s="376">
        <v>175.63</v>
      </c>
      <c r="V131" s="376">
        <v>0</v>
      </c>
      <c r="W131" s="22">
        <f t="shared" si="8"/>
        <v>175.63</v>
      </c>
      <c r="X131" s="22">
        <f t="shared" si="9"/>
        <v>32.659343846064601</v>
      </c>
      <c r="Y131" s="22">
        <v>17.083349088710715</v>
      </c>
      <c r="Z131" s="22">
        <v>15.575994757353886</v>
      </c>
      <c r="AA131" s="371">
        <v>175.62687766082186</v>
      </c>
      <c r="AB131" s="22">
        <v>0.1859586885621102</v>
      </c>
      <c r="AC131" s="24">
        <v>5.0958688562110194E-2</v>
      </c>
      <c r="AD131" s="384">
        <v>-80737.03524818705</v>
      </c>
    </row>
    <row r="132" spans="1:30">
      <c r="A132" s="21" t="s">
        <v>425</v>
      </c>
      <c r="B132" s="21" t="s">
        <v>426</v>
      </c>
      <c r="C132" s="23">
        <v>2884.8350135239516</v>
      </c>
      <c r="D132" s="147">
        <v>132.82806367916368</v>
      </c>
      <c r="E132" s="22">
        <v>484.96613354187008</v>
      </c>
      <c r="F132" s="22">
        <v>617.79419722103376</v>
      </c>
      <c r="G132" s="22">
        <v>0</v>
      </c>
      <c r="H132" s="22">
        <v>154.72489759934052</v>
      </c>
      <c r="I132" s="22">
        <v>8.1899585337054308</v>
      </c>
      <c r="J132" s="22">
        <v>71.086830266787999</v>
      </c>
      <c r="K132" s="22">
        <v>0</v>
      </c>
      <c r="L132" s="22">
        <v>0</v>
      </c>
      <c r="M132" s="388">
        <v>9341.77822343956</v>
      </c>
      <c r="N132" s="25">
        <v>0.25</v>
      </c>
      <c r="O132" s="24">
        <v>0</v>
      </c>
      <c r="P132" s="24">
        <v>592.6414779451261</v>
      </c>
      <c r="Q132" s="24">
        <v>448.18668785676346</v>
      </c>
      <c r="R132" s="22">
        <v>144.45479008836267</v>
      </c>
      <c r="S132" s="24">
        <v>149.47930452621875</v>
      </c>
      <c r="T132" s="24">
        <f t="shared" si="7"/>
        <v>742.12078247134491</v>
      </c>
      <c r="U132" s="376">
        <v>2335.44</v>
      </c>
      <c r="V132" s="376">
        <v>467.09</v>
      </c>
      <c r="W132" s="22">
        <f t="shared" si="8"/>
        <v>583.86</v>
      </c>
      <c r="X132" s="22">
        <f t="shared" si="9"/>
        <v>1280.2462787657323</v>
      </c>
      <c r="Y132" s="22">
        <v>711.22001867852987</v>
      </c>
      <c r="Z132" s="22">
        <v>569.02626008720244</v>
      </c>
      <c r="AA132" s="371">
        <v>9392.4152799442745</v>
      </c>
      <c r="AB132" s="22">
        <v>0.13630639623648838</v>
      </c>
      <c r="AC132" s="24">
        <v>1.3063962364883719E-3</v>
      </c>
      <c r="AD132" s="384">
        <v>-125776.22193324172</v>
      </c>
    </row>
    <row r="133" spans="1:30">
      <c r="A133" s="21" t="s">
        <v>215</v>
      </c>
      <c r="B133" s="21" t="s">
        <v>216</v>
      </c>
      <c r="C133" s="23">
        <v>9398.7863642514767</v>
      </c>
      <c r="D133" s="147">
        <v>319.2676964102518</v>
      </c>
      <c r="E133" s="22">
        <v>1633.0877806497385</v>
      </c>
      <c r="F133" s="22">
        <v>1952.3554770599903</v>
      </c>
      <c r="G133" s="22">
        <v>314.50445672316425</v>
      </c>
      <c r="H133" s="22">
        <v>511.04336347434315</v>
      </c>
      <c r="I133" s="22">
        <v>41.914499440595527</v>
      </c>
      <c r="J133" s="22">
        <v>292.40664222547315</v>
      </c>
      <c r="K133" s="22">
        <v>0</v>
      </c>
      <c r="L133" s="22">
        <v>0</v>
      </c>
      <c r="M133" s="388">
        <v>30727.397946651181</v>
      </c>
      <c r="N133" s="25">
        <v>0.10920000000000001</v>
      </c>
      <c r="O133" s="24">
        <v>0</v>
      </c>
      <c r="P133" s="24">
        <v>3482.9934083218432</v>
      </c>
      <c r="Q133" s="24">
        <v>2790.1128673414883</v>
      </c>
      <c r="R133" s="22">
        <v>692.88054098035514</v>
      </c>
      <c r="S133" s="24">
        <v>1331.9987774756501</v>
      </c>
      <c r="T133" s="24">
        <f t="shared" si="7"/>
        <v>4814.9921857974932</v>
      </c>
      <c r="U133" s="376">
        <v>3355.43</v>
      </c>
      <c r="V133" s="376">
        <v>1536.37</v>
      </c>
      <c r="W133" s="22">
        <f t="shared" si="8"/>
        <v>366.41295600000001</v>
      </c>
      <c r="X133" s="22">
        <f t="shared" si="9"/>
        <v>2758.4584263829947</v>
      </c>
      <c r="Y133" s="22">
        <v>1827.6671267701536</v>
      </c>
      <c r="Z133" s="22">
        <v>930.79129961284116</v>
      </c>
      <c r="AA133" s="371">
        <v>30632.103005822806</v>
      </c>
      <c r="AB133" s="22">
        <v>9.0051225861268611E-2</v>
      </c>
      <c r="AC133" s="24">
        <v>0</v>
      </c>
      <c r="AD133" s="384">
        <v>0</v>
      </c>
    </row>
    <row r="134" spans="1:30">
      <c r="A134" s="21" t="s">
        <v>441</v>
      </c>
      <c r="B134" s="21" t="s">
        <v>442</v>
      </c>
      <c r="C134" s="23">
        <v>718.34478015140985</v>
      </c>
      <c r="D134" s="147">
        <v>18.500262160186132</v>
      </c>
      <c r="E134" s="22">
        <v>103.82656634385829</v>
      </c>
      <c r="F134" s="22">
        <v>122.32682850404441</v>
      </c>
      <c r="G134" s="22">
        <v>0</v>
      </c>
      <c r="H134" s="22">
        <v>33.53360935825156</v>
      </c>
      <c r="I134" s="22">
        <v>1.6178936489896618</v>
      </c>
      <c r="J134" s="22">
        <v>79.819436359781889</v>
      </c>
      <c r="K134" s="22">
        <v>0</v>
      </c>
      <c r="L134" s="22">
        <v>0</v>
      </c>
      <c r="M134" s="388">
        <v>2554.4329931194097</v>
      </c>
      <c r="N134" s="25">
        <v>0.43070000000000003</v>
      </c>
      <c r="O134" s="24">
        <v>0</v>
      </c>
      <c r="P134" s="24">
        <v>208.76857489292064</v>
      </c>
      <c r="Q134" s="24">
        <v>125.1104095026167</v>
      </c>
      <c r="R134" s="22">
        <v>83.658165390303935</v>
      </c>
      <c r="S134" s="24">
        <v>25.122572189280461</v>
      </c>
      <c r="T134" s="24">
        <f t="shared" si="7"/>
        <v>233.89114708220109</v>
      </c>
      <c r="U134" s="376">
        <v>1101.22</v>
      </c>
      <c r="V134" s="376">
        <v>127.72</v>
      </c>
      <c r="W134" s="22">
        <f t="shared" si="8"/>
        <v>474.29545400000006</v>
      </c>
      <c r="X134" s="22">
        <f t="shared" si="9"/>
        <v>404.97586369120108</v>
      </c>
      <c r="Y134" s="22">
        <v>239.16688724195001</v>
      </c>
      <c r="Z134" s="22">
        <v>165.80897644925105</v>
      </c>
      <c r="AA134" s="371">
        <v>2568.9538398448144</v>
      </c>
      <c r="AB134" s="22">
        <v>0.15764232794298277</v>
      </c>
      <c r="AC134" s="24">
        <v>2.2642327942982765E-2</v>
      </c>
      <c r="AD134" s="384">
        <v>-581211.22212495992</v>
      </c>
    </row>
    <row r="135" spans="1:30">
      <c r="A135" s="21" t="s">
        <v>557</v>
      </c>
      <c r="B135" s="21" t="s">
        <v>558</v>
      </c>
      <c r="C135" s="23">
        <v>0</v>
      </c>
      <c r="D135" s="147">
        <v>0</v>
      </c>
      <c r="E135" s="22">
        <v>0</v>
      </c>
      <c r="F135" s="22">
        <v>0</v>
      </c>
      <c r="G135" s="22">
        <v>0</v>
      </c>
      <c r="H135" s="22">
        <v>0</v>
      </c>
      <c r="I135" s="22">
        <v>0</v>
      </c>
      <c r="J135" s="22">
        <v>0</v>
      </c>
      <c r="K135" s="22">
        <v>0</v>
      </c>
      <c r="L135" s="22">
        <v>0</v>
      </c>
      <c r="M135" s="388">
        <v>36.799999999999997</v>
      </c>
      <c r="N135" s="25">
        <v>0.73529999999999995</v>
      </c>
      <c r="O135" s="24">
        <v>37</v>
      </c>
      <c r="P135" s="24">
        <v>0</v>
      </c>
      <c r="Q135" s="24">
        <v>0</v>
      </c>
      <c r="R135" s="22">
        <v>0</v>
      </c>
      <c r="S135" s="24">
        <v>0</v>
      </c>
      <c r="T135" s="24">
        <f t="shared" si="7"/>
        <v>0</v>
      </c>
      <c r="U135" s="376">
        <v>27.06</v>
      </c>
      <c r="V135" s="376">
        <v>1.84</v>
      </c>
      <c r="W135" s="22">
        <f t="shared" si="8"/>
        <v>19.897217999999999</v>
      </c>
      <c r="X135" s="22">
        <f t="shared" si="9"/>
        <v>8</v>
      </c>
      <c r="Y135" s="22">
        <v>3.75</v>
      </c>
      <c r="Z135" s="22">
        <v>4.25</v>
      </c>
      <c r="AA135" s="371">
        <v>36.799999999999997</v>
      </c>
      <c r="AB135" s="22">
        <v>0.21739130434782611</v>
      </c>
      <c r="AC135" s="24">
        <v>8.23913043478261E-2</v>
      </c>
      <c r="AD135" s="384">
        <v>-24521.889882324918</v>
      </c>
    </row>
    <row r="136" spans="1:30">
      <c r="A136" s="21" t="s">
        <v>471</v>
      </c>
      <c r="B136" s="21" t="s">
        <v>472</v>
      </c>
      <c r="C136" s="23">
        <v>187.51487882078936</v>
      </c>
      <c r="D136" s="147">
        <v>0</v>
      </c>
      <c r="E136" s="22">
        <v>30.227478858142252</v>
      </c>
      <c r="F136" s="22">
        <v>30.227478858142252</v>
      </c>
      <c r="G136" s="22">
        <v>0</v>
      </c>
      <c r="H136" s="22">
        <v>7.657360003292685</v>
      </c>
      <c r="I136" s="22">
        <v>0</v>
      </c>
      <c r="J136" s="22">
        <v>4.6225532828276048</v>
      </c>
      <c r="K136" s="22">
        <v>0</v>
      </c>
      <c r="L136" s="22">
        <v>0</v>
      </c>
      <c r="M136" s="388">
        <v>570.75469305382501</v>
      </c>
      <c r="N136" s="25">
        <v>0.32419999999999999</v>
      </c>
      <c r="O136" s="24">
        <v>0</v>
      </c>
      <c r="P136" s="24">
        <v>1.0049028875712185</v>
      </c>
      <c r="Q136" s="24">
        <v>0</v>
      </c>
      <c r="R136" s="22">
        <v>1.0049028875712185</v>
      </c>
      <c r="S136" s="24">
        <v>0</v>
      </c>
      <c r="T136" s="24">
        <f t="shared" si="7"/>
        <v>1.0049028875712185</v>
      </c>
      <c r="U136" s="376">
        <v>185.04</v>
      </c>
      <c r="V136" s="376">
        <v>0</v>
      </c>
      <c r="W136" s="22">
        <f t="shared" si="8"/>
        <v>59.989967999999998</v>
      </c>
      <c r="X136" s="22">
        <f t="shared" si="9"/>
        <v>64.816236248343586</v>
      </c>
      <c r="Y136" s="22">
        <v>48.989015769096902</v>
      </c>
      <c r="Z136" s="22">
        <v>15.827220479246691</v>
      </c>
      <c r="AA136" s="371">
        <v>571.29734061311342</v>
      </c>
      <c r="AB136" s="22">
        <v>0.11345446869887951</v>
      </c>
      <c r="AC136" s="24">
        <v>0</v>
      </c>
      <c r="AD136" s="384">
        <v>0</v>
      </c>
    </row>
    <row r="137" spans="1:30">
      <c r="A137" s="21" t="s">
        <v>9</v>
      </c>
      <c r="B137" s="21" t="s">
        <v>10</v>
      </c>
      <c r="C137" s="23">
        <v>52.254950153703362</v>
      </c>
      <c r="D137" s="147">
        <v>4.7431416293361508</v>
      </c>
      <c r="E137" s="22">
        <v>13.113982682804401</v>
      </c>
      <c r="F137" s="22">
        <v>17.857124312140552</v>
      </c>
      <c r="G137" s="22">
        <v>0</v>
      </c>
      <c r="H137" s="22">
        <v>1.0049028875712185</v>
      </c>
      <c r="I137" s="22">
        <v>0</v>
      </c>
      <c r="J137" s="22">
        <v>0</v>
      </c>
      <c r="K137" s="22">
        <v>0</v>
      </c>
      <c r="L137" s="22">
        <v>0</v>
      </c>
      <c r="M137" s="388">
        <v>189.12272344090331</v>
      </c>
      <c r="N137" s="25">
        <v>0.70589999999999997</v>
      </c>
      <c r="O137" s="24">
        <v>185.90703420067541</v>
      </c>
      <c r="P137" s="24">
        <v>29.142183739565333</v>
      </c>
      <c r="Q137" s="24">
        <v>18.088251976281931</v>
      </c>
      <c r="R137" s="22">
        <v>11.053931763283403</v>
      </c>
      <c r="S137" s="24">
        <v>4.0196115502848739</v>
      </c>
      <c r="T137" s="24">
        <f t="shared" ref="T137:T200" si="10">S137+P137</f>
        <v>33.161795289850204</v>
      </c>
      <c r="U137" s="376">
        <v>133.5</v>
      </c>
      <c r="V137" s="376">
        <v>0</v>
      </c>
      <c r="W137" s="22">
        <f t="shared" ref="W137:W200" si="11">U137*N137</f>
        <v>94.237650000000002</v>
      </c>
      <c r="X137" s="22">
        <f t="shared" ref="X137:X200" si="12">Y137+Z137</f>
        <v>18.590703420067541</v>
      </c>
      <c r="Y137" s="22">
        <v>16.078446201139496</v>
      </c>
      <c r="Z137" s="22">
        <v>2.5122572189280463</v>
      </c>
      <c r="AA137" s="371">
        <v>189.12272344090331</v>
      </c>
      <c r="AB137" s="22">
        <v>9.829968119022317E-2</v>
      </c>
      <c r="AC137" s="24">
        <v>0</v>
      </c>
      <c r="AD137" s="384">
        <v>0</v>
      </c>
    </row>
    <row r="138" spans="1:30">
      <c r="A138" s="21" t="s">
        <v>77</v>
      </c>
      <c r="B138" s="21" t="s">
        <v>78</v>
      </c>
      <c r="C138" s="23">
        <v>1868.1345660526465</v>
      </c>
      <c r="D138" s="147">
        <v>46.366219232536018</v>
      </c>
      <c r="E138" s="22">
        <v>378.26554493955808</v>
      </c>
      <c r="F138" s="22">
        <v>424.63176417209411</v>
      </c>
      <c r="G138" s="22">
        <v>0</v>
      </c>
      <c r="H138" s="22">
        <v>133.7726723934806</v>
      </c>
      <c r="I138" s="22">
        <v>10.993637590029129</v>
      </c>
      <c r="J138" s="22">
        <v>108.76063952183299</v>
      </c>
      <c r="K138" s="22">
        <v>28.097084736491269</v>
      </c>
      <c r="L138" s="22">
        <v>1.4470601581025546</v>
      </c>
      <c r="M138" s="388">
        <v>6199.1253250803375</v>
      </c>
      <c r="N138" s="25">
        <v>0.63149999999999995</v>
      </c>
      <c r="O138" s="24">
        <v>4559.2444009106184</v>
      </c>
      <c r="P138" s="24">
        <v>404.72463796930822</v>
      </c>
      <c r="Q138" s="24">
        <v>268.56029670340814</v>
      </c>
      <c r="R138" s="22">
        <v>136.16434126590011</v>
      </c>
      <c r="S138" s="24">
        <v>69.589524964306875</v>
      </c>
      <c r="T138" s="24">
        <f t="shared" si="10"/>
        <v>474.31416293361508</v>
      </c>
      <c r="U138" s="376">
        <v>3888.71</v>
      </c>
      <c r="V138" s="376">
        <v>309.95999999999998</v>
      </c>
      <c r="W138" s="22">
        <f t="shared" si="11"/>
        <v>2455.7203649999997</v>
      </c>
      <c r="X138" s="22">
        <f t="shared" si="12"/>
        <v>1002.1394046303976</v>
      </c>
      <c r="Y138" s="22">
        <v>562.7456170398824</v>
      </c>
      <c r="Z138" s="22">
        <v>439.39378759051527</v>
      </c>
      <c r="AA138" s="371">
        <v>6203.3961623525165</v>
      </c>
      <c r="AB138" s="22">
        <v>0.16154689760299878</v>
      </c>
      <c r="AC138" s="24">
        <v>2.6546897602998776E-2</v>
      </c>
      <c r="AD138" s="384">
        <v>-1492385.0554649855</v>
      </c>
    </row>
    <row r="139" spans="1:30">
      <c r="A139" s="21" t="s">
        <v>493</v>
      </c>
      <c r="B139" s="21" t="s">
        <v>494</v>
      </c>
      <c r="C139" s="23">
        <v>59.289270366701892</v>
      </c>
      <c r="D139" s="147">
        <v>0</v>
      </c>
      <c r="E139" s="22">
        <v>0</v>
      </c>
      <c r="F139" s="22">
        <v>0</v>
      </c>
      <c r="G139" s="22">
        <v>0</v>
      </c>
      <c r="H139" s="22">
        <v>0</v>
      </c>
      <c r="I139" s="22">
        <v>0</v>
      </c>
      <c r="J139" s="22">
        <v>126.91923470024489</v>
      </c>
      <c r="K139" s="22">
        <v>0</v>
      </c>
      <c r="L139" s="22">
        <v>0</v>
      </c>
      <c r="M139" s="388">
        <v>232.23305731770859</v>
      </c>
      <c r="N139" s="25">
        <v>0.56200000000000006</v>
      </c>
      <c r="O139" s="24">
        <v>106.51970608254916</v>
      </c>
      <c r="P139" s="24">
        <v>0</v>
      </c>
      <c r="Q139" s="24">
        <v>0</v>
      </c>
      <c r="R139" s="22">
        <v>0</v>
      </c>
      <c r="S139" s="24">
        <v>0</v>
      </c>
      <c r="T139" s="24">
        <f t="shared" si="10"/>
        <v>0</v>
      </c>
      <c r="U139" s="376">
        <v>129.56</v>
      </c>
      <c r="V139" s="376">
        <v>0</v>
      </c>
      <c r="W139" s="22">
        <f t="shared" si="11"/>
        <v>72.812720000000013</v>
      </c>
      <c r="X139" s="22">
        <f t="shared" si="12"/>
        <v>17.585800532496325</v>
      </c>
      <c r="Y139" s="22">
        <v>10.30025459760499</v>
      </c>
      <c r="Z139" s="22">
        <v>7.2855459348913341</v>
      </c>
      <c r="AA139" s="371">
        <v>232.23305731770859</v>
      </c>
      <c r="AB139" s="22">
        <v>7.5724794461272185E-2</v>
      </c>
      <c r="AC139" s="24">
        <v>0</v>
      </c>
      <c r="AD139" s="384">
        <v>0</v>
      </c>
    </row>
    <row r="140" spans="1:30">
      <c r="A140" s="21" t="s">
        <v>397</v>
      </c>
      <c r="B140" s="21" t="s">
        <v>398</v>
      </c>
      <c r="C140" s="23">
        <v>63.509862494501014</v>
      </c>
      <c r="D140" s="147">
        <v>0.70343202129985294</v>
      </c>
      <c r="E140" s="22">
        <v>12.631629296770218</v>
      </c>
      <c r="F140" s="22">
        <v>13.335061318070071</v>
      </c>
      <c r="G140" s="22">
        <v>0</v>
      </c>
      <c r="H140" s="22">
        <v>1.3264718115940084</v>
      </c>
      <c r="I140" s="22">
        <v>0.10049028875712185</v>
      </c>
      <c r="J140" s="22">
        <v>19.846832029531566</v>
      </c>
      <c r="K140" s="22">
        <v>0</v>
      </c>
      <c r="L140" s="22">
        <v>0</v>
      </c>
      <c r="M140" s="388">
        <v>243.00561627247208</v>
      </c>
      <c r="N140" s="25">
        <v>0.44</v>
      </c>
      <c r="O140" s="24">
        <v>0</v>
      </c>
      <c r="P140" s="24">
        <v>18.088251976281931</v>
      </c>
      <c r="Q140" s="24">
        <v>14.068640425997058</v>
      </c>
      <c r="R140" s="22">
        <v>4.0196115502848739</v>
      </c>
      <c r="S140" s="24">
        <v>0</v>
      </c>
      <c r="T140" s="24">
        <f t="shared" si="10"/>
        <v>18.088251976281931</v>
      </c>
      <c r="U140" s="376">
        <v>106.92</v>
      </c>
      <c r="V140" s="376">
        <v>12.15</v>
      </c>
      <c r="W140" s="22">
        <f t="shared" si="11"/>
        <v>47.044800000000002</v>
      </c>
      <c r="X140" s="22">
        <f t="shared" si="12"/>
        <v>42.959598443669591</v>
      </c>
      <c r="Y140" s="22">
        <v>38.186309727706302</v>
      </c>
      <c r="Z140" s="22">
        <v>4.7732887159632877</v>
      </c>
      <c r="AA140" s="371">
        <v>243.00561627247205</v>
      </c>
      <c r="AB140" s="22">
        <v>0.17678438507981142</v>
      </c>
      <c r="AC140" s="24">
        <v>4.1784385079811415E-2</v>
      </c>
      <c r="AD140" s="384">
        <v>-99298.281316739565</v>
      </c>
    </row>
    <row r="141" spans="1:30">
      <c r="A141" s="21" t="s">
        <v>1232</v>
      </c>
      <c r="B141" s="21" t="s">
        <v>1233</v>
      </c>
      <c r="C141" s="23">
        <v>0</v>
      </c>
      <c r="D141" s="147">
        <v>0</v>
      </c>
      <c r="E141" s="22">
        <v>0</v>
      </c>
      <c r="F141" s="22">
        <v>0</v>
      </c>
      <c r="G141" s="22">
        <v>0</v>
      </c>
      <c r="H141" s="22">
        <v>0</v>
      </c>
      <c r="I141" s="22">
        <v>0</v>
      </c>
      <c r="J141" s="22">
        <v>0</v>
      </c>
      <c r="K141" s="22">
        <v>0.8</v>
      </c>
      <c r="L141" s="22">
        <v>0</v>
      </c>
      <c r="M141" s="388">
        <v>34.599999999999994</v>
      </c>
      <c r="N141" s="25">
        <v>0.87180000000000002</v>
      </c>
      <c r="O141" s="24">
        <v>39</v>
      </c>
      <c r="P141" s="24">
        <v>0</v>
      </c>
      <c r="Q141" s="24">
        <v>0</v>
      </c>
      <c r="R141" s="22">
        <v>0</v>
      </c>
      <c r="S141" s="24">
        <v>0</v>
      </c>
      <c r="T141" s="24">
        <f t="shared" si="10"/>
        <v>0</v>
      </c>
      <c r="U141" s="376">
        <v>29.28</v>
      </c>
      <c r="V141" s="376">
        <v>0</v>
      </c>
      <c r="W141" s="22">
        <f t="shared" si="11"/>
        <v>25.526304000000003</v>
      </c>
      <c r="X141" s="22">
        <f t="shared" si="12"/>
        <v>6.75</v>
      </c>
      <c r="Y141" s="22">
        <v>6.5</v>
      </c>
      <c r="Z141" s="22">
        <v>0.25</v>
      </c>
      <c r="AA141" s="371">
        <v>34.6</v>
      </c>
      <c r="AB141" s="22">
        <v>0.19508670520231214</v>
      </c>
      <c r="AC141" s="24">
        <v>6.008670520231213E-2</v>
      </c>
      <c r="AD141" s="384">
        <v>-18228.70847099381</v>
      </c>
    </row>
    <row r="142" spans="1:30">
      <c r="A142" s="21" t="s">
        <v>553</v>
      </c>
      <c r="B142" s="21" t="s">
        <v>554</v>
      </c>
      <c r="C142" s="23">
        <v>123.20109401623138</v>
      </c>
      <c r="D142" s="147">
        <v>0</v>
      </c>
      <c r="E142" s="22">
        <v>0</v>
      </c>
      <c r="F142" s="22">
        <v>0</v>
      </c>
      <c r="G142" s="22">
        <v>0</v>
      </c>
      <c r="H142" s="22">
        <v>2.019854804018149</v>
      </c>
      <c r="I142" s="22">
        <v>0</v>
      </c>
      <c r="J142" s="22">
        <v>0</v>
      </c>
      <c r="K142" s="22">
        <v>0</v>
      </c>
      <c r="L142" s="22">
        <v>0</v>
      </c>
      <c r="M142" s="388">
        <v>401.08688951630046</v>
      </c>
      <c r="N142" s="25">
        <v>0.9375</v>
      </c>
      <c r="O142" s="24">
        <v>410.00037812905714</v>
      </c>
      <c r="P142" s="24">
        <v>0</v>
      </c>
      <c r="Q142" s="24">
        <v>0</v>
      </c>
      <c r="R142" s="22">
        <v>0</v>
      </c>
      <c r="S142" s="24">
        <v>0</v>
      </c>
      <c r="T142" s="24">
        <f t="shared" si="10"/>
        <v>0</v>
      </c>
      <c r="U142" s="376">
        <v>376.02</v>
      </c>
      <c r="V142" s="376">
        <v>0</v>
      </c>
      <c r="W142" s="22">
        <f t="shared" si="11"/>
        <v>352.51874999999995</v>
      </c>
      <c r="X142" s="22">
        <f t="shared" si="12"/>
        <v>112.54912340797648</v>
      </c>
      <c r="Y142" s="22">
        <v>88.682679828160033</v>
      </c>
      <c r="Z142" s="22">
        <v>23.86644357981644</v>
      </c>
      <c r="AA142" s="371">
        <v>401.0868895163004</v>
      </c>
      <c r="AB142" s="22">
        <v>0.28061032746223041</v>
      </c>
      <c r="AC142" s="24">
        <v>0.1456103274622304</v>
      </c>
      <c r="AD142" s="384">
        <v>-566390.71869437525</v>
      </c>
    </row>
    <row r="143" spans="1:30">
      <c r="A143" s="21" t="s">
        <v>269</v>
      </c>
      <c r="B143" s="21" t="s">
        <v>270</v>
      </c>
      <c r="C143" s="23">
        <v>62.705940184444032</v>
      </c>
      <c r="D143" s="147">
        <v>0</v>
      </c>
      <c r="E143" s="22">
        <v>0</v>
      </c>
      <c r="F143" s="22">
        <v>0</v>
      </c>
      <c r="G143" s="22">
        <v>0</v>
      </c>
      <c r="H143" s="22">
        <v>13.777218588601407</v>
      </c>
      <c r="I143" s="22">
        <v>0</v>
      </c>
      <c r="J143" s="22">
        <v>0</v>
      </c>
      <c r="K143" s="22">
        <v>0</v>
      </c>
      <c r="L143" s="22">
        <v>0</v>
      </c>
      <c r="M143" s="388">
        <v>215.08941405574362</v>
      </c>
      <c r="N143" s="25">
        <v>0.88739999999999997</v>
      </c>
      <c r="O143" s="24">
        <v>223.08844104081049</v>
      </c>
      <c r="P143" s="24">
        <v>8.0392231005697479</v>
      </c>
      <c r="Q143" s="24">
        <v>6.0294173254273105</v>
      </c>
      <c r="R143" s="22">
        <v>2.009805775142437</v>
      </c>
      <c r="S143" s="24">
        <v>0</v>
      </c>
      <c r="T143" s="24">
        <f t="shared" si="10"/>
        <v>8.0392231005697479</v>
      </c>
      <c r="U143" s="376">
        <v>190.76</v>
      </c>
      <c r="V143" s="376">
        <v>0</v>
      </c>
      <c r="W143" s="22">
        <f t="shared" si="11"/>
        <v>169.28042399999998</v>
      </c>
      <c r="X143" s="22">
        <f t="shared" si="12"/>
        <v>39.693664059063131</v>
      </c>
      <c r="Y143" s="22">
        <v>35.17160106499265</v>
      </c>
      <c r="Z143" s="22">
        <v>4.5220629940704828</v>
      </c>
      <c r="AA143" s="371">
        <v>215.08941405574359</v>
      </c>
      <c r="AB143" s="22">
        <v>0.18454494487011774</v>
      </c>
      <c r="AC143" s="24">
        <v>4.9544944870117735E-2</v>
      </c>
      <c r="AD143" s="384">
        <v>-96644.952685623808</v>
      </c>
    </row>
    <row r="144" spans="1:30">
      <c r="A144" s="21" t="s">
        <v>545</v>
      </c>
      <c r="B144" s="21" t="s">
        <v>546</v>
      </c>
      <c r="C144" s="23">
        <v>878.13438830410928</v>
      </c>
      <c r="D144" s="147">
        <v>15.003200111438291</v>
      </c>
      <c r="E144" s="22">
        <v>219.79235956957692</v>
      </c>
      <c r="F144" s="22">
        <v>234.79555968101522</v>
      </c>
      <c r="G144" s="22">
        <v>0</v>
      </c>
      <c r="H144" s="22">
        <v>106.71063763118769</v>
      </c>
      <c r="I144" s="22">
        <v>6.4313784804557983</v>
      </c>
      <c r="J144" s="22">
        <v>390.51531113905122</v>
      </c>
      <c r="K144" s="22">
        <v>17.344623839479233</v>
      </c>
      <c r="L144" s="22">
        <v>1.5475504468596766</v>
      </c>
      <c r="M144" s="388">
        <v>3335.7148411194053</v>
      </c>
      <c r="N144" s="25">
        <v>0.32329999999999998</v>
      </c>
      <c r="O144" s="24">
        <v>0</v>
      </c>
      <c r="P144" s="24">
        <v>343.92801327124954</v>
      </c>
      <c r="Q144" s="24">
        <v>231.12766414138025</v>
      </c>
      <c r="R144" s="22">
        <v>112.80034912986928</v>
      </c>
      <c r="S144" s="24">
        <v>82.653262502732716</v>
      </c>
      <c r="T144" s="24">
        <f t="shared" si="10"/>
        <v>426.58127577398227</v>
      </c>
      <c r="U144" s="376">
        <v>1078.44</v>
      </c>
      <c r="V144" s="376">
        <v>166.79</v>
      </c>
      <c r="W144" s="22">
        <f t="shared" si="11"/>
        <v>348.65965199999999</v>
      </c>
      <c r="X144" s="22">
        <f t="shared" si="12"/>
        <v>449.69404218812025</v>
      </c>
      <c r="Y144" s="22">
        <v>333.87898439553732</v>
      </c>
      <c r="Z144" s="22">
        <v>115.81505779258293</v>
      </c>
      <c r="AA144" s="371">
        <v>3338.3677847425934</v>
      </c>
      <c r="AB144" s="22">
        <v>0.13470476328083611</v>
      </c>
      <c r="AC144" s="24">
        <v>0</v>
      </c>
      <c r="AD144" s="384">
        <v>0</v>
      </c>
    </row>
    <row r="145" spans="1:30">
      <c r="A145" s="21" t="s">
        <v>591</v>
      </c>
      <c r="B145" s="21" t="s">
        <v>592</v>
      </c>
      <c r="C145" s="23">
        <v>238.76492608692152</v>
      </c>
      <c r="D145" s="147">
        <v>0</v>
      </c>
      <c r="E145" s="22">
        <v>77.759385440260886</v>
      </c>
      <c r="F145" s="22">
        <v>77.759385440260886</v>
      </c>
      <c r="G145" s="22">
        <v>0</v>
      </c>
      <c r="H145" s="22">
        <v>10.631872550503491</v>
      </c>
      <c r="I145" s="22">
        <v>0.92451065656552101</v>
      </c>
      <c r="J145" s="22">
        <v>0</v>
      </c>
      <c r="K145" s="22">
        <v>3.6176503952563865</v>
      </c>
      <c r="L145" s="22">
        <v>0</v>
      </c>
      <c r="M145" s="388">
        <v>812.28310208156745</v>
      </c>
      <c r="N145" s="25">
        <v>0.99119999999999997</v>
      </c>
      <c r="O145" s="24">
        <v>818.99585337054305</v>
      </c>
      <c r="P145" s="24">
        <v>331.36672717660929</v>
      </c>
      <c r="Q145" s="24">
        <v>145.45969297593388</v>
      </c>
      <c r="R145" s="22">
        <v>185.90703420067541</v>
      </c>
      <c r="S145" s="24">
        <v>29.142183739565336</v>
      </c>
      <c r="T145" s="24">
        <f t="shared" si="10"/>
        <v>360.50891091617461</v>
      </c>
      <c r="U145" s="376">
        <v>805.14</v>
      </c>
      <c r="V145" s="376">
        <v>40.61</v>
      </c>
      <c r="W145" s="22">
        <f t="shared" si="11"/>
        <v>798.05476799999997</v>
      </c>
      <c r="X145" s="22">
        <f t="shared" si="12"/>
        <v>83.909391112196744</v>
      </c>
      <c r="Y145" s="22">
        <v>31.654440958493382</v>
      </c>
      <c r="Z145" s="22">
        <v>52.254950153703362</v>
      </c>
      <c r="AA145" s="371">
        <v>815.53898743729803</v>
      </c>
      <c r="AB145" s="22">
        <v>0.10288826457686431</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91.399999999999991</v>
      </c>
      <c r="N146" s="25">
        <v>0.73629999999999995</v>
      </c>
      <c r="O146" s="24">
        <v>93</v>
      </c>
      <c r="P146" s="24">
        <v>5</v>
      </c>
      <c r="Q146" s="24">
        <v>2</v>
      </c>
      <c r="R146" s="22">
        <v>3</v>
      </c>
      <c r="S146" s="24">
        <v>1</v>
      </c>
      <c r="T146" s="24">
        <f t="shared" si="10"/>
        <v>6</v>
      </c>
      <c r="U146" s="376">
        <v>67.3</v>
      </c>
      <c r="V146" s="376">
        <v>0</v>
      </c>
      <c r="W146" s="22">
        <f t="shared" si="11"/>
        <v>49.552989999999994</v>
      </c>
      <c r="X146" s="22">
        <f t="shared" si="12"/>
        <v>9.75</v>
      </c>
      <c r="Y146" s="22">
        <v>7.75</v>
      </c>
      <c r="Z146" s="22">
        <v>2</v>
      </c>
      <c r="AA146" s="371">
        <v>91.4</v>
      </c>
      <c r="AB146" s="22">
        <v>0.10667396061269147</v>
      </c>
      <c r="AC146" s="24">
        <v>0</v>
      </c>
      <c r="AD146" s="384">
        <v>0</v>
      </c>
    </row>
    <row r="147" spans="1:30">
      <c r="A147" s="21" t="s">
        <v>29</v>
      </c>
      <c r="B147" s="21" t="s">
        <v>30</v>
      </c>
      <c r="C147" s="23">
        <v>162.77416972878595</v>
      </c>
      <c r="D147" s="147">
        <v>4.6326023117033177</v>
      </c>
      <c r="E147" s="22">
        <v>12.410550661504548</v>
      </c>
      <c r="F147" s="22">
        <v>17.043152973207867</v>
      </c>
      <c r="G147" s="22">
        <v>0</v>
      </c>
      <c r="H147" s="22">
        <v>0</v>
      </c>
      <c r="I147" s="22">
        <v>0</v>
      </c>
      <c r="J147" s="22">
        <v>0</v>
      </c>
      <c r="K147" s="22">
        <v>0</v>
      </c>
      <c r="L147" s="22">
        <v>0</v>
      </c>
      <c r="M147" s="388">
        <v>601.59516267338563</v>
      </c>
      <c r="N147" s="25">
        <v>0.70520000000000005</v>
      </c>
      <c r="O147" s="24">
        <v>608.97114986815836</v>
      </c>
      <c r="P147" s="24">
        <v>215.30044366213357</v>
      </c>
      <c r="Q147" s="24">
        <v>133.14963260318646</v>
      </c>
      <c r="R147" s="22">
        <v>82.150811058947113</v>
      </c>
      <c r="S147" s="24">
        <v>33.161795289850211</v>
      </c>
      <c r="T147" s="24">
        <f t="shared" si="10"/>
        <v>248.46223895198378</v>
      </c>
      <c r="U147" s="376">
        <v>424.24</v>
      </c>
      <c r="V147" s="376">
        <v>30.08</v>
      </c>
      <c r="W147" s="22">
        <f t="shared" si="11"/>
        <v>299.17404800000003</v>
      </c>
      <c r="X147" s="22">
        <f t="shared" si="12"/>
        <v>72.353007905127726</v>
      </c>
      <c r="Y147" s="22">
        <v>58.033141757237864</v>
      </c>
      <c r="Z147" s="22">
        <v>14.319866147889863</v>
      </c>
      <c r="AA147" s="371">
        <v>601.59516267338563</v>
      </c>
      <c r="AB147" s="22">
        <v>0.1202685998730498</v>
      </c>
      <c r="AC147" s="24">
        <v>0</v>
      </c>
      <c r="AD147" s="384">
        <v>0</v>
      </c>
    </row>
    <row r="148" spans="1:30">
      <c r="A148" s="21" t="s">
        <v>319</v>
      </c>
      <c r="B148" s="21" t="s">
        <v>320</v>
      </c>
      <c r="C148" s="23">
        <v>59.088289789187641</v>
      </c>
      <c r="D148" s="147">
        <v>4.8838280335961217</v>
      </c>
      <c r="E148" s="22">
        <v>18.711291766576089</v>
      </c>
      <c r="F148" s="22">
        <v>23.59511980017221</v>
      </c>
      <c r="G148" s="22">
        <v>0</v>
      </c>
      <c r="H148" s="22">
        <v>4.4919159074433468</v>
      </c>
      <c r="I148" s="22">
        <v>0.3316179528985021</v>
      </c>
      <c r="J148" s="22">
        <v>1280.6482399207607</v>
      </c>
      <c r="K148" s="22">
        <v>0</v>
      </c>
      <c r="L148" s="22">
        <v>0</v>
      </c>
      <c r="M148" s="388">
        <v>1447.4822173153343</v>
      </c>
      <c r="N148" s="25">
        <v>0.20680000000000001</v>
      </c>
      <c r="O148" s="24">
        <v>170.83349088710713</v>
      </c>
      <c r="P148" s="24">
        <v>31.403215236600577</v>
      </c>
      <c r="Q148" s="24">
        <v>27.886055130101312</v>
      </c>
      <c r="R148" s="22">
        <v>3.5171601064992646</v>
      </c>
      <c r="S148" s="24">
        <v>5.2757401597488967</v>
      </c>
      <c r="T148" s="24">
        <f t="shared" si="10"/>
        <v>36.678955396349473</v>
      </c>
      <c r="U148" s="376">
        <v>299.33999999999997</v>
      </c>
      <c r="V148" s="376">
        <v>72.37</v>
      </c>
      <c r="W148" s="22">
        <f t="shared" si="11"/>
        <v>61.903511999999999</v>
      </c>
      <c r="X148" s="22">
        <f t="shared" si="12"/>
        <v>247.45733606441257</v>
      </c>
      <c r="Y148" s="22">
        <v>213.03941216509833</v>
      </c>
      <c r="Z148" s="22">
        <v>34.417923899314232</v>
      </c>
      <c r="AA148" s="371">
        <v>1449.0297677621943</v>
      </c>
      <c r="AB148" s="22">
        <v>0.17077450137313102</v>
      </c>
      <c r="AC148" s="24">
        <v>3.5774501373131012E-2</v>
      </c>
      <c r="AD148" s="384">
        <v>-448399.08766296133</v>
      </c>
    </row>
    <row r="149" spans="1:30">
      <c r="A149" s="21" t="s">
        <v>501</v>
      </c>
      <c r="B149" s="21" t="s">
        <v>502</v>
      </c>
      <c r="C149" s="23">
        <v>118.77952131091803</v>
      </c>
      <c r="D149" s="147">
        <v>0</v>
      </c>
      <c r="E149" s="22">
        <v>39.522830568176019</v>
      </c>
      <c r="F149" s="22">
        <v>39.522830568176019</v>
      </c>
      <c r="G149" s="22">
        <v>0</v>
      </c>
      <c r="H149" s="22">
        <v>5.9490250944216134</v>
      </c>
      <c r="I149" s="22">
        <v>1.025000945322643</v>
      </c>
      <c r="J149" s="22">
        <v>37.965231092440632</v>
      </c>
      <c r="K149" s="22">
        <v>0</v>
      </c>
      <c r="L149" s="22">
        <v>0</v>
      </c>
      <c r="M149" s="388">
        <v>452.92982948609949</v>
      </c>
      <c r="N149" s="25">
        <v>0.78349999999999997</v>
      </c>
      <c r="O149" s="24">
        <v>452.20629940704833</v>
      </c>
      <c r="P149" s="24">
        <v>1.0049028875712185</v>
      </c>
      <c r="Q149" s="24">
        <v>0</v>
      </c>
      <c r="R149" s="22">
        <v>1.0049028875712185</v>
      </c>
      <c r="S149" s="24">
        <v>0</v>
      </c>
      <c r="T149" s="24">
        <f t="shared" si="10"/>
        <v>1.0049028875712185</v>
      </c>
      <c r="U149" s="376">
        <v>354.87</v>
      </c>
      <c r="V149" s="376">
        <v>22.65</v>
      </c>
      <c r="W149" s="22">
        <f t="shared" si="11"/>
        <v>278.04064499999998</v>
      </c>
      <c r="X149" s="22">
        <f t="shared" si="12"/>
        <v>71.34810501755652</v>
      </c>
      <c r="Y149" s="22">
        <v>52.254950153703362</v>
      </c>
      <c r="Z149" s="22">
        <v>19.093154863853151</v>
      </c>
      <c r="AA149" s="371">
        <v>452.92982948609961</v>
      </c>
      <c r="AB149" s="22">
        <v>0.15752573659921904</v>
      </c>
      <c r="AC149" s="24">
        <v>2.2525736599219026E-2</v>
      </c>
      <c r="AD149" s="384">
        <v>-91936.849451630638</v>
      </c>
    </row>
    <row r="150" spans="1:30">
      <c r="A150" s="21" t="s">
        <v>433</v>
      </c>
      <c r="B150" s="21" t="s">
        <v>434</v>
      </c>
      <c r="C150" s="23">
        <v>2878.2227525237322</v>
      </c>
      <c r="D150" s="147">
        <v>202.02567651731775</v>
      </c>
      <c r="E150" s="22">
        <v>589.30520035838958</v>
      </c>
      <c r="F150" s="22">
        <v>791.3308768757073</v>
      </c>
      <c r="G150" s="22">
        <v>0</v>
      </c>
      <c r="H150" s="22">
        <v>155.43837864951607</v>
      </c>
      <c r="I150" s="22">
        <v>8.4713313422253709</v>
      </c>
      <c r="J150" s="22">
        <v>338.40104738960781</v>
      </c>
      <c r="K150" s="22">
        <v>76.895168956949632</v>
      </c>
      <c r="L150" s="22">
        <v>0</v>
      </c>
      <c r="M150" s="388">
        <v>9972.2140989862401</v>
      </c>
      <c r="N150" s="25">
        <v>0.50609999999999999</v>
      </c>
      <c r="O150" s="24">
        <v>6412.2853255919454</v>
      </c>
      <c r="P150" s="24">
        <v>1021.4837852161436</v>
      </c>
      <c r="Q150" s="24">
        <v>622.78856457226266</v>
      </c>
      <c r="R150" s="22">
        <v>398.69522064388093</v>
      </c>
      <c r="S150" s="24">
        <v>197.46341740774443</v>
      </c>
      <c r="T150" s="24">
        <f t="shared" si="10"/>
        <v>1218.947202623888</v>
      </c>
      <c r="U150" s="376">
        <v>5049.93</v>
      </c>
      <c r="V150" s="376">
        <v>498.61</v>
      </c>
      <c r="W150" s="22">
        <f t="shared" si="11"/>
        <v>2555.769573</v>
      </c>
      <c r="X150" s="22">
        <f t="shared" si="12"/>
        <v>1510.8714914633269</v>
      </c>
      <c r="Y150" s="22">
        <v>733.57910792698954</v>
      </c>
      <c r="Z150" s="22">
        <v>777.29238353633752</v>
      </c>
      <c r="AA150" s="371">
        <v>10001.969273487224</v>
      </c>
      <c r="AB150" s="22">
        <v>0.15105740181268881</v>
      </c>
      <c r="AC150" s="24">
        <v>1.6057401812688804E-2</v>
      </c>
      <c r="AD150" s="384">
        <v>-1605499.1086802201</v>
      </c>
    </row>
    <row r="151" spans="1:30">
      <c r="A151" s="21" t="s">
        <v>147</v>
      </c>
      <c r="B151" s="21" t="s">
        <v>148</v>
      </c>
      <c r="C151" s="23">
        <v>126.02487113030651</v>
      </c>
      <c r="D151" s="147">
        <v>0</v>
      </c>
      <c r="E151" s="22">
        <v>0</v>
      </c>
      <c r="F151" s="22">
        <v>0</v>
      </c>
      <c r="G151" s="22">
        <v>0</v>
      </c>
      <c r="H151" s="22">
        <v>0</v>
      </c>
      <c r="I151" s="22">
        <v>0</v>
      </c>
      <c r="J151" s="22">
        <v>0</v>
      </c>
      <c r="K151" s="22">
        <v>0</v>
      </c>
      <c r="L151" s="22">
        <v>0</v>
      </c>
      <c r="M151" s="388">
        <v>293.18041744890297</v>
      </c>
      <c r="N151" s="25">
        <v>0.60860000000000003</v>
      </c>
      <c r="O151" s="24">
        <v>292.4267402832246</v>
      </c>
      <c r="P151" s="24">
        <v>2.2610314970352414</v>
      </c>
      <c r="Q151" s="24">
        <v>2.2610314970352414</v>
      </c>
      <c r="R151" s="22">
        <v>0</v>
      </c>
      <c r="S151" s="24">
        <v>0</v>
      </c>
      <c r="T151" s="24">
        <f t="shared" si="10"/>
        <v>2.2610314970352414</v>
      </c>
      <c r="U151" s="376">
        <v>178.43</v>
      </c>
      <c r="V151" s="376">
        <v>14.66</v>
      </c>
      <c r="W151" s="22">
        <f t="shared" si="11"/>
        <v>108.59249800000001</v>
      </c>
      <c r="X151" s="22">
        <f t="shared" si="12"/>
        <v>61.801527585629941</v>
      </c>
      <c r="Y151" s="22">
        <v>51.752498709917752</v>
      </c>
      <c r="Z151" s="22">
        <v>10.049028875712185</v>
      </c>
      <c r="AA151" s="371">
        <v>293.18041744890297</v>
      </c>
      <c r="AB151" s="22">
        <v>0.21079691516709514</v>
      </c>
      <c r="AC151" s="24">
        <v>7.5796915167095136E-2</v>
      </c>
      <c r="AD151" s="384">
        <v>-206635.13673053245</v>
      </c>
    </row>
    <row r="152" spans="1:30">
      <c r="A152" s="21" t="s">
        <v>461</v>
      </c>
      <c r="B152" s="21" t="s">
        <v>462</v>
      </c>
      <c r="C152" s="23">
        <v>2644.52253699017</v>
      </c>
      <c r="D152" s="147">
        <v>408.11116070042323</v>
      </c>
      <c r="E152" s="22">
        <v>323.41794533592093</v>
      </c>
      <c r="F152" s="22">
        <v>731.52910603634416</v>
      </c>
      <c r="G152" s="22">
        <v>0</v>
      </c>
      <c r="H152" s="22">
        <v>303.85248611490931</v>
      </c>
      <c r="I152" s="22">
        <v>12.380403574877413</v>
      </c>
      <c r="J152" s="22">
        <v>540.8789302063326</v>
      </c>
      <c r="K152" s="22">
        <v>9.9786856735821985</v>
      </c>
      <c r="L152" s="22">
        <v>1.7083349088710713</v>
      </c>
      <c r="M152" s="388">
        <v>10237.237137525399</v>
      </c>
      <c r="N152" s="25">
        <v>0.29310000000000003</v>
      </c>
      <c r="O152" s="24">
        <v>353.7258164250689</v>
      </c>
      <c r="P152" s="24">
        <v>284.38751718265485</v>
      </c>
      <c r="Q152" s="24">
        <v>165.30652500546543</v>
      </c>
      <c r="R152" s="22">
        <v>119.08099217718939</v>
      </c>
      <c r="S152" s="24">
        <v>84.411842555982346</v>
      </c>
      <c r="T152" s="24">
        <f t="shared" si="10"/>
        <v>368.79935973863718</v>
      </c>
      <c r="U152" s="376">
        <v>3000.53</v>
      </c>
      <c r="V152" s="376">
        <v>511.86</v>
      </c>
      <c r="W152" s="22">
        <f t="shared" si="11"/>
        <v>879.45534300000008</v>
      </c>
      <c r="X152" s="22">
        <f t="shared" si="12"/>
        <v>1354.106641002217</v>
      </c>
      <c r="Y152" s="22">
        <v>629.06920761958281</v>
      </c>
      <c r="Z152" s="22">
        <v>725.03743338263416</v>
      </c>
      <c r="AA152" s="371">
        <v>10293.381061854003</v>
      </c>
      <c r="AB152" s="22">
        <v>0.13155120099656747</v>
      </c>
      <c r="AC152" s="24">
        <v>0</v>
      </c>
      <c r="AD152" s="384">
        <v>0</v>
      </c>
    </row>
    <row r="153" spans="1:30">
      <c r="A153" s="21" t="s">
        <v>459</v>
      </c>
      <c r="B153" s="21" t="s">
        <v>460</v>
      </c>
      <c r="C153" s="23">
        <v>568.09170040176127</v>
      </c>
      <c r="D153" s="147">
        <v>1.8289232553796178</v>
      </c>
      <c r="E153" s="22">
        <v>129.15011911065301</v>
      </c>
      <c r="F153" s="22">
        <v>130.97904236603262</v>
      </c>
      <c r="G153" s="22">
        <v>0</v>
      </c>
      <c r="H153" s="22">
        <v>23.544874655793649</v>
      </c>
      <c r="I153" s="22">
        <v>1.3063737538425841</v>
      </c>
      <c r="J153" s="22">
        <v>84.080224603083849</v>
      </c>
      <c r="K153" s="22">
        <v>0</v>
      </c>
      <c r="L153" s="22">
        <v>0</v>
      </c>
      <c r="M153" s="388">
        <v>1764.6496666905625</v>
      </c>
      <c r="N153" s="25">
        <v>0.38279999999999997</v>
      </c>
      <c r="O153" s="24">
        <v>22.107863526566806</v>
      </c>
      <c r="P153" s="24">
        <v>21.10296063899559</v>
      </c>
      <c r="Q153" s="24">
        <v>16.580897644925106</v>
      </c>
      <c r="R153" s="22">
        <v>4.5220629940704828</v>
      </c>
      <c r="S153" s="24">
        <v>0</v>
      </c>
      <c r="T153" s="24">
        <f t="shared" si="10"/>
        <v>21.10296063899559</v>
      </c>
      <c r="U153" s="376">
        <v>675.51</v>
      </c>
      <c r="V153" s="376">
        <v>88.23</v>
      </c>
      <c r="W153" s="22">
        <f t="shared" si="11"/>
        <v>258.58522799999997</v>
      </c>
      <c r="X153" s="22">
        <f t="shared" si="12"/>
        <v>231.63011558516587</v>
      </c>
      <c r="Y153" s="22">
        <v>186.15825992256822</v>
      </c>
      <c r="Z153" s="22">
        <v>45.471855662597633</v>
      </c>
      <c r="AA153" s="371">
        <v>1777.9646299508811</v>
      </c>
      <c r="AB153" s="22">
        <v>0.13027824720650658</v>
      </c>
      <c r="AC153" s="24">
        <v>0</v>
      </c>
      <c r="AD153" s="384">
        <v>0</v>
      </c>
    </row>
    <row r="154" spans="1:30">
      <c r="A154" s="21" t="s">
        <v>189</v>
      </c>
      <c r="B154" s="21" t="s">
        <v>190</v>
      </c>
      <c r="C154" s="23">
        <v>952.73837867739655</v>
      </c>
      <c r="D154" s="147">
        <v>16.26937774977803</v>
      </c>
      <c r="E154" s="22">
        <v>289.86423791991797</v>
      </c>
      <c r="F154" s="22">
        <v>306.13361566969598</v>
      </c>
      <c r="G154" s="22">
        <v>0</v>
      </c>
      <c r="H154" s="22">
        <v>47.250533773598697</v>
      </c>
      <c r="I154" s="22">
        <v>3.2257382691036112</v>
      </c>
      <c r="J154" s="22">
        <v>12.671825412273066</v>
      </c>
      <c r="K154" s="22">
        <v>0</v>
      </c>
      <c r="L154" s="22">
        <v>0</v>
      </c>
      <c r="M154" s="388">
        <v>4010.2458553727101</v>
      </c>
      <c r="N154" s="25">
        <v>3.4500000000000003E-2</v>
      </c>
      <c r="O154" s="24">
        <v>0</v>
      </c>
      <c r="P154" s="24">
        <v>114.8101549050117</v>
      </c>
      <c r="Q154" s="24">
        <v>89.185131271945636</v>
      </c>
      <c r="R154" s="22">
        <v>25.625023633066071</v>
      </c>
      <c r="S154" s="24">
        <v>112.54912340797647</v>
      </c>
      <c r="T154" s="24">
        <f t="shared" si="10"/>
        <v>227.35927831298818</v>
      </c>
      <c r="U154" s="376">
        <v>138.35</v>
      </c>
      <c r="V154" s="376">
        <v>200.51</v>
      </c>
      <c r="W154" s="22">
        <f t="shared" si="11"/>
        <v>4.7730750000000004</v>
      </c>
      <c r="X154" s="22">
        <f t="shared" si="12"/>
        <v>390.15354609952556</v>
      </c>
      <c r="Y154" s="22">
        <v>261.52597649040962</v>
      </c>
      <c r="Z154" s="22">
        <v>128.62756960911597</v>
      </c>
      <c r="AA154" s="371">
        <v>4025.1184181087642</v>
      </c>
      <c r="AB154" s="22">
        <v>9.6929706302365748E-2</v>
      </c>
      <c r="AC154" s="24">
        <v>0</v>
      </c>
      <c r="AD154" s="384">
        <v>0</v>
      </c>
    </row>
    <row r="155" spans="1:30">
      <c r="A155" s="21" t="s">
        <v>547</v>
      </c>
      <c r="B155" s="21" t="s">
        <v>548</v>
      </c>
      <c r="C155" s="23">
        <v>446.95065730505081</v>
      </c>
      <c r="D155" s="147">
        <v>0</v>
      </c>
      <c r="E155" s="22">
        <v>61.972361076517046</v>
      </c>
      <c r="F155" s="22">
        <v>61.972361076517046</v>
      </c>
      <c r="G155" s="22">
        <v>0</v>
      </c>
      <c r="H155" s="22">
        <v>44.165481908755055</v>
      </c>
      <c r="I155" s="22">
        <v>2.4620120745494853</v>
      </c>
      <c r="J155" s="22">
        <v>225.42986476885144</v>
      </c>
      <c r="K155" s="22">
        <v>8.7426551218695998</v>
      </c>
      <c r="L155" s="22">
        <v>0.90441259881409664</v>
      </c>
      <c r="M155" s="388">
        <v>1750.2293102539154</v>
      </c>
      <c r="N155" s="25">
        <v>0.37790000000000001</v>
      </c>
      <c r="O155" s="24">
        <v>0</v>
      </c>
      <c r="P155" s="24">
        <v>190.42909719474591</v>
      </c>
      <c r="Q155" s="24">
        <v>134.15453549075767</v>
      </c>
      <c r="R155" s="22">
        <v>56.274561703988233</v>
      </c>
      <c r="S155" s="24">
        <v>24.117669301709242</v>
      </c>
      <c r="T155" s="24">
        <f t="shared" si="10"/>
        <v>214.54676649645515</v>
      </c>
      <c r="U155" s="376">
        <v>661.41</v>
      </c>
      <c r="V155" s="376">
        <v>87.51</v>
      </c>
      <c r="W155" s="22">
        <f t="shared" si="11"/>
        <v>249.94683899999998</v>
      </c>
      <c r="X155" s="22">
        <f t="shared" si="12"/>
        <v>192.18767724799554</v>
      </c>
      <c r="Y155" s="22">
        <v>134.90821265643609</v>
      </c>
      <c r="Z155" s="22">
        <v>57.279464591559453</v>
      </c>
      <c r="AA155" s="371">
        <v>1753.6057839561547</v>
      </c>
      <c r="AB155" s="22">
        <v>0.1095957135898685</v>
      </c>
      <c r="AC155" s="24">
        <v>0</v>
      </c>
      <c r="AD155" s="384">
        <v>0</v>
      </c>
    </row>
    <row r="156" spans="1:30">
      <c r="A156" s="21" t="s">
        <v>337</v>
      </c>
      <c r="B156" s="21" t="s">
        <v>338</v>
      </c>
      <c r="C156" s="23">
        <v>213.70264807089532</v>
      </c>
      <c r="D156" s="147">
        <v>0</v>
      </c>
      <c r="E156" s="22">
        <v>39.321849990661782</v>
      </c>
      <c r="F156" s="22">
        <v>39.321849990661782</v>
      </c>
      <c r="G156" s="22">
        <v>0</v>
      </c>
      <c r="H156" s="22">
        <v>7.1046634151285151</v>
      </c>
      <c r="I156" s="22">
        <v>0.28137280851994118</v>
      </c>
      <c r="J156" s="22">
        <v>25.826004210580315</v>
      </c>
      <c r="K156" s="22">
        <v>0</v>
      </c>
      <c r="L156" s="22">
        <v>0</v>
      </c>
      <c r="M156" s="388">
        <v>719.66120293412803</v>
      </c>
      <c r="N156" s="25">
        <v>0.39369999999999999</v>
      </c>
      <c r="O156" s="24">
        <v>42.205921277991173</v>
      </c>
      <c r="P156" s="24">
        <v>24.117669301709242</v>
      </c>
      <c r="Q156" s="24">
        <v>16.078446201139496</v>
      </c>
      <c r="R156" s="22">
        <v>8.0392231005697479</v>
      </c>
      <c r="S156" s="24">
        <v>3.2659343846064601</v>
      </c>
      <c r="T156" s="24">
        <f t="shared" si="10"/>
        <v>27.383603686315702</v>
      </c>
      <c r="U156" s="376">
        <v>283.33</v>
      </c>
      <c r="V156" s="376">
        <v>35.979999999999997</v>
      </c>
      <c r="W156" s="22">
        <f t="shared" si="11"/>
        <v>111.54702099999999</v>
      </c>
      <c r="X156" s="22">
        <f t="shared" si="12"/>
        <v>77.628748064876618</v>
      </c>
      <c r="Y156" s="22">
        <v>68.584622076735656</v>
      </c>
      <c r="Z156" s="22">
        <v>9.0441259881409657</v>
      </c>
      <c r="AA156" s="371">
        <v>719.67125196300378</v>
      </c>
      <c r="AB156" s="22">
        <v>0.10786695710455764</v>
      </c>
      <c r="AC156" s="24">
        <v>0</v>
      </c>
      <c r="AD156" s="384">
        <v>0</v>
      </c>
    </row>
    <row r="157" spans="1:30">
      <c r="A157" s="21" t="s">
        <v>419</v>
      </c>
      <c r="B157" s="21" t="s">
        <v>420</v>
      </c>
      <c r="C157" s="23">
        <v>10.27</v>
      </c>
      <c r="D157" s="147">
        <v>0</v>
      </c>
      <c r="E157" s="22">
        <v>0</v>
      </c>
      <c r="F157" s="22">
        <v>0</v>
      </c>
      <c r="G157" s="22">
        <v>0</v>
      </c>
      <c r="H157" s="22">
        <v>0</v>
      </c>
      <c r="I157" s="22">
        <v>0</v>
      </c>
      <c r="J157" s="22">
        <v>0</v>
      </c>
      <c r="K157" s="22">
        <v>0</v>
      </c>
      <c r="L157" s="22">
        <v>0</v>
      </c>
      <c r="M157" s="388">
        <v>25.989999999999995</v>
      </c>
      <c r="N157" s="25">
        <v>0.51160000000000005</v>
      </c>
      <c r="O157" s="24">
        <v>34</v>
      </c>
      <c r="P157" s="24">
        <v>0</v>
      </c>
      <c r="Q157" s="24">
        <v>0</v>
      </c>
      <c r="R157" s="22">
        <v>0</v>
      </c>
      <c r="S157" s="24">
        <v>0</v>
      </c>
      <c r="T157" s="24">
        <f t="shared" si="10"/>
        <v>0</v>
      </c>
      <c r="U157" s="376">
        <v>13.3</v>
      </c>
      <c r="V157" s="376">
        <v>0</v>
      </c>
      <c r="W157" s="22">
        <f t="shared" si="11"/>
        <v>6.8042800000000012</v>
      </c>
      <c r="X157" s="22">
        <f t="shared" si="12"/>
        <v>5.25</v>
      </c>
      <c r="Y157" s="22">
        <v>4.25</v>
      </c>
      <c r="Z157" s="22">
        <v>1</v>
      </c>
      <c r="AA157" s="371">
        <v>25.99</v>
      </c>
      <c r="AB157" s="22">
        <v>0.20200076952674106</v>
      </c>
      <c r="AC157" s="24">
        <v>6.7000769526741055E-2</v>
      </c>
      <c r="AD157" s="384">
        <v>-16140.147249948723</v>
      </c>
    </row>
    <row r="158" spans="1:30">
      <c r="A158" s="21" t="s">
        <v>437</v>
      </c>
      <c r="B158" s="21" t="s">
        <v>438</v>
      </c>
      <c r="C158" s="23">
        <v>1390.1826546660238</v>
      </c>
      <c r="D158" s="147">
        <v>74.794921921925805</v>
      </c>
      <c r="E158" s="22">
        <v>386.53589570426919</v>
      </c>
      <c r="F158" s="22">
        <v>461.33081762619497</v>
      </c>
      <c r="G158" s="22">
        <v>0</v>
      </c>
      <c r="H158" s="22">
        <v>161.50799209044624</v>
      </c>
      <c r="I158" s="22">
        <v>13.777218588601407</v>
      </c>
      <c r="J158" s="22">
        <v>767.0624721408625</v>
      </c>
      <c r="K158" s="22">
        <v>0</v>
      </c>
      <c r="L158" s="22">
        <v>0</v>
      </c>
      <c r="M158" s="388">
        <v>5821.35218255569</v>
      </c>
      <c r="N158" s="25">
        <v>0.31219999999999998</v>
      </c>
      <c r="O158" s="24">
        <v>597.91721810487502</v>
      </c>
      <c r="P158" s="24">
        <v>664.49203440646818</v>
      </c>
      <c r="Q158" s="24">
        <v>434.62049887455197</v>
      </c>
      <c r="R158" s="22">
        <v>229.87153553191624</v>
      </c>
      <c r="S158" s="24">
        <v>119.08099217718939</v>
      </c>
      <c r="T158" s="24">
        <f t="shared" si="10"/>
        <v>783.57302658365757</v>
      </c>
      <c r="U158" s="376">
        <v>1812.77</v>
      </c>
      <c r="V158" s="376">
        <v>291.07</v>
      </c>
      <c r="W158" s="22">
        <f t="shared" si="11"/>
        <v>565.94679399999995</v>
      </c>
      <c r="X158" s="22">
        <f t="shared" si="12"/>
        <v>711.47124440042262</v>
      </c>
      <c r="Y158" s="22">
        <v>548.67697661388524</v>
      </c>
      <c r="Z158" s="22">
        <v>162.7942677865374</v>
      </c>
      <c r="AA158" s="371">
        <v>5876.4811549678479</v>
      </c>
      <c r="AB158" s="22">
        <v>0.12107096502793351</v>
      </c>
      <c r="AC158" s="24">
        <v>0</v>
      </c>
      <c r="AD158" s="384">
        <v>0</v>
      </c>
    </row>
    <row r="159" spans="1:30">
      <c r="A159" s="21" t="s">
        <v>149</v>
      </c>
      <c r="B159" s="21" t="s">
        <v>150</v>
      </c>
      <c r="C159" s="23">
        <v>362.95082493297269</v>
      </c>
      <c r="D159" s="147">
        <v>22.02747129556111</v>
      </c>
      <c r="E159" s="22">
        <v>147.01729245166928</v>
      </c>
      <c r="F159" s="22">
        <v>169.04476374723038</v>
      </c>
      <c r="G159" s="22">
        <v>0</v>
      </c>
      <c r="H159" s="22">
        <v>49.280437606492555</v>
      </c>
      <c r="I159" s="22">
        <v>2.3313746991652269</v>
      </c>
      <c r="J159" s="22">
        <v>0</v>
      </c>
      <c r="K159" s="22">
        <v>12.058834650854621</v>
      </c>
      <c r="L159" s="22">
        <v>0</v>
      </c>
      <c r="M159" s="388">
        <v>1362.4071388535549</v>
      </c>
      <c r="N159" s="25">
        <v>0.3649</v>
      </c>
      <c r="O159" s="24">
        <v>0</v>
      </c>
      <c r="P159" s="24">
        <v>24.117669301709242</v>
      </c>
      <c r="Q159" s="24">
        <v>15.073543313568278</v>
      </c>
      <c r="R159" s="22">
        <v>9.0441259881409657</v>
      </c>
      <c r="S159" s="24">
        <v>8.0392231005697479</v>
      </c>
      <c r="T159" s="24">
        <f t="shared" si="10"/>
        <v>32.156892402278991</v>
      </c>
      <c r="U159" s="376">
        <v>497.14</v>
      </c>
      <c r="V159" s="376">
        <v>68.12</v>
      </c>
      <c r="W159" s="22">
        <f t="shared" si="11"/>
        <v>181.406386</v>
      </c>
      <c r="X159" s="22">
        <f t="shared" si="12"/>
        <v>190.93154863853152</v>
      </c>
      <c r="Y159" s="22">
        <v>102.75132025415709</v>
      </c>
      <c r="Z159" s="22">
        <v>88.180228384374416</v>
      </c>
      <c r="AA159" s="371">
        <v>1363.3115514523693</v>
      </c>
      <c r="AB159" s="22">
        <v>0.14004982825468432</v>
      </c>
      <c r="AC159" s="24">
        <v>5.0498282546843076E-3</v>
      </c>
      <c r="AD159" s="384">
        <v>-63049.466207487159</v>
      </c>
    </row>
    <row r="160" spans="1:30">
      <c r="A160" s="21" t="s">
        <v>277</v>
      </c>
      <c r="B160" s="21" t="s">
        <v>278</v>
      </c>
      <c r="C160" s="23">
        <v>129.63247249668717</v>
      </c>
      <c r="D160" s="147">
        <v>26.438994971998756</v>
      </c>
      <c r="E160" s="22">
        <v>56.234365588485389</v>
      </c>
      <c r="F160" s="22">
        <v>82.673360560484142</v>
      </c>
      <c r="G160" s="22">
        <v>0</v>
      </c>
      <c r="H160" s="22">
        <v>5.8585838345402035</v>
      </c>
      <c r="I160" s="22">
        <v>1.909315486385315</v>
      </c>
      <c r="J160" s="22">
        <v>0</v>
      </c>
      <c r="K160" s="22">
        <v>1.0049028875712185</v>
      </c>
      <c r="L160" s="22">
        <v>0</v>
      </c>
      <c r="M160" s="388">
        <v>382.41579386522716</v>
      </c>
      <c r="N160" s="25">
        <v>0.59050000000000002</v>
      </c>
      <c r="O160" s="24">
        <v>389.90232037763275</v>
      </c>
      <c r="P160" s="24">
        <v>0</v>
      </c>
      <c r="Q160" s="24">
        <v>0</v>
      </c>
      <c r="R160" s="22">
        <v>0</v>
      </c>
      <c r="S160" s="24">
        <v>0</v>
      </c>
      <c r="T160" s="24">
        <f t="shared" si="10"/>
        <v>0</v>
      </c>
      <c r="U160" s="376">
        <v>225.82</v>
      </c>
      <c r="V160" s="376">
        <v>19.12</v>
      </c>
      <c r="W160" s="22">
        <f t="shared" si="11"/>
        <v>133.34671</v>
      </c>
      <c r="X160" s="22">
        <f t="shared" si="12"/>
        <v>44.718178496919222</v>
      </c>
      <c r="Y160" s="22">
        <v>30.147086627136556</v>
      </c>
      <c r="Z160" s="22">
        <v>14.571091869782668</v>
      </c>
      <c r="AA160" s="371">
        <v>382.42584289410291</v>
      </c>
      <c r="AB160" s="22">
        <v>0.11693294092915703</v>
      </c>
      <c r="AC160" s="24">
        <v>0</v>
      </c>
      <c r="AD160" s="384">
        <v>0</v>
      </c>
    </row>
    <row r="161" spans="1:30">
      <c r="A161" s="21" t="s">
        <v>133</v>
      </c>
      <c r="B161" s="21" t="s">
        <v>134</v>
      </c>
      <c r="C161" s="23">
        <v>2547.7905850325646</v>
      </c>
      <c r="D161" s="147">
        <v>33.8149821667715</v>
      </c>
      <c r="E161" s="22">
        <v>418.3109250092711</v>
      </c>
      <c r="F161" s="22">
        <v>452.12590717604257</v>
      </c>
      <c r="G161" s="22">
        <v>211.02960638995589</v>
      </c>
      <c r="H161" s="22">
        <v>212.67764712557266</v>
      </c>
      <c r="I161" s="22">
        <v>12.65172735452164</v>
      </c>
      <c r="J161" s="22">
        <v>185.37443567026267</v>
      </c>
      <c r="K161" s="22">
        <v>104.06774303687538</v>
      </c>
      <c r="L161" s="22">
        <v>0</v>
      </c>
      <c r="M161" s="388">
        <v>8409.8714816215161</v>
      </c>
      <c r="N161" s="25">
        <v>0.63880000000000003</v>
      </c>
      <c r="O161" s="24">
        <v>7628.2178195531196</v>
      </c>
      <c r="P161" s="24">
        <v>1100.8711133342699</v>
      </c>
      <c r="Q161" s="24">
        <v>656.45281130589842</v>
      </c>
      <c r="R161" s="22">
        <v>444.41830202837139</v>
      </c>
      <c r="S161" s="24">
        <v>305.23925209975761</v>
      </c>
      <c r="T161" s="24">
        <f t="shared" si="10"/>
        <v>1406.1103654340275</v>
      </c>
      <c r="U161" s="376">
        <v>5372.23</v>
      </c>
      <c r="V161" s="376">
        <v>420.49</v>
      </c>
      <c r="W161" s="22">
        <f t="shared" si="11"/>
        <v>3431.7805239999998</v>
      </c>
      <c r="X161" s="22">
        <f t="shared" si="12"/>
        <v>1121.2203968075869</v>
      </c>
      <c r="Y161" s="22">
        <v>754.43084284409224</v>
      </c>
      <c r="Z161" s="22">
        <v>366.78955396349477</v>
      </c>
      <c r="AA161" s="371">
        <v>8326.9569443680157</v>
      </c>
      <c r="AB161" s="22">
        <v>0.13464947690956067</v>
      </c>
      <c r="AC161" s="24">
        <v>0</v>
      </c>
      <c r="AD161" s="384">
        <v>0</v>
      </c>
    </row>
    <row r="162" spans="1:30">
      <c r="A162" s="21" t="s">
        <v>275</v>
      </c>
      <c r="B162" s="21" t="s">
        <v>276</v>
      </c>
      <c r="C162" s="23">
        <v>174.85310243739201</v>
      </c>
      <c r="D162" s="147">
        <v>14.631386043036942</v>
      </c>
      <c r="E162" s="22">
        <v>34.448070985941371</v>
      </c>
      <c r="F162" s="22">
        <v>49.079457028978311</v>
      </c>
      <c r="G162" s="22">
        <v>0</v>
      </c>
      <c r="H162" s="22">
        <v>6.0796624698058714</v>
      </c>
      <c r="I162" s="22">
        <v>0.17083349088710714</v>
      </c>
      <c r="J162" s="22">
        <v>13.425502577951479</v>
      </c>
      <c r="K162" s="22">
        <v>0</v>
      </c>
      <c r="L162" s="22">
        <v>0</v>
      </c>
      <c r="M162" s="388">
        <v>579.74857389758745</v>
      </c>
      <c r="N162" s="25">
        <v>0.65010000000000001</v>
      </c>
      <c r="O162" s="24">
        <v>585.85838345402033</v>
      </c>
      <c r="P162" s="24">
        <v>55.018433094524212</v>
      </c>
      <c r="Q162" s="24">
        <v>30.398312349029361</v>
      </c>
      <c r="R162" s="22">
        <v>24.620120745494852</v>
      </c>
      <c r="S162" s="24">
        <v>10.049028875712185</v>
      </c>
      <c r="T162" s="24">
        <f t="shared" si="10"/>
        <v>65.067461970236394</v>
      </c>
      <c r="U162" s="376">
        <v>376.89</v>
      </c>
      <c r="V162" s="376">
        <v>28.99</v>
      </c>
      <c r="W162" s="22">
        <f t="shared" si="11"/>
        <v>245.016189</v>
      </c>
      <c r="X162" s="22">
        <f t="shared" si="12"/>
        <v>91.697388490873692</v>
      </c>
      <c r="Y162" s="22">
        <v>42.708372721776783</v>
      </c>
      <c r="Z162" s="22">
        <v>48.989015769096902</v>
      </c>
      <c r="AA162" s="371">
        <v>579.74857389758733</v>
      </c>
      <c r="AB162" s="22">
        <v>0.15816751022672124</v>
      </c>
      <c r="AC162" s="24">
        <v>2.3167510226721227E-2</v>
      </c>
      <c r="AD162" s="384">
        <v>-121451.53182182535</v>
      </c>
    </row>
    <row r="163" spans="1:30">
      <c r="A163" s="21" t="s">
        <v>609</v>
      </c>
      <c r="B163" s="21" t="s">
        <v>610</v>
      </c>
      <c r="C163" s="23">
        <v>240.5737512845497</v>
      </c>
      <c r="D163" s="147">
        <v>2.3313746991652269</v>
      </c>
      <c r="E163" s="22">
        <v>22.911785836623782</v>
      </c>
      <c r="F163" s="22">
        <v>25.243160535789009</v>
      </c>
      <c r="G163" s="22">
        <v>0</v>
      </c>
      <c r="H163" s="22">
        <v>2.4318649879223488</v>
      </c>
      <c r="I163" s="22">
        <v>0.38186309727706302</v>
      </c>
      <c r="J163" s="22">
        <v>21.705902371538322</v>
      </c>
      <c r="K163" s="22">
        <v>1.2058834650854622</v>
      </c>
      <c r="L163" s="22">
        <v>0</v>
      </c>
      <c r="M163" s="388">
        <v>826.57282114283009</v>
      </c>
      <c r="N163" s="25">
        <v>0.996</v>
      </c>
      <c r="O163" s="24">
        <v>822.01056203325675</v>
      </c>
      <c r="P163" s="24">
        <v>125.1104095026167</v>
      </c>
      <c r="Q163" s="24">
        <v>75.870168011627001</v>
      </c>
      <c r="R163" s="22">
        <v>49.240241490989703</v>
      </c>
      <c r="S163" s="24">
        <v>17.083349088710715</v>
      </c>
      <c r="T163" s="24">
        <f t="shared" si="10"/>
        <v>142.19375859132742</v>
      </c>
      <c r="U163" s="376">
        <v>823.27</v>
      </c>
      <c r="V163" s="376">
        <v>41.33</v>
      </c>
      <c r="W163" s="22">
        <f t="shared" si="11"/>
        <v>819.97691999999995</v>
      </c>
      <c r="X163" s="22">
        <f t="shared" si="12"/>
        <v>123.10060372747427</v>
      </c>
      <c r="Y163" s="22">
        <v>71.348105017556506</v>
      </c>
      <c r="Z163" s="22">
        <v>51.752498709917752</v>
      </c>
      <c r="AA163" s="371">
        <v>827.11546870211851</v>
      </c>
      <c r="AB163" s="22">
        <v>0.14883121932254459</v>
      </c>
      <c r="AC163" s="24">
        <v>1.383121932254458E-2</v>
      </c>
      <c r="AD163" s="384">
        <v>-103398.36230399701</v>
      </c>
    </row>
    <row r="164" spans="1:30">
      <c r="A164" s="21" t="s">
        <v>551</v>
      </c>
      <c r="B164" s="21" t="s">
        <v>552</v>
      </c>
      <c r="C164" s="23">
        <v>442.18741761796326</v>
      </c>
      <c r="D164" s="147">
        <v>7.5267226279084269</v>
      </c>
      <c r="E164" s="22">
        <v>88.230473528752981</v>
      </c>
      <c r="F164" s="22">
        <v>95.757196156661408</v>
      </c>
      <c r="G164" s="22">
        <v>0</v>
      </c>
      <c r="H164" s="22">
        <v>41.030184899532848</v>
      </c>
      <c r="I164" s="22">
        <v>3.7181406840135085</v>
      </c>
      <c r="J164" s="22">
        <v>80.84443730510452</v>
      </c>
      <c r="K164" s="22">
        <v>14.440454494398409</v>
      </c>
      <c r="L164" s="22">
        <v>0.43210824165562395</v>
      </c>
      <c r="M164" s="388">
        <v>1650.1208845940705</v>
      </c>
      <c r="N164" s="25">
        <v>0.55310000000000004</v>
      </c>
      <c r="O164" s="24">
        <v>1298.3345307420143</v>
      </c>
      <c r="P164" s="24">
        <v>87.677776940588814</v>
      </c>
      <c r="Q164" s="24">
        <v>51.501272988024944</v>
      </c>
      <c r="R164" s="22">
        <v>36.176503952563863</v>
      </c>
      <c r="S164" s="24">
        <v>17.083349088710715</v>
      </c>
      <c r="T164" s="24">
        <f t="shared" si="10"/>
        <v>104.76112602929953</v>
      </c>
      <c r="U164" s="376">
        <v>912.68</v>
      </c>
      <c r="V164" s="376">
        <v>82.51</v>
      </c>
      <c r="W164" s="22">
        <f t="shared" si="11"/>
        <v>504.80330800000002</v>
      </c>
      <c r="X164" s="22">
        <f t="shared" si="12"/>
        <v>287.15100012347568</v>
      </c>
      <c r="Y164" s="22">
        <v>208.76857489292064</v>
      </c>
      <c r="Z164" s="22">
        <v>78.382425230555043</v>
      </c>
      <c r="AA164" s="371">
        <v>1650.2314239117036</v>
      </c>
      <c r="AB164" s="22">
        <v>0.17400650355015893</v>
      </c>
      <c r="AC164" s="24">
        <v>3.9006503550158916E-2</v>
      </c>
      <c r="AD164" s="384">
        <v>-629271.59383720392</v>
      </c>
    </row>
    <row r="165" spans="1:30">
      <c r="A165" s="21" t="s">
        <v>417</v>
      </c>
      <c r="B165" s="21" t="s">
        <v>418</v>
      </c>
      <c r="C165" s="23">
        <v>26.8</v>
      </c>
      <c r="D165" s="147">
        <v>0</v>
      </c>
      <c r="E165" s="22">
        <v>0</v>
      </c>
      <c r="F165" s="22">
        <v>0</v>
      </c>
      <c r="G165" s="22">
        <v>0</v>
      </c>
      <c r="H165" s="22">
        <v>0</v>
      </c>
      <c r="I165" s="22">
        <v>0</v>
      </c>
      <c r="J165" s="22">
        <v>0</v>
      </c>
      <c r="K165" s="22">
        <v>0</v>
      </c>
      <c r="L165" s="22">
        <v>0</v>
      </c>
      <c r="M165" s="388">
        <v>59.8</v>
      </c>
      <c r="N165" s="25">
        <v>0.22409999999999999</v>
      </c>
      <c r="O165" s="24">
        <v>0</v>
      </c>
      <c r="P165" s="24">
        <v>0</v>
      </c>
      <c r="Q165" s="24">
        <v>0</v>
      </c>
      <c r="R165" s="22">
        <v>0</v>
      </c>
      <c r="S165" s="24">
        <v>0</v>
      </c>
      <c r="T165" s="24">
        <f t="shared" si="10"/>
        <v>0</v>
      </c>
      <c r="U165" s="376">
        <v>13.4</v>
      </c>
      <c r="V165" s="376">
        <v>2.99</v>
      </c>
      <c r="W165" s="22">
        <f t="shared" si="11"/>
        <v>3.0029400000000002</v>
      </c>
      <c r="X165" s="22">
        <f t="shared" si="12"/>
        <v>4.5</v>
      </c>
      <c r="Y165" s="22">
        <v>4.5</v>
      </c>
      <c r="Z165" s="22">
        <v>0</v>
      </c>
      <c r="AA165" s="371">
        <v>59.8</v>
      </c>
      <c r="AB165" s="22">
        <v>7.5250836120401343E-2</v>
      </c>
      <c r="AC165" s="24">
        <v>0</v>
      </c>
      <c r="AD165" s="384">
        <v>0</v>
      </c>
    </row>
    <row r="166" spans="1:30">
      <c r="A166" s="21" t="s">
        <v>413</v>
      </c>
      <c r="B166" s="21" t="s">
        <v>414</v>
      </c>
      <c r="C166" s="23">
        <v>1801.1276415093976</v>
      </c>
      <c r="D166" s="147">
        <v>0</v>
      </c>
      <c r="E166" s="22">
        <v>423.35553750487867</v>
      </c>
      <c r="F166" s="22">
        <v>423.35553750487867</v>
      </c>
      <c r="G166" s="22">
        <v>192.29821656562839</v>
      </c>
      <c r="H166" s="22">
        <v>113.68466367093194</v>
      </c>
      <c r="I166" s="22">
        <v>6.4514765382072223</v>
      </c>
      <c r="J166" s="22">
        <v>405.6993937702523</v>
      </c>
      <c r="K166" s="22">
        <v>23.31374699165227</v>
      </c>
      <c r="L166" s="22">
        <v>0</v>
      </c>
      <c r="M166" s="388">
        <v>6614.8436006396742</v>
      </c>
      <c r="N166" s="25">
        <v>0.63229999999999997</v>
      </c>
      <c r="O166" s="24">
        <v>6140.9615459477163</v>
      </c>
      <c r="P166" s="24">
        <v>1576.190179155456</v>
      </c>
      <c r="Q166" s="24">
        <v>994.10018152982786</v>
      </c>
      <c r="R166" s="22">
        <v>582.08999762562826</v>
      </c>
      <c r="S166" s="24">
        <v>183.64600270364016</v>
      </c>
      <c r="T166" s="24">
        <f t="shared" si="10"/>
        <v>1759.8361818590961</v>
      </c>
      <c r="U166" s="376">
        <v>4182.57</v>
      </c>
      <c r="V166" s="376">
        <v>330.74</v>
      </c>
      <c r="W166" s="22">
        <f t="shared" si="11"/>
        <v>2644.6390109999998</v>
      </c>
      <c r="X166" s="22">
        <f t="shared" si="12"/>
        <v>862.20667753610542</v>
      </c>
      <c r="Y166" s="22">
        <v>516.52008421160633</v>
      </c>
      <c r="Z166" s="22">
        <v>345.68659332449914</v>
      </c>
      <c r="AA166" s="371">
        <v>6449.4968795187069</v>
      </c>
      <c r="AB166" s="22">
        <v>0.13368588180485289</v>
      </c>
      <c r="AC166" s="24">
        <v>0</v>
      </c>
      <c r="AD166" s="384">
        <v>0</v>
      </c>
    </row>
    <row r="167" spans="1:30">
      <c r="A167" s="21" t="s">
        <v>223</v>
      </c>
      <c r="B167" s="21" t="s">
        <v>224</v>
      </c>
      <c r="C167" s="23">
        <v>160.98544258890919</v>
      </c>
      <c r="D167" s="147">
        <v>0.27132377964422899</v>
      </c>
      <c r="E167" s="22">
        <v>6.5921629424671933</v>
      </c>
      <c r="F167" s="22">
        <v>6.8634867221114222</v>
      </c>
      <c r="G167" s="22">
        <v>0</v>
      </c>
      <c r="H167" s="22">
        <v>2.7031887675665778</v>
      </c>
      <c r="I167" s="22">
        <v>0.3316179528985021</v>
      </c>
      <c r="J167" s="22">
        <v>0</v>
      </c>
      <c r="K167" s="22">
        <v>0</v>
      </c>
      <c r="L167" s="22">
        <v>0</v>
      </c>
      <c r="M167" s="388">
        <v>528.91053681535936</v>
      </c>
      <c r="N167" s="25">
        <v>0.82310000000000005</v>
      </c>
      <c r="O167" s="24">
        <v>522.54950153703362</v>
      </c>
      <c r="P167" s="24">
        <v>0</v>
      </c>
      <c r="Q167" s="24">
        <v>0</v>
      </c>
      <c r="R167" s="22">
        <v>0</v>
      </c>
      <c r="S167" s="24">
        <v>0</v>
      </c>
      <c r="T167" s="24">
        <f t="shared" si="10"/>
        <v>0</v>
      </c>
      <c r="U167" s="376">
        <v>435.35</v>
      </c>
      <c r="V167" s="376">
        <v>0</v>
      </c>
      <c r="W167" s="22">
        <f t="shared" si="11"/>
        <v>358.33658500000007</v>
      </c>
      <c r="X167" s="22">
        <f t="shared" si="12"/>
        <v>0</v>
      </c>
      <c r="Y167" s="22">
        <v>0</v>
      </c>
      <c r="Z167" s="22">
        <v>0</v>
      </c>
      <c r="AA167" s="371">
        <v>529.45318437464789</v>
      </c>
      <c r="AB167" s="22">
        <v>0</v>
      </c>
      <c r="AC167" s="24">
        <v>0</v>
      </c>
      <c r="AD167" s="384">
        <v>0</v>
      </c>
    </row>
    <row r="168" spans="1:30">
      <c r="A168" s="21" t="s">
        <v>427</v>
      </c>
      <c r="B168" s="21" t="s">
        <v>428</v>
      </c>
      <c r="C168" s="23">
        <v>4419.8543213756147</v>
      </c>
      <c r="D168" s="147">
        <v>167.75848805113921</v>
      </c>
      <c r="E168" s="22">
        <v>556.85688611871501</v>
      </c>
      <c r="F168" s="22">
        <v>724.61537416985425</v>
      </c>
      <c r="G168" s="22">
        <v>485.03647674400003</v>
      </c>
      <c r="H168" s="22">
        <v>289.4120316205109</v>
      </c>
      <c r="I168" s="22">
        <v>26.137524105727394</v>
      </c>
      <c r="J168" s="22">
        <v>0</v>
      </c>
      <c r="K168" s="22">
        <v>37.58336799516357</v>
      </c>
      <c r="L168" s="22">
        <v>0</v>
      </c>
      <c r="M168" s="388">
        <v>15108.544081142383</v>
      </c>
      <c r="N168" s="25">
        <v>0.49730000000000002</v>
      </c>
      <c r="O168" s="24">
        <v>8733.6109958814595</v>
      </c>
      <c r="P168" s="24">
        <v>3269.702770434852</v>
      </c>
      <c r="Q168" s="24">
        <v>2269.3219458577041</v>
      </c>
      <c r="R168" s="22">
        <v>1000.380824577148</v>
      </c>
      <c r="S168" s="24">
        <v>549.43065377956373</v>
      </c>
      <c r="T168" s="24">
        <f t="shared" si="10"/>
        <v>3819.1334242144158</v>
      </c>
      <c r="U168" s="376">
        <v>7514.99</v>
      </c>
      <c r="V168" s="376">
        <v>755.43</v>
      </c>
      <c r="W168" s="22">
        <f t="shared" si="11"/>
        <v>3737.2045269999999</v>
      </c>
      <c r="X168" s="22">
        <f t="shared" si="12"/>
        <v>1988.7028145034415</v>
      </c>
      <c r="Y168" s="22">
        <v>1229.2474572214931</v>
      </c>
      <c r="Z168" s="22">
        <v>759.45535728194841</v>
      </c>
      <c r="AA168" s="371">
        <v>14719.757202969955</v>
      </c>
      <c r="AB168" s="22">
        <v>0.13510432183638107</v>
      </c>
      <c r="AC168" s="24">
        <v>1.0432183638106607E-4</v>
      </c>
      <c r="AD168" s="384">
        <v>-15698.97087534387</v>
      </c>
    </row>
    <row r="169" spans="1:30">
      <c r="A169" s="21" t="s">
        <v>583</v>
      </c>
      <c r="B169" s="21" t="s">
        <v>584</v>
      </c>
      <c r="C169" s="23">
        <v>362.15695165179142</v>
      </c>
      <c r="D169" s="147">
        <v>20.731146570594237</v>
      </c>
      <c r="E169" s="22">
        <v>63.479715407873876</v>
      </c>
      <c r="F169" s="22">
        <v>84.210861978468117</v>
      </c>
      <c r="G169" s="22">
        <v>0</v>
      </c>
      <c r="H169" s="22">
        <v>20.500018906452855</v>
      </c>
      <c r="I169" s="22">
        <v>2.6629926520637288</v>
      </c>
      <c r="J169" s="22">
        <v>40.356899964860133</v>
      </c>
      <c r="K169" s="22">
        <v>2.8137280851994118</v>
      </c>
      <c r="L169" s="22">
        <v>0</v>
      </c>
      <c r="M169" s="388">
        <v>1229.7901047807813</v>
      </c>
      <c r="N169" s="25">
        <v>0.52549999999999997</v>
      </c>
      <c r="O169" s="24">
        <v>845.12332844739478</v>
      </c>
      <c r="P169" s="24">
        <v>73.106685070806151</v>
      </c>
      <c r="Q169" s="24">
        <v>41.201018390419961</v>
      </c>
      <c r="R169" s="22">
        <v>31.905666680386187</v>
      </c>
      <c r="S169" s="24">
        <v>26.378700798744486</v>
      </c>
      <c r="T169" s="24">
        <f t="shared" si="10"/>
        <v>99.48538586955064</v>
      </c>
      <c r="U169" s="376">
        <v>643.79999999999995</v>
      </c>
      <c r="V169" s="376">
        <v>61.49</v>
      </c>
      <c r="W169" s="22">
        <f t="shared" si="11"/>
        <v>338.31689999999998</v>
      </c>
      <c r="X169" s="22">
        <f t="shared" si="12"/>
        <v>159.02588195814533</v>
      </c>
      <c r="Y169" s="22">
        <v>121.34202367422463</v>
      </c>
      <c r="Z169" s="22">
        <v>37.683858283920692</v>
      </c>
      <c r="AA169" s="371">
        <v>1243.2859505608631</v>
      </c>
      <c r="AB169" s="22">
        <v>0.12790772861738414</v>
      </c>
      <c r="AC169" s="24">
        <v>0</v>
      </c>
      <c r="AD169" s="384">
        <v>0</v>
      </c>
    </row>
    <row r="170" spans="1:30">
      <c r="A170" s="21" t="s">
        <v>271</v>
      </c>
      <c r="B170" s="21" t="s">
        <v>272</v>
      </c>
      <c r="C170" s="23">
        <v>201.58351924678641</v>
      </c>
      <c r="D170" s="147">
        <v>42.688274664025357</v>
      </c>
      <c r="E170" s="22">
        <v>78.251787855170789</v>
      </c>
      <c r="F170" s="22">
        <v>120.94006251919615</v>
      </c>
      <c r="G170" s="22">
        <v>0</v>
      </c>
      <c r="H170" s="22">
        <v>13.968150137239938</v>
      </c>
      <c r="I170" s="22">
        <v>1.4571091869782669</v>
      </c>
      <c r="J170" s="22">
        <v>0.80392231005697479</v>
      </c>
      <c r="K170" s="22">
        <v>2.4117669301709244</v>
      </c>
      <c r="L170" s="22">
        <v>0</v>
      </c>
      <c r="M170" s="388">
        <v>770.89115214250864</v>
      </c>
      <c r="N170" s="25">
        <v>0.46410000000000001</v>
      </c>
      <c r="O170" s="24">
        <v>0</v>
      </c>
      <c r="P170" s="24">
        <v>18.088251976281931</v>
      </c>
      <c r="Q170" s="24">
        <v>12.058834650854621</v>
      </c>
      <c r="R170" s="22">
        <v>6.0294173254273105</v>
      </c>
      <c r="S170" s="24">
        <v>2.7634829408208508</v>
      </c>
      <c r="T170" s="24">
        <f t="shared" si="10"/>
        <v>20.851734917102782</v>
      </c>
      <c r="U170" s="376">
        <v>357.77</v>
      </c>
      <c r="V170" s="376">
        <v>38.54</v>
      </c>
      <c r="W170" s="22">
        <f t="shared" si="11"/>
        <v>166.041057</v>
      </c>
      <c r="X170" s="22">
        <f t="shared" si="12"/>
        <v>77.126296621091015</v>
      </c>
      <c r="Y170" s="22">
        <v>53.008627319381773</v>
      </c>
      <c r="Z170" s="22">
        <v>24.117669301709242</v>
      </c>
      <c r="AA170" s="371">
        <v>774.40831224900808</v>
      </c>
      <c r="AB170" s="22">
        <v>9.9593838807209678E-2</v>
      </c>
      <c r="AC170" s="24">
        <v>0</v>
      </c>
      <c r="AD170" s="384">
        <v>0</v>
      </c>
    </row>
    <row r="171" spans="1:30">
      <c r="A171" s="21" t="s">
        <v>349</v>
      </c>
      <c r="B171" s="21" t="s">
        <v>350</v>
      </c>
      <c r="C171" s="23">
        <v>78.181444653040799</v>
      </c>
      <c r="D171" s="147">
        <v>2.0299038328938614</v>
      </c>
      <c r="E171" s="22">
        <v>10.873049243520585</v>
      </c>
      <c r="F171" s="22">
        <v>12.902953076414446</v>
      </c>
      <c r="G171" s="22">
        <v>0</v>
      </c>
      <c r="H171" s="22">
        <v>7.8683896096826409</v>
      </c>
      <c r="I171" s="22">
        <v>0.71348105017556507</v>
      </c>
      <c r="J171" s="22">
        <v>0</v>
      </c>
      <c r="K171" s="22">
        <v>0</v>
      </c>
      <c r="L171" s="22">
        <v>0</v>
      </c>
      <c r="M171" s="388">
        <v>313.90151499062154</v>
      </c>
      <c r="N171" s="25">
        <v>0.52969999999999995</v>
      </c>
      <c r="O171" s="24">
        <v>320.5640211352187</v>
      </c>
      <c r="P171" s="24">
        <v>13.063737538425841</v>
      </c>
      <c r="Q171" s="24">
        <v>2.009805775142437</v>
      </c>
      <c r="R171" s="22">
        <v>11.053931763283403</v>
      </c>
      <c r="S171" s="24">
        <v>0</v>
      </c>
      <c r="T171" s="24">
        <f t="shared" si="10"/>
        <v>13.063737538425841</v>
      </c>
      <c r="U171" s="376">
        <v>166.27</v>
      </c>
      <c r="V171" s="376">
        <v>15.7</v>
      </c>
      <c r="W171" s="22">
        <f t="shared" si="11"/>
        <v>88.073218999999995</v>
      </c>
      <c r="X171" s="22">
        <f t="shared" si="12"/>
        <v>41.954695556098372</v>
      </c>
      <c r="Y171" s="22">
        <v>25.625023633066071</v>
      </c>
      <c r="Z171" s="22">
        <v>16.329671923032301</v>
      </c>
      <c r="AA171" s="371">
        <v>313.90151499062154</v>
      </c>
      <c r="AB171" s="22">
        <v>0.13365560072990362</v>
      </c>
      <c r="AC171" s="24">
        <v>0</v>
      </c>
      <c r="AD171" s="384">
        <v>0</v>
      </c>
    </row>
    <row r="172" spans="1:30">
      <c r="A172" s="21" t="s">
        <v>327</v>
      </c>
      <c r="B172" s="21" t="s">
        <v>328</v>
      </c>
      <c r="C172" s="23">
        <v>63.308881916986763</v>
      </c>
      <c r="D172" s="147">
        <v>0</v>
      </c>
      <c r="E172" s="22">
        <v>0</v>
      </c>
      <c r="F172" s="22">
        <v>0</v>
      </c>
      <c r="G172" s="22">
        <v>0</v>
      </c>
      <c r="H172" s="22">
        <v>0</v>
      </c>
      <c r="I172" s="22">
        <v>0</v>
      </c>
      <c r="J172" s="22">
        <v>0</v>
      </c>
      <c r="K172" s="22">
        <v>0</v>
      </c>
      <c r="L172" s="22">
        <v>0</v>
      </c>
      <c r="M172" s="388">
        <v>129.02953076414445</v>
      </c>
      <c r="N172" s="25">
        <v>1</v>
      </c>
      <c r="O172" s="24">
        <v>130.63737538425841</v>
      </c>
      <c r="P172" s="24">
        <v>0</v>
      </c>
      <c r="Q172" s="24">
        <v>0</v>
      </c>
      <c r="R172" s="22">
        <v>0</v>
      </c>
      <c r="S172" s="24">
        <v>0</v>
      </c>
      <c r="T172" s="24">
        <f t="shared" si="10"/>
        <v>0</v>
      </c>
      <c r="U172" s="376">
        <v>129.03</v>
      </c>
      <c r="V172" s="376">
        <v>0</v>
      </c>
      <c r="W172" s="22">
        <f t="shared" si="11"/>
        <v>129.03</v>
      </c>
      <c r="X172" s="22">
        <f t="shared" si="12"/>
        <v>25.625023633066071</v>
      </c>
      <c r="Y172" s="22">
        <v>25.122572189280461</v>
      </c>
      <c r="Z172" s="22">
        <v>0.50245144378560924</v>
      </c>
      <c r="AA172" s="371">
        <v>129.02953076414445</v>
      </c>
      <c r="AB172" s="22">
        <v>0.19859813084112149</v>
      </c>
      <c r="AC172" s="24">
        <v>6.3598130841121481E-2</v>
      </c>
      <c r="AD172" s="384">
        <v>-77807.496900872327</v>
      </c>
    </row>
    <row r="173" spans="1:30">
      <c r="A173" s="21" t="s">
        <v>355</v>
      </c>
      <c r="B173" s="21" t="s">
        <v>356</v>
      </c>
      <c r="C173" s="23">
        <v>251.02474131529038</v>
      </c>
      <c r="D173" s="147">
        <v>31.704686102871943</v>
      </c>
      <c r="E173" s="22">
        <v>102.40965327238287</v>
      </c>
      <c r="F173" s="22">
        <v>134.11433937525481</v>
      </c>
      <c r="G173" s="22">
        <v>0</v>
      </c>
      <c r="H173" s="22">
        <v>17.555653445869186</v>
      </c>
      <c r="I173" s="22">
        <v>0.50245144378560924</v>
      </c>
      <c r="J173" s="22">
        <v>108.9515710704715</v>
      </c>
      <c r="K173" s="22">
        <v>0</v>
      </c>
      <c r="L173" s="22">
        <v>0</v>
      </c>
      <c r="M173" s="388">
        <v>1028.4176151403851</v>
      </c>
      <c r="N173" s="25">
        <v>0.60260000000000002</v>
      </c>
      <c r="O173" s="24">
        <v>996.8636644706487</v>
      </c>
      <c r="P173" s="24">
        <v>0</v>
      </c>
      <c r="Q173" s="24">
        <v>0</v>
      </c>
      <c r="R173" s="22">
        <v>0</v>
      </c>
      <c r="S173" s="24">
        <v>0</v>
      </c>
      <c r="T173" s="24">
        <f t="shared" si="10"/>
        <v>0</v>
      </c>
      <c r="U173" s="376">
        <v>619.72</v>
      </c>
      <c r="V173" s="376">
        <v>51.42</v>
      </c>
      <c r="W173" s="22">
        <f t="shared" si="11"/>
        <v>373.44327200000004</v>
      </c>
      <c r="X173" s="22">
        <f t="shared" si="12"/>
        <v>169.57736227764312</v>
      </c>
      <c r="Y173" s="22">
        <v>59.791721810487502</v>
      </c>
      <c r="Z173" s="22">
        <v>109.78564046715562</v>
      </c>
      <c r="AA173" s="371">
        <v>1028.4176151403849</v>
      </c>
      <c r="AB173" s="22">
        <v>0.16489153801055306</v>
      </c>
      <c r="AC173" s="24">
        <v>2.9891538010553054E-2</v>
      </c>
      <c r="AD173" s="384">
        <v>-274387.6505281828</v>
      </c>
    </row>
    <row r="174" spans="1:30">
      <c r="A174" s="21" t="s">
        <v>457</v>
      </c>
      <c r="B174" s="21" t="s">
        <v>458</v>
      </c>
      <c r="C174" s="23">
        <v>346.11870156615481</v>
      </c>
      <c r="D174" s="147">
        <v>2.4921591611766218</v>
      </c>
      <c r="E174" s="22">
        <v>97.033422823876862</v>
      </c>
      <c r="F174" s="22">
        <v>99.525581985053478</v>
      </c>
      <c r="G174" s="22">
        <v>0</v>
      </c>
      <c r="H174" s="22">
        <v>57.128729158423774</v>
      </c>
      <c r="I174" s="22">
        <v>1.7083349088710713</v>
      </c>
      <c r="J174" s="22">
        <v>54.063775351331557</v>
      </c>
      <c r="K174" s="22">
        <v>0.8642164833112479</v>
      </c>
      <c r="L174" s="22">
        <v>0</v>
      </c>
      <c r="M174" s="388">
        <v>1397.6993282650567</v>
      </c>
      <c r="N174" s="25">
        <v>0.2505</v>
      </c>
      <c r="O174" s="24">
        <v>0</v>
      </c>
      <c r="P174" s="24">
        <v>10.802706041390598</v>
      </c>
      <c r="Q174" s="24">
        <v>5.2757401597488967</v>
      </c>
      <c r="R174" s="22">
        <v>5.5269658816417016</v>
      </c>
      <c r="S174" s="24">
        <v>0</v>
      </c>
      <c r="T174" s="24">
        <f t="shared" si="10"/>
        <v>10.802706041390598</v>
      </c>
      <c r="U174" s="376">
        <v>350.12</v>
      </c>
      <c r="V174" s="376">
        <v>69.88</v>
      </c>
      <c r="W174" s="22">
        <f t="shared" si="11"/>
        <v>87.705060000000003</v>
      </c>
      <c r="X174" s="22">
        <f t="shared" si="12"/>
        <v>184.39967986931859</v>
      </c>
      <c r="Y174" s="22">
        <v>112.04667196419086</v>
      </c>
      <c r="Z174" s="22">
        <v>72.353007905127726</v>
      </c>
      <c r="AA174" s="371">
        <v>1406.3515421270445</v>
      </c>
      <c r="AB174" s="22">
        <v>0.13111919342046033</v>
      </c>
      <c r="AC174" s="24">
        <v>0</v>
      </c>
      <c r="AD174" s="384">
        <v>0</v>
      </c>
    </row>
    <row r="175" spans="1:30">
      <c r="A175" s="21" t="s">
        <v>549</v>
      </c>
      <c r="B175" s="21" t="s">
        <v>550</v>
      </c>
      <c r="C175" s="23">
        <v>602.2483495503069</v>
      </c>
      <c r="D175" s="147">
        <v>12.882855018663021</v>
      </c>
      <c r="E175" s="22">
        <v>75.16673599032714</v>
      </c>
      <c r="F175" s="22">
        <v>88.049591008990163</v>
      </c>
      <c r="G175" s="22">
        <v>0</v>
      </c>
      <c r="H175" s="22">
        <v>19.173547094858847</v>
      </c>
      <c r="I175" s="22">
        <v>2.1906882949052564</v>
      </c>
      <c r="J175" s="22">
        <v>0</v>
      </c>
      <c r="K175" s="22">
        <v>5.7379954880316575</v>
      </c>
      <c r="L175" s="22">
        <v>0.89436356993838451</v>
      </c>
      <c r="M175" s="388">
        <v>1810.5536305948156</v>
      </c>
      <c r="N175" s="25">
        <v>0.5454</v>
      </c>
      <c r="O175" s="24">
        <v>1462.1337014161229</v>
      </c>
      <c r="P175" s="24">
        <v>244.69385312359171</v>
      </c>
      <c r="Q175" s="24">
        <v>163.04549350843021</v>
      </c>
      <c r="R175" s="22">
        <v>81.648359615161496</v>
      </c>
      <c r="S175" s="24">
        <v>37.181406840135082</v>
      </c>
      <c r="T175" s="24">
        <f t="shared" si="10"/>
        <v>281.87525996372676</v>
      </c>
      <c r="U175" s="376">
        <v>987.48</v>
      </c>
      <c r="V175" s="376">
        <v>90.53</v>
      </c>
      <c r="W175" s="22">
        <f t="shared" si="11"/>
        <v>538.57159200000001</v>
      </c>
      <c r="X175" s="22">
        <f t="shared" si="12"/>
        <v>277.10197124776352</v>
      </c>
      <c r="Y175" s="22">
        <v>188.41929141960347</v>
      </c>
      <c r="Z175" s="22">
        <v>88.682679828160033</v>
      </c>
      <c r="AA175" s="371">
        <v>1810.5536305948158</v>
      </c>
      <c r="AB175" s="22">
        <v>0.15304819838820682</v>
      </c>
      <c r="AC175" s="24">
        <v>1.8048198388206815E-2</v>
      </c>
      <c r="AD175" s="384">
        <v>-311182.95298400312</v>
      </c>
    </row>
    <row r="176" spans="1:30">
      <c r="A176" s="21" t="s">
        <v>145</v>
      </c>
      <c r="B176" s="21" t="s">
        <v>146</v>
      </c>
      <c r="C176" s="23">
        <v>243.64875412051765</v>
      </c>
      <c r="D176" s="147">
        <v>14.81226856279976</v>
      </c>
      <c r="E176" s="22">
        <v>24.459336283483459</v>
      </c>
      <c r="F176" s="22">
        <v>39.271604846283218</v>
      </c>
      <c r="G176" s="22">
        <v>0</v>
      </c>
      <c r="H176" s="22">
        <v>9.8681463559493654</v>
      </c>
      <c r="I176" s="22">
        <v>1.085295118576916</v>
      </c>
      <c r="J176" s="22">
        <v>0</v>
      </c>
      <c r="K176" s="22">
        <v>3.2156892402278991</v>
      </c>
      <c r="L176" s="22">
        <v>0</v>
      </c>
      <c r="M176" s="388">
        <v>727.89135758333657</v>
      </c>
      <c r="N176" s="25">
        <v>0.75539999999999996</v>
      </c>
      <c r="O176" s="24">
        <v>739.60852525241683</v>
      </c>
      <c r="P176" s="24">
        <v>17.837026254389126</v>
      </c>
      <c r="Q176" s="24">
        <v>13.817414704104253</v>
      </c>
      <c r="R176" s="22">
        <v>4.0196115502848739</v>
      </c>
      <c r="S176" s="24">
        <v>6.0294173254273105</v>
      </c>
      <c r="T176" s="24">
        <f t="shared" si="10"/>
        <v>23.866443579816437</v>
      </c>
      <c r="U176" s="376">
        <v>549.85</v>
      </c>
      <c r="V176" s="376">
        <v>36.39</v>
      </c>
      <c r="W176" s="22">
        <f t="shared" si="11"/>
        <v>415.35669000000001</v>
      </c>
      <c r="X176" s="22">
        <f t="shared" si="12"/>
        <v>124.10550661504548</v>
      </c>
      <c r="Y176" s="22">
        <v>90.441259881409664</v>
      </c>
      <c r="Z176" s="22">
        <v>33.664246733635821</v>
      </c>
      <c r="AA176" s="371">
        <v>727.9014066122121</v>
      </c>
      <c r="AB176" s="22">
        <v>0.17049768758197004</v>
      </c>
      <c r="AC176" s="24">
        <v>3.5497687581970028E-2</v>
      </c>
      <c r="AD176" s="384">
        <v>-236348.2938584582</v>
      </c>
    </row>
    <row r="177" spans="1:30">
      <c r="A177" s="21" t="s">
        <v>113</v>
      </c>
      <c r="B177" s="21" t="s">
        <v>114</v>
      </c>
      <c r="C177" s="23">
        <v>597.5554530653493</v>
      </c>
      <c r="D177" s="147">
        <v>7.446330396902729</v>
      </c>
      <c r="E177" s="22">
        <v>104.55009642290958</v>
      </c>
      <c r="F177" s="22">
        <v>111.9964268198123</v>
      </c>
      <c r="G177" s="22">
        <v>0</v>
      </c>
      <c r="H177" s="22">
        <v>29.192428883943897</v>
      </c>
      <c r="I177" s="22">
        <v>1.1053931763283404</v>
      </c>
      <c r="J177" s="22">
        <v>38.08581943894918</v>
      </c>
      <c r="K177" s="22">
        <v>3.0147086627136552</v>
      </c>
      <c r="L177" s="22">
        <v>0</v>
      </c>
      <c r="M177" s="388">
        <v>2047.7207610904989</v>
      </c>
      <c r="N177" s="25">
        <v>0.75470000000000004</v>
      </c>
      <c r="O177" s="24">
        <v>2075.1244628345662</v>
      </c>
      <c r="P177" s="24">
        <v>724.53498193884855</v>
      </c>
      <c r="Q177" s="24">
        <v>432.86191882130237</v>
      </c>
      <c r="R177" s="22">
        <v>291.67306311754618</v>
      </c>
      <c r="S177" s="24">
        <v>106.26848036065635</v>
      </c>
      <c r="T177" s="24">
        <f t="shared" si="10"/>
        <v>830.80346229950487</v>
      </c>
      <c r="U177" s="376">
        <v>1545.41</v>
      </c>
      <c r="V177" s="376">
        <v>102.39</v>
      </c>
      <c r="W177" s="22">
        <f t="shared" si="11"/>
        <v>1166.3209270000002</v>
      </c>
      <c r="X177" s="22">
        <f t="shared" si="12"/>
        <v>289.66325734240377</v>
      </c>
      <c r="Y177" s="22">
        <v>152.99646463271802</v>
      </c>
      <c r="Z177" s="22">
        <v>136.66679270968572</v>
      </c>
      <c r="AA177" s="371">
        <v>2070.833527504637</v>
      </c>
      <c r="AB177" s="22">
        <v>0.13987761618455599</v>
      </c>
      <c r="AC177" s="24">
        <v>4.8776161845559829E-3</v>
      </c>
      <c r="AD177" s="384">
        <v>-91280.214147651583</v>
      </c>
    </row>
    <row r="178" spans="1:30">
      <c r="A178" s="21" t="s">
        <v>231</v>
      </c>
      <c r="B178" s="21" t="s">
        <v>232</v>
      </c>
      <c r="C178" s="23">
        <v>1484.8244086174809</v>
      </c>
      <c r="D178" s="147">
        <v>85.748363396452078</v>
      </c>
      <c r="E178" s="22">
        <v>263.58602740993064</v>
      </c>
      <c r="F178" s="22">
        <v>349.33439080638271</v>
      </c>
      <c r="G178" s="22">
        <v>0</v>
      </c>
      <c r="H178" s="22">
        <v>180.99305908045218</v>
      </c>
      <c r="I178" s="22">
        <v>7.8583405808069289</v>
      </c>
      <c r="J178" s="22">
        <v>223.60094151347181</v>
      </c>
      <c r="K178" s="22">
        <v>0</v>
      </c>
      <c r="L178" s="22">
        <v>0</v>
      </c>
      <c r="M178" s="388">
        <v>5453.7788043398896</v>
      </c>
      <c r="N178" s="25">
        <v>0.33160000000000001</v>
      </c>
      <c r="O178" s="24">
        <v>336.64246733635821</v>
      </c>
      <c r="P178" s="24">
        <v>239.6693386857356</v>
      </c>
      <c r="Q178" s="24">
        <v>165.55775072735824</v>
      </c>
      <c r="R178" s="22">
        <v>74.111587958377356</v>
      </c>
      <c r="S178" s="24">
        <v>43.210824165562393</v>
      </c>
      <c r="T178" s="24">
        <f t="shared" si="10"/>
        <v>282.880162851298</v>
      </c>
      <c r="U178" s="376">
        <v>1808.47</v>
      </c>
      <c r="V178" s="376">
        <v>272.69</v>
      </c>
      <c r="W178" s="22">
        <f t="shared" si="11"/>
        <v>599.68865200000005</v>
      </c>
      <c r="X178" s="22">
        <f t="shared" si="12"/>
        <v>710.96879295663712</v>
      </c>
      <c r="Y178" s="22">
        <v>488.8852548033978</v>
      </c>
      <c r="Z178" s="22">
        <v>222.08353815323929</v>
      </c>
      <c r="AA178" s="371">
        <v>5507.1893928142999</v>
      </c>
      <c r="AB178" s="22">
        <v>0.12909830082914867</v>
      </c>
      <c r="AC178" s="24">
        <v>0</v>
      </c>
      <c r="AD178" s="384">
        <v>0</v>
      </c>
    </row>
    <row r="179" spans="1:30">
      <c r="A179" s="21" t="s">
        <v>323</v>
      </c>
      <c r="B179" s="21" t="s">
        <v>324</v>
      </c>
      <c r="C179" s="23">
        <v>641.31897381907595</v>
      </c>
      <c r="D179" s="147">
        <v>84.642970220123743</v>
      </c>
      <c r="E179" s="22">
        <v>151.25798263721981</v>
      </c>
      <c r="F179" s="22">
        <v>235.90095285734355</v>
      </c>
      <c r="G179" s="22">
        <v>0</v>
      </c>
      <c r="H179" s="22">
        <v>59.872114041493198</v>
      </c>
      <c r="I179" s="22">
        <v>3.8688761171491914</v>
      </c>
      <c r="J179" s="22">
        <v>153.53911219200648</v>
      </c>
      <c r="K179" s="22">
        <v>0</v>
      </c>
      <c r="L179" s="22">
        <v>0</v>
      </c>
      <c r="M179" s="388">
        <v>2272.5979292711863</v>
      </c>
      <c r="N179" s="25">
        <v>0.56899999999999995</v>
      </c>
      <c r="O179" s="24">
        <v>1446.0552552149834</v>
      </c>
      <c r="P179" s="24">
        <v>302.97822060272239</v>
      </c>
      <c r="Q179" s="24">
        <v>186.66071136635384</v>
      </c>
      <c r="R179" s="22">
        <v>116.31750923636854</v>
      </c>
      <c r="S179" s="24">
        <v>30.147086627136556</v>
      </c>
      <c r="T179" s="24">
        <f t="shared" si="10"/>
        <v>333.12530722985895</v>
      </c>
      <c r="U179" s="376">
        <v>1293.1099999999999</v>
      </c>
      <c r="V179" s="376">
        <v>113.63</v>
      </c>
      <c r="W179" s="22">
        <f t="shared" si="11"/>
        <v>735.77958999999987</v>
      </c>
      <c r="X179" s="22">
        <f t="shared" si="12"/>
        <v>342.42065893989269</v>
      </c>
      <c r="Y179" s="22">
        <v>267.3041680939441</v>
      </c>
      <c r="Z179" s="22">
        <v>75.116490845948576</v>
      </c>
      <c r="AA179" s="371">
        <v>2288.9075031364669</v>
      </c>
      <c r="AB179" s="22">
        <v>0.14960004214704051</v>
      </c>
      <c r="AC179" s="24">
        <v>1.4600042147040498E-2</v>
      </c>
      <c r="AD179" s="384">
        <v>-315867.7393851176</v>
      </c>
    </row>
    <row r="180" spans="1:30">
      <c r="A180" s="21" t="s">
        <v>353</v>
      </c>
      <c r="B180" s="21" t="s">
        <v>354</v>
      </c>
      <c r="C180" s="23">
        <v>26.2</v>
      </c>
      <c r="D180" s="147">
        <v>0</v>
      </c>
      <c r="E180" s="22">
        <v>0</v>
      </c>
      <c r="F180" s="22">
        <v>0</v>
      </c>
      <c r="G180" s="22">
        <v>0</v>
      </c>
      <c r="H180" s="22">
        <v>3.35</v>
      </c>
      <c r="I180" s="22">
        <v>0</v>
      </c>
      <c r="J180" s="22">
        <v>0</v>
      </c>
      <c r="K180" s="22">
        <v>0</v>
      </c>
      <c r="L180" s="22">
        <v>0</v>
      </c>
      <c r="M180" s="388">
        <v>86.429999999999993</v>
      </c>
      <c r="N180" s="25">
        <v>0.70589999999999997</v>
      </c>
      <c r="O180" s="24">
        <v>88</v>
      </c>
      <c r="P180" s="24">
        <v>0</v>
      </c>
      <c r="Q180" s="24">
        <v>0</v>
      </c>
      <c r="R180" s="22">
        <v>0</v>
      </c>
      <c r="S180" s="24">
        <v>0</v>
      </c>
      <c r="T180" s="24">
        <f t="shared" si="10"/>
        <v>0</v>
      </c>
      <c r="U180" s="376">
        <v>61.01</v>
      </c>
      <c r="V180" s="376">
        <v>0</v>
      </c>
      <c r="W180" s="22">
        <f t="shared" si="11"/>
        <v>43.066958999999997</v>
      </c>
      <c r="X180" s="22">
        <f t="shared" si="12"/>
        <v>8.5</v>
      </c>
      <c r="Y180" s="22">
        <v>8.25</v>
      </c>
      <c r="Z180" s="22">
        <v>0.25</v>
      </c>
      <c r="AA180" s="371">
        <v>86.43</v>
      </c>
      <c r="AB180" s="22">
        <v>9.834548189286127E-2</v>
      </c>
      <c r="AC180" s="24">
        <v>0</v>
      </c>
      <c r="AD180" s="384">
        <v>0</v>
      </c>
    </row>
    <row r="181" spans="1:30">
      <c r="A181" s="21" t="s">
        <v>509</v>
      </c>
      <c r="B181" s="21" t="s">
        <v>510</v>
      </c>
      <c r="C181" s="23">
        <v>4304.7527446332069</v>
      </c>
      <c r="D181" s="147">
        <v>225.15854098920721</v>
      </c>
      <c r="E181" s="22">
        <v>803.09828968916634</v>
      </c>
      <c r="F181" s="22">
        <v>1028.2568306783735</v>
      </c>
      <c r="G181" s="22">
        <v>0</v>
      </c>
      <c r="H181" s="22">
        <v>305.81204674567323</v>
      </c>
      <c r="I181" s="22">
        <v>31.523803583109125</v>
      </c>
      <c r="J181" s="22">
        <v>650.18221728745402</v>
      </c>
      <c r="K181" s="22">
        <v>73.156930215184701</v>
      </c>
      <c r="L181" s="22">
        <v>0</v>
      </c>
      <c r="M181" s="388">
        <v>14896.700503413496</v>
      </c>
      <c r="N181" s="25">
        <v>0.43209999999999998</v>
      </c>
      <c r="O181" s="24">
        <v>3419.6845264048566</v>
      </c>
      <c r="P181" s="24">
        <v>871.25080352424652</v>
      </c>
      <c r="Q181" s="24">
        <v>587.61696350727004</v>
      </c>
      <c r="R181" s="22">
        <v>283.63384001697642</v>
      </c>
      <c r="S181" s="24">
        <v>155.75994757353885</v>
      </c>
      <c r="T181" s="24">
        <f t="shared" si="10"/>
        <v>1027.0107510977855</v>
      </c>
      <c r="U181" s="376">
        <v>6432.4</v>
      </c>
      <c r="V181" s="376">
        <v>744.84</v>
      </c>
      <c r="W181" s="22">
        <f t="shared" si="11"/>
        <v>2779.44004</v>
      </c>
      <c r="X181" s="22">
        <f t="shared" si="12"/>
        <v>2130.1428959290902</v>
      </c>
      <c r="Y181" s="22">
        <v>1241.5575175942404</v>
      </c>
      <c r="Z181" s="22">
        <v>888.58537833484991</v>
      </c>
      <c r="AA181" s="371">
        <v>14957.095166956526</v>
      </c>
      <c r="AB181" s="22">
        <v>0.14241688457228238</v>
      </c>
      <c r="AC181" s="24">
        <v>7.4168845722823729E-3</v>
      </c>
      <c r="AD181" s="384">
        <v>-1024465.0739544139</v>
      </c>
    </row>
    <row r="182" spans="1:30">
      <c r="A182" s="21" t="s">
        <v>503</v>
      </c>
      <c r="B182" s="21" t="s">
        <v>504</v>
      </c>
      <c r="C182" s="23">
        <v>41.602979545448441</v>
      </c>
      <c r="D182" s="147">
        <v>0</v>
      </c>
      <c r="E182" s="22">
        <v>6.9941240974956802</v>
      </c>
      <c r="F182" s="22">
        <v>6.9941240974956802</v>
      </c>
      <c r="G182" s="22">
        <v>0</v>
      </c>
      <c r="H182" s="22">
        <v>1.1857854073340377</v>
      </c>
      <c r="I182" s="22">
        <v>0.42205921277991176</v>
      </c>
      <c r="J182" s="22">
        <v>107.28343227710329</v>
      </c>
      <c r="K182" s="22">
        <v>0</v>
      </c>
      <c r="L182" s="22">
        <v>0</v>
      </c>
      <c r="M182" s="388">
        <v>253.16518446581708</v>
      </c>
      <c r="N182" s="25">
        <v>0.66810000000000003</v>
      </c>
      <c r="O182" s="24">
        <v>150.73543313568277</v>
      </c>
      <c r="P182" s="24">
        <v>0</v>
      </c>
      <c r="Q182" s="24">
        <v>0</v>
      </c>
      <c r="R182" s="22">
        <v>0</v>
      </c>
      <c r="S182" s="24">
        <v>0</v>
      </c>
      <c r="T182" s="24">
        <f t="shared" si="10"/>
        <v>0</v>
      </c>
      <c r="U182" s="376">
        <v>169.14</v>
      </c>
      <c r="V182" s="376">
        <v>0</v>
      </c>
      <c r="W182" s="22">
        <f t="shared" si="11"/>
        <v>113.00243399999999</v>
      </c>
      <c r="X182" s="22">
        <f t="shared" si="12"/>
        <v>24.36889502360205</v>
      </c>
      <c r="Y182" s="22">
        <v>20.851734917102785</v>
      </c>
      <c r="Z182" s="22">
        <v>3.5171601064992646</v>
      </c>
      <c r="AA182" s="371">
        <v>252.90390971504854</v>
      </c>
      <c r="AB182" s="22">
        <v>9.6356339651130468E-2</v>
      </c>
      <c r="AC182" s="24">
        <v>0</v>
      </c>
      <c r="AD182" s="384">
        <v>0</v>
      </c>
    </row>
    <row r="183" spans="1:30">
      <c r="A183" s="21" t="s">
        <v>219</v>
      </c>
      <c r="B183" s="21" t="s">
        <v>220</v>
      </c>
      <c r="C183" s="23">
        <v>6636.3987675780791</v>
      </c>
      <c r="D183" s="147">
        <v>205.8543565189641</v>
      </c>
      <c r="E183" s="22">
        <v>879.15938924943191</v>
      </c>
      <c r="F183" s="22">
        <v>1085.0137457683959</v>
      </c>
      <c r="G183" s="22">
        <v>0</v>
      </c>
      <c r="H183" s="22">
        <v>386.16408163586783</v>
      </c>
      <c r="I183" s="22">
        <v>20.540215021955706</v>
      </c>
      <c r="J183" s="22">
        <v>595.60594146346125</v>
      </c>
      <c r="K183" s="22">
        <v>4.2205921277991179</v>
      </c>
      <c r="L183" s="22">
        <v>0</v>
      </c>
      <c r="M183" s="388">
        <v>22577.555136217594</v>
      </c>
      <c r="N183" s="25">
        <v>0.14480000000000001</v>
      </c>
      <c r="O183" s="24">
        <v>0</v>
      </c>
      <c r="P183" s="24">
        <v>2088.9418775386703</v>
      </c>
      <c r="Q183" s="24">
        <v>1573.1754704927425</v>
      </c>
      <c r="R183" s="22">
        <v>515.76640704592785</v>
      </c>
      <c r="S183" s="24">
        <v>555.46007110499102</v>
      </c>
      <c r="T183" s="24">
        <f t="shared" si="10"/>
        <v>2644.4019486436614</v>
      </c>
      <c r="U183" s="376">
        <v>3201.5</v>
      </c>
      <c r="V183" s="376">
        <v>1128.8800000000001</v>
      </c>
      <c r="W183" s="22">
        <f t="shared" si="11"/>
        <v>463.57720000000006</v>
      </c>
      <c r="X183" s="22">
        <f t="shared" si="12"/>
        <v>2633.5992426022708</v>
      </c>
      <c r="Y183" s="22">
        <v>1703.5616201551081</v>
      </c>
      <c r="Z183" s="22">
        <v>930.03762244716268</v>
      </c>
      <c r="AA183" s="371">
        <v>22700.62559285844</v>
      </c>
      <c r="AB183" s="22">
        <v>0.11601439052106099</v>
      </c>
      <c r="AC183" s="24">
        <v>0</v>
      </c>
      <c r="AD183" s="384">
        <v>0</v>
      </c>
    </row>
    <row r="184" spans="1:30">
      <c r="A184" s="21" t="s">
        <v>167</v>
      </c>
      <c r="B184" s="21" t="s">
        <v>168</v>
      </c>
      <c r="C184" s="23">
        <v>1712.6760893453791</v>
      </c>
      <c r="D184" s="147">
        <v>46.336072145908886</v>
      </c>
      <c r="E184" s="22">
        <v>417.91901288311834</v>
      </c>
      <c r="F184" s="22">
        <v>464.25508502902721</v>
      </c>
      <c r="G184" s="22">
        <v>0</v>
      </c>
      <c r="H184" s="22">
        <v>93.797635525897533</v>
      </c>
      <c r="I184" s="22">
        <v>3.5071110776235526</v>
      </c>
      <c r="J184" s="22">
        <v>295.29071351280254</v>
      </c>
      <c r="K184" s="22">
        <v>9.4460871431694535</v>
      </c>
      <c r="L184" s="22">
        <v>0</v>
      </c>
      <c r="M184" s="388">
        <v>5530.4729927193257</v>
      </c>
      <c r="N184" s="25">
        <v>0.3856</v>
      </c>
      <c r="O184" s="24">
        <v>883.3096381751011</v>
      </c>
      <c r="P184" s="24">
        <v>208.51734917102783</v>
      </c>
      <c r="Q184" s="24">
        <v>117.82486356772537</v>
      </c>
      <c r="R184" s="22">
        <v>90.692485603302472</v>
      </c>
      <c r="S184" s="24">
        <v>38.186309727706302</v>
      </c>
      <c r="T184" s="24">
        <f t="shared" si="10"/>
        <v>246.70365889873415</v>
      </c>
      <c r="U184" s="376">
        <v>2132.5500000000002</v>
      </c>
      <c r="V184" s="376">
        <v>276.52</v>
      </c>
      <c r="W184" s="22">
        <f t="shared" si="11"/>
        <v>822.31128000000001</v>
      </c>
      <c r="X184" s="22">
        <f t="shared" si="12"/>
        <v>893.86111849459883</v>
      </c>
      <c r="Y184" s="22">
        <v>502.95389522939485</v>
      </c>
      <c r="Z184" s="22">
        <v>390.90722326520398</v>
      </c>
      <c r="AA184" s="371">
        <v>5528.4531379153068</v>
      </c>
      <c r="AB184" s="22">
        <v>0.16168376509593782</v>
      </c>
      <c r="AC184" s="24">
        <v>2.6683765095937811E-2</v>
      </c>
      <c r="AD184" s="384">
        <v>-1457364.4085120985</v>
      </c>
    </row>
    <row r="185" spans="1:30">
      <c r="A185" s="21" t="s">
        <v>579</v>
      </c>
      <c r="B185" s="21" t="s">
        <v>580</v>
      </c>
      <c r="C185" s="23">
        <v>53.078970521511764</v>
      </c>
      <c r="D185" s="147">
        <v>0.61299076141844322</v>
      </c>
      <c r="E185" s="22">
        <v>5.4063775351331556</v>
      </c>
      <c r="F185" s="22">
        <v>6.0193682965515984</v>
      </c>
      <c r="G185" s="22">
        <v>0</v>
      </c>
      <c r="H185" s="22">
        <v>3.6678955396349475</v>
      </c>
      <c r="I185" s="22">
        <v>0</v>
      </c>
      <c r="J185" s="22">
        <v>0</v>
      </c>
      <c r="K185" s="22">
        <v>0</v>
      </c>
      <c r="L185" s="22">
        <v>0</v>
      </c>
      <c r="M185" s="388">
        <v>148.21312688787901</v>
      </c>
      <c r="N185" s="25">
        <v>0.3987</v>
      </c>
      <c r="O185" s="24">
        <v>0</v>
      </c>
      <c r="P185" s="24">
        <v>0</v>
      </c>
      <c r="Q185" s="24">
        <v>0</v>
      </c>
      <c r="R185" s="22">
        <v>0</v>
      </c>
      <c r="S185" s="24">
        <v>0</v>
      </c>
      <c r="T185" s="24">
        <f t="shared" si="10"/>
        <v>0</v>
      </c>
      <c r="U185" s="376">
        <v>59.09</v>
      </c>
      <c r="V185" s="376">
        <v>0</v>
      </c>
      <c r="W185" s="22">
        <f t="shared" si="11"/>
        <v>23.559183000000001</v>
      </c>
      <c r="X185" s="22">
        <f t="shared" si="12"/>
        <v>19.344380585745956</v>
      </c>
      <c r="Y185" s="22">
        <v>10.551480319497793</v>
      </c>
      <c r="Z185" s="22">
        <v>8.7929002662481626</v>
      </c>
      <c r="AA185" s="371">
        <v>148.20307785900329</v>
      </c>
      <c r="AB185" s="22">
        <v>0.13052617304041228</v>
      </c>
      <c r="AC185" s="24">
        <v>0</v>
      </c>
      <c r="AD185" s="384">
        <v>0</v>
      </c>
    </row>
    <row r="186" spans="1:30">
      <c r="A186" s="21" t="s">
        <v>165</v>
      </c>
      <c r="B186" s="21" t="s">
        <v>166</v>
      </c>
      <c r="C186" s="23">
        <v>97.475580094408187</v>
      </c>
      <c r="D186" s="147">
        <v>8.4411842555982357</v>
      </c>
      <c r="E186" s="22">
        <v>20.429675704322872</v>
      </c>
      <c r="F186" s="22">
        <v>28.870859959921106</v>
      </c>
      <c r="G186" s="22">
        <v>0</v>
      </c>
      <c r="H186" s="22">
        <v>3.3362775867364451</v>
      </c>
      <c r="I186" s="22">
        <v>1.1556383207069012</v>
      </c>
      <c r="J186" s="22">
        <v>24.821101323009096</v>
      </c>
      <c r="K186" s="22">
        <v>2.8137280851994118</v>
      </c>
      <c r="L186" s="22">
        <v>0</v>
      </c>
      <c r="M186" s="388">
        <v>332.59270869944612</v>
      </c>
      <c r="N186" s="25">
        <v>0.749</v>
      </c>
      <c r="O186" s="24">
        <v>298.45615760865189</v>
      </c>
      <c r="P186" s="24">
        <v>6.0294173254273105</v>
      </c>
      <c r="Q186" s="24">
        <v>3.0147086627136552</v>
      </c>
      <c r="R186" s="22">
        <v>3.0147086627136552</v>
      </c>
      <c r="S186" s="24">
        <v>0</v>
      </c>
      <c r="T186" s="24">
        <f t="shared" si="10"/>
        <v>6.0294173254273105</v>
      </c>
      <c r="U186" s="376">
        <v>249.11</v>
      </c>
      <c r="V186" s="376">
        <v>16.63</v>
      </c>
      <c r="W186" s="22">
        <f t="shared" si="11"/>
        <v>186.58339000000001</v>
      </c>
      <c r="X186" s="22">
        <f t="shared" si="12"/>
        <v>59.038044644809084</v>
      </c>
      <c r="Y186" s="22">
        <v>51.752498709917752</v>
      </c>
      <c r="Z186" s="22">
        <v>7.2855459348913341</v>
      </c>
      <c r="AA186" s="371">
        <v>334.22065137731153</v>
      </c>
      <c r="AB186" s="22">
        <v>0.17664391593252954</v>
      </c>
      <c r="AC186" s="24">
        <v>4.1643915932529529E-2</v>
      </c>
      <c r="AD186" s="384">
        <v>-126568.56423426744</v>
      </c>
    </row>
    <row r="187" spans="1:30">
      <c r="A187" s="21" t="s">
        <v>343</v>
      </c>
      <c r="B187" s="21" t="s">
        <v>344</v>
      </c>
      <c r="C187" s="23">
        <v>259.80759255266287</v>
      </c>
      <c r="D187" s="147">
        <v>0</v>
      </c>
      <c r="E187" s="22">
        <v>83.788802765688189</v>
      </c>
      <c r="F187" s="22">
        <v>83.788802765688189</v>
      </c>
      <c r="G187" s="22">
        <v>0</v>
      </c>
      <c r="H187" s="22">
        <v>12.490942892510246</v>
      </c>
      <c r="I187" s="22">
        <v>0.44215727053133613</v>
      </c>
      <c r="J187" s="22">
        <v>91.596898202116563</v>
      </c>
      <c r="K187" s="22">
        <v>3.6176503952563865</v>
      </c>
      <c r="L187" s="22">
        <v>0</v>
      </c>
      <c r="M187" s="388">
        <v>1029.1913903638149</v>
      </c>
      <c r="N187" s="25">
        <v>0.64239999999999997</v>
      </c>
      <c r="O187" s="24">
        <v>1026.005848210214</v>
      </c>
      <c r="P187" s="24">
        <v>45.97430710638325</v>
      </c>
      <c r="Q187" s="24">
        <v>26.629926520637291</v>
      </c>
      <c r="R187" s="22">
        <v>19.344380585745956</v>
      </c>
      <c r="S187" s="24">
        <v>0</v>
      </c>
      <c r="T187" s="24">
        <f t="shared" si="10"/>
        <v>45.97430710638325</v>
      </c>
      <c r="U187" s="376">
        <v>661.15</v>
      </c>
      <c r="V187" s="376">
        <v>51.46</v>
      </c>
      <c r="W187" s="22">
        <f t="shared" si="11"/>
        <v>424.72275999999999</v>
      </c>
      <c r="X187" s="22">
        <f t="shared" si="12"/>
        <v>231.63011558516587</v>
      </c>
      <c r="Y187" s="22">
        <v>174.6018767154992</v>
      </c>
      <c r="Z187" s="22">
        <v>57.028238869666652</v>
      </c>
      <c r="AA187" s="371">
        <v>1029.1913903638149</v>
      </c>
      <c r="AB187" s="22">
        <v>0.2250602927248406</v>
      </c>
      <c r="AC187" s="24">
        <v>9.006029272484059E-2</v>
      </c>
      <c r="AD187" s="384">
        <v>-832344.77787512401</v>
      </c>
    </row>
    <row r="188" spans="1:30">
      <c r="A188" s="21" t="s">
        <v>163</v>
      </c>
      <c r="B188" s="21" t="s">
        <v>164</v>
      </c>
      <c r="C188" s="23">
        <v>168.90407734297042</v>
      </c>
      <c r="D188" s="147">
        <v>14.762023418421199</v>
      </c>
      <c r="E188" s="22">
        <v>29.513997807966689</v>
      </c>
      <c r="F188" s="22">
        <v>44.27602122638789</v>
      </c>
      <c r="G188" s="22">
        <v>0</v>
      </c>
      <c r="H188" s="22">
        <v>16.259328720902314</v>
      </c>
      <c r="I188" s="22">
        <v>0.97475580094408187</v>
      </c>
      <c r="J188" s="22">
        <v>21.334088303136969</v>
      </c>
      <c r="K188" s="22">
        <v>2.2107863526566809</v>
      </c>
      <c r="L188" s="22">
        <v>0</v>
      </c>
      <c r="M188" s="388">
        <v>571.43802701737343</v>
      </c>
      <c r="N188" s="25">
        <v>0.76590000000000003</v>
      </c>
      <c r="O188" s="24">
        <v>591.88780077944773</v>
      </c>
      <c r="P188" s="24">
        <v>50.747595822346533</v>
      </c>
      <c r="Q188" s="24">
        <v>31.654440958493382</v>
      </c>
      <c r="R188" s="22">
        <v>19.093154863853151</v>
      </c>
      <c r="S188" s="24">
        <v>2.009805775142437</v>
      </c>
      <c r="T188" s="24">
        <f t="shared" si="10"/>
        <v>52.757401597488972</v>
      </c>
      <c r="U188" s="376">
        <v>437.66</v>
      </c>
      <c r="V188" s="376">
        <v>28.57</v>
      </c>
      <c r="W188" s="22">
        <f t="shared" si="11"/>
        <v>335.20379400000002</v>
      </c>
      <c r="X188" s="22">
        <f t="shared" si="12"/>
        <v>67.57971918916445</v>
      </c>
      <c r="Y188" s="22">
        <v>57.781916035345063</v>
      </c>
      <c r="Z188" s="22">
        <v>9.7978031538193804</v>
      </c>
      <c r="AA188" s="371">
        <v>571.43802701737332</v>
      </c>
      <c r="AB188" s="22">
        <v>0.11826255165743431</v>
      </c>
      <c r="AC188" s="24">
        <v>0</v>
      </c>
      <c r="AD188" s="384">
        <v>0</v>
      </c>
    </row>
    <row r="189" spans="1:30">
      <c r="A189" s="21" t="s">
        <v>305</v>
      </c>
      <c r="B189" s="21" t="s">
        <v>306</v>
      </c>
      <c r="C189" s="23">
        <v>58.485348056644916</v>
      </c>
      <c r="D189" s="147">
        <v>0</v>
      </c>
      <c r="E189" s="22">
        <v>14.048542368245634</v>
      </c>
      <c r="F189" s="22">
        <v>14.048542368245634</v>
      </c>
      <c r="G189" s="22">
        <v>0</v>
      </c>
      <c r="H189" s="22">
        <v>3.67794456851066</v>
      </c>
      <c r="I189" s="22">
        <v>0</v>
      </c>
      <c r="J189" s="22">
        <v>0</v>
      </c>
      <c r="K189" s="22">
        <v>0</v>
      </c>
      <c r="L189" s="22">
        <v>0</v>
      </c>
      <c r="M189" s="388">
        <v>219.82250665620404</v>
      </c>
      <c r="N189" s="25">
        <v>0.53200000000000003</v>
      </c>
      <c r="O189" s="24">
        <v>107.52460897012038</v>
      </c>
      <c r="P189" s="24">
        <v>0</v>
      </c>
      <c r="Q189" s="24">
        <v>0</v>
      </c>
      <c r="R189" s="22">
        <v>0</v>
      </c>
      <c r="S189" s="24">
        <v>0</v>
      </c>
      <c r="T189" s="24">
        <f t="shared" si="10"/>
        <v>0</v>
      </c>
      <c r="U189" s="376">
        <v>116.95</v>
      </c>
      <c r="V189" s="376">
        <v>10.99</v>
      </c>
      <c r="W189" s="22">
        <f t="shared" si="11"/>
        <v>62.217400000000005</v>
      </c>
      <c r="X189" s="22">
        <f t="shared" si="12"/>
        <v>23.112766414138026</v>
      </c>
      <c r="Y189" s="22">
        <v>13.56618898221145</v>
      </c>
      <c r="Z189" s="22">
        <v>9.5465774319265755</v>
      </c>
      <c r="AA189" s="371">
        <v>219.82250665620404</v>
      </c>
      <c r="AB189" s="22">
        <v>0.10514285714285715</v>
      </c>
      <c r="AC189" s="24">
        <v>0</v>
      </c>
      <c r="AD189" s="384">
        <v>0</v>
      </c>
    </row>
    <row r="190" spans="1:30">
      <c r="A190" s="21" t="s">
        <v>331</v>
      </c>
      <c r="B190" s="21" t="s">
        <v>332</v>
      </c>
      <c r="C190" s="23">
        <v>260.26984788094558</v>
      </c>
      <c r="D190" s="147">
        <v>6.2504959606929784</v>
      </c>
      <c r="E190" s="22">
        <v>70.905947747025181</v>
      </c>
      <c r="F190" s="22">
        <v>77.156443707718154</v>
      </c>
      <c r="G190" s="22">
        <v>0</v>
      </c>
      <c r="H190" s="22">
        <v>17.736535965632005</v>
      </c>
      <c r="I190" s="22">
        <v>0.35171601064992647</v>
      </c>
      <c r="J190" s="22">
        <v>90.270426390522559</v>
      </c>
      <c r="K190" s="22">
        <v>0</v>
      </c>
      <c r="L190" s="22">
        <v>0</v>
      </c>
      <c r="M190" s="388">
        <v>1041.3909114189294</v>
      </c>
      <c r="N190" s="25">
        <v>0.70089999999999997</v>
      </c>
      <c r="O190" s="24">
        <v>1047.1088088492097</v>
      </c>
      <c r="P190" s="24">
        <v>71.850556461342123</v>
      </c>
      <c r="Q190" s="24">
        <v>41.201018390419961</v>
      </c>
      <c r="R190" s="22">
        <v>30.649538070922162</v>
      </c>
      <c r="S190" s="24">
        <v>28.137280851994117</v>
      </c>
      <c r="T190" s="24">
        <f t="shared" si="10"/>
        <v>99.987837313336243</v>
      </c>
      <c r="U190" s="376">
        <v>730.12</v>
      </c>
      <c r="V190" s="376">
        <v>52.07</v>
      </c>
      <c r="W190" s="22">
        <f t="shared" si="11"/>
        <v>511.741108</v>
      </c>
      <c r="X190" s="22">
        <f t="shared" si="12"/>
        <v>153.24769035461082</v>
      </c>
      <c r="Y190" s="22">
        <v>125.1104095026167</v>
      </c>
      <c r="Z190" s="22">
        <v>28.137280851994117</v>
      </c>
      <c r="AA190" s="371">
        <v>1041.3909114189294</v>
      </c>
      <c r="AB190" s="22">
        <v>0.14715673881367547</v>
      </c>
      <c r="AC190" s="24">
        <v>1.2156738813675461E-2</v>
      </c>
      <c r="AD190" s="384">
        <v>-116143.15624634376</v>
      </c>
    </row>
    <row r="191" spans="1:30">
      <c r="A191" s="21" t="s">
        <v>513</v>
      </c>
      <c r="B191" s="21" t="s">
        <v>514</v>
      </c>
      <c r="C191" s="23">
        <v>2303.9408503345326</v>
      </c>
      <c r="D191" s="147">
        <v>139.34988341950086</v>
      </c>
      <c r="E191" s="22">
        <v>588.15961106655845</v>
      </c>
      <c r="F191" s="22">
        <v>727.50949448605934</v>
      </c>
      <c r="G191" s="22">
        <v>0</v>
      </c>
      <c r="H191" s="22">
        <v>344.92286712994502</v>
      </c>
      <c r="I191" s="22">
        <v>42.366705740002566</v>
      </c>
      <c r="J191" s="22">
        <v>836.7424383650507</v>
      </c>
      <c r="K191" s="22">
        <v>36.297092299072411</v>
      </c>
      <c r="L191" s="22">
        <v>0</v>
      </c>
      <c r="M191" s="388">
        <v>9685.615795450929</v>
      </c>
      <c r="N191" s="25">
        <v>0.30070000000000002</v>
      </c>
      <c r="O191" s="24">
        <v>616.00547008115689</v>
      </c>
      <c r="P191" s="24">
        <v>297.20002899918791</v>
      </c>
      <c r="Q191" s="24">
        <v>185.15335703499701</v>
      </c>
      <c r="R191" s="22">
        <v>112.04667196419086</v>
      </c>
      <c r="S191" s="24">
        <v>62.303979029415544</v>
      </c>
      <c r="T191" s="24">
        <f t="shared" si="10"/>
        <v>359.50400802860344</v>
      </c>
      <c r="U191" s="376">
        <v>2912.46</v>
      </c>
      <c r="V191" s="376">
        <v>0</v>
      </c>
      <c r="W191" s="22">
        <f t="shared" si="11"/>
        <v>875.77672200000006</v>
      </c>
      <c r="X191" s="22">
        <f t="shared" si="12"/>
        <v>1427.2133260730232</v>
      </c>
      <c r="Y191" s="22">
        <v>816.48359615161507</v>
      </c>
      <c r="Z191" s="22">
        <v>610.72972992140808</v>
      </c>
      <c r="AA191" s="371">
        <v>9748.000166711352</v>
      </c>
      <c r="AB191" s="22">
        <v>0.14641088445472575</v>
      </c>
      <c r="AC191" s="24">
        <v>1.1410884454725739E-2</v>
      </c>
      <c r="AD191" s="384">
        <v>-1015141.5309885662</v>
      </c>
    </row>
    <row r="192" spans="1:30">
      <c r="A192" s="21" t="s">
        <v>329</v>
      </c>
      <c r="B192" s="21" t="s">
        <v>330</v>
      </c>
      <c r="C192" s="23">
        <v>512.1789037372987</v>
      </c>
      <c r="D192" s="147">
        <v>32.900520539081697</v>
      </c>
      <c r="E192" s="22">
        <v>139.43027565050656</v>
      </c>
      <c r="F192" s="22">
        <v>172.33079618958826</v>
      </c>
      <c r="G192" s="22">
        <v>0</v>
      </c>
      <c r="H192" s="22">
        <v>133.70232919135063</v>
      </c>
      <c r="I192" s="22">
        <v>11.003686618904842</v>
      </c>
      <c r="J192" s="22">
        <v>4890.8322067224935</v>
      </c>
      <c r="K192" s="22">
        <v>0</v>
      </c>
      <c r="L192" s="22">
        <v>0</v>
      </c>
      <c r="M192" s="388">
        <v>6644.7595596026713</v>
      </c>
      <c r="N192" s="25">
        <v>0.54259999999999997</v>
      </c>
      <c r="O192" s="24">
        <v>5405.3726322455841</v>
      </c>
      <c r="P192" s="24">
        <v>270.06765103476494</v>
      </c>
      <c r="Q192" s="24">
        <v>162.29181634275179</v>
      </c>
      <c r="R192" s="22">
        <v>107.77583469201318</v>
      </c>
      <c r="S192" s="24">
        <v>78.884876674340646</v>
      </c>
      <c r="T192" s="24">
        <f t="shared" si="10"/>
        <v>348.9525277091056</v>
      </c>
      <c r="U192" s="376">
        <v>3604.78</v>
      </c>
      <c r="V192" s="376">
        <v>332.24</v>
      </c>
      <c r="W192" s="22">
        <f t="shared" si="11"/>
        <v>1955.953628</v>
      </c>
      <c r="X192" s="22">
        <f t="shared" si="12"/>
        <v>915.46653057738001</v>
      </c>
      <c r="Y192" s="22">
        <v>759.70658300384116</v>
      </c>
      <c r="Z192" s="22">
        <v>155.75994757353885</v>
      </c>
      <c r="AA192" s="371">
        <v>6624.8323353421338</v>
      </c>
      <c r="AB192" s="22">
        <v>0.13818712447914375</v>
      </c>
      <c r="AC192" s="24">
        <v>3.1871244791437381E-3</v>
      </c>
      <c r="AD192" s="384">
        <v>-183802.43480869773</v>
      </c>
    </row>
    <row r="193" spans="1:30">
      <c r="A193" s="21" t="s">
        <v>287</v>
      </c>
      <c r="B193" s="21" t="s">
        <v>288</v>
      </c>
      <c r="C193" s="23">
        <v>218.86784891301139</v>
      </c>
      <c r="D193" s="147">
        <v>9.9585876158307745</v>
      </c>
      <c r="E193" s="22">
        <v>98.400090750973717</v>
      </c>
      <c r="F193" s="22">
        <v>108.3586783668045</v>
      </c>
      <c r="G193" s="22">
        <v>0</v>
      </c>
      <c r="H193" s="22">
        <v>13.103933653928689</v>
      </c>
      <c r="I193" s="22">
        <v>1.0049028875712185</v>
      </c>
      <c r="J193" s="22">
        <v>0</v>
      </c>
      <c r="K193" s="22">
        <v>0.80392231005697479</v>
      </c>
      <c r="L193" s="22">
        <v>0</v>
      </c>
      <c r="M193" s="388">
        <v>795.6017141478851</v>
      </c>
      <c r="N193" s="25">
        <v>0.57830000000000004</v>
      </c>
      <c r="O193" s="24">
        <v>804.927212944546</v>
      </c>
      <c r="P193" s="24">
        <v>20.098057751424371</v>
      </c>
      <c r="Q193" s="24">
        <v>7.787997378676943</v>
      </c>
      <c r="R193" s="22">
        <v>12.310060372747426</v>
      </c>
      <c r="S193" s="24">
        <v>6.0294173254273105</v>
      </c>
      <c r="T193" s="24">
        <f t="shared" si="10"/>
        <v>26.127475076851681</v>
      </c>
      <c r="U193" s="376">
        <v>460.1</v>
      </c>
      <c r="V193" s="376">
        <v>39.78</v>
      </c>
      <c r="W193" s="22">
        <f t="shared" si="11"/>
        <v>266.07583000000005</v>
      </c>
      <c r="X193" s="22">
        <f t="shared" si="12"/>
        <v>138.92782420672097</v>
      </c>
      <c r="Y193" s="22">
        <v>82.402036780839921</v>
      </c>
      <c r="Z193" s="22">
        <v>56.525787425881042</v>
      </c>
      <c r="AA193" s="371">
        <v>798.68676601272875</v>
      </c>
      <c r="AB193" s="22">
        <v>0.17394531888926637</v>
      </c>
      <c r="AC193" s="24">
        <v>3.8945318889266362E-2</v>
      </c>
      <c r="AD193" s="384">
        <v>-280091.27073303924</v>
      </c>
    </row>
    <row r="194" spans="1:30">
      <c r="A194" s="21" t="s">
        <v>483</v>
      </c>
      <c r="B194" s="21" t="s">
        <v>484</v>
      </c>
      <c r="C194" s="23">
        <v>21.4</v>
      </c>
      <c r="D194" s="147">
        <v>0</v>
      </c>
      <c r="E194" s="22">
        <v>0</v>
      </c>
      <c r="F194" s="22">
        <v>0</v>
      </c>
      <c r="G194" s="22">
        <v>0</v>
      </c>
      <c r="H194" s="22">
        <v>0</v>
      </c>
      <c r="I194" s="22">
        <v>0</v>
      </c>
      <c r="J194" s="22">
        <v>0</v>
      </c>
      <c r="K194" s="22">
        <v>0</v>
      </c>
      <c r="L194" s="22">
        <v>0</v>
      </c>
      <c r="M194" s="388">
        <v>48.8</v>
      </c>
      <c r="N194" s="25">
        <v>0.77080000000000004</v>
      </c>
      <c r="O194" s="24">
        <v>48</v>
      </c>
      <c r="P194" s="24">
        <v>0</v>
      </c>
      <c r="Q194" s="24">
        <v>0</v>
      </c>
      <c r="R194" s="22">
        <v>0</v>
      </c>
      <c r="S194" s="24">
        <v>0</v>
      </c>
      <c r="T194" s="24">
        <f t="shared" si="10"/>
        <v>0</v>
      </c>
      <c r="U194" s="376">
        <v>37.619999999999997</v>
      </c>
      <c r="V194" s="376">
        <v>2.44</v>
      </c>
      <c r="W194" s="22">
        <f t="shared" si="11"/>
        <v>28.997495999999998</v>
      </c>
      <c r="X194" s="22">
        <f t="shared" si="12"/>
        <v>5.5</v>
      </c>
      <c r="Y194" s="22">
        <v>5.5</v>
      </c>
      <c r="Z194" s="22">
        <v>0</v>
      </c>
      <c r="AA194" s="371">
        <v>48.8</v>
      </c>
      <c r="AB194" s="22">
        <v>0.11270491803278689</v>
      </c>
      <c r="AC194" s="24">
        <v>0</v>
      </c>
      <c r="AD194" s="384">
        <v>0</v>
      </c>
    </row>
    <row r="195" spans="1:30">
      <c r="A195" s="21" t="s">
        <v>395</v>
      </c>
      <c r="B195" s="21" t="s">
        <v>396</v>
      </c>
      <c r="C195" s="23">
        <v>110.18760162218412</v>
      </c>
      <c r="D195" s="147">
        <v>0</v>
      </c>
      <c r="E195" s="22">
        <v>11.837756015588953</v>
      </c>
      <c r="F195" s="22">
        <v>11.837756015588953</v>
      </c>
      <c r="G195" s="22">
        <v>0</v>
      </c>
      <c r="H195" s="22">
        <v>0</v>
      </c>
      <c r="I195" s="22">
        <v>0</v>
      </c>
      <c r="J195" s="22">
        <v>315.34857514872408</v>
      </c>
      <c r="K195" s="22">
        <v>0</v>
      </c>
      <c r="L195" s="22">
        <v>0</v>
      </c>
      <c r="M195" s="388">
        <v>726.89650372464087</v>
      </c>
      <c r="N195" s="25">
        <v>0.30020000000000002</v>
      </c>
      <c r="O195" s="24">
        <v>0</v>
      </c>
      <c r="P195" s="24">
        <v>35.171601064992643</v>
      </c>
      <c r="Q195" s="24">
        <v>21.102960638995587</v>
      </c>
      <c r="R195" s="22">
        <v>14.068640425997058</v>
      </c>
      <c r="S195" s="24">
        <v>2.009805775142437</v>
      </c>
      <c r="T195" s="24">
        <f t="shared" si="10"/>
        <v>37.181406840135082</v>
      </c>
      <c r="U195" s="376">
        <v>218.21</v>
      </c>
      <c r="V195" s="376">
        <v>36.340000000000003</v>
      </c>
      <c r="W195" s="22">
        <f t="shared" si="11"/>
        <v>65.506642000000014</v>
      </c>
      <c r="X195" s="22">
        <f t="shared" si="12"/>
        <v>79.638553840019057</v>
      </c>
      <c r="Y195" s="22">
        <v>71.348105017556506</v>
      </c>
      <c r="Z195" s="22">
        <v>8.2904488224625528</v>
      </c>
      <c r="AA195" s="371">
        <v>726.88645469576522</v>
      </c>
      <c r="AB195" s="22">
        <v>0.10956120220090136</v>
      </c>
      <c r="AC195" s="24">
        <v>0</v>
      </c>
      <c r="AD195" s="384">
        <v>0</v>
      </c>
    </row>
    <row r="196" spans="1:30">
      <c r="A196" s="21" t="s">
        <v>453</v>
      </c>
      <c r="B196" s="21" t="s">
        <v>454</v>
      </c>
      <c r="C196" s="23">
        <v>46</v>
      </c>
      <c r="D196" s="147">
        <v>0</v>
      </c>
      <c r="E196" s="22">
        <v>0</v>
      </c>
      <c r="F196" s="22">
        <v>0</v>
      </c>
      <c r="G196" s="22">
        <v>0</v>
      </c>
      <c r="H196" s="22">
        <v>0</v>
      </c>
      <c r="I196" s="22">
        <v>0</v>
      </c>
      <c r="J196" s="22">
        <v>0</v>
      </c>
      <c r="K196" s="22">
        <v>0</v>
      </c>
      <c r="L196" s="22">
        <v>0</v>
      </c>
      <c r="M196" s="388">
        <v>68.400000000000006</v>
      </c>
      <c r="N196" s="25">
        <v>0.15579999999999999</v>
      </c>
      <c r="O196" s="24">
        <v>0</v>
      </c>
      <c r="P196" s="24">
        <v>0</v>
      </c>
      <c r="Q196" s="24">
        <v>0</v>
      </c>
      <c r="R196" s="22">
        <v>0</v>
      </c>
      <c r="S196" s="24">
        <v>0</v>
      </c>
      <c r="T196" s="24">
        <f t="shared" si="10"/>
        <v>0</v>
      </c>
      <c r="U196" s="376">
        <v>10.66</v>
      </c>
      <c r="V196" s="376">
        <v>0</v>
      </c>
      <c r="W196" s="22">
        <f t="shared" si="11"/>
        <v>1.660828</v>
      </c>
      <c r="X196" s="22">
        <f t="shared" si="12"/>
        <v>4</v>
      </c>
      <c r="Y196" s="22">
        <v>0</v>
      </c>
      <c r="Z196" s="22">
        <v>4</v>
      </c>
      <c r="AA196" s="371">
        <v>68.400000000000006</v>
      </c>
      <c r="AB196" s="22">
        <v>5.8479532163742687E-2</v>
      </c>
      <c r="AC196" s="24">
        <v>0</v>
      </c>
      <c r="AD196" s="384">
        <v>0</v>
      </c>
    </row>
    <row r="197" spans="1:30">
      <c r="A197" s="21" t="s">
        <v>105</v>
      </c>
      <c r="B197" s="21" t="s">
        <v>106</v>
      </c>
      <c r="C197" s="23">
        <v>16.8</v>
      </c>
      <c r="D197" s="147">
        <v>0</v>
      </c>
      <c r="E197" s="22">
        <v>0</v>
      </c>
      <c r="F197" s="22">
        <v>0</v>
      </c>
      <c r="G197" s="22">
        <v>0</v>
      </c>
      <c r="H197" s="22">
        <v>0</v>
      </c>
      <c r="I197" s="22">
        <v>0</v>
      </c>
      <c r="J197" s="22">
        <v>0</v>
      </c>
      <c r="K197" s="22">
        <v>0</v>
      </c>
      <c r="L197" s="22">
        <v>0</v>
      </c>
      <c r="M197" s="388">
        <v>33.4</v>
      </c>
      <c r="N197" s="25">
        <v>0.71879999999999999</v>
      </c>
      <c r="O197" s="24">
        <v>32</v>
      </c>
      <c r="P197" s="24">
        <v>0</v>
      </c>
      <c r="Q197" s="24">
        <v>0</v>
      </c>
      <c r="R197" s="22">
        <v>0</v>
      </c>
      <c r="S197" s="24">
        <v>0</v>
      </c>
      <c r="T197" s="24">
        <f t="shared" si="10"/>
        <v>0</v>
      </c>
      <c r="U197" s="376">
        <v>24.01</v>
      </c>
      <c r="V197" s="376">
        <v>1.67</v>
      </c>
      <c r="W197" s="22">
        <f t="shared" si="11"/>
        <v>17.258388</v>
      </c>
      <c r="X197" s="22">
        <f t="shared" si="12"/>
        <v>6.25</v>
      </c>
      <c r="Y197" s="22">
        <v>6.25</v>
      </c>
      <c r="Z197" s="22">
        <v>0</v>
      </c>
      <c r="AA197" s="371">
        <v>33.4</v>
      </c>
      <c r="AB197" s="22">
        <v>0.18712574850299402</v>
      </c>
      <c r="AC197" s="24">
        <v>5.2125748502994007E-2</v>
      </c>
      <c r="AD197" s="384">
        <v>-16936.120963321697</v>
      </c>
    </row>
    <row r="198" spans="1:30">
      <c r="A198" s="21" t="s">
        <v>89</v>
      </c>
      <c r="B198" s="21" t="s">
        <v>90</v>
      </c>
      <c r="C198" s="23">
        <v>57.681425746587941</v>
      </c>
      <c r="D198" s="147">
        <v>1.4470601581025546</v>
      </c>
      <c r="E198" s="22">
        <v>0</v>
      </c>
      <c r="F198" s="22">
        <v>1.4470601581025546</v>
      </c>
      <c r="G198" s="22">
        <v>0</v>
      </c>
      <c r="H198" s="22">
        <v>0</v>
      </c>
      <c r="I198" s="22">
        <v>0</v>
      </c>
      <c r="J198" s="22">
        <v>0</v>
      </c>
      <c r="K198" s="22">
        <v>0</v>
      </c>
      <c r="L198" s="22">
        <v>0</v>
      </c>
      <c r="M198" s="388">
        <v>138.75699071583387</v>
      </c>
      <c r="N198" s="25">
        <v>0.89300000000000002</v>
      </c>
      <c r="O198" s="24">
        <v>139.68150137239937</v>
      </c>
      <c r="P198" s="24">
        <v>59.289270366701892</v>
      </c>
      <c r="Q198" s="24">
        <v>49.993918656668122</v>
      </c>
      <c r="R198" s="22">
        <v>9.2953517100337706</v>
      </c>
      <c r="S198" s="24">
        <v>15.073543313568278</v>
      </c>
      <c r="T198" s="24">
        <f t="shared" si="10"/>
        <v>74.362813680270165</v>
      </c>
      <c r="U198" s="376">
        <v>123.91</v>
      </c>
      <c r="V198" s="376">
        <v>6.94</v>
      </c>
      <c r="W198" s="22">
        <f t="shared" si="11"/>
        <v>110.65163</v>
      </c>
      <c r="X198" s="22">
        <f t="shared" si="12"/>
        <v>14.822317591675471</v>
      </c>
      <c r="Y198" s="22">
        <v>12.058834650854621</v>
      </c>
      <c r="Z198" s="22">
        <v>2.7634829408208508</v>
      </c>
      <c r="AA198" s="371">
        <v>138.75699071583387</v>
      </c>
      <c r="AB198" s="22">
        <v>0.10682213209733485</v>
      </c>
      <c r="AC198" s="24">
        <v>0</v>
      </c>
      <c r="AD198" s="384">
        <v>0</v>
      </c>
    </row>
    <row r="199" spans="1:30">
      <c r="A199" s="21" t="s">
        <v>341</v>
      </c>
      <c r="B199" s="21" t="s">
        <v>342</v>
      </c>
      <c r="C199" s="23">
        <v>144.34425077072981</v>
      </c>
      <c r="D199" s="147">
        <v>5.1953479287431996</v>
      </c>
      <c r="E199" s="22">
        <v>23.745855233307893</v>
      </c>
      <c r="F199" s="22">
        <v>28.941203162051092</v>
      </c>
      <c r="G199" s="22">
        <v>0</v>
      </c>
      <c r="H199" s="22">
        <v>13.38530646244863</v>
      </c>
      <c r="I199" s="22">
        <v>0.90441259881409664</v>
      </c>
      <c r="J199" s="22">
        <v>15.475504468596764</v>
      </c>
      <c r="K199" s="22">
        <v>0</v>
      </c>
      <c r="L199" s="22">
        <v>0</v>
      </c>
      <c r="M199" s="388">
        <v>520.36886227100399</v>
      </c>
      <c r="N199" s="25">
        <v>0.74</v>
      </c>
      <c r="O199" s="24">
        <v>525.56421019974732</v>
      </c>
      <c r="P199" s="24">
        <v>64.816236248343586</v>
      </c>
      <c r="Q199" s="24">
        <v>41.452244112312762</v>
      </c>
      <c r="R199" s="22">
        <v>23.363992136030831</v>
      </c>
      <c r="S199" s="24">
        <v>12.058834650854621</v>
      </c>
      <c r="T199" s="24">
        <f t="shared" si="10"/>
        <v>76.875070899198207</v>
      </c>
      <c r="U199" s="376">
        <v>384.03</v>
      </c>
      <c r="V199" s="376">
        <v>0</v>
      </c>
      <c r="W199" s="22">
        <f t="shared" si="11"/>
        <v>284.18219999999997</v>
      </c>
      <c r="X199" s="22">
        <f t="shared" si="12"/>
        <v>65.569913414022011</v>
      </c>
      <c r="Y199" s="22">
        <v>49.993918656668122</v>
      </c>
      <c r="Z199" s="22">
        <v>15.575994757353886</v>
      </c>
      <c r="AA199" s="371">
        <v>520.35881324212835</v>
      </c>
      <c r="AB199" s="22">
        <v>0.12600903788961415</v>
      </c>
      <c r="AC199" s="24">
        <v>0</v>
      </c>
      <c r="AD199" s="384">
        <v>0</v>
      </c>
    </row>
    <row r="200" spans="1:30">
      <c r="A200" s="21" t="s">
        <v>375</v>
      </c>
      <c r="B200" s="21" t="s">
        <v>376</v>
      </c>
      <c r="C200" s="23">
        <v>724.14306981269579</v>
      </c>
      <c r="D200" s="147">
        <v>54.294903015472933</v>
      </c>
      <c r="E200" s="22">
        <v>224.9173642961901</v>
      </c>
      <c r="F200" s="22">
        <v>279.21226731166303</v>
      </c>
      <c r="G200" s="22">
        <v>0</v>
      </c>
      <c r="H200" s="22">
        <v>55.340002018547004</v>
      </c>
      <c r="I200" s="22">
        <v>2.3414237280409393</v>
      </c>
      <c r="J200" s="22">
        <v>21.776245573668305</v>
      </c>
      <c r="K200" s="22">
        <v>4.6225532828276048</v>
      </c>
      <c r="L200" s="22">
        <v>0</v>
      </c>
      <c r="M200" s="388">
        <v>2616.9379527263391</v>
      </c>
      <c r="N200" s="25">
        <v>0.31490000000000001</v>
      </c>
      <c r="O200" s="24">
        <v>0</v>
      </c>
      <c r="P200" s="24">
        <v>68.835847798628464</v>
      </c>
      <c r="Q200" s="24">
        <v>48.235338603418484</v>
      </c>
      <c r="R200" s="22">
        <v>20.60050919520998</v>
      </c>
      <c r="S200" s="24">
        <v>7.0343202129985292</v>
      </c>
      <c r="T200" s="24">
        <f t="shared" si="10"/>
        <v>75.870168011626987</v>
      </c>
      <c r="U200" s="376">
        <v>824.07</v>
      </c>
      <c r="V200" s="376">
        <v>130.85</v>
      </c>
      <c r="W200" s="22">
        <f t="shared" si="11"/>
        <v>259.49964300000005</v>
      </c>
      <c r="X200" s="22">
        <f t="shared" si="12"/>
        <v>390.65599754331117</v>
      </c>
      <c r="Y200" s="22">
        <v>211.5320578337415</v>
      </c>
      <c r="Z200" s="22">
        <v>179.1239397095697</v>
      </c>
      <c r="AA200" s="371">
        <v>2629.7102684273705</v>
      </c>
      <c r="AB200" s="22">
        <v>0.1485547675094005</v>
      </c>
      <c r="AC200" s="24">
        <v>1.3554767509400489E-2</v>
      </c>
      <c r="AD200" s="384">
        <v>-334543.79498892516</v>
      </c>
    </row>
    <row r="201" spans="1:30">
      <c r="A201" s="21" t="s">
        <v>7</v>
      </c>
      <c r="B201" s="21" t="s">
        <v>8</v>
      </c>
      <c r="C201" s="23">
        <v>1305.5798805614029</v>
      </c>
      <c r="D201" s="147">
        <v>20.680901426215673</v>
      </c>
      <c r="E201" s="22">
        <v>242.28208619342078</v>
      </c>
      <c r="F201" s="22">
        <v>262.96298761963646</v>
      </c>
      <c r="G201" s="22">
        <v>0</v>
      </c>
      <c r="H201" s="22">
        <v>60.233879081018834</v>
      </c>
      <c r="I201" s="22">
        <v>6.6323590579700413</v>
      </c>
      <c r="J201" s="22">
        <v>12.390452603753124</v>
      </c>
      <c r="K201" s="22">
        <v>20.098057751424371</v>
      </c>
      <c r="L201" s="22">
        <v>0</v>
      </c>
      <c r="M201" s="388">
        <v>4483.2435955236078</v>
      </c>
      <c r="N201" s="25">
        <v>0.81569999999999998</v>
      </c>
      <c r="O201" s="24">
        <v>4522.062994070483</v>
      </c>
      <c r="P201" s="24">
        <v>1777.9244338353783</v>
      </c>
      <c r="Q201" s="24">
        <v>1156.3919978725796</v>
      </c>
      <c r="R201" s="22">
        <v>621.53243596279867</v>
      </c>
      <c r="S201" s="24">
        <v>275.84584263829947</v>
      </c>
      <c r="T201" s="24">
        <f t="shared" ref="T201:T264" si="13">S201+P201</f>
        <v>2053.7702764736778</v>
      </c>
      <c r="U201" s="376">
        <v>3656.98</v>
      </c>
      <c r="V201" s="376">
        <v>224.16</v>
      </c>
      <c r="W201" s="22">
        <f t="shared" ref="W201:W264" si="14">U201*N201</f>
        <v>2982.9985860000002</v>
      </c>
      <c r="X201" s="22">
        <f t="shared" ref="X201:X264" si="15">Y201+Z201</f>
        <v>570.5336144185593</v>
      </c>
      <c r="Y201" s="22">
        <v>379.09961433624215</v>
      </c>
      <c r="Z201" s="22">
        <v>191.43400008231711</v>
      </c>
      <c r="AA201" s="371">
        <v>4504.8289095486371</v>
      </c>
      <c r="AB201" s="22">
        <v>0.12664934137881034</v>
      </c>
      <c r="AC201" s="24">
        <v>0</v>
      </c>
      <c r="AD201" s="384">
        <v>0</v>
      </c>
    </row>
    <row r="202" spans="1:30">
      <c r="A202" s="21" t="s">
        <v>93</v>
      </c>
      <c r="B202" s="21" t="s">
        <v>94</v>
      </c>
      <c r="C202" s="23">
        <v>12</v>
      </c>
      <c r="D202" s="147">
        <v>0</v>
      </c>
      <c r="E202" s="22">
        <v>0</v>
      </c>
      <c r="F202" s="22">
        <v>0</v>
      </c>
      <c r="G202" s="22">
        <v>0</v>
      </c>
      <c r="H202" s="22">
        <v>0</v>
      </c>
      <c r="I202" s="22">
        <v>0</v>
      </c>
      <c r="J202" s="22">
        <v>0</v>
      </c>
      <c r="K202" s="22">
        <v>0</v>
      </c>
      <c r="L202" s="22">
        <v>0</v>
      </c>
      <c r="M202" s="388">
        <v>22</v>
      </c>
      <c r="N202" s="25">
        <v>0.91300000000000003</v>
      </c>
      <c r="O202" s="24">
        <v>22</v>
      </c>
      <c r="P202" s="24">
        <v>8.25</v>
      </c>
      <c r="Q202" s="24">
        <v>8.25</v>
      </c>
      <c r="R202" s="22">
        <v>0</v>
      </c>
      <c r="S202" s="24">
        <v>3</v>
      </c>
      <c r="T202" s="24">
        <f t="shared" si="13"/>
        <v>11.25</v>
      </c>
      <c r="U202" s="376">
        <v>20.09</v>
      </c>
      <c r="V202" s="376">
        <v>0</v>
      </c>
      <c r="W202" s="22">
        <f t="shared" si="14"/>
        <v>18.342169999999999</v>
      </c>
      <c r="X202" s="22">
        <f t="shared" si="15"/>
        <v>4</v>
      </c>
      <c r="Y202" s="22">
        <v>4</v>
      </c>
      <c r="Z202" s="22">
        <v>0</v>
      </c>
      <c r="AA202" s="371">
        <v>22</v>
      </c>
      <c r="AB202" s="22">
        <v>0.18181818181818182</v>
      </c>
      <c r="AC202" s="24">
        <v>4.6818181818181814E-2</v>
      </c>
      <c r="AD202" s="384">
        <v>-9922.605236649295</v>
      </c>
    </row>
    <row r="203" spans="1:30">
      <c r="A203" s="21" t="s">
        <v>565</v>
      </c>
      <c r="B203" s="21" t="s">
        <v>566</v>
      </c>
      <c r="C203" s="23">
        <v>49.340731779746832</v>
      </c>
      <c r="D203" s="147">
        <v>0</v>
      </c>
      <c r="E203" s="22">
        <v>9.6470677206836974</v>
      </c>
      <c r="F203" s="22">
        <v>9.6470677206836974</v>
      </c>
      <c r="G203" s="22">
        <v>0</v>
      </c>
      <c r="H203" s="22">
        <v>1.7585800532496323</v>
      </c>
      <c r="I203" s="22">
        <v>0</v>
      </c>
      <c r="J203" s="22">
        <v>0</v>
      </c>
      <c r="K203" s="22">
        <v>0</v>
      </c>
      <c r="L203" s="22">
        <v>0</v>
      </c>
      <c r="M203" s="388">
        <v>153.63960248076359</v>
      </c>
      <c r="N203" s="25">
        <v>0.36420000000000002</v>
      </c>
      <c r="O203" s="24">
        <v>0</v>
      </c>
      <c r="P203" s="24">
        <v>0</v>
      </c>
      <c r="Q203" s="24">
        <v>0</v>
      </c>
      <c r="R203" s="22">
        <v>0</v>
      </c>
      <c r="S203" s="24">
        <v>0</v>
      </c>
      <c r="T203" s="24">
        <f t="shared" si="13"/>
        <v>0</v>
      </c>
      <c r="U203" s="376">
        <v>55.96</v>
      </c>
      <c r="V203" s="376">
        <v>0</v>
      </c>
      <c r="W203" s="22">
        <f t="shared" si="14"/>
        <v>20.380632000000002</v>
      </c>
      <c r="X203" s="22">
        <f t="shared" si="15"/>
        <v>18.590703420067541</v>
      </c>
      <c r="Y203" s="22">
        <v>14.571091869782668</v>
      </c>
      <c r="Z203" s="22">
        <v>4.0196115502848739</v>
      </c>
      <c r="AA203" s="371">
        <v>153.63960248076359</v>
      </c>
      <c r="AB203" s="22">
        <v>0.12100202760154359</v>
      </c>
      <c r="AC203" s="24">
        <v>0</v>
      </c>
      <c r="AD203" s="384">
        <v>0</v>
      </c>
    </row>
    <row r="204" spans="1:30">
      <c r="A204" s="21" t="s">
        <v>111</v>
      </c>
      <c r="B204" s="21" t="s">
        <v>112</v>
      </c>
      <c r="C204" s="23">
        <v>5333.893889852643</v>
      </c>
      <c r="D204" s="147">
        <v>160.62367754938356</v>
      </c>
      <c r="E204" s="22">
        <v>1036.406593096576</v>
      </c>
      <c r="F204" s="22">
        <v>1197.0302706459595</v>
      </c>
      <c r="G204" s="22">
        <v>0</v>
      </c>
      <c r="H204" s="22">
        <v>350.25890146294819</v>
      </c>
      <c r="I204" s="22">
        <v>15.425259324218203</v>
      </c>
      <c r="J204" s="22">
        <v>224.67618760317302</v>
      </c>
      <c r="K204" s="22">
        <v>21.39438247639124</v>
      </c>
      <c r="L204" s="22">
        <v>0</v>
      </c>
      <c r="M204" s="388">
        <v>18180.230737581329</v>
      </c>
      <c r="N204" s="25">
        <v>0.73440000000000005</v>
      </c>
      <c r="O204" s="24">
        <v>16854.231230344478</v>
      </c>
      <c r="P204" s="24">
        <v>6359.5279239944557</v>
      </c>
      <c r="Q204" s="24">
        <v>3458.6245132982413</v>
      </c>
      <c r="R204" s="22">
        <v>2900.9034106962149</v>
      </c>
      <c r="S204" s="24">
        <v>802.41495572561792</v>
      </c>
      <c r="T204" s="24">
        <f t="shared" si="13"/>
        <v>7161.9428797200735</v>
      </c>
      <c r="U204" s="376">
        <v>13351.56</v>
      </c>
      <c r="V204" s="376">
        <v>909.01</v>
      </c>
      <c r="W204" s="22">
        <f t="shared" si="14"/>
        <v>9805.3856639999995</v>
      </c>
      <c r="X204" s="22">
        <f t="shared" si="15"/>
        <v>2268.5682686920259</v>
      </c>
      <c r="Y204" s="22">
        <v>1192.3172761032508</v>
      </c>
      <c r="Z204" s="22">
        <v>1076.250992588775</v>
      </c>
      <c r="AA204" s="371">
        <v>18295.15143180397</v>
      </c>
      <c r="AB204" s="22">
        <v>0.12399833240780869</v>
      </c>
      <c r="AC204" s="24">
        <v>0</v>
      </c>
      <c r="AD204" s="384">
        <v>0</v>
      </c>
    </row>
    <row r="205" spans="1:30">
      <c r="A205" s="21" t="s">
        <v>335</v>
      </c>
      <c r="B205" s="21" t="s">
        <v>336</v>
      </c>
      <c r="C205" s="23">
        <v>75.38781462559281</v>
      </c>
      <c r="D205" s="147">
        <v>0</v>
      </c>
      <c r="E205" s="22">
        <v>11.295108456300495</v>
      </c>
      <c r="F205" s="22">
        <v>11.295108456300495</v>
      </c>
      <c r="G205" s="22">
        <v>0</v>
      </c>
      <c r="H205" s="22">
        <v>8.2100565914568548</v>
      </c>
      <c r="I205" s="22">
        <v>0.59289270366701885</v>
      </c>
      <c r="J205" s="22">
        <v>7.597065830038412</v>
      </c>
      <c r="K205" s="22">
        <v>0</v>
      </c>
      <c r="L205" s="22">
        <v>0</v>
      </c>
      <c r="M205" s="388">
        <v>296.44635183350942</v>
      </c>
      <c r="N205" s="25">
        <v>0.72289999999999999</v>
      </c>
      <c r="O205" s="24">
        <v>277.35319696965632</v>
      </c>
      <c r="P205" s="24">
        <v>32.156892402278991</v>
      </c>
      <c r="Q205" s="24">
        <v>20.098057751424371</v>
      </c>
      <c r="R205" s="22">
        <v>12.058834650854621</v>
      </c>
      <c r="S205" s="24">
        <v>12.058834650854621</v>
      </c>
      <c r="T205" s="24">
        <f t="shared" si="13"/>
        <v>44.215727053133612</v>
      </c>
      <c r="U205" s="376">
        <v>214.3</v>
      </c>
      <c r="V205" s="376">
        <v>14.82</v>
      </c>
      <c r="W205" s="22">
        <f t="shared" si="14"/>
        <v>154.91747000000001</v>
      </c>
      <c r="X205" s="22">
        <f t="shared" si="15"/>
        <v>41.703469834205563</v>
      </c>
      <c r="Y205" s="22">
        <v>31.403215236600577</v>
      </c>
      <c r="Z205" s="22">
        <v>10.30025459760499</v>
      </c>
      <c r="AA205" s="371">
        <v>296.43630280463373</v>
      </c>
      <c r="AB205" s="22">
        <v>0.14068273500796635</v>
      </c>
      <c r="AC205" s="24">
        <v>5.6827350079663441E-3</v>
      </c>
      <c r="AD205" s="384">
        <v>-15426.169329922839</v>
      </c>
    </row>
    <row r="206" spans="1:30">
      <c r="A206" s="21" t="s">
        <v>19</v>
      </c>
      <c r="B206" s="21" t="s">
        <v>20</v>
      </c>
      <c r="C206" s="23">
        <v>58.284367479130673</v>
      </c>
      <c r="D206" s="147">
        <v>0</v>
      </c>
      <c r="E206" s="22">
        <v>0</v>
      </c>
      <c r="F206" s="22">
        <v>0</v>
      </c>
      <c r="G206" s="22">
        <v>0</v>
      </c>
      <c r="H206" s="22">
        <v>0</v>
      </c>
      <c r="I206" s="22">
        <v>0</v>
      </c>
      <c r="J206" s="22">
        <v>0</v>
      </c>
      <c r="K206" s="22">
        <v>0</v>
      </c>
      <c r="L206" s="22">
        <v>0</v>
      </c>
      <c r="M206" s="388">
        <v>142.09326830257029</v>
      </c>
      <c r="N206" s="25">
        <v>1</v>
      </c>
      <c r="O206" s="24">
        <v>142.69621003511301</v>
      </c>
      <c r="P206" s="24">
        <v>25.625023633066071</v>
      </c>
      <c r="Q206" s="24">
        <v>20.349283473317175</v>
      </c>
      <c r="R206" s="22">
        <v>5.2757401597488967</v>
      </c>
      <c r="S206" s="24">
        <v>11.053931763283403</v>
      </c>
      <c r="T206" s="24">
        <f t="shared" si="13"/>
        <v>36.678955396349473</v>
      </c>
      <c r="U206" s="376">
        <v>142.09</v>
      </c>
      <c r="V206" s="376">
        <v>0</v>
      </c>
      <c r="W206" s="22">
        <f t="shared" si="14"/>
        <v>142.09</v>
      </c>
      <c r="X206" s="22">
        <f t="shared" si="15"/>
        <v>22.861540692245221</v>
      </c>
      <c r="Y206" s="22">
        <v>22.861540692245221</v>
      </c>
      <c r="Z206" s="22">
        <v>0</v>
      </c>
      <c r="AA206" s="371">
        <v>142.09326830257029</v>
      </c>
      <c r="AB206" s="22">
        <v>0.1608910891089109</v>
      </c>
      <c r="AC206" s="24">
        <v>2.5891089108910886E-2</v>
      </c>
      <c r="AD206" s="384">
        <v>-34083.190726100671</v>
      </c>
    </row>
    <row r="207" spans="1:30">
      <c r="A207" s="21" t="s">
        <v>289</v>
      </c>
      <c r="B207" s="21" t="s">
        <v>290</v>
      </c>
      <c r="C207" s="23">
        <v>76.774580610441092</v>
      </c>
      <c r="D207" s="147">
        <v>6.3208391628229643</v>
      </c>
      <c r="E207" s="22">
        <v>15.214229717828248</v>
      </c>
      <c r="F207" s="22">
        <v>21.535068880651213</v>
      </c>
      <c r="G207" s="22">
        <v>0</v>
      </c>
      <c r="H207" s="22">
        <v>2.7534339119451388</v>
      </c>
      <c r="I207" s="22">
        <v>0.27132377964422899</v>
      </c>
      <c r="J207" s="22">
        <v>0</v>
      </c>
      <c r="K207" s="22">
        <v>0</v>
      </c>
      <c r="L207" s="22">
        <v>0</v>
      </c>
      <c r="M207" s="388">
        <v>249.1656709732836</v>
      </c>
      <c r="N207" s="25">
        <v>0.59130000000000005</v>
      </c>
      <c r="O207" s="24">
        <v>253.23552766794705</v>
      </c>
      <c r="P207" s="24">
        <v>0</v>
      </c>
      <c r="Q207" s="24">
        <v>0</v>
      </c>
      <c r="R207" s="22">
        <v>0</v>
      </c>
      <c r="S207" s="24">
        <v>0</v>
      </c>
      <c r="T207" s="24">
        <f t="shared" si="13"/>
        <v>0</v>
      </c>
      <c r="U207" s="376">
        <v>147.33000000000001</v>
      </c>
      <c r="V207" s="376">
        <v>12.46</v>
      </c>
      <c r="W207" s="22">
        <f t="shared" si="14"/>
        <v>87.116229000000018</v>
      </c>
      <c r="X207" s="22">
        <f t="shared" si="15"/>
        <v>47.481661437740073</v>
      </c>
      <c r="Y207" s="22">
        <v>29.644635183350946</v>
      </c>
      <c r="Z207" s="22">
        <v>17.837026254389126</v>
      </c>
      <c r="AA207" s="371">
        <v>249.16567097328362</v>
      </c>
      <c r="AB207" s="22">
        <v>0.19056261343012704</v>
      </c>
      <c r="AC207" s="24">
        <v>5.5562613430127028E-2</v>
      </c>
      <c r="AD207" s="384">
        <v>-128303.90043159967</v>
      </c>
    </row>
    <row r="208" spans="1:30">
      <c r="A208" s="21" t="s">
        <v>379</v>
      </c>
      <c r="B208" s="21" t="s">
        <v>380</v>
      </c>
      <c r="C208" s="23">
        <v>2382.5945993447317</v>
      </c>
      <c r="D208" s="147">
        <v>82.814046964744108</v>
      </c>
      <c r="E208" s="22">
        <v>474.48499642450224</v>
      </c>
      <c r="F208" s="22">
        <v>557.29904338924632</v>
      </c>
      <c r="G208" s="22">
        <v>0</v>
      </c>
      <c r="H208" s="22">
        <v>356.8812114920425</v>
      </c>
      <c r="I208" s="22">
        <v>13.757120530849981</v>
      </c>
      <c r="J208" s="22">
        <v>177.87786012898135</v>
      </c>
      <c r="K208" s="22">
        <v>10.94339244565057</v>
      </c>
      <c r="L208" s="22">
        <v>3.2860324423578846</v>
      </c>
      <c r="M208" s="388">
        <v>8654.545236687356</v>
      </c>
      <c r="N208" s="25">
        <v>0.2082</v>
      </c>
      <c r="O208" s="24">
        <v>229.11785836623781</v>
      </c>
      <c r="P208" s="24">
        <v>198.71954601720844</v>
      </c>
      <c r="Q208" s="24">
        <v>139.17904992861375</v>
      </c>
      <c r="R208" s="22">
        <v>59.540496088594693</v>
      </c>
      <c r="S208" s="24">
        <v>34.66914962120704</v>
      </c>
      <c r="T208" s="24">
        <f t="shared" si="13"/>
        <v>233.38869563841547</v>
      </c>
      <c r="U208" s="376">
        <v>1801.88</v>
      </c>
      <c r="V208" s="376">
        <v>432.73</v>
      </c>
      <c r="W208" s="22">
        <f t="shared" si="14"/>
        <v>375.15141600000004</v>
      </c>
      <c r="X208" s="22">
        <f t="shared" si="15"/>
        <v>1112.9299479851245</v>
      </c>
      <c r="Y208" s="22">
        <v>725.79111054831253</v>
      </c>
      <c r="Z208" s="22">
        <v>387.13883743681191</v>
      </c>
      <c r="AA208" s="371">
        <v>8713.5732323032898</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120.58834650854621</v>
      </c>
      <c r="N209" s="25">
        <v>0.43359999999999999</v>
      </c>
      <c r="O209" s="24">
        <v>0</v>
      </c>
      <c r="P209" s="24">
        <v>8.0392231005697479</v>
      </c>
      <c r="Q209" s="24">
        <v>5.0245144378560926</v>
      </c>
      <c r="R209" s="22">
        <v>3.0147086627136552</v>
      </c>
      <c r="S209" s="24">
        <v>0</v>
      </c>
      <c r="T209" s="24">
        <f t="shared" si="13"/>
        <v>8.0392231005697479</v>
      </c>
      <c r="U209" s="376">
        <v>51.23</v>
      </c>
      <c r="V209" s="376">
        <v>0</v>
      </c>
      <c r="W209" s="22">
        <f t="shared" si="14"/>
        <v>22.213327999999997</v>
      </c>
      <c r="X209" s="22">
        <f t="shared" si="15"/>
        <v>16.27942677865374</v>
      </c>
      <c r="Y209" s="22">
        <v>16.27942677865374</v>
      </c>
      <c r="Z209" s="22">
        <v>0</v>
      </c>
      <c r="AA209" s="371">
        <v>120.58834650854622</v>
      </c>
      <c r="AB209" s="22">
        <v>0.13500000000000001</v>
      </c>
      <c r="AC209" s="24">
        <v>0</v>
      </c>
      <c r="AD209" s="384">
        <v>0</v>
      </c>
    </row>
    <row r="210" spans="1:30">
      <c r="A210" s="21" t="s">
        <v>321</v>
      </c>
      <c r="B210" s="21" t="s">
        <v>322</v>
      </c>
      <c r="C210" s="23">
        <v>299.02895225456746</v>
      </c>
      <c r="D210" s="147">
        <v>0</v>
      </c>
      <c r="E210" s="22">
        <v>0</v>
      </c>
      <c r="F210" s="22">
        <v>0</v>
      </c>
      <c r="G210" s="22">
        <v>0</v>
      </c>
      <c r="H210" s="22">
        <v>0</v>
      </c>
      <c r="I210" s="22">
        <v>0</v>
      </c>
      <c r="J210" s="22">
        <v>39.995134925334497</v>
      </c>
      <c r="K210" s="22">
        <v>0</v>
      </c>
      <c r="L210" s="22">
        <v>0</v>
      </c>
      <c r="M210" s="388">
        <v>692.99108029798799</v>
      </c>
      <c r="N210" s="25">
        <v>0.65090000000000003</v>
      </c>
      <c r="O210" s="24">
        <v>690.36828376142705</v>
      </c>
      <c r="P210" s="24">
        <v>31.905666680386183</v>
      </c>
      <c r="Q210" s="24">
        <v>18.088251976281931</v>
      </c>
      <c r="R210" s="22">
        <v>13.817414704104253</v>
      </c>
      <c r="S210" s="24">
        <v>4.5220629940704828</v>
      </c>
      <c r="T210" s="24">
        <f t="shared" si="13"/>
        <v>36.427729674456664</v>
      </c>
      <c r="U210" s="376">
        <v>451.07</v>
      </c>
      <c r="V210" s="376">
        <v>34.65</v>
      </c>
      <c r="W210" s="22">
        <f t="shared" si="14"/>
        <v>293.60146300000002</v>
      </c>
      <c r="X210" s="22">
        <f t="shared" si="15"/>
        <v>99.987837313336243</v>
      </c>
      <c r="Y210" s="22">
        <v>88.682679828160033</v>
      </c>
      <c r="Z210" s="22">
        <v>11.305157485176208</v>
      </c>
      <c r="AA210" s="371">
        <v>692.98103126911224</v>
      </c>
      <c r="AB210" s="22">
        <v>0.14428654292343387</v>
      </c>
      <c r="AC210" s="24">
        <v>9.2865429234338659E-3</v>
      </c>
      <c r="AD210" s="384">
        <v>-60074.426083862207</v>
      </c>
    </row>
    <row r="211" spans="1:30">
      <c r="A211" s="21" t="s">
        <v>119</v>
      </c>
      <c r="B211" s="21" t="s">
        <v>120</v>
      </c>
      <c r="C211" s="23">
        <v>128.02462787657325</v>
      </c>
      <c r="D211" s="147">
        <v>13.244620058188659</v>
      </c>
      <c r="E211" s="22">
        <v>39.482634452673175</v>
      </c>
      <c r="F211" s="22">
        <v>52.727254510861833</v>
      </c>
      <c r="G211" s="22">
        <v>0</v>
      </c>
      <c r="H211" s="22">
        <v>1.2259815228368864</v>
      </c>
      <c r="I211" s="22">
        <v>1.085295118576916</v>
      </c>
      <c r="J211" s="22">
        <v>0</v>
      </c>
      <c r="K211" s="22">
        <v>0</v>
      </c>
      <c r="L211" s="22">
        <v>0</v>
      </c>
      <c r="M211" s="388">
        <v>357.08219206955681</v>
      </c>
      <c r="N211" s="25">
        <v>0.51839999999999997</v>
      </c>
      <c r="O211" s="24">
        <v>361.76503952563866</v>
      </c>
      <c r="P211" s="24">
        <v>3.0147086627136552</v>
      </c>
      <c r="Q211" s="24">
        <v>2.009805775142437</v>
      </c>
      <c r="R211" s="22">
        <v>1.0049028875712185</v>
      </c>
      <c r="S211" s="24">
        <v>1.0049028875712185</v>
      </c>
      <c r="T211" s="24">
        <f t="shared" si="13"/>
        <v>4.0196115502848739</v>
      </c>
      <c r="U211" s="376">
        <v>185.11</v>
      </c>
      <c r="V211" s="376">
        <v>0</v>
      </c>
      <c r="W211" s="22">
        <f t="shared" si="14"/>
        <v>95.961024000000009</v>
      </c>
      <c r="X211" s="22">
        <f t="shared" si="15"/>
        <v>53.762304485060184</v>
      </c>
      <c r="Y211" s="22">
        <v>21.102960638995587</v>
      </c>
      <c r="Z211" s="22">
        <v>32.659343846064601</v>
      </c>
      <c r="AA211" s="371">
        <v>357.08219206955675</v>
      </c>
      <c r="AB211" s="22">
        <v>0.15056002701637869</v>
      </c>
      <c r="AC211" s="24">
        <v>1.556002701637868E-2</v>
      </c>
      <c r="AD211" s="384">
        <v>-52085.432573970982</v>
      </c>
    </row>
    <row r="212" spans="1:30">
      <c r="A212" s="21" t="s">
        <v>43</v>
      </c>
      <c r="B212" s="21" t="s">
        <v>44</v>
      </c>
      <c r="C212" s="23">
        <v>974.64526162644904</v>
      </c>
      <c r="D212" s="147">
        <v>72.634380713647673</v>
      </c>
      <c r="E212" s="22">
        <v>230.67545784197321</v>
      </c>
      <c r="F212" s="22">
        <v>303.3098385556209</v>
      </c>
      <c r="G212" s="22">
        <v>0</v>
      </c>
      <c r="H212" s="22">
        <v>96.842491275238331</v>
      </c>
      <c r="I212" s="22">
        <v>8.3708410534682507</v>
      </c>
      <c r="J212" s="22">
        <v>361.12190167759309</v>
      </c>
      <c r="K212" s="22">
        <v>0</v>
      </c>
      <c r="L212" s="22">
        <v>0</v>
      </c>
      <c r="M212" s="388">
        <v>3510.6684338455543</v>
      </c>
      <c r="N212" s="25">
        <v>0.52559999999999996</v>
      </c>
      <c r="O212" s="24">
        <v>2190.6882949052565</v>
      </c>
      <c r="P212" s="24">
        <v>53.762304485060184</v>
      </c>
      <c r="Q212" s="24">
        <v>37.181406840135082</v>
      </c>
      <c r="R212" s="22">
        <v>16.580897644925106</v>
      </c>
      <c r="S212" s="24">
        <v>9.5465774319265755</v>
      </c>
      <c r="T212" s="24">
        <f t="shared" si="13"/>
        <v>63.308881916986763</v>
      </c>
      <c r="U212" s="376">
        <v>1847.31</v>
      </c>
      <c r="V212" s="376">
        <v>175.53</v>
      </c>
      <c r="W212" s="22">
        <f t="shared" si="14"/>
        <v>970.94613599999991</v>
      </c>
      <c r="X212" s="22">
        <f t="shared" si="15"/>
        <v>552.69658816417018</v>
      </c>
      <c r="Y212" s="22">
        <v>400.7050264190234</v>
      </c>
      <c r="Z212" s="22">
        <v>151.99156174514678</v>
      </c>
      <c r="AA212" s="371">
        <v>3510.6684338455548</v>
      </c>
      <c r="AB212" s="22">
        <v>0.15743343428155968</v>
      </c>
      <c r="AC212" s="24">
        <v>2.2433434281559667E-2</v>
      </c>
      <c r="AD212" s="384">
        <v>-727555.53932081012</v>
      </c>
    </row>
    <row r="213" spans="1:30">
      <c r="A213" s="21" t="s">
        <v>181</v>
      </c>
      <c r="B213" s="21" t="s">
        <v>182</v>
      </c>
      <c r="C213" s="23">
        <v>269.55515056210368</v>
      </c>
      <c r="D213" s="147">
        <v>0</v>
      </c>
      <c r="E213" s="22">
        <v>55.239511729789882</v>
      </c>
      <c r="F213" s="22">
        <v>55.239511729789882</v>
      </c>
      <c r="G213" s="22">
        <v>0</v>
      </c>
      <c r="H213" s="22">
        <v>28.046839592112708</v>
      </c>
      <c r="I213" s="22">
        <v>2.3313746991652269</v>
      </c>
      <c r="J213" s="22">
        <v>135.89301748625587</v>
      </c>
      <c r="K213" s="22">
        <v>0</v>
      </c>
      <c r="L213" s="22">
        <v>0</v>
      </c>
      <c r="M213" s="388">
        <v>1183.7956996166467</v>
      </c>
      <c r="N213" s="25">
        <v>0.51739999999999997</v>
      </c>
      <c r="O213" s="24">
        <v>772.77032054226697</v>
      </c>
      <c r="P213" s="24">
        <v>36.427729674456671</v>
      </c>
      <c r="Q213" s="24">
        <v>22.107863526566806</v>
      </c>
      <c r="R213" s="22">
        <v>14.319866147889863</v>
      </c>
      <c r="S213" s="24">
        <v>2.2610314970352414</v>
      </c>
      <c r="T213" s="24">
        <f t="shared" si="13"/>
        <v>38.688761171491912</v>
      </c>
      <c r="U213" s="376">
        <v>612.5</v>
      </c>
      <c r="V213" s="376">
        <v>59.19</v>
      </c>
      <c r="W213" s="22">
        <f t="shared" si="14"/>
        <v>316.90749999999997</v>
      </c>
      <c r="X213" s="22">
        <f t="shared" si="15"/>
        <v>142.44498431322023</v>
      </c>
      <c r="Y213" s="22">
        <v>102.24886881037148</v>
      </c>
      <c r="Z213" s="22">
        <v>40.196115502848741</v>
      </c>
      <c r="AA213" s="371">
        <v>1201.944245766183</v>
      </c>
      <c r="AB213" s="22">
        <v>0.1185121396562103</v>
      </c>
      <c r="AC213" s="24">
        <v>0</v>
      </c>
      <c r="AD213" s="384">
        <v>0</v>
      </c>
    </row>
    <row r="214" spans="1:30">
      <c r="A214" s="21" t="s">
        <v>537</v>
      </c>
      <c r="B214" s="21" t="s">
        <v>538</v>
      </c>
      <c r="C214" s="23">
        <v>83.437086755038266</v>
      </c>
      <c r="D214" s="147">
        <v>0</v>
      </c>
      <c r="E214" s="22">
        <v>5.2656911308731846</v>
      </c>
      <c r="F214" s="22">
        <v>5.2656911308731846</v>
      </c>
      <c r="G214" s="22">
        <v>0</v>
      </c>
      <c r="H214" s="22">
        <v>1.0049028875712185</v>
      </c>
      <c r="I214" s="22">
        <v>0</v>
      </c>
      <c r="J214" s="22">
        <v>0</v>
      </c>
      <c r="K214" s="22">
        <v>1.0049028875712185</v>
      </c>
      <c r="L214" s="22">
        <v>0</v>
      </c>
      <c r="M214" s="388">
        <v>249.52743601280923</v>
      </c>
      <c r="N214" s="25">
        <v>0.93959999999999999</v>
      </c>
      <c r="O214" s="24">
        <v>233.13746991652269</v>
      </c>
      <c r="P214" s="24">
        <v>91.446162768980884</v>
      </c>
      <c r="Q214" s="24">
        <v>63.811333360772373</v>
      </c>
      <c r="R214" s="22">
        <v>27.634829408208507</v>
      </c>
      <c r="S214" s="24">
        <v>11.053931763283403</v>
      </c>
      <c r="T214" s="24">
        <f t="shared" si="13"/>
        <v>102.50009453226428</v>
      </c>
      <c r="U214" s="376">
        <v>234.46</v>
      </c>
      <c r="V214" s="376">
        <v>0</v>
      </c>
      <c r="W214" s="22">
        <f t="shared" si="14"/>
        <v>220.29861600000001</v>
      </c>
      <c r="X214" s="22">
        <f t="shared" si="15"/>
        <v>35.171601064992643</v>
      </c>
      <c r="Y214" s="22">
        <v>25.876249354958876</v>
      </c>
      <c r="Z214" s="22">
        <v>9.2953517100337706</v>
      </c>
      <c r="AA214" s="371">
        <v>249.52743601280926</v>
      </c>
      <c r="AB214" s="22">
        <v>0.1409528412065563</v>
      </c>
      <c r="AC214" s="24">
        <v>5.9528412065562863E-3</v>
      </c>
      <c r="AD214" s="384">
        <v>-13602.836898892429</v>
      </c>
    </row>
    <row r="215" spans="1:30">
      <c r="A215" s="21" t="s">
        <v>481</v>
      </c>
      <c r="B215" s="21" t="s">
        <v>482</v>
      </c>
      <c r="C215" s="23">
        <v>0</v>
      </c>
      <c r="D215" s="147">
        <v>0</v>
      </c>
      <c r="E215" s="22">
        <v>12.068883679730334</v>
      </c>
      <c r="F215" s="22">
        <v>12.068883679730334</v>
      </c>
      <c r="G215" s="22">
        <v>0</v>
      </c>
      <c r="H215" s="22">
        <v>12.772315701030188</v>
      </c>
      <c r="I215" s="22">
        <v>1.0049028875712185</v>
      </c>
      <c r="J215" s="22">
        <v>0</v>
      </c>
      <c r="K215" s="22">
        <v>0</v>
      </c>
      <c r="L215" s="22">
        <v>0</v>
      </c>
      <c r="M215" s="388">
        <v>648.86579450473573</v>
      </c>
      <c r="N215" s="25">
        <v>0.58220000000000005</v>
      </c>
      <c r="O215" s="24">
        <v>666.25061445971789</v>
      </c>
      <c r="P215" s="24">
        <v>0</v>
      </c>
      <c r="Q215" s="24">
        <v>0</v>
      </c>
      <c r="R215" s="22">
        <v>0</v>
      </c>
      <c r="S215" s="24">
        <v>0</v>
      </c>
      <c r="T215" s="24">
        <f t="shared" si="13"/>
        <v>0</v>
      </c>
      <c r="U215" s="376">
        <v>377.77</v>
      </c>
      <c r="V215" s="376">
        <v>0</v>
      </c>
      <c r="W215" s="22">
        <f t="shared" si="14"/>
        <v>219.93769400000002</v>
      </c>
      <c r="X215" s="22">
        <f t="shared" si="15"/>
        <v>103.75622314172831</v>
      </c>
      <c r="Y215" s="22">
        <v>102.75132025415709</v>
      </c>
      <c r="Z215" s="22">
        <v>1.0049028875712185</v>
      </c>
      <c r="AA215" s="371">
        <v>651.61922841668093</v>
      </c>
      <c r="AB215" s="22">
        <v>0.15922830177040281</v>
      </c>
      <c r="AC215" s="24">
        <v>2.4228301770402805E-2</v>
      </c>
      <c r="AD215" s="384">
        <v>-135252.47288157389</v>
      </c>
    </row>
    <row r="216" spans="1:30">
      <c r="A216" s="21" t="s">
        <v>25</v>
      </c>
      <c r="B216" s="21" t="s">
        <v>26</v>
      </c>
      <c r="C216" s="23">
        <v>630.33538525792255</v>
      </c>
      <c r="D216" s="147">
        <v>29.956155078498021</v>
      </c>
      <c r="E216" s="22">
        <v>230.20315348481475</v>
      </c>
      <c r="F216" s="22">
        <v>260.15930856331278</v>
      </c>
      <c r="G216" s="22">
        <v>0</v>
      </c>
      <c r="H216" s="22">
        <v>38.548074767231938</v>
      </c>
      <c r="I216" s="22">
        <v>2.7031887675665778</v>
      </c>
      <c r="J216" s="22">
        <v>0</v>
      </c>
      <c r="K216" s="22">
        <v>12.661776383397353</v>
      </c>
      <c r="L216" s="22">
        <v>0</v>
      </c>
      <c r="M216" s="388">
        <v>2467.8405112973983</v>
      </c>
      <c r="N216" s="25">
        <v>0.71989999999999998</v>
      </c>
      <c r="O216" s="24">
        <v>2493.1640640641931</v>
      </c>
      <c r="P216" s="24">
        <v>589.6267692824124</v>
      </c>
      <c r="Q216" s="24">
        <v>380.10451722381339</v>
      </c>
      <c r="R216" s="22">
        <v>209.52225205859907</v>
      </c>
      <c r="S216" s="24">
        <v>71.348105017556506</v>
      </c>
      <c r="T216" s="24">
        <f t="shared" si="13"/>
        <v>660.97487429996886</v>
      </c>
      <c r="U216" s="376">
        <v>1775.86</v>
      </c>
      <c r="V216" s="376">
        <v>123.39</v>
      </c>
      <c r="W216" s="22">
        <f t="shared" si="14"/>
        <v>1278.4416139999998</v>
      </c>
      <c r="X216" s="22">
        <f t="shared" si="15"/>
        <v>316.29318386304101</v>
      </c>
      <c r="Y216" s="22">
        <v>144.45479008836267</v>
      </c>
      <c r="Z216" s="22">
        <v>171.83839377467837</v>
      </c>
      <c r="AA216" s="371">
        <v>2487.8179807023139</v>
      </c>
      <c r="AB216" s="22">
        <v>0.12713678666063466</v>
      </c>
      <c r="AC216" s="24">
        <v>0</v>
      </c>
      <c r="AD216" s="384">
        <v>0</v>
      </c>
    </row>
    <row r="217" spans="1:30">
      <c r="A217" s="21" t="s">
        <v>1319</v>
      </c>
      <c r="B217" s="21" t="s">
        <v>1320</v>
      </c>
      <c r="C217" s="23">
        <v>52.2</v>
      </c>
      <c r="D217" s="147">
        <v>0</v>
      </c>
      <c r="E217" s="22">
        <v>0</v>
      </c>
      <c r="F217" s="22">
        <v>0</v>
      </c>
      <c r="G217" s="22">
        <v>0</v>
      </c>
      <c r="H217" s="22">
        <v>0</v>
      </c>
      <c r="I217" s="22">
        <v>0</v>
      </c>
      <c r="J217" s="22">
        <v>0</v>
      </c>
      <c r="K217" s="22">
        <v>0</v>
      </c>
      <c r="L217" s="22">
        <v>0</v>
      </c>
      <c r="M217" s="388">
        <v>77</v>
      </c>
      <c r="N217" s="25">
        <v>0.2278</v>
      </c>
      <c r="O217" s="24">
        <v>0</v>
      </c>
      <c r="P217" s="24">
        <v>3</v>
      </c>
      <c r="Q217" s="24">
        <v>3</v>
      </c>
      <c r="R217" s="22">
        <v>0</v>
      </c>
      <c r="S217" s="24">
        <v>0</v>
      </c>
      <c r="T217" s="24">
        <f t="shared" si="13"/>
        <v>3</v>
      </c>
      <c r="U217" s="376">
        <v>1.95</v>
      </c>
      <c r="V217" s="376">
        <v>0</v>
      </c>
      <c r="W217" s="22">
        <f t="shared" si="14"/>
        <v>0.44420999999999999</v>
      </c>
      <c r="X217" s="22">
        <f t="shared" si="15"/>
        <v>11.75</v>
      </c>
      <c r="Y217" s="22">
        <v>11.75</v>
      </c>
      <c r="Z217" s="22">
        <v>0</v>
      </c>
      <c r="AA217" s="371">
        <v>77</v>
      </c>
      <c r="AB217" s="22">
        <v>0.15259740259740259</v>
      </c>
      <c r="AC217" s="24">
        <v>1.7597402597402584E-2</v>
      </c>
      <c r="AD217" s="384">
        <v>-13541.913949846807</v>
      </c>
    </row>
    <row r="218" spans="1:30">
      <c r="A218" s="21" t="s">
        <v>561</v>
      </c>
      <c r="B218" s="21" t="s">
        <v>562</v>
      </c>
      <c r="C218" s="23">
        <v>782.82939844685495</v>
      </c>
      <c r="D218" s="147">
        <v>44.225776082009325</v>
      </c>
      <c r="E218" s="22">
        <v>132.02414136910667</v>
      </c>
      <c r="F218" s="22">
        <v>176.249917451116</v>
      </c>
      <c r="G218" s="22">
        <v>0</v>
      </c>
      <c r="H218" s="22">
        <v>36.437778703332377</v>
      </c>
      <c r="I218" s="22">
        <v>0.60294173254273109</v>
      </c>
      <c r="J218" s="22">
        <v>7.787997378676943</v>
      </c>
      <c r="K218" s="22">
        <v>0.80392231005697479</v>
      </c>
      <c r="L218" s="22">
        <v>0</v>
      </c>
      <c r="M218" s="388">
        <v>2629.8409058027542</v>
      </c>
      <c r="N218" s="25">
        <v>0.3155</v>
      </c>
      <c r="O218" s="24">
        <v>0</v>
      </c>
      <c r="P218" s="24">
        <v>121.84447511801024</v>
      </c>
      <c r="Q218" s="24">
        <v>93.958419987908925</v>
      </c>
      <c r="R218" s="22">
        <v>27.886055130101312</v>
      </c>
      <c r="S218" s="24">
        <v>42.959598443669591</v>
      </c>
      <c r="T218" s="24">
        <f t="shared" si="13"/>
        <v>164.80407356167984</v>
      </c>
      <c r="U218" s="376">
        <v>829.71</v>
      </c>
      <c r="V218" s="376">
        <v>131.49</v>
      </c>
      <c r="W218" s="22">
        <f t="shared" si="14"/>
        <v>261.773505</v>
      </c>
      <c r="X218" s="22">
        <f t="shared" si="15"/>
        <v>318.55421536007623</v>
      </c>
      <c r="Y218" s="22">
        <v>237.91075863248597</v>
      </c>
      <c r="Z218" s="22">
        <v>80.643456727590277</v>
      </c>
      <c r="AA218" s="371">
        <v>2630.0318373513928</v>
      </c>
      <c r="AB218" s="22">
        <v>0.12112180956747669</v>
      </c>
      <c r="AC218" s="24">
        <v>0</v>
      </c>
      <c r="AD218" s="384">
        <v>0</v>
      </c>
    </row>
    <row r="219" spans="1:30">
      <c r="A219" s="21" t="s">
        <v>363</v>
      </c>
      <c r="B219" s="21" t="s">
        <v>364</v>
      </c>
      <c r="C219" s="23">
        <v>6400.0355593924523</v>
      </c>
      <c r="D219" s="147">
        <v>360.96111721558168</v>
      </c>
      <c r="E219" s="22">
        <v>1274.0158808627907</v>
      </c>
      <c r="F219" s="22">
        <v>1634.9769980783724</v>
      </c>
      <c r="G219" s="22">
        <v>0</v>
      </c>
      <c r="H219" s="22">
        <v>630.05401244940253</v>
      </c>
      <c r="I219" s="22">
        <v>18.791683997581785</v>
      </c>
      <c r="J219" s="22">
        <v>744.18083339086581</v>
      </c>
      <c r="K219" s="22">
        <v>51.852988998674874</v>
      </c>
      <c r="L219" s="22">
        <v>0</v>
      </c>
      <c r="M219" s="388">
        <v>22426.558428331144</v>
      </c>
      <c r="N219" s="25">
        <v>0.39810000000000001</v>
      </c>
      <c r="O219" s="24">
        <v>2001.7665520418673</v>
      </c>
      <c r="P219" s="24">
        <v>1448.3162867120186</v>
      </c>
      <c r="Q219" s="24">
        <v>930.79129961284116</v>
      </c>
      <c r="R219" s="22">
        <v>517.52498709917757</v>
      </c>
      <c r="S219" s="24">
        <v>341.16453033042865</v>
      </c>
      <c r="T219" s="24">
        <f t="shared" si="13"/>
        <v>1789.4808170424471</v>
      </c>
      <c r="U219" s="376">
        <v>8928.01</v>
      </c>
      <c r="V219" s="376">
        <v>1121.33</v>
      </c>
      <c r="W219" s="22">
        <f t="shared" si="14"/>
        <v>3554.240781</v>
      </c>
      <c r="X219" s="22">
        <f t="shared" si="15"/>
        <v>2502.7106414961199</v>
      </c>
      <c r="Y219" s="22">
        <v>1345.8161921797544</v>
      </c>
      <c r="Z219" s="22">
        <v>1156.8944493163654</v>
      </c>
      <c r="AA219" s="371">
        <v>22462.93591286122</v>
      </c>
      <c r="AB219" s="22">
        <v>0.11141511738290566</v>
      </c>
      <c r="AC219" s="24">
        <v>0</v>
      </c>
      <c r="AD219" s="384">
        <v>0</v>
      </c>
    </row>
    <row r="220" spans="1:30">
      <c r="A220" s="21" t="s">
        <v>173</v>
      </c>
      <c r="B220" s="21" t="s">
        <v>174</v>
      </c>
      <c r="C220" s="23">
        <v>21</v>
      </c>
      <c r="D220" s="147">
        <v>0</v>
      </c>
      <c r="E220" s="22">
        <v>0</v>
      </c>
      <c r="F220" s="22">
        <v>0</v>
      </c>
      <c r="G220" s="22">
        <v>0</v>
      </c>
      <c r="H220" s="22">
        <v>0</v>
      </c>
      <c r="I220" s="22">
        <v>0</v>
      </c>
      <c r="J220" s="22">
        <v>0</v>
      </c>
      <c r="K220" s="22">
        <v>0</v>
      </c>
      <c r="L220" s="22">
        <v>0</v>
      </c>
      <c r="M220" s="388">
        <v>50.8</v>
      </c>
      <c r="N220" s="25">
        <v>1</v>
      </c>
      <c r="O220" s="24">
        <v>50</v>
      </c>
      <c r="P220" s="24">
        <v>0</v>
      </c>
      <c r="Q220" s="24">
        <v>0</v>
      </c>
      <c r="R220" s="22">
        <v>0</v>
      </c>
      <c r="S220" s="24">
        <v>0</v>
      </c>
      <c r="T220" s="24">
        <f t="shared" si="13"/>
        <v>0</v>
      </c>
      <c r="U220" s="376">
        <v>50.8</v>
      </c>
      <c r="V220" s="376">
        <v>0</v>
      </c>
      <c r="W220" s="22">
        <f t="shared" si="14"/>
        <v>50.8</v>
      </c>
      <c r="X220" s="22">
        <f t="shared" si="15"/>
        <v>8.75</v>
      </c>
      <c r="Y220" s="22">
        <v>0</v>
      </c>
      <c r="Z220" s="22">
        <v>8.75</v>
      </c>
      <c r="AA220" s="371">
        <v>50.8</v>
      </c>
      <c r="AB220" s="22">
        <v>0.17224409448818898</v>
      </c>
      <c r="AC220" s="24">
        <v>3.7244094488188967E-2</v>
      </c>
      <c r="AD220" s="384">
        <v>-17326.2485890182</v>
      </c>
    </row>
    <row r="221" spans="1:30">
      <c r="A221" s="21" t="s">
        <v>177</v>
      </c>
      <c r="B221" s="21" t="s">
        <v>178</v>
      </c>
      <c r="C221" s="23">
        <v>45.321120229461954</v>
      </c>
      <c r="D221" s="147">
        <v>0</v>
      </c>
      <c r="E221" s="22">
        <v>7.6975561187955339</v>
      </c>
      <c r="F221" s="22">
        <v>7.6975561187955339</v>
      </c>
      <c r="G221" s="22">
        <v>0</v>
      </c>
      <c r="H221" s="22">
        <v>4.3612785320590879</v>
      </c>
      <c r="I221" s="22">
        <v>0</v>
      </c>
      <c r="J221" s="22">
        <v>438.19795315430554</v>
      </c>
      <c r="K221" s="22">
        <v>0</v>
      </c>
      <c r="L221" s="22">
        <v>0</v>
      </c>
      <c r="M221" s="388">
        <v>649.95108962331278</v>
      </c>
      <c r="N221" s="25">
        <v>0.31059999999999999</v>
      </c>
      <c r="O221" s="24">
        <v>0</v>
      </c>
      <c r="P221" s="24">
        <v>0</v>
      </c>
      <c r="Q221" s="24">
        <v>0</v>
      </c>
      <c r="R221" s="22">
        <v>0</v>
      </c>
      <c r="S221" s="24">
        <v>0</v>
      </c>
      <c r="T221" s="24">
        <f t="shared" si="13"/>
        <v>0</v>
      </c>
      <c r="U221" s="376">
        <v>202.33</v>
      </c>
      <c r="V221" s="376">
        <v>32.5</v>
      </c>
      <c r="W221" s="22">
        <f t="shared" si="14"/>
        <v>62.843698000000003</v>
      </c>
      <c r="X221" s="22">
        <f t="shared" si="15"/>
        <v>56.023335982095432</v>
      </c>
      <c r="Y221" s="22">
        <v>53.259853041274582</v>
      </c>
      <c r="Z221" s="22">
        <v>2.7634829408208508</v>
      </c>
      <c r="AA221" s="371">
        <v>656.925115663057</v>
      </c>
      <c r="AB221" s="22">
        <v>8.5281160129719147E-2</v>
      </c>
      <c r="AC221" s="24">
        <v>0</v>
      </c>
      <c r="AD221" s="384">
        <v>0</v>
      </c>
    </row>
    <row r="222" spans="1:30">
      <c r="A222" s="21" t="s">
        <v>53</v>
      </c>
      <c r="B222" s="21" t="s">
        <v>54</v>
      </c>
      <c r="C222" s="23">
        <v>30.54904778216504</v>
      </c>
      <c r="D222" s="147">
        <v>1.6580897644925103</v>
      </c>
      <c r="E222" s="22">
        <v>8.8330963817510089</v>
      </c>
      <c r="F222" s="22">
        <v>10.491186146243519</v>
      </c>
      <c r="G222" s="22">
        <v>0</v>
      </c>
      <c r="H222" s="22">
        <v>0.3316179528985021</v>
      </c>
      <c r="I222" s="22">
        <v>0</v>
      </c>
      <c r="J222" s="22">
        <v>0</v>
      </c>
      <c r="K222" s="22">
        <v>0</v>
      </c>
      <c r="L222" s="22">
        <v>0</v>
      </c>
      <c r="M222" s="388">
        <v>117.06113737317123</v>
      </c>
      <c r="N222" s="25">
        <v>0.93910000000000005</v>
      </c>
      <c r="O222" s="24">
        <v>115.56383207069013</v>
      </c>
      <c r="P222" s="24">
        <v>0</v>
      </c>
      <c r="Q222" s="24">
        <v>0</v>
      </c>
      <c r="R222" s="22">
        <v>0</v>
      </c>
      <c r="S222" s="24">
        <v>0</v>
      </c>
      <c r="T222" s="24">
        <f t="shared" si="13"/>
        <v>0</v>
      </c>
      <c r="U222" s="376">
        <v>109.93</v>
      </c>
      <c r="V222" s="376">
        <v>0</v>
      </c>
      <c r="W222" s="22">
        <f t="shared" si="14"/>
        <v>103.23526300000002</v>
      </c>
      <c r="X222" s="22">
        <f t="shared" si="15"/>
        <v>28.388506573886925</v>
      </c>
      <c r="Y222" s="22">
        <v>27.132377964422901</v>
      </c>
      <c r="Z222" s="22">
        <v>1.2561286094640232</v>
      </c>
      <c r="AA222" s="371">
        <v>117.06113737317123</v>
      </c>
      <c r="AB222" s="22">
        <v>0.24251008670272131</v>
      </c>
      <c r="AC222" s="24">
        <v>0.1075100867027213</v>
      </c>
      <c r="AD222" s="384">
        <v>-113618.13930864127</v>
      </c>
    </row>
    <row r="223" spans="1:30">
      <c r="A223" s="21" t="s">
        <v>51</v>
      </c>
      <c r="B223" s="21" t="s">
        <v>52</v>
      </c>
      <c r="C223" s="23">
        <v>276.22770573557654</v>
      </c>
      <c r="D223" s="147">
        <v>13.164227827182962</v>
      </c>
      <c r="E223" s="22">
        <v>43.612785320590881</v>
      </c>
      <c r="F223" s="22">
        <v>56.777013147773843</v>
      </c>
      <c r="G223" s="22">
        <v>0</v>
      </c>
      <c r="H223" s="22">
        <v>83.085370744388356</v>
      </c>
      <c r="I223" s="22">
        <v>9.5666754896779995</v>
      </c>
      <c r="J223" s="22">
        <v>2282.5766149447686</v>
      </c>
      <c r="K223" s="22">
        <v>6.8333396354842852</v>
      </c>
      <c r="L223" s="22">
        <v>0</v>
      </c>
      <c r="M223" s="388">
        <v>3283.0981259261766</v>
      </c>
      <c r="N223" s="25">
        <v>0.63009999999999999</v>
      </c>
      <c r="O223" s="24">
        <v>3295.0765683460254</v>
      </c>
      <c r="P223" s="24">
        <v>232.13256702895148</v>
      </c>
      <c r="Q223" s="24">
        <v>119.583443620975</v>
      </c>
      <c r="R223" s="22">
        <v>112.54912340797647</v>
      </c>
      <c r="S223" s="24">
        <v>31.151989514707772</v>
      </c>
      <c r="T223" s="24">
        <f t="shared" si="13"/>
        <v>263.28455654365928</v>
      </c>
      <c r="U223" s="376">
        <v>1745.29</v>
      </c>
      <c r="V223" s="376">
        <v>0</v>
      </c>
      <c r="W223" s="22">
        <f t="shared" si="14"/>
        <v>1099.7072289999999</v>
      </c>
      <c r="X223" s="22">
        <f t="shared" si="15"/>
        <v>568.52380864341683</v>
      </c>
      <c r="Y223" s="22">
        <v>504.4612495607517</v>
      </c>
      <c r="Z223" s="22">
        <v>64.062559082665175</v>
      </c>
      <c r="AA223" s="371">
        <v>3286.9368549566984</v>
      </c>
      <c r="AB223" s="22">
        <v>0.17296462747256106</v>
      </c>
      <c r="AC223" s="24">
        <v>3.7964627472561047E-2</v>
      </c>
      <c r="AD223" s="384">
        <v>-1088727.7525941348</v>
      </c>
    </row>
    <row r="224" spans="1:30">
      <c r="A224" s="21" t="s">
        <v>123</v>
      </c>
      <c r="B224" s="21" t="s">
        <v>124</v>
      </c>
      <c r="C224" s="23">
        <v>907.54789582331887</v>
      </c>
      <c r="D224" s="147">
        <v>51.963528316307709</v>
      </c>
      <c r="E224" s="22">
        <v>224.44505993903164</v>
      </c>
      <c r="F224" s="22">
        <v>276.40858825533934</v>
      </c>
      <c r="G224" s="22">
        <v>0</v>
      </c>
      <c r="H224" s="22">
        <v>50.506419129329437</v>
      </c>
      <c r="I224" s="22">
        <v>2.9242674028322457</v>
      </c>
      <c r="J224" s="22">
        <v>58.324563594633517</v>
      </c>
      <c r="K224" s="22">
        <v>4.2205921277991179</v>
      </c>
      <c r="L224" s="22">
        <v>0</v>
      </c>
      <c r="M224" s="388">
        <v>3159.6156591014255</v>
      </c>
      <c r="N224" s="25">
        <v>0.82869999999999999</v>
      </c>
      <c r="O224" s="24">
        <v>3140.3215236600577</v>
      </c>
      <c r="P224" s="24">
        <v>1201.8638535351774</v>
      </c>
      <c r="Q224" s="24">
        <v>766.48967749494693</v>
      </c>
      <c r="R224" s="22">
        <v>435.3741760402304</v>
      </c>
      <c r="S224" s="24">
        <v>244.4426274016989</v>
      </c>
      <c r="T224" s="24">
        <f t="shared" si="13"/>
        <v>1446.3064809368764</v>
      </c>
      <c r="U224" s="376">
        <v>2618.37</v>
      </c>
      <c r="V224" s="376">
        <v>157.97999999999999</v>
      </c>
      <c r="W224" s="22">
        <f t="shared" si="14"/>
        <v>2169.8432189999999</v>
      </c>
      <c r="X224" s="22">
        <f t="shared" si="15"/>
        <v>429.0935329929103</v>
      </c>
      <c r="Y224" s="22">
        <v>339.65717599907185</v>
      </c>
      <c r="Z224" s="22">
        <v>89.436356993838444</v>
      </c>
      <c r="AA224" s="371">
        <v>3165.0220366365584</v>
      </c>
      <c r="AB224" s="22">
        <v>0.13557363203982753</v>
      </c>
      <c r="AC224" s="24">
        <v>5.7363203982752076E-4</v>
      </c>
      <c r="AD224" s="384">
        <v>-16417.575708444096</v>
      </c>
    </row>
    <row r="225" spans="1:30">
      <c r="A225" s="21" t="s">
        <v>225</v>
      </c>
      <c r="B225" s="21" t="s">
        <v>226</v>
      </c>
      <c r="C225" s="23">
        <v>0</v>
      </c>
      <c r="D225" s="147">
        <v>0</v>
      </c>
      <c r="E225" s="22">
        <v>0</v>
      </c>
      <c r="F225" s="22">
        <v>0</v>
      </c>
      <c r="G225" s="22">
        <v>0</v>
      </c>
      <c r="H225" s="22">
        <v>0</v>
      </c>
      <c r="I225" s="22">
        <v>0</v>
      </c>
      <c r="J225" s="22">
        <v>0</v>
      </c>
      <c r="K225" s="22">
        <v>0</v>
      </c>
      <c r="L225" s="22">
        <v>0</v>
      </c>
      <c r="M225" s="388">
        <v>330.61305001093086</v>
      </c>
      <c r="N225" s="25">
        <v>0.76190000000000002</v>
      </c>
      <c r="O225" s="24">
        <v>337.64737022392939</v>
      </c>
      <c r="P225" s="24">
        <v>97.224354372515393</v>
      </c>
      <c r="Q225" s="24">
        <v>55.018433094524212</v>
      </c>
      <c r="R225" s="22">
        <v>42.205921277991173</v>
      </c>
      <c r="S225" s="24">
        <v>21.102960638995587</v>
      </c>
      <c r="T225" s="24">
        <f t="shared" si="13"/>
        <v>118.32731501151098</v>
      </c>
      <c r="U225" s="376">
        <v>251.89</v>
      </c>
      <c r="V225" s="376">
        <v>0</v>
      </c>
      <c r="W225" s="22">
        <f t="shared" si="14"/>
        <v>191.91499099999999</v>
      </c>
      <c r="X225" s="22">
        <f t="shared" si="15"/>
        <v>24.871346467387657</v>
      </c>
      <c r="Y225" s="22">
        <v>24.871346467387657</v>
      </c>
      <c r="Z225" s="22">
        <v>0</v>
      </c>
      <c r="AA225" s="371">
        <v>330.61305001093086</v>
      </c>
      <c r="AB225" s="22">
        <v>7.522796352583587E-2</v>
      </c>
      <c r="AC225" s="24">
        <v>0</v>
      </c>
      <c r="AD225" s="384">
        <v>0</v>
      </c>
    </row>
    <row r="226" spans="1:30">
      <c r="A226" s="21" t="s">
        <v>515</v>
      </c>
      <c r="B226" s="21" t="s">
        <v>516</v>
      </c>
      <c r="C226" s="23">
        <v>285.41251812797748</v>
      </c>
      <c r="D226" s="147">
        <v>15.013249140314004</v>
      </c>
      <c r="E226" s="22">
        <v>63.891725591778069</v>
      </c>
      <c r="F226" s="22">
        <v>78.904974732092072</v>
      </c>
      <c r="G226" s="22">
        <v>0</v>
      </c>
      <c r="H226" s="22">
        <v>17.9777126586491</v>
      </c>
      <c r="I226" s="22">
        <v>1.3566188982211451</v>
      </c>
      <c r="J226" s="22">
        <v>0</v>
      </c>
      <c r="K226" s="22">
        <v>4.4215727053133618</v>
      </c>
      <c r="L226" s="22">
        <v>0</v>
      </c>
      <c r="M226" s="388">
        <v>891.1378316692809</v>
      </c>
      <c r="N226" s="25">
        <v>0.4415</v>
      </c>
      <c r="O226" s="24">
        <v>0</v>
      </c>
      <c r="P226" s="24">
        <v>0</v>
      </c>
      <c r="Q226" s="24">
        <v>0</v>
      </c>
      <c r="R226" s="22">
        <v>0</v>
      </c>
      <c r="S226" s="24">
        <v>0</v>
      </c>
      <c r="T226" s="24">
        <f t="shared" si="13"/>
        <v>0</v>
      </c>
      <c r="U226" s="376">
        <v>393.44</v>
      </c>
      <c r="V226" s="376">
        <v>44.56</v>
      </c>
      <c r="W226" s="22">
        <f t="shared" si="14"/>
        <v>173.70375999999999</v>
      </c>
      <c r="X226" s="22">
        <f t="shared" si="15"/>
        <v>127.37144099965194</v>
      </c>
      <c r="Y226" s="22">
        <v>88.431454106267225</v>
      </c>
      <c r="Z226" s="22">
        <v>38.939986893384713</v>
      </c>
      <c r="AA226" s="371">
        <v>891.13783166928079</v>
      </c>
      <c r="AB226" s="22">
        <v>0.14293124640557517</v>
      </c>
      <c r="AC226" s="24">
        <v>7.9312464055751597E-3</v>
      </c>
      <c r="AD226" s="384">
        <v>-64380.841997299874</v>
      </c>
    </row>
    <row r="227" spans="1:30">
      <c r="A227" s="21" t="s">
        <v>345</v>
      </c>
      <c r="B227" s="21" t="s">
        <v>346</v>
      </c>
      <c r="C227" s="23">
        <v>145.96214441971949</v>
      </c>
      <c r="D227" s="147">
        <v>0</v>
      </c>
      <c r="E227" s="22">
        <v>39.140967470898964</v>
      </c>
      <c r="F227" s="22">
        <v>39.140967470898964</v>
      </c>
      <c r="G227" s="22">
        <v>0</v>
      </c>
      <c r="H227" s="22">
        <v>19.776488827401579</v>
      </c>
      <c r="I227" s="22">
        <v>0.17083349088710714</v>
      </c>
      <c r="J227" s="22">
        <v>2.009805775142437</v>
      </c>
      <c r="K227" s="22">
        <v>2.009805775142437</v>
      </c>
      <c r="L227" s="22">
        <v>0</v>
      </c>
      <c r="M227" s="388">
        <v>525.54411214199604</v>
      </c>
      <c r="N227" s="25">
        <v>0.70309999999999995</v>
      </c>
      <c r="O227" s="24">
        <v>524.55930731217609</v>
      </c>
      <c r="P227" s="24">
        <v>61.801527585629941</v>
      </c>
      <c r="Q227" s="24">
        <v>37.432632562027891</v>
      </c>
      <c r="R227" s="22">
        <v>24.368895023602047</v>
      </c>
      <c r="S227" s="24">
        <v>9.0441259881409657</v>
      </c>
      <c r="T227" s="24">
        <f t="shared" si="13"/>
        <v>70.845653573770903</v>
      </c>
      <c r="U227" s="376">
        <v>369.51</v>
      </c>
      <c r="V227" s="376">
        <v>26.28</v>
      </c>
      <c r="W227" s="22">
        <f t="shared" si="14"/>
        <v>259.802481</v>
      </c>
      <c r="X227" s="22">
        <f t="shared" si="15"/>
        <v>81.899585337054305</v>
      </c>
      <c r="Y227" s="22">
        <v>50.747595822346533</v>
      </c>
      <c r="Z227" s="22">
        <v>31.151989514707772</v>
      </c>
      <c r="AA227" s="371">
        <v>525.53406311312017</v>
      </c>
      <c r="AB227" s="22">
        <v>0.15584067919765951</v>
      </c>
      <c r="AC227" s="24">
        <v>2.0840679197659501E-2</v>
      </c>
      <c r="AD227" s="384">
        <v>-98759.18033201051</v>
      </c>
    </row>
    <row r="228" spans="1:30">
      <c r="A228" s="21" t="s">
        <v>299</v>
      </c>
      <c r="B228" s="21" t="s">
        <v>300</v>
      </c>
      <c r="C228" s="23">
        <v>208.3163685935136</v>
      </c>
      <c r="D228" s="147">
        <v>10.280156539853566</v>
      </c>
      <c r="E228" s="22">
        <v>50.285340494063774</v>
      </c>
      <c r="F228" s="22">
        <v>60.565497033917339</v>
      </c>
      <c r="G228" s="22">
        <v>0</v>
      </c>
      <c r="H228" s="22">
        <v>13.747071501974268</v>
      </c>
      <c r="I228" s="22">
        <v>5.0245144378560924E-2</v>
      </c>
      <c r="J228" s="22">
        <v>27.534339119451385</v>
      </c>
      <c r="K228" s="22">
        <v>0</v>
      </c>
      <c r="L228" s="22">
        <v>0</v>
      </c>
      <c r="M228" s="388">
        <v>723.90189311967856</v>
      </c>
      <c r="N228" s="25">
        <v>0.46189999999999998</v>
      </c>
      <c r="O228" s="24">
        <v>0</v>
      </c>
      <c r="P228" s="24">
        <v>6.0294173254273113</v>
      </c>
      <c r="Q228" s="24">
        <v>5.7781916035345064</v>
      </c>
      <c r="R228" s="22">
        <v>0.25122572189280462</v>
      </c>
      <c r="S228" s="24">
        <v>4.7732887159632877</v>
      </c>
      <c r="T228" s="24">
        <f t="shared" si="13"/>
        <v>10.8027060413906</v>
      </c>
      <c r="U228" s="376">
        <v>323.29000000000002</v>
      </c>
      <c r="V228" s="376">
        <v>0</v>
      </c>
      <c r="W228" s="22">
        <f t="shared" si="14"/>
        <v>149.327651</v>
      </c>
      <c r="X228" s="22">
        <f t="shared" si="15"/>
        <v>79.136102396233454</v>
      </c>
      <c r="Y228" s="22">
        <v>45.974307106383243</v>
      </c>
      <c r="Z228" s="22">
        <v>33.161795289850211</v>
      </c>
      <c r="AA228" s="371">
        <v>723.90189311967868</v>
      </c>
      <c r="AB228" s="22">
        <v>0.10931882227188805</v>
      </c>
      <c r="AC228" s="24">
        <v>0</v>
      </c>
      <c r="AD228" s="384">
        <v>0</v>
      </c>
    </row>
    <row r="229" spans="1:30">
      <c r="A229" s="21" t="s">
        <v>195</v>
      </c>
      <c r="B229" s="21" t="s">
        <v>196</v>
      </c>
      <c r="C229" s="23">
        <v>4523.9321134413649</v>
      </c>
      <c r="D229" s="147">
        <v>190.9918428117858</v>
      </c>
      <c r="E229" s="22">
        <v>1259.062925895731</v>
      </c>
      <c r="F229" s="22">
        <v>1450.0547687075168</v>
      </c>
      <c r="G229" s="22">
        <v>0</v>
      </c>
      <c r="H229" s="22">
        <v>415.1655789711732</v>
      </c>
      <c r="I229" s="22">
        <v>40.115723271843045</v>
      </c>
      <c r="J229" s="22">
        <v>543.56202091614784</v>
      </c>
      <c r="K229" s="22">
        <v>13.053688509550128</v>
      </c>
      <c r="L229" s="22">
        <v>0</v>
      </c>
      <c r="M229" s="388">
        <v>14871.497538993206</v>
      </c>
      <c r="N229" s="25">
        <v>0.53410000000000002</v>
      </c>
      <c r="O229" s="24">
        <v>7405.1293785123089</v>
      </c>
      <c r="P229" s="24">
        <v>3048.8753608910765</v>
      </c>
      <c r="Q229" s="24">
        <v>2069.3462712310316</v>
      </c>
      <c r="R229" s="22">
        <v>979.5290896600452</v>
      </c>
      <c r="S229" s="24">
        <v>461.25042539518927</v>
      </c>
      <c r="T229" s="24">
        <f t="shared" si="13"/>
        <v>3510.1257862862658</v>
      </c>
      <c r="U229" s="376">
        <v>7942.87</v>
      </c>
      <c r="V229" s="376">
        <v>743.57</v>
      </c>
      <c r="W229" s="22">
        <f t="shared" si="14"/>
        <v>4242.2868669999998</v>
      </c>
      <c r="X229" s="22">
        <f t="shared" si="15"/>
        <v>1971.368239692838</v>
      </c>
      <c r="Y229" s="22">
        <v>1017.7153993877515</v>
      </c>
      <c r="Z229" s="22">
        <v>953.65284030508633</v>
      </c>
      <c r="AA229" s="371">
        <v>14933.670880647238</v>
      </c>
      <c r="AB229" s="22">
        <v>0.13200828218650265</v>
      </c>
      <c r="AC229" s="24">
        <v>0</v>
      </c>
      <c r="AD229" s="384">
        <v>0</v>
      </c>
    </row>
    <row r="230" spans="1:30">
      <c r="A230" s="21" t="s">
        <v>109</v>
      </c>
      <c r="B230" s="21" t="s">
        <v>110</v>
      </c>
      <c r="C230" s="23">
        <v>81.79909504829719</v>
      </c>
      <c r="D230" s="147">
        <v>0</v>
      </c>
      <c r="E230" s="22">
        <v>12.159324939611743</v>
      </c>
      <c r="F230" s="22">
        <v>12.159324939611743</v>
      </c>
      <c r="G230" s="22">
        <v>0</v>
      </c>
      <c r="H230" s="22">
        <v>9.9585876158307745</v>
      </c>
      <c r="I230" s="22">
        <v>0.70343202129985294</v>
      </c>
      <c r="J230" s="22">
        <v>59.520398030843268</v>
      </c>
      <c r="K230" s="22">
        <v>0</v>
      </c>
      <c r="L230" s="22">
        <v>0</v>
      </c>
      <c r="M230" s="388">
        <v>366.12631805769774</v>
      </c>
      <c r="N230" s="25">
        <v>0.7147</v>
      </c>
      <c r="O230" s="24">
        <v>300.4659633837943</v>
      </c>
      <c r="P230" s="24">
        <v>0</v>
      </c>
      <c r="Q230" s="24">
        <v>0</v>
      </c>
      <c r="R230" s="22">
        <v>0</v>
      </c>
      <c r="S230" s="24">
        <v>0</v>
      </c>
      <c r="T230" s="24">
        <f t="shared" si="13"/>
        <v>0</v>
      </c>
      <c r="U230" s="376">
        <v>261.95999999999998</v>
      </c>
      <c r="V230" s="376">
        <v>18.309999999999999</v>
      </c>
      <c r="W230" s="22">
        <f t="shared" si="14"/>
        <v>187.22281199999998</v>
      </c>
      <c r="X230" s="22">
        <f t="shared" si="15"/>
        <v>60.545398976165913</v>
      </c>
      <c r="Y230" s="22">
        <v>48.486564325311292</v>
      </c>
      <c r="Z230" s="22">
        <v>12.058834650854621</v>
      </c>
      <c r="AA230" s="371">
        <v>366.12631805769774</v>
      </c>
      <c r="AB230" s="22">
        <v>0.16536751386067958</v>
      </c>
      <c r="AC230" s="24">
        <v>3.0367513860679568E-2</v>
      </c>
      <c r="AD230" s="384">
        <v>-101394.05552199537</v>
      </c>
    </row>
    <row r="231" spans="1:30">
      <c r="A231" s="21" t="s">
        <v>27</v>
      </c>
      <c r="B231" s="21" t="s">
        <v>28</v>
      </c>
      <c r="C231" s="23">
        <v>3477.7779623353485</v>
      </c>
      <c r="D231" s="147">
        <v>77.347375256356685</v>
      </c>
      <c r="E231" s="22">
        <v>670.61189299177693</v>
      </c>
      <c r="F231" s="22">
        <v>747.95926824813364</v>
      </c>
      <c r="G231" s="22">
        <v>0</v>
      </c>
      <c r="H231" s="22">
        <v>185.50507304564692</v>
      </c>
      <c r="I231" s="22">
        <v>20.057861635921522</v>
      </c>
      <c r="J231" s="22">
        <v>1152.1814547736562</v>
      </c>
      <c r="K231" s="22">
        <v>51.541469103527795</v>
      </c>
      <c r="L231" s="22">
        <v>0</v>
      </c>
      <c r="M231" s="388">
        <v>13490.499696719584</v>
      </c>
      <c r="N231" s="25">
        <v>0.38919999999999999</v>
      </c>
      <c r="O231" s="24">
        <v>2495.1738698393356</v>
      </c>
      <c r="P231" s="24">
        <v>795.38063551261939</v>
      </c>
      <c r="Q231" s="24">
        <v>493.90976924125391</v>
      </c>
      <c r="R231" s="22">
        <v>301.47086627136554</v>
      </c>
      <c r="S231" s="24">
        <v>127.12021527775914</v>
      </c>
      <c r="T231" s="24">
        <f t="shared" si="13"/>
        <v>922.50085079037854</v>
      </c>
      <c r="U231" s="376">
        <v>5250.5</v>
      </c>
      <c r="V231" s="376">
        <v>674.52</v>
      </c>
      <c r="W231" s="22">
        <f t="shared" si="14"/>
        <v>2043.4946</v>
      </c>
      <c r="X231" s="22">
        <f t="shared" si="15"/>
        <v>1610.6081030547705</v>
      </c>
      <c r="Y231" s="22">
        <v>996.61243874875595</v>
      </c>
      <c r="Z231" s="22">
        <v>613.99566430601453</v>
      </c>
      <c r="AA231" s="371">
        <v>13570.238740848363</v>
      </c>
      <c r="AB231" s="22">
        <v>0.11868679201690162</v>
      </c>
      <c r="AC231" s="24">
        <v>0</v>
      </c>
      <c r="AD231" s="384">
        <v>0</v>
      </c>
    </row>
    <row r="232" spans="1:30">
      <c r="A232" s="21" t="s">
        <v>71</v>
      </c>
      <c r="B232" s="21" t="s">
        <v>72</v>
      </c>
      <c r="C232" s="23">
        <v>1094.2588523340512</v>
      </c>
      <c r="D232" s="147">
        <v>69.14736769377555</v>
      </c>
      <c r="E232" s="22">
        <v>198.1969965156714</v>
      </c>
      <c r="F232" s="22">
        <v>267.34436420944695</v>
      </c>
      <c r="G232" s="22">
        <v>0</v>
      </c>
      <c r="H232" s="22">
        <v>48.637299758446972</v>
      </c>
      <c r="I232" s="22">
        <v>0.25122572189280462</v>
      </c>
      <c r="J232" s="22">
        <v>155.79009466016601</v>
      </c>
      <c r="K232" s="22">
        <v>3.4166698177421426</v>
      </c>
      <c r="L232" s="22">
        <v>0</v>
      </c>
      <c r="M232" s="388">
        <v>3743.0019814520201</v>
      </c>
      <c r="N232" s="25">
        <v>0.2389</v>
      </c>
      <c r="O232" s="24">
        <v>0</v>
      </c>
      <c r="P232" s="24">
        <v>115.81505779258293</v>
      </c>
      <c r="Q232" s="24">
        <v>85.919196887339183</v>
      </c>
      <c r="R232" s="22">
        <v>29.895860905243751</v>
      </c>
      <c r="S232" s="24">
        <v>27.383603686315702</v>
      </c>
      <c r="T232" s="24">
        <f t="shared" si="13"/>
        <v>143.19866147889863</v>
      </c>
      <c r="U232" s="376">
        <v>894.58</v>
      </c>
      <c r="V232" s="376">
        <v>187.15</v>
      </c>
      <c r="W232" s="22">
        <f t="shared" si="14"/>
        <v>213.71516200000002</v>
      </c>
      <c r="X232" s="22">
        <f t="shared" si="15"/>
        <v>396.18296342495285</v>
      </c>
      <c r="Y232" s="22">
        <v>292.67796600511736</v>
      </c>
      <c r="Z232" s="22">
        <v>103.5049974198355</v>
      </c>
      <c r="AA232" s="371">
        <v>3774.2444122266093</v>
      </c>
      <c r="AB232" s="22">
        <v>0.10497013975605925</v>
      </c>
      <c r="AC232" s="24">
        <v>0</v>
      </c>
      <c r="AD232" s="384">
        <v>0</v>
      </c>
    </row>
    <row r="233" spans="1:30">
      <c r="A233" s="21" t="s">
        <v>11</v>
      </c>
      <c r="B233" s="21" t="s">
        <v>12</v>
      </c>
      <c r="C233" s="23">
        <v>96.370186918079852</v>
      </c>
      <c r="D233" s="147">
        <v>9.1144691902709525</v>
      </c>
      <c r="E233" s="22">
        <v>21.88678489130114</v>
      </c>
      <c r="F233" s="22">
        <v>31.001254081572093</v>
      </c>
      <c r="G233" s="22">
        <v>0</v>
      </c>
      <c r="H233" s="22">
        <v>1.7083349088710713</v>
      </c>
      <c r="I233" s="22">
        <v>0</v>
      </c>
      <c r="J233" s="22">
        <v>30.348067204650796</v>
      </c>
      <c r="K233" s="22">
        <v>0</v>
      </c>
      <c r="L233" s="22">
        <v>0</v>
      </c>
      <c r="M233" s="388">
        <v>358.69003668967071</v>
      </c>
      <c r="N233" s="25">
        <v>0.46010000000000001</v>
      </c>
      <c r="O233" s="24">
        <v>169.82858799953593</v>
      </c>
      <c r="P233" s="24">
        <v>0</v>
      </c>
      <c r="Q233" s="24">
        <v>0</v>
      </c>
      <c r="R233" s="22">
        <v>0</v>
      </c>
      <c r="S233" s="24">
        <v>0</v>
      </c>
      <c r="T233" s="24">
        <f t="shared" si="13"/>
        <v>0</v>
      </c>
      <c r="U233" s="376">
        <v>164.5</v>
      </c>
      <c r="V233" s="376">
        <v>0</v>
      </c>
      <c r="W233" s="22">
        <f t="shared" si="14"/>
        <v>75.686450000000008</v>
      </c>
      <c r="X233" s="22">
        <f t="shared" si="15"/>
        <v>29.644635183350946</v>
      </c>
      <c r="Y233" s="22">
        <v>23.86644357981644</v>
      </c>
      <c r="Z233" s="22">
        <v>5.7781916035345064</v>
      </c>
      <c r="AA233" s="371">
        <v>358.69003668967071</v>
      </c>
      <c r="AB233" s="22">
        <v>8.2646943463887498E-2</v>
      </c>
      <c r="AC233" s="24">
        <v>0</v>
      </c>
      <c r="AD233" s="384">
        <v>0</v>
      </c>
    </row>
    <row r="234" spans="1:30">
      <c r="A234" s="21" t="s">
        <v>477</v>
      </c>
      <c r="B234" s="21" t="s">
        <v>478</v>
      </c>
      <c r="C234" s="23">
        <v>376.60745517506552</v>
      </c>
      <c r="D234" s="147">
        <v>54.335099130975784</v>
      </c>
      <c r="E234" s="22">
        <v>115.81505779258293</v>
      </c>
      <c r="F234" s="22">
        <v>170.15015692355871</v>
      </c>
      <c r="G234" s="22">
        <v>0</v>
      </c>
      <c r="H234" s="22">
        <v>18.992664575096029</v>
      </c>
      <c r="I234" s="22">
        <v>3.919121261527752</v>
      </c>
      <c r="J234" s="22">
        <v>143.45993622966716</v>
      </c>
      <c r="K234" s="22">
        <v>4.8235338603418487</v>
      </c>
      <c r="L234" s="22">
        <v>0</v>
      </c>
      <c r="M234" s="388">
        <v>1447.6630998350975</v>
      </c>
      <c r="N234" s="25">
        <v>0.50660000000000005</v>
      </c>
      <c r="O234" s="24">
        <v>379.85329150192058</v>
      </c>
      <c r="P234" s="24">
        <v>18.841929141960346</v>
      </c>
      <c r="Q234" s="24">
        <v>16.329671923032301</v>
      </c>
      <c r="R234" s="22">
        <v>2.5122572189280463</v>
      </c>
      <c r="S234" s="24">
        <v>0.75367716567841381</v>
      </c>
      <c r="T234" s="24">
        <f t="shared" si="13"/>
        <v>19.595606307638761</v>
      </c>
      <c r="U234" s="376">
        <v>733.39</v>
      </c>
      <c r="V234" s="376">
        <v>72.38</v>
      </c>
      <c r="W234" s="22">
        <f t="shared" si="14"/>
        <v>371.53537400000005</v>
      </c>
      <c r="X234" s="22">
        <f t="shared" si="15"/>
        <v>193.19258013556674</v>
      </c>
      <c r="Y234" s="22">
        <v>134.65698693454328</v>
      </c>
      <c r="Z234" s="22">
        <v>58.535593201023474</v>
      </c>
      <c r="AA234" s="371">
        <v>1460.726837373523</v>
      </c>
      <c r="AB234" s="22">
        <v>0.1322578425976885</v>
      </c>
      <c r="AC234" s="24">
        <v>0</v>
      </c>
      <c r="AD234" s="384">
        <v>0</v>
      </c>
    </row>
    <row r="235" spans="1:30">
      <c r="A235" s="21" t="s">
        <v>203</v>
      </c>
      <c r="B235" s="21" t="s">
        <v>204</v>
      </c>
      <c r="C235" s="23">
        <v>840.57111836669719</v>
      </c>
      <c r="D235" s="147">
        <v>31.935813767013325</v>
      </c>
      <c r="E235" s="22">
        <v>159.71926495056945</v>
      </c>
      <c r="F235" s="22">
        <v>191.65507871758277</v>
      </c>
      <c r="G235" s="22">
        <v>0</v>
      </c>
      <c r="H235" s="22">
        <v>71.539036566195037</v>
      </c>
      <c r="I235" s="22">
        <v>5.5571129682688385</v>
      </c>
      <c r="J235" s="22">
        <v>190.11757729959882</v>
      </c>
      <c r="K235" s="22">
        <v>0</v>
      </c>
      <c r="L235" s="22">
        <v>0</v>
      </c>
      <c r="M235" s="388">
        <v>3026.7775463933863</v>
      </c>
      <c r="N235" s="25">
        <v>0.1303</v>
      </c>
      <c r="O235" s="24">
        <v>0</v>
      </c>
      <c r="P235" s="24">
        <v>194.69993446692357</v>
      </c>
      <c r="Q235" s="24">
        <v>144.70601581025545</v>
      </c>
      <c r="R235" s="22">
        <v>49.993918656668122</v>
      </c>
      <c r="S235" s="24">
        <v>48.486564325311292</v>
      </c>
      <c r="T235" s="24">
        <f t="shared" si="13"/>
        <v>243.18649879223486</v>
      </c>
      <c r="U235" s="376">
        <v>394.39</v>
      </c>
      <c r="V235" s="376">
        <v>151.34</v>
      </c>
      <c r="W235" s="22">
        <f t="shared" si="14"/>
        <v>51.389016999999996</v>
      </c>
      <c r="X235" s="22">
        <f t="shared" si="15"/>
        <v>315.03705525357702</v>
      </c>
      <c r="Y235" s="22">
        <v>239.16688724195001</v>
      </c>
      <c r="Z235" s="22">
        <v>75.870168011627001</v>
      </c>
      <c r="AA235" s="371">
        <v>3051.3373729656264</v>
      </c>
      <c r="AB235" s="22">
        <v>0.10324556636862126</v>
      </c>
      <c r="AC235" s="24">
        <v>0</v>
      </c>
      <c r="AD235" s="384">
        <v>0</v>
      </c>
    </row>
    <row r="236" spans="1:30">
      <c r="A236" s="21" t="s">
        <v>519</v>
      </c>
      <c r="B236" s="21" t="s">
        <v>520</v>
      </c>
      <c r="C236" s="23">
        <v>656.83467440317554</v>
      </c>
      <c r="D236" s="147">
        <v>0</v>
      </c>
      <c r="E236" s="22">
        <v>109.9263268714156</v>
      </c>
      <c r="F236" s="22">
        <v>109.9263268714156</v>
      </c>
      <c r="G236" s="22">
        <v>0</v>
      </c>
      <c r="H236" s="22">
        <v>55.390247162925561</v>
      </c>
      <c r="I236" s="22">
        <v>5.7580935457830824</v>
      </c>
      <c r="J236" s="22">
        <v>29.142183739565333</v>
      </c>
      <c r="K236" s="22">
        <v>8.6421648331124779</v>
      </c>
      <c r="L236" s="22">
        <v>0</v>
      </c>
      <c r="M236" s="388">
        <v>2094.7803633154595</v>
      </c>
      <c r="N236" s="25">
        <v>0.51419999999999999</v>
      </c>
      <c r="O236" s="24">
        <v>1464.1435071912654</v>
      </c>
      <c r="P236" s="24">
        <v>203.99528617695734</v>
      </c>
      <c r="Q236" s="24">
        <v>141.18885570375619</v>
      </c>
      <c r="R236" s="22">
        <v>62.806430473201154</v>
      </c>
      <c r="S236" s="24">
        <v>22.610314970352416</v>
      </c>
      <c r="T236" s="24">
        <f t="shared" si="13"/>
        <v>226.60560114730976</v>
      </c>
      <c r="U236" s="376">
        <v>1077.1400000000001</v>
      </c>
      <c r="V236" s="376">
        <v>104.74</v>
      </c>
      <c r="W236" s="22">
        <f t="shared" si="14"/>
        <v>553.86538800000005</v>
      </c>
      <c r="X236" s="22">
        <f t="shared" si="15"/>
        <v>273.83603686315701</v>
      </c>
      <c r="Y236" s="22">
        <v>177.36535965632007</v>
      </c>
      <c r="Z236" s="22">
        <v>96.470677206836967</v>
      </c>
      <c r="AA236" s="371">
        <v>2109.7634653691457</v>
      </c>
      <c r="AB236" s="22">
        <v>0.12979466246243102</v>
      </c>
      <c r="AC236" s="24">
        <v>0</v>
      </c>
      <c r="AD236" s="384">
        <v>0</v>
      </c>
    </row>
    <row r="237" spans="1:30">
      <c r="A237" s="21" t="s">
        <v>263</v>
      </c>
      <c r="B237" s="21" t="s">
        <v>264</v>
      </c>
      <c r="C237" s="23">
        <v>16</v>
      </c>
      <c r="D237" s="147">
        <v>0</v>
      </c>
      <c r="E237" s="22">
        <v>0</v>
      </c>
      <c r="F237" s="22">
        <v>0</v>
      </c>
      <c r="G237" s="22">
        <v>0</v>
      </c>
      <c r="H237" s="22">
        <v>0</v>
      </c>
      <c r="I237" s="22">
        <v>0</v>
      </c>
      <c r="J237" s="22">
        <v>0</v>
      </c>
      <c r="K237" s="22">
        <v>0</v>
      </c>
      <c r="L237" s="22">
        <v>0</v>
      </c>
      <c r="M237" s="388">
        <v>34.4</v>
      </c>
      <c r="N237" s="25">
        <v>0</v>
      </c>
      <c r="O237" s="24">
        <v>0</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-5690.349335861215</v>
      </c>
    </row>
    <row r="238" spans="1:30">
      <c r="A238" s="21" t="s">
        <v>575</v>
      </c>
      <c r="B238" s="21" t="s">
        <v>576</v>
      </c>
      <c r="C238" s="23">
        <v>46.828474560818783</v>
      </c>
      <c r="D238" s="147">
        <v>2.3615217857923634</v>
      </c>
      <c r="E238" s="22">
        <v>5.3259853041274576</v>
      </c>
      <c r="F238" s="22">
        <v>7.687507089919821</v>
      </c>
      <c r="G238" s="22">
        <v>0</v>
      </c>
      <c r="H238" s="22">
        <v>3.8688761171491914</v>
      </c>
      <c r="I238" s="22">
        <v>0</v>
      </c>
      <c r="J238" s="22">
        <v>0</v>
      </c>
      <c r="K238" s="22">
        <v>0</v>
      </c>
      <c r="L238" s="22">
        <v>0</v>
      </c>
      <c r="M238" s="388">
        <v>154.1320048956735</v>
      </c>
      <c r="N238" s="25">
        <v>0.63690000000000002</v>
      </c>
      <c r="O238" s="24">
        <v>157.76975334868129</v>
      </c>
      <c r="P238" s="24">
        <v>0</v>
      </c>
      <c r="Q238" s="24">
        <v>0</v>
      </c>
      <c r="R238" s="22">
        <v>0</v>
      </c>
      <c r="S238" s="24">
        <v>0</v>
      </c>
      <c r="T238" s="24">
        <f t="shared" si="13"/>
        <v>0</v>
      </c>
      <c r="U238" s="376">
        <v>98.17</v>
      </c>
      <c r="V238" s="376">
        <v>0</v>
      </c>
      <c r="W238" s="22">
        <f t="shared" si="14"/>
        <v>62.524473</v>
      </c>
      <c r="X238" s="22">
        <f t="shared" si="15"/>
        <v>18.339477698174736</v>
      </c>
      <c r="Y238" s="22">
        <v>14.068640425997058</v>
      </c>
      <c r="Z238" s="22">
        <v>4.2708372721776788</v>
      </c>
      <c r="AA238" s="371">
        <v>154.13200489567348</v>
      </c>
      <c r="AB238" s="22">
        <v>0.11898552614421698</v>
      </c>
      <c r="AC238" s="24">
        <v>0</v>
      </c>
      <c r="AD238" s="384">
        <v>0</v>
      </c>
    </row>
    <row r="239" spans="1:30">
      <c r="A239" s="21" t="s">
        <v>131</v>
      </c>
      <c r="B239" s="21" t="s">
        <v>132</v>
      </c>
      <c r="C239" s="23">
        <v>499.23575454538133</v>
      </c>
      <c r="D239" s="147">
        <v>29.48385072133955</v>
      </c>
      <c r="E239" s="22">
        <v>90.119690957386879</v>
      </c>
      <c r="F239" s="22">
        <v>119.60354167872643</v>
      </c>
      <c r="G239" s="22">
        <v>0</v>
      </c>
      <c r="H239" s="22">
        <v>41.954695556098372</v>
      </c>
      <c r="I239" s="22">
        <v>1.9897077173910125</v>
      </c>
      <c r="J239" s="22">
        <v>0</v>
      </c>
      <c r="K239" s="22">
        <v>6.6323590579700413</v>
      </c>
      <c r="L239" s="22">
        <v>0</v>
      </c>
      <c r="M239" s="388">
        <v>1765.4937851161224</v>
      </c>
      <c r="N239" s="25">
        <v>0.78449999999999998</v>
      </c>
      <c r="O239" s="24">
        <v>1780.6879167761992</v>
      </c>
      <c r="P239" s="24">
        <v>753.42593995652101</v>
      </c>
      <c r="Q239" s="24">
        <v>460.49674822951084</v>
      </c>
      <c r="R239" s="22">
        <v>292.92919172701016</v>
      </c>
      <c r="S239" s="24">
        <v>135.66188982211449</v>
      </c>
      <c r="T239" s="24">
        <f t="shared" si="13"/>
        <v>889.08782977863552</v>
      </c>
      <c r="U239" s="376">
        <v>1385.03</v>
      </c>
      <c r="V239" s="376">
        <v>88.27</v>
      </c>
      <c r="W239" s="22">
        <f t="shared" si="14"/>
        <v>1086.5560349999998</v>
      </c>
      <c r="X239" s="22">
        <f t="shared" si="15"/>
        <v>239.41811296384282</v>
      </c>
      <c r="Y239" s="22">
        <v>143.44988720079144</v>
      </c>
      <c r="Z239" s="22">
        <v>95.968225763051365</v>
      </c>
      <c r="AA239" s="371">
        <v>1775.8040887426032</v>
      </c>
      <c r="AB239" s="22">
        <v>0.13482236834659392</v>
      </c>
      <c r="AC239" s="24">
        <v>0</v>
      </c>
      <c r="AD239" s="384">
        <v>0</v>
      </c>
    </row>
    <row r="240" spans="1:30">
      <c r="A240" s="21" t="s">
        <v>399</v>
      </c>
      <c r="B240" s="21" t="s">
        <v>400</v>
      </c>
      <c r="C240" s="23">
        <v>199.71439987590398</v>
      </c>
      <c r="D240" s="147">
        <v>0</v>
      </c>
      <c r="E240" s="22">
        <v>23.846345522065015</v>
      </c>
      <c r="F240" s="22">
        <v>23.846345522065015</v>
      </c>
      <c r="G240" s="22">
        <v>0</v>
      </c>
      <c r="H240" s="22">
        <v>6.4715745959586473</v>
      </c>
      <c r="I240" s="22">
        <v>0.62303979029415546</v>
      </c>
      <c r="J240" s="22">
        <v>37.372338388773613</v>
      </c>
      <c r="K240" s="22">
        <v>4.6225532828276048</v>
      </c>
      <c r="L240" s="22">
        <v>0</v>
      </c>
      <c r="M240" s="388">
        <v>781.64361303952091</v>
      </c>
      <c r="N240" s="25">
        <v>0.4</v>
      </c>
      <c r="O240" s="24">
        <v>0</v>
      </c>
      <c r="P240" s="24">
        <v>48.737790047204093</v>
      </c>
      <c r="Q240" s="24">
        <v>30.649538070922162</v>
      </c>
      <c r="R240" s="22">
        <v>18.088251976281931</v>
      </c>
      <c r="S240" s="24">
        <v>12.561286094640231</v>
      </c>
      <c r="T240" s="24">
        <f t="shared" si="13"/>
        <v>61.299076141844324</v>
      </c>
      <c r="U240" s="376">
        <v>312.66000000000003</v>
      </c>
      <c r="V240" s="376">
        <v>39.08</v>
      </c>
      <c r="W240" s="22">
        <f t="shared" si="14"/>
        <v>125.06400000000002</v>
      </c>
      <c r="X240" s="22">
        <f t="shared" si="15"/>
        <v>137.92292131914974</v>
      </c>
      <c r="Y240" s="22">
        <v>118.57854073340378</v>
      </c>
      <c r="Z240" s="22">
        <v>19.344380585745956</v>
      </c>
      <c r="AA240" s="371">
        <v>781.63356401064516</v>
      </c>
      <c r="AB240" s="22">
        <v>0.17645470674449101</v>
      </c>
      <c r="AC240" s="24">
        <v>4.1454706744491004E-2</v>
      </c>
      <c r="AD240" s="384">
        <v>-316662.27899438987</v>
      </c>
    </row>
    <row r="241" spans="1:30">
      <c r="A241" s="21" t="s">
        <v>159</v>
      </c>
      <c r="B241" s="21" t="s">
        <v>160</v>
      </c>
      <c r="C241" s="23">
        <v>30</v>
      </c>
      <c r="D241" s="147">
        <v>0</v>
      </c>
      <c r="E241" s="22">
        <v>0</v>
      </c>
      <c r="F241" s="22">
        <v>0</v>
      </c>
      <c r="G241" s="22">
        <v>0</v>
      </c>
      <c r="H241" s="22">
        <v>0</v>
      </c>
      <c r="I241" s="22">
        <v>0</v>
      </c>
      <c r="J241" s="22">
        <v>0</v>
      </c>
      <c r="K241" s="22">
        <v>0</v>
      </c>
      <c r="L241" s="22">
        <v>0</v>
      </c>
      <c r="M241" s="388">
        <v>54</v>
      </c>
      <c r="N241" s="25">
        <v>0.62960000000000005</v>
      </c>
      <c r="O241" s="24">
        <v>54</v>
      </c>
      <c r="P241" s="24">
        <v>0</v>
      </c>
      <c r="Q241" s="24">
        <v>0</v>
      </c>
      <c r="R241" s="22">
        <v>0</v>
      </c>
      <c r="S241" s="24">
        <v>0</v>
      </c>
      <c r="T241" s="24">
        <f t="shared" si="13"/>
        <v>0</v>
      </c>
      <c r="U241" s="376">
        <v>34</v>
      </c>
      <c r="V241" s="376">
        <v>0</v>
      </c>
      <c r="W241" s="22">
        <f t="shared" si="14"/>
        <v>21.406400000000001</v>
      </c>
      <c r="X241" s="22">
        <f t="shared" si="15"/>
        <v>9.5</v>
      </c>
      <c r="Y241" s="22">
        <v>9.5</v>
      </c>
      <c r="Z241" s="22">
        <v>0</v>
      </c>
      <c r="AA241" s="371">
        <v>54</v>
      </c>
      <c r="AB241" s="22">
        <v>0.17592592592592593</v>
      </c>
      <c r="AC241" s="24">
        <v>4.0925925925925921E-2</v>
      </c>
      <c r="AD241" s="384">
        <v>-21346.224149480022</v>
      </c>
    </row>
    <row r="242" spans="1:30">
      <c r="A242" s="21" t="s">
        <v>183</v>
      </c>
      <c r="B242" s="21" t="s">
        <v>184</v>
      </c>
      <c r="C242" s="23">
        <v>15897.965642531704</v>
      </c>
      <c r="D242" s="147">
        <v>173.53667965467372</v>
      </c>
      <c r="E242" s="22">
        <v>1549.379370115056</v>
      </c>
      <c r="F242" s="22">
        <v>1722.9160497697296</v>
      </c>
      <c r="G242" s="22">
        <v>103.19347752468842</v>
      </c>
      <c r="H242" s="22">
        <v>893.88121655235022</v>
      </c>
      <c r="I242" s="22">
        <v>26.730416809394413</v>
      </c>
      <c r="J242" s="22">
        <v>699.08079179666959</v>
      </c>
      <c r="K242" s="22">
        <v>63.710843072015251</v>
      </c>
      <c r="L242" s="22">
        <v>0</v>
      </c>
      <c r="M242" s="388">
        <v>50820.662311301843</v>
      </c>
      <c r="N242" s="25">
        <v>0.40450000000000003</v>
      </c>
      <c r="O242" s="24">
        <v>14303.787701688723</v>
      </c>
      <c r="P242" s="24">
        <v>6675.067430691819</v>
      </c>
      <c r="Q242" s="24">
        <v>4391.1743929643317</v>
      </c>
      <c r="R242" s="22">
        <v>2283.8930377274869</v>
      </c>
      <c r="S242" s="24">
        <v>733.07665648320392</v>
      </c>
      <c r="T242" s="24">
        <f t="shared" si="13"/>
        <v>7408.1440871750228</v>
      </c>
      <c r="U242" s="376">
        <v>20556.96</v>
      </c>
      <c r="V242" s="376">
        <v>0</v>
      </c>
      <c r="W242" s="22">
        <f t="shared" si="14"/>
        <v>8315.2903200000001</v>
      </c>
      <c r="X242" s="22">
        <f t="shared" si="15"/>
        <v>6795.1533257565789</v>
      </c>
      <c r="Y242" s="22">
        <v>4695.408742176518</v>
      </c>
      <c r="Z242" s="22">
        <v>2099.7445835800609</v>
      </c>
      <c r="AA242" s="371">
        <v>50849.000572731347</v>
      </c>
      <c r="AB242" s="22">
        <v>0.13363396033786742</v>
      </c>
      <c r="AC242" s="24">
        <v>0</v>
      </c>
      <c r="AD242" s="384">
        <v>0</v>
      </c>
    </row>
    <row r="243" spans="1:30">
      <c r="A243" s="21" t="s">
        <v>405</v>
      </c>
      <c r="B243" s="21" t="s">
        <v>406</v>
      </c>
      <c r="C243" s="23">
        <v>1222.6954903945286</v>
      </c>
      <c r="D243" s="147">
        <v>23.333845049403692</v>
      </c>
      <c r="E243" s="22">
        <v>306.26425304508024</v>
      </c>
      <c r="F243" s="22">
        <v>329.59809809448393</v>
      </c>
      <c r="G243" s="22">
        <v>0</v>
      </c>
      <c r="H243" s="22">
        <v>52.606666164353292</v>
      </c>
      <c r="I243" s="22">
        <v>4.5220629940704828</v>
      </c>
      <c r="J243" s="22">
        <v>170.05971566367731</v>
      </c>
      <c r="K243" s="22">
        <v>29.745125472108068</v>
      </c>
      <c r="L243" s="22">
        <v>0</v>
      </c>
      <c r="M243" s="388">
        <v>4306.7625504083508</v>
      </c>
      <c r="N243" s="25">
        <v>0.51629999999999998</v>
      </c>
      <c r="O243" s="24">
        <v>2173.6049458165458</v>
      </c>
      <c r="P243" s="24">
        <v>340.41085316475028</v>
      </c>
      <c r="Q243" s="24">
        <v>222.08353815323929</v>
      </c>
      <c r="R243" s="22">
        <v>118.32731501151098</v>
      </c>
      <c r="S243" s="24">
        <v>43.462049887455201</v>
      </c>
      <c r="T243" s="24">
        <f t="shared" si="13"/>
        <v>383.87290305220546</v>
      </c>
      <c r="U243" s="376">
        <v>2223.58</v>
      </c>
      <c r="V243" s="376">
        <v>215.34</v>
      </c>
      <c r="W243" s="22">
        <f t="shared" si="14"/>
        <v>1148.0343539999999</v>
      </c>
      <c r="X243" s="22">
        <f t="shared" si="15"/>
        <v>752.9234885127355</v>
      </c>
      <c r="Y243" s="22">
        <v>524.05685586839047</v>
      </c>
      <c r="Z243" s="22">
        <v>228.866632644345</v>
      </c>
      <c r="AA243" s="371">
        <v>4362.976817939083</v>
      </c>
      <c r="AB243" s="22">
        <v>0.17257104952219071</v>
      </c>
      <c r="AC243" s="24">
        <v>3.7571049522190703E-2</v>
      </c>
      <c r="AD243" s="384">
        <v>-1608819.6457189247</v>
      </c>
    </row>
    <row r="244" spans="1:30">
      <c r="A244" s="21" t="s">
        <v>589</v>
      </c>
      <c r="B244" s="21" t="s">
        <v>590</v>
      </c>
      <c r="C244" s="23">
        <v>1051.3595480636359</v>
      </c>
      <c r="D244" s="147">
        <v>22.288746046329624</v>
      </c>
      <c r="E244" s="22">
        <v>373.70328582998474</v>
      </c>
      <c r="F244" s="22">
        <v>395.99203187631434</v>
      </c>
      <c r="G244" s="22">
        <v>0</v>
      </c>
      <c r="H244" s="22">
        <v>34.709345736709885</v>
      </c>
      <c r="I244" s="22">
        <v>2.7031887675665778</v>
      </c>
      <c r="J244" s="22">
        <v>98.982934425765023</v>
      </c>
      <c r="K244" s="22">
        <v>11.857854073340379</v>
      </c>
      <c r="L244" s="22">
        <v>0</v>
      </c>
      <c r="M244" s="388">
        <v>3636.4822753694716</v>
      </c>
      <c r="N244" s="25">
        <v>0.55589999999999995</v>
      </c>
      <c r="O244" s="24">
        <v>2484.1199380760522</v>
      </c>
      <c r="P244" s="24">
        <v>335.13511300500136</v>
      </c>
      <c r="Q244" s="24">
        <v>234.3935985259867</v>
      </c>
      <c r="R244" s="22">
        <v>100.74151447901465</v>
      </c>
      <c r="S244" s="24">
        <v>48.235338603418484</v>
      </c>
      <c r="T244" s="24">
        <f t="shared" si="13"/>
        <v>383.37045160841984</v>
      </c>
      <c r="U244" s="376">
        <v>2019.34</v>
      </c>
      <c r="V244" s="376">
        <v>181.82</v>
      </c>
      <c r="W244" s="22">
        <f t="shared" si="14"/>
        <v>1122.5511059999999</v>
      </c>
      <c r="X244" s="22">
        <f t="shared" si="15"/>
        <v>439.64501331240808</v>
      </c>
      <c r="Y244" s="22">
        <v>375.33122850785008</v>
      </c>
      <c r="Z244" s="22">
        <v>64.313784804557983</v>
      </c>
      <c r="AA244" s="371">
        <v>3672.065886618368</v>
      </c>
      <c r="AB244" s="22">
        <v>0.11972688586949085</v>
      </c>
      <c r="AC244" s="24">
        <v>0</v>
      </c>
      <c r="AD244" s="384">
        <v>0</v>
      </c>
    </row>
    <row r="245" spans="1:30">
      <c r="A245" s="21" t="s">
        <v>359</v>
      </c>
      <c r="B245" s="21" t="s">
        <v>360</v>
      </c>
      <c r="C245" s="23">
        <v>76.623845177305412</v>
      </c>
      <c r="D245" s="147">
        <v>5.8887309211673404</v>
      </c>
      <c r="E245" s="22">
        <v>12.259815228368865</v>
      </c>
      <c r="F245" s="22">
        <v>18.148546149536205</v>
      </c>
      <c r="G245" s="22">
        <v>0</v>
      </c>
      <c r="H245" s="22">
        <v>4.6828474560818787</v>
      </c>
      <c r="I245" s="22">
        <v>0.2009805775142437</v>
      </c>
      <c r="J245" s="22">
        <v>0</v>
      </c>
      <c r="K245" s="22">
        <v>0</v>
      </c>
      <c r="L245" s="22">
        <v>0</v>
      </c>
      <c r="M245" s="388">
        <v>235.72007033758072</v>
      </c>
      <c r="N245" s="25">
        <v>0.58299999999999996</v>
      </c>
      <c r="O245" s="24">
        <v>174.85310243739201</v>
      </c>
      <c r="P245" s="24">
        <v>0</v>
      </c>
      <c r="Q245" s="24">
        <v>0</v>
      </c>
      <c r="R245" s="22">
        <v>0</v>
      </c>
      <c r="S245" s="24">
        <v>0</v>
      </c>
      <c r="T245" s="24">
        <f t="shared" si="13"/>
        <v>0</v>
      </c>
      <c r="U245" s="376">
        <v>137.41999999999999</v>
      </c>
      <c r="V245" s="376">
        <v>0</v>
      </c>
      <c r="W245" s="22">
        <f t="shared" si="14"/>
        <v>80.115859999999984</v>
      </c>
      <c r="X245" s="22">
        <f t="shared" si="15"/>
        <v>44.466952775026414</v>
      </c>
      <c r="Y245" s="22">
        <v>28.890958017672531</v>
      </c>
      <c r="Z245" s="22">
        <v>15.575994757353886</v>
      </c>
      <c r="AA245" s="371">
        <v>235.72007033758072</v>
      </c>
      <c r="AB245" s="22">
        <v>0.18864304898324591</v>
      </c>
      <c r="AC245" s="24">
        <v>5.36430489832459E-2</v>
      </c>
      <c r="AD245" s="384">
        <v>-115188.43380919282</v>
      </c>
    </row>
    <row r="246" spans="1:30">
      <c r="A246" s="21" t="s">
        <v>47</v>
      </c>
      <c r="B246" s="21" t="s">
        <v>48</v>
      </c>
      <c r="C246" s="23">
        <v>659.67854957500208</v>
      </c>
      <c r="D246" s="147">
        <v>11.988491448724636</v>
      </c>
      <c r="E246" s="22">
        <v>213.55191263775964</v>
      </c>
      <c r="F246" s="22">
        <v>225.54040408648427</v>
      </c>
      <c r="G246" s="22">
        <v>0</v>
      </c>
      <c r="H246" s="22">
        <v>56.596130628011025</v>
      </c>
      <c r="I246" s="22">
        <v>7.5870168011626991</v>
      </c>
      <c r="J246" s="22">
        <v>220.92789983253238</v>
      </c>
      <c r="K246" s="22">
        <v>0</v>
      </c>
      <c r="L246" s="22">
        <v>0</v>
      </c>
      <c r="M246" s="388">
        <v>2561.6984409965498</v>
      </c>
      <c r="N246" s="25">
        <v>0.44390000000000002</v>
      </c>
      <c r="O246" s="24">
        <v>0</v>
      </c>
      <c r="P246" s="24">
        <v>47.732887159632881</v>
      </c>
      <c r="Q246" s="24">
        <v>34.920375343099842</v>
      </c>
      <c r="R246" s="22">
        <v>12.812511816533036</v>
      </c>
      <c r="S246" s="24">
        <v>12.058834650854621</v>
      </c>
      <c r="T246" s="24">
        <f t="shared" si="13"/>
        <v>59.791721810487502</v>
      </c>
      <c r="U246" s="376">
        <v>1137.6500000000001</v>
      </c>
      <c r="V246" s="376">
        <v>128.08000000000001</v>
      </c>
      <c r="W246" s="22">
        <f t="shared" si="14"/>
        <v>505.00283500000006</v>
      </c>
      <c r="X246" s="22">
        <f t="shared" si="15"/>
        <v>396.1829634249529</v>
      </c>
      <c r="Y246" s="22">
        <v>346.94272193396318</v>
      </c>
      <c r="Z246" s="22">
        <v>49.240241490989703</v>
      </c>
      <c r="AA246" s="371">
        <v>2561.7084900254258</v>
      </c>
      <c r="AB246" s="22">
        <v>0.15465575609698692</v>
      </c>
      <c r="AC246" s="24">
        <v>1.9655756096986915E-2</v>
      </c>
      <c r="AD246" s="384">
        <v>-473022.61677570065</v>
      </c>
    </row>
    <row r="247" spans="1:30">
      <c r="A247" s="21" t="s">
        <v>393</v>
      </c>
      <c r="B247" s="21" t="s">
        <v>394</v>
      </c>
      <c r="C247" s="23">
        <v>5.8</v>
      </c>
      <c r="D247" s="147">
        <v>0</v>
      </c>
      <c r="E247" s="22">
        <v>0</v>
      </c>
      <c r="F247" s="22">
        <v>0</v>
      </c>
      <c r="G247" s="22">
        <v>0</v>
      </c>
      <c r="H247" s="22">
        <v>0</v>
      </c>
      <c r="I247" s="22">
        <v>0</v>
      </c>
      <c r="J247" s="22">
        <v>0</v>
      </c>
      <c r="K247" s="22">
        <v>0</v>
      </c>
      <c r="L247" s="22">
        <v>0</v>
      </c>
      <c r="M247" s="388">
        <v>9.8000000000000007</v>
      </c>
      <c r="N247" s="25">
        <v>0</v>
      </c>
      <c r="O247" s="24">
        <v>0</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1095.9872853006739</v>
      </c>
      <c r="D248" s="147">
        <v>113.94593842170046</v>
      </c>
      <c r="E248" s="22">
        <v>678.24915493731828</v>
      </c>
      <c r="F248" s="22">
        <v>792.19509335901876</v>
      </c>
      <c r="G248" s="22">
        <v>0</v>
      </c>
      <c r="H248" s="22">
        <v>52.204705009324805</v>
      </c>
      <c r="I248" s="22">
        <v>4.7129945427090147</v>
      </c>
      <c r="J248" s="22">
        <v>152.34327775579672</v>
      </c>
      <c r="K248" s="22">
        <v>42.205921277991173</v>
      </c>
      <c r="L248" s="22">
        <v>0</v>
      </c>
      <c r="M248" s="388">
        <v>4299.8588675707351</v>
      </c>
      <c r="N248" s="25">
        <v>0.6734</v>
      </c>
      <c r="O248" s="24">
        <v>4328.1167367692378</v>
      </c>
      <c r="P248" s="24">
        <v>913.70795052413041</v>
      </c>
      <c r="Q248" s="24">
        <v>597.16354093919654</v>
      </c>
      <c r="R248" s="22">
        <v>316.54440958493382</v>
      </c>
      <c r="S248" s="24">
        <v>46.979209993954463</v>
      </c>
      <c r="T248" s="24">
        <f t="shared" si="13"/>
        <v>960.68716051808485</v>
      </c>
      <c r="U248" s="376">
        <v>2895.52</v>
      </c>
      <c r="V248" s="376">
        <v>214.99</v>
      </c>
      <c r="W248" s="22">
        <f t="shared" si="14"/>
        <v>1949.8431679999999</v>
      </c>
      <c r="X248" s="22">
        <f t="shared" si="15"/>
        <v>557.46987688013348</v>
      </c>
      <c r="Y248" s="22">
        <v>426.58127577398227</v>
      </c>
      <c r="Z248" s="22">
        <v>130.88860110615121</v>
      </c>
      <c r="AA248" s="371">
        <v>4315.5454016457215</v>
      </c>
      <c r="AB248" s="22">
        <v>0.12917715491245763</v>
      </c>
      <c r="AC248" s="24">
        <v>0</v>
      </c>
      <c r="AD248" s="384">
        <v>0</v>
      </c>
    </row>
    <row r="249" spans="1:30">
      <c r="A249" s="21" t="s">
        <v>213</v>
      </c>
      <c r="B249" s="21" t="s">
        <v>214</v>
      </c>
      <c r="C249" s="23">
        <v>2557.3572605222425</v>
      </c>
      <c r="D249" s="147">
        <v>34.860081169845564</v>
      </c>
      <c r="E249" s="22">
        <v>409.11606358799446</v>
      </c>
      <c r="F249" s="22">
        <v>443.97614475784002</v>
      </c>
      <c r="G249" s="22">
        <v>0</v>
      </c>
      <c r="H249" s="22">
        <v>194.18743399426228</v>
      </c>
      <c r="I249" s="22">
        <v>7.6473109744169729</v>
      </c>
      <c r="J249" s="22">
        <v>113.76505590193764</v>
      </c>
      <c r="K249" s="22">
        <v>0</v>
      </c>
      <c r="L249" s="22">
        <v>0</v>
      </c>
      <c r="M249" s="388">
        <v>9135.3611213035583</v>
      </c>
      <c r="N249" s="25">
        <v>0.2676</v>
      </c>
      <c r="O249" s="24">
        <v>0</v>
      </c>
      <c r="P249" s="24">
        <v>842.6110712284667</v>
      </c>
      <c r="Q249" s="24">
        <v>602.43928109894546</v>
      </c>
      <c r="R249" s="22">
        <v>240.17179012952121</v>
      </c>
      <c r="S249" s="24">
        <v>201.98548040181493</v>
      </c>
      <c r="T249" s="24">
        <f t="shared" si="13"/>
        <v>1044.5965516302817</v>
      </c>
      <c r="U249" s="376">
        <v>2444.62</v>
      </c>
      <c r="V249" s="376">
        <v>456.77</v>
      </c>
      <c r="W249" s="22">
        <f t="shared" si="14"/>
        <v>654.18031199999996</v>
      </c>
      <c r="X249" s="22">
        <f t="shared" si="15"/>
        <v>1038.5671343048543</v>
      </c>
      <c r="Y249" s="22">
        <v>716.49575883827879</v>
      </c>
      <c r="Z249" s="22">
        <v>322.07137546657555</v>
      </c>
      <c r="AA249" s="371">
        <v>9148.2138292355939</v>
      </c>
      <c r="AB249" s="22">
        <v>0.11352676639300142</v>
      </c>
      <c r="AC249" s="24">
        <v>0</v>
      </c>
      <c r="AD249" s="384">
        <v>0</v>
      </c>
    </row>
    <row r="250" spans="1:30">
      <c r="A250" s="21" t="s">
        <v>415</v>
      </c>
      <c r="B250" s="21" t="s">
        <v>416</v>
      </c>
      <c r="C250" s="23">
        <v>39.799999999999997</v>
      </c>
      <c r="D250" s="147">
        <v>0</v>
      </c>
      <c r="E250" s="22">
        <v>0</v>
      </c>
      <c r="F250" s="22">
        <v>0</v>
      </c>
      <c r="G250" s="22">
        <v>0</v>
      </c>
      <c r="H250" s="22">
        <v>0</v>
      </c>
      <c r="I250" s="22">
        <v>0</v>
      </c>
      <c r="J250" s="22">
        <v>0</v>
      </c>
      <c r="K250" s="22">
        <v>0</v>
      </c>
      <c r="L250" s="22">
        <v>0</v>
      </c>
      <c r="M250" s="388">
        <v>65.199999999999989</v>
      </c>
      <c r="N250" s="25">
        <v>0.66269999999999996</v>
      </c>
      <c r="O250" s="24">
        <v>70</v>
      </c>
      <c r="P250" s="24">
        <v>0</v>
      </c>
      <c r="Q250" s="24">
        <v>0</v>
      </c>
      <c r="R250" s="22">
        <v>0</v>
      </c>
      <c r="S250" s="24">
        <v>0</v>
      </c>
      <c r="T250" s="24">
        <f t="shared" si="13"/>
        <v>0</v>
      </c>
      <c r="U250" s="376">
        <v>43.21</v>
      </c>
      <c r="V250" s="376">
        <v>0</v>
      </c>
      <c r="W250" s="22">
        <f t="shared" si="14"/>
        <v>28.635266999999999</v>
      </c>
      <c r="X250" s="22">
        <f t="shared" si="15"/>
        <v>9</v>
      </c>
      <c r="Y250" s="22">
        <v>9</v>
      </c>
      <c r="Z250" s="22">
        <v>0</v>
      </c>
      <c r="AA250" s="371">
        <v>65.2</v>
      </c>
      <c r="AB250" s="22">
        <v>0.1380368098159509</v>
      </c>
      <c r="AC250" s="24">
        <v>3.0368098159508916E-3</v>
      </c>
      <c r="AD250" s="384">
        <v>-1942.5001100358256</v>
      </c>
    </row>
    <row r="251" spans="1:30">
      <c r="A251" s="21" t="s">
        <v>197</v>
      </c>
      <c r="B251" s="21" t="s">
        <v>198</v>
      </c>
      <c r="C251" s="23">
        <v>9.6</v>
      </c>
      <c r="D251" s="147">
        <v>0</v>
      </c>
      <c r="E251" s="22">
        <v>0</v>
      </c>
      <c r="F251" s="22">
        <v>0</v>
      </c>
      <c r="G251" s="22">
        <v>0</v>
      </c>
      <c r="H251" s="22">
        <v>1</v>
      </c>
      <c r="I251" s="22">
        <v>0</v>
      </c>
      <c r="J251" s="22">
        <v>0</v>
      </c>
      <c r="K251" s="22">
        <v>0</v>
      </c>
      <c r="L251" s="22">
        <v>0</v>
      </c>
      <c r="M251" s="388">
        <v>36.19</v>
      </c>
      <c r="N251" s="25">
        <v>0.87760000000000005</v>
      </c>
      <c r="O251" s="24">
        <v>38</v>
      </c>
      <c r="P251" s="24">
        <v>1</v>
      </c>
      <c r="Q251" s="24">
        <v>1</v>
      </c>
      <c r="R251" s="22">
        <v>0</v>
      </c>
      <c r="S251" s="24">
        <v>0</v>
      </c>
      <c r="T251" s="24">
        <f t="shared" si="13"/>
        <v>1</v>
      </c>
      <c r="U251" s="376">
        <v>31.76</v>
      </c>
      <c r="V251" s="376">
        <v>0</v>
      </c>
      <c r="W251" s="22">
        <f t="shared" si="14"/>
        <v>27.872576000000002</v>
      </c>
      <c r="X251" s="22">
        <f t="shared" si="15"/>
        <v>12.5</v>
      </c>
      <c r="Y251" s="22">
        <v>12.5</v>
      </c>
      <c r="Z251" s="22">
        <v>0</v>
      </c>
      <c r="AA251" s="371">
        <v>36.19</v>
      </c>
      <c r="AB251" s="22">
        <v>0.34539928156949434</v>
      </c>
      <c r="AC251" s="24">
        <v>0.21039928156949433</v>
      </c>
      <c r="AD251" s="384">
        <v>-77598.553143300844</v>
      </c>
    </row>
    <row r="252" spans="1:30">
      <c r="A252" s="21" t="s">
        <v>439</v>
      </c>
      <c r="B252" s="21" t="s">
        <v>440</v>
      </c>
      <c r="C252" s="23">
        <v>2545.3185239291392</v>
      </c>
      <c r="D252" s="147">
        <v>126.94938178687202</v>
      </c>
      <c r="E252" s="22">
        <v>413.39694988904785</v>
      </c>
      <c r="F252" s="22">
        <v>540.34633167591983</v>
      </c>
      <c r="G252" s="22">
        <v>0</v>
      </c>
      <c r="H252" s="22">
        <v>188.63032102599342</v>
      </c>
      <c r="I252" s="22">
        <v>13.314963260318645</v>
      </c>
      <c r="J252" s="22">
        <v>213.80313835965245</v>
      </c>
      <c r="K252" s="22">
        <v>0</v>
      </c>
      <c r="L252" s="22">
        <v>0</v>
      </c>
      <c r="M252" s="388">
        <v>9301.1600487239302</v>
      </c>
      <c r="N252" s="25">
        <v>0.19320000000000001</v>
      </c>
      <c r="O252" s="24">
        <v>0</v>
      </c>
      <c r="P252" s="24">
        <v>365.53342535403073</v>
      </c>
      <c r="Q252" s="24">
        <v>262.02842793419524</v>
      </c>
      <c r="R252" s="22">
        <v>103.5049974198355</v>
      </c>
      <c r="S252" s="24">
        <v>151.48911030136119</v>
      </c>
      <c r="T252" s="24">
        <f t="shared" si="13"/>
        <v>517.02253565539195</v>
      </c>
      <c r="U252" s="376">
        <v>1797.91</v>
      </c>
      <c r="V252" s="376">
        <v>465.06</v>
      </c>
      <c r="W252" s="22">
        <f t="shared" si="14"/>
        <v>347.35621200000003</v>
      </c>
      <c r="X252" s="22">
        <f t="shared" si="15"/>
        <v>1117.7032367010879</v>
      </c>
      <c r="Y252" s="22">
        <v>683.58518927032139</v>
      </c>
      <c r="Z252" s="22">
        <v>434.11804743076641</v>
      </c>
      <c r="AA252" s="371">
        <v>9384.2353704394463</v>
      </c>
      <c r="AB252" s="22">
        <v>0.11910434815199525</v>
      </c>
      <c r="AC252" s="24">
        <v>0</v>
      </c>
      <c r="AD252" s="384">
        <v>0</v>
      </c>
    </row>
    <row r="253" spans="1:30">
      <c r="A253" s="21" t="s">
        <v>209</v>
      </c>
      <c r="B253" s="21" t="s">
        <v>210</v>
      </c>
      <c r="C253" s="23">
        <v>2075.2249531233233</v>
      </c>
      <c r="D253" s="147">
        <v>71.569183652822176</v>
      </c>
      <c r="E253" s="22">
        <v>380.28539974357619</v>
      </c>
      <c r="F253" s="22">
        <v>451.85458339639837</v>
      </c>
      <c r="G253" s="22">
        <v>0</v>
      </c>
      <c r="H253" s="22">
        <v>209.38156565433908</v>
      </c>
      <c r="I253" s="22">
        <v>21.484823736272649</v>
      </c>
      <c r="J253" s="22">
        <v>252.00954614511016</v>
      </c>
      <c r="K253" s="22">
        <v>16.48040735616798</v>
      </c>
      <c r="L253" s="22">
        <v>0</v>
      </c>
      <c r="M253" s="388">
        <v>7130.8712824363729</v>
      </c>
      <c r="N253" s="25">
        <v>0.10589999999999999</v>
      </c>
      <c r="O253" s="24">
        <v>0</v>
      </c>
      <c r="P253" s="24">
        <v>256.2502363306607</v>
      </c>
      <c r="Q253" s="24">
        <v>186.66071136635384</v>
      </c>
      <c r="R253" s="22">
        <v>69.589524964306875</v>
      </c>
      <c r="S253" s="24">
        <v>99.987837313336243</v>
      </c>
      <c r="T253" s="24">
        <f t="shared" si="13"/>
        <v>356.23807364399693</v>
      </c>
      <c r="U253" s="376">
        <v>755.87</v>
      </c>
      <c r="V253" s="376">
        <v>356.54</v>
      </c>
      <c r="W253" s="22">
        <f t="shared" si="14"/>
        <v>80.046633</v>
      </c>
      <c r="X253" s="22">
        <f t="shared" si="15"/>
        <v>663.48713151889706</v>
      </c>
      <c r="Y253" s="22">
        <v>426.58127577398227</v>
      </c>
      <c r="Z253" s="22">
        <v>236.90585574491476</v>
      </c>
      <c r="AA253" s="371">
        <v>7171.7909280182721</v>
      </c>
      <c r="AB253" s="22">
        <v>9.2513451406792971E-2</v>
      </c>
      <c r="AC253" s="24">
        <v>0</v>
      </c>
      <c r="AD253" s="384">
        <v>0</v>
      </c>
    </row>
    <row r="254" spans="1:30">
      <c r="A254" s="21" t="s">
        <v>129</v>
      </c>
      <c r="B254" s="21" t="s">
        <v>130</v>
      </c>
      <c r="C254" s="23">
        <v>160.27196153873365</v>
      </c>
      <c r="D254" s="147">
        <v>1.145589291831189</v>
      </c>
      <c r="E254" s="22">
        <v>26.7203677805187</v>
      </c>
      <c r="F254" s="22">
        <v>27.86595707234989</v>
      </c>
      <c r="G254" s="22">
        <v>0</v>
      </c>
      <c r="H254" s="22">
        <v>18.359575755926162</v>
      </c>
      <c r="I254" s="22">
        <v>1.3566188982211451</v>
      </c>
      <c r="J254" s="22">
        <v>25.544631402060375</v>
      </c>
      <c r="K254" s="22">
        <v>0</v>
      </c>
      <c r="L254" s="22">
        <v>0</v>
      </c>
      <c r="M254" s="388">
        <v>556.1936502129181</v>
      </c>
      <c r="N254" s="25">
        <v>0.79569999999999996</v>
      </c>
      <c r="O254" s="24">
        <v>555.71129682688377</v>
      </c>
      <c r="P254" s="24">
        <v>92.953517100337706</v>
      </c>
      <c r="Q254" s="24">
        <v>55.018433094524212</v>
      </c>
      <c r="R254" s="22">
        <v>37.935084005813501</v>
      </c>
      <c r="S254" s="24">
        <v>28.137280851994117</v>
      </c>
      <c r="T254" s="24">
        <f t="shared" si="13"/>
        <v>121.09079795233183</v>
      </c>
      <c r="U254" s="376">
        <v>442.56</v>
      </c>
      <c r="V254" s="376">
        <v>27.81</v>
      </c>
      <c r="W254" s="22">
        <f t="shared" si="14"/>
        <v>352.144992</v>
      </c>
      <c r="X254" s="22">
        <f t="shared" si="15"/>
        <v>105.51480319497794</v>
      </c>
      <c r="Y254" s="22">
        <v>90.441259881409664</v>
      </c>
      <c r="Z254" s="22">
        <v>15.073543313568278</v>
      </c>
      <c r="AA254" s="371">
        <v>558.83654480723033</v>
      </c>
      <c r="AB254" s="22">
        <v>0.18881156605707505</v>
      </c>
      <c r="AC254" s="24">
        <v>5.3811566057075044E-2</v>
      </c>
      <c r="AD254" s="384">
        <v>-272947.63249070698</v>
      </c>
    </row>
    <row r="255" spans="1:30">
      <c r="A255" s="21" t="s">
        <v>347</v>
      </c>
      <c r="B255" s="21" t="s">
        <v>348</v>
      </c>
      <c r="C255" s="23">
        <v>162.69377749778027</v>
      </c>
      <c r="D255" s="147">
        <v>6.0093192676758873</v>
      </c>
      <c r="E255" s="22">
        <v>36.598563165343776</v>
      </c>
      <c r="F255" s="22">
        <v>42.607882433019661</v>
      </c>
      <c r="G255" s="22">
        <v>0</v>
      </c>
      <c r="H255" s="22">
        <v>14.410307407771272</v>
      </c>
      <c r="I255" s="22">
        <v>0.17083349088710714</v>
      </c>
      <c r="J255" s="22">
        <v>34.900277285348416</v>
      </c>
      <c r="K255" s="22">
        <v>0</v>
      </c>
      <c r="L255" s="22">
        <v>0</v>
      </c>
      <c r="M255" s="388">
        <v>554.27428569765698</v>
      </c>
      <c r="N255" s="25">
        <v>0.70199999999999996</v>
      </c>
      <c r="O255" s="24">
        <v>524.55930731217609</v>
      </c>
      <c r="P255" s="24">
        <v>87.677776940588814</v>
      </c>
      <c r="Q255" s="24">
        <v>51.752498709917752</v>
      </c>
      <c r="R255" s="22">
        <v>35.925278230671061</v>
      </c>
      <c r="S255" s="24">
        <v>9.2953517100337706</v>
      </c>
      <c r="T255" s="24">
        <f t="shared" si="13"/>
        <v>96.973128650622584</v>
      </c>
      <c r="U255" s="376">
        <v>389.49</v>
      </c>
      <c r="V255" s="376">
        <v>0</v>
      </c>
      <c r="W255" s="22">
        <f t="shared" si="14"/>
        <v>273.42197999999996</v>
      </c>
      <c r="X255" s="22">
        <f t="shared" si="15"/>
        <v>75.618942289734193</v>
      </c>
      <c r="Y255" s="22">
        <v>26.127475076851681</v>
      </c>
      <c r="Z255" s="22">
        <v>49.491467212882512</v>
      </c>
      <c r="AA255" s="371">
        <v>554.7767371414426</v>
      </c>
      <c r="AB255" s="22">
        <v>0.136305178691108</v>
      </c>
      <c r="AC255" s="24">
        <v>1.3051786911079943E-3</v>
      </c>
      <c r="AD255" s="384">
        <v>-6539.4338398693308</v>
      </c>
    </row>
    <row r="256" spans="1:30">
      <c r="A256" s="21" t="s">
        <v>235</v>
      </c>
      <c r="B256" s="21" t="s">
        <v>236</v>
      </c>
      <c r="C256" s="23">
        <v>2681.291933646401</v>
      </c>
      <c r="D256" s="147">
        <v>254.36101890202681</v>
      </c>
      <c r="E256" s="22">
        <v>630.96847407709231</v>
      </c>
      <c r="F256" s="22">
        <v>885.3294929791191</v>
      </c>
      <c r="G256" s="22">
        <v>0</v>
      </c>
      <c r="H256" s="22">
        <v>217.30020040840029</v>
      </c>
      <c r="I256" s="22">
        <v>9.9284405292036393</v>
      </c>
      <c r="J256" s="22">
        <v>1342.7110422571593</v>
      </c>
      <c r="K256" s="22">
        <v>0</v>
      </c>
      <c r="L256" s="22">
        <v>0</v>
      </c>
      <c r="M256" s="388">
        <v>9703.9452241202289</v>
      </c>
      <c r="N256" s="25">
        <v>0.37280000000000002</v>
      </c>
      <c r="O256" s="24">
        <v>633.08881916986763</v>
      </c>
      <c r="P256" s="24">
        <v>239.9205644076284</v>
      </c>
      <c r="Q256" s="24">
        <v>148.47440163864752</v>
      </c>
      <c r="R256" s="22">
        <v>91.446162768980884</v>
      </c>
      <c r="S256" s="24">
        <v>34.166698177421431</v>
      </c>
      <c r="T256" s="24">
        <f t="shared" si="13"/>
        <v>274.08726258504981</v>
      </c>
      <c r="U256" s="376">
        <v>3617.63</v>
      </c>
      <c r="V256" s="376">
        <v>485.2</v>
      </c>
      <c r="W256" s="22">
        <f t="shared" si="14"/>
        <v>1348.652464</v>
      </c>
      <c r="X256" s="22">
        <f t="shared" si="15"/>
        <v>1400.8346252742786</v>
      </c>
      <c r="Y256" s="22">
        <v>872.25570641181764</v>
      </c>
      <c r="Z256" s="22">
        <v>528.57891886246091</v>
      </c>
      <c r="AA256" s="371">
        <v>9770.5803345950753</v>
      </c>
      <c r="AB256" s="22">
        <v>0.14337271454739375</v>
      </c>
      <c r="AC256" s="24">
        <v>8.3727145473937448E-3</v>
      </c>
      <c r="AD256" s="384">
        <v>-833850.25336034165</v>
      </c>
    </row>
    <row r="257" spans="1:30">
      <c r="A257" s="21" t="s">
        <v>171</v>
      </c>
      <c r="B257" s="21" t="s">
        <v>172</v>
      </c>
      <c r="C257" s="23">
        <v>273.43407570812855</v>
      </c>
      <c r="D257" s="147">
        <v>0</v>
      </c>
      <c r="E257" s="22">
        <v>59.711329579481806</v>
      </c>
      <c r="F257" s="22">
        <v>59.711329579481806</v>
      </c>
      <c r="G257" s="22">
        <v>0</v>
      </c>
      <c r="H257" s="22">
        <v>26.016935759218846</v>
      </c>
      <c r="I257" s="22">
        <v>1.9294135441367395</v>
      </c>
      <c r="J257" s="22">
        <v>74.503500084530145</v>
      </c>
      <c r="K257" s="22">
        <v>0</v>
      </c>
      <c r="L257" s="22">
        <v>0</v>
      </c>
      <c r="M257" s="388">
        <v>1191.392765446685</v>
      </c>
      <c r="N257" s="25">
        <v>0.29339999999999999</v>
      </c>
      <c r="O257" s="24">
        <v>44.215727053133612</v>
      </c>
      <c r="P257" s="24">
        <v>3.2659343846064601</v>
      </c>
      <c r="Q257" s="24">
        <v>2.5122572189280463</v>
      </c>
      <c r="R257" s="22">
        <v>0.75367716567841381</v>
      </c>
      <c r="S257" s="24">
        <v>3.0147086627136552</v>
      </c>
      <c r="T257" s="24">
        <f t="shared" si="13"/>
        <v>6.2806430473201154</v>
      </c>
      <c r="U257" s="376">
        <v>349.55</v>
      </c>
      <c r="V257" s="376">
        <v>59.57</v>
      </c>
      <c r="W257" s="22">
        <f t="shared" si="14"/>
        <v>102.55797</v>
      </c>
      <c r="X257" s="22">
        <f t="shared" si="15"/>
        <v>176.86290821253445</v>
      </c>
      <c r="Y257" s="22">
        <v>120.08589506476061</v>
      </c>
      <c r="Z257" s="22">
        <v>56.777013147773843</v>
      </c>
      <c r="AA257" s="371">
        <v>1202.426599152217</v>
      </c>
      <c r="AB257" s="22">
        <v>0.14708831985023738</v>
      </c>
      <c r="AC257" s="24">
        <v>1.2088319850237367E-2</v>
      </c>
      <c r="AD257" s="384">
        <v>-149205.8273050483</v>
      </c>
    </row>
    <row r="258" spans="1:30">
      <c r="A258" s="21" t="s">
        <v>313</v>
      </c>
      <c r="B258" s="21" t="s">
        <v>314</v>
      </c>
      <c r="C258" s="23">
        <v>105.51480319497794</v>
      </c>
      <c r="D258" s="147">
        <v>0</v>
      </c>
      <c r="E258" s="22">
        <v>0</v>
      </c>
      <c r="F258" s="22">
        <v>0</v>
      </c>
      <c r="G258" s="22">
        <v>0</v>
      </c>
      <c r="H258" s="22">
        <v>0</v>
      </c>
      <c r="I258" s="22">
        <v>0</v>
      </c>
      <c r="J258" s="22">
        <v>0</v>
      </c>
      <c r="K258" s="22">
        <v>0</v>
      </c>
      <c r="L258" s="22">
        <v>0</v>
      </c>
      <c r="M258" s="388">
        <v>200.77959693672943</v>
      </c>
      <c r="N258" s="25">
        <v>0.44290000000000002</v>
      </c>
      <c r="O258" s="24">
        <v>0</v>
      </c>
      <c r="P258" s="24">
        <v>0</v>
      </c>
      <c r="Q258" s="24">
        <v>0</v>
      </c>
      <c r="R258" s="22">
        <v>0</v>
      </c>
      <c r="S258" s="24">
        <v>0</v>
      </c>
      <c r="T258" s="24">
        <f t="shared" si="13"/>
        <v>0</v>
      </c>
      <c r="U258" s="376">
        <v>88.93</v>
      </c>
      <c r="V258" s="376">
        <v>10.039999999999999</v>
      </c>
      <c r="W258" s="22">
        <f t="shared" si="14"/>
        <v>39.387097000000004</v>
      </c>
      <c r="X258" s="22">
        <f t="shared" si="15"/>
        <v>31.905666680386187</v>
      </c>
      <c r="Y258" s="22">
        <v>24.368895023602047</v>
      </c>
      <c r="Z258" s="22">
        <v>7.536771656784139</v>
      </c>
      <c r="AA258" s="371">
        <v>200.77959693672946</v>
      </c>
      <c r="AB258" s="22">
        <v>0.15890890890890891</v>
      </c>
      <c r="AC258" s="24">
        <v>2.3908908908908899E-2</v>
      </c>
      <c r="AD258" s="384">
        <v>-45848.335653001144</v>
      </c>
    </row>
    <row r="259" spans="1:30">
      <c r="A259" s="21" t="s">
        <v>479</v>
      </c>
      <c r="B259" s="21" t="s">
        <v>480</v>
      </c>
      <c r="C259" s="23">
        <v>353.5248358475547</v>
      </c>
      <c r="D259" s="147">
        <v>0</v>
      </c>
      <c r="E259" s="22">
        <v>0</v>
      </c>
      <c r="F259" s="22">
        <v>0</v>
      </c>
      <c r="G259" s="22">
        <v>0</v>
      </c>
      <c r="H259" s="22">
        <v>0</v>
      </c>
      <c r="I259" s="22">
        <v>0</v>
      </c>
      <c r="J259" s="22">
        <v>0</v>
      </c>
      <c r="K259" s="22">
        <v>0</v>
      </c>
      <c r="L259" s="22">
        <v>0</v>
      </c>
      <c r="M259" s="388">
        <v>681.52513835080038</v>
      </c>
      <c r="N259" s="25">
        <v>0.50660000000000005</v>
      </c>
      <c r="O259" s="24">
        <v>0</v>
      </c>
      <c r="P259" s="24">
        <v>16.83212336681791</v>
      </c>
      <c r="Q259" s="24">
        <v>15.575994757353886</v>
      </c>
      <c r="R259" s="22">
        <v>1.2561286094640232</v>
      </c>
      <c r="S259" s="24">
        <v>2.009805775142437</v>
      </c>
      <c r="T259" s="24">
        <f t="shared" si="13"/>
        <v>18.841929141960346</v>
      </c>
      <c r="U259" s="376">
        <v>307.37</v>
      </c>
      <c r="V259" s="376">
        <v>34.08</v>
      </c>
      <c r="W259" s="22">
        <f t="shared" si="14"/>
        <v>155.71364200000002</v>
      </c>
      <c r="X259" s="22">
        <f t="shared" si="15"/>
        <v>79.889779561911865</v>
      </c>
      <c r="Y259" s="22">
        <v>77.377522342983823</v>
      </c>
      <c r="Z259" s="22">
        <v>2.5122572189280463</v>
      </c>
      <c r="AA259" s="371">
        <v>681.52513835080038</v>
      </c>
      <c r="AB259" s="22">
        <v>0.1172220583898555</v>
      </c>
      <c r="AC259" s="24">
        <v>0</v>
      </c>
      <c r="AD259" s="384">
        <v>0</v>
      </c>
    </row>
    <row r="260" spans="1:30">
      <c r="A260" s="21" t="s">
        <v>451</v>
      </c>
      <c r="B260" s="21" t="s">
        <v>452</v>
      </c>
      <c r="C260" s="23">
        <v>8496.2529338371369</v>
      </c>
      <c r="D260" s="147">
        <v>265.96764725347441</v>
      </c>
      <c r="E260" s="22">
        <v>1262.7609685219932</v>
      </c>
      <c r="F260" s="22">
        <v>1528.7286157754675</v>
      </c>
      <c r="G260" s="22">
        <v>390.71629171656548</v>
      </c>
      <c r="H260" s="22">
        <v>388.61604468154167</v>
      </c>
      <c r="I260" s="22">
        <v>13.716924415347133</v>
      </c>
      <c r="J260" s="22">
        <v>1329.3558828813377</v>
      </c>
      <c r="K260" s="22">
        <v>84.773607595507997</v>
      </c>
      <c r="L260" s="22">
        <v>0.61299076141844322</v>
      </c>
      <c r="M260" s="388">
        <v>28502.753983174895</v>
      </c>
      <c r="N260" s="25">
        <v>0.59830000000000005</v>
      </c>
      <c r="O260" s="24">
        <v>18199.796196802337</v>
      </c>
      <c r="P260" s="24">
        <v>1744.5114128236355</v>
      </c>
      <c r="Q260" s="24">
        <v>1109.4127878786253</v>
      </c>
      <c r="R260" s="22">
        <v>635.0986249450101</v>
      </c>
      <c r="S260" s="24">
        <v>314.78582953168421</v>
      </c>
      <c r="T260" s="24">
        <f t="shared" si="13"/>
        <v>2059.2972423553197</v>
      </c>
      <c r="U260" s="376">
        <v>17053.2</v>
      </c>
      <c r="V260" s="376">
        <v>0</v>
      </c>
      <c r="W260" s="22">
        <f t="shared" si="14"/>
        <v>10202.92956</v>
      </c>
      <c r="X260" s="22">
        <f t="shared" si="15"/>
        <v>4435.8925714612515</v>
      </c>
      <c r="Y260" s="22">
        <v>2953.9120380155969</v>
      </c>
      <c r="Z260" s="22">
        <v>1481.9805334456544</v>
      </c>
      <c r="AA260" s="371">
        <v>28296.166047548002</v>
      </c>
      <c r="AB260" s="22">
        <v>0.15676655855098232</v>
      </c>
      <c r="AC260" s="24">
        <v>2.1766558550982307E-2</v>
      </c>
      <c r="AD260" s="384">
        <v>-5708276.832759995</v>
      </c>
    </row>
    <row r="261" spans="1:30">
      <c r="A261" s="21" t="s">
        <v>297</v>
      </c>
      <c r="B261" s="21" t="s">
        <v>298</v>
      </c>
      <c r="C261" s="23">
        <v>27.2</v>
      </c>
      <c r="D261" s="147">
        <v>0</v>
      </c>
      <c r="E261" s="22">
        <v>8.51</v>
      </c>
      <c r="F261" s="22">
        <v>8.51</v>
      </c>
      <c r="G261" s="22">
        <v>0</v>
      </c>
      <c r="H261" s="22">
        <v>0</v>
      </c>
      <c r="I261" s="22">
        <v>0</v>
      </c>
      <c r="J261" s="22">
        <v>0</v>
      </c>
      <c r="K261" s="22">
        <v>0</v>
      </c>
      <c r="L261" s="22">
        <v>0</v>
      </c>
      <c r="M261" s="388">
        <v>71.599999999999994</v>
      </c>
      <c r="N261" s="25">
        <v>0.56410000000000005</v>
      </c>
      <c r="O261" s="24">
        <v>35</v>
      </c>
      <c r="P261" s="24">
        <v>0</v>
      </c>
      <c r="Q261" s="24">
        <v>0</v>
      </c>
      <c r="R261" s="22">
        <v>0</v>
      </c>
      <c r="S261" s="24">
        <v>0</v>
      </c>
      <c r="T261" s="24">
        <f t="shared" si="13"/>
        <v>0</v>
      </c>
      <c r="U261" s="376">
        <v>40.39</v>
      </c>
      <c r="V261" s="376">
        <v>3.58</v>
      </c>
      <c r="W261" s="22">
        <f t="shared" si="14"/>
        <v>22.783999000000001</v>
      </c>
      <c r="X261" s="22">
        <f t="shared" si="15"/>
        <v>13.5</v>
      </c>
      <c r="Y261" s="22">
        <v>12</v>
      </c>
      <c r="Z261" s="22">
        <v>1.5</v>
      </c>
      <c r="AA261" s="371">
        <v>71.599999999999994</v>
      </c>
      <c r="AB261" s="22">
        <v>0.18854748603351956</v>
      </c>
      <c r="AC261" s="24">
        <v>5.3547486033519553E-2</v>
      </c>
      <c r="AD261" s="384">
        <v>-36014.994551807031</v>
      </c>
    </row>
    <row r="262" spans="1:30">
      <c r="A262" s="21" t="s">
        <v>577</v>
      </c>
      <c r="B262" s="21" t="s">
        <v>578</v>
      </c>
      <c r="C262" s="23">
        <v>34.769639909964162</v>
      </c>
      <c r="D262" s="147">
        <v>0</v>
      </c>
      <c r="E262" s="22">
        <v>5.5671619971445505</v>
      </c>
      <c r="F262" s="22">
        <v>5.5671619971445505</v>
      </c>
      <c r="G262" s="22">
        <v>0</v>
      </c>
      <c r="H262" s="22">
        <v>3.4066207888664306</v>
      </c>
      <c r="I262" s="22">
        <v>0</v>
      </c>
      <c r="J262" s="22">
        <v>0</v>
      </c>
      <c r="K262" s="22">
        <v>0</v>
      </c>
      <c r="L262" s="22">
        <v>0</v>
      </c>
      <c r="M262" s="388">
        <v>124.91947795397817</v>
      </c>
      <c r="N262" s="25">
        <v>0.4919</v>
      </c>
      <c r="O262" s="24">
        <v>66.323590579700422</v>
      </c>
      <c r="P262" s="24">
        <v>0</v>
      </c>
      <c r="Q262" s="24">
        <v>0</v>
      </c>
      <c r="R262" s="22">
        <v>0</v>
      </c>
      <c r="S262" s="24">
        <v>0</v>
      </c>
      <c r="T262" s="24">
        <f t="shared" si="13"/>
        <v>0</v>
      </c>
      <c r="U262" s="376">
        <v>61.45</v>
      </c>
      <c r="V262" s="376">
        <v>6.25</v>
      </c>
      <c r="W262" s="22">
        <f t="shared" si="14"/>
        <v>30.227255000000003</v>
      </c>
      <c r="X262" s="22">
        <f t="shared" si="15"/>
        <v>16.83212336681791</v>
      </c>
      <c r="Y262" s="22">
        <v>14.319866147889863</v>
      </c>
      <c r="Z262" s="22">
        <v>2.5122572189280463</v>
      </c>
      <c r="AA262" s="371">
        <v>124.91947795397817</v>
      </c>
      <c r="AB262" s="22">
        <v>0.1347437856970477</v>
      </c>
      <c r="AC262" s="24">
        <v>0</v>
      </c>
      <c r="AD262" s="384">
        <v>0</v>
      </c>
    </row>
    <row r="263" spans="1:30">
      <c r="A263" s="21" t="s">
        <v>449</v>
      </c>
      <c r="B263" s="21" t="s">
        <v>450</v>
      </c>
      <c r="C263" s="23">
        <v>1333.7272104422727</v>
      </c>
      <c r="D263" s="147">
        <v>79.568210637889081</v>
      </c>
      <c r="E263" s="22">
        <v>338.84320466013918</v>
      </c>
      <c r="F263" s="22">
        <v>418.41141529802826</v>
      </c>
      <c r="G263" s="22">
        <v>0</v>
      </c>
      <c r="H263" s="22">
        <v>62.997362021839685</v>
      </c>
      <c r="I263" s="22">
        <v>3.4468169043692796</v>
      </c>
      <c r="J263" s="22">
        <v>271.64534856825179</v>
      </c>
      <c r="K263" s="22">
        <v>6.6323590579700413</v>
      </c>
      <c r="L263" s="22">
        <v>0</v>
      </c>
      <c r="M263" s="388">
        <v>4583.241481865819</v>
      </c>
      <c r="N263" s="25">
        <v>0.29210000000000003</v>
      </c>
      <c r="O263" s="24">
        <v>17.083349088710715</v>
      </c>
      <c r="P263" s="24">
        <v>124.35673233693829</v>
      </c>
      <c r="Q263" s="24">
        <v>84.160616834089552</v>
      </c>
      <c r="R263" s="22">
        <v>40.196115502848741</v>
      </c>
      <c r="S263" s="24">
        <v>23.112766414138026</v>
      </c>
      <c r="T263" s="24">
        <f t="shared" si="13"/>
        <v>147.46949875107632</v>
      </c>
      <c r="U263" s="376">
        <v>1338.76</v>
      </c>
      <c r="V263" s="376">
        <v>229.16</v>
      </c>
      <c r="W263" s="22">
        <f t="shared" si="14"/>
        <v>391.05179600000002</v>
      </c>
      <c r="X263" s="22">
        <f t="shared" si="15"/>
        <v>628.5667561757972</v>
      </c>
      <c r="Y263" s="22">
        <v>359.50400802860344</v>
      </c>
      <c r="Z263" s="22">
        <v>269.06274814719376</v>
      </c>
      <c r="AA263" s="371">
        <v>4585.3115818142151</v>
      </c>
      <c r="AB263" s="22">
        <v>0.13708267038356853</v>
      </c>
      <c r="AC263" s="24">
        <v>2.082670383568519E-3</v>
      </c>
      <c r="AD263" s="384">
        <v>-97618.701476371192</v>
      </c>
    </row>
    <row r="264" spans="1:30">
      <c r="A264" s="21" t="s">
        <v>115</v>
      </c>
      <c r="B264" s="21" t="s">
        <v>116</v>
      </c>
      <c r="C264" s="23">
        <v>9</v>
      </c>
      <c r="D264" s="147">
        <v>0</v>
      </c>
      <c r="E264" s="22">
        <v>0</v>
      </c>
      <c r="F264" s="22">
        <v>0</v>
      </c>
      <c r="G264" s="22">
        <v>0</v>
      </c>
      <c r="H264" s="22">
        <v>0</v>
      </c>
      <c r="I264" s="22">
        <v>0</v>
      </c>
      <c r="J264" s="22">
        <v>0</v>
      </c>
      <c r="K264" s="22">
        <v>0</v>
      </c>
      <c r="L264" s="22">
        <v>0</v>
      </c>
      <c r="M264" s="388">
        <v>13</v>
      </c>
      <c r="N264" s="25">
        <v>0</v>
      </c>
      <c r="O264" s="24">
        <v>0</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13.4</v>
      </c>
      <c r="D265" s="147">
        <v>0</v>
      </c>
      <c r="E265" s="22">
        <v>0</v>
      </c>
      <c r="F265" s="22">
        <v>0</v>
      </c>
      <c r="G265" s="22">
        <v>0</v>
      </c>
      <c r="H265" s="22">
        <v>0</v>
      </c>
      <c r="I265" s="22">
        <v>0</v>
      </c>
      <c r="J265" s="22">
        <v>235.8</v>
      </c>
      <c r="K265" s="22">
        <v>0</v>
      </c>
      <c r="L265" s="22">
        <v>0</v>
      </c>
      <c r="M265" s="388">
        <v>264.2</v>
      </c>
      <c r="N265" s="25">
        <v>0.79169999999999996</v>
      </c>
      <c r="O265" s="24">
        <v>24</v>
      </c>
      <c r="P265" s="24">
        <v>0</v>
      </c>
      <c r="Q265" s="24">
        <v>0</v>
      </c>
      <c r="R265" s="22">
        <v>0</v>
      </c>
      <c r="S265" s="24">
        <v>0</v>
      </c>
      <c r="T265" s="24">
        <f t="shared" ref="T265:T325" si="16">S265+P265</f>
        <v>0</v>
      </c>
      <c r="U265" s="376">
        <v>237.78</v>
      </c>
      <c r="V265" s="376">
        <v>0</v>
      </c>
      <c r="W265" s="22">
        <f t="shared" ref="W265:W325" si="17">U265*N265</f>
        <v>188.250426</v>
      </c>
      <c r="X265" s="22">
        <f t="shared" ref="X265:X325" si="18">Y265+Z265</f>
        <v>27</v>
      </c>
      <c r="Y265" s="22">
        <v>27</v>
      </c>
      <c r="Z265" s="22">
        <v>0</v>
      </c>
      <c r="AA265" s="371">
        <v>264.2</v>
      </c>
      <c r="AB265" s="22">
        <v>0.10219530658591976</v>
      </c>
      <c r="AC265" s="24">
        <v>0</v>
      </c>
      <c r="AD265" s="384">
        <v>0</v>
      </c>
    </row>
    <row r="266" spans="1:30">
      <c r="A266" s="21" t="s">
        <v>31</v>
      </c>
      <c r="B266" s="21" t="s">
        <v>32</v>
      </c>
      <c r="C266" s="23">
        <v>2</v>
      </c>
      <c r="D266" s="147">
        <v>0</v>
      </c>
      <c r="E266" s="22">
        <v>0</v>
      </c>
      <c r="F266" s="22">
        <v>0</v>
      </c>
      <c r="G266" s="22">
        <v>0</v>
      </c>
      <c r="H266" s="22">
        <v>0</v>
      </c>
      <c r="I266" s="22">
        <v>0</v>
      </c>
      <c r="J266" s="22">
        <v>0</v>
      </c>
      <c r="K266" s="22">
        <v>0</v>
      </c>
      <c r="L266" s="22">
        <v>0</v>
      </c>
      <c r="M266" s="388">
        <v>11</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936.58958927412698</v>
      </c>
      <c r="D267" s="147">
        <v>22.158108670945367</v>
      </c>
      <c r="E267" s="22">
        <v>236.41345333000484</v>
      </c>
      <c r="F267" s="22">
        <v>258.57156200095022</v>
      </c>
      <c r="G267" s="22">
        <v>0</v>
      </c>
      <c r="H267" s="22">
        <v>156.88543880761864</v>
      </c>
      <c r="I267" s="22">
        <v>3.4468169043692796</v>
      </c>
      <c r="J267" s="22">
        <v>85.205715837163609</v>
      </c>
      <c r="K267" s="22">
        <v>14.67158215853979</v>
      </c>
      <c r="L267" s="22">
        <v>0</v>
      </c>
      <c r="M267" s="388">
        <v>3142.9845163121213</v>
      </c>
      <c r="N267" s="25">
        <v>0.23480000000000001</v>
      </c>
      <c r="O267" s="24">
        <v>39.191212615277522</v>
      </c>
      <c r="P267" s="24">
        <v>104.76112602929953</v>
      </c>
      <c r="Q267" s="24">
        <v>70.845653573770903</v>
      </c>
      <c r="R267" s="22">
        <v>33.915472455528622</v>
      </c>
      <c r="S267" s="24">
        <v>24.368895023602047</v>
      </c>
      <c r="T267" s="24">
        <f t="shared" si="16"/>
        <v>129.13002105290158</v>
      </c>
      <c r="U267" s="376">
        <v>737.03</v>
      </c>
      <c r="V267" s="376">
        <v>157.15</v>
      </c>
      <c r="W267" s="22">
        <f t="shared" si="17"/>
        <v>173.054644</v>
      </c>
      <c r="X267" s="22">
        <f t="shared" si="18"/>
        <v>399.44889780955936</v>
      </c>
      <c r="Y267" s="22">
        <v>253.73797911173267</v>
      </c>
      <c r="Z267" s="22">
        <v>145.71091869782668</v>
      </c>
      <c r="AA267" s="371">
        <v>3170.0063549589117</v>
      </c>
      <c r="AB267" s="22">
        <v>0.12600886341590214</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38.599999999999994</v>
      </c>
      <c r="N268" s="25">
        <v>0</v>
      </c>
      <c r="O268" s="24">
        <v>0</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-5111.5164473564582</v>
      </c>
    </row>
    <row r="269" spans="1:30">
      <c r="A269" s="21" t="s">
        <v>421</v>
      </c>
      <c r="B269" s="21" t="s">
        <v>422</v>
      </c>
      <c r="C269" s="23">
        <v>205.63327788369844</v>
      </c>
      <c r="D269" s="147">
        <v>8.9235376416324215</v>
      </c>
      <c r="E269" s="22">
        <v>49.220143433238277</v>
      </c>
      <c r="F269" s="22">
        <v>58.143681074870699</v>
      </c>
      <c r="G269" s="22">
        <v>0</v>
      </c>
      <c r="H269" s="22">
        <v>2.4921591611766218</v>
      </c>
      <c r="I269" s="22">
        <v>0.15073543313568277</v>
      </c>
      <c r="J269" s="22">
        <v>0</v>
      </c>
      <c r="K269" s="22">
        <v>3.2156892402278991</v>
      </c>
      <c r="L269" s="22">
        <v>0</v>
      </c>
      <c r="M269" s="388">
        <v>787.65293230719669</v>
      </c>
      <c r="N269" s="25">
        <v>0.51949999999999996</v>
      </c>
      <c r="O269" s="24">
        <v>796.88798984397624</v>
      </c>
      <c r="P269" s="24">
        <v>18.590703420067541</v>
      </c>
      <c r="Q269" s="24">
        <v>15.073543313568278</v>
      </c>
      <c r="R269" s="22">
        <v>3.5171601064992646</v>
      </c>
      <c r="S269" s="24">
        <v>3.0147086627136552</v>
      </c>
      <c r="T269" s="24">
        <f t="shared" si="16"/>
        <v>21.605412082781196</v>
      </c>
      <c r="U269" s="376">
        <v>408.71</v>
      </c>
      <c r="V269" s="376">
        <v>39.380000000000003</v>
      </c>
      <c r="W269" s="22">
        <f t="shared" si="17"/>
        <v>212.32484499999998</v>
      </c>
      <c r="X269" s="22">
        <f t="shared" si="18"/>
        <v>133.40085832507924</v>
      </c>
      <c r="Y269" s="22">
        <v>81.145908171375893</v>
      </c>
      <c r="Z269" s="22">
        <v>52.254950153703362</v>
      </c>
      <c r="AA269" s="371">
        <v>788.45685461725373</v>
      </c>
      <c r="AB269" s="22">
        <v>0.16919233759447366</v>
      </c>
      <c r="AC269" s="24">
        <v>3.4192337594473654E-2</v>
      </c>
      <c r="AD269" s="384">
        <v>-241354.68049906797</v>
      </c>
    </row>
    <row r="270" spans="1:30">
      <c r="A270" s="21" t="s">
        <v>443</v>
      </c>
      <c r="B270" s="21" t="s">
        <v>444</v>
      </c>
      <c r="C270" s="23">
        <v>598.11819868238933</v>
      </c>
      <c r="D270" s="147">
        <v>0</v>
      </c>
      <c r="E270" s="22">
        <v>146.48469392125654</v>
      </c>
      <c r="F270" s="22">
        <v>146.48469392125654</v>
      </c>
      <c r="G270" s="22">
        <v>0</v>
      </c>
      <c r="H270" s="22">
        <v>14.751974389545486</v>
      </c>
      <c r="I270" s="22">
        <v>0.59289270366701885</v>
      </c>
      <c r="J270" s="22">
        <v>91.988810328269352</v>
      </c>
      <c r="K270" s="22">
        <v>11.053931763283403</v>
      </c>
      <c r="L270" s="22">
        <v>0</v>
      </c>
      <c r="M270" s="388">
        <v>1942.2562030398999</v>
      </c>
      <c r="N270" s="25">
        <v>0.55559999999999998</v>
      </c>
      <c r="O270" s="24">
        <v>1908.3105834977439</v>
      </c>
      <c r="P270" s="24">
        <v>215.80289510591916</v>
      </c>
      <c r="Q270" s="24">
        <v>149.98175597000437</v>
      </c>
      <c r="R270" s="22">
        <v>65.821139135914805</v>
      </c>
      <c r="S270" s="24">
        <v>46.727984272061661</v>
      </c>
      <c r="T270" s="24">
        <f t="shared" si="16"/>
        <v>262.5308793779808</v>
      </c>
      <c r="U270" s="376">
        <v>1079.1199999999999</v>
      </c>
      <c r="V270" s="376">
        <v>97.11</v>
      </c>
      <c r="W270" s="22">
        <f t="shared" si="17"/>
        <v>599.5590719999999</v>
      </c>
      <c r="X270" s="22">
        <f t="shared" si="18"/>
        <v>322.07137546657555</v>
      </c>
      <c r="Y270" s="22">
        <v>160.03078484571654</v>
      </c>
      <c r="Z270" s="22">
        <v>162.04059062085898</v>
      </c>
      <c r="AA270" s="371">
        <v>1952.9081736481546</v>
      </c>
      <c r="AB270" s="22">
        <v>0.16491885272051787</v>
      </c>
      <c r="AC270" s="24">
        <v>2.9918852720517863E-2</v>
      </c>
      <c r="AD270" s="384">
        <v>-598837.54150935996</v>
      </c>
    </row>
    <row r="271" spans="1:30">
      <c r="A271" s="21" t="s">
        <v>1022</v>
      </c>
      <c r="B271" s="21" t="s">
        <v>1040</v>
      </c>
      <c r="C271" s="23">
        <v>0</v>
      </c>
      <c r="D271" s="147">
        <v>0</v>
      </c>
      <c r="E271" s="22">
        <v>0</v>
      </c>
      <c r="F271" s="22">
        <v>0</v>
      </c>
      <c r="G271" s="22">
        <v>0</v>
      </c>
      <c r="H271" s="22">
        <v>6.7228003178514522</v>
      </c>
      <c r="I271" s="22">
        <v>0.25122572189280462</v>
      </c>
      <c r="J271" s="22">
        <v>0</v>
      </c>
      <c r="K271" s="22">
        <v>0</v>
      </c>
      <c r="L271" s="22">
        <v>0</v>
      </c>
      <c r="M271" s="388">
        <v>469.73180576629039</v>
      </c>
      <c r="N271" s="25">
        <v>0.52980000000000005</v>
      </c>
      <c r="O271" s="24">
        <v>466.27493983304538</v>
      </c>
      <c r="P271" s="24">
        <v>74.614039402162973</v>
      </c>
      <c r="Q271" s="24">
        <v>12.561286094640231</v>
      </c>
      <c r="R271" s="22">
        <v>62.052753307522742</v>
      </c>
      <c r="S271" s="24">
        <v>16.83212336681791</v>
      </c>
      <c r="T271" s="24">
        <f t="shared" si="16"/>
        <v>91.446162768980884</v>
      </c>
      <c r="U271" s="376">
        <v>248.86</v>
      </c>
      <c r="V271" s="376">
        <v>23.49</v>
      </c>
      <c r="W271" s="22">
        <f t="shared" si="17"/>
        <v>131.84602800000002</v>
      </c>
      <c r="X271" s="22">
        <f t="shared" si="18"/>
        <v>84.663068277875155</v>
      </c>
      <c r="Y271" s="22">
        <v>82.904488224625524</v>
      </c>
      <c r="Z271" s="22">
        <v>1.7585800532496323</v>
      </c>
      <c r="AA271" s="371">
        <v>469.75190382404179</v>
      </c>
      <c r="AB271" s="22">
        <v>0.18022932443417619</v>
      </c>
      <c r="AC271" s="24">
        <v>4.5229324434176182E-2</v>
      </c>
      <c r="AD271" s="384">
        <v>-200362.65165971676</v>
      </c>
    </row>
    <row r="272" spans="1:30">
      <c r="A272" s="21" t="s">
        <v>391</v>
      </c>
      <c r="B272" s="21" t="s">
        <v>392</v>
      </c>
      <c r="C272" s="23">
        <v>0</v>
      </c>
      <c r="D272" s="147">
        <v>0</v>
      </c>
      <c r="E272" s="22">
        <v>0</v>
      </c>
      <c r="F272" s="22">
        <v>0</v>
      </c>
      <c r="G272" s="22">
        <v>0</v>
      </c>
      <c r="H272" s="22">
        <v>0</v>
      </c>
      <c r="I272" s="22">
        <v>0</v>
      </c>
      <c r="J272" s="22">
        <v>0</v>
      </c>
      <c r="K272" s="22">
        <v>0</v>
      </c>
      <c r="L272" s="22">
        <v>0</v>
      </c>
      <c r="M272" s="388">
        <v>179.47565572021961</v>
      </c>
      <c r="N272" s="25">
        <v>0.66490000000000005</v>
      </c>
      <c r="O272" s="24">
        <v>181.88742265039053</v>
      </c>
      <c r="P272" s="24">
        <v>16.83212336681791</v>
      </c>
      <c r="Q272" s="24">
        <v>0</v>
      </c>
      <c r="R272" s="22">
        <v>16.83212336681791</v>
      </c>
      <c r="S272" s="24">
        <v>0</v>
      </c>
      <c r="T272" s="24">
        <f t="shared" si="16"/>
        <v>16.83212336681791</v>
      </c>
      <c r="U272" s="376">
        <v>119.33</v>
      </c>
      <c r="V272" s="376">
        <v>8.9700000000000006</v>
      </c>
      <c r="W272" s="22">
        <f t="shared" si="17"/>
        <v>79.342517000000001</v>
      </c>
      <c r="X272" s="22">
        <f t="shared" si="18"/>
        <v>27.132377964422897</v>
      </c>
      <c r="Y272" s="22">
        <v>25.122572189280461</v>
      </c>
      <c r="Z272" s="22">
        <v>2.009805775142437</v>
      </c>
      <c r="AA272" s="371">
        <v>179.47565572021961</v>
      </c>
      <c r="AB272" s="22">
        <v>0.15117581187010079</v>
      </c>
      <c r="AC272" s="24">
        <v>1.6175811870100781E-2</v>
      </c>
      <c r="AD272" s="384">
        <v>-27008.268520506783</v>
      </c>
    </row>
    <row r="273" spans="1:30">
      <c r="A273" s="21" t="s">
        <v>221</v>
      </c>
      <c r="B273" s="21" t="s">
        <v>222</v>
      </c>
      <c r="C273" s="23">
        <v>0</v>
      </c>
      <c r="D273" s="147">
        <v>0</v>
      </c>
      <c r="E273" s="22">
        <v>0</v>
      </c>
      <c r="F273" s="22">
        <v>0</v>
      </c>
      <c r="G273" s="22">
        <v>0</v>
      </c>
      <c r="H273" s="22">
        <v>4.0598076657877229</v>
      </c>
      <c r="I273" s="22">
        <v>0.18088251976281933</v>
      </c>
      <c r="J273" s="22">
        <v>0</v>
      </c>
      <c r="K273" s="22">
        <v>0</v>
      </c>
      <c r="L273" s="22">
        <v>0</v>
      </c>
      <c r="M273" s="388">
        <v>308.57552968649406</v>
      </c>
      <c r="N273" s="25">
        <v>0.37430000000000002</v>
      </c>
      <c r="O273" s="24">
        <v>0</v>
      </c>
      <c r="P273" s="24">
        <v>49.491467212882512</v>
      </c>
      <c r="Q273" s="24">
        <v>0</v>
      </c>
      <c r="R273" s="22">
        <v>49.491467212882512</v>
      </c>
      <c r="S273" s="24">
        <v>0.25122572189280462</v>
      </c>
      <c r="T273" s="24">
        <f t="shared" si="16"/>
        <v>49.742692934775313</v>
      </c>
      <c r="U273" s="376">
        <v>115.5</v>
      </c>
      <c r="V273" s="376">
        <v>15.43</v>
      </c>
      <c r="W273" s="22">
        <f t="shared" si="17"/>
        <v>43.231650000000002</v>
      </c>
      <c r="X273" s="22">
        <f t="shared" si="18"/>
        <v>59.289270366701892</v>
      </c>
      <c r="Y273" s="22">
        <v>58.786818922916282</v>
      </c>
      <c r="Z273" s="22">
        <v>0.50245144378560924</v>
      </c>
      <c r="AA273" s="371">
        <v>309.12822627465823</v>
      </c>
      <c r="AB273" s="22">
        <v>0.19179507184188285</v>
      </c>
      <c r="AC273" s="24">
        <v>5.6795071841882844E-2</v>
      </c>
      <c r="AD273" s="384">
        <v>-169780.85928211256</v>
      </c>
    </row>
    <row r="274" spans="1:30">
      <c r="A274" s="21" t="s">
        <v>495</v>
      </c>
      <c r="B274" s="21" t="s">
        <v>496</v>
      </c>
      <c r="C274" s="23">
        <v>35.6</v>
      </c>
      <c r="D274" s="147">
        <v>0</v>
      </c>
      <c r="E274" s="22">
        <v>0</v>
      </c>
      <c r="F274" s="22">
        <v>0</v>
      </c>
      <c r="G274" s="22">
        <v>0</v>
      </c>
      <c r="H274" s="22">
        <v>0</v>
      </c>
      <c r="I274" s="22">
        <v>0</v>
      </c>
      <c r="J274" s="22">
        <v>0</v>
      </c>
      <c r="K274" s="22">
        <v>0</v>
      </c>
      <c r="L274" s="22">
        <v>0</v>
      </c>
      <c r="M274" s="388">
        <v>71.69</v>
      </c>
      <c r="N274" s="25">
        <v>0.84930000000000005</v>
      </c>
      <c r="O274" s="24">
        <v>73</v>
      </c>
      <c r="P274" s="24">
        <v>0</v>
      </c>
      <c r="Q274" s="24">
        <v>0</v>
      </c>
      <c r="R274" s="22">
        <v>0</v>
      </c>
      <c r="S274" s="24">
        <v>0</v>
      </c>
      <c r="T274" s="24">
        <f t="shared" si="16"/>
        <v>0</v>
      </c>
      <c r="U274" s="376">
        <v>60.89</v>
      </c>
      <c r="V274" s="376">
        <v>3.58</v>
      </c>
      <c r="W274" s="22">
        <f t="shared" si="17"/>
        <v>51.713877000000004</v>
      </c>
      <c r="X274" s="22">
        <f t="shared" si="18"/>
        <v>8.5</v>
      </c>
      <c r="Y274" s="22">
        <v>5.25</v>
      </c>
      <c r="Z274" s="22">
        <v>3.25</v>
      </c>
      <c r="AA274" s="371">
        <v>71.69</v>
      </c>
      <c r="AB274" s="22">
        <v>0.11856604826335612</v>
      </c>
      <c r="AC274" s="24">
        <v>0</v>
      </c>
      <c r="AD274" s="384">
        <v>0</v>
      </c>
    </row>
    <row r="275" spans="1:30">
      <c r="A275" s="21" t="s">
        <v>371</v>
      </c>
      <c r="B275" s="21" t="s">
        <v>372</v>
      </c>
      <c r="C275" s="23">
        <v>2843.9857111441811</v>
      </c>
      <c r="D275" s="147">
        <v>111.89593653105517</v>
      </c>
      <c r="E275" s="22">
        <v>546.22501356821147</v>
      </c>
      <c r="F275" s="22">
        <v>658.12095009926668</v>
      </c>
      <c r="G275" s="22">
        <v>0</v>
      </c>
      <c r="H275" s="22">
        <v>206.08548418310551</v>
      </c>
      <c r="I275" s="22">
        <v>6.7027022601000272</v>
      </c>
      <c r="J275" s="22">
        <v>154.27269129993346</v>
      </c>
      <c r="K275" s="22">
        <v>0</v>
      </c>
      <c r="L275" s="22">
        <v>0</v>
      </c>
      <c r="M275" s="388">
        <v>9923.1848871016409</v>
      </c>
      <c r="N275" s="25">
        <v>0.29110000000000003</v>
      </c>
      <c r="O275" s="24">
        <v>435.12295031833759</v>
      </c>
      <c r="P275" s="24">
        <v>414.27121540123483</v>
      </c>
      <c r="Q275" s="24">
        <v>245.44753028927011</v>
      </c>
      <c r="R275" s="22">
        <v>168.82368511196469</v>
      </c>
      <c r="S275" s="24">
        <v>74.111587958377356</v>
      </c>
      <c r="T275" s="24">
        <f t="shared" si="16"/>
        <v>488.38280335961218</v>
      </c>
      <c r="U275" s="376">
        <v>2888.64</v>
      </c>
      <c r="V275" s="376">
        <v>496.16</v>
      </c>
      <c r="W275" s="22">
        <f t="shared" si="17"/>
        <v>840.883104</v>
      </c>
      <c r="X275" s="22">
        <f t="shared" si="18"/>
        <v>1165.9385753045062</v>
      </c>
      <c r="Y275" s="22">
        <v>720.51537038856361</v>
      </c>
      <c r="Z275" s="22">
        <v>445.42320491594262</v>
      </c>
      <c r="AA275" s="371">
        <v>9994.7842178410901</v>
      </c>
      <c r="AB275" s="22">
        <v>0.11665470208183776</v>
      </c>
      <c r="AC275" s="24">
        <v>0</v>
      </c>
      <c r="AD275" s="384">
        <v>0</v>
      </c>
    </row>
    <row r="276" spans="1:30">
      <c r="A276" s="21" t="s">
        <v>595</v>
      </c>
      <c r="B276" s="21" t="s">
        <v>596</v>
      </c>
      <c r="C276" s="23">
        <v>1795.6006756277559</v>
      </c>
      <c r="D276" s="147">
        <v>0</v>
      </c>
      <c r="E276" s="22">
        <v>265.83700987809016</v>
      </c>
      <c r="F276" s="22">
        <v>265.83700987809016</v>
      </c>
      <c r="G276" s="22">
        <v>0</v>
      </c>
      <c r="H276" s="22">
        <v>85.004735259649379</v>
      </c>
      <c r="I276" s="22">
        <v>7.9286837829369139</v>
      </c>
      <c r="J276" s="22">
        <v>28.659830353531152</v>
      </c>
      <c r="K276" s="22">
        <v>4.0196115502848739</v>
      </c>
      <c r="L276" s="22">
        <v>0</v>
      </c>
      <c r="M276" s="388">
        <v>6473.7150391091736</v>
      </c>
      <c r="N276" s="25">
        <v>0.93879999999999997</v>
      </c>
      <c r="O276" s="24">
        <v>6516.7952258993519</v>
      </c>
      <c r="P276" s="24">
        <v>2021.6133840713987</v>
      </c>
      <c r="Q276" s="24">
        <v>1241.8087433161331</v>
      </c>
      <c r="R276" s="22">
        <v>779.8046407552655</v>
      </c>
      <c r="S276" s="24">
        <v>239.41811296384282</v>
      </c>
      <c r="T276" s="24">
        <f t="shared" si="16"/>
        <v>2261.0314970352415</v>
      </c>
      <c r="U276" s="376">
        <v>6077.52</v>
      </c>
      <c r="V276" s="376">
        <v>323.69</v>
      </c>
      <c r="W276" s="22">
        <f t="shared" si="17"/>
        <v>5705.5757760000006</v>
      </c>
      <c r="X276" s="22">
        <f t="shared" si="18"/>
        <v>864.7189347550335</v>
      </c>
      <c r="Y276" s="22">
        <v>360.25768519428181</v>
      </c>
      <c r="Z276" s="22">
        <v>504.4612495607517</v>
      </c>
      <c r="AA276" s="371">
        <v>6511.8209566058749</v>
      </c>
      <c r="AB276" s="22">
        <v>0.1327921852454842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-57817.551605941153</v>
      </c>
    </row>
    <row r="278" spans="1:30">
      <c r="A278" s="21" t="s">
        <v>365</v>
      </c>
      <c r="B278" s="21" t="s">
        <v>366</v>
      </c>
      <c r="C278" s="23">
        <v>7840.8954666786922</v>
      </c>
      <c r="D278" s="147">
        <v>289.43212967826236</v>
      </c>
      <c r="E278" s="22">
        <v>1673.2838961525872</v>
      </c>
      <c r="F278" s="22">
        <v>1962.7160258308495</v>
      </c>
      <c r="G278" s="22">
        <v>0</v>
      </c>
      <c r="H278" s="22">
        <v>405.83003114563661</v>
      </c>
      <c r="I278" s="22">
        <v>22.560069825973855</v>
      </c>
      <c r="J278" s="22">
        <v>1579.6470450887009</v>
      </c>
      <c r="K278" s="22">
        <v>242.61370414631929</v>
      </c>
      <c r="L278" s="22">
        <v>13.505894808957176</v>
      </c>
      <c r="M278" s="388">
        <v>27407.349541549007</v>
      </c>
      <c r="N278" s="25">
        <v>0.57699999999999996</v>
      </c>
      <c r="O278" s="24">
        <v>18098.301005157646</v>
      </c>
      <c r="P278" s="24">
        <v>2971.7892603854889</v>
      </c>
      <c r="Q278" s="24">
        <v>1824.6524181074399</v>
      </c>
      <c r="R278" s="22">
        <v>1147.1368422780488</v>
      </c>
      <c r="S278" s="24">
        <v>478.83622592768563</v>
      </c>
      <c r="T278" s="24">
        <f t="shared" si="16"/>
        <v>3450.6254863131744</v>
      </c>
      <c r="U278" s="376">
        <v>15814.04</v>
      </c>
      <c r="V278" s="376">
        <v>1370.37</v>
      </c>
      <c r="W278" s="22">
        <f t="shared" si="17"/>
        <v>9124.7010800000007</v>
      </c>
      <c r="X278" s="22">
        <f t="shared" si="18"/>
        <v>3939.4705450010692</v>
      </c>
      <c r="Y278" s="22">
        <v>2428.5990535377423</v>
      </c>
      <c r="Z278" s="22">
        <v>1510.8714914633269</v>
      </c>
      <c r="AA278" s="371">
        <v>27591.487946667559</v>
      </c>
      <c r="AB278" s="22">
        <v>0.1427784740212559</v>
      </c>
      <c r="AC278" s="24">
        <v>7.7784740212558934E-3</v>
      </c>
      <c r="AD278" s="384">
        <v>-2107262.1965616266</v>
      </c>
    </row>
    <row r="279" spans="1:30">
      <c r="A279" s="21" t="s">
        <v>153</v>
      </c>
      <c r="B279" s="21" t="s">
        <v>154</v>
      </c>
      <c r="C279" s="23">
        <v>38.990232037763278</v>
      </c>
      <c r="D279" s="147">
        <v>0</v>
      </c>
      <c r="E279" s="22">
        <v>3.5975523375049621</v>
      </c>
      <c r="F279" s="22">
        <v>3.5975523375049621</v>
      </c>
      <c r="G279" s="22">
        <v>0</v>
      </c>
      <c r="H279" s="22">
        <v>0</v>
      </c>
      <c r="I279" s="22">
        <v>0</v>
      </c>
      <c r="J279" s="22">
        <v>0</v>
      </c>
      <c r="K279" s="22">
        <v>0</v>
      </c>
      <c r="L279" s="22">
        <v>0</v>
      </c>
      <c r="M279" s="388">
        <v>159.54843145968235</v>
      </c>
      <c r="N279" s="25">
        <v>0.77329999999999999</v>
      </c>
      <c r="O279" s="24">
        <v>160.78446201139496</v>
      </c>
      <c r="P279" s="24">
        <v>0</v>
      </c>
      <c r="Q279" s="24">
        <v>0</v>
      </c>
      <c r="R279" s="22">
        <v>0</v>
      </c>
      <c r="S279" s="24">
        <v>0</v>
      </c>
      <c r="T279" s="24">
        <f t="shared" si="16"/>
        <v>0</v>
      </c>
      <c r="U279" s="376">
        <v>123.38</v>
      </c>
      <c r="V279" s="376">
        <v>0</v>
      </c>
      <c r="W279" s="22">
        <f t="shared" si="17"/>
        <v>95.409753999999992</v>
      </c>
      <c r="X279" s="22">
        <f t="shared" si="18"/>
        <v>41.954695556098372</v>
      </c>
      <c r="Y279" s="22">
        <v>38.939986893384713</v>
      </c>
      <c r="Z279" s="22">
        <v>3.0147086627136552</v>
      </c>
      <c r="AA279" s="371">
        <v>159.54843145968238</v>
      </c>
      <c r="AB279" s="22">
        <v>0.26295899729167976</v>
      </c>
      <c r="AC279" s="24">
        <v>0.12795899729167975</v>
      </c>
      <c r="AD279" s="384">
        <v>-183244.90355474397</v>
      </c>
    </row>
    <row r="280" spans="1:30">
      <c r="A280" s="21" t="s">
        <v>207</v>
      </c>
      <c r="B280" s="21" t="s">
        <v>208</v>
      </c>
      <c r="C280" s="23">
        <v>2599.3220051072162</v>
      </c>
      <c r="D280" s="147">
        <v>38.43753544959911</v>
      </c>
      <c r="E280" s="22">
        <v>531.54338238079606</v>
      </c>
      <c r="F280" s="22">
        <v>569.98091783039513</v>
      </c>
      <c r="G280" s="22">
        <v>0</v>
      </c>
      <c r="H280" s="22">
        <v>190.39895010811875</v>
      </c>
      <c r="I280" s="22">
        <v>17.364721897230655</v>
      </c>
      <c r="J280" s="22">
        <v>0</v>
      </c>
      <c r="K280" s="22">
        <v>14.631386043036942</v>
      </c>
      <c r="L280" s="22">
        <v>1.2460795805883109</v>
      </c>
      <c r="M280" s="388">
        <v>8710.9805828533572</v>
      </c>
      <c r="N280" s="25">
        <v>0.13159999999999999</v>
      </c>
      <c r="O280" s="24">
        <v>0</v>
      </c>
      <c r="P280" s="24">
        <v>357.74542797535378</v>
      </c>
      <c r="Q280" s="24">
        <v>297.70248044297347</v>
      </c>
      <c r="R280" s="22">
        <v>60.042947532380303</v>
      </c>
      <c r="S280" s="24">
        <v>123.60305517125987</v>
      </c>
      <c r="T280" s="24">
        <f t="shared" si="16"/>
        <v>481.34848314661366</v>
      </c>
      <c r="U280" s="376">
        <v>1147.24</v>
      </c>
      <c r="V280" s="376">
        <v>435.55</v>
      </c>
      <c r="W280" s="22">
        <f t="shared" si="17"/>
        <v>150.97678400000001</v>
      </c>
      <c r="X280" s="22">
        <f t="shared" si="18"/>
        <v>1014.4494650031451</v>
      </c>
      <c r="Y280" s="22">
        <v>516.77130993349908</v>
      </c>
      <c r="Z280" s="22">
        <v>497.67815506964598</v>
      </c>
      <c r="AA280" s="371">
        <v>8722.5168680026727</v>
      </c>
      <c r="AB280" s="22">
        <v>0.11630237927363722</v>
      </c>
      <c r="AC280" s="24">
        <v>0</v>
      </c>
      <c r="AD280" s="384">
        <v>0</v>
      </c>
    </row>
    <row r="281" spans="1:30">
      <c r="A281" s="21" t="s">
        <v>559</v>
      </c>
      <c r="B281" s="21" t="s">
        <v>560</v>
      </c>
      <c r="C281" s="23">
        <v>55.731914144699779</v>
      </c>
      <c r="D281" s="147">
        <v>3.3161795289850207</v>
      </c>
      <c r="E281" s="22">
        <v>21.595363053905483</v>
      </c>
      <c r="F281" s="22">
        <v>24.911542582890505</v>
      </c>
      <c r="G281" s="22">
        <v>0</v>
      </c>
      <c r="H281" s="22">
        <v>5.3058872463760336</v>
      </c>
      <c r="I281" s="22">
        <v>0</v>
      </c>
      <c r="J281" s="22">
        <v>6.3409372205743884</v>
      </c>
      <c r="K281" s="22">
        <v>0</v>
      </c>
      <c r="L281" s="22">
        <v>0</v>
      </c>
      <c r="M281" s="388">
        <v>193.00164858692818</v>
      </c>
      <c r="N281" s="25">
        <v>0.65629999999999999</v>
      </c>
      <c r="O281" s="24">
        <v>192.94135441367393</v>
      </c>
      <c r="P281" s="24">
        <v>0</v>
      </c>
      <c r="Q281" s="24">
        <v>0</v>
      </c>
      <c r="R281" s="22">
        <v>0</v>
      </c>
      <c r="S281" s="24">
        <v>0</v>
      </c>
      <c r="T281" s="24">
        <f t="shared" si="16"/>
        <v>0</v>
      </c>
      <c r="U281" s="376">
        <v>121.63</v>
      </c>
      <c r="V281" s="376">
        <v>0</v>
      </c>
      <c r="W281" s="22">
        <f t="shared" si="17"/>
        <v>79.825768999999994</v>
      </c>
      <c r="X281" s="22">
        <f t="shared" si="18"/>
        <v>37.432632562027891</v>
      </c>
      <c r="Y281" s="22">
        <v>28.388506573886922</v>
      </c>
      <c r="Z281" s="22">
        <v>9.0441259881409657</v>
      </c>
      <c r="AA281" s="371">
        <v>193.01169761580394</v>
      </c>
      <c r="AB281" s="22">
        <v>0.19393970948091843</v>
      </c>
      <c r="AC281" s="24">
        <v>5.8939709480918423E-2</v>
      </c>
      <c r="AD281" s="384">
        <v>-105406.62988696997</v>
      </c>
    </row>
    <row r="282" spans="1:30">
      <c r="A282" s="21" t="s">
        <v>521</v>
      </c>
      <c r="B282" s="21" t="s">
        <v>522</v>
      </c>
      <c r="C282" s="23">
        <v>351.977285400695</v>
      </c>
      <c r="D282" s="147">
        <v>28.991448306429653</v>
      </c>
      <c r="E282" s="22">
        <v>89.556945340346999</v>
      </c>
      <c r="F282" s="22">
        <v>118.54839364677665</v>
      </c>
      <c r="G282" s="22">
        <v>0</v>
      </c>
      <c r="H282" s="22">
        <v>16.098544258890918</v>
      </c>
      <c r="I282" s="22">
        <v>1.0551480319497795</v>
      </c>
      <c r="J282" s="22">
        <v>0</v>
      </c>
      <c r="K282" s="22">
        <v>9.0441259881409657</v>
      </c>
      <c r="L282" s="22">
        <v>0</v>
      </c>
      <c r="M282" s="388">
        <v>1242.0197729225233</v>
      </c>
      <c r="N282" s="25">
        <v>0.47820000000000001</v>
      </c>
      <c r="O282" s="24">
        <v>856.17726021067813</v>
      </c>
      <c r="P282" s="24">
        <v>9.0441259881409657</v>
      </c>
      <c r="Q282" s="24">
        <v>2.009805775142437</v>
      </c>
      <c r="R282" s="22">
        <v>7.0343202129985292</v>
      </c>
      <c r="S282" s="24">
        <v>1.0049028875712185</v>
      </c>
      <c r="T282" s="24">
        <f t="shared" si="16"/>
        <v>10.049028875712184</v>
      </c>
      <c r="U282" s="376">
        <v>593.92999999999995</v>
      </c>
      <c r="V282" s="376">
        <v>62.1</v>
      </c>
      <c r="W282" s="22">
        <f t="shared" si="17"/>
        <v>284.01732599999997</v>
      </c>
      <c r="X282" s="22">
        <f t="shared" si="18"/>
        <v>192.94135441367393</v>
      </c>
      <c r="Y282" s="22">
        <v>94.209645709801734</v>
      </c>
      <c r="Z282" s="22">
        <v>98.731708703872215</v>
      </c>
      <c r="AA282" s="371">
        <v>1249.0641421643975</v>
      </c>
      <c r="AB282" s="22">
        <v>0.15446873214960938</v>
      </c>
      <c r="AC282" s="24">
        <v>1.9468732149609369E-2</v>
      </c>
      <c r="AD282" s="384">
        <v>-218877.95424745412</v>
      </c>
    </row>
    <row r="283" spans="1:30">
      <c r="A283" s="21" t="s">
        <v>243</v>
      </c>
      <c r="B283" s="21" t="s">
        <v>244</v>
      </c>
      <c r="C283" s="23">
        <v>76.302276253282628</v>
      </c>
      <c r="D283" s="147">
        <v>3.4870130198721285</v>
      </c>
      <c r="E283" s="22">
        <v>10.089224991215033</v>
      </c>
      <c r="F283" s="22">
        <v>13.576238011087161</v>
      </c>
      <c r="G283" s="22">
        <v>0</v>
      </c>
      <c r="H283" s="22">
        <v>7.0343202129985292</v>
      </c>
      <c r="I283" s="22">
        <v>0</v>
      </c>
      <c r="J283" s="22">
        <v>0</v>
      </c>
      <c r="K283" s="22">
        <v>0</v>
      </c>
      <c r="L283" s="22">
        <v>0</v>
      </c>
      <c r="M283" s="388">
        <v>224.27422644814453</v>
      </c>
      <c r="N283" s="25">
        <v>0.47689999999999999</v>
      </c>
      <c r="O283" s="24">
        <v>0</v>
      </c>
      <c r="P283" s="24">
        <v>2.009805775142437</v>
      </c>
      <c r="Q283" s="24">
        <v>1.5073543313568276</v>
      </c>
      <c r="R283" s="22">
        <v>0.50245144378560924</v>
      </c>
      <c r="S283" s="24">
        <v>1.5073543313568276</v>
      </c>
      <c r="T283" s="24">
        <f t="shared" si="16"/>
        <v>3.5171601064992646</v>
      </c>
      <c r="U283" s="376">
        <v>106.96</v>
      </c>
      <c r="V283" s="376">
        <v>11.21</v>
      </c>
      <c r="W283" s="22">
        <f t="shared" si="17"/>
        <v>51.009223999999996</v>
      </c>
      <c r="X283" s="22">
        <f t="shared" si="18"/>
        <v>31.654440958493382</v>
      </c>
      <c r="Y283" s="22">
        <v>26.629926520637291</v>
      </c>
      <c r="Z283" s="22">
        <v>5.0245144378560926</v>
      </c>
      <c r="AA283" s="371">
        <v>225.27912933571577</v>
      </c>
      <c r="AB283" s="22">
        <v>0.14051208850031224</v>
      </c>
      <c r="AC283" s="24">
        <v>5.5120885003122344E-3</v>
      </c>
      <c r="AD283" s="384">
        <v>-11353.41147073227</v>
      </c>
    </row>
    <row r="284" spans="1:30">
      <c r="A284" s="21" t="s">
        <v>285</v>
      </c>
      <c r="B284" s="21" t="s">
        <v>286</v>
      </c>
      <c r="C284" s="23">
        <v>264.97279339477888</v>
      </c>
      <c r="D284" s="147">
        <v>17.515457330366338</v>
      </c>
      <c r="E284" s="22">
        <v>50.104457974300956</v>
      </c>
      <c r="F284" s="22">
        <v>67.619915304667302</v>
      </c>
      <c r="G284" s="22">
        <v>0</v>
      </c>
      <c r="H284" s="22">
        <v>15.887514652500965</v>
      </c>
      <c r="I284" s="22">
        <v>2.1404431505266954</v>
      </c>
      <c r="J284" s="22">
        <v>50.044163801046679</v>
      </c>
      <c r="K284" s="22">
        <v>0.40196115502848739</v>
      </c>
      <c r="L284" s="22">
        <v>0</v>
      </c>
      <c r="M284" s="388">
        <v>804.51520276064184</v>
      </c>
      <c r="N284" s="25">
        <v>0.52</v>
      </c>
      <c r="O284" s="24">
        <v>603.94663543030231</v>
      </c>
      <c r="P284" s="24">
        <v>8.0392231005697479</v>
      </c>
      <c r="Q284" s="24">
        <v>3.0147086627136552</v>
      </c>
      <c r="R284" s="22">
        <v>5.0245144378560926</v>
      </c>
      <c r="S284" s="24">
        <v>0.75367716567841381</v>
      </c>
      <c r="T284" s="24">
        <f t="shared" si="16"/>
        <v>8.7929002662481608</v>
      </c>
      <c r="U284" s="376">
        <v>418.35</v>
      </c>
      <c r="V284" s="376">
        <v>40.229999999999997</v>
      </c>
      <c r="W284" s="22">
        <f t="shared" si="17"/>
        <v>217.54200000000003</v>
      </c>
      <c r="X284" s="22">
        <f t="shared" si="18"/>
        <v>112.29789768608367</v>
      </c>
      <c r="Y284" s="22">
        <v>61.299076141844324</v>
      </c>
      <c r="Z284" s="22">
        <v>50.998821544239341</v>
      </c>
      <c r="AA284" s="371">
        <v>802.69632853413782</v>
      </c>
      <c r="AB284" s="22">
        <v>0.1399008487944115</v>
      </c>
      <c r="AC284" s="24">
        <v>4.9008487944114942E-3</v>
      </c>
      <c r="AD284" s="384">
        <v>-36712.561653281955</v>
      </c>
    </row>
    <row r="285" spans="1:30">
      <c r="A285" s="21" t="s">
        <v>339</v>
      </c>
      <c r="B285" s="21" t="s">
        <v>340</v>
      </c>
      <c r="C285" s="23">
        <v>276.75025523711355</v>
      </c>
      <c r="D285" s="147">
        <v>12.199521055114593</v>
      </c>
      <c r="E285" s="22">
        <v>30.68973418642501</v>
      </c>
      <c r="F285" s="22">
        <v>42.889255241539601</v>
      </c>
      <c r="G285" s="22">
        <v>0</v>
      </c>
      <c r="H285" s="22">
        <v>50.275291465188062</v>
      </c>
      <c r="I285" s="22">
        <v>4.0899547524148598</v>
      </c>
      <c r="J285" s="22">
        <v>113.69471269980765</v>
      </c>
      <c r="K285" s="22">
        <v>0</v>
      </c>
      <c r="L285" s="22">
        <v>0</v>
      </c>
      <c r="M285" s="388">
        <v>1146.322870939116</v>
      </c>
      <c r="N285" s="25">
        <v>0.76719999999999999</v>
      </c>
      <c r="O285" s="24">
        <v>1139.5598745057619</v>
      </c>
      <c r="P285" s="24">
        <v>129.38124677479439</v>
      </c>
      <c r="Q285" s="24">
        <v>91.446162768980884</v>
      </c>
      <c r="R285" s="22">
        <v>37.935084005813501</v>
      </c>
      <c r="S285" s="24">
        <v>30.147086627136556</v>
      </c>
      <c r="T285" s="24">
        <f t="shared" si="16"/>
        <v>159.52833340193095</v>
      </c>
      <c r="U285" s="376">
        <v>879.46</v>
      </c>
      <c r="V285" s="376">
        <v>57.32</v>
      </c>
      <c r="W285" s="22">
        <f t="shared" si="17"/>
        <v>674.72171200000003</v>
      </c>
      <c r="X285" s="22">
        <f t="shared" si="18"/>
        <v>123.60305517125988</v>
      </c>
      <c r="Y285" s="22">
        <v>79.136102396233454</v>
      </c>
      <c r="Z285" s="22">
        <v>44.466952775026421</v>
      </c>
      <c r="AA285" s="371">
        <v>1146.322870939116</v>
      </c>
      <c r="AB285" s="22">
        <v>0.10782569056656703</v>
      </c>
      <c r="AC285" s="24">
        <v>0</v>
      </c>
      <c r="AD285" s="384">
        <v>0</v>
      </c>
    </row>
    <row r="286" spans="1:30">
      <c r="A286" s="21" t="s">
        <v>597</v>
      </c>
      <c r="B286" s="21" t="s">
        <v>598</v>
      </c>
      <c r="C286" s="23">
        <v>1008.3195573889606</v>
      </c>
      <c r="D286" s="147">
        <v>126.1052633613122</v>
      </c>
      <c r="E286" s="22">
        <v>482.67495495820765</v>
      </c>
      <c r="F286" s="22">
        <v>608.7802183195198</v>
      </c>
      <c r="G286" s="22">
        <v>0</v>
      </c>
      <c r="H286" s="22">
        <v>65.047363912484983</v>
      </c>
      <c r="I286" s="22">
        <v>4.2507392144262548</v>
      </c>
      <c r="J286" s="22">
        <v>831.86865936033041</v>
      </c>
      <c r="K286" s="22">
        <v>0</v>
      </c>
      <c r="L286" s="22">
        <v>0</v>
      </c>
      <c r="M286" s="388">
        <v>4286.2323844152697</v>
      </c>
      <c r="N286" s="25">
        <v>0.93710000000000004</v>
      </c>
      <c r="O286" s="24">
        <v>3594.5376288422485</v>
      </c>
      <c r="P286" s="24">
        <v>1311.9007197242258</v>
      </c>
      <c r="Q286" s="24">
        <v>750.91368273759304</v>
      </c>
      <c r="R286" s="22">
        <v>560.98703698663269</v>
      </c>
      <c r="S286" s="24">
        <v>187.41438853203223</v>
      </c>
      <c r="T286" s="24">
        <f t="shared" si="16"/>
        <v>1499.3151082562581</v>
      </c>
      <c r="U286" s="376">
        <v>4016.63</v>
      </c>
      <c r="V286" s="376">
        <v>214.31</v>
      </c>
      <c r="W286" s="22">
        <f t="shared" si="17"/>
        <v>3763.9839730000003</v>
      </c>
      <c r="X286" s="22">
        <f t="shared" si="18"/>
        <v>530.08627319381776</v>
      </c>
      <c r="Y286" s="22">
        <v>486.87544902825533</v>
      </c>
      <c r="Z286" s="22">
        <v>43.210824165562393</v>
      </c>
      <c r="AA286" s="371">
        <v>4324.8608514135076</v>
      </c>
      <c r="AB286" s="22">
        <v>0.12256724352659069</v>
      </c>
      <c r="AC286" s="24">
        <v>0</v>
      </c>
      <c r="AD286" s="384">
        <v>0</v>
      </c>
    </row>
    <row r="287" spans="1:30">
      <c r="A287" s="21" t="s">
        <v>531</v>
      </c>
      <c r="B287" s="21" t="s">
        <v>532</v>
      </c>
      <c r="C287" s="23">
        <v>50.044163801046679</v>
      </c>
      <c r="D287" s="147">
        <v>3.0046596338379437</v>
      </c>
      <c r="E287" s="22">
        <v>11.496089033814739</v>
      </c>
      <c r="F287" s="22">
        <v>14.500748667652683</v>
      </c>
      <c r="G287" s="22">
        <v>0</v>
      </c>
      <c r="H287" s="22">
        <v>5.9791721810487504</v>
      </c>
      <c r="I287" s="22">
        <v>0</v>
      </c>
      <c r="J287" s="22">
        <v>0</v>
      </c>
      <c r="K287" s="22">
        <v>0</v>
      </c>
      <c r="L287" s="22">
        <v>0</v>
      </c>
      <c r="M287" s="388">
        <v>204.43744344748868</v>
      </c>
      <c r="N287" s="25">
        <v>0.55400000000000005</v>
      </c>
      <c r="O287" s="24">
        <v>206.00509195209978</v>
      </c>
      <c r="P287" s="24">
        <v>38.186309727706302</v>
      </c>
      <c r="Q287" s="24">
        <v>24.117669301709242</v>
      </c>
      <c r="R287" s="22">
        <v>14.068640425997058</v>
      </c>
      <c r="S287" s="24">
        <v>9.0441259881409657</v>
      </c>
      <c r="T287" s="24">
        <f t="shared" si="16"/>
        <v>47.230435715847264</v>
      </c>
      <c r="U287" s="376">
        <v>113.26</v>
      </c>
      <c r="V287" s="376">
        <v>0</v>
      </c>
      <c r="W287" s="22">
        <f t="shared" si="17"/>
        <v>62.746040000000008</v>
      </c>
      <c r="X287" s="22">
        <f t="shared" si="18"/>
        <v>22.610314970352416</v>
      </c>
      <c r="Y287" s="22">
        <v>22.107863526566806</v>
      </c>
      <c r="Z287" s="22">
        <v>0.50245144378560924</v>
      </c>
      <c r="AA287" s="371">
        <v>210.82862581244166</v>
      </c>
      <c r="AB287" s="22">
        <v>0.10724499523355575</v>
      </c>
      <c r="AC287" s="24">
        <v>0</v>
      </c>
      <c r="AD287" s="384">
        <v>0</v>
      </c>
    </row>
    <row r="288" spans="1:30">
      <c r="A288" s="21" t="s">
        <v>79</v>
      </c>
      <c r="B288" s="21" t="s">
        <v>80</v>
      </c>
      <c r="C288" s="23">
        <v>213.8433344751553</v>
      </c>
      <c r="D288" s="147">
        <v>17.877222369891975</v>
      </c>
      <c r="E288" s="22">
        <v>41.753714978584128</v>
      </c>
      <c r="F288" s="22">
        <v>59.630937348476102</v>
      </c>
      <c r="G288" s="22">
        <v>0</v>
      </c>
      <c r="H288" s="22">
        <v>23.474531453663662</v>
      </c>
      <c r="I288" s="22">
        <v>2.9142183739565337</v>
      </c>
      <c r="J288" s="22">
        <v>13.867659848482813</v>
      </c>
      <c r="K288" s="22">
        <v>0</v>
      </c>
      <c r="L288" s="22">
        <v>0</v>
      </c>
      <c r="M288" s="388">
        <v>700.09574371311646</v>
      </c>
      <c r="N288" s="25">
        <v>0.41170000000000001</v>
      </c>
      <c r="O288" s="24">
        <v>0</v>
      </c>
      <c r="P288" s="24">
        <v>0</v>
      </c>
      <c r="Q288" s="24">
        <v>0</v>
      </c>
      <c r="R288" s="22">
        <v>0</v>
      </c>
      <c r="S288" s="24">
        <v>0</v>
      </c>
      <c r="T288" s="24">
        <f t="shared" si="16"/>
        <v>0</v>
      </c>
      <c r="U288" s="376">
        <v>288.23</v>
      </c>
      <c r="V288" s="376">
        <v>35</v>
      </c>
      <c r="W288" s="22">
        <f t="shared" si="17"/>
        <v>118.66429100000001</v>
      </c>
      <c r="X288" s="22">
        <f t="shared" si="18"/>
        <v>104.50990030740672</v>
      </c>
      <c r="Y288" s="22">
        <v>42.959598443669591</v>
      </c>
      <c r="Z288" s="22">
        <v>61.550301863737133</v>
      </c>
      <c r="AA288" s="371">
        <v>700.09574371311646</v>
      </c>
      <c r="AB288" s="22">
        <v>0.14927943962794971</v>
      </c>
      <c r="AC288" s="24">
        <v>1.4279439627949697E-2</v>
      </c>
      <c r="AD288" s="384">
        <v>-92376.962897292236</v>
      </c>
    </row>
    <row r="289" spans="1:30">
      <c r="A289" s="21" t="s">
        <v>257</v>
      </c>
      <c r="B289" s="21" t="s">
        <v>258</v>
      </c>
      <c r="C289" s="23">
        <v>51.250047266132142</v>
      </c>
      <c r="D289" s="147">
        <v>0</v>
      </c>
      <c r="E289" s="22">
        <v>0</v>
      </c>
      <c r="F289" s="22">
        <v>0</v>
      </c>
      <c r="G289" s="22">
        <v>0</v>
      </c>
      <c r="H289" s="22">
        <v>2.9041693450808217</v>
      </c>
      <c r="I289" s="22">
        <v>0</v>
      </c>
      <c r="J289" s="22">
        <v>2.3615217857923634</v>
      </c>
      <c r="K289" s="22">
        <v>0</v>
      </c>
      <c r="L289" s="22">
        <v>0</v>
      </c>
      <c r="M289" s="388">
        <v>192.06708890148698</v>
      </c>
      <c r="N289" s="25">
        <v>0</v>
      </c>
      <c r="O289" s="24">
        <v>0</v>
      </c>
      <c r="P289" s="24">
        <v>15.575994757353886</v>
      </c>
      <c r="Q289" s="24">
        <v>7.0343202129985292</v>
      </c>
      <c r="R289" s="22">
        <v>8.5416745443553577</v>
      </c>
      <c r="S289" s="24">
        <v>0</v>
      </c>
      <c r="T289" s="24">
        <f t="shared" si="16"/>
        <v>15.575994757353886</v>
      </c>
      <c r="U289" s="376">
        <v>0</v>
      </c>
      <c r="V289" s="376">
        <v>9.6</v>
      </c>
      <c r="W289" s="22">
        <f t="shared" si="17"/>
        <v>0</v>
      </c>
      <c r="X289" s="22">
        <f t="shared" si="18"/>
        <v>17.33457481060352</v>
      </c>
      <c r="Y289" s="22">
        <v>10.551480319497793</v>
      </c>
      <c r="Z289" s="22">
        <v>6.7830944911057252</v>
      </c>
      <c r="AA289" s="371">
        <v>192.06708890148698</v>
      </c>
      <c r="AB289" s="22">
        <v>9.0252707581227443E-2</v>
      </c>
      <c r="AC289" s="24">
        <v>0</v>
      </c>
      <c r="AD289" s="384">
        <v>0</v>
      </c>
    </row>
    <row r="290" spans="1:30">
      <c r="A290" s="21" t="s">
        <v>201</v>
      </c>
      <c r="B290" s="21" t="s">
        <v>202</v>
      </c>
      <c r="C290" s="23">
        <v>745.4369620003298</v>
      </c>
      <c r="D290" s="147">
        <v>0</v>
      </c>
      <c r="E290" s="22">
        <v>103.836615372734</v>
      </c>
      <c r="F290" s="22">
        <v>103.836615372734</v>
      </c>
      <c r="G290" s="22">
        <v>0</v>
      </c>
      <c r="H290" s="22">
        <v>56.164022386355398</v>
      </c>
      <c r="I290" s="22">
        <v>3.3161795289850207</v>
      </c>
      <c r="J290" s="22">
        <v>21.102960638995587</v>
      </c>
      <c r="K290" s="22">
        <v>0.80392231005697479</v>
      </c>
      <c r="L290" s="22">
        <v>0</v>
      </c>
      <c r="M290" s="388">
        <v>2544.9467098607383</v>
      </c>
      <c r="N290" s="25">
        <v>0.749</v>
      </c>
      <c r="O290" s="24">
        <v>2562.5023633066071</v>
      </c>
      <c r="P290" s="24">
        <v>1031.5328140918559</v>
      </c>
      <c r="Q290" s="24">
        <v>623.79346745983389</v>
      </c>
      <c r="R290" s="22">
        <v>407.73934663202192</v>
      </c>
      <c r="S290" s="24">
        <v>19.595606307638761</v>
      </c>
      <c r="T290" s="24">
        <f t="shared" si="16"/>
        <v>1051.1284203994946</v>
      </c>
      <c r="U290" s="376">
        <v>1905.91</v>
      </c>
      <c r="V290" s="376">
        <v>127.25</v>
      </c>
      <c r="W290" s="22">
        <f t="shared" si="17"/>
        <v>1427.5265900000002</v>
      </c>
      <c r="X290" s="22">
        <f t="shared" si="18"/>
        <v>330.36182428903805</v>
      </c>
      <c r="Y290" s="22">
        <v>181.38497120660494</v>
      </c>
      <c r="Z290" s="22">
        <v>148.97685308243314</v>
      </c>
      <c r="AA290" s="371">
        <v>2577.3347299271586</v>
      </c>
      <c r="AB290" s="22">
        <v>0.12817963474165223</v>
      </c>
      <c r="AC290" s="24">
        <v>0</v>
      </c>
      <c r="AD290" s="384">
        <v>0</v>
      </c>
    </row>
    <row r="291" spans="1:30">
      <c r="A291" s="21" t="s">
        <v>511</v>
      </c>
      <c r="B291" s="21" t="s">
        <v>512</v>
      </c>
      <c r="C291" s="23">
        <v>1737.2459649464954</v>
      </c>
      <c r="D291" s="147">
        <v>206.24626864511688</v>
      </c>
      <c r="E291" s="22">
        <v>392.69595040508074</v>
      </c>
      <c r="F291" s="22">
        <v>598.94221905019765</v>
      </c>
      <c r="G291" s="22">
        <v>300.2750318351558</v>
      </c>
      <c r="H291" s="22">
        <v>205.08058129553427</v>
      </c>
      <c r="I291" s="22">
        <v>17.766683052259143</v>
      </c>
      <c r="J291" s="22">
        <v>368.74911459425863</v>
      </c>
      <c r="K291" s="22">
        <v>17.4853102437392</v>
      </c>
      <c r="L291" s="22">
        <v>0</v>
      </c>
      <c r="M291" s="388">
        <v>6673.2284584075633</v>
      </c>
      <c r="N291" s="25">
        <v>0.3085</v>
      </c>
      <c r="O291" s="24">
        <v>0</v>
      </c>
      <c r="P291" s="24">
        <v>129.63247249668717</v>
      </c>
      <c r="Q291" s="24">
        <v>93.958419987908925</v>
      </c>
      <c r="R291" s="22">
        <v>35.674052508778253</v>
      </c>
      <c r="S291" s="24">
        <v>51.752498709917752</v>
      </c>
      <c r="T291" s="24">
        <f t="shared" si="16"/>
        <v>181.38497120660492</v>
      </c>
      <c r="U291" s="376">
        <v>2059.36</v>
      </c>
      <c r="V291" s="376">
        <v>333.66</v>
      </c>
      <c r="W291" s="22">
        <f t="shared" si="17"/>
        <v>635.31256000000008</v>
      </c>
      <c r="X291" s="22">
        <f t="shared" si="18"/>
        <v>835.82797673736093</v>
      </c>
      <c r="Y291" s="22">
        <v>472.30435715847267</v>
      </c>
      <c r="Z291" s="22">
        <v>363.52361957888826</v>
      </c>
      <c r="AA291" s="371">
        <v>6478.0260724968539</v>
      </c>
      <c r="AB291" s="22">
        <v>0.12902510230484518</v>
      </c>
      <c r="AC291" s="24">
        <v>0</v>
      </c>
      <c r="AD291" s="384">
        <v>0</v>
      </c>
    </row>
    <row r="292" spans="1:30">
      <c r="A292" s="21" t="s">
        <v>581</v>
      </c>
      <c r="B292" s="21" t="s">
        <v>582</v>
      </c>
      <c r="C292" s="23">
        <v>247.51763023766682</v>
      </c>
      <c r="D292" s="147">
        <v>0</v>
      </c>
      <c r="E292" s="22">
        <v>0</v>
      </c>
      <c r="F292" s="22">
        <v>0</v>
      </c>
      <c r="G292" s="22">
        <v>0</v>
      </c>
      <c r="H292" s="22">
        <v>0</v>
      </c>
      <c r="I292" s="22">
        <v>0</v>
      </c>
      <c r="J292" s="22">
        <v>0</v>
      </c>
      <c r="K292" s="22">
        <v>0</v>
      </c>
      <c r="L292" s="22">
        <v>0</v>
      </c>
      <c r="M292" s="388">
        <v>568.08165137288552</v>
      </c>
      <c r="N292" s="25">
        <v>0.93140000000000001</v>
      </c>
      <c r="O292" s="24">
        <v>582.84367479130674</v>
      </c>
      <c r="P292" s="24">
        <v>164.55284783978703</v>
      </c>
      <c r="Q292" s="24">
        <v>144.45479008836267</v>
      </c>
      <c r="R292" s="22">
        <v>20.098057751424371</v>
      </c>
      <c r="S292" s="24">
        <v>57.028238869666652</v>
      </c>
      <c r="T292" s="24">
        <f t="shared" si="16"/>
        <v>221.5810867094537</v>
      </c>
      <c r="U292" s="376">
        <v>529.11</v>
      </c>
      <c r="V292" s="376">
        <v>28.4</v>
      </c>
      <c r="W292" s="22">
        <f t="shared" si="17"/>
        <v>492.81305400000002</v>
      </c>
      <c r="X292" s="22">
        <f t="shared" si="18"/>
        <v>70.091976408092492</v>
      </c>
      <c r="Y292" s="22">
        <v>54.013530206952993</v>
      </c>
      <c r="Z292" s="22">
        <v>16.078446201139496</v>
      </c>
      <c r="AA292" s="371">
        <v>568.22233777714553</v>
      </c>
      <c r="AB292" s="22">
        <v>0.1233530816164117</v>
      </c>
      <c r="AC292" s="24">
        <v>0</v>
      </c>
      <c r="AD292" s="384">
        <v>0</v>
      </c>
    </row>
    <row r="293" spans="1:30">
      <c r="A293" s="21" t="s">
        <v>369</v>
      </c>
      <c r="B293" s="21" t="s">
        <v>370</v>
      </c>
      <c r="C293" s="23">
        <v>1587.1737677166097</v>
      </c>
      <c r="D293" s="147">
        <v>0</v>
      </c>
      <c r="E293" s="22">
        <v>298.87821682143181</v>
      </c>
      <c r="F293" s="22">
        <v>298.87821682143181</v>
      </c>
      <c r="G293" s="22">
        <v>0</v>
      </c>
      <c r="H293" s="22">
        <v>216.0742188855634</v>
      </c>
      <c r="I293" s="22">
        <v>4.7129945427090147</v>
      </c>
      <c r="J293" s="22">
        <v>52.65691130873185</v>
      </c>
      <c r="K293" s="22">
        <v>0</v>
      </c>
      <c r="L293" s="22">
        <v>0</v>
      </c>
      <c r="M293" s="388">
        <v>5587.0791723762122</v>
      </c>
      <c r="N293" s="25">
        <v>0.36459999999999998</v>
      </c>
      <c r="O293" s="24">
        <v>0</v>
      </c>
      <c r="P293" s="24">
        <v>294.43654605836701</v>
      </c>
      <c r="Q293" s="24">
        <v>222.3347638751321</v>
      </c>
      <c r="R293" s="22">
        <v>72.101782183234931</v>
      </c>
      <c r="S293" s="24">
        <v>97.726805816300995</v>
      </c>
      <c r="T293" s="24">
        <f t="shared" si="16"/>
        <v>392.16335187466802</v>
      </c>
      <c r="U293" s="376">
        <v>2037.61</v>
      </c>
      <c r="V293" s="376">
        <v>279.35000000000002</v>
      </c>
      <c r="W293" s="22">
        <f t="shared" si="17"/>
        <v>742.91260599999987</v>
      </c>
      <c r="X293" s="22">
        <f t="shared" si="18"/>
        <v>547.16962228252851</v>
      </c>
      <c r="Y293" s="22">
        <v>275.84584263829947</v>
      </c>
      <c r="Z293" s="22">
        <v>271.32377964422898</v>
      </c>
      <c r="AA293" s="371">
        <v>5624.8836190066404</v>
      </c>
      <c r="AB293" s="22">
        <v>9.7276612165561424E-2</v>
      </c>
      <c r="AC293" s="24">
        <v>0</v>
      </c>
      <c r="AD293" s="384">
        <v>0</v>
      </c>
    </row>
    <row r="294" spans="1:30">
      <c r="A294" s="21" t="s">
        <v>489</v>
      </c>
      <c r="B294" s="21" t="s">
        <v>490</v>
      </c>
      <c r="C294" s="23">
        <v>97.676560671922445</v>
      </c>
      <c r="D294" s="147">
        <v>0</v>
      </c>
      <c r="E294" s="22">
        <v>0</v>
      </c>
      <c r="F294" s="22">
        <v>0</v>
      </c>
      <c r="G294" s="22">
        <v>0</v>
      </c>
      <c r="H294" s="22">
        <v>1.7585800532496323</v>
      </c>
      <c r="I294" s="22">
        <v>0.25122572189280462</v>
      </c>
      <c r="J294" s="22">
        <v>905.16627597977515</v>
      </c>
      <c r="K294" s="22">
        <v>0</v>
      </c>
      <c r="L294" s="22">
        <v>0</v>
      </c>
      <c r="M294" s="388">
        <v>1163.8282792406069</v>
      </c>
      <c r="N294" s="25">
        <v>0.22850000000000001</v>
      </c>
      <c r="O294" s="24">
        <v>260.26984788094558</v>
      </c>
      <c r="P294" s="24">
        <v>36.930181118242281</v>
      </c>
      <c r="Q294" s="24">
        <v>26.629926520637291</v>
      </c>
      <c r="R294" s="22">
        <v>10.30025459760499</v>
      </c>
      <c r="S294" s="24">
        <v>3.0147086627136552</v>
      </c>
      <c r="T294" s="24">
        <f t="shared" si="16"/>
        <v>39.944889780955933</v>
      </c>
      <c r="U294" s="376">
        <v>265.7</v>
      </c>
      <c r="V294" s="376">
        <v>58.19</v>
      </c>
      <c r="W294" s="22">
        <f t="shared" si="17"/>
        <v>60.712449999999997</v>
      </c>
      <c r="X294" s="22">
        <f t="shared" si="18"/>
        <v>110.03686618904842</v>
      </c>
      <c r="Y294" s="22">
        <v>99.485385869550626</v>
      </c>
      <c r="Z294" s="22">
        <v>10.551480319497793</v>
      </c>
      <c r="AA294" s="371">
        <v>1161.8687186098427</v>
      </c>
      <c r="AB294" s="22">
        <v>9.4706798131811112E-2</v>
      </c>
      <c r="AC294" s="24">
        <v>0</v>
      </c>
      <c r="AD294" s="384">
        <v>0</v>
      </c>
    </row>
    <row r="295" spans="1:30">
      <c r="A295" s="21" t="s">
        <v>55</v>
      </c>
      <c r="B295" s="21" t="s">
        <v>56</v>
      </c>
      <c r="C295" s="23">
        <v>5982.6792921263732</v>
      </c>
      <c r="D295" s="147">
        <v>265.8169118203387</v>
      </c>
      <c r="E295" s="22">
        <v>1373.9735710895</v>
      </c>
      <c r="F295" s="22">
        <v>1639.7904829098386</v>
      </c>
      <c r="G295" s="22">
        <v>0</v>
      </c>
      <c r="H295" s="22">
        <v>362.82018755758844</v>
      </c>
      <c r="I295" s="22">
        <v>4.4416707630647858</v>
      </c>
      <c r="J295" s="22">
        <v>1061.5291652858566</v>
      </c>
      <c r="K295" s="22">
        <v>213.43132429125109</v>
      </c>
      <c r="L295" s="22">
        <v>0.37181406840135084</v>
      </c>
      <c r="M295" s="388">
        <v>21554.443408323583</v>
      </c>
      <c r="N295" s="25">
        <v>0.48480000000000001</v>
      </c>
      <c r="O295" s="24">
        <v>12566.310609078088</v>
      </c>
      <c r="P295" s="24">
        <v>2944.8679120274555</v>
      </c>
      <c r="Q295" s="24">
        <v>1841.9869929180434</v>
      </c>
      <c r="R295" s="22">
        <v>1102.8809191094124</v>
      </c>
      <c r="S295" s="24">
        <v>484.1119660874345</v>
      </c>
      <c r="T295" s="24">
        <f t="shared" si="16"/>
        <v>3428.9798781148902</v>
      </c>
      <c r="U295" s="376">
        <v>10451.75</v>
      </c>
      <c r="V295" s="376">
        <v>1077.72</v>
      </c>
      <c r="W295" s="22">
        <f t="shared" si="17"/>
        <v>5067.0083999999997</v>
      </c>
      <c r="X295" s="22">
        <f t="shared" si="18"/>
        <v>2870.2538726252928</v>
      </c>
      <c r="Y295" s="22">
        <v>1795.7614600897675</v>
      </c>
      <c r="Z295" s="22">
        <v>1074.4924125355253</v>
      </c>
      <c r="AA295" s="371">
        <v>21632.735392294257</v>
      </c>
      <c r="AB295" s="22">
        <v>0.13268104197528802</v>
      </c>
      <c r="AC295" s="24">
        <v>0</v>
      </c>
      <c r="AD295" s="384">
        <v>0</v>
      </c>
    </row>
    <row r="296" spans="1:30">
      <c r="A296" s="21" t="s">
        <v>193</v>
      </c>
      <c r="B296" s="21" t="s">
        <v>194</v>
      </c>
      <c r="C296" s="23">
        <v>275.70515623403952</v>
      </c>
      <c r="D296" s="147">
        <v>21.233598014379847</v>
      </c>
      <c r="E296" s="22">
        <v>97.425334950029637</v>
      </c>
      <c r="F296" s="22">
        <v>118.65893296440949</v>
      </c>
      <c r="G296" s="22">
        <v>0</v>
      </c>
      <c r="H296" s="22">
        <v>31.905666680386187</v>
      </c>
      <c r="I296" s="22">
        <v>0.68333396354842857</v>
      </c>
      <c r="J296" s="22">
        <v>130.12487491159709</v>
      </c>
      <c r="K296" s="22">
        <v>0</v>
      </c>
      <c r="L296" s="22">
        <v>0</v>
      </c>
      <c r="M296" s="388">
        <v>1488.7937750233873</v>
      </c>
      <c r="N296" s="25">
        <v>0.2329</v>
      </c>
      <c r="O296" s="24">
        <v>39.191212615277522</v>
      </c>
      <c r="P296" s="24">
        <v>75.116490845948576</v>
      </c>
      <c r="Q296" s="24">
        <v>43.713275609348003</v>
      </c>
      <c r="R296" s="22">
        <v>31.403215236600577</v>
      </c>
      <c r="S296" s="24">
        <v>6.0294173254273105</v>
      </c>
      <c r="T296" s="24">
        <f t="shared" si="16"/>
        <v>81.145908171375879</v>
      </c>
      <c r="U296" s="376">
        <v>347.48</v>
      </c>
      <c r="V296" s="376">
        <v>74.44</v>
      </c>
      <c r="W296" s="22">
        <f t="shared" si="17"/>
        <v>80.928092000000007</v>
      </c>
      <c r="X296" s="22">
        <f t="shared" si="18"/>
        <v>165.80897644925102</v>
      </c>
      <c r="Y296" s="22">
        <v>129.63247249668717</v>
      </c>
      <c r="Z296" s="22">
        <v>36.176503952563863</v>
      </c>
      <c r="AA296" s="371">
        <v>1490.4920609033827</v>
      </c>
      <c r="AB296" s="22">
        <v>0.11124445463248875</v>
      </c>
      <c r="AC296" s="24">
        <v>0</v>
      </c>
      <c r="AD296" s="384">
        <v>0</v>
      </c>
    </row>
    <row r="297" spans="1:30">
      <c r="A297" s="21" t="s">
        <v>1024</v>
      </c>
      <c r="B297" s="21" t="s">
        <v>1044</v>
      </c>
      <c r="C297" s="23">
        <v>55.470639393931265</v>
      </c>
      <c r="D297" s="147">
        <v>0</v>
      </c>
      <c r="E297" s="22">
        <v>0</v>
      </c>
      <c r="F297" s="22">
        <v>0</v>
      </c>
      <c r="G297" s="22">
        <v>0</v>
      </c>
      <c r="H297" s="22">
        <v>0</v>
      </c>
      <c r="I297" s="22">
        <v>0</v>
      </c>
      <c r="J297" s="22">
        <v>0</v>
      </c>
      <c r="K297" s="22">
        <v>0</v>
      </c>
      <c r="L297" s="22">
        <v>0</v>
      </c>
      <c r="M297" s="388">
        <v>126.21580267894505</v>
      </c>
      <c r="N297" s="25">
        <v>0.9919</v>
      </c>
      <c r="O297" s="24">
        <v>124.60795805883109</v>
      </c>
      <c r="P297" s="24">
        <v>0</v>
      </c>
      <c r="Q297" s="24">
        <v>0</v>
      </c>
      <c r="R297" s="22">
        <v>0</v>
      </c>
      <c r="S297" s="24">
        <v>0</v>
      </c>
      <c r="T297" s="24">
        <f t="shared" si="16"/>
        <v>0</v>
      </c>
      <c r="U297" s="376">
        <v>125.19</v>
      </c>
      <c r="V297" s="376">
        <v>0</v>
      </c>
      <c r="W297" s="22">
        <f t="shared" si="17"/>
        <v>124.175961</v>
      </c>
      <c r="X297" s="22">
        <f t="shared" si="18"/>
        <v>16.580897644925106</v>
      </c>
      <c r="Y297" s="22">
        <v>15.575994757353886</v>
      </c>
      <c r="Z297" s="22">
        <v>1.0049028875712185</v>
      </c>
      <c r="AA297" s="371">
        <v>126.21580267894504</v>
      </c>
      <c r="AB297" s="22">
        <v>0.13136942675159236</v>
      </c>
      <c r="AC297" s="24">
        <v>0</v>
      </c>
      <c r="AD297" s="384">
        <v>0</v>
      </c>
    </row>
    <row r="298" spans="1:30">
      <c r="A298" s="21" t="s">
        <v>523</v>
      </c>
      <c r="B298" s="21" t="s">
        <v>524</v>
      </c>
      <c r="C298" s="23">
        <v>119.78442419848925</v>
      </c>
      <c r="D298" s="147">
        <v>0</v>
      </c>
      <c r="E298" s="22">
        <v>25.65517071969321</v>
      </c>
      <c r="F298" s="22">
        <v>25.65517071969321</v>
      </c>
      <c r="G298" s="22">
        <v>0</v>
      </c>
      <c r="H298" s="22">
        <v>7.0544182707499532</v>
      </c>
      <c r="I298" s="22">
        <v>0.53259853041274585</v>
      </c>
      <c r="J298" s="22">
        <v>19.887028145034414</v>
      </c>
      <c r="K298" s="22">
        <v>0</v>
      </c>
      <c r="L298" s="22">
        <v>0</v>
      </c>
      <c r="M298" s="388">
        <v>453.89453625816805</v>
      </c>
      <c r="N298" s="25">
        <v>0.64859999999999995</v>
      </c>
      <c r="O298" s="24">
        <v>464.26513405790291</v>
      </c>
      <c r="P298" s="24">
        <v>16.329671923032301</v>
      </c>
      <c r="Q298" s="24">
        <v>7.787997378676943</v>
      </c>
      <c r="R298" s="22">
        <v>8.5416745443553577</v>
      </c>
      <c r="S298" s="24">
        <v>0</v>
      </c>
      <c r="T298" s="24">
        <f t="shared" si="16"/>
        <v>16.329671923032301</v>
      </c>
      <c r="U298" s="376">
        <v>294.39999999999998</v>
      </c>
      <c r="V298" s="376">
        <v>0</v>
      </c>
      <c r="W298" s="22">
        <f t="shared" si="17"/>
        <v>190.94783999999999</v>
      </c>
      <c r="X298" s="22">
        <f t="shared" si="18"/>
        <v>76.623845177305412</v>
      </c>
      <c r="Y298" s="22">
        <v>43.964501331240811</v>
      </c>
      <c r="Z298" s="22">
        <v>32.659343846064601</v>
      </c>
      <c r="AA298" s="371">
        <v>453.89453625816799</v>
      </c>
      <c r="AB298" s="22">
        <v>0.16881420474672335</v>
      </c>
      <c r="AC298" s="24">
        <v>3.3814204746723336E-2</v>
      </c>
      <c r="AD298" s="384">
        <v>-141002.64306657249</v>
      </c>
    </row>
    <row r="299" spans="1:30">
      <c r="A299" s="21" t="s">
        <v>121</v>
      </c>
      <c r="B299" s="21" t="s">
        <v>122</v>
      </c>
      <c r="C299" s="23">
        <v>646.95647901835036</v>
      </c>
      <c r="D299" s="147">
        <v>65.459374096389169</v>
      </c>
      <c r="E299" s="22">
        <v>209.32127148108484</v>
      </c>
      <c r="F299" s="22">
        <v>274.78064557747399</v>
      </c>
      <c r="G299" s="22">
        <v>0</v>
      </c>
      <c r="H299" s="22">
        <v>34.478218072568509</v>
      </c>
      <c r="I299" s="22">
        <v>1.9997567462667247</v>
      </c>
      <c r="J299" s="22">
        <v>0</v>
      </c>
      <c r="K299" s="22">
        <v>0</v>
      </c>
      <c r="L299" s="22">
        <v>0</v>
      </c>
      <c r="M299" s="388">
        <v>2412.4603131633485</v>
      </c>
      <c r="N299" s="25">
        <v>0.96860000000000002</v>
      </c>
      <c r="O299" s="24">
        <v>2465.026783212199</v>
      </c>
      <c r="P299" s="24">
        <v>1202.8687564227484</v>
      </c>
      <c r="Q299" s="24">
        <v>751.41613418137865</v>
      </c>
      <c r="R299" s="22">
        <v>451.45262224136991</v>
      </c>
      <c r="S299" s="24">
        <v>229.62030981002343</v>
      </c>
      <c r="T299" s="24">
        <f t="shared" si="16"/>
        <v>1432.4890662327718</v>
      </c>
      <c r="U299" s="376">
        <v>2335.7399999999998</v>
      </c>
      <c r="V299" s="376">
        <v>120.62</v>
      </c>
      <c r="W299" s="22">
        <f t="shared" si="17"/>
        <v>2262.3977639999998</v>
      </c>
      <c r="X299" s="22">
        <f t="shared" si="18"/>
        <v>295.69267466783106</v>
      </c>
      <c r="Y299" s="22">
        <v>169.57736227764312</v>
      </c>
      <c r="Z299" s="22">
        <v>126.11531239018792</v>
      </c>
      <c r="AA299" s="371">
        <v>2440.024799369427</v>
      </c>
      <c r="AB299" s="22">
        <v>0.1211842907269822</v>
      </c>
      <c r="AC299" s="24">
        <v>0</v>
      </c>
      <c r="AD299" s="384">
        <v>0</v>
      </c>
    </row>
    <row r="300" spans="1:30">
      <c r="A300" s="21" t="s">
        <v>535</v>
      </c>
      <c r="B300" s="21" t="s">
        <v>536</v>
      </c>
      <c r="C300" s="23">
        <v>71.850556461342123</v>
      </c>
      <c r="D300" s="147">
        <v>4.5220629940704828</v>
      </c>
      <c r="E300" s="22">
        <v>10.310303626480701</v>
      </c>
      <c r="F300" s="22">
        <v>14.832366620551184</v>
      </c>
      <c r="G300" s="22">
        <v>0</v>
      </c>
      <c r="H300" s="22">
        <v>2.8036790563236997</v>
      </c>
      <c r="I300" s="22">
        <v>0.67328493467271644</v>
      </c>
      <c r="J300" s="22">
        <v>0</v>
      </c>
      <c r="K300" s="22">
        <v>0</v>
      </c>
      <c r="L300" s="22">
        <v>0</v>
      </c>
      <c r="M300" s="388">
        <v>263.32475265916213</v>
      </c>
      <c r="N300" s="25">
        <v>0.56779999999999997</v>
      </c>
      <c r="O300" s="24">
        <v>268.30907098151533</v>
      </c>
      <c r="P300" s="24">
        <v>1.5073543313568276</v>
      </c>
      <c r="Q300" s="24">
        <v>0.50245144378560924</v>
      </c>
      <c r="R300" s="22">
        <v>1.0049028875712185</v>
      </c>
      <c r="S300" s="24">
        <v>0</v>
      </c>
      <c r="T300" s="24">
        <f t="shared" si="16"/>
        <v>1.5073543313568276</v>
      </c>
      <c r="U300" s="376">
        <v>149.52000000000001</v>
      </c>
      <c r="V300" s="376">
        <v>0</v>
      </c>
      <c r="W300" s="22">
        <f t="shared" si="17"/>
        <v>84.897456000000005</v>
      </c>
      <c r="X300" s="22">
        <f t="shared" si="18"/>
        <v>21.856637804674005</v>
      </c>
      <c r="Y300" s="22">
        <v>20.851734917102785</v>
      </c>
      <c r="Z300" s="22">
        <v>1.0049028875712185</v>
      </c>
      <c r="AA300" s="371">
        <v>265.34460746318024</v>
      </c>
      <c r="AB300" s="22">
        <v>8.237076311304678E-2</v>
      </c>
      <c r="AC300" s="24">
        <v>0</v>
      </c>
      <c r="AD300" s="384">
        <v>0</v>
      </c>
    </row>
    <row r="301" spans="1:30">
      <c r="A301" s="21" t="s">
        <v>527</v>
      </c>
      <c r="B301" s="21" t="s">
        <v>528</v>
      </c>
      <c r="C301" s="23">
        <v>1515.6146330926631</v>
      </c>
      <c r="D301" s="147">
        <v>65.258393518874925</v>
      </c>
      <c r="E301" s="22">
        <v>294.84855624227123</v>
      </c>
      <c r="F301" s="22">
        <v>360.10694976114615</v>
      </c>
      <c r="G301" s="22">
        <v>92.802781667202026</v>
      </c>
      <c r="H301" s="22">
        <v>90.401063765906812</v>
      </c>
      <c r="I301" s="22">
        <v>9.1546653057738006</v>
      </c>
      <c r="J301" s="22">
        <v>346.56085883668612</v>
      </c>
      <c r="K301" s="22">
        <v>94.661852009208786</v>
      </c>
      <c r="L301" s="22">
        <v>0.2009805775142437</v>
      </c>
      <c r="M301" s="388">
        <v>5507.3300792185601</v>
      </c>
      <c r="N301" s="25">
        <v>0.55479999999999996</v>
      </c>
      <c r="O301" s="24">
        <v>2720.2721166552883</v>
      </c>
      <c r="P301" s="24">
        <v>784.07547802744318</v>
      </c>
      <c r="Q301" s="24">
        <v>543.65246217602919</v>
      </c>
      <c r="R301" s="22">
        <v>240.42301585141402</v>
      </c>
      <c r="S301" s="24">
        <v>141.18885570375619</v>
      </c>
      <c r="T301" s="24">
        <f t="shared" si="16"/>
        <v>925.26433373119937</v>
      </c>
      <c r="U301" s="376">
        <v>3055.47</v>
      </c>
      <c r="V301" s="376">
        <v>275.37</v>
      </c>
      <c r="W301" s="22">
        <f t="shared" si="17"/>
        <v>1695.1747559999997</v>
      </c>
      <c r="X301" s="22">
        <f t="shared" si="18"/>
        <v>802.91740716940353</v>
      </c>
      <c r="Y301" s="22">
        <v>462.00410256086769</v>
      </c>
      <c r="Z301" s="22">
        <v>340.9133046085359</v>
      </c>
      <c r="AA301" s="371">
        <v>5492.6082519156425</v>
      </c>
      <c r="AB301" s="22">
        <v>0.14618144428730598</v>
      </c>
      <c r="AC301" s="24">
        <v>1.1181444287305969E-2</v>
      </c>
      <c r="AD301" s="384">
        <v>-565743.72785334499</v>
      </c>
    </row>
    <row r="302" spans="1:30">
      <c r="A302" s="21" t="s">
        <v>605</v>
      </c>
      <c r="B302" s="21" t="s">
        <v>606</v>
      </c>
      <c r="C302" s="23">
        <v>882.91772604894834</v>
      </c>
      <c r="D302" s="147">
        <v>57.681425746587941</v>
      </c>
      <c r="E302" s="22">
        <v>257.56665911337899</v>
      </c>
      <c r="F302" s="22">
        <v>315.24808485996692</v>
      </c>
      <c r="G302" s="22">
        <v>0</v>
      </c>
      <c r="H302" s="22">
        <v>15.525749612975325</v>
      </c>
      <c r="I302" s="22">
        <v>1.085295118576916</v>
      </c>
      <c r="J302" s="22">
        <v>28.890958017672531</v>
      </c>
      <c r="K302" s="22">
        <v>4.2205921277991179</v>
      </c>
      <c r="L302" s="22">
        <v>0</v>
      </c>
      <c r="M302" s="388">
        <v>3073.3246481456845</v>
      </c>
      <c r="N302" s="25">
        <v>0.90939999999999999</v>
      </c>
      <c r="O302" s="24">
        <v>3160.4195814114823</v>
      </c>
      <c r="P302" s="24">
        <v>1050.1235175119234</v>
      </c>
      <c r="Q302" s="24">
        <v>598.41966954866064</v>
      </c>
      <c r="R302" s="22">
        <v>451.70384796326272</v>
      </c>
      <c r="S302" s="24">
        <v>151.99156174514678</v>
      </c>
      <c r="T302" s="24">
        <f t="shared" si="16"/>
        <v>1202.1150792570702</v>
      </c>
      <c r="U302" s="376">
        <v>2793.96</v>
      </c>
      <c r="V302" s="376">
        <v>153.66999999999999</v>
      </c>
      <c r="W302" s="22">
        <f t="shared" si="17"/>
        <v>2540.8272240000001</v>
      </c>
      <c r="X302" s="22">
        <f t="shared" si="18"/>
        <v>387.13883743681191</v>
      </c>
      <c r="Y302" s="22">
        <v>291.42183739565337</v>
      </c>
      <c r="Z302" s="22">
        <v>95.717000041158556</v>
      </c>
      <c r="AA302" s="371">
        <v>3082.7707352888542</v>
      </c>
      <c r="AB302" s="22">
        <v>0.1255814559951495</v>
      </c>
      <c r="AC302" s="24">
        <v>0</v>
      </c>
      <c r="AD302" s="384">
        <v>0</v>
      </c>
    </row>
    <row r="303" spans="1:30">
      <c r="A303" s="21" t="s">
        <v>125</v>
      </c>
      <c r="B303" s="21" t="s">
        <v>126</v>
      </c>
      <c r="C303" s="23">
        <v>231.32864471889448</v>
      </c>
      <c r="D303" s="147">
        <v>3.1051499225950652</v>
      </c>
      <c r="E303" s="22">
        <v>54.56622679511716</v>
      </c>
      <c r="F303" s="22">
        <v>57.671376717712228</v>
      </c>
      <c r="G303" s="22">
        <v>0</v>
      </c>
      <c r="H303" s="22">
        <v>21.726000429289744</v>
      </c>
      <c r="I303" s="22">
        <v>2.080148977272422</v>
      </c>
      <c r="J303" s="22">
        <v>0</v>
      </c>
      <c r="K303" s="22">
        <v>0</v>
      </c>
      <c r="L303" s="22">
        <v>0</v>
      </c>
      <c r="M303" s="388">
        <v>890.73587051425227</v>
      </c>
      <c r="N303" s="25">
        <v>0.85399999999999998</v>
      </c>
      <c r="O303" s="24">
        <v>906.42240458923902</v>
      </c>
      <c r="P303" s="24">
        <v>237.40830718870035</v>
      </c>
      <c r="Q303" s="24">
        <v>159.52833340193092</v>
      </c>
      <c r="R303" s="22">
        <v>77.879973786769426</v>
      </c>
      <c r="S303" s="24">
        <v>53.511078763167383</v>
      </c>
      <c r="T303" s="24">
        <f t="shared" si="16"/>
        <v>290.91938595186775</v>
      </c>
      <c r="U303" s="376">
        <v>760.69</v>
      </c>
      <c r="V303" s="376">
        <v>44.54</v>
      </c>
      <c r="W303" s="22">
        <f t="shared" si="17"/>
        <v>649.62926000000004</v>
      </c>
      <c r="X303" s="22">
        <f t="shared" si="18"/>
        <v>124.10550661504548</v>
      </c>
      <c r="Y303" s="22">
        <v>43.713275609348003</v>
      </c>
      <c r="Z303" s="22">
        <v>80.392231005697482</v>
      </c>
      <c r="AA303" s="371">
        <v>891.50964573768215</v>
      </c>
      <c r="AB303" s="22">
        <v>0.13920826006582804</v>
      </c>
      <c r="AC303" s="24">
        <v>4.2082600658280289E-3</v>
      </c>
      <c r="AD303" s="384">
        <v>-33500.691360913057</v>
      </c>
    </row>
    <row r="304" spans="1:30">
      <c r="A304" s="21" t="s">
        <v>63</v>
      </c>
      <c r="B304" s="21" t="s">
        <v>64</v>
      </c>
      <c r="C304" s="23">
        <v>761.28428053732807</v>
      </c>
      <c r="D304" s="147">
        <v>44.125285793252203</v>
      </c>
      <c r="E304" s="22">
        <v>225.97251232813991</v>
      </c>
      <c r="F304" s="22">
        <v>270.09779812139209</v>
      </c>
      <c r="G304" s="22">
        <v>0</v>
      </c>
      <c r="H304" s="22">
        <v>63.560107638879572</v>
      </c>
      <c r="I304" s="22">
        <v>0.70343202129985294</v>
      </c>
      <c r="J304" s="22">
        <v>109.29323805224573</v>
      </c>
      <c r="K304" s="22">
        <v>5.4264755928845805</v>
      </c>
      <c r="L304" s="22">
        <v>0</v>
      </c>
      <c r="M304" s="388">
        <v>2913.7963147437531</v>
      </c>
      <c r="N304" s="25">
        <v>0.34239999999999998</v>
      </c>
      <c r="O304" s="24">
        <v>0</v>
      </c>
      <c r="P304" s="24">
        <v>77.628748064876632</v>
      </c>
      <c r="Q304" s="24">
        <v>43.964501331240811</v>
      </c>
      <c r="R304" s="22">
        <v>33.664246733635821</v>
      </c>
      <c r="S304" s="24">
        <v>11.053931763283403</v>
      </c>
      <c r="T304" s="24">
        <f t="shared" si="16"/>
        <v>88.682679828160033</v>
      </c>
      <c r="U304" s="376">
        <v>997.68</v>
      </c>
      <c r="V304" s="376">
        <v>145.69</v>
      </c>
      <c r="W304" s="22">
        <f t="shared" si="17"/>
        <v>341.60563199999996</v>
      </c>
      <c r="X304" s="22">
        <f t="shared" si="18"/>
        <v>442.91094769701454</v>
      </c>
      <c r="Y304" s="22">
        <v>317.80053819439786</v>
      </c>
      <c r="Z304" s="22">
        <v>125.1104095026167</v>
      </c>
      <c r="AA304" s="371">
        <v>2958.3738068364132</v>
      </c>
      <c r="AB304" s="22">
        <v>0.14971432841701934</v>
      </c>
      <c r="AC304" s="24">
        <v>1.4714328417019334E-2</v>
      </c>
      <c r="AD304" s="384">
        <v>-408209.68001465796</v>
      </c>
    </row>
    <row r="305" spans="1:30">
      <c r="A305" s="21" t="s">
        <v>3</v>
      </c>
      <c r="B305" s="21" t="s">
        <v>4</v>
      </c>
      <c r="C305" s="23">
        <v>21.4</v>
      </c>
      <c r="D305" s="147">
        <v>2.9</v>
      </c>
      <c r="E305" s="22">
        <v>2.7</v>
      </c>
      <c r="F305" s="22">
        <v>5.6</v>
      </c>
      <c r="G305" s="22">
        <v>0</v>
      </c>
      <c r="H305" s="22">
        <v>0</v>
      </c>
      <c r="I305" s="22">
        <v>0</v>
      </c>
      <c r="J305" s="22">
        <v>0</v>
      </c>
      <c r="K305" s="22">
        <v>0</v>
      </c>
      <c r="L305" s="22">
        <v>0</v>
      </c>
      <c r="M305" s="388">
        <v>78.11</v>
      </c>
      <c r="N305" s="25">
        <v>0.74390000000000001</v>
      </c>
      <c r="O305" s="24">
        <v>82</v>
      </c>
      <c r="P305" s="24">
        <v>1</v>
      </c>
      <c r="Q305" s="24">
        <v>1</v>
      </c>
      <c r="R305" s="22">
        <v>0</v>
      </c>
      <c r="S305" s="24">
        <v>0</v>
      </c>
      <c r="T305" s="24">
        <f t="shared" si="16"/>
        <v>1</v>
      </c>
      <c r="U305" s="376">
        <v>58.11</v>
      </c>
      <c r="V305" s="376">
        <v>3.91</v>
      </c>
      <c r="W305" s="22">
        <f t="shared" si="17"/>
        <v>43.228028999999999</v>
      </c>
      <c r="X305" s="22">
        <f t="shared" si="18"/>
        <v>5.5</v>
      </c>
      <c r="Y305" s="22">
        <v>5.5</v>
      </c>
      <c r="Z305" s="22">
        <v>0</v>
      </c>
      <c r="AA305" s="371">
        <v>78.12</v>
      </c>
      <c r="AB305" s="22">
        <v>7.040450588837685E-2</v>
      </c>
      <c r="AC305" s="24">
        <v>0</v>
      </c>
      <c r="AD305" s="384">
        <v>0</v>
      </c>
    </row>
    <row r="306" spans="1:30">
      <c r="A306" s="21" t="s">
        <v>99</v>
      </c>
      <c r="B306" s="21" t="s">
        <v>100</v>
      </c>
      <c r="C306" s="23">
        <v>71.549085595070764</v>
      </c>
      <c r="D306" s="147">
        <v>1.3968150137239936</v>
      </c>
      <c r="E306" s="22">
        <v>13.897806935109951</v>
      </c>
      <c r="F306" s="22">
        <v>15.294621948833946</v>
      </c>
      <c r="G306" s="22">
        <v>0</v>
      </c>
      <c r="H306" s="22">
        <v>4.9441222068503947</v>
      </c>
      <c r="I306" s="22">
        <v>0.17083349088710714</v>
      </c>
      <c r="J306" s="22">
        <v>0</v>
      </c>
      <c r="K306" s="22">
        <v>0</v>
      </c>
      <c r="L306" s="22">
        <v>0</v>
      </c>
      <c r="M306" s="388">
        <v>259.48602362864005</v>
      </c>
      <c r="N306" s="25">
        <v>0.55989999999999995</v>
      </c>
      <c r="O306" s="24">
        <v>256.2502363306607</v>
      </c>
      <c r="P306" s="24">
        <v>14.068640425997058</v>
      </c>
      <c r="Q306" s="24">
        <v>8.0392231005697479</v>
      </c>
      <c r="R306" s="22">
        <v>6.0294173254273105</v>
      </c>
      <c r="S306" s="24">
        <v>3.0147086627136552</v>
      </c>
      <c r="T306" s="24">
        <f t="shared" si="16"/>
        <v>17.083349088710712</v>
      </c>
      <c r="U306" s="376">
        <v>145.29</v>
      </c>
      <c r="V306" s="376">
        <v>12.97</v>
      </c>
      <c r="W306" s="22">
        <f t="shared" si="17"/>
        <v>81.347870999999984</v>
      </c>
      <c r="X306" s="22">
        <f t="shared" si="18"/>
        <v>43.2108241655624</v>
      </c>
      <c r="Y306" s="22">
        <v>35.17160106499265</v>
      </c>
      <c r="Z306" s="22">
        <v>8.0392231005697479</v>
      </c>
      <c r="AA306" s="371">
        <v>260.02867118792847</v>
      </c>
      <c r="AB306" s="22">
        <v>0.1661771525738136</v>
      </c>
      <c r="AC306" s="24">
        <v>3.1177152573813594E-2</v>
      </c>
      <c r="AD306" s="384">
        <v>-73207.592918115493</v>
      </c>
    </row>
    <row r="307" spans="1:30">
      <c r="A307" s="21" t="s">
        <v>487</v>
      </c>
      <c r="B307" s="21" t="s">
        <v>488</v>
      </c>
      <c r="C307" s="23">
        <v>109.53441474526281</v>
      </c>
      <c r="D307" s="147">
        <v>0</v>
      </c>
      <c r="E307" s="22">
        <v>6.6323590579700413</v>
      </c>
      <c r="F307" s="22">
        <v>6.6323590579700413</v>
      </c>
      <c r="G307" s="22">
        <v>0</v>
      </c>
      <c r="H307" s="22">
        <v>3.708091655137796</v>
      </c>
      <c r="I307" s="22">
        <v>8.0392231005697479E-2</v>
      </c>
      <c r="J307" s="22">
        <v>0</v>
      </c>
      <c r="K307" s="22">
        <v>21.705902371538322</v>
      </c>
      <c r="L307" s="22">
        <v>0</v>
      </c>
      <c r="M307" s="388">
        <v>392.7763426360865</v>
      </c>
      <c r="N307" s="25">
        <v>0.8992</v>
      </c>
      <c r="O307" s="24">
        <v>398.94644636577374</v>
      </c>
      <c r="P307" s="24">
        <v>0</v>
      </c>
      <c r="Q307" s="24">
        <v>0</v>
      </c>
      <c r="R307" s="22">
        <v>0</v>
      </c>
      <c r="S307" s="24">
        <v>0</v>
      </c>
      <c r="T307" s="24">
        <f t="shared" si="16"/>
        <v>0</v>
      </c>
      <c r="U307" s="376">
        <v>353.18</v>
      </c>
      <c r="V307" s="376">
        <v>19.64</v>
      </c>
      <c r="W307" s="22">
        <f t="shared" si="17"/>
        <v>317.57945599999999</v>
      </c>
      <c r="X307" s="22">
        <f t="shared" si="18"/>
        <v>63.560107638879572</v>
      </c>
      <c r="Y307" s="22">
        <v>55.018433094524212</v>
      </c>
      <c r="Z307" s="22">
        <v>8.5416745443553577</v>
      </c>
      <c r="AA307" s="371">
        <v>392.7763426360865</v>
      </c>
      <c r="AB307" s="22">
        <v>0.16182264749526684</v>
      </c>
      <c r="AC307" s="24">
        <v>2.6822647495266833E-2</v>
      </c>
      <c r="AD307" s="384">
        <v>-95151.381763681056</v>
      </c>
    </row>
    <row r="308" spans="1:30">
      <c r="A308" s="21" t="s">
        <v>41</v>
      </c>
      <c r="B308" s="21" t="s">
        <v>42</v>
      </c>
      <c r="C308" s="23">
        <v>1848.8504796401548</v>
      </c>
      <c r="D308" s="147">
        <v>167.61780164687926</v>
      </c>
      <c r="E308" s="22">
        <v>538.56765356491894</v>
      </c>
      <c r="F308" s="22">
        <v>706.18545521179817</v>
      </c>
      <c r="G308" s="22">
        <v>199.0109678546041</v>
      </c>
      <c r="H308" s="22">
        <v>242.17154687578795</v>
      </c>
      <c r="I308" s="22">
        <v>15.073543313568278</v>
      </c>
      <c r="J308" s="22">
        <v>433.92711588212785</v>
      </c>
      <c r="K308" s="22">
        <v>49.903477396786705</v>
      </c>
      <c r="L308" s="22">
        <v>0</v>
      </c>
      <c r="M308" s="388">
        <v>7328.2543076131105</v>
      </c>
      <c r="N308" s="25">
        <v>0.58699999999999997</v>
      </c>
      <c r="O308" s="24">
        <v>6283.6577559828293</v>
      </c>
      <c r="P308" s="24">
        <v>1575.185276267885</v>
      </c>
      <c r="Q308" s="24">
        <v>1001.8881789085049</v>
      </c>
      <c r="R308" s="22">
        <v>573.29709735938013</v>
      </c>
      <c r="S308" s="24">
        <v>368.54813401674437</v>
      </c>
      <c r="T308" s="24">
        <f t="shared" si="16"/>
        <v>1943.7334102846294</v>
      </c>
      <c r="U308" s="376">
        <v>4301.6899999999996</v>
      </c>
      <c r="V308" s="376">
        <v>0</v>
      </c>
      <c r="W308" s="22">
        <f t="shared" si="17"/>
        <v>2525.0920299999998</v>
      </c>
      <c r="X308" s="22">
        <f t="shared" si="18"/>
        <v>951.89426025183661</v>
      </c>
      <c r="Y308" s="22">
        <v>758.19922867248431</v>
      </c>
      <c r="Z308" s="22">
        <v>193.69503157935236</v>
      </c>
      <c r="AA308" s="371">
        <v>7274.6326895323109</v>
      </c>
      <c r="AB308" s="22">
        <v>0.13085117845489933</v>
      </c>
      <c r="AC308" s="24">
        <v>0</v>
      </c>
      <c r="AD308" s="384">
        <v>0</v>
      </c>
    </row>
    <row r="309" spans="1:30">
      <c r="A309" s="21" t="s">
        <v>473</v>
      </c>
      <c r="B309" s="21" t="s">
        <v>474</v>
      </c>
      <c r="C309" s="23">
        <v>789.95415991973482</v>
      </c>
      <c r="D309" s="147">
        <v>82.48242901184561</v>
      </c>
      <c r="E309" s="22">
        <v>206.38695504937684</v>
      </c>
      <c r="F309" s="22">
        <v>288.86938406122243</v>
      </c>
      <c r="G309" s="22">
        <v>0</v>
      </c>
      <c r="H309" s="22">
        <v>66.514522128338953</v>
      </c>
      <c r="I309" s="22">
        <v>1.7786781110010568</v>
      </c>
      <c r="J309" s="22">
        <v>724.61537416985425</v>
      </c>
      <c r="K309" s="22">
        <v>2.2107863526566809</v>
      </c>
      <c r="L309" s="22">
        <v>0</v>
      </c>
      <c r="M309" s="388">
        <v>3427.3117393215221</v>
      </c>
      <c r="N309" s="25">
        <v>0.52390000000000003</v>
      </c>
      <c r="O309" s="24">
        <v>1848.0164102434708</v>
      </c>
      <c r="P309" s="24">
        <v>102.75132025415709</v>
      </c>
      <c r="Q309" s="24">
        <v>60.545398976165913</v>
      </c>
      <c r="R309" s="22">
        <v>42.205921277991173</v>
      </c>
      <c r="S309" s="24">
        <v>13.817414704104253</v>
      </c>
      <c r="T309" s="24">
        <f t="shared" si="16"/>
        <v>116.56873495826135</v>
      </c>
      <c r="U309" s="376">
        <v>1795.57</v>
      </c>
      <c r="V309" s="376">
        <v>171.37</v>
      </c>
      <c r="W309" s="22">
        <f t="shared" si="17"/>
        <v>940.69912299999999</v>
      </c>
      <c r="X309" s="22">
        <f t="shared" si="18"/>
        <v>398.19276920009531</v>
      </c>
      <c r="Y309" s="22">
        <v>315.79073241925539</v>
      </c>
      <c r="Z309" s="22">
        <v>82.402036780839921</v>
      </c>
      <c r="AA309" s="371">
        <v>3210.8657063675573</v>
      </c>
      <c r="AB309" s="22">
        <v>0.12401414621932899</v>
      </c>
      <c r="AC309" s="24">
        <v>0</v>
      </c>
      <c r="AD309" s="384">
        <v>0</v>
      </c>
    </row>
    <row r="310" spans="1:30">
      <c r="A310" s="21" t="s">
        <v>607</v>
      </c>
      <c r="B310" s="21" t="s">
        <v>608</v>
      </c>
      <c r="C310" s="23">
        <v>1489.0751478319073</v>
      </c>
      <c r="D310" s="147">
        <v>283.28212400632646</v>
      </c>
      <c r="E310" s="22">
        <v>311.70077766684057</v>
      </c>
      <c r="F310" s="22">
        <v>594.98290167316702</v>
      </c>
      <c r="G310" s="22">
        <v>0</v>
      </c>
      <c r="H310" s="22">
        <v>80.462574207827458</v>
      </c>
      <c r="I310" s="22">
        <v>8.6622628908639019</v>
      </c>
      <c r="J310" s="22">
        <v>175.1746713614148</v>
      </c>
      <c r="K310" s="22">
        <v>5.6274561703988235</v>
      </c>
      <c r="L310" s="22">
        <v>0</v>
      </c>
      <c r="M310" s="388">
        <v>5250.7984700793795</v>
      </c>
      <c r="N310" s="25">
        <v>0.46389999999999998</v>
      </c>
      <c r="O310" s="24">
        <v>1547.5504468596764</v>
      </c>
      <c r="P310" s="24">
        <v>424.06901855505419</v>
      </c>
      <c r="Q310" s="24">
        <v>301.21964054947273</v>
      </c>
      <c r="R310" s="22">
        <v>122.84937800558146</v>
      </c>
      <c r="S310" s="24">
        <v>76.372619455412604</v>
      </c>
      <c r="T310" s="24">
        <f t="shared" si="16"/>
        <v>500.44163801046682</v>
      </c>
      <c r="U310" s="376">
        <v>2428.4899999999998</v>
      </c>
      <c r="V310" s="376">
        <v>262.54000000000002</v>
      </c>
      <c r="W310" s="22">
        <f t="shared" si="17"/>
        <v>1126.5765109999998</v>
      </c>
      <c r="X310" s="22">
        <f t="shared" si="18"/>
        <v>717.75188744774277</v>
      </c>
      <c r="Y310" s="22">
        <v>486.87544902825533</v>
      </c>
      <c r="Z310" s="22">
        <v>230.87643841948744</v>
      </c>
      <c r="AA310" s="371">
        <v>5288.6933579696906</v>
      </c>
      <c r="AB310" s="22">
        <v>0.13571440786336023</v>
      </c>
      <c r="AC310" s="24">
        <v>7.1440786336021689E-4</v>
      </c>
      <c r="AD310" s="384">
        <v>-34841.368542024415</v>
      </c>
    </row>
    <row r="311" spans="1:30">
      <c r="A311" s="21" t="s">
        <v>1253</v>
      </c>
      <c r="B311" s="21" t="s">
        <v>1254</v>
      </c>
      <c r="C311" s="23">
        <v>0</v>
      </c>
      <c r="D311" s="147">
        <v>0</v>
      </c>
      <c r="E311" s="22">
        <v>0</v>
      </c>
      <c r="F311" s="22">
        <v>0</v>
      </c>
      <c r="G311" s="22">
        <v>0</v>
      </c>
      <c r="H311" s="22">
        <v>0</v>
      </c>
      <c r="I311" s="22">
        <v>0</v>
      </c>
      <c r="J311" s="22">
        <v>0</v>
      </c>
      <c r="K311" s="22">
        <v>0</v>
      </c>
      <c r="L311" s="22">
        <v>0</v>
      </c>
      <c r="M311" s="388">
        <v>50</v>
      </c>
      <c r="N311" s="25">
        <v>0.60419999999999996</v>
      </c>
      <c r="O311" s="24">
        <v>48</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96.963079621746871</v>
      </c>
      <c r="D312" s="147">
        <v>0.1306373753842584</v>
      </c>
      <c r="E312" s="22">
        <v>18.711291766576089</v>
      </c>
      <c r="F312" s="22">
        <v>18.841929141960346</v>
      </c>
      <c r="G312" s="22">
        <v>0</v>
      </c>
      <c r="H312" s="22">
        <v>7.9085857251854899</v>
      </c>
      <c r="I312" s="22">
        <v>0.92451065656552101</v>
      </c>
      <c r="J312" s="22">
        <v>18.630899535570393</v>
      </c>
      <c r="K312" s="22">
        <v>0</v>
      </c>
      <c r="L312" s="22">
        <v>0</v>
      </c>
      <c r="M312" s="388">
        <v>325.69907489070761</v>
      </c>
      <c r="N312" s="25">
        <v>0.69669999999999999</v>
      </c>
      <c r="O312" s="24">
        <v>334.63266156121574</v>
      </c>
      <c r="P312" s="24">
        <v>0</v>
      </c>
      <c r="Q312" s="24">
        <v>0</v>
      </c>
      <c r="R312" s="22">
        <v>0</v>
      </c>
      <c r="S312" s="24">
        <v>0</v>
      </c>
      <c r="T312" s="24">
        <f t="shared" si="16"/>
        <v>0</v>
      </c>
      <c r="U312" s="376">
        <v>226.91</v>
      </c>
      <c r="V312" s="376">
        <v>16.28</v>
      </c>
      <c r="W312" s="22">
        <f t="shared" si="17"/>
        <v>158.08819700000001</v>
      </c>
      <c r="X312" s="22">
        <f t="shared" si="18"/>
        <v>60.796624698058721</v>
      </c>
      <c r="Y312" s="22">
        <v>40.196115502848741</v>
      </c>
      <c r="Z312" s="22">
        <v>20.60050919520998</v>
      </c>
      <c r="AA312" s="371">
        <v>325.69907489070766</v>
      </c>
      <c r="AB312" s="22">
        <v>0.18666502113479991</v>
      </c>
      <c r="AC312" s="24">
        <v>5.1665021134799899E-2</v>
      </c>
      <c r="AD312" s="384">
        <v>-152746.94021401062</v>
      </c>
    </row>
    <row r="313" spans="1:30">
      <c r="A313" s="21" t="s">
        <v>387</v>
      </c>
      <c r="B313" s="21" t="s">
        <v>388</v>
      </c>
      <c r="C313" s="23">
        <v>1292.8276629181239</v>
      </c>
      <c r="D313" s="147">
        <v>33.242187520855907</v>
      </c>
      <c r="E313" s="22">
        <v>291.85394563730898</v>
      </c>
      <c r="F313" s="22">
        <v>325.09613315816489</v>
      </c>
      <c r="G313" s="22">
        <v>0</v>
      </c>
      <c r="H313" s="22">
        <v>100.5304848726247</v>
      </c>
      <c r="I313" s="22">
        <v>6.3509862494501013</v>
      </c>
      <c r="J313" s="22">
        <v>47.029455138333027</v>
      </c>
      <c r="K313" s="22">
        <v>30.951008937193532</v>
      </c>
      <c r="L313" s="22">
        <v>0</v>
      </c>
      <c r="M313" s="388">
        <v>4162.096730713597</v>
      </c>
      <c r="N313" s="25">
        <v>0.29680000000000001</v>
      </c>
      <c r="O313" s="24">
        <v>27.132377964422901</v>
      </c>
      <c r="P313" s="24">
        <v>121.09079795233183</v>
      </c>
      <c r="Q313" s="24">
        <v>89.938808437624061</v>
      </c>
      <c r="R313" s="22">
        <v>31.151989514707772</v>
      </c>
      <c r="S313" s="24">
        <v>37.181406840135082</v>
      </c>
      <c r="T313" s="24">
        <f t="shared" si="16"/>
        <v>158.27220479246691</v>
      </c>
      <c r="U313" s="376">
        <v>1235.31</v>
      </c>
      <c r="V313" s="376">
        <v>0</v>
      </c>
      <c r="W313" s="22">
        <f t="shared" si="17"/>
        <v>366.64000799999997</v>
      </c>
      <c r="X313" s="22">
        <f t="shared" si="18"/>
        <v>568.77503436530969</v>
      </c>
      <c r="Y313" s="22">
        <v>342.6718846617855</v>
      </c>
      <c r="Z313" s="22">
        <v>226.10314970352417</v>
      </c>
      <c r="AA313" s="371">
        <v>4189.3999421689068</v>
      </c>
      <c r="AB313" s="22">
        <v>0.13576527479275408</v>
      </c>
      <c r="AC313" s="24">
        <v>7.6527479275406707E-4</v>
      </c>
      <c r="AD313" s="384">
        <v>-30401.012322674669</v>
      </c>
    </row>
    <row r="314" spans="1:30">
      <c r="A314" s="21" t="s">
        <v>267</v>
      </c>
      <c r="B314" s="21" t="s">
        <v>268</v>
      </c>
      <c r="C314" s="23">
        <v>301.52111141574414</v>
      </c>
      <c r="D314" s="147">
        <v>0</v>
      </c>
      <c r="E314" s="22">
        <v>58.203975248124976</v>
      </c>
      <c r="F314" s="22">
        <v>58.203975248124976</v>
      </c>
      <c r="G314" s="22">
        <v>0</v>
      </c>
      <c r="H314" s="22">
        <v>20.952225205859907</v>
      </c>
      <c r="I314" s="22">
        <v>5.0245144378560924E-2</v>
      </c>
      <c r="J314" s="22">
        <v>18.138497120660496</v>
      </c>
      <c r="K314" s="22">
        <v>0</v>
      </c>
      <c r="L314" s="22">
        <v>0</v>
      </c>
      <c r="M314" s="388">
        <v>1112.2868101370789</v>
      </c>
      <c r="N314" s="25">
        <v>0.43130000000000002</v>
      </c>
      <c r="O314" s="24">
        <v>18.088251976281931</v>
      </c>
      <c r="P314" s="24">
        <v>182.64109981606896</v>
      </c>
      <c r="Q314" s="24">
        <v>107.77583469201318</v>
      </c>
      <c r="R314" s="22">
        <v>74.865265124055782</v>
      </c>
      <c r="S314" s="24">
        <v>19.846832029531566</v>
      </c>
      <c r="T314" s="24">
        <f t="shared" si="16"/>
        <v>202.48793184560051</v>
      </c>
      <c r="U314" s="376">
        <v>480.29</v>
      </c>
      <c r="V314" s="376">
        <v>55.61</v>
      </c>
      <c r="W314" s="22">
        <f t="shared" si="17"/>
        <v>207.14907700000001</v>
      </c>
      <c r="X314" s="22">
        <f t="shared" si="18"/>
        <v>144.95724153214826</v>
      </c>
      <c r="Y314" s="22">
        <v>101.74641736658587</v>
      </c>
      <c r="Z314" s="22">
        <v>43.210824165562393</v>
      </c>
      <c r="AA314" s="371">
        <v>1112.2868101370789</v>
      </c>
      <c r="AB314" s="22">
        <v>0.13032361816309199</v>
      </c>
      <c r="AC314" s="24">
        <v>0</v>
      </c>
      <c r="AD314" s="384">
        <v>0</v>
      </c>
    </row>
    <row r="315" spans="1:30">
      <c r="A315" s="21" t="s">
        <v>307</v>
      </c>
      <c r="B315" s="21" t="s">
        <v>308</v>
      </c>
      <c r="C315" s="23">
        <v>53.56132390754594</v>
      </c>
      <c r="D315" s="147">
        <v>6.1399566430601453</v>
      </c>
      <c r="E315" s="22">
        <v>15.405161266466779</v>
      </c>
      <c r="F315" s="22">
        <v>21.545117909526923</v>
      </c>
      <c r="G315" s="22">
        <v>0</v>
      </c>
      <c r="H315" s="22">
        <v>4.3210824165562389</v>
      </c>
      <c r="I315" s="22">
        <v>0</v>
      </c>
      <c r="J315" s="22">
        <v>0</v>
      </c>
      <c r="K315" s="22">
        <v>0</v>
      </c>
      <c r="L315" s="22">
        <v>0</v>
      </c>
      <c r="M315" s="388">
        <v>221.18917458330088</v>
      </c>
      <c r="N315" s="25">
        <v>0.44269999999999998</v>
      </c>
      <c r="O315" s="24">
        <v>0</v>
      </c>
      <c r="P315" s="24">
        <v>0</v>
      </c>
      <c r="Q315" s="24">
        <v>0</v>
      </c>
      <c r="R315" s="22">
        <v>0</v>
      </c>
      <c r="S315" s="24">
        <v>0</v>
      </c>
      <c r="T315" s="24">
        <f t="shared" si="16"/>
        <v>0</v>
      </c>
      <c r="U315" s="376">
        <v>97.92</v>
      </c>
      <c r="V315" s="376">
        <v>11.06</v>
      </c>
      <c r="W315" s="22">
        <f t="shared" si="17"/>
        <v>43.349184000000001</v>
      </c>
      <c r="X315" s="22">
        <f t="shared" si="18"/>
        <v>40.44734122474155</v>
      </c>
      <c r="Y315" s="22">
        <v>30.147086627136556</v>
      </c>
      <c r="Z315" s="22">
        <v>10.30025459760499</v>
      </c>
      <c r="AA315" s="371">
        <v>221.18917458330091</v>
      </c>
      <c r="AB315" s="22">
        <v>0.18286311389759669</v>
      </c>
      <c r="AC315" s="24">
        <v>4.7863113897596676E-2</v>
      </c>
      <c r="AD315" s="384">
        <v>-95095.756618732587</v>
      </c>
    </row>
    <row r="316" spans="1:30">
      <c r="A316" s="21" t="s">
        <v>351</v>
      </c>
      <c r="B316" s="21" t="s">
        <v>352</v>
      </c>
      <c r="C316" s="23">
        <v>98.078521826950919</v>
      </c>
      <c r="D316" s="147">
        <v>6.3710843072015253</v>
      </c>
      <c r="E316" s="22">
        <v>24.529679485613443</v>
      </c>
      <c r="F316" s="22">
        <v>30.900763792814967</v>
      </c>
      <c r="G316" s="22">
        <v>0</v>
      </c>
      <c r="H316" s="22">
        <v>19.394625730124517</v>
      </c>
      <c r="I316" s="22">
        <v>0</v>
      </c>
      <c r="J316" s="22">
        <v>0</v>
      </c>
      <c r="K316" s="22">
        <v>0</v>
      </c>
      <c r="L316" s="22">
        <v>0</v>
      </c>
      <c r="M316" s="388">
        <v>360.33807742528757</v>
      </c>
      <c r="N316" s="25">
        <v>0.41570000000000001</v>
      </c>
      <c r="O316" s="24">
        <v>0</v>
      </c>
      <c r="P316" s="24">
        <v>8.0392231005697479</v>
      </c>
      <c r="Q316" s="24">
        <v>7.0343202129985292</v>
      </c>
      <c r="R316" s="22">
        <v>1.0049028875712185</v>
      </c>
      <c r="S316" s="24">
        <v>1.0049028875712185</v>
      </c>
      <c r="T316" s="24">
        <f t="shared" si="16"/>
        <v>9.0441259881409657</v>
      </c>
      <c r="U316" s="376">
        <v>149.79</v>
      </c>
      <c r="V316" s="376">
        <v>18.02</v>
      </c>
      <c r="W316" s="22">
        <f t="shared" si="17"/>
        <v>62.267702999999997</v>
      </c>
      <c r="X316" s="22">
        <f t="shared" si="18"/>
        <v>41.201018390419961</v>
      </c>
      <c r="Y316" s="22">
        <v>23.363992136030831</v>
      </c>
      <c r="Z316" s="22">
        <v>17.837026254389126</v>
      </c>
      <c r="AA316" s="371">
        <v>360.50891091617461</v>
      </c>
      <c r="AB316" s="22">
        <v>0.1142857142857143</v>
      </c>
      <c r="AC316" s="24">
        <v>0</v>
      </c>
      <c r="AD316" s="384">
        <v>0</v>
      </c>
    </row>
    <row r="317" spans="1:30">
      <c r="A317" s="21" t="s">
        <v>137</v>
      </c>
      <c r="B317" s="21" t="s">
        <v>138</v>
      </c>
      <c r="C317" s="23">
        <v>34.970620487478399</v>
      </c>
      <c r="D317" s="147">
        <v>3.0649538070922162</v>
      </c>
      <c r="E317" s="22">
        <v>10.611774492752067</v>
      </c>
      <c r="F317" s="22">
        <v>13.676728299844283</v>
      </c>
      <c r="G317" s="22">
        <v>0</v>
      </c>
      <c r="H317" s="22">
        <v>3.4267188466178551</v>
      </c>
      <c r="I317" s="22">
        <v>0.50245144378560924</v>
      </c>
      <c r="J317" s="22">
        <v>0</v>
      </c>
      <c r="K317" s="22">
        <v>0</v>
      </c>
      <c r="L317" s="22">
        <v>0</v>
      </c>
      <c r="M317" s="388">
        <v>113.35304571803344</v>
      </c>
      <c r="N317" s="25">
        <v>0.66439999999999999</v>
      </c>
      <c r="O317" s="24">
        <v>118.57854073340378</v>
      </c>
      <c r="P317" s="24">
        <v>2.2610314970352414</v>
      </c>
      <c r="Q317" s="24">
        <v>1.0049028875712185</v>
      </c>
      <c r="R317" s="22">
        <v>1.2561286094640232</v>
      </c>
      <c r="S317" s="24">
        <v>0.75367716567841381</v>
      </c>
      <c r="T317" s="24">
        <f t="shared" si="16"/>
        <v>3.0147086627136552</v>
      </c>
      <c r="U317" s="376">
        <v>75.31</v>
      </c>
      <c r="V317" s="376">
        <v>5.67</v>
      </c>
      <c r="W317" s="22">
        <f t="shared" si="17"/>
        <v>50.035964</v>
      </c>
      <c r="X317" s="22">
        <f t="shared" si="18"/>
        <v>15.575994757353886</v>
      </c>
      <c r="Y317" s="22">
        <v>14.571091869782668</v>
      </c>
      <c r="Z317" s="22">
        <v>1.0049028875712185</v>
      </c>
      <c r="AA317" s="371">
        <v>115.1317238290345</v>
      </c>
      <c r="AB317" s="22">
        <v>0.13528846993104651</v>
      </c>
      <c r="AC317" s="24">
        <v>2.8846993104650331E-4</v>
      </c>
      <c r="AD317" s="384">
        <v>-310.10701163826457</v>
      </c>
    </row>
    <row r="318" spans="1:30">
      <c r="A318" s="21" t="s">
        <v>281</v>
      </c>
      <c r="B318" s="21" t="s">
        <v>282</v>
      </c>
      <c r="C318" s="23">
        <v>227.3090331686096</v>
      </c>
      <c r="D318" s="147">
        <v>8.9034395838809957</v>
      </c>
      <c r="E318" s="22">
        <v>48.526760440814137</v>
      </c>
      <c r="F318" s="22">
        <v>57.430200024695132</v>
      </c>
      <c r="G318" s="22">
        <v>0</v>
      </c>
      <c r="H318" s="22">
        <v>9.1747633635252264</v>
      </c>
      <c r="I318" s="22">
        <v>0.3316179528985021</v>
      </c>
      <c r="J318" s="22">
        <v>0</v>
      </c>
      <c r="K318" s="22">
        <v>2.009805775142437</v>
      </c>
      <c r="L318" s="22">
        <v>0</v>
      </c>
      <c r="M318" s="388">
        <v>734.30263800604064</v>
      </c>
      <c r="N318" s="25">
        <v>0.91100000000000003</v>
      </c>
      <c r="O318" s="24">
        <v>739.60852525241683</v>
      </c>
      <c r="P318" s="24">
        <v>41.201018390419961</v>
      </c>
      <c r="Q318" s="24">
        <v>22.359089248459611</v>
      </c>
      <c r="R318" s="22">
        <v>18.841929141960346</v>
      </c>
      <c r="S318" s="24">
        <v>7.2855459348913341</v>
      </c>
      <c r="T318" s="24">
        <f t="shared" si="16"/>
        <v>48.486564325311292</v>
      </c>
      <c r="U318" s="376">
        <v>668.95</v>
      </c>
      <c r="V318" s="376">
        <v>36.72</v>
      </c>
      <c r="W318" s="22">
        <f t="shared" si="17"/>
        <v>609.41345000000001</v>
      </c>
      <c r="X318" s="22">
        <f t="shared" si="18"/>
        <v>115.56383207069013</v>
      </c>
      <c r="Y318" s="22">
        <v>63.308881916986763</v>
      </c>
      <c r="Z318" s="22">
        <v>52.254950153703362</v>
      </c>
      <c r="AA318" s="371">
        <v>734.90557973858358</v>
      </c>
      <c r="AB318" s="22">
        <v>0.15724990428266694</v>
      </c>
      <c r="AC318" s="24">
        <v>2.2249904282666932E-2</v>
      </c>
      <c r="AD318" s="384">
        <v>-151400.74940862635</v>
      </c>
    </row>
    <row r="319" spans="1:30">
      <c r="A319" s="21" t="s">
        <v>161</v>
      </c>
      <c r="B319" s="21" t="s">
        <v>162</v>
      </c>
      <c r="C319" s="23">
        <v>48.637299758446972</v>
      </c>
      <c r="D319" s="147">
        <v>4.2808863010533909</v>
      </c>
      <c r="E319" s="22">
        <v>6.8433886643599973</v>
      </c>
      <c r="F319" s="22">
        <v>11.124274965413388</v>
      </c>
      <c r="G319" s="22">
        <v>0</v>
      </c>
      <c r="H319" s="22">
        <v>0.9546577431926575</v>
      </c>
      <c r="I319" s="22">
        <v>0</v>
      </c>
      <c r="J319" s="22">
        <v>0</v>
      </c>
      <c r="K319" s="22">
        <v>0</v>
      </c>
      <c r="L319" s="22">
        <v>0</v>
      </c>
      <c r="M319" s="388">
        <v>157.24720384714425</v>
      </c>
      <c r="N319" s="25">
        <v>0.6774</v>
      </c>
      <c r="O319" s="24">
        <v>155.75994757353885</v>
      </c>
      <c r="P319" s="24">
        <v>0</v>
      </c>
      <c r="Q319" s="24">
        <v>0</v>
      </c>
      <c r="R319" s="22">
        <v>0</v>
      </c>
      <c r="S319" s="24">
        <v>0</v>
      </c>
      <c r="T319" s="24">
        <f t="shared" si="16"/>
        <v>0</v>
      </c>
      <c r="U319" s="376">
        <v>106.52</v>
      </c>
      <c r="V319" s="376">
        <v>0</v>
      </c>
      <c r="W319" s="22">
        <f t="shared" si="17"/>
        <v>72.156648000000004</v>
      </c>
      <c r="X319" s="22">
        <f t="shared" si="18"/>
        <v>18.590703420067541</v>
      </c>
      <c r="Y319" s="22">
        <v>15.575994757353886</v>
      </c>
      <c r="Z319" s="22">
        <v>3.0147086627136552</v>
      </c>
      <c r="AA319" s="371">
        <v>157.24720384714425</v>
      </c>
      <c r="AB319" s="22">
        <v>0.11822597137014317</v>
      </c>
      <c r="AC319" s="24">
        <v>0</v>
      </c>
      <c r="AD319" s="384">
        <v>0</v>
      </c>
    </row>
    <row r="320" spans="1:30">
      <c r="A320" s="21" t="s">
        <v>251</v>
      </c>
      <c r="B320" s="21" t="s">
        <v>252</v>
      </c>
      <c r="C320" s="23">
        <v>16.399999999999999</v>
      </c>
      <c r="D320" s="147">
        <v>0</v>
      </c>
      <c r="E320" s="22">
        <v>2.59</v>
      </c>
      <c r="F320" s="22">
        <v>2.59</v>
      </c>
      <c r="G320" s="22">
        <v>0</v>
      </c>
      <c r="H320" s="22">
        <v>4.45</v>
      </c>
      <c r="I320" s="22">
        <v>0.08</v>
      </c>
      <c r="J320" s="22">
        <v>0</v>
      </c>
      <c r="K320" s="22">
        <v>0</v>
      </c>
      <c r="L320" s="22">
        <v>0</v>
      </c>
      <c r="M320" s="388">
        <v>60.22</v>
      </c>
      <c r="N320" s="25">
        <v>0.91379999999999995</v>
      </c>
      <c r="O320" s="24">
        <v>58</v>
      </c>
      <c r="P320" s="24">
        <v>0</v>
      </c>
      <c r="Q320" s="24">
        <v>0</v>
      </c>
      <c r="R320" s="22">
        <v>0</v>
      </c>
      <c r="S320" s="24">
        <v>0</v>
      </c>
      <c r="T320" s="24">
        <f t="shared" si="16"/>
        <v>0</v>
      </c>
      <c r="U320" s="376">
        <v>55.03</v>
      </c>
      <c r="V320" s="376">
        <v>0</v>
      </c>
      <c r="W320" s="22">
        <f t="shared" si="17"/>
        <v>50.286414000000001</v>
      </c>
      <c r="X320" s="22">
        <f t="shared" si="18"/>
        <v>5.5</v>
      </c>
      <c r="Y320" s="22">
        <v>5.5</v>
      </c>
      <c r="Z320" s="22">
        <v>0</v>
      </c>
      <c r="AA320" s="371">
        <v>60.23</v>
      </c>
      <c r="AB320" s="22">
        <v>9.1316619624771708E-2</v>
      </c>
      <c r="AC320" s="24">
        <v>0</v>
      </c>
      <c r="AD320" s="384">
        <v>0</v>
      </c>
    </row>
    <row r="321" spans="1:30">
      <c r="A321" s="21" t="s">
        <v>85</v>
      </c>
      <c r="B321" s="21" t="s">
        <v>86</v>
      </c>
      <c r="C321" s="23">
        <v>684.46950381138402</v>
      </c>
      <c r="D321" s="147">
        <v>3.3563756444878696</v>
      </c>
      <c r="E321" s="22">
        <v>83.477282870541117</v>
      </c>
      <c r="F321" s="22">
        <v>86.833658515028986</v>
      </c>
      <c r="G321" s="22">
        <v>0</v>
      </c>
      <c r="H321" s="22">
        <v>47.270631831350116</v>
      </c>
      <c r="I321" s="22">
        <v>1.1254912340797647</v>
      </c>
      <c r="J321" s="22">
        <v>183.9273755121601</v>
      </c>
      <c r="K321" s="22">
        <v>1.8088251976281933</v>
      </c>
      <c r="L321" s="22">
        <v>0</v>
      </c>
      <c r="M321" s="388">
        <v>2361.1901678394647</v>
      </c>
      <c r="N321" s="25">
        <v>0.47249999999999998</v>
      </c>
      <c r="O321" s="24">
        <v>501.44654089803805</v>
      </c>
      <c r="P321" s="24">
        <v>209.77347778049187</v>
      </c>
      <c r="Q321" s="24">
        <v>146.2133701416123</v>
      </c>
      <c r="R321" s="22">
        <v>63.560107638879572</v>
      </c>
      <c r="S321" s="24">
        <v>26.127475076851681</v>
      </c>
      <c r="T321" s="24">
        <f t="shared" si="16"/>
        <v>235.90095285734355</v>
      </c>
      <c r="U321" s="376">
        <v>1115.6600000000001</v>
      </c>
      <c r="V321" s="376">
        <v>118.06</v>
      </c>
      <c r="W321" s="22">
        <f t="shared" si="17"/>
        <v>527.14935000000003</v>
      </c>
      <c r="X321" s="22">
        <f t="shared" si="18"/>
        <v>320.31279541332594</v>
      </c>
      <c r="Y321" s="22">
        <v>187.16316281013945</v>
      </c>
      <c r="Z321" s="22">
        <v>133.14963260318646</v>
      </c>
      <c r="AA321" s="371">
        <v>2386.9960739922935</v>
      </c>
      <c r="AB321" s="22">
        <v>0.13419075083671883</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131.03933653928689</v>
      </c>
      <c r="N322" s="25">
        <v>0</v>
      </c>
      <c r="O322" s="24">
        <v>0</v>
      </c>
      <c r="P322" s="24">
        <v>0</v>
      </c>
      <c r="Q322" s="24">
        <v>0</v>
      </c>
      <c r="R322" s="22">
        <v>0</v>
      </c>
      <c r="S322" s="24">
        <v>0</v>
      </c>
      <c r="T322" s="24">
        <f t="shared" si="16"/>
        <v>0</v>
      </c>
      <c r="U322" s="376">
        <v>0</v>
      </c>
      <c r="V322" s="376">
        <v>0</v>
      </c>
      <c r="W322" s="22">
        <f t="shared" si="17"/>
        <v>0</v>
      </c>
      <c r="X322" s="22">
        <f t="shared" si="18"/>
        <v>17.585800532496325</v>
      </c>
      <c r="Y322" s="22">
        <v>16.580897644925106</v>
      </c>
      <c r="Z322" s="22">
        <v>1.0049028875712185</v>
      </c>
      <c r="AA322" s="371">
        <v>131.03933653928689</v>
      </c>
      <c r="AB322" s="22">
        <v>0.13420245398773006</v>
      </c>
      <c r="AC322" s="24">
        <v>0</v>
      </c>
      <c r="AD322" s="384">
        <v>0</v>
      </c>
    </row>
    <row r="323" spans="1:30">
      <c r="A323" s="21" t="s">
        <v>585</v>
      </c>
      <c r="B323" s="21" t="s">
        <v>586</v>
      </c>
      <c r="C323" s="23">
        <v>4395.0935142258595</v>
      </c>
      <c r="D323" s="147">
        <v>269.52500347547647</v>
      </c>
      <c r="E323" s="22">
        <v>1071.7791747390829</v>
      </c>
      <c r="F323" s="22">
        <v>1341.3041782145594</v>
      </c>
      <c r="G323" s="22">
        <v>450.47786644042577</v>
      </c>
      <c r="H323" s="22">
        <v>143.55037748954857</v>
      </c>
      <c r="I323" s="22">
        <v>15.455406410845342</v>
      </c>
      <c r="J323" s="22">
        <v>357.21282944494101</v>
      </c>
      <c r="K323" s="22">
        <v>47.02945513833302</v>
      </c>
      <c r="L323" s="22">
        <v>0</v>
      </c>
      <c r="M323" s="388">
        <v>15712.008363186651</v>
      </c>
      <c r="N323" s="25">
        <v>0.8538</v>
      </c>
      <c r="O323" s="24">
        <v>15819.181256146121</v>
      </c>
      <c r="P323" s="24">
        <v>4625.8192172122108</v>
      </c>
      <c r="Q323" s="24">
        <v>2897.1350248678227</v>
      </c>
      <c r="R323" s="22">
        <v>1728.6841923443885</v>
      </c>
      <c r="S323" s="24">
        <v>693.88544386792637</v>
      </c>
      <c r="T323" s="24">
        <f t="shared" si="16"/>
        <v>5319.7046610801372</v>
      </c>
      <c r="U323" s="376">
        <v>13414.91</v>
      </c>
      <c r="V323" s="376">
        <v>785.6</v>
      </c>
      <c r="W323" s="22">
        <f t="shared" si="17"/>
        <v>11453.650158</v>
      </c>
      <c r="X323" s="22">
        <f t="shared" si="18"/>
        <v>1942.4772816751652</v>
      </c>
      <c r="Y323" s="22">
        <v>1057.4090634468146</v>
      </c>
      <c r="Z323" s="22">
        <v>885.0682182283507</v>
      </c>
      <c r="AA323" s="371">
        <v>15416.044364739175</v>
      </c>
      <c r="AB323" s="22">
        <v>0.12600361258158782</v>
      </c>
      <c r="AC323" s="24">
        <v>0</v>
      </c>
      <c r="AD323" s="384">
        <v>0</v>
      </c>
    </row>
    <row r="324" spans="1:30">
      <c r="A324" s="21" t="s">
        <v>507</v>
      </c>
      <c r="B324" s="21" t="s">
        <v>508</v>
      </c>
      <c r="C324" s="23">
        <v>1623.3804187558007</v>
      </c>
      <c r="D324" s="147">
        <v>35.422826786885452</v>
      </c>
      <c r="E324" s="22">
        <v>406.48321802255788</v>
      </c>
      <c r="F324" s="22">
        <v>441.9060448094433</v>
      </c>
      <c r="G324" s="22">
        <v>0</v>
      </c>
      <c r="H324" s="22">
        <v>99.445189754047774</v>
      </c>
      <c r="I324" s="22">
        <v>12.842658903160171</v>
      </c>
      <c r="J324" s="22">
        <v>81.085613998121616</v>
      </c>
      <c r="K324" s="22">
        <v>17.887271398767691</v>
      </c>
      <c r="L324" s="22">
        <v>0</v>
      </c>
      <c r="M324" s="388">
        <v>5386.7216346522628</v>
      </c>
      <c r="N324" s="25">
        <v>0.46560000000000001</v>
      </c>
      <c r="O324" s="24">
        <v>525.56421019974732</v>
      </c>
      <c r="P324" s="24">
        <v>183.14355125985458</v>
      </c>
      <c r="Q324" s="24">
        <v>109.03196330147721</v>
      </c>
      <c r="R324" s="22">
        <v>74.111587958377356</v>
      </c>
      <c r="S324" s="24">
        <v>19.595606307638761</v>
      </c>
      <c r="T324" s="24">
        <f t="shared" si="16"/>
        <v>202.73915756749335</v>
      </c>
      <c r="U324" s="376">
        <v>2508.06</v>
      </c>
      <c r="V324" s="376">
        <v>269.33999999999997</v>
      </c>
      <c r="W324" s="22">
        <f t="shared" si="17"/>
        <v>1167.7527359999999</v>
      </c>
      <c r="X324" s="22">
        <f t="shared" si="18"/>
        <v>753.17471423462825</v>
      </c>
      <c r="Y324" s="22">
        <v>577.0654831877722</v>
      </c>
      <c r="Z324" s="22">
        <v>176.10923104685605</v>
      </c>
      <c r="AA324" s="371">
        <v>5396.5998300370875</v>
      </c>
      <c r="AB324" s="22">
        <v>0.13956467738121175</v>
      </c>
      <c r="AC324" s="24">
        <v>4.5646773812117458E-3</v>
      </c>
      <c r="AD324" s="384">
        <v>-223714.31686922221</v>
      </c>
    </row>
    <row r="325" spans="1:30">
      <c r="A325" s="21" t="s">
        <v>603</v>
      </c>
      <c r="B325" s="21" t="s">
        <v>604</v>
      </c>
      <c r="C325" s="23">
        <v>353.06258051927188</v>
      </c>
      <c r="D325" s="147">
        <v>0</v>
      </c>
      <c r="E325" s="22">
        <v>46.547101752298843</v>
      </c>
      <c r="F325" s="22">
        <v>46.547101752298843</v>
      </c>
      <c r="G325" s="22">
        <v>0</v>
      </c>
      <c r="H325" s="22">
        <v>14.370111292268424</v>
      </c>
      <c r="I325" s="22">
        <v>1.0049028875712185</v>
      </c>
      <c r="J325" s="22">
        <v>0</v>
      </c>
      <c r="K325" s="22">
        <v>0</v>
      </c>
      <c r="L325" s="22">
        <v>0</v>
      </c>
      <c r="M325" s="388">
        <v>1258.0379249504083</v>
      </c>
      <c r="N325" s="25">
        <v>0.58030000000000004</v>
      </c>
      <c r="O325" s="24">
        <v>1266.1776383397353</v>
      </c>
      <c r="P325" s="24">
        <v>142.69621003511304</v>
      </c>
      <c r="Q325" s="24">
        <v>104.76112602929953</v>
      </c>
      <c r="R325" s="22">
        <v>37.935084005813501</v>
      </c>
      <c r="S325" s="24">
        <v>7.0343202129985292</v>
      </c>
      <c r="T325" s="24">
        <f t="shared" si="16"/>
        <v>149.73053024811156</v>
      </c>
      <c r="U325" s="376">
        <v>730.04</v>
      </c>
      <c r="V325" s="376">
        <v>0</v>
      </c>
      <c r="W325" s="22">
        <f t="shared" si="17"/>
        <v>423.64221200000003</v>
      </c>
      <c r="X325" s="22">
        <f t="shared" si="18"/>
        <v>128.87879533100877</v>
      </c>
      <c r="Y325" s="22">
        <v>98.982934425765023</v>
      </c>
      <c r="Z325" s="22">
        <v>29.895860905243751</v>
      </c>
      <c r="AA325" s="371">
        <v>1264.7707742971354</v>
      </c>
      <c r="AB325" s="22">
        <v>0.10189893532496426</v>
      </c>
      <c r="AC325" s="24">
        <v>0</v>
      </c>
      <c r="AD325" s="384">
        <v>0</v>
      </c>
    </row>
  </sheetData>
  <autoFilter ref="A7:AE7" xr:uid="{00000000-0001-0000-1800-000000000000}"/>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5" tint="0.59999389629810485"/>
  </sheetPr>
  <dimension ref="A1:AE325"/>
  <sheetViews>
    <sheetView workbookViewId="0">
      <pane ySplit="7" topLeftCell="A8"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Q1+1</f>
        <v>18</v>
      </c>
      <c r="S1" s="389">
        <f t="shared" ref="S1:AD1" si="1">R1+1</f>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1364</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302943.97099443368</v>
      </c>
      <c r="D6" s="16">
        <f t="shared" si="2"/>
        <v>11961.768304966894</v>
      </c>
      <c r="E6" s="16">
        <f t="shared" si="2"/>
        <v>60271.485365591026</v>
      </c>
      <c r="F6" s="16">
        <f t="shared" si="2"/>
        <v>72233.253670557984</v>
      </c>
      <c r="G6" s="16">
        <f t="shared" si="2"/>
        <v>4722.6120686585764</v>
      </c>
      <c r="H6" s="16">
        <f t="shared" si="2"/>
        <v>21074.643475855941</v>
      </c>
      <c r="I6" s="16">
        <f t="shared" si="2"/>
        <v>1362.8490473864149</v>
      </c>
      <c r="J6" s="16">
        <f t="shared" si="2"/>
        <v>49562.11195316365</v>
      </c>
      <c r="K6" s="16">
        <f t="shared" si="2"/>
        <v>3796.9049044009871</v>
      </c>
      <c r="L6" s="16">
        <f t="shared" si="2"/>
        <v>49.809942305089002</v>
      </c>
      <c r="M6" s="386">
        <f t="shared" si="2"/>
        <v>1068327.553732252</v>
      </c>
      <c r="N6" s="385">
        <f>AVERAGE(N7:N325)</f>
        <v>0.53765283018867871</v>
      </c>
      <c r="O6" s="16">
        <f t="shared" ref="O6:AD6" si="3">SUM(O8:O325)</f>
        <v>447839.76420232345</v>
      </c>
      <c r="P6" s="16">
        <f t="shared" si="3"/>
        <v>128731.56461469203</v>
      </c>
      <c r="Q6" s="16">
        <f t="shared" si="3"/>
        <v>83876.510068894742</v>
      </c>
      <c r="R6" s="16">
        <f t="shared" si="3"/>
        <v>44855.054545797298</v>
      </c>
      <c r="S6" s="28">
        <f t="shared" si="3"/>
        <v>22813.138909150319</v>
      </c>
      <c r="T6" s="28">
        <f t="shared" si="3"/>
        <v>151544.70352384224</v>
      </c>
      <c r="U6" s="16">
        <f t="shared" si="3"/>
        <v>491653.94999999995</v>
      </c>
      <c r="V6" s="16">
        <f t="shared" si="3"/>
        <v>46998.290000000008</v>
      </c>
      <c r="W6" s="28">
        <f t="shared" si="3"/>
        <v>269117.9988099999</v>
      </c>
      <c r="X6" s="28">
        <f t="shared" si="3"/>
        <v>137605.36546246806</v>
      </c>
      <c r="Y6" s="28">
        <f t="shared" si="3"/>
        <v>86022.79219255221</v>
      </c>
      <c r="Z6" s="28">
        <f t="shared" si="3"/>
        <v>51582.573269915825</v>
      </c>
      <c r="AA6" s="370">
        <f t="shared" si="3"/>
        <v>1069419.3598550649</v>
      </c>
      <c r="AB6" s="245">
        <f t="shared" si="3"/>
        <v>42.692500644765786</v>
      </c>
      <c r="AC6" s="245">
        <f t="shared" si="3"/>
        <v>4.3544101765149694</v>
      </c>
      <c r="AD6" s="382">
        <f t="shared" si="3"/>
        <v>-47522695.1306279</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850.54021409150164</v>
      </c>
      <c r="D8" s="147">
        <v>60.660927111709448</v>
      </c>
      <c r="E8" s="22">
        <v>265.96477773928711</v>
      </c>
      <c r="F8" s="22">
        <v>326.62570485099656</v>
      </c>
      <c r="G8" s="22">
        <v>21.239369704895616</v>
      </c>
      <c r="H8" s="22">
        <v>53.048141663505852</v>
      </c>
      <c r="I8" s="22">
        <v>1.4280258040223377</v>
      </c>
      <c r="J8" s="22">
        <v>110.09877818617292</v>
      </c>
      <c r="K8" s="22">
        <v>10.659910931434352</v>
      </c>
      <c r="L8" s="22">
        <v>0</v>
      </c>
      <c r="M8" s="388">
        <v>3133.2595748607014</v>
      </c>
      <c r="N8" s="25">
        <v>0.72529999999999994</v>
      </c>
      <c r="O8" s="24">
        <v>3148.6963326717882</v>
      </c>
      <c r="P8" s="24">
        <v>407.28904973876536</v>
      </c>
      <c r="Q8" s="24">
        <v>255.43560156455899</v>
      </c>
      <c r="R8" s="22">
        <v>151.85344817420633</v>
      </c>
      <c r="S8" s="24">
        <v>72.4069421757805</v>
      </c>
      <c r="T8" s="24">
        <f>S8+P8</f>
        <v>479.69599191454586</v>
      </c>
      <c r="U8" s="376">
        <v>2272.87</v>
      </c>
      <c r="V8" s="376">
        <v>156.66</v>
      </c>
      <c r="W8" s="22">
        <f>U8*N8</f>
        <v>1648.5126109999999</v>
      </c>
      <c r="X8" s="22">
        <f>Y8+Z8</f>
        <v>483.2157738258685</v>
      </c>
      <c r="Y8" s="22">
        <v>270.01755519718148</v>
      </c>
      <c r="Z8" s="22">
        <v>213.19821862868704</v>
      </c>
      <c r="AA8" s="371">
        <v>3128.2815975861167</v>
      </c>
      <c r="AB8" s="22">
        <v>0.15446684026103449</v>
      </c>
      <c r="AC8" s="24">
        <v>1.9466840261034485E-2</v>
      </c>
      <c r="AD8" s="384">
        <v>-557944.51099436521</v>
      </c>
    </row>
    <row r="9" spans="1:31">
      <c r="A9" s="21" t="s">
        <v>279</v>
      </c>
      <c r="B9" s="21" t="s">
        <v>280</v>
      </c>
      <c r="C9" s="23">
        <v>165.83201062203062</v>
      </c>
      <c r="D9" s="147">
        <v>19.047048400128929</v>
      </c>
      <c r="E9" s="22">
        <v>32.301541426195413</v>
      </c>
      <c r="F9" s="22">
        <v>51.348589826324343</v>
      </c>
      <c r="G9" s="22">
        <v>0</v>
      </c>
      <c r="H9" s="22">
        <v>12.600819242535135</v>
      </c>
      <c r="I9" s="22">
        <v>2.1621517455267787</v>
      </c>
      <c r="J9" s="22">
        <v>0.80452157973089455</v>
      </c>
      <c r="K9" s="22">
        <v>0.20113039493272364</v>
      </c>
      <c r="L9" s="22">
        <v>0</v>
      </c>
      <c r="M9" s="388">
        <v>619.99449889986727</v>
      </c>
      <c r="N9" s="25">
        <v>0.2676</v>
      </c>
      <c r="O9" s="24">
        <v>0</v>
      </c>
      <c r="P9" s="24">
        <v>0</v>
      </c>
      <c r="Q9" s="24">
        <v>0</v>
      </c>
      <c r="R9" s="22">
        <v>0</v>
      </c>
      <c r="S9" s="24">
        <v>0</v>
      </c>
      <c r="T9" s="24">
        <f t="shared" ref="T9:T72" si="4">S9+P9</f>
        <v>0</v>
      </c>
      <c r="U9" s="376">
        <v>165.91</v>
      </c>
      <c r="V9" s="376">
        <v>31</v>
      </c>
      <c r="W9" s="22">
        <f t="shared" ref="W9:W72" si="5">U9*N9</f>
        <v>44.397516000000003</v>
      </c>
      <c r="X9" s="22">
        <f t="shared" ref="X9:X72" si="6">Y9+Z9</f>
        <v>73.412594150444122</v>
      </c>
      <c r="Y9" s="22">
        <v>46.259990834526434</v>
      </c>
      <c r="Z9" s="22">
        <v>27.152603315917688</v>
      </c>
      <c r="AA9" s="371">
        <v>627.44638003212458</v>
      </c>
      <c r="AB9" s="22">
        <v>0.11700217976663675</v>
      </c>
      <c r="AC9" s="24">
        <v>0</v>
      </c>
      <c r="AD9" s="384">
        <v>0</v>
      </c>
    </row>
    <row r="10" spans="1:31">
      <c r="A10" s="21" t="s">
        <v>301</v>
      </c>
      <c r="B10" s="21" t="s">
        <v>302</v>
      </c>
      <c r="C10" s="23">
        <v>37.799999999999997</v>
      </c>
      <c r="D10" s="147">
        <v>0</v>
      </c>
      <c r="E10" s="22">
        <v>3.36</v>
      </c>
      <c r="F10" s="22">
        <v>3.36</v>
      </c>
      <c r="G10" s="22">
        <v>0</v>
      </c>
      <c r="H10" s="22">
        <v>0</v>
      </c>
      <c r="I10" s="22">
        <v>0</v>
      </c>
      <c r="J10" s="22">
        <v>0</v>
      </c>
      <c r="K10" s="22">
        <v>0</v>
      </c>
      <c r="L10" s="22">
        <v>0</v>
      </c>
      <c r="M10" s="388">
        <v>95.25</v>
      </c>
      <c r="N10" s="25">
        <v>0.37959999999999999</v>
      </c>
      <c r="O10" s="24">
        <v>0</v>
      </c>
      <c r="P10" s="24">
        <v>0</v>
      </c>
      <c r="Q10" s="24">
        <v>0</v>
      </c>
      <c r="R10" s="22">
        <v>0</v>
      </c>
      <c r="S10" s="24">
        <v>0</v>
      </c>
      <c r="T10" s="24">
        <f t="shared" si="4"/>
        <v>0</v>
      </c>
      <c r="U10" s="376">
        <v>36.159999999999997</v>
      </c>
      <c r="V10" s="376">
        <v>0</v>
      </c>
      <c r="W10" s="22">
        <f t="shared" si="5"/>
        <v>13.726335999999998</v>
      </c>
      <c r="X10" s="22">
        <f t="shared" si="6"/>
        <v>9</v>
      </c>
      <c r="Y10" s="22">
        <v>9</v>
      </c>
      <c r="Z10" s="22">
        <v>0</v>
      </c>
      <c r="AA10" s="371">
        <v>95.26</v>
      </c>
      <c r="AB10" s="22">
        <v>9.4478269997900474E-2</v>
      </c>
      <c r="AC10" s="24">
        <v>0</v>
      </c>
      <c r="AD10" s="384">
        <v>0</v>
      </c>
    </row>
    <row r="11" spans="1:31">
      <c r="A11" s="21" t="s">
        <v>407</v>
      </c>
      <c r="B11" s="21" t="s">
        <v>408</v>
      </c>
      <c r="C11" s="23">
        <v>734.55837185354653</v>
      </c>
      <c r="D11" s="147">
        <v>7.6731245666834065</v>
      </c>
      <c r="E11" s="22">
        <v>111.83855610234096</v>
      </c>
      <c r="F11" s="22">
        <v>119.51168066902437</v>
      </c>
      <c r="G11" s="22">
        <v>0</v>
      </c>
      <c r="H11" s="22">
        <v>37.088444825594237</v>
      </c>
      <c r="I11" s="22">
        <v>1.7900605149012403</v>
      </c>
      <c r="J11" s="22">
        <v>107.52430913103404</v>
      </c>
      <c r="K11" s="22">
        <v>5.4305206631835379</v>
      </c>
      <c r="L11" s="22">
        <v>0.20113039493272364</v>
      </c>
      <c r="M11" s="388">
        <v>2524.4680389585869</v>
      </c>
      <c r="N11" s="25">
        <v>0.28989999999999999</v>
      </c>
      <c r="O11" s="24">
        <v>57.322162555826232</v>
      </c>
      <c r="P11" s="24">
        <v>48.271294783853669</v>
      </c>
      <c r="Q11" s="24">
        <v>29.918146246242639</v>
      </c>
      <c r="R11" s="22">
        <v>18.35314853761103</v>
      </c>
      <c r="S11" s="24">
        <v>16.09043159461789</v>
      </c>
      <c r="T11" s="24">
        <f t="shared" si="4"/>
        <v>64.361726378471559</v>
      </c>
      <c r="U11" s="376">
        <v>731.34</v>
      </c>
      <c r="V11" s="376">
        <v>126.22</v>
      </c>
      <c r="W11" s="22">
        <f t="shared" si="5"/>
        <v>212.015466</v>
      </c>
      <c r="X11" s="22">
        <f t="shared" si="6"/>
        <v>274.79440207683365</v>
      </c>
      <c r="Y11" s="22">
        <v>162.41279390817434</v>
      </c>
      <c r="Z11" s="22">
        <v>112.38160816865933</v>
      </c>
      <c r="AA11" s="371">
        <v>2548.9858341008862</v>
      </c>
      <c r="AB11" s="22">
        <v>0.1078053861267389</v>
      </c>
      <c r="AC11" s="24">
        <v>0</v>
      </c>
      <c r="AD11" s="384">
        <v>0</v>
      </c>
    </row>
    <row r="12" spans="1:31">
      <c r="A12" s="21" t="s">
        <v>431</v>
      </c>
      <c r="B12" s="21" t="s">
        <v>432</v>
      </c>
      <c r="C12" s="23">
        <v>1455.0677856210425</v>
      </c>
      <c r="D12" s="147">
        <v>31.245606852798616</v>
      </c>
      <c r="E12" s="22">
        <v>349.87637850521941</v>
      </c>
      <c r="F12" s="22">
        <v>381.12198535801804</v>
      </c>
      <c r="G12" s="22">
        <v>0</v>
      </c>
      <c r="H12" s="22">
        <v>69.601173166468996</v>
      </c>
      <c r="I12" s="22">
        <v>3.8516470629616575</v>
      </c>
      <c r="J12" s="22">
        <v>217.89461335036611</v>
      </c>
      <c r="K12" s="22">
        <v>32.784254374033949</v>
      </c>
      <c r="L12" s="22">
        <v>0</v>
      </c>
      <c r="M12" s="388">
        <v>5385.1858721657027</v>
      </c>
      <c r="N12" s="25">
        <v>0.32919999999999999</v>
      </c>
      <c r="O12" s="24">
        <v>0</v>
      </c>
      <c r="P12" s="24">
        <v>271.27462016551101</v>
      </c>
      <c r="Q12" s="24">
        <v>154.61899110453129</v>
      </c>
      <c r="R12" s="22">
        <v>116.65562906097971</v>
      </c>
      <c r="S12" s="24">
        <v>60.087705486151179</v>
      </c>
      <c r="T12" s="24">
        <f t="shared" si="4"/>
        <v>331.36232565166222</v>
      </c>
      <c r="U12" s="376">
        <v>1772.8</v>
      </c>
      <c r="V12" s="376">
        <v>269.26</v>
      </c>
      <c r="W12" s="22">
        <f t="shared" si="5"/>
        <v>583.60575999999992</v>
      </c>
      <c r="X12" s="22">
        <f t="shared" si="6"/>
        <v>788.68256112994254</v>
      </c>
      <c r="Y12" s="22">
        <v>476.9304489842209</v>
      </c>
      <c r="Z12" s="22">
        <v>311.75211214572164</v>
      </c>
      <c r="AA12" s="371">
        <v>5433.5577321470228</v>
      </c>
      <c r="AB12" s="22">
        <v>0.14515030482952127</v>
      </c>
      <c r="AC12" s="24">
        <v>1.0150304829521256E-2</v>
      </c>
      <c r="AD12" s="384">
        <v>-560096.81496697536</v>
      </c>
    </row>
    <row r="13" spans="1:31">
      <c r="A13" s="21" t="s">
        <v>15</v>
      </c>
      <c r="B13" s="21" t="s">
        <v>16</v>
      </c>
      <c r="C13" s="23">
        <v>211.58917546922527</v>
      </c>
      <c r="D13" s="147">
        <v>4.7466773204122772</v>
      </c>
      <c r="E13" s="22">
        <v>44.278856444439107</v>
      </c>
      <c r="F13" s="22">
        <v>49.025533764851382</v>
      </c>
      <c r="G13" s="22">
        <v>0</v>
      </c>
      <c r="H13" s="22">
        <v>13.083532190373671</v>
      </c>
      <c r="I13" s="22">
        <v>0.75423898099771358</v>
      </c>
      <c r="J13" s="22">
        <v>0</v>
      </c>
      <c r="K13" s="22">
        <v>0</v>
      </c>
      <c r="L13" s="22">
        <v>0</v>
      </c>
      <c r="M13" s="388">
        <v>610.50114425904269</v>
      </c>
      <c r="N13" s="25">
        <v>0.31240000000000001</v>
      </c>
      <c r="O13" s="24">
        <v>0</v>
      </c>
      <c r="P13" s="24">
        <v>0</v>
      </c>
      <c r="Q13" s="24">
        <v>0</v>
      </c>
      <c r="R13" s="22">
        <v>0</v>
      </c>
      <c r="S13" s="24">
        <v>0</v>
      </c>
      <c r="T13" s="24">
        <f t="shared" si="4"/>
        <v>0</v>
      </c>
      <c r="U13" s="376">
        <v>190.72</v>
      </c>
      <c r="V13" s="376">
        <v>30.53</v>
      </c>
      <c r="W13" s="22">
        <f t="shared" si="5"/>
        <v>59.580928</v>
      </c>
      <c r="X13" s="22">
        <f t="shared" si="6"/>
        <v>83.469113897080291</v>
      </c>
      <c r="Y13" s="22">
        <v>45.254338859862813</v>
      </c>
      <c r="Z13" s="22">
        <v>38.214775037217485</v>
      </c>
      <c r="AA13" s="371">
        <v>610.50114425904269</v>
      </c>
      <c r="AB13" s="22">
        <v>0.13672228902762446</v>
      </c>
      <c r="AC13" s="24">
        <v>1.7222890276244462E-3</v>
      </c>
      <c r="AD13" s="384">
        <v>-9813.5824804357635</v>
      </c>
    </row>
    <row r="14" spans="1:31">
      <c r="A14" s="21" t="s">
        <v>205</v>
      </c>
      <c r="B14" s="21" t="s">
        <v>206</v>
      </c>
      <c r="C14" s="23">
        <v>4938.9881475272005</v>
      </c>
      <c r="D14" s="147">
        <v>218.1058002650455</v>
      </c>
      <c r="E14" s="22">
        <v>762.24397071603607</v>
      </c>
      <c r="F14" s="22">
        <v>980.34977098108152</v>
      </c>
      <c r="G14" s="22">
        <v>0</v>
      </c>
      <c r="H14" s="22">
        <v>393.66246548207329</v>
      </c>
      <c r="I14" s="22">
        <v>30.6019895890139</v>
      </c>
      <c r="J14" s="22">
        <v>59.534596900086193</v>
      </c>
      <c r="K14" s="22">
        <v>48.080220908667584</v>
      </c>
      <c r="L14" s="22">
        <v>5.3902945841969938</v>
      </c>
      <c r="M14" s="388">
        <v>16880.803651065267</v>
      </c>
      <c r="N14" s="25">
        <v>0.56840000000000002</v>
      </c>
      <c r="O14" s="24">
        <v>11072.228241046436</v>
      </c>
      <c r="P14" s="24">
        <v>4032.4130054074431</v>
      </c>
      <c r="Q14" s="24">
        <v>2694.141640123833</v>
      </c>
      <c r="R14" s="22">
        <v>1338.2713652836098</v>
      </c>
      <c r="S14" s="24">
        <v>509.61413816078846</v>
      </c>
      <c r="T14" s="24">
        <f t="shared" si="4"/>
        <v>4542.0271435682316</v>
      </c>
      <c r="U14" s="376">
        <v>9593.36</v>
      </c>
      <c r="V14" s="376">
        <v>844.04</v>
      </c>
      <c r="W14" s="22">
        <f t="shared" si="5"/>
        <v>5452.8658240000004</v>
      </c>
      <c r="X14" s="22">
        <f t="shared" si="6"/>
        <v>1756.3711737500089</v>
      </c>
      <c r="Y14" s="22">
        <v>986.79600013867525</v>
      </c>
      <c r="Z14" s="22">
        <v>769.57517361133375</v>
      </c>
      <c r="AA14" s="371">
        <v>16901.620646940806</v>
      </c>
      <c r="AB14" s="22">
        <v>0.1039173231040369</v>
      </c>
      <c r="AC14" s="24">
        <v>0</v>
      </c>
      <c r="AD14" s="384">
        <v>0</v>
      </c>
    </row>
    <row r="15" spans="1:31">
      <c r="A15" s="21" t="s">
        <v>229</v>
      </c>
      <c r="B15" s="21" t="s">
        <v>230</v>
      </c>
      <c r="C15" s="23">
        <v>874.71608756241494</v>
      </c>
      <c r="D15" s="147">
        <v>49.88033794331546</v>
      </c>
      <c r="E15" s="22">
        <v>277.23813637526627</v>
      </c>
      <c r="F15" s="22">
        <v>327.11847431858172</v>
      </c>
      <c r="G15" s="22">
        <v>0</v>
      </c>
      <c r="H15" s="22">
        <v>63.185113568115121</v>
      </c>
      <c r="I15" s="22">
        <v>1.6794387976882421</v>
      </c>
      <c r="J15" s="22">
        <v>98.332650082608581</v>
      </c>
      <c r="K15" s="22">
        <v>0</v>
      </c>
      <c r="L15" s="22">
        <v>0</v>
      </c>
      <c r="M15" s="388">
        <v>3618.1749005237516</v>
      </c>
      <c r="N15" s="25">
        <v>6.9800000000000001E-2</v>
      </c>
      <c r="O15" s="24">
        <v>0</v>
      </c>
      <c r="P15" s="24">
        <v>38.969014018215205</v>
      </c>
      <c r="Q15" s="24">
        <v>22.375756436265505</v>
      </c>
      <c r="R15" s="22">
        <v>16.5932575819497</v>
      </c>
      <c r="S15" s="24">
        <v>8.0452157973089449</v>
      </c>
      <c r="T15" s="24">
        <f t="shared" si="4"/>
        <v>47.014229815524146</v>
      </c>
      <c r="U15" s="376">
        <v>252.19</v>
      </c>
      <c r="V15" s="376">
        <v>180.91</v>
      </c>
      <c r="W15" s="22">
        <f t="shared" si="5"/>
        <v>17.602862000000002</v>
      </c>
      <c r="X15" s="22">
        <f t="shared" si="6"/>
        <v>424.38513330804687</v>
      </c>
      <c r="Y15" s="22">
        <v>282.83961787414262</v>
      </c>
      <c r="Z15" s="22">
        <v>141.54551543390426</v>
      </c>
      <c r="AA15" s="371">
        <v>3625.6971772942356</v>
      </c>
      <c r="AB15" s="22">
        <v>0.11704924944249055</v>
      </c>
      <c r="AC15" s="24">
        <v>0</v>
      </c>
      <c r="AD15" s="384">
        <v>0</v>
      </c>
    </row>
    <row r="16" spans="1:31">
      <c r="A16" s="21" t="s">
        <v>69</v>
      </c>
      <c r="B16" s="21" t="s">
        <v>70</v>
      </c>
      <c r="C16" s="23">
        <v>2940.4459217584463</v>
      </c>
      <c r="D16" s="147">
        <v>73.714289742843206</v>
      </c>
      <c r="E16" s="22">
        <v>894.16539675240938</v>
      </c>
      <c r="F16" s="22">
        <v>967.8796864952526</v>
      </c>
      <c r="G16" s="22">
        <v>0</v>
      </c>
      <c r="H16" s="22">
        <v>300.52903610847562</v>
      </c>
      <c r="I16" s="22">
        <v>5.3500685052104489</v>
      </c>
      <c r="J16" s="22">
        <v>1631.5898767337471</v>
      </c>
      <c r="K16" s="22">
        <v>16.894953174348785</v>
      </c>
      <c r="L16" s="22">
        <v>0</v>
      </c>
      <c r="M16" s="388">
        <v>11811.241651147744</v>
      </c>
      <c r="N16" s="25">
        <v>0.34350000000000003</v>
      </c>
      <c r="O16" s="24">
        <v>0</v>
      </c>
      <c r="P16" s="24">
        <v>736.8914844347662</v>
      </c>
      <c r="Q16" s="24">
        <v>473.6620800665641</v>
      </c>
      <c r="R16" s="22">
        <v>263.22940436820204</v>
      </c>
      <c r="S16" s="24">
        <v>185.79420231910345</v>
      </c>
      <c r="T16" s="24">
        <f t="shared" si="4"/>
        <v>922.68568675386962</v>
      </c>
      <c r="U16" s="376">
        <v>4061.89</v>
      </c>
      <c r="V16" s="376">
        <v>590.55999999999995</v>
      </c>
      <c r="W16" s="22">
        <f t="shared" si="5"/>
        <v>1395.259215</v>
      </c>
      <c r="X16" s="22">
        <f t="shared" si="6"/>
        <v>1577.3651222598851</v>
      </c>
      <c r="Y16" s="22">
        <v>1027.02207912522</v>
      </c>
      <c r="Z16" s="22">
        <v>550.34304313466498</v>
      </c>
      <c r="AA16" s="371">
        <v>11922.889133374896</v>
      </c>
      <c r="AB16" s="22">
        <v>0.13229722298133922</v>
      </c>
      <c r="AC16" s="24">
        <v>0</v>
      </c>
      <c r="AD16" s="384">
        <v>0</v>
      </c>
    </row>
    <row r="17" spans="1:30">
      <c r="A17" s="21" t="s">
        <v>199</v>
      </c>
      <c r="B17" s="21" t="s">
        <v>200</v>
      </c>
      <c r="C17" s="23">
        <v>4795.0894064725844</v>
      </c>
      <c r="D17" s="147">
        <v>250.33694605301446</v>
      </c>
      <c r="E17" s="22">
        <v>769.36398669665437</v>
      </c>
      <c r="F17" s="22">
        <v>1019.7009327496688</v>
      </c>
      <c r="G17" s="22">
        <v>0</v>
      </c>
      <c r="H17" s="22">
        <v>397.83592117692734</v>
      </c>
      <c r="I17" s="22">
        <v>44.560438997344917</v>
      </c>
      <c r="J17" s="22">
        <v>566.66477468345556</v>
      </c>
      <c r="K17" s="22">
        <v>29.163907265244926</v>
      </c>
      <c r="L17" s="22">
        <v>0</v>
      </c>
      <c r="M17" s="388">
        <v>19063.7321663886</v>
      </c>
      <c r="N17" s="25">
        <v>0.1741</v>
      </c>
      <c r="O17" s="24">
        <v>436.45295700401027</v>
      </c>
      <c r="P17" s="24">
        <v>2984.7750608016186</v>
      </c>
      <c r="Q17" s="24">
        <v>2097.7900191483072</v>
      </c>
      <c r="R17" s="22">
        <v>886.98504165331121</v>
      </c>
      <c r="S17" s="24">
        <v>919.16590484254698</v>
      </c>
      <c r="T17" s="24">
        <f t="shared" si="4"/>
        <v>3903.9409656441658</v>
      </c>
      <c r="U17" s="376">
        <v>3319</v>
      </c>
      <c r="V17" s="376">
        <v>953.19</v>
      </c>
      <c r="W17" s="22">
        <f t="shared" si="5"/>
        <v>577.83789999999999</v>
      </c>
      <c r="X17" s="22">
        <f t="shared" si="6"/>
        <v>1614.5742453224389</v>
      </c>
      <c r="Y17" s="22">
        <v>1075.5447869027396</v>
      </c>
      <c r="Z17" s="22">
        <v>539.02945841969927</v>
      </c>
      <c r="AA17" s="371">
        <v>19202.140047661553</v>
      </c>
      <c r="AB17" s="22">
        <v>8.4083036646692019E-2</v>
      </c>
      <c r="AC17" s="24">
        <v>0</v>
      </c>
      <c r="AD17" s="384">
        <v>0</v>
      </c>
    </row>
    <row r="18" spans="1:30">
      <c r="A18" s="21" t="s">
        <v>539</v>
      </c>
      <c r="B18" s="21" t="s">
        <v>540</v>
      </c>
      <c r="C18" s="23">
        <v>3083.6708759900389</v>
      </c>
      <c r="D18" s="147">
        <v>102.72734921188859</v>
      </c>
      <c r="E18" s="22">
        <v>665.00748128581074</v>
      </c>
      <c r="F18" s="22">
        <v>767.73483049769936</v>
      </c>
      <c r="G18" s="22">
        <v>0</v>
      </c>
      <c r="H18" s="22">
        <v>277.20796681602633</v>
      </c>
      <c r="I18" s="22">
        <v>26.891133802505145</v>
      </c>
      <c r="J18" s="22">
        <v>480.73181344844932</v>
      </c>
      <c r="K18" s="22">
        <v>68.132921283460121</v>
      </c>
      <c r="L18" s="22">
        <v>4.4751512872531007</v>
      </c>
      <c r="M18" s="388">
        <v>11301.939265099098</v>
      </c>
      <c r="N18" s="25">
        <v>0.38069999999999998</v>
      </c>
      <c r="O18" s="24">
        <v>1619.0996792084252</v>
      </c>
      <c r="P18" s="24">
        <v>773.3463685163224</v>
      </c>
      <c r="Q18" s="24">
        <v>478.94175293354812</v>
      </c>
      <c r="R18" s="22">
        <v>294.40461558277423</v>
      </c>
      <c r="S18" s="24">
        <v>128.47203976327722</v>
      </c>
      <c r="T18" s="24">
        <f t="shared" si="4"/>
        <v>901.81840827959968</v>
      </c>
      <c r="U18" s="376">
        <v>4302.6499999999996</v>
      </c>
      <c r="V18" s="376">
        <v>565.1</v>
      </c>
      <c r="W18" s="22">
        <f t="shared" si="5"/>
        <v>1638.0188549999998</v>
      </c>
      <c r="X18" s="22">
        <f t="shared" si="6"/>
        <v>1636.1957627777067</v>
      </c>
      <c r="Y18" s="22">
        <v>1222.6213881972938</v>
      </c>
      <c r="Z18" s="22">
        <v>413.57437458041295</v>
      </c>
      <c r="AA18" s="371">
        <v>11323.922817265246</v>
      </c>
      <c r="AB18" s="22">
        <v>0.14449019029722174</v>
      </c>
      <c r="AC18" s="24">
        <v>9.4901902972217289E-3</v>
      </c>
      <c r="AD18" s="384">
        <v>-1051639.9029954872</v>
      </c>
    </row>
    <row r="19" spans="1:30">
      <c r="A19" s="21" t="s">
        <v>5</v>
      </c>
      <c r="B19" s="21" t="s">
        <v>6</v>
      </c>
      <c r="C19" s="23">
        <v>9.8000000000000007</v>
      </c>
      <c r="D19" s="147">
        <v>0</v>
      </c>
      <c r="E19" s="22">
        <v>0</v>
      </c>
      <c r="F19" s="22">
        <v>0</v>
      </c>
      <c r="G19" s="22">
        <v>0</v>
      </c>
      <c r="H19" s="22">
        <v>0</v>
      </c>
      <c r="I19" s="22">
        <v>0</v>
      </c>
      <c r="J19" s="22">
        <v>0</v>
      </c>
      <c r="K19" s="22">
        <v>0</v>
      </c>
      <c r="L19" s="22">
        <v>0</v>
      </c>
      <c r="M19" s="388">
        <v>11.8</v>
      </c>
      <c r="N19" s="25">
        <v>0.21429999999999999</v>
      </c>
      <c r="O19" s="24">
        <v>0</v>
      </c>
      <c r="P19" s="24">
        <v>0</v>
      </c>
      <c r="Q19" s="24">
        <v>0</v>
      </c>
      <c r="R19" s="22">
        <v>0</v>
      </c>
      <c r="S19" s="24">
        <v>0</v>
      </c>
      <c r="T19" s="24">
        <f t="shared" si="4"/>
        <v>0</v>
      </c>
      <c r="U19" s="376">
        <v>0</v>
      </c>
      <c r="V19" s="376">
        <v>0.59</v>
      </c>
      <c r="W19" s="22">
        <f t="shared" si="5"/>
        <v>0</v>
      </c>
      <c r="X19" s="22">
        <f t="shared" si="6"/>
        <v>0</v>
      </c>
      <c r="Y19" s="22">
        <v>0</v>
      </c>
      <c r="Z19" s="22">
        <v>0</v>
      </c>
      <c r="AA19" s="371">
        <v>11.8</v>
      </c>
      <c r="AB19" s="22">
        <v>0</v>
      </c>
      <c r="AC19" s="24">
        <v>0</v>
      </c>
      <c r="AD19" s="384">
        <v>0</v>
      </c>
    </row>
    <row r="20" spans="1:30">
      <c r="A20" s="21" t="s">
        <v>383</v>
      </c>
      <c r="B20" s="21" t="s">
        <v>384</v>
      </c>
      <c r="C20" s="23">
        <v>5870.5336281778573</v>
      </c>
      <c r="D20" s="147">
        <v>261.15776130039501</v>
      </c>
      <c r="E20" s="22">
        <v>1020.6160760466128</v>
      </c>
      <c r="F20" s="22">
        <v>1281.7738373470079</v>
      </c>
      <c r="G20" s="22">
        <v>265.07980400158306</v>
      </c>
      <c r="H20" s="22">
        <v>284.66990446803038</v>
      </c>
      <c r="I20" s="22">
        <v>18.453713735077393</v>
      </c>
      <c r="J20" s="22">
        <v>1130.8254759499987</v>
      </c>
      <c r="K20" s="22">
        <v>232.90899733209395</v>
      </c>
      <c r="L20" s="22">
        <v>0</v>
      </c>
      <c r="M20" s="388">
        <v>20265.456106552381</v>
      </c>
      <c r="N20" s="25">
        <v>0.49569999999999997</v>
      </c>
      <c r="O20" s="24">
        <v>10257.650141568905</v>
      </c>
      <c r="P20" s="24">
        <v>1240.4717107475728</v>
      </c>
      <c r="Q20" s="24">
        <v>796.22495093991961</v>
      </c>
      <c r="R20" s="22">
        <v>444.24675980765329</v>
      </c>
      <c r="S20" s="24">
        <v>209.92984971103027</v>
      </c>
      <c r="T20" s="24">
        <f t="shared" si="4"/>
        <v>1450.4015604586032</v>
      </c>
      <c r="U20" s="376">
        <v>10045.59</v>
      </c>
      <c r="V20" s="376">
        <v>1013.27</v>
      </c>
      <c r="W20" s="22">
        <f t="shared" si="5"/>
        <v>4979.5989629999995</v>
      </c>
      <c r="X20" s="22">
        <f t="shared" si="6"/>
        <v>2592.3193776891412</v>
      </c>
      <c r="Y20" s="22">
        <v>1419.9805882250287</v>
      </c>
      <c r="Z20" s="22">
        <v>1172.3387894641128</v>
      </c>
      <c r="AA20" s="371">
        <v>20204.221957815109</v>
      </c>
      <c r="AB20" s="22">
        <v>0.12830582553991479</v>
      </c>
      <c r="AC20" s="24">
        <v>0</v>
      </c>
      <c r="AD20" s="384">
        <v>0</v>
      </c>
    </row>
    <row r="21" spans="1:30">
      <c r="A21" s="21" t="s">
        <v>253</v>
      </c>
      <c r="B21" s="21" t="s">
        <v>254</v>
      </c>
      <c r="C21" s="23">
        <v>32.985384768966668</v>
      </c>
      <c r="D21" s="147">
        <v>0</v>
      </c>
      <c r="E21" s="22">
        <v>0</v>
      </c>
      <c r="F21" s="22">
        <v>0</v>
      </c>
      <c r="G21" s="22">
        <v>0</v>
      </c>
      <c r="H21" s="22">
        <v>0</v>
      </c>
      <c r="I21" s="22">
        <v>0</v>
      </c>
      <c r="J21" s="22">
        <v>0</v>
      </c>
      <c r="K21" s="22">
        <v>0</v>
      </c>
      <c r="L21" s="22">
        <v>0</v>
      </c>
      <c r="M21" s="388">
        <v>114.04093392685428</v>
      </c>
      <c r="N21" s="25">
        <v>0.47370000000000001</v>
      </c>
      <c r="O21" s="24">
        <v>0</v>
      </c>
      <c r="P21" s="24">
        <v>0</v>
      </c>
      <c r="Q21" s="24">
        <v>0</v>
      </c>
      <c r="R21" s="22">
        <v>0</v>
      </c>
      <c r="S21" s="24">
        <v>0</v>
      </c>
      <c r="T21" s="24">
        <f t="shared" si="4"/>
        <v>0</v>
      </c>
      <c r="U21" s="376">
        <v>0</v>
      </c>
      <c r="V21" s="376">
        <v>5.7</v>
      </c>
      <c r="W21" s="22">
        <f t="shared" si="5"/>
        <v>0</v>
      </c>
      <c r="X21" s="22">
        <f t="shared" si="6"/>
        <v>19.610213505940553</v>
      </c>
      <c r="Y21" s="22">
        <v>12.570649683295226</v>
      </c>
      <c r="Z21" s="22">
        <v>7.0395638226453272</v>
      </c>
      <c r="AA21" s="371">
        <v>114.04093392685429</v>
      </c>
      <c r="AB21" s="22">
        <v>0.17195767195767195</v>
      </c>
      <c r="AC21" s="24">
        <v>3.6957671957671939E-2</v>
      </c>
      <c r="AD21" s="384">
        <v>-38782.869089962718</v>
      </c>
    </row>
    <row r="22" spans="1:30">
      <c r="A22" s="21" t="s">
        <v>543</v>
      </c>
      <c r="B22" s="21" t="s">
        <v>544</v>
      </c>
      <c r="C22" s="23">
        <v>624.47970670686698</v>
      </c>
      <c r="D22" s="147">
        <v>16.975405332321873</v>
      </c>
      <c r="E22" s="22">
        <v>111.50669095070197</v>
      </c>
      <c r="F22" s="22">
        <v>128.48209628302385</v>
      </c>
      <c r="G22" s="22">
        <v>0</v>
      </c>
      <c r="H22" s="22">
        <v>44.409591201145375</v>
      </c>
      <c r="I22" s="22">
        <v>5.4908597816633549</v>
      </c>
      <c r="J22" s="22">
        <v>76.982658660499965</v>
      </c>
      <c r="K22" s="22">
        <v>14.571897112875826</v>
      </c>
      <c r="L22" s="22">
        <v>0.31175211214572163</v>
      </c>
      <c r="M22" s="388">
        <v>2116.8974066669161</v>
      </c>
      <c r="N22" s="25">
        <v>0.46639999999999998</v>
      </c>
      <c r="O22" s="24">
        <v>505.84294325579992</v>
      </c>
      <c r="P22" s="24">
        <v>90.50867771972564</v>
      </c>
      <c r="Q22" s="24">
        <v>68.887160264457847</v>
      </c>
      <c r="R22" s="22">
        <v>21.621517455267789</v>
      </c>
      <c r="S22" s="24">
        <v>17.347496562947413</v>
      </c>
      <c r="T22" s="24">
        <f t="shared" si="4"/>
        <v>107.85617428267305</v>
      </c>
      <c r="U22" s="376">
        <v>987.32</v>
      </c>
      <c r="V22" s="376">
        <v>105.84</v>
      </c>
      <c r="W22" s="22">
        <f t="shared" si="5"/>
        <v>460.48604799999998</v>
      </c>
      <c r="X22" s="22">
        <f t="shared" si="6"/>
        <v>294.90744157010602</v>
      </c>
      <c r="Y22" s="22">
        <v>237.33386602061387</v>
      </c>
      <c r="Z22" s="22">
        <v>57.573575549492134</v>
      </c>
      <c r="AA22" s="371">
        <v>2119.7031756762276</v>
      </c>
      <c r="AB22" s="22">
        <v>0.13912676310258612</v>
      </c>
      <c r="AC22" s="24">
        <v>4.1267631025861118E-3</v>
      </c>
      <c r="AD22" s="384">
        <v>-89609.133451492613</v>
      </c>
    </row>
    <row r="23" spans="1:30">
      <c r="A23" s="21" t="s">
        <v>283</v>
      </c>
      <c r="B23" s="21" t="s">
        <v>284</v>
      </c>
      <c r="C23" s="23">
        <v>29.8</v>
      </c>
      <c r="D23" s="147">
        <v>0</v>
      </c>
      <c r="E23" s="22">
        <v>0</v>
      </c>
      <c r="F23" s="22">
        <v>0</v>
      </c>
      <c r="G23" s="22">
        <v>0</v>
      </c>
      <c r="H23" s="22">
        <v>0</v>
      </c>
      <c r="I23" s="22">
        <v>0</v>
      </c>
      <c r="J23" s="22">
        <v>0</v>
      </c>
      <c r="K23" s="22">
        <v>0</v>
      </c>
      <c r="L23" s="22">
        <v>0</v>
      </c>
      <c r="M23" s="388">
        <v>85.68</v>
      </c>
      <c r="N23" s="25">
        <v>0.52580000000000005</v>
      </c>
      <c r="O23" s="24">
        <v>88</v>
      </c>
      <c r="P23" s="24">
        <v>7</v>
      </c>
      <c r="Q23" s="24">
        <v>5</v>
      </c>
      <c r="R23" s="22">
        <v>2</v>
      </c>
      <c r="S23" s="24">
        <v>1</v>
      </c>
      <c r="T23" s="24">
        <f t="shared" si="4"/>
        <v>8</v>
      </c>
      <c r="U23" s="376">
        <v>45.05</v>
      </c>
      <c r="V23" s="376">
        <v>0</v>
      </c>
      <c r="W23" s="22">
        <f t="shared" si="5"/>
        <v>23.687290000000001</v>
      </c>
      <c r="X23" s="22">
        <f t="shared" si="6"/>
        <v>19.75</v>
      </c>
      <c r="Y23" s="22">
        <v>14.75</v>
      </c>
      <c r="Z23" s="22">
        <v>5</v>
      </c>
      <c r="AA23" s="371">
        <v>85.68</v>
      </c>
      <c r="AB23" s="22">
        <v>0.23050887021475255</v>
      </c>
      <c r="AC23" s="24">
        <v>9.5508870214752545E-2</v>
      </c>
      <c r="AD23" s="384">
        <v>-75552.973673927554</v>
      </c>
    </row>
    <row r="24" spans="1:30">
      <c r="A24" s="21" t="s">
        <v>227</v>
      </c>
      <c r="B24" s="21" t="s">
        <v>228</v>
      </c>
      <c r="C24" s="23">
        <v>1392.5966849549384</v>
      </c>
      <c r="D24" s="147">
        <v>86.465956781577887</v>
      </c>
      <c r="E24" s="22">
        <v>325.13733992849438</v>
      </c>
      <c r="F24" s="22">
        <v>411.6032967100723</v>
      </c>
      <c r="G24" s="22">
        <v>258.88498783765522</v>
      </c>
      <c r="H24" s="22">
        <v>39.582461722760009</v>
      </c>
      <c r="I24" s="22">
        <v>2.6850907723518604</v>
      </c>
      <c r="J24" s="22">
        <v>312.84827279810497</v>
      </c>
      <c r="K24" s="22">
        <v>31.376341609504884</v>
      </c>
      <c r="L24" s="22">
        <v>0</v>
      </c>
      <c r="M24" s="388">
        <v>4586.6680347235488</v>
      </c>
      <c r="N24" s="25">
        <v>0.64629999999999999</v>
      </c>
      <c r="O24" s="24">
        <v>3911.9861814414744</v>
      </c>
      <c r="P24" s="24">
        <v>456.56599649728264</v>
      </c>
      <c r="Q24" s="24">
        <v>321.30580590502598</v>
      </c>
      <c r="R24" s="22">
        <v>135.26019059225663</v>
      </c>
      <c r="S24" s="24">
        <v>39.471840005547008</v>
      </c>
      <c r="T24" s="24">
        <f t="shared" si="4"/>
        <v>496.03783650282963</v>
      </c>
      <c r="U24" s="376">
        <v>2968.03</v>
      </c>
      <c r="V24" s="376">
        <v>229.33</v>
      </c>
      <c r="W24" s="22">
        <f t="shared" si="5"/>
        <v>1918.237789</v>
      </c>
      <c r="X24" s="22">
        <f t="shared" si="6"/>
        <v>639.846068879727</v>
      </c>
      <c r="Y24" s="22">
        <v>413.07154859308116</v>
      </c>
      <c r="Z24" s="22">
        <v>226.7745202866459</v>
      </c>
      <c r="AA24" s="371">
        <v>4412.1874171194122</v>
      </c>
      <c r="AB24" s="22">
        <v>0.14501788079017364</v>
      </c>
      <c r="AC24" s="24">
        <v>1.0017880790173628E-2</v>
      </c>
      <c r="AD24" s="384">
        <v>-462845.39956262137</v>
      </c>
    </row>
    <row r="25" spans="1:30">
      <c r="A25" s="21" t="s">
        <v>333</v>
      </c>
      <c r="B25" s="21" t="s">
        <v>334</v>
      </c>
      <c r="C25" s="23">
        <v>292.44359423218015</v>
      </c>
      <c r="D25" s="147">
        <v>0</v>
      </c>
      <c r="E25" s="22">
        <v>92.168003477920607</v>
      </c>
      <c r="F25" s="22">
        <v>92.168003477920607</v>
      </c>
      <c r="G25" s="22">
        <v>0</v>
      </c>
      <c r="H25" s="22">
        <v>13.546132098718937</v>
      </c>
      <c r="I25" s="22">
        <v>0.9754824154237095</v>
      </c>
      <c r="J25" s="22">
        <v>10.076632786129453</v>
      </c>
      <c r="K25" s="22">
        <v>0</v>
      </c>
      <c r="L25" s="22">
        <v>0</v>
      </c>
      <c r="M25" s="388">
        <v>985.88085684173143</v>
      </c>
      <c r="N25" s="25">
        <v>0.94989999999999997</v>
      </c>
      <c r="O25" s="24">
        <v>966.43154765173699</v>
      </c>
      <c r="P25" s="24">
        <v>326.58547877200999</v>
      </c>
      <c r="Q25" s="24">
        <v>220.23778245133238</v>
      </c>
      <c r="R25" s="22">
        <v>106.34769632067761</v>
      </c>
      <c r="S25" s="24">
        <v>96.29117657404143</v>
      </c>
      <c r="T25" s="24">
        <f t="shared" si="4"/>
        <v>422.87665534605139</v>
      </c>
      <c r="U25" s="376">
        <v>936.49</v>
      </c>
      <c r="V25" s="376">
        <v>49.29</v>
      </c>
      <c r="W25" s="22">
        <f t="shared" si="5"/>
        <v>889.57185099999992</v>
      </c>
      <c r="X25" s="22">
        <f t="shared" si="6"/>
        <v>98.302480523368672</v>
      </c>
      <c r="Y25" s="22">
        <v>74.166833131441834</v>
      </c>
      <c r="Z25" s="22">
        <v>24.135647391926835</v>
      </c>
      <c r="AA25" s="371">
        <v>985.88085684173143</v>
      </c>
      <c r="AB25" s="22">
        <v>9.9710304588204082E-2</v>
      </c>
      <c r="AC25" s="24">
        <v>0</v>
      </c>
      <c r="AD25" s="384">
        <v>0</v>
      </c>
    </row>
    <row r="26" spans="1:30">
      <c r="A26" s="21" t="s">
        <v>91</v>
      </c>
      <c r="B26" s="21" t="s">
        <v>92</v>
      </c>
      <c r="C26" s="23">
        <v>208.16995875536895</v>
      </c>
      <c r="D26" s="147">
        <v>0</v>
      </c>
      <c r="E26" s="22">
        <v>28.299046567034214</v>
      </c>
      <c r="F26" s="22">
        <v>28.299046567034214</v>
      </c>
      <c r="G26" s="22">
        <v>0</v>
      </c>
      <c r="H26" s="22">
        <v>0</v>
      </c>
      <c r="I26" s="22">
        <v>0</v>
      </c>
      <c r="J26" s="22">
        <v>27.957124895648583</v>
      </c>
      <c r="K26" s="22">
        <v>0</v>
      </c>
      <c r="L26" s="22">
        <v>0</v>
      </c>
      <c r="M26" s="388">
        <v>749.98507314488643</v>
      </c>
      <c r="N26" s="25">
        <v>0.95469999999999999</v>
      </c>
      <c r="O26" s="24">
        <v>755.24463297237719</v>
      </c>
      <c r="P26" s="24">
        <v>354.49232106892538</v>
      </c>
      <c r="Q26" s="24">
        <v>216.46658754634379</v>
      </c>
      <c r="R26" s="22">
        <v>138.02573352258159</v>
      </c>
      <c r="S26" s="24">
        <v>34.192167138563015</v>
      </c>
      <c r="T26" s="24">
        <f t="shared" si="4"/>
        <v>388.68448820748841</v>
      </c>
      <c r="U26" s="376">
        <v>716.01</v>
      </c>
      <c r="V26" s="376">
        <v>37.5</v>
      </c>
      <c r="W26" s="22">
        <f t="shared" si="5"/>
        <v>683.574747</v>
      </c>
      <c r="X26" s="22">
        <f t="shared" si="6"/>
        <v>66.624443321464696</v>
      </c>
      <c r="Y26" s="22">
        <v>50.785424720512715</v>
      </c>
      <c r="Z26" s="22">
        <v>15.839018600951984</v>
      </c>
      <c r="AA26" s="371">
        <v>749.98507314488643</v>
      </c>
      <c r="AB26" s="22">
        <v>8.8834359118763154E-2</v>
      </c>
      <c r="AC26" s="24">
        <v>0</v>
      </c>
      <c r="AD26" s="384">
        <v>0</v>
      </c>
    </row>
    <row r="27" spans="1:30">
      <c r="A27" s="21" t="s">
        <v>175</v>
      </c>
      <c r="B27" s="21" t="s">
        <v>176</v>
      </c>
      <c r="C27" s="23">
        <v>29.2</v>
      </c>
      <c r="D27" s="147">
        <v>0</v>
      </c>
      <c r="E27" s="22">
        <v>0</v>
      </c>
      <c r="F27" s="22">
        <v>0</v>
      </c>
      <c r="G27" s="22">
        <v>0</v>
      </c>
      <c r="H27" s="22">
        <v>0</v>
      </c>
      <c r="I27" s="22">
        <v>0</v>
      </c>
      <c r="J27" s="22">
        <v>0.4</v>
      </c>
      <c r="K27" s="22">
        <v>0</v>
      </c>
      <c r="L27" s="22">
        <v>0</v>
      </c>
      <c r="M27" s="388">
        <v>72.800000000000011</v>
      </c>
      <c r="N27" s="25">
        <v>0.78210000000000002</v>
      </c>
      <c r="O27" s="24">
        <v>72</v>
      </c>
      <c r="P27" s="24">
        <v>0.5</v>
      </c>
      <c r="Q27" s="24">
        <v>0.5</v>
      </c>
      <c r="R27" s="22">
        <v>0</v>
      </c>
      <c r="S27" s="24">
        <v>0</v>
      </c>
      <c r="T27" s="24">
        <f t="shared" si="4"/>
        <v>0.5</v>
      </c>
      <c r="U27" s="376">
        <v>56.94</v>
      </c>
      <c r="V27" s="376">
        <v>3.64</v>
      </c>
      <c r="W27" s="22">
        <f t="shared" si="5"/>
        <v>44.532773999999996</v>
      </c>
      <c r="X27" s="22">
        <f t="shared" si="6"/>
        <v>7</v>
      </c>
      <c r="Y27" s="22">
        <v>0</v>
      </c>
      <c r="Z27" s="22">
        <v>7</v>
      </c>
      <c r="AA27" s="371">
        <v>72.8</v>
      </c>
      <c r="AB27" s="22">
        <v>9.6153846153846159E-2</v>
      </c>
      <c r="AC27" s="24">
        <v>0</v>
      </c>
      <c r="AD27" s="384">
        <v>0</v>
      </c>
    </row>
    <row r="28" spans="1:30">
      <c r="A28" s="21" t="s">
        <v>403</v>
      </c>
      <c r="B28" s="21" t="s">
        <v>404</v>
      </c>
      <c r="C28" s="23">
        <v>890.95736695323251</v>
      </c>
      <c r="D28" s="147">
        <v>81.709222941418972</v>
      </c>
      <c r="E28" s="22">
        <v>318.00726742812935</v>
      </c>
      <c r="F28" s="22">
        <v>399.7164903695483</v>
      </c>
      <c r="G28" s="22">
        <v>0</v>
      </c>
      <c r="H28" s="22">
        <v>51.559776741003702</v>
      </c>
      <c r="I28" s="22">
        <v>4.2237382935871963</v>
      </c>
      <c r="J28" s="22">
        <v>21.963439126653419</v>
      </c>
      <c r="K28" s="22">
        <v>10.05651974663618</v>
      </c>
      <c r="L28" s="22">
        <v>0.20113039493272364</v>
      </c>
      <c r="M28" s="388">
        <v>3293.2487475099369</v>
      </c>
      <c r="N28" s="25">
        <v>0.54559999999999997</v>
      </c>
      <c r="O28" s="24">
        <v>1398.8618967570928</v>
      </c>
      <c r="P28" s="24">
        <v>738.90278838409336</v>
      </c>
      <c r="Q28" s="24">
        <v>426.39643725737409</v>
      </c>
      <c r="R28" s="22">
        <v>312.50635112671932</v>
      </c>
      <c r="S28" s="24">
        <v>74.166833131441834</v>
      </c>
      <c r="T28" s="24">
        <f t="shared" si="4"/>
        <v>813.06962151553523</v>
      </c>
      <c r="U28" s="376">
        <v>1797.13</v>
      </c>
      <c r="V28" s="376">
        <v>164.66</v>
      </c>
      <c r="W28" s="22">
        <f t="shared" si="5"/>
        <v>980.51412800000003</v>
      </c>
      <c r="X28" s="22">
        <f t="shared" si="6"/>
        <v>490.00392465484799</v>
      </c>
      <c r="Y28" s="22">
        <v>352.22960412593227</v>
      </c>
      <c r="Z28" s="22">
        <v>137.77432052891569</v>
      </c>
      <c r="AA28" s="371">
        <v>3324.7055412774148</v>
      </c>
      <c r="AB28" s="22">
        <v>0.14738265346247151</v>
      </c>
      <c r="AC28" s="24">
        <v>1.2382653462471499E-2</v>
      </c>
      <c r="AD28" s="384">
        <v>-418248.8461008186</v>
      </c>
    </row>
    <row r="29" spans="1:30">
      <c r="A29" s="21" t="s">
        <v>67</v>
      </c>
      <c r="B29" s="21" t="s">
        <v>68</v>
      </c>
      <c r="C29" s="23">
        <v>1848.6296859056495</v>
      </c>
      <c r="D29" s="147">
        <v>34.976575678800636</v>
      </c>
      <c r="E29" s="22">
        <v>398.39908628273895</v>
      </c>
      <c r="F29" s="22">
        <v>433.37566196153961</v>
      </c>
      <c r="G29" s="22">
        <v>0</v>
      </c>
      <c r="H29" s="22">
        <v>171.92626158849217</v>
      </c>
      <c r="I29" s="22">
        <v>1.9207952716075105</v>
      </c>
      <c r="J29" s="22">
        <v>121.40230638139198</v>
      </c>
      <c r="K29" s="22">
        <v>6.6373030327798794</v>
      </c>
      <c r="L29" s="22">
        <v>0</v>
      </c>
      <c r="M29" s="388">
        <v>7079.1965669668198</v>
      </c>
      <c r="N29" s="25">
        <v>0.15210000000000001</v>
      </c>
      <c r="O29" s="24">
        <v>0</v>
      </c>
      <c r="P29" s="24">
        <v>188.8111582430943</v>
      </c>
      <c r="Q29" s="24">
        <v>140.53986345924062</v>
      </c>
      <c r="R29" s="22">
        <v>48.271294783853669</v>
      </c>
      <c r="S29" s="24">
        <v>117.15845504831151</v>
      </c>
      <c r="T29" s="24">
        <f t="shared" si="4"/>
        <v>305.96961329140584</v>
      </c>
      <c r="U29" s="376">
        <v>1076.04</v>
      </c>
      <c r="V29" s="376">
        <v>353.96</v>
      </c>
      <c r="W29" s="22">
        <f t="shared" si="5"/>
        <v>163.665684</v>
      </c>
      <c r="X29" s="22">
        <f t="shared" si="6"/>
        <v>736.64007144110019</v>
      </c>
      <c r="Y29" s="22">
        <v>544.30913128668328</v>
      </c>
      <c r="Z29" s="22">
        <v>192.33094015441696</v>
      </c>
      <c r="AA29" s="371">
        <v>7135.513077547982</v>
      </c>
      <c r="AB29" s="22">
        <v>0.10323575381831353</v>
      </c>
      <c r="AC29" s="24">
        <v>0</v>
      </c>
      <c r="AD29" s="384">
        <v>0</v>
      </c>
    </row>
    <row r="30" spans="1:30">
      <c r="A30" s="21" t="s">
        <v>49</v>
      </c>
      <c r="B30" s="21" t="s">
        <v>50</v>
      </c>
      <c r="C30" s="23">
        <v>161.69878100616316</v>
      </c>
      <c r="D30" s="147">
        <v>0</v>
      </c>
      <c r="E30" s="22">
        <v>7.66306804693677</v>
      </c>
      <c r="F30" s="22">
        <v>7.66306804693677</v>
      </c>
      <c r="G30" s="22">
        <v>0</v>
      </c>
      <c r="H30" s="22">
        <v>9.5536937593043714</v>
      </c>
      <c r="I30" s="22">
        <v>0.74418246125107734</v>
      </c>
      <c r="J30" s="22">
        <v>1.9710778703406915</v>
      </c>
      <c r="K30" s="22">
        <v>0</v>
      </c>
      <c r="L30" s="22">
        <v>0</v>
      </c>
      <c r="M30" s="388">
        <v>485.941090677207</v>
      </c>
      <c r="N30" s="25">
        <v>0.72089999999999999</v>
      </c>
      <c r="O30" s="24">
        <v>498.80337943315459</v>
      </c>
      <c r="P30" s="24">
        <v>0</v>
      </c>
      <c r="Q30" s="24">
        <v>0</v>
      </c>
      <c r="R30" s="22">
        <v>0</v>
      </c>
      <c r="S30" s="24">
        <v>0</v>
      </c>
      <c r="T30" s="24">
        <f t="shared" si="4"/>
        <v>0</v>
      </c>
      <c r="U30" s="376">
        <v>350.31</v>
      </c>
      <c r="V30" s="376">
        <v>0</v>
      </c>
      <c r="W30" s="22">
        <f t="shared" si="5"/>
        <v>252.538479</v>
      </c>
      <c r="X30" s="22">
        <f t="shared" si="6"/>
        <v>72.4069421757805</v>
      </c>
      <c r="Y30" s="22">
        <v>52.29390268250814</v>
      </c>
      <c r="Z30" s="22">
        <v>20.11303949327236</v>
      </c>
      <c r="AA30" s="371">
        <v>485.94109067720689</v>
      </c>
      <c r="AB30" s="22">
        <v>0.14900353883404729</v>
      </c>
      <c r="AC30" s="24">
        <v>1.4003538834047285E-2</v>
      </c>
      <c r="AD30" s="384">
        <v>-63327.65335065114</v>
      </c>
    </row>
    <row r="31" spans="1:30">
      <c r="A31" s="21" t="s">
        <v>367</v>
      </c>
      <c r="B31" s="21" t="s">
        <v>368</v>
      </c>
      <c r="C31" s="23">
        <v>78.641984418694932</v>
      </c>
      <c r="D31" s="147">
        <v>0</v>
      </c>
      <c r="E31" s="22">
        <v>0</v>
      </c>
      <c r="F31" s="22">
        <v>0</v>
      </c>
      <c r="G31" s="22">
        <v>0</v>
      </c>
      <c r="H31" s="22">
        <v>0</v>
      </c>
      <c r="I31" s="22">
        <v>0</v>
      </c>
      <c r="J31" s="22">
        <v>0</v>
      </c>
      <c r="K31" s="22">
        <v>0</v>
      </c>
      <c r="L31" s="22">
        <v>0</v>
      </c>
      <c r="M31" s="388">
        <v>178.76469501620477</v>
      </c>
      <c r="N31" s="25">
        <v>0.3034</v>
      </c>
      <c r="O31" s="24">
        <v>0</v>
      </c>
      <c r="P31" s="24">
        <v>0</v>
      </c>
      <c r="Q31" s="24">
        <v>0</v>
      </c>
      <c r="R31" s="22">
        <v>0</v>
      </c>
      <c r="S31" s="24">
        <v>0</v>
      </c>
      <c r="T31" s="24">
        <f t="shared" si="4"/>
        <v>0</v>
      </c>
      <c r="U31" s="376">
        <v>54.24</v>
      </c>
      <c r="V31" s="376">
        <v>8.94</v>
      </c>
      <c r="W31" s="22">
        <f t="shared" si="5"/>
        <v>16.456416000000001</v>
      </c>
      <c r="X31" s="22">
        <f t="shared" si="6"/>
        <v>25.644125353922263</v>
      </c>
      <c r="Y31" s="22">
        <v>22.878582423597312</v>
      </c>
      <c r="Z31" s="22">
        <v>2.7655429303249499</v>
      </c>
      <c r="AA31" s="371">
        <v>179.77034699086838</v>
      </c>
      <c r="AB31" s="22">
        <v>0.14264936227343925</v>
      </c>
      <c r="AC31" s="24">
        <v>7.6493622734392364E-3</v>
      </c>
      <c r="AD31" s="384">
        <v>-13933.038001991254</v>
      </c>
    </row>
    <row r="32" spans="1:30">
      <c r="A32" s="21" t="s">
        <v>1226</v>
      </c>
      <c r="B32" s="21" t="s">
        <v>1227</v>
      </c>
      <c r="C32" s="23">
        <v>0</v>
      </c>
      <c r="D32" s="147">
        <v>0</v>
      </c>
      <c r="E32" s="22">
        <v>0</v>
      </c>
      <c r="F32" s="22">
        <v>0</v>
      </c>
      <c r="G32" s="22">
        <v>0</v>
      </c>
      <c r="H32" s="22">
        <v>0</v>
      </c>
      <c r="I32" s="22">
        <v>0</v>
      </c>
      <c r="J32" s="22">
        <v>0</v>
      </c>
      <c r="K32" s="22">
        <v>0</v>
      </c>
      <c r="L32" s="22">
        <v>0</v>
      </c>
      <c r="M32" s="388">
        <v>104.58780536501628</v>
      </c>
      <c r="N32" s="25">
        <v>0.68630000000000002</v>
      </c>
      <c r="O32" s="24">
        <v>102.57650141568905</v>
      </c>
      <c r="P32" s="24">
        <v>5.0182033535714545</v>
      </c>
      <c r="Q32" s="24">
        <v>0</v>
      </c>
      <c r="R32" s="22">
        <v>5.0182033535714545</v>
      </c>
      <c r="S32" s="24">
        <v>6.7982073487260584</v>
      </c>
      <c r="T32" s="24">
        <f t="shared" si="4"/>
        <v>11.816410702297514</v>
      </c>
      <c r="U32" s="376">
        <v>70.75</v>
      </c>
      <c r="V32" s="376">
        <v>0</v>
      </c>
      <c r="W32" s="22">
        <f t="shared" si="5"/>
        <v>48.555725000000002</v>
      </c>
      <c r="X32" s="22">
        <f t="shared" si="6"/>
        <v>19.107387518608743</v>
      </c>
      <c r="Y32" s="22">
        <v>19.107387518608743</v>
      </c>
      <c r="Z32" s="22">
        <v>0</v>
      </c>
      <c r="AA32" s="371">
        <v>104.58780536501628</v>
      </c>
      <c r="AB32" s="22">
        <v>0.18269230769230768</v>
      </c>
      <c r="AC32" s="24">
        <v>4.7692307692307673E-2</v>
      </c>
      <c r="AD32" s="384">
        <v>-49142.631699438876</v>
      </c>
    </row>
    <row r="33" spans="1:30">
      <c r="A33" s="21" t="s">
        <v>39</v>
      </c>
      <c r="B33" s="21" t="s">
        <v>40</v>
      </c>
      <c r="C33" s="23">
        <v>330.65836926939767</v>
      </c>
      <c r="D33" s="147">
        <v>44.71128679354446</v>
      </c>
      <c r="E33" s="22">
        <v>131.08673489740261</v>
      </c>
      <c r="F33" s="22">
        <v>175.79802169094705</v>
      </c>
      <c r="G33" s="22">
        <v>0</v>
      </c>
      <c r="H33" s="22">
        <v>29.988541884469093</v>
      </c>
      <c r="I33" s="22">
        <v>0.75423898099771358</v>
      </c>
      <c r="J33" s="22">
        <v>62.018557277505323</v>
      </c>
      <c r="K33" s="22">
        <v>0</v>
      </c>
      <c r="L33" s="22">
        <v>0</v>
      </c>
      <c r="M33" s="388">
        <v>1242.7444842103127</v>
      </c>
      <c r="N33" s="25">
        <v>0.40339999999999998</v>
      </c>
      <c r="O33" s="24">
        <v>18.101735543945125</v>
      </c>
      <c r="P33" s="24">
        <v>136.26584256692027</v>
      </c>
      <c r="Q33" s="24">
        <v>89.503025745062018</v>
      </c>
      <c r="R33" s="22">
        <v>46.762816821858245</v>
      </c>
      <c r="S33" s="24">
        <v>51.288250707844526</v>
      </c>
      <c r="T33" s="24">
        <f t="shared" si="4"/>
        <v>187.5540932747648</v>
      </c>
      <c r="U33" s="376">
        <v>501.32</v>
      </c>
      <c r="V33" s="376">
        <v>0</v>
      </c>
      <c r="W33" s="22">
        <f t="shared" si="5"/>
        <v>202.23248799999999</v>
      </c>
      <c r="X33" s="22">
        <f t="shared" si="6"/>
        <v>111.37595619399571</v>
      </c>
      <c r="Y33" s="22">
        <v>71.401290201116879</v>
      </c>
      <c r="Z33" s="22">
        <v>39.974665992878819</v>
      </c>
      <c r="AA33" s="371">
        <v>1244.5848273239471</v>
      </c>
      <c r="AB33" s="22">
        <v>8.9488441244677155E-2</v>
      </c>
      <c r="AC33" s="24">
        <v>0</v>
      </c>
      <c r="AD33" s="384">
        <v>0</v>
      </c>
    </row>
    <row r="34" spans="1:30">
      <c r="A34" s="21" t="s">
        <v>37</v>
      </c>
      <c r="B34" s="21" t="s">
        <v>38</v>
      </c>
      <c r="C34" s="23">
        <v>472.1636586243153</v>
      </c>
      <c r="D34" s="147">
        <v>54.878428257393644</v>
      </c>
      <c r="E34" s="22">
        <v>124.98242741119446</v>
      </c>
      <c r="F34" s="22">
        <v>179.8608556685881</v>
      </c>
      <c r="G34" s="22">
        <v>0</v>
      </c>
      <c r="H34" s="22">
        <v>34.865953961587643</v>
      </c>
      <c r="I34" s="22">
        <v>1.3073475670627035</v>
      </c>
      <c r="J34" s="22">
        <v>0</v>
      </c>
      <c r="K34" s="22">
        <v>0</v>
      </c>
      <c r="L34" s="22">
        <v>0</v>
      </c>
      <c r="M34" s="388">
        <v>1576.0678312125688</v>
      </c>
      <c r="N34" s="25">
        <v>0.4365</v>
      </c>
      <c r="O34" s="24">
        <v>0</v>
      </c>
      <c r="P34" s="24">
        <v>187.05126728743298</v>
      </c>
      <c r="Q34" s="24">
        <v>153.11051314253586</v>
      </c>
      <c r="R34" s="22">
        <v>33.940754144897113</v>
      </c>
      <c r="S34" s="24">
        <v>65.870204340466984</v>
      </c>
      <c r="T34" s="24">
        <f t="shared" si="4"/>
        <v>252.92147162789996</v>
      </c>
      <c r="U34" s="376">
        <v>687.95</v>
      </c>
      <c r="V34" s="376">
        <v>78.8</v>
      </c>
      <c r="W34" s="22">
        <f t="shared" si="5"/>
        <v>300.29017500000003</v>
      </c>
      <c r="X34" s="22">
        <f t="shared" si="6"/>
        <v>186.04561531276934</v>
      </c>
      <c r="Y34" s="22">
        <v>159.89866397151528</v>
      </c>
      <c r="Z34" s="22">
        <v>26.14695134125407</v>
      </c>
      <c r="AA34" s="371">
        <v>1587.2406246510816</v>
      </c>
      <c r="AB34" s="22">
        <v>0.11721323939378581</v>
      </c>
      <c r="AC34" s="24">
        <v>0</v>
      </c>
      <c r="AD34" s="384">
        <v>0</v>
      </c>
    </row>
    <row r="35" spans="1:30">
      <c r="A35" s="21" t="s">
        <v>81</v>
      </c>
      <c r="B35" s="21" t="s">
        <v>82</v>
      </c>
      <c r="C35" s="23">
        <v>419.05517784232967</v>
      </c>
      <c r="D35" s="147">
        <v>5.4707467421700828</v>
      </c>
      <c r="E35" s="22">
        <v>71.049312009984618</v>
      </c>
      <c r="F35" s="22">
        <v>76.520058752154696</v>
      </c>
      <c r="G35" s="22">
        <v>0</v>
      </c>
      <c r="H35" s="22">
        <v>23.270786693716122</v>
      </c>
      <c r="I35" s="22">
        <v>2.3833951799527751</v>
      </c>
      <c r="J35" s="22">
        <v>46.692421183631794</v>
      </c>
      <c r="K35" s="22">
        <v>0</v>
      </c>
      <c r="L35" s="22">
        <v>0</v>
      </c>
      <c r="M35" s="388">
        <v>1413.1019287183294</v>
      </c>
      <c r="N35" s="25">
        <v>0.52590000000000003</v>
      </c>
      <c r="O35" s="24">
        <v>579.255537406244</v>
      </c>
      <c r="P35" s="24">
        <v>20.364452486938266</v>
      </c>
      <c r="Q35" s="24">
        <v>10.307932740302086</v>
      </c>
      <c r="R35" s="22">
        <v>10.05651974663618</v>
      </c>
      <c r="S35" s="24">
        <v>3.0169559239908543</v>
      </c>
      <c r="T35" s="24">
        <f t="shared" si="4"/>
        <v>23.381408410929119</v>
      </c>
      <c r="U35" s="376">
        <v>743.15</v>
      </c>
      <c r="V35" s="376">
        <v>70.66</v>
      </c>
      <c r="W35" s="22">
        <f t="shared" si="5"/>
        <v>390.822585</v>
      </c>
      <c r="X35" s="22">
        <f t="shared" si="6"/>
        <v>233.05984512829349</v>
      </c>
      <c r="Y35" s="22">
        <v>147.32801428822006</v>
      </c>
      <c r="Z35" s="22">
        <v>85.731830840073442</v>
      </c>
      <c r="AA35" s="371">
        <v>1416.7625019061052</v>
      </c>
      <c r="AB35" s="22">
        <v>0.16450170357751279</v>
      </c>
      <c r="AC35" s="24">
        <v>2.9501703577512778E-2</v>
      </c>
      <c r="AD35" s="384">
        <v>-386099.29207350919</v>
      </c>
    </row>
    <row r="36" spans="1:30">
      <c r="A36" s="21" t="s">
        <v>1228</v>
      </c>
      <c r="B36" s="21" t="s">
        <v>1229</v>
      </c>
      <c r="C36" s="23">
        <v>199.32022137832911</v>
      </c>
      <c r="D36" s="147">
        <v>0</v>
      </c>
      <c r="E36" s="22">
        <v>0</v>
      </c>
      <c r="F36" s="22">
        <v>0</v>
      </c>
      <c r="G36" s="22">
        <v>0</v>
      </c>
      <c r="H36" s="22">
        <v>0</v>
      </c>
      <c r="I36" s="22">
        <v>0</v>
      </c>
      <c r="J36" s="22">
        <v>0</v>
      </c>
      <c r="K36" s="22">
        <v>0</v>
      </c>
      <c r="L36" s="22">
        <v>0</v>
      </c>
      <c r="M36" s="388">
        <v>303.1035051636145</v>
      </c>
      <c r="N36" s="25">
        <v>0.51339999999999997</v>
      </c>
      <c r="O36" s="24">
        <v>0</v>
      </c>
      <c r="P36" s="24">
        <v>1.0056519746636181</v>
      </c>
      <c r="Q36" s="24">
        <v>0</v>
      </c>
      <c r="R36" s="22">
        <v>1.0056519746636181</v>
      </c>
      <c r="S36" s="24">
        <v>0</v>
      </c>
      <c r="T36" s="24">
        <f t="shared" si="4"/>
        <v>1.0056519746636181</v>
      </c>
      <c r="U36" s="376">
        <v>155.61000000000001</v>
      </c>
      <c r="V36" s="376">
        <v>15.16</v>
      </c>
      <c r="W36" s="22">
        <f t="shared" si="5"/>
        <v>79.890174000000002</v>
      </c>
      <c r="X36" s="22">
        <f t="shared" si="6"/>
        <v>29.666733252576734</v>
      </c>
      <c r="Y36" s="22">
        <v>28.912494271579021</v>
      </c>
      <c r="Z36" s="22">
        <v>0.75423898099771358</v>
      </c>
      <c r="AA36" s="371">
        <v>303.1035051636145</v>
      </c>
      <c r="AB36" s="22">
        <v>9.7876575978765756E-2</v>
      </c>
      <c r="AC36" s="24">
        <v>0</v>
      </c>
      <c r="AD36" s="384">
        <v>0</v>
      </c>
    </row>
    <row r="37" spans="1:30">
      <c r="A37" s="21" t="s">
        <v>255</v>
      </c>
      <c r="B37" s="21" t="s">
        <v>256</v>
      </c>
      <c r="C37" s="23">
        <v>42</v>
      </c>
      <c r="D37" s="147">
        <v>0</v>
      </c>
      <c r="E37" s="22">
        <v>0</v>
      </c>
      <c r="F37" s="22">
        <v>0</v>
      </c>
      <c r="G37" s="22">
        <v>0</v>
      </c>
      <c r="H37" s="22">
        <v>0</v>
      </c>
      <c r="I37" s="22">
        <v>0</v>
      </c>
      <c r="J37" s="22">
        <v>0</v>
      </c>
      <c r="K37" s="22">
        <v>0</v>
      </c>
      <c r="L37" s="22">
        <v>0</v>
      </c>
      <c r="M37" s="388">
        <v>86.8</v>
      </c>
      <c r="N37" s="25">
        <v>0.33329999999999999</v>
      </c>
      <c r="O37" s="24">
        <v>0</v>
      </c>
      <c r="P37" s="24">
        <v>0</v>
      </c>
      <c r="Q37" s="24">
        <v>0</v>
      </c>
      <c r="R37" s="22">
        <v>0</v>
      </c>
      <c r="S37" s="24">
        <v>0</v>
      </c>
      <c r="T37" s="24">
        <f t="shared" si="4"/>
        <v>0</v>
      </c>
      <c r="U37" s="376">
        <v>28.93</v>
      </c>
      <c r="V37" s="376">
        <v>0</v>
      </c>
      <c r="W37" s="22">
        <f t="shared" si="5"/>
        <v>9.6423689999999986</v>
      </c>
      <c r="X37" s="22">
        <f t="shared" si="6"/>
        <v>7.75</v>
      </c>
      <c r="Y37" s="22">
        <v>7</v>
      </c>
      <c r="Z37" s="22">
        <v>0.75</v>
      </c>
      <c r="AA37" s="371">
        <v>86.8</v>
      </c>
      <c r="AB37" s="22">
        <v>8.9285714285714288E-2</v>
      </c>
      <c r="AC37" s="24">
        <v>0</v>
      </c>
      <c r="AD37" s="384">
        <v>0</v>
      </c>
    </row>
    <row r="38" spans="1:30">
      <c r="A38" s="21" t="s">
        <v>233</v>
      </c>
      <c r="B38" s="21" t="s">
        <v>234</v>
      </c>
      <c r="C38" s="23">
        <v>3134.5669224277644</v>
      </c>
      <c r="D38" s="147">
        <v>113.64872965673548</v>
      </c>
      <c r="E38" s="22">
        <v>666.656750524259</v>
      </c>
      <c r="F38" s="22">
        <v>780.30548018099444</v>
      </c>
      <c r="G38" s="22">
        <v>0</v>
      </c>
      <c r="H38" s="22">
        <v>274.43236736595475</v>
      </c>
      <c r="I38" s="22">
        <v>10.991776083073345</v>
      </c>
      <c r="J38" s="22">
        <v>689.99793285620171</v>
      </c>
      <c r="K38" s="22">
        <v>0</v>
      </c>
      <c r="L38" s="22">
        <v>0</v>
      </c>
      <c r="M38" s="388">
        <v>11197.220724977378</v>
      </c>
      <c r="N38" s="25">
        <v>0.38040000000000002</v>
      </c>
      <c r="O38" s="24">
        <v>1021.742406258236</v>
      </c>
      <c r="P38" s="24">
        <v>412.82013559941527</v>
      </c>
      <c r="Q38" s="24">
        <v>236.32821404595026</v>
      </c>
      <c r="R38" s="22">
        <v>176.49192155346498</v>
      </c>
      <c r="S38" s="24">
        <v>74.669659118773652</v>
      </c>
      <c r="T38" s="24">
        <f t="shared" si="4"/>
        <v>487.48979471818893</v>
      </c>
      <c r="U38" s="376">
        <v>4259.42</v>
      </c>
      <c r="V38" s="376">
        <v>559.86</v>
      </c>
      <c r="W38" s="22">
        <f t="shared" si="5"/>
        <v>1620.2833680000001</v>
      </c>
      <c r="X38" s="22">
        <f t="shared" si="6"/>
        <v>1506.2152450524341</v>
      </c>
      <c r="Y38" s="22">
        <v>964.42024370240972</v>
      </c>
      <c r="Z38" s="22">
        <v>541.79500135002422</v>
      </c>
      <c r="AA38" s="371">
        <v>11164.667770557515</v>
      </c>
      <c r="AB38" s="22">
        <v>0.134909096804877</v>
      </c>
      <c r="AC38" s="24">
        <v>0</v>
      </c>
      <c r="AD38" s="384">
        <v>0</v>
      </c>
    </row>
    <row r="39" spans="1:30">
      <c r="A39" s="21" t="s">
        <v>463</v>
      </c>
      <c r="B39" s="21" t="s">
        <v>464</v>
      </c>
      <c r="C39" s="23">
        <v>4190.4512132258296</v>
      </c>
      <c r="D39" s="147">
        <v>54.54656310575465</v>
      </c>
      <c r="E39" s="22">
        <v>642.30991621765293</v>
      </c>
      <c r="F39" s="22">
        <v>696.8564793234076</v>
      </c>
      <c r="G39" s="22">
        <v>52.565428715667323</v>
      </c>
      <c r="H39" s="22">
        <v>274.80445859658028</v>
      </c>
      <c r="I39" s="22">
        <v>10.840928286873803</v>
      </c>
      <c r="J39" s="22">
        <v>229.28865022330493</v>
      </c>
      <c r="K39" s="22">
        <v>92.318851274120135</v>
      </c>
      <c r="L39" s="22">
        <v>0</v>
      </c>
      <c r="M39" s="388">
        <v>14156.784090774176</v>
      </c>
      <c r="N39" s="25">
        <v>0.38200000000000001</v>
      </c>
      <c r="O39" s="24">
        <v>3449.3862730962101</v>
      </c>
      <c r="P39" s="24">
        <v>478.69033993988222</v>
      </c>
      <c r="Q39" s="24">
        <v>290.38200768411974</v>
      </c>
      <c r="R39" s="22">
        <v>188.30833225576248</v>
      </c>
      <c r="S39" s="24">
        <v>96.794002561373247</v>
      </c>
      <c r="T39" s="24">
        <f t="shared" si="4"/>
        <v>575.48434250125547</v>
      </c>
      <c r="U39" s="376">
        <v>5407.89</v>
      </c>
      <c r="V39" s="376">
        <v>707.84</v>
      </c>
      <c r="W39" s="22">
        <f t="shared" si="5"/>
        <v>2065.8139800000004</v>
      </c>
      <c r="X39" s="22">
        <f t="shared" si="6"/>
        <v>2023.3717730231997</v>
      </c>
      <c r="Y39" s="22">
        <v>920.42296981087645</v>
      </c>
      <c r="Z39" s="22">
        <v>1102.9488032123231</v>
      </c>
      <c r="AA39" s="371">
        <v>14349.255822205048</v>
      </c>
      <c r="AB39" s="22">
        <v>0.14100882987200575</v>
      </c>
      <c r="AC39" s="24">
        <v>6.0088298720057387E-3</v>
      </c>
      <c r="AD39" s="384">
        <v>-793569.61519225826</v>
      </c>
    </row>
    <row r="40" spans="1:30">
      <c r="A40" s="21" t="s">
        <v>295</v>
      </c>
      <c r="B40" s="21" t="s">
        <v>296</v>
      </c>
      <c r="C40" s="23">
        <v>1052.2438306497834</v>
      </c>
      <c r="D40" s="147">
        <v>49.146212001811016</v>
      </c>
      <c r="E40" s="22">
        <v>229.96243704632954</v>
      </c>
      <c r="F40" s="22">
        <v>279.10864904814053</v>
      </c>
      <c r="G40" s="22">
        <v>0</v>
      </c>
      <c r="H40" s="22">
        <v>52.716276511866866</v>
      </c>
      <c r="I40" s="22">
        <v>7.6127854482035895</v>
      </c>
      <c r="J40" s="22">
        <v>53.068254702999134</v>
      </c>
      <c r="K40" s="22">
        <v>8.6486069821071148</v>
      </c>
      <c r="L40" s="22">
        <v>0</v>
      </c>
      <c r="M40" s="388">
        <v>3394.9905577866552</v>
      </c>
      <c r="N40" s="25">
        <v>0.80730000000000002</v>
      </c>
      <c r="O40" s="24">
        <v>3303.5667367699857</v>
      </c>
      <c r="P40" s="24">
        <v>485.22707777519571</v>
      </c>
      <c r="Q40" s="24">
        <v>314.26624208238064</v>
      </c>
      <c r="R40" s="22">
        <v>170.96083569281507</v>
      </c>
      <c r="S40" s="24">
        <v>67.378682302462408</v>
      </c>
      <c r="T40" s="24">
        <f t="shared" si="4"/>
        <v>552.60576007765815</v>
      </c>
      <c r="U40" s="376">
        <v>2740.44</v>
      </c>
      <c r="V40" s="376">
        <v>169.75</v>
      </c>
      <c r="W40" s="22">
        <f t="shared" si="5"/>
        <v>2212.3572119999999</v>
      </c>
      <c r="X40" s="22">
        <f t="shared" si="6"/>
        <v>468.38240719958014</v>
      </c>
      <c r="Y40" s="22">
        <v>272.78309812750643</v>
      </c>
      <c r="Z40" s="22">
        <v>195.59930907207371</v>
      </c>
      <c r="AA40" s="371">
        <v>3409.4317201428244</v>
      </c>
      <c r="AB40" s="22">
        <v>0.13737843888539852</v>
      </c>
      <c r="AC40" s="24">
        <v>2.378438885398515E-3</v>
      </c>
      <c r="AD40" s="384">
        <v>-74974.231090422996</v>
      </c>
    </row>
    <row r="41" spans="1:30">
      <c r="A41" s="21" t="s">
        <v>291</v>
      </c>
      <c r="B41" s="21" t="s">
        <v>292</v>
      </c>
      <c r="C41" s="23">
        <v>810.76667849355556</v>
      </c>
      <c r="D41" s="147">
        <v>0</v>
      </c>
      <c r="E41" s="22">
        <v>172.22795718089122</v>
      </c>
      <c r="F41" s="22">
        <v>172.22795718089122</v>
      </c>
      <c r="G41" s="22">
        <v>0</v>
      </c>
      <c r="H41" s="22">
        <v>75.574745895970906</v>
      </c>
      <c r="I41" s="22">
        <v>7.1904116188448697</v>
      </c>
      <c r="J41" s="22">
        <v>25.915651387081436</v>
      </c>
      <c r="K41" s="22">
        <v>5.4305206631835379</v>
      </c>
      <c r="L41" s="22">
        <v>0</v>
      </c>
      <c r="M41" s="388">
        <v>2861.2910548326727</v>
      </c>
      <c r="N41" s="25">
        <v>0.46789999999999998</v>
      </c>
      <c r="O41" s="24">
        <v>1258.0706203041861</v>
      </c>
      <c r="P41" s="24">
        <v>109.11323925100257</v>
      </c>
      <c r="Q41" s="24">
        <v>56.567923574828519</v>
      </c>
      <c r="R41" s="22">
        <v>52.545315676174049</v>
      </c>
      <c r="S41" s="24">
        <v>16.09043159461789</v>
      </c>
      <c r="T41" s="24">
        <f t="shared" si="4"/>
        <v>125.20367084562045</v>
      </c>
      <c r="U41" s="376">
        <v>1338.8</v>
      </c>
      <c r="V41" s="376">
        <v>143.06</v>
      </c>
      <c r="W41" s="22">
        <f t="shared" si="5"/>
        <v>626.42451999999992</v>
      </c>
      <c r="X41" s="22">
        <f t="shared" si="6"/>
        <v>390.69579215681563</v>
      </c>
      <c r="Y41" s="22">
        <v>211.4383276730257</v>
      </c>
      <c r="Z41" s="22">
        <v>179.25746448378993</v>
      </c>
      <c r="AA41" s="371">
        <v>2867.0433841277486</v>
      </c>
      <c r="AB41" s="22">
        <v>0.13627132198966654</v>
      </c>
      <c r="AC41" s="24">
        <v>1.2713219896665351E-3</v>
      </c>
      <c r="AD41" s="384">
        <v>-34213.167900283166</v>
      </c>
    </row>
    <row r="42" spans="1:30">
      <c r="A42" s="21" t="s">
        <v>467</v>
      </c>
      <c r="B42" s="21" t="s">
        <v>468</v>
      </c>
      <c r="C42" s="23">
        <v>1523.7638720103141</v>
      </c>
      <c r="D42" s="147">
        <v>97.67897629907722</v>
      </c>
      <c r="E42" s="22">
        <v>403.19604620188443</v>
      </c>
      <c r="F42" s="22">
        <v>500.87502250096168</v>
      </c>
      <c r="G42" s="22">
        <v>0</v>
      </c>
      <c r="H42" s="22">
        <v>99.529375932458279</v>
      </c>
      <c r="I42" s="22">
        <v>2.4236212589393196</v>
      </c>
      <c r="J42" s="22">
        <v>313.75335957530223</v>
      </c>
      <c r="K42" s="22">
        <v>8.2061201132551247</v>
      </c>
      <c r="L42" s="22">
        <v>1.0056519746636181</v>
      </c>
      <c r="M42" s="388">
        <v>5187.2836200716492</v>
      </c>
      <c r="N42" s="25">
        <v>0.49630000000000002</v>
      </c>
      <c r="O42" s="24">
        <v>1515.5175258180725</v>
      </c>
      <c r="P42" s="24">
        <v>239.59658296360703</v>
      </c>
      <c r="Q42" s="24">
        <v>169.70377072448557</v>
      </c>
      <c r="R42" s="22">
        <v>69.892812239121454</v>
      </c>
      <c r="S42" s="24">
        <v>41.483143954874244</v>
      </c>
      <c r="T42" s="24">
        <f t="shared" si="4"/>
        <v>281.0797269184813</v>
      </c>
      <c r="U42" s="376">
        <v>2574.4499999999998</v>
      </c>
      <c r="V42" s="376">
        <v>259.36</v>
      </c>
      <c r="W42" s="22">
        <f t="shared" si="5"/>
        <v>1277.699535</v>
      </c>
      <c r="X42" s="22">
        <f t="shared" si="6"/>
        <v>809.2984266105467</v>
      </c>
      <c r="Y42" s="22">
        <v>604.1454237791686</v>
      </c>
      <c r="Z42" s="22">
        <v>205.1530028313781</v>
      </c>
      <c r="AA42" s="371">
        <v>5208.2816333026249</v>
      </c>
      <c r="AB42" s="22">
        <v>0.15538684034207309</v>
      </c>
      <c r="AC42" s="24">
        <v>2.0386840342073081E-2</v>
      </c>
      <c r="AD42" s="384">
        <v>-980602.20712885598</v>
      </c>
    </row>
    <row r="43" spans="1:30">
      <c r="A43" s="21" t="s">
        <v>485</v>
      </c>
      <c r="B43" s="21" t="s">
        <v>486</v>
      </c>
      <c r="C43" s="23">
        <v>186.04561531276934</v>
      </c>
      <c r="D43" s="147">
        <v>10.116858865115999</v>
      </c>
      <c r="E43" s="22">
        <v>61.063187901574892</v>
      </c>
      <c r="F43" s="22">
        <v>71.180046766690893</v>
      </c>
      <c r="G43" s="22">
        <v>0</v>
      </c>
      <c r="H43" s="22">
        <v>23.813838760034475</v>
      </c>
      <c r="I43" s="22">
        <v>0.46259990834526438</v>
      </c>
      <c r="J43" s="22">
        <v>118.96862860270602</v>
      </c>
      <c r="K43" s="22">
        <v>14.4813884351561</v>
      </c>
      <c r="L43" s="22">
        <v>0</v>
      </c>
      <c r="M43" s="388">
        <v>770.38975171081142</v>
      </c>
      <c r="N43" s="25">
        <v>0.58360000000000001</v>
      </c>
      <c r="O43" s="24">
        <v>758.26158889636804</v>
      </c>
      <c r="P43" s="24">
        <v>1.0056519746636181</v>
      </c>
      <c r="Q43" s="24">
        <v>0</v>
      </c>
      <c r="R43" s="22">
        <v>1.0056519746636181</v>
      </c>
      <c r="S43" s="24">
        <v>0</v>
      </c>
      <c r="T43" s="24">
        <f t="shared" si="4"/>
        <v>1.0056519746636181</v>
      </c>
      <c r="U43" s="376">
        <v>448.67</v>
      </c>
      <c r="V43" s="376">
        <v>38.520000000000003</v>
      </c>
      <c r="W43" s="22">
        <f t="shared" si="5"/>
        <v>261.84381200000001</v>
      </c>
      <c r="X43" s="22">
        <f t="shared" si="6"/>
        <v>133.50029963659532</v>
      </c>
      <c r="Y43" s="22">
        <v>91.765742688055155</v>
      </c>
      <c r="Z43" s="22">
        <v>41.734556948540153</v>
      </c>
      <c r="AA43" s="371">
        <v>770.3897517108112</v>
      </c>
      <c r="AB43" s="22">
        <v>0.1732892984883691</v>
      </c>
      <c r="AC43" s="24">
        <v>3.8289298488369095E-2</v>
      </c>
      <c r="AD43" s="384">
        <v>-269781.64726285549</v>
      </c>
    </row>
    <row r="44" spans="1:30">
      <c r="A44" s="21" t="s">
        <v>1038</v>
      </c>
      <c r="B44" s="21" t="s">
        <v>1043</v>
      </c>
      <c r="C44" s="23">
        <v>173.17327003707501</v>
      </c>
      <c r="D44" s="147">
        <v>0</v>
      </c>
      <c r="E44" s="22">
        <v>28.94266383081893</v>
      </c>
      <c r="F44" s="22">
        <v>28.94266383081893</v>
      </c>
      <c r="G44" s="22">
        <v>0</v>
      </c>
      <c r="H44" s="22">
        <v>0.85480417846407541</v>
      </c>
      <c r="I44" s="22">
        <v>0</v>
      </c>
      <c r="J44" s="22">
        <v>0</v>
      </c>
      <c r="K44" s="22">
        <v>0</v>
      </c>
      <c r="L44" s="22">
        <v>0</v>
      </c>
      <c r="M44" s="388">
        <v>583.53961481831107</v>
      </c>
      <c r="N44" s="25">
        <v>0.52859999999999996</v>
      </c>
      <c r="O44" s="24">
        <v>597.35727295018921</v>
      </c>
      <c r="P44" s="24">
        <v>0</v>
      </c>
      <c r="Q44" s="24">
        <v>0</v>
      </c>
      <c r="R44" s="22">
        <v>0</v>
      </c>
      <c r="S44" s="24">
        <v>0</v>
      </c>
      <c r="T44" s="24">
        <f t="shared" si="4"/>
        <v>0</v>
      </c>
      <c r="U44" s="376">
        <v>309.45</v>
      </c>
      <c r="V44" s="376">
        <v>0</v>
      </c>
      <c r="W44" s="22">
        <f t="shared" si="5"/>
        <v>163.57526999999999</v>
      </c>
      <c r="X44" s="22">
        <f t="shared" si="6"/>
        <v>0</v>
      </c>
      <c r="Y44" s="22">
        <v>0</v>
      </c>
      <c r="Z44" s="22">
        <v>0</v>
      </c>
      <c r="AA44" s="371">
        <v>583.52955829856444</v>
      </c>
      <c r="AB44" s="22">
        <v>0</v>
      </c>
      <c r="AC44" s="24">
        <v>0</v>
      </c>
      <c r="AD44" s="384">
        <v>0</v>
      </c>
    </row>
    <row r="45" spans="1:30">
      <c r="A45" s="21" t="s">
        <v>179</v>
      </c>
      <c r="B45" s="21" t="s">
        <v>180</v>
      </c>
      <c r="C45" s="23">
        <v>179.40831227998947</v>
      </c>
      <c r="D45" s="147">
        <v>0</v>
      </c>
      <c r="E45" s="22">
        <v>13.827714651624749</v>
      </c>
      <c r="F45" s="22">
        <v>13.827714651624749</v>
      </c>
      <c r="G45" s="22">
        <v>0</v>
      </c>
      <c r="H45" s="22">
        <v>9.0709808114658355</v>
      </c>
      <c r="I45" s="22">
        <v>1.0358215339035266</v>
      </c>
      <c r="J45" s="22">
        <v>79.79848418955811</v>
      </c>
      <c r="K45" s="22">
        <v>0</v>
      </c>
      <c r="L45" s="22">
        <v>0</v>
      </c>
      <c r="M45" s="388">
        <v>676.74343983013523</v>
      </c>
      <c r="N45" s="25">
        <v>0.51580000000000004</v>
      </c>
      <c r="O45" s="24">
        <v>328.8481957150031</v>
      </c>
      <c r="P45" s="24">
        <v>17.347496562947413</v>
      </c>
      <c r="Q45" s="24">
        <v>16.844670575615602</v>
      </c>
      <c r="R45" s="22">
        <v>0.50282598733180905</v>
      </c>
      <c r="S45" s="24">
        <v>1.7598909556613318</v>
      </c>
      <c r="T45" s="24">
        <f t="shared" si="4"/>
        <v>19.107387518608746</v>
      </c>
      <c r="U45" s="376">
        <v>349.54</v>
      </c>
      <c r="V45" s="376">
        <v>0</v>
      </c>
      <c r="W45" s="22">
        <f t="shared" si="5"/>
        <v>180.29273200000003</v>
      </c>
      <c r="X45" s="22">
        <f t="shared" si="6"/>
        <v>111.37595619399571</v>
      </c>
      <c r="Y45" s="22">
        <v>77.435202049098592</v>
      </c>
      <c r="Z45" s="22">
        <v>33.940754144897113</v>
      </c>
      <c r="AA45" s="371">
        <v>689.82697202050883</v>
      </c>
      <c r="AB45" s="22">
        <v>0.16145491653910635</v>
      </c>
      <c r="AC45" s="24">
        <v>2.6454916539106338E-2</v>
      </c>
      <c r="AD45" s="384">
        <v>-181631.69021015984</v>
      </c>
    </row>
    <row r="46" spans="1:30">
      <c r="A46" s="21" t="s">
        <v>13</v>
      </c>
      <c r="B46" s="21" t="s">
        <v>14</v>
      </c>
      <c r="C46" s="23">
        <v>729.20830334833613</v>
      </c>
      <c r="D46" s="147">
        <v>0</v>
      </c>
      <c r="E46" s="22">
        <v>155.83582999387426</v>
      </c>
      <c r="F46" s="22">
        <v>155.83582999387426</v>
      </c>
      <c r="G46" s="22">
        <v>0</v>
      </c>
      <c r="H46" s="22">
        <v>25.302203682536632</v>
      </c>
      <c r="I46" s="22">
        <v>2.3833951799527751</v>
      </c>
      <c r="J46" s="22">
        <v>176.06954772410626</v>
      </c>
      <c r="K46" s="22">
        <v>3.8214775037217485</v>
      </c>
      <c r="L46" s="22">
        <v>0</v>
      </c>
      <c r="M46" s="388">
        <v>2452.5639227701386</v>
      </c>
      <c r="N46" s="25">
        <v>0.57350000000000001</v>
      </c>
      <c r="O46" s="24">
        <v>1354.6132098718936</v>
      </c>
      <c r="P46" s="24">
        <v>18.35314853761103</v>
      </c>
      <c r="Q46" s="24">
        <v>15.336192613620176</v>
      </c>
      <c r="R46" s="22">
        <v>3.0169559239908543</v>
      </c>
      <c r="S46" s="24">
        <v>6.0339118479817087</v>
      </c>
      <c r="T46" s="24">
        <f t="shared" si="4"/>
        <v>24.38706038559274</v>
      </c>
      <c r="U46" s="376">
        <v>1406.55</v>
      </c>
      <c r="V46" s="376">
        <v>122.63</v>
      </c>
      <c r="W46" s="22">
        <f t="shared" si="5"/>
        <v>806.65642500000001</v>
      </c>
      <c r="X46" s="22">
        <f t="shared" si="6"/>
        <v>387.93024922649067</v>
      </c>
      <c r="Y46" s="22">
        <v>266.24636029219289</v>
      </c>
      <c r="Z46" s="22">
        <v>121.6838889342978</v>
      </c>
      <c r="AA46" s="371">
        <v>2452.5639227701386</v>
      </c>
      <c r="AB46" s="22">
        <v>0.15817334896956675</v>
      </c>
      <c r="AC46" s="24">
        <v>2.3173348969566743E-2</v>
      </c>
      <c r="AD46" s="384">
        <v>-526112.48576977884</v>
      </c>
    </row>
    <row r="47" spans="1:30">
      <c r="A47" s="21" t="s">
        <v>249</v>
      </c>
      <c r="B47" s="21" t="s">
        <v>250</v>
      </c>
      <c r="C47" s="23">
        <v>269.04207278175772</v>
      </c>
      <c r="D47" s="147">
        <v>8.8799069362797471</v>
      </c>
      <c r="E47" s="22">
        <v>61.495618250680245</v>
      </c>
      <c r="F47" s="22">
        <v>70.37552518695999</v>
      </c>
      <c r="G47" s="22">
        <v>0</v>
      </c>
      <c r="H47" s="22">
        <v>14.069071125544017</v>
      </c>
      <c r="I47" s="22">
        <v>0</v>
      </c>
      <c r="J47" s="22">
        <v>22.426039034998684</v>
      </c>
      <c r="K47" s="22">
        <v>0</v>
      </c>
      <c r="L47" s="22">
        <v>0</v>
      </c>
      <c r="M47" s="388">
        <v>889.75058458363605</v>
      </c>
      <c r="N47" s="25">
        <v>0.40670000000000001</v>
      </c>
      <c r="O47" s="24">
        <v>22.124343442599599</v>
      </c>
      <c r="P47" s="24">
        <v>13.073475670627037</v>
      </c>
      <c r="Q47" s="24">
        <v>7.2909768163112316</v>
      </c>
      <c r="R47" s="22">
        <v>5.7824988543158042</v>
      </c>
      <c r="S47" s="24">
        <v>1.0056519746636181</v>
      </c>
      <c r="T47" s="24">
        <f t="shared" si="4"/>
        <v>14.079127645290654</v>
      </c>
      <c r="U47" s="376">
        <v>361.86</v>
      </c>
      <c r="V47" s="376">
        <v>44.49</v>
      </c>
      <c r="W47" s="22">
        <f t="shared" si="5"/>
        <v>147.16846200000001</v>
      </c>
      <c r="X47" s="22">
        <f t="shared" si="6"/>
        <v>131.48899568726807</v>
      </c>
      <c r="Y47" s="22">
        <v>106.59910931434352</v>
      </c>
      <c r="Z47" s="22">
        <v>24.889886372924547</v>
      </c>
      <c r="AA47" s="371">
        <v>888.73487608922585</v>
      </c>
      <c r="AB47" s="22">
        <v>0.14795075474687125</v>
      </c>
      <c r="AC47" s="24">
        <v>1.295075474687124E-2</v>
      </c>
      <c r="AD47" s="384">
        <v>-106475.68350690349</v>
      </c>
    </row>
    <row r="48" spans="1:30">
      <c r="A48" s="21" t="s">
        <v>377</v>
      </c>
      <c r="B48" s="21" t="s">
        <v>378</v>
      </c>
      <c r="C48" s="23">
        <v>4283.0013644541232</v>
      </c>
      <c r="D48" s="147">
        <v>372.06106106629881</v>
      </c>
      <c r="E48" s="22">
        <v>574.2675036119125</v>
      </c>
      <c r="F48" s="22">
        <v>946.32856467821125</v>
      </c>
      <c r="G48" s="22">
        <v>0</v>
      </c>
      <c r="H48" s="22">
        <v>149.7918616261459</v>
      </c>
      <c r="I48" s="22">
        <v>9.0307547324792914</v>
      </c>
      <c r="J48" s="22">
        <v>552.46496880120526</v>
      </c>
      <c r="K48" s="22">
        <v>194.69422229487645</v>
      </c>
      <c r="L48" s="22">
        <v>0</v>
      </c>
      <c r="M48" s="388">
        <v>12092.170530270025</v>
      </c>
      <c r="N48" s="25">
        <v>0.68879999999999997</v>
      </c>
      <c r="O48" s="24">
        <v>9401.840311130165</v>
      </c>
      <c r="P48" s="24">
        <v>1594.4612058291664</v>
      </c>
      <c r="Q48" s="24">
        <v>1108.9827150603048</v>
      </c>
      <c r="R48" s="22">
        <v>485.47849076886166</v>
      </c>
      <c r="S48" s="24">
        <v>418.35122146006512</v>
      </c>
      <c r="T48" s="24">
        <f t="shared" si="4"/>
        <v>2012.8124272892314</v>
      </c>
      <c r="U48" s="376">
        <v>8329.09</v>
      </c>
      <c r="V48" s="376">
        <v>604.61</v>
      </c>
      <c r="W48" s="22">
        <f t="shared" si="5"/>
        <v>5737.0771919999997</v>
      </c>
      <c r="X48" s="22">
        <f t="shared" si="6"/>
        <v>1769.1932364269701</v>
      </c>
      <c r="Y48" s="22">
        <v>893.7731924822906</v>
      </c>
      <c r="Z48" s="22">
        <v>875.42004394467961</v>
      </c>
      <c r="AA48" s="371">
        <v>12137.656169084059</v>
      </c>
      <c r="AB48" s="22">
        <v>0.14576069809369779</v>
      </c>
      <c r="AC48" s="24">
        <v>1.0760698093697785E-2</v>
      </c>
      <c r="AD48" s="384">
        <v>-1275020.9717594527</v>
      </c>
    </row>
    <row r="49" spans="1:30">
      <c r="A49" s="21" t="s">
        <v>563</v>
      </c>
      <c r="B49" s="21" t="s">
        <v>564</v>
      </c>
      <c r="C49" s="23">
        <v>136.76866855425206</v>
      </c>
      <c r="D49" s="147">
        <v>6.9188855856856923</v>
      </c>
      <c r="E49" s="22">
        <v>49.578642350916368</v>
      </c>
      <c r="F49" s="22">
        <v>56.497527936602062</v>
      </c>
      <c r="G49" s="22">
        <v>0</v>
      </c>
      <c r="H49" s="22">
        <v>2.0314169888205087</v>
      </c>
      <c r="I49" s="22">
        <v>0.25141299366590453</v>
      </c>
      <c r="J49" s="22">
        <v>0</v>
      </c>
      <c r="K49" s="22">
        <v>0</v>
      </c>
      <c r="L49" s="22">
        <v>0</v>
      </c>
      <c r="M49" s="388">
        <v>520.9780054744873</v>
      </c>
      <c r="N49" s="25">
        <v>0.32319999999999999</v>
      </c>
      <c r="O49" s="24">
        <v>0</v>
      </c>
      <c r="P49" s="24">
        <v>0</v>
      </c>
      <c r="Q49" s="24">
        <v>0</v>
      </c>
      <c r="R49" s="22">
        <v>0</v>
      </c>
      <c r="S49" s="24">
        <v>0</v>
      </c>
      <c r="T49" s="24">
        <f t="shared" si="4"/>
        <v>0</v>
      </c>
      <c r="U49" s="376">
        <v>168.38</v>
      </c>
      <c r="V49" s="376">
        <v>26.05</v>
      </c>
      <c r="W49" s="22">
        <f t="shared" si="5"/>
        <v>54.420415999999996</v>
      </c>
      <c r="X49" s="22">
        <f t="shared" si="6"/>
        <v>78.189441030096305</v>
      </c>
      <c r="Y49" s="22">
        <v>50.282598733180905</v>
      </c>
      <c r="Z49" s="22">
        <v>27.906842296915404</v>
      </c>
      <c r="AA49" s="371">
        <v>520.9780054744873</v>
      </c>
      <c r="AB49" s="22">
        <v>0.15008203841328058</v>
      </c>
      <c r="AC49" s="24">
        <v>1.5082038413280568E-2</v>
      </c>
      <c r="AD49" s="384">
        <v>-71806.97068905292</v>
      </c>
    </row>
    <row r="50" spans="1:30">
      <c r="A50" s="21" t="s">
        <v>529</v>
      </c>
      <c r="B50" s="21" t="s">
        <v>530</v>
      </c>
      <c r="C50" s="23">
        <v>430.75091030766754</v>
      </c>
      <c r="D50" s="147">
        <v>0</v>
      </c>
      <c r="E50" s="22">
        <v>132.33374334598551</v>
      </c>
      <c r="F50" s="22">
        <v>132.33374334598551</v>
      </c>
      <c r="G50" s="22">
        <v>0</v>
      </c>
      <c r="H50" s="22">
        <v>37.018049187367787</v>
      </c>
      <c r="I50" s="22">
        <v>3.9119861814414745</v>
      </c>
      <c r="J50" s="22">
        <v>0</v>
      </c>
      <c r="K50" s="22">
        <v>8.3770809489479383</v>
      </c>
      <c r="L50" s="22">
        <v>0.87491721795734778</v>
      </c>
      <c r="M50" s="388">
        <v>1532.0504442815422</v>
      </c>
      <c r="N50" s="25">
        <v>0.56679999999999997</v>
      </c>
      <c r="O50" s="24">
        <v>1533.6192613620176</v>
      </c>
      <c r="P50" s="24">
        <v>293.90178959544238</v>
      </c>
      <c r="Q50" s="24">
        <v>179.25746448378993</v>
      </c>
      <c r="R50" s="22">
        <v>114.64432511165246</v>
      </c>
      <c r="S50" s="24">
        <v>44.5000998788651</v>
      </c>
      <c r="T50" s="24">
        <f t="shared" si="4"/>
        <v>338.4018894743075</v>
      </c>
      <c r="U50" s="376">
        <v>868.37</v>
      </c>
      <c r="V50" s="376">
        <v>76.599999999999994</v>
      </c>
      <c r="W50" s="22">
        <f t="shared" si="5"/>
        <v>492.192116</v>
      </c>
      <c r="X50" s="22">
        <f t="shared" si="6"/>
        <v>211.1869146793598</v>
      </c>
      <c r="Y50" s="22">
        <v>104.08497937768448</v>
      </c>
      <c r="Z50" s="22">
        <v>107.10193530167533</v>
      </c>
      <c r="AA50" s="371">
        <v>1537.8429996556049</v>
      </c>
      <c r="AB50" s="22">
        <v>0.1373267067747842</v>
      </c>
      <c r="AC50" s="24">
        <v>2.326706774784193E-3</v>
      </c>
      <c r="AD50" s="384">
        <v>-32790.420081161807</v>
      </c>
    </row>
    <row r="51" spans="1:30">
      <c r="A51" s="21" t="s">
        <v>571</v>
      </c>
      <c r="B51" s="21" t="s">
        <v>572</v>
      </c>
      <c r="C51" s="23">
        <v>64.76398716833701</v>
      </c>
      <c r="D51" s="147">
        <v>0</v>
      </c>
      <c r="E51" s="22">
        <v>9.5134676803178273</v>
      </c>
      <c r="F51" s="22">
        <v>9.5134676803178273</v>
      </c>
      <c r="G51" s="22">
        <v>0</v>
      </c>
      <c r="H51" s="22">
        <v>1.2369519288362503</v>
      </c>
      <c r="I51" s="22">
        <v>0</v>
      </c>
      <c r="J51" s="22">
        <v>0</v>
      </c>
      <c r="K51" s="22">
        <v>0</v>
      </c>
      <c r="L51" s="22">
        <v>0</v>
      </c>
      <c r="M51" s="388">
        <v>159.46623362240993</v>
      </c>
      <c r="N51" s="25">
        <v>0.31009999999999999</v>
      </c>
      <c r="O51" s="24">
        <v>0</v>
      </c>
      <c r="P51" s="24">
        <v>0</v>
      </c>
      <c r="Q51" s="24">
        <v>0</v>
      </c>
      <c r="R51" s="22">
        <v>0</v>
      </c>
      <c r="S51" s="24">
        <v>0</v>
      </c>
      <c r="T51" s="24">
        <f t="shared" si="4"/>
        <v>0</v>
      </c>
      <c r="U51" s="376">
        <v>49.45</v>
      </c>
      <c r="V51" s="376">
        <v>0</v>
      </c>
      <c r="W51" s="22">
        <f t="shared" si="5"/>
        <v>15.334445000000001</v>
      </c>
      <c r="X51" s="22">
        <f t="shared" si="6"/>
        <v>29.415320258910832</v>
      </c>
      <c r="Y51" s="22">
        <v>27.906842296915404</v>
      </c>
      <c r="Z51" s="22">
        <v>1.5084779619954272</v>
      </c>
      <c r="AA51" s="371">
        <v>159.46623362240993</v>
      </c>
      <c r="AB51" s="22">
        <v>0.1844611212713628</v>
      </c>
      <c r="AC51" s="24">
        <v>4.946112127136279E-2</v>
      </c>
      <c r="AD51" s="384">
        <v>-76790.080233857268</v>
      </c>
    </row>
    <row r="52" spans="1:30">
      <c r="A52" s="21" t="s">
        <v>499</v>
      </c>
      <c r="B52" s="21" t="s">
        <v>500</v>
      </c>
      <c r="C52" s="23">
        <v>28.158255290581309</v>
      </c>
      <c r="D52" s="147">
        <v>0</v>
      </c>
      <c r="E52" s="22">
        <v>7.4619376520040461</v>
      </c>
      <c r="F52" s="22">
        <v>7.4619376520040461</v>
      </c>
      <c r="G52" s="22">
        <v>0</v>
      </c>
      <c r="H52" s="22">
        <v>0.50282598733180905</v>
      </c>
      <c r="I52" s="22">
        <v>0</v>
      </c>
      <c r="J52" s="22">
        <v>0</v>
      </c>
      <c r="K52" s="22">
        <v>0</v>
      </c>
      <c r="L52" s="22">
        <v>0</v>
      </c>
      <c r="M52" s="388">
        <v>105.05040527336156</v>
      </c>
      <c r="N52" s="25">
        <v>0.8</v>
      </c>
      <c r="O52" s="24">
        <v>102.57650141568905</v>
      </c>
      <c r="P52" s="24">
        <v>0</v>
      </c>
      <c r="Q52" s="24">
        <v>0</v>
      </c>
      <c r="R52" s="22">
        <v>0</v>
      </c>
      <c r="S52" s="24">
        <v>0</v>
      </c>
      <c r="T52" s="24">
        <f t="shared" si="4"/>
        <v>0</v>
      </c>
      <c r="U52" s="376">
        <v>84.04</v>
      </c>
      <c r="V52" s="376">
        <v>5.25</v>
      </c>
      <c r="W52" s="22">
        <f t="shared" si="5"/>
        <v>67.232000000000014</v>
      </c>
      <c r="X52" s="22">
        <f t="shared" si="6"/>
        <v>16.5932575819497</v>
      </c>
      <c r="Y52" s="22">
        <v>16.09043159461789</v>
      </c>
      <c r="Z52" s="22">
        <v>0.50282598733180905</v>
      </c>
      <c r="AA52" s="371">
        <v>105.05040527336155</v>
      </c>
      <c r="AB52" s="22">
        <v>0.1579551981619759</v>
      </c>
      <c r="AC52" s="24">
        <v>2.2955198161975887E-2</v>
      </c>
      <c r="AD52" s="384">
        <v>-22225.131514779066</v>
      </c>
    </row>
    <row r="53" spans="1:30">
      <c r="A53" s="21" t="s">
        <v>533</v>
      </c>
      <c r="B53" s="21" t="s">
        <v>534</v>
      </c>
      <c r="C53" s="23">
        <v>210.3823930996289</v>
      </c>
      <c r="D53" s="147">
        <v>0</v>
      </c>
      <c r="E53" s="22">
        <v>54.737636980940735</v>
      </c>
      <c r="F53" s="22">
        <v>54.737636980940735</v>
      </c>
      <c r="G53" s="22">
        <v>0</v>
      </c>
      <c r="H53" s="22">
        <v>14.159579803263743</v>
      </c>
      <c r="I53" s="22">
        <v>0.50282598733180905</v>
      </c>
      <c r="J53" s="22">
        <v>0</v>
      </c>
      <c r="K53" s="22">
        <v>2.8158255290581304</v>
      </c>
      <c r="L53" s="22">
        <v>0</v>
      </c>
      <c r="M53" s="388">
        <v>712.8664587600523</v>
      </c>
      <c r="N53" s="25">
        <v>0.56020000000000003</v>
      </c>
      <c r="O53" s="24">
        <v>718.0355099098233</v>
      </c>
      <c r="P53" s="24">
        <v>133.24888664292939</v>
      </c>
      <c r="Q53" s="24">
        <v>81.206396954087168</v>
      </c>
      <c r="R53" s="22">
        <v>52.042489688842238</v>
      </c>
      <c r="S53" s="24">
        <v>22.124343442599599</v>
      </c>
      <c r="T53" s="24">
        <f t="shared" si="4"/>
        <v>155.373230085529</v>
      </c>
      <c r="U53" s="376">
        <v>392.58</v>
      </c>
      <c r="V53" s="376">
        <v>35.64</v>
      </c>
      <c r="W53" s="22">
        <f t="shared" si="5"/>
        <v>219.923316</v>
      </c>
      <c r="X53" s="22">
        <f t="shared" si="6"/>
        <v>96.794002561373247</v>
      </c>
      <c r="Y53" s="22">
        <v>72.155529182114606</v>
      </c>
      <c r="Z53" s="22">
        <v>24.638473379258645</v>
      </c>
      <c r="AA53" s="371">
        <v>718.05562294931656</v>
      </c>
      <c r="AB53" s="22">
        <v>0.13480014565418338</v>
      </c>
      <c r="AC53" s="24">
        <v>0</v>
      </c>
      <c r="AD53" s="384">
        <v>0</v>
      </c>
    </row>
    <row r="54" spans="1:30">
      <c r="A54" s="21" t="s">
        <v>491</v>
      </c>
      <c r="B54" s="21" t="s">
        <v>492</v>
      </c>
      <c r="C54" s="23">
        <v>430.51961035349495</v>
      </c>
      <c r="D54" s="147">
        <v>14.702631869582095</v>
      </c>
      <c r="E54" s="22">
        <v>113.76940789369512</v>
      </c>
      <c r="F54" s="22">
        <v>128.47203976327722</v>
      </c>
      <c r="G54" s="22">
        <v>14.229975441490197</v>
      </c>
      <c r="H54" s="22">
        <v>22.114286922852962</v>
      </c>
      <c r="I54" s="22">
        <v>1.5688170804752444</v>
      </c>
      <c r="J54" s="22">
        <v>66.202069492105977</v>
      </c>
      <c r="K54" s="22">
        <v>8.6486069821071148</v>
      </c>
      <c r="L54" s="22">
        <v>0</v>
      </c>
      <c r="M54" s="388">
        <v>1643.7683221469238</v>
      </c>
      <c r="N54" s="25">
        <v>0.53720000000000001</v>
      </c>
      <c r="O54" s="24">
        <v>1117.2793438512797</v>
      </c>
      <c r="P54" s="24">
        <v>16.5932575819497</v>
      </c>
      <c r="Q54" s="24">
        <v>14.581953632622463</v>
      </c>
      <c r="R54" s="22">
        <v>2.0113039493272362</v>
      </c>
      <c r="S54" s="24">
        <v>1.7598909556613318</v>
      </c>
      <c r="T54" s="24">
        <f t="shared" si="4"/>
        <v>18.353148537611034</v>
      </c>
      <c r="U54" s="376">
        <v>853.12</v>
      </c>
      <c r="V54" s="376">
        <v>82.19</v>
      </c>
      <c r="W54" s="22">
        <f t="shared" si="5"/>
        <v>458.296064</v>
      </c>
      <c r="X54" s="22">
        <f t="shared" si="6"/>
        <v>239.8479959572729</v>
      </c>
      <c r="Y54" s="22">
        <v>154.36757811086537</v>
      </c>
      <c r="Z54" s="22">
        <v>85.480417846407533</v>
      </c>
      <c r="AA54" s="371">
        <v>1643.758265627177</v>
      </c>
      <c r="AB54" s="22">
        <v>0.14591439688715951</v>
      </c>
      <c r="AC54" s="24">
        <v>1.0914396887159505E-2</v>
      </c>
      <c r="AD54" s="384">
        <v>-167744.84463791191</v>
      </c>
    </row>
    <row r="55" spans="1:30">
      <c r="A55" s="21" t="s">
        <v>401</v>
      </c>
      <c r="B55" s="21" t="s">
        <v>402</v>
      </c>
      <c r="C55" s="23">
        <v>170.16637063283082</v>
      </c>
      <c r="D55" s="147">
        <v>6.0841944467148892</v>
      </c>
      <c r="E55" s="22">
        <v>44.309026003679016</v>
      </c>
      <c r="F55" s="22">
        <v>50.393220450393905</v>
      </c>
      <c r="G55" s="22">
        <v>0</v>
      </c>
      <c r="H55" s="22">
        <v>1.0257650141568906</v>
      </c>
      <c r="I55" s="22">
        <v>1.9911909098339637</v>
      </c>
      <c r="J55" s="22">
        <v>4.072890497387653</v>
      </c>
      <c r="K55" s="22">
        <v>0</v>
      </c>
      <c r="L55" s="22">
        <v>0</v>
      </c>
      <c r="M55" s="388">
        <v>490.44641152369991</v>
      </c>
      <c r="N55" s="25">
        <v>0.70440000000000003</v>
      </c>
      <c r="O55" s="24">
        <v>506.8485952304635</v>
      </c>
      <c r="P55" s="24">
        <v>0</v>
      </c>
      <c r="Q55" s="24">
        <v>0</v>
      </c>
      <c r="R55" s="22">
        <v>0</v>
      </c>
      <c r="S55" s="24">
        <v>0</v>
      </c>
      <c r="T55" s="24">
        <f t="shared" si="4"/>
        <v>0</v>
      </c>
      <c r="U55" s="376">
        <v>345.47</v>
      </c>
      <c r="V55" s="376">
        <v>24.52</v>
      </c>
      <c r="W55" s="22">
        <f t="shared" si="5"/>
        <v>243.34906800000002</v>
      </c>
      <c r="X55" s="22">
        <f t="shared" si="6"/>
        <v>85.480417846407533</v>
      </c>
      <c r="Y55" s="22">
        <v>53.802380644503572</v>
      </c>
      <c r="Z55" s="22">
        <v>31.678037201903969</v>
      </c>
      <c r="AA55" s="371">
        <v>500.34202695438989</v>
      </c>
      <c r="AB55" s="22">
        <v>0.17084396920788697</v>
      </c>
      <c r="AC55" s="24">
        <v>3.5843969207886961E-2</v>
      </c>
      <c r="AD55" s="384">
        <v>-181951.44728812409</v>
      </c>
    </row>
    <row r="56" spans="1:30">
      <c r="A56" s="21" t="s">
        <v>411</v>
      </c>
      <c r="B56" s="21" t="s">
        <v>412</v>
      </c>
      <c r="C56" s="23">
        <v>206.96317638577261</v>
      </c>
      <c r="D56" s="147">
        <v>0</v>
      </c>
      <c r="E56" s="22">
        <v>0</v>
      </c>
      <c r="F56" s="22">
        <v>0</v>
      </c>
      <c r="G56" s="22">
        <v>0</v>
      </c>
      <c r="H56" s="22">
        <v>0</v>
      </c>
      <c r="I56" s="22">
        <v>0</v>
      </c>
      <c r="J56" s="22">
        <v>0</v>
      </c>
      <c r="K56" s="22">
        <v>0</v>
      </c>
      <c r="L56" s="22">
        <v>0</v>
      </c>
      <c r="M56" s="388">
        <v>453.21717542165277</v>
      </c>
      <c r="N56" s="25">
        <v>0.19209999999999999</v>
      </c>
      <c r="O56" s="24">
        <v>0</v>
      </c>
      <c r="P56" s="24">
        <v>31.929450195569874</v>
      </c>
      <c r="Q56" s="24">
        <v>24.889886372924547</v>
      </c>
      <c r="R56" s="22">
        <v>7.0395638226453272</v>
      </c>
      <c r="S56" s="24">
        <v>0</v>
      </c>
      <c r="T56" s="24">
        <f t="shared" si="4"/>
        <v>31.929450195569874</v>
      </c>
      <c r="U56" s="376">
        <v>87.06</v>
      </c>
      <c r="V56" s="376">
        <v>22.66</v>
      </c>
      <c r="W56" s="22">
        <f t="shared" si="5"/>
        <v>16.724226000000002</v>
      </c>
      <c r="X56" s="22">
        <f t="shared" si="6"/>
        <v>43.494447904201486</v>
      </c>
      <c r="Y56" s="22">
        <v>36.454884081556159</v>
      </c>
      <c r="Z56" s="22">
        <v>7.0395638226453272</v>
      </c>
      <c r="AA56" s="371">
        <v>454.2228273963164</v>
      </c>
      <c r="AB56" s="22">
        <v>9.5755750880067311E-2</v>
      </c>
      <c r="AC56" s="24">
        <v>0</v>
      </c>
      <c r="AD56" s="384">
        <v>0</v>
      </c>
    </row>
    <row r="57" spans="1:30">
      <c r="A57" s="21" t="s">
        <v>157</v>
      </c>
      <c r="B57" s="21" t="s">
        <v>158</v>
      </c>
      <c r="C57" s="23">
        <v>104.99006615488173</v>
      </c>
      <c r="D57" s="147">
        <v>0</v>
      </c>
      <c r="E57" s="22">
        <v>0</v>
      </c>
      <c r="F57" s="22">
        <v>0</v>
      </c>
      <c r="G57" s="22">
        <v>0</v>
      </c>
      <c r="H57" s="22">
        <v>0</v>
      </c>
      <c r="I57" s="22">
        <v>0</v>
      </c>
      <c r="J57" s="22">
        <v>0</v>
      </c>
      <c r="K57" s="22">
        <v>0</v>
      </c>
      <c r="L57" s="22">
        <v>0</v>
      </c>
      <c r="M57" s="388">
        <v>164.72579344990066</v>
      </c>
      <c r="N57" s="25">
        <v>0.50329999999999997</v>
      </c>
      <c r="O57" s="24">
        <v>0</v>
      </c>
      <c r="P57" s="24">
        <v>2.0113039493272362</v>
      </c>
      <c r="Q57" s="24">
        <v>2.0113039493272362</v>
      </c>
      <c r="R57" s="22">
        <v>0</v>
      </c>
      <c r="S57" s="24">
        <v>1.0056519746636181</v>
      </c>
      <c r="T57" s="24">
        <f t="shared" si="4"/>
        <v>3.0169559239908543</v>
      </c>
      <c r="U57" s="376">
        <v>82.91</v>
      </c>
      <c r="V57" s="376">
        <v>8.24</v>
      </c>
      <c r="W57" s="22">
        <f t="shared" si="5"/>
        <v>41.728602999999993</v>
      </c>
      <c r="X57" s="22">
        <f t="shared" si="6"/>
        <v>23.129995417263217</v>
      </c>
      <c r="Y57" s="22">
        <v>15.084779619954272</v>
      </c>
      <c r="Z57" s="22">
        <v>8.0452157973089449</v>
      </c>
      <c r="AA57" s="371">
        <v>164.72579344990066</v>
      </c>
      <c r="AB57" s="22">
        <v>0.14041514041514042</v>
      </c>
      <c r="AC57" s="24">
        <v>5.415140415140407E-3</v>
      </c>
      <c r="AD57" s="384">
        <v>-8940.9952712172599</v>
      </c>
    </row>
    <row r="58" spans="1:30">
      <c r="A58" s="21" t="s">
        <v>127</v>
      </c>
      <c r="B58" s="21" t="s">
        <v>128</v>
      </c>
      <c r="C58" s="23">
        <v>55.713119396364441</v>
      </c>
      <c r="D58" s="147">
        <v>0</v>
      </c>
      <c r="E58" s="22">
        <v>17.186592247001233</v>
      </c>
      <c r="F58" s="22">
        <v>17.186592247001233</v>
      </c>
      <c r="G58" s="22">
        <v>0</v>
      </c>
      <c r="H58" s="22">
        <v>3.9924383394145639</v>
      </c>
      <c r="I58" s="22">
        <v>3.0169559239908543E-2</v>
      </c>
      <c r="J58" s="22">
        <v>0</v>
      </c>
      <c r="K58" s="22">
        <v>0</v>
      </c>
      <c r="L58" s="22">
        <v>0</v>
      </c>
      <c r="M58" s="388">
        <v>219.16173483844233</v>
      </c>
      <c r="N58" s="25">
        <v>0.4098</v>
      </c>
      <c r="O58" s="24">
        <v>0</v>
      </c>
      <c r="P58" s="24">
        <v>0</v>
      </c>
      <c r="Q58" s="24">
        <v>0</v>
      </c>
      <c r="R58" s="22">
        <v>0</v>
      </c>
      <c r="S58" s="24">
        <v>0</v>
      </c>
      <c r="T58" s="24">
        <f t="shared" si="4"/>
        <v>0</v>
      </c>
      <c r="U58" s="376">
        <v>89.81</v>
      </c>
      <c r="V58" s="376">
        <v>10.96</v>
      </c>
      <c r="W58" s="22">
        <f t="shared" si="5"/>
        <v>36.804138000000002</v>
      </c>
      <c r="X58" s="22">
        <f t="shared" si="6"/>
        <v>21.370104461601883</v>
      </c>
      <c r="Y58" s="22">
        <v>9.8051067529702767</v>
      </c>
      <c r="Z58" s="22">
        <v>11.564997708631608</v>
      </c>
      <c r="AA58" s="371">
        <v>219.1617348384423</v>
      </c>
      <c r="AB58" s="22">
        <v>9.7508374248611931E-2</v>
      </c>
      <c r="AC58" s="24">
        <v>0</v>
      </c>
      <c r="AD58" s="384">
        <v>0</v>
      </c>
    </row>
    <row r="59" spans="1:30">
      <c r="A59" s="21" t="s">
        <v>169</v>
      </c>
      <c r="B59" s="21" t="s">
        <v>170</v>
      </c>
      <c r="C59" s="23">
        <v>282.99046567034213</v>
      </c>
      <c r="D59" s="147">
        <v>0.81457809947753068</v>
      </c>
      <c r="E59" s="22">
        <v>14.360710198196466</v>
      </c>
      <c r="F59" s="22">
        <v>15.175288297673998</v>
      </c>
      <c r="G59" s="22">
        <v>0</v>
      </c>
      <c r="H59" s="22">
        <v>36.947653549141329</v>
      </c>
      <c r="I59" s="22">
        <v>1.1263302116232523</v>
      </c>
      <c r="J59" s="22">
        <v>0</v>
      </c>
      <c r="K59" s="22">
        <v>52.092772287575414</v>
      </c>
      <c r="L59" s="22">
        <v>0</v>
      </c>
      <c r="M59" s="388">
        <v>971.31901624860211</v>
      </c>
      <c r="N59" s="25">
        <v>0.3422</v>
      </c>
      <c r="O59" s="24">
        <v>53.299554657171761</v>
      </c>
      <c r="P59" s="24">
        <v>27.9068422969154</v>
      </c>
      <c r="Q59" s="24">
        <v>16.844670575615602</v>
      </c>
      <c r="R59" s="22">
        <v>11.0621717212998</v>
      </c>
      <c r="S59" s="24">
        <v>3.771194904988568</v>
      </c>
      <c r="T59" s="24">
        <f t="shared" si="4"/>
        <v>31.678037201903969</v>
      </c>
      <c r="U59" s="376">
        <v>332.39</v>
      </c>
      <c r="V59" s="376">
        <v>48.57</v>
      </c>
      <c r="W59" s="22">
        <f t="shared" si="5"/>
        <v>113.743858</v>
      </c>
      <c r="X59" s="22">
        <f t="shared" si="6"/>
        <v>144.813884351561</v>
      </c>
      <c r="Y59" s="22">
        <v>99.810958485364097</v>
      </c>
      <c r="Z59" s="22">
        <v>45.002925866196911</v>
      </c>
      <c r="AA59" s="371">
        <v>973.33032019792938</v>
      </c>
      <c r="AB59" s="22">
        <v>0.14878184861446903</v>
      </c>
      <c r="AC59" s="24">
        <v>1.3781848614469017E-2</v>
      </c>
      <c r="AD59" s="384">
        <v>-137217.69694490705</v>
      </c>
    </row>
    <row r="60" spans="1:30">
      <c r="A60" s="21" t="s">
        <v>45</v>
      </c>
      <c r="B60" s="21" t="s">
        <v>46</v>
      </c>
      <c r="C60" s="23">
        <v>56.919901765960788</v>
      </c>
      <c r="D60" s="147">
        <v>0</v>
      </c>
      <c r="E60" s="22">
        <v>3.8214775037217485</v>
      </c>
      <c r="F60" s="22">
        <v>3.8214775037217485</v>
      </c>
      <c r="G60" s="22">
        <v>0</v>
      </c>
      <c r="H60" s="22">
        <v>4.4248686885199202</v>
      </c>
      <c r="I60" s="22">
        <v>0</v>
      </c>
      <c r="J60" s="22">
        <v>89.080651915703285</v>
      </c>
      <c r="K60" s="22">
        <v>0</v>
      </c>
      <c r="L60" s="22">
        <v>0</v>
      </c>
      <c r="M60" s="388">
        <v>309.53967780146166</v>
      </c>
      <c r="N60" s="25">
        <v>0.59550000000000003</v>
      </c>
      <c r="O60" s="24">
        <v>217.2208265273415</v>
      </c>
      <c r="P60" s="24">
        <v>0</v>
      </c>
      <c r="Q60" s="24">
        <v>0</v>
      </c>
      <c r="R60" s="22">
        <v>0</v>
      </c>
      <c r="S60" s="24">
        <v>0</v>
      </c>
      <c r="T60" s="24">
        <f t="shared" si="4"/>
        <v>0</v>
      </c>
      <c r="U60" s="376">
        <v>184.33</v>
      </c>
      <c r="V60" s="376">
        <v>15.48</v>
      </c>
      <c r="W60" s="22">
        <f t="shared" si="5"/>
        <v>109.76851500000001</v>
      </c>
      <c r="X60" s="22">
        <f t="shared" si="6"/>
        <v>31.426624208238067</v>
      </c>
      <c r="Y60" s="22">
        <v>23.884234398260929</v>
      </c>
      <c r="Z60" s="22">
        <v>7.542389809977136</v>
      </c>
      <c r="AA60" s="371">
        <v>309.53967780146166</v>
      </c>
      <c r="AB60" s="22">
        <v>0.10152696556205328</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86.8</v>
      </c>
      <c r="N61" s="25">
        <v>0.4884</v>
      </c>
      <c r="O61" s="24">
        <v>40</v>
      </c>
      <c r="P61" s="24">
        <v>0</v>
      </c>
      <c r="Q61" s="24">
        <v>0</v>
      </c>
      <c r="R61" s="22">
        <v>0</v>
      </c>
      <c r="S61" s="24">
        <v>0</v>
      </c>
      <c r="T61" s="24">
        <f t="shared" si="4"/>
        <v>0</v>
      </c>
      <c r="U61" s="376">
        <v>42.39</v>
      </c>
      <c r="V61" s="376">
        <v>4.34</v>
      </c>
      <c r="W61" s="22">
        <f t="shared" si="5"/>
        <v>20.703275999999999</v>
      </c>
      <c r="X61" s="22">
        <f t="shared" si="6"/>
        <v>22</v>
      </c>
      <c r="Y61" s="22">
        <v>17.5</v>
      </c>
      <c r="Z61" s="22">
        <v>4.5</v>
      </c>
      <c r="AA61" s="371">
        <v>86.8</v>
      </c>
      <c r="AB61" s="22">
        <v>0.25345622119815669</v>
      </c>
      <c r="AC61" s="24">
        <v>0.11845622119815669</v>
      </c>
      <c r="AD61" s="384">
        <v>-94977.533836350296</v>
      </c>
    </row>
    <row r="62" spans="1:30">
      <c r="A62" s="21" t="s">
        <v>103</v>
      </c>
      <c r="B62" s="21" t="s">
        <v>104</v>
      </c>
      <c r="C62" s="23">
        <v>46.259990834526434</v>
      </c>
      <c r="D62" s="147">
        <v>0</v>
      </c>
      <c r="E62" s="22">
        <v>8.1860070737618518</v>
      </c>
      <c r="F62" s="22">
        <v>8.1860070737618518</v>
      </c>
      <c r="G62" s="22">
        <v>0</v>
      </c>
      <c r="H62" s="22">
        <v>0</v>
      </c>
      <c r="I62" s="22">
        <v>0</v>
      </c>
      <c r="J62" s="22">
        <v>34.28267581628274</v>
      </c>
      <c r="K62" s="22">
        <v>26.14695134125407</v>
      </c>
      <c r="L62" s="22">
        <v>0</v>
      </c>
      <c r="M62" s="388">
        <v>243.47839958580857</v>
      </c>
      <c r="N62" s="25">
        <v>0.53210000000000002</v>
      </c>
      <c r="O62" s="24">
        <v>245.37908181792281</v>
      </c>
      <c r="P62" s="24">
        <v>0</v>
      </c>
      <c r="Q62" s="24">
        <v>0</v>
      </c>
      <c r="R62" s="22">
        <v>0</v>
      </c>
      <c r="S62" s="24">
        <v>0</v>
      </c>
      <c r="T62" s="24">
        <f t="shared" si="4"/>
        <v>0</v>
      </c>
      <c r="U62" s="376">
        <v>129.55000000000001</v>
      </c>
      <c r="V62" s="376">
        <v>0</v>
      </c>
      <c r="W62" s="22">
        <f t="shared" si="5"/>
        <v>68.933555000000013</v>
      </c>
      <c r="X62" s="22">
        <f t="shared" si="6"/>
        <v>26.14695134125407</v>
      </c>
      <c r="Y62" s="22">
        <v>23.129995417263217</v>
      </c>
      <c r="Z62" s="22">
        <v>3.0169559239908543</v>
      </c>
      <c r="AA62" s="371">
        <v>243.4783995858086</v>
      </c>
      <c r="AB62" s="22">
        <v>0.10738920325471892</v>
      </c>
      <c r="AC62" s="24">
        <v>0</v>
      </c>
      <c r="AD62" s="384">
        <v>0</v>
      </c>
    </row>
    <row r="63" spans="1:30">
      <c r="A63" s="21" t="s">
        <v>357</v>
      </c>
      <c r="B63" s="21" t="s">
        <v>358</v>
      </c>
      <c r="C63" s="23">
        <v>62.249857231677957</v>
      </c>
      <c r="D63" s="147">
        <v>0</v>
      </c>
      <c r="E63" s="22">
        <v>12.248841051402868</v>
      </c>
      <c r="F63" s="22">
        <v>12.248841051402868</v>
      </c>
      <c r="G63" s="22">
        <v>0</v>
      </c>
      <c r="H63" s="22">
        <v>0</v>
      </c>
      <c r="I63" s="22">
        <v>0</v>
      </c>
      <c r="J63" s="22">
        <v>104.59786188476292</v>
      </c>
      <c r="K63" s="22">
        <v>0</v>
      </c>
      <c r="L63" s="22">
        <v>0</v>
      </c>
      <c r="M63" s="388">
        <v>323.25677073587343</v>
      </c>
      <c r="N63" s="25">
        <v>0.69210000000000005</v>
      </c>
      <c r="O63" s="24">
        <v>228.28299824864132</v>
      </c>
      <c r="P63" s="24">
        <v>0</v>
      </c>
      <c r="Q63" s="24">
        <v>0</v>
      </c>
      <c r="R63" s="22">
        <v>0</v>
      </c>
      <c r="S63" s="24">
        <v>0</v>
      </c>
      <c r="T63" s="24">
        <f t="shared" si="4"/>
        <v>0</v>
      </c>
      <c r="U63" s="376">
        <v>223.73</v>
      </c>
      <c r="V63" s="376">
        <v>16.16</v>
      </c>
      <c r="W63" s="22">
        <f t="shared" si="5"/>
        <v>154.84353300000001</v>
      </c>
      <c r="X63" s="22">
        <f t="shared" si="6"/>
        <v>46.511403828192336</v>
      </c>
      <c r="Y63" s="22">
        <v>36.20347108789025</v>
      </c>
      <c r="Z63" s="22">
        <v>10.307932740302086</v>
      </c>
      <c r="AA63" s="371">
        <v>323.25677073587343</v>
      </c>
      <c r="AB63" s="22">
        <v>0.14388377302140368</v>
      </c>
      <c r="AC63" s="24">
        <v>8.8837730214036681E-3</v>
      </c>
      <c r="AD63" s="384">
        <v>-26048.055048799859</v>
      </c>
    </row>
    <row r="64" spans="1:30">
      <c r="A64" s="21" t="s">
        <v>239</v>
      </c>
      <c r="B64" s="21" t="s">
        <v>240</v>
      </c>
      <c r="C64" s="23">
        <v>25.6</v>
      </c>
      <c r="D64" s="147">
        <v>0</v>
      </c>
      <c r="E64" s="22">
        <v>0</v>
      </c>
      <c r="F64" s="22">
        <v>0</v>
      </c>
      <c r="G64" s="22">
        <v>0</v>
      </c>
      <c r="H64" s="22">
        <v>0</v>
      </c>
      <c r="I64" s="22">
        <v>0</v>
      </c>
      <c r="J64" s="22">
        <v>0</v>
      </c>
      <c r="K64" s="22">
        <v>0</v>
      </c>
      <c r="L64" s="22">
        <v>0</v>
      </c>
      <c r="M64" s="388">
        <v>41.400000000000006</v>
      </c>
      <c r="N64" s="25">
        <v>0</v>
      </c>
      <c r="O64" s="24">
        <v>0</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150.95841791675574</v>
      </c>
      <c r="D65" s="147">
        <v>0</v>
      </c>
      <c r="E65" s="22">
        <v>24.407173425086011</v>
      </c>
      <c r="F65" s="22">
        <v>24.407173425086011</v>
      </c>
      <c r="G65" s="22">
        <v>0</v>
      </c>
      <c r="H65" s="22">
        <v>1.5084779619954272</v>
      </c>
      <c r="I65" s="22">
        <v>0</v>
      </c>
      <c r="J65" s="22">
        <v>4.9075816363584561</v>
      </c>
      <c r="K65" s="22">
        <v>0</v>
      </c>
      <c r="L65" s="22">
        <v>0</v>
      </c>
      <c r="M65" s="388">
        <v>405.66995005955692</v>
      </c>
      <c r="N65" s="25">
        <v>0.47520000000000001</v>
      </c>
      <c r="O65" s="24">
        <v>285.60516080446752</v>
      </c>
      <c r="P65" s="24">
        <v>5.0282598733180901</v>
      </c>
      <c r="Q65" s="24">
        <v>4.0226078986544724</v>
      </c>
      <c r="R65" s="22">
        <v>1.0056519746636181</v>
      </c>
      <c r="S65" s="24">
        <v>0</v>
      </c>
      <c r="T65" s="24">
        <f t="shared" si="4"/>
        <v>5.0282598733180901</v>
      </c>
      <c r="U65" s="376">
        <v>192.77</v>
      </c>
      <c r="V65" s="376">
        <v>20.28</v>
      </c>
      <c r="W65" s="22">
        <f t="shared" si="5"/>
        <v>91.604304000000013</v>
      </c>
      <c r="X65" s="22">
        <f t="shared" si="6"/>
        <v>73.66400714411003</v>
      </c>
      <c r="Y65" s="22">
        <v>67.127269308796514</v>
      </c>
      <c r="Z65" s="22">
        <v>6.5367378353135175</v>
      </c>
      <c r="AA65" s="371">
        <v>409.65233187922485</v>
      </c>
      <c r="AB65" s="22">
        <v>0.17982079292991285</v>
      </c>
      <c r="AC65" s="24">
        <v>4.4820792929912839E-2</v>
      </c>
      <c r="AD65" s="384">
        <v>-188685.60053358215</v>
      </c>
    </row>
    <row r="66" spans="1:30">
      <c r="A66" s="21" t="s">
        <v>311</v>
      </c>
      <c r="B66" s="21" t="s">
        <v>312</v>
      </c>
      <c r="C66" s="23">
        <v>189.86709281649112</v>
      </c>
      <c r="D66" s="147">
        <v>23.964686556234017</v>
      </c>
      <c r="E66" s="22">
        <v>61.958218159025513</v>
      </c>
      <c r="F66" s="22">
        <v>85.922904715259534</v>
      </c>
      <c r="G66" s="22">
        <v>1.7397779161680593</v>
      </c>
      <c r="H66" s="22">
        <v>6.7982073487260584</v>
      </c>
      <c r="I66" s="22">
        <v>0.50282598733180905</v>
      </c>
      <c r="J66" s="22">
        <v>14.843423146035004</v>
      </c>
      <c r="K66" s="22">
        <v>0</v>
      </c>
      <c r="L66" s="22">
        <v>0</v>
      </c>
      <c r="M66" s="388">
        <v>574.21722101317926</v>
      </c>
      <c r="N66" s="25">
        <v>0.55049999999999999</v>
      </c>
      <c r="O66" s="24">
        <v>251.41299366590454</v>
      </c>
      <c r="P66" s="24">
        <v>0</v>
      </c>
      <c r="Q66" s="24">
        <v>0</v>
      </c>
      <c r="R66" s="22">
        <v>0</v>
      </c>
      <c r="S66" s="24">
        <v>0</v>
      </c>
      <c r="T66" s="24">
        <f t="shared" si="4"/>
        <v>0</v>
      </c>
      <c r="U66" s="376">
        <v>316.11</v>
      </c>
      <c r="V66" s="376">
        <v>0</v>
      </c>
      <c r="W66" s="22">
        <f t="shared" si="5"/>
        <v>174.01855499999999</v>
      </c>
      <c r="X66" s="22">
        <f t="shared" si="6"/>
        <v>71.904116188448683</v>
      </c>
      <c r="Y66" s="22">
        <v>51.791076695176329</v>
      </c>
      <c r="Z66" s="22">
        <v>20.11303949327236</v>
      </c>
      <c r="AA66" s="371">
        <v>574.20716449343274</v>
      </c>
      <c r="AB66" s="22">
        <v>0.12522330029072817</v>
      </c>
      <c r="AC66" s="24">
        <v>0</v>
      </c>
      <c r="AD66" s="384">
        <v>0</v>
      </c>
    </row>
    <row r="67" spans="1:30">
      <c r="A67" s="21" t="s">
        <v>73</v>
      </c>
      <c r="B67" s="21" t="s">
        <v>74</v>
      </c>
      <c r="C67" s="23">
        <v>121.48275853936507</v>
      </c>
      <c r="D67" s="147">
        <v>13.294719105053032</v>
      </c>
      <c r="E67" s="22">
        <v>33.045723887446492</v>
      </c>
      <c r="F67" s="22">
        <v>46.340442992499526</v>
      </c>
      <c r="G67" s="22">
        <v>0</v>
      </c>
      <c r="H67" s="22">
        <v>5.6517640976095338</v>
      </c>
      <c r="I67" s="22">
        <v>0.43243034910535577</v>
      </c>
      <c r="J67" s="22">
        <v>0</v>
      </c>
      <c r="K67" s="22">
        <v>1.940908311100783</v>
      </c>
      <c r="L67" s="22">
        <v>7.0395638226453269E-2</v>
      </c>
      <c r="M67" s="388">
        <v>358.26351597391391</v>
      </c>
      <c r="N67" s="25">
        <v>0.53320000000000001</v>
      </c>
      <c r="O67" s="24">
        <v>365.05166680289335</v>
      </c>
      <c r="P67" s="24">
        <v>1.7598909556613318</v>
      </c>
      <c r="Q67" s="24">
        <v>1.7598909556613318</v>
      </c>
      <c r="R67" s="22">
        <v>0</v>
      </c>
      <c r="S67" s="24">
        <v>1.0056519746636181</v>
      </c>
      <c r="T67" s="24">
        <f t="shared" si="4"/>
        <v>2.7655429303249499</v>
      </c>
      <c r="U67" s="376">
        <v>191.03</v>
      </c>
      <c r="V67" s="376">
        <v>17.91</v>
      </c>
      <c r="W67" s="22">
        <f t="shared" si="5"/>
        <v>101.857196</v>
      </c>
      <c r="X67" s="22">
        <f t="shared" si="6"/>
        <v>47.768468796521859</v>
      </c>
      <c r="Y67" s="22">
        <v>35.70064510055844</v>
      </c>
      <c r="Z67" s="22">
        <v>12.067823695963417</v>
      </c>
      <c r="AA67" s="371">
        <v>358.90713323769864</v>
      </c>
      <c r="AB67" s="22">
        <v>0.13309423071534646</v>
      </c>
      <c r="AC67" s="24">
        <v>0</v>
      </c>
      <c r="AD67" s="384">
        <v>0</v>
      </c>
    </row>
    <row r="68" spans="1:30">
      <c r="A68" s="21" t="s">
        <v>475</v>
      </c>
      <c r="B68" s="21" t="s">
        <v>476</v>
      </c>
      <c r="C68" s="23">
        <v>569.84263492339255</v>
      </c>
      <c r="D68" s="147">
        <v>0</v>
      </c>
      <c r="E68" s="22">
        <v>111.66759526664816</v>
      </c>
      <c r="F68" s="22">
        <v>111.66759526664816</v>
      </c>
      <c r="G68" s="22">
        <v>0</v>
      </c>
      <c r="H68" s="22">
        <v>78.380514905282396</v>
      </c>
      <c r="I68" s="22">
        <v>6.5669073945534269</v>
      </c>
      <c r="J68" s="22">
        <v>564.92499676728744</v>
      </c>
      <c r="K68" s="22">
        <v>4.6259990834526432</v>
      </c>
      <c r="L68" s="22">
        <v>0</v>
      </c>
      <c r="M68" s="388">
        <v>2528.9130206866007</v>
      </c>
      <c r="N68" s="25">
        <v>0.48470000000000002</v>
      </c>
      <c r="O68" s="24">
        <v>1338.5227782772756</v>
      </c>
      <c r="P68" s="24">
        <v>24.38706038559274</v>
      </c>
      <c r="Q68" s="24">
        <v>16.844670575615602</v>
      </c>
      <c r="R68" s="22">
        <v>7.542389809977136</v>
      </c>
      <c r="S68" s="24">
        <v>4.2740208923203769</v>
      </c>
      <c r="T68" s="24">
        <f t="shared" si="4"/>
        <v>28.661081277913116</v>
      </c>
      <c r="U68" s="376">
        <v>1225.76</v>
      </c>
      <c r="V68" s="376">
        <v>126.45</v>
      </c>
      <c r="W68" s="22">
        <f t="shared" si="5"/>
        <v>594.12587200000007</v>
      </c>
      <c r="X68" s="22">
        <f t="shared" si="6"/>
        <v>286.61081277913115</v>
      </c>
      <c r="Y68" s="22">
        <v>181.77159442044896</v>
      </c>
      <c r="Z68" s="22">
        <v>104.83921835868219</v>
      </c>
      <c r="AA68" s="371">
        <v>2542.1775702324135</v>
      </c>
      <c r="AB68" s="22">
        <v>0.11274224748703464</v>
      </c>
      <c r="AC68" s="24">
        <v>0</v>
      </c>
      <c r="AD68" s="384">
        <v>0</v>
      </c>
    </row>
    <row r="69" spans="1:30">
      <c r="A69" s="21" t="s">
        <v>373</v>
      </c>
      <c r="B69" s="21" t="s">
        <v>374</v>
      </c>
      <c r="C69" s="23">
        <v>551.05705603667627</v>
      </c>
      <c r="D69" s="147">
        <v>29.88797668700273</v>
      </c>
      <c r="E69" s="22">
        <v>0</v>
      </c>
      <c r="F69" s="22">
        <v>29.88797668700273</v>
      </c>
      <c r="G69" s="22">
        <v>0</v>
      </c>
      <c r="H69" s="22">
        <v>0</v>
      </c>
      <c r="I69" s="22">
        <v>0</v>
      </c>
      <c r="J69" s="22">
        <v>0</v>
      </c>
      <c r="K69" s="22">
        <v>0</v>
      </c>
      <c r="L69" s="22">
        <v>0</v>
      </c>
      <c r="M69" s="388">
        <v>1373.2781105216504</v>
      </c>
      <c r="N69" s="25">
        <v>0.1739</v>
      </c>
      <c r="O69" s="24">
        <v>0</v>
      </c>
      <c r="P69" s="24">
        <v>56.819336568494421</v>
      </c>
      <c r="Q69" s="24">
        <v>49.025533764851382</v>
      </c>
      <c r="R69" s="22">
        <v>7.7938028036430405</v>
      </c>
      <c r="S69" s="24">
        <v>37.963362043551584</v>
      </c>
      <c r="T69" s="24">
        <f t="shared" si="4"/>
        <v>94.782698612046005</v>
      </c>
      <c r="U69" s="376">
        <v>238.81</v>
      </c>
      <c r="V69" s="376">
        <v>68.66</v>
      </c>
      <c r="W69" s="22">
        <f t="shared" si="5"/>
        <v>41.529058999999997</v>
      </c>
      <c r="X69" s="22">
        <f t="shared" si="6"/>
        <v>156.12746906652671</v>
      </c>
      <c r="Y69" s="22">
        <v>82.966287909748488</v>
      </c>
      <c r="Z69" s="22">
        <v>73.161181156778213</v>
      </c>
      <c r="AA69" s="371">
        <v>1374.7865884836458</v>
      </c>
      <c r="AB69" s="22">
        <v>0.11356487645019238</v>
      </c>
      <c r="AC69" s="24">
        <v>0</v>
      </c>
      <c r="AD69" s="384">
        <v>0</v>
      </c>
    </row>
    <row r="70" spans="1:30">
      <c r="A70" s="21" t="s">
        <v>525</v>
      </c>
      <c r="B70" s="21" t="s">
        <v>526</v>
      </c>
      <c r="C70" s="23">
        <v>12.6</v>
      </c>
      <c r="D70" s="147">
        <v>0</v>
      </c>
      <c r="E70" s="22">
        <v>0</v>
      </c>
      <c r="F70" s="22">
        <v>0</v>
      </c>
      <c r="G70" s="22">
        <v>0</v>
      </c>
      <c r="H70" s="22">
        <v>0</v>
      </c>
      <c r="I70" s="22">
        <v>0</v>
      </c>
      <c r="J70" s="22">
        <v>0</v>
      </c>
      <c r="K70" s="22">
        <v>0</v>
      </c>
      <c r="L70" s="22">
        <v>0</v>
      </c>
      <c r="M70" s="388">
        <v>17.600000000000001</v>
      </c>
      <c r="N70" s="25">
        <v>1</v>
      </c>
      <c r="O70" s="24">
        <v>14</v>
      </c>
      <c r="P70" s="24">
        <v>0</v>
      </c>
      <c r="Q70" s="24">
        <v>0</v>
      </c>
      <c r="R70" s="22">
        <v>0</v>
      </c>
      <c r="S70" s="24">
        <v>0</v>
      </c>
      <c r="T70" s="24">
        <f t="shared" si="4"/>
        <v>0</v>
      </c>
      <c r="U70" s="376">
        <v>17.600000000000001</v>
      </c>
      <c r="V70" s="376">
        <v>0</v>
      </c>
      <c r="W70" s="22">
        <f t="shared" si="5"/>
        <v>17.600000000000001</v>
      </c>
      <c r="X70" s="22">
        <f t="shared" si="6"/>
        <v>2</v>
      </c>
      <c r="Y70" s="22">
        <v>2</v>
      </c>
      <c r="Z70" s="22">
        <v>0</v>
      </c>
      <c r="AA70" s="371">
        <v>17.600000000000001</v>
      </c>
      <c r="AB70" s="22">
        <v>0.11363636363636363</v>
      </c>
      <c r="AC70" s="24">
        <v>0</v>
      </c>
      <c r="AD70" s="384">
        <v>0</v>
      </c>
    </row>
    <row r="71" spans="1:30">
      <c r="A71" s="21" t="s">
        <v>469</v>
      </c>
      <c r="B71" s="21" t="s">
        <v>470</v>
      </c>
      <c r="C71" s="23">
        <v>981.53644031118449</v>
      </c>
      <c r="D71" s="147">
        <v>30.762893904960077</v>
      </c>
      <c r="E71" s="22">
        <v>213.32895338539331</v>
      </c>
      <c r="F71" s="22">
        <v>244.09184729035337</v>
      </c>
      <c r="G71" s="22">
        <v>0</v>
      </c>
      <c r="H71" s="22">
        <v>80.91475788143471</v>
      </c>
      <c r="I71" s="22">
        <v>6.446229157593792</v>
      </c>
      <c r="J71" s="22">
        <v>291.33737706005013</v>
      </c>
      <c r="K71" s="22">
        <v>2.8158255290581304</v>
      </c>
      <c r="L71" s="22">
        <v>0</v>
      </c>
      <c r="M71" s="388">
        <v>3522.5373977332411</v>
      </c>
      <c r="N71" s="25">
        <v>0.54749999999999999</v>
      </c>
      <c r="O71" s="24">
        <v>1905.7104919875562</v>
      </c>
      <c r="P71" s="24">
        <v>91.262916700723338</v>
      </c>
      <c r="Q71" s="24">
        <v>63.356074403807938</v>
      </c>
      <c r="R71" s="22">
        <v>27.906842296915404</v>
      </c>
      <c r="S71" s="24">
        <v>32.180863189235779</v>
      </c>
      <c r="T71" s="24">
        <f t="shared" si="4"/>
        <v>123.44377988995912</v>
      </c>
      <c r="U71" s="376">
        <v>1930.7</v>
      </c>
      <c r="V71" s="376">
        <v>176.13</v>
      </c>
      <c r="W71" s="22">
        <f t="shared" si="5"/>
        <v>1057.05825</v>
      </c>
      <c r="X71" s="22">
        <f t="shared" si="6"/>
        <v>539.02945841969927</v>
      </c>
      <c r="Y71" s="22">
        <v>304.9639613167422</v>
      </c>
      <c r="Z71" s="22">
        <v>234.06549710295712</v>
      </c>
      <c r="AA71" s="371">
        <v>3618.6877830308299</v>
      </c>
      <c r="AB71" s="22">
        <v>0.14895716092097766</v>
      </c>
      <c r="AC71" s="24">
        <v>1.3957160920977651E-2</v>
      </c>
      <c r="AD71" s="384">
        <v>-473834.3878149183</v>
      </c>
    </row>
    <row r="72" spans="1:30">
      <c r="A72" s="21" t="s">
        <v>587</v>
      </c>
      <c r="B72" s="21" t="s">
        <v>588</v>
      </c>
      <c r="C72" s="23">
        <v>989.14922575938817</v>
      </c>
      <c r="D72" s="147">
        <v>25.040734169124089</v>
      </c>
      <c r="E72" s="22">
        <v>182.6062855594198</v>
      </c>
      <c r="F72" s="22">
        <v>207.64701972854388</v>
      </c>
      <c r="G72" s="22">
        <v>0</v>
      </c>
      <c r="H72" s="22">
        <v>49.930620542048636</v>
      </c>
      <c r="I72" s="22">
        <v>3.2985384768966672</v>
      </c>
      <c r="J72" s="22">
        <v>3.2180863189235782</v>
      </c>
      <c r="K72" s="22">
        <v>14.280258040223377</v>
      </c>
      <c r="L72" s="22">
        <v>0</v>
      </c>
      <c r="M72" s="388">
        <v>3277.4801245472113</v>
      </c>
      <c r="N72" s="25">
        <v>0.58460000000000001</v>
      </c>
      <c r="O72" s="24">
        <v>3270.3802216060863</v>
      </c>
      <c r="P72" s="24">
        <v>345.69286629061872</v>
      </c>
      <c r="Q72" s="24">
        <v>250.4073416912409</v>
      </c>
      <c r="R72" s="22">
        <v>95.285524599377823</v>
      </c>
      <c r="S72" s="24">
        <v>80.954983960421259</v>
      </c>
      <c r="T72" s="24">
        <f t="shared" si="4"/>
        <v>426.64785025103998</v>
      </c>
      <c r="U72" s="376">
        <v>1916.01</v>
      </c>
      <c r="V72" s="376">
        <v>163.87</v>
      </c>
      <c r="W72" s="22">
        <f t="shared" si="5"/>
        <v>1120.0994459999999</v>
      </c>
      <c r="X72" s="22">
        <f t="shared" si="6"/>
        <v>382.14775037217487</v>
      </c>
      <c r="Y72" s="22">
        <v>207.41571977437124</v>
      </c>
      <c r="Z72" s="22">
        <v>174.73203059780366</v>
      </c>
      <c r="AA72" s="371">
        <v>3329.7639707099729</v>
      </c>
      <c r="AB72" s="22">
        <v>0.11476721885806616</v>
      </c>
      <c r="AC72" s="24">
        <v>0</v>
      </c>
      <c r="AD72" s="384">
        <v>0</v>
      </c>
    </row>
    <row r="73" spans="1:30">
      <c r="A73" s="21" t="s">
        <v>95</v>
      </c>
      <c r="B73" s="21" t="s">
        <v>96</v>
      </c>
      <c r="C73" s="23">
        <v>1579.3362001302257</v>
      </c>
      <c r="D73" s="147">
        <v>132.16278251029269</v>
      </c>
      <c r="E73" s="22">
        <v>346.81919650224199</v>
      </c>
      <c r="F73" s="22">
        <v>478.98197901253468</v>
      </c>
      <c r="G73" s="22">
        <v>0</v>
      </c>
      <c r="H73" s="22">
        <v>129.42740913920764</v>
      </c>
      <c r="I73" s="22">
        <v>6.2350422429144325</v>
      </c>
      <c r="J73" s="22">
        <v>207.13413722146541</v>
      </c>
      <c r="K73" s="22">
        <v>0</v>
      </c>
      <c r="L73" s="22">
        <v>0</v>
      </c>
      <c r="M73" s="388">
        <v>5855.7002615515694</v>
      </c>
      <c r="N73" s="25">
        <v>0.58520000000000005</v>
      </c>
      <c r="O73" s="24">
        <v>5373.1985006277118</v>
      </c>
      <c r="P73" s="24">
        <v>1046.3808796374947</v>
      </c>
      <c r="Q73" s="24">
        <v>684.34616875859217</v>
      </c>
      <c r="R73" s="22">
        <v>362.0347108789025</v>
      </c>
      <c r="S73" s="24">
        <v>245.12766882425692</v>
      </c>
      <c r="T73" s="24">
        <f t="shared" ref="T73:T136" si="7">S73+P73</f>
        <v>1291.5085484617516</v>
      </c>
      <c r="U73" s="376">
        <v>3426.76</v>
      </c>
      <c r="V73" s="376">
        <v>292.79000000000002</v>
      </c>
      <c r="W73" s="22">
        <f t="shared" ref="W73:W136" si="8">U73*N73</f>
        <v>2005.3399520000003</v>
      </c>
      <c r="X73" s="22">
        <f t="shared" ref="X73:X136" si="9">Y73+Z73</f>
        <v>661.97041232232664</v>
      </c>
      <c r="Y73" s="22">
        <v>463.35414732626202</v>
      </c>
      <c r="Z73" s="22">
        <v>198.61626499606459</v>
      </c>
      <c r="AA73" s="371">
        <v>5891.421019691621</v>
      </c>
      <c r="AB73" s="22">
        <v>0.11236175620614136</v>
      </c>
      <c r="AC73" s="24">
        <v>0</v>
      </c>
      <c r="AD73" s="384">
        <v>0</v>
      </c>
    </row>
    <row r="74" spans="1:30">
      <c r="A74" s="21" t="s">
        <v>241</v>
      </c>
      <c r="B74" s="21" t="s">
        <v>242</v>
      </c>
      <c r="C74" s="23">
        <v>17.96</v>
      </c>
      <c r="D74" s="147">
        <v>0</v>
      </c>
      <c r="E74" s="22">
        <v>0</v>
      </c>
      <c r="F74" s="22">
        <v>0</v>
      </c>
      <c r="G74" s="22">
        <v>0</v>
      </c>
      <c r="H74" s="22">
        <v>2.82</v>
      </c>
      <c r="I74" s="22">
        <v>0</v>
      </c>
      <c r="J74" s="22">
        <v>0</v>
      </c>
      <c r="K74" s="22">
        <v>0</v>
      </c>
      <c r="L74" s="22">
        <v>0</v>
      </c>
      <c r="M74" s="388">
        <v>83.259999999999991</v>
      </c>
      <c r="N74" s="25">
        <v>0.74419999999999997</v>
      </c>
      <c r="O74" s="24">
        <v>86</v>
      </c>
      <c r="P74" s="24">
        <v>6</v>
      </c>
      <c r="Q74" s="24">
        <v>1</v>
      </c>
      <c r="R74" s="22">
        <v>5</v>
      </c>
      <c r="S74" s="24">
        <v>5</v>
      </c>
      <c r="T74" s="24">
        <f t="shared" si="7"/>
        <v>11</v>
      </c>
      <c r="U74" s="376">
        <v>61.96</v>
      </c>
      <c r="V74" s="376">
        <v>0</v>
      </c>
      <c r="W74" s="22">
        <f t="shared" si="8"/>
        <v>46.110631999999995</v>
      </c>
      <c r="X74" s="22">
        <f t="shared" si="9"/>
        <v>7.75</v>
      </c>
      <c r="Y74" s="22">
        <v>5.75</v>
      </c>
      <c r="Z74" s="22">
        <v>2</v>
      </c>
      <c r="AA74" s="371">
        <v>83.26</v>
      </c>
      <c r="AB74" s="22">
        <v>9.3081912082632709E-2</v>
      </c>
      <c r="AC74" s="24">
        <v>0</v>
      </c>
      <c r="AD74" s="384">
        <v>0</v>
      </c>
    </row>
    <row r="75" spans="1:30">
      <c r="A75" s="21" t="s">
        <v>385</v>
      </c>
      <c r="B75" s="21" t="s">
        <v>386</v>
      </c>
      <c r="C75" s="23">
        <v>575.43405990252234</v>
      </c>
      <c r="D75" s="147">
        <v>25.38265584050972</v>
      </c>
      <c r="E75" s="22">
        <v>132.59521285939803</v>
      </c>
      <c r="F75" s="22">
        <v>157.97786869990776</v>
      </c>
      <c r="G75" s="22">
        <v>0</v>
      </c>
      <c r="H75" s="22">
        <v>38.657261906069479</v>
      </c>
      <c r="I75" s="22">
        <v>2.3934516996994111</v>
      </c>
      <c r="J75" s="22">
        <v>64.965117563269729</v>
      </c>
      <c r="K75" s="22">
        <v>24.537908181792279</v>
      </c>
      <c r="L75" s="22">
        <v>0</v>
      </c>
      <c r="M75" s="388">
        <v>1918.1001243154121</v>
      </c>
      <c r="N75" s="25">
        <v>0.41880000000000001</v>
      </c>
      <c r="O75" s="24">
        <v>201.13039493272362</v>
      </c>
      <c r="P75" s="24">
        <v>15.336192613620176</v>
      </c>
      <c r="Q75" s="24">
        <v>6.2853248416476131</v>
      </c>
      <c r="R75" s="22">
        <v>9.0508677719725625</v>
      </c>
      <c r="S75" s="24">
        <v>1.0056519746636181</v>
      </c>
      <c r="T75" s="24">
        <f t="shared" si="7"/>
        <v>16.341844588283795</v>
      </c>
      <c r="U75" s="376">
        <v>803.3</v>
      </c>
      <c r="V75" s="376">
        <v>95.91</v>
      </c>
      <c r="W75" s="22">
        <f t="shared" si="8"/>
        <v>336.42203999999998</v>
      </c>
      <c r="X75" s="22">
        <f t="shared" si="9"/>
        <v>212.19256665402344</v>
      </c>
      <c r="Y75" s="22">
        <v>132.7460606555976</v>
      </c>
      <c r="Z75" s="22">
        <v>79.446505998425835</v>
      </c>
      <c r="AA75" s="371">
        <v>1948.5713791477197</v>
      </c>
      <c r="AB75" s="22">
        <v>0.10889648125019355</v>
      </c>
      <c r="AC75" s="24">
        <v>0</v>
      </c>
      <c r="AD75" s="384">
        <v>0</v>
      </c>
    </row>
    <row r="76" spans="1:30">
      <c r="A76" s="21" t="s">
        <v>429</v>
      </c>
      <c r="B76" s="21" t="s">
        <v>430</v>
      </c>
      <c r="C76" s="23">
        <v>5960.8512320223972</v>
      </c>
      <c r="D76" s="147">
        <v>114.23200780204039</v>
      </c>
      <c r="E76" s="22">
        <v>931.10299378180412</v>
      </c>
      <c r="F76" s="22">
        <v>1045.3350015838446</v>
      </c>
      <c r="G76" s="22">
        <v>0</v>
      </c>
      <c r="H76" s="22">
        <v>360.58657203538689</v>
      </c>
      <c r="I76" s="22">
        <v>41.573652632593976</v>
      </c>
      <c r="J76" s="22">
        <v>889.13713687909126</v>
      </c>
      <c r="K76" s="22">
        <v>116.37404650807389</v>
      </c>
      <c r="L76" s="22">
        <v>0</v>
      </c>
      <c r="M76" s="388">
        <v>20173.519403028629</v>
      </c>
      <c r="N76" s="25">
        <v>0.36670000000000003</v>
      </c>
      <c r="O76" s="24">
        <v>2240.5925995505413</v>
      </c>
      <c r="P76" s="24">
        <v>3316.6402124406122</v>
      </c>
      <c r="Q76" s="24">
        <v>2139.2731631031816</v>
      </c>
      <c r="R76" s="22">
        <v>1177.3670493374309</v>
      </c>
      <c r="S76" s="24">
        <v>491.00957662951151</v>
      </c>
      <c r="T76" s="24">
        <f t="shared" si="7"/>
        <v>3807.6497890701239</v>
      </c>
      <c r="U76" s="376">
        <v>7397.63</v>
      </c>
      <c r="V76" s="376">
        <v>1008.68</v>
      </c>
      <c r="W76" s="22">
        <f t="shared" si="8"/>
        <v>2712.7109210000003</v>
      </c>
      <c r="X76" s="22">
        <f t="shared" si="9"/>
        <v>2742.1615219140203</v>
      </c>
      <c r="Y76" s="22">
        <v>1435.065367844983</v>
      </c>
      <c r="Z76" s="22">
        <v>1307.0961540690375</v>
      </c>
      <c r="AA76" s="371">
        <v>20195.945442063628</v>
      </c>
      <c r="AB76" s="22">
        <v>0.13577782381025413</v>
      </c>
      <c r="AC76" s="24">
        <v>7.7782381025412461E-4</v>
      </c>
      <c r="AD76" s="384">
        <v>-163572.86670715141</v>
      </c>
    </row>
    <row r="77" spans="1:30">
      <c r="A77" s="21" t="s">
        <v>245</v>
      </c>
      <c r="B77" s="21" t="s">
        <v>246</v>
      </c>
      <c r="C77" s="23">
        <v>928.25699869350603</v>
      </c>
      <c r="D77" s="147">
        <v>27.615203224262952</v>
      </c>
      <c r="E77" s="22">
        <v>200.58734286640527</v>
      </c>
      <c r="F77" s="22">
        <v>228.20254609066822</v>
      </c>
      <c r="G77" s="22">
        <v>0</v>
      </c>
      <c r="H77" s="22">
        <v>92.328907793866776</v>
      </c>
      <c r="I77" s="22">
        <v>0.54305206631835379</v>
      </c>
      <c r="J77" s="22">
        <v>90.287434285299639</v>
      </c>
      <c r="K77" s="22">
        <v>2.2124343442599601</v>
      </c>
      <c r="L77" s="22">
        <v>0</v>
      </c>
      <c r="M77" s="388">
        <v>3250.8001776593856</v>
      </c>
      <c r="N77" s="25">
        <v>0.40739999999999998</v>
      </c>
      <c r="O77" s="24">
        <v>536.01250249570842</v>
      </c>
      <c r="P77" s="24">
        <v>219.73495646400056</v>
      </c>
      <c r="Q77" s="24">
        <v>148.83649225021549</v>
      </c>
      <c r="R77" s="22">
        <v>70.898464213785076</v>
      </c>
      <c r="S77" s="24">
        <v>38.214775037217485</v>
      </c>
      <c r="T77" s="24">
        <f t="shared" si="7"/>
        <v>257.94973150121803</v>
      </c>
      <c r="U77" s="376">
        <v>1324.7</v>
      </c>
      <c r="V77" s="376">
        <v>162.54</v>
      </c>
      <c r="W77" s="22">
        <f t="shared" si="8"/>
        <v>539.68277999999998</v>
      </c>
      <c r="X77" s="22">
        <f t="shared" si="9"/>
        <v>386.42177126449525</v>
      </c>
      <c r="Y77" s="22">
        <v>253.17288462156586</v>
      </c>
      <c r="Z77" s="22">
        <v>133.24888664292939</v>
      </c>
      <c r="AA77" s="371">
        <v>3252.3891077793542</v>
      </c>
      <c r="AB77" s="22">
        <v>0.11881166688826292</v>
      </c>
      <c r="AC77" s="24">
        <v>0</v>
      </c>
      <c r="AD77" s="384">
        <v>0</v>
      </c>
    </row>
    <row r="78" spans="1:30">
      <c r="A78" s="21" t="s">
        <v>151</v>
      </c>
      <c r="B78" s="21" t="s">
        <v>152</v>
      </c>
      <c r="C78" s="23">
        <v>422.24309460201334</v>
      </c>
      <c r="D78" s="147">
        <v>70.315186068480173</v>
      </c>
      <c r="E78" s="22">
        <v>192.94438785896179</v>
      </c>
      <c r="F78" s="22">
        <v>263.25957392744198</v>
      </c>
      <c r="G78" s="22">
        <v>0</v>
      </c>
      <c r="H78" s="22">
        <v>33.89047154616393</v>
      </c>
      <c r="I78" s="22">
        <v>1.0257650141568906</v>
      </c>
      <c r="J78" s="22">
        <v>69.752020962668553</v>
      </c>
      <c r="K78" s="22">
        <v>38.617035827082937</v>
      </c>
      <c r="L78" s="22">
        <v>0</v>
      </c>
      <c r="M78" s="388">
        <v>1568.1432936522197</v>
      </c>
      <c r="N78" s="25">
        <v>0.77259999999999995</v>
      </c>
      <c r="O78" s="24">
        <v>1569.8227324499078</v>
      </c>
      <c r="P78" s="24">
        <v>122.1867149216296</v>
      </c>
      <c r="Q78" s="24">
        <v>81.709222941418972</v>
      </c>
      <c r="R78" s="22">
        <v>40.47749198021063</v>
      </c>
      <c r="S78" s="24">
        <v>19.107387518608743</v>
      </c>
      <c r="T78" s="24">
        <f t="shared" si="7"/>
        <v>141.29410244023833</v>
      </c>
      <c r="U78" s="376">
        <v>1210.76</v>
      </c>
      <c r="V78" s="376">
        <v>78.41</v>
      </c>
      <c r="W78" s="22">
        <f t="shared" si="8"/>
        <v>935.43317599999989</v>
      </c>
      <c r="X78" s="22">
        <f t="shared" si="9"/>
        <v>269.76614220351559</v>
      </c>
      <c r="Y78" s="22">
        <v>116.65562906097971</v>
      </c>
      <c r="Z78" s="22">
        <v>153.11051314253586</v>
      </c>
      <c r="AA78" s="371">
        <v>1576.3594702852213</v>
      </c>
      <c r="AB78" s="22">
        <v>0.17113237639553433</v>
      </c>
      <c r="AC78" s="24">
        <v>3.6132376395534321E-2</v>
      </c>
      <c r="AD78" s="384">
        <v>-532535.83375828748</v>
      </c>
    </row>
    <row r="79" spans="1:30">
      <c r="A79" s="21" t="s">
        <v>573</v>
      </c>
      <c r="B79" s="21" t="s">
        <v>574</v>
      </c>
      <c r="C79" s="23">
        <v>21</v>
      </c>
      <c r="D79" s="147">
        <v>0</v>
      </c>
      <c r="E79" s="22">
        <v>0</v>
      </c>
      <c r="F79" s="22">
        <v>0</v>
      </c>
      <c r="G79" s="22">
        <v>0</v>
      </c>
      <c r="H79" s="22">
        <v>1.36</v>
      </c>
      <c r="I79" s="22">
        <v>0</v>
      </c>
      <c r="J79" s="22">
        <v>0</v>
      </c>
      <c r="K79" s="22">
        <v>0</v>
      </c>
      <c r="L79" s="22">
        <v>0</v>
      </c>
      <c r="M79" s="388">
        <v>74.679999999999993</v>
      </c>
      <c r="N79" s="25">
        <v>0.59379999999999999</v>
      </c>
      <c r="O79" s="24">
        <v>80</v>
      </c>
      <c r="P79" s="24">
        <v>0</v>
      </c>
      <c r="Q79" s="24">
        <v>0</v>
      </c>
      <c r="R79" s="22">
        <v>0</v>
      </c>
      <c r="S79" s="24">
        <v>0</v>
      </c>
      <c r="T79" s="24">
        <f t="shared" si="7"/>
        <v>0</v>
      </c>
      <c r="U79" s="376">
        <v>44.34</v>
      </c>
      <c r="V79" s="376">
        <v>3.73</v>
      </c>
      <c r="W79" s="22">
        <f t="shared" si="8"/>
        <v>26.329092000000003</v>
      </c>
      <c r="X79" s="22">
        <f t="shared" si="9"/>
        <v>9.25</v>
      </c>
      <c r="Y79" s="22">
        <v>5.25</v>
      </c>
      <c r="Z79" s="22">
        <v>4</v>
      </c>
      <c r="AA79" s="371">
        <v>74.67</v>
      </c>
      <c r="AB79" s="22">
        <v>0.12387839828579081</v>
      </c>
      <c r="AC79" s="24">
        <v>0</v>
      </c>
      <c r="AD79" s="384">
        <v>0</v>
      </c>
    </row>
    <row r="80" spans="1:30">
      <c r="A80" s="21" t="s">
        <v>33</v>
      </c>
      <c r="B80" s="21" t="s">
        <v>34</v>
      </c>
      <c r="C80" s="23">
        <v>115.8511074812488</v>
      </c>
      <c r="D80" s="147">
        <v>0</v>
      </c>
      <c r="E80" s="22">
        <v>0</v>
      </c>
      <c r="F80" s="22">
        <v>0</v>
      </c>
      <c r="G80" s="22">
        <v>0</v>
      </c>
      <c r="H80" s="22">
        <v>8.8497373770398404</v>
      </c>
      <c r="I80" s="22">
        <v>0.65367378353135175</v>
      </c>
      <c r="J80" s="22">
        <v>0</v>
      </c>
      <c r="K80" s="22">
        <v>0</v>
      </c>
      <c r="L80" s="22">
        <v>0</v>
      </c>
      <c r="M80" s="388">
        <v>314.75901154996586</v>
      </c>
      <c r="N80" s="25">
        <v>0.64759999999999995</v>
      </c>
      <c r="O80" s="24">
        <v>314.76906806971249</v>
      </c>
      <c r="P80" s="24">
        <v>51.036837714178617</v>
      </c>
      <c r="Q80" s="24">
        <v>29.666733252576734</v>
      </c>
      <c r="R80" s="22">
        <v>21.370104461601883</v>
      </c>
      <c r="S80" s="24">
        <v>6.0339118479817087</v>
      </c>
      <c r="T80" s="24">
        <f t="shared" si="7"/>
        <v>57.070749562160323</v>
      </c>
      <c r="U80" s="376">
        <v>203.84</v>
      </c>
      <c r="V80" s="376">
        <v>15.74</v>
      </c>
      <c r="W80" s="22">
        <f t="shared" si="8"/>
        <v>132.00678399999998</v>
      </c>
      <c r="X80" s="22">
        <f t="shared" si="9"/>
        <v>36.454884081556159</v>
      </c>
      <c r="Y80" s="22">
        <v>31.426624208238067</v>
      </c>
      <c r="Z80" s="22">
        <v>5.0282598733180901</v>
      </c>
      <c r="AA80" s="371">
        <v>318.66094121166066</v>
      </c>
      <c r="AB80" s="22">
        <v>0.11440022722252029</v>
      </c>
      <c r="AC80" s="24">
        <v>0</v>
      </c>
      <c r="AD80" s="384">
        <v>0</v>
      </c>
    </row>
    <row r="81" spans="1:30">
      <c r="A81" s="21" t="s">
        <v>187</v>
      </c>
      <c r="B81" s="21" t="s">
        <v>188</v>
      </c>
      <c r="C81" s="23">
        <v>1208.763503986429</v>
      </c>
      <c r="D81" s="147">
        <v>24.246269109139831</v>
      </c>
      <c r="E81" s="22">
        <v>421.1268209101367</v>
      </c>
      <c r="F81" s="22">
        <v>445.37309001927656</v>
      </c>
      <c r="G81" s="22">
        <v>0</v>
      </c>
      <c r="H81" s="22">
        <v>89.21138667240956</v>
      </c>
      <c r="I81" s="22">
        <v>5.3400119854638115</v>
      </c>
      <c r="J81" s="22">
        <v>0</v>
      </c>
      <c r="K81" s="22">
        <v>8.246346192241667</v>
      </c>
      <c r="L81" s="22">
        <v>0</v>
      </c>
      <c r="M81" s="388">
        <v>4109.335324949463</v>
      </c>
      <c r="N81" s="25">
        <v>0.29820000000000002</v>
      </c>
      <c r="O81" s="24">
        <v>10.05651974663618</v>
      </c>
      <c r="P81" s="24">
        <v>279.06842296915403</v>
      </c>
      <c r="Q81" s="24">
        <v>192.33094015441696</v>
      </c>
      <c r="R81" s="22">
        <v>86.737482814737064</v>
      </c>
      <c r="S81" s="24">
        <v>51.539663701510428</v>
      </c>
      <c r="T81" s="24">
        <f t="shared" si="7"/>
        <v>330.60808667066448</v>
      </c>
      <c r="U81" s="376">
        <v>1225.4000000000001</v>
      </c>
      <c r="V81" s="376">
        <v>205.47</v>
      </c>
      <c r="W81" s="22">
        <f t="shared" si="8"/>
        <v>365.41428000000008</v>
      </c>
      <c r="X81" s="22">
        <f t="shared" si="9"/>
        <v>597.860098937521</v>
      </c>
      <c r="Y81" s="22">
        <v>348.70982221460957</v>
      </c>
      <c r="Z81" s="22">
        <v>249.1502767229114</v>
      </c>
      <c r="AA81" s="371">
        <v>4096.382527515796</v>
      </c>
      <c r="AB81" s="22">
        <v>0.14594830803071665</v>
      </c>
      <c r="AC81" s="24">
        <v>1.0948308030716641E-2</v>
      </c>
      <c r="AD81" s="384">
        <v>-457706.64021446317</v>
      </c>
    </row>
    <row r="82" spans="1:30">
      <c r="A82" s="21" t="s">
        <v>135</v>
      </c>
      <c r="B82" s="21" t="s">
        <v>136</v>
      </c>
      <c r="C82" s="23">
        <v>728.86638167695048</v>
      </c>
      <c r="D82" s="147">
        <v>41.151278803235257</v>
      </c>
      <c r="E82" s="22">
        <v>206.17876784553499</v>
      </c>
      <c r="F82" s="22">
        <v>247.33004664877024</v>
      </c>
      <c r="G82" s="22">
        <v>0</v>
      </c>
      <c r="H82" s="22">
        <v>45.063264984676728</v>
      </c>
      <c r="I82" s="22">
        <v>3.6605731877755701</v>
      </c>
      <c r="J82" s="22">
        <v>5.008146833824819</v>
      </c>
      <c r="K82" s="22">
        <v>12.470084485828865</v>
      </c>
      <c r="L82" s="22">
        <v>0</v>
      </c>
      <c r="M82" s="388">
        <v>2597.4079766809396</v>
      </c>
      <c r="N82" s="25">
        <v>0.56030000000000002</v>
      </c>
      <c r="O82" s="24">
        <v>1789.0548629265766</v>
      </c>
      <c r="P82" s="24">
        <v>361.53188489157071</v>
      </c>
      <c r="Q82" s="24">
        <v>226.02028130564818</v>
      </c>
      <c r="R82" s="22">
        <v>135.51160358592253</v>
      </c>
      <c r="S82" s="24">
        <v>61.344770454480702</v>
      </c>
      <c r="T82" s="24">
        <f t="shared" si="7"/>
        <v>422.87665534605139</v>
      </c>
      <c r="U82" s="376">
        <v>1455.33</v>
      </c>
      <c r="V82" s="376">
        <v>0</v>
      </c>
      <c r="W82" s="22">
        <f t="shared" si="8"/>
        <v>815.42139899999995</v>
      </c>
      <c r="X82" s="22">
        <f t="shared" si="9"/>
        <v>333.87645558832122</v>
      </c>
      <c r="Y82" s="22">
        <v>240.85364793193654</v>
      </c>
      <c r="Z82" s="22">
        <v>93.022807656384671</v>
      </c>
      <c r="AA82" s="371">
        <v>2612.0301563925482</v>
      </c>
      <c r="AB82" s="22">
        <v>0.12782258840741526</v>
      </c>
      <c r="AC82" s="24">
        <v>0</v>
      </c>
      <c r="AD82" s="384">
        <v>0</v>
      </c>
    </row>
    <row r="83" spans="1:30">
      <c r="A83" s="21" t="s">
        <v>273</v>
      </c>
      <c r="B83" s="21" t="s">
        <v>274</v>
      </c>
      <c r="C83" s="23">
        <v>21.2</v>
      </c>
      <c r="D83" s="147">
        <v>0</v>
      </c>
      <c r="E83" s="22">
        <v>0</v>
      </c>
      <c r="F83" s="22">
        <v>0</v>
      </c>
      <c r="G83" s="22">
        <v>0</v>
      </c>
      <c r="H83" s="22">
        <v>0</v>
      </c>
      <c r="I83" s="22">
        <v>0</v>
      </c>
      <c r="J83" s="22">
        <v>0</v>
      </c>
      <c r="K83" s="22">
        <v>0</v>
      </c>
      <c r="L83" s="22">
        <v>0</v>
      </c>
      <c r="M83" s="388">
        <v>46</v>
      </c>
      <c r="N83" s="25">
        <v>0.6038</v>
      </c>
      <c r="O83" s="24">
        <v>47</v>
      </c>
      <c r="P83" s="24">
        <v>2</v>
      </c>
      <c r="Q83" s="24">
        <v>2</v>
      </c>
      <c r="R83" s="22">
        <v>0</v>
      </c>
      <c r="S83" s="24">
        <v>1.75</v>
      </c>
      <c r="T83" s="24">
        <f t="shared" si="7"/>
        <v>3.75</v>
      </c>
      <c r="U83" s="376">
        <v>27.77</v>
      </c>
      <c r="V83" s="376">
        <v>2.2999999999999998</v>
      </c>
      <c r="W83" s="22">
        <f t="shared" si="8"/>
        <v>16.767526</v>
      </c>
      <c r="X83" s="22">
        <f t="shared" si="9"/>
        <v>6</v>
      </c>
      <c r="Y83" s="22">
        <v>5</v>
      </c>
      <c r="Z83" s="22">
        <v>1</v>
      </c>
      <c r="AA83" s="371">
        <v>46</v>
      </c>
      <c r="AB83" s="22">
        <v>0.13043478260869565</v>
      </c>
      <c r="AC83" s="24">
        <v>0</v>
      </c>
      <c r="AD83" s="384">
        <v>0</v>
      </c>
    </row>
    <row r="84" spans="1:30">
      <c r="A84" s="21" t="s">
        <v>423</v>
      </c>
      <c r="B84" s="21" t="s">
        <v>424</v>
      </c>
      <c r="C84" s="23">
        <v>6322.0713648018218</v>
      </c>
      <c r="D84" s="147">
        <v>419.18591259903593</v>
      </c>
      <c r="E84" s="22">
        <v>1104.9802202011435</v>
      </c>
      <c r="F84" s="22">
        <v>1524.1661328001794</v>
      </c>
      <c r="G84" s="22">
        <v>0</v>
      </c>
      <c r="H84" s="22">
        <v>322.48241871538244</v>
      </c>
      <c r="I84" s="22">
        <v>17.256987885227687</v>
      </c>
      <c r="J84" s="22">
        <v>256.61221437491542</v>
      </c>
      <c r="K84" s="22">
        <v>115.04658590151791</v>
      </c>
      <c r="L84" s="22">
        <v>0</v>
      </c>
      <c r="M84" s="388">
        <v>19863.909329588943</v>
      </c>
      <c r="N84" s="25">
        <v>0.38479999999999998</v>
      </c>
      <c r="O84" s="24">
        <v>7796.8197595670308</v>
      </c>
      <c r="P84" s="24">
        <v>3172.0777410827177</v>
      </c>
      <c r="Q84" s="24">
        <v>2350.7114907762075</v>
      </c>
      <c r="R84" s="22">
        <v>821.3662503065101</v>
      </c>
      <c r="S84" s="24">
        <v>755.99887195337487</v>
      </c>
      <c r="T84" s="24">
        <f t="shared" si="7"/>
        <v>3928.0766130360926</v>
      </c>
      <c r="U84" s="376">
        <v>7576.1</v>
      </c>
      <c r="V84" s="376">
        <v>993.2</v>
      </c>
      <c r="W84" s="22">
        <f t="shared" si="8"/>
        <v>2915.2832800000001</v>
      </c>
      <c r="X84" s="22">
        <f t="shared" si="9"/>
        <v>2419.0958250533331</v>
      </c>
      <c r="Y84" s="22">
        <v>1139.6551002875451</v>
      </c>
      <c r="Z84" s="22">
        <v>1279.4407247657882</v>
      </c>
      <c r="AA84" s="371">
        <v>19959.667510616415</v>
      </c>
      <c r="AB84" s="22">
        <v>0.12119920453417533</v>
      </c>
      <c r="AC84" s="24">
        <v>0</v>
      </c>
      <c r="AD84" s="384">
        <v>0</v>
      </c>
    </row>
    <row r="85" spans="1:30">
      <c r="A85" s="21" t="s">
        <v>65</v>
      </c>
      <c r="B85" s="21" t="s">
        <v>66</v>
      </c>
      <c r="C85" s="23">
        <v>5980.2804281728977</v>
      </c>
      <c r="D85" s="147">
        <v>214.72680963017575</v>
      </c>
      <c r="E85" s="22">
        <v>2184.8090845159504</v>
      </c>
      <c r="F85" s="22">
        <v>2399.5358941461263</v>
      </c>
      <c r="G85" s="22">
        <v>564.74397941184804</v>
      </c>
      <c r="H85" s="22">
        <v>359.03786799440491</v>
      </c>
      <c r="I85" s="22">
        <v>4.8371859981320027</v>
      </c>
      <c r="J85" s="22">
        <v>635.73295230335282</v>
      </c>
      <c r="K85" s="22">
        <v>73.211463755511389</v>
      </c>
      <c r="L85" s="22">
        <v>0</v>
      </c>
      <c r="M85" s="388">
        <v>23084.067291580326</v>
      </c>
      <c r="N85" s="25">
        <v>0.53939999999999999</v>
      </c>
      <c r="O85" s="24">
        <v>13402.323866342038</v>
      </c>
      <c r="P85" s="24">
        <v>3301.8068458143243</v>
      </c>
      <c r="Q85" s="24">
        <v>2136.5076201728566</v>
      </c>
      <c r="R85" s="22">
        <v>1165.2992256414675</v>
      </c>
      <c r="S85" s="24">
        <v>609.67650963981851</v>
      </c>
      <c r="T85" s="24">
        <f t="shared" si="7"/>
        <v>3911.4833554541428</v>
      </c>
      <c r="U85" s="376">
        <v>12409.99</v>
      </c>
      <c r="V85" s="376">
        <v>1154.2</v>
      </c>
      <c r="W85" s="22">
        <f t="shared" si="8"/>
        <v>6693.9486059999999</v>
      </c>
      <c r="X85" s="22">
        <f t="shared" si="9"/>
        <v>3114.0013395458936</v>
      </c>
      <c r="Y85" s="22">
        <v>2434.4320176669535</v>
      </c>
      <c r="Z85" s="22">
        <v>679.56932187893995</v>
      </c>
      <c r="AA85" s="371">
        <v>22694.39726443767</v>
      </c>
      <c r="AB85" s="22">
        <v>0.13721454257018592</v>
      </c>
      <c r="AC85" s="24">
        <v>2.2145425701859123E-3</v>
      </c>
      <c r="AD85" s="384">
        <v>-480427.58907464595</v>
      </c>
    </row>
    <row r="86" spans="1:30">
      <c r="A86" s="21" t="s">
        <v>497</v>
      </c>
      <c r="B86" s="21" t="s">
        <v>498</v>
      </c>
      <c r="C86" s="23">
        <v>13.2</v>
      </c>
      <c r="D86" s="147">
        <v>0</v>
      </c>
      <c r="E86" s="22">
        <v>0</v>
      </c>
      <c r="F86" s="22">
        <v>0</v>
      </c>
      <c r="G86" s="22">
        <v>0</v>
      </c>
      <c r="H86" s="22">
        <v>0</v>
      </c>
      <c r="I86" s="22">
        <v>0</v>
      </c>
      <c r="J86" s="22">
        <v>0</v>
      </c>
      <c r="K86" s="22">
        <v>0</v>
      </c>
      <c r="L86" s="22">
        <v>0</v>
      </c>
      <c r="M86" s="388">
        <v>25.799999999999997</v>
      </c>
      <c r="N86" s="25">
        <v>0.83330000000000004</v>
      </c>
      <c r="O86" s="24">
        <v>24</v>
      </c>
      <c r="P86" s="24">
        <v>0</v>
      </c>
      <c r="Q86" s="24">
        <v>0</v>
      </c>
      <c r="R86" s="22">
        <v>0</v>
      </c>
      <c r="S86" s="24">
        <v>0</v>
      </c>
      <c r="T86" s="24">
        <f t="shared" si="7"/>
        <v>0</v>
      </c>
      <c r="U86" s="376">
        <v>21.5</v>
      </c>
      <c r="V86" s="376">
        <v>1.29</v>
      </c>
      <c r="W86" s="22">
        <f t="shared" si="8"/>
        <v>17.915950000000002</v>
      </c>
      <c r="X86" s="22">
        <f t="shared" si="9"/>
        <v>1</v>
      </c>
      <c r="Y86" s="22">
        <v>1</v>
      </c>
      <c r="Z86" s="22">
        <v>0</v>
      </c>
      <c r="AA86" s="371">
        <v>25.8</v>
      </c>
      <c r="AB86" s="22">
        <v>3.875968992248062E-2</v>
      </c>
      <c r="AC86" s="24">
        <v>0</v>
      </c>
      <c r="AD86" s="384">
        <v>0</v>
      </c>
    </row>
    <row r="87" spans="1:30">
      <c r="A87" s="21" t="s">
        <v>185</v>
      </c>
      <c r="B87" s="21" t="s">
        <v>186</v>
      </c>
      <c r="C87" s="23">
        <v>5762.0137235919065</v>
      </c>
      <c r="D87" s="147">
        <v>89.623703982021652</v>
      </c>
      <c r="E87" s="22">
        <v>1282.3872850515527</v>
      </c>
      <c r="F87" s="22">
        <v>1372.0109890335743</v>
      </c>
      <c r="G87" s="22">
        <v>0</v>
      </c>
      <c r="H87" s="22">
        <v>532.63351186083867</v>
      </c>
      <c r="I87" s="22">
        <v>47.999768750694486</v>
      </c>
      <c r="J87" s="22">
        <v>834.64085637206995</v>
      </c>
      <c r="K87" s="22">
        <v>120.79891519659381</v>
      </c>
      <c r="L87" s="22">
        <v>0</v>
      </c>
      <c r="M87" s="388">
        <v>20563.24976928977</v>
      </c>
      <c r="N87" s="25">
        <v>0.65649999999999997</v>
      </c>
      <c r="O87" s="24">
        <v>18936.426682915928</v>
      </c>
      <c r="P87" s="24">
        <v>5080.8051889942644</v>
      </c>
      <c r="Q87" s="24">
        <v>3258.0609849164566</v>
      </c>
      <c r="R87" s="22">
        <v>1822.7442040778078</v>
      </c>
      <c r="S87" s="24">
        <v>660.46193436033116</v>
      </c>
      <c r="T87" s="24">
        <f t="shared" si="7"/>
        <v>5741.2671233545952</v>
      </c>
      <c r="U87" s="376">
        <v>12849.97</v>
      </c>
      <c r="V87" s="376">
        <v>1028.1600000000001</v>
      </c>
      <c r="W87" s="22">
        <f t="shared" si="8"/>
        <v>8436.0053049999988</v>
      </c>
      <c r="X87" s="22">
        <f t="shared" si="9"/>
        <v>2671.0116447065698</v>
      </c>
      <c r="Y87" s="22">
        <v>1330.9803884672986</v>
      </c>
      <c r="Z87" s="22">
        <v>1340.0312562392712</v>
      </c>
      <c r="AA87" s="371">
        <v>20662.085245359711</v>
      </c>
      <c r="AB87" s="22">
        <v>0.12927115598395014</v>
      </c>
      <c r="AC87" s="24">
        <v>0</v>
      </c>
      <c r="AD87" s="384">
        <v>0</v>
      </c>
    </row>
    <row r="88" spans="1:30">
      <c r="A88" s="21" t="s">
        <v>541</v>
      </c>
      <c r="B88" s="21" t="s">
        <v>542</v>
      </c>
      <c r="C88" s="23">
        <v>1351.1034844803175</v>
      </c>
      <c r="D88" s="147">
        <v>18.081622504451854</v>
      </c>
      <c r="E88" s="22">
        <v>253.64554104965777</v>
      </c>
      <c r="F88" s="22">
        <v>271.72716355410961</v>
      </c>
      <c r="G88" s="22">
        <v>0</v>
      </c>
      <c r="H88" s="22">
        <v>94.692189934326279</v>
      </c>
      <c r="I88" s="22">
        <v>17.468174799907047</v>
      </c>
      <c r="J88" s="22">
        <v>97.568354581864227</v>
      </c>
      <c r="K88" s="22">
        <v>36.867201391168237</v>
      </c>
      <c r="L88" s="22">
        <v>3.1577472004437608</v>
      </c>
      <c r="M88" s="388">
        <v>4400.1095369037002</v>
      </c>
      <c r="N88" s="25">
        <v>0.48709999999999998</v>
      </c>
      <c r="O88" s="24">
        <v>1690.500969409542</v>
      </c>
      <c r="P88" s="24">
        <v>337.89906348697571</v>
      </c>
      <c r="Q88" s="24">
        <v>224.26039034998684</v>
      </c>
      <c r="R88" s="22">
        <v>113.63867313698884</v>
      </c>
      <c r="S88" s="24">
        <v>57.573575549492134</v>
      </c>
      <c r="T88" s="24">
        <f t="shared" si="7"/>
        <v>395.47263903646785</v>
      </c>
      <c r="U88" s="376">
        <v>2141.9699999999998</v>
      </c>
      <c r="V88" s="376">
        <v>220.01</v>
      </c>
      <c r="W88" s="22">
        <f t="shared" si="8"/>
        <v>1043.3535869999998</v>
      </c>
      <c r="X88" s="22">
        <f t="shared" si="9"/>
        <v>614.95618250680241</v>
      </c>
      <c r="Y88" s="22">
        <v>350.72112616393679</v>
      </c>
      <c r="Z88" s="22">
        <v>264.23505634286568</v>
      </c>
      <c r="AA88" s="371">
        <v>4403.2170015054126</v>
      </c>
      <c r="AB88" s="22">
        <v>0.13966065771833536</v>
      </c>
      <c r="AC88" s="24">
        <v>4.6606577183353481E-3</v>
      </c>
      <c r="AD88" s="384">
        <v>-202026.09239505019</v>
      </c>
    </row>
    <row r="89" spans="1:30">
      <c r="A89" s="21" t="s">
        <v>389</v>
      </c>
      <c r="B89" s="21" t="s">
        <v>390</v>
      </c>
      <c r="C89" s="23">
        <v>1089.7244797454964</v>
      </c>
      <c r="D89" s="147">
        <v>47.999768750694486</v>
      </c>
      <c r="E89" s="22">
        <v>316.85076765726615</v>
      </c>
      <c r="F89" s="22">
        <v>364.85053640796065</v>
      </c>
      <c r="G89" s="22">
        <v>0</v>
      </c>
      <c r="H89" s="22">
        <v>61.867709481305788</v>
      </c>
      <c r="I89" s="22">
        <v>2.3733386602061386</v>
      </c>
      <c r="J89" s="22">
        <v>6.9289421054323288</v>
      </c>
      <c r="K89" s="22">
        <v>17.860379070025861</v>
      </c>
      <c r="L89" s="22">
        <v>0</v>
      </c>
      <c r="M89" s="388">
        <v>3727.0870093798212</v>
      </c>
      <c r="N89" s="25">
        <v>0.45729999999999998</v>
      </c>
      <c r="O89" s="24">
        <v>845.75331069210279</v>
      </c>
      <c r="P89" s="24">
        <v>520.92772287575417</v>
      </c>
      <c r="Q89" s="24">
        <v>357.50927699291623</v>
      </c>
      <c r="R89" s="22">
        <v>163.41844588283794</v>
      </c>
      <c r="S89" s="24">
        <v>107.10193530167533</v>
      </c>
      <c r="T89" s="24">
        <f t="shared" si="7"/>
        <v>628.0296581774295</v>
      </c>
      <c r="U89" s="376">
        <v>1704.4</v>
      </c>
      <c r="V89" s="376">
        <v>186.35</v>
      </c>
      <c r="W89" s="22">
        <f t="shared" si="8"/>
        <v>779.42212000000006</v>
      </c>
      <c r="X89" s="22">
        <f t="shared" si="9"/>
        <v>391.19861814414742</v>
      </c>
      <c r="Y89" s="22">
        <v>179.25746448378993</v>
      </c>
      <c r="Z89" s="22">
        <v>211.94115366035751</v>
      </c>
      <c r="AA89" s="371">
        <v>3740.9247805511932</v>
      </c>
      <c r="AB89" s="22">
        <v>0.10457270356730018</v>
      </c>
      <c r="AC89" s="24">
        <v>0</v>
      </c>
      <c r="AD89" s="384">
        <v>0</v>
      </c>
    </row>
    <row r="90" spans="1:30">
      <c r="A90" s="21" t="s">
        <v>23</v>
      </c>
      <c r="B90" s="21" t="s">
        <v>24</v>
      </c>
      <c r="C90" s="23">
        <v>221.42445178143544</v>
      </c>
      <c r="D90" s="147">
        <v>5.7121032160893508</v>
      </c>
      <c r="E90" s="22">
        <v>64.864552365803362</v>
      </c>
      <c r="F90" s="22">
        <v>70.576655581892709</v>
      </c>
      <c r="G90" s="22">
        <v>0</v>
      </c>
      <c r="H90" s="22">
        <v>13.435510381505937</v>
      </c>
      <c r="I90" s="22">
        <v>0.53299554657171766</v>
      </c>
      <c r="J90" s="22">
        <v>17.166479207507962</v>
      </c>
      <c r="K90" s="22">
        <v>0</v>
      </c>
      <c r="L90" s="22">
        <v>0</v>
      </c>
      <c r="M90" s="388">
        <v>850.78157056542091</v>
      </c>
      <c r="N90" s="25">
        <v>0.79310000000000003</v>
      </c>
      <c r="O90" s="24">
        <v>874.9172179573477</v>
      </c>
      <c r="P90" s="24">
        <v>167.94387976882422</v>
      </c>
      <c r="Q90" s="24">
        <v>113.89008613065475</v>
      </c>
      <c r="R90" s="22">
        <v>54.053793638169473</v>
      </c>
      <c r="S90" s="24">
        <v>29.163907265244926</v>
      </c>
      <c r="T90" s="24">
        <f t="shared" si="7"/>
        <v>197.10778703406913</v>
      </c>
      <c r="U90" s="376">
        <v>674.75</v>
      </c>
      <c r="V90" s="376">
        <v>42.54</v>
      </c>
      <c r="W90" s="22">
        <f t="shared" si="8"/>
        <v>535.14422500000001</v>
      </c>
      <c r="X90" s="22">
        <f t="shared" si="9"/>
        <v>101.06802345369363</v>
      </c>
      <c r="Y90" s="22">
        <v>61.847596441812513</v>
      </c>
      <c r="Z90" s="22">
        <v>39.220427011881107</v>
      </c>
      <c r="AA90" s="371">
        <v>868.37042360228759</v>
      </c>
      <c r="AB90" s="22">
        <v>0.11638814578049544</v>
      </c>
      <c r="AC90" s="24">
        <v>0</v>
      </c>
      <c r="AD90" s="384">
        <v>0</v>
      </c>
    </row>
    <row r="91" spans="1:30">
      <c r="A91" s="21" t="s">
        <v>381</v>
      </c>
      <c r="B91" s="21" t="s">
        <v>382</v>
      </c>
      <c r="C91" s="23">
        <v>2199.0088903982005</v>
      </c>
      <c r="D91" s="147">
        <v>108.21820899355194</v>
      </c>
      <c r="E91" s="22">
        <v>531.69825552440159</v>
      </c>
      <c r="F91" s="22">
        <v>639.9164645179535</v>
      </c>
      <c r="G91" s="22">
        <v>0</v>
      </c>
      <c r="H91" s="22">
        <v>135.49149054642925</v>
      </c>
      <c r="I91" s="22">
        <v>13.123758269360216</v>
      </c>
      <c r="J91" s="22">
        <v>98.352763122101848</v>
      </c>
      <c r="K91" s="22">
        <v>0</v>
      </c>
      <c r="L91" s="22">
        <v>0</v>
      </c>
      <c r="M91" s="388">
        <v>7356.7263424147386</v>
      </c>
      <c r="N91" s="25">
        <v>0.7823</v>
      </c>
      <c r="O91" s="24">
        <v>7436.796352637456</v>
      </c>
      <c r="P91" s="24">
        <v>929.22242458918322</v>
      </c>
      <c r="Q91" s="24">
        <v>606.40814072216176</v>
      </c>
      <c r="R91" s="22">
        <v>322.8142838670214</v>
      </c>
      <c r="S91" s="24">
        <v>174.48061760413773</v>
      </c>
      <c r="T91" s="24">
        <f t="shared" si="7"/>
        <v>1103.7030421933209</v>
      </c>
      <c r="U91" s="376">
        <v>5755.17</v>
      </c>
      <c r="V91" s="376">
        <v>367.84</v>
      </c>
      <c r="W91" s="22">
        <f t="shared" si="8"/>
        <v>4502.269491</v>
      </c>
      <c r="X91" s="22">
        <f t="shared" si="9"/>
        <v>959.8948098164235</v>
      </c>
      <c r="Y91" s="22">
        <v>478.18751395255043</v>
      </c>
      <c r="Z91" s="22">
        <v>481.70729586387307</v>
      </c>
      <c r="AA91" s="371">
        <v>7419.911455982854</v>
      </c>
      <c r="AB91" s="22">
        <v>0.12936742109536054</v>
      </c>
      <c r="AC91" s="24">
        <v>0</v>
      </c>
      <c r="AD91" s="384">
        <v>0</v>
      </c>
    </row>
    <row r="92" spans="1:30">
      <c r="A92" s="21" t="s">
        <v>465</v>
      </c>
      <c r="B92" s="21" t="s">
        <v>466</v>
      </c>
      <c r="C92" s="23">
        <v>211.38804507429251</v>
      </c>
      <c r="D92" s="147">
        <v>34.503919250708741</v>
      </c>
      <c r="E92" s="22">
        <v>89.110821474943194</v>
      </c>
      <c r="F92" s="22">
        <v>123.61474072565193</v>
      </c>
      <c r="G92" s="22">
        <v>0</v>
      </c>
      <c r="H92" s="22">
        <v>21.792478290960606</v>
      </c>
      <c r="I92" s="22">
        <v>0.33186515163899399</v>
      </c>
      <c r="J92" s="22">
        <v>1.8101735543945126</v>
      </c>
      <c r="K92" s="22">
        <v>0.80452157973089455</v>
      </c>
      <c r="L92" s="22">
        <v>0</v>
      </c>
      <c r="M92" s="388">
        <v>862.71865950467804</v>
      </c>
      <c r="N92" s="25">
        <v>0.2266</v>
      </c>
      <c r="O92" s="24">
        <v>0</v>
      </c>
      <c r="P92" s="24">
        <v>0</v>
      </c>
      <c r="Q92" s="24">
        <v>0</v>
      </c>
      <c r="R92" s="22">
        <v>0</v>
      </c>
      <c r="S92" s="24">
        <v>0</v>
      </c>
      <c r="T92" s="24">
        <f t="shared" si="7"/>
        <v>0</v>
      </c>
      <c r="U92" s="376">
        <v>195.49</v>
      </c>
      <c r="V92" s="376">
        <v>0</v>
      </c>
      <c r="W92" s="22">
        <f t="shared" si="8"/>
        <v>44.298034000000001</v>
      </c>
      <c r="X92" s="22">
        <f t="shared" si="9"/>
        <v>103.07932740302086</v>
      </c>
      <c r="Y92" s="22">
        <v>75.675311093437259</v>
      </c>
      <c r="Z92" s="22">
        <v>27.404016309583593</v>
      </c>
      <c r="AA92" s="371">
        <v>867.59607158179665</v>
      </c>
      <c r="AB92" s="22">
        <v>0.11881027448071216</v>
      </c>
      <c r="AC92" s="24">
        <v>0</v>
      </c>
      <c r="AD92" s="384">
        <v>0</v>
      </c>
    </row>
    <row r="93" spans="1:30">
      <c r="A93" s="21" t="s">
        <v>567</v>
      </c>
      <c r="B93" s="21" t="s">
        <v>568</v>
      </c>
      <c r="C93" s="23">
        <v>37.410253457486597</v>
      </c>
      <c r="D93" s="147">
        <v>0</v>
      </c>
      <c r="E93" s="22">
        <v>4.8975251166118206</v>
      </c>
      <c r="F93" s="22">
        <v>4.8975251166118206</v>
      </c>
      <c r="G93" s="22">
        <v>0</v>
      </c>
      <c r="H93" s="22">
        <v>2.7655429303249499</v>
      </c>
      <c r="I93" s="22">
        <v>0</v>
      </c>
      <c r="J93" s="22">
        <v>0</v>
      </c>
      <c r="K93" s="22">
        <v>0</v>
      </c>
      <c r="L93" s="22">
        <v>0</v>
      </c>
      <c r="M93" s="388">
        <v>105.85492685309245</v>
      </c>
      <c r="N93" s="25">
        <v>0.52249999999999996</v>
      </c>
      <c r="O93" s="24">
        <v>82.463461922416684</v>
      </c>
      <c r="P93" s="24">
        <v>0</v>
      </c>
      <c r="Q93" s="24">
        <v>0</v>
      </c>
      <c r="R93" s="22">
        <v>0</v>
      </c>
      <c r="S93" s="24">
        <v>0</v>
      </c>
      <c r="T93" s="24">
        <f t="shared" si="7"/>
        <v>0</v>
      </c>
      <c r="U93" s="376">
        <v>55.31</v>
      </c>
      <c r="V93" s="376">
        <v>0</v>
      </c>
      <c r="W93" s="22">
        <f t="shared" si="8"/>
        <v>28.899474999999999</v>
      </c>
      <c r="X93" s="22">
        <f t="shared" si="9"/>
        <v>13.576301657958844</v>
      </c>
      <c r="Y93" s="22">
        <v>11.0621717212998</v>
      </c>
      <c r="Z93" s="22">
        <v>2.5141299366590451</v>
      </c>
      <c r="AA93" s="371">
        <v>105.85492685309245</v>
      </c>
      <c r="AB93" s="22">
        <v>0.12825384761542843</v>
      </c>
      <c r="AC93" s="24">
        <v>0</v>
      </c>
      <c r="AD93" s="384">
        <v>0</v>
      </c>
    </row>
    <row r="94" spans="1:30">
      <c r="A94" s="21" t="s">
        <v>259</v>
      </c>
      <c r="B94" s="21" t="s">
        <v>260</v>
      </c>
      <c r="C94" s="23">
        <v>10.57</v>
      </c>
      <c r="D94" s="147">
        <v>0</v>
      </c>
      <c r="E94" s="22">
        <v>0</v>
      </c>
      <c r="F94" s="22">
        <v>0</v>
      </c>
      <c r="G94" s="22">
        <v>0</v>
      </c>
      <c r="H94" s="22">
        <v>1</v>
      </c>
      <c r="I94" s="22">
        <v>0</v>
      </c>
      <c r="J94" s="22">
        <v>0</v>
      </c>
      <c r="K94" s="22">
        <v>0</v>
      </c>
      <c r="L94" s="22">
        <v>0</v>
      </c>
      <c r="M94" s="388">
        <v>51.97</v>
      </c>
      <c r="N94" s="25">
        <v>0.56599999999999995</v>
      </c>
      <c r="O94" s="24">
        <v>16</v>
      </c>
      <c r="P94" s="24">
        <v>0</v>
      </c>
      <c r="Q94" s="24">
        <v>0</v>
      </c>
      <c r="R94" s="22">
        <v>0</v>
      </c>
      <c r="S94" s="24">
        <v>0</v>
      </c>
      <c r="T94" s="24">
        <f t="shared" si="7"/>
        <v>0</v>
      </c>
      <c r="U94" s="376">
        <v>29.42</v>
      </c>
      <c r="V94" s="376">
        <v>0</v>
      </c>
      <c r="W94" s="22">
        <f t="shared" si="8"/>
        <v>16.651720000000001</v>
      </c>
      <c r="X94" s="22">
        <f t="shared" si="9"/>
        <v>12</v>
      </c>
      <c r="Y94" s="22">
        <v>9</v>
      </c>
      <c r="Z94" s="22">
        <v>3</v>
      </c>
      <c r="AA94" s="371">
        <v>51.97</v>
      </c>
      <c r="AB94" s="22">
        <v>0.23090244371752935</v>
      </c>
      <c r="AC94" s="24">
        <v>9.5902443717529345E-2</v>
      </c>
      <c r="AD94" s="384">
        <v>-46000.396967217675</v>
      </c>
    </row>
    <row r="95" spans="1:30">
      <c r="A95" s="21" t="s">
        <v>265</v>
      </c>
      <c r="B95" s="21" t="s">
        <v>266</v>
      </c>
      <c r="C95" s="23">
        <v>218.22647850200514</v>
      </c>
      <c r="D95" s="147">
        <v>27.25316851338405</v>
      </c>
      <c r="E95" s="22">
        <v>80.713627486501991</v>
      </c>
      <c r="F95" s="22">
        <v>107.96679599988605</v>
      </c>
      <c r="G95" s="22">
        <v>0</v>
      </c>
      <c r="H95" s="22">
        <v>6.7479247499928778</v>
      </c>
      <c r="I95" s="22">
        <v>1.3475736460492485</v>
      </c>
      <c r="J95" s="22">
        <v>1386.6935078636629</v>
      </c>
      <c r="K95" s="22">
        <v>0</v>
      </c>
      <c r="L95" s="22">
        <v>0</v>
      </c>
      <c r="M95" s="388">
        <v>2253.3140970300356</v>
      </c>
      <c r="N95" s="25">
        <v>0.59160000000000001</v>
      </c>
      <c r="O95" s="24">
        <v>548.08032619167182</v>
      </c>
      <c r="P95" s="24">
        <v>71.652703194782788</v>
      </c>
      <c r="Q95" s="24">
        <v>39.723252999212917</v>
      </c>
      <c r="R95" s="22">
        <v>31.929450195569874</v>
      </c>
      <c r="S95" s="24">
        <v>5.0282598733180901</v>
      </c>
      <c r="T95" s="24">
        <f t="shared" si="7"/>
        <v>76.68096306810088</v>
      </c>
      <c r="U95" s="376">
        <v>1333.06</v>
      </c>
      <c r="V95" s="376">
        <v>0</v>
      </c>
      <c r="W95" s="22">
        <f t="shared" si="8"/>
        <v>788.63829599999997</v>
      </c>
      <c r="X95" s="22">
        <f t="shared" si="9"/>
        <v>305.71820029773994</v>
      </c>
      <c r="Y95" s="22">
        <v>225.51745531831637</v>
      </c>
      <c r="Z95" s="22">
        <v>80.200744979423547</v>
      </c>
      <c r="AA95" s="371">
        <v>2253.3241535497823</v>
      </c>
      <c r="AB95" s="22">
        <v>0.13567431024787344</v>
      </c>
      <c r="AC95" s="24">
        <v>6.7431024787342753E-4</v>
      </c>
      <c r="AD95" s="384">
        <v>-13495.458983697945</v>
      </c>
    </row>
    <row r="96" spans="1:30">
      <c r="A96" s="21" t="s">
        <v>139</v>
      </c>
      <c r="B96" s="21" t="s">
        <v>140</v>
      </c>
      <c r="C96" s="23">
        <v>195.45851779562082</v>
      </c>
      <c r="D96" s="147">
        <v>7.6027289284569521</v>
      </c>
      <c r="E96" s="22">
        <v>26.46875997314643</v>
      </c>
      <c r="F96" s="22">
        <v>34.071488901603381</v>
      </c>
      <c r="G96" s="22">
        <v>0</v>
      </c>
      <c r="H96" s="22">
        <v>11.635393346858061</v>
      </c>
      <c r="I96" s="22">
        <v>1.0760476128900713</v>
      </c>
      <c r="J96" s="22">
        <v>33.508323795791753</v>
      </c>
      <c r="K96" s="22">
        <v>0</v>
      </c>
      <c r="L96" s="22">
        <v>0</v>
      </c>
      <c r="M96" s="388">
        <v>723.11405238187467</v>
      </c>
      <c r="N96" s="25">
        <v>0.73499999999999999</v>
      </c>
      <c r="O96" s="24">
        <v>721.05246583381415</v>
      </c>
      <c r="P96" s="24">
        <v>0</v>
      </c>
      <c r="Q96" s="24">
        <v>0</v>
      </c>
      <c r="R96" s="22">
        <v>0</v>
      </c>
      <c r="S96" s="24">
        <v>0</v>
      </c>
      <c r="T96" s="24">
        <f t="shared" si="7"/>
        <v>0</v>
      </c>
      <c r="U96" s="376">
        <v>531.49</v>
      </c>
      <c r="V96" s="376">
        <v>36.159999999999997</v>
      </c>
      <c r="W96" s="22">
        <f t="shared" si="8"/>
        <v>390.64515</v>
      </c>
      <c r="X96" s="22">
        <f t="shared" si="9"/>
        <v>103.83356638401857</v>
      </c>
      <c r="Y96" s="22">
        <v>64.864552365803362</v>
      </c>
      <c r="Z96" s="22">
        <v>38.969014018215205</v>
      </c>
      <c r="AA96" s="371">
        <v>723.12410890162118</v>
      </c>
      <c r="AB96" s="22">
        <v>0.1435902428170111</v>
      </c>
      <c r="AC96" s="24">
        <v>8.5902428170110956E-3</v>
      </c>
      <c r="AD96" s="384">
        <v>-57001.392839922075</v>
      </c>
    </row>
    <row r="97" spans="1:30">
      <c r="A97" s="21" t="s">
        <v>593</v>
      </c>
      <c r="B97" s="21" t="s">
        <v>594</v>
      </c>
      <c r="C97" s="23">
        <v>976.90038470798527</v>
      </c>
      <c r="D97" s="147">
        <v>41.996026461952688</v>
      </c>
      <c r="E97" s="22">
        <v>278.68627521878187</v>
      </c>
      <c r="F97" s="22">
        <v>320.68230168073455</v>
      </c>
      <c r="G97" s="22">
        <v>0</v>
      </c>
      <c r="H97" s="22">
        <v>35.197819113226636</v>
      </c>
      <c r="I97" s="22">
        <v>4.1935687343472878</v>
      </c>
      <c r="J97" s="22">
        <v>44.44981728013191</v>
      </c>
      <c r="K97" s="22">
        <v>7.2406942175780502</v>
      </c>
      <c r="L97" s="22">
        <v>0</v>
      </c>
      <c r="M97" s="388">
        <v>3527.8874662384519</v>
      </c>
      <c r="N97" s="25">
        <v>0.85250000000000004</v>
      </c>
      <c r="O97" s="24">
        <v>3581.1266817771443</v>
      </c>
      <c r="P97" s="24">
        <v>1100.434673275664</v>
      </c>
      <c r="Q97" s="24">
        <v>683.34051678392848</v>
      </c>
      <c r="R97" s="22">
        <v>417.09415649173559</v>
      </c>
      <c r="S97" s="24">
        <v>193.83941811641239</v>
      </c>
      <c r="T97" s="24">
        <f t="shared" si="7"/>
        <v>1294.2740913920763</v>
      </c>
      <c r="U97" s="376">
        <v>3007.52</v>
      </c>
      <c r="V97" s="376">
        <v>176.39</v>
      </c>
      <c r="W97" s="22">
        <f t="shared" si="8"/>
        <v>2563.9108000000001</v>
      </c>
      <c r="X97" s="22">
        <f t="shared" si="9"/>
        <v>514.39098504044068</v>
      </c>
      <c r="Y97" s="22">
        <v>235.82538805861844</v>
      </c>
      <c r="Z97" s="22">
        <v>278.56559698182224</v>
      </c>
      <c r="AA97" s="371">
        <v>3538.2155120182474</v>
      </c>
      <c r="AB97" s="22">
        <v>0.14538147359684853</v>
      </c>
      <c r="AC97" s="24">
        <v>1.0381473596848517E-2</v>
      </c>
      <c r="AD97" s="384">
        <v>-336045.29774802906</v>
      </c>
    </row>
    <row r="98" spans="1:30">
      <c r="A98" s="21" t="s">
        <v>601</v>
      </c>
      <c r="B98" s="21" t="s">
        <v>602</v>
      </c>
      <c r="C98" s="23">
        <v>431.42469713069215</v>
      </c>
      <c r="D98" s="147">
        <v>21.179030586415795</v>
      </c>
      <c r="E98" s="22">
        <v>166.5460235240418</v>
      </c>
      <c r="F98" s="22">
        <v>187.72505411045759</v>
      </c>
      <c r="G98" s="22">
        <v>0</v>
      </c>
      <c r="H98" s="22">
        <v>19.690665663913641</v>
      </c>
      <c r="I98" s="22">
        <v>0.80452157973089455</v>
      </c>
      <c r="J98" s="22">
        <v>0</v>
      </c>
      <c r="K98" s="22">
        <v>0</v>
      </c>
      <c r="L98" s="22">
        <v>0</v>
      </c>
      <c r="M98" s="388">
        <v>1465.2852096836248</v>
      </c>
      <c r="N98" s="25">
        <v>0.90959999999999996</v>
      </c>
      <c r="O98" s="24">
        <v>1445.1218875916193</v>
      </c>
      <c r="P98" s="24">
        <v>571.96456058993272</v>
      </c>
      <c r="Q98" s="24">
        <v>356.2522120245867</v>
      </c>
      <c r="R98" s="22">
        <v>215.71234856534608</v>
      </c>
      <c r="S98" s="24">
        <v>107.60476128900714</v>
      </c>
      <c r="T98" s="24">
        <f t="shared" si="7"/>
        <v>679.56932187893983</v>
      </c>
      <c r="U98" s="376">
        <v>1332.82</v>
      </c>
      <c r="V98" s="376">
        <v>73.260000000000005</v>
      </c>
      <c r="W98" s="22">
        <f t="shared" si="8"/>
        <v>1212.3330719999999</v>
      </c>
      <c r="X98" s="22">
        <f t="shared" si="9"/>
        <v>191.32528817975333</v>
      </c>
      <c r="Y98" s="22">
        <v>88.748786764064292</v>
      </c>
      <c r="Z98" s="22">
        <v>102.57650141568905</v>
      </c>
      <c r="AA98" s="371">
        <v>1491.9048174529707</v>
      </c>
      <c r="AB98" s="22">
        <v>0.12824228861087142</v>
      </c>
      <c r="AC98" s="24">
        <v>0</v>
      </c>
      <c r="AD98" s="384">
        <v>0</v>
      </c>
    </row>
    <row r="99" spans="1:30">
      <c r="A99" s="21" t="s">
        <v>447</v>
      </c>
      <c r="B99" s="21" t="s">
        <v>448</v>
      </c>
      <c r="C99" s="23">
        <v>636.77883035700302</v>
      </c>
      <c r="D99" s="147">
        <v>71.542081477569795</v>
      </c>
      <c r="E99" s="22">
        <v>134.20425601885984</v>
      </c>
      <c r="F99" s="22">
        <v>205.74633749642965</v>
      </c>
      <c r="G99" s="22">
        <v>0</v>
      </c>
      <c r="H99" s="22">
        <v>12.138219334189872</v>
      </c>
      <c r="I99" s="22">
        <v>8.0452157973089453E-2</v>
      </c>
      <c r="J99" s="22">
        <v>140.24822438658819</v>
      </c>
      <c r="K99" s="22">
        <v>50.48372912811363</v>
      </c>
      <c r="L99" s="22">
        <v>0</v>
      </c>
      <c r="M99" s="388">
        <v>2181.440150400827</v>
      </c>
      <c r="N99" s="25">
        <v>0.46089999999999998</v>
      </c>
      <c r="O99" s="24">
        <v>198.11343900873277</v>
      </c>
      <c r="P99" s="24">
        <v>83.7205268907462</v>
      </c>
      <c r="Q99" s="24">
        <v>51.791076695176329</v>
      </c>
      <c r="R99" s="22">
        <v>31.929450195569874</v>
      </c>
      <c r="S99" s="24">
        <v>7.7938028036430405</v>
      </c>
      <c r="T99" s="24">
        <f t="shared" si="7"/>
        <v>91.514329694389247</v>
      </c>
      <c r="U99" s="376">
        <v>1005.43</v>
      </c>
      <c r="V99" s="376">
        <v>109.07</v>
      </c>
      <c r="W99" s="22">
        <f t="shared" si="8"/>
        <v>463.40268699999996</v>
      </c>
      <c r="X99" s="22">
        <f t="shared" si="9"/>
        <v>368.0686227268842</v>
      </c>
      <c r="Y99" s="22">
        <v>183.28007238244439</v>
      </c>
      <c r="Z99" s="22">
        <v>184.78855034443984</v>
      </c>
      <c r="AA99" s="371">
        <v>2192.3615308456738</v>
      </c>
      <c r="AB99" s="22">
        <v>0.16788682776462818</v>
      </c>
      <c r="AC99" s="24">
        <v>3.2886827764628174E-2</v>
      </c>
      <c r="AD99" s="384">
        <v>-721686.45050980756</v>
      </c>
    </row>
    <row r="100" spans="1:30">
      <c r="A100" s="21" t="s">
        <v>315</v>
      </c>
      <c r="B100" s="21" t="s">
        <v>316</v>
      </c>
      <c r="C100" s="23">
        <v>100.36406707142909</v>
      </c>
      <c r="D100" s="147">
        <v>0</v>
      </c>
      <c r="E100" s="22">
        <v>0</v>
      </c>
      <c r="F100" s="22">
        <v>0</v>
      </c>
      <c r="G100" s="22">
        <v>0</v>
      </c>
      <c r="H100" s="22">
        <v>0</v>
      </c>
      <c r="I100" s="22">
        <v>0</v>
      </c>
      <c r="J100" s="22">
        <v>0</v>
      </c>
      <c r="K100" s="22">
        <v>0</v>
      </c>
      <c r="L100" s="22">
        <v>0</v>
      </c>
      <c r="M100" s="388">
        <v>215.81291376281243</v>
      </c>
      <c r="N100" s="25">
        <v>0.45540000000000003</v>
      </c>
      <c r="O100" s="24">
        <v>0</v>
      </c>
      <c r="P100" s="24">
        <v>0</v>
      </c>
      <c r="Q100" s="24">
        <v>0</v>
      </c>
      <c r="R100" s="22">
        <v>0</v>
      </c>
      <c r="S100" s="24">
        <v>0</v>
      </c>
      <c r="T100" s="24">
        <f t="shared" si="7"/>
        <v>0</v>
      </c>
      <c r="U100" s="376">
        <v>98.28</v>
      </c>
      <c r="V100" s="376">
        <v>10.79</v>
      </c>
      <c r="W100" s="22">
        <f t="shared" si="8"/>
        <v>44.756712</v>
      </c>
      <c r="X100" s="22">
        <f t="shared" si="9"/>
        <v>24.638473379258645</v>
      </c>
      <c r="Y100" s="22">
        <v>24.638473379258645</v>
      </c>
      <c r="Z100" s="22">
        <v>0</v>
      </c>
      <c r="AA100" s="371">
        <v>215.81291376281243</v>
      </c>
      <c r="AB100" s="22">
        <v>0.11416589002795902</v>
      </c>
      <c r="AC100" s="24">
        <v>0</v>
      </c>
      <c r="AD100" s="384">
        <v>0</v>
      </c>
    </row>
    <row r="101" spans="1:30">
      <c r="A101" s="21" t="s">
        <v>455</v>
      </c>
      <c r="B101" s="21" t="s">
        <v>456</v>
      </c>
      <c r="C101" s="23">
        <v>17.399999999999999</v>
      </c>
      <c r="D101" s="147">
        <v>0</v>
      </c>
      <c r="E101" s="22">
        <v>0</v>
      </c>
      <c r="F101" s="22">
        <v>0</v>
      </c>
      <c r="G101" s="22">
        <v>0</v>
      </c>
      <c r="H101" s="22">
        <v>0</v>
      </c>
      <c r="I101" s="22">
        <v>0</v>
      </c>
      <c r="J101" s="22">
        <v>0</v>
      </c>
      <c r="K101" s="22">
        <v>0</v>
      </c>
      <c r="L101" s="22">
        <v>0</v>
      </c>
      <c r="M101" s="388">
        <v>28</v>
      </c>
      <c r="N101" s="25">
        <v>0.43330000000000002</v>
      </c>
      <c r="O101" s="24">
        <v>0</v>
      </c>
      <c r="P101" s="24">
        <v>0</v>
      </c>
      <c r="Q101" s="24">
        <v>0</v>
      </c>
      <c r="R101" s="22">
        <v>0</v>
      </c>
      <c r="S101" s="24">
        <v>0</v>
      </c>
      <c r="T101" s="24">
        <f t="shared" si="7"/>
        <v>0</v>
      </c>
      <c r="U101" s="376">
        <v>12.13</v>
      </c>
      <c r="V101" s="376">
        <v>0</v>
      </c>
      <c r="W101" s="22">
        <f t="shared" si="8"/>
        <v>5.255929000000001</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161.70883752590976</v>
      </c>
      <c r="N102" s="25">
        <v>0.76880000000000004</v>
      </c>
      <c r="O102" s="24">
        <v>160.90431594617888</v>
      </c>
      <c r="P102" s="24">
        <v>22.124343442599599</v>
      </c>
      <c r="Q102" s="24">
        <v>1.0056519746636181</v>
      </c>
      <c r="R102" s="22">
        <v>21.118691467935982</v>
      </c>
      <c r="S102" s="24">
        <v>2.0113039493272362</v>
      </c>
      <c r="T102" s="24">
        <f t="shared" si="7"/>
        <v>24.135647391926835</v>
      </c>
      <c r="U102" s="376">
        <v>0</v>
      </c>
      <c r="V102" s="376">
        <v>0</v>
      </c>
      <c r="W102" s="22">
        <f t="shared" si="8"/>
        <v>0</v>
      </c>
      <c r="X102" s="22">
        <f t="shared" si="9"/>
        <v>37.460536056219773</v>
      </c>
      <c r="Y102" s="22">
        <v>17.85032255027922</v>
      </c>
      <c r="Z102" s="22">
        <v>19.610213505940553</v>
      </c>
      <c r="AA102" s="371">
        <v>161.70883752590981</v>
      </c>
      <c r="AB102" s="22">
        <v>0.23165422885572134</v>
      </c>
      <c r="AC102" s="24">
        <v>9.6654228855721336E-2</v>
      </c>
      <c r="AD102" s="384">
        <v>-149330.58836121397</v>
      </c>
    </row>
    <row r="103" spans="1:30">
      <c r="A103" s="21" t="s">
        <v>61</v>
      </c>
      <c r="B103" s="21" t="s">
        <v>62</v>
      </c>
      <c r="C103" s="23">
        <v>70.797899016318723</v>
      </c>
      <c r="D103" s="147">
        <v>0</v>
      </c>
      <c r="E103" s="22">
        <v>0</v>
      </c>
      <c r="F103" s="22">
        <v>0</v>
      </c>
      <c r="G103" s="22">
        <v>0</v>
      </c>
      <c r="H103" s="22">
        <v>0</v>
      </c>
      <c r="I103" s="22">
        <v>0</v>
      </c>
      <c r="J103" s="22">
        <v>0</v>
      </c>
      <c r="K103" s="22">
        <v>0</v>
      </c>
      <c r="L103" s="22">
        <v>0</v>
      </c>
      <c r="M103" s="388">
        <v>153.88486516302686</v>
      </c>
      <c r="N103" s="25">
        <v>0.50919999999999999</v>
      </c>
      <c r="O103" s="24">
        <v>0</v>
      </c>
      <c r="P103" s="24">
        <v>3.0169559239908543</v>
      </c>
      <c r="Q103" s="24">
        <v>2.0113039493272362</v>
      </c>
      <c r="R103" s="22">
        <v>1.0056519746636181</v>
      </c>
      <c r="S103" s="24">
        <v>1.0056519746636181</v>
      </c>
      <c r="T103" s="24">
        <f t="shared" si="7"/>
        <v>4.0226078986544724</v>
      </c>
      <c r="U103" s="376">
        <v>78.36</v>
      </c>
      <c r="V103" s="376">
        <v>7.69</v>
      </c>
      <c r="W103" s="22">
        <f t="shared" si="8"/>
        <v>39.900911999999998</v>
      </c>
      <c r="X103" s="22">
        <f t="shared" si="9"/>
        <v>20.615865480604171</v>
      </c>
      <c r="Y103" s="22">
        <v>17.598909556613318</v>
      </c>
      <c r="Z103" s="22">
        <v>3.0169559239908543</v>
      </c>
      <c r="AA103" s="371">
        <v>153.88486516302686</v>
      </c>
      <c r="AB103" s="22">
        <v>0.1339694157626454</v>
      </c>
      <c r="AC103" s="24">
        <v>0</v>
      </c>
      <c r="AD103" s="384">
        <v>0</v>
      </c>
    </row>
    <row r="104" spans="1:30">
      <c r="A104" s="21" t="s">
        <v>517</v>
      </c>
      <c r="B104" s="21" t="s">
        <v>518</v>
      </c>
      <c r="C104" s="23">
        <v>240.56200885928411</v>
      </c>
      <c r="D104" s="147">
        <v>0</v>
      </c>
      <c r="E104" s="22">
        <v>0</v>
      </c>
      <c r="F104" s="22">
        <v>0</v>
      </c>
      <c r="G104" s="22">
        <v>0</v>
      </c>
      <c r="H104" s="22">
        <v>0</v>
      </c>
      <c r="I104" s="22">
        <v>0</v>
      </c>
      <c r="J104" s="22">
        <v>0</v>
      </c>
      <c r="K104" s="22">
        <v>0</v>
      </c>
      <c r="L104" s="22">
        <v>0</v>
      </c>
      <c r="M104" s="388">
        <v>606.41819724190839</v>
      </c>
      <c r="N104" s="25">
        <v>0.17130000000000001</v>
      </c>
      <c r="O104" s="24">
        <v>0</v>
      </c>
      <c r="P104" s="24">
        <v>1.5084779619954272</v>
      </c>
      <c r="Q104" s="24">
        <v>0</v>
      </c>
      <c r="R104" s="22">
        <v>1.5084779619954272</v>
      </c>
      <c r="S104" s="24">
        <v>1.0056519746636181</v>
      </c>
      <c r="T104" s="24">
        <f t="shared" si="7"/>
        <v>2.5141299366590451</v>
      </c>
      <c r="U104" s="376">
        <v>103.88</v>
      </c>
      <c r="V104" s="376">
        <v>30.32</v>
      </c>
      <c r="W104" s="22">
        <f t="shared" si="8"/>
        <v>17.794644000000002</v>
      </c>
      <c r="X104" s="22">
        <f t="shared" si="9"/>
        <v>76.68096306810088</v>
      </c>
      <c r="Y104" s="22">
        <v>59.836292492485278</v>
      </c>
      <c r="Z104" s="22">
        <v>16.844670575615602</v>
      </c>
      <c r="AA104" s="371">
        <v>606.41819724190839</v>
      </c>
      <c r="AB104" s="22">
        <v>0.12644898094558962</v>
      </c>
      <c r="AC104" s="24">
        <v>0</v>
      </c>
      <c r="AD104" s="384">
        <v>0</v>
      </c>
    </row>
    <row r="105" spans="1:30">
      <c r="A105" s="21" t="s">
        <v>309</v>
      </c>
      <c r="B105" s="21" t="s">
        <v>310</v>
      </c>
      <c r="C105" s="23">
        <v>43.846426095333754</v>
      </c>
      <c r="D105" s="147">
        <v>1.0659910931434353</v>
      </c>
      <c r="E105" s="22">
        <v>4.4751512872531007</v>
      </c>
      <c r="F105" s="22">
        <v>5.5411423803965363</v>
      </c>
      <c r="G105" s="22">
        <v>0</v>
      </c>
      <c r="H105" s="22">
        <v>1.0056519746636181</v>
      </c>
      <c r="I105" s="22">
        <v>0</v>
      </c>
      <c r="J105" s="22">
        <v>0</v>
      </c>
      <c r="K105" s="22">
        <v>0</v>
      </c>
      <c r="L105" s="22">
        <v>0</v>
      </c>
      <c r="M105" s="388">
        <v>113.14590366940368</v>
      </c>
      <c r="N105" s="25">
        <v>0.52</v>
      </c>
      <c r="O105" s="24">
        <v>113.63867313698884</v>
      </c>
      <c r="P105" s="24">
        <v>0</v>
      </c>
      <c r="Q105" s="24">
        <v>0</v>
      </c>
      <c r="R105" s="22">
        <v>0</v>
      </c>
      <c r="S105" s="24">
        <v>0</v>
      </c>
      <c r="T105" s="24">
        <f t="shared" si="7"/>
        <v>0</v>
      </c>
      <c r="U105" s="376">
        <v>58.84</v>
      </c>
      <c r="V105" s="376">
        <v>0</v>
      </c>
      <c r="W105" s="22">
        <f t="shared" si="8"/>
        <v>30.596800000000002</v>
      </c>
      <c r="X105" s="22">
        <f t="shared" si="9"/>
        <v>23.884234398260929</v>
      </c>
      <c r="Y105" s="22">
        <v>21.370104461601883</v>
      </c>
      <c r="Z105" s="22">
        <v>2.5141299366590451</v>
      </c>
      <c r="AA105" s="371">
        <v>113.14590366940368</v>
      </c>
      <c r="AB105" s="22">
        <v>0.21109234734690249</v>
      </c>
      <c r="AC105" s="24">
        <v>7.6092347346902484E-2</v>
      </c>
      <c r="AD105" s="384">
        <v>-83173.968712978225</v>
      </c>
    </row>
    <row r="106" spans="1:30">
      <c r="A106" s="21" t="s">
        <v>599</v>
      </c>
      <c r="B106" s="21" t="s">
        <v>600</v>
      </c>
      <c r="C106" s="23">
        <v>258.25142709361717</v>
      </c>
      <c r="D106" s="147">
        <v>0</v>
      </c>
      <c r="E106" s="22">
        <v>46.561686426925519</v>
      </c>
      <c r="F106" s="22">
        <v>46.561686426925519</v>
      </c>
      <c r="G106" s="22">
        <v>0</v>
      </c>
      <c r="H106" s="22">
        <v>9.9760675886630921</v>
      </c>
      <c r="I106" s="22">
        <v>0.42237382935871959</v>
      </c>
      <c r="J106" s="22">
        <v>0</v>
      </c>
      <c r="K106" s="22">
        <v>5.4305206631835379</v>
      </c>
      <c r="L106" s="22">
        <v>0</v>
      </c>
      <c r="M106" s="388">
        <v>1038.7781507090378</v>
      </c>
      <c r="N106" s="25">
        <v>0.82350000000000001</v>
      </c>
      <c r="O106" s="24">
        <v>1075.0419609154078</v>
      </c>
      <c r="P106" s="24">
        <v>300.18711443709003</v>
      </c>
      <c r="Q106" s="24">
        <v>203.64452486938268</v>
      </c>
      <c r="R106" s="22">
        <v>96.542589567707338</v>
      </c>
      <c r="S106" s="24">
        <v>82.212048928750775</v>
      </c>
      <c r="T106" s="24">
        <f t="shared" si="7"/>
        <v>382.39916336584082</v>
      </c>
      <c r="U106" s="376">
        <v>855.43</v>
      </c>
      <c r="V106" s="376">
        <v>51.94</v>
      </c>
      <c r="W106" s="22">
        <f t="shared" si="8"/>
        <v>704.44660499999998</v>
      </c>
      <c r="X106" s="22">
        <f t="shared" si="9"/>
        <v>123.94660587729093</v>
      </c>
      <c r="Y106" s="22">
        <v>81.960635935084881</v>
      </c>
      <c r="Z106" s="22">
        <v>41.985969942206054</v>
      </c>
      <c r="AA106" s="371">
        <v>1060.0678030126664</v>
      </c>
      <c r="AB106" s="22">
        <v>0.1169232812514823</v>
      </c>
      <c r="AC106" s="24">
        <v>0</v>
      </c>
      <c r="AD106" s="384">
        <v>0</v>
      </c>
    </row>
    <row r="107" spans="1:30">
      <c r="A107" s="21" t="s">
        <v>191</v>
      </c>
      <c r="B107" s="21" t="s">
        <v>192</v>
      </c>
      <c r="C107" s="23">
        <v>5244.0023914426765</v>
      </c>
      <c r="D107" s="147">
        <v>126.4104532152168</v>
      </c>
      <c r="E107" s="22">
        <v>659.04396507605554</v>
      </c>
      <c r="F107" s="22">
        <v>785.4544182912723</v>
      </c>
      <c r="G107" s="22">
        <v>362.67832814268723</v>
      </c>
      <c r="H107" s="22">
        <v>387.71906231181134</v>
      </c>
      <c r="I107" s="22">
        <v>31.547302445197701</v>
      </c>
      <c r="J107" s="22">
        <v>626.08874986632873</v>
      </c>
      <c r="K107" s="22">
        <v>161.08533330161836</v>
      </c>
      <c r="L107" s="22">
        <v>0</v>
      </c>
      <c r="M107" s="388">
        <v>17718.622367677268</v>
      </c>
      <c r="N107" s="25">
        <v>0.70820000000000005</v>
      </c>
      <c r="O107" s="24">
        <v>15918.465106950411</v>
      </c>
      <c r="P107" s="24">
        <v>5711.097564114687</v>
      </c>
      <c r="Q107" s="24">
        <v>3463.2139877478348</v>
      </c>
      <c r="R107" s="22">
        <v>2247.8835763668526</v>
      </c>
      <c r="S107" s="24">
        <v>513.38533306577699</v>
      </c>
      <c r="T107" s="24">
        <f t="shared" si="7"/>
        <v>6224.4828971804636</v>
      </c>
      <c r="U107" s="376">
        <v>12548.33</v>
      </c>
      <c r="V107" s="376">
        <v>885.93</v>
      </c>
      <c r="W107" s="22">
        <f t="shared" si="8"/>
        <v>8886.7273060000007</v>
      </c>
      <c r="X107" s="22">
        <f t="shared" si="9"/>
        <v>2513.3756976780478</v>
      </c>
      <c r="Y107" s="22">
        <v>1770.7017143889657</v>
      </c>
      <c r="Z107" s="22">
        <v>742.673983289082</v>
      </c>
      <c r="AA107" s="371">
        <v>17559.387434009037</v>
      </c>
      <c r="AB107" s="22">
        <v>0.14313572766269395</v>
      </c>
      <c r="AC107" s="24">
        <v>8.1357276626939368E-3</v>
      </c>
      <c r="AD107" s="384">
        <v>-1491954.5033593182</v>
      </c>
    </row>
    <row r="108" spans="1:30">
      <c r="A108" s="21" t="s">
        <v>57</v>
      </c>
      <c r="B108" s="21" t="s">
        <v>58</v>
      </c>
      <c r="C108" s="23">
        <v>541.21172320471931</v>
      </c>
      <c r="D108" s="147">
        <v>9.2721112063985593</v>
      </c>
      <c r="E108" s="22">
        <v>41.513313514114159</v>
      </c>
      <c r="F108" s="22">
        <v>50.785424720512722</v>
      </c>
      <c r="G108" s="22">
        <v>0</v>
      </c>
      <c r="H108" s="22">
        <v>64.462291575937911</v>
      </c>
      <c r="I108" s="22">
        <v>0.55310858606499003</v>
      </c>
      <c r="J108" s="22">
        <v>0</v>
      </c>
      <c r="K108" s="22">
        <v>3.4192167138563017</v>
      </c>
      <c r="L108" s="22">
        <v>0</v>
      </c>
      <c r="M108" s="388">
        <v>1930.5702088012411</v>
      </c>
      <c r="N108" s="25">
        <v>0.18160000000000001</v>
      </c>
      <c r="O108" s="24">
        <v>0</v>
      </c>
      <c r="P108" s="24">
        <v>71.904116188448697</v>
      </c>
      <c r="Q108" s="24">
        <v>49.528359752183192</v>
      </c>
      <c r="R108" s="22">
        <v>22.375756436265505</v>
      </c>
      <c r="S108" s="24">
        <v>11.0621717212998</v>
      </c>
      <c r="T108" s="24">
        <f t="shared" si="7"/>
        <v>82.966287909748502</v>
      </c>
      <c r="U108" s="376">
        <v>350.59</v>
      </c>
      <c r="V108" s="376">
        <v>96.53</v>
      </c>
      <c r="W108" s="22">
        <f t="shared" si="8"/>
        <v>63.667144</v>
      </c>
      <c r="X108" s="22">
        <f t="shared" si="9"/>
        <v>176.74333454713087</v>
      </c>
      <c r="Y108" s="22">
        <v>108.61041326367075</v>
      </c>
      <c r="Z108" s="22">
        <v>68.132921283460121</v>
      </c>
      <c r="AA108" s="371">
        <v>1945.5544232237287</v>
      </c>
      <c r="AB108" s="22">
        <v>9.084471369054388E-2</v>
      </c>
      <c r="AC108" s="24">
        <v>0</v>
      </c>
      <c r="AD108" s="384">
        <v>0</v>
      </c>
    </row>
    <row r="109" spans="1:30">
      <c r="A109" s="21" t="s">
        <v>325</v>
      </c>
      <c r="B109" s="21" t="s">
        <v>326</v>
      </c>
      <c r="C109" s="23">
        <v>129.93023512653946</v>
      </c>
      <c r="D109" s="147">
        <v>0</v>
      </c>
      <c r="E109" s="22">
        <v>0</v>
      </c>
      <c r="F109" s="22">
        <v>0</v>
      </c>
      <c r="G109" s="22">
        <v>0</v>
      </c>
      <c r="H109" s="22">
        <v>0</v>
      </c>
      <c r="I109" s="22">
        <v>0</v>
      </c>
      <c r="J109" s="22">
        <v>0</v>
      </c>
      <c r="K109" s="22">
        <v>0</v>
      </c>
      <c r="L109" s="22">
        <v>0</v>
      </c>
      <c r="M109" s="388">
        <v>302.29898358388363</v>
      </c>
      <c r="N109" s="25">
        <v>0.8034</v>
      </c>
      <c r="O109" s="24">
        <v>299.68428844975818</v>
      </c>
      <c r="P109" s="24">
        <v>7.542389809977136</v>
      </c>
      <c r="Q109" s="24">
        <v>7.542389809977136</v>
      </c>
      <c r="R109" s="22">
        <v>0</v>
      </c>
      <c r="S109" s="24">
        <v>0</v>
      </c>
      <c r="T109" s="24">
        <f t="shared" si="7"/>
        <v>7.542389809977136</v>
      </c>
      <c r="U109" s="376">
        <v>242.87</v>
      </c>
      <c r="V109" s="376">
        <v>15.11</v>
      </c>
      <c r="W109" s="22">
        <f t="shared" si="8"/>
        <v>195.121758</v>
      </c>
      <c r="X109" s="22">
        <f t="shared" si="9"/>
        <v>36.957710068887963</v>
      </c>
      <c r="Y109" s="22">
        <v>31.175211214572162</v>
      </c>
      <c r="Z109" s="22">
        <v>5.7824988543158042</v>
      </c>
      <c r="AA109" s="371">
        <v>302.29898358388363</v>
      </c>
      <c r="AB109" s="22">
        <v>0.12225548902195607</v>
      </c>
      <c r="AC109" s="24">
        <v>0</v>
      </c>
      <c r="AD109" s="384">
        <v>0</v>
      </c>
    </row>
    <row r="110" spans="1:30">
      <c r="A110" s="21" t="s">
        <v>143</v>
      </c>
      <c r="B110" s="21" t="s">
        <v>144</v>
      </c>
      <c r="C110" s="23">
        <v>423.17835093845054</v>
      </c>
      <c r="D110" s="147">
        <v>17.08602704953487</v>
      </c>
      <c r="E110" s="22">
        <v>127.59712254531986</v>
      </c>
      <c r="F110" s="22">
        <v>144.68314959485474</v>
      </c>
      <c r="G110" s="22">
        <v>0</v>
      </c>
      <c r="H110" s="22">
        <v>21.943326087160148</v>
      </c>
      <c r="I110" s="22">
        <v>0.98553893517034574</v>
      </c>
      <c r="J110" s="22">
        <v>124.36897970664964</v>
      </c>
      <c r="K110" s="22">
        <v>12.148275853936507</v>
      </c>
      <c r="L110" s="22">
        <v>0</v>
      </c>
      <c r="M110" s="388">
        <v>1577.8981178064566</v>
      </c>
      <c r="N110" s="25">
        <v>0.76549999999999996</v>
      </c>
      <c r="O110" s="24">
        <v>1590.9414239178438</v>
      </c>
      <c r="P110" s="24">
        <v>98.805306510700476</v>
      </c>
      <c r="Q110" s="24">
        <v>71.401290201116879</v>
      </c>
      <c r="R110" s="22">
        <v>27.404016309583593</v>
      </c>
      <c r="S110" s="24">
        <v>11.816410702297512</v>
      </c>
      <c r="T110" s="24">
        <f t="shared" si="7"/>
        <v>110.62171721299799</v>
      </c>
      <c r="U110" s="376">
        <v>1207.8800000000001</v>
      </c>
      <c r="V110" s="376">
        <v>78.89</v>
      </c>
      <c r="W110" s="22">
        <f t="shared" si="8"/>
        <v>924.63214000000005</v>
      </c>
      <c r="X110" s="22">
        <f t="shared" si="9"/>
        <v>237.33386602061387</v>
      </c>
      <c r="Y110" s="22">
        <v>191.82811416708515</v>
      </c>
      <c r="Z110" s="22">
        <v>45.505751853528722</v>
      </c>
      <c r="AA110" s="371">
        <v>1582.4838908109227</v>
      </c>
      <c r="AB110" s="22">
        <v>0.14997553365234909</v>
      </c>
      <c r="AC110" s="24">
        <v>1.4975533652349077E-2</v>
      </c>
      <c r="AD110" s="384">
        <v>-217786.81307598707</v>
      </c>
    </row>
    <row r="111" spans="1:30">
      <c r="A111" s="21" t="s">
        <v>1315</v>
      </c>
      <c r="B111" s="21" t="s">
        <v>1316</v>
      </c>
      <c r="C111" s="23">
        <v>253.42429761523175</v>
      </c>
      <c r="D111" s="147">
        <v>0</v>
      </c>
      <c r="E111" s="22">
        <v>0</v>
      </c>
      <c r="F111" s="22">
        <v>0</v>
      </c>
      <c r="G111" s="22">
        <v>0</v>
      </c>
      <c r="H111" s="22">
        <v>0</v>
      </c>
      <c r="I111" s="22">
        <v>0</v>
      </c>
      <c r="J111" s="22">
        <v>0</v>
      </c>
      <c r="K111" s="22">
        <v>0</v>
      </c>
      <c r="L111" s="22">
        <v>0</v>
      </c>
      <c r="M111" s="388">
        <v>253.42429761523175</v>
      </c>
      <c r="N111" s="25">
        <v>0.54679999999999995</v>
      </c>
      <c r="O111" s="24">
        <v>268.50907723518606</v>
      </c>
      <c r="P111" s="24">
        <v>30.410915713827809</v>
      </c>
      <c r="Q111" s="24">
        <v>30.410915713827809</v>
      </c>
      <c r="R111" s="22">
        <v>0</v>
      </c>
      <c r="S111" s="24">
        <v>0</v>
      </c>
      <c r="T111" s="24">
        <f t="shared" si="7"/>
        <v>30.410915713827809</v>
      </c>
      <c r="U111" s="376">
        <v>138.57</v>
      </c>
      <c r="V111" s="376">
        <v>0</v>
      </c>
      <c r="W111" s="22">
        <f t="shared" si="8"/>
        <v>75.770075999999989</v>
      </c>
      <c r="X111" s="22">
        <f t="shared" si="9"/>
        <v>2.5342429761523175</v>
      </c>
      <c r="Y111" s="22">
        <v>2.5342429761523175</v>
      </c>
      <c r="Z111" s="22">
        <v>0</v>
      </c>
      <c r="AA111" s="371">
        <v>253.42429761523175</v>
      </c>
      <c r="AB111" s="22">
        <v>0.01</v>
      </c>
      <c r="AC111" s="24">
        <v>0</v>
      </c>
      <c r="AD111" s="384">
        <v>0</v>
      </c>
    </row>
    <row r="112" spans="1:30">
      <c r="A112" s="21" t="s">
        <v>1230</v>
      </c>
      <c r="B112" s="21" t="s">
        <v>1231</v>
      </c>
      <c r="C112" s="23">
        <v>293.85150699670919</v>
      </c>
      <c r="D112" s="147">
        <v>0</v>
      </c>
      <c r="E112" s="22">
        <v>0</v>
      </c>
      <c r="F112" s="22">
        <v>0</v>
      </c>
      <c r="G112" s="22">
        <v>0</v>
      </c>
      <c r="H112" s="22">
        <v>0</v>
      </c>
      <c r="I112" s="22">
        <v>0</v>
      </c>
      <c r="J112" s="22">
        <v>0</v>
      </c>
      <c r="K112" s="22">
        <v>0</v>
      </c>
      <c r="L112" s="22">
        <v>0</v>
      </c>
      <c r="M112" s="388">
        <v>293.85150699670919</v>
      </c>
      <c r="N112" s="25">
        <v>0.59</v>
      </c>
      <c r="O112" s="24">
        <v>0</v>
      </c>
      <c r="P112" s="24">
        <v>46.259990834526434</v>
      </c>
      <c r="Q112" s="24">
        <v>46.259990834526434</v>
      </c>
      <c r="R112" s="22">
        <v>0</v>
      </c>
      <c r="S112" s="24">
        <v>0</v>
      </c>
      <c r="T112" s="24">
        <f t="shared" si="7"/>
        <v>46.259990834526434</v>
      </c>
      <c r="U112" s="376">
        <v>173.37</v>
      </c>
      <c r="V112" s="376">
        <v>14.69</v>
      </c>
      <c r="W112" s="22">
        <f t="shared" si="8"/>
        <v>102.28829999999999</v>
      </c>
      <c r="X112" s="22">
        <f t="shared" si="9"/>
        <v>7.7938028036430405</v>
      </c>
      <c r="Y112" s="22">
        <v>7.0395638226453272</v>
      </c>
      <c r="Z112" s="22">
        <v>0.75423898099771358</v>
      </c>
      <c r="AA112" s="371">
        <v>293.85150699670919</v>
      </c>
      <c r="AB112" s="22">
        <v>2.6522929500342234E-2</v>
      </c>
      <c r="AC112" s="24">
        <v>0</v>
      </c>
      <c r="AD112" s="384">
        <v>0</v>
      </c>
    </row>
    <row r="113" spans="1:30">
      <c r="A113" s="21" t="s">
        <v>1032</v>
      </c>
      <c r="B113" s="21" t="s">
        <v>1042</v>
      </c>
      <c r="C113" s="23">
        <v>529.57632985786131</v>
      </c>
      <c r="D113" s="147">
        <v>0</v>
      </c>
      <c r="E113" s="22">
        <v>0</v>
      </c>
      <c r="F113" s="22">
        <v>0</v>
      </c>
      <c r="G113" s="22">
        <v>0</v>
      </c>
      <c r="H113" s="22">
        <v>0</v>
      </c>
      <c r="I113" s="22">
        <v>0</v>
      </c>
      <c r="J113" s="22">
        <v>0</v>
      </c>
      <c r="K113" s="22">
        <v>0</v>
      </c>
      <c r="L113" s="22">
        <v>0</v>
      </c>
      <c r="M113" s="388">
        <v>601.17875045391088</v>
      </c>
      <c r="N113" s="25">
        <v>0.65</v>
      </c>
      <c r="O113" s="24">
        <v>605.40248874749807</v>
      </c>
      <c r="P113" s="24">
        <v>151.85344817420633</v>
      </c>
      <c r="Q113" s="24">
        <v>151.85344817420633</v>
      </c>
      <c r="R113" s="22">
        <v>0</v>
      </c>
      <c r="S113" s="24">
        <v>26.901190322251786</v>
      </c>
      <c r="T113" s="24">
        <f t="shared" si="7"/>
        <v>178.75463849645811</v>
      </c>
      <c r="U113" s="376">
        <v>390.77</v>
      </c>
      <c r="V113" s="376">
        <v>30.06</v>
      </c>
      <c r="W113" s="22">
        <f t="shared" si="8"/>
        <v>254.00049999999999</v>
      </c>
      <c r="X113" s="22">
        <f t="shared" si="9"/>
        <v>23.129995417263217</v>
      </c>
      <c r="Y113" s="22">
        <v>23.129995417263217</v>
      </c>
      <c r="Z113" s="22">
        <v>0</v>
      </c>
      <c r="AA113" s="371">
        <v>601.17875045391088</v>
      </c>
      <c r="AB113" s="22">
        <v>3.8474406155904986E-2</v>
      </c>
      <c r="AC113" s="24">
        <v>0</v>
      </c>
      <c r="AD113" s="384">
        <v>0</v>
      </c>
    </row>
    <row r="114" spans="1:30">
      <c r="A114" s="21" t="s">
        <v>107</v>
      </c>
      <c r="B114" s="21" t="s">
        <v>108</v>
      </c>
      <c r="C114" s="23">
        <v>66.976421512596957</v>
      </c>
      <c r="D114" s="147">
        <v>0</v>
      </c>
      <c r="E114" s="22">
        <v>0</v>
      </c>
      <c r="F114" s="22">
        <v>0</v>
      </c>
      <c r="G114" s="22">
        <v>0</v>
      </c>
      <c r="H114" s="22">
        <v>4.4148121687732829</v>
      </c>
      <c r="I114" s="22">
        <v>0.60339118479817089</v>
      </c>
      <c r="J114" s="22">
        <v>0</v>
      </c>
      <c r="K114" s="22">
        <v>0</v>
      </c>
      <c r="L114" s="22">
        <v>0</v>
      </c>
      <c r="M114" s="388">
        <v>227.51870274789695</v>
      </c>
      <c r="N114" s="25">
        <v>0.82379999999999998</v>
      </c>
      <c r="O114" s="24">
        <v>232.30560614729578</v>
      </c>
      <c r="P114" s="24">
        <v>0</v>
      </c>
      <c r="Q114" s="24">
        <v>0</v>
      </c>
      <c r="R114" s="22">
        <v>0</v>
      </c>
      <c r="S114" s="24">
        <v>0</v>
      </c>
      <c r="T114" s="24">
        <f t="shared" si="7"/>
        <v>0</v>
      </c>
      <c r="U114" s="376">
        <v>187.43</v>
      </c>
      <c r="V114" s="376">
        <v>0</v>
      </c>
      <c r="W114" s="22">
        <f t="shared" si="8"/>
        <v>154.40483399999999</v>
      </c>
      <c r="X114" s="22">
        <f t="shared" si="9"/>
        <v>24.38706038559274</v>
      </c>
      <c r="Y114" s="22">
        <v>18.855974524942841</v>
      </c>
      <c r="Z114" s="22">
        <v>5.5310858606498998</v>
      </c>
      <c r="AA114" s="371">
        <v>227.50864622815033</v>
      </c>
      <c r="AB114" s="22">
        <v>0.10719179595986386</v>
      </c>
      <c r="AC114" s="24">
        <v>0</v>
      </c>
      <c r="AD114" s="384">
        <v>0</v>
      </c>
    </row>
    <row r="115" spans="1:30">
      <c r="A115" s="21" t="s">
        <v>435</v>
      </c>
      <c r="B115" s="21" t="s">
        <v>436</v>
      </c>
      <c r="C115" s="23">
        <v>17.48</v>
      </c>
      <c r="D115" s="147">
        <v>0</v>
      </c>
      <c r="E115" s="22">
        <v>0</v>
      </c>
      <c r="F115" s="22">
        <v>0</v>
      </c>
      <c r="G115" s="22">
        <v>0</v>
      </c>
      <c r="H115" s="22">
        <v>0</v>
      </c>
      <c r="I115" s="22">
        <v>0</v>
      </c>
      <c r="J115" s="22">
        <v>0</v>
      </c>
      <c r="K115" s="22">
        <v>0</v>
      </c>
      <c r="L115" s="22">
        <v>0</v>
      </c>
      <c r="M115" s="388">
        <v>23.68</v>
      </c>
      <c r="N115" s="25">
        <v>0.5</v>
      </c>
      <c r="O115" s="24">
        <v>0</v>
      </c>
      <c r="P115" s="24">
        <v>0</v>
      </c>
      <c r="Q115" s="24">
        <v>0</v>
      </c>
      <c r="R115" s="22">
        <v>0</v>
      </c>
      <c r="S115" s="24">
        <v>0</v>
      </c>
      <c r="T115" s="24">
        <f t="shared" si="7"/>
        <v>0</v>
      </c>
      <c r="U115" s="376">
        <v>11.84</v>
      </c>
      <c r="V115" s="376">
        <v>0</v>
      </c>
      <c r="W115" s="22">
        <f t="shared" si="8"/>
        <v>5.92</v>
      </c>
      <c r="X115" s="22">
        <f t="shared" si="9"/>
        <v>4</v>
      </c>
      <c r="Y115" s="22">
        <v>3</v>
      </c>
      <c r="Z115" s="22">
        <v>1</v>
      </c>
      <c r="AA115" s="371">
        <v>23.68</v>
      </c>
      <c r="AB115" s="22">
        <v>0.16891891891891891</v>
      </c>
      <c r="AC115" s="24">
        <v>3.3918918918918906E-2</v>
      </c>
      <c r="AD115" s="384">
        <v>-9025.14017194189</v>
      </c>
    </row>
    <row r="116" spans="1:30">
      <c r="A116" s="21" t="s">
        <v>211</v>
      </c>
      <c r="B116" s="21" t="s">
        <v>212</v>
      </c>
      <c r="C116" s="23">
        <v>5232.6686936882179</v>
      </c>
      <c r="D116" s="147">
        <v>101.04791041420035</v>
      </c>
      <c r="E116" s="22">
        <v>1059.7962769795072</v>
      </c>
      <c r="F116" s="22">
        <v>1160.8441873937074</v>
      </c>
      <c r="G116" s="22">
        <v>0</v>
      </c>
      <c r="H116" s="22">
        <v>583.44910614059131</v>
      </c>
      <c r="I116" s="22">
        <v>60.319005440323814</v>
      </c>
      <c r="J116" s="22">
        <v>8.3871374686945757</v>
      </c>
      <c r="K116" s="22">
        <v>0</v>
      </c>
      <c r="L116" s="22">
        <v>0</v>
      </c>
      <c r="M116" s="388">
        <v>19346.280145190085</v>
      </c>
      <c r="N116" s="25">
        <v>0.10150000000000001</v>
      </c>
      <c r="O116" s="24">
        <v>0</v>
      </c>
      <c r="P116" s="24">
        <v>1272.4011609431429</v>
      </c>
      <c r="Q116" s="24">
        <v>1031.5475130112063</v>
      </c>
      <c r="R116" s="22">
        <v>240.85364793193654</v>
      </c>
      <c r="S116" s="24">
        <v>660.71334735399705</v>
      </c>
      <c r="T116" s="24">
        <f t="shared" si="7"/>
        <v>1933.11450829714</v>
      </c>
      <c r="U116" s="376">
        <v>1963.65</v>
      </c>
      <c r="V116" s="376">
        <v>967.31</v>
      </c>
      <c r="W116" s="22">
        <f t="shared" si="8"/>
        <v>199.31047500000003</v>
      </c>
      <c r="X116" s="22">
        <f t="shared" si="9"/>
        <v>1576.1080572915557</v>
      </c>
      <c r="Y116" s="22">
        <v>1027.7763181062178</v>
      </c>
      <c r="Z116" s="22">
        <v>548.33173918533782</v>
      </c>
      <c r="AA116" s="371">
        <v>19457.827062219778</v>
      </c>
      <c r="AB116" s="22">
        <v>8.1001236790299178E-2</v>
      </c>
      <c r="AC116" s="24">
        <v>0</v>
      </c>
      <c r="AD116" s="384">
        <v>0</v>
      </c>
    </row>
    <row r="117" spans="1:30">
      <c r="A117" s="21" t="s">
        <v>117</v>
      </c>
      <c r="B117" s="21" t="s">
        <v>118</v>
      </c>
      <c r="C117" s="23">
        <v>13</v>
      </c>
      <c r="D117" s="147">
        <v>0</v>
      </c>
      <c r="E117" s="22">
        <v>3.68</v>
      </c>
      <c r="F117" s="22">
        <v>3.68</v>
      </c>
      <c r="G117" s="22">
        <v>0</v>
      </c>
      <c r="H117" s="22">
        <v>0</v>
      </c>
      <c r="I117" s="22">
        <v>0</v>
      </c>
      <c r="J117" s="22">
        <v>0</v>
      </c>
      <c r="K117" s="22">
        <v>0</v>
      </c>
      <c r="L117" s="22">
        <v>0</v>
      </c>
      <c r="M117" s="388">
        <v>36.4</v>
      </c>
      <c r="N117" s="25">
        <v>0.68179999999999996</v>
      </c>
      <c r="O117" s="24">
        <v>34</v>
      </c>
      <c r="P117" s="24">
        <v>0</v>
      </c>
      <c r="Q117" s="24">
        <v>0</v>
      </c>
      <c r="R117" s="22">
        <v>0</v>
      </c>
      <c r="S117" s="24">
        <v>1</v>
      </c>
      <c r="T117" s="24">
        <f t="shared" si="7"/>
        <v>1</v>
      </c>
      <c r="U117" s="376">
        <v>24.82</v>
      </c>
      <c r="V117" s="376">
        <v>0</v>
      </c>
      <c r="W117" s="22">
        <f t="shared" si="8"/>
        <v>16.922276</v>
      </c>
      <c r="X117" s="22">
        <f t="shared" si="9"/>
        <v>4</v>
      </c>
      <c r="Y117" s="22">
        <v>4</v>
      </c>
      <c r="Z117" s="22">
        <v>0</v>
      </c>
      <c r="AA117" s="371">
        <v>36.4</v>
      </c>
      <c r="AB117" s="22">
        <v>0.10989010989010989</v>
      </c>
      <c r="AC117" s="24">
        <v>0</v>
      </c>
      <c r="AD117" s="384">
        <v>0</v>
      </c>
    </row>
    <row r="118" spans="1:30">
      <c r="A118" s="21" t="s">
        <v>83</v>
      </c>
      <c r="B118" s="21" t="s">
        <v>84</v>
      </c>
      <c r="C118" s="23">
        <v>327.11847431858166</v>
      </c>
      <c r="D118" s="147">
        <v>17.166479207507962</v>
      </c>
      <c r="E118" s="22">
        <v>37.892966405325133</v>
      </c>
      <c r="F118" s="22">
        <v>55.059445612833095</v>
      </c>
      <c r="G118" s="22">
        <v>0</v>
      </c>
      <c r="H118" s="22">
        <v>37.762231648618858</v>
      </c>
      <c r="I118" s="22">
        <v>1.4581953632622462</v>
      </c>
      <c r="J118" s="22">
        <v>37.812514247352041</v>
      </c>
      <c r="K118" s="22">
        <v>0</v>
      </c>
      <c r="L118" s="22">
        <v>0</v>
      </c>
      <c r="M118" s="388">
        <v>1047.7083402440505</v>
      </c>
      <c r="N118" s="25">
        <v>0.32329999999999998</v>
      </c>
      <c r="O118" s="24">
        <v>0</v>
      </c>
      <c r="P118" s="24">
        <v>28.912494271579021</v>
      </c>
      <c r="Q118" s="24">
        <v>20.867278474270076</v>
      </c>
      <c r="R118" s="22">
        <v>8.0452157973089449</v>
      </c>
      <c r="S118" s="24">
        <v>2.0113039493272362</v>
      </c>
      <c r="T118" s="24">
        <f t="shared" si="7"/>
        <v>30.923798220906257</v>
      </c>
      <c r="U118" s="376">
        <v>338.72</v>
      </c>
      <c r="V118" s="376">
        <v>0</v>
      </c>
      <c r="W118" s="22">
        <f t="shared" si="8"/>
        <v>109.50817600000001</v>
      </c>
      <c r="X118" s="22">
        <f t="shared" si="9"/>
        <v>184.0343113634421</v>
      </c>
      <c r="Y118" s="22">
        <v>127.96921377594541</v>
      </c>
      <c r="Z118" s="22">
        <v>56.065097587496709</v>
      </c>
      <c r="AA118" s="371">
        <v>1049.5084572786984</v>
      </c>
      <c r="AB118" s="22">
        <v>0.17535286170121023</v>
      </c>
      <c r="AC118" s="24">
        <v>4.0352861701210219E-2</v>
      </c>
      <c r="AD118" s="384">
        <v>-392203.58207722969</v>
      </c>
    </row>
    <row r="119" spans="1:30">
      <c r="A119" s="21" t="s">
        <v>101</v>
      </c>
      <c r="B119" s="21" t="s">
        <v>102</v>
      </c>
      <c r="C119" s="23">
        <v>22.2</v>
      </c>
      <c r="D119" s="147">
        <v>0</v>
      </c>
      <c r="E119" s="22">
        <v>0</v>
      </c>
      <c r="F119" s="22">
        <v>0</v>
      </c>
      <c r="G119" s="22">
        <v>0</v>
      </c>
      <c r="H119" s="22">
        <v>0</v>
      </c>
      <c r="I119" s="22">
        <v>0</v>
      </c>
      <c r="J119" s="22">
        <v>0</v>
      </c>
      <c r="K119" s="22">
        <v>0</v>
      </c>
      <c r="L119" s="22">
        <v>0</v>
      </c>
      <c r="M119" s="388">
        <v>33.4</v>
      </c>
      <c r="N119" s="25">
        <v>0.93940000000000001</v>
      </c>
      <c r="O119" s="24">
        <v>33</v>
      </c>
      <c r="P119" s="24">
        <v>0</v>
      </c>
      <c r="Q119" s="24">
        <v>0</v>
      </c>
      <c r="R119" s="22">
        <v>0</v>
      </c>
      <c r="S119" s="24">
        <v>0</v>
      </c>
      <c r="T119" s="24">
        <f t="shared" si="7"/>
        <v>0</v>
      </c>
      <c r="U119" s="376">
        <v>31.38</v>
      </c>
      <c r="V119" s="376">
        <v>0</v>
      </c>
      <c r="W119" s="22">
        <f t="shared" si="8"/>
        <v>29.478372</v>
      </c>
      <c r="X119" s="22">
        <f t="shared" si="9"/>
        <v>3.5</v>
      </c>
      <c r="Y119" s="22">
        <v>3.5</v>
      </c>
      <c r="Z119" s="22">
        <v>0</v>
      </c>
      <c r="AA119" s="371">
        <v>33.4</v>
      </c>
      <c r="AB119" s="22">
        <v>0.10479041916167665</v>
      </c>
      <c r="AC119" s="24">
        <v>0</v>
      </c>
      <c r="AD119" s="384">
        <v>0</v>
      </c>
    </row>
    <row r="120" spans="1:30">
      <c r="A120" s="21" t="s">
        <v>87</v>
      </c>
      <c r="B120" s="21" t="s">
        <v>88</v>
      </c>
      <c r="C120" s="23">
        <v>1368.3303028063056</v>
      </c>
      <c r="D120" s="147">
        <v>64.120369904552291</v>
      </c>
      <c r="E120" s="22">
        <v>359.58092006072332</v>
      </c>
      <c r="F120" s="22">
        <v>423.70128996527558</v>
      </c>
      <c r="G120" s="22">
        <v>0</v>
      </c>
      <c r="H120" s="22">
        <v>81.216453473833809</v>
      </c>
      <c r="I120" s="22">
        <v>8.2061201132551247</v>
      </c>
      <c r="J120" s="22">
        <v>236.25781840772382</v>
      </c>
      <c r="K120" s="22">
        <v>15.32613609387354</v>
      </c>
      <c r="L120" s="22">
        <v>1.226895409089614</v>
      </c>
      <c r="M120" s="388">
        <v>4815.5745371964822</v>
      </c>
      <c r="N120" s="25">
        <v>0.61299999999999999</v>
      </c>
      <c r="O120" s="24">
        <v>4556.6090972008533</v>
      </c>
      <c r="P120" s="24">
        <v>307.47809125340126</v>
      </c>
      <c r="Q120" s="24">
        <v>196.60496104673734</v>
      </c>
      <c r="R120" s="22">
        <v>110.8731302066639</v>
      </c>
      <c r="S120" s="24">
        <v>23.632821404595024</v>
      </c>
      <c r="T120" s="24">
        <f t="shared" si="7"/>
        <v>331.11091265799627</v>
      </c>
      <c r="U120" s="376">
        <v>2952.43</v>
      </c>
      <c r="V120" s="376">
        <v>240.78</v>
      </c>
      <c r="W120" s="22">
        <f t="shared" si="8"/>
        <v>1809.8395899999998</v>
      </c>
      <c r="X120" s="22">
        <f t="shared" si="9"/>
        <v>686.10605971425343</v>
      </c>
      <c r="Y120" s="22">
        <v>356.50362501825259</v>
      </c>
      <c r="Z120" s="22">
        <v>329.60243469600084</v>
      </c>
      <c r="AA120" s="371">
        <v>4808.3137299394102</v>
      </c>
      <c r="AB120" s="22">
        <v>0.14269161669758582</v>
      </c>
      <c r="AC120" s="24">
        <v>7.6916166975858069E-3</v>
      </c>
      <c r="AD120" s="384">
        <v>-339807.03257178841</v>
      </c>
    </row>
    <row r="121" spans="1:30">
      <c r="A121" s="21" t="s">
        <v>17</v>
      </c>
      <c r="B121" s="21" t="s">
        <v>18</v>
      </c>
      <c r="C121" s="23">
        <v>5178.2126392601822</v>
      </c>
      <c r="D121" s="147">
        <v>162.53347214513397</v>
      </c>
      <c r="E121" s="22">
        <v>966.44160417148362</v>
      </c>
      <c r="F121" s="22">
        <v>1128.9750763166176</v>
      </c>
      <c r="G121" s="22">
        <v>440.06324759305261</v>
      </c>
      <c r="H121" s="22">
        <v>271.19416800753794</v>
      </c>
      <c r="I121" s="22">
        <v>13.32488866429294</v>
      </c>
      <c r="J121" s="22">
        <v>795.70201191309457</v>
      </c>
      <c r="K121" s="22">
        <v>28.761646475379479</v>
      </c>
      <c r="L121" s="22">
        <v>0</v>
      </c>
      <c r="M121" s="388">
        <v>18427.255031624001</v>
      </c>
      <c r="N121" s="25">
        <v>0.58799999999999997</v>
      </c>
      <c r="O121" s="24">
        <v>12732.559651216068</v>
      </c>
      <c r="P121" s="24">
        <v>2598.8561155244552</v>
      </c>
      <c r="Q121" s="24">
        <v>1697.2891202385215</v>
      </c>
      <c r="R121" s="22">
        <v>901.56699528593367</v>
      </c>
      <c r="S121" s="24">
        <v>494.7807715345001</v>
      </c>
      <c r="T121" s="24">
        <f t="shared" si="7"/>
        <v>3093.6368870589554</v>
      </c>
      <c r="U121" s="376">
        <v>10835.23</v>
      </c>
      <c r="V121" s="376">
        <v>921.36</v>
      </c>
      <c r="W121" s="22">
        <f t="shared" si="8"/>
        <v>6371.1152399999992</v>
      </c>
      <c r="X121" s="22">
        <f t="shared" si="9"/>
        <v>2184.0246759757129</v>
      </c>
      <c r="Y121" s="22">
        <v>1060.962833270117</v>
      </c>
      <c r="Z121" s="22">
        <v>1123.0618427055956</v>
      </c>
      <c r="AA121" s="371">
        <v>18143.580722610881</v>
      </c>
      <c r="AB121" s="22">
        <v>0.12037451203079991</v>
      </c>
      <c r="AC121" s="24">
        <v>0</v>
      </c>
      <c r="AD121" s="384">
        <v>0</v>
      </c>
    </row>
    <row r="122" spans="1:30">
      <c r="A122" s="21" t="s">
        <v>217</v>
      </c>
      <c r="B122" s="21" t="s">
        <v>218</v>
      </c>
      <c r="C122" s="23">
        <v>7370.3830962306702</v>
      </c>
      <c r="D122" s="147">
        <v>190.61127527774218</v>
      </c>
      <c r="E122" s="22">
        <v>1447.5455088505587</v>
      </c>
      <c r="F122" s="22">
        <v>1638.1567841283008</v>
      </c>
      <c r="G122" s="22">
        <v>0</v>
      </c>
      <c r="H122" s="22">
        <v>738.51058411397457</v>
      </c>
      <c r="I122" s="22">
        <v>53.11853730173231</v>
      </c>
      <c r="J122" s="22">
        <v>52.454806998454316</v>
      </c>
      <c r="K122" s="22">
        <v>188.14742793981631</v>
      </c>
      <c r="L122" s="22">
        <v>6.7177551907529685</v>
      </c>
      <c r="M122" s="388">
        <v>24838.728856973408</v>
      </c>
      <c r="N122" s="25">
        <v>0.52290000000000003</v>
      </c>
      <c r="O122" s="24">
        <v>11580.082488251563</v>
      </c>
      <c r="P122" s="24">
        <v>5838.5639519033011</v>
      </c>
      <c r="Q122" s="24">
        <v>3893.6330329038633</v>
      </c>
      <c r="R122" s="22">
        <v>1944.9309189994374</v>
      </c>
      <c r="S122" s="24">
        <v>738.65137539042746</v>
      </c>
      <c r="T122" s="24">
        <f t="shared" si="7"/>
        <v>6577.2153272937285</v>
      </c>
      <c r="U122" s="376">
        <v>12945.95</v>
      </c>
      <c r="V122" s="376">
        <v>1241.94</v>
      </c>
      <c r="W122" s="22">
        <f t="shared" si="8"/>
        <v>6769.4372550000007</v>
      </c>
      <c r="X122" s="22">
        <f t="shared" si="9"/>
        <v>2671.5144706939018</v>
      </c>
      <c r="Y122" s="22">
        <v>1489.1191614831525</v>
      </c>
      <c r="Z122" s="22">
        <v>1182.395309210749</v>
      </c>
      <c r="AA122" s="371">
        <v>24882.60545262798</v>
      </c>
      <c r="AB122" s="22">
        <v>0.10736474023108177</v>
      </c>
      <c r="AC122" s="24">
        <v>0</v>
      </c>
      <c r="AD122" s="384">
        <v>0</v>
      </c>
    </row>
    <row r="123" spans="1:30">
      <c r="A123" s="21" t="s">
        <v>505</v>
      </c>
      <c r="B123" s="21" t="s">
        <v>506</v>
      </c>
      <c r="C123" s="23">
        <v>219.43326087160145</v>
      </c>
      <c r="D123" s="147">
        <v>0</v>
      </c>
      <c r="E123" s="22">
        <v>55.562271600164898</v>
      </c>
      <c r="F123" s="22">
        <v>55.562271600164898</v>
      </c>
      <c r="G123" s="22">
        <v>0</v>
      </c>
      <c r="H123" s="22">
        <v>15.959696837911618</v>
      </c>
      <c r="I123" s="22">
        <v>1.4079127645290652</v>
      </c>
      <c r="J123" s="22">
        <v>328.90853483348292</v>
      </c>
      <c r="K123" s="22">
        <v>0</v>
      </c>
      <c r="L123" s="22">
        <v>0</v>
      </c>
      <c r="M123" s="388">
        <v>1056.537964581597</v>
      </c>
      <c r="N123" s="25">
        <v>0.53800000000000003</v>
      </c>
      <c r="O123" s="24">
        <v>730.1033336057867</v>
      </c>
      <c r="P123" s="24">
        <v>3.0169559239908543</v>
      </c>
      <c r="Q123" s="24">
        <v>0</v>
      </c>
      <c r="R123" s="22">
        <v>3.0169559239908543</v>
      </c>
      <c r="S123" s="24">
        <v>0</v>
      </c>
      <c r="T123" s="24">
        <f t="shared" si="7"/>
        <v>3.0169559239908543</v>
      </c>
      <c r="U123" s="376">
        <v>517.49</v>
      </c>
      <c r="V123" s="376">
        <v>52.83</v>
      </c>
      <c r="W123" s="22">
        <f t="shared" si="8"/>
        <v>278.40962000000002</v>
      </c>
      <c r="X123" s="22">
        <f t="shared" si="9"/>
        <v>139.28279849091112</v>
      </c>
      <c r="Y123" s="22">
        <v>116.4042160673138</v>
      </c>
      <c r="Z123" s="22">
        <v>22.878582423597312</v>
      </c>
      <c r="AA123" s="371">
        <v>1057.6140121944873</v>
      </c>
      <c r="AB123" s="22">
        <v>0.13169530365989332</v>
      </c>
      <c r="AC123" s="24">
        <v>0</v>
      </c>
      <c r="AD123" s="384">
        <v>0</v>
      </c>
    </row>
    <row r="124" spans="1:30">
      <c r="A124" s="21" t="s">
        <v>21</v>
      </c>
      <c r="B124" s="21" t="s">
        <v>22</v>
      </c>
      <c r="C124" s="23">
        <v>436.25182660907757</v>
      </c>
      <c r="D124" s="147">
        <v>0</v>
      </c>
      <c r="E124" s="22">
        <v>85.611152603113808</v>
      </c>
      <c r="F124" s="22">
        <v>85.611152603113808</v>
      </c>
      <c r="G124" s="22">
        <v>0</v>
      </c>
      <c r="H124" s="22">
        <v>25.945820946321348</v>
      </c>
      <c r="I124" s="22">
        <v>0.30169559239908544</v>
      </c>
      <c r="J124" s="22">
        <v>0</v>
      </c>
      <c r="K124" s="22">
        <v>2.8158255290581304</v>
      </c>
      <c r="L124" s="22">
        <v>0</v>
      </c>
      <c r="M124" s="388">
        <v>1399.3747792641714</v>
      </c>
      <c r="N124" s="25">
        <v>0.70530000000000004</v>
      </c>
      <c r="O124" s="24">
        <v>1397.8562447824293</v>
      </c>
      <c r="P124" s="24">
        <v>345.44145329695283</v>
      </c>
      <c r="Q124" s="24">
        <v>220.74060843866417</v>
      </c>
      <c r="R124" s="22">
        <v>124.70084485828865</v>
      </c>
      <c r="S124" s="24">
        <v>68.38433427712603</v>
      </c>
      <c r="T124" s="24">
        <f t="shared" si="7"/>
        <v>413.82578757407884</v>
      </c>
      <c r="U124" s="376">
        <v>986.98</v>
      </c>
      <c r="V124" s="376">
        <v>69.97</v>
      </c>
      <c r="W124" s="22">
        <f t="shared" si="8"/>
        <v>696.11699400000009</v>
      </c>
      <c r="X124" s="22">
        <f t="shared" si="9"/>
        <v>178.50322550279219</v>
      </c>
      <c r="Y124" s="22">
        <v>130.48334371260444</v>
      </c>
      <c r="Z124" s="22">
        <v>48.019881790187767</v>
      </c>
      <c r="AA124" s="371">
        <v>1422.6556224776341</v>
      </c>
      <c r="AB124" s="22">
        <v>0.12547184482490489</v>
      </c>
      <c r="AC124" s="24">
        <v>0</v>
      </c>
      <c r="AD124" s="384">
        <v>0</v>
      </c>
    </row>
    <row r="125" spans="1:30">
      <c r="A125" s="21" t="s">
        <v>247</v>
      </c>
      <c r="B125" s="21" t="s">
        <v>248</v>
      </c>
      <c r="C125" s="23">
        <v>157.08283844245713</v>
      </c>
      <c r="D125" s="147">
        <v>14.742857948568641</v>
      </c>
      <c r="E125" s="22">
        <v>40.919978849062616</v>
      </c>
      <c r="F125" s="22">
        <v>55.662836797631257</v>
      </c>
      <c r="G125" s="22">
        <v>0</v>
      </c>
      <c r="H125" s="22">
        <v>12.711440959748133</v>
      </c>
      <c r="I125" s="22">
        <v>0</v>
      </c>
      <c r="J125" s="22">
        <v>0</v>
      </c>
      <c r="K125" s="22">
        <v>0</v>
      </c>
      <c r="L125" s="22">
        <v>0</v>
      </c>
      <c r="M125" s="388">
        <v>581.21655875683814</v>
      </c>
      <c r="N125" s="25">
        <v>0.47520000000000001</v>
      </c>
      <c r="O125" s="24">
        <v>0</v>
      </c>
      <c r="P125" s="24">
        <v>32.432276182901681</v>
      </c>
      <c r="Q125" s="24">
        <v>13.073475670627035</v>
      </c>
      <c r="R125" s="22">
        <v>19.358800512274648</v>
      </c>
      <c r="S125" s="24">
        <v>5.7824988543158042</v>
      </c>
      <c r="T125" s="24">
        <f t="shared" si="7"/>
        <v>38.214775037217485</v>
      </c>
      <c r="U125" s="376">
        <v>276.19</v>
      </c>
      <c r="V125" s="376">
        <v>0</v>
      </c>
      <c r="W125" s="22">
        <f t="shared" si="8"/>
        <v>131.24548799999999</v>
      </c>
      <c r="X125" s="22">
        <f t="shared" si="9"/>
        <v>83.217700903414396</v>
      </c>
      <c r="Y125" s="22">
        <v>61.344770454480702</v>
      </c>
      <c r="Z125" s="22">
        <v>21.872930448933694</v>
      </c>
      <c r="AA125" s="371">
        <v>581.75961082315644</v>
      </c>
      <c r="AB125" s="22">
        <v>0.14304482359245621</v>
      </c>
      <c r="AC125" s="24">
        <v>8.0448235924562017E-3</v>
      </c>
      <c r="AD125" s="384">
        <v>-42906.651305003827</v>
      </c>
    </row>
    <row r="126" spans="1:30">
      <c r="A126" s="21" t="s">
        <v>261</v>
      </c>
      <c r="B126" s="21" t="s">
        <v>262</v>
      </c>
      <c r="C126" s="23">
        <v>28</v>
      </c>
      <c r="D126" s="147">
        <v>0</v>
      </c>
      <c r="E126" s="22">
        <v>0</v>
      </c>
      <c r="F126" s="22">
        <v>0</v>
      </c>
      <c r="G126" s="22">
        <v>0</v>
      </c>
      <c r="H126" s="22">
        <v>0.64</v>
      </c>
      <c r="I126" s="22">
        <v>0</v>
      </c>
      <c r="J126" s="22">
        <v>0</v>
      </c>
      <c r="K126" s="22">
        <v>0</v>
      </c>
      <c r="L126" s="22">
        <v>0</v>
      </c>
      <c r="M126" s="388">
        <v>92.7</v>
      </c>
      <c r="N126" s="25">
        <v>0.51759999999999995</v>
      </c>
      <c r="O126" s="24">
        <v>91</v>
      </c>
      <c r="P126" s="24">
        <v>0</v>
      </c>
      <c r="Q126" s="24">
        <v>0</v>
      </c>
      <c r="R126" s="22">
        <v>0</v>
      </c>
      <c r="S126" s="24">
        <v>0</v>
      </c>
      <c r="T126" s="24">
        <f t="shared" si="7"/>
        <v>0</v>
      </c>
      <c r="U126" s="376">
        <v>47.98</v>
      </c>
      <c r="V126" s="376">
        <v>4.6399999999999997</v>
      </c>
      <c r="W126" s="22">
        <f t="shared" si="8"/>
        <v>24.834447999999995</v>
      </c>
      <c r="X126" s="22">
        <f t="shared" si="9"/>
        <v>9.5</v>
      </c>
      <c r="Y126" s="22">
        <v>9.25</v>
      </c>
      <c r="Z126" s="22">
        <v>0.25</v>
      </c>
      <c r="AA126" s="371">
        <v>92.7</v>
      </c>
      <c r="AB126" s="22">
        <v>0.10248112189859762</v>
      </c>
      <c r="AC126" s="24">
        <v>0</v>
      </c>
      <c r="AD126" s="384">
        <v>0</v>
      </c>
    </row>
    <row r="127" spans="1:30">
      <c r="A127" s="21" t="s">
        <v>59</v>
      </c>
      <c r="B127" s="21" t="s">
        <v>60</v>
      </c>
      <c r="C127" s="23">
        <v>467.74884645554204</v>
      </c>
      <c r="D127" s="147">
        <v>0</v>
      </c>
      <c r="E127" s="22">
        <v>45.063264984676728</v>
      </c>
      <c r="F127" s="22">
        <v>45.063264984676728</v>
      </c>
      <c r="G127" s="22">
        <v>0</v>
      </c>
      <c r="H127" s="22">
        <v>46.350499512246159</v>
      </c>
      <c r="I127" s="22">
        <v>1.4079127645290652</v>
      </c>
      <c r="J127" s="22">
        <v>86.425730702591352</v>
      </c>
      <c r="K127" s="22">
        <v>3.0169559239908543</v>
      </c>
      <c r="L127" s="22">
        <v>0</v>
      </c>
      <c r="M127" s="388">
        <v>1682.0937189013546</v>
      </c>
      <c r="N127" s="25">
        <v>0.25490000000000002</v>
      </c>
      <c r="O127" s="24">
        <v>0</v>
      </c>
      <c r="P127" s="24">
        <v>43.494447904201479</v>
      </c>
      <c r="Q127" s="24">
        <v>26.649777328585881</v>
      </c>
      <c r="R127" s="22">
        <v>16.844670575615602</v>
      </c>
      <c r="S127" s="24">
        <v>4.2740208923203769</v>
      </c>
      <c r="T127" s="24">
        <f t="shared" si="7"/>
        <v>47.768468796521859</v>
      </c>
      <c r="U127" s="376">
        <v>428.77</v>
      </c>
      <c r="V127" s="376">
        <v>84.1</v>
      </c>
      <c r="W127" s="22">
        <f t="shared" si="8"/>
        <v>109.29347300000001</v>
      </c>
      <c r="X127" s="22">
        <f t="shared" si="9"/>
        <v>222.50049939432552</v>
      </c>
      <c r="Y127" s="22">
        <v>109.11323925100257</v>
      </c>
      <c r="Z127" s="22">
        <v>113.38726014332295</v>
      </c>
      <c r="AA127" s="371">
        <v>1712.0923173055698</v>
      </c>
      <c r="AB127" s="22">
        <v>0.12995823714955332</v>
      </c>
      <c r="AC127" s="24">
        <v>0</v>
      </c>
      <c r="AD127" s="384">
        <v>0</v>
      </c>
    </row>
    <row r="128" spans="1:30">
      <c r="A128" s="21" t="s">
        <v>409</v>
      </c>
      <c r="B128" s="21" t="s">
        <v>410</v>
      </c>
      <c r="C128" s="23">
        <v>153.46249133366811</v>
      </c>
      <c r="D128" s="147">
        <v>0</v>
      </c>
      <c r="E128" s="22">
        <v>15.265796975393723</v>
      </c>
      <c r="F128" s="22">
        <v>15.265796975393723</v>
      </c>
      <c r="G128" s="22">
        <v>0</v>
      </c>
      <c r="H128" s="22">
        <v>15.718340363992352</v>
      </c>
      <c r="I128" s="22">
        <v>1.277178007822795</v>
      </c>
      <c r="J128" s="22">
        <v>0</v>
      </c>
      <c r="K128" s="22">
        <v>0.80452157973089455</v>
      </c>
      <c r="L128" s="22">
        <v>0</v>
      </c>
      <c r="M128" s="388">
        <v>580.83441100646587</v>
      </c>
      <c r="N128" s="25">
        <v>0.58089999999999997</v>
      </c>
      <c r="O128" s="24">
        <v>583.27814530489854</v>
      </c>
      <c r="P128" s="24">
        <v>11.062171721299798</v>
      </c>
      <c r="Q128" s="24">
        <v>4.2740208923203769</v>
      </c>
      <c r="R128" s="22">
        <v>6.7881508289794219</v>
      </c>
      <c r="S128" s="24">
        <v>1.0056519746636181</v>
      </c>
      <c r="T128" s="24">
        <f t="shared" si="7"/>
        <v>12.067823695963416</v>
      </c>
      <c r="U128" s="376">
        <v>337.41</v>
      </c>
      <c r="V128" s="376">
        <v>29.04</v>
      </c>
      <c r="W128" s="22">
        <f t="shared" si="8"/>
        <v>196.00146900000001</v>
      </c>
      <c r="X128" s="22">
        <f t="shared" si="9"/>
        <v>86.988895808402972</v>
      </c>
      <c r="Y128" s="22">
        <v>74.669659118773652</v>
      </c>
      <c r="Z128" s="22">
        <v>12.319236689629323</v>
      </c>
      <c r="AA128" s="371">
        <v>593.4553432884943</v>
      </c>
      <c r="AB128" s="22">
        <v>0.14658035653765336</v>
      </c>
      <c r="AC128" s="24">
        <v>1.1580356537653352E-2</v>
      </c>
      <c r="AD128" s="384">
        <v>-69903.427919610185</v>
      </c>
    </row>
    <row r="129" spans="1:30">
      <c r="A129" s="21" t="s">
        <v>555</v>
      </c>
      <c r="B129" s="21" t="s">
        <v>556</v>
      </c>
      <c r="C129" s="23">
        <v>26</v>
      </c>
      <c r="D129" s="147">
        <v>0</v>
      </c>
      <c r="E129" s="22">
        <v>3.74</v>
      </c>
      <c r="F129" s="22">
        <v>3.74</v>
      </c>
      <c r="G129" s="22">
        <v>0</v>
      </c>
      <c r="H129" s="22">
        <v>0</v>
      </c>
      <c r="I129" s="22">
        <v>0</v>
      </c>
      <c r="J129" s="22">
        <v>0</v>
      </c>
      <c r="K129" s="22">
        <v>0</v>
      </c>
      <c r="L129" s="22">
        <v>0</v>
      </c>
      <c r="M129" s="388">
        <v>79.400000000000006</v>
      </c>
      <c r="N129" s="25">
        <v>0.42470000000000002</v>
      </c>
      <c r="O129" s="24">
        <v>0</v>
      </c>
      <c r="P129" s="24">
        <v>0</v>
      </c>
      <c r="Q129" s="24">
        <v>0</v>
      </c>
      <c r="R129" s="22">
        <v>0</v>
      </c>
      <c r="S129" s="24">
        <v>0</v>
      </c>
      <c r="T129" s="24">
        <f t="shared" si="7"/>
        <v>0</v>
      </c>
      <c r="U129" s="376">
        <v>33.72</v>
      </c>
      <c r="V129" s="376">
        <v>3.97</v>
      </c>
      <c r="W129" s="22">
        <f t="shared" si="8"/>
        <v>14.320884</v>
      </c>
      <c r="X129" s="22">
        <f t="shared" si="9"/>
        <v>10.5</v>
      </c>
      <c r="Y129" s="22">
        <v>8.5</v>
      </c>
      <c r="Z129" s="22">
        <v>2</v>
      </c>
      <c r="AA129" s="371">
        <v>79.400000000000006</v>
      </c>
      <c r="AB129" s="22">
        <v>0.13224181360201509</v>
      </c>
      <c r="AC129" s="24">
        <v>0</v>
      </c>
      <c r="AD129" s="384">
        <v>0</v>
      </c>
    </row>
    <row r="130" spans="1:30">
      <c r="A130" s="21" t="s">
        <v>35</v>
      </c>
      <c r="B130" s="21" t="s">
        <v>36</v>
      </c>
      <c r="C130" s="23">
        <v>310.3441993811926</v>
      </c>
      <c r="D130" s="147">
        <v>0</v>
      </c>
      <c r="E130" s="22">
        <v>101.77197983595815</v>
      </c>
      <c r="F130" s="22">
        <v>101.77197983595815</v>
      </c>
      <c r="G130" s="22">
        <v>0</v>
      </c>
      <c r="H130" s="22">
        <v>18.876087564436112</v>
      </c>
      <c r="I130" s="22">
        <v>5.028259873318091E-2</v>
      </c>
      <c r="J130" s="22">
        <v>6.4361726378471564</v>
      </c>
      <c r="K130" s="22">
        <v>0</v>
      </c>
      <c r="L130" s="22">
        <v>0</v>
      </c>
      <c r="M130" s="388">
        <v>1261.9122108474014</v>
      </c>
      <c r="N130" s="25">
        <v>0.61150000000000004</v>
      </c>
      <c r="O130" s="24">
        <v>1259.07627227885</v>
      </c>
      <c r="P130" s="24">
        <v>360.02340692957529</v>
      </c>
      <c r="Q130" s="24">
        <v>231.55136716629806</v>
      </c>
      <c r="R130" s="22">
        <v>128.47203976327722</v>
      </c>
      <c r="S130" s="24">
        <v>33.186515163899401</v>
      </c>
      <c r="T130" s="24">
        <f t="shared" si="7"/>
        <v>393.20992209347469</v>
      </c>
      <c r="U130" s="376">
        <v>771.66</v>
      </c>
      <c r="V130" s="376">
        <v>63.1</v>
      </c>
      <c r="W130" s="22">
        <f t="shared" si="8"/>
        <v>471.87009</v>
      </c>
      <c r="X130" s="22">
        <f t="shared" si="9"/>
        <v>128.72345275694312</v>
      </c>
      <c r="Y130" s="22">
        <v>108.86182625733666</v>
      </c>
      <c r="Z130" s="22">
        <v>19.861626499606459</v>
      </c>
      <c r="AA130" s="371">
        <v>1263.0485975787713</v>
      </c>
      <c r="AB130" s="22">
        <v>0.10191488514670169</v>
      </c>
      <c r="AC130" s="24">
        <v>0</v>
      </c>
      <c r="AD130" s="384">
        <v>0</v>
      </c>
    </row>
    <row r="131" spans="1:30">
      <c r="A131" s="21" t="s">
        <v>155</v>
      </c>
      <c r="B131" s="21" t="s">
        <v>156</v>
      </c>
      <c r="C131" s="23">
        <v>50.48372912811363</v>
      </c>
      <c r="D131" s="147">
        <v>0</v>
      </c>
      <c r="E131" s="22">
        <v>5.0282598733180901</v>
      </c>
      <c r="F131" s="22">
        <v>5.0282598733180901</v>
      </c>
      <c r="G131" s="22">
        <v>0</v>
      </c>
      <c r="H131" s="22">
        <v>6.6674725920197879</v>
      </c>
      <c r="I131" s="22">
        <v>1.0861041326367076</v>
      </c>
      <c r="J131" s="22">
        <v>0</v>
      </c>
      <c r="K131" s="22">
        <v>0</v>
      </c>
      <c r="L131" s="22">
        <v>0</v>
      </c>
      <c r="M131" s="388">
        <v>175.75779561196052</v>
      </c>
      <c r="N131" s="25">
        <v>1</v>
      </c>
      <c r="O131" s="24">
        <v>173.97779161680594</v>
      </c>
      <c r="P131" s="24">
        <v>48.271294783853669</v>
      </c>
      <c r="Q131" s="24">
        <v>27.152603315917688</v>
      </c>
      <c r="R131" s="22">
        <v>21.118691467935982</v>
      </c>
      <c r="S131" s="24">
        <v>3.0169559239908543</v>
      </c>
      <c r="T131" s="24">
        <f t="shared" si="7"/>
        <v>51.288250707844526</v>
      </c>
      <c r="U131" s="376">
        <v>175.76</v>
      </c>
      <c r="V131" s="376">
        <v>0</v>
      </c>
      <c r="W131" s="22">
        <f t="shared" si="8"/>
        <v>175.76</v>
      </c>
      <c r="X131" s="22">
        <f t="shared" si="9"/>
        <v>32.68368917656759</v>
      </c>
      <c r="Y131" s="22">
        <v>17.096083569281507</v>
      </c>
      <c r="Z131" s="22">
        <v>15.587605607286081</v>
      </c>
      <c r="AA131" s="371">
        <v>175.75779561196055</v>
      </c>
      <c r="AB131" s="22">
        <v>0.1859586885621102</v>
      </c>
      <c r="AC131" s="24">
        <v>5.0958688562110194E-2</v>
      </c>
      <c r="AD131" s="384">
        <v>-82292.378525977794</v>
      </c>
    </row>
    <row r="132" spans="1:30">
      <c r="A132" s="21" t="s">
        <v>425</v>
      </c>
      <c r="B132" s="21" t="s">
        <v>426</v>
      </c>
      <c r="C132" s="23">
        <v>2886.9854627853288</v>
      </c>
      <c r="D132" s="147">
        <v>132.92707801103705</v>
      </c>
      <c r="E132" s="22">
        <v>485.32764297266215</v>
      </c>
      <c r="F132" s="22">
        <v>618.25472098369914</v>
      </c>
      <c r="G132" s="22">
        <v>0</v>
      </c>
      <c r="H132" s="22">
        <v>154.84023453895728</v>
      </c>
      <c r="I132" s="22">
        <v>8.1960635935084873</v>
      </c>
      <c r="J132" s="22">
        <v>71.139820687704344</v>
      </c>
      <c r="K132" s="22">
        <v>0</v>
      </c>
      <c r="L132" s="22">
        <v>0</v>
      </c>
      <c r="M132" s="388">
        <v>9348.7418868679251</v>
      </c>
      <c r="N132" s="25">
        <v>0.25</v>
      </c>
      <c r="O132" s="24">
        <v>0</v>
      </c>
      <c r="P132" s="24">
        <v>593.08325205786878</v>
      </c>
      <c r="Q132" s="24">
        <v>448.52078069997367</v>
      </c>
      <c r="R132" s="22">
        <v>144.56247135789511</v>
      </c>
      <c r="S132" s="24">
        <v>149.5907312312132</v>
      </c>
      <c r="T132" s="24">
        <f t="shared" si="7"/>
        <v>742.673983289082</v>
      </c>
      <c r="U132" s="376">
        <v>2337.19</v>
      </c>
      <c r="V132" s="376">
        <v>467.44</v>
      </c>
      <c r="W132" s="22">
        <f t="shared" si="8"/>
        <v>584.29750000000001</v>
      </c>
      <c r="X132" s="22">
        <f t="shared" si="9"/>
        <v>1281.2006157214496</v>
      </c>
      <c r="Y132" s="22">
        <v>711.75018506817571</v>
      </c>
      <c r="Z132" s="22">
        <v>569.45043065327377</v>
      </c>
      <c r="AA132" s="371">
        <v>9399.4166898712265</v>
      </c>
      <c r="AB132" s="22">
        <v>0.13630639623648841</v>
      </c>
      <c r="AC132" s="24">
        <v>1.3063962364883996E-3</v>
      </c>
      <c r="AD132" s="384">
        <v>-128220.22383652475</v>
      </c>
    </row>
    <row r="133" spans="1:30">
      <c r="A133" s="21" t="s">
        <v>215</v>
      </c>
      <c r="B133" s="21" t="s">
        <v>216</v>
      </c>
      <c r="C133" s="23">
        <v>9405.7925233905935</v>
      </c>
      <c r="D133" s="147">
        <v>319.50568887037809</v>
      </c>
      <c r="E133" s="22">
        <v>1634.3051370653388</v>
      </c>
      <c r="F133" s="22">
        <v>1953.8108259357168</v>
      </c>
      <c r="G133" s="22">
        <v>314.73889851047261</v>
      </c>
      <c r="H133" s="22">
        <v>511.42431171518302</v>
      </c>
      <c r="I133" s="22">
        <v>41.945743863219512</v>
      </c>
      <c r="J133" s="22">
        <v>292.6246115876196</v>
      </c>
      <c r="K133" s="22">
        <v>0</v>
      </c>
      <c r="L133" s="22">
        <v>0</v>
      </c>
      <c r="M133" s="388">
        <v>30750.303142237288</v>
      </c>
      <c r="N133" s="25">
        <v>0.10920000000000001</v>
      </c>
      <c r="O133" s="24">
        <v>0</v>
      </c>
      <c r="P133" s="24">
        <v>3485.5897441841007</v>
      </c>
      <c r="Q133" s="24">
        <v>2792.1927076535358</v>
      </c>
      <c r="R133" s="22">
        <v>693.39703653056472</v>
      </c>
      <c r="S133" s="24">
        <v>1332.9916924166257</v>
      </c>
      <c r="T133" s="24">
        <f t="shared" si="7"/>
        <v>4818.5814366007262</v>
      </c>
      <c r="U133" s="376">
        <v>3357.93</v>
      </c>
      <c r="V133" s="376">
        <v>1537.52</v>
      </c>
      <c r="W133" s="22">
        <f t="shared" si="8"/>
        <v>366.68595599999998</v>
      </c>
      <c r="X133" s="22">
        <f t="shared" si="9"/>
        <v>2760.5146704516319</v>
      </c>
      <c r="Y133" s="22">
        <v>1829.0295289194555</v>
      </c>
      <c r="Z133" s="22">
        <v>931.48514153217627</v>
      </c>
      <c r="AA133" s="371">
        <v>30654.93716547994</v>
      </c>
      <c r="AB133" s="22">
        <v>9.0051225861268624E-2</v>
      </c>
      <c r="AC133" s="24">
        <v>0</v>
      </c>
      <c r="AD133" s="384">
        <v>0</v>
      </c>
    </row>
    <row r="134" spans="1:30">
      <c r="A134" s="21" t="s">
        <v>441</v>
      </c>
      <c r="B134" s="21" t="s">
        <v>442</v>
      </c>
      <c r="C134" s="23">
        <v>718.88025756854086</v>
      </c>
      <c r="D134" s="147">
        <v>18.51405285355721</v>
      </c>
      <c r="E134" s="22">
        <v>103.90396202224501</v>
      </c>
      <c r="F134" s="22">
        <v>122.41801487580221</v>
      </c>
      <c r="G134" s="22">
        <v>0</v>
      </c>
      <c r="H134" s="22">
        <v>33.558606394524936</v>
      </c>
      <c r="I134" s="22">
        <v>1.6190996792084253</v>
      </c>
      <c r="J134" s="22">
        <v>79.878936347531194</v>
      </c>
      <c r="K134" s="22">
        <v>0</v>
      </c>
      <c r="L134" s="22">
        <v>0</v>
      </c>
      <c r="M134" s="388">
        <v>2556.337150035677</v>
      </c>
      <c r="N134" s="25">
        <v>0.43070000000000003</v>
      </c>
      <c r="O134" s="24">
        <v>0</v>
      </c>
      <c r="P134" s="24">
        <v>208.92419773636666</v>
      </c>
      <c r="Q134" s="24">
        <v>125.20367084562045</v>
      </c>
      <c r="R134" s="22">
        <v>83.720526890746214</v>
      </c>
      <c r="S134" s="24">
        <v>25.141299366590452</v>
      </c>
      <c r="T134" s="24">
        <f t="shared" si="7"/>
        <v>234.06549710295712</v>
      </c>
      <c r="U134" s="376">
        <v>1102.04</v>
      </c>
      <c r="V134" s="376">
        <v>127.82</v>
      </c>
      <c r="W134" s="22">
        <f t="shared" si="8"/>
        <v>474.64862800000003</v>
      </c>
      <c r="X134" s="22">
        <f t="shared" si="9"/>
        <v>405.27774578943809</v>
      </c>
      <c r="Y134" s="22">
        <v>239.34516996994111</v>
      </c>
      <c r="Z134" s="22">
        <v>165.93257581949698</v>
      </c>
      <c r="AA134" s="371">
        <v>2570.8688210695668</v>
      </c>
      <c r="AB134" s="22">
        <v>0.15764232794298275</v>
      </c>
      <c r="AC134" s="24">
        <v>2.2642327942982737E-2</v>
      </c>
      <c r="AD134" s="384">
        <v>-592493.68344637111</v>
      </c>
    </row>
    <row r="135" spans="1:30">
      <c r="A135" s="21" t="s">
        <v>557</v>
      </c>
      <c r="B135" s="21" t="s">
        <v>558</v>
      </c>
      <c r="C135" s="23">
        <v>0</v>
      </c>
      <c r="D135" s="147">
        <v>0</v>
      </c>
      <c r="E135" s="22">
        <v>0</v>
      </c>
      <c r="F135" s="22">
        <v>0</v>
      </c>
      <c r="G135" s="22">
        <v>0</v>
      </c>
      <c r="H135" s="22">
        <v>0</v>
      </c>
      <c r="I135" s="22">
        <v>0</v>
      </c>
      <c r="J135" s="22">
        <v>0</v>
      </c>
      <c r="K135" s="22">
        <v>0</v>
      </c>
      <c r="L135" s="22">
        <v>0</v>
      </c>
      <c r="M135" s="388">
        <v>36.799999999999997</v>
      </c>
      <c r="N135" s="25">
        <v>0.73529999999999995</v>
      </c>
      <c r="O135" s="24">
        <v>37</v>
      </c>
      <c r="P135" s="24">
        <v>0</v>
      </c>
      <c r="Q135" s="24">
        <v>0</v>
      </c>
      <c r="R135" s="22">
        <v>0</v>
      </c>
      <c r="S135" s="24">
        <v>0</v>
      </c>
      <c r="T135" s="24">
        <f t="shared" si="7"/>
        <v>0</v>
      </c>
      <c r="U135" s="376">
        <v>27.06</v>
      </c>
      <c r="V135" s="376">
        <v>1.84</v>
      </c>
      <c r="W135" s="22">
        <f t="shared" si="8"/>
        <v>19.897217999999999</v>
      </c>
      <c r="X135" s="22">
        <f t="shared" si="9"/>
        <v>8</v>
      </c>
      <c r="Y135" s="22">
        <v>3.75</v>
      </c>
      <c r="Z135" s="22">
        <v>4.25</v>
      </c>
      <c r="AA135" s="371">
        <v>36.799999999999997</v>
      </c>
      <c r="AB135" s="22">
        <v>0.21739130434782611</v>
      </c>
      <c r="AC135" s="24">
        <v>8.23913043478261E-2</v>
      </c>
      <c r="AD135" s="384">
        <v>-24976.090844558374</v>
      </c>
    </row>
    <row r="136" spans="1:30">
      <c r="A136" s="21" t="s">
        <v>471</v>
      </c>
      <c r="B136" s="21" t="s">
        <v>472</v>
      </c>
      <c r="C136" s="23">
        <v>187.65465847223112</v>
      </c>
      <c r="D136" s="147">
        <v>0</v>
      </c>
      <c r="E136" s="22">
        <v>30.250011397881632</v>
      </c>
      <c r="F136" s="22">
        <v>30.250011397881632</v>
      </c>
      <c r="G136" s="22">
        <v>0</v>
      </c>
      <c r="H136" s="22">
        <v>7.66306804693677</v>
      </c>
      <c r="I136" s="22">
        <v>0</v>
      </c>
      <c r="J136" s="22">
        <v>4.6259990834526432</v>
      </c>
      <c r="K136" s="22">
        <v>0</v>
      </c>
      <c r="L136" s="22">
        <v>0</v>
      </c>
      <c r="M136" s="388">
        <v>571.18015204969515</v>
      </c>
      <c r="N136" s="25">
        <v>0.32419999999999999</v>
      </c>
      <c r="O136" s="24">
        <v>0</v>
      </c>
      <c r="P136" s="24">
        <v>1.0056519746636181</v>
      </c>
      <c r="Q136" s="24">
        <v>0</v>
      </c>
      <c r="R136" s="22">
        <v>1.0056519746636181</v>
      </c>
      <c r="S136" s="24">
        <v>0</v>
      </c>
      <c r="T136" s="24">
        <f t="shared" si="7"/>
        <v>1.0056519746636181</v>
      </c>
      <c r="U136" s="376">
        <v>185.18</v>
      </c>
      <c r="V136" s="376">
        <v>0</v>
      </c>
      <c r="W136" s="22">
        <f t="shared" si="8"/>
        <v>60.035356</v>
      </c>
      <c r="X136" s="22">
        <f t="shared" si="9"/>
        <v>64.864552365803362</v>
      </c>
      <c r="Y136" s="22">
        <v>49.025533764851382</v>
      </c>
      <c r="Z136" s="22">
        <v>15.839018600951984</v>
      </c>
      <c r="AA136" s="371">
        <v>571.72320411601356</v>
      </c>
      <c r="AB136" s="22">
        <v>0.11345446869887951</v>
      </c>
      <c r="AC136" s="24">
        <v>0</v>
      </c>
      <c r="AD136" s="384">
        <v>0</v>
      </c>
    </row>
    <row r="137" spans="1:30">
      <c r="A137" s="21" t="s">
        <v>9</v>
      </c>
      <c r="B137" s="21" t="s">
        <v>10</v>
      </c>
      <c r="C137" s="23">
        <v>52.29390268250814</v>
      </c>
      <c r="D137" s="147">
        <v>4.7466773204122772</v>
      </c>
      <c r="E137" s="22">
        <v>13.123758269360216</v>
      </c>
      <c r="F137" s="22">
        <v>17.870435589772494</v>
      </c>
      <c r="G137" s="22">
        <v>0</v>
      </c>
      <c r="H137" s="22">
        <v>1.0056519746636181</v>
      </c>
      <c r="I137" s="22">
        <v>0</v>
      </c>
      <c r="J137" s="22">
        <v>0</v>
      </c>
      <c r="K137" s="22">
        <v>0</v>
      </c>
      <c r="L137" s="22">
        <v>0</v>
      </c>
      <c r="M137" s="388">
        <v>189.2637016316929</v>
      </c>
      <c r="N137" s="25">
        <v>0.70589999999999997</v>
      </c>
      <c r="O137" s="24">
        <v>186.04561531276934</v>
      </c>
      <c r="P137" s="24">
        <v>29.163907265244923</v>
      </c>
      <c r="Q137" s="24">
        <v>18.101735543945125</v>
      </c>
      <c r="R137" s="22">
        <v>11.0621717212998</v>
      </c>
      <c r="S137" s="24">
        <v>4.0226078986544724</v>
      </c>
      <c r="T137" s="24">
        <f t="shared" ref="T137:T200" si="10">S137+P137</f>
        <v>33.186515163899394</v>
      </c>
      <c r="U137" s="376">
        <v>133.6</v>
      </c>
      <c r="V137" s="376">
        <v>0</v>
      </c>
      <c r="W137" s="22">
        <f t="shared" ref="W137:W200" si="11">U137*N137</f>
        <v>94.308239999999998</v>
      </c>
      <c r="X137" s="22">
        <f t="shared" ref="X137:X200" si="12">Y137+Z137</f>
        <v>18.604561531276936</v>
      </c>
      <c r="Y137" s="22">
        <v>16.09043159461789</v>
      </c>
      <c r="Z137" s="22">
        <v>2.5141299366590451</v>
      </c>
      <c r="AA137" s="371">
        <v>189.26370163169292</v>
      </c>
      <c r="AB137" s="22">
        <v>9.829968119022317E-2</v>
      </c>
      <c r="AC137" s="24">
        <v>0</v>
      </c>
      <c r="AD137" s="384">
        <v>0</v>
      </c>
    </row>
    <row r="138" spans="1:30">
      <c r="A138" s="21" t="s">
        <v>77</v>
      </c>
      <c r="B138" s="21" t="s">
        <v>78</v>
      </c>
      <c r="C138" s="23">
        <v>1869.5271339391593</v>
      </c>
      <c r="D138" s="147">
        <v>46.400782110979343</v>
      </c>
      <c r="E138" s="22">
        <v>378.54751630287916</v>
      </c>
      <c r="F138" s="22">
        <v>424.94829841385848</v>
      </c>
      <c r="G138" s="22">
        <v>0</v>
      </c>
      <c r="H138" s="22">
        <v>133.87239086722084</v>
      </c>
      <c r="I138" s="22">
        <v>11.001832602819981</v>
      </c>
      <c r="J138" s="22">
        <v>108.84171321784339</v>
      </c>
      <c r="K138" s="22">
        <v>28.118029211594763</v>
      </c>
      <c r="L138" s="22">
        <v>1.44813884351561</v>
      </c>
      <c r="M138" s="388">
        <v>6203.7463534629023</v>
      </c>
      <c r="N138" s="25">
        <v>0.63149999999999995</v>
      </c>
      <c r="O138" s="24">
        <v>4562.6430090488357</v>
      </c>
      <c r="P138" s="24">
        <v>405.02633279577219</v>
      </c>
      <c r="Q138" s="24">
        <v>268.76049022885195</v>
      </c>
      <c r="R138" s="22">
        <v>136.26584256692024</v>
      </c>
      <c r="S138" s="24">
        <v>69.64139924545556</v>
      </c>
      <c r="T138" s="24">
        <f t="shared" si="10"/>
        <v>474.66773204122774</v>
      </c>
      <c r="U138" s="376">
        <v>3891.61</v>
      </c>
      <c r="V138" s="376">
        <v>310.19</v>
      </c>
      <c r="W138" s="22">
        <f t="shared" si="11"/>
        <v>2457.5517150000001</v>
      </c>
      <c r="X138" s="22">
        <f t="shared" si="12"/>
        <v>1002.8864317332932</v>
      </c>
      <c r="Y138" s="22">
        <v>563.16510581162618</v>
      </c>
      <c r="Z138" s="22">
        <v>439.72132592166702</v>
      </c>
      <c r="AA138" s="371">
        <v>6208.0203743552211</v>
      </c>
      <c r="AB138" s="22">
        <v>0.16154689760299881</v>
      </c>
      <c r="AC138" s="24">
        <v>2.6546897602998804E-2</v>
      </c>
      <c r="AD138" s="384">
        <v>-1521161.6826529906</v>
      </c>
    </row>
    <row r="139" spans="1:30">
      <c r="A139" s="21" t="s">
        <v>493</v>
      </c>
      <c r="B139" s="21" t="s">
        <v>494</v>
      </c>
      <c r="C139" s="23">
        <v>59.333466505153467</v>
      </c>
      <c r="D139" s="147">
        <v>0</v>
      </c>
      <c r="E139" s="22">
        <v>0</v>
      </c>
      <c r="F139" s="22">
        <v>0</v>
      </c>
      <c r="G139" s="22">
        <v>0</v>
      </c>
      <c r="H139" s="22">
        <v>0</v>
      </c>
      <c r="I139" s="22">
        <v>0</v>
      </c>
      <c r="J139" s="22">
        <v>127.01384440001496</v>
      </c>
      <c r="K139" s="22">
        <v>0</v>
      </c>
      <c r="L139" s="22">
        <v>0</v>
      </c>
      <c r="M139" s="388">
        <v>232.40617134476213</v>
      </c>
      <c r="N139" s="25">
        <v>0.56200000000000006</v>
      </c>
      <c r="O139" s="24">
        <v>106.59910931434352</v>
      </c>
      <c r="P139" s="24">
        <v>0</v>
      </c>
      <c r="Q139" s="24">
        <v>0</v>
      </c>
      <c r="R139" s="22">
        <v>0</v>
      </c>
      <c r="S139" s="24">
        <v>0</v>
      </c>
      <c r="T139" s="24">
        <f t="shared" si="10"/>
        <v>0</v>
      </c>
      <c r="U139" s="376">
        <v>129.66</v>
      </c>
      <c r="V139" s="376">
        <v>0</v>
      </c>
      <c r="W139" s="22">
        <f t="shared" si="11"/>
        <v>72.868920000000003</v>
      </c>
      <c r="X139" s="22">
        <f t="shared" si="12"/>
        <v>17.598909556613318</v>
      </c>
      <c r="Y139" s="22">
        <v>10.307932740302086</v>
      </c>
      <c r="Z139" s="22">
        <v>7.2909768163112316</v>
      </c>
      <c r="AA139" s="371">
        <v>232.40617134476213</v>
      </c>
      <c r="AB139" s="22">
        <v>7.5724794461272185E-2</v>
      </c>
      <c r="AC139" s="24">
        <v>0</v>
      </c>
      <c r="AD139" s="384">
        <v>0</v>
      </c>
    </row>
    <row r="140" spans="1:30">
      <c r="A140" s="21" t="s">
        <v>397</v>
      </c>
      <c r="B140" s="21" t="s">
        <v>398</v>
      </c>
      <c r="C140" s="23">
        <v>63.557204798740671</v>
      </c>
      <c r="D140" s="147">
        <v>0.70395638226453261</v>
      </c>
      <c r="E140" s="22">
        <v>12.64104532152168</v>
      </c>
      <c r="F140" s="22">
        <v>13.345001703786213</v>
      </c>
      <c r="G140" s="22">
        <v>0</v>
      </c>
      <c r="H140" s="22">
        <v>1.327460606555976</v>
      </c>
      <c r="I140" s="22">
        <v>0.10056519746636182</v>
      </c>
      <c r="J140" s="22">
        <v>19.861626499606459</v>
      </c>
      <c r="K140" s="22">
        <v>0</v>
      </c>
      <c r="L140" s="22">
        <v>0</v>
      </c>
      <c r="M140" s="388">
        <v>243.18676051315612</v>
      </c>
      <c r="N140" s="25">
        <v>0.44</v>
      </c>
      <c r="O140" s="24">
        <v>0</v>
      </c>
      <c r="P140" s="24">
        <v>18.101735543945125</v>
      </c>
      <c r="Q140" s="24">
        <v>14.079127645290654</v>
      </c>
      <c r="R140" s="22">
        <v>4.0226078986544724</v>
      </c>
      <c r="S140" s="24">
        <v>0</v>
      </c>
      <c r="T140" s="24">
        <f t="shared" si="10"/>
        <v>18.101735543945125</v>
      </c>
      <c r="U140" s="376">
        <v>107</v>
      </c>
      <c r="V140" s="376">
        <v>12.16</v>
      </c>
      <c r="W140" s="22">
        <f t="shared" si="11"/>
        <v>47.08</v>
      </c>
      <c r="X140" s="22">
        <f t="shared" si="12"/>
        <v>42.991621916869668</v>
      </c>
      <c r="Y140" s="22">
        <v>38.214775037217485</v>
      </c>
      <c r="Z140" s="22">
        <v>4.7768468796521857</v>
      </c>
      <c r="AA140" s="371">
        <v>243.18676051315612</v>
      </c>
      <c r="AB140" s="22">
        <v>0.17678438507981142</v>
      </c>
      <c r="AC140" s="24">
        <v>4.1784385079811415E-2</v>
      </c>
      <c r="AD140" s="384">
        <v>-101219.83659349427</v>
      </c>
    </row>
    <row r="141" spans="1:30">
      <c r="A141" s="21" t="s">
        <v>1232</v>
      </c>
      <c r="B141" s="21" t="s">
        <v>1233</v>
      </c>
      <c r="C141" s="23">
        <v>0</v>
      </c>
      <c r="D141" s="147">
        <v>0</v>
      </c>
      <c r="E141" s="22">
        <v>0</v>
      </c>
      <c r="F141" s="22">
        <v>0</v>
      </c>
      <c r="G141" s="22">
        <v>0</v>
      </c>
      <c r="H141" s="22">
        <v>0</v>
      </c>
      <c r="I141" s="22">
        <v>0</v>
      </c>
      <c r="J141" s="22">
        <v>0</v>
      </c>
      <c r="K141" s="22">
        <v>0.8</v>
      </c>
      <c r="L141" s="22">
        <v>0</v>
      </c>
      <c r="M141" s="388">
        <v>34.599999999999994</v>
      </c>
      <c r="N141" s="25">
        <v>0.87180000000000002</v>
      </c>
      <c r="O141" s="24">
        <v>39</v>
      </c>
      <c r="P141" s="24">
        <v>0</v>
      </c>
      <c r="Q141" s="24">
        <v>0</v>
      </c>
      <c r="R141" s="22">
        <v>0</v>
      </c>
      <c r="S141" s="24">
        <v>0</v>
      </c>
      <c r="T141" s="24">
        <f t="shared" si="10"/>
        <v>0</v>
      </c>
      <c r="U141" s="376">
        <v>29.28</v>
      </c>
      <c r="V141" s="376">
        <v>0</v>
      </c>
      <c r="W141" s="22">
        <f t="shared" si="11"/>
        <v>25.526304000000003</v>
      </c>
      <c r="X141" s="22">
        <f t="shared" si="12"/>
        <v>6.75</v>
      </c>
      <c r="Y141" s="22">
        <v>6.5</v>
      </c>
      <c r="Z141" s="22">
        <v>0.25</v>
      </c>
      <c r="AA141" s="371">
        <v>34.6</v>
      </c>
      <c r="AB141" s="22">
        <v>0.19508670520231214</v>
      </c>
      <c r="AC141" s="24">
        <v>6.008670520231213E-2</v>
      </c>
      <c r="AD141" s="384">
        <v>-18567.375178116341</v>
      </c>
    </row>
    <row r="142" spans="1:30">
      <c r="A142" s="21" t="s">
        <v>553</v>
      </c>
      <c r="B142" s="21" t="s">
        <v>554</v>
      </c>
      <c r="C142" s="23">
        <v>123.29293209375957</v>
      </c>
      <c r="D142" s="147">
        <v>0</v>
      </c>
      <c r="E142" s="22">
        <v>0</v>
      </c>
      <c r="F142" s="22">
        <v>0</v>
      </c>
      <c r="G142" s="22">
        <v>0</v>
      </c>
      <c r="H142" s="22">
        <v>2.0213604690738722</v>
      </c>
      <c r="I142" s="22">
        <v>0</v>
      </c>
      <c r="J142" s="22">
        <v>0</v>
      </c>
      <c r="K142" s="22">
        <v>0</v>
      </c>
      <c r="L142" s="22">
        <v>0</v>
      </c>
      <c r="M142" s="388">
        <v>401.38587264748992</v>
      </c>
      <c r="N142" s="25">
        <v>0.9375</v>
      </c>
      <c r="O142" s="24">
        <v>410.30600566275621</v>
      </c>
      <c r="P142" s="24">
        <v>0</v>
      </c>
      <c r="Q142" s="24">
        <v>0</v>
      </c>
      <c r="R142" s="22">
        <v>0</v>
      </c>
      <c r="S142" s="24">
        <v>0</v>
      </c>
      <c r="T142" s="24">
        <f t="shared" si="10"/>
        <v>0</v>
      </c>
      <c r="U142" s="376">
        <v>376.3</v>
      </c>
      <c r="V142" s="376">
        <v>0</v>
      </c>
      <c r="W142" s="22">
        <f t="shared" si="11"/>
        <v>352.78125</v>
      </c>
      <c r="X142" s="22">
        <f t="shared" si="12"/>
        <v>112.63302116232522</v>
      </c>
      <c r="Y142" s="22">
        <v>88.748786764064292</v>
      </c>
      <c r="Z142" s="22">
        <v>23.884234398260929</v>
      </c>
      <c r="AA142" s="371">
        <v>401.38587264748992</v>
      </c>
      <c r="AB142" s="22">
        <v>0.2806103274622303</v>
      </c>
      <c r="AC142" s="24">
        <v>0.14561032746223029</v>
      </c>
      <c r="AD142" s="384">
        <v>-577360.82515212509</v>
      </c>
    </row>
    <row r="143" spans="1:30">
      <c r="A143" s="21" t="s">
        <v>269</v>
      </c>
      <c r="B143" s="21" t="s">
        <v>270</v>
      </c>
      <c r="C143" s="23">
        <v>62.752683219009768</v>
      </c>
      <c r="D143" s="147">
        <v>0</v>
      </c>
      <c r="E143" s="22">
        <v>0</v>
      </c>
      <c r="F143" s="22">
        <v>0</v>
      </c>
      <c r="G143" s="22">
        <v>0</v>
      </c>
      <c r="H143" s="22">
        <v>13.787488572638205</v>
      </c>
      <c r="I143" s="22">
        <v>0</v>
      </c>
      <c r="J143" s="22">
        <v>0</v>
      </c>
      <c r="K143" s="22">
        <v>0</v>
      </c>
      <c r="L143" s="22">
        <v>0</v>
      </c>
      <c r="M143" s="388">
        <v>215.24974865700082</v>
      </c>
      <c r="N143" s="25">
        <v>0.88739999999999997</v>
      </c>
      <c r="O143" s="24">
        <v>223.25473837532323</v>
      </c>
      <c r="P143" s="24">
        <v>8.0452157973089449</v>
      </c>
      <c r="Q143" s="24">
        <v>6.0339118479817087</v>
      </c>
      <c r="R143" s="22">
        <v>2.0113039493272362</v>
      </c>
      <c r="S143" s="24">
        <v>0</v>
      </c>
      <c r="T143" s="24">
        <f t="shared" si="10"/>
        <v>8.0452157973089449</v>
      </c>
      <c r="U143" s="376">
        <v>190.91</v>
      </c>
      <c r="V143" s="376">
        <v>0</v>
      </c>
      <c r="W143" s="22">
        <f t="shared" si="11"/>
        <v>169.413534</v>
      </c>
      <c r="X143" s="22">
        <f t="shared" si="12"/>
        <v>39.723252999212917</v>
      </c>
      <c r="Y143" s="22">
        <v>35.197819113226636</v>
      </c>
      <c r="Z143" s="22">
        <v>4.5254338859862813</v>
      </c>
      <c r="AA143" s="371">
        <v>215.24974865700082</v>
      </c>
      <c r="AB143" s="22">
        <v>0.18454494487011774</v>
      </c>
      <c r="AC143" s="24">
        <v>4.9544944870117735E-2</v>
      </c>
      <c r="AD143" s="384">
        <v>-98505.128787572015</v>
      </c>
    </row>
    <row r="144" spans="1:30">
      <c r="A144" s="21" t="s">
        <v>545</v>
      </c>
      <c r="B144" s="21" t="s">
        <v>546</v>
      </c>
      <c r="C144" s="23">
        <v>878.78897805980273</v>
      </c>
      <c r="D144" s="147">
        <v>15.014383981727818</v>
      </c>
      <c r="E144" s="22">
        <v>219.95619989842655</v>
      </c>
      <c r="F144" s="22">
        <v>234.97058388015438</v>
      </c>
      <c r="G144" s="22">
        <v>0</v>
      </c>
      <c r="H144" s="22">
        <v>106.7901831895296</v>
      </c>
      <c r="I144" s="22">
        <v>6.4361726378471564</v>
      </c>
      <c r="J144" s="22">
        <v>390.80641387402864</v>
      </c>
      <c r="K144" s="22">
        <v>17.35755308269405</v>
      </c>
      <c r="L144" s="22">
        <v>1.5487040409819719</v>
      </c>
      <c r="M144" s="388">
        <v>3338.2013907774008</v>
      </c>
      <c r="N144" s="25">
        <v>0.32329999999999998</v>
      </c>
      <c r="O144" s="24">
        <v>0</v>
      </c>
      <c r="P144" s="24">
        <v>344.1843883286233</v>
      </c>
      <c r="Q144" s="24">
        <v>231.29995417263217</v>
      </c>
      <c r="R144" s="22">
        <v>112.88443415599113</v>
      </c>
      <c r="S144" s="24">
        <v>82.714874916082593</v>
      </c>
      <c r="T144" s="24">
        <f t="shared" si="10"/>
        <v>426.89926324470588</v>
      </c>
      <c r="U144" s="376">
        <v>1079.24</v>
      </c>
      <c r="V144" s="376">
        <v>166.91</v>
      </c>
      <c r="W144" s="22">
        <f t="shared" si="11"/>
        <v>348.91829199999995</v>
      </c>
      <c r="X144" s="22">
        <f t="shared" si="12"/>
        <v>450.0292586619691</v>
      </c>
      <c r="Y144" s="22">
        <v>334.12786858198712</v>
      </c>
      <c r="Z144" s="22">
        <v>115.90139007998199</v>
      </c>
      <c r="AA144" s="371">
        <v>3340.8563119905125</v>
      </c>
      <c r="AB144" s="22">
        <v>0.13470476328083611</v>
      </c>
      <c r="AC144" s="24">
        <v>0</v>
      </c>
      <c r="AD144" s="384">
        <v>0</v>
      </c>
    </row>
    <row r="145" spans="1:30">
      <c r="A145" s="21" t="s">
        <v>591</v>
      </c>
      <c r="B145" s="21" t="s">
        <v>592</v>
      </c>
      <c r="C145" s="23">
        <v>238.94290918007565</v>
      </c>
      <c r="D145" s="147">
        <v>0</v>
      </c>
      <c r="E145" s="22">
        <v>77.817349799470762</v>
      </c>
      <c r="F145" s="22">
        <v>77.817349799470762</v>
      </c>
      <c r="G145" s="22">
        <v>0</v>
      </c>
      <c r="H145" s="22">
        <v>10.639797891941079</v>
      </c>
      <c r="I145" s="22">
        <v>0.92519981669052875</v>
      </c>
      <c r="J145" s="22">
        <v>0</v>
      </c>
      <c r="K145" s="22">
        <v>3.6203471087890251</v>
      </c>
      <c r="L145" s="22">
        <v>0</v>
      </c>
      <c r="M145" s="388">
        <v>812.88860416009584</v>
      </c>
      <c r="N145" s="25">
        <v>0.99119999999999997</v>
      </c>
      <c r="O145" s="24">
        <v>819.60635935084872</v>
      </c>
      <c r="P145" s="24">
        <v>331.61373864532806</v>
      </c>
      <c r="Q145" s="24">
        <v>145.56812333255871</v>
      </c>
      <c r="R145" s="22">
        <v>186.04561531276934</v>
      </c>
      <c r="S145" s="24">
        <v>29.163907265244926</v>
      </c>
      <c r="T145" s="24">
        <f t="shared" si="10"/>
        <v>360.77764591057297</v>
      </c>
      <c r="U145" s="376">
        <v>805.74</v>
      </c>
      <c r="V145" s="376">
        <v>40.64</v>
      </c>
      <c r="W145" s="22">
        <f t="shared" si="11"/>
        <v>798.64948800000002</v>
      </c>
      <c r="X145" s="22">
        <f t="shared" si="12"/>
        <v>83.971939884412109</v>
      </c>
      <c r="Y145" s="22">
        <v>31.678037201903969</v>
      </c>
      <c r="Z145" s="22">
        <v>52.29390268250814</v>
      </c>
      <c r="AA145" s="371">
        <v>816.14691655800584</v>
      </c>
      <c r="AB145" s="22">
        <v>0.10288826457686431</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91.399999999999991</v>
      </c>
      <c r="N146" s="25">
        <v>0.73629999999999995</v>
      </c>
      <c r="O146" s="24">
        <v>93</v>
      </c>
      <c r="P146" s="24">
        <v>5</v>
      </c>
      <c r="Q146" s="24">
        <v>2</v>
      </c>
      <c r="R146" s="22">
        <v>3</v>
      </c>
      <c r="S146" s="24">
        <v>1</v>
      </c>
      <c r="T146" s="24">
        <f t="shared" si="10"/>
        <v>6</v>
      </c>
      <c r="U146" s="376">
        <v>67.3</v>
      </c>
      <c r="V146" s="376">
        <v>0</v>
      </c>
      <c r="W146" s="22">
        <f t="shared" si="11"/>
        <v>49.552989999999994</v>
      </c>
      <c r="X146" s="22">
        <f t="shared" si="12"/>
        <v>9.75</v>
      </c>
      <c r="Y146" s="22">
        <v>7.75</v>
      </c>
      <c r="Z146" s="22">
        <v>2</v>
      </c>
      <c r="AA146" s="371">
        <v>91.4</v>
      </c>
      <c r="AB146" s="22">
        <v>0.10667396061269147</v>
      </c>
      <c r="AC146" s="24">
        <v>0</v>
      </c>
      <c r="AD146" s="384">
        <v>0</v>
      </c>
    </row>
    <row r="147" spans="1:30">
      <c r="A147" s="21" t="s">
        <v>29</v>
      </c>
      <c r="B147" s="21" t="s">
        <v>30</v>
      </c>
      <c r="C147" s="23">
        <v>162.89550685601284</v>
      </c>
      <c r="D147" s="147">
        <v>4.6360556031992797</v>
      </c>
      <c r="E147" s="22">
        <v>12.419801887095684</v>
      </c>
      <c r="F147" s="22">
        <v>17.055857490294962</v>
      </c>
      <c r="G147" s="22">
        <v>0</v>
      </c>
      <c r="H147" s="22">
        <v>0</v>
      </c>
      <c r="I147" s="22">
        <v>0</v>
      </c>
      <c r="J147" s="22">
        <v>0</v>
      </c>
      <c r="K147" s="22">
        <v>0</v>
      </c>
      <c r="L147" s="22">
        <v>0</v>
      </c>
      <c r="M147" s="388">
        <v>602.04361115212157</v>
      </c>
      <c r="N147" s="25">
        <v>0.70520000000000005</v>
      </c>
      <c r="O147" s="24">
        <v>609.42509664615261</v>
      </c>
      <c r="P147" s="24">
        <v>215.46093557168018</v>
      </c>
      <c r="Q147" s="24">
        <v>133.24888664292939</v>
      </c>
      <c r="R147" s="22">
        <v>82.212048928750775</v>
      </c>
      <c r="S147" s="24">
        <v>33.186515163899401</v>
      </c>
      <c r="T147" s="24">
        <f t="shared" si="10"/>
        <v>248.64745073557958</v>
      </c>
      <c r="U147" s="376">
        <v>424.56</v>
      </c>
      <c r="V147" s="376">
        <v>30.1</v>
      </c>
      <c r="W147" s="22">
        <f t="shared" si="11"/>
        <v>299.39971200000002</v>
      </c>
      <c r="X147" s="22">
        <f t="shared" si="12"/>
        <v>72.4069421757805</v>
      </c>
      <c r="Y147" s="22">
        <v>58.076401536823944</v>
      </c>
      <c r="Z147" s="22">
        <v>14.330540638956558</v>
      </c>
      <c r="AA147" s="371">
        <v>602.04361115212157</v>
      </c>
      <c r="AB147" s="22">
        <v>0.12026859987304982</v>
      </c>
      <c r="AC147" s="24">
        <v>0</v>
      </c>
      <c r="AD147" s="384">
        <v>0</v>
      </c>
    </row>
    <row r="148" spans="1:30">
      <c r="A148" s="21" t="s">
        <v>319</v>
      </c>
      <c r="B148" s="21" t="s">
        <v>320</v>
      </c>
      <c r="C148" s="23">
        <v>59.132336110220741</v>
      </c>
      <c r="D148" s="147">
        <v>4.8874685968651841</v>
      </c>
      <c r="E148" s="22">
        <v>18.72523976823657</v>
      </c>
      <c r="F148" s="22">
        <v>23.612708365101753</v>
      </c>
      <c r="G148" s="22">
        <v>0</v>
      </c>
      <c r="H148" s="22">
        <v>4.4952643267463728</v>
      </c>
      <c r="I148" s="22">
        <v>0.33186515163899399</v>
      </c>
      <c r="J148" s="22">
        <v>1281.6028765113149</v>
      </c>
      <c r="K148" s="22">
        <v>0</v>
      </c>
      <c r="L148" s="22">
        <v>0</v>
      </c>
      <c r="M148" s="388">
        <v>1448.5612173449688</v>
      </c>
      <c r="N148" s="25">
        <v>0.20680000000000001</v>
      </c>
      <c r="O148" s="24">
        <v>170.96083569281507</v>
      </c>
      <c r="P148" s="24">
        <v>31.426624208238067</v>
      </c>
      <c r="Q148" s="24">
        <v>27.906842296915404</v>
      </c>
      <c r="R148" s="22">
        <v>3.5197819113226636</v>
      </c>
      <c r="S148" s="24">
        <v>5.2796728669839954</v>
      </c>
      <c r="T148" s="24">
        <f t="shared" si="10"/>
        <v>36.706297075222061</v>
      </c>
      <c r="U148" s="376">
        <v>299.56</v>
      </c>
      <c r="V148" s="376">
        <v>72.430000000000007</v>
      </c>
      <c r="W148" s="22">
        <f t="shared" si="11"/>
        <v>61.949008000000006</v>
      </c>
      <c r="X148" s="22">
        <f t="shared" si="12"/>
        <v>247.64179876091598</v>
      </c>
      <c r="Y148" s="22">
        <v>213.19821862868704</v>
      </c>
      <c r="Z148" s="22">
        <v>34.443580132228924</v>
      </c>
      <c r="AA148" s="371">
        <v>1450.1099213859509</v>
      </c>
      <c r="AB148" s="22">
        <v>0.17077450137313102</v>
      </c>
      <c r="AC148" s="24">
        <v>3.5774501373131012E-2</v>
      </c>
      <c r="AD148" s="384">
        <v>-457055.46289731574</v>
      </c>
    </row>
    <row r="149" spans="1:30">
      <c r="A149" s="21" t="s">
        <v>501</v>
      </c>
      <c r="B149" s="21" t="s">
        <v>502</v>
      </c>
      <c r="C149" s="23">
        <v>118.86806340523967</v>
      </c>
      <c r="D149" s="147">
        <v>0</v>
      </c>
      <c r="E149" s="22">
        <v>39.5522921635201</v>
      </c>
      <c r="F149" s="22">
        <v>39.5522921635201</v>
      </c>
      <c r="G149" s="22">
        <v>0</v>
      </c>
      <c r="H149" s="22">
        <v>5.9534596900086187</v>
      </c>
      <c r="I149" s="22">
        <v>1.0257650141568906</v>
      </c>
      <c r="J149" s="22">
        <v>37.993531602791492</v>
      </c>
      <c r="K149" s="22">
        <v>0</v>
      </c>
      <c r="L149" s="22">
        <v>0</v>
      </c>
      <c r="M149" s="388">
        <v>453.26745802038596</v>
      </c>
      <c r="N149" s="25">
        <v>0.78349999999999997</v>
      </c>
      <c r="O149" s="24">
        <v>452.54338859862816</v>
      </c>
      <c r="P149" s="24">
        <v>1.0056519746636181</v>
      </c>
      <c r="Q149" s="24">
        <v>0</v>
      </c>
      <c r="R149" s="22">
        <v>1.0056519746636181</v>
      </c>
      <c r="S149" s="24">
        <v>0</v>
      </c>
      <c r="T149" s="24">
        <f t="shared" si="10"/>
        <v>1.0056519746636181</v>
      </c>
      <c r="U149" s="376">
        <v>355.14</v>
      </c>
      <c r="V149" s="376">
        <v>22.66</v>
      </c>
      <c r="W149" s="22">
        <f t="shared" si="11"/>
        <v>278.25218999999998</v>
      </c>
      <c r="X149" s="22">
        <f t="shared" si="12"/>
        <v>71.401290201116879</v>
      </c>
      <c r="Y149" s="22">
        <v>52.29390268250814</v>
      </c>
      <c r="Z149" s="22">
        <v>19.107387518608743</v>
      </c>
      <c r="AA149" s="371">
        <v>453.26745802038596</v>
      </c>
      <c r="AB149" s="22">
        <v>0.15752573659921901</v>
      </c>
      <c r="AC149" s="24">
        <v>2.2525736599218998E-2</v>
      </c>
      <c r="AD149" s="384">
        <v>-93708.182199304763</v>
      </c>
    </row>
    <row r="150" spans="1:30">
      <c r="A150" s="21" t="s">
        <v>433</v>
      </c>
      <c r="B150" s="21" t="s">
        <v>434</v>
      </c>
      <c r="C150" s="23">
        <v>2880.3682727920414</v>
      </c>
      <c r="D150" s="147">
        <v>202.17627298637379</v>
      </c>
      <c r="E150" s="22">
        <v>589.74448750198553</v>
      </c>
      <c r="F150" s="22">
        <v>791.92076048835929</v>
      </c>
      <c r="G150" s="22">
        <v>0</v>
      </c>
      <c r="H150" s="22">
        <v>155.55424744096845</v>
      </c>
      <c r="I150" s="22">
        <v>8.4776461464143011</v>
      </c>
      <c r="J150" s="22">
        <v>338.65330246797339</v>
      </c>
      <c r="K150" s="22">
        <v>76.952489101260056</v>
      </c>
      <c r="L150" s="22">
        <v>0</v>
      </c>
      <c r="M150" s="388">
        <v>9979.6477096928938</v>
      </c>
      <c r="N150" s="25">
        <v>0.50609999999999999</v>
      </c>
      <c r="O150" s="24">
        <v>6417.0652503285473</v>
      </c>
      <c r="P150" s="24">
        <v>1022.2452322455678</v>
      </c>
      <c r="Q150" s="24">
        <v>623.25281129777727</v>
      </c>
      <c r="R150" s="22">
        <v>398.99242094779049</v>
      </c>
      <c r="S150" s="24">
        <v>197.61061302140095</v>
      </c>
      <c r="T150" s="24">
        <f t="shared" si="10"/>
        <v>1219.8558452669688</v>
      </c>
      <c r="U150" s="376">
        <v>5053.6899999999996</v>
      </c>
      <c r="V150" s="376">
        <v>498.98</v>
      </c>
      <c r="W150" s="22">
        <f t="shared" si="11"/>
        <v>2557.672509</v>
      </c>
      <c r="X150" s="22">
        <f t="shared" si="12"/>
        <v>1511.9977439067497</v>
      </c>
      <c r="Y150" s="22">
        <v>734.12594150444124</v>
      </c>
      <c r="Z150" s="22">
        <v>777.87180240230862</v>
      </c>
      <c r="AA150" s="371">
        <v>10009.425064662684</v>
      </c>
      <c r="AB150" s="22">
        <v>0.15105740181268881</v>
      </c>
      <c r="AC150" s="24">
        <v>1.6057401812688804E-2</v>
      </c>
      <c r="AD150" s="384">
        <v>-1636659.9203355333</v>
      </c>
    </row>
    <row r="151" spans="1:30">
      <c r="A151" s="21" t="s">
        <v>147</v>
      </c>
      <c r="B151" s="21" t="s">
        <v>148</v>
      </c>
      <c r="C151" s="23">
        <v>126.11881414256435</v>
      </c>
      <c r="D151" s="147">
        <v>0</v>
      </c>
      <c r="E151" s="22">
        <v>0</v>
      </c>
      <c r="F151" s="22">
        <v>0</v>
      </c>
      <c r="G151" s="22">
        <v>0</v>
      </c>
      <c r="H151" s="22">
        <v>0</v>
      </c>
      <c r="I151" s="22">
        <v>0</v>
      </c>
      <c r="J151" s="22">
        <v>0</v>
      </c>
      <c r="K151" s="22">
        <v>0</v>
      </c>
      <c r="L151" s="22">
        <v>0</v>
      </c>
      <c r="M151" s="388">
        <v>293.39896360811059</v>
      </c>
      <c r="N151" s="25">
        <v>0.60860000000000003</v>
      </c>
      <c r="O151" s="24">
        <v>292.64472462711285</v>
      </c>
      <c r="P151" s="24">
        <v>2.2627169429931406</v>
      </c>
      <c r="Q151" s="24">
        <v>2.2627169429931406</v>
      </c>
      <c r="R151" s="22">
        <v>0</v>
      </c>
      <c r="S151" s="24">
        <v>0</v>
      </c>
      <c r="T151" s="24">
        <f t="shared" si="10"/>
        <v>2.2627169429931406</v>
      </c>
      <c r="U151" s="376">
        <v>178.56</v>
      </c>
      <c r="V151" s="376">
        <v>14.67</v>
      </c>
      <c r="W151" s="22">
        <f t="shared" si="11"/>
        <v>108.671616</v>
      </c>
      <c r="X151" s="22">
        <f t="shared" si="12"/>
        <v>61.847596441812513</v>
      </c>
      <c r="Y151" s="22">
        <v>51.791076695176329</v>
      </c>
      <c r="Z151" s="22">
        <v>10.05651974663618</v>
      </c>
      <c r="AA151" s="371">
        <v>293.39896360811059</v>
      </c>
      <c r="AB151" s="22">
        <v>0.21079691516709512</v>
      </c>
      <c r="AC151" s="24">
        <v>7.5796915167095108E-2</v>
      </c>
      <c r="AD151" s="384">
        <v>-210621.37341201372</v>
      </c>
    </row>
    <row r="152" spans="1:30">
      <c r="A152" s="21" t="s">
        <v>461</v>
      </c>
      <c r="B152" s="21" t="s">
        <v>462</v>
      </c>
      <c r="C152" s="23">
        <v>2646.4938495642705</v>
      </c>
      <c r="D152" s="147">
        <v>408.41537995038857</v>
      </c>
      <c r="E152" s="22">
        <v>323.65903152573884</v>
      </c>
      <c r="F152" s="22">
        <v>732.07441147612735</v>
      </c>
      <c r="G152" s="22">
        <v>0</v>
      </c>
      <c r="H152" s="22">
        <v>304.0789875790382</v>
      </c>
      <c r="I152" s="22">
        <v>12.389632327855775</v>
      </c>
      <c r="J152" s="22">
        <v>541.28211884294581</v>
      </c>
      <c r="K152" s="22">
        <v>9.9861241084097276</v>
      </c>
      <c r="L152" s="22">
        <v>1.7096083569281508</v>
      </c>
      <c r="M152" s="388">
        <v>10244.868304970929</v>
      </c>
      <c r="N152" s="25">
        <v>0.29310000000000003</v>
      </c>
      <c r="O152" s="24">
        <v>353.98949508159359</v>
      </c>
      <c r="P152" s="24">
        <v>284.59950882980394</v>
      </c>
      <c r="Q152" s="24">
        <v>165.42974983216519</v>
      </c>
      <c r="R152" s="22">
        <v>119.16975899763875</v>
      </c>
      <c r="S152" s="24">
        <v>84.474765871743926</v>
      </c>
      <c r="T152" s="24">
        <f t="shared" si="10"/>
        <v>369.07427470154789</v>
      </c>
      <c r="U152" s="376">
        <v>3002.77</v>
      </c>
      <c r="V152" s="376">
        <v>512.24</v>
      </c>
      <c r="W152" s="22">
        <f t="shared" si="11"/>
        <v>880.11188700000002</v>
      </c>
      <c r="X152" s="22">
        <f t="shared" si="12"/>
        <v>1355.1160358592256</v>
      </c>
      <c r="Y152" s="22">
        <v>629.53813613942498</v>
      </c>
      <c r="Z152" s="22">
        <v>725.57789971980048</v>
      </c>
      <c r="AA152" s="371">
        <v>10301.054080795386</v>
      </c>
      <c r="AB152" s="22">
        <v>0.1315512009965675</v>
      </c>
      <c r="AC152" s="24">
        <v>0</v>
      </c>
      <c r="AD152" s="384">
        <v>0</v>
      </c>
    </row>
    <row r="153" spans="1:30">
      <c r="A153" s="21" t="s">
        <v>459</v>
      </c>
      <c r="B153" s="21" t="s">
        <v>460</v>
      </c>
      <c r="C153" s="23">
        <v>568.51517431683669</v>
      </c>
      <c r="D153" s="147">
        <v>1.830286593887785</v>
      </c>
      <c r="E153" s="22">
        <v>129.24639178376822</v>
      </c>
      <c r="F153" s="22">
        <v>131.07667837765601</v>
      </c>
      <c r="G153" s="22">
        <v>0</v>
      </c>
      <c r="H153" s="22">
        <v>23.562425766368573</v>
      </c>
      <c r="I153" s="22">
        <v>1.3073475670627035</v>
      </c>
      <c r="J153" s="22">
        <v>84.142900720104933</v>
      </c>
      <c r="K153" s="22">
        <v>0</v>
      </c>
      <c r="L153" s="22">
        <v>0</v>
      </c>
      <c r="M153" s="388">
        <v>1765.9650935882999</v>
      </c>
      <c r="N153" s="25">
        <v>0.38279999999999997</v>
      </c>
      <c r="O153" s="24">
        <v>22.124343442599599</v>
      </c>
      <c r="P153" s="24">
        <v>21.118691467935982</v>
      </c>
      <c r="Q153" s="24">
        <v>16.5932575819497</v>
      </c>
      <c r="R153" s="22">
        <v>4.5254338859862813</v>
      </c>
      <c r="S153" s="24">
        <v>0</v>
      </c>
      <c r="T153" s="24">
        <f t="shared" si="10"/>
        <v>21.118691467935982</v>
      </c>
      <c r="U153" s="376">
        <v>676.01</v>
      </c>
      <c r="V153" s="376">
        <v>88.3</v>
      </c>
      <c r="W153" s="22">
        <f t="shared" si="11"/>
        <v>258.77662799999996</v>
      </c>
      <c r="X153" s="22">
        <f t="shared" si="12"/>
        <v>231.80278015996399</v>
      </c>
      <c r="Y153" s="22">
        <v>186.29702830643527</v>
      </c>
      <c r="Z153" s="22">
        <v>45.505751853528722</v>
      </c>
      <c r="AA153" s="371">
        <v>1779.2899822525928</v>
      </c>
      <c r="AB153" s="22">
        <v>0.13027824720650658</v>
      </c>
      <c r="AC153" s="24">
        <v>0</v>
      </c>
      <c r="AD153" s="384">
        <v>0</v>
      </c>
    </row>
    <row r="154" spans="1:30">
      <c r="A154" s="21" t="s">
        <v>189</v>
      </c>
      <c r="B154" s="21" t="s">
        <v>190</v>
      </c>
      <c r="C154" s="23">
        <v>953.44858065882977</v>
      </c>
      <c r="D154" s="147">
        <v>16.281505469803978</v>
      </c>
      <c r="E154" s="22">
        <v>290.08031209172066</v>
      </c>
      <c r="F154" s="22">
        <v>306.36181756152462</v>
      </c>
      <c r="G154" s="22">
        <v>0</v>
      </c>
      <c r="H154" s="22">
        <v>47.28575584868333</v>
      </c>
      <c r="I154" s="22">
        <v>3.2281428386702142</v>
      </c>
      <c r="J154" s="22">
        <v>12.681271400508225</v>
      </c>
      <c r="K154" s="22">
        <v>0</v>
      </c>
      <c r="L154" s="22">
        <v>0</v>
      </c>
      <c r="M154" s="388">
        <v>4013.2352222506079</v>
      </c>
      <c r="N154" s="25">
        <v>3.4500000000000003E-2</v>
      </c>
      <c r="O154" s="24">
        <v>0</v>
      </c>
      <c r="P154" s="24">
        <v>114.89573810531837</v>
      </c>
      <c r="Q154" s="24">
        <v>89.25161275139611</v>
      </c>
      <c r="R154" s="22">
        <v>25.644125353922263</v>
      </c>
      <c r="S154" s="24">
        <v>112.63302116232524</v>
      </c>
      <c r="T154" s="24">
        <f t="shared" si="10"/>
        <v>227.52875926764361</v>
      </c>
      <c r="U154" s="376">
        <v>138.46</v>
      </c>
      <c r="V154" s="376">
        <v>200.66</v>
      </c>
      <c r="W154" s="22">
        <f t="shared" si="11"/>
        <v>4.7768700000000006</v>
      </c>
      <c r="X154" s="22">
        <f t="shared" si="12"/>
        <v>390.44437916314973</v>
      </c>
      <c r="Y154" s="22">
        <v>261.72092640620662</v>
      </c>
      <c r="Z154" s="22">
        <v>128.72345275694312</v>
      </c>
      <c r="AA154" s="371">
        <v>4028.118871475629</v>
      </c>
      <c r="AB154" s="22">
        <v>9.6929706302365762E-2</v>
      </c>
      <c r="AC154" s="24">
        <v>0</v>
      </c>
      <c r="AD154" s="384">
        <v>0</v>
      </c>
    </row>
    <row r="155" spans="1:30">
      <c r="A155" s="21" t="s">
        <v>547</v>
      </c>
      <c r="B155" s="21" t="s">
        <v>548</v>
      </c>
      <c r="C155" s="23">
        <v>447.28382877113739</v>
      </c>
      <c r="D155" s="147">
        <v>0</v>
      </c>
      <c r="E155" s="22">
        <v>62.01855727750533</v>
      </c>
      <c r="F155" s="22">
        <v>62.01855727750533</v>
      </c>
      <c r="G155" s="22">
        <v>0</v>
      </c>
      <c r="H155" s="22">
        <v>44.198404286466015</v>
      </c>
      <c r="I155" s="22">
        <v>2.4638473379258645</v>
      </c>
      <c r="J155" s="22">
        <v>225.59790747628944</v>
      </c>
      <c r="K155" s="22">
        <v>8.7491721795734776</v>
      </c>
      <c r="L155" s="22">
        <v>0.90508677719725628</v>
      </c>
      <c r="M155" s="388">
        <v>1751.5339877518772</v>
      </c>
      <c r="N155" s="25">
        <v>0.37790000000000001</v>
      </c>
      <c r="O155" s="24">
        <v>0</v>
      </c>
      <c r="P155" s="24">
        <v>190.57104919875565</v>
      </c>
      <c r="Q155" s="24">
        <v>134.25453861759303</v>
      </c>
      <c r="R155" s="22">
        <v>56.316510581162618</v>
      </c>
      <c r="S155" s="24">
        <v>24.135647391926835</v>
      </c>
      <c r="T155" s="24">
        <f t="shared" si="10"/>
        <v>214.70669659068247</v>
      </c>
      <c r="U155" s="376">
        <v>661.9</v>
      </c>
      <c r="V155" s="376">
        <v>87.58</v>
      </c>
      <c r="W155" s="22">
        <f t="shared" si="11"/>
        <v>250.13201000000001</v>
      </c>
      <c r="X155" s="22">
        <f t="shared" si="12"/>
        <v>192.33094015441696</v>
      </c>
      <c r="Y155" s="22">
        <v>135.00877759859074</v>
      </c>
      <c r="Z155" s="22">
        <v>57.322162555826232</v>
      </c>
      <c r="AA155" s="371">
        <v>1754.9129783867468</v>
      </c>
      <c r="AB155" s="22">
        <v>0.10959571358986848</v>
      </c>
      <c r="AC155" s="24">
        <v>0</v>
      </c>
      <c r="AD155" s="384">
        <v>0</v>
      </c>
    </row>
    <row r="156" spans="1:30">
      <c r="A156" s="21" t="s">
        <v>337</v>
      </c>
      <c r="B156" s="21" t="s">
        <v>338</v>
      </c>
      <c r="C156" s="23">
        <v>213.86194893196503</v>
      </c>
      <c r="D156" s="147">
        <v>0</v>
      </c>
      <c r="E156" s="22">
        <v>39.351161768587382</v>
      </c>
      <c r="F156" s="22">
        <v>39.351161768587382</v>
      </c>
      <c r="G156" s="22">
        <v>0</v>
      </c>
      <c r="H156" s="22">
        <v>7.1099594608717807</v>
      </c>
      <c r="I156" s="22">
        <v>0.28158255290581308</v>
      </c>
      <c r="J156" s="22">
        <v>25.845255748854989</v>
      </c>
      <c r="K156" s="22">
        <v>0</v>
      </c>
      <c r="L156" s="22">
        <v>0</v>
      </c>
      <c r="M156" s="388">
        <v>720.19766165535009</v>
      </c>
      <c r="N156" s="25">
        <v>0.39369999999999999</v>
      </c>
      <c r="O156" s="24">
        <v>42.237382935871963</v>
      </c>
      <c r="P156" s="24">
        <v>24.135647391926835</v>
      </c>
      <c r="Q156" s="24">
        <v>16.09043159461789</v>
      </c>
      <c r="R156" s="22">
        <v>8.0452157973089449</v>
      </c>
      <c r="S156" s="24">
        <v>3.2683689176567587</v>
      </c>
      <c r="T156" s="24">
        <f t="shared" si="10"/>
        <v>27.404016309583593</v>
      </c>
      <c r="U156" s="376">
        <v>283.54000000000002</v>
      </c>
      <c r="V156" s="376">
        <v>36.01</v>
      </c>
      <c r="W156" s="22">
        <f t="shared" si="11"/>
        <v>111.629698</v>
      </c>
      <c r="X156" s="22">
        <f t="shared" si="12"/>
        <v>77.686615042764501</v>
      </c>
      <c r="Y156" s="22">
        <v>68.635747270791938</v>
      </c>
      <c r="Z156" s="22">
        <v>9.0508677719725625</v>
      </c>
      <c r="AA156" s="371">
        <v>720.20771817509672</v>
      </c>
      <c r="AB156" s="22">
        <v>0.10786695710455765</v>
      </c>
      <c r="AC156" s="24">
        <v>0</v>
      </c>
      <c r="AD156" s="384">
        <v>0</v>
      </c>
    </row>
    <row r="157" spans="1:30">
      <c r="A157" s="21" t="s">
        <v>419</v>
      </c>
      <c r="B157" s="21" t="s">
        <v>420</v>
      </c>
      <c r="C157" s="23">
        <v>10.27</v>
      </c>
      <c r="D157" s="147">
        <v>0</v>
      </c>
      <c r="E157" s="22">
        <v>0</v>
      </c>
      <c r="F157" s="22">
        <v>0</v>
      </c>
      <c r="G157" s="22">
        <v>0</v>
      </c>
      <c r="H157" s="22">
        <v>0</v>
      </c>
      <c r="I157" s="22">
        <v>0</v>
      </c>
      <c r="J157" s="22">
        <v>0</v>
      </c>
      <c r="K157" s="22">
        <v>0</v>
      </c>
      <c r="L157" s="22">
        <v>0</v>
      </c>
      <c r="M157" s="388">
        <v>25.989999999999995</v>
      </c>
      <c r="N157" s="25">
        <v>0.51160000000000005</v>
      </c>
      <c r="O157" s="24">
        <v>34</v>
      </c>
      <c r="P157" s="24">
        <v>0</v>
      </c>
      <c r="Q157" s="24">
        <v>0</v>
      </c>
      <c r="R157" s="22">
        <v>0</v>
      </c>
      <c r="S157" s="24">
        <v>0</v>
      </c>
      <c r="T157" s="24">
        <f t="shared" si="10"/>
        <v>0</v>
      </c>
      <c r="U157" s="376">
        <v>13.3</v>
      </c>
      <c r="V157" s="376">
        <v>0</v>
      </c>
      <c r="W157" s="22">
        <f t="shared" si="11"/>
        <v>6.8042800000000012</v>
      </c>
      <c r="X157" s="22">
        <f t="shared" si="12"/>
        <v>5.25</v>
      </c>
      <c r="Y157" s="22">
        <v>4.25</v>
      </c>
      <c r="Z157" s="22">
        <v>1</v>
      </c>
      <c r="AA157" s="371">
        <v>25.99</v>
      </c>
      <c r="AB157" s="22">
        <v>0.20200076952674106</v>
      </c>
      <c r="AC157" s="24">
        <v>6.7000769526741055E-2</v>
      </c>
      <c r="AD157" s="384">
        <v>-16438.955933230893</v>
      </c>
    </row>
    <row r="158" spans="1:30">
      <c r="A158" s="21" t="s">
        <v>437</v>
      </c>
      <c r="B158" s="21" t="s">
        <v>438</v>
      </c>
      <c r="C158" s="23">
        <v>1391.2189417496493</v>
      </c>
      <c r="D158" s="147">
        <v>74.850676474213103</v>
      </c>
      <c r="E158" s="22">
        <v>386.82403205436066</v>
      </c>
      <c r="F158" s="22">
        <v>461.67470852857377</v>
      </c>
      <c r="G158" s="22">
        <v>0</v>
      </c>
      <c r="H158" s="22">
        <v>161.62838536793672</v>
      </c>
      <c r="I158" s="22">
        <v>13.787488572638205</v>
      </c>
      <c r="J158" s="22">
        <v>767.63426530023298</v>
      </c>
      <c r="K158" s="22">
        <v>0</v>
      </c>
      <c r="L158" s="22">
        <v>0</v>
      </c>
      <c r="M158" s="388">
        <v>5825.6916066276062</v>
      </c>
      <c r="N158" s="25">
        <v>0.31219999999999998</v>
      </c>
      <c r="O158" s="24">
        <v>598.36292492485279</v>
      </c>
      <c r="P158" s="24">
        <v>664.98736824631749</v>
      </c>
      <c r="Q158" s="24">
        <v>434.94447904201485</v>
      </c>
      <c r="R158" s="22">
        <v>230.04288920430264</v>
      </c>
      <c r="S158" s="24">
        <v>119.16975899763875</v>
      </c>
      <c r="T158" s="24">
        <f t="shared" si="10"/>
        <v>784.15712724395621</v>
      </c>
      <c r="U158" s="376">
        <v>1814.12</v>
      </c>
      <c r="V158" s="376">
        <v>291.27999999999997</v>
      </c>
      <c r="W158" s="22">
        <f t="shared" si="11"/>
        <v>566.36826399999995</v>
      </c>
      <c r="X158" s="22">
        <f t="shared" si="12"/>
        <v>712.00159806184161</v>
      </c>
      <c r="Y158" s="22">
        <v>549.08597816633551</v>
      </c>
      <c r="Z158" s="22">
        <v>162.91561989550613</v>
      </c>
      <c r="AA158" s="371">
        <v>5880.8616739576528</v>
      </c>
      <c r="AB158" s="22">
        <v>0.12107096502793353</v>
      </c>
      <c r="AC158" s="24">
        <v>0</v>
      </c>
      <c r="AD158" s="384">
        <v>0</v>
      </c>
    </row>
    <row r="159" spans="1:30">
      <c r="A159" s="21" t="s">
        <v>149</v>
      </c>
      <c r="B159" s="21" t="s">
        <v>150</v>
      </c>
      <c r="C159" s="23">
        <v>363.22138020900559</v>
      </c>
      <c r="D159" s="147">
        <v>22.043891284626511</v>
      </c>
      <c r="E159" s="22">
        <v>147.12688389328733</v>
      </c>
      <c r="F159" s="22">
        <v>169.17077517791384</v>
      </c>
      <c r="G159" s="22">
        <v>0</v>
      </c>
      <c r="H159" s="22">
        <v>49.317172837503833</v>
      </c>
      <c r="I159" s="22">
        <v>2.3331125812195936</v>
      </c>
      <c r="J159" s="22">
        <v>0</v>
      </c>
      <c r="K159" s="22">
        <v>12.067823695963417</v>
      </c>
      <c r="L159" s="22">
        <v>0</v>
      </c>
      <c r="M159" s="388">
        <v>1363.422721169947</v>
      </c>
      <c r="N159" s="25">
        <v>0.3649</v>
      </c>
      <c r="O159" s="24">
        <v>0</v>
      </c>
      <c r="P159" s="24">
        <v>24.135647391926835</v>
      </c>
      <c r="Q159" s="24">
        <v>15.084779619954272</v>
      </c>
      <c r="R159" s="22">
        <v>9.0508677719725625</v>
      </c>
      <c r="S159" s="24">
        <v>8.0452157973089449</v>
      </c>
      <c r="T159" s="24">
        <f t="shared" si="10"/>
        <v>32.180863189235779</v>
      </c>
      <c r="U159" s="376">
        <v>497.51</v>
      </c>
      <c r="V159" s="376">
        <v>68.17</v>
      </c>
      <c r="W159" s="22">
        <f t="shared" si="11"/>
        <v>181.54139899999998</v>
      </c>
      <c r="X159" s="22">
        <f t="shared" si="12"/>
        <v>191.07387518608743</v>
      </c>
      <c r="Y159" s="22">
        <v>102.82791440935495</v>
      </c>
      <c r="Z159" s="22">
        <v>88.245960776732488</v>
      </c>
      <c r="AA159" s="371">
        <v>1364.3278079471443</v>
      </c>
      <c r="AB159" s="22">
        <v>0.14004982825468429</v>
      </c>
      <c r="AC159" s="24">
        <v>5.0498282546842799E-3</v>
      </c>
      <c r="AD159" s="384">
        <v>-64267.213863939047</v>
      </c>
    </row>
    <row r="160" spans="1:30">
      <c r="A160" s="21" t="s">
        <v>277</v>
      </c>
      <c r="B160" s="21" t="s">
        <v>278</v>
      </c>
      <c r="C160" s="23">
        <v>129.72910473160672</v>
      </c>
      <c r="D160" s="147">
        <v>26.458703453399792</v>
      </c>
      <c r="E160" s="22">
        <v>56.276284502176068</v>
      </c>
      <c r="F160" s="22">
        <v>82.73498795557586</v>
      </c>
      <c r="G160" s="22">
        <v>0</v>
      </c>
      <c r="H160" s="22">
        <v>5.8629510122888933</v>
      </c>
      <c r="I160" s="22">
        <v>1.9107387518608743</v>
      </c>
      <c r="J160" s="22">
        <v>0</v>
      </c>
      <c r="K160" s="22">
        <v>1.0056519746636181</v>
      </c>
      <c r="L160" s="22">
        <v>0</v>
      </c>
      <c r="M160" s="388">
        <v>382.70085895823991</v>
      </c>
      <c r="N160" s="25">
        <v>0.59050000000000002</v>
      </c>
      <c r="O160" s="24">
        <v>390.19296616948384</v>
      </c>
      <c r="P160" s="24">
        <v>0</v>
      </c>
      <c r="Q160" s="24">
        <v>0</v>
      </c>
      <c r="R160" s="22">
        <v>0</v>
      </c>
      <c r="S160" s="24">
        <v>0</v>
      </c>
      <c r="T160" s="24">
        <f t="shared" si="10"/>
        <v>0</v>
      </c>
      <c r="U160" s="376">
        <v>225.98</v>
      </c>
      <c r="V160" s="376">
        <v>19.14</v>
      </c>
      <c r="W160" s="22">
        <f t="shared" si="11"/>
        <v>133.44119000000001</v>
      </c>
      <c r="X160" s="22">
        <f t="shared" si="12"/>
        <v>44.751512872531009</v>
      </c>
      <c r="Y160" s="22">
        <v>30.169559239908544</v>
      </c>
      <c r="Z160" s="22">
        <v>14.581953632622463</v>
      </c>
      <c r="AA160" s="371">
        <v>382.71091547798653</v>
      </c>
      <c r="AB160" s="22">
        <v>0.11693294092915703</v>
      </c>
      <c r="AC160" s="24">
        <v>0</v>
      </c>
      <c r="AD160" s="384">
        <v>0</v>
      </c>
    </row>
    <row r="161" spans="1:30">
      <c r="A161" s="21" t="s">
        <v>133</v>
      </c>
      <c r="B161" s="21" t="s">
        <v>134</v>
      </c>
      <c r="C161" s="23">
        <v>2549.6897904831508</v>
      </c>
      <c r="D161" s="147">
        <v>33.840188947430747</v>
      </c>
      <c r="E161" s="22">
        <v>418.62274749322427</v>
      </c>
      <c r="F161" s="22">
        <v>452.46293644065503</v>
      </c>
      <c r="G161" s="22">
        <v>211.1869146793598</v>
      </c>
      <c r="H161" s="22">
        <v>212.83618391780811</v>
      </c>
      <c r="I161" s="22">
        <v>12.661158361014952</v>
      </c>
      <c r="J161" s="22">
        <v>185.51261976619762</v>
      </c>
      <c r="K161" s="22">
        <v>104.14531849616429</v>
      </c>
      <c r="L161" s="22">
        <v>0</v>
      </c>
      <c r="M161" s="388">
        <v>8416.1404716438738</v>
      </c>
      <c r="N161" s="25">
        <v>0.63880000000000003</v>
      </c>
      <c r="O161" s="24">
        <v>7633.9041396715247</v>
      </c>
      <c r="P161" s="24">
        <v>1101.6917382439938</v>
      </c>
      <c r="Q161" s="24">
        <v>656.94215244900852</v>
      </c>
      <c r="R161" s="22">
        <v>444.74958579498514</v>
      </c>
      <c r="S161" s="24">
        <v>305.46678730407399</v>
      </c>
      <c r="T161" s="24">
        <f t="shared" si="10"/>
        <v>1407.1585255480677</v>
      </c>
      <c r="U161" s="376">
        <v>5376.23</v>
      </c>
      <c r="V161" s="376">
        <v>420.81</v>
      </c>
      <c r="W161" s="22">
        <f t="shared" si="11"/>
        <v>3434.335724</v>
      </c>
      <c r="X161" s="22">
        <f t="shared" si="12"/>
        <v>1122.056190730932</v>
      </c>
      <c r="Y161" s="22">
        <v>754.99321997871129</v>
      </c>
      <c r="Z161" s="22">
        <v>367.06297075222062</v>
      </c>
      <c r="AA161" s="371">
        <v>8333.1641272143788</v>
      </c>
      <c r="AB161" s="22">
        <v>0.13464947690956069</v>
      </c>
      <c r="AC161" s="24">
        <v>0</v>
      </c>
      <c r="AD161" s="384">
        <v>0</v>
      </c>
    </row>
    <row r="162" spans="1:30">
      <c r="A162" s="21" t="s">
        <v>275</v>
      </c>
      <c r="B162" s="21" t="s">
        <v>276</v>
      </c>
      <c r="C162" s="23">
        <v>174.98344359146955</v>
      </c>
      <c r="D162" s="147">
        <v>14.64229275110228</v>
      </c>
      <c r="E162" s="22">
        <v>34.473749691468832</v>
      </c>
      <c r="F162" s="22">
        <v>49.116042442571114</v>
      </c>
      <c r="G162" s="22">
        <v>0</v>
      </c>
      <c r="H162" s="22">
        <v>6.0841944467148892</v>
      </c>
      <c r="I162" s="22">
        <v>0.17096083569281509</v>
      </c>
      <c r="J162" s="22">
        <v>13.435510381505937</v>
      </c>
      <c r="K162" s="22">
        <v>0</v>
      </c>
      <c r="L162" s="22">
        <v>0</v>
      </c>
      <c r="M162" s="388">
        <v>580.18073722293457</v>
      </c>
      <c r="N162" s="25">
        <v>0.65010000000000001</v>
      </c>
      <c r="O162" s="24">
        <v>586.29510122888939</v>
      </c>
      <c r="P162" s="24">
        <v>55.059445612833095</v>
      </c>
      <c r="Q162" s="24">
        <v>30.420972233574449</v>
      </c>
      <c r="R162" s="22">
        <v>24.638473379258645</v>
      </c>
      <c r="S162" s="24">
        <v>10.05651974663618</v>
      </c>
      <c r="T162" s="24">
        <f t="shared" si="10"/>
        <v>65.115965359469271</v>
      </c>
      <c r="U162" s="376">
        <v>377.18</v>
      </c>
      <c r="V162" s="376">
        <v>29.01</v>
      </c>
      <c r="W162" s="22">
        <f t="shared" si="11"/>
        <v>245.20471800000001</v>
      </c>
      <c r="X162" s="22">
        <f t="shared" si="12"/>
        <v>91.765742688055155</v>
      </c>
      <c r="Y162" s="22">
        <v>42.740208923203767</v>
      </c>
      <c r="Z162" s="22">
        <v>49.025533764851382</v>
      </c>
      <c r="AA162" s="371">
        <v>580.18073722293457</v>
      </c>
      <c r="AB162" s="22">
        <v>0.15816751022672121</v>
      </c>
      <c r="AC162" s="24">
        <v>2.31675102267212E-2</v>
      </c>
      <c r="AD162" s="384">
        <v>-123795.70320913706</v>
      </c>
    </row>
    <row r="163" spans="1:30">
      <c r="A163" s="21" t="s">
        <v>609</v>
      </c>
      <c r="B163" s="21" t="s">
        <v>610</v>
      </c>
      <c r="C163" s="23">
        <v>240.75308273447018</v>
      </c>
      <c r="D163" s="147">
        <v>2.3331125812195936</v>
      </c>
      <c r="E163" s="22">
        <v>22.928865022330495</v>
      </c>
      <c r="F163" s="22">
        <v>25.26197760355009</v>
      </c>
      <c r="G163" s="22">
        <v>0</v>
      </c>
      <c r="H163" s="22">
        <v>2.4336777786859556</v>
      </c>
      <c r="I163" s="22">
        <v>0.38214775037217491</v>
      </c>
      <c r="J163" s="22">
        <v>21.722082652734152</v>
      </c>
      <c r="K163" s="22">
        <v>1.2067823695963418</v>
      </c>
      <c r="L163" s="22">
        <v>0</v>
      </c>
      <c r="M163" s="388">
        <v>827.18897523981241</v>
      </c>
      <c r="N163" s="25">
        <v>0.996</v>
      </c>
      <c r="O163" s="24">
        <v>822.62331527483957</v>
      </c>
      <c r="P163" s="24">
        <v>125.20367084562045</v>
      </c>
      <c r="Q163" s="24">
        <v>75.926724087103167</v>
      </c>
      <c r="R163" s="22">
        <v>49.27694675851729</v>
      </c>
      <c r="S163" s="24">
        <v>17.096083569281507</v>
      </c>
      <c r="T163" s="24">
        <f t="shared" si="10"/>
        <v>142.29975441490197</v>
      </c>
      <c r="U163" s="376">
        <v>823.88</v>
      </c>
      <c r="V163" s="376">
        <v>41.36</v>
      </c>
      <c r="W163" s="22">
        <f t="shared" si="11"/>
        <v>820.58447999999999</v>
      </c>
      <c r="X163" s="22">
        <f t="shared" si="12"/>
        <v>123.19236689629321</v>
      </c>
      <c r="Y163" s="22">
        <v>71.401290201116879</v>
      </c>
      <c r="Z163" s="22">
        <v>51.791076695176329</v>
      </c>
      <c r="AA163" s="371">
        <v>827.73202730613082</v>
      </c>
      <c r="AB163" s="22">
        <v>0.14883121932254456</v>
      </c>
      <c r="AC163" s="24">
        <v>1.3831219322544552E-2</v>
      </c>
      <c r="AD163" s="384">
        <v>-105392.20248303827</v>
      </c>
    </row>
    <row r="164" spans="1:30">
      <c r="A164" s="21" t="s">
        <v>551</v>
      </c>
      <c r="B164" s="21" t="s">
        <v>552</v>
      </c>
      <c r="C164" s="23">
        <v>442.51703841123185</v>
      </c>
      <c r="D164" s="147">
        <v>7.5323332902304996</v>
      </c>
      <c r="E164" s="22">
        <v>88.296243375465664</v>
      </c>
      <c r="F164" s="22">
        <v>95.828576665696161</v>
      </c>
      <c r="G164" s="22">
        <v>0</v>
      </c>
      <c r="H164" s="22">
        <v>41.060770125515525</v>
      </c>
      <c r="I164" s="22">
        <v>3.720912306255387</v>
      </c>
      <c r="J164" s="22">
        <v>80.904701361688083</v>
      </c>
      <c r="K164" s="22">
        <v>14.451218875916192</v>
      </c>
      <c r="L164" s="22">
        <v>0.43243034910535577</v>
      </c>
      <c r="M164" s="388">
        <v>1651.3509380358869</v>
      </c>
      <c r="N164" s="25">
        <v>0.55310000000000004</v>
      </c>
      <c r="O164" s="24">
        <v>1299.3023512653947</v>
      </c>
      <c r="P164" s="24">
        <v>87.743134789400671</v>
      </c>
      <c r="Q164" s="24">
        <v>51.539663701510428</v>
      </c>
      <c r="R164" s="22">
        <v>36.20347108789025</v>
      </c>
      <c r="S164" s="24">
        <v>17.096083569281507</v>
      </c>
      <c r="T164" s="24">
        <f t="shared" si="10"/>
        <v>104.83921835868217</v>
      </c>
      <c r="U164" s="376">
        <v>913.36</v>
      </c>
      <c r="V164" s="376">
        <v>82.57</v>
      </c>
      <c r="W164" s="22">
        <f t="shared" si="11"/>
        <v>505.17941600000006</v>
      </c>
      <c r="X164" s="22">
        <f t="shared" si="12"/>
        <v>287.36505176012889</v>
      </c>
      <c r="Y164" s="22">
        <v>208.92419773636666</v>
      </c>
      <c r="Z164" s="22">
        <v>78.440854023762213</v>
      </c>
      <c r="AA164" s="371">
        <v>1651.4615597531003</v>
      </c>
      <c r="AB164" s="22">
        <v>0.17400650355015895</v>
      </c>
      <c r="AC164" s="24">
        <v>3.9006503550158944E-2</v>
      </c>
      <c r="AD164" s="384">
        <v>-641474.66932035447</v>
      </c>
    </row>
    <row r="165" spans="1:30">
      <c r="A165" s="21" t="s">
        <v>417</v>
      </c>
      <c r="B165" s="21" t="s">
        <v>418</v>
      </c>
      <c r="C165" s="23">
        <v>26.8</v>
      </c>
      <c r="D165" s="147">
        <v>0</v>
      </c>
      <c r="E165" s="22">
        <v>0</v>
      </c>
      <c r="F165" s="22">
        <v>0</v>
      </c>
      <c r="G165" s="22">
        <v>0</v>
      </c>
      <c r="H165" s="22">
        <v>0</v>
      </c>
      <c r="I165" s="22">
        <v>0</v>
      </c>
      <c r="J165" s="22">
        <v>0</v>
      </c>
      <c r="K165" s="22">
        <v>0</v>
      </c>
      <c r="L165" s="22">
        <v>0</v>
      </c>
      <c r="M165" s="388">
        <v>59.8</v>
      </c>
      <c r="N165" s="25">
        <v>0.22409999999999999</v>
      </c>
      <c r="O165" s="24">
        <v>0</v>
      </c>
      <c r="P165" s="24">
        <v>0</v>
      </c>
      <c r="Q165" s="24">
        <v>0</v>
      </c>
      <c r="R165" s="22">
        <v>0</v>
      </c>
      <c r="S165" s="24">
        <v>0</v>
      </c>
      <c r="T165" s="24">
        <f t="shared" si="10"/>
        <v>0</v>
      </c>
      <c r="U165" s="376">
        <v>13.4</v>
      </c>
      <c r="V165" s="376">
        <v>2.99</v>
      </c>
      <c r="W165" s="22">
        <f t="shared" si="11"/>
        <v>3.0029400000000002</v>
      </c>
      <c r="X165" s="22">
        <f t="shared" si="12"/>
        <v>4.5</v>
      </c>
      <c r="Y165" s="22">
        <v>4.5</v>
      </c>
      <c r="Z165" s="22">
        <v>0</v>
      </c>
      <c r="AA165" s="371">
        <v>59.8</v>
      </c>
      <c r="AB165" s="22">
        <v>7.5250836120401343E-2</v>
      </c>
      <c r="AC165" s="24">
        <v>0</v>
      </c>
      <c r="AD165" s="384">
        <v>0</v>
      </c>
    </row>
    <row r="166" spans="1:30">
      <c r="A166" s="21" t="s">
        <v>413</v>
      </c>
      <c r="B166" s="21" t="s">
        <v>414</v>
      </c>
      <c r="C166" s="23">
        <v>1802.4702602685893</v>
      </c>
      <c r="D166" s="147">
        <v>0</v>
      </c>
      <c r="E166" s="22">
        <v>423.6711204060357</v>
      </c>
      <c r="F166" s="22">
        <v>423.6711204060357</v>
      </c>
      <c r="G166" s="22">
        <v>192.44156187162997</v>
      </c>
      <c r="H166" s="22">
        <v>113.76940789369512</v>
      </c>
      <c r="I166" s="22">
        <v>6.4562856773404285</v>
      </c>
      <c r="J166" s="22">
        <v>406.00181521119589</v>
      </c>
      <c r="K166" s="22">
        <v>23.331125812195939</v>
      </c>
      <c r="L166" s="22">
        <v>0</v>
      </c>
      <c r="M166" s="388">
        <v>6619.7745188614917</v>
      </c>
      <c r="N166" s="25">
        <v>0.63229999999999997</v>
      </c>
      <c r="O166" s="24">
        <v>6145.5392171693702</v>
      </c>
      <c r="P166" s="24">
        <v>1577.3651222598851</v>
      </c>
      <c r="Q166" s="24">
        <v>994.84121593598422</v>
      </c>
      <c r="R166" s="22">
        <v>582.52390632390075</v>
      </c>
      <c r="S166" s="24">
        <v>183.78289836977621</v>
      </c>
      <c r="T166" s="24">
        <f t="shared" si="10"/>
        <v>1761.1480206296612</v>
      </c>
      <c r="U166" s="376">
        <v>4185.68</v>
      </c>
      <c r="V166" s="376">
        <v>330.99</v>
      </c>
      <c r="W166" s="22">
        <f t="shared" si="11"/>
        <v>2646.6054640000002</v>
      </c>
      <c r="X166" s="22">
        <f t="shared" si="12"/>
        <v>862.8493942613843</v>
      </c>
      <c r="Y166" s="22">
        <v>516.90511497709974</v>
      </c>
      <c r="Z166" s="22">
        <v>345.94427928428462</v>
      </c>
      <c r="AA166" s="371">
        <v>6454.3045429503409</v>
      </c>
      <c r="AB166" s="22">
        <v>0.13368588180485289</v>
      </c>
      <c r="AC166" s="24">
        <v>0</v>
      </c>
      <c r="AD166" s="384">
        <v>0</v>
      </c>
    </row>
    <row r="167" spans="1:30">
      <c r="A167" s="21" t="s">
        <v>223</v>
      </c>
      <c r="B167" s="21" t="s">
        <v>224</v>
      </c>
      <c r="C167" s="23">
        <v>161.10544634111162</v>
      </c>
      <c r="D167" s="147">
        <v>0.27152603315917689</v>
      </c>
      <c r="E167" s="22">
        <v>6.5970769537933345</v>
      </c>
      <c r="F167" s="22">
        <v>6.8686029869525118</v>
      </c>
      <c r="G167" s="22">
        <v>0</v>
      </c>
      <c r="H167" s="22">
        <v>2.7052038118451325</v>
      </c>
      <c r="I167" s="22">
        <v>0.33186515163899399</v>
      </c>
      <c r="J167" s="22">
        <v>0</v>
      </c>
      <c r="K167" s="22">
        <v>0</v>
      </c>
      <c r="L167" s="22">
        <v>0</v>
      </c>
      <c r="M167" s="388">
        <v>529.30480382470205</v>
      </c>
      <c r="N167" s="25">
        <v>0.82310000000000005</v>
      </c>
      <c r="O167" s="24">
        <v>522.93902682508144</v>
      </c>
      <c r="P167" s="24">
        <v>0</v>
      </c>
      <c r="Q167" s="24">
        <v>0</v>
      </c>
      <c r="R167" s="22">
        <v>0</v>
      </c>
      <c r="S167" s="24">
        <v>0</v>
      </c>
      <c r="T167" s="24">
        <f t="shared" si="10"/>
        <v>0</v>
      </c>
      <c r="U167" s="376">
        <v>435.67</v>
      </c>
      <c r="V167" s="376">
        <v>0</v>
      </c>
      <c r="W167" s="22">
        <f t="shared" si="11"/>
        <v>358.59997700000002</v>
      </c>
      <c r="X167" s="22">
        <f t="shared" si="12"/>
        <v>0</v>
      </c>
      <c r="Y167" s="22">
        <v>0</v>
      </c>
      <c r="Z167" s="22">
        <v>0</v>
      </c>
      <c r="AA167" s="371">
        <v>529.84785589102046</v>
      </c>
      <c r="AB167" s="22">
        <v>0</v>
      </c>
      <c r="AC167" s="24">
        <v>0</v>
      </c>
      <c r="AD167" s="384">
        <v>0</v>
      </c>
    </row>
    <row r="168" spans="1:30">
      <c r="A168" s="21" t="s">
        <v>427</v>
      </c>
      <c r="B168" s="21" t="s">
        <v>428</v>
      </c>
      <c r="C168" s="23">
        <v>4423.1490236432446</v>
      </c>
      <c r="D168" s="147">
        <v>167.8835406503444</v>
      </c>
      <c r="E168" s="22">
        <v>557.27198524009737</v>
      </c>
      <c r="F168" s="22">
        <v>725.15552589044182</v>
      </c>
      <c r="G168" s="22">
        <v>485.39803861088859</v>
      </c>
      <c r="H168" s="22">
        <v>289.627768703122</v>
      </c>
      <c r="I168" s="22">
        <v>26.157007861000707</v>
      </c>
      <c r="J168" s="22">
        <v>0</v>
      </c>
      <c r="K168" s="22">
        <v>37.611383852419316</v>
      </c>
      <c r="L168" s="22">
        <v>0</v>
      </c>
      <c r="M168" s="388">
        <v>15119.806478231803</v>
      </c>
      <c r="N168" s="25">
        <v>0.49730000000000002</v>
      </c>
      <c r="O168" s="24">
        <v>8740.1213118015057</v>
      </c>
      <c r="P168" s="24">
        <v>3272.1401125617476</v>
      </c>
      <c r="Q168" s="24">
        <v>2271.0135717841158</v>
      </c>
      <c r="R168" s="22">
        <v>1001.1265407776318</v>
      </c>
      <c r="S168" s="24">
        <v>549.84021714733319</v>
      </c>
      <c r="T168" s="24">
        <f t="shared" si="10"/>
        <v>3821.9803297090807</v>
      </c>
      <c r="U168" s="376">
        <v>7520.59</v>
      </c>
      <c r="V168" s="376">
        <v>755.99</v>
      </c>
      <c r="W168" s="22">
        <f t="shared" si="11"/>
        <v>3739.989407</v>
      </c>
      <c r="X168" s="22">
        <f t="shared" si="12"/>
        <v>1990.1852578593002</v>
      </c>
      <c r="Y168" s="22">
        <v>1230.1637780072708</v>
      </c>
      <c r="Z168" s="22">
        <v>760.02147985202942</v>
      </c>
      <c r="AA168" s="371">
        <v>14730.729785754198</v>
      </c>
      <c r="AB168" s="22">
        <v>0.1351043218363811</v>
      </c>
      <c r="AC168" s="24">
        <v>1.0432183638109382E-4</v>
      </c>
      <c r="AD168" s="384">
        <v>-16004.035597084123</v>
      </c>
    </row>
    <row r="169" spans="1:30">
      <c r="A169" s="21" t="s">
        <v>583</v>
      </c>
      <c r="B169" s="21" t="s">
        <v>584</v>
      </c>
      <c r="C169" s="23">
        <v>362.42691514902134</v>
      </c>
      <c r="D169" s="147">
        <v>20.746600237310442</v>
      </c>
      <c r="E169" s="22">
        <v>63.527035239500755</v>
      </c>
      <c r="F169" s="22">
        <v>84.273635476811194</v>
      </c>
      <c r="G169" s="22">
        <v>0</v>
      </c>
      <c r="H169" s="22">
        <v>20.515300283137808</v>
      </c>
      <c r="I169" s="22">
        <v>2.664977732858588</v>
      </c>
      <c r="J169" s="22">
        <v>40.386983302490904</v>
      </c>
      <c r="K169" s="22">
        <v>2.8158255290581304</v>
      </c>
      <c r="L169" s="22">
        <v>0</v>
      </c>
      <c r="M169" s="388">
        <v>1230.7068300735896</v>
      </c>
      <c r="N169" s="25">
        <v>0.52549999999999997</v>
      </c>
      <c r="O169" s="24">
        <v>845.75331069210279</v>
      </c>
      <c r="P169" s="24">
        <v>73.161181156778213</v>
      </c>
      <c r="Q169" s="24">
        <v>41.231730961208342</v>
      </c>
      <c r="R169" s="22">
        <v>31.929450195569874</v>
      </c>
      <c r="S169" s="24">
        <v>26.398364334919975</v>
      </c>
      <c r="T169" s="24">
        <f t="shared" si="10"/>
        <v>99.559545491698188</v>
      </c>
      <c r="U169" s="376">
        <v>644.28</v>
      </c>
      <c r="V169" s="376">
        <v>61.54</v>
      </c>
      <c r="W169" s="22">
        <f t="shared" si="11"/>
        <v>338.56913999999995</v>
      </c>
      <c r="X169" s="22">
        <f t="shared" si="12"/>
        <v>159.14442499051756</v>
      </c>
      <c r="Y169" s="22">
        <v>121.43247594063189</v>
      </c>
      <c r="Z169" s="22">
        <v>37.711949049885682</v>
      </c>
      <c r="AA169" s="371">
        <v>1244.2127360933216</v>
      </c>
      <c r="AB169" s="22">
        <v>0.12790772861738414</v>
      </c>
      <c r="AC169" s="24">
        <v>0</v>
      </c>
      <c r="AD169" s="384">
        <v>0</v>
      </c>
    </row>
    <row r="170" spans="1:30">
      <c r="A170" s="21" t="s">
        <v>271</v>
      </c>
      <c r="B170" s="21" t="s">
        <v>272</v>
      </c>
      <c r="C170" s="23">
        <v>201.73378611752179</v>
      </c>
      <c r="D170" s="147">
        <v>42.720095883710492</v>
      </c>
      <c r="E170" s="22">
        <v>78.310119267055953</v>
      </c>
      <c r="F170" s="22">
        <v>121.03021515076645</v>
      </c>
      <c r="G170" s="22">
        <v>0</v>
      </c>
      <c r="H170" s="22">
        <v>13.978562447824292</v>
      </c>
      <c r="I170" s="22">
        <v>1.4581953632622462</v>
      </c>
      <c r="J170" s="22">
        <v>0.80452157973089455</v>
      </c>
      <c r="K170" s="22">
        <v>2.4135647391926836</v>
      </c>
      <c r="L170" s="22">
        <v>0</v>
      </c>
      <c r="M170" s="388">
        <v>771.46579932370128</v>
      </c>
      <c r="N170" s="25">
        <v>0.46410000000000001</v>
      </c>
      <c r="O170" s="24">
        <v>0</v>
      </c>
      <c r="P170" s="24">
        <v>18.101735543945125</v>
      </c>
      <c r="Q170" s="24">
        <v>12.067823695963417</v>
      </c>
      <c r="R170" s="22">
        <v>6.0339118479817087</v>
      </c>
      <c r="S170" s="24">
        <v>2.7655429303249499</v>
      </c>
      <c r="T170" s="24">
        <f t="shared" si="10"/>
        <v>20.867278474270076</v>
      </c>
      <c r="U170" s="376">
        <v>358.04</v>
      </c>
      <c r="V170" s="376">
        <v>38.57</v>
      </c>
      <c r="W170" s="22">
        <f t="shared" si="11"/>
        <v>166.16636400000002</v>
      </c>
      <c r="X170" s="22">
        <f t="shared" si="12"/>
        <v>77.183789055432683</v>
      </c>
      <c r="Y170" s="22">
        <v>53.048141663505852</v>
      </c>
      <c r="Z170" s="22">
        <v>24.135647391926835</v>
      </c>
      <c r="AA170" s="371">
        <v>774.98558123502403</v>
      </c>
      <c r="AB170" s="22">
        <v>9.9593838807209678E-2</v>
      </c>
      <c r="AC170" s="24">
        <v>0</v>
      </c>
      <c r="AD170" s="384">
        <v>0</v>
      </c>
    </row>
    <row r="171" spans="1:30">
      <c r="A171" s="21" t="s">
        <v>349</v>
      </c>
      <c r="B171" s="21" t="s">
        <v>350</v>
      </c>
      <c r="C171" s="23">
        <v>78.239723628829481</v>
      </c>
      <c r="D171" s="147">
        <v>2.0314169888205087</v>
      </c>
      <c r="E171" s="22">
        <v>10.881154365860349</v>
      </c>
      <c r="F171" s="22">
        <v>12.912571354680857</v>
      </c>
      <c r="G171" s="22">
        <v>0</v>
      </c>
      <c r="H171" s="22">
        <v>7.8742549616161295</v>
      </c>
      <c r="I171" s="22">
        <v>0.71401290201116885</v>
      </c>
      <c r="J171" s="22">
        <v>0</v>
      </c>
      <c r="K171" s="22">
        <v>0</v>
      </c>
      <c r="L171" s="22">
        <v>0</v>
      </c>
      <c r="M171" s="388">
        <v>314.13550732567438</v>
      </c>
      <c r="N171" s="25">
        <v>0.52969999999999995</v>
      </c>
      <c r="O171" s="24">
        <v>320.80297991769419</v>
      </c>
      <c r="P171" s="24">
        <v>13.073475670627037</v>
      </c>
      <c r="Q171" s="24">
        <v>2.0113039493272362</v>
      </c>
      <c r="R171" s="22">
        <v>11.0621717212998</v>
      </c>
      <c r="S171" s="24">
        <v>0</v>
      </c>
      <c r="T171" s="24">
        <f t="shared" si="10"/>
        <v>13.073475670627037</v>
      </c>
      <c r="U171" s="376">
        <v>166.4</v>
      </c>
      <c r="V171" s="376">
        <v>15.71</v>
      </c>
      <c r="W171" s="22">
        <f t="shared" si="11"/>
        <v>88.142079999999993</v>
      </c>
      <c r="X171" s="22">
        <f t="shared" si="12"/>
        <v>41.985969942206054</v>
      </c>
      <c r="Y171" s="22">
        <v>25.644125353922263</v>
      </c>
      <c r="Z171" s="22">
        <v>16.341844588283795</v>
      </c>
      <c r="AA171" s="371">
        <v>314.13550732567438</v>
      </c>
      <c r="AB171" s="22">
        <v>0.13365560072990365</v>
      </c>
      <c r="AC171" s="24">
        <v>0</v>
      </c>
      <c r="AD171" s="384">
        <v>0</v>
      </c>
    </row>
    <row r="172" spans="1:30">
      <c r="A172" s="21" t="s">
        <v>327</v>
      </c>
      <c r="B172" s="21" t="s">
        <v>328</v>
      </c>
      <c r="C172" s="23">
        <v>63.356074403807938</v>
      </c>
      <c r="D172" s="147">
        <v>0</v>
      </c>
      <c r="E172" s="22">
        <v>0</v>
      </c>
      <c r="F172" s="22">
        <v>0</v>
      </c>
      <c r="G172" s="22">
        <v>0</v>
      </c>
      <c r="H172" s="22">
        <v>0</v>
      </c>
      <c r="I172" s="22">
        <v>0</v>
      </c>
      <c r="J172" s="22">
        <v>0</v>
      </c>
      <c r="K172" s="22">
        <v>0</v>
      </c>
      <c r="L172" s="22">
        <v>0</v>
      </c>
      <c r="M172" s="388">
        <v>129.12571354680856</v>
      </c>
      <c r="N172" s="25">
        <v>1</v>
      </c>
      <c r="O172" s="24">
        <v>130.73475670627036</v>
      </c>
      <c r="P172" s="24">
        <v>0</v>
      </c>
      <c r="Q172" s="24">
        <v>0</v>
      </c>
      <c r="R172" s="22">
        <v>0</v>
      </c>
      <c r="S172" s="24">
        <v>0</v>
      </c>
      <c r="T172" s="24">
        <f t="shared" si="10"/>
        <v>0</v>
      </c>
      <c r="U172" s="376">
        <v>129.13</v>
      </c>
      <c r="V172" s="376">
        <v>0</v>
      </c>
      <c r="W172" s="22">
        <f t="shared" si="11"/>
        <v>129.13</v>
      </c>
      <c r="X172" s="22">
        <f t="shared" si="12"/>
        <v>25.644125353922263</v>
      </c>
      <c r="Y172" s="22">
        <v>25.141299366590452</v>
      </c>
      <c r="Z172" s="22">
        <v>0.50282598733180905</v>
      </c>
      <c r="AA172" s="371">
        <v>129.12571354680858</v>
      </c>
      <c r="AB172" s="22">
        <v>0.19859813084112149</v>
      </c>
      <c r="AC172" s="24">
        <v>6.3598130841121481E-2</v>
      </c>
      <c r="AD172" s="384">
        <v>-79304.661899647559</v>
      </c>
    </row>
    <row r="173" spans="1:30">
      <c r="A173" s="21" t="s">
        <v>355</v>
      </c>
      <c r="B173" s="21" t="s">
        <v>356</v>
      </c>
      <c r="C173" s="23">
        <v>251.2118632709718</v>
      </c>
      <c r="D173" s="147">
        <v>31.728319800637152</v>
      </c>
      <c r="E173" s="22">
        <v>102.48599273796931</v>
      </c>
      <c r="F173" s="22">
        <v>134.21431253860646</v>
      </c>
      <c r="G173" s="22">
        <v>0</v>
      </c>
      <c r="H173" s="22">
        <v>17.568739997373406</v>
      </c>
      <c r="I173" s="22">
        <v>0.50282598733180905</v>
      </c>
      <c r="J173" s="22">
        <v>109.03278709302947</v>
      </c>
      <c r="K173" s="22">
        <v>0</v>
      </c>
      <c r="L173" s="22">
        <v>0</v>
      </c>
      <c r="M173" s="388">
        <v>1029.1842308707469</v>
      </c>
      <c r="N173" s="25">
        <v>0.60260000000000002</v>
      </c>
      <c r="O173" s="24">
        <v>997.60675886630918</v>
      </c>
      <c r="P173" s="24">
        <v>0</v>
      </c>
      <c r="Q173" s="24">
        <v>0</v>
      </c>
      <c r="R173" s="22">
        <v>0</v>
      </c>
      <c r="S173" s="24">
        <v>0</v>
      </c>
      <c r="T173" s="24">
        <f t="shared" si="10"/>
        <v>0</v>
      </c>
      <c r="U173" s="376">
        <v>620.19000000000005</v>
      </c>
      <c r="V173" s="376">
        <v>51.46</v>
      </c>
      <c r="W173" s="22">
        <f t="shared" si="11"/>
        <v>373.72649400000006</v>
      </c>
      <c r="X173" s="22">
        <f t="shared" si="12"/>
        <v>169.70377072448557</v>
      </c>
      <c r="Y173" s="22">
        <v>59.836292492485278</v>
      </c>
      <c r="Z173" s="22">
        <v>109.86747823200028</v>
      </c>
      <c r="AA173" s="371">
        <v>1029.1842308707467</v>
      </c>
      <c r="AB173" s="22">
        <v>0.16489153801055309</v>
      </c>
      <c r="AC173" s="24">
        <v>2.9891538010553081E-2</v>
      </c>
      <c r="AD173" s="384">
        <v>-279678.03775836737</v>
      </c>
    </row>
    <row r="174" spans="1:30">
      <c r="A174" s="21" t="s">
        <v>457</v>
      </c>
      <c r="B174" s="21" t="s">
        <v>458</v>
      </c>
      <c r="C174" s="23">
        <v>346.37670963338996</v>
      </c>
      <c r="D174" s="147">
        <v>2.494016897165773</v>
      </c>
      <c r="E174" s="22">
        <v>97.105754673518973</v>
      </c>
      <c r="F174" s="22">
        <v>99.599771570684752</v>
      </c>
      <c r="G174" s="22">
        <v>0</v>
      </c>
      <c r="H174" s="22">
        <v>57.171314759626689</v>
      </c>
      <c r="I174" s="22">
        <v>1.7096083569281508</v>
      </c>
      <c r="J174" s="22">
        <v>54.104076236902657</v>
      </c>
      <c r="K174" s="22">
        <v>0.86486069821071154</v>
      </c>
      <c r="L174" s="22">
        <v>0</v>
      </c>
      <c r="M174" s="388">
        <v>1398.7412185201333</v>
      </c>
      <c r="N174" s="25">
        <v>0.2505</v>
      </c>
      <c r="O174" s="24">
        <v>0</v>
      </c>
      <c r="P174" s="24">
        <v>10.810758727633896</v>
      </c>
      <c r="Q174" s="24">
        <v>5.2796728669839954</v>
      </c>
      <c r="R174" s="22">
        <v>5.5310858606498998</v>
      </c>
      <c r="S174" s="24">
        <v>0</v>
      </c>
      <c r="T174" s="24">
        <f t="shared" si="10"/>
        <v>10.810758727633896</v>
      </c>
      <c r="U174" s="376">
        <v>350.38</v>
      </c>
      <c r="V174" s="376">
        <v>69.94</v>
      </c>
      <c r="W174" s="22">
        <f t="shared" si="11"/>
        <v>87.770189999999999</v>
      </c>
      <c r="X174" s="22">
        <f t="shared" si="12"/>
        <v>184.53713735077392</v>
      </c>
      <c r="Y174" s="22">
        <v>112.13019517499342</v>
      </c>
      <c r="Z174" s="22">
        <v>72.4069421757805</v>
      </c>
      <c r="AA174" s="371">
        <v>1407.399882021987</v>
      </c>
      <c r="AB174" s="22">
        <v>0.1311191934204603</v>
      </c>
      <c r="AC174" s="24">
        <v>0</v>
      </c>
      <c r="AD174" s="384">
        <v>0</v>
      </c>
    </row>
    <row r="175" spans="1:30">
      <c r="A175" s="21" t="s">
        <v>549</v>
      </c>
      <c r="B175" s="21" t="s">
        <v>550</v>
      </c>
      <c r="C175" s="23">
        <v>602.69728493565287</v>
      </c>
      <c r="D175" s="147">
        <v>12.892458315187584</v>
      </c>
      <c r="E175" s="22">
        <v>75.222767704838631</v>
      </c>
      <c r="F175" s="22">
        <v>88.115226020026213</v>
      </c>
      <c r="G175" s="22">
        <v>0</v>
      </c>
      <c r="H175" s="22">
        <v>19.187839676581831</v>
      </c>
      <c r="I175" s="22">
        <v>2.1923213047666876</v>
      </c>
      <c r="J175" s="22">
        <v>0</v>
      </c>
      <c r="K175" s="22">
        <v>5.7422727753292593</v>
      </c>
      <c r="L175" s="22">
        <v>0.89503025745062015</v>
      </c>
      <c r="M175" s="388">
        <v>1811.9032757909338</v>
      </c>
      <c r="N175" s="25">
        <v>0.5454</v>
      </c>
      <c r="O175" s="24">
        <v>1463.2236231355644</v>
      </c>
      <c r="P175" s="24">
        <v>244.87625583059102</v>
      </c>
      <c r="Q175" s="24">
        <v>163.16703288917205</v>
      </c>
      <c r="R175" s="22">
        <v>81.709222941418972</v>
      </c>
      <c r="S175" s="24">
        <v>37.209123062553871</v>
      </c>
      <c r="T175" s="24">
        <f t="shared" si="10"/>
        <v>282.08537889314488</v>
      </c>
      <c r="U175" s="376">
        <v>988.21</v>
      </c>
      <c r="V175" s="376">
        <v>90.6</v>
      </c>
      <c r="W175" s="22">
        <f t="shared" si="11"/>
        <v>538.96973400000002</v>
      </c>
      <c r="X175" s="22">
        <f t="shared" si="12"/>
        <v>277.30853201349271</v>
      </c>
      <c r="Y175" s="22">
        <v>188.5597452494284</v>
      </c>
      <c r="Z175" s="22">
        <v>88.748786764064292</v>
      </c>
      <c r="AA175" s="371">
        <v>1811.903275790934</v>
      </c>
      <c r="AB175" s="22">
        <v>0.15304819838820682</v>
      </c>
      <c r="AC175" s="24">
        <v>1.8048198388206815E-2</v>
      </c>
      <c r="AD175" s="384">
        <v>-317197.25317163975</v>
      </c>
    </row>
    <row r="176" spans="1:30">
      <c r="A176" s="21" t="s">
        <v>145</v>
      </c>
      <c r="B176" s="21" t="s">
        <v>146</v>
      </c>
      <c r="C176" s="23">
        <v>243.83037777694085</v>
      </c>
      <c r="D176" s="147">
        <v>14.823310106541731</v>
      </c>
      <c r="E176" s="22">
        <v>24.477569063312465</v>
      </c>
      <c r="F176" s="22">
        <v>39.300879169854198</v>
      </c>
      <c r="G176" s="22">
        <v>0</v>
      </c>
      <c r="H176" s="22">
        <v>9.8755023911967292</v>
      </c>
      <c r="I176" s="22">
        <v>1.0861041326367076</v>
      </c>
      <c r="J176" s="22">
        <v>0</v>
      </c>
      <c r="K176" s="22">
        <v>3.2180863189235782</v>
      </c>
      <c r="L176" s="22">
        <v>0</v>
      </c>
      <c r="M176" s="388">
        <v>728.43395132784508</v>
      </c>
      <c r="N176" s="25">
        <v>0.75539999999999996</v>
      </c>
      <c r="O176" s="24">
        <v>740.15985335242294</v>
      </c>
      <c r="P176" s="24">
        <v>17.850322550279223</v>
      </c>
      <c r="Q176" s="24">
        <v>13.827714651624749</v>
      </c>
      <c r="R176" s="22">
        <v>4.0226078986544724</v>
      </c>
      <c r="S176" s="24">
        <v>6.0339118479817087</v>
      </c>
      <c r="T176" s="24">
        <f t="shared" si="10"/>
        <v>23.884234398260933</v>
      </c>
      <c r="U176" s="376">
        <v>550.26</v>
      </c>
      <c r="V176" s="376">
        <v>36.42</v>
      </c>
      <c r="W176" s="22">
        <f t="shared" si="11"/>
        <v>415.66640399999994</v>
      </c>
      <c r="X176" s="22">
        <f t="shared" si="12"/>
        <v>124.19801887095683</v>
      </c>
      <c r="Y176" s="22">
        <v>90.508677719725625</v>
      </c>
      <c r="Z176" s="22">
        <v>33.689341151231204</v>
      </c>
      <c r="AA176" s="371">
        <v>728.44400784759182</v>
      </c>
      <c r="AB176" s="22">
        <v>0.17049768758197001</v>
      </c>
      <c r="AC176" s="24">
        <v>3.549768758197E-2</v>
      </c>
      <c r="AD176" s="384">
        <v>-240904.57331313565</v>
      </c>
    </row>
    <row r="177" spans="1:30">
      <c r="A177" s="21" t="s">
        <v>113</v>
      </c>
      <c r="B177" s="21" t="s">
        <v>114</v>
      </c>
      <c r="C177" s="23">
        <v>598.00089021397389</v>
      </c>
      <c r="D177" s="147">
        <v>7.4518811322574106</v>
      </c>
      <c r="E177" s="22">
        <v>104.62803144400283</v>
      </c>
      <c r="F177" s="22">
        <v>112.07991257626024</v>
      </c>
      <c r="G177" s="22">
        <v>0</v>
      </c>
      <c r="H177" s="22">
        <v>29.214189863978106</v>
      </c>
      <c r="I177" s="22">
        <v>1.1062171721299801</v>
      </c>
      <c r="J177" s="22">
        <v>38.114209839751126</v>
      </c>
      <c r="K177" s="22">
        <v>3.0169559239908543</v>
      </c>
      <c r="L177" s="22">
        <v>0</v>
      </c>
      <c r="M177" s="388">
        <v>2049.2471983312944</v>
      </c>
      <c r="N177" s="25">
        <v>0.75470000000000004</v>
      </c>
      <c r="O177" s="24">
        <v>2076.6713276803712</v>
      </c>
      <c r="P177" s="24">
        <v>725.0750737324687</v>
      </c>
      <c r="Q177" s="24">
        <v>433.18458808635353</v>
      </c>
      <c r="R177" s="22">
        <v>291.89048564611517</v>
      </c>
      <c r="S177" s="24">
        <v>106.34769632067761</v>
      </c>
      <c r="T177" s="24">
        <f t="shared" si="10"/>
        <v>831.42277005314634</v>
      </c>
      <c r="U177" s="376">
        <v>1546.57</v>
      </c>
      <c r="V177" s="376">
        <v>102.46</v>
      </c>
      <c r="W177" s="22">
        <f t="shared" si="11"/>
        <v>1167.196379</v>
      </c>
      <c r="X177" s="22">
        <f t="shared" si="12"/>
        <v>289.8791816967879</v>
      </c>
      <c r="Y177" s="22">
        <v>153.11051314253586</v>
      </c>
      <c r="Z177" s="22">
        <v>136.76866855425206</v>
      </c>
      <c r="AA177" s="371">
        <v>2072.3771937485576</v>
      </c>
      <c r="AB177" s="22">
        <v>0.13987761618455596</v>
      </c>
      <c r="AC177" s="24">
        <v>4.8776161845559551E-3</v>
      </c>
      <c r="AD177" s="384">
        <v>-93040.527436242526</v>
      </c>
    </row>
    <row r="178" spans="1:30">
      <c r="A178" s="21" t="s">
        <v>231</v>
      </c>
      <c r="B178" s="21" t="s">
        <v>232</v>
      </c>
      <c r="C178" s="23">
        <v>1485.9312447234688</v>
      </c>
      <c r="D178" s="147">
        <v>85.812282998046527</v>
      </c>
      <c r="E178" s="22">
        <v>263.78251295426702</v>
      </c>
      <c r="F178" s="22">
        <v>349.59479595231358</v>
      </c>
      <c r="G178" s="22">
        <v>0</v>
      </c>
      <c r="H178" s="22">
        <v>181.12797715666426</v>
      </c>
      <c r="I178" s="22">
        <v>7.8641984418694939</v>
      </c>
      <c r="J178" s="22">
        <v>223.76762088240167</v>
      </c>
      <c r="K178" s="22">
        <v>0</v>
      </c>
      <c r="L178" s="22">
        <v>0</v>
      </c>
      <c r="M178" s="388">
        <v>5457.8442273351475</v>
      </c>
      <c r="N178" s="25">
        <v>0.33160000000000001</v>
      </c>
      <c r="O178" s="24">
        <v>336.89341151231207</v>
      </c>
      <c r="P178" s="24">
        <v>239.84799595727293</v>
      </c>
      <c r="Q178" s="24">
        <v>165.68116282583108</v>
      </c>
      <c r="R178" s="22">
        <v>74.166833131441834</v>
      </c>
      <c r="S178" s="24">
        <v>43.243034910535577</v>
      </c>
      <c r="T178" s="24">
        <f t="shared" si="10"/>
        <v>283.09103086780851</v>
      </c>
      <c r="U178" s="376">
        <v>1809.82</v>
      </c>
      <c r="V178" s="376">
        <v>272.89</v>
      </c>
      <c r="W178" s="22">
        <f t="shared" si="11"/>
        <v>600.13631199999998</v>
      </c>
      <c r="X178" s="22">
        <f t="shared" si="12"/>
        <v>711.49877207450982</v>
      </c>
      <c r="Y178" s="22">
        <v>489.24968567385019</v>
      </c>
      <c r="Z178" s="22">
        <v>222.24908640065959</v>
      </c>
      <c r="AA178" s="371">
        <v>5511.2946297885192</v>
      </c>
      <c r="AB178" s="22">
        <v>0.12909830082914867</v>
      </c>
      <c r="AC178" s="24">
        <v>0</v>
      </c>
      <c r="AD178" s="384">
        <v>0</v>
      </c>
    </row>
    <row r="179" spans="1:30">
      <c r="A179" s="21" t="s">
        <v>323</v>
      </c>
      <c r="B179" s="21" t="s">
        <v>324</v>
      </c>
      <c r="C179" s="23">
        <v>641.79703371057451</v>
      </c>
      <c r="D179" s="147">
        <v>84.706065825916554</v>
      </c>
      <c r="E179" s="22">
        <v>151.3707352263678</v>
      </c>
      <c r="F179" s="22">
        <v>236.07680105228434</v>
      </c>
      <c r="G179" s="22">
        <v>0</v>
      </c>
      <c r="H179" s="22">
        <v>59.916744650458362</v>
      </c>
      <c r="I179" s="22">
        <v>3.87176010245493</v>
      </c>
      <c r="J179" s="22">
        <v>153.65356520885422</v>
      </c>
      <c r="K179" s="22">
        <v>0</v>
      </c>
      <c r="L179" s="22">
        <v>0</v>
      </c>
      <c r="M179" s="388">
        <v>2274.2919972215191</v>
      </c>
      <c r="N179" s="25">
        <v>0.56899999999999995</v>
      </c>
      <c r="O179" s="24">
        <v>1447.1331915409464</v>
      </c>
      <c r="P179" s="24">
        <v>303.20407036108088</v>
      </c>
      <c r="Q179" s="24">
        <v>186.79985429376705</v>
      </c>
      <c r="R179" s="22">
        <v>116.4042160673138</v>
      </c>
      <c r="S179" s="24">
        <v>30.169559239908544</v>
      </c>
      <c r="T179" s="24">
        <f t="shared" si="10"/>
        <v>333.37362960098943</v>
      </c>
      <c r="U179" s="376">
        <v>1294.07</v>
      </c>
      <c r="V179" s="376">
        <v>113.71</v>
      </c>
      <c r="W179" s="22">
        <f t="shared" si="11"/>
        <v>736.32582999999988</v>
      </c>
      <c r="X179" s="22">
        <f t="shared" si="12"/>
        <v>342.67591036662787</v>
      </c>
      <c r="Y179" s="22">
        <v>267.50342526052242</v>
      </c>
      <c r="Z179" s="22">
        <v>75.172485106105455</v>
      </c>
      <c r="AA179" s="371">
        <v>2290.6137287703091</v>
      </c>
      <c r="AB179" s="22">
        <v>0.14960004214704051</v>
      </c>
      <c r="AC179" s="24">
        <v>1.4600042147040498E-2</v>
      </c>
      <c r="AD179" s="384">
        <v>-321975.89827114873</v>
      </c>
    </row>
    <row r="180" spans="1:30">
      <c r="A180" s="21" t="s">
        <v>353</v>
      </c>
      <c r="B180" s="21" t="s">
        <v>354</v>
      </c>
      <c r="C180" s="23">
        <v>26.2</v>
      </c>
      <c r="D180" s="147">
        <v>0</v>
      </c>
      <c r="E180" s="22">
        <v>0</v>
      </c>
      <c r="F180" s="22">
        <v>0</v>
      </c>
      <c r="G180" s="22">
        <v>0</v>
      </c>
      <c r="H180" s="22">
        <v>3.35</v>
      </c>
      <c r="I180" s="22">
        <v>0</v>
      </c>
      <c r="J180" s="22">
        <v>0</v>
      </c>
      <c r="K180" s="22">
        <v>0</v>
      </c>
      <c r="L180" s="22">
        <v>0</v>
      </c>
      <c r="M180" s="388">
        <v>86.429999999999993</v>
      </c>
      <c r="N180" s="25">
        <v>0.70589999999999997</v>
      </c>
      <c r="O180" s="24">
        <v>88</v>
      </c>
      <c r="P180" s="24">
        <v>0</v>
      </c>
      <c r="Q180" s="24">
        <v>0</v>
      </c>
      <c r="R180" s="22">
        <v>0</v>
      </c>
      <c r="S180" s="24">
        <v>0</v>
      </c>
      <c r="T180" s="24">
        <f t="shared" si="10"/>
        <v>0</v>
      </c>
      <c r="U180" s="376">
        <v>61.01</v>
      </c>
      <c r="V180" s="376">
        <v>0</v>
      </c>
      <c r="W180" s="22">
        <f t="shared" si="11"/>
        <v>43.066958999999997</v>
      </c>
      <c r="X180" s="22">
        <f t="shared" si="12"/>
        <v>8.5</v>
      </c>
      <c r="Y180" s="22">
        <v>8.25</v>
      </c>
      <c r="Z180" s="22">
        <v>0.25</v>
      </c>
      <c r="AA180" s="371">
        <v>86.43</v>
      </c>
      <c r="AB180" s="22">
        <v>9.834548189286127E-2</v>
      </c>
      <c r="AC180" s="24">
        <v>0</v>
      </c>
      <c r="AD180" s="384">
        <v>0</v>
      </c>
    </row>
    <row r="181" spans="1:30">
      <c r="A181" s="21" t="s">
        <v>509</v>
      </c>
      <c r="B181" s="21" t="s">
        <v>510</v>
      </c>
      <c r="C181" s="23">
        <v>4307.9616464652745</v>
      </c>
      <c r="D181" s="147">
        <v>225.32638144313029</v>
      </c>
      <c r="E181" s="22">
        <v>803.69694511167029</v>
      </c>
      <c r="F181" s="22">
        <v>1029.0233265548006</v>
      </c>
      <c r="G181" s="22">
        <v>0</v>
      </c>
      <c r="H181" s="22">
        <v>306.04000892963228</v>
      </c>
      <c r="I181" s="22">
        <v>31.547302445197701</v>
      </c>
      <c r="J181" s="22">
        <v>650.66688412710755</v>
      </c>
      <c r="K181" s="22">
        <v>73.211463755511389</v>
      </c>
      <c r="L181" s="22">
        <v>0</v>
      </c>
      <c r="M181" s="388">
        <v>14907.804985452969</v>
      </c>
      <c r="N181" s="25">
        <v>0.43209999999999998</v>
      </c>
      <c r="O181" s="24">
        <v>3422.2336697802925</v>
      </c>
      <c r="P181" s="24">
        <v>871.90026203335685</v>
      </c>
      <c r="Q181" s="24">
        <v>588.05499218455066</v>
      </c>
      <c r="R181" s="22">
        <v>283.8452698488062</v>
      </c>
      <c r="S181" s="24">
        <v>155.87605607286082</v>
      </c>
      <c r="T181" s="24">
        <f t="shared" si="10"/>
        <v>1027.7763181062178</v>
      </c>
      <c r="U181" s="376">
        <v>6437.19</v>
      </c>
      <c r="V181" s="376">
        <v>745.39</v>
      </c>
      <c r="W181" s="22">
        <f t="shared" si="11"/>
        <v>2781.5097989999999</v>
      </c>
      <c r="X181" s="22">
        <f t="shared" si="12"/>
        <v>2131.7307732932045</v>
      </c>
      <c r="Y181" s="22">
        <v>1242.4830146969002</v>
      </c>
      <c r="Z181" s="22">
        <v>889.24775859630427</v>
      </c>
      <c r="AA181" s="371">
        <v>14968.244669130252</v>
      </c>
      <c r="AB181" s="22">
        <v>0.14241688457228241</v>
      </c>
      <c r="AC181" s="24">
        <v>7.4168845722824006E-3</v>
      </c>
      <c r="AD181" s="384">
        <v>-1044246.4412114618</v>
      </c>
    </row>
    <row r="182" spans="1:30">
      <c r="A182" s="21" t="s">
        <v>503</v>
      </c>
      <c r="B182" s="21" t="s">
        <v>504</v>
      </c>
      <c r="C182" s="23">
        <v>41.633991751073786</v>
      </c>
      <c r="D182" s="147">
        <v>0</v>
      </c>
      <c r="E182" s="22">
        <v>6.9993377436587823</v>
      </c>
      <c r="F182" s="22">
        <v>6.9993377436587823</v>
      </c>
      <c r="G182" s="22">
        <v>0</v>
      </c>
      <c r="H182" s="22">
        <v>1.1866693301030693</v>
      </c>
      <c r="I182" s="22">
        <v>0.42237382935871959</v>
      </c>
      <c r="J182" s="22">
        <v>107.36340481508786</v>
      </c>
      <c r="K182" s="22">
        <v>0</v>
      </c>
      <c r="L182" s="22">
        <v>0</v>
      </c>
      <c r="M182" s="388">
        <v>253.35390197700531</v>
      </c>
      <c r="N182" s="25">
        <v>0.66810000000000003</v>
      </c>
      <c r="O182" s="24">
        <v>150.84779619954273</v>
      </c>
      <c r="P182" s="24">
        <v>0</v>
      </c>
      <c r="Q182" s="24">
        <v>0</v>
      </c>
      <c r="R182" s="22">
        <v>0</v>
      </c>
      <c r="S182" s="24">
        <v>0</v>
      </c>
      <c r="T182" s="24">
        <f t="shared" si="10"/>
        <v>0</v>
      </c>
      <c r="U182" s="376">
        <v>169.27</v>
      </c>
      <c r="V182" s="376">
        <v>0</v>
      </c>
      <c r="W182" s="22">
        <f t="shared" si="11"/>
        <v>113.08928700000001</v>
      </c>
      <c r="X182" s="22">
        <f t="shared" si="12"/>
        <v>24.38706038559274</v>
      </c>
      <c r="Y182" s="22">
        <v>20.867278474270076</v>
      </c>
      <c r="Z182" s="22">
        <v>3.5197819113226636</v>
      </c>
      <c r="AA182" s="371">
        <v>253.09243246359276</v>
      </c>
      <c r="AB182" s="22">
        <v>9.6356339651130454E-2</v>
      </c>
      <c r="AC182" s="24">
        <v>0</v>
      </c>
      <c r="AD182" s="384">
        <v>0</v>
      </c>
    </row>
    <row r="183" spans="1:30">
      <c r="A183" s="21" t="s">
        <v>219</v>
      </c>
      <c r="B183" s="21" t="s">
        <v>220</v>
      </c>
      <c r="C183" s="23">
        <v>6641.3457537180275</v>
      </c>
      <c r="D183" s="147">
        <v>206.00780700984217</v>
      </c>
      <c r="E183" s="22">
        <v>879.81474307395956</v>
      </c>
      <c r="F183" s="22">
        <v>1085.8225500838016</v>
      </c>
      <c r="G183" s="22">
        <v>0</v>
      </c>
      <c r="H183" s="22">
        <v>386.45194082373513</v>
      </c>
      <c r="I183" s="22">
        <v>20.555526362124354</v>
      </c>
      <c r="J183" s="22">
        <v>596.04992538312649</v>
      </c>
      <c r="K183" s="22">
        <v>4.2237382935871963</v>
      </c>
      <c r="L183" s="22">
        <v>0</v>
      </c>
      <c r="M183" s="388">
        <v>22594.385175557374</v>
      </c>
      <c r="N183" s="25">
        <v>0.14480000000000001</v>
      </c>
      <c r="O183" s="24">
        <v>0</v>
      </c>
      <c r="P183" s="24">
        <v>2090.499042331996</v>
      </c>
      <c r="Q183" s="24">
        <v>1574.3481663358941</v>
      </c>
      <c r="R183" s="22">
        <v>516.15087599610195</v>
      </c>
      <c r="S183" s="24">
        <v>555.87412899531489</v>
      </c>
      <c r="T183" s="24">
        <f t="shared" si="10"/>
        <v>2646.373171327311</v>
      </c>
      <c r="U183" s="376">
        <v>3203.88</v>
      </c>
      <c r="V183" s="376">
        <v>1129.72</v>
      </c>
      <c r="W183" s="22">
        <f t="shared" si="11"/>
        <v>463.92182400000007</v>
      </c>
      <c r="X183" s="22">
        <f t="shared" si="12"/>
        <v>2635.5624125996774</v>
      </c>
      <c r="Y183" s="22">
        <v>1704.8315100484986</v>
      </c>
      <c r="Z183" s="22">
        <v>930.73090255117859</v>
      </c>
      <c r="AA183" s="371">
        <v>22717.547372894427</v>
      </c>
      <c r="AB183" s="22">
        <v>0.11601439052106099</v>
      </c>
      <c r="AC183" s="24">
        <v>0</v>
      </c>
      <c r="AD183" s="384">
        <v>0</v>
      </c>
    </row>
    <row r="184" spans="1:30">
      <c r="A184" s="21" t="s">
        <v>167</v>
      </c>
      <c r="B184" s="21" t="s">
        <v>168</v>
      </c>
      <c r="C184" s="23">
        <v>1713.9527734586975</v>
      </c>
      <c r="D184" s="147">
        <v>46.370612551739427</v>
      </c>
      <c r="E184" s="22">
        <v>418.23054322310549</v>
      </c>
      <c r="F184" s="22">
        <v>464.60115577484493</v>
      </c>
      <c r="G184" s="22">
        <v>0</v>
      </c>
      <c r="H184" s="22">
        <v>93.867555315102123</v>
      </c>
      <c r="I184" s="22">
        <v>3.5097253915760276</v>
      </c>
      <c r="J184" s="22">
        <v>295.51083275490419</v>
      </c>
      <c r="K184" s="22">
        <v>9.4531285618380103</v>
      </c>
      <c r="L184" s="22">
        <v>0</v>
      </c>
      <c r="M184" s="388">
        <v>5534.5955860414761</v>
      </c>
      <c r="N184" s="25">
        <v>0.3856</v>
      </c>
      <c r="O184" s="24">
        <v>883.96808572932036</v>
      </c>
      <c r="P184" s="24">
        <v>208.67278474270074</v>
      </c>
      <c r="Q184" s="24">
        <v>117.91269402930922</v>
      </c>
      <c r="R184" s="22">
        <v>90.760090713391534</v>
      </c>
      <c r="S184" s="24">
        <v>38.214775037217485</v>
      </c>
      <c r="T184" s="24">
        <f t="shared" si="10"/>
        <v>246.88755977991823</v>
      </c>
      <c r="U184" s="376">
        <v>2134.14</v>
      </c>
      <c r="V184" s="376">
        <v>276.73</v>
      </c>
      <c r="W184" s="22">
        <f t="shared" si="11"/>
        <v>822.92438399999992</v>
      </c>
      <c r="X184" s="22">
        <f t="shared" si="12"/>
        <v>894.52743146328828</v>
      </c>
      <c r="Y184" s="22">
        <v>503.32881331914086</v>
      </c>
      <c r="Z184" s="22">
        <v>391.19861814414742</v>
      </c>
      <c r="AA184" s="371">
        <v>5532.5742255724017</v>
      </c>
      <c r="AB184" s="22">
        <v>0.16168376509593782</v>
      </c>
      <c r="AC184" s="24">
        <v>2.6683765095937811E-2</v>
      </c>
      <c r="AD184" s="384">
        <v>-1485614.393158125</v>
      </c>
    </row>
    <row r="185" spans="1:30">
      <c r="A185" s="21" t="s">
        <v>579</v>
      </c>
      <c r="B185" s="21" t="s">
        <v>580</v>
      </c>
      <c r="C185" s="23">
        <v>53.11853730173231</v>
      </c>
      <c r="D185" s="147">
        <v>0.61344770454480702</v>
      </c>
      <c r="E185" s="22">
        <v>5.410407623690265</v>
      </c>
      <c r="F185" s="22">
        <v>6.0238553282350722</v>
      </c>
      <c r="G185" s="22">
        <v>0</v>
      </c>
      <c r="H185" s="22">
        <v>3.6706297075222061</v>
      </c>
      <c r="I185" s="22">
        <v>0</v>
      </c>
      <c r="J185" s="22">
        <v>0</v>
      </c>
      <c r="K185" s="22">
        <v>0</v>
      </c>
      <c r="L185" s="22">
        <v>0</v>
      </c>
      <c r="M185" s="388">
        <v>148.32360974313701</v>
      </c>
      <c r="N185" s="25">
        <v>0.3987</v>
      </c>
      <c r="O185" s="24">
        <v>0</v>
      </c>
      <c r="P185" s="24">
        <v>0</v>
      </c>
      <c r="Q185" s="24">
        <v>0</v>
      </c>
      <c r="R185" s="22">
        <v>0</v>
      </c>
      <c r="S185" s="24">
        <v>0</v>
      </c>
      <c r="T185" s="24">
        <f t="shared" si="10"/>
        <v>0</v>
      </c>
      <c r="U185" s="376">
        <v>59.14</v>
      </c>
      <c r="V185" s="376">
        <v>0</v>
      </c>
      <c r="W185" s="22">
        <f t="shared" si="11"/>
        <v>23.579118000000001</v>
      </c>
      <c r="X185" s="22">
        <f t="shared" si="12"/>
        <v>19.358800512274648</v>
      </c>
      <c r="Y185" s="22">
        <v>10.559345733967991</v>
      </c>
      <c r="Z185" s="22">
        <v>8.799454778306659</v>
      </c>
      <c r="AA185" s="371">
        <v>148.31355322339039</v>
      </c>
      <c r="AB185" s="22">
        <v>0.13052617304041228</v>
      </c>
      <c r="AC185" s="24">
        <v>0</v>
      </c>
      <c r="AD185" s="384">
        <v>0</v>
      </c>
    </row>
    <row r="186" spans="1:30">
      <c r="A186" s="21" t="s">
        <v>165</v>
      </c>
      <c r="B186" s="21" t="s">
        <v>166</v>
      </c>
      <c r="C186" s="23">
        <v>97.54824154237096</v>
      </c>
      <c r="D186" s="147">
        <v>8.4474765871743926</v>
      </c>
      <c r="E186" s="22">
        <v>20.444904644911354</v>
      </c>
      <c r="F186" s="22">
        <v>28.892381232085746</v>
      </c>
      <c r="G186" s="22">
        <v>0</v>
      </c>
      <c r="H186" s="22">
        <v>3.3387645558832117</v>
      </c>
      <c r="I186" s="22">
        <v>1.1564997708631608</v>
      </c>
      <c r="J186" s="22">
        <v>24.839603774191367</v>
      </c>
      <c r="K186" s="22">
        <v>2.8158255290581304</v>
      </c>
      <c r="L186" s="22">
        <v>0</v>
      </c>
      <c r="M186" s="388">
        <v>332.84063405441765</v>
      </c>
      <c r="N186" s="25">
        <v>0.749</v>
      </c>
      <c r="O186" s="24">
        <v>298.67863647509461</v>
      </c>
      <c r="P186" s="24">
        <v>6.0339118479817087</v>
      </c>
      <c r="Q186" s="24">
        <v>3.0169559239908543</v>
      </c>
      <c r="R186" s="22">
        <v>3.0169559239908543</v>
      </c>
      <c r="S186" s="24">
        <v>0</v>
      </c>
      <c r="T186" s="24">
        <f t="shared" si="10"/>
        <v>6.0339118479817087</v>
      </c>
      <c r="U186" s="376">
        <v>249.3</v>
      </c>
      <c r="V186" s="376">
        <v>16.64</v>
      </c>
      <c r="W186" s="22">
        <f t="shared" si="11"/>
        <v>186.72570000000002</v>
      </c>
      <c r="X186" s="22">
        <f t="shared" si="12"/>
        <v>59.082053511487558</v>
      </c>
      <c r="Y186" s="22">
        <v>51.791076695176329</v>
      </c>
      <c r="Z186" s="22">
        <v>7.2909768163112316</v>
      </c>
      <c r="AA186" s="371">
        <v>334.46979025337271</v>
      </c>
      <c r="AB186" s="22">
        <v>0.17664391593252954</v>
      </c>
      <c r="AC186" s="24">
        <v>4.1643915932529529E-2</v>
      </c>
      <c r="AD186" s="384">
        <v>-129011.27862108723</v>
      </c>
    </row>
    <row r="187" spans="1:30">
      <c r="A187" s="21" t="s">
        <v>343</v>
      </c>
      <c r="B187" s="21" t="s">
        <v>344</v>
      </c>
      <c r="C187" s="23">
        <v>260.00126152953186</v>
      </c>
      <c r="D187" s="147">
        <v>0</v>
      </c>
      <c r="E187" s="22">
        <v>83.851261647452475</v>
      </c>
      <c r="F187" s="22">
        <v>83.851261647452475</v>
      </c>
      <c r="G187" s="22">
        <v>0</v>
      </c>
      <c r="H187" s="22">
        <v>12.500254045068774</v>
      </c>
      <c r="I187" s="22">
        <v>0.44248686885199195</v>
      </c>
      <c r="J187" s="22">
        <v>91.665177490588789</v>
      </c>
      <c r="K187" s="22">
        <v>3.6203471087890251</v>
      </c>
      <c r="L187" s="22">
        <v>0</v>
      </c>
      <c r="M187" s="388">
        <v>1029.9585828912377</v>
      </c>
      <c r="N187" s="25">
        <v>0.64239999999999997</v>
      </c>
      <c r="O187" s="24">
        <v>1026.770666131554</v>
      </c>
      <c r="P187" s="24">
        <v>46.008577840860525</v>
      </c>
      <c r="Q187" s="24">
        <v>26.649777328585881</v>
      </c>
      <c r="R187" s="22">
        <v>19.358800512274648</v>
      </c>
      <c r="S187" s="24">
        <v>0</v>
      </c>
      <c r="T187" s="24">
        <f t="shared" si="10"/>
        <v>46.008577840860525</v>
      </c>
      <c r="U187" s="376">
        <v>661.65</v>
      </c>
      <c r="V187" s="376">
        <v>51.5</v>
      </c>
      <c r="W187" s="22">
        <f t="shared" si="11"/>
        <v>425.04395999999997</v>
      </c>
      <c r="X187" s="22">
        <f t="shared" si="12"/>
        <v>231.80278015996399</v>
      </c>
      <c r="Y187" s="22">
        <v>174.73203059780366</v>
      </c>
      <c r="Z187" s="22">
        <v>57.07074956216033</v>
      </c>
      <c r="AA187" s="371">
        <v>1029.9585828912379</v>
      </c>
      <c r="AB187" s="22">
        <v>0.22506029272484057</v>
      </c>
      <c r="AC187" s="24">
        <v>9.0060292724840563E-2</v>
      </c>
      <c r="AD187" s="384">
        <v>-848395.96336905006</v>
      </c>
    </row>
    <row r="188" spans="1:30">
      <c r="A188" s="21" t="s">
        <v>163</v>
      </c>
      <c r="B188" s="21" t="s">
        <v>164</v>
      </c>
      <c r="C188" s="23">
        <v>169.02998390146095</v>
      </c>
      <c r="D188" s="147">
        <v>14.77302750780855</v>
      </c>
      <c r="E188" s="22">
        <v>29.535998495870466</v>
      </c>
      <c r="F188" s="22">
        <v>44.309026003679016</v>
      </c>
      <c r="G188" s="22">
        <v>0</v>
      </c>
      <c r="H188" s="22">
        <v>16.271448950057341</v>
      </c>
      <c r="I188" s="22">
        <v>0.9754824154237095</v>
      </c>
      <c r="J188" s="22">
        <v>21.349991422108616</v>
      </c>
      <c r="K188" s="22">
        <v>2.2124343442599601</v>
      </c>
      <c r="L188" s="22">
        <v>0</v>
      </c>
      <c r="M188" s="388">
        <v>571.86399539246645</v>
      </c>
      <c r="N188" s="25">
        <v>0.76590000000000003</v>
      </c>
      <c r="O188" s="24">
        <v>592.32901307687109</v>
      </c>
      <c r="P188" s="24">
        <v>50.785424720512708</v>
      </c>
      <c r="Q188" s="24">
        <v>31.678037201903969</v>
      </c>
      <c r="R188" s="22">
        <v>19.107387518608743</v>
      </c>
      <c r="S188" s="24">
        <v>2.0113039493272362</v>
      </c>
      <c r="T188" s="24">
        <f t="shared" si="10"/>
        <v>52.796728669839943</v>
      </c>
      <c r="U188" s="376">
        <v>437.99</v>
      </c>
      <c r="V188" s="376">
        <v>28.59</v>
      </c>
      <c r="W188" s="22">
        <f t="shared" si="11"/>
        <v>335.45654100000002</v>
      </c>
      <c r="X188" s="22">
        <f t="shared" si="12"/>
        <v>67.630095296128317</v>
      </c>
      <c r="Y188" s="22">
        <v>57.824988543158042</v>
      </c>
      <c r="Z188" s="22">
        <v>9.8051067529702767</v>
      </c>
      <c r="AA188" s="371">
        <v>571.86399539246645</v>
      </c>
      <c r="AB188" s="22">
        <v>0.11826255165743427</v>
      </c>
      <c r="AC188" s="24">
        <v>0</v>
      </c>
      <c r="AD188" s="384">
        <v>0</v>
      </c>
    </row>
    <row r="189" spans="1:30">
      <c r="A189" s="21" t="s">
        <v>305</v>
      </c>
      <c r="B189" s="21" t="s">
        <v>306</v>
      </c>
      <c r="C189" s="23">
        <v>58.528944925422579</v>
      </c>
      <c r="D189" s="147">
        <v>0</v>
      </c>
      <c r="E189" s="22">
        <v>14.059014605797381</v>
      </c>
      <c r="F189" s="22">
        <v>14.059014605797381</v>
      </c>
      <c r="G189" s="22">
        <v>0</v>
      </c>
      <c r="H189" s="22">
        <v>3.6806862272688425</v>
      </c>
      <c r="I189" s="22">
        <v>0</v>
      </c>
      <c r="J189" s="22">
        <v>0</v>
      </c>
      <c r="K189" s="22">
        <v>0</v>
      </c>
      <c r="L189" s="22">
        <v>0</v>
      </c>
      <c r="M189" s="388">
        <v>219.98636945766646</v>
      </c>
      <c r="N189" s="25">
        <v>0.53200000000000003</v>
      </c>
      <c r="O189" s="24">
        <v>107.60476128900714</v>
      </c>
      <c r="P189" s="24">
        <v>0</v>
      </c>
      <c r="Q189" s="24">
        <v>0</v>
      </c>
      <c r="R189" s="22">
        <v>0</v>
      </c>
      <c r="S189" s="24">
        <v>0</v>
      </c>
      <c r="T189" s="24">
        <f t="shared" si="10"/>
        <v>0</v>
      </c>
      <c r="U189" s="376">
        <v>117.03</v>
      </c>
      <c r="V189" s="376">
        <v>11</v>
      </c>
      <c r="W189" s="22">
        <f t="shared" si="11"/>
        <v>62.259960000000007</v>
      </c>
      <c r="X189" s="22">
        <f t="shared" si="12"/>
        <v>23.129995417263217</v>
      </c>
      <c r="Y189" s="22">
        <v>13.576301657958844</v>
      </c>
      <c r="Z189" s="22">
        <v>9.5536937593043714</v>
      </c>
      <c r="AA189" s="371">
        <v>219.98636945766646</v>
      </c>
      <c r="AB189" s="22">
        <v>0.10514285714285715</v>
      </c>
      <c r="AC189" s="24">
        <v>0</v>
      </c>
      <c r="AD189" s="384">
        <v>0</v>
      </c>
    </row>
    <row r="190" spans="1:30">
      <c r="A190" s="21" t="s">
        <v>331</v>
      </c>
      <c r="B190" s="21" t="s">
        <v>332</v>
      </c>
      <c r="C190" s="23">
        <v>260.46386143787709</v>
      </c>
      <c r="D190" s="147">
        <v>6.2551552824077046</v>
      </c>
      <c r="E190" s="22">
        <v>70.958803332264893</v>
      </c>
      <c r="F190" s="22">
        <v>77.213958614672592</v>
      </c>
      <c r="G190" s="22">
        <v>0</v>
      </c>
      <c r="H190" s="22">
        <v>17.749757352812857</v>
      </c>
      <c r="I190" s="22">
        <v>0.3519781911322663</v>
      </c>
      <c r="J190" s="22">
        <v>90.337716884032815</v>
      </c>
      <c r="K190" s="22">
        <v>0</v>
      </c>
      <c r="L190" s="22">
        <v>0</v>
      </c>
      <c r="M190" s="388">
        <v>1042.1671978636539</v>
      </c>
      <c r="N190" s="25">
        <v>0.70089999999999997</v>
      </c>
      <c r="O190" s="24">
        <v>1047.88935759949</v>
      </c>
      <c r="P190" s="24">
        <v>71.904116188448697</v>
      </c>
      <c r="Q190" s="24">
        <v>41.231730961208342</v>
      </c>
      <c r="R190" s="22">
        <v>30.672385227240351</v>
      </c>
      <c r="S190" s="24">
        <v>28.158255290581309</v>
      </c>
      <c r="T190" s="24">
        <f t="shared" si="10"/>
        <v>100.06237147903001</v>
      </c>
      <c r="U190" s="376">
        <v>730.66</v>
      </c>
      <c r="V190" s="376">
        <v>52.11</v>
      </c>
      <c r="W190" s="22">
        <f t="shared" si="11"/>
        <v>512.11959400000001</v>
      </c>
      <c r="X190" s="22">
        <f t="shared" si="12"/>
        <v>153.36192613620176</v>
      </c>
      <c r="Y190" s="22">
        <v>125.20367084562045</v>
      </c>
      <c r="Z190" s="22">
        <v>28.158255290581309</v>
      </c>
      <c r="AA190" s="371">
        <v>1042.1671978636541</v>
      </c>
      <c r="AB190" s="22">
        <v>0.14715673881367544</v>
      </c>
      <c r="AC190" s="24">
        <v>1.2156738813675433E-2</v>
      </c>
      <c r="AD190" s="384">
        <v>-118385.01764905448</v>
      </c>
    </row>
    <row r="191" spans="1:30">
      <c r="A191" s="21" t="s">
        <v>513</v>
      </c>
      <c r="B191" s="21" t="s">
        <v>514</v>
      </c>
      <c r="C191" s="23">
        <v>2305.6582823112772</v>
      </c>
      <c r="D191" s="147">
        <v>139.45375932660392</v>
      </c>
      <c r="E191" s="22">
        <v>588.59804425086895</v>
      </c>
      <c r="F191" s="22">
        <v>728.05180357747281</v>
      </c>
      <c r="G191" s="22">
        <v>0</v>
      </c>
      <c r="H191" s="22">
        <v>345.17998378354031</v>
      </c>
      <c r="I191" s="22">
        <v>42.39828725181814</v>
      </c>
      <c r="J191" s="22">
        <v>837.36617322340817</v>
      </c>
      <c r="K191" s="22">
        <v>36.324149324849884</v>
      </c>
      <c r="L191" s="22">
        <v>0</v>
      </c>
      <c r="M191" s="388">
        <v>9692.8357665188305</v>
      </c>
      <c r="N191" s="25">
        <v>0.30070000000000002</v>
      </c>
      <c r="O191" s="24">
        <v>616.46466046879789</v>
      </c>
      <c r="P191" s="24">
        <v>297.42157150676508</v>
      </c>
      <c r="Q191" s="24">
        <v>185.29137633177163</v>
      </c>
      <c r="R191" s="22">
        <v>112.13019517499342</v>
      </c>
      <c r="S191" s="24">
        <v>62.350422429144324</v>
      </c>
      <c r="T191" s="24">
        <f t="shared" si="10"/>
        <v>359.77199393590939</v>
      </c>
      <c r="U191" s="376">
        <v>2914.64</v>
      </c>
      <c r="V191" s="376">
        <v>0</v>
      </c>
      <c r="W191" s="22">
        <f t="shared" si="11"/>
        <v>876.43224800000007</v>
      </c>
      <c r="X191" s="22">
        <f t="shared" si="12"/>
        <v>1428.2772170160035</v>
      </c>
      <c r="Y191" s="22">
        <v>817.09222941418966</v>
      </c>
      <c r="Z191" s="22">
        <v>611.18498760181387</v>
      </c>
      <c r="AA191" s="371">
        <v>9755.266641105949</v>
      </c>
      <c r="AB191" s="22">
        <v>0.14641088445472575</v>
      </c>
      <c r="AC191" s="24">
        <v>1.1410884454725739E-2</v>
      </c>
      <c r="AD191" s="384">
        <v>-1034747.6028104947</v>
      </c>
    </row>
    <row r="192" spans="1:30">
      <c r="A192" s="21" t="s">
        <v>329</v>
      </c>
      <c r="B192" s="21" t="s">
        <v>330</v>
      </c>
      <c r="C192" s="23">
        <v>512.56069844655292</v>
      </c>
      <c r="D192" s="147">
        <v>32.925045650486858</v>
      </c>
      <c r="E192" s="22">
        <v>139.53421148457701</v>
      </c>
      <c r="F192" s="22">
        <v>172.45925713506387</v>
      </c>
      <c r="G192" s="22">
        <v>0</v>
      </c>
      <c r="H192" s="22">
        <v>133.8019952289944</v>
      </c>
      <c r="I192" s="22">
        <v>11.011889122566618</v>
      </c>
      <c r="J192" s="22">
        <v>4894.4779911285896</v>
      </c>
      <c r="K192" s="22">
        <v>0</v>
      </c>
      <c r="L192" s="22">
        <v>0</v>
      </c>
      <c r="M192" s="388">
        <v>6649.7127781472282</v>
      </c>
      <c r="N192" s="25">
        <v>0.54259999999999997</v>
      </c>
      <c r="O192" s="24">
        <v>5409.4019717156016</v>
      </c>
      <c r="P192" s="24">
        <v>270.26896819084737</v>
      </c>
      <c r="Q192" s="24">
        <v>162.41279390817434</v>
      </c>
      <c r="R192" s="22">
        <v>107.85617428267304</v>
      </c>
      <c r="S192" s="24">
        <v>78.943680011094017</v>
      </c>
      <c r="T192" s="24">
        <f t="shared" si="10"/>
        <v>349.21264820194142</v>
      </c>
      <c r="U192" s="376">
        <v>3607.47</v>
      </c>
      <c r="V192" s="376">
        <v>332.49</v>
      </c>
      <c r="W192" s="22">
        <f t="shared" si="11"/>
        <v>1957.4132219999997</v>
      </c>
      <c r="X192" s="22">
        <f t="shared" si="12"/>
        <v>916.14894891855613</v>
      </c>
      <c r="Y192" s="22">
        <v>760.27289284569531</v>
      </c>
      <c r="Z192" s="22">
        <v>155.87605607286082</v>
      </c>
      <c r="AA192" s="371">
        <v>6629.7706994896489</v>
      </c>
      <c r="AB192" s="22">
        <v>0.13818712447914377</v>
      </c>
      <c r="AC192" s="24">
        <v>3.1871244791437658E-3</v>
      </c>
      <c r="AD192" s="384">
        <v>-187350.17522212729</v>
      </c>
    </row>
    <row r="193" spans="1:30">
      <c r="A193" s="21" t="s">
        <v>287</v>
      </c>
      <c r="B193" s="21" t="s">
        <v>288</v>
      </c>
      <c r="C193" s="23">
        <v>219.03100008173604</v>
      </c>
      <c r="D193" s="147">
        <v>9.9660110689164547</v>
      </c>
      <c r="E193" s="22">
        <v>98.473441359061482</v>
      </c>
      <c r="F193" s="22">
        <v>108.43945242797794</v>
      </c>
      <c r="G193" s="22">
        <v>0</v>
      </c>
      <c r="H193" s="22">
        <v>13.113701749613579</v>
      </c>
      <c r="I193" s="22">
        <v>1.0056519746636181</v>
      </c>
      <c r="J193" s="22">
        <v>0</v>
      </c>
      <c r="K193" s="22">
        <v>0.80452157973089455</v>
      </c>
      <c r="L193" s="22">
        <v>0</v>
      </c>
      <c r="M193" s="388">
        <v>796.19478138067984</v>
      </c>
      <c r="N193" s="25">
        <v>0.57830000000000004</v>
      </c>
      <c r="O193" s="24">
        <v>805.52723170555805</v>
      </c>
      <c r="P193" s="24">
        <v>20.113039493272364</v>
      </c>
      <c r="Q193" s="24">
        <v>7.7938028036430405</v>
      </c>
      <c r="R193" s="22">
        <v>12.319236689629323</v>
      </c>
      <c r="S193" s="24">
        <v>6.0339118479817087</v>
      </c>
      <c r="T193" s="24">
        <f t="shared" si="10"/>
        <v>26.146951341254073</v>
      </c>
      <c r="U193" s="376">
        <v>460.44</v>
      </c>
      <c r="V193" s="376">
        <v>39.81</v>
      </c>
      <c r="W193" s="22">
        <f t="shared" si="11"/>
        <v>266.27245199999999</v>
      </c>
      <c r="X193" s="22">
        <f t="shared" si="12"/>
        <v>139.0313854972452</v>
      </c>
      <c r="Y193" s="22">
        <v>82.463461922416684</v>
      </c>
      <c r="Z193" s="22">
        <v>56.567923574828519</v>
      </c>
      <c r="AA193" s="371">
        <v>799.28213294289696</v>
      </c>
      <c r="AB193" s="22">
        <v>0.17394531888926634</v>
      </c>
      <c r="AC193" s="24">
        <v>3.8945318889266334E-2</v>
      </c>
      <c r="AD193" s="384">
        <v>-285487.94163528574</v>
      </c>
    </row>
    <row r="194" spans="1:30">
      <c r="A194" s="21" t="s">
        <v>483</v>
      </c>
      <c r="B194" s="21" t="s">
        <v>484</v>
      </c>
      <c r="C194" s="23">
        <v>21.4</v>
      </c>
      <c r="D194" s="147">
        <v>0</v>
      </c>
      <c r="E194" s="22">
        <v>0</v>
      </c>
      <c r="F194" s="22">
        <v>0</v>
      </c>
      <c r="G194" s="22">
        <v>0</v>
      </c>
      <c r="H194" s="22">
        <v>0</v>
      </c>
      <c r="I194" s="22">
        <v>0</v>
      </c>
      <c r="J194" s="22">
        <v>0</v>
      </c>
      <c r="K194" s="22">
        <v>0</v>
      </c>
      <c r="L194" s="22">
        <v>0</v>
      </c>
      <c r="M194" s="388">
        <v>48.8</v>
      </c>
      <c r="N194" s="25">
        <v>0.77080000000000004</v>
      </c>
      <c r="O194" s="24">
        <v>48</v>
      </c>
      <c r="P194" s="24">
        <v>0</v>
      </c>
      <c r="Q194" s="24">
        <v>0</v>
      </c>
      <c r="R194" s="22">
        <v>0</v>
      </c>
      <c r="S194" s="24">
        <v>0</v>
      </c>
      <c r="T194" s="24">
        <f t="shared" si="10"/>
        <v>0</v>
      </c>
      <c r="U194" s="376">
        <v>37.619999999999997</v>
      </c>
      <c r="V194" s="376">
        <v>2.44</v>
      </c>
      <c r="W194" s="22">
        <f t="shared" si="11"/>
        <v>28.997495999999998</v>
      </c>
      <c r="X194" s="22">
        <f t="shared" si="12"/>
        <v>5.5</v>
      </c>
      <c r="Y194" s="22">
        <v>5.5</v>
      </c>
      <c r="Z194" s="22">
        <v>0</v>
      </c>
      <c r="AA194" s="371">
        <v>48.8</v>
      </c>
      <c r="AB194" s="22">
        <v>0.11270491803278689</v>
      </c>
      <c r="AC194" s="24">
        <v>0</v>
      </c>
      <c r="AD194" s="384">
        <v>0</v>
      </c>
    </row>
    <row r="195" spans="1:30">
      <c r="A195" s="21" t="s">
        <v>395</v>
      </c>
      <c r="B195" s="21" t="s">
        <v>396</v>
      </c>
      <c r="C195" s="23">
        <v>110.26973902186573</v>
      </c>
      <c r="D195" s="147">
        <v>0</v>
      </c>
      <c r="E195" s="22">
        <v>11.84658026153742</v>
      </c>
      <c r="F195" s="22">
        <v>11.84658026153742</v>
      </c>
      <c r="G195" s="22">
        <v>0</v>
      </c>
      <c r="H195" s="22">
        <v>0</v>
      </c>
      <c r="I195" s="22">
        <v>0</v>
      </c>
      <c r="J195" s="22">
        <v>315.58364616918999</v>
      </c>
      <c r="K195" s="22">
        <v>0</v>
      </c>
      <c r="L195" s="22">
        <v>0</v>
      </c>
      <c r="M195" s="388">
        <v>727.43835587292813</v>
      </c>
      <c r="N195" s="25">
        <v>0.30020000000000002</v>
      </c>
      <c r="O195" s="24">
        <v>0</v>
      </c>
      <c r="P195" s="24">
        <v>35.197819113226636</v>
      </c>
      <c r="Q195" s="24">
        <v>21.118691467935982</v>
      </c>
      <c r="R195" s="22">
        <v>14.079127645290654</v>
      </c>
      <c r="S195" s="24">
        <v>2.0113039493272362</v>
      </c>
      <c r="T195" s="24">
        <f t="shared" si="10"/>
        <v>37.209123062553871</v>
      </c>
      <c r="U195" s="376">
        <v>218.38</v>
      </c>
      <c r="V195" s="376">
        <v>36.369999999999997</v>
      </c>
      <c r="W195" s="22">
        <f t="shared" si="11"/>
        <v>65.557676000000001</v>
      </c>
      <c r="X195" s="22">
        <f t="shared" si="12"/>
        <v>79.697918992091729</v>
      </c>
      <c r="Y195" s="22">
        <v>71.401290201116879</v>
      </c>
      <c r="Z195" s="22">
        <v>8.2966287909748502</v>
      </c>
      <c r="AA195" s="371">
        <v>727.4282993531815</v>
      </c>
      <c r="AB195" s="22">
        <v>0.10956120220090138</v>
      </c>
      <c r="AC195" s="24">
        <v>0</v>
      </c>
      <c r="AD195" s="384">
        <v>0</v>
      </c>
    </row>
    <row r="196" spans="1:30">
      <c r="A196" s="21" t="s">
        <v>453</v>
      </c>
      <c r="B196" s="21" t="s">
        <v>454</v>
      </c>
      <c r="C196" s="23">
        <v>46</v>
      </c>
      <c r="D196" s="147">
        <v>0</v>
      </c>
      <c r="E196" s="22">
        <v>0</v>
      </c>
      <c r="F196" s="22">
        <v>0</v>
      </c>
      <c r="G196" s="22">
        <v>0</v>
      </c>
      <c r="H196" s="22">
        <v>0</v>
      </c>
      <c r="I196" s="22">
        <v>0</v>
      </c>
      <c r="J196" s="22">
        <v>0</v>
      </c>
      <c r="K196" s="22">
        <v>0</v>
      </c>
      <c r="L196" s="22">
        <v>0</v>
      </c>
      <c r="M196" s="388">
        <v>68.400000000000006</v>
      </c>
      <c r="N196" s="25">
        <v>0.15579999999999999</v>
      </c>
      <c r="O196" s="24">
        <v>0</v>
      </c>
      <c r="P196" s="24">
        <v>0</v>
      </c>
      <c r="Q196" s="24">
        <v>0</v>
      </c>
      <c r="R196" s="22">
        <v>0</v>
      </c>
      <c r="S196" s="24">
        <v>0</v>
      </c>
      <c r="T196" s="24">
        <f t="shared" si="10"/>
        <v>0</v>
      </c>
      <c r="U196" s="376">
        <v>10.66</v>
      </c>
      <c r="V196" s="376">
        <v>0</v>
      </c>
      <c r="W196" s="22">
        <f t="shared" si="11"/>
        <v>1.660828</v>
      </c>
      <c r="X196" s="22">
        <f t="shared" si="12"/>
        <v>4</v>
      </c>
      <c r="Y196" s="22">
        <v>0</v>
      </c>
      <c r="Z196" s="22">
        <v>4</v>
      </c>
      <c r="AA196" s="371">
        <v>68.400000000000006</v>
      </c>
      <c r="AB196" s="22">
        <v>5.8479532163742687E-2</v>
      </c>
      <c r="AC196" s="24">
        <v>0</v>
      </c>
      <c r="AD196" s="384">
        <v>0</v>
      </c>
    </row>
    <row r="197" spans="1:30">
      <c r="A197" s="21" t="s">
        <v>105</v>
      </c>
      <c r="B197" s="21" t="s">
        <v>106</v>
      </c>
      <c r="C197" s="23">
        <v>16.8</v>
      </c>
      <c r="D197" s="147">
        <v>0</v>
      </c>
      <c r="E197" s="22">
        <v>0</v>
      </c>
      <c r="F197" s="22">
        <v>0</v>
      </c>
      <c r="G197" s="22">
        <v>0</v>
      </c>
      <c r="H197" s="22">
        <v>0</v>
      </c>
      <c r="I197" s="22">
        <v>0</v>
      </c>
      <c r="J197" s="22">
        <v>0</v>
      </c>
      <c r="K197" s="22">
        <v>0</v>
      </c>
      <c r="L197" s="22">
        <v>0</v>
      </c>
      <c r="M197" s="388">
        <v>33.4</v>
      </c>
      <c r="N197" s="25">
        <v>0.71879999999999999</v>
      </c>
      <c r="O197" s="24">
        <v>32</v>
      </c>
      <c r="P197" s="24">
        <v>0</v>
      </c>
      <c r="Q197" s="24">
        <v>0</v>
      </c>
      <c r="R197" s="22">
        <v>0</v>
      </c>
      <c r="S197" s="24">
        <v>0</v>
      </c>
      <c r="T197" s="24">
        <f t="shared" si="10"/>
        <v>0</v>
      </c>
      <c r="U197" s="376">
        <v>24.01</v>
      </c>
      <c r="V197" s="376">
        <v>1.67</v>
      </c>
      <c r="W197" s="22">
        <f t="shared" si="11"/>
        <v>17.258388</v>
      </c>
      <c r="X197" s="22">
        <f t="shared" si="12"/>
        <v>6.25</v>
      </c>
      <c r="Y197" s="22">
        <v>6.25</v>
      </c>
      <c r="Z197" s="22">
        <v>0</v>
      </c>
      <c r="AA197" s="371">
        <v>33.4</v>
      </c>
      <c r="AB197" s="22">
        <v>0.18712574850299402</v>
      </c>
      <c r="AC197" s="24">
        <v>5.2125748502994007E-2</v>
      </c>
      <c r="AD197" s="384">
        <v>-17250.060211751766</v>
      </c>
    </row>
    <row r="198" spans="1:30">
      <c r="A198" s="21" t="s">
        <v>89</v>
      </c>
      <c r="B198" s="21" t="s">
        <v>90</v>
      </c>
      <c r="C198" s="23">
        <v>57.724423345691676</v>
      </c>
      <c r="D198" s="147">
        <v>1.44813884351561</v>
      </c>
      <c r="E198" s="22">
        <v>0</v>
      </c>
      <c r="F198" s="22">
        <v>1.44813884351561</v>
      </c>
      <c r="G198" s="22">
        <v>0</v>
      </c>
      <c r="H198" s="22">
        <v>0</v>
      </c>
      <c r="I198" s="22">
        <v>0</v>
      </c>
      <c r="J198" s="22">
        <v>0</v>
      </c>
      <c r="K198" s="22">
        <v>0</v>
      </c>
      <c r="L198" s="22">
        <v>0</v>
      </c>
      <c r="M198" s="388">
        <v>138.86042466155237</v>
      </c>
      <c r="N198" s="25">
        <v>0.89300000000000002</v>
      </c>
      <c r="O198" s="24">
        <v>139.78562447824291</v>
      </c>
      <c r="P198" s="24">
        <v>59.333466505153467</v>
      </c>
      <c r="Q198" s="24">
        <v>50.031185739515003</v>
      </c>
      <c r="R198" s="22">
        <v>9.3022807656384678</v>
      </c>
      <c r="S198" s="24">
        <v>15.084779619954272</v>
      </c>
      <c r="T198" s="24">
        <f t="shared" si="10"/>
        <v>74.418246125107743</v>
      </c>
      <c r="U198" s="376">
        <v>124</v>
      </c>
      <c r="V198" s="376">
        <v>6.94</v>
      </c>
      <c r="W198" s="22">
        <f t="shared" si="11"/>
        <v>110.732</v>
      </c>
      <c r="X198" s="22">
        <f t="shared" si="12"/>
        <v>14.833366626288367</v>
      </c>
      <c r="Y198" s="22">
        <v>12.067823695963417</v>
      </c>
      <c r="Z198" s="22">
        <v>2.7655429303249499</v>
      </c>
      <c r="AA198" s="371">
        <v>138.8604246615524</v>
      </c>
      <c r="AB198" s="22">
        <v>0.10682213209733486</v>
      </c>
      <c r="AC198" s="24">
        <v>0</v>
      </c>
      <c r="AD198" s="384">
        <v>0</v>
      </c>
    </row>
    <row r="199" spans="1:30">
      <c r="A199" s="21" t="s">
        <v>341</v>
      </c>
      <c r="B199" s="21" t="s">
        <v>342</v>
      </c>
      <c r="C199" s="23">
        <v>144.4518496406821</v>
      </c>
      <c r="D199" s="147">
        <v>5.1992207090109055</v>
      </c>
      <c r="E199" s="22">
        <v>23.763556161301295</v>
      </c>
      <c r="F199" s="22">
        <v>28.962776870312201</v>
      </c>
      <c r="G199" s="22">
        <v>0</v>
      </c>
      <c r="H199" s="22">
        <v>13.395284302519393</v>
      </c>
      <c r="I199" s="22">
        <v>0.90508677719725628</v>
      </c>
      <c r="J199" s="22">
        <v>15.487040409819718</v>
      </c>
      <c r="K199" s="22">
        <v>0</v>
      </c>
      <c r="L199" s="22">
        <v>0</v>
      </c>
      <c r="M199" s="388">
        <v>520.75676204006129</v>
      </c>
      <c r="N199" s="25">
        <v>0.74</v>
      </c>
      <c r="O199" s="24">
        <v>525.95598274907229</v>
      </c>
      <c r="P199" s="24">
        <v>64.864552365803362</v>
      </c>
      <c r="Q199" s="24">
        <v>41.483143954874244</v>
      </c>
      <c r="R199" s="22">
        <v>23.381408410929122</v>
      </c>
      <c r="S199" s="24">
        <v>12.067823695963417</v>
      </c>
      <c r="T199" s="24">
        <f t="shared" si="10"/>
        <v>76.932376061766774</v>
      </c>
      <c r="U199" s="376">
        <v>384.32</v>
      </c>
      <c r="V199" s="376">
        <v>0</v>
      </c>
      <c r="W199" s="22">
        <f t="shared" si="11"/>
        <v>284.39679999999998</v>
      </c>
      <c r="X199" s="22">
        <f t="shared" si="12"/>
        <v>65.618791346801089</v>
      </c>
      <c r="Y199" s="22">
        <v>50.031185739515003</v>
      </c>
      <c r="Z199" s="22">
        <v>15.587605607286081</v>
      </c>
      <c r="AA199" s="371">
        <v>520.74670552031478</v>
      </c>
      <c r="AB199" s="22">
        <v>0.12600903788961415</v>
      </c>
      <c r="AC199" s="24">
        <v>0</v>
      </c>
      <c r="AD199" s="384">
        <v>0</v>
      </c>
    </row>
    <row r="200" spans="1:30">
      <c r="A200" s="21" t="s">
        <v>375</v>
      </c>
      <c r="B200" s="21" t="s">
        <v>376</v>
      </c>
      <c r="C200" s="23">
        <v>724.68286946234991</v>
      </c>
      <c r="D200" s="147">
        <v>54.335376191075291</v>
      </c>
      <c r="E200" s="22">
        <v>225.08502496921099</v>
      </c>
      <c r="F200" s="22">
        <v>279.4204011602863</v>
      </c>
      <c r="G200" s="22">
        <v>0</v>
      </c>
      <c r="H200" s="22">
        <v>55.381254244725447</v>
      </c>
      <c r="I200" s="22">
        <v>2.3431691009662301</v>
      </c>
      <c r="J200" s="22">
        <v>21.792478290960602</v>
      </c>
      <c r="K200" s="22">
        <v>4.6259990834526432</v>
      </c>
      <c r="L200" s="22">
        <v>0</v>
      </c>
      <c r="M200" s="388">
        <v>2618.8887028597546</v>
      </c>
      <c r="N200" s="25">
        <v>0.31490000000000001</v>
      </c>
      <c r="O200" s="24">
        <v>0</v>
      </c>
      <c r="P200" s="24">
        <v>68.887160264457833</v>
      </c>
      <c r="Q200" s="24">
        <v>48.271294783853669</v>
      </c>
      <c r="R200" s="22">
        <v>20.615865480604171</v>
      </c>
      <c r="S200" s="24">
        <v>7.0395638226453272</v>
      </c>
      <c r="T200" s="24">
        <f t="shared" si="10"/>
        <v>75.926724087103167</v>
      </c>
      <c r="U200" s="376">
        <v>824.69</v>
      </c>
      <c r="V200" s="376">
        <v>130.94</v>
      </c>
      <c r="W200" s="22">
        <f t="shared" si="11"/>
        <v>259.69488100000001</v>
      </c>
      <c r="X200" s="22">
        <f t="shared" si="12"/>
        <v>390.94720515048152</v>
      </c>
      <c r="Y200" s="22">
        <v>211.68974066669162</v>
      </c>
      <c r="Z200" s="22">
        <v>179.25746448378993</v>
      </c>
      <c r="AA200" s="371">
        <v>2631.6705394577289</v>
      </c>
      <c r="AB200" s="22">
        <v>0.1485547675094005</v>
      </c>
      <c r="AC200" s="24">
        <v>1.3554767509400489E-2</v>
      </c>
      <c r="AD200" s="384">
        <v>-341011.93490495172</v>
      </c>
    </row>
    <row r="201" spans="1:30">
      <c r="A201" s="21" t="s">
        <v>7</v>
      </c>
      <c r="B201" s="21" t="s">
        <v>8</v>
      </c>
      <c r="C201" s="23">
        <v>1306.5531020027192</v>
      </c>
      <c r="D201" s="147">
        <v>20.696317638577259</v>
      </c>
      <c r="E201" s="22">
        <v>242.46269109139831</v>
      </c>
      <c r="F201" s="22">
        <v>263.1590087299756</v>
      </c>
      <c r="G201" s="22">
        <v>0</v>
      </c>
      <c r="H201" s="22">
        <v>60.278779361337264</v>
      </c>
      <c r="I201" s="22">
        <v>6.6373030327798794</v>
      </c>
      <c r="J201" s="22">
        <v>12.399688847602411</v>
      </c>
      <c r="K201" s="22">
        <v>20.11303949327236</v>
      </c>
      <c r="L201" s="22">
        <v>0</v>
      </c>
      <c r="M201" s="388">
        <v>4486.5855502050254</v>
      </c>
      <c r="N201" s="25">
        <v>0.81569999999999998</v>
      </c>
      <c r="O201" s="24">
        <v>4525.4338859862819</v>
      </c>
      <c r="P201" s="24">
        <v>1779.2497561736063</v>
      </c>
      <c r="Q201" s="24">
        <v>1157.2540098441586</v>
      </c>
      <c r="R201" s="22">
        <v>621.9957463294478</v>
      </c>
      <c r="S201" s="24">
        <v>276.05146704516318</v>
      </c>
      <c r="T201" s="24">
        <f t="shared" ref="T201:T264" si="13">S201+P201</f>
        <v>2055.3012232187693</v>
      </c>
      <c r="U201" s="376">
        <v>3659.71</v>
      </c>
      <c r="V201" s="376">
        <v>224.33</v>
      </c>
      <c r="W201" s="22">
        <f t="shared" ref="W201:W264" si="14">U201*N201</f>
        <v>2985.2254469999998</v>
      </c>
      <c r="X201" s="22">
        <f t="shared" ref="X201:X264" si="15">Y201+Z201</f>
        <v>570.95890861526914</v>
      </c>
      <c r="Y201" s="22">
        <v>379.38220744184991</v>
      </c>
      <c r="Z201" s="22">
        <v>191.57670117341925</v>
      </c>
      <c r="AA201" s="371">
        <v>4508.1869546208009</v>
      </c>
      <c r="AB201" s="22">
        <v>0.12664934137881034</v>
      </c>
      <c r="AC201" s="24">
        <v>0</v>
      </c>
      <c r="AD201" s="384">
        <v>0</v>
      </c>
    </row>
    <row r="202" spans="1:30">
      <c r="A202" s="21" t="s">
        <v>93</v>
      </c>
      <c r="B202" s="21" t="s">
        <v>94</v>
      </c>
      <c r="C202" s="23">
        <v>12</v>
      </c>
      <c r="D202" s="147">
        <v>0</v>
      </c>
      <c r="E202" s="22">
        <v>0</v>
      </c>
      <c r="F202" s="22">
        <v>0</v>
      </c>
      <c r="G202" s="22">
        <v>0</v>
      </c>
      <c r="H202" s="22">
        <v>0</v>
      </c>
      <c r="I202" s="22">
        <v>0</v>
      </c>
      <c r="J202" s="22">
        <v>0</v>
      </c>
      <c r="K202" s="22">
        <v>0</v>
      </c>
      <c r="L202" s="22">
        <v>0</v>
      </c>
      <c r="M202" s="388">
        <v>22</v>
      </c>
      <c r="N202" s="25">
        <v>0.91300000000000003</v>
      </c>
      <c r="O202" s="24">
        <v>22</v>
      </c>
      <c r="P202" s="24">
        <v>8.25</v>
      </c>
      <c r="Q202" s="24">
        <v>8.25</v>
      </c>
      <c r="R202" s="22">
        <v>0</v>
      </c>
      <c r="S202" s="24">
        <v>3</v>
      </c>
      <c r="T202" s="24">
        <f t="shared" si="13"/>
        <v>11.25</v>
      </c>
      <c r="U202" s="376">
        <v>20.09</v>
      </c>
      <c r="V202" s="376">
        <v>0</v>
      </c>
      <c r="W202" s="22">
        <f t="shared" si="14"/>
        <v>18.342169999999999</v>
      </c>
      <c r="X202" s="22">
        <f t="shared" si="15"/>
        <v>4</v>
      </c>
      <c r="Y202" s="22">
        <v>4</v>
      </c>
      <c r="Z202" s="22">
        <v>0</v>
      </c>
      <c r="AA202" s="371">
        <v>22</v>
      </c>
      <c r="AB202" s="22">
        <v>0.18181818181818182</v>
      </c>
      <c r="AC202" s="24">
        <v>4.6818181818181814E-2</v>
      </c>
      <c r="AD202" s="384">
        <v>-10106.218762887826</v>
      </c>
    </row>
    <row r="203" spans="1:30">
      <c r="A203" s="21" t="s">
        <v>565</v>
      </c>
      <c r="B203" s="21" t="s">
        <v>566</v>
      </c>
      <c r="C203" s="23">
        <v>49.37751195598365</v>
      </c>
      <c r="D203" s="147">
        <v>0</v>
      </c>
      <c r="E203" s="22">
        <v>9.6542589567707342</v>
      </c>
      <c r="F203" s="22">
        <v>9.6542589567707342</v>
      </c>
      <c r="G203" s="22">
        <v>0</v>
      </c>
      <c r="H203" s="22">
        <v>1.7598909556613318</v>
      </c>
      <c r="I203" s="22">
        <v>0</v>
      </c>
      <c r="J203" s="22">
        <v>0</v>
      </c>
      <c r="K203" s="22">
        <v>0</v>
      </c>
      <c r="L203" s="22">
        <v>0</v>
      </c>
      <c r="M203" s="388">
        <v>153.75413040632057</v>
      </c>
      <c r="N203" s="25">
        <v>0.36420000000000002</v>
      </c>
      <c r="O203" s="24">
        <v>0</v>
      </c>
      <c r="P203" s="24">
        <v>0</v>
      </c>
      <c r="Q203" s="24">
        <v>0</v>
      </c>
      <c r="R203" s="22">
        <v>0</v>
      </c>
      <c r="S203" s="24">
        <v>0</v>
      </c>
      <c r="T203" s="24">
        <f t="shared" si="13"/>
        <v>0</v>
      </c>
      <c r="U203" s="376">
        <v>56</v>
      </c>
      <c r="V203" s="376">
        <v>0</v>
      </c>
      <c r="W203" s="22">
        <f t="shared" si="14"/>
        <v>20.395200000000003</v>
      </c>
      <c r="X203" s="22">
        <f t="shared" si="15"/>
        <v>18.604561531276936</v>
      </c>
      <c r="Y203" s="22">
        <v>14.581953632622463</v>
      </c>
      <c r="Z203" s="22">
        <v>4.0226078986544724</v>
      </c>
      <c r="AA203" s="371">
        <v>153.75413040632057</v>
      </c>
      <c r="AB203" s="22">
        <v>0.1210020276015436</v>
      </c>
      <c r="AC203" s="24">
        <v>0</v>
      </c>
      <c r="AD203" s="384">
        <v>0</v>
      </c>
    </row>
    <row r="204" spans="1:30">
      <c r="A204" s="21" t="s">
        <v>111</v>
      </c>
      <c r="B204" s="21" t="s">
        <v>112</v>
      </c>
      <c r="C204" s="23">
        <v>5337.869946757779</v>
      </c>
      <c r="D204" s="147">
        <v>160.74341163023271</v>
      </c>
      <c r="E204" s="22">
        <v>1037.1791640693225</v>
      </c>
      <c r="F204" s="22">
        <v>1197.9225756995552</v>
      </c>
      <c r="G204" s="22">
        <v>0</v>
      </c>
      <c r="H204" s="22">
        <v>350.51999576900408</v>
      </c>
      <c r="I204" s="22">
        <v>15.436757811086538</v>
      </c>
      <c r="J204" s="22">
        <v>224.84366849529175</v>
      </c>
      <c r="K204" s="22">
        <v>21.410330540588429</v>
      </c>
      <c r="L204" s="22">
        <v>0</v>
      </c>
      <c r="M204" s="388">
        <v>18193.782869186089</v>
      </c>
      <c r="N204" s="25">
        <v>0.73440000000000005</v>
      </c>
      <c r="O204" s="24">
        <v>16866.794919058204</v>
      </c>
      <c r="P204" s="24">
        <v>6364.268521658707</v>
      </c>
      <c r="Q204" s="24">
        <v>3461.2026837985077</v>
      </c>
      <c r="R204" s="22">
        <v>2903.0658378601997</v>
      </c>
      <c r="S204" s="24">
        <v>803.01310176889911</v>
      </c>
      <c r="T204" s="24">
        <f t="shared" si="13"/>
        <v>7167.2816234276061</v>
      </c>
      <c r="U204" s="376">
        <v>13361.51</v>
      </c>
      <c r="V204" s="376">
        <v>909.69</v>
      </c>
      <c r="W204" s="22">
        <f t="shared" si="14"/>
        <v>9812.6929440000004</v>
      </c>
      <c r="X204" s="22">
        <f t="shared" si="15"/>
        <v>2270.259332803118</v>
      </c>
      <c r="Y204" s="22">
        <v>1193.2060679383828</v>
      </c>
      <c r="Z204" s="22">
        <v>1077.053264864735</v>
      </c>
      <c r="AA204" s="371">
        <v>18308.789229008617</v>
      </c>
      <c r="AB204" s="22">
        <v>0.12399833240780871</v>
      </c>
      <c r="AC204" s="24">
        <v>0</v>
      </c>
      <c r="AD204" s="384">
        <v>0</v>
      </c>
    </row>
    <row r="205" spans="1:30">
      <c r="A205" s="21" t="s">
        <v>335</v>
      </c>
      <c r="B205" s="21" t="s">
        <v>336</v>
      </c>
      <c r="C205" s="23">
        <v>75.444011139264632</v>
      </c>
      <c r="D205" s="147">
        <v>0</v>
      </c>
      <c r="E205" s="22">
        <v>11.303528195219068</v>
      </c>
      <c r="F205" s="22">
        <v>11.303528195219068</v>
      </c>
      <c r="G205" s="22">
        <v>0</v>
      </c>
      <c r="H205" s="22">
        <v>8.2161766330017603</v>
      </c>
      <c r="I205" s="22">
        <v>0.59333466505153465</v>
      </c>
      <c r="J205" s="22">
        <v>7.602728928456953</v>
      </c>
      <c r="K205" s="22">
        <v>0</v>
      </c>
      <c r="L205" s="22">
        <v>0</v>
      </c>
      <c r="M205" s="388">
        <v>296.66733252576734</v>
      </c>
      <c r="N205" s="25">
        <v>0.72289999999999999</v>
      </c>
      <c r="O205" s="24">
        <v>277.5599450071586</v>
      </c>
      <c r="P205" s="24">
        <v>32.180863189235779</v>
      </c>
      <c r="Q205" s="24">
        <v>20.11303949327236</v>
      </c>
      <c r="R205" s="22">
        <v>12.067823695963417</v>
      </c>
      <c r="S205" s="24">
        <v>12.067823695963417</v>
      </c>
      <c r="T205" s="24">
        <f t="shared" si="13"/>
        <v>44.248686885199199</v>
      </c>
      <c r="U205" s="376">
        <v>214.46</v>
      </c>
      <c r="V205" s="376">
        <v>14.83</v>
      </c>
      <c r="W205" s="22">
        <f t="shared" si="14"/>
        <v>155.03313399999999</v>
      </c>
      <c r="X205" s="22">
        <f t="shared" si="15"/>
        <v>41.734556948540153</v>
      </c>
      <c r="Y205" s="22">
        <v>31.426624208238067</v>
      </c>
      <c r="Z205" s="22">
        <v>10.307932740302086</v>
      </c>
      <c r="AA205" s="371">
        <v>296.65727600602071</v>
      </c>
      <c r="AB205" s="22">
        <v>0.14068273500796638</v>
      </c>
      <c r="AC205" s="24">
        <v>5.6827350079663719E-3</v>
      </c>
      <c r="AD205" s="384">
        <v>-15723.439390870042</v>
      </c>
    </row>
    <row r="206" spans="1:30">
      <c r="A206" s="21" t="s">
        <v>19</v>
      </c>
      <c r="B206" s="21" t="s">
        <v>20</v>
      </c>
      <c r="C206" s="23">
        <v>58.327814530489853</v>
      </c>
      <c r="D206" s="147">
        <v>0</v>
      </c>
      <c r="E206" s="22">
        <v>0</v>
      </c>
      <c r="F206" s="22">
        <v>0</v>
      </c>
      <c r="G206" s="22">
        <v>0</v>
      </c>
      <c r="H206" s="22">
        <v>0</v>
      </c>
      <c r="I206" s="22">
        <v>0</v>
      </c>
      <c r="J206" s="22">
        <v>0</v>
      </c>
      <c r="K206" s="22">
        <v>0</v>
      </c>
      <c r="L206" s="22">
        <v>0</v>
      </c>
      <c r="M206" s="388">
        <v>142.19918921743562</v>
      </c>
      <c r="N206" s="25">
        <v>1</v>
      </c>
      <c r="O206" s="24">
        <v>142.80258040223376</v>
      </c>
      <c r="P206" s="24">
        <v>25.644125353922263</v>
      </c>
      <c r="Q206" s="24">
        <v>20.364452486938266</v>
      </c>
      <c r="R206" s="22">
        <v>5.2796728669839954</v>
      </c>
      <c r="S206" s="24">
        <v>11.0621717212998</v>
      </c>
      <c r="T206" s="24">
        <f t="shared" si="13"/>
        <v>36.706297075222061</v>
      </c>
      <c r="U206" s="376">
        <v>142.19999999999999</v>
      </c>
      <c r="V206" s="376">
        <v>0</v>
      </c>
      <c r="W206" s="22">
        <f t="shared" si="14"/>
        <v>142.19999999999999</v>
      </c>
      <c r="X206" s="22">
        <f t="shared" si="15"/>
        <v>22.878582423597312</v>
      </c>
      <c r="Y206" s="22">
        <v>22.878582423597312</v>
      </c>
      <c r="Z206" s="22">
        <v>0</v>
      </c>
      <c r="AA206" s="371">
        <v>142.19918921743562</v>
      </c>
      <c r="AB206" s="22">
        <v>0.16089108910891087</v>
      </c>
      <c r="AC206" s="24">
        <v>2.5891089108910859E-2</v>
      </c>
      <c r="AD206" s="384">
        <v>-34738.574239986177</v>
      </c>
    </row>
    <row r="207" spans="1:30">
      <c r="A207" s="21" t="s">
        <v>289</v>
      </c>
      <c r="B207" s="21" t="s">
        <v>290</v>
      </c>
      <c r="C207" s="23">
        <v>76.831810864300422</v>
      </c>
      <c r="D207" s="147">
        <v>6.325550920634158</v>
      </c>
      <c r="E207" s="22">
        <v>15.225570896407179</v>
      </c>
      <c r="F207" s="22">
        <v>21.551121817041338</v>
      </c>
      <c r="G207" s="22">
        <v>0</v>
      </c>
      <c r="H207" s="22">
        <v>2.7554864105783139</v>
      </c>
      <c r="I207" s="22">
        <v>0.27152603315917689</v>
      </c>
      <c r="J207" s="22">
        <v>0</v>
      </c>
      <c r="K207" s="22">
        <v>0</v>
      </c>
      <c r="L207" s="22">
        <v>0</v>
      </c>
      <c r="M207" s="388">
        <v>249.3514071178441</v>
      </c>
      <c r="N207" s="25">
        <v>0.59130000000000005</v>
      </c>
      <c r="O207" s="24">
        <v>253.42429761523175</v>
      </c>
      <c r="P207" s="24">
        <v>0</v>
      </c>
      <c r="Q207" s="24">
        <v>0</v>
      </c>
      <c r="R207" s="22">
        <v>0</v>
      </c>
      <c r="S207" s="24">
        <v>0</v>
      </c>
      <c r="T207" s="24">
        <f t="shared" si="13"/>
        <v>0</v>
      </c>
      <c r="U207" s="376">
        <v>147.44</v>
      </c>
      <c r="V207" s="376">
        <v>12.47</v>
      </c>
      <c r="W207" s="22">
        <f t="shared" si="14"/>
        <v>87.181272000000007</v>
      </c>
      <c r="X207" s="22">
        <f t="shared" si="15"/>
        <v>47.51705580285595</v>
      </c>
      <c r="Y207" s="22">
        <v>29.666733252576734</v>
      </c>
      <c r="Z207" s="22">
        <v>17.85032255027922</v>
      </c>
      <c r="AA207" s="371">
        <v>249.3514071178441</v>
      </c>
      <c r="AB207" s="22">
        <v>0.19056261343012701</v>
      </c>
      <c r="AC207" s="24">
        <v>5.5562613430127E-2</v>
      </c>
      <c r="AD207" s="384">
        <v>-130782.34207394127</v>
      </c>
    </row>
    <row r="208" spans="1:30">
      <c r="A208" s="21" t="s">
        <v>379</v>
      </c>
      <c r="B208" s="21" t="s">
        <v>380</v>
      </c>
      <c r="C208" s="23">
        <v>2384.3706623681983</v>
      </c>
      <c r="D208" s="147">
        <v>82.875779232028762</v>
      </c>
      <c r="E208" s="22">
        <v>474.83869287692056</v>
      </c>
      <c r="F208" s="22">
        <v>557.71447210894928</v>
      </c>
      <c r="G208" s="22">
        <v>0</v>
      </c>
      <c r="H208" s="22">
        <v>357.14724228203733</v>
      </c>
      <c r="I208" s="22">
        <v>13.767375533144932</v>
      </c>
      <c r="J208" s="22">
        <v>178.01045603520703</v>
      </c>
      <c r="K208" s="22">
        <v>10.951550004086801</v>
      </c>
      <c r="L208" s="22">
        <v>3.2884819571500312</v>
      </c>
      <c r="M208" s="388">
        <v>8660.996614434971</v>
      </c>
      <c r="N208" s="25">
        <v>0.2082</v>
      </c>
      <c r="O208" s="24">
        <v>229.28865022330493</v>
      </c>
      <c r="P208" s="24">
        <v>198.86767798973051</v>
      </c>
      <c r="Q208" s="24">
        <v>139.28279849091112</v>
      </c>
      <c r="R208" s="22">
        <v>59.584879498819376</v>
      </c>
      <c r="S208" s="24">
        <v>34.694993125894825</v>
      </c>
      <c r="T208" s="24">
        <f t="shared" si="13"/>
        <v>233.56267111562534</v>
      </c>
      <c r="U208" s="376">
        <v>1803.22</v>
      </c>
      <c r="V208" s="376">
        <v>433.05</v>
      </c>
      <c r="W208" s="22">
        <f t="shared" si="14"/>
        <v>375.43040400000001</v>
      </c>
      <c r="X208" s="22">
        <f t="shared" si="15"/>
        <v>1113.7595619399572</v>
      </c>
      <c r="Y208" s="22">
        <v>726.33213870079817</v>
      </c>
      <c r="Z208" s="22">
        <v>387.42742323915888</v>
      </c>
      <c r="AA208" s="371">
        <v>8720.0686114267119</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120.67823695963418</v>
      </c>
      <c r="N209" s="25">
        <v>0.43359999999999999</v>
      </c>
      <c r="O209" s="24">
        <v>0</v>
      </c>
      <c r="P209" s="24">
        <v>8.0452157973089449</v>
      </c>
      <c r="Q209" s="24">
        <v>5.0282598733180901</v>
      </c>
      <c r="R209" s="22">
        <v>3.0169559239908543</v>
      </c>
      <c r="S209" s="24">
        <v>0</v>
      </c>
      <c r="T209" s="24">
        <f t="shared" si="13"/>
        <v>8.0452157973089449</v>
      </c>
      <c r="U209" s="376">
        <v>51.26</v>
      </c>
      <c r="V209" s="376">
        <v>0</v>
      </c>
      <c r="W209" s="22">
        <f t="shared" si="14"/>
        <v>22.226336</v>
      </c>
      <c r="X209" s="22">
        <f t="shared" si="15"/>
        <v>16.291561989550612</v>
      </c>
      <c r="Y209" s="22">
        <v>16.291561989550612</v>
      </c>
      <c r="Z209" s="22">
        <v>0</v>
      </c>
      <c r="AA209" s="371">
        <v>120.67823695963418</v>
      </c>
      <c r="AB209" s="22">
        <v>0.13499999999999998</v>
      </c>
      <c r="AC209" s="24">
        <v>0</v>
      </c>
      <c r="AD209" s="384">
        <v>0</v>
      </c>
    </row>
    <row r="210" spans="1:30">
      <c r="A210" s="21" t="s">
        <v>321</v>
      </c>
      <c r="B210" s="21" t="s">
        <v>322</v>
      </c>
      <c r="C210" s="23">
        <v>299.25185810065284</v>
      </c>
      <c r="D210" s="147">
        <v>0</v>
      </c>
      <c r="E210" s="22">
        <v>0</v>
      </c>
      <c r="F210" s="22">
        <v>0</v>
      </c>
      <c r="G210" s="22">
        <v>0</v>
      </c>
      <c r="H210" s="22">
        <v>0</v>
      </c>
      <c r="I210" s="22">
        <v>0</v>
      </c>
      <c r="J210" s="22">
        <v>40.024948591612002</v>
      </c>
      <c r="K210" s="22">
        <v>0</v>
      </c>
      <c r="L210" s="22">
        <v>0</v>
      </c>
      <c r="M210" s="388">
        <v>693.50765824777761</v>
      </c>
      <c r="N210" s="25">
        <v>0.65090000000000003</v>
      </c>
      <c r="O210" s="24">
        <v>690.88290659390566</v>
      </c>
      <c r="P210" s="24">
        <v>31.929450195569874</v>
      </c>
      <c r="Q210" s="24">
        <v>18.101735543945125</v>
      </c>
      <c r="R210" s="22">
        <v>13.827714651624749</v>
      </c>
      <c r="S210" s="24">
        <v>4.5254338859862813</v>
      </c>
      <c r="T210" s="24">
        <f t="shared" si="13"/>
        <v>36.454884081556159</v>
      </c>
      <c r="U210" s="376">
        <v>451.4</v>
      </c>
      <c r="V210" s="376">
        <v>34.68</v>
      </c>
      <c r="W210" s="22">
        <f t="shared" si="14"/>
        <v>293.81626</v>
      </c>
      <c r="X210" s="22">
        <f t="shared" si="15"/>
        <v>100.06237147902999</v>
      </c>
      <c r="Y210" s="22">
        <v>88.748786764064292</v>
      </c>
      <c r="Z210" s="22">
        <v>11.313584714965703</v>
      </c>
      <c r="AA210" s="371">
        <v>693.4976017280311</v>
      </c>
      <c r="AB210" s="22">
        <v>0.14428654292343385</v>
      </c>
      <c r="AC210" s="24">
        <v>9.2865429234338381E-3</v>
      </c>
      <c r="AD210" s="384">
        <v>-61232.031276439506</v>
      </c>
    </row>
    <row r="211" spans="1:30">
      <c r="A211" s="21" t="s">
        <v>119</v>
      </c>
      <c r="B211" s="21" t="s">
        <v>120</v>
      </c>
      <c r="C211" s="23">
        <v>128.12006157214495</v>
      </c>
      <c r="D211" s="147">
        <v>13.254493026066486</v>
      </c>
      <c r="E211" s="22">
        <v>39.512066084533558</v>
      </c>
      <c r="F211" s="22">
        <v>52.766559110600042</v>
      </c>
      <c r="G211" s="22">
        <v>0</v>
      </c>
      <c r="H211" s="22">
        <v>1.226895409089614</v>
      </c>
      <c r="I211" s="22">
        <v>1.0861041326367076</v>
      </c>
      <c r="J211" s="22">
        <v>0</v>
      </c>
      <c r="K211" s="22">
        <v>0</v>
      </c>
      <c r="L211" s="22">
        <v>0</v>
      </c>
      <c r="M211" s="388">
        <v>357.34837267697003</v>
      </c>
      <c r="N211" s="25">
        <v>0.51839999999999997</v>
      </c>
      <c r="O211" s="24">
        <v>362.0347108789025</v>
      </c>
      <c r="P211" s="24">
        <v>3.0169559239908543</v>
      </c>
      <c r="Q211" s="24">
        <v>2.0113039493272362</v>
      </c>
      <c r="R211" s="22">
        <v>1.0056519746636181</v>
      </c>
      <c r="S211" s="24">
        <v>1.0056519746636181</v>
      </c>
      <c r="T211" s="24">
        <f t="shared" si="13"/>
        <v>4.0226078986544724</v>
      </c>
      <c r="U211" s="376">
        <v>185.25</v>
      </c>
      <c r="V211" s="376">
        <v>0</v>
      </c>
      <c r="W211" s="22">
        <f t="shared" si="14"/>
        <v>96.033599999999993</v>
      </c>
      <c r="X211" s="22">
        <f t="shared" si="15"/>
        <v>53.802380644503572</v>
      </c>
      <c r="Y211" s="22">
        <v>21.118691467935982</v>
      </c>
      <c r="Z211" s="22">
        <v>32.68368917656759</v>
      </c>
      <c r="AA211" s="371">
        <v>357.34837267697003</v>
      </c>
      <c r="AB211" s="22">
        <v>0.15056002701637869</v>
      </c>
      <c r="AC211" s="24">
        <v>1.556002701637868E-2</v>
      </c>
      <c r="AD211" s="384">
        <v>-53090.295089540152</v>
      </c>
    </row>
    <row r="212" spans="1:30">
      <c r="A212" s="21" t="s">
        <v>43</v>
      </c>
      <c r="B212" s="21" t="s">
        <v>44</v>
      </c>
      <c r="C212" s="23">
        <v>975.37179370649653</v>
      </c>
      <c r="D212" s="147">
        <v>72.688524728686318</v>
      </c>
      <c r="E212" s="22">
        <v>230.84741078403354</v>
      </c>
      <c r="F212" s="22">
        <v>303.53593551271985</v>
      </c>
      <c r="G212" s="22">
        <v>0</v>
      </c>
      <c r="H212" s="22">
        <v>96.914680798332881</v>
      </c>
      <c r="I212" s="22">
        <v>8.3770809489479383</v>
      </c>
      <c r="J212" s="22">
        <v>361.39109361511782</v>
      </c>
      <c r="K212" s="22">
        <v>0</v>
      </c>
      <c r="L212" s="22">
        <v>0</v>
      </c>
      <c r="M212" s="388">
        <v>3513.2853995663363</v>
      </c>
      <c r="N212" s="25">
        <v>0.52559999999999996</v>
      </c>
      <c r="O212" s="24">
        <v>2192.3213047666873</v>
      </c>
      <c r="P212" s="24">
        <v>53.802380644503572</v>
      </c>
      <c r="Q212" s="24">
        <v>37.209123062553871</v>
      </c>
      <c r="R212" s="22">
        <v>16.5932575819497</v>
      </c>
      <c r="S212" s="24">
        <v>9.5536937593043714</v>
      </c>
      <c r="T212" s="24">
        <f t="shared" si="13"/>
        <v>63.356074403807945</v>
      </c>
      <c r="U212" s="376">
        <v>1848.69</v>
      </c>
      <c r="V212" s="376">
        <v>175.66</v>
      </c>
      <c r="W212" s="22">
        <f t="shared" si="14"/>
        <v>971.6714639999999</v>
      </c>
      <c r="X212" s="22">
        <f t="shared" si="15"/>
        <v>553.10858606498994</v>
      </c>
      <c r="Y212" s="22">
        <v>401.00372489711771</v>
      </c>
      <c r="Z212" s="22">
        <v>152.10486116787223</v>
      </c>
      <c r="AA212" s="371">
        <v>3513.2853995663363</v>
      </c>
      <c r="AB212" s="22">
        <v>0.15743343428155968</v>
      </c>
      <c r="AC212" s="24">
        <v>2.2433434281559667E-2</v>
      </c>
      <c r="AD212" s="384">
        <v>-741604.01095983374</v>
      </c>
    </row>
    <row r="213" spans="1:30">
      <c r="A213" s="21" t="s">
        <v>181</v>
      </c>
      <c r="B213" s="21" t="s">
        <v>182</v>
      </c>
      <c r="C213" s="23">
        <v>269.75608568376896</v>
      </c>
      <c r="D213" s="147">
        <v>0</v>
      </c>
      <c r="E213" s="22">
        <v>55.280689047259088</v>
      </c>
      <c r="F213" s="22">
        <v>55.280689047259088</v>
      </c>
      <c r="G213" s="22">
        <v>0</v>
      </c>
      <c r="H213" s="22">
        <v>28.06774661286158</v>
      </c>
      <c r="I213" s="22">
        <v>2.3331125812195936</v>
      </c>
      <c r="J213" s="22">
        <v>135.99431653376109</v>
      </c>
      <c r="K213" s="22">
        <v>0</v>
      </c>
      <c r="L213" s="22">
        <v>0</v>
      </c>
      <c r="M213" s="388">
        <v>1184.6781391932354</v>
      </c>
      <c r="N213" s="25">
        <v>0.51739999999999997</v>
      </c>
      <c r="O213" s="24">
        <v>773.34636851632229</v>
      </c>
      <c r="P213" s="24">
        <v>36.454884081556159</v>
      </c>
      <c r="Q213" s="24">
        <v>22.124343442599599</v>
      </c>
      <c r="R213" s="22">
        <v>14.330540638956558</v>
      </c>
      <c r="S213" s="24">
        <v>2.2627169429931406</v>
      </c>
      <c r="T213" s="24">
        <f t="shared" si="13"/>
        <v>38.717601024549296</v>
      </c>
      <c r="U213" s="376">
        <v>612.95000000000005</v>
      </c>
      <c r="V213" s="376">
        <v>59.23</v>
      </c>
      <c r="W213" s="22">
        <f t="shared" si="14"/>
        <v>317.14033000000001</v>
      </c>
      <c r="X213" s="22">
        <f t="shared" si="15"/>
        <v>142.55116740856786</v>
      </c>
      <c r="Y213" s="22">
        <v>102.32508842202314</v>
      </c>
      <c r="Z213" s="22">
        <v>40.226078986544721</v>
      </c>
      <c r="AA213" s="371">
        <v>1202.8402138556603</v>
      </c>
      <c r="AB213" s="22">
        <v>0.11851213965621028</v>
      </c>
      <c r="AC213" s="24">
        <v>0</v>
      </c>
      <c r="AD213" s="384">
        <v>0</v>
      </c>
    </row>
    <row r="214" spans="1:30">
      <c r="A214" s="21" t="s">
        <v>537</v>
      </c>
      <c r="B214" s="21" t="s">
        <v>538</v>
      </c>
      <c r="C214" s="23">
        <v>83.499283456320214</v>
      </c>
      <c r="D214" s="147">
        <v>0</v>
      </c>
      <c r="E214" s="22">
        <v>5.2696163472373589</v>
      </c>
      <c r="F214" s="22">
        <v>5.2696163472373589</v>
      </c>
      <c r="G214" s="22">
        <v>0</v>
      </c>
      <c r="H214" s="22">
        <v>1.0056519746636181</v>
      </c>
      <c r="I214" s="22">
        <v>0</v>
      </c>
      <c r="J214" s="22">
        <v>0</v>
      </c>
      <c r="K214" s="22">
        <v>1.0056519746636181</v>
      </c>
      <c r="L214" s="22">
        <v>0</v>
      </c>
      <c r="M214" s="388">
        <v>249.71344182872298</v>
      </c>
      <c r="N214" s="25">
        <v>0.93959999999999999</v>
      </c>
      <c r="O214" s="24">
        <v>233.31125812195941</v>
      </c>
      <c r="P214" s="24">
        <v>91.514329694389247</v>
      </c>
      <c r="Q214" s="24">
        <v>63.858900391139748</v>
      </c>
      <c r="R214" s="22">
        <v>27.655429303249498</v>
      </c>
      <c r="S214" s="24">
        <v>11.0621717212998</v>
      </c>
      <c r="T214" s="24">
        <f t="shared" si="13"/>
        <v>102.57650141568905</v>
      </c>
      <c r="U214" s="376">
        <v>234.63</v>
      </c>
      <c r="V214" s="376">
        <v>0</v>
      </c>
      <c r="W214" s="22">
        <f t="shared" si="14"/>
        <v>220.458348</v>
      </c>
      <c r="X214" s="22">
        <f t="shared" si="15"/>
        <v>35.197819113226629</v>
      </c>
      <c r="Y214" s="22">
        <v>25.895538347588165</v>
      </c>
      <c r="Z214" s="22">
        <v>9.3022807656384678</v>
      </c>
      <c r="AA214" s="371">
        <v>249.71344182872301</v>
      </c>
      <c r="AB214" s="22">
        <v>0.1409528412065563</v>
      </c>
      <c r="AC214" s="24">
        <v>5.9528412065562863E-3</v>
      </c>
      <c r="AD214" s="384">
        <v>-13864.595545753784</v>
      </c>
    </row>
    <row r="215" spans="1:30">
      <c r="A215" s="21" t="s">
        <v>481</v>
      </c>
      <c r="B215" s="21" t="s">
        <v>482</v>
      </c>
      <c r="C215" s="23">
        <v>0</v>
      </c>
      <c r="D215" s="147">
        <v>0</v>
      </c>
      <c r="E215" s="22">
        <v>12.077880215710053</v>
      </c>
      <c r="F215" s="22">
        <v>12.077880215710053</v>
      </c>
      <c r="G215" s="22">
        <v>0</v>
      </c>
      <c r="H215" s="22">
        <v>12.781836597974587</v>
      </c>
      <c r="I215" s="22">
        <v>1.0056519746636181</v>
      </c>
      <c r="J215" s="22">
        <v>0</v>
      </c>
      <c r="K215" s="22">
        <v>0</v>
      </c>
      <c r="L215" s="22">
        <v>0</v>
      </c>
      <c r="M215" s="388">
        <v>649.34948004029809</v>
      </c>
      <c r="N215" s="25">
        <v>0.58220000000000005</v>
      </c>
      <c r="O215" s="24">
        <v>666.74725920197875</v>
      </c>
      <c r="P215" s="24">
        <v>0</v>
      </c>
      <c r="Q215" s="24">
        <v>0</v>
      </c>
      <c r="R215" s="22">
        <v>0</v>
      </c>
      <c r="S215" s="24">
        <v>0</v>
      </c>
      <c r="T215" s="24">
        <f t="shared" si="13"/>
        <v>0</v>
      </c>
      <c r="U215" s="376">
        <v>378.05</v>
      </c>
      <c r="V215" s="376">
        <v>0</v>
      </c>
      <c r="W215" s="22">
        <f t="shared" si="14"/>
        <v>220.10071000000002</v>
      </c>
      <c r="X215" s="22">
        <f t="shared" si="15"/>
        <v>103.83356638401857</v>
      </c>
      <c r="Y215" s="22">
        <v>102.82791440935495</v>
      </c>
      <c r="Z215" s="22">
        <v>1.0056519746636181</v>
      </c>
      <c r="AA215" s="371">
        <v>652.10496645087653</v>
      </c>
      <c r="AB215" s="22">
        <v>0.15922830177040281</v>
      </c>
      <c r="AC215" s="24">
        <v>2.4228301770402805E-2</v>
      </c>
      <c r="AD215" s="384">
        <v>-137867.02185558589</v>
      </c>
    </row>
    <row r="216" spans="1:30">
      <c r="A216" s="21" t="s">
        <v>25</v>
      </c>
      <c r="B216" s="21" t="s">
        <v>26</v>
      </c>
      <c r="C216" s="23">
        <v>630.80525762750108</v>
      </c>
      <c r="D216" s="147">
        <v>29.978485364722456</v>
      </c>
      <c r="E216" s="22">
        <v>230.37475435594166</v>
      </c>
      <c r="F216" s="22">
        <v>260.35323972066413</v>
      </c>
      <c r="G216" s="22">
        <v>0</v>
      </c>
      <c r="H216" s="22">
        <v>38.576809748096387</v>
      </c>
      <c r="I216" s="22">
        <v>2.7052038118451325</v>
      </c>
      <c r="J216" s="22">
        <v>0</v>
      </c>
      <c r="K216" s="22">
        <v>12.671214880761587</v>
      </c>
      <c r="L216" s="22">
        <v>0</v>
      </c>
      <c r="M216" s="388">
        <v>2469.6801193789133</v>
      </c>
      <c r="N216" s="25">
        <v>0.71989999999999998</v>
      </c>
      <c r="O216" s="24">
        <v>2495.0225491404367</v>
      </c>
      <c r="P216" s="24">
        <v>590.06629613387793</v>
      </c>
      <c r="Q216" s="24">
        <v>380.38785941651355</v>
      </c>
      <c r="R216" s="22">
        <v>209.67843671736438</v>
      </c>
      <c r="S216" s="24">
        <v>71.401290201116879</v>
      </c>
      <c r="T216" s="24">
        <f t="shared" si="13"/>
        <v>661.46758633499485</v>
      </c>
      <c r="U216" s="376">
        <v>1777.18</v>
      </c>
      <c r="V216" s="376">
        <v>123.48</v>
      </c>
      <c r="W216" s="22">
        <f t="shared" si="14"/>
        <v>1279.3918820000001</v>
      </c>
      <c r="X216" s="22">
        <f t="shared" si="15"/>
        <v>316.52895902537381</v>
      </c>
      <c r="Y216" s="22">
        <v>144.56247135789511</v>
      </c>
      <c r="Z216" s="22">
        <v>171.9664876674787</v>
      </c>
      <c r="AA216" s="371">
        <v>2489.6724806352258</v>
      </c>
      <c r="AB216" s="22">
        <v>0.12713678666063466</v>
      </c>
      <c r="AC216" s="24">
        <v>0</v>
      </c>
      <c r="AD216" s="384">
        <v>0</v>
      </c>
    </row>
    <row r="217" spans="1:30">
      <c r="A217" s="21" t="s">
        <v>1319</v>
      </c>
      <c r="B217" s="21" t="s">
        <v>1320</v>
      </c>
      <c r="C217" s="23">
        <v>52.2</v>
      </c>
      <c r="D217" s="147">
        <v>0</v>
      </c>
      <c r="E217" s="22">
        <v>0</v>
      </c>
      <c r="F217" s="22">
        <v>0</v>
      </c>
      <c r="G217" s="22">
        <v>0</v>
      </c>
      <c r="H217" s="22">
        <v>0</v>
      </c>
      <c r="I217" s="22">
        <v>0</v>
      </c>
      <c r="J217" s="22">
        <v>0</v>
      </c>
      <c r="K217" s="22">
        <v>0</v>
      </c>
      <c r="L217" s="22">
        <v>0</v>
      </c>
      <c r="M217" s="388">
        <v>77</v>
      </c>
      <c r="N217" s="25">
        <v>0.2278</v>
      </c>
      <c r="O217" s="24">
        <v>0</v>
      </c>
      <c r="P217" s="24">
        <v>3</v>
      </c>
      <c r="Q217" s="24">
        <v>3</v>
      </c>
      <c r="R217" s="22">
        <v>0</v>
      </c>
      <c r="S217" s="24">
        <v>0</v>
      </c>
      <c r="T217" s="24">
        <f t="shared" si="13"/>
        <v>3</v>
      </c>
      <c r="U217" s="376">
        <v>1.95</v>
      </c>
      <c r="V217" s="376">
        <v>0</v>
      </c>
      <c r="W217" s="22">
        <f t="shared" si="14"/>
        <v>0.44420999999999999</v>
      </c>
      <c r="X217" s="22">
        <f t="shared" si="15"/>
        <v>11.75</v>
      </c>
      <c r="Y217" s="22">
        <v>11.75</v>
      </c>
      <c r="Z217" s="22">
        <v>0</v>
      </c>
      <c r="AA217" s="371">
        <v>77</v>
      </c>
      <c r="AB217" s="22">
        <v>0.15259740259740259</v>
      </c>
      <c r="AC217" s="24">
        <v>1.7597402597402584E-2</v>
      </c>
      <c r="AD217" s="384">
        <v>-13792.457078312507</v>
      </c>
    </row>
    <row r="218" spans="1:30">
      <c r="A218" s="21" t="s">
        <v>561</v>
      </c>
      <c r="B218" s="21" t="s">
        <v>562</v>
      </c>
      <c r="C218" s="23">
        <v>783.41294478270515</v>
      </c>
      <c r="D218" s="147">
        <v>44.258743404945832</v>
      </c>
      <c r="E218" s="22">
        <v>132.12255643130615</v>
      </c>
      <c r="F218" s="22">
        <v>176.38129983625197</v>
      </c>
      <c r="G218" s="22">
        <v>0</v>
      </c>
      <c r="H218" s="22">
        <v>36.464940601302793</v>
      </c>
      <c r="I218" s="22">
        <v>0.60339118479817089</v>
      </c>
      <c r="J218" s="22">
        <v>7.7938028036430405</v>
      </c>
      <c r="K218" s="22">
        <v>0.80452157973089455</v>
      </c>
      <c r="L218" s="22">
        <v>0</v>
      </c>
      <c r="M218" s="388">
        <v>2631.8012742144351</v>
      </c>
      <c r="N218" s="25">
        <v>0.3155</v>
      </c>
      <c r="O218" s="24">
        <v>0</v>
      </c>
      <c r="P218" s="24">
        <v>121.93530192796369</v>
      </c>
      <c r="Q218" s="24">
        <v>94.028459631048293</v>
      </c>
      <c r="R218" s="22">
        <v>27.906842296915404</v>
      </c>
      <c r="S218" s="24">
        <v>42.991621916869676</v>
      </c>
      <c r="T218" s="24">
        <f t="shared" si="13"/>
        <v>164.92692384483337</v>
      </c>
      <c r="U218" s="376">
        <v>830.33</v>
      </c>
      <c r="V218" s="376">
        <v>131.59</v>
      </c>
      <c r="W218" s="22">
        <f t="shared" si="14"/>
        <v>261.96911499999999</v>
      </c>
      <c r="X218" s="22">
        <f t="shared" si="15"/>
        <v>318.79167596836692</v>
      </c>
      <c r="Y218" s="22">
        <v>238.08810500161158</v>
      </c>
      <c r="Z218" s="22">
        <v>80.70357096675535</v>
      </c>
      <c r="AA218" s="371">
        <v>2631.9923480896209</v>
      </c>
      <c r="AB218" s="22">
        <v>0.1211218095674767</v>
      </c>
      <c r="AC218" s="24">
        <v>0</v>
      </c>
      <c r="AD218" s="384">
        <v>0</v>
      </c>
    </row>
    <row r="219" spans="1:30">
      <c r="A219" s="21" t="s">
        <v>363</v>
      </c>
      <c r="B219" s="21" t="s">
        <v>364</v>
      </c>
      <c r="C219" s="23">
        <v>6404.8063527573977</v>
      </c>
      <c r="D219" s="147">
        <v>361.23018929917163</v>
      </c>
      <c r="E219" s="22">
        <v>1274.9655734785349</v>
      </c>
      <c r="F219" s="22">
        <v>1636.1957627777065</v>
      </c>
      <c r="G219" s="22">
        <v>0</v>
      </c>
      <c r="H219" s="22">
        <v>630.5236750745953</v>
      </c>
      <c r="I219" s="22">
        <v>18.805691926209658</v>
      </c>
      <c r="J219" s="22">
        <v>744.73556983714241</v>
      </c>
      <c r="K219" s="22">
        <v>51.891641892642696</v>
      </c>
      <c r="L219" s="22">
        <v>0</v>
      </c>
      <c r="M219" s="388">
        <v>22443.275909844422</v>
      </c>
      <c r="N219" s="25">
        <v>0.39810000000000001</v>
      </c>
      <c r="O219" s="24">
        <v>2003.2587335299272</v>
      </c>
      <c r="P219" s="24">
        <v>1449.3959084839396</v>
      </c>
      <c r="Q219" s="24">
        <v>931.48514153217627</v>
      </c>
      <c r="R219" s="22">
        <v>517.91076695176332</v>
      </c>
      <c r="S219" s="24">
        <v>341.41884539829834</v>
      </c>
      <c r="T219" s="24">
        <f t="shared" si="13"/>
        <v>1790.8147538822379</v>
      </c>
      <c r="U219" s="376">
        <v>8934.67</v>
      </c>
      <c r="V219" s="376">
        <v>1122.1600000000001</v>
      </c>
      <c r="W219" s="22">
        <f t="shared" si="14"/>
        <v>3556.8921270000001</v>
      </c>
      <c r="X219" s="22">
        <f t="shared" si="15"/>
        <v>2504.5762428997409</v>
      </c>
      <c r="Y219" s="22">
        <v>1346.8194070682505</v>
      </c>
      <c r="Z219" s="22">
        <v>1157.7568358314904</v>
      </c>
      <c r="AA219" s="371">
        <v>22479.680511327242</v>
      </c>
      <c r="AB219" s="22">
        <v>0.11141511738290563</v>
      </c>
      <c r="AC219" s="24">
        <v>0</v>
      </c>
      <c r="AD219" s="384">
        <v>0</v>
      </c>
    </row>
    <row r="220" spans="1:30">
      <c r="A220" s="21" t="s">
        <v>173</v>
      </c>
      <c r="B220" s="21" t="s">
        <v>174</v>
      </c>
      <c r="C220" s="23">
        <v>21</v>
      </c>
      <c r="D220" s="147">
        <v>0</v>
      </c>
      <c r="E220" s="22">
        <v>0</v>
      </c>
      <c r="F220" s="22">
        <v>0</v>
      </c>
      <c r="G220" s="22">
        <v>0</v>
      </c>
      <c r="H220" s="22">
        <v>0</v>
      </c>
      <c r="I220" s="22">
        <v>0</v>
      </c>
      <c r="J220" s="22">
        <v>0</v>
      </c>
      <c r="K220" s="22">
        <v>0</v>
      </c>
      <c r="L220" s="22">
        <v>0</v>
      </c>
      <c r="M220" s="388">
        <v>50.8</v>
      </c>
      <c r="N220" s="25">
        <v>1</v>
      </c>
      <c r="O220" s="24">
        <v>50</v>
      </c>
      <c r="P220" s="24">
        <v>0</v>
      </c>
      <c r="Q220" s="24">
        <v>0</v>
      </c>
      <c r="R220" s="22">
        <v>0</v>
      </c>
      <c r="S220" s="24">
        <v>0</v>
      </c>
      <c r="T220" s="24">
        <f t="shared" si="13"/>
        <v>0</v>
      </c>
      <c r="U220" s="376">
        <v>50.8</v>
      </c>
      <c r="V220" s="376">
        <v>0</v>
      </c>
      <c r="W220" s="22">
        <f t="shared" si="14"/>
        <v>50.8</v>
      </c>
      <c r="X220" s="22">
        <f t="shared" si="15"/>
        <v>8.75</v>
      </c>
      <c r="Y220" s="22">
        <v>0</v>
      </c>
      <c r="Z220" s="22">
        <v>8.75</v>
      </c>
      <c r="AA220" s="371">
        <v>50.8</v>
      </c>
      <c r="AB220" s="22">
        <v>0.17224409448818898</v>
      </c>
      <c r="AC220" s="24">
        <v>3.7244094488188967E-2</v>
      </c>
      <c r="AD220" s="384">
        <v>-17646.932626509104</v>
      </c>
    </row>
    <row r="221" spans="1:30">
      <c r="A221" s="21" t="s">
        <v>177</v>
      </c>
      <c r="B221" s="21" t="s">
        <v>178</v>
      </c>
      <c r="C221" s="23">
        <v>45.354904057329179</v>
      </c>
      <c r="D221" s="147">
        <v>0</v>
      </c>
      <c r="E221" s="22">
        <v>7.703294125923315</v>
      </c>
      <c r="F221" s="22">
        <v>7.703294125923315</v>
      </c>
      <c r="G221" s="22">
        <v>0</v>
      </c>
      <c r="H221" s="22">
        <v>4.3645295700401023</v>
      </c>
      <c r="I221" s="22">
        <v>0</v>
      </c>
      <c r="J221" s="22">
        <v>438.5246000718173</v>
      </c>
      <c r="K221" s="22">
        <v>0</v>
      </c>
      <c r="L221" s="22">
        <v>0</v>
      </c>
      <c r="M221" s="388">
        <v>650.43558417293491</v>
      </c>
      <c r="N221" s="25">
        <v>0.31059999999999999</v>
      </c>
      <c r="O221" s="24">
        <v>0</v>
      </c>
      <c r="P221" s="24">
        <v>0</v>
      </c>
      <c r="Q221" s="24">
        <v>0</v>
      </c>
      <c r="R221" s="22">
        <v>0</v>
      </c>
      <c r="S221" s="24">
        <v>0</v>
      </c>
      <c r="T221" s="24">
        <f t="shared" si="13"/>
        <v>0</v>
      </c>
      <c r="U221" s="376">
        <v>202.48</v>
      </c>
      <c r="V221" s="376">
        <v>32.520000000000003</v>
      </c>
      <c r="W221" s="22">
        <f t="shared" si="14"/>
        <v>62.890287999999991</v>
      </c>
      <c r="X221" s="22">
        <f t="shared" si="15"/>
        <v>56.065097587496709</v>
      </c>
      <c r="Y221" s="22">
        <v>53.299554657171761</v>
      </c>
      <c r="Z221" s="22">
        <v>2.7655429303249499</v>
      </c>
      <c r="AA221" s="371">
        <v>657.41480887710043</v>
      </c>
      <c r="AB221" s="22">
        <v>8.5281160129719147E-2</v>
      </c>
      <c r="AC221" s="24">
        <v>0</v>
      </c>
      <c r="AD221" s="384">
        <v>0</v>
      </c>
    </row>
    <row r="222" spans="1:30">
      <c r="A222" s="21" t="s">
        <v>53</v>
      </c>
      <c r="B222" s="21" t="s">
        <v>54</v>
      </c>
      <c r="C222" s="23">
        <v>30.571820029773988</v>
      </c>
      <c r="D222" s="147">
        <v>1.6593257581949699</v>
      </c>
      <c r="E222" s="22">
        <v>8.8396808572932031</v>
      </c>
      <c r="F222" s="22">
        <v>10.499006615488174</v>
      </c>
      <c r="G222" s="22">
        <v>0</v>
      </c>
      <c r="H222" s="22">
        <v>0.33186515163899399</v>
      </c>
      <c r="I222" s="22">
        <v>0</v>
      </c>
      <c r="J222" s="22">
        <v>0</v>
      </c>
      <c r="K222" s="22">
        <v>0</v>
      </c>
      <c r="L222" s="22">
        <v>0</v>
      </c>
      <c r="M222" s="388">
        <v>117.14839852856487</v>
      </c>
      <c r="N222" s="25">
        <v>0.93910000000000005</v>
      </c>
      <c r="O222" s="24">
        <v>115.64997708631608</v>
      </c>
      <c r="P222" s="24">
        <v>0</v>
      </c>
      <c r="Q222" s="24">
        <v>0</v>
      </c>
      <c r="R222" s="22">
        <v>0</v>
      </c>
      <c r="S222" s="24">
        <v>0</v>
      </c>
      <c r="T222" s="24">
        <f t="shared" si="13"/>
        <v>0</v>
      </c>
      <c r="U222" s="376">
        <v>110.01</v>
      </c>
      <c r="V222" s="376">
        <v>0</v>
      </c>
      <c r="W222" s="22">
        <f t="shared" si="14"/>
        <v>103.31039100000001</v>
      </c>
      <c r="X222" s="22">
        <f t="shared" si="15"/>
        <v>28.409668284247211</v>
      </c>
      <c r="Y222" s="22">
        <v>27.152603315917688</v>
      </c>
      <c r="Z222" s="22">
        <v>1.2570649683295225</v>
      </c>
      <c r="AA222" s="371">
        <v>117.14839852856487</v>
      </c>
      <c r="AB222" s="22">
        <v>0.24251008670272126</v>
      </c>
      <c r="AC222" s="24">
        <v>0.10751008670272125</v>
      </c>
      <c r="AD222" s="384">
        <v>-115800.57050416119</v>
      </c>
    </row>
    <row r="223" spans="1:30">
      <c r="A223" s="21" t="s">
        <v>51</v>
      </c>
      <c r="B223" s="21" t="s">
        <v>52</v>
      </c>
      <c r="C223" s="23">
        <v>276.43361479553533</v>
      </c>
      <c r="D223" s="147">
        <v>13.174040868093396</v>
      </c>
      <c r="E223" s="22">
        <v>43.645295700401022</v>
      </c>
      <c r="F223" s="22">
        <v>56.819336568494421</v>
      </c>
      <c r="G223" s="22">
        <v>0</v>
      </c>
      <c r="H223" s="22">
        <v>83.147305265187953</v>
      </c>
      <c r="I223" s="22">
        <v>9.5738067987976443</v>
      </c>
      <c r="J223" s="22">
        <v>2284.278121329929</v>
      </c>
      <c r="K223" s="22">
        <v>6.8384334277126033</v>
      </c>
      <c r="L223" s="22">
        <v>0</v>
      </c>
      <c r="M223" s="388">
        <v>3285.5454533840139</v>
      </c>
      <c r="N223" s="25">
        <v>0.63009999999999999</v>
      </c>
      <c r="O223" s="24">
        <v>3297.5328249220038</v>
      </c>
      <c r="P223" s="24">
        <v>232.3056061472958</v>
      </c>
      <c r="Q223" s="24">
        <v>119.67258498497056</v>
      </c>
      <c r="R223" s="22">
        <v>112.63302116232524</v>
      </c>
      <c r="S223" s="24">
        <v>31.175211214572162</v>
      </c>
      <c r="T223" s="24">
        <f t="shared" si="13"/>
        <v>263.48081736186799</v>
      </c>
      <c r="U223" s="376">
        <v>1746.6</v>
      </c>
      <c r="V223" s="376">
        <v>0</v>
      </c>
      <c r="W223" s="22">
        <f t="shared" si="14"/>
        <v>1100.5326599999999</v>
      </c>
      <c r="X223" s="22">
        <f t="shared" si="15"/>
        <v>568.94760466594198</v>
      </c>
      <c r="Y223" s="22">
        <v>504.83729128113629</v>
      </c>
      <c r="Z223" s="22">
        <v>64.11031338480565</v>
      </c>
      <c r="AA223" s="371">
        <v>3289.3870439272287</v>
      </c>
      <c r="AB223" s="22">
        <v>0.17296462747256108</v>
      </c>
      <c r="AC223" s="24">
        <v>3.7964627472561074E-2</v>
      </c>
      <c r="AD223" s="384">
        <v>-1109744.5767515793</v>
      </c>
    </row>
    <row r="224" spans="1:30">
      <c r="A224" s="21" t="s">
        <v>123</v>
      </c>
      <c r="B224" s="21" t="s">
        <v>124</v>
      </c>
      <c r="C224" s="23">
        <v>908.22441135820679</v>
      </c>
      <c r="D224" s="147">
        <v>52.002263609855696</v>
      </c>
      <c r="E224" s="22">
        <v>224.61236854111911</v>
      </c>
      <c r="F224" s="22">
        <v>276.61463215097478</v>
      </c>
      <c r="G224" s="22">
        <v>0</v>
      </c>
      <c r="H224" s="22">
        <v>50.544068246593447</v>
      </c>
      <c r="I224" s="22">
        <v>2.9264472462711288</v>
      </c>
      <c r="J224" s="22">
        <v>58.368040609476395</v>
      </c>
      <c r="K224" s="22">
        <v>4.2237382935871963</v>
      </c>
      <c r="L224" s="22">
        <v>0</v>
      </c>
      <c r="M224" s="388">
        <v>3161.9709387373478</v>
      </c>
      <c r="N224" s="25">
        <v>0.82869999999999999</v>
      </c>
      <c r="O224" s="24">
        <v>3142.6624208238068</v>
      </c>
      <c r="P224" s="24">
        <v>1202.7597616976873</v>
      </c>
      <c r="Q224" s="24">
        <v>767.06104367467469</v>
      </c>
      <c r="R224" s="22">
        <v>435.69871802301253</v>
      </c>
      <c r="S224" s="24">
        <v>244.6248428369251</v>
      </c>
      <c r="T224" s="24">
        <f t="shared" si="13"/>
        <v>1447.3846045346124</v>
      </c>
      <c r="U224" s="376">
        <v>2620.33</v>
      </c>
      <c r="V224" s="376">
        <v>158.1</v>
      </c>
      <c r="W224" s="22">
        <f t="shared" si="14"/>
        <v>2171.4674709999999</v>
      </c>
      <c r="X224" s="22">
        <f t="shared" si="15"/>
        <v>429.41339318136494</v>
      </c>
      <c r="Y224" s="22">
        <v>339.91036743630292</v>
      </c>
      <c r="Z224" s="22">
        <v>89.503025745062018</v>
      </c>
      <c r="AA224" s="371">
        <v>3167.3813463610381</v>
      </c>
      <c r="AB224" s="22">
        <v>0.13557363203982753</v>
      </c>
      <c r="AC224" s="24">
        <v>5.7363203982752076E-4</v>
      </c>
      <c r="AD224" s="384">
        <v>-16734.101081449022</v>
      </c>
    </row>
    <row r="225" spans="1:30">
      <c r="A225" s="21" t="s">
        <v>225</v>
      </c>
      <c r="B225" s="21" t="s">
        <v>226</v>
      </c>
      <c r="C225" s="23">
        <v>0</v>
      </c>
      <c r="D225" s="147">
        <v>0</v>
      </c>
      <c r="E225" s="22">
        <v>0</v>
      </c>
      <c r="F225" s="22">
        <v>0</v>
      </c>
      <c r="G225" s="22">
        <v>0</v>
      </c>
      <c r="H225" s="22">
        <v>0</v>
      </c>
      <c r="I225" s="22">
        <v>0</v>
      </c>
      <c r="J225" s="22">
        <v>0</v>
      </c>
      <c r="K225" s="22">
        <v>0</v>
      </c>
      <c r="L225" s="22">
        <v>0</v>
      </c>
      <c r="M225" s="388">
        <v>330.85949966433037</v>
      </c>
      <c r="N225" s="25">
        <v>0.76190000000000002</v>
      </c>
      <c r="O225" s="24">
        <v>337.89906348697571</v>
      </c>
      <c r="P225" s="24">
        <v>97.296828548705065</v>
      </c>
      <c r="Q225" s="24">
        <v>55.059445612833095</v>
      </c>
      <c r="R225" s="22">
        <v>42.237382935871963</v>
      </c>
      <c r="S225" s="24">
        <v>21.118691467935982</v>
      </c>
      <c r="T225" s="24">
        <f t="shared" si="13"/>
        <v>118.41552001664104</v>
      </c>
      <c r="U225" s="376">
        <v>252.08</v>
      </c>
      <c r="V225" s="376">
        <v>0</v>
      </c>
      <c r="W225" s="22">
        <f t="shared" si="14"/>
        <v>192.059752</v>
      </c>
      <c r="X225" s="22">
        <f t="shared" si="15"/>
        <v>24.889886372924547</v>
      </c>
      <c r="Y225" s="22">
        <v>24.889886372924547</v>
      </c>
      <c r="Z225" s="22">
        <v>0</v>
      </c>
      <c r="AA225" s="371">
        <v>330.85949966433037</v>
      </c>
      <c r="AB225" s="22">
        <v>7.5227963525835856E-2</v>
      </c>
      <c r="AC225" s="24">
        <v>0</v>
      </c>
      <c r="AD225" s="384">
        <v>0</v>
      </c>
    </row>
    <row r="226" spans="1:30">
      <c r="A226" s="21" t="s">
        <v>515</v>
      </c>
      <c r="B226" s="21" t="s">
        <v>516</v>
      </c>
      <c r="C226" s="23">
        <v>285.62527384396077</v>
      </c>
      <c r="D226" s="147">
        <v>15.024440501474453</v>
      </c>
      <c r="E226" s="22">
        <v>63.93935254911284</v>
      </c>
      <c r="F226" s="22">
        <v>78.963793050587299</v>
      </c>
      <c r="G226" s="22">
        <v>0</v>
      </c>
      <c r="H226" s="22">
        <v>17.991113826732128</v>
      </c>
      <c r="I226" s="22">
        <v>1.3576301657958845</v>
      </c>
      <c r="J226" s="22">
        <v>0</v>
      </c>
      <c r="K226" s="22">
        <v>4.4248686885199202</v>
      </c>
      <c r="L226" s="22">
        <v>0</v>
      </c>
      <c r="M226" s="388">
        <v>891.80211461194983</v>
      </c>
      <c r="N226" s="25">
        <v>0.4415</v>
      </c>
      <c r="O226" s="24">
        <v>0</v>
      </c>
      <c r="P226" s="24">
        <v>0</v>
      </c>
      <c r="Q226" s="24">
        <v>0</v>
      </c>
      <c r="R226" s="22">
        <v>0</v>
      </c>
      <c r="S226" s="24">
        <v>0</v>
      </c>
      <c r="T226" s="24">
        <f t="shared" si="13"/>
        <v>0</v>
      </c>
      <c r="U226" s="376">
        <v>393.73</v>
      </c>
      <c r="V226" s="376">
        <v>44.59</v>
      </c>
      <c r="W226" s="22">
        <f t="shared" si="14"/>
        <v>173.831795</v>
      </c>
      <c r="X226" s="22">
        <f t="shared" si="15"/>
        <v>127.4663877886136</v>
      </c>
      <c r="Y226" s="22">
        <v>88.497373770398397</v>
      </c>
      <c r="Z226" s="22">
        <v>38.969014018215205</v>
      </c>
      <c r="AA226" s="371">
        <v>891.80211461194983</v>
      </c>
      <c r="AB226" s="22">
        <v>0.1429312464055752</v>
      </c>
      <c r="AC226" s="24">
        <v>7.9312464055751875E-3</v>
      </c>
      <c r="AD226" s="384">
        <v>-65622.402368277471</v>
      </c>
    </row>
    <row r="227" spans="1:30">
      <c r="A227" s="21" t="s">
        <v>345</v>
      </c>
      <c r="B227" s="21" t="s">
        <v>346</v>
      </c>
      <c r="C227" s="23">
        <v>146.07094931989053</v>
      </c>
      <c r="D227" s="147">
        <v>0</v>
      </c>
      <c r="E227" s="22">
        <v>39.170144413147931</v>
      </c>
      <c r="F227" s="22">
        <v>39.170144413147931</v>
      </c>
      <c r="G227" s="22">
        <v>0</v>
      </c>
      <c r="H227" s="22">
        <v>19.791230861380004</v>
      </c>
      <c r="I227" s="22">
        <v>0.17096083569281509</v>
      </c>
      <c r="J227" s="22">
        <v>2.0113039493272362</v>
      </c>
      <c r="K227" s="22">
        <v>2.0113039493272362</v>
      </c>
      <c r="L227" s="22">
        <v>0</v>
      </c>
      <c r="M227" s="388">
        <v>525.93586970957904</v>
      </c>
      <c r="N227" s="25">
        <v>0.70309999999999995</v>
      </c>
      <c r="O227" s="24">
        <v>524.9503307744086</v>
      </c>
      <c r="P227" s="24">
        <v>61.847596441812513</v>
      </c>
      <c r="Q227" s="24">
        <v>37.460536056219773</v>
      </c>
      <c r="R227" s="22">
        <v>24.38706038559274</v>
      </c>
      <c r="S227" s="24">
        <v>9.0508677719725625</v>
      </c>
      <c r="T227" s="24">
        <f t="shared" si="13"/>
        <v>70.898464213785076</v>
      </c>
      <c r="U227" s="376">
        <v>369.79</v>
      </c>
      <c r="V227" s="376">
        <v>26.3</v>
      </c>
      <c r="W227" s="22">
        <f t="shared" si="14"/>
        <v>259.999349</v>
      </c>
      <c r="X227" s="22">
        <f t="shared" si="15"/>
        <v>81.960635935084881</v>
      </c>
      <c r="Y227" s="22">
        <v>50.785424720512715</v>
      </c>
      <c r="Z227" s="22">
        <v>31.175211214572162</v>
      </c>
      <c r="AA227" s="371">
        <v>525.92581318983241</v>
      </c>
      <c r="AB227" s="22">
        <v>0.15584067919765951</v>
      </c>
      <c r="AC227" s="24">
        <v>2.0840679197659501E-2</v>
      </c>
      <c r="AD227" s="384">
        <v>-100662.22215986328</v>
      </c>
    </row>
    <row r="228" spans="1:30">
      <c r="A228" s="21" t="s">
        <v>299</v>
      </c>
      <c r="B228" s="21" t="s">
        <v>300</v>
      </c>
      <c r="C228" s="23">
        <v>208.47165434776804</v>
      </c>
      <c r="D228" s="147">
        <v>10.287819700808814</v>
      </c>
      <c r="E228" s="22">
        <v>50.322824812167447</v>
      </c>
      <c r="F228" s="22">
        <v>60.610644512976265</v>
      </c>
      <c r="G228" s="22">
        <v>0</v>
      </c>
      <c r="H228" s="22">
        <v>13.757319013398295</v>
      </c>
      <c r="I228" s="22">
        <v>5.028259873318091E-2</v>
      </c>
      <c r="J228" s="22">
        <v>27.554864105783132</v>
      </c>
      <c r="K228" s="22">
        <v>0</v>
      </c>
      <c r="L228" s="22">
        <v>0</v>
      </c>
      <c r="M228" s="388">
        <v>724.44151298843065</v>
      </c>
      <c r="N228" s="25">
        <v>0.46189999999999998</v>
      </c>
      <c r="O228" s="24">
        <v>0</v>
      </c>
      <c r="P228" s="24">
        <v>6.0339118479817087</v>
      </c>
      <c r="Q228" s="24">
        <v>5.7824988543158042</v>
      </c>
      <c r="R228" s="22">
        <v>0.25141299366590453</v>
      </c>
      <c r="S228" s="24">
        <v>4.7768468796521857</v>
      </c>
      <c r="T228" s="24">
        <f t="shared" si="13"/>
        <v>10.810758727633894</v>
      </c>
      <c r="U228" s="376">
        <v>323.54000000000002</v>
      </c>
      <c r="V228" s="376">
        <v>0</v>
      </c>
      <c r="W228" s="22">
        <f t="shared" si="14"/>
        <v>149.44312600000001</v>
      </c>
      <c r="X228" s="22">
        <f t="shared" si="15"/>
        <v>79.195093004759926</v>
      </c>
      <c r="Y228" s="22">
        <v>46.008577840860525</v>
      </c>
      <c r="Z228" s="22">
        <v>33.186515163899401</v>
      </c>
      <c r="AA228" s="371">
        <v>724.44151298843053</v>
      </c>
      <c r="AB228" s="22">
        <v>0.10931882227188806</v>
      </c>
      <c r="AC228" s="24">
        <v>0</v>
      </c>
      <c r="AD228" s="384">
        <v>0</v>
      </c>
    </row>
    <row r="229" spans="1:30">
      <c r="A229" s="21" t="s">
        <v>195</v>
      </c>
      <c r="B229" s="21" t="s">
        <v>196</v>
      </c>
      <c r="C229" s="23">
        <v>4527.3043986591556</v>
      </c>
      <c r="D229" s="147">
        <v>191.13421430456725</v>
      </c>
      <c r="E229" s="22">
        <v>1260.0014720955405</v>
      </c>
      <c r="F229" s="22">
        <v>1451.1356864001077</v>
      </c>
      <c r="G229" s="22">
        <v>0</v>
      </c>
      <c r="H229" s="22">
        <v>415.47505681252716</v>
      </c>
      <c r="I229" s="22">
        <v>40.145626828571636</v>
      </c>
      <c r="J229" s="22">
        <v>543.96720961529763</v>
      </c>
      <c r="K229" s="22">
        <v>13.063419150880399</v>
      </c>
      <c r="L229" s="22">
        <v>0</v>
      </c>
      <c r="M229" s="388">
        <v>14882.583233928402</v>
      </c>
      <c r="N229" s="25">
        <v>0.53410000000000002</v>
      </c>
      <c r="O229" s="24">
        <v>7410.6494012962021</v>
      </c>
      <c r="P229" s="24">
        <v>3051.1480911294175</v>
      </c>
      <c r="Q229" s="24">
        <v>2070.8888288260555</v>
      </c>
      <c r="R229" s="22">
        <v>980.25926230336177</v>
      </c>
      <c r="S229" s="24">
        <v>461.5942563706007</v>
      </c>
      <c r="T229" s="24">
        <f t="shared" si="13"/>
        <v>3512.7423475000182</v>
      </c>
      <c r="U229" s="376">
        <v>7948.79</v>
      </c>
      <c r="V229" s="376">
        <v>744.13</v>
      </c>
      <c r="W229" s="22">
        <f t="shared" si="14"/>
        <v>4245.4487390000004</v>
      </c>
      <c r="X229" s="22">
        <f t="shared" si="15"/>
        <v>1972.8377612963527</v>
      </c>
      <c r="Y229" s="22">
        <v>1018.4740373405792</v>
      </c>
      <c r="Z229" s="22">
        <v>954.36372395577359</v>
      </c>
      <c r="AA229" s="371">
        <v>14944.802921600842</v>
      </c>
      <c r="AB229" s="22">
        <v>0.13200828218650262</v>
      </c>
      <c r="AC229" s="24">
        <v>0</v>
      </c>
      <c r="AD229" s="384">
        <v>0</v>
      </c>
    </row>
    <row r="230" spans="1:30">
      <c r="A230" s="21" t="s">
        <v>109</v>
      </c>
      <c r="B230" s="21" t="s">
        <v>110</v>
      </c>
      <c r="C230" s="23">
        <v>81.860070737618514</v>
      </c>
      <c r="D230" s="147">
        <v>0</v>
      </c>
      <c r="E230" s="22">
        <v>12.168388893429778</v>
      </c>
      <c r="F230" s="22">
        <v>12.168388893429778</v>
      </c>
      <c r="G230" s="22">
        <v>0</v>
      </c>
      <c r="H230" s="22">
        <v>9.9660110689164547</v>
      </c>
      <c r="I230" s="22">
        <v>0.70395638226453261</v>
      </c>
      <c r="J230" s="22">
        <v>59.564766459326094</v>
      </c>
      <c r="K230" s="22">
        <v>0</v>
      </c>
      <c r="L230" s="22">
        <v>0</v>
      </c>
      <c r="M230" s="388">
        <v>366.39924044894263</v>
      </c>
      <c r="N230" s="25">
        <v>0.7147</v>
      </c>
      <c r="O230" s="24">
        <v>300.68994042442182</v>
      </c>
      <c r="P230" s="24">
        <v>0</v>
      </c>
      <c r="Q230" s="24">
        <v>0</v>
      </c>
      <c r="R230" s="22">
        <v>0</v>
      </c>
      <c r="S230" s="24">
        <v>0</v>
      </c>
      <c r="T230" s="24">
        <f t="shared" si="13"/>
        <v>0</v>
      </c>
      <c r="U230" s="376">
        <v>262.16000000000003</v>
      </c>
      <c r="V230" s="376">
        <v>18.32</v>
      </c>
      <c r="W230" s="22">
        <f t="shared" si="14"/>
        <v>187.36575200000001</v>
      </c>
      <c r="X230" s="22">
        <f t="shared" si="15"/>
        <v>60.59053147348299</v>
      </c>
      <c r="Y230" s="22">
        <v>48.522707777519571</v>
      </c>
      <c r="Z230" s="22">
        <v>12.067823695963417</v>
      </c>
      <c r="AA230" s="371">
        <v>366.39924044894258</v>
      </c>
      <c r="AB230" s="22">
        <v>0.1653675138606796</v>
      </c>
      <c r="AC230" s="24">
        <v>3.0367513860679596E-2</v>
      </c>
      <c r="AD230" s="384">
        <v>-103353.4424183345</v>
      </c>
    </row>
    <row r="231" spans="1:30">
      <c r="A231" s="21" t="s">
        <v>27</v>
      </c>
      <c r="B231" s="21" t="s">
        <v>28</v>
      </c>
      <c r="C231" s="23">
        <v>3480.3704104355961</v>
      </c>
      <c r="D231" s="147">
        <v>77.405032489858684</v>
      </c>
      <c r="E231" s="22">
        <v>671.11178877201894</v>
      </c>
      <c r="F231" s="22">
        <v>748.51682126187757</v>
      </c>
      <c r="G231" s="22">
        <v>0</v>
      </c>
      <c r="H231" s="22">
        <v>185.64335452290391</v>
      </c>
      <c r="I231" s="22">
        <v>20.072813414285818</v>
      </c>
      <c r="J231" s="22">
        <v>1153.0403280703181</v>
      </c>
      <c r="K231" s="22">
        <v>51.57988978049697</v>
      </c>
      <c r="L231" s="22">
        <v>0</v>
      </c>
      <c r="M231" s="388">
        <v>13500.555951227179</v>
      </c>
      <c r="N231" s="25">
        <v>0.38919999999999999</v>
      </c>
      <c r="O231" s="24">
        <v>2497.0338530897639</v>
      </c>
      <c r="P231" s="24">
        <v>795.97353794625383</v>
      </c>
      <c r="Q231" s="24">
        <v>494.27794554716831</v>
      </c>
      <c r="R231" s="22">
        <v>301.69559239908546</v>
      </c>
      <c r="S231" s="24">
        <v>127.21497479494769</v>
      </c>
      <c r="T231" s="24">
        <f t="shared" si="13"/>
        <v>923.18851274120152</v>
      </c>
      <c r="U231" s="376">
        <v>5254.42</v>
      </c>
      <c r="V231" s="376">
        <v>675.03</v>
      </c>
      <c r="W231" s="22">
        <f t="shared" si="14"/>
        <v>2045.020264</v>
      </c>
      <c r="X231" s="22">
        <f t="shared" si="15"/>
        <v>1611.8087023921139</v>
      </c>
      <c r="Y231" s="22">
        <v>997.35534587264328</v>
      </c>
      <c r="Z231" s="22">
        <v>614.45335651947062</v>
      </c>
      <c r="AA231" s="371">
        <v>13580.354435416739</v>
      </c>
      <c r="AB231" s="22">
        <v>0.11868679201690162</v>
      </c>
      <c r="AC231" s="24">
        <v>0</v>
      </c>
      <c r="AD231" s="384">
        <v>0</v>
      </c>
    </row>
    <row r="232" spans="1:30">
      <c r="A232" s="21" t="s">
        <v>71</v>
      </c>
      <c r="B232" s="21" t="s">
        <v>72</v>
      </c>
      <c r="C232" s="23">
        <v>1095.074548250707</v>
      </c>
      <c r="D232" s="147">
        <v>69.198912376603559</v>
      </c>
      <c r="E232" s="22">
        <v>198.34473896290538</v>
      </c>
      <c r="F232" s="22">
        <v>267.54365133950893</v>
      </c>
      <c r="G232" s="22">
        <v>0</v>
      </c>
      <c r="H232" s="22">
        <v>48.673555573719113</v>
      </c>
      <c r="I232" s="22">
        <v>0.25141299366590453</v>
      </c>
      <c r="J232" s="22">
        <v>155.9062256321007</v>
      </c>
      <c r="K232" s="22">
        <v>3.4192167138563017</v>
      </c>
      <c r="L232" s="22">
        <v>0</v>
      </c>
      <c r="M232" s="388">
        <v>3745.792136108565</v>
      </c>
      <c r="N232" s="25">
        <v>0.2389</v>
      </c>
      <c r="O232" s="24">
        <v>0</v>
      </c>
      <c r="P232" s="24">
        <v>115.90139007998199</v>
      </c>
      <c r="Q232" s="24">
        <v>85.983243833739351</v>
      </c>
      <c r="R232" s="22">
        <v>29.918146246242639</v>
      </c>
      <c r="S232" s="24">
        <v>27.404016309583593</v>
      </c>
      <c r="T232" s="24">
        <f t="shared" si="13"/>
        <v>143.30540638956558</v>
      </c>
      <c r="U232" s="376">
        <v>895.24</v>
      </c>
      <c r="V232" s="376">
        <v>187.29</v>
      </c>
      <c r="W232" s="22">
        <f t="shared" si="14"/>
        <v>213.87283600000001</v>
      </c>
      <c r="X232" s="22">
        <f t="shared" si="15"/>
        <v>396.47829101113143</v>
      </c>
      <c r="Y232" s="22">
        <v>292.8961376207788</v>
      </c>
      <c r="Z232" s="22">
        <v>103.58215339035266</v>
      </c>
      <c r="AA232" s="371">
        <v>3777.0578560008566</v>
      </c>
      <c r="AB232" s="22">
        <v>0.10497013975605925</v>
      </c>
      <c r="AC232" s="24">
        <v>0</v>
      </c>
      <c r="AD232" s="384">
        <v>0</v>
      </c>
    </row>
    <row r="233" spans="1:30">
      <c r="A233" s="21" t="s">
        <v>11</v>
      </c>
      <c r="B233" s="21" t="s">
        <v>12</v>
      </c>
      <c r="C233" s="23">
        <v>96.442024370240986</v>
      </c>
      <c r="D233" s="147">
        <v>9.1212634101990169</v>
      </c>
      <c r="E233" s="22">
        <v>21.903100008173602</v>
      </c>
      <c r="F233" s="22">
        <v>31.024363418372619</v>
      </c>
      <c r="G233" s="22">
        <v>0</v>
      </c>
      <c r="H233" s="22">
        <v>1.7096083569281508</v>
      </c>
      <c r="I233" s="22">
        <v>0</v>
      </c>
      <c r="J233" s="22">
        <v>30.370689634841263</v>
      </c>
      <c r="K233" s="22">
        <v>0</v>
      </c>
      <c r="L233" s="22">
        <v>0</v>
      </c>
      <c r="M233" s="388">
        <v>358.95741583643184</v>
      </c>
      <c r="N233" s="25">
        <v>0.46010000000000001</v>
      </c>
      <c r="O233" s="24">
        <v>169.95518371815146</v>
      </c>
      <c r="P233" s="24">
        <v>0</v>
      </c>
      <c r="Q233" s="24">
        <v>0</v>
      </c>
      <c r="R233" s="22">
        <v>0</v>
      </c>
      <c r="S233" s="24">
        <v>0</v>
      </c>
      <c r="T233" s="24">
        <f t="shared" si="13"/>
        <v>0</v>
      </c>
      <c r="U233" s="376">
        <v>164.62</v>
      </c>
      <c r="V233" s="376">
        <v>0</v>
      </c>
      <c r="W233" s="22">
        <f t="shared" si="14"/>
        <v>75.741662000000005</v>
      </c>
      <c r="X233" s="22">
        <f t="shared" si="15"/>
        <v>29.666733252576734</v>
      </c>
      <c r="Y233" s="22">
        <v>23.884234398260929</v>
      </c>
      <c r="Z233" s="22">
        <v>5.7824988543158042</v>
      </c>
      <c r="AA233" s="371">
        <v>358.95741583643184</v>
      </c>
      <c r="AB233" s="22">
        <v>8.2646943463887484E-2</v>
      </c>
      <c r="AC233" s="24">
        <v>0</v>
      </c>
      <c r="AD233" s="384">
        <v>0</v>
      </c>
    </row>
    <row r="234" spans="1:30">
      <c r="A234" s="21" t="s">
        <v>477</v>
      </c>
      <c r="B234" s="21" t="s">
        <v>478</v>
      </c>
      <c r="C234" s="23">
        <v>376.88819054468416</v>
      </c>
      <c r="D234" s="147">
        <v>54.375602270061833</v>
      </c>
      <c r="E234" s="22">
        <v>115.90139007998199</v>
      </c>
      <c r="F234" s="22">
        <v>170.27699235004383</v>
      </c>
      <c r="G234" s="22">
        <v>0</v>
      </c>
      <c r="H234" s="22">
        <v>19.00682232114238</v>
      </c>
      <c r="I234" s="22">
        <v>3.9220427011881105</v>
      </c>
      <c r="J234" s="22">
        <v>143.56687590297813</v>
      </c>
      <c r="K234" s="22">
        <v>4.8271294783853671</v>
      </c>
      <c r="L234" s="22">
        <v>0</v>
      </c>
      <c r="M234" s="388">
        <v>1448.7422347004083</v>
      </c>
      <c r="N234" s="25">
        <v>0.50660000000000005</v>
      </c>
      <c r="O234" s="24">
        <v>380.13644642284765</v>
      </c>
      <c r="P234" s="24">
        <v>18.855974524942841</v>
      </c>
      <c r="Q234" s="24">
        <v>16.341844588283795</v>
      </c>
      <c r="R234" s="22">
        <v>2.5141299366590451</v>
      </c>
      <c r="S234" s="24">
        <v>0.75423898099771358</v>
      </c>
      <c r="T234" s="24">
        <f t="shared" si="13"/>
        <v>19.610213505940553</v>
      </c>
      <c r="U234" s="376">
        <v>733.93</v>
      </c>
      <c r="V234" s="376">
        <v>72.44</v>
      </c>
      <c r="W234" s="22">
        <f t="shared" si="14"/>
        <v>371.80893800000001</v>
      </c>
      <c r="X234" s="22">
        <f t="shared" si="15"/>
        <v>193.33659212908057</v>
      </c>
      <c r="Y234" s="22">
        <v>134.75736460492482</v>
      </c>
      <c r="Z234" s="22">
        <v>58.579227524155755</v>
      </c>
      <c r="AA234" s="371">
        <v>1461.8157103710353</v>
      </c>
      <c r="AB234" s="22">
        <v>0.1322578425976885</v>
      </c>
      <c r="AC234" s="24">
        <v>0</v>
      </c>
      <c r="AD234" s="384">
        <v>0</v>
      </c>
    </row>
    <row r="235" spans="1:30">
      <c r="A235" s="21" t="s">
        <v>203</v>
      </c>
      <c r="B235" s="21" t="s">
        <v>204</v>
      </c>
      <c r="C235" s="23">
        <v>841.19770724687669</v>
      </c>
      <c r="D235" s="147">
        <v>31.959619754809786</v>
      </c>
      <c r="E235" s="22">
        <v>159.83832485303546</v>
      </c>
      <c r="F235" s="22">
        <v>191.79794460784524</v>
      </c>
      <c r="G235" s="22">
        <v>0</v>
      </c>
      <c r="H235" s="22">
        <v>71.592364076302971</v>
      </c>
      <c r="I235" s="22">
        <v>5.5612554198898083</v>
      </c>
      <c r="J235" s="22">
        <v>190.25929708660993</v>
      </c>
      <c r="K235" s="22">
        <v>0</v>
      </c>
      <c r="L235" s="22">
        <v>0</v>
      </c>
      <c r="M235" s="388">
        <v>3029.0338042065646</v>
      </c>
      <c r="N235" s="25">
        <v>0.1303</v>
      </c>
      <c r="O235" s="24">
        <v>0</v>
      </c>
      <c r="P235" s="24">
        <v>194.845070091076</v>
      </c>
      <c r="Q235" s="24">
        <v>144.813884351561</v>
      </c>
      <c r="R235" s="22">
        <v>50.031185739515003</v>
      </c>
      <c r="S235" s="24">
        <v>48.522707777519571</v>
      </c>
      <c r="T235" s="24">
        <f t="shared" si="13"/>
        <v>243.36777786859557</v>
      </c>
      <c r="U235" s="376">
        <v>394.68</v>
      </c>
      <c r="V235" s="376">
        <v>151.44999999999999</v>
      </c>
      <c r="W235" s="22">
        <f t="shared" si="14"/>
        <v>51.426803999999997</v>
      </c>
      <c r="X235" s="22">
        <f t="shared" si="15"/>
        <v>315.27189405704428</v>
      </c>
      <c r="Y235" s="22">
        <v>239.34516996994111</v>
      </c>
      <c r="Z235" s="22">
        <v>75.926724087103167</v>
      </c>
      <c r="AA235" s="371">
        <v>3053.611938467343</v>
      </c>
      <c r="AB235" s="22">
        <v>0.10324556636862126</v>
      </c>
      <c r="AC235" s="24">
        <v>0</v>
      </c>
      <c r="AD235" s="384">
        <v>0</v>
      </c>
    </row>
    <row r="236" spans="1:30">
      <c r="A236" s="21" t="s">
        <v>519</v>
      </c>
      <c r="B236" s="21" t="s">
        <v>520</v>
      </c>
      <c r="C236" s="23">
        <v>657.32430019938067</v>
      </c>
      <c r="D236" s="147">
        <v>0</v>
      </c>
      <c r="E236" s="22">
        <v>110.00826950845318</v>
      </c>
      <c r="F236" s="22">
        <v>110.00826950845318</v>
      </c>
      <c r="G236" s="22">
        <v>0</v>
      </c>
      <c r="H236" s="22">
        <v>55.43153684345863</v>
      </c>
      <c r="I236" s="22">
        <v>5.7623858148225322</v>
      </c>
      <c r="J236" s="22">
        <v>29.163907265244923</v>
      </c>
      <c r="K236" s="22">
        <v>8.6486069821071148</v>
      </c>
      <c r="L236" s="22">
        <v>0</v>
      </c>
      <c r="M236" s="388">
        <v>2096.3418803047921</v>
      </c>
      <c r="N236" s="25">
        <v>0.51419999999999999</v>
      </c>
      <c r="O236" s="24">
        <v>1465.2349270848915</v>
      </c>
      <c r="P236" s="24">
        <v>204.14735085671447</v>
      </c>
      <c r="Q236" s="24">
        <v>141.29410244023833</v>
      </c>
      <c r="R236" s="22">
        <v>62.853248416476134</v>
      </c>
      <c r="S236" s="24">
        <v>22.627169429931406</v>
      </c>
      <c r="T236" s="24">
        <f t="shared" si="13"/>
        <v>226.77452028664587</v>
      </c>
      <c r="U236" s="376">
        <v>1077.94</v>
      </c>
      <c r="V236" s="376">
        <v>104.82</v>
      </c>
      <c r="W236" s="22">
        <f t="shared" si="14"/>
        <v>554.276748</v>
      </c>
      <c r="X236" s="22">
        <f t="shared" si="15"/>
        <v>274.04016309583591</v>
      </c>
      <c r="Y236" s="22">
        <v>177.49757352812858</v>
      </c>
      <c r="Z236" s="22">
        <v>96.542589567707338</v>
      </c>
      <c r="AA236" s="371">
        <v>2111.336151247026</v>
      </c>
      <c r="AB236" s="22">
        <v>0.12979466246243099</v>
      </c>
      <c r="AC236" s="24">
        <v>0</v>
      </c>
      <c r="AD236" s="384">
        <v>0</v>
      </c>
    </row>
    <row r="237" spans="1:30">
      <c r="A237" s="21" t="s">
        <v>263</v>
      </c>
      <c r="B237" s="21" t="s">
        <v>264</v>
      </c>
      <c r="C237" s="23">
        <v>16</v>
      </c>
      <c r="D237" s="147">
        <v>0</v>
      </c>
      <c r="E237" s="22">
        <v>0</v>
      </c>
      <c r="F237" s="22">
        <v>0</v>
      </c>
      <c r="G237" s="22">
        <v>0</v>
      </c>
      <c r="H237" s="22">
        <v>0</v>
      </c>
      <c r="I237" s="22">
        <v>0</v>
      </c>
      <c r="J237" s="22">
        <v>0</v>
      </c>
      <c r="K237" s="22">
        <v>0</v>
      </c>
      <c r="L237" s="22">
        <v>0</v>
      </c>
      <c r="M237" s="388">
        <v>34.4</v>
      </c>
      <c r="N237" s="25">
        <v>0</v>
      </c>
      <c r="O237" s="24">
        <v>0</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-5795.6588376087911</v>
      </c>
    </row>
    <row r="238" spans="1:30">
      <c r="A238" s="21" t="s">
        <v>575</v>
      </c>
      <c r="B238" s="21" t="s">
        <v>576</v>
      </c>
      <c r="C238" s="23">
        <v>46.863382019324604</v>
      </c>
      <c r="D238" s="147">
        <v>2.3632821404595026</v>
      </c>
      <c r="E238" s="22">
        <v>5.3299554657171759</v>
      </c>
      <c r="F238" s="22">
        <v>7.6932376061766785</v>
      </c>
      <c r="G238" s="22">
        <v>0</v>
      </c>
      <c r="H238" s="22">
        <v>3.87176010245493</v>
      </c>
      <c r="I238" s="22">
        <v>0</v>
      </c>
      <c r="J238" s="22">
        <v>0</v>
      </c>
      <c r="K238" s="22">
        <v>0</v>
      </c>
      <c r="L238" s="22">
        <v>0</v>
      </c>
      <c r="M238" s="388">
        <v>154.24689987390576</v>
      </c>
      <c r="N238" s="25">
        <v>0.63690000000000002</v>
      </c>
      <c r="O238" s="24">
        <v>157.88736002218803</v>
      </c>
      <c r="P238" s="24">
        <v>0</v>
      </c>
      <c r="Q238" s="24">
        <v>0</v>
      </c>
      <c r="R238" s="22">
        <v>0</v>
      </c>
      <c r="S238" s="24">
        <v>0</v>
      </c>
      <c r="T238" s="24">
        <f t="shared" si="13"/>
        <v>0</v>
      </c>
      <c r="U238" s="376">
        <v>98.24</v>
      </c>
      <c r="V238" s="376">
        <v>0</v>
      </c>
      <c r="W238" s="22">
        <f t="shared" si="14"/>
        <v>62.569055999999996</v>
      </c>
      <c r="X238" s="22">
        <f t="shared" si="15"/>
        <v>18.35314853761103</v>
      </c>
      <c r="Y238" s="22">
        <v>14.079127645290654</v>
      </c>
      <c r="Z238" s="22">
        <v>4.2740208923203769</v>
      </c>
      <c r="AA238" s="371">
        <v>154.24689987390573</v>
      </c>
      <c r="AB238" s="22">
        <v>0.11898552614421698</v>
      </c>
      <c r="AC238" s="24">
        <v>0</v>
      </c>
      <c r="AD238" s="384">
        <v>0</v>
      </c>
    </row>
    <row r="239" spans="1:30">
      <c r="A239" s="21" t="s">
        <v>131</v>
      </c>
      <c r="B239" s="21" t="s">
        <v>132</v>
      </c>
      <c r="C239" s="23">
        <v>499.60790101288546</v>
      </c>
      <c r="D239" s="147">
        <v>29.505828936630554</v>
      </c>
      <c r="E239" s="22">
        <v>90.186869087833273</v>
      </c>
      <c r="F239" s="22">
        <v>119.69269802446382</v>
      </c>
      <c r="G239" s="22">
        <v>0</v>
      </c>
      <c r="H239" s="22">
        <v>41.985969942206054</v>
      </c>
      <c r="I239" s="22">
        <v>1.9911909098339637</v>
      </c>
      <c r="J239" s="22">
        <v>0</v>
      </c>
      <c r="K239" s="22">
        <v>6.6373030327798794</v>
      </c>
      <c r="L239" s="22">
        <v>0</v>
      </c>
      <c r="M239" s="388">
        <v>1766.8098412470174</v>
      </c>
      <c r="N239" s="25">
        <v>0.78449999999999998</v>
      </c>
      <c r="O239" s="24">
        <v>1782.0152991039313</v>
      </c>
      <c r="P239" s="24">
        <v>753.98756800404772</v>
      </c>
      <c r="Q239" s="24">
        <v>460.84001738960302</v>
      </c>
      <c r="R239" s="22">
        <v>293.1475506144447</v>
      </c>
      <c r="S239" s="24">
        <v>135.76301657958845</v>
      </c>
      <c r="T239" s="24">
        <f t="shared" si="13"/>
        <v>889.75058458363617</v>
      </c>
      <c r="U239" s="376">
        <v>1386.06</v>
      </c>
      <c r="V239" s="376">
        <v>88.34</v>
      </c>
      <c r="W239" s="22">
        <f t="shared" si="14"/>
        <v>1087.3640699999999</v>
      </c>
      <c r="X239" s="22">
        <f t="shared" si="15"/>
        <v>239.59658296360703</v>
      </c>
      <c r="Y239" s="22">
        <v>143.5568193832315</v>
      </c>
      <c r="Z239" s="22">
        <v>96.039763580375535</v>
      </c>
      <c r="AA239" s="371">
        <v>1777.1278305070662</v>
      </c>
      <c r="AB239" s="22">
        <v>0.13482236834659395</v>
      </c>
      <c r="AC239" s="24">
        <v>0</v>
      </c>
      <c r="AD239" s="384">
        <v>0</v>
      </c>
    </row>
    <row r="240" spans="1:30">
      <c r="A240" s="21" t="s">
        <v>399</v>
      </c>
      <c r="B240" s="21" t="s">
        <v>400</v>
      </c>
      <c r="C240" s="23">
        <v>199.86327344464746</v>
      </c>
      <c r="D240" s="147">
        <v>0</v>
      </c>
      <c r="E240" s="22">
        <v>23.864121358767658</v>
      </c>
      <c r="F240" s="22">
        <v>23.864121358767658</v>
      </c>
      <c r="G240" s="22">
        <v>0</v>
      </c>
      <c r="H240" s="22">
        <v>6.4763987168337014</v>
      </c>
      <c r="I240" s="22">
        <v>0.62350422429144325</v>
      </c>
      <c r="J240" s="22">
        <v>37.400196937739956</v>
      </c>
      <c r="K240" s="22">
        <v>4.6259990834526432</v>
      </c>
      <c r="L240" s="22">
        <v>0</v>
      </c>
      <c r="M240" s="388">
        <v>782.22627545260195</v>
      </c>
      <c r="N240" s="25">
        <v>0.4</v>
      </c>
      <c r="O240" s="24">
        <v>0</v>
      </c>
      <c r="P240" s="24">
        <v>48.77412077118548</v>
      </c>
      <c r="Q240" s="24">
        <v>30.672385227240351</v>
      </c>
      <c r="R240" s="22">
        <v>18.101735543945125</v>
      </c>
      <c r="S240" s="24">
        <v>12.570649683295226</v>
      </c>
      <c r="T240" s="24">
        <f t="shared" si="13"/>
        <v>61.34477045448071</v>
      </c>
      <c r="U240" s="376">
        <v>312.89</v>
      </c>
      <c r="V240" s="376">
        <v>39.11</v>
      </c>
      <c r="W240" s="22">
        <f t="shared" si="14"/>
        <v>125.15600000000001</v>
      </c>
      <c r="X240" s="22">
        <f t="shared" si="15"/>
        <v>138.02573352258159</v>
      </c>
      <c r="Y240" s="22">
        <v>118.66693301030693</v>
      </c>
      <c r="Z240" s="22">
        <v>19.358800512274648</v>
      </c>
      <c r="AA240" s="371">
        <v>782.21621893285544</v>
      </c>
      <c r="AB240" s="22">
        <v>0.17645470674449101</v>
      </c>
      <c r="AC240" s="24">
        <v>4.1454706744491004E-2</v>
      </c>
      <c r="AD240" s="384">
        <v>-322803.44873888057</v>
      </c>
    </row>
    <row r="241" spans="1:30">
      <c r="A241" s="21" t="s">
        <v>159</v>
      </c>
      <c r="B241" s="21" t="s">
        <v>160</v>
      </c>
      <c r="C241" s="23">
        <v>30</v>
      </c>
      <c r="D241" s="147">
        <v>0</v>
      </c>
      <c r="E241" s="22">
        <v>0</v>
      </c>
      <c r="F241" s="22">
        <v>0</v>
      </c>
      <c r="G241" s="22">
        <v>0</v>
      </c>
      <c r="H241" s="22">
        <v>0</v>
      </c>
      <c r="I241" s="22">
        <v>0</v>
      </c>
      <c r="J241" s="22">
        <v>0</v>
      </c>
      <c r="K241" s="22">
        <v>0</v>
      </c>
      <c r="L241" s="22">
        <v>0</v>
      </c>
      <c r="M241" s="388">
        <v>54</v>
      </c>
      <c r="N241" s="25">
        <v>0.62960000000000005</v>
      </c>
      <c r="O241" s="24">
        <v>54</v>
      </c>
      <c r="P241" s="24">
        <v>0</v>
      </c>
      <c r="Q241" s="24">
        <v>0</v>
      </c>
      <c r="R241" s="22">
        <v>0</v>
      </c>
      <c r="S241" s="24">
        <v>0</v>
      </c>
      <c r="T241" s="24">
        <f t="shared" si="13"/>
        <v>0</v>
      </c>
      <c r="U241" s="376">
        <v>34</v>
      </c>
      <c r="V241" s="376">
        <v>0</v>
      </c>
      <c r="W241" s="22">
        <f t="shared" si="14"/>
        <v>21.406400000000001</v>
      </c>
      <c r="X241" s="22">
        <f t="shared" si="15"/>
        <v>9.5</v>
      </c>
      <c r="Y241" s="22">
        <v>9.5</v>
      </c>
      <c r="Z241" s="22">
        <v>0</v>
      </c>
      <c r="AA241" s="371">
        <v>54</v>
      </c>
      <c r="AB241" s="22">
        <v>0.17592592592592593</v>
      </c>
      <c r="AC241" s="24">
        <v>4.0925925925925921E-2</v>
      </c>
      <c r="AD241" s="384">
        <v>-21741.221606510233</v>
      </c>
    </row>
    <row r="242" spans="1:30">
      <c r="A242" s="21" t="s">
        <v>183</v>
      </c>
      <c r="B242" s="21" t="s">
        <v>184</v>
      </c>
      <c r="C242" s="23">
        <v>15909.816499968303</v>
      </c>
      <c r="D242" s="147">
        <v>173.6660395046602</v>
      </c>
      <c r="E242" s="22">
        <v>1550.5343275758596</v>
      </c>
      <c r="F242" s="22">
        <v>1724.2003670805198</v>
      </c>
      <c r="G242" s="22">
        <v>103.27040127820695</v>
      </c>
      <c r="H242" s="22">
        <v>894.54754450278153</v>
      </c>
      <c r="I242" s="22">
        <v>26.750342526052243</v>
      </c>
      <c r="J242" s="22">
        <v>699.60190921423919</v>
      </c>
      <c r="K242" s="22">
        <v>63.758335193673389</v>
      </c>
      <c r="L242" s="22">
        <v>0</v>
      </c>
      <c r="M242" s="388">
        <v>50858.545675590503</v>
      </c>
      <c r="N242" s="25">
        <v>0.40450000000000003</v>
      </c>
      <c r="O242" s="24">
        <v>14314.450207361941</v>
      </c>
      <c r="P242" s="24">
        <v>6680.0432417030825</v>
      </c>
      <c r="Q242" s="24">
        <v>4394.447716286345</v>
      </c>
      <c r="R242" s="22">
        <v>2285.5955254167379</v>
      </c>
      <c r="S242" s="24">
        <v>733.62311551710945</v>
      </c>
      <c r="T242" s="24">
        <f t="shared" si="13"/>
        <v>7413.6663572201924</v>
      </c>
      <c r="U242" s="376">
        <v>20572.28</v>
      </c>
      <c r="V242" s="376">
        <v>0</v>
      </c>
      <c r="W242" s="22">
        <f t="shared" si="14"/>
        <v>8321.4872599999999</v>
      </c>
      <c r="X242" s="22">
        <f t="shared" si="15"/>
        <v>6800.2186526753849</v>
      </c>
      <c r="Y242" s="22">
        <v>4698.9088516157553</v>
      </c>
      <c r="Z242" s="22">
        <v>2101.30980105963</v>
      </c>
      <c r="AA242" s="371">
        <v>50886.905061276026</v>
      </c>
      <c r="AB242" s="22">
        <v>0.13363396033786742</v>
      </c>
      <c r="AC242" s="24">
        <v>0</v>
      </c>
      <c r="AD242" s="384">
        <v>0</v>
      </c>
    </row>
    <row r="243" spans="1:30">
      <c r="A243" s="21" t="s">
        <v>405</v>
      </c>
      <c r="B243" s="21" t="s">
        <v>406</v>
      </c>
      <c r="C243" s="23">
        <v>1223.6069271324641</v>
      </c>
      <c r="D243" s="147">
        <v>23.35123885168921</v>
      </c>
      <c r="E243" s="22">
        <v>306.49255231823088</v>
      </c>
      <c r="F243" s="22">
        <v>329.84379116992011</v>
      </c>
      <c r="G243" s="22">
        <v>0</v>
      </c>
      <c r="H243" s="22">
        <v>52.645880873640408</v>
      </c>
      <c r="I243" s="22">
        <v>4.5254338859862813</v>
      </c>
      <c r="J243" s="22">
        <v>170.18648367232407</v>
      </c>
      <c r="K243" s="22">
        <v>29.767298450043096</v>
      </c>
      <c r="L243" s="22">
        <v>0</v>
      </c>
      <c r="M243" s="388">
        <v>4309.9729504146017</v>
      </c>
      <c r="N243" s="25">
        <v>0.51629999999999998</v>
      </c>
      <c r="O243" s="24">
        <v>2175.225221197406</v>
      </c>
      <c r="P243" s="24">
        <v>340.6646064173006</v>
      </c>
      <c r="Q243" s="24">
        <v>222.24908640065959</v>
      </c>
      <c r="R243" s="22">
        <v>118.41552001664103</v>
      </c>
      <c r="S243" s="24">
        <v>43.494447904201486</v>
      </c>
      <c r="T243" s="24">
        <f t="shared" si="13"/>
        <v>384.15905432150208</v>
      </c>
      <c r="U243" s="376">
        <v>2225.2399999999998</v>
      </c>
      <c r="V243" s="376">
        <v>215.5</v>
      </c>
      <c r="W243" s="22">
        <f t="shared" si="14"/>
        <v>1148.8914119999999</v>
      </c>
      <c r="X243" s="22">
        <f t="shared" si="15"/>
        <v>753.48474201671581</v>
      </c>
      <c r="Y243" s="22">
        <v>524.44750478707681</v>
      </c>
      <c r="Z243" s="22">
        <v>229.03723722963903</v>
      </c>
      <c r="AA243" s="371">
        <v>4366.2291218772834</v>
      </c>
      <c r="AB243" s="22">
        <v>0.17257104952219068</v>
      </c>
      <c r="AC243" s="24">
        <v>3.7571049522190675E-2</v>
      </c>
      <c r="AD243" s="384">
        <v>-1640005.8105980812</v>
      </c>
    </row>
    <row r="244" spans="1:30">
      <c r="A244" s="21" t="s">
        <v>589</v>
      </c>
      <c r="B244" s="21" t="s">
        <v>590</v>
      </c>
      <c r="C244" s="23">
        <v>1052.1432654523171</v>
      </c>
      <c r="D244" s="147">
        <v>22.30536079803905</v>
      </c>
      <c r="E244" s="22">
        <v>373.98185633790632</v>
      </c>
      <c r="F244" s="22">
        <v>396.28721713594535</v>
      </c>
      <c r="G244" s="22">
        <v>0</v>
      </c>
      <c r="H244" s="22">
        <v>34.735219204881368</v>
      </c>
      <c r="I244" s="22">
        <v>2.7052038118451325</v>
      </c>
      <c r="J244" s="22">
        <v>99.056719504366384</v>
      </c>
      <c r="K244" s="22">
        <v>11.866693301030695</v>
      </c>
      <c r="L244" s="22">
        <v>0</v>
      </c>
      <c r="M244" s="388">
        <v>3639.1930267942216</v>
      </c>
      <c r="N244" s="25">
        <v>0.55589999999999995</v>
      </c>
      <c r="O244" s="24">
        <v>2485.971681368464</v>
      </c>
      <c r="P244" s="24">
        <v>335.38493355031665</v>
      </c>
      <c r="Q244" s="24">
        <v>234.56832309028891</v>
      </c>
      <c r="R244" s="22">
        <v>100.81661046002772</v>
      </c>
      <c r="S244" s="24">
        <v>48.271294783853669</v>
      </c>
      <c r="T244" s="24">
        <f t="shared" si="13"/>
        <v>383.65622833417029</v>
      </c>
      <c r="U244" s="376">
        <v>2020.84</v>
      </c>
      <c r="V244" s="376">
        <v>181.96</v>
      </c>
      <c r="W244" s="22">
        <f t="shared" si="14"/>
        <v>1123.3849559999999</v>
      </c>
      <c r="X244" s="22">
        <f t="shared" si="15"/>
        <v>439.97273891533291</v>
      </c>
      <c r="Y244" s="22">
        <v>375.61101253686138</v>
      </c>
      <c r="Z244" s="22">
        <v>64.361726378471559</v>
      </c>
      <c r="AA244" s="371">
        <v>3674.80316321706</v>
      </c>
      <c r="AB244" s="22">
        <v>0.11972688586949085</v>
      </c>
      <c r="AC244" s="24">
        <v>0</v>
      </c>
      <c r="AD244" s="384">
        <v>0</v>
      </c>
    </row>
    <row r="245" spans="1:30">
      <c r="A245" s="21" t="s">
        <v>359</v>
      </c>
      <c r="B245" s="21" t="s">
        <v>360</v>
      </c>
      <c r="C245" s="23">
        <v>76.68096306810088</v>
      </c>
      <c r="D245" s="147">
        <v>5.8931205715288026</v>
      </c>
      <c r="E245" s="22">
        <v>12.268954090896139</v>
      </c>
      <c r="F245" s="22">
        <v>18.162074662424942</v>
      </c>
      <c r="G245" s="22">
        <v>0</v>
      </c>
      <c r="H245" s="22">
        <v>4.6863382019324602</v>
      </c>
      <c r="I245" s="22">
        <v>0.20113039493272364</v>
      </c>
      <c r="J245" s="22">
        <v>0</v>
      </c>
      <c r="K245" s="22">
        <v>0</v>
      </c>
      <c r="L245" s="22">
        <v>0</v>
      </c>
      <c r="M245" s="388">
        <v>235.89578369684494</v>
      </c>
      <c r="N245" s="25">
        <v>0.58299999999999996</v>
      </c>
      <c r="O245" s="24">
        <v>174.98344359146955</v>
      </c>
      <c r="P245" s="24">
        <v>0</v>
      </c>
      <c r="Q245" s="24">
        <v>0</v>
      </c>
      <c r="R245" s="22">
        <v>0</v>
      </c>
      <c r="S245" s="24">
        <v>0</v>
      </c>
      <c r="T245" s="24">
        <f t="shared" si="13"/>
        <v>0</v>
      </c>
      <c r="U245" s="376">
        <v>137.53</v>
      </c>
      <c r="V245" s="376">
        <v>0</v>
      </c>
      <c r="W245" s="22">
        <f t="shared" si="14"/>
        <v>80.179989999999989</v>
      </c>
      <c r="X245" s="22">
        <f t="shared" si="15"/>
        <v>44.5000998788651</v>
      </c>
      <c r="Y245" s="22">
        <v>28.912494271579021</v>
      </c>
      <c r="Z245" s="22">
        <v>15.587605607286081</v>
      </c>
      <c r="AA245" s="371">
        <v>235.89578369684489</v>
      </c>
      <c r="AB245" s="22">
        <v>0.18864304898324594</v>
      </c>
      <c r="AC245" s="24">
        <v>5.3643048983245928E-2</v>
      </c>
      <c r="AD245" s="384">
        <v>-117404.20590801464</v>
      </c>
    </row>
    <row r="246" spans="1:30">
      <c r="A246" s="21" t="s">
        <v>47</v>
      </c>
      <c r="B246" s="21" t="s">
        <v>48</v>
      </c>
      <c r="C246" s="23">
        <v>660.17029528767875</v>
      </c>
      <c r="D246" s="147">
        <v>11.997428057736963</v>
      </c>
      <c r="E246" s="22">
        <v>213.71110113576549</v>
      </c>
      <c r="F246" s="22">
        <v>225.70852919350244</v>
      </c>
      <c r="G246" s="22">
        <v>0</v>
      </c>
      <c r="H246" s="22">
        <v>56.63831921305497</v>
      </c>
      <c r="I246" s="22">
        <v>7.5926724087103166</v>
      </c>
      <c r="J246" s="22">
        <v>221.09258662979644</v>
      </c>
      <c r="K246" s="22">
        <v>0</v>
      </c>
      <c r="L246" s="22">
        <v>0</v>
      </c>
      <c r="M246" s="388">
        <v>2563.6080138124958</v>
      </c>
      <c r="N246" s="25">
        <v>0.44390000000000002</v>
      </c>
      <c r="O246" s="24">
        <v>0</v>
      </c>
      <c r="P246" s="24">
        <v>47.768468796521859</v>
      </c>
      <c r="Q246" s="24">
        <v>34.946406119560727</v>
      </c>
      <c r="R246" s="22">
        <v>12.822062676961131</v>
      </c>
      <c r="S246" s="24">
        <v>12.067823695963417</v>
      </c>
      <c r="T246" s="24">
        <f t="shared" si="13"/>
        <v>59.836292492485278</v>
      </c>
      <c r="U246" s="376">
        <v>1138.5</v>
      </c>
      <c r="V246" s="376">
        <v>128.18</v>
      </c>
      <c r="W246" s="22">
        <f t="shared" si="14"/>
        <v>505.38015000000001</v>
      </c>
      <c r="X246" s="22">
        <f t="shared" si="15"/>
        <v>396.47829101113143</v>
      </c>
      <c r="Y246" s="22">
        <v>347.20134425261415</v>
      </c>
      <c r="Z246" s="22">
        <v>49.27694675851729</v>
      </c>
      <c r="AA246" s="371">
        <v>2563.618070332242</v>
      </c>
      <c r="AB246" s="22">
        <v>0.1546557560969869</v>
      </c>
      <c r="AC246" s="24">
        <v>1.9655756096986887E-2</v>
      </c>
      <c r="AD246" s="384">
        <v>-482171.77225086989</v>
      </c>
    </row>
    <row r="247" spans="1:30">
      <c r="A247" s="21" t="s">
        <v>393</v>
      </c>
      <c r="B247" s="21" t="s">
        <v>394</v>
      </c>
      <c r="C247" s="23">
        <v>5.8</v>
      </c>
      <c r="D247" s="147">
        <v>0</v>
      </c>
      <c r="E247" s="22">
        <v>0</v>
      </c>
      <c r="F247" s="22">
        <v>0</v>
      </c>
      <c r="G247" s="22">
        <v>0</v>
      </c>
      <c r="H247" s="22">
        <v>0</v>
      </c>
      <c r="I247" s="22">
        <v>0</v>
      </c>
      <c r="J247" s="22">
        <v>0</v>
      </c>
      <c r="K247" s="22">
        <v>0</v>
      </c>
      <c r="L247" s="22">
        <v>0</v>
      </c>
      <c r="M247" s="388">
        <v>9.8000000000000007</v>
      </c>
      <c r="N247" s="25">
        <v>0</v>
      </c>
      <c r="O247" s="24">
        <v>0</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1096.8042696471286</v>
      </c>
      <c r="D248" s="147">
        <v>114.03087740710765</v>
      </c>
      <c r="E248" s="22">
        <v>678.7547437794625</v>
      </c>
      <c r="F248" s="22">
        <v>792.7856211865701</v>
      </c>
      <c r="G248" s="22">
        <v>0</v>
      </c>
      <c r="H248" s="22">
        <v>52.243620083774964</v>
      </c>
      <c r="I248" s="22">
        <v>4.7165077611723696</v>
      </c>
      <c r="J248" s="22">
        <v>152.4568393590045</v>
      </c>
      <c r="K248" s="22">
        <v>42.237382935871963</v>
      </c>
      <c r="L248" s="22">
        <v>0</v>
      </c>
      <c r="M248" s="388">
        <v>4303.0641213486624</v>
      </c>
      <c r="N248" s="25">
        <v>0.6734</v>
      </c>
      <c r="O248" s="24">
        <v>4331.3430548762035</v>
      </c>
      <c r="P248" s="24">
        <v>914.38905796289487</v>
      </c>
      <c r="Q248" s="24">
        <v>597.60868594385511</v>
      </c>
      <c r="R248" s="22">
        <v>316.7803720190397</v>
      </c>
      <c r="S248" s="24">
        <v>47.014229815524146</v>
      </c>
      <c r="T248" s="24">
        <f t="shared" si="13"/>
        <v>961.40328777841898</v>
      </c>
      <c r="U248" s="376">
        <v>2897.68</v>
      </c>
      <c r="V248" s="376">
        <v>215.15</v>
      </c>
      <c r="W248" s="22">
        <f t="shared" si="14"/>
        <v>1951.2977119999998</v>
      </c>
      <c r="X248" s="22">
        <f t="shared" si="15"/>
        <v>557.88543294464216</v>
      </c>
      <c r="Y248" s="22">
        <v>426.89926324470588</v>
      </c>
      <c r="Z248" s="22">
        <v>130.98616969993626</v>
      </c>
      <c r="AA248" s="371">
        <v>4318.7623486731609</v>
      </c>
      <c r="AB248" s="22">
        <v>0.1291771549124576</v>
      </c>
      <c r="AC248" s="24">
        <v>0</v>
      </c>
      <c r="AD248" s="384">
        <v>0</v>
      </c>
    </row>
    <row r="249" spans="1:30">
      <c r="A249" s="21" t="s">
        <v>213</v>
      </c>
      <c r="B249" s="21" t="s">
        <v>214</v>
      </c>
      <c r="C249" s="23">
        <v>2559.2635972819485</v>
      </c>
      <c r="D249" s="147">
        <v>34.88606700108091</v>
      </c>
      <c r="E249" s="22">
        <v>409.4210319250522</v>
      </c>
      <c r="F249" s="22">
        <v>444.30709892613311</v>
      </c>
      <c r="G249" s="22">
        <v>0</v>
      </c>
      <c r="H249" s="22">
        <v>194.33218758399758</v>
      </c>
      <c r="I249" s="22">
        <v>7.6530115271901344</v>
      </c>
      <c r="J249" s="22">
        <v>113.8498600516682</v>
      </c>
      <c r="K249" s="22">
        <v>0</v>
      </c>
      <c r="L249" s="22">
        <v>0</v>
      </c>
      <c r="M249" s="388">
        <v>9142.1709147522743</v>
      </c>
      <c r="N249" s="25">
        <v>0.2676</v>
      </c>
      <c r="O249" s="24">
        <v>0</v>
      </c>
      <c r="P249" s="24">
        <v>843.23918075544373</v>
      </c>
      <c r="Q249" s="24">
        <v>602.88835881083901</v>
      </c>
      <c r="R249" s="22">
        <v>240.35082194460472</v>
      </c>
      <c r="S249" s="24">
        <v>202.13604690738725</v>
      </c>
      <c r="T249" s="24">
        <f t="shared" si="13"/>
        <v>1045.3752276628311</v>
      </c>
      <c r="U249" s="376">
        <v>2446.44</v>
      </c>
      <c r="V249" s="376">
        <v>457.11</v>
      </c>
      <c r="W249" s="22">
        <f t="shared" si="14"/>
        <v>654.66734400000007</v>
      </c>
      <c r="X249" s="22">
        <f t="shared" si="15"/>
        <v>1039.3413158148494</v>
      </c>
      <c r="Y249" s="22">
        <v>717.02985793515973</v>
      </c>
      <c r="Z249" s="22">
        <v>322.31145787968961</v>
      </c>
      <c r="AA249" s="371">
        <v>9155.033203508221</v>
      </c>
      <c r="AB249" s="22">
        <v>0.11352676639300144</v>
      </c>
      <c r="AC249" s="24">
        <v>0</v>
      </c>
      <c r="AD249" s="384">
        <v>0</v>
      </c>
    </row>
    <row r="250" spans="1:30">
      <c r="A250" s="21" t="s">
        <v>415</v>
      </c>
      <c r="B250" s="21" t="s">
        <v>416</v>
      </c>
      <c r="C250" s="23">
        <v>39.799999999999997</v>
      </c>
      <c r="D250" s="147">
        <v>0</v>
      </c>
      <c r="E250" s="22">
        <v>0</v>
      </c>
      <c r="F250" s="22">
        <v>0</v>
      </c>
      <c r="G250" s="22">
        <v>0</v>
      </c>
      <c r="H250" s="22">
        <v>0</v>
      </c>
      <c r="I250" s="22">
        <v>0</v>
      </c>
      <c r="J250" s="22">
        <v>0</v>
      </c>
      <c r="K250" s="22">
        <v>0</v>
      </c>
      <c r="L250" s="22">
        <v>0</v>
      </c>
      <c r="M250" s="388">
        <v>65.199999999999989</v>
      </c>
      <c r="N250" s="25">
        <v>0.66269999999999996</v>
      </c>
      <c r="O250" s="24">
        <v>70</v>
      </c>
      <c r="P250" s="24">
        <v>0</v>
      </c>
      <c r="Q250" s="24">
        <v>0</v>
      </c>
      <c r="R250" s="22">
        <v>0</v>
      </c>
      <c r="S250" s="24">
        <v>0</v>
      </c>
      <c r="T250" s="24">
        <f t="shared" si="13"/>
        <v>0</v>
      </c>
      <c r="U250" s="376">
        <v>43.21</v>
      </c>
      <c r="V250" s="376">
        <v>0</v>
      </c>
      <c r="W250" s="22">
        <f t="shared" si="14"/>
        <v>28.635266999999999</v>
      </c>
      <c r="X250" s="22">
        <f t="shared" si="15"/>
        <v>9</v>
      </c>
      <c r="Y250" s="22">
        <v>9</v>
      </c>
      <c r="Z250" s="22">
        <v>0</v>
      </c>
      <c r="AA250" s="371">
        <v>65.2</v>
      </c>
      <c r="AB250" s="22">
        <v>0.1380368098159509</v>
      </c>
      <c r="AC250" s="24">
        <v>3.0368098159508916E-3</v>
      </c>
      <c r="AD250" s="384">
        <v>-1978.4424841005418</v>
      </c>
    </row>
    <row r="251" spans="1:30">
      <c r="A251" s="21" t="s">
        <v>197</v>
      </c>
      <c r="B251" s="21" t="s">
        <v>198</v>
      </c>
      <c r="C251" s="23">
        <v>9.6</v>
      </c>
      <c r="D251" s="147">
        <v>0</v>
      </c>
      <c r="E251" s="22">
        <v>0</v>
      </c>
      <c r="F251" s="22">
        <v>0</v>
      </c>
      <c r="G251" s="22">
        <v>0</v>
      </c>
      <c r="H251" s="22">
        <v>1</v>
      </c>
      <c r="I251" s="22">
        <v>0</v>
      </c>
      <c r="J251" s="22">
        <v>0</v>
      </c>
      <c r="K251" s="22">
        <v>0</v>
      </c>
      <c r="L251" s="22">
        <v>0</v>
      </c>
      <c r="M251" s="388">
        <v>36.19</v>
      </c>
      <c r="N251" s="25">
        <v>0.87760000000000005</v>
      </c>
      <c r="O251" s="24">
        <v>38</v>
      </c>
      <c r="P251" s="24">
        <v>1</v>
      </c>
      <c r="Q251" s="24">
        <v>1</v>
      </c>
      <c r="R251" s="22">
        <v>0</v>
      </c>
      <c r="S251" s="24">
        <v>0</v>
      </c>
      <c r="T251" s="24">
        <f t="shared" si="13"/>
        <v>1</v>
      </c>
      <c r="U251" s="376">
        <v>31.76</v>
      </c>
      <c r="V251" s="376">
        <v>0</v>
      </c>
      <c r="W251" s="22">
        <f t="shared" si="14"/>
        <v>27.872576000000002</v>
      </c>
      <c r="X251" s="22">
        <f t="shared" si="15"/>
        <v>12.5</v>
      </c>
      <c r="Y251" s="22">
        <v>12.5</v>
      </c>
      <c r="Z251" s="22">
        <v>0</v>
      </c>
      <c r="AA251" s="371">
        <v>36.19</v>
      </c>
      <c r="AB251" s="22">
        <v>0.34539928156949434</v>
      </c>
      <c r="AC251" s="24">
        <v>0.21039928156949433</v>
      </c>
      <c r="AD251" s="384">
        <v>-79047.531234079797</v>
      </c>
    </row>
    <row r="252" spans="1:30">
      <c r="A252" s="21" t="s">
        <v>439</v>
      </c>
      <c r="B252" s="21" t="s">
        <v>440</v>
      </c>
      <c r="C252" s="23">
        <v>2547.2158866254786</v>
      </c>
      <c r="D252" s="147">
        <v>127.04401395925487</v>
      </c>
      <c r="E252" s="22">
        <v>413.70510933711921</v>
      </c>
      <c r="F252" s="22">
        <v>540.74912329637414</v>
      </c>
      <c r="G252" s="22">
        <v>0</v>
      </c>
      <c r="H252" s="22">
        <v>188.77093216410776</v>
      </c>
      <c r="I252" s="22">
        <v>13.32488866429294</v>
      </c>
      <c r="J252" s="22">
        <v>213.96251412943138</v>
      </c>
      <c r="K252" s="22">
        <v>0</v>
      </c>
      <c r="L252" s="22">
        <v>0</v>
      </c>
      <c r="M252" s="388">
        <v>9308.0934340520234</v>
      </c>
      <c r="N252" s="25">
        <v>0.19320000000000001</v>
      </c>
      <c r="O252" s="24">
        <v>0</v>
      </c>
      <c r="P252" s="24">
        <v>365.80590578389103</v>
      </c>
      <c r="Q252" s="24">
        <v>262.2237523935384</v>
      </c>
      <c r="R252" s="22">
        <v>103.58215339035266</v>
      </c>
      <c r="S252" s="24">
        <v>151.60203518054044</v>
      </c>
      <c r="T252" s="24">
        <f t="shared" si="13"/>
        <v>517.40794096443142</v>
      </c>
      <c r="U252" s="376">
        <v>1799.25</v>
      </c>
      <c r="V252" s="376">
        <v>465.4</v>
      </c>
      <c r="W252" s="22">
        <f t="shared" si="14"/>
        <v>347.61510000000004</v>
      </c>
      <c r="X252" s="22">
        <f t="shared" si="15"/>
        <v>1118.5364088196093</v>
      </c>
      <c r="Y252" s="22">
        <v>684.09475576492616</v>
      </c>
      <c r="Z252" s="22">
        <v>434.441653054683</v>
      </c>
      <c r="AA252" s="371">
        <v>9391.2306827974644</v>
      </c>
      <c r="AB252" s="22">
        <v>0.11910434815199525</v>
      </c>
      <c r="AC252" s="24">
        <v>0</v>
      </c>
      <c r="AD252" s="384">
        <v>0</v>
      </c>
    </row>
    <row r="253" spans="1:30">
      <c r="A253" s="21" t="s">
        <v>209</v>
      </c>
      <c r="B253" s="21" t="s">
        <v>210</v>
      </c>
      <c r="C253" s="23">
        <v>2076.7718928778377</v>
      </c>
      <c r="D253" s="147">
        <v>71.622533635542879</v>
      </c>
      <c r="E253" s="22">
        <v>380.568876771953</v>
      </c>
      <c r="F253" s="22">
        <v>452.19141040749588</v>
      </c>
      <c r="G253" s="22">
        <v>0</v>
      </c>
      <c r="H253" s="22">
        <v>209.53764544091149</v>
      </c>
      <c r="I253" s="22">
        <v>21.500839218308155</v>
      </c>
      <c r="J253" s="22">
        <v>252.19740220614213</v>
      </c>
      <c r="K253" s="22">
        <v>16.492692384483334</v>
      </c>
      <c r="L253" s="22">
        <v>0</v>
      </c>
      <c r="M253" s="388">
        <v>7136.1868643710077</v>
      </c>
      <c r="N253" s="25">
        <v>0.10589999999999999</v>
      </c>
      <c r="O253" s="24">
        <v>0</v>
      </c>
      <c r="P253" s="24">
        <v>256.4412535392226</v>
      </c>
      <c r="Q253" s="24">
        <v>186.79985429376705</v>
      </c>
      <c r="R253" s="22">
        <v>69.64139924545556</v>
      </c>
      <c r="S253" s="24">
        <v>100.06237147903001</v>
      </c>
      <c r="T253" s="24">
        <f t="shared" si="13"/>
        <v>356.50362501825259</v>
      </c>
      <c r="U253" s="376">
        <v>756.44</v>
      </c>
      <c r="V253" s="376">
        <v>356.81</v>
      </c>
      <c r="W253" s="22">
        <f t="shared" si="14"/>
        <v>80.106995999999995</v>
      </c>
      <c r="X253" s="22">
        <f t="shared" si="15"/>
        <v>663.9817162716538</v>
      </c>
      <c r="Y253" s="22">
        <v>426.89926324470588</v>
      </c>
      <c r="Z253" s="22">
        <v>237.08245302694797</v>
      </c>
      <c r="AA253" s="371">
        <v>7177.1370127793098</v>
      </c>
      <c r="AB253" s="22">
        <v>9.2513451406792957E-2</v>
      </c>
      <c r="AC253" s="24">
        <v>0</v>
      </c>
      <c r="AD253" s="384">
        <v>0</v>
      </c>
    </row>
    <row r="254" spans="1:30">
      <c r="A254" s="21" t="s">
        <v>129</v>
      </c>
      <c r="B254" s="21" t="s">
        <v>130</v>
      </c>
      <c r="C254" s="23">
        <v>160.39143343910047</v>
      </c>
      <c r="D254" s="147">
        <v>1.1464432511165246</v>
      </c>
      <c r="E254" s="22">
        <v>26.740286006305606</v>
      </c>
      <c r="F254" s="22">
        <v>27.886729257422132</v>
      </c>
      <c r="G254" s="22">
        <v>0</v>
      </c>
      <c r="H254" s="22">
        <v>18.373261577104302</v>
      </c>
      <c r="I254" s="22">
        <v>1.3576301657958845</v>
      </c>
      <c r="J254" s="22">
        <v>25.563673195949175</v>
      </c>
      <c r="K254" s="22">
        <v>0</v>
      </c>
      <c r="L254" s="22">
        <v>0</v>
      </c>
      <c r="M254" s="388">
        <v>556.60825493681932</v>
      </c>
      <c r="N254" s="25">
        <v>0.79569999999999996</v>
      </c>
      <c r="O254" s="24">
        <v>556.12554198898079</v>
      </c>
      <c r="P254" s="24">
        <v>93.022807656384686</v>
      </c>
      <c r="Q254" s="24">
        <v>55.059445612833095</v>
      </c>
      <c r="R254" s="22">
        <v>37.963362043551584</v>
      </c>
      <c r="S254" s="24">
        <v>28.158255290581309</v>
      </c>
      <c r="T254" s="24">
        <f t="shared" si="13"/>
        <v>121.18106294696599</v>
      </c>
      <c r="U254" s="376">
        <v>442.89</v>
      </c>
      <c r="V254" s="376">
        <v>27.83</v>
      </c>
      <c r="W254" s="22">
        <f t="shared" si="14"/>
        <v>352.40757299999996</v>
      </c>
      <c r="X254" s="22">
        <f t="shared" si="15"/>
        <v>105.5934573396799</v>
      </c>
      <c r="Y254" s="22">
        <v>90.508677719725625</v>
      </c>
      <c r="Z254" s="22">
        <v>15.084779619954272</v>
      </c>
      <c r="AA254" s="371">
        <v>559.25311963018464</v>
      </c>
      <c r="AB254" s="22">
        <v>0.18881156605707505</v>
      </c>
      <c r="AC254" s="24">
        <v>5.3811566057075044E-2</v>
      </c>
      <c r="AD254" s="384">
        <v>-278216.90499286074</v>
      </c>
    </row>
    <row r="255" spans="1:30">
      <c r="A255" s="21" t="s">
        <v>347</v>
      </c>
      <c r="B255" s="21" t="s">
        <v>348</v>
      </c>
      <c r="C255" s="23">
        <v>162.81505469803977</v>
      </c>
      <c r="D255" s="147">
        <v>6.0137988084884366</v>
      </c>
      <c r="E255" s="22">
        <v>36.625844917248976</v>
      </c>
      <c r="F255" s="22">
        <v>42.639643725737415</v>
      </c>
      <c r="G255" s="22">
        <v>0</v>
      </c>
      <c r="H255" s="22">
        <v>14.421049316676283</v>
      </c>
      <c r="I255" s="22">
        <v>0.17096083569281509</v>
      </c>
      <c r="J255" s="22">
        <v>34.926293080067452</v>
      </c>
      <c r="K255" s="22">
        <v>0</v>
      </c>
      <c r="L255" s="22">
        <v>0</v>
      </c>
      <c r="M255" s="388">
        <v>554.6874596652118</v>
      </c>
      <c r="N255" s="25">
        <v>0.70199999999999996</v>
      </c>
      <c r="O255" s="24">
        <v>524.9503307744086</v>
      </c>
      <c r="P255" s="24">
        <v>87.743134789400671</v>
      </c>
      <c r="Q255" s="24">
        <v>51.791076695176329</v>
      </c>
      <c r="R255" s="22">
        <v>35.952058094224348</v>
      </c>
      <c r="S255" s="24">
        <v>9.3022807656384678</v>
      </c>
      <c r="T255" s="24">
        <f t="shared" si="13"/>
        <v>97.045415555039142</v>
      </c>
      <c r="U255" s="376">
        <v>389.78</v>
      </c>
      <c r="V255" s="376">
        <v>0</v>
      </c>
      <c r="W255" s="22">
        <f t="shared" si="14"/>
        <v>273.62555999999995</v>
      </c>
      <c r="X255" s="22">
        <f t="shared" si="15"/>
        <v>75.675311093437259</v>
      </c>
      <c r="Y255" s="22">
        <v>26.14695134125407</v>
      </c>
      <c r="Z255" s="22">
        <v>49.528359752183192</v>
      </c>
      <c r="AA255" s="371">
        <v>555.19028565254371</v>
      </c>
      <c r="AB255" s="22">
        <v>0.136305178691108</v>
      </c>
      <c r="AC255" s="24">
        <v>1.3051786911079943E-3</v>
      </c>
      <c r="AD255" s="384">
        <v>-6665.6084607925932</v>
      </c>
    </row>
    <row r="256" spans="1:30">
      <c r="A256" s="21" t="s">
        <v>235</v>
      </c>
      <c r="B256" s="21" t="s">
        <v>236</v>
      </c>
      <c r="C256" s="23">
        <v>2683.2906553172124</v>
      </c>
      <c r="D256" s="147">
        <v>254.55062782685502</v>
      </c>
      <c r="E256" s="22">
        <v>631.43881837153913</v>
      </c>
      <c r="F256" s="22">
        <v>885.98944619839415</v>
      </c>
      <c r="G256" s="22">
        <v>0</v>
      </c>
      <c r="H256" s="22">
        <v>217.4621830012608</v>
      </c>
      <c r="I256" s="22">
        <v>9.935841509676548</v>
      </c>
      <c r="J256" s="22">
        <v>1343.7119424665398</v>
      </c>
      <c r="K256" s="22">
        <v>0</v>
      </c>
      <c r="L256" s="22">
        <v>0</v>
      </c>
      <c r="M256" s="388">
        <v>9711.1788585366921</v>
      </c>
      <c r="N256" s="25">
        <v>0.37280000000000002</v>
      </c>
      <c r="O256" s="24">
        <v>633.56074403807941</v>
      </c>
      <c r="P256" s="24">
        <v>240.09940895093882</v>
      </c>
      <c r="Q256" s="24">
        <v>148.58507925654956</v>
      </c>
      <c r="R256" s="22">
        <v>91.514329694389247</v>
      </c>
      <c r="S256" s="24">
        <v>34.192167138563015</v>
      </c>
      <c r="T256" s="24">
        <f t="shared" si="13"/>
        <v>274.29157608950186</v>
      </c>
      <c r="U256" s="376">
        <v>3620.33</v>
      </c>
      <c r="V256" s="376">
        <v>485.56</v>
      </c>
      <c r="W256" s="22">
        <f t="shared" si="14"/>
        <v>1349.659024</v>
      </c>
      <c r="X256" s="22">
        <f t="shared" si="15"/>
        <v>1401.8788526810836</v>
      </c>
      <c r="Y256" s="22">
        <v>872.90591400802055</v>
      </c>
      <c r="Z256" s="22">
        <v>528.97293867306314</v>
      </c>
      <c r="AA256" s="371">
        <v>9777.8636409766386</v>
      </c>
      <c r="AB256" s="22">
        <v>0.14337271454739373</v>
      </c>
      <c r="AC256" s="24">
        <v>8.372714547393717E-3</v>
      </c>
      <c r="AD256" s="384">
        <v>-850054.67728317506</v>
      </c>
    </row>
    <row r="257" spans="1:30">
      <c r="A257" s="21" t="s">
        <v>171</v>
      </c>
      <c r="B257" s="21" t="s">
        <v>172</v>
      </c>
      <c r="C257" s="23">
        <v>273.6379023059705</v>
      </c>
      <c r="D257" s="147">
        <v>0</v>
      </c>
      <c r="E257" s="22">
        <v>59.755840334512193</v>
      </c>
      <c r="F257" s="22">
        <v>59.755840334512193</v>
      </c>
      <c r="G257" s="22">
        <v>0</v>
      </c>
      <c r="H257" s="22">
        <v>26.036329624041073</v>
      </c>
      <c r="I257" s="22">
        <v>1.9308517913541468</v>
      </c>
      <c r="J257" s="22">
        <v>74.559037401560644</v>
      </c>
      <c r="K257" s="22">
        <v>0</v>
      </c>
      <c r="L257" s="22">
        <v>0</v>
      </c>
      <c r="M257" s="388">
        <v>1192.2808681216925</v>
      </c>
      <c r="N257" s="25">
        <v>0.29339999999999999</v>
      </c>
      <c r="O257" s="24">
        <v>44.248686885199199</v>
      </c>
      <c r="P257" s="24">
        <v>3.2683689176567587</v>
      </c>
      <c r="Q257" s="24">
        <v>2.5141299366590451</v>
      </c>
      <c r="R257" s="22">
        <v>0.75423898099771358</v>
      </c>
      <c r="S257" s="24">
        <v>3.0169559239908543</v>
      </c>
      <c r="T257" s="24">
        <f t="shared" si="13"/>
        <v>6.2853248416476131</v>
      </c>
      <c r="U257" s="376">
        <v>349.82</v>
      </c>
      <c r="V257" s="376">
        <v>59.61</v>
      </c>
      <c r="W257" s="22">
        <f t="shared" si="14"/>
        <v>102.63718799999999</v>
      </c>
      <c r="X257" s="22">
        <f t="shared" si="15"/>
        <v>176.99474754079677</v>
      </c>
      <c r="Y257" s="22">
        <v>120.17541097230236</v>
      </c>
      <c r="Z257" s="22">
        <v>56.819336568494421</v>
      </c>
      <c r="AA257" s="371">
        <v>1203.3229268034988</v>
      </c>
      <c r="AB257" s="22">
        <v>0.14708831985023735</v>
      </c>
      <c r="AC257" s="24">
        <v>1.2088319850237339E-2</v>
      </c>
      <c r="AD257" s="384">
        <v>-152107.93351170461</v>
      </c>
    </row>
    <row r="258" spans="1:30">
      <c r="A258" s="21" t="s">
        <v>313</v>
      </c>
      <c r="B258" s="21" t="s">
        <v>314</v>
      </c>
      <c r="C258" s="23">
        <v>105.5934573396799</v>
      </c>
      <c r="D258" s="147">
        <v>0</v>
      </c>
      <c r="E258" s="22">
        <v>0</v>
      </c>
      <c r="F258" s="22">
        <v>0</v>
      </c>
      <c r="G258" s="22">
        <v>0</v>
      </c>
      <c r="H258" s="22">
        <v>0</v>
      </c>
      <c r="I258" s="22">
        <v>0</v>
      </c>
      <c r="J258" s="22">
        <v>0</v>
      </c>
      <c r="K258" s="22">
        <v>0</v>
      </c>
      <c r="L258" s="22">
        <v>0</v>
      </c>
      <c r="M258" s="388">
        <v>200.92926453779091</v>
      </c>
      <c r="N258" s="25">
        <v>0.44290000000000002</v>
      </c>
      <c r="O258" s="24">
        <v>0</v>
      </c>
      <c r="P258" s="24">
        <v>0</v>
      </c>
      <c r="Q258" s="24">
        <v>0</v>
      </c>
      <c r="R258" s="22">
        <v>0</v>
      </c>
      <c r="S258" s="24">
        <v>0</v>
      </c>
      <c r="T258" s="24">
        <f t="shared" si="13"/>
        <v>0</v>
      </c>
      <c r="U258" s="376">
        <v>88.99</v>
      </c>
      <c r="V258" s="376">
        <v>10.050000000000001</v>
      </c>
      <c r="W258" s="22">
        <f t="shared" si="14"/>
        <v>39.413671000000001</v>
      </c>
      <c r="X258" s="22">
        <f t="shared" si="15"/>
        <v>31.929450195569878</v>
      </c>
      <c r="Y258" s="22">
        <v>24.38706038559274</v>
      </c>
      <c r="Z258" s="22">
        <v>7.542389809977136</v>
      </c>
      <c r="AA258" s="371">
        <v>200.92926453779091</v>
      </c>
      <c r="AB258" s="22">
        <v>0.15890890890890891</v>
      </c>
      <c r="AC258" s="24">
        <v>2.3908908908908899E-2</v>
      </c>
      <c r="AD258" s="384">
        <v>-46731.086794978437</v>
      </c>
    </row>
    <row r="259" spans="1:30">
      <c r="A259" s="21" t="s">
        <v>479</v>
      </c>
      <c r="B259" s="21" t="s">
        <v>480</v>
      </c>
      <c r="C259" s="23">
        <v>353.78836468666088</v>
      </c>
      <c r="D259" s="147">
        <v>0</v>
      </c>
      <c r="E259" s="22">
        <v>0</v>
      </c>
      <c r="F259" s="22">
        <v>0</v>
      </c>
      <c r="G259" s="22">
        <v>0</v>
      </c>
      <c r="H259" s="22">
        <v>0</v>
      </c>
      <c r="I259" s="22">
        <v>0</v>
      </c>
      <c r="J259" s="22">
        <v>0</v>
      </c>
      <c r="K259" s="22">
        <v>0</v>
      </c>
      <c r="L259" s="22">
        <v>0</v>
      </c>
      <c r="M259" s="388">
        <v>682.03316921686576</v>
      </c>
      <c r="N259" s="25">
        <v>0.50660000000000005</v>
      </c>
      <c r="O259" s="24">
        <v>0</v>
      </c>
      <c r="P259" s="24">
        <v>16.844670575615602</v>
      </c>
      <c r="Q259" s="24">
        <v>15.587605607286081</v>
      </c>
      <c r="R259" s="22">
        <v>1.2570649683295225</v>
      </c>
      <c r="S259" s="24">
        <v>2.0113039493272362</v>
      </c>
      <c r="T259" s="24">
        <f t="shared" si="13"/>
        <v>18.855974524942837</v>
      </c>
      <c r="U259" s="376">
        <v>307.60000000000002</v>
      </c>
      <c r="V259" s="376">
        <v>34.1</v>
      </c>
      <c r="W259" s="22">
        <f t="shared" si="14"/>
        <v>155.83016000000003</v>
      </c>
      <c r="X259" s="22">
        <f t="shared" si="15"/>
        <v>79.949331985757638</v>
      </c>
      <c r="Y259" s="22">
        <v>77.435202049098592</v>
      </c>
      <c r="Z259" s="22">
        <v>2.5141299366590451</v>
      </c>
      <c r="AA259" s="371">
        <v>682.03316921686587</v>
      </c>
      <c r="AB259" s="22">
        <v>0.11722205838985549</v>
      </c>
      <c r="AC259" s="24">
        <v>0</v>
      </c>
      <c r="AD259" s="384">
        <v>0</v>
      </c>
    </row>
    <row r="260" spans="1:30">
      <c r="A260" s="21" t="s">
        <v>451</v>
      </c>
      <c r="B260" s="21" t="s">
        <v>452</v>
      </c>
      <c r="C260" s="23">
        <v>8502.5863153859573</v>
      </c>
      <c r="D260" s="147">
        <v>266.16590813421982</v>
      </c>
      <c r="E260" s="22">
        <v>1263.7022713623023</v>
      </c>
      <c r="F260" s="22">
        <v>1529.8681794965221</v>
      </c>
      <c r="G260" s="22">
        <v>391.00754426896134</v>
      </c>
      <c r="H260" s="22">
        <v>388.90573164191443</v>
      </c>
      <c r="I260" s="22">
        <v>13.727149454158388</v>
      </c>
      <c r="J260" s="22">
        <v>1330.3468277232605</v>
      </c>
      <c r="K260" s="22">
        <v>84.836800582622828</v>
      </c>
      <c r="L260" s="22">
        <v>0.61344770454480702</v>
      </c>
      <c r="M260" s="388">
        <v>28524.00085724672</v>
      </c>
      <c r="N260" s="25">
        <v>0.59830000000000005</v>
      </c>
      <c r="O260" s="24">
        <v>18213.362913132787</v>
      </c>
      <c r="P260" s="24">
        <v>1745.8118280160411</v>
      </c>
      <c r="Q260" s="24">
        <v>1110.2397800286344</v>
      </c>
      <c r="R260" s="22">
        <v>635.57204798740668</v>
      </c>
      <c r="S260" s="24">
        <v>315.02048106337838</v>
      </c>
      <c r="T260" s="24">
        <f t="shared" si="13"/>
        <v>2060.8323090794192</v>
      </c>
      <c r="U260" s="376">
        <v>17065.91</v>
      </c>
      <c r="V260" s="376">
        <v>0</v>
      </c>
      <c r="W260" s="22">
        <f t="shared" si="14"/>
        <v>10210.533953</v>
      </c>
      <c r="X260" s="22">
        <f t="shared" si="15"/>
        <v>4439.1992291588758</v>
      </c>
      <c r="Y260" s="22">
        <v>2956.1139795237054</v>
      </c>
      <c r="Z260" s="22">
        <v>1483.0852496351708</v>
      </c>
      <c r="AA260" s="371">
        <v>28317.258924295373</v>
      </c>
      <c r="AB260" s="22">
        <v>0.15676655855098226</v>
      </c>
      <c r="AC260" s="24">
        <v>2.1766558550982251E-2</v>
      </c>
      <c r="AD260" s="384">
        <v>-5818495.7463741517</v>
      </c>
    </row>
    <row r="261" spans="1:30">
      <c r="A261" s="21" t="s">
        <v>297</v>
      </c>
      <c r="B261" s="21" t="s">
        <v>298</v>
      </c>
      <c r="C261" s="23">
        <v>27.2</v>
      </c>
      <c r="D261" s="147">
        <v>0</v>
      </c>
      <c r="E261" s="22">
        <v>8.51</v>
      </c>
      <c r="F261" s="22">
        <v>8.51</v>
      </c>
      <c r="G261" s="22">
        <v>0</v>
      </c>
      <c r="H261" s="22">
        <v>0</v>
      </c>
      <c r="I261" s="22">
        <v>0</v>
      </c>
      <c r="J261" s="22">
        <v>0</v>
      </c>
      <c r="K261" s="22">
        <v>0</v>
      </c>
      <c r="L261" s="22">
        <v>0</v>
      </c>
      <c r="M261" s="388">
        <v>71.599999999999994</v>
      </c>
      <c r="N261" s="25">
        <v>0.56410000000000005</v>
      </c>
      <c r="O261" s="24">
        <v>35</v>
      </c>
      <c r="P261" s="24">
        <v>0</v>
      </c>
      <c r="Q261" s="24">
        <v>0</v>
      </c>
      <c r="R261" s="22">
        <v>0</v>
      </c>
      <c r="S261" s="24">
        <v>0</v>
      </c>
      <c r="T261" s="24">
        <f t="shared" si="13"/>
        <v>0</v>
      </c>
      <c r="U261" s="376">
        <v>40.39</v>
      </c>
      <c r="V261" s="376">
        <v>3.58</v>
      </c>
      <c r="W261" s="22">
        <f t="shared" si="14"/>
        <v>22.783999000000001</v>
      </c>
      <c r="X261" s="22">
        <f t="shared" si="15"/>
        <v>13.5</v>
      </c>
      <c r="Y261" s="22">
        <v>12</v>
      </c>
      <c r="Z261" s="22">
        <v>1.5</v>
      </c>
      <c r="AA261" s="371">
        <v>71.599999999999994</v>
      </c>
      <c r="AB261" s="22">
        <v>0.18854748603351956</v>
      </c>
      <c r="AC261" s="24">
        <v>5.3547486033519553E-2</v>
      </c>
      <c r="AD261" s="384">
        <v>-36682.130185203278</v>
      </c>
    </row>
    <row r="262" spans="1:30">
      <c r="A262" s="21" t="s">
        <v>577</v>
      </c>
      <c r="B262" s="21" t="s">
        <v>578</v>
      </c>
      <c r="C262" s="23">
        <v>34.795558323361185</v>
      </c>
      <c r="D262" s="147">
        <v>0</v>
      </c>
      <c r="E262" s="22">
        <v>5.5713119396364448</v>
      </c>
      <c r="F262" s="22">
        <v>5.5713119396364448</v>
      </c>
      <c r="G262" s="22">
        <v>0</v>
      </c>
      <c r="H262" s="22">
        <v>3.4091601941096656</v>
      </c>
      <c r="I262" s="22">
        <v>0</v>
      </c>
      <c r="J262" s="22">
        <v>0</v>
      </c>
      <c r="K262" s="22">
        <v>0</v>
      </c>
      <c r="L262" s="22">
        <v>0</v>
      </c>
      <c r="M262" s="388">
        <v>125.01259697043436</v>
      </c>
      <c r="N262" s="25">
        <v>0.4919</v>
      </c>
      <c r="O262" s="24">
        <v>66.373030327798801</v>
      </c>
      <c r="P262" s="24">
        <v>0</v>
      </c>
      <c r="Q262" s="24">
        <v>0</v>
      </c>
      <c r="R262" s="22">
        <v>0</v>
      </c>
      <c r="S262" s="24">
        <v>0</v>
      </c>
      <c r="T262" s="24">
        <f t="shared" si="13"/>
        <v>0</v>
      </c>
      <c r="U262" s="376">
        <v>61.49</v>
      </c>
      <c r="V262" s="376">
        <v>6.25</v>
      </c>
      <c r="W262" s="22">
        <f t="shared" si="14"/>
        <v>30.246931</v>
      </c>
      <c r="X262" s="22">
        <f t="shared" si="15"/>
        <v>16.844670575615602</v>
      </c>
      <c r="Y262" s="22">
        <v>14.330540638956558</v>
      </c>
      <c r="Z262" s="22">
        <v>2.5141299366590451</v>
      </c>
      <c r="AA262" s="371">
        <v>125.01259697043437</v>
      </c>
      <c r="AB262" s="22">
        <v>0.13474378569704767</v>
      </c>
      <c r="AC262" s="24">
        <v>0</v>
      </c>
      <c r="AD262" s="384">
        <v>0</v>
      </c>
    </row>
    <row r="263" spans="1:30">
      <c r="A263" s="21" t="s">
        <v>449</v>
      </c>
      <c r="B263" s="21" t="s">
        <v>450</v>
      </c>
      <c r="C263" s="23">
        <v>1334.7214138130473</v>
      </c>
      <c r="D263" s="147">
        <v>79.627523353865286</v>
      </c>
      <c r="E263" s="22">
        <v>339.09578933682536</v>
      </c>
      <c r="F263" s="22">
        <v>418.72331269069065</v>
      </c>
      <c r="G263" s="22">
        <v>0</v>
      </c>
      <c r="H263" s="22">
        <v>63.044322291662219</v>
      </c>
      <c r="I263" s="22">
        <v>3.4493862730962102</v>
      </c>
      <c r="J263" s="22">
        <v>271.84784179106924</v>
      </c>
      <c r="K263" s="22">
        <v>6.6373030327798794</v>
      </c>
      <c r="L263" s="22">
        <v>0</v>
      </c>
      <c r="M263" s="388">
        <v>4586.6579782038016</v>
      </c>
      <c r="N263" s="25">
        <v>0.29210000000000003</v>
      </c>
      <c r="O263" s="24">
        <v>17.096083569281507</v>
      </c>
      <c r="P263" s="24">
        <v>124.44943186462274</v>
      </c>
      <c r="Q263" s="24">
        <v>84.223352878078018</v>
      </c>
      <c r="R263" s="22">
        <v>40.226078986544721</v>
      </c>
      <c r="S263" s="24">
        <v>23.129995417263217</v>
      </c>
      <c r="T263" s="24">
        <f t="shared" si="13"/>
        <v>147.57942728188596</v>
      </c>
      <c r="U263" s="376">
        <v>1339.76</v>
      </c>
      <c r="V263" s="376">
        <v>229.33</v>
      </c>
      <c r="W263" s="22">
        <f t="shared" si="14"/>
        <v>391.34389600000003</v>
      </c>
      <c r="X263" s="22">
        <f t="shared" si="15"/>
        <v>629.03531015209319</v>
      </c>
      <c r="Y263" s="22">
        <v>359.77199393590939</v>
      </c>
      <c r="Z263" s="22">
        <v>269.26331621618374</v>
      </c>
      <c r="AA263" s="371">
        <v>4588.7296212716092</v>
      </c>
      <c r="AB263" s="22">
        <v>0.13708267038356853</v>
      </c>
      <c r="AC263" s="24">
        <v>2.082670383568519E-3</v>
      </c>
      <c r="AD263" s="384">
        <v>-99515.988782345827</v>
      </c>
    </row>
    <row r="264" spans="1:30">
      <c r="A264" s="21" t="s">
        <v>115</v>
      </c>
      <c r="B264" s="21" t="s">
        <v>116</v>
      </c>
      <c r="C264" s="23">
        <v>9</v>
      </c>
      <c r="D264" s="147">
        <v>0</v>
      </c>
      <c r="E264" s="22">
        <v>0</v>
      </c>
      <c r="F264" s="22">
        <v>0</v>
      </c>
      <c r="G264" s="22">
        <v>0</v>
      </c>
      <c r="H264" s="22">
        <v>0</v>
      </c>
      <c r="I264" s="22">
        <v>0</v>
      </c>
      <c r="J264" s="22">
        <v>0</v>
      </c>
      <c r="K264" s="22">
        <v>0</v>
      </c>
      <c r="L264" s="22">
        <v>0</v>
      </c>
      <c r="M264" s="388">
        <v>13</v>
      </c>
      <c r="N264" s="25">
        <v>0</v>
      </c>
      <c r="O264" s="24">
        <v>0</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13.4</v>
      </c>
      <c r="D265" s="147">
        <v>0</v>
      </c>
      <c r="E265" s="22">
        <v>0</v>
      </c>
      <c r="F265" s="22">
        <v>0</v>
      </c>
      <c r="G265" s="22">
        <v>0</v>
      </c>
      <c r="H265" s="22">
        <v>0</v>
      </c>
      <c r="I265" s="22">
        <v>0</v>
      </c>
      <c r="J265" s="22">
        <v>235.8</v>
      </c>
      <c r="K265" s="22">
        <v>0</v>
      </c>
      <c r="L265" s="22">
        <v>0</v>
      </c>
      <c r="M265" s="388">
        <v>264.2</v>
      </c>
      <c r="N265" s="25">
        <v>0.79169999999999996</v>
      </c>
      <c r="O265" s="24">
        <v>24</v>
      </c>
      <c r="P265" s="24">
        <v>0</v>
      </c>
      <c r="Q265" s="24">
        <v>0</v>
      </c>
      <c r="R265" s="22">
        <v>0</v>
      </c>
      <c r="S265" s="24">
        <v>0</v>
      </c>
      <c r="T265" s="24">
        <f t="shared" ref="T265:T325" si="16">S265+P265</f>
        <v>0</v>
      </c>
      <c r="U265" s="376">
        <v>237.78</v>
      </c>
      <c r="V265" s="376">
        <v>0</v>
      </c>
      <c r="W265" s="22">
        <f t="shared" ref="W265:W325" si="17">U265*N265</f>
        <v>188.250426</v>
      </c>
      <c r="X265" s="22">
        <f t="shared" ref="X265:X325" si="18">Y265+Z265</f>
        <v>27</v>
      </c>
      <c r="Y265" s="22">
        <v>27</v>
      </c>
      <c r="Z265" s="22">
        <v>0</v>
      </c>
      <c r="AA265" s="371">
        <v>264.2</v>
      </c>
      <c r="AB265" s="22">
        <v>0.10219530658591976</v>
      </c>
      <c r="AC265" s="24">
        <v>0</v>
      </c>
      <c r="AD265" s="384">
        <v>0</v>
      </c>
    </row>
    <row r="266" spans="1:30">
      <c r="A266" s="21" t="s">
        <v>31</v>
      </c>
      <c r="B266" s="21" t="s">
        <v>32</v>
      </c>
      <c r="C266" s="23">
        <v>2</v>
      </c>
      <c r="D266" s="147">
        <v>0</v>
      </c>
      <c r="E266" s="22">
        <v>0</v>
      </c>
      <c r="F266" s="22">
        <v>0</v>
      </c>
      <c r="G266" s="22">
        <v>0</v>
      </c>
      <c r="H266" s="22">
        <v>0</v>
      </c>
      <c r="I266" s="22">
        <v>0</v>
      </c>
      <c r="J266" s="22">
        <v>0</v>
      </c>
      <c r="K266" s="22">
        <v>0</v>
      </c>
      <c r="L266" s="22">
        <v>0</v>
      </c>
      <c r="M266" s="388">
        <v>11</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937.28775342598533</v>
      </c>
      <c r="D267" s="147">
        <v>22.174626041332779</v>
      </c>
      <c r="E267" s="22">
        <v>236.58968355936278</v>
      </c>
      <c r="F267" s="22">
        <v>258.76430960069558</v>
      </c>
      <c r="G267" s="22">
        <v>0</v>
      </c>
      <c r="H267" s="22">
        <v>157.00238628448406</v>
      </c>
      <c r="I267" s="22">
        <v>3.4493862730962102</v>
      </c>
      <c r="J267" s="22">
        <v>85.269230931728174</v>
      </c>
      <c r="K267" s="22">
        <v>14.682518830088824</v>
      </c>
      <c r="L267" s="22">
        <v>0</v>
      </c>
      <c r="M267" s="388">
        <v>3145.3273985566648</v>
      </c>
      <c r="N267" s="25">
        <v>0.23480000000000001</v>
      </c>
      <c r="O267" s="24">
        <v>39.220427011881107</v>
      </c>
      <c r="P267" s="24">
        <v>104.83921835868219</v>
      </c>
      <c r="Q267" s="24">
        <v>70.898464213785076</v>
      </c>
      <c r="R267" s="22">
        <v>33.940754144897113</v>
      </c>
      <c r="S267" s="24">
        <v>24.38706038559274</v>
      </c>
      <c r="T267" s="24">
        <f t="shared" si="16"/>
        <v>129.22627874427494</v>
      </c>
      <c r="U267" s="376">
        <v>737.58</v>
      </c>
      <c r="V267" s="376">
        <v>157.27000000000001</v>
      </c>
      <c r="W267" s="22">
        <f t="shared" si="17"/>
        <v>173.183784</v>
      </c>
      <c r="X267" s="22">
        <f t="shared" si="18"/>
        <v>399.74665992878818</v>
      </c>
      <c r="Y267" s="22">
        <v>253.92712360256357</v>
      </c>
      <c r="Z267" s="22">
        <v>145.81953632622464</v>
      </c>
      <c r="AA267" s="371">
        <v>3172.36938015537</v>
      </c>
      <c r="AB267" s="22">
        <v>0.12600886341590214</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38.599999999999994</v>
      </c>
      <c r="N268" s="25">
        <v>0</v>
      </c>
      <c r="O268" s="24">
        <v>0</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-5206.1130491742688</v>
      </c>
    </row>
    <row r="269" spans="1:30">
      <c r="A269" s="21" t="s">
        <v>421</v>
      </c>
      <c r="B269" s="21" t="s">
        <v>422</v>
      </c>
      <c r="C269" s="23">
        <v>205.78656357541618</v>
      </c>
      <c r="D269" s="147">
        <v>8.9301895350129303</v>
      </c>
      <c r="E269" s="22">
        <v>49.256833719024009</v>
      </c>
      <c r="F269" s="22">
        <v>58.187023254036937</v>
      </c>
      <c r="G269" s="22">
        <v>0</v>
      </c>
      <c r="H269" s="22">
        <v>2.494016897165773</v>
      </c>
      <c r="I269" s="22">
        <v>0.15084779619954272</v>
      </c>
      <c r="J269" s="22">
        <v>0</v>
      </c>
      <c r="K269" s="22">
        <v>3.2180863189235782</v>
      </c>
      <c r="L269" s="22">
        <v>0</v>
      </c>
      <c r="M269" s="388">
        <v>788.24007426109063</v>
      </c>
      <c r="N269" s="25">
        <v>0.51949999999999996</v>
      </c>
      <c r="O269" s="24">
        <v>797.4820159082492</v>
      </c>
      <c r="P269" s="24">
        <v>18.604561531276936</v>
      </c>
      <c r="Q269" s="24">
        <v>15.084779619954272</v>
      </c>
      <c r="R269" s="22">
        <v>3.5197819113226636</v>
      </c>
      <c r="S269" s="24">
        <v>3.0169559239908543</v>
      </c>
      <c r="T269" s="24">
        <f t="shared" si="16"/>
        <v>21.621517455267789</v>
      </c>
      <c r="U269" s="376">
        <v>409.02</v>
      </c>
      <c r="V269" s="376">
        <v>39.409999999999997</v>
      </c>
      <c r="W269" s="22">
        <f t="shared" si="17"/>
        <v>212.48588999999998</v>
      </c>
      <c r="X269" s="22">
        <f t="shared" si="18"/>
        <v>133.50029963659532</v>
      </c>
      <c r="Y269" s="22">
        <v>81.206396954087168</v>
      </c>
      <c r="Z269" s="22">
        <v>52.29390268250814</v>
      </c>
      <c r="AA269" s="371">
        <v>789.04459584082144</v>
      </c>
      <c r="AB269" s="22">
        <v>0.16919233759447369</v>
      </c>
      <c r="AC269" s="24">
        <v>3.4192337594473682E-2</v>
      </c>
      <c r="AD269" s="384">
        <v>-246007.36878710095</v>
      </c>
    </row>
    <row r="270" spans="1:30">
      <c r="A270" s="21" t="s">
        <v>443</v>
      </c>
      <c r="B270" s="21" t="s">
        <v>444</v>
      </c>
      <c r="C270" s="23">
        <v>598.56405531978555</v>
      </c>
      <c r="D270" s="147">
        <v>0</v>
      </c>
      <c r="E270" s="22">
        <v>146.59388834671563</v>
      </c>
      <c r="F270" s="22">
        <v>146.59388834671563</v>
      </c>
      <c r="G270" s="22">
        <v>0</v>
      </c>
      <c r="H270" s="22">
        <v>14.762970988061914</v>
      </c>
      <c r="I270" s="22">
        <v>0.59333466505153465</v>
      </c>
      <c r="J270" s="22">
        <v>92.057381760707599</v>
      </c>
      <c r="K270" s="22">
        <v>11.0621717212998</v>
      </c>
      <c r="L270" s="22">
        <v>0</v>
      </c>
      <c r="M270" s="388">
        <v>1943.7040235903478</v>
      </c>
      <c r="N270" s="25">
        <v>0.55559999999999998</v>
      </c>
      <c r="O270" s="24">
        <v>1909.7330998862108</v>
      </c>
      <c r="P270" s="24">
        <v>215.963761559012</v>
      </c>
      <c r="Q270" s="24">
        <v>150.09355721854502</v>
      </c>
      <c r="R270" s="22">
        <v>65.870204340466984</v>
      </c>
      <c r="S270" s="24">
        <v>46.762816821858245</v>
      </c>
      <c r="T270" s="24">
        <f t="shared" si="16"/>
        <v>262.72657838087025</v>
      </c>
      <c r="U270" s="376">
        <v>1079.92</v>
      </c>
      <c r="V270" s="376">
        <v>97.19</v>
      </c>
      <c r="W270" s="22">
        <f t="shared" si="17"/>
        <v>600.00355200000001</v>
      </c>
      <c r="X270" s="22">
        <f t="shared" si="18"/>
        <v>322.31145787968956</v>
      </c>
      <c r="Y270" s="22">
        <v>160.15007696518117</v>
      </c>
      <c r="Z270" s="22">
        <v>162.16138091450841</v>
      </c>
      <c r="AA270" s="371">
        <v>1954.3639345217823</v>
      </c>
      <c r="AB270" s="22">
        <v>0.16491885272051782</v>
      </c>
      <c r="AC270" s="24">
        <v>2.9918852720517808E-2</v>
      </c>
      <c r="AD270" s="384">
        <v>-610472.46574077359</v>
      </c>
    </row>
    <row r="271" spans="1:30">
      <c r="A271" s="21" t="s">
        <v>1022</v>
      </c>
      <c r="B271" s="21" t="s">
        <v>1040</v>
      </c>
      <c r="C271" s="23">
        <v>0</v>
      </c>
      <c r="D271" s="147">
        <v>0</v>
      </c>
      <c r="E271" s="22">
        <v>0</v>
      </c>
      <c r="F271" s="22">
        <v>0</v>
      </c>
      <c r="G271" s="22">
        <v>0</v>
      </c>
      <c r="H271" s="22">
        <v>6.7278117104996058</v>
      </c>
      <c r="I271" s="22">
        <v>0.25141299366590453</v>
      </c>
      <c r="J271" s="22">
        <v>0</v>
      </c>
      <c r="K271" s="22">
        <v>0</v>
      </c>
      <c r="L271" s="22">
        <v>0</v>
      </c>
      <c r="M271" s="388">
        <v>470.08195903676165</v>
      </c>
      <c r="N271" s="25">
        <v>0.52980000000000005</v>
      </c>
      <c r="O271" s="24">
        <v>466.62251624391882</v>
      </c>
      <c r="P271" s="24">
        <v>74.669659118773637</v>
      </c>
      <c r="Q271" s="24">
        <v>12.570649683295226</v>
      </c>
      <c r="R271" s="22">
        <v>62.099009435478415</v>
      </c>
      <c r="S271" s="24">
        <v>16.844670575615602</v>
      </c>
      <c r="T271" s="24">
        <f t="shared" si="16"/>
        <v>91.514329694389232</v>
      </c>
      <c r="U271" s="376">
        <v>249.05</v>
      </c>
      <c r="V271" s="376">
        <v>23.5</v>
      </c>
      <c r="W271" s="22">
        <f t="shared" si="17"/>
        <v>131.94669000000002</v>
      </c>
      <c r="X271" s="22">
        <f t="shared" si="18"/>
        <v>84.726178865409821</v>
      </c>
      <c r="Y271" s="22">
        <v>82.966287909748488</v>
      </c>
      <c r="Z271" s="22">
        <v>1.7598909556613318</v>
      </c>
      <c r="AA271" s="371">
        <v>470.1020720762549</v>
      </c>
      <c r="AB271" s="22">
        <v>0.18022932443417619</v>
      </c>
      <c r="AC271" s="24">
        <v>4.5229324434176182E-2</v>
      </c>
      <c r="AD271" s="384">
        <v>-204257.72772892436</v>
      </c>
    </row>
    <row r="272" spans="1:30">
      <c r="A272" s="21" t="s">
        <v>391</v>
      </c>
      <c r="B272" s="21" t="s">
        <v>392</v>
      </c>
      <c r="C272" s="23">
        <v>0</v>
      </c>
      <c r="D272" s="147">
        <v>0</v>
      </c>
      <c r="E272" s="22">
        <v>0</v>
      </c>
      <c r="F272" s="22">
        <v>0</v>
      </c>
      <c r="G272" s="22">
        <v>0</v>
      </c>
      <c r="H272" s="22">
        <v>0</v>
      </c>
      <c r="I272" s="22">
        <v>0</v>
      </c>
      <c r="J272" s="22">
        <v>0</v>
      </c>
      <c r="K272" s="22">
        <v>0</v>
      </c>
      <c r="L272" s="22">
        <v>0</v>
      </c>
      <c r="M272" s="388">
        <v>179.60944267492218</v>
      </c>
      <c r="N272" s="25">
        <v>0.66490000000000005</v>
      </c>
      <c r="O272" s="24">
        <v>182.02300741411489</v>
      </c>
      <c r="P272" s="24">
        <v>16.844670575615602</v>
      </c>
      <c r="Q272" s="24">
        <v>0</v>
      </c>
      <c r="R272" s="22">
        <v>16.844670575615602</v>
      </c>
      <c r="S272" s="24">
        <v>0</v>
      </c>
      <c r="T272" s="24">
        <f t="shared" si="16"/>
        <v>16.844670575615602</v>
      </c>
      <c r="U272" s="376">
        <v>119.42</v>
      </c>
      <c r="V272" s="376">
        <v>8.98</v>
      </c>
      <c r="W272" s="22">
        <f t="shared" si="17"/>
        <v>79.402358000000007</v>
      </c>
      <c r="X272" s="22">
        <f t="shared" si="18"/>
        <v>27.152603315917688</v>
      </c>
      <c r="Y272" s="22">
        <v>25.141299366590452</v>
      </c>
      <c r="Z272" s="22">
        <v>2.0113039493272362</v>
      </c>
      <c r="AA272" s="371">
        <v>179.60944267492218</v>
      </c>
      <c r="AB272" s="22">
        <v>0.15117581187010079</v>
      </c>
      <c r="AC272" s="24">
        <v>1.6175811870100781E-2</v>
      </c>
      <c r="AD272" s="384">
        <v>-27532.504317299623</v>
      </c>
    </row>
    <row r="273" spans="1:30">
      <c r="A273" s="21" t="s">
        <v>221</v>
      </c>
      <c r="B273" s="21" t="s">
        <v>222</v>
      </c>
      <c r="C273" s="23">
        <v>0</v>
      </c>
      <c r="D273" s="147">
        <v>0</v>
      </c>
      <c r="E273" s="22">
        <v>0</v>
      </c>
      <c r="F273" s="22">
        <v>0</v>
      </c>
      <c r="G273" s="22">
        <v>0</v>
      </c>
      <c r="H273" s="22">
        <v>4.0628339776410174</v>
      </c>
      <c r="I273" s="22">
        <v>0.18101735543945124</v>
      </c>
      <c r="J273" s="22">
        <v>0</v>
      </c>
      <c r="K273" s="22">
        <v>0</v>
      </c>
      <c r="L273" s="22">
        <v>0</v>
      </c>
      <c r="M273" s="388">
        <v>308.80555185995723</v>
      </c>
      <c r="N273" s="25">
        <v>0.37430000000000002</v>
      </c>
      <c r="O273" s="24">
        <v>0</v>
      </c>
      <c r="P273" s="24">
        <v>49.528359752183192</v>
      </c>
      <c r="Q273" s="24">
        <v>0</v>
      </c>
      <c r="R273" s="22">
        <v>49.528359752183192</v>
      </c>
      <c r="S273" s="24">
        <v>0.25141299366590453</v>
      </c>
      <c r="T273" s="24">
        <f t="shared" si="16"/>
        <v>49.779772745849094</v>
      </c>
      <c r="U273" s="376">
        <v>115.59</v>
      </c>
      <c r="V273" s="376">
        <v>15.44</v>
      </c>
      <c r="W273" s="22">
        <f t="shared" si="17"/>
        <v>43.265337000000002</v>
      </c>
      <c r="X273" s="22">
        <f t="shared" si="18"/>
        <v>59.333466505153467</v>
      </c>
      <c r="Y273" s="22">
        <v>58.830640517821656</v>
      </c>
      <c r="Z273" s="22">
        <v>0.50282598733180905</v>
      </c>
      <c r="AA273" s="371">
        <v>309.35866044602221</v>
      </c>
      <c r="AB273" s="22">
        <v>0.19179507184188282</v>
      </c>
      <c r="AC273" s="24">
        <v>5.6795071841882816E-2</v>
      </c>
      <c r="AD273" s="384">
        <v>-173083.74725818328</v>
      </c>
    </row>
    <row r="274" spans="1:30">
      <c r="A274" s="21" t="s">
        <v>495</v>
      </c>
      <c r="B274" s="21" t="s">
        <v>496</v>
      </c>
      <c r="C274" s="23">
        <v>35.6</v>
      </c>
      <c r="D274" s="147">
        <v>0</v>
      </c>
      <c r="E274" s="22">
        <v>0</v>
      </c>
      <c r="F274" s="22">
        <v>0</v>
      </c>
      <c r="G274" s="22">
        <v>0</v>
      </c>
      <c r="H274" s="22">
        <v>0</v>
      </c>
      <c r="I274" s="22">
        <v>0</v>
      </c>
      <c r="J274" s="22">
        <v>0</v>
      </c>
      <c r="K274" s="22">
        <v>0</v>
      </c>
      <c r="L274" s="22">
        <v>0</v>
      </c>
      <c r="M274" s="388">
        <v>71.69</v>
      </c>
      <c r="N274" s="25">
        <v>0.84930000000000005</v>
      </c>
      <c r="O274" s="24">
        <v>73</v>
      </c>
      <c r="P274" s="24">
        <v>0</v>
      </c>
      <c r="Q274" s="24">
        <v>0</v>
      </c>
      <c r="R274" s="22">
        <v>0</v>
      </c>
      <c r="S274" s="24">
        <v>0</v>
      </c>
      <c r="T274" s="24">
        <f t="shared" si="16"/>
        <v>0</v>
      </c>
      <c r="U274" s="376">
        <v>60.89</v>
      </c>
      <c r="V274" s="376">
        <v>3.58</v>
      </c>
      <c r="W274" s="22">
        <f t="shared" si="17"/>
        <v>51.713877000000004</v>
      </c>
      <c r="X274" s="22">
        <f t="shared" si="18"/>
        <v>8.5</v>
      </c>
      <c r="Y274" s="22">
        <v>5.25</v>
      </c>
      <c r="Z274" s="22">
        <v>3.25</v>
      </c>
      <c r="AA274" s="371">
        <v>71.69</v>
      </c>
      <c r="AB274" s="22">
        <v>0.11856604826335612</v>
      </c>
      <c r="AC274" s="24">
        <v>0</v>
      </c>
      <c r="AD274" s="384">
        <v>0</v>
      </c>
    </row>
    <row r="275" spans="1:30">
      <c r="A275" s="21" t="s">
        <v>371</v>
      </c>
      <c r="B275" s="21" t="s">
        <v>372</v>
      </c>
      <c r="C275" s="23">
        <v>2846.1057100152525</v>
      </c>
      <c r="D275" s="147">
        <v>111.97934737879388</v>
      </c>
      <c r="E275" s="22">
        <v>546.63218734815621</v>
      </c>
      <c r="F275" s="22">
        <v>658.61153472695014</v>
      </c>
      <c r="G275" s="22">
        <v>0</v>
      </c>
      <c r="H275" s="22">
        <v>206.23910696401481</v>
      </c>
      <c r="I275" s="22">
        <v>6.7076986710063329</v>
      </c>
      <c r="J275" s="22">
        <v>154.38769115035865</v>
      </c>
      <c r="K275" s="22">
        <v>0</v>
      </c>
      <c r="L275" s="22">
        <v>0</v>
      </c>
      <c r="M275" s="388">
        <v>9930.5819498490582</v>
      </c>
      <c r="N275" s="25">
        <v>0.29110000000000003</v>
      </c>
      <c r="O275" s="24">
        <v>435.44730502934664</v>
      </c>
      <c r="P275" s="24">
        <v>414.58002655507659</v>
      </c>
      <c r="Q275" s="24">
        <v>245.63049481158873</v>
      </c>
      <c r="R275" s="22">
        <v>168.94953174348785</v>
      </c>
      <c r="S275" s="24">
        <v>74.166833131441834</v>
      </c>
      <c r="T275" s="24">
        <f t="shared" si="16"/>
        <v>488.74685968651841</v>
      </c>
      <c r="U275" s="376">
        <v>2890.79</v>
      </c>
      <c r="V275" s="376">
        <v>496.53</v>
      </c>
      <c r="W275" s="22">
        <f t="shared" si="17"/>
        <v>841.50896900000009</v>
      </c>
      <c r="X275" s="22">
        <f t="shared" si="18"/>
        <v>1166.8077036034629</v>
      </c>
      <c r="Y275" s="22">
        <v>721.05246583381415</v>
      </c>
      <c r="Z275" s="22">
        <v>445.75523776964872</v>
      </c>
      <c r="AA275" s="371">
        <v>10002.234653043839</v>
      </c>
      <c r="AB275" s="22">
        <v>0.11665470208183776</v>
      </c>
      <c r="AC275" s="24">
        <v>0</v>
      </c>
      <c r="AD275" s="384">
        <v>0</v>
      </c>
    </row>
    <row r="276" spans="1:30">
      <c r="A276" s="21" t="s">
        <v>595</v>
      </c>
      <c r="B276" s="21" t="s">
        <v>596</v>
      </c>
      <c r="C276" s="23">
        <v>1796.9391744079394</v>
      </c>
      <c r="D276" s="147">
        <v>0</v>
      </c>
      <c r="E276" s="22">
        <v>266.03517337751356</v>
      </c>
      <c r="F276" s="22">
        <v>266.03517337751356</v>
      </c>
      <c r="G276" s="22">
        <v>0</v>
      </c>
      <c r="H276" s="22">
        <v>85.068100536795455</v>
      </c>
      <c r="I276" s="22">
        <v>7.9345940800959465</v>
      </c>
      <c r="J276" s="22">
        <v>28.681194317406387</v>
      </c>
      <c r="K276" s="22">
        <v>4.0226078986544724</v>
      </c>
      <c r="L276" s="22">
        <v>0</v>
      </c>
      <c r="M276" s="388">
        <v>6478.5407555397333</v>
      </c>
      <c r="N276" s="25">
        <v>0.93879999999999997</v>
      </c>
      <c r="O276" s="24">
        <v>6521.6530556935631</v>
      </c>
      <c r="P276" s="24">
        <v>2023.1203600295337</v>
      </c>
      <c r="Q276" s="24">
        <v>1242.734427690566</v>
      </c>
      <c r="R276" s="22">
        <v>780.38593233896768</v>
      </c>
      <c r="S276" s="24">
        <v>239.59658296360701</v>
      </c>
      <c r="T276" s="24">
        <f t="shared" si="16"/>
        <v>2262.7169429931405</v>
      </c>
      <c r="U276" s="376">
        <v>6082.05</v>
      </c>
      <c r="V276" s="376">
        <v>323.93</v>
      </c>
      <c r="W276" s="22">
        <f t="shared" si="17"/>
        <v>5709.8285400000004</v>
      </c>
      <c r="X276" s="22">
        <f t="shared" si="18"/>
        <v>865.36352419804336</v>
      </c>
      <c r="Y276" s="22">
        <v>360.52623291690708</v>
      </c>
      <c r="Z276" s="22">
        <v>504.83729128113629</v>
      </c>
      <c r="AA276" s="371">
        <v>6516.675078418979</v>
      </c>
      <c r="AB276" s="22">
        <v>0.1327921852454842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-58897.843084184628</v>
      </c>
    </row>
    <row r="278" spans="1:30">
      <c r="A278" s="21" t="s">
        <v>365</v>
      </c>
      <c r="B278" s="21" t="s">
        <v>366</v>
      </c>
      <c r="C278" s="23">
        <v>7846.7403235893335</v>
      </c>
      <c r="D278" s="147">
        <v>289.64788174261525</v>
      </c>
      <c r="E278" s="22">
        <v>1674.5312160518836</v>
      </c>
      <c r="F278" s="22">
        <v>1964.1790977944988</v>
      </c>
      <c r="G278" s="22">
        <v>0</v>
      </c>
      <c r="H278" s="22">
        <v>406.13254996790221</v>
      </c>
      <c r="I278" s="22">
        <v>22.576886831198227</v>
      </c>
      <c r="J278" s="22">
        <v>1580.8245650527278</v>
      </c>
      <c r="K278" s="22">
        <v>242.79455624303733</v>
      </c>
      <c r="L278" s="22">
        <v>13.515962539479027</v>
      </c>
      <c r="M278" s="388">
        <v>27427.779865744891</v>
      </c>
      <c r="N278" s="25">
        <v>0.57699999999999996</v>
      </c>
      <c r="O278" s="24">
        <v>18111.792063691762</v>
      </c>
      <c r="P278" s="24">
        <v>2974.004528152971</v>
      </c>
      <c r="Q278" s="24">
        <v>1826.0125729954646</v>
      </c>
      <c r="R278" s="22">
        <v>1147.9919551575065</v>
      </c>
      <c r="S278" s="24">
        <v>479.19316592721401</v>
      </c>
      <c r="T278" s="24">
        <f t="shared" si="16"/>
        <v>3453.1976940801851</v>
      </c>
      <c r="U278" s="376">
        <v>15825.83</v>
      </c>
      <c r="V278" s="376">
        <v>1371.39</v>
      </c>
      <c r="W278" s="22">
        <f t="shared" si="17"/>
        <v>9131.5039099999995</v>
      </c>
      <c r="X278" s="22">
        <f t="shared" si="18"/>
        <v>3942.4071536750489</v>
      </c>
      <c r="Y278" s="22">
        <v>2430.4094097682992</v>
      </c>
      <c r="Z278" s="22">
        <v>1511.9977439067497</v>
      </c>
      <c r="AA278" s="371">
        <v>27612.055533582254</v>
      </c>
      <c r="AB278" s="22">
        <v>0.1427784740212559</v>
      </c>
      <c r="AC278" s="24">
        <v>7.7784740212558934E-3</v>
      </c>
      <c r="AD278" s="384">
        <v>-2148114.2540173051</v>
      </c>
    </row>
    <row r="279" spans="1:30">
      <c r="A279" s="21" t="s">
        <v>153</v>
      </c>
      <c r="B279" s="21" t="s">
        <v>154</v>
      </c>
      <c r="C279" s="23">
        <v>39.019296616948381</v>
      </c>
      <c r="D279" s="147">
        <v>0</v>
      </c>
      <c r="E279" s="22">
        <v>3.6002340692957531</v>
      </c>
      <c r="F279" s="22">
        <v>3.6002340692957531</v>
      </c>
      <c r="G279" s="22">
        <v>0</v>
      </c>
      <c r="H279" s="22">
        <v>0</v>
      </c>
      <c r="I279" s="22">
        <v>0</v>
      </c>
      <c r="J279" s="22">
        <v>0</v>
      </c>
      <c r="K279" s="22">
        <v>0</v>
      </c>
      <c r="L279" s="22">
        <v>0</v>
      </c>
      <c r="M279" s="388">
        <v>159.66736401734263</v>
      </c>
      <c r="N279" s="25">
        <v>0.77329999999999999</v>
      </c>
      <c r="O279" s="24">
        <v>160.90431594617888</v>
      </c>
      <c r="P279" s="24">
        <v>0</v>
      </c>
      <c r="Q279" s="24">
        <v>0</v>
      </c>
      <c r="R279" s="22">
        <v>0</v>
      </c>
      <c r="S279" s="24">
        <v>0</v>
      </c>
      <c r="T279" s="24">
        <f t="shared" si="16"/>
        <v>0</v>
      </c>
      <c r="U279" s="376">
        <v>123.47</v>
      </c>
      <c r="V279" s="376">
        <v>0</v>
      </c>
      <c r="W279" s="22">
        <f t="shared" si="17"/>
        <v>95.479350999999994</v>
      </c>
      <c r="X279" s="22">
        <f t="shared" si="18"/>
        <v>41.985969942206061</v>
      </c>
      <c r="Y279" s="22">
        <v>38.969014018215205</v>
      </c>
      <c r="Z279" s="22">
        <v>3.0169559239908543</v>
      </c>
      <c r="AA279" s="371">
        <v>159.66736401734266</v>
      </c>
      <c r="AB279" s="22">
        <v>0.26295899729167982</v>
      </c>
      <c r="AC279" s="24">
        <v>0.12795899729167981</v>
      </c>
      <c r="AD279" s="384">
        <v>-186764.82619721221</v>
      </c>
    </row>
    <row r="280" spans="1:30">
      <c r="A280" s="21" t="s">
        <v>207</v>
      </c>
      <c r="B280" s="21" t="s">
        <v>208</v>
      </c>
      <c r="C280" s="23">
        <v>2601.2596237439011</v>
      </c>
      <c r="D280" s="147">
        <v>38.466188030883394</v>
      </c>
      <c r="E280" s="22">
        <v>531.93961199832086</v>
      </c>
      <c r="F280" s="22">
        <v>570.40580002920422</v>
      </c>
      <c r="G280" s="22">
        <v>0</v>
      </c>
      <c r="H280" s="22">
        <v>190.54087963951571</v>
      </c>
      <c r="I280" s="22">
        <v>17.377666122187321</v>
      </c>
      <c r="J280" s="22">
        <v>0</v>
      </c>
      <c r="K280" s="22">
        <v>14.64229275110228</v>
      </c>
      <c r="L280" s="22">
        <v>1.2470084485828865</v>
      </c>
      <c r="M280" s="388">
        <v>8717.474029332081</v>
      </c>
      <c r="N280" s="25">
        <v>0.13159999999999999</v>
      </c>
      <c r="O280" s="24">
        <v>0</v>
      </c>
      <c r="P280" s="24">
        <v>358.01210298024807</v>
      </c>
      <c r="Q280" s="24">
        <v>297.92439749409687</v>
      </c>
      <c r="R280" s="22">
        <v>60.087705486151179</v>
      </c>
      <c r="S280" s="24">
        <v>123.69519288362503</v>
      </c>
      <c r="T280" s="24">
        <f t="shared" si="16"/>
        <v>481.70729586387313</v>
      </c>
      <c r="U280" s="376">
        <v>1148.0899999999999</v>
      </c>
      <c r="V280" s="376">
        <v>435.87</v>
      </c>
      <c r="W280" s="22">
        <f t="shared" si="17"/>
        <v>151.08864399999999</v>
      </c>
      <c r="X280" s="22">
        <f t="shared" si="18"/>
        <v>1015.2056684229225</v>
      </c>
      <c r="Y280" s="22">
        <v>517.15652797076564</v>
      </c>
      <c r="Z280" s="22">
        <v>498.04914045215685</v>
      </c>
      <c r="AA280" s="371">
        <v>8729.0189140012171</v>
      </c>
      <c r="AB280" s="22">
        <v>0.11630237927363722</v>
      </c>
      <c r="AC280" s="24">
        <v>0</v>
      </c>
      <c r="AD280" s="384">
        <v>0</v>
      </c>
    </row>
    <row r="281" spans="1:30">
      <c r="A281" s="21" t="s">
        <v>559</v>
      </c>
      <c r="B281" s="21" t="s">
        <v>560</v>
      </c>
      <c r="C281" s="23">
        <v>55.773458514844258</v>
      </c>
      <c r="D281" s="147">
        <v>3.3186515163899397</v>
      </c>
      <c r="E281" s="22">
        <v>21.611460935521151</v>
      </c>
      <c r="F281" s="22">
        <v>24.930112451911093</v>
      </c>
      <c r="G281" s="22">
        <v>0</v>
      </c>
      <c r="H281" s="22">
        <v>5.3098424262239039</v>
      </c>
      <c r="I281" s="22">
        <v>0</v>
      </c>
      <c r="J281" s="22">
        <v>6.3456639601274301</v>
      </c>
      <c r="K281" s="22">
        <v>0</v>
      </c>
      <c r="L281" s="22">
        <v>0</v>
      </c>
      <c r="M281" s="388">
        <v>193.14551825389449</v>
      </c>
      <c r="N281" s="25">
        <v>0.65629999999999999</v>
      </c>
      <c r="O281" s="24">
        <v>193.08517913541468</v>
      </c>
      <c r="P281" s="24">
        <v>0</v>
      </c>
      <c r="Q281" s="24">
        <v>0</v>
      </c>
      <c r="R281" s="22">
        <v>0</v>
      </c>
      <c r="S281" s="24">
        <v>0</v>
      </c>
      <c r="T281" s="24">
        <f t="shared" si="16"/>
        <v>0</v>
      </c>
      <c r="U281" s="376">
        <v>121.72</v>
      </c>
      <c r="V281" s="376">
        <v>0</v>
      </c>
      <c r="W281" s="22">
        <f t="shared" si="17"/>
        <v>79.884835999999993</v>
      </c>
      <c r="X281" s="22">
        <f t="shared" si="18"/>
        <v>37.460536056219773</v>
      </c>
      <c r="Y281" s="22">
        <v>28.409668284247211</v>
      </c>
      <c r="Z281" s="22">
        <v>9.0508677719725625</v>
      </c>
      <c r="AA281" s="371">
        <v>193.15557477364112</v>
      </c>
      <c r="AB281" s="22">
        <v>0.1939397094809184</v>
      </c>
      <c r="AC281" s="24">
        <v>5.8939709480918395E-2</v>
      </c>
      <c r="AD281" s="384">
        <v>-107445.66775557054</v>
      </c>
    </row>
    <row r="282" spans="1:30">
      <c r="A282" s="21" t="s">
        <v>521</v>
      </c>
      <c r="B282" s="21" t="s">
        <v>522</v>
      </c>
      <c r="C282" s="23">
        <v>352.2396606456789</v>
      </c>
      <c r="D282" s="147">
        <v>29.013059469045384</v>
      </c>
      <c r="E282" s="22">
        <v>89.623703982021652</v>
      </c>
      <c r="F282" s="22">
        <v>118.63676345106704</v>
      </c>
      <c r="G282" s="22">
        <v>0</v>
      </c>
      <c r="H282" s="22">
        <v>16.110544634111161</v>
      </c>
      <c r="I282" s="22">
        <v>1.0559345733967991</v>
      </c>
      <c r="J282" s="22">
        <v>0</v>
      </c>
      <c r="K282" s="22">
        <v>9.0508677719725625</v>
      </c>
      <c r="L282" s="22">
        <v>0</v>
      </c>
      <c r="M282" s="388">
        <v>1242.9456146052457</v>
      </c>
      <c r="N282" s="25">
        <v>0.47820000000000001</v>
      </c>
      <c r="O282" s="24">
        <v>856.81548241340261</v>
      </c>
      <c r="P282" s="24">
        <v>9.0508677719725625</v>
      </c>
      <c r="Q282" s="24">
        <v>2.0113039493272362</v>
      </c>
      <c r="R282" s="22">
        <v>7.0395638226453272</v>
      </c>
      <c r="S282" s="24">
        <v>1.0056519746636181</v>
      </c>
      <c r="T282" s="24">
        <f t="shared" si="16"/>
        <v>10.05651974663618</v>
      </c>
      <c r="U282" s="376">
        <v>594.38</v>
      </c>
      <c r="V282" s="376">
        <v>62.15</v>
      </c>
      <c r="W282" s="22">
        <f t="shared" si="17"/>
        <v>284.23251600000003</v>
      </c>
      <c r="X282" s="22">
        <f t="shared" si="18"/>
        <v>193.08517913541468</v>
      </c>
      <c r="Y282" s="22">
        <v>94.279872624714201</v>
      </c>
      <c r="Z282" s="22">
        <v>98.805306510700476</v>
      </c>
      <c r="AA282" s="371">
        <v>1249.9952349476375</v>
      </c>
      <c r="AB282" s="22">
        <v>0.15446873214960938</v>
      </c>
      <c r="AC282" s="24">
        <v>1.9468732149609369E-2</v>
      </c>
      <c r="AD282" s="384">
        <v>-223098.77163504052</v>
      </c>
    </row>
    <row r="283" spans="1:30">
      <c r="A283" s="21" t="s">
        <v>243</v>
      </c>
      <c r="B283" s="21" t="s">
        <v>244</v>
      </c>
      <c r="C283" s="23">
        <v>76.359154436208527</v>
      </c>
      <c r="D283" s="147">
        <v>3.4896123520827551</v>
      </c>
      <c r="E283" s="22">
        <v>10.096745825622724</v>
      </c>
      <c r="F283" s="22">
        <v>13.586358177705479</v>
      </c>
      <c r="G283" s="22">
        <v>0</v>
      </c>
      <c r="H283" s="22">
        <v>7.0395638226453272</v>
      </c>
      <c r="I283" s="22">
        <v>0</v>
      </c>
      <c r="J283" s="22">
        <v>0</v>
      </c>
      <c r="K283" s="22">
        <v>0</v>
      </c>
      <c r="L283" s="22">
        <v>0</v>
      </c>
      <c r="M283" s="388">
        <v>224.44140770542629</v>
      </c>
      <c r="N283" s="25">
        <v>0.47689999999999999</v>
      </c>
      <c r="O283" s="24">
        <v>0</v>
      </c>
      <c r="P283" s="24">
        <v>2.0113039493272362</v>
      </c>
      <c r="Q283" s="24">
        <v>1.5084779619954272</v>
      </c>
      <c r="R283" s="22">
        <v>0.50282598733180905</v>
      </c>
      <c r="S283" s="24">
        <v>1.5084779619954272</v>
      </c>
      <c r="T283" s="24">
        <f t="shared" si="16"/>
        <v>3.5197819113226636</v>
      </c>
      <c r="U283" s="376">
        <v>107.04</v>
      </c>
      <c r="V283" s="376">
        <v>11.22</v>
      </c>
      <c r="W283" s="22">
        <f t="shared" si="17"/>
        <v>51.047376</v>
      </c>
      <c r="X283" s="22">
        <f t="shared" si="18"/>
        <v>31.678037201903969</v>
      </c>
      <c r="Y283" s="22">
        <v>26.649777328585881</v>
      </c>
      <c r="Z283" s="22">
        <v>5.0282598733180901</v>
      </c>
      <c r="AA283" s="371">
        <v>225.44705968008992</v>
      </c>
      <c r="AB283" s="22">
        <v>0.14051208850031224</v>
      </c>
      <c r="AC283" s="24">
        <v>5.5120885003122344E-3</v>
      </c>
      <c r="AD283" s="384">
        <v>-11572.242170681959</v>
      </c>
    </row>
    <row r="284" spans="1:30">
      <c r="A284" s="21" t="s">
        <v>285</v>
      </c>
      <c r="B284" s="21" t="s">
        <v>286</v>
      </c>
      <c r="C284" s="23">
        <v>265.17031267930281</v>
      </c>
      <c r="D284" s="147">
        <v>17.528513918386864</v>
      </c>
      <c r="E284" s="22">
        <v>50.141807456727996</v>
      </c>
      <c r="F284" s="22">
        <v>67.670321375114867</v>
      </c>
      <c r="G284" s="22">
        <v>0</v>
      </c>
      <c r="H284" s="22">
        <v>15.899357719431803</v>
      </c>
      <c r="I284" s="22">
        <v>2.1420387060335067</v>
      </c>
      <c r="J284" s="22">
        <v>50.081468338248179</v>
      </c>
      <c r="K284" s="22">
        <v>0.40226078986544728</v>
      </c>
      <c r="L284" s="22">
        <v>0</v>
      </c>
      <c r="M284" s="388">
        <v>805.11491439594602</v>
      </c>
      <c r="N284" s="25">
        <v>0.52</v>
      </c>
      <c r="O284" s="24">
        <v>604.39683677283449</v>
      </c>
      <c r="P284" s="24">
        <v>8.0452157973089449</v>
      </c>
      <c r="Q284" s="24">
        <v>3.0169559239908543</v>
      </c>
      <c r="R284" s="22">
        <v>5.0282598733180901</v>
      </c>
      <c r="S284" s="24">
        <v>0.75423898099771358</v>
      </c>
      <c r="T284" s="24">
        <f t="shared" si="16"/>
        <v>8.799454778306659</v>
      </c>
      <c r="U284" s="376">
        <v>418.66</v>
      </c>
      <c r="V284" s="376">
        <v>40.26</v>
      </c>
      <c r="W284" s="22">
        <f t="shared" si="17"/>
        <v>217.70320000000001</v>
      </c>
      <c r="X284" s="22">
        <f t="shared" si="18"/>
        <v>112.38160816865931</v>
      </c>
      <c r="Y284" s="22">
        <v>61.344770454480702</v>
      </c>
      <c r="Z284" s="22">
        <v>51.036837714178617</v>
      </c>
      <c r="AA284" s="371">
        <v>803.29468432180488</v>
      </c>
      <c r="AB284" s="22">
        <v>0.13990084879441148</v>
      </c>
      <c r="AC284" s="24">
        <v>4.9008487944114665E-3</v>
      </c>
      <c r="AD284" s="384">
        <v>-37421.261987125588</v>
      </c>
    </row>
    <row r="285" spans="1:30">
      <c r="A285" s="21" t="s">
        <v>339</v>
      </c>
      <c r="B285" s="21" t="s">
        <v>340</v>
      </c>
      <c r="C285" s="23">
        <v>276.95655382236038</v>
      </c>
      <c r="D285" s="147">
        <v>12.208614972416324</v>
      </c>
      <c r="E285" s="22">
        <v>30.712611306226897</v>
      </c>
      <c r="F285" s="22">
        <v>42.921226278643218</v>
      </c>
      <c r="G285" s="22">
        <v>0</v>
      </c>
      <c r="H285" s="22">
        <v>50.312768292420813</v>
      </c>
      <c r="I285" s="22">
        <v>4.0930035368809259</v>
      </c>
      <c r="J285" s="22">
        <v>113.77946441344176</v>
      </c>
      <c r="K285" s="22">
        <v>0</v>
      </c>
      <c r="L285" s="22">
        <v>0</v>
      </c>
      <c r="M285" s="388">
        <v>1147.1773770580289</v>
      </c>
      <c r="N285" s="25">
        <v>0.76719999999999999</v>
      </c>
      <c r="O285" s="24">
        <v>1140.4093392685429</v>
      </c>
      <c r="P285" s="24">
        <v>129.47769173794083</v>
      </c>
      <c r="Q285" s="24">
        <v>91.514329694389247</v>
      </c>
      <c r="R285" s="22">
        <v>37.963362043551584</v>
      </c>
      <c r="S285" s="24">
        <v>30.169559239908544</v>
      </c>
      <c r="T285" s="24">
        <f t="shared" si="16"/>
        <v>159.64725097784938</v>
      </c>
      <c r="U285" s="376">
        <v>880.11</v>
      </c>
      <c r="V285" s="376">
        <v>57.36</v>
      </c>
      <c r="W285" s="22">
        <f t="shared" si="17"/>
        <v>675.22039200000006</v>
      </c>
      <c r="X285" s="22">
        <f t="shared" si="18"/>
        <v>123.69519288362503</v>
      </c>
      <c r="Y285" s="22">
        <v>79.195093004759926</v>
      </c>
      <c r="Z285" s="22">
        <v>44.5000998788651</v>
      </c>
      <c r="AA285" s="371">
        <v>1147.1773770580292</v>
      </c>
      <c r="AB285" s="22">
        <v>0.10782569056656702</v>
      </c>
      <c r="AC285" s="24">
        <v>0</v>
      </c>
      <c r="AD285" s="384">
        <v>0</v>
      </c>
    </row>
    <row r="286" spans="1:30">
      <c r="A286" s="21" t="s">
        <v>597</v>
      </c>
      <c r="B286" s="21" t="s">
        <v>598</v>
      </c>
      <c r="C286" s="23">
        <v>1009.0711913774744</v>
      </c>
      <c r="D286" s="147">
        <v>126.19926630053743</v>
      </c>
      <c r="E286" s="22">
        <v>483.03475647042904</v>
      </c>
      <c r="F286" s="22">
        <v>609.23402277096648</v>
      </c>
      <c r="G286" s="22">
        <v>0</v>
      </c>
      <c r="H286" s="22">
        <v>65.095852319976004</v>
      </c>
      <c r="I286" s="22">
        <v>4.2539078528271048</v>
      </c>
      <c r="J286" s="22">
        <v>832.48876114628968</v>
      </c>
      <c r="K286" s="22">
        <v>0</v>
      </c>
      <c r="L286" s="22">
        <v>0</v>
      </c>
      <c r="M286" s="388">
        <v>4289.4274805722234</v>
      </c>
      <c r="N286" s="25">
        <v>0.93710000000000004</v>
      </c>
      <c r="O286" s="24">
        <v>3597.217113371762</v>
      </c>
      <c r="P286" s="24">
        <v>1312.8786529233535</v>
      </c>
      <c r="Q286" s="24">
        <v>751.47343806738866</v>
      </c>
      <c r="R286" s="22">
        <v>561.4052148559648</v>
      </c>
      <c r="S286" s="24">
        <v>187.55409327476477</v>
      </c>
      <c r="T286" s="24">
        <f t="shared" si="16"/>
        <v>1500.4327461981181</v>
      </c>
      <c r="U286" s="376">
        <v>4019.62</v>
      </c>
      <c r="V286" s="376">
        <v>214.47</v>
      </c>
      <c r="W286" s="22">
        <f t="shared" si="17"/>
        <v>3766.7859020000001</v>
      </c>
      <c r="X286" s="22">
        <f t="shared" si="18"/>
        <v>530.48141663505851</v>
      </c>
      <c r="Y286" s="22">
        <v>487.23838172452298</v>
      </c>
      <c r="Z286" s="22">
        <v>43.243034910535577</v>
      </c>
      <c r="AA286" s="371">
        <v>4328.0847424782933</v>
      </c>
      <c r="AB286" s="22">
        <v>0.12256724352659068</v>
      </c>
      <c r="AC286" s="24">
        <v>0</v>
      </c>
      <c r="AD286" s="384">
        <v>0</v>
      </c>
    </row>
    <row r="287" spans="1:30">
      <c r="A287" s="21" t="s">
        <v>531</v>
      </c>
      <c r="B287" s="21" t="s">
        <v>532</v>
      </c>
      <c r="C287" s="23">
        <v>50.081468338248179</v>
      </c>
      <c r="D287" s="147">
        <v>3.0068994042442183</v>
      </c>
      <c r="E287" s="22">
        <v>11.504658590151791</v>
      </c>
      <c r="F287" s="22">
        <v>14.511557994396011</v>
      </c>
      <c r="G287" s="22">
        <v>0</v>
      </c>
      <c r="H287" s="22">
        <v>5.9836292492485281</v>
      </c>
      <c r="I287" s="22">
        <v>0</v>
      </c>
      <c r="J287" s="22">
        <v>0</v>
      </c>
      <c r="K287" s="22">
        <v>0</v>
      </c>
      <c r="L287" s="22">
        <v>0</v>
      </c>
      <c r="M287" s="388">
        <v>204.58983772556647</v>
      </c>
      <c r="N287" s="25">
        <v>0.55400000000000005</v>
      </c>
      <c r="O287" s="24">
        <v>206.15865480604171</v>
      </c>
      <c r="P287" s="24">
        <v>38.214775037217493</v>
      </c>
      <c r="Q287" s="24">
        <v>24.135647391926835</v>
      </c>
      <c r="R287" s="22">
        <v>14.079127645290654</v>
      </c>
      <c r="S287" s="24">
        <v>9.0508677719725625</v>
      </c>
      <c r="T287" s="24">
        <f t="shared" si="16"/>
        <v>47.265642809190055</v>
      </c>
      <c r="U287" s="376">
        <v>113.34</v>
      </c>
      <c r="V287" s="376">
        <v>0</v>
      </c>
      <c r="W287" s="22">
        <f t="shared" si="17"/>
        <v>62.790360000000007</v>
      </c>
      <c r="X287" s="22">
        <f t="shared" si="18"/>
        <v>22.62716942993141</v>
      </c>
      <c r="Y287" s="22">
        <v>22.124343442599599</v>
      </c>
      <c r="Z287" s="22">
        <v>0.50282598733180905</v>
      </c>
      <c r="AA287" s="371">
        <v>210.9857842844271</v>
      </c>
      <c r="AB287" s="22">
        <v>0.10724499523355577</v>
      </c>
      <c r="AC287" s="24">
        <v>0</v>
      </c>
      <c r="AD287" s="384">
        <v>0</v>
      </c>
    </row>
    <row r="288" spans="1:30">
      <c r="A288" s="21" t="s">
        <v>79</v>
      </c>
      <c r="B288" s="21" t="s">
        <v>80</v>
      </c>
      <c r="C288" s="23">
        <v>214.00274020841795</v>
      </c>
      <c r="D288" s="147">
        <v>17.890548629265766</v>
      </c>
      <c r="E288" s="22">
        <v>41.784839547273329</v>
      </c>
      <c r="F288" s="22">
        <v>59.675388176539094</v>
      </c>
      <c r="G288" s="22">
        <v>0</v>
      </c>
      <c r="H288" s="22">
        <v>23.492030128142119</v>
      </c>
      <c r="I288" s="22">
        <v>2.9163907265244924</v>
      </c>
      <c r="J288" s="22">
        <v>13.877997250357929</v>
      </c>
      <c r="K288" s="22">
        <v>0</v>
      </c>
      <c r="L288" s="22">
        <v>0</v>
      </c>
      <c r="M288" s="388">
        <v>700.61761770864939</v>
      </c>
      <c r="N288" s="25">
        <v>0.41170000000000001</v>
      </c>
      <c r="O288" s="24">
        <v>0</v>
      </c>
      <c r="P288" s="24">
        <v>0</v>
      </c>
      <c r="Q288" s="24">
        <v>0</v>
      </c>
      <c r="R288" s="22">
        <v>0</v>
      </c>
      <c r="S288" s="24">
        <v>0</v>
      </c>
      <c r="T288" s="24">
        <f t="shared" si="16"/>
        <v>0</v>
      </c>
      <c r="U288" s="376">
        <v>288.44</v>
      </c>
      <c r="V288" s="376">
        <v>35.03</v>
      </c>
      <c r="W288" s="22">
        <f t="shared" si="17"/>
        <v>118.750748</v>
      </c>
      <c r="X288" s="22">
        <f t="shared" si="18"/>
        <v>104.58780536501629</v>
      </c>
      <c r="Y288" s="22">
        <v>42.991621916869676</v>
      </c>
      <c r="Z288" s="22">
        <v>61.596183448146611</v>
      </c>
      <c r="AA288" s="371">
        <v>700.61761770864939</v>
      </c>
      <c r="AB288" s="22">
        <v>0.14927943962794973</v>
      </c>
      <c r="AC288" s="24">
        <v>1.4279439627949725E-2</v>
      </c>
      <c r="AD288" s="384">
        <v>-94161.35611098104</v>
      </c>
    </row>
    <row r="289" spans="1:30">
      <c r="A289" s="21" t="s">
        <v>257</v>
      </c>
      <c r="B289" s="21" t="s">
        <v>258</v>
      </c>
      <c r="C289" s="23">
        <v>51.288250707844526</v>
      </c>
      <c r="D289" s="147">
        <v>0</v>
      </c>
      <c r="E289" s="22">
        <v>0</v>
      </c>
      <c r="F289" s="22">
        <v>0</v>
      </c>
      <c r="G289" s="22">
        <v>0</v>
      </c>
      <c r="H289" s="22">
        <v>2.9063342067778564</v>
      </c>
      <c r="I289" s="22">
        <v>0</v>
      </c>
      <c r="J289" s="22">
        <v>2.3632821404595026</v>
      </c>
      <c r="K289" s="22">
        <v>0</v>
      </c>
      <c r="L289" s="22">
        <v>0</v>
      </c>
      <c r="M289" s="388">
        <v>192.21026191745733</v>
      </c>
      <c r="N289" s="25">
        <v>0</v>
      </c>
      <c r="O289" s="24">
        <v>0</v>
      </c>
      <c r="P289" s="24">
        <v>15.587605607286081</v>
      </c>
      <c r="Q289" s="24">
        <v>7.0395638226453272</v>
      </c>
      <c r="R289" s="22">
        <v>8.5480417846407537</v>
      </c>
      <c r="S289" s="24">
        <v>0</v>
      </c>
      <c r="T289" s="24">
        <f t="shared" si="16"/>
        <v>15.587605607286081</v>
      </c>
      <c r="U289" s="376">
        <v>0</v>
      </c>
      <c r="V289" s="376">
        <v>9.61</v>
      </c>
      <c r="W289" s="22">
        <f t="shared" si="17"/>
        <v>0</v>
      </c>
      <c r="X289" s="22">
        <f t="shared" si="18"/>
        <v>17.347496562947413</v>
      </c>
      <c r="Y289" s="22">
        <v>10.559345733967991</v>
      </c>
      <c r="Z289" s="22">
        <v>6.7881508289794219</v>
      </c>
      <c r="AA289" s="371">
        <v>192.21026191745733</v>
      </c>
      <c r="AB289" s="22">
        <v>9.0252707581227443E-2</v>
      </c>
      <c r="AC289" s="24">
        <v>0</v>
      </c>
      <c r="AD289" s="384">
        <v>0</v>
      </c>
    </row>
    <row r="290" spans="1:30">
      <c r="A290" s="21" t="s">
        <v>201</v>
      </c>
      <c r="B290" s="21" t="s">
        <v>202</v>
      </c>
      <c r="C290" s="23">
        <v>745.99263480547188</v>
      </c>
      <c r="D290" s="147">
        <v>0</v>
      </c>
      <c r="E290" s="22">
        <v>103.91401854199165</v>
      </c>
      <c r="F290" s="22">
        <v>103.91401854199165</v>
      </c>
      <c r="G290" s="22">
        <v>0</v>
      </c>
      <c r="H290" s="22">
        <v>56.205888863949617</v>
      </c>
      <c r="I290" s="22">
        <v>3.3186515163899397</v>
      </c>
      <c r="J290" s="22">
        <v>21.118691467935982</v>
      </c>
      <c r="K290" s="22">
        <v>0.80452157973089455</v>
      </c>
      <c r="L290" s="22">
        <v>0</v>
      </c>
      <c r="M290" s="388">
        <v>2546.8437953948528</v>
      </c>
      <c r="N290" s="25">
        <v>0.749</v>
      </c>
      <c r="O290" s="24">
        <v>2564.4125353922263</v>
      </c>
      <c r="P290" s="24">
        <v>1032.3017519922041</v>
      </c>
      <c r="Q290" s="24">
        <v>624.25846327244096</v>
      </c>
      <c r="R290" s="22">
        <v>408.04328871976304</v>
      </c>
      <c r="S290" s="24">
        <v>19.610213505940553</v>
      </c>
      <c r="T290" s="24">
        <f t="shared" si="16"/>
        <v>1051.9119654981446</v>
      </c>
      <c r="U290" s="376">
        <v>1907.33</v>
      </c>
      <c r="V290" s="376">
        <v>127.34</v>
      </c>
      <c r="W290" s="22">
        <f t="shared" si="17"/>
        <v>1428.5901699999999</v>
      </c>
      <c r="X290" s="22">
        <f t="shared" si="18"/>
        <v>330.60808667066442</v>
      </c>
      <c r="Y290" s="22">
        <v>181.52018142678307</v>
      </c>
      <c r="Z290" s="22">
        <v>149.08790524388138</v>
      </c>
      <c r="AA290" s="371">
        <v>2579.2559585382614</v>
      </c>
      <c r="AB290" s="22">
        <v>0.12817963474165223</v>
      </c>
      <c r="AC290" s="24">
        <v>0</v>
      </c>
      <c r="AD290" s="384">
        <v>0</v>
      </c>
    </row>
    <row r="291" spans="1:30">
      <c r="A291" s="21" t="s">
        <v>511</v>
      </c>
      <c r="B291" s="21" t="s">
        <v>512</v>
      </c>
      <c r="C291" s="23">
        <v>1738.5409642392231</v>
      </c>
      <c r="D291" s="147">
        <v>206.40001127996098</v>
      </c>
      <c r="E291" s="22">
        <v>392.98867865904867</v>
      </c>
      <c r="F291" s="22">
        <v>599.38868993900962</v>
      </c>
      <c r="G291" s="22">
        <v>300.49886654923574</v>
      </c>
      <c r="H291" s="22">
        <v>205.2334549893512</v>
      </c>
      <c r="I291" s="22">
        <v>17.779926912052769</v>
      </c>
      <c r="J291" s="22">
        <v>369.02399210281465</v>
      </c>
      <c r="K291" s="22">
        <v>17.498344359146955</v>
      </c>
      <c r="L291" s="22">
        <v>0</v>
      </c>
      <c r="M291" s="388">
        <v>6678.2028985894485</v>
      </c>
      <c r="N291" s="25">
        <v>0.3085</v>
      </c>
      <c r="O291" s="24">
        <v>0</v>
      </c>
      <c r="P291" s="24">
        <v>129.72910473160672</v>
      </c>
      <c r="Q291" s="24">
        <v>94.028459631048293</v>
      </c>
      <c r="R291" s="22">
        <v>35.70064510055844</v>
      </c>
      <c r="S291" s="24">
        <v>51.791076695176329</v>
      </c>
      <c r="T291" s="24">
        <f t="shared" si="16"/>
        <v>181.52018142678304</v>
      </c>
      <c r="U291" s="376">
        <v>2060.89</v>
      </c>
      <c r="V291" s="376">
        <v>333.91</v>
      </c>
      <c r="W291" s="22">
        <f t="shared" si="17"/>
        <v>635.78456499999993</v>
      </c>
      <c r="X291" s="22">
        <f t="shared" si="18"/>
        <v>836.45102992646434</v>
      </c>
      <c r="Y291" s="22">
        <v>472.65642809190052</v>
      </c>
      <c r="Z291" s="22">
        <v>363.79460183456388</v>
      </c>
      <c r="AA291" s="371">
        <v>6482.8550025110408</v>
      </c>
      <c r="AB291" s="22">
        <v>0.12902510230484518</v>
      </c>
      <c r="AC291" s="24">
        <v>0</v>
      </c>
      <c r="AD291" s="384">
        <v>0</v>
      </c>
    </row>
    <row r="292" spans="1:30">
      <c r="A292" s="21" t="s">
        <v>581</v>
      </c>
      <c r="B292" s="21" t="s">
        <v>582</v>
      </c>
      <c r="C292" s="23">
        <v>247.70213787939579</v>
      </c>
      <c r="D292" s="147">
        <v>0</v>
      </c>
      <c r="E292" s="22">
        <v>0</v>
      </c>
      <c r="F292" s="22">
        <v>0</v>
      </c>
      <c r="G292" s="22">
        <v>0</v>
      </c>
      <c r="H292" s="22">
        <v>0</v>
      </c>
      <c r="I292" s="22">
        <v>0</v>
      </c>
      <c r="J292" s="22">
        <v>0</v>
      </c>
      <c r="K292" s="22">
        <v>0</v>
      </c>
      <c r="L292" s="22">
        <v>0</v>
      </c>
      <c r="M292" s="388">
        <v>568.50511779708995</v>
      </c>
      <c r="N292" s="25">
        <v>0.93140000000000001</v>
      </c>
      <c r="O292" s="24">
        <v>583.27814530489854</v>
      </c>
      <c r="P292" s="24">
        <v>164.67551085116747</v>
      </c>
      <c r="Q292" s="24">
        <v>144.56247135789511</v>
      </c>
      <c r="R292" s="22">
        <v>20.11303949327236</v>
      </c>
      <c r="S292" s="24">
        <v>57.07074956216033</v>
      </c>
      <c r="T292" s="24">
        <f t="shared" si="16"/>
        <v>221.7462604133278</v>
      </c>
      <c r="U292" s="376">
        <v>529.51</v>
      </c>
      <c r="V292" s="376">
        <v>28.43</v>
      </c>
      <c r="W292" s="22">
        <f t="shared" si="17"/>
        <v>493.18561399999999</v>
      </c>
      <c r="X292" s="22">
        <f t="shared" si="18"/>
        <v>70.144225232787363</v>
      </c>
      <c r="Y292" s="22">
        <v>54.053793638169473</v>
      </c>
      <c r="Z292" s="22">
        <v>16.09043159461789</v>
      </c>
      <c r="AA292" s="371">
        <v>568.64590907354295</v>
      </c>
      <c r="AB292" s="22">
        <v>0.12335308161641169</v>
      </c>
      <c r="AC292" s="24">
        <v>0</v>
      </c>
      <c r="AD292" s="384">
        <v>0</v>
      </c>
    </row>
    <row r="293" spans="1:30">
      <c r="A293" s="21" t="s">
        <v>369</v>
      </c>
      <c r="B293" s="21" t="s">
        <v>370</v>
      </c>
      <c r="C293" s="23">
        <v>1588.3568983429584</v>
      </c>
      <c r="D293" s="147">
        <v>0</v>
      </c>
      <c r="E293" s="22">
        <v>299.10101030445333</v>
      </c>
      <c r="F293" s="22">
        <v>299.10101030445333</v>
      </c>
      <c r="G293" s="22">
        <v>0</v>
      </c>
      <c r="H293" s="22">
        <v>216.23528759217118</v>
      </c>
      <c r="I293" s="22">
        <v>4.7165077611723696</v>
      </c>
      <c r="J293" s="22">
        <v>52.696163472373584</v>
      </c>
      <c r="K293" s="22">
        <v>0</v>
      </c>
      <c r="L293" s="22">
        <v>0</v>
      </c>
      <c r="M293" s="388">
        <v>5591.2439617742784</v>
      </c>
      <c r="N293" s="25">
        <v>0.36459999999999998</v>
      </c>
      <c r="O293" s="24">
        <v>0</v>
      </c>
      <c r="P293" s="24">
        <v>294.65602857644012</v>
      </c>
      <c r="Q293" s="24">
        <v>222.50049939432552</v>
      </c>
      <c r="R293" s="22">
        <v>72.155529182114606</v>
      </c>
      <c r="S293" s="24">
        <v>97.799654536036854</v>
      </c>
      <c r="T293" s="24">
        <f t="shared" si="16"/>
        <v>392.455683112477</v>
      </c>
      <c r="U293" s="376">
        <v>2039.13</v>
      </c>
      <c r="V293" s="376">
        <v>279.56</v>
      </c>
      <c r="W293" s="22">
        <f t="shared" si="17"/>
        <v>743.46679800000004</v>
      </c>
      <c r="X293" s="22">
        <f t="shared" si="18"/>
        <v>547.57750020434014</v>
      </c>
      <c r="Y293" s="22">
        <v>276.05146704516318</v>
      </c>
      <c r="Z293" s="22">
        <v>271.5260331591769</v>
      </c>
      <c r="AA293" s="371">
        <v>5629.0765890611219</v>
      </c>
      <c r="AB293" s="22">
        <v>9.7276612165561424E-2</v>
      </c>
      <c r="AC293" s="24">
        <v>0</v>
      </c>
      <c r="AD293" s="384">
        <v>0</v>
      </c>
    </row>
    <row r="294" spans="1:30">
      <c r="A294" s="21" t="s">
        <v>489</v>
      </c>
      <c r="B294" s="21" t="s">
        <v>490</v>
      </c>
      <c r="C294" s="23">
        <v>97.749371937303678</v>
      </c>
      <c r="D294" s="147">
        <v>0</v>
      </c>
      <c r="E294" s="22">
        <v>0</v>
      </c>
      <c r="F294" s="22">
        <v>0</v>
      </c>
      <c r="G294" s="22">
        <v>0</v>
      </c>
      <c r="H294" s="22">
        <v>1.7598909556613318</v>
      </c>
      <c r="I294" s="22">
        <v>0.25141299366590453</v>
      </c>
      <c r="J294" s="22">
        <v>905.84101617825399</v>
      </c>
      <c r="K294" s="22">
        <v>0</v>
      </c>
      <c r="L294" s="22">
        <v>0</v>
      </c>
      <c r="M294" s="388">
        <v>1164.6958344566692</v>
      </c>
      <c r="N294" s="25">
        <v>0.22850000000000001</v>
      </c>
      <c r="O294" s="24">
        <v>260.46386143787709</v>
      </c>
      <c r="P294" s="24">
        <v>36.957710068887963</v>
      </c>
      <c r="Q294" s="24">
        <v>26.649777328585881</v>
      </c>
      <c r="R294" s="22">
        <v>10.307932740302086</v>
      </c>
      <c r="S294" s="24">
        <v>3.0169559239908543</v>
      </c>
      <c r="T294" s="24">
        <f t="shared" si="16"/>
        <v>39.974665992878819</v>
      </c>
      <c r="U294" s="376">
        <v>265.89999999999998</v>
      </c>
      <c r="V294" s="376">
        <v>58.23</v>
      </c>
      <c r="W294" s="22">
        <f t="shared" si="17"/>
        <v>60.758150000000001</v>
      </c>
      <c r="X294" s="22">
        <f t="shared" si="18"/>
        <v>110.11889122566618</v>
      </c>
      <c r="Y294" s="22">
        <v>99.559545491698188</v>
      </c>
      <c r="Z294" s="22">
        <v>10.559345733967991</v>
      </c>
      <c r="AA294" s="371">
        <v>1162.7348131060753</v>
      </c>
      <c r="AB294" s="22">
        <v>9.4706798131811099E-2</v>
      </c>
      <c r="AC294" s="24">
        <v>0</v>
      </c>
      <c r="AD294" s="384">
        <v>0</v>
      </c>
    </row>
    <row r="295" spans="1:30">
      <c r="A295" s="21" t="s">
        <v>55</v>
      </c>
      <c r="B295" s="21" t="s">
        <v>56</v>
      </c>
      <c r="C295" s="23">
        <v>5987.1389746401037</v>
      </c>
      <c r="D295" s="147">
        <v>266.01506033802025</v>
      </c>
      <c r="E295" s="22">
        <v>1374.9977753983251</v>
      </c>
      <c r="F295" s="22">
        <v>1641.0128357363453</v>
      </c>
      <c r="G295" s="22">
        <v>0</v>
      </c>
      <c r="H295" s="22">
        <v>363.09064545229933</v>
      </c>
      <c r="I295" s="22">
        <v>4.4449817280131922</v>
      </c>
      <c r="J295" s="22">
        <v>1062.3204634359129</v>
      </c>
      <c r="K295" s="22">
        <v>213.59042289880583</v>
      </c>
      <c r="L295" s="22">
        <v>0.37209123062553867</v>
      </c>
      <c r="M295" s="388">
        <v>21570.510787112857</v>
      </c>
      <c r="N295" s="25">
        <v>0.48480000000000001</v>
      </c>
      <c r="O295" s="24">
        <v>12575.677943168545</v>
      </c>
      <c r="P295" s="24">
        <v>2947.0631117517332</v>
      </c>
      <c r="Q295" s="24">
        <v>1843.3600695584121</v>
      </c>
      <c r="R295" s="22">
        <v>1103.7030421933209</v>
      </c>
      <c r="S295" s="24">
        <v>484.47283879419803</v>
      </c>
      <c r="T295" s="24">
        <f t="shared" si="16"/>
        <v>3431.5359505459314</v>
      </c>
      <c r="U295" s="376">
        <v>10459.540000000001</v>
      </c>
      <c r="V295" s="376">
        <v>1078.53</v>
      </c>
      <c r="W295" s="22">
        <f t="shared" si="17"/>
        <v>5070.7849920000008</v>
      </c>
      <c r="X295" s="22">
        <f t="shared" si="18"/>
        <v>2872.3934526329595</v>
      </c>
      <c r="Y295" s="22">
        <v>1797.1000787238856</v>
      </c>
      <c r="Z295" s="22">
        <v>1075.2933739090736</v>
      </c>
      <c r="AA295" s="371">
        <v>21648.861132458893</v>
      </c>
      <c r="AB295" s="22">
        <v>0.13268104197528802</v>
      </c>
      <c r="AC295" s="24">
        <v>0</v>
      </c>
      <c r="AD295" s="384">
        <v>0</v>
      </c>
    </row>
    <row r="296" spans="1:30">
      <c r="A296" s="21" t="s">
        <v>193</v>
      </c>
      <c r="B296" s="21" t="s">
        <v>194</v>
      </c>
      <c r="C296" s="23">
        <v>275.91067576871029</v>
      </c>
      <c r="D296" s="147">
        <v>21.249426224642249</v>
      </c>
      <c r="E296" s="22">
        <v>97.497958943637784</v>
      </c>
      <c r="F296" s="22">
        <v>118.74738516828003</v>
      </c>
      <c r="G296" s="22">
        <v>0</v>
      </c>
      <c r="H296" s="22">
        <v>31.929450195569874</v>
      </c>
      <c r="I296" s="22">
        <v>0.68384334277126035</v>
      </c>
      <c r="J296" s="22">
        <v>130.22187419919192</v>
      </c>
      <c r="K296" s="22">
        <v>0</v>
      </c>
      <c r="L296" s="22">
        <v>0</v>
      </c>
      <c r="M296" s="388">
        <v>1489.9035700233901</v>
      </c>
      <c r="N296" s="25">
        <v>0.2329</v>
      </c>
      <c r="O296" s="24">
        <v>39.220427011881107</v>
      </c>
      <c r="P296" s="24">
        <v>75.172485106105455</v>
      </c>
      <c r="Q296" s="24">
        <v>43.745860897867388</v>
      </c>
      <c r="R296" s="22">
        <v>31.426624208238067</v>
      </c>
      <c r="S296" s="24">
        <v>6.0339118479817087</v>
      </c>
      <c r="T296" s="24">
        <f t="shared" si="16"/>
        <v>81.206396954087168</v>
      </c>
      <c r="U296" s="376">
        <v>347.74</v>
      </c>
      <c r="V296" s="376">
        <v>74.5</v>
      </c>
      <c r="W296" s="22">
        <f t="shared" si="17"/>
        <v>80.988646000000003</v>
      </c>
      <c r="X296" s="22">
        <f t="shared" si="18"/>
        <v>165.93257581949698</v>
      </c>
      <c r="Y296" s="22">
        <v>129.72910473160672</v>
      </c>
      <c r="Z296" s="22">
        <v>36.20347108789025</v>
      </c>
      <c r="AA296" s="371">
        <v>1491.6031218605717</v>
      </c>
      <c r="AB296" s="22">
        <v>0.11124445463248876</v>
      </c>
      <c r="AC296" s="24">
        <v>0</v>
      </c>
      <c r="AD296" s="384">
        <v>0</v>
      </c>
    </row>
    <row r="297" spans="1:30">
      <c r="A297" s="21" t="s">
        <v>1024</v>
      </c>
      <c r="B297" s="21" t="s">
        <v>1044</v>
      </c>
      <c r="C297" s="23">
        <v>55.511989001431722</v>
      </c>
      <c r="D297" s="147">
        <v>0</v>
      </c>
      <c r="E297" s="22">
        <v>0</v>
      </c>
      <c r="F297" s="22">
        <v>0</v>
      </c>
      <c r="G297" s="22">
        <v>0</v>
      </c>
      <c r="H297" s="22">
        <v>0</v>
      </c>
      <c r="I297" s="22">
        <v>0</v>
      </c>
      <c r="J297" s="22">
        <v>0</v>
      </c>
      <c r="K297" s="22">
        <v>0</v>
      </c>
      <c r="L297" s="22">
        <v>0</v>
      </c>
      <c r="M297" s="388">
        <v>126.30988801775044</v>
      </c>
      <c r="N297" s="25">
        <v>0.9919</v>
      </c>
      <c r="O297" s="24">
        <v>124.70084485828865</v>
      </c>
      <c r="P297" s="24">
        <v>0</v>
      </c>
      <c r="Q297" s="24">
        <v>0</v>
      </c>
      <c r="R297" s="22">
        <v>0</v>
      </c>
      <c r="S297" s="24">
        <v>0</v>
      </c>
      <c r="T297" s="24">
        <f t="shared" si="16"/>
        <v>0</v>
      </c>
      <c r="U297" s="376">
        <v>125.29</v>
      </c>
      <c r="V297" s="376">
        <v>0</v>
      </c>
      <c r="W297" s="22">
        <f t="shared" si="17"/>
        <v>124.27515100000001</v>
      </c>
      <c r="X297" s="22">
        <f t="shared" si="18"/>
        <v>16.5932575819497</v>
      </c>
      <c r="Y297" s="22">
        <v>15.587605607286081</v>
      </c>
      <c r="Z297" s="22">
        <v>1.0056519746636181</v>
      </c>
      <c r="AA297" s="371">
        <v>126.30988801775042</v>
      </c>
      <c r="AB297" s="22">
        <v>0.13136942675159238</v>
      </c>
      <c r="AC297" s="24">
        <v>0</v>
      </c>
      <c r="AD297" s="384">
        <v>0</v>
      </c>
    </row>
    <row r="298" spans="1:30">
      <c r="A298" s="21" t="s">
        <v>523</v>
      </c>
      <c r="B298" s="21" t="s">
        <v>524</v>
      </c>
      <c r="C298" s="23">
        <v>119.87371537990329</v>
      </c>
      <c r="D298" s="147">
        <v>0</v>
      </c>
      <c r="E298" s="22">
        <v>25.674294913162171</v>
      </c>
      <c r="F298" s="22">
        <v>25.674294913162171</v>
      </c>
      <c r="G298" s="22">
        <v>0</v>
      </c>
      <c r="H298" s="22">
        <v>7.0596768621385984</v>
      </c>
      <c r="I298" s="22">
        <v>0.53299554657171766</v>
      </c>
      <c r="J298" s="22">
        <v>19.901852578593001</v>
      </c>
      <c r="K298" s="22">
        <v>0</v>
      </c>
      <c r="L298" s="22">
        <v>0</v>
      </c>
      <c r="M298" s="388">
        <v>454.23288391606309</v>
      </c>
      <c r="N298" s="25">
        <v>0.64859999999999995</v>
      </c>
      <c r="O298" s="24">
        <v>464.61121229459155</v>
      </c>
      <c r="P298" s="24">
        <v>16.341844588283795</v>
      </c>
      <c r="Q298" s="24">
        <v>7.7938028036430405</v>
      </c>
      <c r="R298" s="22">
        <v>8.5480417846407537</v>
      </c>
      <c r="S298" s="24">
        <v>0</v>
      </c>
      <c r="T298" s="24">
        <f t="shared" si="16"/>
        <v>16.341844588283795</v>
      </c>
      <c r="U298" s="376">
        <v>294.62</v>
      </c>
      <c r="V298" s="376">
        <v>0</v>
      </c>
      <c r="W298" s="22">
        <f t="shared" si="17"/>
        <v>191.090532</v>
      </c>
      <c r="X298" s="22">
        <f t="shared" si="18"/>
        <v>76.68096306810088</v>
      </c>
      <c r="Y298" s="22">
        <v>43.99727389153329</v>
      </c>
      <c r="Z298" s="22">
        <v>32.68368917656759</v>
      </c>
      <c r="AA298" s="371">
        <v>454.23288391606303</v>
      </c>
      <c r="AB298" s="22">
        <v>0.16881420474672335</v>
      </c>
      <c r="AC298" s="24">
        <v>3.3814204746723336E-2</v>
      </c>
      <c r="AD298" s="384">
        <v>-143726.09863584023</v>
      </c>
    </row>
    <row r="299" spans="1:30">
      <c r="A299" s="21" t="s">
        <v>121</v>
      </c>
      <c r="B299" s="21" t="s">
        <v>122</v>
      </c>
      <c r="C299" s="23">
        <v>647.43874128843731</v>
      </c>
      <c r="D299" s="147">
        <v>65.508169629588082</v>
      </c>
      <c r="E299" s="22">
        <v>209.47730632243167</v>
      </c>
      <c r="F299" s="22">
        <v>274.98547595201978</v>
      </c>
      <c r="G299" s="22">
        <v>0</v>
      </c>
      <c r="H299" s="22">
        <v>34.503919250708741</v>
      </c>
      <c r="I299" s="22">
        <v>2.0012474295806002</v>
      </c>
      <c r="J299" s="22">
        <v>0</v>
      </c>
      <c r="K299" s="22">
        <v>0</v>
      </c>
      <c r="L299" s="22">
        <v>0</v>
      </c>
      <c r="M299" s="388">
        <v>2414.2586390552015</v>
      </c>
      <c r="N299" s="25">
        <v>0.96860000000000002</v>
      </c>
      <c r="O299" s="24">
        <v>2466.8642938498551</v>
      </c>
      <c r="P299" s="24">
        <v>1203.7654136723509</v>
      </c>
      <c r="Q299" s="24">
        <v>751.97626405472045</v>
      </c>
      <c r="R299" s="22">
        <v>451.78914961763041</v>
      </c>
      <c r="S299" s="24">
        <v>229.79147621063674</v>
      </c>
      <c r="T299" s="24">
        <f t="shared" si="16"/>
        <v>1433.5568898829877</v>
      </c>
      <c r="U299" s="376">
        <v>2337.4899999999998</v>
      </c>
      <c r="V299" s="376">
        <v>120.71</v>
      </c>
      <c r="W299" s="22">
        <f t="shared" si="17"/>
        <v>2264.0928139999996</v>
      </c>
      <c r="X299" s="22">
        <f t="shared" si="18"/>
        <v>295.91309354476965</v>
      </c>
      <c r="Y299" s="22">
        <v>169.70377072448557</v>
      </c>
      <c r="Z299" s="22">
        <v>126.20932282028407</v>
      </c>
      <c r="AA299" s="371">
        <v>2441.8436727202243</v>
      </c>
      <c r="AB299" s="22">
        <v>0.12118429072698221</v>
      </c>
      <c r="AC299" s="24">
        <v>0</v>
      </c>
      <c r="AD299" s="384">
        <v>0</v>
      </c>
    </row>
    <row r="300" spans="1:30">
      <c r="A300" s="21" t="s">
        <v>535</v>
      </c>
      <c r="B300" s="21" t="s">
        <v>536</v>
      </c>
      <c r="C300" s="23">
        <v>71.904116188448697</v>
      </c>
      <c r="D300" s="147">
        <v>4.5254338859862813</v>
      </c>
      <c r="E300" s="22">
        <v>10.317989260048721</v>
      </c>
      <c r="F300" s="22">
        <v>14.843423146035002</v>
      </c>
      <c r="G300" s="22">
        <v>0</v>
      </c>
      <c r="H300" s="22">
        <v>2.8057690093114944</v>
      </c>
      <c r="I300" s="22">
        <v>0.67378682302462423</v>
      </c>
      <c r="J300" s="22">
        <v>0</v>
      </c>
      <c r="K300" s="22">
        <v>0</v>
      </c>
      <c r="L300" s="22">
        <v>0</v>
      </c>
      <c r="M300" s="388">
        <v>263.5210434408545</v>
      </c>
      <c r="N300" s="25">
        <v>0.56779999999999997</v>
      </c>
      <c r="O300" s="24">
        <v>268.50907723518606</v>
      </c>
      <c r="P300" s="24">
        <v>1.5084779619954272</v>
      </c>
      <c r="Q300" s="24">
        <v>0.50282598733180905</v>
      </c>
      <c r="R300" s="22">
        <v>1.0056519746636181</v>
      </c>
      <c r="S300" s="24">
        <v>0</v>
      </c>
      <c r="T300" s="24">
        <f t="shared" si="16"/>
        <v>1.5084779619954272</v>
      </c>
      <c r="U300" s="376">
        <v>149.63</v>
      </c>
      <c r="V300" s="376">
        <v>0</v>
      </c>
      <c r="W300" s="22">
        <f t="shared" si="17"/>
        <v>84.959913999999998</v>
      </c>
      <c r="X300" s="22">
        <f t="shared" si="18"/>
        <v>21.872930448933694</v>
      </c>
      <c r="Y300" s="22">
        <v>20.867278474270076</v>
      </c>
      <c r="Z300" s="22">
        <v>1.0056519746636181</v>
      </c>
      <c r="AA300" s="371">
        <v>265.5424039099284</v>
      </c>
      <c r="AB300" s="22">
        <v>8.2370763113046766E-2</v>
      </c>
      <c r="AC300" s="24">
        <v>0</v>
      </c>
      <c r="AD300" s="384">
        <v>0</v>
      </c>
    </row>
    <row r="301" spans="1:30">
      <c r="A301" s="21" t="s">
        <v>527</v>
      </c>
      <c r="B301" s="21" t="s">
        <v>528</v>
      </c>
      <c r="C301" s="23">
        <v>1516.7444212271621</v>
      </c>
      <c r="D301" s="147">
        <v>65.307039234655363</v>
      </c>
      <c r="E301" s="22">
        <v>295.06834588605221</v>
      </c>
      <c r="F301" s="22">
        <v>360.37538512070756</v>
      </c>
      <c r="G301" s="22">
        <v>92.871959860185129</v>
      </c>
      <c r="H301" s="22">
        <v>90.468451640739076</v>
      </c>
      <c r="I301" s="22">
        <v>9.1614894891855609</v>
      </c>
      <c r="J301" s="22">
        <v>346.81919650224199</v>
      </c>
      <c r="K301" s="22">
        <v>94.732416013312829</v>
      </c>
      <c r="L301" s="22">
        <v>0.20113039493272364</v>
      </c>
      <c r="M301" s="388">
        <v>5511.4354210649726</v>
      </c>
      <c r="N301" s="25">
        <v>0.55479999999999996</v>
      </c>
      <c r="O301" s="24">
        <v>2722.2998954144141</v>
      </c>
      <c r="P301" s="24">
        <v>784.659953231288</v>
      </c>
      <c r="Q301" s="24">
        <v>544.05771829301739</v>
      </c>
      <c r="R301" s="22">
        <v>240.60223493827064</v>
      </c>
      <c r="S301" s="24">
        <v>141.29410244023833</v>
      </c>
      <c r="T301" s="24">
        <f t="shared" si="16"/>
        <v>925.95405567152636</v>
      </c>
      <c r="U301" s="376">
        <v>3057.74</v>
      </c>
      <c r="V301" s="376">
        <v>275.57</v>
      </c>
      <c r="W301" s="22">
        <f t="shared" si="17"/>
        <v>1696.4341519999998</v>
      </c>
      <c r="X301" s="22">
        <f t="shared" si="18"/>
        <v>803.51592775623089</v>
      </c>
      <c r="Y301" s="22">
        <v>462.34849535159844</v>
      </c>
      <c r="Z301" s="22">
        <v>341.16743240463245</v>
      </c>
      <c r="AA301" s="371">
        <v>5496.7026196361512</v>
      </c>
      <c r="AB301" s="22">
        <v>0.14618144428730598</v>
      </c>
      <c r="AC301" s="24">
        <v>1.1181444287305969E-2</v>
      </c>
      <c r="AD301" s="384">
        <v>-576668.24138714827</v>
      </c>
    </row>
    <row r="302" spans="1:30">
      <c r="A302" s="21" t="s">
        <v>605</v>
      </c>
      <c r="B302" s="21" t="s">
        <v>606</v>
      </c>
      <c r="C302" s="23">
        <v>883.57588145920147</v>
      </c>
      <c r="D302" s="147">
        <v>57.724423345691676</v>
      </c>
      <c r="E302" s="22">
        <v>257.75865762603195</v>
      </c>
      <c r="F302" s="22">
        <v>315.48308097172361</v>
      </c>
      <c r="G302" s="22">
        <v>0</v>
      </c>
      <c r="H302" s="22">
        <v>15.537323008552899</v>
      </c>
      <c r="I302" s="22">
        <v>1.0861041326367076</v>
      </c>
      <c r="J302" s="22">
        <v>28.912494271579021</v>
      </c>
      <c r="K302" s="22">
        <v>4.2237382935871963</v>
      </c>
      <c r="L302" s="22">
        <v>0</v>
      </c>
      <c r="M302" s="388">
        <v>3075.6156036729831</v>
      </c>
      <c r="N302" s="25">
        <v>0.90939999999999999</v>
      </c>
      <c r="O302" s="24">
        <v>3162.7754603170788</v>
      </c>
      <c r="P302" s="24">
        <v>1050.906313523481</v>
      </c>
      <c r="Q302" s="24">
        <v>598.86575091218458</v>
      </c>
      <c r="R302" s="22">
        <v>452.04056261129637</v>
      </c>
      <c r="S302" s="24">
        <v>152.10486116787223</v>
      </c>
      <c r="T302" s="24">
        <f t="shared" si="16"/>
        <v>1203.0111746913533</v>
      </c>
      <c r="U302" s="376">
        <v>2796.04</v>
      </c>
      <c r="V302" s="376">
        <v>153.78</v>
      </c>
      <c r="W302" s="22">
        <f t="shared" si="17"/>
        <v>2542.7187759999997</v>
      </c>
      <c r="X302" s="22">
        <f t="shared" si="18"/>
        <v>387.42742323915888</v>
      </c>
      <c r="Y302" s="22">
        <v>291.63907265244927</v>
      </c>
      <c r="Z302" s="22">
        <v>95.788350586709626</v>
      </c>
      <c r="AA302" s="371">
        <v>3085.0687322348213</v>
      </c>
      <c r="AB302" s="22">
        <v>0.1255814559951495</v>
      </c>
      <c r="AC302" s="24">
        <v>0</v>
      </c>
      <c r="AD302" s="384">
        <v>0</v>
      </c>
    </row>
    <row r="303" spans="1:30">
      <c r="A303" s="21" t="s">
        <v>125</v>
      </c>
      <c r="B303" s="21" t="s">
        <v>126</v>
      </c>
      <c r="C303" s="23">
        <v>231.50108456756487</v>
      </c>
      <c r="D303" s="147">
        <v>3.1074646017105798</v>
      </c>
      <c r="E303" s="22">
        <v>54.60690222423446</v>
      </c>
      <c r="F303" s="22">
        <v>57.714366825945042</v>
      </c>
      <c r="G303" s="22">
        <v>0</v>
      </c>
      <c r="H303" s="22">
        <v>21.742195692227426</v>
      </c>
      <c r="I303" s="22">
        <v>2.0816995875536892</v>
      </c>
      <c r="J303" s="22">
        <v>0</v>
      </c>
      <c r="K303" s="22">
        <v>0</v>
      </c>
      <c r="L303" s="22">
        <v>0</v>
      </c>
      <c r="M303" s="388">
        <v>891.39985382208442</v>
      </c>
      <c r="N303" s="25">
        <v>0.85399999999999998</v>
      </c>
      <c r="O303" s="24">
        <v>907.09808114658358</v>
      </c>
      <c r="P303" s="24">
        <v>237.58527901427979</v>
      </c>
      <c r="Q303" s="24">
        <v>159.64725097784938</v>
      </c>
      <c r="R303" s="22">
        <v>77.93802803643041</v>
      </c>
      <c r="S303" s="24">
        <v>53.550967650837663</v>
      </c>
      <c r="T303" s="24">
        <f t="shared" si="16"/>
        <v>291.13624666511748</v>
      </c>
      <c r="U303" s="376">
        <v>761.26</v>
      </c>
      <c r="V303" s="376">
        <v>44.57</v>
      </c>
      <c r="W303" s="22">
        <f t="shared" si="17"/>
        <v>650.11604</v>
      </c>
      <c r="X303" s="22">
        <f t="shared" si="18"/>
        <v>124.19801887095683</v>
      </c>
      <c r="Y303" s="22">
        <v>43.745860897867388</v>
      </c>
      <c r="Z303" s="22">
        <v>80.452157973089442</v>
      </c>
      <c r="AA303" s="371">
        <v>892.17420584257536</v>
      </c>
      <c r="AB303" s="22">
        <v>0.13920826006582804</v>
      </c>
      <c r="AC303" s="24">
        <v>4.2082600658280289E-3</v>
      </c>
      <c r="AD303" s="384">
        <v>-34146.726957664388</v>
      </c>
    </row>
    <row r="304" spans="1:30">
      <c r="A304" s="21" t="s">
        <v>63</v>
      </c>
      <c r="B304" s="21" t="s">
        <v>64</v>
      </c>
      <c r="C304" s="23">
        <v>761.85176644591718</v>
      </c>
      <c r="D304" s="147">
        <v>44.158178207479466</v>
      </c>
      <c r="E304" s="22">
        <v>226.14095954260782</v>
      </c>
      <c r="F304" s="22">
        <v>270.29913775008731</v>
      </c>
      <c r="G304" s="22">
        <v>0</v>
      </c>
      <c r="H304" s="22">
        <v>63.607487397473847</v>
      </c>
      <c r="I304" s="22">
        <v>0.70395638226453261</v>
      </c>
      <c r="J304" s="22">
        <v>109.37470876441512</v>
      </c>
      <c r="K304" s="22">
        <v>5.4305206631835379</v>
      </c>
      <c r="L304" s="22">
        <v>0</v>
      </c>
      <c r="M304" s="388">
        <v>2915.9683526951339</v>
      </c>
      <c r="N304" s="25">
        <v>0.34239999999999998</v>
      </c>
      <c r="O304" s="24">
        <v>0</v>
      </c>
      <c r="P304" s="24">
        <v>77.686615042764487</v>
      </c>
      <c r="Q304" s="24">
        <v>43.99727389153329</v>
      </c>
      <c r="R304" s="22">
        <v>33.689341151231204</v>
      </c>
      <c r="S304" s="24">
        <v>11.0621717212998</v>
      </c>
      <c r="T304" s="24">
        <f t="shared" si="16"/>
        <v>88.748786764064292</v>
      </c>
      <c r="U304" s="376">
        <v>998.43</v>
      </c>
      <c r="V304" s="376">
        <v>145.80000000000001</v>
      </c>
      <c r="W304" s="22">
        <f t="shared" si="17"/>
        <v>341.86243199999996</v>
      </c>
      <c r="X304" s="22">
        <f t="shared" si="18"/>
        <v>443.24110783298966</v>
      </c>
      <c r="Y304" s="22">
        <v>318.03743698736923</v>
      </c>
      <c r="Z304" s="22">
        <v>125.20367084562045</v>
      </c>
      <c r="AA304" s="371">
        <v>2960.5790742912118</v>
      </c>
      <c r="AB304" s="22">
        <v>0.14971432841701937</v>
      </c>
      <c r="AC304" s="24">
        <v>1.4714328417019362E-2</v>
      </c>
      <c r="AD304" s="384">
        <v>-416102.89927355276</v>
      </c>
    </row>
    <row r="305" spans="1:30">
      <c r="A305" s="21" t="s">
        <v>3</v>
      </c>
      <c r="B305" s="21" t="s">
        <v>4</v>
      </c>
      <c r="C305" s="23">
        <v>21.4</v>
      </c>
      <c r="D305" s="147">
        <v>2.9</v>
      </c>
      <c r="E305" s="22">
        <v>2.7</v>
      </c>
      <c r="F305" s="22">
        <v>5.6</v>
      </c>
      <c r="G305" s="22">
        <v>0</v>
      </c>
      <c r="H305" s="22">
        <v>0</v>
      </c>
      <c r="I305" s="22">
        <v>0</v>
      </c>
      <c r="J305" s="22">
        <v>0</v>
      </c>
      <c r="K305" s="22">
        <v>0</v>
      </c>
      <c r="L305" s="22">
        <v>0</v>
      </c>
      <c r="M305" s="388">
        <v>78.11</v>
      </c>
      <c r="N305" s="25">
        <v>0.74390000000000001</v>
      </c>
      <c r="O305" s="24">
        <v>82</v>
      </c>
      <c r="P305" s="24">
        <v>1</v>
      </c>
      <c r="Q305" s="24">
        <v>1</v>
      </c>
      <c r="R305" s="22">
        <v>0</v>
      </c>
      <c r="S305" s="24">
        <v>0</v>
      </c>
      <c r="T305" s="24">
        <f t="shared" si="16"/>
        <v>1</v>
      </c>
      <c r="U305" s="376">
        <v>58.11</v>
      </c>
      <c r="V305" s="376">
        <v>3.91</v>
      </c>
      <c r="W305" s="22">
        <f t="shared" si="17"/>
        <v>43.228028999999999</v>
      </c>
      <c r="X305" s="22">
        <f t="shared" si="18"/>
        <v>5.5</v>
      </c>
      <c r="Y305" s="22">
        <v>5.5</v>
      </c>
      <c r="Z305" s="22">
        <v>0</v>
      </c>
      <c r="AA305" s="371">
        <v>78.12</v>
      </c>
      <c r="AB305" s="22">
        <v>7.040450588837685E-2</v>
      </c>
      <c r="AC305" s="24">
        <v>0</v>
      </c>
      <c r="AD305" s="384">
        <v>0</v>
      </c>
    </row>
    <row r="306" spans="1:30">
      <c r="A306" s="21" t="s">
        <v>99</v>
      </c>
      <c r="B306" s="21" t="s">
        <v>100</v>
      </c>
      <c r="C306" s="23">
        <v>71.602420596049612</v>
      </c>
      <c r="D306" s="147">
        <v>1.397856244782429</v>
      </c>
      <c r="E306" s="22">
        <v>13.908166809597839</v>
      </c>
      <c r="F306" s="22">
        <v>15.306023054380269</v>
      </c>
      <c r="G306" s="22">
        <v>0</v>
      </c>
      <c r="H306" s="22">
        <v>4.9478077153450011</v>
      </c>
      <c r="I306" s="22">
        <v>0.17096083569281509</v>
      </c>
      <c r="J306" s="22">
        <v>0</v>
      </c>
      <c r="K306" s="22">
        <v>0</v>
      </c>
      <c r="L306" s="22">
        <v>0</v>
      </c>
      <c r="M306" s="388">
        <v>259.67945289763946</v>
      </c>
      <c r="N306" s="25">
        <v>0.55989999999999995</v>
      </c>
      <c r="O306" s="24">
        <v>256.4412535392226</v>
      </c>
      <c r="P306" s="24">
        <v>14.079127645290654</v>
      </c>
      <c r="Q306" s="24">
        <v>8.0452157973089449</v>
      </c>
      <c r="R306" s="22">
        <v>6.0339118479817087</v>
      </c>
      <c r="S306" s="24">
        <v>3.0169559239908543</v>
      </c>
      <c r="T306" s="24">
        <f t="shared" si="16"/>
        <v>17.096083569281507</v>
      </c>
      <c r="U306" s="376">
        <v>145.38999999999999</v>
      </c>
      <c r="V306" s="376">
        <v>12.98</v>
      </c>
      <c r="W306" s="22">
        <f t="shared" si="17"/>
        <v>81.403860999999992</v>
      </c>
      <c r="X306" s="22">
        <f t="shared" si="18"/>
        <v>43.243034910535584</v>
      </c>
      <c r="Y306" s="22">
        <v>35.197819113226636</v>
      </c>
      <c r="Z306" s="22">
        <v>8.0452157973089449</v>
      </c>
      <c r="AA306" s="371">
        <v>260.22250496395782</v>
      </c>
      <c r="AB306" s="22">
        <v>0.1661771525738136</v>
      </c>
      <c r="AC306" s="24">
        <v>3.1177152573813594E-2</v>
      </c>
      <c r="AD306" s="384">
        <v>-74615.684798392627</v>
      </c>
    </row>
    <row r="307" spans="1:30">
      <c r="A307" s="21" t="s">
        <v>487</v>
      </c>
      <c r="B307" s="21" t="s">
        <v>488</v>
      </c>
      <c r="C307" s="23">
        <v>109.61606523833437</v>
      </c>
      <c r="D307" s="147">
        <v>0</v>
      </c>
      <c r="E307" s="22">
        <v>6.6373030327798794</v>
      </c>
      <c r="F307" s="22">
        <v>6.6373030327798794</v>
      </c>
      <c r="G307" s="22">
        <v>0</v>
      </c>
      <c r="H307" s="22">
        <v>3.7108557865087506</v>
      </c>
      <c r="I307" s="22">
        <v>8.0452157973089453E-2</v>
      </c>
      <c r="J307" s="22">
        <v>0</v>
      </c>
      <c r="K307" s="22">
        <v>21.722082652734152</v>
      </c>
      <c r="L307" s="22">
        <v>0</v>
      </c>
      <c r="M307" s="388">
        <v>393.0691308170218</v>
      </c>
      <c r="N307" s="25">
        <v>0.8992</v>
      </c>
      <c r="O307" s="24">
        <v>399.24383394145639</v>
      </c>
      <c r="P307" s="24">
        <v>0</v>
      </c>
      <c r="Q307" s="24">
        <v>0</v>
      </c>
      <c r="R307" s="22">
        <v>0</v>
      </c>
      <c r="S307" s="24">
        <v>0</v>
      </c>
      <c r="T307" s="24">
        <f t="shared" si="16"/>
        <v>0</v>
      </c>
      <c r="U307" s="376">
        <v>353.45</v>
      </c>
      <c r="V307" s="376">
        <v>19.649999999999999</v>
      </c>
      <c r="W307" s="22">
        <f t="shared" si="17"/>
        <v>317.82223999999997</v>
      </c>
      <c r="X307" s="22">
        <f t="shared" si="18"/>
        <v>63.607487397473847</v>
      </c>
      <c r="Y307" s="22">
        <v>55.059445612833095</v>
      </c>
      <c r="Z307" s="22">
        <v>8.5480417846407537</v>
      </c>
      <c r="AA307" s="371">
        <v>393.0691308170218</v>
      </c>
      <c r="AB307" s="22">
        <v>0.16182264749526684</v>
      </c>
      <c r="AC307" s="24">
        <v>2.6822647495266833E-2</v>
      </c>
      <c r="AD307" s="384">
        <v>-96986.035562871009</v>
      </c>
    </row>
    <row r="308" spans="1:30">
      <c r="A308" s="21" t="s">
        <v>41</v>
      </c>
      <c r="B308" s="21" t="s">
        <v>42</v>
      </c>
      <c r="C308" s="23">
        <v>1850.2286725453644</v>
      </c>
      <c r="D308" s="147">
        <v>167.74274937389151</v>
      </c>
      <c r="E308" s="22">
        <v>538.96911930121951</v>
      </c>
      <c r="F308" s="22">
        <v>706.71186867511096</v>
      </c>
      <c r="G308" s="22">
        <v>199.15931706238291</v>
      </c>
      <c r="H308" s="22">
        <v>242.35206937418533</v>
      </c>
      <c r="I308" s="22">
        <v>15.084779619954272</v>
      </c>
      <c r="J308" s="22">
        <v>434.25057917949692</v>
      </c>
      <c r="K308" s="22">
        <v>49.94067706179527</v>
      </c>
      <c r="L308" s="22">
        <v>0</v>
      </c>
      <c r="M308" s="388">
        <v>7333.7170252344349</v>
      </c>
      <c r="N308" s="25">
        <v>0.58699999999999997</v>
      </c>
      <c r="O308" s="24">
        <v>6288.3417975716038</v>
      </c>
      <c r="P308" s="24">
        <v>1576.3594702852215</v>
      </c>
      <c r="Q308" s="24">
        <v>1002.6350187396273</v>
      </c>
      <c r="R308" s="22">
        <v>573.72445154559409</v>
      </c>
      <c r="S308" s="24">
        <v>368.82286170788194</v>
      </c>
      <c r="T308" s="24">
        <f t="shared" si="16"/>
        <v>1945.1823319931034</v>
      </c>
      <c r="U308" s="376">
        <v>4304.8900000000003</v>
      </c>
      <c r="V308" s="376">
        <v>0</v>
      </c>
      <c r="W308" s="22">
        <f t="shared" si="17"/>
        <v>2526.9704299999999</v>
      </c>
      <c r="X308" s="22">
        <f t="shared" si="18"/>
        <v>952.60383300011222</v>
      </c>
      <c r="Y308" s="22">
        <v>758.76441488369983</v>
      </c>
      <c r="Z308" s="22">
        <v>193.83941811641239</v>
      </c>
      <c r="AA308" s="371">
        <v>7280.0554358663849</v>
      </c>
      <c r="AB308" s="22">
        <v>0.13085117845489933</v>
      </c>
      <c r="AC308" s="24">
        <v>0</v>
      </c>
      <c r="AD308" s="384">
        <v>0</v>
      </c>
    </row>
    <row r="309" spans="1:30">
      <c r="A309" s="21" t="s">
        <v>473</v>
      </c>
      <c r="B309" s="21" t="s">
        <v>474</v>
      </c>
      <c r="C309" s="23">
        <v>790.54301728307018</v>
      </c>
      <c r="D309" s="147">
        <v>82.543914080389769</v>
      </c>
      <c r="E309" s="22">
        <v>206.54080255641389</v>
      </c>
      <c r="F309" s="22">
        <v>289.08471663680365</v>
      </c>
      <c r="G309" s="22">
        <v>0</v>
      </c>
      <c r="H309" s="22">
        <v>66.564104202984879</v>
      </c>
      <c r="I309" s="22">
        <v>1.7800039951546041</v>
      </c>
      <c r="J309" s="22">
        <v>725.15552589044182</v>
      </c>
      <c r="K309" s="22">
        <v>2.2124343442599601</v>
      </c>
      <c r="L309" s="22">
        <v>0</v>
      </c>
      <c r="M309" s="388">
        <v>3429.8665682679889</v>
      </c>
      <c r="N309" s="25">
        <v>0.52390000000000003</v>
      </c>
      <c r="O309" s="24">
        <v>1849.3939814063938</v>
      </c>
      <c r="P309" s="24">
        <v>102.82791440935495</v>
      </c>
      <c r="Q309" s="24">
        <v>60.59053147348299</v>
      </c>
      <c r="R309" s="22">
        <v>42.237382935871963</v>
      </c>
      <c r="S309" s="24">
        <v>13.827714651624749</v>
      </c>
      <c r="T309" s="24">
        <f t="shared" si="16"/>
        <v>116.65562906097969</v>
      </c>
      <c r="U309" s="376">
        <v>1796.91</v>
      </c>
      <c r="V309" s="376">
        <v>171.49</v>
      </c>
      <c r="W309" s="22">
        <f t="shared" si="17"/>
        <v>941.40114900000015</v>
      </c>
      <c r="X309" s="22">
        <f t="shared" si="18"/>
        <v>398.4895949604587</v>
      </c>
      <c r="Y309" s="22">
        <v>316.02613303804202</v>
      </c>
      <c r="Z309" s="22">
        <v>82.463461922416684</v>
      </c>
      <c r="AA309" s="371">
        <v>3213.2591894451925</v>
      </c>
      <c r="AB309" s="22">
        <v>0.12401414621932901</v>
      </c>
      <c r="AC309" s="24">
        <v>0</v>
      </c>
      <c r="AD309" s="384">
        <v>0</v>
      </c>
    </row>
    <row r="310" spans="1:30">
      <c r="A310" s="21" t="s">
        <v>607</v>
      </c>
      <c r="B310" s="21" t="s">
        <v>608</v>
      </c>
      <c r="C310" s="23">
        <v>1490.1851525762959</v>
      </c>
      <c r="D310" s="147">
        <v>283.49329165767392</v>
      </c>
      <c r="E310" s="22">
        <v>311.93312950116109</v>
      </c>
      <c r="F310" s="22">
        <v>595.42642115883496</v>
      </c>
      <c r="G310" s="22">
        <v>0</v>
      </c>
      <c r="H310" s="22">
        <v>80.5225536113159</v>
      </c>
      <c r="I310" s="22">
        <v>8.6687200216003877</v>
      </c>
      <c r="J310" s="22">
        <v>175.30525222336189</v>
      </c>
      <c r="K310" s="22">
        <v>5.6316510581162609</v>
      </c>
      <c r="L310" s="22">
        <v>0</v>
      </c>
      <c r="M310" s="388">
        <v>5254.7125849728436</v>
      </c>
      <c r="N310" s="25">
        <v>0.46389999999999998</v>
      </c>
      <c r="O310" s="24">
        <v>1548.704040981972</v>
      </c>
      <c r="P310" s="24">
        <v>424.38513330804682</v>
      </c>
      <c r="Q310" s="24">
        <v>301.4441794054195</v>
      </c>
      <c r="R310" s="22">
        <v>122.94095390262731</v>
      </c>
      <c r="S310" s="24">
        <v>76.429550074434971</v>
      </c>
      <c r="T310" s="24">
        <f t="shared" si="16"/>
        <v>500.8146833824818</v>
      </c>
      <c r="U310" s="376">
        <v>2430.3000000000002</v>
      </c>
      <c r="V310" s="376">
        <v>262.74</v>
      </c>
      <c r="W310" s="22">
        <f t="shared" si="17"/>
        <v>1127.41617</v>
      </c>
      <c r="X310" s="22">
        <f t="shared" si="18"/>
        <v>718.2869229034892</v>
      </c>
      <c r="Y310" s="22">
        <v>487.23838172452298</v>
      </c>
      <c r="Z310" s="22">
        <v>231.04854117896625</v>
      </c>
      <c r="AA310" s="371">
        <v>5292.6357209374091</v>
      </c>
      <c r="AB310" s="22">
        <v>0.13571440786336023</v>
      </c>
      <c r="AC310" s="24">
        <v>7.1440786336021689E-4</v>
      </c>
      <c r="AD310" s="384">
        <v>-35514.172600198224</v>
      </c>
    </row>
    <row r="311" spans="1:30">
      <c r="A311" s="21" t="s">
        <v>1253</v>
      </c>
      <c r="B311" s="21" t="s">
        <v>1254</v>
      </c>
      <c r="C311" s="23">
        <v>0</v>
      </c>
      <c r="D311" s="147">
        <v>0</v>
      </c>
      <c r="E311" s="22">
        <v>0</v>
      </c>
      <c r="F311" s="22">
        <v>0</v>
      </c>
      <c r="G311" s="22">
        <v>0</v>
      </c>
      <c r="H311" s="22">
        <v>0</v>
      </c>
      <c r="I311" s="22">
        <v>0</v>
      </c>
      <c r="J311" s="22">
        <v>0</v>
      </c>
      <c r="K311" s="22">
        <v>0</v>
      </c>
      <c r="L311" s="22">
        <v>0</v>
      </c>
      <c r="M311" s="388">
        <v>50</v>
      </c>
      <c r="N311" s="25">
        <v>0.60419999999999996</v>
      </c>
      <c r="O311" s="24">
        <v>48</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97.035359035292501</v>
      </c>
      <c r="D312" s="147">
        <v>0.13073475670627036</v>
      </c>
      <c r="E312" s="22">
        <v>18.72523976823657</v>
      </c>
      <c r="F312" s="22">
        <v>18.855974524942841</v>
      </c>
      <c r="G312" s="22">
        <v>0</v>
      </c>
      <c r="H312" s="22">
        <v>7.9144810406026744</v>
      </c>
      <c r="I312" s="22">
        <v>0.92519981669052875</v>
      </c>
      <c r="J312" s="22">
        <v>18.644787610263478</v>
      </c>
      <c r="K312" s="22">
        <v>0</v>
      </c>
      <c r="L312" s="22">
        <v>0</v>
      </c>
      <c r="M312" s="388">
        <v>325.9418615082252</v>
      </c>
      <c r="N312" s="25">
        <v>0.69669999999999999</v>
      </c>
      <c r="O312" s="24">
        <v>334.88210756298486</v>
      </c>
      <c r="P312" s="24">
        <v>0</v>
      </c>
      <c r="Q312" s="24">
        <v>0</v>
      </c>
      <c r="R312" s="22">
        <v>0</v>
      </c>
      <c r="S312" s="24">
        <v>0</v>
      </c>
      <c r="T312" s="24">
        <f t="shared" si="16"/>
        <v>0</v>
      </c>
      <c r="U312" s="376">
        <v>227.08</v>
      </c>
      <c r="V312" s="376">
        <v>16.3</v>
      </c>
      <c r="W312" s="22">
        <f t="shared" si="17"/>
        <v>158.206636</v>
      </c>
      <c r="X312" s="22">
        <f t="shared" si="18"/>
        <v>60.841944467148892</v>
      </c>
      <c r="Y312" s="22">
        <v>40.226078986544721</v>
      </c>
      <c r="Z312" s="22">
        <v>20.615865480604171</v>
      </c>
      <c r="AA312" s="371">
        <v>325.94186150822526</v>
      </c>
      <c r="AB312" s="22">
        <v>0.18666502113479991</v>
      </c>
      <c r="AC312" s="24">
        <v>5.1665021134799899E-2</v>
      </c>
      <c r="AD312" s="384">
        <v>-155691.90748891246</v>
      </c>
    </row>
    <row r="313" spans="1:30">
      <c r="A313" s="21" t="s">
        <v>387</v>
      </c>
      <c r="B313" s="21" t="s">
        <v>388</v>
      </c>
      <c r="C313" s="23">
        <v>1293.791378444238</v>
      </c>
      <c r="D313" s="147">
        <v>33.266967321872485</v>
      </c>
      <c r="E313" s="22">
        <v>292.07150300155462</v>
      </c>
      <c r="F313" s="22">
        <v>325.33847032342709</v>
      </c>
      <c r="G313" s="22">
        <v>0</v>
      </c>
      <c r="H313" s="22">
        <v>100.60542354534836</v>
      </c>
      <c r="I313" s="22">
        <v>6.3557204798740665</v>
      </c>
      <c r="J313" s="22">
        <v>47.064512414257329</v>
      </c>
      <c r="K313" s="22">
        <v>30.97408081963944</v>
      </c>
      <c r="L313" s="22">
        <v>0</v>
      </c>
      <c r="M313" s="388">
        <v>4165.1992921420269</v>
      </c>
      <c r="N313" s="25">
        <v>0.29680000000000001</v>
      </c>
      <c r="O313" s="24">
        <v>27.152603315917688</v>
      </c>
      <c r="P313" s="24">
        <v>121.18106294696598</v>
      </c>
      <c r="Q313" s="24">
        <v>90.005851732393822</v>
      </c>
      <c r="R313" s="22">
        <v>31.175211214572162</v>
      </c>
      <c r="S313" s="24">
        <v>37.209123062553871</v>
      </c>
      <c r="T313" s="24">
        <f t="shared" si="16"/>
        <v>158.39018600951985</v>
      </c>
      <c r="U313" s="376">
        <v>1236.23</v>
      </c>
      <c r="V313" s="376">
        <v>0</v>
      </c>
      <c r="W313" s="22">
        <f t="shared" si="17"/>
        <v>366.91306400000002</v>
      </c>
      <c r="X313" s="22">
        <f t="shared" si="18"/>
        <v>569.19901765960788</v>
      </c>
      <c r="Y313" s="22">
        <v>342.92732336029377</v>
      </c>
      <c r="Z313" s="22">
        <v>226.27169429931408</v>
      </c>
      <c r="AA313" s="371">
        <v>4192.5228562936372</v>
      </c>
      <c r="AB313" s="22">
        <v>0.13576527479275408</v>
      </c>
      <c r="AC313" s="24">
        <v>7.6527479275406707E-4</v>
      </c>
      <c r="AD313" s="384">
        <v>-30988.780858940914</v>
      </c>
    </row>
    <row r="314" spans="1:30">
      <c r="A314" s="21" t="s">
        <v>267</v>
      </c>
      <c r="B314" s="21" t="s">
        <v>268</v>
      </c>
      <c r="C314" s="23">
        <v>301.74587499781865</v>
      </c>
      <c r="D314" s="147">
        <v>0</v>
      </c>
      <c r="E314" s="22">
        <v>58.247362372516761</v>
      </c>
      <c r="F314" s="22">
        <v>58.247362372516761</v>
      </c>
      <c r="G314" s="22">
        <v>0</v>
      </c>
      <c r="H314" s="22">
        <v>20.967843671736439</v>
      </c>
      <c r="I314" s="22">
        <v>5.028259873318091E-2</v>
      </c>
      <c r="J314" s="22">
        <v>18.152018142678308</v>
      </c>
      <c r="K314" s="22">
        <v>0</v>
      </c>
      <c r="L314" s="22">
        <v>0</v>
      </c>
      <c r="M314" s="388">
        <v>1113.1159446761726</v>
      </c>
      <c r="N314" s="25">
        <v>0.43130000000000002</v>
      </c>
      <c r="O314" s="24">
        <v>18.101735543945125</v>
      </c>
      <c r="P314" s="24">
        <v>182.77724639511257</v>
      </c>
      <c r="Q314" s="24">
        <v>107.85617428267304</v>
      </c>
      <c r="R314" s="22">
        <v>74.921072112439546</v>
      </c>
      <c r="S314" s="24">
        <v>19.861626499606459</v>
      </c>
      <c r="T314" s="24">
        <f t="shared" si="16"/>
        <v>202.63887289471904</v>
      </c>
      <c r="U314" s="376">
        <v>480.64</v>
      </c>
      <c r="V314" s="376">
        <v>55.66</v>
      </c>
      <c r="W314" s="22">
        <f t="shared" si="17"/>
        <v>207.30003200000002</v>
      </c>
      <c r="X314" s="22">
        <f t="shared" si="18"/>
        <v>145.06529734522692</v>
      </c>
      <c r="Y314" s="22">
        <v>101.82226243469134</v>
      </c>
      <c r="Z314" s="22">
        <v>43.243034910535577</v>
      </c>
      <c r="AA314" s="371">
        <v>1113.1159446761721</v>
      </c>
      <c r="AB314" s="22">
        <v>0.13032361816309201</v>
      </c>
      <c r="AC314" s="24">
        <v>0</v>
      </c>
      <c r="AD314" s="384">
        <v>0</v>
      </c>
    </row>
    <row r="315" spans="1:30">
      <c r="A315" s="21" t="s">
        <v>307</v>
      </c>
      <c r="B315" s="21" t="s">
        <v>308</v>
      </c>
      <c r="C315" s="23">
        <v>53.601250249570839</v>
      </c>
      <c r="D315" s="147">
        <v>6.1445335651947071</v>
      </c>
      <c r="E315" s="22">
        <v>15.416644771593266</v>
      </c>
      <c r="F315" s="22">
        <v>21.561178336787972</v>
      </c>
      <c r="G315" s="22">
        <v>0</v>
      </c>
      <c r="H315" s="22">
        <v>4.3243034910535574</v>
      </c>
      <c r="I315" s="22">
        <v>0</v>
      </c>
      <c r="J315" s="22">
        <v>0</v>
      </c>
      <c r="K315" s="22">
        <v>0</v>
      </c>
      <c r="L315" s="22">
        <v>0</v>
      </c>
      <c r="M315" s="388">
        <v>221.35405614320899</v>
      </c>
      <c r="N315" s="25">
        <v>0.44269999999999998</v>
      </c>
      <c r="O315" s="24">
        <v>0</v>
      </c>
      <c r="P315" s="24">
        <v>0</v>
      </c>
      <c r="Q315" s="24">
        <v>0</v>
      </c>
      <c r="R315" s="22">
        <v>0</v>
      </c>
      <c r="S315" s="24">
        <v>0</v>
      </c>
      <c r="T315" s="24">
        <f t="shared" si="16"/>
        <v>0</v>
      </c>
      <c r="U315" s="376">
        <v>97.99</v>
      </c>
      <c r="V315" s="376">
        <v>11.07</v>
      </c>
      <c r="W315" s="22">
        <f t="shared" si="17"/>
        <v>43.380172999999999</v>
      </c>
      <c r="X315" s="22">
        <f t="shared" si="18"/>
        <v>40.47749198021063</v>
      </c>
      <c r="Y315" s="22">
        <v>30.169559239908544</v>
      </c>
      <c r="Z315" s="22">
        <v>10.307932740302086</v>
      </c>
      <c r="AA315" s="371">
        <v>221.35405614320899</v>
      </c>
      <c r="AB315" s="22">
        <v>0.18286311389759666</v>
      </c>
      <c r="AC315" s="24">
        <v>4.7863113897596649E-2</v>
      </c>
      <c r="AD315" s="384">
        <v>-96930.293784641282</v>
      </c>
    </row>
    <row r="316" spans="1:30">
      <c r="A316" s="21" t="s">
        <v>351</v>
      </c>
      <c r="B316" s="21" t="s">
        <v>352</v>
      </c>
      <c r="C316" s="23">
        <v>98.151632727169115</v>
      </c>
      <c r="D316" s="147">
        <v>6.3758335193673386</v>
      </c>
      <c r="E316" s="22">
        <v>24.54796470153892</v>
      </c>
      <c r="F316" s="22">
        <v>30.923798220906257</v>
      </c>
      <c r="G316" s="22">
        <v>0</v>
      </c>
      <c r="H316" s="22">
        <v>19.409083111007831</v>
      </c>
      <c r="I316" s="22">
        <v>0</v>
      </c>
      <c r="J316" s="22">
        <v>0</v>
      </c>
      <c r="K316" s="22">
        <v>0</v>
      </c>
      <c r="L316" s="22">
        <v>0</v>
      </c>
      <c r="M316" s="388">
        <v>360.60668507488015</v>
      </c>
      <c r="N316" s="25">
        <v>0.41570000000000001</v>
      </c>
      <c r="O316" s="24">
        <v>0</v>
      </c>
      <c r="P316" s="24">
        <v>8.0452157973089449</v>
      </c>
      <c r="Q316" s="24">
        <v>7.0395638226453272</v>
      </c>
      <c r="R316" s="22">
        <v>1.0056519746636181</v>
      </c>
      <c r="S316" s="24">
        <v>1.0056519746636181</v>
      </c>
      <c r="T316" s="24">
        <f t="shared" si="16"/>
        <v>9.0508677719725625</v>
      </c>
      <c r="U316" s="376">
        <v>149.9</v>
      </c>
      <c r="V316" s="376">
        <v>18.03</v>
      </c>
      <c r="W316" s="22">
        <f t="shared" si="17"/>
        <v>62.313430000000004</v>
      </c>
      <c r="X316" s="22">
        <f t="shared" si="18"/>
        <v>41.231730961208342</v>
      </c>
      <c r="Y316" s="22">
        <v>23.381408410929122</v>
      </c>
      <c r="Z316" s="22">
        <v>17.85032255027922</v>
      </c>
      <c r="AA316" s="371">
        <v>360.77764591057297</v>
      </c>
      <c r="AB316" s="22">
        <v>0.1142857142857143</v>
      </c>
      <c r="AC316" s="24">
        <v>0</v>
      </c>
      <c r="AD316" s="384">
        <v>0</v>
      </c>
    </row>
    <row r="317" spans="1:30">
      <c r="A317" s="21" t="s">
        <v>137</v>
      </c>
      <c r="B317" s="21" t="s">
        <v>138</v>
      </c>
      <c r="C317" s="23">
        <v>34.99668871829391</v>
      </c>
      <c r="D317" s="147">
        <v>3.0672385227240349</v>
      </c>
      <c r="E317" s="22">
        <v>10.619684852447808</v>
      </c>
      <c r="F317" s="22">
        <v>13.686923375171842</v>
      </c>
      <c r="G317" s="22">
        <v>0</v>
      </c>
      <c r="H317" s="22">
        <v>3.4292732336029377</v>
      </c>
      <c r="I317" s="22">
        <v>0.50282598733180905</v>
      </c>
      <c r="J317" s="22">
        <v>0</v>
      </c>
      <c r="K317" s="22">
        <v>0</v>
      </c>
      <c r="L317" s="22">
        <v>0</v>
      </c>
      <c r="M317" s="388">
        <v>113.43754274205612</v>
      </c>
      <c r="N317" s="25">
        <v>0.66439999999999999</v>
      </c>
      <c r="O317" s="24">
        <v>118.66693301030693</v>
      </c>
      <c r="P317" s="24">
        <v>2.2627169429931406</v>
      </c>
      <c r="Q317" s="24">
        <v>1.0056519746636181</v>
      </c>
      <c r="R317" s="22">
        <v>1.2570649683295225</v>
      </c>
      <c r="S317" s="24">
        <v>0.75423898099771358</v>
      </c>
      <c r="T317" s="24">
        <f t="shared" si="16"/>
        <v>3.0169559239908543</v>
      </c>
      <c r="U317" s="376">
        <v>75.37</v>
      </c>
      <c r="V317" s="376">
        <v>5.67</v>
      </c>
      <c r="W317" s="22">
        <f t="shared" si="17"/>
        <v>50.075828000000001</v>
      </c>
      <c r="X317" s="22">
        <f t="shared" si="18"/>
        <v>15.587605607286081</v>
      </c>
      <c r="Y317" s="22">
        <v>14.581953632622463</v>
      </c>
      <c r="Z317" s="22">
        <v>1.0056519746636181</v>
      </c>
      <c r="AA317" s="371">
        <v>115.21754673721072</v>
      </c>
      <c r="AB317" s="22">
        <v>0.13528846993104651</v>
      </c>
      <c r="AC317" s="24">
        <v>2.8846993104650331E-4</v>
      </c>
      <c r="AD317" s="384">
        <v>-316.10565126802504</v>
      </c>
    </row>
    <row r="318" spans="1:30">
      <c r="A318" s="21" t="s">
        <v>281</v>
      </c>
      <c r="B318" s="21" t="s">
        <v>282</v>
      </c>
      <c r="C318" s="23">
        <v>227.47847666891042</v>
      </c>
      <c r="D318" s="147">
        <v>8.9100764955196556</v>
      </c>
      <c r="E318" s="22">
        <v>48.56293385650612</v>
      </c>
      <c r="F318" s="22">
        <v>57.473010352025774</v>
      </c>
      <c r="G318" s="22">
        <v>0</v>
      </c>
      <c r="H318" s="22">
        <v>9.1816025286788339</v>
      </c>
      <c r="I318" s="22">
        <v>0.33186515163899399</v>
      </c>
      <c r="J318" s="22">
        <v>0</v>
      </c>
      <c r="K318" s="22">
        <v>2.0113039493272362</v>
      </c>
      <c r="L318" s="22">
        <v>0</v>
      </c>
      <c r="M318" s="388">
        <v>734.85001092619905</v>
      </c>
      <c r="N318" s="25">
        <v>0.91100000000000003</v>
      </c>
      <c r="O318" s="24">
        <v>740.15985335242294</v>
      </c>
      <c r="P318" s="24">
        <v>41.231730961208342</v>
      </c>
      <c r="Q318" s="24">
        <v>22.375756436265505</v>
      </c>
      <c r="R318" s="22">
        <v>18.855974524942841</v>
      </c>
      <c r="S318" s="24">
        <v>7.2909768163112316</v>
      </c>
      <c r="T318" s="24">
        <f t="shared" si="16"/>
        <v>48.522707777519571</v>
      </c>
      <c r="U318" s="376">
        <v>669.45</v>
      </c>
      <c r="V318" s="376">
        <v>36.74</v>
      </c>
      <c r="W318" s="22">
        <f t="shared" si="17"/>
        <v>609.86895000000004</v>
      </c>
      <c r="X318" s="22">
        <f t="shared" si="18"/>
        <v>115.64997708631608</v>
      </c>
      <c r="Y318" s="22">
        <v>63.356074403807938</v>
      </c>
      <c r="Z318" s="22">
        <v>52.29390268250814</v>
      </c>
      <c r="AA318" s="371">
        <v>735.45340211099722</v>
      </c>
      <c r="AB318" s="22">
        <v>0.15724990428266697</v>
      </c>
      <c r="AC318" s="24">
        <v>2.224990428266696E-2</v>
      </c>
      <c r="AD318" s="384">
        <v>-154322.69216490223</v>
      </c>
    </row>
    <row r="319" spans="1:30">
      <c r="A319" s="21" t="s">
        <v>161</v>
      </c>
      <c r="B319" s="21" t="s">
        <v>162</v>
      </c>
      <c r="C319" s="23">
        <v>48.673555573719113</v>
      </c>
      <c r="D319" s="147">
        <v>4.2840774120670133</v>
      </c>
      <c r="E319" s="22">
        <v>6.8484899474592389</v>
      </c>
      <c r="F319" s="22">
        <v>11.132567359526252</v>
      </c>
      <c r="G319" s="22">
        <v>0</v>
      </c>
      <c r="H319" s="22">
        <v>0.95536937593043714</v>
      </c>
      <c r="I319" s="22">
        <v>0</v>
      </c>
      <c r="J319" s="22">
        <v>0</v>
      </c>
      <c r="K319" s="22">
        <v>0</v>
      </c>
      <c r="L319" s="22">
        <v>0</v>
      </c>
      <c r="M319" s="388">
        <v>157.36442099536296</v>
      </c>
      <c r="N319" s="25">
        <v>0.6774</v>
      </c>
      <c r="O319" s="24">
        <v>155.87605607286082</v>
      </c>
      <c r="P319" s="24">
        <v>0</v>
      </c>
      <c r="Q319" s="24">
        <v>0</v>
      </c>
      <c r="R319" s="22">
        <v>0</v>
      </c>
      <c r="S319" s="24">
        <v>0</v>
      </c>
      <c r="T319" s="24">
        <f t="shared" si="16"/>
        <v>0</v>
      </c>
      <c r="U319" s="376">
        <v>106.6</v>
      </c>
      <c r="V319" s="376">
        <v>0</v>
      </c>
      <c r="W319" s="22">
        <f t="shared" si="17"/>
        <v>72.21083999999999</v>
      </c>
      <c r="X319" s="22">
        <f t="shared" si="18"/>
        <v>18.604561531276936</v>
      </c>
      <c r="Y319" s="22">
        <v>15.587605607286081</v>
      </c>
      <c r="Z319" s="22">
        <v>3.0169559239908543</v>
      </c>
      <c r="AA319" s="371">
        <v>157.36442099536296</v>
      </c>
      <c r="AB319" s="22">
        <v>0.11822597137014315</v>
      </c>
      <c r="AC319" s="24">
        <v>0</v>
      </c>
      <c r="AD319" s="384">
        <v>0</v>
      </c>
    </row>
    <row r="320" spans="1:30">
      <c r="A320" s="21" t="s">
        <v>251</v>
      </c>
      <c r="B320" s="21" t="s">
        <v>252</v>
      </c>
      <c r="C320" s="23">
        <v>16.399999999999999</v>
      </c>
      <c r="D320" s="147">
        <v>0</v>
      </c>
      <c r="E320" s="22">
        <v>2.59</v>
      </c>
      <c r="F320" s="22">
        <v>2.59</v>
      </c>
      <c r="G320" s="22">
        <v>0</v>
      </c>
      <c r="H320" s="22">
        <v>4.45</v>
      </c>
      <c r="I320" s="22">
        <v>0.08</v>
      </c>
      <c r="J320" s="22">
        <v>0</v>
      </c>
      <c r="K320" s="22">
        <v>0</v>
      </c>
      <c r="L320" s="22">
        <v>0</v>
      </c>
      <c r="M320" s="388">
        <v>60.22</v>
      </c>
      <c r="N320" s="25">
        <v>0.91379999999999995</v>
      </c>
      <c r="O320" s="24">
        <v>58</v>
      </c>
      <c r="P320" s="24">
        <v>0</v>
      </c>
      <c r="Q320" s="24">
        <v>0</v>
      </c>
      <c r="R320" s="22">
        <v>0</v>
      </c>
      <c r="S320" s="24">
        <v>0</v>
      </c>
      <c r="T320" s="24">
        <f t="shared" si="16"/>
        <v>0</v>
      </c>
      <c r="U320" s="376">
        <v>55.03</v>
      </c>
      <c r="V320" s="376">
        <v>0</v>
      </c>
      <c r="W320" s="22">
        <f t="shared" si="17"/>
        <v>50.286414000000001</v>
      </c>
      <c r="X320" s="22">
        <f t="shared" si="18"/>
        <v>5.5</v>
      </c>
      <c r="Y320" s="22">
        <v>5.5</v>
      </c>
      <c r="Z320" s="22">
        <v>0</v>
      </c>
      <c r="AA320" s="371">
        <v>60.23</v>
      </c>
      <c r="AB320" s="22">
        <v>9.1316619624771708E-2</v>
      </c>
      <c r="AC320" s="24">
        <v>0</v>
      </c>
      <c r="AD320" s="384">
        <v>0</v>
      </c>
    </row>
    <row r="321" spans="1:30">
      <c r="A321" s="21" t="s">
        <v>85</v>
      </c>
      <c r="B321" s="21" t="s">
        <v>86</v>
      </c>
      <c r="C321" s="23">
        <v>684.97972950263022</v>
      </c>
      <c r="D321" s="147">
        <v>3.3588775953764842</v>
      </c>
      <c r="E321" s="22">
        <v>83.539509535306749</v>
      </c>
      <c r="F321" s="22">
        <v>86.898387130683233</v>
      </c>
      <c r="G321" s="22">
        <v>0</v>
      </c>
      <c r="H321" s="22">
        <v>47.305868888176597</v>
      </c>
      <c r="I321" s="22">
        <v>1.1263302116232523</v>
      </c>
      <c r="J321" s="22">
        <v>184.06448092268204</v>
      </c>
      <c r="K321" s="22">
        <v>1.8101735543945126</v>
      </c>
      <c r="L321" s="22">
        <v>0</v>
      </c>
      <c r="M321" s="388">
        <v>2362.9502753078632</v>
      </c>
      <c r="N321" s="25">
        <v>0.47249999999999998</v>
      </c>
      <c r="O321" s="24">
        <v>501.82033535714544</v>
      </c>
      <c r="P321" s="24">
        <v>209.92984971103027</v>
      </c>
      <c r="Q321" s="24">
        <v>146.32236231355643</v>
      </c>
      <c r="R321" s="22">
        <v>63.607487397473847</v>
      </c>
      <c r="S321" s="24">
        <v>26.14695134125407</v>
      </c>
      <c r="T321" s="24">
        <f t="shared" si="16"/>
        <v>236.07680105228434</v>
      </c>
      <c r="U321" s="376">
        <v>1116.49</v>
      </c>
      <c r="V321" s="376">
        <v>118.15</v>
      </c>
      <c r="W321" s="22">
        <f t="shared" si="17"/>
        <v>527.54152499999998</v>
      </c>
      <c r="X321" s="22">
        <f t="shared" si="18"/>
        <v>320.55156692402829</v>
      </c>
      <c r="Y321" s="22">
        <v>187.30268028109887</v>
      </c>
      <c r="Z321" s="22">
        <v>133.24888664292939</v>
      </c>
      <c r="AA321" s="371">
        <v>2388.7754180172251</v>
      </c>
      <c r="AB321" s="22">
        <v>0.13419075083671883</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131.1370174961358</v>
      </c>
      <c r="N322" s="25">
        <v>0</v>
      </c>
      <c r="O322" s="24">
        <v>0</v>
      </c>
      <c r="P322" s="24">
        <v>0</v>
      </c>
      <c r="Q322" s="24">
        <v>0</v>
      </c>
      <c r="R322" s="22">
        <v>0</v>
      </c>
      <c r="S322" s="24">
        <v>0</v>
      </c>
      <c r="T322" s="24">
        <f t="shared" si="16"/>
        <v>0</v>
      </c>
      <c r="U322" s="376">
        <v>0</v>
      </c>
      <c r="V322" s="376">
        <v>0</v>
      </c>
      <c r="W322" s="22">
        <f t="shared" si="17"/>
        <v>0</v>
      </c>
      <c r="X322" s="22">
        <f t="shared" si="18"/>
        <v>17.598909556613318</v>
      </c>
      <c r="Y322" s="22">
        <v>16.5932575819497</v>
      </c>
      <c r="Z322" s="22">
        <v>1.0056519746636181</v>
      </c>
      <c r="AA322" s="371">
        <v>131.1370174961358</v>
      </c>
      <c r="AB322" s="22">
        <v>0.13420245398773006</v>
      </c>
      <c r="AC322" s="24">
        <v>0</v>
      </c>
      <c r="AD322" s="384">
        <v>0</v>
      </c>
    </row>
    <row r="323" spans="1:30">
      <c r="A323" s="21" t="s">
        <v>585</v>
      </c>
      <c r="B323" s="21" t="s">
        <v>586</v>
      </c>
      <c r="C323" s="23">
        <v>4398.3697589875328</v>
      </c>
      <c r="D323" s="147">
        <v>269.72591612452896</v>
      </c>
      <c r="E323" s="22">
        <v>1072.5781135774819</v>
      </c>
      <c r="F323" s="22">
        <v>1342.3040297020109</v>
      </c>
      <c r="G323" s="22">
        <v>450.81366720220672</v>
      </c>
      <c r="H323" s="22">
        <v>143.65738458069785</v>
      </c>
      <c r="I323" s="22">
        <v>15.466927370326447</v>
      </c>
      <c r="J323" s="22">
        <v>357.47910743367629</v>
      </c>
      <c r="K323" s="22">
        <v>47.064512414257322</v>
      </c>
      <c r="L323" s="22">
        <v>0</v>
      </c>
      <c r="M323" s="388">
        <v>15723.720602056799</v>
      </c>
      <c r="N323" s="25">
        <v>0.8538</v>
      </c>
      <c r="O323" s="24">
        <v>15830.973385154677</v>
      </c>
      <c r="P323" s="24">
        <v>4629.2674523703008</v>
      </c>
      <c r="Q323" s="24">
        <v>2899.2946429552112</v>
      </c>
      <c r="R323" s="22">
        <v>1729.9728094150892</v>
      </c>
      <c r="S323" s="24">
        <v>694.4026885052283</v>
      </c>
      <c r="T323" s="24">
        <f t="shared" si="16"/>
        <v>5323.6701408755289</v>
      </c>
      <c r="U323" s="376">
        <v>13424.91</v>
      </c>
      <c r="V323" s="376">
        <v>786.19</v>
      </c>
      <c r="W323" s="22">
        <f t="shared" si="17"/>
        <v>11462.188157999999</v>
      </c>
      <c r="X323" s="22">
        <f t="shared" si="18"/>
        <v>1943.9252670247738</v>
      </c>
      <c r="Y323" s="22">
        <v>1058.1972903397921</v>
      </c>
      <c r="Z323" s="22">
        <v>885.72797668498163</v>
      </c>
      <c r="AA323" s="371">
        <v>15427.535982478872</v>
      </c>
      <c r="AB323" s="22">
        <v>0.12600361258158782</v>
      </c>
      <c r="AC323" s="24">
        <v>0</v>
      </c>
      <c r="AD323" s="384">
        <v>0</v>
      </c>
    </row>
    <row r="324" spans="1:30">
      <c r="A324" s="21" t="s">
        <v>507</v>
      </c>
      <c r="B324" s="21" t="s">
        <v>508</v>
      </c>
      <c r="C324" s="23">
        <v>1624.5905389900886</v>
      </c>
      <c r="D324" s="147">
        <v>35.449232106892538</v>
      </c>
      <c r="E324" s="22">
        <v>406.78622375143351</v>
      </c>
      <c r="F324" s="22">
        <v>442.23545585832608</v>
      </c>
      <c r="G324" s="22">
        <v>0</v>
      </c>
      <c r="H324" s="22">
        <v>99.519319412711639</v>
      </c>
      <c r="I324" s="22">
        <v>12.852232236201038</v>
      </c>
      <c r="J324" s="22">
        <v>81.146057835607337</v>
      </c>
      <c r="K324" s="22">
        <v>17.900605149012403</v>
      </c>
      <c r="L324" s="22">
        <v>0</v>
      </c>
      <c r="M324" s="388">
        <v>5390.7370710658461</v>
      </c>
      <c r="N324" s="25">
        <v>0.46560000000000001</v>
      </c>
      <c r="O324" s="24">
        <v>525.95598274907229</v>
      </c>
      <c r="P324" s="24">
        <v>183.28007238244442</v>
      </c>
      <c r="Q324" s="24">
        <v>109.11323925100257</v>
      </c>
      <c r="R324" s="22">
        <v>74.166833131441834</v>
      </c>
      <c r="S324" s="24">
        <v>19.610213505940553</v>
      </c>
      <c r="T324" s="24">
        <f t="shared" si="16"/>
        <v>202.89028588838497</v>
      </c>
      <c r="U324" s="376">
        <v>2509.9299999999998</v>
      </c>
      <c r="V324" s="376">
        <v>269.54000000000002</v>
      </c>
      <c r="W324" s="22">
        <f t="shared" si="17"/>
        <v>1168.6234079999999</v>
      </c>
      <c r="X324" s="22">
        <f t="shared" si="18"/>
        <v>753.73615501038182</v>
      </c>
      <c r="Y324" s="22">
        <v>577.49564645058274</v>
      </c>
      <c r="Z324" s="22">
        <v>176.24050855979908</v>
      </c>
      <c r="AA324" s="371">
        <v>5400.6226299767886</v>
      </c>
      <c r="AB324" s="22">
        <v>0.13956467738121175</v>
      </c>
      <c r="AC324" s="24">
        <v>4.5646773812117458E-3</v>
      </c>
      <c r="AD324" s="384">
        <v>-228027.99557440117</v>
      </c>
    </row>
    <row r="325" spans="1:30">
      <c r="A325" s="21" t="s">
        <v>603</v>
      </c>
      <c r="B325" s="21" t="s">
        <v>604</v>
      </c>
      <c r="C325" s="23">
        <v>353.32576477831554</v>
      </c>
      <c r="D325" s="147">
        <v>0</v>
      </c>
      <c r="E325" s="22">
        <v>46.581799466418794</v>
      </c>
      <c r="F325" s="22">
        <v>46.581799466418794</v>
      </c>
      <c r="G325" s="22">
        <v>0</v>
      </c>
      <c r="H325" s="22">
        <v>14.380823237689739</v>
      </c>
      <c r="I325" s="22">
        <v>1.0056519746636181</v>
      </c>
      <c r="J325" s="22">
        <v>0</v>
      </c>
      <c r="K325" s="22">
        <v>0</v>
      </c>
      <c r="L325" s="22">
        <v>0</v>
      </c>
      <c r="M325" s="388">
        <v>1258.9757070813837</v>
      </c>
      <c r="N325" s="25">
        <v>0.58030000000000004</v>
      </c>
      <c r="O325" s="24">
        <v>1267.1214880761588</v>
      </c>
      <c r="P325" s="24">
        <v>142.80258040223379</v>
      </c>
      <c r="Q325" s="24">
        <v>104.83921835868219</v>
      </c>
      <c r="R325" s="22">
        <v>37.963362043551584</v>
      </c>
      <c r="S325" s="24">
        <v>7.0395638226453272</v>
      </c>
      <c r="T325" s="24">
        <f t="shared" si="16"/>
        <v>149.84214422487912</v>
      </c>
      <c r="U325" s="376">
        <v>730.58</v>
      </c>
      <c r="V325" s="376">
        <v>0</v>
      </c>
      <c r="W325" s="22">
        <f t="shared" si="17"/>
        <v>423.95557400000007</v>
      </c>
      <c r="X325" s="22">
        <f t="shared" si="18"/>
        <v>128.97486575060901</v>
      </c>
      <c r="Y325" s="22">
        <v>99.056719504366384</v>
      </c>
      <c r="Z325" s="22">
        <v>29.918146246242639</v>
      </c>
      <c r="AA325" s="371">
        <v>1265.7135753116297</v>
      </c>
      <c r="AB325" s="22">
        <v>0.10189893532496425</v>
      </c>
      <c r="AC325" s="24">
        <v>0</v>
      </c>
      <c r="AD325" s="384">
        <v>0</v>
      </c>
    </row>
  </sheetData>
  <autoFilter ref="A7:AE7" xr:uid="{00000000-0001-0000-19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3:J15"/>
  <sheetViews>
    <sheetView tabSelected="1" zoomScaleNormal="100" workbookViewId="0">
      <selection activeCell="A3" sqref="A3:J3"/>
    </sheetView>
  </sheetViews>
  <sheetFormatPr defaultRowHeight="14.4"/>
  <sheetData>
    <row r="3" spans="1:10" ht="25.95" customHeight="1">
      <c r="A3" s="422" t="s">
        <v>985</v>
      </c>
      <c r="B3" s="422"/>
      <c r="C3" s="422"/>
      <c r="D3" s="422"/>
      <c r="E3" s="422"/>
      <c r="F3" s="422"/>
      <c r="G3" s="422"/>
      <c r="H3" s="422"/>
      <c r="I3" s="422"/>
      <c r="J3" s="422"/>
    </row>
    <row r="5" spans="1:10">
      <c r="B5" s="423" t="s">
        <v>1078</v>
      </c>
      <c r="C5" s="424"/>
      <c r="D5" s="424"/>
      <c r="E5" s="424"/>
      <c r="F5" s="424"/>
      <c r="G5" s="424"/>
      <c r="H5" s="424"/>
      <c r="I5" s="425"/>
    </row>
    <row r="6" spans="1:10">
      <c r="B6" s="426"/>
      <c r="C6" s="427"/>
      <c r="D6" s="427"/>
      <c r="E6" s="427"/>
      <c r="F6" s="427"/>
      <c r="G6" s="427"/>
      <c r="H6" s="427"/>
      <c r="I6" s="428"/>
    </row>
    <row r="7" spans="1:10">
      <c r="B7" s="426"/>
      <c r="C7" s="427"/>
      <c r="D7" s="427"/>
      <c r="E7" s="427"/>
      <c r="F7" s="427"/>
      <c r="G7" s="427"/>
      <c r="H7" s="427"/>
      <c r="I7" s="428"/>
    </row>
    <row r="8" spans="1:10">
      <c r="B8" s="426"/>
      <c r="C8" s="427"/>
      <c r="D8" s="427"/>
      <c r="E8" s="427"/>
      <c r="F8" s="427"/>
      <c r="G8" s="427"/>
      <c r="H8" s="427"/>
      <c r="I8" s="428"/>
    </row>
    <row r="9" spans="1:10">
      <c r="B9" s="426"/>
      <c r="C9" s="427"/>
      <c r="D9" s="427"/>
      <c r="E9" s="427"/>
      <c r="F9" s="427"/>
      <c r="G9" s="427"/>
      <c r="H9" s="427"/>
      <c r="I9" s="428"/>
    </row>
    <row r="10" spans="1:10">
      <c r="B10" s="426"/>
      <c r="C10" s="427"/>
      <c r="D10" s="427"/>
      <c r="E10" s="427"/>
      <c r="F10" s="427"/>
      <c r="G10" s="427"/>
      <c r="H10" s="427"/>
      <c r="I10" s="428"/>
    </row>
    <row r="11" spans="1:10">
      <c r="B11" s="426"/>
      <c r="C11" s="427"/>
      <c r="D11" s="427"/>
      <c r="E11" s="427"/>
      <c r="F11" s="427"/>
      <c r="G11" s="427"/>
      <c r="H11" s="427"/>
      <c r="I11" s="428"/>
    </row>
    <row r="12" spans="1:10">
      <c r="B12" s="426"/>
      <c r="C12" s="427"/>
      <c r="D12" s="427"/>
      <c r="E12" s="427"/>
      <c r="F12" s="427"/>
      <c r="G12" s="427"/>
      <c r="H12" s="427"/>
      <c r="I12" s="428"/>
    </row>
    <row r="13" spans="1:10">
      <c r="B13" s="426"/>
      <c r="C13" s="427"/>
      <c r="D13" s="427"/>
      <c r="E13" s="427"/>
      <c r="F13" s="427"/>
      <c r="G13" s="427"/>
      <c r="H13" s="427"/>
      <c r="I13" s="428"/>
    </row>
    <row r="14" spans="1:10">
      <c r="B14" s="426"/>
      <c r="C14" s="427"/>
      <c r="D14" s="427"/>
      <c r="E14" s="427"/>
      <c r="F14" s="427"/>
      <c r="G14" s="427"/>
      <c r="H14" s="427"/>
      <c r="I14" s="428"/>
    </row>
    <row r="15" spans="1:10">
      <c r="B15" s="429"/>
      <c r="C15" s="430"/>
      <c r="D15" s="430"/>
      <c r="E15" s="430"/>
      <c r="F15" s="430"/>
      <c r="G15" s="430"/>
      <c r="H15" s="430"/>
      <c r="I15" s="431"/>
    </row>
  </sheetData>
  <sheetProtection algorithmName="SHA-512" hashValue="50k7o9SdYDvWNVZxJYLRc9qTg9wpEdrHfj3/Nhe/3ExalnJWcR7eZ+f+o5OX1/NYtKgLMQARwi7LcXZIGIPwUA==" saltValue="oDj6Phy/TkmZpSNZAp+Jhg==" spinCount="100000" sheet="1" objects="1" scenarios="1"/>
  <mergeCells count="2">
    <mergeCell ref="A3:J3"/>
    <mergeCell ref="B5:I15"/>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
    <tabColor theme="5" tint="0.59999389629810485"/>
  </sheetPr>
  <dimension ref="A1:AE325"/>
  <sheetViews>
    <sheetView workbookViewId="0">
      <pane ySplit="7" topLeftCell="A8"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Q1+1</f>
        <v>18</v>
      </c>
      <c r="S1" s="389">
        <f t="shared" ref="S1:AD1" si="1">R1+1</f>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1364</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302621.84789159003</v>
      </c>
      <c r="D6" s="16">
        <f t="shared" si="2"/>
        <v>11949.016168632603</v>
      </c>
      <c r="E6" s="16">
        <f t="shared" si="2"/>
        <v>60207.241942514796</v>
      </c>
      <c r="F6" s="16">
        <f t="shared" si="2"/>
        <v>72156.258111147356</v>
      </c>
      <c r="G6" s="16">
        <f t="shared" si="2"/>
        <v>4717.5752142573401</v>
      </c>
      <c r="H6" s="16">
        <f t="shared" si="2"/>
        <v>21052.185585896808</v>
      </c>
      <c r="I6" s="16">
        <f t="shared" si="2"/>
        <v>1361.3955997658179</v>
      </c>
      <c r="J6" s="16">
        <f t="shared" si="2"/>
        <v>49509.503897895898</v>
      </c>
      <c r="K6" s="16">
        <f t="shared" si="2"/>
        <v>3792.8562068968722</v>
      </c>
      <c r="L6" s="16">
        <f t="shared" si="2"/>
        <v>49.756818012117805</v>
      </c>
      <c r="M6" s="386">
        <f t="shared" si="2"/>
        <v>1067190.9693303071</v>
      </c>
      <c r="N6" s="385">
        <f>AVERAGE(N7:N325)</f>
        <v>0.53765283018867871</v>
      </c>
      <c r="O6" s="16">
        <f t="shared" ref="O6:AD6" si="3">SUM(O8:O325)</f>
        <v>448609.23577720945</v>
      </c>
      <c r="P6" s="16">
        <f t="shared" si="3"/>
        <v>128953.4972213375</v>
      </c>
      <c r="Q6" s="16">
        <f t="shared" si="3"/>
        <v>84021.112548574936</v>
      </c>
      <c r="R6" s="16">
        <f t="shared" si="3"/>
        <v>44932.384672762564</v>
      </c>
      <c r="S6" s="28">
        <f t="shared" si="3"/>
        <v>22788.8240500381</v>
      </c>
      <c r="T6" s="28">
        <f t="shared" si="3"/>
        <v>151742.32127137561</v>
      </c>
      <c r="U6" s="16">
        <f t="shared" si="3"/>
        <v>492499.19000000006</v>
      </c>
      <c r="V6" s="16">
        <f t="shared" si="3"/>
        <v>47079.260000000009</v>
      </c>
      <c r="W6" s="28">
        <f t="shared" si="3"/>
        <v>269580.22463400004</v>
      </c>
      <c r="X6" s="28">
        <f t="shared" si="3"/>
        <v>137842.05712622777</v>
      </c>
      <c r="Y6" s="28">
        <f t="shared" si="3"/>
        <v>86170.632440441012</v>
      </c>
      <c r="Z6" s="28">
        <f t="shared" si="3"/>
        <v>51671.42468578682</v>
      </c>
      <c r="AA6" s="370">
        <f t="shared" si="3"/>
        <v>1071258.9778852828</v>
      </c>
      <c r="AB6" s="245">
        <f t="shared" si="3"/>
        <v>42.692500644765779</v>
      </c>
      <c r="AC6" s="245">
        <f t="shared" si="3"/>
        <v>4.3544101765149694</v>
      </c>
      <c r="AD6" s="382">
        <f t="shared" si="3"/>
        <v>-48485329.581387222</v>
      </c>
    </row>
    <row r="7" spans="1:31" ht="4.9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849.63307898099663</v>
      </c>
      <c r="D8" s="147">
        <v>60.596229810033243</v>
      </c>
      <c r="E8" s="22">
        <v>265.68111568069452</v>
      </c>
      <c r="F8" s="22">
        <v>326.27734549072778</v>
      </c>
      <c r="G8" s="22">
        <v>21.216717068764957</v>
      </c>
      <c r="H8" s="22">
        <v>52.991563701579139</v>
      </c>
      <c r="I8" s="22">
        <v>1.4265027574643103</v>
      </c>
      <c r="J8" s="22">
        <v>109.981353441685</v>
      </c>
      <c r="K8" s="22">
        <v>10.648541710649077</v>
      </c>
      <c r="L8" s="22">
        <v>0</v>
      </c>
      <c r="M8" s="388">
        <v>3129.9178283758301</v>
      </c>
      <c r="N8" s="25">
        <v>0.72529999999999994</v>
      </c>
      <c r="O8" s="24">
        <v>3154.126199227047</v>
      </c>
      <c r="P8" s="24">
        <v>407.99141190896006</v>
      </c>
      <c r="Q8" s="24">
        <v>255.87609537006384</v>
      </c>
      <c r="R8" s="22">
        <v>152.11531653889622</v>
      </c>
      <c r="S8" s="24">
        <v>72.329717279880526</v>
      </c>
      <c r="T8" s="24">
        <f>S8+P8</f>
        <v>480.32112918884059</v>
      </c>
      <c r="U8" s="376">
        <v>2276.79</v>
      </c>
      <c r="V8" s="376">
        <v>156.93</v>
      </c>
      <c r="W8" s="22">
        <f>U8*N8</f>
        <v>1651.3557869999997</v>
      </c>
      <c r="X8" s="22">
        <f>Y8+Z8</f>
        <v>484.04907017840821</v>
      </c>
      <c r="Y8" s="22">
        <v>270.48319530260687</v>
      </c>
      <c r="Z8" s="22">
        <v>213.56587487580131</v>
      </c>
      <c r="AA8" s="371">
        <v>3133.6762593214862</v>
      </c>
      <c r="AB8" s="22">
        <v>0.15446684026103452</v>
      </c>
      <c r="AC8" s="24">
        <v>1.9466840261034513E-2</v>
      </c>
      <c r="AD8" s="384">
        <v>-569199.33737670735</v>
      </c>
    </row>
    <row r="9" spans="1:31">
      <c r="A9" s="21" t="s">
        <v>279</v>
      </c>
      <c r="B9" s="21" t="s">
        <v>280</v>
      </c>
      <c r="C9" s="23">
        <v>165.65514415905972</v>
      </c>
      <c r="D9" s="147">
        <v>19.026733962235241</v>
      </c>
      <c r="E9" s="22">
        <v>32.267090542080034</v>
      </c>
      <c r="F9" s="22">
        <v>51.293824504315275</v>
      </c>
      <c r="G9" s="22">
        <v>0</v>
      </c>
      <c r="H9" s="22">
        <v>12.587379965512541</v>
      </c>
      <c r="I9" s="22">
        <v>2.1598457243297657</v>
      </c>
      <c r="J9" s="22">
        <v>0.80366352533200591</v>
      </c>
      <c r="K9" s="22">
        <v>0.20091588133300148</v>
      </c>
      <c r="L9" s="22">
        <v>0</v>
      </c>
      <c r="M9" s="388">
        <v>619.33325000304376</v>
      </c>
      <c r="N9" s="25">
        <v>0.2676</v>
      </c>
      <c r="O9" s="24">
        <v>0</v>
      </c>
      <c r="P9" s="24">
        <v>0</v>
      </c>
      <c r="Q9" s="24">
        <v>0</v>
      </c>
      <c r="R9" s="22">
        <v>0</v>
      </c>
      <c r="S9" s="24">
        <v>0</v>
      </c>
      <c r="T9" s="24">
        <f t="shared" ref="T9:T72" si="4">S9+P9</f>
        <v>0</v>
      </c>
      <c r="U9" s="376">
        <v>166.2</v>
      </c>
      <c r="V9" s="376">
        <v>31.05</v>
      </c>
      <c r="W9" s="22">
        <f t="shared" ref="W9:W72" si="5">U9*N9</f>
        <v>44.475119999999997</v>
      </c>
      <c r="X9" s="22">
        <f t="shared" ref="X9:X72" si="6">Y9+Z9</f>
        <v>73.539192763837249</v>
      </c>
      <c r="Y9" s="22">
        <v>46.339765303239908</v>
      </c>
      <c r="Z9" s="22">
        <v>27.199427460597338</v>
      </c>
      <c r="AA9" s="371">
        <v>628.52839930429218</v>
      </c>
      <c r="AB9" s="22">
        <v>0.11700217976663677</v>
      </c>
      <c r="AC9" s="24">
        <v>0</v>
      </c>
      <c r="AD9" s="384">
        <v>0</v>
      </c>
    </row>
    <row r="10" spans="1:31">
      <c r="A10" s="21" t="s">
        <v>301</v>
      </c>
      <c r="B10" s="21" t="s">
        <v>302</v>
      </c>
      <c r="C10" s="23">
        <v>37.799999999999997</v>
      </c>
      <c r="D10" s="147">
        <v>0</v>
      </c>
      <c r="E10" s="22">
        <v>3.36</v>
      </c>
      <c r="F10" s="22">
        <v>3.36</v>
      </c>
      <c r="G10" s="22">
        <v>0</v>
      </c>
      <c r="H10" s="22">
        <v>0</v>
      </c>
      <c r="I10" s="22">
        <v>0</v>
      </c>
      <c r="J10" s="22">
        <v>0</v>
      </c>
      <c r="K10" s="22">
        <v>0</v>
      </c>
      <c r="L10" s="22">
        <v>0</v>
      </c>
      <c r="M10" s="388">
        <v>95.25</v>
      </c>
      <c r="N10" s="25">
        <v>0.37959999999999999</v>
      </c>
      <c r="O10" s="24">
        <v>0</v>
      </c>
      <c r="P10" s="24">
        <v>0</v>
      </c>
      <c r="Q10" s="24">
        <v>0</v>
      </c>
      <c r="R10" s="22">
        <v>0</v>
      </c>
      <c r="S10" s="24">
        <v>0</v>
      </c>
      <c r="T10" s="24">
        <f t="shared" si="4"/>
        <v>0</v>
      </c>
      <c r="U10" s="376">
        <v>36.159999999999997</v>
      </c>
      <c r="V10" s="376">
        <v>0</v>
      </c>
      <c r="W10" s="22">
        <f t="shared" si="5"/>
        <v>13.726335999999998</v>
      </c>
      <c r="X10" s="22">
        <f t="shared" si="6"/>
        <v>9</v>
      </c>
      <c r="Y10" s="22">
        <v>9</v>
      </c>
      <c r="Z10" s="22">
        <v>0</v>
      </c>
      <c r="AA10" s="371">
        <v>95.26</v>
      </c>
      <c r="AB10" s="22">
        <v>9.4478269997900474E-2</v>
      </c>
      <c r="AC10" s="24">
        <v>0</v>
      </c>
      <c r="AD10" s="384">
        <v>0</v>
      </c>
    </row>
    <row r="11" spans="1:31">
      <c r="A11" s="21" t="s">
        <v>407</v>
      </c>
      <c r="B11" s="21" t="s">
        <v>408</v>
      </c>
      <c r="C11" s="23">
        <v>733.77493601032131</v>
      </c>
      <c r="D11" s="147">
        <v>7.6649408728540056</v>
      </c>
      <c r="E11" s="22">
        <v>111.71927581521545</v>
      </c>
      <c r="F11" s="22">
        <v>119.38421668806946</v>
      </c>
      <c r="G11" s="22">
        <v>0</v>
      </c>
      <c r="H11" s="22">
        <v>37.048888517805473</v>
      </c>
      <c r="I11" s="22">
        <v>1.7881513438637131</v>
      </c>
      <c r="J11" s="22">
        <v>107.40963016062258</v>
      </c>
      <c r="K11" s="22">
        <v>5.4247287959910402</v>
      </c>
      <c r="L11" s="22">
        <v>0.20091588133300148</v>
      </c>
      <c r="M11" s="388">
        <v>2521.7755929630348</v>
      </c>
      <c r="N11" s="25">
        <v>0.28989999999999999</v>
      </c>
      <c r="O11" s="24">
        <v>57.421013527927713</v>
      </c>
      <c r="P11" s="24">
        <v>48.354537707728596</v>
      </c>
      <c r="Q11" s="24">
        <v>29.969739516769287</v>
      </c>
      <c r="R11" s="22">
        <v>18.384798190959312</v>
      </c>
      <c r="S11" s="24">
        <v>16.073270506640117</v>
      </c>
      <c r="T11" s="24">
        <f t="shared" si="4"/>
        <v>64.42780821436871</v>
      </c>
      <c r="U11" s="376">
        <v>732.6</v>
      </c>
      <c r="V11" s="376">
        <v>126.44</v>
      </c>
      <c r="W11" s="22">
        <f t="shared" si="5"/>
        <v>212.38074</v>
      </c>
      <c r="X11" s="22">
        <f t="shared" si="6"/>
        <v>275.26827976326751</v>
      </c>
      <c r="Y11" s="22">
        <v>162.69287166246184</v>
      </c>
      <c r="Z11" s="22">
        <v>112.57540810080565</v>
      </c>
      <c r="AA11" s="371">
        <v>2553.3815113806536</v>
      </c>
      <c r="AB11" s="22">
        <v>0.1078053861267389</v>
      </c>
      <c r="AC11" s="24">
        <v>0</v>
      </c>
      <c r="AD11" s="384">
        <v>0</v>
      </c>
    </row>
    <row r="12" spans="1:31">
      <c r="A12" s="21" t="s">
        <v>431</v>
      </c>
      <c r="B12" s="21" t="s">
        <v>432</v>
      </c>
      <c r="C12" s="23">
        <v>1453.5158977095325</v>
      </c>
      <c r="D12" s="147">
        <v>31.212282165081778</v>
      </c>
      <c r="E12" s="22">
        <v>349.50322137282274</v>
      </c>
      <c r="F12" s="22">
        <v>380.71550353790451</v>
      </c>
      <c r="G12" s="22">
        <v>0</v>
      </c>
      <c r="H12" s="22">
        <v>69.526940735285152</v>
      </c>
      <c r="I12" s="22">
        <v>3.8475391275269781</v>
      </c>
      <c r="J12" s="22">
        <v>217.66222004210715</v>
      </c>
      <c r="K12" s="22">
        <v>32.749288657279237</v>
      </c>
      <c r="L12" s="22">
        <v>0</v>
      </c>
      <c r="M12" s="388">
        <v>5379.4423563385808</v>
      </c>
      <c r="N12" s="25">
        <v>0.32919999999999999</v>
      </c>
      <c r="O12" s="24">
        <v>0</v>
      </c>
      <c r="P12" s="24">
        <v>271.74242805541229</v>
      </c>
      <c r="Q12" s="24">
        <v>154.88562859506817</v>
      </c>
      <c r="R12" s="22">
        <v>116.85679946034412</v>
      </c>
      <c r="S12" s="24">
        <v>60.023619548234187</v>
      </c>
      <c r="T12" s="24">
        <f t="shared" si="4"/>
        <v>331.76604760364648</v>
      </c>
      <c r="U12" s="376">
        <v>1775.86</v>
      </c>
      <c r="V12" s="376">
        <v>269.72000000000003</v>
      </c>
      <c r="W12" s="22">
        <f t="shared" si="5"/>
        <v>584.613112</v>
      </c>
      <c r="X12" s="22">
        <f t="shared" si="6"/>
        <v>790.04262911012825</v>
      </c>
      <c r="Y12" s="22">
        <v>477.75290641438102</v>
      </c>
      <c r="Z12" s="22">
        <v>312.28972269574723</v>
      </c>
      <c r="AA12" s="371">
        <v>5442.927798450246</v>
      </c>
      <c r="AB12" s="22">
        <v>0.14515030482952127</v>
      </c>
      <c r="AC12" s="24">
        <v>1.0150304829521256E-2</v>
      </c>
      <c r="AD12" s="384">
        <v>-571527.59269925603</v>
      </c>
    </row>
    <row r="13" spans="1:31">
      <c r="A13" s="21" t="s">
        <v>15</v>
      </c>
      <c r="B13" s="21" t="s">
        <v>16</v>
      </c>
      <c r="C13" s="23">
        <v>211.36350716231755</v>
      </c>
      <c r="D13" s="147">
        <v>4.7416147994588345</v>
      </c>
      <c r="E13" s="22">
        <v>44.231631275460273</v>
      </c>
      <c r="F13" s="22">
        <v>48.973246074919111</v>
      </c>
      <c r="G13" s="22">
        <v>0</v>
      </c>
      <c r="H13" s="22">
        <v>13.069578080711745</v>
      </c>
      <c r="I13" s="22">
        <v>0.75343455499875556</v>
      </c>
      <c r="J13" s="22">
        <v>0</v>
      </c>
      <c r="K13" s="22">
        <v>0</v>
      </c>
      <c r="L13" s="22">
        <v>0</v>
      </c>
      <c r="M13" s="388">
        <v>609.85002040412598</v>
      </c>
      <c r="N13" s="25">
        <v>0.31240000000000001</v>
      </c>
      <c r="O13" s="24">
        <v>0</v>
      </c>
      <c r="P13" s="24">
        <v>0</v>
      </c>
      <c r="Q13" s="24">
        <v>0</v>
      </c>
      <c r="R13" s="22">
        <v>0</v>
      </c>
      <c r="S13" s="24">
        <v>0</v>
      </c>
      <c r="T13" s="24">
        <f t="shared" si="4"/>
        <v>0</v>
      </c>
      <c r="U13" s="376">
        <v>191.05</v>
      </c>
      <c r="V13" s="376">
        <v>30.58</v>
      </c>
      <c r="W13" s="22">
        <f t="shared" si="5"/>
        <v>59.684020000000004</v>
      </c>
      <c r="X13" s="22">
        <f t="shared" si="6"/>
        <v>83.613054786280699</v>
      </c>
      <c r="Y13" s="22">
        <v>45.33237910099556</v>
      </c>
      <c r="Z13" s="22">
        <v>38.280675685285139</v>
      </c>
      <c r="AA13" s="371">
        <v>611.5539417964751</v>
      </c>
      <c r="AB13" s="22">
        <v>0.13672228902762446</v>
      </c>
      <c r="AC13" s="24">
        <v>1.7222890276244462E-3</v>
      </c>
      <c r="AD13" s="384">
        <v>-10011.506962231126</v>
      </c>
    </row>
    <row r="14" spans="1:31">
      <c r="A14" s="21" t="s">
        <v>205</v>
      </c>
      <c r="B14" s="21" t="s">
        <v>206</v>
      </c>
      <c r="C14" s="23">
        <v>4933.7205193953832</v>
      </c>
      <c r="D14" s="147">
        <v>217.87318171750678</v>
      </c>
      <c r="E14" s="22">
        <v>761.43100707580902</v>
      </c>
      <c r="F14" s="22">
        <v>979.3041887933158</v>
      </c>
      <c r="G14" s="22">
        <v>0</v>
      </c>
      <c r="H14" s="22">
        <v>393.2426087390171</v>
      </c>
      <c r="I14" s="22">
        <v>30.569351344816173</v>
      </c>
      <c r="J14" s="22">
        <v>59.471100874568435</v>
      </c>
      <c r="K14" s="22">
        <v>48.028941432654001</v>
      </c>
      <c r="L14" s="22">
        <v>5.3845456197244399</v>
      </c>
      <c r="M14" s="388">
        <v>16862.799599720347</v>
      </c>
      <c r="N14" s="25">
        <v>0.56840000000000002</v>
      </c>
      <c r="O14" s="24">
        <v>11091.322086710248</v>
      </c>
      <c r="P14" s="24">
        <v>4039.3668244492656</v>
      </c>
      <c r="Q14" s="24">
        <v>2698.7876358126023</v>
      </c>
      <c r="R14" s="22">
        <v>1340.5791886366633</v>
      </c>
      <c r="S14" s="24">
        <v>509.07061432749248</v>
      </c>
      <c r="T14" s="24">
        <f t="shared" si="4"/>
        <v>4548.4374387767584</v>
      </c>
      <c r="U14" s="376">
        <v>9609.9</v>
      </c>
      <c r="V14" s="376">
        <v>845.5</v>
      </c>
      <c r="W14" s="22">
        <f t="shared" si="5"/>
        <v>5462.2671600000003</v>
      </c>
      <c r="X14" s="22">
        <f t="shared" si="6"/>
        <v>1759.4000022197501</v>
      </c>
      <c r="Y14" s="22">
        <v>988.49771095226436</v>
      </c>
      <c r="Z14" s="22">
        <v>770.90229126748568</v>
      </c>
      <c r="AA14" s="371">
        <v>16930.767168225892</v>
      </c>
      <c r="AB14" s="22">
        <v>0.10391732310403692</v>
      </c>
      <c r="AC14" s="24">
        <v>0</v>
      </c>
      <c r="AD14" s="384">
        <v>0</v>
      </c>
    </row>
    <row r="15" spans="1:31">
      <c r="A15" s="21" t="s">
        <v>229</v>
      </c>
      <c r="B15" s="21" t="s">
        <v>230</v>
      </c>
      <c r="C15" s="23">
        <v>873.7831679172233</v>
      </c>
      <c r="D15" s="147">
        <v>49.827138570584367</v>
      </c>
      <c r="E15" s="22">
        <v>276.94245082940921</v>
      </c>
      <c r="F15" s="22">
        <v>326.76958939999361</v>
      </c>
      <c r="G15" s="22">
        <v>0</v>
      </c>
      <c r="H15" s="22">
        <v>63.117724120762411</v>
      </c>
      <c r="I15" s="22">
        <v>1.6776476091305621</v>
      </c>
      <c r="J15" s="22">
        <v>98.227774383704414</v>
      </c>
      <c r="K15" s="22">
        <v>0</v>
      </c>
      <c r="L15" s="22">
        <v>0</v>
      </c>
      <c r="M15" s="388">
        <v>3614.3159724756297</v>
      </c>
      <c r="N15" s="25">
        <v>6.9800000000000001E-2</v>
      </c>
      <c r="O15" s="24">
        <v>0</v>
      </c>
      <c r="P15" s="24">
        <v>39.036215336968397</v>
      </c>
      <c r="Q15" s="24">
        <v>22.414342999936693</v>
      </c>
      <c r="R15" s="22">
        <v>16.621872337031707</v>
      </c>
      <c r="S15" s="24">
        <v>8.0366352533200587</v>
      </c>
      <c r="T15" s="24">
        <f t="shared" si="4"/>
        <v>47.072850590288454</v>
      </c>
      <c r="U15" s="376">
        <v>252.62</v>
      </c>
      <c r="V15" s="376">
        <v>181.22</v>
      </c>
      <c r="W15" s="22">
        <f t="shared" si="5"/>
        <v>17.632876</v>
      </c>
      <c r="X15" s="22">
        <f t="shared" si="6"/>
        <v>425.1169773471139</v>
      </c>
      <c r="Y15" s="22">
        <v>283.32736938122224</v>
      </c>
      <c r="Z15" s="22">
        <v>141.78960796589166</v>
      </c>
      <c r="AA15" s="371">
        <v>3631.949622675585</v>
      </c>
      <c r="AB15" s="22">
        <v>0.11704924944249052</v>
      </c>
      <c r="AC15" s="24">
        <v>0</v>
      </c>
      <c r="AD15" s="384">
        <v>0</v>
      </c>
    </row>
    <row r="16" spans="1:31">
      <c r="A16" s="21" t="s">
        <v>69</v>
      </c>
      <c r="B16" s="21" t="s">
        <v>70</v>
      </c>
      <c r="C16" s="23">
        <v>2937.3098187359483</v>
      </c>
      <c r="D16" s="147">
        <v>73.635670508545033</v>
      </c>
      <c r="E16" s="22">
        <v>893.21173364212461</v>
      </c>
      <c r="F16" s="22">
        <v>966.8474041506696</v>
      </c>
      <c r="G16" s="22">
        <v>0</v>
      </c>
      <c r="H16" s="22">
        <v>300.20850988777079</v>
      </c>
      <c r="I16" s="22">
        <v>5.3443624434578396</v>
      </c>
      <c r="J16" s="22">
        <v>1629.8497209614411</v>
      </c>
      <c r="K16" s="22">
        <v>16.876934031972123</v>
      </c>
      <c r="L16" s="22">
        <v>0</v>
      </c>
      <c r="M16" s="388">
        <v>11798.644490163579</v>
      </c>
      <c r="N16" s="25">
        <v>0.34350000000000003</v>
      </c>
      <c r="O16" s="24">
        <v>0</v>
      </c>
      <c r="P16" s="24">
        <v>738.16223969454438</v>
      </c>
      <c r="Q16" s="24">
        <v>474.47890125708687</v>
      </c>
      <c r="R16" s="22">
        <v>263.68333843745751</v>
      </c>
      <c r="S16" s="24">
        <v>185.59604538136011</v>
      </c>
      <c r="T16" s="24">
        <f t="shared" si="4"/>
        <v>923.7582850759045</v>
      </c>
      <c r="U16" s="376">
        <v>4068.89</v>
      </c>
      <c r="V16" s="376">
        <v>591.58000000000004</v>
      </c>
      <c r="W16" s="22">
        <f t="shared" si="5"/>
        <v>1397.6637150000001</v>
      </c>
      <c r="X16" s="22">
        <f t="shared" si="6"/>
        <v>1580.0852582202565</v>
      </c>
      <c r="Y16" s="22">
        <v>1028.7931590420383</v>
      </c>
      <c r="Z16" s="22">
        <v>551.29209917821822</v>
      </c>
      <c r="AA16" s="371">
        <v>11943.449927464693</v>
      </c>
      <c r="AB16" s="22">
        <v>0.13229722298133925</v>
      </c>
      <c r="AC16" s="24">
        <v>0</v>
      </c>
      <c r="AD16" s="384">
        <v>0</v>
      </c>
    </row>
    <row r="17" spans="1:30">
      <c r="A17" s="21" t="s">
        <v>199</v>
      </c>
      <c r="B17" s="21" t="s">
        <v>200</v>
      </c>
      <c r="C17" s="23">
        <v>4789.9752520956881</v>
      </c>
      <c r="D17" s="147">
        <v>250.06995170112029</v>
      </c>
      <c r="E17" s="22">
        <v>768.54342927499715</v>
      </c>
      <c r="F17" s="22">
        <v>1018.6133809761175</v>
      </c>
      <c r="G17" s="22">
        <v>0</v>
      </c>
      <c r="H17" s="22">
        <v>397.41161327667692</v>
      </c>
      <c r="I17" s="22">
        <v>44.512913509326481</v>
      </c>
      <c r="J17" s="22">
        <v>566.06040406759837</v>
      </c>
      <c r="K17" s="22">
        <v>29.132802793285212</v>
      </c>
      <c r="L17" s="22">
        <v>0</v>
      </c>
      <c r="M17" s="388">
        <v>19043.399934591813</v>
      </c>
      <c r="N17" s="25">
        <v>0.1741</v>
      </c>
      <c r="O17" s="24">
        <v>437.20561177404608</v>
      </c>
      <c r="P17" s="24">
        <v>2989.9222482612186</v>
      </c>
      <c r="Q17" s="24">
        <v>2101.4076178817054</v>
      </c>
      <c r="R17" s="22">
        <v>888.51463037951305</v>
      </c>
      <c r="S17" s="24">
        <v>918.18557769181666</v>
      </c>
      <c r="T17" s="24">
        <f t="shared" si="4"/>
        <v>3908.107825953035</v>
      </c>
      <c r="U17" s="376">
        <v>3324.72</v>
      </c>
      <c r="V17" s="376">
        <v>954.83</v>
      </c>
      <c r="W17" s="22">
        <f t="shared" si="5"/>
        <v>578.833752</v>
      </c>
      <c r="X17" s="22">
        <f t="shared" si="6"/>
        <v>1617.3585477032973</v>
      </c>
      <c r="Y17" s="22">
        <v>1077.3995433003279</v>
      </c>
      <c r="Z17" s="22">
        <v>539.95900440296941</v>
      </c>
      <c r="AA17" s="371">
        <v>19235.253770618034</v>
      </c>
      <c r="AB17" s="22">
        <v>8.4083036646692033E-2</v>
      </c>
      <c r="AC17" s="24">
        <v>0</v>
      </c>
      <c r="AD17" s="384">
        <v>0</v>
      </c>
    </row>
    <row r="18" spans="1:30">
      <c r="A18" s="21" t="s">
        <v>539</v>
      </c>
      <c r="B18" s="21" t="s">
        <v>540</v>
      </c>
      <c r="C18" s="23">
        <v>3080.3820178331789</v>
      </c>
      <c r="D18" s="147">
        <v>102.6177863908305</v>
      </c>
      <c r="E18" s="22">
        <v>664.2982242453694</v>
      </c>
      <c r="F18" s="22">
        <v>766.91601063619987</v>
      </c>
      <c r="G18" s="22">
        <v>0</v>
      </c>
      <c r="H18" s="22">
        <v>276.91231344720927</v>
      </c>
      <c r="I18" s="22">
        <v>26.862453334222295</v>
      </c>
      <c r="J18" s="22">
        <v>480.21909376807344</v>
      </c>
      <c r="K18" s="22">
        <v>68.060254801554251</v>
      </c>
      <c r="L18" s="22">
        <v>4.470378359659283</v>
      </c>
      <c r="M18" s="388">
        <v>11289.885295452154</v>
      </c>
      <c r="N18" s="25">
        <v>0.38069999999999998</v>
      </c>
      <c r="O18" s="24">
        <v>1621.8917856133967</v>
      </c>
      <c r="P18" s="24">
        <v>774.67998952590187</v>
      </c>
      <c r="Q18" s="24">
        <v>479.76767881886968</v>
      </c>
      <c r="R18" s="22">
        <v>294.91231070703225</v>
      </c>
      <c r="S18" s="24">
        <v>128.33501920145468</v>
      </c>
      <c r="T18" s="24">
        <f t="shared" si="4"/>
        <v>903.01500872735653</v>
      </c>
      <c r="U18" s="376">
        <v>4310.07</v>
      </c>
      <c r="V18" s="376">
        <v>566.07000000000005</v>
      </c>
      <c r="W18" s="22">
        <f t="shared" si="5"/>
        <v>1640.8436489999999</v>
      </c>
      <c r="X18" s="22">
        <f t="shared" si="6"/>
        <v>1639.0173510515508</v>
      </c>
      <c r="Y18" s="22">
        <v>1224.7297753785635</v>
      </c>
      <c r="Z18" s="22">
        <v>414.2875756729872</v>
      </c>
      <c r="AA18" s="371">
        <v>11343.450705407962</v>
      </c>
      <c r="AB18" s="22">
        <v>0.14449019029722177</v>
      </c>
      <c r="AC18" s="24">
        <v>9.4901902972217567E-3</v>
      </c>
      <c r="AD18" s="384">
        <v>-1073009.1226979881</v>
      </c>
    </row>
    <row r="19" spans="1:30">
      <c r="A19" s="21" t="s">
        <v>5</v>
      </c>
      <c r="B19" s="21" t="s">
        <v>6</v>
      </c>
      <c r="C19" s="23">
        <v>9.8000000000000007</v>
      </c>
      <c r="D19" s="147">
        <v>0</v>
      </c>
      <c r="E19" s="22">
        <v>0</v>
      </c>
      <c r="F19" s="22">
        <v>0</v>
      </c>
      <c r="G19" s="22">
        <v>0</v>
      </c>
      <c r="H19" s="22">
        <v>0</v>
      </c>
      <c r="I19" s="22">
        <v>0</v>
      </c>
      <c r="J19" s="22">
        <v>0</v>
      </c>
      <c r="K19" s="22">
        <v>0</v>
      </c>
      <c r="L19" s="22">
        <v>0</v>
      </c>
      <c r="M19" s="388">
        <v>11.8</v>
      </c>
      <c r="N19" s="25">
        <v>0.21429999999999999</v>
      </c>
      <c r="O19" s="24">
        <v>0</v>
      </c>
      <c r="P19" s="24">
        <v>0</v>
      </c>
      <c r="Q19" s="24">
        <v>0</v>
      </c>
      <c r="R19" s="22">
        <v>0</v>
      </c>
      <c r="S19" s="24">
        <v>0</v>
      </c>
      <c r="T19" s="24">
        <f t="shared" si="4"/>
        <v>0</v>
      </c>
      <c r="U19" s="376">
        <v>0</v>
      </c>
      <c r="V19" s="376">
        <v>0.59</v>
      </c>
      <c r="W19" s="22">
        <f t="shared" si="5"/>
        <v>0</v>
      </c>
      <c r="X19" s="22">
        <f t="shared" si="6"/>
        <v>0</v>
      </c>
      <c r="Y19" s="22">
        <v>0</v>
      </c>
      <c r="Z19" s="22">
        <v>0</v>
      </c>
      <c r="AA19" s="371">
        <v>11.8</v>
      </c>
      <c r="AB19" s="22">
        <v>0</v>
      </c>
      <c r="AC19" s="24">
        <v>0</v>
      </c>
      <c r="AD19" s="384">
        <v>0</v>
      </c>
    </row>
    <row r="20" spans="1:30">
      <c r="A20" s="21" t="s">
        <v>383</v>
      </c>
      <c r="B20" s="21" t="s">
        <v>384</v>
      </c>
      <c r="C20" s="23">
        <v>5864.2724695832467</v>
      </c>
      <c r="D20" s="147">
        <v>260.87922611683575</v>
      </c>
      <c r="E20" s="22">
        <v>1019.5275482361826</v>
      </c>
      <c r="F20" s="22">
        <v>1280.4067743530184</v>
      </c>
      <c r="G20" s="22">
        <v>264.79708580282926</v>
      </c>
      <c r="H20" s="22">
        <v>284.36629264466364</v>
      </c>
      <c r="I20" s="22">
        <v>18.434032112302887</v>
      </c>
      <c r="J20" s="22">
        <v>1129.6194054126008</v>
      </c>
      <c r="K20" s="22">
        <v>232.66059058361569</v>
      </c>
      <c r="L20" s="22">
        <v>0</v>
      </c>
      <c r="M20" s="388">
        <v>20243.842188174294</v>
      </c>
      <c r="N20" s="25">
        <v>0.49569999999999997</v>
      </c>
      <c r="O20" s="24">
        <v>10275.339262892327</v>
      </c>
      <c r="P20" s="24">
        <v>1242.6108804684006</v>
      </c>
      <c r="Q20" s="24">
        <v>797.59802562696086</v>
      </c>
      <c r="R20" s="22">
        <v>445.01285484143978</v>
      </c>
      <c r="S20" s="24">
        <v>209.70595114132027</v>
      </c>
      <c r="T20" s="24">
        <f t="shared" si="4"/>
        <v>1452.3168316097208</v>
      </c>
      <c r="U20" s="376">
        <v>10062.91</v>
      </c>
      <c r="V20" s="376">
        <v>1015.02</v>
      </c>
      <c r="W20" s="22">
        <f t="shared" si="5"/>
        <v>4988.1844869999995</v>
      </c>
      <c r="X20" s="22">
        <f t="shared" si="6"/>
        <v>2596.7897828353625</v>
      </c>
      <c r="Y20" s="22">
        <v>1422.4293175690163</v>
      </c>
      <c r="Z20" s="22">
        <v>1174.3604652663462</v>
      </c>
      <c r="AA20" s="371">
        <v>20239.063751844409</v>
      </c>
      <c r="AB20" s="22">
        <v>0.12830582553991482</v>
      </c>
      <c r="AC20" s="24">
        <v>0</v>
      </c>
      <c r="AD20" s="384">
        <v>0</v>
      </c>
    </row>
    <row r="21" spans="1:30">
      <c r="A21" s="21" t="s">
        <v>253</v>
      </c>
      <c r="B21" s="21" t="s">
        <v>254</v>
      </c>
      <c r="C21" s="23">
        <v>32.95020453861224</v>
      </c>
      <c r="D21" s="147">
        <v>0</v>
      </c>
      <c r="E21" s="22">
        <v>0</v>
      </c>
      <c r="F21" s="22">
        <v>0</v>
      </c>
      <c r="G21" s="22">
        <v>0</v>
      </c>
      <c r="H21" s="22">
        <v>0</v>
      </c>
      <c r="I21" s="22">
        <v>0</v>
      </c>
      <c r="J21" s="22">
        <v>0</v>
      </c>
      <c r="K21" s="22">
        <v>0</v>
      </c>
      <c r="L21" s="22">
        <v>0</v>
      </c>
      <c r="M21" s="388">
        <v>113.91930471581183</v>
      </c>
      <c r="N21" s="25">
        <v>0.47370000000000001</v>
      </c>
      <c r="O21" s="24">
        <v>0</v>
      </c>
      <c r="P21" s="24">
        <v>0</v>
      </c>
      <c r="Q21" s="24">
        <v>0</v>
      </c>
      <c r="R21" s="22">
        <v>0</v>
      </c>
      <c r="S21" s="24">
        <v>0</v>
      </c>
      <c r="T21" s="24">
        <f t="shared" si="4"/>
        <v>0</v>
      </c>
      <c r="U21" s="376">
        <v>0</v>
      </c>
      <c r="V21" s="376">
        <v>5.71</v>
      </c>
      <c r="W21" s="22">
        <f t="shared" si="5"/>
        <v>0</v>
      </c>
      <c r="X21" s="22">
        <f t="shared" si="6"/>
        <v>19.644030943764744</v>
      </c>
      <c r="Y21" s="22">
        <v>12.592327528054323</v>
      </c>
      <c r="Z21" s="22">
        <v>7.0517034157104206</v>
      </c>
      <c r="AA21" s="371">
        <v>114.23759533450882</v>
      </c>
      <c r="AB21" s="22">
        <v>0.17195767195767195</v>
      </c>
      <c r="AC21" s="24">
        <v>3.6957671957671939E-2</v>
      </c>
      <c r="AD21" s="384">
        <v>-39565.658226125612</v>
      </c>
    </row>
    <row r="22" spans="1:30">
      <c r="A22" s="21" t="s">
        <v>543</v>
      </c>
      <c r="B22" s="21" t="s">
        <v>544</v>
      </c>
      <c r="C22" s="23">
        <v>623.81367415676959</v>
      </c>
      <c r="D22" s="147">
        <v>16.957300384505324</v>
      </c>
      <c r="E22" s="22">
        <v>111.38776461101601</v>
      </c>
      <c r="F22" s="22">
        <v>128.34506499552134</v>
      </c>
      <c r="G22" s="22">
        <v>0</v>
      </c>
      <c r="H22" s="22">
        <v>44.362226598326721</v>
      </c>
      <c r="I22" s="22">
        <v>5.4850035603909397</v>
      </c>
      <c r="J22" s="22">
        <v>76.900553580206321</v>
      </c>
      <c r="K22" s="22">
        <v>14.556355602575957</v>
      </c>
      <c r="L22" s="22">
        <v>0.31141961606615226</v>
      </c>
      <c r="M22" s="388">
        <v>2114.6396510298405</v>
      </c>
      <c r="N22" s="25">
        <v>0.46639999999999998</v>
      </c>
      <c r="O22" s="24">
        <v>506.71525972890595</v>
      </c>
      <c r="P22" s="24">
        <v>90.664758201991134</v>
      </c>
      <c r="Q22" s="24">
        <v>69.005954853737691</v>
      </c>
      <c r="R22" s="22">
        <v>21.658803348253436</v>
      </c>
      <c r="S22" s="24">
        <v>17.328994764971377</v>
      </c>
      <c r="T22" s="24">
        <f t="shared" si="4"/>
        <v>107.99375296696252</v>
      </c>
      <c r="U22" s="376">
        <v>989.02</v>
      </c>
      <c r="V22" s="376">
        <v>106.03</v>
      </c>
      <c r="W22" s="22">
        <f t="shared" si="5"/>
        <v>461.27892799999995</v>
      </c>
      <c r="X22" s="22">
        <f t="shared" si="6"/>
        <v>295.41600380815441</v>
      </c>
      <c r="Y22" s="22">
        <v>237.7431437296656</v>
      </c>
      <c r="Z22" s="22">
        <v>57.672860078488796</v>
      </c>
      <c r="AA22" s="371">
        <v>2123.3585632286095</v>
      </c>
      <c r="AB22" s="22">
        <v>0.13912676310258615</v>
      </c>
      <c r="AC22" s="24">
        <v>4.1267631025861395E-3</v>
      </c>
      <c r="AD22" s="384">
        <v>-91437.94162834734</v>
      </c>
    </row>
    <row r="23" spans="1:30">
      <c r="A23" s="21" t="s">
        <v>283</v>
      </c>
      <c r="B23" s="21" t="s">
        <v>284</v>
      </c>
      <c r="C23" s="23">
        <v>29.8</v>
      </c>
      <c r="D23" s="147">
        <v>0</v>
      </c>
      <c r="E23" s="22">
        <v>0</v>
      </c>
      <c r="F23" s="22">
        <v>0</v>
      </c>
      <c r="G23" s="22">
        <v>0</v>
      </c>
      <c r="H23" s="22">
        <v>0</v>
      </c>
      <c r="I23" s="22">
        <v>0</v>
      </c>
      <c r="J23" s="22">
        <v>0</v>
      </c>
      <c r="K23" s="22">
        <v>0</v>
      </c>
      <c r="L23" s="22">
        <v>0</v>
      </c>
      <c r="M23" s="388">
        <v>85.68</v>
      </c>
      <c r="N23" s="25">
        <v>0.52580000000000005</v>
      </c>
      <c r="O23" s="24">
        <v>88</v>
      </c>
      <c r="P23" s="24">
        <v>7</v>
      </c>
      <c r="Q23" s="24">
        <v>5</v>
      </c>
      <c r="R23" s="22">
        <v>2</v>
      </c>
      <c r="S23" s="24">
        <v>1</v>
      </c>
      <c r="T23" s="24">
        <f t="shared" si="4"/>
        <v>8</v>
      </c>
      <c r="U23" s="376">
        <v>45.05</v>
      </c>
      <c r="V23" s="376">
        <v>0</v>
      </c>
      <c r="W23" s="22">
        <f t="shared" si="5"/>
        <v>23.687290000000001</v>
      </c>
      <c r="X23" s="22">
        <f t="shared" si="6"/>
        <v>19.75</v>
      </c>
      <c r="Y23" s="22">
        <v>14.75</v>
      </c>
      <c r="Z23" s="22">
        <v>5</v>
      </c>
      <c r="AA23" s="371">
        <v>85.68</v>
      </c>
      <c r="AB23" s="22">
        <v>0.23050887021475255</v>
      </c>
      <c r="AC23" s="24">
        <v>9.5508870214752545E-2</v>
      </c>
      <c r="AD23" s="384">
        <v>-76942.612501960932</v>
      </c>
    </row>
    <row r="24" spans="1:30">
      <c r="A24" s="21" t="s">
        <v>227</v>
      </c>
      <c r="B24" s="21" t="s">
        <v>228</v>
      </c>
      <c r="C24" s="23">
        <v>1391.1114249675022</v>
      </c>
      <c r="D24" s="147">
        <v>86.373737385057339</v>
      </c>
      <c r="E24" s="22">
        <v>324.79056796886351</v>
      </c>
      <c r="F24" s="22">
        <v>411.16430535392084</v>
      </c>
      <c r="G24" s="22">
        <v>258.60887665777284</v>
      </c>
      <c r="H24" s="22">
        <v>39.540245446334687</v>
      </c>
      <c r="I24" s="22">
        <v>2.6822270157955694</v>
      </c>
      <c r="J24" s="22">
        <v>312.51460761941712</v>
      </c>
      <c r="K24" s="22">
        <v>31.342877487948229</v>
      </c>
      <c r="L24" s="22">
        <v>0</v>
      </c>
      <c r="M24" s="388">
        <v>4581.7761700643659</v>
      </c>
      <c r="N24" s="25">
        <v>0.64629999999999999</v>
      </c>
      <c r="O24" s="24">
        <v>3918.7323267305051</v>
      </c>
      <c r="P24" s="24">
        <v>457.35333581893303</v>
      </c>
      <c r="Q24" s="24">
        <v>321.85989161706851</v>
      </c>
      <c r="R24" s="22">
        <v>135.49344420186452</v>
      </c>
      <c r="S24" s="24">
        <v>39.429741711601537</v>
      </c>
      <c r="T24" s="24">
        <f t="shared" si="4"/>
        <v>496.78307753053457</v>
      </c>
      <c r="U24" s="376">
        <v>2973.15</v>
      </c>
      <c r="V24" s="376">
        <v>229.73</v>
      </c>
      <c r="W24" s="22">
        <f t="shared" si="5"/>
        <v>1921.5468450000001</v>
      </c>
      <c r="X24" s="22">
        <f t="shared" si="6"/>
        <v>640.94947117796505</v>
      </c>
      <c r="Y24" s="22">
        <v>413.78388257186504</v>
      </c>
      <c r="Z24" s="22">
        <v>227.16558860609999</v>
      </c>
      <c r="AA24" s="371">
        <v>4419.796149864821</v>
      </c>
      <c r="AB24" s="22">
        <v>0.14501788079017364</v>
      </c>
      <c r="AC24" s="24">
        <v>1.0017880790173628E-2</v>
      </c>
      <c r="AD24" s="384">
        <v>-472308.91143370577</v>
      </c>
    </row>
    <row r="25" spans="1:30">
      <c r="A25" s="21" t="s">
        <v>333</v>
      </c>
      <c r="B25" s="21" t="s">
        <v>334</v>
      </c>
      <c r="C25" s="23">
        <v>292.13169145818415</v>
      </c>
      <c r="D25" s="147">
        <v>0</v>
      </c>
      <c r="E25" s="22">
        <v>92.069702620847934</v>
      </c>
      <c r="F25" s="22">
        <v>92.069702620847934</v>
      </c>
      <c r="G25" s="22">
        <v>0</v>
      </c>
      <c r="H25" s="22">
        <v>13.531684607777649</v>
      </c>
      <c r="I25" s="22">
        <v>0.97444202446505712</v>
      </c>
      <c r="J25" s="22">
        <v>10.065885654783374</v>
      </c>
      <c r="K25" s="22">
        <v>0</v>
      </c>
      <c r="L25" s="22">
        <v>0</v>
      </c>
      <c r="M25" s="388">
        <v>984.82937552997339</v>
      </c>
      <c r="N25" s="25">
        <v>0.94989999999999997</v>
      </c>
      <c r="O25" s="24">
        <v>968.09814035681632</v>
      </c>
      <c r="P25" s="24">
        <v>327.14866917885132</v>
      </c>
      <c r="Q25" s="24">
        <v>220.61757829151173</v>
      </c>
      <c r="R25" s="22">
        <v>106.53109088733957</v>
      </c>
      <c r="S25" s="24">
        <v>96.188478188174457</v>
      </c>
      <c r="T25" s="24">
        <f t="shared" si="4"/>
        <v>423.33714736702575</v>
      </c>
      <c r="U25" s="376">
        <v>938.1</v>
      </c>
      <c r="V25" s="376">
        <v>49.38</v>
      </c>
      <c r="W25" s="22">
        <f t="shared" si="5"/>
        <v>891.10118999999997</v>
      </c>
      <c r="X25" s="22">
        <f t="shared" si="6"/>
        <v>98.472001269384805</v>
      </c>
      <c r="Y25" s="22">
        <v>74.2947324155205</v>
      </c>
      <c r="Z25" s="22">
        <v>24.177268853864298</v>
      </c>
      <c r="AA25" s="371">
        <v>987.58098950822205</v>
      </c>
      <c r="AB25" s="22">
        <v>9.9710304588204082E-2</v>
      </c>
      <c r="AC25" s="24">
        <v>0</v>
      </c>
      <c r="AD25" s="384">
        <v>0</v>
      </c>
    </row>
    <row r="26" spans="1:30">
      <c r="A26" s="21" t="s">
        <v>91</v>
      </c>
      <c r="B26" s="21" t="s">
        <v>92</v>
      </c>
      <c r="C26" s="23">
        <v>207.94793717965652</v>
      </c>
      <c r="D26" s="147">
        <v>0</v>
      </c>
      <c r="E26" s="22">
        <v>28.268864503553306</v>
      </c>
      <c r="F26" s="22">
        <v>28.268864503553306</v>
      </c>
      <c r="G26" s="22">
        <v>0</v>
      </c>
      <c r="H26" s="22">
        <v>0</v>
      </c>
      <c r="I26" s="22">
        <v>0</v>
      </c>
      <c r="J26" s="22">
        <v>27.927307505287203</v>
      </c>
      <c r="K26" s="22">
        <v>0</v>
      </c>
      <c r="L26" s="22">
        <v>0</v>
      </c>
      <c r="M26" s="388">
        <v>749.18518410856257</v>
      </c>
      <c r="N26" s="25">
        <v>0.95469999999999999</v>
      </c>
      <c r="O26" s="24">
        <v>756.54703788550376</v>
      </c>
      <c r="P26" s="24">
        <v>355.10363629113192</v>
      </c>
      <c r="Q26" s="24">
        <v>216.83988003309543</v>
      </c>
      <c r="R26" s="22">
        <v>138.26375625803647</v>
      </c>
      <c r="S26" s="24">
        <v>34.155699826610253</v>
      </c>
      <c r="T26" s="24">
        <f t="shared" si="4"/>
        <v>389.25933611774218</v>
      </c>
      <c r="U26" s="376">
        <v>717.25</v>
      </c>
      <c r="V26" s="376">
        <v>37.56</v>
      </c>
      <c r="W26" s="22">
        <f t="shared" si="5"/>
        <v>684.75857499999995</v>
      </c>
      <c r="X26" s="22">
        <f t="shared" si="6"/>
        <v>66.739335898687912</v>
      </c>
      <c r="Y26" s="22">
        <v>50.873003213339466</v>
      </c>
      <c r="Z26" s="22">
        <v>15.866332685348446</v>
      </c>
      <c r="AA26" s="371">
        <v>751.27840804776577</v>
      </c>
      <c r="AB26" s="22">
        <v>8.8834359118763168E-2</v>
      </c>
      <c r="AC26" s="24">
        <v>0</v>
      </c>
      <c r="AD26" s="384">
        <v>0</v>
      </c>
    </row>
    <row r="27" spans="1:30">
      <c r="A27" s="21" t="s">
        <v>175</v>
      </c>
      <c r="B27" s="21" t="s">
        <v>176</v>
      </c>
      <c r="C27" s="23">
        <v>29.2</v>
      </c>
      <c r="D27" s="147">
        <v>0</v>
      </c>
      <c r="E27" s="22">
        <v>0</v>
      </c>
      <c r="F27" s="22">
        <v>0</v>
      </c>
      <c r="G27" s="22">
        <v>0</v>
      </c>
      <c r="H27" s="22">
        <v>0</v>
      </c>
      <c r="I27" s="22">
        <v>0</v>
      </c>
      <c r="J27" s="22">
        <v>0.4</v>
      </c>
      <c r="K27" s="22">
        <v>0</v>
      </c>
      <c r="L27" s="22">
        <v>0</v>
      </c>
      <c r="M27" s="388">
        <v>72.800000000000011</v>
      </c>
      <c r="N27" s="25">
        <v>0.78210000000000002</v>
      </c>
      <c r="O27" s="24">
        <v>72</v>
      </c>
      <c r="P27" s="24">
        <v>0.5</v>
      </c>
      <c r="Q27" s="24">
        <v>0.5</v>
      </c>
      <c r="R27" s="22">
        <v>0</v>
      </c>
      <c r="S27" s="24">
        <v>0</v>
      </c>
      <c r="T27" s="24">
        <f t="shared" si="4"/>
        <v>0.5</v>
      </c>
      <c r="U27" s="376">
        <v>56.94</v>
      </c>
      <c r="V27" s="376">
        <v>3.64</v>
      </c>
      <c r="W27" s="22">
        <f t="shared" si="5"/>
        <v>44.532773999999996</v>
      </c>
      <c r="X27" s="22">
        <f t="shared" si="6"/>
        <v>7</v>
      </c>
      <c r="Y27" s="22">
        <v>0</v>
      </c>
      <c r="Z27" s="22">
        <v>7</v>
      </c>
      <c r="AA27" s="371">
        <v>72.8</v>
      </c>
      <c r="AB27" s="22">
        <v>9.6153846153846159E-2</v>
      </c>
      <c r="AC27" s="24">
        <v>0</v>
      </c>
      <c r="AD27" s="384">
        <v>0</v>
      </c>
    </row>
    <row r="28" spans="1:30">
      <c r="A28" s="21" t="s">
        <v>403</v>
      </c>
      <c r="B28" s="21" t="s">
        <v>404</v>
      </c>
      <c r="C28" s="23">
        <v>890.0071253348633</v>
      </c>
      <c r="D28" s="147">
        <v>81.622076791531839</v>
      </c>
      <c r="E28" s="22">
        <v>317.66809997560864</v>
      </c>
      <c r="F28" s="22">
        <v>399.29017676714045</v>
      </c>
      <c r="G28" s="22">
        <v>0</v>
      </c>
      <c r="H28" s="22">
        <v>51.504786179714927</v>
      </c>
      <c r="I28" s="22">
        <v>4.2192335079930308</v>
      </c>
      <c r="J28" s="22">
        <v>21.940014241563759</v>
      </c>
      <c r="K28" s="22">
        <v>10.045794066650073</v>
      </c>
      <c r="L28" s="22">
        <v>0.20091588133300148</v>
      </c>
      <c r="M28" s="388">
        <v>3289.7363661821669</v>
      </c>
      <c r="N28" s="25">
        <v>0.54559999999999997</v>
      </c>
      <c r="O28" s="24">
        <v>1401.2742073218851</v>
      </c>
      <c r="P28" s="24">
        <v>740.17701209903316</v>
      </c>
      <c r="Q28" s="24">
        <v>427.13174975160263</v>
      </c>
      <c r="R28" s="22">
        <v>313.04526234743048</v>
      </c>
      <c r="S28" s="24">
        <v>74.08773124154429</v>
      </c>
      <c r="T28" s="24">
        <f t="shared" si="4"/>
        <v>814.26474334057741</v>
      </c>
      <c r="U28" s="376">
        <v>1800.22</v>
      </c>
      <c r="V28" s="376">
        <v>164.95</v>
      </c>
      <c r="W28" s="22">
        <f t="shared" si="5"/>
        <v>982.20003199999996</v>
      </c>
      <c r="X28" s="22">
        <f t="shared" si="6"/>
        <v>490.84892704355752</v>
      </c>
      <c r="Y28" s="22">
        <v>352.83701733608211</v>
      </c>
      <c r="Z28" s="22">
        <v>138.01190970747538</v>
      </c>
      <c r="AA28" s="371">
        <v>3330.4389323438522</v>
      </c>
      <c r="AB28" s="22">
        <v>0.14738265346247151</v>
      </c>
      <c r="AC28" s="24">
        <v>1.2382653462471499E-2</v>
      </c>
      <c r="AD28" s="384">
        <v>-426783.07007797202</v>
      </c>
    </row>
    <row r="29" spans="1:30">
      <c r="A29" s="21" t="s">
        <v>67</v>
      </c>
      <c r="B29" s="21" t="s">
        <v>68</v>
      </c>
      <c r="C29" s="23">
        <v>1846.658048507883</v>
      </c>
      <c r="D29" s="147">
        <v>34.939271763808954</v>
      </c>
      <c r="E29" s="22">
        <v>397.9741777444093</v>
      </c>
      <c r="F29" s="22">
        <v>432.91344950821826</v>
      </c>
      <c r="G29" s="22">
        <v>0</v>
      </c>
      <c r="H29" s="22">
        <v>171.74289536344966</v>
      </c>
      <c r="I29" s="22">
        <v>1.918746666730164</v>
      </c>
      <c r="J29" s="22">
        <v>121.27282597259969</v>
      </c>
      <c r="K29" s="22">
        <v>6.6302240839890478</v>
      </c>
      <c r="L29" s="22">
        <v>0</v>
      </c>
      <c r="M29" s="388">
        <v>7071.6463210717202</v>
      </c>
      <c r="N29" s="25">
        <v>0.15210000000000001</v>
      </c>
      <c r="O29" s="24">
        <v>0</v>
      </c>
      <c r="P29" s="24">
        <v>189.13675947137591</v>
      </c>
      <c r="Q29" s="24">
        <v>140.78222176364733</v>
      </c>
      <c r="R29" s="22">
        <v>48.354537707728596</v>
      </c>
      <c r="S29" s="24">
        <v>117.03350087647335</v>
      </c>
      <c r="T29" s="24">
        <f t="shared" si="4"/>
        <v>306.17026034784925</v>
      </c>
      <c r="U29" s="376">
        <v>1077.8900000000001</v>
      </c>
      <c r="V29" s="376">
        <v>354.57</v>
      </c>
      <c r="W29" s="22">
        <f t="shared" si="5"/>
        <v>163.94706900000003</v>
      </c>
      <c r="X29" s="22">
        <f t="shared" si="6"/>
        <v>737.91039314398336</v>
      </c>
      <c r="Y29" s="22">
        <v>545.24778196475222</v>
      </c>
      <c r="Z29" s="22">
        <v>192.66261117923113</v>
      </c>
      <c r="AA29" s="371">
        <v>7147.8181332665536</v>
      </c>
      <c r="AB29" s="22">
        <v>0.10323575381831354</v>
      </c>
      <c r="AC29" s="24">
        <v>0</v>
      </c>
      <c r="AD29" s="384">
        <v>0</v>
      </c>
    </row>
    <row r="30" spans="1:30">
      <c r="A30" s="21" t="s">
        <v>49</v>
      </c>
      <c r="B30" s="21" t="s">
        <v>50</v>
      </c>
      <c r="C30" s="23">
        <v>161.52632279766652</v>
      </c>
      <c r="D30" s="147">
        <v>0</v>
      </c>
      <c r="E30" s="22">
        <v>7.654895078787356</v>
      </c>
      <c r="F30" s="22">
        <v>7.654895078787356</v>
      </c>
      <c r="G30" s="22">
        <v>0</v>
      </c>
      <c r="H30" s="22">
        <v>9.5435043633175702</v>
      </c>
      <c r="I30" s="22">
        <v>0.74338876093210537</v>
      </c>
      <c r="J30" s="22">
        <v>1.9689756370634144</v>
      </c>
      <c r="K30" s="22">
        <v>0</v>
      </c>
      <c r="L30" s="22">
        <v>0</v>
      </c>
      <c r="M30" s="388">
        <v>485.42281509459815</v>
      </c>
      <c r="N30" s="25">
        <v>0.72089999999999999</v>
      </c>
      <c r="O30" s="24">
        <v>499.66355631319556</v>
      </c>
      <c r="P30" s="24">
        <v>0</v>
      </c>
      <c r="Q30" s="24">
        <v>0</v>
      </c>
      <c r="R30" s="22">
        <v>0</v>
      </c>
      <c r="S30" s="24">
        <v>0</v>
      </c>
      <c r="T30" s="24">
        <f t="shared" si="4"/>
        <v>0</v>
      </c>
      <c r="U30" s="376">
        <v>350.92</v>
      </c>
      <c r="V30" s="376">
        <v>0</v>
      </c>
      <c r="W30" s="22">
        <f t="shared" si="5"/>
        <v>252.978228</v>
      </c>
      <c r="X30" s="22">
        <f t="shared" si="6"/>
        <v>72.531806561592902</v>
      </c>
      <c r="Y30" s="22">
        <v>52.38408251670598</v>
      </c>
      <c r="Z30" s="22">
        <v>20.147724044886917</v>
      </c>
      <c r="AA30" s="371">
        <v>486.77908678649032</v>
      </c>
      <c r="AB30" s="22">
        <v>0.14900353883404732</v>
      </c>
      <c r="AC30" s="24">
        <v>1.4003538834047313E-2</v>
      </c>
      <c r="AD30" s="384">
        <v>-64605.407662328507</v>
      </c>
    </row>
    <row r="31" spans="1:30">
      <c r="A31" s="21" t="s">
        <v>367</v>
      </c>
      <c r="B31" s="21" t="s">
        <v>368</v>
      </c>
      <c r="C31" s="23">
        <v>78.558109601203583</v>
      </c>
      <c r="D31" s="147">
        <v>0</v>
      </c>
      <c r="E31" s="22">
        <v>0</v>
      </c>
      <c r="F31" s="22">
        <v>0</v>
      </c>
      <c r="G31" s="22">
        <v>0</v>
      </c>
      <c r="H31" s="22">
        <v>0</v>
      </c>
      <c r="I31" s="22">
        <v>0</v>
      </c>
      <c r="J31" s="22">
        <v>0</v>
      </c>
      <c r="K31" s="22">
        <v>0</v>
      </c>
      <c r="L31" s="22">
        <v>0</v>
      </c>
      <c r="M31" s="388">
        <v>178.57403532877169</v>
      </c>
      <c r="N31" s="25">
        <v>0.3034</v>
      </c>
      <c r="O31" s="24">
        <v>0</v>
      </c>
      <c r="P31" s="24">
        <v>0</v>
      </c>
      <c r="Q31" s="24">
        <v>0</v>
      </c>
      <c r="R31" s="22">
        <v>0</v>
      </c>
      <c r="S31" s="24">
        <v>0</v>
      </c>
      <c r="T31" s="24">
        <f t="shared" si="4"/>
        <v>0</v>
      </c>
      <c r="U31" s="376">
        <v>54.33</v>
      </c>
      <c r="V31" s="376">
        <v>8.9499999999999993</v>
      </c>
      <c r="W31" s="22">
        <f t="shared" si="5"/>
        <v>16.483722</v>
      </c>
      <c r="X31" s="22">
        <f t="shared" si="6"/>
        <v>25.68834815723082</v>
      </c>
      <c r="Y31" s="22">
        <v>22.918036101058867</v>
      </c>
      <c r="Z31" s="22">
        <v>2.7703120561719512</v>
      </c>
      <c r="AA31" s="371">
        <v>180.08035751319926</v>
      </c>
      <c r="AB31" s="22">
        <v>0.14264936227343925</v>
      </c>
      <c r="AC31" s="24">
        <v>7.6493622734392364E-3</v>
      </c>
      <c r="AD31" s="384">
        <v>-14216.221216240503</v>
      </c>
    </row>
    <row r="32" spans="1:30">
      <c r="A32" s="21" t="s">
        <v>1226</v>
      </c>
      <c r="B32" s="21" t="s">
        <v>1227</v>
      </c>
      <c r="C32" s="23">
        <v>0</v>
      </c>
      <c r="D32" s="147">
        <v>0</v>
      </c>
      <c r="E32" s="22">
        <v>0</v>
      </c>
      <c r="F32" s="22">
        <v>0</v>
      </c>
      <c r="G32" s="22">
        <v>0</v>
      </c>
      <c r="H32" s="22">
        <v>0</v>
      </c>
      <c r="I32" s="22">
        <v>0</v>
      </c>
      <c r="J32" s="22">
        <v>0</v>
      </c>
      <c r="K32" s="22">
        <v>0</v>
      </c>
      <c r="L32" s="22">
        <v>0</v>
      </c>
      <c r="M32" s="388">
        <v>104.47625829316077</v>
      </c>
      <c r="N32" s="25">
        <v>0.68630000000000002</v>
      </c>
      <c r="O32" s="24">
        <v>102.75339262892328</v>
      </c>
      <c r="P32" s="24">
        <v>5.0268571491992855</v>
      </c>
      <c r="Q32" s="24">
        <v>0</v>
      </c>
      <c r="R32" s="22">
        <v>5.0268571491992855</v>
      </c>
      <c r="S32" s="24">
        <v>6.790956789055449</v>
      </c>
      <c r="T32" s="24">
        <f t="shared" si="4"/>
        <v>11.817813938254734</v>
      </c>
      <c r="U32" s="376">
        <v>70.88</v>
      </c>
      <c r="V32" s="376">
        <v>0</v>
      </c>
      <c r="W32" s="22">
        <f t="shared" si="5"/>
        <v>48.644943999999995</v>
      </c>
      <c r="X32" s="22">
        <f t="shared" si="6"/>
        <v>19.14033784264257</v>
      </c>
      <c r="Y32" s="22">
        <v>19.14033784264257</v>
      </c>
      <c r="Z32" s="22">
        <v>0</v>
      </c>
      <c r="AA32" s="371">
        <v>104.76816503341196</v>
      </c>
      <c r="AB32" s="22">
        <v>0.18269230769230768</v>
      </c>
      <c r="AC32" s="24">
        <v>4.7692307692307673E-2</v>
      </c>
      <c r="AD32" s="384">
        <v>-50149.427337484027</v>
      </c>
    </row>
    <row r="33" spans="1:30">
      <c r="A33" s="21" t="s">
        <v>39</v>
      </c>
      <c r="B33" s="21" t="s">
        <v>40</v>
      </c>
      <c r="C33" s="23">
        <v>330.30570891145442</v>
      </c>
      <c r="D33" s="147">
        <v>44.663600420326226</v>
      </c>
      <c r="E33" s="22">
        <v>130.9469256587837</v>
      </c>
      <c r="F33" s="22">
        <v>175.61052607910992</v>
      </c>
      <c r="G33" s="22">
        <v>0</v>
      </c>
      <c r="H33" s="22">
        <v>29.956557906750518</v>
      </c>
      <c r="I33" s="22">
        <v>0.75343455499875556</v>
      </c>
      <c r="J33" s="22">
        <v>61.952412009031008</v>
      </c>
      <c r="K33" s="22">
        <v>0</v>
      </c>
      <c r="L33" s="22">
        <v>0</v>
      </c>
      <c r="M33" s="388">
        <v>1241.4190475803493</v>
      </c>
      <c r="N33" s="25">
        <v>0.40339999999999998</v>
      </c>
      <c r="O33" s="24">
        <v>18.132951640398225</v>
      </c>
      <c r="P33" s="24">
        <v>136.50083040410885</v>
      </c>
      <c r="Q33" s="24">
        <v>89.657371999746772</v>
      </c>
      <c r="R33" s="22">
        <v>46.843458404362082</v>
      </c>
      <c r="S33" s="24">
        <v>51.233549739915375</v>
      </c>
      <c r="T33" s="24">
        <f t="shared" si="4"/>
        <v>187.73438014402421</v>
      </c>
      <c r="U33" s="376">
        <v>502.19</v>
      </c>
      <c r="V33" s="376">
        <v>0</v>
      </c>
      <c r="W33" s="22">
        <f t="shared" si="5"/>
        <v>202.58344599999998</v>
      </c>
      <c r="X33" s="22">
        <f t="shared" si="6"/>
        <v>111.5680218985613</v>
      </c>
      <c r="Y33" s="22">
        <v>71.524420359348554</v>
      </c>
      <c r="Z33" s="22">
        <v>40.043601539212744</v>
      </c>
      <c r="AA33" s="371">
        <v>1246.7310900355799</v>
      </c>
      <c r="AB33" s="22">
        <v>8.9488441244677155E-2</v>
      </c>
      <c r="AC33" s="24">
        <v>0</v>
      </c>
      <c r="AD33" s="384">
        <v>0</v>
      </c>
    </row>
    <row r="34" spans="1:30">
      <c r="A34" s="21" t="s">
        <v>37</v>
      </c>
      <c r="B34" s="21" t="s">
        <v>38</v>
      </c>
      <c r="C34" s="23">
        <v>471.6600772232876</v>
      </c>
      <c r="D34" s="147">
        <v>54.819898221709451</v>
      </c>
      <c r="E34" s="22">
        <v>124.84912866032711</v>
      </c>
      <c r="F34" s="22">
        <v>179.66902688203658</v>
      </c>
      <c r="G34" s="22">
        <v>0</v>
      </c>
      <c r="H34" s="22">
        <v>34.828768029075803</v>
      </c>
      <c r="I34" s="22">
        <v>1.3059532286645097</v>
      </c>
      <c r="J34" s="22">
        <v>0</v>
      </c>
      <c r="K34" s="22">
        <v>0</v>
      </c>
      <c r="L34" s="22">
        <v>0</v>
      </c>
      <c r="M34" s="388">
        <v>1574.3868919194661</v>
      </c>
      <c r="N34" s="25">
        <v>0.4365</v>
      </c>
      <c r="O34" s="24">
        <v>0</v>
      </c>
      <c r="P34" s="24">
        <v>187.37383361744833</v>
      </c>
      <c r="Q34" s="24">
        <v>153.37454929170164</v>
      </c>
      <c r="R34" s="22">
        <v>33.999284325746672</v>
      </c>
      <c r="S34" s="24">
        <v>65.799951136557979</v>
      </c>
      <c r="T34" s="24">
        <f t="shared" si="4"/>
        <v>253.17378475400631</v>
      </c>
      <c r="U34" s="376">
        <v>689.14</v>
      </c>
      <c r="V34" s="376">
        <v>78.94</v>
      </c>
      <c r="W34" s="22">
        <f t="shared" si="5"/>
        <v>300.80961000000002</v>
      </c>
      <c r="X34" s="22">
        <f t="shared" si="6"/>
        <v>186.36644741520396</v>
      </c>
      <c r="Y34" s="22">
        <v>160.17440615685098</v>
      </c>
      <c r="Z34" s="22">
        <v>26.19204125835299</v>
      </c>
      <c r="AA34" s="371">
        <v>1589.9777907262958</v>
      </c>
      <c r="AB34" s="22">
        <v>0.11721323939378579</v>
      </c>
      <c r="AC34" s="24">
        <v>0</v>
      </c>
      <c r="AD34" s="384">
        <v>0</v>
      </c>
    </row>
    <row r="35" spans="1:30">
      <c r="A35" s="21" t="s">
        <v>81</v>
      </c>
      <c r="B35" s="21" t="s">
        <v>82</v>
      </c>
      <c r="C35" s="23">
        <v>418.60823875730853</v>
      </c>
      <c r="D35" s="147">
        <v>5.4649119722576405</v>
      </c>
      <c r="E35" s="22">
        <v>70.973535080882769</v>
      </c>
      <c r="F35" s="22">
        <v>76.438447053140408</v>
      </c>
      <c r="G35" s="22">
        <v>0</v>
      </c>
      <c r="H35" s="22">
        <v>23.245967470228269</v>
      </c>
      <c r="I35" s="22">
        <v>2.3808531937960673</v>
      </c>
      <c r="J35" s="22">
        <v>46.64262185145629</v>
      </c>
      <c r="K35" s="22">
        <v>0</v>
      </c>
      <c r="L35" s="22">
        <v>0</v>
      </c>
      <c r="M35" s="388">
        <v>1411.5947990694019</v>
      </c>
      <c r="N35" s="25">
        <v>0.52590000000000003</v>
      </c>
      <c r="O35" s="24">
        <v>580.25445249274321</v>
      </c>
      <c r="P35" s="24">
        <v>20.399570595448004</v>
      </c>
      <c r="Q35" s="24">
        <v>10.325708573004544</v>
      </c>
      <c r="R35" s="22">
        <v>10.073862022443459</v>
      </c>
      <c r="S35" s="24">
        <v>3.0137382199950222</v>
      </c>
      <c r="T35" s="24">
        <f t="shared" si="4"/>
        <v>23.413308815443028</v>
      </c>
      <c r="U35" s="376">
        <v>744.43</v>
      </c>
      <c r="V35" s="376">
        <v>70.78</v>
      </c>
      <c r="W35" s="22">
        <f t="shared" si="5"/>
        <v>391.49573700000002</v>
      </c>
      <c r="X35" s="22">
        <f t="shared" si="6"/>
        <v>233.46175237012716</v>
      </c>
      <c r="Y35" s="22">
        <v>147.58207862879667</v>
      </c>
      <c r="Z35" s="22">
        <v>85.879673741330478</v>
      </c>
      <c r="AA35" s="371">
        <v>1419.2056817218343</v>
      </c>
      <c r="AB35" s="22">
        <v>0.16450170357751281</v>
      </c>
      <c r="AC35" s="24">
        <v>2.9501703577512806E-2</v>
      </c>
      <c r="AD35" s="384">
        <v>-393888.53106509533</v>
      </c>
    </row>
    <row r="36" spans="1:30">
      <c r="A36" s="21" t="s">
        <v>1228</v>
      </c>
      <c r="B36" s="21" t="s">
        <v>1229</v>
      </c>
      <c r="C36" s="23">
        <v>199.10763840100444</v>
      </c>
      <c r="D36" s="147">
        <v>0</v>
      </c>
      <c r="E36" s="22">
        <v>0</v>
      </c>
      <c r="F36" s="22">
        <v>0</v>
      </c>
      <c r="G36" s="22">
        <v>0</v>
      </c>
      <c r="H36" s="22">
        <v>0</v>
      </c>
      <c r="I36" s="22">
        <v>0</v>
      </c>
      <c r="J36" s="22">
        <v>0</v>
      </c>
      <c r="K36" s="22">
        <v>0</v>
      </c>
      <c r="L36" s="22">
        <v>0</v>
      </c>
      <c r="M36" s="388">
        <v>302.78023316883321</v>
      </c>
      <c r="N36" s="25">
        <v>0.51339999999999997</v>
      </c>
      <c r="O36" s="24">
        <v>0</v>
      </c>
      <c r="P36" s="24">
        <v>1.0073862022443458</v>
      </c>
      <c r="Q36" s="24">
        <v>0</v>
      </c>
      <c r="R36" s="22">
        <v>1.0073862022443458</v>
      </c>
      <c r="S36" s="24">
        <v>0</v>
      </c>
      <c r="T36" s="24">
        <f t="shared" si="4"/>
        <v>1.0073862022443458</v>
      </c>
      <c r="U36" s="376">
        <v>155.88</v>
      </c>
      <c r="V36" s="376">
        <v>15.18</v>
      </c>
      <c r="W36" s="22">
        <f t="shared" si="5"/>
        <v>80.028791999999996</v>
      </c>
      <c r="X36" s="22">
        <f t="shared" si="6"/>
        <v>29.717892966208204</v>
      </c>
      <c r="Y36" s="22">
        <v>28.962353314524943</v>
      </c>
      <c r="Z36" s="22">
        <v>0.75553965168325932</v>
      </c>
      <c r="AA36" s="371">
        <v>303.62620135644579</v>
      </c>
      <c r="AB36" s="22">
        <v>9.7876575978765784E-2</v>
      </c>
      <c r="AC36" s="24">
        <v>0</v>
      </c>
      <c r="AD36" s="384">
        <v>0</v>
      </c>
    </row>
    <row r="37" spans="1:30">
      <c r="A37" s="21" t="s">
        <v>255</v>
      </c>
      <c r="B37" s="21" t="s">
        <v>256</v>
      </c>
      <c r="C37" s="23">
        <v>42</v>
      </c>
      <c r="D37" s="147">
        <v>0</v>
      </c>
      <c r="E37" s="22">
        <v>0</v>
      </c>
      <c r="F37" s="22">
        <v>0</v>
      </c>
      <c r="G37" s="22">
        <v>0</v>
      </c>
      <c r="H37" s="22">
        <v>0</v>
      </c>
      <c r="I37" s="22">
        <v>0</v>
      </c>
      <c r="J37" s="22">
        <v>0</v>
      </c>
      <c r="K37" s="22">
        <v>0</v>
      </c>
      <c r="L37" s="22">
        <v>0</v>
      </c>
      <c r="M37" s="388">
        <v>86.8</v>
      </c>
      <c r="N37" s="25">
        <v>0.33329999999999999</v>
      </c>
      <c r="O37" s="24">
        <v>0</v>
      </c>
      <c r="P37" s="24">
        <v>0</v>
      </c>
      <c r="Q37" s="24">
        <v>0</v>
      </c>
      <c r="R37" s="22">
        <v>0</v>
      </c>
      <c r="S37" s="24">
        <v>0</v>
      </c>
      <c r="T37" s="24">
        <f t="shared" si="4"/>
        <v>0</v>
      </c>
      <c r="U37" s="376">
        <v>28.93</v>
      </c>
      <c r="V37" s="376">
        <v>0</v>
      </c>
      <c r="W37" s="22">
        <f t="shared" si="5"/>
        <v>9.6423689999999986</v>
      </c>
      <c r="X37" s="22">
        <f t="shared" si="6"/>
        <v>7.75</v>
      </c>
      <c r="Y37" s="22">
        <v>7</v>
      </c>
      <c r="Z37" s="22">
        <v>0.75</v>
      </c>
      <c r="AA37" s="371">
        <v>86.8</v>
      </c>
      <c r="AB37" s="22">
        <v>8.9285714285714288E-2</v>
      </c>
      <c r="AC37" s="24">
        <v>0</v>
      </c>
      <c r="AD37" s="384">
        <v>0</v>
      </c>
    </row>
    <row r="38" spans="1:30">
      <c r="A38" s="21" t="s">
        <v>233</v>
      </c>
      <c r="B38" s="21" t="s">
        <v>234</v>
      </c>
      <c r="C38" s="23">
        <v>3131.2237816044944</v>
      </c>
      <c r="D38" s="147">
        <v>113.52751874721248</v>
      </c>
      <c r="E38" s="22">
        <v>665.94573447229993</v>
      </c>
      <c r="F38" s="22">
        <v>779.47325321951246</v>
      </c>
      <c r="G38" s="22">
        <v>0</v>
      </c>
      <c r="H38" s="22">
        <v>274.13967428481385</v>
      </c>
      <c r="I38" s="22">
        <v>10.98005291484853</v>
      </c>
      <c r="J38" s="22">
        <v>689.26202250099482</v>
      </c>
      <c r="K38" s="22">
        <v>0</v>
      </c>
      <c r="L38" s="22">
        <v>0</v>
      </c>
      <c r="M38" s="388">
        <v>11185.278441836124</v>
      </c>
      <c r="N38" s="25">
        <v>0.38040000000000002</v>
      </c>
      <c r="O38" s="24">
        <v>1023.5043814802553</v>
      </c>
      <c r="P38" s="24">
        <v>413.53203602130395</v>
      </c>
      <c r="Q38" s="24">
        <v>236.73575752742127</v>
      </c>
      <c r="R38" s="22">
        <v>176.79627849388268</v>
      </c>
      <c r="S38" s="24">
        <v>74.590020944876798</v>
      </c>
      <c r="T38" s="24">
        <f t="shared" si="4"/>
        <v>488.12205696618076</v>
      </c>
      <c r="U38" s="376">
        <v>4266.7700000000004</v>
      </c>
      <c r="V38" s="376">
        <v>560.83000000000004</v>
      </c>
      <c r="W38" s="22">
        <f t="shared" si="5"/>
        <v>1623.0793080000003</v>
      </c>
      <c r="X38" s="22">
        <f t="shared" si="6"/>
        <v>1508.812684411469</v>
      </c>
      <c r="Y38" s="22">
        <v>966.08336795232765</v>
      </c>
      <c r="Z38" s="22">
        <v>542.72931645914127</v>
      </c>
      <c r="AA38" s="371">
        <v>11183.921026420549</v>
      </c>
      <c r="AB38" s="22">
        <v>0.134909096804877</v>
      </c>
      <c r="AC38" s="24">
        <v>0</v>
      </c>
      <c r="AD38" s="384">
        <v>0</v>
      </c>
    </row>
    <row r="39" spans="1:30">
      <c r="A39" s="21" t="s">
        <v>463</v>
      </c>
      <c r="B39" s="21" t="s">
        <v>464</v>
      </c>
      <c r="C39" s="23">
        <v>4185.9819296324185</v>
      </c>
      <c r="D39" s="147">
        <v>54.48838701751</v>
      </c>
      <c r="E39" s="22">
        <v>641.62486703694026</v>
      </c>
      <c r="F39" s="22">
        <v>696.11325405445029</v>
      </c>
      <c r="G39" s="22">
        <v>52.509365586379936</v>
      </c>
      <c r="H39" s="22">
        <v>274.51136866527992</v>
      </c>
      <c r="I39" s="22">
        <v>10.829366003848778</v>
      </c>
      <c r="J39" s="22">
        <v>229.04410471962166</v>
      </c>
      <c r="K39" s="22">
        <v>92.220389531847673</v>
      </c>
      <c r="L39" s="22">
        <v>0</v>
      </c>
      <c r="M39" s="388">
        <v>14141.685315092775</v>
      </c>
      <c r="N39" s="25">
        <v>0.38200000000000001</v>
      </c>
      <c r="O39" s="24">
        <v>3455.3346736981061</v>
      </c>
      <c r="P39" s="24">
        <v>479.5158322683086</v>
      </c>
      <c r="Q39" s="24">
        <v>290.88276589805486</v>
      </c>
      <c r="R39" s="22">
        <v>188.63306637025374</v>
      </c>
      <c r="S39" s="24">
        <v>96.690767891506951</v>
      </c>
      <c r="T39" s="24">
        <f t="shared" si="4"/>
        <v>576.20660015981559</v>
      </c>
      <c r="U39" s="376">
        <v>5417.22</v>
      </c>
      <c r="V39" s="376">
        <v>709.06</v>
      </c>
      <c r="W39" s="22">
        <f t="shared" si="5"/>
        <v>2069.3780400000001</v>
      </c>
      <c r="X39" s="22">
        <f t="shared" si="6"/>
        <v>2026.8610389156238</v>
      </c>
      <c r="Y39" s="22">
        <v>922.01022160413754</v>
      </c>
      <c r="Z39" s="22">
        <v>1104.8508173114863</v>
      </c>
      <c r="AA39" s="371">
        <v>14374.000839205695</v>
      </c>
      <c r="AB39" s="22">
        <v>0.14100882987200575</v>
      </c>
      <c r="AC39" s="24">
        <v>6.0088298720057387E-3</v>
      </c>
      <c r="AD39" s="384">
        <v>-809574.88720134285</v>
      </c>
    </row>
    <row r="40" spans="1:30">
      <c r="A40" s="21" t="s">
        <v>295</v>
      </c>
      <c r="B40" s="21" t="s">
        <v>296</v>
      </c>
      <c r="C40" s="23">
        <v>1051.121570575797</v>
      </c>
      <c r="D40" s="147">
        <v>49.093795603718902</v>
      </c>
      <c r="E40" s="22">
        <v>229.7171729220872</v>
      </c>
      <c r="F40" s="22">
        <v>278.81096852580612</v>
      </c>
      <c r="G40" s="22">
        <v>0</v>
      </c>
      <c r="H40" s="22">
        <v>52.660052497379688</v>
      </c>
      <c r="I40" s="22">
        <v>7.6046661084541061</v>
      </c>
      <c r="J40" s="22">
        <v>53.011655289712444</v>
      </c>
      <c r="K40" s="22">
        <v>8.6393828973190629</v>
      </c>
      <c r="L40" s="22">
        <v>0</v>
      </c>
      <c r="M40" s="388">
        <v>3391.3696647544648</v>
      </c>
      <c r="N40" s="25">
        <v>0.80730000000000002</v>
      </c>
      <c r="O40" s="24">
        <v>3309.2636743726762</v>
      </c>
      <c r="P40" s="24">
        <v>486.06384258289688</v>
      </c>
      <c r="Q40" s="24">
        <v>314.80818820135806</v>
      </c>
      <c r="R40" s="22">
        <v>171.25565438153879</v>
      </c>
      <c r="S40" s="24">
        <v>67.306820246555489</v>
      </c>
      <c r="T40" s="24">
        <f t="shared" si="4"/>
        <v>553.37066282945239</v>
      </c>
      <c r="U40" s="376">
        <v>2745.16</v>
      </c>
      <c r="V40" s="376">
        <v>170.04</v>
      </c>
      <c r="W40" s="22">
        <f t="shared" si="5"/>
        <v>2216.167668</v>
      </c>
      <c r="X40" s="22">
        <f t="shared" si="6"/>
        <v>469.19012369530407</v>
      </c>
      <c r="Y40" s="22">
        <v>273.25350735877879</v>
      </c>
      <c r="Z40" s="22">
        <v>195.93661633652528</v>
      </c>
      <c r="AA40" s="371">
        <v>3415.3112198829385</v>
      </c>
      <c r="AB40" s="22">
        <v>0.1373784388853985</v>
      </c>
      <c r="AC40" s="24">
        <v>2.3784388853984872E-3</v>
      </c>
      <c r="AD40" s="384">
        <v>-76486.186573561339</v>
      </c>
    </row>
    <row r="41" spans="1:30">
      <c r="A41" s="21" t="s">
        <v>291</v>
      </c>
      <c r="B41" s="21" t="s">
        <v>292</v>
      </c>
      <c r="C41" s="23">
        <v>809.90196344739559</v>
      </c>
      <c r="D41" s="147">
        <v>0</v>
      </c>
      <c r="E41" s="22">
        <v>172.04426918544914</v>
      </c>
      <c r="F41" s="22">
        <v>172.04426918544914</v>
      </c>
      <c r="G41" s="22">
        <v>0</v>
      </c>
      <c r="H41" s="22">
        <v>75.494142410875313</v>
      </c>
      <c r="I41" s="22">
        <v>7.1827427576548031</v>
      </c>
      <c r="J41" s="22">
        <v>25.888011309757243</v>
      </c>
      <c r="K41" s="22">
        <v>5.4247287959910402</v>
      </c>
      <c r="L41" s="22">
        <v>0</v>
      </c>
      <c r="M41" s="388">
        <v>2858.2393736373456</v>
      </c>
      <c r="N41" s="25">
        <v>0.46789999999999998</v>
      </c>
      <c r="O41" s="24">
        <v>1260.2401390076766</v>
      </c>
      <c r="P41" s="24">
        <v>109.30140294351153</v>
      </c>
      <c r="Q41" s="24">
        <v>56.665473876244455</v>
      </c>
      <c r="R41" s="22">
        <v>52.635929067267071</v>
      </c>
      <c r="S41" s="24">
        <v>16.073270506640117</v>
      </c>
      <c r="T41" s="24">
        <f t="shared" si="4"/>
        <v>125.37467345015165</v>
      </c>
      <c r="U41" s="376">
        <v>1341.11</v>
      </c>
      <c r="V41" s="376">
        <v>143.31</v>
      </c>
      <c r="W41" s="22">
        <f t="shared" si="5"/>
        <v>627.50536899999997</v>
      </c>
      <c r="X41" s="22">
        <f t="shared" si="6"/>
        <v>391.36953957192839</v>
      </c>
      <c r="Y41" s="22">
        <v>211.8029490218737</v>
      </c>
      <c r="Z41" s="22">
        <v>179.56659055005466</v>
      </c>
      <c r="AA41" s="371">
        <v>2871.9875455644728</v>
      </c>
      <c r="AB41" s="22">
        <v>0.13627132198966654</v>
      </c>
      <c r="AC41" s="24">
        <v>1.2713219896665351E-3</v>
      </c>
      <c r="AD41" s="384">
        <v>-34905.01777683245</v>
      </c>
    </row>
    <row r="42" spans="1:30">
      <c r="A42" s="21" t="s">
        <v>467</v>
      </c>
      <c r="B42" s="21" t="s">
        <v>468</v>
      </c>
      <c r="C42" s="23">
        <v>1522.138716978819</v>
      </c>
      <c r="D42" s="147">
        <v>97.574797769372154</v>
      </c>
      <c r="E42" s="22">
        <v>402.76602151420138</v>
      </c>
      <c r="F42" s="22">
        <v>500.34081928357352</v>
      </c>
      <c r="G42" s="22">
        <v>0</v>
      </c>
      <c r="H42" s="22">
        <v>99.423223877635778</v>
      </c>
      <c r="I42" s="22">
        <v>2.421036370062668</v>
      </c>
      <c r="J42" s="22">
        <v>313.41872908541563</v>
      </c>
      <c r="K42" s="22">
        <v>8.1973679583864598</v>
      </c>
      <c r="L42" s="22">
        <v>1.0045794066650073</v>
      </c>
      <c r="M42" s="388">
        <v>5181.7511749009736</v>
      </c>
      <c r="N42" s="25">
        <v>0.49630000000000002</v>
      </c>
      <c r="O42" s="24">
        <v>1518.1310067822292</v>
      </c>
      <c r="P42" s="24">
        <v>240.00976268471541</v>
      </c>
      <c r="Q42" s="24">
        <v>169.99642162873337</v>
      </c>
      <c r="R42" s="22">
        <v>70.013341055982039</v>
      </c>
      <c r="S42" s="24">
        <v>41.438900524931555</v>
      </c>
      <c r="T42" s="24">
        <f t="shared" si="4"/>
        <v>281.44866320964695</v>
      </c>
      <c r="U42" s="376">
        <v>2578.89</v>
      </c>
      <c r="V42" s="376">
        <v>259.81</v>
      </c>
      <c r="W42" s="22">
        <f t="shared" si="5"/>
        <v>1279.9031070000001</v>
      </c>
      <c r="X42" s="22">
        <f t="shared" si="6"/>
        <v>810.69404625613731</v>
      </c>
      <c r="Y42" s="22">
        <v>605.18726099829075</v>
      </c>
      <c r="Z42" s="22">
        <v>205.50678525784656</v>
      </c>
      <c r="AA42" s="371">
        <v>5217.2632152854894</v>
      </c>
      <c r="AB42" s="22">
        <v>0.15538684034207309</v>
      </c>
      <c r="AC42" s="24">
        <v>2.0386840342073081E-2</v>
      </c>
      <c r="AD42" s="384">
        <v>-1000381.4407773612</v>
      </c>
    </row>
    <row r="43" spans="1:30">
      <c r="A43" s="21" t="s">
        <v>485</v>
      </c>
      <c r="B43" s="21" t="s">
        <v>486</v>
      </c>
      <c r="C43" s="23">
        <v>185.84719023302637</v>
      </c>
      <c r="D43" s="147">
        <v>10.106068831049974</v>
      </c>
      <c r="E43" s="22">
        <v>60.998061572699243</v>
      </c>
      <c r="F43" s="22">
        <v>71.104130403749224</v>
      </c>
      <c r="G43" s="22">
        <v>0</v>
      </c>
      <c r="H43" s="22">
        <v>23.788440349827372</v>
      </c>
      <c r="I43" s="22">
        <v>0.46210652706590338</v>
      </c>
      <c r="J43" s="22">
        <v>118.84174380847037</v>
      </c>
      <c r="K43" s="22">
        <v>14.465943455976106</v>
      </c>
      <c r="L43" s="22">
        <v>0</v>
      </c>
      <c r="M43" s="388">
        <v>769.56810026979554</v>
      </c>
      <c r="N43" s="25">
        <v>0.58360000000000001</v>
      </c>
      <c r="O43" s="24">
        <v>759.56919649223676</v>
      </c>
      <c r="P43" s="24">
        <v>1.0073862022443458</v>
      </c>
      <c r="Q43" s="24">
        <v>0</v>
      </c>
      <c r="R43" s="22">
        <v>1.0073862022443458</v>
      </c>
      <c r="S43" s="24">
        <v>0</v>
      </c>
      <c r="T43" s="24">
        <f t="shared" si="4"/>
        <v>1.0073862022443458</v>
      </c>
      <c r="U43" s="376">
        <v>449.45</v>
      </c>
      <c r="V43" s="376">
        <v>38.590000000000003</v>
      </c>
      <c r="W43" s="22">
        <f t="shared" si="5"/>
        <v>262.29901999999998</v>
      </c>
      <c r="X43" s="22">
        <f t="shared" si="6"/>
        <v>133.73051834793691</v>
      </c>
      <c r="Y43" s="22">
        <v>91.923990954796551</v>
      </c>
      <c r="Z43" s="22">
        <v>41.80652739314035</v>
      </c>
      <c r="AA43" s="371">
        <v>771.71827409130356</v>
      </c>
      <c r="AB43" s="22">
        <v>0.17328929848836905</v>
      </c>
      <c r="AC43" s="24">
        <v>3.8289298488369039E-2</v>
      </c>
      <c r="AD43" s="384">
        <v>-275226.14819683466</v>
      </c>
    </row>
    <row r="44" spans="1:30">
      <c r="A44" s="21" t="s">
        <v>1038</v>
      </c>
      <c r="B44" s="21" t="s">
        <v>1043</v>
      </c>
      <c r="C44" s="23">
        <v>172.98857382771425</v>
      </c>
      <c r="D44" s="147">
        <v>0</v>
      </c>
      <c r="E44" s="22">
        <v>28.911795323818911</v>
      </c>
      <c r="F44" s="22">
        <v>28.911795323818911</v>
      </c>
      <c r="G44" s="22">
        <v>0</v>
      </c>
      <c r="H44" s="22">
        <v>0.85389249566525616</v>
      </c>
      <c r="I44" s="22">
        <v>0</v>
      </c>
      <c r="J44" s="22">
        <v>0</v>
      </c>
      <c r="K44" s="22">
        <v>0</v>
      </c>
      <c r="L44" s="22">
        <v>0</v>
      </c>
      <c r="M44" s="388">
        <v>582.91724651143716</v>
      </c>
      <c r="N44" s="25">
        <v>0.52859999999999996</v>
      </c>
      <c r="O44" s="24">
        <v>598.38740413314144</v>
      </c>
      <c r="P44" s="24">
        <v>0</v>
      </c>
      <c r="Q44" s="24">
        <v>0</v>
      </c>
      <c r="R44" s="22">
        <v>0</v>
      </c>
      <c r="S44" s="24">
        <v>0</v>
      </c>
      <c r="T44" s="24">
        <f t="shared" si="4"/>
        <v>0</v>
      </c>
      <c r="U44" s="376">
        <v>309.98</v>
      </c>
      <c r="V44" s="376">
        <v>0</v>
      </c>
      <c r="W44" s="22">
        <f t="shared" si="5"/>
        <v>163.85542799999999</v>
      </c>
      <c r="X44" s="22">
        <f t="shared" si="6"/>
        <v>0</v>
      </c>
      <c r="Y44" s="22">
        <v>0</v>
      </c>
      <c r="Z44" s="22">
        <v>0</v>
      </c>
      <c r="AA44" s="371">
        <v>584.53584385228169</v>
      </c>
      <c r="AB44" s="22">
        <v>0</v>
      </c>
      <c r="AC44" s="24">
        <v>0</v>
      </c>
      <c r="AD44" s="384">
        <v>0</v>
      </c>
    </row>
    <row r="45" spans="1:30">
      <c r="A45" s="21" t="s">
        <v>179</v>
      </c>
      <c r="B45" s="21" t="s">
        <v>180</v>
      </c>
      <c r="C45" s="23">
        <v>179.21696614903732</v>
      </c>
      <c r="D45" s="147">
        <v>0</v>
      </c>
      <c r="E45" s="22">
        <v>13.812966841643851</v>
      </c>
      <c r="F45" s="22">
        <v>13.812966841643851</v>
      </c>
      <c r="G45" s="22">
        <v>0</v>
      </c>
      <c r="H45" s="22">
        <v>9.061306248118365</v>
      </c>
      <c r="I45" s="22">
        <v>1.0347167888649575</v>
      </c>
      <c r="J45" s="22">
        <v>79.713375918868337</v>
      </c>
      <c r="K45" s="22">
        <v>0</v>
      </c>
      <c r="L45" s="22">
        <v>0</v>
      </c>
      <c r="M45" s="388">
        <v>676.02166592115009</v>
      </c>
      <c r="N45" s="25">
        <v>0.51580000000000004</v>
      </c>
      <c r="O45" s="24">
        <v>329.41528813390107</v>
      </c>
      <c r="P45" s="24">
        <v>17.377411988714968</v>
      </c>
      <c r="Q45" s="24">
        <v>16.873718887592794</v>
      </c>
      <c r="R45" s="22">
        <v>0.50369310112217291</v>
      </c>
      <c r="S45" s="24">
        <v>1.7580139616637629</v>
      </c>
      <c r="T45" s="24">
        <f t="shared" si="4"/>
        <v>19.135425950378732</v>
      </c>
      <c r="U45" s="376">
        <v>350.14</v>
      </c>
      <c r="V45" s="376">
        <v>0</v>
      </c>
      <c r="W45" s="22">
        <f t="shared" si="5"/>
        <v>180.60221200000001</v>
      </c>
      <c r="X45" s="22">
        <f t="shared" si="6"/>
        <v>111.5680218985613</v>
      </c>
      <c r="Y45" s="22">
        <v>77.568737572814626</v>
      </c>
      <c r="Z45" s="22">
        <v>33.999284325746672</v>
      </c>
      <c r="AA45" s="371">
        <v>691.01656542950911</v>
      </c>
      <c r="AB45" s="22">
        <v>0.16145491653910632</v>
      </c>
      <c r="AC45" s="24">
        <v>2.645491653910631E-2</v>
      </c>
      <c r="AD45" s="384">
        <v>-185331.14594778404</v>
      </c>
    </row>
    <row r="46" spans="1:30">
      <c r="A46" s="21" t="s">
        <v>13</v>
      </c>
      <c r="B46" s="21" t="s">
        <v>14</v>
      </c>
      <c r="C46" s="23">
        <v>728.43057356686347</v>
      </c>
      <c r="D46" s="147">
        <v>0</v>
      </c>
      <c r="E46" s="22">
        <v>155.66962485680955</v>
      </c>
      <c r="F46" s="22">
        <v>155.66962485680955</v>
      </c>
      <c r="G46" s="22">
        <v>0</v>
      </c>
      <c r="H46" s="22">
        <v>25.275217871691584</v>
      </c>
      <c r="I46" s="22">
        <v>2.3808531937960673</v>
      </c>
      <c r="J46" s="22">
        <v>175.88176251890945</v>
      </c>
      <c r="K46" s="22">
        <v>3.8174017453270275</v>
      </c>
      <c r="L46" s="22">
        <v>0</v>
      </c>
      <c r="M46" s="388">
        <v>2449.9481653864868</v>
      </c>
      <c r="N46" s="25">
        <v>0.57350000000000001</v>
      </c>
      <c r="O46" s="24">
        <v>1356.9492144231338</v>
      </c>
      <c r="P46" s="24">
        <v>18.384798190959312</v>
      </c>
      <c r="Q46" s="24">
        <v>15.362639584226274</v>
      </c>
      <c r="R46" s="22">
        <v>3.0221586067330373</v>
      </c>
      <c r="S46" s="24">
        <v>6.0274764399900445</v>
      </c>
      <c r="T46" s="24">
        <f t="shared" si="4"/>
        <v>24.412274630949355</v>
      </c>
      <c r="U46" s="376">
        <v>1408.97</v>
      </c>
      <c r="V46" s="376">
        <v>122.84</v>
      </c>
      <c r="W46" s="22">
        <f t="shared" si="5"/>
        <v>808.04429500000003</v>
      </c>
      <c r="X46" s="22">
        <f t="shared" si="6"/>
        <v>388.59922751575641</v>
      </c>
      <c r="Y46" s="22">
        <v>266.70549704419057</v>
      </c>
      <c r="Z46" s="22">
        <v>121.89373047156585</v>
      </c>
      <c r="AA46" s="371">
        <v>2456.793322309466</v>
      </c>
      <c r="AB46" s="22">
        <v>0.15817334896956672</v>
      </c>
      <c r="AC46" s="24">
        <v>2.3173348969566715E-2</v>
      </c>
      <c r="AD46" s="384">
        <v>-536727.47232310358</v>
      </c>
    </row>
    <row r="47" spans="1:30">
      <c r="A47" s="21" t="s">
        <v>249</v>
      </c>
      <c r="B47" s="21" t="s">
        <v>250</v>
      </c>
      <c r="C47" s="23">
        <v>268.75512866508939</v>
      </c>
      <c r="D47" s="147">
        <v>8.8704361608520141</v>
      </c>
      <c r="E47" s="22">
        <v>61.430030717565195</v>
      </c>
      <c r="F47" s="22">
        <v>70.300466878417211</v>
      </c>
      <c r="G47" s="22">
        <v>0</v>
      </c>
      <c r="H47" s="22">
        <v>14.054065899243453</v>
      </c>
      <c r="I47" s="22">
        <v>0</v>
      </c>
      <c r="J47" s="22">
        <v>22.402120768629665</v>
      </c>
      <c r="K47" s="22">
        <v>0</v>
      </c>
      <c r="L47" s="22">
        <v>0</v>
      </c>
      <c r="M47" s="388">
        <v>888.80163004686517</v>
      </c>
      <c r="N47" s="25">
        <v>0.40670000000000001</v>
      </c>
      <c r="O47" s="24">
        <v>22.16249644937561</v>
      </c>
      <c r="P47" s="24">
        <v>13.096020629176497</v>
      </c>
      <c r="Q47" s="24">
        <v>7.3035499662715075</v>
      </c>
      <c r="R47" s="22">
        <v>5.7924706629049885</v>
      </c>
      <c r="S47" s="24">
        <v>1.0045794066650073</v>
      </c>
      <c r="T47" s="24">
        <f t="shared" si="4"/>
        <v>14.100600035841504</v>
      </c>
      <c r="U47" s="376">
        <v>362.49</v>
      </c>
      <c r="V47" s="376">
        <v>44.56</v>
      </c>
      <c r="W47" s="22">
        <f t="shared" si="5"/>
        <v>147.42468300000002</v>
      </c>
      <c r="X47" s="22">
        <f t="shared" si="6"/>
        <v>131.71574594344821</v>
      </c>
      <c r="Y47" s="22">
        <v>106.78293743790066</v>
      </c>
      <c r="Z47" s="22">
        <v>24.932808505547559</v>
      </c>
      <c r="AA47" s="371">
        <v>890.26748237141817</v>
      </c>
      <c r="AB47" s="22">
        <v>0.14795075474687125</v>
      </c>
      <c r="AC47" s="24">
        <v>1.295075474687124E-2</v>
      </c>
      <c r="AD47" s="384">
        <v>-108624.77648980505</v>
      </c>
    </row>
    <row r="48" spans="1:30">
      <c r="A48" s="21" t="s">
        <v>377</v>
      </c>
      <c r="B48" s="21" t="s">
        <v>378</v>
      </c>
      <c r="C48" s="23">
        <v>4278.4333724278004</v>
      </c>
      <c r="D48" s="147">
        <v>371.6642430838528</v>
      </c>
      <c r="E48" s="22">
        <v>573.65502438198575</v>
      </c>
      <c r="F48" s="22">
        <v>945.31926746583849</v>
      </c>
      <c r="G48" s="22">
        <v>0</v>
      </c>
      <c r="H48" s="22">
        <v>149.63210262275283</v>
      </c>
      <c r="I48" s="22">
        <v>9.0211230718517665</v>
      </c>
      <c r="J48" s="22">
        <v>551.87574284548839</v>
      </c>
      <c r="K48" s="22">
        <v>194.48657313034542</v>
      </c>
      <c r="L48" s="22">
        <v>0</v>
      </c>
      <c r="M48" s="388">
        <v>12079.273747415447</v>
      </c>
      <c r="N48" s="25">
        <v>0.68879999999999997</v>
      </c>
      <c r="O48" s="24">
        <v>9418.0536047823898</v>
      </c>
      <c r="P48" s="24">
        <v>1597.2108236584102</v>
      </c>
      <c r="Q48" s="24">
        <v>1110.8951345249523</v>
      </c>
      <c r="R48" s="22">
        <v>486.31568913345797</v>
      </c>
      <c r="S48" s="24">
        <v>417.90503317264307</v>
      </c>
      <c r="T48" s="24">
        <f t="shared" si="4"/>
        <v>2015.1158568310532</v>
      </c>
      <c r="U48" s="376">
        <v>8343.4500000000007</v>
      </c>
      <c r="V48" s="376">
        <v>605.65</v>
      </c>
      <c r="W48" s="22">
        <f t="shared" si="5"/>
        <v>5746.9683599999998</v>
      </c>
      <c r="X48" s="22">
        <f t="shared" si="6"/>
        <v>1772.2441762983653</v>
      </c>
      <c r="Y48" s="22">
        <v>895.31448724466236</v>
      </c>
      <c r="Z48" s="22">
        <v>876.9296890537031</v>
      </c>
      <c r="AA48" s="371">
        <v>12158.587324815999</v>
      </c>
      <c r="AB48" s="22">
        <v>0.14576069809369779</v>
      </c>
      <c r="AC48" s="24">
        <v>1.0760698093697785E-2</v>
      </c>
      <c r="AD48" s="384">
        <v>-1300858.2749875351</v>
      </c>
    </row>
    <row r="49" spans="1:30">
      <c r="A49" s="21" t="s">
        <v>563</v>
      </c>
      <c r="B49" s="21" t="s">
        <v>564</v>
      </c>
      <c r="C49" s="23">
        <v>136.62279930644101</v>
      </c>
      <c r="D49" s="147">
        <v>6.9115063178552507</v>
      </c>
      <c r="E49" s="22">
        <v>49.525764748584862</v>
      </c>
      <c r="F49" s="22">
        <v>56.437271066440111</v>
      </c>
      <c r="G49" s="22">
        <v>0</v>
      </c>
      <c r="H49" s="22">
        <v>2.0292504014633148</v>
      </c>
      <c r="I49" s="22">
        <v>0.25114485166625183</v>
      </c>
      <c r="J49" s="22">
        <v>0</v>
      </c>
      <c r="K49" s="22">
        <v>0</v>
      </c>
      <c r="L49" s="22">
        <v>0</v>
      </c>
      <c r="M49" s="388">
        <v>520.42236162280699</v>
      </c>
      <c r="N49" s="25">
        <v>0.32319999999999999</v>
      </c>
      <c r="O49" s="24">
        <v>0</v>
      </c>
      <c r="P49" s="24">
        <v>0</v>
      </c>
      <c r="Q49" s="24">
        <v>0</v>
      </c>
      <c r="R49" s="22">
        <v>0</v>
      </c>
      <c r="S49" s="24">
        <v>0</v>
      </c>
      <c r="T49" s="24">
        <f t="shared" si="4"/>
        <v>0</v>
      </c>
      <c r="U49" s="376">
        <v>168.67</v>
      </c>
      <c r="V49" s="376">
        <v>26.09</v>
      </c>
      <c r="W49" s="22">
        <f t="shared" si="5"/>
        <v>54.514143999999995</v>
      </c>
      <c r="X49" s="22">
        <f t="shared" si="6"/>
        <v>78.324277224497891</v>
      </c>
      <c r="Y49" s="22">
        <v>50.369310112217292</v>
      </c>
      <c r="Z49" s="22">
        <v>27.954967112280595</v>
      </c>
      <c r="AA49" s="371">
        <v>521.87642207268334</v>
      </c>
      <c r="AB49" s="22">
        <v>0.15008203841328058</v>
      </c>
      <c r="AC49" s="24">
        <v>1.5082038413280568E-2</v>
      </c>
      <c r="AD49" s="384">
        <v>-73255.58012811259</v>
      </c>
    </row>
    <row r="50" spans="1:30">
      <c r="A50" s="21" t="s">
        <v>529</v>
      </c>
      <c r="B50" s="21" t="s">
        <v>530</v>
      </c>
      <c r="C50" s="23">
        <v>430.29149725682259</v>
      </c>
      <c r="D50" s="147">
        <v>0</v>
      </c>
      <c r="E50" s="22">
        <v>132.19260412304831</v>
      </c>
      <c r="F50" s="22">
        <v>132.19260412304831</v>
      </c>
      <c r="G50" s="22">
        <v>0</v>
      </c>
      <c r="H50" s="22">
        <v>36.978567959338925</v>
      </c>
      <c r="I50" s="22">
        <v>3.9078138919268786</v>
      </c>
      <c r="J50" s="22">
        <v>0</v>
      </c>
      <c r="K50" s="22">
        <v>8.3681464575195115</v>
      </c>
      <c r="L50" s="22">
        <v>0.87398408379855641</v>
      </c>
      <c r="M50" s="388">
        <v>1530.4164512897387</v>
      </c>
      <c r="N50" s="25">
        <v>0.56679999999999997</v>
      </c>
      <c r="O50" s="24">
        <v>1536.2639584226274</v>
      </c>
      <c r="P50" s="24">
        <v>294.40861760591008</v>
      </c>
      <c r="Q50" s="24">
        <v>179.56659055005466</v>
      </c>
      <c r="R50" s="22">
        <v>114.84202705585543</v>
      </c>
      <c r="S50" s="24">
        <v>44.452638744926574</v>
      </c>
      <c r="T50" s="24">
        <f t="shared" si="4"/>
        <v>338.86125635083664</v>
      </c>
      <c r="U50" s="376">
        <v>869.86</v>
      </c>
      <c r="V50" s="376">
        <v>76.73</v>
      </c>
      <c r="W50" s="22">
        <f t="shared" si="5"/>
        <v>493.03664799999996</v>
      </c>
      <c r="X50" s="22">
        <f t="shared" si="6"/>
        <v>211.55110247131262</v>
      </c>
      <c r="Y50" s="22">
        <v>104.26447193228979</v>
      </c>
      <c r="Z50" s="22">
        <v>107.28663053902284</v>
      </c>
      <c r="AA50" s="371">
        <v>1540.4949804720536</v>
      </c>
      <c r="AB50" s="22">
        <v>0.1373267067747842</v>
      </c>
      <c r="AC50" s="24">
        <v>2.326706774784193E-3</v>
      </c>
      <c r="AD50" s="384">
        <v>-33451.682971438691</v>
      </c>
    </row>
    <row r="51" spans="1:30">
      <c r="A51" s="21" t="s">
        <v>571</v>
      </c>
      <c r="B51" s="21" t="s">
        <v>572</v>
      </c>
      <c r="C51" s="23">
        <v>64.694913789226476</v>
      </c>
      <c r="D51" s="147">
        <v>0</v>
      </c>
      <c r="E51" s="22">
        <v>9.50332118705097</v>
      </c>
      <c r="F51" s="22">
        <v>9.50332118705097</v>
      </c>
      <c r="G51" s="22">
        <v>0</v>
      </c>
      <c r="H51" s="22">
        <v>1.235632670197959</v>
      </c>
      <c r="I51" s="22">
        <v>0</v>
      </c>
      <c r="J51" s="22">
        <v>0</v>
      </c>
      <c r="K51" s="22">
        <v>0</v>
      </c>
      <c r="L51" s="22">
        <v>0</v>
      </c>
      <c r="M51" s="388">
        <v>159.29615651487023</v>
      </c>
      <c r="N51" s="25">
        <v>0.31009999999999999</v>
      </c>
      <c r="O51" s="24">
        <v>0</v>
      </c>
      <c r="P51" s="24">
        <v>0</v>
      </c>
      <c r="Q51" s="24">
        <v>0</v>
      </c>
      <c r="R51" s="22">
        <v>0</v>
      </c>
      <c r="S51" s="24">
        <v>0</v>
      </c>
      <c r="T51" s="24">
        <f t="shared" si="4"/>
        <v>0</v>
      </c>
      <c r="U51" s="376">
        <v>49.54</v>
      </c>
      <c r="V51" s="376">
        <v>0</v>
      </c>
      <c r="W51" s="22">
        <f t="shared" si="5"/>
        <v>15.362354</v>
      </c>
      <c r="X51" s="22">
        <f t="shared" si="6"/>
        <v>29.466046415647114</v>
      </c>
      <c r="Y51" s="22">
        <v>27.954967112280595</v>
      </c>
      <c r="Z51" s="22">
        <v>1.5110793033665186</v>
      </c>
      <c r="AA51" s="371">
        <v>159.7412300898859</v>
      </c>
      <c r="AB51" s="22">
        <v>0.1844611212713628</v>
      </c>
      <c r="AC51" s="24">
        <v>4.946112127136279E-2</v>
      </c>
      <c r="AD51" s="384">
        <v>-78345.526126446392</v>
      </c>
    </row>
    <row r="52" spans="1:30">
      <c r="A52" s="21" t="s">
        <v>499</v>
      </c>
      <c r="B52" s="21" t="s">
        <v>500</v>
      </c>
      <c r="C52" s="23">
        <v>28.128223386620206</v>
      </c>
      <c r="D52" s="147">
        <v>0</v>
      </c>
      <c r="E52" s="22">
        <v>7.4539791974543546</v>
      </c>
      <c r="F52" s="22">
        <v>7.4539791974543546</v>
      </c>
      <c r="G52" s="22">
        <v>0</v>
      </c>
      <c r="H52" s="22">
        <v>0.50228970333250367</v>
      </c>
      <c r="I52" s="22">
        <v>0</v>
      </c>
      <c r="J52" s="22">
        <v>0</v>
      </c>
      <c r="K52" s="22">
        <v>0</v>
      </c>
      <c r="L52" s="22">
        <v>0</v>
      </c>
      <c r="M52" s="388">
        <v>104.93836482022667</v>
      </c>
      <c r="N52" s="25">
        <v>0.8</v>
      </c>
      <c r="O52" s="24">
        <v>102.75339262892328</v>
      </c>
      <c r="P52" s="24">
        <v>0</v>
      </c>
      <c r="Q52" s="24">
        <v>0</v>
      </c>
      <c r="R52" s="22">
        <v>0</v>
      </c>
      <c r="S52" s="24">
        <v>0</v>
      </c>
      <c r="T52" s="24">
        <f t="shared" si="4"/>
        <v>0</v>
      </c>
      <c r="U52" s="376">
        <v>84.19</v>
      </c>
      <c r="V52" s="376">
        <v>5.26</v>
      </c>
      <c r="W52" s="22">
        <f t="shared" si="5"/>
        <v>67.352000000000004</v>
      </c>
      <c r="X52" s="22">
        <f t="shared" si="6"/>
        <v>16.621872337031707</v>
      </c>
      <c r="Y52" s="22">
        <v>16.118179235909533</v>
      </c>
      <c r="Z52" s="22">
        <v>0.50369310112217291</v>
      </c>
      <c r="AA52" s="371">
        <v>105.23156268644436</v>
      </c>
      <c r="AB52" s="22">
        <v>0.1579551981619759</v>
      </c>
      <c r="AC52" s="24">
        <v>2.2955198161975887E-2</v>
      </c>
      <c r="AD52" s="384">
        <v>-22672.459015628025</v>
      </c>
    </row>
    <row r="53" spans="1:30">
      <c r="A53" s="21" t="s">
        <v>533</v>
      </c>
      <c r="B53" s="21" t="s">
        <v>534</v>
      </c>
      <c r="C53" s="23">
        <v>210.15801187431953</v>
      </c>
      <c r="D53" s="147">
        <v>0</v>
      </c>
      <c r="E53" s="22">
        <v>54.679257104776347</v>
      </c>
      <c r="F53" s="22">
        <v>54.679257104776347</v>
      </c>
      <c r="G53" s="22">
        <v>0</v>
      </c>
      <c r="H53" s="22">
        <v>14.144478045843304</v>
      </c>
      <c r="I53" s="22">
        <v>0.50228970333250367</v>
      </c>
      <c r="J53" s="22">
        <v>0</v>
      </c>
      <c r="K53" s="22">
        <v>2.8128223386620204</v>
      </c>
      <c r="L53" s="22">
        <v>0</v>
      </c>
      <c r="M53" s="388">
        <v>712.10615820855719</v>
      </c>
      <c r="N53" s="25">
        <v>0.56020000000000003</v>
      </c>
      <c r="O53" s="24">
        <v>719.27374840246296</v>
      </c>
      <c r="P53" s="24">
        <v>133.47867179737582</v>
      </c>
      <c r="Q53" s="24">
        <v>81.34643583123092</v>
      </c>
      <c r="R53" s="22">
        <v>52.132235966144897</v>
      </c>
      <c r="S53" s="24">
        <v>22.10074694663016</v>
      </c>
      <c r="T53" s="24">
        <f t="shared" si="4"/>
        <v>155.57941874400598</v>
      </c>
      <c r="U53" s="376">
        <v>393.25</v>
      </c>
      <c r="V53" s="376">
        <v>35.700000000000003</v>
      </c>
      <c r="W53" s="22">
        <f t="shared" si="5"/>
        <v>220.29865000000001</v>
      </c>
      <c r="X53" s="22">
        <f t="shared" si="6"/>
        <v>96.96092196601829</v>
      </c>
      <c r="Y53" s="22">
        <v>72.279960011031818</v>
      </c>
      <c r="Z53" s="22">
        <v>24.680961954986472</v>
      </c>
      <c r="AA53" s="371">
        <v>719.29389612650778</v>
      </c>
      <c r="AB53" s="22">
        <v>0.13480014565418336</v>
      </c>
      <c r="AC53" s="24">
        <v>0</v>
      </c>
      <c r="AD53" s="384">
        <v>0</v>
      </c>
    </row>
    <row r="54" spans="1:30">
      <c r="A54" s="21" t="s">
        <v>491</v>
      </c>
      <c r="B54" s="21" t="s">
        <v>492</v>
      </c>
      <c r="C54" s="23">
        <v>430.06044399328965</v>
      </c>
      <c r="D54" s="147">
        <v>14.686950925442407</v>
      </c>
      <c r="E54" s="22">
        <v>113.64806827601228</v>
      </c>
      <c r="F54" s="22">
        <v>128.33501920145468</v>
      </c>
      <c r="G54" s="22">
        <v>14.214798604309854</v>
      </c>
      <c r="H54" s="22">
        <v>22.090701152563511</v>
      </c>
      <c r="I54" s="22">
        <v>1.5671438743974115</v>
      </c>
      <c r="J54" s="22">
        <v>66.131462340757437</v>
      </c>
      <c r="K54" s="22">
        <v>8.6393828973190629</v>
      </c>
      <c r="L54" s="22">
        <v>0</v>
      </c>
      <c r="M54" s="388">
        <v>1642.0151775761547</v>
      </c>
      <c r="N54" s="25">
        <v>0.53720000000000001</v>
      </c>
      <c r="O54" s="24">
        <v>1119.2060706934683</v>
      </c>
      <c r="P54" s="24">
        <v>16.621872337031707</v>
      </c>
      <c r="Q54" s="24">
        <v>14.607099932543015</v>
      </c>
      <c r="R54" s="22">
        <v>2.0147724044886917</v>
      </c>
      <c r="S54" s="24">
        <v>1.7580139616637629</v>
      </c>
      <c r="T54" s="24">
        <f t="shared" si="4"/>
        <v>18.379886298695471</v>
      </c>
      <c r="U54" s="376">
        <v>854.59</v>
      </c>
      <c r="V54" s="376">
        <v>82.33</v>
      </c>
      <c r="W54" s="22">
        <f t="shared" si="5"/>
        <v>459.08574800000002</v>
      </c>
      <c r="X54" s="22">
        <f t="shared" si="6"/>
        <v>240.26160923527647</v>
      </c>
      <c r="Y54" s="22">
        <v>154.63378204450709</v>
      </c>
      <c r="Z54" s="22">
        <v>85.627827190769395</v>
      </c>
      <c r="AA54" s="371">
        <v>1646.5928952924282</v>
      </c>
      <c r="AB54" s="22">
        <v>0.14591439688715951</v>
      </c>
      <c r="AC54" s="24">
        <v>1.0914396887159505E-2</v>
      </c>
      <c r="AD54" s="384">
        <v>-171136.82093881333</v>
      </c>
    </row>
    <row r="55" spans="1:30">
      <c r="A55" s="21" t="s">
        <v>401</v>
      </c>
      <c r="B55" s="21" t="s">
        <v>402</v>
      </c>
      <c r="C55" s="23">
        <v>169.98488140178591</v>
      </c>
      <c r="D55" s="147">
        <v>6.0777054103232944</v>
      </c>
      <c r="E55" s="22">
        <v>44.261768657660227</v>
      </c>
      <c r="F55" s="22">
        <v>50.339474067983524</v>
      </c>
      <c r="G55" s="22">
        <v>0</v>
      </c>
      <c r="H55" s="22">
        <v>1.0246709947983075</v>
      </c>
      <c r="I55" s="22">
        <v>1.9890672251967145</v>
      </c>
      <c r="J55" s="22">
        <v>4.0685465969932793</v>
      </c>
      <c r="K55" s="22">
        <v>0</v>
      </c>
      <c r="L55" s="22">
        <v>0</v>
      </c>
      <c r="M55" s="388">
        <v>489.92333083645741</v>
      </c>
      <c r="N55" s="25">
        <v>0.70440000000000003</v>
      </c>
      <c r="O55" s="24">
        <v>507.72264593115028</v>
      </c>
      <c r="P55" s="24">
        <v>0</v>
      </c>
      <c r="Q55" s="24">
        <v>0</v>
      </c>
      <c r="R55" s="22">
        <v>0</v>
      </c>
      <c r="S55" s="24">
        <v>0</v>
      </c>
      <c r="T55" s="24">
        <f t="shared" si="4"/>
        <v>0</v>
      </c>
      <c r="U55" s="376">
        <v>346.07</v>
      </c>
      <c r="V55" s="376">
        <v>24.56</v>
      </c>
      <c r="W55" s="22">
        <f t="shared" si="5"/>
        <v>243.77170800000002</v>
      </c>
      <c r="X55" s="22">
        <f t="shared" si="6"/>
        <v>85.627827190769395</v>
      </c>
      <c r="Y55" s="22">
        <v>53.895161820072502</v>
      </c>
      <c r="Z55" s="22">
        <v>31.732665370696893</v>
      </c>
      <c r="AA55" s="371">
        <v>501.20485720262934</v>
      </c>
      <c r="AB55" s="22">
        <v>0.17084396920788697</v>
      </c>
      <c r="AC55" s="24">
        <v>3.5843969207886961E-2</v>
      </c>
      <c r="AD55" s="384">
        <v>-185659.82309873356</v>
      </c>
    </row>
    <row r="56" spans="1:30">
      <c r="A56" s="21" t="s">
        <v>411</v>
      </c>
      <c r="B56" s="21" t="s">
        <v>412</v>
      </c>
      <c r="C56" s="23">
        <v>206.74244189165853</v>
      </c>
      <c r="D56" s="147">
        <v>0</v>
      </c>
      <c r="E56" s="22">
        <v>0</v>
      </c>
      <c r="F56" s="22">
        <v>0</v>
      </c>
      <c r="G56" s="22">
        <v>0</v>
      </c>
      <c r="H56" s="22">
        <v>0</v>
      </c>
      <c r="I56" s="22">
        <v>0</v>
      </c>
      <c r="J56" s="22">
        <v>0</v>
      </c>
      <c r="K56" s="22">
        <v>0</v>
      </c>
      <c r="L56" s="22">
        <v>0</v>
      </c>
      <c r="M56" s="388">
        <v>452.73380120171885</v>
      </c>
      <c r="N56" s="25">
        <v>0.19209999999999999</v>
      </c>
      <c r="O56" s="24">
        <v>0</v>
      </c>
      <c r="P56" s="24">
        <v>31.98451192125798</v>
      </c>
      <c r="Q56" s="24">
        <v>24.932808505547559</v>
      </c>
      <c r="R56" s="22">
        <v>7.0517034157104206</v>
      </c>
      <c r="S56" s="24">
        <v>0</v>
      </c>
      <c r="T56" s="24">
        <f t="shared" si="4"/>
        <v>31.98451192125798</v>
      </c>
      <c r="U56" s="376">
        <v>87.21</v>
      </c>
      <c r="V56" s="376">
        <v>22.7</v>
      </c>
      <c r="W56" s="22">
        <f t="shared" si="5"/>
        <v>16.753041</v>
      </c>
      <c r="X56" s="22">
        <f t="shared" si="6"/>
        <v>43.569453247067955</v>
      </c>
      <c r="Y56" s="22">
        <v>36.517749831357534</v>
      </c>
      <c r="Z56" s="22">
        <v>7.0517034157104206</v>
      </c>
      <c r="AA56" s="371">
        <v>455.00612596770372</v>
      </c>
      <c r="AB56" s="22">
        <v>9.5755750880067297E-2</v>
      </c>
      <c r="AC56" s="24">
        <v>0</v>
      </c>
      <c r="AD56" s="384">
        <v>0</v>
      </c>
    </row>
    <row r="57" spans="1:30">
      <c r="A57" s="21" t="s">
        <v>157</v>
      </c>
      <c r="B57" s="21" t="s">
        <v>158</v>
      </c>
      <c r="C57" s="23">
        <v>104.87809005582677</v>
      </c>
      <c r="D57" s="147">
        <v>0</v>
      </c>
      <c r="E57" s="22">
        <v>0</v>
      </c>
      <c r="F57" s="22">
        <v>0</v>
      </c>
      <c r="G57" s="22">
        <v>0</v>
      </c>
      <c r="H57" s="22">
        <v>0</v>
      </c>
      <c r="I57" s="22">
        <v>0</v>
      </c>
      <c r="J57" s="22">
        <v>0</v>
      </c>
      <c r="K57" s="22">
        <v>0</v>
      </c>
      <c r="L57" s="22">
        <v>0</v>
      </c>
      <c r="M57" s="388">
        <v>164.5501068117282</v>
      </c>
      <c r="N57" s="25">
        <v>0.50329999999999997</v>
      </c>
      <c r="O57" s="24">
        <v>0</v>
      </c>
      <c r="P57" s="24">
        <v>2.0147724044886917</v>
      </c>
      <c r="Q57" s="24">
        <v>2.0147724044886917</v>
      </c>
      <c r="R57" s="22">
        <v>0</v>
      </c>
      <c r="S57" s="24">
        <v>1.0045794066650073</v>
      </c>
      <c r="T57" s="24">
        <f t="shared" si="4"/>
        <v>3.0193518111536992</v>
      </c>
      <c r="U57" s="376">
        <v>83.05</v>
      </c>
      <c r="V57" s="376">
        <v>8.25</v>
      </c>
      <c r="W57" s="22">
        <f t="shared" si="5"/>
        <v>41.799064999999999</v>
      </c>
      <c r="X57" s="22">
        <f t="shared" si="6"/>
        <v>23.169882651619954</v>
      </c>
      <c r="Y57" s="22">
        <v>15.110793033665187</v>
      </c>
      <c r="Z57" s="22">
        <v>8.0590896179547666</v>
      </c>
      <c r="AA57" s="371">
        <v>165.00985992762386</v>
      </c>
      <c r="AB57" s="22">
        <v>0.14041514041514039</v>
      </c>
      <c r="AC57" s="24">
        <v>5.4151404151403792E-3</v>
      </c>
      <c r="AD57" s="384">
        <v>-9120.7803321441079</v>
      </c>
    </row>
    <row r="58" spans="1:30">
      <c r="A58" s="21" t="s">
        <v>127</v>
      </c>
      <c r="B58" s="21" t="s">
        <v>128</v>
      </c>
      <c r="C58" s="23">
        <v>55.653699129241403</v>
      </c>
      <c r="D58" s="147">
        <v>0</v>
      </c>
      <c r="E58" s="22">
        <v>17.168262059904976</v>
      </c>
      <c r="F58" s="22">
        <v>17.168262059904976</v>
      </c>
      <c r="G58" s="22">
        <v>0</v>
      </c>
      <c r="H58" s="22">
        <v>3.9881802444600791</v>
      </c>
      <c r="I58" s="22">
        <v>3.013738219995022E-2</v>
      </c>
      <c r="J58" s="22">
        <v>0</v>
      </c>
      <c r="K58" s="22">
        <v>0</v>
      </c>
      <c r="L58" s="22">
        <v>0</v>
      </c>
      <c r="M58" s="388">
        <v>218.92799009450502</v>
      </c>
      <c r="N58" s="25">
        <v>0.4098</v>
      </c>
      <c r="O58" s="24">
        <v>0</v>
      </c>
      <c r="P58" s="24">
        <v>0</v>
      </c>
      <c r="Q58" s="24">
        <v>0</v>
      </c>
      <c r="R58" s="22">
        <v>0</v>
      </c>
      <c r="S58" s="24">
        <v>0</v>
      </c>
      <c r="T58" s="24">
        <f t="shared" si="4"/>
        <v>0</v>
      </c>
      <c r="U58" s="376">
        <v>89.97</v>
      </c>
      <c r="V58" s="376">
        <v>10.98</v>
      </c>
      <c r="W58" s="22">
        <f t="shared" si="5"/>
        <v>36.869706000000001</v>
      </c>
      <c r="X58" s="22">
        <f t="shared" si="6"/>
        <v>21.406956797692349</v>
      </c>
      <c r="Y58" s="22">
        <v>9.8220154718823718</v>
      </c>
      <c r="Z58" s="22">
        <v>11.584941325809977</v>
      </c>
      <c r="AA58" s="371">
        <v>219.53967505511028</v>
      </c>
      <c r="AB58" s="22">
        <v>9.7508374248611945E-2</v>
      </c>
      <c r="AC58" s="24">
        <v>0</v>
      </c>
      <c r="AD58" s="384">
        <v>0</v>
      </c>
    </row>
    <row r="59" spans="1:30">
      <c r="A59" s="21" t="s">
        <v>169</v>
      </c>
      <c r="B59" s="21" t="s">
        <v>170</v>
      </c>
      <c r="C59" s="23">
        <v>282.68864503553306</v>
      </c>
      <c r="D59" s="147">
        <v>0.81370931939865598</v>
      </c>
      <c r="E59" s="22">
        <v>14.345393927176303</v>
      </c>
      <c r="F59" s="22">
        <v>15.15910324657496</v>
      </c>
      <c r="G59" s="22">
        <v>0</v>
      </c>
      <c r="H59" s="22">
        <v>36.908247400872369</v>
      </c>
      <c r="I59" s="22">
        <v>1.1251289354648084</v>
      </c>
      <c r="J59" s="22">
        <v>0</v>
      </c>
      <c r="K59" s="22">
        <v>52.037213265247374</v>
      </c>
      <c r="L59" s="22">
        <v>0</v>
      </c>
      <c r="M59" s="388">
        <v>970.28306572146403</v>
      </c>
      <c r="N59" s="25">
        <v>0.3422</v>
      </c>
      <c r="O59" s="24">
        <v>53.391468718950328</v>
      </c>
      <c r="P59" s="24">
        <v>27.954967112280599</v>
      </c>
      <c r="Q59" s="24">
        <v>16.873718887592794</v>
      </c>
      <c r="R59" s="22">
        <v>11.081248224687805</v>
      </c>
      <c r="S59" s="24">
        <v>3.7671727749937776</v>
      </c>
      <c r="T59" s="24">
        <f t="shared" si="4"/>
        <v>31.722139887274377</v>
      </c>
      <c r="U59" s="376">
        <v>332.96</v>
      </c>
      <c r="V59" s="376">
        <v>48.65</v>
      </c>
      <c r="W59" s="22">
        <f t="shared" si="5"/>
        <v>113.93891199999999</v>
      </c>
      <c r="X59" s="22">
        <f t="shared" si="6"/>
        <v>145.0636131231858</v>
      </c>
      <c r="Y59" s="22">
        <v>99.983080572751319</v>
      </c>
      <c r="Z59" s="22">
        <v>45.080532550434476</v>
      </c>
      <c r="AA59" s="371">
        <v>975.00880970421258</v>
      </c>
      <c r="AB59" s="22">
        <v>0.14878184861446903</v>
      </c>
      <c r="AC59" s="24">
        <v>1.3781848614469017E-2</v>
      </c>
      <c r="AD59" s="384">
        <v>-140019.02090903619</v>
      </c>
    </row>
    <row r="60" spans="1:30">
      <c r="A60" s="21" t="s">
        <v>45</v>
      </c>
      <c r="B60" s="21" t="s">
        <v>46</v>
      </c>
      <c r="C60" s="23">
        <v>56.859194417239415</v>
      </c>
      <c r="D60" s="147">
        <v>0</v>
      </c>
      <c r="E60" s="22">
        <v>3.8174017453270275</v>
      </c>
      <c r="F60" s="22">
        <v>3.8174017453270275</v>
      </c>
      <c r="G60" s="22">
        <v>0</v>
      </c>
      <c r="H60" s="22">
        <v>4.4201493893260331</v>
      </c>
      <c r="I60" s="22">
        <v>0</v>
      </c>
      <c r="J60" s="22">
        <v>88.985643842386352</v>
      </c>
      <c r="K60" s="22">
        <v>0</v>
      </c>
      <c r="L60" s="22">
        <v>0</v>
      </c>
      <c r="M60" s="388">
        <v>309.20954137148925</v>
      </c>
      <c r="N60" s="25">
        <v>0.59550000000000003</v>
      </c>
      <c r="O60" s="24">
        <v>217.5954196847787</v>
      </c>
      <c r="P60" s="24">
        <v>0</v>
      </c>
      <c r="Q60" s="24">
        <v>0</v>
      </c>
      <c r="R60" s="22">
        <v>0</v>
      </c>
      <c r="S60" s="24">
        <v>0</v>
      </c>
      <c r="T60" s="24">
        <f t="shared" si="4"/>
        <v>0</v>
      </c>
      <c r="U60" s="376">
        <v>184.65</v>
      </c>
      <c r="V60" s="376">
        <v>15.5</v>
      </c>
      <c r="W60" s="22">
        <f t="shared" si="5"/>
        <v>109.95907500000001</v>
      </c>
      <c r="X60" s="22">
        <f t="shared" si="6"/>
        <v>31.480818820135809</v>
      </c>
      <c r="Y60" s="22">
        <v>23.925422303303215</v>
      </c>
      <c r="Z60" s="22">
        <v>7.5553965168325936</v>
      </c>
      <c r="AA60" s="371">
        <v>310.07347305080964</v>
      </c>
      <c r="AB60" s="22">
        <v>0.10152696556205329</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86.8</v>
      </c>
      <c r="N61" s="25">
        <v>0.4884</v>
      </c>
      <c r="O61" s="24">
        <v>40</v>
      </c>
      <c r="P61" s="24">
        <v>0</v>
      </c>
      <c r="Q61" s="24">
        <v>0</v>
      </c>
      <c r="R61" s="22">
        <v>0</v>
      </c>
      <c r="S61" s="24">
        <v>0</v>
      </c>
      <c r="T61" s="24">
        <f t="shared" si="4"/>
        <v>0</v>
      </c>
      <c r="U61" s="376">
        <v>42.39</v>
      </c>
      <c r="V61" s="376">
        <v>4.34</v>
      </c>
      <c r="W61" s="22">
        <f t="shared" si="5"/>
        <v>20.703275999999999</v>
      </c>
      <c r="X61" s="22">
        <f t="shared" si="6"/>
        <v>22</v>
      </c>
      <c r="Y61" s="22">
        <v>17.5</v>
      </c>
      <c r="Z61" s="22">
        <v>4.5</v>
      </c>
      <c r="AA61" s="371">
        <v>86.8</v>
      </c>
      <c r="AB61" s="22">
        <v>0.25345622119815669</v>
      </c>
      <c r="AC61" s="24">
        <v>0.11845622119815669</v>
      </c>
      <c r="AD61" s="384">
        <v>-96731.871262138826</v>
      </c>
    </row>
    <row r="62" spans="1:30">
      <c r="A62" s="21" t="s">
        <v>103</v>
      </c>
      <c r="B62" s="21" t="s">
        <v>104</v>
      </c>
      <c r="C62" s="23">
        <v>46.210652706590338</v>
      </c>
      <c r="D62" s="147">
        <v>0</v>
      </c>
      <c r="E62" s="22">
        <v>8.1772763702531606</v>
      </c>
      <c r="F62" s="22">
        <v>8.1772763702531606</v>
      </c>
      <c r="G62" s="22">
        <v>0</v>
      </c>
      <c r="H62" s="22">
        <v>0</v>
      </c>
      <c r="I62" s="22">
        <v>0</v>
      </c>
      <c r="J62" s="22">
        <v>34.246111973210098</v>
      </c>
      <c r="K62" s="22">
        <v>26.119064573290192</v>
      </c>
      <c r="L62" s="22">
        <v>0</v>
      </c>
      <c r="M62" s="388">
        <v>243.21872014766492</v>
      </c>
      <c r="N62" s="25">
        <v>0.53210000000000002</v>
      </c>
      <c r="O62" s="24">
        <v>245.80223334762039</v>
      </c>
      <c r="P62" s="24">
        <v>0</v>
      </c>
      <c r="Q62" s="24">
        <v>0</v>
      </c>
      <c r="R62" s="22">
        <v>0</v>
      </c>
      <c r="S62" s="24">
        <v>0</v>
      </c>
      <c r="T62" s="24">
        <f t="shared" si="4"/>
        <v>0</v>
      </c>
      <c r="U62" s="376">
        <v>129.78</v>
      </c>
      <c r="V62" s="376">
        <v>0</v>
      </c>
      <c r="W62" s="22">
        <f t="shared" si="5"/>
        <v>69.055937999999998</v>
      </c>
      <c r="X62" s="22">
        <f t="shared" si="6"/>
        <v>26.19204125835299</v>
      </c>
      <c r="Y62" s="22">
        <v>23.169882651619954</v>
      </c>
      <c r="Z62" s="22">
        <v>3.0221586067330373</v>
      </c>
      <c r="AA62" s="371">
        <v>243.89827342537859</v>
      </c>
      <c r="AB62" s="22">
        <v>0.10738920325471892</v>
      </c>
      <c r="AC62" s="24">
        <v>0</v>
      </c>
      <c r="AD62" s="384">
        <v>0</v>
      </c>
    </row>
    <row r="63" spans="1:30">
      <c r="A63" s="21" t="s">
        <v>357</v>
      </c>
      <c r="B63" s="21" t="s">
        <v>358</v>
      </c>
      <c r="C63" s="23">
        <v>62.18346527256395</v>
      </c>
      <c r="D63" s="147">
        <v>0</v>
      </c>
      <c r="E63" s="22">
        <v>12.235777173179789</v>
      </c>
      <c r="F63" s="22">
        <v>12.235777173179789</v>
      </c>
      <c r="G63" s="22">
        <v>0</v>
      </c>
      <c r="H63" s="22">
        <v>0</v>
      </c>
      <c r="I63" s="22">
        <v>0</v>
      </c>
      <c r="J63" s="22">
        <v>104.48630408722741</v>
      </c>
      <c r="K63" s="22">
        <v>0</v>
      </c>
      <c r="L63" s="22">
        <v>0</v>
      </c>
      <c r="M63" s="388">
        <v>322.91200447839992</v>
      </c>
      <c r="N63" s="25">
        <v>0.69210000000000005</v>
      </c>
      <c r="O63" s="24">
        <v>228.67666790946652</v>
      </c>
      <c r="P63" s="24">
        <v>0</v>
      </c>
      <c r="Q63" s="24">
        <v>0</v>
      </c>
      <c r="R63" s="22">
        <v>0</v>
      </c>
      <c r="S63" s="24">
        <v>0</v>
      </c>
      <c r="T63" s="24">
        <f t="shared" si="4"/>
        <v>0</v>
      </c>
      <c r="U63" s="376">
        <v>224.11</v>
      </c>
      <c r="V63" s="376">
        <v>16.190000000000001</v>
      </c>
      <c r="W63" s="22">
        <f t="shared" si="5"/>
        <v>155.10653100000002</v>
      </c>
      <c r="X63" s="22">
        <f t="shared" si="6"/>
        <v>46.591611853800998</v>
      </c>
      <c r="Y63" s="22">
        <v>36.265903280796451</v>
      </c>
      <c r="Z63" s="22">
        <v>10.325708573004544</v>
      </c>
      <c r="AA63" s="371">
        <v>323.8142208494225</v>
      </c>
      <c r="AB63" s="22">
        <v>0.1438837730214037</v>
      </c>
      <c r="AC63" s="24">
        <v>8.8837730214036958E-3</v>
      </c>
      <c r="AD63" s="384">
        <v>-26574.982752049444</v>
      </c>
    </row>
    <row r="64" spans="1:30">
      <c r="A64" s="21" t="s">
        <v>239</v>
      </c>
      <c r="B64" s="21" t="s">
        <v>240</v>
      </c>
      <c r="C64" s="23">
        <v>25.6</v>
      </c>
      <c r="D64" s="147">
        <v>0</v>
      </c>
      <c r="E64" s="22">
        <v>0</v>
      </c>
      <c r="F64" s="22">
        <v>0</v>
      </c>
      <c r="G64" s="22">
        <v>0</v>
      </c>
      <c r="H64" s="22">
        <v>0</v>
      </c>
      <c r="I64" s="22">
        <v>0</v>
      </c>
      <c r="J64" s="22">
        <v>0</v>
      </c>
      <c r="K64" s="22">
        <v>0</v>
      </c>
      <c r="L64" s="22">
        <v>0</v>
      </c>
      <c r="M64" s="388">
        <v>41.400000000000006</v>
      </c>
      <c r="N64" s="25">
        <v>0</v>
      </c>
      <c r="O64" s="24">
        <v>0</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150.79741473448428</v>
      </c>
      <c r="D65" s="147">
        <v>0</v>
      </c>
      <c r="E65" s="22">
        <v>24.381142199759729</v>
      </c>
      <c r="F65" s="22">
        <v>24.381142199759729</v>
      </c>
      <c r="G65" s="22">
        <v>0</v>
      </c>
      <c r="H65" s="22">
        <v>1.5068691099975111</v>
      </c>
      <c r="I65" s="22">
        <v>0</v>
      </c>
      <c r="J65" s="22">
        <v>4.9023475045252365</v>
      </c>
      <c r="K65" s="22">
        <v>0</v>
      </c>
      <c r="L65" s="22">
        <v>0</v>
      </c>
      <c r="M65" s="388">
        <v>405.23728685459736</v>
      </c>
      <c r="N65" s="25">
        <v>0.47520000000000001</v>
      </c>
      <c r="O65" s="24">
        <v>286.09768143739421</v>
      </c>
      <c r="P65" s="24">
        <v>5.0369310112217294</v>
      </c>
      <c r="Q65" s="24">
        <v>4.0295448089773833</v>
      </c>
      <c r="R65" s="22">
        <v>1.0073862022443458</v>
      </c>
      <c r="S65" s="24">
        <v>0</v>
      </c>
      <c r="T65" s="24">
        <f t="shared" si="4"/>
        <v>5.0369310112217294</v>
      </c>
      <c r="U65" s="376">
        <v>193.11</v>
      </c>
      <c r="V65" s="376">
        <v>20.32</v>
      </c>
      <c r="W65" s="22">
        <f t="shared" si="5"/>
        <v>91.765872000000002</v>
      </c>
      <c r="X65" s="22">
        <f t="shared" si="6"/>
        <v>73.791039314398333</v>
      </c>
      <c r="Y65" s="22">
        <v>67.243028999810079</v>
      </c>
      <c r="Z65" s="22">
        <v>6.5480103145882476</v>
      </c>
      <c r="AA65" s="371">
        <v>410.3587694842343</v>
      </c>
      <c r="AB65" s="22">
        <v>0.17982079292991285</v>
      </c>
      <c r="AC65" s="24">
        <v>4.4820792929912839E-2</v>
      </c>
      <c r="AD65" s="384">
        <v>-192531.08762276982</v>
      </c>
    </row>
    <row r="66" spans="1:30">
      <c r="A66" s="21" t="s">
        <v>311</v>
      </c>
      <c r="B66" s="21" t="s">
        <v>312</v>
      </c>
      <c r="C66" s="23">
        <v>189.6645919783534</v>
      </c>
      <c r="D66" s="147">
        <v>23.939127260827124</v>
      </c>
      <c r="E66" s="22">
        <v>61.892137244631101</v>
      </c>
      <c r="F66" s="22">
        <v>85.831264505458222</v>
      </c>
      <c r="G66" s="22">
        <v>1.7379223735304627</v>
      </c>
      <c r="H66" s="22">
        <v>6.790956789055449</v>
      </c>
      <c r="I66" s="22">
        <v>0.50228970333250367</v>
      </c>
      <c r="J66" s="22">
        <v>14.827592042375509</v>
      </c>
      <c r="K66" s="22">
        <v>0</v>
      </c>
      <c r="L66" s="22">
        <v>0</v>
      </c>
      <c r="M66" s="388">
        <v>573.60479541165262</v>
      </c>
      <c r="N66" s="25">
        <v>0.55049999999999999</v>
      </c>
      <c r="O66" s="24">
        <v>251.84655056108645</v>
      </c>
      <c r="P66" s="24">
        <v>0</v>
      </c>
      <c r="Q66" s="24">
        <v>0</v>
      </c>
      <c r="R66" s="22">
        <v>0</v>
      </c>
      <c r="S66" s="24">
        <v>0</v>
      </c>
      <c r="T66" s="24">
        <f t="shared" si="4"/>
        <v>0</v>
      </c>
      <c r="U66" s="376">
        <v>316.64999999999998</v>
      </c>
      <c r="V66" s="376">
        <v>0</v>
      </c>
      <c r="W66" s="22">
        <f t="shared" si="5"/>
        <v>174.31582499999999</v>
      </c>
      <c r="X66" s="22">
        <f t="shared" si="6"/>
        <v>72.028113460470735</v>
      </c>
      <c r="Y66" s="22">
        <v>51.880389415583814</v>
      </c>
      <c r="Z66" s="22">
        <v>20.147724044886917</v>
      </c>
      <c r="AA66" s="371">
        <v>575.19737375747661</v>
      </c>
      <c r="AB66" s="22">
        <v>0.12522330029072823</v>
      </c>
      <c r="AC66" s="24">
        <v>0</v>
      </c>
      <c r="AD66" s="384">
        <v>0</v>
      </c>
    </row>
    <row r="67" spans="1:30">
      <c r="A67" s="21" t="s">
        <v>73</v>
      </c>
      <c r="B67" s="21" t="s">
        <v>74</v>
      </c>
      <c r="C67" s="23">
        <v>121.35319232513288</v>
      </c>
      <c r="D67" s="147">
        <v>13.280539756111398</v>
      </c>
      <c r="E67" s="22">
        <v>33.01047930301214</v>
      </c>
      <c r="F67" s="22">
        <v>46.291019059123542</v>
      </c>
      <c r="G67" s="22">
        <v>0</v>
      </c>
      <c r="H67" s="22">
        <v>5.6457362654573418</v>
      </c>
      <c r="I67" s="22">
        <v>0.43196914486595317</v>
      </c>
      <c r="J67" s="22">
        <v>0</v>
      </c>
      <c r="K67" s="22">
        <v>1.9388382548634642</v>
      </c>
      <c r="L67" s="22">
        <v>7.0320558466550526E-2</v>
      </c>
      <c r="M67" s="388">
        <v>357.88141362440888</v>
      </c>
      <c r="N67" s="25">
        <v>0.53320000000000001</v>
      </c>
      <c r="O67" s="24">
        <v>365.68119141469754</v>
      </c>
      <c r="P67" s="24">
        <v>1.7629258539276051</v>
      </c>
      <c r="Q67" s="24">
        <v>1.7629258539276051</v>
      </c>
      <c r="R67" s="22">
        <v>0</v>
      </c>
      <c r="S67" s="24">
        <v>1.0045794066650073</v>
      </c>
      <c r="T67" s="24">
        <f t="shared" si="4"/>
        <v>2.7675052605926123</v>
      </c>
      <c r="U67" s="376">
        <v>191.36</v>
      </c>
      <c r="V67" s="376">
        <v>17.940000000000001</v>
      </c>
      <c r="W67" s="22">
        <f t="shared" si="5"/>
        <v>102.03315200000002</v>
      </c>
      <c r="X67" s="22">
        <f t="shared" si="6"/>
        <v>47.850844606606429</v>
      </c>
      <c r="Y67" s="22">
        <v>35.762210179674277</v>
      </c>
      <c r="Z67" s="22">
        <v>12.088634426932149</v>
      </c>
      <c r="AA67" s="371">
        <v>359.52606171898458</v>
      </c>
      <c r="AB67" s="22">
        <v>0.13309423071534648</v>
      </c>
      <c r="AC67" s="24">
        <v>0</v>
      </c>
      <c r="AD67" s="384">
        <v>0</v>
      </c>
    </row>
    <row r="68" spans="1:30">
      <c r="A68" s="21" t="s">
        <v>475</v>
      </c>
      <c r="B68" s="21" t="s">
        <v>476</v>
      </c>
      <c r="C68" s="23">
        <v>569.2348749926598</v>
      </c>
      <c r="D68" s="147">
        <v>0</v>
      </c>
      <c r="E68" s="22">
        <v>111.54849731608242</v>
      </c>
      <c r="F68" s="22">
        <v>111.54849731608242</v>
      </c>
      <c r="G68" s="22">
        <v>0</v>
      </c>
      <c r="H68" s="22">
        <v>78.296918955470673</v>
      </c>
      <c r="I68" s="22">
        <v>6.5599035255224978</v>
      </c>
      <c r="J68" s="22">
        <v>564.32248169406785</v>
      </c>
      <c r="K68" s="22">
        <v>4.6210652706590336</v>
      </c>
      <c r="L68" s="22">
        <v>0</v>
      </c>
      <c r="M68" s="388">
        <v>2526.2158339404941</v>
      </c>
      <c r="N68" s="25">
        <v>0.48470000000000002</v>
      </c>
      <c r="O68" s="24">
        <v>1340.8310351872242</v>
      </c>
      <c r="P68" s="24">
        <v>24.429115404425389</v>
      </c>
      <c r="Q68" s="24">
        <v>16.873718887592794</v>
      </c>
      <c r="R68" s="22">
        <v>7.5553965168325936</v>
      </c>
      <c r="S68" s="24">
        <v>4.2694624783262816</v>
      </c>
      <c r="T68" s="24">
        <f t="shared" si="4"/>
        <v>28.698577882751671</v>
      </c>
      <c r="U68" s="376">
        <v>1227.8800000000001</v>
      </c>
      <c r="V68" s="376">
        <v>126.66</v>
      </c>
      <c r="W68" s="22">
        <f t="shared" si="5"/>
        <v>595.15343600000006</v>
      </c>
      <c r="X68" s="22">
        <f t="shared" si="6"/>
        <v>287.10506763963861</v>
      </c>
      <c r="Y68" s="22">
        <v>182.08505605566552</v>
      </c>
      <c r="Z68" s="22">
        <v>105.02001158397306</v>
      </c>
      <c r="AA68" s="371">
        <v>2546.5615067914591</v>
      </c>
      <c r="AB68" s="22">
        <v>0.11274224748703467</v>
      </c>
      <c r="AC68" s="24">
        <v>0</v>
      </c>
      <c r="AD68" s="384">
        <v>0</v>
      </c>
    </row>
    <row r="69" spans="1:30">
      <c r="A69" s="21" t="s">
        <v>373</v>
      </c>
      <c r="B69" s="21" t="s">
        <v>374</v>
      </c>
      <c r="C69" s="23">
        <v>550.46933167615748</v>
      </c>
      <c r="D69" s="147">
        <v>29.856099966084017</v>
      </c>
      <c r="E69" s="22">
        <v>0</v>
      </c>
      <c r="F69" s="22">
        <v>29.856099966084017</v>
      </c>
      <c r="G69" s="22">
        <v>0</v>
      </c>
      <c r="H69" s="22">
        <v>0</v>
      </c>
      <c r="I69" s="22">
        <v>0</v>
      </c>
      <c r="J69" s="22">
        <v>0</v>
      </c>
      <c r="K69" s="22">
        <v>0</v>
      </c>
      <c r="L69" s="22">
        <v>0</v>
      </c>
      <c r="M69" s="388">
        <v>1371.8134545654675</v>
      </c>
      <c r="N69" s="25">
        <v>0.1739</v>
      </c>
      <c r="O69" s="24">
        <v>0</v>
      </c>
      <c r="P69" s="24">
        <v>56.917320426805539</v>
      </c>
      <c r="Q69" s="24">
        <v>49.110077359411861</v>
      </c>
      <c r="R69" s="22">
        <v>7.8072430673936806</v>
      </c>
      <c r="S69" s="24">
        <v>37.922872601604027</v>
      </c>
      <c r="T69" s="24">
        <f t="shared" si="4"/>
        <v>94.840193028409573</v>
      </c>
      <c r="U69" s="376">
        <v>239.22</v>
      </c>
      <c r="V69" s="376">
        <v>68.78</v>
      </c>
      <c r="W69" s="22">
        <f t="shared" si="5"/>
        <v>41.600358</v>
      </c>
      <c r="X69" s="22">
        <f t="shared" si="6"/>
        <v>156.3967078984347</v>
      </c>
      <c r="Y69" s="22">
        <v>83.109361685158532</v>
      </c>
      <c r="Z69" s="22">
        <v>73.287346213276166</v>
      </c>
      <c r="AA69" s="371">
        <v>1377.1573816401553</v>
      </c>
      <c r="AB69" s="22">
        <v>0.11356487645019239</v>
      </c>
      <c r="AC69" s="24">
        <v>0</v>
      </c>
      <c r="AD69" s="384">
        <v>0</v>
      </c>
    </row>
    <row r="70" spans="1:30">
      <c r="A70" s="21" t="s">
        <v>525</v>
      </c>
      <c r="B70" s="21" t="s">
        <v>526</v>
      </c>
      <c r="C70" s="23">
        <v>12.6</v>
      </c>
      <c r="D70" s="147">
        <v>0</v>
      </c>
      <c r="E70" s="22">
        <v>0</v>
      </c>
      <c r="F70" s="22">
        <v>0</v>
      </c>
      <c r="G70" s="22">
        <v>0</v>
      </c>
      <c r="H70" s="22">
        <v>0</v>
      </c>
      <c r="I70" s="22">
        <v>0</v>
      </c>
      <c r="J70" s="22">
        <v>0</v>
      </c>
      <c r="K70" s="22">
        <v>0</v>
      </c>
      <c r="L70" s="22">
        <v>0</v>
      </c>
      <c r="M70" s="388">
        <v>17.600000000000001</v>
      </c>
      <c r="N70" s="25">
        <v>1</v>
      </c>
      <c r="O70" s="24">
        <v>14</v>
      </c>
      <c r="P70" s="24">
        <v>0</v>
      </c>
      <c r="Q70" s="24">
        <v>0</v>
      </c>
      <c r="R70" s="22">
        <v>0</v>
      </c>
      <c r="S70" s="24">
        <v>0</v>
      </c>
      <c r="T70" s="24">
        <f t="shared" si="4"/>
        <v>0</v>
      </c>
      <c r="U70" s="376">
        <v>17.600000000000001</v>
      </c>
      <c r="V70" s="376">
        <v>0</v>
      </c>
      <c r="W70" s="22">
        <f t="shared" si="5"/>
        <v>17.600000000000001</v>
      </c>
      <c r="X70" s="22">
        <f t="shared" si="6"/>
        <v>2</v>
      </c>
      <c r="Y70" s="22">
        <v>2</v>
      </c>
      <c r="Z70" s="22">
        <v>0</v>
      </c>
      <c r="AA70" s="371">
        <v>17.600000000000001</v>
      </c>
      <c r="AB70" s="22">
        <v>0.11363636363636363</v>
      </c>
      <c r="AC70" s="24">
        <v>0</v>
      </c>
      <c r="AD70" s="384">
        <v>0</v>
      </c>
    </row>
    <row r="71" spans="1:30">
      <c r="A71" s="21" t="s">
        <v>469</v>
      </c>
      <c r="B71" s="21" t="s">
        <v>470</v>
      </c>
      <c r="C71" s="23">
        <v>980.48959249318045</v>
      </c>
      <c r="D71" s="147">
        <v>30.730084049882574</v>
      </c>
      <c r="E71" s="22">
        <v>213.10142953584801</v>
      </c>
      <c r="F71" s="22">
        <v>243.83151358573059</v>
      </c>
      <c r="G71" s="22">
        <v>0</v>
      </c>
      <c r="H71" s="22">
        <v>80.828459060266482</v>
      </c>
      <c r="I71" s="22">
        <v>6.4393539967226969</v>
      </c>
      <c r="J71" s="22">
        <v>291.02665411085263</v>
      </c>
      <c r="K71" s="22">
        <v>2.8128223386620204</v>
      </c>
      <c r="L71" s="22">
        <v>0</v>
      </c>
      <c r="M71" s="388">
        <v>3518.7804709017878</v>
      </c>
      <c r="N71" s="25">
        <v>0.54749999999999999</v>
      </c>
      <c r="O71" s="24">
        <v>1908.9968532530354</v>
      </c>
      <c r="P71" s="24">
        <v>91.420297853674384</v>
      </c>
      <c r="Q71" s="24">
        <v>63.465330741393785</v>
      </c>
      <c r="R71" s="22">
        <v>27.954967112280595</v>
      </c>
      <c r="S71" s="24">
        <v>32.146541013280235</v>
      </c>
      <c r="T71" s="24">
        <f t="shared" si="4"/>
        <v>123.56683886695461</v>
      </c>
      <c r="U71" s="376">
        <v>1934.03</v>
      </c>
      <c r="V71" s="376">
        <v>176.43</v>
      </c>
      <c r="W71" s="22">
        <f t="shared" si="5"/>
        <v>1058.881425</v>
      </c>
      <c r="X71" s="22">
        <f t="shared" si="6"/>
        <v>539.95900440296941</v>
      </c>
      <c r="Y71" s="22">
        <v>305.48986583059786</v>
      </c>
      <c r="Z71" s="22">
        <v>234.46913857237149</v>
      </c>
      <c r="AA71" s="371">
        <v>3624.9281408459419</v>
      </c>
      <c r="AB71" s="22">
        <v>0.14895716092097769</v>
      </c>
      <c r="AC71" s="24">
        <v>1.3957160920977679E-2</v>
      </c>
      <c r="AD71" s="384">
        <v>-483417.48227159458</v>
      </c>
    </row>
    <row r="72" spans="1:30">
      <c r="A72" s="21" t="s">
        <v>587</v>
      </c>
      <c r="B72" s="21" t="s">
        <v>588</v>
      </c>
      <c r="C72" s="23">
        <v>988.09425860163458</v>
      </c>
      <c r="D72" s="147">
        <v>25.014027225958682</v>
      </c>
      <c r="E72" s="22">
        <v>182.41152866223206</v>
      </c>
      <c r="F72" s="22">
        <v>207.42555588819073</v>
      </c>
      <c r="G72" s="22">
        <v>0</v>
      </c>
      <c r="H72" s="22">
        <v>49.877367540917611</v>
      </c>
      <c r="I72" s="22">
        <v>3.2950204538612238</v>
      </c>
      <c r="J72" s="22">
        <v>3.2146541013280236</v>
      </c>
      <c r="K72" s="22">
        <v>14.265027574643103</v>
      </c>
      <c r="L72" s="22">
        <v>0</v>
      </c>
      <c r="M72" s="388">
        <v>3273.9845610856587</v>
      </c>
      <c r="N72" s="25">
        <v>0.58460000000000001</v>
      </c>
      <c r="O72" s="24">
        <v>3276.0199296986125</v>
      </c>
      <c r="P72" s="24">
        <v>346.28900702149389</v>
      </c>
      <c r="Q72" s="24">
        <v>250.83916435884211</v>
      </c>
      <c r="R72" s="22">
        <v>95.449842662651761</v>
      </c>
      <c r="S72" s="24">
        <v>80.868642236533091</v>
      </c>
      <c r="T72" s="24">
        <f t="shared" si="4"/>
        <v>427.15764925802699</v>
      </c>
      <c r="U72" s="376">
        <v>1919.32</v>
      </c>
      <c r="V72" s="376">
        <v>164.16</v>
      </c>
      <c r="W72" s="22">
        <f t="shared" si="5"/>
        <v>1122.0344720000001</v>
      </c>
      <c r="X72" s="22">
        <f t="shared" si="6"/>
        <v>382.80675685285144</v>
      </c>
      <c r="Y72" s="22">
        <v>207.77340421289634</v>
      </c>
      <c r="Z72" s="22">
        <v>175.0333526399551</v>
      </c>
      <c r="AA72" s="371">
        <v>3335.5060849411416</v>
      </c>
      <c r="AB72" s="22">
        <v>0.11476721885806616</v>
      </c>
      <c r="AC72" s="24">
        <v>0</v>
      </c>
      <c r="AD72" s="384">
        <v>0</v>
      </c>
    </row>
    <row r="73" spans="1:30">
      <c r="A73" s="21" t="s">
        <v>95</v>
      </c>
      <c r="B73" s="21" t="s">
        <v>96</v>
      </c>
      <c r="C73" s="23">
        <v>1577.6517749911275</v>
      </c>
      <c r="D73" s="147">
        <v>132.02182562391525</v>
      </c>
      <c r="E73" s="22">
        <v>346.44929997656106</v>
      </c>
      <c r="F73" s="22">
        <v>478.47112560047628</v>
      </c>
      <c r="G73" s="22">
        <v>0</v>
      </c>
      <c r="H73" s="22">
        <v>129.28936963778642</v>
      </c>
      <c r="I73" s="22">
        <v>6.2283923213230459</v>
      </c>
      <c r="J73" s="22">
        <v>206.91322039079157</v>
      </c>
      <c r="K73" s="22">
        <v>0</v>
      </c>
      <c r="L73" s="22">
        <v>0</v>
      </c>
      <c r="M73" s="388">
        <v>5849.4549233349371</v>
      </c>
      <c r="N73" s="25">
        <v>0.58520000000000005</v>
      </c>
      <c r="O73" s="24">
        <v>5382.4644785915398</v>
      </c>
      <c r="P73" s="24">
        <v>1048.1853434352417</v>
      </c>
      <c r="Q73" s="24">
        <v>685.52631062727733</v>
      </c>
      <c r="R73" s="22">
        <v>362.65903280796448</v>
      </c>
      <c r="S73" s="24">
        <v>244.86623037459555</v>
      </c>
      <c r="T73" s="24">
        <f t="shared" ref="T73:T136" si="7">S73+P73</f>
        <v>1293.0515738098372</v>
      </c>
      <c r="U73" s="376">
        <v>3432.67</v>
      </c>
      <c r="V73" s="376">
        <v>293.29000000000002</v>
      </c>
      <c r="W73" s="22">
        <f t="shared" ref="W73:W136" si="8">U73*N73</f>
        <v>2008.7984840000001</v>
      </c>
      <c r="X73" s="22">
        <f t="shared" ref="X73:X136" si="9">Y73+Z73</f>
        <v>663.11196762734062</v>
      </c>
      <c r="Y73" s="22">
        <v>464.15319268408234</v>
      </c>
      <c r="Z73" s="22">
        <v>198.95877494325831</v>
      </c>
      <c r="AA73" s="371">
        <v>5901.5806624700745</v>
      </c>
      <c r="AB73" s="22">
        <v>0.11236175620614135</v>
      </c>
      <c r="AC73" s="24">
        <v>0</v>
      </c>
      <c r="AD73" s="384">
        <v>0</v>
      </c>
    </row>
    <row r="74" spans="1:30">
      <c r="A74" s="21" t="s">
        <v>241</v>
      </c>
      <c r="B74" s="21" t="s">
        <v>242</v>
      </c>
      <c r="C74" s="23">
        <v>17.96</v>
      </c>
      <c r="D74" s="147">
        <v>0</v>
      </c>
      <c r="E74" s="22">
        <v>0</v>
      </c>
      <c r="F74" s="22">
        <v>0</v>
      </c>
      <c r="G74" s="22">
        <v>0</v>
      </c>
      <c r="H74" s="22">
        <v>2.82</v>
      </c>
      <c r="I74" s="22">
        <v>0</v>
      </c>
      <c r="J74" s="22">
        <v>0</v>
      </c>
      <c r="K74" s="22">
        <v>0</v>
      </c>
      <c r="L74" s="22">
        <v>0</v>
      </c>
      <c r="M74" s="388">
        <v>83.259999999999991</v>
      </c>
      <c r="N74" s="25">
        <v>0.74419999999999997</v>
      </c>
      <c r="O74" s="24">
        <v>86</v>
      </c>
      <c r="P74" s="24">
        <v>6</v>
      </c>
      <c r="Q74" s="24">
        <v>1</v>
      </c>
      <c r="R74" s="22">
        <v>5</v>
      </c>
      <c r="S74" s="24">
        <v>5</v>
      </c>
      <c r="T74" s="24">
        <f t="shared" si="7"/>
        <v>11</v>
      </c>
      <c r="U74" s="376">
        <v>61.96</v>
      </c>
      <c r="V74" s="376">
        <v>0</v>
      </c>
      <c r="W74" s="22">
        <f t="shared" si="8"/>
        <v>46.110631999999995</v>
      </c>
      <c r="X74" s="22">
        <f t="shared" si="9"/>
        <v>7.75</v>
      </c>
      <c r="Y74" s="22">
        <v>5.75</v>
      </c>
      <c r="Z74" s="22">
        <v>2</v>
      </c>
      <c r="AA74" s="371">
        <v>83.26</v>
      </c>
      <c r="AB74" s="22">
        <v>9.3081912082632709E-2</v>
      </c>
      <c r="AC74" s="24">
        <v>0</v>
      </c>
      <c r="AD74" s="384">
        <v>0</v>
      </c>
    </row>
    <row r="75" spans="1:30">
      <c r="A75" s="21" t="s">
        <v>385</v>
      </c>
      <c r="B75" s="21" t="s">
        <v>386</v>
      </c>
      <c r="C75" s="23">
        <v>574.82033649371726</v>
      </c>
      <c r="D75" s="147">
        <v>25.355584224224785</v>
      </c>
      <c r="E75" s="22">
        <v>132.45379476878122</v>
      </c>
      <c r="F75" s="22">
        <v>157.80937899300602</v>
      </c>
      <c r="G75" s="22">
        <v>0</v>
      </c>
      <c r="H75" s="22">
        <v>38.616032392202882</v>
      </c>
      <c r="I75" s="22">
        <v>2.3908989878627174</v>
      </c>
      <c r="J75" s="22">
        <v>64.895829670559479</v>
      </c>
      <c r="K75" s="22">
        <v>24.511737522626177</v>
      </c>
      <c r="L75" s="22">
        <v>0</v>
      </c>
      <c r="M75" s="388">
        <v>1916.0543939203021</v>
      </c>
      <c r="N75" s="25">
        <v>0.41880000000000001</v>
      </c>
      <c r="O75" s="24">
        <v>201.47724044886917</v>
      </c>
      <c r="P75" s="24">
        <v>15.362639584226274</v>
      </c>
      <c r="Q75" s="24">
        <v>6.2961637640271615</v>
      </c>
      <c r="R75" s="22">
        <v>9.0664758201991127</v>
      </c>
      <c r="S75" s="24">
        <v>1.0045794066650073</v>
      </c>
      <c r="T75" s="24">
        <f t="shared" si="7"/>
        <v>16.367218990891281</v>
      </c>
      <c r="U75" s="376">
        <v>804.69</v>
      </c>
      <c r="V75" s="376">
        <v>96.07</v>
      </c>
      <c r="W75" s="22">
        <f t="shared" si="8"/>
        <v>337.00417200000004</v>
      </c>
      <c r="X75" s="22">
        <f t="shared" si="9"/>
        <v>212.55848867355698</v>
      </c>
      <c r="Y75" s="22">
        <v>132.97497869625366</v>
      </c>
      <c r="Z75" s="22">
        <v>79.583509977303322</v>
      </c>
      <c r="AA75" s="371">
        <v>1951.9316531926893</v>
      </c>
      <c r="AB75" s="22">
        <v>0.10889648125019355</v>
      </c>
      <c r="AC75" s="24">
        <v>0</v>
      </c>
      <c r="AD75" s="384">
        <v>0</v>
      </c>
    </row>
    <row r="76" spans="1:30">
      <c r="A76" s="21" t="s">
        <v>429</v>
      </c>
      <c r="B76" s="21" t="s">
        <v>430</v>
      </c>
      <c r="C76" s="23">
        <v>5954.4937460958317</v>
      </c>
      <c r="D76" s="147">
        <v>114.11017480307818</v>
      </c>
      <c r="E76" s="22">
        <v>930.10993524893036</v>
      </c>
      <c r="F76" s="22">
        <v>1044.2201100520085</v>
      </c>
      <c r="G76" s="22">
        <v>0</v>
      </c>
      <c r="H76" s="22">
        <v>360.20199205380504</v>
      </c>
      <c r="I76" s="22">
        <v>41.529312671531407</v>
      </c>
      <c r="J76" s="22">
        <v>888.18883660879965</v>
      </c>
      <c r="K76" s="22">
        <v>116.24992893927465</v>
      </c>
      <c r="L76" s="22">
        <v>0</v>
      </c>
      <c r="M76" s="388">
        <v>20152.003538816978</v>
      </c>
      <c r="N76" s="25">
        <v>0.36670000000000003</v>
      </c>
      <c r="O76" s="24">
        <v>2244.4564586004026</v>
      </c>
      <c r="P76" s="24">
        <v>3322.3596950018527</v>
      </c>
      <c r="Q76" s="24">
        <v>2142.9622987242847</v>
      </c>
      <c r="R76" s="22">
        <v>1179.3973962775679</v>
      </c>
      <c r="S76" s="24">
        <v>490.48589530418985</v>
      </c>
      <c r="T76" s="24">
        <f t="shared" si="7"/>
        <v>3812.8455903060426</v>
      </c>
      <c r="U76" s="376">
        <v>7410.39</v>
      </c>
      <c r="V76" s="376">
        <v>1010.42</v>
      </c>
      <c r="W76" s="22">
        <f t="shared" si="8"/>
        <v>2717.3900130000002</v>
      </c>
      <c r="X76" s="22">
        <f t="shared" si="9"/>
        <v>2746.8903269697703</v>
      </c>
      <c r="Y76" s="22">
        <v>1437.5401106026816</v>
      </c>
      <c r="Z76" s="22">
        <v>1309.3502163670885</v>
      </c>
      <c r="AA76" s="371">
        <v>20230.772963399941</v>
      </c>
      <c r="AB76" s="22">
        <v>0.13577782381025413</v>
      </c>
      <c r="AC76" s="24">
        <v>7.7782381025412461E-4</v>
      </c>
      <c r="AD76" s="384">
        <v>-166917.42574030286</v>
      </c>
    </row>
    <row r="77" spans="1:30">
      <c r="A77" s="21" t="s">
        <v>245</v>
      </c>
      <c r="B77" s="21" t="s">
        <v>246</v>
      </c>
      <c r="C77" s="23">
        <v>927.26697552806831</v>
      </c>
      <c r="D77" s="147">
        <v>27.585750507021103</v>
      </c>
      <c r="E77" s="22">
        <v>200.37340845340236</v>
      </c>
      <c r="F77" s="22">
        <v>227.95915896042345</v>
      </c>
      <c r="G77" s="22">
        <v>0</v>
      </c>
      <c r="H77" s="22">
        <v>92.230435325914328</v>
      </c>
      <c r="I77" s="22">
        <v>0.54247287959910395</v>
      </c>
      <c r="J77" s="22">
        <v>90.191139130384357</v>
      </c>
      <c r="K77" s="22">
        <v>2.2100746946630165</v>
      </c>
      <c r="L77" s="22">
        <v>0</v>
      </c>
      <c r="M77" s="388">
        <v>3247.3330694268361</v>
      </c>
      <c r="N77" s="25">
        <v>0.40739999999999998</v>
      </c>
      <c r="O77" s="24">
        <v>536.9368457962363</v>
      </c>
      <c r="P77" s="24">
        <v>220.11388519038957</v>
      </c>
      <c r="Q77" s="24">
        <v>149.09315793216319</v>
      </c>
      <c r="R77" s="22">
        <v>71.020727258226387</v>
      </c>
      <c r="S77" s="24">
        <v>38.174017453270281</v>
      </c>
      <c r="T77" s="24">
        <f t="shared" si="7"/>
        <v>258.28790264365983</v>
      </c>
      <c r="U77" s="376">
        <v>1326.99</v>
      </c>
      <c r="V77" s="376">
        <v>162.82</v>
      </c>
      <c r="W77" s="22">
        <f t="shared" si="8"/>
        <v>540.615726</v>
      </c>
      <c r="X77" s="22">
        <f t="shared" si="9"/>
        <v>387.08814821238991</v>
      </c>
      <c r="Y77" s="22">
        <v>253.60947641501406</v>
      </c>
      <c r="Z77" s="22">
        <v>133.47867179737582</v>
      </c>
      <c r="AA77" s="371">
        <v>3257.9977905404612</v>
      </c>
      <c r="AB77" s="22">
        <v>0.11881166688826293</v>
      </c>
      <c r="AC77" s="24">
        <v>0</v>
      </c>
      <c r="AD77" s="384">
        <v>0</v>
      </c>
    </row>
    <row r="78" spans="1:30">
      <c r="A78" s="21" t="s">
        <v>151</v>
      </c>
      <c r="B78" s="21" t="s">
        <v>152</v>
      </c>
      <c r="C78" s="23">
        <v>421.79275547643664</v>
      </c>
      <c r="D78" s="147">
        <v>70.240192114017319</v>
      </c>
      <c r="E78" s="22">
        <v>192.73860496274833</v>
      </c>
      <c r="F78" s="22">
        <v>262.97879707676566</v>
      </c>
      <c r="G78" s="22">
        <v>0</v>
      </c>
      <c r="H78" s="22">
        <v>33.854326004610748</v>
      </c>
      <c r="I78" s="22">
        <v>1.0246709947983075</v>
      </c>
      <c r="J78" s="22">
        <v>69.677627646284904</v>
      </c>
      <c r="K78" s="22">
        <v>38.57584921593628</v>
      </c>
      <c r="L78" s="22">
        <v>0</v>
      </c>
      <c r="M78" s="388">
        <v>1566.4708061949461</v>
      </c>
      <c r="N78" s="25">
        <v>0.77259999999999995</v>
      </c>
      <c r="O78" s="24">
        <v>1572.5298617034239</v>
      </c>
      <c r="P78" s="24">
        <v>122.39742357268801</v>
      </c>
      <c r="Q78" s="24">
        <v>81.850128932353101</v>
      </c>
      <c r="R78" s="22">
        <v>40.547294640334918</v>
      </c>
      <c r="S78" s="24">
        <v>19.08700872663514</v>
      </c>
      <c r="T78" s="24">
        <f t="shared" si="7"/>
        <v>141.48443229932315</v>
      </c>
      <c r="U78" s="376">
        <v>1212.8499999999999</v>
      </c>
      <c r="V78" s="376">
        <v>78.540000000000006</v>
      </c>
      <c r="W78" s="22">
        <f t="shared" si="8"/>
        <v>937.04790999999989</v>
      </c>
      <c r="X78" s="22">
        <f t="shared" si="9"/>
        <v>270.23134875204573</v>
      </c>
      <c r="Y78" s="22">
        <v>116.85679946034412</v>
      </c>
      <c r="Z78" s="22">
        <v>153.37454929170164</v>
      </c>
      <c r="AA78" s="371">
        <v>1579.0778720180122</v>
      </c>
      <c r="AB78" s="22">
        <v>0.17113237639553425</v>
      </c>
      <c r="AC78" s="24">
        <v>3.6132376395534238E-2</v>
      </c>
      <c r="AD78" s="384">
        <v>-543308.87965020165</v>
      </c>
    </row>
    <row r="79" spans="1:30">
      <c r="A79" s="21" t="s">
        <v>573</v>
      </c>
      <c r="B79" s="21" t="s">
        <v>574</v>
      </c>
      <c r="C79" s="23">
        <v>21</v>
      </c>
      <c r="D79" s="147">
        <v>0</v>
      </c>
      <c r="E79" s="22">
        <v>0</v>
      </c>
      <c r="F79" s="22">
        <v>0</v>
      </c>
      <c r="G79" s="22">
        <v>0</v>
      </c>
      <c r="H79" s="22">
        <v>1.36</v>
      </c>
      <c r="I79" s="22">
        <v>0</v>
      </c>
      <c r="J79" s="22">
        <v>0</v>
      </c>
      <c r="K79" s="22">
        <v>0</v>
      </c>
      <c r="L79" s="22">
        <v>0</v>
      </c>
      <c r="M79" s="388">
        <v>74.679999999999993</v>
      </c>
      <c r="N79" s="25">
        <v>0.59379999999999999</v>
      </c>
      <c r="O79" s="24">
        <v>80</v>
      </c>
      <c r="P79" s="24">
        <v>0</v>
      </c>
      <c r="Q79" s="24">
        <v>0</v>
      </c>
      <c r="R79" s="22">
        <v>0</v>
      </c>
      <c r="S79" s="24">
        <v>0</v>
      </c>
      <c r="T79" s="24">
        <f t="shared" si="7"/>
        <v>0</v>
      </c>
      <c r="U79" s="376">
        <v>44.34</v>
      </c>
      <c r="V79" s="376">
        <v>3.73</v>
      </c>
      <c r="W79" s="22">
        <f t="shared" si="8"/>
        <v>26.329092000000003</v>
      </c>
      <c r="X79" s="22">
        <f t="shared" si="9"/>
        <v>9.25</v>
      </c>
      <c r="Y79" s="22">
        <v>5.25</v>
      </c>
      <c r="Z79" s="22">
        <v>4</v>
      </c>
      <c r="AA79" s="371">
        <v>74.67</v>
      </c>
      <c r="AB79" s="22">
        <v>0.12387839828579081</v>
      </c>
      <c r="AC79" s="24">
        <v>0</v>
      </c>
      <c r="AD79" s="384">
        <v>0</v>
      </c>
    </row>
    <row r="80" spans="1:30">
      <c r="A80" s="21" t="s">
        <v>33</v>
      </c>
      <c r="B80" s="21" t="s">
        <v>34</v>
      </c>
      <c r="C80" s="23">
        <v>115.72754764780885</v>
      </c>
      <c r="D80" s="147">
        <v>0</v>
      </c>
      <c r="E80" s="22">
        <v>0</v>
      </c>
      <c r="F80" s="22">
        <v>0</v>
      </c>
      <c r="G80" s="22">
        <v>0</v>
      </c>
      <c r="H80" s="22">
        <v>8.8402987786520661</v>
      </c>
      <c r="I80" s="22">
        <v>0.65297661433225485</v>
      </c>
      <c r="J80" s="22">
        <v>0</v>
      </c>
      <c r="K80" s="22">
        <v>0</v>
      </c>
      <c r="L80" s="22">
        <v>0</v>
      </c>
      <c r="M80" s="388">
        <v>314.42330849208071</v>
      </c>
      <c r="N80" s="25">
        <v>0.64759999999999995</v>
      </c>
      <c r="O80" s="24">
        <v>315.31188130248023</v>
      </c>
      <c r="P80" s="24">
        <v>51.124849763900549</v>
      </c>
      <c r="Q80" s="24">
        <v>29.717892966208201</v>
      </c>
      <c r="R80" s="22">
        <v>21.406956797692349</v>
      </c>
      <c r="S80" s="24">
        <v>6.0274764399900445</v>
      </c>
      <c r="T80" s="24">
        <f t="shared" si="7"/>
        <v>57.152326203890595</v>
      </c>
      <c r="U80" s="376">
        <v>204.19</v>
      </c>
      <c r="V80" s="376">
        <v>15.77</v>
      </c>
      <c r="W80" s="22">
        <f t="shared" si="8"/>
        <v>132.23344399999999</v>
      </c>
      <c r="X80" s="22">
        <f t="shared" si="9"/>
        <v>36.517749831357534</v>
      </c>
      <c r="Y80" s="22">
        <v>31.480818820135806</v>
      </c>
      <c r="Z80" s="22">
        <v>5.0369310112217294</v>
      </c>
      <c r="AA80" s="371">
        <v>319.21046590516585</v>
      </c>
      <c r="AB80" s="22">
        <v>0.11440022722252027</v>
      </c>
      <c r="AC80" s="24">
        <v>0</v>
      </c>
      <c r="AD80" s="384">
        <v>0</v>
      </c>
    </row>
    <row r="81" spans="1:30">
      <c r="A81" s="21" t="s">
        <v>187</v>
      </c>
      <c r="B81" s="21" t="s">
        <v>188</v>
      </c>
      <c r="C81" s="23">
        <v>1207.4743094291389</v>
      </c>
      <c r="D81" s="147">
        <v>24.220409494693325</v>
      </c>
      <c r="E81" s="22">
        <v>420.67767233503844</v>
      </c>
      <c r="F81" s="22">
        <v>444.89808182973178</v>
      </c>
      <c r="G81" s="22">
        <v>0</v>
      </c>
      <c r="H81" s="22">
        <v>89.116239165252793</v>
      </c>
      <c r="I81" s="22">
        <v>5.3343166493911882</v>
      </c>
      <c r="J81" s="22">
        <v>0</v>
      </c>
      <c r="K81" s="22">
        <v>8.2375511346530601</v>
      </c>
      <c r="L81" s="22">
        <v>0</v>
      </c>
      <c r="M81" s="388">
        <v>4104.9525546908199</v>
      </c>
      <c r="N81" s="25">
        <v>0.29820000000000002</v>
      </c>
      <c r="O81" s="24">
        <v>10.073862022443459</v>
      </c>
      <c r="P81" s="24">
        <v>279.54967112280599</v>
      </c>
      <c r="Q81" s="24">
        <v>192.66261117923113</v>
      </c>
      <c r="R81" s="22">
        <v>86.887059943574826</v>
      </c>
      <c r="S81" s="24">
        <v>51.484694591581629</v>
      </c>
      <c r="T81" s="24">
        <f t="shared" si="7"/>
        <v>331.0343657143876</v>
      </c>
      <c r="U81" s="376">
        <v>1227.52</v>
      </c>
      <c r="V81" s="376">
        <v>205.82</v>
      </c>
      <c r="W81" s="22">
        <f t="shared" si="8"/>
        <v>366.04646400000001</v>
      </c>
      <c r="X81" s="22">
        <f t="shared" si="9"/>
        <v>598.8910972342635</v>
      </c>
      <c r="Y81" s="22">
        <v>349.31116562822689</v>
      </c>
      <c r="Z81" s="22">
        <v>249.57993160603667</v>
      </c>
      <c r="AA81" s="371">
        <v>4103.4466607740287</v>
      </c>
      <c r="AB81" s="22">
        <v>0.14594830803071662</v>
      </c>
      <c r="AC81" s="24">
        <v>1.0948308030716614E-2</v>
      </c>
      <c r="AD81" s="384">
        <v>-467046.48856441723</v>
      </c>
    </row>
    <row r="82" spans="1:30">
      <c r="A82" s="21" t="s">
        <v>135</v>
      </c>
      <c r="B82" s="21" t="s">
        <v>136</v>
      </c>
      <c r="C82" s="23">
        <v>728.08901656859734</v>
      </c>
      <c r="D82" s="147">
        <v>41.107389320732103</v>
      </c>
      <c r="E82" s="22">
        <v>205.9588699544598</v>
      </c>
      <c r="F82" s="22">
        <v>247.0662592751919</v>
      </c>
      <c r="G82" s="22">
        <v>0</v>
      </c>
      <c r="H82" s="22">
        <v>45.015203212658982</v>
      </c>
      <c r="I82" s="22">
        <v>3.6566690402606268</v>
      </c>
      <c r="J82" s="22">
        <v>5.0028054451917372</v>
      </c>
      <c r="K82" s="22">
        <v>12.456784642646092</v>
      </c>
      <c r="L82" s="22">
        <v>0</v>
      </c>
      <c r="M82" s="388">
        <v>2594.6377373284477</v>
      </c>
      <c r="N82" s="25">
        <v>0.56030000000000002</v>
      </c>
      <c r="O82" s="24">
        <v>1792.1400537926913</v>
      </c>
      <c r="P82" s="24">
        <v>362.15533970684237</v>
      </c>
      <c r="Q82" s="24">
        <v>226.41004895441674</v>
      </c>
      <c r="R82" s="22">
        <v>135.7452907524256</v>
      </c>
      <c r="S82" s="24">
        <v>61.27934380656545</v>
      </c>
      <c r="T82" s="24">
        <f t="shared" si="7"/>
        <v>423.43468351340783</v>
      </c>
      <c r="U82" s="376">
        <v>1457.84</v>
      </c>
      <c r="V82" s="376">
        <v>0</v>
      </c>
      <c r="W82" s="22">
        <f t="shared" si="8"/>
        <v>816.82775200000003</v>
      </c>
      <c r="X82" s="22">
        <f t="shared" si="9"/>
        <v>334.4522191451228</v>
      </c>
      <c r="Y82" s="22">
        <v>241.26899543752083</v>
      </c>
      <c r="Z82" s="22">
        <v>93.183223707601982</v>
      </c>
      <c r="AA82" s="371">
        <v>2616.5345523993515</v>
      </c>
      <c r="AB82" s="22">
        <v>0.12782258840741526</v>
      </c>
      <c r="AC82" s="24">
        <v>0</v>
      </c>
      <c r="AD82" s="384">
        <v>0</v>
      </c>
    </row>
    <row r="83" spans="1:30">
      <c r="A83" s="21" t="s">
        <v>273</v>
      </c>
      <c r="B83" s="21" t="s">
        <v>274</v>
      </c>
      <c r="C83" s="23">
        <v>21.2</v>
      </c>
      <c r="D83" s="147">
        <v>0</v>
      </c>
      <c r="E83" s="22">
        <v>0</v>
      </c>
      <c r="F83" s="22">
        <v>0</v>
      </c>
      <c r="G83" s="22">
        <v>0</v>
      </c>
      <c r="H83" s="22">
        <v>0</v>
      </c>
      <c r="I83" s="22">
        <v>0</v>
      </c>
      <c r="J83" s="22">
        <v>0</v>
      </c>
      <c r="K83" s="22">
        <v>0</v>
      </c>
      <c r="L83" s="22">
        <v>0</v>
      </c>
      <c r="M83" s="388">
        <v>46</v>
      </c>
      <c r="N83" s="25">
        <v>0.6038</v>
      </c>
      <c r="O83" s="24">
        <v>47</v>
      </c>
      <c r="P83" s="24">
        <v>2</v>
      </c>
      <c r="Q83" s="24">
        <v>2</v>
      </c>
      <c r="R83" s="22">
        <v>0</v>
      </c>
      <c r="S83" s="24">
        <v>1.75</v>
      </c>
      <c r="T83" s="24">
        <f t="shared" si="7"/>
        <v>3.75</v>
      </c>
      <c r="U83" s="376">
        <v>27.77</v>
      </c>
      <c r="V83" s="376">
        <v>2.2999999999999998</v>
      </c>
      <c r="W83" s="22">
        <f t="shared" si="8"/>
        <v>16.767526</v>
      </c>
      <c r="X83" s="22">
        <f t="shared" si="9"/>
        <v>6</v>
      </c>
      <c r="Y83" s="22">
        <v>5</v>
      </c>
      <c r="Z83" s="22">
        <v>1</v>
      </c>
      <c r="AA83" s="371">
        <v>46</v>
      </c>
      <c r="AB83" s="22">
        <v>0.13043478260869565</v>
      </c>
      <c r="AC83" s="24">
        <v>0</v>
      </c>
      <c r="AD83" s="384">
        <v>0</v>
      </c>
    </row>
    <row r="84" spans="1:30">
      <c r="A84" s="21" t="s">
        <v>423</v>
      </c>
      <c r="B84" s="21" t="s">
        <v>424</v>
      </c>
      <c r="C84" s="23">
        <v>6315.3286231758348</v>
      </c>
      <c r="D84" s="147">
        <v>418.73883408017497</v>
      </c>
      <c r="E84" s="22">
        <v>1103.8017146613101</v>
      </c>
      <c r="F84" s="22">
        <v>1522.5405487414851</v>
      </c>
      <c r="G84" s="22">
        <v>0</v>
      </c>
      <c r="H84" s="22">
        <v>322.13847833526791</v>
      </c>
      <c r="I84" s="22">
        <v>17.238582618371527</v>
      </c>
      <c r="J84" s="22">
        <v>256.33852719870993</v>
      </c>
      <c r="K84" s="22">
        <v>114.92388412247685</v>
      </c>
      <c r="L84" s="22">
        <v>0</v>
      </c>
      <c r="M84" s="388">
        <v>19842.723676887024</v>
      </c>
      <c r="N84" s="25">
        <v>0.38479999999999998</v>
      </c>
      <c r="O84" s="24">
        <v>7810.2652260004133</v>
      </c>
      <c r="P84" s="24">
        <v>3177.5479284292278</v>
      </c>
      <c r="Q84" s="24">
        <v>2354.7652477461584</v>
      </c>
      <c r="R84" s="22">
        <v>822.78268068306943</v>
      </c>
      <c r="S84" s="24">
        <v>755.19256896041929</v>
      </c>
      <c r="T84" s="24">
        <f t="shared" si="7"/>
        <v>3932.7404973896473</v>
      </c>
      <c r="U84" s="376">
        <v>7589.16</v>
      </c>
      <c r="V84" s="376">
        <v>994.91</v>
      </c>
      <c r="W84" s="22">
        <f t="shared" si="8"/>
        <v>2920.3087679999999</v>
      </c>
      <c r="X84" s="22">
        <f t="shared" si="9"/>
        <v>2423.267509498774</v>
      </c>
      <c r="Y84" s="22">
        <v>1141.620413693405</v>
      </c>
      <c r="Z84" s="22">
        <v>1281.647095805369</v>
      </c>
      <c r="AA84" s="371">
        <v>19994.087575182632</v>
      </c>
      <c r="AB84" s="22">
        <v>0.12119920453417536</v>
      </c>
      <c r="AC84" s="24">
        <v>0</v>
      </c>
      <c r="AD84" s="384">
        <v>0</v>
      </c>
    </row>
    <row r="85" spans="1:30">
      <c r="A85" s="21" t="s">
        <v>65</v>
      </c>
      <c r="B85" s="21" t="s">
        <v>66</v>
      </c>
      <c r="C85" s="23">
        <v>5973.9022202325996</v>
      </c>
      <c r="D85" s="147">
        <v>214.49779491111238</v>
      </c>
      <c r="E85" s="22">
        <v>2182.4788983619287</v>
      </c>
      <c r="F85" s="22">
        <v>2396.9766932730413</v>
      </c>
      <c r="G85" s="22">
        <v>564.14165740086821</v>
      </c>
      <c r="H85" s="22">
        <v>358.6549397675409</v>
      </c>
      <c r="I85" s="22">
        <v>4.8320269460586847</v>
      </c>
      <c r="J85" s="22">
        <v>635.05491771735103</v>
      </c>
      <c r="K85" s="22">
        <v>73.133380805212525</v>
      </c>
      <c r="L85" s="22">
        <v>0</v>
      </c>
      <c r="M85" s="388">
        <v>23059.44721179278</v>
      </c>
      <c r="N85" s="25">
        <v>0.53939999999999999</v>
      </c>
      <c r="O85" s="24">
        <v>13425.435917310397</v>
      </c>
      <c r="P85" s="24">
        <v>3307.5007485187484</v>
      </c>
      <c r="Q85" s="24">
        <v>2140.1919866681128</v>
      </c>
      <c r="R85" s="22">
        <v>1167.3087618506356</v>
      </c>
      <c r="S85" s="24">
        <v>609.02626529066072</v>
      </c>
      <c r="T85" s="24">
        <f t="shared" si="7"/>
        <v>3916.5270138094093</v>
      </c>
      <c r="U85" s="376">
        <v>12431.4</v>
      </c>
      <c r="V85" s="376">
        <v>1156.19</v>
      </c>
      <c r="W85" s="22">
        <f t="shared" si="8"/>
        <v>6705.4971599999999</v>
      </c>
      <c r="X85" s="22">
        <f t="shared" si="9"/>
        <v>3119.3713752496169</v>
      </c>
      <c r="Y85" s="22">
        <v>2438.6301490830001</v>
      </c>
      <c r="Z85" s="22">
        <v>680.74122616661668</v>
      </c>
      <c r="AA85" s="371">
        <v>22733.533318117814</v>
      </c>
      <c r="AB85" s="22">
        <v>0.13721454257018592</v>
      </c>
      <c r="AC85" s="24">
        <v>2.2145425701859123E-3</v>
      </c>
      <c r="AD85" s="384">
        <v>-490167.75207195256</v>
      </c>
    </row>
    <row r="86" spans="1:30">
      <c r="A86" s="21" t="s">
        <v>497</v>
      </c>
      <c r="B86" s="21" t="s">
        <v>498</v>
      </c>
      <c r="C86" s="23">
        <v>13.2</v>
      </c>
      <c r="D86" s="147">
        <v>0</v>
      </c>
      <c r="E86" s="22">
        <v>0</v>
      </c>
      <c r="F86" s="22">
        <v>0</v>
      </c>
      <c r="G86" s="22">
        <v>0</v>
      </c>
      <c r="H86" s="22">
        <v>0</v>
      </c>
      <c r="I86" s="22">
        <v>0</v>
      </c>
      <c r="J86" s="22">
        <v>0</v>
      </c>
      <c r="K86" s="22">
        <v>0</v>
      </c>
      <c r="L86" s="22">
        <v>0</v>
      </c>
      <c r="M86" s="388">
        <v>25.799999999999997</v>
      </c>
      <c r="N86" s="25">
        <v>0.83330000000000004</v>
      </c>
      <c r="O86" s="24">
        <v>24</v>
      </c>
      <c r="P86" s="24">
        <v>0</v>
      </c>
      <c r="Q86" s="24">
        <v>0</v>
      </c>
      <c r="R86" s="22">
        <v>0</v>
      </c>
      <c r="S86" s="24">
        <v>0</v>
      </c>
      <c r="T86" s="24">
        <f t="shared" si="7"/>
        <v>0</v>
      </c>
      <c r="U86" s="376">
        <v>21.5</v>
      </c>
      <c r="V86" s="376">
        <v>1.29</v>
      </c>
      <c r="W86" s="22">
        <f t="shared" si="8"/>
        <v>17.915950000000002</v>
      </c>
      <c r="X86" s="22">
        <f t="shared" si="9"/>
        <v>1</v>
      </c>
      <c r="Y86" s="22">
        <v>1</v>
      </c>
      <c r="Z86" s="22">
        <v>0</v>
      </c>
      <c r="AA86" s="371">
        <v>25.8</v>
      </c>
      <c r="AB86" s="22">
        <v>3.875968992248062E-2</v>
      </c>
      <c r="AC86" s="24">
        <v>0</v>
      </c>
      <c r="AD86" s="384">
        <v>0</v>
      </c>
    </row>
    <row r="87" spans="1:30">
      <c r="A87" s="21" t="s">
        <v>185</v>
      </c>
      <c r="B87" s="21" t="s">
        <v>186</v>
      </c>
      <c r="C87" s="23">
        <v>5755.868305810026</v>
      </c>
      <c r="D87" s="147">
        <v>89.528116721985455</v>
      </c>
      <c r="E87" s="22">
        <v>1281.0195677910842</v>
      </c>
      <c r="F87" s="22">
        <v>1370.5476845130697</v>
      </c>
      <c r="G87" s="22">
        <v>0</v>
      </c>
      <c r="H87" s="22">
        <v>532.06543694605443</v>
      </c>
      <c r="I87" s="22">
        <v>47.948575080120797</v>
      </c>
      <c r="J87" s="22">
        <v>833.75067856162286</v>
      </c>
      <c r="K87" s="22">
        <v>120.67007832860068</v>
      </c>
      <c r="L87" s="22">
        <v>0</v>
      </c>
      <c r="M87" s="388">
        <v>20541.318242075937</v>
      </c>
      <c r="N87" s="25">
        <v>0.65649999999999997</v>
      </c>
      <c r="O87" s="24">
        <v>18969.082188261033</v>
      </c>
      <c r="P87" s="24">
        <v>5089.5669402889962</v>
      </c>
      <c r="Q87" s="24">
        <v>3263.6794487211196</v>
      </c>
      <c r="R87" s="22">
        <v>1825.8874915678769</v>
      </c>
      <c r="S87" s="24">
        <v>659.75752532724357</v>
      </c>
      <c r="T87" s="24">
        <f t="shared" si="7"/>
        <v>5749.3244656162396</v>
      </c>
      <c r="U87" s="376">
        <v>12872.13</v>
      </c>
      <c r="V87" s="376">
        <v>1029.94</v>
      </c>
      <c r="W87" s="22">
        <f t="shared" si="8"/>
        <v>8450.5533449999984</v>
      </c>
      <c r="X87" s="22">
        <f t="shared" si="9"/>
        <v>2675.6177531609828</v>
      </c>
      <c r="Y87" s="22">
        <v>1333.2756386703918</v>
      </c>
      <c r="Z87" s="22">
        <v>1342.3421144905908</v>
      </c>
      <c r="AA87" s="371">
        <v>20697.716615864239</v>
      </c>
      <c r="AB87" s="22">
        <v>0.12927115598395014</v>
      </c>
      <c r="AC87" s="24">
        <v>0</v>
      </c>
      <c r="AD87" s="384">
        <v>0</v>
      </c>
    </row>
    <row r="88" spans="1:30">
      <c r="A88" s="21" t="s">
        <v>541</v>
      </c>
      <c r="B88" s="21" t="s">
        <v>542</v>
      </c>
      <c r="C88" s="23">
        <v>1349.662478648504</v>
      </c>
      <c r="D88" s="147">
        <v>18.062337731836831</v>
      </c>
      <c r="E88" s="22">
        <v>253.37501794904816</v>
      </c>
      <c r="F88" s="22">
        <v>271.43735568088499</v>
      </c>
      <c r="G88" s="22">
        <v>0</v>
      </c>
      <c r="H88" s="22">
        <v>94.591196931577088</v>
      </c>
      <c r="I88" s="22">
        <v>17.449544293771179</v>
      </c>
      <c r="J88" s="22">
        <v>97.464294034639011</v>
      </c>
      <c r="K88" s="22">
        <v>36.827881048339165</v>
      </c>
      <c r="L88" s="22">
        <v>3.1543793369281232</v>
      </c>
      <c r="M88" s="388">
        <v>4395.41664433394</v>
      </c>
      <c r="N88" s="25">
        <v>0.48709999999999998</v>
      </c>
      <c r="O88" s="24">
        <v>1693.4162059727453</v>
      </c>
      <c r="P88" s="24">
        <v>338.48176395410019</v>
      </c>
      <c r="Q88" s="24">
        <v>224.64712310048913</v>
      </c>
      <c r="R88" s="22">
        <v>113.83464085361108</v>
      </c>
      <c r="S88" s="24">
        <v>57.512171031571668</v>
      </c>
      <c r="T88" s="24">
        <f t="shared" si="7"/>
        <v>395.99393498567184</v>
      </c>
      <c r="U88" s="376">
        <v>2145.67</v>
      </c>
      <c r="V88" s="376">
        <v>220.38</v>
      </c>
      <c r="W88" s="22">
        <f t="shared" si="8"/>
        <v>1045.155857</v>
      </c>
      <c r="X88" s="22">
        <f t="shared" si="9"/>
        <v>616.0166626724174</v>
      </c>
      <c r="Y88" s="22">
        <v>351.32593803271561</v>
      </c>
      <c r="Z88" s="22">
        <v>264.69072463970184</v>
      </c>
      <c r="AA88" s="371">
        <v>4410.8102649408011</v>
      </c>
      <c r="AB88" s="22">
        <v>0.13966065771833538</v>
      </c>
      <c r="AC88" s="24">
        <v>4.6606577183353759E-3</v>
      </c>
      <c r="AD88" s="384">
        <v>-206130.18488496935</v>
      </c>
    </row>
    <row r="89" spans="1:30">
      <c r="A89" s="21" t="s">
        <v>389</v>
      </c>
      <c r="B89" s="21" t="s">
        <v>390</v>
      </c>
      <c r="C89" s="23">
        <v>1088.5622450622018</v>
      </c>
      <c r="D89" s="147">
        <v>47.948575080120797</v>
      </c>
      <c r="E89" s="22">
        <v>316.51283365794387</v>
      </c>
      <c r="F89" s="22">
        <v>364.46140873806468</v>
      </c>
      <c r="G89" s="22">
        <v>0</v>
      </c>
      <c r="H89" s="22">
        <v>61.801725098031255</v>
      </c>
      <c r="I89" s="22">
        <v>2.3708073997294172</v>
      </c>
      <c r="J89" s="22">
        <v>6.9215521119219003</v>
      </c>
      <c r="K89" s="22">
        <v>17.841330262370533</v>
      </c>
      <c r="L89" s="22">
        <v>0</v>
      </c>
      <c r="M89" s="388">
        <v>3723.1119222174498</v>
      </c>
      <c r="N89" s="25">
        <v>0.45729999999999998</v>
      </c>
      <c r="O89" s="24">
        <v>847.2117960874948</v>
      </c>
      <c r="P89" s="24">
        <v>521.82605276257118</v>
      </c>
      <c r="Q89" s="24">
        <v>358.12579489786492</v>
      </c>
      <c r="R89" s="22">
        <v>163.7002578647062</v>
      </c>
      <c r="S89" s="24">
        <v>106.98770680982328</v>
      </c>
      <c r="T89" s="24">
        <f t="shared" si="7"/>
        <v>628.81375957239447</v>
      </c>
      <c r="U89" s="376">
        <v>1707.34</v>
      </c>
      <c r="V89" s="376">
        <v>186.68</v>
      </c>
      <c r="W89" s="22">
        <f t="shared" si="8"/>
        <v>780.76658199999997</v>
      </c>
      <c r="X89" s="22">
        <f t="shared" si="9"/>
        <v>391.87323267305055</v>
      </c>
      <c r="Y89" s="22">
        <v>179.56659055005466</v>
      </c>
      <c r="Z89" s="22">
        <v>212.3066421229959</v>
      </c>
      <c r="AA89" s="371">
        <v>3747.375933728742</v>
      </c>
      <c r="AB89" s="22">
        <v>0.10457270356730021</v>
      </c>
      <c r="AC89" s="24">
        <v>0</v>
      </c>
      <c r="AD89" s="384">
        <v>0</v>
      </c>
    </row>
    <row r="90" spans="1:30">
      <c r="A90" s="21" t="s">
        <v>23</v>
      </c>
      <c r="B90" s="21" t="s">
        <v>24</v>
      </c>
      <c r="C90" s="23">
        <v>221.18829375950133</v>
      </c>
      <c r="D90" s="147">
        <v>5.7060110298572413</v>
      </c>
      <c r="E90" s="22">
        <v>64.795371729892977</v>
      </c>
      <c r="F90" s="22">
        <v>70.501382759750214</v>
      </c>
      <c r="G90" s="22">
        <v>0</v>
      </c>
      <c r="H90" s="22">
        <v>13.421180873044497</v>
      </c>
      <c r="I90" s="22">
        <v>0.53242708553245388</v>
      </c>
      <c r="J90" s="22">
        <v>17.148170471771678</v>
      </c>
      <c r="K90" s="22">
        <v>0</v>
      </c>
      <c r="L90" s="22">
        <v>0</v>
      </c>
      <c r="M90" s="388">
        <v>849.87417803859626</v>
      </c>
      <c r="N90" s="25">
        <v>0.79310000000000003</v>
      </c>
      <c r="O90" s="24">
        <v>876.42599595258082</v>
      </c>
      <c r="P90" s="24">
        <v>168.23349577480576</v>
      </c>
      <c r="Q90" s="24">
        <v>114.08648740417216</v>
      </c>
      <c r="R90" s="22">
        <v>54.147008370633586</v>
      </c>
      <c r="S90" s="24">
        <v>29.132802793285212</v>
      </c>
      <c r="T90" s="24">
        <f t="shared" si="7"/>
        <v>197.36629856809097</v>
      </c>
      <c r="U90" s="376">
        <v>675.92</v>
      </c>
      <c r="V90" s="376">
        <v>42.61</v>
      </c>
      <c r="W90" s="22">
        <f t="shared" si="8"/>
        <v>536.07215199999996</v>
      </c>
      <c r="X90" s="22">
        <f t="shared" si="9"/>
        <v>101.24231332555675</v>
      </c>
      <c r="Y90" s="22">
        <v>61.954251438027271</v>
      </c>
      <c r="Z90" s="22">
        <v>39.288061887529487</v>
      </c>
      <c r="AA90" s="371">
        <v>869.86791177597024</v>
      </c>
      <c r="AB90" s="22">
        <v>0.11638814578049542</v>
      </c>
      <c r="AC90" s="24">
        <v>0</v>
      </c>
      <c r="AD90" s="384">
        <v>0</v>
      </c>
    </row>
    <row r="91" spans="1:30">
      <c r="A91" s="21" t="s">
        <v>381</v>
      </c>
      <c r="B91" s="21" t="s">
        <v>382</v>
      </c>
      <c r="C91" s="23">
        <v>2196.6635595840385</v>
      </c>
      <c r="D91" s="147">
        <v>108.10278995122144</v>
      </c>
      <c r="E91" s="22">
        <v>531.13117809785604</v>
      </c>
      <c r="F91" s="22">
        <v>639.23396804907748</v>
      </c>
      <c r="G91" s="22">
        <v>0</v>
      </c>
      <c r="H91" s="22">
        <v>135.34698345997643</v>
      </c>
      <c r="I91" s="22">
        <v>13.109761256978347</v>
      </c>
      <c r="J91" s="22">
        <v>98.247865971837712</v>
      </c>
      <c r="K91" s="22">
        <v>0</v>
      </c>
      <c r="L91" s="22">
        <v>0</v>
      </c>
      <c r="M91" s="388">
        <v>7348.8800999290625</v>
      </c>
      <c r="N91" s="25">
        <v>0.7823</v>
      </c>
      <c r="O91" s="24">
        <v>7449.6209655969378</v>
      </c>
      <c r="P91" s="24">
        <v>930.82485087377563</v>
      </c>
      <c r="Q91" s="24">
        <v>607.45387995334056</v>
      </c>
      <c r="R91" s="22">
        <v>323.37097092043501</v>
      </c>
      <c r="S91" s="24">
        <v>174.29452705637877</v>
      </c>
      <c r="T91" s="24">
        <f t="shared" si="7"/>
        <v>1105.1193779301543</v>
      </c>
      <c r="U91" s="376">
        <v>5765.09</v>
      </c>
      <c r="V91" s="376">
        <v>368.47</v>
      </c>
      <c r="W91" s="22">
        <f t="shared" si="8"/>
        <v>4510.0299070000001</v>
      </c>
      <c r="X91" s="22">
        <f t="shared" si="9"/>
        <v>961.55013004222815</v>
      </c>
      <c r="Y91" s="22">
        <v>479.01213916718643</v>
      </c>
      <c r="Z91" s="22">
        <v>482.53799087504166</v>
      </c>
      <c r="AA91" s="371">
        <v>7432.7069512612552</v>
      </c>
      <c r="AB91" s="22">
        <v>0.12936742109536054</v>
      </c>
      <c r="AC91" s="24">
        <v>0</v>
      </c>
      <c r="AD91" s="384">
        <v>0</v>
      </c>
    </row>
    <row r="92" spans="1:30">
      <c r="A92" s="21" t="s">
        <v>465</v>
      </c>
      <c r="B92" s="21" t="s">
        <v>466</v>
      </c>
      <c r="C92" s="23">
        <v>211.16259128098454</v>
      </c>
      <c r="D92" s="147">
        <v>34.467119442676406</v>
      </c>
      <c r="E92" s="22">
        <v>89.015781224586306</v>
      </c>
      <c r="F92" s="22">
        <v>123.48290066726271</v>
      </c>
      <c r="G92" s="22">
        <v>0</v>
      </c>
      <c r="H92" s="22">
        <v>21.769235742430709</v>
      </c>
      <c r="I92" s="22">
        <v>0.33151120419945246</v>
      </c>
      <c r="J92" s="22">
        <v>1.8082429319970132</v>
      </c>
      <c r="K92" s="22">
        <v>0.80366352533200591</v>
      </c>
      <c r="L92" s="22">
        <v>0</v>
      </c>
      <c r="M92" s="388">
        <v>861.79853559570995</v>
      </c>
      <c r="N92" s="25">
        <v>0.2266</v>
      </c>
      <c r="O92" s="24">
        <v>0</v>
      </c>
      <c r="P92" s="24">
        <v>0</v>
      </c>
      <c r="Q92" s="24">
        <v>0</v>
      </c>
      <c r="R92" s="22">
        <v>0</v>
      </c>
      <c r="S92" s="24">
        <v>0</v>
      </c>
      <c r="T92" s="24">
        <f t="shared" si="7"/>
        <v>0</v>
      </c>
      <c r="U92" s="376">
        <v>195.83</v>
      </c>
      <c r="V92" s="376">
        <v>0</v>
      </c>
      <c r="W92" s="22">
        <f t="shared" si="8"/>
        <v>44.375078000000002</v>
      </c>
      <c r="X92" s="22">
        <f t="shared" si="9"/>
        <v>103.25708573004545</v>
      </c>
      <c r="Y92" s="22">
        <v>75.805811718887028</v>
      </c>
      <c r="Z92" s="22">
        <v>27.451274011158425</v>
      </c>
      <c r="AA92" s="371">
        <v>869.09222440024212</v>
      </c>
      <c r="AB92" s="22">
        <v>0.11881027448071216</v>
      </c>
      <c r="AC92" s="24">
        <v>0</v>
      </c>
      <c r="AD92" s="384">
        <v>0</v>
      </c>
    </row>
    <row r="93" spans="1:30">
      <c r="A93" s="21" t="s">
        <v>567</v>
      </c>
      <c r="B93" s="21" t="s">
        <v>568</v>
      </c>
      <c r="C93" s="23">
        <v>37.370353927938275</v>
      </c>
      <c r="D93" s="147">
        <v>0</v>
      </c>
      <c r="E93" s="22">
        <v>4.892301710458586</v>
      </c>
      <c r="F93" s="22">
        <v>4.892301710458586</v>
      </c>
      <c r="G93" s="22">
        <v>0</v>
      </c>
      <c r="H93" s="22">
        <v>2.76259336832877</v>
      </c>
      <c r="I93" s="22">
        <v>0</v>
      </c>
      <c r="J93" s="22">
        <v>0</v>
      </c>
      <c r="K93" s="22">
        <v>0</v>
      </c>
      <c r="L93" s="22">
        <v>0</v>
      </c>
      <c r="M93" s="388">
        <v>105.74202834555868</v>
      </c>
      <c r="N93" s="25">
        <v>0.52249999999999996</v>
      </c>
      <c r="O93" s="24">
        <v>82.605668584036351</v>
      </c>
      <c r="P93" s="24">
        <v>0</v>
      </c>
      <c r="Q93" s="24">
        <v>0</v>
      </c>
      <c r="R93" s="22">
        <v>0</v>
      </c>
      <c r="S93" s="24">
        <v>0</v>
      </c>
      <c r="T93" s="24">
        <f t="shared" si="7"/>
        <v>0</v>
      </c>
      <c r="U93" s="376">
        <v>55.4</v>
      </c>
      <c r="V93" s="376">
        <v>0</v>
      </c>
      <c r="W93" s="22">
        <f t="shared" si="8"/>
        <v>28.946499999999997</v>
      </c>
      <c r="X93" s="22">
        <f t="shared" si="9"/>
        <v>13.599713730298669</v>
      </c>
      <c r="Y93" s="22">
        <v>11.081248224687805</v>
      </c>
      <c r="Z93" s="22">
        <v>2.5184655056108647</v>
      </c>
      <c r="AA93" s="371">
        <v>106.03747164823984</v>
      </c>
      <c r="AB93" s="22">
        <v>0.12825384761542846</v>
      </c>
      <c r="AC93" s="24">
        <v>0</v>
      </c>
      <c r="AD93" s="384">
        <v>0</v>
      </c>
    </row>
    <row r="94" spans="1:30">
      <c r="A94" s="21" t="s">
        <v>259</v>
      </c>
      <c r="B94" s="21" t="s">
        <v>260</v>
      </c>
      <c r="C94" s="23">
        <v>10.57</v>
      </c>
      <c r="D94" s="147">
        <v>0</v>
      </c>
      <c r="E94" s="22">
        <v>0</v>
      </c>
      <c r="F94" s="22">
        <v>0</v>
      </c>
      <c r="G94" s="22">
        <v>0</v>
      </c>
      <c r="H94" s="22">
        <v>1</v>
      </c>
      <c r="I94" s="22">
        <v>0</v>
      </c>
      <c r="J94" s="22">
        <v>0</v>
      </c>
      <c r="K94" s="22">
        <v>0</v>
      </c>
      <c r="L94" s="22">
        <v>0</v>
      </c>
      <c r="M94" s="388">
        <v>51.97</v>
      </c>
      <c r="N94" s="25">
        <v>0.56599999999999995</v>
      </c>
      <c r="O94" s="24">
        <v>16</v>
      </c>
      <c r="P94" s="24">
        <v>0</v>
      </c>
      <c r="Q94" s="24">
        <v>0</v>
      </c>
      <c r="R94" s="22">
        <v>0</v>
      </c>
      <c r="S94" s="24">
        <v>0</v>
      </c>
      <c r="T94" s="24">
        <f t="shared" si="7"/>
        <v>0</v>
      </c>
      <c r="U94" s="376">
        <v>29.42</v>
      </c>
      <c r="V94" s="376">
        <v>0</v>
      </c>
      <c r="W94" s="22">
        <f t="shared" si="8"/>
        <v>16.651720000000001</v>
      </c>
      <c r="X94" s="22">
        <f t="shared" si="9"/>
        <v>12</v>
      </c>
      <c r="Y94" s="22">
        <v>9</v>
      </c>
      <c r="Z94" s="22">
        <v>3</v>
      </c>
      <c r="AA94" s="371">
        <v>51.97</v>
      </c>
      <c r="AB94" s="22">
        <v>0.23090244371752935</v>
      </c>
      <c r="AC94" s="24">
        <v>9.5902443717529345E-2</v>
      </c>
      <c r="AD94" s="384">
        <v>-46850.318030606628</v>
      </c>
    </row>
    <row r="95" spans="1:30">
      <c r="A95" s="21" t="s">
        <v>265</v>
      </c>
      <c r="B95" s="21" t="s">
        <v>266</v>
      </c>
      <c r="C95" s="23">
        <v>217.9937312463066</v>
      </c>
      <c r="D95" s="147">
        <v>27.224101920621699</v>
      </c>
      <c r="E95" s="22">
        <v>80.627543178933493</v>
      </c>
      <c r="F95" s="22">
        <v>107.85164509955518</v>
      </c>
      <c r="G95" s="22">
        <v>0</v>
      </c>
      <c r="H95" s="22">
        <v>6.7407278187221991</v>
      </c>
      <c r="I95" s="22">
        <v>1.34613640493111</v>
      </c>
      <c r="J95" s="22">
        <v>1385.2145438503785</v>
      </c>
      <c r="K95" s="22">
        <v>0</v>
      </c>
      <c r="L95" s="22">
        <v>0</v>
      </c>
      <c r="M95" s="388">
        <v>2250.9108475439489</v>
      </c>
      <c r="N95" s="25">
        <v>0.59160000000000001</v>
      </c>
      <c r="O95" s="24">
        <v>549.02548022316853</v>
      </c>
      <c r="P95" s="24">
        <v>71.776266909909637</v>
      </c>
      <c r="Q95" s="24">
        <v>39.791754988651661</v>
      </c>
      <c r="R95" s="22">
        <v>31.98451192125798</v>
      </c>
      <c r="S95" s="24">
        <v>5.0228970333250365</v>
      </c>
      <c r="T95" s="24">
        <f t="shared" si="7"/>
        <v>76.799163943234674</v>
      </c>
      <c r="U95" s="376">
        <v>1335.36</v>
      </c>
      <c r="V95" s="376">
        <v>0</v>
      </c>
      <c r="W95" s="22">
        <f t="shared" si="8"/>
        <v>789.99897599999997</v>
      </c>
      <c r="X95" s="22">
        <f t="shared" si="9"/>
        <v>306.24540548228111</v>
      </c>
      <c r="Y95" s="22">
        <v>225.90635585329454</v>
      </c>
      <c r="Z95" s="22">
        <v>80.339049628986587</v>
      </c>
      <c r="AA95" s="371">
        <v>2257.2099679208159</v>
      </c>
      <c r="AB95" s="22">
        <v>0.13567431024787338</v>
      </c>
      <c r="AC95" s="24">
        <v>6.7431024787337202E-4</v>
      </c>
      <c r="AD95" s="384">
        <v>-13768.174167142113</v>
      </c>
    </row>
    <row r="96" spans="1:30">
      <c r="A96" s="21" t="s">
        <v>139</v>
      </c>
      <c r="B96" s="21" t="s">
        <v>140</v>
      </c>
      <c r="C96" s="23">
        <v>195.25005347941084</v>
      </c>
      <c r="D96" s="147">
        <v>7.5946203143874547</v>
      </c>
      <c r="E96" s="22">
        <v>26.440529983422994</v>
      </c>
      <c r="F96" s="22">
        <v>34.035150297810446</v>
      </c>
      <c r="G96" s="22">
        <v>0</v>
      </c>
      <c r="H96" s="22">
        <v>11.622983735114135</v>
      </c>
      <c r="I96" s="22">
        <v>1.0748999651315578</v>
      </c>
      <c r="J96" s="22">
        <v>33.472585830078046</v>
      </c>
      <c r="K96" s="22">
        <v>0</v>
      </c>
      <c r="L96" s="22">
        <v>0</v>
      </c>
      <c r="M96" s="388">
        <v>722.3428223624735</v>
      </c>
      <c r="N96" s="25">
        <v>0.73499999999999999</v>
      </c>
      <c r="O96" s="24">
        <v>722.29590700919596</v>
      </c>
      <c r="P96" s="24">
        <v>0</v>
      </c>
      <c r="Q96" s="24">
        <v>0</v>
      </c>
      <c r="R96" s="22">
        <v>0</v>
      </c>
      <c r="S96" s="24">
        <v>0</v>
      </c>
      <c r="T96" s="24">
        <f t="shared" si="7"/>
        <v>0</v>
      </c>
      <c r="U96" s="376">
        <v>532.41</v>
      </c>
      <c r="V96" s="376">
        <v>36.22</v>
      </c>
      <c r="W96" s="22">
        <f t="shared" si="8"/>
        <v>391.32135</v>
      </c>
      <c r="X96" s="22">
        <f t="shared" si="9"/>
        <v>104.0126253817287</v>
      </c>
      <c r="Y96" s="22">
        <v>64.9764100447603</v>
      </c>
      <c r="Z96" s="22">
        <v>39.036215336968404</v>
      </c>
      <c r="AA96" s="371">
        <v>724.37112258581931</v>
      </c>
      <c r="AB96" s="22">
        <v>0.14359024281701108</v>
      </c>
      <c r="AC96" s="24">
        <v>8.5902428170110678E-3</v>
      </c>
      <c r="AD96" s="384">
        <v>-58150.677385543633</v>
      </c>
    </row>
    <row r="97" spans="1:30">
      <c r="A97" s="21" t="s">
        <v>593</v>
      </c>
      <c r="B97" s="21" t="s">
        <v>594</v>
      </c>
      <c r="C97" s="23">
        <v>975.85848142845475</v>
      </c>
      <c r="D97" s="147">
        <v>41.951236022330704</v>
      </c>
      <c r="E97" s="22">
        <v>278.38904517500686</v>
      </c>
      <c r="F97" s="22">
        <v>320.34028119733756</v>
      </c>
      <c r="G97" s="22">
        <v>0</v>
      </c>
      <c r="H97" s="22">
        <v>35.160279233275254</v>
      </c>
      <c r="I97" s="22">
        <v>4.1890961257930801</v>
      </c>
      <c r="J97" s="22">
        <v>44.402409774593323</v>
      </c>
      <c r="K97" s="22">
        <v>7.232971727988053</v>
      </c>
      <c r="L97" s="22">
        <v>0</v>
      </c>
      <c r="M97" s="388">
        <v>3524.1248333452459</v>
      </c>
      <c r="N97" s="25">
        <v>0.85250000000000004</v>
      </c>
      <c r="O97" s="24">
        <v>3587.3022661921154</v>
      </c>
      <c r="P97" s="24">
        <v>1102.3323518058755</v>
      </c>
      <c r="Q97" s="24">
        <v>684.51892442503299</v>
      </c>
      <c r="R97" s="22">
        <v>417.81342738084243</v>
      </c>
      <c r="S97" s="24">
        <v>193.63268063468016</v>
      </c>
      <c r="T97" s="24">
        <f t="shared" si="7"/>
        <v>1295.9650324405557</v>
      </c>
      <c r="U97" s="376">
        <v>3012.71</v>
      </c>
      <c r="V97" s="376">
        <v>176.7</v>
      </c>
      <c r="W97" s="22">
        <f t="shared" si="8"/>
        <v>2568.3352750000004</v>
      </c>
      <c r="X97" s="22">
        <f t="shared" si="9"/>
        <v>515.2780424479829</v>
      </c>
      <c r="Y97" s="22">
        <v>236.2320644262991</v>
      </c>
      <c r="Z97" s="22">
        <v>279.04597802168382</v>
      </c>
      <c r="AA97" s="371">
        <v>3544.3170969423491</v>
      </c>
      <c r="AB97" s="22">
        <v>0.14538147359684853</v>
      </c>
      <c r="AC97" s="24">
        <v>1.0381473596848517E-2</v>
      </c>
      <c r="AD97" s="384">
        <v>-342822.51890033798</v>
      </c>
    </row>
    <row r="98" spans="1:30">
      <c r="A98" s="21" t="s">
        <v>601</v>
      </c>
      <c r="B98" s="21" t="s">
        <v>602</v>
      </c>
      <c r="C98" s="23">
        <v>430.96456545928817</v>
      </c>
      <c r="D98" s="147">
        <v>21.156442304365054</v>
      </c>
      <c r="E98" s="22">
        <v>166.36839553779188</v>
      </c>
      <c r="F98" s="22">
        <v>187.52483784215693</v>
      </c>
      <c r="G98" s="22">
        <v>0</v>
      </c>
      <c r="H98" s="22">
        <v>19.669664782500842</v>
      </c>
      <c r="I98" s="22">
        <v>0.80366352533200591</v>
      </c>
      <c r="J98" s="22">
        <v>0</v>
      </c>
      <c r="K98" s="22">
        <v>0</v>
      </c>
      <c r="L98" s="22">
        <v>0</v>
      </c>
      <c r="M98" s="388">
        <v>1463.7224244812489</v>
      </c>
      <c r="N98" s="25">
        <v>0.90959999999999996</v>
      </c>
      <c r="O98" s="24">
        <v>1447.6139726251249</v>
      </c>
      <c r="P98" s="24">
        <v>572.95090252647174</v>
      </c>
      <c r="Q98" s="24">
        <v>356.8665621450595</v>
      </c>
      <c r="R98" s="22">
        <v>216.08434038141218</v>
      </c>
      <c r="S98" s="24">
        <v>107.48999651315579</v>
      </c>
      <c r="T98" s="24">
        <f t="shared" si="7"/>
        <v>680.44089903962754</v>
      </c>
      <c r="U98" s="376">
        <v>1335.12</v>
      </c>
      <c r="V98" s="376">
        <v>73.39</v>
      </c>
      <c r="W98" s="22">
        <f t="shared" si="8"/>
        <v>1214.4251519999998</v>
      </c>
      <c r="X98" s="22">
        <f t="shared" si="9"/>
        <v>191.6552249769868</v>
      </c>
      <c r="Y98" s="22">
        <v>88.901832348063522</v>
      </c>
      <c r="Z98" s="22">
        <v>102.75339262892328</v>
      </c>
      <c r="AA98" s="371">
        <v>1494.4775787535318</v>
      </c>
      <c r="AB98" s="22">
        <v>0.12824228861087145</v>
      </c>
      <c r="AC98" s="24">
        <v>0</v>
      </c>
      <c r="AD98" s="384">
        <v>0</v>
      </c>
    </row>
    <row r="99" spans="1:30">
      <c r="A99" s="21" t="s">
        <v>447</v>
      </c>
      <c r="B99" s="21" t="s">
        <v>448</v>
      </c>
      <c r="C99" s="23">
        <v>636.09968030028267</v>
      </c>
      <c r="D99" s="147">
        <v>71.465778990148621</v>
      </c>
      <c r="E99" s="22">
        <v>134.06112181944522</v>
      </c>
      <c r="F99" s="22">
        <v>205.52690080959383</v>
      </c>
      <c r="G99" s="22">
        <v>0</v>
      </c>
      <c r="H99" s="22">
        <v>12.125273438446639</v>
      </c>
      <c r="I99" s="22">
        <v>8.0366352533200583E-2</v>
      </c>
      <c r="J99" s="22">
        <v>140.09864405350194</v>
      </c>
      <c r="K99" s="22">
        <v>50.42988621458337</v>
      </c>
      <c r="L99" s="22">
        <v>0</v>
      </c>
      <c r="M99" s="388">
        <v>2179.1135573496008</v>
      </c>
      <c r="N99" s="25">
        <v>0.46089999999999998</v>
      </c>
      <c r="O99" s="24">
        <v>198.45508184213614</v>
      </c>
      <c r="P99" s="24">
        <v>83.864901336841797</v>
      </c>
      <c r="Q99" s="24">
        <v>51.880389415583814</v>
      </c>
      <c r="R99" s="22">
        <v>31.98451192125798</v>
      </c>
      <c r="S99" s="24">
        <v>7.7854904016538065</v>
      </c>
      <c r="T99" s="24">
        <f t="shared" si="7"/>
        <v>91.6503917384956</v>
      </c>
      <c r="U99" s="376">
        <v>1007.16</v>
      </c>
      <c r="V99" s="376">
        <v>109.26</v>
      </c>
      <c r="W99" s="22">
        <f t="shared" si="8"/>
        <v>464.20004399999993</v>
      </c>
      <c r="X99" s="22">
        <f t="shared" si="9"/>
        <v>368.70335002143054</v>
      </c>
      <c r="Y99" s="22">
        <v>183.59613535903202</v>
      </c>
      <c r="Z99" s="22">
        <v>185.10721466239855</v>
      </c>
      <c r="AA99" s="371">
        <v>2196.1422163407638</v>
      </c>
      <c r="AB99" s="22">
        <v>0.16788682776462815</v>
      </c>
      <c r="AC99" s="24">
        <v>3.2886827764628146E-2</v>
      </c>
      <c r="AD99" s="384">
        <v>-736379.29745528614</v>
      </c>
    </row>
    <row r="100" spans="1:30">
      <c r="A100" s="21" t="s">
        <v>315</v>
      </c>
      <c r="B100" s="21" t="s">
        <v>316</v>
      </c>
      <c r="C100" s="23">
        <v>100.25702478516773</v>
      </c>
      <c r="D100" s="147">
        <v>0</v>
      </c>
      <c r="E100" s="22">
        <v>0</v>
      </c>
      <c r="F100" s="22">
        <v>0</v>
      </c>
      <c r="G100" s="22">
        <v>0</v>
      </c>
      <c r="H100" s="22">
        <v>0</v>
      </c>
      <c r="I100" s="22">
        <v>0</v>
      </c>
      <c r="J100" s="22">
        <v>0</v>
      </c>
      <c r="K100" s="22">
        <v>0</v>
      </c>
      <c r="L100" s="22">
        <v>0</v>
      </c>
      <c r="M100" s="388">
        <v>215.58274067031059</v>
      </c>
      <c r="N100" s="25">
        <v>0.45540000000000003</v>
      </c>
      <c r="O100" s="24">
        <v>0</v>
      </c>
      <c r="P100" s="24">
        <v>0</v>
      </c>
      <c r="Q100" s="24">
        <v>0</v>
      </c>
      <c r="R100" s="22">
        <v>0</v>
      </c>
      <c r="S100" s="24">
        <v>0</v>
      </c>
      <c r="T100" s="24">
        <f t="shared" si="7"/>
        <v>0</v>
      </c>
      <c r="U100" s="376">
        <v>98.45</v>
      </c>
      <c r="V100" s="376">
        <v>10.81</v>
      </c>
      <c r="W100" s="22">
        <f t="shared" si="8"/>
        <v>44.834130000000002</v>
      </c>
      <c r="X100" s="22">
        <f t="shared" si="9"/>
        <v>24.680961954986472</v>
      </c>
      <c r="Y100" s="22">
        <v>24.680961954986472</v>
      </c>
      <c r="Z100" s="22">
        <v>0</v>
      </c>
      <c r="AA100" s="371">
        <v>216.18507900163661</v>
      </c>
      <c r="AB100" s="22">
        <v>0.11416589002795899</v>
      </c>
      <c r="AC100" s="24">
        <v>0</v>
      </c>
      <c r="AD100" s="384">
        <v>0</v>
      </c>
    </row>
    <row r="101" spans="1:30">
      <c r="A101" s="21" t="s">
        <v>455</v>
      </c>
      <c r="B101" s="21" t="s">
        <v>456</v>
      </c>
      <c r="C101" s="23">
        <v>17.399999999999999</v>
      </c>
      <c r="D101" s="147">
        <v>0</v>
      </c>
      <c r="E101" s="22">
        <v>0</v>
      </c>
      <c r="F101" s="22">
        <v>0</v>
      </c>
      <c r="G101" s="22">
        <v>0</v>
      </c>
      <c r="H101" s="22">
        <v>0</v>
      </c>
      <c r="I101" s="22">
        <v>0</v>
      </c>
      <c r="J101" s="22">
        <v>0</v>
      </c>
      <c r="K101" s="22">
        <v>0</v>
      </c>
      <c r="L101" s="22">
        <v>0</v>
      </c>
      <c r="M101" s="388">
        <v>28</v>
      </c>
      <c r="N101" s="25">
        <v>0.43330000000000002</v>
      </c>
      <c r="O101" s="24">
        <v>0</v>
      </c>
      <c r="P101" s="24">
        <v>0</v>
      </c>
      <c r="Q101" s="24">
        <v>0</v>
      </c>
      <c r="R101" s="22">
        <v>0</v>
      </c>
      <c r="S101" s="24">
        <v>0</v>
      </c>
      <c r="T101" s="24">
        <f t="shared" si="7"/>
        <v>0</v>
      </c>
      <c r="U101" s="376">
        <v>12.13</v>
      </c>
      <c r="V101" s="376">
        <v>0</v>
      </c>
      <c r="W101" s="22">
        <f t="shared" si="8"/>
        <v>5.255929000000001</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161.53636859173318</v>
      </c>
      <c r="N102" s="25">
        <v>0.76880000000000004</v>
      </c>
      <c r="O102" s="24">
        <v>161.18179235909534</v>
      </c>
      <c r="P102" s="24">
        <v>22.162496449375606</v>
      </c>
      <c r="Q102" s="24">
        <v>1.0073862022443458</v>
      </c>
      <c r="R102" s="22">
        <v>21.155110247131262</v>
      </c>
      <c r="S102" s="24">
        <v>2.0091588133300147</v>
      </c>
      <c r="T102" s="24">
        <f t="shared" si="7"/>
        <v>24.17165526270562</v>
      </c>
      <c r="U102" s="376">
        <v>0</v>
      </c>
      <c r="V102" s="376">
        <v>0</v>
      </c>
      <c r="W102" s="22">
        <f t="shared" si="8"/>
        <v>0</v>
      </c>
      <c r="X102" s="22">
        <f t="shared" si="9"/>
        <v>37.525136033601882</v>
      </c>
      <c r="Y102" s="22">
        <v>17.881105089837138</v>
      </c>
      <c r="Z102" s="22">
        <v>19.644030943764744</v>
      </c>
      <c r="AA102" s="371">
        <v>161.98770132089081</v>
      </c>
      <c r="AB102" s="22">
        <v>0.2316542288557214</v>
      </c>
      <c r="AC102" s="24">
        <v>9.6654228855721391E-2</v>
      </c>
      <c r="AD102" s="384">
        <v>-152382.26398047115</v>
      </c>
    </row>
    <row r="103" spans="1:30">
      <c r="A103" s="21" t="s">
        <v>61</v>
      </c>
      <c r="B103" s="21" t="s">
        <v>62</v>
      </c>
      <c r="C103" s="23">
        <v>70.722390229216529</v>
      </c>
      <c r="D103" s="147">
        <v>0</v>
      </c>
      <c r="E103" s="22">
        <v>0</v>
      </c>
      <c r="F103" s="22">
        <v>0</v>
      </c>
      <c r="G103" s="22">
        <v>0</v>
      </c>
      <c r="H103" s="22">
        <v>0</v>
      </c>
      <c r="I103" s="22">
        <v>0</v>
      </c>
      <c r="J103" s="22">
        <v>0</v>
      </c>
      <c r="K103" s="22">
        <v>0</v>
      </c>
      <c r="L103" s="22">
        <v>0</v>
      </c>
      <c r="M103" s="388">
        <v>153.72074080787942</v>
      </c>
      <c r="N103" s="25">
        <v>0.50919999999999999</v>
      </c>
      <c r="O103" s="24">
        <v>0</v>
      </c>
      <c r="P103" s="24">
        <v>3.0221586067330373</v>
      </c>
      <c r="Q103" s="24">
        <v>2.0147724044886917</v>
      </c>
      <c r="R103" s="22">
        <v>1.0073862022443458</v>
      </c>
      <c r="S103" s="24">
        <v>1.0045794066650073</v>
      </c>
      <c r="T103" s="24">
        <f t="shared" si="7"/>
        <v>4.0267380133980444</v>
      </c>
      <c r="U103" s="376">
        <v>78.489999999999995</v>
      </c>
      <c r="V103" s="376">
        <v>7.71</v>
      </c>
      <c r="W103" s="22">
        <f t="shared" si="8"/>
        <v>39.967107999999996</v>
      </c>
      <c r="X103" s="22">
        <f t="shared" si="9"/>
        <v>20.651417146009088</v>
      </c>
      <c r="Y103" s="22">
        <v>17.629258539276051</v>
      </c>
      <c r="Z103" s="22">
        <v>3.0221586067330373</v>
      </c>
      <c r="AA103" s="371">
        <v>154.15023666742982</v>
      </c>
      <c r="AB103" s="22">
        <v>0.13396941576264537</v>
      </c>
      <c r="AC103" s="24">
        <v>0</v>
      </c>
      <c r="AD103" s="384">
        <v>0</v>
      </c>
    </row>
    <row r="104" spans="1:30">
      <c r="A104" s="21" t="s">
        <v>517</v>
      </c>
      <c r="B104" s="21" t="s">
        <v>518</v>
      </c>
      <c r="C104" s="23">
        <v>240.30543986833641</v>
      </c>
      <c r="D104" s="147">
        <v>0</v>
      </c>
      <c r="E104" s="22">
        <v>0</v>
      </c>
      <c r="F104" s="22">
        <v>0</v>
      </c>
      <c r="G104" s="22">
        <v>0</v>
      </c>
      <c r="H104" s="22">
        <v>0</v>
      </c>
      <c r="I104" s="22">
        <v>0</v>
      </c>
      <c r="J104" s="22">
        <v>0</v>
      </c>
      <c r="K104" s="22">
        <v>0</v>
      </c>
      <c r="L104" s="22">
        <v>0</v>
      </c>
      <c r="M104" s="388">
        <v>605.77142801306604</v>
      </c>
      <c r="N104" s="25">
        <v>0.17130000000000001</v>
      </c>
      <c r="O104" s="24">
        <v>0</v>
      </c>
      <c r="P104" s="24">
        <v>1.5110793033665186</v>
      </c>
      <c r="Q104" s="24">
        <v>0</v>
      </c>
      <c r="R104" s="22">
        <v>1.5110793033665186</v>
      </c>
      <c r="S104" s="24">
        <v>1.0045794066650073</v>
      </c>
      <c r="T104" s="24">
        <f t="shared" si="7"/>
        <v>2.5156587100315262</v>
      </c>
      <c r="U104" s="376">
        <v>104.06</v>
      </c>
      <c r="V104" s="376">
        <v>30.37</v>
      </c>
      <c r="W104" s="22">
        <f t="shared" si="8"/>
        <v>17.825478</v>
      </c>
      <c r="X104" s="22">
        <f t="shared" si="9"/>
        <v>76.813197921131376</v>
      </c>
      <c r="Y104" s="22">
        <v>59.939479033538575</v>
      </c>
      <c r="Z104" s="22">
        <v>16.873718887592794</v>
      </c>
      <c r="AA104" s="371">
        <v>607.46395381536297</v>
      </c>
      <c r="AB104" s="22">
        <v>0.12644898094558965</v>
      </c>
      <c r="AC104" s="24">
        <v>0</v>
      </c>
      <c r="AD104" s="384">
        <v>0</v>
      </c>
    </row>
    <row r="105" spans="1:30">
      <c r="A105" s="21" t="s">
        <v>309</v>
      </c>
      <c r="B105" s="21" t="s">
        <v>310</v>
      </c>
      <c r="C105" s="23">
        <v>43.799662130594321</v>
      </c>
      <c r="D105" s="147">
        <v>1.0648541710649078</v>
      </c>
      <c r="E105" s="22">
        <v>4.470378359659283</v>
      </c>
      <c r="F105" s="22">
        <v>5.5352325307241905</v>
      </c>
      <c r="G105" s="22">
        <v>0</v>
      </c>
      <c r="H105" s="22">
        <v>1.0045794066650073</v>
      </c>
      <c r="I105" s="22">
        <v>0</v>
      </c>
      <c r="J105" s="22">
        <v>0</v>
      </c>
      <c r="K105" s="22">
        <v>0</v>
      </c>
      <c r="L105" s="22">
        <v>0</v>
      </c>
      <c r="M105" s="388">
        <v>113.02522904387996</v>
      </c>
      <c r="N105" s="25">
        <v>0.52</v>
      </c>
      <c r="O105" s="24">
        <v>113.83464085361108</v>
      </c>
      <c r="P105" s="24">
        <v>0</v>
      </c>
      <c r="Q105" s="24">
        <v>0</v>
      </c>
      <c r="R105" s="22">
        <v>0</v>
      </c>
      <c r="S105" s="24">
        <v>0</v>
      </c>
      <c r="T105" s="24">
        <f t="shared" si="7"/>
        <v>0</v>
      </c>
      <c r="U105" s="376">
        <v>58.94</v>
      </c>
      <c r="V105" s="376">
        <v>0</v>
      </c>
      <c r="W105" s="22">
        <f t="shared" si="8"/>
        <v>30.648800000000001</v>
      </c>
      <c r="X105" s="22">
        <f t="shared" si="9"/>
        <v>23.925422303303215</v>
      </c>
      <c r="Y105" s="22">
        <v>21.406956797692349</v>
      </c>
      <c r="Z105" s="22">
        <v>2.5184655056108647</v>
      </c>
      <c r="AA105" s="371">
        <v>113.34102161451135</v>
      </c>
      <c r="AB105" s="22">
        <v>0.21109234734690252</v>
      </c>
      <c r="AC105" s="24">
        <v>7.6092347346902511E-2</v>
      </c>
      <c r="AD105" s="384">
        <v>-84860.436005644966</v>
      </c>
    </row>
    <row r="106" spans="1:30">
      <c r="A106" s="21" t="s">
        <v>599</v>
      </c>
      <c r="B106" s="21" t="s">
        <v>600</v>
      </c>
      <c r="C106" s="23">
        <v>257.97599163157389</v>
      </c>
      <c r="D106" s="147">
        <v>0</v>
      </c>
      <c r="E106" s="22">
        <v>46.512026528589836</v>
      </c>
      <c r="F106" s="22">
        <v>46.512026528589836</v>
      </c>
      <c r="G106" s="22">
        <v>0</v>
      </c>
      <c r="H106" s="22">
        <v>9.9654277141168723</v>
      </c>
      <c r="I106" s="22">
        <v>0.42192335079930304</v>
      </c>
      <c r="J106" s="22">
        <v>0</v>
      </c>
      <c r="K106" s="22">
        <v>5.4247287959910402</v>
      </c>
      <c r="L106" s="22">
        <v>0</v>
      </c>
      <c r="M106" s="388">
        <v>1037.6702523205527</v>
      </c>
      <c r="N106" s="25">
        <v>0.82350000000000001</v>
      </c>
      <c r="O106" s="24">
        <v>1076.8958501992056</v>
      </c>
      <c r="P106" s="24">
        <v>300.70478136993722</v>
      </c>
      <c r="Q106" s="24">
        <v>203.99570595448003</v>
      </c>
      <c r="R106" s="22">
        <v>96.709075415457193</v>
      </c>
      <c r="S106" s="24">
        <v>82.124366494864347</v>
      </c>
      <c r="T106" s="24">
        <f t="shared" si="7"/>
        <v>382.8291478648016</v>
      </c>
      <c r="U106" s="376">
        <v>856.91</v>
      </c>
      <c r="V106" s="376">
        <v>52.03</v>
      </c>
      <c r="W106" s="22">
        <f t="shared" si="8"/>
        <v>705.66538500000001</v>
      </c>
      <c r="X106" s="22">
        <f t="shared" si="9"/>
        <v>124.16034942661562</v>
      </c>
      <c r="Y106" s="22">
        <v>82.101975482914185</v>
      </c>
      <c r="Z106" s="22">
        <v>42.05837394370144</v>
      </c>
      <c r="AA106" s="371">
        <v>1061.8958696477873</v>
      </c>
      <c r="AB106" s="22">
        <v>0.1169232812514823</v>
      </c>
      <c r="AC106" s="24">
        <v>0</v>
      </c>
      <c r="AD106" s="384">
        <v>0</v>
      </c>
    </row>
    <row r="107" spans="1:30">
      <c r="A107" s="21" t="s">
        <v>191</v>
      </c>
      <c r="B107" s="21" t="s">
        <v>192</v>
      </c>
      <c r="C107" s="23">
        <v>5238.4094534368805</v>
      </c>
      <c r="D107" s="147">
        <v>126.27563141779143</v>
      </c>
      <c r="E107" s="22">
        <v>658.34106836384592</v>
      </c>
      <c r="F107" s="22">
        <v>784.61669978163741</v>
      </c>
      <c r="G107" s="22">
        <v>362.29151721966821</v>
      </c>
      <c r="H107" s="22">
        <v>387.30554444562694</v>
      </c>
      <c r="I107" s="22">
        <v>31.513655987081282</v>
      </c>
      <c r="J107" s="22">
        <v>625.42100120743362</v>
      </c>
      <c r="K107" s="22">
        <v>160.91352935960089</v>
      </c>
      <c r="L107" s="22">
        <v>0</v>
      </c>
      <c r="M107" s="388">
        <v>17699.724749207031</v>
      </c>
      <c r="N107" s="25">
        <v>0.70820000000000005</v>
      </c>
      <c r="O107" s="24">
        <v>15945.91619532575</v>
      </c>
      <c r="P107" s="24">
        <v>5720.9462425456404</v>
      </c>
      <c r="Q107" s="24">
        <v>3469.1862339789659</v>
      </c>
      <c r="R107" s="22">
        <v>2251.7600085666741</v>
      </c>
      <c r="S107" s="24">
        <v>512.83778710248623</v>
      </c>
      <c r="T107" s="24">
        <f t="shared" si="7"/>
        <v>6233.7840296481263</v>
      </c>
      <c r="U107" s="376">
        <v>12569.97</v>
      </c>
      <c r="V107" s="376">
        <v>887.46</v>
      </c>
      <c r="W107" s="22">
        <f t="shared" si="8"/>
        <v>8902.0527540000003</v>
      </c>
      <c r="X107" s="22">
        <f t="shared" si="9"/>
        <v>2517.7099659591813</v>
      </c>
      <c r="Y107" s="22">
        <v>1773.755255601732</v>
      </c>
      <c r="Z107" s="22">
        <v>743.95471035744936</v>
      </c>
      <c r="AA107" s="371">
        <v>17589.668261527851</v>
      </c>
      <c r="AB107" s="22">
        <v>0.14313572766269392</v>
      </c>
      <c r="AC107" s="24">
        <v>8.135727662693909E-3</v>
      </c>
      <c r="AD107" s="384">
        <v>-1522461.4440730866</v>
      </c>
    </row>
    <row r="108" spans="1:30">
      <c r="A108" s="21" t="s">
        <v>57</v>
      </c>
      <c r="B108" s="21" t="s">
        <v>58</v>
      </c>
      <c r="C108" s="23">
        <v>540.63449928490695</v>
      </c>
      <c r="D108" s="147">
        <v>9.2622221294513682</v>
      </c>
      <c r="E108" s="22">
        <v>41.469037907131501</v>
      </c>
      <c r="F108" s="22">
        <v>50.731260036582867</v>
      </c>
      <c r="G108" s="22">
        <v>0</v>
      </c>
      <c r="H108" s="22">
        <v>64.393539967226971</v>
      </c>
      <c r="I108" s="22">
        <v>0.55251867366575413</v>
      </c>
      <c r="J108" s="22">
        <v>0</v>
      </c>
      <c r="K108" s="22">
        <v>3.4155699826610246</v>
      </c>
      <c r="L108" s="22">
        <v>0</v>
      </c>
      <c r="M108" s="388">
        <v>1928.5111785629479</v>
      </c>
      <c r="N108" s="25">
        <v>0.18160000000000001</v>
      </c>
      <c r="O108" s="24">
        <v>0</v>
      </c>
      <c r="P108" s="24">
        <v>72.028113460470735</v>
      </c>
      <c r="Q108" s="24">
        <v>49.613770460534035</v>
      </c>
      <c r="R108" s="22">
        <v>22.414342999936693</v>
      </c>
      <c r="S108" s="24">
        <v>11.05037347331508</v>
      </c>
      <c r="T108" s="24">
        <f t="shared" si="7"/>
        <v>83.078486933785811</v>
      </c>
      <c r="U108" s="376">
        <v>351.2</v>
      </c>
      <c r="V108" s="376">
        <v>96.69</v>
      </c>
      <c r="W108" s="22">
        <f t="shared" si="8"/>
        <v>63.777920000000002</v>
      </c>
      <c r="X108" s="22">
        <f t="shared" si="9"/>
        <v>177.04812504444379</v>
      </c>
      <c r="Y108" s="22">
        <v>108.79770984238935</v>
      </c>
      <c r="Z108" s="22">
        <v>68.250415202054427</v>
      </c>
      <c r="AA108" s="371">
        <v>1948.9094945859563</v>
      </c>
      <c r="AB108" s="22">
        <v>9.0844713690543893E-2</v>
      </c>
      <c r="AC108" s="24">
        <v>0</v>
      </c>
      <c r="AD108" s="384">
        <v>0</v>
      </c>
    </row>
    <row r="109" spans="1:30">
      <c r="A109" s="21" t="s">
        <v>325</v>
      </c>
      <c r="B109" s="21" t="s">
        <v>326</v>
      </c>
      <c r="C109" s="23">
        <v>129.79165934111893</v>
      </c>
      <c r="D109" s="147">
        <v>0</v>
      </c>
      <c r="E109" s="22">
        <v>0</v>
      </c>
      <c r="F109" s="22">
        <v>0</v>
      </c>
      <c r="G109" s="22">
        <v>0</v>
      </c>
      <c r="H109" s="22">
        <v>0</v>
      </c>
      <c r="I109" s="22">
        <v>0</v>
      </c>
      <c r="J109" s="22">
        <v>0</v>
      </c>
      <c r="K109" s="22">
        <v>0</v>
      </c>
      <c r="L109" s="22">
        <v>0</v>
      </c>
      <c r="M109" s="388">
        <v>301.97656964350119</v>
      </c>
      <c r="N109" s="25">
        <v>0.8034</v>
      </c>
      <c r="O109" s="24">
        <v>300.20108826881506</v>
      </c>
      <c r="P109" s="24">
        <v>7.5553965168325936</v>
      </c>
      <c r="Q109" s="24">
        <v>7.5553965168325936</v>
      </c>
      <c r="R109" s="22">
        <v>0</v>
      </c>
      <c r="S109" s="24">
        <v>0</v>
      </c>
      <c r="T109" s="24">
        <f t="shared" si="7"/>
        <v>7.5553965168325936</v>
      </c>
      <c r="U109" s="376">
        <v>243.29</v>
      </c>
      <c r="V109" s="376">
        <v>15.14</v>
      </c>
      <c r="W109" s="22">
        <f t="shared" si="8"/>
        <v>195.45918599999999</v>
      </c>
      <c r="X109" s="22">
        <f t="shared" si="9"/>
        <v>37.021442932479708</v>
      </c>
      <c r="Y109" s="22">
        <v>31.228972269574722</v>
      </c>
      <c r="Z109" s="22">
        <v>5.7924706629049885</v>
      </c>
      <c r="AA109" s="371">
        <v>302.82029239465038</v>
      </c>
      <c r="AB109" s="22">
        <v>0.12225548902195607</v>
      </c>
      <c r="AC109" s="24">
        <v>0</v>
      </c>
      <c r="AD109" s="384">
        <v>0</v>
      </c>
    </row>
    <row r="110" spans="1:30">
      <c r="A110" s="21" t="s">
        <v>143</v>
      </c>
      <c r="B110" s="21" t="s">
        <v>144</v>
      </c>
      <c r="C110" s="23">
        <v>422.72701432463509</v>
      </c>
      <c r="D110" s="147">
        <v>17.067804119238474</v>
      </c>
      <c r="E110" s="22">
        <v>127.46103511765612</v>
      </c>
      <c r="F110" s="22">
        <v>144.52883923689461</v>
      </c>
      <c r="G110" s="22">
        <v>0</v>
      </c>
      <c r="H110" s="22">
        <v>21.919922653430461</v>
      </c>
      <c r="I110" s="22">
        <v>0.98448781853170719</v>
      </c>
      <c r="J110" s="22">
        <v>124.23633522226146</v>
      </c>
      <c r="K110" s="22">
        <v>12.135319232513289</v>
      </c>
      <c r="L110" s="22">
        <v>0</v>
      </c>
      <c r="M110" s="388">
        <v>1576.2152264395966</v>
      </c>
      <c r="N110" s="25">
        <v>0.76549999999999996</v>
      </c>
      <c r="O110" s="24">
        <v>1593.6849719505551</v>
      </c>
      <c r="P110" s="24">
        <v>98.975694370506972</v>
      </c>
      <c r="Q110" s="24">
        <v>71.524420359348554</v>
      </c>
      <c r="R110" s="22">
        <v>27.451274011158425</v>
      </c>
      <c r="S110" s="24">
        <v>11.803808028313837</v>
      </c>
      <c r="T110" s="24">
        <f t="shared" si="7"/>
        <v>110.77950239882081</v>
      </c>
      <c r="U110" s="376">
        <v>1209.96</v>
      </c>
      <c r="V110" s="376">
        <v>79.03</v>
      </c>
      <c r="W110" s="22">
        <f t="shared" si="8"/>
        <v>926.22438</v>
      </c>
      <c r="X110" s="22">
        <f t="shared" si="9"/>
        <v>237.74314372966563</v>
      </c>
      <c r="Y110" s="22">
        <v>192.15891807810897</v>
      </c>
      <c r="Z110" s="22">
        <v>45.58422565155665</v>
      </c>
      <c r="AA110" s="371">
        <v>1585.2128539896801</v>
      </c>
      <c r="AB110" s="22">
        <v>0.14997553365234911</v>
      </c>
      <c r="AC110" s="24">
        <v>1.4975533652349104E-2</v>
      </c>
      <c r="AD110" s="384">
        <v>-222181.04142947399</v>
      </c>
    </row>
    <row r="111" spans="1:30">
      <c r="A111" s="21" t="s">
        <v>1315</v>
      </c>
      <c r="B111" s="21" t="s">
        <v>1316</v>
      </c>
      <c r="C111" s="23">
        <v>253.15401047958184</v>
      </c>
      <c r="D111" s="147">
        <v>0</v>
      </c>
      <c r="E111" s="22">
        <v>0</v>
      </c>
      <c r="F111" s="22">
        <v>0</v>
      </c>
      <c r="G111" s="22">
        <v>0</v>
      </c>
      <c r="H111" s="22">
        <v>0</v>
      </c>
      <c r="I111" s="22">
        <v>0</v>
      </c>
      <c r="J111" s="22">
        <v>0</v>
      </c>
      <c r="K111" s="22">
        <v>0</v>
      </c>
      <c r="L111" s="22">
        <v>0</v>
      </c>
      <c r="M111" s="388">
        <v>253.15401047958184</v>
      </c>
      <c r="N111" s="25">
        <v>0.54679999999999995</v>
      </c>
      <c r="O111" s="24">
        <v>268.97211599924032</v>
      </c>
      <c r="P111" s="24">
        <v>30.463358755869017</v>
      </c>
      <c r="Q111" s="24">
        <v>30.463358755869017</v>
      </c>
      <c r="R111" s="22">
        <v>0</v>
      </c>
      <c r="S111" s="24">
        <v>0</v>
      </c>
      <c r="T111" s="24">
        <f t="shared" si="7"/>
        <v>30.463358755869017</v>
      </c>
      <c r="U111" s="376">
        <v>138.81</v>
      </c>
      <c r="V111" s="376">
        <v>0</v>
      </c>
      <c r="W111" s="22">
        <f t="shared" si="8"/>
        <v>75.901308</v>
      </c>
      <c r="X111" s="22">
        <f t="shared" si="9"/>
        <v>2.5386132296557515</v>
      </c>
      <c r="Y111" s="22">
        <v>2.5386132296557515</v>
      </c>
      <c r="Z111" s="22">
        <v>0</v>
      </c>
      <c r="AA111" s="371">
        <v>253.86132296557514</v>
      </c>
      <c r="AB111" s="22">
        <v>0.01</v>
      </c>
      <c r="AC111" s="24">
        <v>0</v>
      </c>
      <c r="AD111" s="384">
        <v>0</v>
      </c>
    </row>
    <row r="112" spans="1:30">
      <c r="A112" s="21" t="s">
        <v>1230</v>
      </c>
      <c r="B112" s="21" t="s">
        <v>1231</v>
      </c>
      <c r="C112" s="23">
        <v>293.53810262751512</v>
      </c>
      <c r="D112" s="147">
        <v>0</v>
      </c>
      <c r="E112" s="22">
        <v>0</v>
      </c>
      <c r="F112" s="22">
        <v>0</v>
      </c>
      <c r="G112" s="22">
        <v>0</v>
      </c>
      <c r="H112" s="22">
        <v>0</v>
      </c>
      <c r="I112" s="22">
        <v>0</v>
      </c>
      <c r="J112" s="22">
        <v>0</v>
      </c>
      <c r="K112" s="22">
        <v>0</v>
      </c>
      <c r="L112" s="22">
        <v>0</v>
      </c>
      <c r="M112" s="388">
        <v>293.53810262751512</v>
      </c>
      <c r="N112" s="25">
        <v>0.59</v>
      </c>
      <c r="O112" s="24">
        <v>0</v>
      </c>
      <c r="P112" s="24">
        <v>46.339765303239908</v>
      </c>
      <c r="Q112" s="24">
        <v>46.339765303239908</v>
      </c>
      <c r="R112" s="22">
        <v>0</v>
      </c>
      <c r="S112" s="24">
        <v>0</v>
      </c>
      <c r="T112" s="24">
        <f t="shared" si="7"/>
        <v>46.339765303239908</v>
      </c>
      <c r="U112" s="376">
        <v>173.67</v>
      </c>
      <c r="V112" s="376">
        <v>14.72</v>
      </c>
      <c r="W112" s="22">
        <f t="shared" si="8"/>
        <v>102.46529999999998</v>
      </c>
      <c r="X112" s="22">
        <f t="shared" si="9"/>
        <v>7.8072430673936797</v>
      </c>
      <c r="Y112" s="22">
        <v>7.0517034157104206</v>
      </c>
      <c r="Z112" s="22">
        <v>0.75553965168325932</v>
      </c>
      <c r="AA112" s="371">
        <v>294.35824829579786</v>
      </c>
      <c r="AB112" s="22">
        <v>2.652292950034223E-2</v>
      </c>
      <c r="AC112" s="24">
        <v>0</v>
      </c>
      <c r="AD112" s="384">
        <v>0</v>
      </c>
    </row>
    <row r="113" spans="1:30">
      <c r="A113" s="21" t="s">
        <v>1032</v>
      </c>
      <c r="B113" s="21" t="s">
        <v>1042</v>
      </c>
      <c r="C113" s="23">
        <v>529.01151554979288</v>
      </c>
      <c r="D113" s="147">
        <v>0</v>
      </c>
      <c r="E113" s="22">
        <v>0</v>
      </c>
      <c r="F113" s="22">
        <v>0</v>
      </c>
      <c r="G113" s="22">
        <v>0</v>
      </c>
      <c r="H113" s="22">
        <v>0</v>
      </c>
      <c r="I113" s="22">
        <v>0</v>
      </c>
      <c r="J113" s="22">
        <v>0</v>
      </c>
      <c r="K113" s="22">
        <v>0</v>
      </c>
      <c r="L113" s="22">
        <v>0</v>
      </c>
      <c r="M113" s="388">
        <v>600.53756930434145</v>
      </c>
      <c r="N113" s="25">
        <v>0.65</v>
      </c>
      <c r="O113" s="24">
        <v>606.44649375109623</v>
      </c>
      <c r="P113" s="24">
        <v>152.11531653889622</v>
      </c>
      <c r="Q113" s="24">
        <v>152.11531653889622</v>
      </c>
      <c r="R113" s="22">
        <v>0</v>
      </c>
      <c r="S113" s="24">
        <v>26.872499128288947</v>
      </c>
      <c r="T113" s="24">
        <f t="shared" si="7"/>
        <v>178.98781566718517</v>
      </c>
      <c r="U113" s="376">
        <v>391.44</v>
      </c>
      <c r="V113" s="376">
        <v>30.11</v>
      </c>
      <c r="W113" s="22">
        <f t="shared" si="8"/>
        <v>254.43600000000001</v>
      </c>
      <c r="X113" s="22">
        <f t="shared" si="9"/>
        <v>23.169882651619954</v>
      </c>
      <c r="Y113" s="22">
        <v>23.169882651619954</v>
      </c>
      <c r="Z113" s="22">
        <v>0</v>
      </c>
      <c r="AA113" s="371">
        <v>602.21547170166991</v>
      </c>
      <c r="AB113" s="22">
        <v>3.8474406155904986E-2</v>
      </c>
      <c r="AC113" s="24">
        <v>0</v>
      </c>
      <c r="AD113" s="384">
        <v>0</v>
      </c>
    </row>
    <row r="114" spans="1:30">
      <c r="A114" s="21" t="s">
        <v>107</v>
      </c>
      <c r="B114" s="21" t="s">
        <v>108</v>
      </c>
      <c r="C114" s="23">
        <v>66.904988483889483</v>
      </c>
      <c r="D114" s="147">
        <v>0</v>
      </c>
      <c r="E114" s="22">
        <v>0</v>
      </c>
      <c r="F114" s="22">
        <v>0</v>
      </c>
      <c r="G114" s="22">
        <v>0</v>
      </c>
      <c r="H114" s="22">
        <v>4.4101035952593817</v>
      </c>
      <c r="I114" s="22">
        <v>0.60274764399900438</v>
      </c>
      <c r="J114" s="22">
        <v>0</v>
      </c>
      <c r="K114" s="22">
        <v>0</v>
      </c>
      <c r="L114" s="22">
        <v>0</v>
      </c>
      <c r="M114" s="388">
        <v>227.27604496389128</v>
      </c>
      <c r="N114" s="25">
        <v>0.82379999999999998</v>
      </c>
      <c r="O114" s="24">
        <v>232.70621271844388</v>
      </c>
      <c r="P114" s="24">
        <v>0</v>
      </c>
      <c r="Q114" s="24">
        <v>0</v>
      </c>
      <c r="R114" s="22">
        <v>0</v>
      </c>
      <c r="S114" s="24">
        <v>0</v>
      </c>
      <c r="T114" s="24">
        <f t="shared" si="7"/>
        <v>0</v>
      </c>
      <c r="U114" s="376">
        <v>187.75</v>
      </c>
      <c r="V114" s="376">
        <v>0</v>
      </c>
      <c r="W114" s="22">
        <f t="shared" si="8"/>
        <v>154.66845000000001</v>
      </c>
      <c r="X114" s="22">
        <f t="shared" si="9"/>
        <v>24.429115404425385</v>
      </c>
      <c r="Y114" s="22">
        <v>18.888491292081483</v>
      </c>
      <c r="Z114" s="22">
        <v>5.5406241123439024</v>
      </c>
      <c r="AA114" s="371">
        <v>227.90098053373833</v>
      </c>
      <c r="AB114" s="22">
        <v>0.10719179595986386</v>
      </c>
      <c r="AC114" s="24">
        <v>0</v>
      </c>
      <c r="AD114" s="384">
        <v>0</v>
      </c>
    </row>
    <row r="115" spans="1:30">
      <c r="A115" s="21" t="s">
        <v>435</v>
      </c>
      <c r="B115" s="21" t="s">
        <v>436</v>
      </c>
      <c r="C115" s="23">
        <v>17.48</v>
      </c>
      <c r="D115" s="147">
        <v>0</v>
      </c>
      <c r="E115" s="22">
        <v>0</v>
      </c>
      <c r="F115" s="22">
        <v>0</v>
      </c>
      <c r="G115" s="22">
        <v>0</v>
      </c>
      <c r="H115" s="22">
        <v>0</v>
      </c>
      <c r="I115" s="22">
        <v>0</v>
      </c>
      <c r="J115" s="22">
        <v>0</v>
      </c>
      <c r="K115" s="22">
        <v>0</v>
      </c>
      <c r="L115" s="22">
        <v>0</v>
      </c>
      <c r="M115" s="388">
        <v>23.68</v>
      </c>
      <c r="N115" s="25">
        <v>0.5</v>
      </c>
      <c r="O115" s="24">
        <v>0</v>
      </c>
      <c r="P115" s="24">
        <v>0</v>
      </c>
      <c r="Q115" s="24">
        <v>0</v>
      </c>
      <c r="R115" s="22">
        <v>0</v>
      </c>
      <c r="S115" s="24">
        <v>0</v>
      </c>
      <c r="T115" s="24">
        <f t="shared" si="7"/>
        <v>0</v>
      </c>
      <c r="U115" s="376">
        <v>11.84</v>
      </c>
      <c r="V115" s="376">
        <v>0</v>
      </c>
      <c r="W115" s="22">
        <f t="shared" si="8"/>
        <v>5.92</v>
      </c>
      <c r="X115" s="22">
        <f t="shared" si="9"/>
        <v>4</v>
      </c>
      <c r="Y115" s="22">
        <v>3</v>
      </c>
      <c r="Z115" s="22">
        <v>1</v>
      </c>
      <c r="AA115" s="371">
        <v>23.68</v>
      </c>
      <c r="AB115" s="22">
        <v>0.16891891891891891</v>
      </c>
      <c r="AC115" s="24">
        <v>3.3918918918918906E-2</v>
      </c>
      <c r="AD115" s="384">
        <v>-9192.7813172829228</v>
      </c>
    </row>
    <row r="116" spans="1:30">
      <c r="A116" s="21" t="s">
        <v>211</v>
      </c>
      <c r="B116" s="21" t="s">
        <v>212</v>
      </c>
      <c r="C116" s="23">
        <v>5227.0878435237664</v>
      </c>
      <c r="D116" s="147">
        <v>100.94013878169994</v>
      </c>
      <c r="E116" s="22">
        <v>1058.6659619198513</v>
      </c>
      <c r="F116" s="22">
        <v>1159.6061007015512</v>
      </c>
      <c r="G116" s="22">
        <v>0</v>
      </c>
      <c r="H116" s="22">
        <v>582.82683436483728</v>
      </c>
      <c r="I116" s="22">
        <v>60.254672811767136</v>
      </c>
      <c r="J116" s="22">
        <v>8.378192251586162</v>
      </c>
      <c r="K116" s="22">
        <v>0</v>
      </c>
      <c r="L116" s="22">
        <v>0</v>
      </c>
      <c r="M116" s="388">
        <v>19325.64656468841</v>
      </c>
      <c r="N116" s="25">
        <v>0.10150000000000001</v>
      </c>
      <c r="O116" s="24">
        <v>0</v>
      </c>
      <c r="P116" s="24">
        <v>1274.5953923896584</v>
      </c>
      <c r="Q116" s="24">
        <v>1033.3263969521377</v>
      </c>
      <c r="R116" s="22">
        <v>241.26899543752083</v>
      </c>
      <c r="S116" s="24">
        <v>660.00867017890982</v>
      </c>
      <c r="T116" s="24">
        <f t="shared" si="7"/>
        <v>1934.6040625685682</v>
      </c>
      <c r="U116" s="376">
        <v>1967.03</v>
      </c>
      <c r="V116" s="376">
        <v>968.98</v>
      </c>
      <c r="W116" s="22">
        <f t="shared" si="8"/>
        <v>199.65354500000001</v>
      </c>
      <c r="X116" s="22">
        <f t="shared" si="9"/>
        <v>1578.826025467451</v>
      </c>
      <c r="Y116" s="22">
        <v>1029.5486986937215</v>
      </c>
      <c r="Z116" s="22">
        <v>549.27732677372956</v>
      </c>
      <c r="AA116" s="371">
        <v>19491.381712538659</v>
      </c>
      <c r="AB116" s="22">
        <v>8.1001236790299178E-2</v>
      </c>
      <c r="AC116" s="24">
        <v>0</v>
      </c>
      <c r="AD116" s="384">
        <v>0</v>
      </c>
    </row>
    <row r="117" spans="1:30">
      <c r="A117" s="21" t="s">
        <v>117</v>
      </c>
      <c r="B117" s="21" t="s">
        <v>118</v>
      </c>
      <c r="C117" s="23">
        <v>13</v>
      </c>
      <c r="D117" s="147">
        <v>0</v>
      </c>
      <c r="E117" s="22">
        <v>3.68</v>
      </c>
      <c r="F117" s="22">
        <v>3.68</v>
      </c>
      <c r="G117" s="22">
        <v>0</v>
      </c>
      <c r="H117" s="22">
        <v>0</v>
      </c>
      <c r="I117" s="22">
        <v>0</v>
      </c>
      <c r="J117" s="22">
        <v>0</v>
      </c>
      <c r="K117" s="22">
        <v>0</v>
      </c>
      <c r="L117" s="22">
        <v>0</v>
      </c>
      <c r="M117" s="388">
        <v>36.4</v>
      </c>
      <c r="N117" s="25">
        <v>0.68179999999999996</v>
      </c>
      <c r="O117" s="24">
        <v>34</v>
      </c>
      <c r="P117" s="24">
        <v>0</v>
      </c>
      <c r="Q117" s="24">
        <v>0</v>
      </c>
      <c r="R117" s="22">
        <v>0</v>
      </c>
      <c r="S117" s="24">
        <v>1</v>
      </c>
      <c r="T117" s="24">
        <f t="shared" si="7"/>
        <v>1</v>
      </c>
      <c r="U117" s="376">
        <v>24.82</v>
      </c>
      <c r="V117" s="376">
        <v>0</v>
      </c>
      <c r="W117" s="22">
        <f t="shared" si="8"/>
        <v>16.922276</v>
      </c>
      <c r="X117" s="22">
        <f t="shared" si="9"/>
        <v>4</v>
      </c>
      <c r="Y117" s="22">
        <v>4</v>
      </c>
      <c r="Z117" s="22">
        <v>0</v>
      </c>
      <c r="AA117" s="371">
        <v>36.4</v>
      </c>
      <c r="AB117" s="22">
        <v>0.10989010989010989</v>
      </c>
      <c r="AC117" s="24">
        <v>0</v>
      </c>
      <c r="AD117" s="384">
        <v>0</v>
      </c>
    </row>
    <row r="118" spans="1:30">
      <c r="A118" s="21" t="s">
        <v>83</v>
      </c>
      <c r="B118" s="21" t="s">
        <v>84</v>
      </c>
      <c r="C118" s="23">
        <v>326.76958939999355</v>
      </c>
      <c r="D118" s="147">
        <v>17.148170471771675</v>
      </c>
      <c r="E118" s="22">
        <v>37.852552043137479</v>
      </c>
      <c r="F118" s="22">
        <v>55.000722514909157</v>
      </c>
      <c r="G118" s="22">
        <v>0</v>
      </c>
      <c r="H118" s="22">
        <v>37.721956720271024</v>
      </c>
      <c r="I118" s="22">
        <v>1.4566401396642605</v>
      </c>
      <c r="J118" s="22">
        <v>37.772185690604275</v>
      </c>
      <c r="K118" s="22">
        <v>0</v>
      </c>
      <c r="L118" s="22">
        <v>0</v>
      </c>
      <c r="M118" s="388">
        <v>1046.5909174517378</v>
      </c>
      <c r="N118" s="25">
        <v>0.32329999999999998</v>
      </c>
      <c r="O118" s="24">
        <v>0</v>
      </c>
      <c r="P118" s="24">
        <v>28.96235331452494</v>
      </c>
      <c r="Q118" s="24">
        <v>20.903263696570175</v>
      </c>
      <c r="R118" s="22">
        <v>8.0590896179547666</v>
      </c>
      <c r="S118" s="24">
        <v>2.0091588133300147</v>
      </c>
      <c r="T118" s="24">
        <f t="shared" si="7"/>
        <v>30.971512127854954</v>
      </c>
      <c r="U118" s="376">
        <v>339.31</v>
      </c>
      <c r="V118" s="376">
        <v>0</v>
      </c>
      <c r="W118" s="22">
        <f t="shared" si="8"/>
        <v>109.69892299999999</v>
      </c>
      <c r="X118" s="22">
        <f t="shared" si="9"/>
        <v>184.3516750107153</v>
      </c>
      <c r="Y118" s="22">
        <v>128.18989423559302</v>
      </c>
      <c r="Z118" s="22">
        <v>56.161780775122281</v>
      </c>
      <c r="AA118" s="371">
        <v>1051.3183145242217</v>
      </c>
      <c r="AB118" s="22">
        <v>0.17535286170121023</v>
      </c>
      <c r="AC118" s="24">
        <v>4.0352861701210219E-2</v>
      </c>
      <c r="AD118" s="384">
        <v>-400111.89636581403</v>
      </c>
    </row>
    <row r="119" spans="1:30">
      <c r="A119" s="21" t="s">
        <v>101</v>
      </c>
      <c r="B119" s="21" t="s">
        <v>102</v>
      </c>
      <c r="C119" s="23">
        <v>22.2</v>
      </c>
      <c r="D119" s="147">
        <v>0</v>
      </c>
      <c r="E119" s="22">
        <v>0</v>
      </c>
      <c r="F119" s="22">
        <v>0</v>
      </c>
      <c r="G119" s="22">
        <v>0</v>
      </c>
      <c r="H119" s="22">
        <v>0</v>
      </c>
      <c r="I119" s="22">
        <v>0</v>
      </c>
      <c r="J119" s="22">
        <v>0</v>
      </c>
      <c r="K119" s="22">
        <v>0</v>
      </c>
      <c r="L119" s="22">
        <v>0</v>
      </c>
      <c r="M119" s="388">
        <v>33.4</v>
      </c>
      <c r="N119" s="25">
        <v>0.93940000000000001</v>
      </c>
      <c r="O119" s="24">
        <v>33</v>
      </c>
      <c r="P119" s="24">
        <v>0</v>
      </c>
      <c r="Q119" s="24">
        <v>0</v>
      </c>
      <c r="R119" s="22">
        <v>0</v>
      </c>
      <c r="S119" s="24">
        <v>0</v>
      </c>
      <c r="T119" s="24">
        <f t="shared" si="7"/>
        <v>0</v>
      </c>
      <c r="U119" s="376">
        <v>31.38</v>
      </c>
      <c r="V119" s="376">
        <v>0</v>
      </c>
      <c r="W119" s="22">
        <f t="shared" si="8"/>
        <v>29.478372</v>
      </c>
      <c r="X119" s="22">
        <f t="shared" si="9"/>
        <v>3.5</v>
      </c>
      <c r="Y119" s="22">
        <v>3.5</v>
      </c>
      <c r="Z119" s="22">
        <v>0</v>
      </c>
      <c r="AA119" s="371">
        <v>33.4</v>
      </c>
      <c r="AB119" s="22">
        <v>0.10479041916167665</v>
      </c>
      <c r="AC119" s="24">
        <v>0</v>
      </c>
      <c r="AD119" s="384">
        <v>0</v>
      </c>
    </row>
    <row r="120" spans="1:30">
      <c r="A120" s="21" t="s">
        <v>87</v>
      </c>
      <c r="B120" s="21" t="s">
        <v>88</v>
      </c>
      <c r="C120" s="23">
        <v>1366.8709238846757</v>
      </c>
      <c r="D120" s="147">
        <v>64.051982968960871</v>
      </c>
      <c r="E120" s="22">
        <v>359.19741264714003</v>
      </c>
      <c r="F120" s="22">
        <v>423.24939561610091</v>
      </c>
      <c r="G120" s="22">
        <v>0</v>
      </c>
      <c r="H120" s="22">
        <v>81.129832882266001</v>
      </c>
      <c r="I120" s="22">
        <v>8.1973679583864598</v>
      </c>
      <c r="J120" s="22">
        <v>236.00584000781018</v>
      </c>
      <c r="K120" s="22">
        <v>15.309790157574712</v>
      </c>
      <c r="L120" s="22">
        <v>1.2255868761313089</v>
      </c>
      <c r="M120" s="388">
        <v>4810.4385346094541</v>
      </c>
      <c r="N120" s="25">
        <v>0.61299999999999999</v>
      </c>
      <c r="O120" s="24">
        <v>4564.4668823691309</v>
      </c>
      <c r="P120" s="24">
        <v>308.00833133620876</v>
      </c>
      <c r="Q120" s="24">
        <v>196.94400253876961</v>
      </c>
      <c r="R120" s="22">
        <v>111.06432879743913</v>
      </c>
      <c r="S120" s="24">
        <v>23.607616056627673</v>
      </c>
      <c r="T120" s="24">
        <f t="shared" si="7"/>
        <v>331.6159473928364</v>
      </c>
      <c r="U120" s="376">
        <v>2957.52</v>
      </c>
      <c r="V120" s="376">
        <v>241.19</v>
      </c>
      <c r="W120" s="22">
        <f t="shared" si="8"/>
        <v>1812.95976</v>
      </c>
      <c r="X120" s="22">
        <f t="shared" si="9"/>
        <v>687.28923648120485</v>
      </c>
      <c r="Y120" s="22">
        <v>357.11840869562059</v>
      </c>
      <c r="Z120" s="22">
        <v>330.17082778558432</v>
      </c>
      <c r="AA120" s="371">
        <v>4816.605574928868</v>
      </c>
      <c r="AB120" s="22">
        <v>0.14269161669758579</v>
      </c>
      <c r="AC120" s="24">
        <v>7.6916166975857791E-3</v>
      </c>
      <c r="AD120" s="384">
        <v>-346661.25020408345</v>
      </c>
    </row>
    <row r="121" spans="1:30">
      <c r="A121" s="21" t="s">
        <v>17</v>
      </c>
      <c r="B121" s="21" t="s">
        <v>18</v>
      </c>
      <c r="C121" s="23">
        <v>5172.6898686528557</v>
      </c>
      <c r="D121" s="147">
        <v>162.3601237051985</v>
      </c>
      <c r="E121" s="22">
        <v>965.4108555991387</v>
      </c>
      <c r="F121" s="22">
        <v>1127.7709793043373</v>
      </c>
      <c r="G121" s="22">
        <v>439.59390256254051</v>
      </c>
      <c r="H121" s="22">
        <v>270.90492859535254</v>
      </c>
      <c r="I121" s="22">
        <v>13.310677138311346</v>
      </c>
      <c r="J121" s="22">
        <v>794.85336393555383</v>
      </c>
      <c r="K121" s="22">
        <v>28.730971030619212</v>
      </c>
      <c r="L121" s="22">
        <v>0</v>
      </c>
      <c r="M121" s="388">
        <v>18407.601628113527</v>
      </c>
      <c r="N121" s="25">
        <v>0.58799999999999997</v>
      </c>
      <c r="O121" s="24">
        <v>12754.516706615663</v>
      </c>
      <c r="P121" s="24">
        <v>2603.3377931499508</v>
      </c>
      <c r="Q121" s="24">
        <v>1700.2160628378947</v>
      </c>
      <c r="R121" s="22">
        <v>903.121730312056</v>
      </c>
      <c r="S121" s="24">
        <v>494.25306807918361</v>
      </c>
      <c r="T121" s="24">
        <f t="shared" si="7"/>
        <v>3097.5908612291346</v>
      </c>
      <c r="U121" s="376">
        <v>10853.91</v>
      </c>
      <c r="V121" s="376">
        <v>922.95</v>
      </c>
      <c r="W121" s="22">
        <f t="shared" si="8"/>
        <v>6382.09908</v>
      </c>
      <c r="X121" s="22">
        <f t="shared" si="9"/>
        <v>2187.7909847241581</v>
      </c>
      <c r="Y121" s="22">
        <v>1062.7924433677849</v>
      </c>
      <c r="Z121" s="22">
        <v>1124.9985413563732</v>
      </c>
      <c r="AA121" s="371">
        <v>18174.868980273612</v>
      </c>
      <c r="AB121" s="22">
        <v>0.12037451203079992</v>
      </c>
      <c r="AC121" s="24">
        <v>0</v>
      </c>
      <c r="AD121" s="384">
        <v>0</v>
      </c>
    </row>
    <row r="122" spans="1:30">
      <c r="A122" s="21" t="s">
        <v>217</v>
      </c>
      <c r="B122" s="21" t="s">
        <v>218</v>
      </c>
      <c r="C122" s="23">
        <v>7362.5222882715725</v>
      </c>
      <c r="D122" s="147">
        <v>190.40798073928548</v>
      </c>
      <c r="E122" s="22">
        <v>1446.0016437476784</v>
      </c>
      <c r="F122" s="22">
        <v>1636.4096244869638</v>
      </c>
      <c r="G122" s="22">
        <v>0</v>
      </c>
      <c r="H122" s="22">
        <v>737.72293307851476</v>
      </c>
      <c r="I122" s="22">
        <v>53.061884260045687</v>
      </c>
      <c r="J122" s="22">
        <v>52.398861851646778</v>
      </c>
      <c r="K122" s="22">
        <v>187.94676119295622</v>
      </c>
      <c r="L122" s="22">
        <v>6.7105904365222484</v>
      </c>
      <c r="M122" s="388">
        <v>24812.237360541887</v>
      </c>
      <c r="N122" s="25">
        <v>0.52290000000000003</v>
      </c>
      <c r="O122" s="24">
        <v>11600.052118843641</v>
      </c>
      <c r="P122" s="24">
        <v>5848.6324436801115</v>
      </c>
      <c r="Q122" s="24">
        <v>3900.3475285395461</v>
      </c>
      <c r="R122" s="22">
        <v>1948.2849151405649</v>
      </c>
      <c r="S122" s="24">
        <v>737.86357419544788</v>
      </c>
      <c r="T122" s="24">
        <f t="shared" si="7"/>
        <v>6586.4960178755591</v>
      </c>
      <c r="U122" s="376">
        <v>12968.27</v>
      </c>
      <c r="V122" s="376">
        <v>1244.08</v>
      </c>
      <c r="W122" s="22">
        <f t="shared" si="8"/>
        <v>6781.1083830000007</v>
      </c>
      <c r="X122" s="22">
        <f t="shared" si="9"/>
        <v>2676.1214462621047</v>
      </c>
      <c r="Y122" s="22">
        <v>1491.6871189733151</v>
      </c>
      <c r="Z122" s="22">
        <v>1184.4343272887895</v>
      </c>
      <c r="AA122" s="371">
        <v>24925.515029443308</v>
      </c>
      <c r="AB122" s="22">
        <v>0.10736474023108175</v>
      </c>
      <c r="AC122" s="24">
        <v>0</v>
      </c>
      <c r="AD122" s="384">
        <v>0</v>
      </c>
    </row>
    <row r="123" spans="1:30">
      <c r="A123" s="21" t="s">
        <v>505</v>
      </c>
      <c r="B123" s="21" t="s">
        <v>506</v>
      </c>
      <c r="C123" s="23">
        <v>219.19922653430459</v>
      </c>
      <c r="D123" s="147">
        <v>0</v>
      </c>
      <c r="E123" s="22">
        <v>55.503012218241658</v>
      </c>
      <c r="F123" s="22">
        <v>55.503012218241658</v>
      </c>
      <c r="G123" s="22">
        <v>0</v>
      </c>
      <c r="H123" s="22">
        <v>15.942675183773666</v>
      </c>
      <c r="I123" s="22">
        <v>1.4064111693310102</v>
      </c>
      <c r="J123" s="22">
        <v>328.55774074385732</v>
      </c>
      <c r="K123" s="22">
        <v>0</v>
      </c>
      <c r="L123" s="22">
        <v>0</v>
      </c>
      <c r="M123" s="388">
        <v>1055.4111246422567</v>
      </c>
      <c r="N123" s="25">
        <v>0.53800000000000003</v>
      </c>
      <c r="O123" s="24">
        <v>731.36238282939507</v>
      </c>
      <c r="P123" s="24">
        <v>3.0221586067330373</v>
      </c>
      <c r="Q123" s="24">
        <v>0</v>
      </c>
      <c r="R123" s="22">
        <v>3.0221586067330373</v>
      </c>
      <c r="S123" s="24">
        <v>0</v>
      </c>
      <c r="T123" s="24">
        <f t="shared" si="7"/>
        <v>3.0221586067330373</v>
      </c>
      <c r="U123" s="376">
        <v>518.38</v>
      </c>
      <c r="V123" s="376">
        <v>52.92</v>
      </c>
      <c r="W123" s="22">
        <f t="shared" si="8"/>
        <v>278.88844</v>
      </c>
      <c r="X123" s="22">
        <f t="shared" si="9"/>
        <v>139.52298901084188</v>
      </c>
      <c r="Y123" s="22">
        <v>116.60495290978302</v>
      </c>
      <c r="Z123" s="22">
        <v>22.918036101058867</v>
      </c>
      <c r="AA123" s="371">
        <v>1059.4378473143113</v>
      </c>
      <c r="AB123" s="22">
        <v>0.13169530365989329</v>
      </c>
      <c r="AC123" s="24">
        <v>0</v>
      </c>
      <c r="AD123" s="384">
        <v>0</v>
      </c>
    </row>
    <row r="124" spans="1:30">
      <c r="A124" s="21" t="s">
        <v>21</v>
      </c>
      <c r="B124" s="21" t="s">
        <v>22</v>
      </c>
      <c r="C124" s="23">
        <v>435.78654661128019</v>
      </c>
      <c r="D124" s="147">
        <v>0</v>
      </c>
      <c r="E124" s="22">
        <v>85.519844889392076</v>
      </c>
      <c r="F124" s="22">
        <v>85.519844889392076</v>
      </c>
      <c r="G124" s="22">
        <v>0</v>
      </c>
      <c r="H124" s="22">
        <v>25.918148691957189</v>
      </c>
      <c r="I124" s="22">
        <v>0.30137382199950219</v>
      </c>
      <c r="J124" s="22">
        <v>0</v>
      </c>
      <c r="K124" s="22">
        <v>2.8128223386620204</v>
      </c>
      <c r="L124" s="22">
        <v>0</v>
      </c>
      <c r="M124" s="388">
        <v>1397.8822901684243</v>
      </c>
      <c r="N124" s="25">
        <v>0.70530000000000004</v>
      </c>
      <c r="O124" s="24">
        <v>1400.2668211196408</v>
      </c>
      <c r="P124" s="24">
        <v>346.0371604709328</v>
      </c>
      <c r="Q124" s="24">
        <v>221.1212713926339</v>
      </c>
      <c r="R124" s="22">
        <v>124.91588907829889</v>
      </c>
      <c r="S124" s="24">
        <v>68.311399653220505</v>
      </c>
      <c r="T124" s="24">
        <f t="shared" si="7"/>
        <v>414.34856012415332</v>
      </c>
      <c r="U124" s="376">
        <v>988.68</v>
      </c>
      <c r="V124" s="376">
        <v>70.09</v>
      </c>
      <c r="W124" s="22">
        <f t="shared" si="8"/>
        <v>697.31600400000002</v>
      </c>
      <c r="X124" s="22">
        <f t="shared" si="9"/>
        <v>178.81105089837138</v>
      </c>
      <c r="Y124" s="22">
        <v>130.70835974120388</v>
      </c>
      <c r="Z124" s="22">
        <v>48.102691157167513</v>
      </c>
      <c r="AA124" s="371">
        <v>1425.1089648669863</v>
      </c>
      <c r="AB124" s="22">
        <v>0.12547184482490492</v>
      </c>
      <c r="AC124" s="24">
        <v>0</v>
      </c>
      <c r="AD124" s="384">
        <v>0</v>
      </c>
    </row>
    <row r="125" spans="1:30">
      <c r="A125" s="21" t="s">
        <v>247</v>
      </c>
      <c r="B125" s="21" t="s">
        <v>248</v>
      </c>
      <c r="C125" s="23">
        <v>156.91530332107413</v>
      </c>
      <c r="D125" s="147">
        <v>14.727134101709007</v>
      </c>
      <c r="E125" s="22">
        <v>40.876336057199147</v>
      </c>
      <c r="F125" s="22">
        <v>55.603470158908152</v>
      </c>
      <c r="G125" s="22">
        <v>0</v>
      </c>
      <c r="H125" s="22">
        <v>12.697883700245693</v>
      </c>
      <c r="I125" s="22">
        <v>0</v>
      </c>
      <c r="J125" s="22">
        <v>0</v>
      </c>
      <c r="K125" s="22">
        <v>0</v>
      </c>
      <c r="L125" s="22">
        <v>0</v>
      </c>
      <c r="M125" s="388">
        <v>580.59666808204099</v>
      </c>
      <c r="N125" s="25">
        <v>0.47520000000000001</v>
      </c>
      <c r="O125" s="24">
        <v>0</v>
      </c>
      <c r="P125" s="24">
        <v>32.48820502238015</v>
      </c>
      <c r="Q125" s="24">
        <v>13.096020629176495</v>
      </c>
      <c r="R125" s="22">
        <v>19.392184393203657</v>
      </c>
      <c r="S125" s="24">
        <v>5.7763315883237922</v>
      </c>
      <c r="T125" s="24">
        <f t="shared" si="7"/>
        <v>38.264536610703942</v>
      </c>
      <c r="U125" s="376">
        <v>276.67</v>
      </c>
      <c r="V125" s="376">
        <v>0</v>
      </c>
      <c r="W125" s="22">
        <f t="shared" si="8"/>
        <v>131.47358400000002</v>
      </c>
      <c r="X125" s="22">
        <f t="shared" si="9"/>
        <v>83.361208235719616</v>
      </c>
      <c r="Y125" s="22">
        <v>61.450558336905097</v>
      </c>
      <c r="Z125" s="22">
        <v>21.910649898814523</v>
      </c>
      <c r="AA125" s="371">
        <v>582.76284413633164</v>
      </c>
      <c r="AB125" s="22">
        <v>0.14304482359245621</v>
      </c>
      <c r="AC125" s="24">
        <v>8.0448235924562017E-3</v>
      </c>
      <c r="AD125" s="384">
        <v>-43772.309001635425</v>
      </c>
    </row>
    <row r="126" spans="1:30">
      <c r="A126" s="21" t="s">
        <v>261</v>
      </c>
      <c r="B126" s="21" t="s">
        <v>262</v>
      </c>
      <c r="C126" s="23">
        <v>28</v>
      </c>
      <c r="D126" s="147">
        <v>0</v>
      </c>
      <c r="E126" s="22">
        <v>0</v>
      </c>
      <c r="F126" s="22">
        <v>0</v>
      </c>
      <c r="G126" s="22">
        <v>0</v>
      </c>
      <c r="H126" s="22">
        <v>0.64</v>
      </c>
      <c r="I126" s="22">
        <v>0</v>
      </c>
      <c r="J126" s="22">
        <v>0</v>
      </c>
      <c r="K126" s="22">
        <v>0</v>
      </c>
      <c r="L126" s="22">
        <v>0</v>
      </c>
      <c r="M126" s="388">
        <v>92.7</v>
      </c>
      <c r="N126" s="25">
        <v>0.51759999999999995</v>
      </c>
      <c r="O126" s="24">
        <v>91</v>
      </c>
      <c r="P126" s="24">
        <v>0</v>
      </c>
      <c r="Q126" s="24">
        <v>0</v>
      </c>
      <c r="R126" s="22">
        <v>0</v>
      </c>
      <c r="S126" s="24">
        <v>0</v>
      </c>
      <c r="T126" s="24">
        <f t="shared" si="7"/>
        <v>0</v>
      </c>
      <c r="U126" s="376">
        <v>47.98</v>
      </c>
      <c r="V126" s="376">
        <v>4.6399999999999997</v>
      </c>
      <c r="W126" s="22">
        <f t="shared" si="8"/>
        <v>24.834447999999995</v>
      </c>
      <c r="X126" s="22">
        <f t="shared" si="9"/>
        <v>9.5</v>
      </c>
      <c r="Y126" s="22">
        <v>9.25</v>
      </c>
      <c r="Z126" s="22">
        <v>0.25</v>
      </c>
      <c r="AA126" s="371">
        <v>92.7</v>
      </c>
      <c r="AB126" s="22">
        <v>0.10248112189859762</v>
      </c>
      <c r="AC126" s="24">
        <v>0</v>
      </c>
      <c r="AD126" s="384">
        <v>0</v>
      </c>
    </row>
    <row r="127" spans="1:30">
      <c r="A127" s="21" t="s">
        <v>59</v>
      </c>
      <c r="B127" s="21" t="s">
        <v>60</v>
      </c>
      <c r="C127" s="23">
        <v>467.24997362802821</v>
      </c>
      <c r="D127" s="147">
        <v>0</v>
      </c>
      <c r="E127" s="22">
        <v>45.015203212658982</v>
      </c>
      <c r="F127" s="22">
        <v>45.015203212658982</v>
      </c>
      <c r="G127" s="22">
        <v>0</v>
      </c>
      <c r="H127" s="22">
        <v>46.301064853190191</v>
      </c>
      <c r="I127" s="22">
        <v>1.4064111693310102</v>
      </c>
      <c r="J127" s="22">
        <v>86.33355420879073</v>
      </c>
      <c r="K127" s="22">
        <v>3.0137382199950222</v>
      </c>
      <c r="L127" s="22">
        <v>0</v>
      </c>
      <c r="M127" s="388">
        <v>1680.2996987641577</v>
      </c>
      <c r="N127" s="25">
        <v>0.25490000000000002</v>
      </c>
      <c r="O127" s="24">
        <v>0</v>
      </c>
      <c r="P127" s="24">
        <v>43.569453247067955</v>
      </c>
      <c r="Q127" s="24">
        <v>26.695734359475164</v>
      </c>
      <c r="R127" s="22">
        <v>16.873718887592794</v>
      </c>
      <c r="S127" s="24">
        <v>4.2694624783262816</v>
      </c>
      <c r="T127" s="24">
        <f t="shared" si="7"/>
        <v>47.838915725394237</v>
      </c>
      <c r="U127" s="376">
        <v>429.51</v>
      </c>
      <c r="V127" s="376">
        <v>84.25</v>
      </c>
      <c r="W127" s="22">
        <f t="shared" si="8"/>
        <v>109.48209900000001</v>
      </c>
      <c r="X127" s="22">
        <f t="shared" si="9"/>
        <v>222.88419724656151</v>
      </c>
      <c r="Y127" s="22">
        <v>109.30140294351152</v>
      </c>
      <c r="Z127" s="22">
        <v>113.58279430304999</v>
      </c>
      <c r="AA127" s="371">
        <v>1715.0447877349316</v>
      </c>
      <c r="AB127" s="22">
        <v>0.12995823714955329</v>
      </c>
      <c r="AC127" s="24">
        <v>0</v>
      </c>
      <c r="AD127" s="384">
        <v>0</v>
      </c>
    </row>
    <row r="128" spans="1:30">
      <c r="A128" s="21" t="s">
        <v>409</v>
      </c>
      <c r="B128" s="21" t="s">
        <v>410</v>
      </c>
      <c r="C128" s="23">
        <v>153.2988174570801</v>
      </c>
      <c r="D128" s="147">
        <v>0</v>
      </c>
      <c r="E128" s="22">
        <v>15.249515393174811</v>
      </c>
      <c r="F128" s="22">
        <v>15.249515393174811</v>
      </c>
      <c r="G128" s="22">
        <v>0</v>
      </c>
      <c r="H128" s="22">
        <v>15.701576126174066</v>
      </c>
      <c r="I128" s="22">
        <v>1.2758158464645593</v>
      </c>
      <c r="J128" s="22">
        <v>0</v>
      </c>
      <c r="K128" s="22">
        <v>0.80366352533200591</v>
      </c>
      <c r="L128" s="22">
        <v>0</v>
      </c>
      <c r="M128" s="388">
        <v>580.21492790750813</v>
      </c>
      <c r="N128" s="25">
        <v>0.58089999999999997</v>
      </c>
      <c r="O128" s="24">
        <v>584.28399730172055</v>
      </c>
      <c r="P128" s="24">
        <v>11.081248224687805</v>
      </c>
      <c r="Q128" s="24">
        <v>4.2813913595384694</v>
      </c>
      <c r="R128" s="22">
        <v>6.7998568651493345</v>
      </c>
      <c r="S128" s="24">
        <v>1.0045794066650073</v>
      </c>
      <c r="T128" s="24">
        <f t="shared" si="7"/>
        <v>12.085827631352812</v>
      </c>
      <c r="U128" s="376">
        <v>337.99</v>
      </c>
      <c r="V128" s="376">
        <v>29.09</v>
      </c>
      <c r="W128" s="22">
        <f t="shared" si="8"/>
        <v>196.338391</v>
      </c>
      <c r="X128" s="22">
        <f t="shared" si="9"/>
        <v>87.138906494135909</v>
      </c>
      <c r="Y128" s="22">
        <v>74.798425516642681</v>
      </c>
      <c r="Z128" s="22">
        <v>12.340480977493236</v>
      </c>
      <c r="AA128" s="371">
        <v>594.47874566843336</v>
      </c>
      <c r="AB128" s="22">
        <v>0.14658035653765336</v>
      </c>
      <c r="AC128" s="24">
        <v>1.1580356537653352E-2</v>
      </c>
      <c r="AD128" s="384">
        <v>-71329.291823198233</v>
      </c>
    </row>
    <row r="129" spans="1:30">
      <c r="A129" s="21" t="s">
        <v>555</v>
      </c>
      <c r="B129" s="21" t="s">
        <v>556</v>
      </c>
      <c r="C129" s="23">
        <v>26</v>
      </c>
      <c r="D129" s="147">
        <v>0</v>
      </c>
      <c r="E129" s="22">
        <v>3.74</v>
      </c>
      <c r="F129" s="22">
        <v>3.74</v>
      </c>
      <c r="G129" s="22">
        <v>0</v>
      </c>
      <c r="H129" s="22">
        <v>0</v>
      </c>
      <c r="I129" s="22">
        <v>0</v>
      </c>
      <c r="J129" s="22">
        <v>0</v>
      </c>
      <c r="K129" s="22">
        <v>0</v>
      </c>
      <c r="L129" s="22">
        <v>0</v>
      </c>
      <c r="M129" s="388">
        <v>79.400000000000006</v>
      </c>
      <c r="N129" s="25">
        <v>0.42470000000000002</v>
      </c>
      <c r="O129" s="24">
        <v>0</v>
      </c>
      <c r="P129" s="24">
        <v>0</v>
      </c>
      <c r="Q129" s="24">
        <v>0</v>
      </c>
      <c r="R129" s="22">
        <v>0</v>
      </c>
      <c r="S129" s="24">
        <v>0</v>
      </c>
      <c r="T129" s="24">
        <f t="shared" si="7"/>
        <v>0</v>
      </c>
      <c r="U129" s="376">
        <v>33.72</v>
      </c>
      <c r="V129" s="376">
        <v>3.97</v>
      </c>
      <c r="W129" s="22">
        <f t="shared" si="8"/>
        <v>14.320884</v>
      </c>
      <c r="X129" s="22">
        <f t="shared" si="9"/>
        <v>10.5</v>
      </c>
      <c r="Y129" s="22">
        <v>8.5</v>
      </c>
      <c r="Z129" s="22">
        <v>2</v>
      </c>
      <c r="AA129" s="371">
        <v>79.400000000000006</v>
      </c>
      <c r="AB129" s="22">
        <v>0.13224181360201509</v>
      </c>
      <c r="AC129" s="24">
        <v>0</v>
      </c>
      <c r="AD129" s="384">
        <v>0</v>
      </c>
    </row>
    <row r="130" spans="1:30">
      <c r="A130" s="21" t="s">
        <v>35</v>
      </c>
      <c r="B130" s="21" t="s">
        <v>36</v>
      </c>
      <c r="C130" s="23">
        <v>310.01320489682126</v>
      </c>
      <c r="D130" s="147">
        <v>0</v>
      </c>
      <c r="E130" s="22">
        <v>101.66343595449875</v>
      </c>
      <c r="F130" s="22">
        <v>101.66343595449875</v>
      </c>
      <c r="G130" s="22">
        <v>0</v>
      </c>
      <c r="H130" s="22">
        <v>18.855955463102188</v>
      </c>
      <c r="I130" s="22">
        <v>5.022897033325037E-2</v>
      </c>
      <c r="J130" s="22">
        <v>6.4293082026560473</v>
      </c>
      <c r="K130" s="22">
        <v>0</v>
      </c>
      <c r="L130" s="22">
        <v>0</v>
      </c>
      <c r="M130" s="388">
        <v>1260.5663310713844</v>
      </c>
      <c r="N130" s="25">
        <v>0.61150000000000004</v>
      </c>
      <c r="O130" s="24">
        <v>1261.2475252099209</v>
      </c>
      <c r="P130" s="24">
        <v>360.64426040347581</v>
      </c>
      <c r="Q130" s="24">
        <v>231.95067306676063</v>
      </c>
      <c r="R130" s="22">
        <v>128.69358733671518</v>
      </c>
      <c r="S130" s="24">
        <v>33.151120419945244</v>
      </c>
      <c r="T130" s="24">
        <f t="shared" si="7"/>
        <v>393.79538082342106</v>
      </c>
      <c r="U130" s="376">
        <v>772.99</v>
      </c>
      <c r="V130" s="376">
        <v>63.2</v>
      </c>
      <c r="W130" s="22">
        <f t="shared" si="8"/>
        <v>472.68338500000004</v>
      </c>
      <c r="X130" s="22">
        <f t="shared" si="9"/>
        <v>128.94543388727627</v>
      </c>
      <c r="Y130" s="22">
        <v>109.04955639295044</v>
      </c>
      <c r="Z130" s="22">
        <v>19.895877494325831</v>
      </c>
      <c r="AA130" s="371">
        <v>1265.2267007087862</v>
      </c>
      <c r="AB130" s="22">
        <v>0.10191488514670169</v>
      </c>
      <c r="AC130" s="24">
        <v>0</v>
      </c>
      <c r="AD130" s="384">
        <v>0</v>
      </c>
    </row>
    <row r="131" spans="1:30">
      <c r="A131" s="21" t="s">
        <v>155</v>
      </c>
      <c r="B131" s="21" t="s">
        <v>156</v>
      </c>
      <c r="C131" s="23">
        <v>50.42988621458337</v>
      </c>
      <c r="D131" s="147">
        <v>0</v>
      </c>
      <c r="E131" s="22">
        <v>5.0228970333250365</v>
      </c>
      <c r="F131" s="22">
        <v>5.0228970333250365</v>
      </c>
      <c r="G131" s="22">
        <v>0</v>
      </c>
      <c r="H131" s="22">
        <v>6.6603614661889985</v>
      </c>
      <c r="I131" s="22">
        <v>1.0849457591982079</v>
      </c>
      <c r="J131" s="22">
        <v>0</v>
      </c>
      <c r="K131" s="22">
        <v>0</v>
      </c>
      <c r="L131" s="22">
        <v>0</v>
      </c>
      <c r="M131" s="388">
        <v>175.57034290284332</v>
      </c>
      <c r="N131" s="25">
        <v>1</v>
      </c>
      <c r="O131" s="24">
        <v>174.27781298827182</v>
      </c>
      <c r="P131" s="24">
        <v>48.354537707728596</v>
      </c>
      <c r="Q131" s="24">
        <v>27.199427460597338</v>
      </c>
      <c r="R131" s="22">
        <v>21.155110247131262</v>
      </c>
      <c r="S131" s="24">
        <v>3.0137382199950222</v>
      </c>
      <c r="T131" s="24">
        <f t="shared" si="7"/>
        <v>51.368275927723616</v>
      </c>
      <c r="U131" s="376">
        <v>176.06</v>
      </c>
      <c r="V131" s="376">
        <v>0</v>
      </c>
      <c r="W131" s="22">
        <f t="shared" si="8"/>
        <v>176.06</v>
      </c>
      <c r="X131" s="22">
        <f t="shared" si="9"/>
        <v>32.74005157294124</v>
      </c>
      <c r="Y131" s="22">
        <v>17.125565438153878</v>
      </c>
      <c r="Z131" s="22">
        <v>15.614486134787361</v>
      </c>
      <c r="AA131" s="371">
        <v>176.06088656624433</v>
      </c>
      <c r="AB131" s="22">
        <v>0.1859586885621102</v>
      </c>
      <c r="AC131" s="24">
        <v>5.0958688562110194E-2</v>
      </c>
      <c r="AD131" s="384">
        <v>-83952.690063624788</v>
      </c>
    </row>
    <row r="132" spans="1:30">
      <c r="A132" s="21" t="s">
        <v>425</v>
      </c>
      <c r="B132" s="21" t="s">
        <v>426</v>
      </c>
      <c r="C132" s="23">
        <v>2883.9063774776369</v>
      </c>
      <c r="D132" s="147">
        <v>132.78530597298067</v>
      </c>
      <c r="E132" s="22">
        <v>484.81002165653257</v>
      </c>
      <c r="F132" s="22">
        <v>617.59532762951324</v>
      </c>
      <c r="G132" s="22">
        <v>0</v>
      </c>
      <c r="H132" s="22">
        <v>154.67509124421119</v>
      </c>
      <c r="I132" s="22">
        <v>8.1873221643198093</v>
      </c>
      <c r="J132" s="22">
        <v>71.063947227482615</v>
      </c>
      <c r="K132" s="22">
        <v>0</v>
      </c>
      <c r="L132" s="22">
        <v>0</v>
      </c>
      <c r="M132" s="388">
        <v>9338.7710802392412</v>
      </c>
      <c r="N132" s="25">
        <v>0.25</v>
      </c>
      <c r="O132" s="24">
        <v>0</v>
      </c>
      <c r="P132" s="24">
        <v>594.10601277360297</v>
      </c>
      <c r="Q132" s="24">
        <v>449.29424620097825</v>
      </c>
      <c r="R132" s="22">
        <v>144.81176657262472</v>
      </c>
      <c r="S132" s="24">
        <v>149.43118674141985</v>
      </c>
      <c r="T132" s="24">
        <f t="shared" si="7"/>
        <v>743.53719951502285</v>
      </c>
      <c r="U132" s="376">
        <v>2341.2199999999998</v>
      </c>
      <c r="V132" s="376">
        <v>468.24</v>
      </c>
      <c r="W132" s="22">
        <f t="shared" si="8"/>
        <v>585.30499999999995</v>
      </c>
      <c r="X132" s="22">
        <f t="shared" si="9"/>
        <v>1283.4100216592965</v>
      </c>
      <c r="Y132" s="22">
        <v>712.97758463843581</v>
      </c>
      <c r="Z132" s="22">
        <v>570.43243702086079</v>
      </c>
      <c r="AA132" s="371">
        <v>9415.6258040349803</v>
      </c>
      <c r="AB132" s="22">
        <v>0.13630639623648838</v>
      </c>
      <c r="AC132" s="24">
        <v>1.3063962364883719E-3</v>
      </c>
      <c r="AD132" s="384">
        <v>-130841.58039064298</v>
      </c>
    </row>
    <row r="133" spans="1:30">
      <c r="A133" s="21" t="s">
        <v>215</v>
      </c>
      <c r="B133" s="21" t="s">
        <v>216</v>
      </c>
      <c r="C133" s="23">
        <v>9395.7608699793473</v>
      </c>
      <c r="D133" s="147">
        <v>319.16492329153948</v>
      </c>
      <c r="E133" s="22">
        <v>1632.5620853594367</v>
      </c>
      <c r="F133" s="22">
        <v>1951.7270086509761</v>
      </c>
      <c r="G133" s="22">
        <v>314.4032169039474</v>
      </c>
      <c r="H133" s="22">
        <v>510.87885725948951</v>
      </c>
      <c r="I133" s="22">
        <v>41.901007051997453</v>
      </c>
      <c r="J133" s="22">
        <v>292.31251575138384</v>
      </c>
      <c r="K133" s="22">
        <v>0</v>
      </c>
      <c r="L133" s="22">
        <v>0</v>
      </c>
      <c r="M133" s="388">
        <v>30717.506715711126</v>
      </c>
      <c r="N133" s="25">
        <v>0.10920000000000001</v>
      </c>
      <c r="O133" s="24">
        <v>0</v>
      </c>
      <c r="P133" s="24">
        <v>3491.6005769789026</v>
      </c>
      <c r="Q133" s="24">
        <v>2797.0077905314261</v>
      </c>
      <c r="R133" s="22">
        <v>694.59278644747644</v>
      </c>
      <c r="S133" s="24">
        <v>1331.5700035344673</v>
      </c>
      <c r="T133" s="24">
        <f t="shared" si="7"/>
        <v>4823.1705805133697</v>
      </c>
      <c r="U133" s="376">
        <v>3363.72</v>
      </c>
      <c r="V133" s="376">
        <v>1540.17</v>
      </c>
      <c r="W133" s="22">
        <f t="shared" si="8"/>
        <v>367.31822399999999</v>
      </c>
      <c r="X133" s="22">
        <f t="shared" si="9"/>
        <v>2765.2751251607292</v>
      </c>
      <c r="Y133" s="22">
        <v>1832.183655331904</v>
      </c>
      <c r="Z133" s="22">
        <v>933.09146982882532</v>
      </c>
      <c r="AA133" s="371">
        <v>30707.801017843609</v>
      </c>
      <c r="AB133" s="22">
        <v>9.0051225861268624E-2</v>
      </c>
      <c r="AC133" s="24">
        <v>0</v>
      </c>
      <c r="AD133" s="384">
        <v>0</v>
      </c>
    </row>
    <row r="134" spans="1:30">
      <c r="A134" s="21" t="s">
        <v>441</v>
      </c>
      <c r="B134" s="21" t="s">
        <v>442</v>
      </c>
      <c r="C134" s="23">
        <v>718.11354306041392</v>
      </c>
      <c r="D134" s="147">
        <v>18.494306876702787</v>
      </c>
      <c r="E134" s="22">
        <v>103.79314429662855</v>
      </c>
      <c r="F134" s="22">
        <v>122.28745117333133</v>
      </c>
      <c r="G134" s="22">
        <v>0</v>
      </c>
      <c r="H134" s="22">
        <v>33.52281480041129</v>
      </c>
      <c r="I134" s="22">
        <v>1.6173728447306619</v>
      </c>
      <c r="J134" s="22">
        <v>79.793742271401541</v>
      </c>
      <c r="K134" s="22">
        <v>0</v>
      </c>
      <c r="L134" s="22">
        <v>0</v>
      </c>
      <c r="M134" s="388">
        <v>2553.6107143602489</v>
      </c>
      <c r="N134" s="25">
        <v>0.43070000000000003</v>
      </c>
      <c r="O134" s="24">
        <v>0</v>
      </c>
      <c r="P134" s="24">
        <v>209.28448351626287</v>
      </c>
      <c r="Q134" s="24">
        <v>125.41958217942106</v>
      </c>
      <c r="R134" s="22">
        <v>83.864901336841797</v>
      </c>
      <c r="S134" s="24">
        <v>25.114485166625183</v>
      </c>
      <c r="T134" s="24">
        <f t="shared" si="7"/>
        <v>234.39896868288804</v>
      </c>
      <c r="U134" s="376">
        <v>1103.94</v>
      </c>
      <c r="V134" s="376">
        <v>128.04</v>
      </c>
      <c r="W134" s="22">
        <f t="shared" si="8"/>
        <v>475.46695800000003</v>
      </c>
      <c r="X134" s="22">
        <f t="shared" si="9"/>
        <v>405.97663950447134</v>
      </c>
      <c r="Y134" s="22">
        <v>239.7579161341543</v>
      </c>
      <c r="Z134" s="22">
        <v>166.21872337031706</v>
      </c>
      <c r="AA134" s="371">
        <v>2575.3022351414907</v>
      </c>
      <c r="AB134" s="22">
        <v>0.15764232794298275</v>
      </c>
      <c r="AC134" s="24">
        <v>2.2642327942982737E-2</v>
      </c>
      <c r="AD134" s="384">
        <v>-604582.5350770246</v>
      </c>
    </row>
    <row r="135" spans="1:30">
      <c r="A135" s="21" t="s">
        <v>557</v>
      </c>
      <c r="B135" s="21" t="s">
        <v>558</v>
      </c>
      <c r="C135" s="23">
        <v>0</v>
      </c>
      <c r="D135" s="147">
        <v>0</v>
      </c>
      <c r="E135" s="22">
        <v>0</v>
      </c>
      <c r="F135" s="22">
        <v>0</v>
      </c>
      <c r="G135" s="22">
        <v>0</v>
      </c>
      <c r="H135" s="22">
        <v>0</v>
      </c>
      <c r="I135" s="22">
        <v>0</v>
      </c>
      <c r="J135" s="22">
        <v>0</v>
      </c>
      <c r="K135" s="22">
        <v>0</v>
      </c>
      <c r="L135" s="22">
        <v>0</v>
      </c>
      <c r="M135" s="388">
        <v>36.799999999999997</v>
      </c>
      <c r="N135" s="25">
        <v>0.73529999999999995</v>
      </c>
      <c r="O135" s="24">
        <v>37</v>
      </c>
      <c r="P135" s="24">
        <v>0</v>
      </c>
      <c r="Q135" s="24">
        <v>0</v>
      </c>
      <c r="R135" s="22">
        <v>0</v>
      </c>
      <c r="S135" s="24">
        <v>0</v>
      </c>
      <c r="T135" s="24">
        <f t="shared" si="7"/>
        <v>0</v>
      </c>
      <c r="U135" s="376">
        <v>27.06</v>
      </c>
      <c r="V135" s="376">
        <v>1.84</v>
      </c>
      <c r="W135" s="22">
        <f t="shared" si="8"/>
        <v>19.897217999999999</v>
      </c>
      <c r="X135" s="22">
        <f t="shared" si="9"/>
        <v>8</v>
      </c>
      <c r="Y135" s="22">
        <v>3.75</v>
      </c>
      <c r="Z135" s="22">
        <v>4.25</v>
      </c>
      <c r="AA135" s="371">
        <v>36.799999999999997</v>
      </c>
      <c r="AB135" s="22">
        <v>0.21739130434782611</v>
      </c>
      <c r="AC135" s="24">
        <v>8.23913043478261E-2</v>
      </c>
      <c r="AD135" s="384">
        <v>-25436.006983454434</v>
      </c>
    </row>
    <row r="136" spans="1:30">
      <c r="A136" s="21" t="s">
        <v>471</v>
      </c>
      <c r="B136" s="21" t="s">
        <v>472</v>
      </c>
      <c r="C136" s="23">
        <v>187.45451728369036</v>
      </c>
      <c r="D136" s="147">
        <v>0</v>
      </c>
      <c r="E136" s="22">
        <v>30.217748552483418</v>
      </c>
      <c r="F136" s="22">
        <v>30.217748552483418</v>
      </c>
      <c r="G136" s="22">
        <v>0</v>
      </c>
      <c r="H136" s="22">
        <v>7.654895078787356</v>
      </c>
      <c r="I136" s="22">
        <v>0</v>
      </c>
      <c r="J136" s="22">
        <v>4.6210652706590336</v>
      </c>
      <c r="K136" s="22">
        <v>0</v>
      </c>
      <c r="L136" s="22">
        <v>0</v>
      </c>
      <c r="M136" s="388">
        <v>570.57096560352431</v>
      </c>
      <c r="N136" s="25">
        <v>0.32419999999999999</v>
      </c>
      <c r="O136" s="24">
        <v>0</v>
      </c>
      <c r="P136" s="24">
        <v>1.0073862022443458</v>
      </c>
      <c r="Q136" s="24">
        <v>0</v>
      </c>
      <c r="R136" s="22">
        <v>1.0073862022443458</v>
      </c>
      <c r="S136" s="24">
        <v>0</v>
      </c>
      <c r="T136" s="24">
        <f t="shared" si="7"/>
        <v>1.0073862022443458</v>
      </c>
      <c r="U136" s="376">
        <v>185.5</v>
      </c>
      <c r="V136" s="376">
        <v>0</v>
      </c>
      <c r="W136" s="22">
        <f t="shared" si="8"/>
        <v>60.139099999999999</v>
      </c>
      <c r="X136" s="22">
        <f t="shared" si="9"/>
        <v>64.976410044760314</v>
      </c>
      <c r="Y136" s="22">
        <v>49.110077359411861</v>
      </c>
      <c r="Z136" s="22">
        <v>15.866332685348446</v>
      </c>
      <c r="AA136" s="371">
        <v>572.70912983793301</v>
      </c>
      <c r="AB136" s="22">
        <v>0.11345446869887955</v>
      </c>
      <c r="AC136" s="24">
        <v>0</v>
      </c>
      <c r="AD136" s="384">
        <v>0</v>
      </c>
    </row>
    <row r="137" spans="1:30">
      <c r="A137" s="21" t="s">
        <v>9</v>
      </c>
      <c r="B137" s="21" t="s">
        <v>10</v>
      </c>
      <c r="C137" s="23">
        <v>52.238129146580384</v>
      </c>
      <c r="D137" s="147">
        <v>4.7416147994588345</v>
      </c>
      <c r="E137" s="22">
        <v>13.109761256978347</v>
      </c>
      <c r="F137" s="22">
        <v>17.851376056437182</v>
      </c>
      <c r="G137" s="22">
        <v>0</v>
      </c>
      <c r="H137" s="22">
        <v>1.0045794066650073</v>
      </c>
      <c r="I137" s="22">
        <v>0</v>
      </c>
      <c r="J137" s="22">
        <v>0</v>
      </c>
      <c r="K137" s="22">
        <v>0</v>
      </c>
      <c r="L137" s="22">
        <v>0</v>
      </c>
      <c r="M137" s="388">
        <v>189.06184433435439</v>
      </c>
      <c r="N137" s="25">
        <v>0.70589999999999997</v>
      </c>
      <c r="O137" s="24">
        <v>186.36644741520396</v>
      </c>
      <c r="P137" s="24">
        <v>29.21419986508603</v>
      </c>
      <c r="Q137" s="24">
        <v>18.132951640398225</v>
      </c>
      <c r="R137" s="22">
        <v>11.081248224687805</v>
      </c>
      <c r="S137" s="24">
        <v>4.0183176266600293</v>
      </c>
      <c r="T137" s="24">
        <f t="shared" ref="T137:T200" si="10">S137+P137</f>
        <v>33.232517491746059</v>
      </c>
      <c r="U137" s="376">
        <v>133.83000000000001</v>
      </c>
      <c r="V137" s="376">
        <v>0</v>
      </c>
      <c r="W137" s="22">
        <f t="shared" ref="W137:W200" si="11">U137*N137</f>
        <v>94.470597000000012</v>
      </c>
      <c r="X137" s="22">
        <f t="shared" ref="X137:X200" si="12">Y137+Z137</f>
        <v>18.636644741520399</v>
      </c>
      <c r="Y137" s="22">
        <v>16.118179235909533</v>
      </c>
      <c r="Z137" s="22">
        <v>2.5184655056108647</v>
      </c>
      <c r="AA137" s="371">
        <v>189.59008326238586</v>
      </c>
      <c r="AB137" s="22">
        <v>9.8299681190223184E-2</v>
      </c>
      <c r="AC137" s="24">
        <v>0</v>
      </c>
      <c r="AD137" s="384">
        <v>0</v>
      </c>
    </row>
    <row r="138" spans="1:30">
      <c r="A138" s="21" t="s">
        <v>77</v>
      </c>
      <c r="B138" s="21" t="s">
        <v>78</v>
      </c>
      <c r="C138" s="23">
        <v>1867.5332085783818</v>
      </c>
      <c r="D138" s="147">
        <v>46.351293823523442</v>
      </c>
      <c r="E138" s="22">
        <v>378.14378025684209</v>
      </c>
      <c r="F138" s="22">
        <v>424.49507408036555</v>
      </c>
      <c r="G138" s="22">
        <v>0</v>
      </c>
      <c r="H138" s="22">
        <v>133.72961061524578</v>
      </c>
      <c r="I138" s="22">
        <v>10.99009870891518</v>
      </c>
      <c r="J138" s="22">
        <v>108.72562918335373</v>
      </c>
      <c r="K138" s="22">
        <v>28.088040210353604</v>
      </c>
      <c r="L138" s="22">
        <v>1.4465943455976105</v>
      </c>
      <c r="M138" s="388">
        <v>6197.1298101876318</v>
      </c>
      <c r="N138" s="25">
        <v>0.63149999999999995</v>
      </c>
      <c r="O138" s="24">
        <v>4570.5111995825973</v>
      </c>
      <c r="P138" s="24">
        <v>405.72479295391025</v>
      </c>
      <c r="Q138" s="24">
        <v>269.2239625498014</v>
      </c>
      <c r="R138" s="22">
        <v>136.50083040410885</v>
      </c>
      <c r="S138" s="24">
        <v>69.567123911551761</v>
      </c>
      <c r="T138" s="24">
        <f t="shared" si="10"/>
        <v>475.29191686546199</v>
      </c>
      <c r="U138" s="376">
        <v>3898.32</v>
      </c>
      <c r="V138" s="376">
        <v>310.72000000000003</v>
      </c>
      <c r="W138" s="22">
        <f t="shared" si="11"/>
        <v>2461.78908</v>
      </c>
      <c r="X138" s="22">
        <f t="shared" si="12"/>
        <v>1004.6158901881738</v>
      </c>
      <c r="Y138" s="22">
        <v>564.13627325683365</v>
      </c>
      <c r="Z138" s="22">
        <v>440.47961693134022</v>
      </c>
      <c r="AA138" s="371">
        <v>6218.7259866606382</v>
      </c>
      <c r="AB138" s="22">
        <v>0.16154689760299881</v>
      </c>
      <c r="AC138" s="24">
        <v>2.6546897602998804E-2</v>
      </c>
      <c r="AD138" s="384">
        <v>-1551838.7636363048</v>
      </c>
    </row>
    <row r="139" spans="1:30">
      <c r="A139" s="21" t="s">
        <v>493</v>
      </c>
      <c r="B139" s="21" t="s">
        <v>494</v>
      </c>
      <c r="C139" s="23">
        <v>59.270184993235432</v>
      </c>
      <c r="D139" s="147">
        <v>0</v>
      </c>
      <c r="E139" s="22">
        <v>0</v>
      </c>
      <c r="F139" s="22">
        <v>0</v>
      </c>
      <c r="G139" s="22">
        <v>0</v>
      </c>
      <c r="H139" s="22">
        <v>0</v>
      </c>
      <c r="I139" s="22">
        <v>0</v>
      </c>
      <c r="J139" s="22">
        <v>126.87837906179043</v>
      </c>
      <c r="K139" s="22">
        <v>0</v>
      </c>
      <c r="L139" s="22">
        <v>0</v>
      </c>
      <c r="M139" s="388">
        <v>232.15830088028321</v>
      </c>
      <c r="N139" s="25">
        <v>0.56200000000000006</v>
      </c>
      <c r="O139" s="24">
        <v>106.78293743790066</v>
      </c>
      <c r="P139" s="24">
        <v>0</v>
      </c>
      <c r="Q139" s="24">
        <v>0</v>
      </c>
      <c r="R139" s="22">
        <v>0</v>
      </c>
      <c r="S139" s="24">
        <v>0</v>
      </c>
      <c r="T139" s="24">
        <f t="shared" si="10"/>
        <v>0</v>
      </c>
      <c r="U139" s="376">
        <v>129.88</v>
      </c>
      <c r="V139" s="376">
        <v>0</v>
      </c>
      <c r="W139" s="22">
        <f t="shared" si="11"/>
        <v>72.992560000000012</v>
      </c>
      <c r="X139" s="22">
        <f t="shared" si="12"/>
        <v>17.629258539276051</v>
      </c>
      <c r="Y139" s="22">
        <v>10.325708573004544</v>
      </c>
      <c r="Z139" s="22">
        <v>7.3035499662715075</v>
      </c>
      <c r="AA139" s="371">
        <v>232.80695133866831</v>
      </c>
      <c r="AB139" s="22">
        <v>7.5724794461272171E-2</v>
      </c>
      <c r="AC139" s="24">
        <v>0</v>
      </c>
      <c r="AD139" s="384">
        <v>0</v>
      </c>
    </row>
    <row r="140" spans="1:30">
      <c r="A140" s="21" t="s">
        <v>397</v>
      </c>
      <c r="B140" s="21" t="s">
        <v>398</v>
      </c>
      <c r="C140" s="23">
        <v>63.489418501228464</v>
      </c>
      <c r="D140" s="147">
        <v>0.70320558466550509</v>
      </c>
      <c r="E140" s="22">
        <v>12.627563141779142</v>
      </c>
      <c r="F140" s="22">
        <v>13.330768726444647</v>
      </c>
      <c r="G140" s="22">
        <v>0</v>
      </c>
      <c r="H140" s="22">
        <v>1.3260448167978098</v>
      </c>
      <c r="I140" s="22">
        <v>0.10045794066650074</v>
      </c>
      <c r="J140" s="22">
        <v>19.840443281633895</v>
      </c>
      <c r="K140" s="22">
        <v>0</v>
      </c>
      <c r="L140" s="22">
        <v>0</v>
      </c>
      <c r="M140" s="388">
        <v>242.92739211973208</v>
      </c>
      <c r="N140" s="25">
        <v>0.44</v>
      </c>
      <c r="O140" s="24">
        <v>0</v>
      </c>
      <c r="P140" s="24">
        <v>18.132951640398225</v>
      </c>
      <c r="Q140" s="24">
        <v>14.103406831420841</v>
      </c>
      <c r="R140" s="22">
        <v>4.0295448089773833</v>
      </c>
      <c r="S140" s="24">
        <v>0</v>
      </c>
      <c r="T140" s="24">
        <f t="shared" si="10"/>
        <v>18.132951640398225</v>
      </c>
      <c r="U140" s="376">
        <v>107.19</v>
      </c>
      <c r="V140" s="376">
        <v>12.18</v>
      </c>
      <c r="W140" s="22">
        <f t="shared" si="11"/>
        <v>47.163600000000002</v>
      </c>
      <c r="X140" s="22">
        <f t="shared" si="12"/>
        <v>43.065760145945781</v>
      </c>
      <c r="Y140" s="22">
        <v>38.280675685285139</v>
      </c>
      <c r="Z140" s="22">
        <v>4.7850844606606424</v>
      </c>
      <c r="AA140" s="371">
        <v>243.6061314267277</v>
      </c>
      <c r="AB140" s="22">
        <v>0.17678438507981142</v>
      </c>
      <c r="AC140" s="24">
        <v>4.1784385079811415E-2</v>
      </c>
      <c r="AD140" s="384">
        <v>-103281.22339448279</v>
      </c>
    </row>
    <row r="141" spans="1:30">
      <c r="A141" s="21" t="s">
        <v>1232</v>
      </c>
      <c r="B141" s="21" t="s">
        <v>1233</v>
      </c>
      <c r="C141" s="23">
        <v>0</v>
      </c>
      <c r="D141" s="147">
        <v>0</v>
      </c>
      <c r="E141" s="22">
        <v>0</v>
      </c>
      <c r="F141" s="22">
        <v>0</v>
      </c>
      <c r="G141" s="22">
        <v>0</v>
      </c>
      <c r="H141" s="22">
        <v>0</v>
      </c>
      <c r="I141" s="22">
        <v>0</v>
      </c>
      <c r="J141" s="22">
        <v>0</v>
      </c>
      <c r="K141" s="22">
        <v>0.8</v>
      </c>
      <c r="L141" s="22">
        <v>0</v>
      </c>
      <c r="M141" s="388">
        <v>34.599999999999994</v>
      </c>
      <c r="N141" s="25">
        <v>0.87180000000000002</v>
      </c>
      <c r="O141" s="24">
        <v>39</v>
      </c>
      <c r="P141" s="24">
        <v>0</v>
      </c>
      <c r="Q141" s="24">
        <v>0</v>
      </c>
      <c r="R141" s="22">
        <v>0</v>
      </c>
      <c r="S141" s="24">
        <v>0</v>
      </c>
      <c r="T141" s="24">
        <f t="shared" si="10"/>
        <v>0</v>
      </c>
      <c r="U141" s="376">
        <v>29.28</v>
      </c>
      <c r="V141" s="376">
        <v>0</v>
      </c>
      <c r="W141" s="22">
        <f t="shared" si="11"/>
        <v>25.526304000000003</v>
      </c>
      <c r="X141" s="22">
        <f t="shared" si="12"/>
        <v>6.75</v>
      </c>
      <c r="Y141" s="22">
        <v>6.5</v>
      </c>
      <c r="Z141" s="22">
        <v>0.25</v>
      </c>
      <c r="AA141" s="371">
        <v>34.6</v>
      </c>
      <c r="AB141" s="22">
        <v>0.19508670520231214</v>
      </c>
      <c r="AC141" s="24">
        <v>6.008670520231213E-2</v>
      </c>
      <c r="AD141" s="384">
        <v>-18911.171941423527</v>
      </c>
    </row>
    <row r="142" spans="1:30">
      <c r="A142" s="21" t="s">
        <v>553</v>
      </c>
      <c r="B142" s="21" t="s">
        <v>554</v>
      </c>
      <c r="C142" s="23">
        <v>123.1614352571299</v>
      </c>
      <c r="D142" s="147">
        <v>0</v>
      </c>
      <c r="E142" s="22">
        <v>0</v>
      </c>
      <c r="F142" s="22">
        <v>0</v>
      </c>
      <c r="G142" s="22">
        <v>0</v>
      </c>
      <c r="H142" s="22">
        <v>2.0192046073966647</v>
      </c>
      <c r="I142" s="22">
        <v>0</v>
      </c>
      <c r="J142" s="22">
        <v>0</v>
      </c>
      <c r="K142" s="22">
        <v>0</v>
      </c>
      <c r="L142" s="22">
        <v>0</v>
      </c>
      <c r="M142" s="388">
        <v>400.95777858220441</v>
      </c>
      <c r="N142" s="25">
        <v>0.9375</v>
      </c>
      <c r="O142" s="24">
        <v>411.01357051569312</v>
      </c>
      <c r="P142" s="24">
        <v>0</v>
      </c>
      <c r="Q142" s="24">
        <v>0</v>
      </c>
      <c r="R142" s="22">
        <v>0</v>
      </c>
      <c r="S142" s="24">
        <v>0</v>
      </c>
      <c r="T142" s="24">
        <f t="shared" si="10"/>
        <v>0</v>
      </c>
      <c r="U142" s="376">
        <v>376.95</v>
      </c>
      <c r="V142" s="376">
        <v>0</v>
      </c>
      <c r="W142" s="22">
        <f t="shared" si="11"/>
        <v>353.390625</v>
      </c>
      <c r="X142" s="22">
        <f t="shared" si="12"/>
        <v>112.82725465136673</v>
      </c>
      <c r="Y142" s="22">
        <v>88.901832348063522</v>
      </c>
      <c r="Z142" s="22">
        <v>23.925422303303215</v>
      </c>
      <c r="AA142" s="371">
        <v>402.07805490178572</v>
      </c>
      <c r="AB142" s="22">
        <v>0.28061032746223036</v>
      </c>
      <c r="AC142" s="24">
        <v>0.14561032746223035</v>
      </c>
      <c r="AD142" s="384">
        <v>-589085.24807053723</v>
      </c>
    </row>
    <row r="143" spans="1:30">
      <c r="A143" s="21" t="s">
        <v>269</v>
      </c>
      <c r="B143" s="21" t="s">
        <v>270</v>
      </c>
      <c r="C143" s="23">
        <v>62.685754975896458</v>
      </c>
      <c r="D143" s="147">
        <v>0</v>
      </c>
      <c r="E143" s="22">
        <v>0</v>
      </c>
      <c r="F143" s="22">
        <v>0</v>
      </c>
      <c r="G143" s="22">
        <v>0</v>
      </c>
      <c r="H143" s="22">
        <v>13.772783665377251</v>
      </c>
      <c r="I143" s="22">
        <v>0</v>
      </c>
      <c r="J143" s="22">
        <v>0</v>
      </c>
      <c r="K143" s="22">
        <v>0</v>
      </c>
      <c r="L143" s="22">
        <v>0</v>
      </c>
      <c r="M143" s="388">
        <v>215.02017620257817</v>
      </c>
      <c r="N143" s="25">
        <v>0.88739999999999997</v>
      </c>
      <c r="O143" s="24">
        <v>223.63973689824476</v>
      </c>
      <c r="P143" s="24">
        <v>8.0590896179547666</v>
      </c>
      <c r="Q143" s="24">
        <v>6.0443172134660745</v>
      </c>
      <c r="R143" s="22">
        <v>2.0147724044886917</v>
      </c>
      <c r="S143" s="24">
        <v>0</v>
      </c>
      <c r="T143" s="24">
        <f t="shared" si="10"/>
        <v>8.0590896179547666</v>
      </c>
      <c r="U143" s="376">
        <v>191.23</v>
      </c>
      <c r="V143" s="376">
        <v>0</v>
      </c>
      <c r="W143" s="22">
        <f t="shared" si="11"/>
        <v>169.69750199999999</v>
      </c>
      <c r="X143" s="22">
        <f t="shared" si="12"/>
        <v>39.791754988651661</v>
      </c>
      <c r="Y143" s="22">
        <v>35.258517078552103</v>
      </c>
      <c r="Z143" s="22">
        <v>4.5332379100995563</v>
      </c>
      <c r="AA143" s="371">
        <v>215.62094272837976</v>
      </c>
      <c r="AB143" s="22">
        <v>0.18454494487011774</v>
      </c>
      <c r="AC143" s="24">
        <v>4.9544944870117735E-2</v>
      </c>
      <c r="AD143" s="384">
        <v>-100493.24752553448</v>
      </c>
    </row>
    <row r="144" spans="1:30">
      <c r="A144" s="21" t="s">
        <v>545</v>
      </c>
      <c r="B144" s="21" t="s">
        <v>546</v>
      </c>
      <c r="C144" s="23">
        <v>877.85171451421672</v>
      </c>
      <c r="D144" s="147">
        <v>14.998370541508558</v>
      </c>
      <c r="E144" s="22">
        <v>219.72160782577041</v>
      </c>
      <c r="F144" s="22">
        <v>234.71997836727897</v>
      </c>
      <c r="G144" s="22">
        <v>0</v>
      </c>
      <c r="H144" s="22">
        <v>106.67628719375713</v>
      </c>
      <c r="I144" s="22">
        <v>6.4293082026560473</v>
      </c>
      <c r="J144" s="22">
        <v>390.38960322408849</v>
      </c>
      <c r="K144" s="22">
        <v>17.339040559038029</v>
      </c>
      <c r="L144" s="22">
        <v>1.5470522862641114</v>
      </c>
      <c r="M144" s="388">
        <v>3334.6410656600924</v>
      </c>
      <c r="N144" s="25">
        <v>0.32329999999999998</v>
      </c>
      <c r="O144" s="24">
        <v>0</v>
      </c>
      <c r="P144" s="24">
        <v>344.77792771812733</v>
      </c>
      <c r="Q144" s="24">
        <v>231.69882651619955</v>
      </c>
      <c r="R144" s="22">
        <v>113.07910120192781</v>
      </c>
      <c r="S144" s="24">
        <v>82.626656198196855</v>
      </c>
      <c r="T144" s="24">
        <f t="shared" si="10"/>
        <v>427.40458391632421</v>
      </c>
      <c r="U144" s="376">
        <v>1081.0999999999999</v>
      </c>
      <c r="V144" s="376">
        <v>167.2</v>
      </c>
      <c r="W144" s="22">
        <f t="shared" si="11"/>
        <v>349.51962999999995</v>
      </c>
      <c r="X144" s="22">
        <f t="shared" si="12"/>
        <v>450.80532550434475</v>
      </c>
      <c r="Y144" s="22">
        <v>334.70406569568388</v>
      </c>
      <c r="Z144" s="22">
        <v>116.10125980866086</v>
      </c>
      <c r="AA144" s="371">
        <v>3346.6175547518965</v>
      </c>
      <c r="AB144" s="22">
        <v>0.13470476328083611</v>
      </c>
      <c r="AC144" s="24">
        <v>0</v>
      </c>
      <c r="AD144" s="384">
        <v>0</v>
      </c>
    </row>
    <row r="145" spans="1:30">
      <c r="A145" s="21" t="s">
        <v>591</v>
      </c>
      <c r="B145" s="21" t="s">
        <v>592</v>
      </c>
      <c r="C145" s="23">
        <v>238.68806702360573</v>
      </c>
      <c r="D145" s="147">
        <v>0</v>
      </c>
      <c r="E145" s="22">
        <v>77.734354487738258</v>
      </c>
      <c r="F145" s="22">
        <v>77.734354487738258</v>
      </c>
      <c r="G145" s="22">
        <v>0</v>
      </c>
      <c r="H145" s="22">
        <v>10.628450122515778</v>
      </c>
      <c r="I145" s="22">
        <v>0.92421305413180677</v>
      </c>
      <c r="J145" s="22">
        <v>0</v>
      </c>
      <c r="K145" s="22">
        <v>3.6164858639940265</v>
      </c>
      <c r="L145" s="22">
        <v>0</v>
      </c>
      <c r="M145" s="388">
        <v>812.02162599545875</v>
      </c>
      <c r="N145" s="25">
        <v>0.99119999999999997</v>
      </c>
      <c r="O145" s="24">
        <v>821.0197548291419</v>
      </c>
      <c r="P145" s="24">
        <v>332.18560019007305</v>
      </c>
      <c r="Q145" s="24">
        <v>145.81915277486905</v>
      </c>
      <c r="R145" s="22">
        <v>186.36644741520396</v>
      </c>
      <c r="S145" s="24">
        <v>29.132802793285212</v>
      </c>
      <c r="T145" s="24">
        <f t="shared" si="10"/>
        <v>361.31840298335828</v>
      </c>
      <c r="U145" s="376">
        <v>807.12</v>
      </c>
      <c r="V145" s="376">
        <v>40.71</v>
      </c>
      <c r="W145" s="22">
        <f t="shared" si="11"/>
        <v>800.01734399999998</v>
      </c>
      <c r="X145" s="22">
        <f t="shared" si="12"/>
        <v>84.11674788740288</v>
      </c>
      <c r="Y145" s="22">
        <v>31.732665370696893</v>
      </c>
      <c r="Z145" s="22">
        <v>52.38408251670598</v>
      </c>
      <c r="AA145" s="371">
        <v>817.55434629342119</v>
      </c>
      <c r="AB145" s="22">
        <v>0.10288826457686433</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91.399999999999991</v>
      </c>
      <c r="N146" s="25">
        <v>0.73629999999999995</v>
      </c>
      <c r="O146" s="24">
        <v>93</v>
      </c>
      <c r="P146" s="24">
        <v>5</v>
      </c>
      <c r="Q146" s="24">
        <v>2</v>
      </c>
      <c r="R146" s="22">
        <v>3</v>
      </c>
      <c r="S146" s="24">
        <v>1</v>
      </c>
      <c r="T146" s="24">
        <f t="shared" si="10"/>
        <v>6</v>
      </c>
      <c r="U146" s="376">
        <v>67.3</v>
      </c>
      <c r="V146" s="376">
        <v>0</v>
      </c>
      <c r="W146" s="22">
        <f t="shared" si="11"/>
        <v>49.552989999999994</v>
      </c>
      <c r="X146" s="22">
        <f t="shared" si="12"/>
        <v>9.75</v>
      </c>
      <c r="Y146" s="22">
        <v>7.75</v>
      </c>
      <c r="Z146" s="22">
        <v>2</v>
      </c>
      <c r="AA146" s="371">
        <v>91.4</v>
      </c>
      <c r="AB146" s="22">
        <v>0.10667396061269147</v>
      </c>
      <c r="AC146" s="24">
        <v>0</v>
      </c>
      <c r="AD146" s="384">
        <v>0</v>
      </c>
    </row>
    <row r="147" spans="1:30">
      <c r="A147" s="21" t="s">
        <v>29</v>
      </c>
      <c r="B147" s="21" t="s">
        <v>30</v>
      </c>
      <c r="C147" s="23">
        <v>162.72177229159789</v>
      </c>
      <c r="D147" s="147">
        <v>4.6311110647256841</v>
      </c>
      <c r="E147" s="22">
        <v>12.406555672312841</v>
      </c>
      <c r="F147" s="22">
        <v>17.037666737038524</v>
      </c>
      <c r="G147" s="22">
        <v>0</v>
      </c>
      <c r="H147" s="22">
        <v>0</v>
      </c>
      <c r="I147" s="22">
        <v>0</v>
      </c>
      <c r="J147" s="22">
        <v>0</v>
      </c>
      <c r="K147" s="22">
        <v>0</v>
      </c>
      <c r="L147" s="22">
        <v>0</v>
      </c>
      <c r="M147" s="388">
        <v>601.40150759407334</v>
      </c>
      <c r="N147" s="25">
        <v>0.70520000000000005</v>
      </c>
      <c r="O147" s="24">
        <v>610.47603856007356</v>
      </c>
      <c r="P147" s="24">
        <v>215.83249383085109</v>
      </c>
      <c r="Q147" s="24">
        <v>133.47867179737582</v>
      </c>
      <c r="R147" s="22">
        <v>82.353822033475268</v>
      </c>
      <c r="S147" s="24">
        <v>33.151120419945244</v>
      </c>
      <c r="T147" s="24">
        <f t="shared" si="10"/>
        <v>248.98361425079634</v>
      </c>
      <c r="U147" s="376">
        <v>425.29</v>
      </c>
      <c r="V147" s="376">
        <v>30.15</v>
      </c>
      <c r="W147" s="22">
        <f t="shared" si="11"/>
        <v>299.91450800000001</v>
      </c>
      <c r="X147" s="22">
        <f t="shared" si="12"/>
        <v>72.531806561592902</v>
      </c>
      <c r="Y147" s="22">
        <v>58.17655317961097</v>
      </c>
      <c r="Z147" s="22">
        <v>14.355253381981928</v>
      </c>
      <c r="AA147" s="371">
        <v>603.08182383560006</v>
      </c>
      <c r="AB147" s="22">
        <v>0.12026859987304982</v>
      </c>
      <c r="AC147" s="24">
        <v>0</v>
      </c>
      <c r="AD147" s="384">
        <v>0</v>
      </c>
    </row>
    <row r="148" spans="1:30">
      <c r="A148" s="21" t="s">
        <v>319</v>
      </c>
      <c r="B148" s="21" t="s">
        <v>320</v>
      </c>
      <c r="C148" s="23">
        <v>59.069269111902429</v>
      </c>
      <c r="D148" s="147">
        <v>4.8822559163919363</v>
      </c>
      <c r="E148" s="22">
        <v>18.705268552102439</v>
      </c>
      <c r="F148" s="22">
        <v>23.587524468494376</v>
      </c>
      <c r="G148" s="22">
        <v>0</v>
      </c>
      <c r="H148" s="22">
        <v>4.4904699477925822</v>
      </c>
      <c r="I148" s="22">
        <v>0.33151120419945246</v>
      </c>
      <c r="J148" s="22">
        <v>1280.2359958538855</v>
      </c>
      <c r="K148" s="22">
        <v>0</v>
      </c>
      <c r="L148" s="22">
        <v>0</v>
      </c>
      <c r="M148" s="388">
        <v>1447.01626894841</v>
      </c>
      <c r="N148" s="25">
        <v>0.20680000000000001</v>
      </c>
      <c r="O148" s="24">
        <v>171.25565438153879</v>
      </c>
      <c r="P148" s="24">
        <v>31.480818820135806</v>
      </c>
      <c r="Q148" s="24">
        <v>27.954967112280595</v>
      </c>
      <c r="R148" s="22">
        <v>3.5258517078552103</v>
      </c>
      <c r="S148" s="24">
        <v>5.2740418849912887</v>
      </c>
      <c r="T148" s="24">
        <f t="shared" si="10"/>
        <v>36.754860705127093</v>
      </c>
      <c r="U148" s="376">
        <v>300.08</v>
      </c>
      <c r="V148" s="376">
        <v>72.55</v>
      </c>
      <c r="W148" s="22">
        <f t="shared" si="11"/>
        <v>62.056544000000002</v>
      </c>
      <c r="X148" s="22">
        <f t="shared" si="12"/>
        <v>248.06885230267017</v>
      </c>
      <c r="Y148" s="22">
        <v>213.56587487580131</v>
      </c>
      <c r="Z148" s="22">
        <v>34.502977426868846</v>
      </c>
      <c r="AA148" s="371">
        <v>1452.6106081882569</v>
      </c>
      <c r="AB148" s="22">
        <v>0.17077450137313102</v>
      </c>
      <c r="AC148" s="24">
        <v>3.5774501373131012E-2</v>
      </c>
      <c r="AD148" s="384">
        <v>-466295.46254041238</v>
      </c>
    </row>
    <row r="149" spans="1:30">
      <c r="A149" s="21" t="s">
        <v>501</v>
      </c>
      <c r="B149" s="21" t="s">
        <v>502</v>
      </c>
      <c r="C149" s="23">
        <v>118.74128586780387</v>
      </c>
      <c r="D149" s="147">
        <v>0</v>
      </c>
      <c r="E149" s="22">
        <v>39.510108064134734</v>
      </c>
      <c r="F149" s="22">
        <v>39.510108064134734</v>
      </c>
      <c r="G149" s="22">
        <v>0</v>
      </c>
      <c r="H149" s="22">
        <v>5.947110087456843</v>
      </c>
      <c r="I149" s="22">
        <v>1.0246709947983075</v>
      </c>
      <c r="J149" s="22">
        <v>37.95300998380398</v>
      </c>
      <c r="K149" s="22">
        <v>0</v>
      </c>
      <c r="L149" s="22">
        <v>0</v>
      </c>
      <c r="M149" s="388">
        <v>452.7840301720521</v>
      </c>
      <c r="N149" s="25">
        <v>0.78349999999999997</v>
      </c>
      <c r="O149" s="24">
        <v>453.32379100995564</v>
      </c>
      <c r="P149" s="24">
        <v>1.0073862022443458</v>
      </c>
      <c r="Q149" s="24">
        <v>0</v>
      </c>
      <c r="R149" s="22">
        <v>1.0073862022443458</v>
      </c>
      <c r="S149" s="24">
        <v>0</v>
      </c>
      <c r="T149" s="24">
        <f t="shared" si="10"/>
        <v>1.0073862022443458</v>
      </c>
      <c r="U149" s="376">
        <v>355.75</v>
      </c>
      <c r="V149" s="376">
        <v>22.7</v>
      </c>
      <c r="W149" s="22">
        <f t="shared" si="11"/>
        <v>278.73012499999999</v>
      </c>
      <c r="X149" s="22">
        <f t="shared" si="12"/>
        <v>71.524420359348554</v>
      </c>
      <c r="Y149" s="22">
        <v>52.38408251670598</v>
      </c>
      <c r="Z149" s="22">
        <v>19.14033784264257</v>
      </c>
      <c r="AA149" s="371">
        <v>454.04910907557161</v>
      </c>
      <c r="AB149" s="22">
        <v>0.15752573659921901</v>
      </c>
      <c r="AC149" s="24">
        <v>2.2525736599218998E-2</v>
      </c>
      <c r="AD149" s="384">
        <v>-95600.683501714288</v>
      </c>
    </row>
    <row r="150" spans="1:30">
      <c r="A150" s="21" t="s">
        <v>433</v>
      </c>
      <c r="B150" s="21" t="s">
        <v>434</v>
      </c>
      <c r="C150" s="23">
        <v>2877.2962449817805</v>
      </c>
      <c r="D150" s="147">
        <v>201.96064391593308</v>
      </c>
      <c r="E150" s="22">
        <v>589.11550145056015</v>
      </c>
      <c r="F150" s="22">
        <v>791.07614536649317</v>
      </c>
      <c r="G150" s="22">
        <v>0</v>
      </c>
      <c r="H150" s="22">
        <v>155.38834262294336</v>
      </c>
      <c r="I150" s="22">
        <v>8.4686043981860113</v>
      </c>
      <c r="J150" s="22">
        <v>338.29211519444124</v>
      </c>
      <c r="K150" s="22">
        <v>76.870416198006353</v>
      </c>
      <c r="L150" s="22">
        <v>0</v>
      </c>
      <c r="M150" s="388">
        <v>9969.0040168045998</v>
      </c>
      <c r="N150" s="25">
        <v>0.50609999999999999</v>
      </c>
      <c r="O150" s="24">
        <v>6428.1313565211703</v>
      </c>
      <c r="P150" s="24">
        <v>1024.0080745813775</v>
      </c>
      <c r="Q150" s="24">
        <v>624.32759884093332</v>
      </c>
      <c r="R150" s="22">
        <v>399.68047574044419</v>
      </c>
      <c r="S150" s="24">
        <v>197.39985340967394</v>
      </c>
      <c r="T150" s="24">
        <f t="shared" si="10"/>
        <v>1221.4079279910516</v>
      </c>
      <c r="U150" s="376">
        <v>5062.41</v>
      </c>
      <c r="V150" s="376">
        <v>499.84</v>
      </c>
      <c r="W150" s="22">
        <f t="shared" si="11"/>
        <v>2562.085701</v>
      </c>
      <c r="X150" s="22">
        <f t="shared" si="12"/>
        <v>1514.6051550743739</v>
      </c>
      <c r="Y150" s="22">
        <v>735.39192763837241</v>
      </c>
      <c r="Z150" s="22">
        <v>779.21322743600149</v>
      </c>
      <c r="AA150" s="371">
        <v>10026.686126592356</v>
      </c>
      <c r="AB150" s="22">
        <v>0.15105740181268881</v>
      </c>
      <c r="AC150" s="24">
        <v>1.6057401812688804E-2</v>
      </c>
      <c r="AD150" s="384">
        <v>-1670055.3652283303</v>
      </c>
    </row>
    <row r="151" spans="1:30">
      <c r="A151" s="21" t="s">
        <v>147</v>
      </c>
      <c r="B151" s="21" t="s">
        <v>148</v>
      </c>
      <c r="C151" s="23">
        <v>125.98430338985857</v>
      </c>
      <c r="D151" s="147">
        <v>0</v>
      </c>
      <c r="E151" s="22">
        <v>0</v>
      </c>
      <c r="F151" s="22">
        <v>0</v>
      </c>
      <c r="G151" s="22">
        <v>0</v>
      </c>
      <c r="H151" s="22">
        <v>0</v>
      </c>
      <c r="I151" s="22">
        <v>0</v>
      </c>
      <c r="J151" s="22">
        <v>0</v>
      </c>
      <c r="K151" s="22">
        <v>0</v>
      </c>
      <c r="L151" s="22">
        <v>0</v>
      </c>
      <c r="M151" s="388">
        <v>293.08604189451586</v>
      </c>
      <c r="N151" s="25">
        <v>0.60860000000000003</v>
      </c>
      <c r="O151" s="24">
        <v>293.14938485310466</v>
      </c>
      <c r="P151" s="24">
        <v>2.2666189550497782</v>
      </c>
      <c r="Q151" s="24">
        <v>2.2666189550497782</v>
      </c>
      <c r="R151" s="22">
        <v>0</v>
      </c>
      <c r="S151" s="24">
        <v>0</v>
      </c>
      <c r="T151" s="24">
        <f t="shared" si="10"/>
        <v>2.2666189550497782</v>
      </c>
      <c r="U151" s="376">
        <v>178.87</v>
      </c>
      <c r="V151" s="376">
        <v>14.7</v>
      </c>
      <c r="W151" s="22">
        <f t="shared" si="11"/>
        <v>108.86028200000001</v>
      </c>
      <c r="X151" s="22">
        <f t="shared" si="12"/>
        <v>61.954251438027271</v>
      </c>
      <c r="Y151" s="22">
        <v>51.880389415583814</v>
      </c>
      <c r="Z151" s="22">
        <v>10.073862022443459</v>
      </c>
      <c r="AA151" s="371">
        <v>293.90492450478791</v>
      </c>
      <c r="AB151" s="22">
        <v>0.21079691516709512</v>
      </c>
      <c r="AC151" s="24">
        <v>7.5796915167095108E-2</v>
      </c>
      <c r="AD151" s="384">
        <v>-214865.6566803451</v>
      </c>
    </row>
    <row r="152" spans="1:30">
      <c r="A152" s="21" t="s">
        <v>461</v>
      </c>
      <c r="B152" s="21" t="s">
        <v>462</v>
      </c>
      <c r="C152" s="23">
        <v>2643.6712581677666</v>
      </c>
      <c r="D152" s="147">
        <v>407.97978863479278</v>
      </c>
      <c r="E152" s="22">
        <v>323.31383624106593</v>
      </c>
      <c r="F152" s="22">
        <v>731.29362487585877</v>
      </c>
      <c r="G152" s="22">
        <v>0</v>
      </c>
      <c r="H152" s="22">
        <v>303.75467519329828</v>
      </c>
      <c r="I152" s="22">
        <v>12.376418290112891</v>
      </c>
      <c r="J152" s="22">
        <v>540.70481984337357</v>
      </c>
      <c r="K152" s="22">
        <v>9.9754735081835229</v>
      </c>
      <c r="L152" s="22">
        <v>1.7077849913305123</v>
      </c>
      <c r="M152" s="388">
        <v>10233.941743724363</v>
      </c>
      <c r="N152" s="25">
        <v>0.29310000000000003</v>
      </c>
      <c r="O152" s="24">
        <v>354.59994319000975</v>
      </c>
      <c r="P152" s="24">
        <v>285.09029523514988</v>
      </c>
      <c r="Q152" s="24">
        <v>165.7150302691949</v>
      </c>
      <c r="R152" s="22">
        <v>119.37526496595498</v>
      </c>
      <c r="S152" s="24">
        <v>84.384670159860619</v>
      </c>
      <c r="T152" s="24">
        <f t="shared" si="10"/>
        <v>369.47496539501049</v>
      </c>
      <c r="U152" s="376">
        <v>3007.95</v>
      </c>
      <c r="V152" s="376">
        <v>513.13</v>
      </c>
      <c r="W152" s="22">
        <f t="shared" si="11"/>
        <v>881.63014500000008</v>
      </c>
      <c r="X152" s="22">
        <f t="shared" si="12"/>
        <v>1357.452907524256</v>
      </c>
      <c r="Y152" s="22">
        <v>630.62376260496046</v>
      </c>
      <c r="Z152" s="22">
        <v>726.82914491929557</v>
      </c>
      <c r="AA152" s="371">
        <v>10318.818051381193</v>
      </c>
      <c r="AB152" s="22">
        <v>0.13155120099656747</v>
      </c>
      <c r="AC152" s="24">
        <v>0</v>
      </c>
      <c r="AD152" s="384">
        <v>0</v>
      </c>
    </row>
    <row r="153" spans="1:30">
      <c r="A153" s="21" t="s">
        <v>459</v>
      </c>
      <c r="B153" s="21" t="s">
        <v>460</v>
      </c>
      <c r="C153" s="23">
        <v>567.90883017586202</v>
      </c>
      <c r="D153" s="147">
        <v>1.8283345201303134</v>
      </c>
      <c r="E153" s="22">
        <v>129.10854534458676</v>
      </c>
      <c r="F153" s="22">
        <v>130.93687986471707</v>
      </c>
      <c r="G153" s="22">
        <v>0</v>
      </c>
      <c r="H153" s="22">
        <v>23.537295498161122</v>
      </c>
      <c r="I153" s="22">
        <v>1.3059532286645097</v>
      </c>
      <c r="J153" s="22">
        <v>84.053158955661161</v>
      </c>
      <c r="K153" s="22">
        <v>0</v>
      </c>
      <c r="L153" s="22">
        <v>0</v>
      </c>
      <c r="M153" s="388">
        <v>1764.0816212800196</v>
      </c>
      <c r="N153" s="25">
        <v>0.38279999999999997</v>
      </c>
      <c r="O153" s="24">
        <v>22.16249644937561</v>
      </c>
      <c r="P153" s="24">
        <v>21.155110247131262</v>
      </c>
      <c r="Q153" s="24">
        <v>16.621872337031707</v>
      </c>
      <c r="R153" s="22">
        <v>4.5332379100995563</v>
      </c>
      <c r="S153" s="24">
        <v>0</v>
      </c>
      <c r="T153" s="24">
        <f t="shared" si="10"/>
        <v>21.155110247131262</v>
      </c>
      <c r="U153" s="376">
        <v>677.18</v>
      </c>
      <c r="V153" s="376">
        <v>88.45</v>
      </c>
      <c r="W153" s="22">
        <f t="shared" si="11"/>
        <v>259.22450399999997</v>
      </c>
      <c r="X153" s="22">
        <f t="shared" si="12"/>
        <v>232.20251961732174</v>
      </c>
      <c r="Y153" s="22">
        <v>186.61829396576508</v>
      </c>
      <c r="Z153" s="22">
        <v>45.58422565155665</v>
      </c>
      <c r="AA153" s="371">
        <v>1782.3583337688985</v>
      </c>
      <c r="AB153" s="22">
        <v>0.13027824720650658</v>
      </c>
      <c r="AC153" s="24">
        <v>0</v>
      </c>
      <c r="AD153" s="384">
        <v>0</v>
      </c>
    </row>
    <row r="154" spans="1:30">
      <c r="A154" s="21" t="s">
        <v>189</v>
      </c>
      <c r="B154" s="21" t="s">
        <v>190</v>
      </c>
      <c r="C154" s="23">
        <v>952.43168966502685</v>
      </c>
      <c r="D154" s="147">
        <v>16.264140593906468</v>
      </c>
      <c r="E154" s="22">
        <v>289.77092985252136</v>
      </c>
      <c r="F154" s="22">
        <v>306.03507044642782</v>
      </c>
      <c r="G154" s="22">
        <v>0</v>
      </c>
      <c r="H154" s="22">
        <v>47.235323701388651</v>
      </c>
      <c r="I154" s="22">
        <v>3.2246998953946737</v>
      </c>
      <c r="J154" s="22">
        <v>12.667746318045742</v>
      </c>
      <c r="K154" s="22">
        <v>0</v>
      </c>
      <c r="L154" s="22">
        <v>0</v>
      </c>
      <c r="M154" s="388">
        <v>4008.9549465899113</v>
      </c>
      <c r="N154" s="25">
        <v>3.4500000000000003E-2</v>
      </c>
      <c r="O154" s="24">
        <v>0</v>
      </c>
      <c r="P154" s="24">
        <v>115.09387360641651</v>
      </c>
      <c r="Q154" s="24">
        <v>89.405525449185689</v>
      </c>
      <c r="R154" s="22">
        <v>25.68834815723082</v>
      </c>
      <c r="S154" s="24">
        <v>112.51289354648083</v>
      </c>
      <c r="T154" s="24">
        <f t="shared" si="10"/>
        <v>227.60676715289733</v>
      </c>
      <c r="U154" s="376">
        <v>138.69999999999999</v>
      </c>
      <c r="V154" s="376">
        <v>201.01</v>
      </c>
      <c r="W154" s="22">
        <f t="shared" si="11"/>
        <v>4.7851499999999998</v>
      </c>
      <c r="X154" s="22">
        <f t="shared" si="12"/>
        <v>391.11769302136724</v>
      </c>
      <c r="Y154" s="22">
        <v>262.17225913409101</v>
      </c>
      <c r="Z154" s="22">
        <v>128.94543388727627</v>
      </c>
      <c r="AA154" s="371">
        <v>4035.0652853656825</v>
      </c>
      <c r="AB154" s="22">
        <v>9.6929706302365748E-2</v>
      </c>
      <c r="AC154" s="24">
        <v>0</v>
      </c>
      <c r="AD154" s="384">
        <v>0</v>
      </c>
    </row>
    <row r="155" spans="1:30">
      <c r="A155" s="21" t="s">
        <v>547</v>
      </c>
      <c r="B155" s="21" t="s">
        <v>548</v>
      </c>
      <c r="C155" s="23">
        <v>446.80678270239531</v>
      </c>
      <c r="D155" s="147">
        <v>0</v>
      </c>
      <c r="E155" s="22">
        <v>61.952412009031001</v>
      </c>
      <c r="F155" s="22">
        <v>61.952412009031001</v>
      </c>
      <c r="G155" s="22">
        <v>0</v>
      </c>
      <c r="H155" s="22">
        <v>44.151264922927076</v>
      </c>
      <c r="I155" s="22">
        <v>2.4612195463292683</v>
      </c>
      <c r="J155" s="22">
        <v>225.35729829716107</v>
      </c>
      <c r="K155" s="22">
        <v>8.7398408379855628</v>
      </c>
      <c r="L155" s="22">
        <v>0.90412146599850662</v>
      </c>
      <c r="M155" s="388">
        <v>1749.6659067943765</v>
      </c>
      <c r="N155" s="25">
        <v>0.37790000000000001</v>
      </c>
      <c r="O155" s="24">
        <v>0</v>
      </c>
      <c r="P155" s="24">
        <v>190.89968532530352</v>
      </c>
      <c r="Q155" s="24">
        <v>134.48605799962016</v>
      </c>
      <c r="R155" s="22">
        <v>56.413627325683365</v>
      </c>
      <c r="S155" s="24">
        <v>24.109905759960178</v>
      </c>
      <c r="T155" s="24">
        <f t="shared" si="10"/>
        <v>215.00959108526371</v>
      </c>
      <c r="U155" s="376">
        <v>663.05</v>
      </c>
      <c r="V155" s="376">
        <v>87.73</v>
      </c>
      <c r="W155" s="22">
        <f t="shared" si="11"/>
        <v>250.56659499999998</v>
      </c>
      <c r="X155" s="22">
        <f t="shared" si="12"/>
        <v>192.66261117923113</v>
      </c>
      <c r="Y155" s="22">
        <v>135.24159765130344</v>
      </c>
      <c r="Z155" s="22">
        <v>57.421013527927713</v>
      </c>
      <c r="AA155" s="371">
        <v>1757.9392922264956</v>
      </c>
      <c r="AB155" s="22">
        <v>0.10959571358986848</v>
      </c>
      <c r="AC155" s="24">
        <v>0</v>
      </c>
      <c r="AD155" s="384">
        <v>0</v>
      </c>
    </row>
    <row r="156" spans="1:30">
      <c r="A156" s="21" t="s">
        <v>337</v>
      </c>
      <c r="B156" s="21" t="s">
        <v>338</v>
      </c>
      <c r="C156" s="23">
        <v>213.63385662138046</v>
      </c>
      <c r="D156" s="147">
        <v>0</v>
      </c>
      <c r="E156" s="22">
        <v>39.309192182801738</v>
      </c>
      <c r="F156" s="22">
        <v>39.309192182801738</v>
      </c>
      <c r="G156" s="22">
        <v>0</v>
      </c>
      <c r="H156" s="22">
        <v>7.1023764051216025</v>
      </c>
      <c r="I156" s="22">
        <v>0.2812822338662021</v>
      </c>
      <c r="J156" s="22">
        <v>25.817690751290691</v>
      </c>
      <c r="K156" s="22">
        <v>0</v>
      </c>
      <c r="L156" s="22">
        <v>0</v>
      </c>
      <c r="M156" s="388">
        <v>719.42954208314507</v>
      </c>
      <c r="N156" s="25">
        <v>0.39369999999999999</v>
      </c>
      <c r="O156" s="24">
        <v>42.310220494262524</v>
      </c>
      <c r="P156" s="24">
        <v>24.177268853864298</v>
      </c>
      <c r="Q156" s="24">
        <v>16.118179235909533</v>
      </c>
      <c r="R156" s="22">
        <v>8.0590896179547666</v>
      </c>
      <c r="S156" s="24">
        <v>3.264883071661274</v>
      </c>
      <c r="T156" s="24">
        <f t="shared" si="10"/>
        <v>27.442151925525572</v>
      </c>
      <c r="U156" s="376">
        <v>284.02999999999997</v>
      </c>
      <c r="V156" s="376">
        <v>36.07</v>
      </c>
      <c r="W156" s="22">
        <f t="shared" si="11"/>
        <v>111.82261099999998</v>
      </c>
      <c r="X156" s="22">
        <f t="shared" si="12"/>
        <v>77.820584123375724</v>
      </c>
      <c r="Y156" s="22">
        <v>68.754108303176608</v>
      </c>
      <c r="Z156" s="22">
        <v>9.0664758201991127</v>
      </c>
      <c r="AA156" s="371">
        <v>721.44970259931063</v>
      </c>
      <c r="AB156" s="22">
        <v>0.10786695710455767</v>
      </c>
      <c r="AC156" s="24">
        <v>0</v>
      </c>
      <c r="AD156" s="384">
        <v>0</v>
      </c>
    </row>
    <row r="157" spans="1:30">
      <c r="A157" s="21" t="s">
        <v>419</v>
      </c>
      <c r="B157" s="21" t="s">
        <v>420</v>
      </c>
      <c r="C157" s="23">
        <v>10.27</v>
      </c>
      <c r="D157" s="147">
        <v>0</v>
      </c>
      <c r="E157" s="22">
        <v>0</v>
      </c>
      <c r="F157" s="22">
        <v>0</v>
      </c>
      <c r="G157" s="22">
        <v>0</v>
      </c>
      <c r="H157" s="22">
        <v>0</v>
      </c>
      <c r="I157" s="22">
        <v>0</v>
      </c>
      <c r="J157" s="22">
        <v>0</v>
      </c>
      <c r="K157" s="22">
        <v>0</v>
      </c>
      <c r="L157" s="22">
        <v>0</v>
      </c>
      <c r="M157" s="388">
        <v>25.989999999999995</v>
      </c>
      <c r="N157" s="25">
        <v>0.51160000000000005</v>
      </c>
      <c r="O157" s="24">
        <v>34</v>
      </c>
      <c r="P157" s="24">
        <v>0</v>
      </c>
      <c r="Q157" s="24">
        <v>0</v>
      </c>
      <c r="R157" s="22">
        <v>0</v>
      </c>
      <c r="S157" s="24">
        <v>0</v>
      </c>
      <c r="T157" s="24">
        <f t="shared" si="10"/>
        <v>0</v>
      </c>
      <c r="U157" s="376">
        <v>13.3</v>
      </c>
      <c r="V157" s="376">
        <v>0</v>
      </c>
      <c r="W157" s="22">
        <f t="shared" si="11"/>
        <v>6.8042800000000012</v>
      </c>
      <c r="X157" s="22">
        <f t="shared" si="12"/>
        <v>5.25</v>
      </c>
      <c r="Y157" s="22">
        <v>4.25</v>
      </c>
      <c r="Z157" s="22">
        <v>1</v>
      </c>
      <c r="AA157" s="371">
        <v>25.99</v>
      </c>
      <c r="AB157" s="22">
        <v>0.20200076952674106</v>
      </c>
      <c r="AC157" s="24">
        <v>6.7000769526741055E-2</v>
      </c>
      <c r="AD157" s="384">
        <v>-16741.399619479362</v>
      </c>
    </row>
    <row r="158" spans="1:30">
      <c r="A158" s="21" t="s">
        <v>437</v>
      </c>
      <c r="B158" s="21" t="s">
        <v>438</v>
      </c>
      <c r="C158" s="23">
        <v>1389.7351511803713</v>
      </c>
      <c r="D158" s="147">
        <v>74.770845238076504</v>
      </c>
      <c r="E158" s="22">
        <v>386.41146877369505</v>
      </c>
      <c r="F158" s="22">
        <v>461.18231401177155</v>
      </c>
      <c r="G158" s="22">
        <v>0</v>
      </c>
      <c r="H158" s="22">
        <v>161.45600223919999</v>
      </c>
      <c r="I158" s="22">
        <v>13.772783665377251</v>
      </c>
      <c r="J158" s="22">
        <v>766.81555269553337</v>
      </c>
      <c r="K158" s="22">
        <v>0</v>
      </c>
      <c r="L158" s="22">
        <v>0</v>
      </c>
      <c r="M158" s="388">
        <v>5819.4782738400545</v>
      </c>
      <c r="N158" s="25">
        <v>0.31219999999999998</v>
      </c>
      <c r="O158" s="24">
        <v>599.39479033538578</v>
      </c>
      <c r="P158" s="24">
        <v>666.13412623407362</v>
      </c>
      <c r="Q158" s="24">
        <v>435.69453247067958</v>
      </c>
      <c r="R158" s="22">
        <v>230.4395937633941</v>
      </c>
      <c r="S158" s="24">
        <v>119.04265968980337</v>
      </c>
      <c r="T158" s="24">
        <f t="shared" si="10"/>
        <v>785.17678592387699</v>
      </c>
      <c r="U158" s="376">
        <v>1817.25</v>
      </c>
      <c r="V158" s="376">
        <v>291.79000000000002</v>
      </c>
      <c r="W158" s="22">
        <f t="shared" si="11"/>
        <v>567.34544999999991</v>
      </c>
      <c r="X158" s="22">
        <f t="shared" si="12"/>
        <v>713.22943118899684</v>
      </c>
      <c r="Y158" s="22">
        <v>550.03286642541286</v>
      </c>
      <c r="Z158" s="22">
        <v>163.19656476358404</v>
      </c>
      <c r="AA158" s="371">
        <v>5891.0031073465088</v>
      </c>
      <c r="AB158" s="22">
        <v>0.12107096502793352</v>
      </c>
      <c r="AC158" s="24">
        <v>0</v>
      </c>
      <c r="AD158" s="384">
        <v>0</v>
      </c>
    </row>
    <row r="159" spans="1:30">
      <c r="A159" s="21" t="s">
        <v>149</v>
      </c>
      <c r="B159" s="21" t="s">
        <v>150</v>
      </c>
      <c r="C159" s="23">
        <v>362.83399009926734</v>
      </c>
      <c r="D159" s="147">
        <v>22.020380594096963</v>
      </c>
      <c r="E159" s="22">
        <v>146.96996719509059</v>
      </c>
      <c r="F159" s="22">
        <v>168.99034778918755</v>
      </c>
      <c r="G159" s="22">
        <v>0</v>
      </c>
      <c r="H159" s="22">
        <v>49.264574102851959</v>
      </c>
      <c r="I159" s="22">
        <v>2.3306242234628169</v>
      </c>
      <c r="J159" s="22">
        <v>0</v>
      </c>
      <c r="K159" s="22">
        <v>12.054952879980089</v>
      </c>
      <c r="L159" s="22">
        <v>0</v>
      </c>
      <c r="M159" s="388">
        <v>1361.9685763801504</v>
      </c>
      <c r="N159" s="25">
        <v>0.3649</v>
      </c>
      <c r="O159" s="24">
        <v>0</v>
      </c>
      <c r="P159" s="24">
        <v>24.177268853864298</v>
      </c>
      <c r="Q159" s="24">
        <v>15.110793033665187</v>
      </c>
      <c r="R159" s="22">
        <v>9.0664758201991127</v>
      </c>
      <c r="S159" s="24">
        <v>8.0366352533200587</v>
      </c>
      <c r="T159" s="24">
        <f t="shared" si="10"/>
        <v>32.213904107184355</v>
      </c>
      <c r="U159" s="376">
        <v>498.37</v>
      </c>
      <c r="V159" s="376">
        <v>68.290000000000006</v>
      </c>
      <c r="W159" s="22">
        <f t="shared" si="11"/>
        <v>181.85521299999999</v>
      </c>
      <c r="X159" s="22">
        <f t="shared" si="12"/>
        <v>191.40337842642572</v>
      </c>
      <c r="Y159" s="22">
        <v>103.00523917948436</v>
      </c>
      <c r="Z159" s="22">
        <v>88.398139246941341</v>
      </c>
      <c r="AA159" s="371">
        <v>1366.6805651368143</v>
      </c>
      <c r="AB159" s="22">
        <v>0.14004982825468429</v>
      </c>
      <c r="AC159" s="24">
        <v>5.0498282546842799E-3</v>
      </c>
      <c r="AD159" s="384">
        <v>-65567.116144695159</v>
      </c>
    </row>
    <row r="160" spans="1:30">
      <c r="A160" s="21" t="s">
        <v>277</v>
      </c>
      <c r="B160" s="21" t="s">
        <v>278</v>
      </c>
      <c r="C160" s="23">
        <v>129.59074345978595</v>
      </c>
      <c r="D160" s="147">
        <v>26.430484189356342</v>
      </c>
      <c r="E160" s="22">
        <v>56.21626359697381</v>
      </c>
      <c r="F160" s="22">
        <v>82.646747786330153</v>
      </c>
      <c r="G160" s="22">
        <v>0</v>
      </c>
      <c r="H160" s="22">
        <v>5.8566979408569928</v>
      </c>
      <c r="I160" s="22">
        <v>1.9087008726635137</v>
      </c>
      <c r="J160" s="22">
        <v>0</v>
      </c>
      <c r="K160" s="22">
        <v>1.0045794066650073</v>
      </c>
      <c r="L160" s="22">
        <v>0</v>
      </c>
      <c r="M160" s="388">
        <v>382.29269320636854</v>
      </c>
      <c r="N160" s="25">
        <v>0.59050000000000002</v>
      </c>
      <c r="O160" s="24">
        <v>390.86584647080616</v>
      </c>
      <c r="P160" s="24">
        <v>0</v>
      </c>
      <c r="Q160" s="24">
        <v>0</v>
      </c>
      <c r="R160" s="22">
        <v>0</v>
      </c>
      <c r="S160" s="24">
        <v>0</v>
      </c>
      <c r="T160" s="24">
        <f t="shared" si="10"/>
        <v>0</v>
      </c>
      <c r="U160" s="376">
        <v>226.37</v>
      </c>
      <c r="V160" s="376">
        <v>19.170000000000002</v>
      </c>
      <c r="W160" s="22">
        <f t="shared" si="11"/>
        <v>133.67148500000002</v>
      </c>
      <c r="X160" s="22">
        <f t="shared" si="12"/>
        <v>44.828685999873386</v>
      </c>
      <c r="Y160" s="22">
        <v>30.221586067330374</v>
      </c>
      <c r="Z160" s="22">
        <v>14.607099932543015</v>
      </c>
      <c r="AA160" s="371">
        <v>383.37089312610823</v>
      </c>
      <c r="AB160" s="22">
        <v>0.11693294092915703</v>
      </c>
      <c r="AC160" s="24">
        <v>0</v>
      </c>
      <c r="AD160" s="384">
        <v>0</v>
      </c>
    </row>
    <row r="161" spans="1:30">
      <c r="A161" s="21" t="s">
        <v>133</v>
      </c>
      <c r="B161" s="21" t="s">
        <v>134</v>
      </c>
      <c r="C161" s="23">
        <v>2546.9704444821932</v>
      </c>
      <c r="D161" s="147">
        <v>33.804097034277497</v>
      </c>
      <c r="E161" s="22">
        <v>418.17626961244258</v>
      </c>
      <c r="F161" s="22">
        <v>451.98036664672009</v>
      </c>
      <c r="G161" s="22">
        <v>210.96167539965154</v>
      </c>
      <c r="H161" s="22">
        <v>212.60918562658213</v>
      </c>
      <c r="I161" s="22">
        <v>12.647654729912443</v>
      </c>
      <c r="J161" s="22">
        <v>185.31476314749389</v>
      </c>
      <c r="K161" s="22">
        <v>104.03424335422817</v>
      </c>
      <c r="L161" s="22">
        <v>0</v>
      </c>
      <c r="M161" s="388">
        <v>8407.1643216743832</v>
      </c>
      <c r="N161" s="25">
        <v>0.63880000000000003</v>
      </c>
      <c r="O161" s="24">
        <v>7647.068661236829</v>
      </c>
      <c r="P161" s="24">
        <v>1103.591584558681</v>
      </c>
      <c r="Q161" s="24">
        <v>658.07503661611895</v>
      </c>
      <c r="R161" s="22">
        <v>445.51654794256194</v>
      </c>
      <c r="S161" s="24">
        <v>305.14099477449599</v>
      </c>
      <c r="T161" s="24">
        <f t="shared" si="10"/>
        <v>1408.732579333177</v>
      </c>
      <c r="U161" s="376">
        <v>5385.5</v>
      </c>
      <c r="V161" s="376">
        <v>421.53</v>
      </c>
      <c r="W161" s="22">
        <f t="shared" si="11"/>
        <v>3440.2574</v>
      </c>
      <c r="X161" s="22">
        <f t="shared" si="12"/>
        <v>1123.9911551541288</v>
      </c>
      <c r="Y161" s="22">
        <v>756.29519133494261</v>
      </c>
      <c r="Z161" s="22">
        <v>367.6959638191862</v>
      </c>
      <c r="AA161" s="371">
        <v>8347.5345092433909</v>
      </c>
      <c r="AB161" s="22">
        <v>0.13464947690956067</v>
      </c>
      <c r="AC161" s="24">
        <v>0</v>
      </c>
      <c r="AD161" s="384">
        <v>0</v>
      </c>
    </row>
    <row r="162" spans="1:30">
      <c r="A162" s="21" t="s">
        <v>275</v>
      </c>
      <c r="B162" s="21" t="s">
        <v>276</v>
      </c>
      <c r="C162" s="23">
        <v>174.79681675971128</v>
      </c>
      <c r="D162" s="147">
        <v>14.626676161042507</v>
      </c>
      <c r="E162" s="22">
        <v>34.436982060476453</v>
      </c>
      <c r="F162" s="22">
        <v>49.063658221518963</v>
      </c>
      <c r="G162" s="22">
        <v>0</v>
      </c>
      <c r="H162" s="22">
        <v>6.0777054103232944</v>
      </c>
      <c r="I162" s="22">
        <v>0.17077849913305126</v>
      </c>
      <c r="J162" s="22">
        <v>13.421180873044497</v>
      </c>
      <c r="K162" s="22">
        <v>0</v>
      </c>
      <c r="L162" s="22">
        <v>0</v>
      </c>
      <c r="M162" s="388">
        <v>579.56195129317598</v>
      </c>
      <c r="N162" s="25">
        <v>0.65010000000000001</v>
      </c>
      <c r="O162" s="24">
        <v>587.30615590845366</v>
      </c>
      <c r="P162" s="24">
        <v>55.154394572877933</v>
      </c>
      <c r="Q162" s="24">
        <v>30.473432617891461</v>
      </c>
      <c r="R162" s="22">
        <v>24.680961954986472</v>
      </c>
      <c r="S162" s="24">
        <v>10.045794066650073</v>
      </c>
      <c r="T162" s="24">
        <f t="shared" si="10"/>
        <v>65.200188639528008</v>
      </c>
      <c r="U162" s="376">
        <v>377.83</v>
      </c>
      <c r="V162" s="376">
        <v>29.06</v>
      </c>
      <c r="W162" s="22">
        <f t="shared" si="11"/>
        <v>245.62728300000001</v>
      </c>
      <c r="X162" s="22">
        <f t="shared" si="12"/>
        <v>91.923990954796551</v>
      </c>
      <c r="Y162" s="22">
        <v>42.813913595384697</v>
      </c>
      <c r="Z162" s="22">
        <v>49.110077359411861</v>
      </c>
      <c r="AA162" s="371">
        <v>581.18124779880793</v>
      </c>
      <c r="AB162" s="22">
        <v>0.15816751022672121</v>
      </c>
      <c r="AC162" s="24">
        <v>2.31675102267212E-2</v>
      </c>
      <c r="AD162" s="384">
        <v>-126292.04531890161</v>
      </c>
    </row>
    <row r="163" spans="1:30">
      <c r="A163" s="21" t="s">
        <v>609</v>
      </c>
      <c r="B163" s="21" t="s">
        <v>610</v>
      </c>
      <c r="C163" s="23">
        <v>240.49630995560275</v>
      </c>
      <c r="D163" s="147">
        <v>2.3306242234628169</v>
      </c>
      <c r="E163" s="22">
        <v>22.904410471962169</v>
      </c>
      <c r="F163" s="22">
        <v>25.235034695424986</v>
      </c>
      <c r="G163" s="22">
        <v>0</v>
      </c>
      <c r="H163" s="22">
        <v>2.4310821641293177</v>
      </c>
      <c r="I163" s="22">
        <v>0.38174017453270281</v>
      </c>
      <c r="J163" s="22">
        <v>21.698915183964161</v>
      </c>
      <c r="K163" s="22">
        <v>1.2054952879980088</v>
      </c>
      <c r="L163" s="22">
        <v>0</v>
      </c>
      <c r="M163" s="388">
        <v>826.30674515823512</v>
      </c>
      <c r="N163" s="25">
        <v>0.996</v>
      </c>
      <c r="O163" s="24">
        <v>824.0419134358749</v>
      </c>
      <c r="P163" s="24">
        <v>125.41958217942106</v>
      </c>
      <c r="Q163" s="24">
        <v>76.057658269448112</v>
      </c>
      <c r="R163" s="22">
        <v>49.361923909972944</v>
      </c>
      <c r="S163" s="24">
        <v>17.077849913305126</v>
      </c>
      <c r="T163" s="24">
        <f t="shared" si="10"/>
        <v>142.49743209272617</v>
      </c>
      <c r="U163" s="376">
        <v>825.3</v>
      </c>
      <c r="V163" s="376">
        <v>41.43</v>
      </c>
      <c r="W163" s="22">
        <f t="shared" si="11"/>
        <v>821.99879999999996</v>
      </c>
      <c r="X163" s="22">
        <f t="shared" si="12"/>
        <v>123.40480977493237</v>
      </c>
      <c r="Y163" s="22">
        <v>71.524420359348554</v>
      </c>
      <c r="Z163" s="22">
        <v>51.880389415583814</v>
      </c>
      <c r="AA163" s="371">
        <v>829.15943534327619</v>
      </c>
      <c r="AB163" s="22">
        <v>0.14883121932254459</v>
      </c>
      <c r="AC163" s="24">
        <v>1.383121932254458E-2</v>
      </c>
      <c r="AD163" s="384">
        <v>-107518.53412027868</v>
      </c>
    </row>
    <row r="164" spans="1:30">
      <c r="A164" s="21" t="s">
        <v>551</v>
      </c>
      <c r="B164" s="21" t="s">
        <v>552</v>
      </c>
      <c r="C164" s="23">
        <v>442.04507631480317</v>
      </c>
      <c r="D164" s="147">
        <v>7.5242997559209055</v>
      </c>
      <c r="E164" s="22">
        <v>88.202071905187637</v>
      </c>
      <c r="F164" s="22">
        <v>95.726371661108544</v>
      </c>
      <c r="G164" s="22">
        <v>0</v>
      </c>
      <c r="H164" s="22">
        <v>41.016977174132251</v>
      </c>
      <c r="I164" s="22">
        <v>3.7169438046605272</v>
      </c>
      <c r="J164" s="22">
        <v>80.818413266199826</v>
      </c>
      <c r="K164" s="22">
        <v>14.435806073776154</v>
      </c>
      <c r="L164" s="22">
        <v>0.43196914486595317</v>
      </c>
      <c r="M164" s="388">
        <v>1649.5897063024083</v>
      </c>
      <c r="N164" s="25">
        <v>0.55310000000000004</v>
      </c>
      <c r="O164" s="24">
        <v>1301.5429732996947</v>
      </c>
      <c r="P164" s="24">
        <v>87.894446145819174</v>
      </c>
      <c r="Q164" s="24">
        <v>51.628542865022723</v>
      </c>
      <c r="R164" s="22">
        <v>36.265903280796451</v>
      </c>
      <c r="S164" s="24">
        <v>17.077849913305126</v>
      </c>
      <c r="T164" s="24">
        <f t="shared" si="10"/>
        <v>104.9722960591243</v>
      </c>
      <c r="U164" s="376">
        <v>914.94</v>
      </c>
      <c r="V164" s="376">
        <v>82.71</v>
      </c>
      <c r="W164" s="22">
        <f t="shared" si="11"/>
        <v>506.05331400000006</v>
      </c>
      <c r="X164" s="22">
        <f t="shared" si="12"/>
        <v>287.8606072913218</v>
      </c>
      <c r="Y164" s="22">
        <v>209.28448351626284</v>
      </c>
      <c r="Z164" s="22">
        <v>78.576123775058974</v>
      </c>
      <c r="AA164" s="371">
        <v>1654.3094736016199</v>
      </c>
      <c r="AB164" s="22">
        <v>0.17400650355015893</v>
      </c>
      <c r="AC164" s="24">
        <v>3.9006503550158916E-2</v>
      </c>
      <c r="AD164" s="384">
        <v>-654533.67649918259</v>
      </c>
    </row>
    <row r="165" spans="1:30">
      <c r="A165" s="21" t="s">
        <v>417</v>
      </c>
      <c r="B165" s="21" t="s">
        <v>418</v>
      </c>
      <c r="C165" s="23">
        <v>26.8</v>
      </c>
      <c r="D165" s="147">
        <v>0</v>
      </c>
      <c r="E165" s="22">
        <v>0</v>
      </c>
      <c r="F165" s="22">
        <v>0</v>
      </c>
      <c r="G165" s="22">
        <v>0</v>
      </c>
      <c r="H165" s="22">
        <v>0</v>
      </c>
      <c r="I165" s="22">
        <v>0</v>
      </c>
      <c r="J165" s="22">
        <v>0</v>
      </c>
      <c r="K165" s="22">
        <v>0</v>
      </c>
      <c r="L165" s="22">
        <v>0</v>
      </c>
      <c r="M165" s="388">
        <v>59.8</v>
      </c>
      <c r="N165" s="25">
        <v>0.22409999999999999</v>
      </c>
      <c r="O165" s="24">
        <v>0</v>
      </c>
      <c r="P165" s="24">
        <v>0</v>
      </c>
      <c r="Q165" s="24">
        <v>0</v>
      </c>
      <c r="R165" s="22">
        <v>0</v>
      </c>
      <c r="S165" s="24">
        <v>0</v>
      </c>
      <c r="T165" s="24">
        <f t="shared" si="10"/>
        <v>0</v>
      </c>
      <c r="U165" s="376">
        <v>13.4</v>
      </c>
      <c r="V165" s="376">
        <v>2.99</v>
      </c>
      <c r="W165" s="22">
        <f t="shared" si="11"/>
        <v>3.0029400000000002</v>
      </c>
      <c r="X165" s="22">
        <f t="shared" si="12"/>
        <v>4.5</v>
      </c>
      <c r="Y165" s="22">
        <v>4.5</v>
      </c>
      <c r="Z165" s="22">
        <v>0</v>
      </c>
      <c r="AA165" s="371">
        <v>59.8</v>
      </c>
      <c r="AB165" s="22">
        <v>7.5250836120401343E-2</v>
      </c>
      <c r="AC165" s="24">
        <v>0</v>
      </c>
      <c r="AD165" s="384">
        <v>0</v>
      </c>
    </row>
    <row r="166" spans="1:30">
      <c r="A166" s="21" t="s">
        <v>413</v>
      </c>
      <c r="B166" s="21" t="s">
        <v>414</v>
      </c>
      <c r="C166" s="23">
        <v>1800.5478537419592</v>
      </c>
      <c r="D166" s="147">
        <v>0</v>
      </c>
      <c r="E166" s="22">
        <v>423.21925823390097</v>
      </c>
      <c r="F166" s="22">
        <v>423.21925823390097</v>
      </c>
      <c r="G166" s="22">
        <v>192.23631525941582</v>
      </c>
      <c r="H166" s="22">
        <v>113.64806827601228</v>
      </c>
      <c r="I166" s="22">
        <v>6.4493997907893474</v>
      </c>
      <c r="J166" s="22">
        <v>405.56879805879674</v>
      </c>
      <c r="K166" s="22">
        <v>23.306242234628169</v>
      </c>
      <c r="L166" s="22">
        <v>0</v>
      </c>
      <c r="M166" s="388">
        <v>6612.7142649308771</v>
      </c>
      <c r="N166" s="25">
        <v>0.63229999999999997</v>
      </c>
      <c r="O166" s="24">
        <v>6156.1370819151971</v>
      </c>
      <c r="P166" s="24">
        <v>1580.0852582202565</v>
      </c>
      <c r="Q166" s="24">
        <v>996.55680057021914</v>
      </c>
      <c r="R166" s="22">
        <v>583.52845765003735</v>
      </c>
      <c r="S166" s="24">
        <v>183.58688656803008</v>
      </c>
      <c r="T166" s="24">
        <f t="shared" si="10"/>
        <v>1763.6721447882865</v>
      </c>
      <c r="U166" s="376">
        <v>4192.8999999999996</v>
      </c>
      <c r="V166" s="376">
        <v>331.56</v>
      </c>
      <c r="W166" s="22">
        <f t="shared" si="11"/>
        <v>2651.1706699999995</v>
      </c>
      <c r="X166" s="22">
        <f t="shared" si="12"/>
        <v>864.3373615256487</v>
      </c>
      <c r="Y166" s="22">
        <v>517.79650795359373</v>
      </c>
      <c r="Z166" s="22">
        <v>346.54085357205497</v>
      </c>
      <c r="AA166" s="371">
        <v>6465.4348675902784</v>
      </c>
      <c r="AB166" s="22">
        <v>0.13368588180485289</v>
      </c>
      <c r="AC166" s="24">
        <v>0</v>
      </c>
      <c r="AD166" s="384">
        <v>0</v>
      </c>
    </row>
    <row r="167" spans="1:30">
      <c r="A167" s="21" t="s">
        <v>223</v>
      </c>
      <c r="B167" s="21" t="s">
        <v>224</v>
      </c>
      <c r="C167" s="23">
        <v>160.93362094773417</v>
      </c>
      <c r="D167" s="147">
        <v>0.27123643979955198</v>
      </c>
      <c r="E167" s="22">
        <v>6.5900409077224475</v>
      </c>
      <c r="F167" s="22">
        <v>6.8612773475219999</v>
      </c>
      <c r="G167" s="22">
        <v>0</v>
      </c>
      <c r="H167" s="22">
        <v>2.7023186039288696</v>
      </c>
      <c r="I167" s="22">
        <v>0.33151120419945246</v>
      </c>
      <c r="J167" s="22">
        <v>0</v>
      </c>
      <c r="K167" s="22">
        <v>0</v>
      </c>
      <c r="L167" s="22">
        <v>0</v>
      </c>
      <c r="M167" s="388">
        <v>528.74027910999337</v>
      </c>
      <c r="N167" s="25">
        <v>0.82310000000000005</v>
      </c>
      <c r="O167" s="24">
        <v>523.84082516705985</v>
      </c>
      <c r="P167" s="24">
        <v>0</v>
      </c>
      <c r="Q167" s="24">
        <v>0</v>
      </c>
      <c r="R167" s="22">
        <v>0</v>
      </c>
      <c r="S167" s="24">
        <v>0</v>
      </c>
      <c r="T167" s="24">
        <f t="shared" si="10"/>
        <v>0</v>
      </c>
      <c r="U167" s="376">
        <v>436.42</v>
      </c>
      <c r="V167" s="376">
        <v>0</v>
      </c>
      <c r="W167" s="22">
        <f t="shared" si="11"/>
        <v>359.21730200000002</v>
      </c>
      <c r="X167" s="22">
        <f t="shared" si="12"/>
        <v>0</v>
      </c>
      <c r="Y167" s="22">
        <v>0</v>
      </c>
      <c r="Z167" s="22">
        <v>0</v>
      </c>
      <c r="AA167" s="371">
        <v>530.76156837647852</v>
      </c>
      <c r="AB167" s="22">
        <v>0</v>
      </c>
      <c r="AC167" s="24">
        <v>0</v>
      </c>
      <c r="AD167" s="384">
        <v>0</v>
      </c>
    </row>
    <row r="168" spans="1:30">
      <c r="A168" s="21" t="s">
        <v>427</v>
      </c>
      <c r="B168" s="21" t="s">
        <v>428</v>
      </c>
      <c r="C168" s="23">
        <v>4418.4315585406348</v>
      </c>
      <c r="D168" s="147">
        <v>167.70448614865631</v>
      </c>
      <c r="E168" s="22">
        <v>556.6776324093471</v>
      </c>
      <c r="F168" s="22">
        <v>724.38211855800341</v>
      </c>
      <c r="G168" s="22">
        <v>484.88034221499913</v>
      </c>
      <c r="H168" s="22">
        <v>289.31886911952211</v>
      </c>
      <c r="I168" s="22">
        <v>26.129110367356841</v>
      </c>
      <c r="J168" s="22">
        <v>0</v>
      </c>
      <c r="K168" s="22">
        <v>37.571269809271271</v>
      </c>
      <c r="L168" s="22">
        <v>0</v>
      </c>
      <c r="M168" s="388">
        <v>15103.680600709255</v>
      </c>
      <c r="N168" s="25">
        <v>0.49730000000000002</v>
      </c>
      <c r="O168" s="24">
        <v>8755.1934837056087</v>
      </c>
      <c r="P168" s="24">
        <v>3277.7828555525402</v>
      </c>
      <c r="Q168" s="24">
        <v>2274.929891218294</v>
      </c>
      <c r="R168" s="22">
        <v>1002.8529643342463</v>
      </c>
      <c r="S168" s="24">
        <v>549.25379059409272</v>
      </c>
      <c r="T168" s="24">
        <f t="shared" si="10"/>
        <v>3827.0366461466328</v>
      </c>
      <c r="U168" s="376">
        <v>7533.56</v>
      </c>
      <c r="V168" s="376">
        <v>757.29</v>
      </c>
      <c r="W168" s="22">
        <f t="shared" si="11"/>
        <v>3746.4393880000002</v>
      </c>
      <c r="X168" s="22">
        <f t="shared" si="12"/>
        <v>1993.6172942415603</v>
      </c>
      <c r="Y168" s="22">
        <v>1232.2851718953959</v>
      </c>
      <c r="Z168" s="22">
        <v>761.3321223461644</v>
      </c>
      <c r="AA168" s="371">
        <v>14756.132647303044</v>
      </c>
      <c r="AB168" s="22">
        <v>0.13510432183638107</v>
      </c>
      <c r="AC168" s="24">
        <v>1.0432183638106607E-4</v>
      </c>
      <c r="AD168" s="384">
        <v>-16331.256652764772</v>
      </c>
    </row>
    <row r="169" spans="1:30">
      <c r="A169" s="21" t="s">
        <v>583</v>
      </c>
      <c r="B169" s="21" t="s">
        <v>584</v>
      </c>
      <c r="C169" s="23">
        <v>362.04037236800195</v>
      </c>
      <c r="D169" s="147">
        <v>20.724473159499102</v>
      </c>
      <c r="E169" s="22">
        <v>63.459281119028518</v>
      </c>
      <c r="F169" s="22">
        <v>84.183754278527616</v>
      </c>
      <c r="G169" s="22">
        <v>0</v>
      </c>
      <c r="H169" s="22">
        <v>20.493419895966149</v>
      </c>
      <c r="I169" s="22">
        <v>2.6621354276622693</v>
      </c>
      <c r="J169" s="22">
        <v>40.343908971666693</v>
      </c>
      <c r="K169" s="22">
        <v>2.8128223386620204</v>
      </c>
      <c r="L169" s="22">
        <v>0</v>
      </c>
      <c r="M169" s="388">
        <v>1229.3942320825693</v>
      </c>
      <c r="N169" s="25">
        <v>0.52549999999999997</v>
      </c>
      <c r="O169" s="24">
        <v>847.2117960874948</v>
      </c>
      <c r="P169" s="24">
        <v>73.287346213276152</v>
      </c>
      <c r="Q169" s="24">
        <v>41.302834292018176</v>
      </c>
      <c r="R169" s="22">
        <v>31.98451192125798</v>
      </c>
      <c r="S169" s="24">
        <v>26.370209424956442</v>
      </c>
      <c r="T169" s="24">
        <f t="shared" si="10"/>
        <v>99.657555638232594</v>
      </c>
      <c r="U169" s="376">
        <v>645.39</v>
      </c>
      <c r="V169" s="376">
        <v>61.64</v>
      </c>
      <c r="W169" s="22">
        <f t="shared" si="11"/>
        <v>339.15244499999994</v>
      </c>
      <c r="X169" s="22">
        <f t="shared" si="12"/>
        <v>159.41886650516773</v>
      </c>
      <c r="Y169" s="22">
        <v>121.64188392100476</v>
      </c>
      <c r="Z169" s="22">
        <v>37.776982584162965</v>
      </c>
      <c r="AA169" s="371">
        <v>1246.3583571407496</v>
      </c>
      <c r="AB169" s="22">
        <v>0.12790772861738414</v>
      </c>
      <c r="AC169" s="24">
        <v>0</v>
      </c>
      <c r="AD169" s="384">
        <v>0</v>
      </c>
    </row>
    <row r="170" spans="1:30">
      <c r="A170" s="21" t="s">
        <v>271</v>
      </c>
      <c r="B170" s="21" t="s">
        <v>272</v>
      </c>
      <c r="C170" s="23">
        <v>201.51862897700047</v>
      </c>
      <c r="D170" s="147">
        <v>42.674533195129506</v>
      </c>
      <c r="E170" s="22">
        <v>78.226598397004125</v>
      </c>
      <c r="F170" s="22">
        <v>120.90113159213362</v>
      </c>
      <c r="G170" s="22">
        <v>0</v>
      </c>
      <c r="H170" s="22">
        <v>13.963653752643602</v>
      </c>
      <c r="I170" s="22">
        <v>1.4566401396642605</v>
      </c>
      <c r="J170" s="22">
        <v>0.80366352533200591</v>
      </c>
      <c r="K170" s="22">
        <v>2.4109905759960175</v>
      </c>
      <c r="L170" s="22">
        <v>0</v>
      </c>
      <c r="M170" s="388">
        <v>770.64300023492706</v>
      </c>
      <c r="N170" s="25">
        <v>0.46410000000000001</v>
      </c>
      <c r="O170" s="24">
        <v>0</v>
      </c>
      <c r="P170" s="24">
        <v>18.132951640398225</v>
      </c>
      <c r="Q170" s="24">
        <v>12.088634426932149</v>
      </c>
      <c r="R170" s="22">
        <v>6.0443172134660745</v>
      </c>
      <c r="S170" s="24">
        <v>2.76259336832877</v>
      </c>
      <c r="T170" s="24">
        <f t="shared" si="10"/>
        <v>20.895545008726994</v>
      </c>
      <c r="U170" s="376">
        <v>358.65</v>
      </c>
      <c r="V170" s="376">
        <v>38.64</v>
      </c>
      <c r="W170" s="22">
        <f t="shared" si="11"/>
        <v>166.449465</v>
      </c>
      <c r="X170" s="22">
        <f t="shared" si="12"/>
        <v>77.316891022253543</v>
      </c>
      <c r="Y170" s="22">
        <v>53.139622168389245</v>
      </c>
      <c r="Z170" s="22">
        <v>24.177268853864298</v>
      </c>
      <c r="AA170" s="371">
        <v>776.32202903556026</v>
      </c>
      <c r="AB170" s="22">
        <v>9.9593838807209678E-2</v>
      </c>
      <c r="AC170" s="24">
        <v>0</v>
      </c>
      <c r="AD170" s="384">
        <v>0</v>
      </c>
    </row>
    <row r="171" spans="1:30">
      <c r="A171" s="21" t="s">
        <v>349</v>
      </c>
      <c r="B171" s="21" t="s">
        <v>350</v>
      </c>
      <c r="C171" s="23">
        <v>78.156277838537562</v>
      </c>
      <c r="D171" s="147">
        <v>2.0292504014633148</v>
      </c>
      <c r="E171" s="22">
        <v>10.86954918011538</v>
      </c>
      <c r="F171" s="22">
        <v>12.898799581578695</v>
      </c>
      <c r="G171" s="22">
        <v>0</v>
      </c>
      <c r="H171" s="22">
        <v>7.8658567541870079</v>
      </c>
      <c r="I171" s="22">
        <v>0.71325137873215516</v>
      </c>
      <c r="J171" s="22">
        <v>0</v>
      </c>
      <c r="K171" s="22">
        <v>0</v>
      </c>
      <c r="L171" s="22">
        <v>0</v>
      </c>
      <c r="M171" s="388">
        <v>313.80046925994833</v>
      </c>
      <c r="N171" s="25">
        <v>0.52969999999999995</v>
      </c>
      <c r="O171" s="24">
        <v>321.35619851594635</v>
      </c>
      <c r="P171" s="24">
        <v>13.096020629176497</v>
      </c>
      <c r="Q171" s="24">
        <v>2.0147724044886917</v>
      </c>
      <c r="R171" s="22">
        <v>11.081248224687805</v>
      </c>
      <c r="S171" s="24">
        <v>0</v>
      </c>
      <c r="T171" s="24">
        <f t="shared" si="10"/>
        <v>13.096020629176497</v>
      </c>
      <c r="U171" s="376">
        <v>166.68</v>
      </c>
      <c r="V171" s="376">
        <v>15.73</v>
      </c>
      <c r="W171" s="22">
        <f t="shared" si="11"/>
        <v>88.290396000000001</v>
      </c>
      <c r="X171" s="22">
        <f t="shared" si="12"/>
        <v>42.05837394370144</v>
      </c>
      <c r="Y171" s="22">
        <v>25.68834815723082</v>
      </c>
      <c r="Z171" s="22">
        <v>16.37002578647062</v>
      </c>
      <c r="AA171" s="371">
        <v>314.67722799506629</v>
      </c>
      <c r="AB171" s="22">
        <v>0.13365560072990365</v>
      </c>
      <c r="AC171" s="24">
        <v>0</v>
      </c>
      <c r="AD171" s="384">
        <v>0</v>
      </c>
    </row>
    <row r="172" spans="1:30">
      <c r="A172" s="21" t="s">
        <v>327</v>
      </c>
      <c r="B172" s="21" t="s">
        <v>328</v>
      </c>
      <c r="C172" s="23">
        <v>63.288502619895461</v>
      </c>
      <c r="D172" s="147">
        <v>0</v>
      </c>
      <c r="E172" s="22">
        <v>0</v>
      </c>
      <c r="F172" s="22">
        <v>0</v>
      </c>
      <c r="G172" s="22">
        <v>0</v>
      </c>
      <c r="H172" s="22">
        <v>0</v>
      </c>
      <c r="I172" s="22">
        <v>0</v>
      </c>
      <c r="J172" s="22">
        <v>0</v>
      </c>
      <c r="K172" s="22">
        <v>0</v>
      </c>
      <c r="L172" s="22">
        <v>0</v>
      </c>
      <c r="M172" s="388">
        <v>128.98799581578695</v>
      </c>
      <c r="N172" s="25">
        <v>1</v>
      </c>
      <c r="O172" s="24">
        <v>130.96020629176496</v>
      </c>
      <c r="P172" s="24">
        <v>0</v>
      </c>
      <c r="Q172" s="24">
        <v>0</v>
      </c>
      <c r="R172" s="22">
        <v>0</v>
      </c>
      <c r="S172" s="24">
        <v>0</v>
      </c>
      <c r="T172" s="24">
        <f t="shared" si="10"/>
        <v>0</v>
      </c>
      <c r="U172" s="376">
        <v>129.35</v>
      </c>
      <c r="V172" s="376">
        <v>0</v>
      </c>
      <c r="W172" s="22">
        <f t="shared" si="11"/>
        <v>129.35</v>
      </c>
      <c r="X172" s="22">
        <f t="shared" si="12"/>
        <v>25.68834815723082</v>
      </c>
      <c r="Y172" s="22">
        <v>25.184655056108646</v>
      </c>
      <c r="Z172" s="22">
        <v>0.50369310112217291</v>
      </c>
      <c r="AA172" s="371">
        <v>129.348388368174</v>
      </c>
      <c r="AB172" s="22">
        <v>0.19859813084112152</v>
      </c>
      <c r="AC172" s="24">
        <v>6.3598130841121508E-2</v>
      </c>
      <c r="AD172" s="384">
        <v>-80902.328637663843</v>
      </c>
    </row>
    <row r="173" spans="1:30">
      <c r="A173" s="21" t="s">
        <v>355</v>
      </c>
      <c r="B173" s="21" t="s">
        <v>356</v>
      </c>
      <c r="C173" s="23">
        <v>250.94393578491884</v>
      </c>
      <c r="D173" s="147">
        <v>31.694480280280981</v>
      </c>
      <c r="E173" s="22">
        <v>102.37668733323089</v>
      </c>
      <c r="F173" s="22">
        <v>134.07116761351188</v>
      </c>
      <c r="G173" s="22">
        <v>0</v>
      </c>
      <c r="H173" s="22">
        <v>17.550002234437677</v>
      </c>
      <c r="I173" s="22">
        <v>0.50228970333250367</v>
      </c>
      <c r="J173" s="22">
        <v>108.91649927062011</v>
      </c>
      <c r="K173" s="22">
        <v>0</v>
      </c>
      <c r="L173" s="22">
        <v>0</v>
      </c>
      <c r="M173" s="388">
        <v>1028.0865647809685</v>
      </c>
      <c r="N173" s="25">
        <v>0.60260000000000002</v>
      </c>
      <c r="O173" s="24">
        <v>999.32711262639111</v>
      </c>
      <c r="P173" s="24">
        <v>0</v>
      </c>
      <c r="Q173" s="24">
        <v>0</v>
      </c>
      <c r="R173" s="22">
        <v>0</v>
      </c>
      <c r="S173" s="24">
        <v>0</v>
      </c>
      <c r="T173" s="24">
        <f t="shared" si="10"/>
        <v>0</v>
      </c>
      <c r="U173" s="376">
        <v>621.26</v>
      </c>
      <c r="V173" s="376">
        <v>51.55</v>
      </c>
      <c r="W173" s="22">
        <f t="shared" si="11"/>
        <v>374.37127600000002</v>
      </c>
      <c r="X173" s="22">
        <f t="shared" si="12"/>
        <v>169.99642162873334</v>
      </c>
      <c r="Y173" s="22">
        <v>59.939479033538575</v>
      </c>
      <c r="Z173" s="22">
        <v>110.05694259519478</v>
      </c>
      <c r="AA173" s="371">
        <v>1030.9590393768635</v>
      </c>
      <c r="AB173" s="22">
        <v>0.16489153801055303</v>
      </c>
      <c r="AC173" s="24">
        <v>2.9891538010553026E-2</v>
      </c>
      <c r="AD173" s="384">
        <v>-285324.78638001869</v>
      </c>
    </row>
    <row r="174" spans="1:30">
      <c r="A174" s="21" t="s">
        <v>457</v>
      </c>
      <c r="B174" s="21" t="s">
        <v>458</v>
      </c>
      <c r="C174" s="23">
        <v>346.00728503762849</v>
      </c>
      <c r="D174" s="147">
        <v>2.4913569285292181</v>
      </c>
      <c r="E174" s="22">
        <v>97.002187507573112</v>
      </c>
      <c r="F174" s="22">
        <v>99.493544436102326</v>
      </c>
      <c r="G174" s="22">
        <v>0</v>
      </c>
      <c r="H174" s="22">
        <v>57.110339268905669</v>
      </c>
      <c r="I174" s="22">
        <v>1.7077849913305123</v>
      </c>
      <c r="J174" s="22">
        <v>54.046372078577392</v>
      </c>
      <c r="K174" s="22">
        <v>0.86393828973190634</v>
      </c>
      <c r="L174" s="22">
        <v>0</v>
      </c>
      <c r="M174" s="388">
        <v>1397.2494051422254</v>
      </c>
      <c r="N174" s="25">
        <v>0.2505</v>
      </c>
      <c r="O174" s="24">
        <v>0</v>
      </c>
      <c r="P174" s="24">
        <v>10.829401674126718</v>
      </c>
      <c r="Q174" s="24">
        <v>5.2887775617828154</v>
      </c>
      <c r="R174" s="22">
        <v>5.5406241123439024</v>
      </c>
      <c r="S174" s="24">
        <v>0</v>
      </c>
      <c r="T174" s="24">
        <f t="shared" si="10"/>
        <v>10.829401674126718</v>
      </c>
      <c r="U174" s="376">
        <v>350.99</v>
      </c>
      <c r="V174" s="376">
        <v>70.06</v>
      </c>
      <c r="W174" s="22">
        <f t="shared" si="11"/>
        <v>87.922995</v>
      </c>
      <c r="X174" s="22">
        <f t="shared" si="12"/>
        <v>184.85536811183746</v>
      </c>
      <c r="Y174" s="22">
        <v>112.32356155024456</v>
      </c>
      <c r="Z174" s="22">
        <v>72.531806561592902</v>
      </c>
      <c r="AA174" s="371">
        <v>1409.8269161789397</v>
      </c>
      <c r="AB174" s="22">
        <v>0.1311191934204603</v>
      </c>
      <c r="AC174" s="24">
        <v>0</v>
      </c>
      <c r="AD174" s="384">
        <v>0</v>
      </c>
    </row>
    <row r="175" spans="1:30">
      <c r="A175" s="21" t="s">
        <v>549</v>
      </c>
      <c r="B175" s="21" t="s">
        <v>550</v>
      </c>
      <c r="C175" s="23">
        <v>602.05448420840548</v>
      </c>
      <c r="D175" s="147">
        <v>12.878707993445394</v>
      </c>
      <c r="E175" s="22">
        <v>75.142539618542543</v>
      </c>
      <c r="F175" s="22">
        <v>88.021247611987931</v>
      </c>
      <c r="G175" s="22">
        <v>0</v>
      </c>
      <c r="H175" s="22">
        <v>19.167375079168337</v>
      </c>
      <c r="I175" s="22">
        <v>2.189983106529716</v>
      </c>
      <c r="J175" s="22">
        <v>0</v>
      </c>
      <c r="K175" s="22">
        <v>5.7361484120571919</v>
      </c>
      <c r="L175" s="22">
        <v>0.89407567193185655</v>
      </c>
      <c r="M175" s="388">
        <v>1809.9708085764771</v>
      </c>
      <c r="N175" s="25">
        <v>0.5454</v>
      </c>
      <c r="O175" s="24">
        <v>1465.7469242655231</v>
      </c>
      <c r="P175" s="24">
        <v>245.29854024649822</v>
      </c>
      <c r="Q175" s="24">
        <v>163.44841131414512</v>
      </c>
      <c r="R175" s="22">
        <v>81.850128932353101</v>
      </c>
      <c r="S175" s="24">
        <v>37.169438046605272</v>
      </c>
      <c r="T175" s="24">
        <f t="shared" si="10"/>
        <v>282.4679782931035</v>
      </c>
      <c r="U175" s="376">
        <v>989.92</v>
      </c>
      <c r="V175" s="376">
        <v>90.75</v>
      </c>
      <c r="W175" s="22">
        <f t="shared" si="11"/>
        <v>539.90236800000002</v>
      </c>
      <c r="X175" s="22">
        <f t="shared" si="12"/>
        <v>277.78674526887835</v>
      </c>
      <c r="Y175" s="22">
        <v>188.88491292081486</v>
      </c>
      <c r="Z175" s="22">
        <v>88.901832348063522</v>
      </c>
      <c r="AA175" s="371">
        <v>1815.0278683076829</v>
      </c>
      <c r="AB175" s="22">
        <v>0.1530481983882068</v>
      </c>
      <c r="AC175" s="24">
        <v>1.8048198388206788E-2</v>
      </c>
      <c r="AD175" s="384">
        <v>-323626.53048359463</v>
      </c>
    </row>
    <row r="176" spans="1:30">
      <c r="A176" s="21" t="s">
        <v>145</v>
      </c>
      <c r="B176" s="21" t="s">
        <v>146</v>
      </c>
      <c r="C176" s="23">
        <v>243.57032293999768</v>
      </c>
      <c r="D176" s="147">
        <v>14.807500454242208</v>
      </c>
      <c r="E176" s="22">
        <v>24.451462758226278</v>
      </c>
      <c r="F176" s="22">
        <v>39.258963212468487</v>
      </c>
      <c r="G176" s="22">
        <v>0</v>
      </c>
      <c r="H176" s="22">
        <v>9.8649697734503725</v>
      </c>
      <c r="I176" s="22">
        <v>1.0849457591982079</v>
      </c>
      <c r="J176" s="22">
        <v>0</v>
      </c>
      <c r="K176" s="22">
        <v>3.2146541013280236</v>
      </c>
      <c r="L176" s="22">
        <v>0</v>
      </c>
      <c r="M176" s="388">
        <v>727.65704742373146</v>
      </c>
      <c r="N176" s="25">
        <v>0.75539999999999996</v>
      </c>
      <c r="O176" s="24">
        <v>741.43624485183852</v>
      </c>
      <c r="P176" s="24">
        <v>17.881105089837138</v>
      </c>
      <c r="Q176" s="24">
        <v>13.851560280859756</v>
      </c>
      <c r="R176" s="22">
        <v>4.0295448089773833</v>
      </c>
      <c r="S176" s="24">
        <v>6.0274764399900445</v>
      </c>
      <c r="T176" s="24">
        <f t="shared" si="10"/>
        <v>23.908581529827181</v>
      </c>
      <c r="U176" s="376">
        <v>551.21</v>
      </c>
      <c r="V176" s="376">
        <v>36.479999999999997</v>
      </c>
      <c r="W176" s="22">
        <f t="shared" si="11"/>
        <v>416.38403399999999</v>
      </c>
      <c r="X176" s="22">
        <f t="shared" si="12"/>
        <v>124.41219597717671</v>
      </c>
      <c r="Y176" s="22">
        <v>90.66475820199112</v>
      </c>
      <c r="Z176" s="22">
        <v>33.747437775185588</v>
      </c>
      <c r="AA176" s="371">
        <v>729.70019559569198</v>
      </c>
      <c r="AB176" s="22">
        <v>0.17049768758197001</v>
      </c>
      <c r="AC176" s="24">
        <v>3.549768758197E-2</v>
      </c>
      <c r="AD176" s="384">
        <v>-245762.44289697014</v>
      </c>
    </row>
    <row r="177" spans="1:30">
      <c r="A177" s="21" t="s">
        <v>113</v>
      </c>
      <c r="B177" s="21" t="s">
        <v>114</v>
      </c>
      <c r="C177" s="23">
        <v>597.3630983792799</v>
      </c>
      <c r="D177" s="147">
        <v>7.4439334033877049</v>
      </c>
      <c r="E177" s="22">
        <v>104.51644146942736</v>
      </c>
      <c r="F177" s="22">
        <v>111.96037487281507</v>
      </c>
      <c r="G177" s="22">
        <v>0</v>
      </c>
      <c r="H177" s="22">
        <v>29.183031763618462</v>
      </c>
      <c r="I177" s="22">
        <v>1.1050373473315083</v>
      </c>
      <c r="J177" s="22">
        <v>38.073559512603779</v>
      </c>
      <c r="K177" s="22">
        <v>3.0137382199950222</v>
      </c>
      <c r="L177" s="22">
        <v>0</v>
      </c>
      <c r="M177" s="388">
        <v>2047.0615943434852</v>
      </c>
      <c r="N177" s="25">
        <v>0.75470000000000004</v>
      </c>
      <c r="O177" s="24">
        <v>2080.2525076345742</v>
      </c>
      <c r="P177" s="24">
        <v>726.32545181817341</v>
      </c>
      <c r="Q177" s="24">
        <v>433.93160661675199</v>
      </c>
      <c r="R177" s="22">
        <v>292.39384520142136</v>
      </c>
      <c r="S177" s="24">
        <v>106.23427225482453</v>
      </c>
      <c r="T177" s="24">
        <f t="shared" si="10"/>
        <v>832.55972407299794</v>
      </c>
      <c r="U177" s="376">
        <v>1549.23</v>
      </c>
      <c r="V177" s="376">
        <v>102.64</v>
      </c>
      <c r="W177" s="22">
        <f t="shared" si="11"/>
        <v>1169.2038810000001</v>
      </c>
      <c r="X177" s="22">
        <f t="shared" si="12"/>
        <v>290.37907279693263</v>
      </c>
      <c r="Y177" s="22">
        <v>153.37454929170164</v>
      </c>
      <c r="Z177" s="22">
        <v>137.00452350523102</v>
      </c>
      <c r="AA177" s="371">
        <v>2075.9509685509906</v>
      </c>
      <c r="AB177" s="22">
        <v>0.13987761618455594</v>
      </c>
      <c r="AC177" s="24">
        <v>4.8776161845559274E-3</v>
      </c>
      <c r="AD177" s="384">
        <v>-94916.948908177495</v>
      </c>
    </row>
    <row r="178" spans="1:30">
      <c r="A178" s="21" t="s">
        <v>231</v>
      </c>
      <c r="B178" s="21" t="s">
        <v>232</v>
      </c>
      <c r="C178" s="23">
        <v>1484.3464397000814</v>
      </c>
      <c r="D178" s="147">
        <v>85.720760770725079</v>
      </c>
      <c r="E178" s="22">
        <v>263.50117836823142</v>
      </c>
      <c r="F178" s="22">
        <v>349.22193913895649</v>
      </c>
      <c r="G178" s="22">
        <v>0</v>
      </c>
      <c r="H178" s="22">
        <v>180.93479693443447</v>
      </c>
      <c r="I178" s="22">
        <v>7.8558109601203574</v>
      </c>
      <c r="J178" s="22">
        <v>223.52896377703081</v>
      </c>
      <c r="K178" s="22">
        <v>0</v>
      </c>
      <c r="L178" s="22">
        <v>0</v>
      </c>
      <c r="M178" s="388">
        <v>5452.0232184701272</v>
      </c>
      <c r="N178" s="25">
        <v>0.33160000000000001</v>
      </c>
      <c r="O178" s="24">
        <v>337.47437775185585</v>
      </c>
      <c r="P178" s="24">
        <v>240.26160923527647</v>
      </c>
      <c r="Q178" s="24">
        <v>165.96687681975598</v>
      </c>
      <c r="R178" s="22">
        <v>74.2947324155205</v>
      </c>
      <c r="S178" s="24">
        <v>43.196914486595318</v>
      </c>
      <c r="T178" s="24">
        <f t="shared" si="10"/>
        <v>283.45852372187176</v>
      </c>
      <c r="U178" s="376">
        <v>1812.94</v>
      </c>
      <c r="V178" s="376">
        <v>273.36</v>
      </c>
      <c r="W178" s="22">
        <f t="shared" si="11"/>
        <v>601.17090400000006</v>
      </c>
      <c r="X178" s="22">
        <f t="shared" si="12"/>
        <v>712.72573808787467</v>
      </c>
      <c r="Y178" s="22">
        <v>490.09338739187427</v>
      </c>
      <c r="Z178" s="22">
        <v>222.63235069600043</v>
      </c>
      <c r="AA178" s="371">
        <v>5520.7987518837326</v>
      </c>
      <c r="AB178" s="22">
        <v>0.12909830082914869</v>
      </c>
      <c r="AC178" s="24">
        <v>0</v>
      </c>
      <c r="AD178" s="384">
        <v>0</v>
      </c>
    </row>
    <row r="179" spans="1:30">
      <c r="A179" s="21" t="s">
        <v>323</v>
      </c>
      <c r="B179" s="21" t="s">
        <v>324</v>
      </c>
      <c r="C179" s="23">
        <v>641.11253153954112</v>
      </c>
      <c r="D179" s="147">
        <v>84.615723423393575</v>
      </c>
      <c r="E179" s="22">
        <v>151.20929229121691</v>
      </c>
      <c r="F179" s="22">
        <v>235.82501571461049</v>
      </c>
      <c r="G179" s="22">
        <v>0</v>
      </c>
      <c r="H179" s="22">
        <v>59.852841049101137</v>
      </c>
      <c r="I179" s="22">
        <v>3.8676307156602783</v>
      </c>
      <c r="J179" s="22">
        <v>153.48968754434645</v>
      </c>
      <c r="K179" s="22">
        <v>0</v>
      </c>
      <c r="L179" s="22">
        <v>0</v>
      </c>
      <c r="M179" s="388">
        <v>2271.866373966981</v>
      </c>
      <c r="N179" s="25">
        <v>0.56899999999999995</v>
      </c>
      <c r="O179" s="24">
        <v>1449.6287450296136</v>
      </c>
      <c r="P179" s="24">
        <v>303.72693997667028</v>
      </c>
      <c r="Q179" s="24">
        <v>187.12198706688724</v>
      </c>
      <c r="R179" s="22">
        <v>116.60495290978302</v>
      </c>
      <c r="S179" s="24">
        <v>30.13738219995022</v>
      </c>
      <c r="T179" s="24">
        <f t="shared" si="10"/>
        <v>333.86432217662048</v>
      </c>
      <c r="U179" s="376">
        <v>1296.3</v>
      </c>
      <c r="V179" s="376">
        <v>113.91</v>
      </c>
      <c r="W179" s="22">
        <f t="shared" si="11"/>
        <v>737.59469999999988</v>
      </c>
      <c r="X179" s="22">
        <f t="shared" si="12"/>
        <v>343.26684841476083</v>
      </c>
      <c r="Y179" s="22">
        <v>267.96472979699598</v>
      </c>
      <c r="Z179" s="22">
        <v>75.302118617764847</v>
      </c>
      <c r="AA179" s="371">
        <v>2294.5638483000362</v>
      </c>
      <c r="AB179" s="22">
        <v>0.14960004214704048</v>
      </c>
      <c r="AC179" s="24">
        <v>1.4600042147040471E-2</v>
      </c>
      <c r="AD179" s="384">
        <v>-328503.00808362121</v>
      </c>
    </row>
    <row r="180" spans="1:30">
      <c r="A180" s="21" t="s">
        <v>353</v>
      </c>
      <c r="B180" s="21" t="s">
        <v>354</v>
      </c>
      <c r="C180" s="23">
        <v>26.2</v>
      </c>
      <c r="D180" s="147">
        <v>0</v>
      </c>
      <c r="E180" s="22">
        <v>0</v>
      </c>
      <c r="F180" s="22">
        <v>0</v>
      </c>
      <c r="G180" s="22">
        <v>0</v>
      </c>
      <c r="H180" s="22">
        <v>3.35</v>
      </c>
      <c r="I180" s="22">
        <v>0</v>
      </c>
      <c r="J180" s="22">
        <v>0</v>
      </c>
      <c r="K180" s="22">
        <v>0</v>
      </c>
      <c r="L180" s="22">
        <v>0</v>
      </c>
      <c r="M180" s="388">
        <v>86.429999999999993</v>
      </c>
      <c r="N180" s="25">
        <v>0.70589999999999997</v>
      </c>
      <c r="O180" s="24">
        <v>88</v>
      </c>
      <c r="P180" s="24">
        <v>0</v>
      </c>
      <c r="Q180" s="24">
        <v>0</v>
      </c>
      <c r="R180" s="22">
        <v>0</v>
      </c>
      <c r="S180" s="24">
        <v>0</v>
      </c>
      <c r="T180" s="24">
        <f t="shared" si="10"/>
        <v>0</v>
      </c>
      <c r="U180" s="376">
        <v>61.01</v>
      </c>
      <c r="V180" s="376">
        <v>0</v>
      </c>
      <c r="W180" s="22">
        <f t="shared" si="11"/>
        <v>43.066958999999997</v>
      </c>
      <c r="X180" s="22">
        <f t="shared" si="12"/>
        <v>8.5</v>
      </c>
      <c r="Y180" s="22">
        <v>8.25</v>
      </c>
      <c r="Z180" s="22">
        <v>0.25</v>
      </c>
      <c r="AA180" s="371">
        <v>86.43</v>
      </c>
      <c r="AB180" s="22">
        <v>9.834548189286127E-2</v>
      </c>
      <c r="AC180" s="24">
        <v>0</v>
      </c>
      <c r="AD180" s="384">
        <v>0</v>
      </c>
    </row>
    <row r="181" spans="1:30">
      <c r="A181" s="21" t="s">
        <v>509</v>
      </c>
      <c r="B181" s="21" t="s">
        <v>510</v>
      </c>
      <c r="C181" s="23">
        <v>4303.3670333012251</v>
      </c>
      <c r="D181" s="147">
        <v>225.08606185736156</v>
      </c>
      <c r="E181" s="22">
        <v>802.83977021854048</v>
      </c>
      <c r="F181" s="22">
        <v>1027.925832075902</v>
      </c>
      <c r="G181" s="22">
        <v>0</v>
      </c>
      <c r="H181" s="22">
        <v>305.71360503629501</v>
      </c>
      <c r="I181" s="22">
        <v>31.513655987081282</v>
      </c>
      <c r="J181" s="22">
        <v>649.97292190632641</v>
      </c>
      <c r="K181" s="22">
        <v>73.133380805212525</v>
      </c>
      <c r="L181" s="22">
        <v>0</v>
      </c>
      <c r="M181" s="388">
        <v>14891.905215990202</v>
      </c>
      <c r="N181" s="25">
        <v>0.43209999999999998</v>
      </c>
      <c r="O181" s="24">
        <v>3428.1352462375089</v>
      </c>
      <c r="P181" s="24">
        <v>873.40383734584782</v>
      </c>
      <c r="Q181" s="24">
        <v>589.06908176238119</v>
      </c>
      <c r="R181" s="22">
        <v>284.33475558346663</v>
      </c>
      <c r="S181" s="24">
        <v>155.70980803307614</v>
      </c>
      <c r="T181" s="24">
        <f t="shared" si="10"/>
        <v>1029.113645378924</v>
      </c>
      <c r="U181" s="376">
        <v>6448.29</v>
      </c>
      <c r="V181" s="376">
        <v>746.68</v>
      </c>
      <c r="W181" s="22">
        <f t="shared" si="11"/>
        <v>2786.3061090000001</v>
      </c>
      <c r="X181" s="22">
        <f t="shared" si="12"/>
        <v>2135.4069022074518</v>
      </c>
      <c r="Y181" s="22">
        <v>1244.6256528728893</v>
      </c>
      <c r="Z181" s="22">
        <v>890.78124933456274</v>
      </c>
      <c r="AA181" s="371">
        <v>14994.057120549114</v>
      </c>
      <c r="AB181" s="22">
        <v>0.14241688457228238</v>
      </c>
      <c r="AC181" s="24">
        <v>7.4168845722823729E-3</v>
      </c>
      <c r="AD181" s="384">
        <v>-1065363.0651688613</v>
      </c>
    </row>
    <row r="182" spans="1:30">
      <c r="A182" s="21" t="s">
        <v>503</v>
      </c>
      <c r="B182" s="21" t="s">
        <v>504</v>
      </c>
      <c r="C182" s="23">
        <v>41.5895874359313</v>
      </c>
      <c r="D182" s="147">
        <v>0</v>
      </c>
      <c r="E182" s="22">
        <v>6.9918726703884513</v>
      </c>
      <c r="F182" s="22">
        <v>6.9918726703884513</v>
      </c>
      <c r="G182" s="22">
        <v>0</v>
      </c>
      <c r="H182" s="22">
        <v>1.1854036998647086</v>
      </c>
      <c r="I182" s="22">
        <v>0.42192335079930304</v>
      </c>
      <c r="J182" s="22">
        <v>107.24889745555619</v>
      </c>
      <c r="K182" s="22">
        <v>0</v>
      </c>
      <c r="L182" s="22">
        <v>0</v>
      </c>
      <c r="M182" s="388">
        <v>253.08368992111531</v>
      </c>
      <c r="N182" s="25">
        <v>0.66810000000000003</v>
      </c>
      <c r="O182" s="24">
        <v>151.10793033665186</v>
      </c>
      <c r="P182" s="24">
        <v>0</v>
      </c>
      <c r="Q182" s="24">
        <v>0</v>
      </c>
      <c r="R182" s="22">
        <v>0</v>
      </c>
      <c r="S182" s="24">
        <v>0</v>
      </c>
      <c r="T182" s="24">
        <f t="shared" si="10"/>
        <v>0</v>
      </c>
      <c r="U182" s="376">
        <v>169.56</v>
      </c>
      <c r="V182" s="376">
        <v>0</v>
      </c>
      <c r="W182" s="22">
        <f t="shared" si="11"/>
        <v>113.28303600000001</v>
      </c>
      <c r="X182" s="22">
        <f t="shared" si="12"/>
        <v>24.429115404425385</v>
      </c>
      <c r="Y182" s="22">
        <v>20.903263696570175</v>
      </c>
      <c r="Z182" s="22">
        <v>3.5258517078552103</v>
      </c>
      <c r="AA182" s="371">
        <v>253.5288855188345</v>
      </c>
      <c r="AB182" s="22">
        <v>9.6356339651130454E-2</v>
      </c>
      <c r="AC182" s="24">
        <v>0</v>
      </c>
      <c r="AD182" s="384">
        <v>0</v>
      </c>
    </row>
    <row r="183" spans="1:30">
      <c r="A183" s="21" t="s">
        <v>219</v>
      </c>
      <c r="B183" s="21" t="s">
        <v>220</v>
      </c>
      <c r="C183" s="23">
        <v>6634.2624932038425</v>
      </c>
      <c r="D183" s="147">
        <v>205.78809145532674</v>
      </c>
      <c r="E183" s="22">
        <v>878.87638550901499</v>
      </c>
      <c r="F183" s="22">
        <v>1084.6644769643417</v>
      </c>
      <c r="G183" s="22">
        <v>0</v>
      </c>
      <c r="H183" s="22">
        <v>386.03977439322898</v>
      </c>
      <c r="I183" s="22">
        <v>20.533603072232751</v>
      </c>
      <c r="J183" s="22">
        <v>595.41421433034986</v>
      </c>
      <c r="K183" s="22">
        <v>4.2192335079930308</v>
      </c>
      <c r="L183" s="22">
        <v>0</v>
      </c>
      <c r="M183" s="388">
        <v>22570.287361305389</v>
      </c>
      <c r="N183" s="25">
        <v>0.14480000000000001</v>
      </c>
      <c r="O183" s="24">
        <v>0</v>
      </c>
      <c r="P183" s="24">
        <v>2094.1040679154339</v>
      </c>
      <c r="Q183" s="24">
        <v>1577.0630996135235</v>
      </c>
      <c r="R183" s="22">
        <v>517.04096830191054</v>
      </c>
      <c r="S183" s="24">
        <v>555.28126703408282</v>
      </c>
      <c r="T183" s="24">
        <f t="shared" si="10"/>
        <v>2649.3853349495166</v>
      </c>
      <c r="U183" s="376">
        <v>3209.41</v>
      </c>
      <c r="V183" s="376">
        <v>1131.67</v>
      </c>
      <c r="W183" s="22">
        <f t="shared" si="11"/>
        <v>464.72256800000002</v>
      </c>
      <c r="X183" s="22">
        <f t="shared" si="12"/>
        <v>2640.1073895318696</v>
      </c>
      <c r="Y183" s="22">
        <v>1707.7714593547273</v>
      </c>
      <c r="Z183" s="22">
        <v>932.33593017714202</v>
      </c>
      <c r="AA183" s="371">
        <v>22756.72334849348</v>
      </c>
      <c r="AB183" s="22">
        <v>0.11601439052106099</v>
      </c>
      <c r="AC183" s="24">
        <v>0</v>
      </c>
      <c r="AD183" s="384">
        <v>0</v>
      </c>
    </row>
    <row r="184" spans="1:30">
      <c r="A184" s="21" t="s">
        <v>167</v>
      </c>
      <c r="B184" s="21" t="s">
        <v>168</v>
      </c>
      <c r="C184" s="23">
        <v>1712.1247743673052</v>
      </c>
      <c r="D184" s="147">
        <v>46.321156441323488</v>
      </c>
      <c r="E184" s="22">
        <v>417.78448364384326</v>
      </c>
      <c r="F184" s="22">
        <v>464.10564008516673</v>
      </c>
      <c r="G184" s="22">
        <v>0</v>
      </c>
      <c r="H184" s="22">
        <v>93.767441818111791</v>
      </c>
      <c r="I184" s="22">
        <v>3.5059821292608757</v>
      </c>
      <c r="J184" s="22">
        <v>295.19565864851239</v>
      </c>
      <c r="K184" s="22">
        <v>9.4430464226510686</v>
      </c>
      <c r="L184" s="22">
        <v>0</v>
      </c>
      <c r="M184" s="388">
        <v>5528.6927187867996</v>
      </c>
      <c r="N184" s="25">
        <v>0.3856</v>
      </c>
      <c r="O184" s="24">
        <v>885.49247177277994</v>
      </c>
      <c r="P184" s="24">
        <v>209.03263696570178</v>
      </c>
      <c r="Q184" s="24">
        <v>118.11603221314955</v>
      </c>
      <c r="R184" s="22">
        <v>90.916604752552217</v>
      </c>
      <c r="S184" s="24">
        <v>38.174017453270281</v>
      </c>
      <c r="T184" s="24">
        <f t="shared" si="10"/>
        <v>247.20665441897205</v>
      </c>
      <c r="U184" s="376">
        <v>2137.8200000000002</v>
      </c>
      <c r="V184" s="376">
        <v>277.20999999999998</v>
      </c>
      <c r="W184" s="22">
        <f t="shared" si="11"/>
        <v>824.34339200000011</v>
      </c>
      <c r="X184" s="22">
        <f t="shared" si="12"/>
        <v>896.07002689634567</v>
      </c>
      <c r="Y184" s="22">
        <v>504.19679422329511</v>
      </c>
      <c r="Z184" s="22">
        <v>391.87323267305055</v>
      </c>
      <c r="AA184" s="371">
        <v>5542.1150439232233</v>
      </c>
      <c r="AB184" s="22">
        <v>0.16168376509593785</v>
      </c>
      <c r="AC184" s="24">
        <v>2.6683765095937839E-2</v>
      </c>
      <c r="AD184" s="384">
        <v>-1515866.3392116893</v>
      </c>
    </row>
    <row r="185" spans="1:30">
      <c r="A185" s="21" t="s">
        <v>579</v>
      </c>
      <c r="B185" s="21" t="s">
        <v>580</v>
      </c>
      <c r="C185" s="23">
        <v>53.061884260045687</v>
      </c>
      <c r="D185" s="147">
        <v>0.61279343806565445</v>
      </c>
      <c r="E185" s="22">
        <v>5.4046372078577392</v>
      </c>
      <c r="F185" s="22">
        <v>6.0174306459233939</v>
      </c>
      <c r="G185" s="22">
        <v>0</v>
      </c>
      <c r="H185" s="22">
        <v>3.6667148343272769</v>
      </c>
      <c r="I185" s="22">
        <v>0</v>
      </c>
      <c r="J185" s="22">
        <v>0</v>
      </c>
      <c r="K185" s="22">
        <v>0</v>
      </c>
      <c r="L185" s="22">
        <v>0</v>
      </c>
      <c r="M185" s="388">
        <v>148.16541668902192</v>
      </c>
      <c r="N185" s="25">
        <v>0.3987</v>
      </c>
      <c r="O185" s="24">
        <v>0</v>
      </c>
      <c r="P185" s="24">
        <v>0</v>
      </c>
      <c r="Q185" s="24">
        <v>0</v>
      </c>
      <c r="R185" s="22">
        <v>0</v>
      </c>
      <c r="S185" s="24">
        <v>0</v>
      </c>
      <c r="T185" s="24">
        <f t="shared" si="10"/>
        <v>0</v>
      </c>
      <c r="U185" s="376">
        <v>59.24</v>
      </c>
      <c r="V185" s="376">
        <v>0</v>
      </c>
      <c r="W185" s="22">
        <f t="shared" si="11"/>
        <v>23.618988000000002</v>
      </c>
      <c r="X185" s="22">
        <f t="shared" si="12"/>
        <v>19.392184393203657</v>
      </c>
      <c r="Y185" s="22">
        <v>10.577555123565631</v>
      </c>
      <c r="Z185" s="22">
        <v>8.8146292696380257</v>
      </c>
      <c r="AA185" s="371">
        <v>148.56931710699612</v>
      </c>
      <c r="AB185" s="22">
        <v>0.13052617304041225</v>
      </c>
      <c r="AC185" s="24">
        <v>0</v>
      </c>
      <c r="AD185" s="384">
        <v>0</v>
      </c>
    </row>
    <row r="186" spans="1:30">
      <c r="A186" s="21" t="s">
        <v>165</v>
      </c>
      <c r="B186" s="21" t="s">
        <v>166</v>
      </c>
      <c r="C186" s="23">
        <v>97.444202446505713</v>
      </c>
      <c r="D186" s="147">
        <v>8.4384670159860615</v>
      </c>
      <c r="E186" s="22">
        <v>20.423099337499597</v>
      </c>
      <c r="F186" s="22">
        <v>28.861566353485657</v>
      </c>
      <c r="G186" s="22">
        <v>0</v>
      </c>
      <c r="H186" s="22">
        <v>3.3352036301278241</v>
      </c>
      <c r="I186" s="22">
        <v>1.1552663176647584</v>
      </c>
      <c r="J186" s="22">
        <v>24.813111344625682</v>
      </c>
      <c r="K186" s="22">
        <v>2.8128223386620204</v>
      </c>
      <c r="L186" s="22">
        <v>0</v>
      </c>
      <c r="M186" s="388">
        <v>332.48564622391746</v>
      </c>
      <c r="N186" s="25">
        <v>0.749</v>
      </c>
      <c r="O186" s="24">
        <v>299.19370206657072</v>
      </c>
      <c r="P186" s="24">
        <v>6.0443172134660745</v>
      </c>
      <c r="Q186" s="24">
        <v>3.0221586067330373</v>
      </c>
      <c r="R186" s="22">
        <v>3.0221586067330373</v>
      </c>
      <c r="S186" s="24">
        <v>0</v>
      </c>
      <c r="T186" s="24">
        <f t="shared" si="10"/>
        <v>6.0443172134660745</v>
      </c>
      <c r="U186" s="376">
        <v>249.73</v>
      </c>
      <c r="V186" s="376">
        <v>16.670000000000002</v>
      </c>
      <c r="W186" s="22">
        <f t="shared" si="11"/>
        <v>187.04776999999999</v>
      </c>
      <c r="X186" s="22">
        <f t="shared" si="12"/>
        <v>59.183939381855325</v>
      </c>
      <c r="Y186" s="22">
        <v>51.880389415583814</v>
      </c>
      <c r="Z186" s="22">
        <v>7.3035499662715075</v>
      </c>
      <c r="AA186" s="371">
        <v>335.04657700444693</v>
      </c>
      <c r="AB186" s="22">
        <v>0.17664391593252959</v>
      </c>
      <c r="AC186" s="24">
        <v>4.1643915932529585E-2</v>
      </c>
      <c r="AD186" s="384">
        <v>-131610.0338549455</v>
      </c>
    </row>
    <row r="187" spans="1:30">
      <c r="A187" s="21" t="s">
        <v>343</v>
      </c>
      <c r="B187" s="21" t="s">
        <v>344</v>
      </c>
      <c r="C187" s="23">
        <v>259.72395979917104</v>
      </c>
      <c r="D187" s="147">
        <v>0</v>
      </c>
      <c r="E187" s="22">
        <v>83.761830927728312</v>
      </c>
      <c r="F187" s="22">
        <v>83.761830927728312</v>
      </c>
      <c r="G187" s="22">
        <v>0</v>
      </c>
      <c r="H187" s="22">
        <v>12.486922024846042</v>
      </c>
      <c r="I187" s="22">
        <v>0.44201493893260324</v>
      </c>
      <c r="J187" s="22">
        <v>91.567412917515412</v>
      </c>
      <c r="K187" s="22">
        <v>3.6164858639940265</v>
      </c>
      <c r="L187" s="22">
        <v>0</v>
      </c>
      <c r="M187" s="388">
        <v>1028.8600909241006</v>
      </c>
      <c r="N187" s="25">
        <v>0.64239999999999997</v>
      </c>
      <c r="O187" s="24">
        <v>1028.5413124914771</v>
      </c>
      <c r="P187" s="24">
        <v>46.087918752678817</v>
      </c>
      <c r="Q187" s="24">
        <v>26.695734359475164</v>
      </c>
      <c r="R187" s="22">
        <v>19.392184393203657</v>
      </c>
      <c r="S187" s="24">
        <v>0</v>
      </c>
      <c r="T187" s="24">
        <f t="shared" si="10"/>
        <v>46.087918752678817</v>
      </c>
      <c r="U187" s="376">
        <v>662.79</v>
      </c>
      <c r="V187" s="376">
        <v>51.59</v>
      </c>
      <c r="W187" s="22">
        <f t="shared" si="11"/>
        <v>425.77629599999995</v>
      </c>
      <c r="X187" s="22">
        <f t="shared" si="12"/>
        <v>232.20251961732174</v>
      </c>
      <c r="Y187" s="22">
        <v>175.0333526399551</v>
      </c>
      <c r="Z187" s="22">
        <v>57.169166977366629</v>
      </c>
      <c r="AA187" s="371">
        <v>1031.7347267525918</v>
      </c>
      <c r="AB187" s="22">
        <v>0.2250602927248406</v>
      </c>
      <c r="AC187" s="24">
        <v>9.006029272484059E-2</v>
      </c>
      <c r="AD187" s="384">
        <v>-865500.76099516731</v>
      </c>
    </row>
    <row r="188" spans="1:30">
      <c r="A188" s="21" t="s">
        <v>163</v>
      </c>
      <c r="B188" s="21" t="s">
        <v>164</v>
      </c>
      <c r="C188" s="23">
        <v>168.84970667225446</v>
      </c>
      <c r="D188" s="147">
        <v>14.757271483908957</v>
      </c>
      <c r="E188" s="22">
        <v>29.504497173751265</v>
      </c>
      <c r="F188" s="22">
        <v>44.26176865766022</v>
      </c>
      <c r="G188" s="22">
        <v>0</v>
      </c>
      <c r="H188" s="22">
        <v>16.25409479983982</v>
      </c>
      <c r="I188" s="22">
        <v>0.97444202446505712</v>
      </c>
      <c r="J188" s="22">
        <v>21.327220803498108</v>
      </c>
      <c r="K188" s="22">
        <v>2.2100746946630165</v>
      </c>
      <c r="L188" s="22">
        <v>0</v>
      </c>
      <c r="M188" s="388">
        <v>571.25407960005646</v>
      </c>
      <c r="N188" s="25">
        <v>0.76590000000000003</v>
      </c>
      <c r="O188" s="24">
        <v>593.35047312191966</v>
      </c>
      <c r="P188" s="24">
        <v>50.873003213339459</v>
      </c>
      <c r="Q188" s="24">
        <v>31.732665370696893</v>
      </c>
      <c r="R188" s="22">
        <v>19.14033784264257</v>
      </c>
      <c r="S188" s="24">
        <v>2.0091588133300147</v>
      </c>
      <c r="T188" s="24">
        <f t="shared" si="10"/>
        <v>52.882162026669477</v>
      </c>
      <c r="U188" s="376">
        <v>438.75</v>
      </c>
      <c r="V188" s="376">
        <v>28.64</v>
      </c>
      <c r="W188" s="22">
        <f t="shared" si="11"/>
        <v>336.03862500000002</v>
      </c>
      <c r="X188" s="22">
        <f t="shared" si="12"/>
        <v>67.74672210093226</v>
      </c>
      <c r="Y188" s="22">
        <v>57.924706629049886</v>
      </c>
      <c r="Z188" s="22">
        <v>9.8220154718823718</v>
      </c>
      <c r="AA188" s="371">
        <v>572.85016390624719</v>
      </c>
      <c r="AB188" s="22">
        <v>0.11826255165743429</v>
      </c>
      <c r="AC188" s="24">
        <v>0</v>
      </c>
      <c r="AD188" s="384">
        <v>0</v>
      </c>
    </row>
    <row r="189" spans="1:30">
      <c r="A189" s="21" t="s">
        <v>305</v>
      </c>
      <c r="B189" s="21" t="s">
        <v>306</v>
      </c>
      <c r="C189" s="23">
        <v>58.466521467903426</v>
      </c>
      <c r="D189" s="147">
        <v>0</v>
      </c>
      <c r="E189" s="22">
        <v>14.044020105176802</v>
      </c>
      <c r="F189" s="22">
        <v>14.044020105176802</v>
      </c>
      <c r="G189" s="22">
        <v>0</v>
      </c>
      <c r="H189" s="22">
        <v>3.6767606283939269</v>
      </c>
      <c r="I189" s="22">
        <v>0</v>
      </c>
      <c r="J189" s="22">
        <v>0</v>
      </c>
      <c r="K189" s="22">
        <v>0</v>
      </c>
      <c r="L189" s="22">
        <v>0</v>
      </c>
      <c r="M189" s="388">
        <v>219.75174520797037</v>
      </c>
      <c r="N189" s="25">
        <v>0.53200000000000003</v>
      </c>
      <c r="O189" s="24">
        <v>107.790323640145</v>
      </c>
      <c r="P189" s="24">
        <v>0</v>
      </c>
      <c r="Q189" s="24">
        <v>0</v>
      </c>
      <c r="R189" s="22">
        <v>0</v>
      </c>
      <c r="S189" s="24">
        <v>0</v>
      </c>
      <c r="T189" s="24">
        <f t="shared" si="10"/>
        <v>0</v>
      </c>
      <c r="U189" s="376">
        <v>117.23</v>
      </c>
      <c r="V189" s="376">
        <v>11.02</v>
      </c>
      <c r="W189" s="22">
        <f t="shared" si="11"/>
        <v>62.366360000000007</v>
      </c>
      <c r="X189" s="22">
        <f t="shared" si="12"/>
        <v>23.169882651619954</v>
      </c>
      <c r="Y189" s="22">
        <v>13.599713730298669</v>
      </c>
      <c r="Z189" s="22">
        <v>9.5701689213212848</v>
      </c>
      <c r="AA189" s="371">
        <v>220.36573174095065</v>
      </c>
      <c r="AB189" s="22">
        <v>0.10514285714285714</v>
      </c>
      <c r="AC189" s="24">
        <v>0</v>
      </c>
      <c r="AD189" s="384">
        <v>0</v>
      </c>
    </row>
    <row r="190" spans="1:30">
      <c r="A190" s="21" t="s">
        <v>331</v>
      </c>
      <c r="B190" s="21" t="s">
        <v>332</v>
      </c>
      <c r="C190" s="23">
        <v>260.18606632623693</v>
      </c>
      <c r="D190" s="147">
        <v>6.2484839094563451</v>
      </c>
      <c r="E190" s="22">
        <v>70.883122934282923</v>
      </c>
      <c r="F190" s="22">
        <v>77.131606843739263</v>
      </c>
      <c r="G190" s="22">
        <v>0</v>
      </c>
      <c r="H190" s="22">
        <v>17.73082652763738</v>
      </c>
      <c r="I190" s="22">
        <v>0.35160279233275255</v>
      </c>
      <c r="J190" s="22">
        <v>90.241368100717608</v>
      </c>
      <c r="K190" s="22">
        <v>0</v>
      </c>
      <c r="L190" s="22">
        <v>0</v>
      </c>
      <c r="M190" s="388">
        <v>1041.0556849210138</v>
      </c>
      <c r="N190" s="25">
        <v>0.70089999999999997</v>
      </c>
      <c r="O190" s="24">
        <v>1049.6964227386084</v>
      </c>
      <c r="P190" s="24">
        <v>72.02811346047072</v>
      </c>
      <c r="Q190" s="24">
        <v>41.302834292018176</v>
      </c>
      <c r="R190" s="22">
        <v>30.725279168452548</v>
      </c>
      <c r="S190" s="24">
        <v>28.128223386620206</v>
      </c>
      <c r="T190" s="24">
        <f t="shared" si="10"/>
        <v>100.15633684709093</v>
      </c>
      <c r="U190" s="376">
        <v>731.92</v>
      </c>
      <c r="V190" s="376">
        <v>52.2</v>
      </c>
      <c r="W190" s="22">
        <f t="shared" si="11"/>
        <v>513.00272799999993</v>
      </c>
      <c r="X190" s="22">
        <f t="shared" si="12"/>
        <v>153.62639584226275</v>
      </c>
      <c r="Y190" s="22">
        <v>125.41958217942106</v>
      </c>
      <c r="Z190" s="22">
        <v>28.206813662841682</v>
      </c>
      <c r="AA190" s="371">
        <v>1043.964395247838</v>
      </c>
      <c r="AB190" s="22">
        <v>0.14715673881367547</v>
      </c>
      <c r="AC190" s="24">
        <v>1.2156738813675461E-2</v>
      </c>
      <c r="AD190" s="384">
        <v>-120780.89023772348</v>
      </c>
    </row>
    <row r="191" spans="1:30">
      <c r="A191" s="21" t="s">
        <v>513</v>
      </c>
      <c r="B191" s="21" t="s">
        <v>514</v>
      </c>
      <c r="C191" s="23">
        <v>2303.1992056608619</v>
      </c>
      <c r="D191" s="147">
        <v>139.30502632223656</v>
      </c>
      <c r="E191" s="22">
        <v>587.97028092696212</v>
      </c>
      <c r="F191" s="22">
        <v>727.2753072491987</v>
      </c>
      <c r="G191" s="22">
        <v>0</v>
      </c>
      <c r="H191" s="22">
        <v>344.8118355436971</v>
      </c>
      <c r="I191" s="22">
        <v>42.353067784996703</v>
      </c>
      <c r="J191" s="22">
        <v>836.47308875368503</v>
      </c>
      <c r="K191" s="22">
        <v>36.285408168740062</v>
      </c>
      <c r="L191" s="22">
        <v>0</v>
      </c>
      <c r="M191" s="388">
        <v>9682.4979700237382</v>
      </c>
      <c r="N191" s="25">
        <v>0.30070000000000002</v>
      </c>
      <c r="O191" s="24">
        <v>617.52774197578401</v>
      </c>
      <c r="P191" s="24">
        <v>297.93446931376525</v>
      </c>
      <c r="Q191" s="24">
        <v>185.61090776352071</v>
      </c>
      <c r="R191" s="22">
        <v>112.32356155024456</v>
      </c>
      <c r="S191" s="24">
        <v>62.283923213230452</v>
      </c>
      <c r="T191" s="24">
        <f t="shared" si="10"/>
        <v>360.21839252699567</v>
      </c>
      <c r="U191" s="376">
        <v>2919.66</v>
      </c>
      <c r="V191" s="376">
        <v>0</v>
      </c>
      <c r="W191" s="22">
        <f t="shared" si="11"/>
        <v>877.94176200000004</v>
      </c>
      <c r="X191" s="22">
        <f t="shared" si="12"/>
        <v>1430.7402537375322</v>
      </c>
      <c r="Y191" s="22">
        <v>818.50128932353095</v>
      </c>
      <c r="Z191" s="22">
        <v>612.2389644140012</v>
      </c>
      <c r="AA191" s="371">
        <v>9772.0894116991421</v>
      </c>
      <c r="AB191" s="22">
        <v>0.14641088445472578</v>
      </c>
      <c r="AC191" s="24">
        <v>1.1410884454725767E-2</v>
      </c>
      <c r="AD191" s="384">
        <v>-1055680.5499259867</v>
      </c>
    </row>
    <row r="192" spans="1:30">
      <c r="A192" s="21" t="s">
        <v>329</v>
      </c>
      <c r="B192" s="21" t="s">
        <v>330</v>
      </c>
      <c r="C192" s="23">
        <v>512.01403198902096</v>
      </c>
      <c r="D192" s="147">
        <v>32.889929774212341</v>
      </c>
      <c r="E192" s="22">
        <v>139.38539267476978</v>
      </c>
      <c r="F192" s="22">
        <v>172.27532244898211</v>
      </c>
      <c r="G192" s="22">
        <v>0</v>
      </c>
      <c r="H192" s="22">
        <v>133.65929005677924</v>
      </c>
      <c r="I192" s="22">
        <v>11.000144502981829</v>
      </c>
      <c r="J192" s="22">
        <v>4889.2578348563911</v>
      </c>
      <c r="K192" s="22">
        <v>0</v>
      </c>
      <c r="L192" s="22">
        <v>0</v>
      </c>
      <c r="M192" s="388">
        <v>6642.6205938672947</v>
      </c>
      <c r="N192" s="25">
        <v>0.54259999999999997</v>
      </c>
      <c r="O192" s="24">
        <v>5418.7303818723358</v>
      </c>
      <c r="P192" s="24">
        <v>270.7350418531679</v>
      </c>
      <c r="Q192" s="24">
        <v>162.69287166246184</v>
      </c>
      <c r="R192" s="22">
        <v>108.04217019070609</v>
      </c>
      <c r="S192" s="24">
        <v>78.859483423203073</v>
      </c>
      <c r="T192" s="24">
        <f t="shared" si="10"/>
        <v>349.59452527637097</v>
      </c>
      <c r="U192" s="376">
        <v>3613.69</v>
      </c>
      <c r="V192" s="376">
        <v>333.06</v>
      </c>
      <c r="W192" s="22">
        <f t="shared" si="11"/>
        <v>1960.788194</v>
      </c>
      <c r="X192" s="22">
        <f t="shared" si="12"/>
        <v>917.72883024459907</v>
      </c>
      <c r="Y192" s="22">
        <v>761.58396889672542</v>
      </c>
      <c r="Z192" s="22">
        <v>156.14486134787361</v>
      </c>
      <c r="AA192" s="371">
        <v>6641.2036121578722</v>
      </c>
      <c r="AB192" s="22">
        <v>0.13818712447914377</v>
      </c>
      <c r="AC192" s="24">
        <v>3.1871244791437658E-3</v>
      </c>
      <c r="AD192" s="384">
        <v>-191136.78367158226</v>
      </c>
    </row>
    <row r="193" spans="1:30">
      <c r="A193" s="21" t="s">
        <v>287</v>
      </c>
      <c r="B193" s="21" t="s">
        <v>288</v>
      </c>
      <c r="C193" s="23">
        <v>218.79739477163861</v>
      </c>
      <c r="D193" s="147">
        <v>9.9553819200502236</v>
      </c>
      <c r="E193" s="22">
        <v>98.368415500637525</v>
      </c>
      <c r="F193" s="22">
        <v>108.32379742068775</v>
      </c>
      <c r="G193" s="22">
        <v>0</v>
      </c>
      <c r="H193" s="22">
        <v>13.099715462911695</v>
      </c>
      <c r="I193" s="22">
        <v>1.0045794066650073</v>
      </c>
      <c r="J193" s="22">
        <v>0</v>
      </c>
      <c r="K193" s="22">
        <v>0.80366352533200591</v>
      </c>
      <c r="L193" s="22">
        <v>0</v>
      </c>
      <c r="M193" s="388">
        <v>795.3456078448196</v>
      </c>
      <c r="N193" s="25">
        <v>0.57830000000000004</v>
      </c>
      <c r="O193" s="24">
        <v>806.916347997721</v>
      </c>
      <c r="P193" s="24">
        <v>20.147724044886917</v>
      </c>
      <c r="Q193" s="24">
        <v>7.8072430673936806</v>
      </c>
      <c r="R193" s="22">
        <v>12.340480977493236</v>
      </c>
      <c r="S193" s="24">
        <v>6.0274764399900445</v>
      </c>
      <c r="T193" s="24">
        <f t="shared" si="10"/>
        <v>26.17520048487696</v>
      </c>
      <c r="U193" s="376">
        <v>461.23</v>
      </c>
      <c r="V193" s="376">
        <v>39.880000000000003</v>
      </c>
      <c r="W193" s="22">
        <f t="shared" si="11"/>
        <v>266.729309</v>
      </c>
      <c r="X193" s="22">
        <f t="shared" si="12"/>
        <v>139.2711424602808</v>
      </c>
      <c r="Y193" s="22">
        <v>82.605668584036351</v>
      </c>
      <c r="Z193" s="22">
        <v>56.665473876244455</v>
      </c>
      <c r="AA193" s="371">
        <v>800.66047968178361</v>
      </c>
      <c r="AB193" s="22">
        <v>0.17394531888926634</v>
      </c>
      <c r="AC193" s="24">
        <v>3.8945318889266334E-2</v>
      </c>
      <c r="AD193" s="384">
        <v>-291247.07247771026</v>
      </c>
    </row>
    <row r="194" spans="1:30">
      <c r="A194" s="21" t="s">
        <v>483</v>
      </c>
      <c r="B194" s="21" t="s">
        <v>484</v>
      </c>
      <c r="C194" s="23">
        <v>21.4</v>
      </c>
      <c r="D194" s="147">
        <v>0</v>
      </c>
      <c r="E194" s="22">
        <v>0</v>
      </c>
      <c r="F194" s="22">
        <v>0</v>
      </c>
      <c r="G194" s="22">
        <v>0</v>
      </c>
      <c r="H194" s="22">
        <v>0</v>
      </c>
      <c r="I194" s="22">
        <v>0</v>
      </c>
      <c r="J194" s="22">
        <v>0</v>
      </c>
      <c r="K194" s="22">
        <v>0</v>
      </c>
      <c r="L194" s="22">
        <v>0</v>
      </c>
      <c r="M194" s="388">
        <v>48.8</v>
      </c>
      <c r="N194" s="25">
        <v>0.77080000000000004</v>
      </c>
      <c r="O194" s="24">
        <v>48</v>
      </c>
      <c r="P194" s="24">
        <v>0</v>
      </c>
      <c r="Q194" s="24">
        <v>0</v>
      </c>
      <c r="R194" s="22">
        <v>0</v>
      </c>
      <c r="S194" s="24">
        <v>0</v>
      </c>
      <c r="T194" s="24">
        <f t="shared" si="10"/>
        <v>0</v>
      </c>
      <c r="U194" s="376">
        <v>37.619999999999997</v>
      </c>
      <c r="V194" s="376">
        <v>2.44</v>
      </c>
      <c r="W194" s="22">
        <f t="shared" si="11"/>
        <v>28.997495999999998</v>
      </c>
      <c r="X194" s="22">
        <f t="shared" si="12"/>
        <v>5.5</v>
      </c>
      <c r="Y194" s="22">
        <v>5.5</v>
      </c>
      <c r="Z194" s="22">
        <v>0</v>
      </c>
      <c r="AA194" s="371">
        <v>48.8</v>
      </c>
      <c r="AB194" s="22">
        <v>0.11270491803278689</v>
      </c>
      <c r="AC194" s="24">
        <v>0</v>
      </c>
      <c r="AD194" s="384">
        <v>0</v>
      </c>
    </row>
    <row r="195" spans="1:30">
      <c r="A195" s="21" t="s">
        <v>395</v>
      </c>
      <c r="B195" s="21" t="s">
        <v>396</v>
      </c>
      <c r="C195" s="23">
        <v>110.15213194081807</v>
      </c>
      <c r="D195" s="147">
        <v>0</v>
      </c>
      <c r="E195" s="22">
        <v>11.833945410513786</v>
      </c>
      <c r="F195" s="22">
        <v>11.833945410513786</v>
      </c>
      <c r="G195" s="22">
        <v>0</v>
      </c>
      <c r="H195" s="22">
        <v>0</v>
      </c>
      <c r="I195" s="22">
        <v>0</v>
      </c>
      <c r="J195" s="22">
        <v>315.24706360554592</v>
      </c>
      <c r="K195" s="22">
        <v>0</v>
      </c>
      <c r="L195" s="22">
        <v>0</v>
      </c>
      <c r="M195" s="388">
        <v>726.66251381113307</v>
      </c>
      <c r="N195" s="25">
        <v>0.30020000000000002</v>
      </c>
      <c r="O195" s="24">
        <v>0</v>
      </c>
      <c r="P195" s="24">
        <v>35.258517078552103</v>
      </c>
      <c r="Q195" s="24">
        <v>21.155110247131262</v>
      </c>
      <c r="R195" s="22">
        <v>14.103406831420841</v>
      </c>
      <c r="S195" s="24">
        <v>2.0091588133300147</v>
      </c>
      <c r="T195" s="24">
        <f t="shared" si="10"/>
        <v>37.267675891882121</v>
      </c>
      <c r="U195" s="376">
        <v>218.75</v>
      </c>
      <c r="V195" s="376">
        <v>36.43</v>
      </c>
      <c r="W195" s="22">
        <f t="shared" si="11"/>
        <v>65.668750000000003</v>
      </c>
      <c r="X195" s="22">
        <f t="shared" si="12"/>
        <v>79.835356527864406</v>
      </c>
      <c r="Y195" s="22">
        <v>71.524420359348554</v>
      </c>
      <c r="Z195" s="22">
        <v>8.3109361685158536</v>
      </c>
      <c r="AA195" s="371">
        <v>728.68273553142512</v>
      </c>
      <c r="AB195" s="22">
        <v>0.10956120220090138</v>
      </c>
      <c r="AC195" s="24">
        <v>0</v>
      </c>
      <c r="AD195" s="384">
        <v>0</v>
      </c>
    </row>
    <row r="196" spans="1:30">
      <c r="A196" s="21" t="s">
        <v>453</v>
      </c>
      <c r="B196" s="21" t="s">
        <v>454</v>
      </c>
      <c r="C196" s="23">
        <v>46</v>
      </c>
      <c r="D196" s="147">
        <v>0</v>
      </c>
      <c r="E196" s="22">
        <v>0</v>
      </c>
      <c r="F196" s="22">
        <v>0</v>
      </c>
      <c r="G196" s="22">
        <v>0</v>
      </c>
      <c r="H196" s="22">
        <v>0</v>
      </c>
      <c r="I196" s="22">
        <v>0</v>
      </c>
      <c r="J196" s="22">
        <v>0</v>
      </c>
      <c r="K196" s="22">
        <v>0</v>
      </c>
      <c r="L196" s="22">
        <v>0</v>
      </c>
      <c r="M196" s="388">
        <v>68.400000000000006</v>
      </c>
      <c r="N196" s="25">
        <v>0.15579999999999999</v>
      </c>
      <c r="O196" s="24">
        <v>0</v>
      </c>
      <c r="P196" s="24">
        <v>0</v>
      </c>
      <c r="Q196" s="24">
        <v>0</v>
      </c>
      <c r="R196" s="22">
        <v>0</v>
      </c>
      <c r="S196" s="24">
        <v>0</v>
      </c>
      <c r="T196" s="24">
        <f t="shared" si="10"/>
        <v>0</v>
      </c>
      <c r="U196" s="376">
        <v>10.66</v>
      </c>
      <c r="V196" s="376">
        <v>0</v>
      </c>
      <c r="W196" s="22">
        <f t="shared" si="11"/>
        <v>1.660828</v>
      </c>
      <c r="X196" s="22">
        <f t="shared" si="12"/>
        <v>4</v>
      </c>
      <c r="Y196" s="22">
        <v>0</v>
      </c>
      <c r="Z196" s="22">
        <v>4</v>
      </c>
      <c r="AA196" s="371">
        <v>68.400000000000006</v>
      </c>
      <c r="AB196" s="22">
        <v>5.8479532163742687E-2</v>
      </c>
      <c r="AC196" s="24">
        <v>0</v>
      </c>
      <c r="AD196" s="384">
        <v>0</v>
      </c>
    </row>
    <row r="197" spans="1:30">
      <c r="A197" s="21" t="s">
        <v>105</v>
      </c>
      <c r="B197" s="21" t="s">
        <v>106</v>
      </c>
      <c r="C197" s="23">
        <v>16.8</v>
      </c>
      <c r="D197" s="147">
        <v>0</v>
      </c>
      <c r="E197" s="22">
        <v>0</v>
      </c>
      <c r="F197" s="22">
        <v>0</v>
      </c>
      <c r="G197" s="22">
        <v>0</v>
      </c>
      <c r="H197" s="22">
        <v>0</v>
      </c>
      <c r="I197" s="22">
        <v>0</v>
      </c>
      <c r="J197" s="22">
        <v>0</v>
      </c>
      <c r="K197" s="22">
        <v>0</v>
      </c>
      <c r="L197" s="22">
        <v>0</v>
      </c>
      <c r="M197" s="388">
        <v>33.4</v>
      </c>
      <c r="N197" s="25">
        <v>0.71879999999999999</v>
      </c>
      <c r="O197" s="24">
        <v>32</v>
      </c>
      <c r="P197" s="24">
        <v>0</v>
      </c>
      <c r="Q197" s="24">
        <v>0</v>
      </c>
      <c r="R197" s="22">
        <v>0</v>
      </c>
      <c r="S197" s="24">
        <v>0</v>
      </c>
      <c r="T197" s="24">
        <f t="shared" si="10"/>
        <v>0</v>
      </c>
      <c r="U197" s="376">
        <v>24.01</v>
      </c>
      <c r="V197" s="376">
        <v>1.67</v>
      </c>
      <c r="W197" s="22">
        <f t="shared" si="11"/>
        <v>17.258388</v>
      </c>
      <c r="X197" s="22">
        <f t="shared" si="12"/>
        <v>6.25</v>
      </c>
      <c r="Y197" s="22">
        <v>6.25</v>
      </c>
      <c r="Z197" s="22">
        <v>0</v>
      </c>
      <c r="AA197" s="371">
        <v>33.4</v>
      </c>
      <c r="AB197" s="22">
        <v>0.18712574850299402</v>
      </c>
      <c r="AC197" s="24">
        <v>5.2125748502994007E-2</v>
      </c>
      <c r="AD197" s="384">
        <v>-17568.152934429992</v>
      </c>
    </row>
    <row r="198" spans="1:30">
      <c r="A198" s="21" t="s">
        <v>89</v>
      </c>
      <c r="B198" s="21" t="s">
        <v>90</v>
      </c>
      <c r="C198" s="23">
        <v>57.662857942571421</v>
      </c>
      <c r="D198" s="147">
        <v>1.4465943455976105</v>
      </c>
      <c r="E198" s="22">
        <v>0</v>
      </c>
      <c r="F198" s="22">
        <v>1.4465943455976105</v>
      </c>
      <c r="G198" s="22">
        <v>0</v>
      </c>
      <c r="H198" s="22">
        <v>0</v>
      </c>
      <c r="I198" s="22">
        <v>0</v>
      </c>
      <c r="J198" s="22">
        <v>0</v>
      </c>
      <c r="K198" s="22">
        <v>0</v>
      </c>
      <c r="L198" s="22">
        <v>0</v>
      </c>
      <c r="M198" s="388">
        <v>138.7123244723042</v>
      </c>
      <c r="N198" s="25">
        <v>0.89300000000000002</v>
      </c>
      <c r="O198" s="24">
        <v>140.02668211196408</v>
      </c>
      <c r="P198" s="24">
        <v>59.435785932416408</v>
      </c>
      <c r="Q198" s="24">
        <v>50.117463561656209</v>
      </c>
      <c r="R198" s="22">
        <v>9.3183223707601996</v>
      </c>
      <c r="S198" s="24">
        <v>15.06869109997511</v>
      </c>
      <c r="T198" s="24">
        <f t="shared" si="10"/>
        <v>74.50447703239152</v>
      </c>
      <c r="U198" s="376">
        <v>124.22</v>
      </c>
      <c r="V198" s="376">
        <v>6.95</v>
      </c>
      <c r="W198" s="22">
        <f t="shared" si="11"/>
        <v>110.92846</v>
      </c>
      <c r="X198" s="22">
        <f t="shared" si="12"/>
        <v>14.8589464831041</v>
      </c>
      <c r="Y198" s="22">
        <v>12.088634426932149</v>
      </c>
      <c r="Z198" s="22">
        <v>2.7703120561719512</v>
      </c>
      <c r="AA198" s="371">
        <v>139.09988680589927</v>
      </c>
      <c r="AB198" s="22">
        <v>0.10682213209733488</v>
      </c>
      <c r="AC198" s="24">
        <v>0</v>
      </c>
      <c r="AD198" s="384">
        <v>0</v>
      </c>
    </row>
    <row r="199" spans="1:30">
      <c r="A199" s="21" t="s">
        <v>341</v>
      </c>
      <c r="B199" s="21" t="s">
        <v>342</v>
      </c>
      <c r="C199" s="23">
        <v>144.29778597336164</v>
      </c>
      <c r="D199" s="147">
        <v>5.1936755324580881</v>
      </c>
      <c r="E199" s="22">
        <v>23.738211379494121</v>
      </c>
      <c r="F199" s="22">
        <v>28.931886911952208</v>
      </c>
      <c r="G199" s="22">
        <v>0</v>
      </c>
      <c r="H199" s="22">
        <v>13.380997696777898</v>
      </c>
      <c r="I199" s="22">
        <v>0.90412146599850662</v>
      </c>
      <c r="J199" s="22">
        <v>15.470522862641113</v>
      </c>
      <c r="K199" s="22">
        <v>0</v>
      </c>
      <c r="L199" s="22">
        <v>0</v>
      </c>
      <c r="M199" s="388">
        <v>520.20135415334073</v>
      </c>
      <c r="N199" s="25">
        <v>0.74</v>
      </c>
      <c r="O199" s="24">
        <v>526.86298377379285</v>
      </c>
      <c r="P199" s="24">
        <v>64.976410044760314</v>
      </c>
      <c r="Q199" s="24">
        <v>41.554680842579266</v>
      </c>
      <c r="R199" s="22">
        <v>23.421729202181041</v>
      </c>
      <c r="S199" s="24">
        <v>12.054952879980089</v>
      </c>
      <c r="T199" s="24">
        <f t="shared" si="10"/>
        <v>77.031362924740407</v>
      </c>
      <c r="U199" s="376">
        <v>384.98</v>
      </c>
      <c r="V199" s="376">
        <v>0</v>
      </c>
      <c r="W199" s="22">
        <f t="shared" si="11"/>
        <v>284.8852</v>
      </c>
      <c r="X199" s="22">
        <f t="shared" si="12"/>
        <v>65.731949696443564</v>
      </c>
      <c r="Y199" s="22">
        <v>50.117463561656209</v>
      </c>
      <c r="Z199" s="22">
        <v>15.614486134787361</v>
      </c>
      <c r="AA199" s="371">
        <v>521.64472324616725</v>
      </c>
      <c r="AB199" s="22">
        <v>0.12600903788961412</v>
      </c>
      <c r="AC199" s="24">
        <v>0</v>
      </c>
      <c r="AD199" s="384">
        <v>0</v>
      </c>
    </row>
    <row r="200" spans="1:30">
      <c r="A200" s="21" t="s">
        <v>375</v>
      </c>
      <c r="B200" s="21" t="s">
        <v>376</v>
      </c>
      <c r="C200" s="23">
        <v>723.9099662368709</v>
      </c>
      <c r="D200" s="147">
        <v>54.277425342110348</v>
      </c>
      <c r="E200" s="22">
        <v>224.84496279976193</v>
      </c>
      <c r="F200" s="22">
        <v>279.12238814187231</v>
      </c>
      <c r="G200" s="22">
        <v>0</v>
      </c>
      <c r="H200" s="22">
        <v>55.322187925041952</v>
      </c>
      <c r="I200" s="22">
        <v>2.340670017529467</v>
      </c>
      <c r="J200" s="22">
        <v>21.769235742430709</v>
      </c>
      <c r="K200" s="22">
        <v>4.6210652706590336</v>
      </c>
      <c r="L200" s="22">
        <v>0</v>
      </c>
      <c r="M200" s="388">
        <v>2616.0955534548125</v>
      </c>
      <c r="N200" s="25">
        <v>0.31490000000000001</v>
      </c>
      <c r="O200" s="24">
        <v>0</v>
      </c>
      <c r="P200" s="24">
        <v>69.005954853737677</v>
      </c>
      <c r="Q200" s="24">
        <v>48.354537707728596</v>
      </c>
      <c r="R200" s="22">
        <v>20.651417146009088</v>
      </c>
      <c r="S200" s="24">
        <v>7.0320558466550516</v>
      </c>
      <c r="T200" s="24">
        <f t="shared" si="10"/>
        <v>76.038010700392732</v>
      </c>
      <c r="U200" s="376">
        <v>826.11</v>
      </c>
      <c r="V200" s="376">
        <v>131.16999999999999</v>
      </c>
      <c r="W200" s="22">
        <f t="shared" si="11"/>
        <v>260.14203900000001</v>
      </c>
      <c r="X200" s="22">
        <f t="shared" si="12"/>
        <v>391.62138612248941</v>
      </c>
      <c r="Y200" s="22">
        <v>212.05479557243478</v>
      </c>
      <c r="Z200" s="22">
        <v>179.56659055005466</v>
      </c>
      <c r="AA200" s="371">
        <v>2636.2088049291838</v>
      </c>
      <c r="AB200" s="22">
        <v>0.1485547675094005</v>
      </c>
      <c r="AC200" s="24">
        <v>1.3554767509400489E-2</v>
      </c>
      <c r="AD200" s="384">
        <v>-347925.16887832311</v>
      </c>
    </row>
    <row r="201" spans="1:30">
      <c r="A201" s="21" t="s">
        <v>7</v>
      </c>
      <c r="B201" s="21" t="s">
        <v>8</v>
      </c>
      <c r="C201" s="23">
        <v>1305.1596109332443</v>
      </c>
      <c r="D201" s="147">
        <v>20.674244189165851</v>
      </c>
      <c r="E201" s="22">
        <v>242.20409494693325</v>
      </c>
      <c r="F201" s="22">
        <v>262.8783391360991</v>
      </c>
      <c r="G201" s="22">
        <v>0</v>
      </c>
      <c r="H201" s="22">
        <v>60.214489635500534</v>
      </c>
      <c r="I201" s="22">
        <v>6.6302240839890478</v>
      </c>
      <c r="J201" s="22">
        <v>12.38646408417954</v>
      </c>
      <c r="K201" s="22">
        <v>20.091588133300146</v>
      </c>
      <c r="L201" s="22">
        <v>0</v>
      </c>
      <c r="M201" s="388">
        <v>4481.8004275130634</v>
      </c>
      <c r="N201" s="25">
        <v>0.81569999999999998</v>
      </c>
      <c r="O201" s="24">
        <v>4533.2379100995558</v>
      </c>
      <c r="P201" s="24">
        <v>1782.3180383208087</v>
      </c>
      <c r="Q201" s="24">
        <v>1159.249672232681</v>
      </c>
      <c r="R201" s="22">
        <v>623.06836608812785</v>
      </c>
      <c r="S201" s="24">
        <v>275.7570471295445</v>
      </c>
      <c r="T201" s="24">
        <f t="shared" ref="T201:T264" si="13">S201+P201</f>
        <v>2058.0750854503531</v>
      </c>
      <c r="U201" s="376">
        <v>3666.02</v>
      </c>
      <c r="V201" s="376">
        <v>224.72</v>
      </c>
      <c r="W201" s="22">
        <f t="shared" ref="W201:W264" si="14">U201*N201</f>
        <v>2990.3725140000001</v>
      </c>
      <c r="X201" s="22">
        <f t="shared" ref="X201:X264" si="15">Y201+Z201</f>
        <v>571.9435163242274</v>
      </c>
      <c r="Y201" s="22">
        <v>380.03644479667946</v>
      </c>
      <c r="Z201" s="22">
        <v>191.90707152754788</v>
      </c>
      <c r="AA201" s="371">
        <v>4515.9612367310665</v>
      </c>
      <c r="AB201" s="22">
        <v>0.12664934137881034</v>
      </c>
      <c r="AC201" s="24">
        <v>0</v>
      </c>
      <c r="AD201" s="384">
        <v>0</v>
      </c>
    </row>
    <row r="202" spans="1:30">
      <c r="A202" s="21" t="s">
        <v>93</v>
      </c>
      <c r="B202" s="21" t="s">
        <v>94</v>
      </c>
      <c r="C202" s="23">
        <v>12</v>
      </c>
      <c r="D202" s="147">
        <v>0</v>
      </c>
      <c r="E202" s="22">
        <v>0</v>
      </c>
      <c r="F202" s="22">
        <v>0</v>
      </c>
      <c r="G202" s="22">
        <v>0</v>
      </c>
      <c r="H202" s="22">
        <v>0</v>
      </c>
      <c r="I202" s="22">
        <v>0</v>
      </c>
      <c r="J202" s="22">
        <v>0</v>
      </c>
      <c r="K202" s="22">
        <v>0</v>
      </c>
      <c r="L202" s="22">
        <v>0</v>
      </c>
      <c r="M202" s="388">
        <v>22</v>
      </c>
      <c r="N202" s="25">
        <v>0.91300000000000003</v>
      </c>
      <c r="O202" s="24">
        <v>22</v>
      </c>
      <c r="P202" s="24">
        <v>8.25</v>
      </c>
      <c r="Q202" s="24">
        <v>8.25</v>
      </c>
      <c r="R202" s="22">
        <v>0</v>
      </c>
      <c r="S202" s="24">
        <v>3</v>
      </c>
      <c r="T202" s="24">
        <f t="shared" si="13"/>
        <v>11.25</v>
      </c>
      <c r="U202" s="376">
        <v>20.09</v>
      </c>
      <c r="V202" s="376">
        <v>0</v>
      </c>
      <c r="W202" s="22">
        <f t="shared" si="14"/>
        <v>18.342169999999999</v>
      </c>
      <c r="X202" s="22">
        <f t="shared" si="15"/>
        <v>4</v>
      </c>
      <c r="Y202" s="22">
        <v>4</v>
      </c>
      <c r="Z202" s="22">
        <v>0</v>
      </c>
      <c r="AA202" s="371">
        <v>22</v>
      </c>
      <c r="AB202" s="22">
        <v>0.18181818181818182</v>
      </c>
      <c r="AC202" s="24">
        <v>4.6818181818181814E-2</v>
      </c>
      <c r="AD202" s="384">
        <v>-10291.99389157841</v>
      </c>
    </row>
    <row r="203" spans="1:30">
      <c r="A203" s="21" t="s">
        <v>565</v>
      </c>
      <c r="B203" s="21" t="s">
        <v>566</v>
      </c>
      <c r="C203" s="23">
        <v>49.324848867251859</v>
      </c>
      <c r="D203" s="147">
        <v>0</v>
      </c>
      <c r="E203" s="22">
        <v>9.6439623039840701</v>
      </c>
      <c r="F203" s="22">
        <v>9.6439623039840701</v>
      </c>
      <c r="G203" s="22">
        <v>0</v>
      </c>
      <c r="H203" s="22">
        <v>1.7580139616637629</v>
      </c>
      <c r="I203" s="22">
        <v>0</v>
      </c>
      <c r="J203" s="22">
        <v>0</v>
      </c>
      <c r="K203" s="22">
        <v>0</v>
      </c>
      <c r="L203" s="22">
        <v>0</v>
      </c>
      <c r="M203" s="388">
        <v>153.59014548501298</v>
      </c>
      <c r="N203" s="25">
        <v>0.36420000000000002</v>
      </c>
      <c r="O203" s="24">
        <v>0</v>
      </c>
      <c r="P203" s="24">
        <v>0</v>
      </c>
      <c r="Q203" s="24">
        <v>0</v>
      </c>
      <c r="R203" s="22">
        <v>0</v>
      </c>
      <c r="S203" s="24">
        <v>0</v>
      </c>
      <c r="T203" s="24">
        <f t="shared" si="13"/>
        <v>0</v>
      </c>
      <c r="U203" s="376">
        <v>56.09</v>
      </c>
      <c r="V203" s="376">
        <v>0</v>
      </c>
      <c r="W203" s="22">
        <f t="shared" si="14"/>
        <v>20.427978000000003</v>
      </c>
      <c r="X203" s="22">
        <f t="shared" si="15"/>
        <v>18.636644741520399</v>
      </c>
      <c r="Y203" s="22">
        <v>14.607099932543015</v>
      </c>
      <c r="Z203" s="22">
        <v>4.0295448089773833</v>
      </c>
      <c r="AA203" s="371">
        <v>154.01927646113802</v>
      </c>
      <c r="AB203" s="22">
        <v>0.12100202760154362</v>
      </c>
      <c r="AC203" s="24">
        <v>0</v>
      </c>
      <c r="AD203" s="384">
        <v>0</v>
      </c>
    </row>
    <row r="204" spans="1:30">
      <c r="A204" s="21" t="s">
        <v>111</v>
      </c>
      <c r="B204" s="21" t="s">
        <v>112</v>
      </c>
      <c r="C204" s="23">
        <v>5332.1768952549928</v>
      </c>
      <c r="D204" s="147">
        <v>160.57197236133479</v>
      </c>
      <c r="E204" s="22">
        <v>1036.0729710639553</v>
      </c>
      <c r="F204" s="22">
        <v>1196.64494342529</v>
      </c>
      <c r="G204" s="22">
        <v>0</v>
      </c>
      <c r="H204" s="22">
        <v>350.14615219308831</v>
      </c>
      <c r="I204" s="22">
        <v>15.420293892307862</v>
      </c>
      <c r="J204" s="22">
        <v>224.60386374216233</v>
      </c>
      <c r="K204" s="22">
        <v>21.387495567898004</v>
      </c>
      <c r="L204" s="22">
        <v>0</v>
      </c>
      <c r="M204" s="388">
        <v>18174.378473062181</v>
      </c>
      <c r="N204" s="25">
        <v>0.73440000000000005</v>
      </c>
      <c r="O204" s="24">
        <v>16895.881384042168</v>
      </c>
      <c r="P204" s="24">
        <v>6375.2435809033432</v>
      </c>
      <c r="Q204" s="24">
        <v>3467.1714615744772</v>
      </c>
      <c r="R204" s="22">
        <v>2908.0721193288655</v>
      </c>
      <c r="S204" s="24">
        <v>802.15665622200834</v>
      </c>
      <c r="T204" s="24">
        <f t="shared" si="13"/>
        <v>7177.4002371253519</v>
      </c>
      <c r="U204" s="376">
        <v>13384.56</v>
      </c>
      <c r="V204" s="376">
        <v>911.26</v>
      </c>
      <c r="W204" s="22">
        <f t="shared" si="14"/>
        <v>9829.6208640000004</v>
      </c>
      <c r="X204" s="22">
        <f t="shared" si="15"/>
        <v>2274.1743515666108</v>
      </c>
      <c r="Y204" s="22">
        <v>1195.2637289629163</v>
      </c>
      <c r="Z204" s="22">
        <v>1078.9106226036945</v>
      </c>
      <c r="AA204" s="371">
        <v>18340.362385578312</v>
      </c>
      <c r="AB204" s="22">
        <v>0.12399833240780869</v>
      </c>
      <c r="AC204" s="24">
        <v>0</v>
      </c>
      <c r="AD204" s="384">
        <v>0</v>
      </c>
    </row>
    <row r="205" spans="1:30">
      <c r="A205" s="21" t="s">
        <v>335</v>
      </c>
      <c r="B205" s="21" t="s">
        <v>336</v>
      </c>
      <c r="C205" s="23">
        <v>75.363547088008843</v>
      </c>
      <c r="D205" s="147">
        <v>0</v>
      </c>
      <c r="E205" s="22">
        <v>11.291472530914684</v>
      </c>
      <c r="F205" s="22">
        <v>11.291472530914684</v>
      </c>
      <c r="G205" s="22">
        <v>0</v>
      </c>
      <c r="H205" s="22">
        <v>8.2074137524531103</v>
      </c>
      <c r="I205" s="22">
        <v>0.59270184993235431</v>
      </c>
      <c r="J205" s="22">
        <v>7.5946203143874556</v>
      </c>
      <c r="K205" s="22">
        <v>0</v>
      </c>
      <c r="L205" s="22">
        <v>0</v>
      </c>
      <c r="M205" s="388">
        <v>296.35092496617716</v>
      </c>
      <c r="N205" s="25">
        <v>0.72289999999999999</v>
      </c>
      <c r="O205" s="24">
        <v>278.03859181943943</v>
      </c>
      <c r="P205" s="24">
        <v>32.236358471819067</v>
      </c>
      <c r="Q205" s="24">
        <v>20.147724044886917</v>
      </c>
      <c r="R205" s="22">
        <v>12.088634426932149</v>
      </c>
      <c r="S205" s="24">
        <v>12.054952879980089</v>
      </c>
      <c r="T205" s="24">
        <f t="shared" si="13"/>
        <v>44.291311351799152</v>
      </c>
      <c r="U205" s="376">
        <v>214.83</v>
      </c>
      <c r="V205" s="376">
        <v>14.86</v>
      </c>
      <c r="W205" s="22">
        <f t="shared" si="14"/>
        <v>155.30060700000001</v>
      </c>
      <c r="X205" s="22">
        <f t="shared" si="15"/>
        <v>41.80652739314035</v>
      </c>
      <c r="Y205" s="22">
        <v>31.480818820135806</v>
      </c>
      <c r="Z205" s="22">
        <v>10.325708573004544</v>
      </c>
      <c r="AA205" s="371">
        <v>297.16885580005959</v>
      </c>
      <c r="AB205" s="22">
        <v>0.14068273500796635</v>
      </c>
      <c r="AC205" s="24">
        <v>5.6827350079663441E-3</v>
      </c>
      <c r="AD205" s="384">
        <v>-16041.632470873352</v>
      </c>
    </row>
    <row r="206" spans="1:30">
      <c r="A206" s="21" t="s">
        <v>19</v>
      </c>
      <c r="B206" s="21" t="s">
        <v>20</v>
      </c>
      <c r="C206" s="23">
        <v>58.265605586570423</v>
      </c>
      <c r="D206" s="147">
        <v>0</v>
      </c>
      <c r="E206" s="22">
        <v>0</v>
      </c>
      <c r="F206" s="22">
        <v>0</v>
      </c>
      <c r="G206" s="22">
        <v>0</v>
      </c>
      <c r="H206" s="22">
        <v>0</v>
      </c>
      <c r="I206" s="22">
        <v>0</v>
      </c>
      <c r="J206" s="22">
        <v>0</v>
      </c>
      <c r="K206" s="22">
        <v>0</v>
      </c>
      <c r="L206" s="22">
        <v>0</v>
      </c>
      <c r="M206" s="388">
        <v>142.04752810243204</v>
      </c>
      <c r="N206" s="25">
        <v>1</v>
      </c>
      <c r="O206" s="24">
        <v>143.04884071869711</v>
      </c>
      <c r="P206" s="24">
        <v>25.68834815723082</v>
      </c>
      <c r="Q206" s="24">
        <v>20.399570595448004</v>
      </c>
      <c r="R206" s="22">
        <v>5.2887775617828154</v>
      </c>
      <c r="S206" s="24">
        <v>11.05037347331508</v>
      </c>
      <c r="T206" s="24">
        <f t="shared" si="13"/>
        <v>36.738721630545896</v>
      </c>
      <c r="U206" s="376">
        <v>142.44</v>
      </c>
      <c r="V206" s="376">
        <v>0</v>
      </c>
      <c r="W206" s="22">
        <f t="shared" si="14"/>
        <v>142.44</v>
      </c>
      <c r="X206" s="22">
        <f t="shared" si="15"/>
        <v>22.918036101058867</v>
      </c>
      <c r="Y206" s="22">
        <v>22.918036101058867</v>
      </c>
      <c r="Z206" s="22">
        <v>0</v>
      </c>
      <c r="AA206" s="371">
        <v>142.44440899735051</v>
      </c>
      <c r="AB206" s="22">
        <v>0.16089108910891087</v>
      </c>
      <c r="AC206" s="24">
        <v>2.5891089108910859E-2</v>
      </c>
      <c r="AD206" s="384">
        <v>-35437.188544169665</v>
      </c>
    </row>
    <row r="207" spans="1:30">
      <c r="A207" s="21" t="s">
        <v>289</v>
      </c>
      <c r="B207" s="21" t="s">
        <v>290</v>
      </c>
      <c r="C207" s="23">
        <v>76.749866669206568</v>
      </c>
      <c r="D207" s="147">
        <v>6.3188044679228961</v>
      </c>
      <c r="E207" s="22">
        <v>15.209332216908212</v>
      </c>
      <c r="F207" s="22">
        <v>21.528136684831107</v>
      </c>
      <c r="G207" s="22">
        <v>0</v>
      </c>
      <c r="H207" s="22">
        <v>2.7525475742621204</v>
      </c>
      <c r="I207" s="22">
        <v>0.27123643979955198</v>
      </c>
      <c r="J207" s="22">
        <v>0</v>
      </c>
      <c r="K207" s="22">
        <v>0</v>
      </c>
      <c r="L207" s="22">
        <v>0</v>
      </c>
      <c r="M207" s="388">
        <v>249.08546388258861</v>
      </c>
      <c r="N207" s="25">
        <v>0.59130000000000005</v>
      </c>
      <c r="O207" s="24">
        <v>253.86132296557514</v>
      </c>
      <c r="P207" s="24">
        <v>0</v>
      </c>
      <c r="Q207" s="24">
        <v>0</v>
      </c>
      <c r="R207" s="22">
        <v>0</v>
      </c>
      <c r="S207" s="24">
        <v>0</v>
      </c>
      <c r="T207" s="24">
        <f t="shared" si="13"/>
        <v>0</v>
      </c>
      <c r="U207" s="376">
        <v>147.69999999999999</v>
      </c>
      <c r="V207" s="376">
        <v>12.49</v>
      </c>
      <c r="W207" s="22">
        <f t="shared" si="14"/>
        <v>87.335009999999997</v>
      </c>
      <c r="X207" s="22">
        <f t="shared" si="15"/>
        <v>47.598998056045339</v>
      </c>
      <c r="Y207" s="22">
        <v>29.717892966208201</v>
      </c>
      <c r="Z207" s="22">
        <v>17.881105089837138</v>
      </c>
      <c r="AA207" s="371">
        <v>249.78140884648553</v>
      </c>
      <c r="AB207" s="22">
        <v>0.19056261343012704</v>
      </c>
      <c r="AC207" s="24">
        <v>5.5562613430127028E-2</v>
      </c>
      <c r="AD207" s="384">
        <v>-133425.26371967947</v>
      </c>
    </row>
    <row r="208" spans="1:30">
      <c r="A208" s="21" t="s">
        <v>379</v>
      </c>
      <c r="B208" s="21" t="s">
        <v>380</v>
      </c>
      <c r="C208" s="23">
        <v>2381.8276358205321</v>
      </c>
      <c r="D208" s="147">
        <v>82.787388903263249</v>
      </c>
      <c r="E208" s="22">
        <v>474.33225844501652</v>
      </c>
      <c r="F208" s="22">
        <v>557.11964734827973</v>
      </c>
      <c r="G208" s="22">
        <v>0</v>
      </c>
      <c r="H208" s="22">
        <v>356.76633048301068</v>
      </c>
      <c r="I208" s="22">
        <v>13.75269207724395</v>
      </c>
      <c r="J208" s="22">
        <v>177.82060077377295</v>
      </c>
      <c r="K208" s="22">
        <v>10.93986973858193</v>
      </c>
      <c r="L208" s="22">
        <v>3.2849746597945741</v>
      </c>
      <c r="M208" s="388">
        <v>8651.7593156091771</v>
      </c>
      <c r="N208" s="25">
        <v>0.2082</v>
      </c>
      <c r="O208" s="24">
        <v>229.68405411171085</v>
      </c>
      <c r="P208" s="24">
        <v>199.21062149381942</v>
      </c>
      <c r="Q208" s="24">
        <v>139.52298901084191</v>
      </c>
      <c r="R208" s="22">
        <v>59.687632482977492</v>
      </c>
      <c r="S208" s="24">
        <v>34.657989529942753</v>
      </c>
      <c r="T208" s="24">
        <f t="shared" si="13"/>
        <v>233.86861102376218</v>
      </c>
      <c r="U208" s="376">
        <v>1806.33</v>
      </c>
      <c r="V208" s="376">
        <v>433.8</v>
      </c>
      <c r="W208" s="22">
        <f t="shared" si="14"/>
        <v>376.07790599999998</v>
      </c>
      <c r="X208" s="22">
        <f t="shared" si="15"/>
        <v>1115.680218985613</v>
      </c>
      <c r="Y208" s="22">
        <v>727.58468457097877</v>
      </c>
      <c r="Z208" s="22">
        <v>388.09553441463424</v>
      </c>
      <c r="AA208" s="371">
        <v>8735.1062028328561</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120.54952879980087</v>
      </c>
      <c r="N209" s="25">
        <v>0.43359999999999999</v>
      </c>
      <c r="O209" s="24">
        <v>0</v>
      </c>
      <c r="P209" s="24">
        <v>8.0590896179547666</v>
      </c>
      <c r="Q209" s="24">
        <v>5.0369310112217294</v>
      </c>
      <c r="R209" s="22">
        <v>3.0221586067330373</v>
      </c>
      <c r="S209" s="24">
        <v>0</v>
      </c>
      <c r="T209" s="24">
        <f t="shared" si="13"/>
        <v>8.0590896179547666</v>
      </c>
      <c r="U209" s="376">
        <v>51.35</v>
      </c>
      <c r="V209" s="376">
        <v>0</v>
      </c>
      <c r="W209" s="22">
        <f t="shared" si="14"/>
        <v>22.265360000000001</v>
      </c>
      <c r="X209" s="22">
        <f t="shared" si="15"/>
        <v>16.3196564763584</v>
      </c>
      <c r="Y209" s="22">
        <v>16.3196564763584</v>
      </c>
      <c r="Z209" s="22">
        <v>0</v>
      </c>
      <c r="AA209" s="371">
        <v>120.8863442693215</v>
      </c>
      <c r="AB209" s="22">
        <v>0.13499999999999998</v>
      </c>
      <c r="AC209" s="24">
        <v>0</v>
      </c>
      <c r="AD209" s="384">
        <v>0</v>
      </c>
    </row>
    <row r="210" spans="1:30">
      <c r="A210" s="21" t="s">
        <v>321</v>
      </c>
      <c r="B210" s="21" t="s">
        <v>322</v>
      </c>
      <c r="C210" s="23">
        <v>298.93269404130621</v>
      </c>
      <c r="D210" s="147">
        <v>0</v>
      </c>
      <c r="E210" s="22">
        <v>0</v>
      </c>
      <c r="F210" s="22">
        <v>0</v>
      </c>
      <c r="G210" s="22">
        <v>0</v>
      </c>
      <c r="H210" s="22">
        <v>0</v>
      </c>
      <c r="I210" s="22">
        <v>0</v>
      </c>
      <c r="J210" s="22">
        <v>39.982260385267288</v>
      </c>
      <c r="K210" s="22">
        <v>0</v>
      </c>
      <c r="L210" s="22">
        <v>0</v>
      </c>
      <c r="M210" s="388">
        <v>692.76800463025563</v>
      </c>
      <c r="N210" s="25">
        <v>0.65090000000000003</v>
      </c>
      <c r="O210" s="24">
        <v>692.07432094186561</v>
      </c>
      <c r="P210" s="24">
        <v>31.984511921257983</v>
      </c>
      <c r="Q210" s="24">
        <v>18.132951640398225</v>
      </c>
      <c r="R210" s="22">
        <v>13.851560280859756</v>
      </c>
      <c r="S210" s="24">
        <v>4.5206073299925329</v>
      </c>
      <c r="T210" s="24">
        <f t="shared" si="13"/>
        <v>36.50511925125052</v>
      </c>
      <c r="U210" s="376">
        <v>452.18</v>
      </c>
      <c r="V210" s="376">
        <v>34.74</v>
      </c>
      <c r="W210" s="22">
        <f t="shared" si="14"/>
        <v>294.32396199999999</v>
      </c>
      <c r="X210" s="22">
        <f t="shared" si="15"/>
        <v>100.23492712331242</v>
      </c>
      <c r="Y210" s="22">
        <v>88.901832348063522</v>
      </c>
      <c r="Z210" s="22">
        <v>11.33309477524889</v>
      </c>
      <c r="AA210" s="371">
        <v>694.69352506770088</v>
      </c>
      <c r="AB210" s="22">
        <v>0.14428654292343387</v>
      </c>
      <c r="AC210" s="24">
        <v>9.2865429234338659E-3</v>
      </c>
      <c r="AD210" s="384">
        <v>-62465.587793212377</v>
      </c>
    </row>
    <row r="211" spans="1:30">
      <c r="A211" s="21" t="s">
        <v>119</v>
      </c>
      <c r="B211" s="21" t="s">
        <v>120</v>
      </c>
      <c r="C211" s="23">
        <v>127.98341640912194</v>
      </c>
      <c r="D211" s="147">
        <v>13.240356579844796</v>
      </c>
      <c r="E211" s="22">
        <v>39.469924887868139</v>
      </c>
      <c r="F211" s="22">
        <v>52.710281467712932</v>
      </c>
      <c r="G211" s="22">
        <v>0</v>
      </c>
      <c r="H211" s="22">
        <v>1.2255868761313089</v>
      </c>
      <c r="I211" s="22">
        <v>1.0849457591982079</v>
      </c>
      <c r="J211" s="22">
        <v>0</v>
      </c>
      <c r="K211" s="22">
        <v>0</v>
      </c>
      <c r="L211" s="22">
        <v>0</v>
      </c>
      <c r="M211" s="388">
        <v>356.96724636434374</v>
      </c>
      <c r="N211" s="25">
        <v>0.51839999999999997</v>
      </c>
      <c r="O211" s="24">
        <v>362.65903280796448</v>
      </c>
      <c r="P211" s="24">
        <v>3.0221586067330373</v>
      </c>
      <c r="Q211" s="24">
        <v>2.0147724044886917</v>
      </c>
      <c r="R211" s="22">
        <v>1.0073862022443458</v>
      </c>
      <c r="S211" s="24">
        <v>1.0045794066650073</v>
      </c>
      <c r="T211" s="24">
        <f t="shared" si="13"/>
        <v>4.0267380133980444</v>
      </c>
      <c r="U211" s="376">
        <v>185.57</v>
      </c>
      <c r="V211" s="376">
        <v>0</v>
      </c>
      <c r="W211" s="22">
        <f t="shared" si="14"/>
        <v>96.199487999999988</v>
      </c>
      <c r="X211" s="22">
        <f t="shared" si="15"/>
        <v>53.895161820072502</v>
      </c>
      <c r="Y211" s="22">
        <v>21.155110247131262</v>
      </c>
      <c r="Z211" s="22">
        <v>32.74005157294124</v>
      </c>
      <c r="AA211" s="371">
        <v>357.9646131055058</v>
      </c>
      <c r="AB211" s="22">
        <v>0.15056002701637869</v>
      </c>
      <c r="AC211" s="24">
        <v>1.556002701637868E-2</v>
      </c>
      <c r="AD211" s="384">
        <v>-54164.16212649706</v>
      </c>
    </row>
    <row r="212" spans="1:30">
      <c r="A212" s="21" t="s">
        <v>43</v>
      </c>
      <c r="B212" s="21" t="s">
        <v>44</v>
      </c>
      <c r="C212" s="23">
        <v>974.33152073032397</v>
      </c>
      <c r="D212" s="147">
        <v>72.610999513746734</v>
      </c>
      <c r="E212" s="22">
        <v>230.60120279995243</v>
      </c>
      <c r="F212" s="22">
        <v>303.21220231369915</v>
      </c>
      <c r="G212" s="22">
        <v>0</v>
      </c>
      <c r="H212" s="22">
        <v>96.811317420306764</v>
      </c>
      <c r="I212" s="22">
        <v>8.3681464575195115</v>
      </c>
      <c r="J212" s="22">
        <v>361.00565557913706</v>
      </c>
      <c r="K212" s="22">
        <v>0</v>
      </c>
      <c r="L212" s="22">
        <v>0</v>
      </c>
      <c r="M212" s="388">
        <v>3509.5383403604696</v>
      </c>
      <c r="N212" s="25">
        <v>0.52559999999999996</v>
      </c>
      <c r="O212" s="24">
        <v>2196.1019208926741</v>
      </c>
      <c r="P212" s="24">
        <v>53.895161820072502</v>
      </c>
      <c r="Q212" s="24">
        <v>37.273289483040799</v>
      </c>
      <c r="R212" s="22">
        <v>16.621872337031707</v>
      </c>
      <c r="S212" s="24">
        <v>9.5435043633175702</v>
      </c>
      <c r="T212" s="24">
        <f t="shared" si="13"/>
        <v>63.438666183390069</v>
      </c>
      <c r="U212" s="376">
        <v>1851.88</v>
      </c>
      <c r="V212" s="376">
        <v>175.97</v>
      </c>
      <c r="W212" s="22">
        <f t="shared" si="14"/>
        <v>973.34812799999997</v>
      </c>
      <c r="X212" s="22">
        <f t="shared" si="15"/>
        <v>554.0624112343902</v>
      </c>
      <c r="Y212" s="22">
        <v>401.69524814493292</v>
      </c>
      <c r="Z212" s="22">
        <v>152.36716308945731</v>
      </c>
      <c r="AA212" s="371">
        <v>3519.3439929887118</v>
      </c>
      <c r="AB212" s="22">
        <v>0.15743343428155968</v>
      </c>
      <c r="AC212" s="24">
        <v>2.2433434281559667E-2</v>
      </c>
      <c r="AD212" s="384">
        <v>-756602.0716376222</v>
      </c>
    </row>
    <row r="213" spans="1:30">
      <c r="A213" s="21" t="s">
        <v>181</v>
      </c>
      <c r="B213" s="21" t="s">
        <v>182</v>
      </c>
      <c r="C213" s="23">
        <v>269.46838004382158</v>
      </c>
      <c r="D213" s="147">
        <v>0</v>
      </c>
      <c r="E213" s="22">
        <v>55.22172998437545</v>
      </c>
      <c r="F213" s="22">
        <v>55.22172998437545</v>
      </c>
      <c r="G213" s="22">
        <v>0</v>
      </c>
      <c r="H213" s="22">
        <v>28.037811240020353</v>
      </c>
      <c r="I213" s="22">
        <v>2.3306242234628169</v>
      </c>
      <c r="J213" s="22">
        <v>135.84927316330894</v>
      </c>
      <c r="K213" s="22">
        <v>0</v>
      </c>
      <c r="L213" s="22">
        <v>0</v>
      </c>
      <c r="M213" s="388">
        <v>1183.4146326395119</v>
      </c>
      <c r="N213" s="25">
        <v>0.51739999999999997</v>
      </c>
      <c r="O213" s="24">
        <v>774.67998952590199</v>
      </c>
      <c r="P213" s="24">
        <v>36.517749831357534</v>
      </c>
      <c r="Q213" s="24">
        <v>22.16249644937561</v>
      </c>
      <c r="R213" s="22">
        <v>14.355253381981928</v>
      </c>
      <c r="S213" s="24">
        <v>2.2603036649962664</v>
      </c>
      <c r="T213" s="24">
        <f t="shared" si="13"/>
        <v>38.778053496353799</v>
      </c>
      <c r="U213" s="376">
        <v>614.01</v>
      </c>
      <c r="V213" s="376">
        <v>59.34</v>
      </c>
      <c r="W213" s="22">
        <f t="shared" si="14"/>
        <v>317.68877399999997</v>
      </c>
      <c r="X213" s="22">
        <f t="shared" si="15"/>
        <v>142.79699416813602</v>
      </c>
      <c r="Y213" s="22">
        <v>102.50154607836218</v>
      </c>
      <c r="Z213" s="22">
        <v>40.295448089773835</v>
      </c>
      <c r="AA213" s="371">
        <v>1204.9144887804171</v>
      </c>
      <c r="AB213" s="22">
        <v>0.1185121396562103</v>
      </c>
      <c r="AC213" s="24">
        <v>0</v>
      </c>
      <c r="AD213" s="384">
        <v>0</v>
      </c>
    </row>
    <row r="214" spans="1:30">
      <c r="A214" s="21" t="s">
        <v>537</v>
      </c>
      <c r="B214" s="21" t="s">
        <v>538</v>
      </c>
      <c r="C214" s="23">
        <v>83.410228135395556</v>
      </c>
      <c r="D214" s="147">
        <v>0</v>
      </c>
      <c r="E214" s="22">
        <v>5.263996090924639</v>
      </c>
      <c r="F214" s="22">
        <v>5.263996090924639</v>
      </c>
      <c r="G214" s="22">
        <v>0</v>
      </c>
      <c r="H214" s="22">
        <v>1.0045794066650073</v>
      </c>
      <c r="I214" s="22">
        <v>0</v>
      </c>
      <c r="J214" s="22">
        <v>0</v>
      </c>
      <c r="K214" s="22">
        <v>1.0045794066650073</v>
      </c>
      <c r="L214" s="22">
        <v>0</v>
      </c>
      <c r="M214" s="388">
        <v>249.44711246898797</v>
      </c>
      <c r="N214" s="25">
        <v>0.93959999999999999</v>
      </c>
      <c r="O214" s="24">
        <v>233.71359892068824</v>
      </c>
      <c r="P214" s="24">
        <v>91.672144404235468</v>
      </c>
      <c r="Q214" s="24">
        <v>63.969023842515959</v>
      </c>
      <c r="R214" s="22">
        <v>27.703120561719512</v>
      </c>
      <c r="S214" s="24">
        <v>11.05037347331508</v>
      </c>
      <c r="T214" s="24">
        <f t="shared" si="13"/>
        <v>102.72251787755054</v>
      </c>
      <c r="U214" s="376">
        <v>235.04</v>
      </c>
      <c r="V214" s="376">
        <v>0</v>
      </c>
      <c r="W214" s="22">
        <f t="shared" si="14"/>
        <v>220.84358399999999</v>
      </c>
      <c r="X214" s="22">
        <f t="shared" si="15"/>
        <v>35.258517078552103</v>
      </c>
      <c r="Y214" s="22">
        <v>25.940194707791907</v>
      </c>
      <c r="Z214" s="22">
        <v>9.3183223707601996</v>
      </c>
      <c r="AA214" s="371">
        <v>250.14406787929352</v>
      </c>
      <c r="AB214" s="22">
        <v>0.14095284120655632</v>
      </c>
      <c r="AC214" s="24">
        <v>5.9528412065563141E-3</v>
      </c>
      <c r="AD214" s="384">
        <v>-14144.743070189192</v>
      </c>
    </row>
    <row r="215" spans="1:30">
      <c r="A215" s="21" t="s">
        <v>481</v>
      </c>
      <c r="B215" s="21" t="s">
        <v>482</v>
      </c>
      <c r="C215" s="23">
        <v>0</v>
      </c>
      <c r="D215" s="147">
        <v>0</v>
      </c>
      <c r="E215" s="22">
        <v>12.064998674046738</v>
      </c>
      <c r="F215" s="22">
        <v>12.064998674046738</v>
      </c>
      <c r="G215" s="22">
        <v>0</v>
      </c>
      <c r="H215" s="22">
        <v>12.768204258712244</v>
      </c>
      <c r="I215" s="22">
        <v>1.0045794066650073</v>
      </c>
      <c r="J215" s="22">
        <v>0</v>
      </c>
      <c r="K215" s="22">
        <v>0</v>
      </c>
      <c r="L215" s="22">
        <v>0</v>
      </c>
      <c r="M215" s="388">
        <v>648.65692288359526</v>
      </c>
      <c r="N215" s="25">
        <v>0.58220000000000005</v>
      </c>
      <c r="O215" s="24">
        <v>667.89705208800126</v>
      </c>
      <c r="P215" s="24">
        <v>0</v>
      </c>
      <c r="Q215" s="24">
        <v>0</v>
      </c>
      <c r="R215" s="22">
        <v>0</v>
      </c>
      <c r="S215" s="24">
        <v>0</v>
      </c>
      <c r="T215" s="24">
        <f t="shared" si="13"/>
        <v>0</v>
      </c>
      <c r="U215" s="376">
        <v>378.7</v>
      </c>
      <c r="V215" s="376">
        <v>0</v>
      </c>
      <c r="W215" s="22">
        <f t="shared" si="14"/>
        <v>220.47914</v>
      </c>
      <c r="X215" s="22">
        <f t="shared" si="15"/>
        <v>104.01262538172871</v>
      </c>
      <c r="Y215" s="22">
        <v>103.00523917948436</v>
      </c>
      <c r="Z215" s="22">
        <v>1.0073862022443458</v>
      </c>
      <c r="AA215" s="371">
        <v>653.22950898332363</v>
      </c>
      <c r="AB215" s="22">
        <v>0.15922830177040281</v>
      </c>
      <c r="AC215" s="24">
        <v>2.4228301770402805E-2</v>
      </c>
      <c r="AD215" s="384">
        <v>-140658.07052520715</v>
      </c>
    </row>
    <row r="216" spans="1:30">
      <c r="A216" s="21" t="s">
        <v>25</v>
      </c>
      <c r="B216" s="21" t="s">
        <v>26</v>
      </c>
      <c r="C216" s="23">
        <v>630.13247862469245</v>
      </c>
      <c r="D216" s="147">
        <v>29.946512112683866</v>
      </c>
      <c r="E216" s="22">
        <v>230.12905047881989</v>
      </c>
      <c r="F216" s="22">
        <v>260.07556259150374</v>
      </c>
      <c r="G216" s="22">
        <v>0</v>
      </c>
      <c r="H216" s="22">
        <v>38.535666039669678</v>
      </c>
      <c r="I216" s="22">
        <v>2.7023186039288696</v>
      </c>
      <c r="J216" s="22">
        <v>0</v>
      </c>
      <c r="K216" s="22">
        <v>12.657700523979091</v>
      </c>
      <c r="L216" s="22">
        <v>0</v>
      </c>
      <c r="M216" s="388">
        <v>2467.0461068879249</v>
      </c>
      <c r="N216" s="25">
        <v>0.71989999999999998</v>
      </c>
      <c r="O216" s="24">
        <v>2499.3251677682219</v>
      </c>
      <c r="P216" s="24">
        <v>591.08385416686997</v>
      </c>
      <c r="Q216" s="24">
        <v>381.0438309989238</v>
      </c>
      <c r="R216" s="22">
        <v>210.04002316794612</v>
      </c>
      <c r="S216" s="24">
        <v>71.325137873215525</v>
      </c>
      <c r="T216" s="24">
        <f t="shared" si="13"/>
        <v>662.40899204008554</v>
      </c>
      <c r="U216" s="376">
        <v>1780.25</v>
      </c>
      <c r="V216" s="376">
        <v>123.7</v>
      </c>
      <c r="W216" s="22">
        <f t="shared" si="14"/>
        <v>1281.601975</v>
      </c>
      <c r="X216" s="22">
        <f t="shared" si="15"/>
        <v>317.07480715640781</v>
      </c>
      <c r="Y216" s="22">
        <v>144.81176657262472</v>
      </c>
      <c r="Z216" s="22">
        <v>172.26304058378312</v>
      </c>
      <c r="AA216" s="371">
        <v>2493.965873172282</v>
      </c>
      <c r="AB216" s="22">
        <v>0.12713678666063463</v>
      </c>
      <c r="AC216" s="24">
        <v>0</v>
      </c>
      <c r="AD216" s="384">
        <v>0</v>
      </c>
    </row>
    <row r="217" spans="1:30">
      <c r="A217" s="21" t="s">
        <v>1319</v>
      </c>
      <c r="B217" s="21" t="s">
        <v>1320</v>
      </c>
      <c r="C217" s="23">
        <v>52.2</v>
      </c>
      <c r="D217" s="147">
        <v>0</v>
      </c>
      <c r="E217" s="22">
        <v>0</v>
      </c>
      <c r="F217" s="22">
        <v>0</v>
      </c>
      <c r="G217" s="22">
        <v>0</v>
      </c>
      <c r="H217" s="22">
        <v>0</v>
      </c>
      <c r="I217" s="22">
        <v>0</v>
      </c>
      <c r="J217" s="22">
        <v>0</v>
      </c>
      <c r="K217" s="22">
        <v>0</v>
      </c>
      <c r="L217" s="22">
        <v>0</v>
      </c>
      <c r="M217" s="388">
        <v>77</v>
      </c>
      <c r="N217" s="25">
        <v>0.2278</v>
      </c>
      <c r="O217" s="24">
        <v>0</v>
      </c>
      <c r="P217" s="24">
        <v>3</v>
      </c>
      <c r="Q217" s="24">
        <v>3</v>
      </c>
      <c r="R217" s="22">
        <v>0</v>
      </c>
      <c r="S217" s="24">
        <v>0</v>
      </c>
      <c r="T217" s="24">
        <f t="shared" si="13"/>
        <v>3</v>
      </c>
      <c r="U217" s="376">
        <v>1.95</v>
      </c>
      <c r="V217" s="376">
        <v>0</v>
      </c>
      <c r="W217" s="22">
        <f t="shared" si="14"/>
        <v>0.44420999999999999</v>
      </c>
      <c r="X217" s="22">
        <f t="shared" si="15"/>
        <v>11.75</v>
      </c>
      <c r="Y217" s="22">
        <v>11.75</v>
      </c>
      <c r="Z217" s="22">
        <v>0</v>
      </c>
      <c r="AA217" s="371">
        <v>77</v>
      </c>
      <c r="AB217" s="22">
        <v>0.15259740259740259</v>
      </c>
      <c r="AC217" s="24">
        <v>1.7597402597402584E-2</v>
      </c>
      <c r="AD217" s="384">
        <v>-14045.912017460221</v>
      </c>
    </row>
    <row r="218" spans="1:30">
      <c r="A218" s="21" t="s">
        <v>561</v>
      </c>
      <c r="B218" s="21" t="s">
        <v>562</v>
      </c>
      <c r="C218" s="23">
        <v>782.57740358610738</v>
      </c>
      <c r="D218" s="147">
        <v>44.211539687326969</v>
      </c>
      <c r="E218" s="22">
        <v>131.98164244764865</v>
      </c>
      <c r="F218" s="22">
        <v>176.19318213497561</v>
      </c>
      <c r="G218" s="22">
        <v>0</v>
      </c>
      <c r="H218" s="22">
        <v>36.426049285673166</v>
      </c>
      <c r="I218" s="22">
        <v>0.60274764399900438</v>
      </c>
      <c r="J218" s="22">
        <v>7.7854904016538065</v>
      </c>
      <c r="K218" s="22">
        <v>0.80366352533200591</v>
      </c>
      <c r="L218" s="22">
        <v>0</v>
      </c>
      <c r="M218" s="388">
        <v>2628.9943530363912</v>
      </c>
      <c r="N218" s="25">
        <v>0.3155</v>
      </c>
      <c r="O218" s="24">
        <v>0</v>
      </c>
      <c r="P218" s="24">
        <v>122.14557702212693</v>
      </c>
      <c r="Q218" s="24">
        <v>94.19060990984633</v>
      </c>
      <c r="R218" s="22">
        <v>27.954967112280595</v>
      </c>
      <c r="S218" s="24">
        <v>42.945769634929064</v>
      </c>
      <c r="T218" s="24">
        <f t="shared" si="13"/>
        <v>165.09134665705599</v>
      </c>
      <c r="U218" s="376">
        <v>831.77</v>
      </c>
      <c r="V218" s="376">
        <v>131.82</v>
      </c>
      <c r="W218" s="22">
        <f t="shared" si="14"/>
        <v>262.42343499999998</v>
      </c>
      <c r="X218" s="22">
        <f t="shared" si="15"/>
        <v>319.34142611145762</v>
      </c>
      <c r="Y218" s="22">
        <v>238.49868338134888</v>
      </c>
      <c r="Z218" s="22">
        <v>80.842742730108753</v>
      </c>
      <c r="AA218" s="371">
        <v>2636.5311685139018</v>
      </c>
      <c r="AB218" s="22">
        <v>0.1211218095674767</v>
      </c>
      <c r="AC218" s="24">
        <v>0</v>
      </c>
      <c r="AD218" s="384">
        <v>0</v>
      </c>
    </row>
    <row r="219" spans="1:30">
      <c r="A219" s="21" t="s">
        <v>363</v>
      </c>
      <c r="B219" s="21" t="s">
        <v>364</v>
      </c>
      <c r="C219" s="23">
        <v>6397.9753709621655</v>
      </c>
      <c r="D219" s="147">
        <v>360.84492287407062</v>
      </c>
      <c r="E219" s="22">
        <v>1273.6057717698964</v>
      </c>
      <c r="F219" s="22">
        <v>1634.4506946439669</v>
      </c>
      <c r="G219" s="22">
        <v>0</v>
      </c>
      <c r="H219" s="22">
        <v>629.85119639082632</v>
      </c>
      <c r="I219" s="22">
        <v>18.785634904635636</v>
      </c>
      <c r="J219" s="22">
        <v>743.94127960577111</v>
      </c>
      <c r="K219" s="22">
        <v>51.836297383914378</v>
      </c>
      <c r="L219" s="22">
        <v>0</v>
      </c>
      <c r="M219" s="388">
        <v>22419.339259659897</v>
      </c>
      <c r="N219" s="25">
        <v>0.39810000000000001</v>
      </c>
      <c r="O219" s="24">
        <v>2006.7133148707369</v>
      </c>
      <c r="P219" s="24">
        <v>1451.8953639846634</v>
      </c>
      <c r="Q219" s="24">
        <v>933.09146982882532</v>
      </c>
      <c r="R219" s="22">
        <v>518.80389415583807</v>
      </c>
      <c r="S219" s="24">
        <v>341.05470856276997</v>
      </c>
      <c r="T219" s="24">
        <f t="shared" si="13"/>
        <v>1792.9500725474334</v>
      </c>
      <c r="U219" s="376">
        <v>8950.08</v>
      </c>
      <c r="V219" s="376">
        <v>1124.0999999999999</v>
      </c>
      <c r="W219" s="22">
        <f t="shared" si="14"/>
        <v>3563.026848</v>
      </c>
      <c r="X219" s="22">
        <f t="shared" si="15"/>
        <v>2508.8953366895435</v>
      </c>
      <c r="Y219" s="22">
        <v>1349.1419713557402</v>
      </c>
      <c r="Z219" s="22">
        <v>1159.7533653338032</v>
      </c>
      <c r="AA219" s="371">
        <v>22518.446290076627</v>
      </c>
      <c r="AB219" s="22">
        <v>0.11141511738290565</v>
      </c>
      <c r="AC219" s="24">
        <v>0</v>
      </c>
      <c r="AD219" s="384">
        <v>0</v>
      </c>
    </row>
    <row r="220" spans="1:30">
      <c r="A220" s="21" t="s">
        <v>173</v>
      </c>
      <c r="B220" s="21" t="s">
        <v>174</v>
      </c>
      <c r="C220" s="23">
        <v>21</v>
      </c>
      <c r="D220" s="147">
        <v>0</v>
      </c>
      <c r="E220" s="22">
        <v>0</v>
      </c>
      <c r="F220" s="22">
        <v>0</v>
      </c>
      <c r="G220" s="22">
        <v>0</v>
      </c>
      <c r="H220" s="22">
        <v>0</v>
      </c>
      <c r="I220" s="22">
        <v>0</v>
      </c>
      <c r="J220" s="22">
        <v>0</v>
      </c>
      <c r="K220" s="22">
        <v>0</v>
      </c>
      <c r="L220" s="22">
        <v>0</v>
      </c>
      <c r="M220" s="388">
        <v>50.8</v>
      </c>
      <c r="N220" s="25">
        <v>1</v>
      </c>
      <c r="O220" s="24">
        <v>50</v>
      </c>
      <c r="P220" s="24">
        <v>0</v>
      </c>
      <c r="Q220" s="24">
        <v>0</v>
      </c>
      <c r="R220" s="22">
        <v>0</v>
      </c>
      <c r="S220" s="24">
        <v>0</v>
      </c>
      <c r="T220" s="24">
        <f t="shared" si="13"/>
        <v>0</v>
      </c>
      <c r="U220" s="376">
        <v>50.8</v>
      </c>
      <c r="V220" s="376">
        <v>0</v>
      </c>
      <c r="W220" s="22">
        <f t="shared" si="14"/>
        <v>50.8</v>
      </c>
      <c r="X220" s="22">
        <f t="shared" si="15"/>
        <v>8.75</v>
      </c>
      <c r="Y220" s="22">
        <v>0</v>
      </c>
      <c r="Z220" s="22">
        <v>8.75</v>
      </c>
      <c r="AA220" s="371">
        <v>50.8</v>
      </c>
      <c r="AB220" s="22">
        <v>0.17224409448818898</v>
      </c>
      <c r="AC220" s="24">
        <v>3.7244094488188967E-2</v>
      </c>
      <c r="AD220" s="384">
        <v>-17971.450307116698</v>
      </c>
    </row>
    <row r="221" spans="1:30">
      <c r="A221" s="21" t="s">
        <v>177</v>
      </c>
      <c r="B221" s="21" t="s">
        <v>178</v>
      </c>
      <c r="C221" s="23">
        <v>45.306531240591831</v>
      </c>
      <c r="D221" s="147">
        <v>0</v>
      </c>
      <c r="E221" s="22">
        <v>7.6950782550539563</v>
      </c>
      <c r="F221" s="22">
        <v>7.6950782550539563</v>
      </c>
      <c r="G221" s="22">
        <v>0</v>
      </c>
      <c r="H221" s="22">
        <v>4.3598746249261318</v>
      </c>
      <c r="I221" s="22">
        <v>0</v>
      </c>
      <c r="J221" s="22">
        <v>438.0568960703431</v>
      </c>
      <c r="K221" s="22">
        <v>0</v>
      </c>
      <c r="L221" s="22">
        <v>0</v>
      </c>
      <c r="M221" s="388">
        <v>649.74186864279341</v>
      </c>
      <c r="N221" s="25">
        <v>0.31059999999999999</v>
      </c>
      <c r="O221" s="24">
        <v>0</v>
      </c>
      <c r="P221" s="24">
        <v>0</v>
      </c>
      <c r="Q221" s="24">
        <v>0</v>
      </c>
      <c r="R221" s="22">
        <v>0</v>
      </c>
      <c r="S221" s="24">
        <v>0</v>
      </c>
      <c r="T221" s="24">
        <f t="shared" si="13"/>
        <v>0</v>
      </c>
      <c r="U221" s="376">
        <v>202.83</v>
      </c>
      <c r="V221" s="376">
        <v>32.58</v>
      </c>
      <c r="W221" s="22">
        <f t="shared" si="14"/>
        <v>62.998998</v>
      </c>
      <c r="X221" s="22">
        <f t="shared" si="15"/>
        <v>56.161780775122281</v>
      </c>
      <c r="Y221" s="22">
        <v>53.391468718950328</v>
      </c>
      <c r="Z221" s="22">
        <v>2.7703120561719512</v>
      </c>
      <c r="AA221" s="371">
        <v>658.54850813117378</v>
      </c>
      <c r="AB221" s="22">
        <v>8.5281160129719147E-2</v>
      </c>
      <c r="AC221" s="24">
        <v>0</v>
      </c>
      <c r="AD221" s="384">
        <v>0</v>
      </c>
    </row>
    <row r="222" spans="1:30">
      <c r="A222" s="21" t="s">
        <v>53</v>
      </c>
      <c r="B222" s="21" t="s">
        <v>54</v>
      </c>
      <c r="C222" s="23">
        <v>30.53921396261622</v>
      </c>
      <c r="D222" s="147">
        <v>1.657556020997262</v>
      </c>
      <c r="E222" s="22">
        <v>8.8302529845854139</v>
      </c>
      <c r="F222" s="22">
        <v>10.487809005582676</v>
      </c>
      <c r="G222" s="22">
        <v>0</v>
      </c>
      <c r="H222" s="22">
        <v>0.33151120419945246</v>
      </c>
      <c r="I222" s="22">
        <v>0</v>
      </c>
      <c r="J222" s="22">
        <v>0</v>
      </c>
      <c r="K222" s="22">
        <v>0</v>
      </c>
      <c r="L222" s="22">
        <v>0</v>
      </c>
      <c r="M222" s="388">
        <v>117.02345508240671</v>
      </c>
      <c r="N222" s="25">
        <v>0.93910000000000005</v>
      </c>
      <c r="O222" s="24">
        <v>115.84941325809977</v>
      </c>
      <c r="P222" s="24">
        <v>0</v>
      </c>
      <c r="Q222" s="24">
        <v>0</v>
      </c>
      <c r="R222" s="22">
        <v>0</v>
      </c>
      <c r="S222" s="24">
        <v>0</v>
      </c>
      <c r="T222" s="24">
        <f t="shared" si="13"/>
        <v>0</v>
      </c>
      <c r="U222" s="376">
        <v>110.2</v>
      </c>
      <c r="V222" s="376">
        <v>0</v>
      </c>
      <c r="W222" s="22">
        <f t="shared" si="14"/>
        <v>103.48882</v>
      </c>
      <c r="X222" s="22">
        <f t="shared" si="15"/>
        <v>28.458660213402769</v>
      </c>
      <c r="Y222" s="22">
        <v>27.199427460597338</v>
      </c>
      <c r="Z222" s="22">
        <v>1.2592327528054323</v>
      </c>
      <c r="AA222" s="371">
        <v>117.35041869944384</v>
      </c>
      <c r="AB222" s="22">
        <v>0.24251008670272128</v>
      </c>
      <c r="AC222" s="24">
        <v>0.10751008670272127</v>
      </c>
      <c r="AD222" s="384">
        <v>-118139.6820630622</v>
      </c>
    </row>
    <row r="223" spans="1:30">
      <c r="A223" s="21" t="s">
        <v>51</v>
      </c>
      <c r="B223" s="21" t="s">
        <v>52</v>
      </c>
      <c r="C223" s="23">
        <v>276.1387873040772</v>
      </c>
      <c r="D223" s="147">
        <v>13.159990227311596</v>
      </c>
      <c r="E223" s="22">
        <v>43.598746249261318</v>
      </c>
      <c r="F223" s="22">
        <v>56.758736476572913</v>
      </c>
      <c r="G223" s="22">
        <v>0</v>
      </c>
      <c r="H223" s="22">
        <v>83.058625343062815</v>
      </c>
      <c r="I223" s="22">
        <v>9.5635959514508695</v>
      </c>
      <c r="J223" s="22">
        <v>2281.8418474751643</v>
      </c>
      <c r="K223" s="22">
        <v>6.8311399653220493</v>
      </c>
      <c r="L223" s="22">
        <v>0</v>
      </c>
      <c r="M223" s="388">
        <v>3282.0412879271125</v>
      </c>
      <c r="N223" s="25">
        <v>0.63009999999999999</v>
      </c>
      <c r="O223" s="24">
        <v>3303.2193571592102</v>
      </c>
      <c r="P223" s="24">
        <v>232.70621271844388</v>
      </c>
      <c r="Q223" s="24">
        <v>119.87895806707715</v>
      </c>
      <c r="R223" s="22">
        <v>112.82725465136673</v>
      </c>
      <c r="S223" s="24">
        <v>31.141961606615226</v>
      </c>
      <c r="T223" s="24">
        <f t="shared" si="13"/>
        <v>263.84817432505912</v>
      </c>
      <c r="U223" s="376">
        <v>1749.61</v>
      </c>
      <c r="V223" s="376">
        <v>0</v>
      </c>
      <c r="W223" s="22">
        <f t="shared" si="14"/>
        <v>1102.429261</v>
      </c>
      <c r="X223" s="22">
        <f t="shared" si="15"/>
        <v>569.92874391973862</v>
      </c>
      <c r="Y223" s="22">
        <v>505.70787352666161</v>
      </c>
      <c r="Z223" s="22">
        <v>64.22087039307705</v>
      </c>
      <c r="AA223" s="371">
        <v>3295.059528921031</v>
      </c>
      <c r="AB223" s="22">
        <v>0.17296462747256106</v>
      </c>
      <c r="AC223" s="24">
        <v>3.7964627472561047E-2</v>
      </c>
      <c r="AD223" s="384">
        <v>-1132168.4200967369</v>
      </c>
    </row>
    <row r="224" spans="1:30">
      <c r="A224" s="21" t="s">
        <v>123</v>
      </c>
      <c r="B224" s="21" t="s">
        <v>124</v>
      </c>
      <c r="C224" s="23">
        <v>907.25575374730147</v>
      </c>
      <c r="D224" s="147">
        <v>51.946801118647528</v>
      </c>
      <c r="E224" s="22">
        <v>224.37281047862939</v>
      </c>
      <c r="F224" s="22">
        <v>276.31961159727689</v>
      </c>
      <c r="G224" s="22">
        <v>0</v>
      </c>
      <c r="H224" s="22">
        <v>50.490160978983269</v>
      </c>
      <c r="I224" s="22">
        <v>2.9233260733951716</v>
      </c>
      <c r="J224" s="22">
        <v>58.305788762837025</v>
      </c>
      <c r="K224" s="22">
        <v>4.2192335079930308</v>
      </c>
      <c r="L224" s="22">
        <v>0</v>
      </c>
      <c r="M224" s="388">
        <v>3158.598570436116</v>
      </c>
      <c r="N224" s="25">
        <v>0.82869999999999999</v>
      </c>
      <c r="O224" s="24">
        <v>3148.0818820135805</v>
      </c>
      <c r="P224" s="24">
        <v>1204.8338978842376</v>
      </c>
      <c r="Q224" s="24">
        <v>768.38382576187473</v>
      </c>
      <c r="R224" s="22">
        <v>436.45007212236283</v>
      </c>
      <c r="S224" s="24">
        <v>244.36394067126304</v>
      </c>
      <c r="T224" s="24">
        <f t="shared" si="13"/>
        <v>1449.1978385555005</v>
      </c>
      <c r="U224" s="376">
        <v>2624.84</v>
      </c>
      <c r="V224" s="376">
        <v>158.37</v>
      </c>
      <c r="W224" s="22">
        <f t="shared" si="14"/>
        <v>2175.2049080000002</v>
      </c>
      <c r="X224" s="22">
        <f t="shared" si="15"/>
        <v>430.15390835833568</v>
      </c>
      <c r="Y224" s="22">
        <v>340.49653635858891</v>
      </c>
      <c r="Z224" s="22">
        <v>89.657371999746772</v>
      </c>
      <c r="AA224" s="371">
        <v>3172.8434348647465</v>
      </c>
      <c r="AB224" s="22">
        <v>0.13557363203982756</v>
      </c>
      <c r="AC224" s="24">
        <v>5.7363203982754851E-4</v>
      </c>
      <c r="AD224" s="384">
        <v>-17071.591691445108</v>
      </c>
    </row>
    <row r="225" spans="1:30">
      <c r="A225" s="21" t="s">
        <v>225</v>
      </c>
      <c r="B225" s="21" t="s">
        <v>226</v>
      </c>
      <c r="C225" s="23">
        <v>0</v>
      </c>
      <c r="D225" s="147">
        <v>0</v>
      </c>
      <c r="E225" s="22">
        <v>0</v>
      </c>
      <c r="F225" s="22">
        <v>0</v>
      </c>
      <c r="G225" s="22">
        <v>0</v>
      </c>
      <c r="H225" s="22">
        <v>0</v>
      </c>
      <c r="I225" s="22">
        <v>0</v>
      </c>
      <c r="J225" s="22">
        <v>0</v>
      </c>
      <c r="K225" s="22">
        <v>0</v>
      </c>
      <c r="L225" s="22">
        <v>0</v>
      </c>
      <c r="M225" s="388">
        <v>330.50662479278742</v>
      </c>
      <c r="N225" s="25">
        <v>0.76190000000000002</v>
      </c>
      <c r="O225" s="24">
        <v>338.48176395410019</v>
      </c>
      <c r="P225" s="24">
        <v>97.464615067140457</v>
      </c>
      <c r="Q225" s="24">
        <v>55.154394572877933</v>
      </c>
      <c r="R225" s="22">
        <v>42.310220494262524</v>
      </c>
      <c r="S225" s="24">
        <v>21.096167539965155</v>
      </c>
      <c r="T225" s="24">
        <f t="shared" si="13"/>
        <v>118.56078260710561</v>
      </c>
      <c r="U225" s="376">
        <v>252.52</v>
      </c>
      <c r="V225" s="376">
        <v>0</v>
      </c>
      <c r="W225" s="22">
        <f t="shared" si="14"/>
        <v>192.39498800000001</v>
      </c>
      <c r="X225" s="22">
        <f t="shared" si="15"/>
        <v>24.932808505547559</v>
      </c>
      <c r="Y225" s="22">
        <v>24.932808505547559</v>
      </c>
      <c r="Z225" s="22">
        <v>0</v>
      </c>
      <c r="AA225" s="371">
        <v>331.4300605383898</v>
      </c>
      <c r="AB225" s="22">
        <v>7.5227963525835856E-2</v>
      </c>
      <c r="AC225" s="24">
        <v>0</v>
      </c>
      <c r="AD225" s="384">
        <v>0</v>
      </c>
    </row>
    <row r="226" spans="1:30">
      <c r="A226" s="21" t="s">
        <v>515</v>
      </c>
      <c r="B226" s="21" t="s">
        <v>516</v>
      </c>
      <c r="C226" s="23">
        <v>285.32064308099535</v>
      </c>
      <c r="D226" s="147">
        <v>15.008416335575209</v>
      </c>
      <c r="E226" s="22">
        <v>63.871158675761166</v>
      </c>
      <c r="F226" s="22">
        <v>78.879575011336371</v>
      </c>
      <c r="G226" s="22">
        <v>0</v>
      </c>
      <c r="H226" s="22">
        <v>17.971925585236981</v>
      </c>
      <c r="I226" s="22">
        <v>1.35618219899776</v>
      </c>
      <c r="J226" s="22">
        <v>0</v>
      </c>
      <c r="K226" s="22">
        <v>4.4201493893260331</v>
      </c>
      <c r="L226" s="22">
        <v>0</v>
      </c>
      <c r="M226" s="388">
        <v>890.85097203646194</v>
      </c>
      <c r="N226" s="25">
        <v>0.4415</v>
      </c>
      <c r="O226" s="24">
        <v>0</v>
      </c>
      <c r="P226" s="24">
        <v>0</v>
      </c>
      <c r="Q226" s="24">
        <v>0</v>
      </c>
      <c r="R226" s="22">
        <v>0</v>
      </c>
      <c r="S226" s="24">
        <v>0</v>
      </c>
      <c r="T226" s="24">
        <f t="shared" si="13"/>
        <v>0</v>
      </c>
      <c r="U226" s="376">
        <v>394.41</v>
      </c>
      <c r="V226" s="376">
        <v>44.67</v>
      </c>
      <c r="W226" s="22">
        <f t="shared" si="14"/>
        <v>174.13201500000002</v>
      </c>
      <c r="X226" s="22">
        <f t="shared" si="15"/>
        <v>127.68620113447085</v>
      </c>
      <c r="Y226" s="22">
        <v>88.649985797502438</v>
      </c>
      <c r="Z226" s="22">
        <v>39.036215336968404</v>
      </c>
      <c r="AA226" s="371">
        <v>893.34001028826344</v>
      </c>
      <c r="AB226" s="22">
        <v>0.14293124640557517</v>
      </c>
      <c r="AC226" s="24">
        <v>7.9312464055751597E-3</v>
      </c>
      <c r="AD226" s="384">
        <v>-66945.550782566104</v>
      </c>
    </row>
    <row r="227" spans="1:30">
      <c r="A227" s="21" t="s">
        <v>345</v>
      </c>
      <c r="B227" s="21" t="s">
        <v>346</v>
      </c>
      <c r="C227" s="23">
        <v>145.91515881809232</v>
      </c>
      <c r="D227" s="147">
        <v>0</v>
      </c>
      <c r="E227" s="22">
        <v>39.128367889602039</v>
      </c>
      <c r="F227" s="22">
        <v>39.128367889602039</v>
      </c>
      <c r="G227" s="22">
        <v>0</v>
      </c>
      <c r="H227" s="22">
        <v>19.770122723167344</v>
      </c>
      <c r="I227" s="22">
        <v>0.17077849913305126</v>
      </c>
      <c r="J227" s="22">
        <v>2.0091588133300147</v>
      </c>
      <c r="K227" s="22">
        <v>2.0091588133300147</v>
      </c>
      <c r="L227" s="22">
        <v>0</v>
      </c>
      <c r="M227" s="388">
        <v>525.37493809766545</v>
      </c>
      <c r="N227" s="25">
        <v>0.70309999999999995</v>
      </c>
      <c r="O227" s="24">
        <v>525.85559757154851</v>
      </c>
      <c r="P227" s="24">
        <v>61.954251438027271</v>
      </c>
      <c r="Q227" s="24">
        <v>37.525136033601882</v>
      </c>
      <c r="R227" s="22">
        <v>24.429115404425385</v>
      </c>
      <c r="S227" s="24">
        <v>9.0412146599850658</v>
      </c>
      <c r="T227" s="24">
        <f t="shared" si="13"/>
        <v>70.995466098012344</v>
      </c>
      <c r="U227" s="376">
        <v>370.42</v>
      </c>
      <c r="V227" s="376">
        <v>26.34</v>
      </c>
      <c r="W227" s="22">
        <f t="shared" si="14"/>
        <v>260.44230199999998</v>
      </c>
      <c r="X227" s="22">
        <f t="shared" si="15"/>
        <v>82.101975482914185</v>
      </c>
      <c r="Y227" s="22">
        <v>50.873003213339466</v>
      </c>
      <c r="Z227" s="22">
        <v>31.228972269574722</v>
      </c>
      <c r="AA227" s="371">
        <v>526.83276218772562</v>
      </c>
      <c r="AB227" s="22">
        <v>0.15584067919765951</v>
      </c>
      <c r="AC227" s="24">
        <v>2.0840679197659501E-2</v>
      </c>
      <c r="AD227" s="384">
        <v>-102692.10520903146</v>
      </c>
    </row>
    <row r="228" spans="1:30">
      <c r="A228" s="21" t="s">
        <v>299</v>
      </c>
      <c r="B228" s="21" t="s">
        <v>300</v>
      </c>
      <c r="C228" s="23">
        <v>208.24931100165603</v>
      </c>
      <c r="D228" s="147">
        <v>10.276847330183026</v>
      </c>
      <c r="E228" s="22">
        <v>50.269153509516968</v>
      </c>
      <c r="F228" s="22">
        <v>60.546000839699992</v>
      </c>
      <c r="G228" s="22">
        <v>0</v>
      </c>
      <c r="H228" s="22">
        <v>13.742646283177301</v>
      </c>
      <c r="I228" s="22">
        <v>5.022897033325037E-2</v>
      </c>
      <c r="J228" s="22">
        <v>27.5254757426212</v>
      </c>
      <c r="K228" s="22">
        <v>0</v>
      </c>
      <c r="L228" s="22">
        <v>0</v>
      </c>
      <c r="M228" s="388">
        <v>723.66886717927139</v>
      </c>
      <c r="N228" s="25">
        <v>0.46189999999999998</v>
      </c>
      <c r="O228" s="24">
        <v>0</v>
      </c>
      <c r="P228" s="24">
        <v>6.0443172134660745</v>
      </c>
      <c r="Q228" s="24">
        <v>5.7924706629049885</v>
      </c>
      <c r="R228" s="22">
        <v>0.25184655056108646</v>
      </c>
      <c r="S228" s="24">
        <v>4.7717521816587851</v>
      </c>
      <c r="T228" s="24">
        <f t="shared" si="13"/>
        <v>10.81606939512486</v>
      </c>
      <c r="U228" s="376">
        <v>324.08999999999997</v>
      </c>
      <c r="V228" s="376">
        <v>0</v>
      </c>
      <c r="W228" s="22">
        <f t="shared" si="14"/>
        <v>149.69717099999997</v>
      </c>
      <c r="X228" s="22">
        <f t="shared" si="15"/>
        <v>79.331663426742239</v>
      </c>
      <c r="Y228" s="22">
        <v>46.087918752678824</v>
      </c>
      <c r="Z228" s="22">
        <v>33.243744674063414</v>
      </c>
      <c r="AA228" s="371">
        <v>725.69079851075946</v>
      </c>
      <c r="AB228" s="22">
        <v>0.10931882227188805</v>
      </c>
      <c r="AC228" s="24">
        <v>0</v>
      </c>
      <c r="AD228" s="384">
        <v>0</v>
      </c>
    </row>
    <row r="229" spans="1:30">
      <c r="A229" s="21" t="s">
        <v>195</v>
      </c>
      <c r="B229" s="21" t="s">
        <v>196</v>
      </c>
      <c r="C229" s="23">
        <v>4522.4758476889292</v>
      </c>
      <c r="D229" s="147">
        <v>190.9303620307513</v>
      </c>
      <c r="E229" s="22">
        <v>1258.6576301987211</v>
      </c>
      <c r="F229" s="22">
        <v>1449.5879922294723</v>
      </c>
      <c r="G229" s="22">
        <v>0</v>
      </c>
      <c r="H229" s="22">
        <v>415.03193606958109</v>
      </c>
      <c r="I229" s="22">
        <v>40.102809914067095</v>
      </c>
      <c r="J229" s="22">
        <v>543.38704685916912</v>
      </c>
      <c r="K229" s="22">
        <v>13.049486492578446</v>
      </c>
      <c r="L229" s="22">
        <v>0</v>
      </c>
      <c r="M229" s="388">
        <v>14866.710364471042</v>
      </c>
      <c r="N229" s="25">
        <v>0.53410000000000002</v>
      </c>
      <c r="O229" s="24">
        <v>7423.4289243385847</v>
      </c>
      <c r="P229" s="24">
        <v>3056.409737609345</v>
      </c>
      <c r="Q229" s="24">
        <v>2074.4600369716691</v>
      </c>
      <c r="R229" s="22">
        <v>981.94970063767607</v>
      </c>
      <c r="S229" s="24">
        <v>461.10194765923836</v>
      </c>
      <c r="T229" s="24">
        <f t="shared" si="13"/>
        <v>3517.5116852685833</v>
      </c>
      <c r="U229" s="376">
        <v>7962.5</v>
      </c>
      <c r="V229" s="376">
        <v>745.41</v>
      </c>
      <c r="W229" s="22">
        <f t="shared" si="14"/>
        <v>4252.7712499999998</v>
      </c>
      <c r="X229" s="22">
        <f t="shared" si="15"/>
        <v>1976.2398822528453</v>
      </c>
      <c r="Y229" s="22">
        <v>1020.2303763229612</v>
      </c>
      <c r="Z229" s="22">
        <v>956.0095059298842</v>
      </c>
      <c r="AA229" s="371">
        <v>14970.574948174797</v>
      </c>
      <c r="AB229" s="22">
        <v>0.1320082821865026</v>
      </c>
      <c r="AC229" s="24">
        <v>0</v>
      </c>
      <c r="AD229" s="384">
        <v>0</v>
      </c>
    </row>
    <row r="230" spans="1:30">
      <c r="A230" s="21" t="s">
        <v>109</v>
      </c>
      <c r="B230" s="21" t="s">
        <v>110</v>
      </c>
      <c r="C230" s="23">
        <v>81.772763702531606</v>
      </c>
      <c r="D230" s="147">
        <v>0</v>
      </c>
      <c r="E230" s="22">
        <v>12.155410820646589</v>
      </c>
      <c r="F230" s="22">
        <v>12.155410820646589</v>
      </c>
      <c r="G230" s="22">
        <v>0</v>
      </c>
      <c r="H230" s="22">
        <v>9.9553819200502236</v>
      </c>
      <c r="I230" s="22">
        <v>0.70320558466550509</v>
      </c>
      <c r="J230" s="22">
        <v>59.501238256768382</v>
      </c>
      <c r="K230" s="22">
        <v>0</v>
      </c>
      <c r="L230" s="22">
        <v>0</v>
      </c>
      <c r="M230" s="388">
        <v>366.00846102432877</v>
      </c>
      <c r="N230" s="25">
        <v>0.7147</v>
      </c>
      <c r="O230" s="24">
        <v>301.20847447105939</v>
      </c>
      <c r="P230" s="24">
        <v>0</v>
      </c>
      <c r="Q230" s="24">
        <v>0</v>
      </c>
      <c r="R230" s="22">
        <v>0</v>
      </c>
      <c r="S230" s="24">
        <v>0</v>
      </c>
      <c r="T230" s="24">
        <f t="shared" si="13"/>
        <v>0</v>
      </c>
      <c r="U230" s="376">
        <v>262.61</v>
      </c>
      <c r="V230" s="376">
        <v>18.350000000000001</v>
      </c>
      <c r="W230" s="22">
        <f t="shared" si="14"/>
        <v>187.68736700000002</v>
      </c>
      <c r="X230" s="22">
        <f t="shared" si="15"/>
        <v>60.695018685221839</v>
      </c>
      <c r="Y230" s="22">
        <v>48.606384258289687</v>
      </c>
      <c r="Z230" s="22">
        <v>12.088634426932149</v>
      </c>
      <c r="AA230" s="371">
        <v>367.03108892570492</v>
      </c>
      <c r="AB230" s="22">
        <v>0.1653675138606796</v>
      </c>
      <c r="AC230" s="24">
        <v>3.0367513860679596E-2</v>
      </c>
      <c r="AD230" s="384">
        <v>-105443.37336885242</v>
      </c>
    </row>
    <row r="231" spans="1:30">
      <c r="A231" s="21" t="s">
        <v>27</v>
      </c>
      <c r="B231" s="21" t="s">
        <v>28</v>
      </c>
      <c r="C231" s="23">
        <v>3476.658456380324</v>
      </c>
      <c r="D231" s="147">
        <v>77.32247693100561</v>
      </c>
      <c r="E231" s="22">
        <v>670.396021243826</v>
      </c>
      <c r="F231" s="22">
        <v>747.71849817483167</v>
      </c>
      <c r="G231" s="22">
        <v>0</v>
      </c>
      <c r="H231" s="22">
        <v>185.44535847036036</v>
      </c>
      <c r="I231" s="22">
        <v>20.051404957033547</v>
      </c>
      <c r="J231" s="22">
        <v>1151.8105645058308</v>
      </c>
      <c r="K231" s="22">
        <v>51.524877767848224</v>
      </c>
      <c r="L231" s="22">
        <v>0</v>
      </c>
      <c r="M231" s="388">
        <v>13486.157069067591</v>
      </c>
      <c r="N231" s="25">
        <v>0.38919999999999999</v>
      </c>
      <c r="O231" s="24">
        <v>2501.3399401727106</v>
      </c>
      <c r="P231" s="24">
        <v>797.34617907639972</v>
      </c>
      <c r="Q231" s="24">
        <v>495.130318403096</v>
      </c>
      <c r="R231" s="22">
        <v>302.21586067330372</v>
      </c>
      <c r="S231" s="24">
        <v>127.07929494312343</v>
      </c>
      <c r="T231" s="24">
        <f t="shared" si="13"/>
        <v>924.42547401952311</v>
      </c>
      <c r="U231" s="376">
        <v>5263.48</v>
      </c>
      <c r="V231" s="376">
        <v>676.19</v>
      </c>
      <c r="W231" s="22">
        <f t="shared" si="14"/>
        <v>2048.5464159999997</v>
      </c>
      <c r="X231" s="22">
        <f t="shared" si="15"/>
        <v>1614.5882356471252</v>
      </c>
      <c r="Y231" s="22">
        <v>999.07526607582997</v>
      </c>
      <c r="Z231" s="22">
        <v>615.51296957129534</v>
      </c>
      <c r="AA231" s="371">
        <v>13603.773496693713</v>
      </c>
      <c r="AB231" s="22">
        <v>0.11868679201690162</v>
      </c>
      <c r="AC231" s="24">
        <v>0</v>
      </c>
      <c r="AD231" s="384">
        <v>0</v>
      </c>
    </row>
    <row r="232" spans="1:30">
      <c r="A232" s="21" t="s">
        <v>71</v>
      </c>
      <c r="B232" s="21" t="s">
        <v>72</v>
      </c>
      <c r="C232" s="23">
        <v>1093.9066075056598</v>
      </c>
      <c r="D232" s="147">
        <v>69.125108972619159</v>
      </c>
      <c r="E232" s="22">
        <v>198.13319637653939</v>
      </c>
      <c r="F232" s="22">
        <v>267.25830534915855</v>
      </c>
      <c r="G232" s="22">
        <v>0</v>
      </c>
      <c r="H232" s="22">
        <v>48.621643282586355</v>
      </c>
      <c r="I232" s="22">
        <v>0.25114485166625183</v>
      </c>
      <c r="J232" s="22">
        <v>155.73994541527608</v>
      </c>
      <c r="K232" s="22">
        <v>3.4155699826610246</v>
      </c>
      <c r="L232" s="22">
        <v>0</v>
      </c>
      <c r="M232" s="388">
        <v>3741.7970991814195</v>
      </c>
      <c r="N232" s="25">
        <v>0.2389</v>
      </c>
      <c r="O232" s="24">
        <v>0</v>
      </c>
      <c r="P232" s="24">
        <v>116.10125980866084</v>
      </c>
      <c r="Q232" s="24">
        <v>86.131520291891562</v>
      </c>
      <c r="R232" s="22">
        <v>29.969739516769287</v>
      </c>
      <c r="S232" s="24">
        <v>27.374788831621451</v>
      </c>
      <c r="T232" s="24">
        <f t="shared" si="13"/>
        <v>143.4760486402823</v>
      </c>
      <c r="U232" s="376">
        <v>896.79</v>
      </c>
      <c r="V232" s="376">
        <v>187.61</v>
      </c>
      <c r="W232" s="22">
        <f t="shared" si="14"/>
        <v>214.24313100000001</v>
      </c>
      <c r="X232" s="22">
        <f t="shared" si="15"/>
        <v>397.16201023483336</v>
      </c>
      <c r="Y232" s="22">
        <v>293.40123140366575</v>
      </c>
      <c r="Z232" s="22">
        <v>103.76077883116763</v>
      </c>
      <c r="AA232" s="371">
        <v>3783.5713199753814</v>
      </c>
      <c r="AB232" s="22">
        <v>0.10497013975605925</v>
      </c>
      <c r="AC232" s="24">
        <v>0</v>
      </c>
      <c r="AD232" s="384">
        <v>0</v>
      </c>
    </row>
    <row r="233" spans="1:30">
      <c r="A233" s="21" t="s">
        <v>11</v>
      </c>
      <c r="B233" s="21" t="s">
        <v>12</v>
      </c>
      <c r="C233" s="23">
        <v>96.33916509917421</v>
      </c>
      <c r="D233" s="147">
        <v>9.1115352184516176</v>
      </c>
      <c r="E233" s="22">
        <v>21.879739477163859</v>
      </c>
      <c r="F233" s="22">
        <v>30.991274695615477</v>
      </c>
      <c r="G233" s="22">
        <v>0</v>
      </c>
      <c r="H233" s="22">
        <v>1.7077849913305123</v>
      </c>
      <c r="I233" s="22">
        <v>0</v>
      </c>
      <c r="J233" s="22">
        <v>30.33829808128322</v>
      </c>
      <c r="K233" s="22">
        <v>0</v>
      </c>
      <c r="L233" s="22">
        <v>0</v>
      </c>
      <c r="M233" s="388">
        <v>358.57457341500776</v>
      </c>
      <c r="N233" s="25">
        <v>0.46010000000000001</v>
      </c>
      <c r="O233" s="24">
        <v>170.24826817929446</v>
      </c>
      <c r="P233" s="24">
        <v>0</v>
      </c>
      <c r="Q233" s="24">
        <v>0</v>
      </c>
      <c r="R233" s="22">
        <v>0</v>
      </c>
      <c r="S233" s="24">
        <v>0</v>
      </c>
      <c r="T233" s="24">
        <f t="shared" si="13"/>
        <v>0</v>
      </c>
      <c r="U233" s="376">
        <v>164.9</v>
      </c>
      <c r="V233" s="376">
        <v>0</v>
      </c>
      <c r="W233" s="22">
        <f t="shared" si="14"/>
        <v>75.870490000000004</v>
      </c>
      <c r="X233" s="22">
        <f t="shared" si="15"/>
        <v>29.717892966208204</v>
      </c>
      <c r="Y233" s="22">
        <v>23.925422303303215</v>
      </c>
      <c r="Z233" s="22">
        <v>5.7924706629049885</v>
      </c>
      <c r="AA233" s="371">
        <v>359.5764310290968</v>
      </c>
      <c r="AB233" s="22">
        <v>8.2646943463887498E-2</v>
      </c>
      <c r="AC233" s="24">
        <v>0</v>
      </c>
      <c r="AD233" s="384">
        <v>0</v>
      </c>
    </row>
    <row r="234" spans="1:30">
      <c r="A234" s="21" t="s">
        <v>477</v>
      </c>
      <c r="B234" s="21" t="s">
        <v>478</v>
      </c>
      <c r="C234" s="23">
        <v>376.48622423584476</v>
      </c>
      <c r="D234" s="147">
        <v>54.31760851837695</v>
      </c>
      <c r="E234" s="22">
        <v>115.7777766181421</v>
      </c>
      <c r="F234" s="22">
        <v>170.09538513651904</v>
      </c>
      <c r="G234" s="22">
        <v>0</v>
      </c>
      <c r="H234" s="22">
        <v>18.986550785968639</v>
      </c>
      <c r="I234" s="22">
        <v>3.9178596859935286</v>
      </c>
      <c r="J234" s="22">
        <v>143.41375609549644</v>
      </c>
      <c r="K234" s="22">
        <v>4.821981151992035</v>
      </c>
      <c r="L234" s="22">
        <v>0</v>
      </c>
      <c r="M234" s="388">
        <v>1447.1970932416095</v>
      </c>
      <c r="N234" s="25">
        <v>0.50660000000000005</v>
      </c>
      <c r="O234" s="24">
        <v>380.79198444836271</v>
      </c>
      <c r="P234" s="24">
        <v>18.888491292081486</v>
      </c>
      <c r="Q234" s="24">
        <v>16.37002578647062</v>
      </c>
      <c r="R234" s="22">
        <v>2.5184655056108647</v>
      </c>
      <c r="S234" s="24">
        <v>0.75343455499875556</v>
      </c>
      <c r="T234" s="24">
        <f t="shared" si="13"/>
        <v>19.641925847080241</v>
      </c>
      <c r="U234" s="376">
        <v>735.2</v>
      </c>
      <c r="V234" s="376">
        <v>72.56</v>
      </c>
      <c r="W234" s="22">
        <f t="shared" si="14"/>
        <v>372.45232000000004</v>
      </c>
      <c r="X234" s="22">
        <f t="shared" si="15"/>
        <v>193.6699973814755</v>
      </c>
      <c r="Y234" s="22">
        <v>134.98975110074235</v>
      </c>
      <c r="Z234" s="22">
        <v>58.680246280733144</v>
      </c>
      <c r="AA234" s="371">
        <v>1464.3365835823811</v>
      </c>
      <c r="AB234" s="22">
        <v>0.1322578425976885</v>
      </c>
      <c r="AC234" s="24">
        <v>0</v>
      </c>
      <c r="AD234" s="384">
        <v>0</v>
      </c>
    </row>
    <row r="235" spans="1:30">
      <c r="A235" s="21" t="s">
        <v>203</v>
      </c>
      <c r="B235" s="21" t="s">
        <v>204</v>
      </c>
      <c r="C235" s="23">
        <v>840.30053629307872</v>
      </c>
      <c r="D235" s="147">
        <v>31.925533543813934</v>
      </c>
      <c r="E235" s="22">
        <v>159.66785089533627</v>
      </c>
      <c r="F235" s="22">
        <v>191.59338443915021</v>
      </c>
      <c r="G235" s="22">
        <v>0</v>
      </c>
      <c r="H235" s="22">
        <v>71.516007960481872</v>
      </c>
      <c r="I235" s="22">
        <v>5.5553241188574907</v>
      </c>
      <c r="J235" s="22">
        <v>190.05637794695275</v>
      </c>
      <c r="K235" s="22">
        <v>0</v>
      </c>
      <c r="L235" s="22">
        <v>0</v>
      </c>
      <c r="M235" s="388">
        <v>3025.8032186690693</v>
      </c>
      <c r="N235" s="25">
        <v>0.1303</v>
      </c>
      <c r="O235" s="24">
        <v>0</v>
      </c>
      <c r="P235" s="24">
        <v>195.18107668484203</v>
      </c>
      <c r="Q235" s="24">
        <v>145.0636131231858</v>
      </c>
      <c r="R235" s="22">
        <v>50.117463561656209</v>
      </c>
      <c r="S235" s="24">
        <v>48.470956371586603</v>
      </c>
      <c r="T235" s="24">
        <f t="shared" si="13"/>
        <v>243.65203305642862</v>
      </c>
      <c r="U235" s="376">
        <v>395.36</v>
      </c>
      <c r="V235" s="376">
        <v>151.71</v>
      </c>
      <c r="W235" s="22">
        <f t="shared" si="14"/>
        <v>51.515408000000001</v>
      </c>
      <c r="X235" s="22">
        <f t="shared" si="15"/>
        <v>315.8155744036024</v>
      </c>
      <c r="Y235" s="22">
        <v>239.7579161341543</v>
      </c>
      <c r="Z235" s="22">
        <v>76.057658269448112</v>
      </c>
      <c r="AA235" s="371">
        <v>3058.8778338048437</v>
      </c>
      <c r="AB235" s="22">
        <v>0.10324556636862126</v>
      </c>
      <c r="AC235" s="24">
        <v>0</v>
      </c>
      <c r="AD235" s="384">
        <v>0</v>
      </c>
    </row>
    <row r="236" spans="1:30">
      <c r="A236" s="21" t="s">
        <v>519</v>
      </c>
      <c r="B236" s="21" t="s">
        <v>520</v>
      </c>
      <c r="C236" s="23">
        <v>656.62323757844877</v>
      </c>
      <c r="D236" s="147">
        <v>0</v>
      </c>
      <c r="E236" s="22">
        <v>109.89094129508516</v>
      </c>
      <c r="F236" s="22">
        <v>109.89094129508516</v>
      </c>
      <c r="G236" s="22">
        <v>0</v>
      </c>
      <c r="H236" s="22">
        <v>55.372416895375203</v>
      </c>
      <c r="I236" s="22">
        <v>5.7562400001904921</v>
      </c>
      <c r="J236" s="22">
        <v>29.132802793285212</v>
      </c>
      <c r="K236" s="22">
        <v>8.6393828973190629</v>
      </c>
      <c r="L236" s="22">
        <v>0</v>
      </c>
      <c r="M236" s="388">
        <v>2094.1060479576076</v>
      </c>
      <c r="N236" s="25">
        <v>0.51419999999999999</v>
      </c>
      <c r="O236" s="24">
        <v>1467.7616966700118</v>
      </c>
      <c r="P236" s="24">
        <v>204.4993990556022</v>
      </c>
      <c r="Q236" s="24">
        <v>141.53776141533058</v>
      </c>
      <c r="R236" s="22">
        <v>62.961637640271611</v>
      </c>
      <c r="S236" s="24">
        <v>22.603036649962664</v>
      </c>
      <c r="T236" s="24">
        <f t="shared" si="13"/>
        <v>227.10243570556486</v>
      </c>
      <c r="U236" s="376">
        <v>1079.8</v>
      </c>
      <c r="V236" s="376">
        <v>105</v>
      </c>
      <c r="W236" s="22">
        <f t="shared" si="14"/>
        <v>555.23316</v>
      </c>
      <c r="X236" s="22">
        <f t="shared" si="15"/>
        <v>274.51274011158421</v>
      </c>
      <c r="Y236" s="22">
        <v>177.80366469612704</v>
      </c>
      <c r="Z236" s="22">
        <v>96.709075415457193</v>
      </c>
      <c r="AA236" s="371">
        <v>2114.9771100259363</v>
      </c>
      <c r="AB236" s="22">
        <v>0.12979466246243102</v>
      </c>
      <c r="AC236" s="24">
        <v>0</v>
      </c>
      <c r="AD236" s="384">
        <v>0</v>
      </c>
    </row>
    <row r="237" spans="1:30">
      <c r="A237" s="21" t="s">
        <v>263</v>
      </c>
      <c r="B237" s="21" t="s">
        <v>264</v>
      </c>
      <c r="C237" s="23">
        <v>16</v>
      </c>
      <c r="D237" s="147">
        <v>0</v>
      </c>
      <c r="E237" s="22">
        <v>0</v>
      </c>
      <c r="F237" s="22">
        <v>0</v>
      </c>
      <c r="G237" s="22">
        <v>0</v>
      </c>
      <c r="H237" s="22">
        <v>0</v>
      </c>
      <c r="I237" s="22">
        <v>0</v>
      </c>
      <c r="J237" s="22">
        <v>0</v>
      </c>
      <c r="K237" s="22">
        <v>0</v>
      </c>
      <c r="L237" s="22">
        <v>0</v>
      </c>
      <c r="M237" s="388">
        <v>34.4</v>
      </c>
      <c r="N237" s="25">
        <v>0</v>
      </c>
      <c r="O237" s="24">
        <v>0</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-5902.2183999257404</v>
      </c>
    </row>
    <row r="238" spans="1:30">
      <c r="A238" s="21" t="s">
        <v>575</v>
      </c>
      <c r="B238" s="21" t="s">
        <v>576</v>
      </c>
      <c r="C238" s="23">
        <v>46.81340035058934</v>
      </c>
      <c r="D238" s="147">
        <v>2.3607616056627672</v>
      </c>
      <c r="E238" s="22">
        <v>5.3242708553245386</v>
      </c>
      <c r="F238" s="22">
        <v>7.6850324609873057</v>
      </c>
      <c r="G238" s="22">
        <v>0</v>
      </c>
      <c r="H238" s="22">
        <v>3.8676307156602783</v>
      </c>
      <c r="I238" s="22">
        <v>0</v>
      </c>
      <c r="J238" s="22">
        <v>0</v>
      </c>
      <c r="K238" s="22">
        <v>0</v>
      </c>
      <c r="L238" s="22">
        <v>0</v>
      </c>
      <c r="M238" s="388">
        <v>154.08238939427881</v>
      </c>
      <c r="N238" s="25">
        <v>0.63690000000000002</v>
      </c>
      <c r="O238" s="24">
        <v>158.15963375236228</v>
      </c>
      <c r="P238" s="24">
        <v>0</v>
      </c>
      <c r="Q238" s="24">
        <v>0</v>
      </c>
      <c r="R238" s="22">
        <v>0</v>
      </c>
      <c r="S238" s="24">
        <v>0</v>
      </c>
      <c r="T238" s="24">
        <f t="shared" si="13"/>
        <v>0</v>
      </c>
      <c r="U238" s="376">
        <v>98.41</v>
      </c>
      <c r="V238" s="376">
        <v>0</v>
      </c>
      <c r="W238" s="22">
        <f t="shared" si="14"/>
        <v>62.677329</v>
      </c>
      <c r="X238" s="22">
        <f t="shared" si="15"/>
        <v>18.384798190959309</v>
      </c>
      <c r="Y238" s="22">
        <v>14.103406831420841</v>
      </c>
      <c r="Z238" s="22">
        <v>4.2813913595384694</v>
      </c>
      <c r="AA238" s="371">
        <v>154.51289570023775</v>
      </c>
      <c r="AB238" s="22">
        <v>0.11898552614421697</v>
      </c>
      <c r="AC238" s="24">
        <v>0</v>
      </c>
      <c r="AD238" s="384">
        <v>0</v>
      </c>
    </row>
    <row r="239" spans="1:30">
      <c r="A239" s="21" t="s">
        <v>131</v>
      </c>
      <c r="B239" s="21" t="s">
        <v>132</v>
      </c>
      <c r="C239" s="23">
        <v>499.07504923117568</v>
      </c>
      <c r="D239" s="147">
        <v>29.474359791551315</v>
      </c>
      <c r="E239" s="22">
        <v>90.09068118971787</v>
      </c>
      <c r="F239" s="22">
        <v>119.56504098126919</v>
      </c>
      <c r="G239" s="22">
        <v>0</v>
      </c>
      <c r="H239" s="22">
        <v>41.941190228264055</v>
      </c>
      <c r="I239" s="22">
        <v>1.9890672251967145</v>
      </c>
      <c r="J239" s="22">
        <v>0</v>
      </c>
      <c r="K239" s="22">
        <v>6.6302240839890478</v>
      </c>
      <c r="L239" s="22">
        <v>0</v>
      </c>
      <c r="M239" s="388">
        <v>1764.9254679816183</v>
      </c>
      <c r="N239" s="25">
        <v>0.78449999999999998</v>
      </c>
      <c r="O239" s="24">
        <v>1785.0883503769808</v>
      </c>
      <c r="P239" s="24">
        <v>755.28780513269828</v>
      </c>
      <c r="Q239" s="24">
        <v>461.63472717847145</v>
      </c>
      <c r="R239" s="22">
        <v>293.65307795422683</v>
      </c>
      <c r="S239" s="24">
        <v>135.61821989977599</v>
      </c>
      <c r="T239" s="24">
        <f t="shared" si="13"/>
        <v>890.9060250324743</v>
      </c>
      <c r="U239" s="376">
        <v>1388.45</v>
      </c>
      <c r="V239" s="376">
        <v>88.49</v>
      </c>
      <c r="W239" s="22">
        <f t="shared" si="14"/>
        <v>1089.2390250000001</v>
      </c>
      <c r="X239" s="22">
        <f t="shared" si="15"/>
        <v>240.00976268471538</v>
      </c>
      <c r="Y239" s="22">
        <v>143.80438037038036</v>
      </c>
      <c r="Z239" s="22">
        <v>96.205382314335026</v>
      </c>
      <c r="AA239" s="371">
        <v>1780.1924534340733</v>
      </c>
      <c r="AB239" s="22">
        <v>0.13482236834659392</v>
      </c>
      <c r="AC239" s="24">
        <v>0</v>
      </c>
      <c r="AD239" s="384">
        <v>0</v>
      </c>
    </row>
    <row r="240" spans="1:30">
      <c r="A240" s="21" t="s">
        <v>399</v>
      </c>
      <c r="B240" s="21" t="s">
        <v>400</v>
      </c>
      <c r="C240" s="23">
        <v>199.65011128060357</v>
      </c>
      <c r="D240" s="147">
        <v>0</v>
      </c>
      <c r="E240" s="22">
        <v>23.838669320160623</v>
      </c>
      <c r="F240" s="22">
        <v>23.838669320160623</v>
      </c>
      <c r="G240" s="22">
        <v>0</v>
      </c>
      <c r="H240" s="22">
        <v>6.4694913789226476</v>
      </c>
      <c r="I240" s="22">
        <v>0.62283923213230452</v>
      </c>
      <c r="J240" s="22">
        <v>37.360308133871627</v>
      </c>
      <c r="K240" s="22">
        <v>4.6210652706590336</v>
      </c>
      <c r="L240" s="22">
        <v>0</v>
      </c>
      <c r="M240" s="388">
        <v>781.39199988624262</v>
      </c>
      <c r="N240" s="25">
        <v>0.4</v>
      </c>
      <c r="O240" s="24">
        <v>0</v>
      </c>
      <c r="P240" s="24">
        <v>48.858230808850777</v>
      </c>
      <c r="Q240" s="24">
        <v>30.725279168452548</v>
      </c>
      <c r="R240" s="22">
        <v>18.132951640398225</v>
      </c>
      <c r="S240" s="24">
        <v>12.557242583312592</v>
      </c>
      <c r="T240" s="24">
        <f t="shared" si="13"/>
        <v>61.415473392163371</v>
      </c>
      <c r="U240" s="376">
        <v>313.43</v>
      </c>
      <c r="V240" s="376">
        <v>39.18</v>
      </c>
      <c r="W240" s="22">
        <f t="shared" si="14"/>
        <v>125.37200000000001</v>
      </c>
      <c r="X240" s="22">
        <f t="shared" si="15"/>
        <v>138.26375625803647</v>
      </c>
      <c r="Y240" s="22">
        <v>118.8715718648328</v>
      </c>
      <c r="Z240" s="22">
        <v>19.392184393203657</v>
      </c>
      <c r="AA240" s="371">
        <v>783.56513582969717</v>
      </c>
      <c r="AB240" s="22">
        <v>0.17645470674449099</v>
      </c>
      <c r="AC240" s="24">
        <v>4.1454706744490977E-2</v>
      </c>
      <c r="AD240" s="384">
        <v>-329377.7063440393</v>
      </c>
    </row>
    <row r="241" spans="1:30">
      <c r="A241" s="21" t="s">
        <v>159</v>
      </c>
      <c r="B241" s="21" t="s">
        <v>160</v>
      </c>
      <c r="C241" s="23">
        <v>30</v>
      </c>
      <c r="D241" s="147">
        <v>0</v>
      </c>
      <c r="E241" s="22">
        <v>0</v>
      </c>
      <c r="F241" s="22">
        <v>0</v>
      </c>
      <c r="G241" s="22">
        <v>0</v>
      </c>
      <c r="H241" s="22">
        <v>0</v>
      </c>
      <c r="I241" s="22">
        <v>0</v>
      </c>
      <c r="J241" s="22">
        <v>0</v>
      </c>
      <c r="K241" s="22">
        <v>0</v>
      </c>
      <c r="L241" s="22">
        <v>0</v>
      </c>
      <c r="M241" s="388">
        <v>54</v>
      </c>
      <c r="N241" s="25">
        <v>0.62960000000000005</v>
      </c>
      <c r="O241" s="24">
        <v>54</v>
      </c>
      <c r="P241" s="24">
        <v>0</v>
      </c>
      <c r="Q241" s="24">
        <v>0</v>
      </c>
      <c r="R241" s="22">
        <v>0</v>
      </c>
      <c r="S241" s="24">
        <v>0</v>
      </c>
      <c r="T241" s="24">
        <f t="shared" si="13"/>
        <v>0</v>
      </c>
      <c r="U241" s="376">
        <v>34</v>
      </c>
      <c r="V241" s="376">
        <v>0</v>
      </c>
      <c r="W241" s="22">
        <f t="shared" si="14"/>
        <v>21.406400000000001</v>
      </c>
      <c r="X241" s="22">
        <f t="shared" si="15"/>
        <v>9.5</v>
      </c>
      <c r="Y241" s="22">
        <v>9.5</v>
      </c>
      <c r="Z241" s="22">
        <v>0</v>
      </c>
      <c r="AA241" s="371">
        <v>54</v>
      </c>
      <c r="AB241" s="22">
        <v>0.17592592592592593</v>
      </c>
      <c r="AC241" s="24">
        <v>4.0925925925925921E-2</v>
      </c>
      <c r="AD241" s="384">
        <v>-22140.864762158446</v>
      </c>
    </row>
    <row r="242" spans="1:30">
      <c r="A242" s="21" t="s">
        <v>183</v>
      </c>
      <c r="B242" s="21" t="s">
        <v>184</v>
      </c>
      <c r="C242" s="23">
        <v>15892.848045203082</v>
      </c>
      <c r="D242" s="147">
        <v>173.48081773698013</v>
      </c>
      <c r="E242" s="22">
        <v>1548.8806207842415</v>
      </c>
      <c r="F242" s="22">
        <v>1722.3614385212215</v>
      </c>
      <c r="G242" s="22">
        <v>103.16025927042961</v>
      </c>
      <c r="H242" s="22">
        <v>893.59347381665725</v>
      </c>
      <c r="I242" s="22">
        <v>26.721812217289198</v>
      </c>
      <c r="J242" s="22">
        <v>698.85575583464572</v>
      </c>
      <c r="K242" s="22">
        <v>63.690334382561467</v>
      </c>
      <c r="L242" s="22">
        <v>0</v>
      </c>
      <c r="M242" s="388">
        <v>50804.303005241483</v>
      </c>
      <c r="N242" s="25">
        <v>0.40450000000000003</v>
      </c>
      <c r="O242" s="24">
        <v>14339.135202746018</v>
      </c>
      <c r="P242" s="24">
        <v>6691.5628484080671</v>
      </c>
      <c r="Q242" s="24">
        <v>4402.0258572572302</v>
      </c>
      <c r="R242" s="22">
        <v>2289.5369911508369</v>
      </c>
      <c r="S242" s="24">
        <v>732.8406771621228</v>
      </c>
      <c r="T242" s="24">
        <f t="shared" si="13"/>
        <v>7424.4035255701901</v>
      </c>
      <c r="U242" s="376">
        <v>20607.759999999998</v>
      </c>
      <c r="V242" s="376">
        <v>0</v>
      </c>
      <c r="W242" s="22">
        <f t="shared" si="14"/>
        <v>8335.8389200000001</v>
      </c>
      <c r="X242" s="22">
        <f t="shared" si="15"/>
        <v>6811.9454995762662</v>
      </c>
      <c r="Y242" s="22">
        <v>4707.0120299867058</v>
      </c>
      <c r="Z242" s="22">
        <v>2104.9334695895604</v>
      </c>
      <c r="AA242" s="371">
        <v>50974.658555007947</v>
      </c>
      <c r="AB242" s="22">
        <v>0.13363396033786742</v>
      </c>
      <c r="AC242" s="24">
        <v>0</v>
      </c>
      <c r="AD242" s="384">
        <v>0</v>
      </c>
    </row>
    <row r="243" spans="1:30">
      <c r="A243" s="21" t="s">
        <v>405</v>
      </c>
      <c r="B243" s="21" t="s">
        <v>406</v>
      </c>
      <c r="C243" s="23">
        <v>1222.3019014715144</v>
      </c>
      <c r="D243" s="147">
        <v>23.32633382276147</v>
      </c>
      <c r="E243" s="22">
        <v>306.16566576929426</v>
      </c>
      <c r="F243" s="22">
        <v>329.49199959205572</v>
      </c>
      <c r="G243" s="22">
        <v>0</v>
      </c>
      <c r="H243" s="22">
        <v>52.589731938913133</v>
      </c>
      <c r="I243" s="22">
        <v>4.5206073299925329</v>
      </c>
      <c r="J243" s="22">
        <v>170.0049729899192</v>
      </c>
      <c r="K243" s="22">
        <v>29.735550437284218</v>
      </c>
      <c r="L243" s="22">
        <v>0</v>
      </c>
      <c r="M243" s="388">
        <v>4305.3761921145551</v>
      </c>
      <c r="N243" s="25">
        <v>0.51629999999999998</v>
      </c>
      <c r="O243" s="24">
        <v>2178.9763554545202</v>
      </c>
      <c r="P243" s="24">
        <v>341.25207601027216</v>
      </c>
      <c r="Q243" s="24">
        <v>222.63235069600043</v>
      </c>
      <c r="R243" s="22">
        <v>118.61972531427172</v>
      </c>
      <c r="S243" s="24">
        <v>43.448059338261565</v>
      </c>
      <c r="T243" s="24">
        <f t="shared" si="13"/>
        <v>384.70013534853371</v>
      </c>
      <c r="U243" s="376">
        <v>2229.08</v>
      </c>
      <c r="V243" s="376">
        <v>215.87</v>
      </c>
      <c r="W243" s="22">
        <f t="shared" si="14"/>
        <v>1150.874004</v>
      </c>
      <c r="X243" s="22">
        <f t="shared" si="15"/>
        <v>754.78411203157611</v>
      </c>
      <c r="Y243" s="22">
        <v>525.35190447042635</v>
      </c>
      <c r="Z243" s="22">
        <v>229.43220756114977</v>
      </c>
      <c r="AA243" s="371">
        <v>4373.758600422253</v>
      </c>
      <c r="AB243" s="22">
        <v>0.17257104952219071</v>
      </c>
      <c r="AC243" s="24">
        <v>3.7571049522190703E-2</v>
      </c>
      <c r="AD243" s="384">
        <v>-1673398.8570133294</v>
      </c>
    </row>
    <row r="244" spans="1:30">
      <c r="A244" s="21" t="s">
        <v>589</v>
      </c>
      <c r="B244" s="21" t="s">
        <v>590</v>
      </c>
      <c r="C244" s="23">
        <v>1051.0211126351307</v>
      </c>
      <c r="D244" s="147">
        <v>22.281571239829862</v>
      </c>
      <c r="E244" s="22">
        <v>373.5829897505829</v>
      </c>
      <c r="F244" s="22">
        <v>395.86456099041277</v>
      </c>
      <c r="G244" s="22">
        <v>0</v>
      </c>
      <c r="H244" s="22">
        <v>34.698172706209355</v>
      </c>
      <c r="I244" s="22">
        <v>2.7023186039288696</v>
      </c>
      <c r="J244" s="22">
        <v>98.951071556503223</v>
      </c>
      <c r="K244" s="22">
        <v>11.854036998647087</v>
      </c>
      <c r="L244" s="22">
        <v>0</v>
      </c>
      <c r="M244" s="388">
        <v>3635.3116820749287</v>
      </c>
      <c r="N244" s="25">
        <v>0.55589999999999995</v>
      </c>
      <c r="O244" s="24">
        <v>2490.2586919480227</v>
      </c>
      <c r="P244" s="24">
        <v>335.96329844848935</v>
      </c>
      <c r="Q244" s="24">
        <v>234.97283167349366</v>
      </c>
      <c r="R244" s="22">
        <v>100.99046677499567</v>
      </c>
      <c r="S244" s="24">
        <v>48.219811519920356</v>
      </c>
      <c r="T244" s="24">
        <f t="shared" si="13"/>
        <v>384.18310996840972</v>
      </c>
      <c r="U244" s="376">
        <v>2024.33</v>
      </c>
      <c r="V244" s="376">
        <v>182.27</v>
      </c>
      <c r="W244" s="22">
        <f t="shared" si="14"/>
        <v>1125.3250469999998</v>
      </c>
      <c r="X244" s="22">
        <f t="shared" si="15"/>
        <v>440.7314634819013</v>
      </c>
      <c r="Y244" s="22">
        <v>376.25874653826315</v>
      </c>
      <c r="Z244" s="22">
        <v>64.472716943638133</v>
      </c>
      <c r="AA244" s="371">
        <v>3681.1402909311764</v>
      </c>
      <c r="AB244" s="22">
        <v>0.11972688586949085</v>
      </c>
      <c r="AC244" s="24">
        <v>0</v>
      </c>
      <c r="AD244" s="384">
        <v>0</v>
      </c>
    </row>
    <row r="245" spans="1:30">
      <c r="A245" s="21" t="s">
        <v>359</v>
      </c>
      <c r="B245" s="21" t="s">
        <v>360</v>
      </c>
      <c r="C245" s="23">
        <v>76.599179758206816</v>
      </c>
      <c r="D245" s="147">
        <v>5.8868353230569435</v>
      </c>
      <c r="E245" s="22">
        <v>12.255868761313089</v>
      </c>
      <c r="F245" s="22">
        <v>18.142704084370031</v>
      </c>
      <c r="G245" s="22">
        <v>0</v>
      </c>
      <c r="H245" s="22">
        <v>4.681340035058934</v>
      </c>
      <c r="I245" s="22">
        <v>0.20091588133300148</v>
      </c>
      <c r="J245" s="22">
        <v>0</v>
      </c>
      <c r="K245" s="22">
        <v>0</v>
      </c>
      <c r="L245" s="22">
        <v>0</v>
      </c>
      <c r="M245" s="388">
        <v>235.6441914214108</v>
      </c>
      <c r="N245" s="25">
        <v>0.58299999999999996</v>
      </c>
      <c r="O245" s="24">
        <v>175.28519919051618</v>
      </c>
      <c r="P245" s="24">
        <v>0</v>
      </c>
      <c r="Q245" s="24">
        <v>0</v>
      </c>
      <c r="R245" s="22">
        <v>0</v>
      </c>
      <c r="S245" s="24">
        <v>0</v>
      </c>
      <c r="T245" s="24">
        <f t="shared" si="13"/>
        <v>0</v>
      </c>
      <c r="U245" s="376">
        <v>137.76</v>
      </c>
      <c r="V245" s="376">
        <v>0</v>
      </c>
      <c r="W245" s="22">
        <f t="shared" si="14"/>
        <v>80.31407999999999</v>
      </c>
      <c r="X245" s="22">
        <f t="shared" si="15"/>
        <v>44.576839449312303</v>
      </c>
      <c r="Y245" s="22">
        <v>28.962353314524943</v>
      </c>
      <c r="Z245" s="22">
        <v>15.614486134787361</v>
      </c>
      <c r="AA245" s="371">
        <v>236.3025814604562</v>
      </c>
      <c r="AB245" s="22">
        <v>0.18864304898324594</v>
      </c>
      <c r="AC245" s="24">
        <v>5.3643048983245928E-2</v>
      </c>
      <c r="AD245" s="384">
        <v>-119775.55455138741</v>
      </c>
    </row>
    <row r="246" spans="1:30">
      <c r="A246" s="21" t="s">
        <v>47</v>
      </c>
      <c r="B246" s="21" t="s">
        <v>48</v>
      </c>
      <c r="C246" s="23">
        <v>659.46619729931081</v>
      </c>
      <c r="D246" s="147">
        <v>11.984632321513537</v>
      </c>
      <c r="E246" s="22">
        <v>213.48316971038071</v>
      </c>
      <c r="F246" s="22">
        <v>225.46780203189425</v>
      </c>
      <c r="G246" s="22">
        <v>0</v>
      </c>
      <c r="H246" s="22">
        <v>56.577912183373215</v>
      </c>
      <c r="I246" s="22">
        <v>7.584574520320805</v>
      </c>
      <c r="J246" s="22">
        <v>220.85678255530189</v>
      </c>
      <c r="K246" s="22">
        <v>0</v>
      </c>
      <c r="L246" s="22">
        <v>0</v>
      </c>
      <c r="M246" s="388">
        <v>2560.8738234704369</v>
      </c>
      <c r="N246" s="25">
        <v>0.44390000000000002</v>
      </c>
      <c r="O246" s="24">
        <v>0</v>
      </c>
      <c r="P246" s="24">
        <v>47.850844606606429</v>
      </c>
      <c r="Q246" s="24">
        <v>35.00667052799102</v>
      </c>
      <c r="R246" s="22">
        <v>12.84417407861541</v>
      </c>
      <c r="S246" s="24">
        <v>12.054952879980089</v>
      </c>
      <c r="T246" s="24">
        <f t="shared" si="13"/>
        <v>59.905797486586522</v>
      </c>
      <c r="U246" s="376">
        <v>1140.46</v>
      </c>
      <c r="V246" s="376">
        <v>128.4</v>
      </c>
      <c r="W246" s="22">
        <f t="shared" si="14"/>
        <v>506.25019400000002</v>
      </c>
      <c r="X246" s="22">
        <f t="shared" si="15"/>
        <v>397.16201023483336</v>
      </c>
      <c r="Y246" s="22">
        <v>347.80008632486039</v>
      </c>
      <c r="Z246" s="22">
        <v>49.361923909972944</v>
      </c>
      <c r="AA246" s="371">
        <v>2568.0389806233088</v>
      </c>
      <c r="AB246" s="22">
        <v>0.15465575609698692</v>
      </c>
      <c r="AC246" s="24">
        <v>1.9655756096986915E-2</v>
      </c>
      <c r="AD246" s="384">
        <v>-491945.94289886527</v>
      </c>
    </row>
    <row r="247" spans="1:30">
      <c r="A247" s="21" t="s">
        <v>393</v>
      </c>
      <c r="B247" s="21" t="s">
        <v>394</v>
      </c>
      <c r="C247" s="23">
        <v>5.8</v>
      </c>
      <c r="D247" s="147">
        <v>0</v>
      </c>
      <c r="E247" s="22">
        <v>0</v>
      </c>
      <c r="F247" s="22">
        <v>0</v>
      </c>
      <c r="G247" s="22">
        <v>0</v>
      </c>
      <c r="H247" s="22">
        <v>0</v>
      </c>
      <c r="I247" s="22">
        <v>0</v>
      </c>
      <c r="J247" s="22">
        <v>0</v>
      </c>
      <c r="K247" s="22">
        <v>0</v>
      </c>
      <c r="L247" s="22">
        <v>0</v>
      </c>
      <c r="M247" s="388">
        <v>9.8000000000000007</v>
      </c>
      <c r="N247" s="25">
        <v>0</v>
      </c>
      <c r="O247" s="24">
        <v>0</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1095.6344840851236</v>
      </c>
      <c r="D248" s="147">
        <v>113.90925892174518</v>
      </c>
      <c r="E248" s="22">
        <v>678.03082473448012</v>
      </c>
      <c r="F248" s="22">
        <v>791.94008365622528</v>
      </c>
      <c r="G248" s="22">
        <v>0</v>
      </c>
      <c r="H248" s="22">
        <v>52.187900176247133</v>
      </c>
      <c r="I248" s="22">
        <v>4.7114774172588847</v>
      </c>
      <c r="J248" s="22">
        <v>152.29423805041512</v>
      </c>
      <c r="K248" s="22">
        <v>42.192335079930309</v>
      </c>
      <c r="L248" s="22">
        <v>0</v>
      </c>
      <c r="M248" s="388">
        <v>4298.474731590768</v>
      </c>
      <c r="N248" s="25">
        <v>0.6734</v>
      </c>
      <c r="O248" s="24">
        <v>4338.8123730663974</v>
      </c>
      <c r="P248" s="24">
        <v>915.96590439067143</v>
      </c>
      <c r="Q248" s="24">
        <v>598.63925068370247</v>
      </c>
      <c r="R248" s="22">
        <v>317.32665370696895</v>
      </c>
      <c r="S248" s="24">
        <v>46.964087261589093</v>
      </c>
      <c r="T248" s="24">
        <f t="shared" si="13"/>
        <v>962.92999165226047</v>
      </c>
      <c r="U248" s="376">
        <v>2902.68</v>
      </c>
      <c r="V248" s="376">
        <v>215.52</v>
      </c>
      <c r="W248" s="22">
        <f t="shared" si="14"/>
        <v>1954.6647119999998</v>
      </c>
      <c r="X248" s="22">
        <f t="shared" si="15"/>
        <v>558.84749569505084</v>
      </c>
      <c r="Y248" s="22">
        <v>427.63544285272479</v>
      </c>
      <c r="Z248" s="22">
        <v>131.21205284232605</v>
      </c>
      <c r="AA248" s="371">
        <v>4326.2099716763205</v>
      </c>
      <c r="AB248" s="22">
        <v>0.1291771549124576</v>
      </c>
      <c r="AC248" s="24">
        <v>0</v>
      </c>
      <c r="AD248" s="384">
        <v>0</v>
      </c>
    </row>
    <row r="249" spans="1:30">
      <c r="A249" s="21" t="s">
        <v>213</v>
      </c>
      <c r="B249" s="21" t="s">
        <v>214</v>
      </c>
      <c r="C249" s="23">
        <v>2556.5340404336439</v>
      </c>
      <c r="D249" s="147">
        <v>34.848859617209101</v>
      </c>
      <c r="E249" s="22">
        <v>408.9843680414578</v>
      </c>
      <c r="F249" s="22">
        <v>443.83322765866689</v>
      </c>
      <c r="G249" s="22">
        <v>0</v>
      </c>
      <c r="H249" s="22">
        <v>194.12492454394604</v>
      </c>
      <c r="I249" s="22">
        <v>7.6448492847207064</v>
      </c>
      <c r="J249" s="22">
        <v>113.72843462854549</v>
      </c>
      <c r="K249" s="22">
        <v>0</v>
      </c>
      <c r="L249" s="22">
        <v>0</v>
      </c>
      <c r="M249" s="388">
        <v>9132.4204243161821</v>
      </c>
      <c r="N249" s="25">
        <v>0.2676</v>
      </c>
      <c r="O249" s="24">
        <v>0</v>
      </c>
      <c r="P249" s="24">
        <v>844.69333058188397</v>
      </c>
      <c r="Q249" s="24">
        <v>603.92802824548528</v>
      </c>
      <c r="R249" s="22">
        <v>240.76530233639866</v>
      </c>
      <c r="S249" s="24">
        <v>201.92046073966648</v>
      </c>
      <c r="T249" s="24">
        <f t="shared" si="13"/>
        <v>1046.6137913215505</v>
      </c>
      <c r="U249" s="376">
        <v>2450.66</v>
      </c>
      <c r="V249" s="376">
        <v>457.9</v>
      </c>
      <c r="W249" s="22">
        <f t="shared" si="14"/>
        <v>655.79661599999997</v>
      </c>
      <c r="X249" s="22">
        <f t="shared" si="15"/>
        <v>1041.1336400195314</v>
      </c>
      <c r="Y249" s="22">
        <v>718.26636220021862</v>
      </c>
      <c r="Z249" s="22">
        <v>322.86727781931285</v>
      </c>
      <c r="AA249" s="371">
        <v>9170.8208830275817</v>
      </c>
      <c r="AB249" s="22">
        <v>0.11352676639300144</v>
      </c>
      <c r="AC249" s="24">
        <v>0</v>
      </c>
      <c r="AD249" s="384">
        <v>0</v>
      </c>
    </row>
    <row r="250" spans="1:30">
      <c r="A250" s="21" t="s">
        <v>415</v>
      </c>
      <c r="B250" s="21" t="s">
        <v>416</v>
      </c>
      <c r="C250" s="23">
        <v>39.799999999999997</v>
      </c>
      <c r="D250" s="147">
        <v>0</v>
      </c>
      <c r="E250" s="22">
        <v>0</v>
      </c>
      <c r="F250" s="22">
        <v>0</v>
      </c>
      <c r="G250" s="22">
        <v>0</v>
      </c>
      <c r="H250" s="22">
        <v>0</v>
      </c>
      <c r="I250" s="22">
        <v>0</v>
      </c>
      <c r="J250" s="22">
        <v>0</v>
      </c>
      <c r="K250" s="22">
        <v>0</v>
      </c>
      <c r="L250" s="22">
        <v>0</v>
      </c>
      <c r="M250" s="388">
        <v>65.199999999999989</v>
      </c>
      <c r="N250" s="25">
        <v>0.66269999999999996</v>
      </c>
      <c r="O250" s="24">
        <v>70</v>
      </c>
      <c r="P250" s="24">
        <v>0</v>
      </c>
      <c r="Q250" s="24">
        <v>0</v>
      </c>
      <c r="R250" s="22">
        <v>0</v>
      </c>
      <c r="S250" s="24">
        <v>0</v>
      </c>
      <c r="T250" s="24">
        <f t="shared" si="13"/>
        <v>0</v>
      </c>
      <c r="U250" s="376">
        <v>43.21</v>
      </c>
      <c r="V250" s="376">
        <v>0</v>
      </c>
      <c r="W250" s="22">
        <f t="shared" si="14"/>
        <v>28.635266999999999</v>
      </c>
      <c r="X250" s="22">
        <f t="shared" si="15"/>
        <v>9</v>
      </c>
      <c r="Y250" s="22">
        <v>9</v>
      </c>
      <c r="Z250" s="22">
        <v>0</v>
      </c>
      <c r="AA250" s="371">
        <v>65.2</v>
      </c>
      <c r="AB250" s="22">
        <v>0.1380368098159509</v>
      </c>
      <c r="AC250" s="24">
        <v>3.0368098159508916E-3</v>
      </c>
      <c r="AD250" s="384">
        <v>-2014.8055982873288</v>
      </c>
    </row>
    <row r="251" spans="1:30">
      <c r="A251" s="21" t="s">
        <v>197</v>
      </c>
      <c r="B251" s="21" t="s">
        <v>198</v>
      </c>
      <c r="C251" s="23">
        <v>9.6</v>
      </c>
      <c r="D251" s="147">
        <v>0</v>
      </c>
      <c r="E251" s="22">
        <v>0</v>
      </c>
      <c r="F251" s="22">
        <v>0</v>
      </c>
      <c r="G251" s="22">
        <v>0</v>
      </c>
      <c r="H251" s="22">
        <v>1</v>
      </c>
      <c r="I251" s="22">
        <v>0</v>
      </c>
      <c r="J251" s="22">
        <v>0</v>
      </c>
      <c r="K251" s="22">
        <v>0</v>
      </c>
      <c r="L251" s="22">
        <v>0</v>
      </c>
      <c r="M251" s="388">
        <v>36.19</v>
      </c>
      <c r="N251" s="25">
        <v>0.87760000000000005</v>
      </c>
      <c r="O251" s="24">
        <v>38</v>
      </c>
      <c r="P251" s="24">
        <v>1</v>
      </c>
      <c r="Q251" s="24">
        <v>1</v>
      </c>
      <c r="R251" s="22">
        <v>0</v>
      </c>
      <c r="S251" s="24">
        <v>0</v>
      </c>
      <c r="T251" s="24">
        <f t="shared" si="13"/>
        <v>1</v>
      </c>
      <c r="U251" s="376">
        <v>31.76</v>
      </c>
      <c r="V251" s="376">
        <v>0</v>
      </c>
      <c r="W251" s="22">
        <f t="shared" si="14"/>
        <v>27.872576000000002</v>
      </c>
      <c r="X251" s="22">
        <f t="shared" si="15"/>
        <v>12.5</v>
      </c>
      <c r="Y251" s="22">
        <v>12.5</v>
      </c>
      <c r="Z251" s="22">
        <v>0</v>
      </c>
      <c r="AA251" s="371">
        <v>36.19</v>
      </c>
      <c r="AB251" s="22">
        <v>0.34539928156949434</v>
      </c>
      <c r="AC251" s="24">
        <v>0.21039928156949433</v>
      </c>
      <c r="AD251" s="384">
        <v>-80525.064216632178</v>
      </c>
    </row>
    <row r="252" spans="1:30">
      <c r="A252" s="21" t="s">
        <v>439</v>
      </c>
      <c r="B252" s="21" t="s">
        <v>440</v>
      </c>
      <c r="C252" s="23">
        <v>2544.499179141797</v>
      </c>
      <c r="D252" s="147">
        <v>126.90851644399038</v>
      </c>
      <c r="E252" s="22">
        <v>413.26387631385069</v>
      </c>
      <c r="F252" s="22">
        <v>540.17239275784107</v>
      </c>
      <c r="G252" s="22">
        <v>0</v>
      </c>
      <c r="H252" s="22">
        <v>188.56960042508854</v>
      </c>
      <c r="I252" s="22">
        <v>13.310677138311346</v>
      </c>
      <c r="J252" s="22">
        <v>213.73431456204696</v>
      </c>
      <c r="K252" s="22">
        <v>0</v>
      </c>
      <c r="L252" s="22">
        <v>0</v>
      </c>
      <c r="M252" s="388">
        <v>9298.1659806218431</v>
      </c>
      <c r="N252" s="25">
        <v>0.19320000000000001</v>
      </c>
      <c r="O252" s="24">
        <v>0</v>
      </c>
      <c r="P252" s="24">
        <v>366.43673106638079</v>
      </c>
      <c r="Q252" s="24">
        <v>262.67595223521317</v>
      </c>
      <c r="R252" s="22">
        <v>103.76077883116763</v>
      </c>
      <c r="S252" s="24">
        <v>151.44034555474985</v>
      </c>
      <c r="T252" s="24">
        <f t="shared" si="13"/>
        <v>517.87707662113064</v>
      </c>
      <c r="U252" s="376">
        <v>1802.36</v>
      </c>
      <c r="V252" s="376">
        <v>466.21</v>
      </c>
      <c r="W252" s="22">
        <f t="shared" si="14"/>
        <v>348.21595200000002</v>
      </c>
      <c r="X252" s="22">
        <f t="shared" si="15"/>
        <v>1120.4653034462738</v>
      </c>
      <c r="Y252" s="22">
        <v>685.2744640767163</v>
      </c>
      <c r="Z252" s="22">
        <v>435.19083936955741</v>
      </c>
      <c r="AA252" s="371">
        <v>9407.4256803487115</v>
      </c>
      <c r="AB252" s="22">
        <v>0.11910434815199526</v>
      </c>
      <c r="AC252" s="24">
        <v>0</v>
      </c>
      <c r="AD252" s="384">
        <v>0</v>
      </c>
    </row>
    <row r="253" spans="1:30">
      <c r="A253" s="21" t="s">
        <v>209</v>
      </c>
      <c r="B253" s="21" t="s">
        <v>210</v>
      </c>
      <c r="C253" s="23">
        <v>2074.5569327039066</v>
      </c>
      <c r="D253" s="147">
        <v>71.546145342681825</v>
      </c>
      <c r="E253" s="22">
        <v>380.16298486423875</v>
      </c>
      <c r="F253" s="22">
        <v>451.70913020692058</v>
      </c>
      <c r="G253" s="22">
        <v>0</v>
      </c>
      <c r="H253" s="22">
        <v>209.31416517272095</v>
      </c>
      <c r="I253" s="22">
        <v>21.477907714497857</v>
      </c>
      <c r="J253" s="22">
        <v>251.92842360345054</v>
      </c>
      <c r="K253" s="22">
        <v>16.47510226930612</v>
      </c>
      <c r="L253" s="22">
        <v>0</v>
      </c>
      <c r="M253" s="388">
        <v>7128.5758360474256</v>
      </c>
      <c r="N253" s="25">
        <v>0.10589999999999999</v>
      </c>
      <c r="O253" s="24">
        <v>0</v>
      </c>
      <c r="P253" s="24">
        <v>256.8834815723082</v>
      </c>
      <c r="Q253" s="24">
        <v>187.12198706688724</v>
      </c>
      <c r="R253" s="22">
        <v>69.761494505420956</v>
      </c>
      <c r="S253" s="24">
        <v>99.955650963168225</v>
      </c>
      <c r="T253" s="24">
        <f t="shared" si="13"/>
        <v>356.83913253547644</v>
      </c>
      <c r="U253" s="376">
        <v>757.74</v>
      </c>
      <c r="V253" s="376">
        <v>357.42</v>
      </c>
      <c r="W253" s="22">
        <f t="shared" si="14"/>
        <v>80.244665999999995</v>
      </c>
      <c r="X253" s="22">
        <f t="shared" si="15"/>
        <v>665.12674003182929</v>
      </c>
      <c r="Y253" s="22">
        <v>427.63544285272479</v>
      </c>
      <c r="Z253" s="22">
        <v>237.49129717910452</v>
      </c>
      <c r="AA253" s="371">
        <v>7189.5138481774475</v>
      </c>
      <c r="AB253" s="22">
        <v>9.2513451406792957E-2</v>
      </c>
      <c r="AC253" s="24">
        <v>0</v>
      </c>
      <c r="AD253" s="384">
        <v>0</v>
      </c>
    </row>
    <row r="254" spans="1:30">
      <c r="A254" s="21" t="s">
        <v>129</v>
      </c>
      <c r="B254" s="21" t="s">
        <v>130</v>
      </c>
      <c r="C254" s="23">
        <v>160.22036956900203</v>
      </c>
      <c r="D254" s="147">
        <v>1.1452205235981083</v>
      </c>
      <c r="E254" s="22">
        <v>26.711766423222546</v>
      </c>
      <c r="F254" s="22">
        <v>27.856986946820655</v>
      </c>
      <c r="G254" s="22">
        <v>0</v>
      </c>
      <c r="H254" s="22">
        <v>18.353665759769683</v>
      </c>
      <c r="I254" s="22">
        <v>1.35618219899776</v>
      </c>
      <c r="J254" s="22">
        <v>25.536408517424487</v>
      </c>
      <c r="K254" s="22">
        <v>0</v>
      </c>
      <c r="L254" s="22">
        <v>0</v>
      </c>
      <c r="M254" s="388">
        <v>556.01461000094821</v>
      </c>
      <c r="N254" s="25">
        <v>0.79569999999999996</v>
      </c>
      <c r="O254" s="24">
        <v>557.0845698411232</v>
      </c>
      <c r="P254" s="24">
        <v>93.183223707601996</v>
      </c>
      <c r="Q254" s="24">
        <v>55.154394572877933</v>
      </c>
      <c r="R254" s="22">
        <v>38.028829134724056</v>
      </c>
      <c r="S254" s="24">
        <v>28.128223386620206</v>
      </c>
      <c r="T254" s="24">
        <f t="shared" si="13"/>
        <v>121.3114470942222</v>
      </c>
      <c r="U254" s="376">
        <v>443.66</v>
      </c>
      <c r="V254" s="376">
        <v>27.88</v>
      </c>
      <c r="W254" s="22">
        <f t="shared" si="14"/>
        <v>353.020262</v>
      </c>
      <c r="X254" s="22">
        <f t="shared" si="15"/>
        <v>105.77555123565631</v>
      </c>
      <c r="Y254" s="22">
        <v>90.66475820199112</v>
      </c>
      <c r="Z254" s="22">
        <v>15.110793033665187</v>
      </c>
      <c r="AA254" s="371">
        <v>560.21754093010316</v>
      </c>
      <c r="AB254" s="22">
        <v>0.18881156605707503</v>
      </c>
      <c r="AC254" s="24">
        <v>5.3811566057075017E-2</v>
      </c>
      <c r="AD254" s="384">
        <v>-283822.84265553002</v>
      </c>
    </row>
    <row r="255" spans="1:30">
      <c r="A255" s="21" t="s">
        <v>347</v>
      </c>
      <c r="B255" s="21" t="s">
        <v>348</v>
      </c>
      <c r="C255" s="23">
        <v>162.6414059390647</v>
      </c>
      <c r="D255" s="147">
        <v>6.0073848518567443</v>
      </c>
      <c r="E255" s="22">
        <v>36.586781990739567</v>
      </c>
      <c r="F255" s="22">
        <v>42.594166842596309</v>
      </c>
      <c r="G255" s="22">
        <v>0</v>
      </c>
      <c r="H255" s="22">
        <v>14.405668691576205</v>
      </c>
      <c r="I255" s="22">
        <v>0.17077849913305126</v>
      </c>
      <c r="J255" s="22">
        <v>34.88904279347571</v>
      </c>
      <c r="K255" s="22">
        <v>0</v>
      </c>
      <c r="L255" s="22">
        <v>0</v>
      </c>
      <c r="M255" s="388">
        <v>554.09586333421805</v>
      </c>
      <c r="N255" s="25">
        <v>0.70199999999999996</v>
      </c>
      <c r="O255" s="24">
        <v>525.85559757154851</v>
      </c>
      <c r="P255" s="24">
        <v>87.894446145819174</v>
      </c>
      <c r="Q255" s="24">
        <v>51.880389415583814</v>
      </c>
      <c r="R255" s="22">
        <v>36.01405673023536</v>
      </c>
      <c r="S255" s="24">
        <v>9.292359511651318</v>
      </c>
      <c r="T255" s="24">
        <f t="shared" si="13"/>
        <v>97.186805657470487</v>
      </c>
      <c r="U255" s="376">
        <v>390.45</v>
      </c>
      <c r="V255" s="376">
        <v>0</v>
      </c>
      <c r="W255" s="22">
        <f t="shared" si="14"/>
        <v>274.09589999999997</v>
      </c>
      <c r="X255" s="22">
        <f t="shared" si="15"/>
        <v>75.805811718887028</v>
      </c>
      <c r="Y255" s="22">
        <v>26.19204125835299</v>
      </c>
      <c r="Z255" s="22">
        <v>49.613770460534035</v>
      </c>
      <c r="AA255" s="371">
        <v>556.14770067303607</v>
      </c>
      <c r="AB255" s="22">
        <v>0.136305178691108</v>
      </c>
      <c r="AC255" s="24">
        <v>1.3051786911079943E-3</v>
      </c>
      <c r="AD255" s="384">
        <v>-6799.9364625406997</v>
      </c>
    </row>
    <row r="256" spans="1:30">
      <c r="A256" s="21" t="s">
        <v>235</v>
      </c>
      <c r="B256" s="21" t="s">
        <v>236</v>
      </c>
      <c r="C256" s="23">
        <v>2680.4288186576391</v>
      </c>
      <c r="D256" s="147">
        <v>254.27913941504667</v>
      </c>
      <c r="E256" s="22">
        <v>630.76536365089146</v>
      </c>
      <c r="F256" s="22">
        <v>885.0445030659381</v>
      </c>
      <c r="G256" s="22">
        <v>0</v>
      </c>
      <c r="H256" s="22">
        <v>217.23025089724121</v>
      </c>
      <c r="I256" s="22">
        <v>9.9252445378502738</v>
      </c>
      <c r="J256" s="22">
        <v>1342.2788200095163</v>
      </c>
      <c r="K256" s="22">
        <v>0</v>
      </c>
      <c r="L256" s="22">
        <v>0</v>
      </c>
      <c r="M256" s="388">
        <v>9700.8214984013084</v>
      </c>
      <c r="N256" s="25">
        <v>0.37280000000000002</v>
      </c>
      <c r="O256" s="24">
        <v>634.65330741393791</v>
      </c>
      <c r="P256" s="24">
        <v>240.51345578583755</v>
      </c>
      <c r="Q256" s="24">
        <v>148.84131138160208</v>
      </c>
      <c r="R256" s="22">
        <v>91.672144404235468</v>
      </c>
      <c r="S256" s="24">
        <v>34.155699826610253</v>
      </c>
      <c r="T256" s="24">
        <f t="shared" si="13"/>
        <v>274.66915561244781</v>
      </c>
      <c r="U256" s="376">
        <v>3626.57</v>
      </c>
      <c r="V256" s="376">
        <v>486.4</v>
      </c>
      <c r="W256" s="22">
        <f t="shared" si="14"/>
        <v>1351.9852960000001</v>
      </c>
      <c r="X256" s="22">
        <f t="shared" si="15"/>
        <v>1404.2963659286181</v>
      </c>
      <c r="Y256" s="22">
        <v>874.41122354809215</v>
      </c>
      <c r="Z256" s="22">
        <v>529.88514238052596</v>
      </c>
      <c r="AA256" s="371">
        <v>9794.7253796635723</v>
      </c>
      <c r="AB256" s="22">
        <v>0.14337271454739373</v>
      </c>
      <c r="AC256" s="24">
        <v>8.372714547393717E-3</v>
      </c>
      <c r="AD256" s="384">
        <v>-867437.76247479464</v>
      </c>
    </row>
    <row r="257" spans="1:30">
      <c r="A257" s="21" t="s">
        <v>171</v>
      </c>
      <c r="B257" s="21" t="s">
        <v>172</v>
      </c>
      <c r="C257" s="23">
        <v>273.34605655354852</v>
      </c>
      <c r="D257" s="147">
        <v>0</v>
      </c>
      <c r="E257" s="22">
        <v>59.692108344034736</v>
      </c>
      <c r="F257" s="22">
        <v>59.692108344034736</v>
      </c>
      <c r="G257" s="22">
        <v>0</v>
      </c>
      <c r="H257" s="22">
        <v>26.008560838557042</v>
      </c>
      <c r="I257" s="22">
        <v>1.9287924607968141</v>
      </c>
      <c r="J257" s="22">
        <v>74.479517210143641</v>
      </c>
      <c r="K257" s="22">
        <v>0</v>
      </c>
      <c r="L257" s="22">
        <v>0</v>
      </c>
      <c r="M257" s="388">
        <v>1191.0092529538995</v>
      </c>
      <c r="N257" s="25">
        <v>0.29339999999999999</v>
      </c>
      <c r="O257" s="24">
        <v>44.324992898751219</v>
      </c>
      <c r="P257" s="24">
        <v>3.2740051572941242</v>
      </c>
      <c r="Q257" s="24">
        <v>2.5184655056108647</v>
      </c>
      <c r="R257" s="22">
        <v>0.75553965168325932</v>
      </c>
      <c r="S257" s="24">
        <v>3.0137382199950222</v>
      </c>
      <c r="T257" s="24">
        <f t="shared" si="13"/>
        <v>6.2877433772891465</v>
      </c>
      <c r="U257" s="376">
        <v>350.42</v>
      </c>
      <c r="V257" s="376">
        <v>59.72</v>
      </c>
      <c r="W257" s="22">
        <f t="shared" si="14"/>
        <v>102.81322800000001</v>
      </c>
      <c r="X257" s="22">
        <f t="shared" si="15"/>
        <v>177.29997159500488</v>
      </c>
      <c r="Y257" s="22">
        <v>120.38265116819933</v>
      </c>
      <c r="Z257" s="22">
        <v>56.917320426805539</v>
      </c>
      <c r="AA257" s="371">
        <v>1205.3980341574943</v>
      </c>
      <c r="AB257" s="22">
        <v>0.14708831985023738</v>
      </c>
      <c r="AC257" s="24">
        <v>1.2088319850237367E-2</v>
      </c>
      <c r="AD257" s="384">
        <v>-155223.98174483821</v>
      </c>
    </row>
    <row r="258" spans="1:30">
      <c r="A258" s="21" t="s">
        <v>313</v>
      </c>
      <c r="B258" s="21" t="s">
        <v>314</v>
      </c>
      <c r="C258" s="23">
        <v>105.48083769982577</v>
      </c>
      <c r="D258" s="147">
        <v>0</v>
      </c>
      <c r="E258" s="22">
        <v>0</v>
      </c>
      <c r="F258" s="22">
        <v>0</v>
      </c>
      <c r="G258" s="22">
        <v>0</v>
      </c>
      <c r="H258" s="22">
        <v>0</v>
      </c>
      <c r="I258" s="22">
        <v>0</v>
      </c>
      <c r="J258" s="22">
        <v>0</v>
      </c>
      <c r="K258" s="22">
        <v>0</v>
      </c>
      <c r="L258" s="22">
        <v>0</v>
      </c>
      <c r="M258" s="388">
        <v>200.71496545166846</v>
      </c>
      <c r="N258" s="25">
        <v>0.44290000000000002</v>
      </c>
      <c r="O258" s="24">
        <v>0</v>
      </c>
      <c r="P258" s="24">
        <v>0</v>
      </c>
      <c r="Q258" s="24">
        <v>0</v>
      </c>
      <c r="R258" s="22">
        <v>0</v>
      </c>
      <c r="S258" s="24">
        <v>0</v>
      </c>
      <c r="T258" s="24">
        <f t="shared" si="13"/>
        <v>0</v>
      </c>
      <c r="U258" s="376">
        <v>89.15</v>
      </c>
      <c r="V258" s="376">
        <v>10.06</v>
      </c>
      <c r="W258" s="22">
        <f t="shared" si="14"/>
        <v>39.484535000000001</v>
      </c>
      <c r="X258" s="22">
        <f t="shared" si="15"/>
        <v>31.98451192125798</v>
      </c>
      <c r="Y258" s="22">
        <v>24.429115404425385</v>
      </c>
      <c r="Z258" s="22">
        <v>7.5553965168325936</v>
      </c>
      <c r="AA258" s="371">
        <v>201.2757632084203</v>
      </c>
      <c r="AB258" s="22">
        <v>0.15890890890890891</v>
      </c>
      <c r="AC258" s="24">
        <v>2.3908908908908899E-2</v>
      </c>
      <c r="AD258" s="384">
        <v>-47674.581507912524</v>
      </c>
    </row>
    <row r="259" spans="1:30">
      <c r="A259" s="21" t="s">
        <v>479</v>
      </c>
      <c r="B259" s="21" t="s">
        <v>480</v>
      </c>
      <c r="C259" s="23">
        <v>353.41103526474961</v>
      </c>
      <c r="D259" s="147">
        <v>0</v>
      </c>
      <c r="E259" s="22">
        <v>0</v>
      </c>
      <c r="F259" s="22">
        <v>0</v>
      </c>
      <c r="G259" s="22">
        <v>0</v>
      </c>
      <c r="H259" s="22">
        <v>0</v>
      </c>
      <c r="I259" s="22">
        <v>0</v>
      </c>
      <c r="J259" s="22">
        <v>0</v>
      </c>
      <c r="K259" s="22">
        <v>0</v>
      </c>
      <c r="L259" s="22">
        <v>0</v>
      </c>
      <c r="M259" s="388">
        <v>681.30575360020805</v>
      </c>
      <c r="N259" s="25">
        <v>0.50660000000000005</v>
      </c>
      <c r="O259" s="24">
        <v>0</v>
      </c>
      <c r="P259" s="24">
        <v>16.873718887592794</v>
      </c>
      <c r="Q259" s="24">
        <v>15.614486134787361</v>
      </c>
      <c r="R259" s="22">
        <v>1.2592327528054323</v>
      </c>
      <c r="S259" s="24">
        <v>2.0091588133300147</v>
      </c>
      <c r="T259" s="24">
        <f t="shared" si="13"/>
        <v>18.882877700922808</v>
      </c>
      <c r="U259" s="376">
        <v>308.13</v>
      </c>
      <c r="V259" s="376">
        <v>34.159999999999997</v>
      </c>
      <c r="W259" s="22">
        <f t="shared" si="14"/>
        <v>156.098658</v>
      </c>
      <c r="X259" s="22">
        <f t="shared" si="15"/>
        <v>80.087203078425489</v>
      </c>
      <c r="Y259" s="22">
        <v>77.568737572814626</v>
      </c>
      <c r="Z259" s="22">
        <v>2.5184655056108647</v>
      </c>
      <c r="AA259" s="371">
        <v>683.20932236211536</v>
      </c>
      <c r="AB259" s="22">
        <v>0.11722205838985549</v>
      </c>
      <c r="AC259" s="24">
        <v>0</v>
      </c>
      <c r="AD259" s="384">
        <v>0</v>
      </c>
    </row>
    <row r="260" spans="1:30">
      <c r="A260" s="21" t="s">
        <v>451</v>
      </c>
      <c r="B260" s="21" t="s">
        <v>452</v>
      </c>
      <c r="C260" s="23">
        <v>8493.5179674713036</v>
      </c>
      <c r="D260" s="147">
        <v>265.88203156202752</v>
      </c>
      <c r="E260" s="22">
        <v>1262.3544824152482</v>
      </c>
      <c r="F260" s="22">
        <v>1528.2365139772758</v>
      </c>
      <c r="G260" s="22">
        <v>390.59051910542149</v>
      </c>
      <c r="H260" s="22">
        <v>388.49094814549164</v>
      </c>
      <c r="I260" s="22">
        <v>13.712508900977351</v>
      </c>
      <c r="J260" s="22">
        <v>1328.9279596949382</v>
      </c>
      <c r="K260" s="22">
        <v>84.746318746260016</v>
      </c>
      <c r="L260" s="22">
        <v>0.61279343806565445</v>
      </c>
      <c r="M260" s="388">
        <v>28493.578871030204</v>
      </c>
      <c r="N260" s="25">
        <v>0.59830000000000005</v>
      </c>
      <c r="O260" s="24">
        <v>18244.771508847349</v>
      </c>
      <c r="P260" s="24">
        <v>1748.8224470961843</v>
      </c>
      <c r="Q260" s="24">
        <v>1112.1543672777577</v>
      </c>
      <c r="R260" s="22">
        <v>636.66807981842658</v>
      </c>
      <c r="S260" s="24">
        <v>314.68449913781353</v>
      </c>
      <c r="T260" s="24">
        <f t="shared" si="13"/>
        <v>2063.506946233998</v>
      </c>
      <c r="U260" s="376">
        <v>17095.34</v>
      </c>
      <c r="V260" s="376">
        <v>0</v>
      </c>
      <c r="W260" s="22">
        <f t="shared" si="14"/>
        <v>10228.141922000001</v>
      </c>
      <c r="X260" s="22">
        <f t="shared" si="15"/>
        <v>4446.8545432571036</v>
      </c>
      <c r="Y260" s="22">
        <v>2961.2117414972545</v>
      </c>
      <c r="Z260" s="22">
        <v>1485.6428017598489</v>
      </c>
      <c r="AA260" s="371">
        <v>28366.091495278539</v>
      </c>
      <c r="AB260" s="22">
        <v>0.15676655855098229</v>
      </c>
      <c r="AC260" s="24">
        <v>2.1766558550982279E-2</v>
      </c>
      <c r="AD260" s="384">
        <v>-5936149.5038077803</v>
      </c>
    </row>
    <row r="261" spans="1:30">
      <c r="A261" s="21" t="s">
        <v>297</v>
      </c>
      <c r="B261" s="21" t="s">
        <v>298</v>
      </c>
      <c r="C261" s="23">
        <v>27.2</v>
      </c>
      <c r="D261" s="147">
        <v>0</v>
      </c>
      <c r="E261" s="22">
        <v>8.51</v>
      </c>
      <c r="F261" s="22">
        <v>8.51</v>
      </c>
      <c r="G261" s="22">
        <v>0</v>
      </c>
      <c r="H261" s="22">
        <v>0</v>
      </c>
      <c r="I261" s="22">
        <v>0</v>
      </c>
      <c r="J261" s="22">
        <v>0</v>
      </c>
      <c r="K261" s="22">
        <v>0</v>
      </c>
      <c r="L261" s="22">
        <v>0</v>
      </c>
      <c r="M261" s="388">
        <v>71.599999999999994</v>
      </c>
      <c r="N261" s="25">
        <v>0.56410000000000005</v>
      </c>
      <c r="O261" s="24">
        <v>35</v>
      </c>
      <c r="P261" s="24">
        <v>0</v>
      </c>
      <c r="Q261" s="24">
        <v>0</v>
      </c>
      <c r="R261" s="22">
        <v>0</v>
      </c>
      <c r="S261" s="24">
        <v>0</v>
      </c>
      <c r="T261" s="24">
        <f t="shared" si="13"/>
        <v>0</v>
      </c>
      <c r="U261" s="376">
        <v>40.39</v>
      </c>
      <c r="V261" s="376">
        <v>3.58</v>
      </c>
      <c r="W261" s="22">
        <f t="shared" si="14"/>
        <v>22.783999000000001</v>
      </c>
      <c r="X261" s="22">
        <f t="shared" si="15"/>
        <v>13.5</v>
      </c>
      <c r="Y261" s="22">
        <v>12</v>
      </c>
      <c r="Z261" s="22">
        <v>1.5</v>
      </c>
      <c r="AA261" s="371">
        <v>71.599999999999994</v>
      </c>
      <c r="AB261" s="22">
        <v>0.18854748603351956</v>
      </c>
      <c r="AC261" s="24">
        <v>5.3547486033519553E-2</v>
      </c>
      <c r="AD261" s="384">
        <v>-37357.684516758942</v>
      </c>
    </row>
    <row r="262" spans="1:30">
      <c r="A262" s="21" t="s">
        <v>577</v>
      </c>
      <c r="B262" s="21" t="s">
        <v>578</v>
      </c>
      <c r="C262" s="23">
        <v>34.758447470609255</v>
      </c>
      <c r="D262" s="147">
        <v>0</v>
      </c>
      <c r="E262" s="22">
        <v>5.5653699129241403</v>
      </c>
      <c r="F262" s="22">
        <v>5.5653699129241403</v>
      </c>
      <c r="G262" s="22">
        <v>0</v>
      </c>
      <c r="H262" s="22">
        <v>3.405524188594375</v>
      </c>
      <c r="I262" s="22">
        <v>0</v>
      </c>
      <c r="J262" s="22">
        <v>0</v>
      </c>
      <c r="K262" s="22">
        <v>0</v>
      </c>
      <c r="L262" s="22">
        <v>0</v>
      </c>
      <c r="M262" s="388">
        <v>124.87926604252706</v>
      </c>
      <c r="N262" s="25">
        <v>0.4919</v>
      </c>
      <c r="O262" s="24">
        <v>66.487489348126829</v>
      </c>
      <c r="P262" s="24">
        <v>0</v>
      </c>
      <c r="Q262" s="24">
        <v>0</v>
      </c>
      <c r="R262" s="22">
        <v>0</v>
      </c>
      <c r="S262" s="24">
        <v>0</v>
      </c>
      <c r="T262" s="24">
        <f t="shared" si="13"/>
        <v>0</v>
      </c>
      <c r="U262" s="376">
        <v>61.6</v>
      </c>
      <c r="V262" s="376">
        <v>6.26</v>
      </c>
      <c r="W262" s="22">
        <f t="shared" si="14"/>
        <v>30.30104</v>
      </c>
      <c r="X262" s="22">
        <f t="shared" si="15"/>
        <v>16.873718887592794</v>
      </c>
      <c r="Y262" s="22">
        <v>14.355253381981928</v>
      </c>
      <c r="Z262" s="22">
        <v>2.5184655056108647</v>
      </c>
      <c r="AA262" s="371">
        <v>125.22817880099463</v>
      </c>
      <c r="AB262" s="22">
        <v>0.13474378569704773</v>
      </c>
      <c r="AC262" s="24">
        <v>0</v>
      </c>
      <c r="AD262" s="384">
        <v>0</v>
      </c>
    </row>
    <row r="263" spans="1:30">
      <c r="A263" s="21" t="s">
        <v>449</v>
      </c>
      <c r="B263" s="21" t="s">
        <v>450</v>
      </c>
      <c r="C263" s="23">
        <v>1333.2978801139311</v>
      </c>
      <c r="D263" s="147">
        <v>79.542597419735287</v>
      </c>
      <c r="E263" s="22">
        <v>338.73413013337381</v>
      </c>
      <c r="F263" s="22">
        <v>418.27672755310908</v>
      </c>
      <c r="G263" s="22">
        <v>0</v>
      </c>
      <c r="H263" s="22">
        <v>62.977083003829307</v>
      </c>
      <c r="I263" s="22">
        <v>3.4457073648609753</v>
      </c>
      <c r="J263" s="22">
        <v>271.5579052096848</v>
      </c>
      <c r="K263" s="22">
        <v>6.6302240839890478</v>
      </c>
      <c r="L263" s="22">
        <v>0</v>
      </c>
      <c r="M263" s="388">
        <v>4581.766124270298</v>
      </c>
      <c r="N263" s="25">
        <v>0.29210000000000003</v>
      </c>
      <c r="O263" s="24">
        <v>17.125565438153878</v>
      </c>
      <c r="P263" s="24">
        <v>124.66404252773779</v>
      </c>
      <c r="Q263" s="24">
        <v>84.368594437963964</v>
      </c>
      <c r="R263" s="22">
        <v>40.295448089773835</v>
      </c>
      <c r="S263" s="24">
        <v>23.105326353295169</v>
      </c>
      <c r="T263" s="24">
        <f t="shared" si="13"/>
        <v>147.76936888103296</v>
      </c>
      <c r="U263" s="376">
        <v>1342.07</v>
      </c>
      <c r="V263" s="376">
        <v>229.73</v>
      </c>
      <c r="W263" s="22">
        <f t="shared" si="14"/>
        <v>392.01864700000004</v>
      </c>
      <c r="X263" s="22">
        <f t="shared" si="15"/>
        <v>630.12006950383829</v>
      </c>
      <c r="Y263" s="22">
        <v>360.39241385291473</v>
      </c>
      <c r="Z263" s="22">
        <v>269.72765565092362</v>
      </c>
      <c r="AA263" s="371">
        <v>4596.6427976688146</v>
      </c>
      <c r="AB263" s="22">
        <v>0.1370826703835685</v>
      </c>
      <c r="AC263" s="24">
        <v>2.0826703835684912E-3</v>
      </c>
      <c r="AD263" s="384">
        <v>-101550.86900109901</v>
      </c>
    </row>
    <row r="264" spans="1:30">
      <c r="A264" s="21" t="s">
        <v>115</v>
      </c>
      <c r="B264" s="21" t="s">
        <v>116</v>
      </c>
      <c r="C264" s="23">
        <v>9</v>
      </c>
      <c r="D264" s="147">
        <v>0</v>
      </c>
      <c r="E264" s="22">
        <v>0</v>
      </c>
      <c r="F264" s="22">
        <v>0</v>
      </c>
      <c r="G264" s="22">
        <v>0</v>
      </c>
      <c r="H264" s="22">
        <v>0</v>
      </c>
      <c r="I264" s="22">
        <v>0</v>
      </c>
      <c r="J264" s="22">
        <v>0</v>
      </c>
      <c r="K264" s="22">
        <v>0</v>
      </c>
      <c r="L264" s="22">
        <v>0</v>
      </c>
      <c r="M264" s="388">
        <v>13</v>
      </c>
      <c r="N264" s="25">
        <v>0</v>
      </c>
      <c r="O264" s="24">
        <v>0</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13.4</v>
      </c>
      <c r="D265" s="147">
        <v>0</v>
      </c>
      <c r="E265" s="22">
        <v>0</v>
      </c>
      <c r="F265" s="22">
        <v>0</v>
      </c>
      <c r="G265" s="22">
        <v>0</v>
      </c>
      <c r="H265" s="22">
        <v>0</v>
      </c>
      <c r="I265" s="22">
        <v>0</v>
      </c>
      <c r="J265" s="22">
        <v>235.8</v>
      </c>
      <c r="K265" s="22">
        <v>0</v>
      </c>
      <c r="L265" s="22">
        <v>0</v>
      </c>
      <c r="M265" s="388">
        <v>264.2</v>
      </c>
      <c r="N265" s="25">
        <v>0.79169999999999996</v>
      </c>
      <c r="O265" s="24">
        <v>24</v>
      </c>
      <c r="P265" s="24">
        <v>0</v>
      </c>
      <c r="Q265" s="24">
        <v>0</v>
      </c>
      <c r="R265" s="22">
        <v>0</v>
      </c>
      <c r="S265" s="24">
        <v>0</v>
      </c>
      <c r="T265" s="24">
        <f t="shared" ref="T265:T325" si="16">S265+P265</f>
        <v>0</v>
      </c>
      <c r="U265" s="376">
        <v>237.78</v>
      </c>
      <c r="V265" s="376">
        <v>0</v>
      </c>
      <c r="W265" s="22">
        <f t="shared" ref="W265:W325" si="17">U265*N265</f>
        <v>188.250426</v>
      </c>
      <c r="X265" s="22">
        <f t="shared" ref="X265:X325" si="18">Y265+Z265</f>
        <v>27</v>
      </c>
      <c r="Y265" s="22">
        <v>27</v>
      </c>
      <c r="Z265" s="22">
        <v>0</v>
      </c>
      <c r="AA265" s="371">
        <v>264.2</v>
      </c>
      <c r="AB265" s="22">
        <v>0.10219530658591976</v>
      </c>
      <c r="AC265" s="24">
        <v>0</v>
      </c>
      <c r="AD265" s="384">
        <v>0</v>
      </c>
    </row>
    <row r="266" spans="1:30">
      <c r="A266" s="21" t="s">
        <v>31</v>
      </c>
      <c r="B266" s="21" t="s">
        <v>32</v>
      </c>
      <c r="C266" s="23">
        <v>2</v>
      </c>
      <c r="D266" s="147">
        <v>0</v>
      </c>
      <c r="E266" s="22">
        <v>0</v>
      </c>
      <c r="F266" s="22">
        <v>0</v>
      </c>
      <c r="G266" s="22">
        <v>0</v>
      </c>
      <c r="H266" s="22">
        <v>0</v>
      </c>
      <c r="I266" s="22">
        <v>0</v>
      </c>
      <c r="J266" s="22">
        <v>0</v>
      </c>
      <c r="K266" s="22">
        <v>0</v>
      </c>
      <c r="L266" s="22">
        <v>0</v>
      </c>
      <c r="M266" s="388">
        <v>11</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936.28809859992009</v>
      </c>
      <c r="D267" s="147">
        <v>22.150975916963411</v>
      </c>
      <c r="E267" s="22">
        <v>236.33735121200962</v>
      </c>
      <c r="F267" s="22">
        <v>258.48832712897303</v>
      </c>
      <c r="G267" s="22">
        <v>0</v>
      </c>
      <c r="H267" s="22">
        <v>156.83493696854094</v>
      </c>
      <c r="I267" s="22">
        <v>3.4457073648609753</v>
      </c>
      <c r="J267" s="22">
        <v>85.178287891125962</v>
      </c>
      <c r="K267" s="22">
        <v>14.666859337309107</v>
      </c>
      <c r="L267" s="22">
        <v>0</v>
      </c>
      <c r="M267" s="388">
        <v>3141.9727812558103</v>
      </c>
      <c r="N267" s="25">
        <v>0.23480000000000001</v>
      </c>
      <c r="O267" s="24">
        <v>39.288061887529487</v>
      </c>
      <c r="P267" s="24">
        <v>105.02001158397306</v>
      </c>
      <c r="Q267" s="24">
        <v>71.020727258226387</v>
      </c>
      <c r="R267" s="22">
        <v>33.999284325746672</v>
      </c>
      <c r="S267" s="24">
        <v>24.361050611626428</v>
      </c>
      <c r="T267" s="24">
        <f t="shared" si="16"/>
        <v>129.3810621955995</v>
      </c>
      <c r="U267" s="376">
        <v>738.85</v>
      </c>
      <c r="V267" s="376">
        <v>157.54</v>
      </c>
      <c r="W267" s="22">
        <f t="shared" si="17"/>
        <v>173.48198000000002</v>
      </c>
      <c r="X267" s="22">
        <f t="shared" si="18"/>
        <v>400.43601539212744</v>
      </c>
      <c r="Y267" s="22">
        <v>254.36501606669731</v>
      </c>
      <c r="Z267" s="22">
        <v>146.07099932543014</v>
      </c>
      <c r="AA267" s="371">
        <v>3177.8400704278788</v>
      </c>
      <c r="AB267" s="22">
        <v>0.12600886341590214</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38.599999999999994</v>
      </c>
      <c r="N268" s="25">
        <v>0</v>
      </c>
      <c r="O268" s="24">
        <v>0</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-5301.8316930772662</v>
      </c>
    </row>
    <row r="269" spans="1:30">
      <c r="A269" s="21" t="s">
        <v>421</v>
      </c>
      <c r="B269" s="21" t="s">
        <v>422</v>
      </c>
      <c r="C269" s="23">
        <v>205.56708398586045</v>
      </c>
      <c r="D269" s="147">
        <v>8.9206651311852667</v>
      </c>
      <c r="E269" s="22">
        <v>49.204299338452053</v>
      </c>
      <c r="F269" s="22">
        <v>58.12496446963732</v>
      </c>
      <c r="G269" s="22">
        <v>0</v>
      </c>
      <c r="H269" s="22">
        <v>2.4913569285292181</v>
      </c>
      <c r="I269" s="22">
        <v>0.15068691099975109</v>
      </c>
      <c r="J269" s="22">
        <v>0</v>
      </c>
      <c r="K269" s="22">
        <v>3.2146541013280236</v>
      </c>
      <c r="L269" s="22">
        <v>0</v>
      </c>
      <c r="M269" s="388">
        <v>787.39938473809934</v>
      </c>
      <c r="N269" s="25">
        <v>0.51949999999999996</v>
      </c>
      <c r="O269" s="24">
        <v>798.85725837976622</v>
      </c>
      <c r="P269" s="24">
        <v>18.636644741520399</v>
      </c>
      <c r="Q269" s="24">
        <v>15.110793033665187</v>
      </c>
      <c r="R269" s="22">
        <v>3.5258517078552103</v>
      </c>
      <c r="S269" s="24">
        <v>3.0137382199950222</v>
      </c>
      <c r="T269" s="24">
        <f t="shared" si="16"/>
        <v>21.650382961515422</v>
      </c>
      <c r="U269" s="376">
        <v>409.72</v>
      </c>
      <c r="V269" s="376">
        <v>39.479999999999997</v>
      </c>
      <c r="W269" s="22">
        <f t="shared" si="17"/>
        <v>212.84953999999999</v>
      </c>
      <c r="X269" s="22">
        <f t="shared" si="18"/>
        <v>133.73051834793691</v>
      </c>
      <c r="Y269" s="22">
        <v>81.34643583123092</v>
      </c>
      <c r="Z269" s="22">
        <v>52.38408251670598</v>
      </c>
      <c r="AA269" s="371">
        <v>790.40528814293623</v>
      </c>
      <c r="AB269" s="22">
        <v>0.16919233759447366</v>
      </c>
      <c r="AC269" s="24">
        <v>3.4192337594473654E-2</v>
      </c>
      <c r="AD269" s="384">
        <v>-250971.05355323124</v>
      </c>
    </row>
    <row r="270" spans="1:30">
      <c r="A270" s="21" t="s">
        <v>443</v>
      </c>
      <c r="B270" s="21" t="s">
        <v>444</v>
      </c>
      <c r="C270" s="23">
        <v>597.9256628470124</v>
      </c>
      <c r="D270" s="147">
        <v>0</v>
      </c>
      <c r="E270" s="22">
        <v>146.43754010955814</v>
      </c>
      <c r="F270" s="22">
        <v>146.43754010955814</v>
      </c>
      <c r="G270" s="22">
        <v>0</v>
      </c>
      <c r="H270" s="22">
        <v>14.747225689842308</v>
      </c>
      <c r="I270" s="22">
        <v>0.59270184993235431</v>
      </c>
      <c r="J270" s="22">
        <v>91.959198886114763</v>
      </c>
      <c r="K270" s="22">
        <v>11.05037347331508</v>
      </c>
      <c r="L270" s="22">
        <v>0</v>
      </c>
      <c r="M270" s="388">
        <v>1941.6309856139931</v>
      </c>
      <c r="N270" s="25">
        <v>0.55559999999999998</v>
      </c>
      <c r="O270" s="24">
        <v>1913.0263980620127</v>
      </c>
      <c r="P270" s="24">
        <v>216.33618693197326</v>
      </c>
      <c r="Q270" s="24">
        <v>150.35239068496861</v>
      </c>
      <c r="R270" s="22">
        <v>65.983796247004648</v>
      </c>
      <c r="S270" s="24">
        <v>46.712942409922839</v>
      </c>
      <c r="T270" s="24">
        <f t="shared" si="16"/>
        <v>263.0491293418961</v>
      </c>
      <c r="U270" s="376">
        <v>1081.78</v>
      </c>
      <c r="V270" s="376">
        <v>97.35</v>
      </c>
      <c r="W270" s="22">
        <f t="shared" si="17"/>
        <v>601.036968</v>
      </c>
      <c r="X270" s="22">
        <f t="shared" si="18"/>
        <v>322.86727781931279</v>
      </c>
      <c r="Y270" s="22">
        <v>160.42625270741206</v>
      </c>
      <c r="Z270" s="22">
        <v>162.44102511190076</v>
      </c>
      <c r="AA270" s="371">
        <v>1957.734197717617</v>
      </c>
      <c r="AB270" s="22">
        <v>0.16491885272051782</v>
      </c>
      <c r="AC270" s="24">
        <v>2.9918852720517808E-2</v>
      </c>
      <c r="AD270" s="384">
        <v>-622951.62381013937</v>
      </c>
    </row>
    <row r="271" spans="1:30">
      <c r="A271" s="21" t="s">
        <v>1022</v>
      </c>
      <c r="B271" s="21" t="s">
        <v>1040</v>
      </c>
      <c r="C271" s="23">
        <v>0</v>
      </c>
      <c r="D271" s="147">
        <v>0</v>
      </c>
      <c r="E271" s="22">
        <v>0</v>
      </c>
      <c r="F271" s="22">
        <v>0</v>
      </c>
      <c r="G271" s="22">
        <v>0</v>
      </c>
      <c r="H271" s="22">
        <v>6.7206362305888998</v>
      </c>
      <c r="I271" s="22">
        <v>0.25114485166625183</v>
      </c>
      <c r="J271" s="22">
        <v>0</v>
      </c>
      <c r="K271" s="22">
        <v>0</v>
      </c>
      <c r="L271" s="22">
        <v>0</v>
      </c>
      <c r="M271" s="388">
        <v>469.58059785149106</v>
      </c>
      <c r="N271" s="25">
        <v>0.52980000000000005</v>
      </c>
      <c r="O271" s="24">
        <v>467.42719784137648</v>
      </c>
      <c r="P271" s="24">
        <v>74.798425516642681</v>
      </c>
      <c r="Q271" s="24">
        <v>12.592327528054323</v>
      </c>
      <c r="R271" s="22">
        <v>62.206097988588354</v>
      </c>
      <c r="S271" s="24">
        <v>16.826705061638872</v>
      </c>
      <c r="T271" s="24">
        <f t="shared" si="16"/>
        <v>91.625130578281556</v>
      </c>
      <c r="U271" s="376">
        <v>249.48</v>
      </c>
      <c r="V271" s="376">
        <v>23.54</v>
      </c>
      <c r="W271" s="22">
        <f t="shared" si="17"/>
        <v>132.17450400000001</v>
      </c>
      <c r="X271" s="22">
        <f t="shared" si="18"/>
        <v>84.87228753908613</v>
      </c>
      <c r="Y271" s="22">
        <v>83.109361685158532</v>
      </c>
      <c r="Z271" s="22">
        <v>1.7629258539276051</v>
      </c>
      <c r="AA271" s="371">
        <v>470.9127541011419</v>
      </c>
      <c r="AB271" s="22">
        <v>0.18022932443417616</v>
      </c>
      <c r="AC271" s="24">
        <v>4.5229324434176155E-2</v>
      </c>
      <c r="AD271" s="384">
        <v>-208439.36501607753</v>
      </c>
    </row>
    <row r="272" spans="1:30">
      <c r="A272" s="21" t="s">
        <v>391</v>
      </c>
      <c r="B272" s="21" t="s">
        <v>392</v>
      </c>
      <c r="C272" s="23">
        <v>0</v>
      </c>
      <c r="D272" s="147">
        <v>0</v>
      </c>
      <c r="E272" s="22">
        <v>0</v>
      </c>
      <c r="F272" s="22">
        <v>0</v>
      </c>
      <c r="G272" s="22">
        <v>0</v>
      </c>
      <c r="H272" s="22">
        <v>0</v>
      </c>
      <c r="I272" s="22">
        <v>0</v>
      </c>
      <c r="J272" s="22">
        <v>0</v>
      </c>
      <c r="K272" s="22">
        <v>0</v>
      </c>
      <c r="L272" s="22">
        <v>0</v>
      </c>
      <c r="M272" s="388">
        <v>179.41788203037029</v>
      </c>
      <c r="N272" s="25">
        <v>0.66490000000000005</v>
      </c>
      <c r="O272" s="24">
        <v>182.3369026062266</v>
      </c>
      <c r="P272" s="24">
        <v>16.873718887592794</v>
      </c>
      <c r="Q272" s="24">
        <v>0</v>
      </c>
      <c r="R272" s="22">
        <v>16.873718887592794</v>
      </c>
      <c r="S272" s="24">
        <v>0</v>
      </c>
      <c r="T272" s="24">
        <f t="shared" si="16"/>
        <v>16.873718887592794</v>
      </c>
      <c r="U272" s="376">
        <v>119.63</v>
      </c>
      <c r="V272" s="376">
        <v>9</v>
      </c>
      <c r="W272" s="22">
        <f t="shared" si="17"/>
        <v>79.541987000000006</v>
      </c>
      <c r="X272" s="22">
        <f t="shared" si="18"/>
        <v>27.199427460597338</v>
      </c>
      <c r="Y272" s="22">
        <v>25.184655056108646</v>
      </c>
      <c r="Z272" s="22">
        <v>2.0147724044886917</v>
      </c>
      <c r="AA272" s="371">
        <v>179.91917572084017</v>
      </c>
      <c r="AB272" s="22">
        <v>0.15117581187010079</v>
      </c>
      <c r="AC272" s="24">
        <v>1.6175811870100781E-2</v>
      </c>
      <c r="AD272" s="384">
        <v>-28094.342060141102</v>
      </c>
    </row>
    <row r="273" spans="1:30">
      <c r="A273" s="21" t="s">
        <v>221</v>
      </c>
      <c r="B273" s="21" t="s">
        <v>222</v>
      </c>
      <c r="C273" s="23">
        <v>0</v>
      </c>
      <c r="D273" s="147">
        <v>0</v>
      </c>
      <c r="E273" s="22">
        <v>0</v>
      </c>
      <c r="F273" s="22">
        <v>0</v>
      </c>
      <c r="G273" s="22">
        <v>0</v>
      </c>
      <c r="H273" s="22">
        <v>4.0585008029266296</v>
      </c>
      <c r="I273" s="22">
        <v>0.18082429319970131</v>
      </c>
      <c r="J273" s="22">
        <v>0</v>
      </c>
      <c r="K273" s="22">
        <v>0</v>
      </c>
      <c r="L273" s="22">
        <v>0</v>
      </c>
      <c r="M273" s="388">
        <v>308.4761984046238</v>
      </c>
      <c r="N273" s="25">
        <v>0.37430000000000002</v>
      </c>
      <c r="O273" s="24">
        <v>0</v>
      </c>
      <c r="P273" s="24">
        <v>49.613770460534035</v>
      </c>
      <c r="Q273" s="24">
        <v>0</v>
      </c>
      <c r="R273" s="22">
        <v>49.613770460534035</v>
      </c>
      <c r="S273" s="24">
        <v>0.25114485166625183</v>
      </c>
      <c r="T273" s="24">
        <f t="shared" si="16"/>
        <v>49.864915312200289</v>
      </c>
      <c r="U273" s="376">
        <v>115.79</v>
      </c>
      <c r="V273" s="376">
        <v>15.47</v>
      </c>
      <c r="W273" s="22">
        <f t="shared" si="17"/>
        <v>43.340197000000003</v>
      </c>
      <c r="X273" s="22">
        <f t="shared" si="18"/>
        <v>59.435785932416408</v>
      </c>
      <c r="Y273" s="22">
        <v>58.932092831294234</v>
      </c>
      <c r="Z273" s="22">
        <v>0.50369310112217291</v>
      </c>
      <c r="AA273" s="371">
        <v>309.89214353440565</v>
      </c>
      <c r="AB273" s="22">
        <v>0.19179507184188285</v>
      </c>
      <c r="AC273" s="24">
        <v>5.6795071841882844E-2</v>
      </c>
      <c r="AD273" s="384">
        <v>-176629.75111938969</v>
      </c>
    </row>
    <row r="274" spans="1:30">
      <c r="A274" s="21" t="s">
        <v>495</v>
      </c>
      <c r="B274" s="21" t="s">
        <v>496</v>
      </c>
      <c r="C274" s="23">
        <v>35.6</v>
      </c>
      <c r="D274" s="147">
        <v>0</v>
      </c>
      <c r="E274" s="22">
        <v>0</v>
      </c>
      <c r="F274" s="22">
        <v>0</v>
      </c>
      <c r="G274" s="22">
        <v>0</v>
      </c>
      <c r="H274" s="22">
        <v>0</v>
      </c>
      <c r="I274" s="22">
        <v>0</v>
      </c>
      <c r="J274" s="22">
        <v>0</v>
      </c>
      <c r="K274" s="22">
        <v>0</v>
      </c>
      <c r="L274" s="22">
        <v>0</v>
      </c>
      <c r="M274" s="388">
        <v>71.69</v>
      </c>
      <c r="N274" s="25">
        <v>0.84930000000000005</v>
      </c>
      <c r="O274" s="24">
        <v>73</v>
      </c>
      <c r="P274" s="24">
        <v>0</v>
      </c>
      <c r="Q274" s="24">
        <v>0</v>
      </c>
      <c r="R274" s="22">
        <v>0</v>
      </c>
      <c r="S274" s="24">
        <v>0</v>
      </c>
      <c r="T274" s="24">
        <f t="shared" si="16"/>
        <v>0</v>
      </c>
      <c r="U274" s="376">
        <v>60.89</v>
      </c>
      <c r="V274" s="376">
        <v>3.58</v>
      </c>
      <c r="W274" s="22">
        <f t="shared" si="17"/>
        <v>51.713877000000004</v>
      </c>
      <c r="X274" s="22">
        <f t="shared" si="18"/>
        <v>8.5</v>
      </c>
      <c r="Y274" s="22">
        <v>5.25</v>
      </c>
      <c r="Z274" s="22">
        <v>3.25</v>
      </c>
      <c r="AA274" s="371">
        <v>71.69</v>
      </c>
      <c r="AB274" s="22">
        <v>0.11856604826335612</v>
      </c>
      <c r="AC274" s="24">
        <v>0</v>
      </c>
      <c r="AD274" s="384">
        <v>0</v>
      </c>
    </row>
    <row r="275" spans="1:30">
      <c r="A275" s="21" t="s">
        <v>371</v>
      </c>
      <c r="B275" s="21" t="s">
        <v>372</v>
      </c>
      <c r="C275" s="23">
        <v>2843.0702245967041</v>
      </c>
      <c r="D275" s="147">
        <v>111.85991693214856</v>
      </c>
      <c r="E275" s="22">
        <v>546.0491822868313</v>
      </c>
      <c r="F275" s="22">
        <v>657.90909921897992</v>
      </c>
      <c r="G275" s="22">
        <v>0</v>
      </c>
      <c r="H275" s="22">
        <v>206.01914471885971</v>
      </c>
      <c r="I275" s="22">
        <v>6.7005446424555988</v>
      </c>
      <c r="J275" s="22">
        <v>154.22303051121193</v>
      </c>
      <c r="K275" s="22">
        <v>0</v>
      </c>
      <c r="L275" s="22">
        <v>0</v>
      </c>
      <c r="M275" s="388">
        <v>9919.9905875534132</v>
      </c>
      <c r="N275" s="25">
        <v>0.29110000000000003</v>
      </c>
      <c r="O275" s="24">
        <v>436.19822557180174</v>
      </c>
      <c r="P275" s="24">
        <v>415.29496187523159</v>
      </c>
      <c r="Q275" s="24">
        <v>246.05407989818147</v>
      </c>
      <c r="R275" s="22">
        <v>169.24088197705009</v>
      </c>
      <c r="S275" s="24">
        <v>74.08773124154429</v>
      </c>
      <c r="T275" s="24">
        <f t="shared" si="16"/>
        <v>489.3826931167759</v>
      </c>
      <c r="U275" s="376">
        <v>2895.78</v>
      </c>
      <c r="V275" s="376">
        <v>497.39</v>
      </c>
      <c r="W275" s="22">
        <f t="shared" si="17"/>
        <v>842.96155800000008</v>
      </c>
      <c r="X275" s="22">
        <f t="shared" si="18"/>
        <v>1168.8198411540022</v>
      </c>
      <c r="Y275" s="22">
        <v>722.29590700919596</v>
      </c>
      <c r="Z275" s="22">
        <v>446.52393414480628</v>
      </c>
      <c r="AA275" s="371">
        <v>10019.483315246309</v>
      </c>
      <c r="AB275" s="22">
        <v>0.11665470208183776</v>
      </c>
      <c r="AC275" s="24">
        <v>0</v>
      </c>
      <c r="AD275" s="384">
        <v>0</v>
      </c>
    </row>
    <row r="276" spans="1:30">
      <c r="A276" s="21" t="s">
        <v>595</v>
      </c>
      <c r="B276" s="21" t="s">
        <v>596</v>
      </c>
      <c r="C276" s="23">
        <v>1795.0226670053016</v>
      </c>
      <c r="D276" s="147">
        <v>0</v>
      </c>
      <c r="E276" s="22">
        <v>265.75143623916108</v>
      </c>
      <c r="F276" s="22">
        <v>265.75143623916108</v>
      </c>
      <c r="G276" s="22">
        <v>0</v>
      </c>
      <c r="H276" s="22">
        <v>84.977372009792973</v>
      </c>
      <c r="I276" s="22">
        <v>7.9261315185869075</v>
      </c>
      <c r="J276" s="22">
        <v>28.650604678086008</v>
      </c>
      <c r="K276" s="22">
        <v>4.0183176266600293</v>
      </c>
      <c r="L276" s="22">
        <v>0</v>
      </c>
      <c r="M276" s="388">
        <v>6471.6311330588433</v>
      </c>
      <c r="N276" s="25">
        <v>0.93879999999999997</v>
      </c>
      <c r="O276" s="24">
        <v>6532.8995215545829</v>
      </c>
      <c r="P276" s="24">
        <v>2026.6091923650629</v>
      </c>
      <c r="Q276" s="24">
        <v>1244.8774994234504</v>
      </c>
      <c r="R276" s="22">
        <v>781.73169294161232</v>
      </c>
      <c r="S276" s="24">
        <v>239.34104363793799</v>
      </c>
      <c r="T276" s="24">
        <f t="shared" si="16"/>
        <v>2265.950236003001</v>
      </c>
      <c r="U276" s="376">
        <v>6092.54</v>
      </c>
      <c r="V276" s="376">
        <v>324.49</v>
      </c>
      <c r="W276" s="22">
        <f t="shared" si="17"/>
        <v>5719.6765519999999</v>
      </c>
      <c r="X276" s="22">
        <f t="shared" si="18"/>
        <v>866.85582703125965</v>
      </c>
      <c r="Y276" s="22">
        <v>361.14795350459798</v>
      </c>
      <c r="Z276" s="22">
        <v>505.70787352666161</v>
      </c>
      <c r="AA276" s="371">
        <v>6527.9129598534737</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-59999.99854359615</v>
      </c>
    </row>
    <row r="278" spans="1:30">
      <c r="A278" s="21" t="s">
        <v>365</v>
      </c>
      <c r="B278" s="21" t="s">
        <v>366</v>
      </c>
      <c r="C278" s="23">
        <v>7838.3714616206535</v>
      </c>
      <c r="D278" s="147">
        <v>289.33896070765542</v>
      </c>
      <c r="E278" s="22">
        <v>1672.7452616260368</v>
      </c>
      <c r="F278" s="22">
        <v>1962.0842223336922</v>
      </c>
      <c r="G278" s="22">
        <v>0</v>
      </c>
      <c r="H278" s="22">
        <v>405.69939338166324</v>
      </c>
      <c r="I278" s="22">
        <v>22.552807679629414</v>
      </c>
      <c r="J278" s="22">
        <v>1579.1385525129917</v>
      </c>
      <c r="K278" s="22">
        <v>242.53560615113273</v>
      </c>
      <c r="L278" s="22">
        <v>13.501547225577697</v>
      </c>
      <c r="M278" s="388">
        <v>27398.52704300094</v>
      </c>
      <c r="N278" s="25">
        <v>0.57699999999999996</v>
      </c>
      <c r="O278" s="24">
        <v>18143.025502420667</v>
      </c>
      <c r="P278" s="24">
        <v>2979.1331420351817</v>
      </c>
      <c r="Q278" s="24">
        <v>1829.161496725171</v>
      </c>
      <c r="R278" s="22">
        <v>1149.9716453100104</v>
      </c>
      <c r="S278" s="24">
        <v>478.68208727587597</v>
      </c>
      <c r="T278" s="24">
        <f t="shared" si="16"/>
        <v>3457.8152293110575</v>
      </c>
      <c r="U278" s="376">
        <v>15853.12</v>
      </c>
      <c r="V278" s="376">
        <v>1373.75</v>
      </c>
      <c r="W278" s="22">
        <f t="shared" si="17"/>
        <v>9147.2502399999994</v>
      </c>
      <c r="X278" s="22">
        <f t="shared" si="18"/>
        <v>3949.2057593483969</v>
      </c>
      <c r="Y278" s="22">
        <v>2434.6006042740228</v>
      </c>
      <c r="Z278" s="22">
        <v>1514.6051550743739</v>
      </c>
      <c r="AA278" s="371">
        <v>27659.671994816712</v>
      </c>
      <c r="AB278" s="22">
        <v>0.14277847402125587</v>
      </c>
      <c r="AC278" s="24">
        <v>7.7784740212558656E-3</v>
      </c>
      <c r="AD278" s="384">
        <v>-2191856.3796859994</v>
      </c>
    </row>
    <row r="279" spans="1:30">
      <c r="A279" s="21" t="s">
        <v>153</v>
      </c>
      <c r="B279" s="21" t="s">
        <v>154</v>
      </c>
      <c r="C279" s="23">
        <v>38.97768097860228</v>
      </c>
      <c r="D279" s="147">
        <v>0</v>
      </c>
      <c r="E279" s="22">
        <v>3.5963942758607264</v>
      </c>
      <c r="F279" s="22">
        <v>3.5963942758607264</v>
      </c>
      <c r="G279" s="22">
        <v>0</v>
      </c>
      <c r="H279" s="22">
        <v>0</v>
      </c>
      <c r="I279" s="22">
        <v>0</v>
      </c>
      <c r="J279" s="22">
        <v>0</v>
      </c>
      <c r="K279" s="22">
        <v>0</v>
      </c>
      <c r="L279" s="22">
        <v>0</v>
      </c>
      <c r="M279" s="388">
        <v>159.49707239620321</v>
      </c>
      <c r="N279" s="25">
        <v>0.77329999999999999</v>
      </c>
      <c r="O279" s="24">
        <v>161.18179235909534</v>
      </c>
      <c r="P279" s="24">
        <v>0</v>
      </c>
      <c r="Q279" s="24">
        <v>0</v>
      </c>
      <c r="R279" s="22">
        <v>0</v>
      </c>
      <c r="S279" s="24">
        <v>0</v>
      </c>
      <c r="T279" s="24">
        <f t="shared" si="16"/>
        <v>0</v>
      </c>
      <c r="U279" s="376">
        <v>123.68</v>
      </c>
      <c r="V279" s="376">
        <v>0</v>
      </c>
      <c r="W279" s="22">
        <f t="shared" si="17"/>
        <v>95.641744000000003</v>
      </c>
      <c r="X279" s="22">
        <f t="shared" si="18"/>
        <v>42.05837394370144</v>
      </c>
      <c r="Y279" s="22">
        <v>39.036215336968404</v>
      </c>
      <c r="Z279" s="22">
        <v>3.0221586067330373</v>
      </c>
      <c r="AA279" s="371">
        <v>159.9427073303348</v>
      </c>
      <c r="AB279" s="22">
        <v>0.26295899729167976</v>
      </c>
      <c r="AC279" s="24">
        <v>0.12795899729167975</v>
      </c>
      <c r="AD279" s="384">
        <v>-190541.47613158572</v>
      </c>
    </row>
    <row r="280" spans="1:30">
      <c r="A280" s="21" t="s">
        <v>207</v>
      </c>
      <c r="B280" s="21" t="s">
        <v>208</v>
      </c>
      <c r="C280" s="23">
        <v>2598.4852764559746</v>
      </c>
      <c r="D280" s="147">
        <v>38.425162304936528</v>
      </c>
      <c r="E280" s="22">
        <v>531.37227715545566</v>
      </c>
      <c r="F280" s="22">
        <v>569.79743946039218</v>
      </c>
      <c r="G280" s="22">
        <v>0</v>
      </c>
      <c r="H280" s="22">
        <v>190.33766018081894</v>
      </c>
      <c r="I280" s="22">
        <v>17.359132147171326</v>
      </c>
      <c r="J280" s="22">
        <v>0</v>
      </c>
      <c r="K280" s="22">
        <v>14.626676161042507</v>
      </c>
      <c r="L280" s="22">
        <v>1.245678464264609</v>
      </c>
      <c r="M280" s="388">
        <v>8708.176495087484</v>
      </c>
      <c r="N280" s="25">
        <v>0.13159999999999999</v>
      </c>
      <c r="O280" s="24">
        <v>0</v>
      </c>
      <c r="P280" s="24">
        <v>358.62948799898714</v>
      </c>
      <c r="Q280" s="24">
        <v>298.43816241488747</v>
      </c>
      <c r="R280" s="22">
        <v>60.191325584099665</v>
      </c>
      <c r="S280" s="24">
        <v>123.5632670197959</v>
      </c>
      <c r="T280" s="24">
        <f t="shared" si="16"/>
        <v>482.19275501878303</v>
      </c>
      <c r="U280" s="376">
        <v>1150.07</v>
      </c>
      <c r="V280" s="376">
        <v>436.63</v>
      </c>
      <c r="W280" s="22">
        <f t="shared" si="17"/>
        <v>151.34921199999999</v>
      </c>
      <c r="X280" s="22">
        <f t="shared" si="18"/>
        <v>1016.9563711656672</v>
      </c>
      <c r="Y280" s="22">
        <v>518.04835450415487</v>
      </c>
      <c r="Z280" s="22">
        <v>498.90801666151225</v>
      </c>
      <c r="AA280" s="371">
        <v>8744.0719400328308</v>
      </c>
      <c r="AB280" s="22">
        <v>0.11630237927363724</v>
      </c>
      <c r="AC280" s="24">
        <v>0</v>
      </c>
      <c r="AD280" s="384">
        <v>0</v>
      </c>
    </row>
    <row r="281" spans="1:30">
      <c r="A281" s="21" t="s">
        <v>559</v>
      </c>
      <c r="B281" s="21" t="s">
        <v>560</v>
      </c>
      <c r="C281" s="23">
        <v>55.71397389364131</v>
      </c>
      <c r="D281" s="147">
        <v>3.3151120419945239</v>
      </c>
      <c r="E281" s="22">
        <v>21.588411449231007</v>
      </c>
      <c r="F281" s="22">
        <v>24.903523491225531</v>
      </c>
      <c r="G281" s="22">
        <v>0</v>
      </c>
      <c r="H281" s="22">
        <v>5.3041792671912393</v>
      </c>
      <c r="I281" s="22">
        <v>0</v>
      </c>
      <c r="J281" s="22">
        <v>6.3388960560561962</v>
      </c>
      <c r="K281" s="22">
        <v>0</v>
      </c>
      <c r="L281" s="22">
        <v>0</v>
      </c>
      <c r="M281" s="388">
        <v>192.93952084408133</v>
      </c>
      <c r="N281" s="25">
        <v>0.65629999999999999</v>
      </c>
      <c r="O281" s="24">
        <v>193.41815083091439</v>
      </c>
      <c r="P281" s="24">
        <v>0</v>
      </c>
      <c r="Q281" s="24">
        <v>0</v>
      </c>
      <c r="R281" s="22">
        <v>0</v>
      </c>
      <c r="S281" s="24">
        <v>0</v>
      </c>
      <c r="T281" s="24">
        <f t="shared" si="16"/>
        <v>0</v>
      </c>
      <c r="U281" s="376">
        <v>121.93</v>
      </c>
      <c r="V281" s="376">
        <v>0</v>
      </c>
      <c r="W281" s="22">
        <f t="shared" si="17"/>
        <v>80.022659000000004</v>
      </c>
      <c r="X281" s="22">
        <f t="shared" si="18"/>
        <v>37.525136033601882</v>
      </c>
      <c r="Y281" s="22">
        <v>28.458660213402769</v>
      </c>
      <c r="Z281" s="22">
        <v>9.0664758201991127</v>
      </c>
      <c r="AA281" s="371">
        <v>193.48866786507151</v>
      </c>
      <c r="AB281" s="22">
        <v>0.1939397094809184</v>
      </c>
      <c r="AC281" s="24">
        <v>5.8939709480918395E-2</v>
      </c>
      <c r="AD281" s="384">
        <v>-109616.19158817934</v>
      </c>
    </row>
    <row r="282" spans="1:30">
      <c r="A282" s="21" t="s">
        <v>521</v>
      </c>
      <c r="B282" s="21" t="s">
        <v>522</v>
      </c>
      <c r="C282" s="23">
        <v>351.86398297848547</v>
      </c>
      <c r="D282" s="147">
        <v>28.982115882285463</v>
      </c>
      <c r="E282" s="22">
        <v>89.528116721985455</v>
      </c>
      <c r="F282" s="22">
        <v>118.51023260427093</v>
      </c>
      <c r="G282" s="22">
        <v>0</v>
      </c>
      <c r="H282" s="22">
        <v>16.093362094773418</v>
      </c>
      <c r="I282" s="22">
        <v>1.0548083769982577</v>
      </c>
      <c r="J282" s="22">
        <v>0</v>
      </c>
      <c r="K282" s="22">
        <v>9.0412146599850658</v>
      </c>
      <c r="L282" s="22">
        <v>0</v>
      </c>
      <c r="M282" s="388">
        <v>1241.6199634616826</v>
      </c>
      <c r="N282" s="25">
        <v>0.47820000000000001</v>
      </c>
      <c r="O282" s="24">
        <v>858.2930443121827</v>
      </c>
      <c r="P282" s="24">
        <v>9.0664758201991127</v>
      </c>
      <c r="Q282" s="24">
        <v>2.0147724044886917</v>
      </c>
      <c r="R282" s="22">
        <v>7.0517034157104206</v>
      </c>
      <c r="S282" s="24">
        <v>1.0045794066650073</v>
      </c>
      <c r="T282" s="24">
        <f t="shared" si="16"/>
        <v>10.07105522686412</v>
      </c>
      <c r="U282" s="376">
        <v>595.4</v>
      </c>
      <c r="V282" s="376">
        <v>62.25</v>
      </c>
      <c r="W282" s="22">
        <f t="shared" si="17"/>
        <v>284.72028</v>
      </c>
      <c r="X282" s="22">
        <f t="shared" si="18"/>
        <v>193.41815083091439</v>
      </c>
      <c r="Y282" s="22">
        <v>94.442456460407428</v>
      </c>
      <c r="Z282" s="22">
        <v>98.975694370506972</v>
      </c>
      <c r="AA282" s="371">
        <v>1252.1508278036545</v>
      </c>
      <c r="AB282" s="22">
        <v>0.15446873214960941</v>
      </c>
      <c r="AC282" s="24">
        <v>1.9468732149609397E-2</v>
      </c>
      <c r="AD282" s="384">
        <v>-227595.4732594963</v>
      </c>
    </row>
    <row r="283" spans="1:30">
      <c r="A283" s="21" t="s">
        <v>243</v>
      </c>
      <c r="B283" s="21" t="s">
        <v>244</v>
      </c>
      <c r="C283" s="23">
        <v>76.277714348074014</v>
      </c>
      <c r="D283" s="147">
        <v>3.4858905411275756</v>
      </c>
      <c r="E283" s="22">
        <v>10.085977242916673</v>
      </c>
      <c r="F283" s="22">
        <v>13.571867784044249</v>
      </c>
      <c r="G283" s="22">
        <v>0</v>
      </c>
      <c r="H283" s="22">
        <v>7.0320558466550516</v>
      </c>
      <c r="I283" s="22">
        <v>0</v>
      </c>
      <c r="J283" s="22">
        <v>0</v>
      </c>
      <c r="K283" s="22">
        <v>0</v>
      </c>
      <c r="L283" s="22">
        <v>0</v>
      </c>
      <c r="M283" s="388">
        <v>224.20203197949635</v>
      </c>
      <c r="N283" s="25">
        <v>0.47689999999999999</v>
      </c>
      <c r="O283" s="24">
        <v>0</v>
      </c>
      <c r="P283" s="24">
        <v>2.0147724044886917</v>
      </c>
      <c r="Q283" s="24">
        <v>1.5110793033665186</v>
      </c>
      <c r="R283" s="22">
        <v>0.50369310112217291</v>
      </c>
      <c r="S283" s="24">
        <v>1.5068691099975111</v>
      </c>
      <c r="T283" s="24">
        <f t="shared" si="16"/>
        <v>3.5216415144862028</v>
      </c>
      <c r="U283" s="376">
        <v>107.22</v>
      </c>
      <c r="V283" s="376">
        <v>11.24</v>
      </c>
      <c r="W283" s="22">
        <f t="shared" si="17"/>
        <v>51.133217999999999</v>
      </c>
      <c r="X283" s="22">
        <f t="shared" si="18"/>
        <v>31.732665370696893</v>
      </c>
      <c r="Y283" s="22">
        <v>26.695734359475164</v>
      </c>
      <c r="Z283" s="22">
        <v>5.0369310112217294</v>
      </c>
      <c r="AA283" s="371">
        <v>225.83583881913745</v>
      </c>
      <c r="AB283" s="22">
        <v>0.14051208850031224</v>
      </c>
      <c r="AC283" s="24">
        <v>5.5120885003122344E-3</v>
      </c>
      <c r="AD283" s="384">
        <v>-11805.12687057563</v>
      </c>
    </row>
    <row r="284" spans="1:30">
      <c r="A284" s="21" t="s">
        <v>285</v>
      </c>
      <c r="B284" s="21" t="s">
        <v>286</v>
      </c>
      <c r="C284" s="23">
        <v>264.88749794942913</v>
      </c>
      <c r="D284" s="147">
        <v>17.509819058171079</v>
      </c>
      <c r="E284" s="22">
        <v>50.088329216317263</v>
      </c>
      <c r="F284" s="22">
        <v>67.598148274488338</v>
      </c>
      <c r="G284" s="22">
        <v>0</v>
      </c>
      <c r="H284" s="22">
        <v>15.882400419373766</v>
      </c>
      <c r="I284" s="22">
        <v>2.1397541361964656</v>
      </c>
      <c r="J284" s="22">
        <v>50.028054451917363</v>
      </c>
      <c r="K284" s="22">
        <v>0.40183176266600296</v>
      </c>
      <c r="L284" s="22">
        <v>0</v>
      </c>
      <c r="M284" s="388">
        <v>804.25622718193813</v>
      </c>
      <c r="N284" s="25">
        <v>0.52</v>
      </c>
      <c r="O284" s="24">
        <v>605.43910754885189</v>
      </c>
      <c r="P284" s="24">
        <v>8.0590896179547666</v>
      </c>
      <c r="Q284" s="24">
        <v>3.0221586067330373</v>
      </c>
      <c r="R284" s="22">
        <v>5.0369310112217294</v>
      </c>
      <c r="S284" s="24">
        <v>0.75343455499875556</v>
      </c>
      <c r="T284" s="24">
        <f t="shared" si="16"/>
        <v>8.8125241729535215</v>
      </c>
      <c r="U284" s="376">
        <v>419.38</v>
      </c>
      <c r="V284" s="376">
        <v>40.33</v>
      </c>
      <c r="W284" s="22">
        <f t="shared" si="17"/>
        <v>218.07760000000002</v>
      </c>
      <c r="X284" s="22">
        <f t="shared" si="18"/>
        <v>112.57540810080565</v>
      </c>
      <c r="Y284" s="22">
        <v>61.450558336905097</v>
      </c>
      <c r="Z284" s="22">
        <v>51.124849763900549</v>
      </c>
      <c r="AA284" s="371">
        <v>804.67995062873854</v>
      </c>
      <c r="AB284" s="22">
        <v>0.13990084879441148</v>
      </c>
      <c r="AC284" s="24">
        <v>4.9008487944114665E-3</v>
      </c>
      <c r="AD284" s="384">
        <v>-38178.247625796161</v>
      </c>
    </row>
    <row r="285" spans="1:30">
      <c r="A285" s="21" t="s">
        <v>339</v>
      </c>
      <c r="B285" s="21" t="s">
        <v>340</v>
      </c>
      <c r="C285" s="23">
        <v>276.66116859554302</v>
      </c>
      <c r="D285" s="147">
        <v>12.195593996913189</v>
      </c>
      <c r="E285" s="22">
        <v>30.679855079549323</v>
      </c>
      <c r="F285" s="22">
        <v>42.875449076462516</v>
      </c>
      <c r="G285" s="22">
        <v>0</v>
      </c>
      <c r="H285" s="22">
        <v>50.25910771545032</v>
      </c>
      <c r="I285" s="22">
        <v>4.0886381851265803</v>
      </c>
      <c r="J285" s="22">
        <v>113.65811407007894</v>
      </c>
      <c r="K285" s="22">
        <v>0</v>
      </c>
      <c r="L285" s="22">
        <v>0</v>
      </c>
      <c r="M285" s="388">
        <v>1145.9538665649739</v>
      </c>
      <c r="N285" s="25">
        <v>0.76719999999999999</v>
      </c>
      <c r="O285" s="24">
        <v>1142.3759533450882</v>
      </c>
      <c r="P285" s="24">
        <v>129.70097353895952</v>
      </c>
      <c r="Q285" s="24">
        <v>91.672144404235468</v>
      </c>
      <c r="R285" s="22">
        <v>38.028829134724056</v>
      </c>
      <c r="S285" s="24">
        <v>30.13738219995022</v>
      </c>
      <c r="T285" s="24">
        <f t="shared" si="16"/>
        <v>159.83835573890974</v>
      </c>
      <c r="U285" s="376">
        <v>881.63</v>
      </c>
      <c r="V285" s="376">
        <v>57.46</v>
      </c>
      <c r="W285" s="22">
        <f t="shared" si="17"/>
        <v>676.38653599999998</v>
      </c>
      <c r="X285" s="22">
        <f t="shared" si="18"/>
        <v>123.90850287605454</v>
      </c>
      <c r="Y285" s="22">
        <v>79.331663426742239</v>
      </c>
      <c r="Z285" s="22">
        <v>44.576839449312303</v>
      </c>
      <c r="AA285" s="371">
        <v>1149.1556624861926</v>
      </c>
      <c r="AB285" s="22">
        <v>0.10782569056656703</v>
      </c>
      <c r="AC285" s="24">
        <v>0</v>
      </c>
      <c r="AD285" s="384">
        <v>0</v>
      </c>
    </row>
    <row r="286" spans="1:30">
      <c r="A286" s="21" t="s">
        <v>597</v>
      </c>
      <c r="B286" s="21" t="s">
        <v>598</v>
      </c>
      <c r="C286" s="23">
        <v>1007.9949766476683</v>
      </c>
      <c r="D286" s="147">
        <v>126.06466974239177</v>
      </c>
      <c r="E286" s="22">
        <v>482.51958060933634</v>
      </c>
      <c r="F286" s="22">
        <v>608.58425035172809</v>
      </c>
      <c r="G286" s="22">
        <v>0</v>
      </c>
      <c r="H286" s="22">
        <v>65.026424993425934</v>
      </c>
      <c r="I286" s="22">
        <v>4.2493708901929814</v>
      </c>
      <c r="J286" s="22">
        <v>831.60087863135959</v>
      </c>
      <c r="K286" s="22">
        <v>0</v>
      </c>
      <c r="L286" s="22">
        <v>0</v>
      </c>
      <c r="M286" s="388">
        <v>4284.8526348363885</v>
      </c>
      <c r="N286" s="25">
        <v>0.93710000000000004</v>
      </c>
      <c r="O286" s="24">
        <v>3603.4204454280252</v>
      </c>
      <c r="P286" s="24">
        <v>1315.1426870299933</v>
      </c>
      <c r="Q286" s="24">
        <v>752.76933962708745</v>
      </c>
      <c r="R286" s="22">
        <v>562.37334740290601</v>
      </c>
      <c r="S286" s="24">
        <v>187.35405934302386</v>
      </c>
      <c r="T286" s="24">
        <f t="shared" si="16"/>
        <v>1502.4967463730172</v>
      </c>
      <c r="U286" s="376">
        <v>4026.55</v>
      </c>
      <c r="V286" s="376">
        <v>214.84</v>
      </c>
      <c r="W286" s="22">
        <f t="shared" si="17"/>
        <v>3773.2800050000005</v>
      </c>
      <c r="X286" s="22">
        <f t="shared" si="18"/>
        <v>531.39622168389246</v>
      </c>
      <c r="Y286" s="22">
        <v>488.07861498738555</v>
      </c>
      <c r="Z286" s="22">
        <v>43.317606696506871</v>
      </c>
      <c r="AA286" s="371">
        <v>4335.5484417711259</v>
      </c>
      <c r="AB286" s="22">
        <v>0.12256724352659071</v>
      </c>
      <c r="AC286" s="24">
        <v>0</v>
      </c>
      <c r="AD286" s="384">
        <v>0</v>
      </c>
    </row>
    <row r="287" spans="1:30">
      <c r="A287" s="21" t="s">
        <v>531</v>
      </c>
      <c r="B287" s="21" t="s">
        <v>532</v>
      </c>
      <c r="C287" s="23">
        <v>50.028054451917363</v>
      </c>
      <c r="D287" s="147">
        <v>3.0036924259283722</v>
      </c>
      <c r="E287" s="22">
        <v>11.492388412247683</v>
      </c>
      <c r="F287" s="22">
        <v>14.496080838176056</v>
      </c>
      <c r="G287" s="22">
        <v>0</v>
      </c>
      <c r="H287" s="22">
        <v>5.9772474696567937</v>
      </c>
      <c r="I287" s="22">
        <v>0</v>
      </c>
      <c r="J287" s="22">
        <v>0</v>
      </c>
      <c r="K287" s="22">
        <v>0</v>
      </c>
      <c r="L287" s="22">
        <v>0</v>
      </c>
      <c r="M287" s="388">
        <v>204.37163449192909</v>
      </c>
      <c r="N287" s="25">
        <v>0.55400000000000005</v>
      </c>
      <c r="O287" s="24">
        <v>206.51417146009089</v>
      </c>
      <c r="P287" s="24">
        <v>38.280675685285139</v>
      </c>
      <c r="Q287" s="24">
        <v>24.177268853864298</v>
      </c>
      <c r="R287" s="22">
        <v>14.103406831420841</v>
      </c>
      <c r="S287" s="24">
        <v>9.0412146599850658</v>
      </c>
      <c r="T287" s="24">
        <f t="shared" si="16"/>
        <v>47.321890345270205</v>
      </c>
      <c r="U287" s="376">
        <v>113.54</v>
      </c>
      <c r="V287" s="376">
        <v>0</v>
      </c>
      <c r="W287" s="22">
        <f t="shared" si="17"/>
        <v>62.901160000000012</v>
      </c>
      <c r="X287" s="22">
        <f t="shared" si="18"/>
        <v>22.666189550497784</v>
      </c>
      <c r="Y287" s="22">
        <v>22.16249644937561</v>
      </c>
      <c r="Z287" s="22">
        <v>0.50369310112217291</v>
      </c>
      <c r="AA287" s="371">
        <v>211.34962523086378</v>
      </c>
      <c r="AB287" s="22">
        <v>0.10724499523355577</v>
      </c>
      <c r="AC287" s="24">
        <v>0</v>
      </c>
      <c r="AD287" s="384">
        <v>0</v>
      </c>
    </row>
    <row r="288" spans="1:30">
      <c r="A288" s="21" t="s">
        <v>79</v>
      </c>
      <c r="B288" s="21" t="s">
        <v>80</v>
      </c>
      <c r="C288" s="23">
        <v>213.77449773831358</v>
      </c>
      <c r="D288" s="147">
        <v>17.87146764457048</v>
      </c>
      <c r="E288" s="22">
        <v>41.740274346931052</v>
      </c>
      <c r="F288" s="22">
        <v>59.611741991501532</v>
      </c>
      <c r="G288" s="22">
        <v>0</v>
      </c>
      <c r="H288" s="22">
        <v>23.46697493969457</v>
      </c>
      <c r="I288" s="22">
        <v>2.9132802793285211</v>
      </c>
      <c r="J288" s="22">
        <v>13.8631958119771</v>
      </c>
      <c r="K288" s="22">
        <v>0</v>
      </c>
      <c r="L288" s="22">
        <v>0</v>
      </c>
      <c r="M288" s="388">
        <v>699.87038103537725</v>
      </c>
      <c r="N288" s="25">
        <v>0.41170000000000001</v>
      </c>
      <c r="O288" s="24">
        <v>0</v>
      </c>
      <c r="P288" s="24">
        <v>0</v>
      </c>
      <c r="Q288" s="24">
        <v>0</v>
      </c>
      <c r="R288" s="22">
        <v>0</v>
      </c>
      <c r="S288" s="24">
        <v>0</v>
      </c>
      <c r="T288" s="24">
        <f t="shared" si="16"/>
        <v>0</v>
      </c>
      <c r="U288" s="376">
        <v>288.94</v>
      </c>
      <c r="V288" s="376">
        <v>35.090000000000003</v>
      </c>
      <c r="W288" s="22">
        <f t="shared" si="17"/>
        <v>118.956598</v>
      </c>
      <c r="X288" s="22">
        <f t="shared" si="18"/>
        <v>104.76816503341196</v>
      </c>
      <c r="Y288" s="22">
        <v>43.065760145945781</v>
      </c>
      <c r="Z288" s="22">
        <v>61.70240488746618</v>
      </c>
      <c r="AA288" s="371">
        <v>701.82581937959083</v>
      </c>
      <c r="AB288" s="22">
        <v>0.14927943962794971</v>
      </c>
      <c r="AC288" s="24">
        <v>1.4279439627949697E-2</v>
      </c>
      <c r="AD288" s="384">
        <v>-96063.8989216357</v>
      </c>
    </row>
    <row r="289" spans="1:30">
      <c r="A289" s="21" t="s">
        <v>257</v>
      </c>
      <c r="B289" s="21" t="s">
        <v>258</v>
      </c>
      <c r="C289" s="23">
        <v>51.233549739915375</v>
      </c>
      <c r="D289" s="147">
        <v>0</v>
      </c>
      <c r="E289" s="22">
        <v>0</v>
      </c>
      <c r="F289" s="22">
        <v>0</v>
      </c>
      <c r="G289" s="22">
        <v>0</v>
      </c>
      <c r="H289" s="22">
        <v>2.9032344852618714</v>
      </c>
      <c r="I289" s="22">
        <v>0</v>
      </c>
      <c r="J289" s="22">
        <v>2.3607616056627672</v>
      </c>
      <c r="K289" s="22">
        <v>0</v>
      </c>
      <c r="L289" s="22">
        <v>0</v>
      </c>
      <c r="M289" s="388">
        <v>192.00526199588285</v>
      </c>
      <c r="N289" s="25">
        <v>0</v>
      </c>
      <c r="O289" s="24">
        <v>0</v>
      </c>
      <c r="P289" s="24">
        <v>15.614486134787359</v>
      </c>
      <c r="Q289" s="24">
        <v>7.0517034157104206</v>
      </c>
      <c r="R289" s="22">
        <v>8.5627827190769388</v>
      </c>
      <c r="S289" s="24">
        <v>0</v>
      </c>
      <c r="T289" s="24">
        <f t="shared" si="16"/>
        <v>15.614486134787359</v>
      </c>
      <c r="U289" s="376">
        <v>0</v>
      </c>
      <c r="V289" s="376">
        <v>9.6300000000000008</v>
      </c>
      <c r="W289" s="22">
        <f t="shared" si="17"/>
        <v>0</v>
      </c>
      <c r="X289" s="22">
        <f t="shared" si="18"/>
        <v>17.377411988714965</v>
      </c>
      <c r="Y289" s="22">
        <v>10.577555123565631</v>
      </c>
      <c r="Z289" s="22">
        <v>6.7998568651493345</v>
      </c>
      <c r="AA289" s="371">
        <v>192.54172483496183</v>
      </c>
      <c r="AB289" s="22">
        <v>9.0252707581227429E-2</v>
      </c>
      <c r="AC289" s="24">
        <v>0</v>
      </c>
      <c r="AD289" s="384">
        <v>0</v>
      </c>
    </row>
    <row r="290" spans="1:30">
      <c r="A290" s="21" t="s">
        <v>201</v>
      </c>
      <c r="B290" s="21" t="s">
        <v>202</v>
      </c>
      <c r="C290" s="23">
        <v>745.19700386410238</v>
      </c>
      <c r="D290" s="147">
        <v>0</v>
      </c>
      <c r="E290" s="22">
        <v>103.80319009069521</v>
      </c>
      <c r="F290" s="22">
        <v>103.80319009069521</v>
      </c>
      <c r="G290" s="22">
        <v>0</v>
      </c>
      <c r="H290" s="22">
        <v>56.145943038507262</v>
      </c>
      <c r="I290" s="22">
        <v>3.3151120419945239</v>
      </c>
      <c r="J290" s="22">
        <v>21.096167539965155</v>
      </c>
      <c r="K290" s="22">
        <v>0.80366352533200591</v>
      </c>
      <c r="L290" s="22">
        <v>0</v>
      </c>
      <c r="M290" s="388">
        <v>2544.1274847613308</v>
      </c>
      <c r="N290" s="25">
        <v>0.749</v>
      </c>
      <c r="O290" s="24">
        <v>2568.8348157230816</v>
      </c>
      <c r="P290" s="24">
        <v>1034.0819366038208</v>
      </c>
      <c r="Q290" s="24">
        <v>625.33498504317765</v>
      </c>
      <c r="R290" s="22">
        <v>408.74695156064331</v>
      </c>
      <c r="S290" s="24">
        <v>19.589298429967641</v>
      </c>
      <c r="T290" s="24">
        <f t="shared" si="16"/>
        <v>1053.6712350337884</v>
      </c>
      <c r="U290" s="376">
        <v>1910.62</v>
      </c>
      <c r="V290" s="376">
        <v>127.56</v>
      </c>
      <c r="W290" s="22">
        <f t="shared" si="17"/>
        <v>1431.0543799999998</v>
      </c>
      <c r="X290" s="22">
        <f t="shared" si="18"/>
        <v>331.17821398782871</v>
      </c>
      <c r="Y290" s="22">
        <v>181.83320950510443</v>
      </c>
      <c r="Z290" s="22">
        <v>149.34500448272428</v>
      </c>
      <c r="AA290" s="371">
        <v>2583.7038360682086</v>
      </c>
      <c r="AB290" s="22">
        <v>0.12817963474165223</v>
      </c>
      <c r="AC290" s="24">
        <v>0</v>
      </c>
      <c r="AD290" s="384">
        <v>0</v>
      </c>
    </row>
    <row r="291" spans="1:30">
      <c r="A291" s="21" t="s">
        <v>511</v>
      </c>
      <c r="B291" s="21" t="s">
        <v>512</v>
      </c>
      <c r="C291" s="23">
        <v>1736.6867408602648</v>
      </c>
      <c r="D291" s="147">
        <v>206.17987742392611</v>
      </c>
      <c r="E291" s="22">
        <v>392.56954053655153</v>
      </c>
      <c r="F291" s="22">
        <v>598.74941796047767</v>
      </c>
      <c r="G291" s="22">
        <v>300.17837250557085</v>
      </c>
      <c r="H291" s="22">
        <v>205.01456531219472</v>
      </c>
      <c r="I291" s="22">
        <v>17.760963909837329</v>
      </c>
      <c r="J291" s="22">
        <v>368.63041327572444</v>
      </c>
      <c r="K291" s="22">
        <v>17.479681675971126</v>
      </c>
      <c r="L291" s="22">
        <v>0</v>
      </c>
      <c r="M291" s="388">
        <v>6671.0803284581134</v>
      </c>
      <c r="N291" s="25">
        <v>0.3085</v>
      </c>
      <c r="O291" s="24">
        <v>0</v>
      </c>
      <c r="P291" s="24">
        <v>129.9528200895206</v>
      </c>
      <c r="Q291" s="24">
        <v>94.19060990984633</v>
      </c>
      <c r="R291" s="22">
        <v>35.762210179674277</v>
      </c>
      <c r="S291" s="24">
        <v>51.735839443247876</v>
      </c>
      <c r="T291" s="24">
        <f t="shared" si="16"/>
        <v>181.68865953276847</v>
      </c>
      <c r="U291" s="376">
        <v>2064.4499999999998</v>
      </c>
      <c r="V291" s="376">
        <v>334.49</v>
      </c>
      <c r="W291" s="22">
        <f t="shared" si="17"/>
        <v>636.88282499999991</v>
      </c>
      <c r="X291" s="22">
        <f t="shared" si="18"/>
        <v>837.89347371673466</v>
      </c>
      <c r="Y291" s="22">
        <v>473.47151505484254</v>
      </c>
      <c r="Z291" s="22">
        <v>364.42195866189212</v>
      </c>
      <c r="AA291" s="371">
        <v>6494.0345618719957</v>
      </c>
      <c r="AB291" s="22">
        <v>0.12902510230484518</v>
      </c>
      <c r="AC291" s="24">
        <v>0</v>
      </c>
      <c r="AD291" s="384">
        <v>0</v>
      </c>
    </row>
    <row r="292" spans="1:30">
      <c r="A292" s="21" t="s">
        <v>581</v>
      </c>
      <c r="B292" s="21" t="s">
        <v>582</v>
      </c>
      <c r="C292" s="23">
        <v>247.43795365565796</v>
      </c>
      <c r="D292" s="147">
        <v>0</v>
      </c>
      <c r="E292" s="22">
        <v>0</v>
      </c>
      <c r="F292" s="22">
        <v>0</v>
      </c>
      <c r="G292" s="22">
        <v>0</v>
      </c>
      <c r="H292" s="22">
        <v>0</v>
      </c>
      <c r="I292" s="22">
        <v>0</v>
      </c>
      <c r="J292" s="22">
        <v>0</v>
      </c>
      <c r="K292" s="22">
        <v>0</v>
      </c>
      <c r="L292" s="22">
        <v>0</v>
      </c>
      <c r="M292" s="388">
        <v>567.89878438179528</v>
      </c>
      <c r="N292" s="25">
        <v>0.93140000000000001</v>
      </c>
      <c r="O292" s="24">
        <v>584.28399730172055</v>
      </c>
      <c r="P292" s="24">
        <v>164.95949061751165</v>
      </c>
      <c r="Q292" s="24">
        <v>144.81176657262472</v>
      </c>
      <c r="R292" s="22">
        <v>20.147724044886917</v>
      </c>
      <c r="S292" s="24">
        <v>57.009881328239167</v>
      </c>
      <c r="T292" s="24">
        <f t="shared" si="16"/>
        <v>221.96937194575082</v>
      </c>
      <c r="U292" s="376">
        <v>530.41999999999996</v>
      </c>
      <c r="V292" s="376">
        <v>28.47</v>
      </c>
      <c r="W292" s="22">
        <f t="shared" si="17"/>
        <v>494.03318799999994</v>
      </c>
      <c r="X292" s="22">
        <f t="shared" si="18"/>
        <v>70.265187606543122</v>
      </c>
      <c r="Y292" s="22">
        <v>54.147008370633586</v>
      </c>
      <c r="Z292" s="22">
        <v>16.118179235909533</v>
      </c>
      <c r="AA292" s="371">
        <v>569.62652805906544</v>
      </c>
      <c r="AB292" s="22">
        <v>0.12335308161641169</v>
      </c>
      <c r="AC292" s="24">
        <v>0</v>
      </c>
      <c r="AD292" s="384">
        <v>0</v>
      </c>
    </row>
    <row r="293" spans="1:30">
      <c r="A293" s="21" t="s">
        <v>369</v>
      </c>
      <c r="B293" s="21" t="s">
        <v>370</v>
      </c>
      <c r="C293" s="23">
        <v>1586.6628522689125</v>
      </c>
      <c r="D293" s="147">
        <v>0</v>
      </c>
      <c r="E293" s="22">
        <v>298.78200713030651</v>
      </c>
      <c r="F293" s="22">
        <v>298.78200713030651</v>
      </c>
      <c r="G293" s="22">
        <v>0</v>
      </c>
      <c r="H293" s="22">
        <v>216.00466402110987</v>
      </c>
      <c r="I293" s="22">
        <v>4.7114774172588847</v>
      </c>
      <c r="J293" s="22">
        <v>52.63996090924639</v>
      </c>
      <c r="K293" s="22">
        <v>0</v>
      </c>
      <c r="L293" s="22">
        <v>0</v>
      </c>
      <c r="M293" s="388">
        <v>5585.2806767642405</v>
      </c>
      <c r="N293" s="25">
        <v>0.36459999999999998</v>
      </c>
      <c r="O293" s="24">
        <v>0</v>
      </c>
      <c r="P293" s="24">
        <v>295.16415725759333</v>
      </c>
      <c r="Q293" s="24">
        <v>222.88419724656151</v>
      </c>
      <c r="R293" s="22">
        <v>72.279960011031818</v>
      </c>
      <c r="S293" s="24">
        <v>97.695347298171967</v>
      </c>
      <c r="T293" s="24">
        <f t="shared" si="16"/>
        <v>392.85950455576528</v>
      </c>
      <c r="U293" s="376">
        <v>2042.64</v>
      </c>
      <c r="V293" s="376">
        <v>280.04000000000002</v>
      </c>
      <c r="W293" s="22">
        <f t="shared" si="17"/>
        <v>744.74654399999997</v>
      </c>
      <c r="X293" s="22">
        <f t="shared" si="18"/>
        <v>548.52178712204636</v>
      </c>
      <c r="Y293" s="22">
        <v>276.52751251607293</v>
      </c>
      <c r="Z293" s="22">
        <v>271.99427460597337</v>
      </c>
      <c r="AA293" s="371">
        <v>5638.7838238905906</v>
      </c>
      <c r="AB293" s="22">
        <v>9.7276612165561424E-2</v>
      </c>
      <c r="AC293" s="24">
        <v>0</v>
      </c>
      <c r="AD293" s="384">
        <v>0</v>
      </c>
    </row>
    <row r="294" spans="1:30">
      <c r="A294" s="21" t="s">
        <v>489</v>
      </c>
      <c r="B294" s="21" t="s">
        <v>490</v>
      </c>
      <c r="C294" s="23">
        <v>97.645118327838716</v>
      </c>
      <c r="D294" s="147">
        <v>0</v>
      </c>
      <c r="E294" s="22">
        <v>0</v>
      </c>
      <c r="F294" s="22">
        <v>0</v>
      </c>
      <c r="G294" s="22">
        <v>0</v>
      </c>
      <c r="H294" s="22">
        <v>1.7580139616637629</v>
      </c>
      <c r="I294" s="22">
        <v>0.25114485166625183</v>
      </c>
      <c r="J294" s="22">
        <v>904.87490055350531</v>
      </c>
      <c r="K294" s="22">
        <v>0</v>
      </c>
      <c r="L294" s="22">
        <v>0</v>
      </c>
      <c r="M294" s="388">
        <v>1163.4536398290782</v>
      </c>
      <c r="N294" s="25">
        <v>0.22850000000000001</v>
      </c>
      <c r="O294" s="24">
        <v>260.91302638128559</v>
      </c>
      <c r="P294" s="24">
        <v>37.021442932479708</v>
      </c>
      <c r="Q294" s="24">
        <v>26.695734359475164</v>
      </c>
      <c r="R294" s="22">
        <v>10.325708573004544</v>
      </c>
      <c r="S294" s="24">
        <v>3.0137382199950222</v>
      </c>
      <c r="T294" s="24">
        <f t="shared" si="16"/>
        <v>40.035181152474728</v>
      </c>
      <c r="U294" s="376">
        <v>266.36</v>
      </c>
      <c r="V294" s="376">
        <v>58.34</v>
      </c>
      <c r="W294" s="22">
        <f t="shared" si="17"/>
        <v>60.863260000000004</v>
      </c>
      <c r="X294" s="22">
        <f t="shared" si="18"/>
        <v>110.30878914575587</v>
      </c>
      <c r="Y294" s="22">
        <v>99.731234022190236</v>
      </c>
      <c r="Z294" s="22">
        <v>10.577555123565631</v>
      </c>
      <c r="AA294" s="371">
        <v>1164.7399270349126</v>
      </c>
      <c r="AB294" s="22">
        <v>9.4706798131811112E-2</v>
      </c>
      <c r="AC294" s="24">
        <v>0</v>
      </c>
      <c r="AD294" s="384">
        <v>0</v>
      </c>
    </row>
    <row r="295" spans="1:30">
      <c r="A295" s="21" t="s">
        <v>55</v>
      </c>
      <c r="B295" s="21" t="s">
        <v>56</v>
      </c>
      <c r="C295" s="23">
        <v>5980.753451786054</v>
      </c>
      <c r="D295" s="147">
        <v>265.73134465102771</v>
      </c>
      <c r="E295" s="22">
        <v>1373.5312853508647</v>
      </c>
      <c r="F295" s="22">
        <v>1639.2626300018924</v>
      </c>
      <c r="G295" s="22">
        <v>0</v>
      </c>
      <c r="H295" s="22">
        <v>362.7033947764009</v>
      </c>
      <c r="I295" s="22">
        <v>4.4402409774593323</v>
      </c>
      <c r="J295" s="22">
        <v>1061.1874562305804</v>
      </c>
      <c r="K295" s="22">
        <v>213.36262018158089</v>
      </c>
      <c r="L295" s="22">
        <v>0.37169438046605269</v>
      </c>
      <c r="M295" s="388">
        <v>21547.504975791609</v>
      </c>
      <c r="N295" s="25">
        <v>0.48480000000000001</v>
      </c>
      <c r="O295" s="24">
        <v>12597.364459065544</v>
      </c>
      <c r="P295" s="24">
        <v>2952.1452656770552</v>
      </c>
      <c r="Q295" s="24">
        <v>1846.5389087138858</v>
      </c>
      <c r="R295" s="22">
        <v>1105.6063569631694</v>
      </c>
      <c r="S295" s="24">
        <v>483.95612916086731</v>
      </c>
      <c r="T295" s="24">
        <f t="shared" si="16"/>
        <v>3436.1013948379227</v>
      </c>
      <c r="U295" s="376">
        <v>10477.58</v>
      </c>
      <c r="V295" s="376">
        <v>1080.3900000000001</v>
      </c>
      <c r="W295" s="22">
        <f t="shared" si="17"/>
        <v>5079.5307840000005</v>
      </c>
      <c r="X295" s="22">
        <f t="shared" si="18"/>
        <v>2877.3468401604127</v>
      </c>
      <c r="Y295" s="22">
        <v>1800.199143410646</v>
      </c>
      <c r="Z295" s="22">
        <v>1077.1476967497667</v>
      </c>
      <c r="AA295" s="371">
        <v>21686.194179092457</v>
      </c>
      <c r="AB295" s="22">
        <v>0.13268104197528802</v>
      </c>
      <c r="AC295" s="24">
        <v>0</v>
      </c>
      <c r="AD295" s="384">
        <v>0</v>
      </c>
    </row>
    <row r="296" spans="1:30">
      <c r="A296" s="21" t="s">
        <v>193</v>
      </c>
      <c r="B296" s="21" t="s">
        <v>194</v>
      </c>
      <c r="C296" s="23">
        <v>275.61640601261144</v>
      </c>
      <c r="D296" s="147">
        <v>21.226762862831603</v>
      </c>
      <c r="E296" s="22">
        <v>97.393973476172462</v>
      </c>
      <c r="F296" s="22">
        <v>118.62073633900407</v>
      </c>
      <c r="G296" s="22">
        <v>0</v>
      </c>
      <c r="H296" s="22">
        <v>31.895396161613984</v>
      </c>
      <c r="I296" s="22">
        <v>0.68311399653220506</v>
      </c>
      <c r="J296" s="22">
        <v>130.08298736905181</v>
      </c>
      <c r="K296" s="22">
        <v>0</v>
      </c>
      <c r="L296" s="22">
        <v>0</v>
      </c>
      <c r="M296" s="388">
        <v>1488.3145283564083</v>
      </c>
      <c r="N296" s="25">
        <v>0.2329</v>
      </c>
      <c r="O296" s="24">
        <v>39.288061887529487</v>
      </c>
      <c r="P296" s="24">
        <v>75.302118617764847</v>
      </c>
      <c r="Q296" s="24">
        <v>43.821299797629045</v>
      </c>
      <c r="R296" s="22">
        <v>31.480818820135806</v>
      </c>
      <c r="S296" s="24">
        <v>6.0274764399900445</v>
      </c>
      <c r="T296" s="24">
        <f t="shared" si="16"/>
        <v>81.329595057754887</v>
      </c>
      <c r="U296" s="376">
        <v>348.34</v>
      </c>
      <c r="V296" s="376">
        <v>74.62</v>
      </c>
      <c r="W296" s="22">
        <f t="shared" si="17"/>
        <v>81.128385999999992</v>
      </c>
      <c r="X296" s="22">
        <f t="shared" si="18"/>
        <v>166.21872337031704</v>
      </c>
      <c r="Y296" s="22">
        <v>129.9528200895206</v>
      </c>
      <c r="Z296" s="22">
        <v>36.265903280796451</v>
      </c>
      <c r="AA296" s="371">
        <v>1494.1753628928586</v>
      </c>
      <c r="AB296" s="22">
        <v>0.11124445463248876</v>
      </c>
      <c r="AC296" s="24">
        <v>0</v>
      </c>
      <c r="AD296" s="384">
        <v>0</v>
      </c>
    </row>
    <row r="297" spans="1:30">
      <c r="A297" s="21" t="s">
        <v>1024</v>
      </c>
      <c r="B297" s="21" t="s">
        <v>1044</v>
      </c>
      <c r="C297" s="23">
        <v>55.452783247908407</v>
      </c>
      <c r="D297" s="147">
        <v>0</v>
      </c>
      <c r="E297" s="22">
        <v>0</v>
      </c>
      <c r="F297" s="22">
        <v>0</v>
      </c>
      <c r="G297" s="22">
        <v>0</v>
      </c>
      <c r="H297" s="22">
        <v>0</v>
      </c>
      <c r="I297" s="22">
        <v>0</v>
      </c>
      <c r="J297" s="22">
        <v>0</v>
      </c>
      <c r="K297" s="22">
        <v>0</v>
      </c>
      <c r="L297" s="22">
        <v>0</v>
      </c>
      <c r="M297" s="388">
        <v>126.17517347712491</v>
      </c>
      <c r="N297" s="25">
        <v>0.9919</v>
      </c>
      <c r="O297" s="24">
        <v>124.91588907829889</v>
      </c>
      <c r="P297" s="24">
        <v>0</v>
      </c>
      <c r="Q297" s="24">
        <v>0</v>
      </c>
      <c r="R297" s="22">
        <v>0</v>
      </c>
      <c r="S297" s="24">
        <v>0</v>
      </c>
      <c r="T297" s="24">
        <f t="shared" si="16"/>
        <v>0</v>
      </c>
      <c r="U297" s="376">
        <v>125.5</v>
      </c>
      <c r="V297" s="376">
        <v>0</v>
      </c>
      <c r="W297" s="22">
        <f t="shared" si="17"/>
        <v>124.48345</v>
      </c>
      <c r="X297" s="22">
        <f t="shared" si="18"/>
        <v>16.621872337031707</v>
      </c>
      <c r="Y297" s="22">
        <v>15.614486134787361</v>
      </c>
      <c r="Z297" s="22">
        <v>1.0073862022443458</v>
      </c>
      <c r="AA297" s="371">
        <v>126.52770700188984</v>
      </c>
      <c r="AB297" s="22">
        <v>0.13136942675159236</v>
      </c>
      <c r="AC297" s="24">
        <v>0</v>
      </c>
      <c r="AD297" s="384">
        <v>0</v>
      </c>
    </row>
    <row r="298" spans="1:30">
      <c r="A298" s="21" t="s">
        <v>523</v>
      </c>
      <c r="B298" s="21" t="s">
        <v>524</v>
      </c>
      <c r="C298" s="23">
        <v>119.74586527446888</v>
      </c>
      <c r="D298" s="147">
        <v>0</v>
      </c>
      <c r="E298" s="22">
        <v>25.646912252157637</v>
      </c>
      <c r="F298" s="22">
        <v>25.646912252157637</v>
      </c>
      <c r="G298" s="22">
        <v>0</v>
      </c>
      <c r="H298" s="22">
        <v>7.0521474347883508</v>
      </c>
      <c r="I298" s="22">
        <v>0.53242708553245388</v>
      </c>
      <c r="J298" s="22">
        <v>19.880626457900494</v>
      </c>
      <c r="K298" s="22">
        <v>0</v>
      </c>
      <c r="L298" s="22">
        <v>0</v>
      </c>
      <c r="M298" s="388">
        <v>453.74842640245055</v>
      </c>
      <c r="N298" s="25">
        <v>0.64859999999999995</v>
      </c>
      <c r="O298" s="24">
        <v>465.41242543688776</v>
      </c>
      <c r="P298" s="24">
        <v>16.37002578647062</v>
      </c>
      <c r="Q298" s="24">
        <v>7.8072430673936806</v>
      </c>
      <c r="R298" s="22">
        <v>8.5627827190769388</v>
      </c>
      <c r="S298" s="24">
        <v>0</v>
      </c>
      <c r="T298" s="24">
        <f t="shared" si="16"/>
        <v>16.37002578647062</v>
      </c>
      <c r="U298" s="376">
        <v>295.12</v>
      </c>
      <c r="V298" s="376">
        <v>0</v>
      </c>
      <c r="W298" s="22">
        <f t="shared" si="17"/>
        <v>191.41483199999999</v>
      </c>
      <c r="X298" s="22">
        <f t="shared" si="18"/>
        <v>76.813197921131376</v>
      </c>
      <c r="Y298" s="22">
        <v>44.073146348190129</v>
      </c>
      <c r="Z298" s="22">
        <v>32.74005157294124</v>
      </c>
      <c r="AA298" s="371">
        <v>455.01619982972613</v>
      </c>
      <c r="AB298" s="22">
        <v>0.16881420474672335</v>
      </c>
      <c r="AC298" s="24">
        <v>3.3814204746723336E-2</v>
      </c>
      <c r="AD298" s="384">
        <v>-146634.05951836004</v>
      </c>
    </row>
    <row r="299" spans="1:30">
      <c r="A299" s="21" t="s">
        <v>121</v>
      </c>
      <c r="B299" s="21" t="s">
        <v>122</v>
      </c>
      <c r="C299" s="23">
        <v>646.74822201093173</v>
      </c>
      <c r="D299" s="147">
        <v>65.438302550158582</v>
      </c>
      <c r="E299" s="22">
        <v>209.25389040832104</v>
      </c>
      <c r="F299" s="22">
        <v>274.69219295847961</v>
      </c>
      <c r="G299" s="22">
        <v>0</v>
      </c>
      <c r="H299" s="22">
        <v>34.467119442676406</v>
      </c>
      <c r="I299" s="22">
        <v>1.9991130192633646</v>
      </c>
      <c r="J299" s="22">
        <v>0</v>
      </c>
      <c r="K299" s="22">
        <v>0</v>
      </c>
      <c r="L299" s="22">
        <v>0</v>
      </c>
      <c r="M299" s="388">
        <v>2411.6837357866166</v>
      </c>
      <c r="N299" s="25">
        <v>0.96860000000000002</v>
      </c>
      <c r="O299" s="24">
        <v>2471.1183541053801</v>
      </c>
      <c r="P299" s="24">
        <v>1205.8412840864821</v>
      </c>
      <c r="Q299" s="24">
        <v>753.27303272820961</v>
      </c>
      <c r="R299" s="22">
        <v>452.56825135827239</v>
      </c>
      <c r="S299" s="24">
        <v>229.54639442295417</v>
      </c>
      <c r="T299" s="24">
        <f t="shared" si="16"/>
        <v>1435.3876785094362</v>
      </c>
      <c r="U299" s="376">
        <v>2341.52</v>
      </c>
      <c r="V299" s="376">
        <v>120.92</v>
      </c>
      <c r="W299" s="22">
        <f t="shared" si="17"/>
        <v>2267.9962719999999</v>
      </c>
      <c r="X299" s="22">
        <f t="shared" si="18"/>
        <v>296.42339001039875</v>
      </c>
      <c r="Y299" s="22">
        <v>169.99642162873337</v>
      </c>
      <c r="Z299" s="22">
        <v>126.4269683816654</v>
      </c>
      <c r="AA299" s="371">
        <v>2446.0545853935409</v>
      </c>
      <c r="AB299" s="22">
        <v>0.12118429072698218</v>
      </c>
      <c r="AC299" s="24">
        <v>0</v>
      </c>
      <c r="AD299" s="384">
        <v>0</v>
      </c>
    </row>
    <row r="300" spans="1:30">
      <c r="A300" s="21" t="s">
        <v>535</v>
      </c>
      <c r="B300" s="21" t="s">
        <v>536</v>
      </c>
      <c r="C300" s="23">
        <v>71.827427576548018</v>
      </c>
      <c r="D300" s="147">
        <v>4.5206073299925329</v>
      </c>
      <c r="E300" s="22">
        <v>10.306984712382976</v>
      </c>
      <c r="F300" s="22">
        <v>14.827592042375509</v>
      </c>
      <c r="G300" s="22">
        <v>0</v>
      </c>
      <c r="H300" s="22">
        <v>2.8027765445953703</v>
      </c>
      <c r="I300" s="22">
        <v>0.67306820246555499</v>
      </c>
      <c r="J300" s="22">
        <v>0</v>
      </c>
      <c r="K300" s="22">
        <v>0</v>
      </c>
      <c r="L300" s="22">
        <v>0</v>
      </c>
      <c r="M300" s="388">
        <v>263.23998772249854</v>
      </c>
      <c r="N300" s="25">
        <v>0.56779999999999997</v>
      </c>
      <c r="O300" s="24">
        <v>268.97211599924032</v>
      </c>
      <c r="P300" s="24">
        <v>1.5110793033665186</v>
      </c>
      <c r="Q300" s="24">
        <v>0.50369310112217291</v>
      </c>
      <c r="R300" s="22">
        <v>1.0073862022443458</v>
      </c>
      <c r="S300" s="24">
        <v>0</v>
      </c>
      <c r="T300" s="24">
        <f t="shared" si="16"/>
        <v>1.5110793033665186</v>
      </c>
      <c r="U300" s="376">
        <v>149.88999999999999</v>
      </c>
      <c r="V300" s="376">
        <v>0</v>
      </c>
      <c r="W300" s="22">
        <f t="shared" si="17"/>
        <v>85.107541999999981</v>
      </c>
      <c r="X300" s="22">
        <f t="shared" si="18"/>
        <v>21.910649898814519</v>
      </c>
      <c r="Y300" s="22">
        <v>20.903263696570175</v>
      </c>
      <c r="Z300" s="22">
        <v>1.0073862022443458</v>
      </c>
      <c r="AA300" s="371">
        <v>266.00032670261953</v>
      </c>
      <c r="AB300" s="22">
        <v>8.2370763113046752E-2</v>
      </c>
      <c r="AC300" s="24">
        <v>0</v>
      </c>
      <c r="AD300" s="384">
        <v>0</v>
      </c>
    </row>
    <row r="301" spans="1:30">
      <c r="A301" s="21" t="s">
        <v>527</v>
      </c>
      <c r="B301" s="21" t="s">
        <v>528</v>
      </c>
      <c r="C301" s="23">
        <v>1515.1267527202974</v>
      </c>
      <c r="D301" s="147">
        <v>65.237386668825579</v>
      </c>
      <c r="E301" s="22">
        <v>294.75364370957982</v>
      </c>
      <c r="F301" s="22">
        <v>359.99103037840541</v>
      </c>
      <c r="G301" s="22">
        <v>92.772908205513417</v>
      </c>
      <c r="H301" s="22">
        <v>90.371963423584049</v>
      </c>
      <c r="I301" s="22">
        <v>9.1517183947182161</v>
      </c>
      <c r="J301" s="22">
        <v>346.44929997656106</v>
      </c>
      <c r="K301" s="22">
        <v>94.631380107843697</v>
      </c>
      <c r="L301" s="22">
        <v>0.20091588133300148</v>
      </c>
      <c r="M301" s="388">
        <v>5505.5572550513052</v>
      </c>
      <c r="N301" s="25">
        <v>0.55479999999999996</v>
      </c>
      <c r="O301" s="24">
        <v>2726.9944494754441</v>
      </c>
      <c r="P301" s="24">
        <v>786.0130843011508</v>
      </c>
      <c r="Q301" s="24">
        <v>544.99593541419108</v>
      </c>
      <c r="R301" s="22">
        <v>241.01714888695975</v>
      </c>
      <c r="S301" s="24">
        <v>141.14340663643353</v>
      </c>
      <c r="T301" s="24">
        <f t="shared" si="16"/>
        <v>927.15649093758429</v>
      </c>
      <c r="U301" s="376">
        <v>3063.02</v>
      </c>
      <c r="V301" s="376">
        <v>276.05</v>
      </c>
      <c r="W301" s="22">
        <f t="shared" si="17"/>
        <v>1699.3634959999999</v>
      </c>
      <c r="X301" s="22">
        <f t="shared" si="18"/>
        <v>804.90157559323234</v>
      </c>
      <c r="Y301" s="22">
        <v>463.14580648183801</v>
      </c>
      <c r="Z301" s="22">
        <v>341.75576911139433</v>
      </c>
      <c r="AA301" s="371">
        <v>5506.1815780891684</v>
      </c>
      <c r="AB301" s="22">
        <v>0.14618144428730598</v>
      </c>
      <c r="AC301" s="24">
        <v>1.1181444287305969E-2</v>
      </c>
      <c r="AD301" s="384">
        <v>-588332.63473086082</v>
      </c>
    </row>
    <row r="302" spans="1:30">
      <c r="A302" s="21" t="s">
        <v>605</v>
      </c>
      <c r="B302" s="21" t="s">
        <v>606</v>
      </c>
      <c r="C302" s="23">
        <v>882.63351248994206</v>
      </c>
      <c r="D302" s="147">
        <v>57.662857942571421</v>
      </c>
      <c r="E302" s="22">
        <v>257.48374772230801</v>
      </c>
      <c r="F302" s="22">
        <v>315.14660566487942</v>
      </c>
      <c r="G302" s="22">
        <v>0</v>
      </c>
      <c r="H302" s="22">
        <v>15.520751832974362</v>
      </c>
      <c r="I302" s="22">
        <v>1.0849457591982079</v>
      </c>
      <c r="J302" s="22">
        <v>28.881657941618961</v>
      </c>
      <c r="K302" s="22">
        <v>4.2192335079930308</v>
      </c>
      <c r="L302" s="22">
        <v>0</v>
      </c>
      <c r="M302" s="388">
        <v>3072.3353367857917</v>
      </c>
      <c r="N302" s="25">
        <v>0.90939999999999999</v>
      </c>
      <c r="O302" s="24">
        <v>3168.2296060584677</v>
      </c>
      <c r="P302" s="24">
        <v>1052.7185813453414</v>
      </c>
      <c r="Q302" s="24">
        <v>599.89848343650795</v>
      </c>
      <c r="R302" s="22">
        <v>452.82009790883347</v>
      </c>
      <c r="S302" s="24">
        <v>151.94263525808236</v>
      </c>
      <c r="T302" s="24">
        <f t="shared" si="16"/>
        <v>1204.6612166034238</v>
      </c>
      <c r="U302" s="376">
        <v>2800.86</v>
      </c>
      <c r="V302" s="376">
        <v>154.05000000000001</v>
      </c>
      <c r="W302" s="22">
        <f t="shared" si="17"/>
        <v>2547.1020840000001</v>
      </c>
      <c r="X302" s="22">
        <f t="shared" si="18"/>
        <v>388.09553441463424</v>
      </c>
      <c r="Y302" s="22">
        <v>292.14199865086027</v>
      </c>
      <c r="Z302" s="22">
        <v>95.953535763773942</v>
      </c>
      <c r="AA302" s="371">
        <v>3090.3888742110471</v>
      </c>
      <c r="AB302" s="22">
        <v>0.1255814559951495</v>
      </c>
      <c r="AC302" s="24">
        <v>0</v>
      </c>
      <c r="AD302" s="384">
        <v>0</v>
      </c>
    </row>
    <row r="303" spans="1:30">
      <c r="A303" s="21" t="s">
        <v>125</v>
      </c>
      <c r="B303" s="21" t="s">
        <v>126</v>
      </c>
      <c r="C303" s="23">
        <v>231.25417941428466</v>
      </c>
      <c r="D303" s="147">
        <v>3.1041503665948724</v>
      </c>
      <c r="E303" s="22">
        <v>54.548661781909892</v>
      </c>
      <c r="F303" s="22">
        <v>57.652812148504765</v>
      </c>
      <c r="G303" s="22">
        <v>0</v>
      </c>
      <c r="H303" s="22">
        <v>21.719006772097458</v>
      </c>
      <c r="I303" s="22">
        <v>2.0794793717965652</v>
      </c>
      <c r="J303" s="22">
        <v>0</v>
      </c>
      <c r="K303" s="22">
        <v>0</v>
      </c>
      <c r="L303" s="22">
        <v>0</v>
      </c>
      <c r="M303" s="388">
        <v>890.44914027379582</v>
      </c>
      <c r="N303" s="25">
        <v>0.85399999999999998</v>
      </c>
      <c r="O303" s="24">
        <v>908.66235442439995</v>
      </c>
      <c r="P303" s="24">
        <v>237.99499028022672</v>
      </c>
      <c r="Q303" s="24">
        <v>159.92255960628989</v>
      </c>
      <c r="R303" s="22">
        <v>78.072430673936807</v>
      </c>
      <c r="S303" s="24">
        <v>53.49385340491164</v>
      </c>
      <c r="T303" s="24">
        <f t="shared" si="16"/>
        <v>291.48884368513836</v>
      </c>
      <c r="U303" s="376">
        <v>762.57</v>
      </c>
      <c r="V303" s="376">
        <v>44.65</v>
      </c>
      <c r="W303" s="22">
        <f t="shared" si="17"/>
        <v>651.23478</v>
      </c>
      <c r="X303" s="22">
        <f t="shared" si="18"/>
        <v>124.41219597717671</v>
      </c>
      <c r="Y303" s="22">
        <v>43.821299797629045</v>
      </c>
      <c r="Z303" s="22">
        <v>80.59089617954767</v>
      </c>
      <c r="AA303" s="371">
        <v>893.71274318309383</v>
      </c>
      <c r="AB303" s="22">
        <v>0.13920826006582804</v>
      </c>
      <c r="AC303" s="24">
        <v>4.2082600658280289E-3</v>
      </c>
      <c r="AD303" s="384">
        <v>-34835.128172727193</v>
      </c>
    </row>
    <row r="304" spans="1:30">
      <c r="A304" s="21" t="s">
        <v>63</v>
      </c>
      <c r="B304" s="21" t="s">
        <v>64</v>
      </c>
      <c r="C304" s="23">
        <v>761.03922110720964</v>
      </c>
      <c r="D304" s="147">
        <v>44.111081746660467</v>
      </c>
      <c r="E304" s="22">
        <v>225.8997711767602</v>
      </c>
      <c r="F304" s="22">
        <v>270.01085292342066</v>
      </c>
      <c r="G304" s="22">
        <v>0</v>
      </c>
      <c r="H304" s="22">
        <v>63.539647471561715</v>
      </c>
      <c r="I304" s="22">
        <v>0.70320558466550509</v>
      </c>
      <c r="J304" s="22">
        <v>109.25805626888619</v>
      </c>
      <c r="K304" s="22">
        <v>5.4247287959910402</v>
      </c>
      <c r="L304" s="22">
        <v>0</v>
      </c>
      <c r="M304" s="388">
        <v>2912.8583559777217</v>
      </c>
      <c r="N304" s="25">
        <v>0.34239999999999998</v>
      </c>
      <c r="O304" s="24">
        <v>0</v>
      </c>
      <c r="P304" s="24">
        <v>77.82058412337571</v>
      </c>
      <c r="Q304" s="24">
        <v>44.073146348190129</v>
      </c>
      <c r="R304" s="22">
        <v>33.747437775185588</v>
      </c>
      <c r="S304" s="24">
        <v>11.05037347331508</v>
      </c>
      <c r="T304" s="24">
        <f t="shared" si="16"/>
        <v>88.870957596690786</v>
      </c>
      <c r="U304" s="376">
        <v>1000.15</v>
      </c>
      <c r="V304" s="376">
        <v>146.05000000000001</v>
      </c>
      <c r="W304" s="22">
        <f t="shared" si="17"/>
        <v>342.45135999999997</v>
      </c>
      <c r="X304" s="22">
        <f t="shared" si="18"/>
        <v>444.00546863919544</v>
      </c>
      <c r="Y304" s="22">
        <v>318.58588645977437</v>
      </c>
      <c r="Z304" s="22">
        <v>125.41958217942106</v>
      </c>
      <c r="AA304" s="371">
        <v>2965.6845362352196</v>
      </c>
      <c r="AB304" s="22">
        <v>0.14971432841701937</v>
      </c>
      <c r="AC304" s="24">
        <v>1.4714328417019362E-2</v>
      </c>
      <c r="AD304" s="384">
        <v>-424537.56878109544</v>
      </c>
    </row>
    <row r="305" spans="1:30">
      <c r="A305" s="21" t="s">
        <v>3</v>
      </c>
      <c r="B305" s="21" t="s">
        <v>4</v>
      </c>
      <c r="C305" s="23">
        <v>21.4</v>
      </c>
      <c r="D305" s="147">
        <v>2.9</v>
      </c>
      <c r="E305" s="22">
        <v>2.7</v>
      </c>
      <c r="F305" s="22">
        <v>5.6</v>
      </c>
      <c r="G305" s="22">
        <v>0</v>
      </c>
      <c r="H305" s="22">
        <v>0</v>
      </c>
      <c r="I305" s="22">
        <v>0</v>
      </c>
      <c r="J305" s="22">
        <v>0</v>
      </c>
      <c r="K305" s="22">
        <v>0</v>
      </c>
      <c r="L305" s="22">
        <v>0</v>
      </c>
      <c r="M305" s="388">
        <v>78.11</v>
      </c>
      <c r="N305" s="25">
        <v>0.74390000000000001</v>
      </c>
      <c r="O305" s="24">
        <v>82</v>
      </c>
      <c r="P305" s="24">
        <v>1</v>
      </c>
      <c r="Q305" s="24">
        <v>1</v>
      </c>
      <c r="R305" s="22">
        <v>0</v>
      </c>
      <c r="S305" s="24">
        <v>0</v>
      </c>
      <c r="T305" s="24">
        <f t="shared" si="16"/>
        <v>1</v>
      </c>
      <c r="U305" s="376">
        <v>58.11</v>
      </c>
      <c r="V305" s="376">
        <v>3.91</v>
      </c>
      <c r="W305" s="22">
        <f t="shared" si="17"/>
        <v>43.228028999999999</v>
      </c>
      <c r="X305" s="22">
        <f t="shared" si="18"/>
        <v>5.5</v>
      </c>
      <c r="Y305" s="22">
        <v>5.5</v>
      </c>
      <c r="Z305" s="22">
        <v>0</v>
      </c>
      <c r="AA305" s="371">
        <v>78.12</v>
      </c>
      <c r="AB305" s="22">
        <v>7.040450588837685E-2</v>
      </c>
      <c r="AC305" s="24">
        <v>0</v>
      </c>
      <c r="AD305" s="384">
        <v>0</v>
      </c>
    </row>
    <row r="306" spans="1:30">
      <c r="A306" s="21" t="s">
        <v>99</v>
      </c>
      <c r="B306" s="21" t="s">
        <v>100</v>
      </c>
      <c r="C306" s="23">
        <v>71.526053754548528</v>
      </c>
      <c r="D306" s="147">
        <v>1.3963653752643601</v>
      </c>
      <c r="E306" s="22">
        <v>13.893333194177051</v>
      </c>
      <c r="F306" s="22">
        <v>15.289698569441411</v>
      </c>
      <c r="G306" s="22">
        <v>0</v>
      </c>
      <c r="H306" s="22">
        <v>4.9425306807918359</v>
      </c>
      <c r="I306" s="22">
        <v>0.17077849913305126</v>
      </c>
      <c r="J306" s="22">
        <v>0</v>
      </c>
      <c r="K306" s="22">
        <v>0</v>
      </c>
      <c r="L306" s="22">
        <v>0</v>
      </c>
      <c r="M306" s="388">
        <v>259.40249438903822</v>
      </c>
      <c r="N306" s="25">
        <v>0.55989999999999995</v>
      </c>
      <c r="O306" s="24">
        <v>256.8834815723082</v>
      </c>
      <c r="P306" s="24">
        <v>14.103406831420841</v>
      </c>
      <c r="Q306" s="24">
        <v>8.0590896179547666</v>
      </c>
      <c r="R306" s="22">
        <v>6.0443172134660745</v>
      </c>
      <c r="S306" s="24">
        <v>3.0137382199950222</v>
      </c>
      <c r="T306" s="24">
        <f t="shared" si="16"/>
        <v>17.117145051415864</v>
      </c>
      <c r="U306" s="376">
        <v>145.65</v>
      </c>
      <c r="V306" s="376">
        <v>13.01</v>
      </c>
      <c r="W306" s="22">
        <f t="shared" si="17"/>
        <v>81.549435000000003</v>
      </c>
      <c r="X306" s="22">
        <f t="shared" si="18"/>
        <v>43.317606696506871</v>
      </c>
      <c r="Y306" s="22">
        <v>35.258517078552103</v>
      </c>
      <c r="Z306" s="22">
        <v>8.0590896179547666</v>
      </c>
      <c r="AA306" s="371">
        <v>260.67125369274692</v>
      </c>
      <c r="AB306" s="22">
        <v>0.16617715257381357</v>
      </c>
      <c r="AC306" s="24">
        <v>3.1177152573813566E-2</v>
      </c>
      <c r="AD306" s="384">
        <v>-76121.51213915502</v>
      </c>
    </row>
    <row r="307" spans="1:30">
      <c r="A307" s="21" t="s">
        <v>487</v>
      </c>
      <c r="B307" s="21" t="s">
        <v>488</v>
      </c>
      <c r="C307" s="23">
        <v>109.49915532648581</v>
      </c>
      <c r="D307" s="147">
        <v>0</v>
      </c>
      <c r="E307" s="22">
        <v>6.6302240839890478</v>
      </c>
      <c r="F307" s="22">
        <v>6.6302240839890478</v>
      </c>
      <c r="G307" s="22">
        <v>0</v>
      </c>
      <c r="H307" s="22">
        <v>3.7068980105938771</v>
      </c>
      <c r="I307" s="22">
        <v>8.0366352533200583E-2</v>
      </c>
      <c r="J307" s="22">
        <v>0</v>
      </c>
      <c r="K307" s="22">
        <v>21.698915183964161</v>
      </c>
      <c r="L307" s="22">
        <v>0</v>
      </c>
      <c r="M307" s="388">
        <v>392.64990688908483</v>
      </c>
      <c r="N307" s="25">
        <v>0.8992</v>
      </c>
      <c r="O307" s="24">
        <v>399.93232229100528</v>
      </c>
      <c r="P307" s="24">
        <v>0</v>
      </c>
      <c r="Q307" s="24">
        <v>0</v>
      </c>
      <c r="R307" s="22">
        <v>0</v>
      </c>
      <c r="S307" s="24">
        <v>0</v>
      </c>
      <c r="T307" s="24">
        <f t="shared" si="16"/>
        <v>0</v>
      </c>
      <c r="U307" s="376">
        <v>354.06</v>
      </c>
      <c r="V307" s="376">
        <v>19.690000000000001</v>
      </c>
      <c r="W307" s="22">
        <f t="shared" si="17"/>
        <v>318.37075199999998</v>
      </c>
      <c r="X307" s="22">
        <f t="shared" si="18"/>
        <v>63.717177291954869</v>
      </c>
      <c r="Y307" s="22">
        <v>55.154394572877933</v>
      </c>
      <c r="Z307" s="22">
        <v>8.5627827190769388</v>
      </c>
      <c r="AA307" s="371">
        <v>393.74697100922504</v>
      </c>
      <c r="AB307" s="22">
        <v>0.16182264749526681</v>
      </c>
      <c r="AC307" s="24">
        <v>2.6822647495266805E-2</v>
      </c>
      <c r="AD307" s="384">
        <v>-98942.402784771068</v>
      </c>
    </row>
    <row r="308" spans="1:30">
      <c r="A308" s="21" t="s">
        <v>41</v>
      </c>
      <c r="B308" s="21" t="s">
        <v>42</v>
      </c>
      <c r="C308" s="23">
        <v>1848.2553297644804</v>
      </c>
      <c r="D308" s="147">
        <v>167.56384503172325</v>
      </c>
      <c r="E308" s="22">
        <v>538.39428720804403</v>
      </c>
      <c r="F308" s="22">
        <v>705.95813223976734</v>
      </c>
      <c r="G308" s="22">
        <v>198.94690569593806</v>
      </c>
      <c r="H308" s="22">
        <v>242.09359121220012</v>
      </c>
      <c r="I308" s="22">
        <v>15.06869109997511</v>
      </c>
      <c r="J308" s="22">
        <v>433.78743359201678</v>
      </c>
      <c r="K308" s="22">
        <v>49.887413334984259</v>
      </c>
      <c r="L308" s="22">
        <v>0</v>
      </c>
      <c r="M308" s="388">
        <v>7325.8953231045671</v>
      </c>
      <c r="N308" s="25">
        <v>0.58699999999999997</v>
      </c>
      <c r="O308" s="24">
        <v>6299.1859226338947</v>
      </c>
      <c r="P308" s="24">
        <v>1579.0778720180119</v>
      </c>
      <c r="Q308" s="24">
        <v>1004.3640436376128</v>
      </c>
      <c r="R308" s="22">
        <v>574.71382838039926</v>
      </c>
      <c r="S308" s="24">
        <v>368.42949739439143</v>
      </c>
      <c r="T308" s="24">
        <f t="shared" si="16"/>
        <v>1947.5073694124035</v>
      </c>
      <c r="U308" s="376">
        <v>4312.32</v>
      </c>
      <c r="V308" s="376">
        <v>0</v>
      </c>
      <c r="W308" s="22">
        <f t="shared" si="17"/>
        <v>2531.3318399999998</v>
      </c>
      <c r="X308" s="22">
        <f t="shared" si="18"/>
        <v>954.24658007595656</v>
      </c>
      <c r="Y308" s="22">
        <v>760.07288959335892</v>
      </c>
      <c r="Z308" s="22">
        <v>194.17369048259766</v>
      </c>
      <c r="AA308" s="371">
        <v>7292.6097521151341</v>
      </c>
      <c r="AB308" s="22">
        <v>0.13085117845489933</v>
      </c>
      <c r="AC308" s="24">
        <v>0</v>
      </c>
      <c r="AD308" s="384">
        <v>0</v>
      </c>
    </row>
    <row r="309" spans="1:30">
      <c r="A309" s="21" t="s">
        <v>473</v>
      </c>
      <c r="B309" s="21" t="s">
        <v>474</v>
      </c>
      <c r="C309" s="23">
        <v>789.69987157936225</v>
      </c>
      <c r="D309" s="147">
        <v>82.455877699063805</v>
      </c>
      <c r="E309" s="22">
        <v>206.32051854085921</v>
      </c>
      <c r="F309" s="22">
        <v>288.77639623992303</v>
      </c>
      <c r="G309" s="22">
        <v>0</v>
      </c>
      <c r="H309" s="22">
        <v>66.493110927156835</v>
      </c>
      <c r="I309" s="22">
        <v>1.778105549797063</v>
      </c>
      <c r="J309" s="22">
        <v>724.38211855800353</v>
      </c>
      <c r="K309" s="22">
        <v>2.2100746946630165</v>
      </c>
      <c r="L309" s="22">
        <v>0</v>
      </c>
      <c r="M309" s="388">
        <v>3426.2084785776078</v>
      </c>
      <c r="N309" s="25">
        <v>0.52390000000000003</v>
      </c>
      <c r="O309" s="24">
        <v>1852.583225927352</v>
      </c>
      <c r="P309" s="24">
        <v>103.00523917948436</v>
      </c>
      <c r="Q309" s="24">
        <v>60.695018685221839</v>
      </c>
      <c r="R309" s="22">
        <v>42.310220494262524</v>
      </c>
      <c r="S309" s="24">
        <v>13.812966841643851</v>
      </c>
      <c r="T309" s="24">
        <f t="shared" si="16"/>
        <v>116.81820602112822</v>
      </c>
      <c r="U309" s="376">
        <v>1800.01</v>
      </c>
      <c r="V309" s="376">
        <v>171.79</v>
      </c>
      <c r="W309" s="22">
        <f t="shared" si="17"/>
        <v>943.02523900000006</v>
      </c>
      <c r="X309" s="22">
        <f t="shared" si="18"/>
        <v>399.17678263932203</v>
      </c>
      <c r="Y309" s="22">
        <v>316.5711140552857</v>
      </c>
      <c r="Z309" s="22">
        <v>82.605668584036351</v>
      </c>
      <c r="AA309" s="371">
        <v>3218.8003934111334</v>
      </c>
      <c r="AB309" s="22">
        <v>0.12401414621932901</v>
      </c>
      <c r="AC309" s="24">
        <v>0</v>
      </c>
      <c r="AD309" s="384">
        <v>0</v>
      </c>
    </row>
    <row r="310" spans="1:30">
      <c r="A310" s="21" t="s">
        <v>607</v>
      </c>
      <c r="B310" s="21" t="s">
        <v>608</v>
      </c>
      <c r="C310" s="23">
        <v>1488.5958105902744</v>
      </c>
      <c r="D310" s="147">
        <v>283.19093473886556</v>
      </c>
      <c r="E310" s="22">
        <v>311.60044035935198</v>
      </c>
      <c r="F310" s="22">
        <v>594.79137509821749</v>
      </c>
      <c r="G310" s="22">
        <v>0</v>
      </c>
      <c r="H310" s="22">
        <v>80.436673091667132</v>
      </c>
      <c r="I310" s="22">
        <v>8.6594744854523622</v>
      </c>
      <c r="J310" s="22">
        <v>175.11828216984406</v>
      </c>
      <c r="K310" s="22">
        <v>5.6256446773240407</v>
      </c>
      <c r="L310" s="22">
        <v>0</v>
      </c>
      <c r="M310" s="388">
        <v>5249.1082241178619</v>
      </c>
      <c r="N310" s="25">
        <v>0.46389999999999998</v>
      </c>
      <c r="O310" s="24">
        <v>1551.3747514562926</v>
      </c>
      <c r="P310" s="24">
        <v>425.1169773471139</v>
      </c>
      <c r="Q310" s="24">
        <v>301.96401412274264</v>
      </c>
      <c r="R310" s="22">
        <v>123.15296322437128</v>
      </c>
      <c r="S310" s="24">
        <v>76.348034906540562</v>
      </c>
      <c r="T310" s="24">
        <f t="shared" si="16"/>
        <v>501.46501225365444</v>
      </c>
      <c r="U310" s="376">
        <v>2434.5</v>
      </c>
      <c r="V310" s="376">
        <v>263.19</v>
      </c>
      <c r="W310" s="22">
        <f t="shared" si="17"/>
        <v>1129.36455</v>
      </c>
      <c r="X310" s="22">
        <f t="shared" si="18"/>
        <v>719.52559495302398</v>
      </c>
      <c r="Y310" s="22">
        <v>488.07861498738555</v>
      </c>
      <c r="Z310" s="22">
        <v>231.44697996563846</v>
      </c>
      <c r="AA310" s="371">
        <v>5301.7627699297454</v>
      </c>
      <c r="AB310" s="22">
        <v>0.13571440786336023</v>
      </c>
      <c r="AC310" s="24">
        <v>7.1440786336021689E-4</v>
      </c>
      <c r="AD310" s="384">
        <v>-36232.244860016661</v>
      </c>
    </row>
    <row r="311" spans="1:30">
      <c r="A311" s="21" t="s">
        <v>1253</v>
      </c>
      <c r="B311" s="21" t="s">
        <v>1254</v>
      </c>
      <c r="C311" s="23">
        <v>0</v>
      </c>
      <c r="D311" s="147">
        <v>0</v>
      </c>
      <c r="E311" s="22">
        <v>0</v>
      </c>
      <c r="F311" s="22">
        <v>0</v>
      </c>
      <c r="G311" s="22">
        <v>0</v>
      </c>
      <c r="H311" s="22">
        <v>0</v>
      </c>
      <c r="I311" s="22">
        <v>0</v>
      </c>
      <c r="J311" s="22">
        <v>0</v>
      </c>
      <c r="K311" s="22">
        <v>0</v>
      </c>
      <c r="L311" s="22">
        <v>0</v>
      </c>
      <c r="M311" s="388">
        <v>50</v>
      </c>
      <c r="N311" s="25">
        <v>0.60419999999999996</v>
      </c>
      <c r="O311" s="24">
        <v>48</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96.931866949106549</v>
      </c>
      <c r="D312" s="147">
        <v>0.13059532286645095</v>
      </c>
      <c r="E312" s="22">
        <v>18.705268552102439</v>
      </c>
      <c r="F312" s="22">
        <v>18.83586387496889</v>
      </c>
      <c r="G312" s="22">
        <v>0</v>
      </c>
      <c r="H312" s="22">
        <v>7.9060399304536082</v>
      </c>
      <c r="I312" s="22">
        <v>0.92421305413180677</v>
      </c>
      <c r="J312" s="22">
        <v>18.624902199569235</v>
      </c>
      <c r="K312" s="22">
        <v>0</v>
      </c>
      <c r="L312" s="22">
        <v>0</v>
      </c>
      <c r="M312" s="388">
        <v>325.59423149419558</v>
      </c>
      <c r="N312" s="25">
        <v>0.69669999999999999</v>
      </c>
      <c r="O312" s="24">
        <v>335.45960534736719</v>
      </c>
      <c r="P312" s="24">
        <v>0</v>
      </c>
      <c r="Q312" s="24">
        <v>0</v>
      </c>
      <c r="R312" s="22">
        <v>0</v>
      </c>
      <c r="S312" s="24">
        <v>0</v>
      </c>
      <c r="T312" s="24">
        <f t="shared" si="16"/>
        <v>0</v>
      </c>
      <c r="U312" s="376">
        <v>227.48</v>
      </c>
      <c r="V312" s="376">
        <v>16.329999999999998</v>
      </c>
      <c r="W312" s="22">
        <f t="shared" si="17"/>
        <v>158.48531599999998</v>
      </c>
      <c r="X312" s="22">
        <f t="shared" si="18"/>
        <v>60.946865235782923</v>
      </c>
      <c r="Y312" s="22">
        <v>40.295448089773835</v>
      </c>
      <c r="Z312" s="22">
        <v>20.651417146009088</v>
      </c>
      <c r="AA312" s="371">
        <v>326.50394200941491</v>
      </c>
      <c r="AB312" s="22">
        <v>0.18666502113479991</v>
      </c>
      <c r="AC312" s="24">
        <v>5.1665021134799899E-2</v>
      </c>
      <c r="AD312" s="384">
        <v>-158833.71830136221</v>
      </c>
    </row>
    <row r="313" spans="1:30">
      <c r="A313" s="21" t="s">
        <v>387</v>
      </c>
      <c r="B313" s="21" t="s">
        <v>388</v>
      </c>
      <c r="C313" s="23">
        <v>1292.4114982626652</v>
      </c>
      <c r="D313" s="147">
        <v>33.231486772478441</v>
      </c>
      <c r="E313" s="22">
        <v>291.75999707771808</v>
      </c>
      <c r="F313" s="22">
        <v>324.99148385019652</v>
      </c>
      <c r="G313" s="22">
        <v>0</v>
      </c>
      <c r="H313" s="22">
        <v>100.49812384276734</v>
      </c>
      <c r="I313" s="22">
        <v>6.3489418501228467</v>
      </c>
      <c r="J313" s="22">
        <v>47.014316231922344</v>
      </c>
      <c r="K313" s="22">
        <v>30.941045725282226</v>
      </c>
      <c r="L313" s="22">
        <v>0</v>
      </c>
      <c r="M313" s="388">
        <v>4160.7569407310602</v>
      </c>
      <c r="N313" s="25">
        <v>0.29680000000000001</v>
      </c>
      <c r="O313" s="24">
        <v>27.199427460597338</v>
      </c>
      <c r="P313" s="24">
        <v>121.39003737044368</v>
      </c>
      <c r="Q313" s="24">
        <v>90.161065100868953</v>
      </c>
      <c r="R313" s="22">
        <v>31.228972269574722</v>
      </c>
      <c r="S313" s="24">
        <v>37.169438046605272</v>
      </c>
      <c r="T313" s="24">
        <f t="shared" si="16"/>
        <v>158.55947541704896</v>
      </c>
      <c r="U313" s="376">
        <v>1238.3599999999999</v>
      </c>
      <c r="V313" s="376">
        <v>0</v>
      </c>
      <c r="W313" s="22">
        <f t="shared" si="17"/>
        <v>367.54524799999996</v>
      </c>
      <c r="X313" s="22">
        <f t="shared" si="18"/>
        <v>570.18059047029976</v>
      </c>
      <c r="Y313" s="22">
        <v>343.51869496532191</v>
      </c>
      <c r="Z313" s="22">
        <v>226.66189550497782</v>
      </c>
      <c r="AA313" s="371">
        <v>4199.7527817085884</v>
      </c>
      <c r="AB313" s="22">
        <v>0.13576527479275405</v>
      </c>
      <c r="AC313" s="24">
        <v>7.6527479275403931E-4</v>
      </c>
      <c r="AD313" s="384">
        <v>-31616.833010042872</v>
      </c>
    </row>
    <row r="314" spans="1:30">
      <c r="A314" s="21" t="s">
        <v>267</v>
      </c>
      <c r="B314" s="21" t="s">
        <v>268</v>
      </c>
      <c r="C314" s="23">
        <v>301.42405096983543</v>
      </c>
      <c r="D314" s="147">
        <v>0</v>
      </c>
      <c r="E314" s="22">
        <v>58.185239234037226</v>
      </c>
      <c r="F314" s="22">
        <v>58.185239234037226</v>
      </c>
      <c r="G314" s="22">
        <v>0</v>
      </c>
      <c r="H314" s="22">
        <v>20.945480628965406</v>
      </c>
      <c r="I314" s="22">
        <v>5.022897033325037E-2</v>
      </c>
      <c r="J314" s="22">
        <v>18.132658290303382</v>
      </c>
      <c r="K314" s="22">
        <v>0</v>
      </c>
      <c r="L314" s="22">
        <v>0</v>
      </c>
      <c r="M314" s="388">
        <v>1111.9287620612299</v>
      </c>
      <c r="N314" s="25">
        <v>0.43130000000000002</v>
      </c>
      <c r="O314" s="24">
        <v>18.132951640398225</v>
      </c>
      <c r="P314" s="24">
        <v>183.09244225790985</v>
      </c>
      <c r="Q314" s="24">
        <v>108.04217019070609</v>
      </c>
      <c r="R314" s="22">
        <v>75.050272067203764</v>
      </c>
      <c r="S314" s="24">
        <v>19.840443281633895</v>
      </c>
      <c r="T314" s="24">
        <f t="shared" si="16"/>
        <v>202.93288553954375</v>
      </c>
      <c r="U314" s="376">
        <v>481.47</v>
      </c>
      <c r="V314" s="376">
        <v>55.75</v>
      </c>
      <c r="W314" s="22">
        <f t="shared" si="17"/>
        <v>207.65801100000002</v>
      </c>
      <c r="X314" s="22">
        <f t="shared" si="18"/>
        <v>145.31545967374689</v>
      </c>
      <c r="Y314" s="22">
        <v>101.99785297724002</v>
      </c>
      <c r="Z314" s="22">
        <v>43.317606696506871</v>
      </c>
      <c r="AA314" s="371">
        <v>1115.0354918161765</v>
      </c>
      <c r="AB314" s="22">
        <v>0.13032361816309199</v>
      </c>
      <c r="AC314" s="24">
        <v>0</v>
      </c>
      <c r="AD314" s="384">
        <v>0</v>
      </c>
    </row>
    <row r="315" spans="1:30">
      <c r="A315" s="21" t="s">
        <v>307</v>
      </c>
      <c r="B315" s="21" t="s">
        <v>308</v>
      </c>
      <c r="C315" s="23">
        <v>53.544082375244891</v>
      </c>
      <c r="D315" s="147">
        <v>6.1379801747231948</v>
      </c>
      <c r="E315" s="22">
        <v>15.400202304174563</v>
      </c>
      <c r="F315" s="22">
        <v>21.53818247889776</v>
      </c>
      <c r="G315" s="22">
        <v>0</v>
      </c>
      <c r="H315" s="22">
        <v>4.3196914486595315</v>
      </c>
      <c r="I315" s="22">
        <v>0</v>
      </c>
      <c r="J315" s="22">
        <v>0</v>
      </c>
      <c r="K315" s="22">
        <v>0</v>
      </c>
      <c r="L315" s="22">
        <v>0</v>
      </c>
      <c r="M315" s="388">
        <v>221.11797320103477</v>
      </c>
      <c r="N315" s="25">
        <v>0.44269999999999998</v>
      </c>
      <c r="O315" s="24">
        <v>0</v>
      </c>
      <c r="P315" s="24">
        <v>0</v>
      </c>
      <c r="Q315" s="24">
        <v>0</v>
      </c>
      <c r="R315" s="22">
        <v>0</v>
      </c>
      <c r="S315" s="24">
        <v>0</v>
      </c>
      <c r="T315" s="24">
        <f t="shared" si="16"/>
        <v>0</v>
      </c>
      <c r="U315" s="376">
        <v>98.16</v>
      </c>
      <c r="V315" s="376">
        <v>11.09</v>
      </c>
      <c r="W315" s="22">
        <f t="shared" si="17"/>
        <v>43.455431999999995</v>
      </c>
      <c r="X315" s="22">
        <f t="shared" si="18"/>
        <v>40.547294640334918</v>
      </c>
      <c r="Y315" s="22">
        <v>30.221586067330374</v>
      </c>
      <c r="Z315" s="22">
        <v>10.325708573004544</v>
      </c>
      <c r="AA315" s="371">
        <v>221.73577697600297</v>
      </c>
      <c r="AB315" s="22">
        <v>0.18286311389759666</v>
      </c>
      <c r="AC315" s="24">
        <v>4.7863113897596649E-2</v>
      </c>
      <c r="AD315" s="384">
        <v>-98885.727877367026</v>
      </c>
    </row>
    <row r="316" spans="1:30">
      <c r="A316" s="21" t="s">
        <v>351</v>
      </c>
      <c r="B316" s="21" t="s">
        <v>352</v>
      </c>
      <c r="C316" s="23">
        <v>98.046950090504708</v>
      </c>
      <c r="D316" s="147">
        <v>6.369033438256146</v>
      </c>
      <c r="E316" s="22">
        <v>24.521783316692829</v>
      </c>
      <c r="F316" s="22">
        <v>30.890816754948975</v>
      </c>
      <c r="G316" s="22">
        <v>0</v>
      </c>
      <c r="H316" s="22">
        <v>19.388382548634642</v>
      </c>
      <c r="I316" s="22">
        <v>0</v>
      </c>
      <c r="J316" s="22">
        <v>0</v>
      </c>
      <c r="K316" s="22">
        <v>0</v>
      </c>
      <c r="L316" s="22">
        <v>0</v>
      </c>
      <c r="M316" s="388">
        <v>360.2220836419383</v>
      </c>
      <c r="N316" s="25">
        <v>0.41570000000000001</v>
      </c>
      <c r="O316" s="24">
        <v>0</v>
      </c>
      <c r="P316" s="24">
        <v>8.0590896179547666</v>
      </c>
      <c r="Q316" s="24">
        <v>7.0517034157104206</v>
      </c>
      <c r="R316" s="22">
        <v>1.0073862022443458</v>
      </c>
      <c r="S316" s="24">
        <v>1.0045794066650073</v>
      </c>
      <c r="T316" s="24">
        <f t="shared" si="16"/>
        <v>9.0636690246197738</v>
      </c>
      <c r="U316" s="376">
        <v>150.16</v>
      </c>
      <c r="V316" s="376">
        <v>18.059999999999999</v>
      </c>
      <c r="W316" s="22">
        <f t="shared" si="17"/>
        <v>62.421512</v>
      </c>
      <c r="X316" s="22">
        <f t="shared" si="18"/>
        <v>41.302834292018176</v>
      </c>
      <c r="Y316" s="22">
        <v>23.421729202181041</v>
      </c>
      <c r="Z316" s="22">
        <v>17.881105089837138</v>
      </c>
      <c r="AA316" s="371">
        <v>361.39980005515906</v>
      </c>
      <c r="AB316" s="22">
        <v>0.11428571428571428</v>
      </c>
      <c r="AC316" s="24">
        <v>0</v>
      </c>
      <c r="AD316" s="384">
        <v>0</v>
      </c>
    </row>
    <row r="317" spans="1:30">
      <c r="A317" s="21" t="s">
        <v>137</v>
      </c>
      <c r="B317" s="21" t="s">
        <v>138</v>
      </c>
      <c r="C317" s="23">
        <v>34.959363351942251</v>
      </c>
      <c r="D317" s="147">
        <v>3.0639671903282721</v>
      </c>
      <c r="E317" s="22">
        <v>10.608358534382479</v>
      </c>
      <c r="F317" s="22">
        <v>13.672325724710751</v>
      </c>
      <c r="G317" s="22">
        <v>0</v>
      </c>
      <c r="H317" s="22">
        <v>3.4256157767276751</v>
      </c>
      <c r="I317" s="22">
        <v>0.50228970333250367</v>
      </c>
      <c r="J317" s="22">
        <v>0</v>
      </c>
      <c r="K317" s="22">
        <v>0</v>
      </c>
      <c r="L317" s="22">
        <v>0</v>
      </c>
      <c r="M317" s="388">
        <v>113.31655707181284</v>
      </c>
      <c r="N317" s="25">
        <v>0.66439999999999999</v>
      </c>
      <c r="O317" s="24">
        <v>118.8715718648328</v>
      </c>
      <c r="P317" s="24">
        <v>2.2666189550497782</v>
      </c>
      <c r="Q317" s="24">
        <v>1.0073862022443458</v>
      </c>
      <c r="R317" s="22">
        <v>1.2592327528054323</v>
      </c>
      <c r="S317" s="24">
        <v>0.75343455499875556</v>
      </c>
      <c r="T317" s="24">
        <f t="shared" si="16"/>
        <v>3.020053510048534</v>
      </c>
      <c r="U317" s="376">
        <v>75.5</v>
      </c>
      <c r="V317" s="376">
        <v>5.68</v>
      </c>
      <c r="W317" s="22">
        <f t="shared" si="17"/>
        <v>50.162199999999999</v>
      </c>
      <c r="X317" s="22">
        <f t="shared" si="18"/>
        <v>15.614486134787361</v>
      </c>
      <c r="Y317" s="22">
        <v>14.607099932543015</v>
      </c>
      <c r="Z317" s="22">
        <v>1.0073862022443458</v>
      </c>
      <c r="AA317" s="371">
        <v>115.4162371911347</v>
      </c>
      <c r="AB317" s="22">
        <v>0.13528846993104654</v>
      </c>
      <c r="AC317" s="24">
        <v>2.8846993104653107E-4</v>
      </c>
      <c r="AD317" s="384">
        <v>-322.47945787637144</v>
      </c>
    </row>
    <row r="318" spans="1:30">
      <c r="A318" s="21" t="s">
        <v>281</v>
      </c>
      <c r="B318" s="21" t="s">
        <v>282</v>
      </c>
      <c r="C318" s="23">
        <v>227.23586178762466</v>
      </c>
      <c r="D318" s="147">
        <v>8.9005735430519639</v>
      </c>
      <c r="E318" s="22">
        <v>48.511139547853205</v>
      </c>
      <c r="F318" s="22">
        <v>57.411713090905167</v>
      </c>
      <c r="G318" s="22">
        <v>0</v>
      </c>
      <c r="H318" s="22">
        <v>9.1718099828515172</v>
      </c>
      <c r="I318" s="22">
        <v>0.33151120419945246</v>
      </c>
      <c r="J318" s="22">
        <v>0</v>
      </c>
      <c r="K318" s="22">
        <v>2.0091588133300147</v>
      </c>
      <c r="L318" s="22">
        <v>0</v>
      </c>
      <c r="M318" s="388">
        <v>734.06626403825419</v>
      </c>
      <c r="N318" s="25">
        <v>0.91100000000000003</v>
      </c>
      <c r="O318" s="24">
        <v>741.43624485183852</v>
      </c>
      <c r="P318" s="24">
        <v>41.302834292018176</v>
      </c>
      <c r="Q318" s="24">
        <v>22.414342999936693</v>
      </c>
      <c r="R318" s="22">
        <v>18.888491292081483</v>
      </c>
      <c r="S318" s="24">
        <v>7.2832006983213029</v>
      </c>
      <c r="T318" s="24">
        <f t="shared" si="16"/>
        <v>48.586034990339478</v>
      </c>
      <c r="U318" s="376">
        <v>670.6</v>
      </c>
      <c r="V318" s="376">
        <v>36.81</v>
      </c>
      <c r="W318" s="22">
        <f t="shared" si="17"/>
        <v>610.91660000000002</v>
      </c>
      <c r="X318" s="22">
        <f t="shared" si="18"/>
        <v>115.84941325809976</v>
      </c>
      <c r="Y318" s="22">
        <v>63.465330741393785</v>
      </c>
      <c r="Z318" s="22">
        <v>52.38408251670598</v>
      </c>
      <c r="AA318" s="371">
        <v>736.72167742533509</v>
      </c>
      <c r="AB318" s="22">
        <v>0.15724990428266691</v>
      </c>
      <c r="AC318" s="24">
        <v>2.2249904282666905E-2</v>
      </c>
      <c r="AD318" s="384">
        <v>-157445.64177088017</v>
      </c>
    </row>
    <row r="319" spans="1:30">
      <c r="A319" s="21" t="s">
        <v>161</v>
      </c>
      <c r="B319" s="21" t="s">
        <v>162</v>
      </c>
      <c r="C319" s="23">
        <v>48.621643282586355</v>
      </c>
      <c r="D319" s="147">
        <v>4.2795082723929312</v>
      </c>
      <c r="E319" s="22">
        <v>6.8411857593886998</v>
      </c>
      <c r="F319" s="22">
        <v>11.120694031781632</v>
      </c>
      <c r="G319" s="22">
        <v>0</v>
      </c>
      <c r="H319" s="22">
        <v>0.95435043633175687</v>
      </c>
      <c r="I319" s="22">
        <v>0</v>
      </c>
      <c r="J319" s="22">
        <v>0</v>
      </c>
      <c r="K319" s="22">
        <v>0</v>
      </c>
      <c r="L319" s="22">
        <v>0</v>
      </c>
      <c r="M319" s="388">
        <v>157.19658555494036</v>
      </c>
      <c r="N319" s="25">
        <v>0.6774</v>
      </c>
      <c r="O319" s="24">
        <v>156.14486134787361</v>
      </c>
      <c r="P319" s="24">
        <v>0</v>
      </c>
      <c r="Q319" s="24">
        <v>0</v>
      </c>
      <c r="R319" s="22">
        <v>0</v>
      </c>
      <c r="S319" s="24">
        <v>0</v>
      </c>
      <c r="T319" s="24">
        <f t="shared" si="16"/>
        <v>0</v>
      </c>
      <c r="U319" s="376">
        <v>106.78</v>
      </c>
      <c r="V319" s="376">
        <v>0</v>
      </c>
      <c r="W319" s="22">
        <f t="shared" si="17"/>
        <v>72.332772000000006</v>
      </c>
      <c r="X319" s="22">
        <f t="shared" si="18"/>
        <v>18.636644741520399</v>
      </c>
      <c r="Y319" s="22">
        <v>15.614486134787361</v>
      </c>
      <c r="Z319" s="22">
        <v>3.0221586067330373</v>
      </c>
      <c r="AA319" s="371">
        <v>157.63579292719521</v>
      </c>
      <c r="AB319" s="22">
        <v>0.11822597137014318</v>
      </c>
      <c r="AC319" s="24">
        <v>0</v>
      </c>
      <c r="AD319" s="384">
        <v>0</v>
      </c>
    </row>
    <row r="320" spans="1:30">
      <c r="A320" s="21" t="s">
        <v>251</v>
      </c>
      <c r="B320" s="21" t="s">
        <v>252</v>
      </c>
      <c r="C320" s="23">
        <v>16.399999999999999</v>
      </c>
      <c r="D320" s="147">
        <v>0</v>
      </c>
      <c r="E320" s="22">
        <v>2.59</v>
      </c>
      <c r="F320" s="22">
        <v>2.59</v>
      </c>
      <c r="G320" s="22">
        <v>0</v>
      </c>
      <c r="H320" s="22">
        <v>4.45</v>
      </c>
      <c r="I320" s="22">
        <v>0.08</v>
      </c>
      <c r="J320" s="22">
        <v>0</v>
      </c>
      <c r="K320" s="22">
        <v>0</v>
      </c>
      <c r="L320" s="22">
        <v>0</v>
      </c>
      <c r="M320" s="388">
        <v>60.22</v>
      </c>
      <c r="N320" s="25">
        <v>0.91379999999999995</v>
      </c>
      <c r="O320" s="24">
        <v>58</v>
      </c>
      <c r="P320" s="24">
        <v>0</v>
      </c>
      <c r="Q320" s="24">
        <v>0</v>
      </c>
      <c r="R320" s="22">
        <v>0</v>
      </c>
      <c r="S320" s="24">
        <v>0</v>
      </c>
      <c r="T320" s="24">
        <f t="shared" si="16"/>
        <v>0</v>
      </c>
      <c r="U320" s="376">
        <v>55.03</v>
      </c>
      <c r="V320" s="376">
        <v>0</v>
      </c>
      <c r="W320" s="22">
        <f t="shared" si="17"/>
        <v>50.286414000000001</v>
      </c>
      <c r="X320" s="22">
        <f t="shared" si="18"/>
        <v>5.5</v>
      </c>
      <c r="Y320" s="22">
        <v>5.5</v>
      </c>
      <c r="Z320" s="22">
        <v>0</v>
      </c>
      <c r="AA320" s="371">
        <v>60.23</v>
      </c>
      <c r="AB320" s="22">
        <v>9.1316619624771708E-2</v>
      </c>
      <c r="AC320" s="24">
        <v>0</v>
      </c>
      <c r="AD320" s="384">
        <v>0</v>
      </c>
    </row>
    <row r="321" spans="1:30">
      <c r="A321" s="21" t="s">
        <v>85</v>
      </c>
      <c r="B321" s="21" t="s">
        <v>86</v>
      </c>
      <c r="C321" s="23">
        <v>684.24917126173648</v>
      </c>
      <c r="D321" s="147">
        <v>3.3552952182611242</v>
      </c>
      <c r="E321" s="22">
        <v>83.450411311662151</v>
      </c>
      <c r="F321" s="22">
        <v>86.80570652992327</v>
      </c>
      <c r="G321" s="22">
        <v>0</v>
      </c>
      <c r="H321" s="22">
        <v>47.255415289521942</v>
      </c>
      <c r="I321" s="22">
        <v>1.1251289354648084</v>
      </c>
      <c r="J321" s="22">
        <v>183.86816880189627</v>
      </c>
      <c r="K321" s="22">
        <v>1.8082429319970132</v>
      </c>
      <c r="L321" s="22">
        <v>0</v>
      </c>
      <c r="M321" s="388">
        <v>2360.430094458568</v>
      </c>
      <c r="N321" s="25">
        <v>0.47249999999999998</v>
      </c>
      <c r="O321" s="24">
        <v>502.68571491992856</v>
      </c>
      <c r="P321" s="24">
        <v>210.2918697185072</v>
      </c>
      <c r="Q321" s="24">
        <v>146.57469242655233</v>
      </c>
      <c r="R321" s="22">
        <v>63.717177291954876</v>
      </c>
      <c r="S321" s="24">
        <v>26.119064573290192</v>
      </c>
      <c r="T321" s="24">
        <f t="shared" si="16"/>
        <v>236.41093429179739</v>
      </c>
      <c r="U321" s="376">
        <v>1118.42</v>
      </c>
      <c r="V321" s="376">
        <v>118.35</v>
      </c>
      <c r="W321" s="22">
        <f t="shared" si="17"/>
        <v>528.45344999999998</v>
      </c>
      <c r="X321" s="22">
        <f t="shared" si="18"/>
        <v>321.10435196538526</v>
      </c>
      <c r="Y321" s="22">
        <v>187.62568016800941</v>
      </c>
      <c r="Z321" s="22">
        <v>133.47867179737582</v>
      </c>
      <c r="AA321" s="371">
        <v>2392.8948155011067</v>
      </c>
      <c r="AB321" s="22">
        <v>0.13419075083671883</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130.99715462911695</v>
      </c>
      <c r="N322" s="25">
        <v>0</v>
      </c>
      <c r="O322" s="24">
        <v>0</v>
      </c>
      <c r="P322" s="24">
        <v>0</v>
      </c>
      <c r="Q322" s="24">
        <v>0</v>
      </c>
      <c r="R322" s="22">
        <v>0</v>
      </c>
      <c r="S322" s="24">
        <v>0</v>
      </c>
      <c r="T322" s="24">
        <f t="shared" si="16"/>
        <v>0</v>
      </c>
      <c r="U322" s="376">
        <v>0</v>
      </c>
      <c r="V322" s="376">
        <v>0</v>
      </c>
      <c r="W322" s="22">
        <f t="shared" si="17"/>
        <v>0</v>
      </c>
      <c r="X322" s="22">
        <f t="shared" si="18"/>
        <v>17.629258539276051</v>
      </c>
      <c r="Y322" s="22">
        <v>16.621872337031707</v>
      </c>
      <c r="Z322" s="22">
        <v>1.0073862022443458</v>
      </c>
      <c r="AA322" s="371">
        <v>131.3631607726627</v>
      </c>
      <c r="AB322" s="22">
        <v>0.13420245398773006</v>
      </c>
      <c r="AC322" s="24">
        <v>0</v>
      </c>
      <c r="AD322" s="384">
        <v>0</v>
      </c>
    </row>
    <row r="323" spans="1:30">
      <c r="A323" s="21" t="s">
        <v>585</v>
      </c>
      <c r="B323" s="21" t="s">
        <v>586</v>
      </c>
      <c r="C323" s="23">
        <v>4393.6787219604093</v>
      </c>
      <c r="D323" s="147">
        <v>269.43824266162159</v>
      </c>
      <c r="E323" s="22">
        <v>1071.4341661785636</v>
      </c>
      <c r="F323" s="22">
        <v>1340.8724088401852</v>
      </c>
      <c r="G323" s="22">
        <v>450.33285641978944</v>
      </c>
      <c r="H323" s="22">
        <v>143.50416824209628</v>
      </c>
      <c r="I323" s="22">
        <v>15.450431274507814</v>
      </c>
      <c r="J323" s="22">
        <v>357.09784168721012</v>
      </c>
      <c r="K323" s="22">
        <v>47.014316231922344</v>
      </c>
      <c r="L323" s="22">
        <v>0</v>
      </c>
      <c r="M323" s="388">
        <v>15706.95062599972</v>
      </c>
      <c r="N323" s="25">
        <v>0.8538</v>
      </c>
      <c r="O323" s="24">
        <v>15858.273595730492</v>
      </c>
      <c r="P323" s="24">
        <v>4637.2505354812847</v>
      </c>
      <c r="Q323" s="24">
        <v>2904.2944210704491</v>
      </c>
      <c r="R323" s="22">
        <v>1732.9561144108359</v>
      </c>
      <c r="S323" s="24">
        <v>693.66208030218752</v>
      </c>
      <c r="T323" s="24">
        <f t="shared" si="16"/>
        <v>5330.9126157834726</v>
      </c>
      <c r="U323" s="376">
        <v>13448.06</v>
      </c>
      <c r="V323" s="376">
        <v>787.54</v>
      </c>
      <c r="W323" s="22">
        <f t="shared" si="17"/>
        <v>11481.953627999999</v>
      </c>
      <c r="X323" s="22">
        <f t="shared" si="18"/>
        <v>1947.2775289383203</v>
      </c>
      <c r="Y323" s="22">
        <v>1060.0221313116128</v>
      </c>
      <c r="Z323" s="22">
        <v>887.25539762670758</v>
      </c>
      <c r="AA323" s="371">
        <v>15454.140472976127</v>
      </c>
      <c r="AB323" s="22">
        <v>0.12600361258158782</v>
      </c>
      <c r="AC323" s="24">
        <v>0</v>
      </c>
      <c r="AD323" s="384">
        <v>0</v>
      </c>
    </row>
    <row r="324" spans="1:30">
      <c r="A324" s="21" t="s">
        <v>507</v>
      </c>
      <c r="B324" s="21" t="s">
        <v>508</v>
      </c>
      <c r="C324" s="23">
        <v>1622.8578482910527</v>
      </c>
      <c r="D324" s="147">
        <v>35.411424084941508</v>
      </c>
      <c r="E324" s="22">
        <v>406.35236999599545</v>
      </c>
      <c r="F324" s="22">
        <v>441.76379408093698</v>
      </c>
      <c r="G324" s="22">
        <v>0</v>
      </c>
      <c r="H324" s="22">
        <v>99.413178083569122</v>
      </c>
      <c r="I324" s="22">
        <v>12.838524817178794</v>
      </c>
      <c r="J324" s="22">
        <v>81.059512323799439</v>
      </c>
      <c r="K324" s="22">
        <v>17.881513438637132</v>
      </c>
      <c r="L324" s="22">
        <v>0</v>
      </c>
      <c r="M324" s="388">
        <v>5384.9876346633719</v>
      </c>
      <c r="N324" s="25">
        <v>0.46560000000000001</v>
      </c>
      <c r="O324" s="24">
        <v>526.86298377379285</v>
      </c>
      <c r="P324" s="24">
        <v>183.59613535903202</v>
      </c>
      <c r="Q324" s="24">
        <v>109.30140294351152</v>
      </c>
      <c r="R324" s="22">
        <v>74.2947324155205</v>
      </c>
      <c r="S324" s="24">
        <v>19.589298429967641</v>
      </c>
      <c r="T324" s="24">
        <f t="shared" si="16"/>
        <v>203.18543378899966</v>
      </c>
      <c r="U324" s="376">
        <v>2514.2600000000002</v>
      </c>
      <c r="V324" s="376">
        <v>270</v>
      </c>
      <c r="W324" s="22">
        <f t="shared" si="17"/>
        <v>1170.6394560000001</v>
      </c>
      <c r="X324" s="22">
        <f t="shared" si="18"/>
        <v>755.03595858213714</v>
      </c>
      <c r="Y324" s="22">
        <v>578.49152663881557</v>
      </c>
      <c r="Z324" s="22">
        <v>176.5444319433216</v>
      </c>
      <c r="AA324" s="371">
        <v>5409.9359003267436</v>
      </c>
      <c r="AB324" s="22">
        <v>0.13956467738121173</v>
      </c>
      <c r="AC324" s="24">
        <v>4.5646773812117181E-3</v>
      </c>
      <c r="AD324" s="384">
        <v>-232627.129057054</v>
      </c>
    </row>
    <row r="325" spans="1:30">
      <c r="A325" s="21" t="s">
        <v>603</v>
      </c>
      <c r="B325" s="21" t="s">
        <v>604</v>
      </c>
      <c r="C325" s="23">
        <v>352.94892873768367</v>
      </c>
      <c r="D325" s="147">
        <v>0</v>
      </c>
      <c r="E325" s="22">
        <v>46.53211811672314</v>
      </c>
      <c r="F325" s="22">
        <v>46.53211811672314</v>
      </c>
      <c r="G325" s="22">
        <v>0</v>
      </c>
      <c r="H325" s="22">
        <v>14.365485515309606</v>
      </c>
      <c r="I325" s="22">
        <v>1.0045794066650073</v>
      </c>
      <c r="J325" s="22">
        <v>0</v>
      </c>
      <c r="K325" s="22">
        <v>0</v>
      </c>
      <c r="L325" s="22">
        <v>0</v>
      </c>
      <c r="M325" s="388">
        <v>1257.6329592039226</v>
      </c>
      <c r="N325" s="25">
        <v>0.58030000000000004</v>
      </c>
      <c r="O325" s="24">
        <v>1269.3066148278758</v>
      </c>
      <c r="P325" s="24">
        <v>143.04884071869711</v>
      </c>
      <c r="Q325" s="24">
        <v>105.02001158397306</v>
      </c>
      <c r="R325" s="22">
        <v>38.028829134724056</v>
      </c>
      <c r="S325" s="24">
        <v>7.0320558466550516</v>
      </c>
      <c r="T325" s="24">
        <f t="shared" si="16"/>
        <v>150.08089656535216</v>
      </c>
      <c r="U325" s="376">
        <v>731.84</v>
      </c>
      <c r="V325" s="376">
        <v>0</v>
      </c>
      <c r="W325" s="22">
        <f t="shared" si="17"/>
        <v>424.68675200000007</v>
      </c>
      <c r="X325" s="22">
        <f t="shared" si="18"/>
        <v>129.19728043783735</v>
      </c>
      <c r="Y325" s="22">
        <v>99.227540921068069</v>
      </c>
      <c r="Z325" s="22">
        <v>29.969739516769287</v>
      </c>
      <c r="AA325" s="371">
        <v>1267.8962741447335</v>
      </c>
      <c r="AB325" s="22">
        <v>0.10189893532496426</v>
      </c>
      <c r="AC325" s="24">
        <v>0</v>
      </c>
      <c r="AD325" s="384">
        <v>0</v>
      </c>
    </row>
  </sheetData>
  <autoFilter ref="A7:AE7" xr:uid="{00000000-0001-0000-1A00-000000000000}"/>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theme="7" tint="0.59999389629810485"/>
  </sheetPr>
  <dimension ref="A1:BF322"/>
  <sheetViews>
    <sheetView zoomScaleNormal="100" workbookViewId="0">
      <pane xSplit="2" ySplit="4" topLeftCell="C5"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5.21875" customWidth="1"/>
    <col min="2" max="2" width="7.21875" bestFit="1" customWidth="1"/>
    <col min="3" max="3" width="54.5546875" bestFit="1" customWidth="1"/>
    <col min="4" max="4" width="7.5546875" bestFit="1" customWidth="1"/>
    <col min="5" max="5" width="10.21875" bestFit="1" customWidth="1"/>
    <col min="6" max="7" width="18.21875" customWidth="1"/>
    <col min="8" max="10" width="14.21875" bestFit="1" customWidth="1"/>
    <col min="11" max="11" width="15.21875" bestFit="1" customWidth="1"/>
    <col min="12" max="12" width="16.77734375" bestFit="1" customWidth="1"/>
    <col min="13" max="13" width="15.21875" bestFit="1" customWidth="1"/>
    <col min="14" max="14" width="15.21875" customWidth="1"/>
    <col min="15" max="15" width="8" bestFit="1" customWidth="1"/>
    <col min="16" max="16" width="7.21875" bestFit="1" customWidth="1"/>
    <col min="17" max="17" width="54.5546875" bestFit="1" customWidth="1"/>
    <col min="18" max="18" width="7.5546875" bestFit="1" customWidth="1"/>
    <col min="19" max="19" width="10.21875" bestFit="1" customWidth="1"/>
    <col min="20" max="21" width="18.21875" customWidth="1"/>
    <col min="22" max="24" width="14.21875" bestFit="1" customWidth="1"/>
    <col min="25" max="25" width="15.21875" bestFit="1" customWidth="1"/>
    <col min="26" max="26" width="16.77734375" bestFit="1" customWidth="1"/>
    <col min="27" max="27" width="15.21875" bestFit="1" customWidth="1"/>
    <col min="28" max="28" width="15.21875" customWidth="1"/>
    <col min="29" max="29" width="8" bestFit="1" customWidth="1"/>
    <col min="30" max="30" width="7.21875" bestFit="1" customWidth="1"/>
    <col min="31" max="31" width="54.5546875" bestFit="1" customWidth="1"/>
    <col min="32" max="32" width="7.5546875" bestFit="1" customWidth="1"/>
    <col min="33" max="33" width="10.21875" bestFit="1" customWidth="1"/>
    <col min="34" max="35" width="18.21875" customWidth="1"/>
    <col min="36" max="38" width="14.21875" bestFit="1" customWidth="1"/>
    <col min="39" max="39" width="15.21875" bestFit="1" customWidth="1"/>
    <col min="40" max="40" width="16.77734375" bestFit="1" customWidth="1"/>
    <col min="41" max="41" width="15.21875" bestFit="1" customWidth="1"/>
    <col min="42" max="42" width="15.21875" customWidth="1"/>
    <col min="44" max="44" width="7.21875" bestFit="1" customWidth="1"/>
    <col min="45" max="45" width="54.5546875" bestFit="1" customWidth="1"/>
    <col min="46" max="46" width="7.5546875" bestFit="1" customWidth="1"/>
    <col min="47" max="47" width="10.21875" bestFit="1" customWidth="1"/>
    <col min="48" max="49" width="18.21875" customWidth="1"/>
    <col min="50" max="52" width="14.21875" bestFit="1" customWidth="1"/>
    <col min="53" max="53" width="15.21875" bestFit="1" customWidth="1"/>
    <col min="54" max="54" width="16.77734375" bestFit="1" customWidth="1"/>
    <col min="55" max="55" width="15.21875" bestFit="1" customWidth="1"/>
    <col min="56" max="56" width="15.21875" customWidth="1"/>
  </cols>
  <sheetData>
    <row r="1" spans="1:58" s="27" customFormat="1">
      <c r="A1" s="45"/>
      <c r="B1" s="45">
        <v>1</v>
      </c>
      <c r="C1" s="45">
        <f>B1+1</f>
        <v>2</v>
      </c>
      <c r="D1" s="45">
        <f>C1+1</f>
        <v>3</v>
      </c>
      <c r="E1" s="45">
        <f t="shared" ref="E1:N1" si="0">D1+1</f>
        <v>4</v>
      </c>
      <c r="F1" s="45">
        <f t="shared" si="0"/>
        <v>5</v>
      </c>
      <c r="G1" s="45">
        <f t="shared" si="0"/>
        <v>6</v>
      </c>
      <c r="H1" s="45">
        <f t="shared" si="0"/>
        <v>7</v>
      </c>
      <c r="I1" s="45">
        <f t="shared" si="0"/>
        <v>8</v>
      </c>
      <c r="J1" s="45">
        <f t="shared" si="0"/>
        <v>9</v>
      </c>
      <c r="K1" s="45">
        <f t="shared" si="0"/>
        <v>10</v>
      </c>
      <c r="L1" s="45">
        <f t="shared" si="0"/>
        <v>11</v>
      </c>
      <c r="M1" s="45">
        <f t="shared" si="0"/>
        <v>12</v>
      </c>
      <c r="N1" s="45">
        <f t="shared" si="0"/>
        <v>13</v>
      </c>
      <c r="O1" s="45"/>
      <c r="P1" s="45">
        <v>1</v>
      </c>
      <c r="Q1" s="45">
        <f>P1+1</f>
        <v>2</v>
      </c>
      <c r="R1" s="45">
        <f t="shared" ref="R1:AB1" si="1">Q1+1</f>
        <v>3</v>
      </c>
      <c r="S1" s="45">
        <f t="shared" si="1"/>
        <v>4</v>
      </c>
      <c r="T1" s="45">
        <f t="shared" si="1"/>
        <v>5</v>
      </c>
      <c r="U1" s="45">
        <f t="shared" si="1"/>
        <v>6</v>
      </c>
      <c r="V1" s="45">
        <f t="shared" si="1"/>
        <v>7</v>
      </c>
      <c r="W1" s="45">
        <f t="shared" si="1"/>
        <v>8</v>
      </c>
      <c r="X1" s="45">
        <f t="shared" si="1"/>
        <v>9</v>
      </c>
      <c r="Y1" s="45">
        <f t="shared" si="1"/>
        <v>10</v>
      </c>
      <c r="Z1" s="45">
        <f t="shared" si="1"/>
        <v>11</v>
      </c>
      <c r="AA1" s="45">
        <f t="shared" si="1"/>
        <v>12</v>
      </c>
      <c r="AB1" s="45">
        <f t="shared" si="1"/>
        <v>13</v>
      </c>
      <c r="AC1" s="45"/>
      <c r="AD1" s="45">
        <v>1</v>
      </c>
      <c r="AE1" s="45">
        <f>AD1+1</f>
        <v>2</v>
      </c>
      <c r="AF1" s="45">
        <f t="shared" ref="AF1:AP1" si="2">AE1+1</f>
        <v>3</v>
      </c>
      <c r="AG1" s="45">
        <f t="shared" si="2"/>
        <v>4</v>
      </c>
      <c r="AH1" s="45">
        <f t="shared" si="2"/>
        <v>5</v>
      </c>
      <c r="AI1" s="45">
        <f t="shared" si="2"/>
        <v>6</v>
      </c>
      <c r="AJ1" s="45">
        <f t="shared" si="2"/>
        <v>7</v>
      </c>
      <c r="AK1" s="45">
        <f t="shared" si="2"/>
        <v>8</v>
      </c>
      <c r="AL1" s="45">
        <f t="shared" si="2"/>
        <v>9</v>
      </c>
      <c r="AM1" s="45">
        <f t="shared" si="2"/>
        <v>10</v>
      </c>
      <c r="AN1" s="45">
        <f t="shared" si="2"/>
        <v>11</v>
      </c>
      <c r="AO1" s="45">
        <f t="shared" si="2"/>
        <v>12</v>
      </c>
      <c r="AP1" s="45">
        <f t="shared" si="2"/>
        <v>13</v>
      </c>
      <c r="AR1" s="45">
        <v>1</v>
      </c>
      <c r="AS1" s="45">
        <f>AR1+1</f>
        <v>2</v>
      </c>
      <c r="AT1" s="45">
        <f t="shared" ref="AT1:BD1" si="3">AS1+1</f>
        <v>3</v>
      </c>
      <c r="AU1" s="45">
        <f t="shared" si="3"/>
        <v>4</v>
      </c>
      <c r="AV1" s="45">
        <f t="shared" si="3"/>
        <v>5</v>
      </c>
      <c r="AW1" s="45">
        <f t="shared" si="3"/>
        <v>6</v>
      </c>
      <c r="AX1" s="45">
        <f t="shared" si="3"/>
        <v>7</v>
      </c>
      <c r="AY1" s="45">
        <f t="shared" si="3"/>
        <v>8</v>
      </c>
      <c r="AZ1" s="45">
        <f t="shared" si="3"/>
        <v>9</v>
      </c>
      <c r="BA1" s="45">
        <f t="shared" si="3"/>
        <v>10</v>
      </c>
      <c r="BB1" s="45">
        <f t="shared" si="3"/>
        <v>11</v>
      </c>
      <c r="BC1" s="45">
        <f t="shared" si="3"/>
        <v>12</v>
      </c>
      <c r="BD1" s="45">
        <f t="shared" si="3"/>
        <v>13</v>
      </c>
      <c r="BE1" s="45"/>
      <c r="BF1" s="45"/>
    </row>
    <row r="2" spans="1:58">
      <c r="B2" s="35"/>
      <c r="C2" s="35"/>
      <c r="D2" s="36"/>
      <c r="E2" s="36"/>
      <c r="K2" s="77"/>
      <c r="L2" s="77"/>
      <c r="M2" s="77"/>
      <c r="N2" s="77"/>
      <c r="P2" s="35"/>
      <c r="Q2" s="35"/>
      <c r="R2" s="36"/>
      <c r="S2" s="36"/>
      <c r="Y2" s="77"/>
      <c r="Z2" s="77"/>
      <c r="AA2" s="77"/>
      <c r="AB2" s="77"/>
      <c r="AD2" s="35"/>
      <c r="AE2" s="35"/>
      <c r="AF2" s="36"/>
      <c r="AG2" s="36"/>
      <c r="AM2" s="77"/>
      <c r="AN2" s="77"/>
      <c r="AO2" s="77"/>
      <c r="AP2" s="77"/>
      <c r="AR2" s="35"/>
      <c r="AS2" s="35"/>
      <c r="AT2" s="36"/>
      <c r="AU2" s="36"/>
      <c r="BA2" s="77"/>
      <c r="BB2" s="77"/>
      <c r="BC2" s="77"/>
      <c r="BD2" s="77"/>
    </row>
    <row r="3" spans="1:58" ht="28.2" thickBot="1">
      <c r="B3" s="32" t="s">
        <v>623</v>
      </c>
      <c r="C3" s="32" t="s">
        <v>911</v>
      </c>
      <c r="D3" s="33" t="s">
        <v>916</v>
      </c>
      <c r="E3" s="33" t="s">
        <v>917</v>
      </c>
      <c r="F3" s="34" t="s">
        <v>971</v>
      </c>
      <c r="G3" s="34" t="s">
        <v>628</v>
      </c>
      <c r="H3" s="34" t="s">
        <v>918</v>
      </c>
      <c r="I3" s="34" t="s">
        <v>626</v>
      </c>
      <c r="J3" s="34" t="s">
        <v>919</v>
      </c>
      <c r="K3" s="34" t="s">
        <v>920</v>
      </c>
      <c r="L3" s="34" t="s">
        <v>1048</v>
      </c>
      <c r="M3" s="34" t="s">
        <v>629</v>
      </c>
      <c r="N3" s="34" t="s">
        <v>1055</v>
      </c>
      <c r="P3" s="32" t="s">
        <v>623</v>
      </c>
      <c r="Q3" s="32" t="s">
        <v>911</v>
      </c>
      <c r="R3" s="33" t="s">
        <v>916</v>
      </c>
      <c r="S3" s="33" t="s">
        <v>917</v>
      </c>
      <c r="T3" s="34" t="s">
        <v>971</v>
      </c>
      <c r="U3" s="34" t="s">
        <v>628</v>
      </c>
      <c r="V3" s="34" t="s">
        <v>918</v>
      </c>
      <c r="W3" s="34" t="s">
        <v>626</v>
      </c>
      <c r="X3" s="34" t="s">
        <v>919</v>
      </c>
      <c r="Y3" s="34" t="s">
        <v>920</v>
      </c>
      <c r="Z3" s="34" t="s">
        <v>1048</v>
      </c>
      <c r="AA3" s="34" t="s">
        <v>629</v>
      </c>
      <c r="AB3" s="34" t="s">
        <v>1055</v>
      </c>
      <c r="AD3" s="32" t="s">
        <v>623</v>
      </c>
      <c r="AE3" s="32" t="s">
        <v>911</v>
      </c>
      <c r="AF3" s="33" t="s">
        <v>916</v>
      </c>
      <c r="AG3" s="33" t="s">
        <v>917</v>
      </c>
      <c r="AH3" s="34" t="s">
        <v>971</v>
      </c>
      <c r="AI3" s="34" t="s">
        <v>628</v>
      </c>
      <c r="AJ3" s="34" t="s">
        <v>918</v>
      </c>
      <c r="AK3" s="34" t="s">
        <v>626</v>
      </c>
      <c r="AL3" s="34" t="s">
        <v>919</v>
      </c>
      <c r="AM3" s="34" t="s">
        <v>920</v>
      </c>
      <c r="AN3" s="34" t="s">
        <v>1048</v>
      </c>
      <c r="AO3" s="34" t="s">
        <v>629</v>
      </c>
      <c r="AP3" s="34" t="s">
        <v>1055</v>
      </c>
      <c r="AR3" s="32" t="s">
        <v>623</v>
      </c>
      <c r="AS3" s="32" t="s">
        <v>911</v>
      </c>
      <c r="AT3" s="33" t="s">
        <v>916</v>
      </c>
      <c r="AU3" s="33" t="s">
        <v>917</v>
      </c>
      <c r="AV3" s="34" t="s">
        <v>971</v>
      </c>
      <c r="AW3" s="34" t="s">
        <v>628</v>
      </c>
      <c r="AX3" s="34" t="s">
        <v>918</v>
      </c>
      <c r="AY3" s="34" t="s">
        <v>626</v>
      </c>
      <c r="AZ3" s="34" t="s">
        <v>919</v>
      </c>
      <c r="BA3" s="34" t="s">
        <v>920</v>
      </c>
      <c r="BB3" s="34" t="s">
        <v>1048</v>
      </c>
      <c r="BC3" s="34" t="s">
        <v>629</v>
      </c>
      <c r="BD3" s="34" t="s">
        <v>1055</v>
      </c>
    </row>
    <row r="4" spans="1:58">
      <c r="B4" s="37" t="s">
        <v>627</v>
      </c>
      <c r="C4" s="38" t="s">
        <v>871</v>
      </c>
      <c r="D4" s="39" t="s">
        <v>1049</v>
      </c>
      <c r="E4" s="40">
        <v>32</v>
      </c>
      <c r="F4" s="41">
        <v>9230761835.2088699</v>
      </c>
      <c r="G4" s="41">
        <v>326698166.14000022</v>
      </c>
      <c r="H4" s="41">
        <v>216662589.81000006</v>
      </c>
      <c r="I4" s="41">
        <v>28451620.379999999</v>
      </c>
      <c r="J4" s="41">
        <v>1335776939.3022685</v>
      </c>
      <c r="K4" s="41">
        <v>590218986.73336327</v>
      </c>
      <c r="L4" s="41">
        <v>728398828.01556575</v>
      </c>
      <c r="M4" s="41">
        <f>SUM(M5:M318)</f>
        <v>12336247421.177702</v>
      </c>
      <c r="N4" s="41">
        <v>134812916.28999996</v>
      </c>
      <c r="P4" s="37" t="s">
        <v>627</v>
      </c>
      <c r="Q4" s="38" t="s">
        <v>871</v>
      </c>
      <c r="R4" s="39" t="s">
        <v>1050</v>
      </c>
      <c r="S4" s="40">
        <v>32</v>
      </c>
      <c r="T4" s="41">
        <v>9921079226.7619209</v>
      </c>
      <c r="U4" s="41">
        <v>351050174.66000009</v>
      </c>
      <c r="V4" s="41">
        <v>224361960.29000002</v>
      </c>
      <c r="W4" s="41">
        <v>30346260.949999996</v>
      </c>
      <c r="X4" s="41">
        <v>1378235415.4555809</v>
      </c>
      <c r="Y4" s="41">
        <v>590726943.9611603</v>
      </c>
      <c r="Z4" s="41">
        <v>756099772.37893295</v>
      </c>
      <c r="AA4" s="41">
        <f>SUM(AA5:AA318)</f>
        <v>13118433669.846359</v>
      </c>
      <c r="AB4" s="41">
        <v>137896776.75999993</v>
      </c>
      <c r="AD4" s="37" t="s">
        <v>627</v>
      </c>
      <c r="AE4" s="38" t="s">
        <v>871</v>
      </c>
      <c r="AF4" s="39" t="s">
        <v>1275</v>
      </c>
      <c r="AG4" s="40">
        <v>32</v>
      </c>
      <c r="AH4" s="41">
        <v>10197320012.035212</v>
      </c>
      <c r="AI4" s="41">
        <v>360089830.46999967</v>
      </c>
      <c r="AJ4" s="41">
        <v>228756591.44000009</v>
      </c>
      <c r="AK4" s="41">
        <v>31191261.900000039</v>
      </c>
      <c r="AL4" s="41">
        <v>1404538829.4379199</v>
      </c>
      <c r="AM4" s="41">
        <v>590544633.43131113</v>
      </c>
      <c r="AN4" s="41">
        <v>770688551.74682999</v>
      </c>
      <c r="AO4" s="41">
        <f>SUM(AO5:AO318)</f>
        <v>13446589617.970976</v>
      </c>
      <c r="AP4" s="41">
        <v>140343467.84999999</v>
      </c>
      <c r="AR4" s="37" t="s">
        <v>627</v>
      </c>
      <c r="AS4" s="38" t="s">
        <v>871</v>
      </c>
      <c r="AT4" s="39" t="s">
        <v>1276</v>
      </c>
      <c r="AU4" s="40">
        <v>32</v>
      </c>
      <c r="AV4" s="41">
        <v>10430557941.841227</v>
      </c>
      <c r="AW4" s="41">
        <v>367466754.84000027</v>
      </c>
      <c r="AX4" s="41">
        <v>232979875.9900001</v>
      </c>
      <c r="AY4" s="41">
        <v>31869092.520000003</v>
      </c>
      <c r="AZ4" s="41">
        <v>1432097841.6370463</v>
      </c>
      <c r="BA4" s="41">
        <v>590573146.76394188</v>
      </c>
      <c r="BB4" s="41">
        <v>785001417.24101567</v>
      </c>
      <c r="BC4" s="41">
        <f>SUM(BC5:BC318)</f>
        <v>13731206828.038288</v>
      </c>
      <c r="BD4" s="41">
        <v>142963873.98999998</v>
      </c>
    </row>
    <row r="5" spans="1:58">
      <c r="B5" s="42" t="s">
        <v>141</v>
      </c>
      <c r="C5" s="42" t="s">
        <v>142</v>
      </c>
      <c r="D5" s="43" t="s">
        <v>1049</v>
      </c>
      <c r="E5" s="44">
        <v>32</v>
      </c>
      <c r="F5" s="31">
        <v>24093043.616767928</v>
      </c>
      <c r="G5" s="31">
        <v>1407852.5799999996</v>
      </c>
      <c r="H5" s="31">
        <v>637372.91</v>
      </c>
      <c r="I5" s="31">
        <v>87406.13</v>
      </c>
      <c r="J5" s="31">
        <v>4058166.9319256772</v>
      </c>
      <c r="K5" s="31">
        <v>1174309.784083107</v>
      </c>
      <c r="L5" s="31">
        <v>3097255.8582306374</v>
      </c>
      <c r="M5" s="31">
        <f t="shared" ref="M5:M68" si="4">SUM(F5:L5,N5)</f>
        <v>35450321.851007342</v>
      </c>
      <c r="N5" s="31">
        <v>894914.04</v>
      </c>
      <c r="P5" s="42" t="s">
        <v>141</v>
      </c>
      <c r="Q5" s="42" t="s">
        <v>142</v>
      </c>
      <c r="R5" s="43" t="s">
        <v>1050</v>
      </c>
      <c r="S5" s="44">
        <v>32</v>
      </c>
      <c r="T5" s="31">
        <v>25442835.77001445</v>
      </c>
      <c r="U5" s="31">
        <v>1488750.2800000003</v>
      </c>
      <c r="V5" s="31">
        <v>661848.66</v>
      </c>
      <c r="W5" s="31">
        <v>91673.279999999999</v>
      </c>
      <c r="X5" s="31">
        <v>4180174.0764666577</v>
      </c>
      <c r="Y5" s="31">
        <v>1175216.4936996752</v>
      </c>
      <c r="Z5" s="31">
        <v>3238326.3952330053</v>
      </c>
      <c r="AA5" s="31">
        <f t="shared" ref="AA5:AA68" si="5">SUM(T5:Z5,AB5)</f>
        <v>37195739.265413791</v>
      </c>
      <c r="AB5" s="31">
        <v>916914.31</v>
      </c>
      <c r="AD5" s="42" t="s">
        <v>141</v>
      </c>
      <c r="AE5" s="42" t="s">
        <v>142</v>
      </c>
      <c r="AF5" s="43" t="s">
        <v>1275</v>
      </c>
      <c r="AG5" s="44">
        <v>32</v>
      </c>
      <c r="AH5" s="31">
        <v>26050827.131989278</v>
      </c>
      <c r="AI5" s="31">
        <v>1519653.6699999995</v>
      </c>
      <c r="AJ5" s="31">
        <v>674795.28</v>
      </c>
      <c r="AK5" s="31">
        <v>93466.520000000019</v>
      </c>
      <c r="AL5" s="31">
        <v>4275729.1702089021</v>
      </c>
      <c r="AM5" s="31">
        <v>1174908.4579997361</v>
      </c>
      <c r="AN5" s="31">
        <v>3300707.4540185318</v>
      </c>
      <c r="AO5" s="31">
        <f t="shared" ref="AO5:AO68" si="6">SUM(AH5:AN5,AP5)</f>
        <v>38023156.474216446</v>
      </c>
      <c r="AP5" s="31">
        <v>933068.79</v>
      </c>
      <c r="AR5" s="42" t="s">
        <v>141</v>
      </c>
      <c r="AS5" s="42" t="s">
        <v>142</v>
      </c>
      <c r="AT5" s="43" t="s">
        <v>1276</v>
      </c>
      <c r="AU5" s="44">
        <v>32</v>
      </c>
      <c r="AV5" s="31">
        <v>26696529.94548548</v>
      </c>
      <c r="AW5" s="31">
        <v>1547141.1999999995</v>
      </c>
      <c r="AX5" s="31">
        <v>687117.65999999992</v>
      </c>
      <c r="AY5" s="31">
        <v>95173.3</v>
      </c>
      <c r="AZ5" s="31">
        <v>4378818.1450493885</v>
      </c>
      <c r="BA5" s="31">
        <v>1174957.477367616</v>
      </c>
      <c r="BB5" s="31">
        <v>3361551.6593163507</v>
      </c>
      <c r="BC5" s="31">
        <f>SUM(AV5:BB5,BD5)</f>
        <v>38891659.627218843</v>
      </c>
      <c r="BD5" s="31">
        <v>950370.24</v>
      </c>
    </row>
    <row r="6" spans="1:58">
      <c r="B6" s="42" t="s">
        <v>279</v>
      </c>
      <c r="C6" s="42" t="s">
        <v>280</v>
      </c>
      <c r="D6" s="43" t="s">
        <v>1049</v>
      </c>
      <c r="E6" s="44">
        <v>32</v>
      </c>
      <c r="F6" s="31">
        <v>5272220.1589501528</v>
      </c>
      <c r="G6" s="31">
        <v>106430.69999999998</v>
      </c>
      <c r="H6" s="31">
        <v>0</v>
      </c>
      <c r="I6" s="31">
        <v>17856.14</v>
      </c>
      <c r="J6" s="31">
        <v>679387.56522808468</v>
      </c>
      <c r="K6" s="31">
        <v>350110.06392341462</v>
      </c>
      <c r="L6" s="31">
        <v>463065.29464732751</v>
      </c>
      <c r="M6" s="31">
        <f t="shared" si="4"/>
        <v>6889069.9227489801</v>
      </c>
      <c r="N6" s="31">
        <v>0</v>
      </c>
      <c r="P6" s="42" t="s">
        <v>279</v>
      </c>
      <c r="Q6" s="42" t="s">
        <v>280</v>
      </c>
      <c r="R6" s="43" t="s">
        <v>1050</v>
      </c>
      <c r="S6" s="44">
        <v>32</v>
      </c>
      <c r="T6" s="31">
        <v>5380139.4865804119</v>
      </c>
      <c r="U6" s="31">
        <v>109537.02</v>
      </c>
      <c r="V6" s="31">
        <v>0</v>
      </c>
      <c r="W6" s="31">
        <v>18430.71</v>
      </c>
      <c r="X6" s="31">
        <v>698734.91609909583</v>
      </c>
      <c r="Y6" s="31">
        <v>350511.86642197141</v>
      </c>
      <c r="Z6" s="31">
        <v>479489.65888108057</v>
      </c>
      <c r="AA6" s="31">
        <f t="shared" si="5"/>
        <v>7036843.6579825589</v>
      </c>
      <c r="AB6" s="31">
        <v>0</v>
      </c>
      <c r="AD6" s="42" t="s">
        <v>279</v>
      </c>
      <c r="AE6" s="42" t="s">
        <v>280</v>
      </c>
      <c r="AF6" s="43" t="s">
        <v>1275</v>
      </c>
      <c r="AG6" s="44">
        <v>32</v>
      </c>
      <c r="AH6" s="31">
        <v>5419024.6035660654</v>
      </c>
      <c r="AI6" s="31">
        <v>111040.35</v>
      </c>
      <c r="AJ6" s="31">
        <v>0</v>
      </c>
      <c r="AK6" s="31">
        <v>18684.670000000002</v>
      </c>
      <c r="AL6" s="31">
        <v>715437.45736152912</v>
      </c>
      <c r="AM6" s="31">
        <v>350375.36239508266</v>
      </c>
      <c r="AN6" s="31">
        <v>488730.95596988127</v>
      </c>
      <c r="AO6" s="31">
        <f t="shared" si="6"/>
        <v>7103293.3992925575</v>
      </c>
      <c r="AP6" s="31">
        <v>0</v>
      </c>
      <c r="AR6" s="42" t="s">
        <v>279</v>
      </c>
      <c r="AS6" s="42" t="s">
        <v>280</v>
      </c>
      <c r="AT6" s="43" t="s">
        <v>1276</v>
      </c>
      <c r="AU6" s="44">
        <v>32</v>
      </c>
      <c r="AV6" s="31">
        <v>5399948.8279074878</v>
      </c>
      <c r="AW6" s="31">
        <v>108511.31999999999</v>
      </c>
      <c r="AX6" s="31">
        <v>0</v>
      </c>
      <c r="AY6" s="31">
        <v>18266.43</v>
      </c>
      <c r="AZ6" s="31">
        <v>728617.29324463056</v>
      </c>
      <c r="BA6" s="31">
        <v>350397.08501071605</v>
      </c>
      <c r="BB6" s="31">
        <v>497767.20327830687</v>
      </c>
      <c r="BC6" s="31">
        <f>SUM(AV6:BB6,BD6)</f>
        <v>7103508.1594411405</v>
      </c>
      <c r="BD6" s="31">
        <v>0</v>
      </c>
    </row>
    <row r="7" spans="1:58">
      <c r="B7" s="42" t="s">
        <v>301</v>
      </c>
      <c r="C7" s="42" t="s">
        <v>302</v>
      </c>
      <c r="D7" s="43" t="s">
        <v>1049</v>
      </c>
      <c r="E7" s="44">
        <v>32</v>
      </c>
      <c r="F7" s="31">
        <v>2075727.5904541076</v>
      </c>
      <c r="G7" s="31">
        <v>23303.780000000002</v>
      </c>
      <c r="H7" s="31">
        <v>0</v>
      </c>
      <c r="I7" s="31">
        <v>0</v>
      </c>
      <c r="J7" s="31">
        <v>82898.691177076049</v>
      </c>
      <c r="K7" s="31">
        <v>178371.18282314594</v>
      </c>
      <c r="L7" s="31">
        <v>30424.361647055375</v>
      </c>
      <c r="M7" s="31">
        <f t="shared" si="4"/>
        <v>2390725.6061013849</v>
      </c>
      <c r="N7" s="31">
        <v>0</v>
      </c>
      <c r="P7" s="42" t="s">
        <v>301</v>
      </c>
      <c r="Q7" s="42" t="s">
        <v>302</v>
      </c>
      <c r="R7" s="43" t="s">
        <v>1050</v>
      </c>
      <c r="S7" s="44">
        <v>32</v>
      </c>
      <c r="T7" s="31">
        <v>2065631.5063589071</v>
      </c>
      <c r="U7" s="31">
        <v>22828.93</v>
      </c>
      <c r="V7" s="31">
        <v>0</v>
      </c>
      <c r="W7" s="31">
        <v>0</v>
      </c>
      <c r="X7" s="31">
        <v>83562.739008186574</v>
      </c>
      <c r="Y7" s="31">
        <v>178507.23216451195</v>
      </c>
      <c r="Z7" s="31">
        <v>31503.283422536966</v>
      </c>
      <c r="AA7" s="31">
        <f t="shared" si="5"/>
        <v>2382033.6909541427</v>
      </c>
      <c r="AB7" s="31">
        <v>0</v>
      </c>
      <c r="AD7" s="42" t="s">
        <v>301</v>
      </c>
      <c r="AE7" s="42" t="s">
        <v>302</v>
      </c>
      <c r="AF7" s="43" t="s">
        <v>1275</v>
      </c>
      <c r="AG7" s="44">
        <v>32</v>
      </c>
      <c r="AH7" s="31">
        <v>2060291.2834124069</v>
      </c>
      <c r="AI7" s="31">
        <v>22848.69</v>
      </c>
      <c r="AJ7" s="31">
        <v>0</v>
      </c>
      <c r="AK7" s="31">
        <v>0</v>
      </c>
      <c r="AL7" s="31">
        <v>83899.373974791757</v>
      </c>
      <c r="AM7" s="31">
        <v>178461.01223552015</v>
      </c>
      <c r="AN7" s="31">
        <v>32110.355728339709</v>
      </c>
      <c r="AO7" s="31">
        <f t="shared" si="6"/>
        <v>2377610.7153510586</v>
      </c>
      <c r="AP7" s="31">
        <v>0</v>
      </c>
      <c r="AR7" s="42" t="s">
        <v>301</v>
      </c>
      <c r="AS7" s="42" t="s">
        <v>302</v>
      </c>
      <c r="AT7" s="43" t="s">
        <v>1276</v>
      </c>
      <c r="AU7" s="44">
        <v>32</v>
      </c>
      <c r="AV7" s="31">
        <v>2088512.4143685205</v>
      </c>
      <c r="AW7" s="31">
        <v>23485.41</v>
      </c>
      <c r="AX7" s="31">
        <v>0</v>
      </c>
      <c r="AY7" s="31">
        <v>0</v>
      </c>
      <c r="AZ7" s="31">
        <v>84256.672243815963</v>
      </c>
      <c r="BA7" s="31">
        <v>178468.36745994084</v>
      </c>
      <c r="BB7" s="31">
        <v>32703.964626654437</v>
      </c>
      <c r="BC7" s="31">
        <f t="shared" ref="BC7:BC68" si="7">SUM(AV7:BB7,BD7)</f>
        <v>2407426.8286989317</v>
      </c>
      <c r="BD7" s="31">
        <v>0</v>
      </c>
    </row>
    <row r="8" spans="1:58">
      <c r="B8" s="42" t="s">
        <v>407</v>
      </c>
      <c r="C8" s="42" t="s">
        <v>408</v>
      </c>
      <c r="D8" s="43" t="s">
        <v>1049</v>
      </c>
      <c r="E8" s="44">
        <v>32</v>
      </c>
      <c r="F8" s="31">
        <v>22427530.43284009</v>
      </c>
      <c r="G8" s="31">
        <v>501412.21</v>
      </c>
      <c r="H8" s="31">
        <v>90195.99000000002</v>
      </c>
      <c r="I8" s="31">
        <v>77911.25</v>
      </c>
      <c r="J8" s="31">
        <v>3030597.5501745851</v>
      </c>
      <c r="K8" s="31">
        <v>1043096.536471059</v>
      </c>
      <c r="L8" s="31">
        <v>1145673.3317024559</v>
      </c>
      <c r="M8" s="31">
        <f t="shared" si="4"/>
        <v>28334413.401188191</v>
      </c>
      <c r="N8" s="31">
        <v>17996.100000000002</v>
      </c>
      <c r="P8" s="42" t="s">
        <v>407</v>
      </c>
      <c r="Q8" s="42" t="s">
        <v>408</v>
      </c>
      <c r="R8" s="43" t="s">
        <v>1050</v>
      </c>
      <c r="S8" s="44">
        <v>32</v>
      </c>
      <c r="T8" s="31">
        <v>23111954.760000568</v>
      </c>
      <c r="U8" s="31">
        <v>520609.25999999989</v>
      </c>
      <c r="V8" s="31">
        <v>93568.58</v>
      </c>
      <c r="W8" s="31">
        <v>80824.469999999987</v>
      </c>
      <c r="X8" s="31">
        <v>3109484.4750107056</v>
      </c>
      <c r="Y8" s="31">
        <v>1043843.8345362506</v>
      </c>
      <c r="Z8" s="31">
        <v>1185790.9829053483</v>
      </c>
      <c r="AA8" s="31">
        <f t="shared" si="5"/>
        <v>29164520.512452867</v>
      </c>
      <c r="AB8" s="31">
        <v>18444.149999999998</v>
      </c>
      <c r="AD8" s="42" t="s">
        <v>407</v>
      </c>
      <c r="AE8" s="42" t="s">
        <v>408</v>
      </c>
      <c r="AF8" s="43" t="s">
        <v>1275</v>
      </c>
      <c r="AG8" s="44">
        <v>32</v>
      </c>
      <c r="AH8" s="31">
        <v>23495061.84645135</v>
      </c>
      <c r="AI8" s="31">
        <v>529702.44999999995</v>
      </c>
      <c r="AJ8" s="31">
        <v>95401.94</v>
      </c>
      <c r="AK8" s="31">
        <v>82294.119999999981</v>
      </c>
      <c r="AL8" s="31">
        <v>3165683.6416455004</v>
      </c>
      <c r="AM8" s="31">
        <v>1043570.5516639218</v>
      </c>
      <c r="AN8" s="31">
        <v>1208681.4648469537</v>
      </c>
      <c r="AO8" s="31">
        <f t="shared" si="6"/>
        <v>29639169.154607728</v>
      </c>
      <c r="AP8" s="31">
        <v>18773.140000000003</v>
      </c>
      <c r="AR8" s="42" t="s">
        <v>407</v>
      </c>
      <c r="AS8" s="42" t="s">
        <v>408</v>
      </c>
      <c r="AT8" s="43" t="s">
        <v>1276</v>
      </c>
      <c r="AU8" s="44">
        <v>32</v>
      </c>
      <c r="AV8" s="31">
        <v>23799584.64787434</v>
      </c>
      <c r="AW8" s="31">
        <v>536252.56000000006</v>
      </c>
      <c r="AX8" s="31">
        <v>97167.95</v>
      </c>
      <c r="AY8" s="31">
        <v>83237.05</v>
      </c>
      <c r="AZ8" s="31">
        <v>3226873.7631438095</v>
      </c>
      <c r="BA8" s="31">
        <v>1043613.0369090819</v>
      </c>
      <c r="BB8" s="31">
        <v>1231192.1453262935</v>
      </c>
      <c r="BC8" s="31">
        <f t="shared" si="7"/>
        <v>30037046.663253527</v>
      </c>
      <c r="BD8" s="31">
        <v>19125.509999999998</v>
      </c>
    </row>
    <row r="9" spans="1:58">
      <c r="B9" s="42" t="s">
        <v>431</v>
      </c>
      <c r="C9" s="42" t="s">
        <v>432</v>
      </c>
      <c r="D9" s="43" t="s">
        <v>1049</v>
      </c>
      <c r="E9" s="44">
        <v>32</v>
      </c>
      <c r="F9" s="31">
        <v>47764717.996696949</v>
      </c>
      <c r="G9" s="31">
        <v>1253229.7000000002</v>
      </c>
      <c r="H9" s="31">
        <v>504183.07999999996</v>
      </c>
      <c r="I9" s="31">
        <v>171471.17</v>
      </c>
      <c r="J9" s="31">
        <v>7576316.1276263483</v>
      </c>
      <c r="K9" s="31">
        <v>3610176.8081120225</v>
      </c>
      <c r="L9" s="31">
        <v>3749072.543494808</v>
      </c>
      <c r="M9" s="31">
        <f t="shared" si="4"/>
        <v>64629167.425930128</v>
      </c>
      <c r="N9" s="31">
        <v>0</v>
      </c>
      <c r="P9" s="42" t="s">
        <v>431</v>
      </c>
      <c r="Q9" s="42" t="s">
        <v>432</v>
      </c>
      <c r="R9" s="43" t="s">
        <v>1050</v>
      </c>
      <c r="S9" s="44">
        <v>32</v>
      </c>
      <c r="T9" s="31">
        <v>52154949.566504471</v>
      </c>
      <c r="U9" s="31">
        <v>1353160.65</v>
      </c>
      <c r="V9" s="31">
        <v>518879.42</v>
      </c>
      <c r="W9" s="31">
        <v>185052.5</v>
      </c>
      <c r="X9" s="31">
        <v>7822135.8053722959</v>
      </c>
      <c r="Y9" s="31">
        <v>3612731.8130786857</v>
      </c>
      <c r="Z9" s="31">
        <v>3855046.9942246508</v>
      </c>
      <c r="AA9" s="31">
        <f t="shared" si="5"/>
        <v>69501956.749180108</v>
      </c>
      <c r="AB9" s="31">
        <v>0</v>
      </c>
      <c r="AD9" s="42" t="s">
        <v>431</v>
      </c>
      <c r="AE9" s="42" t="s">
        <v>432</v>
      </c>
      <c r="AF9" s="43" t="s">
        <v>1275</v>
      </c>
      <c r="AG9" s="44">
        <v>32</v>
      </c>
      <c r="AH9" s="31">
        <v>54421569.432711452</v>
      </c>
      <c r="AI9" s="31">
        <v>1407454.6600000001</v>
      </c>
      <c r="AJ9" s="31">
        <v>529049.87</v>
      </c>
      <c r="AK9" s="31">
        <v>192530.27999999997</v>
      </c>
      <c r="AL9" s="31">
        <v>7984764.2568047401</v>
      </c>
      <c r="AM9" s="31">
        <v>3611779.5904525951</v>
      </c>
      <c r="AN9" s="31">
        <v>3929503.5067946981</v>
      </c>
      <c r="AO9" s="31">
        <f t="shared" si="6"/>
        <v>72076651.596763477</v>
      </c>
      <c r="AP9" s="31">
        <v>0</v>
      </c>
      <c r="AR9" s="42" t="s">
        <v>431</v>
      </c>
      <c r="AS9" s="42" t="s">
        <v>432</v>
      </c>
      <c r="AT9" s="43" t="s">
        <v>1276</v>
      </c>
      <c r="AU9" s="44">
        <v>32</v>
      </c>
      <c r="AV9" s="31">
        <v>56078418.81703952</v>
      </c>
      <c r="AW9" s="31">
        <v>1447610.8499999999</v>
      </c>
      <c r="AX9" s="31">
        <v>538872.55000000005</v>
      </c>
      <c r="AY9" s="31">
        <v>198006.54000000004</v>
      </c>
      <c r="AZ9" s="31">
        <v>8142796.9101986354</v>
      </c>
      <c r="BA9" s="31">
        <v>3611926.8655629354</v>
      </c>
      <c r="BB9" s="31">
        <v>4002852.7255574977</v>
      </c>
      <c r="BC9" s="31">
        <f t="shared" si="7"/>
        <v>74020485.258358583</v>
      </c>
      <c r="BD9" s="31">
        <v>0</v>
      </c>
    </row>
    <row r="10" spans="1:58">
      <c r="B10" s="42" t="s">
        <v>15</v>
      </c>
      <c r="C10" s="42" t="s">
        <v>16</v>
      </c>
      <c r="D10" s="43" t="s">
        <v>1049</v>
      </c>
      <c r="E10" s="44">
        <v>32</v>
      </c>
      <c r="F10" s="31">
        <v>5409384.3150998112</v>
      </c>
      <c r="G10" s="31">
        <v>118100.58</v>
      </c>
      <c r="H10" s="31">
        <v>0</v>
      </c>
      <c r="I10" s="31">
        <v>17052.489999999998</v>
      </c>
      <c r="J10" s="31">
        <v>744226.44108178397</v>
      </c>
      <c r="K10" s="31">
        <v>280331.01026898378</v>
      </c>
      <c r="L10" s="31">
        <v>432894.90237023687</v>
      </c>
      <c r="M10" s="31">
        <f t="shared" si="4"/>
        <v>7001989.7388208155</v>
      </c>
      <c r="N10" s="31">
        <v>0</v>
      </c>
      <c r="P10" s="42" t="s">
        <v>15</v>
      </c>
      <c r="Q10" s="42" t="s">
        <v>16</v>
      </c>
      <c r="R10" s="43" t="s">
        <v>1050</v>
      </c>
      <c r="S10" s="44">
        <v>32</v>
      </c>
      <c r="T10" s="31">
        <v>5904119.4692081641</v>
      </c>
      <c r="U10" s="31">
        <v>130932.92000000001</v>
      </c>
      <c r="V10" s="31">
        <v>0</v>
      </c>
      <c r="W10" s="31">
        <v>18820.34</v>
      </c>
      <c r="X10" s="31">
        <v>772303.90423276613</v>
      </c>
      <c r="Y10" s="31">
        <v>280695.53021253669</v>
      </c>
      <c r="Z10" s="31">
        <v>448319.4420981186</v>
      </c>
      <c r="AA10" s="31">
        <f t="shared" si="5"/>
        <v>7555191.6057515852</v>
      </c>
      <c r="AB10" s="31">
        <v>0</v>
      </c>
      <c r="AD10" s="42" t="s">
        <v>15</v>
      </c>
      <c r="AE10" s="42" t="s">
        <v>16</v>
      </c>
      <c r="AF10" s="43" t="s">
        <v>1275</v>
      </c>
      <c r="AG10" s="44">
        <v>32</v>
      </c>
      <c r="AH10" s="31">
        <v>6363261.9307112992</v>
      </c>
      <c r="AI10" s="31">
        <v>139064.97</v>
      </c>
      <c r="AJ10" s="31">
        <v>0</v>
      </c>
      <c r="AK10" s="31">
        <v>20013.82</v>
      </c>
      <c r="AL10" s="31">
        <v>797545.25098052958</v>
      </c>
      <c r="AM10" s="31">
        <v>280571.69215688761</v>
      </c>
      <c r="AN10" s="31">
        <v>456953.75242855784</v>
      </c>
      <c r="AO10" s="31">
        <f t="shared" si="6"/>
        <v>8057411.4162772745</v>
      </c>
      <c r="AP10" s="31">
        <v>0</v>
      </c>
      <c r="AR10" s="42" t="s">
        <v>15</v>
      </c>
      <c r="AS10" s="42" t="s">
        <v>16</v>
      </c>
      <c r="AT10" s="43" t="s">
        <v>1276</v>
      </c>
      <c r="AU10" s="44">
        <v>32</v>
      </c>
      <c r="AV10" s="31">
        <v>6891833.2665352114</v>
      </c>
      <c r="AW10" s="31">
        <v>150218.35</v>
      </c>
      <c r="AX10" s="31">
        <v>0</v>
      </c>
      <c r="AY10" s="31">
        <v>21639.850000000002</v>
      </c>
      <c r="AZ10" s="31">
        <v>816556.05152348604</v>
      </c>
      <c r="BA10" s="31">
        <v>280591.39916879759</v>
      </c>
      <c r="BB10" s="31">
        <v>465378.77579925809</v>
      </c>
      <c r="BC10" s="31">
        <f t="shared" si="7"/>
        <v>8626217.6930267531</v>
      </c>
      <c r="BD10" s="31">
        <v>0</v>
      </c>
    </row>
    <row r="11" spans="1:58">
      <c r="B11" s="42" t="s">
        <v>205</v>
      </c>
      <c r="C11" s="42" t="s">
        <v>206</v>
      </c>
      <c r="D11" s="43" t="s">
        <v>1049</v>
      </c>
      <c r="E11" s="44">
        <v>32</v>
      </c>
      <c r="F11" s="31">
        <v>152613269.73470962</v>
      </c>
      <c r="G11" s="31">
        <v>6783230.8200000003</v>
      </c>
      <c r="H11" s="31">
        <v>6921230.669999999</v>
      </c>
      <c r="I11" s="31">
        <v>537320.85</v>
      </c>
      <c r="J11" s="31">
        <v>18959632.789758548</v>
      </c>
      <c r="K11" s="31">
        <v>8948766.3267089985</v>
      </c>
      <c r="L11" s="31">
        <v>9643539.791825952</v>
      </c>
      <c r="M11" s="31">
        <f t="shared" si="4"/>
        <v>207998322.50300312</v>
      </c>
      <c r="N11" s="31">
        <v>3591331.52</v>
      </c>
      <c r="P11" s="42" t="s">
        <v>205</v>
      </c>
      <c r="Q11" s="42" t="s">
        <v>206</v>
      </c>
      <c r="R11" s="43" t="s">
        <v>1050</v>
      </c>
      <c r="S11" s="44">
        <v>32</v>
      </c>
      <c r="T11" s="31">
        <v>163280073.23965958</v>
      </c>
      <c r="U11" s="31">
        <v>7216928.5600000005</v>
      </c>
      <c r="V11" s="31">
        <v>7122976.3499999996</v>
      </c>
      <c r="W11" s="31">
        <v>568203.88</v>
      </c>
      <c r="X11" s="31">
        <v>19432540.45346142</v>
      </c>
      <c r="Y11" s="31">
        <v>8956680.880852785</v>
      </c>
      <c r="Z11" s="31">
        <v>10013923.932220867</v>
      </c>
      <c r="AA11" s="31">
        <f t="shared" si="5"/>
        <v>220243858.54619464</v>
      </c>
      <c r="AB11" s="31">
        <v>3652531.25</v>
      </c>
      <c r="AD11" s="42" t="s">
        <v>205</v>
      </c>
      <c r="AE11" s="42" t="s">
        <v>206</v>
      </c>
      <c r="AF11" s="43" t="s">
        <v>1275</v>
      </c>
      <c r="AG11" s="44">
        <v>32</v>
      </c>
      <c r="AH11" s="31">
        <v>168149478.50672328</v>
      </c>
      <c r="AI11" s="31">
        <v>7436643.6699999999</v>
      </c>
      <c r="AJ11" s="31">
        <v>7262592.1099999985</v>
      </c>
      <c r="AK11" s="31">
        <v>585058.67000000004</v>
      </c>
      <c r="AL11" s="31">
        <v>19794397.680680532</v>
      </c>
      <c r="AM11" s="31">
        <v>8953731.212406164</v>
      </c>
      <c r="AN11" s="31">
        <v>10207355.759033337</v>
      </c>
      <c r="AO11" s="31">
        <f t="shared" si="6"/>
        <v>226107118.11884326</v>
      </c>
      <c r="AP11" s="31">
        <v>3717860.51</v>
      </c>
      <c r="AR11" s="42" t="s">
        <v>205</v>
      </c>
      <c r="AS11" s="42" t="s">
        <v>206</v>
      </c>
      <c r="AT11" s="43" t="s">
        <v>1276</v>
      </c>
      <c r="AU11" s="44">
        <v>32</v>
      </c>
      <c r="AV11" s="31">
        <v>172978484.37737271</v>
      </c>
      <c r="AW11" s="31">
        <v>7645088.6000000015</v>
      </c>
      <c r="AX11" s="31">
        <v>7397434.0699999994</v>
      </c>
      <c r="AY11" s="31">
        <v>601626.11</v>
      </c>
      <c r="AZ11" s="31">
        <v>20162473.638203651</v>
      </c>
      <c r="BA11" s="31">
        <v>8954187.4216308147</v>
      </c>
      <c r="BB11" s="31">
        <v>10397875.086776175</v>
      </c>
      <c r="BC11" s="31">
        <f t="shared" si="7"/>
        <v>231924997.44398335</v>
      </c>
      <c r="BD11" s="31">
        <v>3787828.14</v>
      </c>
    </row>
    <row r="12" spans="1:58">
      <c r="B12" s="42" t="s">
        <v>229</v>
      </c>
      <c r="C12" s="42" t="s">
        <v>230</v>
      </c>
      <c r="D12" s="43" t="s">
        <v>1049</v>
      </c>
      <c r="E12" s="44">
        <v>32</v>
      </c>
      <c r="F12" s="31">
        <v>31652438.34856236</v>
      </c>
      <c r="G12" s="31">
        <v>181349.87999999998</v>
      </c>
      <c r="H12" s="31">
        <v>72833.55</v>
      </c>
      <c r="I12" s="31">
        <v>116985.36</v>
      </c>
      <c r="J12" s="31">
        <v>4428634.9932812192</v>
      </c>
      <c r="K12" s="31">
        <v>1437654.570036853</v>
      </c>
      <c r="L12" s="31">
        <v>3258762.0203841329</v>
      </c>
      <c r="M12" s="31">
        <f t="shared" si="4"/>
        <v>41148658.722264566</v>
      </c>
      <c r="N12" s="31">
        <v>0</v>
      </c>
      <c r="P12" s="42" t="s">
        <v>229</v>
      </c>
      <c r="Q12" s="42" t="s">
        <v>230</v>
      </c>
      <c r="R12" s="43" t="s">
        <v>1050</v>
      </c>
      <c r="S12" s="44">
        <v>32</v>
      </c>
      <c r="T12" s="31">
        <v>31001775.005461305</v>
      </c>
      <c r="U12" s="31">
        <v>178450.21999999997</v>
      </c>
      <c r="V12" s="31">
        <v>75525.180000000008</v>
      </c>
      <c r="W12" s="31">
        <v>115102.70999999998</v>
      </c>
      <c r="X12" s="31">
        <v>4577396.273236339</v>
      </c>
      <c r="Y12" s="31">
        <v>1438561.7341752108</v>
      </c>
      <c r="Z12" s="31">
        <v>3371985.8429493457</v>
      </c>
      <c r="AA12" s="31">
        <f t="shared" si="5"/>
        <v>40758796.965822205</v>
      </c>
      <c r="AB12" s="31">
        <v>0</v>
      </c>
      <c r="AD12" s="42" t="s">
        <v>229</v>
      </c>
      <c r="AE12" s="42" t="s">
        <v>230</v>
      </c>
      <c r="AF12" s="43" t="s">
        <v>1275</v>
      </c>
      <c r="AG12" s="44">
        <v>32</v>
      </c>
      <c r="AH12" s="31">
        <v>31024372.650011554</v>
      </c>
      <c r="AI12" s="31">
        <v>178606.28</v>
      </c>
      <c r="AJ12" s="31">
        <v>77006.040000000008</v>
      </c>
      <c r="AK12" s="31">
        <v>115210.60999999999</v>
      </c>
      <c r="AL12" s="31">
        <v>4671610.5990934288</v>
      </c>
      <c r="AM12" s="31">
        <v>1438218.8940582722</v>
      </c>
      <c r="AN12" s="31">
        <v>3437144.9880305957</v>
      </c>
      <c r="AO12" s="31">
        <f t="shared" si="6"/>
        <v>40942170.061193854</v>
      </c>
      <c r="AP12" s="31">
        <v>0</v>
      </c>
      <c r="AR12" s="42" t="s">
        <v>229</v>
      </c>
      <c r="AS12" s="42" t="s">
        <v>230</v>
      </c>
      <c r="AT12" s="43" t="s">
        <v>1276</v>
      </c>
      <c r="AU12" s="44">
        <v>32</v>
      </c>
      <c r="AV12" s="31">
        <v>31115179.431827094</v>
      </c>
      <c r="AW12" s="31">
        <v>178769.93000000002</v>
      </c>
      <c r="AX12" s="31">
        <v>78439.850000000006</v>
      </c>
      <c r="AY12" s="31">
        <v>115288.35</v>
      </c>
      <c r="AZ12" s="31">
        <v>4774484.8175465129</v>
      </c>
      <c r="BA12" s="31">
        <v>1438271.6596781495</v>
      </c>
      <c r="BB12" s="31">
        <v>3501443.0469440934</v>
      </c>
      <c r="BC12" s="31">
        <f t="shared" si="7"/>
        <v>41201877.085995853</v>
      </c>
      <c r="BD12" s="31">
        <v>0</v>
      </c>
    </row>
    <row r="13" spans="1:58">
      <c r="B13" s="42" t="s">
        <v>69</v>
      </c>
      <c r="C13" s="42" t="s">
        <v>70</v>
      </c>
      <c r="D13" s="43" t="s">
        <v>1049</v>
      </c>
      <c r="E13" s="44">
        <v>32</v>
      </c>
      <c r="F13" s="31">
        <v>97202896.090791419</v>
      </c>
      <c r="G13" s="31">
        <v>2646410.7200000002</v>
      </c>
      <c r="H13" s="31">
        <v>1252769.1599999999</v>
      </c>
      <c r="I13" s="31">
        <v>346897.00999999995</v>
      </c>
      <c r="J13" s="31">
        <v>15068084.789676208</v>
      </c>
      <c r="K13" s="31">
        <v>10644551.552892311</v>
      </c>
      <c r="L13" s="31">
        <v>8912708.6767557617</v>
      </c>
      <c r="M13" s="31">
        <f t="shared" si="4"/>
        <v>136074318.00011569</v>
      </c>
      <c r="N13" s="31">
        <v>0</v>
      </c>
      <c r="P13" s="42" t="s">
        <v>69</v>
      </c>
      <c r="Q13" s="42" t="s">
        <v>70</v>
      </c>
      <c r="R13" s="43" t="s">
        <v>1050</v>
      </c>
      <c r="S13" s="44">
        <v>32</v>
      </c>
      <c r="T13" s="31">
        <v>101881575.15118691</v>
      </c>
      <c r="U13" s="31">
        <v>2774106.54</v>
      </c>
      <c r="V13" s="31">
        <v>1300212.69</v>
      </c>
      <c r="W13" s="31">
        <v>363654.9</v>
      </c>
      <c r="X13" s="31">
        <v>15555048.741612539</v>
      </c>
      <c r="Y13" s="31">
        <v>10654388.017469002</v>
      </c>
      <c r="Z13" s="31">
        <v>9227429.8767175302</v>
      </c>
      <c r="AA13" s="31">
        <f t="shared" si="5"/>
        <v>141756415.91698599</v>
      </c>
      <c r="AB13" s="31">
        <v>0</v>
      </c>
      <c r="AD13" s="42" t="s">
        <v>69</v>
      </c>
      <c r="AE13" s="42" t="s">
        <v>70</v>
      </c>
      <c r="AF13" s="43" t="s">
        <v>1275</v>
      </c>
      <c r="AG13" s="44">
        <v>32</v>
      </c>
      <c r="AH13" s="31">
        <v>106920334.40891406</v>
      </c>
      <c r="AI13" s="31">
        <v>2904310.7800000003</v>
      </c>
      <c r="AJ13" s="31">
        <v>1325668.5699999998</v>
      </c>
      <c r="AK13" s="31">
        <v>380654.70999999996</v>
      </c>
      <c r="AL13" s="31">
        <v>15858315.372832123</v>
      </c>
      <c r="AM13" s="31">
        <v>10650916.014050376</v>
      </c>
      <c r="AN13" s="31">
        <v>9405359.0182184745</v>
      </c>
      <c r="AO13" s="31">
        <f t="shared" si="6"/>
        <v>147445558.87401503</v>
      </c>
      <c r="AP13" s="31">
        <v>0</v>
      </c>
      <c r="AR13" s="42" t="s">
        <v>69</v>
      </c>
      <c r="AS13" s="42" t="s">
        <v>70</v>
      </c>
      <c r="AT13" s="43" t="s">
        <v>1276</v>
      </c>
      <c r="AU13" s="44">
        <v>32</v>
      </c>
      <c r="AV13" s="31">
        <v>111996608.59216006</v>
      </c>
      <c r="AW13" s="31">
        <v>3033688.94</v>
      </c>
      <c r="AX13" s="31">
        <v>1350050.7399999998</v>
      </c>
      <c r="AY13" s="31">
        <v>397607.08</v>
      </c>
      <c r="AZ13" s="31">
        <v>16165872.973069362</v>
      </c>
      <c r="BA13" s="31">
        <v>10651461.793972049</v>
      </c>
      <c r="BB13" s="31">
        <v>9579684.0302373488</v>
      </c>
      <c r="BC13" s="31">
        <f t="shared" si="7"/>
        <v>153174974.1494388</v>
      </c>
      <c r="BD13" s="31">
        <v>0</v>
      </c>
    </row>
    <row r="14" spans="1:58">
      <c r="B14" s="42" t="s">
        <v>199</v>
      </c>
      <c r="C14" s="42" t="s">
        <v>200</v>
      </c>
      <c r="D14" s="43" t="s">
        <v>1049</v>
      </c>
      <c r="E14" s="44">
        <v>32</v>
      </c>
      <c r="F14" s="31">
        <v>173161095.97000167</v>
      </c>
      <c r="G14" s="31">
        <v>2382616.7899999996</v>
      </c>
      <c r="H14" s="31">
        <v>5627040.7600000007</v>
      </c>
      <c r="I14" s="31">
        <v>616205.68000000005</v>
      </c>
      <c r="J14" s="31">
        <v>17020425.07177471</v>
      </c>
      <c r="K14" s="31">
        <v>9618336.659874713</v>
      </c>
      <c r="L14" s="31">
        <v>10158930.69058672</v>
      </c>
      <c r="M14" s="31">
        <f t="shared" si="4"/>
        <v>218728399.07223779</v>
      </c>
      <c r="N14" s="31">
        <v>143747.45000000001</v>
      </c>
      <c r="P14" s="42" t="s">
        <v>199</v>
      </c>
      <c r="Q14" s="42" t="s">
        <v>200</v>
      </c>
      <c r="R14" s="43" t="s">
        <v>1050</v>
      </c>
      <c r="S14" s="44">
        <v>32</v>
      </c>
      <c r="T14" s="31">
        <v>192073217.30655468</v>
      </c>
      <c r="U14" s="31">
        <v>2633034.9499999997</v>
      </c>
      <c r="V14" s="31">
        <v>5834994.1400000006</v>
      </c>
      <c r="W14" s="31">
        <v>680546.32999999984</v>
      </c>
      <c r="X14" s="31">
        <v>17601158.952604085</v>
      </c>
      <c r="Y14" s="31">
        <v>9625622.9518794809</v>
      </c>
      <c r="Z14" s="31">
        <v>10511897.651535884</v>
      </c>
      <c r="AA14" s="31">
        <f t="shared" si="5"/>
        <v>239107818.11257413</v>
      </c>
      <c r="AB14" s="31">
        <v>147345.83000000002</v>
      </c>
      <c r="AD14" s="42" t="s">
        <v>199</v>
      </c>
      <c r="AE14" s="42" t="s">
        <v>200</v>
      </c>
      <c r="AF14" s="43" t="s">
        <v>1275</v>
      </c>
      <c r="AG14" s="44">
        <v>32</v>
      </c>
      <c r="AH14" s="31">
        <v>195773736.45436558</v>
      </c>
      <c r="AI14" s="31">
        <v>2684909.29</v>
      </c>
      <c r="AJ14" s="31">
        <v>5949404.3100000005</v>
      </c>
      <c r="AK14" s="31">
        <v>693890.21</v>
      </c>
      <c r="AL14" s="31">
        <v>17929828.532036882</v>
      </c>
      <c r="AM14" s="31">
        <v>9622869.2790904697</v>
      </c>
      <c r="AN14" s="31">
        <v>10715026.218010923</v>
      </c>
      <c r="AO14" s="31">
        <f t="shared" si="6"/>
        <v>243519652.35350385</v>
      </c>
      <c r="AP14" s="31">
        <v>149988.06000000003</v>
      </c>
      <c r="AR14" s="42" t="s">
        <v>199</v>
      </c>
      <c r="AS14" s="42" t="s">
        <v>200</v>
      </c>
      <c r="AT14" s="43" t="s">
        <v>1276</v>
      </c>
      <c r="AU14" s="44">
        <v>32</v>
      </c>
      <c r="AV14" s="31">
        <v>199426795.58290696</v>
      </c>
      <c r="AW14" s="31">
        <v>2734863.75</v>
      </c>
      <c r="AX14" s="31">
        <v>6060179.0999999996</v>
      </c>
      <c r="AY14" s="31">
        <v>706810.07999999984</v>
      </c>
      <c r="AZ14" s="31">
        <v>18264981.673973568</v>
      </c>
      <c r="BA14" s="31">
        <v>9623293.0896204319</v>
      </c>
      <c r="BB14" s="31">
        <v>10915470.298575329</v>
      </c>
      <c r="BC14" s="31">
        <f t="shared" si="7"/>
        <v>247885211.47507632</v>
      </c>
      <c r="BD14" s="31">
        <v>152817.90000000002</v>
      </c>
    </row>
    <row r="15" spans="1:58">
      <c r="B15" s="42" t="s">
        <v>539</v>
      </c>
      <c r="C15" s="42" t="s">
        <v>540</v>
      </c>
      <c r="D15" s="43" t="s">
        <v>1049</v>
      </c>
      <c r="E15" s="44">
        <v>32</v>
      </c>
      <c r="F15" s="31">
        <v>96982174.343626767</v>
      </c>
      <c r="G15" s="31">
        <v>2900654.81</v>
      </c>
      <c r="H15" s="31">
        <v>1387232.81</v>
      </c>
      <c r="I15" s="31">
        <v>343043.74999999994</v>
      </c>
      <c r="J15" s="31">
        <v>15305919.41801808</v>
      </c>
      <c r="K15" s="31">
        <v>4179309.7792304317</v>
      </c>
      <c r="L15" s="31">
        <v>7262980.4003748037</v>
      </c>
      <c r="M15" s="31">
        <f t="shared" si="4"/>
        <v>128862148.57125008</v>
      </c>
      <c r="N15" s="31">
        <v>500833.25999999989</v>
      </c>
      <c r="P15" s="42" t="s">
        <v>539</v>
      </c>
      <c r="Q15" s="42" t="s">
        <v>540</v>
      </c>
      <c r="R15" s="43" t="s">
        <v>1050</v>
      </c>
      <c r="S15" s="44">
        <v>32</v>
      </c>
      <c r="T15" s="31">
        <v>102376353.37875202</v>
      </c>
      <c r="U15" s="31">
        <v>3054828.84</v>
      </c>
      <c r="V15" s="31">
        <v>1427756.05</v>
      </c>
      <c r="W15" s="31">
        <v>360595.17</v>
      </c>
      <c r="X15" s="31">
        <v>15725795.010078568</v>
      </c>
      <c r="Y15" s="31">
        <v>4183414.4642865984</v>
      </c>
      <c r="Z15" s="31">
        <v>7468410.7085272595</v>
      </c>
      <c r="AA15" s="31">
        <f t="shared" si="5"/>
        <v>135106257.96164444</v>
      </c>
      <c r="AB15" s="31">
        <v>509104.33999999997</v>
      </c>
      <c r="AD15" s="42" t="s">
        <v>539</v>
      </c>
      <c r="AE15" s="42" t="s">
        <v>540</v>
      </c>
      <c r="AF15" s="43" t="s">
        <v>1275</v>
      </c>
      <c r="AG15" s="44">
        <v>32</v>
      </c>
      <c r="AH15" s="31">
        <v>104343270.81140731</v>
      </c>
      <c r="AI15" s="31">
        <v>3115577.0999999996</v>
      </c>
      <c r="AJ15" s="31">
        <v>1455720.27</v>
      </c>
      <c r="AK15" s="31">
        <v>367657.82999999996</v>
      </c>
      <c r="AL15" s="31">
        <v>16018337.295163691</v>
      </c>
      <c r="AM15" s="31">
        <v>4181935.7908822428</v>
      </c>
      <c r="AN15" s="31">
        <v>7612502.621040361</v>
      </c>
      <c r="AO15" s="31">
        <f t="shared" si="6"/>
        <v>137613161.4184936</v>
      </c>
      <c r="AP15" s="31">
        <v>518159.69999999995</v>
      </c>
      <c r="AR15" s="42" t="s">
        <v>539</v>
      </c>
      <c r="AS15" s="42" t="s">
        <v>540</v>
      </c>
      <c r="AT15" s="43" t="s">
        <v>1276</v>
      </c>
      <c r="AU15" s="44">
        <v>32</v>
      </c>
      <c r="AV15" s="31">
        <v>106276976.88382551</v>
      </c>
      <c r="AW15" s="31">
        <v>3172933.1499999994</v>
      </c>
      <c r="AX15" s="31">
        <v>1482583.0699999998</v>
      </c>
      <c r="AY15" s="31">
        <v>374442.32</v>
      </c>
      <c r="AZ15" s="31">
        <v>16315674.467677118</v>
      </c>
      <c r="BA15" s="31">
        <v>4182166.9143154533</v>
      </c>
      <c r="BB15" s="31">
        <v>7753944.9844819335</v>
      </c>
      <c r="BC15" s="31">
        <f t="shared" si="7"/>
        <v>140086579.76030001</v>
      </c>
      <c r="BD15" s="31">
        <v>527857.97</v>
      </c>
    </row>
    <row r="16" spans="1:58">
      <c r="B16" s="42" t="s">
        <v>5</v>
      </c>
      <c r="C16" s="42" t="s">
        <v>6</v>
      </c>
      <c r="D16" s="43" t="s">
        <v>1049</v>
      </c>
      <c r="E16" s="44">
        <v>32</v>
      </c>
      <c r="F16" s="31">
        <v>328897.83339915954</v>
      </c>
      <c r="G16" s="31">
        <v>0</v>
      </c>
      <c r="H16" s="31">
        <v>0</v>
      </c>
      <c r="I16" s="31">
        <v>292.33000000000004</v>
      </c>
      <c r="J16" s="31">
        <v>0</v>
      </c>
      <c r="K16" s="31">
        <v>65135.600284457054</v>
      </c>
      <c r="L16" s="31">
        <v>0</v>
      </c>
      <c r="M16" s="31">
        <f t="shared" si="4"/>
        <v>394325.76368361659</v>
      </c>
      <c r="N16" s="31">
        <v>0</v>
      </c>
      <c r="P16" s="42" t="s">
        <v>5</v>
      </c>
      <c r="Q16" s="42" t="s">
        <v>6</v>
      </c>
      <c r="R16" s="43" t="s">
        <v>1050</v>
      </c>
      <c r="S16" s="44">
        <v>32</v>
      </c>
      <c r="T16" s="31">
        <v>342712.59390403645</v>
      </c>
      <c r="U16" s="31">
        <v>0</v>
      </c>
      <c r="V16" s="31">
        <v>0</v>
      </c>
      <c r="W16" s="31">
        <v>303.55999999999995</v>
      </c>
      <c r="X16" s="31">
        <v>0</v>
      </c>
      <c r="Y16" s="31">
        <v>65175.66185850319</v>
      </c>
      <c r="Z16" s="31">
        <v>0</v>
      </c>
      <c r="AA16" s="31">
        <f t="shared" si="5"/>
        <v>408191.81576253963</v>
      </c>
      <c r="AB16" s="31">
        <v>0</v>
      </c>
      <c r="AD16" s="42" t="s">
        <v>5</v>
      </c>
      <c r="AE16" s="42" t="s">
        <v>6</v>
      </c>
      <c r="AF16" s="43" t="s">
        <v>1275</v>
      </c>
      <c r="AG16" s="44">
        <v>32</v>
      </c>
      <c r="AH16" s="31">
        <v>352218.50975530269</v>
      </c>
      <c r="AI16" s="31">
        <v>0</v>
      </c>
      <c r="AJ16" s="31">
        <v>0</v>
      </c>
      <c r="AK16" s="31">
        <v>309.51</v>
      </c>
      <c r="AL16" s="31">
        <v>0</v>
      </c>
      <c r="AM16" s="31">
        <v>65162.051773447871</v>
      </c>
      <c r="AN16" s="31">
        <v>0</v>
      </c>
      <c r="AO16" s="31">
        <f t="shared" si="6"/>
        <v>417690.07152875059</v>
      </c>
      <c r="AP16" s="31">
        <v>0</v>
      </c>
      <c r="AR16" s="42" t="s">
        <v>5</v>
      </c>
      <c r="AS16" s="42" t="s">
        <v>6</v>
      </c>
      <c r="AT16" s="43" t="s">
        <v>1276</v>
      </c>
      <c r="AU16" s="44">
        <v>32</v>
      </c>
      <c r="AV16" s="31">
        <v>359599.91246162599</v>
      </c>
      <c r="AW16" s="31">
        <v>0</v>
      </c>
      <c r="AX16" s="31">
        <v>0</v>
      </c>
      <c r="AY16" s="31">
        <v>315.15999999999997</v>
      </c>
      <c r="AZ16" s="31">
        <v>0</v>
      </c>
      <c r="BA16" s="31">
        <v>65164.217619050629</v>
      </c>
      <c r="BB16" s="31">
        <v>0</v>
      </c>
      <c r="BC16" s="31">
        <f t="shared" si="7"/>
        <v>425079.29008067661</v>
      </c>
      <c r="BD16" s="31">
        <v>0</v>
      </c>
    </row>
    <row r="17" spans="2:56">
      <c r="B17" s="42" t="s">
        <v>383</v>
      </c>
      <c r="C17" s="42" t="s">
        <v>384</v>
      </c>
      <c r="D17" s="43" t="s">
        <v>1049</v>
      </c>
      <c r="E17" s="44">
        <v>32</v>
      </c>
      <c r="F17" s="31">
        <v>162446464.79937142</v>
      </c>
      <c r="G17" s="31">
        <v>6223082.5600000005</v>
      </c>
      <c r="H17" s="31">
        <v>1923714.38</v>
      </c>
      <c r="I17" s="31">
        <v>565265.28</v>
      </c>
      <c r="J17" s="31">
        <v>24222147.444630902</v>
      </c>
      <c r="K17" s="31">
        <v>15094726.044891372</v>
      </c>
      <c r="L17" s="31">
        <v>13974934.555609494</v>
      </c>
      <c r="M17" s="31">
        <f t="shared" si="4"/>
        <v>227365821.56450316</v>
      </c>
      <c r="N17" s="31">
        <v>2915486.5</v>
      </c>
      <c r="P17" s="42" t="s">
        <v>383</v>
      </c>
      <c r="Q17" s="42" t="s">
        <v>384</v>
      </c>
      <c r="R17" s="43" t="s">
        <v>1050</v>
      </c>
      <c r="S17" s="44">
        <v>32</v>
      </c>
      <c r="T17" s="31">
        <v>179906933.96757489</v>
      </c>
      <c r="U17" s="31">
        <v>6901512.9000000004</v>
      </c>
      <c r="V17" s="31">
        <v>1997586.97</v>
      </c>
      <c r="W17" s="31">
        <v>623196.14</v>
      </c>
      <c r="X17" s="31">
        <v>25048375.134357311</v>
      </c>
      <c r="Y17" s="31">
        <v>15109151.637641637</v>
      </c>
      <c r="Z17" s="31">
        <v>14473617.666349228</v>
      </c>
      <c r="AA17" s="31">
        <f t="shared" si="5"/>
        <v>247047534.25592306</v>
      </c>
      <c r="AB17" s="31">
        <v>2987159.84</v>
      </c>
      <c r="AD17" s="42" t="s">
        <v>383</v>
      </c>
      <c r="AE17" s="42" t="s">
        <v>384</v>
      </c>
      <c r="AF17" s="43" t="s">
        <v>1275</v>
      </c>
      <c r="AG17" s="44">
        <v>32</v>
      </c>
      <c r="AH17" s="31">
        <v>185214085.3512263</v>
      </c>
      <c r="AI17" s="31">
        <v>7108344.1900000004</v>
      </c>
      <c r="AJ17" s="31">
        <v>2036662.34</v>
      </c>
      <c r="AK17" s="31">
        <v>641370.15999999992</v>
      </c>
      <c r="AL17" s="31">
        <v>25514143.175197735</v>
      </c>
      <c r="AM17" s="31">
        <v>15104250.843077786</v>
      </c>
      <c r="AN17" s="31">
        <v>14752438.524200378</v>
      </c>
      <c r="AO17" s="31">
        <f t="shared" si="6"/>
        <v>253411083.13370222</v>
      </c>
      <c r="AP17" s="31">
        <v>3039788.55</v>
      </c>
      <c r="AR17" s="42" t="s">
        <v>383</v>
      </c>
      <c r="AS17" s="42" t="s">
        <v>384</v>
      </c>
      <c r="AT17" s="43" t="s">
        <v>1276</v>
      </c>
      <c r="AU17" s="44">
        <v>32</v>
      </c>
      <c r="AV17" s="31">
        <v>190494839.52823725</v>
      </c>
      <c r="AW17" s="31">
        <v>7304208.5499999989</v>
      </c>
      <c r="AX17" s="31">
        <v>2073853.66</v>
      </c>
      <c r="AY17" s="31">
        <v>659174.94000000018</v>
      </c>
      <c r="AZ17" s="31">
        <v>25984886.825052213</v>
      </c>
      <c r="BA17" s="31">
        <v>15105030.732719399</v>
      </c>
      <c r="BB17" s="31">
        <v>15024364.519992523</v>
      </c>
      <c r="BC17" s="31">
        <f t="shared" si="7"/>
        <v>259742512.65600139</v>
      </c>
      <c r="BD17" s="31">
        <v>3096153.9000000004</v>
      </c>
    </row>
    <row r="18" spans="2:56">
      <c r="B18" s="42" t="s">
        <v>253</v>
      </c>
      <c r="C18" s="42" t="s">
        <v>254</v>
      </c>
      <c r="D18" s="43" t="s">
        <v>1049</v>
      </c>
      <c r="E18" s="44">
        <v>32</v>
      </c>
      <c r="F18" s="31">
        <v>2028344.3853565911</v>
      </c>
      <c r="G18" s="31">
        <v>0</v>
      </c>
      <c r="H18" s="31">
        <v>0</v>
      </c>
      <c r="I18" s="31">
        <v>3215.6</v>
      </c>
      <c r="J18" s="31">
        <v>143796.12253377982</v>
      </c>
      <c r="K18" s="31">
        <v>204245.10318151774</v>
      </c>
      <c r="L18" s="31">
        <v>0</v>
      </c>
      <c r="M18" s="31">
        <f t="shared" si="4"/>
        <v>2379601.2110718889</v>
      </c>
      <c r="N18" s="31">
        <v>0</v>
      </c>
      <c r="P18" s="42" t="s">
        <v>253</v>
      </c>
      <c r="Q18" s="42" t="s">
        <v>254</v>
      </c>
      <c r="R18" s="43" t="s">
        <v>1050</v>
      </c>
      <c r="S18" s="44">
        <v>32</v>
      </c>
      <c r="T18" s="31">
        <v>2112561.4844276048</v>
      </c>
      <c r="U18" s="31">
        <v>0</v>
      </c>
      <c r="V18" s="31">
        <v>0</v>
      </c>
      <c r="W18" s="31">
        <v>3237.9100000000003</v>
      </c>
      <c r="X18" s="31">
        <v>149838.89192858007</v>
      </c>
      <c r="Y18" s="31">
        <v>204401.06373382264</v>
      </c>
      <c r="Z18" s="31">
        <v>0</v>
      </c>
      <c r="AA18" s="31">
        <f t="shared" si="5"/>
        <v>2470039.3500900078</v>
      </c>
      <c r="AB18" s="31">
        <v>0</v>
      </c>
      <c r="AD18" s="42" t="s">
        <v>253</v>
      </c>
      <c r="AE18" s="42" t="s">
        <v>254</v>
      </c>
      <c r="AF18" s="43" t="s">
        <v>1275</v>
      </c>
      <c r="AG18" s="44">
        <v>32</v>
      </c>
      <c r="AH18" s="31">
        <v>2178911.4028822482</v>
      </c>
      <c r="AI18" s="31">
        <v>0</v>
      </c>
      <c r="AJ18" s="31">
        <v>0</v>
      </c>
      <c r="AK18" s="31">
        <v>3301.24</v>
      </c>
      <c r="AL18" s="31">
        <v>152897.83133832231</v>
      </c>
      <c r="AM18" s="31">
        <v>204348.07938578629</v>
      </c>
      <c r="AN18" s="31">
        <v>0</v>
      </c>
      <c r="AO18" s="31">
        <f t="shared" si="6"/>
        <v>2539458.553606357</v>
      </c>
      <c r="AP18" s="31">
        <v>0</v>
      </c>
      <c r="AR18" s="42" t="s">
        <v>253</v>
      </c>
      <c r="AS18" s="42" t="s">
        <v>254</v>
      </c>
      <c r="AT18" s="43" t="s">
        <v>1276</v>
      </c>
      <c r="AU18" s="44">
        <v>32</v>
      </c>
      <c r="AV18" s="31">
        <v>2224233.117297858</v>
      </c>
      <c r="AW18" s="31">
        <v>0</v>
      </c>
      <c r="AX18" s="31">
        <v>0</v>
      </c>
      <c r="AY18" s="31">
        <v>3361.52</v>
      </c>
      <c r="AZ18" s="31">
        <v>157409.10334318137</v>
      </c>
      <c r="BA18" s="31">
        <v>204356.51106837625</v>
      </c>
      <c r="BB18" s="31">
        <v>0</v>
      </c>
      <c r="BC18" s="31">
        <f t="shared" si="7"/>
        <v>2589360.2517094156</v>
      </c>
      <c r="BD18" s="31">
        <v>0</v>
      </c>
    </row>
    <row r="19" spans="2:56">
      <c r="B19" s="42" t="s">
        <v>543</v>
      </c>
      <c r="C19" s="42" t="s">
        <v>544</v>
      </c>
      <c r="D19" s="43" t="s">
        <v>1049</v>
      </c>
      <c r="E19" s="44">
        <v>32</v>
      </c>
      <c r="F19" s="31">
        <v>19186818.572017204</v>
      </c>
      <c r="G19" s="31">
        <v>698005.57999999984</v>
      </c>
      <c r="H19" s="31">
        <v>155680.70999999996</v>
      </c>
      <c r="I19" s="31">
        <v>67387.5</v>
      </c>
      <c r="J19" s="31">
        <v>3045027.1744312509</v>
      </c>
      <c r="K19" s="31">
        <v>1278916.7381508555</v>
      </c>
      <c r="L19" s="31">
        <v>1255749.1972670495</v>
      </c>
      <c r="M19" s="31">
        <f t="shared" si="4"/>
        <v>25851606.221866354</v>
      </c>
      <c r="N19" s="31">
        <v>164020.75</v>
      </c>
      <c r="P19" s="42" t="s">
        <v>543</v>
      </c>
      <c r="Q19" s="42" t="s">
        <v>544</v>
      </c>
      <c r="R19" s="43" t="s">
        <v>1050</v>
      </c>
      <c r="S19" s="44">
        <v>32</v>
      </c>
      <c r="T19" s="31">
        <v>20399835.27450164</v>
      </c>
      <c r="U19" s="31">
        <v>743991.38000000012</v>
      </c>
      <c r="V19" s="31">
        <v>161455.96</v>
      </c>
      <c r="W19" s="31">
        <v>71617.240000000005</v>
      </c>
      <c r="X19" s="31">
        <v>3142288.0880281273</v>
      </c>
      <c r="Y19" s="31">
        <v>1280234.0715194601</v>
      </c>
      <c r="Z19" s="31">
        <v>1299548.0528840148</v>
      </c>
      <c r="AA19" s="31">
        <f t="shared" si="5"/>
        <v>27267089.516933244</v>
      </c>
      <c r="AB19" s="31">
        <v>168119.44999999998</v>
      </c>
      <c r="AD19" s="42" t="s">
        <v>543</v>
      </c>
      <c r="AE19" s="42" t="s">
        <v>544</v>
      </c>
      <c r="AF19" s="43" t="s">
        <v>1275</v>
      </c>
      <c r="AG19" s="44">
        <v>32</v>
      </c>
      <c r="AH19" s="31">
        <v>20792496.807895314</v>
      </c>
      <c r="AI19" s="31">
        <v>758861.95000000019</v>
      </c>
      <c r="AJ19" s="31">
        <v>164620.98000000001</v>
      </c>
      <c r="AK19" s="31">
        <v>73021.16</v>
      </c>
      <c r="AL19" s="31">
        <v>3200917.4858190641</v>
      </c>
      <c r="AM19" s="31">
        <v>1279752.3298108226</v>
      </c>
      <c r="AN19" s="31">
        <v>1324649.4923238603</v>
      </c>
      <c r="AO19" s="31">
        <f t="shared" si="6"/>
        <v>27765449.275849063</v>
      </c>
      <c r="AP19" s="31">
        <v>171129.06999999998</v>
      </c>
      <c r="AR19" s="42" t="s">
        <v>543</v>
      </c>
      <c r="AS19" s="42" t="s">
        <v>544</v>
      </c>
      <c r="AT19" s="43" t="s">
        <v>1276</v>
      </c>
      <c r="AU19" s="44">
        <v>32</v>
      </c>
      <c r="AV19" s="31">
        <v>21179392.748215631</v>
      </c>
      <c r="AW19" s="31">
        <v>772922.10000000009</v>
      </c>
      <c r="AX19" s="31">
        <v>167680.39000000001</v>
      </c>
      <c r="AY19" s="31">
        <v>74378.22</v>
      </c>
      <c r="AZ19" s="31">
        <v>3260604.7318386515</v>
      </c>
      <c r="BA19" s="31">
        <v>1279827.2225928726</v>
      </c>
      <c r="BB19" s="31">
        <v>1349377.8654137347</v>
      </c>
      <c r="BC19" s="31">
        <f t="shared" si="7"/>
        <v>28258535.63806089</v>
      </c>
      <c r="BD19" s="31">
        <v>174352.36</v>
      </c>
    </row>
    <row r="20" spans="2:56">
      <c r="B20" s="42" t="s">
        <v>283</v>
      </c>
      <c r="C20" s="42" t="s">
        <v>284</v>
      </c>
      <c r="D20" s="43" t="s">
        <v>1049</v>
      </c>
      <c r="E20" s="44">
        <v>32</v>
      </c>
      <c r="F20" s="31">
        <v>837661.23932314338</v>
      </c>
      <c r="G20" s="31">
        <v>28063.480000000003</v>
      </c>
      <c r="H20" s="31">
        <v>0</v>
      </c>
      <c r="I20" s="31">
        <v>0</v>
      </c>
      <c r="J20" s="31">
        <v>121492.51273492345</v>
      </c>
      <c r="K20" s="31">
        <v>147224.19300537929</v>
      </c>
      <c r="L20" s="31">
        <v>0</v>
      </c>
      <c r="M20" s="31">
        <f t="shared" si="4"/>
        <v>1159581.6650634462</v>
      </c>
      <c r="N20" s="31">
        <v>25140.239999999998</v>
      </c>
      <c r="P20" s="42" t="s">
        <v>283</v>
      </c>
      <c r="Q20" s="42" t="s">
        <v>284</v>
      </c>
      <c r="R20" s="43" t="s">
        <v>1050</v>
      </c>
      <c r="S20" s="44">
        <v>32</v>
      </c>
      <c r="T20" s="31">
        <v>841336.89264538221</v>
      </c>
      <c r="U20" s="31">
        <v>28274.309999999994</v>
      </c>
      <c r="V20" s="31">
        <v>0</v>
      </c>
      <c r="W20" s="31">
        <v>0</v>
      </c>
      <c r="X20" s="31">
        <v>125823.96549520476</v>
      </c>
      <c r="Y20" s="31">
        <v>147364.38455477581</v>
      </c>
      <c r="Z20" s="31">
        <v>0</v>
      </c>
      <c r="AA20" s="31">
        <f t="shared" si="5"/>
        <v>1168557.8326953629</v>
      </c>
      <c r="AB20" s="31">
        <v>25758.280000000002</v>
      </c>
      <c r="AD20" s="42" t="s">
        <v>283</v>
      </c>
      <c r="AE20" s="42" t="s">
        <v>284</v>
      </c>
      <c r="AF20" s="43" t="s">
        <v>1275</v>
      </c>
      <c r="AG20" s="44">
        <v>32</v>
      </c>
      <c r="AH20" s="31">
        <v>859206.43996807036</v>
      </c>
      <c r="AI20" s="31">
        <v>28877.459999999995</v>
      </c>
      <c r="AJ20" s="31">
        <v>0</v>
      </c>
      <c r="AK20" s="31">
        <v>0</v>
      </c>
      <c r="AL20" s="31">
        <v>127688.87830226237</v>
      </c>
      <c r="AM20" s="31">
        <v>147316.7573969131</v>
      </c>
      <c r="AN20" s="31">
        <v>0</v>
      </c>
      <c r="AO20" s="31">
        <f t="shared" si="6"/>
        <v>1189301.6256672458</v>
      </c>
      <c r="AP20" s="31">
        <v>26212.09</v>
      </c>
      <c r="AR20" s="42" t="s">
        <v>283</v>
      </c>
      <c r="AS20" s="42" t="s">
        <v>284</v>
      </c>
      <c r="AT20" s="43" t="s">
        <v>1276</v>
      </c>
      <c r="AU20" s="44">
        <v>32</v>
      </c>
      <c r="AV20" s="31">
        <v>883484.5320100094</v>
      </c>
      <c r="AW20" s="31">
        <v>29397.399999999998</v>
      </c>
      <c r="AX20" s="31">
        <v>0</v>
      </c>
      <c r="AY20" s="31">
        <v>0</v>
      </c>
      <c r="AZ20" s="31">
        <v>132427.9280165839</v>
      </c>
      <c r="BA20" s="31">
        <v>147324.33656118796</v>
      </c>
      <c r="BB20" s="31">
        <v>0</v>
      </c>
      <c r="BC20" s="31">
        <f t="shared" si="7"/>
        <v>1219332.3265877811</v>
      </c>
      <c r="BD20" s="31">
        <v>26698.13</v>
      </c>
    </row>
    <row r="21" spans="2:56">
      <c r="B21" s="42" t="s">
        <v>227</v>
      </c>
      <c r="C21" s="42" t="s">
        <v>228</v>
      </c>
      <c r="D21" s="43" t="s">
        <v>1049</v>
      </c>
      <c r="E21" s="44">
        <v>32</v>
      </c>
      <c r="F21" s="31">
        <v>38639172.35587088</v>
      </c>
      <c r="G21" s="31">
        <v>2128094.62</v>
      </c>
      <c r="H21" s="31">
        <v>769664.26000000013</v>
      </c>
      <c r="I21" s="31">
        <v>148264.25</v>
      </c>
      <c r="J21" s="31">
        <v>6700103.1409654683</v>
      </c>
      <c r="K21" s="31">
        <v>1974796.0191229219</v>
      </c>
      <c r="L21" s="31">
        <v>7034712.7100287881</v>
      </c>
      <c r="M21" s="31">
        <f t="shared" si="4"/>
        <v>58683340.065988056</v>
      </c>
      <c r="N21" s="31">
        <v>1288532.71</v>
      </c>
      <c r="P21" s="42" t="s">
        <v>227</v>
      </c>
      <c r="Q21" s="42" t="s">
        <v>228</v>
      </c>
      <c r="R21" s="43" t="s">
        <v>1050</v>
      </c>
      <c r="S21" s="44">
        <v>32</v>
      </c>
      <c r="T21" s="31">
        <v>41055250.280463412</v>
      </c>
      <c r="U21" s="31">
        <v>2255944.3600000003</v>
      </c>
      <c r="V21" s="31">
        <v>798108.03999999992</v>
      </c>
      <c r="W21" s="31">
        <v>156085.4</v>
      </c>
      <c r="X21" s="31">
        <v>6901700.1115210801</v>
      </c>
      <c r="Y21" s="31">
        <v>1976226.2431769932</v>
      </c>
      <c r="Z21" s="31">
        <v>7348189.3523861151</v>
      </c>
      <c r="AA21" s="31">
        <f t="shared" si="5"/>
        <v>61812291.857547604</v>
      </c>
      <c r="AB21" s="31">
        <v>1320788.07</v>
      </c>
      <c r="AD21" s="42" t="s">
        <v>227</v>
      </c>
      <c r="AE21" s="42" t="s">
        <v>228</v>
      </c>
      <c r="AF21" s="43" t="s">
        <v>1275</v>
      </c>
      <c r="AG21" s="44">
        <v>32</v>
      </c>
      <c r="AH21" s="31">
        <v>41533298.820270121</v>
      </c>
      <c r="AI21" s="31">
        <v>2280184.4299999997</v>
      </c>
      <c r="AJ21" s="31">
        <v>813757.01</v>
      </c>
      <c r="AK21" s="31">
        <v>157593.79999999999</v>
      </c>
      <c r="AL21" s="31">
        <v>7053951.7879592981</v>
      </c>
      <c r="AM21" s="31">
        <v>1975685.7255780131</v>
      </c>
      <c r="AN21" s="31">
        <v>7490272.1632042313</v>
      </c>
      <c r="AO21" s="31">
        <f t="shared" si="6"/>
        <v>62649216.437011659</v>
      </c>
      <c r="AP21" s="31">
        <v>1344472.7000000002</v>
      </c>
      <c r="AR21" s="42" t="s">
        <v>227</v>
      </c>
      <c r="AS21" s="42" t="s">
        <v>228</v>
      </c>
      <c r="AT21" s="43" t="s">
        <v>1276</v>
      </c>
      <c r="AU21" s="44">
        <v>32</v>
      </c>
      <c r="AV21" s="31">
        <v>41824524.801648192</v>
      </c>
      <c r="AW21" s="31">
        <v>2278648.6100000003</v>
      </c>
      <c r="AX21" s="31">
        <v>828908.7300000001</v>
      </c>
      <c r="AY21" s="31">
        <v>157487.81</v>
      </c>
      <c r="AZ21" s="31">
        <v>7249662.6470829789</v>
      </c>
      <c r="BA21" s="31">
        <v>1975768.9152187689</v>
      </c>
      <c r="BB21" s="31">
        <v>7630334.7048201915</v>
      </c>
      <c r="BC21" s="31">
        <f t="shared" si="7"/>
        <v>63315175.178770132</v>
      </c>
      <c r="BD21" s="31">
        <v>1369838.96</v>
      </c>
    </row>
    <row r="22" spans="2:56">
      <c r="B22" s="42" t="s">
        <v>333</v>
      </c>
      <c r="C22" s="42" t="s">
        <v>334</v>
      </c>
      <c r="D22" s="43" t="s">
        <v>1049</v>
      </c>
      <c r="E22" s="44">
        <v>32</v>
      </c>
      <c r="F22" s="31">
        <v>7739781.7000827799</v>
      </c>
      <c r="G22" s="31">
        <v>580174.03</v>
      </c>
      <c r="H22" s="31">
        <v>532719.42999999993</v>
      </c>
      <c r="I22" s="31">
        <v>27478.850000000002</v>
      </c>
      <c r="J22" s="31">
        <v>975017.96678022982</v>
      </c>
      <c r="K22" s="31">
        <v>208965.42034072077</v>
      </c>
      <c r="L22" s="31">
        <v>813910.64368802216</v>
      </c>
      <c r="M22" s="31">
        <f t="shared" si="4"/>
        <v>11152739.090891752</v>
      </c>
      <c r="N22" s="31">
        <v>274691.05</v>
      </c>
      <c r="P22" s="42" t="s">
        <v>333</v>
      </c>
      <c r="Q22" s="42" t="s">
        <v>334</v>
      </c>
      <c r="R22" s="43" t="s">
        <v>1050</v>
      </c>
      <c r="S22" s="44">
        <v>32</v>
      </c>
      <c r="T22" s="31">
        <v>8151123.4101458061</v>
      </c>
      <c r="U22" s="31">
        <v>604123.90000000014</v>
      </c>
      <c r="V22" s="31">
        <v>553176.38</v>
      </c>
      <c r="W22" s="31">
        <v>28432.889999999996</v>
      </c>
      <c r="X22" s="31">
        <v>1013797.575260058</v>
      </c>
      <c r="Y22" s="31">
        <v>209176.99398165039</v>
      </c>
      <c r="Z22" s="31">
        <v>850979.43474233721</v>
      </c>
      <c r="AA22" s="31">
        <f t="shared" si="5"/>
        <v>11692254.554129854</v>
      </c>
      <c r="AB22" s="31">
        <v>281443.96999999997</v>
      </c>
      <c r="AD22" s="42" t="s">
        <v>333</v>
      </c>
      <c r="AE22" s="42" t="s">
        <v>334</v>
      </c>
      <c r="AF22" s="43" t="s">
        <v>1275</v>
      </c>
      <c r="AG22" s="44">
        <v>32</v>
      </c>
      <c r="AH22" s="31">
        <v>8652979.3057022486</v>
      </c>
      <c r="AI22" s="31">
        <v>634645.05000000005</v>
      </c>
      <c r="AJ22" s="31">
        <v>563997.21000000008</v>
      </c>
      <c r="AK22" s="31">
        <v>29917.539999999997</v>
      </c>
      <c r="AL22" s="31">
        <v>1041733.2797558567</v>
      </c>
      <c r="AM22" s="31">
        <v>209105.11624551355</v>
      </c>
      <c r="AN22" s="31">
        <v>867370.9276025591</v>
      </c>
      <c r="AO22" s="31">
        <f t="shared" si="6"/>
        <v>12286150.969306178</v>
      </c>
      <c r="AP22" s="31">
        <v>286402.54000000004</v>
      </c>
      <c r="AR22" s="42" t="s">
        <v>333</v>
      </c>
      <c r="AS22" s="42" t="s">
        <v>334</v>
      </c>
      <c r="AT22" s="43" t="s">
        <v>1276</v>
      </c>
      <c r="AU22" s="44">
        <v>32</v>
      </c>
      <c r="AV22" s="31">
        <v>9150046.5699795969</v>
      </c>
      <c r="AW22" s="31">
        <v>662751.15000000014</v>
      </c>
      <c r="AX22" s="31">
        <v>574296.31000000006</v>
      </c>
      <c r="AY22" s="31">
        <v>31199.200000000004</v>
      </c>
      <c r="AZ22" s="31">
        <v>1070771.8519354318</v>
      </c>
      <c r="BA22" s="31">
        <v>209116.55453396769</v>
      </c>
      <c r="BB22" s="31">
        <v>883361.44646989671</v>
      </c>
      <c r="BC22" s="31">
        <f t="shared" si="7"/>
        <v>12873256.232918894</v>
      </c>
      <c r="BD22" s="31">
        <v>291713.14999999997</v>
      </c>
    </row>
    <row r="23" spans="2:56">
      <c r="B23" s="42" t="s">
        <v>91</v>
      </c>
      <c r="C23" s="42" t="s">
        <v>92</v>
      </c>
      <c r="D23" s="43" t="s">
        <v>1049</v>
      </c>
      <c r="E23" s="44">
        <v>32</v>
      </c>
      <c r="F23" s="31">
        <v>6343488.0439552311</v>
      </c>
      <c r="G23" s="31">
        <v>443559.30999999994</v>
      </c>
      <c r="H23" s="31">
        <v>535545.25</v>
      </c>
      <c r="I23" s="31">
        <v>20950.2</v>
      </c>
      <c r="J23" s="31">
        <v>647627.22401884221</v>
      </c>
      <c r="K23" s="31">
        <v>200527.8836296314</v>
      </c>
      <c r="L23" s="31">
        <v>249918.29588849843</v>
      </c>
      <c r="M23" s="31">
        <f t="shared" si="4"/>
        <v>8656282.5474922024</v>
      </c>
      <c r="N23" s="31">
        <v>214666.34000000005</v>
      </c>
      <c r="P23" s="42" t="s">
        <v>91</v>
      </c>
      <c r="Q23" s="42" t="s">
        <v>92</v>
      </c>
      <c r="R23" s="43" t="s">
        <v>1050</v>
      </c>
      <c r="S23" s="44">
        <v>32</v>
      </c>
      <c r="T23" s="31">
        <v>6651334.4208110487</v>
      </c>
      <c r="U23" s="31">
        <v>466695.27000000014</v>
      </c>
      <c r="V23" s="31">
        <v>556110.71</v>
      </c>
      <c r="W23" s="31">
        <v>21855.890000000003</v>
      </c>
      <c r="X23" s="31">
        <v>668732.60956352111</v>
      </c>
      <c r="Y23" s="31">
        <v>200713.43785578324</v>
      </c>
      <c r="Z23" s="31">
        <v>261229.16967875796</v>
      </c>
      <c r="AA23" s="31">
        <f t="shared" si="5"/>
        <v>9046615.1279091109</v>
      </c>
      <c r="AB23" s="31">
        <v>219943.62000000002</v>
      </c>
      <c r="AD23" s="42" t="s">
        <v>91</v>
      </c>
      <c r="AE23" s="42" t="s">
        <v>92</v>
      </c>
      <c r="AF23" s="43" t="s">
        <v>1275</v>
      </c>
      <c r="AG23" s="44">
        <v>32</v>
      </c>
      <c r="AH23" s="31">
        <v>6806701.053598173</v>
      </c>
      <c r="AI23" s="31">
        <v>478727.70999999996</v>
      </c>
      <c r="AJ23" s="31">
        <v>566988.96</v>
      </c>
      <c r="AK23" s="31">
        <v>22386.570000000003</v>
      </c>
      <c r="AL23" s="31">
        <v>681120.22245968296</v>
      </c>
      <c r="AM23" s="31">
        <v>200650.39967367402</v>
      </c>
      <c r="AN23" s="31">
        <v>266260.74327204196</v>
      </c>
      <c r="AO23" s="31">
        <f t="shared" si="6"/>
        <v>9246654.3190035727</v>
      </c>
      <c r="AP23" s="31">
        <v>223818.66000000003</v>
      </c>
      <c r="AR23" s="42" t="s">
        <v>91</v>
      </c>
      <c r="AS23" s="42" t="s">
        <v>92</v>
      </c>
      <c r="AT23" s="43" t="s">
        <v>1276</v>
      </c>
      <c r="AU23" s="44">
        <v>32</v>
      </c>
      <c r="AV23" s="31">
        <v>6999186.031739898</v>
      </c>
      <c r="AW23" s="31">
        <v>491923.75000000012</v>
      </c>
      <c r="AX23" s="31">
        <v>577342.70000000007</v>
      </c>
      <c r="AY23" s="31">
        <v>23005.47</v>
      </c>
      <c r="AZ23" s="31">
        <v>693866.80502811912</v>
      </c>
      <c r="BA23" s="31">
        <v>200660.43127663402</v>
      </c>
      <c r="BB23" s="31">
        <v>271169.18023716903</v>
      </c>
      <c r="BC23" s="31">
        <f t="shared" si="7"/>
        <v>9485123.1882818211</v>
      </c>
      <c r="BD23" s="31">
        <v>227968.82000000004</v>
      </c>
    </row>
    <row r="24" spans="2:56">
      <c r="B24" s="42" t="s">
        <v>175</v>
      </c>
      <c r="C24" s="42" t="s">
        <v>176</v>
      </c>
      <c r="D24" s="43" t="s">
        <v>1049</v>
      </c>
      <c r="E24" s="44">
        <v>32</v>
      </c>
      <c r="F24" s="31">
        <v>687171.97915355011</v>
      </c>
      <c r="G24" s="31">
        <v>35469.12999999999</v>
      </c>
      <c r="H24" s="31">
        <v>0</v>
      </c>
      <c r="I24" s="31">
        <v>2046.29</v>
      </c>
      <c r="J24" s="31">
        <v>71998.760080828826</v>
      </c>
      <c r="K24" s="31">
        <v>97630.34124617363</v>
      </c>
      <c r="L24" s="31">
        <v>0</v>
      </c>
      <c r="M24" s="31">
        <f t="shared" si="4"/>
        <v>914876.94048055261</v>
      </c>
      <c r="N24" s="31">
        <v>20560.440000000002</v>
      </c>
      <c r="P24" s="42" t="s">
        <v>175</v>
      </c>
      <c r="Q24" s="42" t="s">
        <v>176</v>
      </c>
      <c r="R24" s="43" t="s">
        <v>1050</v>
      </c>
      <c r="S24" s="44">
        <v>32</v>
      </c>
      <c r="T24" s="31">
        <v>607449.79899990663</v>
      </c>
      <c r="U24" s="31">
        <v>30841.839999999997</v>
      </c>
      <c r="V24" s="31">
        <v>0</v>
      </c>
      <c r="W24" s="31">
        <v>1720.15</v>
      </c>
      <c r="X24" s="31">
        <v>74718.478755852775</v>
      </c>
      <c r="Y24" s="31">
        <v>97690.834245149425</v>
      </c>
      <c r="Z24" s="31">
        <v>0</v>
      </c>
      <c r="AA24" s="31">
        <f t="shared" si="5"/>
        <v>833486.98200090881</v>
      </c>
      <c r="AB24" s="31">
        <v>21065.880000000005</v>
      </c>
      <c r="AD24" s="42" t="s">
        <v>175</v>
      </c>
      <c r="AE24" s="42" t="s">
        <v>176</v>
      </c>
      <c r="AF24" s="43" t="s">
        <v>1275</v>
      </c>
      <c r="AG24" s="44">
        <v>32</v>
      </c>
      <c r="AH24" s="31">
        <v>617994.72664034984</v>
      </c>
      <c r="AI24" s="31">
        <v>31486.079999999998</v>
      </c>
      <c r="AJ24" s="31">
        <v>0</v>
      </c>
      <c r="AK24" s="31">
        <v>1753.8000000000004</v>
      </c>
      <c r="AL24" s="31">
        <v>76489.753384883326</v>
      </c>
      <c r="AM24" s="31">
        <v>97670.283009185412</v>
      </c>
      <c r="AN24" s="31">
        <v>0</v>
      </c>
      <c r="AO24" s="31">
        <f t="shared" si="6"/>
        <v>846831.6630344186</v>
      </c>
      <c r="AP24" s="31">
        <v>21437.02</v>
      </c>
      <c r="AR24" s="42" t="s">
        <v>175</v>
      </c>
      <c r="AS24" s="42" t="s">
        <v>176</v>
      </c>
      <c r="AT24" s="43" t="s">
        <v>1276</v>
      </c>
      <c r="AU24" s="44">
        <v>32</v>
      </c>
      <c r="AV24" s="31">
        <v>627222.15877219499</v>
      </c>
      <c r="AW24" s="31">
        <v>32054.999999999996</v>
      </c>
      <c r="AX24" s="31">
        <v>0</v>
      </c>
      <c r="AY24" s="31">
        <v>1785.8200000000002</v>
      </c>
      <c r="AZ24" s="31">
        <v>78649.352926415231</v>
      </c>
      <c r="BA24" s="31">
        <v>97673.553437243943</v>
      </c>
      <c r="BB24" s="31">
        <v>0</v>
      </c>
      <c r="BC24" s="31">
        <f t="shared" si="7"/>
        <v>859220.40513585415</v>
      </c>
      <c r="BD24" s="31">
        <v>21834.52</v>
      </c>
    </row>
    <row r="25" spans="2:56">
      <c r="B25" s="42" t="s">
        <v>403</v>
      </c>
      <c r="C25" s="42" t="s">
        <v>404</v>
      </c>
      <c r="D25" s="43" t="s">
        <v>1049</v>
      </c>
      <c r="E25" s="44">
        <v>32</v>
      </c>
      <c r="F25" s="31">
        <v>27783206.817980524</v>
      </c>
      <c r="G25" s="31">
        <v>1270243.3699999999</v>
      </c>
      <c r="H25" s="31">
        <v>1290926.69</v>
      </c>
      <c r="I25" s="31">
        <v>104862.09</v>
      </c>
      <c r="J25" s="31">
        <v>4625190.9548425321</v>
      </c>
      <c r="K25" s="31">
        <v>2079618.5127864762</v>
      </c>
      <c r="L25" s="31">
        <v>3932026.1783980927</v>
      </c>
      <c r="M25" s="31">
        <f t="shared" si="4"/>
        <v>41539772.68400763</v>
      </c>
      <c r="N25" s="31">
        <v>453698.07</v>
      </c>
      <c r="P25" s="42" t="s">
        <v>403</v>
      </c>
      <c r="Q25" s="42" t="s">
        <v>404</v>
      </c>
      <c r="R25" s="43" t="s">
        <v>1050</v>
      </c>
      <c r="S25" s="44">
        <v>32</v>
      </c>
      <c r="T25" s="31">
        <v>28224058.625868417</v>
      </c>
      <c r="U25" s="31">
        <v>1285067.8599999999</v>
      </c>
      <c r="V25" s="31">
        <v>1328555.6600000001</v>
      </c>
      <c r="W25" s="31">
        <v>105629.84000000001</v>
      </c>
      <c r="X25" s="31">
        <v>4743679.1675425963</v>
      </c>
      <c r="Y25" s="31">
        <v>2081206.7586834843</v>
      </c>
      <c r="Z25" s="31">
        <v>4083116.5940179136</v>
      </c>
      <c r="AA25" s="31">
        <f t="shared" si="5"/>
        <v>42312744.026112422</v>
      </c>
      <c r="AB25" s="31">
        <v>461429.52</v>
      </c>
      <c r="AD25" s="42" t="s">
        <v>403</v>
      </c>
      <c r="AE25" s="42" t="s">
        <v>404</v>
      </c>
      <c r="AF25" s="43" t="s">
        <v>1275</v>
      </c>
      <c r="AG25" s="44">
        <v>32</v>
      </c>
      <c r="AH25" s="31">
        <v>28768030.748128448</v>
      </c>
      <c r="AI25" s="31">
        <v>1311047.3799999997</v>
      </c>
      <c r="AJ25" s="31">
        <v>1354596.3499999999</v>
      </c>
      <c r="AK25" s="31">
        <v>107700.26000000002</v>
      </c>
      <c r="AL25" s="31">
        <v>4832148.5857576244</v>
      </c>
      <c r="AM25" s="31">
        <v>2080614.8366721151</v>
      </c>
      <c r="AN25" s="31">
        <v>4161987.1184978983</v>
      </c>
      <c r="AO25" s="31">
        <f t="shared" si="6"/>
        <v>43085807.939056084</v>
      </c>
      <c r="AP25" s="31">
        <v>469682.66000000009</v>
      </c>
      <c r="AR25" s="42" t="s">
        <v>403</v>
      </c>
      <c r="AS25" s="42" t="s">
        <v>404</v>
      </c>
      <c r="AT25" s="43" t="s">
        <v>1276</v>
      </c>
      <c r="AU25" s="44">
        <v>32</v>
      </c>
      <c r="AV25" s="31">
        <v>29303674.031813256</v>
      </c>
      <c r="AW25" s="31">
        <v>1335270.4699999997</v>
      </c>
      <c r="AX25" s="31">
        <v>1379746.65</v>
      </c>
      <c r="AY25" s="31">
        <v>109699.90000000001</v>
      </c>
      <c r="AZ25" s="31">
        <v>4922266.4314354593</v>
      </c>
      <c r="BA25" s="31">
        <v>2080706.3860400345</v>
      </c>
      <c r="BB25" s="31">
        <v>4239670.0673618801</v>
      </c>
      <c r="BC25" s="31">
        <f t="shared" si="7"/>
        <v>43849555.696650617</v>
      </c>
      <c r="BD25" s="31">
        <v>478521.76</v>
      </c>
    </row>
    <row r="26" spans="2:56">
      <c r="B26" s="42" t="s">
        <v>67</v>
      </c>
      <c r="C26" s="42" t="s">
        <v>68</v>
      </c>
      <c r="D26" s="43" t="s">
        <v>1049</v>
      </c>
      <c r="E26" s="44">
        <v>32</v>
      </c>
      <c r="F26" s="31">
        <v>60835390.650329225</v>
      </c>
      <c r="G26" s="31">
        <v>725852.97</v>
      </c>
      <c r="H26" s="31">
        <v>379734.03</v>
      </c>
      <c r="I26" s="31">
        <v>214839.77000000002</v>
      </c>
      <c r="J26" s="31">
        <v>7341555.980055741</v>
      </c>
      <c r="K26" s="31">
        <v>3464597.7384328274</v>
      </c>
      <c r="L26" s="31">
        <v>4099741.4671753743</v>
      </c>
      <c r="M26" s="31">
        <f t="shared" si="4"/>
        <v>77061712.605993167</v>
      </c>
      <c r="N26" s="31">
        <v>0</v>
      </c>
      <c r="P26" s="42" t="s">
        <v>67</v>
      </c>
      <c r="Q26" s="42" t="s">
        <v>68</v>
      </c>
      <c r="R26" s="43" t="s">
        <v>1050</v>
      </c>
      <c r="S26" s="44">
        <v>32</v>
      </c>
      <c r="T26" s="31">
        <v>64356233.887412004</v>
      </c>
      <c r="U26" s="31">
        <v>767028.69000000006</v>
      </c>
      <c r="V26" s="31">
        <v>390826.64999999991</v>
      </c>
      <c r="W26" s="31">
        <v>227009.06</v>
      </c>
      <c r="X26" s="31">
        <v>7519726.6307436684</v>
      </c>
      <c r="Y26" s="31">
        <v>3466362.9300029925</v>
      </c>
      <c r="Z26" s="31">
        <v>4215701.1787225977</v>
      </c>
      <c r="AA26" s="31">
        <f t="shared" si="5"/>
        <v>80942889.026881248</v>
      </c>
      <c r="AB26" s="31">
        <v>0</v>
      </c>
      <c r="AD26" s="42" t="s">
        <v>67</v>
      </c>
      <c r="AE26" s="42" t="s">
        <v>68</v>
      </c>
      <c r="AF26" s="43" t="s">
        <v>1275</v>
      </c>
      <c r="AG26" s="44">
        <v>32</v>
      </c>
      <c r="AH26" s="31">
        <v>65630724.464448124</v>
      </c>
      <c r="AI26" s="31">
        <v>781606.71000000008</v>
      </c>
      <c r="AJ26" s="31">
        <v>398481.43999999989</v>
      </c>
      <c r="AK26" s="31">
        <v>231344</v>
      </c>
      <c r="AL26" s="31">
        <v>7667856.4772180496</v>
      </c>
      <c r="AM26" s="31">
        <v>3465727.0366780045</v>
      </c>
      <c r="AN26" s="31">
        <v>4297036.8939162008</v>
      </c>
      <c r="AO26" s="31">
        <f t="shared" si="6"/>
        <v>82472777.022260383</v>
      </c>
      <c r="AP26" s="31">
        <v>0</v>
      </c>
      <c r="AR26" s="42" t="s">
        <v>67</v>
      </c>
      <c r="AS26" s="42" t="s">
        <v>68</v>
      </c>
      <c r="AT26" s="43" t="s">
        <v>1276</v>
      </c>
      <c r="AU26" s="44">
        <v>32</v>
      </c>
      <c r="AV26" s="31">
        <v>66282745.778708726</v>
      </c>
      <c r="AW26" s="31">
        <v>789683.45</v>
      </c>
      <c r="AX26" s="31">
        <v>405834.72999999992</v>
      </c>
      <c r="AY26" s="31">
        <v>233799.78999999998</v>
      </c>
      <c r="AZ26" s="31">
        <v>7810508.5201742295</v>
      </c>
      <c r="BA26" s="31">
        <v>3465826.4297204395</v>
      </c>
      <c r="BB26" s="31">
        <v>4376876.998799189</v>
      </c>
      <c r="BC26" s="31">
        <f t="shared" si="7"/>
        <v>83365275.697402611</v>
      </c>
      <c r="BD26" s="31">
        <v>0</v>
      </c>
    </row>
    <row r="27" spans="2:56">
      <c r="B27" s="42" t="s">
        <v>49</v>
      </c>
      <c r="C27" s="42" t="s">
        <v>50</v>
      </c>
      <c r="D27" s="43" t="s">
        <v>1049</v>
      </c>
      <c r="E27" s="44">
        <v>32</v>
      </c>
      <c r="F27" s="31">
        <v>4802200.8960865419</v>
      </c>
      <c r="G27" s="31">
        <v>217004.93000000008</v>
      </c>
      <c r="H27" s="31">
        <v>0</v>
      </c>
      <c r="I27" s="31">
        <v>0</v>
      </c>
      <c r="J27" s="31">
        <v>606879.84933551261</v>
      </c>
      <c r="K27" s="31">
        <v>276064.10665396188</v>
      </c>
      <c r="L27" s="31">
        <v>67614.206827759874</v>
      </c>
      <c r="M27" s="31">
        <f t="shared" si="4"/>
        <v>6111543.1789037762</v>
      </c>
      <c r="N27" s="31">
        <v>141779.18999999997</v>
      </c>
      <c r="P27" s="42" t="s">
        <v>49</v>
      </c>
      <c r="Q27" s="42" t="s">
        <v>50</v>
      </c>
      <c r="R27" s="43" t="s">
        <v>1050</v>
      </c>
      <c r="S27" s="44">
        <v>32</v>
      </c>
      <c r="T27" s="31">
        <v>5083107.4561993368</v>
      </c>
      <c r="U27" s="31">
        <v>233570.6</v>
      </c>
      <c r="V27" s="31">
        <v>0</v>
      </c>
      <c r="W27" s="31">
        <v>0</v>
      </c>
      <c r="X27" s="31">
        <v>624760.91494530276</v>
      </c>
      <c r="Y27" s="31">
        <v>276253.72696401167</v>
      </c>
      <c r="Z27" s="31">
        <v>70630.553646526459</v>
      </c>
      <c r="AA27" s="31">
        <f t="shared" si="5"/>
        <v>6433587.9017551774</v>
      </c>
      <c r="AB27" s="31">
        <v>145264.65</v>
      </c>
      <c r="AD27" s="42" t="s">
        <v>49</v>
      </c>
      <c r="AE27" s="42" t="s">
        <v>50</v>
      </c>
      <c r="AF27" s="43" t="s">
        <v>1275</v>
      </c>
      <c r="AG27" s="44">
        <v>32</v>
      </c>
      <c r="AH27" s="31">
        <v>5160008.8162424862</v>
      </c>
      <c r="AI27" s="31">
        <v>237493.30999999997</v>
      </c>
      <c r="AJ27" s="31">
        <v>0</v>
      </c>
      <c r="AK27" s="31">
        <v>0</v>
      </c>
      <c r="AL27" s="31">
        <v>634167.78215566743</v>
      </c>
      <c r="AM27" s="31">
        <v>276189.30741461948</v>
      </c>
      <c r="AN27" s="31">
        <v>71991.123323653796</v>
      </c>
      <c r="AO27" s="31">
        <f t="shared" si="6"/>
        <v>6527674.3091364261</v>
      </c>
      <c r="AP27" s="31">
        <v>147823.97</v>
      </c>
      <c r="AR27" s="42" t="s">
        <v>49</v>
      </c>
      <c r="AS27" s="42" t="s">
        <v>50</v>
      </c>
      <c r="AT27" s="43" t="s">
        <v>1276</v>
      </c>
      <c r="AU27" s="44">
        <v>32</v>
      </c>
      <c r="AV27" s="31">
        <v>5216443.4531189557</v>
      </c>
      <c r="AW27" s="31">
        <v>240843.11000000007</v>
      </c>
      <c r="AX27" s="31">
        <v>0</v>
      </c>
      <c r="AY27" s="31">
        <v>0</v>
      </c>
      <c r="AZ27" s="31">
        <v>645065.54534533632</v>
      </c>
      <c r="BA27" s="31">
        <v>276199.55884194089</v>
      </c>
      <c r="BB27" s="31">
        <v>73318.448826177162</v>
      </c>
      <c r="BC27" s="31">
        <f t="shared" si="7"/>
        <v>6602435.1061324105</v>
      </c>
      <c r="BD27" s="31">
        <v>150564.98999999996</v>
      </c>
    </row>
    <row r="28" spans="2:56">
      <c r="B28" s="42" t="s">
        <v>367</v>
      </c>
      <c r="C28" s="42" t="s">
        <v>368</v>
      </c>
      <c r="D28" s="43" t="s">
        <v>1049</v>
      </c>
      <c r="E28" s="44">
        <v>32</v>
      </c>
      <c r="F28" s="31">
        <v>1676580.6507552369</v>
      </c>
      <c r="G28" s="31">
        <v>36584.26</v>
      </c>
      <c r="H28" s="31">
        <v>0</v>
      </c>
      <c r="I28" s="31">
        <v>5408.1</v>
      </c>
      <c r="J28" s="31">
        <v>257049.6078094382</v>
      </c>
      <c r="K28" s="31">
        <v>111344.81278901687</v>
      </c>
      <c r="L28" s="31">
        <v>0</v>
      </c>
      <c r="M28" s="31">
        <f t="shared" si="4"/>
        <v>2086967.431353692</v>
      </c>
      <c r="N28" s="31">
        <v>0</v>
      </c>
      <c r="P28" s="42" t="s">
        <v>367</v>
      </c>
      <c r="Q28" s="42" t="s">
        <v>368</v>
      </c>
      <c r="R28" s="43" t="s">
        <v>1050</v>
      </c>
      <c r="S28" s="44">
        <v>32</v>
      </c>
      <c r="T28" s="31">
        <v>1806542.4724688805</v>
      </c>
      <c r="U28" s="31">
        <v>39718.219999999994</v>
      </c>
      <c r="V28" s="31">
        <v>0</v>
      </c>
      <c r="W28" s="31">
        <v>5941.22</v>
      </c>
      <c r="X28" s="31">
        <v>263574.98408192</v>
      </c>
      <c r="Y28" s="31">
        <v>111433.47712073127</v>
      </c>
      <c r="Z28" s="31">
        <v>0</v>
      </c>
      <c r="AA28" s="31">
        <f t="shared" si="5"/>
        <v>2227210.3736715321</v>
      </c>
      <c r="AB28" s="31">
        <v>0</v>
      </c>
      <c r="AD28" s="42" t="s">
        <v>367</v>
      </c>
      <c r="AE28" s="42" t="s">
        <v>368</v>
      </c>
      <c r="AF28" s="43" t="s">
        <v>1275</v>
      </c>
      <c r="AG28" s="44">
        <v>32</v>
      </c>
      <c r="AH28" s="31">
        <v>1841361.5813416075</v>
      </c>
      <c r="AI28" s="31">
        <v>40496.26</v>
      </c>
      <c r="AJ28" s="31">
        <v>0</v>
      </c>
      <c r="AK28" s="31">
        <v>6057.6099999999988</v>
      </c>
      <c r="AL28" s="31">
        <v>268475.27483967604</v>
      </c>
      <c r="AM28" s="31">
        <v>111402.18103254608</v>
      </c>
      <c r="AN28" s="31">
        <v>0</v>
      </c>
      <c r="AO28" s="31">
        <f t="shared" si="6"/>
        <v>2267792.9072138295</v>
      </c>
      <c r="AP28" s="31">
        <v>0</v>
      </c>
      <c r="AR28" s="42" t="s">
        <v>367</v>
      </c>
      <c r="AS28" s="42" t="s">
        <v>368</v>
      </c>
      <c r="AT28" s="43" t="s">
        <v>1276</v>
      </c>
      <c r="AU28" s="44">
        <v>32</v>
      </c>
      <c r="AV28" s="31">
        <v>1875452.5490603382</v>
      </c>
      <c r="AW28" s="31">
        <v>41244.340000000004</v>
      </c>
      <c r="AX28" s="31">
        <v>0</v>
      </c>
      <c r="AY28" s="31">
        <v>6169.5099999999993</v>
      </c>
      <c r="AZ28" s="31">
        <v>273453.21188800264</v>
      </c>
      <c r="BA28" s="31">
        <v>111407.10060620398</v>
      </c>
      <c r="BB28" s="31">
        <v>0</v>
      </c>
      <c r="BC28" s="31">
        <f t="shared" si="7"/>
        <v>2307726.711554545</v>
      </c>
      <c r="BD28" s="31">
        <v>0</v>
      </c>
    </row>
    <row r="29" spans="2:56">
      <c r="B29" s="42" t="s">
        <v>1226</v>
      </c>
      <c r="C29" s="42" t="s">
        <v>1227</v>
      </c>
      <c r="D29" s="43" t="s">
        <v>1049</v>
      </c>
      <c r="E29" s="44">
        <v>32</v>
      </c>
      <c r="F29" s="31">
        <v>1747359.6558962683</v>
      </c>
      <c r="G29" s="31">
        <v>51491.609999999993</v>
      </c>
      <c r="H29" s="31">
        <v>16260.520000000002</v>
      </c>
      <c r="I29" s="31">
        <v>0</v>
      </c>
      <c r="J29" s="31">
        <v>131410.50776088261</v>
      </c>
      <c r="K29" s="31">
        <v>47195.07</v>
      </c>
      <c r="L29" s="31">
        <v>0</v>
      </c>
      <c r="M29" s="31">
        <f t="shared" si="4"/>
        <v>2027480.523657151</v>
      </c>
      <c r="N29" s="31">
        <v>33763.159999999996</v>
      </c>
      <c r="P29" s="42" t="s">
        <v>1226</v>
      </c>
      <c r="Q29" s="42" t="s">
        <v>1227</v>
      </c>
      <c r="R29" s="43" t="s">
        <v>1050</v>
      </c>
      <c r="S29" s="44">
        <v>32</v>
      </c>
      <c r="T29" s="31">
        <v>2297917.6545015527</v>
      </c>
      <c r="U29" s="31">
        <v>107308.76000000001</v>
      </c>
      <c r="V29" s="31">
        <v>16861.440000000002</v>
      </c>
      <c r="W29" s="31">
        <v>0</v>
      </c>
      <c r="X29" s="31">
        <v>135785.12159716076</v>
      </c>
      <c r="Y29" s="31">
        <v>47195.07</v>
      </c>
      <c r="Z29" s="31">
        <v>0</v>
      </c>
      <c r="AA29" s="31">
        <f t="shared" si="5"/>
        <v>2639676.3860987127</v>
      </c>
      <c r="AB29" s="31">
        <v>34608.339999999997</v>
      </c>
      <c r="AD29" s="42" t="s">
        <v>1226</v>
      </c>
      <c r="AE29" s="42" t="s">
        <v>1227</v>
      </c>
      <c r="AF29" s="43" t="s">
        <v>1275</v>
      </c>
      <c r="AG29" s="44">
        <v>32</v>
      </c>
      <c r="AH29" s="31">
        <v>3023577.1610797946</v>
      </c>
      <c r="AI29" s="31">
        <v>163912.30000000005</v>
      </c>
      <c r="AJ29" s="31">
        <v>17192.050000000003</v>
      </c>
      <c r="AK29" s="31">
        <v>0</v>
      </c>
      <c r="AL29" s="31">
        <v>138323.55142505307</v>
      </c>
      <c r="AM29" s="31">
        <v>47195.07</v>
      </c>
      <c r="AN29" s="31">
        <v>0</v>
      </c>
      <c r="AO29" s="31">
        <f t="shared" si="6"/>
        <v>3425429.0725048478</v>
      </c>
      <c r="AP29" s="31">
        <v>35228.939999999995</v>
      </c>
      <c r="AR29" s="42" t="s">
        <v>1226</v>
      </c>
      <c r="AS29" s="42" t="s">
        <v>1227</v>
      </c>
      <c r="AT29" s="43" t="s">
        <v>1276</v>
      </c>
      <c r="AU29" s="44">
        <v>32</v>
      </c>
      <c r="AV29" s="31">
        <v>4107241.9496348826</v>
      </c>
      <c r="AW29" s="31">
        <v>222410.71000000002</v>
      </c>
      <c r="AX29" s="31">
        <v>17512.150000000005</v>
      </c>
      <c r="AY29" s="31">
        <v>0</v>
      </c>
      <c r="AZ29" s="31">
        <v>140914.4114919077</v>
      </c>
      <c r="BA29" s="31">
        <v>47195.07</v>
      </c>
      <c r="BB29" s="31">
        <v>0</v>
      </c>
      <c r="BC29" s="31">
        <f t="shared" si="7"/>
        <v>4571167.9011267917</v>
      </c>
      <c r="BD29" s="31">
        <v>35893.61</v>
      </c>
    </row>
    <row r="30" spans="2:56">
      <c r="B30" s="42" t="s">
        <v>39</v>
      </c>
      <c r="C30" s="42" t="s">
        <v>40</v>
      </c>
      <c r="D30" s="43" t="s">
        <v>1049</v>
      </c>
      <c r="E30" s="44">
        <v>32</v>
      </c>
      <c r="F30" s="31">
        <v>9398777.6727278605</v>
      </c>
      <c r="G30" s="31">
        <v>310549.99</v>
      </c>
      <c r="H30" s="31">
        <v>232108.59</v>
      </c>
      <c r="I30" s="31">
        <v>0</v>
      </c>
      <c r="J30" s="31">
        <v>983613.64915245574</v>
      </c>
      <c r="K30" s="31">
        <v>941105.18427397101</v>
      </c>
      <c r="L30" s="31">
        <v>1552784.7394475355</v>
      </c>
      <c r="M30" s="31">
        <f t="shared" si="4"/>
        <v>13424104.285601825</v>
      </c>
      <c r="N30" s="31">
        <v>5164.46</v>
      </c>
      <c r="P30" s="42" t="s">
        <v>39</v>
      </c>
      <c r="Q30" s="42" t="s">
        <v>40</v>
      </c>
      <c r="R30" s="43" t="s">
        <v>1050</v>
      </c>
      <c r="S30" s="44">
        <v>32</v>
      </c>
      <c r="T30" s="31">
        <v>9341044.5618721899</v>
      </c>
      <c r="U30" s="31">
        <v>308684.49</v>
      </c>
      <c r="V30" s="31">
        <v>241021.79</v>
      </c>
      <c r="W30" s="31">
        <v>0</v>
      </c>
      <c r="X30" s="31">
        <v>1021152.3492677185</v>
      </c>
      <c r="Y30" s="31">
        <v>942133.07659657241</v>
      </c>
      <c r="Z30" s="31">
        <v>1608112.8579982521</v>
      </c>
      <c r="AA30" s="31">
        <f t="shared" si="5"/>
        <v>13467440.545734733</v>
      </c>
      <c r="AB30" s="31">
        <v>5291.42</v>
      </c>
      <c r="AD30" s="42" t="s">
        <v>39</v>
      </c>
      <c r="AE30" s="42" t="s">
        <v>40</v>
      </c>
      <c r="AF30" s="43" t="s">
        <v>1275</v>
      </c>
      <c r="AG30" s="44">
        <v>32</v>
      </c>
      <c r="AH30" s="31">
        <v>9774375.9373368192</v>
      </c>
      <c r="AI30" s="31">
        <v>321335.52000000008</v>
      </c>
      <c r="AJ30" s="31">
        <v>245736.48</v>
      </c>
      <c r="AK30" s="31">
        <v>0</v>
      </c>
      <c r="AL30" s="31">
        <v>1042609.1657573023</v>
      </c>
      <c r="AM30" s="31">
        <v>941783.871597233</v>
      </c>
      <c r="AN30" s="31">
        <v>1639084.425319091</v>
      </c>
      <c r="AO30" s="31">
        <f t="shared" si="6"/>
        <v>13970310.050010445</v>
      </c>
      <c r="AP30" s="31">
        <v>5384.6500000000005</v>
      </c>
      <c r="AR30" s="42" t="s">
        <v>39</v>
      </c>
      <c r="AS30" s="42" t="s">
        <v>40</v>
      </c>
      <c r="AT30" s="43" t="s">
        <v>1276</v>
      </c>
      <c r="AU30" s="44">
        <v>32</v>
      </c>
      <c r="AV30" s="31">
        <v>10245242.778465835</v>
      </c>
      <c r="AW30" s="31">
        <v>335290.56</v>
      </c>
      <c r="AX30" s="31">
        <v>250223.85</v>
      </c>
      <c r="AY30" s="31">
        <v>0</v>
      </c>
      <c r="AZ30" s="31">
        <v>1062983.5242987648</v>
      </c>
      <c r="BA30" s="31">
        <v>941839.44245584297</v>
      </c>
      <c r="BB30" s="31">
        <v>1669305.311294829</v>
      </c>
      <c r="BC30" s="31">
        <f t="shared" si="7"/>
        <v>14510369.966515273</v>
      </c>
      <c r="BD30" s="31">
        <v>5484.5</v>
      </c>
    </row>
    <row r="31" spans="2:56">
      <c r="B31" s="42" t="s">
        <v>37</v>
      </c>
      <c r="C31" s="42" t="s">
        <v>38</v>
      </c>
      <c r="D31" s="43" t="s">
        <v>1049</v>
      </c>
      <c r="E31" s="44">
        <v>32</v>
      </c>
      <c r="F31" s="31">
        <v>12392364.707411379</v>
      </c>
      <c r="G31" s="31">
        <v>441258.63</v>
      </c>
      <c r="H31" s="31">
        <v>310111.81</v>
      </c>
      <c r="I31" s="31">
        <v>45497.859999999993</v>
      </c>
      <c r="J31" s="31">
        <v>1848344.4327993318</v>
      </c>
      <c r="K31" s="31">
        <v>478942.58102959208</v>
      </c>
      <c r="L31" s="31">
        <v>1622373.0229085854</v>
      </c>
      <c r="M31" s="31">
        <f t="shared" si="4"/>
        <v>17138893.044148888</v>
      </c>
      <c r="N31" s="31">
        <v>0</v>
      </c>
      <c r="P31" s="42" t="s">
        <v>37</v>
      </c>
      <c r="Q31" s="42" t="s">
        <v>38</v>
      </c>
      <c r="R31" s="43" t="s">
        <v>1050</v>
      </c>
      <c r="S31" s="44">
        <v>32</v>
      </c>
      <c r="T31" s="31">
        <v>12819133.894411586</v>
      </c>
      <c r="U31" s="31">
        <v>457730.65</v>
      </c>
      <c r="V31" s="31">
        <v>321908.95000000007</v>
      </c>
      <c r="W31" s="31">
        <v>47228.689999999995</v>
      </c>
      <c r="X31" s="31">
        <v>1905593.6566605917</v>
      </c>
      <c r="Y31" s="31">
        <v>479260.23518231348</v>
      </c>
      <c r="Z31" s="31">
        <v>1679916.2809313219</v>
      </c>
      <c r="AA31" s="31">
        <f t="shared" si="5"/>
        <v>17710772.357185811</v>
      </c>
      <c r="AB31" s="31">
        <v>0</v>
      </c>
      <c r="AD31" s="42" t="s">
        <v>37</v>
      </c>
      <c r="AE31" s="42" t="s">
        <v>38</v>
      </c>
      <c r="AF31" s="43" t="s">
        <v>1275</v>
      </c>
      <c r="AG31" s="44">
        <v>32</v>
      </c>
      <c r="AH31" s="31">
        <v>13105630.728807047</v>
      </c>
      <c r="AI31" s="31">
        <v>466689.72</v>
      </c>
      <c r="AJ31" s="31">
        <v>328209.59000000008</v>
      </c>
      <c r="AK31" s="31">
        <v>48153.07</v>
      </c>
      <c r="AL31" s="31">
        <v>1946223.7723750884</v>
      </c>
      <c r="AM31" s="31">
        <v>479152.31880259921</v>
      </c>
      <c r="AN31" s="31">
        <v>1712293.1444438864</v>
      </c>
      <c r="AO31" s="31">
        <f t="shared" si="6"/>
        <v>18086352.344428621</v>
      </c>
      <c r="AP31" s="31">
        <v>0</v>
      </c>
      <c r="AR31" s="42" t="s">
        <v>37</v>
      </c>
      <c r="AS31" s="42" t="s">
        <v>38</v>
      </c>
      <c r="AT31" s="43" t="s">
        <v>1276</v>
      </c>
      <c r="AU31" s="44">
        <v>32</v>
      </c>
      <c r="AV31" s="31">
        <v>13408616.351254813</v>
      </c>
      <c r="AW31" s="31">
        <v>476775.67999999999</v>
      </c>
      <c r="AX31" s="31">
        <v>334232.24</v>
      </c>
      <c r="AY31" s="31">
        <v>49145.409999999996</v>
      </c>
      <c r="AZ31" s="31">
        <v>1984033.1473462582</v>
      </c>
      <c r="BA31" s="31">
        <v>479169.49211309059</v>
      </c>
      <c r="BB31" s="31">
        <v>1743951.5119680432</v>
      </c>
      <c r="BC31" s="31">
        <f t="shared" si="7"/>
        <v>18475923.832682207</v>
      </c>
      <c r="BD31" s="31">
        <v>0</v>
      </c>
    </row>
    <row r="32" spans="2:56">
      <c r="B32" s="42" t="s">
        <v>81</v>
      </c>
      <c r="C32" s="42" t="s">
        <v>82</v>
      </c>
      <c r="D32" s="43" t="s">
        <v>1049</v>
      </c>
      <c r="E32" s="44">
        <v>32</v>
      </c>
      <c r="F32" s="31">
        <v>11571339.715994649</v>
      </c>
      <c r="G32" s="31">
        <v>460319.44999999995</v>
      </c>
      <c r="H32" s="31">
        <v>32740.770000000004</v>
      </c>
      <c r="I32" s="31">
        <v>39464.32</v>
      </c>
      <c r="J32" s="31">
        <v>1819293.8537274187</v>
      </c>
      <c r="K32" s="31">
        <v>883520.31797443726</v>
      </c>
      <c r="L32" s="31">
        <v>675681.01465600077</v>
      </c>
      <c r="M32" s="31">
        <f t="shared" si="4"/>
        <v>15647037.662352504</v>
      </c>
      <c r="N32" s="31">
        <v>164678.22</v>
      </c>
      <c r="P32" s="42" t="s">
        <v>81</v>
      </c>
      <c r="Q32" s="42" t="s">
        <v>82</v>
      </c>
      <c r="R32" s="43" t="s">
        <v>1050</v>
      </c>
      <c r="S32" s="44">
        <v>32</v>
      </c>
      <c r="T32" s="31">
        <v>12705643.034349214</v>
      </c>
      <c r="U32" s="31">
        <v>504353.55000000005</v>
      </c>
      <c r="V32" s="31">
        <v>33998.03</v>
      </c>
      <c r="W32" s="31">
        <v>43003.48000000001</v>
      </c>
      <c r="X32" s="31">
        <v>1870760.2113050071</v>
      </c>
      <c r="Y32" s="31">
        <v>884374.2127269659</v>
      </c>
      <c r="Z32" s="31">
        <v>706531.5019526243</v>
      </c>
      <c r="AA32" s="31">
        <f t="shared" si="5"/>
        <v>16917390.630333811</v>
      </c>
      <c r="AB32" s="31">
        <v>168726.61000000002</v>
      </c>
      <c r="AD32" s="42" t="s">
        <v>81</v>
      </c>
      <c r="AE32" s="42" t="s">
        <v>82</v>
      </c>
      <c r="AF32" s="43" t="s">
        <v>1275</v>
      </c>
      <c r="AG32" s="44">
        <v>32</v>
      </c>
      <c r="AH32" s="31">
        <v>13088312.857282709</v>
      </c>
      <c r="AI32" s="31">
        <v>517642.09999999986</v>
      </c>
      <c r="AJ32" s="31">
        <v>34663.07</v>
      </c>
      <c r="AK32" s="31">
        <v>44051.009999999995</v>
      </c>
      <c r="AL32" s="31">
        <v>1913274.7049082776</v>
      </c>
      <c r="AM32" s="31">
        <v>884084.11977662833</v>
      </c>
      <c r="AN32" s="31">
        <v>720140.64712669281</v>
      </c>
      <c r="AO32" s="31">
        <f t="shared" si="6"/>
        <v>17373867.799094308</v>
      </c>
      <c r="AP32" s="31">
        <v>171699.29</v>
      </c>
      <c r="AR32" s="42" t="s">
        <v>81</v>
      </c>
      <c r="AS32" s="42" t="s">
        <v>82</v>
      </c>
      <c r="AT32" s="43" t="s">
        <v>1276</v>
      </c>
      <c r="AU32" s="44">
        <v>32</v>
      </c>
      <c r="AV32" s="31">
        <v>13494348.089092104</v>
      </c>
      <c r="AW32" s="31">
        <v>530302.84999999986</v>
      </c>
      <c r="AX32" s="31">
        <v>35296.04</v>
      </c>
      <c r="AY32" s="31">
        <v>45170.549999999996</v>
      </c>
      <c r="AZ32" s="31">
        <v>1959506.1228013895</v>
      </c>
      <c r="BA32" s="31">
        <v>884130.28381883132</v>
      </c>
      <c r="BB32" s="31">
        <v>733416.83942860004</v>
      </c>
      <c r="BC32" s="31">
        <f t="shared" si="7"/>
        <v>17857053.805140924</v>
      </c>
      <c r="BD32" s="31">
        <v>174883.03</v>
      </c>
    </row>
    <row r="33" spans="2:56">
      <c r="B33" s="42" t="s">
        <v>1228</v>
      </c>
      <c r="C33" s="42" t="s">
        <v>1229</v>
      </c>
      <c r="D33" s="43" t="s">
        <v>1049</v>
      </c>
      <c r="E33" s="44">
        <v>32</v>
      </c>
      <c r="F33" s="31">
        <v>3215127.0694825966</v>
      </c>
      <c r="G33" s="31">
        <v>111678.11000000003</v>
      </c>
      <c r="H33" s="31">
        <v>0</v>
      </c>
      <c r="I33" s="31">
        <v>9824.06</v>
      </c>
      <c r="J33" s="31">
        <v>321473.46905599075</v>
      </c>
      <c r="K33" s="31">
        <v>47657.04</v>
      </c>
      <c r="L33" s="31">
        <v>0</v>
      </c>
      <c r="M33" s="31">
        <f t="shared" si="4"/>
        <v>3705759.7485385872</v>
      </c>
      <c r="N33" s="31">
        <v>0</v>
      </c>
      <c r="P33" s="42" t="s">
        <v>1228</v>
      </c>
      <c r="Q33" s="42" t="s">
        <v>1229</v>
      </c>
      <c r="R33" s="43" t="s">
        <v>1050</v>
      </c>
      <c r="S33" s="44">
        <v>32</v>
      </c>
      <c r="T33" s="31">
        <v>4205481.4807790238</v>
      </c>
      <c r="U33" s="31">
        <v>150699.11000000002</v>
      </c>
      <c r="V33" s="31">
        <v>0</v>
      </c>
      <c r="W33" s="31">
        <v>13231.54</v>
      </c>
      <c r="X33" s="31">
        <v>317369.36973010976</v>
      </c>
      <c r="Y33" s="31">
        <v>47657.04</v>
      </c>
      <c r="Z33" s="31">
        <v>0</v>
      </c>
      <c r="AA33" s="31">
        <f t="shared" si="5"/>
        <v>4734438.5405091336</v>
      </c>
      <c r="AB33" s="31">
        <v>0</v>
      </c>
      <c r="AD33" s="42" t="s">
        <v>1228</v>
      </c>
      <c r="AE33" s="42" t="s">
        <v>1229</v>
      </c>
      <c r="AF33" s="43" t="s">
        <v>1275</v>
      </c>
      <c r="AG33" s="44">
        <v>32</v>
      </c>
      <c r="AH33" s="31">
        <v>4898979.1385102151</v>
      </c>
      <c r="AI33" s="31">
        <v>175502.18</v>
      </c>
      <c r="AJ33" s="31">
        <v>0</v>
      </c>
      <c r="AK33" s="31">
        <v>15401.230000000001</v>
      </c>
      <c r="AL33" s="31">
        <v>323303.20032331598</v>
      </c>
      <c r="AM33" s="31">
        <v>47657.04</v>
      </c>
      <c r="AN33" s="31">
        <v>0</v>
      </c>
      <c r="AO33" s="31">
        <f t="shared" si="6"/>
        <v>5460842.7888335316</v>
      </c>
      <c r="AP33" s="31">
        <v>0</v>
      </c>
      <c r="AR33" s="42" t="s">
        <v>1228</v>
      </c>
      <c r="AS33" s="42" t="s">
        <v>1229</v>
      </c>
      <c r="AT33" s="43" t="s">
        <v>1276</v>
      </c>
      <c r="AU33" s="44">
        <v>32</v>
      </c>
      <c r="AV33" s="31">
        <v>5166766.6766147614</v>
      </c>
      <c r="AW33" s="31">
        <v>189958.24999999997</v>
      </c>
      <c r="AX33" s="31">
        <v>0</v>
      </c>
      <c r="AY33" s="31">
        <v>16660.88</v>
      </c>
      <c r="AZ33" s="31">
        <v>320795.45877569716</v>
      </c>
      <c r="BA33" s="31">
        <v>47657.04</v>
      </c>
      <c r="BB33" s="31">
        <v>0</v>
      </c>
      <c r="BC33" s="31">
        <f t="shared" si="7"/>
        <v>5741838.3053904586</v>
      </c>
      <c r="BD33" s="31">
        <v>0</v>
      </c>
    </row>
    <row r="34" spans="2:56">
      <c r="B34" s="42" t="s">
        <v>255</v>
      </c>
      <c r="C34" s="42" t="s">
        <v>256</v>
      </c>
      <c r="D34" s="43" t="s">
        <v>1049</v>
      </c>
      <c r="E34" s="44">
        <v>32</v>
      </c>
      <c r="F34" s="31">
        <v>895447.40019107971</v>
      </c>
      <c r="G34" s="31">
        <v>18663.190000000002</v>
      </c>
      <c r="H34" s="31">
        <v>0</v>
      </c>
      <c r="I34" s="31">
        <v>0</v>
      </c>
      <c r="J34" s="31">
        <v>72461.669974238175</v>
      </c>
      <c r="K34" s="31">
        <v>106398.64056856248</v>
      </c>
      <c r="L34" s="31">
        <v>0</v>
      </c>
      <c r="M34" s="31">
        <f t="shared" si="4"/>
        <v>1092970.9007338805</v>
      </c>
      <c r="N34" s="31">
        <v>0</v>
      </c>
      <c r="P34" s="42" t="s">
        <v>255</v>
      </c>
      <c r="Q34" s="42" t="s">
        <v>256</v>
      </c>
      <c r="R34" s="43" t="s">
        <v>1050</v>
      </c>
      <c r="S34" s="44">
        <v>32</v>
      </c>
      <c r="T34" s="31">
        <v>897600.5228165763</v>
      </c>
      <c r="U34" s="31">
        <v>19163.75</v>
      </c>
      <c r="V34" s="31">
        <v>0</v>
      </c>
      <c r="W34" s="31">
        <v>0</v>
      </c>
      <c r="X34" s="31">
        <v>73217.8761375506</v>
      </c>
      <c r="Y34" s="31">
        <v>106515.93485840832</v>
      </c>
      <c r="Z34" s="31">
        <v>0</v>
      </c>
      <c r="AA34" s="31">
        <f t="shared" si="5"/>
        <v>1096498.0838125353</v>
      </c>
      <c r="AB34" s="31">
        <v>0</v>
      </c>
      <c r="AD34" s="42" t="s">
        <v>255</v>
      </c>
      <c r="AE34" s="42" t="s">
        <v>256</v>
      </c>
      <c r="AF34" s="43" t="s">
        <v>1275</v>
      </c>
      <c r="AG34" s="44">
        <v>32</v>
      </c>
      <c r="AH34" s="31">
        <v>929034.99910539191</v>
      </c>
      <c r="AI34" s="31">
        <v>19538.84</v>
      </c>
      <c r="AJ34" s="31">
        <v>0</v>
      </c>
      <c r="AK34" s="31">
        <v>0</v>
      </c>
      <c r="AL34" s="31">
        <v>75870.824767470403</v>
      </c>
      <c r="AM34" s="31">
        <v>106476.08656738843</v>
      </c>
      <c r="AN34" s="31">
        <v>0</v>
      </c>
      <c r="AO34" s="31">
        <f t="shared" si="6"/>
        <v>1130920.7504402506</v>
      </c>
      <c r="AP34" s="31">
        <v>0</v>
      </c>
      <c r="AR34" s="42" t="s">
        <v>255</v>
      </c>
      <c r="AS34" s="42" t="s">
        <v>256</v>
      </c>
      <c r="AT34" s="43" t="s">
        <v>1276</v>
      </c>
      <c r="AU34" s="44">
        <v>32</v>
      </c>
      <c r="AV34" s="31">
        <v>948288.39770134736</v>
      </c>
      <c r="AW34" s="31">
        <v>19897.370000000003</v>
      </c>
      <c r="AX34" s="31">
        <v>0</v>
      </c>
      <c r="AY34" s="31">
        <v>0</v>
      </c>
      <c r="AZ34" s="31">
        <v>76747.768023091296</v>
      </c>
      <c r="BA34" s="31">
        <v>106482.42783899193</v>
      </c>
      <c r="BB34" s="31">
        <v>0</v>
      </c>
      <c r="BC34" s="31">
        <f t="shared" si="7"/>
        <v>1151415.9635634306</v>
      </c>
      <c r="BD34" s="31">
        <v>0</v>
      </c>
    </row>
    <row r="35" spans="2:56">
      <c r="B35" s="42" t="s">
        <v>233</v>
      </c>
      <c r="C35" s="42" t="s">
        <v>234</v>
      </c>
      <c r="D35" s="43" t="s">
        <v>1049</v>
      </c>
      <c r="E35" s="44">
        <v>32</v>
      </c>
      <c r="F35" s="31">
        <v>100811593.27431473</v>
      </c>
      <c r="G35" s="31">
        <v>3057766.8500000006</v>
      </c>
      <c r="H35" s="31">
        <v>763340.74</v>
      </c>
      <c r="I35" s="31">
        <v>361909.32999999996</v>
      </c>
      <c r="J35" s="31">
        <v>16234883.168405313</v>
      </c>
      <c r="K35" s="31">
        <v>5555917.4045732347</v>
      </c>
      <c r="L35" s="31">
        <v>7774165.2287344141</v>
      </c>
      <c r="M35" s="31">
        <f t="shared" si="4"/>
        <v>134896078.25602767</v>
      </c>
      <c r="N35" s="31">
        <v>336502.25999999995</v>
      </c>
      <c r="P35" s="42" t="s">
        <v>233</v>
      </c>
      <c r="Q35" s="42" t="s">
        <v>234</v>
      </c>
      <c r="R35" s="43" t="s">
        <v>1050</v>
      </c>
      <c r="S35" s="44">
        <v>32</v>
      </c>
      <c r="T35" s="31">
        <v>104787427.82282759</v>
      </c>
      <c r="U35" s="31">
        <v>3181456.5299999993</v>
      </c>
      <c r="V35" s="31">
        <v>791550.83</v>
      </c>
      <c r="W35" s="31">
        <v>376103.72</v>
      </c>
      <c r="X35" s="31">
        <v>16774813.829091864</v>
      </c>
      <c r="Y35" s="31">
        <v>5561690.0365513517</v>
      </c>
      <c r="Z35" s="31">
        <v>8044274.5384433456</v>
      </c>
      <c r="AA35" s="31">
        <f t="shared" si="5"/>
        <v>139862243.09691414</v>
      </c>
      <c r="AB35" s="31">
        <v>344925.79</v>
      </c>
      <c r="AD35" s="42" t="s">
        <v>233</v>
      </c>
      <c r="AE35" s="42" t="s">
        <v>234</v>
      </c>
      <c r="AF35" s="43" t="s">
        <v>1275</v>
      </c>
      <c r="AG35" s="44">
        <v>32</v>
      </c>
      <c r="AH35" s="31">
        <v>105413848.54486156</v>
      </c>
      <c r="AI35" s="31">
        <v>3195465.5</v>
      </c>
      <c r="AJ35" s="31">
        <v>807071.2300000001</v>
      </c>
      <c r="AK35" s="31">
        <v>377628.14</v>
      </c>
      <c r="AL35" s="31">
        <v>17140037.878366496</v>
      </c>
      <c r="AM35" s="31">
        <v>5559508.4139113706</v>
      </c>
      <c r="AN35" s="31">
        <v>8199719.6234651487</v>
      </c>
      <c r="AO35" s="31">
        <f t="shared" si="6"/>
        <v>141044390.4106046</v>
      </c>
      <c r="AP35" s="31">
        <v>351111.07999999996</v>
      </c>
      <c r="AR35" s="42" t="s">
        <v>233</v>
      </c>
      <c r="AS35" s="42" t="s">
        <v>234</v>
      </c>
      <c r="AT35" s="43" t="s">
        <v>1276</v>
      </c>
      <c r="AU35" s="44">
        <v>32</v>
      </c>
      <c r="AV35" s="31">
        <v>109395359.25227135</v>
      </c>
      <c r="AW35" s="31">
        <v>3303886.17</v>
      </c>
      <c r="AX35" s="31">
        <v>822098.47000000009</v>
      </c>
      <c r="AY35" s="31">
        <v>390496.75999999995</v>
      </c>
      <c r="AZ35" s="31">
        <v>17501498.574569426</v>
      </c>
      <c r="BA35" s="31">
        <v>5559844.1817088053</v>
      </c>
      <c r="BB35" s="31">
        <v>8353110.4601412173</v>
      </c>
      <c r="BC35" s="31">
        <f t="shared" si="7"/>
        <v>145684029.37869081</v>
      </c>
      <c r="BD35" s="31">
        <v>357735.51</v>
      </c>
    </row>
    <row r="36" spans="2:56">
      <c r="B36" s="42" t="s">
        <v>463</v>
      </c>
      <c r="C36" s="42" t="s">
        <v>464</v>
      </c>
      <c r="D36" s="43" t="s">
        <v>1049</v>
      </c>
      <c r="E36" s="44">
        <v>32</v>
      </c>
      <c r="F36" s="31">
        <v>115808044.69396487</v>
      </c>
      <c r="G36" s="31">
        <v>3350081.08</v>
      </c>
      <c r="H36" s="31">
        <v>763268.91</v>
      </c>
      <c r="I36" s="31">
        <v>394837.94</v>
      </c>
      <c r="J36" s="31">
        <v>18413126.553750012</v>
      </c>
      <c r="K36" s="31">
        <v>6595479.5111921662</v>
      </c>
      <c r="L36" s="31">
        <v>6680697.2382057672</v>
      </c>
      <c r="M36" s="31">
        <f t="shared" si="4"/>
        <v>152985907.25711283</v>
      </c>
      <c r="N36" s="31">
        <v>980371.33</v>
      </c>
      <c r="P36" s="42" t="s">
        <v>463</v>
      </c>
      <c r="Q36" s="42" t="s">
        <v>464</v>
      </c>
      <c r="R36" s="43" t="s">
        <v>1050</v>
      </c>
      <c r="S36" s="44">
        <v>32</v>
      </c>
      <c r="T36" s="31">
        <v>123606179.25886783</v>
      </c>
      <c r="U36" s="31">
        <v>3593458.33</v>
      </c>
      <c r="V36" s="31">
        <v>792579.2300000001</v>
      </c>
      <c r="W36" s="31">
        <v>421939.91000000003</v>
      </c>
      <c r="X36" s="31">
        <v>18981923.300731912</v>
      </c>
      <c r="Y36" s="31">
        <v>6600560.8651899826</v>
      </c>
      <c r="Z36" s="31">
        <v>6918885.4372875253</v>
      </c>
      <c r="AA36" s="31">
        <f t="shared" si="5"/>
        <v>161919998.78207722</v>
      </c>
      <c r="AB36" s="31">
        <v>1004472.45</v>
      </c>
      <c r="AD36" s="42" t="s">
        <v>463</v>
      </c>
      <c r="AE36" s="42" t="s">
        <v>464</v>
      </c>
      <c r="AF36" s="43" t="s">
        <v>1275</v>
      </c>
      <c r="AG36" s="44">
        <v>32</v>
      </c>
      <c r="AH36" s="31">
        <v>129837071.76155841</v>
      </c>
      <c r="AI36" s="31">
        <v>3772271.0000000009</v>
      </c>
      <c r="AJ36" s="31">
        <v>808083.08000000007</v>
      </c>
      <c r="AK36" s="31">
        <v>442779.58</v>
      </c>
      <c r="AL36" s="31">
        <v>19334271.588313632</v>
      </c>
      <c r="AM36" s="31">
        <v>6598834.5810448099</v>
      </c>
      <c r="AN36" s="31">
        <v>7052152.7733868612</v>
      </c>
      <c r="AO36" s="31">
        <f t="shared" si="6"/>
        <v>168867633.91430378</v>
      </c>
      <c r="AP36" s="31">
        <v>1022169.5499999999</v>
      </c>
      <c r="AR36" s="42" t="s">
        <v>463</v>
      </c>
      <c r="AS36" s="42" t="s">
        <v>464</v>
      </c>
      <c r="AT36" s="43" t="s">
        <v>1276</v>
      </c>
      <c r="AU36" s="44">
        <v>32</v>
      </c>
      <c r="AV36" s="31">
        <v>136282873.84277573</v>
      </c>
      <c r="AW36" s="31">
        <v>3952954.3000000003</v>
      </c>
      <c r="AX36" s="31">
        <v>822839.42</v>
      </c>
      <c r="AY36" s="31">
        <v>464101.17</v>
      </c>
      <c r="AZ36" s="31">
        <v>19691035.48132398</v>
      </c>
      <c r="BA36" s="31">
        <v>6599109.2938706102</v>
      </c>
      <c r="BB36" s="31">
        <v>7182162.956429529</v>
      </c>
      <c r="BC36" s="31">
        <f t="shared" si="7"/>
        <v>176036199.61439985</v>
      </c>
      <c r="BD36" s="31">
        <v>1041123.15</v>
      </c>
    </row>
    <row r="37" spans="2:56">
      <c r="B37" s="42" t="s">
        <v>295</v>
      </c>
      <c r="C37" s="42" t="s">
        <v>296</v>
      </c>
      <c r="D37" s="43" t="s">
        <v>1049</v>
      </c>
      <c r="E37" s="44">
        <v>32</v>
      </c>
      <c r="F37" s="31">
        <v>27079753.167837314</v>
      </c>
      <c r="G37" s="31">
        <v>1697842.1400000001</v>
      </c>
      <c r="H37" s="31">
        <v>739687.79</v>
      </c>
      <c r="I37" s="31">
        <v>94714.340000000011</v>
      </c>
      <c r="J37" s="31">
        <v>4300637.4243836282</v>
      </c>
      <c r="K37" s="31">
        <v>1995130.505136417</v>
      </c>
      <c r="L37" s="31">
        <v>2464974.5261939624</v>
      </c>
      <c r="M37" s="31">
        <f t="shared" si="4"/>
        <v>39311698.053551316</v>
      </c>
      <c r="N37" s="31">
        <v>938958.16000000015</v>
      </c>
      <c r="P37" s="42" t="s">
        <v>295</v>
      </c>
      <c r="Q37" s="42" t="s">
        <v>296</v>
      </c>
      <c r="R37" s="43" t="s">
        <v>1050</v>
      </c>
      <c r="S37" s="44">
        <v>32</v>
      </c>
      <c r="T37" s="31">
        <v>27779910.787062243</v>
      </c>
      <c r="U37" s="31">
        <v>1738981.33</v>
      </c>
      <c r="V37" s="31">
        <v>768092.53999999992</v>
      </c>
      <c r="W37" s="31">
        <v>96226.599999999991</v>
      </c>
      <c r="X37" s="31">
        <v>4441755.8600466177</v>
      </c>
      <c r="Y37" s="31">
        <v>1997918.8936907249</v>
      </c>
      <c r="Z37" s="31">
        <v>2577633.7336725444</v>
      </c>
      <c r="AA37" s="31">
        <f t="shared" si="5"/>
        <v>40362560.924472131</v>
      </c>
      <c r="AB37" s="31">
        <v>962041.18000000017</v>
      </c>
      <c r="AD37" s="42" t="s">
        <v>295</v>
      </c>
      <c r="AE37" s="42" t="s">
        <v>296</v>
      </c>
      <c r="AF37" s="43" t="s">
        <v>1275</v>
      </c>
      <c r="AG37" s="44">
        <v>32</v>
      </c>
      <c r="AH37" s="31">
        <v>28905909.433964938</v>
      </c>
      <c r="AI37" s="31">
        <v>1808911.3499999996</v>
      </c>
      <c r="AJ37" s="31">
        <v>783117.4</v>
      </c>
      <c r="AK37" s="31">
        <v>100069.01</v>
      </c>
      <c r="AL37" s="31">
        <v>4524085.8007105999</v>
      </c>
      <c r="AM37" s="31">
        <v>1996971.5967785337</v>
      </c>
      <c r="AN37" s="31">
        <v>2627283.5106843286</v>
      </c>
      <c r="AO37" s="31">
        <f t="shared" si="6"/>
        <v>41725338.822138399</v>
      </c>
      <c r="AP37" s="31">
        <v>978990.72000000009</v>
      </c>
      <c r="AR37" s="42" t="s">
        <v>295</v>
      </c>
      <c r="AS37" s="42" t="s">
        <v>296</v>
      </c>
      <c r="AT37" s="43" t="s">
        <v>1276</v>
      </c>
      <c r="AU37" s="44">
        <v>32</v>
      </c>
      <c r="AV37" s="31">
        <v>30062728.959324989</v>
      </c>
      <c r="AW37" s="31">
        <v>1877489.3599999999</v>
      </c>
      <c r="AX37" s="31">
        <v>797417.85</v>
      </c>
      <c r="AY37" s="31">
        <v>103892.27</v>
      </c>
      <c r="AZ37" s="31">
        <v>4607911.7925338475</v>
      </c>
      <c r="BA37" s="31">
        <v>1997122.3452010038</v>
      </c>
      <c r="BB37" s="31">
        <v>2675718.6424680697</v>
      </c>
      <c r="BC37" s="31">
        <f t="shared" si="7"/>
        <v>43119424.899527907</v>
      </c>
      <c r="BD37" s="31">
        <v>997143.68000000017</v>
      </c>
    </row>
    <row r="38" spans="2:56">
      <c r="B38" s="42" t="s">
        <v>291</v>
      </c>
      <c r="C38" s="42" t="s">
        <v>292</v>
      </c>
      <c r="D38" s="43" t="s">
        <v>1049</v>
      </c>
      <c r="E38" s="44">
        <v>32</v>
      </c>
      <c r="F38" s="31">
        <v>23656915.479530647</v>
      </c>
      <c r="G38" s="31">
        <v>858608.19999999972</v>
      </c>
      <c r="H38" s="31">
        <v>180478.21</v>
      </c>
      <c r="I38" s="31">
        <v>82622.490000000005</v>
      </c>
      <c r="J38" s="31">
        <v>3648495.1463529528</v>
      </c>
      <c r="K38" s="31">
        <v>1280371.5930994134</v>
      </c>
      <c r="L38" s="31">
        <v>1553536.4958006898</v>
      </c>
      <c r="M38" s="31">
        <f t="shared" si="4"/>
        <v>31631265.184783705</v>
      </c>
      <c r="N38" s="31">
        <v>370237.57000000007</v>
      </c>
      <c r="P38" s="42" t="s">
        <v>291</v>
      </c>
      <c r="Q38" s="42" t="s">
        <v>292</v>
      </c>
      <c r="R38" s="43" t="s">
        <v>1050</v>
      </c>
      <c r="S38" s="44">
        <v>32</v>
      </c>
      <c r="T38" s="31">
        <v>25508598.465699065</v>
      </c>
      <c r="U38" s="31">
        <v>928884.93000000017</v>
      </c>
      <c r="V38" s="31">
        <v>187343.90000000002</v>
      </c>
      <c r="W38" s="31">
        <v>88907.19</v>
      </c>
      <c r="X38" s="31">
        <v>3771346.2224311074</v>
      </c>
      <c r="Y38" s="31">
        <v>1281358.0109315654</v>
      </c>
      <c r="Z38" s="31">
        <v>1608637.9640372691</v>
      </c>
      <c r="AA38" s="31">
        <f t="shared" si="5"/>
        <v>33754457.39309901</v>
      </c>
      <c r="AB38" s="31">
        <v>379380.71</v>
      </c>
      <c r="AD38" s="42" t="s">
        <v>291</v>
      </c>
      <c r="AE38" s="42" t="s">
        <v>292</v>
      </c>
      <c r="AF38" s="43" t="s">
        <v>1275</v>
      </c>
      <c r="AG38" s="44">
        <v>32</v>
      </c>
      <c r="AH38" s="31">
        <v>25659221.638961717</v>
      </c>
      <c r="AI38" s="31">
        <v>934965.31</v>
      </c>
      <c r="AJ38" s="31">
        <v>191010.74000000002</v>
      </c>
      <c r="AK38" s="31">
        <v>89472.89</v>
      </c>
      <c r="AL38" s="31">
        <v>3845855.8253680626</v>
      </c>
      <c r="AM38" s="31">
        <v>1281022.8960261897</v>
      </c>
      <c r="AN38" s="31">
        <v>1639640.9075184595</v>
      </c>
      <c r="AO38" s="31">
        <f t="shared" si="6"/>
        <v>34027284.597874425</v>
      </c>
      <c r="AP38" s="31">
        <v>386094.39000000007</v>
      </c>
      <c r="AR38" s="42" t="s">
        <v>291</v>
      </c>
      <c r="AS38" s="42" t="s">
        <v>292</v>
      </c>
      <c r="AT38" s="43" t="s">
        <v>1276</v>
      </c>
      <c r="AU38" s="44">
        <v>32</v>
      </c>
      <c r="AV38" s="31">
        <v>25900066.255025104</v>
      </c>
      <c r="AW38" s="31">
        <v>942230.84000000008</v>
      </c>
      <c r="AX38" s="31">
        <v>194515.80000000002</v>
      </c>
      <c r="AY38" s="31">
        <v>90136.15</v>
      </c>
      <c r="AZ38" s="31">
        <v>3924274.2015856854</v>
      </c>
      <c r="BA38" s="31">
        <v>1281076.224652813</v>
      </c>
      <c r="BB38" s="31">
        <v>1669955.834028414</v>
      </c>
      <c r="BC38" s="31">
        <f t="shared" si="7"/>
        <v>34395540.045292012</v>
      </c>
      <c r="BD38" s="31">
        <v>393284.74000000005</v>
      </c>
    </row>
    <row r="39" spans="2:56">
      <c r="B39" s="42" t="s">
        <v>467</v>
      </c>
      <c r="C39" s="42" t="s">
        <v>468</v>
      </c>
      <c r="D39" s="43" t="s">
        <v>1049</v>
      </c>
      <c r="E39" s="44">
        <v>32</v>
      </c>
      <c r="F39" s="31">
        <v>40798137.945282385</v>
      </c>
      <c r="G39" s="31">
        <v>1594845.1799999997</v>
      </c>
      <c r="H39" s="31">
        <v>364046.04</v>
      </c>
      <c r="I39" s="31">
        <v>144702.47</v>
      </c>
      <c r="J39" s="31">
        <v>6779568.6987778274</v>
      </c>
      <c r="K39" s="31">
        <v>2921707.6402007653</v>
      </c>
      <c r="L39" s="31">
        <v>4423596.4114251006</v>
      </c>
      <c r="M39" s="31">
        <f t="shared" si="4"/>
        <v>57457398.70568607</v>
      </c>
      <c r="N39" s="31">
        <v>430794.31999999995</v>
      </c>
      <c r="P39" s="42" t="s">
        <v>467</v>
      </c>
      <c r="Q39" s="42" t="s">
        <v>468</v>
      </c>
      <c r="R39" s="43" t="s">
        <v>1050</v>
      </c>
      <c r="S39" s="44">
        <v>32</v>
      </c>
      <c r="T39" s="31">
        <v>43159531.585897021</v>
      </c>
      <c r="U39" s="31">
        <v>1694217.9900000002</v>
      </c>
      <c r="V39" s="31">
        <v>378025.79000000004</v>
      </c>
      <c r="W39" s="31">
        <v>153193.53</v>
      </c>
      <c r="X39" s="31">
        <v>6989741.0322802281</v>
      </c>
      <c r="Y39" s="31">
        <v>2924227.9531201669</v>
      </c>
      <c r="Z39" s="31">
        <v>4581215.2813976947</v>
      </c>
      <c r="AA39" s="31">
        <f t="shared" si="5"/>
        <v>60321537.98269511</v>
      </c>
      <c r="AB39" s="31">
        <v>441384.81999999995</v>
      </c>
      <c r="AD39" s="42" t="s">
        <v>467</v>
      </c>
      <c r="AE39" s="42" t="s">
        <v>468</v>
      </c>
      <c r="AF39" s="43" t="s">
        <v>1275</v>
      </c>
      <c r="AG39" s="44">
        <v>32</v>
      </c>
      <c r="AH39" s="31">
        <v>44742959.436174139</v>
      </c>
      <c r="AI39" s="31">
        <v>1754110.81</v>
      </c>
      <c r="AJ39" s="31">
        <v>385420.46</v>
      </c>
      <c r="AK39" s="31">
        <v>158562.96000000002</v>
      </c>
      <c r="AL39" s="31">
        <v>7124370.1328904815</v>
      </c>
      <c r="AM39" s="31">
        <v>2923371.7293192851</v>
      </c>
      <c r="AN39" s="31">
        <v>4669447.3691366818</v>
      </c>
      <c r="AO39" s="31">
        <f t="shared" si="6"/>
        <v>62207404.16752059</v>
      </c>
      <c r="AP39" s="31">
        <v>449161.26999999996</v>
      </c>
      <c r="AR39" s="42" t="s">
        <v>467</v>
      </c>
      <c r="AS39" s="42" t="s">
        <v>468</v>
      </c>
      <c r="AT39" s="43" t="s">
        <v>1276</v>
      </c>
      <c r="AU39" s="44">
        <v>32</v>
      </c>
      <c r="AV39" s="31">
        <v>45880150.928173371</v>
      </c>
      <c r="AW39" s="31">
        <v>1795050.12</v>
      </c>
      <c r="AX39" s="31">
        <v>392458.59</v>
      </c>
      <c r="AY39" s="31">
        <v>162193.79999999999</v>
      </c>
      <c r="AZ39" s="31">
        <v>7264465.974209751</v>
      </c>
      <c r="BA39" s="31">
        <v>2923507.9847906195</v>
      </c>
      <c r="BB39" s="31">
        <v>4755541.0010595368</v>
      </c>
      <c r="BC39" s="31">
        <f t="shared" si="7"/>
        <v>63630858.248233274</v>
      </c>
      <c r="BD39" s="31">
        <v>457489.85</v>
      </c>
    </row>
    <row r="40" spans="2:56">
      <c r="B40" s="42" t="s">
        <v>485</v>
      </c>
      <c r="C40" s="42" t="s">
        <v>486</v>
      </c>
      <c r="D40" s="43" t="s">
        <v>1049</v>
      </c>
      <c r="E40" s="44">
        <v>32</v>
      </c>
      <c r="F40" s="31">
        <v>6138978.8253290355</v>
      </c>
      <c r="G40" s="31">
        <v>278491.32</v>
      </c>
      <c r="H40" s="31">
        <v>1753.96</v>
      </c>
      <c r="I40" s="31">
        <v>21534.85</v>
      </c>
      <c r="J40" s="31">
        <v>942991.21989566379</v>
      </c>
      <c r="K40" s="31">
        <v>567589.48461338005</v>
      </c>
      <c r="L40" s="31">
        <v>628610.55154032598</v>
      </c>
      <c r="M40" s="31">
        <f t="shared" si="4"/>
        <v>8795493.5313784052</v>
      </c>
      <c r="N40" s="31">
        <v>215543.32</v>
      </c>
      <c r="P40" s="42" t="s">
        <v>485</v>
      </c>
      <c r="Q40" s="42" t="s">
        <v>486</v>
      </c>
      <c r="R40" s="43" t="s">
        <v>1050</v>
      </c>
      <c r="S40" s="44">
        <v>32</v>
      </c>
      <c r="T40" s="31">
        <v>5919718.0738096097</v>
      </c>
      <c r="U40" s="31">
        <v>273343.56999999995</v>
      </c>
      <c r="V40" s="31">
        <v>1821.32</v>
      </c>
      <c r="W40" s="31">
        <v>20844.030000000002</v>
      </c>
      <c r="X40" s="31">
        <v>967093.09964173299</v>
      </c>
      <c r="Y40" s="31">
        <v>568255.88103784237</v>
      </c>
      <c r="Z40" s="31">
        <v>657278.01275262632</v>
      </c>
      <c r="AA40" s="31">
        <f t="shared" si="5"/>
        <v>8629196.1472418122</v>
      </c>
      <c r="AB40" s="31">
        <v>220842.16</v>
      </c>
      <c r="AD40" s="42" t="s">
        <v>485</v>
      </c>
      <c r="AE40" s="42" t="s">
        <v>486</v>
      </c>
      <c r="AF40" s="43" t="s">
        <v>1275</v>
      </c>
      <c r="AG40" s="44">
        <v>32</v>
      </c>
      <c r="AH40" s="31">
        <v>5989454.2988642128</v>
      </c>
      <c r="AI40" s="31">
        <v>274889.89999999991</v>
      </c>
      <c r="AJ40" s="31">
        <v>1856.9399999999998</v>
      </c>
      <c r="AK40" s="31">
        <v>20942.279999999995</v>
      </c>
      <c r="AL40" s="31">
        <v>986993.31071502238</v>
      </c>
      <c r="AM40" s="31">
        <v>568029.48673773196</v>
      </c>
      <c r="AN40" s="31">
        <v>669938.43832027155</v>
      </c>
      <c r="AO40" s="31">
        <f t="shared" si="6"/>
        <v>8736837.6846372373</v>
      </c>
      <c r="AP40" s="31">
        <v>224733.03</v>
      </c>
      <c r="AR40" s="42" t="s">
        <v>485</v>
      </c>
      <c r="AS40" s="42" t="s">
        <v>486</v>
      </c>
      <c r="AT40" s="43" t="s">
        <v>1276</v>
      </c>
      <c r="AU40" s="44">
        <v>32</v>
      </c>
      <c r="AV40" s="31">
        <v>6049337.348149945</v>
      </c>
      <c r="AW40" s="31">
        <v>277850.43</v>
      </c>
      <c r="AX40" s="31">
        <v>1890.8499999999997</v>
      </c>
      <c r="AY40" s="31">
        <v>21219.659999999996</v>
      </c>
      <c r="AZ40" s="31">
        <v>1005959.3626630708</v>
      </c>
      <c r="BA40" s="31">
        <v>568065.51407315186</v>
      </c>
      <c r="BB40" s="31">
        <v>682289.1362969398</v>
      </c>
      <c r="BC40" s="31">
        <f t="shared" si="7"/>
        <v>8835512.441183107</v>
      </c>
      <c r="BD40" s="31">
        <v>228900.14</v>
      </c>
    </row>
    <row r="41" spans="2:56">
      <c r="B41" s="42" t="s">
        <v>1038</v>
      </c>
      <c r="C41" s="42" t="s">
        <v>1043</v>
      </c>
      <c r="D41" s="43" t="s">
        <v>1049</v>
      </c>
      <c r="E41" s="44">
        <v>32</v>
      </c>
      <c r="F41" s="31">
        <v>5379636.1083789701</v>
      </c>
      <c r="G41" s="31">
        <v>201202.34000000003</v>
      </c>
      <c r="H41" s="31">
        <v>0</v>
      </c>
      <c r="I41" s="31">
        <v>0</v>
      </c>
      <c r="J41" s="31">
        <v>0</v>
      </c>
      <c r="K41" s="31">
        <v>487556.37</v>
      </c>
      <c r="L41" s="31">
        <v>266444.6497730267</v>
      </c>
      <c r="M41" s="31">
        <f t="shared" si="4"/>
        <v>6513571.9581519971</v>
      </c>
      <c r="N41" s="31">
        <v>178732.49</v>
      </c>
      <c r="P41" s="42" t="s">
        <v>1038</v>
      </c>
      <c r="Q41" s="42" t="s">
        <v>1043</v>
      </c>
      <c r="R41" s="43" t="s">
        <v>1050</v>
      </c>
      <c r="S41" s="44">
        <v>32</v>
      </c>
      <c r="T41" s="31">
        <v>5638621.6772390874</v>
      </c>
      <c r="U41" s="31">
        <v>211167.49000000002</v>
      </c>
      <c r="V41" s="31">
        <v>0</v>
      </c>
      <c r="W41" s="31">
        <v>0</v>
      </c>
      <c r="X41" s="31">
        <v>0</v>
      </c>
      <c r="Y41" s="31">
        <v>487556.37</v>
      </c>
      <c r="Z41" s="31">
        <v>278491.32693492825</v>
      </c>
      <c r="AA41" s="31">
        <f t="shared" si="5"/>
        <v>6798992.6941740159</v>
      </c>
      <c r="AB41" s="31">
        <v>183155.83</v>
      </c>
      <c r="AD41" s="42" t="s">
        <v>1038</v>
      </c>
      <c r="AE41" s="42" t="s">
        <v>1043</v>
      </c>
      <c r="AF41" s="43" t="s">
        <v>1275</v>
      </c>
      <c r="AG41" s="44">
        <v>32</v>
      </c>
      <c r="AH41" s="31">
        <v>5747170.7184642609</v>
      </c>
      <c r="AI41" s="31">
        <v>215639.64999999991</v>
      </c>
      <c r="AJ41" s="31">
        <v>0</v>
      </c>
      <c r="AK41" s="31">
        <v>0</v>
      </c>
      <c r="AL41" s="31">
        <v>0</v>
      </c>
      <c r="AM41" s="31">
        <v>487556.37</v>
      </c>
      <c r="AN41" s="31">
        <v>283861.99635677191</v>
      </c>
      <c r="AO41" s="31">
        <f t="shared" si="6"/>
        <v>6920632.554821034</v>
      </c>
      <c r="AP41" s="31">
        <v>186403.82</v>
      </c>
      <c r="AR41" s="42" t="s">
        <v>1038</v>
      </c>
      <c r="AS41" s="42" t="s">
        <v>1043</v>
      </c>
      <c r="AT41" s="43" t="s">
        <v>1276</v>
      </c>
      <c r="AU41" s="44">
        <v>32</v>
      </c>
      <c r="AV41" s="31">
        <v>5853259.3010096727</v>
      </c>
      <c r="AW41" s="31">
        <v>219555.58000000002</v>
      </c>
      <c r="AX41" s="31">
        <v>0</v>
      </c>
      <c r="AY41" s="31">
        <v>0</v>
      </c>
      <c r="AZ41" s="31">
        <v>0</v>
      </c>
      <c r="BA41" s="31">
        <v>487556.37</v>
      </c>
      <c r="BB41" s="31">
        <v>289122.74541180651</v>
      </c>
      <c r="BC41" s="31">
        <f t="shared" si="7"/>
        <v>7039376.4164214795</v>
      </c>
      <c r="BD41" s="31">
        <v>189882.41999999998</v>
      </c>
    </row>
    <row r="42" spans="2:56">
      <c r="B42" s="42" t="s">
        <v>179</v>
      </c>
      <c r="C42" s="42" t="s">
        <v>180</v>
      </c>
      <c r="D42" s="43" t="s">
        <v>1049</v>
      </c>
      <c r="E42" s="44">
        <v>32</v>
      </c>
      <c r="F42" s="31">
        <v>6495669.4829871859</v>
      </c>
      <c r="G42" s="31">
        <v>239121.79000000004</v>
      </c>
      <c r="H42" s="31">
        <v>25431.610000000004</v>
      </c>
      <c r="I42" s="31">
        <v>0</v>
      </c>
      <c r="J42" s="31">
        <v>989307.09997019242</v>
      </c>
      <c r="K42" s="31">
        <v>876122.4026050932</v>
      </c>
      <c r="L42" s="31">
        <v>132507.25916775406</v>
      </c>
      <c r="M42" s="31">
        <f t="shared" si="4"/>
        <v>8861502.5147302244</v>
      </c>
      <c r="N42" s="31">
        <v>103342.87</v>
      </c>
      <c r="P42" s="42" t="s">
        <v>179</v>
      </c>
      <c r="Q42" s="42" t="s">
        <v>180</v>
      </c>
      <c r="R42" s="43" t="s">
        <v>1050</v>
      </c>
      <c r="S42" s="44">
        <v>32</v>
      </c>
      <c r="T42" s="31">
        <v>6835639.4098389903</v>
      </c>
      <c r="U42" s="31">
        <v>248795.16999999998</v>
      </c>
      <c r="V42" s="31">
        <v>26382.539999999997</v>
      </c>
      <c r="W42" s="31">
        <v>0</v>
      </c>
      <c r="X42" s="31">
        <v>1033454.8199929302</v>
      </c>
      <c r="Y42" s="31">
        <v>877087.49697255762</v>
      </c>
      <c r="Z42" s="31">
        <v>138376.74838252211</v>
      </c>
      <c r="AA42" s="31">
        <f t="shared" si="5"/>
        <v>9265652.015186999</v>
      </c>
      <c r="AB42" s="31">
        <v>105915.83000000002</v>
      </c>
      <c r="AD42" s="42" t="s">
        <v>179</v>
      </c>
      <c r="AE42" s="42" t="s">
        <v>180</v>
      </c>
      <c r="AF42" s="43" t="s">
        <v>1275</v>
      </c>
      <c r="AG42" s="44">
        <v>32</v>
      </c>
      <c r="AH42" s="31">
        <v>6929061.9553884128</v>
      </c>
      <c r="AI42" s="31">
        <v>254995.78000000003</v>
      </c>
      <c r="AJ42" s="31">
        <v>26899.48</v>
      </c>
      <c r="AK42" s="31">
        <v>0</v>
      </c>
      <c r="AL42" s="31">
        <v>1051179.9345733731</v>
      </c>
      <c r="AM42" s="31">
        <v>876734.5671670438</v>
      </c>
      <c r="AN42" s="31">
        <v>141048.25932991528</v>
      </c>
      <c r="AO42" s="31">
        <f t="shared" si="6"/>
        <v>9387725.0864587445</v>
      </c>
      <c r="AP42" s="31">
        <v>107805.10999999999</v>
      </c>
      <c r="AR42" s="42" t="s">
        <v>179</v>
      </c>
      <c r="AS42" s="42" t="s">
        <v>180</v>
      </c>
      <c r="AT42" s="43" t="s">
        <v>1276</v>
      </c>
      <c r="AU42" s="44">
        <v>32</v>
      </c>
      <c r="AV42" s="31">
        <v>7126834.8253127271</v>
      </c>
      <c r="AW42" s="31">
        <v>258179.08</v>
      </c>
      <c r="AX42" s="31">
        <v>27397.419999999995</v>
      </c>
      <c r="AY42" s="31">
        <v>0</v>
      </c>
      <c r="AZ42" s="31">
        <v>1071765.9209830444</v>
      </c>
      <c r="BA42" s="31">
        <v>876789.43452548375</v>
      </c>
      <c r="BB42" s="31">
        <v>143674.97153577334</v>
      </c>
      <c r="BC42" s="31">
        <f t="shared" si="7"/>
        <v>9614470.1923570298</v>
      </c>
      <c r="BD42" s="31">
        <v>109828.54000000001</v>
      </c>
    </row>
    <row r="43" spans="2:56">
      <c r="B43" s="42" t="s">
        <v>13</v>
      </c>
      <c r="C43" s="42" t="s">
        <v>14</v>
      </c>
      <c r="D43" s="43" t="s">
        <v>1049</v>
      </c>
      <c r="E43" s="44">
        <v>32</v>
      </c>
      <c r="F43" s="31">
        <v>19979849.394951396</v>
      </c>
      <c r="G43" s="31">
        <v>871332.89999999991</v>
      </c>
      <c r="H43" s="31">
        <v>28843.039999999997</v>
      </c>
      <c r="I43" s="31">
        <v>68404.789999999994</v>
      </c>
      <c r="J43" s="31">
        <v>3143610.2215422094</v>
      </c>
      <c r="K43" s="31">
        <v>988731.65387451707</v>
      </c>
      <c r="L43" s="31">
        <v>1376257.8429764521</v>
      </c>
      <c r="M43" s="31">
        <f t="shared" si="4"/>
        <v>26842026.083344568</v>
      </c>
      <c r="N43" s="31">
        <v>384996.24000000005</v>
      </c>
      <c r="P43" s="42" t="s">
        <v>13</v>
      </c>
      <c r="Q43" s="42" t="s">
        <v>14</v>
      </c>
      <c r="R43" s="43" t="s">
        <v>1050</v>
      </c>
      <c r="S43" s="44">
        <v>32</v>
      </c>
      <c r="T43" s="31">
        <v>20929433.609874573</v>
      </c>
      <c r="U43" s="31">
        <v>908392.44000000018</v>
      </c>
      <c r="V43" s="31">
        <v>29950.65</v>
      </c>
      <c r="W43" s="31">
        <v>70930.44</v>
      </c>
      <c r="X43" s="31">
        <v>3253604.6969384118</v>
      </c>
      <c r="Y43" s="31">
        <v>989517.63358080399</v>
      </c>
      <c r="Z43" s="31">
        <v>1439025.5290215672</v>
      </c>
      <c r="AA43" s="31">
        <f t="shared" si="5"/>
        <v>28015315.849415358</v>
      </c>
      <c r="AB43" s="31">
        <v>394460.85000000003</v>
      </c>
      <c r="AD43" s="42" t="s">
        <v>13</v>
      </c>
      <c r="AE43" s="42" t="s">
        <v>14</v>
      </c>
      <c r="AF43" s="43" t="s">
        <v>1275</v>
      </c>
      <c r="AG43" s="44">
        <v>32</v>
      </c>
      <c r="AH43" s="31">
        <v>21707374.758834314</v>
      </c>
      <c r="AI43" s="31">
        <v>941371.14999999991</v>
      </c>
      <c r="AJ43" s="31">
        <v>30536.529999999995</v>
      </c>
      <c r="AK43" s="31">
        <v>73452.73</v>
      </c>
      <c r="AL43" s="31">
        <v>3317364.4819406085</v>
      </c>
      <c r="AM43" s="31">
        <v>989250.61335234263</v>
      </c>
      <c r="AN43" s="31">
        <v>1466743.9347000467</v>
      </c>
      <c r="AO43" s="31">
        <f t="shared" si="6"/>
        <v>28927504.788827311</v>
      </c>
      <c r="AP43" s="31">
        <v>401410.59000000008</v>
      </c>
      <c r="AR43" s="42" t="s">
        <v>13</v>
      </c>
      <c r="AS43" s="42" t="s">
        <v>14</v>
      </c>
      <c r="AT43" s="43" t="s">
        <v>1276</v>
      </c>
      <c r="AU43" s="44">
        <v>32</v>
      </c>
      <c r="AV43" s="31">
        <v>22448686.945568886</v>
      </c>
      <c r="AW43" s="31">
        <v>968848.1399999999</v>
      </c>
      <c r="AX43" s="31">
        <v>31094.149999999998</v>
      </c>
      <c r="AY43" s="31">
        <v>75529.38</v>
      </c>
      <c r="AZ43" s="31">
        <v>3389534.750590235</v>
      </c>
      <c r="BA43" s="31">
        <v>989293.10570895241</v>
      </c>
      <c r="BB43" s="31">
        <v>1493784.3488461776</v>
      </c>
      <c r="BC43" s="31">
        <f t="shared" si="7"/>
        <v>29805624.580714252</v>
      </c>
      <c r="BD43" s="31">
        <v>408853.76000000001</v>
      </c>
    </row>
    <row r="44" spans="2:56">
      <c r="B44" s="42" t="s">
        <v>249</v>
      </c>
      <c r="C44" s="42" t="s">
        <v>250</v>
      </c>
      <c r="D44" s="43" t="s">
        <v>1049</v>
      </c>
      <c r="E44" s="44">
        <v>32</v>
      </c>
      <c r="F44" s="31">
        <v>7070248.9119836539</v>
      </c>
      <c r="G44" s="31">
        <v>224215.74</v>
      </c>
      <c r="H44" s="31">
        <v>19878.32</v>
      </c>
      <c r="I44" s="31">
        <v>24847.89</v>
      </c>
      <c r="J44" s="31">
        <v>1178767.8008160098</v>
      </c>
      <c r="K44" s="31">
        <v>545428.20381599013</v>
      </c>
      <c r="L44" s="31">
        <v>621319.32991310372</v>
      </c>
      <c r="M44" s="31">
        <f t="shared" si="4"/>
        <v>9691039.9765287563</v>
      </c>
      <c r="N44" s="31">
        <v>6333.78</v>
      </c>
      <c r="P44" s="42" t="s">
        <v>249</v>
      </c>
      <c r="Q44" s="42" t="s">
        <v>250</v>
      </c>
      <c r="R44" s="43" t="s">
        <v>1050</v>
      </c>
      <c r="S44" s="44">
        <v>32</v>
      </c>
      <c r="T44" s="31">
        <v>7329635.9250757284</v>
      </c>
      <c r="U44" s="31">
        <v>232103.86</v>
      </c>
      <c r="V44" s="31">
        <v>20641.659999999996</v>
      </c>
      <c r="W44" s="31">
        <v>25700.899999999998</v>
      </c>
      <c r="X44" s="31">
        <v>1219550.1457571862</v>
      </c>
      <c r="Y44" s="31">
        <v>545641.22045273939</v>
      </c>
      <c r="Z44" s="31">
        <v>643457.80344385142</v>
      </c>
      <c r="AA44" s="31">
        <f t="shared" si="5"/>
        <v>10023221.014729505</v>
      </c>
      <c r="AB44" s="31">
        <v>6489.5</v>
      </c>
      <c r="AD44" s="42" t="s">
        <v>249</v>
      </c>
      <c r="AE44" s="42" t="s">
        <v>250</v>
      </c>
      <c r="AF44" s="43" t="s">
        <v>1275</v>
      </c>
      <c r="AG44" s="44">
        <v>32</v>
      </c>
      <c r="AH44" s="31">
        <v>7298164.9041189011</v>
      </c>
      <c r="AI44" s="31">
        <v>235934.57</v>
      </c>
      <c r="AJ44" s="31">
        <v>21045.440000000002</v>
      </c>
      <c r="AK44" s="31">
        <v>26100.489999999994</v>
      </c>
      <c r="AL44" s="31">
        <v>1234020.9413629924</v>
      </c>
      <c r="AM44" s="31">
        <v>545568.85248883918</v>
      </c>
      <c r="AN44" s="31">
        <v>655850.48055547802</v>
      </c>
      <c r="AO44" s="31">
        <f t="shared" si="6"/>
        <v>10023289.508526213</v>
      </c>
      <c r="AP44" s="31">
        <v>6603.83</v>
      </c>
      <c r="AR44" s="42" t="s">
        <v>249</v>
      </c>
      <c r="AS44" s="42" t="s">
        <v>250</v>
      </c>
      <c r="AT44" s="43" t="s">
        <v>1276</v>
      </c>
      <c r="AU44" s="44">
        <v>32</v>
      </c>
      <c r="AV44" s="31">
        <v>7399129.2198994625</v>
      </c>
      <c r="AW44" s="31">
        <v>238875.49</v>
      </c>
      <c r="AX44" s="31">
        <v>21429.74</v>
      </c>
      <c r="AY44" s="31">
        <v>26472.039999999997</v>
      </c>
      <c r="AZ44" s="31">
        <v>1258340.4549857695</v>
      </c>
      <c r="BA44" s="31">
        <v>545580.36878985842</v>
      </c>
      <c r="BB44" s="31">
        <v>667942.79003607004</v>
      </c>
      <c r="BC44" s="31">
        <f t="shared" si="7"/>
        <v>10164496.373711159</v>
      </c>
      <c r="BD44" s="31">
        <v>6726.2699999999995</v>
      </c>
    </row>
    <row r="45" spans="2:56">
      <c r="B45" s="42" t="s">
        <v>377</v>
      </c>
      <c r="C45" s="42" t="s">
        <v>378</v>
      </c>
      <c r="D45" s="43" t="s">
        <v>1049</v>
      </c>
      <c r="E45" s="44">
        <v>32</v>
      </c>
      <c r="F45" s="31">
        <v>102387788.89440536</v>
      </c>
      <c r="G45" s="31">
        <v>5432873.0199999986</v>
      </c>
      <c r="H45" s="31">
        <v>2678422.5000000005</v>
      </c>
      <c r="I45" s="31">
        <v>355105.19</v>
      </c>
      <c r="J45" s="31">
        <v>16873765.356205255</v>
      </c>
      <c r="K45" s="31">
        <v>6271752.4814209342</v>
      </c>
      <c r="L45" s="31">
        <v>8714246.0450060349</v>
      </c>
      <c r="M45" s="31">
        <f t="shared" si="4"/>
        <v>145527707.88703758</v>
      </c>
      <c r="N45" s="31">
        <v>2813754.4000000004</v>
      </c>
      <c r="P45" s="42" t="s">
        <v>377</v>
      </c>
      <c r="Q45" s="42" t="s">
        <v>378</v>
      </c>
      <c r="R45" s="43" t="s">
        <v>1050</v>
      </c>
      <c r="S45" s="44">
        <v>32</v>
      </c>
      <c r="T45" s="31">
        <v>110336047.87975819</v>
      </c>
      <c r="U45" s="31">
        <v>5823136.3799999999</v>
      </c>
      <c r="V45" s="31">
        <v>2779856.8499999996</v>
      </c>
      <c r="W45" s="31">
        <v>378243.70000000007</v>
      </c>
      <c r="X45" s="31">
        <v>17427633.90892734</v>
      </c>
      <c r="Y45" s="31">
        <v>6274072.6651738891</v>
      </c>
      <c r="Z45" s="31">
        <v>9109794.4957721233</v>
      </c>
      <c r="AA45" s="31">
        <f t="shared" si="5"/>
        <v>155012176.09963155</v>
      </c>
      <c r="AB45" s="31">
        <v>2883390.2199999997</v>
      </c>
      <c r="AD45" s="42" t="s">
        <v>377</v>
      </c>
      <c r="AE45" s="42" t="s">
        <v>378</v>
      </c>
      <c r="AF45" s="43" t="s">
        <v>1275</v>
      </c>
      <c r="AG45" s="44">
        <v>32</v>
      </c>
      <c r="AH45" s="31">
        <v>113605145.97202022</v>
      </c>
      <c r="AI45" s="31">
        <v>5998485.6899999995</v>
      </c>
      <c r="AJ45" s="31">
        <v>2834281.6</v>
      </c>
      <c r="AK45" s="31">
        <v>389340.49000000005</v>
      </c>
      <c r="AL45" s="31">
        <v>17752227.668548875</v>
      </c>
      <c r="AM45" s="31">
        <v>6273253.703659893</v>
      </c>
      <c r="AN45" s="31">
        <v>9285476.215386888</v>
      </c>
      <c r="AO45" s="31">
        <f t="shared" si="6"/>
        <v>159072734.15961587</v>
      </c>
      <c r="AP45" s="31">
        <v>2934522.82</v>
      </c>
      <c r="AR45" s="42" t="s">
        <v>377</v>
      </c>
      <c r="AS45" s="42" t="s">
        <v>378</v>
      </c>
      <c r="AT45" s="43" t="s">
        <v>1276</v>
      </c>
      <c r="AU45" s="44">
        <v>32</v>
      </c>
      <c r="AV45" s="31">
        <v>116871970.61455245</v>
      </c>
      <c r="AW45" s="31">
        <v>6164964.8499999996</v>
      </c>
      <c r="AX45" s="31">
        <v>2886410.7000000007</v>
      </c>
      <c r="AY45" s="31">
        <v>400150.17</v>
      </c>
      <c r="AZ45" s="31">
        <v>18081299.506113999</v>
      </c>
      <c r="BA45" s="31">
        <v>6273382.4399245419</v>
      </c>
      <c r="BB45" s="31">
        <v>9457562.8688897006</v>
      </c>
      <c r="BC45" s="31">
        <f t="shared" si="7"/>
        <v>163125026.96948066</v>
      </c>
      <c r="BD45" s="31">
        <v>2989285.8200000003</v>
      </c>
    </row>
    <row r="46" spans="2:56">
      <c r="B46" s="42" t="s">
        <v>563</v>
      </c>
      <c r="C46" s="42" t="s">
        <v>564</v>
      </c>
      <c r="D46" s="43" t="s">
        <v>1049</v>
      </c>
      <c r="E46" s="44">
        <v>32</v>
      </c>
      <c r="F46" s="31">
        <v>4396647.4582698913</v>
      </c>
      <c r="G46" s="31">
        <v>104263.70999999999</v>
      </c>
      <c r="H46" s="31">
        <v>0</v>
      </c>
      <c r="I46" s="31">
        <v>14518.98</v>
      </c>
      <c r="J46" s="31">
        <v>666655.21119231952</v>
      </c>
      <c r="K46" s="31">
        <v>515238.60352280445</v>
      </c>
      <c r="L46" s="31">
        <v>498999.28716624848</v>
      </c>
      <c r="M46" s="31">
        <f t="shared" si="4"/>
        <v>6196323.2501512635</v>
      </c>
      <c r="N46" s="31">
        <v>0</v>
      </c>
      <c r="P46" s="42" t="s">
        <v>563</v>
      </c>
      <c r="Q46" s="42" t="s">
        <v>564</v>
      </c>
      <c r="R46" s="43" t="s">
        <v>1050</v>
      </c>
      <c r="S46" s="44">
        <v>32</v>
      </c>
      <c r="T46" s="31">
        <v>4662924.1300108535</v>
      </c>
      <c r="U46" s="31">
        <v>111100.72</v>
      </c>
      <c r="V46" s="31">
        <v>0</v>
      </c>
      <c r="W46" s="31">
        <v>15481.25</v>
      </c>
      <c r="X46" s="31">
        <v>691166.74657907872</v>
      </c>
      <c r="Y46" s="31">
        <v>515677.32358392846</v>
      </c>
      <c r="Z46" s="31">
        <v>516779.35171652766</v>
      </c>
      <c r="AA46" s="31">
        <f t="shared" si="5"/>
        <v>6513129.5218903888</v>
      </c>
      <c r="AB46" s="31">
        <v>0</v>
      </c>
      <c r="AD46" s="42" t="s">
        <v>563</v>
      </c>
      <c r="AE46" s="42" t="s">
        <v>564</v>
      </c>
      <c r="AF46" s="43" t="s">
        <v>1275</v>
      </c>
      <c r="AG46" s="44">
        <v>32</v>
      </c>
      <c r="AH46" s="31">
        <v>4725277.8913998548</v>
      </c>
      <c r="AI46" s="31">
        <v>110282.25000000001</v>
      </c>
      <c r="AJ46" s="31">
        <v>0</v>
      </c>
      <c r="AK46" s="31">
        <v>15371.440000000002</v>
      </c>
      <c r="AL46" s="31">
        <v>706644.97480242001</v>
      </c>
      <c r="AM46" s="31">
        <v>515528.27758437546</v>
      </c>
      <c r="AN46" s="31">
        <v>526732.26665291982</v>
      </c>
      <c r="AO46" s="31">
        <f t="shared" si="6"/>
        <v>6599837.1004395708</v>
      </c>
      <c r="AP46" s="31">
        <v>0</v>
      </c>
      <c r="AR46" s="42" t="s">
        <v>563</v>
      </c>
      <c r="AS46" s="42" t="s">
        <v>564</v>
      </c>
      <c r="AT46" s="43" t="s">
        <v>1276</v>
      </c>
      <c r="AU46" s="44">
        <v>32</v>
      </c>
      <c r="AV46" s="31">
        <v>4746801.5034277812</v>
      </c>
      <c r="AW46" s="31">
        <v>111140.57</v>
      </c>
      <c r="AX46" s="31">
        <v>0</v>
      </c>
      <c r="AY46" s="31">
        <v>15442.04</v>
      </c>
      <c r="AZ46" s="31">
        <v>720797.98154117179</v>
      </c>
      <c r="BA46" s="31">
        <v>515551.99607117608</v>
      </c>
      <c r="BB46" s="31">
        <v>536443.94342815573</v>
      </c>
      <c r="BC46" s="31">
        <f t="shared" si="7"/>
        <v>6646178.0344682848</v>
      </c>
      <c r="BD46" s="31">
        <v>0</v>
      </c>
    </row>
    <row r="47" spans="2:56">
      <c r="B47" s="42" t="s">
        <v>529</v>
      </c>
      <c r="C47" s="42" t="s">
        <v>530</v>
      </c>
      <c r="D47" s="43" t="s">
        <v>1049</v>
      </c>
      <c r="E47" s="44">
        <v>32</v>
      </c>
      <c r="F47" s="31">
        <v>12071663.154265825</v>
      </c>
      <c r="G47" s="31">
        <v>537981.2899999998</v>
      </c>
      <c r="H47" s="31">
        <v>456616.64</v>
      </c>
      <c r="I47" s="31">
        <v>42777.36</v>
      </c>
      <c r="J47" s="31">
        <v>2078968.5525369041</v>
      </c>
      <c r="K47" s="31">
        <v>458977.0713379485</v>
      </c>
      <c r="L47" s="31">
        <v>1168789.2035574224</v>
      </c>
      <c r="M47" s="31">
        <f t="shared" si="4"/>
        <v>17251634.631698098</v>
      </c>
      <c r="N47" s="31">
        <v>435861.36000000004</v>
      </c>
      <c r="P47" s="42" t="s">
        <v>529</v>
      </c>
      <c r="Q47" s="42" t="s">
        <v>530</v>
      </c>
      <c r="R47" s="43" t="s">
        <v>1050</v>
      </c>
      <c r="S47" s="44">
        <v>32</v>
      </c>
      <c r="T47" s="31">
        <v>13045361.16232942</v>
      </c>
      <c r="U47" s="31">
        <v>576197.81999999995</v>
      </c>
      <c r="V47" s="31">
        <v>474151.17</v>
      </c>
      <c r="W47" s="31">
        <v>45330.71</v>
      </c>
      <c r="X47" s="31">
        <v>2162885.5276831952</v>
      </c>
      <c r="Y47" s="31">
        <v>459343.39066439786</v>
      </c>
      <c r="Z47" s="31">
        <v>1222163.618428797</v>
      </c>
      <c r="AA47" s="31">
        <f t="shared" si="5"/>
        <v>18432009.819105815</v>
      </c>
      <c r="AB47" s="31">
        <v>446576.42000000004</v>
      </c>
      <c r="AD47" s="42" t="s">
        <v>529</v>
      </c>
      <c r="AE47" s="42" t="s">
        <v>530</v>
      </c>
      <c r="AF47" s="43" t="s">
        <v>1275</v>
      </c>
      <c r="AG47" s="44">
        <v>32</v>
      </c>
      <c r="AH47" s="31">
        <v>13295653.840328077</v>
      </c>
      <c r="AI47" s="31">
        <v>590606.29</v>
      </c>
      <c r="AJ47" s="31">
        <v>483426.16999999993</v>
      </c>
      <c r="AK47" s="31">
        <v>46320.600000000006</v>
      </c>
      <c r="AL47" s="31">
        <v>2194175.1725868867</v>
      </c>
      <c r="AM47" s="31">
        <v>459218.9413059018</v>
      </c>
      <c r="AN47" s="31">
        <v>1245704.8615677224</v>
      </c>
      <c r="AO47" s="31">
        <f t="shared" si="6"/>
        <v>18769550.215788584</v>
      </c>
      <c r="AP47" s="31">
        <v>454444.34</v>
      </c>
      <c r="AR47" s="42" t="s">
        <v>529</v>
      </c>
      <c r="AS47" s="42" t="s">
        <v>530</v>
      </c>
      <c r="AT47" s="43" t="s">
        <v>1276</v>
      </c>
      <c r="AU47" s="44">
        <v>32</v>
      </c>
      <c r="AV47" s="31">
        <v>13599395.097460911</v>
      </c>
      <c r="AW47" s="31">
        <v>603154.19999999995</v>
      </c>
      <c r="AX47" s="31">
        <v>492253.97999999992</v>
      </c>
      <c r="AY47" s="31">
        <v>47376.569999999992</v>
      </c>
      <c r="AZ47" s="31">
        <v>2236525.3119134069</v>
      </c>
      <c r="BA47" s="31">
        <v>459238.74559770222</v>
      </c>
      <c r="BB47" s="31">
        <v>1268670.2051469916</v>
      </c>
      <c r="BC47" s="31">
        <f t="shared" si="7"/>
        <v>19169484.99011901</v>
      </c>
      <c r="BD47" s="31">
        <v>462870.88000000006</v>
      </c>
    </row>
    <row r="48" spans="2:56">
      <c r="B48" s="42" t="s">
        <v>571</v>
      </c>
      <c r="C48" s="42" t="s">
        <v>572</v>
      </c>
      <c r="D48" s="43" t="s">
        <v>1049</v>
      </c>
      <c r="E48" s="44">
        <v>32</v>
      </c>
      <c r="F48" s="31">
        <v>2436379.3704066649</v>
      </c>
      <c r="G48" s="31">
        <v>31677</v>
      </c>
      <c r="H48" s="31">
        <v>0</v>
      </c>
      <c r="I48" s="31">
        <v>0</v>
      </c>
      <c r="J48" s="31">
        <v>203244.91047961198</v>
      </c>
      <c r="K48" s="31">
        <v>161853.08523781027</v>
      </c>
      <c r="L48" s="31">
        <v>85856.700911586959</v>
      </c>
      <c r="M48" s="31">
        <f t="shared" si="4"/>
        <v>2919011.0670356746</v>
      </c>
      <c r="N48" s="31">
        <v>0</v>
      </c>
      <c r="P48" s="42" t="s">
        <v>571</v>
      </c>
      <c r="Q48" s="42" t="s">
        <v>572</v>
      </c>
      <c r="R48" s="43" t="s">
        <v>1050</v>
      </c>
      <c r="S48" s="44">
        <v>32</v>
      </c>
      <c r="T48" s="31">
        <v>2319440.5766611015</v>
      </c>
      <c r="U48" s="31">
        <v>29635.73</v>
      </c>
      <c r="V48" s="31">
        <v>0</v>
      </c>
      <c r="W48" s="31">
        <v>0</v>
      </c>
      <c r="X48" s="31">
        <v>203973.29165359025</v>
      </c>
      <c r="Y48" s="31">
        <v>162067.36899873716</v>
      </c>
      <c r="Z48" s="31">
        <v>88902.006511281958</v>
      </c>
      <c r="AA48" s="31">
        <f t="shared" si="5"/>
        <v>2804018.9738247111</v>
      </c>
      <c r="AB48" s="31">
        <v>0</v>
      </c>
      <c r="AD48" s="42" t="s">
        <v>571</v>
      </c>
      <c r="AE48" s="42" t="s">
        <v>572</v>
      </c>
      <c r="AF48" s="43" t="s">
        <v>1275</v>
      </c>
      <c r="AG48" s="44">
        <v>32</v>
      </c>
      <c r="AH48" s="31">
        <v>2320181.8840336236</v>
      </c>
      <c r="AI48" s="31">
        <v>30215.8</v>
      </c>
      <c r="AJ48" s="31">
        <v>0</v>
      </c>
      <c r="AK48" s="31">
        <v>0</v>
      </c>
      <c r="AL48" s="31">
        <v>205851.74474554791</v>
      </c>
      <c r="AM48" s="31">
        <v>161994.57055579952</v>
      </c>
      <c r="AN48" s="31">
        <v>90615.436294280371</v>
      </c>
      <c r="AO48" s="31">
        <f t="shared" si="6"/>
        <v>2808859.4356292514</v>
      </c>
      <c r="AP48" s="31">
        <v>0</v>
      </c>
      <c r="AR48" s="42" t="s">
        <v>571</v>
      </c>
      <c r="AS48" s="42" t="s">
        <v>572</v>
      </c>
      <c r="AT48" s="43" t="s">
        <v>1276</v>
      </c>
      <c r="AU48" s="44">
        <v>32</v>
      </c>
      <c r="AV48" s="31">
        <v>2351134.251229329</v>
      </c>
      <c r="AW48" s="31">
        <v>30552.780000000002</v>
      </c>
      <c r="AX48" s="31">
        <v>0</v>
      </c>
      <c r="AY48" s="31">
        <v>0</v>
      </c>
      <c r="AZ48" s="31">
        <v>209345.45344863748</v>
      </c>
      <c r="BA48" s="31">
        <v>162006.15536124955</v>
      </c>
      <c r="BB48" s="31">
        <v>92290.8334156317</v>
      </c>
      <c r="BC48" s="31">
        <f t="shared" si="7"/>
        <v>2845329.4734548475</v>
      </c>
      <c r="BD48" s="31">
        <v>0</v>
      </c>
    </row>
    <row r="49" spans="2:56">
      <c r="B49" s="42" t="s">
        <v>499</v>
      </c>
      <c r="C49" s="42" t="s">
        <v>500</v>
      </c>
      <c r="D49" s="43" t="s">
        <v>1049</v>
      </c>
      <c r="E49" s="44">
        <v>32</v>
      </c>
      <c r="F49" s="31">
        <v>1889913.6444681901</v>
      </c>
      <c r="G49" s="31">
        <v>52034.419999999984</v>
      </c>
      <c r="H49" s="31">
        <v>0</v>
      </c>
      <c r="I49" s="31">
        <v>2923.29</v>
      </c>
      <c r="J49" s="31">
        <v>130916.18449914776</v>
      </c>
      <c r="K49" s="31">
        <v>215130.65942224776</v>
      </c>
      <c r="L49" s="31">
        <v>65853.469344846046</v>
      </c>
      <c r="M49" s="31">
        <f t="shared" si="4"/>
        <v>2385907.0577344317</v>
      </c>
      <c r="N49" s="31">
        <v>29135.39</v>
      </c>
      <c r="P49" s="42" t="s">
        <v>499</v>
      </c>
      <c r="Q49" s="42" t="s">
        <v>500</v>
      </c>
      <c r="R49" s="43" t="s">
        <v>1050</v>
      </c>
      <c r="S49" s="44">
        <v>32</v>
      </c>
      <c r="T49" s="31">
        <v>1979768.4134397809</v>
      </c>
      <c r="U49" s="31">
        <v>52715.009999999995</v>
      </c>
      <c r="V49" s="31">
        <v>0</v>
      </c>
      <c r="W49" s="31">
        <v>2934.36</v>
      </c>
      <c r="X49" s="31">
        <v>135421.13206740646</v>
      </c>
      <c r="Y49" s="31">
        <v>215262.57558711225</v>
      </c>
      <c r="Z49" s="31">
        <v>68807.072138627147</v>
      </c>
      <c r="AA49" s="31">
        <f t="shared" si="5"/>
        <v>2484760.2032329272</v>
      </c>
      <c r="AB49" s="31">
        <v>29851.64</v>
      </c>
      <c r="AD49" s="42" t="s">
        <v>499</v>
      </c>
      <c r="AE49" s="42" t="s">
        <v>500</v>
      </c>
      <c r="AF49" s="43" t="s">
        <v>1275</v>
      </c>
      <c r="AG49" s="44">
        <v>32</v>
      </c>
      <c r="AH49" s="31">
        <v>1994748.3122995147</v>
      </c>
      <c r="AI49" s="31">
        <v>51637.759999999995</v>
      </c>
      <c r="AJ49" s="31">
        <v>0</v>
      </c>
      <c r="AK49" s="31">
        <v>2888.5899999999997</v>
      </c>
      <c r="AL49" s="31">
        <v>138723.90233046524</v>
      </c>
      <c r="AM49" s="31">
        <v>215217.75981871758</v>
      </c>
      <c r="AN49" s="31">
        <v>70132.458757358894</v>
      </c>
      <c r="AO49" s="31">
        <f t="shared" si="6"/>
        <v>2503726.3632060564</v>
      </c>
      <c r="AP49" s="31">
        <v>30377.579999999998</v>
      </c>
      <c r="AR49" s="42" t="s">
        <v>499</v>
      </c>
      <c r="AS49" s="42" t="s">
        <v>500</v>
      </c>
      <c r="AT49" s="43" t="s">
        <v>1276</v>
      </c>
      <c r="AU49" s="44">
        <v>32</v>
      </c>
      <c r="AV49" s="31">
        <v>2044096.6209853413</v>
      </c>
      <c r="AW49" s="31">
        <v>50996.430000000015</v>
      </c>
      <c r="AX49" s="31">
        <v>0</v>
      </c>
      <c r="AY49" s="31">
        <v>2836.31</v>
      </c>
      <c r="AZ49" s="31">
        <v>141212.97467615659</v>
      </c>
      <c r="BA49" s="31">
        <v>215224.89159155492</v>
      </c>
      <c r="BB49" s="31">
        <v>71425.431892700581</v>
      </c>
      <c r="BC49" s="31">
        <f t="shared" si="7"/>
        <v>2556733.509145753</v>
      </c>
      <c r="BD49" s="31">
        <v>30940.85</v>
      </c>
    </row>
    <row r="50" spans="2:56">
      <c r="B50" s="42" t="s">
        <v>533</v>
      </c>
      <c r="C50" s="42" t="s">
        <v>534</v>
      </c>
      <c r="D50" s="43" t="s">
        <v>1049</v>
      </c>
      <c r="E50" s="44">
        <v>32</v>
      </c>
      <c r="F50" s="31">
        <v>6186508.0167204402</v>
      </c>
      <c r="G50" s="31">
        <v>256139.84999999992</v>
      </c>
      <c r="H50" s="31">
        <v>215887.84999999998</v>
      </c>
      <c r="I50" s="31">
        <v>20579.969999999998</v>
      </c>
      <c r="J50" s="31">
        <v>962898.01659741835</v>
      </c>
      <c r="K50" s="31">
        <v>440105.10158555338</v>
      </c>
      <c r="L50" s="31">
        <v>493820.03311586019</v>
      </c>
      <c r="M50" s="31">
        <f t="shared" si="4"/>
        <v>8787186.10801927</v>
      </c>
      <c r="N50" s="31">
        <v>211247.27000000002</v>
      </c>
      <c r="P50" s="42" t="s">
        <v>533</v>
      </c>
      <c r="Q50" s="42" t="s">
        <v>534</v>
      </c>
      <c r="R50" s="43" t="s">
        <v>1050</v>
      </c>
      <c r="S50" s="44">
        <v>32</v>
      </c>
      <c r="T50" s="31">
        <v>6334015.9543396523</v>
      </c>
      <c r="U50" s="31">
        <v>270692.84999999998</v>
      </c>
      <c r="V50" s="31">
        <v>224100.57</v>
      </c>
      <c r="W50" s="31">
        <v>21572.280000000002</v>
      </c>
      <c r="X50" s="31">
        <v>990840.02188651287</v>
      </c>
      <c r="Y50" s="31">
        <v>440557.43028385681</v>
      </c>
      <c r="Z50" s="31">
        <v>516346.59673621296</v>
      </c>
      <c r="AA50" s="31">
        <f t="shared" si="5"/>
        <v>9014589.8032462336</v>
      </c>
      <c r="AB50" s="31">
        <v>216464.1</v>
      </c>
      <c r="AD50" s="42" t="s">
        <v>533</v>
      </c>
      <c r="AE50" s="42" t="s">
        <v>534</v>
      </c>
      <c r="AF50" s="43" t="s">
        <v>1275</v>
      </c>
      <c r="AG50" s="44">
        <v>32</v>
      </c>
      <c r="AH50" s="31">
        <v>6506376.3825989077</v>
      </c>
      <c r="AI50" s="31">
        <v>280668.01</v>
      </c>
      <c r="AJ50" s="31">
        <v>228486.86</v>
      </c>
      <c r="AK50" s="31">
        <v>22314.83</v>
      </c>
      <c r="AL50" s="31">
        <v>1008895.6562415427</v>
      </c>
      <c r="AM50" s="31">
        <v>440403.7610333729</v>
      </c>
      <c r="AN50" s="31">
        <v>526299.25573826279</v>
      </c>
      <c r="AO50" s="31">
        <f t="shared" si="6"/>
        <v>9233739.4856120851</v>
      </c>
      <c r="AP50" s="31">
        <v>220294.73</v>
      </c>
      <c r="AR50" s="42" t="s">
        <v>533</v>
      </c>
      <c r="AS50" s="42" t="s">
        <v>534</v>
      </c>
      <c r="AT50" s="43" t="s">
        <v>1276</v>
      </c>
      <c r="AU50" s="44">
        <v>32</v>
      </c>
      <c r="AV50" s="31">
        <v>6594178.7387509895</v>
      </c>
      <c r="AW50" s="31">
        <v>283039.85999999993</v>
      </c>
      <c r="AX50" s="31">
        <v>232679.59999999998</v>
      </c>
      <c r="AY50" s="31">
        <v>22506.870000000003</v>
      </c>
      <c r="AZ50" s="31">
        <v>1034858.3564018031</v>
      </c>
      <c r="BA50" s="31">
        <v>440428.21524281299</v>
      </c>
      <c r="BB50" s="31">
        <v>536028.98364229815</v>
      </c>
      <c r="BC50" s="31">
        <f t="shared" si="7"/>
        <v>9368117.9640379045</v>
      </c>
      <c r="BD50" s="31">
        <v>224397.34000000003</v>
      </c>
    </row>
    <row r="51" spans="2:56">
      <c r="B51" s="42" t="s">
        <v>491</v>
      </c>
      <c r="C51" s="42" t="s">
        <v>492</v>
      </c>
      <c r="D51" s="43" t="s">
        <v>1049</v>
      </c>
      <c r="E51" s="44">
        <v>32</v>
      </c>
      <c r="F51" s="31">
        <v>13185159.208482901</v>
      </c>
      <c r="G51" s="31">
        <v>566352.5199999999</v>
      </c>
      <c r="H51" s="31">
        <v>23707.32</v>
      </c>
      <c r="I51" s="31">
        <v>47515.519999999982</v>
      </c>
      <c r="J51" s="31">
        <v>2142681.5994578665</v>
      </c>
      <c r="K51" s="31">
        <v>1561149.3770833279</v>
      </c>
      <c r="L51" s="31">
        <v>1304764.8941347373</v>
      </c>
      <c r="M51" s="31">
        <f t="shared" si="4"/>
        <v>19160105.439158831</v>
      </c>
      <c r="N51" s="31">
        <v>328775</v>
      </c>
      <c r="P51" s="42" t="s">
        <v>491</v>
      </c>
      <c r="Q51" s="42" t="s">
        <v>492</v>
      </c>
      <c r="R51" s="43" t="s">
        <v>1050</v>
      </c>
      <c r="S51" s="44">
        <v>32</v>
      </c>
      <c r="T51" s="31">
        <v>14193532.866139852</v>
      </c>
      <c r="U51" s="31">
        <v>606841.4700000002</v>
      </c>
      <c r="V51" s="31">
        <v>24609.18</v>
      </c>
      <c r="W51" s="31">
        <v>50474.98000000001</v>
      </c>
      <c r="X51" s="31">
        <v>2213664.9532641661</v>
      </c>
      <c r="Y51" s="31">
        <v>1562768.4155045897</v>
      </c>
      <c r="Z51" s="31">
        <v>1363894.4590343568</v>
      </c>
      <c r="AA51" s="31">
        <f t="shared" si="5"/>
        <v>20352680.533942968</v>
      </c>
      <c r="AB51" s="31">
        <v>336894.21</v>
      </c>
      <c r="AD51" s="42" t="s">
        <v>491</v>
      </c>
      <c r="AE51" s="42" t="s">
        <v>492</v>
      </c>
      <c r="AF51" s="43" t="s">
        <v>1275</v>
      </c>
      <c r="AG51" s="44">
        <v>32</v>
      </c>
      <c r="AH51" s="31">
        <v>14714622.592954358</v>
      </c>
      <c r="AI51" s="31">
        <v>629173.97999999986</v>
      </c>
      <c r="AJ51" s="31">
        <v>25090.839999999997</v>
      </c>
      <c r="AK51" s="31">
        <v>52317.08</v>
      </c>
      <c r="AL51" s="31">
        <v>2254323.9374593594</v>
      </c>
      <c r="AM51" s="31">
        <v>1562218.3809354077</v>
      </c>
      <c r="AN51" s="31">
        <v>1390187.3428693728</v>
      </c>
      <c r="AO51" s="31">
        <f t="shared" si="6"/>
        <v>20970790.174218498</v>
      </c>
      <c r="AP51" s="31">
        <v>342856.02</v>
      </c>
      <c r="AR51" s="42" t="s">
        <v>491</v>
      </c>
      <c r="AS51" s="42" t="s">
        <v>492</v>
      </c>
      <c r="AT51" s="43" t="s">
        <v>1276</v>
      </c>
      <c r="AU51" s="44">
        <v>32</v>
      </c>
      <c r="AV51" s="31">
        <v>15265518.133931857</v>
      </c>
      <c r="AW51" s="31">
        <v>651498.52</v>
      </c>
      <c r="AX51" s="31">
        <v>25551.25</v>
      </c>
      <c r="AY51" s="31">
        <v>54146.930000000008</v>
      </c>
      <c r="AZ51" s="31">
        <v>2296499.0099763642</v>
      </c>
      <c r="BA51" s="31">
        <v>1562305.9108772252</v>
      </c>
      <c r="BB51" s="31">
        <v>1415884.2654520746</v>
      </c>
      <c r="BC51" s="31">
        <f t="shared" si="7"/>
        <v>21620645.160237521</v>
      </c>
      <c r="BD51" s="31">
        <v>349241.13999999996</v>
      </c>
    </row>
    <row r="52" spans="2:56">
      <c r="B52" s="42" t="s">
        <v>401</v>
      </c>
      <c r="C52" s="42" t="s">
        <v>402</v>
      </c>
      <c r="D52" s="43" t="s">
        <v>1049</v>
      </c>
      <c r="E52" s="44">
        <v>32</v>
      </c>
      <c r="F52" s="31">
        <v>4874307.9428666057</v>
      </c>
      <c r="G52" s="31">
        <v>236643.2699999999</v>
      </c>
      <c r="H52" s="31">
        <v>0</v>
      </c>
      <c r="I52" s="31">
        <v>15086.54</v>
      </c>
      <c r="J52" s="31">
        <v>658433.69628310541</v>
      </c>
      <c r="K52" s="31">
        <v>686676.3555047285</v>
      </c>
      <c r="L52" s="31">
        <v>482923.43812768772</v>
      </c>
      <c r="M52" s="31">
        <f t="shared" si="4"/>
        <v>7113342.1027821284</v>
      </c>
      <c r="N52" s="31">
        <v>159270.85999999999</v>
      </c>
      <c r="P52" s="42" t="s">
        <v>401</v>
      </c>
      <c r="Q52" s="42" t="s">
        <v>402</v>
      </c>
      <c r="R52" s="43" t="s">
        <v>1050</v>
      </c>
      <c r="S52" s="44">
        <v>32</v>
      </c>
      <c r="T52" s="31">
        <v>5209622.6787782684</v>
      </c>
      <c r="U52" s="31">
        <v>252735.89000000004</v>
      </c>
      <c r="V52" s="31">
        <v>0</v>
      </c>
      <c r="W52" s="31">
        <v>15986.029999999999</v>
      </c>
      <c r="X52" s="31">
        <v>680124.2315473347</v>
      </c>
      <c r="Y52" s="31">
        <v>687338.61104287358</v>
      </c>
      <c r="Z52" s="31">
        <v>504772.75014978449</v>
      </c>
      <c r="AA52" s="31">
        <f t="shared" si="5"/>
        <v>7513816.4615182616</v>
      </c>
      <c r="AB52" s="31">
        <v>163236.26999999999</v>
      </c>
      <c r="AD52" s="42" t="s">
        <v>401</v>
      </c>
      <c r="AE52" s="42" t="s">
        <v>402</v>
      </c>
      <c r="AF52" s="43" t="s">
        <v>1275</v>
      </c>
      <c r="AG52" s="44">
        <v>32</v>
      </c>
      <c r="AH52" s="31">
        <v>5323259.8896374069</v>
      </c>
      <c r="AI52" s="31">
        <v>259456.29000000007</v>
      </c>
      <c r="AJ52" s="31">
        <v>0</v>
      </c>
      <c r="AK52" s="31">
        <v>16413.230000000003</v>
      </c>
      <c r="AL52" s="31">
        <v>693066.44311561075</v>
      </c>
      <c r="AM52" s="31">
        <v>687096.42776405904</v>
      </c>
      <c r="AN52" s="31">
        <v>514518.04795960634</v>
      </c>
      <c r="AO52" s="31">
        <f t="shared" si="6"/>
        <v>7659958.3484766828</v>
      </c>
      <c r="AP52" s="31">
        <v>166148.01999999999</v>
      </c>
      <c r="AR52" s="42" t="s">
        <v>401</v>
      </c>
      <c r="AS52" s="42" t="s">
        <v>402</v>
      </c>
      <c r="AT52" s="43" t="s">
        <v>1276</v>
      </c>
      <c r="AU52" s="44">
        <v>32</v>
      </c>
      <c r="AV52" s="31">
        <v>5471823.4313428737</v>
      </c>
      <c r="AW52" s="31">
        <v>265841.55999999994</v>
      </c>
      <c r="AX52" s="31">
        <v>0</v>
      </c>
      <c r="AY52" s="31">
        <v>16833.14</v>
      </c>
      <c r="AZ52" s="31">
        <v>706605.35898389411</v>
      </c>
      <c r="BA52" s="31">
        <v>687134.07818790898</v>
      </c>
      <c r="BB52" s="31">
        <v>524099.70356168557</v>
      </c>
      <c r="BC52" s="31">
        <f t="shared" si="7"/>
        <v>7841603.7720763618</v>
      </c>
      <c r="BD52" s="31">
        <v>169266.5</v>
      </c>
    </row>
    <row r="53" spans="2:56">
      <c r="B53" s="42" t="s">
        <v>411</v>
      </c>
      <c r="C53" s="42" t="s">
        <v>412</v>
      </c>
      <c r="D53" s="43" t="s">
        <v>1049</v>
      </c>
      <c r="E53" s="44">
        <v>32</v>
      </c>
      <c r="F53" s="31">
        <v>4389923.7713699294</v>
      </c>
      <c r="G53" s="31">
        <v>60542.880000000005</v>
      </c>
      <c r="H53" s="31">
        <v>50908.57</v>
      </c>
      <c r="I53" s="31">
        <v>14232.510000000002</v>
      </c>
      <c r="J53" s="31">
        <v>452357.01402670756</v>
      </c>
      <c r="K53" s="31">
        <v>216731.34885787385</v>
      </c>
      <c r="L53" s="31">
        <v>0</v>
      </c>
      <c r="M53" s="31">
        <f t="shared" si="4"/>
        <v>5184696.0942545114</v>
      </c>
      <c r="N53" s="31">
        <v>0</v>
      </c>
      <c r="P53" s="42" t="s">
        <v>411</v>
      </c>
      <c r="Q53" s="42" t="s">
        <v>412</v>
      </c>
      <c r="R53" s="43" t="s">
        <v>1050</v>
      </c>
      <c r="S53" s="44">
        <v>32</v>
      </c>
      <c r="T53" s="31">
        <v>4522842.5460705608</v>
      </c>
      <c r="U53" s="31">
        <v>62308.850000000013</v>
      </c>
      <c r="V53" s="31">
        <v>52393.540000000008</v>
      </c>
      <c r="W53" s="31">
        <v>14647.660000000002</v>
      </c>
      <c r="X53" s="31">
        <v>464760.62627980526</v>
      </c>
      <c r="Y53" s="31">
        <v>216930.00744162078</v>
      </c>
      <c r="Z53" s="31">
        <v>0</v>
      </c>
      <c r="AA53" s="31">
        <f t="shared" si="5"/>
        <v>5333883.2297919858</v>
      </c>
      <c r="AB53" s="31">
        <v>0</v>
      </c>
      <c r="AD53" s="42" t="s">
        <v>411</v>
      </c>
      <c r="AE53" s="42" t="s">
        <v>412</v>
      </c>
      <c r="AF53" s="43" t="s">
        <v>1275</v>
      </c>
      <c r="AG53" s="44">
        <v>32</v>
      </c>
      <c r="AH53" s="31">
        <v>4509567.119962357</v>
      </c>
      <c r="AI53" s="31">
        <v>61921.52</v>
      </c>
      <c r="AJ53" s="31">
        <v>53420.23</v>
      </c>
      <c r="AK53" s="31">
        <v>14475.150000000001</v>
      </c>
      <c r="AL53" s="31">
        <v>474703.6288132859</v>
      </c>
      <c r="AM53" s="31">
        <v>216858.44259308453</v>
      </c>
      <c r="AN53" s="31">
        <v>0</v>
      </c>
      <c r="AO53" s="31">
        <f t="shared" si="6"/>
        <v>5330946.0913687283</v>
      </c>
      <c r="AP53" s="31">
        <v>0</v>
      </c>
      <c r="AR53" s="42" t="s">
        <v>411</v>
      </c>
      <c r="AS53" s="42" t="s">
        <v>412</v>
      </c>
      <c r="AT53" s="43" t="s">
        <v>1276</v>
      </c>
      <c r="AU53" s="44">
        <v>32</v>
      </c>
      <c r="AV53" s="31">
        <v>4629798.5037449216</v>
      </c>
      <c r="AW53" s="31">
        <v>63536.950000000004</v>
      </c>
      <c r="AX53" s="31">
        <v>54410.109999999993</v>
      </c>
      <c r="AY53" s="31">
        <v>14860.39</v>
      </c>
      <c r="AZ53" s="31">
        <v>484041.10187911935</v>
      </c>
      <c r="BA53" s="31">
        <v>216869.62850705453</v>
      </c>
      <c r="BB53" s="31">
        <v>0</v>
      </c>
      <c r="BC53" s="31">
        <f t="shared" si="7"/>
        <v>5463516.6841310952</v>
      </c>
      <c r="BD53" s="31">
        <v>0</v>
      </c>
    </row>
    <row r="54" spans="2:56">
      <c r="B54" s="42" t="s">
        <v>157</v>
      </c>
      <c r="C54" s="42" t="s">
        <v>158</v>
      </c>
      <c r="D54" s="43" t="s">
        <v>1049</v>
      </c>
      <c r="E54" s="44">
        <v>32</v>
      </c>
      <c r="F54" s="31">
        <v>1527751.2586801329</v>
      </c>
      <c r="G54" s="31">
        <v>51352.32</v>
      </c>
      <c r="H54" s="31">
        <v>3215.6</v>
      </c>
      <c r="I54" s="31">
        <v>4579.8100000000004</v>
      </c>
      <c r="J54" s="31">
        <v>210533.79901758637</v>
      </c>
      <c r="K54" s="31">
        <v>56006.816169358382</v>
      </c>
      <c r="L54" s="31">
        <v>0</v>
      </c>
      <c r="M54" s="31">
        <f t="shared" si="4"/>
        <v>1853439.6038670777</v>
      </c>
      <c r="N54" s="31">
        <v>0</v>
      </c>
      <c r="P54" s="42" t="s">
        <v>157</v>
      </c>
      <c r="Q54" s="42" t="s">
        <v>158</v>
      </c>
      <c r="R54" s="43" t="s">
        <v>1050</v>
      </c>
      <c r="S54" s="44">
        <v>32</v>
      </c>
      <c r="T54" s="31">
        <v>1631307.1583182677</v>
      </c>
      <c r="U54" s="31">
        <v>54336.15</v>
      </c>
      <c r="V54" s="31">
        <v>3339.09</v>
      </c>
      <c r="W54" s="31">
        <v>4856.8599999999997</v>
      </c>
      <c r="X54" s="31">
        <v>216387.18157389766</v>
      </c>
      <c r="Y54" s="31">
        <v>56050.774500258412</v>
      </c>
      <c r="Z54" s="31">
        <v>0</v>
      </c>
      <c r="AA54" s="31">
        <f t="shared" si="5"/>
        <v>1966277.2143924239</v>
      </c>
      <c r="AB54" s="31">
        <v>0</v>
      </c>
      <c r="AD54" s="42" t="s">
        <v>157</v>
      </c>
      <c r="AE54" s="42" t="s">
        <v>158</v>
      </c>
      <c r="AF54" s="43" t="s">
        <v>1275</v>
      </c>
      <c r="AG54" s="44">
        <v>32</v>
      </c>
      <c r="AH54" s="31">
        <v>1709688.5334025547</v>
      </c>
      <c r="AI54" s="31">
        <v>57049.659999999996</v>
      </c>
      <c r="AJ54" s="31">
        <v>3404.4199999999996</v>
      </c>
      <c r="AK54" s="31">
        <v>5158.1899999999996</v>
      </c>
      <c r="AL54" s="31">
        <v>219999.50120270092</v>
      </c>
      <c r="AM54" s="31">
        <v>56035.840573255184</v>
      </c>
      <c r="AN54" s="31">
        <v>0</v>
      </c>
      <c r="AO54" s="31">
        <f t="shared" si="6"/>
        <v>2051336.1451785106</v>
      </c>
      <c r="AP54" s="31">
        <v>0</v>
      </c>
      <c r="AR54" s="42" t="s">
        <v>157</v>
      </c>
      <c r="AS54" s="42" t="s">
        <v>158</v>
      </c>
      <c r="AT54" s="43" t="s">
        <v>1276</v>
      </c>
      <c r="AU54" s="44">
        <v>32</v>
      </c>
      <c r="AV54" s="31">
        <v>1800116.7405535136</v>
      </c>
      <c r="AW54" s="31">
        <v>60192.39</v>
      </c>
      <c r="AX54" s="31">
        <v>3466.5899999999992</v>
      </c>
      <c r="AY54" s="31">
        <v>5357.45</v>
      </c>
      <c r="AZ54" s="31">
        <v>223805.79772072667</v>
      </c>
      <c r="BA54" s="31">
        <v>56038.217088905185</v>
      </c>
      <c r="BB54" s="31">
        <v>0</v>
      </c>
      <c r="BC54" s="31">
        <f t="shared" si="7"/>
        <v>2148977.1853631455</v>
      </c>
      <c r="BD54" s="31">
        <v>0</v>
      </c>
    </row>
    <row r="55" spans="2:56">
      <c r="B55" s="42" t="s">
        <v>127</v>
      </c>
      <c r="C55" s="42" t="s">
        <v>128</v>
      </c>
      <c r="D55" s="43" t="s">
        <v>1049</v>
      </c>
      <c r="E55" s="44">
        <v>32</v>
      </c>
      <c r="F55" s="31">
        <v>2547115.7377046687</v>
      </c>
      <c r="G55" s="31">
        <v>55639.81</v>
      </c>
      <c r="H55" s="31">
        <v>0</v>
      </c>
      <c r="I55" s="31">
        <v>6138.8899999999994</v>
      </c>
      <c r="J55" s="31">
        <v>193612.51293849712</v>
      </c>
      <c r="K55" s="31">
        <v>300728.23419932398</v>
      </c>
      <c r="L55" s="31">
        <v>151861.39887626271</v>
      </c>
      <c r="M55" s="31">
        <f t="shared" si="4"/>
        <v>3255096.583718753</v>
      </c>
      <c r="N55" s="31">
        <v>0</v>
      </c>
      <c r="P55" s="42" t="s">
        <v>127</v>
      </c>
      <c r="Q55" s="42" t="s">
        <v>128</v>
      </c>
      <c r="R55" s="43" t="s">
        <v>1050</v>
      </c>
      <c r="S55" s="44">
        <v>32</v>
      </c>
      <c r="T55" s="31">
        <v>2448961.6342730708</v>
      </c>
      <c r="U55" s="31">
        <v>51199.430000000008</v>
      </c>
      <c r="V55" s="31">
        <v>0</v>
      </c>
      <c r="W55" s="31">
        <v>5666.35</v>
      </c>
      <c r="X55" s="31">
        <v>199022.77684982723</v>
      </c>
      <c r="Y55" s="31">
        <v>300974.62679712835</v>
      </c>
      <c r="Z55" s="31">
        <v>157272.63530820922</v>
      </c>
      <c r="AA55" s="31">
        <f t="shared" si="5"/>
        <v>3163097.4532282362</v>
      </c>
      <c r="AB55" s="31">
        <v>0</v>
      </c>
      <c r="AD55" s="42" t="s">
        <v>127</v>
      </c>
      <c r="AE55" s="42" t="s">
        <v>128</v>
      </c>
      <c r="AF55" s="43" t="s">
        <v>1275</v>
      </c>
      <c r="AG55" s="44">
        <v>32</v>
      </c>
      <c r="AH55" s="31">
        <v>2500411.8923355131</v>
      </c>
      <c r="AI55" s="31">
        <v>52200.960000000006</v>
      </c>
      <c r="AJ55" s="31">
        <v>0</v>
      </c>
      <c r="AK55" s="31">
        <v>5777.17</v>
      </c>
      <c r="AL55" s="31">
        <v>203728.39626544944</v>
      </c>
      <c r="AM55" s="31">
        <v>300890.92004588444</v>
      </c>
      <c r="AN55" s="31">
        <v>160301.63380160462</v>
      </c>
      <c r="AO55" s="31">
        <f t="shared" si="6"/>
        <v>3223310.9724484514</v>
      </c>
      <c r="AP55" s="31">
        <v>0</v>
      </c>
      <c r="AR55" s="42" t="s">
        <v>127</v>
      </c>
      <c r="AS55" s="42" t="s">
        <v>128</v>
      </c>
      <c r="AT55" s="43" t="s">
        <v>1276</v>
      </c>
      <c r="AU55" s="44">
        <v>32</v>
      </c>
      <c r="AV55" s="31">
        <v>2539913.4100937936</v>
      </c>
      <c r="AW55" s="31">
        <v>51788.580000000009</v>
      </c>
      <c r="AX55" s="31">
        <v>0</v>
      </c>
      <c r="AY55" s="31">
        <v>5672.57</v>
      </c>
      <c r="AZ55" s="31">
        <v>210127.73685580929</v>
      </c>
      <c r="BA55" s="31">
        <v>300904.24074875779</v>
      </c>
      <c r="BB55" s="31">
        <v>163257.17475247104</v>
      </c>
      <c r="BC55" s="31">
        <f t="shared" si="7"/>
        <v>3271663.7124508317</v>
      </c>
      <c r="BD55" s="31">
        <v>0</v>
      </c>
    </row>
    <row r="56" spans="2:56">
      <c r="B56" s="42" t="s">
        <v>169</v>
      </c>
      <c r="C56" s="42" t="s">
        <v>170</v>
      </c>
      <c r="D56" s="43" t="s">
        <v>1049</v>
      </c>
      <c r="E56" s="44">
        <v>32</v>
      </c>
      <c r="F56" s="31">
        <v>9160496.5552699007</v>
      </c>
      <c r="G56" s="31">
        <v>234966.65999999997</v>
      </c>
      <c r="H56" s="31">
        <v>49150.63</v>
      </c>
      <c r="I56" s="31">
        <v>30913.730000000003</v>
      </c>
      <c r="J56" s="31">
        <v>1370074.2391633033</v>
      </c>
      <c r="K56" s="31">
        <v>465687.19539049524</v>
      </c>
      <c r="L56" s="31">
        <v>148342.20255037345</v>
      </c>
      <c r="M56" s="31">
        <f t="shared" si="4"/>
        <v>11476867.292374074</v>
      </c>
      <c r="N56" s="31">
        <v>17236.080000000002</v>
      </c>
      <c r="P56" s="42" t="s">
        <v>169</v>
      </c>
      <c r="Q56" s="42" t="s">
        <v>170</v>
      </c>
      <c r="R56" s="43" t="s">
        <v>1050</v>
      </c>
      <c r="S56" s="44">
        <v>32</v>
      </c>
      <c r="T56" s="31">
        <v>10109428.17548912</v>
      </c>
      <c r="U56" s="31">
        <v>261075.38999999998</v>
      </c>
      <c r="V56" s="31">
        <v>50973.950000000004</v>
      </c>
      <c r="W56" s="31">
        <v>34367.039999999994</v>
      </c>
      <c r="X56" s="31">
        <v>1418248.9623929504</v>
      </c>
      <c r="Y56" s="31">
        <v>466046.40100416174</v>
      </c>
      <c r="Z56" s="31">
        <v>153515.9450573748</v>
      </c>
      <c r="AA56" s="31">
        <f t="shared" si="5"/>
        <v>12511322.653943606</v>
      </c>
      <c r="AB56" s="31">
        <v>17666.790000000005</v>
      </c>
      <c r="AD56" s="42" t="s">
        <v>169</v>
      </c>
      <c r="AE56" s="42" t="s">
        <v>170</v>
      </c>
      <c r="AF56" s="43" t="s">
        <v>1275</v>
      </c>
      <c r="AG56" s="44">
        <v>32</v>
      </c>
      <c r="AH56" s="31">
        <v>10232303.905635165</v>
      </c>
      <c r="AI56" s="31">
        <v>263166.08999999997</v>
      </c>
      <c r="AJ56" s="31">
        <v>51973.19</v>
      </c>
      <c r="AK56" s="31">
        <v>34570.400000000001</v>
      </c>
      <c r="AL56" s="31">
        <v>1451270.3314803012</v>
      </c>
      <c r="AM56" s="31">
        <v>465915.04144840769</v>
      </c>
      <c r="AN56" s="31">
        <v>156481.12159173129</v>
      </c>
      <c r="AO56" s="31">
        <f t="shared" si="6"/>
        <v>12673663.130155606</v>
      </c>
      <c r="AP56" s="31">
        <v>17983.050000000003</v>
      </c>
      <c r="AR56" s="42" t="s">
        <v>169</v>
      </c>
      <c r="AS56" s="42" t="s">
        <v>170</v>
      </c>
      <c r="AT56" s="43" t="s">
        <v>1276</v>
      </c>
      <c r="AU56" s="44">
        <v>32</v>
      </c>
      <c r="AV56" s="31">
        <v>10475197.433943762</v>
      </c>
      <c r="AW56" s="31">
        <v>269609.40999999997</v>
      </c>
      <c r="AX56" s="31">
        <v>52939.090000000004</v>
      </c>
      <c r="AY56" s="31">
        <v>35452.44</v>
      </c>
      <c r="AZ56" s="31">
        <v>1477037.7713190112</v>
      </c>
      <c r="BA56" s="31">
        <v>465935.46293652651</v>
      </c>
      <c r="BB56" s="31">
        <v>159402.25772902704</v>
      </c>
      <c r="BC56" s="31">
        <f t="shared" si="7"/>
        <v>12953895.635928325</v>
      </c>
      <c r="BD56" s="31">
        <v>18321.770000000004</v>
      </c>
    </row>
    <row r="57" spans="2:56">
      <c r="B57" s="42" t="s">
        <v>45</v>
      </c>
      <c r="C57" s="42" t="s">
        <v>46</v>
      </c>
      <c r="D57" s="43" t="s">
        <v>1049</v>
      </c>
      <c r="E57" s="44">
        <v>32</v>
      </c>
      <c r="F57" s="31">
        <v>3430031.1514204848</v>
      </c>
      <c r="G57" s="31">
        <v>114202.90000000002</v>
      </c>
      <c r="H57" s="31">
        <v>0</v>
      </c>
      <c r="I57" s="31">
        <v>8672.41</v>
      </c>
      <c r="J57" s="31">
        <v>277731.14619303163</v>
      </c>
      <c r="K57" s="31">
        <v>114891.53201593457</v>
      </c>
      <c r="L57" s="31">
        <v>33741.919104134184</v>
      </c>
      <c r="M57" s="31">
        <f t="shared" si="4"/>
        <v>4041049.7387335855</v>
      </c>
      <c r="N57" s="31">
        <v>61778.68</v>
      </c>
      <c r="P57" s="42" t="s">
        <v>45</v>
      </c>
      <c r="Q57" s="42" t="s">
        <v>46</v>
      </c>
      <c r="R57" s="43" t="s">
        <v>1050</v>
      </c>
      <c r="S57" s="44">
        <v>32</v>
      </c>
      <c r="T57" s="31">
        <v>3335982.11525616</v>
      </c>
      <c r="U57" s="31">
        <v>109728.28999999998</v>
      </c>
      <c r="V57" s="31">
        <v>0</v>
      </c>
      <c r="W57" s="31">
        <v>8195.9600000000009</v>
      </c>
      <c r="X57" s="31">
        <v>285078.8779944877</v>
      </c>
      <c r="Y57" s="31">
        <v>114983.33716706123</v>
      </c>
      <c r="Z57" s="31">
        <v>35247.777563861557</v>
      </c>
      <c r="AA57" s="31">
        <f t="shared" si="5"/>
        <v>3952513.7879815707</v>
      </c>
      <c r="AB57" s="31">
        <v>63297.43</v>
      </c>
      <c r="AD57" s="42" t="s">
        <v>45</v>
      </c>
      <c r="AE57" s="42" t="s">
        <v>46</v>
      </c>
      <c r="AF57" s="43" t="s">
        <v>1275</v>
      </c>
      <c r="AG57" s="44">
        <v>32</v>
      </c>
      <c r="AH57" s="31">
        <v>3384921.1556619424</v>
      </c>
      <c r="AI57" s="31">
        <v>110037.6</v>
      </c>
      <c r="AJ57" s="31">
        <v>0</v>
      </c>
      <c r="AK57" s="31">
        <v>8253.1</v>
      </c>
      <c r="AL57" s="31">
        <v>290190.13006196701</v>
      </c>
      <c r="AM57" s="31">
        <v>114952.148279827</v>
      </c>
      <c r="AN57" s="31">
        <v>35926.74675196359</v>
      </c>
      <c r="AO57" s="31">
        <f t="shared" si="6"/>
        <v>4008693.5007557003</v>
      </c>
      <c r="AP57" s="31">
        <v>64412.619999999995</v>
      </c>
      <c r="AR57" s="42" t="s">
        <v>45</v>
      </c>
      <c r="AS57" s="42" t="s">
        <v>46</v>
      </c>
      <c r="AT57" s="43" t="s">
        <v>1276</v>
      </c>
      <c r="AU57" s="44">
        <v>32</v>
      </c>
      <c r="AV57" s="31">
        <v>3451301.5252451217</v>
      </c>
      <c r="AW57" s="31">
        <v>111188.47000000002</v>
      </c>
      <c r="AX57" s="31">
        <v>0</v>
      </c>
      <c r="AY57" s="31">
        <v>8298.77</v>
      </c>
      <c r="AZ57" s="31">
        <v>296601.01536499313</v>
      </c>
      <c r="BA57" s="31">
        <v>114957.11153420759</v>
      </c>
      <c r="BB57" s="31">
        <v>36589.118468940862</v>
      </c>
      <c r="BC57" s="31">
        <f t="shared" si="7"/>
        <v>4084543.0006132638</v>
      </c>
      <c r="BD57" s="31">
        <v>65606.990000000005</v>
      </c>
    </row>
    <row r="58" spans="2:56">
      <c r="B58" s="42" t="s">
        <v>303</v>
      </c>
      <c r="C58" s="42" t="s">
        <v>304</v>
      </c>
      <c r="D58" s="43" t="s">
        <v>1049</v>
      </c>
      <c r="E58" s="44">
        <v>32</v>
      </c>
      <c r="F58" s="31">
        <v>1910430.6572916026</v>
      </c>
      <c r="G58" s="31">
        <v>27339.09</v>
      </c>
      <c r="H58" s="31">
        <v>0</v>
      </c>
      <c r="I58" s="31">
        <v>2522.06</v>
      </c>
      <c r="J58" s="31">
        <v>102795.59651943565</v>
      </c>
      <c r="K58" s="31">
        <v>528604.00680148334</v>
      </c>
      <c r="L58" s="31">
        <v>63683.5688976737</v>
      </c>
      <c r="M58" s="31">
        <f t="shared" si="4"/>
        <v>2647178.1795101957</v>
      </c>
      <c r="N58" s="31">
        <v>11803.2</v>
      </c>
      <c r="P58" s="42" t="s">
        <v>303</v>
      </c>
      <c r="Q58" s="42" t="s">
        <v>304</v>
      </c>
      <c r="R58" s="43" t="s">
        <v>1050</v>
      </c>
      <c r="S58" s="44">
        <v>32</v>
      </c>
      <c r="T58" s="31">
        <v>1977891.8939083447</v>
      </c>
      <c r="U58" s="31">
        <v>27594.159999999996</v>
      </c>
      <c r="V58" s="31">
        <v>0</v>
      </c>
      <c r="W58" s="31">
        <v>2513.2900000000004</v>
      </c>
      <c r="X58" s="31">
        <v>106630.17775904151</v>
      </c>
      <c r="Y58" s="31">
        <v>529165.20554805954</v>
      </c>
      <c r="Z58" s="31">
        <v>65942.198009823536</v>
      </c>
      <c r="AA58" s="31">
        <f t="shared" si="5"/>
        <v>2721831.6052252692</v>
      </c>
      <c r="AB58" s="31">
        <v>12094.68</v>
      </c>
      <c r="AD58" s="42" t="s">
        <v>303</v>
      </c>
      <c r="AE58" s="42" t="s">
        <v>304</v>
      </c>
      <c r="AF58" s="43" t="s">
        <v>1275</v>
      </c>
      <c r="AG58" s="44">
        <v>32</v>
      </c>
      <c r="AH58" s="31">
        <v>2012827.0223388048</v>
      </c>
      <c r="AI58" s="31">
        <v>27836.629999999997</v>
      </c>
      <c r="AJ58" s="31">
        <v>0</v>
      </c>
      <c r="AK58" s="31">
        <v>2562.46</v>
      </c>
      <c r="AL58" s="31">
        <v>110014.48997465485</v>
      </c>
      <c r="AM58" s="31">
        <v>528974.54996710189</v>
      </c>
      <c r="AN58" s="31">
        <v>67212.968090153605</v>
      </c>
      <c r="AO58" s="31">
        <f t="shared" si="6"/>
        <v>2761736.8403707151</v>
      </c>
      <c r="AP58" s="31">
        <v>12308.72</v>
      </c>
      <c r="AR58" s="42" t="s">
        <v>303</v>
      </c>
      <c r="AS58" s="42" t="s">
        <v>304</v>
      </c>
      <c r="AT58" s="43" t="s">
        <v>1276</v>
      </c>
      <c r="AU58" s="44">
        <v>32</v>
      </c>
      <c r="AV58" s="31">
        <v>2042138.0451856116</v>
      </c>
      <c r="AW58" s="31">
        <v>26278.229999999996</v>
      </c>
      <c r="AX58" s="31">
        <v>0</v>
      </c>
      <c r="AY58" s="31">
        <v>2392.0300000000002</v>
      </c>
      <c r="AZ58" s="31">
        <v>113588.34767760328</v>
      </c>
      <c r="BA58" s="31">
        <v>529004.89000906178</v>
      </c>
      <c r="BB58" s="31">
        <v>68455.520019907097</v>
      </c>
      <c r="BC58" s="31">
        <f t="shared" si="7"/>
        <v>2794395.0028921836</v>
      </c>
      <c r="BD58" s="31">
        <v>12537.94</v>
      </c>
    </row>
    <row r="59" spans="2:56">
      <c r="B59" s="42" t="s">
        <v>103</v>
      </c>
      <c r="C59" s="42" t="s">
        <v>104</v>
      </c>
      <c r="D59" s="43" t="s">
        <v>1049</v>
      </c>
      <c r="E59" s="44">
        <v>32</v>
      </c>
      <c r="F59" s="31">
        <v>2857128.154405233</v>
      </c>
      <c r="G59" s="31">
        <v>83126.900000000009</v>
      </c>
      <c r="H59" s="31">
        <v>0</v>
      </c>
      <c r="I59" s="31">
        <v>0</v>
      </c>
      <c r="J59" s="31">
        <v>240388.16719346348</v>
      </c>
      <c r="K59" s="31">
        <v>129473.50271876868</v>
      </c>
      <c r="L59" s="31">
        <v>73862.921473186085</v>
      </c>
      <c r="M59" s="31">
        <f t="shared" si="4"/>
        <v>3456211.2857906511</v>
      </c>
      <c r="N59" s="31">
        <v>72231.64</v>
      </c>
      <c r="P59" s="42" t="s">
        <v>103</v>
      </c>
      <c r="Q59" s="42" t="s">
        <v>104</v>
      </c>
      <c r="R59" s="43" t="s">
        <v>1050</v>
      </c>
      <c r="S59" s="44">
        <v>32</v>
      </c>
      <c r="T59" s="31">
        <v>2777778.9302669126</v>
      </c>
      <c r="U59" s="31">
        <v>80446.41</v>
      </c>
      <c r="V59" s="31">
        <v>0</v>
      </c>
      <c r="W59" s="31">
        <v>0</v>
      </c>
      <c r="X59" s="31">
        <v>247111.79162436604</v>
      </c>
      <c r="Y59" s="31">
        <v>129555.09373389764</v>
      </c>
      <c r="Z59" s="31">
        <v>77215.807063156273</v>
      </c>
      <c r="AA59" s="31">
        <f t="shared" si="5"/>
        <v>3386123.4626883324</v>
      </c>
      <c r="AB59" s="31">
        <v>74015.429999999993</v>
      </c>
      <c r="AD59" s="42" t="s">
        <v>103</v>
      </c>
      <c r="AE59" s="42" t="s">
        <v>104</v>
      </c>
      <c r="AF59" s="43" t="s">
        <v>1275</v>
      </c>
      <c r="AG59" s="44">
        <v>32</v>
      </c>
      <c r="AH59" s="31">
        <v>2993764.4110552357</v>
      </c>
      <c r="AI59" s="31">
        <v>88352.500000000029</v>
      </c>
      <c r="AJ59" s="31">
        <v>0</v>
      </c>
      <c r="AK59" s="31">
        <v>0</v>
      </c>
      <c r="AL59" s="31">
        <v>251945.40022629307</v>
      </c>
      <c r="AM59" s="31">
        <v>129527.37488654589</v>
      </c>
      <c r="AN59" s="31">
        <v>78704.113110940991</v>
      </c>
      <c r="AO59" s="31">
        <f t="shared" si="6"/>
        <v>3617619.0392790157</v>
      </c>
      <c r="AP59" s="31">
        <v>75325.239999999991</v>
      </c>
      <c r="AR59" s="42" t="s">
        <v>103</v>
      </c>
      <c r="AS59" s="42" t="s">
        <v>104</v>
      </c>
      <c r="AT59" s="43" t="s">
        <v>1276</v>
      </c>
      <c r="AU59" s="44">
        <v>32</v>
      </c>
      <c r="AV59" s="31">
        <v>3029529.2799744192</v>
      </c>
      <c r="AW59" s="31">
        <v>89192.070000000036</v>
      </c>
      <c r="AX59" s="31">
        <v>0</v>
      </c>
      <c r="AY59" s="31">
        <v>0</v>
      </c>
      <c r="AZ59" s="31">
        <v>258227.5289996606</v>
      </c>
      <c r="BA59" s="31">
        <v>129531.78593492701</v>
      </c>
      <c r="BB59" s="31">
        <v>80159.037014998408</v>
      </c>
      <c r="BC59" s="31">
        <f t="shared" si="7"/>
        <v>3663367.7419240051</v>
      </c>
      <c r="BD59" s="31">
        <v>76728.039999999979</v>
      </c>
    </row>
    <row r="60" spans="2:56">
      <c r="B60" s="42" t="s">
        <v>357</v>
      </c>
      <c r="C60" s="42" t="s">
        <v>358</v>
      </c>
      <c r="D60" s="43" t="s">
        <v>1049</v>
      </c>
      <c r="E60" s="44">
        <v>32</v>
      </c>
      <c r="F60" s="31">
        <v>3409704.4477415001</v>
      </c>
      <c r="G60" s="31">
        <v>138563.56000000006</v>
      </c>
      <c r="H60" s="31">
        <v>0</v>
      </c>
      <c r="I60" s="31">
        <v>9062.18</v>
      </c>
      <c r="J60" s="31">
        <v>391045.89287423418</v>
      </c>
      <c r="K60" s="31">
        <v>215612.36805868376</v>
      </c>
      <c r="L60" s="31">
        <v>107979.30060007858</v>
      </c>
      <c r="M60" s="31">
        <f t="shared" si="4"/>
        <v>4336864.6092744973</v>
      </c>
      <c r="N60" s="31">
        <v>64896.86</v>
      </c>
      <c r="P60" s="42" t="s">
        <v>357</v>
      </c>
      <c r="Q60" s="42" t="s">
        <v>358</v>
      </c>
      <c r="R60" s="43" t="s">
        <v>1050</v>
      </c>
      <c r="S60" s="44">
        <v>32</v>
      </c>
      <c r="T60" s="31">
        <v>3639856.0509452634</v>
      </c>
      <c r="U60" s="31">
        <v>146400.20000000001</v>
      </c>
      <c r="V60" s="31">
        <v>0</v>
      </c>
      <c r="W60" s="31">
        <v>9511.3499999999985</v>
      </c>
      <c r="X60" s="31">
        <v>404278.39344099257</v>
      </c>
      <c r="Y60" s="31">
        <v>215780.61450210717</v>
      </c>
      <c r="Z60" s="31">
        <v>112838.44074121461</v>
      </c>
      <c r="AA60" s="31">
        <f t="shared" si="5"/>
        <v>4595157.319629577</v>
      </c>
      <c r="AB60" s="31">
        <v>66492.27</v>
      </c>
      <c r="AD60" s="42" t="s">
        <v>357</v>
      </c>
      <c r="AE60" s="42" t="s">
        <v>358</v>
      </c>
      <c r="AF60" s="43" t="s">
        <v>1275</v>
      </c>
      <c r="AG60" s="44">
        <v>32</v>
      </c>
      <c r="AH60" s="31">
        <v>3713147.4147025589</v>
      </c>
      <c r="AI60" s="31">
        <v>149908.96999999997</v>
      </c>
      <c r="AJ60" s="31">
        <v>0</v>
      </c>
      <c r="AK60" s="31">
        <v>9697.41</v>
      </c>
      <c r="AL60" s="31">
        <v>410437.94789505575</v>
      </c>
      <c r="AM60" s="31">
        <v>215723.45627855332</v>
      </c>
      <c r="AN60" s="31">
        <v>115012.0281651429</v>
      </c>
      <c r="AO60" s="31">
        <f t="shared" si="6"/>
        <v>4681590.9770413106</v>
      </c>
      <c r="AP60" s="31">
        <v>67663.75</v>
      </c>
      <c r="AR60" s="42" t="s">
        <v>357</v>
      </c>
      <c r="AS60" s="42" t="s">
        <v>358</v>
      </c>
      <c r="AT60" s="43" t="s">
        <v>1276</v>
      </c>
      <c r="AU60" s="44">
        <v>32</v>
      </c>
      <c r="AV60" s="31">
        <v>3782515.2550467639</v>
      </c>
      <c r="AW60" s="31">
        <v>152102.16</v>
      </c>
      <c r="AX60" s="31">
        <v>0</v>
      </c>
      <c r="AY60" s="31">
        <v>9874.489999999998</v>
      </c>
      <c r="AZ60" s="31">
        <v>417515.69261355384</v>
      </c>
      <c r="BA60" s="31">
        <v>215732.55217227052</v>
      </c>
      <c r="BB60" s="31">
        <v>117132.51930449008</v>
      </c>
      <c r="BC60" s="31">
        <f t="shared" si="7"/>
        <v>4763791.0691370787</v>
      </c>
      <c r="BD60" s="31">
        <v>68918.399999999994</v>
      </c>
    </row>
    <row r="61" spans="2:56">
      <c r="B61" s="42" t="s">
        <v>239</v>
      </c>
      <c r="C61" s="42" t="s">
        <v>240</v>
      </c>
      <c r="D61" s="43" t="s">
        <v>1049</v>
      </c>
      <c r="E61" s="44">
        <v>32</v>
      </c>
      <c r="F61" s="31">
        <v>425635.18949655013</v>
      </c>
      <c r="G61" s="31">
        <v>0</v>
      </c>
      <c r="H61" s="31">
        <v>0</v>
      </c>
      <c r="I61" s="31">
        <v>0</v>
      </c>
      <c r="J61" s="31">
        <v>51164.771231945269</v>
      </c>
      <c r="K61" s="31">
        <v>0</v>
      </c>
      <c r="L61" s="31">
        <v>0</v>
      </c>
      <c r="M61" s="31">
        <f t="shared" si="4"/>
        <v>476799.96072849538</v>
      </c>
      <c r="N61" s="31">
        <v>0</v>
      </c>
      <c r="P61" s="42" t="s">
        <v>239</v>
      </c>
      <c r="Q61" s="42" t="s">
        <v>240</v>
      </c>
      <c r="R61" s="43" t="s">
        <v>1050</v>
      </c>
      <c r="S61" s="44">
        <v>32</v>
      </c>
      <c r="T61" s="31">
        <v>437766.69718015037</v>
      </c>
      <c r="U61" s="31">
        <v>0</v>
      </c>
      <c r="V61" s="31">
        <v>0</v>
      </c>
      <c r="W61" s="31">
        <v>0</v>
      </c>
      <c r="X61" s="31">
        <v>54346.193490726211</v>
      </c>
      <c r="Y61" s="31">
        <v>0</v>
      </c>
      <c r="Z61" s="31">
        <v>0</v>
      </c>
      <c r="AA61" s="31">
        <f t="shared" si="5"/>
        <v>492112.8906708766</v>
      </c>
      <c r="AB61" s="31">
        <v>0</v>
      </c>
      <c r="AD61" s="42" t="s">
        <v>239</v>
      </c>
      <c r="AE61" s="42" t="s">
        <v>240</v>
      </c>
      <c r="AF61" s="43" t="s">
        <v>1275</v>
      </c>
      <c r="AG61" s="44">
        <v>32</v>
      </c>
      <c r="AH61" s="31">
        <v>443264.64432719973</v>
      </c>
      <c r="AI61" s="31">
        <v>0</v>
      </c>
      <c r="AJ61" s="31">
        <v>0</v>
      </c>
      <c r="AK61" s="31">
        <v>0</v>
      </c>
      <c r="AL61" s="31">
        <v>56587.18519839755</v>
      </c>
      <c r="AM61" s="31">
        <v>0</v>
      </c>
      <c r="AN61" s="31">
        <v>0</v>
      </c>
      <c r="AO61" s="31">
        <f t="shared" si="6"/>
        <v>499851.82952559728</v>
      </c>
      <c r="AP61" s="31">
        <v>0</v>
      </c>
      <c r="AR61" s="42" t="s">
        <v>239</v>
      </c>
      <c r="AS61" s="42" t="s">
        <v>240</v>
      </c>
      <c r="AT61" s="43" t="s">
        <v>1276</v>
      </c>
      <c r="AU61" s="44">
        <v>32</v>
      </c>
      <c r="AV61" s="31">
        <v>459352.5461086462</v>
      </c>
      <c r="AW61" s="31">
        <v>0</v>
      </c>
      <c r="AX61" s="31">
        <v>0</v>
      </c>
      <c r="AY61" s="31">
        <v>0</v>
      </c>
      <c r="AZ61" s="31">
        <v>55826.615129515696</v>
      </c>
      <c r="BA61" s="31">
        <v>0</v>
      </c>
      <c r="BB61" s="31">
        <v>0</v>
      </c>
      <c r="BC61" s="31">
        <f t="shared" si="7"/>
        <v>515179.16123816191</v>
      </c>
      <c r="BD61" s="31">
        <v>0</v>
      </c>
    </row>
    <row r="62" spans="2:56">
      <c r="B62" s="42" t="s">
        <v>445</v>
      </c>
      <c r="C62" s="42" t="s">
        <v>446</v>
      </c>
      <c r="D62" s="43" t="s">
        <v>1049</v>
      </c>
      <c r="E62" s="44">
        <v>32</v>
      </c>
      <c r="F62" s="31">
        <v>4365284.2314913711</v>
      </c>
      <c r="G62" s="31">
        <v>132115.07</v>
      </c>
      <c r="H62" s="31">
        <v>7435.51</v>
      </c>
      <c r="I62" s="31">
        <v>12500.279999999999</v>
      </c>
      <c r="J62" s="31">
        <v>573153.62381470762</v>
      </c>
      <c r="K62" s="31">
        <v>289016.93840799463</v>
      </c>
      <c r="L62" s="31">
        <v>233923.43747625902</v>
      </c>
      <c r="M62" s="31">
        <f t="shared" si="4"/>
        <v>5703194.0511903325</v>
      </c>
      <c r="N62" s="31">
        <v>89764.959999999992</v>
      </c>
      <c r="P62" s="42" t="s">
        <v>445</v>
      </c>
      <c r="Q62" s="42" t="s">
        <v>446</v>
      </c>
      <c r="R62" s="43" t="s">
        <v>1050</v>
      </c>
      <c r="S62" s="44">
        <v>32</v>
      </c>
      <c r="T62" s="31">
        <v>4497626.4583760025</v>
      </c>
      <c r="U62" s="31">
        <v>139294.50999999998</v>
      </c>
      <c r="V62" s="31">
        <v>7713.5300000000007</v>
      </c>
      <c r="W62" s="31">
        <v>13079.480000000001</v>
      </c>
      <c r="X62" s="31">
        <v>583901.02315834141</v>
      </c>
      <c r="Y62" s="31">
        <v>289286.73837789043</v>
      </c>
      <c r="Z62" s="31">
        <v>242114.759695057</v>
      </c>
      <c r="AA62" s="31">
        <f t="shared" si="5"/>
        <v>5865016.3696072921</v>
      </c>
      <c r="AB62" s="31">
        <v>91999.87</v>
      </c>
      <c r="AD62" s="42" t="s">
        <v>445</v>
      </c>
      <c r="AE62" s="42" t="s">
        <v>446</v>
      </c>
      <c r="AF62" s="43" t="s">
        <v>1275</v>
      </c>
      <c r="AG62" s="44">
        <v>32</v>
      </c>
      <c r="AH62" s="31">
        <v>4644911.1177488202</v>
      </c>
      <c r="AI62" s="31">
        <v>143895.06</v>
      </c>
      <c r="AJ62" s="31">
        <v>7864.6900000000005</v>
      </c>
      <c r="AK62" s="31">
        <v>13563.73</v>
      </c>
      <c r="AL62" s="31">
        <v>595650.8625845057</v>
      </c>
      <c r="AM62" s="31">
        <v>289188.07398390671</v>
      </c>
      <c r="AN62" s="31">
        <v>246788.51815687303</v>
      </c>
      <c r="AO62" s="31">
        <f t="shared" si="6"/>
        <v>6035502.9824741064</v>
      </c>
      <c r="AP62" s="31">
        <v>93640.93</v>
      </c>
      <c r="AR62" s="42" t="s">
        <v>445</v>
      </c>
      <c r="AS62" s="42" t="s">
        <v>446</v>
      </c>
      <c r="AT62" s="43" t="s">
        <v>1276</v>
      </c>
      <c r="AU62" s="44">
        <v>32</v>
      </c>
      <c r="AV62" s="31">
        <v>4730939.9009444108</v>
      </c>
      <c r="AW62" s="31">
        <v>146534.57000000004</v>
      </c>
      <c r="AX62" s="31">
        <v>8010.2800000000007</v>
      </c>
      <c r="AY62" s="31">
        <v>13814.8</v>
      </c>
      <c r="AZ62" s="31">
        <v>606730.99921878288</v>
      </c>
      <c r="BA62" s="31">
        <v>289203.41259964672</v>
      </c>
      <c r="BB62" s="31">
        <v>251384.69904267797</v>
      </c>
      <c r="BC62" s="31">
        <f t="shared" si="7"/>
        <v>6142017.1718055187</v>
      </c>
      <c r="BD62" s="31">
        <v>95398.50999999998</v>
      </c>
    </row>
    <row r="63" spans="2:56">
      <c r="B63" s="42" t="s">
        <v>311</v>
      </c>
      <c r="C63" s="42" t="s">
        <v>312</v>
      </c>
      <c r="D63" s="43" t="s">
        <v>1049</v>
      </c>
      <c r="E63" s="44">
        <v>32</v>
      </c>
      <c r="F63" s="31">
        <v>4713969.5300585181</v>
      </c>
      <c r="G63" s="31">
        <v>195859.87999999998</v>
      </c>
      <c r="H63" s="31">
        <v>0</v>
      </c>
      <c r="I63" s="31">
        <v>0</v>
      </c>
      <c r="J63" s="31">
        <v>687046.57864156016</v>
      </c>
      <c r="K63" s="31">
        <v>375179.09913079883</v>
      </c>
      <c r="L63" s="31">
        <v>776157.51099964837</v>
      </c>
      <c r="M63" s="31">
        <f t="shared" si="4"/>
        <v>6819638.1288305251</v>
      </c>
      <c r="N63" s="31">
        <v>71425.53</v>
      </c>
      <c r="P63" s="42" t="s">
        <v>311</v>
      </c>
      <c r="Q63" s="42" t="s">
        <v>312</v>
      </c>
      <c r="R63" s="43" t="s">
        <v>1050</v>
      </c>
      <c r="S63" s="44">
        <v>32</v>
      </c>
      <c r="T63" s="31">
        <v>4768337.6599977557</v>
      </c>
      <c r="U63" s="31">
        <v>196981.53000000003</v>
      </c>
      <c r="V63" s="31">
        <v>0</v>
      </c>
      <c r="W63" s="31">
        <v>0</v>
      </c>
      <c r="X63" s="31">
        <v>711179.1250059111</v>
      </c>
      <c r="Y63" s="31">
        <v>375649.89692607772</v>
      </c>
      <c r="Z63" s="31">
        <v>811480.5679192259</v>
      </c>
      <c r="AA63" s="31">
        <f t="shared" si="5"/>
        <v>6936810.2098489702</v>
      </c>
      <c r="AB63" s="31">
        <v>73181.429999999993</v>
      </c>
      <c r="AD63" s="42" t="s">
        <v>311</v>
      </c>
      <c r="AE63" s="42" t="s">
        <v>312</v>
      </c>
      <c r="AF63" s="43" t="s">
        <v>1275</v>
      </c>
      <c r="AG63" s="44">
        <v>32</v>
      </c>
      <c r="AH63" s="31">
        <v>4853903.1520751407</v>
      </c>
      <c r="AI63" s="31">
        <v>200254.78</v>
      </c>
      <c r="AJ63" s="31">
        <v>0</v>
      </c>
      <c r="AK63" s="31">
        <v>0</v>
      </c>
      <c r="AL63" s="31">
        <v>724897.52572392789</v>
      </c>
      <c r="AM63" s="31">
        <v>375489.95318472042</v>
      </c>
      <c r="AN63" s="31">
        <v>827111.52817331185</v>
      </c>
      <c r="AO63" s="31">
        <f t="shared" si="6"/>
        <v>7056127.6991571002</v>
      </c>
      <c r="AP63" s="31">
        <v>74470.75999999998</v>
      </c>
      <c r="AR63" s="42" t="s">
        <v>311</v>
      </c>
      <c r="AS63" s="42" t="s">
        <v>312</v>
      </c>
      <c r="AT63" s="43" t="s">
        <v>1276</v>
      </c>
      <c r="AU63" s="44">
        <v>32</v>
      </c>
      <c r="AV63" s="31">
        <v>4969464.0393948089</v>
      </c>
      <c r="AW63" s="31">
        <v>204205.78999999995</v>
      </c>
      <c r="AX63" s="31">
        <v>0</v>
      </c>
      <c r="AY63" s="31">
        <v>0</v>
      </c>
      <c r="AZ63" s="31">
        <v>738683.27479611337</v>
      </c>
      <c r="BA63" s="31">
        <v>375515.40588744043</v>
      </c>
      <c r="BB63" s="31">
        <v>842359.33466843795</v>
      </c>
      <c r="BC63" s="31">
        <f t="shared" si="7"/>
        <v>7206079.4847468007</v>
      </c>
      <c r="BD63" s="31">
        <v>75851.639999999985</v>
      </c>
    </row>
    <row r="64" spans="2:56">
      <c r="B64" s="42" t="s">
        <v>73</v>
      </c>
      <c r="C64" s="42" t="s">
        <v>74</v>
      </c>
      <c r="D64" s="43" t="s">
        <v>1049</v>
      </c>
      <c r="E64" s="44">
        <v>32</v>
      </c>
      <c r="F64" s="31">
        <v>3482093.3089041272</v>
      </c>
      <c r="G64" s="31">
        <v>118295.46</v>
      </c>
      <c r="H64" s="31">
        <v>2923.29</v>
      </c>
      <c r="I64" s="31">
        <v>10036.619999999999</v>
      </c>
      <c r="J64" s="31">
        <v>451705.33406930225</v>
      </c>
      <c r="K64" s="31">
        <v>248758.78826502379</v>
      </c>
      <c r="L64" s="31">
        <v>409172.82958479715</v>
      </c>
      <c r="M64" s="31">
        <f t="shared" si="4"/>
        <v>4826762.1508232495</v>
      </c>
      <c r="N64" s="31">
        <v>103776.52</v>
      </c>
      <c r="P64" s="42" t="s">
        <v>73</v>
      </c>
      <c r="Q64" s="42" t="s">
        <v>74</v>
      </c>
      <c r="R64" s="43" t="s">
        <v>1050</v>
      </c>
      <c r="S64" s="44">
        <v>32</v>
      </c>
      <c r="T64" s="31">
        <v>3673203.842245148</v>
      </c>
      <c r="U64" s="31">
        <v>129938.39999999998</v>
      </c>
      <c r="V64" s="31">
        <v>3035.55</v>
      </c>
      <c r="W64" s="31">
        <v>10826.77</v>
      </c>
      <c r="X64" s="31">
        <v>460951.87960728485</v>
      </c>
      <c r="Y64" s="31">
        <v>248997.42175740181</v>
      </c>
      <c r="Z64" s="31">
        <v>427676.00889877597</v>
      </c>
      <c r="AA64" s="31">
        <f t="shared" si="5"/>
        <v>5060957.5925086103</v>
      </c>
      <c r="AB64" s="31">
        <v>106327.72000000002</v>
      </c>
      <c r="AD64" s="42" t="s">
        <v>73</v>
      </c>
      <c r="AE64" s="42" t="s">
        <v>74</v>
      </c>
      <c r="AF64" s="43" t="s">
        <v>1275</v>
      </c>
      <c r="AG64" s="44">
        <v>32</v>
      </c>
      <c r="AH64" s="31">
        <v>3693125.56105906</v>
      </c>
      <c r="AI64" s="31">
        <v>132274.10000000003</v>
      </c>
      <c r="AJ64" s="31">
        <v>3094.92</v>
      </c>
      <c r="AK64" s="31">
        <v>11038.55</v>
      </c>
      <c r="AL64" s="31">
        <v>469873.65358095511</v>
      </c>
      <c r="AM64" s="31">
        <v>248916.35100055701</v>
      </c>
      <c r="AN64" s="31">
        <v>435913.95875353384</v>
      </c>
      <c r="AO64" s="31">
        <f t="shared" si="6"/>
        <v>5102438.1243941057</v>
      </c>
      <c r="AP64" s="31">
        <v>108201.03000000001</v>
      </c>
      <c r="AR64" s="42" t="s">
        <v>73</v>
      </c>
      <c r="AS64" s="42" t="s">
        <v>74</v>
      </c>
      <c r="AT64" s="43" t="s">
        <v>1276</v>
      </c>
      <c r="AU64" s="44">
        <v>32</v>
      </c>
      <c r="AV64" s="31">
        <v>3709955.9681887743</v>
      </c>
      <c r="AW64" s="31">
        <v>132873.25</v>
      </c>
      <c r="AX64" s="31">
        <v>3151.4399999999996</v>
      </c>
      <c r="AY64" s="31">
        <v>11030.029999999999</v>
      </c>
      <c r="AZ64" s="31">
        <v>478012.32392086327</v>
      </c>
      <c r="BA64" s="31">
        <v>248929.25222354798</v>
      </c>
      <c r="BB64" s="31">
        <v>443950.41650421952</v>
      </c>
      <c r="BC64" s="31">
        <f t="shared" si="7"/>
        <v>5138110.0408374043</v>
      </c>
      <c r="BD64" s="31">
        <v>110207.36</v>
      </c>
    </row>
    <row r="65" spans="2:56">
      <c r="B65" s="42" t="s">
        <v>475</v>
      </c>
      <c r="C65" s="42" t="s">
        <v>476</v>
      </c>
      <c r="D65" s="43" t="s">
        <v>1049</v>
      </c>
      <c r="E65" s="44">
        <v>32</v>
      </c>
      <c r="F65" s="31">
        <v>20880251.649480652</v>
      </c>
      <c r="G65" s="31">
        <v>759371.20000000007</v>
      </c>
      <c r="H65" s="31">
        <v>37320.590000000004</v>
      </c>
      <c r="I65" s="31">
        <v>70548.53</v>
      </c>
      <c r="J65" s="31">
        <v>2642414.0780187803</v>
      </c>
      <c r="K65" s="31">
        <v>1410156.1344572301</v>
      </c>
      <c r="L65" s="31">
        <v>986219.41939784714</v>
      </c>
      <c r="M65" s="31">
        <f t="shared" si="4"/>
        <v>27166698.021354511</v>
      </c>
      <c r="N65" s="31">
        <v>380416.42000000004</v>
      </c>
      <c r="P65" s="42" t="s">
        <v>475</v>
      </c>
      <c r="Q65" s="42" t="s">
        <v>476</v>
      </c>
      <c r="R65" s="43" t="s">
        <v>1050</v>
      </c>
      <c r="S65" s="44">
        <v>32</v>
      </c>
      <c r="T65" s="31">
        <v>21860892.959226899</v>
      </c>
      <c r="U65" s="31">
        <v>801073.46999999986</v>
      </c>
      <c r="V65" s="31">
        <v>38753.72</v>
      </c>
      <c r="W65" s="31">
        <v>73965.959999999992</v>
      </c>
      <c r="X65" s="31">
        <v>2728682.9510913342</v>
      </c>
      <c r="Y65" s="31">
        <v>1411346.9354479986</v>
      </c>
      <c r="Z65" s="31">
        <v>1021359.5663604982</v>
      </c>
      <c r="AA65" s="31">
        <f t="shared" si="5"/>
        <v>28325844.012126729</v>
      </c>
      <c r="AB65" s="31">
        <v>389768.45000000007</v>
      </c>
      <c r="AD65" s="42" t="s">
        <v>475</v>
      </c>
      <c r="AE65" s="42" t="s">
        <v>476</v>
      </c>
      <c r="AF65" s="43" t="s">
        <v>1275</v>
      </c>
      <c r="AG65" s="44">
        <v>32</v>
      </c>
      <c r="AH65" s="31">
        <v>22340091.688196477</v>
      </c>
      <c r="AI65" s="31">
        <v>820286.23000000021</v>
      </c>
      <c r="AJ65" s="31">
        <v>39511.780000000006</v>
      </c>
      <c r="AK65" s="31">
        <v>75619.16</v>
      </c>
      <c r="AL65" s="31">
        <v>2777072.2815329661</v>
      </c>
      <c r="AM65" s="31">
        <v>1410942.3856230299</v>
      </c>
      <c r="AN65" s="31">
        <v>1041030.5028733569</v>
      </c>
      <c r="AO65" s="31">
        <f t="shared" si="6"/>
        <v>28901189.538225833</v>
      </c>
      <c r="AP65" s="31">
        <v>396635.51</v>
      </c>
      <c r="AR65" s="42" t="s">
        <v>475</v>
      </c>
      <c r="AS65" s="42" t="s">
        <v>476</v>
      </c>
      <c r="AT65" s="43" t="s">
        <v>1276</v>
      </c>
      <c r="AU65" s="44">
        <v>32</v>
      </c>
      <c r="AV65" s="31">
        <v>22894596.933687791</v>
      </c>
      <c r="AW65" s="31">
        <v>840090.9800000001</v>
      </c>
      <c r="AX65" s="31">
        <v>40233.310000000005</v>
      </c>
      <c r="AY65" s="31">
        <v>77420.239999999991</v>
      </c>
      <c r="AZ65" s="31">
        <v>2828935.1245134068</v>
      </c>
      <c r="BA65" s="31">
        <v>1411006.7637996499</v>
      </c>
      <c r="BB65" s="31">
        <v>1060224.7370827484</v>
      </c>
      <c r="BC65" s="31">
        <f t="shared" si="7"/>
        <v>29556498.209083594</v>
      </c>
      <c r="BD65" s="31">
        <v>403990.12</v>
      </c>
    </row>
    <row r="66" spans="2:56">
      <c r="B66" s="42" t="s">
        <v>373</v>
      </c>
      <c r="C66" s="42" t="s">
        <v>374</v>
      </c>
      <c r="D66" s="43" t="s">
        <v>1049</v>
      </c>
      <c r="E66" s="44">
        <v>32</v>
      </c>
      <c r="F66" s="31">
        <v>13003491.973829165</v>
      </c>
      <c r="G66" s="31">
        <v>168802.37</v>
      </c>
      <c r="H66" s="31">
        <v>121653.35</v>
      </c>
      <c r="I66" s="31">
        <v>43701.8</v>
      </c>
      <c r="J66" s="31">
        <v>1732082.9783211304</v>
      </c>
      <c r="K66" s="31">
        <v>1086389.496340974</v>
      </c>
      <c r="L66" s="31">
        <v>292066.31945842132</v>
      </c>
      <c r="M66" s="31">
        <f t="shared" si="4"/>
        <v>16448188.287949691</v>
      </c>
      <c r="N66" s="31">
        <v>0</v>
      </c>
      <c r="P66" s="42" t="s">
        <v>373</v>
      </c>
      <c r="Q66" s="42" t="s">
        <v>374</v>
      </c>
      <c r="R66" s="43" t="s">
        <v>1050</v>
      </c>
      <c r="S66" s="44">
        <v>32</v>
      </c>
      <c r="T66" s="31">
        <v>13866342.799196927</v>
      </c>
      <c r="U66" s="31">
        <v>181407.31</v>
      </c>
      <c r="V66" s="31">
        <v>126166.3</v>
      </c>
      <c r="W66" s="31">
        <v>46937.55</v>
      </c>
      <c r="X66" s="31">
        <v>1773997.8117454255</v>
      </c>
      <c r="Y66" s="31">
        <v>1087016.2234294927</v>
      </c>
      <c r="Z66" s="31">
        <v>302253.19765419682</v>
      </c>
      <c r="AA66" s="31">
        <f t="shared" si="5"/>
        <v>17384121.192026041</v>
      </c>
      <c r="AB66" s="31">
        <v>0</v>
      </c>
      <c r="AD66" s="42" t="s">
        <v>373</v>
      </c>
      <c r="AE66" s="42" t="s">
        <v>374</v>
      </c>
      <c r="AF66" s="43" t="s">
        <v>1275</v>
      </c>
      <c r="AG66" s="44">
        <v>32</v>
      </c>
      <c r="AH66" s="31">
        <v>14216891.085540339</v>
      </c>
      <c r="AI66" s="31">
        <v>185551.37000000002</v>
      </c>
      <c r="AJ66" s="31">
        <v>128639.56000000001</v>
      </c>
      <c r="AK66" s="31">
        <v>47975.270000000004</v>
      </c>
      <c r="AL66" s="31">
        <v>1812371.559173502</v>
      </c>
      <c r="AM66" s="31">
        <v>1086787.0327131047</v>
      </c>
      <c r="AN66" s="31">
        <v>308091.39021032077</v>
      </c>
      <c r="AO66" s="31">
        <f t="shared" si="6"/>
        <v>17786307.267637264</v>
      </c>
      <c r="AP66" s="31">
        <v>0</v>
      </c>
      <c r="AR66" s="42" t="s">
        <v>373</v>
      </c>
      <c r="AS66" s="42" t="s">
        <v>374</v>
      </c>
      <c r="AT66" s="43" t="s">
        <v>1276</v>
      </c>
      <c r="AU66" s="44">
        <v>32</v>
      </c>
      <c r="AV66" s="31">
        <v>14838583.414142087</v>
      </c>
      <c r="AW66" s="31">
        <v>192113.80000000002</v>
      </c>
      <c r="AX66" s="31">
        <v>131030.26000000001</v>
      </c>
      <c r="AY66" s="31">
        <v>49705.270000000004</v>
      </c>
      <c r="AZ66" s="31">
        <v>1859392.7412661153</v>
      </c>
      <c r="BA66" s="31">
        <v>1086822.6632804037</v>
      </c>
      <c r="BB66" s="31">
        <v>313842.82033252949</v>
      </c>
      <c r="BC66" s="31">
        <f t="shared" si="7"/>
        <v>18471490.969021138</v>
      </c>
      <c r="BD66" s="31">
        <v>0</v>
      </c>
    </row>
    <row r="67" spans="2:56">
      <c r="B67" s="42" t="s">
        <v>525</v>
      </c>
      <c r="C67" s="42" t="s">
        <v>526</v>
      </c>
      <c r="D67" s="43" t="s">
        <v>1049</v>
      </c>
      <c r="E67" s="44">
        <v>32</v>
      </c>
      <c r="F67" s="31">
        <v>369483.16628448508</v>
      </c>
      <c r="G67" s="31">
        <v>11011.02</v>
      </c>
      <c r="H67" s="31">
        <v>0</v>
      </c>
      <c r="I67" s="31">
        <v>0</v>
      </c>
      <c r="J67" s="31">
        <v>19542.514764255699</v>
      </c>
      <c r="K67" s="31">
        <v>93212.844263618346</v>
      </c>
      <c r="L67" s="31">
        <v>0</v>
      </c>
      <c r="M67" s="31">
        <f t="shared" si="4"/>
        <v>497244.70531235909</v>
      </c>
      <c r="N67" s="31">
        <v>3995.1600000000003</v>
      </c>
      <c r="P67" s="42" t="s">
        <v>525</v>
      </c>
      <c r="Q67" s="42" t="s">
        <v>526</v>
      </c>
      <c r="R67" s="43" t="s">
        <v>1050</v>
      </c>
      <c r="S67" s="44">
        <v>32</v>
      </c>
      <c r="T67" s="31">
        <v>403577.79744722479</v>
      </c>
      <c r="U67" s="31">
        <v>13006.850000000002</v>
      </c>
      <c r="V67" s="31">
        <v>0</v>
      </c>
      <c r="W67" s="31">
        <v>0</v>
      </c>
      <c r="X67" s="31">
        <v>20114.808867204378</v>
      </c>
      <c r="Y67" s="31">
        <v>93275.39228663173</v>
      </c>
      <c r="Z67" s="31">
        <v>0</v>
      </c>
      <c r="AA67" s="31">
        <f t="shared" si="5"/>
        <v>534068.20860106079</v>
      </c>
      <c r="AB67" s="31">
        <v>4093.36</v>
      </c>
      <c r="AD67" s="42" t="s">
        <v>525</v>
      </c>
      <c r="AE67" s="42" t="s">
        <v>526</v>
      </c>
      <c r="AF67" s="43" t="s">
        <v>1275</v>
      </c>
      <c r="AG67" s="44">
        <v>32</v>
      </c>
      <c r="AH67" s="31">
        <v>403100.58765174268</v>
      </c>
      <c r="AI67" s="31">
        <v>12547.080000000002</v>
      </c>
      <c r="AJ67" s="31">
        <v>0</v>
      </c>
      <c r="AK67" s="31">
        <v>0</v>
      </c>
      <c r="AL67" s="31">
        <v>20690.116276520792</v>
      </c>
      <c r="AM67" s="31">
        <v>93254.142899069629</v>
      </c>
      <c r="AN67" s="31">
        <v>0</v>
      </c>
      <c r="AO67" s="31">
        <f t="shared" si="6"/>
        <v>533757.40682733303</v>
      </c>
      <c r="AP67" s="31">
        <v>4165.4799999999996</v>
      </c>
      <c r="AR67" s="42" t="s">
        <v>525</v>
      </c>
      <c r="AS67" s="42" t="s">
        <v>526</v>
      </c>
      <c r="AT67" s="43" t="s">
        <v>1276</v>
      </c>
      <c r="AU67" s="44">
        <v>32</v>
      </c>
      <c r="AV67" s="31">
        <v>404131.03859088942</v>
      </c>
      <c r="AW67" s="31">
        <v>12144.71</v>
      </c>
      <c r="AX67" s="31">
        <v>0</v>
      </c>
      <c r="AY67" s="31">
        <v>0</v>
      </c>
      <c r="AZ67" s="31">
        <v>20674.529049680288</v>
      </c>
      <c r="BA67" s="31">
        <v>93257.524427724711</v>
      </c>
      <c r="BB67" s="31">
        <v>0</v>
      </c>
      <c r="BC67" s="31">
        <f t="shared" si="7"/>
        <v>534450.53206829447</v>
      </c>
      <c r="BD67" s="31">
        <v>4242.7299999999996</v>
      </c>
    </row>
    <row r="68" spans="2:56">
      <c r="B68" s="42" t="s">
        <v>469</v>
      </c>
      <c r="C68" s="42" t="s">
        <v>470</v>
      </c>
      <c r="D68" s="43" t="s">
        <v>1049</v>
      </c>
      <c r="E68" s="44">
        <v>32</v>
      </c>
      <c r="F68" s="31">
        <v>28946654.90689211</v>
      </c>
      <c r="G68" s="31">
        <v>1236916.33</v>
      </c>
      <c r="H68" s="31">
        <v>157477.07999999999</v>
      </c>
      <c r="I68" s="31">
        <v>101689.25</v>
      </c>
      <c r="J68" s="31">
        <v>4885557.0036764331</v>
      </c>
      <c r="K68" s="31">
        <v>2371052.8070992967</v>
      </c>
      <c r="L68" s="31">
        <v>2201703.5246145553</v>
      </c>
      <c r="M68" s="31">
        <f t="shared" si="4"/>
        <v>40461854.9122824</v>
      </c>
      <c r="N68" s="31">
        <v>560804.01</v>
      </c>
      <c r="P68" s="42" t="s">
        <v>469</v>
      </c>
      <c r="Q68" s="42" t="s">
        <v>470</v>
      </c>
      <c r="R68" s="43" t="s">
        <v>1050</v>
      </c>
      <c r="S68" s="44">
        <v>32</v>
      </c>
      <c r="T68" s="31">
        <v>32019969.35810655</v>
      </c>
      <c r="U68" s="31">
        <v>1358894.8800000001</v>
      </c>
      <c r="V68" s="31">
        <v>163467.75</v>
      </c>
      <c r="W68" s="31">
        <v>111107.8</v>
      </c>
      <c r="X68" s="31">
        <v>5047739.5541323293</v>
      </c>
      <c r="Y68" s="31">
        <v>2373582.3054574742</v>
      </c>
      <c r="Z68" s="31">
        <v>2302003.043186049</v>
      </c>
      <c r="AA68" s="31">
        <f t="shared" si="5"/>
        <v>43951417.940882392</v>
      </c>
      <c r="AB68" s="31">
        <v>574653.25</v>
      </c>
      <c r="AD68" s="42" t="s">
        <v>469</v>
      </c>
      <c r="AE68" s="42" t="s">
        <v>470</v>
      </c>
      <c r="AF68" s="43" t="s">
        <v>1275</v>
      </c>
      <c r="AG68" s="44">
        <v>32</v>
      </c>
      <c r="AH68" s="31">
        <v>32759607.172384407</v>
      </c>
      <c r="AI68" s="31">
        <v>1390307.44</v>
      </c>
      <c r="AJ68" s="31">
        <v>166667.28</v>
      </c>
      <c r="AK68" s="31">
        <v>113602.81</v>
      </c>
      <c r="AL68" s="31">
        <v>5146312.1317851022</v>
      </c>
      <c r="AM68" s="31">
        <v>2372722.9610951571</v>
      </c>
      <c r="AN68" s="31">
        <v>2346374.716054494</v>
      </c>
      <c r="AO68" s="31">
        <f t="shared" si="6"/>
        <v>44880417.061319157</v>
      </c>
      <c r="AP68" s="31">
        <v>584822.54999999993</v>
      </c>
      <c r="AR68" s="42" t="s">
        <v>469</v>
      </c>
      <c r="AS68" s="42" t="s">
        <v>470</v>
      </c>
      <c r="AT68" s="43" t="s">
        <v>1276</v>
      </c>
      <c r="AU68" s="44">
        <v>32</v>
      </c>
      <c r="AV68" s="31">
        <v>33631692.349373817</v>
      </c>
      <c r="AW68" s="31">
        <v>1420226.37</v>
      </c>
      <c r="AX68" s="31">
        <v>169725.62</v>
      </c>
      <c r="AY68" s="31">
        <v>116122.34</v>
      </c>
      <c r="AZ68" s="31">
        <v>5264179.3560843132</v>
      </c>
      <c r="BA68" s="31">
        <v>2372859.7131581176</v>
      </c>
      <c r="BB68" s="31">
        <v>2389752.3952541584</v>
      </c>
      <c r="BC68" s="31">
        <f t="shared" si="7"/>
        <v>45960272.023870409</v>
      </c>
      <c r="BD68" s="31">
        <v>595713.88</v>
      </c>
    </row>
    <row r="69" spans="2:56">
      <c r="B69" s="42" t="s">
        <v>587</v>
      </c>
      <c r="C69" s="42" t="s">
        <v>588</v>
      </c>
      <c r="D69" s="43" t="s">
        <v>1049</v>
      </c>
      <c r="E69" s="44">
        <v>32</v>
      </c>
      <c r="F69" s="31">
        <v>26517901.745412007</v>
      </c>
      <c r="G69" s="31">
        <v>1186949.9100000004</v>
      </c>
      <c r="H69" s="31">
        <v>538858.30999999994</v>
      </c>
      <c r="I69" s="31">
        <v>91401.279999999999</v>
      </c>
      <c r="J69" s="31">
        <v>3678180.6928263046</v>
      </c>
      <c r="K69" s="31">
        <v>1742989.5621444487</v>
      </c>
      <c r="L69" s="31">
        <v>1833932.1486166811</v>
      </c>
      <c r="M69" s="31">
        <f t="shared" ref="M69:M132" si="8">SUM(F69:L69,N69)</f>
        <v>36519719.848999441</v>
      </c>
      <c r="N69" s="31">
        <v>929506.2</v>
      </c>
      <c r="P69" s="42" t="s">
        <v>587</v>
      </c>
      <c r="Q69" s="42" t="s">
        <v>588</v>
      </c>
      <c r="R69" s="43" t="s">
        <v>1050</v>
      </c>
      <c r="S69" s="44">
        <v>32</v>
      </c>
      <c r="T69" s="31">
        <v>27418212.596357815</v>
      </c>
      <c r="U69" s="31">
        <v>1227868.3600000001</v>
      </c>
      <c r="V69" s="31">
        <v>559551.02</v>
      </c>
      <c r="W69" s="31">
        <v>93595.790000000008</v>
      </c>
      <c r="X69" s="31">
        <v>3803222.1048947452</v>
      </c>
      <c r="Y69" s="31">
        <v>1744401.8553134389</v>
      </c>
      <c r="Z69" s="31">
        <v>1917515.7117953396</v>
      </c>
      <c r="AA69" s="31">
        <f t="shared" ref="AA69:AA132" si="9">SUM(T69:Z69,AB69)</f>
        <v>37716724.308361337</v>
      </c>
      <c r="AB69" s="31">
        <v>952356.86999999988</v>
      </c>
      <c r="AD69" s="42" t="s">
        <v>587</v>
      </c>
      <c r="AE69" s="42" t="s">
        <v>588</v>
      </c>
      <c r="AF69" s="43" t="s">
        <v>1275</v>
      </c>
      <c r="AG69" s="44">
        <v>32</v>
      </c>
      <c r="AH69" s="31">
        <v>28096486.373520132</v>
      </c>
      <c r="AI69" s="31">
        <v>1259824.1099999999</v>
      </c>
      <c r="AJ69" s="31">
        <v>570496.54</v>
      </c>
      <c r="AK69" s="31">
        <v>95839.3</v>
      </c>
      <c r="AL69" s="31">
        <v>3874087.7285067723</v>
      </c>
      <c r="AM69" s="31">
        <v>1743922.0581359523</v>
      </c>
      <c r="AN69" s="31">
        <v>1954450.484928227</v>
      </c>
      <c r="AO69" s="31">
        <f t="shared" ref="AO69:AO132" si="10">SUM(AH69:AN69,AP69)</f>
        <v>38564242.385091081</v>
      </c>
      <c r="AP69" s="31">
        <v>969135.78999999992</v>
      </c>
      <c r="AR69" s="42" t="s">
        <v>587</v>
      </c>
      <c r="AS69" s="42" t="s">
        <v>588</v>
      </c>
      <c r="AT69" s="43" t="s">
        <v>1276</v>
      </c>
      <c r="AU69" s="44">
        <v>32</v>
      </c>
      <c r="AV69" s="31">
        <v>28826301.486668419</v>
      </c>
      <c r="AW69" s="31">
        <v>1291590.8500000001</v>
      </c>
      <c r="AX69" s="31">
        <v>580914.32999999996</v>
      </c>
      <c r="AY69" s="31">
        <v>98324.739999999991</v>
      </c>
      <c r="AZ69" s="31">
        <v>3945074.6103659403</v>
      </c>
      <c r="BA69" s="31">
        <v>1743998.4108260972</v>
      </c>
      <c r="BB69" s="31">
        <v>1990481.7064123494</v>
      </c>
      <c r="BC69" s="31">
        <f t="shared" ref="BC69:BC132" si="11">SUM(AV69:BB69,BD69)</f>
        <v>39463792.15427281</v>
      </c>
      <c r="BD69" s="31">
        <v>987106.02</v>
      </c>
    </row>
    <row r="70" spans="2:56">
      <c r="B70" s="42" t="s">
        <v>95</v>
      </c>
      <c r="C70" s="42" t="s">
        <v>96</v>
      </c>
      <c r="D70" s="43" t="s">
        <v>1049</v>
      </c>
      <c r="E70" s="44">
        <v>32</v>
      </c>
      <c r="F70" s="31">
        <v>46282008.110941365</v>
      </c>
      <c r="G70" s="31">
        <v>2122789.8800000004</v>
      </c>
      <c r="H70" s="31">
        <v>1668901.67</v>
      </c>
      <c r="I70" s="31">
        <v>163314.01</v>
      </c>
      <c r="J70" s="31">
        <v>6266505.0426672148</v>
      </c>
      <c r="K70" s="31">
        <v>1869628.0526013325</v>
      </c>
      <c r="L70" s="31">
        <v>4230067.2381449761</v>
      </c>
      <c r="M70" s="31">
        <f t="shared" si="8"/>
        <v>64130433.934354894</v>
      </c>
      <c r="N70" s="31">
        <v>1527219.9300000002</v>
      </c>
      <c r="P70" s="42" t="s">
        <v>95</v>
      </c>
      <c r="Q70" s="42" t="s">
        <v>96</v>
      </c>
      <c r="R70" s="43" t="s">
        <v>1050</v>
      </c>
      <c r="S70" s="44">
        <v>32</v>
      </c>
      <c r="T70" s="31">
        <v>48573988.817859918</v>
      </c>
      <c r="U70" s="31">
        <v>2235021.8500000006</v>
      </c>
      <c r="V70" s="31">
        <v>1732989.1700000002</v>
      </c>
      <c r="W70" s="31">
        <v>170394.90999999997</v>
      </c>
      <c r="X70" s="31">
        <v>6454714.6707237605</v>
      </c>
      <c r="Y70" s="31">
        <v>1871093.7923815828</v>
      </c>
      <c r="Z70" s="31">
        <v>4422991.4135906789</v>
      </c>
      <c r="AA70" s="31">
        <f t="shared" si="9"/>
        <v>67025959.204555936</v>
      </c>
      <c r="AB70" s="31">
        <v>1564764.5799999998</v>
      </c>
      <c r="AD70" s="42" t="s">
        <v>95</v>
      </c>
      <c r="AE70" s="42" t="s">
        <v>96</v>
      </c>
      <c r="AF70" s="43" t="s">
        <v>1275</v>
      </c>
      <c r="AG70" s="44">
        <v>32</v>
      </c>
      <c r="AH70" s="31">
        <v>49638961.959691577</v>
      </c>
      <c r="AI70" s="31">
        <v>2288797.1600000006</v>
      </c>
      <c r="AJ70" s="31">
        <v>1766888.6600000001</v>
      </c>
      <c r="AK70" s="31">
        <v>174243.89</v>
      </c>
      <c r="AL70" s="31">
        <v>6571319.6631908659</v>
      </c>
      <c r="AM70" s="31">
        <v>1870595.8378315393</v>
      </c>
      <c r="AN70" s="31">
        <v>4508186.3480649963</v>
      </c>
      <c r="AO70" s="31">
        <f t="shared" si="10"/>
        <v>68411326.608778983</v>
      </c>
      <c r="AP70" s="31">
        <v>1592333.0899999999</v>
      </c>
      <c r="AR70" s="42" t="s">
        <v>95</v>
      </c>
      <c r="AS70" s="42" t="s">
        <v>96</v>
      </c>
      <c r="AT70" s="43" t="s">
        <v>1276</v>
      </c>
      <c r="AU70" s="44">
        <v>32</v>
      </c>
      <c r="AV70" s="31">
        <v>50466135.176352292</v>
      </c>
      <c r="AW70" s="31">
        <v>2316698.1999999997</v>
      </c>
      <c r="AX70" s="31">
        <v>1799153.66</v>
      </c>
      <c r="AY70" s="31">
        <v>176375.26</v>
      </c>
      <c r="AZ70" s="31">
        <v>6720615.395203881</v>
      </c>
      <c r="BA70" s="31">
        <v>1870675.0800014597</v>
      </c>
      <c r="BB70" s="31">
        <v>4591297.2187682698</v>
      </c>
      <c r="BC70" s="31">
        <f t="shared" si="11"/>
        <v>69562808.960325897</v>
      </c>
      <c r="BD70" s="31">
        <v>1621858.9700000002</v>
      </c>
    </row>
    <row r="71" spans="2:56">
      <c r="B71" s="42" t="s">
        <v>241</v>
      </c>
      <c r="C71" s="42" t="s">
        <v>242</v>
      </c>
      <c r="D71" s="43" t="s">
        <v>1049</v>
      </c>
      <c r="E71" s="44">
        <v>32</v>
      </c>
      <c r="F71" s="31">
        <v>1942673.4093458413</v>
      </c>
      <c r="G71" s="31">
        <v>38587.31</v>
      </c>
      <c r="H71" s="31">
        <v>13934.31</v>
      </c>
      <c r="I71" s="31">
        <v>0</v>
      </c>
      <c r="J71" s="31">
        <v>95661.212467181642</v>
      </c>
      <c r="K71" s="31">
        <v>111636.73228081799</v>
      </c>
      <c r="L71" s="31">
        <v>0</v>
      </c>
      <c r="M71" s="31">
        <f t="shared" si="8"/>
        <v>2227048.554093841</v>
      </c>
      <c r="N71" s="31">
        <v>24555.579999999998</v>
      </c>
      <c r="P71" s="42" t="s">
        <v>241</v>
      </c>
      <c r="Q71" s="42" t="s">
        <v>242</v>
      </c>
      <c r="R71" s="43" t="s">
        <v>1050</v>
      </c>
      <c r="S71" s="44">
        <v>32</v>
      </c>
      <c r="T71" s="31">
        <v>2019327.9991745469</v>
      </c>
      <c r="U71" s="31">
        <v>43140.380000000005</v>
      </c>
      <c r="V71" s="31">
        <v>14469.42</v>
      </c>
      <c r="W71" s="31">
        <v>0</v>
      </c>
      <c r="X71" s="31">
        <v>101840.50531075054</v>
      </c>
      <c r="Y71" s="31">
        <v>111697.47970386884</v>
      </c>
      <c r="Z71" s="31">
        <v>0</v>
      </c>
      <c r="AA71" s="31">
        <f t="shared" si="9"/>
        <v>2315635.034189166</v>
      </c>
      <c r="AB71" s="31">
        <v>25159.249999999996</v>
      </c>
      <c r="AD71" s="42" t="s">
        <v>241</v>
      </c>
      <c r="AE71" s="42" t="s">
        <v>242</v>
      </c>
      <c r="AF71" s="43" t="s">
        <v>1275</v>
      </c>
      <c r="AG71" s="44">
        <v>32</v>
      </c>
      <c r="AH71" s="31">
        <v>2055255.3765878922</v>
      </c>
      <c r="AI71" s="31">
        <v>44033.130000000005</v>
      </c>
      <c r="AJ71" s="31">
        <v>14752.44</v>
      </c>
      <c r="AK71" s="31">
        <v>0</v>
      </c>
      <c r="AL71" s="31">
        <v>104883.76502501877</v>
      </c>
      <c r="AM71" s="31">
        <v>111676.84203262655</v>
      </c>
      <c r="AN71" s="31">
        <v>0</v>
      </c>
      <c r="AO71" s="31">
        <f t="shared" si="10"/>
        <v>2356204.0636455375</v>
      </c>
      <c r="AP71" s="31">
        <v>25602.51</v>
      </c>
      <c r="AR71" s="42" t="s">
        <v>241</v>
      </c>
      <c r="AS71" s="42" t="s">
        <v>242</v>
      </c>
      <c r="AT71" s="43" t="s">
        <v>1276</v>
      </c>
      <c r="AU71" s="44">
        <v>32</v>
      </c>
      <c r="AV71" s="31">
        <v>2093243.4601138006</v>
      </c>
      <c r="AW71" s="31">
        <v>44830.020000000019</v>
      </c>
      <c r="AX71" s="31">
        <v>15021.84</v>
      </c>
      <c r="AY71" s="31">
        <v>0</v>
      </c>
      <c r="AZ71" s="31">
        <v>106450.90886147058</v>
      </c>
      <c r="BA71" s="31">
        <v>111680.12621559303</v>
      </c>
      <c r="BB71" s="31">
        <v>0</v>
      </c>
      <c r="BC71" s="31">
        <f t="shared" si="11"/>
        <v>2397303.5951908641</v>
      </c>
      <c r="BD71" s="31">
        <v>26077.239999999994</v>
      </c>
    </row>
    <row r="72" spans="2:56">
      <c r="B72" s="42" t="s">
        <v>385</v>
      </c>
      <c r="C72" s="42" t="s">
        <v>386</v>
      </c>
      <c r="D72" s="43" t="s">
        <v>1049</v>
      </c>
      <c r="E72" s="44">
        <v>32</v>
      </c>
      <c r="F72" s="31">
        <v>15300877.206247209</v>
      </c>
      <c r="G72" s="31">
        <v>497640.00999999989</v>
      </c>
      <c r="H72" s="31">
        <v>0</v>
      </c>
      <c r="I72" s="31">
        <v>53496.069999999992</v>
      </c>
      <c r="J72" s="31">
        <v>2074772.7654096165</v>
      </c>
      <c r="K72" s="31">
        <v>1335744.2156340177</v>
      </c>
      <c r="L72" s="31">
        <v>1395185.6444581565</v>
      </c>
      <c r="M72" s="31">
        <f t="shared" si="8"/>
        <v>20714914.791748997</v>
      </c>
      <c r="N72" s="31">
        <v>57198.879999999997</v>
      </c>
      <c r="P72" s="42" t="s">
        <v>385</v>
      </c>
      <c r="Q72" s="42" t="s">
        <v>386</v>
      </c>
      <c r="R72" s="43" t="s">
        <v>1050</v>
      </c>
      <c r="S72" s="44">
        <v>32</v>
      </c>
      <c r="T72" s="31">
        <v>15466674.329348514</v>
      </c>
      <c r="U72" s="31">
        <v>508028.87999999995</v>
      </c>
      <c r="V72" s="31">
        <v>0</v>
      </c>
      <c r="W72" s="31">
        <v>54538.520000000004</v>
      </c>
      <c r="X72" s="31">
        <v>2130843.8909605336</v>
      </c>
      <c r="Y72" s="31">
        <v>1337380.0730324832</v>
      </c>
      <c r="Z72" s="31">
        <v>1444898.0150523051</v>
      </c>
      <c r="AA72" s="31">
        <f t="shared" si="9"/>
        <v>21000968.748393834</v>
      </c>
      <c r="AB72" s="31">
        <v>58605.04</v>
      </c>
      <c r="AD72" s="42" t="s">
        <v>385</v>
      </c>
      <c r="AE72" s="42" t="s">
        <v>386</v>
      </c>
      <c r="AF72" s="43" t="s">
        <v>1275</v>
      </c>
      <c r="AG72" s="44">
        <v>32</v>
      </c>
      <c r="AH72" s="31">
        <v>15934426.457849141</v>
      </c>
      <c r="AI72" s="31">
        <v>523960.8</v>
      </c>
      <c r="AJ72" s="31">
        <v>0</v>
      </c>
      <c r="AK72" s="31">
        <v>56224.350000000006</v>
      </c>
      <c r="AL72" s="31">
        <v>2167831.8228160911</v>
      </c>
      <c r="AM72" s="31">
        <v>1336824.3245662383</v>
      </c>
      <c r="AN72" s="31">
        <v>1472725.9421920767</v>
      </c>
      <c r="AO72" s="31">
        <f t="shared" si="10"/>
        <v>21551631.257423546</v>
      </c>
      <c r="AP72" s="31">
        <v>59637.560000000005</v>
      </c>
      <c r="AR72" s="42" t="s">
        <v>385</v>
      </c>
      <c r="AS72" s="42" t="s">
        <v>386</v>
      </c>
      <c r="AT72" s="43" t="s">
        <v>1276</v>
      </c>
      <c r="AU72" s="44">
        <v>32</v>
      </c>
      <c r="AV72" s="31">
        <v>16464062.54012667</v>
      </c>
      <c r="AW72" s="31">
        <v>539604.78999999992</v>
      </c>
      <c r="AX72" s="31">
        <v>0</v>
      </c>
      <c r="AY72" s="31">
        <v>57881.349999999991</v>
      </c>
      <c r="AZ72" s="31">
        <v>2211912.0356527623</v>
      </c>
      <c r="BA72" s="31">
        <v>1336912.7637910456</v>
      </c>
      <c r="BB72" s="31">
        <v>1499879.3654659321</v>
      </c>
      <c r="BC72" s="31">
        <f t="shared" si="11"/>
        <v>22170996.23503641</v>
      </c>
      <c r="BD72" s="31">
        <v>60743.390000000007</v>
      </c>
    </row>
    <row r="73" spans="2:56">
      <c r="B73" s="42" t="s">
        <v>429</v>
      </c>
      <c r="C73" s="42" t="s">
        <v>430</v>
      </c>
      <c r="D73" s="43" t="s">
        <v>1049</v>
      </c>
      <c r="E73" s="44">
        <v>32</v>
      </c>
      <c r="F73" s="31">
        <v>185721688.43698636</v>
      </c>
      <c r="G73" s="31">
        <v>5310638.2899999991</v>
      </c>
      <c r="H73" s="31">
        <v>5891161.1700000009</v>
      </c>
      <c r="I73" s="31">
        <v>652114.32000000007</v>
      </c>
      <c r="J73" s="31">
        <v>29526751.608861737</v>
      </c>
      <c r="K73" s="31">
        <v>15254384.123382561</v>
      </c>
      <c r="L73" s="31">
        <v>10414177.156155415</v>
      </c>
      <c r="M73" s="31">
        <f t="shared" si="8"/>
        <v>253508848.78538606</v>
      </c>
      <c r="N73" s="31">
        <v>737933.68000000017</v>
      </c>
      <c r="P73" s="42" t="s">
        <v>429</v>
      </c>
      <c r="Q73" s="42" t="s">
        <v>430</v>
      </c>
      <c r="R73" s="43" t="s">
        <v>1050</v>
      </c>
      <c r="S73" s="44">
        <v>32</v>
      </c>
      <c r="T73" s="31">
        <v>199584575.36205262</v>
      </c>
      <c r="U73" s="31">
        <v>5708081.7200000007</v>
      </c>
      <c r="V73" s="31">
        <v>6108875.3999999985</v>
      </c>
      <c r="W73" s="31">
        <v>699749.64999999991</v>
      </c>
      <c r="X73" s="31">
        <v>30493121.489358384</v>
      </c>
      <c r="Y73" s="31">
        <v>15267296.658523019</v>
      </c>
      <c r="Z73" s="31">
        <v>10776012.278303323</v>
      </c>
      <c r="AA73" s="31">
        <f t="shared" si="9"/>
        <v>269394118.64823735</v>
      </c>
      <c r="AB73" s="31">
        <v>756406.09000000008</v>
      </c>
      <c r="AD73" s="42" t="s">
        <v>429</v>
      </c>
      <c r="AE73" s="42" t="s">
        <v>430</v>
      </c>
      <c r="AF73" s="43" t="s">
        <v>1275</v>
      </c>
      <c r="AG73" s="44">
        <v>32</v>
      </c>
      <c r="AH73" s="31">
        <v>207290542.75004923</v>
      </c>
      <c r="AI73" s="31">
        <v>5921557.6499999994</v>
      </c>
      <c r="AJ73" s="31">
        <v>6228655.7199999997</v>
      </c>
      <c r="AK73" s="31">
        <v>725886.53</v>
      </c>
      <c r="AL73" s="31">
        <v>31087801.989456926</v>
      </c>
      <c r="AM73" s="31">
        <v>15262416.687115045</v>
      </c>
      <c r="AN73" s="31">
        <v>10984244.646238388</v>
      </c>
      <c r="AO73" s="31">
        <f t="shared" si="10"/>
        <v>278271076.10285962</v>
      </c>
      <c r="AP73" s="31">
        <v>769970.13000000012</v>
      </c>
      <c r="AR73" s="42" t="s">
        <v>429</v>
      </c>
      <c r="AS73" s="42" t="s">
        <v>430</v>
      </c>
      <c r="AT73" s="43" t="s">
        <v>1276</v>
      </c>
      <c r="AU73" s="44">
        <v>32</v>
      </c>
      <c r="AV73" s="31">
        <v>213265403.19313321</v>
      </c>
      <c r="AW73" s="31">
        <v>6070295.9899999993</v>
      </c>
      <c r="AX73" s="31">
        <v>6344630.0200000005</v>
      </c>
      <c r="AY73" s="31">
        <v>744145.04999999993</v>
      </c>
      <c r="AZ73" s="31">
        <v>31765497.385002568</v>
      </c>
      <c r="BA73" s="31">
        <v>15263167.750668004</v>
      </c>
      <c r="BB73" s="31">
        <v>11189725.180707039</v>
      </c>
      <c r="BC73" s="31">
        <f t="shared" si="11"/>
        <v>285427361.76951081</v>
      </c>
      <c r="BD73" s="31">
        <v>784497.20000000007</v>
      </c>
    </row>
    <row r="74" spans="2:56">
      <c r="B74" s="42" t="s">
        <v>245</v>
      </c>
      <c r="C74" s="42" t="s">
        <v>246</v>
      </c>
      <c r="D74" s="43" t="s">
        <v>1049</v>
      </c>
      <c r="E74" s="44">
        <v>32</v>
      </c>
      <c r="F74" s="31">
        <v>25992264.91705076</v>
      </c>
      <c r="G74" s="31">
        <v>820467.8</v>
      </c>
      <c r="H74" s="31">
        <v>337541.61</v>
      </c>
      <c r="I74" s="31">
        <v>90719.19</v>
      </c>
      <c r="J74" s="31">
        <v>3664280.1141184592</v>
      </c>
      <c r="K74" s="31">
        <v>1688808.6694923157</v>
      </c>
      <c r="L74" s="31">
        <v>2015605.3236128404</v>
      </c>
      <c r="M74" s="31">
        <f t="shared" si="8"/>
        <v>34761990.614274383</v>
      </c>
      <c r="N74" s="31">
        <v>152302.99</v>
      </c>
      <c r="P74" s="42" t="s">
        <v>245</v>
      </c>
      <c r="Q74" s="42" t="s">
        <v>246</v>
      </c>
      <c r="R74" s="43" t="s">
        <v>1050</v>
      </c>
      <c r="S74" s="44">
        <v>32</v>
      </c>
      <c r="T74" s="31">
        <v>26730411.082825419</v>
      </c>
      <c r="U74" s="31">
        <v>847198.45</v>
      </c>
      <c r="V74" s="31">
        <v>350503.57</v>
      </c>
      <c r="W74" s="31">
        <v>93393.42</v>
      </c>
      <c r="X74" s="31">
        <v>3780298.7926998711</v>
      </c>
      <c r="Y74" s="31">
        <v>1690050.1130480126</v>
      </c>
      <c r="Z74" s="31">
        <v>2087424.0208822975</v>
      </c>
      <c r="AA74" s="31">
        <f t="shared" si="9"/>
        <v>35735326.6094556</v>
      </c>
      <c r="AB74" s="31">
        <v>156047.15999999997</v>
      </c>
      <c r="AD74" s="42" t="s">
        <v>245</v>
      </c>
      <c r="AE74" s="42" t="s">
        <v>246</v>
      </c>
      <c r="AF74" s="43" t="s">
        <v>1275</v>
      </c>
      <c r="AG74" s="44">
        <v>32</v>
      </c>
      <c r="AH74" s="31">
        <v>27230402.243221313</v>
      </c>
      <c r="AI74" s="31">
        <v>862217.01</v>
      </c>
      <c r="AJ74" s="31">
        <v>357359.86000000004</v>
      </c>
      <c r="AK74" s="31">
        <v>95014.000000000015</v>
      </c>
      <c r="AL74" s="31">
        <v>3857193.6504596118</v>
      </c>
      <c r="AM74" s="31">
        <v>1689628.3584668031</v>
      </c>
      <c r="AN74" s="31">
        <v>2127626.7428723839</v>
      </c>
      <c r="AO74" s="31">
        <f t="shared" si="10"/>
        <v>36378238.305020116</v>
      </c>
      <c r="AP74" s="31">
        <v>158796.44</v>
      </c>
      <c r="AR74" s="42" t="s">
        <v>245</v>
      </c>
      <c r="AS74" s="42" t="s">
        <v>246</v>
      </c>
      <c r="AT74" s="43" t="s">
        <v>1276</v>
      </c>
      <c r="AU74" s="44">
        <v>32</v>
      </c>
      <c r="AV74" s="31">
        <v>27757456.968554709</v>
      </c>
      <c r="AW74" s="31">
        <v>877917.15999999992</v>
      </c>
      <c r="AX74" s="31">
        <v>363885.58</v>
      </c>
      <c r="AY74" s="31">
        <v>96749.040000000008</v>
      </c>
      <c r="AZ74" s="31">
        <v>3931312.1597419013</v>
      </c>
      <c r="BA74" s="31">
        <v>1689695.474528271</v>
      </c>
      <c r="BB74" s="31">
        <v>2166855.0710017653</v>
      </c>
      <c r="BC74" s="31">
        <f t="shared" si="11"/>
        <v>37045612.383826643</v>
      </c>
      <c r="BD74" s="31">
        <v>161740.93</v>
      </c>
    </row>
    <row r="75" spans="2:56">
      <c r="B75" s="42" t="s">
        <v>151</v>
      </c>
      <c r="C75" s="42" t="s">
        <v>152</v>
      </c>
      <c r="D75" s="43" t="s">
        <v>1049</v>
      </c>
      <c r="E75" s="44">
        <v>32</v>
      </c>
      <c r="F75" s="31">
        <v>11631235.059165977</v>
      </c>
      <c r="G75" s="31">
        <v>776994.50999999978</v>
      </c>
      <c r="H75" s="31">
        <v>193189.36</v>
      </c>
      <c r="I75" s="31">
        <v>45296.100000000006</v>
      </c>
      <c r="J75" s="31">
        <v>2034711.3325883052</v>
      </c>
      <c r="K75" s="31">
        <v>959356.70389505685</v>
      </c>
      <c r="L75" s="31">
        <v>2374789.8208077531</v>
      </c>
      <c r="M75" s="31">
        <f t="shared" si="8"/>
        <v>18477512.366457094</v>
      </c>
      <c r="N75" s="31">
        <v>461939.48000000004</v>
      </c>
      <c r="P75" s="42" t="s">
        <v>151</v>
      </c>
      <c r="Q75" s="42" t="s">
        <v>152</v>
      </c>
      <c r="R75" s="43" t="s">
        <v>1050</v>
      </c>
      <c r="S75" s="44">
        <v>32</v>
      </c>
      <c r="T75" s="31">
        <v>12801691.115177123</v>
      </c>
      <c r="U75" s="31">
        <v>851778.28</v>
      </c>
      <c r="V75" s="31">
        <v>200538.59999999998</v>
      </c>
      <c r="W75" s="31">
        <v>49323.09</v>
      </c>
      <c r="X75" s="31">
        <v>2090683.9145596698</v>
      </c>
      <c r="Y75" s="31">
        <v>960289.01087326766</v>
      </c>
      <c r="Z75" s="31">
        <v>2482903.8717872575</v>
      </c>
      <c r="AA75" s="31">
        <f t="shared" si="9"/>
        <v>19910555.122397315</v>
      </c>
      <c r="AB75" s="31">
        <v>473347.24000000005</v>
      </c>
      <c r="AD75" s="42" t="s">
        <v>151</v>
      </c>
      <c r="AE75" s="42" t="s">
        <v>152</v>
      </c>
      <c r="AF75" s="43" t="s">
        <v>1275</v>
      </c>
      <c r="AG75" s="44">
        <v>32</v>
      </c>
      <c r="AH75" s="31">
        <v>13165681.070479527</v>
      </c>
      <c r="AI75" s="31">
        <v>876705.24000000022</v>
      </c>
      <c r="AJ75" s="31">
        <v>204463.7</v>
      </c>
      <c r="AK75" s="31">
        <v>50715.55000000001</v>
      </c>
      <c r="AL75" s="31">
        <v>2127739.1880849656</v>
      </c>
      <c r="AM75" s="31">
        <v>959972.27900305938</v>
      </c>
      <c r="AN75" s="31">
        <v>2530762.3685724242</v>
      </c>
      <c r="AO75" s="31">
        <f t="shared" si="10"/>
        <v>20397763.176139977</v>
      </c>
      <c r="AP75" s="31">
        <v>481723.78</v>
      </c>
      <c r="AR75" s="42" t="s">
        <v>151</v>
      </c>
      <c r="AS75" s="42" t="s">
        <v>152</v>
      </c>
      <c r="AT75" s="43" t="s">
        <v>1276</v>
      </c>
      <c r="AU75" s="44">
        <v>32</v>
      </c>
      <c r="AV75" s="31">
        <v>13529075.809883367</v>
      </c>
      <c r="AW75" s="31">
        <v>900163.44</v>
      </c>
      <c r="AX75" s="31">
        <v>208215.62</v>
      </c>
      <c r="AY75" s="31">
        <v>52081.06</v>
      </c>
      <c r="AZ75" s="31">
        <v>2165318.7143577761</v>
      </c>
      <c r="BA75" s="31">
        <v>960022.68223900942</v>
      </c>
      <c r="BB75" s="31">
        <v>2577548.7384641776</v>
      </c>
      <c r="BC75" s="31">
        <f t="shared" si="11"/>
        <v>20883121.134944331</v>
      </c>
      <c r="BD75" s="31">
        <v>490695.07000000007</v>
      </c>
    </row>
    <row r="76" spans="2:56">
      <c r="B76" s="42" t="s">
        <v>573</v>
      </c>
      <c r="C76" s="42" t="s">
        <v>574</v>
      </c>
      <c r="D76" s="43" t="s">
        <v>1049</v>
      </c>
      <c r="E76" s="44">
        <v>32</v>
      </c>
      <c r="F76" s="31">
        <v>1921468.314020202</v>
      </c>
      <c r="G76" s="31">
        <v>27576.280000000002</v>
      </c>
      <c r="H76" s="31">
        <v>0</v>
      </c>
      <c r="I76" s="31">
        <v>2046.29</v>
      </c>
      <c r="J76" s="31">
        <v>90213.333926510473</v>
      </c>
      <c r="K76" s="31">
        <v>230809.1144059161</v>
      </c>
      <c r="L76" s="31">
        <v>0</v>
      </c>
      <c r="M76" s="31">
        <f t="shared" si="8"/>
        <v>2295012.3823526287</v>
      </c>
      <c r="N76" s="31">
        <v>22899.05</v>
      </c>
      <c r="P76" s="42" t="s">
        <v>573</v>
      </c>
      <c r="Q76" s="42" t="s">
        <v>574</v>
      </c>
      <c r="R76" s="43" t="s">
        <v>1050</v>
      </c>
      <c r="S76" s="44">
        <v>32</v>
      </c>
      <c r="T76" s="31">
        <v>1988272.1909328722</v>
      </c>
      <c r="U76" s="31">
        <v>31076.520000000004</v>
      </c>
      <c r="V76" s="31">
        <v>0</v>
      </c>
      <c r="W76" s="31">
        <v>2327.2400000000002</v>
      </c>
      <c r="X76" s="31">
        <v>94677.563387661154</v>
      </c>
      <c r="Y76" s="31">
        <v>231044.99920605411</v>
      </c>
      <c r="Z76" s="31">
        <v>0</v>
      </c>
      <c r="AA76" s="31">
        <f t="shared" si="9"/>
        <v>2370860.5135265873</v>
      </c>
      <c r="AB76" s="31">
        <v>23462</v>
      </c>
      <c r="AD76" s="42" t="s">
        <v>573</v>
      </c>
      <c r="AE76" s="42" t="s">
        <v>574</v>
      </c>
      <c r="AF76" s="43" t="s">
        <v>1275</v>
      </c>
      <c r="AG76" s="44">
        <v>32</v>
      </c>
      <c r="AH76" s="31">
        <v>2026258.1209298861</v>
      </c>
      <c r="AI76" s="31">
        <v>31730.010000000006</v>
      </c>
      <c r="AJ76" s="31">
        <v>0</v>
      </c>
      <c r="AK76" s="31">
        <v>2372.7799999999997</v>
      </c>
      <c r="AL76" s="31">
        <v>96491.718657162884</v>
      </c>
      <c r="AM76" s="31">
        <v>230964.86226012587</v>
      </c>
      <c r="AN76" s="31">
        <v>0</v>
      </c>
      <c r="AO76" s="31">
        <f t="shared" si="10"/>
        <v>2411692.851847175</v>
      </c>
      <c r="AP76" s="31">
        <v>23875.359999999997</v>
      </c>
      <c r="AR76" s="42" t="s">
        <v>573</v>
      </c>
      <c r="AS76" s="42" t="s">
        <v>574</v>
      </c>
      <c r="AT76" s="43" t="s">
        <v>1276</v>
      </c>
      <c r="AU76" s="44">
        <v>32</v>
      </c>
      <c r="AV76" s="31">
        <v>2068700.1985292991</v>
      </c>
      <c r="AW76" s="31">
        <v>33038.030000000006</v>
      </c>
      <c r="AX76" s="31">
        <v>0</v>
      </c>
      <c r="AY76" s="31">
        <v>2521.1499999999996</v>
      </c>
      <c r="AZ76" s="31">
        <v>96924.717741156681</v>
      </c>
      <c r="BA76" s="31">
        <v>230977.61488079291</v>
      </c>
      <c r="BB76" s="31">
        <v>0</v>
      </c>
      <c r="BC76" s="31">
        <f t="shared" si="11"/>
        <v>2456479.7811512481</v>
      </c>
      <c r="BD76" s="31">
        <v>24318.07</v>
      </c>
    </row>
    <row r="77" spans="2:56">
      <c r="B77" s="42" t="s">
        <v>33</v>
      </c>
      <c r="C77" s="42" t="s">
        <v>34</v>
      </c>
      <c r="D77" s="43" t="s">
        <v>1049</v>
      </c>
      <c r="E77" s="44">
        <v>32</v>
      </c>
      <c r="F77" s="31">
        <v>3663482.0130399093</v>
      </c>
      <c r="G77" s="31">
        <v>130743.31000000001</v>
      </c>
      <c r="H77" s="31">
        <v>81512.800000000003</v>
      </c>
      <c r="I77" s="31">
        <v>9079.41</v>
      </c>
      <c r="J77" s="31">
        <v>352259.71179496264</v>
      </c>
      <c r="K77" s="31">
        <v>261053.69399201623</v>
      </c>
      <c r="L77" s="31">
        <v>0</v>
      </c>
      <c r="M77" s="31">
        <f t="shared" si="8"/>
        <v>4590740.7788268877</v>
      </c>
      <c r="N77" s="31">
        <v>92609.839999999982</v>
      </c>
      <c r="P77" s="42" t="s">
        <v>33</v>
      </c>
      <c r="Q77" s="42" t="s">
        <v>34</v>
      </c>
      <c r="R77" s="43" t="s">
        <v>1050</v>
      </c>
      <c r="S77" s="44">
        <v>32</v>
      </c>
      <c r="T77" s="31">
        <v>3695229.1529365489</v>
      </c>
      <c r="U77" s="31">
        <v>132450.02999999997</v>
      </c>
      <c r="V77" s="31">
        <v>84613.680000000008</v>
      </c>
      <c r="W77" s="31">
        <v>9110.6299999999992</v>
      </c>
      <c r="X77" s="31">
        <v>357118.88921586488</v>
      </c>
      <c r="Y77" s="31">
        <v>261228.83385550528</v>
      </c>
      <c r="Z77" s="31">
        <v>0</v>
      </c>
      <c r="AA77" s="31">
        <f t="shared" si="9"/>
        <v>4634648.0860079192</v>
      </c>
      <c r="AB77" s="31">
        <v>94896.87</v>
      </c>
      <c r="AD77" s="42" t="s">
        <v>33</v>
      </c>
      <c r="AE77" s="42" t="s">
        <v>34</v>
      </c>
      <c r="AF77" s="43" t="s">
        <v>1275</v>
      </c>
      <c r="AG77" s="44">
        <v>32</v>
      </c>
      <c r="AH77" s="31">
        <v>3732745.9814778939</v>
      </c>
      <c r="AI77" s="31">
        <v>136074.66000000003</v>
      </c>
      <c r="AJ77" s="31">
        <v>86269.809999999983</v>
      </c>
      <c r="AK77" s="31">
        <v>9395.7199999999993</v>
      </c>
      <c r="AL77" s="31">
        <v>365819.89504494361</v>
      </c>
      <c r="AM77" s="31">
        <v>261169.3337361161</v>
      </c>
      <c r="AN77" s="31">
        <v>0</v>
      </c>
      <c r="AO77" s="31">
        <f t="shared" si="10"/>
        <v>4688051.6002589539</v>
      </c>
      <c r="AP77" s="31">
        <v>96576.199999999983</v>
      </c>
      <c r="AR77" s="42" t="s">
        <v>33</v>
      </c>
      <c r="AS77" s="42" t="s">
        <v>34</v>
      </c>
      <c r="AT77" s="43" t="s">
        <v>1276</v>
      </c>
      <c r="AU77" s="44">
        <v>32</v>
      </c>
      <c r="AV77" s="31">
        <v>3816055.4064660519</v>
      </c>
      <c r="AW77" s="31">
        <v>141698.37</v>
      </c>
      <c r="AX77" s="31">
        <v>87852.859999999986</v>
      </c>
      <c r="AY77" s="31">
        <v>9785.590000000002</v>
      </c>
      <c r="AZ77" s="31">
        <v>368740.66712182388</v>
      </c>
      <c r="BA77" s="31">
        <v>261178.80230823881</v>
      </c>
      <c r="BB77" s="31">
        <v>0</v>
      </c>
      <c r="BC77" s="31">
        <f t="shared" si="11"/>
        <v>4783686.4658961147</v>
      </c>
      <c r="BD77" s="31">
        <v>98374.77</v>
      </c>
    </row>
    <row r="78" spans="2:56">
      <c r="B78" s="42" t="s">
        <v>187</v>
      </c>
      <c r="C78" s="42" t="s">
        <v>188</v>
      </c>
      <c r="D78" s="43" t="s">
        <v>1049</v>
      </c>
      <c r="E78" s="44">
        <v>32</v>
      </c>
      <c r="F78" s="31">
        <v>35141045.180763036</v>
      </c>
      <c r="G78" s="31">
        <v>866251.91999999993</v>
      </c>
      <c r="H78" s="31">
        <v>0</v>
      </c>
      <c r="I78" s="31">
        <v>130771.78</v>
      </c>
      <c r="J78" s="31">
        <v>6024407.9697946459</v>
      </c>
      <c r="K78" s="31">
        <v>2372290.0740763433</v>
      </c>
      <c r="L78" s="31">
        <v>4353161.6509491326</v>
      </c>
      <c r="M78" s="31">
        <f t="shared" si="8"/>
        <v>48891153.39558316</v>
      </c>
      <c r="N78" s="31">
        <v>3224.8199999999997</v>
      </c>
      <c r="P78" s="42" t="s">
        <v>187</v>
      </c>
      <c r="Q78" s="42" t="s">
        <v>188</v>
      </c>
      <c r="R78" s="43" t="s">
        <v>1050</v>
      </c>
      <c r="S78" s="44">
        <v>32</v>
      </c>
      <c r="T78" s="31">
        <v>39537874.224828213</v>
      </c>
      <c r="U78" s="31">
        <v>965199.67999999982</v>
      </c>
      <c r="V78" s="31">
        <v>0</v>
      </c>
      <c r="W78" s="31">
        <v>145771.66</v>
      </c>
      <c r="X78" s="31">
        <v>6236624.6276952783</v>
      </c>
      <c r="Y78" s="31">
        <v>2374579.3628561231</v>
      </c>
      <c r="Z78" s="31">
        <v>4504993.2803695854</v>
      </c>
      <c r="AA78" s="31">
        <f t="shared" si="9"/>
        <v>53768348.24574919</v>
      </c>
      <c r="AB78" s="31">
        <v>3305.4099999999994</v>
      </c>
      <c r="AD78" s="42" t="s">
        <v>187</v>
      </c>
      <c r="AE78" s="42" t="s">
        <v>188</v>
      </c>
      <c r="AF78" s="43" t="s">
        <v>1275</v>
      </c>
      <c r="AG78" s="44">
        <v>32</v>
      </c>
      <c r="AH78" s="31">
        <v>42699635.936198056</v>
      </c>
      <c r="AI78" s="31">
        <v>1036334.58</v>
      </c>
      <c r="AJ78" s="31">
        <v>0</v>
      </c>
      <c r="AK78" s="31">
        <v>156507.53999999995</v>
      </c>
      <c r="AL78" s="31">
        <v>6358924.3086123308</v>
      </c>
      <c r="AM78" s="31">
        <v>2373742.182295288</v>
      </c>
      <c r="AN78" s="31">
        <v>4592009.2931272537</v>
      </c>
      <c r="AO78" s="31">
        <f t="shared" si="10"/>
        <v>57220518.410232924</v>
      </c>
      <c r="AP78" s="31">
        <v>3364.5699999999997</v>
      </c>
      <c r="AR78" s="42" t="s">
        <v>187</v>
      </c>
      <c r="AS78" s="42" t="s">
        <v>188</v>
      </c>
      <c r="AT78" s="43" t="s">
        <v>1276</v>
      </c>
      <c r="AU78" s="44">
        <v>32</v>
      </c>
      <c r="AV78" s="31">
        <v>45767360.886948988</v>
      </c>
      <c r="AW78" s="31">
        <v>1103023.1100000001</v>
      </c>
      <c r="AX78" s="31">
        <v>0</v>
      </c>
      <c r="AY78" s="31">
        <v>166602.44999999998</v>
      </c>
      <c r="AZ78" s="31">
        <v>6494350.6607131204</v>
      </c>
      <c r="BA78" s="31">
        <v>2373872.3324985085</v>
      </c>
      <c r="BB78" s="31">
        <v>4677732.1375486357</v>
      </c>
      <c r="BC78" s="31">
        <f t="shared" si="11"/>
        <v>60586369.527709253</v>
      </c>
      <c r="BD78" s="31">
        <v>3427.95</v>
      </c>
    </row>
    <row r="79" spans="2:56">
      <c r="B79" s="42" t="s">
        <v>135</v>
      </c>
      <c r="C79" s="42" t="s">
        <v>136</v>
      </c>
      <c r="D79" s="43" t="s">
        <v>1049</v>
      </c>
      <c r="E79" s="44">
        <v>32</v>
      </c>
      <c r="F79" s="31">
        <v>20703260.699231572</v>
      </c>
      <c r="G79" s="31">
        <v>933361.89000000013</v>
      </c>
      <c r="H79" s="31">
        <v>616793.62</v>
      </c>
      <c r="I79" s="31">
        <v>0</v>
      </c>
      <c r="J79" s="31">
        <v>3175990.3474239316</v>
      </c>
      <c r="K79" s="31">
        <v>1478563.1427322172</v>
      </c>
      <c r="L79" s="31">
        <v>2230982.4502273002</v>
      </c>
      <c r="M79" s="31">
        <f t="shared" si="8"/>
        <v>29665355.329615023</v>
      </c>
      <c r="N79" s="31">
        <v>526403.17999999993</v>
      </c>
      <c r="P79" s="42" t="s">
        <v>135</v>
      </c>
      <c r="Q79" s="42" t="s">
        <v>136</v>
      </c>
      <c r="R79" s="43" t="s">
        <v>1050</v>
      </c>
      <c r="S79" s="44">
        <v>32</v>
      </c>
      <c r="T79" s="31">
        <v>21825819.748763695</v>
      </c>
      <c r="U79" s="31">
        <v>976731.74000000022</v>
      </c>
      <c r="V79" s="31">
        <v>640257.42999999993</v>
      </c>
      <c r="W79" s="31">
        <v>0</v>
      </c>
      <c r="X79" s="31">
        <v>3294530.5201660562</v>
      </c>
      <c r="Y79" s="31">
        <v>1479583.281799481</v>
      </c>
      <c r="Z79" s="31">
        <v>2332492.6528832745</v>
      </c>
      <c r="AA79" s="31">
        <f t="shared" si="9"/>
        <v>31088818.263612509</v>
      </c>
      <c r="AB79" s="31">
        <v>539402.8899999999</v>
      </c>
      <c r="AD79" s="42" t="s">
        <v>135</v>
      </c>
      <c r="AE79" s="42" t="s">
        <v>136</v>
      </c>
      <c r="AF79" s="43" t="s">
        <v>1275</v>
      </c>
      <c r="AG79" s="44">
        <v>32</v>
      </c>
      <c r="AH79" s="31">
        <v>22218587.291713975</v>
      </c>
      <c r="AI79" s="31">
        <v>996861.21999999986</v>
      </c>
      <c r="AJ79" s="31">
        <v>652789.05000000005</v>
      </c>
      <c r="AK79" s="31">
        <v>0</v>
      </c>
      <c r="AL79" s="31">
        <v>3352317.5669521</v>
      </c>
      <c r="AM79" s="31">
        <v>1479236.710807095</v>
      </c>
      <c r="AN79" s="31">
        <v>2377451.6910144063</v>
      </c>
      <c r="AO79" s="31">
        <f t="shared" si="10"/>
        <v>31626191.910487574</v>
      </c>
      <c r="AP79" s="31">
        <v>548948.38</v>
      </c>
      <c r="AR79" s="42" t="s">
        <v>135</v>
      </c>
      <c r="AS79" s="42" t="s">
        <v>136</v>
      </c>
      <c r="AT79" s="43" t="s">
        <v>1276</v>
      </c>
      <c r="AU79" s="44">
        <v>32</v>
      </c>
      <c r="AV79" s="31">
        <v>22630157.835101228</v>
      </c>
      <c r="AW79" s="31">
        <v>1015003.62</v>
      </c>
      <c r="AX79" s="31">
        <v>664767.74</v>
      </c>
      <c r="AY79" s="31">
        <v>0</v>
      </c>
      <c r="AZ79" s="31">
        <v>3414028.5339958351</v>
      </c>
      <c r="BA79" s="31">
        <v>1479291.8625020953</v>
      </c>
      <c r="BB79" s="31">
        <v>2421403.4546947666</v>
      </c>
      <c r="BC79" s="31">
        <f t="shared" si="11"/>
        <v>32183824.656293921</v>
      </c>
      <c r="BD79" s="31">
        <v>559171.61</v>
      </c>
    </row>
    <row r="80" spans="2:56">
      <c r="B80" s="42" t="s">
        <v>273</v>
      </c>
      <c r="C80" s="42" t="s">
        <v>274</v>
      </c>
      <c r="D80" s="43" t="s">
        <v>1049</v>
      </c>
      <c r="E80" s="44">
        <v>32</v>
      </c>
      <c r="F80" s="31">
        <v>526362.90238324052</v>
      </c>
      <c r="G80" s="31">
        <v>17344.800000000003</v>
      </c>
      <c r="H80" s="31">
        <v>3800.26</v>
      </c>
      <c r="I80" s="31">
        <v>1266.7600000000002</v>
      </c>
      <c r="J80" s="31">
        <v>64829.507592904702</v>
      </c>
      <c r="K80" s="31">
        <v>23198.336213827675</v>
      </c>
      <c r="L80" s="31">
        <v>0</v>
      </c>
      <c r="M80" s="31">
        <f t="shared" si="8"/>
        <v>650249.66618997301</v>
      </c>
      <c r="N80" s="31">
        <v>13447.1</v>
      </c>
      <c r="P80" s="42" t="s">
        <v>273</v>
      </c>
      <c r="Q80" s="42" t="s">
        <v>274</v>
      </c>
      <c r="R80" s="43" t="s">
        <v>1050</v>
      </c>
      <c r="S80" s="44">
        <v>32</v>
      </c>
      <c r="T80" s="31">
        <v>603918.59859202104</v>
      </c>
      <c r="U80" s="31">
        <v>20928.639999999992</v>
      </c>
      <c r="V80" s="31">
        <v>3946.2100000000005</v>
      </c>
      <c r="W80" s="31">
        <v>1517.78</v>
      </c>
      <c r="X80" s="31">
        <v>67978.543120759015</v>
      </c>
      <c r="Y80" s="31">
        <v>23213.993393912926</v>
      </c>
      <c r="Z80" s="31">
        <v>0</v>
      </c>
      <c r="AA80" s="31">
        <f t="shared" si="9"/>
        <v>735281.44510669296</v>
      </c>
      <c r="AB80" s="31">
        <v>13777.68</v>
      </c>
      <c r="AD80" s="42" t="s">
        <v>273</v>
      </c>
      <c r="AE80" s="42" t="s">
        <v>274</v>
      </c>
      <c r="AF80" s="43" t="s">
        <v>1275</v>
      </c>
      <c r="AG80" s="44">
        <v>32</v>
      </c>
      <c r="AH80" s="31">
        <v>656356.77826914098</v>
      </c>
      <c r="AI80" s="31">
        <v>22912.260000000002</v>
      </c>
      <c r="AJ80" s="31">
        <v>4023.4100000000003</v>
      </c>
      <c r="AK80" s="31">
        <v>1650.6299999999997</v>
      </c>
      <c r="AL80" s="31">
        <v>69906.843537477311</v>
      </c>
      <c r="AM80" s="31">
        <v>23208.67419321349</v>
      </c>
      <c r="AN80" s="31">
        <v>0</v>
      </c>
      <c r="AO80" s="31">
        <f t="shared" si="10"/>
        <v>792079.01599983184</v>
      </c>
      <c r="AP80" s="31">
        <v>14020.42</v>
      </c>
      <c r="AR80" s="42" t="s">
        <v>273</v>
      </c>
      <c r="AS80" s="42" t="s">
        <v>274</v>
      </c>
      <c r="AT80" s="43" t="s">
        <v>1276</v>
      </c>
      <c r="AU80" s="44">
        <v>32</v>
      </c>
      <c r="AV80" s="31">
        <v>710143.94343320723</v>
      </c>
      <c r="AW80" s="31">
        <v>24902.450000000004</v>
      </c>
      <c r="AX80" s="31">
        <v>4096.87</v>
      </c>
      <c r="AY80" s="31">
        <v>1890.8499999999997</v>
      </c>
      <c r="AZ80" s="31">
        <v>71468.476281219177</v>
      </c>
      <c r="BA80" s="31">
        <v>23209.520666060518</v>
      </c>
      <c r="BB80" s="31">
        <v>0</v>
      </c>
      <c r="BC80" s="31">
        <f t="shared" si="11"/>
        <v>849992.50038048683</v>
      </c>
      <c r="BD80" s="31">
        <v>14280.39</v>
      </c>
    </row>
    <row r="81" spans="2:56">
      <c r="B81" s="42" t="s">
        <v>423</v>
      </c>
      <c r="C81" s="42" t="s">
        <v>424</v>
      </c>
      <c r="D81" s="43" t="s">
        <v>1049</v>
      </c>
      <c r="E81" s="44">
        <v>32</v>
      </c>
      <c r="F81" s="31">
        <v>181963987.9831199</v>
      </c>
      <c r="G81" s="31">
        <v>5570813.6999999993</v>
      </c>
      <c r="H81" s="31">
        <v>5796081.1799999997</v>
      </c>
      <c r="I81" s="31">
        <v>651842.75000000012</v>
      </c>
      <c r="J81" s="31">
        <v>26399373.720740926</v>
      </c>
      <c r="K81" s="31">
        <v>12685237.22906089</v>
      </c>
      <c r="L81" s="31">
        <v>15376566.202289466</v>
      </c>
      <c r="M81" s="31">
        <f t="shared" si="8"/>
        <v>251051044.46521115</v>
      </c>
      <c r="N81" s="31">
        <v>2607141.7000000002</v>
      </c>
      <c r="P81" s="42" t="s">
        <v>423</v>
      </c>
      <c r="Q81" s="42" t="s">
        <v>424</v>
      </c>
      <c r="R81" s="43" t="s">
        <v>1050</v>
      </c>
      <c r="S81" s="44">
        <v>32</v>
      </c>
      <c r="T81" s="31">
        <v>188933729.27859586</v>
      </c>
      <c r="U81" s="31">
        <v>5778379.4699999997</v>
      </c>
      <c r="V81" s="31">
        <v>5920120.9800000004</v>
      </c>
      <c r="W81" s="31">
        <v>672584.01</v>
      </c>
      <c r="X81" s="31">
        <v>26989132.994206596</v>
      </c>
      <c r="Y81" s="31">
        <v>12695093.324950587</v>
      </c>
      <c r="Z81" s="31">
        <v>15712592.082703121</v>
      </c>
      <c r="AA81" s="31">
        <f t="shared" si="9"/>
        <v>259333948.50045615</v>
      </c>
      <c r="AB81" s="31">
        <v>2632316.3600000003</v>
      </c>
      <c r="AD81" s="42" t="s">
        <v>423</v>
      </c>
      <c r="AE81" s="42" t="s">
        <v>424</v>
      </c>
      <c r="AF81" s="43" t="s">
        <v>1275</v>
      </c>
      <c r="AG81" s="44">
        <v>32</v>
      </c>
      <c r="AH81" s="31">
        <v>193197774.98843032</v>
      </c>
      <c r="AI81" s="31">
        <v>5908386.79</v>
      </c>
      <c r="AJ81" s="31">
        <v>6036200.2800000003</v>
      </c>
      <c r="AK81" s="31">
        <v>687204.42999999993</v>
      </c>
      <c r="AL81" s="31">
        <v>27517513.28295441</v>
      </c>
      <c r="AM81" s="31">
        <v>12691352.607893966</v>
      </c>
      <c r="AN81" s="31">
        <v>16016217.444865957</v>
      </c>
      <c r="AO81" s="31">
        <f t="shared" si="10"/>
        <v>264734169.42414466</v>
      </c>
      <c r="AP81" s="31">
        <v>2679519.6000000006</v>
      </c>
      <c r="AR81" s="42" t="s">
        <v>423</v>
      </c>
      <c r="AS81" s="42" t="s">
        <v>424</v>
      </c>
      <c r="AT81" s="43" t="s">
        <v>1276</v>
      </c>
      <c r="AU81" s="44">
        <v>32</v>
      </c>
      <c r="AV81" s="31">
        <v>196222731.93179771</v>
      </c>
      <c r="AW81" s="31">
        <v>6001316.7599999998</v>
      </c>
      <c r="AX81" s="31">
        <v>6148591.1700000009</v>
      </c>
      <c r="AY81" s="31">
        <v>698054.00999999989</v>
      </c>
      <c r="AZ81" s="31">
        <v>28032012.16908592</v>
      </c>
      <c r="BA81" s="31">
        <v>12691928.331808778</v>
      </c>
      <c r="BB81" s="31">
        <v>16315830.293365393</v>
      </c>
      <c r="BC81" s="31">
        <f t="shared" si="11"/>
        <v>268840538.93605775</v>
      </c>
      <c r="BD81" s="31">
        <v>2730074.2699999996</v>
      </c>
    </row>
    <row r="82" spans="2:56">
      <c r="B82" s="42" t="s">
        <v>65</v>
      </c>
      <c r="C82" s="42" t="s">
        <v>66</v>
      </c>
      <c r="D82" s="43" t="s">
        <v>1049</v>
      </c>
      <c r="E82" s="44">
        <v>32</v>
      </c>
      <c r="F82" s="31">
        <v>180963684.75782695</v>
      </c>
      <c r="G82" s="31">
        <v>8121966.1099999994</v>
      </c>
      <c r="H82" s="31">
        <v>5727135.2300000004</v>
      </c>
      <c r="I82" s="31">
        <v>677993.34</v>
      </c>
      <c r="J82" s="31">
        <v>29313166.775507834</v>
      </c>
      <c r="K82" s="31">
        <v>16429225.342256634</v>
      </c>
      <c r="L82" s="31">
        <v>28000724.103871163</v>
      </c>
      <c r="M82" s="31">
        <f t="shared" si="8"/>
        <v>273244911.58946258</v>
      </c>
      <c r="N82" s="31">
        <v>4011015.93</v>
      </c>
      <c r="P82" s="42" t="s">
        <v>65</v>
      </c>
      <c r="Q82" s="42" t="s">
        <v>66</v>
      </c>
      <c r="R82" s="43" t="s">
        <v>1050</v>
      </c>
      <c r="S82" s="44">
        <v>32</v>
      </c>
      <c r="T82" s="31">
        <v>206915040.20851883</v>
      </c>
      <c r="U82" s="31">
        <v>9138150.5</v>
      </c>
      <c r="V82" s="31">
        <v>5944027.1800000006</v>
      </c>
      <c r="W82" s="31">
        <v>758404.16</v>
      </c>
      <c r="X82" s="31">
        <v>30350831.595612131</v>
      </c>
      <c r="Y82" s="31">
        <v>16445467.038634446</v>
      </c>
      <c r="Z82" s="31">
        <v>29265985.715134848</v>
      </c>
      <c r="AA82" s="31">
        <f t="shared" si="9"/>
        <v>302928188.41790026</v>
      </c>
      <c r="AB82" s="31">
        <v>4110282.0200000005</v>
      </c>
      <c r="AD82" s="42" t="s">
        <v>65</v>
      </c>
      <c r="AE82" s="42" t="s">
        <v>66</v>
      </c>
      <c r="AF82" s="43" t="s">
        <v>1275</v>
      </c>
      <c r="AG82" s="44">
        <v>32</v>
      </c>
      <c r="AH82" s="31">
        <v>206961867.90257969</v>
      </c>
      <c r="AI82" s="31">
        <v>9163303.4600000009</v>
      </c>
      <c r="AJ82" s="31">
        <v>6060400.8600000003</v>
      </c>
      <c r="AK82" s="31">
        <v>759789.41999999993</v>
      </c>
      <c r="AL82" s="31">
        <v>30939250.453050174</v>
      </c>
      <c r="AM82" s="31">
        <v>16439734.163279856</v>
      </c>
      <c r="AN82" s="31">
        <v>29830523.2625723</v>
      </c>
      <c r="AO82" s="31">
        <f t="shared" si="10"/>
        <v>304338041.21148199</v>
      </c>
      <c r="AP82" s="31">
        <v>4183171.6900000004</v>
      </c>
      <c r="AR82" s="42" t="s">
        <v>65</v>
      </c>
      <c r="AS82" s="42" t="s">
        <v>66</v>
      </c>
      <c r="AT82" s="43" t="s">
        <v>1276</v>
      </c>
      <c r="AU82" s="44">
        <v>32</v>
      </c>
      <c r="AV82" s="31">
        <v>207434160.43887916</v>
      </c>
      <c r="AW82" s="31">
        <v>9186971.5799999982</v>
      </c>
      <c r="AX82" s="31">
        <v>6171865.8600000013</v>
      </c>
      <c r="AY82" s="31">
        <v>761711.67</v>
      </c>
      <c r="AZ82" s="31">
        <v>31554995.277359493</v>
      </c>
      <c r="BA82" s="31">
        <v>16440635.339887345</v>
      </c>
      <c r="BB82" s="31">
        <v>30383231.251056284</v>
      </c>
      <c r="BC82" s="31">
        <f t="shared" si="11"/>
        <v>306194807.9471823</v>
      </c>
      <c r="BD82" s="31">
        <v>4261236.53</v>
      </c>
    </row>
    <row r="83" spans="2:56">
      <c r="B83" s="42" t="s">
        <v>497</v>
      </c>
      <c r="C83" s="42" t="s">
        <v>498</v>
      </c>
      <c r="D83" s="43" t="s">
        <v>1049</v>
      </c>
      <c r="E83" s="44">
        <v>32</v>
      </c>
      <c r="F83" s="31">
        <v>425627.35472715984</v>
      </c>
      <c r="G83" s="31">
        <v>13349.65</v>
      </c>
      <c r="H83" s="31">
        <v>0</v>
      </c>
      <c r="I83" s="31">
        <v>682.09999999999991</v>
      </c>
      <c r="J83" s="31">
        <v>9228.2530419587183</v>
      </c>
      <c r="K83" s="31">
        <v>0</v>
      </c>
      <c r="L83" s="31">
        <v>0</v>
      </c>
      <c r="M83" s="31">
        <f t="shared" si="8"/>
        <v>455708.34776911855</v>
      </c>
      <c r="N83" s="31">
        <v>6820.99</v>
      </c>
      <c r="P83" s="42" t="s">
        <v>497</v>
      </c>
      <c r="Q83" s="42" t="s">
        <v>498</v>
      </c>
      <c r="R83" s="43" t="s">
        <v>1050</v>
      </c>
      <c r="S83" s="44">
        <v>32</v>
      </c>
      <c r="T83" s="31">
        <v>445382.0324138194</v>
      </c>
      <c r="U83" s="31">
        <v>17396.829999999994</v>
      </c>
      <c r="V83" s="31">
        <v>0</v>
      </c>
      <c r="W83" s="31">
        <v>910.66999999999985</v>
      </c>
      <c r="X83" s="31">
        <v>9767.6573206982885</v>
      </c>
      <c r="Y83" s="31">
        <v>0</v>
      </c>
      <c r="Z83" s="31">
        <v>0</v>
      </c>
      <c r="AA83" s="31">
        <f t="shared" si="9"/>
        <v>480445.8597345177</v>
      </c>
      <c r="AB83" s="31">
        <v>6988.67</v>
      </c>
      <c r="AD83" s="42" t="s">
        <v>497</v>
      </c>
      <c r="AE83" s="42" t="s">
        <v>498</v>
      </c>
      <c r="AF83" s="43" t="s">
        <v>1275</v>
      </c>
      <c r="AG83" s="44">
        <v>32</v>
      </c>
      <c r="AH83" s="31">
        <v>456475.08365802933</v>
      </c>
      <c r="AI83" s="31">
        <v>17750.699999999997</v>
      </c>
      <c r="AJ83" s="31">
        <v>0</v>
      </c>
      <c r="AK83" s="31">
        <v>928.5</v>
      </c>
      <c r="AL83" s="31">
        <v>9682.5887370834898</v>
      </c>
      <c r="AM83" s="31">
        <v>0</v>
      </c>
      <c r="AN83" s="31">
        <v>0</v>
      </c>
      <c r="AO83" s="31">
        <f t="shared" si="10"/>
        <v>491948.67239511281</v>
      </c>
      <c r="AP83" s="31">
        <v>7111.7999999999993</v>
      </c>
      <c r="AR83" s="42" t="s">
        <v>497</v>
      </c>
      <c r="AS83" s="42" t="s">
        <v>498</v>
      </c>
      <c r="AT83" s="43" t="s">
        <v>1276</v>
      </c>
      <c r="AU83" s="44">
        <v>32</v>
      </c>
      <c r="AV83" s="31">
        <v>463746.17690217553</v>
      </c>
      <c r="AW83" s="31">
        <v>18072.839999999997</v>
      </c>
      <c r="AX83" s="31">
        <v>0</v>
      </c>
      <c r="AY83" s="31">
        <v>945.44999999999982</v>
      </c>
      <c r="AZ83" s="31">
        <v>9948.572397836846</v>
      </c>
      <c r="BA83" s="31">
        <v>0</v>
      </c>
      <c r="BB83" s="31">
        <v>0</v>
      </c>
      <c r="BC83" s="31">
        <f t="shared" si="11"/>
        <v>499956.70930001233</v>
      </c>
      <c r="BD83" s="31">
        <v>7243.67</v>
      </c>
    </row>
    <row r="84" spans="2:56">
      <c r="B84" s="42" t="s">
        <v>185</v>
      </c>
      <c r="C84" s="42" t="s">
        <v>186</v>
      </c>
      <c r="D84" s="43" t="s">
        <v>1049</v>
      </c>
      <c r="E84" s="44">
        <v>32</v>
      </c>
      <c r="F84" s="31">
        <v>179101201.58127844</v>
      </c>
      <c r="G84" s="31">
        <v>9248377.5899999999</v>
      </c>
      <c r="H84" s="31">
        <v>8544697.8599999994</v>
      </c>
      <c r="I84" s="31">
        <v>634281.60999999987</v>
      </c>
      <c r="J84" s="31">
        <v>27615229.700525362</v>
      </c>
      <c r="K84" s="31">
        <v>13452641.209165677</v>
      </c>
      <c r="L84" s="31">
        <v>13151729.831512645</v>
      </c>
      <c r="M84" s="31">
        <f t="shared" si="8"/>
        <v>257700341.63248211</v>
      </c>
      <c r="N84" s="31">
        <v>5952182.25</v>
      </c>
      <c r="P84" s="42" t="s">
        <v>185</v>
      </c>
      <c r="Q84" s="42" t="s">
        <v>186</v>
      </c>
      <c r="R84" s="43" t="s">
        <v>1050</v>
      </c>
      <c r="S84" s="44">
        <v>32</v>
      </c>
      <c r="T84" s="31">
        <v>207236173.20652729</v>
      </c>
      <c r="U84" s="31">
        <v>10579873.199999999</v>
      </c>
      <c r="V84" s="31">
        <v>8864197.8499999996</v>
      </c>
      <c r="W84" s="31">
        <v>720489.2699999999</v>
      </c>
      <c r="X84" s="31">
        <v>28595707.217701182</v>
      </c>
      <c r="Y84" s="31">
        <v>13461803.431212185</v>
      </c>
      <c r="Z84" s="31">
        <v>13745918.129424062</v>
      </c>
      <c r="AA84" s="31">
        <f t="shared" si="9"/>
        <v>289304537.8148647</v>
      </c>
      <c r="AB84" s="31">
        <v>6100375.5099999998</v>
      </c>
      <c r="AD84" s="42" t="s">
        <v>185</v>
      </c>
      <c r="AE84" s="42" t="s">
        <v>186</v>
      </c>
      <c r="AF84" s="43" t="s">
        <v>1275</v>
      </c>
      <c r="AG84" s="44">
        <v>32</v>
      </c>
      <c r="AH84" s="31">
        <v>211222367.90748602</v>
      </c>
      <c r="AI84" s="31">
        <v>10797883.41</v>
      </c>
      <c r="AJ84" s="31">
        <v>9037879.5300000012</v>
      </c>
      <c r="AK84" s="31">
        <v>734606.25000000012</v>
      </c>
      <c r="AL84" s="31">
        <v>29128322.336630777</v>
      </c>
      <c r="AM84" s="31">
        <v>13458452.856020821</v>
      </c>
      <c r="AN84" s="31">
        <v>14011299.880276307</v>
      </c>
      <c r="AO84" s="31">
        <f t="shared" si="10"/>
        <v>294600003.8704139</v>
      </c>
      <c r="AP84" s="31">
        <v>6209191.6999999993</v>
      </c>
      <c r="AR84" s="42" t="s">
        <v>185</v>
      </c>
      <c r="AS84" s="42" t="s">
        <v>186</v>
      </c>
      <c r="AT84" s="43" t="s">
        <v>1276</v>
      </c>
      <c r="AU84" s="44">
        <v>32</v>
      </c>
      <c r="AV84" s="31">
        <v>215145028.26200306</v>
      </c>
      <c r="AW84" s="31">
        <v>10996164.350000001</v>
      </c>
      <c r="AX84" s="31">
        <v>9205182.4300000016</v>
      </c>
      <c r="AY84" s="31">
        <v>748204.77999999991</v>
      </c>
      <c r="AZ84" s="31">
        <v>29670251.025286131</v>
      </c>
      <c r="BA84" s="31">
        <v>13458973.744897682</v>
      </c>
      <c r="BB84" s="31">
        <v>14272226.695764057</v>
      </c>
      <c r="BC84" s="31">
        <f t="shared" si="11"/>
        <v>299821765.11795092</v>
      </c>
      <c r="BD84" s="31">
        <v>6325733.8299999991</v>
      </c>
    </row>
    <row r="85" spans="2:56">
      <c r="B85" s="42" t="s">
        <v>541</v>
      </c>
      <c r="C85" s="42" t="s">
        <v>542</v>
      </c>
      <c r="D85" s="43" t="s">
        <v>1049</v>
      </c>
      <c r="E85" s="44">
        <v>32</v>
      </c>
      <c r="F85" s="31">
        <v>38401502.021323793</v>
      </c>
      <c r="G85" s="31">
        <v>1444919.2800000003</v>
      </c>
      <c r="H85" s="31">
        <v>566366.79999999993</v>
      </c>
      <c r="I85" s="31">
        <v>133612.07999999999</v>
      </c>
      <c r="J85" s="31">
        <v>6032406.234308891</v>
      </c>
      <c r="K85" s="31">
        <v>2666314.9565983322</v>
      </c>
      <c r="L85" s="31">
        <v>2570515.8110656892</v>
      </c>
      <c r="M85" s="31">
        <f t="shared" si="8"/>
        <v>52338527.043296702</v>
      </c>
      <c r="N85" s="31">
        <v>522889.86</v>
      </c>
      <c r="P85" s="42" t="s">
        <v>541</v>
      </c>
      <c r="Q85" s="42" t="s">
        <v>542</v>
      </c>
      <c r="R85" s="43" t="s">
        <v>1050</v>
      </c>
      <c r="S85" s="44">
        <v>32</v>
      </c>
      <c r="T85" s="31">
        <v>42815093.342095174</v>
      </c>
      <c r="U85" s="31">
        <v>1611636.8399999996</v>
      </c>
      <c r="V85" s="31">
        <v>582911.26</v>
      </c>
      <c r="W85" s="31">
        <v>148319.87999999998</v>
      </c>
      <c r="X85" s="31">
        <v>6178471.821484942</v>
      </c>
      <c r="Y85" s="31">
        <v>2669254.2283466626</v>
      </c>
      <c r="Z85" s="31">
        <v>2643221.5720080184</v>
      </c>
      <c r="AA85" s="31">
        <f t="shared" si="9"/>
        <v>57180434.12393479</v>
      </c>
      <c r="AB85" s="31">
        <v>531525.17999999993</v>
      </c>
      <c r="AD85" s="42" t="s">
        <v>541</v>
      </c>
      <c r="AE85" s="42" t="s">
        <v>542</v>
      </c>
      <c r="AF85" s="43" t="s">
        <v>1275</v>
      </c>
      <c r="AG85" s="44">
        <v>32</v>
      </c>
      <c r="AH85" s="31">
        <v>44308163.92997054</v>
      </c>
      <c r="AI85" s="31">
        <v>1670086.37</v>
      </c>
      <c r="AJ85" s="31">
        <v>594328.22</v>
      </c>
      <c r="AK85" s="31">
        <v>153672.95000000001</v>
      </c>
      <c r="AL85" s="31">
        <v>6285414.3043513307</v>
      </c>
      <c r="AM85" s="31">
        <v>2668195.3839035546</v>
      </c>
      <c r="AN85" s="31">
        <v>2694218.6336570838</v>
      </c>
      <c r="AO85" s="31">
        <f t="shared" si="10"/>
        <v>58915059.121882506</v>
      </c>
      <c r="AP85" s="31">
        <v>540979.32999999996</v>
      </c>
      <c r="AR85" s="42" t="s">
        <v>541</v>
      </c>
      <c r="AS85" s="42" t="s">
        <v>542</v>
      </c>
      <c r="AT85" s="43" t="s">
        <v>1276</v>
      </c>
      <c r="AU85" s="44">
        <v>32</v>
      </c>
      <c r="AV85" s="31">
        <v>45129201.549999788</v>
      </c>
      <c r="AW85" s="31">
        <v>1700762.3500000003</v>
      </c>
      <c r="AX85" s="31">
        <v>605295.52</v>
      </c>
      <c r="AY85" s="31">
        <v>156508.73000000001</v>
      </c>
      <c r="AZ85" s="31">
        <v>6402068.9432393527</v>
      </c>
      <c r="BA85" s="31">
        <v>2668360.8861450944</v>
      </c>
      <c r="BB85" s="31">
        <v>2744278.0390745522</v>
      </c>
      <c r="BC85" s="31">
        <f t="shared" si="11"/>
        <v>59957580.758458793</v>
      </c>
      <c r="BD85" s="31">
        <v>551104.74</v>
      </c>
    </row>
    <row r="86" spans="2:56">
      <c r="B86" s="42" t="s">
        <v>389</v>
      </c>
      <c r="C86" s="42" t="s">
        <v>390</v>
      </c>
      <c r="D86" s="43" t="s">
        <v>1049</v>
      </c>
      <c r="E86" s="44">
        <v>32</v>
      </c>
      <c r="F86" s="31">
        <v>31556137.665536307</v>
      </c>
      <c r="G86" s="31">
        <v>1167698.8600000001</v>
      </c>
      <c r="H86" s="31">
        <v>896464.27</v>
      </c>
      <c r="I86" s="31">
        <v>114981.06</v>
      </c>
      <c r="J86" s="31">
        <v>4129633.4162087026</v>
      </c>
      <c r="K86" s="31">
        <v>2039003.2324999091</v>
      </c>
      <c r="L86" s="31">
        <v>3497348.2767773289</v>
      </c>
      <c r="M86" s="31">
        <f t="shared" si="8"/>
        <v>43667113.331022248</v>
      </c>
      <c r="N86" s="31">
        <v>265846.55</v>
      </c>
      <c r="P86" s="42" t="s">
        <v>389</v>
      </c>
      <c r="Q86" s="42" t="s">
        <v>390</v>
      </c>
      <c r="R86" s="43" t="s">
        <v>1050</v>
      </c>
      <c r="S86" s="44">
        <v>32</v>
      </c>
      <c r="T86" s="31">
        <v>33310825.752387874</v>
      </c>
      <c r="U86" s="31">
        <v>1232233.6499999999</v>
      </c>
      <c r="V86" s="31">
        <v>929984.5</v>
      </c>
      <c r="W86" s="31">
        <v>120957.22000000002</v>
      </c>
      <c r="X86" s="31">
        <v>4272261.5985470545</v>
      </c>
      <c r="Y86" s="31">
        <v>2040549.4507512222</v>
      </c>
      <c r="Z86" s="31">
        <v>3619814.4667737726</v>
      </c>
      <c r="AA86" s="31">
        <f t="shared" si="9"/>
        <v>45799092.058459923</v>
      </c>
      <c r="AB86" s="31">
        <v>272465.42</v>
      </c>
      <c r="AD86" s="42" t="s">
        <v>389</v>
      </c>
      <c r="AE86" s="42" t="s">
        <v>390</v>
      </c>
      <c r="AF86" s="43" t="s">
        <v>1275</v>
      </c>
      <c r="AG86" s="44">
        <v>32</v>
      </c>
      <c r="AH86" s="31">
        <v>34295755.791295446</v>
      </c>
      <c r="AI86" s="31">
        <v>1268482.04</v>
      </c>
      <c r="AJ86" s="31">
        <v>948206.28</v>
      </c>
      <c r="AK86" s="31">
        <v>124467.03000000001</v>
      </c>
      <c r="AL86" s="31">
        <v>4351417.5942613129</v>
      </c>
      <c r="AM86" s="31">
        <v>2039984.0070753342</v>
      </c>
      <c r="AN86" s="31">
        <v>3689691.2913403455</v>
      </c>
      <c r="AO86" s="31">
        <f t="shared" si="10"/>
        <v>46995329.583972432</v>
      </c>
      <c r="AP86" s="31">
        <v>277325.55</v>
      </c>
      <c r="AR86" s="42" t="s">
        <v>389</v>
      </c>
      <c r="AS86" s="42" t="s">
        <v>390</v>
      </c>
      <c r="AT86" s="43" t="s">
        <v>1276</v>
      </c>
      <c r="AU86" s="44">
        <v>32</v>
      </c>
      <c r="AV86" s="31">
        <v>34996275.254309759</v>
      </c>
      <c r="AW86" s="31">
        <v>1290614.78</v>
      </c>
      <c r="AX86" s="31">
        <v>965758.80999999994</v>
      </c>
      <c r="AY86" s="31">
        <v>126654.97000000002</v>
      </c>
      <c r="AZ86" s="31">
        <v>4444408.0867317682</v>
      </c>
      <c r="BA86" s="31">
        <v>2040071.9123764958</v>
      </c>
      <c r="BB86" s="31">
        <v>3758408.5520675448</v>
      </c>
      <c r="BC86" s="31">
        <f t="shared" si="11"/>
        <v>47904723.115485571</v>
      </c>
      <c r="BD86" s="31">
        <v>282530.74999999994</v>
      </c>
    </row>
    <row r="87" spans="2:56">
      <c r="B87" s="42" t="s">
        <v>23</v>
      </c>
      <c r="C87" s="42" t="s">
        <v>24</v>
      </c>
      <c r="D87" s="43" t="s">
        <v>1049</v>
      </c>
      <c r="E87" s="44">
        <v>32</v>
      </c>
      <c r="F87" s="31">
        <v>6743997.5453808475</v>
      </c>
      <c r="G87" s="31">
        <v>418029.32000000007</v>
      </c>
      <c r="H87" s="31">
        <v>257930.90999999997</v>
      </c>
      <c r="I87" s="31">
        <v>23776.03</v>
      </c>
      <c r="J87" s="31">
        <v>987822.41987919831</v>
      </c>
      <c r="K87" s="31">
        <v>621971.80617919401</v>
      </c>
      <c r="L87" s="31">
        <v>623119.02699683991</v>
      </c>
      <c r="M87" s="31">
        <f t="shared" si="8"/>
        <v>9925320.9084360804</v>
      </c>
      <c r="N87" s="31">
        <v>248673.85</v>
      </c>
      <c r="P87" s="42" t="s">
        <v>23</v>
      </c>
      <c r="Q87" s="42" t="s">
        <v>24</v>
      </c>
      <c r="R87" s="43" t="s">
        <v>1050</v>
      </c>
      <c r="S87" s="44">
        <v>32</v>
      </c>
      <c r="T87" s="31">
        <v>7031790.8340192698</v>
      </c>
      <c r="U87" s="31">
        <v>438327.55000000005</v>
      </c>
      <c r="V87" s="31">
        <v>267835.71000000002</v>
      </c>
      <c r="W87" s="31">
        <v>24689.05</v>
      </c>
      <c r="X87" s="31">
        <v>1022660.0193038142</v>
      </c>
      <c r="Y87" s="31">
        <v>622634.4223155583</v>
      </c>
      <c r="Z87" s="31">
        <v>651590.37676433101</v>
      </c>
      <c r="AA87" s="31">
        <f t="shared" si="9"/>
        <v>10314315.122402973</v>
      </c>
      <c r="AB87" s="31">
        <v>254787.16000000003</v>
      </c>
      <c r="AD87" s="42" t="s">
        <v>23</v>
      </c>
      <c r="AE87" s="42" t="s">
        <v>24</v>
      </c>
      <c r="AF87" s="43" t="s">
        <v>1275</v>
      </c>
      <c r="AG87" s="44">
        <v>32</v>
      </c>
      <c r="AH87" s="31">
        <v>6930528.745089177</v>
      </c>
      <c r="AI87" s="31">
        <v>435326.67</v>
      </c>
      <c r="AJ87" s="31">
        <v>273074.94</v>
      </c>
      <c r="AK87" s="31">
        <v>24449.860000000004</v>
      </c>
      <c r="AL87" s="31">
        <v>1037838.9696771478</v>
      </c>
      <c r="AM87" s="31">
        <v>622409.31228956277</v>
      </c>
      <c r="AN87" s="31">
        <v>664141.34820917924</v>
      </c>
      <c r="AO87" s="31">
        <f t="shared" si="10"/>
        <v>10247045.925265068</v>
      </c>
      <c r="AP87" s="31">
        <v>259276.08000000002</v>
      </c>
      <c r="AR87" s="42" t="s">
        <v>23</v>
      </c>
      <c r="AS87" s="42" t="s">
        <v>24</v>
      </c>
      <c r="AT87" s="43" t="s">
        <v>1276</v>
      </c>
      <c r="AU87" s="44">
        <v>32</v>
      </c>
      <c r="AV87" s="31">
        <v>6872416.1885697516</v>
      </c>
      <c r="AW87" s="31">
        <v>431542.80999999988</v>
      </c>
      <c r="AX87" s="31">
        <v>278061.53000000003</v>
      </c>
      <c r="AY87" s="31">
        <v>24266.05</v>
      </c>
      <c r="AZ87" s="31">
        <v>1059474.9133257568</v>
      </c>
      <c r="BA87" s="31">
        <v>622445.13525157631</v>
      </c>
      <c r="BB87" s="31">
        <v>676385.37365861167</v>
      </c>
      <c r="BC87" s="31">
        <f t="shared" si="11"/>
        <v>10228675.710805697</v>
      </c>
      <c r="BD87" s="31">
        <v>264083.71000000002</v>
      </c>
    </row>
    <row r="88" spans="2:56">
      <c r="B88" s="42" t="s">
        <v>381</v>
      </c>
      <c r="C88" s="42" t="s">
        <v>382</v>
      </c>
      <c r="D88" s="43" t="s">
        <v>1049</v>
      </c>
      <c r="E88" s="44">
        <v>32</v>
      </c>
      <c r="F88" s="31">
        <v>60686154.072240017</v>
      </c>
      <c r="G88" s="31">
        <v>3753998.1799999992</v>
      </c>
      <c r="H88" s="31">
        <v>1525998.0000000002</v>
      </c>
      <c r="I88" s="31">
        <v>216079.58999999997</v>
      </c>
      <c r="J88" s="31">
        <v>9534636.2268059608</v>
      </c>
      <c r="K88" s="31">
        <v>4352037.6187080862</v>
      </c>
      <c r="L88" s="31">
        <v>5892881.4533175211</v>
      </c>
      <c r="M88" s="31">
        <f t="shared" si="8"/>
        <v>88187425.481071591</v>
      </c>
      <c r="N88" s="31">
        <v>2225640.3400000003</v>
      </c>
      <c r="P88" s="42" t="s">
        <v>381</v>
      </c>
      <c r="Q88" s="42" t="s">
        <v>382</v>
      </c>
      <c r="R88" s="43" t="s">
        <v>1050</v>
      </c>
      <c r="S88" s="44">
        <v>32</v>
      </c>
      <c r="T88" s="31">
        <v>68950940.089609936</v>
      </c>
      <c r="U88" s="31">
        <v>4231310.3499999996</v>
      </c>
      <c r="V88" s="31">
        <v>1583788.9800000002</v>
      </c>
      <c r="W88" s="31">
        <v>241833.18</v>
      </c>
      <c r="X88" s="31">
        <v>9835082.0679811705</v>
      </c>
      <c r="Y88" s="31">
        <v>4356209.9670449812</v>
      </c>
      <c r="Z88" s="31">
        <v>6160290.0181048503</v>
      </c>
      <c r="AA88" s="31">
        <f t="shared" si="9"/>
        <v>97640175.952740937</v>
      </c>
      <c r="AB88" s="31">
        <v>2280721.3000000003</v>
      </c>
      <c r="AD88" s="42" t="s">
        <v>381</v>
      </c>
      <c r="AE88" s="42" t="s">
        <v>382</v>
      </c>
      <c r="AF88" s="43" t="s">
        <v>1275</v>
      </c>
      <c r="AG88" s="44">
        <v>32</v>
      </c>
      <c r="AH88" s="31">
        <v>70403058.109624118</v>
      </c>
      <c r="AI88" s="31">
        <v>4325416.5999999996</v>
      </c>
      <c r="AJ88" s="31">
        <v>1614796.81</v>
      </c>
      <c r="AK88" s="31">
        <v>247002.14000000004</v>
      </c>
      <c r="AL88" s="31">
        <v>10017838.084814461</v>
      </c>
      <c r="AM88" s="31">
        <v>4354737.242004755</v>
      </c>
      <c r="AN88" s="31">
        <v>6279090.6096000224</v>
      </c>
      <c r="AO88" s="31">
        <f t="shared" si="10"/>
        <v>99563106.056043342</v>
      </c>
      <c r="AP88" s="31">
        <v>2321166.4600000004</v>
      </c>
      <c r="AR88" s="42" t="s">
        <v>381</v>
      </c>
      <c r="AS88" s="42" t="s">
        <v>382</v>
      </c>
      <c r="AT88" s="43" t="s">
        <v>1276</v>
      </c>
      <c r="AU88" s="44">
        <v>32</v>
      </c>
      <c r="AV88" s="31">
        <v>71831920.277788103</v>
      </c>
      <c r="AW88" s="31">
        <v>4411533.1199999992</v>
      </c>
      <c r="AX88" s="31">
        <v>1644496.71</v>
      </c>
      <c r="AY88" s="31">
        <v>251987.37000000002</v>
      </c>
      <c r="AZ88" s="31">
        <v>10203370.035013907</v>
      </c>
      <c r="BA88" s="31">
        <v>4354968.7463151459</v>
      </c>
      <c r="BB88" s="31">
        <v>6395460.026251195</v>
      </c>
      <c r="BC88" s="31">
        <f t="shared" si="11"/>
        <v>101458219.51536836</v>
      </c>
      <c r="BD88" s="31">
        <v>2364483.23</v>
      </c>
    </row>
    <row r="89" spans="2:56">
      <c r="B89" s="42" t="s">
        <v>465</v>
      </c>
      <c r="C89" s="42" t="s">
        <v>466</v>
      </c>
      <c r="D89" s="43" t="s">
        <v>1049</v>
      </c>
      <c r="E89" s="44">
        <v>32</v>
      </c>
      <c r="F89" s="31">
        <v>6478884.0118916463</v>
      </c>
      <c r="G89" s="31">
        <v>125396.53000000001</v>
      </c>
      <c r="H89" s="31">
        <v>0</v>
      </c>
      <c r="I89" s="31">
        <v>0</v>
      </c>
      <c r="J89" s="31">
        <v>1013986.9416784635</v>
      </c>
      <c r="K89" s="31">
        <v>751013.30936871737</v>
      </c>
      <c r="L89" s="31">
        <v>1114854.5527293922</v>
      </c>
      <c r="M89" s="31">
        <f t="shared" si="8"/>
        <v>9484135.345668219</v>
      </c>
      <c r="N89" s="31">
        <v>0</v>
      </c>
      <c r="P89" s="42" t="s">
        <v>465</v>
      </c>
      <c r="Q89" s="42" t="s">
        <v>466</v>
      </c>
      <c r="R89" s="43" t="s">
        <v>1050</v>
      </c>
      <c r="S89" s="44">
        <v>32</v>
      </c>
      <c r="T89" s="31">
        <v>6808908.5960329231</v>
      </c>
      <c r="U89" s="31">
        <v>131214.01999999999</v>
      </c>
      <c r="V89" s="31">
        <v>0</v>
      </c>
      <c r="W89" s="31">
        <v>0</v>
      </c>
      <c r="X89" s="31">
        <v>1050276.5046297801</v>
      </c>
      <c r="Y89" s="31">
        <v>751831.88606804865</v>
      </c>
      <c r="Z89" s="31">
        <v>1154396.6342312992</v>
      </c>
      <c r="AA89" s="31">
        <f t="shared" si="9"/>
        <v>9896627.6409620494</v>
      </c>
      <c r="AB89" s="31">
        <v>0</v>
      </c>
      <c r="AD89" s="42" t="s">
        <v>465</v>
      </c>
      <c r="AE89" s="42" t="s">
        <v>466</v>
      </c>
      <c r="AF89" s="43" t="s">
        <v>1275</v>
      </c>
      <c r="AG89" s="44">
        <v>32</v>
      </c>
      <c r="AH89" s="31">
        <v>6939796.9598349342</v>
      </c>
      <c r="AI89" s="31">
        <v>133782.26999999999</v>
      </c>
      <c r="AJ89" s="31">
        <v>0</v>
      </c>
      <c r="AK89" s="31">
        <v>0</v>
      </c>
      <c r="AL89" s="31">
        <v>1069762.4235603556</v>
      </c>
      <c r="AM89" s="31">
        <v>751553.79169039452</v>
      </c>
      <c r="AN89" s="31">
        <v>1176645.2414851619</v>
      </c>
      <c r="AO89" s="31">
        <f t="shared" si="10"/>
        <v>10071540.686570846</v>
      </c>
      <c r="AP89" s="31">
        <v>0</v>
      </c>
      <c r="AR89" s="42" t="s">
        <v>465</v>
      </c>
      <c r="AS89" s="42" t="s">
        <v>466</v>
      </c>
      <c r="AT89" s="43" t="s">
        <v>1276</v>
      </c>
      <c r="AU89" s="44">
        <v>32</v>
      </c>
      <c r="AV89" s="31">
        <v>7067807.8025372652</v>
      </c>
      <c r="AW89" s="31">
        <v>136237.18</v>
      </c>
      <c r="AX89" s="31">
        <v>0</v>
      </c>
      <c r="AY89" s="31">
        <v>0</v>
      </c>
      <c r="AZ89" s="31">
        <v>1089520.3235041562</v>
      </c>
      <c r="BA89" s="31">
        <v>751598.04633557447</v>
      </c>
      <c r="BB89" s="31">
        <v>1198400.1754288487</v>
      </c>
      <c r="BC89" s="31">
        <f t="shared" si="11"/>
        <v>10243563.527805844</v>
      </c>
      <c r="BD89" s="31">
        <v>0</v>
      </c>
    </row>
    <row r="90" spans="2:56">
      <c r="B90" s="42" t="s">
        <v>567</v>
      </c>
      <c r="C90" s="42" t="s">
        <v>568</v>
      </c>
      <c r="D90" s="43" t="s">
        <v>1049</v>
      </c>
      <c r="E90" s="44">
        <v>32</v>
      </c>
      <c r="F90" s="31">
        <v>2030412.8579348968</v>
      </c>
      <c r="G90" s="31">
        <v>34299.810000000005</v>
      </c>
      <c r="H90" s="31">
        <v>0</v>
      </c>
      <c r="I90" s="31">
        <v>0</v>
      </c>
      <c r="J90" s="31">
        <v>130256.8708251879</v>
      </c>
      <c r="K90" s="31">
        <v>246235.321783847</v>
      </c>
      <c r="L90" s="31">
        <v>43351.06109314035</v>
      </c>
      <c r="M90" s="31">
        <f t="shared" si="8"/>
        <v>2508039.6416370724</v>
      </c>
      <c r="N90" s="31">
        <v>23483.72</v>
      </c>
      <c r="P90" s="42" t="s">
        <v>567</v>
      </c>
      <c r="Q90" s="42" t="s">
        <v>568</v>
      </c>
      <c r="R90" s="43" t="s">
        <v>1050</v>
      </c>
      <c r="S90" s="44">
        <v>32</v>
      </c>
      <c r="T90" s="31">
        <v>2122642.1628801748</v>
      </c>
      <c r="U90" s="31">
        <v>37459.229999999996</v>
      </c>
      <c r="V90" s="31">
        <v>0</v>
      </c>
      <c r="W90" s="31">
        <v>0</v>
      </c>
      <c r="X90" s="31">
        <v>135459.23051203624</v>
      </c>
      <c r="Y90" s="31">
        <v>246371.7026964644</v>
      </c>
      <c r="Z90" s="31">
        <v>45300.378868233398</v>
      </c>
      <c r="AA90" s="31">
        <f t="shared" si="9"/>
        <v>2611293.7249569092</v>
      </c>
      <c r="AB90" s="31">
        <v>24061.02</v>
      </c>
      <c r="AD90" s="42" t="s">
        <v>567</v>
      </c>
      <c r="AE90" s="42" t="s">
        <v>568</v>
      </c>
      <c r="AF90" s="43" t="s">
        <v>1275</v>
      </c>
      <c r="AG90" s="44">
        <v>32</v>
      </c>
      <c r="AH90" s="31">
        <v>2210848.4442843846</v>
      </c>
      <c r="AI90" s="31">
        <v>40302.009999999995</v>
      </c>
      <c r="AJ90" s="31">
        <v>0</v>
      </c>
      <c r="AK90" s="31">
        <v>0</v>
      </c>
      <c r="AL90" s="31">
        <v>137922.90000790916</v>
      </c>
      <c r="AM90" s="31">
        <v>246325.3701230486</v>
      </c>
      <c r="AN90" s="31">
        <v>46172.911528132463</v>
      </c>
      <c r="AO90" s="31">
        <f t="shared" si="10"/>
        <v>2706056.5759434747</v>
      </c>
      <c r="AP90" s="31">
        <v>24484.94</v>
      </c>
      <c r="AR90" s="42" t="s">
        <v>567</v>
      </c>
      <c r="AS90" s="42" t="s">
        <v>568</v>
      </c>
      <c r="AT90" s="43" t="s">
        <v>1276</v>
      </c>
      <c r="AU90" s="44">
        <v>32</v>
      </c>
      <c r="AV90" s="31">
        <v>2314465.2408479508</v>
      </c>
      <c r="AW90" s="31">
        <v>42186.600000000006</v>
      </c>
      <c r="AX90" s="31">
        <v>0</v>
      </c>
      <c r="AY90" s="31">
        <v>0</v>
      </c>
      <c r="AZ90" s="31">
        <v>140778.05451955719</v>
      </c>
      <c r="BA90" s="31">
        <v>246332.74327317873</v>
      </c>
      <c r="BB90" s="31">
        <v>47024.104525044357</v>
      </c>
      <c r="BC90" s="31">
        <f t="shared" si="11"/>
        <v>2815725.6931657316</v>
      </c>
      <c r="BD90" s="31">
        <v>24938.95</v>
      </c>
    </row>
    <row r="91" spans="2:56">
      <c r="B91" s="42" t="s">
        <v>259</v>
      </c>
      <c r="C91" s="42" t="s">
        <v>260</v>
      </c>
      <c r="D91" s="43" t="s">
        <v>1049</v>
      </c>
      <c r="E91" s="44">
        <v>32</v>
      </c>
      <c r="F91" s="31">
        <v>1956150.5269975346</v>
      </c>
      <c r="G91" s="31">
        <v>18965.86</v>
      </c>
      <c r="H91" s="31">
        <v>0</v>
      </c>
      <c r="I91" s="31">
        <v>0</v>
      </c>
      <c r="J91" s="31">
        <v>61495.652379815343</v>
      </c>
      <c r="K91" s="31">
        <v>67624.64671058477</v>
      </c>
      <c r="L91" s="31">
        <v>0</v>
      </c>
      <c r="M91" s="31">
        <f t="shared" si="8"/>
        <v>2108978.1460879347</v>
      </c>
      <c r="N91" s="31">
        <v>4741.46</v>
      </c>
      <c r="P91" s="42" t="s">
        <v>259</v>
      </c>
      <c r="Q91" s="42" t="s">
        <v>260</v>
      </c>
      <c r="R91" s="43" t="s">
        <v>1050</v>
      </c>
      <c r="S91" s="44">
        <v>32</v>
      </c>
      <c r="T91" s="31">
        <v>2022031.9523510654</v>
      </c>
      <c r="U91" s="31">
        <v>21321.42</v>
      </c>
      <c r="V91" s="31">
        <v>0</v>
      </c>
      <c r="W91" s="31">
        <v>0</v>
      </c>
      <c r="X91" s="31">
        <v>64617.66520505277</v>
      </c>
      <c r="Y91" s="31">
        <v>67683.828483749181</v>
      </c>
      <c r="Z91" s="31">
        <v>0</v>
      </c>
      <c r="AA91" s="31">
        <f t="shared" si="9"/>
        <v>2180513.4160398669</v>
      </c>
      <c r="AB91" s="31">
        <v>4858.55</v>
      </c>
      <c r="AD91" s="42" t="s">
        <v>259</v>
      </c>
      <c r="AE91" s="42" t="s">
        <v>260</v>
      </c>
      <c r="AF91" s="43" t="s">
        <v>1275</v>
      </c>
      <c r="AG91" s="44">
        <v>32</v>
      </c>
      <c r="AH91" s="31">
        <v>2062384.6483502393</v>
      </c>
      <c r="AI91" s="31">
        <v>22068.18</v>
      </c>
      <c r="AJ91" s="31">
        <v>0</v>
      </c>
      <c r="AK91" s="31">
        <v>0</v>
      </c>
      <c r="AL91" s="31">
        <v>65571.688539279159</v>
      </c>
      <c r="AM91" s="31">
        <v>67663.722709433758</v>
      </c>
      <c r="AN91" s="31">
        <v>0</v>
      </c>
      <c r="AO91" s="31">
        <f t="shared" si="10"/>
        <v>2222632.7695989516</v>
      </c>
      <c r="AP91" s="31">
        <v>4944.53</v>
      </c>
      <c r="AR91" s="42" t="s">
        <v>259</v>
      </c>
      <c r="AS91" s="42" t="s">
        <v>260</v>
      </c>
      <c r="AT91" s="43" t="s">
        <v>1276</v>
      </c>
      <c r="AU91" s="44">
        <v>32</v>
      </c>
      <c r="AV91" s="31">
        <v>2099001.6119852802</v>
      </c>
      <c r="AW91" s="31">
        <v>21275.75</v>
      </c>
      <c r="AX91" s="31">
        <v>0</v>
      </c>
      <c r="AY91" s="31">
        <v>0</v>
      </c>
      <c r="AZ91" s="31">
        <v>66386.323797666002</v>
      </c>
      <c r="BA91" s="31">
        <v>67666.922248798423</v>
      </c>
      <c r="BB91" s="31">
        <v>0</v>
      </c>
      <c r="BC91" s="31">
        <f t="shared" si="11"/>
        <v>2259367.2180317445</v>
      </c>
      <c r="BD91" s="31">
        <v>5036.6100000000006</v>
      </c>
    </row>
    <row r="92" spans="2:56">
      <c r="B92" s="42" t="s">
        <v>265</v>
      </c>
      <c r="C92" s="42" t="s">
        <v>266</v>
      </c>
      <c r="D92" s="43" t="s">
        <v>1049</v>
      </c>
      <c r="E92" s="44">
        <v>32</v>
      </c>
      <c r="F92" s="31">
        <v>18534781.405275632</v>
      </c>
      <c r="G92" s="31">
        <v>825827.14999999991</v>
      </c>
      <c r="H92" s="31">
        <v>108843.53000000001</v>
      </c>
      <c r="I92" s="31">
        <v>0</v>
      </c>
      <c r="J92" s="31">
        <v>2616339.1519687646</v>
      </c>
      <c r="K92" s="31">
        <v>513964.93255708745</v>
      </c>
      <c r="L92" s="31">
        <v>953505.55392894894</v>
      </c>
      <c r="M92" s="31">
        <f t="shared" si="8"/>
        <v>23709072.653730433</v>
      </c>
      <c r="N92" s="31">
        <v>155810.93000000002</v>
      </c>
      <c r="P92" s="42" t="s">
        <v>265</v>
      </c>
      <c r="Q92" s="42" t="s">
        <v>266</v>
      </c>
      <c r="R92" s="43" t="s">
        <v>1050</v>
      </c>
      <c r="S92" s="44">
        <v>32</v>
      </c>
      <c r="T92" s="31">
        <v>19361055.881324165</v>
      </c>
      <c r="U92" s="31">
        <v>858781.97</v>
      </c>
      <c r="V92" s="31">
        <v>113023.25000000001</v>
      </c>
      <c r="W92" s="31">
        <v>0</v>
      </c>
      <c r="X92" s="31">
        <v>2717500.5293689473</v>
      </c>
      <c r="Y92" s="31">
        <v>514573.00577292783</v>
      </c>
      <c r="Z92" s="31">
        <v>997043.19416977721</v>
      </c>
      <c r="AA92" s="31">
        <f t="shared" si="9"/>
        <v>24721619.170635819</v>
      </c>
      <c r="AB92" s="31">
        <v>159641.34000000003</v>
      </c>
      <c r="AD92" s="42" t="s">
        <v>265</v>
      </c>
      <c r="AE92" s="42" t="s">
        <v>266</v>
      </c>
      <c r="AF92" s="43" t="s">
        <v>1275</v>
      </c>
      <c r="AG92" s="44">
        <v>32</v>
      </c>
      <c r="AH92" s="31">
        <v>19507815.476307869</v>
      </c>
      <c r="AI92" s="31">
        <v>867225.26</v>
      </c>
      <c r="AJ92" s="31">
        <v>115234.12999999999</v>
      </c>
      <c r="AK92" s="31">
        <v>0</v>
      </c>
      <c r="AL92" s="31">
        <v>2764778.9989548898</v>
      </c>
      <c r="AM92" s="31">
        <v>514366.42556771869</v>
      </c>
      <c r="AN92" s="31">
        <v>1016247.9965915023</v>
      </c>
      <c r="AO92" s="31">
        <f t="shared" si="10"/>
        <v>24948122.22742198</v>
      </c>
      <c r="AP92" s="31">
        <v>162453.94</v>
      </c>
      <c r="AR92" s="42" t="s">
        <v>265</v>
      </c>
      <c r="AS92" s="42" t="s">
        <v>266</v>
      </c>
      <c r="AT92" s="43" t="s">
        <v>1276</v>
      </c>
      <c r="AU92" s="44">
        <v>32</v>
      </c>
      <c r="AV92" s="31">
        <v>19860295.796165969</v>
      </c>
      <c r="AW92" s="31">
        <v>881124.99</v>
      </c>
      <c r="AX92" s="31">
        <v>117338.40999999999</v>
      </c>
      <c r="AY92" s="31">
        <v>0</v>
      </c>
      <c r="AZ92" s="31">
        <v>2820686.7027479024</v>
      </c>
      <c r="BA92" s="31">
        <v>514399.2997802787</v>
      </c>
      <c r="BB92" s="31">
        <v>1034982.9802546098</v>
      </c>
      <c r="BC92" s="31">
        <f t="shared" si="11"/>
        <v>25394294.42894876</v>
      </c>
      <c r="BD92" s="31">
        <v>165466.25000000003</v>
      </c>
    </row>
    <row r="93" spans="2:56">
      <c r="B93" s="42" t="s">
        <v>139</v>
      </c>
      <c r="C93" s="42" t="s">
        <v>140</v>
      </c>
      <c r="D93" s="43" t="s">
        <v>1049</v>
      </c>
      <c r="E93" s="44">
        <v>32</v>
      </c>
      <c r="F93" s="31">
        <v>5988564.7930151904</v>
      </c>
      <c r="G93" s="31">
        <v>329258.97000000009</v>
      </c>
      <c r="H93" s="31">
        <v>0</v>
      </c>
      <c r="I93" s="31">
        <v>20170.64</v>
      </c>
      <c r="J93" s="31">
        <v>870886.80414785841</v>
      </c>
      <c r="K93" s="31">
        <v>483437.74882389733</v>
      </c>
      <c r="L93" s="31">
        <v>300792.25297684624</v>
      </c>
      <c r="M93" s="31">
        <f t="shared" si="8"/>
        <v>8198033.288963791</v>
      </c>
      <c r="N93" s="31">
        <v>204922.08</v>
      </c>
      <c r="P93" s="42" t="s">
        <v>139</v>
      </c>
      <c r="Q93" s="42" t="s">
        <v>140</v>
      </c>
      <c r="R93" s="43" t="s">
        <v>1050</v>
      </c>
      <c r="S93" s="44">
        <v>32</v>
      </c>
      <c r="T93" s="31">
        <v>6109465.6308410047</v>
      </c>
      <c r="U93" s="31">
        <v>337246.68</v>
      </c>
      <c r="V93" s="31">
        <v>0</v>
      </c>
      <c r="W93" s="31">
        <v>20439.3</v>
      </c>
      <c r="X93" s="31">
        <v>899402.80137418373</v>
      </c>
      <c r="Y93" s="31">
        <v>483893.74967191834</v>
      </c>
      <c r="Z93" s="31">
        <v>314421.55871099664</v>
      </c>
      <c r="AA93" s="31">
        <f t="shared" si="9"/>
        <v>8374829.5305981031</v>
      </c>
      <c r="AB93" s="31">
        <v>209959.81</v>
      </c>
      <c r="AD93" s="42" t="s">
        <v>139</v>
      </c>
      <c r="AE93" s="42" t="s">
        <v>140</v>
      </c>
      <c r="AF93" s="43" t="s">
        <v>1275</v>
      </c>
      <c r="AG93" s="44">
        <v>32</v>
      </c>
      <c r="AH93" s="31">
        <v>6267052.6317355353</v>
      </c>
      <c r="AI93" s="31">
        <v>344251.6</v>
      </c>
      <c r="AJ93" s="31">
        <v>0</v>
      </c>
      <c r="AK93" s="31">
        <v>20839.12</v>
      </c>
      <c r="AL93" s="31">
        <v>918046.24084679945</v>
      </c>
      <c r="AM93" s="31">
        <v>483738.83288508124</v>
      </c>
      <c r="AN93" s="31">
        <v>320477.96382025583</v>
      </c>
      <c r="AO93" s="31">
        <f t="shared" si="10"/>
        <v>8568065.3392876703</v>
      </c>
      <c r="AP93" s="31">
        <v>213658.94999999998</v>
      </c>
      <c r="AR93" s="42" t="s">
        <v>139</v>
      </c>
      <c r="AS93" s="42" t="s">
        <v>140</v>
      </c>
      <c r="AT93" s="43" t="s">
        <v>1276</v>
      </c>
      <c r="AU93" s="44">
        <v>32</v>
      </c>
      <c r="AV93" s="31">
        <v>6401459.0129344165</v>
      </c>
      <c r="AW93" s="31">
        <v>348061.68999999994</v>
      </c>
      <c r="AX93" s="31">
        <v>0</v>
      </c>
      <c r="AY93" s="31">
        <v>21114.62</v>
      </c>
      <c r="AZ93" s="31">
        <v>937310.91309989069</v>
      </c>
      <c r="BA93" s="31">
        <v>483763.48562165123</v>
      </c>
      <c r="BB93" s="31">
        <v>326386.28152559226</v>
      </c>
      <c r="BC93" s="31">
        <f t="shared" si="11"/>
        <v>8735716.7331815511</v>
      </c>
      <c r="BD93" s="31">
        <v>217620.72999999998</v>
      </c>
    </row>
    <row r="94" spans="2:56">
      <c r="B94" s="42" t="s">
        <v>593</v>
      </c>
      <c r="C94" s="42" t="s">
        <v>594</v>
      </c>
      <c r="D94" s="43" t="s">
        <v>1049</v>
      </c>
      <c r="E94" s="44">
        <v>32</v>
      </c>
      <c r="F94" s="31">
        <v>27605209.846428059</v>
      </c>
      <c r="G94" s="31">
        <v>1863105.0100000002</v>
      </c>
      <c r="H94" s="31">
        <v>1724346.56</v>
      </c>
      <c r="I94" s="31">
        <v>98417.150000000009</v>
      </c>
      <c r="J94" s="31">
        <v>4371075.3524244875</v>
      </c>
      <c r="K94" s="31">
        <v>1176908.6340059193</v>
      </c>
      <c r="L94" s="31">
        <v>2832168.8244953472</v>
      </c>
      <c r="M94" s="31">
        <f t="shared" si="8"/>
        <v>40689118.147353813</v>
      </c>
      <c r="N94" s="31">
        <v>1017886.77</v>
      </c>
      <c r="P94" s="42" t="s">
        <v>593</v>
      </c>
      <c r="Q94" s="42" t="s">
        <v>594</v>
      </c>
      <c r="R94" s="43" t="s">
        <v>1050</v>
      </c>
      <c r="S94" s="44">
        <v>32</v>
      </c>
      <c r="T94" s="31">
        <v>27822366.386299349</v>
      </c>
      <c r="U94" s="31">
        <v>1875052.2200000002</v>
      </c>
      <c r="V94" s="31">
        <v>1790563.22</v>
      </c>
      <c r="W94" s="31">
        <v>98250.289999999979</v>
      </c>
      <c r="X94" s="31">
        <v>4525147.5805762829</v>
      </c>
      <c r="Y94" s="31">
        <v>1177746.315203622</v>
      </c>
      <c r="Z94" s="31">
        <v>2961351.6420248486</v>
      </c>
      <c r="AA94" s="31">
        <f t="shared" si="9"/>
        <v>41293387.804104097</v>
      </c>
      <c r="AB94" s="31">
        <v>1042910.15</v>
      </c>
      <c r="AD94" s="42" t="s">
        <v>593</v>
      </c>
      <c r="AE94" s="42" t="s">
        <v>594</v>
      </c>
      <c r="AF94" s="43" t="s">
        <v>1275</v>
      </c>
      <c r="AG94" s="44">
        <v>32</v>
      </c>
      <c r="AH94" s="31">
        <v>27927155.026283763</v>
      </c>
      <c r="AI94" s="31">
        <v>1884561.5899999999</v>
      </c>
      <c r="AJ94" s="31">
        <v>1825588.9199999997</v>
      </c>
      <c r="AK94" s="31">
        <v>98624.73</v>
      </c>
      <c r="AL94" s="31">
        <v>4617013.4933229797</v>
      </c>
      <c r="AM94" s="31">
        <v>1177461.7304707095</v>
      </c>
      <c r="AN94" s="31">
        <v>3018392.6292771082</v>
      </c>
      <c r="AO94" s="31">
        <f t="shared" si="10"/>
        <v>41610082.579354562</v>
      </c>
      <c r="AP94" s="31">
        <v>1061284.46</v>
      </c>
      <c r="AR94" s="42" t="s">
        <v>593</v>
      </c>
      <c r="AS94" s="42" t="s">
        <v>594</v>
      </c>
      <c r="AT94" s="43" t="s">
        <v>1276</v>
      </c>
      <c r="AU94" s="44">
        <v>32</v>
      </c>
      <c r="AV94" s="31">
        <v>27699007.034628134</v>
      </c>
      <c r="AW94" s="31">
        <v>1870564.6799999997</v>
      </c>
      <c r="AX94" s="31">
        <v>1858925.8599999996</v>
      </c>
      <c r="AY94" s="31">
        <v>97904.560000000012</v>
      </c>
      <c r="AZ94" s="31">
        <v>4708756.0130754402</v>
      </c>
      <c r="BA94" s="31">
        <v>1177507.0179608231</v>
      </c>
      <c r="BB94" s="31">
        <v>3074038.2656509993</v>
      </c>
      <c r="BC94" s="31">
        <f t="shared" si="11"/>
        <v>41567666.781315401</v>
      </c>
      <c r="BD94" s="31">
        <v>1080963.3500000001</v>
      </c>
    </row>
    <row r="95" spans="2:56">
      <c r="B95" s="42" t="s">
        <v>601</v>
      </c>
      <c r="C95" s="42" t="s">
        <v>602</v>
      </c>
      <c r="D95" s="43" t="s">
        <v>1049</v>
      </c>
      <c r="E95" s="44">
        <v>32</v>
      </c>
      <c r="F95" s="31">
        <v>11098922.818280533</v>
      </c>
      <c r="G95" s="31">
        <v>825632.24000000011</v>
      </c>
      <c r="H95" s="31">
        <v>901052.95</v>
      </c>
      <c r="I95" s="31">
        <v>40828.519999999997</v>
      </c>
      <c r="J95" s="31">
        <v>1842467.0536756071</v>
      </c>
      <c r="K95" s="31">
        <v>534062.38875469787</v>
      </c>
      <c r="L95" s="31">
        <v>1658149.3210313136</v>
      </c>
      <c r="M95" s="31">
        <f t="shared" si="8"/>
        <v>17311836.411742151</v>
      </c>
      <c r="N95" s="31">
        <v>410721.12</v>
      </c>
      <c r="P95" s="42" t="s">
        <v>601</v>
      </c>
      <c r="Q95" s="42" t="s">
        <v>602</v>
      </c>
      <c r="R95" s="43" t="s">
        <v>1050</v>
      </c>
      <c r="S95" s="44">
        <v>32</v>
      </c>
      <c r="T95" s="31">
        <v>11583933.520100955</v>
      </c>
      <c r="U95" s="31">
        <v>862304.1599999998</v>
      </c>
      <c r="V95" s="31">
        <v>935654.29999999993</v>
      </c>
      <c r="W95" s="31">
        <v>42396.38</v>
      </c>
      <c r="X95" s="31">
        <v>1896459.5375291051</v>
      </c>
      <c r="Y95" s="31">
        <v>534584.38127326267</v>
      </c>
      <c r="Z95" s="31">
        <v>1733771.949942566</v>
      </c>
      <c r="AA95" s="31">
        <f t="shared" si="9"/>
        <v>18009922.378845889</v>
      </c>
      <c r="AB95" s="31">
        <v>420818.15</v>
      </c>
      <c r="AD95" s="42" t="s">
        <v>601</v>
      </c>
      <c r="AE95" s="42" t="s">
        <v>602</v>
      </c>
      <c r="AF95" s="43" t="s">
        <v>1275</v>
      </c>
      <c r="AG95" s="44">
        <v>32</v>
      </c>
      <c r="AH95" s="31">
        <v>12059155.736057321</v>
      </c>
      <c r="AI95" s="31">
        <v>896186.3</v>
      </c>
      <c r="AJ95" s="31">
        <v>953956.86999999988</v>
      </c>
      <c r="AK95" s="31">
        <v>44051.009999999995</v>
      </c>
      <c r="AL95" s="31">
        <v>1932318.5861269063</v>
      </c>
      <c r="AM95" s="31">
        <v>534407.04519136716</v>
      </c>
      <c r="AN95" s="31">
        <v>1767167.5258358731</v>
      </c>
      <c r="AO95" s="31">
        <f t="shared" si="10"/>
        <v>18615475.323211465</v>
      </c>
      <c r="AP95" s="31">
        <v>428232.25000000006</v>
      </c>
      <c r="AR95" s="42" t="s">
        <v>601</v>
      </c>
      <c r="AS95" s="42" t="s">
        <v>602</v>
      </c>
      <c r="AT95" s="43" t="s">
        <v>1276</v>
      </c>
      <c r="AU95" s="44">
        <v>32</v>
      </c>
      <c r="AV95" s="31">
        <v>12455579.387024425</v>
      </c>
      <c r="AW95" s="31">
        <v>922200.34000000008</v>
      </c>
      <c r="AX95" s="31">
        <v>971376.99999999988</v>
      </c>
      <c r="AY95" s="31">
        <v>45275.6</v>
      </c>
      <c r="AZ95" s="31">
        <v>1971460.9516856631</v>
      </c>
      <c r="BA95" s="31">
        <v>534435.26563022705</v>
      </c>
      <c r="BB95" s="31">
        <v>1799746.0995089649</v>
      </c>
      <c r="BC95" s="31">
        <f t="shared" si="11"/>
        <v>19136247.403849281</v>
      </c>
      <c r="BD95" s="31">
        <v>436172.76000000007</v>
      </c>
    </row>
    <row r="96" spans="2:56">
      <c r="B96" s="42" t="s">
        <v>447</v>
      </c>
      <c r="C96" s="42" t="s">
        <v>448</v>
      </c>
      <c r="D96" s="43" t="s">
        <v>1049</v>
      </c>
      <c r="E96" s="44">
        <v>32</v>
      </c>
      <c r="F96" s="31">
        <v>18571884.828790981</v>
      </c>
      <c r="G96" s="31">
        <v>688808.70000000007</v>
      </c>
      <c r="H96" s="31">
        <v>139227.29</v>
      </c>
      <c r="I96" s="31">
        <v>67242.899999999994</v>
      </c>
      <c r="J96" s="31">
        <v>3208117.1660679472</v>
      </c>
      <c r="K96" s="31">
        <v>1596233.6024708068</v>
      </c>
      <c r="L96" s="31">
        <v>1972302.8211859725</v>
      </c>
      <c r="M96" s="31">
        <f t="shared" si="8"/>
        <v>26306103.208515704</v>
      </c>
      <c r="N96" s="31">
        <v>62285.9</v>
      </c>
      <c r="P96" s="42" t="s">
        <v>447</v>
      </c>
      <c r="Q96" s="42" t="s">
        <v>448</v>
      </c>
      <c r="R96" s="43" t="s">
        <v>1050</v>
      </c>
      <c r="S96" s="44">
        <v>32</v>
      </c>
      <c r="T96" s="31">
        <v>18737873.16816308</v>
      </c>
      <c r="U96" s="31">
        <v>698685.80999999994</v>
      </c>
      <c r="V96" s="31">
        <v>144433.21</v>
      </c>
      <c r="W96" s="31">
        <v>68192.159999999989</v>
      </c>
      <c r="X96" s="31">
        <v>3308481.9077618849</v>
      </c>
      <c r="Y96" s="31">
        <v>1597454.0891416857</v>
      </c>
      <c r="Z96" s="31">
        <v>2041366.9035430844</v>
      </c>
      <c r="AA96" s="31">
        <f t="shared" si="9"/>
        <v>26660323.908609733</v>
      </c>
      <c r="AB96" s="31">
        <v>63836.66</v>
      </c>
      <c r="AD96" s="42" t="s">
        <v>447</v>
      </c>
      <c r="AE96" s="42" t="s">
        <v>448</v>
      </c>
      <c r="AF96" s="43" t="s">
        <v>1275</v>
      </c>
      <c r="AG96" s="44">
        <v>32</v>
      </c>
      <c r="AH96" s="31">
        <v>19607572.904426806</v>
      </c>
      <c r="AI96" s="31">
        <v>730268.68000000017</v>
      </c>
      <c r="AJ96" s="31">
        <v>147263.18999999997</v>
      </c>
      <c r="AK96" s="31">
        <v>71238</v>
      </c>
      <c r="AL96" s="31">
        <v>3367832.807972888</v>
      </c>
      <c r="AM96" s="31">
        <v>1597007.7637481212</v>
      </c>
      <c r="AN96" s="31">
        <v>2080773.5007100664</v>
      </c>
      <c r="AO96" s="31">
        <f t="shared" si="10"/>
        <v>27666932.196857885</v>
      </c>
      <c r="AP96" s="31">
        <v>64975.35</v>
      </c>
      <c r="AR96" s="42" t="s">
        <v>447</v>
      </c>
      <c r="AS96" s="42" t="s">
        <v>448</v>
      </c>
      <c r="AT96" s="43" t="s">
        <v>1276</v>
      </c>
      <c r="AU96" s="44">
        <v>32</v>
      </c>
      <c r="AV96" s="31">
        <v>20212096.060884692</v>
      </c>
      <c r="AW96" s="31">
        <v>748645.96</v>
      </c>
      <c r="AX96" s="31">
        <v>149989.22</v>
      </c>
      <c r="AY96" s="31">
        <v>73021.069999999992</v>
      </c>
      <c r="AZ96" s="31">
        <v>3446042.095380018</v>
      </c>
      <c r="BA96" s="31">
        <v>1597077.1506204312</v>
      </c>
      <c r="BB96" s="31">
        <v>2119526.1559762238</v>
      </c>
      <c r="BC96" s="31">
        <f t="shared" si="11"/>
        <v>28412592.602861367</v>
      </c>
      <c r="BD96" s="31">
        <v>66194.89</v>
      </c>
    </row>
    <row r="97" spans="2:56">
      <c r="B97" s="42" t="s">
        <v>315</v>
      </c>
      <c r="C97" s="42" t="s">
        <v>316</v>
      </c>
      <c r="D97" s="43" t="s">
        <v>1049</v>
      </c>
      <c r="E97" s="44">
        <v>32</v>
      </c>
      <c r="F97" s="31">
        <v>1912066.7698928902</v>
      </c>
      <c r="G97" s="31">
        <v>60901.709999999992</v>
      </c>
      <c r="H97" s="31">
        <v>0</v>
      </c>
      <c r="I97" s="31">
        <v>6041.4600000000009</v>
      </c>
      <c r="J97" s="31">
        <v>223096.85187945142</v>
      </c>
      <c r="K97" s="31">
        <v>145464.32756712576</v>
      </c>
      <c r="L97" s="31">
        <v>0</v>
      </c>
      <c r="M97" s="31">
        <f t="shared" si="8"/>
        <v>2347571.119339467</v>
      </c>
      <c r="N97" s="31">
        <v>0</v>
      </c>
      <c r="P97" s="42" t="s">
        <v>315</v>
      </c>
      <c r="Q97" s="42" t="s">
        <v>316</v>
      </c>
      <c r="R97" s="43" t="s">
        <v>1050</v>
      </c>
      <c r="S97" s="44">
        <v>32</v>
      </c>
      <c r="T97" s="31">
        <v>2003558.8214192982</v>
      </c>
      <c r="U97" s="31">
        <v>63645.14</v>
      </c>
      <c r="V97" s="31">
        <v>0</v>
      </c>
      <c r="W97" s="31">
        <v>6273.44</v>
      </c>
      <c r="X97" s="31">
        <v>231129.18226930752</v>
      </c>
      <c r="Y97" s="31">
        <v>145588.21037675545</v>
      </c>
      <c r="Z97" s="31">
        <v>0</v>
      </c>
      <c r="AA97" s="31">
        <f t="shared" si="9"/>
        <v>2450194.7940653609</v>
      </c>
      <c r="AB97" s="31">
        <v>0</v>
      </c>
      <c r="AD97" s="42" t="s">
        <v>315</v>
      </c>
      <c r="AE97" s="42" t="s">
        <v>316</v>
      </c>
      <c r="AF97" s="43" t="s">
        <v>1275</v>
      </c>
      <c r="AG97" s="44">
        <v>32</v>
      </c>
      <c r="AH97" s="31">
        <v>2039102.9818531671</v>
      </c>
      <c r="AI97" s="31">
        <v>64890.130000000005</v>
      </c>
      <c r="AJ97" s="31">
        <v>0</v>
      </c>
      <c r="AK97" s="31">
        <v>6396.16</v>
      </c>
      <c r="AL97" s="31">
        <v>235084.74686253458</v>
      </c>
      <c r="AM97" s="31">
        <v>145546.12377341802</v>
      </c>
      <c r="AN97" s="31">
        <v>0</v>
      </c>
      <c r="AO97" s="31">
        <f t="shared" si="10"/>
        <v>2491020.1424891194</v>
      </c>
      <c r="AP97" s="31">
        <v>0</v>
      </c>
      <c r="AR97" s="42" t="s">
        <v>315</v>
      </c>
      <c r="AS97" s="42" t="s">
        <v>316</v>
      </c>
      <c r="AT97" s="43" t="s">
        <v>1276</v>
      </c>
      <c r="AU97" s="44">
        <v>32</v>
      </c>
      <c r="AV97" s="31">
        <v>2068116.8821555683</v>
      </c>
      <c r="AW97" s="31">
        <v>65759.91</v>
      </c>
      <c r="AX97" s="31">
        <v>0</v>
      </c>
      <c r="AY97" s="31">
        <v>6512.9499999999989</v>
      </c>
      <c r="AZ97" s="31">
        <v>239559.66370041418</v>
      </c>
      <c r="BA97" s="31">
        <v>145552.82123962804</v>
      </c>
      <c r="BB97" s="31">
        <v>0</v>
      </c>
      <c r="BC97" s="31">
        <f t="shared" si="11"/>
        <v>2525502.2270956109</v>
      </c>
      <c r="BD97" s="31">
        <v>0</v>
      </c>
    </row>
    <row r="98" spans="2:56">
      <c r="B98" s="42" t="s">
        <v>455</v>
      </c>
      <c r="C98" s="42" t="s">
        <v>456</v>
      </c>
      <c r="D98" s="43" t="s">
        <v>1049</v>
      </c>
      <c r="E98" s="44">
        <v>32</v>
      </c>
      <c r="F98" s="31">
        <v>423367.89391142561</v>
      </c>
      <c r="G98" s="31">
        <v>7600.5400000000009</v>
      </c>
      <c r="H98" s="31">
        <v>0</v>
      </c>
      <c r="I98" s="31">
        <v>0</v>
      </c>
      <c r="J98" s="31">
        <v>26174.992485148319</v>
      </c>
      <c r="K98" s="31">
        <v>155905.36294333485</v>
      </c>
      <c r="L98" s="31">
        <v>0</v>
      </c>
      <c r="M98" s="31">
        <f t="shared" si="8"/>
        <v>613048.78933990875</v>
      </c>
      <c r="N98" s="31">
        <v>0</v>
      </c>
      <c r="P98" s="42" t="s">
        <v>455</v>
      </c>
      <c r="Q98" s="42" t="s">
        <v>456</v>
      </c>
      <c r="R98" s="43" t="s">
        <v>1050</v>
      </c>
      <c r="S98" s="44">
        <v>32</v>
      </c>
      <c r="T98" s="31">
        <v>444286.96561385295</v>
      </c>
      <c r="U98" s="31">
        <v>11231.499999999998</v>
      </c>
      <c r="V98" s="31">
        <v>0</v>
      </c>
      <c r="W98" s="31">
        <v>0</v>
      </c>
      <c r="X98" s="31">
        <v>26523.735573380411</v>
      </c>
      <c r="Y98" s="31">
        <v>156111.54617280414</v>
      </c>
      <c r="Z98" s="31">
        <v>0</v>
      </c>
      <c r="AA98" s="31">
        <f t="shared" si="9"/>
        <v>638153.74736003752</v>
      </c>
      <c r="AB98" s="31">
        <v>0</v>
      </c>
      <c r="AD98" s="42" t="s">
        <v>455</v>
      </c>
      <c r="AE98" s="42" t="s">
        <v>456</v>
      </c>
      <c r="AF98" s="43" t="s">
        <v>1275</v>
      </c>
      <c r="AG98" s="44">
        <v>32</v>
      </c>
      <c r="AH98" s="31">
        <v>453791.44241460133</v>
      </c>
      <c r="AI98" s="31">
        <v>11451.199999999997</v>
      </c>
      <c r="AJ98" s="31">
        <v>0</v>
      </c>
      <c r="AK98" s="31">
        <v>0</v>
      </c>
      <c r="AL98" s="31">
        <v>26824.461345074586</v>
      </c>
      <c r="AM98" s="31">
        <v>156041.49971664575</v>
      </c>
      <c r="AN98" s="31">
        <v>0</v>
      </c>
      <c r="AO98" s="31">
        <f t="shared" si="10"/>
        <v>648108.60347632167</v>
      </c>
      <c r="AP98" s="31">
        <v>0</v>
      </c>
      <c r="AR98" s="42" t="s">
        <v>455</v>
      </c>
      <c r="AS98" s="42" t="s">
        <v>456</v>
      </c>
      <c r="AT98" s="43" t="s">
        <v>1276</v>
      </c>
      <c r="AU98" s="44">
        <v>32</v>
      </c>
      <c r="AV98" s="31">
        <v>457170.90786669374</v>
      </c>
      <c r="AW98" s="31">
        <v>11660.32</v>
      </c>
      <c r="AX98" s="31">
        <v>0</v>
      </c>
      <c r="AY98" s="31">
        <v>0</v>
      </c>
      <c r="AZ98" s="31">
        <v>28292.697348060847</v>
      </c>
      <c r="BA98" s="31">
        <v>156052.64658372576</v>
      </c>
      <c r="BB98" s="31">
        <v>0</v>
      </c>
      <c r="BC98" s="31">
        <f t="shared" si="11"/>
        <v>653176.57179848035</v>
      </c>
      <c r="BD98" s="31">
        <v>0</v>
      </c>
    </row>
    <row r="99" spans="2:56">
      <c r="B99" s="42" t="s">
        <v>1023</v>
      </c>
      <c r="C99" s="42" t="s">
        <v>1041</v>
      </c>
      <c r="D99" s="43" t="s">
        <v>1049</v>
      </c>
      <c r="E99" s="44">
        <v>32</v>
      </c>
      <c r="F99" s="31">
        <v>2651337.9339300469</v>
      </c>
      <c r="G99" s="31">
        <v>0</v>
      </c>
      <c r="H99" s="31">
        <v>46184.36</v>
      </c>
      <c r="I99" s="31">
        <v>0</v>
      </c>
      <c r="J99" s="31">
        <v>197015.1047303337</v>
      </c>
      <c r="K99" s="31">
        <v>443653.05</v>
      </c>
      <c r="L99" s="31">
        <v>0</v>
      </c>
      <c r="M99" s="31">
        <f t="shared" si="8"/>
        <v>3338190.4486603802</v>
      </c>
      <c r="N99" s="31">
        <v>0</v>
      </c>
      <c r="P99" s="42" t="s">
        <v>1023</v>
      </c>
      <c r="Q99" s="42" t="s">
        <v>1041</v>
      </c>
      <c r="R99" s="43" t="s">
        <v>1050</v>
      </c>
      <c r="S99" s="44">
        <v>32</v>
      </c>
      <c r="T99" s="31">
        <v>3266373.136094518</v>
      </c>
      <c r="U99" s="31">
        <v>0</v>
      </c>
      <c r="V99" s="31">
        <v>47891.159999999996</v>
      </c>
      <c r="W99" s="31">
        <v>0</v>
      </c>
      <c r="X99" s="31">
        <v>202720.34039047171</v>
      </c>
      <c r="Y99" s="31">
        <v>443653.05</v>
      </c>
      <c r="Z99" s="31">
        <v>0</v>
      </c>
      <c r="AA99" s="31">
        <f t="shared" si="9"/>
        <v>3960637.6864849897</v>
      </c>
      <c r="AB99" s="31">
        <v>0</v>
      </c>
      <c r="AD99" s="42" t="s">
        <v>1023</v>
      </c>
      <c r="AE99" s="42" t="s">
        <v>1041</v>
      </c>
      <c r="AF99" s="43" t="s">
        <v>1275</v>
      </c>
      <c r="AG99" s="44">
        <v>32</v>
      </c>
      <c r="AH99" s="31">
        <v>3966736.8055690043</v>
      </c>
      <c r="AI99" s="31">
        <v>0</v>
      </c>
      <c r="AJ99" s="31">
        <v>48830.2</v>
      </c>
      <c r="AK99" s="31">
        <v>0</v>
      </c>
      <c r="AL99" s="31">
        <v>205969.48955405055</v>
      </c>
      <c r="AM99" s="31">
        <v>443653.05</v>
      </c>
      <c r="AN99" s="31">
        <v>0</v>
      </c>
      <c r="AO99" s="31">
        <f t="shared" si="10"/>
        <v>4665189.5451230546</v>
      </c>
      <c r="AP99" s="31">
        <v>0</v>
      </c>
      <c r="AR99" s="42" t="s">
        <v>1023</v>
      </c>
      <c r="AS99" s="42" t="s">
        <v>1041</v>
      </c>
      <c r="AT99" s="43" t="s">
        <v>1276</v>
      </c>
      <c r="AU99" s="44">
        <v>32</v>
      </c>
      <c r="AV99" s="31">
        <v>4912542.8167179786</v>
      </c>
      <c r="AW99" s="31">
        <v>0</v>
      </c>
      <c r="AX99" s="31">
        <v>49739.389999999992</v>
      </c>
      <c r="AY99" s="31">
        <v>0</v>
      </c>
      <c r="AZ99" s="31">
        <v>208995.5953072031</v>
      </c>
      <c r="BA99" s="31">
        <v>443653.05</v>
      </c>
      <c r="BB99" s="31">
        <v>0</v>
      </c>
      <c r="BC99" s="31">
        <f t="shared" si="11"/>
        <v>5614930.8520251811</v>
      </c>
      <c r="BD99" s="31">
        <v>0</v>
      </c>
    </row>
    <row r="100" spans="2:56">
      <c r="B100" s="42" t="s">
        <v>61</v>
      </c>
      <c r="C100" s="42" t="s">
        <v>62</v>
      </c>
      <c r="D100" s="43" t="s">
        <v>1049</v>
      </c>
      <c r="E100" s="44">
        <v>32</v>
      </c>
      <c r="F100" s="31">
        <v>1361698.2623225916</v>
      </c>
      <c r="G100" s="31">
        <v>48526.47</v>
      </c>
      <c r="H100" s="31">
        <v>0</v>
      </c>
      <c r="I100" s="31">
        <v>4287.4900000000007</v>
      </c>
      <c r="J100" s="31">
        <v>186065.36220417946</v>
      </c>
      <c r="K100" s="31">
        <v>182148.95969046818</v>
      </c>
      <c r="L100" s="31">
        <v>0</v>
      </c>
      <c r="M100" s="31">
        <f t="shared" si="8"/>
        <v>1782726.5442172391</v>
      </c>
      <c r="N100" s="31">
        <v>0</v>
      </c>
      <c r="P100" s="42" t="s">
        <v>61</v>
      </c>
      <c r="Q100" s="42" t="s">
        <v>62</v>
      </c>
      <c r="R100" s="43" t="s">
        <v>1050</v>
      </c>
      <c r="S100" s="44">
        <v>32</v>
      </c>
      <c r="T100" s="31">
        <v>1367887.7579503586</v>
      </c>
      <c r="U100" s="31">
        <v>48062.700000000004</v>
      </c>
      <c r="V100" s="31">
        <v>0</v>
      </c>
      <c r="W100" s="31">
        <v>4249.7499999999991</v>
      </c>
      <c r="X100" s="31">
        <v>192288.84929400258</v>
      </c>
      <c r="Y100" s="31">
        <v>182280.9428036368</v>
      </c>
      <c r="Z100" s="31">
        <v>0</v>
      </c>
      <c r="AA100" s="31">
        <f t="shared" si="9"/>
        <v>1794770.000047998</v>
      </c>
      <c r="AB100" s="31">
        <v>0</v>
      </c>
      <c r="AD100" s="42" t="s">
        <v>61</v>
      </c>
      <c r="AE100" s="42" t="s">
        <v>62</v>
      </c>
      <c r="AF100" s="43" t="s">
        <v>1275</v>
      </c>
      <c r="AG100" s="44">
        <v>32</v>
      </c>
      <c r="AH100" s="31">
        <v>1416293.4811290458</v>
      </c>
      <c r="AI100" s="31">
        <v>49725.010000000009</v>
      </c>
      <c r="AJ100" s="31">
        <v>0</v>
      </c>
      <c r="AK100" s="31">
        <v>4436.05</v>
      </c>
      <c r="AL100" s="31">
        <v>196254.22811598107</v>
      </c>
      <c r="AM100" s="31">
        <v>182236.10429095075</v>
      </c>
      <c r="AN100" s="31">
        <v>0</v>
      </c>
      <c r="AO100" s="31">
        <f t="shared" si="10"/>
        <v>1848944.8735359777</v>
      </c>
      <c r="AP100" s="31">
        <v>0</v>
      </c>
      <c r="AR100" s="42" t="s">
        <v>61</v>
      </c>
      <c r="AS100" s="42" t="s">
        <v>62</v>
      </c>
      <c r="AT100" s="43" t="s">
        <v>1276</v>
      </c>
      <c r="AU100" s="44">
        <v>32</v>
      </c>
      <c r="AV100" s="31">
        <v>1484504.7984860314</v>
      </c>
      <c r="AW100" s="31">
        <v>51998.67</v>
      </c>
      <c r="AX100" s="31">
        <v>0</v>
      </c>
      <c r="AY100" s="31">
        <v>4622.0999999999995</v>
      </c>
      <c r="AZ100" s="31">
        <v>200313.75022340158</v>
      </c>
      <c r="BA100" s="31">
        <v>182243.23968320881</v>
      </c>
      <c r="BB100" s="31">
        <v>0</v>
      </c>
      <c r="BC100" s="31">
        <f t="shared" si="11"/>
        <v>1923682.5583926418</v>
      </c>
      <c r="BD100" s="31">
        <v>0</v>
      </c>
    </row>
    <row r="101" spans="2:56">
      <c r="B101" s="42" t="s">
        <v>517</v>
      </c>
      <c r="C101" s="42" t="s">
        <v>518</v>
      </c>
      <c r="D101" s="43" t="s">
        <v>1049</v>
      </c>
      <c r="E101" s="44">
        <v>32</v>
      </c>
      <c r="F101" s="31">
        <v>5266566.7732619513</v>
      </c>
      <c r="G101" s="31">
        <v>64312.21</v>
      </c>
      <c r="H101" s="31">
        <v>3410.5</v>
      </c>
      <c r="I101" s="31">
        <v>16955.04</v>
      </c>
      <c r="J101" s="31">
        <v>795840.51088336494</v>
      </c>
      <c r="K101" s="31">
        <v>692073.33428741153</v>
      </c>
      <c r="L101" s="31">
        <v>0</v>
      </c>
      <c r="M101" s="31">
        <f t="shared" si="8"/>
        <v>6839158.3684327276</v>
      </c>
      <c r="N101" s="31">
        <v>0</v>
      </c>
      <c r="P101" s="42" t="s">
        <v>517</v>
      </c>
      <c r="Q101" s="42" t="s">
        <v>518</v>
      </c>
      <c r="R101" s="43" t="s">
        <v>1050</v>
      </c>
      <c r="S101" s="44">
        <v>32</v>
      </c>
      <c r="T101" s="31">
        <v>5544684.1483531017</v>
      </c>
      <c r="U101" s="31">
        <v>67591.34</v>
      </c>
      <c r="V101" s="31">
        <v>3541.4700000000003</v>
      </c>
      <c r="W101" s="31">
        <v>17808.509999999998</v>
      </c>
      <c r="X101" s="31">
        <v>824379.89124766993</v>
      </c>
      <c r="Y101" s="31">
        <v>692766.30011963809</v>
      </c>
      <c r="Z101" s="31">
        <v>0</v>
      </c>
      <c r="AA101" s="31">
        <f t="shared" si="9"/>
        <v>7150771.6597204097</v>
      </c>
      <c r="AB101" s="31">
        <v>0</v>
      </c>
      <c r="AD101" s="42" t="s">
        <v>517</v>
      </c>
      <c r="AE101" s="42" t="s">
        <v>518</v>
      </c>
      <c r="AF101" s="43" t="s">
        <v>1275</v>
      </c>
      <c r="AG101" s="44">
        <v>32</v>
      </c>
      <c r="AH101" s="31">
        <v>5648415.7772717532</v>
      </c>
      <c r="AI101" s="31">
        <v>68913.490000000005</v>
      </c>
      <c r="AJ101" s="31">
        <v>3610.75</v>
      </c>
      <c r="AK101" s="31">
        <v>18156.859999999997</v>
      </c>
      <c r="AL101" s="31">
        <v>839219.67377966677</v>
      </c>
      <c r="AM101" s="31">
        <v>692530.87941684248</v>
      </c>
      <c r="AN101" s="31">
        <v>0</v>
      </c>
      <c r="AO101" s="31">
        <f t="shared" si="10"/>
        <v>7270847.4304682631</v>
      </c>
      <c r="AP101" s="31">
        <v>0</v>
      </c>
      <c r="AR101" s="42" t="s">
        <v>517</v>
      </c>
      <c r="AS101" s="42" t="s">
        <v>518</v>
      </c>
      <c r="AT101" s="43" t="s">
        <v>1276</v>
      </c>
      <c r="AU101" s="44">
        <v>32</v>
      </c>
      <c r="AV101" s="31">
        <v>5755124.1032256018</v>
      </c>
      <c r="AW101" s="31">
        <v>70171.92</v>
      </c>
      <c r="AX101" s="31">
        <v>3676.6800000000003</v>
      </c>
      <c r="AY101" s="31">
        <v>18488.429999999997</v>
      </c>
      <c r="AZ101" s="31">
        <v>855069.39313667174</v>
      </c>
      <c r="BA101" s="31">
        <v>692568.34317198256</v>
      </c>
      <c r="BB101" s="31">
        <v>0</v>
      </c>
      <c r="BC101" s="31">
        <f t="shared" si="11"/>
        <v>7395098.8695342559</v>
      </c>
      <c r="BD101" s="31">
        <v>0</v>
      </c>
    </row>
    <row r="102" spans="2:56">
      <c r="B102" s="42" t="s">
        <v>309</v>
      </c>
      <c r="C102" s="42" t="s">
        <v>310</v>
      </c>
      <c r="D102" s="43" t="s">
        <v>1049</v>
      </c>
      <c r="E102" s="44">
        <v>32</v>
      </c>
      <c r="F102" s="31">
        <v>2191834.168591762</v>
      </c>
      <c r="G102" s="31">
        <v>37729.950000000004</v>
      </c>
      <c r="H102" s="31">
        <v>0</v>
      </c>
      <c r="I102" s="31">
        <v>0</v>
      </c>
      <c r="J102" s="31">
        <v>149848.77340297698</v>
      </c>
      <c r="K102" s="31">
        <v>260521.41208158573</v>
      </c>
      <c r="L102" s="31">
        <v>49739.174243028814</v>
      </c>
      <c r="M102" s="31">
        <f t="shared" si="8"/>
        <v>2723065.4683193536</v>
      </c>
      <c r="N102" s="31">
        <v>33391.99</v>
      </c>
      <c r="P102" s="42" t="s">
        <v>309</v>
      </c>
      <c r="Q102" s="42" t="s">
        <v>310</v>
      </c>
      <c r="R102" s="43" t="s">
        <v>1050</v>
      </c>
      <c r="S102" s="44">
        <v>32</v>
      </c>
      <c r="T102" s="31">
        <v>2164471.3378892234</v>
      </c>
      <c r="U102" s="31">
        <v>39401.48000000001</v>
      </c>
      <c r="V102" s="31">
        <v>0</v>
      </c>
      <c r="W102" s="31">
        <v>0</v>
      </c>
      <c r="X102" s="31">
        <v>151661.79607523567</v>
      </c>
      <c r="Y102" s="31">
        <v>260744.5349347333</v>
      </c>
      <c r="Z102" s="31">
        <v>52026.906031717648</v>
      </c>
      <c r="AA102" s="31">
        <f t="shared" si="9"/>
        <v>2702522.6749309096</v>
      </c>
      <c r="AB102" s="31">
        <v>34216.619999999995</v>
      </c>
      <c r="AD102" s="42" t="s">
        <v>309</v>
      </c>
      <c r="AE102" s="42" t="s">
        <v>310</v>
      </c>
      <c r="AF102" s="43" t="s">
        <v>1275</v>
      </c>
      <c r="AG102" s="44">
        <v>32</v>
      </c>
      <c r="AH102" s="31">
        <v>2214970.8729062378</v>
      </c>
      <c r="AI102" s="31">
        <v>40236.880000000012</v>
      </c>
      <c r="AJ102" s="31">
        <v>0</v>
      </c>
      <c r="AK102" s="31">
        <v>0</v>
      </c>
      <c r="AL102" s="31">
        <v>155453.56053706538</v>
      </c>
      <c r="AM102" s="31">
        <v>260668.73359438585</v>
      </c>
      <c r="AN102" s="31">
        <v>53029.761208910408</v>
      </c>
      <c r="AO102" s="31">
        <f t="shared" si="10"/>
        <v>2759181.9382465994</v>
      </c>
      <c r="AP102" s="31">
        <v>34822.129999999997</v>
      </c>
      <c r="AR102" s="42" t="s">
        <v>309</v>
      </c>
      <c r="AS102" s="42" t="s">
        <v>310</v>
      </c>
      <c r="AT102" s="43" t="s">
        <v>1276</v>
      </c>
      <c r="AU102" s="44">
        <v>32</v>
      </c>
      <c r="AV102" s="31">
        <v>2222491.4977678224</v>
      </c>
      <c r="AW102" s="31">
        <v>40965.699999999997</v>
      </c>
      <c r="AX102" s="31">
        <v>0</v>
      </c>
      <c r="AY102" s="31">
        <v>0</v>
      </c>
      <c r="AZ102" s="31">
        <v>155982.67592655914</v>
      </c>
      <c r="BA102" s="31">
        <v>260680.79626695602</v>
      </c>
      <c r="BB102" s="31">
        <v>54010.142004803834</v>
      </c>
      <c r="BC102" s="31">
        <f t="shared" si="11"/>
        <v>2769601.4519661418</v>
      </c>
      <c r="BD102" s="31">
        <v>35470.639999999999</v>
      </c>
    </row>
    <row r="103" spans="2:56">
      <c r="B103" s="42" t="s">
        <v>599</v>
      </c>
      <c r="C103" s="42" t="s">
        <v>600</v>
      </c>
      <c r="D103" s="43" t="s">
        <v>1049</v>
      </c>
      <c r="E103" s="44">
        <v>32</v>
      </c>
      <c r="F103" s="31">
        <v>8419137.9696160853</v>
      </c>
      <c r="G103" s="31">
        <v>529893.59000000008</v>
      </c>
      <c r="H103" s="31">
        <v>484192.93</v>
      </c>
      <c r="I103" s="31">
        <v>28940.489999999998</v>
      </c>
      <c r="J103" s="31">
        <v>1156986.6995734496</v>
      </c>
      <c r="K103" s="31">
        <v>779634.85062575317</v>
      </c>
      <c r="L103" s="31">
        <v>411352.38187223196</v>
      </c>
      <c r="M103" s="31">
        <f t="shared" si="8"/>
        <v>12115719.30168752</v>
      </c>
      <c r="N103" s="31">
        <v>305580.39</v>
      </c>
      <c r="P103" s="42" t="s">
        <v>599</v>
      </c>
      <c r="Q103" s="42" t="s">
        <v>600</v>
      </c>
      <c r="R103" s="43" t="s">
        <v>1050</v>
      </c>
      <c r="S103" s="44">
        <v>32</v>
      </c>
      <c r="T103" s="31">
        <v>8883991.5734149236</v>
      </c>
      <c r="U103" s="31">
        <v>557601.07000000007</v>
      </c>
      <c r="V103" s="31">
        <v>502786.42</v>
      </c>
      <c r="W103" s="31">
        <v>30254.199999999997</v>
      </c>
      <c r="X103" s="31">
        <v>1196585.3860413965</v>
      </c>
      <c r="Y103" s="31">
        <v>780387.5437822591</v>
      </c>
      <c r="Z103" s="31">
        <v>430254.69848618307</v>
      </c>
      <c r="AA103" s="31">
        <f t="shared" si="9"/>
        <v>12694953.571724761</v>
      </c>
      <c r="AB103" s="31">
        <v>313092.68</v>
      </c>
      <c r="AD103" s="42" t="s">
        <v>599</v>
      </c>
      <c r="AE103" s="42" t="s">
        <v>600</v>
      </c>
      <c r="AF103" s="43" t="s">
        <v>1275</v>
      </c>
      <c r="AG103" s="44">
        <v>32</v>
      </c>
      <c r="AH103" s="31">
        <v>9054954.6771847699</v>
      </c>
      <c r="AI103" s="31">
        <v>569116.78</v>
      </c>
      <c r="AJ103" s="31">
        <v>512621.59</v>
      </c>
      <c r="AK103" s="31">
        <v>30846.019999999997</v>
      </c>
      <c r="AL103" s="31">
        <v>1218751.1000576892</v>
      </c>
      <c r="AM103" s="31">
        <v>780131.831965524</v>
      </c>
      <c r="AN103" s="31">
        <v>438542.12124126032</v>
      </c>
      <c r="AO103" s="31">
        <f t="shared" si="10"/>
        <v>12923572.970449243</v>
      </c>
      <c r="AP103" s="31">
        <v>318608.84999999998</v>
      </c>
      <c r="AR103" s="42" t="s">
        <v>599</v>
      </c>
      <c r="AS103" s="42" t="s">
        <v>600</v>
      </c>
      <c r="AT103" s="43" t="s">
        <v>1276</v>
      </c>
      <c r="AU103" s="44">
        <v>32</v>
      </c>
      <c r="AV103" s="31">
        <v>9221583.506429119</v>
      </c>
      <c r="AW103" s="31">
        <v>579419.66</v>
      </c>
      <c r="AX103" s="31">
        <v>521982.52</v>
      </c>
      <c r="AY103" s="31">
        <v>31409.289999999997</v>
      </c>
      <c r="AZ103" s="31">
        <v>1241197.0388079588</v>
      </c>
      <c r="BA103" s="31">
        <v>780172.5247541141</v>
      </c>
      <c r="BB103" s="31">
        <v>446626.79562122806</v>
      </c>
      <c r="BC103" s="31">
        <f t="shared" si="11"/>
        <v>13146907.995612418</v>
      </c>
      <c r="BD103" s="31">
        <v>324516.66000000003</v>
      </c>
    </row>
    <row r="104" spans="2:56">
      <c r="B104" s="42" t="s">
        <v>191</v>
      </c>
      <c r="C104" s="42" t="s">
        <v>192</v>
      </c>
      <c r="D104" s="43" t="s">
        <v>1049</v>
      </c>
      <c r="E104" s="44">
        <v>32</v>
      </c>
      <c r="F104" s="31">
        <v>161308633.97328416</v>
      </c>
      <c r="G104" s="31">
        <v>9008211.1300000008</v>
      </c>
      <c r="H104" s="31">
        <v>9977970.0399999991</v>
      </c>
      <c r="I104" s="31">
        <v>572731.39</v>
      </c>
      <c r="J104" s="31">
        <v>25266163.584082298</v>
      </c>
      <c r="K104" s="31">
        <v>6904016.4027555939</v>
      </c>
      <c r="L104" s="31">
        <v>11936036.557593139</v>
      </c>
      <c r="M104" s="31">
        <f t="shared" si="8"/>
        <v>230216875.05771515</v>
      </c>
      <c r="N104" s="31">
        <v>5243111.9800000004</v>
      </c>
      <c r="P104" s="42" t="s">
        <v>191</v>
      </c>
      <c r="Q104" s="42" t="s">
        <v>192</v>
      </c>
      <c r="R104" s="43" t="s">
        <v>1050</v>
      </c>
      <c r="S104" s="44">
        <v>32</v>
      </c>
      <c r="T104" s="31">
        <v>178125657.0725804</v>
      </c>
      <c r="U104" s="31">
        <v>9868612.9300000016</v>
      </c>
      <c r="V104" s="31">
        <v>10346716.719999999</v>
      </c>
      <c r="W104" s="31">
        <v>623404.81000000006</v>
      </c>
      <c r="X104" s="31">
        <v>26124577.165624492</v>
      </c>
      <c r="Y104" s="31">
        <v>6910807.9005690766</v>
      </c>
      <c r="Z104" s="31">
        <v>12469032.801414695</v>
      </c>
      <c r="AA104" s="31">
        <f t="shared" si="9"/>
        <v>249843170.21018869</v>
      </c>
      <c r="AB104" s="31">
        <v>5374360.8100000005</v>
      </c>
      <c r="AD104" s="42" t="s">
        <v>191</v>
      </c>
      <c r="AE104" s="42" t="s">
        <v>192</v>
      </c>
      <c r="AF104" s="43" t="s">
        <v>1275</v>
      </c>
      <c r="AG104" s="44">
        <v>32</v>
      </c>
      <c r="AH104" s="31">
        <v>181094435.77763015</v>
      </c>
      <c r="AI104" s="31">
        <v>10034344.840000002</v>
      </c>
      <c r="AJ104" s="31">
        <v>10549590.879999999</v>
      </c>
      <c r="AK104" s="31">
        <v>633359.87</v>
      </c>
      <c r="AL104" s="31">
        <v>26647752.3433742</v>
      </c>
      <c r="AM104" s="31">
        <v>6908241.2229347769</v>
      </c>
      <c r="AN104" s="31">
        <v>12710109.463649236</v>
      </c>
      <c r="AO104" s="31">
        <f t="shared" si="10"/>
        <v>254048569.35758838</v>
      </c>
      <c r="AP104" s="31">
        <v>5470734.959999999</v>
      </c>
      <c r="AR104" s="42" t="s">
        <v>191</v>
      </c>
      <c r="AS104" s="42" t="s">
        <v>192</v>
      </c>
      <c r="AT104" s="43" t="s">
        <v>1276</v>
      </c>
      <c r="AU104" s="44">
        <v>32</v>
      </c>
      <c r="AV104" s="31">
        <v>184488329.87306315</v>
      </c>
      <c r="AW104" s="31">
        <v>10216541.069999998</v>
      </c>
      <c r="AX104" s="31">
        <v>10746018.720000001</v>
      </c>
      <c r="AY104" s="31">
        <v>644909.5</v>
      </c>
      <c r="AZ104" s="31">
        <v>27155794.469422065</v>
      </c>
      <c r="BA104" s="31">
        <v>6908636.2535327375</v>
      </c>
      <c r="BB104" s="31">
        <v>12947793.001182828</v>
      </c>
      <c r="BC104" s="31">
        <f t="shared" si="11"/>
        <v>258681974.54720077</v>
      </c>
      <c r="BD104" s="31">
        <v>5573951.6600000001</v>
      </c>
    </row>
    <row r="105" spans="2:56">
      <c r="B105" s="42" t="s">
        <v>57</v>
      </c>
      <c r="C105" s="42" t="s">
        <v>58</v>
      </c>
      <c r="D105" s="43" t="s">
        <v>1049</v>
      </c>
      <c r="E105" s="44">
        <v>32</v>
      </c>
      <c r="F105" s="31">
        <v>16791089.01800067</v>
      </c>
      <c r="G105" s="31">
        <v>228699.63</v>
      </c>
      <c r="H105" s="31">
        <v>114708.91</v>
      </c>
      <c r="I105" s="31">
        <v>56738.860000000008</v>
      </c>
      <c r="J105" s="31">
        <v>1730041.8072024474</v>
      </c>
      <c r="K105" s="31">
        <v>1336694.0039319897</v>
      </c>
      <c r="L105" s="31">
        <v>467849.77252552868</v>
      </c>
      <c r="M105" s="31">
        <f t="shared" si="8"/>
        <v>20725822.001660634</v>
      </c>
      <c r="N105" s="31">
        <v>0</v>
      </c>
      <c r="P105" s="42" t="s">
        <v>57</v>
      </c>
      <c r="Q105" s="42" t="s">
        <v>58</v>
      </c>
      <c r="R105" s="43" t="s">
        <v>1050</v>
      </c>
      <c r="S105" s="44">
        <v>32</v>
      </c>
      <c r="T105" s="31">
        <v>18125181.4937783</v>
      </c>
      <c r="U105" s="31">
        <v>246412.13999999998</v>
      </c>
      <c r="V105" s="31">
        <v>119053.05</v>
      </c>
      <c r="W105" s="31">
        <v>61123.829999999987</v>
      </c>
      <c r="X105" s="31">
        <v>1789015.9038142089</v>
      </c>
      <c r="Y105" s="31">
        <v>1337907.776071847</v>
      </c>
      <c r="Z105" s="31">
        <v>484370.16040051065</v>
      </c>
      <c r="AA105" s="31">
        <f t="shared" si="9"/>
        <v>22163064.354064863</v>
      </c>
      <c r="AB105" s="31">
        <v>0</v>
      </c>
      <c r="AD105" s="42" t="s">
        <v>57</v>
      </c>
      <c r="AE105" s="42" t="s">
        <v>58</v>
      </c>
      <c r="AF105" s="43" t="s">
        <v>1275</v>
      </c>
      <c r="AG105" s="44">
        <v>32</v>
      </c>
      <c r="AH105" s="31">
        <v>18908068.944115773</v>
      </c>
      <c r="AI105" s="31">
        <v>255362.21</v>
      </c>
      <c r="AJ105" s="31">
        <v>121383.90999999999</v>
      </c>
      <c r="AK105" s="31">
        <v>63297.69999999999</v>
      </c>
      <c r="AL105" s="31">
        <v>1833790.3904413816</v>
      </c>
      <c r="AM105" s="31">
        <v>1337479.3476475733</v>
      </c>
      <c r="AN105" s="31">
        <v>493710.08702249889</v>
      </c>
      <c r="AO105" s="31">
        <f t="shared" si="10"/>
        <v>23013092.589227226</v>
      </c>
      <c r="AP105" s="31">
        <v>0</v>
      </c>
      <c r="AR105" s="42" t="s">
        <v>57</v>
      </c>
      <c r="AS105" s="42" t="s">
        <v>58</v>
      </c>
      <c r="AT105" s="43" t="s">
        <v>1276</v>
      </c>
      <c r="AU105" s="44">
        <v>32</v>
      </c>
      <c r="AV105" s="31">
        <v>19386989.548357118</v>
      </c>
      <c r="AW105" s="31">
        <v>260390.64000000004</v>
      </c>
      <c r="AX105" s="31">
        <v>123616.43</v>
      </c>
      <c r="AY105" s="31">
        <v>64572.45</v>
      </c>
      <c r="AZ105" s="31">
        <v>1878195.8137128775</v>
      </c>
      <c r="BA105" s="31">
        <v>1337546.6942494195</v>
      </c>
      <c r="BB105" s="31">
        <v>502860.84318592836</v>
      </c>
      <c r="BC105" s="31">
        <f t="shared" si="11"/>
        <v>23554172.419505339</v>
      </c>
      <c r="BD105" s="31">
        <v>0</v>
      </c>
    </row>
    <row r="106" spans="2:56">
      <c r="B106" s="42" t="s">
        <v>325</v>
      </c>
      <c r="C106" s="42" t="s">
        <v>326</v>
      </c>
      <c r="D106" s="43" t="s">
        <v>1049</v>
      </c>
      <c r="E106" s="44">
        <v>32</v>
      </c>
      <c r="F106" s="31">
        <v>2651079.6708279261</v>
      </c>
      <c r="G106" s="31">
        <v>150451.59000000003</v>
      </c>
      <c r="H106" s="31">
        <v>0</v>
      </c>
      <c r="I106" s="31">
        <v>8477.5300000000007</v>
      </c>
      <c r="J106" s="31">
        <v>330567.63728040882</v>
      </c>
      <c r="K106" s="31">
        <v>523766.02213386068</v>
      </c>
      <c r="L106" s="31">
        <v>0</v>
      </c>
      <c r="M106" s="31">
        <f t="shared" si="8"/>
        <v>3749507.3902421952</v>
      </c>
      <c r="N106" s="31">
        <v>85164.939999999988</v>
      </c>
      <c r="P106" s="42" t="s">
        <v>325</v>
      </c>
      <c r="Q106" s="42" t="s">
        <v>326</v>
      </c>
      <c r="R106" s="43" t="s">
        <v>1050</v>
      </c>
      <c r="S106" s="44">
        <v>32</v>
      </c>
      <c r="T106" s="31">
        <v>2692477.5721180774</v>
      </c>
      <c r="U106" s="31">
        <v>151941.84000000003</v>
      </c>
      <c r="V106" s="31">
        <v>0</v>
      </c>
      <c r="W106" s="31">
        <v>8398.3300000000017</v>
      </c>
      <c r="X106" s="31">
        <v>341535.47389930463</v>
      </c>
      <c r="Y106" s="31">
        <v>524230.23141152004</v>
      </c>
      <c r="Z106" s="31">
        <v>0</v>
      </c>
      <c r="AA106" s="31">
        <f t="shared" si="9"/>
        <v>3805842.057428902</v>
      </c>
      <c r="AB106" s="31">
        <v>87258.61</v>
      </c>
      <c r="AD106" s="42" t="s">
        <v>325</v>
      </c>
      <c r="AE106" s="42" t="s">
        <v>326</v>
      </c>
      <c r="AF106" s="43" t="s">
        <v>1275</v>
      </c>
      <c r="AG106" s="44">
        <v>32</v>
      </c>
      <c r="AH106" s="31">
        <v>2744282.1987425592</v>
      </c>
      <c r="AI106" s="31">
        <v>155083.58000000002</v>
      </c>
      <c r="AJ106" s="31">
        <v>0</v>
      </c>
      <c r="AK106" s="31">
        <v>8562.61</v>
      </c>
      <c r="AL106" s="31">
        <v>347856.70983639138</v>
      </c>
      <c r="AM106" s="31">
        <v>524072.52598174493</v>
      </c>
      <c r="AN106" s="31">
        <v>0</v>
      </c>
      <c r="AO106" s="31">
        <f t="shared" si="10"/>
        <v>3868653.5845606951</v>
      </c>
      <c r="AP106" s="31">
        <v>88795.96</v>
      </c>
      <c r="AR106" s="42" t="s">
        <v>325</v>
      </c>
      <c r="AS106" s="42" t="s">
        <v>326</v>
      </c>
      <c r="AT106" s="43" t="s">
        <v>1276</v>
      </c>
      <c r="AU106" s="44">
        <v>32</v>
      </c>
      <c r="AV106" s="31">
        <v>2794662.4918219</v>
      </c>
      <c r="AW106" s="31">
        <v>157890.52000000002</v>
      </c>
      <c r="AX106" s="31">
        <v>0</v>
      </c>
      <c r="AY106" s="31">
        <v>8718.9700000000012</v>
      </c>
      <c r="AZ106" s="31">
        <v>354253.42737042368</v>
      </c>
      <c r="BA106" s="31">
        <v>524097.62248997547</v>
      </c>
      <c r="BB106" s="31">
        <v>0</v>
      </c>
      <c r="BC106" s="31">
        <f t="shared" si="11"/>
        <v>3930065.5016822992</v>
      </c>
      <c r="BD106" s="31">
        <v>90442.470000000016</v>
      </c>
    </row>
    <row r="107" spans="2:56">
      <c r="B107" s="42" t="s">
        <v>143</v>
      </c>
      <c r="C107" s="42" t="s">
        <v>144</v>
      </c>
      <c r="D107" s="43" t="s">
        <v>1049</v>
      </c>
      <c r="E107" s="44">
        <v>32</v>
      </c>
      <c r="F107" s="31">
        <v>12407152.958058584</v>
      </c>
      <c r="G107" s="31">
        <v>748262.73</v>
      </c>
      <c r="H107" s="31">
        <v>153277.43000000002</v>
      </c>
      <c r="I107" s="31">
        <v>44044.12</v>
      </c>
      <c r="J107" s="31">
        <v>1946280.1728292361</v>
      </c>
      <c r="K107" s="31">
        <v>1082271.6148795504</v>
      </c>
      <c r="L107" s="31">
        <v>1277782.3855893856</v>
      </c>
      <c r="M107" s="31">
        <f t="shared" si="8"/>
        <v>18111303.121356759</v>
      </c>
      <c r="N107" s="31">
        <v>452231.71</v>
      </c>
      <c r="P107" s="42" t="s">
        <v>143</v>
      </c>
      <c r="Q107" s="42" t="s">
        <v>144</v>
      </c>
      <c r="R107" s="43" t="s">
        <v>1050</v>
      </c>
      <c r="S107" s="44">
        <v>32</v>
      </c>
      <c r="T107" s="31">
        <v>13572921.519315133</v>
      </c>
      <c r="U107" s="31">
        <v>811374.76000000024</v>
      </c>
      <c r="V107" s="31">
        <v>159163.43999999997</v>
      </c>
      <c r="W107" s="31">
        <v>47354.400000000001</v>
      </c>
      <c r="X107" s="31">
        <v>2019377.52090645</v>
      </c>
      <c r="Y107" s="31">
        <v>1083155.7511798895</v>
      </c>
      <c r="Z107" s="31">
        <v>1336130.4348984456</v>
      </c>
      <c r="AA107" s="31">
        <f t="shared" si="9"/>
        <v>19492827.046299919</v>
      </c>
      <c r="AB107" s="31">
        <v>463349.22</v>
      </c>
      <c r="AD107" s="42" t="s">
        <v>143</v>
      </c>
      <c r="AE107" s="42" t="s">
        <v>144</v>
      </c>
      <c r="AF107" s="43" t="s">
        <v>1275</v>
      </c>
      <c r="AG107" s="44">
        <v>32</v>
      </c>
      <c r="AH107" s="31">
        <v>13720563.440345667</v>
      </c>
      <c r="AI107" s="31">
        <v>823091.52</v>
      </c>
      <c r="AJ107" s="31">
        <v>162276.87</v>
      </c>
      <c r="AK107" s="31">
        <v>47971.23</v>
      </c>
      <c r="AL107" s="31">
        <v>2053986.5112649621</v>
      </c>
      <c r="AM107" s="31">
        <v>1082855.3842937991</v>
      </c>
      <c r="AN107" s="31">
        <v>1361866.680132956</v>
      </c>
      <c r="AO107" s="31">
        <f t="shared" si="10"/>
        <v>19724124.296037383</v>
      </c>
      <c r="AP107" s="31">
        <v>471512.66</v>
      </c>
      <c r="AR107" s="42" t="s">
        <v>143</v>
      </c>
      <c r="AS107" s="42" t="s">
        <v>144</v>
      </c>
      <c r="AT107" s="43" t="s">
        <v>1276</v>
      </c>
      <c r="AU107" s="44">
        <v>32</v>
      </c>
      <c r="AV107" s="31">
        <v>13851762.08743481</v>
      </c>
      <c r="AW107" s="31">
        <v>830215.62000000011</v>
      </c>
      <c r="AX107" s="31">
        <v>165240.18999999997</v>
      </c>
      <c r="AY107" s="31">
        <v>48427.029999999992</v>
      </c>
      <c r="AZ107" s="31">
        <v>2094342.4731085121</v>
      </c>
      <c r="BA107" s="31">
        <v>1082903.1832823292</v>
      </c>
      <c r="BB107" s="31">
        <v>1386973.3721076366</v>
      </c>
      <c r="BC107" s="31">
        <f t="shared" si="11"/>
        <v>19940119.645933289</v>
      </c>
      <c r="BD107" s="31">
        <v>480255.69</v>
      </c>
    </row>
    <row r="108" spans="2:56">
      <c r="B108" s="42" t="s">
        <v>1315</v>
      </c>
      <c r="C108" s="42" t="s">
        <v>1316</v>
      </c>
      <c r="D108" s="43" t="s">
        <v>1049</v>
      </c>
      <c r="E108" s="44">
        <v>32</v>
      </c>
      <c r="F108" s="31">
        <v>2829301.0156453652</v>
      </c>
      <c r="G108" s="31">
        <v>94937.479999999981</v>
      </c>
      <c r="H108" s="31">
        <v>41488.01</v>
      </c>
      <c r="I108" s="31">
        <v>0</v>
      </c>
      <c r="J108" s="31">
        <v>28920.383798683935</v>
      </c>
      <c r="K108" s="31">
        <v>78040.08</v>
      </c>
      <c r="L108" s="31">
        <v>0</v>
      </c>
      <c r="M108" s="31">
        <f t="shared" si="8"/>
        <v>3157063.8794440492</v>
      </c>
      <c r="N108" s="31">
        <v>84376.91</v>
      </c>
      <c r="P108" s="42" t="s">
        <v>1315</v>
      </c>
      <c r="Q108" s="42" t="s">
        <v>1316</v>
      </c>
      <c r="R108" s="43" t="s">
        <v>1050</v>
      </c>
      <c r="S108" s="44">
        <v>32</v>
      </c>
      <c r="T108" s="31">
        <v>4034434.5347677786</v>
      </c>
      <c r="U108" s="31">
        <v>134755.59</v>
      </c>
      <c r="V108" s="31">
        <v>43039.320000000007</v>
      </c>
      <c r="W108" s="31">
        <v>0</v>
      </c>
      <c r="X108" s="31">
        <v>29874.526046923522</v>
      </c>
      <c r="Y108" s="31">
        <v>78040.08</v>
      </c>
      <c r="Z108" s="31">
        <v>0</v>
      </c>
      <c r="AA108" s="31">
        <f t="shared" si="9"/>
        <v>4406621.7108147023</v>
      </c>
      <c r="AB108" s="31">
        <v>86477.66</v>
      </c>
      <c r="AD108" s="42" t="s">
        <v>1315</v>
      </c>
      <c r="AE108" s="42" t="s">
        <v>1316</v>
      </c>
      <c r="AF108" s="43" t="s">
        <v>1275</v>
      </c>
      <c r="AG108" s="44">
        <v>32</v>
      </c>
      <c r="AH108" s="31">
        <v>5122388.9270829968</v>
      </c>
      <c r="AI108" s="31">
        <v>170944.15000000002</v>
      </c>
      <c r="AJ108" s="31">
        <v>43882.62</v>
      </c>
      <c r="AK108" s="31">
        <v>0</v>
      </c>
      <c r="AL108" s="31">
        <v>30430.351098049046</v>
      </c>
      <c r="AM108" s="31">
        <v>78040.08</v>
      </c>
      <c r="AN108" s="31">
        <v>0</v>
      </c>
      <c r="AO108" s="31">
        <f t="shared" si="10"/>
        <v>5533706.3481810465</v>
      </c>
      <c r="AP108" s="31">
        <v>88020.219999999987</v>
      </c>
      <c r="AR108" s="42" t="s">
        <v>1315</v>
      </c>
      <c r="AS108" s="42" t="s">
        <v>1316</v>
      </c>
      <c r="AT108" s="43" t="s">
        <v>1276</v>
      </c>
      <c r="AU108" s="44">
        <v>32</v>
      </c>
      <c r="AV108" s="31">
        <v>5987152.0222260505</v>
      </c>
      <c r="AW108" s="31">
        <v>208216.52000000002</v>
      </c>
      <c r="AX108" s="31">
        <v>44694.94000000001</v>
      </c>
      <c r="AY108" s="31">
        <v>0</v>
      </c>
      <c r="AZ108" s="31">
        <v>29693.133957574399</v>
      </c>
      <c r="BA108" s="31">
        <v>78040.08</v>
      </c>
      <c r="BB108" s="31">
        <v>0</v>
      </c>
      <c r="BC108" s="31">
        <f t="shared" si="11"/>
        <v>6437468.9861836247</v>
      </c>
      <c r="BD108" s="31">
        <v>89672.29</v>
      </c>
    </row>
    <row r="109" spans="2:56">
      <c r="B109" s="42" t="s">
        <v>1230</v>
      </c>
      <c r="C109" s="42" t="s">
        <v>1231</v>
      </c>
      <c r="D109" s="43" t="s">
        <v>1049</v>
      </c>
      <c r="E109" s="44">
        <v>32</v>
      </c>
      <c r="F109" s="31">
        <v>3416333.7281552423</v>
      </c>
      <c r="G109" s="31">
        <v>124438.09000000001</v>
      </c>
      <c r="H109" s="31">
        <v>66171.27</v>
      </c>
      <c r="I109" s="31">
        <v>9485.3000000000011</v>
      </c>
      <c r="J109" s="31">
        <v>102749.24875892818</v>
      </c>
      <c r="K109" s="31">
        <v>38906.230000000003</v>
      </c>
      <c r="L109" s="31">
        <v>0</v>
      </c>
      <c r="M109" s="31">
        <f t="shared" si="8"/>
        <v>3758083.8669141703</v>
      </c>
      <c r="N109" s="31">
        <v>0</v>
      </c>
      <c r="P109" s="42" t="s">
        <v>1230</v>
      </c>
      <c r="Q109" s="42" t="s">
        <v>1231</v>
      </c>
      <c r="R109" s="43" t="s">
        <v>1050</v>
      </c>
      <c r="S109" s="44">
        <v>32</v>
      </c>
      <c r="T109" s="31">
        <v>4200651.7966105491</v>
      </c>
      <c r="U109" s="31">
        <v>151050.38</v>
      </c>
      <c r="V109" s="31">
        <v>68616.69</v>
      </c>
      <c r="W109" s="31">
        <v>11475.16</v>
      </c>
      <c r="X109" s="31">
        <v>106118.03501935626</v>
      </c>
      <c r="Y109" s="31">
        <v>38906.230000000003</v>
      </c>
      <c r="Z109" s="31">
        <v>0</v>
      </c>
      <c r="AA109" s="31">
        <f t="shared" si="9"/>
        <v>4576818.2916299058</v>
      </c>
      <c r="AB109" s="31">
        <v>0</v>
      </c>
      <c r="AD109" s="42" t="s">
        <v>1230</v>
      </c>
      <c r="AE109" s="42" t="s">
        <v>1231</v>
      </c>
      <c r="AF109" s="43" t="s">
        <v>1275</v>
      </c>
      <c r="AG109" s="44">
        <v>32</v>
      </c>
      <c r="AH109" s="31">
        <v>5333539.8147744332</v>
      </c>
      <c r="AI109" s="31">
        <v>191858.5</v>
      </c>
      <c r="AJ109" s="31">
        <v>69962.090000000011</v>
      </c>
      <c r="AK109" s="31">
        <v>14684.890000000003</v>
      </c>
      <c r="AL109" s="31">
        <v>108097.58740961067</v>
      </c>
      <c r="AM109" s="31">
        <v>38906.230000000003</v>
      </c>
      <c r="AN109" s="31">
        <v>0</v>
      </c>
      <c r="AO109" s="31">
        <f t="shared" si="10"/>
        <v>5757049.112184044</v>
      </c>
      <c r="AP109" s="31">
        <v>0</v>
      </c>
      <c r="AR109" s="42" t="s">
        <v>1230</v>
      </c>
      <c r="AS109" s="42" t="s">
        <v>1231</v>
      </c>
      <c r="AT109" s="43" t="s">
        <v>1276</v>
      </c>
      <c r="AU109" s="44">
        <v>32</v>
      </c>
      <c r="AV109" s="31">
        <v>6232972.5347026857</v>
      </c>
      <c r="AW109" s="31">
        <v>233981.87</v>
      </c>
      <c r="AX109" s="31">
        <v>71264.75</v>
      </c>
      <c r="AY109" s="31">
        <v>17876.990000000002</v>
      </c>
      <c r="AZ109" s="31">
        <v>105461.00303495296</v>
      </c>
      <c r="BA109" s="31">
        <v>38906.230000000003</v>
      </c>
      <c r="BB109" s="31">
        <v>0</v>
      </c>
      <c r="BC109" s="31">
        <f t="shared" si="11"/>
        <v>6700463.3777376395</v>
      </c>
      <c r="BD109" s="31">
        <v>0</v>
      </c>
    </row>
    <row r="110" spans="2:56">
      <c r="B110" s="42" t="s">
        <v>1032</v>
      </c>
      <c r="C110" s="42" t="s">
        <v>1042</v>
      </c>
      <c r="D110" s="43" t="s">
        <v>1049</v>
      </c>
      <c r="E110" s="44">
        <v>32</v>
      </c>
      <c r="F110" s="31">
        <v>6776490.6034356095</v>
      </c>
      <c r="G110" s="31">
        <v>280493.86</v>
      </c>
      <c r="H110" s="31">
        <v>241423.45</v>
      </c>
      <c r="I110" s="31">
        <v>19422.27</v>
      </c>
      <c r="J110" s="31">
        <v>273094.09519344935</v>
      </c>
      <c r="K110" s="31">
        <v>87788.41</v>
      </c>
      <c r="L110" s="31">
        <v>0</v>
      </c>
      <c r="M110" s="31">
        <f t="shared" si="8"/>
        <v>7878129.7986290595</v>
      </c>
      <c r="N110" s="31">
        <v>199417.11000000002</v>
      </c>
      <c r="P110" s="42" t="s">
        <v>1032</v>
      </c>
      <c r="Q110" s="42" t="s">
        <v>1042</v>
      </c>
      <c r="R110" s="43" t="s">
        <v>1050</v>
      </c>
      <c r="S110" s="44">
        <v>32</v>
      </c>
      <c r="T110" s="31">
        <v>6773887.3361695167</v>
      </c>
      <c r="U110" s="31">
        <v>291364.07000000007</v>
      </c>
      <c r="V110" s="31">
        <v>250345.50000000006</v>
      </c>
      <c r="W110" s="31">
        <v>20022.949999999997</v>
      </c>
      <c r="X110" s="31">
        <v>269843.85489987989</v>
      </c>
      <c r="Y110" s="31">
        <v>87788.41</v>
      </c>
      <c r="Z110" s="31">
        <v>0</v>
      </c>
      <c r="AA110" s="31">
        <f t="shared" si="9"/>
        <v>7897661.1710693967</v>
      </c>
      <c r="AB110" s="31">
        <v>204409.05000000002</v>
      </c>
      <c r="AD110" s="42" t="s">
        <v>1032</v>
      </c>
      <c r="AE110" s="42" t="s">
        <v>1042</v>
      </c>
      <c r="AF110" s="43" t="s">
        <v>1275</v>
      </c>
      <c r="AG110" s="44">
        <v>32</v>
      </c>
      <c r="AH110" s="31">
        <v>7166608.7931515966</v>
      </c>
      <c r="AI110" s="31">
        <v>311388.01</v>
      </c>
      <c r="AJ110" s="31">
        <v>255254.18</v>
      </c>
      <c r="AK110" s="31">
        <v>21370.660000000003</v>
      </c>
      <c r="AL110" s="31">
        <v>272419.86203924374</v>
      </c>
      <c r="AM110" s="31">
        <v>87788.41</v>
      </c>
      <c r="AN110" s="31">
        <v>0</v>
      </c>
      <c r="AO110" s="31">
        <f t="shared" si="10"/>
        <v>8322904.4751908397</v>
      </c>
      <c r="AP110" s="31">
        <v>208074.56</v>
      </c>
      <c r="AR110" s="42" t="s">
        <v>1032</v>
      </c>
      <c r="AS110" s="42" t="s">
        <v>1042</v>
      </c>
      <c r="AT110" s="43" t="s">
        <v>1276</v>
      </c>
      <c r="AU110" s="44">
        <v>32</v>
      </c>
      <c r="AV110" s="31">
        <v>7033276.0105854077</v>
      </c>
      <c r="AW110" s="31">
        <v>302905.74999999988</v>
      </c>
      <c r="AX110" s="31">
        <v>260006.87000000002</v>
      </c>
      <c r="AY110" s="31">
        <v>20795.689999999999</v>
      </c>
      <c r="AZ110" s="31">
        <v>280003.73420262814</v>
      </c>
      <c r="BA110" s="31">
        <v>87788.41</v>
      </c>
      <c r="BB110" s="31">
        <v>0</v>
      </c>
      <c r="BC110" s="31">
        <f t="shared" si="11"/>
        <v>8196776.7647880362</v>
      </c>
      <c r="BD110" s="31">
        <v>212000.30000000002</v>
      </c>
    </row>
    <row r="111" spans="2:56">
      <c r="B111" s="42" t="s">
        <v>107</v>
      </c>
      <c r="C111" s="42" t="s">
        <v>108</v>
      </c>
      <c r="D111" s="43" t="s">
        <v>1049</v>
      </c>
      <c r="E111" s="44">
        <v>32</v>
      </c>
      <c r="F111" s="31">
        <v>2811344.7319271076</v>
      </c>
      <c r="G111" s="31">
        <v>116151.74999999999</v>
      </c>
      <c r="H111" s="31">
        <v>0</v>
      </c>
      <c r="I111" s="31">
        <v>0</v>
      </c>
      <c r="J111" s="31">
        <v>214940.78815853238</v>
      </c>
      <c r="K111" s="31">
        <v>0</v>
      </c>
      <c r="L111" s="31">
        <v>0</v>
      </c>
      <c r="M111" s="31">
        <f t="shared" si="8"/>
        <v>3208503.4400856397</v>
      </c>
      <c r="N111" s="31">
        <v>66066.17</v>
      </c>
      <c r="P111" s="42" t="s">
        <v>107</v>
      </c>
      <c r="Q111" s="42" t="s">
        <v>108</v>
      </c>
      <c r="R111" s="43" t="s">
        <v>1050</v>
      </c>
      <c r="S111" s="44">
        <v>32</v>
      </c>
      <c r="T111" s="31">
        <v>2831948.2360202214</v>
      </c>
      <c r="U111" s="31">
        <v>115858.62</v>
      </c>
      <c r="V111" s="31">
        <v>0</v>
      </c>
      <c r="W111" s="31">
        <v>0</v>
      </c>
      <c r="X111" s="31">
        <v>222052.13557798928</v>
      </c>
      <c r="Y111" s="31">
        <v>0</v>
      </c>
      <c r="Z111" s="31">
        <v>0</v>
      </c>
      <c r="AA111" s="31">
        <f t="shared" si="9"/>
        <v>3237549.3015982108</v>
      </c>
      <c r="AB111" s="31">
        <v>67690.31</v>
      </c>
      <c r="AD111" s="42" t="s">
        <v>107</v>
      </c>
      <c r="AE111" s="42" t="s">
        <v>108</v>
      </c>
      <c r="AF111" s="43" t="s">
        <v>1275</v>
      </c>
      <c r="AG111" s="44">
        <v>32</v>
      </c>
      <c r="AH111" s="31">
        <v>2886236.8689272199</v>
      </c>
      <c r="AI111" s="31">
        <v>118256.48000000001</v>
      </c>
      <c r="AJ111" s="31">
        <v>0</v>
      </c>
      <c r="AK111" s="31">
        <v>0</v>
      </c>
      <c r="AL111" s="31">
        <v>226164.98981765821</v>
      </c>
      <c r="AM111" s="31">
        <v>0</v>
      </c>
      <c r="AN111" s="31">
        <v>0</v>
      </c>
      <c r="AO111" s="31">
        <f t="shared" si="10"/>
        <v>3299541.2387448777</v>
      </c>
      <c r="AP111" s="31">
        <v>68882.899999999994</v>
      </c>
      <c r="AR111" s="42" t="s">
        <v>107</v>
      </c>
      <c r="AS111" s="42" t="s">
        <v>108</v>
      </c>
      <c r="AT111" s="43" t="s">
        <v>1276</v>
      </c>
      <c r="AU111" s="44">
        <v>32</v>
      </c>
      <c r="AV111" s="31">
        <v>2938978.8269838272</v>
      </c>
      <c r="AW111" s="31">
        <v>120396.54000000002</v>
      </c>
      <c r="AX111" s="31">
        <v>0</v>
      </c>
      <c r="AY111" s="31">
        <v>0</v>
      </c>
      <c r="AZ111" s="31">
        <v>230329.44984600798</v>
      </c>
      <c r="BA111" s="31">
        <v>0</v>
      </c>
      <c r="BB111" s="31">
        <v>0</v>
      </c>
      <c r="BC111" s="31">
        <f t="shared" si="11"/>
        <v>3359864.986829835</v>
      </c>
      <c r="BD111" s="31">
        <v>70160.17</v>
      </c>
    </row>
    <row r="112" spans="2:56">
      <c r="B112" s="42" t="s">
        <v>435</v>
      </c>
      <c r="C112" s="42" t="s">
        <v>436</v>
      </c>
      <c r="D112" s="43" t="s">
        <v>1049</v>
      </c>
      <c r="E112" s="44">
        <v>32</v>
      </c>
      <c r="F112" s="31">
        <v>591608.562918109</v>
      </c>
      <c r="G112" s="31">
        <v>8189.84</v>
      </c>
      <c r="H112" s="31">
        <v>0</v>
      </c>
      <c r="I112" s="31">
        <v>0</v>
      </c>
      <c r="J112" s="31">
        <v>34133.292587697448</v>
      </c>
      <c r="K112" s="31">
        <v>81182.484782710977</v>
      </c>
      <c r="L112" s="31">
        <v>0</v>
      </c>
      <c r="M112" s="31">
        <f t="shared" si="8"/>
        <v>715114.1802885175</v>
      </c>
      <c r="N112" s="31">
        <v>0</v>
      </c>
      <c r="P112" s="42" t="s">
        <v>435</v>
      </c>
      <c r="Q112" s="42" t="s">
        <v>436</v>
      </c>
      <c r="R112" s="43" t="s">
        <v>1050</v>
      </c>
      <c r="S112" s="44">
        <v>32</v>
      </c>
      <c r="T112" s="31">
        <v>637566.54512115661</v>
      </c>
      <c r="U112" s="31">
        <v>8943.24</v>
      </c>
      <c r="V112" s="31">
        <v>0</v>
      </c>
      <c r="W112" s="31">
        <v>0</v>
      </c>
      <c r="X112" s="31">
        <v>33539.974684893634</v>
      </c>
      <c r="Y112" s="31">
        <v>81238.371446521283</v>
      </c>
      <c r="Z112" s="31">
        <v>0</v>
      </c>
      <c r="AA112" s="31">
        <f t="shared" si="9"/>
        <v>761288.13125257147</v>
      </c>
      <c r="AB112" s="31">
        <v>0</v>
      </c>
      <c r="AD112" s="42" t="s">
        <v>435</v>
      </c>
      <c r="AE112" s="42" t="s">
        <v>436</v>
      </c>
      <c r="AF112" s="43" t="s">
        <v>1275</v>
      </c>
      <c r="AG112" s="44">
        <v>32</v>
      </c>
      <c r="AH112" s="31">
        <v>655338.09281242639</v>
      </c>
      <c r="AI112" s="31">
        <v>9118.4600000000009</v>
      </c>
      <c r="AJ112" s="31">
        <v>0</v>
      </c>
      <c r="AK112" s="31">
        <v>0</v>
      </c>
      <c r="AL112" s="31">
        <v>32215.322520226888</v>
      </c>
      <c r="AM112" s="31">
        <v>81217.933994957639</v>
      </c>
      <c r="AN112" s="31">
        <v>0</v>
      </c>
      <c r="AO112" s="31">
        <f t="shared" si="10"/>
        <v>777889.80932761088</v>
      </c>
      <c r="AP112" s="31">
        <v>0</v>
      </c>
      <c r="AR112" s="42" t="s">
        <v>435</v>
      </c>
      <c r="AS112" s="42" t="s">
        <v>436</v>
      </c>
      <c r="AT112" s="43" t="s">
        <v>1276</v>
      </c>
      <c r="AU112" s="44">
        <v>32</v>
      </c>
      <c r="AV112" s="31">
        <v>670185.75591073418</v>
      </c>
      <c r="AW112" s="31">
        <v>9287.26</v>
      </c>
      <c r="AX112" s="31">
        <v>0</v>
      </c>
      <c r="AY112" s="31">
        <v>0</v>
      </c>
      <c r="AZ112" s="31">
        <v>31611.655376237959</v>
      </c>
      <c r="BA112" s="31">
        <v>81221.111252766481</v>
      </c>
      <c r="BB112" s="31">
        <v>0</v>
      </c>
      <c r="BC112" s="31">
        <f t="shared" si="11"/>
        <v>792305.78253973857</v>
      </c>
      <c r="BD112" s="31">
        <v>0</v>
      </c>
    </row>
    <row r="113" spans="2:56">
      <c r="B113" s="42" t="s">
        <v>211</v>
      </c>
      <c r="C113" s="42" t="s">
        <v>212</v>
      </c>
      <c r="D113" s="43" t="s">
        <v>1049</v>
      </c>
      <c r="E113" s="44">
        <v>32</v>
      </c>
      <c r="F113" s="31">
        <v>175489078.77735424</v>
      </c>
      <c r="G113" s="31">
        <v>1409696.12</v>
      </c>
      <c r="H113" s="31">
        <v>2558094.8299999996</v>
      </c>
      <c r="I113" s="31">
        <v>625352.22</v>
      </c>
      <c r="J113" s="31">
        <v>16798344.095787942</v>
      </c>
      <c r="K113" s="31">
        <v>9139448.7948959023</v>
      </c>
      <c r="L113" s="31">
        <v>11565238.856265876</v>
      </c>
      <c r="M113" s="31">
        <f t="shared" si="8"/>
        <v>217585253.69430396</v>
      </c>
      <c r="N113" s="31">
        <v>0</v>
      </c>
      <c r="P113" s="42" t="s">
        <v>211</v>
      </c>
      <c r="Q113" s="42" t="s">
        <v>212</v>
      </c>
      <c r="R113" s="43" t="s">
        <v>1050</v>
      </c>
      <c r="S113" s="44">
        <v>32</v>
      </c>
      <c r="T113" s="31">
        <v>184958416.18233457</v>
      </c>
      <c r="U113" s="31">
        <v>1474790.31</v>
      </c>
      <c r="V113" s="31">
        <v>2652631.9900000002</v>
      </c>
      <c r="W113" s="31">
        <v>654200.37</v>
      </c>
      <c r="X113" s="31">
        <v>17462074.802981704</v>
      </c>
      <c r="Y113" s="31">
        <v>9148081.6544111129</v>
      </c>
      <c r="Z113" s="31">
        <v>11967067.245099071</v>
      </c>
      <c r="AA113" s="31">
        <f t="shared" si="9"/>
        <v>228317262.55482647</v>
      </c>
      <c r="AB113" s="31">
        <v>0</v>
      </c>
      <c r="AD113" s="42" t="s">
        <v>211</v>
      </c>
      <c r="AE113" s="42" t="s">
        <v>212</v>
      </c>
      <c r="AF113" s="43" t="s">
        <v>1275</v>
      </c>
      <c r="AG113" s="44">
        <v>32</v>
      </c>
      <c r="AH113" s="31">
        <v>203775922.78154254</v>
      </c>
      <c r="AI113" s="31">
        <v>1622260.9100000001</v>
      </c>
      <c r="AJ113" s="31">
        <v>2704643.7199999997</v>
      </c>
      <c r="AK113" s="31">
        <v>719678.32000000007</v>
      </c>
      <c r="AL113" s="31">
        <v>17748960.016656805</v>
      </c>
      <c r="AM113" s="31">
        <v>9144819.0799325127</v>
      </c>
      <c r="AN113" s="31">
        <v>12198315.208847454</v>
      </c>
      <c r="AO113" s="31">
        <f t="shared" si="10"/>
        <v>247914600.03697932</v>
      </c>
      <c r="AP113" s="31">
        <v>0</v>
      </c>
      <c r="AR113" s="42" t="s">
        <v>211</v>
      </c>
      <c r="AS113" s="42" t="s">
        <v>212</v>
      </c>
      <c r="AT113" s="43" t="s">
        <v>1276</v>
      </c>
      <c r="AU113" s="44">
        <v>32</v>
      </c>
      <c r="AV113" s="31">
        <v>204731289.47109613</v>
      </c>
      <c r="AW113" s="31">
        <v>1625468.6400000001</v>
      </c>
      <c r="AX113" s="31">
        <v>2755002.77</v>
      </c>
      <c r="AY113" s="31">
        <v>721038.73</v>
      </c>
      <c r="AZ113" s="31">
        <v>18142027.291573711</v>
      </c>
      <c r="BA113" s="31">
        <v>9145321.2141818423</v>
      </c>
      <c r="BB113" s="31">
        <v>12426507.137855569</v>
      </c>
      <c r="BC113" s="31">
        <f t="shared" si="11"/>
        <v>249546655.25470722</v>
      </c>
      <c r="BD113" s="31">
        <v>0</v>
      </c>
    </row>
    <row r="114" spans="2:56">
      <c r="B114" s="42" t="s">
        <v>117</v>
      </c>
      <c r="C114" s="42" t="s">
        <v>118</v>
      </c>
      <c r="D114" s="43" t="s">
        <v>1049</v>
      </c>
      <c r="E114" s="44">
        <v>32</v>
      </c>
      <c r="F114" s="31">
        <v>1840082.8244621293</v>
      </c>
      <c r="G114" s="31">
        <v>16040.26</v>
      </c>
      <c r="H114" s="31">
        <v>0</v>
      </c>
      <c r="I114" s="31">
        <v>0</v>
      </c>
      <c r="J114" s="31">
        <v>44726.633909913333</v>
      </c>
      <c r="K114" s="31">
        <v>96319.635234996982</v>
      </c>
      <c r="L114" s="31">
        <v>33412.072526612319</v>
      </c>
      <c r="M114" s="31">
        <f t="shared" si="8"/>
        <v>2040669.6461336517</v>
      </c>
      <c r="N114" s="31">
        <v>10088.219999999999</v>
      </c>
      <c r="P114" s="42" t="s">
        <v>117</v>
      </c>
      <c r="Q114" s="42" t="s">
        <v>118</v>
      </c>
      <c r="R114" s="43" t="s">
        <v>1050</v>
      </c>
      <c r="S114" s="44">
        <v>32</v>
      </c>
      <c r="T114" s="31">
        <v>1932933.3606863674</v>
      </c>
      <c r="U114" s="31">
        <v>16575.659999999996</v>
      </c>
      <c r="V114" s="31">
        <v>0</v>
      </c>
      <c r="W114" s="31">
        <v>0</v>
      </c>
      <c r="X114" s="31">
        <v>45797.076835018306</v>
      </c>
      <c r="Y114" s="31">
        <v>96387.138928247528</v>
      </c>
      <c r="Z114" s="31">
        <v>34911.227454874825</v>
      </c>
      <c r="AA114" s="31">
        <f t="shared" si="9"/>
        <v>2136941.813904508</v>
      </c>
      <c r="AB114" s="31">
        <v>10337.35</v>
      </c>
      <c r="AD114" s="42" t="s">
        <v>117</v>
      </c>
      <c r="AE114" s="42" t="s">
        <v>118</v>
      </c>
      <c r="AF114" s="43" t="s">
        <v>1275</v>
      </c>
      <c r="AG114" s="44">
        <v>32</v>
      </c>
      <c r="AH114" s="31">
        <v>1969837.0280751865</v>
      </c>
      <c r="AI114" s="31">
        <v>16919.489999999998</v>
      </c>
      <c r="AJ114" s="31">
        <v>0</v>
      </c>
      <c r="AK114" s="31">
        <v>0</v>
      </c>
      <c r="AL114" s="31">
        <v>46646.685153802711</v>
      </c>
      <c r="AM114" s="31">
        <v>96364.205954979174</v>
      </c>
      <c r="AN114" s="31">
        <v>35584.188701720319</v>
      </c>
      <c r="AO114" s="31">
        <f t="shared" si="10"/>
        <v>2175871.8778856886</v>
      </c>
      <c r="AP114" s="31">
        <v>10520.28</v>
      </c>
      <c r="AR114" s="42" t="s">
        <v>117</v>
      </c>
      <c r="AS114" s="42" t="s">
        <v>118</v>
      </c>
      <c r="AT114" s="43" t="s">
        <v>1276</v>
      </c>
      <c r="AU114" s="44">
        <v>32</v>
      </c>
      <c r="AV114" s="31">
        <v>2005573.0208043908</v>
      </c>
      <c r="AW114" s="31">
        <v>17227.089999999997</v>
      </c>
      <c r="AX114" s="31">
        <v>0</v>
      </c>
      <c r="AY114" s="31">
        <v>0</v>
      </c>
      <c r="AZ114" s="31">
        <v>47508.0907922767</v>
      </c>
      <c r="BA114" s="31">
        <v>96367.85540162916</v>
      </c>
      <c r="BB114" s="31">
        <v>36242.109015131835</v>
      </c>
      <c r="BC114" s="31">
        <f t="shared" si="11"/>
        <v>2213634.3760134284</v>
      </c>
      <c r="BD114" s="31">
        <v>10716.210000000001</v>
      </c>
    </row>
    <row r="115" spans="2:56">
      <c r="B115" s="42" t="s">
        <v>83</v>
      </c>
      <c r="C115" s="42" t="s">
        <v>84</v>
      </c>
      <c r="D115" s="43" t="s">
        <v>1049</v>
      </c>
      <c r="E115" s="44">
        <v>32</v>
      </c>
      <c r="F115" s="31">
        <v>8676480.8764516823</v>
      </c>
      <c r="G115" s="31">
        <v>209794.2</v>
      </c>
      <c r="H115" s="31">
        <v>0</v>
      </c>
      <c r="I115" s="31">
        <v>0</v>
      </c>
      <c r="J115" s="31">
        <v>1390202.5460782247</v>
      </c>
      <c r="K115" s="31">
        <v>0</v>
      </c>
      <c r="L115" s="31">
        <v>486266.41722639167</v>
      </c>
      <c r="M115" s="31">
        <f t="shared" si="8"/>
        <v>10762744.039756296</v>
      </c>
      <c r="N115" s="31">
        <v>0</v>
      </c>
      <c r="P115" s="42" t="s">
        <v>83</v>
      </c>
      <c r="Q115" s="42" t="s">
        <v>84</v>
      </c>
      <c r="R115" s="43" t="s">
        <v>1050</v>
      </c>
      <c r="S115" s="44">
        <v>32</v>
      </c>
      <c r="T115" s="31">
        <v>9186501.7051096316</v>
      </c>
      <c r="U115" s="31">
        <v>224225.13999999998</v>
      </c>
      <c r="V115" s="31">
        <v>0</v>
      </c>
      <c r="W115" s="31">
        <v>0</v>
      </c>
      <c r="X115" s="31">
        <v>1431282.1419305524</v>
      </c>
      <c r="Y115" s="31">
        <v>0</v>
      </c>
      <c r="Z115" s="31">
        <v>503592.82275040587</v>
      </c>
      <c r="AA115" s="31">
        <f t="shared" si="9"/>
        <v>11345601.809790591</v>
      </c>
      <c r="AB115" s="31">
        <v>0</v>
      </c>
      <c r="AD115" s="42" t="s">
        <v>83</v>
      </c>
      <c r="AE115" s="42" t="s">
        <v>84</v>
      </c>
      <c r="AF115" s="43" t="s">
        <v>1275</v>
      </c>
      <c r="AG115" s="44">
        <v>32</v>
      </c>
      <c r="AH115" s="31">
        <v>9141541.1542038359</v>
      </c>
      <c r="AI115" s="31">
        <v>223246.75</v>
      </c>
      <c r="AJ115" s="31">
        <v>0</v>
      </c>
      <c r="AK115" s="31">
        <v>0</v>
      </c>
      <c r="AL115" s="31">
        <v>1458742.6338071418</v>
      </c>
      <c r="AM115" s="31">
        <v>0</v>
      </c>
      <c r="AN115" s="31">
        <v>513291.83849281713</v>
      </c>
      <c r="AO115" s="31">
        <f t="shared" si="10"/>
        <v>11336822.376503794</v>
      </c>
      <c r="AP115" s="31">
        <v>0</v>
      </c>
      <c r="AR115" s="42" t="s">
        <v>83</v>
      </c>
      <c r="AS115" s="42" t="s">
        <v>84</v>
      </c>
      <c r="AT115" s="43" t="s">
        <v>1276</v>
      </c>
      <c r="AU115" s="44">
        <v>32</v>
      </c>
      <c r="AV115" s="31">
        <v>9421629.8796264827</v>
      </c>
      <c r="AW115" s="31">
        <v>229739.54</v>
      </c>
      <c r="AX115" s="31">
        <v>0</v>
      </c>
      <c r="AY115" s="31">
        <v>0</v>
      </c>
      <c r="AZ115" s="31">
        <v>1487583.3902732362</v>
      </c>
      <c r="BA115" s="31">
        <v>0</v>
      </c>
      <c r="BB115" s="31">
        <v>522755.78777149966</v>
      </c>
      <c r="BC115" s="31">
        <f t="shared" si="11"/>
        <v>11661708.597671216</v>
      </c>
      <c r="BD115" s="31">
        <v>0</v>
      </c>
    </row>
    <row r="116" spans="2:56">
      <c r="B116" s="42" t="s">
        <v>101</v>
      </c>
      <c r="C116" s="42" t="s">
        <v>102</v>
      </c>
      <c r="D116" s="43" t="s">
        <v>1049</v>
      </c>
      <c r="E116" s="44">
        <v>32</v>
      </c>
      <c r="F116" s="31">
        <v>422854.39426809677</v>
      </c>
      <c r="G116" s="31">
        <v>19585.979999999996</v>
      </c>
      <c r="H116" s="31">
        <v>0</v>
      </c>
      <c r="I116" s="31">
        <v>0</v>
      </c>
      <c r="J116" s="31">
        <v>33719.872121661443</v>
      </c>
      <c r="K116" s="31">
        <v>92293.884993765387</v>
      </c>
      <c r="L116" s="31">
        <v>0</v>
      </c>
      <c r="M116" s="31">
        <f t="shared" si="8"/>
        <v>577906.08138352353</v>
      </c>
      <c r="N116" s="31">
        <v>9451.9500000000025</v>
      </c>
      <c r="P116" s="42" t="s">
        <v>101</v>
      </c>
      <c r="Q116" s="42" t="s">
        <v>102</v>
      </c>
      <c r="R116" s="43" t="s">
        <v>1050</v>
      </c>
      <c r="S116" s="44">
        <v>32</v>
      </c>
      <c r="T116" s="31">
        <v>442297.79098644084</v>
      </c>
      <c r="U116" s="31">
        <v>18343.809999999998</v>
      </c>
      <c r="V116" s="31">
        <v>0</v>
      </c>
      <c r="W116" s="31">
        <v>0</v>
      </c>
      <c r="X116" s="31">
        <v>34866.03799722738</v>
      </c>
      <c r="Y116" s="31">
        <v>92378.142682082093</v>
      </c>
      <c r="Z116" s="31">
        <v>0</v>
      </c>
      <c r="AA116" s="31">
        <f t="shared" si="9"/>
        <v>597570.11166575027</v>
      </c>
      <c r="AB116" s="31">
        <v>9684.33</v>
      </c>
      <c r="AD116" s="42" t="s">
        <v>101</v>
      </c>
      <c r="AE116" s="42" t="s">
        <v>102</v>
      </c>
      <c r="AF116" s="43" t="s">
        <v>1275</v>
      </c>
      <c r="AG116" s="44">
        <v>32</v>
      </c>
      <c r="AH116" s="31">
        <v>454558.95384447789</v>
      </c>
      <c r="AI116" s="31">
        <v>18721.479999999996</v>
      </c>
      <c r="AJ116" s="31">
        <v>0</v>
      </c>
      <c r="AK116" s="31">
        <v>0</v>
      </c>
      <c r="AL116" s="31">
        <v>34208.54296851284</v>
      </c>
      <c r="AM116" s="31">
        <v>92349.517888077884</v>
      </c>
      <c r="AN116" s="31">
        <v>0</v>
      </c>
      <c r="AO116" s="31">
        <f t="shared" si="10"/>
        <v>609693.43470106856</v>
      </c>
      <c r="AP116" s="31">
        <v>9854.94</v>
      </c>
      <c r="AR116" s="42" t="s">
        <v>101</v>
      </c>
      <c r="AS116" s="42" t="s">
        <v>102</v>
      </c>
      <c r="AT116" s="43" t="s">
        <v>1276</v>
      </c>
      <c r="AU116" s="44">
        <v>32</v>
      </c>
      <c r="AV116" s="31">
        <v>463795.42689890589</v>
      </c>
      <c r="AW116" s="31">
        <v>19060.569999999992</v>
      </c>
      <c r="AX116" s="31">
        <v>0</v>
      </c>
      <c r="AY116" s="31">
        <v>0</v>
      </c>
      <c r="AZ116" s="31">
        <v>34521.501424760485</v>
      </c>
      <c r="BA116" s="31">
        <v>92354.073104593554</v>
      </c>
      <c r="BB116" s="31">
        <v>0</v>
      </c>
      <c r="BC116" s="31">
        <f t="shared" si="11"/>
        <v>619769.25142826</v>
      </c>
      <c r="BD116" s="31">
        <v>10037.680000000002</v>
      </c>
    </row>
    <row r="117" spans="2:56">
      <c r="B117" s="42" t="s">
        <v>87</v>
      </c>
      <c r="C117" s="42" t="s">
        <v>88</v>
      </c>
      <c r="D117" s="43" t="s">
        <v>1049</v>
      </c>
      <c r="E117" s="44">
        <v>32</v>
      </c>
      <c r="F117" s="31">
        <v>38075234.968129143</v>
      </c>
      <c r="G117" s="31">
        <v>1828707.7300000004</v>
      </c>
      <c r="H117" s="31">
        <v>455252.43</v>
      </c>
      <c r="I117" s="31">
        <v>134276.08000000002</v>
      </c>
      <c r="J117" s="31">
        <v>6040227.4989624843</v>
      </c>
      <c r="K117" s="31">
        <v>2338852.3585415701</v>
      </c>
      <c r="L117" s="31">
        <v>3741895.8956274572</v>
      </c>
      <c r="M117" s="31">
        <f t="shared" si="8"/>
        <v>53909558.30126065</v>
      </c>
      <c r="N117" s="31">
        <v>1295111.3399999999</v>
      </c>
      <c r="P117" s="42" t="s">
        <v>87</v>
      </c>
      <c r="Q117" s="42" t="s">
        <v>88</v>
      </c>
      <c r="R117" s="43" t="s">
        <v>1050</v>
      </c>
      <c r="S117" s="44">
        <v>32</v>
      </c>
      <c r="T117" s="31">
        <v>37425912.844441541</v>
      </c>
      <c r="U117" s="31">
        <v>1807345.1600000001</v>
      </c>
      <c r="V117" s="31">
        <v>472734.59</v>
      </c>
      <c r="W117" s="31">
        <v>131438.83000000002</v>
      </c>
      <c r="X117" s="31">
        <v>6238597.9485694617</v>
      </c>
      <c r="Y117" s="31">
        <v>2341143.5959276031</v>
      </c>
      <c r="Z117" s="31">
        <v>3912550.9077123925</v>
      </c>
      <c r="AA117" s="31">
        <f t="shared" si="9"/>
        <v>53656673.806651004</v>
      </c>
      <c r="AB117" s="31">
        <v>1326949.9300000002</v>
      </c>
      <c r="AD117" s="42" t="s">
        <v>87</v>
      </c>
      <c r="AE117" s="42" t="s">
        <v>88</v>
      </c>
      <c r="AF117" s="43" t="s">
        <v>1275</v>
      </c>
      <c r="AG117" s="44">
        <v>32</v>
      </c>
      <c r="AH117" s="31">
        <v>38143813.240985885</v>
      </c>
      <c r="AI117" s="31">
        <v>1845277.3800000001</v>
      </c>
      <c r="AJ117" s="31">
        <v>481981.89</v>
      </c>
      <c r="AK117" s="31">
        <v>134009.94</v>
      </c>
      <c r="AL117" s="31">
        <v>6354155.6877583899</v>
      </c>
      <c r="AM117" s="31">
        <v>2340365.1957661435</v>
      </c>
      <c r="AN117" s="31">
        <v>3987913.8619861081</v>
      </c>
      <c r="AO117" s="31">
        <f t="shared" si="10"/>
        <v>54637845.746496528</v>
      </c>
      <c r="AP117" s="31">
        <v>1350328.55</v>
      </c>
      <c r="AR117" s="42" t="s">
        <v>87</v>
      </c>
      <c r="AS117" s="42" t="s">
        <v>88</v>
      </c>
      <c r="AT117" s="43" t="s">
        <v>1276</v>
      </c>
      <c r="AU117" s="44">
        <v>32</v>
      </c>
      <c r="AV117" s="31">
        <v>38845445.86702387</v>
      </c>
      <c r="AW117" s="31">
        <v>1878593.6</v>
      </c>
      <c r="AX117" s="31">
        <v>490783.32000000007</v>
      </c>
      <c r="AY117" s="31">
        <v>136457.09</v>
      </c>
      <c r="AZ117" s="31">
        <v>6471168.4895401727</v>
      </c>
      <c r="BA117" s="31">
        <v>2340489.0667456435</v>
      </c>
      <c r="BB117" s="31">
        <v>4061433.2937198966</v>
      </c>
      <c r="BC117" s="31">
        <f t="shared" si="11"/>
        <v>55599737.767029591</v>
      </c>
      <c r="BD117" s="31">
        <v>1375367.04</v>
      </c>
    </row>
    <row r="118" spans="2:56">
      <c r="B118" s="42" t="s">
        <v>17</v>
      </c>
      <c r="C118" s="42" t="s">
        <v>18</v>
      </c>
      <c r="D118" s="43" t="s">
        <v>1049</v>
      </c>
      <c r="E118" s="44">
        <v>32</v>
      </c>
      <c r="F118" s="31">
        <v>145935856.89833647</v>
      </c>
      <c r="G118" s="31">
        <v>6712245.0599999987</v>
      </c>
      <c r="H118" s="31">
        <v>4057905.09</v>
      </c>
      <c r="I118" s="31">
        <v>514010.41000000003</v>
      </c>
      <c r="J118" s="31">
        <v>20616345.450004131</v>
      </c>
      <c r="K118" s="31">
        <v>8176657.1704723854</v>
      </c>
      <c r="L118" s="31">
        <v>14377796.381748267</v>
      </c>
      <c r="M118" s="31">
        <f t="shared" si="8"/>
        <v>204009742.05056125</v>
      </c>
      <c r="N118" s="31">
        <v>3618925.5900000003</v>
      </c>
      <c r="P118" s="42" t="s">
        <v>17</v>
      </c>
      <c r="Q118" s="42" t="s">
        <v>18</v>
      </c>
      <c r="R118" s="43" t="s">
        <v>1050</v>
      </c>
      <c r="S118" s="44">
        <v>32</v>
      </c>
      <c r="T118" s="31">
        <v>157581273.99691597</v>
      </c>
      <c r="U118" s="31">
        <v>7193638.8299999982</v>
      </c>
      <c r="V118" s="31">
        <v>4213732.74</v>
      </c>
      <c r="W118" s="31">
        <v>547004.12</v>
      </c>
      <c r="X118" s="31">
        <v>21354052.470554758</v>
      </c>
      <c r="Y118" s="31">
        <v>8183747.8961061994</v>
      </c>
      <c r="Z118" s="31">
        <v>15029809.338872245</v>
      </c>
      <c r="AA118" s="31">
        <f t="shared" si="9"/>
        <v>217811151.44244924</v>
      </c>
      <c r="AB118" s="31">
        <v>3707892.0500000003</v>
      </c>
      <c r="AD118" s="42" t="s">
        <v>17</v>
      </c>
      <c r="AE118" s="42" t="s">
        <v>18</v>
      </c>
      <c r="AF118" s="43" t="s">
        <v>1275</v>
      </c>
      <c r="AG118" s="44">
        <v>32</v>
      </c>
      <c r="AH118" s="31">
        <v>162037391.14294848</v>
      </c>
      <c r="AI118" s="31">
        <v>7398919.0899999999</v>
      </c>
      <c r="AJ118" s="31">
        <v>4296158.74</v>
      </c>
      <c r="AK118" s="31">
        <v>562140.26</v>
      </c>
      <c r="AL118" s="31">
        <v>21759176.215668064</v>
      </c>
      <c r="AM118" s="31">
        <v>8181338.9698151592</v>
      </c>
      <c r="AN118" s="31">
        <v>15319419.215559715</v>
      </c>
      <c r="AO118" s="31">
        <f t="shared" si="10"/>
        <v>223327762.46399143</v>
      </c>
      <c r="AP118" s="31">
        <v>3773218.8299999996</v>
      </c>
      <c r="AR118" s="42" t="s">
        <v>17</v>
      </c>
      <c r="AS118" s="42" t="s">
        <v>18</v>
      </c>
      <c r="AT118" s="43" t="s">
        <v>1276</v>
      </c>
      <c r="AU118" s="44">
        <v>32</v>
      </c>
      <c r="AV118" s="31">
        <v>165731011.26789424</v>
      </c>
      <c r="AW118" s="31">
        <v>7564166.8200000022</v>
      </c>
      <c r="AX118" s="31">
        <v>4374610.57</v>
      </c>
      <c r="AY118" s="31">
        <v>574716.52</v>
      </c>
      <c r="AZ118" s="31">
        <v>22156205.485552073</v>
      </c>
      <c r="BA118" s="31">
        <v>8181722.3151354557</v>
      </c>
      <c r="BB118" s="31">
        <v>15601719.386971952</v>
      </c>
      <c r="BC118" s="31">
        <f t="shared" si="11"/>
        <v>228027336.19555372</v>
      </c>
      <c r="BD118" s="31">
        <v>3843183.8299999996</v>
      </c>
    </row>
    <row r="119" spans="2:56">
      <c r="B119" s="42" t="s">
        <v>217</v>
      </c>
      <c r="C119" s="42" t="s">
        <v>218</v>
      </c>
      <c r="D119" s="43" t="s">
        <v>1049</v>
      </c>
      <c r="E119" s="44">
        <v>32</v>
      </c>
      <c r="F119" s="31">
        <v>225744409.21730953</v>
      </c>
      <c r="G119" s="31">
        <v>9323936.0800000019</v>
      </c>
      <c r="H119" s="31">
        <v>10181226.449999999</v>
      </c>
      <c r="I119" s="31">
        <v>802862.82000000018</v>
      </c>
      <c r="J119" s="31">
        <v>28806044.02240482</v>
      </c>
      <c r="K119" s="31">
        <v>12813779.656117178</v>
      </c>
      <c r="L119" s="31">
        <v>16320506.984031525</v>
      </c>
      <c r="M119" s="31">
        <f t="shared" si="8"/>
        <v>307806871.73986304</v>
      </c>
      <c r="N119" s="31">
        <v>3814106.5100000002</v>
      </c>
      <c r="P119" s="42" t="s">
        <v>217</v>
      </c>
      <c r="Q119" s="42" t="s">
        <v>218</v>
      </c>
      <c r="R119" s="43" t="s">
        <v>1050</v>
      </c>
      <c r="S119" s="44">
        <v>32</v>
      </c>
      <c r="T119" s="31">
        <v>262760603.91605335</v>
      </c>
      <c r="U119" s="31">
        <v>10784807.979999999</v>
      </c>
      <c r="V119" s="31">
        <v>10557484.68</v>
      </c>
      <c r="W119" s="31">
        <v>924802.98999999987</v>
      </c>
      <c r="X119" s="31">
        <v>29589366.485348064</v>
      </c>
      <c r="Y119" s="31">
        <v>12825205.09043332</v>
      </c>
      <c r="Z119" s="31">
        <v>17054722.041440852</v>
      </c>
      <c r="AA119" s="31">
        <f t="shared" si="9"/>
        <v>348406576.76327556</v>
      </c>
      <c r="AB119" s="31">
        <v>3909583.58</v>
      </c>
      <c r="AD119" s="42" t="s">
        <v>217</v>
      </c>
      <c r="AE119" s="42" t="s">
        <v>218</v>
      </c>
      <c r="AF119" s="43" t="s">
        <v>1275</v>
      </c>
      <c r="AG119" s="44">
        <v>32</v>
      </c>
      <c r="AH119" s="31">
        <v>269434294.80628991</v>
      </c>
      <c r="AI119" s="31">
        <v>11056308.469999999</v>
      </c>
      <c r="AJ119" s="31">
        <v>10764491.479999999</v>
      </c>
      <c r="AK119" s="31">
        <v>947472.96000000008</v>
      </c>
      <c r="AL119" s="31">
        <v>30166218.541417159</v>
      </c>
      <c r="AM119" s="31">
        <v>12820887.131784614</v>
      </c>
      <c r="AN119" s="31">
        <v>17384320.596836381</v>
      </c>
      <c r="AO119" s="31">
        <f t="shared" si="10"/>
        <v>356553685.02632815</v>
      </c>
      <c r="AP119" s="31">
        <v>3979691.04</v>
      </c>
      <c r="AR119" s="42" t="s">
        <v>217</v>
      </c>
      <c r="AS119" s="42" t="s">
        <v>218</v>
      </c>
      <c r="AT119" s="43" t="s">
        <v>1276</v>
      </c>
      <c r="AU119" s="44">
        <v>32</v>
      </c>
      <c r="AV119" s="31">
        <v>273977683.94927096</v>
      </c>
      <c r="AW119" s="31">
        <v>11250240.699999999</v>
      </c>
      <c r="AX119" s="31">
        <v>10964920.669999998</v>
      </c>
      <c r="AY119" s="31">
        <v>964141.5199999999</v>
      </c>
      <c r="AZ119" s="31">
        <v>30707934.538818248</v>
      </c>
      <c r="BA119" s="31">
        <v>12821551.697433285</v>
      </c>
      <c r="BB119" s="31">
        <v>17709504.519658029</v>
      </c>
      <c r="BC119" s="31">
        <f t="shared" si="11"/>
        <v>362450753.72518051</v>
      </c>
      <c r="BD119" s="31">
        <v>4054776.13</v>
      </c>
    </row>
    <row r="120" spans="2:56">
      <c r="B120" s="42" t="s">
        <v>505</v>
      </c>
      <c r="C120" s="42" t="s">
        <v>506</v>
      </c>
      <c r="D120" s="43" t="s">
        <v>1049</v>
      </c>
      <c r="E120" s="44">
        <v>32</v>
      </c>
      <c r="F120" s="31">
        <v>8800805.2128784116</v>
      </c>
      <c r="G120" s="31">
        <v>364588.17999999993</v>
      </c>
      <c r="H120" s="31">
        <v>0</v>
      </c>
      <c r="I120" s="31">
        <v>30466.409999999996</v>
      </c>
      <c r="J120" s="31">
        <v>1318287.4116704226</v>
      </c>
      <c r="K120" s="31">
        <v>955215.39119258686</v>
      </c>
      <c r="L120" s="31">
        <v>501262.22054942674</v>
      </c>
      <c r="M120" s="31">
        <f t="shared" si="8"/>
        <v>12185503.856290847</v>
      </c>
      <c r="N120" s="31">
        <v>214879.03</v>
      </c>
      <c r="P120" s="42" t="s">
        <v>505</v>
      </c>
      <c r="Q120" s="42" t="s">
        <v>506</v>
      </c>
      <c r="R120" s="43" t="s">
        <v>1050</v>
      </c>
      <c r="S120" s="44">
        <v>32</v>
      </c>
      <c r="T120" s="31">
        <v>9456353.2063290887</v>
      </c>
      <c r="U120" s="31">
        <v>390959.74999999977</v>
      </c>
      <c r="V120" s="31">
        <v>0</v>
      </c>
      <c r="W120" s="31">
        <v>32463.16</v>
      </c>
      <c r="X120" s="31">
        <v>1364638.1155164416</v>
      </c>
      <c r="Y120" s="31">
        <v>956069.60986831272</v>
      </c>
      <c r="Z120" s="31">
        <v>524157.65525207797</v>
      </c>
      <c r="AA120" s="31">
        <f t="shared" si="9"/>
        <v>12944827.03696592</v>
      </c>
      <c r="AB120" s="31">
        <v>220185.54</v>
      </c>
      <c r="AD120" s="42" t="s">
        <v>505</v>
      </c>
      <c r="AE120" s="42" t="s">
        <v>506</v>
      </c>
      <c r="AF120" s="43" t="s">
        <v>1275</v>
      </c>
      <c r="AG120" s="44">
        <v>32</v>
      </c>
      <c r="AH120" s="31">
        <v>9597374.1736123748</v>
      </c>
      <c r="AI120" s="31">
        <v>397209.98999999987</v>
      </c>
      <c r="AJ120" s="31">
        <v>0</v>
      </c>
      <c r="AK120" s="31">
        <v>32991.800000000003</v>
      </c>
      <c r="AL120" s="31">
        <v>1390707.4343682174</v>
      </c>
      <c r="AM120" s="31">
        <v>955779.40687181812</v>
      </c>
      <c r="AN120" s="31">
        <v>534260.88962037954</v>
      </c>
      <c r="AO120" s="31">
        <f t="shared" si="10"/>
        <v>13132405.734472789</v>
      </c>
      <c r="AP120" s="31">
        <v>224082.04</v>
      </c>
      <c r="AR120" s="42" t="s">
        <v>505</v>
      </c>
      <c r="AS120" s="42" t="s">
        <v>506</v>
      </c>
      <c r="AT120" s="43" t="s">
        <v>1276</v>
      </c>
      <c r="AU120" s="44">
        <v>32</v>
      </c>
      <c r="AV120" s="31">
        <v>9802951.7383248061</v>
      </c>
      <c r="AW120" s="31">
        <v>405959.78</v>
      </c>
      <c r="AX120" s="31">
        <v>0</v>
      </c>
      <c r="AY120" s="31">
        <v>33705.910000000003</v>
      </c>
      <c r="AZ120" s="31">
        <v>1415224.9529516292</v>
      </c>
      <c r="BA120" s="31">
        <v>955825.58842625434</v>
      </c>
      <c r="BB120" s="31">
        <v>544137.76616031048</v>
      </c>
      <c r="BC120" s="31">
        <f t="shared" si="11"/>
        <v>13386060.915863</v>
      </c>
      <c r="BD120" s="31">
        <v>228255.18000000002</v>
      </c>
    </row>
    <row r="121" spans="2:56">
      <c r="B121" s="42" t="s">
        <v>21</v>
      </c>
      <c r="C121" s="42" t="s">
        <v>22</v>
      </c>
      <c r="D121" s="43" t="s">
        <v>1049</v>
      </c>
      <c r="E121" s="44">
        <v>32</v>
      </c>
      <c r="F121" s="31">
        <v>11371052.95961256</v>
      </c>
      <c r="G121" s="31">
        <v>611453.14000000013</v>
      </c>
      <c r="H121" s="31">
        <v>543925.31999999995</v>
      </c>
      <c r="I121" s="31">
        <v>39074.549999999996</v>
      </c>
      <c r="J121" s="31">
        <v>1644237.8240866514</v>
      </c>
      <c r="K121" s="31">
        <v>731585.67916059343</v>
      </c>
      <c r="L121" s="31">
        <v>756149.24569961138</v>
      </c>
      <c r="M121" s="31">
        <f t="shared" si="8"/>
        <v>16094752.738559416</v>
      </c>
      <c r="N121" s="31">
        <v>397274.01999999996</v>
      </c>
      <c r="P121" s="42" t="s">
        <v>21</v>
      </c>
      <c r="Q121" s="42" t="s">
        <v>22</v>
      </c>
      <c r="R121" s="43" t="s">
        <v>1050</v>
      </c>
      <c r="S121" s="44">
        <v>32</v>
      </c>
      <c r="T121" s="31">
        <v>11266720.583307218</v>
      </c>
      <c r="U121" s="31">
        <v>610978.1</v>
      </c>
      <c r="V121" s="31">
        <v>564812.60999999987</v>
      </c>
      <c r="W121" s="31">
        <v>38652.53</v>
      </c>
      <c r="X121" s="31">
        <v>1687671.5901656135</v>
      </c>
      <c r="Y121" s="31">
        <v>732075.30895366916</v>
      </c>
      <c r="Z121" s="31">
        <v>790653.96504914924</v>
      </c>
      <c r="AA121" s="31">
        <f t="shared" si="9"/>
        <v>16098605.157475648</v>
      </c>
      <c r="AB121" s="31">
        <v>407040.47</v>
      </c>
      <c r="AD121" s="42" t="s">
        <v>21</v>
      </c>
      <c r="AE121" s="42" t="s">
        <v>22</v>
      </c>
      <c r="AF121" s="43" t="s">
        <v>1275</v>
      </c>
      <c r="AG121" s="44">
        <v>32</v>
      </c>
      <c r="AH121" s="31">
        <v>11677426.962246444</v>
      </c>
      <c r="AI121" s="31">
        <v>631148.28</v>
      </c>
      <c r="AJ121" s="31">
        <v>575861.06999999995</v>
      </c>
      <c r="AK121" s="31">
        <v>39924.449999999997</v>
      </c>
      <c r="AL121" s="31">
        <v>1726050.703868632</v>
      </c>
      <c r="AM121" s="31">
        <v>731908.96743344562</v>
      </c>
      <c r="AN121" s="31">
        <v>805883.38830588735</v>
      </c>
      <c r="AO121" s="31">
        <f t="shared" si="10"/>
        <v>16602415.651854407</v>
      </c>
      <c r="AP121" s="31">
        <v>414211.82999999996</v>
      </c>
      <c r="AR121" s="42" t="s">
        <v>21</v>
      </c>
      <c r="AS121" s="42" t="s">
        <v>22</v>
      </c>
      <c r="AT121" s="43" t="s">
        <v>1276</v>
      </c>
      <c r="AU121" s="44">
        <v>32</v>
      </c>
      <c r="AV121" s="31">
        <v>11827798.441451531</v>
      </c>
      <c r="AW121" s="31">
        <v>639720.70000000019</v>
      </c>
      <c r="AX121" s="31">
        <v>586376.82999999996</v>
      </c>
      <c r="AY121" s="31">
        <v>40443.410000000003</v>
      </c>
      <c r="AZ121" s="31">
        <v>1756635.5847603988</v>
      </c>
      <c r="BA121" s="31">
        <v>731935.43824892305</v>
      </c>
      <c r="BB121" s="31">
        <v>820740.21798777394</v>
      </c>
      <c r="BC121" s="31">
        <f t="shared" si="11"/>
        <v>16825542.982448626</v>
      </c>
      <c r="BD121" s="31">
        <v>421892.35999999993</v>
      </c>
    </row>
    <row r="122" spans="2:56">
      <c r="B122" s="42" t="s">
        <v>247</v>
      </c>
      <c r="C122" s="42" t="s">
        <v>248</v>
      </c>
      <c r="D122" s="43" t="s">
        <v>1049</v>
      </c>
      <c r="E122" s="44">
        <v>32</v>
      </c>
      <c r="F122" s="31">
        <v>4839700.7607450802</v>
      </c>
      <c r="G122" s="31">
        <v>171109.43</v>
      </c>
      <c r="H122" s="31">
        <v>54567.93</v>
      </c>
      <c r="I122" s="31">
        <v>0</v>
      </c>
      <c r="J122" s="31">
        <v>724780.13679404021</v>
      </c>
      <c r="K122" s="31">
        <v>411250.93964047218</v>
      </c>
      <c r="L122" s="31">
        <v>491623.43671317084</v>
      </c>
      <c r="M122" s="31">
        <f t="shared" si="8"/>
        <v>6693032.6338927625</v>
      </c>
      <c r="N122" s="31">
        <v>0</v>
      </c>
      <c r="P122" s="42" t="s">
        <v>247</v>
      </c>
      <c r="Q122" s="42" t="s">
        <v>248</v>
      </c>
      <c r="R122" s="43" t="s">
        <v>1050</v>
      </c>
      <c r="S122" s="44">
        <v>32</v>
      </c>
      <c r="T122" s="31">
        <v>4872022.6002720762</v>
      </c>
      <c r="U122" s="31">
        <v>174037.55000000002</v>
      </c>
      <c r="V122" s="31">
        <v>56663.390000000007</v>
      </c>
      <c r="W122" s="31">
        <v>0</v>
      </c>
      <c r="X122" s="31">
        <v>748021.01588968909</v>
      </c>
      <c r="Y122" s="31">
        <v>411586.58485361066</v>
      </c>
      <c r="Z122" s="31">
        <v>509140.69405289844</v>
      </c>
      <c r="AA122" s="31">
        <f t="shared" si="9"/>
        <v>6771471.8350682743</v>
      </c>
      <c r="AB122" s="31">
        <v>0</v>
      </c>
      <c r="AD122" s="42" t="s">
        <v>247</v>
      </c>
      <c r="AE122" s="42" t="s">
        <v>248</v>
      </c>
      <c r="AF122" s="43" t="s">
        <v>1275</v>
      </c>
      <c r="AG122" s="44">
        <v>32</v>
      </c>
      <c r="AH122" s="31">
        <v>4932469.1090408638</v>
      </c>
      <c r="AI122" s="31">
        <v>175172.35</v>
      </c>
      <c r="AJ122" s="31">
        <v>57771.799999999996</v>
      </c>
      <c r="AK122" s="31">
        <v>0</v>
      </c>
      <c r="AL122" s="31">
        <v>767498.74836822553</v>
      </c>
      <c r="AM122" s="31">
        <v>411472.55638598313</v>
      </c>
      <c r="AN122" s="31">
        <v>518946.62638929719</v>
      </c>
      <c r="AO122" s="31">
        <f t="shared" si="10"/>
        <v>6863331.1901843678</v>
      </c>
      <c r="AP122" s="31">
        <v>0</v>
      </c>
      <c r="AR122" s="42" t="s">
        <v>247</v>
      </c>
      <c r="AS122" s="42" t="s">
        <v>248</v>
      </c>
      <c r="AT122" s="43" t="s">
        <v>1276</v>
      </c>
      <c r="AU122" s="44">
        <v>32</v>
      </c>
      <c r="AV122" s="31">
        <v>4976820.070296308</v>
      </c>
      <c r="AW122" s="31">
        <v>174274.31999999998</v>
      </c>
      <c r="AX122" s="31">
        <v>58826.759999999995</v>
      </c>
      <c r="AY122" s="31">
        <v>0</v>
      </c>
      <c r="AZ122" s="31">
        <v>783420.39778373658</v>
      </c>
      <c r="BA122" s="31">
        <v>411490.70234570315</v>
      </c>
      <c r="BB122" s="31">
        <v>528514.93186982023</v>
      </c>
      <c r="BC122" s="31">
        <f t="shared" si="11"/>
        <v>6933347.1822955683</v>
      </c>
      <c r="BD122" s="31">
        <v>0</v>
      </c>
    </row>
    <row r="123" spans="2:56">
      <c r="B123" s="42" t="s">
        <v>261</v>
      </c>
      <c r="C123" s="42" t="s">
        <v>262</v>
      </c>
      <c r="D123" s="43" t="s">
        <v>1049</v>
      </c>
      <c r="E123" s="44">
        <v>32</v>
      </c>
      <c r="F123" s="31">
        <v>2001218.9268738618</v>
      </c>
      <c r="G123" s="31">
        <v>30970.840000000004</v>
      </c>
      <c r="H123" s="31">
        <v>0</v>
      </c>
      <c r="I123" s="31">
        <v>2723.82</v>
      </c>
      <c r="J123" s="31">
        <v>116007.66203102519</v>
      </c>
      <c r="K123" s="31">
        <v>95501.994369712687</v>
      </c>
      <c r="L123" s="31">
        <v>0</v>
      </c>
      <c r="M123" s="31">
        <f t="shared" si="8"/>
        <v>2273358.7832745998</v>
      </c>
      <c r="N123" s="31">
        <v>26935.54</v>
      </c>
      <c r="P123" s="42" t="s">
        <v>261</v>
      </c>
      <c r="Q123" s="42" t="s">
        <v>262</v>
      </c>
      <c r="R123" s="43" t="s">
        <v>1050</v>
      </c>
      <c r="S123" s="44">
        <v>32</v>
      </c>
      <c r="T123" s="31">
        <v>2050007.6824775366</v>
      </c>
      <c r="U123" s="31">
        <v>26748.910000000007</v>
      </c>
      <c r="V123" s="31">
        <v>0</v>
      </c>
      <c r="W123" s="31">
        <v>2303.8200000000002</v>
      </c>
      <c r="X123" s="31">
        <v>119969.52342453587</v>
      </c>
      <c r="Y123" s="31">
        <v>95586.570864098278</v>
      </c>
      <c r="Z123" s="31">
        <v>0</v>
      </c>
      <c r="AA123" s="31">
        <f t="shared" si="9"/>
        <v>2322217.2267661709</v>
      </c>
      <c r="AB123" s="31">
        <v>27600.719999999998</v>
      </c>
      <c r="AD123" s="42" t="s">
        <v>261</v>
      </c>
      <c r="AE123" s="42" t="s">
        <v>262</v>
      </c>
      <c r="AF123" s="43" t="s">
        <v>1275</v>
      </c>
      <c r="AG123" s="44">
        <v>32</v>
      </c>
      <c r="AH123" s="31">
        <v>2088138.0568351399</v>
      </c>
      <c r="AI123" s="31">
        <v>26256.560000000012</v>
      </c>
      <c r="AJ123" s="31">
        <v>0</v>
      </c>
      <c r="AK123" s="31">
        <v>2242.17</v>
      </c>
      <c r="AL123" s="31">
        <v>121946.1797254804</v>
      </c>
      <c r="AM123" s="31">
        <v>95557.837762374824</v>
      </c>
      <c r="AN123" s="31">
        <v>0</v>
      </c>
      <c r="AO123" s="31">
        <f t="shared" si="10"/>
        <v>2362229.9543229947</v>
      </c>
      <c r="AP123" s="31">
        <v>28089.149999999994</v>
      </c>
      <c r="AR123" s="42" t="s">
        <v>261</v>
      </c>
      <c r="AS123" s="42" t="s">
        <v>262</v>
      </c>
      <c r="AT123" s="43" t="s">
        <v>1276</v>
      </c>
      <c r="AU123" s="44">
        <v>32</v>
      </c>
      <c r="AV123" s="31">
        <v>2124829.8918912425</v>
      </c>
      <c r="AW123" s="31">
        <v>25643.39</v>
      </c>
      <c r="AX123" s="31">
        <v>0</v>
      </c>
      <c r="AY123" s="31">
        <v>2174.5700000000002</v>
      </c>
      <c r="AZ123" s="31">
        <v>123947.06611483921</v>
      </c>
      <c r="BA123" s="31">
        <v>95562.410214476942</v>
      </c>
      <c r="BB123" s="31">
        <v>0</v>
      </c>
      <c r="BC123" s="31">
        <f t="shared" si="11"/>
        <v>2400769.5982205584</v>
      </c>
      <c r="BD123" s="31">
        <v>28612.269999999997</v>
      </c>
    </row>
    <row r="124" spans="2:56">
      <c r="B124" s="42" t="s">
        <v>59</v>
      </c>
      <c r="C124" s="42" t="s">
        <v>60</v>
      </c>
      <c r="D124" s="43" t="s">
        <v>1049</v>
      </c>
      <c r="E124" s="44">
        <v>32</v>
      </c>
      <c r="F124" s="31">
        <v>14913763.567702662</v>
      </c>
      <c r="G124" s="31">
        <v>289068.68</v>
      </c>
      <c r="H124" s="31">
        <v>71577.909999999989</v>
      </c>
      <c r="I124" s="31">
        <v>51005.88</v>
      </c>
      <c r="J124" s="31">
        <v>2152277.0076281372</v>
      </c>
      <c r="K124" s="31">
        <v>0</v>
      </c>
      <c r="L124" s="31">
        <v>423526.18710599205</v>
      </c>
      <c r="M124" s="31">
        <f t="shared" si="8"/>
        <v>17901219.232436791</v>
      </c>
      <c r="N124" s="31">
        <v>0</v>
      </c>
      <c r="P124" s="42" t="s">
        <v>59</v>
      </c>
      <c r="Q124" s="42" t="s">
        <v>60</v>
      </c>
      <c r="R124" s="43" t="s">
        <v>1050</v>
      </c>
      <c r="S124" s="44">
        <v>32</v>
      </c>
      <c r="T124" s="31">
        <v>15560220.518115159</v>
      </c>
      <c r="U124" s="31">
        <v>302342.64</v>
      </c>
      <c r="V124" s="31">
        <v>74265.39</v>
      </c>
      <c r="W124" s="31">
        <v>53361.049999999996</v>
      </c>
      <c r="X124" s="31">
        <v>2217768.6113958363</v>
      </c>
      <c r="Y124" s="31">
        <v>0</v>
      </c>
      <c r="Z124" s="31">
        <v>438418.16849349916</v>
      </c>
      <c r="AA124" s="31">
        <f t="shared" si="9"/>
        <v>18646376.378004495</v>
      </c>
      <c r="AB124" s="31">
        <v>0</v>
      </c>
      <c r="AD124" s="42" t="s">
        <v>59</v>
      </c>
      <c r="AE124" s="42" t="s">
        <v>60</v>
      </c>
      <c r="AF124" s="43" t="s">
        <v>1275</v>
      </c>
      <c r="AG124" s="44">
        <v>32</v>
      </c>
      <c r="AH124" s="31">
        <v>16209581.660021329</v>
      </c>
      <c r="AI124" s="31">
        <v>314883.61000000004</v>
      </c>
      <c r="AJ124" s="31">
        <v>75720.130000000019</v>
      </c>
      <c r="AK124" s="31">
        <v>55640.26999999999</v>
      </c>
      <c r="AL124" s="31">
        <v>2259483.5230906927</v>
      </c>
      <c r="AM124" s="31">
        <v>0</v>
      </c>
      <c r="AN124" s="31">
        <v>446877.46698411601</v>
      </c>
      <c r="AO124" s="31">
        <f t="shared" si="10"/>
        <v>19362186.660096139</v>
      </c>
      <c r="AP124" s="31">
        <v>0</v>
      </c>
      <c r="AR124" s="42" t="s">
        <v>59</v>
      </c>
      <c r="AS124" s="42" t="s">
        <v>60</v>
      </c>
      <c r="AT124" s="43" t="s">
        <v>1276</v>
      </c>
      <c r="AU124" s="44">
        <v>32</v>
      </c>
      <c r="AV124" s="31">
        <v>16657988.146691836</v>
      </c>
      <c r="AW124" s="31">
        <v>323442.44999999995</v>
      </c>
      <c r="AX124" s="31">
        <v>77118.900000000009</v>
      </c>
      <c r="AY124" s="31">
        <v>57125.119999999995</v>
      </c>
      <c r="AZ124" s="31">
        <v>2301481.650989112</v>
      </c>
      <c r="BA124" s="31">
        <v>0</v>
      </c>
      <c r="BB124" s="31">
        <v>455181.29766844661</v>
      </c>
      <c r="BC124" s="31">
        <f t="shared" si="11"/>
        <v>19872337.565349393</v>
      </c>
      <c r="BD124" s="31">
        <v>0</v>
      </c>
    </row>
    <row r="125" spans="2:56">
      <c r="B125" s="42" t="s">
        <v>409</v>
      </c>
      <c r="C125" s="42" t="s">
        <v>410</v>
      </c>
      <c r="D125" s="43" t="s">
        <v>1049</v>
      </c>
      <c r="E125" s="44">
        <v>32</v>
      </c>
      <c r="F125" s="31">
        <v>5697579.4130249638</v>
      </c>
      <c r="G125" s="31">
        <v>238525.10000000003</v>
      </c>
      <c r="H125" s="31">
        <v>20460.89</v>
      </c>
      <c r="I125" s="31">
        <v>18459.28</v>
      </c>
      <c r="J125" s="31">
        <v>802992.76765904401</v>
      </c>
      <c r="K125" s="31">
        <v>580917.66512366582</v>
      </c>
      <c r="L125" s="31">
        <v>149238.444619491</v>
      </c>
      <c r="M125" s="31">
        <f t="shared" si="8"/>
        <v>7697325.6104271635</v>
      </c>
      <c r="N125" s="31">
        <v>189152.05</v>
      </c>
      <c r="P125" s="42" t="s">
        <v>409</v>
      </c>
      <c r="Q125" s="42" t="s">
        <v>410</v>
      </c>
      <c r="R125" s="43" t="s">
        <v>1050</v>
      </c>
      <c r="S125" s="44">
        <v>32</v>
      </c>
      <c r="T125" s="31">
        <v>6061735.7384560509</v>
      </c>
      <c r="U125" s="31">
        <v>253700.22000000009</v>
      </c>
      <c r="V125" s="31">
        <v>21219.919999999998</v>
      </c>
      <c r="W125" s="31">
        <v>19490.04</v>
      </c>
      <c r="X125" s="31">
        <v>834080.53334715532</v>
      </c>
      <c r="Y125" s="31">
        <v>581300.46725066379</v>
      </c>
      <c r="Z125" s="31">
        <v>156029.11212385248</v>
      </c>
      <c r="AA125" s="31">
        <f t="shared" si="9"/>
        <v>8121434.7911777217</v>
      </c>
      <c r="AB125" s="31">
        <v>193878.75999999995</v>
      </c>
      <c r="AD125" s="42" t="s">
        <v>409</v>
      </c>
      <c r="AE125" s="42" t="s">
        <v>410</v>
      </c>
      <c r="AF125" s="43" t="s">
        <v>1275</v>
      </c>
      <c r="AG125" s="44">
        <v>32</v>
      </c>
      <c r="AH125" s="31">
        <v>6350461.1499866443</v>
      </c>
      <c r="AI125" s="31">
        <v>260767.22</v>
      </c>
      <c r="AJ125" s="31">
        <v>21635.899999999998</v>
      </c>
      <c r="AK125" s="31">
        <v>19989.690000000002</v>
      </c>
      <c r="AL125" s="31">
        <v>854973.15823606215</v>
      </c>
      <c r="AM125" s="31">
        <v>581160.47857723839</v>
      </c>
      <c r="AN125" s="31">
        <v>159043.20263027132</v>
      </c>
      <c r="AO125" s="31">
        <f t="shared" si="10"/>
        <v>8445380.2994302157</v>
      </c>
      <c r="AP125" s="31">
        <v>197349.49999999997</v>
      </c>
      <c r="AR125" s="42" t="s">
        <v>409</v>
      </c>
      <c r="AS125" s="42" t="s">
        <v>410</v>
      </c>
      <c r="AT125" s="43" t="s">
        <v>1276</v>
      </c>
      <c r="AU125" s="44">
        <v>32</v>
      </c>
      <c r="AV125" s="31">
        <v>6553730.9847800462</v>
      </c>
      <c r="AW125" s="31">
        <v>266881.38</v>
      </c>
      <c r="AX125" s="31">
        <v>22037.989999999998</v>
      </c>
      <c r="AY125" s="31">
        <v>20480.969999999998</v>
      </c>
      <c r="AZ125" s="31">
        <v>879891.45107468159</v>
      </c>
      <c r="BA125" s="31">
        <v>581182.24156977236</v>
      </c>
      <c r="BB125" s="31">
        <v>162011.91111548583</v>
      </c>
      <c r="BC125" s="31">
        <f t="shared" si="11"/>
        <v>8687283.6085399855</v>
      </c>
      <c r="BD125" s="31">
        <v>201066.67999999996</v>
      </c>
    </row>
    <row r="126" spans="2:56">
      <c r="B126" s="42" t="s">
        <v>555</v>
      </c>
      <c r="C126" s="42" t="s">
        <v>556</v>
      </c>
      <c r="D126" s="43" t="s">
        <v>1049</v>
      </c>
      <c r="E126" s="44">
        <v>32</v>
      </c>
      <c r="F126" s="31">
        <v>1924304.0592740213</v>
      </c>
      <c r="G126" s="31">
        <v>21790.550000000003</v>
      </c>
      <c r="H126" s="31">
        <v>0</v>
      </c>
      <c r="I126" s="31">
        <v>2320.29</v>
      </c>
      <c r="J126" s="31">
        <v>115869.15710561308</v>
      </c>
      <c r="K126" s="31">
        <v>236903.10679434999</v>
      </c>
      <c r="L126" s="31">
        <v>33887.696309706771</v>
      </c>
      <c r="M126" s="31">
        <f t="shared" si="8"/>
        <v>2335074.8594836909</v>
      </c>
      <c r="N126" s="31">
        <v>0</v>
      </c>
      <c r="P126" s="42" t="s">
        <v>555</v>
      </c>
      <c r="Q126" s="42" t="s">
        <v>556</v>
      </c>
      <c r="R126" s="43" t="s">
        <v>1050</v>
      </c>
      <c r="S126" s="44">
        <v>32</v>
      </c>
      <c r="T126" s="31">
        <v>1991315.9814039527</v>
      </c>
      <c r="U126" s="31">
        <v>20734.530000000002</v>
      </c>
      <c r="V126" s="31">
        <v>0</v>
      </c>
      <c r="W126" s="31">
        <v>2199.1099999999997</v>
      </c>
      <c r="X126" s="31">
        <v>119692.80532575042</v>
      </c>
      <c r="Y126" s="31">
        <v>237094.28552270107</v>
      </c>
      <c r="Z126" s="31">
        <v>35089.488455269464</v>
      </c>
      <c r="AA126" s="31">
        <f t="shared" si="9"/>
        <v>2406126.200707674</v>
      </c>
      <c r="AB126" s="31">
        <v>0</v>
      </c>
      <c r="AD126" s="42" t="s">
        <v>555</v>
      </c>
      <c r="AE126" s="42" t="s">
        <v>556</v>
      </c>
      <c r="AF126" s="43" t="s">
        <v>1275</v>
      </c>
      <c r="AG126" s="44">
        <v>32</v>
      </c>
      <c r="AH126" s="31">
        <v>2029394.8266917078</v>
      </c>
      <c r="AI126" s="31">
        <v>21140.36</v>
      </c>
      <c r="AJ126" s="31">
        <v>0</v>
      </c>
      <c r="AK126" s="31">
        <v>2242.17</v>
      </c>
      <c r="AL126" s="31">
        <v>121913.07787995483</v>
      </c>
      <c r="AM126" s="31">
        <v>237029.33653316236</v>
      </c>
      <c r="AN126" s="31">
        <v>35765.773120915655</v>
      </c>
      <c r="AO126" s="31">
        <f t="shared" si="10"/>
        <v>2447485.5442257407</v>
      </c>
      <c r="AP126" s="31">
        <v>0</v>
      </c>
      <c r="AR126" s="42" t="s">
        <v>555</v>
      </c>
      <c r="AS126" s="42" t="s">
        <v>556</v>
      </c>
      <c r="AT126" s="43" t="s">
        <v>1276</v>
      </c>
      <c r="AU126" s="44">
        <v>32</v>
      </c>
      <c r="AV126" s="31">
        <v>2066323.5113861535</v>
      </c>
      <c r="AW126" s="31">
        <v>21528.28</v>
      </c>
      <c r="AX126" s="31">
        <v>0</v>
      </c>
      <c r="AY126" s="31">
        <v>2283.3200000000002</v>
      </c>
      <c r="AZ126" s="31">
        <v>124164.00544493669</v>
      </c>
      <c r="BA126" s="31">
        <v>237039.67221312498</v>
      </c>
      <c r="BB126" s="31">
        <v>36427.087134622721</v>
      </c>
      <c r="BC126" s="31">
        <f t="shared" si="11"/>
        <v>2487765.8761788378</v>
      </c>
      <c r="BD126" s="31">
        <v>0</v>
      </c>
    </row>
    <row r="127" spans="2:56">
      <c r="B127" s="42" t="s">
        <v>35</v>
      </c>
      <c r="C127" s="42" t="s">
        <v>36</v>
      </c>
      <c r="D127" s="43" t="s">
        <v>1049</v>
      </c>
      <c r="E127" s="44">
        <v>32</v>
      </c>
      <c r="F127" s="31">
        <v>10140318.580616962</v>
      </c>
      <c r="G127" s="31">
        <v>478054.03000000009</v>
      </c>
      <c r="H127" s="31">
        <v>536617.13</v>
      </c>
      <c r="I127" s="31">
        <v>35176.82</v>
      </c>
      <c r="J127" s="31">
        <v>1156519.6690649325</v>
      </c>
      <c r="K127" s="31">
        <v>784745.92692644184</v>
      </c>
      <c r="L127" s="31">
        <v>898868.49133570888</v>
      </c>
      <c r="M127" s="31">
        <f t="shared" si="8"/>
        <v>14388207.807944044</v>
      </c>
      <c r="N127" s="31">
        <v>357907.16</v>
      </c>
      <c r="P127" s="42" t="s">
        <v>35</v>
      </c>
      <c r="Q127" s="42" t="s">
        <v>36</v>
      </c>
      <c r="R127" s="43" t="s">
        <v>1050</v>
      </c>
      <c r="S127" s="44">
        <v>32</v>
      </c>
      <c r="T127" s="31">
        <v>10558595.576100046</v>
      </c>
      <c r="U127" s="31">
        <v>496399.08000000007</v>
      </c>
      <c r="V127" s="31">
        <v>557223.7699999999</v>
      </c>
      <c r="W127" s="31">
        <v>36224.089999999997</v>
      </c>
      <c r="X127" s="31">
        <v>1198810.3843796209</v>
      </c>
      <c r="Y127" s="31">
        <v>785510.06882230553</v>
      </c>
      <c r="Z127" s="31">
        <v>939773.61791522475</v>
      </c>
      <c r="AA127" s="31">
        <f t="shared" si="9"/>
        <v>14939242.417217197</v>
      </c>
      <c r="AB127" s="31">
        <v>366705.82999999996</v>
      </c>
      <c r="AD127" s="42" t="s">
        <v>35</v>
      </c>
      <c r="AE127" s="42" t="s">
        <v>36</v>
      </c>
      <c r="AF127" s="43" t="s">
        <v>1275</v>
      </c>
      <c r="AG127" s="44">
        <v>32</v>
      </c>
      <c r="AH127" s="31">
        <v>10830341.103268888</v>
      </c>
      <c r="AI127" s="31">
        <v>509710.3600000001</v>
      </c>
      <c r="AJ127" s="31">
        <v>568123.77999999991</v>
      </c>
      <c r="AK127" s="31">
        <v>37139</v>
      </c>
      <c r="AL127" s="31">
        <v>1221412.986005964</v>
      </c>
      <c r="AM127" s="31">
        <v>785250.46753492055</v>
      </c>
      <c r="AN127" s="31">
        <v>957875.31903684919</v>
      </c>
      <c r="AO127" s="31">
        <f t="shared" si="10"/>
        <v>15283019.58584662</v>
      </c>
      <c r="AP127" s="31">
        <v>373166.56999999995</v>
      </c>
      <c r="AR127" s="42" t="s">
        <v>35</v>
      </c>
      <c r="AS127" s="42" t="s">
        <v>36</v>
      </c>
      <c r="AT127" s="43" t="s">
        <v>1276</v>
      </c>
      <c r="AU127" s="44">
        <v>32</v>
      </c>
      <c r="AV127" s="31">
        <v>11024536.939527558</v>
      </c>
      <c r="AW127" s="31">
        <v>516812.10000000003</v>
      </c>
      <c r="AX127" s="31">
        <v>578498.24</v>
      </c>
      <c r="AY127" s="31">
        <v>37607.1</v>
      </c>
      <c r="AZ127" s="31">
        <v>1248378.4158881821</v>
      </c>
      <c r="BA127" s="31">
        <v>785291.77927577053</v>
      </c>
      <c r="BB127" s="31">
        <v>975534.22063082899</v>
      </c>
      <c r="BC127" s="31">
        <f t="shared" si="11"/>
        <v>15546744.80532234</v>
      </c>
      <c r="BD127" s="31">
        <v>380086.00999999995</v>
      </c>
    </row>
    <row r="128" spans="2:56">
      <c r="B128" s="42" t="s">
        <v>155</v>
      </c>
      <c r="C128" s="42" t="s">
        <v>156</v>
      </c>
      <c r="D128" s="43" t="s">
        <v>1049</v>
      </c>
      <c r="E128" s="44">
        <v>32</v>
      </c>
      <c r="F128" s="31">
        <v>2420807.3367021177</v>
      </c>
      <c r="G128" s="31">
        <v>108843.50999999997</v>
      </c>
      <c r="H128" s="31">
        <v>72887.150000000009</v>
      </c>
      <c r="I128" s="31">
        <v>0</v>
      </c>
      <c r="J128" s="31">
        <v>215892.21302987021</v>
      </c>
      <c r="K128" s="31">
        <v>253814.67859208619</v>
      </c>
      <c r="L128" s="31">
        <v>44319.555746018625</v>
      </c>
      <c r="M128" s="31">
        <f t="shared" si="8"/>
        <v>3165967.9240700924</v>
      </c>
      <c r="N128" s="31">
        <v>49403.479999999996</v>
      </c>
      <c r="P128" s="42" t="s">
        <v>155</v>
      </c>
      <c r="Q128" s="42" t="s">
        <v>156</v>
      </c>
      <c r="R128" s="43" t="s">
        <v>1050</v>
      </c>
      <c r="S128" s="44">
        <v>32</v>
      </c>
      <c r="T128" s="31">
        <v>2547330.151421132</v>
      </c>
      <c r="U128" s="31">
        <v>119776.91999999998</v>
      </c>
      <c r="V128" s="31">
        <v>75686.12000000001</v>
      </c>
      <c r="W128" s="31">
        <v>0</v>
      </c>
      <c r="X128" s="31">
        <v>222634.50269048347</v>
      </c>
      <c r="Y128" s="31">
        <v>254085.44937644177</v>
      </c>
      <c r="Z128" s="31">
        <v>46303.458557051432</v>
      </c>
      <c r="AA128" s="31">
        <f t="shared" si="9"/>
        <v>3316434.5920451088</v>
      </c>
      <c r="AB128" s="31">
        <v>50617.99</v>
      </c>
      <c r="AD128" s="42" t="s">
        <v>155</v>
      </c>
      <c r="AE128" s="42" t="s">
        <v>156</v>
      </c>
      <c r="AF128" s="43" t="s">
        <v>1275</v>
      </c>
      <c r="AG128" s="44">
        <v>32</v>
      </c>
      <c r="AH128" s="31">
        <v>2623519.0814920366</v>
      </c>
      <c r="AI128" s="31">
        <v>125519.5</v>
      </c>
      <c r="AJ128" s="31">
        <v>77166.62</v>
      </c>
      <c r="AK128" s="31">
        <v>0</v>
      </c>
      <c r="AL128" s="31">
        <v>226271.36399927142</v>
      </c>
      <c r="AM128" s="31">
        <v>253993.46064426334</v>
      </c>
      <c r="AN128" s="31">
        <v>47195.451742214063</v>
      </c>
      <c r="AO128" s="31">
        <f t="shared" si="10"/>
        <v>3405175.2778777853</v>
      </c>
      <c r="AP128" s="31">
        <v>51509.799999999996</v>
      </c>
      <c r="AR128" s="42" t="s">
        <v>155</v>
      </c>
      <c r="AS128" s="42" t="s">
        <v>156</v>
      </c>
      <c r="AT128" s="43" t="s">
        <v>1276</v>
      </c>
      <c r="AU128" s="44">
        <v>32</v>
      </c>
      <c r="AV128" s="31">
        <v>2678573.3999911882</v>
      </c>
      <c r="AW128" s="31">
        <v>127797.1</v>
      </c>
      <c r="AX128" s="31">
        <v>78575.759999999995</v>
      </c>
      <c r="AY128" s="31">
        <v>0</v>
      </c>
      <c r="AZ128" s="31">
        <v>230380.03824877893</v>
      </c>
      <c r="BA128" s="31">
        <v>254008.09930304336</v>
      </c>
      <c r="BB128" s="31">
        <v>48065.669219403229</v>
      </c>
      <c r="BC128" s="31">
        <f t="shared" si="11"/>
        <v>3469864.9867624133</v>
      </c>
      <c r="BD128" s="31">
        <v>52464.919999999991</v>
      </c>
    </row>
    <row r="129" spans="2:56">
      <c r="B129" s="42" t="s">
        <v>425</v>
      </c>
      <c r="C129" s="42" t="s">
        <v>426</v>
      </c>
      <c r="D129" s="43" t="s">
        <v>1049</v>
      </c>
      <c r="E129" s="44">
        <v>32</v>
      </c>
      <c r="F129" s="31">
        <v>86362423.432278514</v>
      </c>
      <c r="G129" s="31">
        <v>1703320.37</v>
      </c>
      <c r="H129" s="31">
        <v>1085754.96</v>
      </c>
      <c r="I129" s="31">
        <v>306776.49</v>
      </c>
      <c r="J129" s="31">
        <v>13991170.61229125</v>
      </c>
      <c r="K129" s="31">
        <v>5643176.9677509479</v>
      </c>
      <c r="L129" s="31">
        <v>6237020.8009363022</v>
      </c>
      <c r="M129" s="31">
        <f t="shared" si="8"/>
        <v>115329643.633257</v>
      </c>
      <c r="N129" s="31">
        <v>0</v>
      </c>
      <c r="P129" s="42" t="s">
        <v>425</v>
      </c>
      <c r="Q129" s="42" t="s">
        <v>426</v>
      </c>
      <c r="R129" s="43" t="s">
        <v>1050</v>
      </c>
      <c r="S129" s="44">
        <v>32</v>
      </c>
      <c r="T129" s="31">
        <v>85025610.880582154</v>
      </c>
      <c r="U129" s="31">
        <v>1687197.59</v>
      </c>
      <c r="V129" s="31">
        <v>1108990.8099999998</v>
      </c>
      <c r="W129" s="31">
        <v>303857.15000000002</v>
      </c>
      <c r="X129" s="31">
        <v>14179053.297541687</v>
      </c>
      <c r="Y129" s="31">
        <v>5648463.6742754988</v>
      </c>
      <c r="Z129" s="31">
        <v>6373319.8094881689</v>
      </c>
      <c r="AA129" s="31">
        <f t="shared" si="9"/>
        <v>114326493.21188752</v>
      </c>
      <c r="AB129" s="31">
        <v>0</v>
      </c>
      <c r="AD129" s="42" t="s">
        <v>425</v>
      </c>
      <c r="AE129" s="42" t="s">
        <v>426</v>
      </c>
      <c r="AF129" s="43" t="s">
        <v>1275</v>
      </c>
      <c r="AG129" s="44">
        <v>32</v>
      </c>
      <c r="AH129" s="31">
        <v>88509558.533161715</v>
      </c>
      <c r="AI129" s="31">
        <v>1754544.1899999997</v>
      </c>
      <c r="AJ129" s="31">
        <v>1130735.43</v>
      </c>
      <c r="AK129" s="31">
        <v>316023.30000000005</v>
      </c>
      <c r="AL129" s="31">
        <v>14443664.787464006</v>
      </c>
      <c r="AM129" s="31">
        <v>5646457.1928561758</v>
      </c>
      <c r="AN129" s="31">
        <v>6496475.9666330665</v>
      </c>
      <c r="AO129" s="31">
        <f t="shared" si="10"/>
        <v>118297459.40011497</v>
      </c>
      <c r="AP129" s="31">
        <v>0</v>
      </c>
      <c r="AR129" s="42" t="s">
        <v>425</v>
      </c>
      <c r="AS129" s="42" t="s">
        <v>426</v>
      </c>
      <c r="AT129" s="43" t="s">
        <v>1276</v>
      </c>
      <c r="AU129" s="44">
        <v>32</v>
      </c>
      <c r="AV129" s="31">
        <v>92044781.090468019</v>
      </c>
      <c r="AW129" s="31">
        <v>1822237.19</v>
      </c>
      <c r="AX129" s="31">
        <v>1151789.1300000001</v>
      </c>
      <c r="AY129" s="31">
        <v>328231.31</v>
      </c>
      <c r="AZ129" s="31">
        <v>14714222.512544384</v>
      </c>
      <c r="BA129" s="31">
        <v>5646766.0051293969</v>
      </c>
      <c r="BB129" s="31">
        <v>6618004.5841835719</v>
      </c>
      <c r="BC129" s="31">
        <f t="shared" si="11"/>
        <v>122326031.82232536</v>
      </c>
      <c r="BD129" s="31">
        <v>0</v>
      </c>
    </row>
    <row r="130" spans="2:56">
      <c r="B130" s="42" t="s">
        <v>215</v>
      </c>
      <c r="C130" s="42" t="s">
        <v>216</v>
      </c>
      <c r="D130" s="43" t="s">
        <v>1049</v>
      </c>
      <c r="E130" s="44">
        <v>32</v>
      </c>
      <c r="F130" s="31">
        <v>278245844.28020018</v>
      </c>
      <c r="G130" s="31">
        <v>2410621.0099999998</v>
      </c>
      <c r="H130" s="31">
        <v>6599283.9200000009</v>
      </c>
      <c r="I130" s="31">
        <v>993923.83000000007</v>
      </c>
      <c r="J130" s="31">
        <v>29682763.197865915</v>
      </c>
      <c r="K130" s="31">
        <v>11230038.524321584</v>
      </c>
      <c r="L130" s="31">
        <v>23032619.324891828</v>
      </c>
      <c r="M130" s="31">
        <f t="shared" si="8"/>
        <v>352195094.08727944</v>
      </c>
      <c r="N130" s="31">
        <v>0</v>
      </c>
      <c r="P130" s="42" t="s">
        <v>215</v>
      </c>
      <c r="Q130" s="42" t="s">
        <v>216</v>
      </c>
      <c r="R130" s="43" t="s">
        <v>1050</v>
      </c>
      <c r="S130" s="44">
        <v>32</v>
      </c>
      <c r="T130" s="31">
        <v>295185476.82536715</v>
      </c>
      <c r="U130" s="31">
        <v>2559542.8200000003</v>
      </c>
      <c r="V130" s="31">
        <v>6843167.5900000008</v>
      </c>
      <c r="W130" s="31">
        <v>1055362.05</v>
      </c>
      <c r="X130" s="31">
        <v>30587659.67977852</v>
      </c>
      <c r="Y130" s="31">
        <v>11236732.569180302</v>
      </c>
      <c r="Z130" s="31">
        <v>23833675.372680999</v>
      </c>
      <c r="AA130" s="31">
        <f t="shared" si="9"/>
        <v>371301616.90700698</v>
      </c>
      <c r="AB130" s="31">
        <v>0</v>
      </c>
      <c r="AD130" s="42" t="s">
        <v>215</v>
      </c>
      <c r="AE130" s="42" t="s">
        <v>216</v>
      </c>
      <c r="AF130" s="43" t="s">
        <v>1275</v>
      </c>
      <c r="AG130" s="44">
        <v>32</v>
      </c>
      <c r="AH130" s="31">
        <v>302424316.89829618</v>
      </c>
      <c r="AI130" s="31">
        <v>2622265.1299999994</v>
      </c>
      <c r="AJ130" s="31">
        <v>6977345.5899999999</v>
      </c>
      <c r="AK130" s="31">
        <v>1081188.9000000001</v>
      </c>
      <c r="AL130" s="31">
        <v>31158997.567351382</v>
      </c>
      <c r="AM130" s="31">
        <v>11234202.721465744</v>
      </c>
      <c r="AN130" s="31">
        <v>24294318.525836684</v>
      </c>
      <c r="AO130" s="31">
        <f t="shared" si="10"/>
        <v>379792635.33295</v>
      </c>
      <c r="AP130" s="31">
        <v>0</v>
      </c>
      <c r="AR130" s="42" t="s">
        <v>215</v>
      </c>
      <c r="AS130" s="42" t="s">
        <v>216</v>
      </c>
      <c r="AT130" s="43" t="s">
        <v>1276</v>
      </c>
      <c r="AU130" s="44">
        <v>32</v>
      </c>
      <c r="AV130" s="31">
        <v>309641315.698506</v>
      </c>
      <c r="AW130" s="31">
        <v>2683738</v>
      </c>
      <c r="AX130" s="31">
        <v>7107260.1099999985</v>
      </c>
      <c r="AY130" s="31">
        <v>1106549.4099999999</v>
      </c>
      <c r="AZ130" s="31">
        <v>31741504.446889065</v>
      </c>
      <c r="BA130" s="31">
        <v>11234592.08366771</v>
      </c>
      <c r="BB130" s="31">
        <v>24748729.959148616</v>
      </c>
      <c r="BC130" s="31">
        <f t="shared" si="11"/>
        <v>388263689.70821142</v>
      </c>
      <c r="BD130" s="31">
        <v>0</v>
      </c>
    </row>
    <row r="131" spans="2:56">
      <c r="B131" s="42" t="s">
        <v>441</v>
      </c>
      <c r="C131" s="42" t="s">
        <v>442</v>
      </c>
      <c r="D131" s="43" t="s">
        <v>1049</v>
      </c>
      <c r="E131" s="44">
        <v>32</v>
      </c>
      <c r="F131" s="31">
        <v>23251330.655971952</v>
      </c>
      <c r="G131" s="31">
        <v>778403.53999999992</v>
      </c>
      <c r="H131" s="31">
        <v>365960.85000000003</v>
      </c>
      <c r="I131" s="31">
        <v>81398.76999999999</v>
      </c>
      <c r="J131" s="31">
        <v>3696900.4842654062</v>
      </c>
      <c r="K131" s="31">
        <v>1849661.5236069988</v>
      </c>
      <c r="L131" s="31">
        <v>1204492.7286306112</v>
      </c>
      <c r="M131" s="31">
        <f t="shared" si="8"/>
        <v>31228148.552474968</v>
      </c>
      <c r="N131" s="31">
        <v>0</v>
      </c>
      <c r="P131" s="42" t="s">
        <v>441</v>
      </c>
      <c r="Q131" s="42" t="s">
        <v>442</v>
      </c>
      <c r="R131" s="43" t="s">
        <v>1050</v>
      </c>
      <c r="S131" s="44">
        <v>32</v>
      </c>
      <c r="T131" s="31">
        <v>23786527.484755788</v>
      </c>
      <c r="U131" s="31">
        <v>795714.32000000007</v>
      </c>
      <c r="V131" s="31">
        <v>376628.19</v>
      </c>
      <c r="W131" s="31">
        <v>83199.25</v>
      </c>
      <c r="X131" s="31">
        <v>3792281.212582509</v>
      </c>
      <c r="Y131" s="31">
        <v>1851438.4733945916</v>
      </c>
      <c r="Z131" s="31">
        <v>1238539.883239059</v>
      </c>
      <c r="AA131" s="31">
        <f t="shared" si="9"/>
        <v>31924328.813971952</v>
      </c>
      <c r="AB131" s="31">
        <v>0</v>
      </c>
      <c r="AD131" s="42" t="s">
        <v>441</v>
      </c>
      <c r="AE131" s="42" t="s">
        <v>442</v>
      </c>
      <c r="AF131" s="43" t="s">
        <v>1275</v>
      </c>
      <c r="AG131" s="44">
        <v>32</v>
      </c>
      <c r="AH131" s="31">
        <v>24886536.532162316</v>
      </c>
      <c r="AI131" s="31">
        <v>833131.03999999992</v>
      </c>
      <c r="AJ131" s="31">
        <v>384010.39000000007</v>
      </c>
      <c r="AK131" s="31">
        <v>87047</v>
      </c>
      <c r="AL131" s="31">
        <v>3856855.2615253506</v>
      </c>
      <c r="AM131" s="31">
        <v>1850776.2234908736</v>
      </c>
      <c r="AN131" s="31">
        <v>1262461.2057886687</v>
      </c>
      <c r="AO131" s="31">
        <f t="shared" si="10"/>
        <v>33160817.652967211</v>
      </c>
      <c r="AP131" s="31">
        <v>0</v>
      </c>
      <c r="AR131" s="42" t="s">
        <v>441</v>
      </c>
      <c r="AS131" s="42" t="s">
        <v>442</v>
      </c>
      <c r="AT131" s="43" t="s">
        <v>1276</v>
      </c>
      <c r="AU131" s="44">
        <v>32</v>
      </c>
      <c r="AV131" s="31">
        <v>25770360.859527666</v>
      </c>
      <c r="AW131" s="31">
        <v>856443.67999999982</v>
      </c>
      <c r="AX131" s="31">
        <v>391140.17000000004</v>
      </c>
      <c r="AY131" s="31">
        <v>89495.17</v>
      </c>
      <c r="AZ131" s="31">
        <v>3954483.2915756647</v>
      </c>
      <c r="BA131" s="31">
        <v>1850878.6500925634</v>
      </c>
      <c r="BB131" s="31">
        <v>1286026.7408951405</v>
      </c>
      <c r="BC131" s="31">
        <f t="shared" si="11"/>
        <v>34198828.562091038</v>
      </c>
      <c r="BD131" s="31">
        <v>0</v>
      </c>
    </row>
    <row r="132" spans="2:56">
      <c r="B132" s="42" t="s">
        <v>557</v>
      </c>
      <c r="C132" s="42" t="s">
        <v>558</v>
      </c>
      <c r="D132" s="43" t="s">
        <v>1049</v>
      </c>
      <c r="E132" s="44">
        <v>32</v>
      </c>
      <c r="F132" s="31">
        <v>585037.08234274713</v>
      </c>
      <c r="G132" s="31">
        <v>16857.580000000002</v>
      </c>
      <c r="H132" s="31">
        <v>0</v>
      </c>
      <c r="I132" s="31">
        <v>1071.8800000000001</v>
      </c>
      <c r="J132" s="31">
        <v>38850.418631978362</v>
      </c>
      <c r="K132" s="31">
        <v>88386.028222811568</v>
      </c>
      <c r="L132" s="31">
        <v>0</v>
      </c>
      <c r="M132" s="31">
        <f t="shared" si="8"/>
        <v>740824.25919753697</v>
      </c>
      <c r="N132" s="31">
        <v>10621.269999999999</v>
      </c>
      <c r="P132" s="42" t="s">
        <v>557</v>
      </c>
      <c r="Q132" s="42" t="s">
        <v>558</v>
      </c>
      <c r="R132" s="43" t="s">
        <v>1050</v>
      </c>
      <c r="S132" s="44">
        <v>32</v>
      </c>
      <c r="T132" s="31">
        <v>611097.34038658859</v>
      </c>
      <c r="U132" s="31">
        <v>17246.96</v>
      </c>
      <c r="V132" s="31">
        <v>0</v>
      </c>
      <c r="W132" s="31">
        <v>1011.8600000000001</v>
      </c>
      <c r="X132" s="31">
        <v>40191.16391270802</v>
      </c>
      <c r="Y132" s="31">
        <v>88425.887277866277</v>
      </c>
      <c r="Z132" s="31">
        <v>0</v>
      </c>
      <c r="AA132" s="31">
        <f t="shared" si="9"/>
        <v>768855.58157716284</v>
      </c>
      <c r="AB132" s="31">
        <v>10882.37</v>
      </c>
      <c r="AD132" s="42" t="s">
        <v>557</v>
      </c>
      <c r="AE132" s="42" t="s">
        <v>558</v>
      </c>
      <c r="AF132" s="43" t="s">
        <v>1275</v>
      </c>
      <c r="AG132" s="44">
        <v>32</v>
      </c>
      <c r="AH132" s="31">
        <v>618724.87406707346</v>
      </c>
      <c r="AI132" s="31">
        <v>15645.369999999999</v>
      </c>
      <c r="AJ132" s="31">
        <v>0</v>
      </c>
      <c r="AK132" s="31">
        <v>928.5</v>
      </c>
      <c r="AL132" s="31">
        <v>40932.842261438302</v>
      </c>
      <c r="AM132" s="31">
        <v>88412.345994418589</v>
      </c>
      <c r="AN132" s="31">
        <v>0</v>
      </c>
      <c r="AO132" s="31">
        <f t="shared" si="10"/>
        <v>775718.0423229303</v>
      </c>
      <c r="AP132" s="31">
        <v>11074.11</v>
      </c>
      <c r="AR132" s="42" t="s">
        <v>557</v>
      </c>
      <c r="AS132" s="42" t="s">
        <v>558</v>
      </c>
      <c r="AT132" s="43" t="s">
        <v>1276</v>
      </c>
      <c r="AU132" s="44">
        <v>32</v>
      </c>
      <c r="AV132" s="31">
        <v>628922.04759164306</v>
      </c>
      <c r="AW132" s="31">
        <v>15507.75</v>
      </c>
      <c r="AX132" s="31">
        <v>0</v>
      </c>
      <c r="AY132" s="31">
        <v>945.44999999999982</v>
      </c>
      <c r="AZ132" s="31">
        <v>41698.00698780673</v>
      </c>
      <c r="BA132" s="31">
        <v>88414.500891253672</v>
      </c>
      <c r="BB132" s="31">
        <v>0</v>
      </c>
      <c r="BC132" s="31">
        <f t="shared" si="11"/>
        <v>786767.19547070342</v>
      </c>
      <c r="BD132" s="31">
        <v>11279.439999999999</v>
      </c>
    </row>
    <row r="133" spans="2:56">
      <c r="B133" s="42" t="s">
        <v>471</v>
      </c>
      <c r="C133" s="42" t="s">
        <v>472</v>
      </c>
      <c r="D133" s="43" t="s">
        <v>1049</v>
      </c>
      <c r="E133" s="44">
        <v>32</v>
      </c>
      <c r="F133" s="31">
        <v>5137381.7872200273</v>
      </c>
      <c r="G133" s="31">
        <v>114690.1</v>
      </c>
      <c r="H133" s="31">
        <v>1753.96</v>
      </c>
      <c r="I133" s="31">
        <v>0</v>
      </c>
      <c r="J133" s="31">
        <v>593854.47848630731</v>
      </c>
      <c r="K133" s="31">
        <v>562926.75487062999</v>
      </c>
      <c r="L133" s="31">
        <v>267126.35579938983</v>
      </c>
      <c r="M133" s="31">
        <f t="shared" ref="M133:M196" si="12">SUM(F133:L133,N133)</f>
        <v>6677733.4363763537</v>
      </c>
      <c r="N133" s="31">
        <v>0</v>
      </c>
      <c r="P133" s="42" t="s">
        <v>471</v>
      </c>
      <c r="Q133" s="42" t="s">
        <v>472</v>
      </c>
      <c r="R133" s="43" t="s">
        <v>1050</v>
      </c>
      <c r="S133" s="44">
        <v>32</v>
      </c>
      <c r="T133" s="31">
        <v>5208936.3986174865</v>
      </c>
      <c r="U133" s="31">
        <v>118183.65000000001</v>
      </c>
      <c r="V133" s="31">
        <v>1821.32</v>
      </c>
      <c r="W133" s="31">
        <v>0</v>
      </c>
      <c r="X133" s="31">
        <v>610046.087922576</v>
      </c>
      <c r="Y133" s="31">
        <v>563501.56226290565</v>
      </c>
      <c r="Z133" s="31">
        <v>276644.16539305157</v>
      </c>
      <c r="AA133" s="31">
        <f t="shared" ref="AA133:AA196" si="13">SUM(T133:Z133,AB133)</f>
        <v>6779133.1841960205</v>
      </c>
      <c r="AB133" s="31">
        <v>0</v>
      </c>
      <c r="AD133" s="42" t="s">
        <v>471</v>
      </c>
      <c r="AE133" s="42" t="s">
        <v>472</v>
      </c>
      <c r="AF133" s="43" t="s">
        <v>1275</v>
      </c>
      <c r="AG133" s="44">
        <v>32</v>
      </c>
      <c r="AH133" s="31">
        <v>5349068.8563194638</v>
      </c>
      <c r="AI133" s="31">
        <v>121630.28</v>
      </c>
      <c r="AJ133" s="31">
        <v>1856.9399999999998</v>
      </c>
      <c r="AK133" s="31">
        <v>0</v>
      </c>
      <c r="AL133" s="31">
        <v>623321.31702401256</v>
      </c>
      <c r="AM133" s="31">
        <v>563306.28342812276</v>
      </c>
      <c r="AN133" s="31">
        <v>281972.118791127</v>
      </c>
      <c r="AO133" s="31">
        <f t="shared" ref="AO133:AO196" si="14">SUM(AH133:AN133,AP133)</f>
        <v>6941155.7955627264</v>
      </c>
      <c r="AP133" s="31">
        <v>0</v>
      </c>
      <c r="AR133" s="42" t="s">
        <v>471</v>
      </c>
      <c r="AS133" s="42" t="s">
        <v>472</v>
      </c>
      <c r="AT133" s="43" t="s">
        <v>1276</v>
      </c>
      <c r="AU133" s="44">
        <v>32</v>
      </c>
      <c r="AV133" s="31">
        <v>5497127.030586198</v>
      </c>
      <c r="AW133" s="31">
        <v>122905.93999999999</v>
      </c>
      <c r="AX133" s="31">
        <v>1890.8499999999997</v>
      </c>
      <c r="AY133" s="31">
        <v>0</v>
      </c>
      <c r="AZ133" s="31">
        <v>637872.93028636498</v>
      </c>
      <c r="BA133" s="31">
        <v>563337.35919318278</v>
      </c>
      <c r="BB133" s="31">
        <v>287170.96806526568</v>
      </c>
      <c r="BC133" s="31">
        <f t="shared" ref="BC133:BC196" si="15">SUM(AV133:BB133,BD133)</f>
        <v>7110305.0781310108</v>
      </c>
      <c r="BD133" s="31">
        <v>0</v>
      </c>
    </row>
    <row r="134" spans="2:56">
      <c r="B134" s="42" t="s">
        <v>9</v>
      </c>
      <c r="C134" s="42" t="s">
        <v>10</v>
      </c>
      <c r="D134" s="43" t="s">
        <v>1049</v>
      </c>
      <c r="E134" s="44">
        <v>32</v>
      </c>
      <c r="F134" s="31">
        <v>2407576.8893441912</v>
      </c>
      <c r="G134" s="31">
        <v>82728.86</v>
      </c>
      <c r="H134" s="31">
        <v>44823.66</v>
      </c>
      <c r="I134" s="31">
        <v>0</v>
      </c>
      <c r="J134" s="31">
        <v>191074.63870119199</v>
      </c>
      <c r="K134" s="31">
        <v>904332.05379206431</v>
      </c>
      <c r="L134" s="31">
        <v>157889.50691708349</v>
      </c>
      <c r="M134" s="31">
        <f t="shared" si="12"/>
        <v>3841337.0287545314</v>
      </c>
      <c r="N134" s="31">
        <v>52911.42</v>
      </c>
      <c r="P134" s="42" t="s">
        <v>9</v>
      </c>
      <c r="Q134" s="42" t="s">
        <v>10</v>
      </c>
      <c r="R134" s="43" t="s">
        <v>1050</v>
      </c>
      <c r="S134" s="44">
        <v>32</v>
      </c>
      <c r="T134" s="31">
        <v>2450899.5902761826</v>
      </c>
      <c r="U134" s="31">
        <v>82893.009999999966</v>
      </c>
      <c r="V134" s="31">
        <v>46544.93</v>
      </c>
      <c r="W134" s="31">
        <v>0</v>
      </c>
      <c r="X134" s="31">
        <v>197292.55562608803</v>
      </c>
      <c r="Y134" s="31">
        <v>905135.29379710893</v>
      </c>
      <c r="Z134" s="31">
        <v>165033.12369595459</v>
      </c>
      <c r="AA134" s="31">
        <f t="shared" si="13"/>
        <v>3902010.6733953338</v>
      </c>
      <c r="AB134" s="31">
        <v>54212.17</v>
      </c>
      <c r="AD134" s="42" t="s">
        <v>9</v>
      </c>
      <c r="AE134" s="42" t="s">
        <v>10</v>
      </c>
      <c r="AF134" s="43" t="s">
        <v>1275</v>
      </c>
      <c r="AG134" s="44">
        <v>32</v>
      </c>
      <c r="AH134" s="31">
        <v>2474666.1262144074</v>
      </c>
      <c r="AI134" s="31">
        <v>84619.840000000011</v>
      </c>
      <c r="AJ134" s="31">
        <v>47455.4</v>
      </c>
      <c r="AK134" s="31">
        <v>0</v>
      </c>
      <c r="AL134" s="31">
        <v>200051.37941888429</v>
      </c>
      <c r="AM134" s="31">
        <v>904862.40974178188</v>
      </c>
      <c r="AN134" s="31">
        <v>168211.98833848088</v>
      </c>
      <c r="AO134" s="31">
        <f t="shared" si="14"/>
        <v>3935034.4437135542</v>
      </c>
      <c r="AP134" s="31">
        <v>55167.3</v>
      </c>
      <c r="AR134" s="42" t="s">
        <v>9</v>
      </c>
      <c r="AS134" s="42" t="s">
        <v>10</v>
      </c>
      <c r="AT134" s="43" t="s">
        <v>1276</v>
      </c>
      <c r="AU134" s="44">
        <v>32</v>
      </c>
      <c r="AV134" s="31">
        <v>2466875.661033228</v>
      </c>
      <c r="AW134" s="31">
        <v>86149.529999999984</v>
      </c>
      <c r="AX134" s="31">
        <v>48321.979999999996</v>
      </c>
      <c r="AY134" s="31">
        <v>0</v>
      </c>
      <c r="AZ134" s="31">
        <v>204119.35621643261</v>
      </c>
      <c r="BA134" s="31">
        <v>904905.83524051239</v>
      </c>
      <c r="BB134" s="31">
        <v>171313.06999458652</v>
      </c>
      <c r="BC134" s="31">
        <f t="shared" si="15"/>
        <v>3937875.6724847592</v>
      </c>
      <c r="BD134" s="31">
        <v>56190.240000000005</v>
      </c>
    </row>
    <row r="135" spans="2:56">
      <c r="B135" s="42" t="s">
        <v>77</v>
      </c>
      <c r="C135" s="42" t="s">
        <v>78</v>
      </c>
      <c r="D135" s="43" t="s">
        <v>1049</v>
      </c>
      <c r="E135" s="44">
        <v>32</v>
      </c>
      <c r="F135" s="31">
        <v>50107219.566256091</v>
      </c>
      <c r="G135" s="31">
        <v>2426908.6699999995</v>
      </c>
      <c r="H135" s="31">
        <v>659394.94999999995</v>
      </c>
      <c r="I135" s="31">
        <v>173058.30000000002</v>
      </c>
      <c r="J135" s="31">
        <v>8283157.7234295616</v>
      </c>
      <c r="K135" s="31">
        <v>2690098.7541928706</v>
      </c>
      <c r="L135" s="31">
        <v>3752747.4812527262</v>
      </c>
      <c r="M135" s="31">
        <f t="shared" si="12"/>
        <v>69389450.745131254</v>
      </c>
      <c r="N135" s="31">
        <v>1296865.2999999998</v>
      </c>
      <c r="P135" s="42" t="s">
        <v>77</v>
      </c>
      <c r="Q135" s="42" t="s">
        <v>78</v>
      </c>
      <c r="R135" s="43" t="s">
        <v>1050</v>
      </c>
      <c r="S135" s="44">
        <v>32</v>
      </c>
      <c r="T135" s="31">
        <v>55612456.569681913</v>
      </c>
      <c r="U135" s="31">
        <v>2669462.46</v>
      </c>
      <c r="V135" s="31">
        <v>684716.4</v>
      </c>
      <c r="W135" s="31">
        <v>189012.89</v>
      </c>
      <c r="X135" s="31">
        <v>8580428.362264093</v>
      </c>
      <c r="Y135" s="31">
        <v>2692999.3607826829</v>
      </c>
      <c r="Z135" s="31">
        <v>3924032.0467450982</v>
      </c>
      <c r="AA135" s="31">
        <f t="shared" si="13"/>
        <v>75681855.099473789</v>
      </c>
      <c r="AB135" s="31">
        <v>1328747.01</v>
      </c>
      <c r="AD135" s="42" t="s">
        <v>77</v>
      </c>
      <c r="AE135" s="42" t="s">
        <v>78</v>
      </c>
      <c r="AF135" s="43" t="s">
        <v>1275</v>
      </c>
      <c r="AG135" s="44">
        <v>32</v>
      </c>
      <c r="AH135" s="31">
        <v>56966819.996441342</v>
      </c>
      <c r="AI135" s="31">
        <v>2740871.6799999992</v>
      </c>
      <c r="AJ135" s="31">
        <v>698110.32</v>
      </c>
      <c r="AK135" s="31">
        <v>193948.2</v>
      </c>
      <c r="AL135" s="31">
        <v>8724846.1325511709</v>
      </c>
      <c r="AM135" s="31">
        <v>2692013.9401311148</v>
      </c>
      <c r="AN135" s="31">
        <v>3999616.0224553221</v>
      </c>
      <c r="AO135" s="31">
        <f t="shared" si="14"/>
        <v>77368383.581578955</v>
      </c>
      <c r="AP135" s="31">
        <v>1352157.29</v>
      </c>
      <c r="AR135" s="42" t="s">
        <v>77</v>
      </c>
      <c r="AS135" s="42" t="s">
        <v>78</v>
      </c>
      <c r="AT135" s="43" t="s">
        <v>1276</v>
      </c>
      <c r="AU135" s="44">
        <v>32</v>
      </c>
      <c r="AV135" s="31">
        <v>58014313.168307588</v>
      </c>
      <c r="AW135" s="31">
        <v>2790541.75</v>
      </c>
      <c r="AX135" s="31">
        <v>710858.47</v>
      </c>
      <c r="AY135" s="31">
        <v>197489.86</v>
      </c>
      <c r="AZ135" s="31">
        <v>8885487.2293706853</v>
      </c>
      <c r="BA135" s="31">
        <v>2692170.7553880648</v>
      </c>
      <c r="BB135" s="31">
        <v>4073351.0622870517</v>
      </c>
      <c r="BC135" s="31">
        <f t="shared" si="15"/>
        <v>78741441.995353386</v>
      </c>
      <c r="BD135" s="31">
        <v>1377229.7</v>
      </c>
    </row>
    <row r="136" spans="2:56">
      <c r="B136" s="42" t="s">
        <v>493</v>
      </c>
      <c r="C136" s="42" t="s">
        <v>494</v>
      </c>
      <c r="D136" s="43" t="s">
        <v>1049</v>
      </c>
      <c r="E136" s="44">
        <v>32</v>
      </c>
      <c r="F136" s="31">
        <v>2062029.2382777671</v>
      </c>
      <c r="G136" s="31">
        <v>80877.460000000006</v>
      </c>
      <c r="H136" s="31">
        <v>0</v>
      </c>
      <c r="I136" s="31">
        <v>0</v>
      </c>
      <c r="J136" s="31">
        <v>170554.54292502906</v>
      </c>
      <c r="K136" s="31">
        <v>0</v>
      </c>
      <c r="L136" s="31">
        <v>0</v>
      </c>
      <c r="M136" s="31">
        <f t="shared" si="12"/>
        <v>2343765.9412027965</v>
      </c>
      <c r="N136" s="31">
        <v>30304.7</v>
      </c>
      <c r="P136" s="42" t="s">
        <v>493</v>
      </c>
      <c r="Q136" s="42" t="s">
        <v>494</v>
      </c>
      <c r="R136" s="43" t="s">
        <v>1050</v>
      </c>
      <c r="S136" s="44">
        <v>32</v>
      </c>
      <c r="T136" s="31">
        <v>2130730.1383599807</v>
      </c>
      <c r="U136" s="31">
        <v>83390.12999999999</v>
      </c>
      <c r="V136" s="31">
        <v>0</v>
      </c>
      <c r="W136" s="31">
        <v>0</v>
      </c>
      <c r="X136" s="31">
        <v>176562.2361790424</v>
      </c>
      <c r="Y136" s="31">
        <v>0</v>
      </c>
      <c r="Z136" s="31">
        <v>0</v>
      </c>
      <c r="AA136" s="31">
        <f t="shared" si="13"/>
        <v>2421732.2045390233</v>
      </c>
      <c r="AB136" s="31">
        <v>31049.7</v>
      </c>
      <c r="AD136" s="42" t="s">
        <v>493</v>
      </c>
      <c r="AE136" s="42" t="s">
        <v>494</v>
      </c>
      <c r="AF136" s="43" t="s">
        <v>1275</v>
      </c>
      <c r="AG136" s="44">
        <v>32</v>
      </c>
      <c r="AH136" s="31">
        <v>2112672.6007756535</v>
      </c>
      <c r="AI136" s="31">
        <v>82915.19</v>
      </c>
      <c r="AJ136" s="31">
        <v>0</v>
      </c>
      <c r="AK136" s="31">
        <v>0</v>
      </c>
      <c r="AL136" s="31">
        <v>179608.77030957444</v>
      </c>
      <c r="AM136" s="31">
        <v>0</v>
      </c>
      <c r="AN136" s="31">
        <v>0</v>
      </c>
      <c r="AO136" s="31">
        <f t="shared" si="14"/>
        <v>2406793.3110852279</v>
      </c>
      <c r="AP136" s="31">
        <v>31596.749999999996</v>
      </c>
      <c r="AR136" s="42" t="s">
        <v>493</v>
      </c>
      <c r="AS136" s="42" t="s">
        <v>494</v>
      </c>
      <c r="AT136" s="43" t="s">
        <v>1276</v>
      </c>
      <c r="AU136" s="44">
        <v>32</v>
      </c>
      <c r="AV136" s="31">
        <v>2151821.192141986</v>
      </c>
      <c r="AW136" s="31">
        <v>84735.58</v>
      </c>
      <c r="AX136" s="31">
        <v>0</v>
      </c>
      <c r="AY136" s="31">
        <v>0</v>
      </c>
      <c r="AZ136" s="31">
        <v>182091.81547412433</v>
      </c>
      <c r="BA136" s="31">
        <v>0</v>
      </c>
      <c r="BB136" s="31">
        <v>0</v>
      </c>
      <c r="BC136" s="31">
        <f t="shared" si="15"/>
        <v>2450831.2076161103</v>
      </c>
      <c r="BD136" s="31">
        <v>32182.619999999992</v>
      </c>
    </row>
    <row r="137" spans="2:56">
      <c r="B137" s="42" t="s">
        <v>397</v>
      </c>
      <c r="C137" s="42" t="s">
        <v>398</v>
      </c>
      <c r="D137" s="43" t="s">
        <v>1049</v>
      </c>
      <c r="E137" s="44">
        <v>32</v>
      </c>
      <c r="F137" s="31">
        <v>3299511.805334257</v>
      </c>
      <c r="G137" s="31">
        <v>73277.53</v>
      </c>
      <c r="H137" s="31">
        <v>26940.260000000002</v>
      </c>
      <c r="I137" s="31">
        <v>7543.27</v>
      </c>
      <c r="J137" s="31">
        <v>308920.87603469315</v>
      </c>
      <c r="K137" s="31">
        <v>166858.17143649526</v>
      </c>
      <c r="L137" s="31">
        <v>127983.71681888557</v>
      </c>
      <c r="M137" s="31">
        <f t="shared" si="12"/>
        <v>4011035.6296243304</v>
      </c>
      <c r="N137" s="31">
        <v>0</v>
      </c>
      <c r="P137" s="42" t="s">
        <v>397</v>
      </c>
      <c r="Q137" s="42" t="s">
        <v>398</v>
      </c>
      <c r="R137" s="43" t="s">
        <v>1050</v>
      </c>
      <c r="S137" s="44">
        <v>32</v>
      </c>
      <c r="T137" s="31">
        <v>3292818.2388624409</v>
      </c>
      <c r="U137" s="31">
        <v>71322.289999999994</v>
      </c>
      <c r="V137" s="31">
        <v>27947.600000000002</v>
      </c>
      <c r="W137" s="31">
        <v>7266.3899999999994</v>
      </c>
      <c r="X137" s="31">
        <v>321317.6021556409</v>
      </c>
      <c r="Y137" s="31">
        <v>167011.01579557944</v>
      </c>
      <c r="Z137" s="31">
        <v>132465.55051624289</v>
      </c>
      <c r="AA137" s="31">
        <f t="shared" si="13"/>
        <v>4020148.6873299046</v>
      </c>
      <c r="AB137" s="31">
        <v>0</v>
      </c>
      <c r="AD137" s="42" t="s">
        <v>397</v>
      </c>
      <c r="AE137" s="42" t="s">
        <v>398</v>
      </c>
      <c r="AF137" s="43" t="s">
        <v>1275</v>
      </c>
      <c r="AG137" s="44">
        <v>32</v>
      </c>
      <c r="AH137" s="31">
        <v>3368639.961473437</v>
      </c>
      <c r="AI137" s="31">
        <v>73973.529999999984</v>
      </c>
      <c r="AJ137" s="31">
        <v>28495.189999999995</v>
      </c>
      <c r="AK137" s="31">
        <v>7522.7200000000012</v>
      </c>
      <c r="AL137" s="31">
        <v>326178.60777759162</v>
      </c>
      <c r="AM137" s="31">
        <v>166955.12143773836</v>
      </c>
      <c r="AN137" s="31">
        <v>135022.74970158277</v>
      </c>
      <c r="AO137" s="31">
        <f t="shared" si="14"/>
        <v>4106787.8803903498</v>
      </c>
      <c r="AP137" s="31">
        <v>0</v>
      </c>
      <c r="AR137" s="42" t="s">
        <v>397</v>
      </c>
      <c r="AS137" s="42" t="s">
        <v>398</v>
      </c>
      <c r="AT137" s="43" t="s">
        <v>1276</v>
      </c>
      <c r="AU137" s="44">
        <v>32</v>
      </c>
      <c r="AV137" s="31">
        <v>3459173.9344904455</v>
      </c>
      <c r="AW137" s="31">
        <v>77316.42</v>
      </c>
      <c r="AX137" s="31">
        <v>29022.68</v>
      </c>
      <c r="AY137" s="31">
        <v>7894.1600000000008</v>
      </c>
      <c r="AZ137" s="31">
        <v>331809.77245941968</v>
      </c>
      <c r="BA137" s="31">
        <v>166963.81091569836</v>
      </c>
      <c r="BB137" s="31">
        <v>137537.49144880177</v>
      </c>
      <c r="BC137" s="31">
        <f t="shared" si="15"/>
        <v>4209718.2693143655</v>
      </c>
      <c r="BD137" s="31">
        <v>0</v>
      </c>
    </row>
    <row r="138" spans="2:56">
      <c r="B138" s="42" t="s">
        <v>1232</v>
      </c>
      <c r="C138" s="42" t="s">
        <v>1233</v>
      </c>
      <c r="D138" s="43" t="s">
        <v>1049</v>
      </c>
      <c r="E138" s="44">
        <v>32</v>
      </c>
      <c r="F138" s="31">
        <v>1391293.4449826088</v>
      </c>
      <c r="G138" s="31">
        <v>19470.25</v>
      </c>
      <c r="H138" s="31">
        <v>0</v>
      </c>
      <c r="I138" s="31">
        <v>0</v>
      </c>
      <c r="J138" s="31">
        <v>39886.637169416528</v>
      </c>
      <c r="K138" s="31">
        <v>11305.43</v>
      </c>
      <c r="L138" s="31">
        <v>0</v>
      </c>
      <c r="M138" s="31">
        <f t="shared" si="12"/>
        <v>1473456.3421520253</v>
      </c>
      <c r="N138" s="31">
        <v>11500.58</v>
      </c>
      <c r="P138" s="42" t="s">
        <v>1232</v>
      </c>
      <c r="Q138" s="42" t="s">
        <v>1233</v>
      </c>
      <c r="R138" s="43" t="s">
        <v>1050</v>
      </c>
      <c r="S138" s="44">
        <v>32</v>
      </c>
      <c r="T138" s="31">
        <v>1517687.4324475522</v>
      </c>
      <c r="U138" s="31">
        <v>43972.31</v>
      </c>
      <c r="V138" s="31">
        <v>0</v>
      </c>
      <c r="W138" s="31">
        <v>0</v>
      </c>
      <c r="X138" s="31">
        <v>40955.409941323756</v>
      </c>
      <c r="Y138" s="31">
        <v>11305.43</v>
      </c>
      <c r="Z138" s="31">
        <v>0</v>
      </c>
      <c r="AA138" s="31">
        <f t="shared" si="13"/>
        <v>1625604.4123888761</v>
      </c>
      <c r="AB138" s="31">
        <v>11683.83</v>
      </c>
      <c r="AD138" s="42" t="s">
        <v>1232</v>
      </c>
      <c r="AE138" s="42" t="s">
        <v>1233</v>
      </c>
      <c r="AF138" s="43" t="s">
        <v>1275</v>
      </c>
      <c r="AG138" s="44">
        <v>32</v>
      </c>
      <c r="AH138" s="31">
        <v>1612175.7333426333</v>
      </c>
      <c r="AI138" s="31">
        <v>53747.889999999992</v>
      </c>
      <c r="AJ138" s="31">
        <v>0</v>
      </c>
      <c r="AK138" s="31">
        <v>0</v>
      </c>
      <c r="AL138" s="31">
        <v>41716.310465118557</v>
      </c>
      <c r="AM138" s="31">
        <v>11305.43</v>
      </c>
      <c r="AN138" s="31">
        <v>0</v>
      </c>
      <c r="AO138" s="31">
        <f t="shared" si="14"/>
        <v>1730835.7338077519</v>
      </c>
      <c r="AP138" s="31">
        <v>11890.37</v>
      </c>
      <c r="AR138" s="42" t="s">
        <v>1232</v>
      </c>
      <c r="AS138" s="42" t="s">
        <v>1233</v>
      </c>
      <c r="AT138" s="43" t="s">
        <v>1276</v>
      </c>
      <c r="AU138" s="44">
        <v>32</v>
      </c>
      <c r="AV138" s="31">
        <v>1708772.9437763696</v>
      </c>
      <c r="AW138" s="31">
        <v>63785.640000000007</v>
      </c>
      <c r="AX138" s="31">
        <v>0</v>
      </c>
      <c r="AY138" s="31">
        <v>0</v>
      </c>
      <c r="AZ138" s="31">
        <v>42488.736959302223</v>
      </c>
      <c r="BA138" s="31">
        <v>11305.43</v>
      </c>
      <c r="BB138" s="31">
        <v>0</v>
      </c>
      <c r="BC138" s="31">
        <f t="shared" si="15"/>
        <v>1838464.3207356718</v>
      </c>
      <c r="BD138" s="31">
        <v>12111.570000000002</v>
      </c>
    </row>
    <row r="139" spans="2:56">
      <c r="B139" s="42" t="s">
        <v>553</v>
      </c>
      <c r="C139" s="42" t="s">
        <v>554</v>
      </c>
      <c r="D139" s="43" t="s">
        <v>1049</v>
      </c>
      <c r="E139" s="44">
        <v>32</v>
      </c>
      <c r="F139" s="31">
        <v>4333407.2570112357</v>
      </c>
      <c r="G139" s="31">
        <v>253650.88</v>
      </c>
      <c r="H139" s="31">
        <v>0</v>
      </c>
      <c r="I139" s="31">
        <v>0</v>
      </c>
      <c r="J139" s="31">
        <v>663130.58193999005</v>
      </c>
      <c r="K139" s="31">
        <v>283188.21999999997</v>
      </c>
      <c r="L139" s="31">
        <v>0</v>
      </c>
      <c r="M139" s="31">
        <f t="shared" si="12"/>
        <v>5660308.4289512252</v>
      </c>
      <c r="N139" s="31">
        <v>126931.49</v>
      </c>
      <c r="P139" s="42" t="s">
        <v>553</v>
      </c>
      <c r="Q139" s="42" t="s">
        <v>554</v>
      </c>
      <c r="R139" s="43" t="s">
        <v>1050</v>
      </c>
      <c r="S139" s="44">
        <v>32</v>
      </c>
      <c r="T139" s="31">
        <v>4503364.2837527301</v>
      </c>
      <c r="U139" s="31">
        <v>262672.08000000007</v>
      </c>
      <c r="V139" s="31">
        <v>0</v>
      </c>
      <c r="W139" s="31">
        <v>0</v>
      </c>
      <c r="X139" s="31">
        <v>680713.77828387206</v>
      </c>
      <c r="Y139" s="31">
        <v>283188.21999999997</v>
      </c>
      <c r="Z139" s="31">
        <v>0</v>
      </c>
      <c r="AA139" s="31">
        <f t="shared" si="13"/>
        <v>5858966.0820366014</v>
      </c>
      <c r="AB139" s="31">
        <v>129027.72</v>
      </c>
      <c r="AD139" s="42" t="s">
        <v>553</v>
      </c>
      <c r="AE139" s="42" t="s">
        <v>554</v>
      </c>
      <c r="AF139" s="43" t="s">
        <v>1275</v>
      </c>
      <c r="AG139" s="44">
        <v>32</v>
      </c>
      <c r="AH139" s="31">
        <v>4590041.1539506484</v>
      </c>
      <c r="AI139" s="31">
        <v>268048.95000000007</v>
      </c>
      <c r="AJ139" s="31">
        <v>0</v>
      </c>
      <c r="AK139" s="31">
        <v>0</v>
      </c>
      <c r="AL139" s="31">
        <v>693375.78821247048</v>
      </c>
      <c r="AM139" s="31">
        <v>283188.21999999997</v>
      </c>
      <c r="AN139" s="31">
        <v>0</v>
      </c>
      <c r="AO139" s="31">
        <f t="shared" si="14"/>
        <v>5965976.822163119</v>
      </c>
      <c r="AP139" s="31">
        <v>131322.71</v>
      </c>
      <c r="AR139" s="42" t="s">
        <v>553</v>
      </c>
      <c r="AS139" s="42" t="s">
        <v>554</v>
      </c>
      <c r="AT139" s="43" t="s">
        <v>1276</v>
      </c>
      <c r="AU139" s="44">
        <v>32</v>
      </c>
      <c r="AV139" s="31">
        <v>4674880.1834941451</v>
      </c>
      <c r="AW139" s="31">
        <v>272960.73</v>
      </c>
      <c r="AX139" s="31">
        <v>0</v>
      </c>
      <c r="AY139" s="31">
        <v>0</v>
      </c>
      <c r="AZ139" s="31">
        <v>706244.4148460076</v>
      </c>
      <c r="BA139" s="31">
        <v>283188.21999999997</v>
      </c>
      <c r="BB139" s="31">
        <v>0</v>
      </c>
      <c r="BC139" s="31">
        <f t="shared" si="15"/>
        <v>6071054.1983401533</v>
      </c>
      <c r="BD139" s="31">
        <v>133780.65</v>
      </c>
    </row>
    <row r="140" spans="2:56">
      <c r="B140" s="42" t="s">
        <v>269</v>
      </c>
      <c r="C140" s="42" t="s">
        <v>270</v>
      </c>
      <c r="D140" s="43" t="s">
        <v>1049</v>
      </c>
      <c r="E140" s="44">
        <v>32</v>
      </c>
      <c r="F140" s="31">
        <v>2768530.7847080515</v>
      </c>
      <c r="G140" s="31">
        <v>118295.46999999999</v>
      </c>
      <c r="H140" s="31">
        <v>10913.58</v>
      </c>
      <c r="I140" s="31">
        <v>0</v>
      </c>
      <c r="J140" s="31">
        <v>296072.29918646178</v>
      </c>
      <c r="K140" s="31">
        <v>220770.07062199619</v>
      </c>
      <c r="L140" s="31">
        <v>0</v>
      </c>
      <c r="M140" s="31">
        <f t="shared" si="12"/>
        <v>3478017.4345165095</v>
      </c>
      <c r="N140" s="31">
        <v>63435.229999999996</v>
      </c>
      <c r="P140" s="42" t="s">
        <v>269</v>
      </c>
      <c r="Q140" s="42" t="s">
        <v>270</v>
      </c>
      <c r="R140" s="43" t="s">
        <v>1050</v>
      </c>
      <c r="S140" s="44">
        <v>32</v>
      </c>
      <c r="T140" s="31">
        <v>3027964.4765314814</v>
      </c>
      <c r="U140" s="31">
        <v>128267.94</v>
      </c>
      <c r="V140" s="31">
        <v>11332.68</v>
      </c>
      <c r="W140" s="31">
        <v>0</v>
      </c>
      <c r="X140" s="31">
        <v>314172.30166114005</v>
      </c>
      <c r="Y140" s="31">
        <v>221007.9347968846</v>
      </c>
      <c r="Z140" s="31">
        <v>0</v>
      </c>
      <c r="AA140" s="31">
        <f t="shared" si="13"/>
        <v>3767740.0329895066</v>
      </c>
      <c r="AB140" s="31">
        <v>64994.700000000004</v>
      </c>
      <c r="AD140" s="42" t="s">
        <v>269</v>
      </c>
      <c r="AE140" s="42" t="s">
        <v>270</v>
      </c>
      <c r="AF140" s="43" t="s">
        <v>1275</v>
      </c>
      <c r="AG140" s="44">
        <v>32</v>
      </c>
      <c r="AH140" s="31">
        <v>3215403.6382210329</v>
      </c>
      <c r="AI140" s="31">
        <v>141529.20000000001</v>
      </c>
      <c r="AJ140" s="31">
        <v>11554.370000000003</v>
      </c>
      <c r="AK140" s="31">
        <v>0</v>
      </c>
      <c r="AL140" s="31">
        <v>319685.89009421831</v>
      </c>
      <c r="AM140" s="31">
        <v>220927.12539962729</v>
      </c>
      <c r="AN140" s="31">
        <v>0</v>
      </c>
      <c r="AO140" s="31">
        <f t="shared" si="14"/>
        <v>3975240.0237148786</v>
      </c>
      <c r="AP140" s="31">
        <v>66139.8</v>
      </c>
      <c r="AR140" s="42" t="s">
        <v>269</v>
      </c>
      <c r="AS140" s="42" t="s">
        <v>270</v>
      </c>
      <c r="AT140" s="43" t="s">
        <v>1276</v>
      </c>
      <c r="AU140" s="44">
        <v>32</v>
      </c>
      <c r="AV140" s="31">
        <v>3348375.003722854</v>
      </c>
      <c r="AW140" s="31">
        <v>151238.29999999999</v>
      </c>
      <c r="AX140" s="31">
        <v>11765.350000000002</v>
      </c>
      <c r="AY140" s="31">
        <v>0</v>
      </c>
      <c r="AZ140" s="31">
        <v>324386.00309656782</v>
      </c>
      <c r="BA140" s="31">
        <v>220939.98503106966</v>
      </c>
      <c r="BB140" s="31">
        <v>0</v>
      </c>
      <c r="BC140" s="31">
        <f t="shared" si="15"/>
        <v>4124070.8318504915</v>
      </c>
      <c r="BD140" s="31">
        <v>67366.19</v>
      </c>
    </row>
    <row r="141" spans="2:56">
      <c r="B141" s="42" t="s">
        <v>545</v>
      </c>
      <c r="C141" s="42" t="s">
        <v>546</v>
      </c>
      <c r="D141" s="43" t="s">
        <v>1049</v>
      </c>
      <c r="E141" s="44">
        <v>32</v>
      </c>
      <c r="F141" s="31">
        <v>27893583.295769729</v>
      </c>
      <c r="G141" s="31">
        <v>703951.61</v>
      </c>
      <c r="H141" s="31">
        <v>576417.44000000006</v>
      </c>
      <c r="I141" s="31">
        <v>98087.400000000009</v>
      </c>
      <c r="J141" s="31">
        <v>4611648.0675613014</v>
      </c>
      <c r="K141" s="31">
        <v>1461286.0941467665</v>
      </c>
      <c r="L141" s="31">
        <v>2163675.3952683927</v>
      </c>
      <c r="M141" s="31">
        <f t="shared" si="12"/>
        <v>37508649.302746192</v>
      </c>
      <c r="N141" s="31">
        <v>0</v>
      </c>
      <c r="P141" s="42" t="s">
        <v>545</v>
      </c>
      <c r="Q141" s="42" t="s">
        <v>546</v>
      </c>
      <c r="R141" s="43" t="s">
        <v>1050</v>
      </c>
      <c r="S141" s="44">
        <v>32</v>
      </c>
      <c r="T141" s="31">
        <v>29533608.969898202</v>
      </c>
      <c r="U141" s="31">
        <v>745306.2</v>
      </c>
      <c r="V141" s="31">
        <v>598246.91999999993</v>
      </c>
      <c r="W141" s="31">
        <v>103825.34</v>
      </c>
      <c r="X141" s="31">
        <v>4760050.3693979876</v>
      </c>
      <c r="Y141" s="31">
        <v>1462563.7791765621</v>
      </c>
      <c r="Z141" s="31">
        <v>2240077.9026760007</v>
      </c>
      <c r="AA141" s="31">
        <f t="shared" si="13"/>
        <v>39443679.48114875</v>
      </c>
      <c r="AB141" s="31">
        <v>0</v>
      </c>
      <c r="AD141" s="42" t="s">
        <v>545</v>
      </c>
      <c r="AE141" s="42" t="s">
        <v>546</v>
      </c>
      <c r="AF141" s="43" t="s">
        <v>1275</v>
      </c>
      <c r="AG141" s="44">
        <v>32</v>
      </c>
      <c r="AH141" s="31">
        <v>33193161.707538947</v>
      </c>
      <c r="AI141" s="31">
        <v>829818.58</v>
      </c>
      <c r="AJ141" s="31">
        <v>609959.55000000005</v>
      </c>
      <c r="AK141" s="31">
        <v>115521.00000000001</v>
      </c>
      <c r="AL141" s="31">
        <v>4869646.1385789262</v>
      </c>
      <c r="AM141" s="31">
        <v>1462112.7912472314</v>
      </c>
      <c r="AN141" s="31">
        <v>2283272.4390571713</v>
      </c>
      <c r="AO141" s="31">
        <f t="shared" si="14"/>
        <v>43363492.206422277</v>
      </c>
      <c r="AP141" s="31">
        <v>0</v>
      </c>
      <c r="AR141" s="42" t="s">
        <v>545</v>
      </c>
      <c r="AS141" s="42" t="s">
        <v>546</v>
      </c>
      <c r="AT141" s="43" t="s">
        <v>1276</v>
      </c>
      <c r="AU141" s="44">
        <v>32</v>
      </c>
      <c r="AV141" s="31">
        <v>34498829.535555787</v>
      </c>
      <c r="AW141" s="31">
        <v>860671.18</v>
      </c>
      <c r="AX141" s="31">
        <v>621178.14</v>
      </c>
      <c r="AY141" s="31">
        <v>119857.08</v>
      </c>
      <c r="AZ141" s="31">
        <v>4964755.6719668657</v>
      </c>
      <c r="BA141" s="31">
        <v>1462183.6840797167</v>
      </c>
      <c r="BB141" s="31">
        <v>2325592.0346762454</v>
      </c>
      <c r="BC141" s="31">
        <f t="shared" si="15"/>
        <v>44853067.326278612</v>
      </c>
      <c r="BD141" s="31">
        <v>0</v>
      </c>
    </row>
    <row r="142" spans="2:56">
      <c r="B142" s="42" t="s">
        <v>591</v>
      </c>
      <c r="C142" s="42" t="s">
        <v>592</v>
      </c>
      <c r="D142" s="43" t="s">
        <v>1049</v>
      </c>
      <c r="E142" s="44">
        <v>32</v>
      </c>
      <c r="F142" s="31">
        <v>6518204.9000127595</v>
      </c>
      <c r="G142" s="31">
        <v>499101.69</v>
      </c>
      <c r="H142" s="31">
        <v>528139.6</v>
      </c>
      <c r="I142" s="31">
        <v>22704.16</v>
      </c>
      <c r="J142" s="31">
        <v>748142.82838201756</v>
      </c>
      <c r="K142" s="31">
        <v>234595.68018167873</v>
      </c>
      <c r="L142" s="31">
        <v>687180.04785877222</v>
      </c>
      <c r="M142" s="31">
        <f t="shared" si="12"/>
        <v>9471054.4664352294</v>
      </c>
      <c r="N142" s="31">
        <v>232985.56</v>
      </c>
      <c r="P142" s="42" t="s">
        <v>591</v>
      </c>
      <c r="Q142" s="42" t="s">
        <v>592</v>
      </c>
      <c r="R142" s="43" t="s">
        <v>1050</v>
      </c>
      <c r="S142" s="44">
        <v>32</v>
      </c>
      <c r="T142" s="31">
        <v>7221299.0838541519</v>
      </c>
      <c r="U142" s="31">
        <v>549818.62000000011</v>
      </c>
      <c r="V142" s="31">
        <v>548420.68999999994</v>
      </c>
      <c r="W142" s="31">
        <v>24790.240000000005</v>
      </c>
      <c r="X142" s="31">
        <v>777387.41004509421</v>
      </c>
      <c r="Y142" s="31">
        <v>234805.53556086568</v>
      </c>
      <c r="Z142" s="31">
        <v>718518.82543233002</v>
      </c>
      <c r="AA142" s="31">
        <f t="shared" si="13"/>
        <v>10313753.614892444</v>
      </c>
      <c r="AB142" s="31">
        <v>238713.21000000002</v>
      </c>
      <c r="AD142" s="42" t="s">
        <v>591</v>
      </c>
      <c r="AE142" s="42" t="s">
        <v>592</v>
      </c>
      <c r="AF142" s="43" t="s">
        <v>1275</v>
      </c>
      <c r="AG142" s="44">
        <v>32</v>
      </c>
      <c r="AH142" s="31">
        <v>7324022.3061554926</v>
      </c>
      <c r="AI142" s="31">
        <v>564338.84999999986</v>
      </c>
      <c r="AJ142" s="31">
        <v>559148.51000000013</v>
      </c>
      <c r="AK142" s="31">
        <v>25481.480000000003</v>
      </c>
      <c r="AL142" s="31">
        <v>789703.6165588015</v>
      </c>
      <c r="AM142" s="31">
        <v>234734.24156835402</v>
      </c>
      <c r="AN142" s="31">
        <v>732358.73655539192</v>
      </c>
      <c r="AO142" s="31">
        <f t="shared" si="14"/>
        <v>10472706.660838041</v>
      </c>
      <c r="AP142" s="31">
        <v>242918.91999999998</v>
      </c>
      <c r="AR142" s="42" t="s">
        <v>591</v>
      </c>
      <c r="AS142" s="42" t="s">
        <v>592</v>
      </c>
      <c r="AT142" s="43" t="s">
        <v>1276</v>
      </c>
      <c r="AU142" s="44">
        <v>32</v>
      </c>
      <c r="AV142" s="31">
        <v>7463251.5269289305</v>
      </c>
      <c r="AW142" s="31">
        <v>574575.78</v>
      </c>
      <c r="AX142" s="31">
        <v>569359.08000000007</v>
      </c>
      <c r="AY142" s="31">
        <v>25946.800000000003</v>
      </c>
      <c r="AZ142" s="31">
        <v>807938.90826015733</v>
      </c>
      <c r="BA142" s="31">
        <v>234745.586962564</v>
      </c>
      <c r="BB142" s="31">
        <v>745860.09980471095</v>
      </c>
      <c r="BC142" s="31">
        <f t="shared" si="15"/>
        <v>10669101.041956363</v>
      </c>
      <c r="BD142" s="31">
        <v>247423.26</v>
      </c>
    </row>
    <row r="143" spans="2:56">
      <c r="B143" s="42" t="s">
        <v>97</v>
      </c>
      <c r="C143" s="42" t="s">
        <v>98</v>
      </c>
      <c r="D143" s="43" t="s">
        <v>1049</v>
      </c>
      <c r="E143" s="44">
        <v>32</v>
      </c>
      <c r="F143" s="31">
        <v>1924016.1315290071</v>
      </c>
      <c r="G143" s="31">
        <v>41900.359999999993</v>
      </c>
      <c r="H143" s="31">
        <v>8477.5300000000007</v>
      </c>
      <c r="I143" s="31">
        <v>0</v>
      </c>
      <c r="J143" s="31">
        <v>85276.131561814007</v>
      </c>
      <c r="K143" s="31">
        <v>110838.53747934004</v>
      </c>
      <c r="L143" s="31">
        <v>27584.049888141919</v>
      </c>
      <c r="M143" s="31">
        <f t="shared" si="12"/>
        <v>2224694.620458303</v>
      </c>
      <c r="N143" s="31">
        <v>26601.879999999997</v>
      </c>
      <c r="P143" s="42" t="s">
        <v>97</v>
      </c>
      <c r="Q143" s="42" t="s">
        <v>98</v>
      </c>
      <c r="R143" s="43" t="s">
        <v>1050</v>
      </c>
      <c r="S143" s="44">
        <v>32</v>
      </c>
      <c r="T143" s="31">
        <v>1965206.3180640305</v>
      </c>
      <c r="U143" s="31">
        <v>38514.180000000008</v>
      </c>
      <c r="V143" s="31">
        <v>8803.06</v>
      </c>
      <c r="W143" s="31">
        <v>0</v>
      </c>
      <c r="X143" s="31">
        <v>88641.421612536578</v>
      </c>
      <c r="Y143" s="31">
        <v>110938.76701956966</v>
      </c>
      <c r="Z143" s="31">
        <v>28870.667554082989</v>
      </c>
      <c r="AA143" s="31">
        <f t="shared" si="13"/>
        <v>2268230.2542502196</v>
      </c>
      <c r="AB143" s="31">
        <v>27255.84</v>
      </c>
      <c r="AD143" s="42" t="s">
        <v>97</v>
      </c>
      <c r="AE143" s="42" t="s">
        <v>98</v>
      </c>
      <c r="AF143" s="43" t="s">
        <v>1275</v>
      </c>
      <c r="AG143" s="44">
        <v>32</v>
      </c>
      <c r="AH143" s="31">
        <v>2000650.9146360881</v>
      </c>
      <c r="AI143" s="31">
        <v>39320.509999999987</v>
      </c>
      <c r="AJ143" s="31">
        <v>8975.2799999999988</v>
      </c>
      <c r="AK143" s="31">
        <v>0</v>
      </c>
      <c r="AL143" s="31">
        <v>90900.214601140469</v>
      </c>
      <c r="AM143" s="31">
        <v>110904.71612166909</v>
      </c>
      <c r="AN143" s="31">
        <v>29426.828805979851</v>
      </c>
      <c r="AO143" s="31">
        <f t="shared" si="14"/>
        <v>2307914.5041648773</v>
      </c>
      <c r="AP143" s="31">
        <v>27736.04</v>
      </c>
      <c r="AR143" s="42" t="s">
        <v>97</v>
      </c>
      <c r="AS143" s="42" t="s">
        <v>98</v>
      </c>
      <c r="AT143" s="43" t="s">
        <v>1276</v>
      </c>
      <c r="AU143" s="44">
        <v>32</v>
      </c>
      <c r="AV143" s="31">
        <v>2034765.8584728492</v>
      </c>
      <c r="AW143" s="31">
        <v>40030.719999999994</v>
      </c>
      <c r="AX143" s="31">
        <v>9139.17</v>
      </c>
      <c r="AY143" s="31">
        <v>0</v>
      </c>
      <c r="AZ143" s="31">
        <v>93046.142670155226</v>
      </c>
      <c r="BA143" s="31">
        <v>110910.1348231091</v>
      </c>
      <c r="BB143" s="31">
        <v>29969.335777681379</v>
      </c>
      <c r="BC143" s="31">
        <f t="shared" si="15"/>
        <v>2346111.7117437948</v>
      </c>
      <c r="BD143" s="31">
        <v>28250.35</v>
      </c>
    </row>
    <row r="144" spans="2:56">
      <c r="B144" s="42" t="s">
        <v>29</v>
      </c>
      <c r="C144" s="42" t="s">
        <v>30</v>
      </c>
      <c r="D144" s="43" t="s">
        <v>1049</v>
      </c>
      <c r="E144" s="44">
        <v>32</v>
      </c>
      <c r="F144" s="31">
        <v>5290727.7441556994</v>
      </c>
      <c r="G144" s="31">
        <v>262997.94</v>
      </c>
      <c r="H144" s="31">
        <v>334228.56999999995</v>
      </c>
      <c r="I144" s="31">
        <v>16760.150000000001</v>
      </c>
      <c r="J144" s="31">
        <v>664895.35109236941</v>
      </c>
      <c r="K144" s="31">
        <v>369590.65309190226</v>
      </c>
      <c r="L144" s="31">
        <v>150719.43956585517</v>
      </c>
      <c r="M144" s="31">
        <f t="shared" si="12"/>
        <v>7263173.0279058265</v>
      </c>
      <c r="N144" s="31">
        <v>173253.18</v>
      </c>
      <c r="P144" s="42" t="s">
        <v>29</v>
      </c>
      <c r="Q144" s="42" t="s">
        <v>30</v>
      </c>
      <c r="R144" s="43" t="s">
        <v>1050</v>
      </c>
      <c r="S144" s="44">
        <v>32</v>
      </c>
      <c r="T144" s="31">
        <v>5285053.8577979691</v>
      </c>
      <c r="U144" s="31">
        <v>265170.39</v>
      </c>
      <c r="V144" s="31">
        <v>347063.27999999997</v>
      </c>
      <c r="W144" s="31">
        <v>16796.650000000001</v>
      </c>
      <c r="X144" s="31">
        <v>691393.93332108902</v>
      </c>
      <c r="Y144" s="31">
        <v>369821.50185617513</v>
      </c>
      <c r="Z144" s="31">
        <v>157506.31414407998</v>
      </c>
      <c r="AA144" s="31">
        <f t="shared" si="13"/>
        <v>7310318.2971193129</v>
      </c>
      <c r="AB144" s="31">
        <v>177512.37</v>
      </c>
      <c r="AD144" s="42" t="s">
        <v>29</v>
      </c>
      <c r="AE144" s="42" t="s">
        <v>30</v>
      </c>
      <c r="AF144" s="43" t="s">
        <v>1275</v>
      </c>
      <c r="AG144" s="44">
        <v>32</v>
      </c>
      <c r="AH144" s="31">
        <v>5322159.3599569798</v>
      </c>
      <c r="AI144" s="31">
        <v>268329.58999999991</v>
      </c>
      <c r="AJ144" s="31">
        <v>353852.28000000009</v>
      </c>
      <c r="AK144" s="31">
        <v>16918.890000000003</v>
      </c>
      <c r="AL144" s="31">
        <v>703531.80997615494</v>
      </c>
      <c r="AM144" s="31">
        <v>369743.07579850074</v>
      </c>
      <c r="AN144" s="31">
        <v>160540.2156054136</v>
      </c>
      <c r="AO144" s="31">
        <f t="shared" si="14"/>
        <v>7375715.0613370482</v>
      </c>
      <c r="AP144" s="31">
        <v>180639.84000000003</v>
      </c>
      <c r="AR144" s="42" t="s">
        <v>29</v>
      </c>
      <c r="AS144" s="42" t="s">
        <v>30</v>
      </c>
      <c r="AT144" s="43" t="s">
        <v>1276</v>
      </c>
      <c r="AU144" s="44">
        <v>32</v>
      </c>
      <c r="AV144" s="31">
        <v>5328118.577106202</v>
      </c>
      <c r="AW144" s="31">
        <v>262778.95999999996</v>
      </c>
      <c r="AX144" s="31">
        <v>360313.95</v>
      </c>
      <c r="AY144" s="31">
        <v>16597.560000000001</v>
      </c>
      <c r="AZ144" s="31">
        <v>719270.36778283108</v>
      </c>
      <c r="BA144" s="31">
        <v>369755.55615637248</v>
      </c>
      <c r="BB144" s="31">
        <v>163499.92326710187</v>
      </c>
      <c r="BC144" s="31">
        <f t="shared" si="15"/>
        <v>7404324.2443125071</v>
      </c>
      <c r="BD144" s="31">
        <v>183989.35</v>
      </c>
    </row>
    <row r="145" spans="2:56">
      <c r="B145" s="42" t="s">
        <v>319</v>
      </c>
      <c r="C145" s="42" t="s">
        <v>320</v>
      </c>
      <c r="D145" s="43" t="s">
        <v>1049</v>
      </c>
      <c r="E145" s="44">
        <v>32</v>
      </c>
      <c r="F145" s="31">
        <v>13435511.986247918</v>
      </c>
      <c r="G145" s="31">
        <v>185530.97000000003</v>
      </c>
      <c r="H145" s="31">
        <v>0</v>
      </c>
      <c r="I145" s="31">
        <v>40438.74</v>
      </c>
      <c r="J145" s="31">
        <v>1628522.2810486942</v>
      </c>
      <c r="K145" s="31">
        <v>262334.62199512165</v>
      </c>
      <c r="L145" s="31">
        <v>208617.84733025986</v>
      </c>
      <c r="M145" s="31">
        <f t="shared" si="12"/>
        <v>15809580.366621993</v>
      </c>
      <c r="N145" s="31">
        <v>48623.92</v>
      </c>
      <c r="P145" s="42" t="s">
        <v>319</v>
      </c>
      <c r="Q145" s="42" t="s">
        <v>320</v>
      </c>
      <c r="R145" s="43" t="s">
        <v>1050</v>
      </c>
      <c r="S145" s="44">
        <v>32</v>
      </c>
      <c r="T145" s="31">
        <v>13750670.139524344</v>
      </c>
      <c r="U145" s="31">
        <v>191506.08</v>
      </c>
      <c r="V145" s="31">
        <v>0</v>
      </c>
      <c r="W145" s="31">
        <v>41586.880000000005</v>
      </c>
      <c r="X145" s="31">
        <v>1681404.6028353986</v>
      </c>
      <c r="Y145" s="31">
        <v>262529.31034090981</v>
      </c>
      <c r="Z145" s="31">
        <v>216051.12955044309</v>
      </c>
      <c r="AA145" s="31">
        <f t="shared" si="13"/>
        <v>16193567.422251096</v>
      </c>
      <c r="AB145" s="31">
        <v>49819.28</v>
      </c>
      <c r="AD145" s="42" t="s">
        <v>319</v>
      </c>
      <c r="AE145" s="42" t="s">
        <v>320</v>
      </c>
      <c r="AF145" s="43" t="s">
        <v>1275</v>
      </c>
      <c r="AG145" s="44">
        <v>32</v>
      </c>
      <c r="AH145" s="31">
        <v>13997253.559382597</v>
      </c>
      <c r="AI145" s="31">
        <v>195142.63</v>
      </c>
      <c r="AJ145" s="31">
        <v>0</v>
      </c>
      <c r="AK145" s="31">
        <v>42297.219999999987</v>
      </c>
      <c r="AL145" s="31">
        <v>1711471.8145808387</v>
      </c>
      <c r="AM145" s="31">
        <v>262463.16903197358</v>
      </c>
      <c r="AN145" s="31">
        <v>220212.28238955594</v>
      </c>
      <c r="AO145" s="31">
        <f t="shared" si="14"/>
        <v>16479537.685384966</v>
      </c>
      <c r="AP145" s="31">
        <v>50697.009999999995</v>
      </c>
      <c r="AR145" s="42" t="s">
        <v>319</v>
      </c>
      <c r="AS145" s="42" t="s">
        <v>320</v>
      </c>
      <c r="AT145" s="43" t="s">
        <v>1276</v>
      </c>
      <c r="AU145" s="44">
        <v>32</v>
      </c>
      <c r="AV145" s="31">
        <v>14246541.834674131</v>
      </c>
      <c r="AW145" s="31">
        <v>198796.9</v>
      </c>
      <c r="AX145" s="31">
        <v>0</v>
      </c>
      <c r="AY145" s="31">
        <v>43069.599999999991</v>
      </c>
      <c r="AZ145" s="31">
        <v>1742747.9010831234</v>
      </c>
      <c r="BA145" s="31">
        <v>262473.69445209682</v>
      </c>
      <c r="BB145" s="31">
        <v>224272.63624592579</v>
      </c>
      <c r="BC145" s="31">
        <f t="shared" si="15"/>
        <v>16769539.626455277</v>
      </c>
      <c r="BD145" s="31">
        <v>51637.060000000005</v>
      </c>
    </row>
    <row r="146" spans="2:56">
      <c r="B146" s="42" t="s">
        <v>501</v>
      </c>
      <c r="C146" s="42" t="s">
        <v>502</v>
      </c>
      <c r="D146" s="43" t="s">
        <v>1049</v>
      </c>
      <c r="E146" s="44">
        <v>32</v>
      </c>
      <c r="F146" s="31">
        <v>4030237.862977915</v>
      </c>
      <c r="G146" s="31">
        <v>220025.68999999997</v>
      </c>
      <c r="H146" s="31">
        <v>0</v>
      </c>
      <c r="I146" s="31">
        <v>12667.55</v>
      </c>
      <c r="J146" s="31">
        <v>550302.51504864742</v>
      </c>
      <c r="K146" s="31">
        <v>409230.28837248968</v>
      </c>
      <c r="L146" s="31">
        <v>349331.61278077186</v>
      </c>
      <c r="M146" s="31">
        <f t="shared" si="12"/>
        <v>5700419.9191798242</v>
      </c>
      <c r="N146" s="31">
        <v>128624.4</v>
      </c>
      <c r="P146" s="42" t="s">
        <v>501</v>
      </c>
      <c r="Q146" s="42" t="s">
        <v>502</v>
      </c>
      <c r="R146" s="43" t="s">
        <v>1050</v>
      </c>
      <c r="S146" s="44">
        <v>32</v>
      </c>
      <c r="T146" s="31">
        <v>4213066.933134363</v>
      </c>
      <c r="U146" s="31">
        <v>229948.58999999997</v>
      </c>
      <c r="V146" s="31">
        <v>0</v>
      </c>
      <c r="W146" s="31">
        <v>13154.009999999998</v>
      </c>
      <c r="X146" s="31">
        <v>568895.78705672326</v>
      </c>
      <c r="Y146" s="31">
        <v>409640.92677395337</v>
      </c>
      <c r="Z146" s="31">
        <v>365196.54082560737</v>
      </c>
      <c r="AA146" s="31">
        <f t="shared" si="13"/>
        <v>5931689.2477906467</v>
      </c>
      <c r="AB146" s="31">
        <v>131786.46000000002</v>
      </c>
      <c r="AD146" s="42" t="s">
        <v>501</v>
      </c>
      <c r="AE146" s="42" t="s">
        <v>502</v>
      </c>
      <c r="AF146" s="43" t="s">
        <v>1275</v>
      </c>
      <c r="AG146" s="44">
        <v>32</v>
      </c>
      <c r="AH146" s="31">
        <v>3916285.5825434187</v>
      </c>
      <c r="AI146" s="31">
        <v>212316.16000000003</v>
      </c>
      <c r="AJ146" s="31">
        <v>0</v>
      </c>
      <c r="AK146" s="31">
        <v>12070.19</v>
      </c>
      <c r="AL146" s="31">
        <v>577134.75877946452</v>
      </c>
      <c r="AM146" s="31">
        <v>409501.42093315773</v>
      </c>
      <c r="AN146" s="31">
        <v>372230.93399783876</v>
      </c>
      <c r="AO146" s="31">
        <f t="shared" si="14"/>
        <v>5633647.3662538808</v>
      </c>
      <c r="AP146" s="31">
        <v>134108.32</v>
      </c>
      <c r="AR146" s="42" t="s">
        <v>501</v>
      </c>
      <c r="AS146" s="42" t="s">
        <v>502</v>
      </c>
      <c r="AT146" s="43" t="s">
        <v>1276</v>
      </c>
      <c r="AU146" s="44">
        <v>32</v>
      </c>
      <c r="AV146" s="31">
        <v>4009417.9963021073</v>
      </c>
      <c r="AW146" s="31">
        <v>220882.65999999997</v>
      </c>
      <c r="AX146" s="31">
        <v>0</v>
      </c>
      <c r="AY146" s="31">
        <v>12605.729999999998</v>
      </c>
      <c r="AZ146" s="31">
        <v>583683.64178297576</v>
      </c>
      <c r="BA146" s="31">
        <v>409523.62124348775</v>
      </c>
      <c r="BB146" s="31">
        <v>379093.23605845845</v>
      </c>
      <c r="BC146" s="31">
        <f t="shared" si="15"/>
        <v>5751801.9053870309</v>
      </c>
      <c r="BD146" s="31">
        <v>136595.02000000002</v>
      </c>
    </row>
    <row r="147" spans="2:56">
      <c r="B147" s="42" t="s">
        <v>433</v>
      </c>
      <c r="C147" s="42" t="s">
        <v>434</v>
      </c>
      <c r="D147" s="43" t="s">
        <v>1049</v>
      </c>
      <c r="E147" s="44">
        <v>32</v>
      </c>
      <c r="F147" s="31">
        <v>88195790.149863452</v>
      </c>
      <c r="G147" s="31">
        <v>3570537.05</v>
      </c>
      <c r="H147" s="31">
        <v>1850265.23</v>
      </c>
      <c r="I147" s="31">
        <v>317699.84999999998</v>
      </c>
      <c r="J147" s="31">
        <v>14588795.008414406</v>
      </c>
      <c r="K147" s="31">
        <v>7780243.1230761921</v>
      </c>
      <c r="L147" s="31">
        <v>7790228.292259885</v>
      </c>
      <c r="M147" s="31">
        <f t="shared" si="12"/>
        <v>126175009.74361393</v>
      </c>
      <c r="N147" s="31">
        <v>2081451.04</v>
      </c>
      <c r="P147" s="42" t="s">
        <v>433</v>
      </c>
      <c r="Q147" s="42" t="s">
        <v>434</v>
      </c>
      <c r="R147" s="43" t="s">
        <v>1050</v>
      </c>
      <c r="S147" s="44">
        <v>32</v>
      </c>
      <c r="T147" s="31">
        <v>87285748.757351533</v>
      </c>
      <c r="U147" s="31">
        <v>3543259.4000000013</v>
      </c>
      <c r="V147" s="31">
        <v>1904198.25</v>
      </c>
      <c r="W147" s="31">
        <v>312998.51999999996</v>
      </c>
      <c r="X147" s="31">
        <v>14920896.786094163</v>
      </c>
      <c r="Y147" s="31">
        <v>7786882.4431040091</v>
      </c>
      <c r="Z147" s="31">
        <v>8089360.094451596</v>
      </c>
      <c r="AA147" s="31">
        <f t="shared" si="13"/>
        <v>125960265.2310013</v>
      </c>
      <c r="AB147" s="31">
        <v>2116920.9799999995</v>
      </c>
      <c r="AD147" s="42" t="s">
        <v>433</v>
      </c>
      <c r="AE147" s="42" t="s">
        <v>434</v>
      </c>
      <c r="AF147" s="43" t="s">
        <v>1275</v>
      </c>
      <c r="AG147" s="44">
        <v>32</v>
      </c>
      <c r="AH147" s="31">
        <v>86660386.007285491</v>
      </c>
      <c r="AI147" s="31">
        <v>3530693.1700000018</v>
      </c>
      <c r="AJ147" s="31">
        <v>1941521.99</v>
      </c>
      <c r="AK147" s="31">
        <v>311548.98999999993</v>
      </c>
      <c r="AL147" s="31">
        <v>15198395.544275213</v>
      </c>
      <c r="AM147" s="31">
        <v>7784408.0405745311</v>
      </c>
      <c r="AN147" s="31">
        <v>8245616.315244983</v>
      </c>
      <c r="AO147" s="31">
        <f t="shared" si="14"/>
        <v>125827354.32738021</v>
      </c>
      <c r="AP147" s="31">
        <v>2154784.2699999996</v>
      </c>
      <c r="AR147" s="42" t="s">
        <v>433</v>
      </c>
      <c r="AS147" s="42" t="s">
        <v>434</v>
      </c>
      <c r="AT147" s="43" t="s">
        <v>1276</v>
      </c>
      <c r="AU147" s="44">
        <v>32</v>
      </c>
      <c r="AV147" s="31">
        <v>86019404.051110595</v>
      </c>
      <c r="AW147" s="31">
        <v>3511792.67</v>
      </c>
      <c r="AX147" s="31">
        <v>1977569.53</v>
      </c>
      <c r="AY147" s="31">
        <v>309845.77999999997</v>
      </c>
      <c r="AZ147" s="31">
        <v>15481366.026155155</v>
      </c>
      <c r="BA147" s="31">
        <v>7784790.7429968109</v>
      </c>
      <c r="BB147" s="31">
        <v>8399519.7528312206</v>
      </c>
      <c r="BC147" s="31">
        <f t="shared" si="15"/>
        <v>125679624.40309379</v>
      </c>
      <c r="BD147" s="31">
        <v>2195335.8499999996</v>
      </c>
    </row>
    <row r="148" spans="2:56">
      <c r="B148" s="42" t="s">
        <v>147</v>
      </c>
      <c r="C148" s="42" t="s">
        <v>148</v>
      </c>
      <c r="D148" s="43" t="s">
        <v>1049</v>
      </c>
      <c r="E148" s="44">
        <v>32</v>
      </c>
      <c r="F148" s="31">
        <v>2573126.4207651331</v>
      </c>
      <c r="G148" s="31">
        <v>110597.48999999999</v>
      </c>
      <c r="H148" s="31">
        <v>2825.85</v>
      </c>
      <c r="I148" s="31">
        <v>8185.1900000000005</v>
      </c>
      <c r="J148" s="31">
        <v>395401.78571019846</v>
      </c>
      <c r="K148" s="31">
        <v>213766.33242272781</v>
      </c>
      <c r="L148" s="31">
        <v>0</v>
      </c>
      <c r="M148" s="31">
        <f t="shared" si="12"/>
        <v>3387119.1688980591</v>
      </c>
      <c r="N148" s="31">
        <v>83216.100000000006</v>
      </c>
      <c r="P148" s="42" t="s">
        <v>147</v>
      </c>
      <c r="Q148" s="42" t="s">
        <v>148</v>
      </c>
      <c r="R148" s="43" t="s">
        <v>1050</v>
      </c>
      <c r="S148" s="44">
        <v>32</v>
      </c>
      <c r="T148" s="31">
        <v>2581794.3818717478</v>
      </c>
      <c r="U148" s="31">
        <v>110631.59000000001</v>
      </c>
      <c r="V148" s="31">
        <v>2934.36</v>
      </c>
      <c r="W148" s="31">
        <v>8094.7600000000011</v>
      </c>
      <c r="X148" s="31">
        <v>408574.63569687307</v>
      </c>
      <c r="Y148" s="31">
        <v>213993.14487618339</v>
      </c>
      <c r="Z148" s="31">
        <v>0</v>
      </c>
      <c r="AA148" s="31">
        <f t="shared" si="13"/>
        <v>3411284.7224448039</v>
      </c>
      <c r="AB148" s="31">
        <v>85261.849999999991</v>
      </c>
      <c r="AD148" s="42" t="s">
        <v>147</v>
      </c>
      <c r="AE148" s="42" t="s">
        <v>148</v>
      </c>
      <c r="AF148" s="43" t="s">
        <v>1275</v>
      </c>
      <c r="AG148" s="44">
        <v>32</v>
      </c>
      <c r="AH148" s="31">
        <v>2766522.0318094818</v>
      </c>
      <c r="AI148" s="31">
        <v>117706.88999999997</v>
      </c>
      <c r="AJ148" s="31">
        <v>2991.7700000000004</v>
      </c>
      <c r="AK148" s="31">
        <v>8562.61</v>
      </c>
      <c r="AL148" s="31">
        <v>419458.1112920983</v>
      </c>
      <c r="AM148" s="31">
        <v>213916.09007100819</v>
      </c>
      <c r="AN148" s="31">
        <v>0</v>
      </c>
      <c r="AO148" s="31">
        <f t="shared" si="14"/>
        <v>3615921.5231725881</v>
      </c>
      <c r="AP148" s="31">
        <v>86764.02</v>
      </c>
      <c r="AR148" s="42" t="s">
        <v>147</v>
      </c>
      <c r="AS148" s="42" t="s">
        <v>148</v>
      </c>
      <c r="AT148" s="43" t="s">
        <v>1276</v>
      </c>
      <c r="AU148" s="44">
        <v>32</v>
      </c>
      <c r="AV148" s="31">
        <v>2859438.9631383345</v>
      </c>
      <c r="AW148" s="31">
        <v>121092.45999999998</v>
      </c>
      <c r="AX148" s="31">
        <v>3046.3900000000003</v>
      </c>
      <c r="AY148" s="31">
        <v>8824.01</v>
      </c>
      <c r="AZ148" s="31">
        <v>429145.59213725827</v>
      </c>
      <c r="BA148" s="31">
        <v>213928.35221413817</v>
      </c>
      <c r="BB148" s="31">
        <v>0</v>
      </c>
      <c r="BC148" s="31">
        <f t="shared" si="15"/>
        <v>3723848.6174897305</v>
      </c>
      <c r="BD148" s="31">
        <v>88372.849999999991</v>
      </c>
    </row>
    <row r="149" spans="2:56">
      <c r="B149" s="42" t="s">
        <v>461</v>
      </c>
      <c r="C149" s="42" t="s">
        <v>462</v>
      </c>
      <c r="D149" s="43" t="s">
        <v>1049</v>
      </c>
      <c r="E149" s="44">
        <v>32</v>
      </c>
      <c r="F149" s="31">
        <v>84013450.044301584</v>
      </c>
      <c r="G149" s="31">
        <v>1925840.71</v>
      </c>
      <c r="H149" s="31">
        <v>495331.4599999999</v>
      </c>
      <c r="I149" s="31">
        <v>295887.42</v>
      </c>
      <c r="J149" s="31">
        <v>12890212.239045991</v>
      </c>
      <c r="K149" s="31">
        <v>5434454.7534445794</v>
      </c>
      <c r="L149" s="31">
        <v>6649331.8178424779</v>
      </c>
      <c r="M149" s="31">
        <f t="shared" si="12"/>
        <v>111808719.72463463</v>
      </c>
      <c r="N149" s="31">
        <v>104211.28</v>
      </c>
      <c r="P149" s="42" t="s">
        <v>461</v>
      </c>
      <c r="Q149" s="42" t="s">
        <v>462</v>
      </c>
      <c r="R149" s="43" t="s">
        <v>1050</v>
      </c>
      <c r="S149" s="44">
        <v>32</v>
      </c>
      <c r="T149" s="31">
        <v>89467470.179269716</v>
      </c>
      <c r="U149" s="31">
        <v>2053607.0799999998</v>
      </c>
      <c r="V149" s="31">
        <v>509835.14</v>
      </c>
      <c r="W149" s="31">
        <v>315246.31000000006</v>
      </c>
      <c r="X149" s="31">
        <v>13163976.778105939</v>
      </c>
      <c r="Y149" s="31">
        <v>5440025.2811894156</v>
      </c>
      <c r="Z149" s="31">
        <v>6837533.7516146833</v>
      </c>
      <c r="AA149" s="31">
        <f t="shared" si="13"/>
        <v>117893566.34017976</v>
      </c>
      <c r="AB149" s="31">
        <v>105871.82</v>
      </c>
      <c r="AD149" s="42" t="s">
        <v>461</v>
      </c>
      <c r="AE149" s="42" t="s">
        <v>462</v>
      </c>
      <c r="AF149" s="43" t="s">
        <v>1275</v>
      </c>
      <c r="AG149" s="44">
        <v>32</v>
      </c>
      <c r="AH149" s="31">
        <v>94505288.584960192</v>
      </c>
      <c r="AI149" s="31">
        <v>2163234.2900000005</v>
      </c>
      <c r="AJ149" s="31">
        <v>519812.61</v>
      </c>
      <c r="AK149" s="31">
        <v>332108.38</v>
      </c>
      <c r="AL149" s="31">
        <v>13423406.499055872</v>
      </c>
      <c r="AM149" s="31">
        <v>5438090.7156635579</v>
      </c>
      <c r="AN149" s="31">
        <v>6969302.162220343</v>
      </c>
      <c r="AO149" s="31">
        <f t="shared" si="14"/>
        <v>123458986.60189997</v>
      </c>
      <c r="AP149" s="31">
        <v>107743.35999999999</v>
      </c>
      <c r="AR149" s="42" t="s">
        <v>461</v>
      </c>
      <c r="AS149" s="42" t="s">
        <v>462</v>
      </c>
      <c r="AT149" s="43" t="s">
        <v>1276</v>
      </c>
      <c r="AU149" s="44">
        <v>32</v>
      </c>
      <c r="AV149" s="31">
        <v>98105387.573189989</v>
      </c>
      <c r="AW149" s="31">
        <v>2240478.2300000004</v>
      </c>
      <c r="AX149" s="31">
        <v>529339.89</v>
      </c>
      <c r="AY149" s="31">
        <v>343909.21</v>
      </c>
      <c r="AZ149" s="31">
        <v>13686199.95499989</v>
      </c>
      <c r="BA149" s="31">
        <v>5438396.6411630977</v>
      </c>
      <c r="BB149" s="31">
        <v>7098144.8313654028</v>
      </c>
      <c r="BC149" s="31">
        <f t="shared" si="15"/>
        <v>127551604.11071838</v>
      </c>
      <c r="BD149" s="31">
        <v>109747.77999999997</v>
      </c>
    </row>
    <row r="150" spans="2:56">
      <c r="B150" s="42" t="s">
        <v>459</v>
      </c>
      <c r="C150" s="42" t="s">
        <v>460</v>
      </c>
      <c r="D150" s="43" t="s">
        <v>1049</v>
      </c>
      <c r="E150" s="44">
        <v>32</v>
      </c>
      <c r="F150" s="31">
        <v>14281584.423680754</v>
      </c>
      <c r="G150" s="31">
        <v>418808.85999999987</v>
      </c>
      <c r="H150" s="31">
        <v>28355.84</v>
      </c>
      <c r="I150" s="31">
        <v>49208.59</v>
      </c>
      <c r="J150" s="31">
        <v>2275776.646159648</v>
      </c>
      <c r="K150" s="31">
        <v>1153661.7134751424</v>
      </c>
      <c r="L150" s="31">
        <v>1157588.6523058165</v>
      </c>
      <c r="M150" s="31">
        <f t="shared" si="12"/>
        <v>19371318.505621359</v>
      </c>
      <c r="N150" s="31">
        <v>6333.78</v>
      </c>
      <c r="P150" s="42" t="s">
        <v>459</v>
      </c>
      <c r="Q150" s="42" t="s">
        <v>460</v>
      </c>
      <c r="R150" s="43" t="s">
        <v>1050</v>
      </c>
      <c r="S150" s="44">
        <v>32</v>
      </c>
      <c r="T150" s="31">
        <v>15532556.206250394</v>
      </c>
      <c r="U150" s="31">
        <v>455215.99000000005</v>
      </c>
      <c r="V150" s="31">
        <v>29444.730000000003</v>
      </c>
      <c r="W150" s="31">
        <v>53526.669999999991</v>
      </c>
      <c r="X150" s="31">
        <v>2347409.3088964843</v>
      </c>
      <c r="Y150" s="31">
        <v>1154640.4871514339</v>
      </c>
      <c r="Z150" s="31">
        <v>1198835.1970170245</v>
      </c>
      <c r="AA150" s="31">
        <f t="shared" si="13"/>
        <v>20778118.089315336</v>
      </c>
      <c r="AB150" s="31">
        <v>6489.5</v>
      </c>
      <c r="AD150" s="42" t="s">
        <v>459</v>
      </c>
      <c r="AE150" s="42" t="s">
        <v>460</v>
      </c>
      <c r="AF150" s="43" t="s">
        <v>1275</v>
      </c>
      <c r="AG150" s="44">
        <v>32</v>
      </c>
      <c r="AH150" s="31">
        <v>15830726.500765352</v>
      </c>
      <c r="AI150" s="31">
        <v>464133.19999999995</v>
      </c>
      <c r="AJ150" s="31">
        <v>30020.720000000001</v>
      </c>
      <c r="AK150" s="31">
        <v>54573.729999999996</v>
      </c>
      <c r="AL150" s="31">
        <v>2390886.4313630494</v>
      </c>
      <c r="AM150" s="31">
        <v>1154307.9691887375</v>
      </c>
      <c r="AN150" s="31">
        <v>1221924.3436580808</v>
      </c>
      <c r="AO150" s="31">
        <f t="shared" si="14"/>
        <v>21153176.724975221</v>
      </c>
      <c r="AP150" s="31">
        <v>6603.83</v>
      </c>
      <c r="AR150" s="42" t="s">
        <v>459</v>
      </c>
      <c r="AS150" s="42" t="s">
        <v>460</v>
      </c>
      <c r="AT150" s="43" t="s">
        <v>1276</v>
      </c>
      <c r="AU150" s="44">
        <v>32</v>
      </c>
      <c r="AV150" s="31">
        <v>16121859.825949518</v>
      </c>
      <c r="AW150" s="31">
        <v>472606.86</v>
      </c>
      <c r="AX150" s="31">
        <v>30568.920000000002</v>
      </c>
      <c r="AY150" s="31">
        <v>55570.3</v>
      </c>
      <c r="AZ150" s="31">
        <v>2434907.6853076611</v>
      </c>
      <c r="BA150" s="31">
        <v>1154360.884549987</v>
      </c>
      <c r="BB150" s="31">
        <v>1244453.9232030122</v>
      </c>
      <c r="BC150" s="31">
        <f t="shared" si="15"/>
        <v>21521054.669010177</v>
      </c>
      <c r="BD150" s="31">
        <v>6726.2699999999995</v>
      </c>
    </row>
    <row r="151" spans="2:56">
      <c r="B151" s="42" t="s">
        <v>189</v>
      </c>
      <c r="C151" s="42" t="s">
        <v>190</v>
      </c>
      <c r="D151" s="43" t="s">
        <v>1049</v>
      </c>
      <c r="E151" s="44">
        <v>32</v>
      </c>
      <c r="F151" s="31">
        <v>35550269.369757548</v>
      </c>
      <c r="G151" s="31">
        <v>99369.8</v>
      </c>
      <c r="H151" s="31">
        <v>280945.52999999997</v>
      </c>
      <c r="I151" s="31">
        <v>129745.33</v>
      </c>
      <c r="J151" s="31">
        <v>4023710.8173615173</v>
      </c>
      <c r="K151" s="31">
        <v>1713918.2668713848</v>
      </c>
      <c r="L151" s="31">
        <v>3052215.7787711304</v>
      </c>
      <c r="M151" s="31">
        <f t="shared" si="12"/>
        <v>44850174.892761581</v>
      </c>
      <c r="N151" s="31">
        <v>0</v>
      </c>
      <c r="P151" s="42" t="s">
        <v>189</v>
      </c>
      <c r="Q151" s="42" t="s">
        <v>190</v>
      </c>
      <c r="R151" s="43" t="s">
        <v>1050</v>
      </c>
      <c r="S151" s="44">
        <v>32</v>
      </c>
      <c r="T151" s="31">
        <v>37787234.471518643</v>
      </c>
      <c r="U151" s="31">
        <v>105618.17</v>
      </c>
      <c r="V151" s="31">
        <v>291328.17</v>
      </c>
      <c r="W151" s="31">
        <v>137818.83000000002</v>
      </c>
      <c r="X151" s="31">
        <v>4149655.2102659331</v>
      </c>
      <c r="Y151" s="31">
        <v>1714634.5670768367</v>
      </c>
      <c r="Z151" s="31">
        <v>3158263.8394616502</v>
      </c>
      <c r="AA151" s="31">
        <f t="shared" si="13"/>
        <v>47344553.258323066</v>
      </c>
      <c r="AB151" s="31">
        <v>0</v>
      </c>
      <c r="AD151" s="42" t="s">
        <v>189</v>
      </c>
      <c r="AE151" s="42" t="s">
        <v>190</v>
      </c>
      <c r="AF151" s="43" t="s">
        <v>1275</v>
      </c>
      <c r="AG151" s="44">
        <v>32</v>
      </c>
      <c r="AH151" s="31">
        <v>37460828.281253472</v>
      </c>
      <c r="AI151" s="31">
        <v>105062.53</v>
      </c>
      <c r="AJ151" s="31">
        <v>297040.42</v>
      </c>
      <c r="AK151" s="31">
        <v>137058.82999999999</v>
      </c>
      <c r="AL151" s="31">
        <v>4224701.7034487855</v>
      </c>
      <c r="AM151" s="31">
        <v>1714363.8592348748</v>
      </c>
      <c r="AN151" s="31">
        <v>3219293.1928144302</v>
      </c>
      <c r="AO151" s="31">
        <f t="shared" si="14"/>
        <v>47158348.81675157</v>
      </c>
      <c r="AP151" s="31">
        <v>0</v>
      </c>
      <c r="AR151" s="42" t="s">
        <v>189</v>
      </c>
      <c r="AS151" s="42" t="s">
        <v>190</v>
      </c>
      <c r="AT151" s="43" t="s">
        <v>1276</v>
      </c>
      <c r="AU151" s="44">
        <v>32</v>
      </c>
      <c r="AV151" s="31">
        <v>36893121.895054415</v>
      </c>
      <c r="AW151" s="31">
        <v>103491.98</v>
      </c>
      <c r="AX151" s="31">
        <v>302571.15000000002</v>
      </c>
      <c r="AY151" s="31">
        <v>134989.52000000002</v>
      </c>
      <c r="AZ151" s="31">
        <v>4313736.9912695996</v>
      </c>
      <c r="BA151" s="31">
        <v>1714405.5231661974</v>
      </c>
      <c r="BB151" s="31">
        <v>3279515.9475176963</v>
      </c>
      <c r="BC151" s="31">
        <f t="shared" si="15"/>
        <v>46741833.007007897</v>
      </c>
      <c r="BD151" s="31">
        <v>0</v>
      </c>
    </row>
    <row r="152" spans="2:56">
      <c r="B152" s="42" t="s">
        <v>547</v>
      </c>
      <c r="C152" s="42" t="s">
        <v>548</v>
      </c>
      <c r="D152" s="43" t="s">
        <v>1049</v>
      </c>
      <c r="E152" s="44">
        <v>32</v>
      </c>
      <c r="F152" s="31">
        <v>15099250.123553924</v>
      </c>
      <c r="G152" s="31">
        <v>431748.79</v>
      </c>
      <c r="H152" s="31">
        <v>298058.50999999995</v>
      </c>
      <c r="I152" s="31">
        <v>51403.549999999996</v>
      </c>
      <c r="J152" s="31">
        <v>1877838.7227489632</v>
      </c>
      <c r="K152" s="31">
        <v>1004557.9005241829</v>
      </c>
      <c r="L152" s="31">
        <v>571186.91942863446</v>
      </c>
      <c r="M152" s="31">
        <f t="shared" si="12"/>
        <v>19334044.516255707</v>
      </c>
      <c r="N152" s="31">
        <v>0</v>
      </c>
      <c r="P152" s="42" t="s">
        <v>547</v>
      </c>
      <c r="Q152" s="42" t="s">
        <v>548</v>
      </c>
      <c r="R152" s="43" t="s">
        <v>1050</v>
      </c>
      <c r="S152" s="44">
        <v>32</v>
      </c>
      <c r="T152" s="31">
        <v>15929382.909526173</v>
      </c>
      <c r="U152" s="31">
        <v>454701.74000000005</v>
      </c>
      <c r="V152" s="31">
        <v>309346.27</v>
      </c>
      <c r="W152" s="31">
        <v>54202.139999999992</v>
      </c>
      <c r="X152" s="31">
        <v>1942862.022750488</v>
      </c>
      <c r="Y152" s="31">
        <v>1004898.5479307782</v>
      </c>
      <c r="Z152" s="31">
        <v>591356.62395993201</v>
      </c>
      <c r="AA152" s="31">
        <f t="shared" si="13"/>
        <v>20286750.25416737</v>
      </c>
      <c r="AB152" s="31">
        <v>0</v>
      </c>
      <c r="AD152" s="42" t="s">
        <v>547</v>
      </c>
      <c r="AE152" s="42" t="s">
        <v>548</v>
      </c>
      <c r="AF152" s="43" t="s">
        <v>1275</v>
      </c>
      <c r="AG152" s="44">
        <v>32</v>
      </c>
      <c r="AH152" s="31">
        <v>16133733.672789436</v>
      </c>
      <c r="AI152" s="31">
        <v>461215.4</v>
      </c>
      <c r="AJ152" s="31">
        <v>315402.72000000003</v>
      </c>
      <c r="AK152" s="31">
        <v>54937.609999999993</v>
      </c>
      <c r="AL152" s="31">
        <v>1977099.6520795571</v>
      </c>
      <c r="AM152" s="31">
        <v>1004778.3086973602</v>
      </c>
      <c r="AN152" s="31">
        <v>602759.56007192226</v>
      </c>
      <c r="AO152" s="31">
        <f t="shared" si="14"/>
        <v>20549926.923638277</v>
      </c>
      <c r="AP152" s="31">
        <v>0</v>
      </c>
      <c r="AR152" s="42" t="s">
        <v>547</v>
      </c>
      <c r="AS152" s="42" t="s">
        <v>548</v>
      </c>
      <c r="AT152" s="43" t="s">
        <v>1276</v>
      </c>
      <c r="AU152" s="44">
        <v>32</v>
      </c>
      <c r="AV152" s="31">
        <v>16495735.575127244</v>
      </c>
      <c r="AW152" s="31">
        <v>471025.09</v>
      </c>
      <c r="AX152" s="31">
        <v>321203.72000000003</v>
      </c>
      <c r="AY152" s="31">
        <v>56169.18</v>
      </c>
      <c r="AZ152" s="31">
        <v>2015588.2653045319</v>
      </c>
      <c r="BA152" s="31">
        <v>1004797.2096463181</v>
      </c>
      <c r="BB152" s="31">
        <v>613931.4763702238</v>
      </c>
      <c r="BC152" s="31">
        <f t="shared" si="15"/>
        <v>20978450.516448315</v>
      </c>
      <c r="BD152" s="31">
        <v>0</v>
      </c>
    </row>
    <row r="153" spans="2:56">
      <c r="B153" s="42" t="s">
        <v>337</v>
      </c>
      <c r="C153" s="42" t="s">
        <v>338</v>
      </c>
      <c r="D153" s="43" t="s">
        <v>1049</v>
      </c>
      <c r="E153" s="44">
        <v>32</v>
      </c>
      <c r="F153" s="31">
        <v>6157014.5915527493</v>
      </c>
      <c r="G153" s="31">
        <v>175689.22999999998</v>
      </c>
      <c r="H153" s="31">
        <v>36541.030000000006</v>
      </c>
      <c r="I153" s="31">
        <v>20073.189999999999</v>
      </c>
      <c r="J153" s="31">
        <v>759823.98901455023</v>
      </c>
      <c r="K153" s="31">
        <v>625921.68649680004</v>
      </c>
      <c r="L153" s="31">
        <v>347571.48274217802</v>
      </c>
      <c r="M153" s="31">
        <f t="shared" si="12"/>
        <v>8134620.6498062788</v>
      </c>
      <c r="N153" s="31">
        <v>11985.449999999999</v>
      </c>
      <c r="P153" s="42" t="s">
        <v>337</v>
      </c>
      <c r="Q153" s="42" t="s">
        <v>338</v>
      </c>
      <c r="R153" s="43" t="s">
        <v>1050</v>
      </c>
      <c r="S153" s="44">
        <v>32</v>
      </c>
      <c r="T153" s="31">
        <v>5787750.9837264502</v>
      </c>
      <c r="U153" s="31">
        <v>167019.07</v>
      </c>
      <c r="V153" s="31">
        <v>37944.240000000005</v>
      </c>
      <c r="W153" s="31">
        <v>19123.91</v>
      </c>
      <c r="X153" s="31">
        <v>770982.64888079476</v>
      </c>
      <c r="Y153" s="31">
        <v>626752.89835869835</v>
      </c>
      <c r="Z153" s="31">
        <v>359955.93229920312</v>
      </c>
      <c r="AA153" s="31">
        <f t="shared" si="13"/>
        <v>7781809.7732651467</v>
      </c>
      <c r="AB153" s="31">
        <v>12280.089999999998</v>
      </c>
      <c r="AD153" s="42" t="s">
        <v>337</v>
      </c>
      <c r="AE153" s="42" t="s">
        <v>338</v>
      </c>
      <c r="AF153" s="43" t="s">
        <v>1275</v>
      </c>
      <c r="AG153" s="44">
        <v>32</v>
      </c>
      <c r="AH153" s="31">
        <v>5885140.6329058856</v>
      </c>
      <c r="AI153" s="31">
        <v>170310.03999999998</v>
      </c>
      <c r="AJ153" s="31">
        <v>38686.479999999996</v>
      </c>
      <c r="AK153" s="31">
        <v>19498</v>
      </c>
      <c r="AL153" s="31">
        <v>783428.03285676125</v>
      </c>
      <c r="AM153" s="31">
        <v>626470.51144782966</v>
      </c>
      <c r="AN153" s="31">
        <v>366888.45806377038</v>
      </c>
      <c r="AO153" s="31">
        <f t="shared" si="14"/>
        <v>7902918.6052742479</v>
      </c>
      <c r="AP153" s="31">
        <v>12496.45</v>
      </c>
      <c r="AR153" s="42" t="s">
        <v>337</v>
      </c>
      <c r="AS153" s="42" t="s">
        <v>338</v>
      </c>
      <c r="AT153" s="43" t="s">
        <v>1276</v>
      </c>
      <c r="AU153" s="44">
        <v>32</v>
      </c>
      <c r="AV153" s="31">
        <v>5974166.6793836718</v>
      </c>
      <c r="AW153" s="31">
        <v>173416.55000000002</v>
      </c>
      <c r="AX153" s="31">
        <v>39392.939999999995</v>
      </c>
      <c r="AY153" s="31">
        <v>19854.039999999997</v>
      </c>
      <c r="AZ153" s="31">
        <v>796475.92561182461</v>
      </c>
      <c r="BA153" s="31">
        <v>626515.44918677059</v>
      </c>
      <c r="BB153" s="31">
        <v>373652.94099414186</v>
      </c>
      <c r="BC153" s="31">
        <f t="shared" si="15"/>
        <v>8016202.6851764088</v>
      </c>
      <c r="BD153" s="31">
        <v>12728.16</v>
      </c>
    </row>
    <row r="154" spans="2:56">
      <c r="B154" s="42" t="s">
        <v>419</v>
      </c>
      <c r="C154" s="42" t="s">
        <v>420</v>
      </c>
      <c r="D154" s="43" t="s">
        <v>1049</v>
      </c>
      <c r="E154" s="44">
        <v>32</v>
      </c>
      <c r="F154" s="31">
        <v>1844099.5345432186</v>
      </c>
      <c r="G154" s="31">
        <v>8282.64</v>
      </c>
      <c r="H154" s="31">
        <v>0</v>
      </c>
      <c r="I154" s="31">
        <v>0</v>
      </c>
      <c r="J154" s="31">
        <v>31456.565223040318</v>
      </c>
      <c r="K154" s="31">
        <v>97432.8</v>
      </c>
      <c r="L154" s="31">
        <v>0</v>
      </c>
      <c r="M154" s="31">
        <f t="shared" si="12"/>
        <v>1991015.8097662588</v>
      </c>
      <c r="N154" s="31">
        <v>9744.27</v>
      </c>
      <c r="P154" s="42" t="s">
        <v>419</v>
      </c>
      <c r="Q154" s="42" t="s">
        <v>420</v>
      </c>
      <c r="R154" s="43" t="s">
        <v>1050</v>
      </c>
      <c r="S154" s="44">
        <v>32</v>
      </c>
      <c r="T154" s="31">
        <v>1982790.1239053516</v>
      </c>
      <c r="U154" s="31">
        <v>21686.98</v>
      </c>
      <c r="V154" s="31">
        <v>0</v>
      </c>
      <c r="W154" s="31">
        <v>0</v>
      </c>
      <c r="X154" s="31">
        <v>31590.392468737446</v>
      </c>
      <c r="Y154" s="31">
        <v>97432.8</v>
      </c>
      <c r="Z154" s="31">
        <v>0</v>
      </c>
      <c r="AA154" s="31">
        <f t="shared" si="13"/>
        <v>2143484.1163740889</v>
      </c>
      <c r="AB154" s="31">
        <v>9983.82</v>
      </c>
      <c r="AD154" s="42" t="s">
        <v>419</v>
      </c>
      <c r="AE154" s="42" t="s">
        <v>420</v>
      </c>
      <c r="AF154" s="43" t="s">
        <v>1275</v>
      </c>
      <c r="AG154" s="44">
        <v>32</v>
      </c>
      <c r="AH154" s="31">
        <v>2024520.1267158338</v>
      </c>
      <c r="AI154" s="31">
        <v>23471.729999999996</v>
      </c>
      <c r="AJ154" s="31">
        <v>0</v>
      </c>
      <c r="AK154" s="31">
        <v>0</v>
      </c>
      <c r="AL154" s="31">
        <v>31922.799854897148</v>
      </c>
      <c r="AM154" s="31">
        <v>97432.8</v>
      </c>
      <c r="AN154" s="31">
        <v>0</v>
      </c>
      <c r="AO154" s="31">
        <f t="shared" si="14"/>
        <v>2187507.1765707312</v>
      </c>
      <c r="AP154" s="31">
        <v>10159.719999999999</v>
      </c>
      <c r="AR154" s="42" t="s">
        <v>419</v>
      </c>
      <c r="AS154" s="42" t="s">
        <v>420</v>
      </c>
      <c r="AT154" s="43" t="s">
        <v>1276</v>
      </c>
      <c r="AU154" s="44">
        <v>32</v>
      </c>
      <c r="AV154" s="31">
        <v>2063107.608507392</v>
      </c>
      <c r="AW154" s="31">
        <v>24527.760000000002</v>
      </c>
      <c r="AX154" s="31">
        <v>0</v>
      </c>
      <c r="AY154" s="31">
        <v>0</v>
      </c>
      <c r="AZ154" s="31">
        <v>32587.062474824554</v>
      </c>
      <c r="BA154" s="31">
        <v>97432.8</v>
      </c>
      <c r="BB154" s="31">
        <v>0</v>
      </c>
      <c r="BC154" s="31">
        <f t="shared" si="15"/>
        <v>2228003.3409822164</v>
      </c>
      <c r="BD154" s="31">
        <v>10348.11</v>
      </c>
    </row>
    <row r="155" spans="2:56">
      <c r="B155" s="42" t="s">
        <v>437</v>
      </c>
      <c r="C155" s="42" t="s">
        <v>438</v>
      </c>
      <c r="D155" s="43" t="s">
        <v>1049</v>
      </c>
      <c r="E155" s="44">
        <v>32</v>
      </c>
      <c r="F155" s="31">
        <v>51326406.287598133</v>
      </c>
      <c r="G155" s="31">
        <v>1305696.58</v>
      </c>
      <c r="H155" s="31">
        <v>1196276.8800000001</v>
      </c>
      <c r="I155" s="31">
        <v>188350.95</v>
      </c>
      <c r="J155" s="31">
        <v>7266986.8934142021</v>
      </c>
      <c r="K155" s="31">
        <v>3185444.8858588627</v>
      </c>
      <c r="L155" s="31">
        <v>4599506.8704378568</v>
      </c>
      <c r="M155" s="31">
        <f t="shared" si="12"/>
        <v>69265715.14730905</v>
      </c>
      <c r="N155" s="31">
        <v>197045.79999999996</v>
      </c>
      <c r="P155" s="42" t="s">
        <v>437</v>
      </c>
      <c r="Q155" s="42" t="s">
        <v>438</v>
      </c>
      <c r="R155" s="43" t="s">
        <v>1050</v>
      </c>
      <c r="S155" s="44">
        <v>32</v>
      </c>
      <c r="T155" s="31">
        <v>53303174.443245262</v>
      </c>
      <c r="U155" s="31">
        <v>1364261.8200000003</v>
      </c>
      <c r="V155" s="31">
        <v>1240486.5900000001</v>
      </c>
      <c r="W155" s="31">
        <v>196365.5</v>
      </c>
      <c r="X155" s="31">
        <v>7474766.3723975206</v>
      </c>
      <c r="Y155" s="31">
        <v>3186260.4706873298</v>
      </c>
      <c r="Z155" s="31">
        <v>4759314.3608200103</v>
      </c>
      <c r="AA155" s="31">
        <f t="shared" si="13"/>
        <v>71726607.92715013</v>
      </c>
      <c r="AB155" s="31">
        <v>201978.37</v>
      </c>
      <c r="AD155" s="42" t="s">
        <v>437</v>
      </c>
      <c r="AE155" s="42" t="s">
        <v>438</v>
      </c>
      <c r="AF155" s="43" t="s">
        <v>1275</v>
      </c>
      <c r="AG155" s="44">
        <v>32</v>
      </c>
      <c r="AH155" s="31">
        <v>54325665.224812157</v>
      </c>
      <c r="AI155" s="31">
        <v>1391350.11</v>
      </c>
      <c r="AJ155" s="31">
        <v>1264809.55</v>
      </c>
      <c r="AK155" s="31">
        <v>200215.75000000003</v>
      </c>
      <c r="AL155" s="31">
        <v>7614371.3541545961</v>
      </c>
      <c r="AM155" s="31">
        <v>3185952.240692181</v>
      </c>
      <c r="AN155" s="31">
        <v>4851281.9210450966</v>
      </c>
      <c r="AO155" s="31">
        <f t="shared" si="14"/>
        <v>73039246.430704027</v>
      </c>
      <c r="AP155" s="31">
        <v>205600.27999999997</v>
      </c>
      <c r="AR155" s="42" t="s">
        <v>437</v>
      </c>
      <c r="AS155" s="42" t="s">
        <v>438</v>
      </c>
      <c r="AT155" s="43" t="s">
        <v>1276</v>
      </c>
      <c r="AU155" s="44">
        <v>32</v>
      </c>
      <c r="AV155" s="31">
        <v>55338603.666138954</v>
      </c>
      <c r="AW155" s="31">
        <v>1417205.4000000001</v>
      </c>
      <c r="AX155" s="31">
        <v>1288359.6399999999</v>
      </c>
      <c r="AY155" s="31">
        <v>203943.66</v>
      </c>
      <c r="AZ155" s="31">
        <v>7756752.3380751712</v>
      </c>
      <c r="BA155" s="31">
        <v>3185999.6795593244</v>
      </c>
      <c r="BB155" s="31">
        <v>4942034.1115565626</v>
      </c>
      <c r="BC155" s="31">
        <f t="shared" si="15"/>
        <v>74342377.855330005</v>
      </c>
      <c r="BD155" s="31">
        <v>209479.35999999996</v>
      </c>
    </row>
    <row r="156" spans="2:56">
      <c r="B156" s="42" t="s">
        <v>149</v>
      </c>
      <c r="C156" s="42" t="s">
        <v>150</v>
      </c>
      <c r="D156" s="43" t="s">
        <v>1049</v>
      </c>
      <c r="E156" s="44">
        <v>32</v>
      </c>
      <c r="F156" s="31">
        <v>10514465.054648466</v>
      </c>
      <c r="G156" s="31">
        <v>319090.32</v>
      </c>
      <c r="H156" s="31">
        <v>42168.749999999993</v>
      </c>
      <c r="I156" s="31">
        <v>39344.04</v>
      </c>
      <c r="J156" s="31">
        <v>1869143.542256271</v>
      </c>
      <c r="K156" s="31">
        <v>597041.3099596122</v>
      </c>
      <c r="L156" s="31">
        <v>1525886.8133305199</v>
      </c>
      <c r="M156" s="31">
        <f t="shared" si="12"/>
        <v>14907139.83019487</v>
      </c>
      <c r="N156" s="31">
        <v>0</v>
      </c>
      <c r="P156" s="42" t="s">
        <v>149</v>
      </c>
      <c r="Q156" s="42" t="s">
        <v>150</v>
      </c>
      <c r="R156" s="43" t="s">
        <v>1050</v>
      </c>
      <c r="S156" s="44">
        <v>32</v>
      </c>
      <c r="T156" s="31">
        <v>11085524.563617995</v>
      </c>
      <c r="U156" s="31">
        <v>335313.11000000004</v>
      </c>
      <c r="V156" s="31">
        <v>43772.92</v>
      </c>
      <c r="W156" s="31">
        <v>41364.369999999995</v>
      </c>
      <c r="X156" s="31">
        <v>1935630.1435423377</v>
      </c>
      <c r="Y156" s="31">
        <v>597684.59308047674</v>
      </c>
      <c r="Z156" s="31">
        <v>1580007.9696120473</v>
      </c>
      <c r="AA156" s="31">
        <f t="shared" si="13"/>
        <v>15619297.669852855</v>
      </c>
      <c r="AB156" s="31">
        <v>0</v>
      </c>
      <c r="AD156" s="42" t="s">
        <v>149</v>
      </c>
      <c r="AE156" s="42" t="s">
        <v>150</v>
      </c>
      <c r="AF156" s="43" t="s">
        <v>1275</v>
      </c>
      <c r="AG156" s="44">
        <v>32</v>
      </c>
      <c r="AH156" s="31">
        <v>11298623.081354482</v>
      </c>
      <c r="AI156" s="31">
        <v>341876.12</v>
      </c>
      <c r="AJ156" s="31">
        <v>44629.67</v>
      </c>
      <c r="AK156" s="31">
        <v>42173.97</v>
      </c>
      <c r="AL156" s="31">
        <v>1971541.2828008446</v>
      </c>
      <c r="AM156" s="31">
        <v>597466.0510436726</v>
      </c>
      <c r="AN156" s="31">
        <v>1610459.4248373583</v>
      </c>
      <c r="AO156" s="31">
        <f t="shared" si="14"/>
        <v>15906769.600036357</v>
      </c>
      <c r="AP156" s="31">
        <v>0</v>
      </c>
      <c r="AR156" s="42" t="s">
        <v>149</v>
      </c>
      <c r="AS156" s="42" t="s">
        <v>150</v>
      </c>
      <c r="AT156" s="43" t="s">
        <v>1276</v>
      </c>
      <c r="AU156" s="44">
        <v>32</v>
      </c>
      <c r="AV156" s="31">
        <v>11507022.949787116</v>
      </c>
      <c r="AW156" s="31">
        <v>348149.54</v>
      </c>
      <c r="AX156" s="31">
        <v>45448.62</v>
      </c>
      <c r="AY156" s="31">
        <v>42947.869999999995</v>
      </c>
      <c r="AZ156" s="31">
        <v>2007952.9321097769</v>
      </c>
      <c r="BA156" s="31">
        <v>597500.82880644966</v>
      </c>
      <c r="BB156" s="31">
        <v>1640235.1265818267</v>
      </c>
      <c r="BC156" s="31">
        <f t="shared" si="15"/>
        <v>16189257.867285168</v>
      </c>
      <c r="BD156" s="31">
        <v>0</v>
      </c>
    </row>
    <row r="157" spans="2:56">
      <c r="B157" s="42" t="s">
        <v>277</v>
      </c>
      <c r="C157" s="42" t="s">
        <v>278</v>
      </c>
      <c r="D157" s="43" t="s">
        <v>1049</v>
      </c>
      <c r="E157" s="44">
        <v>32</v>
      </c>
      <c r="F157" s="31">
        <v>3341744.4737876356</v>
      </c>
      <c r="G157" s="31">
        <v>140025.21000000002</v>
      </c>
      <c r="H157" s="31">
        <v>0</v>
      </c>
      <c r="I157" s="31">
        <v>10718.71</v>
      </c>
      <c r="J157" s="31">
        <v>435725.09957905917</v>
      </c>
      <c r="K157" s="31">
        <v>254336.19515466917</v>
      </c>
      <c r="L157" s="31">
        <v>730697.93245293933</v>
      </c>
      <c r="M157" s="31">
        <f t="shared" si="12"/>
        <v>5024137.4409743035</v>
      </c>
      <c r="N157" s="31">
        <v>110889.81999999999</v>
      </c>
      <c r="P157" s="42" t="s">
        <v>277</v>
      </c>
      <c r="Q157" s="42" t="s">
        <v>278</v>
      </c>
      <c r="R157" s="43" t="s">
        <v>1050</v>
      </c>
      <c r="S157" s="44">
        <v>32</v>
      </c>
      <c r="T157" s="31">
        <v>2867997.40622237</v>
      </c>
      <c r="U157" s="31">
        <v>120322.96999999999</v>
      </c>
      <c r="V157" s="31">
        <v>0</v>
      </c>
      <c r="W157" s="31">
        <v>9106.619999999999</v>
      </c>
      <c r="X157" s="31">
        <v>444727.83020798716</v>
      </c>
      <c r="Y157" s="31">
        <v>254490.69333104609</v>
      </c>
      <c r="Z157" s="31">
        <v>764093.36006084958</v>
      </c>
      <c r="AA157" s="31">
        <f t="shared" si="13"/>
        <v>4574354.7798222536</v>
      </c>
      <c r="AB157" s="31">
        <v>113615.90000000001</v>
      </c>
      <c r="AD157" s="42" t="s">
        <v>277</v>
      </c>
      <c r="AE157" s="42" t="s">
        <v>278</v>
      </c>
      <c r="AF157" s="43" t="s">
        <v>1275</v>
      </c>
      <c r="AG157" s="44">
        <v>32</v>
      </c>
      <c r="AH157" s="31">
        <v>2973420.993180661</v>
      </c>
      <c r="AI157" s="31">
        <v>124032.18000000001</v>
      </c>
      <c r="AJ157" s="31">
        <v>0</v>
      </c>
      <c r="AK157" s="31">
        <v>9284.75</v>
      </c>
      <c r="AL157" s="31">
        <v>454475.1821751399</v>
      </c>
      <c r="AM157" s="31">
        <v>254438.20579476104</v>
      </c>
      <c r="AN157" s="31">
        <v>778810.97267354338</v>
      </c>
      <c r="AO157" s="31">
        <f t="shared" si="14"/>
        <v>4710079.9138241056</v>
      </c>
      <c r="AP157" s="31">
        <v>115617.62999999999</v>
      </c>
      <c r="AR157" s="42" t="s">
        <v>277</v>
      </c>
      <c r="AS157" s="42" t="s">
        <v>278</v>
      </c>
      <c r="AT157" s="43" t="s">
        <v>1276</v>
      </c>
      <c r="AU157" s="44">
        <v>32</v>
      </c>
      <c r="AV157" s="31">
        <v>3088365.7692105593</v>
      </c>
      <c r="AW157" s="31">
        <v>127420.09</v>
      </c>
      <c r="AX157" s="31">
        <v>0</v>
      </c>
      <c r="AY157" s="31">
        <v>9559.3499999999985</v>
      </c>
      <c r="AZ157" s="31">
        <v>463672.20285010379</v>
      </c>
      <c r="BA157" s="31">
        <v>254446.55841704083</v>
      </c>
      <c r="BB157" s="31">
        <v>793168.42731373827</v>
      </c>
      <c r="BC157" s="31">
        <f t="shared" si="15"/>
        <v>4854393.8677914422</v>
      </c>
      <c r="BD157" s="31">
        <v>117761.47</v>
      </c>
    </row>
    <row r="158" spans="2:56">
      <c r="B158" s="42" t="s">
        <v>133</v>
      </c>
      <c r="C158" s="42" t="s">
        <v>134</v>
      </c>
      <c r="D158" s="43" t="s">
        <v>1049</v>
      </c>
      <c r="E158" s="44">
        <v>32</v>
      </c>
      <c r="F158" s="31">
        <v>69232191.206650376</v>
      </c>
      <c r="G158" s="31">
        <v>3448051.8400000008</v>
      </c>
      <c r="H158" s="31">
        <v>1891238.13</v>
      </c>
      <c r="I158" s="31">
        <v>243025.16</v>
      </c>
      <c r="J158" s="31">
        <v>11155260.835700126</v>
      </c>
      <c r="K158" s="31">
        <v>4264990.2661867626</v>
      </c>
      <c r="L158" s="31">
        <v>6286754.6413683398</v>
      </c>
      <c r="M158" s="31">
        <f t="shared" si="12"/>
        <v>98767855.459905595</v>
      </c>
      <c r="N158" s="31">
        <v>2246343.38</v>
      </c>
      <c r="P158" s="42" t="s">
        <v>133</v>
      </c>
      <c r="Q158" s="42" t="s">
        <v>134</v>
      </c>
      <c r="R158" s="43" t="s">
        <v>1050</v>
      </c>
      <c r="S158" s="44">
        <v>32</v>
      </c>
      <c r="T158" s="31">
        <v>73957747.208549559</v>
      </c>
      <c r="U158" s="31">
        <v>3688748.3200000008</v>
      </c>
      <c r="V158" s="31">
        <v>1946614.9599999997</v>
      </c>
      <c r="W158" s="31">
        <v>257928.80999999997</v>
      </c>
      <c r="X158" s="31">
        <v>11367535.349338671</v>
      </c>
      <c r="Y158" s="31">
        <v>4269434.0976070976</v>
      </c>
      <c r="Z158" s="31">
        <v>6524895.3283468932</v>
      </c>
      <c r="AA158" s="31">
        <f t="shared" si="13"/>
        <v>104295041.73384221</v>
      </c>
      <c r="AB158" s="31">
        <v>2282137.6599999997</v>
      </c>
      <c r="AD158" s="42" t="s">
        <v>133</v>
      </c>
      <c r="AE158" s="42" t="s">
        <v>134</v>
      </c>
      <c r="AF158" s="43" t="s">
        <v>1275</v>
      </c>
      <c r="AG158" s="44">
        <v>32</v>
      </c>
      <c r="AH158" s="31">
        <v>75404146.926611423</v>
      </c>
      <c r="AI158" s="31">
        <v>3771714.1900000009</v>
      </c>
      <c r="AJ158" s="31">
        <v>1984710.1500000001</v>
      </c>
      <c r="AK158" s="31">
        <v>263399.96000000002</v>
      </c>
      <c r="AL158" s="31">
        <v>11562050.354386032</v>
      </c>
      <c r="AM158" s="31">
        <v>4267890.8177847378</v>
      </c>
      <c r="AN158" s="31">
        <v>6650706.8697165996</v>
      </c>
      <c r="AO158" s="31">
        <f t="shared" si="14"/>
        <v>106227099.1684988</v>
      </c>
      <c r="AP158" s="31">
        <v>2322479.9</v>
      </c>
      <c r="AR158" s="42" t="s">
        <v>133</v>
      </c>
      <c r="AS158" s="42" t="s">
        <v>134</v>
      </c>
      <c r="AT158" s="43" t="s">
        <v>1276</v>
      </c>
      <c r="AU158" s="44">
        <v>32</v>
      </c>
      <c r="AV158" s="31">
        <v>77088048.069187149</v>
      </c>
      <c r="AW158" s="31">
        <v>3849044.2500000005</v>
      </c>
      <c r="AX158" s="31">
        <v>2021086.55</v>
      </c>
      <c r="AY158" s="31">
        <v>268874.48</v>
      </c>
      <c r="AZ158" s="31">
        <v>11790787.34494474</v>
      </c>
      <c r="BA158" s="31">
        <v>4268134.8667167975</v>
      </c>
      <c r="BB158" s="31">
        <v>6773591.9277304346</v>
      </c>
      <c r="BC158" s="31">
        <f t="shared" si="15"/>
        <v>108425253.92857914</v>
      </c>
      <c r="BD158" s="31">
        <v>2365686.44</v>
      </c>
    </row>
    <row r="159" spans="2:56">
      <c r="B159" s="42" t="s">
        <v>275</v>
      </c>
      <c r="C159" s="42" t="s">
        <v>276</v>
      </c>
      <c r="D159" s="43" t="s">
        <v>1049</v>
      </c>
      <c r="E159" s="44">
        <v>32</v>
      </c>
      <c r="F159" s="31">
        <v>5039134.5883529764</v>
      </c>
      <c r="G159" s="31">
        <v>233667.65999999997</v>
      </c>
      <c r="H159" s="31">
        <v>88478.000000000015</v>
      </c>
      <c r="I159" s="31">
        <v>16175.490000000002</v>
      </c>
      <c r="J159" s="31">
        <v>701295.64029573591</v>
      </c>
      <c r="K159" s="31">
        <v>400505.78742226813</v>
      </c>
      <c r="L159" s="31">
        <v>433914.95655061537</v>
      </c>
      <c r="M159" s="31">
        <f t="shared" si="12"/>
        <v>7079799.2026215959</v>
      </c>
      <c r="N159" s="31">
        <v>166627.08000000002</v>
      </c>
      <c r="P159" s="42" t="s">
        <v>275</v>
      </c>
      <c r="Q159" s="42" t="s">
        <v>276</v>
      </c>
      <c r="R159" s="43" t="s">
        <v>1050</v>
      </c>
      <c r="S159" s="44">
        <v>32</v>
      </c>
      <c r="T159" s="31">
        <v>4814033.2645083982</v>
      </c>
      <c r="U159" s="31">
        <v>225009.70000000007</v>
      </c>
      <c r="V159" s="31">
        <v>91875.639999999985</v>
      </c>
      <c r="W159" s="31">
        <v>15380.06</v>
      </c>
      <c r="X159" s="31">
        <v>722046.35138369084</v>
      </c>
      <c r="Y159" s="31">
        <v>400812.06301379553</v>
      </c>
      <c r="Z159" s="31">
        <v>453603.23857029824</v>
      </c>
      <c r="AA159" s="31">
        <f t="shared" si="13"/>
        <v>6893483.6974761821</v>
      </c>
      <c r="AB159" s="31">
        <v>170723.38</v>
      </c>
      <c r="AD159" s="42" t="s">
        <v>275</v>
      </c>
      <c r="AE159" s="42" t="s">
        <v>276</v>
      </c>
      <c r="AF159" s="43" t="s">
        <v>1275</v>
      </c>
      <c r="AG159" s="44">
        <v>32</v>
      </c>
      <c r="AH159" s="31">
        <v>4917926.6089712447</v>
      </c>
      <c r="AI159" s="31">
        <v>230980.86999999997</v>
      </c>
      <c r="AJ159" s="31">
        <v>93672.87</v>
      </c>
      <c r="AK159" s="31">
        <v>15784.09</v>
      </c>
      <c r="AL159" s="31">
        <v>735696.99887741101</v>
      </c>
      <c r="AM159" s="31">
        <v>400708.01226316212</v>
      </c>
      <c r="AN159" s="31">
        <v>462340.40079237055</v>
      </c>
      <c r="AO159" s="31">
        <f t="shared" si="14"/>
        <v>7030841.0909041883</v>
      </c>
      <c r="AP159" s="31">
        <v>173731.24000000002</v>
      </c>
      <c r="AR159" s="42" t="s">
        <v>275</v>
      </c>
      <c r="AS159" s="42" t="s">
        <v>276</v>
      </c>
      <c r="AT159" s="43" t="s">
        <v>1276</v>
      </c>
      <c r="AU159" s="44">
        <v>32</v>
      </c>
      <c r="AV159" s="31">
        <v>5057447.4361878671</v>
      </c>
      <c r="AW159" s="31">
        <v>236935.68000000002</v>
      </c>
      <c r="AX159" s="31">
        <v>95383.41</v>
      </c>
      <c r="AY159" s="31">
        <v>16177.370000000003</v>
      </c>
      <c r="AZ159" s="31">
        <v>750291.76452238997</v>
      </c>
      <c r="BA159" s="31">
        <v>400724.57041542977</v>
      </c>
      <c r="BB159" s="31">
        <v>470863.75569873</v>
      </c>
      <c r="BC159" s="31">
        <f t="shared" si="15"/>
        <v>7204776.6468244167</v>
      </c>
      <c r="BD159" s="31">
        <v>176952.66</v>
      </c>
    </row>
    <row r="160" spans="2:56">
      <c r="B160" s="42" t="s">
        <v>609</v>
      </c>
      <c r="C160" s="42" t="s">
        <v>610</v>
      </c>
      <c r="D160" s="43" t="s">
        <v>1049</v>
      </c>
      <c r="E160" s="44">
        <v>32</v>
      </c>
      <c r="F160" s="31">
        <v>6996307.0938488375</v>
      </c>
      <c r="G160" s="31">
        <v>510405.02000000014</v>
      </c>
      <c r="H160" s="31">
        <v>193326.38000000003</v>
      </c>
      <c r="I160" s="31">
        <v>23093.929999999997</v>
      </c>
      <c r="J160" s="31">
        <v>1034088.0899749969</v>
      </c>
      <c r="K160" s="31">
        <v>762266.82274795126</v>
      </c>
      <c r="L160" s="31">
        <v>223027.36280289176</v>
      </c>
      <c r="M160" s="31">
        <f t="shared" si="12"/>
        <v>9976279.8193746768</v>
      </c>
      <c r="N160" s="31">
        <v>233765.11999999997</v>
      </c>
      <c r="P160" s="42" t="s">
        <v>609</v>
      </c>
      <c r="Q160" s="42" t="s">
        <v>610</v>
      </c>
      <c r="R160" s="43" t="s">
        <v>1050</v>
      </c>
      <c r="S160" s="44">
        <v>32</v>
      </c>
      <c r="T160" s="31">
        <v>7620830.8538967157</v>
      </c>
      <c r="U160" s="31">
        <v>552257.79999999981</v>
      </c>
      <c r="V160" s="31">
        <v>200750.32000000004</v>
      </c>
      <c r="W160" s="31">
        <v>24790.240000000005</v>
      </c>
      <c r="X160" s="31">
        <v>1070539.0448353102</v>
      </c>
      <c r="Y160" s="31">
        <v>762996.07866982499</v>
      </c>
      <c r="Z160" s="31">
        <v>233177.6847946897</v>
      </c>
      <c r="AA160" s="31">
        <f t="shared" si="13"/>
        <v>10704853.942196542</v>
      </c>
      <c r="AB160" s="31">
        <v>239511.91999999998</v>
      </c>
      <c r="AD160" s="42" t="s">
        <v>609</v>
      </c>
      <c r="AE160" s="42" t="s">
        <v>610</v>
      </c>
      <c r="AF160" s="43" t="s">
        <v>1275</v>
      </c>
      <c r="AG160" s="44">
        <v>32</v>
      </c>
      <c r="AH160" s="31">
        <v>7758758.4625032349</v>
      </c>
      <c r="AI160" s="31">
        <v>562288.08999999985</v>
      </c>
      <c r="AJ160" s="31">
        <v>204677.23</v>
      </c>
      <c r="AK160" s="31">
        <v>25275.170000000006</v>
      </c>
      <c r="AL160" s="31">
        <v>1090509.2372334779</v>
      </c>
      <c r="AM160" s="31">
        <v>762748.32916521572</v>
      </c>
      <c r="AN160" s="31">
        <v>237668.9483604171</v>
      </c>
      <c r="AO160" s="31">
        <f t="shared" si="14"/>
        <v>10885657.187262347</v>
      </c>
      <c r="AP160" s="31">
        <v>243731.71999999997</v>
      </c>
      <c r="AR160" s="42" t="s">
        <v>609</v>
      </c>
      <c r="AS160" s="42" t="s">
        <v>610</v>
      </c>
      <c r="AT160" s="43" t="s">
        <v>1276</v>
      </c>
      <c r="AU160" s="44">
        <v>32</v>
      </c>
      <c r="AV160" s="31">
        <v>7797137.239805934</v>
      </c>
      <c r="AW160" s="31">
        <v>563768.38</v>
      </c>
      <c r="AX160" s="31">
        <v>208414.83000000002</v>
      </c>
      <c r="AY160" s="31">
        <v>25316.51</v>
      </c>
      <c r="AZ160" s="31">
        <v>1110563.8984283519</v>
      </c>
      <c r="BA160" s="31">
        <v>762787.75486850564</v>
      </c>
      <c r="BB160" s="31">
        <v>242050.27346555112</v>
      </c>
      <c r="BC160" s="31">
        <f t="shared" si="15"/>
        <v>10958290.006568342</v>
      </c>
      <c r="BD160" s="31">
        <v>248251.12</v>
      </c>
    </row>
    <row r="161" spans="2:56">
      <c r="B161" s="42" t="s">
        <v>551</v>
      </c>
      <c r="C161" s="42" t="s">
        <v>552</v>
      </c>
      <c r="D161" s="43" t="s">
        <v>1049</v>
      </c>
      <c r="E161" s="44">
        <v>32</v>
      </c>
      <c r="F161" s="31">
        <v>14444704.936698059</v>
      </c>
      <c r="G161" s="31">
        <v>625768.49</v>
      </c>
      <c r="H161" s="31">
        <v>155175.93000000002</v>
      </c>
      <c r="I161" s="31">
        <v>50970.990000000005</v>
      </c>
      <c r="J161" s="31">
        <v>2343696.0587622183</v>
      </c>
      <c r="K161" s="31">
        <v>1709965.2634148283</v>
      </c>
      <c r="L161" s="31">
        <v>918636.55672917771</v>
      </c>
      <c r="M161" s="31">
        <f t="shared" si="12"/>
        <v>20657332.645604286</v>
      </c>
      <c r="N161" s="31">
        <v>408414.42</v>
      </c>
      <c r="P161" s="42" t="s">
        <v>551</v>
      </c>
      <c r="Q161" s="42" t="s">
        <v>552</v>
      </c>
      <c r="R161" s="43" t="s">
        <v>1050</v>
      </c>
      <c r="S161" s="44">
        <v>32</v>
      </c>
      <c r="T161" s="31">
        <v>16476988.27032898</v>
      </c>
      <c r="U161" s="31">
        <v>706699.52999999991</v>
      </c>
      <c r="V161" s="31">
        <v>160978.22</v>
      </c>
      <c r="W161" s="31">
        <v>57124.91</v>
      </c>
      <c r="X161" s="31">
        <v>2427853.3670202037</v>
      </c>
      <c r="Y161" s="31">
        <v>1711719.9133919445</v>
      </c>
      <c r="Z161" s="31">
        <v>960051.58743648254</v>
      </c>
      <c r="AA161" s="31">
        <f t="shared" si="13"/>
        <v>22919998.638177611</v>
      </c>
      <c r="AB161" s="31">
        <v>418582.83999999997</v>
      </c>
      <c r="AD161" s="42" t="s">
        <v>551</v>
      </c>
      <c r="AE161" s="42" t="s">
        <v>552</v>
      </c>
      <c r="AF161" s="43" t="s">
        <v>1275</v>
      </c>
      <c r="AG161" s="44">
        <v>32</v>
      </c>
      <c r="AH161" s="31">
        <v>16588756.527390471</v>
      </c>
      <c r="AI161" s="31">
        <v>712504.83999999985</v>
      </c>
      <c r="AJ161" s="31">
        <v>164132.35999999999</v>
      </c>
      <c r="AK161" s="31">
        <v>57560.30000000001</v>
      </c>
      <c r="AL161" s="31">
        <v>2475565.3170218207</v>
      </c>
      <c r="AM161" s="31">
        <v>1711078.2473579838</v>
      </c>
      <c r="AN161" s="31">
        <v>978586.61301358533</v>
      </c>
      <c r="AO161" s="31">
        <f t="shared" si="14"/>
        <v>23114233.564783856</v>
      </c>
      <c r="AP161" s="31">
        <v>426049.36000000004</v>
      </c>
      <c r="AR161" s="42" t="s">
        <v>551</v>
      </c>
      <c r="AS161" s="42" t="s">
        <v>552</v>
      </c>
      <c r="AT161" s="43" t="s">
        <v>1276</v>
      </c>
      <c r="AU161" s="44">
        <v>32</v>
      </c>
      <c r="AV161" s="31">
        <v>16817365.113178384</v>
      </c>
      <c r="AW161" s="31">
        <v>720592.42999999993</v>
      </c>
      <c r="AX161" s="31">
        <v>167170.65999999997</v>
      </c>
      <c r="AY161" s="31">
        <v>58161.450000000004</v>
      </c>
      <c r="AZ161" s="31">
        <v>2527595.6797607904</v>
      </c>
      <c r="BA161" s="31">
        <v>1711178.0023793341</v>
      </c>
      <c r="BB161" s="31">
        <v>996810.50634818245</v>
      </c>
      <c r="BC161" s="31">
        <f t="shared" si="15"/>
        <v>23432919.841666691</v>
      </c>
      <c r="BD161" s="31">
        <v>434046</v>
      </c>
    </row>
    <row r="162" spans="2:56">
      <c r="B162" s="42" t="s">
        <v>417</v>
      </c>
      <c r="C162" s="42" t="s">
        <v>418</v>
      </c>
      <c r="D162" s="43" t="s">
        <v>1049</v>
      </c>
      <c r="E162" s="44">
        <v>32</v>
      </c>
      <c r="F162" s="31">
        <v>634310.17303443793</v>
      </c>
      <c r="G162" s="31">
        <v>8823.77</v>
      </c>
      <c r="H162" s="31">
        <v>0</v>
      </c>
      <c r="I162" s="31">
        <v>1744.22</v>
      </c>
      <c r="J162" s="31">
        <v>42566.034649388181</v>
      </c>
      <c r="K162" s="31">
        <v>74149.7838929891</v>
      </c>
      <c r="L162" s="31">
        <v>0</v>
      </c>
      <c r="M162" s="31">
        <f t="shared" si="12"/>
        <v>761593.98157681525</v>
      </c>
      <c r="N162" s="31">
        <v>0</v>
      </c>
      <c r="P162" s="42" t="s">
        <v>417</v>
      </c>
      <c r="Q162" s="42" t="s">
        <v>418</v>
      </c>
      <c r="R162" s="43" t="s">
        <v>1050</v>
      </c>
      <c r="S162" s="44">
        <v>32</v>
      </c>
      <c r="T162" s="31">
        <v>677185.47155974736</v>
      </c>
      <c r="U162" s="31">
        <v>9583.8799999999992</v>
      </c>
      <c r="V162" s="31">
        <v>0</v>
      </c>
      <c r="W162" s="31">
        <v>1916.7699999999998</v>
      </c>
      <c r="X162" s="31">
        <v>43945.573335291469</v>
      </c>
      <c r="Y162" s="31">
        <v>74202.491625281487</v>
      </c>
      <c r="Z162" s="31">
        <v>0</v>
      </c>
      <c r="AA162" s="31">
        <f t="shared" si="13"/>
        <v>806834.18652032036</v>
      </c>
      <c r="AB162" s="31">
        <v>0</v>
      </c>
      <c r="AD162" s="42" t="s">
        <v>417</v>
      </c>
      <c r="AE162" s="42" t="s">
        <v>418</v>
      </c>
      <c r="AF162" s="43" t="s">
        <v>1275</v>
      </c>
      <c r="AG162" s="44">
        <v>32</v>
      </c>
      <c r="AH162" s="31">
        <v>698669.58349033818</v>
      </c>
      <c r="AI162" s="31">
        <v>9771.5099999999984</v>
      </c>
      <c r="AJ162" s="31">
        <v>0</v>
      </c>
      <c r="AK162" s="31">
        <v>1954.3</v>
      </c>
      <c r="AL162" s="31">
        <v>45392.745494701252</v>
      </c>
      <c r="AM162" s="31">
        <v>74183.887234925554</v>
      </c>
      <c r="AN162" s="31">
        <v>0</v>
      </c>
      <c r="AO162" s="31">
        <f t="shared" si="14"/>
        <v>829972.02621996496</v>
      </c>
      <c r="AP162" s="31">
        <v>0</v>
      </c>
      <c r="AR162" s="42" t="s">
        <v>417</v>
      </c>
      <c r="AS162" s="42" t="s">
        <v>418</v>
      </c>
      <c r="AT162" s="43" t="s">
        <v>1276</v>
      </c>
      <c r="AU162" s="44">
        <v>32</v>
      </c>
      <c r="AV162" s="31">
        <v>694936.29810360924</v>
      </c>
      <c r="AW162" s="31">
        <v>9951.23</v>
      </c>
      <c r="AX162" s="31">
        <v>0</v>
      </c>
      <c r="AY162" s="31">
        <v>1990.24</v>
      </c>
      <c r="AZ162" s="31">
        <v>46017.908775800577</v>
      </c>
      <c r="BA162" s="31">
        <v>74186.811743195547</v>
      </c>
      <c r="BB162" s="31">
        <v>0</v>
      </c>
      <c r="BC162" s="31">
        <f t="shared" si="15"/>
        <v>827082.48862260533</v>
      </c>
      <c r="BD162" s="31">
        <v>0</v>
      </c>
    </row>
    <row r="163" spans="2:56">
      <c r="B163" s="42" t="s">
        <v>413</v>
      </c>
      <c r="C163" s="42" t="s">
        <v>414</v>
      </c>
      <c r="D163" s="43" t="s">
        <v>1049</v>
      </c>
      <c r="E163" s="44">
        <v>32</v>
      </c>
      <c r="F163" s="31">
        <v>56196561.714903474</v>
      </c>
      <c r="G163" s="31">
        <v>2867521.8600000003</v>
      </c>
      <c r="H163" s="31">
        <v>2644025.41</v>
      </c>
      <c r="I163" s="31">
        <v>204207.21999999997</v>
      </c>
      <c r="J163" s="31">
        <v>9018612.6032267157</v>
      </c>
      <c r="K163" s="31">
        <v>2911819.6015786654</v>
      </c>
      <c r="L163" s="31">
        <v>6157894.2783128582</v>
      </c>
      <c r="M163" s="31">
        <f t="shared" si="12"/>
        <v>81932367.478021726</v>
      </c>
      <c r="N163" s="31">
        <v>1931724.7899999998</v>
      </c>
      <c r="P163" s="42" t="s">
        <v>413</v>
      </c>
      <c r="Q163" s="42" t="s">
        <v>414</v>
      </c>
      <c r="R163" s="43" t="s">
        <v>1050</v>
      </c>
      <c r="S163" s="44">
        <v>32</v>
      </c>
      <c r="T163" s="31">
        <v>61610874.867691264</v>
      </c>
      <c r="U163" s="31">
        <v>3122630.6800000006</v>
      </c>
      <c r="V163" s="31">
        <v>2742889.76</v>
      </c>
      <c r="W163" s="31">
        <v>220674.28000000003</v>
      </c>
      <c r="X163" s="31">
        <v>9326188.9966918286</v>
      </c>
      <c r="Y163" s="31">
        <v>2914746.8682359378</v>
      </c>
      <c r="Z163" s="31">
        <v>6433863.9824410249</v>
      </c>
      <c r="AA163" s="31">
        <f t="shared" si="13"/>
        <v>88351688.945060045</v>
      </c>
      <c r="AB163" s="31">
        <v>1979819.51</v>
      </c>
      <c r="AD163" s="42" t="s">
        <v>413</v>
      </c>
      <c r="AE163" s="42" t="s">
        <v>414</v>
      </c>
      <c r="AF163" s="43" t="s">
        <v>1275</v>
      </c>
      <c r="AG163" s="44">
        <v>32</v>
      </c>
      <c r="AH163" s="31">
        <v>62795436.618795276</v>
      </c>
      <c r="AI163" s="31">
        <v>3187290.8499999996</v>
      </c>
      <c r="AJ163" s="31">
        <v>2796632.8999999994</v>
      </c>
      <c r="AK163" s="31">
        <v>224998.1</v>
      </c>
      <c r="AL163" s="31">
        <v>9499916.3421070464</v>
      </c>
      <c r="AM163" s="31">
        <v>2913676.3826058614</v>
      </c>
      <c r="AN163" s="31">
        <v>6558129.1871955823</v>
      </c>
      <c r="AO163" s="31">
        <f t="shared" si="14"/>
        <v>89991215.170703769</v>
      </c>
      <c r="AP163" s="31">
        <v>2015134.7899999998</v>
      </c>
      <c r="AR163" s="42" t="s">
        <v>413</v>
      </c>
      <c r="AS163" s="42" t="s">
        <v>414</v>
      </c>
      <c r="AT163" s="43" t="s">
        <v>1276</v>
      </c>
      <c r="AU163" s="44">
        <v>32</v>
      </c>
      <c r="AV163" s="31">
        <v>63961689.719349355</v>
      </c>
      <c r="AW163" s="31">
        <v>3245771.86</v>
      </c>
      <c r="AX163" s="31">
        <v>2848402.2199999997</v>
      </c>
      <c r="AY163" s="31">
        <v>229163.11</v>
      </c>
      <c r="AZ163" s="31">
        <v>9676698.0890361015</v>
      </c>
      <c r="BA163" s="31">
        <v>2913842.8030040613</v>
      </c>
      <c r="BB163" s="31">
        <v>6680217.8291875124</v>
      </c>
      <c r="BC163" s="31">
        <f t="shared" si="15"/>
        <v>91608743.070577025</v>
      </c>
      <c r="BD163" s="31">
        <v>2052957.44</v>
      </c>
    </row>
    <row r="164" spans="2:56">
      <c r="B164" s="42" t="s">
        <v>223</v>
      </c>
      <c r="C164" s="42" t="s">
        <v>224</v>
      </c>
      <c r="D164" s="43" t="s">
        <v>1049</v>
      </c>
      <c r="E164" s="44">
        <v>32</v>
      </c>
      <c r="F164" s="31">
        <v>5715380.3720149025</v>
      </c>
      <c r="G164" s="31">
        <v>312789.01999999996</v>
      </c>
      <c r="H164" s="31">
        <v>0</v>
      </c>
      <c r="I164" s="31">
        <v>0</v>
      </c>
      <c r="J164" s="31">
        <v>0</v>
      </c>
      <c r="K164" s="31">
        <v>413778.88</v>
      </c>
      <c r="L164" s="31">
        <v>68417.426813222177</v>
      </c>
      <c r="M164" s="31">
        <f t="shared" si="12"/>
        <v>6682569.0488281241</v>
      </c>
      <c r="N164" s="31">
        <v>172203.35000000003</v>
      </c>
      <c r="P164" s="42" t="s">
        <v>223</v>
      </c>
      <c r="Q164" s="42" t="s">
        <v>224</v>
      </c>
      <c r="R164" s="43" t="s">
        <v>1050</v>
      </c>
      <c r="S164" s="44">
        <v>32</v>
      </c>
      <c r="T164" s="31">
        <v>5986195.4813776836</v>
      </c>
      <c r="U164" s="31">
        <v>326401.74</v>
      </c>
      <c r="V164" s="31">
        <v>0</v>
      </c>
      <c r="W164" s="31">
        <v>0</v>
      </c>
      <c r="X164" s="31">
        <v>0</v>
      </c>
      <c r="Y164" s="31">
        <v>413778.88</v>
      </c>
      <c r="Z164" s="31">
        <v>71379.935401885217</v>
      </c>
      <c r="AA164" s="31">
        <f t="shared" si="13"/>
        <v>6974270.0967795681</v>
      </c>
      <c r="AB164" s="31">
        <v>176514.06</v>
      </c>
      <c r="AD164" s="42" t="s">
        <v>223</v>
      </c>
      <c r="AE164" s="42" t="s">
        <v>224</v>
      </c>
      <c r="AF164" s="43" t="s">
        <v>1275</v>
      </c>
      <c r="AG164" s="44">
        <v>32</v>
      </c>
      <c r="AH164" s="31">
        <v>6101636.5026570512</v>
      </c>
      <c r="AI164" s="31">
        <v>333097.42000000004</v>
      </c>
      <c r="AJ164" s="31">
        <v>0</v>
      </c>
      <c r="AK164" s="31">
        <v>0</v>
      </c>
      <c r="AL164" s="31">
        <v>0</v>
      </c>
      <c r="AM164" s="31">
        <v>413778.88</v>
      </c>
      <c r="AN164" s="31">
        <v>72759.439336362382</v>
      </c>
      <c r="AO164" s="31">
        <f t="shared" si="14"/>
        <v>7100951.5819934132</v>
      </c>
      <c r="AP164" s="31">
        <v>179679.34</v>
      </c>
      <c r="AR164" s="42" t="s">
        <v>223</v>
      </c>
      <c r="AS164" s="42" t="s">
        <v>224</v>
      </c>
      <c r="AT164" s="43" t="s">
        <v>1276</v>
      </c>
      <c r="AU164" s="44">
        <v>32</v>
      </c>
      <c r="AV164" s="31">
        <v>6215281.7897943947</v>
      </c>
      <c r="AW164" s="31">
        <v>339255.03</v>
      </c>
      <c r="AX164" s="31">
        <v>0</v>
      </c>
      <c r="AY164" s="31">
        <v>0</v>
      </c>
      <c r="AZ164" s="31">
        <v>0</v>
      </c>
      <c r="BA164" s="31">
        <v>413778.88</v>
      </c>
      <c r="BB164" s="31">
        <v>74120.523541187402</v>
      </c>
      <c r="BC164" s="31">
        <f t="shared" si="15"/>
        <v>7225505.5833355831</v>
      </c>
      <c r="BD164" s="31">
        <v>183069.36000000002</v>
      </c>
    </row>
    <row r="165" spans="2:56">
      <c r="B165" s="42" t="s">
        <v>427</v>
      </c>
      <c r="C165" s="42" t="s">
        <v>428</v>
      </c>
      <c r="D165" s="43" t="s">
        <v>1049</v>
      </c>
      <c r="E165" s="44">
        <v>32</v>
      </c>
      <c r="F165" s="31">
        <v>137409071.55545753</v>
      </c>
      <c r="G165" s="31">
        <v>5480018.8300000001</v>
      </c>
      <c r="H165" s="31">
        <v>5862686.9800000004</v>
      </c>
      <c r="I165" s="31">
        <v>496161.71</v>
      </c>
      <c r="J165" s="31">
        <v>21610811.315077849</v>
      </c>
      <c r="K165" s="31">
        <v>8782089.3412183076</v>
      </c>
      <c r="L165" s="31">
        <v>12888120.640033776</v>
      </c>
      <c r="M165" s="31">
        <f t="shared" si="12"/>
        <v>195451591.2317875</v>
      </c>
      <c r="N165" s="31">
        <v>2922630.86</v>
      </c>
      <c r="P165" s="42" t="s">
        <v>427</v>
      </c>
      <c r="Q165" s="42" t="s">
        <v>428</v>
      </c>
      <c r="R165" s="43" t="s">
        <v>1050</v>
      </c>
      <c r="S165" s="44">
        <v>32</v>
      </c>
      <c r="T165" s="31">
        <v>145911166.69658875</v>
      </c>
      <c r="U165" s="31">
        <v>5809016.1900000004</v>
      </c>
      <c r="V165" s="31">
        <v>5988152.2000000002</v>
      </c>
      <c r="W165" s="31">
        <v>522821.65</v>
      </c>
      <c r="X165" s="31">
        <v>22094122.151752912</v>
      </c>
      <c r="Y165" s="31">
        <v>8788444.5092923176</v>
      </c>
      <c r="Z165" s="31">
        <v>13169248.284938626</v>
      </c>
      <c r="AA165" s="31">
        <f t="shared" si="13"/>
        <v>205233823.57257259</v>
      </c>
      <c r="AB165" s="31">
        <v>2950851.8899999997</v>
      </c>
      <c r="AD165" s="42" t="s">
        <v>427</v>
      </c>
      <c r="AE165" s="42" t="s">
        <v>428</v>
      </c>
      <c r="AF165" s="43" t="s">
        <v>1275</v>
      </c>
      <c r="AG165" s="44">
        <v>32</v>
      </c>
      <c r="AH165" s="31">
        <v>149002684.05039623</v>
      </c>
      <c r="AI165" s="31">
        <v>5938128.2699999996</v>
      </c>
      <c r="AJ165" s="31">
        <v>6105565.4299999997</v>
      </c>
      <c r="AK165" s="31">
        <v>534028.03</v>
      </c>
      <c r="AL165" s="31">
        <v>22506612.805441551</v>
      </c>
      <c r="AM165" s="31">
        <v>8786032.5110855028</v>
      </c>
      <c r="AN165" s="31">
        <v>13423863.63451227</v>
      </c>
      <c r="AO165" s="31">
        <f t="shared" si="14"/>
        <v>209300681.9114356</v>
      </c>
      <c r="AP165" s="31">
        <v>3003767.1799999997</v>
      </c>
      <c r="AR165" s="42" t="s">
        <v>427</v>
      </c>
      <c r="AS165" s="42" t="s">
        <v>428</v>
      </c>
      <c r="AT165" s="43" t="s">
        <v>1276</v>
      </c>
      <c r="AU165" s="44">
        <v>32</v>
      </c>
      <c r="AV165" s="31">
        <v>152066248.11561716</v>
      </c>
      <c r="AW165" s="31">
        <v>6058408.0500000007</v>
      </c>
      <c r="AX165" s="31">
        <v>6219247.8499999996</v>
      </c>
      <c r="AY165" s="31">
        <v>544944.26</v>
      </c>
      <c r="AZ165" s="31">
        <v>22927212.458446905</v>
      </c>
      <c r="BA165" s="31">
        <v>8786403.7353799678</v>
      </c>
      <c r="BB165" s="31">
        <v>13674892.065379556</v>
      </c>
      <c r="BC165" s="31">
        <f t="shared" si="15"/>
        <v>213337795.97482356</v>
      </c>
      <c r="BD165" s="31">
        <v>3060439.44</v>
      </c>
    </row>
    <row r="166" spans="2:56">
      <c r="B166" s="42" t="s">
        <v>583</v>
      </c>
      <c r="C166" s="42" t="s">
        <v>584</v>
      </c>
      <c r="D166" s="43" t="s">
        <v>1049</v>
      </c>
      <c r="E166" s="44">
        <v>32</v>
      </c>
      <c r="F166" s="31">
        <v>9875979.5281293672</v>
      </c>
      <c r="G166" s="31">
        <v>400684.5</v>
      </c>
      <c r="H166" s="31">
        <v>127260.21</v>
      </c>
      <c r="I166" s="31">
        <v>34299.849999999991</v>
      </c>
      <c r="J166" s="31">
        <v>1510256.247462132</v>
      </c>
      <c r="K166" s="31">
        <v>922762.02231205208</v>
      </c>
      <c r="L166" s="31">
        <v>744332.20701646782</v>
      </c>
      <c r="M166" s="31">
        <f t="shared" si="12"/>
        <v>13855965.79492002</v>
      </c>
      <c r="N166" s="31">
        <v>240391.23</v>
      </c>
      <c r="P166" s="42" t="s">
        <v>583</v>
      </c>
      <c r="Q166" s="42" t="s">
        <v>584</v>
      </c>
      <c r="R166" s="43" t="s">
        <v>1050</v>
      </c>
      <c r="S166" s="44">
        <v>32</v>
      </c>
      <c r="T166" s="31">
        <v>10543798.945350589</v>
      </c>
      <c r="U166" s="31">
        <v>425059.1</v>
      </c>
      <c r="V166" s="31">
        <v>132147.12999999998</v>
      </c>
      <c r="W166" s="31">
        <v>36122.910000000003</v>
      </c>
      <c r="X166" s="31">
        <v>1564786.4012388089</v>
      </c>
      <c r="Y166" s="31">
        <v>923786.7822408526</v>
      </c>
      <c r="Z166" s="31">
        <v>778314.19343938003</v>
      </c>
      <c r="AA166" s="31">
        <f t="shared" si="13"/>
        <v>14650316.39226963</v>
      </c>
      <c r="AB166" s="31">
        <v>246300.93000000002</v>
      </c>
      <c r="AD166" s="42" t="s">
        <v>583</v>
      </c>
      <c r="AE166" s="42" t="s">
        <v>584</v>
      </c>
      <c r="AF166" s="43" t="s">
        <v>1275</v>
      </c>
      <c r="AG166" s="44">
        <v>32</v>
      </c>
      <c r="AH166" s="31">
        <v>10696308.555458236</v>
      </c>
      <c r="AI166" s="31">
        <v>432820.72000000003</v>
      </c>
      <c r="AJ166" s="31">
        <v>134732.09</v>
      </c>
      <c r="AK166" s="31">
        <v>36726.369999999995</v>
      </c>
      <c r="AL166" s="31">
        <v>1590690.0917411519</v>
      </c>
      <c r="AM166" s="31">
        <v>923438.64140704006</v>
      </c>
      <c r="AN166" s="31">
        <v>793305.80615314667</v>
      </c>
      <c r="AO166" s="31">
        <f t="shared" si="14"/>
        <v>14858662.614759576</v>
      </c>
      <c r="AP166" s="31">
        <v>250640.34000000003</v>
      </c>
      <c r="AR166" s="42" t="s">
        <v>583</v>
      </c>
      <c r="AS166" s="42" t="s">
        <v>584</v>
      </c>
      <c r="AT166" s="43" t="s">
        <v>1276</v>
      </c>
      <c r="AU166" s="44">
        <v>32</v>
      </c>
      <c r="AV166" s="31">
        <v>10866071.322299492</v>
      </c>
      <c r="AW166" s="31">
        <v>439603.35999999993</v>
      </c>
      <c r="AX166" s="31">
        <v>137192.41999999998</v>
      </c>
      <c r="AY166" s="31">
        <v>37291.979999999996</v>
      </c>
      <c r="AZ166" s="31">
        <v>1620047.6673153979</v>
      </c>
      <c r="BA166" s="31">
        <v>923494.04291930015</v>
      </c>
      <c r="BB166" s="31">
        <v>807930.69875711086</v>
      </c>
      <c r="BC166" s="31">
        <f t="shared" si="15"/>
        <v>15086919.3212913</v>
      </c>
      <c r="BD166" s="31">
        <v>255287.83000000002</v>
      </c>
    </row>
    <row r="167" spans="2:56">
      <c r="B167" s="42" t="s">
        <v>271</v>
      </c>
      <c r="C167" s="42" t="s">
        <v>272</v>
      </c>
      <c r="D167" s="43" t="s">
        <v>1049</v>
      </c>
      <c r="E167" s="44">
        <v>32</v>
      </c>
      <c r="F167" s="31">
        <v>5812132.4280396048</v>
      </c>
      <c r="G167" s="31">
        <v>221779.66999999998</v>
      </c>
      <c r="H167" s="31">
        <v>27576.280000000002</v>
      </c>
      <c r="I167" s="31">
        <v>21534.85</v>
      </c>
      <c r="J167" s="31">
        <v>747561.83150082373</v>
      </c>
      <c r="K167" s="31">
        <v>379541.76707780029</v>
      </c>
      <c r="L167" s="31">
        <v>1068828.9939821053</v>
      </c>
      <c r="M167" s="31">
        <f t="shared" si="12"/>
        <v>8278955.8206003336</v>
      </c>
      <c r="N167" s="31">
        <v>0</v>
      </c>
      <c r="P167" s="42" t="s">
        <v>271</v>
      </c>
      <c r="Q167" s="42" t="s">
        <v>272</v>
      </c>
      <c r="R167" s="43" t="s">
        <v>1050</v>
      </c>
      <c r="S167" s="44">
        <v>32</v>
      </c>
      <c r="T167" s="31">
        <v>5971224.9235863462</v>
      </c>
      <c r="U167" s="31">
        <v>226855.95</v>
      </c>
      <c r="V167" s="31">
        <v>28635.25</v>
      </c>
      <c r="W167" s="31">
        <v>22058.239999999998</v>
      </c>
      <c r="X167" s="31">
        <v>771307.7217957502</v>
      </c>
      <c r="Y167" s="31">
        <v>379970.01043716766</v>
      </c>
      <c r="Z167" s="31">
        <v>1106912.8102022696</v>
      </c>
      <c r="AA167" s="31">
        <f t="shared" si="13"/>
        <v>8506964.9060215335</v>
      </c>
      <c r="AB167" s="31">
        <v>0</v>
      </c>
      <c r="AD167" s="42" t="s">
        <v>271</v>
      </c>
      <c r="AE167" s="42" t="s">
        <v>272</v>
      </c>
      <c r="AF167" s="43" t="s">
        <v>1275</v>
      </c>
      <c r="AG167" s="44">
        <v>32</v>
      </c>
      <c r="AH167" s="31">
        <v>6121595.2480270937</v>
      </c>
      <c r="AI167" s="31">
        <v>232841</v>
      </c>
      <c r="AJ167" s="31">
        <v>29195.399999999998</v>
      </c>
      <c r="AK167" s="31">
        <v>22592.91</v>
      </c>
      <c r="AL167" s="31">
        <v>785522.55065484578</v>
      </c>
      <c r="AM167" s="31">
        <v>379824.52367874287</v>
      </c>
      <c r="AN167" s="31">
        <v>1128231.3423885494</v>
      </c>
      <c r="AO167" s="31">
        <f t="shared" si="14"/>
        <v>8699802.9747492317</v>
      </c>
      <c r="AP167" s="31">
        <v>0</v>
      </c>
      <c r="AR167" s="42" t="s">
        <v>271</v>
      </c>
      <c r="AS167" s="42" t="s">
        <v>272</v>
      </c>
      <c r="AT167" s="43" t="s">
        <v>1276</v>
      </c>
      <c r="AU167" s="44">
        <v>32</v>
      </c>
      <c r="AV167" s="31">
        <v>6270434.1934038997</v>
      </c>
      <c r="AW167" s="31">
        <v>238668.6</v>
      </c>
      <c r="AX167" s="31">
        <v>29728.539999999997</v>
      </c>
      <c r="AY167" s="31">
        <v>23110.510000000002</v>
      </c>
      <c r="AZ167" s="31">
        <v>799926.10986039415</v>
      </c>
      <c r="BA167" s="31">
        <v>379847.67576447286</v>
      </c>
      <c r="BB167" s="31">
        <v>1149033.1565156151</v>
      </c>
      <c r="BC167" s="31">
        <f t="shared" si="15"/>
        <v>8890748.7855443805</v>
      </c>
      <c r="BD167" s="31">
        <v>0</v>
      </c>
    </row>
    <row r="168" spans="2:56">
      <c r="B168" s="42" t="s">
        <v>349</v>
      </c>
      <c r="C168" s="42" t="s">
        <v>350</v>
      </c>
      <c r="D168" s="43" t="s">
        <v>1049</v>
      </c>
      <c r="E168" s="44">
        <v>32</v>
      </c>
      <c r="F168" s="31">
        <v>3382870.2667499324</v>
      </c>
      <c r="G168" s="31">
        <v>106733.33999999998</v>
      </c>
      <c r="H168" s="31">
        <v>22597.599999999999</v>
      </c>
      <c r="I168" s="31">
        <v>9079.41</v>
      </c>
      <c r="J168" s="31">
        <v>380688.20842747437</v>
      </c>
      <c r="K168" s="31">
        <v>229951.44005905298</v>
      </c>
      <c r="L168" s="31">
        <v>116414.26317744788</v>
      </c>
      <c r="M168" s="31">
        <f t="shared" si="12"/>
        <v>4342760.2484139074</v>
      </c>
      <c r="N168" s="31">
        <v>94425.719999999987</v>
      </c>
      <c r="P168" s="42" t="s">
        <v>349</v>
      </c>
      <c r="Q168" s="42" t="s">
        <v>350</v>
      </c>
      <c r="R168" s="43" t="s">
        <v>1050</v>
      </c>
      <c r="S168" s="44">
        <v>32</v>
      </c>
      <c r="T168" s="31">
        <v>3245435.5273171617</v>
      </c>
      <c r="U168" s="31">
        <v>102943.25</v>
      </c>
      <c r="V168" s="31">
        <v>23457.25</v>
      </c>
      <c r="W168" s="31">
        <v>8691.76</v>
      </c>
      <c r="X168" s="31">
        <v>389415.98746487923</v>
      </c>
      <c r="Y168" s="31">
        <v>230236.14365159461</v>
      </c>
      <c r="Z168" s="31">
        <v>121695.13510337741</v>
      </c>
      <c r="AA168" s="31">
        <f t="shared" si="13"/>
        <v>4218632.6435370129</v>
      </c>
      <c r="AB168" s="31">
        <v>96757.59</v>
      </c>
      <c r="AD168" s="42" t="s">
        <v>349</v>
      </c>
      <c r="AE168" s="42" t="s">
        <v>350</v>
      </c>
      <c r="AF168" s="43" t="s">
        <v>1275</v>
      </c>
      <c r="AG168" s="44">
        <v>32</v>
      </c>
      <c r="AH168" s="31">
        <v>3306995.1254434437</v>
      </c>
      <c r="AI168" s="31">
        <v>105139.68000000004</v>
      </c>
      <c r="AJ168" s="31">
        <v>23916.39</v>
      </c>
      <c r="AK168" s="31">
        <v>8861.8799999999992</v>
      </c>
      <c r="AL168" s="31">
        <v>400028.04458292498</v>
      </c>
      <c r="AM168" s="31">
        <v>230139.42153814033</v>
      </c>
      <c r="AN168" s="31">
        <v>124040.88511410097</v>
      </c>
      <c r="AO168" s="31">
        <f t="shared" si="14"/>
        <v>4297591.2766786097</v>
      </c>
      <c r="AP168" s="31">
        <v>98469.849999999991</v>
      </c>
      <c r="AR168" s="42" t="s">
        <v>349</v>
      </c>
      <c r="AS168" s="42" t="s">
        <v>350</v>
      </c>
      <c r="AT168" s="43" t="s">
        <v>1276</v>
      </c>
      <c r="AU168" s="44">
        <v>32</v>
      </c>
      <c r="AV168" s="31">
        <v>3387931.5223086486</v>
      </c>
      <c r="AW168" s="31">
        <v>107042.09000000003</v>
      </c>
      <c r="AX168" s="31">
        <v>24355.260000000002</v>
      </c>
      <c r="AY168" s="31">
        <v>9024.5</v>
      </c>
      <c r="AZ168" s="31">
        <v>411939.0615445851</v>
      </c>
      <c r="BA168" s="31">
        <v>230154.81344519032</v>
      </c>
      <c r="BB168" s="31">
        <v>126334.10001350587</v>
      </c>
      <c r="BC168" s="31">
        <f t="shared" si="15"/>
        <v>4397085.0373119302</v>
      </c>
      <c r="BD168" s="31">
        <v>100303.69</v>
      </c>
    </row>
    <row r="169" spans="2:56">
      <c r="B169" s="42" t="s">
        <v>327</v>
      </c>
      <c r="C169" s="42" t="s">
        <v>328</v>
      </c>
      <c r="D169" s="43" t="s">
        <v>1049</v>
      </c>
      <c r="E169" s="44">
        <v>32</v>
      </c>
      <c r="F169" s="31">
        <v>1152415.1436120542</v>
      </c>
      <c r="G169" s="31">
        <v>80000.48000000001</v>
      </c>
      <c r="H169" s="31">
        <v>0</v>
      </c>
      <c r="I169" s="31">
        <v>0</v>
      </c>
      <c r="J169" s="31">
        <v>174682.23429234681</v>
      </c>
      <c r="K169" s="31">
        <v>186915.49262984528</v>
      </c>
      <c r="L169" s="31">
        <v>0</v>
      </c>
      <c r="M169" s="31">
        <f t="shared" si="12"/>
        <v>1631139.0405342462</v>
      </c>
      <c r="N169" s="31">
        <v>37125.689999999995</v>
      </c>
      <c r="P169" s="42" t="s">
        <v>327</v>
      </c>
      <c r="Q169" s="42" t="s">
        <v>328</v>
      </c>
      <c r="R169" s="43" t="s">
        <v>1050</v>
      </c>
      <c r="S169" s="44">
        <v>32</v>
      </c>
      <c r="T169" s="31">
        <v>1059230.9817133027</v>
      </c>
      <c r="U169" s="31">
        <v>74883.69</v>
      </c>
      <c r="V169" s="31">
        <v>0</v>
      </c>
      <c r="W169" s="31">
        <v>0</v>
      </c>
      <c r="X169" s="31">
        <v>175881.7274673958</v>
      </c>
      <c r="Y169" s="31">
        <v>187075.34136663587</v>
      </c>
      <c r="Z169" s="31">
        <v>0</v>
      </c>
      <c r="AA169" s="31">
        <f t="shared" si="13"/>
        <v>1535110.1105473344</v>
      </c>
      <c r="AB169" s="31">
        <v>38038.369999999995</v>
      </c>
      <c r="AD169" s="42" t="s">
        <v>327</v>
      </c>
      <c r="AE169" s="42" t="s">
        <v>328</v>
      </c>
      <c r="AF169" s="43" t="s">
        <v>1275</v>
      </c>
      <c r="AG169" s="44">
        <v>32</v>
      </c>
      <c r="AH169" s="31">
        <v>1082264.7501547644</v>
      </c>
      <c r="AI169" s="31">
        <v>76422.390000000014</v>
      </c>
      <c r="AJ169" s="31">
        <v>0</v>
      </c>
      <c r="AK169" s="31">
        <v>0</v>
      </c>
      <c r="AL169" s="31">
        <v>179583.84293819586</v>
      </c>
      <c r="AM169" s="31">
        <v>187021.03608893507</v>
      </c>
      <c r="AN169" s="31">
        <v>0</v>
      </c>
      <c r="AO169" s="31">
        <f t="shared" si="14"/>
        <v>1564000.5691818956</v>
      </c>
      <c r="AP169" s="31">
        <v>38708.549999999996</v>
      </c>
      <c r="AR169" s="42" t="s">
        <v>327</v>
      </c>
      <c r="AS169" s="42" t="s">
        <v>328</v>
      </c>
      <c r="AT169" s="43" t="s">
        <v>1276</v>
      </c>
      <c r="AU169" s="44">
        <v>32</v>
      </c>
      <c r="AV169" s="31">
        <v>1127164.0436844607</v>
      </c>
      <c r="AW169" s="31">
        <v>77807.040000000008</v>
      </c>
      <c r="AX169" s="31">
        <v>0</v>
      </c>
      <c r="AY169" s="31">
        <v>0</v>
      </c>
      <c r="AZ169" s="31">
        <v>187119.95177067045</v>
      </c>
      <c r="BA169" s="31">
        <v>187029.67797812508</v>
      </c>
      <c r="BB169" s="31">
        <v>0</v>
      </c>
      <c r="BC169" s="31">
        <f t="shared" si="15"/>
        <v>1618547.0134332564</v>
      </c>
      <c r="BD169" s="31">
        <v>39426.299999999996</v>
      </c>
    </row>
    <row r="170" spans="2:56">
      <c r="B170" s="42" t="s">
        <v>355</v>
      </c>
      <c r="C170" s="42" t="s">
        <v>356</v>
      </c>
      <c r="D170" s="43" t="s">
        <v>1049</v>
      </c>
      <c r="E170" s="44">
        <v>32</v>
      </c>
      <c r="F170" s="31">
        <v>7754667.1850839565</v>
      </c>
      <c r="G170" s="31">
        <v>384216.6999999999</v>
      </c>
      <c r="H170" s="31">
        <v>0</v>
      </c>
      <c r="I170" s="31">
        <v>28745.600000000002</v>
      </c>
      <c r="J170" s="31">
        <v>1259800.8254742215</v>
      </c>
      <c r="K170" s="31">
        <v>852641.51881356712</v>
      </c>
      <c r="L170" s="31">
        <v>1185220.0547156399</v>
      </c>
      <c r="M170" s="31">
        <f t="shared" si="12"/>
        <v>11748850.234087383</v>
      </c>
      <c r="N170" s="31">
        <v>283558.35000000003</v>
      </c>
      <c r="P170" s="42" t="s">
        <v>355</v>
      </c>
      <c r="Q170" s="42" t="s">
        <v>356</v>
      </c>
      <c r="R170" s="43" t="s">
        <v>1050</v>
      </c>
      <c r="S170" s="44">
        <v>32</v>
      </c>
      <c r="T170" s="31">
        <v>8854208.9460112806</v>
      </c>
      <c r="U170" s="31">
        <v>435065.74</v>
      </c>
      <c r="V170" s="31">
        <v>0</v>
      </c>
      <c r="W170" s="31">
        <v>32176.71</v>
      </c>
      <c r="X170" s="31">
        <v>1301214.5978228378</v>
      </c>
      <c r="Y170" s="31">
        <v>853477.8612743339</v>
      </c>
      <c r="Z170" s="31">
        <v>1239138.8610776761</v>
      </c>
      <c r="AA170" s="31">
        <f t="shared" si="13"/>
        <v>13005811.966186129</v>
      </c>
      <c r="AB170" s="31">
        <v>290529.25</v>
      </c>
      <c r="AD170" s="42" t="s">
        <v>355</v>
      </c>
      <c r="AE170" s="42" t="s">
        <v>356</v>
      </c>
      <c r="AF170" s="43" t="s">
        <v>1275</v>
      </c>
      <c r="AG170" s="44">
        <v>32</v>
      </c>
      <c r="AH170" s="31">
        <v>8950160.8783032019</v>
      </c>
      <c r="AI170" s="31">
        <v>440942.6</v>
      </c>
      <c r="AJ170" s="31">
        <v>0</v>
      </c>
      <c r="AK170" s="31">
        <v>32599.8</v>
      </c>
      <c r="AL170" s="31">
        <v>1325294.0978313803</v>
      </c>
      <c r="AM170" s="31">
        <v>853193.73134940118</v>
      </c>
      <c r="AN170" s="31">
        <v>1263006.7899831464</v>
      </c>
      <c r="AO170" s="31">
        <f t="shared" si="14"/>
        <v>13160845.77746713</v>
      </c>
      <c r="AP170" s="31">
        <v>295647.88</v>
      </c>
      <c r="AR170" s="42" t="s">
        <v>355</v>
      </c>
      <c r="AS170" s="42" t="s">
        <v>356</v>
      </c>
      <c r="AT170" s="43" t="s">
        <v>1276</v>
      </c>
      <c r="AU170" s="44">
        <v>32</v>
      </c>
      <c r="AV170" s="31">
        <v>8813020.2744047474</v>
      </c>
      <c r="AW170" s="31">
        <v>434729.92</v>
      </c>
      <c r="AX170" s="31">
        <v>0</v>
      </c>
      <c r="AY170" s="31">
        <v>32144.629999999997</v>
      </c>
      <c r="AZ170" s="31">
        <v>1352629.79485182</v>
      </c>
      <c r="BA170" s="31">
        <v>853238.94646348932</v>
      </c>
      <c r="BB170" s="31">
        <v>1286290.8271069848</v>
      </c>
      <c r="BC170" s="31">
        <f t="shared" si="15"/>
        <v>13073184.322827041</v>
      </c>
      <c r="BD170" s="31">
        <v>301129.93</v>
      </c>
    </row>
    <row r="171" spans="2:56">
      <c r="B171" s="42" t="s">
        <v>457</v>
      </c>
      <c r="C171" s="42" t="s">
        <v>458</v>
      </c>
      <c r="D171" s="43" t="s">
        <v>1049</v>
      </c>
      <c r="E171" s="44">
        <v>32</v>
      </c>
      <c r="F171" s="31">
        <v>11138590.072786625</v>
      </c>
      <c r="G171" s="31">
        <v>217102.42</v>
      </c>
      <c r="H171" s="31">
        <v>0</v>
      </c>
      <c r="I171" s="31">
        <v>38977.100000000006</v>
      </c>
      <c r="J171" s="31">
        <v>1672889.8607153418</v>
      </c>
      <c r="K171" s="31">
        <v>1005722.1061213798</v>
      </c>
      <c r="L171" s="31">
        <v>879596.46810920304</v>
      </c>
      <c r="M171" s="31">
        <f t="shared" si="12"/>
        <v>14952878.027732549</v>
      </c>
      <c r="N171" s="31">
        <v>0</v>
      </c>
      <c r="P171" s="42" t="s">
        <v>457</v>
      </c>
      <c r="Q171" s="42" t="s">
        <v>458</v>
      </c>
      <c r="R171" s="43" t="s">
        <v>1050</v>
      </c>
      <c r="S171" s="44">
        <v>32</v>
      </c>
      <c r="T171" s="31">
        <v>11090762.87018699</v>
      </c>
      <c r="U171" s="31">
        <v>216433.93000000002</v>
      </c>
      <c r="V171" s="31">
        <v>0</v>
      </c>
      <c r="W171" s="31">
        <v>38854.89</v>
      </c>
      <c r="X171" s="31">
        <v>1731100.8285480593</v>
      </c>
      <c r="Y171" s="31">
        <v>1006768.1269970427</v>
      </c>
      <c r="Z171" s="31">
        <v>910937.74753745575</v>
      </c>
      <c r="AA171" s="31">
        <f t="shared" si="13"/>
        <v>14994858.393269548</v>
      </c>
      <c r="AB171" s="31">
        <v>0</v>
      </c>
      <c r="AD171" s="42" t="s">
        <v>457</v>
      </c>
      <c r="AE171" s="42" t="s">
        <v>458</v>
      </c>
      <c r="AF171" s="43" t="s">
        <v>1275</v>
      </c>
      <c r="AG171" s="44">
        <v>32</v>
      </c>
      <c r="AH171" s="31">
        <v>11327139.000142932</v>
      </c>
      <c r="AI171" s="31">
        <v>220667.65</v>
      </c>
      <c r="AJ171" s="31">
        <v>0</v>
      </c>
      <c r="AK171" s="31">
        <v>39614.959999999999</v>
      </c>
      <c r="AL171" s="31">
        <v>1766633.6704943499</v>
      </c>
      <c r="AM171" s="31">
        <v>1006412.7631995288</v>
      </c>
      <c r="AN171" s="31">
        <v>928481.86440941587</v>
      </c>
      <c r="AO171" s="31">
        <f t="shared" si="14"/>
        <v>15288949.908246227</v>
      </c>
      <c r="AP171" s="31">
        <v>0</v>
      </c>
      <c r="AR171" s="42" t="s">
        <v>457</v>
      </c>
      <c r="AS171" s="42" t="s">
        <v>458</v>
      </c>
      <c r="AT171" s="43" t="s">
        <v>1276</v>
      </c>
      <c r="AU171" s="44">
        <v>32</v>
      </c>
      <c r="AV171" s="31">
        <v>11661906.03848904</v>
      </c>
      <c r="AW171" s="31">
        <v>226483.05000000002</v>
      </c>
      <c r="AX171" s="31">
        <v>0</v>
      </c>
      <c r="AY171" s="31">
        <v>40758.540000000008</v>
      </c>
      <c r="AZ171" s="31">
        <v>1802828.8146850402</v>
      </c>
      <c r="BA171" s="31">
        <v>1006469.314140621</v>
      </c>
      <c r="BB171" s="31">
        <v>945600.71543968539</v>
      </c>
      <c r="BC171" s="31">
        <f t="shared" si="15"/>
        <v>15684046.472754385</v>
      </c>
      <c r="BD171" s="31">
        <v>0</v>
      </c>
    </row>
    <row r="172" spans="2:56">
      <c r="B172" s="42" t="s">
        <v>549</v>
      </c>
      <c r="C172" s="42" t="s">
        <v>550</v>
      </c>
      <c r="D172" s="43" t="s">
        <v>1049</v>
      </c>
      <c r="E172" s="44">
        <v>32</v>
      </c>
      <c r="F172" s="31">
        <v>15616052.716939846</v>
      </c>
      <c r="G172" s="31">
        <v>644545.11</v>
      </c>
      <c r="H172" s="31">
        <v>393170.45999999996</v>
      </c>
      <c r="I172" s="31">
        <v>53250.38</v>
      </c>
      <c r="J172" s="31">
        <v>2515480.3160548015</v>
      </c>
      <c r="K172" s="31">
        <v>1293031.5201573034</v>
      </c>
      <c r="L172" s="31">
        <v>811387.76584809774</v>
      </c>
      <c r="M172" s="31">
        <f t="shared" si="12"/>
        <v>21764823.169000044</v>
      </c>
      <c r="N172" s="31">
        <v>437904.9</v>
      </c>
      <c r="P172" s="42" t="s">
        <v>549</v>
      </c>
      <c r="Q172" s="42" t="s">
        <v>550</v>
      </c>
      <c r="R172" s="43" t="s">
        <v>1050</v>
      </c>
      <c r="S172" s="44">
        <v>32</v>
      </c>
      <c r="T172" s="31">
        <v>18581817.840419944</v>
      </c>
      <c r="U172" s="31">
        <v>757228.89999999991</v>
      </c>
      <c r="V172" s="31">
        <v>408060.18000000005</v>
      </c>
      <c r="W172" s="31">
        <v>62082.239999999998</v>
      </c>
      <c r="X172" s="31">
        <v>2611101.7711220998</v>
      </c>
      <c r="Y172" s="31">
        <v>1294042.785146235</v>
      </c>
      <c r="Z172" s="31">
        <v>848127.10024556634</v>
      </c>
      <c r="AA172" s="31">
        <f t="shared" si="13"/>
        <v>25011203.136933841</v>
      </c>
      <c r="AB172" s="31">
        <v>448742.32</v>
      </c>
      <c r="AD172" s="42" t="s">
        <v>549</v>
      </c>
      <c r="AE172" s="42" t="s">
        <v>550</v>
      </c>
      <c r="AF172" s="43" t="s">
        <v>1275</v>
      </c>
      <c r="AG172" s="44">
        <v>32</v>
      </c>
      <c r="AH172" s="31">
        <v>19104852.266829308</v>
      </c>
      <c r="AI172" s="31">
        <v>782653.4600000002</v>
      </c>
      <c r="AJ172" s="31">
        <v>416049.30999999994</v>
      </c>
      <c r="AK172" s="31">
        <v>64057.69</v>
      </c>
      <c r="AL172" s="31">
        <v>2648019.0805109157</v>
      </c>
      <c r="AM172" s="31">
        <v>1293685.8362169391</v>
      </c>
      <c r="AN172" s="31">
        <v>864483.22739582811</v>
      </c>
      <c r="AO172" s="31">
        <f t="shared" si="14"/>
        <v>25630500.970952991</v>
      </c>
      <c r="AP172" s="31">
        <v>456700.10000000003</v>
      </c>
      <c r="AR172" s="42" t="s">
        <v>549</v>
      </c>
      <c r="AS172" s="42" t="s">
        <v>550</v>
      </c>
      <c r="AT172" s="43" t="s">
        <v>1276</v>
      </c>
      <c r="AU172" s="44">
        <v>32</v>
      </c>
      <c r="AV172" s="31">
        <v>19845563.796168361</v>
      </c>
      <c r="AW172" s="31">
        <v>811631.01000000024</v>
      </c>
      <c r="AX172" s="31">
        <v>423701.43999999989</v>
      </c>
      <c r="AY172" s="31">
        <v>66452.12999999999</v>
      </c>
      <c r="AZ172" s="31">
        <v>2699066.5085206376</v>
      </c>
      <c r="BA172" s="31">
        <v>1293741.9466336593</v>
      </c>
      <c r="BB172" s="31">
        <v>880504.64002831827</v>
      </c>
      <c r="BC172" s="31">
        <f t="shared" si="15"/>
        <v>26485884.341350976</v>
      </c>
      <c r="BD172" s="31">
        <v>465222.87000000005</v>
      </c>
    </row>
    <row r="173" spans="2:56">
      <c r="B173" s="42" t="s">
        <v>145</v>
      </c>
      <c r="C173" s="42" t="s">
        <v>146</v>
      </c>
      <c r="D173" s="43" t="s">
        <v>1049</v>
      </c>
      <c r="E173" s="44">
        <v>32</v>
      </c>
      <c r="F173" s="31">
        <v>6384921.8202214371</v>
      </c>
      <c r="G173" s="31">
        <v>340854.69000000006</v>
      </c>
      <c r="H173" s="31">
        <v>28745.600000000002</v>
      </c>
      <c r="I173" s="31">
        <v>20365.53</v>
      </c>
      <c r="J173" s="31">
        <v>898107.67840627523</v>
      </c>
      <c r="K173" s="31">
        <v>593477.41942498717</v>
      </c>
      <c r="L173" s="31">
        <v>346985.02301399177</v>
      </c>
      <c r="M173" s="31">
        <f t="shared" si="12"/>
        <v>8823836.6210666914</v>
      </c>
      <c r="N173" s="31">
        <v>210378.86</v>
      </c>
      <c r="P173" s="42" t="s">
        <v>145</v>
      </c>
      <c r="Q173" s="42" t="s">
        <v>146</v>
      </c>
      <c r="R173" s="43" t="s">
        <v>1050</v>
      </c>
      <c r="S173" s="44">
        <v>32</v>
      </c>
      <c r="T173" s="31">
        <v>6705386.2470600819</v>
      </c>
      <c r="U173" s="31">
        <v>363225.33999999997</v>
      </c>
      <c r="V173" s="31">
        <v>29849.469999999998</v>
      </c>
      <c r="W173" s="31">
        <v>21451.140000000003</v>
      </c>
      <c r="X173" s="31">
        <v>922014.11753079318</v>
      </c>
      <c r="Y173" s="31">
        <v>593848.71721667994</v>
      </c>
      <c r="Z173" s="31">
        <v>362665.11305470142</v>
      </c>
      <c r="AA173" s="31">
        <f t="shared" si="13"/>
        <v>9213990.8848622572</v>
      </c>
      <c r="AB173" s="31">
        <v>215550.73999999996</v>
      </c>
      <c r="AD173" s="42" t="s">
        <v>145</v>
      </c>
      <c r="AE173" s="42" t="s">
        <v>146</v>
      </c>
      <c r="AF173" s="43" t="s">
        <v>1275</v>
      </c>
      <c r="AG173" s="44">
        <v>32</v>
      </c>
      <c r="AH173" s="31">
        <v>6816713.300341229</v>
      </c>
      <c r="AI173" s="31">
        <v>370749.31000000011</v>
      </c>
      <c r="AJ173" s="31">
        <v>30433.37</v>
      </c>
      <c r="AK173" s="31">
        <v>21870.760000000002</v>
      </c>
      <c r="AL173" s="31">
        <v>939790.24426355492</v>
      </c>
      <c r="AM173" s="31">
        <v>593722.57652834919</v>
      </c>
      <c r="AN173" s="31">
        <v>369650.62005420588</v>
      </c>
      <c r="AO173" s="31">
        <f t="shared" si="14"/>
        <v>9362278.5611873399</v>
      </c>
      <c r="AP173" s="31">
        <v>219348.37999999995</v>
      </c>
      <c r="AR173" s="42" t="s">
        <v>145</v>
      </c>
      <c r="AS173" s="42" t="s">
        <v>146</v>
      </c>
      <c r="AT173" s="43" t="s">
        <v>1276</v>
      </c>
      <c r="AU173" s="44">
        <v>32</v>
      </c>
      <c r="AV173" s="31">
        <v>6788106.71820773</v>
      </c>
      <c r="AW173" s="31">
        <v>377457.77000000008</v>
      </c>
      <c r="AX173" s="31">
        <v>30989.119999999999</v>
      </c>
      <c r="AY173" s="31">
        <v>22270.14</v>
      </c>
      <c r="AZ173" s="31">
        <v>948243.81310019572</v>
      </c>
      <c r="BA173" s="31">
        <v>593742.64997050911</v>
      </c>
      <c r="BB173" s="31">
        <v>376465.23916103505</v>
      </c>
      <c r="BC173" s="31">
        <f t="shared" si="15"/>
        <v>9360691.1004394703</v>
      </c>
      <c r="BD173" s="31">
        <v>223415.64999999997</v>
      </c>
    </row>
    <row r="174" spans="2:56">
      <c r="B174" s="42" t="s">
        <v>113</v>
      </c>
      <c r="C174" s="42" t="s">
        <v>114</v>
      </c>
      <c r="D174" s="43" t="s">
        <v>1049</v>
      </c>
      <c r="E174" s="44">
        <v>32</v>
      </c>
      <c r="F174" s="31">
        <v>16709870.13729937</v>
      </c>
      <c r="G174" s="31">
        <v>958056.95000000019</v>
      </c>
      <c r="H174" s="31">
        <v>1128386.83</v>
      </c>
      <c r="I174" s="31">
        <v>57198.879999999997</v>
      </c>
      <c r="J174" s="31">
        <v>2692651.9099983489</v>
      </c>
      <c r="K174" s="31">
        <v>1509616.5768358549</v>
      </c>
      <c r="L174" s="31">
        <v>989890.6474760616</v>
      </c>
      <c r="M174" s="31">
        <f t="shared" si="12"/>
        <v>24635882.551609635</v>
      </c>
      <c r="N174" s="31">
        <v>590210.61999999988</v>
      </c>
      <c r="P174" s="42" t="s">
        <v>113</v>
      </c>
      <c r="Q174" s="42" t="s">
        <v>114</v>
      </c>
      <c r="R174" s="43" t="s">
        <v>1050</v>
      </c>
      <c r="S174" s="44">
        <v>32</v>
      </c>
      <c r="T174" s="31">
        <v>17654556.64935185</v>
      </c>
      <c r="U174" s="31">
        <v>1009984.1799999999</v>
      </c>
      <c r="V174" s="31">
        <v>1171718.02</v>
      </c>
      <c r="W174" s="31">
        <v>59800.12999999999</v>
      </c>
      <c r="X174" s="31">
        <v>2782368.7088984996</v>
      </c>
      <c r="Y174" s="31">
        <v>1510794.0494598208</v>
      </c>
      <c r="Z174" s="31">
        <v>1034949.9354115529</v>
      </c>
      <c r="AA174" s="31">
        <f t="shared" si="13"/>
        <v>25828891.833121724</v>
      </c>
      <c r="AB174" s="31">
        <v>604720.15999999992</v>
      </c>
      <c r="AD174" s="42" t="s">
        <v>113</v>
      </c>
      <c r="AE174" s="42" t="s">
        <v>114</v>
      </c>
      <c r="AF174" s="43" t="s">
        <v>1275</v>
      </c>
      <c r="AG174" s="44">
        <v>32</v>
      </c>
      <c r="AH174" s="31">
        <v>18054089.425634287</v>
      </c>
      <c r="AI174" s="31">
        <v>1033391.6400000002</v>
      </c>
      <c r="AJ174" s="31">
        <v>1194638.32</v>
      </c>
      <c r="AK174" s="31">
        <v>61073.03</v>
      </c>
      <c r="AL174" s="31">
        <v>2836568.5885180836</v>
      </c>
      <c r="AM174" s="31">
        <v>1510394.0276697625</v>
      </c>
      <c r="AN174" s="31">
        <v>1054885.067304116</v>
      </c>
      <c r="AO174" s="31">
        <f t="shared" si="14"/>
        <v>26360414.39912625</v>
      </c>
      <c r="AP174" s="31">
        <v>615374.29999999993</v>
      </c>
      <c r="AR174" s="42" t="s">
        <v>113</v>
      </c>
      <c r="AS174" s="42" t="s">
        <v>114</v>
      </c>
      <c r="AT174" s="43" t="s">
        <v>1276</v>
      </c>
      <c r="AU174" s="44">
        <v>32</v>
      </c>
      <c r="AV174" s="31">
        <v>18384294.566944424</v>
      </c>
      <c r="AW174" s="31">
        <v>1052614.29</v>
      </c>
      <c r="AX174" s="31">
        <v>1216453.51</v>
      </c>
      <c r="AY174" s="31">
        <v>62188.289999999994</v>
      </c>
      <c r="AZ174" s="31">
        <v>2887247.3077642303</v>
      </c>
      <c r="BA174" s="31">
        <v>1510457.6852759775</v>
      </c>
      <c r="BB174" s="31">
        <v>1074332.5192630908</v>
      </c>
      <c r="BC174" s="31">
        <f t="shared" si="15"/>
        <v>26814373.059247728</v>
      </c>
      <c r="BD174" s="31">
        <v>626784.8899999999</v>
      </c>
    </row>
    <row r="175" spans="2:56">
      <c r="B175" s="42" t="s">
        <v>231</v>
      </c>
      <c r="C175" s="42" t="s">
        <v>232</v>
      </c>
      <c r="D175" s="43" t="s">
        <v>1049</v>
      </c>
      <c r="E175" s="44">
        <v>32</v>
      </c>
      <c r="F175" s="31">
        <v>49315801.343260519</v>
      </c>
      <c r="G175" s="31">
        <v>1299260.1499999999</v>
      </c>
      <c r="H175" s="31">
        <v>426386.77</v>
      </c>
      <c r="I175" s="31">
        <v>176381.41000000003</v>
      </c>
      <c r="J175" s="31">
        <v>7601825.8501590816</v>
      </c>
      <c r="K175" s="31">
        <v>3261896.604598667</v>
      </c>
      <c r="L175" s="31">
        <v>3482825.6920225676</v>
      </c>
      <c r="M175" s="31">
        <f t="shared" si="12"/>
        <v>65675378.400040828</v>
      </c>
      <c r="N175" s="31">
        <v>111000.58</v>
      </c>
      <c r="P175" s="42" t="s">
        <v>231</v>
      </c>
      <c r="Q175" s="42" t="s">
        <v>232</v>
      </c>
      <c r="R175" s="43" t="s">
        <v>1050</v>
      </c>
      <c r="S175" s="44">
        <v>32</v>
      </c>
      <c r="T175" s="31">
        <v>53253460.711203083</v>
      </c>
      <c r="U175" s="31">
        <v>1388059.6800000002</v>
      </c>
      <c r="V175" s="31">
        <v>442144.36000000004</v>
      </c>
      <c r="W175" s="31">
        <v>188286.05</v>
      </c>
      <c r="X175" s="31">
        <v>7926607.1798843518</v>
      </c>
      <c r="Y175" s="31">
        <v>3266227.0981647195</v>
      </c>
      <c r="Z175" s="31">
        <v>3603834.4987034942</v>
      </c>
      <c r="AA175" s="31">
        <f t="shared" si="13"/>
        <v>70182398.787955642</v>
      </c>
      <c r="AB175" s="31">
        <v>113779.20999999998</v>
      </c>
      <c r="AD175" s="42" t="s">
        <v>231</v>
      </c>
      <c r="AE175" s="42" t="s">
        <v>232</v>
      </c>
      <c r="AF175" s="43" t="s">
        <v>1275</v>
      </c>
      <c r="AG175" s="44">
        <v>32</v>
      </c>
      <c r="AH175" s="31">
        <v>54917255.694663152</v>
      </c>
      <c r="AI175" s="31">
        <v>1428360.8299999998</v>
      </c>
      <c r="AJ175" s="31">
        <v>450813.73</v>
      </c>
      <c r="AK175" s="31">
        <v>193768.73000000004</v>
      </c>
      <c r="AL175" s="31">
        <v>8090102.8139075926</v>
      </c>
      <c r="AM175" s="31">
        <v>3264590.4958589077</v>
      </c>
      <c r="AN175" s="31">
        <v>3673473.8785063978</v>
      </c>
      <c r="AO175" s="31">
        <f t="shared" si="14"/>
        <v>72134185.702936038</v>
      </c>
      <c r="AP175" s="31">
        <v>115819.52999999997</v>
      </c>
      <c r="AR175" s="42" t="s">
        <v>231</v>
      </c>
      <c r="AS175" s="42" t="s">
        <v>232</v>
      </c>
      <c r="AT175" s="43" t="s">
        <v>1276</v>
      </c>
      <c r="AU175" s="44">
        <v>32</v>
      </c>
      <c r="AV175" s="31">
        <v>55933717.62278384</v>
      </c>
      <c r="AW175" s="31">
        <v>1452373.6099999999</v>
      </c>
      <c r="AX175" s="31">
        <v>459207.65999999992</v>
      </c>
      <c r="AY175" s="31">
        <v>197011.77</v>
      </c>
      <c r="AZ175" s="31">
        <v>8254896.5545040555</v>
      </c>
      <c r="BA175" s="31">
        <v>3264842.3810114674</v>
      </c>
      <c r="BB175" s="31">
        <v>3742192.9853722672</v>
      </c>
      <c r="BC175" s="31">
        <f t="shared" si="15"/>
        <v>73422247.283671632</v>
      </c>
      <c r="BD175" s="31">
        <v>118004.69999999998</v>
      </c>
    </row>
    <row r="176" spans="2:56">
      <c r="B176" s="42" t="s">
        <v>323</v>
      </c>
      <c r="C176" s="42" t="s">
        <v>324</v>
      </c>
      <c r="D176" s="43" t="s">
        <v>1049</v>
      </c>
      <c r="E176" s="44">
        <v>32</v>
      </c>
      <c r="F176" s="31">
        <v>18452896.1620875</v>
      </c>
      <c r="G176" s="31">
        <v>844105.79</v>
      </c>
      <c r="H176" s="31">
        <v>482126.31</v>
      </c>
      <c r="I176" s="31">
        <v>66793.849999999991</v>
      </c>
      <c r="J176" s="31">
        <v>3123279.1372091332</v>
      </c>
      <c r="K176" s="31">
        <v>2097123.2148924915</v>
      </c>
      <c r="L176" s="31">
        <v>2173907.8017640822</v>
      </c>
      <c r="M176" s="31">
        <f t="shared" si="12"/>
        <v>27673314.875953205</v>
      </c>
      <c r="N176" s="31">
        <v>433082.60999999993</v>
      </c>
      <c r="P176" s="42" t="s">
        <v>323</v>
      </c>
      <c r="Q176" s="42" t="s">
        <v>324</v>
      </c>
      <c r="R176" s="43" t="s">
        <v>1050</v>
      </c>
      <c r="S176" s="44">
        <v>32</v>
      </c>
      <c r="T176" s="31">
        <v>19712863.316031069</v>
      </c>
      <c r="U176" s="31">
        <v>901988.64000000013</v>
      </c>
      <c r="V176" s="31">
        <v>500384.87000000005</v>
      </c>
      <c r="W176" s="31">
        <v>70920.700000000012</v>
      </c>
      <c r="X176" s="31">
        <v>3212546.1728978707</v>
      </c>
      <c r="Y176" s="31">
        <v>2099225.8736789441</v>
      </c>
      <c r="Z176" s="31">
        <v>2272544.8758839369</v>
      </c>
      <c r="AA176" s="31">
        <f t="shared" si="13"/>
        <v>29214275.148491822</v>
      </c>
      <c r="AB176" s="31">
        <v>443800.69999999995</v>
      </c>
      <c r="AD176" s="42" t="s">
        <v>323</v>
      </c>
      <c r="AE176" s="42" t="s">
        <v>324</v>
      </c>
      <c r="AF176" s="43" t="s">
        <v>1275</v>
      </c>
      <c r="AG176" s="44">
        <v>32</v>
      </c>
      <c r="AH176" s="31">
        <v>20091263.145636749</v>
      </c>
      <c r="AI176" s="31">
        <v>920466.72000000009</v>
      </c>
      <c r="AJ176" s="31">
        <v>510181.53</v>
      </c>
      <c r="AK176" s="31">
        <v>72309.209999999992</v>
      </c>
      <c r="AL176" s="31">
        <v>3272231.7966051176</v>
      </c>
      <c r="AM176" s="31">
        <v>2098483.692538775</v>
      </c>
      <c r="AN176" s="31">
        <v>2316370.5594965345</v>
      </c>
      <c r="AO176" s="31">
        <f t="shared" si="14"/>
        <v>29732977.484277174</v>
      </c>
      <c r="AP176" s="31">
        <v>451670.82999999996</v>
      </c>
      <c r="AR176" s="42" t="s">
        <v>323</v>
      </c>
      <c r="AS176" s="42" t="s">
        <v>324</v>
      </c>
      <c r="AT176" s="43" t="s">
        <v>1276</v>
      </c>
      <c r="AU176" s="44">
        <v>32</v>
      </c>
      <c r="AV176" s="31">
        <v>20462762.690344974</v>
      </c>
      <c r="AW176" s="31">
        <v>937274.61999999988</v>
      </c>
      <c r="AX176" s="31">
        <v>519564.97</v>
      </c>
      <c r="AY176" s="31">
        <v>73639.149999999994</v>
      </c>
      <c r="AZ176" s="31">
        <v>3332827.8198118163</v>
      </c>
      <c r="BA176" s="31">
        <v>2098600.3593491749</v>
      </c>
      <c r="BB176" s="31">
        <v>2359299.3486409066</v>
      </c>
      <c r="BC176" s="31">
        <f t="shared" si="15"/>
        <v>30244068.708146874</v>
      </c>
      <c r="BD176" s="31">
        <v>460099.74999999994</v>
      </c>
    </row>
    <row r="177" spans="2:56">
      <c r="B177" s="42" t="s">
        <v>353</v>
      </c>
      <c r="C177" s="42" t="s">
        <v>354</v>
      </c>
      <c r="D177" s="43" t="s">
        <v>1049</v>
      </c>
      <c r="E177" s="44">
        <v>32</v>
      </c>
      <c r="F177" s="31">
        <v>1941549.5505428584</v>
      </c>
      <c r="G177" s="31">
        <v>38002.65</v>
      </c>
      <c r="H177" s="31">
        <v>0</v>
      </c>
      <c r="I177" s="31">
        <v>0</v>
      </c>
      <c r="J177" s="31">
        <v>74725.554338031492</v>
      </c>
      <c r="K177" s="31">
        <v>149369.75704981267</v>
      </c>
      <c r="L177" s="31">
        <v>0</v>
      </c>
      <c r="M177" s="31">
        <f t="shared" si="12"/>
        <v>2228787.7519307025</v>
      </c>
      <c r="N177" s="31">
        <v>25140.239999999998</v>
      </c>
      <c r="P177" s="42" t="s">
        <v>353</v>
      </c>
      <c r="Q177" s="42" t="s">
        <v>354</v>
      </c>
      <c r="R177" s="43" t="s">
        <v>1050</v>
      </c>
      <c r="S177" s="44">
        <v>32</v>
      </c>
      <c r="T177" s="31">
        <v>2006620.639680224</v>
      </c>
      <c r="U177" s="31">
        <v>34547.770000000004</v>
      </c>
      <c r="V177" s="31">
        <v>0</v>
      </c>
      <c r="W177" s="31">
        <v>0</v>
      </c>
      <c r="X177" s="31">
        <v>76242.13877433275</v>
      </c>
      <c r="Y177" s="31">
        <v>149530.03785613913</v>
      </c>
      <c r="Z177" s="31">
        <v>0</v>
      </c>
      <c r="AA177" s="31">
        <f t="shared" si="13"/>
        <v>2292698.8663106957</v>
      </c>
      <c r="AB177" s="31">
        <v>25758.280000000002</v>
      </c>
      <c r="AD177" s="42" t="s">
        <v>353</v>
      </c>
      <c r="AE177" s="42" t="s">
        <v>354</v>
      </c>
      <c r="AF177" s="43" t="s">
        <v>1275</v>
      </c>
      <c r="AG177" s="44">
        <v>32</v>
      </c>
      <c r="AH177" s="31">
        <v>2045213.1438651818</v>
      </c>
      <c r="AI177" s="31">
        <v>34860.94</v>
      </c>
      <c r="AJ177" s="31">
        <v>0</v>
      </c>
      <c r="AK177" s="31">
        <v>0</v>
      </c>
      <c r="AL177" s="31">
        <v>77590.009618022101</v>
      </c>
      <c r="AM177" s="31">
        <v>149475.58579181621</v>
      </c>
      <c r="AN177" s="31">
        <v>0</v>
      </c>
      <c r="AO177" s="31">
        <f t="shared" si="14"/>
        <v>2333351.7692750199</v>
      </c>
      <c r="AP177" s="31">
        <v>26212.09</v>
      </c>
      <c r="AR177" s="42" t="s">
        <v>353</v>
      </c>
      <c r="AS177" s="42" t="s">
        <v>354</v>
      </c>
      <c r="AT177" s="43" t="s">
        <v>1276</v>
      </c>
      <c r="AU177" s="44">
        <v>32</v>
      </c>
      <c r="AV177" s="31">
        <v>2082690.9159906702</v>
      </c>
      <c r="AW177" s="31">
        <v>35490.159999999989</v>
      </c>
      <c r="AX177" s="31">
        <v>0</v>
      </c>
      <c r="AY177" s="31">
        <v>0</v>
      </c>
      <c r="AZ177" s="31">
        <v>78857.137587005971</v>
      </c>
      <c r="BA177" s="31">
        <v>149484.25103994622</v>
      </c>
      <c r="BB177" s="31">
        <v>0</v>
      </c>
      <c r="BC177" s="31">
        <f t="shared" si="15"/>
        <v>2373220.5946176229</v>
      </c>
      <c r="BD177" s="31">
        <v>26698.13</v>
      </c>
    </row>
    <row r="178" spans="2:56">
      <c r="B178" s="42" t="s">
        <v>509</v>
      </c>
      <c r="C178" s="42" t="s">
        <v>510</v>
      </c>
      <c r="D178" s="43" t="s">
        <v>1049</v>
      </c>
      <c r="E178" s="44">
        <v>32</v>
      </c>
      <c r="F178" s="31">
        <v>123435730.01552919</v>
      </c>
      <c r="G178" s="31">
        <v>4131326.8099999996</v>
      </c>
      <c r="H178" s="31">
        <v>1391366.9499999997</v>
      </c>
      <c r="I178" s="31">
        <v>430464.23000000004</v>
      </c>
      <c r="J178" s="31">
        <v>20149568.994290508</v>
      </c>
      <c r="K178" s="31">
        <v>7819920.7465654491</v>
      </c>
      <c r="L178" s="31">
        <v>9346521.1997727305</v>
      </c>
      <c r="M178" s="31">
        <f t="shared" si="12"/>
        <v>167711904.81615788</v>
      </c>
      <c r="N178" s="31">
        <v>1007005.8700000001</v>
      </c>
      <c r="P178" s="42" t="s">
        <v>509</v>
      </c>
      <c r="Q178" s="42" t="s">
        <v>510</v>
      </c>
      <c r="R178" s="43" t="s">
        <v>1050</v>
      </c>
      <c r="S178" s="44">
        <v>32</v>
      </c>
      <c r="T178" s="31">
        <v>133359190.13934435</v>
      </c>
      <c r="U178" s="31">
        <v>4445682.7499999991</v>
      </c>
      <c r="V178" s="31">
        <v>1432107.1800000002</v>
      </c>
      <c r="W178" s="31">
        <v>461862.86999999994</v>
      </c>
      <c r="X178" s="31">
        <v>20725236.678286873</v>
      </c>
      <c r="Y178" s="31">
        <v>7827042.6915352885</v>
      </c>
      <c r="Z178" s="31">
        <v>9611064.1713005118</v>
      </c>
      <c r="AA178" s="31">
        <f t="shared" si="13"/>
        <v>178885238.44046703</v>
      </c>
      <c r="AB178" s="31">
        <v>1023051.96</v>
      </c>
      <c r="AD178" s="42" t="s">
        <v>509</v>
      </c>
      <c r="AE178" s="42" t="s">
        <v>510</v>
      </c>
      <c r="AF178" s="43" t="s">
        <v>1275</v>
      </c>
      <c r="AG178" s="44">
        <v>32</v>
      </c>
      <c r="AH178" s="31">
        <v>136395889.6592654</v>
      </c>
      <c r="AI178" s="31">
        <v>4547430.9600000009</v>
      </c>
      <c r="AJ178" s="31">
        <v>1460133.5000000002</v>
      </c>
      <c r="AK178" s="31">
        <v>472277.81000000006</v>
      </c>
      <c r="AL178" s="31">
        <v>21119349.955524381</v>
      </c>
      <c r="AM178" s="31">
        <v>7824569.3407421829</v>
      </c>
      <c r="AN178" s="31">
        <v>9796282.1722893398</v>
      </c>
      <c r="AO178" s="31">
        <f t="shared" si="14"/>
        <v>182657070.2478213</v>
      </c>
      <c r="AP178" s="31">
        <v>1041136.8500000001</v>
      </c>
      <c r="AR178" s="42" t="s">
        <v>509</v>
      </c>
      <c r="AS178" s="42" t="s">
        <v>510</v>
      </c>
      <c r="AT178" s="43" t="s">
        <v>1276</v>
      </c>
      <c r="AU178" s="44">
        <v>32</v>
      </c>
      <c r="AV178" s="31">
        <v>139083741.64928657</v>
      </c>
      <c r="AW178" s="31">
        <v>4636204.9000000004</v>
      </c>
      <c r="AX178" s="31">
        <v>1486895.28</v>
      </c>
      <c r="AY178" s="31">
        <v>481472.91000000003</v>
      </c>
      <c r="AZ178" s="31">
        <v>21508227.64497561</v>
      </c>
      <c r="BA178" s="31">
        <v>7824960.4678799324</v>
      </c>
      <c r="BB178" s="31">
        <v>9977387.6091266498</v>
      </c>
      <c r="BC178" s="31">
        <f t="shared" si="15"/>
        <v>186059396.23126876</v>
      </c>
      <c r="BD178" s="31">
        <v>1060505.77</v>
      </c>
    </row>
    <row r="179" spans="2:56">
      <c r="B179" s="42" t="s">
        <v>503</v>
      </c>
      <c r="C179" s="42" t="s">
        <v>504</v>
      </c>
      <c r="D179" s="43" t="s">
        <v>1049</v>
      </c>
      <c r="E179" s="44">
        <v>32</v>
      </c>
      <c r="F179" s="31">
        <v>3110220.5753675755</v>
      </c>
      <c r="G179" s="31">
        <v>104848.38999999998</v>
      </c>
      <c r="H179" s="31">
        <v>0</v>
      </c>
      <c r="I179" s="31">
        <v>0</v>
      </c>
      <c r="J179" s="31">
        <v>207434.68508498417</v>
      </c>
      <c r="K179" s="31">
        <v>281291.59612940717</v>
      </c>
      <c r="L179" s="31">
        <v>61693.83171361687</v>
      </c>
      <c r="M179" s="31">
        <f t="shared" si="12"/>
        <v>3808363.8682955839</v>
      </c>
      <c r="N179" s="31">
        <v>42874.790000000008</v>
      </c>
      <c r="P179" s="42" t="s">
        <v>503</v>
      </c>
      <c r="Q179" s="42" t="s">
        <v>504</v>
      </c>
      <c r="R179" s="43" t="s">
        <v>1050</v>
      </c>
      <c r="S179" s="44">
        <v>32</v>
      </c>
      <c r="T179" s="31">
        <v>3133418.7133255494</v>
      </c>
      <c r="U179" s="31">
        <v>108252.86999999997</v>
      </c>
      <c r="V179" s="31">
        <v>0</v>
      </c>
      <c r="W179" s="31">
        <v>0</v>
      </c>
      <c r="X179" s="31">
        <v>212551.89865430622</v>
      </c>
      <c r="Y179" s="31">
        <v>281544.19758662197</v>
      </c>
      <c r="Z179" s="31">
        <v>64499.075378665868</v>
      </c>
      <c r="AA179" s="31">
        <f t="shared" si="13"/>
        <v>3844195.5749451434</v>
      </c>
      <c r="AB179" s="31">
        <v>43928.820000000007</v>
      </c>
      <c r="AD179" s="42" t="s">
        <v>503</v>
      </c>
      <c r="AE179" s="42" t="s">
        <v>504</v>
      </c>
      <c r="AF179" s="43" t="s">
        <v>1275</v>
      </c>
      <c r="AG179" s="44">
        <v>32</v>
      </c>
      <c r="AH179" s="31">
        <v>3168886.7042559297</v>
      </c>
      <c r="AI179" s="31">
        <v>108701.99999999994</v>
      </c>
      <c r="AJ179" s="31">
        <v>0</v>
      </c>
      <c r="AK179" s="31">
        <v>0</v>
      </c>
      <c r="AL179" s="31">
        <v>216109.89701891239</v>
      </c>
      <c r="AM179" s="31">
        <v>281458.38150476175</v>
      </c>
      <c r="AN179" s="31">
        <v>65741.487839311987</v>
      </c>
      <c r="AO179" s="31">
        <f t="shared" si="14"/>
        <v>3885601.2406189153</v>
      </c>
      <c r="AP179" s="31">
        <v>44702.770000000011</v>
      </c>
      <c r="AR179" s="42" t="s">
        <v>503</v>
      </c>
      <c r="AS179" s="42" t="s">
        <v>504</v>
      </c>
      <c r="AT179" s="43" t="s">
        <v>1276</v>
      </c>
      <c r="AU179" s="44">
        <v>32</v>
      </c>
      <c r="AV179" s="31">
        <v>3196522.6415040744</v>
      </c>
      <c r="AW179" s="31">
        <v>110674.40999999995</v>
      </c>
      <c r="AX179" s="31">
        <v>0</v>
      </c>
      <c r="AY179" s="31">
        <v>0</v>
      </c>
      <c r="AZ179" s="31">
        <v>220286.26786309466</v>
      </c>
      <c r="BA179" s="31">
        <v>281472.03787669376</v>
      </c>
      <c r="BB179" s="31">
        <v>66953.527965423971</v>
      </c>
      <c r="BC179" s="31">
        <f t="shared" si="15"/>
        <v>3921440.555209287</v>
      </c>
      <c r="BD179" s="31">
        <v>45531.670000000013</v>
      </c>
    </row>
    <row r="180" spans="2:56">
      <c r="B180" s="42" t="s">
        <v>219</v>
      </c>
      <c r="C180" s="42" t="s">
        <v>220</v>
      </c>
      <c r="D180" s="43" t="s">
        <v>1049</v>
      </c>
      <c r="E180" s="44">
        <v>32</v>
      </c>
      <c r="F180" s="31">
        <v>208765894.03656435</v>
      </c>
      <c r="G180" s="31">
        <v>2348627.81</v>
      </c>
      <c r="H180" s="31">
        <v>3799313.9599999995</v>
      </c>
      <c r="I180" s="31">
        <v>730368.00999999989</v>
      </c>
      <c r="J180" s="31">
        <v>27960204.93074733</v>
      </c>
      <c r="K180" s="31">
        <v>11460425.155261811</v>
      </c>
      <c r="L180" s="31">
        <v>10817746.007111154</v>
      </c>
      <c r="M180" s="31">
        <f t="shared" si="12"/>
        <v>265882579.90968466</v>
      </c>
      <c r="N180" s="31">
        <v>0</v>
      </c>
      <c r="P180" s="42" t="s">
        <v>219</v>
      </c>
      <c r="Q180" s="42" t="s">
        <v>220</v>
      </c>
      <c r="R180" s="43" t="s">
        <v>1050</v>
      </c>
      <c r="S180" s="44">
        <v>32</v>
      </c>
      <c r="T180" s="31">
        <v>223500819.95301786</v>
      </c>
      <c r="U180" s="31">
        <v>2511183.2599999998</v>
      </c>
      <c r="V180" s="31">
        <v>3939721.72</v>
      </c>
      <c r="W180" s="31">
        <v>780895.33</v>
      </c>
      <c r="X180" s="31">
        <v>28876543.703670368</v>
      </c>
      <c r="Y180" s="31">
        <v>11469474.595419252</v>
      </c>
      <c r="Z180" s="31">
        <v>11193602.979639737</v>
      </c>
      <c r="AA180" s="31">
        <f t="shared" si="13"/>
        <v>282272241.54174715</v>
      </c>
      <c r="AB180" s="31">
        <v>0</v>
      </c>
      <c r="AD180" s="42" t="s">
        <v>219</v>
      </c>
      <c r="AE180" s="42" t="s">
        <v>220</v>
      </c>
      <c r="AF180" s="43" t="s">
        <v>1275</v>
      </c>
      <c r="AG180" s="44">
        <v>32</v>
      </c>
      <c r="AH180" s="31">
        <v>231200930.43692493</v>
      </c>
      <c r="AI180" s="31">
        <v>2593611.73</v>
      </c>
      <c r="AJ180" s="31">
        <v>4016970.1699999995</v>
      </c>
      <c r="AK180" s="31">
        <v>806474.28</v>
      </c>
      <c r="AL180" s="31">
        <v>29453042.323770132</v>
      </c>
      <c r="AM180" s="31">
        <v>11466054.584650947</v>
      </c>
      <c r="AN180" s="31">
        <v>11409904.626353964</v>
      </c>
      <c r="AO180" s="31">
        <f t="shared" si="14"/>
        <v>290946988.15169996</v>
      </c>
      <c r="AP180" s="31">
        <v>0</v>
      </c>
      <c r="AR180" s="42" t="s">
        <v>219</v>
      </c>
      <c r="AS180" s="42" t="s">
        <v>220</v>
      </c>
      <c r="AT180" s="43" t="s">
        <v>1276</v>
      </c>
      <c r="AU180" s="44">
        <v>32</v>
      </c>
      <c r="AV180" s="31">
        <v>238969965.88435015</v>
      </c>
      <c r="AW180" s="31">
        <v>2675711.5900000008</v>
      </c>
      <c r="AX180" s="31">
        <v>4091764.0499999993</v>
      </c>
      <c r="AY180" s="31">
        <v>832070.66</v>
      </c>
      <c r="AZ180" s="31">
        <v>30040566.126629133</v>
      </c>
      <c r="BA180" s="31">
        <v>11466580.949505176</v>
      </c>
      <c r="BB180" s="31">
        <v>11623347.747463861</v>
      </c>
      <c r="BC180" s="31">
        <f t="shared" si="15"/>
        <v>299700007.00794834</v>
      </c>
      <c r="BD180" s="31">
        <v>0</v>
      </c>
    </row>
    <row r="181" spans="2:56">
      <c r="B181" s="42" t="s">
        <v>167</v>
      </c>
      <c r="C181" s="42" t="s">
        <v>168</v>
      </c>
      <c r="D181" s="43" t="s">
        <v>1049</v>
      </c>
      <c r="E181" s="44">
        <v>32</v>
      </c>
      <c r="F181" s="31">
        <v>47837802.29688777</v>
      </c>
      <c r="G181" s="31">
        <v>1462102.0699999996</v>
      </c>
      <c r="H181" s="31">
        <v>369512.68000000005</v>
      </c>
      <c r="I181" s="31">
        <v>170693.52</v>
      </c>
      <c r="J181" s="31">
        <v>8510074.0109630115</v>
      </c>
      <c r="K181" s="31">
        <v>2406459.1287051979</v>
      </c>
      <c r="L181" s="31">
        <v>4453475.4989796439</v>
      </c>
      <c r="M181" s="31">
        <f t="shared" si="12"/>
        <v>65487927.225535631</v>
      </c>
      <c r="N181" s="31">
        <v>277808.02</v>
      </c>
      <c r="P181" s="42" t="s">
        <v>167</v>
      </c>
      <c r="Q181" s="42" t="s">
        <v>168</v>
      </c>
      <c r="R181" s="43" t="s">
        <v>1050</v>
      </c>
      <c r="S181" s="44">
        <v>32</v>
      </c>
      <c r="T181" s="31">
        <v>48087009.23646348</v>
      </c>
      <c r="U181" s="31">
        <v>1482458.29</v>
      </c>
      <c r="V181" s="31">
        <v>383329.35</v>
      </c>
      <c r="W181" s="31">
        <v>172716.2</v>
      </c>
      <c r="X181" s="31">
        <v>8757830.6890282147</v>
      </c>
      <c r="Y181" s="31">
        <v>2408156.5133885415</v>
      </c>
      <c r="Z181" s="31">
        <v>4609422.2543683797</v>
      </c>
      <c r="AA181" s="31">
        <f t="shared" si="13"/>
        <v>66185647.223248616</v>
      </c>
      <c r="AB181" s="31">
        <v>284724.69</v>
      </c>
      <c r="AD181" s="42" t="s">
        <v>167</v>
      </c>
      <c r="AE181" s="42" t="s">
        <v>168</v>
      </c>
      <c r="AF181" s="43" t="s">
        <v>1275</v>
      </c>
      <c r="AG181" s="44">
        <v>32</v>
      </c>
      <c r="AH181" s="31">
        <v>49011703.614748158</v>
      </c>
      <c r="AI181" s="31">
        <v>1512004.98</v>
      </c>
      <c r="AJ181" s="31">
        <v>390840.16</v>
      </c>
      <c r="AK181" s="31">
        <v>176100.35</v>
      </c>
      <c r="AL181" s="31">
        <v>8920955.9513661899</v>
      </c>
      <c r="AM181" s="31">
        <v>2407535.7889636871</v>
      </c>
      <c r="AN181" s="31">
        <v>4698402.4165735915</v>
      </c>
      <c r="AO181" s="31">
        <f t="shared" si="14"/>
        <v>67407346.761651635</v>
      </c>
      <c r="AP181" s="31">
        <v>289803.5</v>
      </c>
      <c r="AR181" s="42" t="s">
        <v>167</v>
      </c>
      <c r="AS181" s="42" t="s">
        <v>168</v>
      </c>
      <c r="AT181" s="43" t="s">
        <v>1276</v>
      </c>
      <c r="AU181" s="44">
        <v>32</v>
      </c>
      <c r="AV181" s="31">
        <v>49921965.973202214</v>
      </c>
      <c r="AW181" s="31">
        <v>1539919.3900000001</v>
      </c>
      <c r="AX181" s="31">
        <v>398075.11000000004</v>
      </c>
      <c r="AY181" s="31">
        <v>179360.18999999997</v>
      </c>
      <c r="AZ181" s="31">
        <v>9086937.172775425</v>
      </c>
      <c r="BA181" s="31">
        <v>2407632.2883496238</v>
      </c>
      <c r="BB181" s="31">
        <v>4785905.9986072145</v>
      </c>
      <c r="BC181" s="31">
        <f t="shared" si="15"/>
        <v>68615039.032934472</v>
      </c>
      <c r="BD181" s="31">
        <v>295242.91000000003</v>
      </c>
    </row>
    <row r="182" spans="2:56">
      <c r="B182" s="42" t="s">
        <v>579</v>
      </c>
      <c r="C182" s="42" t="s">
        <v>580</v>
      </c>
      <c r="D182" s="43" t="s">
        <v>1049</v>
      </c>
      <c r="E182" s="44">
        <v>32</v>
      </c>
      <c r="F182" s="31">
        <v>2328287.7949679666</v>
      </c>
      <c r="G182" s="31">
        <v>37931.699999999997</v>
      </c>
      <c r="H182" s="31">
        <v>0</v>
      </c>
      <c r="I182" s="31">
        <v>0</v>
      </c>
      <c r="J182" s="31">
        <v>175051.28276503447</v>
      </c>
      <c r="K182" s="31">
        <v>357241.67165562755</v>
      </c>
      <c r="L182" s="31">
        <v>54435.959349026438</v>
      </c>
      <c r="M182" s="31">
        <f t="shared" si="12"/>
        <v>2952948.4087376553</v>
      </c>
      <c r="N182" s="31">
        <v>0</v>
      </c>
      <c r="P182" s="42" t="s">
        <v>579</v>
      </c>
      <c r="Q182" s="42" t="s">
        <v>580</v>
      </c>
      <c r="R182" s="43" t="s">
        <v>1050</v>
      </c>
      <c r="S182" s="44">
        <v>32</v>
      </c>
      <c r="T182" s="31">
        <v>2253118.3988154209</v>
      </c>
      <c r="U182" s="31">
        <v>35500.060000000005</v>
      </c>
      <c r="V182" s="31">
        <v>0</v>
      </c>
      <c r="W182" s="31">
        <v>0</v>
      </c>
      <c r="X182" s="31">
        <v>178230.20107267983</v>
      </c>
      <c r="Y182" s="31">
        <v>357596.47114790545</v>
      </c>
      <c r="Z182" s="31">
        <v>56366.969206492446</v>
      </c>
      <c r="AA182" s="31">
        <f t="shared" si="13"/>
        <v>2880812.1002424988</v>
      </c>
      <c r="AB182" s="31">
        <v>0</v>
      </c>
      <c r="AD182" s="42" t="s">
        <v>579</v>
      </c>
      <c r="AE182" s="42" t="s">
        <v>580</v>
      </c>
      <c r="AF182" s="43" t="s">
        <v>1275</v>
      </c>
      <c r="AG182" s="44">
        <v>32</v>
      </c>
      <c r="AH182" s="31">
        <v>2296266.3526658267</v>
      </c>
      <c r="AI182" s="31">
        <v>36194.89</v>
      </c>
      <c r="AJ182" s="31">
        <v>0</v>
      </c>
      <c r="AK182" s="31">
        <v>0</v>
      </c>
      <c r="AL182" s="31">
        <v>181536.53753531317</v>
      </c>
      <c r="AM182" s="31">
        <v>357475.9354130408</v>
      </c>
      <c r="AN182" s="31">
        <v>57453.286812088707</v>
      </c>
      <c r="AO182" s="31">
        <f t="shared" si="14"/>
        <v>2928927.0024262695</v>
      </c>
      <c r="AP182" s="31">
        <v>0</v>
      </c>
      <c r="AR182" s="42" t="s">
        <v>579</v>
      </c>
      <c r="AS182" s="42" t="s">
        <v>580</v>
      </c>
      <c r="AT182" s="43" t="s">
        <v>1276</v>
      </c>
      <c r="AU182" s="44">
        <v>32</v>
      </c>
      <c r="AV182" s="31">
        <v>2338205.8599090436</v>
      </c>
      <c r="AW182" s="31">
        <v>36859.060000000005</v>
      </c>
      <c r="AX182" s="31">
        <v>0</v>
      </c>
      <c r="AY182" s="31">
        <v>0</v>
      </c>
      <c r="AZ182" s="31">
        <v>184888.69812398782</v>
      </c>
      <c r="BA182" s="31">
        <v>357495.11690898816</v>
      </c>
      <c r="BB182" s="31">
        <v>58515.429982922273</v>
      </c>
      <c r="BC182" s="31">
        <f t="shared" si="15"/>
        <v>2975964.164924942</v>
      </c>
      <c r="BD182" s="31">
        <v>0</v>
      </c>
    </row>
    <row r="183" spans="2:56">
      <c r="B183" s="42" t="s">
        <v>165</v>
      </c>
      <c r="C183" s="42" t="s">
        <v>166</v>
      </c>
      <c r="D183" s="43" t="s">
        <v>1049</v>
      </c>
      <c r="E183" s="44">
        <v>32</v>
      </c>
      <c r="F183" s="31">
        <v>3343253.8851690879</v>
      </c>
      <c r="G183" s="31">
        <v>154446.71000000002</v>
      </c>
      <c r="H183" s="31">
        <v>0</v>
      </c>
      <c r="I183" s="31">
        <v>9257.0600000000013</v>
      </c>
      <c r="J183" s="31">
        <v>437668.49279422534</v>
      </c>
      <c r="K183" s="31">
        <v>156279.95291078085</v>
      </c>
      <c r="L183" s="31">
        <v>254948.98544175434</v>
      </c>
      <c r="M183" s="31">
        <f t="shared" si="12"/>
        <v>4440727.7163158488</v>
      </c>
      <c r="N183" s="31">
        <v>84872.63</v>
      </c>
      <c r="P183" s="42" t="s">
        <v>165</v>
      </c>
      <c r="Q183" s="42" t="s">
        <v>166</v>
      </c>
      <c r="R183" s="43" t="s">
        <v>1050</v>
      </c>
      <c r="S183" s="44">
        <v>32</v>
      </c>
      <c r="T183" s="31">
        <v>3230262.8441822282</v>
      </c>
      <c r="U183" s="31">
        <v>147789.24000000005</v>
      </c>
      <c r="V183" s="31">
        <v>0</v>
      </c>
      <c r="W183" s="31">
        <v>8803.06</v>
      </c>
      <c r="X183" s="31">
        <v>455328.9311291842</v>
      </c>
      <c r="Y183" s="31">
        <v>156421.60933800289</v>
      </c>
      <c r="Z183" s="31">
        <v>266540.24612753734</v>
      </c>
      <c r="AA183" s="31">
        <f t="shared" si="13"/>
        <v>4352105.0407769531</v>
      </c>
      <c r="AB183" s="31">
        <v>86959.11</v>
      </c>
      <c r="AD183" s="42" t="s">
        <v>165</v>
      </c>
      <c r="AE183" s="42" t="s">
        <v>166</v>
      </c>
      <c r="AF183" s="43" t="s">
        <v>1275</v>
      </c>
      <c r="AG183" s="44">
        <v>32</v>
      </c>
      <c r="AH183" s="31">
        <v>3392586.895952099</v>
      </c>
      <c r="AI183" s="31">
        <v>150436.47</v>
      </c>
      <c r="AJ183" s="31">
        <v>0</v>
      </c>
      <c r="AK183" s="31">
        <v>8975.2799999999988</v>
      </c>
      <c r="AL183" s="31">
        <v>469536.86162710434</v>
      </c>
      <c r="AM183" s="31">
        <v>156373.48451842129</v>
      </c>
      <c r="AN183" s="31">
        <v>271674.25440417044</v>
      </c>
      <c r="AO183" s="31">
        <f t="shared" si="14"/>
        <v>4538074.4365017954</v>
      </c>
      <c r="AP183" s="31">
        <v>88491.19</v>
      </c>
      <c r="AR183" s="42" t="s">
        <v>165</v>
      </c>
      <c r="AS183" s="42" t="s">
        <v>166</v>
      </c>
      <c r="AT183" s="43" t="s">
        <v>1276</v>
      </c>
      <c r="AU183" s="44">
        <v>32</v>
      </c>
      <c r="AV183" s="31">
        <v>3513399.9400424305</v>
      </c>
      <c r="AW183" s="31">
        <v>154104.12</v>
      </c>
      <c r="AX183" s="31">
        <v>0</v>
      </c>
      <c r="AY183" s="31">
        <v>9139.17</v>
      </c>
      <c r="AZ183" s="31">
        <v>479583.40642280877</v>
      </c>
      <c r="BA183" s="31">
        <v>156381.14287826626</v>
      </c>
      <c r="BB183" s="31">
        <v>276682.64885880449</v>
      </c>
      <c r="BC183" s="31">
        <f t="shared" si="15"/>
        <v>4679422.4582023099</v>
      </c>
      <c r="BD183" s="31">
        <v>90132.03</v>
      </c>
    </row>
    <row r="184" spans="2:56">
      <c r="B184" s="42" t="s">
        <v>343</v>
      </c>
      <c r="C184" s="42" t="s">
        <v>344</v>
      </c>
      <c r="D184" s="43" t="s">
        <v>1049</v>
      </c>
      <c r="E184" s="44">
        <v>32</v>
      </c>
      <c r="F184" s="31">
        <v>8146740.6846200144</v>
      </c>
      <c r="G184" s="31">
        <v>409844.1100000001</v>
      </c>
      <c r="H184" s="31">
        <v>66845.72</v>
      </c>
      <c r="I184" s="31">
        <v>28745.600000000002</v>
      </c>
      <c r="J184" s="31">
        <v>1297826.7210932132</v>
      </c>
      <c r="K184" s="31">
        <v>905641.90498795279</v>
      </c>
      <c r="L184" s="31">
        <v>740529.53446643322</v>
      </c>
      <c r="M184" s="31">
        <f t="shared" si="12"/>
        <v>11888015.265167614</v>
      </c>
      <c r="N184" s="31">
        <v>291840.99</v>
      </c>
      <c r="P184" s="42" t="s">
        <v>343</v>
      </c>
      <c r="Q184" s="42" t="s">
        <v>344</v>
      </c>
      <c r="R184" s="43" t="s">
        <v>1050</v>
      </c>
      <c r="S184" s="44">
        <v>32</v>
      </c>
      <c r="T184" s="31">
        <v>8637434.0859793387</v>
      </c>
      <c r="U184" s="31">
        <v>433358.85000000003</v>
      </c>
      <c r="V184" s="31">
        <v>69412.659999999989</v>
      </c>
      <c r="W184" s="31">
        <v>30051.83</v>
      </c>
      <c r="X184" s="31">
        <v>1343911.9564803184</v>
      </c>
      <c r="Y184" s="31">
        <v>906303.82699053874</v>
      </c>
      <c r="Z184" s="31">
        <v>774274.97882838547</v>
      </c>
      <c r="AA184" s="31">
        <f t="shared" si="13"/>
        <v>12493763.688278582</v>
      </c>
      <c r="AB184" s="31">
        <v>299015.49999999994</v>
      </c>
      <c r="AD184" s="42" t="s">
        <v>343</v>
      </c>
      <c r="AE184" s="42" t="s">
        <v>344</v>
      </c>
      <c r="AF184" s="43" t="s">
        <v>1275</v>
      </c>
      <c r="AG184" s="44">
        <v>32</v>
      </c>
      <c r="AH184" s="31">
        <v>8632292.8464729339</v>
      </c>
      <c r="AI184" s="31">
        <v>433544.78000000009</v>
      </c>
      <c r="AJ184" s="31">
        <v>70770.460000000006</v>
      </c>
      <c r="AK184" s="31">
        <v>30020.720000000001</v>
      </c>
      <c r="AL184" s="31">
        <v>1371862.4571138863</v>
      </c>
      <c r="AM184" s="31">
        <v>906078.95278203138</v>
      </c>
      <c r="AN184" s="31">
        <v>789188.87998591317</v>
      </c>
      <c r="AO184" s="31">
        <f t="shared" si="14"/>
        <v>12538042.756354766</v>
      </c>
      <c r="AP184" s="31">
        <v>304283.65999999997</v>
      </c>
      <c r="AR184" s="42" t="s">
        <v>343</v>
      </c>
      <c r="AS184" s="42" t="s">
        <v>344</v>
      </c>
      <c r="AT184" s="43" t="s">
        <v>1276</v>
      </c>
      <c r="AU184" s="44">
        <v>32</v>
      </c>
      <c r="AV184" s="31">
        <v>8661188.3767865393</v>
      </c>
      <c r="AW184" s="31">
        <v>434968.10000000003</v>
      </c>
      <c r="AX184" s="31">
        <v>72062.789999999994</v>
      </c>
      <c r="AY184" s="31">
        <v>30148.730000000003</v>
      </c>
      <c r="AZ184" s="31">
        <v>1398654.9527849844</v>
      </c>
      <c r="BA184" s="31">
        <v>906114.7382171473</v>
      </c>
      <c r="BB184" s="31">
        <v>803738.00371778524</v>
      </c>
      <c r="BC184" s="31">
        <f t="shared" si="15"/>
        <v>12616801.531506456</v>
      </c>
      <c r="BD184" s="31">
        <v>309925.83999999991</v>
      </c>
    </row>
    <row r="185" spans="2:56">
      <c r="B185" s="42" t="s">
        <v>163</v>
      </c>
      <c r="C185" s="42" t="s">
        <v>164</v>
      </c>
      <c r="D185" s="43" t="s">
        <v>1049</v>
      </c>
      <c r="E185" s="44">
        <v>32</v>
      </c>
      <c r="F185" s="31">
        <v>5029803.8239824129</v>
      </c>
      <c r="G185" s="31">
        <v>271280.55999999994</v>
      </c>
      <c r="H185" s="31">
        <v>74056.47</v>
      </c>
      <c r="I185" s="31">
        <v>15980.6</v>
      </c>
      <c r="J185" s="31">
        <v>631518.47884935793</v>
      </c>
      <c r="K185" s="31">
        <v>491459.01277668402</v>
      </c>
      <c r="L185" s="31">
        <v>391213.77718566143</v>
      </c>
      <c r="M185" s="31">
        <f t="shared" si="12"/>
        <v>7073693.7627941156</v>
      </c>
      <c r="N185" s="31">
        <v>168381.04</v>
      </c>
      <c r="P185" s="42" t="s">
        <v>163</v>
      </c>
      <c r="Q185" s="42" t="s">
        <v>164</v>
      </c>
      <c r="R185" s="43" t="s">
        <v>1050</v>
      </c>
      <c r="S185" s="44">
        <v>32</v>
      </c>
      <c r="T185" s="31">
        <v>5458839.8068677606</v>
      </c>
      <c r="U185" s="31">
        <v>304261.5</v>
      </c>
      <c r="V185" s="31">
        <v>76900.319999999992</v>
      </c>
      <c r="W185" s="31">
        <v>17707.32</v>
      </c>
      <c r="X185" s="31">
        <v>647317.94425321289</v>
      </c>
      <c r="Y185" s="31">
        <v>491927.21837541624</v>
      </c>
      <c r="Z185" s="31">
        <v>408874.24214906472</v>
      </c>
      <c r="AA185" s="31">
        <f t="shared" si="13"/>
        <v>7578348.8216454545</v>
      </c>
      <c r="AB185" s="31">
        <v>172520.47</v>
      </c>
      <c r="AD185" s="42" t="s">
        <v>163</v>
      </c>
      <c r="AE185" s="42" t="s">
        <v>164</v>
      </c>
      <c r="AF185" s="43" t="s">
        <v>1275</v>
      </c>
      <c r="AG185" s="44">
        <v>32</v>
      </c>
      <c r="AH185" s="31">
        <v>5481171.1393675357</v>
      </c>
      <c r="AI185" s="31">
        <v>311064.28000000003</v>
      </c>
      <c r="AJ185" s="31">
        <v>78404.589999999982</v>
      </c>
      <c r="AK185" s="31">
        <v>18156.859999999997</v>
      </c>
      <c r="AL185" s="31">
        <v>654060.85405666812</v>
      </c>
      <c r="AM185" s="31">
        <v>491768.15527882433</v>
      </c>
      <c r="AN185" s="31">
        <v>416749.92022372282</v>
      </c>
      <c r="AO185" s="31">
        <f t="shared" si="14"/>
        <v>7626935.7889267523</v>
      </c>
      <c r="AP185" s="31">
        <v>175559.98999999996</v>
      </c>
      <c r="AR185" s="42" t="s">
        <v>163</v>
      </c>
      <c r="AS185" s="42" t="s">
        <v>164</v>
      </c>
      <c r="AT185" s="43" t="s">
        <v>1276</v>
      </c>
      <c r="AU185" s="44">
        <v>32</v>
      </c>
      <c r="AV185" s="31">
        <v>5505896.725002476</v>
      </c>
      <c r="AW185" s="31">
        <v>308921.63999999996</v>
      </c>
      <c r="AX185" s="31">
        <v>79836.339999999982</v>
      </c>
      <c r="AY185" s="31">
        <v>17963.18</v>
      </c>
      <c r="AZ185" s="31">
        <v>666572.9887054367</v>
      </c>
      <c r="BA185" s="31">
        <v>491793.4678398344</v>
      </c>
      <c r="BB185" s="31">
        <v>424433.04138264165</v>
      </c>
      <c r="BC185" s="31">
        <f t="shared" si="15"/>
        <v>7674232.6929303873</v>
      </c>
      <c r="BD185" s="31">
        <v>178815.31</v>
      </c>
    </row>
    <row r="186" spans="2:56">
      <c r="B186" s="42" t="s">
        <v>305</v>
      </c>
      <c r="C186" s="42" t="s">
        <v>306</v>
      </c>
      <c r="D186" s="43" t="s">
        <v>1049</v>
      </c>
      <c r="E186" s="44">
        <v>32</v>
      </c>
      <c r="F186" s="31">
        <v>2727547.5797611778</v>
      </c>
      <c r="G186" s="31">
        <v>77615.27</v>
      </c>
      <c r="H186" s="31">
        <v>0</v>
      </c>
      <c r="I186" s="31">
        <v>6572.24</v>
      </c>
      <c r="J186" s="31">
        <v>256865.7716030709</v>
      </c>
      <c r="K186" s="31">
        <v>333554.33884224819</v>
      </c>
      <c r="L186" s="31">
        <v>130274.2320431015</v>
      </c>
      <c r="M186" s="31">
        <f t="shared" si="12"/>
        <v>3565186.4222495989</v>
      </c>
      <c r="N186" s="31">
        <v>32756.99</v>
      </c>
      <c r="P186" s="42" t="s">
        <v>305</v>
      </c>
      <c r="Q186" s="42" t="s">
        <v>306</v>
      </c>
      <c r="R186" s="43" t="s">
        <v>1050</v>
      </c>
      <c r="S186" s="44">
        <v>32</v>
      </c>
      <c r="T186" s="31">
        <v>2736452.4577203598</v>
      </c>
      <c r="U186" s="31">
        <v>77085.909999999989</v>
      </c>
      <c r="V186" s="31">
        <v>0</v>
      </c>
      <c r="W186" s="31">
        <v>6442.29</v>
      </c>
      <c r="X186" s="31">
        <v>264920.45386297291</v>
      </c>
      <c r="Y186" s="31">
        <v>333882.90477642184</v>
      </c>
      <c r="Z186" s="31">
        <v>135248.82498563416</v>
      </c>
      <c r="AA186" s="31">
        <f t="shared" si="13"/>
        <v>3587324.671345389</v>
      </c>
      <c r="AB186" s="31">
        <v>33291.83</v>
      </c>
      <c r="AD186" s="42" t="s">
        <v>305</v>
      </c>
      <c r="AE186" s="42" t="s">
        <v>306</v>
      </c>
      <c r="AF186" s="43" t="s">
        <v>1275</v>
      </c>
      <c r="AG186" s="44">
        <v>32</v>
      </c>
      <c r="AH186" s="31">
        <v>2799651.977249451</v>
      </c>
      <c r="AI186" s="31">
        <v>79750.949999999983</v>
      </c>
      <c r="AJ186" s="31">
        <v>0</v>
      </c>
      <c r="AK186" s="31">
        <v>6677.8900000000012</v>
      </c>
      <c r="AL186" s="31">
        <v>269240.74225218612</v>
      </c>
      <c r="AM186" s="31">
        <v>333768.79847297282</v>
      </c>
      <c r="AN186" s="31">
        <v>137857.45461648004</v>
      </c>
      <c r="AO186" s="31">
        <f t="shared" si="14"/>
        <v>3660830.6325910902</v>
      </c>
      <c r="AP186" s="31">
        <v>33882.820000000007</v>
      </c>
      <c r="AR186" s="42" t="s">
        <v>305</v>
      </c>
      <c r="AS186" s="42" t="s">
        <v>306</v>
      </c>
      <c r="AT186" s="43" t="s">
        <v>1276</v>
      </c>
      <c r="AU186" s="44">
        <v>32</v>
      </c>
      <c r="AV186" s="31">
        <v>2818750.9801290613</v>
      </c>
      <c r="AW186" s="31">
        <v>77865.679999999993</v>
      </c>
      <c r="AX186" s="31">
        <v>0</v>
      </c>
      <c r="AY186" s="31">
        <v>6577.88</v>
      </c>
      <c r="AZ186" s="31">
        <v>276102.88166816864</v>
      </c>
      <c r="BA186" s="31">
        <v>333786.84284904425</v>
      </c>
      <c r="BB186" s="31">
        <v>140412.784217796</v>
      </c>
      <c r="BC186" s="31">
        <f t="shared" si="15"/>
        <v>3688012.7988640699</v>
      </c>
      <c r="BD186" s="31">
        <v>34515.750000000007</v>
      </c>
    </row>
    <row r="187" spans="2:56">
      <c r="B187" s="42" t="s">
        <v>331</v>
      </c>
      <c r="C187" s="42" t="s">
        <v>332</v>
      </c>
      <c r="D187" s="43" t="s">
        <v>1049</v>
      </c>
      <c r="E187" s="44">
        <v>32</v>
      </c>
      <c r="F187" s="31">
        <v>8456601.6162183024</v>
      </c>
      <c r="G187" s="31">
        <v>468496.83</v>
      </c>
      <c r="H187" s="31">
        <v>130844.18000000001</v>
      </c>
      <c r="I187" s="31">
        <v>30062.879999999997</v>
      </c>
      <c r="J187" s="31">
        <v>1332909.2424992614</v>
      </c>
      <c r="K187" s="31">
        <v>535525.255790725</v>
      </c>
      <c r="L187" s="31">
        <v>696550.15804366942</v>
      </c>
      <c r="M187" s="31">
        <f t="shared" si="12"/>
        <v>11959386.962551961</v>
      </c>
      <c r="N187" s="31">
        <v>308396.79999999999</v>
      </c>
      <c r="P187" s="42" t="s">
        <v>331</v>
      </c>
      <c r="Q187" s="42" t="s">
        <v>332</v>
      </c>
      <c r="R187" s="43" t="s">
        <v>1050</v>
      </c>
      <c r="S187" s="44">
        <v>32</v>
      </c>
      <c r="T187" s="31">
        <v>9171718.1143099833</v>
      </c>
      <c r="U187" s="31">
        <v>506352.58000000007</v>
      </c>
      <c r="V187" s="31">
        <v>135821.70000000001</v>
      </c>
      <c r="W187" s="31">
        <v>32253.73</v>
      </c>
      <c r="X187" s="31">
        <v>1378472.302420439</v>
      </c>
      <c r="Y187" s="31">
        <v>536102.11541374249</v>
      </c>
      <c r="Z187" s="31">
        <v>728257.01123841549</v>
      </c>
      <c r="AA187" s="31">
        <f t="shared" si="13"/>
        <v>12804990.313382579</v>
      </c>
      <c r="AB187" s="31">
        <v>316012.76</v>
      </c>
      <c r="AD187" s="42" t="s">
        <v>331</v>
      </c>
      <c r="AE187" s="42" t="s">
        <v>332</v>
      </c>
      <c r="AF187" s="43" t="s">
        <v>1275</v>
      </c>
      <c r="AG187" s="44">
        <v>32</v>
      </c>
      <c r="AH187" s="31">
        <v>9347703.417638097</v>
      </c>
      <c r="AI187" s="31">
        <v>516856.25999999989</v>
      </c>
      <c r="AJ187" s="31">
        <v>138480.11000000002</v>
      </c>
      <c r="AK187" s="31">
        <v>32885.030000000006</v>
      </c>
      <c r="AL187" s="31">
        <v>1404048.8163833101</v>
      </c>
      <c r="AM187" s="31">
        <v>535906.13937632542</v>
      </c>
      <c r="AN187" s="31">
        <v>742294.39371475019</v>
      </c>
      <c r="AO187" s="31">
        <f t="shared" si="14"/>
        <v>13039779.217112482</v>
      </c>
      <c r="AP187" s="31">
        <v>321605.05000000005</v>
      </c>
      <c r="AR187" s="42" t="s">
        <v>331</v>
      </c>
      <c r="AS187" s="42" t="s">
        <v>332</v>
      </c>
      <c r="AT187" s="43" t="s">
        <v>1276</v>
      </c>
      <c r="AU187" s="44">
        <v>32</v>
      </c>
      <c r="AV187" s="31">
        <v>9520151.1531462017</v>
      </c>
      <c r="AW187" s="31">
        <v>526252.67999999993</v>
      </c>
      <c r="AX187" s="31">
        <v>141021.23000000001</v>
      </c>
      <c r="AY187" s="31">
        <v>33488.47</v>
      </c>
      <c r="AZ187" s="31">
        <v>1429983.5516178976</v>
      </c>
      <c r="BA187" s="31">
        <v>535937.3260909681</v>
      </c>
      <c r="BB187" s="31">
        <v>756017.32969626458</v>
      </c>
      <c r="BC187" s="31">
        <f t="shared" si="15"/>
        <v>13270446.150551332</v>
      </c>
      <c r="BD187" s="31">
        <v>327594.41000000003</v>
      </c>
    </row>
    <row r="188" spans="2:56">
      <c r="B188" s="42" t="s">
        <v>513</v>
      </c>
      <c r="C188" s="42" t="s">
        <v>514</v>
      </c>
      <c r="D188" s="43" t="s">
        <v>1049</v>
      </c>
      <c r="E188" s="44">
        <v>32</v>
      </c>
      <c r="F188" s="31">
        <v>78542631.492798612</v>
      </c>
      <c r="G188" s="31">
        <v>1869245.8100000005</v>
      </c>
      <c r="H188" s="31">
        <v>490186.5</v>
      </c>
      <c r="I188" s="31">
        <v>0</v>
      </c>
      <c r="J188" s="31">
        <v>12530872.880928913</v>
      </c>
      <c r="K188" s="31">
        <v>4276408.44811262</v>
      </c>
      <c r="L188" s="31">
        <v>6567161.3783787889</v>
      </c>
      <c r="M188" s="31">
        <f t="shared" si="12"/>
        <v>104457892.67021894</v>
      </c>
      <c r="N188" s="31">
        <v>181386.16</v>
      </c>
      <c r="P188" s="42" t="s">
        <v>513</v>
      </c>
      <c r="Q188" s="42" t="s">
        <v>514</v>
      </c>
      <c r="R188" s="43" t="s">
        <v>1050</v>
      </c>
      <c r="S188" s="44">
        <v>32</v>
      </c>
      <c r="T188" s="31">
        <v>86978802.378322959</v>
      </c>
      <c r="U188" s="31">
        <v>2052417.4699999997</v>
      </c>
      <c r="V188" s="31">
        <v>508833.98000000004</v>
      </c>
      <c r="W188" s="31">
        <v>0</v>
      </c>
      <c r="X188" s="31">
        <v>13026231.478231082</v>
      </c>
      <c r="Y188" s="31">
        <v>4280493.5554609746</v>
      </c>
      <c r="Z188" s="31">
        <v>6800089.1983527206</v>
      </c>
      <c r="AA188" s="31">
        <f t="shared" si="13"/>
        <v>113832733.60036775</v>
      </c>
      <c r="AB188" s="31">
        <v>185865.54</v>
      </c>
      <c r="AD188" s="42" t="s">
        <v>513</v>
      </c>
      <c r="AE188" s="42" t="s">
        <v>514</v>
      </c>
      <c r="AF188" s="43" t="s">
        <v>1275</v>
      </c>
      <c r="AG188" s="44">
        <v>32</v>
      </c>
      <c r="AH188" s="31">
        <v>89197802.400763482</v>
      </c>
      <c r="AI188" s="31">
        <v>2103828.2400000002</v>
      </c>
      <c r="AJ188" s="31">
        <v>518793.27</v>
      </c>
      <c r="AK188" s="31">
        <v>0</v>
      </c>
      <c r="AL188" s="31">
        <v>13276684.3285861</v>
      </c>
      <c r="AM188" s="31">
        <v>4279105.725357064</v>
      </c>
      <c r="AN188" s="31">
        <v>6931146.5939286072</v>
      </c>
      <c r="AO188" s="31">
        <f t="shared" si="14"/>
        <v>116496515.25863525</v>
      </c>
      <c r="AP188" s="31">
        <v>189154.7</v>
      </c>
      <c r="AR188" s="42" t="s">
        <v>513</v>
      </c>
      <c r="AS188" s="42" t="s">
        <v>514</v>
      </c>
      <c r="AT188" s="43" t="s">
        <v>1276</v>
      </c>
      <c r="AU188" s="44">
        <v>32</v>
      </c>
      <c r="AV188" s="31">
        <v>89836143.499421954</v>
      </c>
      <c r="AW188" s="31">
        <v>2117156.77</v>
      </c>
      <c r="AX188" s="31">
        <v>528313.13000000012</v>
      </c>
      <c r="AY188" s="31">
        <v>0</v>
      </c>
      <c r="AZ188" s="31">
        <v>13540799.035947923</v>
      </c>
      <c r="BA188" s="31">
        <v>4279326.5781816943</v>
      </c>
      <c r="BB188" s="31">
        <v>7059295.5924284225</v>
      </c>
      <c r="BC188" s="31">
        <f t="shared" si="15"/>
        <v>117553711.97597998</v>
      </c>
      <c r="BD188" s="31">
        <v>192677.37000000002</v>
      </c>
    </row>
    <row r="189" spans="2:56">
      <c r="B189" s="42" t="s">
        <v>329</v>
      </c>
      <c r="C189" s="42" t="s">
        <v>330</v>
      </c>
      <c r="D189" s="43" t="s">
        <v>1049</v>
      </c>
      <c r="E189" s="44">
        <v>32</v>
      </c>
      <c r="F189" s="31">
        <v>56239719.916402251</v>
      </c>
      <c r="G189" s="31">
        <v>2235141.3600000003</v>
      </c>
      <c r="H189" s="31">
        <v>450672.62999999995</v>
      </c>
      <c r="I189" s="31">
        <v>185433.52</v>
      </c>
      <c r="J189" s="31">
        <v>7789237.5685768183</v>
      </c>
      <c r="K189" s="31">
        <v>980577.83151286631</v>
      </c>
      <c r="L189" s="31">
        <v>1523234.1689746305</v>
      </c>
      <c r="M189" s="31">
        <f t="shared" si="12"/>
        <v>70941468.405466557</v>
      </c>
      <c r="N189" s="31">
        <v>1537451.41</v>
      </c>
      <c r="P189" s="42" t="s">
        <v>329</v>
      </c>
      <c r="Q189" s="42" t="s">
        <v>330</v>
      </c>
      <c r="R189" s="43" t="s">
        <v>1050</v>
      </c>
      <c r="S189" s="44">
        <v>32</v>
      </c>
      <c r="T189" s="31">
        <v>57562033.421900362</v>
      </c>
      <c r="U189" s="31">
        <v>2306296.0100000002</v>
      </c>
      <c r="V189" s="31">
        <v>467978.91000000003</v>
      </c>
      <c r="W189" s="31">
        <v>189620</v>
      </c>
      <c r="X189" s="31">
        <v>8052259.7499980209</v>
      </c>
      <c r="Y189" s="31">
        <v>981446.84715366689</v>
      </c>
      <c r="Z189" s="31">
        <v>1592734.1895753648</v>
      </c>
      <c r="AA189" s="31">
        <f t="shared" si="13"/>
        <v>72727616.718627408</v>
      </c>
      <c r="AB189" s="31">
        <v>1575247.5899999999</v>
      </c>
      <c r="AD189" s="42" t="s">
        <v>329</v>
      </c>
      <c r="AE189" s="42" t="s">
        <v>330</v>
      </c>
      <c r="AF189" s="43" t="s">
        <v>1275</v>
      </c>
      <c r="AG189" s="44">
        <v>32</v>
      </c>
      <c r="AH189" s="31">
        <v>58359694.534729049</v>
      </c>
      <c r="AI189" s="31">
        <v>2343741.7200000002</v>
      </c>
      <c r="AJ189" s="31">
        <v>477133.19000000006</v>
      </c>
      <c r="AK189" s="31">
        <v>192400.73</v>
      </c>
      <c r="AL189" s="31">
        <v>8199831.0198472999</v>
      </c>
      <c r="AM189" s="31">
        <v>981151.61719659914</v>
      </c>
      <c r="AN189" s="31">
        <v>1623413.1732974637</v>
      </c>
      <c r="AO189" s="31">
        <f t="shared" si="14"/>
        <v>73780366.775070414</v>
      </c>
      <c r="AP189" s="31">
        <v>1603000.79</v>
      </c>
      <c r="AR189" s="42" t="s">
        <v>329</v>
      </c>
      <c r="AS189" s="42" t="s">
        <v>330</v>
      </c>
      <c r="AT189" s="43" t="s">
        <v>1276</v>
      </c>
      <c r="AU189" s="44">
        <v>32</v>
      </c>
      <c r="AV189" s="31">
        <v>59138885.51570344</v>
      </c>
      <c r="AW189" s="31">
        <v>2374428.91</v>
      </c>
      <c r="AX189" s="31">
        <v>485846.08000000007</v>
      </c>
      <c r="AY189" s="31">
        <v>194968.72999999998</v>
      </c>
      <c r="AZ189" s="31">
        <v>8349577.9048900492</v>
      </c>
      <c r="BA189" s="31">
        <v>981198.59871814854</v>
      </c>
      <c r="BB189" s="31">
        <v>1653341.6592023508</v>
      </c>
      <c r="BC189" s="31">
        <f t="shared" si="15"/>
        <v>74810971.868513986</v>
      </c>
      <c r="BD189" s="31">
        <v>1632724.47</v>
      </c>
    </row>
    <row r="190" spans="2:56">
      <c r="B190" s="42" t="s">
        <v>287</v>
      </c>
      <c r="C190" s="42" t="s">
        <v>288</v>
      </c>
      <c r="D190" s="43" t="s">
        <v>1049</v>
      </c>
      <c r="E190" s="44">
        <v>32</v>
      </c>
      <c r="F190" s="31">
        <v>6014857.3301627729</v>
      </c>
      <c r="G190" s="31">
        <v>285214.87000000005</v>
      </c>
      <c r="H190" s="31">
        <v>0</v>
      </c>
      <c r="I190" s="31">
        <v>22216.95</v>
      </c>
      <c r="J190" s="31">
        <v>1006932.7795235945</v>
      </c>
      <c r="K190" s="31">
        <v>660766.32628542359</v>
      </c>
      <c r="L190" s="31">
        <v>957544.64472850435</v>
      </c>
      <c r="M190" s="31">
        <f t="shared" si="12"/>
        <v>9176523.3207002953</v>
      </c>
      <c r="N190" s="31">
        <v>228990.41999999998</v>
      </c>
      <c r="P190" s="42" t="s">
        <v>287</v>
      </c>
      <c r="Q190" s="42" t="s">
        <v>288</v>
      </c>
      <c r="R190" s="43" t="s">
        <v>1050</v>
      </c>
      <c r="S190" s="44">
        <v>32</v>
      </c>
      <c r="T190" s="31">
        <v>6331819.3683159258</v>
      </c>
      <c r="U190" s="31">
        <v>302367.01</v>
      </c>
      <c r="V190" s="31">
        <v>0</v>
      </c>
      <c r="W190" s="31">
        <v>23272.47</v>
      </c>
      <c r="X190" s="31">
        <v>1039453.0850565922</v>
      </c>
      <c r="Y190" s="31">
        <v>661352.89554711233</v>
      </c>
      <c r="Z190" s="31">
        <v>1001147.6025203454</v>
      </c>
      <c r="AA190" s="31">
        <f t="shared" si="13"/>
        <v>9594032.2614399754</v>
      </c>
      <c r="AB190" s="31">
        <v>234619.83</v>
      </c>
      <c r="AD190" s="42" t="s">
        <v>287</v>
      </c>
      <c r="AE190" s="42" t="s">
        <v>288</v>
      </c>
      <c r="AF190" s="43" t="s">
        <v>1275</v>
      </c>
      <c r="AG190" s="44">
        <v>32</v>
      </c>
      <c r="AH190" s="31">
        <v>6464635.9227694683</v>
      </c>
      <c r="AI190" s="31">
        <v>309872.33999999997</v>
      </c>
      <c r="AJ190" s="31">
        <v>0</v>
      </c>
      <c r="AK190" s="31">
        <v>23830.880000000001</v>
      </c>
      <c r="AL190" s="31">
        <v>1055011.7495576972</v>
      </c>
      <c r="AM190" s="31">
        <v>661153.6208622678</v>
      </c>
      <c r="AN190" s="31">
        <v>1020431.5491895177</v>
      </c>
      <c r="AO190" s="31">
        <f t="shared" si="14"/>
        <v>9773689.5023789499</v>
      </c>
      <c r="AP190" s="31">
        <v>238753.43999999997</v>
      </c>
      <c r="AR190" s="42" t="s">
        <v>287</v>
      </c>
      <c r="AS190" s="42" t="s">
        <v>288</v>
      </c>
      <c r="AT190" s="43" t="s">
        <v>1276</v>
      </c>
      <c r="AU190" s="44">
        <v>32</v>
      </c>
      <c r="AV190" s="31">
        <v>6679682.7720519155</v>
      </c>
      <c r="AW190" s="31">
        <v>320190.8299999999</v>
      </c>
      <c r="AX190" s="31">
        <v>0</v>
      </c>
      <c r="AY190" s="31">
        <v>24686.23</v>
      </c>
      <c r="AZ190" s="31">
        <v>1074785.0766445072</v>
      </c>
      <c r="BA190" s="31">
        <v>661185.33250831231</v>
      </c>
      <c r="BB190" s="31">
        <v>1039243.7653495214</v>
      </c>
      <c r="BC190" s="31">
        <f t="shared" si="15"/>
        <v>10042954.536554256</v>
      </c>
      <c r="BD190" s="31">
        <v>243180.52999999997</v>
      </c>
    </row>
    <row r="191" spans="2:56">
      <c r="B191" s="42" t="s">
        <v>483</v>
      </c>
      <c r="C191" s="42" t="s">
        <v>484</v>
      </c>
      <c r="D191" s="43" t="s">
        <v>1049</v>
      </c>
      <c r="E191" s="44">
        <v>32</v>
      </c>
      <c r="F191" s="31">
        <v>586998.00635285024</v>
      </c>
      <c r="G191" s="31">
        <v>24312.62999999999</v>
      </c>
      <c r="H191" s="31">
        <v>0</v>
      </c>
      <c r="I191" s="31">
        <v>1412.37</v>
      </c>
      <c r="J191" s="31">
        <v>50799.773471523069</v>
      </c>
      <c r="K191" s="31">
        <v>126719.06494009375</v>
      </c>
      <c r="L191" s="31">
        <v>0</v>
      </c>
      <c r="M191" s="31">
        <f t="shared" si="12"/>
        <v>804466.21476446709</v>
      </c>
      <c r="N191" s="31">
        <v>14224.370000000003</v>
      </c>
      <c r="P191" s="42" t="s">
        <v>483</v>
      </c>
      <c r="Q191" s="42" t="s">
        <v>484</v>
      </c>
      <c r="R191" s="43" t="s">
        <v>1050</v>
      </c>
      <c r="S191" s="44">
        <v>32</v>
      </c>
      <c r="T191" s="31">
        <v>617211.87634314899</v>
      </c>
      <c r="U191" s="31">
        <v>22390.479999999996</v>
      </c>
      <c r="V191" s="31">
        <v>0</v>
      </c>
      <c r="W191" s="31">
        <v>1256.6400000000001</v>
      </c>
      <c r="X191" s="31">
        <v>50764.554887243627</v>
      </c>
      <c r="Y191" s="31">
        <v>126829.87908060927</v>
      </c>
      <c r="Z191" s="31">
        <v>0</v>
      </c>
      <c r="AA191" s="31">
        <f t="shared" si="13"/>
        <v>833029.08031100198</v>
      </c>
      <c r="AB191" s="31">
        <v>14575.65</v>
      </c>
      <c r="AD191" s="42" t="s">
        <v>483</v>
      </c>
      <c r="AE191" s="42" t="s">
        <v>484</v>
      </c>
      <c r="AF191" s="43" t="s">
        <v>1275</v>
      </c>
      <c r="AG191" s="44">
        <v>32</v>
      </c>
      <c r="AH191" s="31">
        <v>625465.55210678361</v>
      </c>
      <c r="AI191" s="31">
        <v>20186.830000000002</v>
      </c>
      <c r="AJ191" s="31">
        <v>0</v>
      </c>
      <c r="AK191" s="31">
        <v>1174.47</v>
      </c>
      <c r="AL191" s="31">
        <v>51969.37518524046</v>
      </c>
      <c r="AM191" s="31">
        <v>126792.23228530333</v>
      </c>
      <c r="AN191" s="31">
        <v>0</v>
      </c>
      <c r="AO191" s="31">
        <f t="shared" si="14"/>
        <v>840422.0395773272</v>
      </c>
      <c r="AP191" s="31">
        <v>14833.580000000002</v>
      </c>
      <c r="AR191" s="42" t="s">
        <v>483</v>
      </c>
      <c r="AS191" s="42" t="s">
        <v>484</v>
      </c>
      <c r="AT191" s="43" t="s">
        <v>1276</v>
      </c>
      <c r="AU191" s="44">
        <v>32</v>
      </c>
      <c r="AV191" s="31">
        <v>633964.77515643835</v>
      </c>
      <c r="AW191" s="31">
        <v>18487.359999999997</v>
      </c>
      <c r="AX191" s="31">
        <v>0</v>
      </c>
      <c r="AY191" s="31">
        <v>1087.2800000000002</v>
      </c>
      <c r="AZ191" s="31">
        <v>53088.38583298881</v>
      </c>
      <c r="BA191" s="31">
        <v>126798.22322112332</v>
      </c>
      <c r="BB191" s="31">
        <v>0</v>
      </c>
      <c r="BC191" s="31">
        <f t="shared" si="15"/>
        <v>848535.86421055044</v>
      </c>
      <c r="BD191" s="31">
        <v>15109.84</v>
      </c>
    </row>
    <row r="192" spans="2:56">
      <c r="B192" s="42" t="s">
        <v>395</v>
      </c>
      <c r="C192" s="42" t="s">
        <v>396</v>
      </c>
      <c r="D192" s="43" t="s">
        <v>1049</v>
      </c>
      <c r="E192" s="44">
        <v>32</v>
      </c>
      <c r="F192" s="31">
        <v>7055803.4804237569</v>
      </c>
      <c r="G192" s="31">
        <v>149572.36000000002</v>
      </c>
      <c r="H192" s="31">
        <v>57867.689999999995</v>
      </c>
      <c r="I192" s="31">
        <v>22414.3</v>
      </c>
      <c r="J192" s="31">
        <v>813462.92168334324</v>
      </c>
      <c r="K192" s="31">
        <v>202440.0676892247</v>
      </c>
      <c r="L192" s="31">
        <v>113634.68374271283</v>
      </c>
      <c r="M192" s="31">
        <f t="shared" si="12"/>
        <v>8415195.5035390388</v>
      </c>
      <c r="N192" s="31">
        <v>0</v>
      </c>
      <c r="P192" s="42" t="s">
        <v>395</v>
      </c>
      <c r="Q192" s="42" t="s">
        <v>396</v>
      </c>
      <c r="R192" s="43" t="s">
        <v>1050</v>
      </c>
      <c r="S192" s="44">
        <v>32</v>
      </c>
      <c r="T192" s="31">
        <v>6672922.2841343991</v>
      </c>
      <c r="U192" s="31">
        <v>144992.16</v>
      </c>
      <c r="V192" s="31">
        <v>60031.450000000004</v>
      </c>
      <c r="W192" s="31">
        <v>21799.13</v>
      </c>
      <c r="X192" s="31">
        <v>826776.95158641506</v>
      </c>
      <c r="Y192" s="31">
        <v>202602.41209749313</v>
      </c>
      <c r="Z192" s="31">
        <v>117613.82161373628</v>
      </c>
      <c r="AA192" s="31">
        <f t="shared" si="13"/>
        <v>8046738.2094320441</v>
      </c>
      <c r="AB192" s="31">
        <v>0</v>
      </c>
      <c r="AD192" s="42" t="s">
        <v>395</v>
      </c>
      <c r="AE192" s="42" t="s">
        <v>396</v>
      </c>
      <c r="AF192" s="43" t="s">
        <v>1275</v>
      </c>
      <c r="AG192" s="44">
        <v>32</v>
      </c>
      <c r="AH192" s="31">
        <v>6565006.3271782156</v>
      </c>
      <c r="AI192" s="31">
        <v>143273.85999999999</v>
      </c>
      <c r="AJ192" s="31">
        <v>61207.67</v>
      </c>
      <c r="AK192" s="31">
        <v>21428.400000000001</v>
      </c>
      <c r="AL192" s="31">
        <v>840501.59705914953</v>
      </c>
      <c r="AM192" s="31">
        <v>202543.04362289829</v>
      </c>
      <c r="AN192" s="31">
        <v>119884.2409312814</v>
      </c>
      <c r="AO192" s="31">
        <f t="shared" si="14"/>
        <v>7953845.1387915453</v>
      </c>
      <c r="AP192" s="31">
        <v>0</v>
      </c>
      <c r="AR192" s="42" t="s">
        <v>395</v>
      </c>
      <c r="AS192" s="42" t="s">
        <v>396</v>
      </c>
      <c r="AT192" s="43" t="s">
        <v>1276</v>
      </c>
      <c r="AU192" s="44">
        <v>32</v>
      </c>
      <c r="AV192" s="31">
        <v>6507746.3955597868</v>
      </c>
      <c r="AW192" s="31">
        <v>141050.24000000002</v>
      </c>
      <c r="AX192" s="31">
        <v>62340.72</v>
      </c>
      <c r="AY192" s="31">
        <v>21128.52</v>
      </c>
      <c r="AZ192" s="31">
        <v>860081.58009365515</v>
      </c>
      <c r="BA192" s="31">
        <v>202552.27319581827</v>
      </c>
      <c r="BB192" s="31">
        <v>122116.9841071722</v>
      </c>
      <c r="BC192" s="31">
        <f t="shared" si="15"/>
        <v>7917016.7129564313</v>
      </c>
      <c r="BD192" s="31">
        <v>0</v>
      </c>
    </row>
    <row r="193" spans="2:56">
      <c r="B193" s="42" t="s">
        <v>453</v>
      </c>
      <c r="C193" s="42" t="s">
        <v>454</v>
      </c>
      <c r="D193" s="43" t="s">
        <v>1049</v>
      </c>
      <c r="E193" s="44">
        <v>32</v>
      </c>
      <c r="F193" s="31">
        <v>743950.00742913526</v>
      </c>
      <c r="G193" s="31">
        <v>6626.11</v>
      </c>
      <c r="H193" s="31">
        <v>0</v>
      </c>
      <c r="I193" s="31">
        <v>0</v>
      </c>
      <c r="J193" s="31">
        <v>38147.509277400262</v>
      </c>
      <c r="K193" s="31">
        <v>32923.575338555747</v>
      </c>
      <c r="L193" s="31">
        <v>0</v>
      </c>
      <c r="M193" s="31">
        <f t="shared" si="12"/>
        <v>821647.2020450912</v>
      </c>
      <c r="N193" s="31">
        <v>0</v>
      </c>
      <c r="P193" s="42" t="s">
        <v>453</v>
      </c>
      <c r="Q193" s="42" t="s">
        <v>454</v>
      </c>
      <c r="R193" s="43" t="s">
        <v>1050</v>
      </c>
      <c r="S193" s="44">
        <v>32</v>
      </c>
      <c r="T193" s="31">
        <v>659422.35122122674</v>
      </c>
      <c r="U193" s="31">
        <v>5666.35</v>
      </c>
      <c r="V193" s="31">
        <v>0</v>
      </c>
      <c r="W193" s="31">
        <v>0</v>
      </c>
      <c r="X193" s="31">
        <v>38721.413556993211</v>
      </c>
      <c r="Y193" s="31">
        <v>32957.597173473769</v>
      </c>
      <c r="Z193" s="31">
        <v>0</v>
      </c>
      <c r="AA193" s="31">
        <f t="shared" si="13"/>
        <v>736767.71195169375</v>
      </c>
      <c r="AB193" s="31">
        <v>0</v>
      </c>
      <c r="AD193" s="42" t="s">
        <v>453</v>
      </c>
      <c r="AE193" s="42" t="s">
        <v>454</v>
      </c>
      <c r="AF193" s="43" t="s">
        <v>1275</v>
      </c>
      <c r="AG193" s="44">
        <v>32</v>
      </c>
      <c r="AH193" s="31">
        <v>642734.82426429703</v>
      </c>
      <c r="AI193" s="31">
        <v>5777.17</v>
      </c>
      <c r="AJ193" s="31">
        <v>0</v>
      </c>
      <c r="AK193" s="31">
        <v>0</v>
      </c>
      <c r="AL193" s="31">
        <v>38257.950004794999</v>
      </c>
      <c r="AM193" s="31">
        <v>32946.038963942628</v>
      </c>
      <c r="AN193" s="31">
        <v>0</v>
      </c>
      <c r="AO193" s="31">
        <f t="shared" si="14"/>
        <v>719715.98323303473</v>
      </c>
      <c r="AP193" s="31">
        <v>0</v>
      </c>
      <c r="AR193" s="42" t="s">
        <v>453</v>
      </c>
      <c r="AS193" s="42" t="s">
        <v>454</v>
      </c>
      <c r="AT193" s="43" t="s">
        <v>1276</v>
      </c>
      <c r="AU193" s="44">
        <v>32</v>
      </c>
      <c r="AV193" s="31">
        <v>643476.63781755383</v>
      </c>
      <c r="AW193" s="31">
        <v>5882.67</v>
      </c>
      <c r="AX193" s="31">
        <v>0</v>
      </c>
      <c r="AY193" s="31">
        <v>0</v>
      </c>
      <c r="AZ193" s="31">
        <v>38159.368393757031</v>
      </c>
      <c r="BA193" s="31">
        <v>32947.878283622631</v>
      </c>
      <c r="BB193" s="31">
        <v>0</v>
      </c>
      <c r="BC193" s="31">
        <f t="shared" si="15"/>
        <v>720466.55449493357</v>
      </c>
      <c r="BD193" s="31">
        <v>0</v>
      </c>
    </row>
    <row r="194" spans="2:56">
      <c r="B194" s="42" t="s">
        <v>105</v>
      </c>
      <c r="C194" s="42" t="s">
        <v>106</v>
      </c>
      <c r="D194" s="43" t="s">
        <v>1049</v>
      </c>
      <c r="E194" s="44">
        <v>32</v>
      </c>
      <c r="F194" s="31">
        <v>580280.6184730744</v>
      </c>
      <c r="G194" s="31">
        <v>15535.860000000004</v>
      </c>
      <c r="H194" s="31">
        <v>0</v>
      </c>
      <c r="I194" s="31">
        <v>1008.8100000000001</v>
      </c>
      <c r="J194" s="31">
        <v>42434.749134771206</v>
      </c>
      <c r="K194" s="31">
        <v>332269.71829718299</v>
      </c>
      <c r="L194" s="31">
        <v>0</v>
      </c>
      <c r="M194" s="31">
        <f t="shared" si="12"/>
        <v>981012.6659050287</v>
      </c>
      <c r="N194" s="31">
        <v>9482.91</v>
      </c>
      <c r="P194" s="42" t="s">
        <v>105</v>
      </c>
      <c r="Q194" s="42" t="s">
        <v>106</v>
      </c>
      <c r="R194" s="43" t="s">
        <v>1050</v>
      </c>
      <c r="S194" s="44">
        <v>32</v>
      </c>
      <c r="T194" s="31">
        <v>609289.46577797888</v>
      </c>
      <c r="U194" s="31">
        <v>18452.550000000003</v>
      </c>
      <c r="V194" s="31">
        <v>0</v>
      </c>
      <c r="W194" s="31">
        <v>1151.9299999999998</v>
      </c>
      <c r="X194" s="31">
        <v>43496.32894162069</v>
      </c>
      <c r="Y194" s="31">
        <v>332583.79952880356</v>
      </c>
      <c r="Z194" s="31">
        <v>0</v>
      </c>
      <c r="AA194" s="31">
        <f t="shared" si="13"/>
        <v>1014691.1742484032</v>
      </c>
      <c r="AB194" s="31">
        <v>9717.1</v>
      </c>
      <c r="AD194" s="42" t="s">
        <v>105</v>
      </c>
      <c r="AE194" s="42" t="s">
        <v>106</v>
      </c>
      <c r="AF194" s="43" t="s">
        <v>1275</v>
      </c>
      <c r="AG194" s="44">
        <v>32</v>
      </c>
      <c r="AH194" s="31">
        <v>623561.20939389756</v>
      </c>
      <c r="AI194" s="31">
        <v>18831.940000000002</v>
      </c>
      <c r="AJ194" s="31">
        <v>0</v>
      </c>
      <c r="AK194" s="31">
        <v>1174.47</v>
      </c>
      <c r="AL194" s="31">
        <v>43283.745752635608</v>
      </c>
      <c r="AM194" s="31">
        <v>332477.09697458748</v>
      </c>
      <c r="AN194" s="31">
        <v>0</v>
      </c>
      <c r="AO194" s="31">
        <f t="shared" si="14"/>
        <v>1029217.5221211207</v>
      </c>
      <c r="AP194" s="31">
        <v>9889.06</v>
      </c>
      <c r="AR194" s="42" t="s">
        <v>105</v>
      </c>
      <c r="AS194" s="42" t="s">
        <v>106</v>
      </c>
      <c r="AT194" s="43" t="s">
        <v>1276</v>
      </c>
      <c r="AU194" s="44">
        <v>32</v>
      </c>
      <c r="AV194" s="31">
        <v>634211.72633077821</v>
      </c>
      <c r="AW194" s="31">
        <v>19174.810000000001</v>
      </c>
      <c r="AX194" s="31">
        <v>0</v>
      </c>
      <c r="AY194" s="31">
        <v>1196.02</v>
      </c>
      <c r="AZ194" s="31">
        <v>44427.300241907098</v>
      </c>
      <c r="BA194" s="31">
        <v>332494.07712253748</v>
      </c>
      <c r="BB194" s="31">
        <v>0</v>
      </c>
      <c r="BC194" s="31">
        <f t="shared" si="15"/>
        <v>1041577.1636952229</v>
      </c>
      <c r="BD194" s="31">
        <v>10073.23</v>
      </c>
    </row>
    <row r="195" spans="2:56">
      <c r="B195" s="42" t="s">
        <v>89</v>
      </c>
      <c r="C195" s="42" t="s">
        <v>90</v>
      </c>
      <c r="D195" s="43" t="s">
        <v>1049</v>
      </c>
      <c r="E195" s="44">
        <v>32</v>
      </c>
      <c r="F195" s="31">
        <v>1201730.1683764947</v>
      </c>
      <c r="G195" s="31">
        <v>76784.88</v>
      </c>
      <c r="H195" s="31">
        <v>89744.75</v>
      </c>
      <c r="I195" s="31">
        <v>3897.71</v>
      </c>
      <c r="J195" s="31">
        <v>150004.61351045719</v>
      </c>
      <c r="K195" s="31">
        <v>270288.46799932304</v>
      </c>
      <c r="L195" s="31">
        <v>12749.332884176802</v>
      </c>
      <c r="M195" s="31">
        <f t="shared" si="12"/>
        <v>1844956.5427704516</v>
      </c>
      <c r="N195" s="31">
        <v>39756.620000000003</v>
      </c>
      <c r="P195" s="42" t="s">
        <v>89</v>
      </c>
      <c r="Q195" s="42" t="s">
        <v>90</v>
      </c>
      <c r="R195" s="43" t="s">
        <v>1050</v>
      </c>
      <c r="S195" s="44">
        <v>32</v>
      </c>
      <c r="T195" s="31">
        <v>1413428.7499995946</v>
      </c>
      <c r="U195" s="31">
        <v>90097.750000000029</v>
      </c>
      <c r="V195" s="31">
        <v>93191.049999999988</v>
      </c>
      <c r="W195" s="31">
        <v>4553.33</v>
      </c>
      <c r="X195" s="31">
        <v>154072.01934585592</v>
      </c>
      <c r="Y195" s="31">
        <v>270530.61714698822</v>
      </c>
      <c r="Z195" s="31">
        <v>13304.620540605152</v>
      </c>
      <c r="AA195" s="31">
        <f t="shared" si="13"/>
        <v>2079912.1270330439</v>
      </c>
      <c r="AB195" s="31">
        <v>40733.99</v>
      </c>
      <c r="AD195" s="42" t="s">
        <v>89</v>
      </c>
      <c r="AE195" s="42" t="s">
        <v>90</v>
      </c>
      <c r="AF195" s="43" t="s">
        <v>1275</v>
      </c>
      <c r="AG195" s="44">
        <v>32</v>
      </c>
      <c r="AH195" s="31">
        <v>1434941.7411550211</v>
      </c>
      <c r="AI195" s="31">
        <v>91939.32</v>
      </c>
      <c r="AJ195" s="31">
        <v>95014.000000000015</v>
      </c>
      <c r="AK195" s="31">
        <v>4642.3999999999996</v>
      </c>
      <c r="AL195" s="31">
        <v>156325.08029920381</v>
      </c>
      <c r="AM195" s="31">
        <v>270448.35201951215</v>
      </c>
      <c r="AN195" s="31">
        <v>13560.825035509255</v>
      </c>
      <c r="AO195" s="31">
        <f t="shared" si="14"/>
        <v>2108323.368509246</v>
      </c>
      <c r="AP195" s="31">
        <v>41451.65</v>
      </c>
      <c r="AR195" s="42" t="s">
        <v>89</v>
      </c>
      <c r="AS195" s="42" t="s">
        <v>90</v>
      </c>
      <c r="AT195" s="43" t="s">
        <v>1276</v>
      </c>
      <c r="AU195" s="44">
        <v>32</v>
      </c>
      <c r="AV195" s="31">
        <v>1486677.4089536704</v>
      </c>
      <c r="AW195" s="31">
        <v>93606.530000000028</v>
      </c>
      <c r="AX195" s="31">
        <v>96749.040000000008</v>
      </c>
      <c r="AY195" s="31">
        <v>4727.17</v>
      </c>
      <c r="AZ195" s="31">
        <v>161962.34739978809</v>
      </c>
      <c r="BA195" s="31">
        <v>270461.44330908754</v>
      </c>
      <c r="BB195" s="31">
        <v>13810.785500631548</v>
      </c>
      <c r="BC195" s="31">
        <f t="shared" si="15"/>
        <v>2170214.9951631776</v>
      </c>
      <c r="BD195" s="31">
        <v>42220.27</v>
      </c>
    </row>
    <row r="196" spans="2:56">
      <c r="B196" s="42" t="s">
        <v>341</v>
      </c>
      <c r="C196" s="42" t="s">
        <v>342</v>
      </c>
      <c r="D196" s="43" t="s">
        <v>1049</v>
      </c>
      <c r="E196" s="44">
        <v>32</v>
      </c>
      <c r="F196" s="31">
        <v>4697330.575340094</v>
      </c>
      <c r="G196" s="31">
        <v>238734.71000000002</v>
      </c>
      <c r="H196" s="31">
        <v>101535.32</v>
      </c>
      <c r="I196" s="31">
        <v>0</v>
      </c>
      <c r="J196" s="31">
        <v>597525.68906491285</v>
      </c>
      <c r="K196" s="31">
        <v>251361.99620982501</v>
      </c>
      <c r="L196" s="31">
        <v>255975.68077863537</v>
      </c>
      <c r="M196" s="31">
        <f t="shared" si="12"/>
        <v>6291941.1113934675</v>
      </c>
      <c r="N196" s="31">
        <v>149477.14000000001</v>
      </c>
      <c r="P196" s="42" t="s">
        <v>341</v>
      </c>
      <c r="Q196" s="42" t="s">
        <v>342</v>
      </c>
      <c r="R196" s="43" t="s">
        <v>1050</v>
      </c>
      <c r="S196" s="44">
        <v>32</v>
      </c>
      <c r="T196" s="31">
        <v>4851873.5860458286</v>
      </c>
      <c r="U196" s="31">
        <v>243491.91999999998</v>
      </c>
      <c r="V196" s="31">
        <v>105434.37000000001</v>
      </c>
      <c r="W196" s="31">
        <v>0</v>
      </c>
      <c r="X196" s="31">
        <v>617948.61142985197</v>
      </c>
      <c r="Y196" s="31">
        <v>251601.01319332296</v>
      </c>
      <c r="Z196" s="31">
        <v>267603.6862630606</v>
      </c>
      <c r="AA196" s="31">
        <f t="shared" si="13"/>
        <v>6491105.0269320635</v>
      </c>
      <c r="AB196" s="31">
        <v>153151.84000000003</v>
      </c>
      <c r="AD196" s="42" t="s">
        <v>341</v>
      </c>
      <c r="AE196" s="42" t="s">
        <v>342</v>
      </c>
      <c r="AF196" s="43" t="s">
        <v>1275</v>
      </c>
      <c r="AG196" s="44">
        <v>32</v>
      </c>
      <c r="AH196" s="31">
        <v>5044766.1633136589</v>
      </c>
      <c r="AI196" s="31">
        <v>255361.31999999998</v>
      </c>
      <c r="AJ196" s="31">
        <v>107496.81000000003</v>
      </c>
      <c r="AK196" s="31">
        <v>0</v>
      </c>
      <c r="AL196" s="31">
        <v>629809.03243218607</v>
      </c>
      <c r="AM196" s="31">
        <v>251519.81215336063</v>
      </c>
      <c r="AN196" s="31">
        <v>272758.18486558658</v>
      </c>
      <c r="AO196" s="31">
        <f t="shared" si="14"/>
        <v>6717561.4327647928</v>
      </c>
      <c r="AP196" s="31">
        <v>155850.11000000002</v>
      </c>
      <c r="AR196" s="42" t="s">
        <v>341</v>
      </c>
      <c r="AS196" s="42" t="s">
        <v>342</v>
      </c>
      <c r="AT196" s="43" t="s">
        <v>1276</v>
      </c>
      <c r="AU196" s="44">
        <v>32</v>
      </c>
      <c r="AV196" s="31">
        <v>5169743.8245444763</v>
      </c>
      <c r="AW196" s="31">
        <v>261976.48</v>
      </c>
      <c r="AX196" s="31">
        <v>109459.81</v>
      </c>
      <c r="AY196" s="31">
        <v>0</v>
      </c>
      <c r="AZ196" s="31">
        <v>642028.06499710772</v>
      </c>
      <c r="BA196" s="31">
        <v>251532.73410900065</v>
      </c>
      <c r="BB196" s="31">
        <v>277786.54158773192</v>
      </c>
      <c r="BC196" s="31">
        <f t="shared" si="15"/>
        <v>6871267.4252383159</v>
      </c>
      <c r="BD196" s="31">
        <v>158739.97</v>
      </c>
    </row>
    <row r="197" spans="2:56">
      <c r="B197" s="42" t="s">
        <v>375</v>
      </c>
      <c r="C197" s="42" t="s">
        <v>376</v>
      </c>
      <c r="D197" s="43" t="s">
        <v>1049</v>
      </c>
      <c r="E197" s="44">
        <v>32</v>
      </c>
      <c r="F197" s="31">
        <v>21045219.589709699</v>
      </c>
      <c r="G197" s="31">
        <v>537941.72000000009</v>
      </c>
      <c r="H197" s="31">
        <v>106603.35999999999</v>
      </c>
      <c r="I197" s="31">
        <v>76951.420000000013</v>
      </c>
      <c r="J197" s="31">
        <v>3551729.2492769272</v>
      </c>
      <c r="K197" s="31">
        <v>1512852.7542255726</v>
      </c>
      <c r="L197" s="31">
        <v>2573148.2718259608</v>
      </c>
      <c r="M197" s="31">
        <f t="shared" ref="M197:M260" si="16">SUM(F197:L197,N197)</f>
        <v>29404446.365038164</v>
      </c>
      <c r="N197" s="31">
        <v>0</v>
      </c>
      <c r="P197" s="42" t="s">
        <v>375</v>
      </c>
      <c r="Q197" s="42" t="s">
        <v>376</v>
      </c>
      <c r="R197" s="43" t="s">
        <v>1050</v>
      </c>
      <c r="S197" s="44">
        <v>32</v>
      </c>
      <c r="T197" s="31">
        <v>23381466.684554417</v>
      </c>
      <c r="U197" s="31">
        <v>592283.6100000001</v>
      </c>
      <c r="V197" s="31">
        <v>110640.54</v>
      </c>
      <c r="W197" s="31">
        <v>84657.59</v>
      </c>
      <c r="X197" s="31">
        <v>3680260.7662833333</v>
      </c>
      <c r="Y197" s="31">
        <v>1514087.0250916493</v>
      </c>
      <c r="Z197" s="31">
        <v>2664010.1698122742</v>
      </c>
      <c r="AA197" s="31">
        <f t="shared" ref="AA197:AA260" si="17">SUM(T197:Z197,AB197)</f>
        <v>32027406.38574167</v>
      </c>
      <c r="AB197" s="31">
        <v>0</v>
      </c>
      <c r="AD197" s="42" t="s">
        <v>375</v>
      </c>
      <c r="AE197" s="42" t="s">
        <v>376</v>
      </c>
      <c r="AF197" s="43" t="s">
        <v>1275</v>
      </c>
      <c r="AG197" s="44">
        <v>32</v>
      </c>
      <c r="AH197" s="31">
        <v>24819164.125871036</v>
      </c>
      <c r="AI197" s="31">
        <v>626571.13</v>
      </c>
      <c r="AJ197" s="31">
        <v>112806.7</v>
      </c>
      <c r="AK197" s="31">
        <v>89572.21</v>
      </c>
      <c r="AL197" s="31">
        <v>3748884.9824561398</v>
      </c>
      <c r="AM197" s="31">
        <v>1513651.3611767215</v>
      </c>
      <c r="AN197" s="31">
        <v>2715379.382163614</v>
      </c>
      <c r="AO197" s="31">
        <f t="shared" ref="AO197:AO260" si="18">SUM(AH197:AN197,AP197)</f>
        <v>33626029.891667515</v>
      </c>
      <c r="AP197" s="31">
        <v>0</v>
      </c>
      <c r="AR197" s="42" t="s">
        <v>375</v>
      </c>
      <c r="AS197" s="42" t="s">
        <v>376</v>
      </c>
      <c r="AT197" s="43" t="s">
        <v>1276</v>
      </c>
      <c r="AU197" s="44">
        <v>32</v>
      </c>
      <c r="AV197" s="31">
        <v>26322236.974538241</v>
      </c>
      <c r="AW197" s="31">
        <v>662199.32999999996</v>
      </c>
      <c r="AX197" s="31">
        <v>114881.48</v>
      </c>
      <c r="AY197" s="31">
        <v>94647.3</v>
      </c>
      <c r="AZ197" s="31">
        <v>3818445.3024245552</v>
      </c>
      <c r="BA197" s="31">
        <v>1513719.8451580706</v>
      </c>
      <c r="BB197" s="31">
        <v>2765708.0587064587</v>
      </c>
      <c r="BC197" s="31">
        <f t="shared" ref="BC197:BC260" si="19">SUM(AV197:BB197,BD197)</f>
        <v>35291838.290827319</v>
      </c>
      <c r="BD197" s="31">
        <v>0</v>
      </c>
    </row>
    <row r="198" spans="2:56">
      <c r="B198" s="42" t="s">
        <v>7</v>
      </c>
      <c r="C198" s="42" t="s">
        <v>8</v>
      </c>
      <c r="D198" s="43" t="s">
        <v>1049</v>
      </c>
      <c r="E198" s="44">
        <v>32</v>
      </c>
      <c r="F198" s="31">
        <v>36347326.735194393</v>
      </c>
      <c r="G198" s="31">
        <v>2267102.59</v>
      </c>
      <c r="H198" s="31">
        <v>2886935.8000000007</v>
      </c>
      <c r="I198" s="31">
        <v>125116.46000000002</v>
      </c>
      <c r="J198" s="31">
        <v>5470856.796871393</v>
      </c>
      <c r="K198" s="31">
        <v>2096029.985005335</v>
      </c>
      <c r="L198" s="31">
        <v>2324009.8452922851</v>
      </c>
      <c r="M198" s="31">
        <f t="shared" si="16"/>
        <v>52803622.252363399</v>
      </c>
      <c r="N198" s="31">
        <v>1286244.04</v>
      </c>
      <c r="P198" s="42" t="s">
        <v>7</v>
      </c>
      <c r="Q198" s="42" t="s">
        <v>8</v>
      </c>
      <c r="R198" s="43" t="s">
        <v>1050</v>
      </c>
      <c r="S198" s="44">
        <v>32</v>
      </c>
      <c r="T198" s="31">
        <v>40134976.636034891</v>
      </c>
      <c r="U198" s="31">
        <v>2498920.8100000005</v>
      </c>
      <c r="V198" s="31">
        <v>2997797.05</v>
      </c>
      <c r="W198" s="31">
        <v>137003.99</v>
      </c>
      <c r="X198" s="31">
        <v>5634148.9440036509</v>
      </c>
      <c r="Y198" s="31">
        <v>2097769.7769279904</v>
      </c>
      <c r="Z198" s="31">
        <v>2430009.031423443</v>
      </c>
      <c r="AA198" s="31">
        <f t="shared" si="17"/>
        <v>57248490.878389977</v>
      </c>
      <c r="AB198" s="31">
        <v>1317864.6400000001</v>
      </c>
      <c r="AD198" s="42" t="s">
        <v>7</v>
      </c>
      <c r="AE198" s="42" t="s">
        <v>8</v>
      </c>
      <c r="AF198" s="43" t="s">
        <v>1275</v>
      </c>
      <c r="AG198" s="44">
        <v>32</v>
      </c>
      <c r="AH198" s="31">
        <v>40559268.198245831</v>
      </c>
      <c r="AI198" s="31">
        <v>2528802.21</v>
      </c>
      <c r="AJ198" s="31">
        <v>3056437.7800000003</v>
      </c>
      <c r="AK198" s="31">
        <v>138445.98000000001</v>
      </c>
      <c r="AL198" s="31">
        <v>5740653.5095482673</v>
      </c>
      <c r="AM198" s="31">
        <v>2097178.7188727418</v>
      </c>
      <c r="AN198" s="31">
        <v>2476815.2925350531</v>
      </c>
      <c r="AO198" s="31">
        <f t="shared" si="18"/>
        <v>57938684.869201891</v>
      </c>
      <c r="AP198" s="31">
        <v>1341083.1800000002</v>
      </c>
      <c r="AR198" s="42" t="s">
        <v>7</v>
      </c>
      <c r="AS198" s="42" t="s">
        <v>8</v>
      </c>
      <c r="AT198" s="43" t="s">
        <v>1276</v>
      </c>
      <c r="AU198" s="44">
        <v>32</v>
      </c>
      <c r="AV198" s="31">
        <v>40838332.655959561</v>
      </c>
      <c r="AW198" s="31">
        <v>2542878.3900000006</v>
      </c>
      <c r="AX198" s="31">
        <v>3112251.17</v>
      </c>
      <c r="AY198" s="31">
        <v>139188.35</v>
      </c>
      <c r="AZ198" s="31">
        <v>5857007.537415673</v>
      </c>
      <c r="BA198" s="31">
        <v>2097272.7771012341</v>
      </c>
      <c r="BB198" s="31">
        <v>2522476.5356247062</v>
      </c>
      <c r="BC198" s="31">
        <f t="shared" si="19"/>
        <v>58475357.656101182</v>
      </c>
      <c r="BD198" s="31">
        <v>1365950.24</v>
      </c>
    </row>
    <row r="199" spans="2:56">
      <c r="B199" s="42" t="s">
        <v>93</v>
      </c>
      <c r="C199" s="42" t="s">
        <v>94</v>
      </c>
      <c r="D199" s="43" t="s">
        <v>1049</v>
      </c>
      <c r="E199" s="44">
        <v>32</v>
      </c>
      <c r="F199" s="31">
        <v>403263.79399110691</v>
      </c>
      <c r="G199" s="31">
        <v>12472.669999999998</v>
      </c>
      <c r="H199" s="31">
        <v>12570.099999999999</v>
      </c>
      <c r="I199" s="31">
        <v>0</v>
      </c>
      <c r="J199" s="31">
        <v>48951.989249271959</v>
      </c>
      <c r="K199" s="31">
        <v>93000.615266374734</v>
      </c>
      <c r="L199" s="31">
        <v>0</v>
      </c>
      <c r="M199" s="31">
        <f t="shared" si="16"/>
        <v>576592.94850675366</v>
      </c>
      <c r="N199" s="31">
        <v>6333.78</v>
      </c>
      <c r="P199" s="42" t="s">
        <v>93</v>
      </c>
      <c r="Q199" s="42" t="s">
        <v>94</v>
      </c>
      <c r="R199" s="43" t="s">
        <v>1050</v>
      </c>
      <c r="S199" s="44">
        <v>32</v>
      </c>
      <c r="T199" s="31">
        <v>441361.64797736844</v>
      </c>
      <c r="U199" s="31">
        <v>14860.460000000006</v>
      </c>
      <c r="V199" s="31">
        <v>13052.82</v>
      </c>
      <c r="W199" s="31">
        <v>0</v>
      </c>
      <c r="X199" s="31">
        <v>51958.34034335988</v>
      </c>
      <c r="Y199" s="31">
        <v>93078.374028111662</v>
      </c>
      <c r="Z199" s="31">
        <v>0</v>
      </c>
      <c r="AA199" s="31">
        <f t="shared" si="17"/>
        <v>620801.14234884002</v>
      </c>
      <c r="AB199" s="31">
        <v>6489.5</v>
      </c>
      <c r="AD199" s="42" t="s">
        <v>93</v>
      </c>
      <c r="AE199" s="42" t="s">
        <v>94</v>
      </c>
      <c r="AF199" s="43" t="s">
        <v>1275</v>
      </c>
      <c r="AG199" s="44">
        <v>32</v>
      </c>
      <c r="AH199" s="31">
        <v>441986.16253638605</v>
      </c>
      <c r="AI199" s="31">
        <v>14544.769999999999</v>
      </c>
      <c r="AJ199" s="31">
        <v>13308.16</v>
      </c>
      <c r="AK199" s="31">
        <v>0</v>
      </c>
      <c r="AL199" s="31">
        <v>53305.122948473509</v>
      </c>
      <c r="AM199" s="31">
        <v>93051.95710900065</v>
      </c>
      <c r="AN199" s="31">
        <v>0</v>
      </c>
      <c r="AO199" s="31">
        <f t="shared" si="18"/>
        <v>622800.00259386015</v>
      </c>
      <c r="AP199" s="31">
        <v>6603.83</v>
      </c>
      <c r="AR199" s="42" t="s">
        <v>93</v>
      </c>
      <c r="AS199" s="42" t="s">
        <v>94</v>
      </c>
      <c r="AT199" s="43" t="s">
        <v>1276</v>
      </c>
      <c r="AU199" s="44">
        <v>32</v>
      </c>
      <c r="AV199" s="31">
        <v>450036.37277826294</v>
      </c>
      <c r="AW199" s="31">
        <v>14808.52</v>
      </c>
      <c r="AX199" s="31">
        <v>13551.180000000002</v>
      </c>
      <c r="AY199" s="31">
        <v>0</v>
      </c>
      <c r="AZ199" s="31">
        <v>54284.70211274967</v>
      </c>
      <c r="BA199" s="31">
        <v>93056.160974579907</v>
      </c>
      <c r="BB199" s="31">
        <v>0</v>
      </c>
      <c r="BC199" s="31">
        <f t="shared" si="19"/>
        <v>632463.20586559246</v>
      </c>
      <c r="BD199" s="31">
        <v>6726.2699999999995</v>
      </c>
    </row>
    <row r="200" spans="2:56">
      <c r="B200" s="42" t="s">
        <v>565</v>
      </c>
      <c r="C200" s="42" t="s">
        <v>566</v>
      </c>
      <c r="D200" s="43" t="s">
        <v>1049</v>
      </c>
      <c r="E200" s="44">
        <v>32</v>
      </c>
      <c r="F200" s="31">
        <v>2210879.432647232</v>
      </c>
      <c r="G200" s="31">
        <v>34689.61</v>
      </c>
      <c r="H200" s="31">
        <v>0</v>
      </c>
      <c r="I200" s="31">
        <v>0</v>
      </c>
      <c r="J200" s="31">
        <v>163641.20748194394</v>
      </c>
      <c r="K200" s="31">
        <v>0</v>
      </c>
      <c r="L200" s="31">
        <v>85352.69647737511</v>
      </c>
      <c r="M200" s="31">
        <f t="shared" si="16"/>
        <v>2494562.9466065508</v>
      </c>
      <c r="N200" s="31">
        <v>0</v>
      </c>
      <c r="P200" s="42" t="s">
        <v>565</v>
      </c>
      <c r="Q200" s="42" t="s">
        <v>566</v>
      </c>
      <c r="R200" s="43" t="s">
        <v>1050</v>
      </c>
      <c r="S200" s="44">
        <v>32</v>
      </c>
      <c r="T200" s="31">
        <v>2332682.5991133656</v>
      </c>
      <c r="U200" s="31">
        <v>37438.310000000005</v>
      </c>
      <c r="V200" s="31">
        <v>0</v>
      </c>
      <c r="W200" s="31">
        <v>0</v>
      </c>
      <c r="X200" s="31">
        <v>168221.53095493093</v>
      </c>
      <c r="Y200" s="31">
        <v>0</v>
      </c>
      <c r="Z200" s="31">
        <v>88394.122817759475</v>
      </c>
      <c r="AA200" s="31">
        <f t="shared" si="17"/>
        <v>2626736.562886056</v>
      </c>
      <c r="AB200" s="31">
        <v>0</v>
      </c>
      <c r="AD200" s="42" t="s">
        <v>565</v>
      </c>
      <c r="AE200" s="42" t="s">
        <v>566</v>
      </c>
      <c r="AF200" s="43" t="s">
        <v>1275</v>
      </c>
      <c r="AG200" s="44">
        <v>32</v>
      </c>
      <c r="AH200" s="31">
        <v>2398426.8964432254</v>
      </c>
      <c r="AI200" s="31">
        <v>38170.639999999999</v>
      </c>
      <c r="AJ200" s="31">
        <v>0</v>
      </c>
      <c r="AK200" s="31">
        <v>0</v>
      </c>
      <c r="AL200" s="31">
        <v>170163.95088664745</v>
      </c>
      <c r="AM200" s="31">
        <v>0</v>
      </c>
      <c r="AN200" s="31">
        <v>90096.676456668269</v>
      </c>
      <c r="AO200" s="31">
        <f t="shared" si="18"/>
        <v>2696858.1637865417</v>
      </c>
      <c r="AP200" s="31">
        <v>0</v>
      </c>
      <c r="AR200" s="42" t="s">
        <v>565</v>
      </c>
      <c r="AS200" s="42" t="s">
        <v>566</v>
      </c>
      <c r="AT200" s="43" t="s">
        <v>1276</v>
      </c>
      <c r="AU200" s="44">
        <v>32</v>
      </c>
      <c r="AV200" s="31">
        <v>2419481.0352537567</v>
      </c>
      <c r="AW200" s="31">
        <v>39392.939999999995</v>
      </c>
      <c r="AX200" s="31">
        <v>0</v>
      </c>
      <c r="AY200" s="31">
        <v>0</v>
      </c>
      <c r="AZ200" s="31">
        <v>174048.48436950316</v>
      </c>
      <c r="BA200" s="31">
        <v>0</v>
      </c>
      <c r="BB200" s="31">
        <v>91757.970108739581</v>
      </c>
      <c r="BC200" s="31">
        <f t="shared" si="19"/>
        <v>2724680.4297319995</v>
      </c>
      <c r="BD200" s="31">
        <v>0</v>
      </c>
    </row>
    <row r="201" spans="2:56">
      <c r="B201" s="42" t="s">
        <v>111</v>
      </c>
      <c r="C201" s="42" t="s">
        <v>112</v>
      </c>
      <c r="D201" s="43" t="s">
        <v>1049</v>
      </c>
      <c r="E201" s="44">
        <v>32</v>
      </c>
      <c r="F201" s="31">
        <v>146711126.16986844</v>
      </c>
      <c r="G201" s="31">
        <v>8277272.7699999977</v>
      </c>
      <c r="H201" s="31">
        <v>9979792.1700000018</v>
      </c>
      <c r="I201" s="31">
        <v>507481.75</v>
      </c>
      <c r="J201" s="31">
        <v>20982185.700044595</v>
      </c>
      <c r="K201" s="31">
        <v>8015744.0452046283</v>
      </c>
      <c r="L201" s="31">
        <v>10579337.216825472</v>
      </c>
      <c r="M201" s="31">
        <f t="shared" si="16"/>
        <v>209846927.30194318</v>
      </c>
      <c r="N201" s="31">
        <v>4793987.4800000004</v>
      </c>
      <c r="P201" s="42" t="s">
        <v>111</v>
      </c>
      <c r="Q201" s="42" t="s">
        <v>112</v>
      </c>
      <c r="R201" s="43" t="s">
        <v>1050</v>
      </c>
      <c r="S201" s="44">
        <v>32</v>
      </c>
      <c r="T201" s="31">
        <v>160332347.74204049</v>
      </c>
      <c r="U201" s="31">
        <v>8963303.5400000028</v>
      </c>
      <c r="V201" s="31">
        <v>10363026.26</v>
      </c>
      <c r="W201" s="31">
        <v>545486.34</v>
      </c>
      <c r="X201" s="31">
        <v>21758660.334105551</v>
      </c>
      <c r="Y201" s="31">
        <v>8023340.9625950577</v>
      </c>
      <c r="Z201" s="31">
        <v>11061863.398895126</v>
      </c>
      <c r="AA201" s="31">
        <f t="shared" si="17"/>
        <v>225959869.82763618</v>
      </c>
      <c r="AB201" s="31">
        <v>4911841.25</v>
      </c>
      <c r="AD201" s="42" t="s">
        <v>111</v>
      </c>
      <c r="AE201" s="42" t="s">
        <v>112</v>
      </c>
      <c r="AF201" s="43" t="s">
        <v>1275</v>
      </c>
      <c r="AG201" s="44">
        <v>32</v>
      </c>
      <c r="AH201" s="31">
        <v>165125470.32972783</v>
      </c>
      <c r="AI201" s="31">
        <v>9237830.2300000004</v>
      </c>
      <c r="AJ201" s="31">
        <v>10565740.33</v>
      </c>
      <c r="AK201" s="31">
        <v>561624.46000000008</v>
      </c>
      <c r="AL201" s="31">
        <v>22161917.34932851</v>
      </c>
      <c r="AM201" s="31">
        <v>8020760.0682017691</v>
      </c>
      <c r="AN201" s="31">
        <v>11274935.05919826</v>
      </c>
      <c r="AO201" s="31">
        <f t="shared" si="18"/>
        <v>231946657.42645639</v>
      </c>
      <c r="AP201" s="31">
        <v>4998379.6000000006</v>
      </c>
      <c r="AR201" s="42" t="s">
        <v>111</v>
      </c>
      <c r="AS201" s="42" t="s">
        <v>112</v>
      </c>
      <c r="AT201" s="43" t="s">
        <v>1276</v>
      </c>
      <c r="AU201" s="44">
        <v>32</v>
      </c>
      <c r="AV201" s="31">
        <v>171683039.94437799</v>
      </c>
      <c r="AW201" s="31">
        <v>9589577.9299999997</v>
      </c>
      <c r="AX201" s="31">
        <v>10758680.5</v>
      </c>
      <c r="AY201" s="31">
        <v>583225.39</v>
      </c>
      <c r="AZ201" s="31">
        <v>22570068.045172725</v>
      </c>
      <c r="BA201" s="31">
        <v>8021170.7797256242</v>
      </c>
      <c r="BB201" s="31">
        <v>11482794.567325154</v>
      </c>
      <c r="BC201" s="31">
        <f t="shared" si="19"/>
        <v>239779619.32660145</v>
      </c>
      <c r="BD201" s="31">
        <v>5091062.1700000009</v>
      </c>
    </row>
    <row r="202" spans="2:56">
      <c r="B202" s="42" t="s">
        <v>335</v>
      </c>
      <c r="C202" s="42" t="s">
        <v>336</v>
      </c>
      <c r="D202" s="43" t="s">
        <v>1049</v>
      </c>
      <c r="E202" s="44">
        <v>32</v>
      </c>
      <c r="F202" s="31">
        <v>3263872.2500538221</v>
      </c>
      <c r="G202" s="31">
        <v>137502.41000000003</v>
      </c>
      <c r="H202" s="31">
        <v>57301.08</v>
      </c>
      <c r="I202" s="31">
        <v>8574.99</v>
      </c>
      <c r="J202" s="31">
        <v>370516.36197021039</v>
      </c>
      <c r="K202" s="31">
        <v>197071.99173807609</v>
      </c>
      <c r="L202" s="31">
        <v>101937.06604758077</v>
      </c>
      <c r="M202" s="31">
        <f t="shared" si="16"/>
        <v>4218490.69980969</v>
      </c>
      <c r="N202" s="31">
        <v>81714.55</v>
      </c>
      <c r="P202" s="42" t="s">
        <v>335</v>
      </c>
      <c r="Q202" s="42" t="s">
        <v>336</v>
      </c>
      <c r="R202" s="43" t="s">
        <v>1050</v>
      </c>
      <c r="S202" s="44">
        <v>32</v>
      </c>
      <c r="T202" s="31">
        <v>3514651.1708632349</v>
      </c>
      <c r="U202" s="31">
        <v>148326.76</v>
      </c>
      <c r="V202" s="31">
        <v>59480.9</v>
      </c>
      <c r="W202" s="31">
        <v>9215.35</v>
      </c>
      <c r="X202" s="31">
        <v>385727.22107638948</v>
      </c>
      <c r="Y202" s="31">
        <v>197287.89566039282</v>
      </c>
      <c r="Z202" s="31">
        <v>106495.09851652291</v>
      </c>
      <c r="AA202" s="31">
        <f t="shared" si="17"/>
        <v>4504916.9261165401</v>
      </c>
      <c r="AB202" s="31">
        <v>83732.53</v>
      </c>
      <c r="AD202" s="42" t="s">
        <v>335</v>
      </c>
      <c r="AE202" s="42" t="s">
        <v>336</v>
      </c>
      <c r="AF202" s="43" t="s">
        <v>1275</v>
      </c>
      <c r="AG202" s="44">
        <v>32</v>
      </c>
      <c r="AH202" s="31">
        <v>3552997.2105070986</v>
      </c>
      <c r="AI202" s="31">
        <v>152881.82</v>
      </c>
      <c r="AJ202" s="31">
        <v>60645.1</v>
      </c>
      <c r="AK202" s="31">
        <v>9395.7199999999993</v>
      </c>
      <c r="AL202" s="31">
        <v>396301.15281854471</v>
      </c>
      <c r="AM202" s="31">
        <v>197214.54680138081</v>
      </c>
      <c r="AN202" s="31">
        <v>108547.77936234695</v>
      </c>
      <c r="AO202" s="31">
        <f t="shared" si="18"/>
        <v>4563197.6194893708</v>
      </c>
      <c r="AP202" s="31">
        <v>85214.290000000008</v>
      </c>
      <c r="AR202" s="42" t="s">
        <v>335</v>
      </c>
      <c r="AS202" s="42" t="s">
        <v>336</v>
      </c>
      <c r="AT202" s="43" t="s">
        <v>1276</v>
      </c>
      <c r="AU202" s="44">
        <v>32</v>
      </c>
      <c r="AV202" s="31">
        <v>3699173.038872222</v>
      </c>
      <c r="AW202" s="31">
        <v>156642.47</v>
      </c>
      <c r="AX202" s="31">
        <v>61757.93</v>
      </c>
      <c r="AY202" s="31">
        <v>9676.8599999999988</v>
      </c>
      <c r="AZ202" s="31">
        <v>407622.60719784151</v>
      </c>
      <c r="BA202" s="31">
        <v>197226.21919748359</v>
      </c>
      <c r="BB202" s="31">
        <v>110554.47887146453</v>
      </c>
      <c r="BC202" s="31">
        <f t="shared" si="19"/>
        <v>4729454.8641390121</v>
      </c>
      <c r="BD202" s="31">
        <v>86801.260000000009</v>
      </c>
    </row>
    <row r="203" spans="2:56">
      <c r="B203" s="42" t="s">
        <v>19</v>
      </c>
      <c r="C203" s="42" t="s">
        <v>20</v>
      </c>
      <c r="D203" s="43" t="s">
        <v>1049</v>
      </c>
      <c r="E203" s="44">
        <v>32</v>
      </c>
      <c r="F203" s="31">
        <v>1239863.3363786475</v>
      </c>
      <c r="G203" s="31">
        <v>88088.22</v>
      </c>
      <c r="H203" s="31">
        <v>42972.24</v>
      </c>
      <c r="I203" s="31">
        <v>0</v>
      </c>
      <c r="J203" s="31">
        <v>181282.11538752014</v>
      </c>
      <c r="K203" s="31">
        <v>332092.50042596896</v>
      </c>
      <c r="L203" s="31">
        <v>0</v>
      </c>
      <c r="M203" s="31">
        <f t="shared" si="16"/>
        <v>1924932.0421921364</v>
      </c>
      <c r="N203" s="31">
        <v>40633.629999999997</v>
      </c>
      <c r="P203" s="42" t="s">
        <v>19</v>
      </c>
      <c r="Q203" s="42" t="s">
        <v>20</v>
      </c>
      <c r="R203" s="43" t="s">
        <v>1050</v>
      </c>
      <c r="S203" s="44">
        <v>32</v>
      </c>
      <c r="T203" s="31">
        <v>1294971.3539411593</v>
      </c>
      <c r="U203" s="31">
        <v>91728.78</v>
      </c>
      <c r="V203" s="31">
        <v>44622.42</v>
      </c>
      <c r="W203" s="31">
        <v>0</v>
      </c>
      <c r="X203" s="31">
        <v>186288.71380043076</v>
      </c>
      <c r="Y203" s="31">
        <v>332414.68196837831</v>
      </c>
      <c r="Z203" s="31">
        <v>0</v>
      </c>
      <c r="AA203" s="31">
        <f t="shared" si="17"/>
        <v>1991658.4997099685</v>
      </c>
      <c r="AB203" s="31">
        <v>41632.549999999996</v>
      </c>
      <c r="AD203" s="42" t="s">
        <v>19</v>
      </c>
      <c r="AE203" s="42" t="s">
        <v>20</v>
      </c>
      <c r="AF203" s="43" t="s">
        <v>1275</v>
      </c>
      <c r="AG203" s="44">
        <v>32</v>
      </c>
      <c r="AH203" s="31">
        <v>1253601.7167036529</v>
      </c>
      <c r="AI203" s="31">
        <v>89064.799999999974</v>
      </c>
      <c r="AJ203" s="31">
        <v>45495.3</v>
      </c>
      <c r="AK203" s="31">
        <v>0</v>
      </c>
      <c r="AL203" s="31">
        <v>189631.26117461442</v>
      </c>
      <c r="AM203" s="31">
        <v>332305.22750235064</v>
      </c>
      <c r="AN203" s="31">
        <v>0</v>
      </c>
      <c r="AO203" s="31">
        <f t="shared" si="18"/>
        <v>1952464.3553806182</v>
      </c>
      <c r="AP203" s="31">
        <v>42366.05</v>
      </c>
      <c r="AR203" s="42" t="s">
        <v>19</v>
      </c>
      <c r="AS203" s="42" t="s">
        <v>20</v>
      </c>
      <c r="AT203" s="43" t="s">
        <v>1276</v>
      </c>
      <c r="AU203" s="44">
        <v>32</v>
      </c>
      <c r="AV203" s="31">
        <v>1259609.7208475787</v>
      </c>
      <c r="AW203" s="31">
        <v>88683.390000000014</v>
      </c>
      <c r="AX203" s="31">
        <v>46326.080000000009</v>
      </c>
      <c r="AY203" s="31">
        <v>0</v>
      </c>
      <c r="AZ203" s="31">
        <v>194958.87446827214</v>
      </c>
      <c r="BA203" s="31">
        <v>332322.64557674067</v>
      </c>
      <c r="BB203" s="31">
        <v>0</v>
      </c>
      <c r="BC203" s="31">
        <f t="shared" si="19"/>
        <v>1965052.3308925917</v>
      </c>
      <c r="BD203" s="31">
        <v>43151.619999999995</v>
      </c>
    </row>
    <row r="204" spans="2:56">
      <c r="B204" s="42" t="s">
        <v>289</v>
      </c>
      <c r="C204" s="42" t="s">
        <v>290</v>
      </c>
      <c r="D204" s="43" t="s">
        <v>1049</v>
      </c>
      <c r="E204" s="44">
        <v>32</v>
      </c>
      <c r="F204" s="31">
        <v>2880735.7406535917</v>
      </c>
      <c r="G204" s="31">
        <v>94526.58</v>
      </c>
      <c r="H204" s="31">
        <v>0</v>
      </c>
      <c r="I204" s="31">
        <v>7162.6399999999985</v>
      </c>
      <c r="J204" s="31">
        <v>351495.72769695142</v>
      </c>
      <c r="K204" s="31">
        <v>190085.30553271354</v>
      </c>
      <c r="L204" s="31">
        <v>194332.88077086539</v>
      </c>
      <c r="M204" s="31">
        <f t="shared" si="16"/>
        <v>3792890.8046541223</v>
      </c>
      <c r="N204" s="31">
        <v>74551.930000000008</v>
      </c>
      <c r="P204" s="42" t="s">
        <v>289</v>
      </c>
      <c r="Q204" s="42" t="s">
        <v>290</v>
      </c>
      <c r="R204" s="43" t="s">
        <v>1050</v>
      </c>
      <c r="S204" s="44">
        <v>32</v>
      </c>
      <c r="T204" s="31">
        <v>3029870.3056604345</v>
      </c>
      <c r="U204" s="31">
        <v>101211.91999999997</v>
      </c>
      <c r="V204" s="31">
        <v>0</v>
      </c>
      <c r="W204" s="31">
        <v>7644.54</v>
      </c>
      <c r="X204" s="31">
        <v>363326.8545108533</v>
      </c>
      <c r="Y204" s="31">
        <v>190256.27884637541</v>
      </c>
      <c r="Z204" s="31">
        <v>203110.58727474033</v>
      </c>
      <c r="AA204" s="31">
        <f t="shared" si="17"/>
        <v>3971813.5062924041</v>
      </c>
      <c r="AB204" s="31">
        <v>76393.02</v>
      </c>
      <c r="AD204" s="42" t="s">
        <v>289</v>
      </c>
      <c r="AE204" s="42" t="s">
        <v>290</v>
      </c>
      <c r="AF204" s="43" t="s">
        <v>1275</v>
      </c>
      <c r="AG204" s="44">
        <v>32</v>
      </c>
      <c r="AH204" s="31">
        <v>3122544.4542841502</v>
      </c>
      <c r="AI204" s="31">
        <v>105364.88999999998</v>
      </c>
      <c r="AJ204" s="31">
        <v>0</v>
      </c>
      <c r="AK204" s="31">
        <v>7900.9299999999994</v>
      </c>
      <c r="AL204" s="31">
        <v>370877.58428996743</v>
      </c>
      <c r="AM204" s="31">
        <v>190198.1942254754</v>
      </c>
      <c r="AN204" s="31">
        <v>207025.70375253356</v>
      </c>
      <c r="AO204" s="31">
        <f t="shared" si="18"/>
        <v>4081656.6465521269</v>
      </c>
      <c r="AP204" s="31">
        <v>77744.890000000014</v>
      </c>
      <c r="AR204" s="42" t="s">
        <v>289</v>
      </c>
      <c r="AS204" s="42" t="s">
        <v>290</v>
      </c>
      <c r="AT204" s="43" t="s">
        <v>1276</v>
      </c>
      <c r="AU204" s="44">
        <v>32</v>
      </c>
      <c r="AV204" s="31">
        <v>3190842.8772834595</v>
      </c>
      <c r="AW204" s="31">
        <v>107712.00999999997</v>
      </c>
      <c r="AX204" s="31">
        <v>0</v>
      </c>
      <c r="AY204" s="31">
        <v>8154.670000000001</v>
      </c>
      <c r="AZ204" s="31">
        <v>377999.85680928722</v>
      </c>
      <c r="BA204" s="31">
        <v>190207.43754175538</v>
      </c>
      <c r="BB204" s="31">
        <v>210853.12736493006</v>
      </c>
      <c r="BC204" s="31">
        <f t="shared" si="19"/>
        <v>4164962.7489994322</v>
      </c>
      <c r="BD204" s="31">
        <v>79192.77</v>
      </c>
    </row>
    <row r="205" spans="2:56">
      <c r="B205" s="42" t="s">
        <v>379</v>
      </c>
      <c r="C205" s="42" t="s">
        <v>380</v>
      </c>
      <c r="D205" s="43" t="s">
        <v>1049</v>
      </c>
      <c r="E205" s="44">
        <v>32</v>
      </c>
      <c r="F205" s="31">
        <v>76944510.108828098</v>
      </c>
      <c r="G205" s="31">
        <v>1274802.6000000001</v>
      </c>
      <c r="H205" s="31">
        <v>346055.97000000003</v>
      </c>
      <c r="I205" s="31">
        <v>275666.05000000005</v>
      </c>
      <c r="J205" s="31">
        <v>11568412.728672519</v>
      </c>
      <c r="K205" s="31">
        <v>5956432.45225731</v>
      </c>
      <c r="L205" s="31">
        <v>5451540.93344157</v>
      </c>
      <c r="M205" s="31">
        <f t="shared" si="16"/>
        <v>101891813.98319948</v>
      </c>
      <c r="N205" s="31">
        <v>74393.14</v>
      </c>
      <c r="P205" s="42" t="s">
        <v>379</v>
      </c>
      <c r="Q205" s="42" t="s">
        <v>380</v>
      </c>
      <c r="R205" s="43" t="s">
        <v>1050</v>
      </c>
      <c r="S205" s="44">
        <v>32</v>
      </c>
      <c r="T205" s="31">
        <v>87351376.81511493</v>
      </c>
      <c r="U205" s="31">
        <v>1440280.62</v>
      </c>
      <c r="V205" s="31">
        <v>358893.53000000009</v>
      </c>
      <c r="W205" s="31">
        <v>311264.01</v>
      </c>
      <c r="X205" s="31">
        <v>11954936.337420754</v>
      </c>
      <c r="Y205" s="31">
        <v>5962032.7023024103</v>
      </c>
      <c r="Z205" s="31">
        <v>5641682.2731209863</v>
      </c>
      <c r="AA205" s="31">
        <f t="shared" si="17"/>
        <v>113096718.4279591</v>
      </c>
      <c r="AB205" s="31">
        <v>76252.14</v>
      </c>
      <c r="AD205" s="42" t="s">
        <v>379</v>
      </c>
      <c r="AE205" s="42" t="s">
        <v>380</v>
      </c>
      <c r="AF205" s="43" t="s">
        <v>1275</v>
      </c>
      <c r="AG205" s="44">
        <v>32</v>
      </c>
      <c r="AH205" s="31">
        <v>89889200.082044363</v>
      </c>
      <c r="AI205" s="31">
        <v>1485929.4800000002</v>
      </c>
      <c r="AJ205" s="31">
        <v>365928.93999999994</v>
      </c>
      <c r="AK205" s="31">
        <v>321128.52999999997</v>
      </c>
      <c r="AL205" s="31">
        <v>12146051.280640559</v>
      </c>
      <c r="AM205" s="31">
        <v>5959984.7210625662</v>
      </c>
      <c r="AN205" s="31">
        <v>5750653.7979265982</v>
      </c>
      <c r="AO205" s="31">
        <f t="shared" si="18"/>
        <v>115996494.01167411</v>
      </c>
      <c r="AP205" s="31">
        <v>77617.180000000008</v>
      </c>
      <c r="AR205" s="42" t="s">
        <v>379</v>
      </c>
      <c r="AS205" s="42" t="s">
        <v>380</v>
      </c>
      <c r="AT205" s="43" t="s">
        <v>1276</v>
      </c>
      <c r="AU205" s="44">
        <v>32</v>
      </c>
      <c r="AV205" s="31">
        <v>92909472.21504797</v>
      </c>
      <c r="AW205" s="31">
        <v>1534605.1000000003</v>
      </c>
      <c r="AX205" s="31">
        <v>372729.55999999994</v>
      </c>
      <c r="AY205" s="31">
        <v>331647.86</v>
      </c>
      <c r="AZ205" s="31">
        <v>12372457.979219357</v>
      </c>
      <c r="BA205" s="31">
        <v>5960303.1053956812</v>
      </c>
      <c r="BB205" s="31">
        <v>5858005.8291338105</v>
      </c>
      <c r="BC205" s="31">
        <f t="shared" si="19"/>
        <v>119418300.78879681</v>
      </c>
      <c r="BD205" s="31">
        <v>79079.14</v>
      </c>
    </row>
    <row r="206" spans="2:56">
      <c r="B206" s="42" t="s">
        <v>1317</v>
      </c>
      <c r="C206" s="42" t="s">
        <v>1318</v>
      </c>
      <c r="D206" s="43" t="s">
        <v>1049</v>
      </c>
      <c r="E206" s="44">
        <v>32</v>
      </c>
      <c r="F206" s="31">
        <v>951358.83248754556</v>
      </c>
      <c r="G206" s="31">
        <v>33593.760000000002</v>
      </c>
      <c r="H206" s="31">
        <v>11904.09</v>
      </c>
      <c r="I206" s="31">
        <v>0</v>
      </c>
      <c r="J206" s="31">
        <v>131187.9391513748</v>
      </c>
      <c r="K206" s="31">
        <v>0</v>
      </c>
      <c r="L206" s="31">
        <v>0</v>
      </c>
      <c r="M206" s="31">
        <f t="shared" si="16"/>
        <v>1128044.6216389204</v>
      </c>
      <c r="N206" s="31">
        <v>0</v>
      </c>
      <c r="P206" s="42" t="s">
        <v>1317</v>
      </c>
      <c r="Q206" s="42" t="s">
        <v>1318</v>
      </c>
      <c r="R206" s="43" t="s">
        <v>1050</v>
      </c>
      <c r="S206" s="44">
        <v>32</v>
      </c>
      <c r="T206" s="31">
        <v>1431077.1712919087</v>
      </c>
      <c r="U206" s="31">
        <v>50360.500000000007</v>
      </c>
      <c r="V206" s="31">
        <v>12252.659999999998</v>
      </c>
      <c r="W206" s="31">
        <v>0</v>
      </c>
      <c r="X206" s="31">
        <v>134739.69313391688</v>
      </c>
      <c r="Y206" s="31">
        <v>0</v>
      </c>
      <c r="Z206" s="31">
        <v>0</v>
      </c>
      <c r="AA206" s="31">
        <f t="shared" si="17"/>
        <v>1628430.0244258256</v>
      </c>
      <c r="AB206" s="31">
        <v>0</v>
      </c>
      <c r="AD206" s="42" t="s">
        <v>1317</v>
      </c>
      <c r="AE206" s="42" t="s">
        <v>1318</v>
      </c>
      <c r="AF206" s="43" t="s">
        <v>1275</v>
      </c>
      <c r="AG206" s="44">
        <v>32</v>
      </c>
      <c r="AH206" s="31">
        <v>2973927.5920754401</v>
      </c>
      <c r="AI206" s="31">
        <v>70402.329999999987</v>
      </c>
      <c r="AJ206" s="31">
        <v>12492.44</v>
      </c>
      <c r="AK206" s="31">
        <v>0</v>
      </c>
      <c r="AL206" s="31">
        <v>139116.98167649499</v>
      </c>
      <c r="AM206" s="31">
        <v>0</v>
      </c>
      <c r="AN206" s="31">
        <v>0</v>
      </c>
      <c r="AO206" s="31">
        <f t="shared" si="18"/>
        <v>3195939.3437519353</v>
      </c>
      <c r="AP206" s="31">
        <v>0</v>
      </c>
      <c r="AR206" s="42" t="s">
        <v>1317</v>
      </c>
      <c r="AS206" s="42" t="s">
        <v>1318</v>
      </c>
      <c r="AT206" s="43" t="s">
        <v>1276</v>
      </c>
      <c r="AU206" s="44">
        <v>32</v>
      </c>
      <c r="AV206" s="31">
        <v>3296229.7304085828</v>
      </c>
      <c r="AW206" s="31">
        <v>89696.71</v>
      </c>
      <c r="AX206" s="31">
        <v>12721.4</v>
      </c>
      <c r="AY206" s="31">
        <v>0</v>
      </c>
      <c r="AZ206" s="31">
        <v>142835.63384433321</v>
      </c>
      <c r="BA206" s="31">
        <v>0</v>
      </c>
      <c r="BB206" s="31">
        <v>0</v>
      </c>
      <c r="BC206" s="31">
        <f t="shared" si="19"/>
        <v>3541483.4742529159</v>
      </c>
      <c r="BD206" s="31">
        <v>0</v>
      </c>
    </row>
    <row r="207" spans="2:56">
      <c r="B207" s="42" t="s">
        <v>321</v>
      </c>
      <c r="C207" s="42" t="s">
        <v>322</v>
      </c>
      <c r="D207" s="43" t="s">
        <v>1049</v>
      </c>
      <c r="E207" s="44">
        <v>32</v>
      </c>
      <c r="F207" s="31">
        <v>6125186.5355924778</v>
      </c>
      <c r="G207" s="31">
        <v>279660.63</v>
      </c>
      <c r="H207" s="31">
        <v>50085.570000000007</v>
      </c>
      <c r="I207" s="31">
        <v>19391.120000000003</v>
      </c>
      <c r="J207" s="31">
        <v>943840.28873090807</v>
      </c>
      <c r="K207" s="31">
        <v>671718.46139702224</v>
      </c>
      <c r="L207" s="31">
        <v>0</v>
      </c>
      <c r="M207" s="31">
        <f t="shared" si="16"/>
        <v>8286229.7057204079</v>
      </c>
      <c r="N207" s="31">
        <v>196347.09999999998</v>
      </c>
      <c r="P207" s="42" t="s">
        <v>321</v>
      </c>
      <c r="Q207" s="42" t="s">
        <v>322</v>
      </c>
      <c r="R207" s="43" t="s">
        <v>1050</v>
      </c>
      <c r="S207" s="44">
        <v>32</v>
      </c>
      <c r="T207" s="31">
        <v>6338846.9167978903</v>
      </c>
      <c r="U207" s="31">
        <v>291493.93999999994</v>
      </c>
      <c r="V207" s="31">
        <v>52008.9</v>
      </c>
      <c r="W207" s="31">
        <v>19933.379999999997</v>
      </c>
      <c r="X207" s="31">
        <v>964575.73937540152</v>
      </c>
      <c r="Y207" s="31">
        <v>672327.39875193429</v>
      </c>
      <c r="Z207" s="31">
        <v>0</v>
      </c>
      <c r="AA207" s="31">
        <f t="shared" si="17"/>
        <v>8540360.3049252257</v>
      </c>
      <c r="AB207" s="31">
        <v>201174.03000000003</v>
      </c>
      <c r="AD207" s="42" t="s">
        <v>321</v>
      </c>
      <c r="AE207" s="42" t="s">
        <v>322</v>
      </c>
      <c r="AF207" s="43" t="s">
        <v>1275</v>
      </c>
      <c r="AG207" s="44">
        <v>32</v>
      </c>
      <c r="AH207" s="31">
        <v>6763897.4070051713</v>
      </c>
      <c r="AI207" s="31">
        <v>310069.63</v>
      </c>
      <c r="AJ207" s="31">
        <v>53026.260000000009</v>
      </c>
      <c r="AK207" s="31">
        <v>21251.769999999997</v>
      </c>
      <c r="AL207" s="31">
        <v>987035.6718944665</v>
      </c>
      <c r="AM207" s="31">
        <v>672120.52497348085</v>
      </c>
      <c r="AN207" s="31">
        <v>0</v>
      </c>
      <c r="AO207" s="31">
        <f t="shared" si="18"/>
        <v>9012119.6438731179</v>
      </c>
      <c r="AP207" s="31">
        <v>204718.38</v>
      </c>
      <c r="AR207" s="42" t="s">
        <v>321</v>
      </c>
      <c r="AS207" s="42" t="s">
        <v>322</v>
      </c>
      <c r="AT207" s="43" t="s">
        <v>1276</v>
      </c>
      <c r="AU207" s="44">
        <v>32</v>
      </c>
      <c r="AV207" s="31">
        <v>7227940.1719103707</v>
      </c>
      <c r="AW207" s="31">
        <v>328700.06000000006</v>
      </c>
      <c r="AX207" s="31">
        <v>53994.57</v>
      </c>
      <c r="AY207" s="31">
        <v>22480.23</v>
      </c>
      <c r="AZ207" s="31">
        <v>1012545.351072081</v>
      </c>
      <c r="BA207" s="31">
        <v>672153.44590392092</v>
      </c>
      <c r="BB207" s="31">
        <v>0</v>
      </c>
      <c r="BC207" s="31">
        <f t="shared" si="19"/>
        <v>9526328.2088863738</v>
      </c>
      <c r="BD207" s="31">
        <v>208514.38</v>
      </c>
    </row>
    <row r="208" spans="2:56">
      <c r="B208" s="42" t="s">
        <v>119</v>
      </c>
      <c r="C208" s="42" t="s">
        <v>120</v>
      </c>
      <c r="D208" s="43" t="s">
        <v>1049</v>
      </c>
      <c r="E208" s="44">
        <v>32</v>
      </c>
      <c r="F208" s="31">
        <v>3521560.9433224779</v>
      </c>
      <c r="G208" s="31">
        <v>118839.19999999997</v>
      </c>
      <c r="H208" s="31">
        <v>5144.9800000000014</v>
      </c>
      <c r="I208" s="31">
        <v>0</v>
      </c>
      <c r="J208" s="31">
        <v>487177.17231426295</v>
      </c>
      <c r="K208" s="31">
        <v>298951.78896501078</v>
      </c>
      <c r="L208" s="31">
        <v>476038.16963427508</v>
      </c>
      <c r="M208" s="31">
        <f t="shared" si="16"/>
        <v>5014243.8442360265</v>
      </c>
      <c r="N208" s="31">
        <v>106531.59000000001</v>
      </c>
      <c r="P208" s="42" t="s">
        <v>119</v>
      </c>
      <c r="Q208" s="42" t="s">
        <v>120</v>
      </c>
      <c r="R208" s="43" t="s">
        <v>1050</v>
      </c>
      <c r="S208" s="44">
        <v>32</v>
      </c>
      <c r="T208" s="31">
        <v>3260795.527931768</v>
      </c>
      <c r="U208" s="31">
        <v>110749.36000000003</v>
      </c>
      <c r="V208" s="31">
        <v>5340.7199999999993</v>
      </c>
      <c r="W208" s="31">
        <v>0</v>
      </c>
      <c r="X208" s="31">
        <v>497564.65293579339</v>
      </c>
      <c r="Y208" s="31">
        <v>299174.72121240559</v>
      </c>
      <c r="Z208" s="31">
        <v>497609.19166542764</v>
      </c>
      <c r="AA208" s="31">
        <f t="shared" si="17"/>
        <v>4780396.5937453946</v>
      </c>
      <c r="AB208" s="31">
        <v>109162.42</v>
      </c>
      <c r="AD208" s="42" t="s">
        <v>119</v>
      </c>
      <c r="AE208" s="42" t="s">
        <v>120</v>
      </c>
      <c r="AF208" s="43" t="s">
        <v>1275</v>
      </c>
      <c r="AG208" s="44">
        <v>32</v>
      </c>
      <c r="AH208" s="31">
        <v>3359399.1096851602</v>
      </c>
      <c r="AI208" s="31">
        <v>114936.95000000003</v>
      </c>
      <c r="AJ208" s="31">
        <v>5445.2599999999993</v>
      </c>
      <c r="AK208" s="31">
        <v>0</v>
      </c>
      <c r="AL208" s="31">
        <v>508708.93220391177</v>
      </c>
      <c r="AM208" s="31">
        <v>299098.9846263912</v>
      </c>
      <c r="AN208" s="31">
        <v>507200.84679377615</v>
      </c>
      <c r="AO208" s="31">
        <f t="shared" si="18"/>
        <v>4905884.2833092399</v>
      </c>
      <c r="AP208" s="31">
        <v>111094.2</v>
      </c>
      <c r="AR208" s="42" t="s">
        <v>119</v>
      </c>
      <c r="AS208" s="42" t="s">
        <v>120</v>
      </c>
      <c r="AT208" s="43" t="s">
        <v>1276</v>
      </c>
      <c r="AU208" s="44">
        <v>32</v>
      </c>
      <c r="AV208" s="31">
        <v>3425672.7224605288</v>
      </c>
      <c r="AW208" s="31">
        <v>115167.29</v>
      </c>
      <c r="AX208" s="31">
        <v>5545.18</v>
      </c>
      <c r="AY208" s="31">
        <v>0</v>
      </c>
      <c r="AZ208" s="31">
        <v>519217.68539679126</v>
      </c>
      <c r="BA208" s="31">
        <v>299111.03699425817</v>
      </c>
      <c r="BB208" s="31">
        <v>516577.58134943742</v>
      </c>
      <c r="BC208" s="31">
        <f t="shared" si="19"/>
        <v>4994454.6362010157</v>
      </c>
      <c r="BD208" s="31">
        <v>113163.14</v>
      </c>
    </row>
    <row r="209" spans="2:56">
      <c r="B209" s="42" t="s">
        <v>43</v>
      </c>
      <c r="C209" s="42" t="s">
        <v>44</v>
      </c>
      <c r="D209" s="43" t="s">
        <v>1049</v>
      </c>
      <c r="E209" s="44">
        <v>32</v>
      </c>
      <c r="F209" s="31">
        <v>28639165.418717742</v>
      </c>
      <c r="G209" s="31">
        <v>1184255.83</v>
      </c>
      <c r="H209" s="31">
        <v>85245.440000000002</v>
      </c>
      <c r="I209" s="31">
        <v>101487.46000000002</v>
      </c>
      <c r="J209" s="31">
        <v>4463521.7235988639</v>
      </c>
      <c r="K209" s="31">
        <v>1686509.1210638948</v>
      </c>
      <c r="L209" s="31">
        <v>2757065.5851950059</v>
      </c>
      <c r="M209" s="31">
        <f t="shared" si="16"/>
        <v>39562392.09857551</v>
      </c>
      <c r="N209" s="31">
        <v>645141.52</v>
      </c>
      <c r="P209" s="42" t="s">
        <v>43</v>
      </c>
      <c r="Q209" s="42" t="s">
        <v>44</v>
      </c>
      <c r="R209" s="43" t="s">
        <v>1050</v>
      </c>
      <c r="S209" s="44">
        <v>32</v>
      </c>
      <c r="T209" s="31">
        <v>30318452.97156455</v>
      </c>
      <c r="U209" s="31">
        <v>1252047.22</v>
      </c>
      <c r="V209" s="31">
        <v>87741.47</v>
      </c>
      <c r="W209" s="31">
        <v>106535.81999999999</v>
      </c>
      <c r="X209" s="31">
        <v>4559170.0498364279</v>
      </c>
      <c r="Y209" s="31">
        <v>1687791.9688160152</v>
      </c>
      <c r="Z209" s="31">
        <v>2862552.1371220197</v>
      </c>
      <c r="AA209" s="31">
        <f t="shared" si="17"/>
        <v>41529713.147339009</v>
      </c>
      <c r="AB209" s="31">
        <v>655421.51</v>
      </c>
      <c r="AD209" s="42" t="s">
        <v>43</v>
      </c>
      <c r="AE209" s="42" t="s">
        <v>44</v>
      </c>
      <c r="AF209" s="43" t="s">
        <v>1275</v>
      </c>
      <c r="AG209" s="44">
        <v>32</v>
      </c>
      <c r="AH209" s="31">
        <v>32223111.684238061</v>
      </c>
      <c r="AI209" s="31">
        <v>1327230.6500000001</v>
      </c>
      <c r="AJ209" s="31">
        <v>89458.580000000016</v>
      </c>
      <c r="AK209" s="31">
        <v>112855.44999999998</v>
      </c>
      <c r="AL209" s="31">
        <v>4647133.8202305669</v>
      </c>
      <c r="AM209" s="31">
        <v>1687346.4539294811</v>
      </c>
      <c r="AN209" s="31">
        <v>2917723.8784101899</v>
      </c>
      <c r="AO209" s="31">
        <f t="shared" si="18"/>
        <v>43671868.1668083</v>
      </c>
      <c r="AP209" s="31">
        <v>667007.64999999991</v>
      </c>
      <c r="AR209" s="42" t="s">
        <v>43</v>
      </c>
      <c r="AS209" s="42" t="s">
        <v>44</v>
      </c>
      <c r="AT209" s="43" t="s">
        <v>1276</v>
      </c>
      <c r="AU209" s="44">
        <v>32</v>
      </c>
      <c r="AV209" s="31">
        <v>32817529.141436167</v>
      </c>
      <c r="AW209" s="31">
        <v>1351372.9300000004</v>
      </c>
      <c r="AX209" s="31">
        <v>91098.200000000012</v>
      </c>
      <c r="AY209" s="31">
        <v>114923.91</v>
      </c>
      <c r="AZ209" s="31">
        <v>4732962.5501554273</v>
      </c>
      <c r="BA209" s="31">
        <v>1687416.9061123584</v>
      </c>
      <c r="BB209" s="31">
        <v>2971658.6641980195</v>
      </c>
      <c r="BC209" s="31">
        <f t="shared" si="19"/>
        <v>44446378.701901972</v>
      </c>
      <c r="BD209" s="31">
        <v>679416.39999999991</v>
      </c>
    </row>
    <row r="210" spans="2:56">
      <c r="B210" s="42" t="s">
        <v>181</v>
      </c>
      <c r="C210" s="42" t="s">
        <v>182</v>
      </c>
      <c r="D210" s="43" t="s">
        <v>1049</v>
      </c>
      <c r="E210" s="44">
        <v>32</v>
      </c>
      <c r="F210" s="31">
        <v>10203086.69210157</v>
      </c>
      <c r="G210" s="31">
        <v>413243.1</v>
      </c>
      <c r="H210" s="31">
        <v>58959</v>
      </c>
      <c r="I210" s="31">
        <v>35948.020000000004</v>
      </c>
      <c r="J210" s="31">
        <v>1430360.7111772757</v>
      </c>
      <c r="K210" s="31">
        <v>610361.32258085709</v>
      </c>
      <c r="L210" s="31">
        <v>519523.06880125147</v>
      </c>
      <c r="M210" s="31">
        <f t="shared" si="16"/>
        <v>13510711.184660954</v>
      </c>
      <c r="N210" s="31">
        <v>239229.27</v>
      </c>
      <c r="P210" s="42" t="s">
        <v>181</v>
      </c>
      <c r="Q210" s="42" t="s">
        <v>182</v>
      </c>
      <c r="R210" s="43" t="s">
        <v>1050</v>
      </c>
      <c r="S210" s="44">
        <v>32</v>
      </c>
      <c r="T210" s="31">
        <v>10719235.219658514</v>
      </c>
      <c r="U210" s="31">
        <v>432016.33000000007</v>
      </c>
      <c r="V210" s="31">
        <v>61172.689999999995</v>
      </c>
      <c r="W210" s="31">
        <v>37297.740000000005</v>
      </c>
      <c r="X210" s="31">
        <v>1482974.9155977874</v>
      </c>
      <c r="Y210" s="31">
        <v>610665.26388466265</v>
      </c>
      <c r="Z210" s="31">
        <v>543165.80050966039</v>
      </c>
      <c r="AA210" s="31">
        <f t="shared" si="17"/>
        <v>14131701.899650622</v>
      </c>
      <c r="AB210" s="31">
        <v>245173.93999999997</v>
      </c>
      <c r="AD210" s="42" t="s">
        <v>181</v>
      </c>
      <c r="AE210" s="42" t="s">
        <v>182</v>
      </c>
      <c r="AF210" s="43" t="s">
        <v>1275</v>
      </c>
      <c r="AG210" s="44">
        <v>32</v>
      </c>
      <c r="AH210" s="31">
        <v>10489115.896014906</v>
      </c>
      <c r="AI210" s="31">
        <v>423080.19000000006</v>
      </c>
      <c r="AJ210" s="31">
        <v>62370.959999999992</v>
      </c>
      <c r="AK210" s="31">
        <v>36457.860000000008</v>
      </c>
      <c r="AL210" s="31">
        <v>1514188.6992517477</v>
      </c>
      <c r="AM210" s="31">
        <v>610557.98090329813</v>
      </c>
      <c r="AN210" s="31">
        <v>553647.46918230411</v>
      </c>
      <c r="AO210" s="31">
        <f t="shared" si="18"/>
        <v>13938958.085352255</v>
      </c>
      <c r="AP210" s="31">
        <v>249539.03</v>
      </c>
      <c r="AR210" s="42" t="s">
        <v>181</v>
      </c>
      <c r="AS210" s="42" t="s">
        <v>182</v>
      </c>
      <c r="AT210" s="43" t="s">
        <v>1276</v>
      </c>
      <c r="AU210" s="44">
        <v>32</v>
      </c>
      <c r="AV210" s="31">
        <v>10422424.397488011</v>
      </c>
      <c r="AW210" s="31">
        <v>419862.40000000014</v>
      </c>
      <c r="AX210" s="31">
        <v>63523.13</v>
      </c>
      <c r="AY210" s="31">
        <v>36217.320000000007</v>
      </c>
      <c r="AZ210" s="31">
        <v>1545685.6811536844</v>
      </c>
      <c r="BA210" s="31">
        <v>610574.845200393</v>
      </c>
      <c r="BB210" s="31">
        <v>563934.48854262568</v>
      </c>
      <c r="BC210" s="31">
        <f t="shared" si="19"/>
        <v>13916436.292384716</v>
      </c>
      <c r="BD210" s="31">
        <v>254214.03</v>
      </c>
    </row>
    <row r="211" spans="2:56">
      <c r="B211" s="42" t="s">
        <v>537</v>
      </c>
      <c r="C211" s="42" t="s">
        <v>538</v>
      </c>
      <c r="D211" s="43" t="s">
        <v>1049</v>
      </c>
      <c r="E211" s="44">
        <v>32</v>
      </c>
      <c r="F211" s="31">
        <v>2953633.3551463205</v>
      </c>
      <c r="G211" s="31">
        <v>145384.53999999998</v>
      </c>
      <c r="H211" s="31">
        <v>0</v>
      </c>
      <c r="I211" s="31">
        <v>0</v>
      </c>
      <c r="J211" s="31">
        <v>296926.65283394128</v>
      </c>
      <c r="K211" s="31">
        <v>400674.78069264186</v>
      </c>
      <c r="L211" s="31">
        <v>46491.251988310978</v>
      </c>
      <c r="M211" s="31">
        <f t="shared" si="16"/>
        <v>3909469.1006612144</v>
      </c>
      <c r="N211" s="31">
        <v>66358.52</v>
      </c>
      <c r="P211" s="42" t="s">
        <v>537</v>
      </c>
      <c r="Q211" s="42" t="s">
        <v>538</v>
      </c>
      <c r="R211" s="43" t="s">
        <v>1050</v>
      </c>
      <c r="S211" s="44">
        <v>32</v>
      </c>
      <c r="T211" s="31">
        <v>3137874.4177750945</v>
      </c>
      <c r="U211" s="31">
        <v>158360.17999999996</v>
      </c>
      <c r="V211" s="31">
        <v>0</v>
      </c>
      <c r="W211" s="31">
        <v>0</v>
      </c>
      <c r="X211" s="31">
        <v>305449.48010136705</v>
      </c>
      <c r="Y211" s="31">
        <v>401071.85092153179</v>
      </c>
      <c r="Z211" s="31">
        <v>48552.398104466716</v>
      </c>
      <c r="AA211" s="31">
        <f t="shared" si="17"/>
        <v>4119298.1769024599</v>
      </c>
      <c r="AB211" s="31">
        <v>67989.850000000006</v>
      </c>
      <c r="AD211" s="42" t="s">
        <v>537</v>
      </c>
      <c r="AE211" s="42" t="s">
        <v>538</v>
      </c>
      <c r="AF211" s="43" t="s">
        <v>1275</v>
      </c>
      <c r="AG211" s="44">
        <v>32</v>
      </c>
      <c r="AH211" s="31">
        <v>3218209.5801662109</v>
      </c>
      <c r="AI211" s="31">
        <v>162208.99</v>
      </c>
      <c r="AJ211" s="31">
        <v>0</v>
      </c>
      <c r="AK211" s="31">
        <v>0</v>
      </c>
      <c r="AL211" s="31">
        <v>310793.89436344273</v>
      </c>
      <c r="AM211" s="31">
        <v>400936.95458466036</v>
      </c>
      <c r="AN211" s="31">
        <v>49487.571787472843</v>
      </c>
      <c r="AO211" s="31">
        <f t="shared" si="18"/>
        <v>4210824.7109017866</v>
      </c>
      <c r="AP211" s="31">
        <v>69187.72</v>
      </c>
      <c r="AR211" s="42" t="s">
        <v>537</v>
      </c>
      <c r="AS211" s="42" t="s">
        <v>538</v>
      </c>
      <c r="AT211" s="43" t="s">
        <v>1276</v>
      </c>
      <c r="AU211" s="44">
        <v>32</v>
      </c>
      <c r="AV211" s="31">
        <v>3256548.2312618596</v>
      </c>
      <c r="AW211" s="31">
        <v>165781.89000000001</v>
      </c>
      <c r="AX211" s="31">
        <v>0</v>
      </c>
      <c r="AY211" s="31">
        <v>0</v>
      </c>
      <c r="AZ211" s="31">
        <v>314372.91874242976</v>
      </c>
      <c r="BA211" s="31">
        <v>400958.42135998566</v>
      </c>
      <c r="BB211" s="31">
        <v>50399.903969572406</v>
      </c>
      <c r="BC211" s="31">
        <f t="shared" si="19"/>
        <v>4258531.9953338476</v>
      </c>
      <c r="BD211" s="31">
        <v>70470.63</v>
      </c>
    </row>
    <row r="212" spans="2:56">
      <c r="B212" s="42" t="s">
        <v>481</v>
      </c>
      <c r="C212" s="42" t="s">
        <v>482</v>
      </c>
      <c r="D212" s="43" t="s">
        <v>1049</v>
      </c>
      <c r="E212" s="44">
        <v>32</v>
      </c>
      <c r="F212" s="31">
        <v>5184568.7680800678</v>
      </c>
      <c r="G212" s="31">
        <v>242419.87999999998</v>
      </c>
      <c r="H212" s="31">
        <v>0</v>
      </c>
      <c r="I212" s="31">
        <v>0</v>
      </c>
      <c r="J212" s="31">
        <v>730340.6842751716</v>
      </c>
      <c r="K212" s="31">
        <v>568914.47</v>
      </c>
      <c r="L212" s="31">
        <v>109813.15082704349</v>
      </c>
      <c r="M212" s="31">
        <f t="shared" si="16"/>
        <v>7032272.7731822832</v>
      </c>
      <c r="N212" s="31">
        <v>196215.81999999998</v>
      </c>
      <c r="P212" s="42" t="s">
        <v>481</v>
      </c>
      <c r="Q212" s="42" t="s">
        <v>482</v>
      </c>
      <c r="R212" s="43" t="s">
        <v>1050</v>
      </c>
      <c r="S212" s="44">
        <v>32</v>
      </c>
      <c r="T212" s="31">
        <v>6017987.9385767933</v>
      </c>
      <c r="U212" s="31">
        <v>281314.78999999992</v>
      </c>
      <c r="V212" s="31">
        <v>0</v>
      </c>
      <c r="W212" s="31">
        <v>0</v>
      </c>
      <c r="X212" s="31">
        <v>748496.49583464395</v>
      </c>
      <c r="Y212" s="31">
        <v>568914.47</v>
      </c>
      <c r="Z212" s="31">
        <v>113959.54987470176</v>
      </c>
      <c r="AA212" s="31">
        <f t="shared" si="17"/>
        <v>7930015.6642861385</v>
      </c>
      <c r="AB212" s="31">
        <v>199342.42</v>
      </c>
      <c r="AD212" s="42" t="s">
        <v>481</v>
      </c>
      <c r="AE212" s="42" t="s">
        <v>482</v>
      </c>
      <c r="AF212" s="43" t="s">
        <v>1275</v>
      </c>
      <c r="AG212" s="44">
        <v>32</v>
      </c>
      <c r="AH212" s="31">
        <v>6133671.8639101377</v>
      </c>
      <c r="AI212" s="31">
        <v>287197.39</v>
      </c>
      <c r="AJ212" s="31">
        <v>0</v>
      </c>
      <c r="AK212" s="31">
        <v>0</v>
      </c>
      <c r="AL212" s="31">
        <v>762392.46876433725</v>
      </c>
      <c r="AM212" s="31">
        <v>568914.47</v>
      </c>
      <c r="AN212" s="31">
        <v>116156.01815981074</v>
      </c>
      <c r="AO212" s="31">
        <f t="shared" si="18"/>
        <v>8071198.4808342848</v>
      </c>
      <c r="AP212" s="31">
        <v>202866.27000000002</v>
      </c>
      <c r="AR212" s="42" t="s">
        <v>481</v>
      </c>
      <c r="AS212" s="42" t="s">
        <v>482</v>
      </c>
      <c r="AT212" s="43" t="s">
        <v>1276</v>
      </c>
      <c r="AU212" s="44">
        <v>32</v>
      </c>
      <c r="AV212" s="31">
        <v>6246989.7548274528</v>
      </c>
      <c r="AW212" s="31">
        <v>292405.39000000007</v>
      </c>
      <c r="AX212" s="31">
        <v>0</v>
      </c>
      <c r="AY212" s="31">
        <v>0</v>
      </c>
      <c r="AZ212" s="31">
        <v>776490.82888755226</v>
      </c>
      <c r="BA212" s="31">
        <v>568914.47</v>
      </c>
      <c r="BB212" s="31">
        <v>118303.23399572246</v>
      </c>
      <c r="BC212" s="31">
        <f t="shared" si="19"/>
        <v>8209743.9877107264</v>
      </c>
      <c r="BD212" s="31">
        <v>206640.31</v>
      </c>
    </row>
    <row r="213" spans="2:56">
      <c r="B213" s="42" t="s">
        <v>25</v>
      </c>
      <c r="C213" s="42" t="s">
        <v>26</v>
      </c>
      <c r="D213" s="43" t="s">
        <v>1049</v>
      </c>
      <c r="E213" s="44">
        <v>32</v>
      </c>
      <c r="F213" s="31">
        <v>18949273.624064073</v>
      </c>
      <c r="G213" s="31">
        <v>1101395.1899999995</v>
      </c>
      <c r="H213" s="31">
        <v>943732.85999999987</v>
      </c>
      <c r="I213" s="31">
        <v>68892.02</v>
      </c>
      <c r="J213" s="31">
        <v>2854087.2941376646</v>
      </c>
      <c r="K213" s="31">
        <v>1441746.4449851774</v>
      </c>
      <c r="L213" s="31">
        <v>2299335.1333539672</v>
      </c>
      <c r="M213" s="31">
        <f t="shared" si="16"/>
        <v>28367650.746540878</v>
      </c>
      <c r="N213" s="31">
        <v>709188.18</v>
      </c>
      <c r="P213" s="42" t="s">
        <v>25</v>
      </c>
      <c r="Q213" s="42" t="s">
        <v>26</v>
      </c>
      <c r="R213" s="43" t="s">
        <v>1050</v>
      </c>
      <c r="S213" s="44">
        <v>32</v>
      </c>
      <c r="T213" s="31">
        <v>19297062.480654038</v>
      </c>
      <c r="U213" s="31">
        <v>1117872</v>
      </c>
      <c r="V213" s="31">
        <v>979973.14</v>
      </c>
      <c r="W213" s="31">
        <v>69311.47</v>
      </c>
      <c r="X213" s="31">
        <v>2963873.3148454148</v>
      </c>
      <c r="Y213" s="31">
        <v>1443272.8923710426</v>
      </c>
      <c r="Z213" s="31">
        <v>2404252.7911613141</v>
      </c>
      <c r="AA213" s="31">
        <f t="shared" si="17"/>
        <v>29002240.719031807</v>
      </c>
      <c r="AB213" s="31">
        <v>726622.63</v>
      </c>
      <c r="AD213" s="42" t="s">
        <v>25</v>
      </c>
      <c r="AE213" s="42" t="s">
        <v>26</v>
      </c>
      <c r="AF213" s="43" t="s">
        <v>1275</v>
      </c>
      <c r="AG213" s="44">
        <v>32</v>
      </c>
      <c r="AH213" s="31">
        <v>19260295.245268293</v>
      </c>
      <c r="AI213" s="31">
        <v>1117835.77</v>
      </c>
      <c r="AJ213" s="31">
        <v>999142.68</v>
      </c>
      <c r="AK213" s="31">
        <v>69223.010000000009</v>
      </c>
      <c r="AL213" s="31">
        <v>3024465.8529993929</v>
      </c>
      <c r="AM213" s="31">
        <v>1442754.3136769012</v>
      </c>
      <c r="AN213" s="31">
        <v>2450563.0178162474</v>
      </c>
      <c r="AO213" s="31">
        <f t="shared" si="18"/>
        <v>29103704.379760835</v>
      </c>
      <c r="AP213" s="31">
        <v>739424.48999999987</v>
      </c>
      <c r="AR213" s="42" t="s">
        <v>25</v>
      </c>
      <c r="AS213" s="42" t="s">
        <v>26</v>
      </c>
      <c r="AT213" s="43" t="s">
        <v>1276</v>
      </c>
      <c r="AU213" s="44">
        <v>32</v>
      </c>
      <c r="AV213" s="31">
        <v>19296411.351446509</v>
      </c>
      <c r="AW213" s="31">
        <v>1119656.8700000001</v>
      </c>
      <c r="AX213" s="31">
        <v>1017387.9400000001</v>
      </c>
      <c r="AY213" s="31">
        <v>69331.549999999988</v>
      </c>
      <c r="AZ213" s="31">
        <v>3085343.3651710371</v>
      </c>
      <c r="BA213" s="31">
        <v>1442836.8378771411</v>
      </c>
      <c r="BB213" s="31">
        <v>2495740.3660625611</v>
      </c>
      <c r="BC213" s="31">
        <f t="shared" si="19"/>
        <v>29279843.570557252</v>
      </c>
      <c r="BD213" s="31">
        <v>753135.28999999992</v>
      </c>
    </row>
    <row r="214" spans="2:56">
      <c r="B214" s="42" t="s">
        <v>1319</v>
      </c>
      <c r="C214" s="42" t="s">
        <v>1320</v>
      </c>
      <c r="D214" s="43" t="s">
        <v>1049</v>
      </c>
      <c r="E214" s="44">
        <v>32</v>
      </c>
      <c r="F214" s="31">
        <v>821699.86921582208</v>
      </c>
      <c r="G214" s="31">
        <v>10913.58</v>
      </c>
      <c r="H214" s="31">
        <v>0</v>
      </c>
      <c r="I214" s="31">
        <v>0</v>
      </c>
      <c r="J214" s="31">
        <v>100505.15417953405</v>
      </c>
      <c r="K214" s="31">
        <v>0</v>
      </c>
      <c r="L214" s="31">
        <v>0</v>
      </c>
      <c r="M214" s="31">
        <f t="shared" si="16"/>
        <v>933118.6033953561</v>
      </c>
      <c r="N214" s="31">
        <v>0</v>
      </c>
      <c r="P214" s="42" t="s">
        <v>1319</v>
      </c>
      <c r="Q214" s="42" t="s">
        <v>1320</v>
      </c>
      <c r="R214" s="43" t="s">
        <v>1050</v>
      </c>
      <c r="S214" s="44">
        <v>32</v>
      </c>
      <c r="T214" s="31">
        <v>1442767.0149426968</v>
      </c>
      <c r="U214" s="31">
        <v>21248.78</v>
      </c>
      <c r="V214" s="31">
        <v>0</v>
      </c>
      <c r="W214" s="31">
        <v>0</v>
      </c>
      <c r="X214" s="31">
        <v>105951.76441266821</v>
      </c>
      <c r="Y214" s="31">
        <v>0</v>
      </c>
      <c r="Z214" s="31">
        <v>0</v>
      </c>
      <c r="AA214" s="31">
        <f t="shared" si="17"/>
        <v>1569967.5593553651</v>
      </c>
      <c r="AB214" s="31">
        <v>0</v>
      </c>
      <c r="AD214" s="42" t="s">
        <v>1319</v>
      </c>
      <c r="AE214" s="42" t="s">
        <v>1320</v>
      </c>
      <c r="AF214" s="43" t="s">
        <v>1275</v>
      </c>
      <c r="AG214" s="44">
        <v>32</v>
      </c>
      <c r="AH214" s="31">
        <v>1889673.518535038</v>
      </c>
      <c r="AI214" s="31">
        <v>28885.889999999996</v>
      </c>
      <c r="AJ214" s="31">
        <v>0</v>
      </c>
      <c r="AK214" s="31">
        <v>0</v>
      </c>
      <c r="AL214" s="31">
        <v>103994.42873106847</v>
      </c>
      <c r="AM214" s="31">
        <v>0</v>
      </c>
      <c r="AN214" s="31">
        <v>0</v>
      </c>
      <c r="AO214" s="31">
        <f t="shared" si="18"/>
        <v>2022553.8372661064</v>
      </c>
      <c r="AP214" s="31">
        <v>0</v>
      </c>
      <c r="AR214" s="42" t="s">
        <v>1319</v>
      </c>
      <c r="AS214" s="42" t="s">
        <v>1320</v>
      </c>
      <c r="AT214" s="43" t="s">
        <v>1276</v>
      </c>
      <c r="AU214" s="44">
        <v>32</v>
      </c>
      <c r="AV214" s="31">
        <v>2201632.935752288</v>
      </c>
      <c r="AW214" s="31">
        <v>34245.590000000004</v>
      </c>
      <c r="AX214" s="31">
        <v>0</v>
      </c>
      <c r="AY214" s="31">
        <v>0</v>
      </c>
      <c r="AZ214" s="31">
        <v>103848.0512120026</v>
      </c>
      <c r="BA214" s="31">
        <v>0</v>
      </c>
      <c r="BB214" s="31">
        <v>0</v>
      </c>
      <c r="BC214" s="31">
        <f t="shared" si="19"/>
        <v>2339726.5769642903</v>
      </c>
      <c r="BD214" s="31">
        <v>0</v>
      </c>
    </row>
    <row r="215" spans="2:56">
      <c r="B215" s="42" t="s">
        <v>561</v>
      </c>
      <c r="C215" s="42" t="s">
        <v>562</v>
      </c>
      <c r="D215" s="43" t="s">
        <v>1049</v>
      </c>
      <c r="E215" s="44">
        <v>32</v>
      </c>
      <c r="F215" s="31">
        <v>21221410.408057489</v>
      </c>
      <c r="G215" s="31">
        <v>514400.18</v>
      </c>
      <c r="H215" s="31">
        <v>198295.96000000002</v>
      </c>
      <c r="I215" s="31">
        <v>73374.38</v>
      </c>
      <c r="J215" s="31">
        <v>3185237.8556751674</v>
      </c>
      <c r="K215" s="31">
        <v>1130342.4899041362</v>
      </c>
      <c r="L215" s="31">
        <v>1557640.5354763037</v>
      </c>
      <c r="M215" s="31">
        <f t="shared" si="16"/>
        <v>27880701.809113096</v>
      </c>
      <c r="N215" s="31">
        <v>0</v>
      </c>
      <c r="P215" s="42" t="s">
        <v>561</v>
      </c>
      <c r="Q215" s="42" t="s">
        <v>562</v>
      </c>
      <c r="R215" s="43" t="s">
        <v>1050</v>
      </c>
      <c r="S215" s="44">
        <v>32</v>
      </c>
      <c r="T215" s="31">
        <v>22589998.389248781</v>
      </c>
      <c r="U215" s="31">
        <v>545789.89</v>
      </c>
      <c r="V215" s="31">
        <v>205910.72000000003</v>
      </c>
      <c r="W215" s="31">
        <v>77912.160000000018</v>
      </c>
      <c r="X215" s="31">
        <v>3298055.3840262103</v>
      </c>
      <c r="Y215" s="31">
        <v>1131345.32484168</v>
      </c>
      <c r="Z215" s="31">
        <v>1613141.4462235407</v>
      </c>
      <c r="AA215" s="31">
        <f t="shared" si="17"/>
        <v>29462153.314340211</v>
      </c>
      <c r="AB215" s="31">
        <v>0</v>
      </c>
      <c r="AD215" s="42" t="s">
        <v>561</v>
      </c>
      <c r="AE215" s="42" t="s">
        <v>562</v>
      </c>
      <c r="AF215" s="43" t="s">
        <v>1275</v>
      </c>
      <c r="AG215" s="44">
        <v>32</v>
      </c>
      <c r="AH215" s="31">
        <v>23278308.278745525</v>
      </c>
      <c r="AI215" s="31">
        <v>561830.7699999999</v>
      </c>
      <c r="AJ215" s="31">
        <v>209938.61000000002</v>
      </c>
      <c r="AK215" s="31">
        <v>80158.390000000014</v>
      </c>
      <c r="AL215" s="31">
        <v>3361261.8833475155</v>
      </c>
      <c r="AM215" s="31">
        <v>1131004.6325668157</v>
      </c>
      <c r="AN215" s="31">
        <v>1644209.7425528453</v>
      </c>
      <c r="AO215" s="31">
        <f t="shared" si="18"/>
        <v>30266712.307212703</v>
      </c>
      <c r="AP215" s="31">
        <v>0</v>
      </c>
      <c r="AR215" s="42" t="s">
        <v>561</v>
      </c>
      <c r="AS215" s="42" t="s">
        <v>562</v>
      </c>
      <c r="AT215" s="43" t="s">
        <v>1276</v>
      </c>
      <c r="AU215" s="44">
        <v>32</v>
      </c>
      <c r="AV215" s="31">
        <v>23945978.304206096</v>
      </c>
      <c r="AW215" s="31">
        <v>577447.75000000012</v>
      </c>
      <c r="AX215" s="31">
        <v>213772.28000000003</v>
      </c>
      <c r="AY215" s="31">
        <v>82357.48000000001</v>
      </c>
      <c r="AZ215" s="31">
        <v>3424055.3961668857</v>
      </c>
      <c r="BA215" s="31">
        <v>1131058.8487500655</v>
      </c>
      <c r="BB215" s="31">
        <v>1674525.01776921</v>
      </c>
      <c r="BC215" s="31">
        <f t="shared" si="19"/>
        <v>31049195.07689226</v>
      </c>
      <c r="BD215" s="31">
        <v>0</v>
      </c>
    </row>
    <row r="216" spans="2:56">
      <c r="B216" s="42" t="s">
        <v>363</v>
      </c>
      <c r="C216" s="42" t="s">
        <v>364</v>
      </c>
      <c r="D216" s="43" t="s">
        <v>1049</v>
      </c>
      <c r="E216" s="44">
        <v>32</v>
      </c>
      <c r="F216" s="31">
        <v>187224272.69127002</v>
      </c>
      <c r="G216" s="31">
        <v>5827890.3299999991</v>
      </c>
      <c r="H216" s="31">
        <v>2444592.77</v>
      </c>
      <c r="I216" s="31">
        <v>659114.57999999996</v>
      </c>
      <c r="J216" s="31">
        <v>24930759.718671951</v>
      </c>
      <c r="K216" s="31">
        <v>10030450.570353607</v>
      </c>
      <c r="L216" s="31">
        <v>15067100.412274923</v>
      </c>
      <c r="M216" s="31">
        <f t="shared" si="16"/>
        <v>246783683.93257055</v>
      </c>
      <c r="N216" s="31">
        <v>599502.86</v>
      </c>
      <c r="P216" s="42" t="s">
        <v>363</v>
      </c>
      <c r="Q216" s="42" t="s">
        <v>364</v>
      </c>
      <c r="R216" s="43" t="s">
        <v>1050</v>
      </c>
      <c r="S216" s="44">
        <v>32</v>
      </c>
      <c r="T216" s="31">
        <v>200193357.76663601</v>
      </c>
      <c r="U216" s="31">
        <v>6213321.1099999994</v>
      </c>
      <c r="V216" s="31">
        <v>2537171.7800000003</v>
      </c>
      <c r="W216" s="31">
        <v>701859.29</v>
      </c>
      <c r="X216" s="31">
        <v>25821156.520310923</v>
      </c>
      <c r="Y216" s="31">
        <v>10034351.072674595</v>
      </c>
      <c r="Z216" s="31">
        <v>15599142.717475759</v>
      </c>
      <c r="AA216" s="31">
        <f t="shared" si="17"/>
        <v>261714699.83709735</v>
      </c>
      <c r="AB216" s="31">
        <v>614339.58000000007</v>
      </c>
      <c r="AD216" s="42" t="s">
        <v>363</v>
      </c>
      <c r="AE216" s="42" t="s">
        <v>364</v>
      </c>
      <c r="AF216" s="43" t="s">
        <v>1275</v>
      </c>
      <c r="AG216" s="44">
        <v>32</v>
      </c>
      <c r="AH216" s="31">
        <v>204193882.92175594</v>
      </c>
      <c r="AI216" s="31">
        <v>6336100.3899999997</v>
      </c>
      <c r="AJ216" s="31">
        <v>2586845.1799999997</v>
      </c>
      <c r="AK216" s="31">
        <v>715600.46000000008</v>
      </c>
      <c r="AL216" s="31">
        <v>26319402.899329014</v>
      </c>
      <c r="AM216" s="31">
        <v>10032974.301855439</v>
      </c>
      <c r="AN216" s="31">
        <v>15899935.399902731</v>
      </c>
      <c r="AO216" s="31">
        <f t="shared" si="18"/>
        <v>266709975.52284312</v>
      </c>
      <c r="AP216" s="31">
        <v>625233.97</v>
      </c>
      <c r="AR216" s="42" t="s">
        <v>363</v>
      </c>
      <c r="AS216" s="42" t="s">
        <v>364</v>
      </c>
      <c r="AT216" s="43" t="s">
        <v>1276</v>
      </c>
      <c r="AU216" s="44">
        <v>32</v>
      </c>
      <c r="AV216" s="31">
        <v>208915086.98214284</v>
      </c>
      <c r="AW216" s="31">
        <v>6452467.7799999993</v>
      </c>
      <c r="AX216" s="31">
        <v>2634423.33</v>
      </c>
      <c r="AY216" s="31">
        <v>728762.03000000014</v>
      </c>
      <c r="AZ216" s="31">
        <v>26921159.561165702</v>
      </c>
      <c r="BA216" s="31">
        <v>10033190.722687809</v>
      </c>
      <c r="BB216" s="31">
        <v>16194635.230862102</v>
      </c>
      <c r="BC216" s="31">
        <f t="shared" si="19"/>
        <v>272516627.49685848</v>
      </c>
      <c r="BD216" s="31">
        <v>636901.86</v>
      </c>
    </row>
    <row r="217" spans="2:56">
      <c r="B217" s="42" t="s">
        <v>173</v>
      </c>
      <c r="C217" s="42" t="s">
        <v>174</v>
      </c>
      <c r="D217" s="43" t="s">
        <v>1049</v>
      </c>
      <c r="E217" s="44">
        <v>32</v>
      </c>
      <c r="F217" s="31">
        <v>576353.27879886597</v>
      </c>
      <c r="G217" s="31">
        <v>31668.889999999992</v>
      </c>
      <c r="H217" s="31">
        <v>0</v>
      </c>
      <c r="I217" s="31">
        <v>0</v>
      </c>
      <c r="J217" s="31">
        <v>70984.585869469636</v>
      </c>
      <c r="K217" s="31">
        <v>64293.501961947935</v>
      </c>
      <c r="L217" s="31">
        <v>0</v>
      </c>
      <c r="M217" s="31">
        <f t="shared" si="16"/>
        <v>757624.33663028351</v>
      </c>
      <c r="N217" s="31">
        <v>14324.08</v>
      </c>
      <c r="P217" s="42" t="s">
        <v>173</v>
      </c>
      <c r="Q217" s="42" t="s">
        <v>174</v>
      </c>
      <c r="R217" s="43" t="s">
        <v>1050</v>
      </c>
      <c r="S217" s="44">
        <v>32</v>
      </c>
      <c r="T217" s="31">
        <v>599057.07420691452</v>
      </c>
      <c r="U217" s="31">
        <v>25392.9</v>
      </c>
      <c r="V217" s="31">
        <v>0</v>
      </c>
      <c r="W217" s="31">
        <v>0</v>
      </c>
      <c r="X217" s="31">
        <v>73318.31651616712</v>
      </c>
      <c r="Y217" s="31">
        <v>64357.938106288326</v>
      </c>
      <c r="Z217" s="31">
        <v>0</v>
      </c>
      <c r="AA217" s="31">
        <f t="shared" si="17"/>
        <v>776802.44882936997</v>
      </c>
      <c r="AB217" s="31">
        <v>14676.220000000001</v>
      </c>
      <c r="AD217" s="42" t="s">
        <v>173</v>
      </c>
      <c r="AE217" s="42" t="s">
        <v>174</v>
      </c>
      <c r="AF217" s="43" t="s">
        <v>1275</v>
      </c>
      <c r="AG217" s="44">
        <v>32</v>
      </c>
      <c r="AH217" s="31">
        <v>609454.34520058217</v>
      </c>
      <c r="AI217" s="31">
        <v>25299.15</v>
      </c>
      <c r="AJ217" s="31">
        <v>0</v>
      </c>
      <c r="AK217" s="31">
        <v>0</v>
      </c>
      <c r="AL217" s="31">
        <v>74912.378205688816</v>
      </c>
      <c r="AM217" s="31">
        <v>64336.047268846451</v>
      </c>
      <c r="AN217" s="31">
        <v>0</v>
      </c>
      <c r="AO217" s="31">
        <f t="shared" si="18"/>
        <v>788936.71067511744</v>
      </c>
      <c r="AP217" s="31">
        <v>14934.79</v>
      </c>
      <c r="AR217" s="42" t="s">
        <v>173</v>
      </c>
      <c r="AS217" s="42" t="s">
        <v>174</v>
      </c>
      <c r="AT217" s="43" t="s">
        <v>1276</v>
      </c>
      <c r="AU217" s="44">
        <v>32</v>
      </c>
      <c r="AV217" s="31">
        <v>621503.94218227733</v>
      </c>
      <c r="AW217" s="31">
        <v>25126.639999999999</v>
      </c>
      <c r="AX217" s="31">
        <v>0</v>
      </c>
      <c r="AY217" s="31">
        <v>0</v>
      </c>
      <c r="AZ217" s="31">
        <v>75336.516979811815</v>
      </c>
      <c r="BA217" s="31">
        <v>64339.530874850483</v>
      </c>
      <c r="BB217" s="31">
        <v>0</v>
      </c>
      <c r="BC217" s="31">
        <f t="shared" si="19"/>
        <v>801518.35003693961</v>
      </c>
      <c r="BD217" s="31">
        <v>15211.720000000001</v>
      </c>
    </row>
    <row r="218" spans="2:56">
      <c r="B218" s="42" t="s">
        <v>177</v>
      </c>
      <c r="C218" s="42" t="s">
        <v>178</v>
      </c>
      <c r="D218" s="43" t="s">
        <v>1049</v>
      </c>
      <c r="E218" s="44">
        <v>32</v>
      </c>
      <c r="F218" s="31">
        <v>6422163.5048898552</v>
      </c>
      <c r="G218" s="31">
        <v>131740.83999999997</v>
      </c>
      <c r="H218" s="31">
        <v>0</v>
      </c>
      <c r="I218" s="31">
        <v>19083.960000000003</v>
      </c>
      <c r="J218" s="31">
        <v>488480.67727231595</v>
      </c>
      <c r="K218" s="31">
        <v>394942.15604624304</v>
      </c>
      <c r="L218" s="31">
        <v>71097.150419779704</v>
      </c>
      <c r="M218" s="31">
        <f t="shared" si="16"/>
        <v>7527508.2886281945</v>
      </c>
      <c r="N218" s="31">
        <v>0</v>
      </c>
      <c r="P218" s="42" t="s">
        <v>177</v>
      </c>
      <c r="Q218" s="42" t="s">
        <v>178</v>
      </c>
      <c r="R218" s="43" t="s">
        <v>1050</v>
      </c>
      <c r="S218" s="44">
        <v>32</v>
      </c>
      <c r="T218" s="31">
        <v>6619390.8190484699</v>
      </c>
      <c r="U218" s="31">
        <v>135558.60999999999</v>
      </c>
      <c r="V218" s="31">
        <v>0</v>
      </c>
      <c r="W218" s="31">
        <v>19700.190000000002</v>
      </c>
      <c r="X218" s="31">
        <v>506552.46034376393</v>
      </c>
      <c r="Y218" s="31">
        <v>395318.25952350046</v>
      </c>
      <c r="Z218" s="31">
        <v>73607.894273749087</v>
      </c>
      <c r="AA218" s="31">
        <f t="shared" si="17"/>
        <v>7750128.2331894841</v>
      </c>
      <c r="AB218" s="31">
        <v>0</v>
      </c>
      <c r="AD218" s="42" t="s">
        <v>177</v>
      </c>
      <c r="AE218" s="42" t="s">
        <v>178</v>
      </c>
      <c r="AF218" s="43" t="s">
        <v>1275</v>
      </c>
      <c r="AG218" s="44">
        <v>32</v>
      </c>
      <c r="AH218" s="31">
        <v>6782108.796567007</v>
      </c>
      <c r="AI218" s="31">
        <v>138212.62</v>
      </c>
      <c r="AJ218" s="31">
        <v>0</v>
      </c>
      <c r="AK218" s="31">
        <v>20085.89</v>
      </c>
      <c r="AL218" s="31">
        <v>516160.01529403392</v>
      </c>
      <c r="AM218" s="31">
        <v>395185.50526523899</v>
      </c>
      <c r="AN218" s="31">
        <v>75027.353427044625</v>
      </c>
      <c r="AO218" s="31">
        <f t="shared" si="18"/>
        <v>7926780.1805533245</v>
      </c>
      <c r="AP218" s="31">
        <v>0</v>
      </c>
      <c r="AR218" s="42" t="s">
        <v>177</v>
      </c>
      <c r="AS218" s="42" t="s">
        <v>178</v>
      </c>
      <c r="AT218" s="43" t="s">
        <v>1276</v>
      </c>
      <c r="AU218" s="44">
        <v>32</v>
      </c>
      <c r="AV218" s="31">
        <v>6936442.6282764077</v>
      </c>
      <c r="AW218" s="31">
        <v>140754.68</v>
      </c>
      <c r="AX218" s="31">
        <v>0</v>
      </c>
      <c r="AY218" s="31">
        <v>20455.310000000001</v>
      </c>
      <c r="AZ218" s="31">
        <v>526294.98554753489</v>
      </c>
      <c r="BA218" s="31">
        <v>395206.37350755895</v>
      </c>
      <c r="BB218" s="31">
        <v>76418.055894744146</v>
      </c>
      <c r="BC218" s="31">
        <f t="shared" si="19"/>
        <v>8095572.033226246</v>
      </c>
      <c r="BD218" s="31">
        <v>0</v>
      </c>
    </row>
    <row r="219" spans="2:56">
      <c r="B219" s="42" t="s">
        <v>53</v>
      </c>
      <c r="C219" s="42" t="s">
        <v>54</v>
      </c>
      <c r="D219" s="43" t="s">
        <v>1049</v>
      </c>
      <c r="E219" s="44">
        <v>32</v>
      </c>
      <c r="F219" s="31">
        <v>1922797.2689816442</v>
      </c>
      <c r="G219" s="31">
        <v>68112.47</v>
      </c>
      <c r="H219" s="31">
        <v>0</v>
      </c>
      <c r="I219" s="31">
        <v>0</v>
      </c>
      <c r="J219" s="31">
        <v>137305.83723815694</v>
      </c>
      <c r="K219" s="31">
        <v>72574.649999999994</v>
      </c>
      <c r="L219" s="31">
        <v>92668.987948094917</v>
      </c>
      <c r="M219" s="31">
        <f t="shared" si="16"/>
        <v>2326297.4141678959</v>
      </c>
      <c r="N219" s="31">
        <v>32838.200000000004</v>
      </c>
      <c r="P219" s="42" t="s">
        <v>53</v>
      </c>
      <c r="Q219" s="42" t="s">
        <v>54</v>
      </c>
      <c r="R219" s="43" t="s">
        <v>1050</v>
      </c>
      <c r="S219" s="44">
        <v>32</v>
      </c>
      <c r="T219" s="31">
        <v>2003298.0213367064</v>
      </c>
      <c r="U219" s="31">
        <v>71181.780000000013</v>
      </c>
      <c r="V219" s="31">
        <v>0</v>
      </c>
      <c r="W219" s="31">
        <v>0</v>
      </c>
      <c r="X219" s="31">
        <v>141959.11555423099</v>
      </c>
      <c r="Y219" s="31">
        <v>72574.649999999994</v>
      </c>
      <c r="Z219" s="31">
        <v>96780.522799580795</v>
      </c>
      <c r="AA219" s="31">
        <f t="shared" si="17"/>
        <v>2419439.5696905181</v>
      </c>
      <c r="AB219" s="31">
        <v>33645.479999999996</v>
      </c>
      <c r="AD219" s="42" t="s">
        <v>53</v>
      </c>
      <c r="AE219" s="42" t="s">
        <v>54</v>
      </c>
      <c r="AF219" s="43" t="s">
        <v>1275</v>
      </c>
      <c r="AG219" s="44">
        <v>32</v>
      </c>
      <c r="AH219" s="31">
        <v>2041629.980132842</v>
      </c>
      <c r="AI219" s="31">
        <v>72639.570000000007</v>
      </c>
      <c r="AJ219" s="31">
        <v>0</v>
      </c>
      <c r="AK219" s="31">
        <v>0</v>
      </c>
      <c r="AL219" s="31">
        <v>144588.88136854107</v>
      </c>
      <c r="AM219" s="31">
        <v>72574.649999999994</v>
      </c>
      <c r="AN219" s="31">
        <v>98644.852027068395</v>
      </c>
      <c r="AO219" s="31">
        <f t="shared" si="18"/>
        <v>2464316.193528451</v>
      </c>
      <c r="AP219" s="31">
        <v>34238.26</v>
      </c>
      <c r="AR219" s="42" t="s">
        <v>53</v>
      </c>
      <c r="AS219" s="42" t="s">
        <v>54</v>
      </c>
      <c r="AT219" s="43" t="s">
        <v>1276</v>
      </c>
      <c r="AU219" s="44">
        <v>32</v>
      </c>
      <c r="AV219" s="31">
        <v>2078771.875553471</v>
      </c>
      <c r="AW219" s="31">
        <v>73956.389999999985</v>
      </c>
      <c r="AX219" s="31">
        <v>0</v>
      </c>
      <c r="AY219" s="31">
        <v>0</v>
      </c>
      <c r="AZ219" s="31">
        <v>147251.96734509719</v>
      </c>
      <c r="BA219" s="31">
        <v>72574.649999999994</v>
      </c>
      <c r="BB219" s="31">
        <v>100463.63792210763</v>
      </c>
      <c r="BC219" s="31">
        <f t="shared" si="19"/>
        <v>2507891.640820676</v>
      </c>
      <c r="BD219" s="31">
        <v>34873.120000000003</v>
      </c>
    </row>
    <row r="220" spans="2:56">
      <c r="B220" s="42" t="s">
        <v>51</v>
      </c>
      <c r="C220" s="42" t="s">
        <v>52</v>
      </c>
      <c r="D220" s="43" t="s">
        <v>1049</v>
      </c>
      <c r="E220" s="44">
        <v>32</v>
      </c>
      <c r="F220" s="31">
        <v>27990104.674331315</v>
      </c>
      <c r="G220" s="31">
        <v>1282443.7899999998</v>
      </c>
      <c r="H220" s="31">
        <v>369113.07</v>
      </c>
      <c r="I220" s="31">
        <v>0</v>
      </c>
      <c r="J220" s="31">
        <v>3822528.207699785</v>
      </c>
      <c r="K220" s="31">
        <v>616113.08600477513</v>
      </c>
      <c r="L220" s="31">
        <v>501668.60730505304</v>
      </c>
      <c r="M220" s="31">
        <f t="shared" si="16"/>
        <v>35519175.615340926</v>
      </c>
      <c r="N220" s="31">
        <v>937204.17999999993</v>
      </c>
      <c r="P220" s="42" t="s">
        <v>51</v>
      </c>
      <c r="Q220" s="42" t="s">
        <v>52</v>
      </c>
      <c r="R220" s="43" t="s">
        <v>1050</v>
      </c>
      <c r="S220" s="44">
        <v>32</v>
      </c>
      <c r="T220" s="31">
        <v>29637801.363340616</v>
      </c>
      <c r="U220" s="31">
        <v>1368621.3399999999</v>
      </c>
      <c r="V220" s="31">
        <v>383287.39</v>
      </c>
      <c r="W220" s="31">
        <v>0</v>
      </c>
      <c r="X220" s="31">
        <v>3950707.5469898363</v>
      </c>
      <c r="Y220" s="31">
        <v>616687.54863390129</v>
      </c>
      <c r="Z220" s="31">
        <v>524519.48557053786</v>
      </c>
      <c r="AA220" s="31">
        <f t="shared" si="17"/>
        <v>37441868.774534896</v>
      </c>
      <c r="AB220" s="31">
        <v>960244.10000000009</v>
      </c>
      <c r="AD220" s="42" t="s">
        <v>51</v>
      </c>
      <c r="AE220" s="42" t="s">
        <v>52</v>
      </c>
      <c r="AF220" s="43" t="s">
        <v>1275</v>
      </c>
      <c r="AG220" s="44">
        <v>32</v>
      </c>
      <c r="AH220" s="31">
        <v>30017190.029811952</v>
      </c>
      <c r="AI220" s="31">
        <v>1388902.7900000005</v>
      </c>
      <c r="AJ220" s="31">
        <v>390784.97000000003</v>
      </c>
      <c r="AK220" s="31">
        <v>0</v>
      </c>
      <c r="AL220" s="31">
        <v>4023891.6692513064</v>
      </c>
      <c r="AM220" s="31">
        <v>616492.38692521479</v>
      </c>
      <c r="AN220" s="31">
        <v>534622.6773803758</v>
      </c>
      <c r="AO220" s="31">
        <f t="shared" si="18"/>
        <v>37949046.50336884</v>
      </c>
      <c r="AP220" s="31">
        <v>977161.98</v>
      </c>
      <c r="AR220" s="42" t="s">
        <v>51</v>
      </c>
      <c r="AS220" s="42" t="s">
        <v>52</v>
      </c>
      <c r="AT220" s="43" t="s">
        <v>1276</v>
      </c>
      <c r="AU220" s="44">
        <v>32</v>
      </c>
      <c r="AV220" s="31">
        <v>30540371.7867212</v>
      </c>
      <c r="AW220" s="31">
        <v>1412309.5000000005</v>
      </c>
      <c r="AX220" s="31">
        <v>397921.06</v>
      </c>
      <c r="AY220" s="31">
        <v>0</v>
      </c>
      <c r="AZ220" s="31">
        <v>4098804.422029363</v>
      </c>
      <c r="BA220" s="31">
        <v>616523.44405137282</v>
      </c>
      <c r="BB220" s="31">
        <v>544478.80380159221</v>
      </c>
      <c r="BC220" s="31">
        <f t="shared" si="19"/>
        <v>38605690.036603525</v>
      </c>
      <c r="BD220" s="31">
        <v>995281.02</v>
      </c>
    </row>
    <row r="221" spans="2:56">
      <c r="B221" s="42" t="s">
        <v>123</v>
      </c>
      <c r="C221" s="42" t="s">
        <v>124</v>
      </c>
      <c r="D221" s="43" t="s">
        <v>1049</v>
      </c>
      <c r="E221" s="44">
        <v>32</v>
      </c>
      <c r="F221" s="31">
        <v>24915210.81365066</v>
      </c>
      <c r="G221" s="31">
        <v>1623201.0099999998</v>
      </c>
      <c r="H221" s="31">
        <v>1899646.04</v>
      </c>
      <c r="I221" s="31">
        <v>88185.67</v>
      </c>
      <c r="J221" s="31">
        <v>3843999.8081878908</v>
      </c>
      <c r="K221" s="31">
        <v>1637857.6464173042</v>
      </c>
      <c r="L221" s="31">
        <v>2442974.6996986228</v>
      </c>
      <c r="M221" s="31">
        <f t="shared" si="16"/>
        <v>37344333.207954474</v>
      </c>
      <c r="N221" s="31">
        <v>893257.52</v>
      </c>
      <c r="P221" s="42" t="s">
        <v>123</v>
      </c>
      <c r="Q221" s="42" t="s">
        <v>124</v>
      </c>
      <c r="R221" s="43" t="s">
        <v>1050</v>
      </c>
      <c r="S221" s="44">
        <v>32</v>
      </c>
      <c r="T221" s="31">
        <v>26017489.837272834</v>
      </c>
      <c r="U221" s="31">
        <v>1687150.4300000002</v>
      </c>
      <c r="V221" s="31">
        <v>1972594.36</v>
      </c>
      <c r="W221" s="31">
        <v>90965</v>
      </c>
      <c r="X221" s="31">
        <v>3979858.1255181213</v>
      </c>
      <c r="Y221" s="31">
        <v>1639496.5280941103</v>
      </c>
      <c r="Z221" s="31">
        <v>2554467.8714581658</v>
      </c>
      <c r="AA221" s="31">
        <f t="shared" si="17"/>
        <v>38857239.222343236</v>
      </c>
      <c r="AB221" s="31">
        <v>915217.06999999983</v>
      </c>
      <c r="AD221" s="42" t="s">
        <v>123</v>
      </c>
      <c r="AE221" s="42" t="s">
        <v>124</v>
      </c>
      <c r="AF221" s="43" t="s">
        <v>1275</v>
      </c>
      <c r="AG221" s="44">
        <v>32</v>
      </c>
      <c r="AH221" s="31">
        <v>26667312.427413646</v>
      </c>
      <c r="AI221" s="31">
        <v>1730184.6200000003</v>
      </c>
      <c r="AJ221" s="31">
        <v>2011180.8400000003</v>
      </c>
      <c r="AK221" s="31">
        <v>93260.189999999988</v>
      </c>
      <c r="AL221" s="31">
        <v>4055782.284988421</v>
      </c>
      <c r="AM221" s="31">
        <v>1638939.7521923133</v>
      </c>
      <c r="AN221" s="31">
        <v>2603671.6469950872</v>
      </c>
      <c r="AO221" s="31">
        <f t="shared" si="18"/>
        <v>39731673.401589468</v>
      </c>
      <c r="AP221" s="31">
        <v>931341.6399999999</v>
      </c>
      <c r="AR221" s="42" t="s">
        <v>123</v>
      </c>
      <c r="AS221" s="42" t="s">
        <v>124</v>
      </c>
      <c r="AT221" s="43" t="s">
        <v>1276</v>
      </c>
      <c r="AU221" s="44">
        <v>32</v>
      </c>
      <c r="AV221" s="31">
        <v>27138893.564816486</v>
      </c>
      <c r="AW221" s="31">
        <v>1757000.0599999996</v>
      </c>
      <c r="AX221" s="31">
        <v>2047906.8600000003</v>
      </c>
      <c r="AY221" s="31">
        <v>94648.06</v>
      </c>
      <c r="AZ221" s="31">
        <v>4138506.4578390885</v>
      </c>
      <c r="BA221" s="31">
        <v>1639028.3549184334</v>
      </c>
      <c r="BB221" s="31">
        <v>2651671.7948458088</v>
      </c>
      <c r="BC221" s="31">
        <f t="shared" si="19"/>
        <v>40416266.212419823</v>
      </c>
      <c r="BD221" s="31">
        <v>948611.06</v>
      </c>
    </row>
    <row r="222" spans="2:56">
      <c r="B222" s="42" t="s">
        <v>225</v>
      </c>
      <c r="C222" s="42" t="s">
        <v>226</v>
      </c>
      <c r="D222" s="43" t="s">
        <v>1049</v>
      </c>
      <c r="E222" s="44">
        <v>32</v>
      </c>
      <c r="F222" s="31">
        <v>2862141.0068789697</v>
      </c>
      <c r="G222" s="31">
        <v>181011.11999999997</v>
      </c>
      <c r="H222" s="31">
        <v>183495.37</v>
      </c>
      <c r="I222" s="31">
        <v>0</v>
      </c>
      <c r="J222" s="31">
        <v>219875.19641365614</v>
      </c>
      <c r="K222" s="31">
        <v>317130.34000000003</v>
      </c>
      <c r="L222" s="31">
        <v>0</v>
      </c>
      <c r="M222" s="31">
        <f t="shared" si="16"/>
        <v>3874992.3832926261</v>
      </c>
      <c r="N222" s="31">
        <v>111339.35</v>
      </c>
      <c r="P222" s="42" t="s">
        <v>225</v>
      </c>
      <c r="Q222" s="42" t="s">
        <v>226</v>
      </c>
      <c r="R222" s="43" t="s">
        <v>1050</v>
      </c>
      <c r="S222" s="44">
        <v>32</v>
      </c>
      <c r="T222" s="31">
        <v>3018218.3401168059</v>
      </c>
      <c r="U222" s="31">
        <v>189028.15999999997</v>
      </c>
      <c r="V222" s="31">
        <v>190276.65000000002</v>
      </c>
      <c r="W222" s="31">
        <v>0</v>
      </c>
      <c r="X222" s="31">
        <v>227237.92901735619</v>
      </c>
      <c r="Y222" s="31">
        <v>317130.34000000003</v>
      </c>
      <c r="Z222" s="31">
        <v>0</v>
      </c>
      <c r="AA222" s="31">
        <f t="shared" si="17"/>
        <v>4056017.8791341619</v>
      </c>
      <c r="AB222" s="31">
        <v>114126.46000000002</v>
      </c>
      <c r="AD222" s="42" t="s">
        <v>225</v>
      </c>
      <c r="AE222" s="42" t="s">
        <v>226</v>
      </c>
      <c r="AF222" s="43" t="s">
        <v>1275</v>
      </c>
      <c r="AG222" s="44">
        <v>32</v>
      </c>
      <c r="AH222" s="31">
        <v>3113213.2028521691</v>
      </c>
      <c r="AI222" s="31">
        <v>195194.12</v>
      </c>
      <c r="AJ222" s="31">
        <v>194007.51000000004</v>
      </c>
      <c r="AK222" s="31">
        <v>0</v>
      </c>
      <c r="AL222" s="31">
        <v>231475.45636776008</v>
      </c>
      <c r="AM222" s="31">
        <v>317130.34000000003</v>
      </c>
      <c r="AN222" s="31">
        <v>0</v>
      </c>
      <c r="AO222" s="31">
        <f t="shared" si="18"/>
        <v>4167193.6292199292</v>
      </c>
      <c r="AP222" s="31">
        <v>116173.00000000001</v>
      </c>
      <c r="AR222" s="42" t="s">
        <v>225</v>
      </c>
      <c r="AS222" s="42" t="s">
        <v>226</v>
      </c>
      <c r="AT222" s="43" t="s">
        <v>1276</v>
      </c>
      <c r="AU222" s="44">
        <v>32</v>
      </c>
      <c r="AV222" s="31">
        <v>3171331.27348122</v>
      </c>
      <c r="AW222" s="31">
        <v>198799.76999999996</v>
      </c>
      <c r="AX222" s="31">
        <v>197619.83000000005</v>
      </c>
      <c r="AY222" s="31">
        <v>0</v>
      </c>
      <c r="AZ222" s="31">
        <v>235800.88464145249</v>
      </c>
      <c r="BA222" s="31">
        <v>317130.34000000003</v>
      </c>
      <c r="BB222" s="31">
        <v>0</v>
      </c>
      <c r="BC222" s="31">
        <f t="shared" si="19"/>
        <v>4239046.938122673</v>
      </c>
      <c r="BD222" s="31">
        <v>118364.84000000001</v>
      </c>
    </row>
    <row r="223" spans="2:56">
      <c r="B223" s="42" t="s">
        <v>515</v>
      </c>
      <c r="C223" s="42" t="s">
        <v>516</v>
      </c>
      <c r="D223" s="43" t="s">
        <v>1049</v>
      </c>
      <c r="E223" s="44">
        <v>32</v>
      </c>
      <c r="F223" s="31">
        <v>7286826.6895217421</v>
      </c>
      <c r="G223" s="31">
        <v>243899.15</v>
      </c>
      <c r="H223" s="31">
        <v>0</v>
      </c>
      <c r="I223" s="31">
        <v>24847.89</v>
      </c>
      <c r="J223" s="31">
        <v>1120394.0227980902</v>
      </c>
      <c r="K223" s="31">
        <v>432587.11366815795</v>
      </c>
      <c r="L223" s="31">
        <v>697270.35079997056</v>
      </c>
      <c r="M223" s="31">
        <f t="shared" si="16"/>
        <v>9805825.2167879604</v>
      </c>
      <c r="N223" s="31">
        <v>0</v>
      </c>
      <c r="P223" s="42" t="s">
        <v>515</v>
      </c>
      <c r="Q223" s="42" t="s">
        <v>516</v>
      </c>
      <c r="R223" s="43" t="s">
        <v>1050</v>
      </c>
      <c r="S223" s="44">
        <v>32</v>
      </c>
      <c r="T223" s="31">
        <v>7386375.5875303429</v>
      </c>
      <c r="U223" s="31">
        <v>255288.82</v>
      </c>
      <c r="V223" s="31">
        <v>0</v>
      </c>
      <c r="W223" s="31">
        <v>26004.449999999997</v>
      </c>
      <c r="X223" s="31">
        <v>1148793.654485299</v>
      </c>
      <c r="Y223" s="31">
        <v>432937.97364868649</v>
      </c>
      <c r="Z223" s="31">
        <v>722114.76147838682</v>
      </c>
      <c r="AA223" s="31">
        <f t="shared" si="17"/>
        <v>9971515.2471427154</v>
      </c>
      <c r="AB223" s="31">
        <v>0</v>
      </c>
      <c r="AD223" s="42" t="s">
        <v>515</v>
      </c>
      <c r="AE223" s="42" t="s">
        <v>516</v>
      </c>
      <c r="AF223" s="43" t="s">
        <v>1275</v>
      </c>
      <c r="AG223" s="44">
        <v>32</v>
      </c>
      <c r="AH223" s="31">
        <v>7355730.9965028549</v>
      </c>
      <c r="AI223" s="31">
        <v>257084.53</v>
      </c>
      <c r="AJ223" s="31">
        <v>0</v>
      </c>
      <c r="AK223" s="31">
        <v>26203.65</v>
      </c>
      <c r="AL223" s="31">
        <v>1164964.1218778347</v>
      </c>
      <c r="AM223" s="31">
        <v>432818.7762808546</v>
      </c>
      <c r="AN223" s="31">
        <v>736022.27808656427</v>
      </c>
      <c r="AO223" s="31">
        <f t="shared" si="18"/>
        <v>9972824.3527481072</v>
      </c>
      <c r="AP223" s="31">
        <v>0</v>
      </c>
      <c r="AR223" s="42" t="s">
        <v>515</v>
      </c>
      <c r="AS223" s="42" t="s">
        <v>516</v>
      </c>
      <c r="AT223" s="43" t="s">
        <v>1276</v>
      </c>
      <c r="AU223" s="44">
        <v>32</v>
      </c>
      <c r="AV223" s="31">
        <v>7421741.7991770403</v>
      </c>
      <c r="AW223" s="31">
        <v>260518.55</v>
      </c>
      <c r="AX223" s="31">
        <v>0</v>
      </c>
      <c r="AY223" s="31">
        <v>26577.109999999997</v>
      </c>
      <c r="AZ223" s="31">
        <v>1181700.3709216507</v>
      </c>
      <c r="BA223" s="31">
        <v>432837.74479530024</v>
      </c>
      <c r="BB223" s="31">
        <v>749592.75775192212</v>
      </c>
      <c r="BC223" s="31">
        <f t="shared" si="19"/>
        <v>10072968.332645912</v>
      </c>
      <c r="BD223" s="31">
        <v>0</v>
      </c>
    </row>
    <row r="224" spans="2:56">
      <c r="B224" s="42" t="s">
        <v>345</v>
      </c>
      <c r="C224" s="42" t="s">
        <v>346</v>
      </c>
      <c r="D224" s="43" t="s">
        <v>1049</v>
      </c>
      <c r="E224" s="44">
        <v>32</v>
      </c>
      <c r="F224" s="31">
        <v>4660309.6391896475</v>
      </c>
      <c r="G224" s="31">
        <v>229087.84</v>
      </c>
      <c r="H224" s="31">
        <v>95981.11</v>
      </c>
      <c r="I224" s="31">
        <v>14713.87</v>
      </c>
      <c r="J224" s="31">
        <v>628242.97358206427</v>
      </c>
      <c r="K224" s="31">
        <v>483278.13467647217</v>
      </c>
      <c r="L224" s="31">
        <v>345864.48450775794</v>
      </c>
      <c r="M224" s="31">
        <f t="shared" si="16"/>
        <v>6606662.8919559428</v>
      </c>
      <c r="N224" s="31">
        <v>149184.84</v>
      </c>
      <c r="P224" s="42" t="s">
        <v>345</v>
      </c>
      <c r="Q224" s="42" t="s">
        <v>346</v>
      </c>
      <c r="R224" s="43" t="s">
        <v>1050</v>
      </c>
      <c r="S224" s="44">
        <v>32</v>
      </c>
      <c r="T224" s="31">
        <v>4731942.3558235811</v>
      </c>
      <c r="U224" s="31">
        <v>239136.91999999995</v>
      </c>
      <c r="V224" s="31">
        <v>99666.880000000005</v>
      </c>
      <c r="W224" s="31">
        <v>15177.699999999999</v>
      </c>
      <c r="X224" s="31">
        <v>645930.57068870799</v>
      </c>
      <c r="Y224" s="31">
        <v>483715.99059000396</v>
      </c>
      <c r="Z224" s="31">
        <v>361504.75003101409</v>
      </c>
      <c r="AA224" s="31">
        <f t="shared" si="17"/>
        <v>6729927.5171333067</v>
      </c>
      <c r="AB224" s="31">
        <v>152852.35</v>
      </c>
      <c r="AD224" s="42" t="s">
        <v>345</v>
      </c>
      <c r="AE224" s="42" t="s">
        <v>346</v>
      </c>
      <c r="AF224" s="43" t="s">
        <v>1275</v>
      </c>
      <c r="AG224" s="44">
        <v>32</v>
      </c>
      <c r="AH224" s="31">
        <v>4813933.1848062892</v>
      </c>
      <c r="AI224" s="31">
        <v>239882.02</v>
      </c>
      <c r="AJ224" s="31">
        <v>101616.47</v>
      </c>
      <c r="AK224" s="31">
        <v>15165.11</v>
      </c>
      <c r="AL224" s="31">
        <v>660135.16786852502</v>
      </c>
      <c r="AM224" s="31">
        <v>483567.23816658993</v>
      </c>
      <c r="AN224" s="31">
        <v>368468.06166765356</v>
      </c>
      <c r="AO224" s="31">
        <f t="shared" si="18"/>
        <v>6838312.5925090574</v>
      </c>
      <c r="AP224" s="31">
        <v>155545.34</v>
      </c>
      <c r="AR224" s="42" t="s">
        <v>345</v>
      </c>
      <c r="AS224" s="42" t="s">
        <v>346</v>
      </c>
      <c r="AT224" s="43" t="s">
        <v>1276</v>
      </c>
      <c r="AU224" s="44">
        <v>32</v>
      </c>
      <c r="AV224" s="31">
        <v>4750300.9421875775</v>
      </c>
      <c r="AW224" s="31">
        <v>238546.09000000003</v>
      </c>
      <c r="AX224" s="31">
        <v>103472.08</v>
      </c>
      <c r="AY224" s="31">
        <v>15126.88</v>
      </c>
      <c r="AZ224" s="31">
        <v>671079.74863453186</v>
      </c>
      <c r="BA224" s="31">
        <v>483590.90993504989</v>
      </c>
      <c r="BB224" s="31">
        <v>375261.05809361441</v>
      </c>
      <c r="BC224" s="31">
        <f t="shared" si="19"/>
        <v>6795807.2488507731</v>
      </c>
      <c r="BD224" s="31">
        <v>158429.53999999998</v>
      </c>
    </row>
    <row r="225" spans="2:56">
      <c r="B225" s="42" t="s">
        <v>299</v>
      </c>
      <c r="C225" s="42" t="s">
        <v>300</v>
      </c>
      <c r="D225" s="43" t="s">
        <v>1049</v>
      </c>
      <c r="E225" s="44">
        <v>32</v>
      </c>
      <c r="F225" s="31">
        <v>5979110.5931076743</v>
      </c>
      <c r="G225" s="31">
        <v>207260.68999999997</v>
      </c>
      <c r="H225" s="31">
        <v>11303.359999999999</v>
      </c>
      <c r="I225" s="31">
        <v>0</v>
      </c>
      <c r="J225" s="31">
        <v>696276.00938230043</v>
      </c>
      <c r="K225" s="31">
        <v>794958.99997381598</v>
      </c>
      <c r="L225" s="31">
        <v>535286.93798250938</v>
      </c>
      <c r="M225" s="31">
        <f t="shared" si="16"/>
        <v>8224196.5904463008</v>
      </c>
      <c r="N225" s="31">
        <v>0</v>
      </c>
      <c r="P225" s="42" t="s">
        <v>299</v>
      </c>
      <c r="Q225" s="42" t="s">
        <v>300</v>
      </c>
      <c r="R225" s="43" t="s">
        <v>1050</v>
      </c>
      <c r="S225" s="44">
        <v>32</v>
      </c>
      <c r="T225" s="31">
        <v>6028145.9995448003</v>
      </c>
      <c r="U225" s="31">
        <v>207833.22999999998</v>
      </c>
      <c r="V225" s="31">
        <v>11737.42</v>
      </c>
      <c r="W225" s="31">
        <v>0</v>
      </c>
      <c r="X225" s="31">
        <v>717875.29704405169</v>
      </c>
      <c r="Y225" s="31">
        <v>795764.8319458504</v>
      </c>
      <c r="Z225" s="31">
        <v>554359.99610508443</v>
      </c>
      <c r="AA225" s="31">
        <f t="shared" si="17"/>
        <v>8315716.7746397862</v>
      </c>
      <c r="AB225" s="31">
        <v>0</v>
      </c>
      <c r="AD225" s="42" t="s">
        <v>299</v>
      </c>
      <c r="AE225" s="42" t="s">
        <v>300</v>
      </c>
      <c r="AF225" s="43" t="s">
        <v>1275</v>
      </c>
      <c r="AG225" s="44">
        <v>32</v>
      </c>
      <c r="AH225" s="31">
        <v>6132052.736726067</v>
      </c>
      <c r="AI225" s="31">
        <v>214580.96999999997</v>
      </c>
      <c r="AJ225" s="31">
        <v>11967</v>
      </c>
      <c r="AK225" s="31">
        <v>0</v>
      </c>
      <c r="AL225" s="31">
        <v>729332.14327071828</v>
      </c>
      <c r="AM225" s="31">
        <v>795491.06732374511</v>
      </c>
      <c r="AN225" s="31">
        <v>565036.69072742225</v>
      </c>
      <c r="AO225" s="31">
        <f t="shared" si="18"/>
        <v>8448460.6080479529</v>
      </c>
      <c r="AP225" s="31">
        <v>0</v>
      </c>
      <c r="AR225" s="42" t="s">
        <v>299</v>
      </c>
      <c r="AS225" s="42" t="s">
        <v>300</v>
      </c>
      <c r="AT225" s="43" t="s">
        <v>1276</v>
      </c>
      <c r="AU225" s="44">
        <v>32</v>
      </c>
      <c r="AV225" s="31">
        <v>6142822.6473590862</v>
      </c>
      <c r="AW225" s="31">
        <v>212301.62</v>
      </c>
      <c r="AX225" s="31">
        <v>12185.53</v>
      </c>
      <c r="AY225" s="31">
        <v>0</v>
      </c>
      <c r="AZ225" s="31">
        <v>744122.37385269976</v>
      </c>
      <c r="BA225" s="31">
        <v>795534.6329517751</v>
      </c>
      <c r="BB225" s="31">
        <v>575454.59942454589</v>
      </c>
      <c r="BC225" s="31">
        <f t="shared" si="19"/>
        <v>8482421.4035881087</v>
      </c>
      <c r="BD225" s="31">
        <v>0</v>
      </c>
    </row>
    <row r="226" spans="2:56">
      <c r="B226" s="42" t="s">
        <v>195</v>
      </c>
      <c r="C226" s="42" t="s">
        <v>196</v>
      </c>
      <c r="D226" s="43" t="s">
        <v>1049</v>
      </c>
      <c r="E226" s="44">
        <v>32</v>
      </c>
      <c r="F226" s="31">
        <v>131378298.52612059</v>
      </c>
      <c r="G226" s="31">
        <v>5706310.7700000005</v>
      </c>
      <c r="H226" s="31">
        <v>5366872.5500000007</v>
      </c>
      <c r="I226" s="31">
        <v>481040.16</v>
      </c>
      <c r="J226" s="31">
        <v>21486066.092669141</v>
      </c>
      <c r="K226" s="31">
        <v>7444110.5770329917</v>
      </c>
      <c r="L226" s="31">
        <v>14457247.405506978</v>
      </c>
      <c r="M226" s="31">
        <f t="shared" si="16"/>
        <v>188760829.71132967</v>
      </c>
      <c r="N226" s="31">
        <v>2440883.63</v>
      </c>
      <c r="P226" s="42" t="s">
        <v>195</v>
      </c>
      <c r="Q226" s="42" t="s">
        <v>196</v>
      </c>
      <c r="R226" s="43" t="s">
        <v>1050</v>
      </c>
      <c r="S226" s="44">
        <v>32</v>
      </c>
      <c r="T226" s="31">
        <v>144757404.78453827</v>
      </c>
      <c r="U226" s="31">
        <v>6228843.620000001</v>
      </c>
      <c r="V226" s="31">
        <v>5565211.1400000006</v>
      </c>
      <c r="W226" s="31">
        <v>522704.57</v>
      </c>
      <c r="X226" s="31">
        <v>22174043.683500089</v>
      </c>
      <c r="Y226" s="31">
        <v>7451049.3712309478</v>
      </c>
      <c r="Z226" s="31">
        <v>15107333.070347663</v>
      </c>
      <c r="AA226" s="31">
        <f t="shared" si="17"/>
        <v>204308575.57961696</v>
      </c>
      <c r="AB226" s="31">
        <v>2501985.3400000003</v>
      </c>
      <c r="AD226" s="42" t="s">
        <v>195</v>
      </c>
      <c r="AE226" s="42" t="s">
        <v>196</v>
      </c>
      <c r="AF226" s="43" t="s">
        <v>1275</v>
      </c>
      <c r="AG226" s="44">
        <v>32</v>
      </c>
      <c r="AH226" s="31">
        <v>147268431.72485286</v>
      </c>
      <c r="AI226" s="31">
        <v>6342154.5599999987</v>
      </c>
      <c r="AJ226" s="31">
        <v>5674331.5199999996</v>
      </c>
      <c r="AK226" s="31">
        <v>531759.64000000013</v>
      </c>
      <c r="AL226" s="31">
        <v>22598534.385580849</v>
      </c>
      <c r="AM226" s="31">
        <v>7448427.0265926942</v>
      </c>
      <c r="AN226" s="31">
        <v>15399296.326527996</v>
      </c>
      <c r="AO226" s="31">
        <f t="shared" si="18"/>
        <v>207809786.64355439</v>
      </c>
      <c r="AP226" s="31">
        <v>2546851.4600000004</v>
      </c>
      <c r="AR226" s="42" t="s">
        <v>195</v>
      </c>
      <c r="AS226" s="42" t="s">
        <v>196</v>
      </c>
      <c r="AT226" s="43" t="s">
        <v>1276</v>
      </c>
      <c r="AU226" s="44">
        <v>32</v>
      </c>
      <c r="AV226" s="31">
        <v>148699791.84674114</v>
      </c>
      <c r="AW226" s="31">
        <v>6405615.7699999996</v>
      </c>
      <c r="AX226" s="31">
        <v>5779984.5899999999</v>
      </c>
      <c r="AY226" s="31">
        <v>537161.08000000007</v>
      </c>
      <c r="AZ226" s="31">
        <v>23030808.748499997</v>
      </c>
      <c r="BA226" s="31">
        <v>7448830.6247526901</v>
      </c>
      <c r="BB226" s="31">
        <v>15687349.104039174</v>
      </c>
      <c r="BC226" s="31">
        <f t="shared" si="19"/>
        <v>210184444.83403301</v>
      </c>
      <c r="BD226" s="31">
        <v>2594903.0700000003</v>
      </c>
    </row>
    <row r="227" spans="2:56">
      <c r="B227" s="42" t="s">
        <v>109</v>
      </c>
      <c r="C227" s="42" t="s">
        <v>110</v>
      </c>
      <c r="D227" s="43" t="s">
        <v>1049</v>
      </c>
      <c r="E227" s="44">
        <v>32</v>
      </c>
      <c r="F227" s="31">
        <v>3762542.6910178643</v>
      </c>
      <c r="G227" s="31">
        <v>167968.81</v>
      </c>
      <c r="H227" s="31">
        <v>0</v>
      </c>
      <c r="I227" s="31">
        <v>10592.62</v>
      </c>
      <c r="J227" s="31">
        <v>456602.94927393354</v>
      </c>
      <c r="K227" s="31">
        <v>417425.80251662078</v>
      </c>
      <c r="L227" s="31">
        <v>109681.7823202669</v>
      </c>
      <c r="M227" s="31">
        <f t="shared" si="16"/>
        <v>5013288.3351286845</v>
      </c>
      <c r="N227" s="31">
        <v>88473.68</v>
      </c>
      <c r="P227" s="42" t="s">
        <v>109</v>
      </c>
      <c r="Q227" s="42" t="s">
        <v>110</v>
      </c>
      <c r="R227" s="43" t="s">
        <v>1050</v>
      </c>
      <c r="S227" s="44">
        <v>32</v>
      </c>
      <c r="T227" s="31">
        <v>3827183.0131926006</v>
      </c>
      <c r="U227" s="31">
        <v>173445</v>
      </c>
      <c r="V227" s="31">
        <v>0</v>
      </c>
      <c r="W227" s="31">
        <v>10890.87</v>
      </c>
      <c r="X227" s="31">
        <v>469056.51996362582</v>
      </c>
      <c r="Y227" s="31">
        <v>417838.81707986328</v>
      </c>
      <c r="Z227" s="31">
        <v>114619.14350107643</v>
      </c>
      <c r="AA227" s="31">
        <f t="shared" si="17"/>
        <v>5103691.9237371664</v>
      </c>
      <c r="AB227" s="31">
        <v>90658.559999999998</v>
      </c>
      <c r="AD227" s="42" t="s">
        <v>109</v>
      </c>
      <c r="AE227" s="42" t="s">
        <v>110</v>
      </c>
      <c r="AF227" s="43" t="s">
        <v>1275</v>
      </c>
      <c r="AG227" s="44">
        <v>32</v>
      </c>
      <c r="AH227" s="31">
        <v>3900355.7864880241</v>
      </c>
      <c r="AI227" s="31">
        <v>177009.91999999998</v>
      </c>
      <c r="AJ227" s="31">
        <v>0</v>
      </c>
      <c r="AK227" s="31">
        <v>11104.02</v>
      </c>
      <c r="AL227" s="31">
        <v>477761.00622485421</v>
      </c>
      <c r="AM227" s="31">
        <v>417698.50398761325</v>
      </c>
      <c r="AN227" s="31">
        <v>116828.54186514995</v>
      </c>
      <c r="AO227" s="31">
        <f t="shared" si="18"/>
        <v>5193020.6685656402</v>
      </c>
      <c r="AP227" s="31">
        <v>92262.89</v>
      </c>
      <c r="AR227" s="42" t="s">
        <v>109</v>
      </c>
      <c r="AS227" s="42" t="s">
        <v>110</v>
      </c>
      <c r="AT227" s="43" t="s">
        <v>1276</v>
      </c>
      <c r="AU227" s="44">
        <v>32</v>
      </c>
      <c r="AV227" s="31">
        <v>3972115.2035631342</v>
      </c>
      <c r="AW227" s="31">
        <v>180232.82999999996</v>
      </c>
      <c r="AX227" s="31">
        <v>0</v>
      </c>
      <c r="AY227" s="31">
        <v>11307.78</v>
      </c>
      <c r="AZ227" s="31">
        <v>486588.63670014596</v>
      </c>
      <c r="BA227" s="31">
        <v>417720.83276018326</v>
      </c>
      <c r="BB227" s="31">
        <v>118988.49614551268</v>
      </c>
      <c r="BC227" s="31">
        <f t="shared" si="19"/>
        <v>5280934.9191689761</v>
      </c>
      <c r="BD227" s="31">
        <v>93981.14</v>
      </c>
    </row>
    <row r="228" spans="2:56">
      <c r="B228" s="42" t="s">
        <v>27</v>
      </c>
      <c r="C228" s="42" t="s">
        <v>28</v>
      </c>
      <c r="D228" s="43" t="s">
        <v>1049</v>
      </c>
      <c r="E228" s="44">
        <v>32</v>
      </c>
      <c r="F228" s="31">
        <v>112522771.54386766</v>
      </c>
      <c r="G228" s="31">
        <v>3369868.1600000006</v>
      </c>
      <c r="H228" s="31">
        <v>1280800.1000000001</v>
      </c>
      <c r="I228" s="31">
        <v>389808.72000000003</v>
      </c>
      <c r="J228" s="31">
        <v>15588378.244572576</v>
      </c>
      <c r="K228" s="31">
        <v>4739627.5722763035</v>
      </c>
      <c r="L228" s="31">
        <v>6798673.4565004157</v>
      </c>
      <c r="M228" s="31">
        <f t="shared" si="16"/>
        <v>145424652.67721695</v>
      </c>
      <c r="N228" s="31">
        <v>734724.88</v>
      </c>
      <c r="P228" s="42" t="s">
        <v>27</v>
      </c>
      <c r="Q228" s="42" t="s">
        <v>28</v>
      </c>
      <c r="R228" s="43" t="s">
        <v>1050</v>
      </c>
      <c r="S228" s="44">
        <v>32</v>
      </c>
      <c r="T228" s="31">
        <v>124823043.14960621</v>
      </c>
      <c r="U228" s="31">
        <v>3721322.6099999989</v>
      </c>
      <c r="V228" s="31">
        <v>1318302.8399999999</v>
      </c>
      <c r="W228" s="31">
        <v>429362.19000000006</v>
      </c>
      <c r="X228" s="31">
        <v>16025116.137904029</v>
      </c>
      <c r="Y228" s="31">
        <v>4743616.2839730345</v>
      </c>
      <c r="Z228" s="31">
        <v>6991102.5965206651</v>
      </c>
      <c r="AA228" s="31">
        <f t="shared" si="17"/>
        <v>158798298.11800393</v>
      </c>
      <c r="AB228" s="31">
        <v>746432.31000000017</v>
      </c>
      <c r="AD228" s="42" t="s">
        <v>27</v>
      </c>
      <c r="AE228" s="42" t="s">
        <v>28</v>
      </c>
      <c r="AF228" s="43" t="s">
        <v>1275</v>
      </c>
      <c r="AG228" s="44">
        <v>32</v>
      </c>
      <c r="AH228" s="31">
        <v>126908526.60939758</v>
      </c>
      <c r="AI228" s="31">
        <v>3785292.3</v>
      </c>
      <c r="AJ228" s="31">
        <v>1344102.0000000002</v>
      </c>
      <c r="AK228" s="31">
        <v>436600.25999999995</v>
      </c>
      <c r="AL228" s="31">
        <v>16328887.158685338</v>
      </c>
      <c r="AM228" s="31">
        <v>4742231.0607958883</v>
      </c>
      <c r="AN228" s="31">
        <v>7125830.3353333864</v>
      </c>
      <c r="AO228" s="31">
        <f t="shared" si="18"/>
        <v>161431097.01421219</v>
      </c>
      <c r="AP228" s="31">
        <v>759627.29000000015</v>
      </c>
      <c r="AR228" s="42" t="s">
        <v>27</v>
      </c>
      <c r="AS228" s="42" t="s">
        <v>28</v>
      </c>
      <c r="AT228" s="43" t="s">
        <v>1276</v>
      </c>
      <c r="AU228" s="44">
        <v>32</v>
      </c>
      <c r="AV228" s="31">
        <v>129249665.09157486</v>
      </c>
      <c r="AW228" s="31">
        <v>3854461.1900000009</v>
      </c>
      <c r="AX228" s="31">
        <v>1368737.1300000001</v>
      </c>
      <c r="AY228" s="31">
        <v>444602.39999999991</v>
      </c>
      <c r="AZ228" s="31">
        <v>16630467.077620354</v>
      </c>
      <c r="BA228" s="31">
        <v>4742450.115196879</v>
      </c>
      <c r="BB228" s="31">
        <v>7257566.5351419272</v>
      </c>
      <c r="BC228" s="31">
        <f t="shared" si="19"/>
        <v>164321708.64953405</v>
      </c>
      <c r="BD228" s="31">
        <v>773759.11</v>
      </c>
    </row>
    <row r="229" spans="2:56">
      <c r="B229" s="42" t="s">
        <v>71</v>
      </c>
      <c r="C229" s="42" t="s">
        <v>72</v>
      </c>
      <c r="D229" s="43" t="s">
        <v>1049</v>
      </c>
      <c r="E229" s="44">
        <v>32</v>
      </c>
      <c r="F229" s="31">
        <v>31309352.585060846</v>
      </c>
      <c r="G229" s="31">
        <v>583702.18999999994</v>
      </c>
      <c r="H229" s="31">
        <v>189300.50000000003</v>
      </c>
      <c r="I229" s="31">
        <v>109989.23999999999</v>
      </c>
      <c r="J229" s="31">
        <v>3905861.3427862599</v>
      </c>
      <c r="K229" s="31">
        <v>0</v>
      </c>
      <c r="L229" s="31">
        <v>2463665.3174152719</v>
      </c>
      <c r="M229" s="31">
        <f t="shared" si="16"/>
        <v>38561871.175262384</v>
      </c>
      <c r="N229" s="31">
        <v>0</v>
      </c>
      <c r="P229" s="42" t="s">
        <v>71</v>
      </c>
      <c r="Q229" s="42" t="s">
        <v>72</v>
      </c>
      <c r="R229" s="43" t="s">
        <v>1050</v>
      </c>
      <c r="S229" s="44">
        <v>32</v>
      </c>
      <c r="T229" s="31">
        <v>34719325.944843829</v>
      </c>
      <c r="U229" s="31">
        <v>644994.94999999995</v>
      </c>
      <c r="V229" s="31">
        <v>196469.47000000003</v>
      </c>
      <c r="W229" s="31">
        <v>121608.75000000001</v>
      </c>
      <c r="X229" s="31">
        <v>4033430.9926272514</v>
      </c>
      <c r="Y229" s="31">
        <v>0</v>
      </c>
      <c r="Z229" s="31">
        <v>2550661.0139442687</v>
      </c>
      <c r="AA229" s="31">
        <f t="shared" si="17"/>
        <v>42266491.121415347</v>
      </c>
      <c r="AB229" s="31">
        <v>0</v>
      </c>
      <c r="AD229" s="42" t="s">
        <v>71</v>
      </c>
      <c r="AE229" s="42" t="s">
        <v>72</v>
      </c>
      <c r="AF229" s="43" t="s">
        <v>1275</v>
      </c>
      <c r="AG229" s="44">
        <v>32</v>
      </c>
      <c r="AH229" s="31">
        <v>38248100.420436658</v>
      </c>
      <c r="AI229" s="31">
        <v>708217.54</v>
      </c>
      <c r="AJ229" s="31">
        <v>200316.00999999998</v>
      </c>
      <c r="AK229" s="31">
        <v>133435.41999999998</v>
      </c>
      <c r="AL229" s="31">
        <v>4104978.9618014679</v>
      </c>
      <c r="AM229" s="31">
        <v>0</v>
      </c>
      <c r="AN229" s="31">
        <v>2599844.2685273262</v>
      </c>
      <c r="AO229" s="31">
        <f t="shared" si="18"/>
        <v>45994892.620765455</v>
      </c>
      <c r="AP229" s="31">
        <v>0</v>
      </c>
      <c r="AR229" s="42" t="s">
        <v>71</v>
      </c>
      <c r="AS229" s="42" t="s">
        <v>72</v>
      </c>
      <c r="AT229" s="43" t="s">
        <v>1276</v>
      </c>
      <c r="AU229" s="44">
        <v>32</v>
      </c>
      <c r="AV229" s="31">
        <v>41619948.794368029</v>
      </c>
      <c r="AW229" s="31">
        <v>770004.38000000012</v>
      </c>
      <c r="AX229" s="31">
        <v>204000.29000000004</v>
      </c>
      <c r="AY229" s="31">
        <v>145177.46</v>
      </c>
      <c r="AZ229" s="31">
        <v>4168945.1179370638</v>
      </c>
      <c r="BA229" s="31">
        <v>0</v>
      </c>
      <c r="BB229" s="31">
        <v>2648031.2028344618</v>
      </c>
      <c r="BC229" s="31">
        <f t="shared" si="19"/>
        <v>49556107.245139562</v>
      </c>
      <c r="BD229" s="31">
        <v>0</v>
      </c>
    </row>
    <row r="230" spans="2:56">
      <c r="B230" s="42" t="s">
        <v>11</v>
      </c>
      <c r="C230" s="42" t="s">
        <v>12</v>
      </c>
      <c r="D230" s="43" t="s">
        <v>1049</v>
      </c>
      <c r="E230" s="44">
        <v>32</v>
      </c>
      <c r="F230" s="31">
        <v>3619450.6501497226</v>
      </c>
      <c r="G230" s="31">
        <v>105926.27999999997</v>
      </c>
      <c r="H230" s="31">
        <v>0</v>
      </c>
      <c r="I230" s="31">
        <v>0</v>
      </c>
      <c r="J230" s="31">
        <v>275232.47111144627</v>
      </c>
      <c r="K230" s="31">
        <v>0</v>
      </c>
      <c r="L230" s="31">
        <v>279745.66889935784</v>
      </c>
      <c r="M230" s="31">
        <f t="shared" si="16"/>
        <v>4330392.6401605271</v>
      </c>
      <c r="N230" s="31">
        <v>50037.570000000014</v>
      </c>
      <c r="P230" s="42" t="s">
        <v>11</v>
      </c>
      <c r="Q230" s="42" t="s">
        <v>12</v>
      </c>
      <c r="R230" s="43" t="s">
        <v>1050</v>
      </c>
      <c r="S230" s="44">
        <v>32</v>
      </c>
      <c r="T230" s="31">
        <v>3379928.140896502</v>
      </c>
      <c r="U230" s="31">
        <v>102350.82</v>
      </c>
      <c r="V230" s="31">
        <v>0</v>
      </c>
      <c r="W230" s="31">
        <v>0</v>
      </c>
      <c r="X230" s="31">
        <v>280871.81283884397</v>
      </c>
      <c r="Y230" s="31">
        <v>0</v>
      </c>
      <c r="Z230" s="31">
        <v>289667.81401646021</v>
      </c>
      <c r="AA230" s="31">
        <f t="shared" si="17"/>
        <v>4104091.8577518058</v>
      </c>
      <c r="AB230" s="31">
        <v>51273.270000000011</v>
      </c>
      <c r="AD230" s="42" t="s">
        <v>11</v>
      </c>
      <c r="AE230" s="42" t="s">
        <v>12</v>
      </c>
      <c r="AF230" s="43" t="s">
        <v>1275</v>
      </c>
      <c r="AG230" s="44">
        <v>32</v>
      </c>
      <c r="AH230" s="31">
        <v>3416055.1848922963</v>
      </c>
      <c r="AI230" s="31">
        <v>105090.91999999998</v>
      </c>
      <c r="AJ230" s="31">
        <v>0</v>
      </c>
      <c r="AK230" s="31">
        <v>0</v>
      </c>
      <c r="AL230" s="31">
        <v>283750.78311708977</v>
      </c>
      <c r="AM230" s="31">
        <v>0</v>
      </c>
      <c r="AN230" s="31">
        <v>295250.64599508699</v>
      </c>
      <c r="AO230" s="31">
        <f t="shared" si="18"/>
        <v>4152328.1540044732</v>
      </c>
      <c r="AP230" s="31">
        <v>52180.62</v>
      </c>
      <c r="AR230" s="42" t="s">
        <v>11</v>
      </c>
      <c r="AS230" s="42" t="s">
        <v>12</v>
      </c>
      <c r="AT230" s="43" t="s">
        <v>1276</v>
      </c>
      <c r="AU230" s="44">
        <v>32</v>
      </c>
      <c r="AV230" s="31">
        <v>3442224.7390334215</v>
      </c>
      <c r="AW230" s="31">
        <v>103851.96999999997</v>
      </c>
      <c r="AX230" s="31">
        <v>0</v>
      </c>
      <c r="AY230" s="31">
        <v>0</v>
      </c>
      <c r="AZ230" s="31">
        <v>290421.91932813899</v>
      </c>
      <c r="BA230" s="31">
        <v>0</v>
      </c>
      <c r="BB230" s="31">
        <v>300709.62753899628</v>
      </c>
      <c r="BC230" s="31">
        <f t="shared" si="19"/>
        <v>4190360.6459005568</v>
      </c>
      <c r="BD230" s="31">
        <v>53152.390000000007</v>
      </c>
    </row>
    <row r="231" spans="2:56">
      <c r="B231" s="42" t="s">
        <v>477</v>
      </c>
      <c r="C231" s="42" t="s">
        <v>478</v>
      </c>
      <c r="D231" s="43" t="s">
        <v>1049</v>
      </c>
      <c r="E231" s="44">
        <v>32</v>
      </c>
      <c r="F231" s="31">
        <v>11099867.573316412</v>
      </c>
      <c r="G231" s="31">
        <v>454667.77</v>
      </c>
      <c r="H231" s="31">
        <v>25140.239999999998</v>
      </c>
      <c r="I231" s="31">
        <v>40438.74</v>
      </c>
      <c r="J231" s="31">
        <v>1786948.7830444805</v>
      </c>
      <c r="K231" s="31">
        <v>1496343.7500409356</v>
      </c>
      <c r="L231" s="31">
        <v>1503751.4047864215</v>
      </c>
      <c r="M231" s="31">
        <f t="shared" si="16"/>
        <v>16515222.271188248</v>
      </c>
      <c r="N231" s="31">
        <v>108064.01000000001</v>
      </c>
      <c r="P231" s="42" t="s">
        <v>477</v>
      </c>
      <c r="Q231" s="42" t="s">
        <v>478</v>
      </c>
      <c r="R231" s="43" t="s">
        <v>1050</v>
      </c>
      <c r="S231" s="44">
        <v>32</v>
      </c>
      <c r="T231" s="31">
        <v>11121510.880960613</v>
      </c>
      <c r="U231" s="31">
        <v>454901.47</v>
      </c>
      <c r="V231" s="31">
        <v>26105.640000000003</v>
      </c>
      <c r="W231" s="31">
        <v>40271.47</v>
      </c>
      <c r="X231" s="31">
        <v>1847114.9804525529</v>
      </c>
      <c r="Y231" s="31">
        <v>1497815.4796086145</v>
      </c>
      <c r="Z231" s="31">
        <v>1572354.5687992459</v>
      </c>
      <c r="AA231" s="31">
        <f t="shared" si="17"/>
        <v>16670795.099821027</v>
      </c>
      <c r="AB231" s="31">
        <v>110720.61000000002</v>
      </c>
      <c r="AD231" s="42" t="s">
        <v>477</v>
      </c>
      <c r="AE231" s="42" t="s">
        <v>478</v>
      </c>
      <c r="AF231" s="43" t="s">
        <v>1275</v>
      </c>
      <c r="AG231" s="44">
        <v>32</v>
      </c>
      <c r="AH231" s="31">
        <v>11306586.187800847</v>
      </c>
      <c r="AI231" s="31">
        <v>462673.93</v>
      </c>
      <c r="AJ231" s="31">
        <v>26616.29</v>
      </c>
      <c r="AK231" s="31">
        <v>40956.1</v>
      </c>
      <c r="AL231" s="31">
        <v>1882524.2285127118</v>
      </c>
      <c r="AM231" s="31">
        <v>1497315.4901530959</v>
      </c>
      <c r="AN231" s="31">
        <v>1602640.8770937813</v>
      </c>
      <c r="AO231" s="31">
        <f t="shared" si="18"/>
        <v>16931984.423560437</v>
      </c>
      <c r="AP231" s="31">
        <v>112671.32</v>
      </c>
      <c r="AR231" s="42" t="s">
        <v>477</v>
      </c>
      <c r="AS231" s="42" t="s">
        <v>478</v>
      </c>
      <c r="AT231" s="43" t="s">
        <v>1276</v>
      </c>
      <c r="AU231" s="44">
        <v>32</v>
      </c>
      <c r="AV231" s="31">
        <v>11346771.792758672</v>
      </c>
      <c r="AW231" s="31">
        <v>464262.93999999994</v>
      </c>
      <c r="AX231" s="31">
        <v>27102.33</v>
      </c>
      <c r="AY231" s="31">
        <v>41073.700000000004</v>
      </c>
      <c r="AZ231" s="31">
        <v>1919834.5491600619</v>
      </c>
      <c r="BA231" s="31">
        <v>1497395.0561484045</v>
      </c>
      <c r="BB231" s="31">
        <v>1632186.3206333884</v>
      </c>
      <c r="BC231" s="31">
        <f t="shared" si="19"/>
        <v>17043387.228700522</v>
      </c>
      <c r="BD231" s="31">
        <v>114760.54000000001</v>
      </c>
    </row>
    <row r="232" spans="2:56">
      <c r="B232" s="42" t="s">
        <v>203</v>
      </c>
      <c r="C232" s="42" t="s">
        <v>204</v>
      </c>
      <c r="D232" s="43" t="s">
        <v>1049</v>
      </c>
      <c r="E232" s="44">
        <v>32</v>
      </c>
      <c r="F232" s="31">
        <v>27439065.117330894</v>
      </c>
      <c r="G232" s="31">
        <v>283316.83</v>
      </c>
      <c r="H232" s="31">
        <v>352311.12</v>
      </c>
      <c r="I232" s="31">
        <v>97901.83</v>
      </c>
      <c r="J232" s="31">
        <v>3313213.1274896837</v>
      </c>
      <c r="K232" s="31">
        <v>2290548.1058273027</v>
      </c>
      <c r="L232" s="31">
        <v>1910848.1593277296</v>
      </c>
      <c r="M232" s="31">
        <f t="shared" si="16"/>
        <v>35687204.289975606</v>
      </c>
      <c r="N232" s="31">
        <v>0</v>
      </c>
      <c r="P232" s="42" t="s">
        <v>203</v>
      </c>
      <c r="Q232" s="42" t="s">
        <v>204</v>
      </c>
      <c r="R232" s="43" t="s">
        <v>1050</v>
      </c>
      <c r="S232" s="44">
        <v>32</v>
      </c>
      <c r="T232" s="31">
        <v>30657066.805328071</v>
      </c>
      <c r="U232" s="31">
        <v>315800.68</v>
      </c>
      <c r="V232" s="31">
        <v>365331.15</v>
      </c>
      <c r="W232" s="31">
        <v>109130.98999999999</v>
      </c>
      <c r="X232" s="31">
        <v>3416637.1597722005</v>
      </c>
      <c r="Y232" s="31">
        <v>2292511.4928159867</v>
      </c>
      <c r="Z232" s="31">
        <v>1977239.9729320954</v>
      </c>
      <c r="AA232" s="31">
        <f t="shared" si="17"/>
        <v>39133718.250848345</v>
      </c>
      <c r="AB232" s="31">
        <v>0</v>
      </c>
      <c r="AD232" s="42" t="s">
        <v>203</v>
      </c>
      <c r="AE232" s="42" t="s">
        <v>204</v>
      </c>
      <c r="AF232" s="43" t="s">
        <v>1275</v>
      </c>
      <c r="AG232" s="44">
        <v>32</v>
      </c>
      <c r="AH232" s="31">
        <v>31555050.493224643</v>
      </c>
      <c r="AI232" s="31">
        <v>324977.49</v>
      </c>
      <c r="AJ232" s="31">
        <v>372494.41</v>
      </c>
      <c r="AK232" s="31">
        <v>112345.27</v>
      </c>
      <c r="AL232" s="31">
        <v>3480603.3677275362</v>
      </c>
      <c r="AM232" s="31">
        <v>2291769.4795503234</v>
      </c>
      <c r="AN232" s="31">
        <v>2015447.6839920962</v>
      </c>
      <c r="AO232" s="31">
        <f t="shared" si="18"/>
        <v>40152688.194494598</v>
      </c>
      <c r="AP232" s="31">
        <v>0</v>
      </c>
      <c r="AR232" s="42" t="s">
        <v>203</v>
      </c>
      <c r="AS232" s="42" t="s">
        <v>204</v>
      </c>
      <c r="AT232" s="43" t="s">
        <v>1276</v>
      </c>
      <c r="AU232" s="44">
        <v>32</v>
      </c>
      <c r="AV232" s="31">
        <v>32490350.328148898</v>
      </c>
      <c r="AW232" s="31">
        <v>334433.55</v>
      </c>
      <c r="AX232" s="31">
        <v>379430.07</v>
      </c>
      <c r="AY232" s="31">
        <v>115531.6</v>
      </c>
      <c r="AZ232" s="31">
        <v>3545950.8957713149</v>
      </c>
      <c r="BA232" s="31">
        <v>2291883.6808587043</v>
      </c>
      <c r="BB232" s="31">
        <v>2053150.431730797</v>
      </c>
      <c r="BC232" s="31">
        <f t="shared" si="19"/>
        <v>41210730.556509718</v>
      </c>
      <c r="BD232" s="31">
        <v>0</v>
      </c>
    </row>
    <row r="233" spans="2:56">
      <c r="B233" s="42" t="s">
        <v>519</v>
      </c>
      <c r="C233" s="42" t="s">
        <v>520</v>
      </c>
      <c r="D233" s="43" t="s">
        <v>1049</v>
      </c>
      <c r="E233" s="44">
        <v>32</v>
      </c>
      <c r="F233" s="31">
        <v>17247549.754493684</v>
      </c>
      <c r="G233" s="31">
        <v>667775.05000000028</v>
      </c>
      <c r="H233" s="31">
        <v>319222.38999999996</v>
      </c>
      <c r="I233" s="31">
        <v>58465.639999999992</v>
      </c>
      <c r="J233" s="31">
        <v>2577800.8213884346</v>
      </c>
      <c r="K233" s="31">
        <v>1885964.6342048864</v>
      </c>
      <c r="L233" s="31">
        <v>971383.01909723331</v>
      </c>
      <c r="M233" s="31">
        <f t="shared" si="16"/>
        <v>24144631.54918424</v>
      </c>
      <c r="N233" s="31">
        <v>416470.24000000005</v>
      </c>
      <c r="P233" s="42" t="s">
        <v>519</v>
      </c>
      <c r="Q233" s="42" t="s">
        <v>520</v>
      </c>
      <c r="R233" s="43" t="s">
        <v>1050</v>
      </c>
      <c r="S233" s="44">
        <v>32</v>
      </c>
      <c r="T233" s="31">
        <v>17943505.497947805</v>
      </c>
      <c r="U233" s="31">
        <v>699071.60000000009</v>
      </c>
      <c r="V233" s="31">
        <v>331480.85000000003</v>
      </c>
      <c r="W233" s="31">
        <v>60710.78</v>
      </c>
      <c r="X233" s="31">
        <v>2642171.5209655822</v>
      </c>
      <c r="Y233" s="31">
        <v>1887947.6689674489</v>
      </c>
      <c r="Z233" s="31">
        <v>1015658.8911591617</v>
      </c>
      <c r="AA233" s="31">
        <f t="shared" si="17"/>
        <v>25007255.409040004</v>
      </c>
      <c r="AB233" s="31">
        <v>426708.59999999992</v>
      </c>
      <c r="AD233" s="42" t="s">
        <v>519</v>
      </c>
      <c r="AE233" s="42" t="s">
        <v>520</v>
      </c>
      <c r="AF233" s="43" t="s">
        <v>1275</v>
      </c>
      <c r="AG233" s="44">
        <v>32</v>
      </c>
      <c r="AH233" s="31">
        <v>18296487.950387575</v>
      </c>
      <c r="AI233" s="31">
        <v>711924.78</v>
      </c>
      <c r="AJ233" s="31">
        <v>337965.02999999997</v>
      </c>
      <c r="AK233" s="31">
        <v>61795.21</v>
      </c>
      <c r="AL233" s="31">
        <v>2699133.9027619893</v>
      </c>
      <c r="AM233" s="31">
        <v>1887273.9742255735</v>
      </c>
      <c r="AN233" s="31">
        <v>1035222.3327591401</v>
      </c>
      <c r="AO233" s="31">
        <f t="shared" si="18"/>
        <v>25464029.660134282</v>
      </c>
      <c r="AP233" s="31">
        <v>434226.48000000004</v>
      </c>
      <c r="AR233" s="42" t="s">
        <v>519</v>
      </c>
      <c r="AS233" s="42" t="s">
        <v>520</v>
      </c>
      <c r="AT233" s="43" t="s">
        <v>1276</v>
      </c>
      <c r="AU233" s="44">
        <v>32</v>
      </c>
      <c r="AV233" s="31">
        <v>18577844.097688198</v>
      </c>
      <c r="AW233" s="31">
        <v>722701.97</v>
      </c>
      <c r="AX233" s="31">
        <v>344136.58999999997</v>
      </c>
      <c r="AY233" s="31">
        <v>62713.54</v>
      </c>
      <c r="AZ233" s="31">
        <v>2748985.4783707978</v>
      </c>
      <c r="BA233" s="31">
        <v>1887381.1828718353</v>
      </c>
      <c r="BB233" s="31">
        <v>1054307.2343768768</v>
      </c>
      <c r="BC233" s="31">
        <f t="shared" si="19"/>
        <v>25840348.223307703</v>
      </c>
      <c r="BD233" s="31">
        <v>442278.13000000006</v>
      </c>
    </row>
    <row r="234" spans="2:56">
      <c r="B234" s="42" t="s">
        <v>263</v>
      </c>
      <c r="C234" s="42" t="s">
        <v>264</v>
      </c>
      <c r="D234" s="43" t="s">
        <v>1049</v>
      </c>
      <c r="E234" s="44">
        <v>32</v>
      </c>
      <c r="F234" s="31">
        <v>429296.23317987961</v>
      </c>
      <c r="G234" s="31">
        <v>0</v>
      </c>
      <c r="H234" s="31">
        <v>0</v>
      </c>
      <c r="I234" s="31">
        <v>0</v>
      </c>
      <c r="J234" s="31">
        <v>52573.259702966912</v>
      </c>
      <c r="K234" s="31">
        <v>115219.65357997973</v>
      </c>
      <c r="L234" s="31">
        <v>0</v>
      </c>
      <c r="M234" s="31">
        <f t="shared" si="16"/>
        <v>597089.14646282629</v>
      </c>
      <c r="N234" s="31">
        <v>0</v>
      </c>
      <c r="P234" s="42" t="s">
        <v>263</v>
      </c>
      <c r="Q234" s="42" t="s">
        <v>264</v>
      </c>
      <c r="R234" s="43" t="s">
        <v>1050</v>
      </c>
      <c r="S234" s="44">
        <v>32</v>
      </c>
      <c r="T234" s="31">
        <v>444326.89161852002</v>
      </c>
      <c r="U234" s="31">
        <v>0</v>
      </c>
      <c r="V234" s="31">
        <v>0</v>
      </c>
      <c r="W234" s="31">
        <v>0</v>
      </c>
      <c r="X234" s="31">
        <v>53765.416452718368</v>
      </c>
      <c r="Y234" s="31">
        <v>115298.82182668713</v>
      </c>
      <c r="Z234" s="31">
        <v>0</v>
      </c>
      <c r="AA234" s="31">
        <f t="shared" si="17"/>
        <v>613391.12989792554</v>
      </c>
      <c r="AB234" s="31">
        <v>0</v>
      </c>
      <c r="AD234" s="42" t="s">
        <v>263</v>
      </c>
      <c r="AE234" s="42" t="s">
        <v>264</v>
      </c>
      <c r="AF234" s="43" t="s">
        <v>1275</v>
      </c>
      <c r="AG234" s="44">
        <v>32</v>
      </c>
      <c r="AH234" s="31">
        <v>453557.00435234886</v>
      </c>
      <c r="AI234" s="31">
        <v>0</v>
      </c>
      <c r="AJ234" s="31">
        <v>0</v>
      </c>
      <c r="AK234" s="31">
        <v>0</v>
      </c>
      <c r="AL234" s="31">
        <v>54527.552565409867</v>
      </c>
      <c r="AM234" s="31">
        <v>115271.92606442558</v>
      </c>
      <c r="AN234" s="31">
        <v>0</v>
      </c>
      <c r="AO234" s="31">
        <f t="shared" si="18"/>
        <v>623356.48298218427</v>
      </c>
      <c r="AP234" s="31">
        <v>0</v>
      </c>
      <c r="AR234" s="42" t="s">
        <v>263</v>
      </c>
      <c r="AS234" s="42" t="s">
        <v>264</v>
      </c>
      <c r="AT234" s="43" t="s">
        <v>1276</v>
      </c>
      <c r="AU234" s="44">
        <v>32</v>
      </c>
      <c r="AV234" s="31">
        <v>459224.16006672813</v>
      </c>
      <c r="AW234" s="31">
        <v>0</v>
      </c>
      <c r="AX234" s="31">
        <v>0</v>
      </c>
      <c r="AY234" s="31">
        <v>0</v>
      </c>
      <c r="AZ234" s="31">
        <v>56320.400986136323</v>
      </c>
      <c r="BA234" s="31">
        <v>115276.20613087558</v>
      </c>
      <c r="BB234" s="31">
        <v>0</v>
      </c>
      <c r="BC234" s="31">
        <f t="shared" si="19"/>
        <v>630820.76718374004</v>
      </c>
      <c r="BD234" s="31">
        <v>0</v>
      </c>
    </row>
    <row r="235" spans="2:56">
      <c r="B235" s="42" t="s">
        <v>575</v>
      </c>
      <c r="C235" s="42" t="s">
        <v>576</v>
      </c>
      <c r="D235" s="43" t="s">
        <v>1049</v>
      </c>
      <c r="E235" s="44">
        <v>32</v>
      </c>
      <c r="F235" s="31">
        <v>2331238.204795897</v>
      </c>
      <c r="G235" s="31">
        <v>63051.360000000001</v>
      </c>
      <c r="H235" s="31">
        <v>0</v>
      </c>
      <c r="I235" s="31">
        <v>0</v>
      </c>
      <c r="J235" s="31">
        <v>174010.49802843464</v>
      </c>
      <c r="K235" s="31">
        <v>208816.82793112096</v>
      </c>
      <c r="L235" s="31">
        <v>69388.780261988024</v>
      </c>
      <c r="M235" s="31">
        <f t="shared" si="16"/>
        <v>2893012.3610174404</v>
      </c>
      <c r="N235" s="31">
        <v>46506.69</v>
      </c>
      <c r="P235" s="42" t="s">
        <v>575</v>
      </c>
      <c r="Q235" s="42" t="s">
        <v>576</v>
      </c>
      <c r="R235" s="43" t="s">
        <v>1050</v>
      </c>
      <c r="S235" s="44">
        <v>32</v>
      </c>
      <c r="T235" s="31">
        <v>2438205.4004806885</v>
      </c>
      <c r="U235" s="31">
        <v>66280.049999999988</v>
      </c>
      <c r="V235" s="31">
        <v>0</v>
      </c>
      <c r="W235" s="31">
        <v>0</v>
      </c>
      <c r="X235" s="31">
        <v>182078.28798466414</v>
      </c>
      <c r="Y235" s="31">
        <v>209006.38335103655</v>
      </c>
      <c r="Z235" s="31">
        <v>72478.306050130719</v>
      </c>
      <c r="AA235" s="31">
        <f t="shared" si="17"/>
        <v>3015703.6178665194</v>
      </c>
      <c r="AB235" s="31">
        <v>47655.19</v>
      </c>
      <c r="AD235" s="42" t="s">
        <v>575</v>
      </c>
      <c r="AE235" s="42" t="s">
        <v>576</v>
      </c>
      <c r="AF235" s="43" t="s">
        <v>1275</v>
      </c>
      <c r="AG235" s="44">
        <v>32</v>
      </c>
      <c r="AH235" s="31">
        <v>2523189.7983688382</v>
      </c>
      <c r="AI235" s="31">
        <v>68093.820000000007</v>
      </c>
      <c r="AJ235" s="31">
        <v>0</v>
      </c>
      <c r="AK235" s="31">
        <v>0</v>
      </c>
      <c r="AL235" s="31">
        <v>183951.52470184813</v>
      </c>
      <c r="AM235" s="31">
        <v>208941.98584671537</v>
      </c>
      <c r="AN235" s="31">
        <v>73875.363860548547</v>
      </c>
      <c r="AO235" s="31">
        <f t="shared" si="18"/>
        <v>3106551.0127779501</v>
      </c>
      <c r="AP235" s="31">
        <v>48498.520000000004</v>
      </c>
      <c r="AR235" s="42" t="s">
        <v>575</v>
      </c>
      <c r="AS235" s="42" t="s">
        <v>576</v>
      </c>
      <c r="AT235" s="43" t="s">
        <v>1276</v>
      </c>
      <c r="AU235" s="44">
        <v>32</v>
      </c>
      <c r="AV235" s="31">
        <v>2591255.2940435545</v>
      </c>
      <c r="AW235" s="31">
        <v>71504.689999999973</v>
      </c>
      <c r="AX235" s="31">
        <v>0</v>
      </c>
      <c r="AY235" s="31">
        <v>0</v>
      </c>
      <c r="AZ235" s="31">
        <v>186115.69791161988</v>
      </c>
      <c r="BA235" s="31">
        <v>208952.23376588675</v>
      </c>
      <c r="BB235" s="31">
        <v>75241.13068514601</v>
      </c>
      <c r="BC235" s="31">
        <f t="shared" si="19"/>
        <v>3182470.7564062066</v>
      </c>
      <c r="BD235" s="31">
        <v>49401.710000000006</v>
      </c>
    </row>
    <row r="236" spans="2:56">
      <c r="B236" s="42" t="s">
        <v>131</v>
      </c>
      <c r="C236" s="42" t="s">
        <v>132</v>
      </c>
      <c r="D236" s="43" t="s">
        <v>1049</v>
      </c>
      <c r="E236" s="44">
        <v>32</v>
      </c>
      <c r="F236" s="31">
        <v>14160607.708229315</v>
      </c>
      <c r="G236" s="31">
        <v>858665.33000000019</v>
      </c>
      <c r="H236" s="31">
        <v>1187631.99</v>
      </c>
      <c r="I236" s="31">
        <v>49306.030000000006</v>
      </c>
      <c r="J236" s="31">
        <v>2182986.048056474</v>
      </c>
      <c r="K236" s="31">
        <v>999305.80799200956</v>
      </c>
      <c r="L236" s="31">
        <v>1056994.416502313</v>
      </c>
      <c r="M236" s="31">
        <f t="shared" si="16"/>
        <v>21002004.650780112</v>
      </c>
      <c r="N236" s="31">
        <v>506507.31999999995</v>
      </c>
      <c r="P236" s="42" t="s">
        <v>131</v>
      </c>
      <c r="Q236" s="42" t="s">
        <v>132</v>
      </c>
      <c r="R236" s="43" t="s">
        <v>1050</v>
      </c>
      <c r="S236" s="44">
        <v>32</v>
      </c>
      <c r="T236" s="31">
        <v>14787475.334429573</v>
      </c>
      <c r="U236" s="31">
        <v>894387.79000000015</v>
      </c>
      <c r="V236" s="31">
        <v>1233238.28</v>
      </c>
      <c r="W236" s="31">
        <v>50895.859999999993</v>
      </c>
      <c r="X236" s="31">
        <v>2258077.9190528169</v>
      </c>
      <c r="Y236" s="31">
        <v>1000173.0076662144</v>
      </c>
      <c r="Z236" s="31">
        <v>1105130.4033157853</v>
      </c>
      <c r="AA236" s="31">
        <f t="shared" si="17"/>
        <v>21848337.72446439</v>
      </c>
      <c r="AB236" s="31">
        <v>518959.13</v>
      </c>
      <c r="AD236" s="42" t="s">
        <v>131</v>
      </c>
      <c r="AE236" s="42" t="s">
        <v>132</v>
      </c>
      <c r="AF236" s="43" t="s">
        <v>1275</v>
      </c>
      <c r="AG236" s="44">
        <v>32</v>
      </c>
      <c r="AH236" s="31">
        <v>15356384.288408373</v>
      </c>
      <c r="AI236" s="31">
        <v>927437.59999999986</v>
      </c>
      <c r="AJ236" s="31">
        <v>1257361.9999999998</v>
      </c>
      <c r="AK236" s="31">
        <v>52716.78</v>
      </c>
      <c r="AL236" s="31">
        <v>2304509.1127412408</v>
      </c>
      <c r="AM236" s="31">
        <v>999878.39464595995</v>
      </c>
      <c r="AN236" s="31">
        <v>1126417.1159096688</v>
      </c>
      <c r="AO236" s="31">
        <f t="shared" si="18"/>
        <v>22552807.59170524</v>
      </c>
      <c r="AP236" s="31">
        <v>528102.30000000005</v>
      </c>
      <c r="AR236" s="42" t="s">
        <v>131</v>
      </c>
      <c r="AS236" s="42" t="s">
        <v>132</v>
      </c>
      <c r="AT236" s="43" t="s">
        <v>1276</v>
      </c>
      <c r="AU236" s="44">
        <v>32</v>
      </c>
      <c r="AV236" s="31">
        <v>15795009.473955953</v>
      </c>
      <c r="AW236" s="31">
        <v>953153.81000000017</v>
      </c>
      <c r="AX236" s="31">
        <v>1280322.5900000001</v>
      </c>
      <c r="AY236" s="31">
        <v>54204.659999999996</v>
      </c>
      <c r="AZ236" s="31">
        <v>2346630.0410733274</v>
      </c>
      <c r="BA236" s="31">
        <v>999925.27799105586</v>
      </c>
      <c r="BB236" s="31">
        <v>1147183.0448537183</v>
      </c>
      <c r="BC236" s="31">
        <f t="shared" si="19"/>
        <v>23114323.557874054</v>
      </c>
      <c r="BD236" s="31">
        <v>537894.66</v>
      </c>
    </row>
    <row r="237" spans="2:56">
      <c r="B237" s="42" t="s">
        <v>399</v>
      </c>
      <c r="C237" s="42" t="s">
        <v>400</v>
      </c>
      <c r="D237" s="43" t="s">
        <v>1049</v>
      </c>
      <c r="E237" s="44">
        <v>32</v>
      </c>
      <c r="F237" s="31">
        <v>7023403.7035549823</v>
      </c>
      <c r="G237" s="31">
        <v>214336.76</v>
      </c>
      <c r="H237" s="31">
        <v>92459.000000000015</v>
      </c>
      <c r="I237" s="31">
        <v>24138.46</v>
      </c>
      <c r="J237" s="31">
        <v>1044378.8546325611</v>
      </c>
      <c r="K237" s="31">
        <v>375674.80553536693</v>
      </c>
      <c r="L237" s="31">
        <v>228763.52704134208</v>
      </c>
      <c r="M237" s="31">
        <f t="shared" si="16"/>
        <v>9003155.110764252</v>
      </c>
      <c r="N237" s="31">
        <v>0</v>
      </c>
      <c r="P237" s="42" t="s">
        <v>399</v>
      </c>
      <c r="Q237" s="42" t="s">
        <v>400</v>
      </c>
      <c r="R237" s="43" t="s">
        <v>1050</v>
      </c>
      <c r="S237" s="44">
        <v>32</v>
      </c>
      <c r="T237" s="31">
        <v>7288253.4675208693</v>
      </c>
      <c r="U237" s="31">
        <v>221680.38999999996</v>
      </c>
      <c r="V237" s="31">
        <v>95916.180000000008</v>
      </c>
      <c r="W237" s="31">
        <v>24929.259999999995</v>
      </c>
      <c r="X237" s="31">
        <v>1081583.7248405647</v>
      </c>
      <c r="Y237" s="31">
        <v>376020.0777218552</v>
      </c>
      <c r="Z237" s="31">
        <v>236774.07757739542</v>
      </c>
      <c r="AA237" s="31">
        <f t="shared" si="17"/>
        <v>9325157.1776606832</v>
      </c>
      <c r="AB237" s="31">
        <v>0</v>
      </c>
      <c r="AD237" s="42" t="s">
        <v>399</v>
      </c>
      <c r="AE237" s="42" t="s">
        <v>400</v>
      </c>
      <c r="AF237" s="43" t="s">
        <v>1275</v>
      </c>
      <c r="AG237" s="44">
        <v>32</v>
      </c>
      <c r="AH237" s="31">
        <v>7257484.0189584745</v>
      </c>
      <c r="AI237" s="31">
        <v>219299.05000000002</v>
      </c>
      <c r="AJ237" s="31">
        <v>97795.520000000004</v>
      </c>
      <c r="AK237" s="31">
        <v>24733.820000000003</v>
      </c>
      <c r="AL237" s="31">
        <v>1101522.2576974863</v>
      </c>
      <c r="AM237" s="31">
        <v>375893.81354527856</v>
      </c>
      <c r="AN237" s="31">
        <v>241344.7105489625</v>
      </c>
      <c r="AO237" s="31">
        <f t="shared" si="18"/>
        <v>9318073.190750204</v>
      </c>
      <c r="AP237" s="31">
        <v>0</v>
      </c>
      <c r="AR237" s="42" t="s">
        <v>399</v>
      </c>
      <c r="AS237" s="42" t="s">
        <v>400</v>
      </c>
      <c r="AT237" s="43" t="s">
        <v>1276</v>
      </c>
      <c r="AU237" s="44">
        <v>32</v>
      </c>
      <c r="AV237" s="31">
        <v>7294489.4992989767</v>
      </c>
      <c r="AW237" s="31">
        <v>219179.31</v>
      </c>
      <c r="AX237" s="31">
        <v>99605.85</v>
      </c>
      <c r="AY237" s="31">
        <v>24727.329999999998</v>
      </c>
      <c r="AZ237" s="31">
        <v>1122612.7061933219</v>
      </c>
      <c r="BA237" s="31">
        <v>375913.44289288856</v>
      </c>
      <c r="BB237" s="31">
        <v>245839.48597291083</v>
      </c>
      <c r="BC237" s="31">
        <f t="shared" si="19"/>
        <v>9382367.6243580971</v>
      </c>
      <c r="BD237" s="31">
        <v>0</v>
      </c>
    </row>
    <row r="238" spans="2:56">
      <c r="B238" s="42" t="s">
        <v>159</v>
      </c>
      <c r="C238" s="42" t="s">
        <v>160</v>
      </c>
      <c r="D238" s="43" t="s">
        <v>1049</v>
      </c>
      <c r="E238" s="44">
        <v>32</v>
      </c>
      <c r="F238" s="31">
        <v>589584.46309245448</v>
      </c>
      <c r="G238" s="31">
        <v>21145.090000000004</v>
      </c>
      <c r="H238" s="31">
        <v>0</v>
      </c>
      <c r="I238" s="31">
        <v>0</v>
      </c>
      <c r="J238" s="31">
        <v>68115.135744228697</v>
      </c>
      <c r="K238" s="31">
        <v>0</v>
      </c>
      <c r="L238" s="31">
        <v>0</v>
      </c>
      <c r="M238" s="31">
        <f t="shared" si="16"/>
        <v>694240.62883668323</v>
      </c>
      <c r="N238" s="31">
        <v>15395.940000000002</v>
      </c>
      <c r="P238" s="42" t="s">
        <v>159</v>
      </c>
      <c r="Q238" s="42" t="s">
        <v>160</v>
      </c>
      <c r="R238" s="43" t="s">
        <v>1050</v>
      </c>
      <c r="S238" s="44">
        <v>32</v>
      </c>
      <c r="T238" s="31">
        <v>604874.26977139618</v>
      </c>
      <c r="U238" s="31">
        <v>20955.590000000004</v>
      </c>
      <c r="V238" s="31">
        <v>0</v>
      </c>
      <c r="W238" s="31">
        <v>0</v>
      </c>
      <c r="X238" s="31">
        <v>72249.219989824138</v>
      </c>
      <c r="Y238" s="31">
        <v>0</v>
      </c>
      <c r="Z238" s="31">
        <v>0</v>
      </c>
      <c r="AA238" s="31">
        <f t="shared" si="17"/>
        <v>713853.50976122031</v>
      </c>
      <c r="AB238" s="31">
        <v>15774.43</v>
      </c>
      <c r="AD238" s="42" t="s">
        <v>159</v>
      </c>
      <c r="AE238" s="42" t="s">
        <v>160</v>
      </c>
      <c r="AF238" s="43" t="s">
        <v>1275</v>
      </c>
      <c r="AG238" s="44">
        <v>32</v>
      </c>
      <c r="AH238" s="31">
        <v>616452.98067397694</v>
      </c>
      <c r="AI238" s="31">
        <v>21396.160000000003</v>
      </c>
      <c r="AJ238" s="31">
        <v>0</v>
      </c>
      <c r="AK238" s="31">
        <v>0</v>
      </c>
      <c r="AL238" s="31">
        <v>73585.978161922685</v>
      </c>
      <c r="AM238" s="31">
        <v>0</v>
      </c>
      <c r="AN238" s="31">
        <v>0</v>
      </c>
      <c r="AO238" s="31">
        <f t="shared" si="18"/>
        <v>727487.46883589961</v>
      </c>
      <c r="AP238" s="31">
        <v>16052.35</v>
      </c>
      <c r="AR238" s="42" t="s">
        <v>159</v>
      </c>
      <c r="AS238" s="42" t="s">
        <v>160</v>
      </c>
      <c r="AT238" s="43" t="s">
        <v>1276</v>
      </c>
      <c r="AU238" s="44">
        <v>32</v>
      </c>
      <c r="AV238" s="31">
        <v>627679.28041106078</v>
      </c>
      <c r="AW238" s="31">
        <v>21782.36</v>
      </c>
      <c r="AX238" s="31">
        <v>0</v>
      </c>
      <c r="AY238" s="31">
        <v>0</v>
      </c>
      <c r="AZ238" s="31">
        <v>74938.317468707464</v>
      </c>
      <c r="BA238" s="31">
        <v>0</v>
      </c>
      <c r="BB238" s="31">
        <v>0</v>
      </c>
      <c r="BC238" s="31">
        <f t="shared" si="19"/>
        <v>740749.95787976822</v>
      </c>
      <c r="BD238" s="31">
        <v>16350</v>
      </c>
    </row>
    <row r="239" spans="2:56">
      <c r="B239" s="42" t="s">
        <v>183</v>
      </c>
      <c r="C239" s="42" t="s">
        <v>184</v>
      </c>
      <c r="D239" s="43" t="s">
        <v>1049</v>
      </c>
      <c r="E239" s="44">
        <v>32</v>
      </c>
      <c r="F239" s="31">
        <v>477953237.82958293</v>
      </c>
      <c r="G239" s="31">
        <v>14768384.830000002</v>
      </c>
      <c r="H239" s="31">
        <v>11584599.030000001</v>
      </c>
      <c r="I239" s="31">
        <v>0</v>
      </c>
      <c r="J239" s="31">
        <v>70992859.906978413</v>
      </c>
      <c r="K239" s="31">
        <v>35373539.357970014</v>
      </c>
      <c r="L239" s="31">
        <v>18348204.728756111</v>
      </c>
      <c r="M239" s="31">
        <f t="shared" si="16"/>
        <v>633735583.92328739</v>
      </c>
      <c r="N239" s="31">
        <v>4714758.2399999993</v>
      </c>
      <c r="P239" s="42" t="s">
        <v>183</v>
      </c>
      <c r="Q239" s="42" t="s">
        <v>184</v>
      </c>
      <c r="R239" s="43" t="s">
        <v>1050</v>
      </c>
      <c r="S239" s="44">
        <v>32</v>
      </c>
      <c r="T239" s="31">
        <v>525149764.94252145</v>
      </c>
      <c r="U239" s="31">
        <v>16194953.840000004</v>
      </c>
      <c r="V239" s="31">
        <v>12012720.43</v>
      </c>
      <c r="W239" s="31">
        <v>0</v>
      </c>
      <c r="X239" s="31">
        <v>73609963.770173162</v>
      </c>
      <c r="Y239" s="31">
        <v>35407121.11754518</v>
      </c>
      <c r="Z239" s="31">
        <v>18985966.212111726</v>
      </c>
      <c r="AA239" s="31">
        <f t="shared" si="17"/>
        <v>686193271.31235147</v>
      </c>
      <c r="AB239" s="31">
        <v>4832781</v>
      </c>
      <c r="AD239" s="42" t="s">
        <v>183</v>
      </c>
      <c r="AE239" s="42" t="s">
        <v>184</v>
      </c>
      <c r="AF239" s="43" t="s">
        <v>1275</v>
      </c>
      <c r="AG239" s="44">
        <v>32</v>
      </c>
      <c r="AH239" s="31">
        <v>535742850.36691946</v>
      </c>
      <c r="AI239" s="31">
        <v>16520952.780000001</v>
      </c>
      <c r="AJ239" s="31">
        <v>12248260.890000001</v>
      </c>
      <c r="AK239" s="31">
        <v>0</v>
      </c>
      <c r="AL239" s="31">
        <v>75045903.126990169</v>
      </c>
      <c r="AM239" s="31">
        <v>35394429.726987585</v>
      </c>
      <c r="AN239" s="31">
        <v>19352874.29220276</v>
      </c>
      <c r="AO239" s="31">
        <f t="shared" si="18"/>
        <v>699224714.59309995</v>
      </c>
      <c r="AP239" s="31">
        <v>4919443.41</v>
      </c>
      <c r="AR239" s="42" t="s">
        <v>183</v>
      </c>
      <c r="AS239" s="42" t="s">
        <v>184</v>
      </c>
      <c r="AT239" s="43" t="s">
        <v>1276</v>
      </c>
      <c r="AU239" s="44">
        <v>32</v>
      </c>
      <c r="AV239" s="31">
        <v>548099063.89208746</v>
      </c>
      <c r="AW239" s="31">
        <v>16844980</v>
      </c>
      <c r="AX239" s="31">
        <v>12476317.08</v>
      </c>
      <c r="AY239" s="31">
        <v>0</v>
      </c>
      <c r="AZ239" s="31">
        <v>76694319.611886233</v>
      </c>
      <c r="BA239" s="31">
        <v>35396383.025498435</v>
      </c>
      <c r="BB239" s="31">
        <v>19714886.226730697</v>
      </c>
      <c r="BC239" s="31">
        <f t="shared" si="19"/>
        <v>714238208.70620286</v>
      </c>
      <c r="BD239" s="31">
        <v>5012258.87</v>
      </c>
    </row>
    <row r="240" spans="2:56">
      <c r="B240" s="42" t="s">
        <v>405</v>
      </c>
      <c r="C240" s="42" t="s">
        <v>406</v>
      </c>
      <c r="D240" s="43" t="s">
        <v>1049</v>
      </c>
      <c r="E240" s="44">
        <v>32</v>
      </c>
      <c r="F240" s="31">
        <v>37197884.830767311</v>
      </c>
      <c r="G240" s="31">
        <v>1524495.74</v>
      </c>
      <c r="H240" s="31">
        <v>570056.01</v>
      </c>
      <c r="I240" s="31">
        <v>132977.16</v>
      </c>
      <c r="J240" s="31">
        <v>6108029.4582347209</v>
      </c>
      <c r="K240" s="31">
        <v>3133936.2588345404</v>
      </c>
      <c r="L240" s="31">
        <v>3161633.2030189871</v>
      </c>
      <c r="M240" s="31">
        <f t="shared" si="16"/>
        <v>52512756.590855554</v>
      </c>
      <c r="N240" s="31">
        <v>683743.92999999993</v>
      </c>
      <c r="P240" s="42" t="s">
        <v>405</v>
      </c>
      <c r="Q240" s="42" t="s">
        <v>406</v>
      </c>
      <c r="R240" s="43" t="s">
        <v>1050</v>
      </c>
      <c r="S240" s="44">
        <v>32</v>
      </c>
      <c r="T240" s="31">
        <v>39183552.545448072</v>
      </c>
      <c r="U240" s="31">
        <v>1597420.17</v>
      </c>
      <c r="V240" s="31">
        <v>591371.32999999996</v>
      </c>
      <c r="W240" s="31">
        <v>138620.11000000002</v>
      </c>
      <c r="X240" s="31">
        <v>6308004.3440031735</v>
      </c>
      <c r="Y240" s="31">
        <v>3136743.7199921515</v>
      </c>
      <c r="Z240" s="31">
        <v>3304439.0401782929</v>
      </c>
      <c r="AA240" s="31">
        <f t="shared" si="17"/>
        <v>54960918.56962169</v>
      </c>
      <c r="AB240" s="31">
        <v>700767.30999999994</v>
      </c>
      <c r="AD240" s="42" t="s">
        <v>405</v>
      </c>
      <c r="AE240" s="42" t="s">
        <v>406</v>
      </c>
      <c r="AF240" s="43" t="s">
        <v>1275</v>
      </c>
      <c r="AG240" s="44">
        <v>32</v>
      </c>
      <c r="AH240" s="31">
        <v>43383654.427289337</v>
      </c>
      <c r="AI240" s="31">
        <v>1755442.8199999998</v>
      </c>
      <c r="AJ240" s="31">
        <v>602958.42999999993</v>
      </c>
      <c r="AK240" s="31">
        <v>152278.35</v>
      </c>
      <c r="AL240" s="31">
        <v>6442593.8951660413</v>
      </c>
      <c r="AM240" s="31">
        <v>3135717.0465872008</v>
      </c>
      <c r="AN240" s="31">
        <v>3368235.3153720582</v>
      </c>
      <c r="AO240" s="31">
        <f t="shared" si="18"/>
        <v>59554147.614414632</v>
      </c>
      <c r="AP240" s="31">
        <v>713267.33</v>
      </c>
      <c r="AR240" s="42" t="s">
        <v>405</v>
      </c>
      <c r="AS240" s="42" t="s">
        <v>406</v>
      </c>
      <c r="AT240" s="43" t="s">
        <v>1276</v>
      </c>
      <c r="AU240" s="44">
        <v>32</v>
      </c>
      <c r="AV240" s="31">
        <v>44312753.150431387</v>
      </c>
      <c r="AW240" s="31">
        <v>1790772.6799999997</v>
      </c>
      <c r="AX240" s="31">
        <v>614119.97999999986</v>
      </c>
      <c r="AY240" s="31">
        <v>155329.41</v>
      </c>
      <c r="AZ240" s="31">
        <v>6568450.7372380635</v>
      </c>
      <c r="BA240" s="31">
        <v>3135876.6558262906</v>
      </c>
      <c r="BB240" s="31">
        <v>3430960.7124373009</v>
      </c>
      <c r="BC240" s="31">
        <f t="shared" si="19"/>
        <v>60734918.175933041</v>
      </c>
      <c r="BD240" s="31">
        <v>726654.85</v>
      </c>
    </row>
    <row r="241" spans="2:56">
      <c r="B241" s="42" t="s">
        <v>589</v>
      </c>
      <c r="C241" s="42" t="s">
        <v>590</v>
      </c>
      <c r="D241" s="43" t="s">
        <v>1049</v>
      </c>
      <c r="E241" s="44">
        <v>32</v>
      </c>
      <c r="F241" s="31">
        <v>28108607.672062058</v>
      </c>
      <c r="G241" s="31">
        <v>1253210.9499999997</v>
      </c>
      <c r="H241" s="31">
        <v>503584.03</v>
      </c>
      <c r="I241" s="31">
        <v>101535.32</v>
      </c>
      <c r="J241" s="31">
        <v>4164286.8609550134</v>
      </c>
      <c r="K241" s="31">
        <v>1466585.2283557919</v>
      </c>
      <c r="L241" s="31">
        <v>3499567.8401930635</v>
      </c>
      <c r="M241" s="31">
        <f t="shared" si="16"/>
        <v>39803935.151565932</v>
      </c>
      <c r="N241" s="31">
        <v>706557.25000000012</v>
      </c>
      <c r="P241" s="42" t="s">
        <v>589</v>
      </c>
      <c r="Q241" s="42" t="s">
        <v>590</v>
      </c>
      <c r="R241" s="43" t="s">
        <v>1050</v>
      </c>
      <c r="S241" s="44">
        <v>32</v>
      </c>
      <c r="T241" s="31">
        <v>29910501.957019404</v>
      </c>
      <c r="U241" s="31">
        <v>1326984.26</v>
      </c>
      <c r="V241" s="31">
        <v>522922.18000000005</v>
      </c>
      <c r="W241" s="31">
        <v>106648.6</v>
      </c>
      <c r="X241" s="31">
        <v>4305504.8071694123</v>
      </c>
      <c r="Y241" s="31">
        <v>1467561.3315707236</v>
      </c>
      <c r="Z241" s="31">
        <v>3659182.2653273866</v>
      </c>
      <c r="AA241" s="31">
        <f t="shared" si="17"/>
        <v>42023232.42108693</v>
      </c>
      <c r="AB241" s="31">
        <v>723927.02</v>
      </c>
      <c r="AD241" s="42" t="s">
        <v>589</v>
      </c>
      <c r="AE241" s="42" t="s">
        <v>590</v>
      </c>
      <c r="AF241" s="43" t="s">
        <v>1275</v>
      </c>
      <c r="AG241" s="44">
        <v>32</v>
      </c>
      <c r="AH241" s="31">
        <v>30694587.490727168</v>
      </c>
      <c r="AI241" s="31">
        <v>1362807.78</v>
      </c>
      <c r="AJ241" s="31">
        <v>533151.17999999993</v>
      </c>
      <c r="AK241" s="31">
        <v>109456.94</v>
      </c>
      <c r="AL241" s="31">
        <v>4385001.9795313906</v>
      </c>
      <c r="AM241" s="31">
        <v>1467229.720841632</v>
      </c>
      <c r="AN241" s="31">
        <v>3729664.7961366209</v>
      </c>
      <c r="AO241" s="31">
        <f t="shared" si="18"/>
        <v>43018581.267236814</v>
      </c>
      <c r="AP241" s="31">
        <v>736681.38000000012</v>
      </c>
      <c r="AR241" s="42" t="s">
        <v>589</v>
      </c>
      <c r="AS241" s="42" t="s">
        <v>590</v>
      </c>
      <c r="AT241" s="43" t="s">
        <v>1276</v>
      </c>
      <c r="AU241" s="44">
        <v>32</v>
      </c>
      <c r="AV241" s="31">
        <v>31379358.300976582</v>
      </c>
      <c r="AW241" s="31">
        <v>1392318.6700000002</v>
      </c>
      <c r="AX241" s="31">
        <v>542887.02</v>
      </c>
      <c r="AY241" s="31">
        <v>111875.92</v>
      </c>
      <c r="AZ241" s="31">
        <v>4465508.8897748226</v>
      </c>
      <c r="BA241" s="31">
        <v>1467282.4918299476</v>
      </c>
      <c r="BB241" s="31">
        <v>3798423.2240253906</v>
      </c>
      <c r="BC241" s="31">
        <f t="shared" si="19"/>
        <v>43907995.836606748</v>
      </c>
      <c r="BD241" s="31">
        <v>750341.32000000007</v>
      </c>
    </row>
    <row r="242" spans="2:56">
      <c r="B242" s="42" t="s">
        <v>359</v>
      </c>
      <c r="C242" s="42" t="s">
        <v>360</v>
      </c>
      <c r="D242" s="43" t="s">
        <v>1049</v>
      </c>
      <c r="E242" s="44">
        <v>32</v>
      </c>
      <c r="F242" s="31">
        <v>2794385.5840173634</v>
      </c>
      <c r="G242" s="31">
        <v>85164.94</v>
      </c>
      <c r="H242" s="31">
        <v>0</v>
      </c>
      <c r="I242" s="31">
        <v>0</v>
      </c>
      <c r="J242" s="31">
        <v>339634.73523737455</v>
      </c>
      <c r="K242" s="31">
        <v>367129.02046780358</v>
      </c>
      <c r="L242" s="31">
        <v>160532.68136006183</v>
      </c>
      <c r="M242" s="31">
        <f t="shared" si="16"/>
        <v>3796542.7510826034</v>
      </c>
      <c r="N242" s="31">
        <v>49695.79</v>
      </c>
      <c r="P242" s="42" t="s">
        <v>359</v>
      </c>
      <c r="Q242" s="42" t="s">
        <v>360</v>
      </c>
      <c r="R242" s="43" t="s">
        <v>1050</v>
      </c>
      <c r="S242" s="44">
        <v>32</v>
      </c>
      <c r="T242" s="31">
        <v>2845120.7115931902</v>
      </c>
      <c r="U242" s="31">
        <v>90538.610000000015</v>
      </c>
      <c r="V242" s="31">
        <v>0</v>
      </c>
      <c r="W242" s="31">
        <v>0</v>
      </c>
      <c r="X242" s="31">
        <v>349652.33433013229</v>
      </c>
      <c r="Y242" s="31">
        <v>367472.2714844154</v>
      </c>
      <c r="Z242" s="31">
        <v>167770.72904130322</v>
      </c>
      <c r="AA242" s="31">
        <f t="shared" si="17"/>
        <v>3871472.1464490411</v>
      </c>
      <c r="AB242" s="31">
        <v>50917.49</v>
      </c>
      <c r="AD242" s="42" t="s">
        <v>359</v>
      </c>
      <c r="AE242" s="42" t="s">
        <v>360</v>
      </c>
      <c r="AF242" s="43" t="s">
        <v>1275</v>
      </c>
      <c r="AG242" s="44">
        <v>32</v>
      </c>
      <c r="AH242" s="31">
        <v>2895127.5726333302</v>
      </c>
      <c r="AI242" s="31">
        <v>91273.799999999988</v>
      </c>
      <c r="AJ242" s="31">
        <v>0</v>
      </c>
      <c r="AK242" s="31">
        <v>0</v>
      </c>
      <c r="AL242" s="31">
        <v>357748.30266973772</v>
      </c>
      <c r="AM242" s="31">
        <v>367355.65910353314</v>
      </c>
      <c r="AN242" s="31">
        <v>171002.32138536609</v>
      </c>
      <c r="AO242" s="31">
        <f t="shared" si="18"/>
        <v>3934322.225791967</v>
      </c>
      <c r="AP242" s="31">
        <v>51814.57</v>
      </c>
      <c r="AR242" s="42" t="s">
        <v>359</v>
      </c>
      <c r="AS242" s="42" t="s">
        <v>360</v>
      </c>
      <c r="AT242" s="43" t="s">
        <v>1276</v>
      </c>
      <c r="AU242" s="44">
        <v>32</v>
      </c>
      <c r="AV242" s="31">
        <v>2955879.5725211268</v>
      </c>
      <c r="AW242" s="31">
        <v>94501.690000000031</v>
      </c>
      <c r="AX242" s="31">
        <v>0</v>
      </c>
      <c r="AY242" s="31">
        <v>0</v>
      </c>
      <c r="AZ242" s="31">
        <v>363136.41920988559</v>
      </c>
      <c r="BA242" s="31">
        <v>367374.21625518455</v>
      </c>
      <c r="BB242" s="31">
        <v>174154.79872065739</v>
      </c>
      <c r="BC242" s="31">
        <f t="shared" si="19"/>
        <v>4007822.0367068541</v>
      </c>
      <c r="BD242" s="31">
        <v>52775.34</v>
      </c>
    </row>
    <row r="243" spans="2:56">
      <c r="B243" s="42" t="s">
        <v>47</v>
      </c>
      <c r="C243" s="42" t="s">
        <v>48</v>
      </c>
      <c r="D243" s="43" t="s">
        <v>1049</v>
      </c>
      <c r="E243" s="44">
        <v>32</v>
      </c>
      <c r="F243" s="31">
        <v>20965881.816185206</v>
      </c>
      <c r="G243" s="31">
        <v>742324.72999999986</v>
      </c>
      <c r="H243" s="31">
        <v>78900.87</v>
      </c>
      <c r="I243" s="31">
        <v>75309.789999999994</v>
      </c>
      <c r="J243" s="31">
        <v>3468020.9466406424</v>
      </c>
      <c r="K243" s="31">
        <v>1313146.1157302801</v>
      </c>
      <c r="L243" s="31">
        <v>2078332.1431228213</v>
      </c>
      <c r="M243" s="31">
        <f t="shared" si="16"/>
        <v>28721916.411678948</v>
      </c>
      <c r="N243" s="31">
        <v>0</v>
      </c>
      <c r="P243" s="42" t="s">
        <v>47</v>
      </c>
      <c r="Q243" s="42" t="s">
        <v>48</v>
      </c>
      <c r="R243" s="43" t="s">
        <v>1050</v>
      </c>
      <c r="S243" s="44">
        <v>32</v>
      </c>
      <c r="T243" s="31">
        <v>22839022.005233023</v>
      </c>
      <c r="U243" s="31">
        <v>806110.58000000007</v>
      </c>
      <c r="V243" s="31">
        <v>81888.91</v>
      </c>
      <c r="W243" s="31">
        <v>81782.42</v>
      </c>
      <c r="X243" s="31">
        <v>3581720.4509553039</v>
      </c>
      <c r="Y243" s="31">
        <v>1314033.6088067112</v>
      </c>
      <c r="Z243" s="31">
        <v>2151721.0375985908</v>
      </c>
      <c r="AA243" s="31">
        <f t="shared" si="17"/>
        <v>30856279.012593634</v>
      </c>
      <c r="AB243" s="31">
        <v>0</v>
      </c>
      <c r="AD243" s="42" t="s">
        <v>47</v>
      </c>
      <c r="AE243" s="42" t="s">
        <v>48</v>
      </c>
      <c r="AF243" s="43" t="s">
        <v>1275</v>
      </c>
      <c r="AG243" s="44">
        <v>32</v>
      </c>
      <c r="AH243" s="31">
        <v>23510322.237112895</v>
      </c>
      <c r="AI243" s="31">
        <v>828950.01000000013</v>
      </c>
      <c r="AJ243" s="31">
        <v>83492.149999999994</v>
      </c>
      <c r="AK243" s="31">
        <v>84035.01</v>
      </c>
      <c r="AL243" s="31">
        <v>3650567.2126447419</v>
      </c>
      <c r="AM243" s="31">
        <v>1313720.3479830329</v>
      </c>
      <c r="AN243" s="31">
        <v>2193211.8326191171</v>
      </c>
      <c r="AO243" s="31">
        <f t="shared" si="18"/>
        <v>31664298.800359786</v>
      </c>
      <c r="AP243" s="31">
        <v>0</v>
      </c>
      <c r="AR243" s="42" t="s">
        <v>47</v>
      </c>
      <c r="AS243" s="42" t="s">
        <v>48</v>
      </c>
      <c r="AT243" s="43" t="s">
        <v>1276</v>
      </c>
      <c r="AU243" s="44">
        <v>32</v>
      </c>
      <c r="AV243" s="31">
        <v>24000387.032889031</v>
      </c>
      <c r="AW243" s="31">
        <v>844859.76</v>
      </c>
      <c r="AX243" s="31">
        <v>85027.76</v>
      </c>
      <c r="AY243" s="31">
        <v>85691.180000000008</v>
      </c>
      <c r="AZ243" s="31">
        <v>3723464.5679125218</v>
      </c>
      <c r="BA243" s="31">
        <v>1313769.5908688244</v>
      </c>
      <c r="BB243" s="31">
        <v>2233862.2052054205</v>
      </c>
      <c r="BC243" s="31">
        <f t="shared" si="19"/>
        <v>32287062.096875802</v>
      </c>
      <c r="BD243" s="31">
        <v>0</v>
      </c>
    </row>
    <row r="244" spans="2:56">
      <c r="B244" s="42" t="s">
        <v>393</v>
      </c>
      <c r="C244" s="42" t="s">
        <v>394</v>
      </c>
      <c r="D244" s="43" t="s">
        <v>1049</v>
      </c>
      <c r="E244" s="44">
        <v>32</v>
      </c>
      <c r="F244" s="31">
        <v>385656.21220553294</v>
      </c>
      <c r="G244" s="31">
        <v>0</v>
      </c>
      <c r="H244" s="31">
        <v>0</v>
      </c>
      <c r="I244" s="31">
        <v>0</v>
      </c>
      <c r="J244" s="31">
        <v>0</v>
      </c>
      <c r="K244" s="31">
        <v>0</v>
      </c>
      <c r="L244" s="31">
        <v>0</v>
      </c>
      <c r="M244" s="31">
        <f t="shared" si="16"/>
        <v>385656.21220553294</v>
      </c>
      <c r="N244" s="31">
        <v>0</v>
      </c>
      <c r="P244" s="42" t="s">
        <v>393</v>
      </c>
      <c r="Q244" s="42" t="s">
        <v>394</v>
      </c>
      <c r="R244" s="43" t="s">
        <v>1050</v>
      </c>
      <c r="S244" s="44">
        <v>32</v>
      </c>
      <c r="T244" s="31">
        <v>402622.42977771012</v>
      </c>
      <c r="U244" s="31">
        <v>0</v>
      </c>
      <c r="V244" s="31">
        <v>0</v>
      </c>
      <c r="W244" s="31">
        <v>0</v>
      </c>
      <c r="X244" s="31">
        <v>0</v>
      </c>
      <c r="Y244" s="31">
        <v>0</v>
      </c>
      <c r="Z244" s="31">
        <v>0</v>
      </c>
      <c r="AA244" s="31">
        <f t="shared" si="17"/>
        <v>402622.42977771012</v>
      </c>
      <c r="AB244" s="31">
        <v>0</v>
      </c>
      <c r="AD244" s="42" t="s">
        <v>393</v>
      </c>
      <c r="AE244" s="42" t="s">
        <v>394</v>
      </c>
      <c r="AF244" s="43" t="s">
        <v>1275</v>
      </c>
      <c r="AG244" s="44">
        <v>32</v>
      </c>
      <c r="AH244" s="31">
        <v>426822.77873140445</v>
      </c>
      <c r="AI244" s="31">
        <v>0</v>
      </c>
      <c r="AJ244" s="31">
        <v>0</v>
      </c>
      <c r="AK244" s="31">
        <v>0</v>
      </c>
      <c r="AL244" s="31">
        <v>0</v>
      </c>
      <c r="AM244" s="31">
        <v>0</v>
      </c>
      <c r="AN244" s="31">
        <v>0</v>
      </c>
      <c r="AO244" s="31">
        <f t="shared" si="18"/>
        <v>426822.77873140445</v>
      </c>
      <c r="AP244" s="31">
        <v>0</v>
      </c>
      <c r="AR244" s="42" t="s">
        <v>393</v>
      </c>
      <c r="AS244" s="42" t="s">
        <v>394</v>
      </c>
      <c r="AT244" s="43" t="s">
        <v>1276</v>
      </c>
      <c r="AU244" s="44">
        <v>32</v>
      </c>
      <c r="AV244" s="31">
        <v>401946.74143127666</v>
      </c>
      <c r="AW244" s="31">
        <v>0</v>
      </c>
      <c r="AX244" s="31">
        <v>0</v>
      </c>
      <c r="AY244" s="31">
        <v>0</v>
      </c>
      <c r="AZ244" s="31">
        <v>0</v>
      </c>
      <c r="BA244" s="31">
        <v>0</v>
      </c>
      <c r="BB244" s="31">
        <v>0</v>
      </c>
      <c r="BC244" s="31">
        <f t="shared" si="19"/>
        <v>401946.74143127666</v>
      </c>
      <c r="BD244" s="31">
        <v>0</v>
      </c>
    </row>
    <row r="245" spans="2:56">
      <c r="B245" s="42" t="s">
        <v>317</v>
      </c>
      <c r="C245" s="42" t="s">
        <v>318</v>
      </c>
      <c r="D245" s="43" t="s">
        <v>1049</v>
      </c>
      <c r="E245" s="44">
        <v>32</v>
      </c>
      <c r="F245" s="31">
        <v>30583704.594515305</v>
      </c>
      <c r="G245" s="31">
        <v>1795090.0099999998</v>
      </c>
      <c r="H245" s="31">
        <v>1329118.8400000001</v>
      </c>
      <c r="I245" s="31">
        <v>120049.43999999999</v>
      </c>
      <c r="J245" s="31">
        <v>5465182.0350810001</v>
      </c>
      <c r="K245" s="31">
        <v>3080770.5080781579</v>
      </c>
      <c r="L245" s="31">
        <v>7001494.2626352645</v>
      </c>
      <c r="M245" s="31">
        <f t="shared" si="16"/>
        <v>50606501.140309736</v>
      </c>
      <c r="N245" s="31">
        <v>1231091.4500000002</v>
      </c>
      <c r="P245" s="42" t="s">
        <v>317</v>
      </c>
      <c r="Q245" s="42" t="s">
        <v>318</v>
      </c>
      <c r="R245" s="43" t="s">
        <v>1050</v>
      </c>
      <c r="S245" s="44">
        <v>32</v>
      </c>
      <c r="T245" s="31">
        <v>32291859.991216362</v>
      </c>
      <c r="U245" s="31">
        <v>1892973.46</v>
      </c>
      <c r="V245" s="31">
        <v>1380158.35</v>
      </c>
      <c r="W245" s="31">
        <v>125468.93000000001</v>
      </c>
      <c r="X245" s="31">
        <v>5646113.0349592809</v>
      </c>
      <c r="Y245" s="31">
        <v>3083927.6286920668</v>
      </c>
      <c r="Z245" s="31">
        <v>7320665.7563323518</v>
      </c>
      <c r="AA245" s="31">
        <f t="shared" si="17"/>
        <v>53002523.341200061</v>
      </c>
      <c r="AB245" s="31">
        <v>1261356.19</v>
      </c>
      <c r="AD245" s="42" t="s">
        <v>317</v>
      </c>
      <c r="AE245" s="42" t="s">
        <v>318</v>
      </c>
      <c r="AF245" s="43" t="s">
        <v>1275</v>
      </c>
      <c r="AG245" s="44">
        <v>32</v>
      </c>
      <c r="AH245" s="31">
        <v>32911650.285795413</v>
      </c>
      <c r="AI245" s="31">
        <v>1932453.23</v>
      </c>
      <c r="AJ245" s="31">
        <v>1407156.0300000003</v>
      </c>
      <c r="AK245" s="31">
        <v>127923.27</v>
      </c>
      <c r="AL245" s="31">
        <v>5750714.5509917149</v>
      </c>
      <c r="AM245" s="31">
        <v>3082855.0627455632</v>
      </c>
      <c r="AN245" s="31">
        <v>7461674.999749586</v>
      </c>
      <c r="AO245" s="31">
        <f t="shared" si="18"/>
        <v>53958006.589282274</v>
      </c>
      <c r="AP245" s="31">
        <v>1283579.1600000001</v>
      </c>
      <c r="AR245" s="42" t="s">
        <v>317</v>
      </c>
      <c r="AS245" s="42" t="s">
        <v>318</v>
      </c>
      <c r="AT245" s="43" t="s">
        <v>1276</v>
      </c>
      <c r="AU245" s="44">
        <v>32</v>
      </c>
      <c r="AV245" s="31">
        <v>33517237.803659938</v>
      </c>
      <c r="AW245" s="31">
        <v>1967380.1600000001</v>
      </c>
      <c r="AX245" s="31">
        <v>1432851.9899999998</v>
      </c>
      <c r="AY245" s="31">
        <v>130259.26999999997</v>
      </c>
      <c r="AZ245" s="31">
        <v>5856648.1889890665</v>
      </c>
      <c r="BA245" s="31">
        <v>3083025.7458992293</v>
      </c>
      <c r="BB245" s="31">
        <v>7599234.8068006048</v>
      </c>
      <c r="BC245" s="31">
        <f t="shared" si="19"/>
        <v>54894017.91534885</v>
      </c>
      <c r="BD245" s="31">
        <v>1307379.9499999997</v>
      </c>
    </row>
    <row r="246" spans="2:56">
      <c r="B246" s="42" t="s">
        <v>213</v>
      </c>
      <c r="C246" s="42" t="s">
        <v>214</v>
      </c>
      <c r="D246" s="43" t="s">
        <v>1049</v>
      </c>
      <c r="E246" s="44">
        <v>32</v>
      </c>
      <c r="F246" s="31">
        <v>85181361.258341745</v>
      </c>
      <c r="G246" s="31">
        <v>1782995.13</v>
      </c>
      <c r="H246" s="31">
        <v>1555205.55</v>
      </c>
      <c r="I246" s="31">
        <v>300012.73999999993</v>
      </c>
      <c r="J246" s="31">
        <v>11196260.081652844</v>
      </c>
      <c r="K246" s="31">
        <v>4175241.9513095766</v>
      </c>
      <c r="L246" s="31">
        <v>4482145.2827807777</v>
      </c>
      <c r="M246" s="31">
        <f t="shared" si="16"/>
        <v>108673221.99408494</v>
      </c>
      <c r="N246" s="31">
        <v>0</v>
      </c>
      <c r="P246" s="42" t="s">
        <v>213</v>
      </c>
      <c r="Q246" s="42" t="s">
        <v>214</v>
      </c>
      <c r="R246" s="43" t="s">
        <v>1050</v>
      </c>
      <c r="S246" s="44">
        <v>32</v>
      </c>
      <c r="T246" s="31">
        <v>89878780.352899656</v>
      </c>
      <c r="U246" s="31">
        <v>1874078.53</v>
      </c>
      <c r="V246" s="31">
        <v>1588487.9300000002</v>
      </c>
      <c r="W246" s="31">
        <v>315332.29000000004</v>
      </c>
      <c r="X246" s="31">
        <v>11418167.734889984</v>
      </c>
      <c r="Y246" s="31">
        <v>4178773.6670333589</v>
      </c>
      <c r="Z246" s="31">
        <v>4580094.945571864</v>
      </c>
      <c r="AA246" s="31">
        <f t="shared" si="17"/>
        <v>113833715.45039488</v>
      </c>
      <c r="AB246" s="31">
        <v>0</v>
      </c>
      <c r="AD246" s="42" t="s">
        <v>213</v>
      </c>
      <c r="AE246" s="42" t="s">
        <v>214</v>
      </c>
      <c r="AF246" s="43" t="s">
        <v>1275</v>
      </c>
      <c r="AG246" s="44">
        <v>32</v>
      </c>
      <c r="AH246" s="31">
        <v>93424842.92538473</v>
      </c>
      <c r="AI246" s="31">
        <v>1949148.64</v>
      </c>
      <c r="AJ246" s="31">
        <v>1619634.3500000003</v>
      </c>
      <c r="AK246" s="31">
        <v>327962.21000000002</v>
      </c>
      <c r="AL246" s="31">
        <v>11618242.582182044</v>
      </c>
      <c r="AM246" s="31">
        <v>4177433.2631457606</v>
      </c>
      <c r="AN246" s="31">
        <v>4668599.2585916463</v>
      </c>
      <c r="AO246" s="31">
        <f t="shared" si="18"/>
        <v>117785863.22930418</v>
      </c>
      <c r="AP246" s="31">
        <v>0</v>
      </c>
      <c r="AR246" s="42" t="s">
        <v>213</v>
      </c>
      <c r="AS246" s="42" t="s">
        <v>214</v>
      </c>
      <c r="AT246" s="43" t="s">
        <v>1276</v>
      </c>
      <c r="AU246" s="44">
        <v>32</v>
      </c>
      <c r="AV246" s="31">
        <v>97189327.969131291</v>
      </c>
      <c r="AW246" s="31">
        <v>2024843.11</v>
      </c>
      <c r="AX246" s="31">
        <v>1649791.0800000003</v>
      </c>
      <c r="AY246" s="31">
        <v>340635.77999999991</v>
      </c>
      <c r="AZ246" s="31">
        <v>11841699.025749214</v>
      </c>
      <c r="BA246" s="31">
        <v>4177639.5611795108</v>
      </c>
      <c r="BB246" s="31">
        <v>4755933.9204154341</v>
      </c>
      <c r="BC246" s="31">
        <f t="shared" si="19"/>
        <v>121979870.44647543</v>
      </c>
      <c r="BD246" s="31">
        <v>0</v>
      </c>
    </row>
    <row r="247" spans="2:56">
      <c r="B247" s="42" t="s">
        <v>415</v>
      </c>
      <c r="C247" s="42" t="s">
        <v>416</v>
      </c>
      <c r="D247" s="43" t="s">
        <v>1049</v>
      </c>
      <c r="E247" s="44">
        <v>32</v>
      </c>
      <c r="F247" s="31">
        <v>700207.42173518077</v>
      </c>
      <c r="G247" s="31">
        <v>26894.190000000002</v>
      </c>
      <c r="H247" s="31">
        <v>0</v>
      </c>
      <c r="I247" s="31">
        <v>0</v>
      </c>
      <c r="J247" s="31">
        <v>86245.725569289018</v>
      </c>
      <c r="K247" s="31">
        <v>86595.467739883927</v>
      </c>
      <c r="L247" s="31">
        <v>0</v>
      </c>
      <c r="M247" s="31">
        <f t="shared" si="16"/>
        <v>919918.57504435373</v>
      </c>
      <c r="N247" s="31">
        <v>19975.769999999997</v>
      </c>
      <c r="P247" s="42" t="s">
        <v>415</v>
      </c>
      <c r="Q247" s="42" t="s">
        <v>416</v>
      </c>
      <c r="R247" s="43" t="s">
        <v>1050</v>
      </c>
      <c r="S247" s="44">
        <v>32</v>
      </c>
      <c r="T247" s="31">
        <v>763256.64671724872</v>
      </c>
      <c r="U247" s="31">
        <v>29012.440000000017</v>
      </c>
      <c r="V247" s="31">
        <v>0</v>
      </c>
      <c r="W247" s="31">
        <v>0</v>
      </c>
      <c r="X247" s="31">
        <v>88086.354938579374</v>
      </c>
      <c r="Y247" s="31">
        <v>86619.877020637461</v>
      </c>
      <c r="Z247" s="31">
        <v>0</v>
      </c>
      <c r="AA247" s="31">
        <f t="shared" si="17"/>
        <v>987442.15867646562</v>
      </c>
      <c r="AB247" s="31">
        <v>20466.839999999997</v>
      </c>
      <c r="AD247" s="42" t="s">
        <v>415</v>
      </c>
      <c r="AE247" s="42" t="s">
        <v>416</v>
      </c>
      <c r="AF247" s="43" t="s">
        <v>1275</v>
      </c>
      <c r="AG247" s="44">
        <v>32</v>
      </c>
      <c r="AH247" s="31">
        <v>764827.53866265365</v>
      </c>
      <c r="AI247" s="31">
        <v>30445.03000000001</v>
      </c>
      <c r="AJ247" s="31">
        <v>0</v>
      </c>
      <c r="AK247" s="31">
        <v>0</v>
      </c>
      <c r="AL247" s="31">
        <v>89297.165230992701</v>
      </c>
      <c r="AM247" s="31">
        <v>86611.584476095595</v>
      </c>
      <c r="AN247" s="31">
        <v>0</v>
      </c>
      <c r="AO247" s="31">
        <f t="shared" si="18"/>
        <v>992008.75836974196</v>
      </c>
      <c r="AP247" s="31">
        <v>20827.439999999999</v>
      </c>
      <c r="AR247" s="42" t="s">
        <v>415</v>
      </c>
      <c r="AS247" s="42" t="s">
        <v>416</v>
      </c>
      <c r="AT247" s="43" t="s">
        <v>1276</v>
      </c>
      <c r="AU247" s="44">
        <v>32</v>
      </c>
      <c r="AV247" s="31">
        <v>719794.42869231559</v>
      </c>
      <c r="AW247" s="31">
        <v>30995.110000000015</v>
      </c>
      <c r="AX247" s="31">
        <v>0</v>
      </c>
      <c r="AY247" s="31">
        <v>0</v>
      </c>
      <c r="AZ247" s="31">
        <v>89811.376443765024</v>
      </c>
      <c r="BA247" s="31">
        <v>86612.904113045588</v>
      </c>
      <c r="BB247" s="31">
        <v>0</v>
      </c>
      <c r="BC247" s="31">
        <f t="shared" si="19"/>
        <v>948427.44924912613</v>
      </c>
      <c r="BD247" s="31">
        <v>21213.629999999997</v>
      </c>
    </row>
    <row r="248" spans="2:56">
      <c r="B248" s="42" t="s">
        <v>197</v>
      </c>
      <c r="C248" s="42" t="s">
        <v>198</v>
      </c>
      <c r="D248" s="43" t="s">
        <v>1049</v>
      </c>
      <c r="E248" s="44">
        <v>32</v>
      </c>
      <c r="F248" s="31">
        <v>2142717.5319007295</v>
      </c>
      <c r="G248" s="31">
        <v>22922.82</v>
      </c>
      <c r="H248" s="31">
        <v>0</v>
      </c>
      <c r="I248" s="31">
        <v>0</v>
      </c>
      <c r="J248" s="31">
        <v>56634.450937427348</v>
      </c>
      <c r="K248" s="31">
        <v>51376.613673667569</v>
      </c>
      <c r="L248" s="31">
        <v>0</v>
      </c>
      <c r="M248" s="31">
        <f t="shared" si="16"/>
        <v>2286185.5465118242</v>
      </c>
      <c r="N248" s="31">
        <v>12534.130000000003</v>
      </c>
      <c r="P248" s="42" t="s">
        <v>197</v>
      </c>
      <c r="Q248" s="42" t="s">
        <v>198</v>
      </c>
      <c r="R248" s="43" t="s">
        <v>1050</v>
      </c>
      <c r="S248" s="44">
        <v>32</v>
      </c>
      <c r="T248" s="31">
        <v>2241528.8062255192</v>
      </c>
      <c r="U248" s="31">
        <v>27783.5</v>
      </c>
      <c r="V248" s="31">
        <v>0</v>
      </c>
      <c r="W248" s="31">
        <v>0</v>
      </c>
      <c r="X248" s="31">
        <v>57957.201070887488</v>
      </c>
      <c r="Y248" s="31">
        <v>51403.332077869774</v>
      </c>
      <c r="Z248" s="31">
        <v>0</v>
      </c>
      <c r="AA248" s="31">
        <f t="shared" si="17"/>
        <v>2391520.7293742765</v>
      </c>
      <c r="AB248" s="31">
        <v>12847.890000000001</v>
      </c>
      <c r="AD248" s="42" t="s">
        <v>197</v>
      </c>
      <c r="AE248" s="42" t="s">
        <v>198</v>
      </c>
      <c r="AF248" s="43" t="s">
        <v>1275</v>
      </c>
      <c r="AG248" s="44">
        <v>32</v>
      </c>
      <c r="AH248" s="31">
        <v>2287567.7529355641</v>
      </c>
      <c r="AI248" s="31">
        <v>28946.730000000003</v>
      </c>
      <c r="AJ248" s="31">
        <v>0</v>
      </c>
      <c r="AK248" s="31">
        <v>0</v>
      </c>
      <c r="AL248" s="31">
        <v>58266.432253288061</v>
      </c>
      <c r="AM248" s="31">
        <v>51393.234521723345</v>
      </c>
      <c r="AN248" s="31">
        <v>0</v>
      </c>
      <c r="AO248" s="31">
        <f t="shared" si="18"/>
        <v>2439252.4397105756</v>
      </c>
      <c r="AP248" s="31">
        <v>13078.29</v>
      </c>
      <c r="AR248" s="42" t="s">
        <v>197</v>
      </c>
      <c r="AS248" s="42" t="s">
        <v>198</v>
      </c>
      <c r="AT248" s="43" t="s">
        <v>1276</v>
      </c>
      <c r="AU248" s="44">
        <v>32</v>
      </c>
      <c r="AV248" s="31">
        <v>2327375.5683527733</v>
      </c>
      <c r="AW248" s="31">
        <v>28874.390000000003</v>
      </c>
      <c r="AX248" s="31">
        <v>0</v>
      </c>
      <c r="AY248" s="31">
        <v>0</v>
      </c>
      <c r="AZ248" s="31">
        <v>59657.494556605918</v>
      </c>
      <c r="BA248" s="31">
        <v>51394.788610008203</v>
      </c>
      <c r="BB248" s="31">
        <v>0</v>
      </c>
      <c r="BC248" s="31">
        <f t="shared" si="19"/>
        <v>2480627.2715193871</v>
      </c>
      <c r="BD248" s="31">
        <v>13325.030000000002</v>
      </c>
    </row>
    <row r="249" spans="2:56">
      <c r="B249" s="42" t="s">
        <v>439</v>
      </c>
      <c r="C249" s="42" t="s">
        <v>440</v>
      </c>
      <c r="D249" s="43" t="s">
        <v>1049</v>
      </c>
      <c r="E249" s="44">
        <v>32</v>
      </c>
      <c r="F249" s="31">
        <v>85855845.537386566</v>
      </c>
      <c r="G249" s="31">
        <v>1310678.54</v>
      </c>
      <c r="H249" s="31">
        <v>732549.27</v>
      </c>
      <c r="I249" s="31">
        <v>305400.81999999995</v>
      </c>
      <c r="J249" s="31">
        <v>12091594.498744344</v>
      </c>
      <c r="K249" s="31">
        <v>5933475.7636761786</v>
      </c>
      <c r="L249" s="31">
        <v>5455262.0614047665</v>
      </c>
      <c r="M249" s="31">
        <f t="shared" si="16"/>
        <v>111684806.49121185</v>
      </c>
      <c r="N249" s="31">
        <v>0</v>
      </c>
      <c r="P249" s="42" t="s">
        <v>439</v>
      </c>
      <c r="Q249" s="42" t="s">
        <v>440</v>
      </c>
      <c r="R249" s="43" t="s">
        <v>1050</v>
      </c>
      <c r="S249" s="44">
        <v>32</v>
      </c>
      <c r="T249" s="31">
        <v>86610975.498283431</v>
      </c>
      <c r="U249" s="31">
        <v>1323739.9400000002</v>
      </c>
      <c r="V249" s="31">
        <v>748226.29000000015</v>
      </c>
      <c r="W249" s="31">
        <v>308540.90000000002</v>
      </c>
      <c r="X249" s="31">
        <v>12295629.613513244</v>
      </c>
      <c r="Y249" s="31">
        <v>5937478.8813336771</v>
      </c>
      <c r="Z249" s="31">
        <v>5574476.6224184036</v>
      </c>
      <c r="AA249" s="31">
        <f t="shared" si="17"/>
        <v>112799067.74554877</v>
      </c>
      <c r="AB249" s="31">
        <v>0</v>
      </c>
      <c r="AD249" s="42" t="s">
        <v>439</v>
      </c>
      <c r="AE249" s="42" t="s">
        <v>440</v>
      </c>
      <c r="AF249" s="43" t="s">
        <v>1275</v>
      </c>
      <c r="AG249" s="44">
        <v>32</v>
      </c>
      <c r="AH249" s="31">
        <v>88279808.125208989</v>
      </c>
      <c r="AI249" s="31">
        <v>1349695.2799999998</v>
      </c>
      <c r="AJ249" s="31">
        <v>762897.21000000008</v>
      </c>
      <c r="AK249" s="31">
        <v>314590.64</v>
      </c>
      <c r="AL249" s="31">
        <v>12525230.548620265</v>
      </c>
      <c r="AM249" s="31">
        <v>5935959.5646926202</v>
      </c>
      <c r="AN249" s="31">
        <v>5682196.2514213193</v>
      </c>
      <c r="AO249" s="31">
        <f t="shared" si="18"/>
        <v>114850377.61994319</v>
      </c>
      <c r="AP249" s="31">
        <v>0</v>
      </c>
      <c r="AR249" s="42" t="s">
        <v>439</v>
      </c>
      <c r="AS249" s="42" t="s">
        <v>440</v>
      </c>
      <c r="AT249" s="43" t="s">
        <v>1276</v>
      </c>
      <c r="AU249" s="44">
        <v>32</v>
      </c>
      <c r="AV249" s="31">
        <v>89927110.647716135</v>
      </c>
      <c r="AW249" s="31">
        <v>1374825.9099999997</v>
      </c>
      <c r="AX249" s="31">
        <v>777101.96000000008</v>
      </c>
      <c r="AY249" s="31">
        <v>320448.15999999997</v>
      </c>
      <c r="AZ249" s="31">
        <v>12759362.414852448</v>
      </c>
      <c r="BA249" s="31">
        <v>5936193.3987172702</v>
      </c>
      <c r="BB249" s="31">
        <v>5788492.383358839</v>
      </c>
      <c r="BC249" s="31">
        <f t="shared" si="19"/>
        <v>116883534.87464468</v>
      </c>
      <c r="BD249" s="31">
        <v>0</v>
      </c>
    </row>
    <row r="250" spans="2:56">
      <c r="B250" s="42" t="s">
        <v>209</v>
      </c>
      <c r="C250" s="42" t="s">
        <v>210</v>
      </c>
      <c r="D250" s="43" t="s">
        <v>1049</v>
      </c>
      <c r="E250" s="44">
        <v>32</v>
      </c>
      <c r="F250" s="31">
        <v>64863921.017356321</v>
      </c>
      <c r="G250" s="31">
        <v>542468.77</v>
      </c>
      <c r="H250" s="31">
        <v>498542.79</v>
      </c>
      <c r="I250" s="31">
        <v>230696.01999999996</v>
      </c>
      <c r="J250" s="31">
        <v>7205361.7576231575</v>
      </c>
      <c r="K250" s="31">
        <v>3799938.7519027176</v>
      </c>
      <c r="L250" s="31">
        <v>4505042.7153187245</v>
      </c>
      <c r="M250" s="31">
        <f t="shared" si="16"/>
        <v>81645971.822200924</v>
      </c>
      <c r="N250" s="31">
        <v>0</v>
      </c>
      <c r="P250" s="42" t="s">
        <v>209</v>
      </c>
      <c r="Q250" s="42" t="s">
        <v>210</v>
      </c>
      <c r="R250" s="43" t="s">
        <v>1050</v>
      </c>
      <c r="S250" s="44">
        <v>32</v>
      </c>
      <c r="T250" s="31">
        <v>68673079.171241626</v>
      </c>
      <c r="U250" s="31">
        <v>574694</v>
      </c>
      <c r="V250" s="31">
        <v>516966.99</v>
      </c>
      <c r="W250" s="31">
        <v>244373.75</v>
      </c>
      <c r="X250" s="31">
        <v>7431029.6085569169</v>
      </c>
      <c r="Y250" s="31">
        <v>3803461.4931310806</v>
      </c>
      <c r="Z250" s="31">
        <v>4661568.0487235179</v>
      </c>
      <c r="AA250" s="31">
        <f t="shared" si="17"/>
        <v>85905173.061653137</v>
      </c>
      <c r="AB250" s="31">
        <v>0</v>
      </c>
      <c r="AD250" s="42" t="s">
        <v>209</v>
      </c>
      <c r="AE250" s="42" t="s">
        <v>210</v>
      </c>
      <c r="AF250" s="43" t="s">
        <v>1275</v>
      </c>
      <c r="AG250" s="44">
        <v>32</v>
      </c>
      <c r="AH250" s="31">
        <v>70510963.819155797</v>
      </c>
      <c r="AI250" s="31">
        <v>590976.71999999986</v>
      </c>
      <c r="AJ250" s="31">
        <v>527103.47000000009</v>
      </c>
      <c r="AK250" s="31">
        <v>251194.93999999997</v>
      </c>
      <c r="AL250" s="31">
        <v>7559315.0731401984</v>
      </c>
      <c r="AM250" s="31">
        <v>3802130.160725391</v>
      </c>
      <c r="AN250" s="31">
        <v>4751646.6808733093</v>
      </c>
      <c r="AO250" s="31">
        <f t="shared" si="18"/>
        <v>87993330.863894686</v>
      </c>
      <c r="AP250" s="31">
        <v>0</v>
      </c>
      <c r="AR250" s="42" t="s">
        <v>209</v>
      </c>
      <c r="AS250" s="42" t="s">
        <v>210</v>
      </c>
      <c r="AT250" s="43" t="s">
        <v>1276</v>
      </c>
      <c r="AU250" s="44">
        <v>32</v>
      </c>
      <c r="AV250" s="31">
        <v>72485531.076537877</v>
      </c>
      <c r="AW250" s="31">
        <v>604655.84</v>
      </c>
      <c r="AX250" s="31">
        <v>536917.86</v>
      </c>
      <c r="AY250" s="31">
        <v>257088.18</v>
      </c>
      <c r="AZ250" s="31">
        <v>7732238.6582836099</v>
      </c>
      <c r="BA250" s="31">
        <v>3802335.0625912407</v>
      </c>
      <c r="BB250" s="31">
        <v>4840534.8781236941</v>
      </c>
      <c r="BC250" s="31">
        <f t="shared" si="19"/>
        <v>90259301.555536434</v>
      </c>
      <c r="BD250" s="31">
        <v>0</v>
      </c>
    </row>
    <row r="251" spans="2:56">
      <c r="B251" s="42" t="s">
        <v>129</v>
      </c>
      <c r="C251" s="42" t="s">
        <v>130</v>
      </c>
      <c r="D251" s="43" t="s">
        <v>1049</v>
      </c>
      <c r="E251" s="44">
        <v>32</v>
      </c>
      <c r="F251" s="31">
        <v>4959821.2148148557</v>
      </c>
      <c r="G251" s="31">
        <v>274398.70999999996</v>
      </c>
      <c r="H251" s="31">
        <v>156298.14000000001</v>
      </c>
      <c r="I251" s="31">
        <v>15493.390000000001</v>
      </c>
      <c r="J251" s="31">
        <v>691724.8891853739</v>
      </c>
      <c r="K251" s="31">
        <v>359194.44337709708</v>
      </c>
      <c r="L251" s="31">
        <v>246344.5105411355</v>
      </c>
      <c r="M251" s="31">
        <f t="shared" si="16"/>
        <v>6861327.4179184614</v>
      </c>
      <c r="N251" s="31">
        <v>158052.12000000002</v>
      </c>
      <c r="P251" s="42" t="s">
        <v>129</v>
      </c>
      <c r="Q251" s="42" t="s">
        <v>130</v>
      </c>
      <c r="R251" s="43" t="s">
        <v>1050</v>
      </c>
      <c r="S251" s="44">
        <v>32</v>
      </c>
      <c r="T251" s="31">
        <v>5036785.6143867327</v>
      </c>
      <c r="U251" s="31">
        <v>279024.99</v>
      </c>
      <c r="V251" s="31">
        <v>162300.15</v>
      </c>
      <c r="W251" s="31">
        <v>15683.630000000001</v>
      </c>
      <c r="X251" s="31">
        <v>714054.90404272266</v>
      </c>
      <c r="Y251" s="31">
        <v>359487.76827475033</v>
      </c>
      <c r="Z251" s="31">
        <v>257527.93455164004</v>
      </c>
      <c r="AA251" s="31">
        <f t="shared" si="17"/>
        <v>6986802.6112558469</v>
      </c>
      <c r="AB251" s="31">
        <v>161937.62000000002</v>
      </c>
      <c r="AD251" s="42" t="s">
        <v>129</v>
      </c>
      <c r="AE251" s="42" t="s">
        <v>130</v>
      </c>
      <c r="AF251" s="43" t="s">
        <v>1275</v>
      </c>
      <c r="AG251" s="44">
        <v>32</v>
      </c>
      <c r="AH251" s="31">
        <v>5133346.6054050773</v>
      </c>
      <c r="AI251" s="31">
        <v>284797.73</v>
      </c>
      <c r="AJ251" s="31">
        <v>165474.93</v>
      </c>
      <c r="AK251" s="31">
        <v>15990.42</v>
      </c>
      <c r="AL251" s="31">
        <v>727281.76172467601</v>
      </c>
      <c r="AM251" s="31">
        <v>359388.11725251877</v>
      </c>
      <c r="AN251" s="31">
        <v>262488.25780024647</v>
      </c>
      <c r="AO251" s="31">
        <f t="shared" si="18"/>
        <v>7113558.5021825181</v>
      </c>
      <c r="AP251" s="31">
        <v>164790.68000000002</v>
      </c>
      <c r="AR251" s="42" t="s">
        <v>129</v>
      </c>
      <c r="AS251" s="42" t="s">
        <v>130</v>
      </c>
      <c r="AT251" s="43" t="s">
        <v>1276</v>
      </c>
      <c r="AU251" s="44">
        <v>32</v>
      </c>
      <c r="AV251" s="31">
        <v>5227625.4527534517</v>
      </c>
      <c r="AW251" s="31">
        <v>289952</v>
      </c>
      <c r="AX251" s="31">
        <v>168496.66999999995</v>
      </c>
      <c r="AY251" s="31">
        <v>16282.42</v>
      </c>
      <c r="AZ251" s="31">
        <v>740675.48817458283</v>
      </c>
      <c r="BA251" s="31">
        <v>359403.97525248223</v>
      </c>
      <c r="BB251" s="31">
        <v>267327.20847418386</v>
      </c>
      <c r="BC251" s="31">
        <f t="shared" si="19"/>
        <v>7237609.5346547002</v>
      </c>
      <c r="BD251" s="31">
        <v>167846.32</v>
      </c>
    </row>
    <row r="252" spans="2:56">
      <c r="B252" s="42" t="s">
        <v>347</v>
      </c>
      <c r="C252" s="42" t="s">
        <v>348</v>
      </c>
      <c r="D252" s="43" t="s">
        <v>1049</v>
      </c>
      <c r="E252" s="44">
        <v>32</v>
      </c>
      <c r="F252" s="31">
        <v>4972758.6528821643</v>
      </c>
      <c r="G252" s="31">
        <v>241170.74000000002</v>
      </c>
      <c r="H252" s="31">
        <v>134081.19999999998</v>
      </c>
      <c r="I252" s="31">
        <v>0</v>
      </c>
      <c r="J252" s="31">
        <v>696289.58867765113</v>
      </c>
      <c r="K252" s="31">
        <v>479754.04803993308</v>
      </c>
      <c r="L252" s="31">
        <v>376650.57501439704</v>
      </c>
      <c r="M252" s="31">
        <f t="shared" si="16"/>
        <v>7049889.6446141452</v>
      </c>
      <c r="N252" s="31">
        <v>149184.84</v>
      </c>
      <c r="P252" s="42" t="s">
        <v>347</v>
      </c>
      <c r="Q252" s="42" t="s">
        <v>348</v>
      </c>
      <c r="R252" s="43" t="s">
        <v>1050</v>
      </c>
      <c r="S252" s="44">
        <v>32</v>
      </c>
      <c r="T252" s="31">
        <v>5019854.4786300147</v>
      </c>
      <c r="U252" s="31">
        <v>249963.65999999995</v>
      </c>
      <c r="V252" s="31">
        <v>139230.04999999999</v>
      </c>
      <c r="W252" s="31">
        <v>0</v>
      </c>
      <c r="X252" s="31">
        <v>717854.10620910046</v>
      </c>
      <c r="Y252" s="31">
        <v>480159.7183037402</v>
      </c>
      <c r="Z252" s="31">
        <v>393690.99813783163</v>
      </c>
      <c r="AA252" s="31">
        <f t="shared" si="17"/>
        <v>7153605.3612806862</v>
      </c>
      <c r="AB252" s="31">
        <v>152852.35</v>
      </c>
      <c r="AD252" s="42" t="s">
        <v>347</v>
      </c>
      <c r="AE252" s="42" t="s">
        <v>348</v>
      </c>
      <c r="AF252" s="43" t="s">
        <v>1275</v>
      </c>
      <c r="AG252" s="44">
        <v>32</v>
      </c>
      <c r="AH252" s="31">
        <v>5051608.1225775136</v>
      </c>
      <c r="AI252" s="31">
        <v>248238.30000000002</v>
      </c>
      <c r="AJ252" s="31">
        <v>141953.57</v>
      </c>
      <c r="AK252" s="31">
        <v>0</v>
      </c>
      <c r="AL252" s="31">
        <v>732260.82751516625</v>
      </c>
      <c r="AM252" s="31">
        <v>480021.90028419677</v>
      </c>
      <c r="AN252" s="31">
        <v>401274.02477706742</v>
      </c>
      <c r="AO252" s="31">
        <f t="shared" si="18"/>
        <v>7210902.0851539448</v>
      </c>
      <c r="AP252" s="31">
        <v>155545.34</v>
      </c>
      <c r="AR252" s="42" t="s">
        <v>347</v>
      </c>
      <c r="AS252" s="42" t="s">
        <v>348</v>
      </c>
      <c r="AT252" s="43" t="s">
        <v>1276</v>
      </c>
      <c r="AU252" s="44">
        <v>32</v>
      </c>
      <c r="AV252" s="31">
        <v>5108575.6910568876</v>
      </c>
      <c r="AW252" s="31">
        <v>250311.46000000008</v>
      </c>
      <c r="AX252" s="31">
        <v>144545.77000000002</v>
      </c>
      <c r="AY252" s="31">
        <v>0</v>
      </c>
      <c r="AZ252" s="31">
        <v>744004.64985854935</v>
      </c>
      <c r="BA252" s="31">
        <v>480043.83200250677</v>
      </c>
      <c r="BB252" s="31">
        <v>408671.55013540894</v>
      </c>
      <c r="BC252" s="31">
        <f t="shared" si="19"/>
        <v>7294582.4930533515</v>
      </c>
      <c r="BD252" s="31">
        <v>158429.53999999998</v>
      </c>
    </row>
    <row r="253" spans="2:56">
      <c r="B253" s="42" t="s">
        <v>235</v>
      </c>
      <c r="C253" s="42" t="s">
        <v>236</v>
      </c>
      <c r="D253" s="43" t="s">
        <v>1049</v>
      </c>
      <c r="E253" s="44">
        <v>32</v>
      </c>
      <c r="F253" s="31">
        <v>85289799.398860872</v>
      </c>
      <c r="G253" s="31">
        <v>2598971.94</v>
      </c>
      <c r="H253" s="31">
        <v>429096.86000000004</v>
      </c>
      <c r="I253" s="31">
        <v>313918.23</v>
      </c>
      <c r="J253" s="31">
        <v>14160153.424608892</v>
      </c>
      <c r="K253" s="31">
        <v>5783254.8153874511</v>
      </c>
      <c r="L253" s="31">
        <v>8826506.843074888</v>
      </c>
      <c r="M253" s="31">
        <f t="shared" si="16"/>
        <v>117610378.10193211</v>
      </c>
      <c r="N253" s="31">
        <v>208676.59</v>
      </c>
      <c r="P253" s="42" t="s">
        <v>235</v>
      </c>
      <c r="Q253" s="42" t="s">
        <v>236</v>
      </c>
      <c r="R253" s="43" t="s">
        <v>1050</v>
      </c>
      <c r="S253" s="44">
        <v>32</v>
      </c>
      <c r="T253" s="31">
        <v>88959919.182942241</v>
      </c>
      <c r="U253" s="31">
        <v>2712730.04</v>
      </c>
      <c r="V253" s="31">
        <v>444954.61</v>
      </c>
      <c r="W253" s="31">
        <v>327392.92</v>
      </c>
      <c r="X253" s="31">
        <v>14623339.451071138</v>
      </c>
      <c r="Y253" s="31">
        <v>5789030.7934514247</v>
      </c>
      <c r="Z253" s="31">
        <v>9133179.2664895114</v>
      </c>
      <c r="AA253" s="31">
        <f t="shared" si="17"/>
        <v>122204446.57395433</v>
      </c>
      <c r="AB253" s="31">
        <v>213900.31000000003</v>
      </c>
      <c r="AD253" s="42" t="s">
        <v>235</v>
      </c>
      <c r="AE253" s="42" t="s">
        <v>236</v>
      </c>
      <c r="AF253" s="43" t="s">
        <v>1275</v>
      </c>
      <c r="AG253" s="44">
        <v>32</v>
      </c>
      <c r="AH253" s="31">
        <v>98230332.76697436</v>
      </c>
      <c r="AI253" s="31">
        <v>2975090.2700000005</v>
      </c>
      <c r="AJ253" s="31">
        <v>453679.07</v>
      </c>
      <c r="AK253" s="31">
        <v>359003.42000000004</v>
      </c>
      <c r="AL253" s="31">
        <v>14902058.758967381</v>
      </c>
      <c r="AM253" s="31">
        <v>5786847.9062415417</v>
      </c>
      <c r="AN253" s="31">
        <v>9309666.0318911076</v>
      </c>
      <c r="AO253" s="31">
        <f t="shared" si="18"/>
        <v>132234414.23407438</v>
      </c>
      <c r="AP253" s="31">
        <v>217736.00999999998</v>
      </c>
      <c r="AR253" s="42" t="s">
        <v>235</v>
      </c>
      <c r="AS253" s="42" t="s">
        <v>236</v>
      </c>
      <c r="AT253" s="43" t="s">
        <v>1276</v>
      </c>
      <c r="AU253" s="44">
        <v>32</v>
      </c>
      <c r="AV253" s="31">
        <v>102006747.59283221</v>
      </c>
      <c r="AW253" s="31">
        <v>3084061.97</v>
      </c>
      <c r="AX253" s="31">
        <v>462126.34</v>
      </c>
      <c r="AY253" s="31">
        <v>372133.33</v>
      </c>
      <c r="AZ253" s="31">
        <v>15182551.863902522</v>
      </c>
      <c r="BA253" s="31">
        <v>5787183.8686656021</v>
      </c>
      <c r="BB253" s="31">
        <v>9483820.4722588137</v>
      </c>
      <c r="BC253" s="31">
        <f t="shared" si="19"/>
        <v>136600469.48765916</v>
      </c>
      <c r="BD253" s="31">
        <v>221844.05</v>
      </c>
    </row>
    <row r="254" spans="2:56">
      <c r="B254" s="42" t="s">
        <v>171</v>
      </c>
      <c r="C254" s="42" t="s">
        <v>172</v>
      </c>
      <c r="D254" s="43" t="s">
        <v>1049</v>
      </c>
      <c r="E254" s="44">
        <v>32</v>
      </c>
      <c r="F254" s="31">
        <v>11111683.18512262</v>
      </c>
      <c r="G254" s="31">
        <v>262608.57999999996</v>
      </c>
      <c r="H254" s="31">
        <v>8265.56</v>
      </c>
      <c r="I254" s="31">
        <v>40265.07</v>
      </c>
      <c r="J254" s="31">
        <v>1694261.9335738861</v>
      </c>
      <c r="K254" s="31">
        <v>898693.91896110936</v>
      </c>
      <c r="L254" s="31">
        <v>614274.19545904081</v>
      </c>
      <c r="M254" s="31">
        <f t="shared" si="16"/>
        <v>14645284.683116658</v>
      </c>
      <c r="N254" s="31">
        <v>15232.24</v>
      </c>
      <c r="P254" s="42" t="s">
        <v>171</v>
      </c>
      <c r="Q254" s="42" t="s">
        <v>172</v>
      </c>
      <c r="R254" s="43" t="s">
        <v>1050</v>
      </c>
      <c r="S254" s="44">
        <v>32</v>
      </c>
      <c r="T254" s="31">
        <v>10954005.14625757</v>
      </c>
      <c r="U254" s="31">
        <v>259042.63000000003</v>
      </c>
      <c r="V254" s="31">
        <v>8444.0099999999984</v>
      </c>
      <c r="W254" s="31">
        <v>39686.810000000005</v>
      </c>
      <c r="X254" s="31">
        <v>1726860.4035568584</v>
      </c>
      <c r="Y254" s="31">
        <v>899551.05157807306</v>
      </c>
      <c r="Z254" s="31">
        <v>627765.45199658419</v>
      </c>
      <c r="AA254" s="31">
        <f t="shared" si="17"/>
        <v>14530742.903389087</v>
      </c>
      <c r="AB254" s="31">
        <v>15387.4</v>
      </c>
      <c r="AD254" s="42" t="s">
        <v>171</v>
      </c>
      <c r="AE254" s="42" t="s">
        <v>172</v>
      </c>
      <c r="AF254" s="43" t="s">
        <v>1275</v>
      </c>
      <c r="AG254" s="44">
        <v>32</v>
      </c>
      <c r="AH254" s="31">
        <v>10599841.381601514</v>
      </c>
      <c r="AI254" s="31">
        <v>251726.58</v>
      </c>
      <c r="AJ254" s="31">
        <v>8609.65</v>
      </c>
      <c r="AK254" s="31">
        <v>38620.39</v>
      </c>
      <c r="AL254" s="31">
        <v>1757949.2649836061</v>
      </c>
      <c r="AM254" s="31">
        <v>899225.74116754683</v>
      </c>
      <c r="AN254" s="31">
        <v>639902.85627368919</v>
      </c>
      <c r="AO254" s="31">
        <f t="shared" si="18"/>
        <v>14211540.094026357</v>
      </c>
      <c r="AP254" s="31">
        <v>15664.23</v>
      </c>
      <c r="AR254" s="42" t="s">
        <v>171</v>
      </c>
      <c r="AS254" s="42" t="s">
        <v>172</v>
      </c>
      <c r="AT254" s="43" t="s">
        <v>1276</v>
      </c>
      <c r="AU254" s="44">
        <v>32</v>
      </c>
      <c r="AV254" s="31">
        <v>10395310.731740916</v>
      </c>
      <c r="AW254" s="31">
        <v>246277.91</v>
      </c>
      <c r="AX254" s="31">
        <v>8770.5400000000009</v>
      </c>
      <c r="AY254" s="31">
        <v>37713.25</v>
      </c>
      <c r="AZ254" s="31">
        <v>1798840.7796957127</v>
      </c>
      <c r="BA254" s="31">
        <v>899275.80883645685</v>
      </c>
      <c r="BB254" s="31">
        <v>651899.30273042875</v>
      </c>
      <c r="BC254" s="31">
        <f t="shared" si="19"/>
        <v>14054049.033003513</v>
      </c>
      <c r="BD254" s="31">
        <v>15960.71</v>
      </c>
    </row>
    <row r="255" spans="2:56">
      <c r="B255" s="42" t="s">
        <v>313</v>
      </c>
      <c r="C255" s="42" t="s">
        <v>314</v>
      </c>
      <c r="D255" s="43" t="s">
        <v>1049</v>
      </c>
      <c r="E255" s="44">
        <v>32</v>
      </c>
      <c r="F255" s="31">
        <v>1811518.8183496073</v>
      </c>
      <c r="G255" s="31">
        <v>55152.590000000004</v>
      </c>
      <c r="H255" s="31">
        <v>0</v>
      </c>
      <c r="I255" s="31">
        <v>5651.6799999999994</v>
      </c>
      <c r="J255" s="31">
        <v>249207.61886518804</v>
      </c>
      <c r="K255" s="31">
        <v>95006.49304109544</v>
      </c>
      <c r="L255" s="31">
        <v>0</v>
      </c>
      <c r="M255" s="31">
        <f t="shared" si="16"/>
        <v>2216537.2002558908</v>
      </c>
      <c r="N255" s="31">
        <v>0</v>
      </c>
      <c r="P255" s="42" t="s">
        <v>313</v>
      </c>
      <c r="Q255" s="42" t="s">
        <v>314</v>
      </c>
      <c r="R255" s="43" t="s">
        <v>1050</v>
      </c>
      <c r="S255" s="44">
        <v>32</v>
      </c>
      <c r="T255" s="31">
        <v>1829688.7011047755</v>
      </c>
      <c r="U255" s="31">
        <v>56157.469999999994</v>
      </c>
      <c r="V255" s="31">
        <v>0</v>
      </c>
      <c r="W255" s="31">
        <v>5666.35</v>
      </c>
      <c r="X255" s="31">
        <v>255356.14097017705</v>
      </c>
      <c r="Y255" s="31">
        <v>95091.560540009901</v>
      </c>
      <c r="Z255" s="31">
        <v>0</v>
      </c>
      <c r="AA255" s="31">
        <f t="shared" si="17"/>
        <v>2241960.2226149626</v>
      </c>
      <c r="AB255" s="31">
        <v>0</v>
      </c>
      <c r="AD255" s="42" t="s">
        <v>313</v>
      </c>
      <c r="AE255" s="42" t="s">
        <v>314</v>
      </c>
      <c r="AF255" s="43" t="s">
        <v>1275</v>
      </c>
      <c r="AG255" s="44">
        <v>32</v>
      </c>
      <c r="AH255" s="31">
        <v>1864890.1104908437</v>
      </c>
      <c r="AI255" s="31">
        <v>57255.98</v>
      </c>
      <c r="AJ255" s="31">
        <v>0</v>
      </c>
      <c r="AK255" s="31">
        <v>5777.17</v>
      </c>
      <c r="AL255" s="31">
        <v>260081.80177357412</v>
      </c>
      <c r="AM255" s="31">
        <v>95062.660629728387</v>
      </c>
      <c r="AN255" s="31">
        <v>0</v>
      </c>
      <c r="AO255" s="31">
        <f t="shared" si="18"/>
        <v>2283067.7228941461</v>
      </c>
      <c r="AP255" s="31">
        <v>0</v>
      </c>
      <c r="AR255" s="42" t="s">
        <v>313</v>
      </c>
      <c r="AS255" s="42" t="s">
        <v>314</v>
      </c>
      <c r="AT255" s="43" t="s">
        <v>1276</v>
      </c>
      <c r="AU255" s="44">
        <v>32</v>
      </c>
      <c r="AV255" s="31">
        <v>1899119.8353426026</v>
      </c>
      <c r="AW255" s="31">
        <v>58301.539999999994</v>
      </c>
      <c r="AX255" s="31">
        <v>0</v>
      </c>
      <c r="AY255" s="31">
        <v>5882.67</v>
      </c>
      <c r="AZ255" s="31">
        <v>264863.4354573774</v>
      </c>
      <c r="BA255" s="31">
        <v>95067.259626968211</v>
      </c>
      <c r="BB255" s="31">
        <v>0</v>
      </c>
      <c r="BC255" s="31">
        <f t="shared" si="19"/>
        <v>2323234.7404269483</v>
      </c>
      <c r="BD255" s="31">
        <v>0</v>
      </c>
    </row>
    <row r="256" spans="2:56">
      <c r="B256" s="42" t="s">
        <v>479</v>
      </c>
      <c r="C256" s="42" t="s">
        <v>480</v>
      </c>
      <c r="D256" s="43" t="s">
        <v>1049</v>
      </c>
      <c r="E256" s="44">
        <v>32</v>
      </c>
      <c r="F256" s="31">
        <v>7565534.742260335</v>
      </c>
      <c r="G256" s="31">
        <v>221638.13000000003</v>
      </c>
      <c r="H256" s="31">
        <v>23808.190000000002</v>
      </c>
      <c r="I256" s="31">
        <v>19672.019999999993</v>
      </c>
      <c r="J256" s="31">
        <v>757414.07313052251</v>
      </c>
      <c r="K256" s="31">
        <v>338534.88</v>
      </c>
      <c r="L256" s="31">
        <v>0</v>
      </c>
      <c r="M256" s="31">
        <f t="shared" si="16"/>
        <v>8926602.0353908576</v>
      </c>
      <c r="N256" s="31">
        <v>0</v>
      </c>
      <c r="P256" s="42" t="s">
        <v>479</v>
      </c>
      <c r="Q256" s="42" t="s">
        <v>480</v>
      </c>
      <c r="R256" s="43" t="s">
        <v>1050</v>
      </c>
      <c r="S256" s="44">
        <v>32</v>
      </c>
      <c r="T256" s="31">
        <v>8495717.0572547354</v>
      </c>
      <c r="U256" s="31">
        <v>267689.40999999997</v>
      </c>
      <c r="V256" s="31">
        <v>24505.320000000003</v>
      </c>
      <c r="W256" s="31">
        <v>23778.460000000006</v>
      </c>
      <c r="X256" s="31">
        <v>770652.5174199586</v>
      </c>
      <c r="Y256" s="31">
        <v>338534.88</v>
      </c>
      <c r="Z256" s="31">
        <v>0</v>
      </c>
      <c r="AA256" s="31">
        <f t="shared" si="17"/>
        <v>9920877.644674696</v>
      </c>
      <c r="AB256" s="31">
        <v>0</v>
      </c>
      <c r="AD256" s="42" t="s">
        <v>479</v>
      </c>
      <c r="AE256" s="42" t="s">
        <v>480</v>
      </c>
      <c r="AF256" s="43" t="s">
        <v>1275</v>
      </c>
      <c r="AG256" s="44">
        <v>32</v>
      </c>
      <c r="AH256" s="31">
        <v>9317130.1365092359</v>
      </c>
      <c r="AI256" s="31">
        <v>305217.87</v>
      </c>
      <c r="AJ256" s="31">
        <v>24984.900000000005</v>
      </c>
      <c r="AK256" s="31">
        <v>27102.250000000004</v>
      </c>
      <c r="AL256" s="31">
        <v>775321.30334345938</v>
      </c>
      <c r="AM256" s="31">
        <v>338534.88</v>
      </c>
      <c r="AN256" s="31">
        <v>0</v>
      </c>
      <c r="AO256" s="31">
        <f t="shared" si="18"/>
        <v>10788291.339852696</v>
      </c>
      <c r="AP256" s="31">
        <v>0</v>
      </c>
      <c r="AR256" s="42" t="s">
        <v>479</v>
      </c>
      <c r="AS256" s="42" t="s">
        <v>480</v>
      </c>
      <c r="AT256" s="43" t="s">
        <v>1276</v>
      </c>
      <c r="AU256" s="44">
        <v>32</v>
      </c>
      <c r="AV256" s="31">
        <v>10286930.365848877</v>
      </c>
      <c r="AW256" s="31">
        <v>343585.79000000004</v>
      </c>
      <c r="AX256" s="31">
        <v>25442.819999999996</v>
      </c>
      <c r="AY256" s="31">
        <v>30509.829999999998</v>
      </c>
      <c r="AZ256" s="31">
        <v>781704.80334313703</v>
      </c>
      <c r="BA256" s="31">
        <v>338534.88</v>
      </c>
      <c r="BB256" s="31">
        <v>0</v>
      </c>
      <c r="BC256" s="31">
        <f t="shared" si="19"/>
        <v>11806708.489192015</v>
      </c>
      <c r="BD256" s="31">
        <v>0</v>
      </c>
    </row>
    <row r="257" spans="2:56">
      <c r="B257" s="42" t="s">
        <v>451</v>
      </c>
      <c r="C257" s="42" t="s">
        <v>452</v>
      </c>
      <c r="D257" s="43" t="s">
        <v>1049</v>
      </c>
      <c r="E257" s="44">
        <v>32</v>
      </c>
      <c r="F257" s="31">
        <v>237136371.03916165</v>
      </c>
      <c r="G257" s="31">
        <v>10945211.529999997</v>
      </c>
      <c r="H257" s="31">
        <v>2824196.49</v>
      </c>
      <c r="I257" s="31">
        <v>0</v>
      </c>
      <c r="J257" s="31">
        <v>36969188.307959579</v>
      </c>
      <c r="K257" s="31">
        <v>14047684.638424804</v>
      </c>
      <c r="L257" s="31">
        <v>17926219.580795016</v>
      </c>
      <c r="M257" s="31">
        <f t="shared" si="16"/>
        <v>325208337.99634105</v>
      </c>
      <c r="N257" s="31">
        <v>5359466.41</v>
      </c>
      <c r="P257" s="42" t="s">
        <v>451</v>
      </c>
      <c r="Q257" s="42" t="s">
        <v>452</v>
      </c>
      <c r="R257" s="43" t="s">
        <v>1050</v>
      </c>
      <c r="S257" s="44">
        <v>32</v>
      </c>
      <c r="T257" s="31">
        <v>265934627.1485675</v>
      </c>
      <c r="U257" s="31">
        <v>12083078.670000002</v>
      </c>
      <c r="V257" s="31">
        <v>2906891</v>
      </c>
      <c r="W257" s="31">
        <v>0</v>
      </c>
      <c r="X257" s="31">
        <v>38143249.159121811</v>
      </c>
      <c r="Y257" s="31">
        <v>14059436.840638941</v>
      </c>
      <c r="Z257" s="31">
        <v>18607618.510379255</v>
      </c>
      <c r="AA257" s="31">
        <f t="shared" si="17"/>
        <v>357179767.94870752</v>
      </c>
      <c r="AB257" s="31">
        <v>5444866.6200000001</v>
      </c>
      <c r="AD257" s="42" t="s">
        <v>451</v>
      </c>
      <c r="AE257" s="42" t="s">
        <v>452</v>
      </c>
      <c r="AF257" s="43" t="s">
        <v>1275</v>
      </c>
      <c r="AG257" s="44">
        <v>32</v>
      </c>
      <c r="AH257" s="31">
        <v>271595091.12025654</v>
      </c>
      <c r="AI257" s="31">
        <v>12331860.699999999</v>
      </c>
      <c r="AJ257" s="31">
        <v>2963778.8100000005</v>
      </c>
      <c r="AK257" s="31">
        <v>0</v>
      </c>
      <c r="AL257" s="31">
        <v>38916241.99732051</v>
      </c>
      <c r="AM257" s="31">
        <v>14055355.46697063</v>
      </c>
      <c r="AN257" s="31">
        <v>18966352.892656889</v>
      </c>
      <c r="AO257" s="31">
        <f t="shared" si="18"/>
        <v>364369798.66720456</v>
      </c>
      <c r="AP257" s="31">
        <v>5541117.6799999997</v>
      </c>
      <c r="AR257" s="42" t="s">
        <v>451</v>
      </c>
      <c r="AS257" s="42" t="s">
        <v>452</v>
      </c>
      <c r="AT257" s="43" t="s">
        <v>1276</v>
      </c>
      <c r="AU257" s="44">
        <v>32</v>
      </c>
      <c r="AV257" s="31">
        <v>277155711.90527964</v>
      </c>
      <c r="AW257" s="31">
        <v>12568755.379999999</v>
      </c>
      <c r="AX257" s="31">
        <v>3018099.88</v>
      </c>
      <c r="AY257" s="31">
        <v>0</v>
      </c>
      <c r="AZ257" s="31">
        <v>39670949.901268207</v>
      </c>
      <c r="BA257" s="31">
        <v>14056000.881282834</v>
      </c>
      <c r="BB257" s="31">
        <v>19316848.397024069</v>
      </c>
      <c r="BC257" s="31">
        <f t="shared" si="19"/>
        <v>371430568.89485472</v>
      </c>
      <c r="BD257" s="31">
        <v>5644202.5500000007</v>
      </c>
    </row>
    <row r="258" spans="2:56">
      <c r="B258" s="42" t="s">
        <v>297</v>
      </c>
      <c r="C258" s="42" t="s">
        <v>298</v>
      </c>
      <c r="D258" s="43" t="s">
        <v>1049</v>
      </c>
      <c r="E258" s="44">
        <v>32</v>
      </c>
      <c r="F258" s="31">
        <v>1698443.2548857452</v>
      </c>
      <c r="G258" s="31">
        <v>25140.2</v>
      </c>
      <c r="H258" s="31">
        <v>0</v>
      </c>
      <c r="I258" s="31">
        <v>2046.29</v>
      </c>
      <c r="J258" s="31">
        <v>87831.785072903673</v>
      </c>
      <c r="K258" s="31">
        <v>121124.12382249473</v>
      </c>
      <c r="L258" s="31">
        <v>75592.372509023728</v>
      </c>
      <c r="M258" s="31">
        <f t="shared" si="16"/>
        <v>2020214.6462901672</v>
      </c>
      <c r="N258" s="31">
        <v>10036.619999999999</v>
      </c>
      <c r="P258" s="42" t="s">
        <v>297</v>
      </c>
      <c r="Q258" s="42" t="s">
        <v>298</v>
      </c>
      <c r="R258" s="43" t="s">
        <v>1050</v>
      </c>
      <c r="S258" s="44">
        <v>32</v>
      </c>
      <c r="T258" s="31">
        <v>1763676.1900728601</v>
      </c>
      <c r="U258" s="31">
        <v>23815.88</v>
      </c>
      <c r="V258" s="31">
        <v>0</v>
      </c>
      <c r="W258" s="31">
        <v>1922.52</v>
      </c>
      <c r="X258" s="31">
        <v>90407.031581439194</v>
      </c>
      <c r="Y258" s="31">
        <v>121200.30911169526</v>
      </c>
      <c r="Z258" s="31">
        <v>78994.064517482329</v>
      </c>
      <c r="AA258" s="31">
        <f t="shared" si="17"/>
        <v>2090299.3352834769</v>
      </c>
      <c r="AB258" s="31">
        <v>10283.34</v>
      </c>
      <c r="AD258" s="42" t="s">
        <v>297</v>
      </c>
      <c r="AE258" s="42" t="s">
        <v>298</v>
      </c>
      <c r="AF258" s="43" t="s">
        <v>1275</v>
      </c>
      <c r="AG258" s="44">
        <v>32</v>
      </c>
      <c r="AH258" s="31">
        <v>1799007.006647964</v>
      </c>
      <c r="AI258" s="31">
        <v>24714.390000000003</v>
      </c>
      <c r="AJ258" s="31">
        <v>0</v>
      </c>
      <c r="AK258" s="31">
        <v>1960.1200000000001</v>
      </c>
      <c r="AL258" s="31">
        <v>91626.457545894576</v>
      </c>
      <c r="AM258" s="31">
        <v>121174.42674709346</v>
      </c>
      <c r="AN258" s="31">
        <v>80515.64590893437</v>
      </c>
      <c r="AO258" s="31">
        <f t="shared" si="18"/>
        <v>2129462.5668498864</v>
      </c>
      <c r="AP258" s="31">
        <v>10464.52</v>
      </c>
      <c r="AR258" s="42" t="s">
        <v>297</v>
      </c>
      <c r="AS258" s="42" t="s">
        <v>298</v>
      </c>
      <c r="AT258" s="43" t="s">
        <v>1276</v>
      </c>
      <c r="AU258" s="44">
        <v>32</v>
      </c>
      <c r="AV258" s="31">
        <v>1833611.7552625113</v>
      </c>
      <c r="AW258" s="31">
        <v>25162.74</v>
      </c>
      <c r="AX258" s="31">
        <v>0</v>
      </c>
      <c r="AY258" s="31">
        <v>1995.9099999999999</v>
      </c>
      <c r="AZ258" s="31">
        <v>92410.019797415909</v>
      </c>
      <c r="BA258" s="31">
        <v>121178.54554615561</v>
      </c>
      <c r="BB258" s="31">
        <v>82000.022392779501</v>
      </c>
      <c r="BC258" s="31">
        <f t="shared" si="19"/>
        <v>2167017.5529988622</v>
      </c>
      <c r="BD258" s="31">
        <v>10658.560000000001</v>
      </c>
    </row>
    <row r="259" spans="2:56">
      <c r="B259" s="42" t="s">
        <v>577</v>
      </c>
      <c r="C259" s="42" t="s">
        <v>578</v>
      </c>
      <c r="D259" s="43" t="s">
        <v>1049</v>
      </c>
      <c r="E259" s="44">
        <v>32</v>
      </c>
      <c r="F259" s="31">
        <v>2066132.295002026</v>
      </c>
      <c r="G259" s="31">
        <v>38100.12000000001</v>
      </c>
      <c r="H259" s="31">
        <v>0</v>
      </c>
      <c r="I259" s="31">
        <v>3507.94</v>
      </c>
      <c r="J259" s="31">
        <v>146621.51902277383</v>
      </c>
      <c r="K259" s="31">
        <v>362429.03260111262</v>
      </c>
      <c r="L259" s="31">
        <v>49287.291707283337</v>
      </c>
      <c r="M259" s="31">
        <f t="shared" si="16"/>
        <v>2684982.088333196</v>
      </c>
      <c r="N259" s="31">
        <v>18903.889999999996</v>
      </c>
      <c r="P259" s="42" t="s">
        <v>577</v>
      </c>
      <c r="Q259" s="42" t="s">
        <v>578</v>
      </c>
      <c r="R259" s="43" t="s">
        <v>1050</v>
      </c>
      <c r="S259" s="44">
        <v>32</v>
      </c>
      <c r="T259" s="31">
        <v>2282762.8360810247</v>
      </c>
      <c r="U259" s="31">
        <v>46704.960000000006</v>
      </c>
      <c r="V259" s="31">
        <v>0</v>
      </c>
      <c r="W259" s="31">
        <v>4249.7499999999991</v>
      </c>
      <c r="X259" s="31">
        <v>150757.87152082898</v>
      </c>
      <c r="Y259" s="31">
        <v>362849.9316610446</v>
      </c>
      <c r="Z259" s="31">
        <v>51043.418115440618</v>
      </c>
      <c r="AA259" s="31">
        <f t="shared" si="17"/>
        <v>2917737.3773783389</v>
      </c>
      <c r="AB259" s="31">
        <v>19368.609999999997</v>
      </c>
      <c r="AD259" s="42" t="s">
        <v>577</v>
      </c>
      <c r="AE259" s="42" t="s">
        <v>578</v>
      </c>
      <c r="AF259" s="43" t="s">
        <v>1275</v>
      </c>
      <c r="AG259" s="44">
        <v>32</v>
      </c>
      <c r="AH259" s="31">
        <v>2342091.1016823743</v>
      </c>
      <c r="AI259" s="31">
        <v>46727.710000000006</v>
      </c>
      <c r="AJ259" s="31">
        <v>0</v>
      </c>
      <c r="AK259" s="31">
        <v>4229.72</v>
      </c>
      <c r="AL259" s="31">
        <v>154901.36913867388</v>
      </c>
      <c r="AM259" s="31">
        <v>362706.93997532642</v>
      </c>
      <c r="AN259" s="31">
        <v>52026.516788127832</v>
      </c>
      <c r="AO259" s="31">
        <f t="shared" si="18"/>
        <v>2982393.2175845024</v>
      </c>
      <c r="AP259" s="31">
        <v>19709.859999999997</v>
      </c>
      <c r="AR259" s="42" t="s">
        <v>577</v>
      </c>
      <c r="AS259" s="42" t="s">
        <v>578</v>
      </c>
      <c r="AT259" s="43" t="s">
        <v>1276</v>
      </c>
      <c r="AU259" s="44">
        <v>32</v>
      </c>
      <c r="AV259" s="31">
        <v>2392907.3226931961</v>
      </c>
      <c r="AW259" s="31">
        <v>46840.13</v>
      </c>
      <c r="AX259" s="31">
        <v>0</v>
      </c>
      <c r="AY259" s="31">
        <v>4306.97</v>
      </c>
      <c r="AZ259" s="31">
        <v>158161.44768958123</v>
      </c>
      <c r="BA259" s="31">
        <v>362729.69500679645</v>
      </c>
      <c r="BB259" s="31">
        <v>52985.808787175833</v>
      </c>
      <c r="BC259" s="31">
        <f t="shared" si="19"/>
        <v>3038006.6941767498</v>
      </c>
      <c r="BD259" s="31">
        <v>20075.32</v>
      </c>
    </row>
    <row r="260" spans="2:56">
      <c r="B260" s="42" t="s">
        <v>449</v>
      </c>
      <c r="C260" s="42" t="s">
        <v>450</v>
      </c>
      <c r="D260" s="43" t="s">
        <v>1049</v>
      </c>
      <c r="E260" s="44">
        <v>32</v>
      </c>
      <c r="F260" s="31">
        <v>40846470.943433389</v>
      </c>
      <c r="G260" s="31">
        <v>976388.44</v>
      </c>
      <c r="H260" s="31">
        <v>238795.02</v>
      </c>
      <c r="I260" s="31">
        <v>150522.25</v>
      </c>
      <c r="J260" s="31">
        <v>6807800.027756081</v>
      </c>
      <c r="K260" s="31">
        <v>2880669.512812051</v>
      </c>
      <c r="L260" s="31">
        <v>4198176.4756202763</v>
      </c>
      <c r="M260" s="31">
        <f t="shared" si="16"/>
        <v>56104554.669621795</v>
      </c>
      <c r="N260" s="31">
        <v>5732</v>
      </c>
      <c r="P260" s="42" t="s">
        <v>449</v>
      </c>
      <c r="Q260" s="42" t="s">
        <v>450</v>
      </c>
      <c r="R260" s="43" t="s">
        <v>1050</v>
      </c>
      <c r="S260" s="44">
        <v>32</v>
      </c>
      <c r="T260" s="31">
        <v>43674314.129610159</v>
      </c>
      <c r="U260" s="31">
        <v>1037676.1799999999</v>
      </c>
      <c r="V260" s="31">
        <v>245746.37000000002</v>
      </c>
      <c r="W260" s="31">
        <v>159976.98000000001</v>
      </c>
      <c r="X260" s="31">
        <v>6999493.1638470292</v>
      </c>
      <c r="Y260" s="31">
        <v>2882350.9137644409</v>
      </c>
      <c r="Z260" s="31">
        <v>4316813.297881268</v>
      </c>
      <c r="AA260" s="31">
        <f t="shared" si="17"/>
        <v>59322202.585102886</v>
      </c>
      <c r="AB260" s="31">
        <v>5831.5499999999993</v>
      </c>
      <c r="AD260" s="42" t="s">
        <v>449</v>
      </c>
      <c r="AE260" s="42" t="s">
        <v>450</v>
      </c>
      <c r="AF260" s="43" t="s">
        <v>1275</v>
      </c>
      <c r="AG260" s="44">
        <v>32</v>
      </c>
      <c r="AH260" s="31">
        <v>44911016.396189436</v>
      </c>
      <c r="AI260" s="31">
        <v>1066334.57</v>
      </c>
      <c r="AJ260" s="31">
        <v>250565.40000000002</v>
      </c>
      <c r="AK260" s="31">
        <v>164317</v>
      </c>
      <c r="AL260" s="31">
        <v>7133005.5328065809</v>
      </c>
      <c r="AM260" s="31">
        <v>2881724.2738747792</v>
      </c>
      <c r="AN260" s="31">
        <v>4400236.2029790748</v>
      </c>
      <c r="AO260" s="31">
        <f t="shared" si="18"/>
        <v>60813135.585849874</v>
      </c>
      <c r="AP260" s="31">
        <v>5936.21</v>
      </c>
      <c r="AR260" s="42" t="s">
        <v>449</v>
      </c>
      <c r="AS260" s="42" t="s">
        <v>450</v>
      </c>
      <c r="AT260" s="43" t="s">
        <v>1276</v>
      </c>
      <c r="AU260" s="44">
        <v>32</v>
      </c>
      <c r="AV260" s="31">
        <v>46254232.598834544</v>
      </c>
      <c r="AW260" s="31">
        <v>1099439.42</v>
      </c>
      <c r="AX260" s="31">
        <v>255235.08000000002</v>
      </c>
      <c r="AY260" s="31">
        <v>169462.37</v>
      </c>
      <c r="AZ260" s="31">
        <v>7252055.3780742334</v>
      </c>
      <c r="BA260" s="31">
        <v>2881821.192868683</v>
      </c>
      <c r="BB260" s="31">
        <v>4482557.4502969868</v>
      </c>
      <c r="BC260" s="31">
        <f t="shared" si="19"/>
        <v>62400851.78007444</v>
      </c>
      <c r="BD260" s="31">
        <v>6048.29</v>
      </c>
    </row>
    <row r="261" spans="2:56">
      <c r="B261" s="42" t="s">
        <v>115</v>
      </c>
      <c r="C261" s="42" t="s">
        <v>116</v>
      </c>
      <c r="D261" s="43" t="s">
        <v>1049</v>
      </c>
      <c r="E261" s="44">
        <v>32</v>
      </c>
      <c r="F261" s="31">
        <v>338095.06891283992</v>
      </c>
      <c r="G261" s="31">
        <v>0</v>
      </c>
      <c r="H261" s="31">
        <v>0</v>
      </c>
      <c r="I261" s="31">
        <v>0</v>
      </c>
      <c r="J261" s="31">
        <v>0</v>
      </c>
      <c r="K261" s="31">
        <v>105953.36240084749</v>
      </c>
      <c r="L261" s="31">
        <v>0</v>
      </c>
      <c r="M261" s="31">
        <f t="shared" ref="M261:M322" si="20">SUM(F261:L261,N261)</f>
        <v>444048.43131368741</v>
      </c>
      <c r="N261" s="31">
        <v>0</v>
      </c>
      <c r="P261" s="42" t="s">
        <v>115</v>
      </c>
      <c r="Q261" s="42" t="s">
        <v>116</v>
      </c>
      <c r="R261" s="43" t="s">
        <v>1050</v>
      </c>
      <c r="S261" s="44">
        <v>32</v>
      </c>
      <c r="T261" s="31">
        <v>363567.32802704617</v>
      </c>
      <c r="U261" s="31">
        <v>0</v>
      </c>
      <c r="V261" s="31">
        <v>0</v>
      </c>
      <c r="W261" s="31">
        <v>0</v>
      </c>
      <c r="X261" s="31">
        <v>0</v>
      </c>
      <c r="Y261" s="31">
        <v>106074.76114164888</v>
      </c>
      <c r="Z261" s="31">
        <v>0</v>
      </c>
      <c r="AA261" s="31">
        <f t="shared" ref="AA261:AA322" si="21">SUM(T261:Z261,AB261)</f>
        <v>469642.08916869503</v>
      </c>
      <c r="AB261" s="31">
        <v>0</v>
      </c>
      <c r="AD261" s="42" t="s">
        <v>115</v>
      </c>
      <c r="AE261" s="42" t="s">
        <v>116</v>
      </c>
      <c r="AF261" s="43" t="s">
        <v>1275</v>
      </c>
      <c r="AG261" s="44">
        <v>32</v>
      </c>
      <c r="AH261" s="31">
        <v>380289.6852816781</v>
      </c>
      <c r="AI261" s="31">
        <v>0</v>
      </c>
      <c r="AJ261" s="31">
        <v>0</v>
      </c>
      <c r="AK261" s="31">
        <v>0</v>
      </c>
      <c r="AL261" s="31">
        <v>0</v>
      </c>
      <c r="AM261" s="31">
        <v>106033.51844893758</v>
      </c>
      <c r="AN261" s="31">
        <v>0</v>
      </c>
      <c r="AO261" s="31">
        <f t="shared" ref="AO261:AO322" si="22">SUM(AH261:AN261,AP261)</f>
        <v>486323.20373061567</v>
      </c>
      <c r="AP261" s="31">
        <v>0</v>
      </c>
      <c r="AR261" s="42" t="s">
        <v>115</v>
      </c>
      <c r="AS261" s="42" t="s">
        <v>116</v>
      </c>
      <c r="AT261" s="43" t="s">
        <v>1276</v>
      </c>
      <c r="AU261" s="44">
        <v>32</v>
      </c>
      <c r="AV261" s="31">
        <v>394265.13281555957</v>
      </c>
      <c r="AW261" s="31">
        <v>0</v>
      </c>
      <c r="AX261" s="31">
        <v>0</v>
      </c>
      <c r="AY261" s="31">
        <v>0</v>
      </c>
      <c r="AZ261" s="31">
        <v>0</v>
      </c>
      <c r="BA261" s="31">
        <v>106040.08161913756</v>
      </c>
      <c r="BB261" s="31">
        <v>0</v>
      </c>
      <c r="BC261" s="31">
        <f t="shared" ref="BC261:BC322" si="23">SUM(AV261:BB261,BD261)</f>
        <v>500305.21443469712</v>
      </c>
      <c r="BD261" s="31">
        <v>0</v>
      </c>
    </row>
    <row r="262" spans="2:56">
      <c r="B262" s="42" t="s">
        <v>75</v>
      </c>
      <c r="C262" s="42" t="s">
        <v>76</v>
      </c>
      <c r="D262" s="43" t="s">
        <v>1049</v>
      </c>
      <c r="E262" s="44">
        <v>32</v>
      </c>
      <c r="F262" s="31">
        <v>3420955.7901091287</v>
      </c>
      <c r="G262" s="31">
        <v>130280.95</v>
      </c>
      <c r="H262" s="31">
        <v>0</v>
      </c>
      <c r="I262" s="31">
        <v>0</v>
      </c>
      <c r="J262" s="31">
        <v>226726.93169041289</v>
      </c>
      <c r="K262" s="31">
        <v>95832.400409903887</v>
      </c>
      <c r="L262" s="31">
        <v>0</v>
      </c>
      <c r="M262" s="31">
        <f t="shared" si="20"/>
        <v>3880617.062209446</v>
      </c>
      <c r="N262" s="31">
        <v>6820.99</v>
      </c>
      <c r="P262" s="42" t="s">
        <v>75</v>
      </c>
      <c r="Q262" s="42" t="s">
        <v>76</v>
      </c>
      <c r="R262" s="43" t="s">
        <v>1050</v>
      </c>
      <c r="S262" s="44">
        <v>32</v>
      </c>
      <c r="T262" s="31">
        <v>3626269.2078912943</v>
      </c>
      <c r="U262" s="31">
        <v>138818.40000000002</v>
      </c>
      <c r="V262" s="31">
        <v>0</v>
      </c>
      <c r="W262" s="31">
        <v>0</v>
      </c>
      <c r="X262" s="31">
        <v>236416.82976193007</v>
      </c>
      <c r="Y262" s="31">
        <v>95839.499565211547</v>
      </c>
      <c r="Z262" s="31">
        <v>0</v>
      </c>
      <c r="AA262" s="31">
        <f t="shared" si="21"/>
        <v>4104332.607218436</v>
      </c>
      <c r="AB262" s="31">
        <v>6988.67</v>
      </c>
      <c r="AD262" s="42" t="s">
        <v>75</v>
      </c>
      <c r="AE262" s="42" t="s">
        <v>76</v>
      </c>
      <c r="AF262" s="43" t="s">
        <v>1275</v>
      </c>
      <c r="AG262" s="44">
        <v>32</v>
      </c>
      <c r="AH262" s="31">
        <v>3702602.8856113628</v>
      </c>
      <c r="AI262" s="31">
        <v>142063.25</v>
      </c>
      <c r="AJ262" s="31">
        <v>0</v>
      </c>
      <c r="AK262" s="31">
        <v>0</v>
      </c>
      <c r="AL262" s="31">
        <v>240737.9823749591</v>
      </c>
      <c r="AM262" s="31">
        <v>95837.087775114473</v>
      </c>
      <c r="AN262" s="31">
        <v>0</v>
      </c>
      <c r="AO262" s="31">
        <f t="shared" si="22"/>
        <v>4188353.0057614362</v>
      </c>
      <c r="AP262" s="31">
        <v>7111.7999999999993</v>
      </c>
      <c r="AR262" s="42" t="s">
        <v>75</v>
      </c>
      <c r="AS262" s="42" t="s">
        <v>76</v>
      </c>
      <c r="AT262" s="43" t="s">
        <v>1276</v>
      </c>
      <c r="AU262" s="44">
        <v>32</v>
      </c>
      <c r="AV262" s="31">
        <v>3795786.1323499214</v>
      </c>
      <c r="AW262" s="31">
        <v>146231.16999999998</v>
      </c>
      <c r="AX262" s="31">
        <v>0</v>
      </c>
      <c r="AY262" s="31">
        <v>0</v>
      </c>
      <c r="AZ262" s="31">
        <v>244998.09215601391</v>
      </c>
      <c r="BA262" s="31">
        <v>95837.471576167532</v>
      </c>
      <c r="BB262" s="31">
        <v>0</v>
      </c>
      <c r="BC262" s="31">
        <f t="shared" si="23"/>
        <v>4290096.5360821029</v>
      </c>
      <c r="BD262" s="31">
        <v>7243.67</v>
      </c>
    </row>
    <row r="263" spans="2:56">
      <c r="B263" s="42" t="s">
        <v>31</v>
      </c>
      <c r="C263" s="42" t="s">
        <v>32</v>
      </c>
      <c r="D263" s="43" t="s">
        <v>1049</v>
      </c>
      <c r="E263" s="44">
        <v>32</v>
      </c>
      <c r="F263" s="31">
        <v>385114.89577810367</v>
      </c>
      <c r="G263" s="31">
        <v>0</v>
      </c>
      <c r="H263" s="31">
        <v>0</v>
      </c>
      <c r="I263" s="31">
        <v>0</v>
      </c>
      <c r="J263" s="31">
        <v>0</v>
      </c>
      <c r="K263" s="31">
        <v>0</v>
      </c>
      <c r="L263" s="31">
        <v>0</v>
      </c>
      <c r="M263" s="31">
        <f t="shared" si="20"/>
        <v>385114.89577810367</v>
      </c>
      <c r="N263" s="31">
        <v>0</v>
      </c>
      <c r="P263" s="42" t="s">
        <v>31</v>
      </c>
      <c r="Q263" s="42" t="s">
        <v>32</v>
      </c>
      <c r="R263" s="43" t="s">
        <v>1050</v>
      </c>
      <c r="S263" s="44">
        <v>32</v>
      </c>
      <c r="T263" s="31">
        <v>349044.58604019094</v>
      </c>
      <c r="U263" s="31">
        <v>0</v>
      </c>
      <c r="V263" s="31">
        <v>0</v>
      </c>
      <c r="W263" s="31">
        <v>0</v>
      </c>
      <c r="X263" s="31">
        <v>0</v>
      </c>
      <c r="Y263" s="31">
        <v>0</v>
      </c>
      <c r="Z263" s="31">
        <v>0</v>
      </c>
      <c r="AA263" s="31">
        <f t="shared" si="21"/>
        <v>349044.58604019094</v>
      </c>
      <c r="AB263" s="31">
        <v>0</v>
      </c>
      <c r="AD263" s="42" t="s">
        <v>31</v>
      </c>
      <c r="AE263" s="42" t="s">
        <v>32</v>
      </c>
      <c r="AF263" s="43" t="s">
        <v>1275</v>
      </c>
      <c r="AG263" s="44">
        <v>32</v>
      </c>
      <c r="AH263" s="31">
        <v>355906.78759860154</v>
      </c>
      <c r="AI263" s="31">
        <v>0</v>
      </c>
      <c r="AJ263" s="31">
        <v>0</v>
      </c>
      <c r="AK263" s="31">
        <v>0</v>
      </c>
      <c r="AL263" s="31">
        <v>0</v>
      </c>
      <c r="AM263" s="31">
        <v>0</v>
      </c>
      <c r="AN263" s="31">
        <v>0</v>
      </c>
      <c r="AO263" s="31">
        <f t="shared" si="22"/>
        <v>355906.78759860154</v>
      </c>
      <c r="AP263" s="31">
        <v>0</v>
      </c>
      <c r="AR263" s="42" t="s">
        <v>31</v>
      </c>
      <c r="AS263" s="42" t="s">
        <v>32</v>
      </c>
      <c r="AT263" s="43" t="s">
        <v>1276</v>
      </c>
      <c r="AU263" s="44">
        <v>32</v>
      </c>
      <c r="AV263" s="31">
        <v>362391.11113693885</v>
      </c>
      <c r="AW263" s="31">
        <v>0</v>
      </c>
      <c r="AX263" s="31">
        <v>0</v>
      </c>
      <c r="AY263" s="31">
        <v>0</v>
      </c>
      <c r="AZ263" s="31">
        <v>0</v>
      </c>
      <c r="BA263" s="31">
        <v>0</v>
      </c>
      <c r="BB263" s="31">
        <v>0</v>
      </c>
      <c r="BC263" s="31">
        <f t="shared" si="23"/>
        <v>362391.11113693885</v>
      </c>
      <c r="BD263" s="31">
        <v>0</v>
      </c>
    </row>
    <row r="264" spans="2:56">
      <c r="B264" s="42" t="s">
        <v>361</v>
      </c>
      <c r="C264" s="42" t="s">
        <v>362</v>
      </c>
      <c r="D264" s="43" t="s">
        <v>1049</v>
      </c>
      <c r="E264" s="44">
        <v>32</v>
      </c>
      <c r="F264" s="31">
        <v>25954163.133895583</v>
      </c>
      <c r="G264" s="31">
        <v>473641.8</v>
      </c>
      <c r="H264" s="31">
        <v>171701.46</v>
      </c>
      <c r="I264" s="31">
        <v>90793.960000000021</v>
      </c>
      <c r="J264" s="31">
        <v>3829186.6494214335</v>
      </c>
      <c r="K264" s="31">
        <v>2181563.9076841744</v>
      </c>
      <c r="L264" s="31">
        <v>2350314.2429059669</v>
      </c>
      <c r="M264" s="31">
        <f t="shared" si="20"/>
        <v>35062865.733907163</v>
      </c>
      <c r="N264" s="31">
        <v>11500.58</v>
      </c>
      <c r="P264" s="42" t="s">
        <v>361</v>
      </c>
      <c r="Q264" s="42" t="s">
        <v>362</v>
      </c>
      <c r="R264" s="43" t="s">
        <v>1050</v>
      </c>
      <c r="S264" s="44">
        <v>32</v>
      </c>
      <c r="T264" s="31">
        <v>29202257.971145675</v>
      </c>
      <c r="U264" s="31">
        <v>527433.08000000007</v>
      </c>
      <c r="V264" s="31">
        <v>176729.00999999998</v>
      </c>
      <c r="W264" s="31">
        <v>101136.33</v>
      </c>
      <c r="X264" s="31">
        <v>3940471.2245056494</v>
      </c>
      <c r="Y264" s="31">
        <v>2182992.5611091293</v>
      </c>
      <c r="Z264" s="31">
        <v>2416837.0828250595</v>
      </c>
      <c r="AA264" s="31">
        <f t="shared" si="21"/>
        <v>38559541.089585505</v>
      </c>
      <c r="AB264" s="31">
        <v>11683.83</v>
      </c>
      <c r="AD264" s="42" t="s">
        <v>361</v>
      </c>
      <c r="AE264" s="42" t="s">
        <v>362</v>
      </c>
      <c r="AF264" s="43" t="s">
        <v>1275</v>
      </c>
      <c r="AG264" s="44">
        <v>32</v>
      </c>
      <c r="AH264" s="31">
        <v>30241651.599646058</v>
      </c>
      <c r="AI264" s="31">
        <v>546034.76</v>
      </c>
      <c r="AJ264" s="31">
        <v>180187.59000000003</v>
      </c>
      <c r="AK264" s="31">
        <v>104703.58999999998</v>
      </c>
      <c r="AL264" s="31">
        <v>4012721.7077310146</v>
      </c>
      <c r="AM264" s="31">
        <v>2182496.4099739203</v>
      </c>
      <c r="AN264" s="31">
        <v>2463412.574315656</v>
      </c>
      <c r="AO264" s="31">
        <f t="shared" si="22"/>
        <v>39743098.601666652</v>
      </c>
      <c r="AP264" s="31">
        <v>11890.37</v>
      </c>
      <c r="AR264" s="42" t="s">
        <v>361</v>
      </c>
      <c r="AS264" s="42" t="s">
        <v>362</v>
      </c>
      <c r="AT264" s="43" t="s">
        <v>1276</v>
      </c>
      <c r="AU264" s="44">
        <v>32</v>
      </c>
      <c r="AV264" s="31">
        <v>30956048.514271442</v>
      </c>
      <c r="AW264" s="31">
        <v>559489.27</v>
      </c>
      <c r="AX264" s="31">
        <v>183490.13</v>
      </c>
      <c r="AY264" s="31">
        <v>107269.50000000001</v>
      </c>
      <c r="AZ264" s="31">
        <v>4081425.5036156261</v>
      </c>
      <c r="BA264" s="31">
        <v>2182574.8695979845</v>
      </c>
      <c r="BB264" s="31">
        <v>2508953.9099464444</v>
      </c>
      <c r="BC264" s="31">
        <f t="shared" si="23"/>
        <v>40591363.267431498</v>
      </c>
      <c r="BD264" s="31">
        <v>12111.570000000002</v>
      </c>
    </row>
    <row r="265" spans="2:56">
      <c r="B265" s="42" t="s">
        <v>569</v>
      </c>
      <c r="C265" s="42" t="s">
        <v>570</v>
      </c>
      <c r="D265" s="43" t="s">
        <v>1049</v>
      </c>
      <c r="E265" s="44">
        <v>32</v>
      </c>
      <c r="F265" s="31">
        <v>569324.36935035675</v>
      </c>
      <c r="G265" s="31">
        <v>0</v>
      </c>
      <c r="H265" s="31">
        <v>0</v>
      </c>
      <c r="I265" s="31">
        <v>0</v>
      </c>
      <c r="J265" s="31">
        <v>58279.029089469484</v>
      </c>
      <c r="K265" s="31">
        <v>86897.163026802955</v>
      </c>
      <c r="L265" s="31">
        <v>0</v>
      </c>
      <c r="M265" s="31">
        <f t="shared" si="20"/>
        <v>714500.56146662915</v>
      </c>
      <c r="N265" s="31">
        <v>0</v>
      </c>
      <c r="P265" s="42" t="s">
        <v>569</v>
      </c>
      <c r="Q265" s="42" t="s">
        <v>570</v>
      </c>
      <c r="R265" s="43" t="s">
        <v>1050</v>
      </c>
      <c r="S265" s="44">
        <v>32</v>
      </c>
      <c r="T265" s="31">
        <v>594272.72980918642</v>
      </c>
      <c r="U265" s="31">
        <v>0</v>
      </c>
      <c r="V265" s="31">
        <v>0</v>
      </c>
      <c r="W265" s="31">
        <v>0</v>
      </c>
      <c r="X265" s="31">
        <v>59363.991868685465</v>
      </c>
      <c r="Y265" s="31">
        <v>86961.414134309467</v>
      </c>
      <c r="Z265" s="31">
        <v>0</v>
      </c>
      <c r="AA265" s="31">
        <f t="shared" si="21"/>
        <v>740598.1358121814</v>
      </c>
      <c r="AB265" s="31">
        <v>0</v>
      </c>
      <c r="AD265" s="42" t="s">
        <v>569</v>
      </c>
      <c r="AE265" s="42" t="s">
        <v>570</v>
      </c>
      <c r="AF265" s="43" t="s">
        <v>1275</v>
      </c>
      <c r="AG265" s="44">
        <v>32</v>
      </c>
      <c r="AH265" s="31">
        <v>606411.55696767813</v>
      </c>
      <c r="AI265" s="31">
        <v>0</v>
      </c>
      <c r="AJ265" s="31">
        <v>0</v>
      </c>
      <c r="AK265" s="31">
        <v>0</v>
      </c>
      <c r="AL265" s="31">
        <v>60067.645731901321</v>
      </c>
      <c r="AM265" s="31">
        <v>86939.586159276456</v>
      </c>
      <c r="AN265" s="31">
        <v>0</v>
      </c>
      <c r="AO265" s="31">
        <f t="shared" si="22"/>
        <v>753418.78885885584</v>
      </c>
      <c r="AP265" s="31">
        <v>0</v>
      </c>
      <c r="AR265" s="42" t="s">
        <v>569</v>
      </c>
      <c r="AS265" s="42" t="s">
        <v>570</v>
      </c>
      <c r="AT265" s="43" t="s">
        <v>1276</v>
      </c>
      <c r="AU265" s="44">
        <v>32</v>
      </c>
      <c r="AV265" s="31">
        <v>617377.65469642589</v>
      </c>
      <c r="AW265" s="31">
        <v>0</v>
      </c>
      <c r="AX265" s="31">
        <v>0</v>
      </c>
      <c r="AY265" s="31">
        <v>0</v>
      </c>
      <c r="AZ265" s="31">
        <v>61156.362146160456</v>
      </c>
      <c r="BA265" s="31">
        <v>86943.059761649245</v>
      </c>
      <c r="BB265" s="31">
        <v>0</v>
      </c>
      <c r="BC265" s="31">
        <f t="shared" si="23"/>
        <v>765477.07660423557</v>
      </c>
      <c r="BD265" s="31">
        <v>0</v>
      </c>
    </row>
    <row r="266" spans="2:56">
      <c r="B266" s="42" t="s">
        <v>421</v>
      </c>
      <c r="C266" s="42" t="s">
        <v>422</v>
      </c>
      <c r="D266" s="43" t="s">
        <v>1049</v>
      </c>
      <c r="E266" s="44">
        <v>32</v>
      </c>
      <c r="F266" s="31">
        <v>6375834.4942030199</v>
      </c>
      <c r="G266" s="31">
        <v>253643.43999999997</v>
      </c>
      <c r="H266" s="31">
        <v>27089.08</v>
      </c>
      <c r="I266" s="31">
        <v>22022.059999999998</v>
      </c>
      <c r="J266" s="31">
        <v>1036368.1797604333</v>
      </c>
      <c r="K266" s="31">
        <v>678197.32459479372</v>
      </c>
      <c r="L266" s="31">
        <v>513844.2943660398</v>
      </c>
      <c r="M266" s="31">
        <f t="shared" si="20"/>
        <v>9133650.662924286</v>
      </c>
      <c r="N266" s="31">
        <v>226651.79</v>
      </c>
      <c r="P266" s="42" t="s">
        <v>421</v>
      </c>
      <c r="Q266" s="42" t="s">
        <v>422</v>
      </c>
      <c r="R266" s="43" t="s">
        <v>1050</v>
      </c>
      <c r="S266" s="44">
        <v>32</v>
      </c>
      <c r="T266" s="31">
        <v>7368541.4845438441</v>
      </c>
      <c r="U266" s="31">
        <v>292924.5</v>
      </c>
      <c r="V266" s="31">
        <v>28129.33</v>
      </c>
      <c r="W266" s="31">
        <v>25093.79</v>
      </c>
      <c r="X266" s="31">
        <v>1078670.2751007148</v>
      </c>
      <c r="Y266" s="31">
        <v>678774.07607931236</v>
      </c>
      <c r="Z266" s="31">
        <v>537309.08477593854</v>
      </c>
      <c r="AA266" s="31">
        <f t="shared" si="21"/>
        <v>10241666.270499811</v>
      </c>
      <c r="AB266" s="31">
        <v>232223.73</v>
      </c>
      <c r="AD266" s="42" t="s">
        <v>421</v>
      </c>
      <c r="AE266" s="42" t="s">
        <v>422</v>
      </c>
      <c r="AF266" s="43" t="s">
        <v>1275</v>
      </c>
      <c r="AG266" s="44">
        <v>32</v>
      </c>
      <c r="AH266" s="31">
        <v>7479893.5043157088</v>
      </c>
      <c r="AI266" s="31">
        <v>297764.56999999995</v>
      </c>
      <c r="AJ266" s="31">
        <v>28679.580000000005</v>
      </c>
      <c r="AK266" s="31">
        <v>25481.480000000003</v>
      </c>
      <c r="AL266" s="31">
        <v>1100840.1895974143</v>
      </c>
      <c r="AM266" s="31">
        <v>678578.13677969715</v>
      </c>
      <c r="AN266" s="31">
        <v>547658.56775911001</v>
      </c>
      <c r="AO266" s="31">
        <f t="shared" si="22"/>
        <v>10395211.13845193</v>
      </c>
      <c r="AP266" s="31">
        <v>236315.11</v>
      </c>
      <c r="AR266" s="42" t="s">
        <v>421</v>
      </c>
      <c r="AS266" s="42" t="s">
        <v>422</v>
      </c>
      <c r="AT266" s="43" t="s">
        <v>1276</v>
      </c>
      <c r="AU266" s="44">
        <v>32</v>
      </c>
      <c r="AV266" s="31">
        <v>7618824.3168022092</v>
      </c>
      <c r="AW266" s="31">
        <v>302820.32000000007</v>
      </c>
      <c r="AX266" s="31">
        <v>29203.29</v>
      </c>
      <c r="AY266" s="31">
        <v>25946.800000000003</v>
      </c>
      <c r="AZ266" s="31">
        <v>1121968.0258293399</v>
      </c>
      <c r="BA266" s="31">
        <v>678609.31764805713</v>
      </c>
      <c r="BB266" s="31">
        <v>557754.91113944666</v>
      </c>
      <c r="BC266" s="31">
        <f t="shared" si="23"/>
        <v>10575823.971419053</v>
      </c>
      <c r="BD266" s="31">
        <v>240696.99000000002</v>
      </c>
    </row>
    <row r="267" spans="2:56">
      <c r="B267" s="42" t="s">
        <v>443</v>
      </c>
      <c r="C267" s="42" t="s">
        <v>444</v>
      </c>
      <c r="D267" s="43" t="s">
        <v>1049</v>
      </c>
      <c r="E267" s="44">
        <v>32</v>
      </c>
      <c r="F267" s="31">
        <v>17552040.264325533</v>
      </c>
      <c r="G267" s="31">
        <v>775197.3600000001</v>
      </c>
      <c r="H267" s="31">
        <v>390478.13999999996</v>
      </c>
      <c r="I267" s="31">
        <v>62783.65</v>
      </c>
      <c r="J267" s="31">
        <v>2801962.5131838545</v>
      </c>
      <c r="K267" s="31">
        <v>1447394.9327474032</v>
      </c>
      <c r="L267" s="31">
        <v>1460433.9602249907</v>
      </c>
      <c r="M267" s="31">
        <f t="shared" si="20"/>
        <v>25119256.480481781</v>
      </c>
      <c r="N267" s="31">
        <v>628965.65999999992</v>
      </c>
      <c r="P267" s="42" t="s">
        <v>443</v>
      </c>
      <c r="Q267" s="42" t="s">
        <v>444</v>
      </c>
      <c r="R267" s="43" t="s">
        <v>1050</v>
      </c>
      <c r="S267" s="44">
        <v>32</v>
      </c>
      <c r="T267" s="31">
        <v>19796083.53656574</v>
      </c>
      <c r="U267" s="31">
        <v>866027.63999999978</v>
      </c>
      <c r="V267" s="31">
        <v>404908.69999999995</v>
      </c>
      <c r="W267" s="31">
        <v>69553.430000000008</v>
      </c>
      <c r="X267" s="31">
        <v>2902147.3730444</v>
      </c>
      <c r="Y267" s="31">
        <v>1448839.0580175407</v>
      </c>
      <c r="Z267" s="31">
        <v>1526123.6735683172</v>
      </c>
      <c r="AA267" s="31">
        <f t="shared" si="21"/>
        <v>27658393.731195997</v>
      </c>
      <c r="AB267" s="31">
        <v>644710.31999999995</v>
      </c>
      <c r="AD267" s="42" t="s">
        <v>443</v>
      </c>
      <c r="AE267" s="42" t="s">
        <v>444</v>
      </c>
      <c r="AF267" s="43" t="s">
        <v>1275</v>
      </c>
      <c r="AG267" s="44">
        <v>32</v>
      </c>
      <c r="AH267" s="31">
        <v>20584496.589095861</v>
      </c>
      <c r="AI267" s="31">
        <v>900683.59999999986</v>
      </c>
      <c r="AJ267" s="31">
        <v>412847.96999999991</v>
      </c>
      <c r="AK267" s="31">
        <v>72230.490000000005</v>
      </c>
      <c r="AL267" s="31">
        <v>2956151.388394983</v>
      </c>
      <c r="AM267" s="31">
        <v>1448293.2867997941</v>
      </c>
      <c r="AN267" s="31">
        <v>1555617.4704821827</v>
      </c>
      <c r="AO267" s="31">
        <f t="shared" si="22"/>
        <v>28586592.194772813</v>
      </c>
      <c r="AP267" s="31">
        <v>656271.39999999991</v>
      </c>
      <c r="AR267" s="42" t="s">
        <v>443</v>
      </c>
      <c r="AS267" s="42" t="s">
        <v>444</v>
      </c>
      <c r="AT267" s="43" t="s">
        <v>1276</v>
      </c>
      <c r="AU267" s="44">
        <v>32</v>
      </c>
      <c r="AV267" s="31">
        <v>21395265.884435173</v>
      </c>
      <c r="AW267" s="31">
        <v>934560.30999999982</v>
      </c>
      <c r="AX267" s="31">
        <v>420534.97999999992</v>
      </c>
      <c r="AY267" s="31">
        <v>75034.739999999991</v>
      </c>
      <c r="AZ267" s="31">
        <v>3011491.5840625772</v>
      </c>
      <c r="BA267" s="31">
        <v>1448377.2850111839</v>
      </c>
      <c r="BB267" s="31">
        <v>1584716.2988476923</v>
      </c>
      <c r="BC267" s="31">
        <f t="shared" si="23"/>
        <v>29538634.392356623</v>
      </c>
      <c r="BD267" s="31">
        <v>668653.31000000006</v>
      </c>
    </row>
    <row r="268" spans="2:56">
      <c r="B268" s="42" t="s">
        <v>1022</v>
      </c>
      <c r="C268" s="42" t="s">
        <v>1040</v>
      </c>
      <c r="D268" s="43" t="s">
        <v>1049</v>
      </c>
      <c r="E268" s="44">
        <v>32</v>
      </c>
      <c r="F268" s="31">
        <v>4372247.8882674482</v>
      </c>
      <c r="G268" s="31">
        <v>178752.71000000002</v>
      </c>
      <c r="H268" s="31">
        <v>159104.59</v>
      </c>
      <c r="I268" s="31">
        <v>15244.220000000003</v>
      </c>
      <c r="J268" s="31">
        <v>575890.58804156969</v>
      </c>
      <c r="K268" s="31">
        <v>549892.23</v>
      </c>
      <c r="L268" s="31">
        <v>0</v>
      </c>
      <c r="M268" s="31">
        <f t="shared" si="20"/>
        <v>6004816.6563090179</v>
      </c>
      <c r="N268" s="31">
        <v>153684.43</v>
      </c>
      <c r="P268" s="42" t="s">
        <v>1022</v>
      </c>
      <c r="Q268" s="42" t="s">
        <v>1040</v>
      </c>
      <c r="R268" s="43" t="s">
        <v>1050</v>
      </c>
      <c r="S268" s="44">
        <v>32</v>
      </c>
      <c r="T268" s="31">
        <v>6110020.3112664605</v>
      </c>
      <c r="U268" s="31">
        <v>260959.9500000001</v>
      </c>
      <c r="V268" s="31">
        <v>164984.47000000003</v>
      </c>
      <c r="W268" s="31">
        <v>22013.549999999996</v>
      </c>
      <c r="X268" s="31">
        <v>596009.83546158473</v>
      </c>
      <c r="Y268" s="31">
        <v>549892.23</v>
      </c>
      <c r="Z268" s="31">
        <v>0</v>
      </c>
      <c r="AA268" s="31">
        <f t="shared" si="21"/>
        <v>7861411.8967280453</v>
      </c>
      <c r="AB268" s="31">
        <v>157531.55000000002</v>
      </c>
      <c r="AD268" s="42" t="s">
        <v>1022</v>
      </c>
      <c r="AE268" s="42" t="s">
        <v>1040</v>
      </c>
      <c r="AF268" s="43" t="s">
        <v>1275</v>
      </c>
      <c r="AG268" s="44">
        <v>32</v>
      </c>
      <c r="AH268" s="31">
        <v>6968658.0253036283</v>
      </c>
      <c r="AI268" s="31">
        <v>297501.28000000009</v>
      </c>
      <c r="AJ268" s="31">
        <v>168219.43000000002</v>
      </c>
      <c r="AK268" s="31">
        <v>25071.73</v>
      </c>
      <c r="AL268" s="31">
        <v>608025.54262311384</v>
      </c>
      <c r="AM268" s="31">
        <v>549892.23</v>
      </c>
      <c r="AN268" s="31">
        <v>0</v>
      </c>
      <c r="AO268" s="31">
        <f t="shared" si="22"/>
        <v>8777724.6679267418</v>
      </c>
      <c r="AP268" s="31">
        <v>160356.43</v>
      </c>
      <c r="AR268" s="42" t="s">
        <v>1022</v>
      </c>
      <c r="AS268" s="42" t="s">
        <v>1040</v>
      </c>
      <c r="AT268" s="43" t="s">
        <v>1276</v>
      </c>
      <c r="AU268" s="44">
        <v>32</v>
      </c>
      <c r="AV268" s="31">
        <v>7187725.6913053654</v>
      </c>
      <c r="AW268" s="31">
        <v>306649.26</v>
      </c>
      <c r="AX268" s="31">
        <v>171351.6</v>
      </c>
      <c r="AY268" s="31">
        <v>25903.4</v>
      </c>
      <c r="AZ268" s="31">
        <v>619571.27006967564</v>
      </c>
      <c r="BA268" s="31">
        <v>549892.23</v>
      </c>
      <c r="BB268" s="31">
        <v>0</v>
      </c>
      <c r="BC268" s="31">
        <f t="shared" si="23"/>
        <v>9024475.3413750418</v>
      </c>
      <c r="BD268" s="31">
        <v>163381.88999999998</v>
      </c>
    </row>
    <row r="269" spans="2:56">
      <c r="B269" s="42" t="s">
        <v>391</v>
      </c>
      <c r="C269" s="42" t="s">
        <v>392</v>
      </c>
      <c r="D269" s="43" t="s">
        <v>1049</v>
      </c>
      <c r="E269" s="44">
        <v>32</v>
      </c>
      <c r="F269" s="31">
        <v>2004019.8586240229</v>
      </c>
      <c r="G269" s="31">
        <v>81790.639999999985</v>
      </c>
      <c r="H269" s="31">
        <v>32651.61</v>
      </c>
      <c r="I269" s="31">
        <v>5495.8100000000013</v>
      </c>
      <c r="J269" s="31">
        <v>217034.57474780016</v>
      </c>
      <c r="K269" s="31">
        <v>163150.46</v>
      </c>
      <c r="L269" s="31">
        <v>0</v>
      </c>
      <c r="M269" s="31">
        <f t="shared" si="20"/>
        <v>2561364.0733718234</v>
      </c>
      <c r="N269" s="31">
        <v>57221.119999999995</v>
      </c>
      <c r="P269" s="42" t="s">
        <v>391</v>
      </c>
      <c r="Q269" s="42" t="s">
        <v>392</v>
      </c>
      <c r="R269" s="43" t="s">
        <v>1050</v>
      </c>
      <c r="S269" s="44">
        <v>32</v>
      </c>
      <c r="T269" s="31">
        <v>2356069.9161317637</v>
      </c>
      <c r="U269" s="31">
        <v>114294.00000000003</v>
      </c>
      <c r="V269" s="31">
        <v>33872.51</v>
      </c>
      <c r="W269" s="31">
        <v>7713.5300000000007</v>
      </c>
      <c r="X269" s="31">
        <v>224305.71029107145</v>
      </c>
      <c r="Y269" s="31">
        <v>163150.46</v>
      </c>
      <c r="Z269" s="31">
        <v>0</v>
      </c>
      <c r="AA269" s="31">
        <f t="shared" si="21"/>
        <v>2958051.9064228344</v>
      </c>
      <c r="AB269" s="31">
        <v>58645.78</v>
      </c>
      <c r="AD269" s="42" t="s">
        <v>391</v>
      </c>
      <c r="AE269" s="42" t="s">
        <v>392</v>
      </c>
      <c r="AF269" s="43" t="s">
        <v>1275</v>
      </c>
      <c r="AG269" s="44">
        <v>32</v>
      </c>
      <c r="AH269" s="31">
        <v>2401475.229226335</v>
      </c>
      <c r="AI269" s="31">
        <v>116636.40999999997</v>
      </c>
      <c r="AJ269" s="31">
        <v>34536.19</v>
      </c>
      <c r="AK269" s="31">
        <v>7864.6900000000005</v>
      </c>
      <c r="AL269" s="31">
        <v>228489.20494617856</v>
      </c>
      <c r="AM269" s="31">
        <v>163150.46</v>
      </c>
      <c r="AN269" s="31">
        <v>0</v>
      </c>
      <c r="AO269" s="31">
        <f t="shared" si="22"/>
        <v>3011844.0641725133</v>
      </c>
      <c r="AP269" s="31">
        <v>59691.88</v>
      </c>
      <c r="AR269" s="42" t="s">
        <v>391</v>
      </c>
      <c r="AS269" s="42" t="s">
        <v>392</v>
      </c>
      <c r="AT269" s="43" t="s">
        <v>1276</v>
      </c>
      <c r="AU269" s="44">
        <v>32</v>
      </c>
      <c r="AV269" s="31">
        <v>2446155.5227727173</v>
      </c>
      <c r="AW269" s="31">
        <v>118780.10999999999</v>
      </c>
      <c r="AX269" s="31">
        <v>35175.51</v>
      </c>
      <c r="AY269" s="31">
        <v>8010.2800000000007</v>
      </c>
      <c r="AZ269" s="31">
        <v>232750.46045378273</v>
      </c>
      <c r="BA269" s="31">
        <v>163150.46</v>
      </c>
      <c r="BB269" s="31">
        <v>0</v>
      </c>
      <c r="BC269" s="31">
        <f t="shared" si="23"/>
        <v>3064834.5932264994</v>
      </c>
      <c r="BD269" s="31">
        <v>60812.249999999993</v>
      </c>
    </row>
    <row r="270" spans="2:56">
      <c r="B270" s="42" t="s">
        <v>221</v>
      </c>
      <c r="C270" s="42" t="s">
        <v>222</v>
      </c>
      <c r="D270" s="43" t="s">
        <v>1049</v>
      </c>
      <c r="E270" s="44">
        <v>32</v>
      </c>
      <c r="F270" s="31">
        <v>2812960.1904540053</v>
      </c>
      <c r="G270" s="31">
        <v>82996.38</v>
      </c>
      <c r="H270" s="31">
        <v>100724.84</v>
      </c>
      <c r="I270" s="31">
        <v>9936.98</v>
      </c>
      <c r="J270" s="31">
        <v>388656.25018119102</v>
      </c>
      <c r="K270" s="31">
        <v>567488.78</v>
      </c>
      <c r="L270" s="31">
        <v>0</v>
      </c>
      <c r="M270" s="31">
        <f t="shared" si="20"/>
        <v>3962763.4206351964</v>
      </c>
      <c r="N270" s="31">
        <v>0</v>
      </c>
      <c r="P270" s="42" t="s">
        <v>221</v>
      </c>
      <c r="Q270" s="42" t="s">
        <v>222</v>
      </c>
      <c r="R270" s="43" t="s">
        <v>1050</v>
      </c>
      <c r="S270" s="44">
        <v>32</v>
      </c>
      <c r="T270" s="31">
        <v>3827532.1523628961</v>
      </c>
      <c r="U270" s="31">
        <v>112995.05999999998</v>
      </c>
      <c r="V270" s="31">
        <v>104447.23999999999</v>
      </c>
      <c r="W270" s="31">
        <v>13582.83</v>
      </c>
      <c r="X270" s="31">
        <v>401594.49262898962</v>
      </c>
      <c r="Y270" s="31">
        <v>567488.78</v>
      </c>
      <c r="Z270" s="31">
        <v>0</v>
      </c>
      <c r="AA270" s="31">
        <f t="shared" si="21"/>
        <v>5027640.554991886</v>
      </c>
      <c r="AB270" s="31">
        <v>0</v>
      </c>
      <c r="AD270" s="42" t="s">
        <v>221</v>
      </c>
      <c r="AE270" s="42" t="s">
        <v>222</v>
      </c>
      <c r="AF270" s="43" t="s">
        <v>1275</v>
      </c>
      <c r="AG270" s="44">
        <v>32</v>
      </c>
      <c r="AH270" s="31">
        <v>4026493.5609136643</v>
      </c>
      <c r="AI270" s="31">
        <v>118911.68000000001</v>
      </c>
      <c r="AJ270" s="31">
        <v>106495.20000000001</v>
      </c>
      <c r="AK270" s="31">
        <v>14326.720000000001</v>
      </c>
      <c r="AL270" s="31">
        <v>409102.08570557914</v>
      </c>
      <c r="AM270" s="31">
        <v>567488.78</v>
      </c>
      <c r="AN270" s="31">
        <v>0</v>
      </c>
      <c r="AO270" s="31">
        <f t="shared" si="22"/>
        <v>5242818.0266192434</v>
      </c>
      <c r="AP270" s="31">
        <v>0</v>
      </c>
      <c r="AR270" s="42" t="s">
        <v>221</v>
      </c>
      <c r="AS270" s="42" t="s">
        <v>222</v>
      </c>
      <c r="AT270" s="43" t="s">
        <v>1276</v>
      </c>
      <c r="AU270" s="44">
        <v>32</v>
      </c>
      <c r="AV270" s="31">
        <v>4190909.9144698679</v>
      </c>
      <c r="AW270" s="31">
        <v>123679.60999999999</v>
      </c>
      <c r="AX270" s="31">
        <v>108478.08000000002</v>
      </c>
      <c r="AY270" s="31">
        <v>14836.680000000002</v>
      </c>
      <c r="AZ270" s="31">
        <v>416764.74507342943</v>
      </c>
      <c r="BA270" s="31">
        <v>567488.78</v>
      </c>
      <c r="BB270" s="31">
        <v>0</v>
      </c>
      <c r="BC270" s="31">
        <f t="shared" si="23"/>
        <v>5422157.8095432976</v>
      </c>
      <c r="BD270" s="31">
        <v>0</v>
      </c>
    </row>
    <row r="271" spans="2:56">
      <c r="B271" s="42" t="s">
        <v>495</v>
      </c>
      <c r="C271" s="42" t="s">
        <v>496</v>
      </c>
      <c r="D271" s="43" t="s">
        <v>1049</v>
      </c>
      <c r="E271" s="44">
        <v>32</v>
      </c>
      <c r="F271" s="31">
        <v>663445.3646271273</v>
      </c>
      <c r="G271" s="31">
        <v>37905.230000000003</v>
      </c>
      <c r="H271" s="31">
        <v>0</v>
      </c>
      <c r="I271" s="31">
        <v>2046.29</v>
      </c>
      <c r="J271" s="31">
        <v>77745.358989579487</v>
      </c>
      <c r="K271" s="31">
        <v>0</v>
      </c>
      <c r="L271" s="31">
        <v>0</v>
      </c>
      <c r="M271" s="31">
        <f t="shared" si="20"/>
        <v>801994.99361670681</v>
      </c>
      <c r="N271" s="31">
        <v>20852.75</v>
      </c>
      <c r="P271" s="42" t="s">
        <v>495</v>
      </c>
      <c r="Q271" s="42" t="s">
        <v>496</v>
      </c>
      <c r="R271" s="43" t="s">
        <v>1050</v>
      </c>
      <c r="S271" s="44">
        <v>32</v>
      </c>
      <c r="T271" s="31">
        <v>646856.09792203247</v>
      </c>
      <c r="U271" s="31">
        <v>36006.30999999999</v>
      </c>
      <c r="V271" s="31">
        <v>0</v>
      </c>
      <c r="W271" s="31">
        <v>1922.52</v>
      </c>
      <c r="X271" s="31">
        <v>78126.605967831754</v>
      </c>
      <c r="Y271" s="31">
        <v>0</v>
      </c>
      <c r="Z271" s="31">
        <v>0</v>
      </c>
      <c r="AA271" s="31">
        <f t="shared" si="21"/>
        <v>784276.91388986423</v>
      </c>
      <c r="AB271" s="31">
        <v>21365.380000000005</v>
      </c>
      <c r="AD271" s="42" t="s">
        <v>495</v>
      </c>
      <c r="AE271" s="42" t="s">
        <v>496</v>
      </c>
      <c r="AF271" s="43" t="s">
        <v>1275</v>
      </c>
      <c r="AG271" s="44">
        <v>32</v>
      </c>
      <c r="AH271" s="31">
        <v>636755.49318426312</v>
      </c>
      <c r="AI271" s="31">
        <v>36752.14</v>
      </c>
      <c r="AJ271" s="31">
        <v>0</v>
      </c>
      <c r="AK271" s="31">
        <v>1960.1200000000001</v>
      </c>
      <c r="AL271" s="31">
        <v>79220.301626386354</v>
      </c>
      <c r="AM271" s="31">
        <v>0</v>
      </c>
      <c r="AN271" s="31">
        <v>0</v>
      </c>
      <c r="AO271" s="31">
        <f t="shared" si="22"/>
        <v>776429.86481064954</v>
      </c>
      <c r="AP271" s="31">
        <v>21741.81</v>
      </c>
      <c r="AR271" s="42" t="s">
        <v>495</v>
      </c>
      <c r="AS271" s="42" t="s">
        <v>496</v>
      </c>
      <c r="AT271" s="43" t="s">
        <v>1276</v>
      </c>
      <c r="AU271" s="44">
        <v>32</v>
      </c>
      <c r="AV271" s="31">
        <v>670486.16938889329</v>
      </c>
      <c r="AW271" s="31">
        <v>39097.929999999993</v>
      </c>
      <c r="AX271" s="31">
        <v>0</v>
      </c>
      <c r="AY271" s="31">
        <v>2100.9499999999998</v>
      </c>
      <c r="AZ271" s="31">
        <v>80976.254489091487</v>
      </c>
      <c r="BA271" s="31">
        <v>0</v>
      </c>
      <c r="BB271" s="31">
        <v>0</v>
      </c>
      <c r="BC271" s="31">
        <f t="shared" si="23"/>
        <v>814806.25387798459</v>
      </c>
      <c r="BD271" s="31">
        <v>22144.95</v>
      </c>
    </row>
    <row r="272" spans="2:56">
      <c r="B272" s="42" t="s">
        <v>371</v>
      </c>
      <c r="C272" s="42" t="s">
        <v>372</v>
      </c>
      <c r="D272" s="43" t="s">
        <v>1049</v>
      </c>
      <c r="E272" s="44">
        <v>32</v>
      </c>
      <c r="F272" s="31">
        <v>86685427.923103526</v>
      </c>
      <c r="G272" s="31">
        <v>1980432.78</v>
      </c>
      <c r="H272" s="31">
        <v>726201.79999999993</v>
      </c>
      <c r="I272" s="31">
        <v>306364.68000000005</v>
      </c>
      <c r="J272" s="31">
        <v>12044673.861620503</v>
      </c>
      <c r="K272" s="31">
        <v>4521571.2075299555</v>
      </c>
      <c r="L272" s="31">
        <v>6313522.3172095455</v>
      </c>
      <c r="M272" s="31">
        <f t="shared" si="20"/>
        <v>112715051.11946353</v>
      </c>
      <c r="N272" s="31">
        <v>136856.54999999999</v>
      </c>
      <c r="P272" s="42" t="s">
        <v>371</v>
      </c>
      <c r="Q272" s="42" t="s">
        <v>372</v>
      </c>
      <c r="R272" s="43" t="s">
        <v>1050</v>
      </c>
      <c r="S272" s="44">
        <v>32</v>
      </c>
      <c r="T272" s="31">
        <v>88907187.006518513</v>
      </c>
      <c r="U272" s="31">
        <v>2037748.8599999999</v>
      </c>
      <c r="V272" s="31">
        <v>753355.64000000013</v>
      </c>
      <c r="W272" s="31">
        <v>314913.61</v>
      </c>
      <c r="X272" s="31">
        <v>12422913.326396804</v>
      </c>
      <c r="Y272" s="31">
        <v>4526336.301845816</v>
      </c>
      <c r="Z272" s="31">
        <v>6534602.0670237252</v>
      </c>
      <c r="AA272" s="31">
        <f t="shared" si="21"/>
        <v>115637320.71178487</v>
      </c>
      <c r="AB272" s="31">
        <v>140263.9</v>
      </c>
      <c r="AD272" s="42" t="s">
        <v>371</v>
      </c>
      <c r="AE272" s="42" t="s">
        <v>372</v>
      </c>
      <c r="AF272" s="43" t="s">
        <v>1275</v>
      </c>
      <c r="AG272" s="44">
        <v>32</v>
      </c>
      <c r="AH272" s="31">
        <v>91430139.06172353</v>
      </c>
      <c r="AI272" s="31">
        <v>2096386.9099999997</v>
      </c>
      <c r="AJ272" s="31">
        <v>768116.6</v>
      </c>
      <c r="AK272" s="31">
        <v>323933.42</v>
      </c>
      <c r="AL272" s="31">
        <v>12648230.889689341</v>
      </c>
      <c r="AM272" s="31">
        <v>4524593.7325522341</v>
      </c>
      <c r="AN272" s="31">
        <v>6660745.8676238665</v>
      </c>
      <c r="AO272" s="31">
        <f t="shared" si="22"/>
        <v>118594912.37158896</v>
      </c>
      <c r="AP272" s="31">
        <v>142765.89000000001</v>
      </c>
      <c r="AR272" s="42" t="s">
        <v>371</v>
      </c>
      <c r="AS272" s="42" t="s">
        <v>372</v>
      </c>
      <c r="AT272" s="43" t="s">
        <v>1276</v>
      </c>
      <c r="AU272" s="44">
        <v>32</v>
      </c>
      <c r="AV272" s="31">
        <v>93831346.148247987</v>
      </c>
      <c r="AW272" s="31">
        <v>2148275.19</v>
      </c>
      <c r="AX272" s="31">
        <v>782335.44</v>
      </c>
      <c r="AY272" s="31">
        <v>332019.48</v>
      </c>
      <c r="AZ272" s="31">
        <v>12895267.70501985</v>
      </c>
      <c r="BA272" s="31">
        <v>4524864.6367732538</v>
      </c>
      <c r="BB272" s="31">
        <v>6784796.3875684952</v>
      </c>
      <c r="BC272" s="31">
        <f t="shared" si="23"/>
        <v>121444350.48760958</v>
      </c>
      <c r="BD272" s="31">
        <v>145445.5</v>
      </c>
    </row>
    <row r="273" spans="2:56">
      <c r="B273" s="42" t="s">
        <v>595</v>
      </c>
      <c r="C273" s="42" t="s">
        <v>596</v>
      </c>
      <c r="D273" s="43" t="s">
        <v>1049</v>
      </c>
      <c r="E273" s="44">
        <v>32</v>
      </c>
      <c r="F273" s="31">
        <v>53208260.677478388</v>
      </c>
      <c r="G273" s="31">
        <v>3767720.63</v>
      </c>
      <c r="H273" s="31">
        <v>3086693.38</v>
      </c>
      <c r="I273" s="31">
        <v>180658.84</v>
      </c>
      <c r="J273" s="31">
        <v>7850638.4012261145</v>
      </c>
      <c r="K273" s="31">
        <v>3065070.5969906682</v>
      </c>
      <c r="L273" s="31">
        <v>2349537.1804656349</v>
      </c>
      <c r="M273" s="31">
        <f t="shared" si="20"/>
        <v>75362232.776160821</v>
      </c>
      <c r="N273" s="31">
        <v>1853653.07</v>
      </c>
      <c r="P273" s="42" t="s">
        <v>595</v>
      </c>
      <c r="Q273" s="42" t="s">
        <v>596</v>
      </c>
      <c r="R273" s="43" t="s">
        <v>1050</v>
      </c>
      <c r="S273" s="44">
        <v>32</v>
      </c>
      <c r="T273" s="31">
        <v>56142725.720735773</v>
      </c>
      <c r="U273" s="31">
        <v>3964325.4799999995</v>
      </c>
      <c r="V273" s="31">
        <v>3205225.5399999996</v>
      </c>
      <c r="W273" s="31">
        <v>188911.71000000002</v>
      </c>
      <c r="X273" s="31">
        <v>8109452.825768088</v>
      </c>
      <c r="Y273" s="31">
        <v>3068178.358845924</v>
      </c>
      <c r="Z273" s="31">
        <v>2456648.2780791773</v>
      </c>
      <c r="AA273" s="31">
        <f t="shared" si="21"/>
        <v>79034690.563428968</v>
      </c>
      <c r="AB273" s="31">
        <v>1899222.6500000001</v>
      </c>
      <c r="AD273" s="42" t="s">
        <v>595</v>
      </c>
      <c r="AE273" s="42" t="s">
        <v>596</v>
      </c>
      <c r="AF273" s="43" t="s">
        <v>1275</v>
      </c>
      <c r="AG273" s="44">
        <v>32</v>
      </c>
      <c r="AH273" s="31">
        <v>56819614.577952825</v>
      </c>
      <c r="AI273" s="31">
        <v>4018946.6000000006</v>
      </c>
      <c r="AJ273" s="31">
        <v>3267923.8499999996</v>
      </c>
      <c r="AK273" s="31">
        <v>191369.11</v>
      </c>
      <c r="AL273" s="31">
        <v>8259661.6491469201</v>
      </c>
      <c r="AM273" s="31">
        <v>3067122.5615092292</v>
      </c>
      <c r="AN273" s="31">
        <v>2503967.7172536319</v>
      </c>
      <c r="AO273" s="31">
        <f t="shared" si="22"/>
        <v>80061289.815862596</v>
      </c>
      <c r="AP273" s="31">
        <v>1932683.7500000002</v>
      </c>
      <c r="AR273" s="42" t="s">
        <v>595</v>
      </c>
      <c r="AS273" s="42" t="s">
        <v>596</v>
      </c>
      <c r="AT273" s="43" t="s">
        <v>1276</v>
      </c>
      <c r="AU273" s="44">
        <v>32</v>
      </c>
      <c r="AV273" s="31">
        <v>56838386.582451038</v>
      </c>
      <c r="AW273" s="31">
        <v>4017418.209999999</v>
      </c>
      <c r="AX273" s="31">
        <v>3327599.1599999997</v>
      </c>
      <c r="AY273" s="31">
        <v>191292.05</v>
      </c>
      <c r="AZ273" s="31">
        <v>8422327.2661531903</v>
      </c>
      <c r="BA273" s="31">
        <v>3067290.5761843603</v>
      </c>
      <c r="BB273" s="31">
        <v>2550129.6344852727</v>
      </c>
      <c r="BC273" s="31">
        <f t="shared" si="23"/>
        <v>80382964.049273849</v>
      </c>
      <c r="BD273" s="31">
        <v>1968520.57</v>
      </c>
    </row>
    <row r="274" spans="2:56">
      <c r="B274" s="42" t="s">
        <v>237</v>
      </c>
      <c r="C274" s="42" t="s">
        <v>238</v>
      </c>
      <c r="D274" s="43" t="s">
        <v>1049</v>
      </c>
      <c r="E274" s="44">
        <v>32</v>
      </c>
      <c r="F274" s="31">
        <v>2273242.2756274929</v>
      </c>
      <c r="G274" s="31">
        <v>39522.080000000002</v>
      </c>
      <c r="H274" s="31">
        <v>0</v>
      </c>
      <c r="I274" s="31">
        <v>0</v>
      </c>
      <c r="J274" s="31">
        <v>106546.04957334505</v>
      </c>
      <c r="K274" s="31">
        <v>68769.66</v>
      </c>
      <c r="L274" s="31">
        <v>37412.189998806687</v>
      </c>
      <c r="M274" s="31">
        <f t="shared" si="20"/>
        <v>2553609.3851996446</v>
      </c>
      <c r="N274" s="31">
        <v>28117.13</v>
      </c>
      <c r="P274" s="42" t="s">
        <v>237</v>
      </c>
      <c r="Q274" s="42" t="s">
        <v>238</v>
      </c>
      <c r="R274" s="43" t="s">
        <v>1050</v>
      </c>
      <c r="S274" s="44">
        <v>32</v>
      </c>
      <c r="T274" s="31">
        <v>2359471.343200135</v>
      </c>
      <c r="U274" s="31">
        <v>41317.920000000013</v>
      </c>
      <c r="V274" s="31">
        <v>0</v>
      </c>
      <c r="W274" s="31">
        <v>0</v>
      </c>
      <c r="X274" s="31">
        <v>110101.34771019369</v>
      </c>
      <c r="Y274" s="31">
        <v>68769.66</v>
      </c>
      <c r="Z274" s="31">
        <v>39063.283960839995</v>
      </c>
      <c r="AA274" s="31">
        <f t="shared" si="21"/>
        <v>2647544.5248711691</v>
      </c>
      <c r="AB274" s="31">
        <v>28820.97</v>
      </c>
      <c r="AD274" s="42" t="s">
        <v>237</v>
      </c>
      <c r="AE274" s="42" t="s">
        <v>238</v>
      </c>
      <c r="AF274" s="43" t="s">
        <v>1275</v>
      </c>
      <c r="AG274" s="44">
        <v>32</v>
      </c>
      <c r="AH274" s="31">
        <v>2404724.7972661024</v>
      </c>
      <c r="AI274" s="31">
        <v>42176.37000000001</v>
      </c>
      <c r="AJ274" s="31">
        <v>0</v>
      </c>
      <c r="AK274" s="31">
        <v>0</v>
      </c>
      <c r="AL274" s="31">
        <v>112158.53526606073</v>
      </c>
      <c r="AM274" s="31">
        <v>68769.66</v>
      </c>
      <c r="AN274" s="31">
        <v>39818.229239457753</v>
      </c>
      <c r="AO274" s="31">
        <f t="shared" si="22"/>
        <v>2696985.3817716213</v>
      </c>
      <c r="AP274" s="31">
        <v>29337.789999999997</v>
      </c>
      <c r="AR274" s="42" t="s">
        <v>237</v>
      </c>
      <c r="AS274" s="42" t="s">
        <v>238</v>
      </c>
      <c r="AT274" s="43" t="s">
        <v>1276</v>
      </c>
      <c r="AU274" s="44">
        <v>32</v>
      </c>
      <c r="AV274" s="31">
        <v>2449132.967625835</v>
      </c>
      <c r="AW274" s="31">
        <v>42954.389999999992</v>
      </c>
      <c r="AX274" s="31">
        <v>0</v>
      </c>
      <c r="AY274" s="31">
        <v>0</v>
      </c>
      <c r="AZ274" s="31">
        <v>114257.35816839349</v>
      </c>
      <c r="BA274" s="31">
        <v>68769.66</v>
      </c>
      <c r="BB274" s="31">
        <v>40563.080927497365</v>
      </c>
      <c r="BC274" s="31">
        <f t="shared" si="23"/>
        <v>2745568.7767217257</v>
      </c>
      <c r="BD274" s="31">
        <v>29891.32</v>
      </c>
    </row>
    <row r="275" spans="2:56">
      <c r="B275" s="42" t="s">
        <v>365</v>
      </c>
      <c r="C275" s="42" t="s">
        <v>366</v>
      </c>
      <c r="D275" s="43" t="s">
        <v>1049</v>
      </c>
      <c r="E275" s="44">
        <v>32</v>
      </c>
      <c r="F275" s="31">
        <v>238270948.37931061</v>
      </c>
      <c r="G275" s="31">
        <v>10841948.199999999</v>
      </c>
      <c r="H275" s="31">
        <v>5127271.330000001</v>
      </c>
      <c r="I275" s="31">
        <v>846032.10000000009</v>
      </c>
      <c r="J275" s="31">
        <v>38062383.343127437</v>
      </c>
      <c r="K275" s="31">
        <v>14300110.210898036</v>
      </c>
      <c r="L275" s="31">
        <v>18828001.909984902</v>
      </c>
      <c r="M275" s="31">
        <f t="shared" si="20"/>
        <v>331969604.60332096</v>
      </c>
      <c r="N275" s="31">
        <v>5692909.1300000008</v>
      </c>
      <c r="P275" s="42" t="s">
        <v>365</v>
      </c>
      <c r="Q275" s="42" t="s">
        <v>366</v>
      </c>
      <c r="R275" s="43" t="s">
        <v>1050</v>
      </c>
      <c r="S275" s="44">
        <v>32</v>
      </c>
      <c r="T275" s="31">
        <v>257617753.59458715</v>
      </c>
      <c r="U275" s="31">
        <v>11607453.259999996</v>
      </c>
      <c r="V275" s="31">
        <v>5318988.2399999993</v>
      </c>
      <c r="W275" s="31">
        <v>900248.26</v>
      </c>
      <c r="X275" s="31">
        <v>39481797.374236308</v>
      </c>
      <c r="Y275" s="31">
        <v>14314426.794822108</v>
      </c>
      <c r="Z275" s="31">
        <v>19678668.359182592</v>
      </c>
      <c r="AA275" s="31">
        <f t="shared" si="21"/>
        <v>354753983.06282812</v>
      </c>
      <c r="AB275" s="31">
        <v>5834647.1800000016</v>
      </c>
      <c r="AD275" s="42" t="s">
        <v>365</v>
      </c>
      <c r="AE275" s="42" t="s">
        <v>366</v>
      </c>
      <c r="AF275" s="43" t="s">
        <v>1275</v>
      </c>
      <c r="AG275" s="44">
        <v>32</v>
      </c>
      <c r="AH275" s="31">
        <v>262420745.74428722</v>
      </c>
      <c r="AI275" s="31">
        <v>11833732.75</v>
      </c>
      <c r="AJ275" s="31">
        <v>5423206.4500000002</v>
      </c>
      <c r="AK275" s="31">
        <v>916975.55</v>
      </c>
      <c r="AL275" s="31">
        <v>40238406.039170623</v>
      </c>
      <c r="AM275" s="31">
        <v>14309191.297289135</v>
      </c>
      <c r="AN275" s="31">
        <v>20058589.097996503</v>
      </c>
      <c r="AO275" s="31">
        <f t="shared" si="22"/>
        <v>361139570.3487435</v>
      </c>
      <c r="AP275" s="31">
        <v>5938723.4200000009</v>
      </c>
      <c r="AR275" s="42" t="s">
        <v>365</v>
      </c>
      <c r="AS275" s="42" t="s">
        <v>366</v>
      </c>
      <c r="AT275" s="43" t="s">
        <v>1276</v>
      </c>
      <c r="AU275" s="44">
        <v>32</v>
      </c>
      <c r="AV275" s="31">
        <v>265546028.34725732</v>
      </c>
      <c r="AW275" s="31">
        <v>11977192.509999998</v>
      </c>
      <c r="AX275" s="31">
        <v>5523597.0500000007</v>
      </c>
      <c r="AY275" s="31">
        <v>928145.39999999991</v>
      </c>
      <c r="AZ275" s="31">
        <v>40991972.350748509</v>
      </c>
      <c r="BA275" s="31">
        <v>14310005.220951192</v>
      </c>
      <c r="BB275" s="31">
        <v>20432132.13906496</v>
      </c>
      <c r="BC275" s="31">
        <f t="shared" si="23"/>
        <v>365759262.06802201</v>
      </c>
      <c r="BD275" s="31">
        <v>6050189.0500000007</v>
      </c>
    </row>
    <row r="276" spans="2:56">
      <c r="B276" s="42" t="s">
        <v>153</v>
      </c>
      <c r="C276" s="42" t="s">
        <v>154</v>
      </c>
      <c r="D276" s="43" t="s">
        <v>1049</v>
      </c>
      <c r="E276" s="44">
        <v>32</v>
      </c>
      <c r="F276" s="31">
        <v>2193906.3891239888</v>
      </c>
      <c r="G276" s="31">
        <v>76492.540000000008</v>
      </c>
      <c r="H276" s="31">
        <v>0</v>
      </c>
      <c r="I276" s="31">
        <v>0</v>
      </c>
      <c r="J276" s="31">
        <v>195989.93451589323</v>
      </c>
      <c r="K276" s="31">
        <v>111849.42634267254</v>
      </c>
      <c r="L276" s="31">
        <v>31852.027890368867</v>
      </c>
      <c r="M276" s="31">
        <f t="shared" si="20"/>
        <v>2655790.9578729235</v>
      </c>
      <c r="N276" s="31">
        <v>45700.639999999999</v>
      </c>
      <c r="P276" s="42" t="s">
        <v>153</v>
      </c>
      <c r="Q276" s="42" t="s">
        <v>154</v>
      </c>
      <c r="R276" s="43" t="s">
        <v>1050</v>
      </c>
      <c r="S276" s="44">
        <v>32</v>
      </c>
      <c r="T276" s="31">
        <v>2335955.9471148653</v>
      </c>
      <c r="U276" s="31">
        <v>82692.209999999992</v>
      </c>
      <c r="V276" s="31">
        <v>0</v>
      </c>
      <c r="W276" s="31">
        <v>0</v>
      </c>
      <c r="X276" s="31">
        <v>203783.82574697843</v>
      </c>
      <c r="Y276" s="31">
        <v>111931.26191209196</v>
      </c>
      <c r="Z276" s="31">
        <v>33290.512425798908</v>
      </c>
      <c r="AA276" s="31">
        <f t="shared" si="21"/>
        <v>2814477.8871997348</v>
      </c>
      <c r="AB276" s="31">
        <v>46824.130000000005</v>
      </c>
      <c r="AD276" s="42" t="s">
        <v>153</v>
      </c>
      <c r="AE276" s="42" t="s">
        <v>154</v>
      </c>
      <c r="AF276" s="43" t="s">
        <v>1275</v>
      </c>
      <c r="AG276" s="44">
        <v>32</v>
      </c>
      <c r="AH276" s="31">
        <v>2389247.8840681119</v>
      </c>
      <c r="AI276" s="31">
        <v>83369.09</v>
      </c>
      <c r="AJ276" s="31">
        <v>0</v>
      </c>
      <c r="AK276" s="31">
        <v>0</v>
      </c>
      <c r="AL276" s="31">
        <v>210987.55792772144</v>
      </c>
      <c r="AM276" s="31">
        <v>111903.45998251559</v>
      </c>
      <c r="AN276" s="31">
        <v>33931.667254582077</v>
      </c>
      <c r="AO276" s="31">
        <f t="shared" si="22"/>
        <v>2877088.7492329311</v>
      </c>
      <c r="AP276" s="31">
        <v>47649.090000000004</v>
      </c>
      <c r="AR276" s="42" t="s">
        <v>153</v>
      </c>
      <c r="AS276" s="42" t="s">
        <v>154</v>
      </c>
      <c r="AT276" s="43" t="s">
        <v>1276</v>
      </c>
      <c r="AU276" s="44">
        <v>32</v>
      </c>
      <c r="AV276" s="31">
        <v>2492842.1442201557</v>
      </c>
      <c r="AW276" s="31">
        <v>81201.399999999994</v>
      </c>
      <c r="AX276" s="31">
        <v>0</v>
      </c>
      <c r="AY276" s="31">
        <v>0</v>
      </c>
      <c r="AZ276" s="31">
        <v>217778.95413696792</v>
      </c>
      <c r="BA276" s="31">
        <v>111907.88425221533</v>
      </c>
      <c r="BB276" s="31">
        <v>34557.10453580886</v>
      </c>
      <c r="BC276" s="31">
        <f t="shared" si="23"/>
        <v>2986820.1071451479</v>
      </c>
      <c r="BD276" s="31">
        <v>48532.62</v>
      </c>
    </row>
    <row r="277" spans="2:56">
      <c r="B277" s="42" t="s">
        <v>207</v>
      </c>
      <c r="C277" s="42" t="s">
        <v>208</v>
      </c>
      <c r="D277" s="43" t="s">
        <v>1049</v>
      </c>
      <c r="E277" s="44">
        <v>32</v>
      </c>
      <c r="F277" s="31">
        <v>80825810.915182307</v>
      </c>
      <c r="G277" s="31">
        <v>848611.08</v>
      </c>
      <c r="H277" s="31">
        <v>679424.10999999987</v>
      </c>
      <c r="I277" s="31">
        <v>290317.37</v>
      </c>
      <c r="J277" s="31">
        <v>11316501.292153418</v>
      </c>
      <c r="K277" s="31">
        <v>4351248.9134863839</v>
      </c>
      <c r="L277" s="31">
        <v>5790616.7415911825</v>
      </c>
      <c r="M277" s="31">
        <f t="shared" si="20"/>
        <v>104102530.42241329</v>
      </c>
      <c r="N277" s="31">
        <v>0</v>
      </c>
      <c r="P277" s="42" t="s">
        <v>207</v>
      </c>
      <c r="Q277" s="42" t="s">
        <v>208</v>
      </c>
      <c r="R277" s="43" t="s">
        <v>1050</v>
      </c>
      <c r="S277" s="44">
        <v>32</v>
      </c>
      <c r="T277" s="31">
        <v>89058346.757646486</v>
      </c>
      <c r="U277" s="31">
        <v>931493.9</v>
      </c>
      <c r="V277" s="31">
        <v>704350.28000000014</v>
      </c>
      <c r="W277" s="31">
        <v>318700.71999999997</v>
      </c>
      <c r="X277" s="31">
        <v>11695240.855159551</v>
      </c>
      <c r="Y277" s="31">
        <v>4354034.3781427974</v>
      </c>
      <c r="Z277" s="31">
        <v>5991066.7768961741</v>
      </c>
      <c r="AA277" s="31">
        <f t="shared" si="21"/>
        <v>113053233.66784503</v>
      </c>
      <c r="AB277" s="31">
        <v>0</v>
      </c>
      <c r="AD277" s="42" t="s">
        <v>207</v>
      </c>
      <c r="AE277" s="42" t="s">
        <v>208</v>
      </c>
      <c r="AF277" s="43" t="s">
        <v>1275</v>
      </c>
      <c r="AG277" s="44">
        <v>32</v>
      </c>
      <c r="AH277" s="31">
        <v>91580733.229782462</v>
      </c>
      <c r="AI277" s="31">
        <v>959359.87999999989</v>
      </c>
      <c r="AJ277" s="31">
        <v>718166.96000000008</v>
      </c>
      <c r="AK277" s="31">
        <v>328273.27</v>
      </c>
      <c r="AL277" s="31">
        <v>11892764.434497368</v>
      </c>
      <c r="AM277" s="31">
        <v>4352981.6810749201</v>
      </c>
      <c r="AN277" s="31">
        <v>6106900.4594201874</v>
      </c>
      <c r="AO277" s="31">
        <f t="shared" si="22"/>
        <v>115939179.91477492</v>
      </c>
      <c r="AP277" s="31">
        <v>0</v>
      </c>
      <c r="AR277" s="42" t="s">
        <v>207</v>
      </c>
      <c r="AS277" s="42" t="s">
        <v>208</v>
      </c>
      <c r="AT277" s="43" t="s">
        <v>1276</v>
      </c>
      <c r="AU277" s="44">
        <v>32</v>
      </c>
      <c r="AV277" s="31">
        <v>93798317.591259316</v>
      </c>
      <c r="AW277" s="31">
        <v>984303.20000000007</v>
      </c>
      <c r="AX277" s="31">
        <v>731586.8600000001</v>
      </c>
      <c r="AY277" s="31">
        <v>336788.07000000007</v>
      </c>
      <c r="AZ277" s="31">
        <v>12091247.951589715</v>
      </c>
      <c r="BA277" s="31">
        <v>4353143.6989094298</v>
      </c>
      <c r="BB277" s="31">
        <v>6221389.0333624864</v>
      </c>
      <c r="BC277" s="31">
        <f t="shared" si="23"/>
        <v>118516776.40512095</v>
      </c>
      <c r="BD277" s="31">
        <v>0</v>
      </c>
    </row>
    <row r="278" spans="2:56">
      <c r="B278" s="42" t="s">
        <v>559</v>
      </c>
      <c r="C278" s="42" t="s">
        <v>560</v>
      </c>
      <c r="D278" s="43" t="s">
        <v>1049</v>
      </c>
      <c r="E278" s="44">
        <v>32</v>
      </c>
      <c r="F278" s="31">
        <v>2385407.5437095566</v>
      </c>
      <c r="G278" s="31">
        <v>81311.040000000008</v>
      </c>
      <c r="H278" s="31">
        <v>0</v>
      </c>
      <c r="I278" s="31">
        <v>0</v>
      </c>
      <c r="J278" s="31">
        <v>263188.72508553398</v>
      </c>
      <c r="K278" s="31">
        <v>144064.7140680064</v>
      </c>
      <c r="L278" s="31">
        <v>224894.25219391473</v>
      </c>
      <c r="M278" s="31">
        <f t="shared" si="20"/>
        <v>3155662.9350570119</v>
      </c>
      <c r="N278" s="31">
        <v>56796.66</v>
      </c>
      <c r="P278" s="42" t="s">
        <v>559</v>
      </c>
      <c r="Q278" s="42" t="s">
        <v>560</v>
      </c>
      <c r="R278" s="43" t="s">
        <v>1050</v>
      </c>
      <c r="S278" s="44">
        <v>32</v>
      </c>
      <c r="T278" s="31">
        <v>2439807.8036760064</v>
      </c>
      <c r="U278" s="31">
        <v>80868.759999999966</v>
      </c>
      <c r="V278" s="31">
        <v>0</v>
      </c>
      <c r="W278" s="31">
        <v>0</v>
      </c>
      <c r="X278" s="31">
        <v>270830.06762851914</v>
      </c>
      <c r="Y278" s="31">
        <v>144200.67183978902</v>
      </c>
      <c r="Z278" s="31">
        <v>235148.52573230019</v>
      </c>
      <c r="AA278" s="31">
        <f t="shared" si="21"/>
        <v>3229055.0988766146</v>
      </c>
      <c r="AB278" s="31">
        <v>58199.270000000004</v>
      </c>
      <c r="AD278" s="42" t="s">
        <v>559</v>
      </c>
      <c r="AE278" s="42" t="s">
        <v>560</v>
      </c>
      <c r="AF278" s="43" t="s">
        <v>1275</v>
      </c>
      <c r="AG278" s="44">
        <v>32</v>
      </c>
      <c r="AH278" s="31">
        <v>2570806.9722596514</v>
      </c>
      <c r="AI278" s="31">
        <v>83414.920000000013</v>
      </c>
      <c r="AJ278" s="31">
        <v>0</v>
      </c>
      <c r="AK278" s="31">
        <v>0</v>
      </c>
      <c r="AL278" s="31">
        <v>277320.69289682311</v>
      </c>
      <c r="AM278" s="31">
        <v>144154.48301965525</v>
      </c>
      <c r="AN278" s="31">
        <v>239681.019407015</v>
      </c>
      <c r="AO278" s="31">
        <f t="shared" si="22"/>
        <v>3374607.2775831441</v>
      </c>
      <c r="AP278" s="31">
        <v>59229.19</v>
      </c>
      <c r="AR278" s="42" t="s">
        <v>559</v>
      </c>
      <c r="AS278" s="42" t="s">
        <v>560</v>
      </c>
      <c r="AT278" s="43" t="s">
        <v>1276</v>
      </c>
      <c r="AU278" s="44">
        <v>32</v>
      </c>
      <c r="AV278" s="31">
        <v>2672605.0637768642</v>
      </c>
      <c r="AW278" s="31">
        <v>86342.89</v>
      </c>
      <c r="AX278" s="31">
        <v>0</v>
      </c>
      <c r="AY278" s="31">
        <v>0</v>
      </c>
      <c r="AZ278" s="31">
        <v>282651.90943844622</v>
      </c>
      <c r="BA278" s="31">
        <v>144161.83329355702</v>
      </c>
      <c r="BB278" s="31">
        <v>244111.9791999945</v>
      </c>
      <c r="BC278" s="31">
        <f t="shared" si="23"/>
        <v>3490205.9157088622</v>
      </c>
      <c r="BD278" s="31">
        <v>60332.240000000005</v>
      </c>
    </row>
    <row r="279" spans="2:56">
      <c r="B279" s="42" t="s">
        <v>521</v>
      </c>
      <c r="C279" s="42" t="s">
        <v>522</v>
      </c>
      <c r="D279" s="43" t="s">
        <v>1049</v>
      </c>
      <c r="E279" s="44">
        <v>32</v>
      </c>
      <c r="F279" s="31">
        <v>9697119.9903491549</v>
      </c>
      <c r="G279" s="31">
        <v>368236.07000000007</v>
      </c>
      <c r="H279" s="31">
        <v>15590.83</v>
      </c>
      <c r="I279" s="31">
        <v>34689.61</v>
      </c>
      <c r="J279" s="31">
        <v>1565830.9646135771</v>
      </c>
      <c r="K279" s="31">
        <v>1070938.6963558714</v>
      </c>
      <c r="L279" s="31">
        <v>1047941.0990938218</v>
      </c>
      <c r="M279" s="31">
        <f t="shared" si="20"/>
        <v>14043856.650412425</v>
      </c>
      <c r="N279" s="31">
        <v>243509.39</v>
      </c>
      <c r="P279" s="42" t="s">
        <v>521</v>
      </c>
      <c r="Q279" s="42" t="s">
        <v>522</v>
      </c>
      <c r="R279" s="43" t="s">
        <v>1050</v>
      </c>
      <c r="S279" s="44">
        <v>32</v>
      </c>
      <c r="T279" s="31">
        <v>10124921.850282952</v>
      </c>
      <c r="U279" s="31">
        <v>388169.80000000005</v>
      </c>
      <c r="V279" s="31">
        <v>16189.540000000003</v>
      </c>
      <c r="W279" s="31">
        <v>36224.089999999997</v>
      </c>
      <c r="X279" s="31">
        <v>1616261.9315589392</v>
      </c>
      <c r="Y279" s="31">
        <v>1072026.763153292</v>
      </c>
      <c r="Z279" s="31">
        <v>1085280.6696812985</v>
      </c>
      <c r="AA279" s="31">
        <f t="shared" si="21"/>
        <v>14588570.384676481</v>
      </c>
      <c r="AB279" s="31">
        <v>249495.74000000002</v>
      </c>
      <c r="AD279" s="42" t="s">
        <v>521</v>
      </c>
      <c r="AE279" s="42" t="s">
        <v>522</v>
      </c>
      <c r="AF279" s="43" t="s">
        <v>1275</v>
      </c>
      <c r="AG279" s="44">
        <v>32</v>
      </c>
      <c r="AH279" s="31">
        <v>10293805.464682732</v>
      </c>
      <c r="AI279" s="31">
        <v>397279.28</v>
      </c>
      <c r="AJ279" s="31">
        <v>16506.23</v>
      </c>
      <c r="AK279" s="31">
        <v>37035.850000000006</v>
      </c>
      <c r="AL279" s="31">
        <v>1638476.0247210742</v>
      </c>
      <c r="AM279" s="31">
        <v>1071657.1151299339</v>
      </c>
      <c r="AN279" s="31">
        <v>1106182.5322680646</v>
      </c>
      <c r="AO279" s="31">
        <f t="shared" si="22"/>
        <v>14814833.936801804</v>
      </c>
      <c r="AP279" s="31">
        <v>253891.44000000006</v>
      </c>
      <c r="AR279" s="42" t="s">
        <v>521</v>
      </c>
      <c r="AS279" s="42" t="s">
        <v>522</v>
      </c>
      <c r="AT279" s="43" t="s">
        <v>1276</v>
      </c>
      <c r="AU279" s="44">
        <v>32</v>
      </c>
      <c r="AV279" s="31">
        <v>10650043.715743106</v>
      </c>
      <c r="AW279" s="31">
        <v>407613.92</v>
      </c>
      <c r="AX279" s="31">
        <v>16807.649999999998</v>
      </c>
      <c r="AY279" s="31">
        <v>38027.31</v>
      </c>
      <c r="AZ279" s="31">
        <v>1679468.6537033012</v>
      </c>
      <c r="BA279" s="31">
        <v>1071715.9391962572</v>
      </c>
      <c r="BB279" s="31">
        <v>1126577.7551924509</v>
      </c>
      <c r="BC279" s="31">
        <f t="shared" si="23"/>
        <v>15248854.173835116</v>
      </c>
      <c r="BD279" s="31">
        <v>258599.23000000004</v>
      </c>
    </row>
    <row r="280" spans="2:56">
      <c r="B280" s="42" t="s">
        <v>243</v>
      </c>
      <c r="C280" s="42" t="s">
        <v>244</v>
      </c>
      <c r="D280" s="43" t="s">
        <v>1049</v>
      </c>
      <c r="E280" s="44">
        <v>32</v>
      </c>
      <c r="F280" s="31">
        <v>2880120.2185061499</v>
      </c>
      <c r="G280" s="31">
        <v>66261.070000000007</v>
      </c>
      <c r="H280" s="31">
        <v>3897.71</v>
      </c>
      <c r="I280" s="31">
        <v>6236.329999999999</v>
      </c>
      <c r="J280" s="31">
        <v>303046.64767776546</v>
      </c>
      <c r="K280" s="31">
        <v>137478.34774182245</v>
      </c>
      <c r="L280" s="31">
        <v>119872.36120989984</v>
      </c>
      <c r="M280" s="31">
        <f t="shared" si="20"/>
        <v>3516912.6851356374</v>
      </c>
      <c r="N280" s="31">
        <v>0</v>
      </c>
      <c r="P280" s="42" t="s">
        <v>243</v>
      </c>
      <c r="Q280" s="42" t="s">
        <v>244</v>
      </c>
      <c r="R280" s="43" t="s">
        <v>1050</v>
      </c>
      <c r="S280" s="44">
        <v>32</v>
      </c>
      <c r="T280" s="31">
        <v>2960739.0757614458</v>
      </c>
      <c r="U280" s="31">
        <v>75281.349999999991</v>
      </c>
      <c r="V280" s="31">
        <v>4047.3800000000006</v>
      </c>
      <c r="W280" s="31">
        <v>7082.93</v>
      </c>
      <c r="X280" s="31">
        <v>310848.9147344869</v>
      </c>
      <c r="Y280" s="31">
        <v>137559.03980804179</v>
      </c>
      <c r="Z280" s="31">
        <v>124143.82308662171</v>
      </c>
      <c r="AA280" s="31">
        <f t="shared" si="21"/>
        <v>3619702.5133905965</v>
      </c>
      <c r="AB280" s="31">
        <v>0</v>
      </c>
      <c r="AD280" s="42" t="s">
        <v>243</v>
      </c>
      <c r="AE280" s="42" t="s">
        <v>244</v>
      </c>
      <c r="AF280" s="43" t="s">
        <v>1275</v>
      </c>
      <c r="AG280" s="44">
        <v>32</v>
      </c>
      <c r="AH280" s="31">
        <v>3056163.01157807</v>
      </c>
      <c r="AI280" s="31">
        <v>77063.450000000012</v>
      </c>
      <c r="AJ280" s="31">
        <v>4126.5599999999995</v>
      </c>
      <c r="AK280" s="31">
        <v>7324.6400000000012</v>
      </c>
      <c r="AL280" s="31">
        <v>319006.08442218235</v>
      </c>
      <c r="AM280" s="31">
        <v>137531.62635985151</v>
      </c>
      <c r="AN280" s="31">
        <v>126534.81616216614</v>
      </c>
      <c r="AO280" s="31">
        <f t="shared" si="22"/>
        <v>3727750.1885222704</v>
      </c>
      <c r="AP280" s="31">
        <v>0</v>
      </c>
      <c r="AR280" s="42" t="s">
        <v>243</v>
      </c>
      <c r="AS280" s="42" t="s">
        <v>244</v>
      </c>
      <c r="AT280" s="43" t="s">
        <v>1276</v>
      </c>
      <c r="AU280" s="44">
        <v>32</v>
      </c>
      <c r="AV280" s="31">
        <v>3130924.6307052341</v>
      </c>
      <c r="AW280" s="31">
        <v>78785.849999999991</v>
      </c>
      <c r="AX280" s="31">
        <v>4201.91</v>
      </c>
      <c r="AY280" s="31">
        <v>7458.4100000000008</v>
      </c>
      <c r="AZ280" s="31">
        <v>325012.4224714266</v>
      </c>
      <c r="BA280" s="31">
        <v>137535.98880843123</v>
      </c>
      <c r="BB280" s="31">
        <v>128867.82092547421</v>
      </c>
      <c r="BC280" s="31">
        <f t="shared" si="23"/>
        <v>3812787.0329105663</v>
      </c>
      <c r="BD280" s="31">
        <v>0</v>
      </c>
    </row>
    <row r="281" spans="2:56">
      <c r="B281" s="42" t="s">
        <v>285</v>
      </c>
      <c r="C281" s="42" t="s">
        <v>286</v>
      </c>
      <c r="D281" s="43" t="s">
        <v>1049</v>
      </c>
      <c r="E281" s="44">
        <v>32</v>
      </c>
      <c r="F281" s="31">
        <v>6776934.932862266</v>
      </c>
      <c r="G281" s="31">
        <v>268548.34999999998</v>
      </c>
      <c r="H281" s="31">
        <v>13518.21</v>
      </c>
      <c r="I281" s="31">
        <v>23202.879999999997</v>
      </c>
      <c r="J281" s="31">
        <v>1046072.1492639848</v>
      </c>
      <c r="K281" s="31">
        <v>516724.02064733685</v>
      </c>
      <c r="L281" s="31">
        <v>610290.86754111596</v>
      </c>
      <c r="M281" s="31">
        <f t="shared" si="20"/>
        <v>9433146.6903147027</v>
      </c>
      <c r="N281" s="31">
        <v>177855.28</v>
      </c>
      <c r="P281" s="42" t="s">
        <v>285</v>
      </c>
      <c r="Q281" s="42" t="s">
        <v>286</v>
      </c>
      <c r="R281" s="43" t="s">
        <v>1050</v>
      </c>
      <c r="S281" s="44">
        <v>32</v>
      </c>
      <c r="T281" s="31">
        <v>6747155.6041402807</v>
      </c>
      <c r="U281" s="31">
        <v>275797.34000000008</v>
      </c>
      <c r="V281" s="31">
        <v>14032.47</v>
      </c>
      <c r="W281" s="31">
        <v>23666.68</v>
      </c>
      <c r="X281" s="31">
        <v>1065780.3827345045</v>
      </c>
      <c r="Y281" s="31">
        <v>517215.66347117984</v>
      </c>
      <c r="Z281" s="31">
        <v>638283.77062713006</v>
      </c>
      <c r="AA281" s="31">
        <f t="shared" si="21"/>
        <v>9464179.3909730949</v>
      </c>
      <c r="AB281" s="31">
        <v>182247.48</v>
      </c>
      <c r="AD281" s="42" t="s">
        <v>285</v>
      </c>
      <c r="AE281" s="42" t="s">
        <v>286</v>
      </c>
      <c r="AF281" s="43" t="s">
        <v>1275</v>
      </c>
      <c r="AG281" s="44">
        <v>32</v>
      </c>
      <c r="AH281" s="31">
        <v>7022779.1366928089</v>
      </c>
      <c r="AI281" s="31">
        <v>288584.23</v>
      </c>
      <c r="AJ281" s="31">
        <v>14307.14</v>
      </c>
      <c r="AK281" s="31">
        <v>24770.539999999997</v>
      </c>
      <c r="AL281" s="31">
        <v>1088685.1310134442</v>
      </c>
      <c r="AM281" s="31">
        <v>517048.63806569681</v>
      </c>
      <c r="AN281" s="31">
        <v>650586.93096022389</v>
      </c>
      <c r="AO281" s="31">
        <f t="shared" si="22"/>
        <v>9792234.3467321731</v>
      </c>
      <c r="AP281" s="31">
        <v>185472.6</v>
      </c>
      <c r="AR281" s="42" t="s">
        <v>285</v>
      </c>
      <c r="AS281" s="42" t="s">
        <v>286</v>
      </c>
      <c r="AT281" s="43" t="s">
        <v>1276</v>
      </c>
      <c r="AU281" s="44">
        <v>32</v>
      </c>
      <c r="AV281" s="31">
        <v>7344417.8555376483</v>
      </c>
      <c r="AW281" s="31">
        <v>299700.42000000004</v>
      </c>
      <c r="AX281" s="31">
        <v>14569.669999999998</v>
      </c>
      <c r="AY281" s="31">
        <v>25660.000000000004</v>
      </c>
      <c r="AZ281" s="31">
        <v>1114752.2926842212</v>
      </c>
      <c r="BA281" s="31">
        <v>517075.21771149203</v>
      </c>
      <c r="BB281" s="31">
        <v>662614.49041028728</v>
      </c>
      <c r="BC281" s="31">
        <f t="shared" si="23"/>
        <v>10167716.656343648</v>
      </c>
      <c r="BD281" s="31">
        <v>188926.71</v>
      </c>
    </row>
    <row r="282" spans="2:56">
      <c r="B282" s="42" t="s">
        <v>339</v>
      </c>
      <c r="C282" s="42" t="s">
        <v>340</v>
      </c>
      <c r="D282" s="43" t="s">
        <v>1049</v>
      </c>
      <c r="E282" s="44">
        <v>32</v>
      </c>
      <c r="F282" s="31">
        <v>9478057.1762963198</v>
      </c>
      <c r="G282" s="31">
        <v>545192.07000000007</v>
      </c>
      <c r="H282" s="31">
        <v>202778.32</v>
      </c>
      <c r="I282" s="31">
        <v>31961.219999999998</v>
      </c>
      <c r="J282" s="31">
        <v>1186237.0633407147</v>
      </c>
      <c r="K282" s="31">
        <v>960823.91342787992</v>
      </c>
      <c r="L282" s="31">
        <v>378929.74975367688</v>
      </c>
      <c r="M282" s="31">
        <f t="shared" si="20"/>
        <v>13108074.042818591</v>
      </c>
      <c r="N282" s="31">
        <v>324094.52999999997</v>
      </c>
      <c r="P282" s="42" t="s">
        <v>339</v>
      </c>
      <c r="Q282" s="42" t="s">
        <v>340</v>
      </c>
      <c r="R282" s="43" t="s">
        <v>1050</v>
      </c>
      <c r="S282" s="44">
        <v>32</v>
      </c>
      <c r="T282" s="31">
        <v>9166004.2252192143</v>
      </c>
      <c r="U282" s="31">
        <v>529221.62000000011</v>
      </c>
      <c r="V282" s="31">
        <v>210565.21</v>
      </c>
      <c r="W282" s="31">
        <v>30760.13</v>
      </c>
      <c r="X282" s="31">
        <v>1226140.1571331855</v>
      </c>
      <c r="Y282" s="31">
        <v>961605.44425501826</v>
      </c>
      <c r="Z282" s="31">
        <v>396051.4364993443</v>
      </c>
      <c r="AA282" s="31">
        <f t="shared" si="21"/>
        <v>12852410.173106764</v>
      </c>
      <c r="AB282" s="31">
        <v>332061.95</v>
      </c>
      <c r="AD282" s="42" t="s">
        <v>339</v>
      </c>
      <c r="AE282" s="42" t="s">
        <v>340</v>
      </c>
      <c r="AF282" s="43" t="s">
        <v>1275</v>
      </c>
      <c r="AG282" s="44">
        <v>32</v>
      </c>
      <c r="AH282" s="31">
        <v>9600467.3862886801</v>
      </c>
      <c r="AI282" s="31">
        <v>555384.18000000017</v>
      </c>
      <c r="AJ282" s="31">
        <v>214684.15000000002</v>
      </c>
      <c r="AK282" s="31">
        <v>32290.320000000003</v>
      </c>
      <c r="AL282" s="31">
        <v>1247049.7059267678</v>
      </c>
      <c r="AM282" s="31">
        <v>961339.93544055021</v>
      </c>
      <c r="AN282" s="31">
        <v>403680.1714006688</v>
      </c>
      <c r="AO282" s="31">
        <f t="shared" si="22"/>
        <v>13352808.169056667</v>
      </c>
      <c r="AP282" s="31">
        <v>337912.32000000001</v>
      </c>
      <c r="AR282" s="42" t="s">
        <v>339</v>
      </c>
      <c r="AS282" s="42" t="s">
        <v>340</v>
      </c>
      <c r="AT282" s="43" t="s">
        <v>1276</v>
      </c>
      <c r="AU282" s="44">
        <v>32</v>
      </c>
      <c r="AV282" s="31">
        <v>9800722.097438544</v>
      </c>
      <c r="AW282" s="31">
        <v>565430.85000000009</v>
      </c>
      <c r="AX282" s="31">
        <v>218604.49</v>
      </c>
      <c r="AY282" s="31">
        <v>32879.980000000003</v>
      </c>
      <c r="AZ282" s="31">
        <v>1273084.5780628377</v>
      </c>
      <c r="BA282" s="31">
        <v>961382.18727777025</v>
      </c>
      <c r="BB282" s="31">
        <v>411122.37740046729</v>
      </c>
      <c r="BC282" s="31">
        <f t="shared" si="23"/>
        <v>13607404.630179619</v>
      </c>
      <c r="BD282" s="31">
        <v>344178.07</v>
      </c>
    </row>
    <row r="283" spans="2:56">
      <c r="B283" s="42" t="s">
        <v>597</v>
      </c>
      <c r="C283" s="42" t="s">
        <v>598</v>
      </c>
      <c r="D283" s="43" t="s">
        <v>1049</v>
      </c>
      <c r="E283" s="44">
        <v>32</v>
      </c>
      <c r="F283" s="31">
        <v>32084115.568892218</v>
      </c>
      <c r="G283" s="31">
        <v>2490051.54</v>
      </c>
      <c r="H283" s="31">
        <v>2056333.9600000002</v>
      </c>
      <c r="I283" s="31">
        <v>119659.67000000001</v>
      </c>
      <c r="J283" s="31">
        <v>4855135.2442948455</v>
      </c>
      <c r="K283" s="31">
        <v>1461164.8718443906</v>
      </c>
      <c r="L283" s="31">
        <v>5380408.3723059278</v>
      </c>
      <c r="M283" s="31">
        <f t="shared" si="20"/>
        <v>49469335.807337381</v>
      </c>
      <c r="N283" s="31">
        <v>1022466.5800000001</v>
      </c>
      <c r="P283" s="42" t="s">
        <v>597</v>
      </c>
      <c r="Q283" s="42" t="s">
        <v>598</v>
      </c>
      <c r="R283" s="43" t="s">
        <v>1050</v>
      </c>
      <c r="S283" s="44">
        <v>32</v>
      </c>
      <c r="T283" s="31">
        <v>34923300.738342814</v>
      </c>
      <c r="U283" s="31">
        <v>2686312.68</v>
      </c>
      <c r="V283" s="31">
        <v>2135299.27</v>
      </c>
      <c r="W283" s="31">
        <v>128403.31000000001</v>
      </c>
      <c r="X283" s="31">
        <v>5029574.1265533315</v>
      </c>
      <c r="Y283" s="31">
        <v>1462332.4157493324</v>
      </c>
      <c r="Z283" s="31">
        <v>5625925.7224901989</v>
      </c>
      <c r="AA283" s="31">
        <f t="shared" si="21"/>
        <v>53038750.813135684</v>
      </c>
      <c r="AB283" s="31">
        <v>1047602.5499999999</v>
      </c>
      <c r="AD283" s="42" t="s">
        <v>597</v>
      </c>
      <c r="AE283" s="42" t="s">
        <v>598</v>
      </c>
      <c r="AF283" s="43" t="s">
        <v>1275</v>
      </c>
      <c r="AG283" s="44">
        <v>32</v>
      </c>
      <c r="AH283" s="31">
        <v>35348964.904533997</v>
      </c>
      <c r="AI283" s="31">
        <v>2719953.5799999991</v>
      </c>
      <c r="AJ283" s="31">
        <v>2177068.44</v>
      </c>
      <c r="AK283" s="31">
        <v>129883.40000000002</v>
      </c>
      <c r="AL283" s="31">
        <v>5132268.1137522524</v>
      </c>
      <c r="AM283" s="31">
        <v>1461935.7670346866</v>
      </c>
      <c r="AN283" s="31">
        <v>5734291.2512296587</v>
      </c>
      <c r="AO283" s="31">
        <f t="shared" si="22"/>
        <v>53770424.986550592</v>
      </c>
      <c r="AP283" s="31">
        <v>1066059.53</v>
      </c>
      <c r="AR283" s="42" t="s">
        <v>597</v>
      </c>
      <c r="AS283" s="42" t="s">
        <v>598</v>
      </c>
      <c r="AT283" s="43" t="s">
        <v>1276</v>
      </c>
      <c r="AU283" s="44">
        <v>32</v>
      </c>
      <c r="AV283" s="31">
        <v>35862030.297761492</v>
      </c>
      <c r="AW283" s="31">
        <v>2749783.35</v>
      </c>
      <c r="AX283" s="31">
        <v>2216823.7200000002</v>
      </c>
      <c r="AY283" s="31">
        <v>131309.75</v>
      </c>
      <c r="AZ283" s="31">
        <v>5246180.0125220902</v>
      </c>
      <c r="BA283" s="31">
        <v>1461998.8878653767</v>
      </c>
      <c r="BB283" s="31">
        <v>5840005.8651712583</v>
      </c>
      <c r="BC283" s="31">
        <f t="shared" si="23"/>
        <v>54593958.853320219</v>
      </c>
      <c r="BD283" s="31">
        <v>1085826.9700000002</v>
      </c>
    </row>
    <row r="284" spans="2:56">
      <c r="B284" s="42" t="s">
        <v>531</v>
      </c>
      <c r="C284" s="42" t="s">
        <v>532</v>
      </c>
      <c r="D284" s="43" t="s">
        <v>1049</v>
      </c>
      <c r="E284" s="44">
        <v>32</v>
      </c>
      <c r="F284" s="31">
        <v>2471979.9747723937</v>
      </c>
      <c r="G284" s="31">
        <v>70256.200000000012</v>
      </c>
      <c r="H284" s="31">
        <v>61486.37</v>
      </c>
      <c r="I284" s="31">
        <v>0</v>
      </c>
      <c r="J284" s="31">
        <v>195133.20777359622</v>
      </c>
      <c r="K284" s="31">
        <v>140766.65336423967</v>
      </c>
      <c r="L284" s="31">
        <v>128270.77056264319</v>
      </c>
      <c r="M284" s="31">
        <f t="shared" si="20"/>
        <v>3126456.2664728728</v>
      </c>
      <c r="N284" s="31">
        <v>58563.089999999989</v>
      </c>
      <c r="P284" s="42" t="s">
        <v>531</v>
      </c>
      <c r="Q284" s="42" t="s">
        <v>532</v>
      </c>
      <c r="R284" s="43" t="s">
        <v>1050</v>
      </c>
      <c r="S284" s="44">
        <v>32</v>
      </c>
      <c r="T284" s="31">
        <v>2510586.5753412396</v>
      </c>
      <c r="U284" s="31">
        <v>71739.610000000015</v>
      </c>
      <c r="V284" s="31">
        <v>63847.51</v>
      </c>
      <c r="W284" s="31">
        <v>0</v>
      </c>
      <c r="X284" s="31">
        <v>201370.80520914221</v>
      </c>
      <c r="Y284" s="31">
        <v>140862.41582136563</v>
      </c>
      <c r="Z284" s="31">
        <v>134055.37028073496</v>
      </c>
      <c r="AA284" s="31">
        <f t="shared" si="21"/>
        <v>3182465.0666524819</v>
      </c>
      <c r="AB284" s="31">
        <v>60002.780000000006</v>
      </c>
      <c r="AD284" s="42" t="s">
        <v>531</v>
      </c>
      <c r="AE284" s="42" t="s">
        <v>532</v>
      </c>
      <c r="AF284" s="43" t="s">
        <v>1275</v>
      </c>
      <c r="AG284" s="44">
        <v>32</v>
      </c>
      <c r="AH284" s="31">
        <v>2487651.4371811347</v>
      </c>
      <c r="AI284" s="31">
        <v>71093.070000000007</v>
      </c>
      <c r="AJ284" s="31">
        <v>65096.450000000004</v>
      </c>
      <c r="AK284" s="31">
        <v>0</v>
      </c>
      <c r="AL284" s="31">
        <v>204174.89088740671</v>
      </c>
      <c r="AM284" s="31">
        <v>140829.88252187293</v>
      </c>
      <c r="AN284" s="31">
        <v>136637.68166535845</v>
      </c>
      <c r="AO284" s="31">
        <f t="shared" si="22"/>
        <v>3166543.342255773</v>
      </c>
      <c r="AP284" s="31">
        <v>61059.929999999986</v>
      </c>
      <c r="AR284" s="42" t="s">
        <v>531</v>
      </c>
      <c r="AS284" s="42" t="s">
        <v>532</v>
      </c>
      <c r="AT284" s="43" t="s">
        <v>1276</v>
      </c>
      <c r="AU284" s="44">
        <v>32</v>
      </c>
      <c r="AV284" s="31">
        <v>2468667.7154078586</v>
      </c>
      <c r="AW284" s="31">
        <v>68697.420000000042</v>
      </c>
      <c r="AX284" s="31">
        <v>66285.17</v>
      </c>
      <c r="AY284" s="31">
        <v>0</v>
      </c>
      <c r="AZ284" s="31">
        <v>208627.41098395619</v>
      </c>
      <c r="BA284" s="31">
        <v>140835.05971976428</v>
      </c>
      <c r="BB284" s="31">
        <v>139156.89215689019</v>
      </c>
      <c r="BC284" s="31">
        <f t="shared" si="23"/>
        <v>3154461.7982684691</v>
      </c>
      <c r="BD284" s="31">
        <v>62192.129999999983</v>
      </c>
    </row>
    <row r="285" spans="2:56">
      <c r="B285" s="42" t="s">
        <v>79</v>
      </c>
      <c r="C285" s="42" t="s">
        <v>80</v>
      </c>
      <c r="D285" s="43" t="s">
        <v>1049</v>
      </c>
      <c r="E285" s="44">
        <v>32</v>
      </c>
      <c r="F285" s="31">
        <v>6103363.3288619732</v>
      </c>
      <c r="G285" s="31">
        <v>185017.92</v>
      </c>
      <c r="H285" s="31">
        <v>0</v>
      </c>
      <c r="I285" s="31">
        <v>20277.310000000001</v>
      </c>
      <c r="J285" s="31">
        <v>889542.50505094475</v>
      </c>
      <c r="K285" s="31">
        <v>437617.34661909513</v>
      </c>
      <c r="L285" s="31">
        <v>538326.5781826654</v>
      </c>
      <c r="M285" s="31">
        <f t="shared" si="20"/>
        <v>8174144.9887146782</v>
      </c>
      <c r="N285" s="31">
        <v>0</v>
      </c>
      <c r="P285" s="42" t="s">
        <v>79</v>
      </c>
      <c r="Q285" s="42" t="s">
        <v>80</v>
      </c>
      <c r="R285" s="43" t="s">
        <v>1050</v>
      </c>
      <c r="S285" s="44">
        <v>32</v>
      </c>
      <c r="T285" s="31">
        <v>5845459.0030971235</v>
      </c>
      <c r="U285" s="31">
        <v>178547.40999999997</v>
      </c>
      <c r="V285" s="31">
        <v>0</v>
      </c>
      <c r="W285" s="31">
        <v>19477.89</v>
      </c>
      <c r="X285" s="31">
        <v>915301.47262264055</v>
      </c>
      <c r="Y285" s="31">
        <v>437968.80984948779</v>
      </c>
      <c r="Z285" s="31">
        <v>557420.40963682928</v>
      </c>
      <c r="AA285" s="31">
        <f t="shared" si="21"/>
        <v>7954174.9952060804</v>
      </c>
      <c r="AB285" s="31">
        <v>0</v>
      </c>
      <c r="AD285" s="42" t="s">
        <v>79</v>
      </c>
      <c r="AE285" s="42" t="s">
        <v>80</v>
      </c>
      <c r="AF285" s="43" t="s">
        <v>1275</v>
      </c>
      <c r="AG285" s="44">
        <v>32</v>
      </c>
      <c r="AH285" s="31">
        <v>5957635.1390781403</v>
      </c>
      <c r="AI285" s="31">
        <v>182042.07</v>
      </c>
      <c r="AJ285" s="31">
        <v>0</v>
      </c>
      <c r="AK285" s="31">
        <v>19859.119999999995</v>
      </c>
      <c r="AL285" s="31">
        <v>932281.70919890434</v>
      </c>
      <c r="AM285" s="31">
        <v>437849.40754008392</v>
      </c>
      <c r="AN285" s="31">
        <v>568163.51718181465</v>
      </c>
      <c r="AO285" s="31">
        <f t="shared" si="22"/>
        <v>8097830.9629989434</v>
      </c>
      <c r="AP285" s="31">
        <v>0</v>
      </c>
      <c r="AR285" s="42" t="s">
        <v>79</v>
      </c>
      <c r="AS285" s="42" t="s">
        <v>80</v>
      </c>
      <c r="AT285" s="43" t="s">
        <v>1276</v>
      </c>
      <c r="AU285" s="44">
        <v>32</v>
      </c>
      <c r="AV285" s="31">
        <v>6067358.2000616584</v>
      </c>
      <c r="AW285" s="31">
        <v>185382.54</v>
      </c>
      <c r="AX285" s="31">
        <v>0</v>
      </c>
      <c r="AY285" s="31">
        <v>20223.539999999994</v>
      </c>
      <c r="AZ285" s="31">
        <v>949497.73459374893</v>
      </c>
      <c r="BA285" s="31">
        <v>437868.40866797772</v>
      </c>
      <c r="BB285" s="31">
        <v>578668.18283053394</v>
      </c>
      <c r="BC285" s="31">
        <f t="shared" si="23"/>
        <v>8238998.6061539194</v>
      </c>
      <c r="BD285" s="31">
        <v>0</v>
      </c>
    </row>
    <row r="286" spans="2:56">
      <c r="B286" s="42" t="s">
        <v>257</v>
      </c>
      <c r="C286" s="42" t="s">
        <v>258</v>
      </c>
      <c r="D286" s="43" t="s">
        <v>1049</v>
      </c>
      <c r="E286" s="44">
        <v>32</v>
      </c>
      <c r="F286" s="31">
        <v>2496010.6640299731</v>
      </c>
      <c r="G286" s="31">
        <v>0</v>
      </c>
      <c r="H286" s="31">
        <v>23678.59</v>
      </c>
      <c r="I286" s="31">
        <v>5359.369999999999</v>
      </c>
      <c r="J286" s="31">
        <v>154913.04096254066</v>
      </c>
      <c r="K286" s="31">
        <v>135749.48480082987</v>
      </c>
      <c r="L286" s="31">
        <v>0</v>
      </c>
      <c r="M286" s="31">
        <f t="shared" si="20"/>
        <v>2815711.1497933436</v>
      </c>
      <c r="N286" s="31">
        <v>0</v>
      </c>
      <c r="P286" s="42" t="s">
        <v>257</v>
      </c>
      <c r="Q286" s="42" t="s">
        <v>258</v>
      </c>
      <c r="R286" s="43" t="s">
        <v>1050</v>
      </c>
      <c r="S286" s="44">
        <v>32</v>
      </c>
      <c r="T286" s="31">
        <v>2721173.2236539223</v>
      </c>
      <c r="U286" s="31">
        <v>0</v>
      </c>
      <c r="V286" s="31">
        <v>24587.87</v>
      </c>
      <c r="W286" s="31">
        <v>6172.27</v>
      </c>
      <c r="X286" s="31">
        <v>161379.13436530228</v>
      </c>
      <c r="Y286" s="31">
        <v>135892.80852232137</v>
      </c>
      <c r="Z286" s="31">
        <v>0</v>
      </c>
      <c r="AA286" s="31">
        <f t="shared" si="21"/>
        <v>3049205.3065415462</v>
      </c>
      <c r="AB286" s="31">
        <v>0</v>
      </c>
      <c r="AD286" s="42" t="s">
        <v>257</v>
      </c>
      <c r="AE286" s="42" t="s">
        <v>258</v>
      </c>
      <c r="AF286" s="43" t="s">
        <v>1275</v>
      </c>
      <c r="AG286" s="44">
        <v>32</v>
      </c>
      <c r="AH286" s="31">
        <v>2813162.3637635843</v>
      </c>
      <c r="AI286" s="31">
        <v>0</v>
      </c>
      <c r="AJ286" s="31">
        <v>25068.840000000004</v>
      </c>
      <c r="AK286" s="31">
        <v>6292.99</v>
      </c>
      <c r="AL286" s="31">
        <v>163975.466185164</v>
      </c>
      <c r="AM286" s="31">
        <v>135844.11727425162</v>
      </c>
      <c r="AN286" s="31">
        <v>0</v>
      </c>
      <c r="AO286" s="31">
        <f t="shared" si="22"/>
        <v>3144343.7772230003</v>
      </c>
      <c r="AP286" s="31">
        <v>0</v>
      </c>
      <c r="AR286" s="42" t="s">
        <v>257</v>
      </c>
      <c r="AS286" s="42" t="s">
        <v>258</v>
      </c>
      <c r="AT286" s="43" t="s">
        <v>1276</v>
      </c>
      <c r="AU286" s="44">
        <v>32</v>
      </c>
      <c r="AV286" s="31">
        <v>2883652.2826963952</v>
      </c>
      <c r="AW286" s="31">
        <v>0</v>
      </c>
      <c r="AX286" s="31">
        <v>25526.63</v>
      </c>
      <c r="AY286" s="31">
        <v>6618.0300000000007</v>
      </c>
      <c r="AZ286" s="31">
        <v>167332.36249144762</v>
      </c>
      <c r="BA286" s="31">
        <v>135851.86577289039</v>
      </c>
      <c r="BB286" s="31">
        <v>0</v>
      </c>
      <c r="BC286" s="31">
        <f t="shared" si="23"/>
        <v>3218981.1709607327</v>
      </c>
      <c r="BD286" s="31">
        <v>0</v>
      </c>
    </row>
    <row r="287" spans="2:56">
      <c r="B287" s="42" t="s">
        <v>201</v>
      </c>
      <c r="C287" s="42" t="s">
        <v>202</v>
      </c>
      <c r="D287" s="43" t="s">
        <v>1049</v>
      </c>
      <c r="E287" s="44">
        <v>32</v>
      </c>
      <c r="F287" s="31">
        <v>23687724.728759062</v>
      </c>
      <c r="G287" s="31">
        <v>1369383.6</v>
      </c>
      <c r="H287" s="31">
        <v>1738858.5800000003</v>
      </c>
      <c r="I287" s="31">
        <v>82318.850000000006</v>
      </c>
      <c r="J287" s="31">
        <v>3565386.1782605499</v>
      </c>
      <c r="K287" s="31">
        <v>921753.55166467745</v>
      </c>
      <c r="L287" s="31">
        <v>1035336.0476193475</v>
      </c>
      <c r="M287" s="31">
        <f t="shared" si="20"/>
        <v>33245404.816303641</v>
      </c>
      <c r="N287" s="31">
        <v>844643.2799999998</v>
      </c>
      <c r="P287" s="42" t="s">
        <v>201</v>
      </c>
      <c r="Q287" s="42" t="s">
        <v>202</v>
      </c>
      <c r="R287" s="43" t="s">
        <v>1050</v>
      </c>
      <c r="S287" s="44">
        <v>32</v>
      </c>
      <c r="T287" s="31">
        <v>27211081.845659971</v>
      </c>
      <c r="U287" s="31">
        <v>1562728.46</v>
      </c>
      <c r="V287" s="31">
        <v>1803119.98</v>
      </c>
      <c r="W287" s="31">
        <v>93323.37</v>
      </c>
      <c r="X287" s="31">
        <v>3682041.6187519999</v>
      </c>
      <c r="Y287" s="31">
        <v>922544.26023392158</v>
      </c>
      <c r="Z287" s="31">
        <v>1081813.0123306208</v>
      </c>
      <c r="AA287" s="31">
        <f t="shared" si="21"/>
        <v>37222439.466976523</v>
      </c>
      <c r="AB287" s="31">
        <v>865786.91999999993</v>
      </c>
      <c r="AD287" s="42" t="s">
        <v>201</v>
      </c>
      <c r="AE287" s="42" t="s">
        <v>202</v>
      </c>
      <c r="AF287" s="43" t="s">
        <v>1275</v>
      </c>
      <c r="AG287" s="44">
        <v>32</v>
      </c>
      <c r="AH287" s="31">
        <v>27492415.596012041</v>
      </c>
      <c r="AI287" s="31">
        <v>1581687.51</v>
      </c>
      <c r="AJ287" s="31">
        <v>1838474.8100000003</v>
      </c>
      <c r="AK287" s="31">
        <v>94436.890000000014</v>
      </c>
      <c r="AL287" s="31">
        <v>3750397.7310791346</v>
      </c>
      <c r="AM287" s="31">
        <v>922245.43160205509</v>
      </c>
      <c r="AN287" s="31">
        <v>1102720.1248548408</v>
      </c>
      <c r="AO287" s="31">
        <f t="shared" si="22"/>
        <v>37663690.483548068</v>
      </c>
      <c r="AP287" s="31">
        <v>881312.3899999999</v>
      </c>
      <c r="AR287" s="42" t="s">
        <v>201</v>
      </c>
      <c r="AS287" s="42" t="s">
        <v>202</v>
      </c>
      <c r="AT287" s="43" t="s">
        <v>1276</v>
      </c>
      <c r="AU287" s="44">
        <v>32</v>
      </c>
      <c r="AV287" s="31">
        <v>27654040.433278989</v>
      </c>
      <c r="AW287" s="31">
        <v>1591096.6999999997</v>
      </c>
      <c r="AX287" s="31">
        <v>1872706.2500000002</v>
      </c>
      <c r="AY287" s="31">
        <v>94979.12</v>
      </c>
      <c r="AZ287" s="31">
        <v>3820987.0467795352</v>
      </c>
      <c r="BA287" s="31">
        <v>922291.42353012436</v>
      </c>
      <c r="BB287" s="31">
        <v>1123347.2184834802</v>
      </c>
      <c r="BC287" s="31">
        <f t="shared" si="23"/>
        <v>37977388.362072125</v>
      </c>
      <c r="BD287" s="31">
        <v>897940.16999999993</v>
      </c>
    </row>
    <row r="288" spans="2:56">
      <c r="B288" s="42" t="s">
        <v>511</v>
      </c>
      <c r="C288" s="42" t="s">
        <v>512</v>
      </c>
      <c r="D288" s="43" t="s">
        <v>1049</v>
      </c>
      <c r="E288" s="44">
        <v>32</v>
      </c>
      <c r="F288" s="31">
        <v>50265488.404364049</v>
      </c>
      <c r="G288" s="31">
        <v>1276304.8999999999</v>
      </c>
      <c r="H288" s="31">
        <v>218758.94</v>
      </c>
      <c r="I288" s="31">
        <v>186310.49999999997</v>
      </c>
      <c r="J288" s="31">
        <v>7721549.9907863783</v>
      </c>
      <c r="K288" s="31">
        <v>3678988.4508556905</v>
      </c>
      <c r="L288" s="31">
        <v>8303173.4728904571</v>
      </c>
      <c r="M288" s="31">
        <f t="shared" si="20"/>
        <v>71650574.658896565</v>
      </c>
      <c r="N288" s="31">
        <v>0</v>
      </c>
      <c r="P288" s="42" t="s">
        <v>511</v>
      </c>
      <c r="Q288" s="42" t="s">
        <v>512</v>
      </c>
      <c r="R288" s="43" t="s">
        <v>1050</v>
      </c>
      <c r="S288" s="44">
        <v>32</v>
      </c>
      <c r="T288" s="31">
        <v>51212007.121577859</v>
      </c>
      <c r="U288" s="31">
        <v>1302043.8299999998</v>
      </c>
      <c r="V288" s="31">
        <v>227159.49</v>
      </c>
      <c r="W288" s="31">
        <v>190024.72</v>
      </c>
      <c r="X288" s="31">
        <v>7980050.3502807235</v>
      </c>
      <c r="Y288" s="31">
        <v>3682980.2411143826</v>
      </c>
      <c r="Z288" s="31">
        <v>8599862.3541433588</v>
      </c>
      <c r="AA288" s="31">
        <f t="shared" si="21"/>
        <v>73194128.107116327</v>
      </c>
      <c r="AB288" s="31">
        <v>0</v>
      </c>
      <c r="AD288" s="42" t="s">
        <v>511</v>
      </c>
      <c r="AE288" s="42" t="s">
        <v>512</v>
      </c>
      <c r="AF288" s="43" t="s">
        <v>1275</v>
      </c>
      <c r="AG288" s="44">
        <v>32</v>
      </c>
      <c r="AH288" s="31">
        <v>53622656.862910397</v>
      </c>
      <c r="AI288" s="31">
        <v>1358978.4700000002</v>
      </c>
      <c r="AJ288" s="31">
        <v>231603.02999999997</v>
      </c>
      <c r="AK288" s="31">
        <v>198384.25000000003</v>
      </c>
      <c r="AL288" s="31">
        <v>8131040.1391963316</v>
      </c>
      <c r="AM288" s="31">
        <v>3681624.1135473219</v>
      </c>
      <c r="AN288" s="31">
        <v>8765566.322624037</v>
      </c>
      <c r="AO288" s="31">
        <f t="shared" si="22"/>
        <v>75989853.188278094</v>
      </c>
      <c r="AP288" s="31">
        <v>0</v>
      </c>
      <c r="AR288" s="42" t="s">
        <v>511</v>
      </c>
      <c r="AS288" s="42" t="s">
        <v>512</v>
      </c>
      <c r="AT288" s="43" t="s">
        <v>1276</v>
      </c>
      <c r="AU288" s="44">
        <v>32</v>
      </c>
      <c r="AV288" s="31">
        <v>56111866.103299372</v>
      </c>
      <c r="AW288" s="31">
        <v>1416989.78</v>
      </c>
      <c r="AX288" s="31">
        <v>235832.31</v>
      </c>
      <c r="AY288" s="31">
        <v>206839.11999999997</v>
      </c>
      <c r="AZ288" s="31">
        <v>8283569.7612627577</v>
      </c>
      <c r="BA288" s="31">
        <v>3681839.9213777622</v>
      </c>
      <c r="BB288" s="31">
        <v>8927098.7328685615</v>
      </c>
      <c r="BC288" s="31">
        <f t="shared" si="23"/>
        <v>78864035.728808463</v>
      </c>
      <c r="BD288" s="31">
        <v>0</v>
      </c>
    </row>
    <row r="289" spans="2:56">
      <c r="B289" s="42" t="s">
        <v>581</v>
      </c>
      <c r="C289" s="42" t="s">
        <v>582</v>
      </c>
      <c r="D289" s="43" t="s">
        <v>1049</v>
      </c>
      <c r="E289" s="44">
        <v>32</v>
      </c>
      <c r="F289" s="31">
        <v>4994256.0176886478</v>
      </c>
      <c r="G289" s="31">
        <v>327992.24</v>
      </c>
      <c r="H289" s="31">
        <v>257930.90999999997</v>
      </c>
      <c r="I289" s="31">
        <v>15883.19</v>
      </c>
      <c r="J289" s="31">
        <v>687210.35708410887</v>
      </c>
      <c r="K289" s="31">
        <v>136936.44498647811</v>
      </c>
      <c r="L289" s="31">
        <v>0</v>
      </c>
      <c r="M289" s="31">
        <f t="shared" si="20"/>
        <v>6585959.2497592354</v>
      </c>
      <c r="N289" s="31">
        <v>165750.09</v>
      </c>
      <c r="P289" s="42" t="s">
        <v>581</v>
      </c>
      <c r="Q289" s="42" t="s">
        <v>582</v>
      </c>
      <c r="R289" s="43" t="s">
        <v>1050</v>
      </c>
      <c r="S289" s="44">
        <v>32</v>
      </c>
      <c r="T289" s="31">
        <v>5296989.1182393627</v>
      </c>
      <c r="U289" s="31">
        <v>345508.49</v>
      </c>
      <c r="V289" s="31">
        <v>267835.71000000002</v>
      </c>
      <c r="W289" s="31">
        <v>16594.28</v>
      </c>
      <c r="X289" s="31">
        <v>709753.48323231936</v>
      </c>
      <c r="Y289" s="31">
        <v>137095.53772354333</v>
      </c>
      <c r="Z289" s="31">
        <v>0</v>
      </c>
      <c r="AA289" s="31">
        <f t="shared" si="21"/>
        <v>6943601.4491952257</v>
      </c>
      <c r="AB289" s="31">
        <v>169824.83</v>
      </c>
      <c r="AD289" s="42" t="s">
        <v>581</v>
      </c>
      <c r="AE289" s="42" t="s">
        <v>582</v>
      </c>
      <c r="AF289" s="43" t="s">
        <v>1275</v>
      </c>
      <c r="AG289" s="44">
        <v>32</v>
      </c>
      <c r="AH289" s="31">
        <v>5717830.9554970171</v>
      </c>
      <c r="AI289" s="31">
        <v>371269.71000000008</v>
      </c>
      <c r="AJ289" s="31">
        <v>273074.94</v>
      </c>
      <c r="AK289" s="31">
        <v>17847.359999999997</v>
      </c>
      <c r="AL289" s="31">
        <v>726972.94580607861</v>
      </c>
      <c r="AM289" s="31">
        <v>137041.48928099714</v>
      </c>
      <c r="AN289" s="31">
        <v>0</v>
      </c>
      <c r="AO289" s="31">
        <f t="shared" si="22"/>
        <v>7416854.2605840936</v>
      </c>
      <c r="AP289" s="31">
        <v>172816.86</v>
      </c>
      <c r="AR289" s="42" t="s">
        <v>581</v>
      </c>
      <c r="AS289" s="42" t="s">
        <v>582</v>
      </c>
      <c r="AT289" s="43" t="s">
        <v>1276</v>
      </c>
      <c r="AU289" s="44">
        <v>32</v>
      </c>
      <c r="AV289" s="31">
        <v>5881777.7606777418</v>
      </c>
      <c r="AW289" s="31">
        <v>381152.22000000009</v>
      </c>
      <c r="AX289" s="31">
        <v>278061.53000000003</v>
      </c>
      <c r="AY289" s="31">
        <v>18278.32</v>
      </c>
      <c r="AZ289" s="31">
        <v>741654.53727496625</v>
      </c>
      <c r="BA289" s="31">
        <v>137050.0902986358</v>
      </c>
      <c r="BB289" s="31">
        <v>0</v>
      </c>
      <c r="BC289" s="31">
        <f t="shared" si="23"/>
        <v>7613995.7782513443</v>
      </c>
      <c r="BD289" s="31">
        <v>176021.31999999998</v>
      </c>
    </row>
    <row r="290" spans="2:56">
      <c r="B290" s="42" t="s">
        <v>369</v>
      </c>
      <c r="C290" s="42" t="s">
        <v>370</v>
      </c>
      <c r="D290" s="43" t="s">
        <v>1049</v>
      </c>
      <c r="E290" s="44">
        <v>32</v>
      </c>
      <c r="F290" s="31">
        <v>48387008.641914509</v>
      </c>
      <c r="G290" s="31">
        <v>1374295.78</v>
      </c>
      <c r="H290" s="31">
        <v>518966.31999999995</v>
      </c>
      <c r="I290" s="31">
        <v>169666.13999999998</v>
      </c>
      <c r="J290" s="31">
        <v>5470475.5099328794</v>
      </c>
      <c r="K290" s="31">
        <v>2088915.2169203914</v>
      </c>
      <c r="L290" s="31">
        <v>2810846.2693692246</v>
      </c>
      <c r="M290" s="31">
        <f t="shared" si="20"/>
        <v>60820173.878137</v>
      </c>
      <c r="N290" s="31">
        <v>0</v>
      </c>
      <c r="P290" s="42" t="s">
        <v>369</v>
      </c>
      <c r="Q290" s="42" t="s">
        <v>370</v>
      </c>
      <c r="R290" s="43" t="s">
        <v>1050</v>
      </c>
      <c r="S290" s="44">
        <v>32</v>
      </c>
      <c r="T290" s="31">
        <v>49829143.242271595</v>
      </c>
      <c r="U290" s="31">
        <v>1418743.8599999999</v>
      </c>
      <c r="V290" s="31">
        <v>538451.53999999992</v>
      </c>
      <c r="W290" s="31">
        <v>175156.28</v>
      </c>
      <c r="X290" s="31">
        <v>5639791.600744863</v>
      </c>
      <c r="Y290" s="31">
        <v>2090435.9464689463</v>
      </c>
      <c r="Z290" s="31">
        <v>2909680.3826385988</v>
      </c>
      <c r="AA290" s="31">
        <f t="shared" si="21"/>
        <v>62601402.852124006</v>
      </c>
      <c r="AB290" s="31">
        <v>0</v>
      </c>
      <c r="AD290" s="42" t="s">
        <v>369</v>
      </c>
      <c r="AE290" s="42" t="s">
        <v>370</v>
      </c>
      <c r="AF290" s="43" t="s">
        <v>1275</v>
      </c>
      <c r="AG290" s="44">
        <v>32</v>
      </c>
      <c r="AH290" s="31">
        <v>50787791.425123118</v>
      </c>
      <c r="AI290" s="31">
        <v>1446535.1500000001</v>
      </c>
      <c r="AJ290" s="31">
        <v>548999.05999999994</v>
      </c>
      <c r="AK290" s="31">
        <v>178587.35</v>
      </c>
      <c r="AL290" s="31">
        <v>5744709.628725077</v>
      </c>
      <c r="AM290" s="31">
        <v>2089899.1704606335</v>
      </c>
      <c r="AN290" s="31">
        <v>2965822.6298776944</v>
      </c>
      <c r="AO290" s="31">
        <f t="shared" si="22"/>
        <v>63762344.414186522</v>
      </c>
      <c r="AP290" s="31">
        <v>0</v>
      </c>
      <c r="AR290" s="42" t="s">
        <v>369</v>
      </c>
      <c r="AS290" s="42" t="s">
        <v>370</v>
      </c>
      <c r="AT290" s="43" t="s">
        <v>1276</v>
      </c>
      <c r="AU290" s="44">
        <v>32</v>
      </c>
      <c r="AV290" s="31">
        <v>51729094.237291865</v>
      </c>
      <c r="AW290" s="31">
        <v>1473256.8800000001</v>
      </c>
      <c r="AX290" s="31">
        <v>559140.69000000006</v>
      </c>
      <c r="AY290" s="31">
        <v>181886.37000000002</v>
      </c>
      <c r="AZ290" s="31">
        <v>5851343.0568084102</v>
      </c>
      <c r="BA290" s="31">
        <v>2089983.5487092845</v>
      </c>
      <c r="BB290" s="31">
        <v>3020933.1359593254</v>
      </c>
      <c r="BC290" s="31">
        <f t="shared" si="23"/>
        <v>64905637.918768883</v>
      </c>
      <c r="BD290" s="31">
        <v>0</v>
      </c>
    </row>
    <row r="291" spans="2:56">
      <c r="B291" s="42" t="s">
        <v>489</v>
      </c>
      <c r="C291" s="42" t="s">
        <v>490</v>
      </c>
      <c r="D291" s="43" t="s">
        <v>1049</v>
      </c>
      <c r="E291" s="44">
        <v>32</v>
      </c>
      <c r="F291" s="31">
        <v>10957750.718659814</v>
      </c>
      <c r="G291" s="31">
        <v>164873.09999999998</v>
      </c>
      <c r="H291" s="31">
        <v>0</v>
      </c>
      <c r="I291" s="31">
        <v>32448.43</v>
      </c>
      <c r="J291" s="31">
        <v>964206.36550334364</v>
      </c>
      <c r="K291" s="31">
        <v>989170.15045579593</v>
      </c>
      <c r="L291" s="31">
        <v>0</v>
      </c>
      <c r="M291" s="31">
        <f t="shared" si="20"/>
        <v>13182505.234618952</v>
      </c>
      <c r="N291" s="31">
        <v>74056.47</v>
      </c>
      <c r="P291" s="42" t="s">
        <v>489</v>
      </c>
      <c r="Q291" s="42" t="s">
        <v>490</v>
      </c>
      <c r="R291" s="43" t="s">
        <v>1050</v>
      </c>
      <c r="S291" s="44">
        <v>32</v>
      </c>
      <c r="T291" s="31">
        <v>11474392.414919622</v>
      </c>
      <c r="U291" s="31">
        <v>174251.36000000004</v>
      </c>
      <c r="V291" s="31">
        <v>0</v>
      </c>
      <c r="W291" s="31">
        <v>34099.22</v>
      </c>
      <c r="X291" s="31">
        <v>996517.74747020891</v>
      </c>
      <c r="Y291" s="31">
        <v>989789.78108500352</v>
      </c>
      <c r="Z291" s="31">
        <v>0</v>
      </c>
      <c r="AA291" s="31">
        <f t="shared" si="21"/>
        <v>13744927.563474834</v>
      </c>
      <c r="AB291" s="31">
        <v>75877.039999999994</v>
      </c>
      <c r="AD291" s="42" t="s">
        <v>489</v>
      </c>
      <c r="AE291" s="42" t="s">
        <v>490</v>
      </c>
      <c r="AF291" s="43" t="s">
        <v>1275</v>
      </c>
      <c r="AG291" s="44">
        <v>32</v>
      </c>
      <c r="AH291" s="31">
        <v>11805009.980655961</v>
      </c>
      <c r="AI291" s="31">
        <v>179354.84</v>
      </c>
      <c r="AJ291" s="31">
        <v>0</v>
      </c>
      <c r="AK291" s="31">
        <v>35075.730000000003</v>
      </c>
      <c r="AL291" s="31">
        <v>1017318.4907685511</v>
      </c>
      <c r="AM291" s="31">
        <v>989579.2744894143</v>
      </c>
      <c r="AN291" s="31">
        <v>0</v>
      </c>
      <c r="AO291" s="31">
        <f t="shared" si="22"/>
        <v>14103552.185913926</v>
      </c>
      <c r="AP291" s="31">
        <v>77213.87</v>
      </c>
      <c r="AR291" s="42" t="s">
        <v>489</v>
      </c>
      <c r="AS291" s="42" t="s">
        <v>490</v>
      </c>
      <c r="AT291" s="43" t="s">
        <v>1276</v>
      </c>
      <c r="AU291" s="44">
        <v>32</v>
      </c>
      <c r="AV291" s="31">
        <v>12121585.912523191</v>
      </c>
      <c r="AW291" s="31">
        <v>184078.93000000005</v>
      </c>
      <c r="AX291" s="31">
        <v>0</v>
      </c>
      <c r="AY291" s="31">
        <v>36031.399999999994</v>
      </c>
      <c r="AZ291" s="31">
        <v>1037406.1694728888</v>
      </c>
      <c r="BA291" s="31">
        <v>989612.77352946822</v>
      </c>
      <c r="BB291" s="31">
        <v>0</v>
      </c>
      <c r="BC291" s="31">
        <f t="shared" si="23"/>
        <v>14447360.805525547</v>
      </c>
      <c r="BD291" s="31">
        <v>78645.62</v>
      </c>
    </row>
    <row r="292" spans="2:56">
      <c r="B292" s="42" t="s">
        <v>55</v>
      </c>
      <c r="C292" s="42" t="s">
        <v>56</v>
      </c>
      <c r="D292" s="43" t="s">
        <v>1049</v>
      </c>
      <c r="E292" s="44">
        <v>32</v>
      </c>
      <c r="F292" s="31">
        <v>179097181.73458564</v>
      </c>
      <c r="G292" s="31">
        <v>6821179.2699999996</v>
      </c>
      <c r="H292" s="31">
        <v>4827008.8100000005</v>
      </c>
      <c r="I292" s="31">
        <v>633566.71999999997</v>
      </c>
      <c r="J292" s="31">
        <v>27866759.31251619</v>
      </c>
      <c r="K292" s="31">
        <v>10638587.344901018</v>
      </c>
      <c r="L292" s="31">
        <v>15111380.051453874</v>
      </c>
      <c r="M292" s="31">
        <f t="shared" si="20"/>
        <v>248759203.41345671</v>
      </c>
      <c r="N292" s="31">
        <v>3763540.17</v>
      </c>
      <c r="P292" s="42" t="s">
        <v>55</v>
      </c>
      <c r="Q292" s="42" t="s">
        <v>56</v>
      </c>
      <c r="R292" s="43" t="s">
        <v>1050</v>
      </c>
      <c r="S292" s="44">
        <v>32</v>
      </c>
      <c r="T292" s="31">
        <v>194935538.05630571</v>
      </c>
      <c r="U292" s="31">
        <v>7402883.3600000003</v>
      </c>
      <c r="V292" s="31">
        <v>5009812.1199999992</v>
      </c>
      <c r="W292" s="31">
        <v>683010.99000000011</v>
      </c>
      <c r="X292" s="31">
        <v>28983242.464683544</v>
      </c>
      <c r="Y292" s="31">
        <v>10648142.828096971</v>
      </c>
      <c r="Z292" s="31">
        <v>15644986.143702827</v>
      </c>
      <c r="AA292" s="31">
        <f t="shared" si="21"/>
        <v>267164297.60278907</v>
      </c>
      <c r="AB292" s="31">
        <v>3856681.6399999997</v>
      </c>
      <c r="AD292" s="42" t="s">
        <v>55</v>
      </c>
      <c r="AE292" s="42" t="s">
        <v>56</v>
      </c>
      <c r="AF292" s="43" t="s">
        <v>1275</v>
      </c>
      <c r="AG292" s="44">
        <v>32</v>
      </c>
      <c r="AH292" s="31">
        <v>199576151.12712285</v>
      </c>
      <c r="AI292" s="31">
        <v>7568396.5200000014</v>
      </c>
      <c r="AJ292" s="31">
        <v>5107895.49</v>
      </c>
      <c r="AK292" s="31">
        <v>697577.43</v>
      </c>
      <c r="AL292" s="31">
        <v>29593295.387099095</v>
      </c>
      <c r="AM292" s="31">
        <v>10644770.003433771</v>
      </c>
      <c r="AN292" s="31">
        <v>15946662.970313929</v>
      </c>
      <c r="AO292" s="31">
        <f t="shared" si="22"/>
        <v>273059823.00796962</v>
      </c>
      <c r="AP292" s="31">
        <v>3925074.0799999996</v>
      </c>
      <c r="AR292" s="42" t="s">
        <v>55</v>
      </c>
      <c r="AS292" s="42" t="s">
        <v>56</v>
      </c>
      <c r="AT292" s="43" t="s">
        <v>1276</v>
      </c>
      <c r="AU292" s="44">
        <v>32</v>
      </c>
      <c r="AV292" s="31">
        <v>205319988.21823764</v>
      </c>
      <c r="AW292" s="31">
        <v>7745239.3300000001</v>
      </c>
      <c r="AX292" s="31">
        <v>5201841.6900000013</v>
      </c>
      <c r="AY292" s="31">
        <v>714056.33</v>
      </c>
      <c r="AZ292" s="31">
        <v>30273330.115559854</v>
      </c>
      <c r="BA292" s="31">
        <v>10645300.192998283</v>
      </c>
      <c r="BB292" s="31">
        <v>16242229.050460858</v>
      </c>
      <c r="BC292" s="31">
        <f t="shared" si="23"/>
        <v>280140307.33725667</v>
      </c>
      <c r="BD292" s="31">
        <v>3998322.41</v>
      </c>
    </row>
    <row r="293" spans="2:56">
      <c r="B293" s="42" t="s">
        <v>193</v>
      </c>
      <c r="C293" s="42" t="s">
        <v>194</v>
      </c>
      <c r="D293" s="43" t="s">
        <v>1049</v>
      </c>
      <c r="E293" s="44">
        <v>32</v>
      </c>
      <c r="F293" s="31">
        <v>12472692.103237871</v>
      </c>
      <c r="G293" s="31">
        <v>237720.89999999997</v>
      </c>
      <c r="H293" s="31">
        <v>125757.15000000001</v>
      </c>
      <c r="I293" s="31">
        <v>46013.97</v>
      </c>
      <c r="J293" s="31">
        <v>1662721.4245707518</v>
      </c>
      <c r="K293" s="31">
        <v>966538.69088040106</v>
      </c>
      <c r="L293" s="31">
        <v>1137991.4381617596</v>
      </c>
      <c r="M293" s="31">
        <f t="shared" si="20"/>
        <v>16661720.436850784</v>
      </c>
      <c r="N293" s="31">
        <v>12284.76</v>
      </c>
      <c r="P293" s="42" t="s">
        <v>193</v>
      </c>
      <c r="Q293" s="42" t="s">
        <v>194</v>
      </c>
      <c r="R293" s="43" t="s">
        <v>1050</v>
      </c>
      <c r="S293" s="44">
        <v>32</v>
      </c>
      <c r="T293" s="31">
        <v>12921700.848302394</v>
      </c>
      <c r="U293" s="31">
        <v>245980.63999999998</v>
      </c>
      <c r="V293" s="31">
        <v>130459.42</v>
      </c>
      <c r="W293" s="31">
        <v>47510.94</v>
      </c>
      <c r="X293" s="31">
        <v>1721093.6463960772</v>
      </c>
      <c r="Y293" s="31">
        <v>967522.19453440059</v>
      </c>
      <c r="Z293" s="31">
        <v>1177840.3022683612</v>
      </c>
      <c r="AA293" s="31">
        <f t="shared" si="21"/>
        <v>17224698.601501234</v>
      </c>
      <c r="AB293" s="31">
        <v>12590.610000000002</v>
      </c>
      <c r="AD293" s="42" t="s">
        <v>193</v>
      </c>
      <c r="AE293" s="42" t="s">
        <v>194</v>
      </c>
      <c r="AF293" s="43" t="s">
        <v>1275</v>
      </c>
      <c r="AG293" s="44">
        <v>32</v>
      </c>
      <c r="AH293" s="31">
        <v>13237121.854333473</v>
      </c>
      <c r="AI293" s="31">
        <v>252532.09999999998</v>
      </c>
      <c r="AJ293" s="31">
        <v>133015.59</v>
      </c>
      <c r="AK293" s="31">
        <v>48783.78</v>
      </c>
      <c r="AL293" s="31">
        <v>1749643.3790752934</v>
      </c>
      <c r="AM293" s="31">
        <v>967162.53255208046</v>
      </c>
      <c r="AN293" s="31">
        <v>1200577.3472774511</v>
      </c>
      <c r="AO293" s="31">
        <f t="shared" si="22"/>
        <v>17601651.783238295</v>
      </c>
      <c r="AP293" s="31">
        <v>12815.200000000003</v>
      </c>
      <c r="AR293" s="42" t="s">
        <v>193</v>
      </c>
      <c r="AS293" s="42" t="s">
        <v>194</v>
      </c>
      <c r="AT293" s="43" t="s">
        <v>1276</v>
      </c>
      <c r="AU293" s="44">
        <v>32</v>
      </c>
      <c r="AV293" s="31">
        <v>13500407.25356013</v>
      </c>
      <c r="AW293" s="31">
        <v>257551.76</v>
      </c>
      <c r="AX293" s="31">
        <v>135477.88</v>
      </c>
      <c r="AY293" s="31">
        <v>49802.92</v>
      </c>
      <c r="AZ293" s="31">
        <v>1781894.8661135857</v>
      </c>
      <c r="BA293" s="31">
        <v>967218.44651172042</v>
      </c>
      <c r="BB293" s="31">
        <v>1222937.1062192665</v>
      </c>
      <c r="BC293" s="31">
        <f t="shared" si="23"/>
        <v>17928345.972404703</v>
      </c>
      <c r="BD293" s="31">
        <v>13055.740000000003</v>
      </c>
    </row>
    <row r="294" spans="2:56">
      <c r="B294" s="42" t="s">
        <v>1024</v>
      </c>
      <c r="C294" s="42" t="s">
        <v>1044</v>
      </c>
      <c r="D294" s="43" t="s">
        <v>1049</v>
      </c>
      <c r="E294" s="44">
        <v>32</v>
      </c>
      <c r="F294" s="31">
        <v>1143193.3727090994</v>
      </c>
      <c r="G294" s="31">
        <v>80302.2</v>
      </c>
      <c r="H294" s="31">
        <v>0</v>
      </c>
      <c r="I294" s="31">
        <v>0</v>
      </c>
      <c r="J294" s="31">
        <v>153391.91466490593</v>
      </c>
      <c r="K294" s="31">
        <v>146487.5</v>
      </c>
      <c r="L294" s="31">
        <v>0</v>
      </c>
      <c r="M294" s="31">
        <f t="shared" si="20"/>
        <v>1560096.0973740055</v>
      </c>
      <c r="N294" s="31">
        <v>36721.11</v>
      </c>
      <c r="P294" s="42" t="s">
        <v>1024</v>
      </c>
      <c r="Q294" s="42" t="s">
        <v>1044</v>
      </c>
      <c r="R294" s="43" t="s">
        <v>1050</v>
      </c>
      <c r="S294" s="44">
        <v>32</v>
      </c>
      <c r="T294" s="31">
        <v>1195558.4163172853</v>
      </c>
      <c r="U294" s="31">
        <v>83143.600000000006</v>
      </c>
      <c r="V294" s="31">
        <v>0</v>
      </c>
      <c r="W294" s="31">
        <v>0</v>
      </c>
      <c r="X294" s="31">
        <v>157430.99622740204</v>
      </c>
      <c r="Y294" s="31">
        <v>146487.5</v>
      </c>
      <c r="Z294" s="31">
        <v>0</v>
      </c>
      <c r="AA294" s="31">
        <f t="shared" si="21"/>
        <v>1619926.7525446874</v>
      </c>
      <c r="AB294" s="31">
        <v>37306.239999999998</v>
      </c>
      <c r="AD294" s="42" t="s">
        <v>1024</v>
      </c>
      <c r="AE294" s="42" t="s">
        <v>1044</v>
      </c>
      <c r="AF294" s="43" t="s">
        <v>1275</v>
      </c>
      <c r="AG294" s="44">
        <v>32</v>
      </c>
      <c r="AH294" s="31">
        <v>1218577.1249819994</v>
      </c>
      <c r="AI294" s="31">
        <v>84841.32</v>
      </c>
      <c r="AJ294" s="31">
        <v>0</v>
      </c>
      <c r="AK294" s="31">
        <v>0</v>
      </c>
      <c r="AL294" s="31">
        <v>160349.1685761477</v>
      </c>
      <c r="AM294" s="31">
        <v>146487.5</v>
      </c>
      <c r="AN294" s="31">
        <v>0</v>
      </c>
      <c r="AO294" s="31">
        <f t="shared" si="22"/>
        <v>1648220.8435581471</v>
      </c>
      <c r="AP294" s="31">
        <v>37965.729999999996</v>
      </c>
      <c r="AR294" s="42" t="s">
        <v>1024</v>
      </c>
      <c r="AS294" s="42" t="s">
        <v>1044</v>
      </c>
      <c r="AT294" s="43" t="s">
        <v>1276</v>
      </c>
      <c r="AU294" s="44">
        <v>32</v>
      </c>
      <c r="AV294" s="31">
        <v>1241011.3578807879</v>
      </c>
      <c r="AW294" s="31">
        <v>86385.87999999999</v>
      </c>
      <c r="AX294" s="31">
        <v>0</v>
      </c>
      <c r="AY294" s="31">
        <v>0</v>
      </c>
      <c r="AZ294" s="31">
        <v>163306.08183512426</v>
      </c>
      <c r="BA294" s="31">
        <v>146487.5</v>
      </c>
      <c r="BB294" s="31">
        <v>0</v>
      </c>
      <c r="BC294" s="31">
        <f t="shared" si="23"/>
        <v>1675862.839715912</v>
      </c>
      <c r="BD294" s="31">
        <v>38672.020000000004</v>
      </c>
    </row>
    <row r="295" spans="2:56">
      <c r="B295" s="42" t="s">
        <v>523</v>
      </c>
      <c r="C295" s="42" t="s">
        <v>524</v>
      </c>
      <c r="D295" s="43" t="s">
        <v>1049</v>
      </c>
      <c r="E295" s="44">
        <v>32</v>
      </c>
      <c r="F295" s="31">
        <v>4240471.8246802147</v>
      </c>
      <c r="G295" s="31">
        <v>188952.34000000003</v>
      </c>
      <c r="H295" s="31">
        <v>0</v>
      </c>
      <c r="I295" s="31">
        <v>0</v>
      </c>
      <c r="J295" s="31">
        <v>577579.01062242058</v>
      </c>
      <c r="K295" s="31">
        <v>342388.08050716663</v>
      </c>
      <c r="L295" s="31">
        <v>231626.73305109574</v>
      </c>
      <c r="M295" s="31">
        <f t="shared" si="20"/>
        <v>5717713.3288608976</v>
      </c>
      <c r="N295" s="31">
        <v>136695.33999999997</v>
      </c>
      <c r="P295" s="42" t="s">
        <v>523</v>
      </c>
      <c r="Q295" s="42" t="s">
        <v>524</v>
      </c>
      <c r="R295" s="43" t="s">
        <v>1050</v>
      </c>
      <c r="S295" s="44">
        <v>32</v>
      </c>
      <c r="T295" s="31">
        <v>4440906.7405508617</v>
      </c>
      <c r="U295" s="31">
        <v>201734.67</v>
      </c>
      <c r="V295" s="31">
        <v>0</v>
      </c>
      <c r="W295" s="31">
        <v>0</v>
      </c>
      <c r="X295" s="31">
        <v>591841.4529116503</v>
      </c>
      <c r="Y295" s="31">
        <v>342702.37777355523</v>
      </c>
      <c r="Z295" s="31">
        <v>242119.79744083132</v>
      </c>
      <c r="AA295" s="31">
        <f t="shared" si="21"/>
        <v>5959376.1086768983</v>
      </c>
      <c r="AB295" s="31">
        <v>140071.06999999998</v>
      </c>
      <c r="AD295" s="42" t="s">
        <v>523</v>
      </c>
      <c r="AE295" s="42" t="s">
        <v>524</v>
      </c>
      <c r="AF295" s="43" t="s">
        <v>1275</v>
      </c>
      <c r="AG295" s="44">
        <v>32</v>
      </c>
      <c r="AH295" s="31">
        <v>4364950.8476702496</v>
      </c>
      <c r="AI295" s="31">
        <v>194414.88000000003</v>
      </c>
      <c r="AJ295" s="31">
        <v>0</v>
      </c>
      <c r="AK295" s="31">
        <v>0</v>
      </c>
      <c r="AL295" s="31">
        <v>604113.30434401787</v>
      </c>
      <c r="AM295" s="31">
        <v>342595.60182602808</v>
      </c>
      <c r="AN295" s="31">
        <v>246786.59310203596</v>
      </c>
      <c r="AO295" s="31">
        <f t="shared" si="22"/>
        <v>5895411.0569423316</v>
      </c>
      <c r="AP295" s="31">
        <v>142549.82999999999</v>
      </c>
      <c r="AR295" s="42" t="s">
        <v>523</v>
      </c>
      <c r="AS295" s="42" t="s">
        <v>524</v>
      </c>
      <c r="AT295" s="43" t="s">
        <v>1276</v>
      </c>
      <c r="AU295" s="44">
        <v>32</v>
      </c>
      <c r="AV295" s="31">
        <v>4308812.9332710858</v>
      </c>
      <c r="AW295" s="31">
        <v>187070.56000000003</v>
      </c>
      <c r="AX295" s="31">
        <v>0</v>
      </c>
      <c r="AY295" s="31">
        <v>0</v>
      </c>
      <c r="AZ295" s="31">
        <v>617308.8744158356</v>
      </c>
      <c r="BA295" s="31">
        <v>342612.5936534481</v>
      </c>
      <c r="BB295" s="31">
        <v>251348.85429074607</v>
      </c>
      <c r="BC295" s="31">
        <f t="shared" si="23"/>
        <v>5852358.395631115</v>
      </c>
      <c r="BD295" s="31">
        <v>145204.57999999999</v>
      </c>
    </row>
    <row r="296" spans="2:56">
      <c r="B296" s="42" t="s">
        <v>121</v>
      </c>
      <c r="C296" s="42" t="s">
        <v>122</v>
      </c>
      <c r="D296" s="43" t="s">
        <v>1049</v>
      </c>
      <c r="E296" s="44">
        <v>32</v>
      </c>
      <c r="F296" s="31">
        <v>17909774.610841364</v>
      </c>
      <c r="G296" s="31">
        <v>1448583.6499999994</v>
      </c>
      <c r="H296" s="31">
        <v>1897697.1800000002</v>
      </c>
      <c r="I296" s="31">
        <v>67332.94</v>
      </c>
      <c r="J296" s="31">
        <v>2756880.9249971621</v>
      </c>
      <c r="K296" s="31">
        <v>1244300.079216785</v>
      </c>
      <c r="L296" s="31">
        <v>2428360.5454441784</v>
      </c>
      <c r="M296" s="31">
        <f t="shared" si="20"/>
        <v>28454030.38049949</v>
      </c>
      <c r="N296" s="31">
        <v>701100.45000000007</v>
      </c>
      <c r="P296" s="42" t="s">
        <v>121</v>
      </c>
      <c r="Q296" s="42" t="s">
        <v>122</v>
      </c>
      <c r="R296" s="43" t="s">
        <v>1050</v>
      </c>
      <c r="S296" s="44">
        <v>32</v>
      </c>
      <c r="T296" s="31">
        <v>19069988.708462454</v>
      </c>
      <c r="U296" s="31">
        <v>1527254.4299999997</v>
      </c>
      <c r="V296" s="31">
        <v>1970570.6700000002</v>
      </c>
      <c r="W296" s="31">
        <v>70525.69</v>
      </c>
      <c r="X296" s="31">
        <v>2860054.422738323</v>
      </c>
      <c r="Y296" s="31">
        <v>1245486.0919884949</v>
      </c>
      <c r="Z296" s="31">
        <v>2539231.7296120226</v>
      </c>
      <c r="AA296" s="31">
        <f t="shared" si="21"/>
        <v>30001447.8028013</v>
      </c>
      <c r="AB296" s="31">
        <v>718336.06</v>
      </c>
      <c r="AD296" s="42" t="s">
        <v>121</v>
      </c>
      <c r="AE296" s="42" t="s">
        <v>122</v>
      </c>
      <c r="AF296" s="43" t="s">
        <v>1275</v>
      </c>
      <c r="AG296" s="44">
        <v>32</v>
      </c>
      <c r="AH296" s="31">
        <v>19669267.690233804</v>
      </c>
      <c r="AI296" s="31">
        <v>1573896.6099999999</v>
      </c>
      <c r="AJ296" s="31">
        <v>2009117.5699999998</v>
      </c>
      <c r="AK296" s="31">
        <v>72627.399999999994</v>
      </c>
      <c r="AL296" s="31">
        <v>2913450.6666958132</v>
      </c>
      <c r="AM296" s="31">
        <v>1245083.1688611838</v>
      </c>
      <c r="AN296" s="31">
        <v>2588141.9811038068</v>
      </c>
      <c r="AO296" s="31">
        <f t="shared" si="22"/>
        <v>30802577.016894609</v>
      </c>
      <c r="AP296" s="31">
        <v>730991.93</v>
      </c>
      <c r="AR296" s="42" t="s">
        <v>121</v>
      </c>
      <c r="AS296" s="42" t="s">
        <v>122</v>
      </c>
      <c r="AT296" s="43" t="s">
        <v>1276</v>
      </c>
      <c r="AU296" s="44">
        <v>32</v>
      </c>
      <c r="AV296" s="31">
        <v>20272476.111899056</v>
      </c>
      <c r="AW296" s="31">
        <v>1618713.9700000002</v>
      </c>
      <c r="AX296" s="31">
        <v>2045805.9100000001</v>
      </c>
      <c r="AY296" s="31">
        <v>74688.98</v>
      </c>
      <c r="AZ296" s="31">
        <v>2967109.113109218</v>
      </c>
      <c r="BA296" s="31">
        <v>1245147.2881727081</v>
      </c>
      <c r="BB296" s="31">
        <v>2635855.7638101866</v>
      </c>
      <c r="BC296" s="31">
        <f t="shared" si="23"/>
        <v>31604343.506991167</v>
      </c>
      <c r="BD296" s="31">
        <v>744546.37</v>
      </c>
    </row>
    <row r="297" spans="2:56">
      <c r="B297" s="42" t="s">
        <v>535</v>
      </c>
      <c r="C297" s="42" t="s">
        <v>536</v>
      </c>
      <c r="D297" s="43" t="s">
        <v>1049</v>
      </c>
      <c r="E297" s="44">
        <v>32</v>
      </c>
      <c r="F297" s="31">
        <v>2943522.5446933853</v>
      </c>
      <c r="G297" s="31">
        <v>92668.039999999979</v>
      </c>
      <c r="H297" s="31">
        <v>0</v>
      </c>
      <c r="I297" s="31">
        <v>0</v>
      </c>
      <c r="J297" s="31">
        <v>222056.15772976269</v>
      </c>
      <c r="K297" s="31">
        <v>146130.77391307594</v>
      </c>
      <c r="L297" s="31">
        <v>131111.87206232833</v>
      </c>
      <c r="M297" s="31">
        <f t="shared" si="20"/>
        <v>3611787.0483985525</v>
      </c>
      <c r="N297" s="31">
        <v>76297.66</v>
      </c>
      <c r="P297" s="42" t="s">
        <v>535</v>
      </c>
      <c r="Q297" s="42" t="s">
        <v>536</v>
      </c>
      <c r="R297" s="43" t="s">
        <v>1050</v>
      </c>
      <c r="S297" s="44">
        <v>32</v>
      </c>
      <c r="T297" s="31">
        <v>2780572.0874505518</v>
      </c>
      <c r="U297" s="31">
        <v>85745.76999999999</v>
      </c>
      <c r="V297" s="31">
        <v>0</v>
      </c>
      <c r="W297" s="31">
        <v>0</v>
      </c>
      <c r="X297" s="31">
        <v>228248.5961615718</v>
      </c>
      <c r="Y297" s="31">
        <v>146242.22596017845</v>
      </c>
      <c r="Z297" s="31">
        <v>137099.12294204964</v>
      </c>
      <c r="AA297" s="31">
        <f t="shared" si="21"/>
        <v>3456081.1325143515</v>
      </c>
      <c r="AB297" s="31">
        <v>78173.329999999987</v>
      </c>
      <c r="AD297" s="42" t="s">
        <v>535</v>
      </c>
      <c r="AE297" s="42" t="s">
        <v>536</v>
      </c>
      <c r="AF297" s="43" t="s">
        <v>1275</v>
      </c>
      <c r="AG297" s="44">
        <v>32</v>
      </c>
      <c r="AH297" s="31">
        <v>2879622.223347506</v>
      </c>
      <c r="AI297" s="31">
        <v>88400.280000000042</v>
      </c>
      <c r="AJ297" s="31">
        <v>0</v>
      </c>
      <c r="AK297" s="31">
        <v>0</v>
      </c>
      <c r="AL297" s="31">
        <v>234426.76974147846</v>
      </c>
      <c r="AM297" s="31">
        <v>146204.36244940103</v>
      </c>
      <c r="AN297" s="31">
        <v>139739.98285794264</v>
      </c>
      <c r="AO297" s="31">
        <f t="shared" si="22"/>
        <v>3567944.2383963284</v>
      </c>
      <c r="AP297" s="31">
        <v>79550.619999999981</v>
      </c>
      <c r="AR297" s="42" t="s">
        <v>535</v>
      </c>
      <c r="AS297" s="42" t="s">
        <v>536</v>
      </c>
      <c r="AT297" s="43" t="s">
        <v>1276</v>
      </c>
      <c r="AU297" s="44">
        <v>32</v>
      </c>
      <c r="AV297" s="31">
        <v>2964445.8422831758</v>
      </c>
      <c r="AW297" s="31">
        <v>90727.489999999962</v>
      </c>
      <c r="AX297" s="31">
        <v>0</v>
      </c>
      <c r="AY297" s="31">
        <v>0</v>
      </c>
      <c r="AZ297" s="31">
        <v>239302.12159646477</v>
      </c>
      <c r="BA297" s="31">
        <v>146210.38787231271</v>
      </c>
      <c r="BB297" s="31">
        <v>142316.18562262401</v>
      </c>
      <c r="BC297" s="31">
        <f t="shared" si="23"/>
        <v>3664027.7073745774</v>
      </c>
      <c r="BD297" s="31">
        <v>81025.679999999993</v>
      </c>
    </row>
    <row r="298" spans="2:56">
      <c r="B298" s="42" t="s">
        <v>527</v>
      </c>
      <c r="C298" s="42" t="s">
        <v>528</v>
      </c>
      <c r="D298" s="43" t="s">
        <v>1049</v>
      </c>
      <c r="E298" s="44">
        <v>32</v>
      </c>
      <c r="F298" s="31">
        <v>44707368.35328044</v>
      </c>
      <c r="G298" s="31">
        <v>1961048.5899999994</v>
      </c>
      <c r="H298" s="31">
        <v>1244986.9200000002</v>
      </c>
      <c r="I298" s="31">
        <v>159192.07999999999</v>
      </c>
      <c r="J298" s="31">
        <v>6935711.3390098158</v>
      </c>
      <c r="K298" s="31">
        <v>1683763.6898272519</v>
      </c>
      <c r="L298" s="31">
        <v>4201982.771805685</v>
      </c>
      <c r="M298" s="31">
        <f t="shared" si="20"/>
        <v>61695159.093923189</v>
      </c>
      <c r="N298" s="31">
        <v>801105.35000000009</v>
      </c>
      <c r="P298" s="42" t="s">
        <v>527</v>
      </c>
      <c r="Q298" s="42" t="s">
        <v>528</v>
      </c>
      <c r="R298" s="43" t="s">
        <v>1050</v>
      </c>
      <c r="S298" s="44">
        <v>32</v>
      </c>
      <c r="T298" s="31">
        <v>48204979.66316507</v>
      </c>
      <c r="U298" s="31">
        <v>2095350.6900000004</v>
      </c>
      <c r="V298" s="31">
        <v>1292348.2100000002</v>
      </c>
      <c r="W298" s="31">
        <v>169227.35000000003</v>
      </c>
      <c r="X298" s="31">
        <v>7186905.9218813721</v>
      </c>
      <c r="Y298" s="31">
        <v>1684645.3954834293</v>
      </c>
      <c r="Z298" s="31">
        <v>4392675.2415861795</v>
      </c>
      <c r="AA298" s="31">
        <f t="shared" si="21"/>
        <v>65847021.392116047</v>
      </c>
      <c r="AB298" s="31">
        <v>820888.92</v>
      </c>
      <c r="AD298" s="42" t="s">
        <v>527</v>
      </c>
      <c r="AE298" s="42" t="s">
        <v>528</v>
      </c>
      <c r="AF298" s="43" t="s">
        <v>1275</v>
      </c>
      <c r="AG298" s="44">
        <v>32</v>
      </c>
      <c r="AH298" s="31">
        <v>49191312.706290096</v>
      </c>
      <c r="AI298" s="31">
        <v>2137902.8299999996</v>
      </c>
      <c r="AJ298" s="31">
        <v>1317643.05</v>
      </c>
      <c r="AK298" s="31">
        <v>172539.59000000003</v>
      </c>
      <c r="AL298" s="31">
        <v>7328840.9486034298</v>
      </c>
      <c r="AM298" s="31">
        <v>1684345.8543580477</v>
      </c>
      <c r="AN298" s="31">
        <v>4477368.4818419032</v>
      </c>
      <c r="AO298" s="31">
        <f t="shared" si="22"/>
        <v>67145369.161093473</v>
      </c>
      <c r="AP298" s="31">
        <v>835415.70000000019</v>
      </c>
      <c r="AR298" s="42" t="s">
        <v>527</v>
      </c>
      <c r="AS298" s="42" t="s">
        <v>528</v>
      </c>
      <c r="AT298" s="43" t="s">
        <v>1276</v>
      </c>
      <c r="AU298" s="44">
        <v>32</v>
      </c>
      <c r="AV298" s="31">
        <v>50070000.446343437</v>
      </c>
      <c r="AW298" s="31">
        <v>2176905.0700000003</v>
      </c>
      <c r="AX298" s="31">
        <v>1341821.8299999998</v>
      </c>
      <c r="AY298" s="31">
        <v>175705.68000000002</v>
      </c>
      <c r="AZ298" s="31">
        <v>7459856.7894695112</v>
      </c>
      <c r="BA298" s="31">
        <v>1684393.5219388611</v>
      </c>
      <c r="BB298" s="31">
        <v>4560119.1347311428</v>
      </c>
      <c r="BC298" s="31">
        <f t="shared" si="23"/>
        <v>68319776.372482955</v>
      </c>
      <c r="BD298" s="31">
        <v>850973.9</v>
      </c>
    </row>
    <row r="299" spans="2:56">
      <c r="B299" s="42" t="s">
        <v>605</v>
      </c>
      <c r="C299" s="42" t="s">
        <v>606</v>
      </c>
      <c r="D299" s="43" t="s">
        <v>1049</v>
      </c>
      <c r="E299" s="44">
        <v>32</v>
      </c>
      <c r="F299" s="31">
        <v>23837920.896119941</v>
      </c>
      <c r="G299" s="31">
        <v>1732629.2</v>
      </c>
      <c r="H299" s="31">
        <v>1648925.8800000001</v>
      </c>
      <c r="I299" s="31">
        <v>85749.610000000015</v>
      </c>
      <c r="J299" s="31">
        <v>3575710.517867256</v>
      </c>
      <c r="K299" s="31">
        <v>1704815.0473985041</v>
      </c>
      <c r="L299" s="31">
        <v>2786180.7617077222</v>
      </c>
      <c r="M299" s="31">
        <f t="shared" si="20"/>
        <v>36270841.113093421</v>
      </c>
      <c r="N299" s="31">
        <v>898909.2</v>
      </c>
      <c r="P299" s="42" t="s">
        <v>605</v>
      </c>
      <c r="Q299" s="42" t="s">
        <v>606</v>
      </c>
      <c r="R299" s="43" t="s">
        <v>1050</v>
      </c>
      <c r="S299" s="44">
        <v>32</v>
      </c>
      <c r="T299" s="31">
        <v>25672211.219952963</v>
      </c>
      <c r="U299" s="31">
        <v>1860254.2500000002</v>
      </c>
      <c r="V299" s="31">
        <v>1712246.3</v>
      </c>
      <c r="W299" s="31">
        <v>91470.889999999985</v>
      </c>
      <c r="X299" s="31">
        <v>3685476.4776472948</v>
      </c>
      <c r="Y299" s="31">
        <v>1706389.9896247275</v>
      </c>
      <c r="Z299" s="31">
        <v>2913320.5087183146</v>
      </c>
      <c r="AA299" s="31">
        <f t="shared" si="21"/>
        <v>38562377.315943293</v>
      </c>
      <c r="AB299" s="31">
        <v>921007.67999999993</v>
      </c>
      <c r="AD299" s="42" t="s">
        <v>605</v>
      </c>
      <c r="AE299" s="42" t="s">
        <v>606</v>
      </c>
      <c r="AF299" s="43" t="s">
        <v>1275</v>
      </c>
      <c r="AG299" s="44">
        <v>32</v>
      </c>
      <c r="AH299" s="31">
        <v>26130322.979570817</v>
      </c>
      <c r="AI299" s="31">
        <v>1896678.9100000001</v>
      </c>
      <c r="AJ299" s="31">
        <v>1745740.0400000003</v>
      </c>
      <c r="AK299" s="31">
        <v>93157.040000000008</v>
      </c>
      <c r="AL299" s="31">
        <v>3753258.816533945</v>
      </c>
      <c r="AM299" s="31">
        <v>1705854.9358190175</v>
      </c>
      <c r="AN299" s="31">
        <v>2969436.5214912621</v>
      </c>
      <c r="AO299" s="31">
        <f t="shared" si="22"/>
        <v>39231683.523415036</v>
      </c>
      <c r="AP299" s="31">
        <v>937234.28000000014</v>
      </c>
      <c r="AR299" s="42" t="s">
        <v>605</v>
      </c>
      <c r="AS299" s="42" t="s">
        <v>606</v>
      </c>
      <c r="AT299" s="43" t="s">
        <v>1276</v>
      </c>
      <c r="AU299" s="44">
        <v>32</v>
      </c>
      <c r="AV299" s="31">
        <v>26200212.315349191</v>
      </c>
      <c r="AW299" s="31">
        <v>1895648.9900000002</v>
      </c>
      <c r="AX299" s="31">
        <v>1777618.86</v>
      </c>
      <c r="AY299" s="31">
        <v>93177.400000000009</v>
      </c>
      <c r="AZ299" s="31">
        <v>3839829.9839796182</v>
      </c>
      <c r="BA299" s="31">
        <v>1705940.0817918472</v>
      </c>
      <c r="BB299" s="31">
        <v>3024179.8048573276</v>
      </c>
      <c r="BC299" s="31">
        <f t="shared" si="23"/>
        <v>39491220.395977989</v>
      </c>
      <c r="BD299" s="31">
        <v>954612.96</v>
      </c>
    </row>
    <row r="300" spans="2:56">
      <c r="B300" s="42" t="s">
        <v>125</v>
      </c>
      <c r="C300" s="42" t="s">
        <v>126</v>
      </c>
      <c r="D300" s="43" t="s">
        <v>1049</v>
      </c>
      <c r="E300" s="44">
        <v>32</v>
      </c>
      <c r="F300" s="31">
        <v>7137822.105181613</v>
      </c>
      <c r="G300" s="31">
        <v>471622.82000000007</v>
      </c>
      <c r="H300" s="31">
        <v>375154.5</v>
      </c>
      <c r="I300" s="31">
        <v>24847.89</v>
      </c>
      <c r="J300" s="31">
        <v>1106431.2426925588</v>
      </c>
      <c r="K300" s="31">
        <v>394530.03798862337</v>
      </c>
      <c r="L300" s="31">
        <v>509592.77930813289</v>
      </c>
      <c r="M300" s="31">
        <f t="shared" si="20"/>
        <v>10277834.835170928</v>
      </c>
      <c r="N300" s="31">
        <v>257833.45999999996</v>
      </c>
      <c r="P300" s="42" t="s">
        <v>125</v>
      </c>
      <c r="Q300" s="42" t="s">
        <v>126</v>
      </c>
      <c r="R300" s="43" t="s">
        <v>1050</v>
      </c>
      <c r="S300" s="44">
        <v>32</v>
      </c>
      <c r="T300" s="31">
        <v>7395641.4889244698</v>
      </c>
      <c r="U300" s="31">
        <v>488135.8</v>
      </c>
      <c r="V300" s="31">
        <v>389560.8299999999</v>
      </c>
      <c r="W300" s="31">
        <v>25498.529999999995</v>
      </c>
      <c r="X300" s="31">
        <v>1144925.2041306261</v>
      </c>
      <c r="Y300" s="31">
        <v>394901.77336848021</v>
      </c>
      <c r="Z300" s="31">
        <v>532906.1468485425</v>
      </c>
      <c r="AA300" s="31">
        <f t="shared" si="21"/>
        <v>10635741.713272117</v>
      </c>
      <c r="AB300" s="31">
        <v>264171.94</v>
      </c>
      <c r="AD300" s="42" t="s">
        <v>125</v>
      </c>
      <c r="AE300" s="42" t="s">
        <v>126</v>
      </c>
      <c r="AF300" s="43" t="s">
        <v>1275</v>
      </c>
      <c r="AG300" s="44">
        <v>32</v>
      </c>
      <c r="AH300" s="31">
        <v>7503542.2789093321</v>
      </c>
      <c r="AI300" s="31">
        <v>494793.23</v>
      </c>
      <c r="AJ300" s="31">
        <v>397181.1399999999</v>
      </c>
      <c r="AK300" s="31">
        <v>25894.150000000005</v>
      </c>
      <c r="AL300" s="31">
        <v>1169423.5702950188</v>
      </c>
      <c r="AM300" s="31">
        <v>394775.48401868838</v>
      </c>
      <c r="AN300" s="31">
        <v>543170.96225482784</v>
      </c>
      <c r="AO300" s="31">
        <f t="shared" si="22"/>
        <v>10797607.015477868</v>
      </c>
      <c r="AP300" s="31">
        <v>268826.19999999995</v>
      </c>
      <c r="AR300" s="42" t="s">
        <v>125</v>
      </c>
      <c r="AS300" s="42" t="s">
        <v>126</v>
      </c>
      <c r="AT300" s="43" t="s">
        <v>1276</v>
      </c>
      <c r="AU300" s="44">
        <v>32</v>
      </c>
      <c r="AV300" s="31">
        <v>7615025.0151581299</v>
      </c>
      <c r="AW300" s="31">
        <v>499130.77999999997</v>
      </c>
      <c r="AX300" s="31">
        <v>404434.02999999991</v>
      </c>
      <c r="AY300" s="31">
        <v>26051.859999999997</v>
      </c>
      <c r="AZ300" s="31">
        <v>1197777.4189640002</v>
      </c>
      <c r="BA300" s="31">
        <v>394795.58111814148</v>
      </c>
      <c r="BB300" s="31">
        <v>553184.72442563926</v>
      </c>
      <c r="BC300" s="31">
        <f t="shared" si="23"/>
        <v>10964210.329665912</v>
      </c>
      <c r="BD300" s="31">
        <v>273810.92</v>
      </c>
    </row>
    <row r="301" spans="2:56">
      <c r="B301" s="42" t="s">
        <v>63</v>
      </c>
      <c r="C301" s="42" t="s">
        <v>64</v>
      </c>
      <c r="D301" s="43" t="s">
        <v>1049</v>
      </c>
      <c r="E301" s="44">
        <v>32</v>
      </c>
      <c r="F301" s="31">
        <v>23701632.537475526</v>
      </c>
      <c r="G301" s="31">
        <v>651214.2300000001</v>
      </c>
      <c r="H301" s="31">
        <v>128354.98</v>
      </c>
      <c r="I301" s="31">
        <v>85672.58</v>
      </c>
      <c r="J301" s="31">
        <v>3961546.6971979942</v>
      </c>
      <c r="K301" s="31">
        <v>2061373.458891331</v>
      </c>
      <c r="L301" s="31">
        <v>2488988.448427551</v>
      </c>
      <c r="M301" s="31">
        <f t="shared" si="20"/>
        <v>33078782.931992404</v>
      </c>
      <c r="N301" s="31">
        <v>0</v>
      </c>
      <c r="P301" s="42" t="s">
        <v>63</v>
      </c>
      <c r="Q301" s="42" t="s">
        <v>64</v>
      </c>
      <c r="R301" s="43" t="s">
        <v>1050</v>
      </c>
      <c r="S301" s="44">
        <v>32</v>
      </c>
      <c r="T301" s="31">
        <v>25318353.166594721</v>
      </c>
      <c r="U301" s="31">
        <v>693020.81</v>
      </c>
      <c r="V301" s="31">
        <v>133215.89000000001</v>
      </c>
      <c r="W301" s="31">
        <v>91153.32</v>
      </c>
      <c r="X301" s="31">
        <v>4099168.6888648476</v>
      </c>
      <c r="Y301" s="31">
        <v>2063326.7430885097</v>
      </c>
      <c r="Z301" s="31">
        <v>2576878.3097785264</v>
      </c>
      <c r="AA301" s="31">
        <f t="shared" si="21"/>
        <v>34975116.928326607</v>
      </c>
      <c r="AB301" s="31">
        <v>0</v>
      </c>
      <c r="AD301" s="42" t="s">
        <v>63</v>
      </c>
      <c r="AE301" s="42" t="s">
        <v>64</v>
      </c>
      <c r="AF301" s="43" t="s">
        <v>1275</v>
      </c>
      <c r="AG301" s="44">
        <v>32</v>
      </c>
      <c r="AH301" s="31">
        <v>25586085.888385512</v>
      </c>
      <c r="AI301" s="31">
        <v>698446.02</v>
      </c>
      <c r="AJ301" s="31">
        <v>135824.01999999999</v>
      </c>
      <c r="AK301" s="31">
        <v>91852.209999999992</v>
      </c>
      <c r="AL301" s="31">
        <v>4190752.8233090169</v>
      </c>
      <c r="AM301" s="31">
        <v>2062637.287099798</v>
      </c>
      <c r="AN301" s="31">
        <v>2626567.2592402585</v>
      </c>
      <c r="AO301" s="31">
        <f t="shared" si="22"/>
        <v>35392165.508034587</v>
      </c>
      <c r="AP301" s="31">
        <v>0</v>
      </c>
      <c r="AR301" s="42" t="s">
        <v>63</v>
      </c>
      <c r="AS301" s="42" t="s">
        <v>64</v>
      </c>
      <c r="AT301" s="43" t="s">
        <v>1276</v>
      </c>
      <c r="AU301" s="44">
        <v>32</v>
      </c>
      <c r="AV301" s="31">
        <v>25981022.908261482</v>
      </c>
      <c r="AW301" s="31">
        <v>704768.49999999988</v>
      </c>
      <c r="AX301" s="31">
        <v>138322.15</v>
      </c>
      <c r="AY301" s="31">
        <v>92657.040000000008</v>
      </c>
      <c r="AZ301" s="31">
        <v>4296124.8692386132</v>
      </c>
      <c r="BA301" s="31">
        <v>2062745.665805158</v>
      </c>
      <c r="BB301" s="31">
        <v>2675249.7095940532</v>
      </c>
      <c r="BC301" s="31">
        <f t="shared" si="23"/>
        <v>35950890.8428993</v>
      </c>
      <c r="BD301" s="31">
        <v>0</v>
      </c>
    </row>
    <row r="302" spans="2:56">
      <c r="B302" s="42" t="s">
        <v>3</v>
      </c>
      <c r="C302" s="42" t="s">
        <v>4</v>
      </c>
      <c r="D302" s="43" t="s">
        <v>1049</v>
      </c>
      <c r="E302" s="44">
        <v>32</v>
      </c>
      <c r="F302" s="31">
        <v>1869786.8670771243</v>
      </c>
      <c r="G302" s="31">
        <v>36248.68</v>
      </c>
      <c r="H302" s="31">
        <v>0</v>
      </c>
      <c r="I302" s="31">
        <v>2241.1799999999998</v>
      </c>
      <c r="J302" s="31">
        <v>50541.099808965599</v>
      </c>
      <c r="K302" s="31">
        <v>139525.01151309922</v>
      </c>
      <c r="L302" s="31">
        <v>49752.597159475619</v>
      </c>
      <c r="M302" s="31">
        <f t="shared" si="20"/>
        <v>2171579.1555586648</v>
      </c>
      <c r="N302" s="31">
        <v>23483.72</v>
      </c>
      <c r="P302" s="42" t="s">
        <v>3</v>
      </c>
      <c r="Q302" s="42" t="s">
        <v>4</v>
      </c>
      <c r="R302" s="43" t="s">
        <v>1050</v>
      </c>
      <c r="S302" s="44">
        <v>32</v>
      </c>
      <c r="T302" s="31">
        <v>1930929.9937156471</v>
      </c>
      <c r="U302" s="31">
        <v>30679.87</v>
      </c>
      <c r="V302" s="31">
        <v>0</v>
      </c>
      <c r="W302" s="31">
        <v>1821.32</v>
      </c>
      <c r="X302" s="31">
        <v>53506.900621468041</v>
      </c>
      <c r="Y302" s="31">
        <v>139624.88683373146</v>
      </c>
      <c r="Z302" s="31">
        <v>51929.971526978654</v>
      </c>
      <c r="AA302" s="31">
        <f t="shared" si="21"/>
        <v>2232553.9626978254</v>
      </c>
      <c r="AB302" s="31">
        <v>24061.02</v>
      </c>
      <c r="AD302" s="42" t="s">
        <v>3</v>
      </c>
      <c r="AE302" s="42" t="s">
        <v>4</v>
      </c>
      <c r="AF302" s="43" t="s">
        <v>1275</v>
      </c>
      <c r="AG302" s="44">
        <v>32</v>
      </c>
      <c r="AH302" s="31">
        <v>1974755.242515889</v>
      </c>
      <c r="AI302" s="31">
        <v>32255.209999999995</v>
      </c>
      <c r="AJ302" s="31">
        <v>0</v>
      </c>
      <c r="AK302" s="31">
        <v>1960.1200000000001</v>
      </c>
      <c r="AL302" s="31">
        <v>53092.117915507362</v>
      </c>
      <c r="AM302" s="31">
        <v>139590.95627455853</v>
      </c>
      <c r="AN302" s="31">
        <v>52930.248724929421</v>
      </c>
      <c r="AO302" s="31">
        <f t="shared" si="22"/>
        <v>2279068.8354308843</v>
      </c>
      <c r="AP302" s="31">
        <v>24484.94</v>
      </c>
      <c r="AR302" s="42" t="s">
        <v>3</v>
      </c>
      <c r="AS302" s="42" t="s">
        <v>4</v>
      </c>
      <c r="AT302" s="43" t="s">
        <v>1276</v>
      </c>
      <c r="AU302" s="44">
        <v>32</v>
      </c>
      <c r="AV302" s="31">
        <v>2012257.3802430872</v>
      </c>
      <c r="AW302" s="31">
        <v>33887.81</v>
      </c>
      <c r="AX302" s="31">
        <v>0</v>
      </c>
      <c r="AY302" s="31">
        <v>1995.9099999999999</v>
      </c>
      <c r="AZ302" s="31">
        <v>54036.497008263941</v>
      </c>
      <c r="BA302" s="31">
        <v>139596.35582585339</v>
      </c>
      <c r="BB302" s="31">
        <v>53906.121504254697</v>
      </c>
      <c r="BC302" s="31">
        <f t="shared" si="23"/>
        <v>2320619.0245814594</v>
      </c>
      <c r="BD302" s="31">
        <v>24938.95</v>
      </c>
    </row>
    <row r="303" spans="2:56">
      <c r="B303" s="42" t="s">
        <v>99</v>
      </c>
      <c r="C303" s="42" t="s">
        <v>100</v>
      </c>
      <c r="D303" s="43" t="s">
        <v>1049</v>
      </c>
      <c r="E303" s="44">
        <v>32</v>
      </c>
      <c r="F303" s="31">
        <v>2876164.0334881954</v>
      </c>
      <c r="G303" s="31">
        <v>90037.089999999982</v>
      </c>
      <c r="H303" s="31">
        <v>22801.599999999999</v>
      </c>
      <c r="I303" s="31">
        <v>7210.77</v>
      </c>
      <c r="J303" s="31">
        <v>310099.22144629748</v>
      </c>
      <c r="K303" s="31">
        <v>159387.74880985575</v>
      </c>
      <c r="L303" s="31">
        <v>135135.10736188351</v>
      </c>
      <c r="M303" s="31">
        <f t="shared" si="20"/>
        <v>3673722.7211062321</v>
      </c>
      <c r="N303" s="31">
        <v>72887.150000000009</v>
      </c>
      <c r="P303" s="42" t="s">
        <v>99</v>
      </c>
      <c r="Q303" s="42" t="s">
        <v>100</v>
      </c>
      <c r="R303" s="43" t="s">
        <v>1050</v>
      </c>
      <c r="S303" s="44">
        <v>32</v>
      </c>
      <c r="T303" s="31">
        <v>3155991.5411641863</v>
      </c>
      <c r="U303" s="31">
        <v>99965.659999999989</v>
      </c>
      <c r="V303" s="31">
        <v>23677.210000000003</v>
      </c>
      <c r="W303" s="31">
        <v>7993.59</v>
      </c>
      <c r="X303" s="31">
        <v>321817.0469622346</v>
      </c>
      <c r="Y303" s="31">
        <v>159490.21758246521</v>
      </c>
      <c r="Z303" s="31">
        <v>141265.87346005224</v>
      </c>
      <c r="AA303" s="31">
        <f t="shared" si="21"/>
        <v>3984880.1391689382</v>
      </c>
      <c r="AB303" s="31">
        <v>74679.000000000015</v>
      </c>
      <c r="AD303" s="42" t="s">
        <v>99</v>
      </c>
      <c r="AE303" s="42" t="s">
        <v>100</v>
      </c>
      <c r="AF303" s="43" t="s">
        <v>1275</v>
      </c>
      <c r="AG303" s="44">
        <v>32</v>
      </c>
      <c r="AH303" s="31">
        <v>3202015.029172549</v>
      </c>
      <c r="AI303" s="31">
        <v>102375.73000000003</v>
      </c>
      <c r="AJ303" s="31">
        <v>24140.360000000004</v>
      </c>
      <c r="AK303" s="31">
        <v>8149.9599999999991</v>
      </c>
      <c r="AL303" s="31">
        <v>327594.22679392959</v>
      </c>
      <c r="AM303" s="31">
        <v>159455.40595202046</v>
      </c>
      <c r="AN303" s="31">
        <v>143986.9190421933</v>
      </c>
      <c r="AO303" s="31">
        <f t="shared" si="22"/>
        <v>4043712.3309606924</v>
      </c>
      <c r="AP303" s="31">
        <v>75994.7</v>
      </c>
      <c r="AR303" s="42" t="s">
        <v>99</v>
      </c>
      <c r="AS303" s="42" t="s">
        <v>100</v>
      </c>
      <c r="AT303" s="43" t="s">
        <v>1276</v>
      </c>
      <c r="AU303" s="44">
        <v>32</v>
      </c>
      <c r="AV303" s="31">
        <v>3251235.2420775834</v>
      </c>
      <c r="AW303" s="31">
        <v>104643.99</v>
      </c>
      <c r="AX303" s="31">
        <v>24581.180000000004</v>
      </c>
      <c r="AY303" s="31">
        <v>8298.77</v>
      </c>
      <c r="AZ303" s="31">
        <v>332954.21728395473</v>
      </c>
      <c r="BA303" s="31">
        <v>159460.94571289755</v>
      </c>
      <c r="BB303" s="31">
        <v>146641.30430406635</v>
      </c>
      <c r="BC303" s="31">
        <f t="shared" si="23"/>
        <v>4105219.4893785026</v>
      </c>
      <c r="BD303" s="31">
        <v>77403.840000000011</v>
      </c>
    </row>
    <row r="304" spans="2:56">
      <c r="B304" s="42" t="s">
        <v>487</v>
      </c>
      <c r="C304" s="42" t="s">
        <v>488</v>
      </c>
      <c r="D304" s="43" t="s">
        <v>1049</v>
      </c>
      <c r="E304" s="44">
        <v>32</v>
      </c>
      <c r="F304" s="31">
        <v>4031543.1656304356</v>
      </c>
      <c r="G304" s="31">
        <v>218953.82000000004</v>
      </c>
      <c r="H304" s="31">
        <v>0</v>
      </c>
      <c r="I304" s="31">
        <v>10913.58</v>
      </c>
      <c r="J304" s="31">
        <v>503401.18296955025</v>
      </c>
      <c r="K304" s="31">
        <v>279621.71931425604</v>
      </c>
      <c r="L304" s="31">
        <v>58645.518245124011</v>
      </c>
      <c r="M304" s="31">
        <f t="shared" si="20"/>
        <v>5216599.7661593668</v>
      </c>
      <c r="N304" s="31">
        <v>113520.78</v>
      </c>
      <c r="P304" s="42" t="s">
        <v>487</v>
      </c>
      <c r="Q304" s="42" t="s">
        <v>488</v>
      </c>
      <c r="R304" s="43" t="s">
        <v>1050</v>
      </c>
      <c r="S304" s="44">
        <v>32</v>
      </c>
      <c r="T304" s="31">
        <v>4689676.2573268488</v>
      </c>
      <c r="U304" s="31">
        <v>265458.05</v>
      </c>
      <c r="V304" s="31">
        <v>0</v>
      </c>
      <c r="W304" s="31">
        <v>13255.189999999999</v>
      </c>
      <c r="X304" s="31">
        <v>523314.27229754161</v>
      </c>
      <c r="Y304" s="31">
        <v>279871.31509619503</v>
      </c>
      <c r="Z304" s="31">
        <v>61341.997309867191</v>
      </c>
      <c r="AA304" s="31">
        <f t="shared" si="21"/>
        <v>5949228.6320304526</v>
      </c>
      <c r="AB304" s="31">
        <v>116311.54999999999</v>
      </c>
      <c r="AD304" s="42" t="s">
        <v>487</v>
      </c>
      <c r="AE304" s="42" t="s">
        <v>488</v>
      </c>
      <c r="AF304" s="43" t="s">
        <v>1275</v>
      </c>
      <c r="AG304" s="44">
        <v>32</v>
      </c>
      <c r="AH304" s="31">
        <v>4759118.9526486611</v>
      </c>
      <c r="AI304" s="31">
        <v>270876.77</v>
      </c>
      <c r="AJ304" s="31">
        <v>0</v>
      </c>
      <c r="AK304" s="31">
        <v>13514.47</v>
      </c>
      <c r="AL304" s="31">
        <v>536060.69665802189</v>
      </c>
      <c r="AM304" s="31">
        <v>279786.52012988325</v>
      </c>
      <c r="AN304" s="31">
        <v>62523.462166206933</v>
      </c>
      <c r="AO304" s="31">
        <f t="shared" si="22"/>
        <v>6040241.6216027737</v>
      </c>
      <c r="AP304" s="31">
        <v>118360.75</v>
      </c>
      <c r="AR304" s="42" t="s">
        <v>487</v>
      </c>
      <c r="AS304" s="42" t="s">
        <v>488</v>
      </c>
      <c r="AT304" s="43" t="s">
        <v>1276</v>
      </c>
      <c r="AU304" s="44">
        <v>32</v>
      </c>
      <c r="AV304" s="31">
        <v>4891562.1051576138</v>
      </c>
      <c r="AW304" s="31">
        <v>281882.67</v>
      </c>
      <c r="AX304" s="31">
        <v>0</v>
      </c>
      <c r="AY304" s="31">
        <v>13971.36</v>
      </c>
      <c r="AZ304" s="31">
        <v>544802.02090629574</v>
      </c>
      <c r="BA304" s="31">
        <v>279800.01400623861</v>
      </c>
      <c r="BB304" s="31">
        <v>63676.011307426794</v>
      </c>
      <c r="BC304" s="31">
        <f t="shared" si="23"/>
        <v>6196249.6413775748</v>
      </c>
      <c r="BD304" s="31">
        <v>120555.46000000002</v>
      </c>
    </row>
    <row r="305" spans="2:56">
      <c r="B305" s="42" t="s">
        <v>41</v>
      </c>
      <c r="C305" s="42" t="s">
        <v>42</v>
      </c>
      <c r="D305" s="43" t="s">
        <v>1049</v>
      </c>
      <c r="E305" s="44">
        <v>32</v>
      </c>
      <c r="F305" s="31">
        <v>57079730.123818897</v>
      </c>
      <c r="G305" s="31">
        <v>2760943.3499999992</v>
      </c>
      <c r="H305" s="31">
        <v>2617791.5599999996</v>
      </c>
      <c r="I305" s="31">
        <v>0</v>
      </c>
      <c r="J305" s="31">
        <v>9285388.0489470139</v>
      </c>
      <c r="K305" s="31">
        <v>2284201.8460614439</v>
      </c>
      <c r="L305" s="31">
        <v>8472249.3594453558</v>
      </c>
      <c r="M305" s="31">
        <f t="shared" si="20"/>
        <v>84350685.128272712</v>
      </c>
      <c r="N305" s="31">
        <v>1850380.8400000003</v>
      </c>
      <c r="P305" s="42" t="s">
        <v>41</v>
      </c>
      <c r="Q305" s="42" t="s">
        <v>42</v>
      </c>
      <c r="R305" s="43" t="s">
        <v>1050</v>
      </c>
      <c r="S305" s="44">
        <v>32</v>
      </c>
      <c r="T305" s="31">
        <v>57675221.054688141</v>
      </c>
      <c r="U305" s="31">
        <v>2784243.2800000003</v>
      </c>
      <c r="V305" s="31">
        <v>2694442.3800000004</v>
      </c>
      <c r="W305" s="31">
        <v>0</v>
      </c>
      <c r="X305" s="31">
        <v>9552840.2252745032</v>
      </c>
      <c r="Y305" s="31">
        <v>2286482.5113672204</v>
      </c>
      <c r="Z305" s="31">
        <v>8794417.5986302197</v>
      </c>
      <c r="AA305" s="31">
        <f t="shared" si="21"/>
        <v>85667512.729960084</v>
      </c>
      <c r="AB305" s="31">
        <v>1879865.6799999997</v>
      </c>
      <c r="AD305" s="42" t="s">
        <v>41</v>
      </c>
      <c r="AE305" s="42" t="s">
        <v>42</v>
      </c>
      <c r="AF305" s="43" t="s">
        <v>1275</v>
      </c>
      <c r="AG305" s="44">
        <v>32</v>
      </c>
      <c r="AH305" s="31">
        <v>58135048.242135629</v>
      </c>
      <c r="AI305" s="31">
        <v>2813704.28</v>
      </c>
      <c r="AJ305" s="31">
        <v>2747172.5700000003</v>
      </c>
      <c r="AK305" s="31">
        <v>0</v>
      </c>
      <c r="AL305" s="31">
        <v>9734378.5604886934</v>
      </c>
      <c r="AM305" s="31">
        <v>2285690.4685521275</v>
      </c>
      <c r="AN305" s="31">
        <v>8963967.799962569</v>
      </c>
      <c r="AO305" s="31">
        <f t="shared" si="22"/>
        <v>86593058.721139014</v>
      </c>
      <c r="AP305" s="31">
        <v>1913096.8000000003</v>
      </c>
      <c r="AR305" s="42" t="s">
        <v>41</v>
      </c>
      <c r="AS305" s="42" t="s">
        <v>42</v>
      </c>
      <c r="AT305" s="43" t="s">
        <v>1276</v>
      </c>
      <c r="AU305" s="44">
        <v>32</v>
      </c>
      <c r="AV305" s="31">
        <v>57382514.809330039</v>
      </c>
      <c r="AW305" s="31">
        <v>2778177.79</v>
      </c>
      <c r="AX305" s="31">
        <v>2797523.6100000003</v>
      </c>
      <c r="AY305" s="31">
        <v>0</v>
      </c>
      <c r="AZ305" s="31">
        <v>9946500.0171699673</v>
      </c>
      <c r="BA305" s="31">
        <v>2285815.7194627975</v>
      </c>
      <c r="BB305" s="31">
        <v>9129616.8482673541</v>
      </c>
      <c r="BC305" s="31">
        <f t="shared" si="23"/>
        <v>86268836.134230167</v>
      </c>
      <c r="BD305" s="31">
        <v>1948687.3399999999</v>
      </c>
    </row>
    <row r="306" spans="2:56">
      <c r="B306" s="42" t="s">
        <v>473</v>
      </c>
      <c r="C306" s="42" t="s">
        <v>474</v>
      </c>
      <c r="D306" s="43" t="s">
        <v>1049</v>
      </c>
      <c r="E306" s="44">
        <v>32</v>
      </c>
      <c r="F306" s="31">
        <v>27252421.454663172</v>
      </c>
      <c r="G306" s="31">
        <v>1113185.7600000002</v>
      </c>
      <c r="H306" s="31">
        <v>159513.76</v>
      </c>
      <c r="I306" s="31">
        <v>95688.760000000009</v>
      </c>
      <c r="J306" s="31">
        <v>3790502.1442183964</v>
      </c>
      <c r="K306" s="31">
        <v>1633321.272659702</v>
      </c>
      <c r="L306" s="31">
        <v>2553035.502410965</v>
      </c>
      <c r="M306" s="31">
        <f t="shared" si="20"/>
        <v>37123274.753952242</v>
      </c>
      <c r="N306" s="31">
        <v>525606.1</v>
      </c>
      <c r="P306" s="42" t="s">
        <v>473</v>
      </c>
      <c r="Q306" s="42" t="s">
        <v>474</v>
      </c>
      <c r="R306" s="43" t="s">
        <v>1050</v>
      </c>
      <c r="S306" s="44">
        <v>32</v>
      </c>
      <c r="T306" s="31">
        <v>29372773.222660773</v>
      </c>
      <c r="U306" s="31">
        <v>1197902.02</v>
      </c>
      <c r="V306" s="31">
        <v>165639.24</v>
      </c>
      <c r="W306" s="31">
        <v>102297.68</v>
      </c>
      <c r="X306" s="31">
        <v>3911596.3849963956</v>
      </c>
      <c r="Y306" s="31">
        <v>1634795.1632661815</v>
      </c>
      <c r="Z306" s="31">
        <v>2669540.1713958625</v>
      </c>
      <c r="AA306" s="31">
        <f t="shared" si="21"/>
        <v>39593071.292319201</v>
      </c>
      <c r="AB306" s="31">
        <v>538527.41</v>
      </c>
      <c r="AD306" s="42" t="s">
        <v>473</v>
      </c>
      <c r="AE306" s="42" t="s">
        <v>474</v>
      </c>
      <c r="AF306" s="43" t="s">
        <v>1275</v>
      </c>
      <c r="AG306" s="44">
        <v>32</v>
      </c>
      <c r="AH306" s="31">
        <v>30463146.837948855</v>
      </c>
      <c r="AI306" s="31">
        <v>1241053.51</v>
      </c>
      <c r="AJ306" s="31">
        <v>168879.35</v>
      </c>
      <c r="AK306" s="31">
        <v>105949.37000000001</v>
      </c>
      <c r="AL306" s="31">
        <v>3988808.6901424821</v>
      </c>
      <c r="AM306" s="31">
        <v>1634294.4396427579</v>
      </c>
      <c r="AN306" s="31">
        <v>2720960.2601633468</v>
      </c>
      <c r="AO306" s="31">
        <f t="shared" si="22"/>
        <v>40871107.827897437</v>
      </c>
      <c r="AP306" s="31">
        <v>548015.37000000011</v>
      </c>
      <c r="AR306" s="42" t="s">
        <v>473</v>
      </c>
      <c r="AS306" s="42" t="s">
        <v>474</v>
      </c>
      <c r="AT306" s="43" t="s">
        <v>1276</v>
      </c>
      <c r="AU306" s="44">
        <v>32</v>
      </c>
      <c r="AV306" s="31">
        <v>31071232.735453151</v>
      </c>
      <c r="AW306" s="31">
        <v>1265242.75</v>
      </c>
      <c r="AX306" s="31">
        <v>171963.25999999998</v>
      </c>
      <c r="AY306" s="31">
        <v>107989.15</v>
      </c>
      <c r="AZ306" s="31">
        <v>4062299.7016938254</v>
      </c>
      <c r="BA306" s="31">
        <v>1634374.1224701304</v>
      </c>
      <c r="BB306" s="31">
        <v>2771122.5975335226</v>
      </c>
      <c r="BC306" s="31">
        <f t="shared" si="23"/>
        <v>41642401.267150633</v>
      </c>
      <c r="BD306" s="31">
        <v>558176.94999999995</v>
      </c>
    </row>
    <row r="307" spans="2:56">
      <c r="B307" s="42" t="s">
        <v>607</v>
      </c>
      <c r="C307" s="42" t="s">
        <v>608</v>
      </c>
      <c r="D307" s="43" t="s">
        <v>1049</v>
      </c>
      <c r="E307" s="44">
        <v>32</v>
      </c>
      <c r="F307" s="31">
        <v>41508058.699975565</v>
      </c>
      <c r="G307" s="31">
        <v>1563371.09</v>
      </c>
      <c r="H307" s="31">
        <v>669554.99000000011</v>
      </c>
      <c r="I307" s="31">
        <v>151726.78</v>
      </c>
      <c r="J307" s="31">
        <v>6987543.5982942274</v>
      </c>
      <c r="K307" s="31">
        <v>2269708.6322501143</v>
      </c>
      <c r="L307" s="31">
        <v>5408103.0815354018</v>
      </c>
      <c r="M307" s="31">
        <f t="shared" si="20"/>
        <v>59013751.642055318</v>
      </c>
      <c r="N307" s="31">
        <v>455684.77</v>
      </c>
      <c r="P307" s="42" t="s">
        <v>607</v>
      </c>
      <c r="Q307" s="42" t="s">
        <v>608</v>
      </c>
      <c r="R307" s="43" t="s">
        <v>1050</v>
      </c>
      <c r="S307" s="44">
        <v>32</v>
      </c>
      <c r="T307" s="31">
        <v>44205984.702281944</v>
      </c>
      <c r="U307" s="31">
        <v>1656036.98</v>
      </c>
      <c r="V307" s="31">
        <v>689160.03999999992</v>
      </c>
      <c r="W307" s="31">
        <v>160115.22</v>
      </c>
      <c r="X307" s="31">
        <v>7198161.1088208603</v>
      </c>
      <c r="Y307" s="31">
        <v>2271996.3043406866</v>
      </c>
      <c r="Z307" s="31">
        <v>5561173.6251710746</v>
      </c>
      <c r="AA307" s="31">
        <f t="shared" si="21"/>
        <v>62205573.850614563</v>
      </c>
      <c r="AB307" s="31">
        <v>462945.87</v>
      </c>
      <c r="AD307" s="42" t="s">
        <v>607</v>
      </c>
      <c r="AE307" s="42" t="s">
        <v>608</v>
      </c>
      <c r="AF307" s="43" t="s">
        <v>1275</v>
      </c>
      <c r="AG307" s="44">
        <v>32</v>
      </c>
      <c r="AH307" s="31">
        <v>46014330.038084611</v>
      </c>
      <c r="AI307" s="31">
        <v>1721611.5499999996</v>
      </c>
      <c r="AJ307" s="31">
        <v>702646.8899999999</v>
      </c>
      <c r="AK307" s="31">
        <v>166424.73000000001</v>
      </c>
      <c r="AL307" s="31">
        <v>7331487.8230385967</v>
      </c>
      <c r="AM307" s="31">
        <v>2271201.8281683004</v>
      </c>
      <c r="AN307" s="31">
        <v>5668344.7120107785</v>
      </c>
      <c r="AO307" s="31">
        <f t="shared" si="22"/>
        <v>64347177.121302284</v>
      </c>
      <c r="AP307" s="31">
        <v>471129.55000000005</v>
      </c>
      <c r="AR307" s="42" t="s">
        <v>607</v>
      </c>
      <c r="AS307" s="42" t="s">
        <v>608</v>
      </c>
      <c r="AT307" s="43" t="s">
        <v>1276</v>
      </c>
      <c r="AU307" s="44">
        <v>32</v>
      </c>
      <c r="AV307" s="31">
        <v>47843647.993516766</v>
      </c>
      <c r="AW307" s="31">
        <v>1786025.4900000002</v>
      </c>
      <c r="AX307" s="31">
        <v>715525.23</v>
      </c>
      <c r="AY307" s="31">
        <v>172709.28</v>
      </c>
      <c r="AZ307" s="31">
        <v>7467356.956914939</v>
      </c>
      <c r="BA307" s="31">
        <v>2271327.4638816742</v>
      </c>
      <c r="BB307" s="31">
        <v>5773136.1505895387</v>
      </c>
      <c r="BC307" s="31">
        <f t="shared" si="23"/>
        <v>66509622.83490292</v>
      </c>
      <c r="BD307" s="31">
        <v>479894.27</v>
      </c>
    </row>
    <row r="308" spans="2:56">
      <c r="B308" s="42" t="s">
        <v>1253</v>
      </c>
      <c r="C308" s="42" t="s">
        <v>1254</v>
      </c>
      <c r="D308" s="43" t="s">
        <v>1049</v>
      </c>
      <c r="E308" s="44">
        <v>32</v>
      </c>
      <c r="F308" s="31">
        <v>1459299.1193121755</v>
      </c>
      <c r="G308" s="31">
        <v>20466</v>
      </c>
      <c r="H308" s="31">
        <v>0</v>
      </c>
      <c r="I308" s="31">
        <v>0</v>
      </c>
      <c r="J308" s="31">
        <v>60028.425250620443</v>
      </c>
      <c r="K308" s="31">
        <v>0</v>
      </c>
      <c r="L308" s="31">
        <v>0</v>
      </c>
      <c r="M308" s="31">
        <f t="shared" si="20"/>
        <v>1554745.364562796</v>
      </c>
      <c r="N308" s="31">
        <v>14951.820000000002</v>
      </c>
      <c r="P308" s="42" t="s">
        <v>1253</v>
      </c>
      <c r="Q308" s="42" t="s">
        <v>1254</v>
      </c>
      <c r="R308" s="43" t="s">
        <v>1050</v>
      </c>
      <c r="S308" s="44">
        <v>32</v>
      </c>
      <c r="T308" s="31">
        <v>1598576.7654178792</v>
      </c>
      <c r="U308" s="31">
        <v>33913.770000000004</v>
      </c>
      <c r="V308" s="31">
        <v>0</v>
      </c>
      <c r="W308" s="31">
        <v>0</v>
      </c>
      <c r="X308" s="31">
        <v>61639.319583651624</v>
      </c>
      <c r="Y308" s="31">
        <v>0</v>
      </c>
      <c r="Z308" s="31">
        <v>0</v>
      </c>
      <c r="AA308" s="31">
        <f t="shared" si="21"/>
        <v>1709328.6050015308</v>
      </c>
      <c r="AB308" s="31">
        <v>15198.75</v>
      </c>
      <c r="AD308" s="42" t="s">
        <v>1253</v>
      </c>
      <c r="AE308" s="42" t="s">
        <v>1254</v>
      </c>
      <c r="AF308" s="43" t="s">
        <v>1275</v>
      </c>
      <c r="AG308" s="44">
        <v>32</v>
      </c>
      <c r="AH308" s="31">
        <v>1755917.6314449545</v>
      </c>
      <c r="AI308" s="31">
        <v>46623.25</v>
      </c>
      <c r="AJ308" s="31">
        <v>0</v>
      </c>
      <c r="AK308" s="31">
        <v>0</v>
      </c>
      <c r="AL308" s="31">
        <v>62787.522805490538</v>
      </c>
      <c r="AM308" s="31">
        <v>0</v>
      </c>
      <c r="AN308" s="31">
        <v>0</v>
      </c>
      <c r="AO308" s="31">
        <f t="shared" si="22"/>
        <v>1880797.4942504452</v>
      </c>
      <c r="AP308" s="31">
        <v>15469.09</v>
      </c>
      <c r="AR308" s="42" t="s">
        <v>1253</v>
      </c>
      <c r="AS308" s="42" t="s">
        <v>1254</v>
      </c>
      <c r="AT308" s="43" t="s">
        <v>1276</v>
      </c>
      <c r="AU308" s="44">
        <v>32</v>
      </c>
      <c r="AV308" s="31">
        <v>1792773.9653993314</v>
      </c>
      <c r="AW308" s="31">
        <v>47932.83</v>
      </c>
      <c r="AX308" s="31">
        <v>0</v>
      </c>
      <c r="AY308" s="31">
        <v>0</v>
      </c>
      <c r="AZ308" s="31">
        <v>63955.806975879037</v>
      </c>
      <c r="BA308" s="31">
        <v>0</v>
      </c>
      <c r="BB308" s="31">
        <v>0</v>
      </c>
      <c r="BC308" s="31">
        <f t="shared" si="23"/>
        <v>1920421.2223752106</v>
      </c>
      <c r="BD308" s="31">
        <v>15758.62</v>
      </c>
    </row>
    <row r="309" spans="2:56">
      <c r="B309" s="42" t="s">
        <v>293</v>
      </c>
      <c r="C309" s="42" t="s">
        <v>294</v>
      </c>
      <c r="D309" s="43" t="s">
        <v>1049</v>
      </c>
      <c r="E309" s="44">
        <v>32</v>
      </c>
      <c r="F309" s="31">
        <v>3375597.7565639042</v>
      </c>
      <c r="G309" s="31">
        <v>140707.29</v>
      </c>
      <c r="H309" s="31">
        <v>0</v>
      </c>
      <c r="I309" s="31">
        <v>9062.18</v>
      </c>
      <c r="J309" s="31">
        <v>394223.18565639714</v>
      </c>
      <c r="K309" s="31">
        <v>447455.15663249994</v>
      </c>
      <c r="L309" s="31">
        <v>166403.18024335333</v>
      </c>
      <c r="M309" s="31">
        <f t="shared" si="20"/>
        <v>4628650.3090961548</v>
      </c>
      <c r="N309" s="31">
        <v>95201.56</v>
      </c>
      <c r="P309" s="42" t="s">
        <v>293</v>
      </c>
      <c r="Q309" s="42" t="s">
        <v>294</v>
      </c>
      <c r="R309" s="43" t="s">
        <v>1050</v>
      </c>
      <c r="S309" s="44">
        <v>32</v>
      </c>
      <c r="T309" s="31">
        <v>3444183.8446914619</v>
      </c>
      <c r="U309" s="31">
        <v>149348.54999999999</v>
      </c>
      <c r="V309" s="31">
        <v>0</v>
      </c>
      <c r="W309" s="31">
        <v>9612.5300000000007</v>
      </c>
      <c r="X309" s="31">
        <v>401317.65633960086</v>
      </c>
      <c r="Y309" s="31">
        <v>448000.58638569672</v>
      </c>
      <c r="Z309" s="31">
        <v>174029.74747659842</v>
      </c>
      <c r="AA309" s="31">
        <f t="shared" si="21"/>
        <v>4724034.874893357</v>
      </c>
      <c r="AB309" s="31">
        <v>97541.96</v>
      </c>
      <c r="AD309" s="42" t="s">
        <v>293</v>
      </c>
      <c r="AE309" s="42" t="s">
        <v>294</v>
      </c>
      <c r="AF309" s="43" t="s">
        <v>1275</v>
      </c>
      <c r="AG309" s="44">
        <v>32</v>
      </c>
      <c r="AH309" s="31">
        <v>3436282.7852332043</v>
      </c>
      <c r="AI309" s="31">
        <v>145134.88</v>
      </c>
      <c r="AJ309" s="31">
        <v>0</v>
      </c>
      <c r="AK309" s="31">
        <v>9284.75</v>
      </c>
      <c r="AL309" s="31">
        <v>410184.39782263443</v>
      </c>
      <c r="AM309" s="31">
        <v>447815.28799167555</v>
      </c>
      <c r="AN309" s="31">
        <v>177381.8424559432</v>
      </c>
      <c r="AO309" s="31">
        <f t="shared" si="22"/>
        <v>4725344.4235034576</v>
      </c>
      <c r="AP309" s="31">
        <v>99260.48000000001</v>
      </c>
      <c r="AR309" s="42" t="s">
        <v>293</v>
      </c>
      <c r="AS309" s="42" t="s">
        <v>294</v>
      </c>
      <c r="AT309" s="43" t="s">
        <v>1276</v>
      </c>
      <c r="AU309" s="44">
        <v>32</v>
      </c>
      <c r="AV309" s="31">
        <v>3491628.4471064787</v>
      </c>
      <c r="AW309" s="31">
        <v>146811.76999999996</v>
      </c>
      <c r="AX309" s="31">
        <v>0</v>
      </c>
      <c r="AY309" s="31">
        <v>9349.26</v>
      </c>
      <c r="AZ309" s="31">
        <v>417386.2618030234</v>
      </c>
      <c r="BA309" s="31">
        <v>447844.77551583556</v>
      </c>
      <c r="BB309" s="31">
        <v>180651.95156794146</v>
      </c>
      <c r="BC309" s="31">
        <f t="shared" si="23"/>
        <v>4794773.4959932789</v>
      </c>
      <c r="BD309" s="31">
        <v>101101.03000000001</v>
      </c>
    </row>
    <row r="310" spans="2:56">
      <c r="B310" s="42" t="s">
        <v>387</v>
      </c>
      <c r="C310" s="42" t="s">
        <v>388</v>
      </c>
      <c r="D310" s="43" t="s">
        <v>1049</v>
      </c>
      <c r="E310" s="44">
        <v>32</v>
      </c>
      <c r="F310" s="31">
        <v>34797946.118279181</v>
      </c>
      <c r="G310" s="31">
        <v>806348.29999999993</v>
      </c>
      <c r="H310" s="31">
        <v>204793.39</v>
      </c>
      <c r="I310" s="31">
        <v>0</v>
      </c>
      <c r="J310" s="31">
        <v>5597329.136728121</v>
      </c>
      <c r="K310" s="31">
        <v>2480029.0175399454</v>
      </c>
      <c r="L310" s="31">
        <v>2995983.6913767993</v>
      </c>
      <c r="M310" s="31">
        <f t="shared" si="20"/>
        <v>46890535.203924045</v>
      </c>
      <c r="N310" s="31">
        <v>8105.55</v>
      </c>
      <c r="P310" s="42" t="s">
        <v>387</v>
      </c>
      <c r="Q310" s="42" t="s">
        <v>388</v>
      </c>
      <c r="R310" s="43" t="s">
        <v>1050</v>
      </c>
      <c r="S310" s="44">
        <v>32</v>
      </c>
      <c r="T310" s="31">
        <v>35621107.296378195</v>
      </c>
      <c r="U310" s="31">
        <v>828792.29</v>
      </c>
      <c r="V310" s="31">
        <v>212549.10000000006</v>
      </c>
      <c r="W310" s="31">
        <v>0</v>
      </c>
      <c r="X310" s="31">
        <v>5766612.0172335552</v>
      </c>
      <c r="Y310" s="31">
        <v>2481899.1741715916</v>
      </c>
      <c r="Z310" s="31">
        <v>3101776.6508152308</v>
      </c>
      <c r="AA310" s="31">
        <f t="shared" si="21"/>
        <v>48021042.688598573</v>
      </c>
      <c r="AB310" s="31">
        <v>8306.159999999998</v>
      </c>
      <c r="AD310" s="42" t="s">
        <v>387</v>
      </c>
      <c r="AE310" s="42" t="s">
        <v>388</v>
      </c>
      <c r="AF310" s="43" t="s">
        <v>1275</v>
      </c>
      <c r="AG310" s="44">
        <v>32</v>
      </c>
      <c r="AH310" s="31">
        <v>37070282.476480022</v>
      </c>
      <c r="AI310" s="31">
        <v>861428.34000000008</v>
      </c>
      <c r="AJ310" s="31">
        <v>216710.45000000004</v>
      </c>
      <c r="AK310" s="31">
        <v>0</v>
      </c>
      <c r="AL310" s="31">
        <v>5874130.9193173843</v>
      </c>
      <c r="AM310" s="31">
        <v>2481239.0599437798</v>
      </c>
      <c r="AN310" s="31">
        <v>3161587.0803655181</v>
      </c>
      <c r="AO310" s="31">
        <f t="shared" si="22"/>
        <v>49673831.776106715</v>
      </c>
      <c r="AP310" s="31">
        <v>8453.4499999999989</v>
      </c>
      <c r="AR310" s="42" t="s">
        <v>387</v>
      </c>
      <c r="AS310" s="42" t="s">
        <v>388</v>
      </c>
      <c r="AT310" s="43" t="s">
        <v>1276</v>
      </c>
      <c r="AU310" s="44">
        <v>32</v>
      </c>
      <c r="AV310" s="31">
        <v>38549559.05826176</v>
      </c>
      <c r="AW310" s="31">
        <v>894518.56</v>
      </c>
      <c r="AX310" s="31">
        <v>220696.25000000003</v>
      </c>
      <c r="AY310" s="31">
        <v>0</v>
      </c>
      <c r="AZ310" s="31">
        <v>5982618.2360710287</v>
      </c>
      <c r="BA310" s="31">
        <v>2481342.8262850279</v>
      </c>
      <c r="BB310" s="31">
        <v>3220185.9394047162</v>
      </c>
      <c r="BC310" s="31">
        <f t="shared" si="23"/>
        <v>51357532.080022536</v>
      </c>
      <c r="BD310" s="31">
        <v>8611.2099999999991</v>
      </c>
    </row>
    <row r="311" spans="2:56">
      <c r="B311" s="42" t="s">
        <v>267</v>
      </c>
      <c r="C311" s="42" t="s">
        <v>268</v>
      </c>
      <c r="D311" s="43" t="s">
        <v>1049</v>
      </c>
      <c r="E311" s="44">
        <v>32</v>
      </c>
      <c r="F311" s="31">
        <v>9034183.4674334936</v>
      </c>
      <c r="G311" s="31">
        <v>297395.21999999997</v>
      </c>
      <c r="H311" s="31">
        <v>279855.52999999997</v>
      </c>
      <c r="I311" s="31">
        <v>31084.229999999996</v>
      </c>
      <c r="J311" s="31">
        <v>1292749.7461333645</v>
      </c>
      <c r="K311" s="31">
        <v>735897.43484189699</v>
      </c>
      <c r="L311" s="31">
        <v>514407.64999340358</v>
      </c>
      <c r="M311" s="31">
        <f t="shared" si="20"/>
        <v>12190737.73840216</v>
      </c>
      <c r="N311" s="31">
        <v>5164.46</v>
      </c>
      <c r="P311" s="42" t="s">
        <v>267</v>
      </c>
      <c r="Q311" s="42" t="s">
        <v>268</v>
      </c>
      <c r="R311" s="43" t="s">
        <v>1050</v>
      </c>
      <c r="S311" s="44">
        <v>32</v>
      </c>
      <c r="T311" s="31">
        <v>9831290.6038482171</v>
      </c>
      <c r="U311" s="31">
        <v>322647.96999999997</v>
      </c>
      <c r="V311" s="31">
        <v>290602.27</v>
      </c>
      <c r="W311" s="31">
        <v>33694.49</v>
      </c>
      <c r="X311" s="31">
        <v>1337642.370656118</v>
      </c>
      <c r="Y311" s="31">
        <v>736733.2925573145</v>
      </c>
      <c r="Z311" s="31">
        <v>532736.69247231807</v>
      </c>
      <c r="AA311" s="31">
        <f t="shared" si="21"/>
        <v>13090639.109533967</v>
      </c>
      <c r="AB311" s="31">
        <v>5291.42</v>
      </c>
      <c r="AD311" s="42" t="s">
        <v>267</v>
      </c>
      <c r="AE311" s="42" t="s">
        <v>268</v>
      </c>
      <c r="AF311" s="43" t="s">
        <v>1275</v>
      </c>
      <c r="AG311" s="44">
        <v>32</v>
      </c>
      <c r="AH311" s="31">
        <v>10098287.968381682</v>
      </c>
      <c r="AI311" s="31">
        <v>331548.75999999995</v>
      </c>
      <c r="AJ311" s="31">
        <v>296286.81</v>
      </c>
      <c r="AK311" s="31">
        <v>34559.919999999998</v>
      </c>
      <c r="AL311" s="31">
        <v>1361953.5435598835</v>
      </c>
      <c r="AM311" s="31">
        <v>736449.32731451408</v>
      </c>
      <c r="AN311" s="31">
        <v>542996.88630422764</v>
      </c>
      <c r="AO311" s="31">
        <f t="shared" si="22"/>
        <v>13407467.865560308</v>
      </c>
      <c r="AP311" s="31">
        <v>5384.6500000000005</v>
      </c>
      <c r="AR311" s="42" t="s">
        <v>267</v>
      </c>
      <c r="AS311" s="42" t="s">
        <v>268</v>
      </c>
      <c r="AT311" s="43" t="s">
        <v>1276</v>
      </c>
      <c r="AU311" s="44">
        <v>32</v>
      </c>
      <c r="AV311" s="31">
        <v>10279840.724569511</v>
      </c>
      <c r="AW311" s="31">
        <v>336130.94000000006</v>
      </c>
      <c r="AX311" s="31">
        <v>301697.28000000003</v>
      </c>
      <c r="AY311" s="31">
        <v>35085.969999999994</v>
      </c>
      <c r="AZ311" s="31">
        <v>1392524.8348585004</v>
      </c>
      <c r="BA311" s="31">
        <v>736494.51622185402</v>
      </c>
      <c r="BB311" s="31">
        <v>553008.38445520273</v>
      </c>
      <c r="BC311" s="31">
        <f t="shared" si="23"/>
        <v>13640267.150105068</v>
      </c>
      <c r="BD311" s="31">
        <v>5484.5</v>
      </c>
    </row>
    <row r="312" spans="2:56">
      <c r="B312" s="42" t="s">
        <v>307</v>
      </c>
      <c r="C312" s="42" t="s">
        <v>308</v>
      </c>
      <c r="D312" s="43" t="s">
        <v>1049</v>
      </c>
      <c r="E312" s="44">
        <v>32</v>
      </c>
      <c r="F312" s="31">
        <v>2440509.4481912944</v>
      </c>
      <c r="G312" s="31">
        <v>60706.820000000007</v>
      </c>
      <c r="H312" s="31">
        <v>0</v>
      </c>
      <c r="I312" s="31">
        <v>6138.8899999999994</v>
      </c>
      <c r="J312" s="31">
        <v>258163.0520971418</v>
      </c>
      <c r="K312" s="31">
        <v>0</v>
      </c>
      <c r="L312" s="31">
        <v>190374.48518330985</v>
      </c>
      <c r="M312" s="31">
        <f t="shared" si="20"/>
        <v>2955892.6954717459</v>
      </c>
      <c r="N312" s="31">
        <v>0</v>
      </c>
      <c r="P312" s="42" t="s">
        <v>307</v>
      </c>
      <c r="Q312" s="42" t="s">
        <v>308</v>
      </c>
      <c r="R312" s="43" t="s">
        <v>1050</v>
      </c>
      <c r="S312" s="44">
        <v>32</v>
      </c>
      <c r="T312" s="31">
        <v>2350667.5713896975</v>
      </c>
      <c r="U312" s="31">
        <v>55853.919999999998</v>
      </c>
      <c r="V312" s="31">
        <v>0</v>
      </c>
      <c r="W312" s="31">
        <v>5666.35</v>
      </c>
      <c r="X312" s="31">
        <v>269349.46499813418</v>
      </c>
      <c r="Y312" s="31">
        <v>0</v>
      </c>
      <c r="Z312" s="31">
        <v>197157.96865123001</v>
      </c>
      <c r="AA312" s="31">
        <f t="shared" si="21"/>
        <v>2878695.2750390614</v>
      </c>
      <c r="AB312" s="31">
        <v>0</v>
      </c>
      <c r="AD312" s="42" t="s">
        <v>307</v>
      </c>
      <c r="AE312" s="42" t="s">
        <v>308</v>
      </c>
      <c r="AF312" s="43" t="s">
        <v>1275</v>
      </c>
      <c r="AG312" s="44">
        <v>32</v>
      </c>
      <c r="AH312" s="31">
        <v>2358773.9505739771</v>
      </c>
      <c r="AI312" s="31">
        <v>54057.899999999994</v>
      </c>
      <c r="AJ312" s="31">
        <v>0</v>
      </c>
      <c r="AK312" s="31">
        <v>5467.6900000000005</v>
      </c>
      <c r="AL312" s="31">
        <v>274035.74808760307</v>
      </c>
      <c r="AM312" s="31">
        <v>0</v>
      </c>
      <c r="AN312" s="31">
        <v>200955.19121053704</v>
      </c>
      <c r="AO312" s="31">
        <f t="shared" si="22"/>
        <v>2893290.4798721173</v>
      </c>
      <c r="AP312" s="31">
        <v>0</v>
      </c>
      <c r="AR312" s="42" t="s">
        <v>307</v>
      </c>
      <c r="AS312" s="42" t="s">
        <v>308</v>
      </c>
      <c r="AT312" s="43" t="s">
        <v>1276</v>
      </c>
      <c r="AU312" s="44">
        <v>32</v>
      </c>
      <c r="AV312" s="31">
        <v>2404861.2007401655</v>
      </c>
      <c r="AW312" s="31">
        <v>52944.1</v>
      </c>
      <c r="AX312" s="31">
        <v>0</v>
      </c>
      <c r="AY312" s="31">
        <v>5357.45</v>
      </c>
      <c r="AZ312" s="31">
        <v>281646.1693727838</v>
      </c>
      <c r="BA312" s="31">
        <v>0</v>
      </c>
      <c r="BB312" s="31">
        <v>204660.3617564748</v>
      </c>
      <c r="BC312" s="31">
        <f t="shared" si="23"/>
        <v>2949469.2818694245</v>
      </c>
      <c r="BD312" s="31">
        <v>0</v>
      </c>
    </row>
    <row r="313" spans="2:56">
      <c r="B313" s="42" t="s">
        <v>351</v>
      </c>
      <c r="C313" s="42" t="s">
        <v>352</v>
      </c>
      <c r="D313" s="43" t="s">
        <v>1049</v>
      </c>
      <c r="E313" s="44">
        <v>32</v>
      </c>
      <c r="F313" s="31">
        <v>3553301.2571759112</v>
      </c>
      <c r="G313" s="31">
        <v>92862.919999999984</v>
      </c>
      <c r="H313" s="31">
        <v>11205.919999999998</v>
      </c>
      <c r="I313" s="31">
        <v>10036.619999999999</v>
      </c>
      <c r="J313" s="31">
        <v>373859.36491124833</v>
      </c>
      <c r="K313" s="31">
        <v>496022.54982368345</v>
      </c>
      <c r="L313" s="31">
        <v>273099.64873938815</v>
      </c>
      <c r="M313" s="31">
        <f t="shared" si="20"/>
        <v>4810388.2806502311</v>
      </c>
      <c r="N313" s="31">
        <v>0</v>
      </c>
      <c r="P313" s="42" t="s">
        <v>351</v>
      </c>
      <c r="Q313" s="42" t="s">
        <v>352</v>
      </c>
      <c r="R313" s="43" t="s">
        <v>1050</v>
      </c>
      <c r="S313" s="44">
        <v>32</v>
      </c>
      <c r="T313" s="31">
        <v>3482174.5376796206</v>
      </c>
      <c r="U313" s="31">
        <v>92280.400000000009</v>
      </c>
      <c r="V313" s="31">
        <v>11636.22</v>
      </c>
      <c r="W313" s="31">
        <v>10017.280000000001</v>
      </c>
      <c r="X313" s="31">
        <v>387709.52593520127</v>
      </c>
      <c r="Y313" s="31">
        <v>496504.25616106571</v>
      </c>
      <c r="Z313" s="31">
        <v>282830.52321655152</v>
      </c>
      <c r="AA313" s="31">
        <f t="shared" si="21"/>
        <v>4763152.7429924384</v>
      </c>
      <c r="AB313" s="31">
        <v>0</v>
      </c>
      <c r="AD313" s="42" t="s">
        <v>351</v>
      </c>
      <c r="AE313" s="42" t="s">
        <v>352</v>
      </c>
      <c r="AF313" s="43" t="s">
        <v>1275</v>
      </c>
      <c r="AG313" s="44">
        <v>32</v>
      </c>
      <c r="AH313" s="31">
        <v>3508154.9704082608</v>
      </c>
      <c r="AI313" s="31">
        <v>91300.090000000011</v>
      </c>
      <c r="AJ313" s="31">
        <v>11863.85</v>
      </c>
      <c r="AK313" s="31">
        <v>9903.73</v>
      </c>
      <c r="AL313" s="31">
        <v>397190.73620896856</v>
      </c>
      <c r="AM313" s="31">
        <v>496340.6064698202</v>
      </c>
      <c r="AN313" s="31">
        <v>288277.51805899455</v>
      </c>
      <c r="AO313" s="31">
        <f t="shared" si="22"/>
        <v>4803031.5011460446</v>
      </c>
      <c r="AP313" s="31">
        <v>0</v>
      </c>
      <c r="AR313" s="42" t="s">
        <v>351</v>
      </c>
      <c r="AS313" s="42" t="s">
        <v>352</v>
      </c>
      <c r="AT313" s="43" t="s">
        <v>1276</v>
      </c>
      <c r="AU313" s="44">
        <v>32</v>
      </c>
      <c r="AV313" s="31">
        <v>3587904.9603093751</v>
      </c>
      <c r="AW313" s="31">
        <v>93492.55</v>
      </c>
      <c r="AX313" s="31">
        <v>12080.5</v>
      </c>
      <c r="AY313" s="31">
        <v>10084.590000000002</v>
      </c>
      <c r="AZ313" s="31">
        <v>404660.20213155769</v>
      </c>
      <c r="BA313" s="31">
        <v>496366.64892016014</v>
      </c>
      <c r="BB313" s="31">
        <v>293592.43426637095</v>
      </c>
      <c r="BC313" s="31">
        <f t="shared" si="23"/>
        <v>4898181.8856274635</v>
      </c>
      <c r="BD313" s="31">
        <v>0</v>
      </c>
    </row>
    <row r="314" spans="2:56">
      <c r="B314" s="42" t="s">
        <v>137</v>
      </c>
      <c r="C314" s="42" t="s">
        <v>138</v>
      </c>
      <c r="D314" s="43" t="s">
        <v>1049</v>
      </c>
      <c r="E314" s="44">
        <v>32</v>
      </c>
      <c r="F314" s="31">
        <v>1991553.8128150434</v>
      </c>
      <c r="G314" s="31">
        <v>48322.55000000001</v>
      </c>
      <c r="H314" s="31">
        <v>0</v>
      </c>
      <c r="I314" s="31">
        <v>3228.24</v>
      </c>
      <c r="J314" s="31">
        <v>139711.81558404976</v>
      </c>
      <c r="K314" s="31">
        <v>257964.46278194519</v>
      </c>
      <c r="L314" s="31">
        <v>123432.80992942845</v>
      </c>
      <c r="M314" s="31">
        <f t="shared" si="20"/>
        <v>2599118.9211104671</v>
      </c>
      <c r="N314" s="31">
        <v>34905.230000000003</v>
      </c>
      <c r="P314" s="42" t="s">
        <v>137</v>
      </c>
      <c r="Q314" s="42" t="s">
        <v>138</v>
      </c>
      <c r="R314" s="43" t="s">
        <v>1050</v>
      </c>
      <c r="S314" s="44">
        <v>32</v>
      </c>
      <c r="T314" s="31">
        <v>2244604.0109505868</v>
      </c>
      <c r="U314" s="31">
        <v>60784.499999999993</v>
      </c>
      <c r="V314" s="31">
        <v>0</v>
      </c>
      <c r="W314" s="31">
        <v>4084.08</v>
      </c>
      <c r="X314" s="31">
        <v>145140.34661007349</v>
      </c>
      <c r="Y314" s="31">
        <v>258228.75317501533</v>
      </c>
      <c r="Z314" s="31">
        <v>129067.20623004693</v>
      </c>
      <c r="AA314" s="31">
        <f t="shared" si="21"/>
        <v>2877676.1269657225</v>
      </c>
      <c r="AB314" s="31">
        <v>35767.230000000003</v>
      </c>
      <c r="AD314" s="42" t="s">
        <v>137</v>
      </c>
      <c r="AE314" s="42" t="s">
        <v>138</v>
      </c>
      <c r="AF314" s="43" t="s">
        <v>1275</v>
      </c>
      <c r="AG314" s="44">
        <v>32</v>
      </c>
      <c r="AH314" s="31">
        <v>2287588.9464601474</v>
      </c>
      <c r="AI314" s="31">
        <v>62041.329999999994</v>
      </c>
      <c r="AJ314" s="31">
        <v>0</v>
      </c>
      <c r="AK314" s="31">
        <v>4164.03</v>
      </c>
      <c r="AL314" s="31">
        <v>147832.64956098949</v>
      </c>
      <c r="AM314" s="31">
        <v>258138.96602075009</v>
      </c>
      <c r="AN314" s="31">
        <v>131555.12403941827</v>
      </c>
      <c r="AO314" s="31">
        <f t="shared" si="22"/>
        <v>2927721.2360813045</v>
      </c>
      <c r="AP314" s="31">
        <v>36400.19000000001</v>
      </c>
      <c r="AR314" s="42" t="s">
        <v>137</v>
      </c>
      <c r="AS314" s="42" t="s">
        <v>138</v>
      </c>
      <c r="AT314" s="43" t="s">
        <v>1276</v>
      </c>
      <c r="AU314" s="44">
        <v>32</v>
      </c>
      <c r="AV314" s="31">
        <v>2329359.9756327057</v>
      </c>
      <c r="AW314" s="31">
        <v>63169.85</v>
      </c>
      <c r="AX314" s="31">
        <v>0</v>
      </c>
      <c r="AY314" s="31">
        <v>4240.4299999999994</v>
      </c>
      <c r="AZ314" s="31">
        <v>150562.11163638896</v>
      </c>
      <c r="BA314" s="31">
        <v>258153.25433066578</v>
      </c>
      <c r="BB314" s="31">
        <v>133987.35659321496</v>
      </c>
      <c r="BC314" s="31">
        <f t="shared" si="23"/>
        <v>2976551.0581929758</v>
      </c>
      <c r="BD314" s="31">
        <v>37078.080000000009</v>
      </c>
    </row>
    <row r="315" spans="2:56">
      <c r="B315" s="42" t="s">
        <v>281</v>
      </c>
      <c r="C315" s="42" t="s">
        <v>282</v>
      </c>
      <c r="D315" s="43" t="s">
        <v>1049</v>
      </c>
      <c r="E315" s="44">
        <v>32</v>
      </c>
      <c r="F315" s="31">
        <v>6339219.7664329167</v>
      </c>
      <c r="G315" s="31">
        <v>429354.52</v>
      </c>
      <c r="H315" s="31">
        <v>68599.89</v>
      </c>
      <c r="I315" s="31">
        <v>21185.25</v>
      </c>
      <c r="J315" s="31">
        <v>948542.57391796773</v>
      </c>
      <c r="K315" s="31">
        <v>460376.82699010579</v>
      </c>
      <c r="L315" s="31">
        <v>518253.9389264402</v>
      </c>
      <c r="M315" s="31">
        <f t="shared" si="20"/>
        <v>9003337.3862674292</v>
      </c>
      <c r="N315" s="31">
        <v>217804.62</v>
      </c>
      <c r="P315" s="42" t="s">
        <v>281</v>
      </c>
      <c r="Q315" s="42" t="s">
        <v>282</v>
      </c>
      <c r="R315" s="43" t="s">
        <v>1050</v>
      </c>
      <c r="S315" s="44">
        <v>32</v>
      </c>
      <c r="T315" s="31">
        <v>6712244.3841899401</v>
      </c>
      <c r="U315" s="31">
        <v>459380.9</v>
      </c>
      <c r="V315" s="31">
        <v>71209.51999999999</v>
      </c>
      <c r="W315" s="31">
        <v>22514.799999999999</v>
      </c>
      <c r="X315" s="31">
        <v>978976.14225776738</v>
      </c>
      <c r="Y315" s="31">
        <v>460636.47493014071</v>
      </c>
      <c r="Z315" s="31">
        <v>541856.3215956426</v>
      </c>
      <c r="AA315" s="31">
        <f t="shared" si="21"/>
        <v>9470001.9229734913</v>
      </c>
      <c r="AB315" s="31">
        <v>223183.37999999998</v>
      </c>
      <c r="AD315" s="42" t="s">
        <v>281</v>
      </c>
      <c r="AE315" s="42" t="s">
        <v>282</v>
      </c>
      <c r="AF315" s="43" t="s">
        <v>1275</v>
      </c>
      <c r="AG315" s="44">
        <v>32</v>
      </c>
      <c r="AH315" s="31">
        <v>7063071.925808847</v>
      </c>
      <c r="AI315" s="31">
        <v>485553.85999999987</v>
      </c>
      <c r="AJ315" s="31">
        <v>72603.289999999994</v>
      </c>
      <c r="AK315" s="31">
        <v>23809.61</v>
      </c>
      <c r="AL315" s="31">
        <v>997479.7506237498</v>
      </c>
      <c r="AM315" s="31">
        <v>460548.26495256356</v>
      </c>
      <c r="AN315" s="31">
        <v>552300.72595692752</v>
      </c>
      <c r="AO315" s="31">
        <f t="shared" si="22"/>
        <v>9882500.3373420872</v>
      </c>
      <c r="AP315" s="31">
        <v>227132.91</v>
      </c>
      <c r="AR315" s="42" t="s">
        <v>281</v>
      </c>
      <c r="AS315" s="42" t="s">
        <v>282</v>
      </c>
      <c r="AT315" s="43" t="s">
        <v>1276</v>
      </c>
      <c r="AU315" s="44">
        <v>32</v>
      </c>
      <c r="AV315" s="31">
        <v>7406983.1549992207</v>
      </c>
      <c r="AW315" s="31">
        <v>510819.7699999999</v>
      </c>
      <c r="AX315" s="31">
        <v>73935.56</v>
      </c>
      <c r="AY315" s="31">
        <v>25116.350000000002</v>
      </c>
      <c r="AZ315" s="31">
        <v>1015959.0831401</v>
      </c>
      <c r="BA315" s="31">
        <v>460562.3022779203</v>
      </c>
      <c r="BB315" s="31">
        <v>562511.26602702343</v>
      </c>
      <c r="BC315" s="31">
        <f t="shared" si="23"/>
        <v>10287250.366444265</v>
      </c>
      <c r="BD315" s="31">
        <v>231362.87999999998</v>
      </c>
    </row>
    <row r="316" spans="2:56">
      <c r="B316" s="42" t="s">
        <v>161</v>
      </c>
      <c r="C316" s="42" t="s">
        <v>162</v>
      </c>
      <c r="D316" s="43" t="s">
        <v>1049</v>
      </c>
      <c r="E316" s="44">
        <v>32</v>
      </c>
      <c r="F316" s="31">
        <v>2260270.9940265948</v>
      </c>
      <c r="G316" s="31">
        <v>66066.169999999984</v>
      </c>
      <c r="H316" s="31">
        <v>0</v>
      </c>
      <c r="I316" s="31">
        <v>0</v>
      </c>
      <c r="J316" s="31">
        <v>162800.5069257842</v>
      </c>
      <c r="K316" s="31">
        <v>87085.71202076583</v>
      </c>
      <c r="L316" s="31">
        <v>98323.667963401182</v>
      </c>
      <c r="M316" s="31">
        <f t="shared" si="20"/>
        <v>2718883.5009365464</v>
      </c>
      <c r="N316" s="31">
        <v>44336.45</v>
      </c>
      <c r="P316" s="42" t="s">
        <v>161</v>
      </c>
      <c r="Q316" s="42" t="s">
        <v>162</v>
      </c>
      <c r="R316" s="43" t="s">
        <v>1050</v>
      </c>
      <c r="S316" s="44">
        <v>32</v>
      </c>
      <c r="T316" s="31">
        <v>2171320.3620955828</v>
      </c>
      <c r="U316" s="31">
        <v>61930.5</v>
      </c>
      <c r="V316" s="31">
        <v>0</v>
      </c>
      <c r="W316" s="31">
        <v>0</v>
      </c>
      <c r="X316" s="31">
        <v>165686.59984995774</v>
      </c>
      <c r="Y316" s="31">
        <v>87130.304100871988</v>
      </c>
      <c r="Z316" s="31">
        <v>102838.73727175267</v>
      </c>
      <c r="AA316" s="31">
        <f t="shared" si="21"/>
        <v>2634332.9033181649</v>
      </c>
      <c r="AB316" s="31">
        <v>45426.399999999994</v>
      </c>
      <c r="AD316" s="42" t="s">
        <v>161</v>
      </c>
      <c r="AE316" s="42" t="s">
        <v>162</v>
      </c>
      <c r="AF316" s="43" t="s">
        <v>1275</v>
      </c>
      <c r="AG316" s="44">
        <v>32</v>
      </c>
      <c r="AH316" s="31">
        <v>2174903.3715165486</v>
      </c>
      <c r="AI316" s="31">
        <v>62817.54</v>
      </c>
      <c r="AJ316" s="31">
        <v>0</v>
      </c>
      <c r="AK316" s="31">
        <v>0</v>
      </c>
      <c r="AL316" s="31">
        <v>169104.72533400523</v>
      </c>
      <c r="AM316" s="31">
        <v>87115.154870780825</v>
      </c>
      <c r="AN316" s="31">
        <v>104819.63383359893</v>
      </c>
      <c r="AO316" s="31">
        <f t="shared" si="22"/>
        <v>2644987.1655549337</v>
      </c>
      <c r="AP316" s="31">
        <v>46226.74</v>
      </c>
      <c r="AR316" s="42" t="s">
        <v>161</v>
      </c>
      <c r="AS316" s="42" t="s">
        <v>162</v>
      </c>
      <c r="AT316" s="43" t="s">
        <v>1276</v>
      </c>
      <c r="AU316" s="44">
        <v>32</v>
      </c>
      <c r="AV316" s="31">
        <v>2191303.6528910911</v>
      </c>
      <c r="AW316" s="31">
        <v>63531.44</v>
      </c>
      <c r="AX316" s="31">
        <v>0</v>
      </c>
      <c r="AY316" s="31">
        <v>0</v>
      </c>
      <c r="AZ316" s="31">
        <v>172470.53782757116</v>
      </c>
      <c r="BA316" s="31">
        <v>87117.565648762349</v>
      </c>
      <c r="BB316" s="31">
        <v>106752.07303677626</v>
      </c>
      <c r="BC316" s="31">
        <f t="shared" si="23"/>
        <v>2668259.1694042012</v>
      </c>
      <c r="BD316" s="31">
        <v>47083.899999999994</v>
      </c>
    </row>
    <row r="317" spans="2:56">
      <c r="B317" s="42" t="s">
        <v>251</v>
      </c>
      <c r="C317" s="42" t="s">
        <v>252</v>
      </c>
      <c r="D317" s="43" t="s">
        <v>1049</v>
      </c>
      <c r="E317" s="44">
        <v>32</v>
      </c>
      <c r="F317" s="31">
        <v>1920577.6221816805</v>
      </c>
      <c r="G317" s="31">
        <v>34299.85</v>
      </c>
      <c r="H317" s="31">
        <v>0</v>
      </c>
      <c r="I317" s="31">
        <v>0</v>
      </c>
      <c r="J317" s="31">
        <v>58152.173560458454</v>
      </c>
      <c r="K317" s="31">
        <v>47423.275564528092</v>
      </c>
      <c r="L317" s="31">
        <v>23050.984231398241</v>
      </c>
      <c r="M317" s="31">
        <f t="shared" si="20"/>
        <v>2100069.1555380654</v>
      </c>
      <c r="N317" s="31">
        <v>16565.25</v>
      </c>
      <c r="P317" s="42" t="s">
        <v>251</v>
      </c>
      <c r="Q317" s="42" t="s">
        <v>252</v>
      </c>
      <c r="R317" s="43" t="s">
        <v>1050</v>
      </c>
      <c r="S317" s="44">
        <v>32</v>
      </c>
      <c r="T317" s="31">
        <v>1994284.7737496733</v>
      </c>
      <c r="U317" s="31">
        <v>42625.270000000004</v>
      </c>
      <c r="V317" s="31">
        <v>0</v>
      </c>
      <c r="W317" s="31">
        <v>0</v>
      </c>
      <c r="X317" s="31">
        <v>59084.48325272803</v>
      </c>
      <c r="Y317" s="31">
        <v>47472.547058281314</v>
      </c>
      <c r="Z317" s="31">
        <v>24074.612440508343</v>
      </c>
      <c r="AA317" s="31">
        <f t="shared" si="21"/>
        <v>2184514.1765011912</v>
      </c>
      <c r="AB317" s="31">
        <v>16972.490000000002</v>
      </c>
      <c r="AD317" s="42" t="s">
        <v>251</v>
      </c>
      <c r="AE317" s="42" t="s">
        <v>252</v>
      </c>
      <c r="AF317" s="43" t="s">
        <v>1275</v>
      </c>
      <c r="AG317" s="44">
        <v>32</v>
      </c>
      <c r="AH317" s="31">
        <v>2541196.8381512212</v>
      </c>
      <c r="AI317" s="31">
        <v>96105.66</v>
      </c>
      <c r="AJ317" s="31">
        <v>0</v>
      </c>
      <c r="AK317" s="31">
        <v>0</v>
      </c>
      <c r="AL317" s="31">
        <v>61192.991039973545</v>
      </c>
      <c r="AM317" s="31">
        <v>47455.808094904285</v>
      </c>
      <c r="AN317" s="31">
        <v>24538.25233062651</v>
      </c>
      <c r="AO317" s="31">
        <f t="shared" si="22"/>
        <v>2787761.0596167254</v>
      </c>
      <c r="AP317" s="31">
        <v>17271.510000000002</v>
      </c>
      <c r="AR317" s="42" t="s">
        <v>251</v>
      </c>
      <c r="AS317" s="42" t="s">
        <v>252</v>
      </c>
      <c r="AT317" s="43" t="s">
        <v>1276</v>
      </c>
      <c r="AU317" s="44">
        <v>32</v>
      </c>
      <c r="AV317" s="31">
        <v>2587499.2061465969</v>
      </c>
      <c r="AW317" s="31">
        <v>97855.760000000009</v>
      </c>
      <c r="AX317" s="31">
        <v>0</v>
      </c>
      <c r="AY317" s="31">
        <v>0</v>
      </c>
      <c r="AZ317" s="31">
        <v>62319.515962460056</v>
      </c>
      <c r="BA317" s="31">
        <v>47458.471855643285</v>
      </c>
      <c r="BB317" s="31">
        <v>24990.54531882306</v>
      </c>
      <c r="BC317" s="31">
        <f t="shared" si="23"/>
        <v>2837715.2792835226</v>
      </c>
      <c r="BD317" s="31">
        <v>17591.780000000002</v>
      </c>
    </row>
    <row r="318" spans="2:56">
      <c r="B318" s="42" t="s">
        <v>85</v>
      </c>
      <c r="C318" s="42" t="s">
        <v>86</v>
      </c>
      <c r="D318" s="43" t="s">
        <v>1049</v>
      </c>
      <c r="E318" s="44">
        <v>32</v>
      </c>
      <c r="F318" s="31">
        <v>19704009.326226279</v>
      </c>
      <c r="G318" s="31">
        <v>691648.52000000014</v>
      </c>
      <c r="H318" s="31">
        <v>312303.98</v>
      </c>
      <c r="I318" s="31">
        <v>65871.280000000013</v>
      </c>
      <c r="J318" s="31">
        <v>3006235.0527040982</v>
      </c>
      <c r="K318" s="31">
        <v>5702376.3561724639</v>
      </c>
      <c r="L318" s="31">
        <v>767436.93049635959</v>
      </c>
      <c r="M318" s="31">
        <f t="shared" si="20"/>
        <v>30392537.595599204</v>
      </c>
      <c r="N318" s="31">
        <v>142656.15</v>
      </c>
      <c r="P318" s="42" t="s">
        <v>85</v>
      </c>
      <c r="Q318" s="42" t="s">
        <v>86</v>
      </c>
      <c r="R318" s="43" t="s">
        <v>1050</v>
      </c>
      <c r="S318" s="44">
        <v>32</v>
      </c>
      <c r="T318" s="31">
        <v>21674448.641065639</v>
      </c>
      <c r="U318" s="31">
        <v>763992.58000000007</v>
      </c>
      <c r="V318" s="31">
        <v>324296.74</v>
      </c>
      <c r="W318" s="31">
        <v>72650.55</v>
      </c>
      <c r="X318" s="31">
        <v>3097329.6165952189</v>
      </c>
      <c r="Y318" s="31">
        <v>5708161.5845446084</v>
      </c>
      <c r="Z318" s="31">
        <v>794781.4832265937</v>
      </c>
      <c r="AA318" s="31">
        <f t="shared" si="21"/>
        <v>32581824.365432065</v>
      </c>
      <c r="AB318" s="31">
        <v>146163.16999999998</v>
      </c>
      <c r="AD318" s="42" t="s">
        <v>85</v>
      </c>
      <c r="AE318" s="42" t="s">
        <v>86</v>
      </c>
      <c r="AF318" s="43" t="s">
        <v>1275</v>
      </c>
      <c r="AG318" s="44">
        <v>32</v>
      </c>
      <c r="AH318" s="31">
        <v>22351985.109004412</v>
      </c>
      <c r="AI318" s="31">
        <v>788506.01</v>
      </c>
      <c r="AJ318" s="31">
        <v>330640.39999999997</v>
      </c>
      <c r="AK318" s="31">
        <v>74897.01999999999</v>
      </c>
      <c r="AL318" s="31">
        <v>3153295.523653199</v>
      </c>
      <c r="AM318" s="31">
        <v>5706196.1737467526</v>
      </c>
      <c r="AN318" s="31">
        <v>810088.59929788648</v>
      </c>
      <c r="AO318" s="31">
        <f t="shared" si="22"/>
        <v>33364347.145702247</v>
      </c>
      <c r="AP318" s="31">
        <v>148738.30999999997</v>
      </c>
      <c r="AR318" s="42" t="s">
        <v>85</v>
      </c>
      <c r="AS318" s="42" t="s">
        <v>86</v>
      </c>
      <c r="AT318" s="43" t="s">
        <v>1276</v>
      </c>
      <c r="AU318" s="44">
        <v>32</v>
      </c>
      <c r="AV318" s="31">
        <v>22970658.677159686</v>
      </c>
      <c r="AW318" s="31">
        <v>809270.89000000013</v>
      </c>
      <c r="AX318" s="31">
        <v>336678.2</v>
      </c>
      <c r="AY318" s="31">
        <v>76894.98000000001</v>
      </c>
      <c r="AZ318" s="31">
        <v>3214441.1268337471</v>
      </c>
      <c r="BA318" s="31">
        <v>5706508.9400753127</v>
      </c>
      <c r="BB318" s="31">
        <v>825024.78150844085</v>
      </c>
      <c r="BC318" s="31">
        <f t="shared" si="23"/>
        <v>34090973.895577185</v>
      </c>
      <c r="BD318" s="31">
        <v>151496.29999999999</v>
      </c>
    </row>
    <row r="319" spans="2:56">
      <c r="B319" s="42" t="s">
        <v>1039</v>
      </c>
      <c r="C319" s="42" t="s">
        <v>1045</v>
      </c>
      <c r="D319" s="43" t="s">
        <v>1049</v>
      </c>
      <c r="E319" s="44">
        <v>32</v>
      </c>
      <c r="F319" s="31">
        <v>2039278.1234776743</v>
      </c>
      <c r="G319" s="31">
        <v>0</v>
      </c>
      <c r="H319" s="31">
        <v>0</v>
      </c>
      <c r="I319" s="31">
        <v>0</v>
      </c>
      <c r="J319" s="31">
        <v>144343.61016967293</v>
      </c>
      <c r="K319" s="31">
        <v>0</v>
      </c>
      <c r="L319" s="31">
        <v>0</v>
      </c>
      <c r="M319" s="31">
        <f t="shared" si="20"/>
        <v>2183621.7336473474</v>
      </c>
      <c r="N319" s="31">
        <v>0</v>
      </c>
      <c r="P319" s="42" t="s">
        <v>1039</v>
      </c>
      <c r="Q319" s="42" t="s">
        <v>1045</v>
      </c>
      <c r="R319" s="43" t="s">
        <v>1050</v>
      </c>
      <c r="S319" s="44">
        <v>32</v>
      </c>
      <c r="T319" s="31">
        <v>2115184.0073363036</v>
      </c>
      <c r="U319" s="31">
        <v>0</v>
      </c>
      <c r="V319" s="31">
        <v>0</v>
      </c>
      <c r="W319" s="31">
        <v>0</v>
      </c>
      <c r="X319" s="31">
        <v>149252.59535946453</v>
      </c>
      <c r="Y319" s="31">
        <v>0</v>
      </c>
      <c r="Z319" s="31">
        <v>0</v>
      </c>
      <c r="AA319" s="31">
        <f t="shared" si="21"/>
        <v>2264436.6026957682</v>
      </c>
      <c r="AB319" s="31">
        <v>0</v>
      </c>
      <c r="AD319" s="42" t="s">
        <v>1039</v>
      </c>
      <c r="AE319" s="42" t="s">
        <v>1045</v>
      </c>
      <c r="AF319" s="43" t="s">
        <v>1275</v>
      </c>
      <c r="AG319" s="44">
        <v>32</v>
      </c>
      <c r="AH319" s="31">
        <v>2155677.9849392828</v>
      </c>
      <c r="AI319" s="31">
        <v>0</v>
      </c>
      <c r="AJ319" s="31">
        <v>0</v>
      </c>
      <c r="AK319" s="31">
        <v>0</v>
      </c>
      <c r="AL319" s="31">
        <v>152021.1037439371</v>
      </c>
      <c r="AM319" s="31">
        <v>0</v>
      </c>
      <c r="AN319" s="31">
        <v>0</v>
      </c>
      <c r="AO319" s="31">
        <f t="shared" si="22"/>
        <v>2307699.0886832196</v>
      </c>
      <c r="AP319" s="31">
        <v>0</v>
      </c>
      <c r="AR319" s="42" t="s">
        <v>1039</v>
      </c>
      <c r="AS319" s="42" t="s">
        <v>1045</v>
      </c>
      <c r="AT319" s="43" t="s">
        <v>1276</v>
      </c>
      <c r="AU319" s="44">
        <v>32</v>
      </c>
      <c r="AV319" s="31">
        <v>2194999.8465094338</v>
      </c>
      <c r="AW319" s="31">
        <v>0</v>
      </c>
      <c r="AX319" s="31">
        <v>0</v>
      </c>
      <c r="AY319" s="31">
        <v>0</v>
      </c>
      <c r="AZ319" s="31">
        <v>154827.66384574439</v>
      </c>
      <c r="BA319" s="31">
        <v>0</v>
      </c>
      <c r="BB319" s="31">
        <v>0</v>
      </c>
      <c r="BC319" s="31">
        <f t="shared" si="23"/>
        <v>2349827.5103551783</v>
      </c>
      <c r="BD319" s="31">
        <v>0</v>
      </c>
    </row>
    <row r="320" spans="2:56">
      <c r="B320" s="42" t="s">
        <v>585</v>
      </c>
      <c r="C320" s="42" t="s">
        <v>586</v>
      </c>
      <c r="D320" s="43" t="s">
        <v>1049</v>
      </c>
      <c r="E320" s="44">
        <v>32</v>
      </c>
      <c r="F320" s="31">
        <v>120762643.90729365</v>
      </c>
      <c r="G320" s="31">
        <v>8316542.2000000002</v>
      </c>
      <c r="H320" s="31">
        <v>7147424.2999999989</v>
      </c>
      <c r="I320" s="31">
        <v>438589.74000000005</v>
      </c>
      <c r="J320" s="31">
        <v>18678756.946355462</v>
      </c>
      <c r="K320" s="31">
        <v>3660685.0027060914</v>
      </c>
      <c r="L320" s="31">
        <v>16369644.889343288</v>
      </c>
      <c r="M320" s="31">
        <f t="shared" si="20"/>
        <v>179873899.96569848</v>
      </c>
      <c r="N320" s="31">
        <v>4499612.9799999995</v>
      </c>
      <c r="P320" s="42" t="s">
        <v>585</v>
      </c>
      <c r="Q320" s="42" t="s">
        <v>586</v>
      </c>
      <c r="R320" s="43" t="s">
        <v>1050</v>
      </c>
      <c r="S320" s="44">
        <v>32</v>
      </c>
      <c r="T320" s="31">
        <v>129023284.12653714</v>
      </c>
      <c r="U320" s="31">
        <v>8848944.8000000007</v>
      </c>
      <c r="V320" s="31">
        <v>7421892.6200000001</v>
      </c>
      <c r="W320" s="31">
        <v>463425.61</v>
      </c>
      <c r="X320" s="31">
        <v>19290261.821154278</v>
      </c>
      <c r="Y320" s="31">
        <v>3664142.0557189221</v>
      </c>
      <c r="Z320" s="31">
        <v>17112393.277454995</v>
      </c>
      <c r="AA320" s="31">
        <f t="shared" si="21"/>
        <v>190434574.27086538</v>
      </c>
      <c r="AB320" s="31">
        <v>4610229.959999999</v>
      </c>
      <c r="AD320" s="42" t="s">
        <v>585</v>
      </c>
      <c r="AE320" s="42" t="s">
        <v>586</v>
      </c>
      <c r="AF320" s="43" t="s">
        <v>1275</v>
      </c>
      <c r="AG320" s="44">
        <v>32</v>
      </c>
      <c r="AH320" s="31">
        <v>131502302.26411107</v>
      </c>
      <c r="AI320" s="31">
        <v>9030999.0500000007</v>
      </c>
      <c r="AJ320" s="31">
        <v>7567074.3499999996</v>
      </c>
      <c r="AK320" s="31">
        <v>472490.80000000005</v>
      </c>
      <c r="AL320" s="31">
        <v>19647582.568096682</v>
      </c>
      <c r="AM320" s="31">
        <v>3662967.5939893057</v>
      </c>
      <c r="AN320" s="31">
        <v>17442119.874623321</v>
      </c>
      <c r="AO320" s="31">
        <f t="shared" si="22"/>
        <v>194016990.92082042</v>
      </c>
      <c r="AP320" s="31">
        <v>4691454.419999999</v>
      </c>
      <c r="AR320" s="42" t="s">
        <v>585</v>
      </c>
      <c r="AS320" s="42" t="s">
        <v>586</v>
      </c>
      <c r="AT320" s="43" t="s">
        <v>1276</v>
      </c>
      <c r="AU320" s="44">
        <v>32</v>
      </c>
      <c r="AV320" s="31">
        <v>133920505.21773294</v>
      </c>
      <c r="AW320" s="31">
        <v>9194592.3000000007</v>
      </c>
      <c r="AX320" s="31">
        <v>7705256.0999999996</v>
      </c>
      <c r="AY320" s="31">
        <v>481118.92000000004</v>
      </c>
      <c r="AZ320" s="31">
        <v>20009408.070516862</v>
      </c>
      <c r="BA320" s="31">
        <v>3663154.4923637356</v>
      </c>
      <c r="BB320" s="31">
        <v>17763549.787180312</v>
      </c>
      <c r="BC320" s="31">
        <f t="shared" si="23"/>
        <v>197516030.71779382</v>
      </c>
      <c r="BD320" s="31">
        <v>4778445.83</v>
      </c>
    </row>
    <row r="321" spans="2:56">
      <c r="B321" s="42" t="s">
        <v>507</v>
      </c>
      <c r="C321" s="42" t="s">
        <v>508</v>
      </c>
      <c r="D321" s="43" t="s">
        <v>1049</v>
      </c>
      <c r="E321" s="44">
        <v>32</v>
      </c>
      <c r="F321" s="31">
        <v>42928363.708672002</v>
      </c>
      <c r="G321" s="31">
        <v>1554893.6799999997</v>
      </c>
      <c r="H321" s="31">
        <v>279758.09000000003</v>
      </c>
      <c r="I321" s="31">
        <v>150354.15000000002</v>
      </c>
      <c r="J321" s="31">
        <v>6923918.7120449366</v>
      </c>
      <c r="K321" s="31">
        <v>4122715.3464736412</v>
      </c>
      <c r="L321" s="31">
        <v>3905525.3188300221</v>
      </c>
      <c r="M321" s="31">
        <f t="shared" si="20"/>
        <v>60015006.146020606</v>
      </c>
      <c r="N321" s="31">
        <v>149477.14000000001</v>
      </c>
      <c r="P321" s="42" t="s">
        <v>507</v>
      </c>
      <c r="Q321" s="42" t="s">
        <v>508</v>
      </c>
      <c r="R321" s="43" t="s">
        <v>1050</v>
      </c>
      <c r="S321" s="44">
        <v>32</v>
      </c>
      <c r="T321" s="31">
        <v>47245150.164014474</v>
      </c>
      <c r="U321" s="31">
        <v>1703586.1199999996</v>
      </c>
      <c r="V321" s="31">
        <v>290501.08</v>
      </c>
      <c r="W321" s="31">
        <v>164526.21</v>
      </c>
      <c r="X321" s="31">
        <v>7166941.172379937</v>
      </c>
      <c r="Y321" s="31">
        <v>4126356.9816665016</v>
      </c>
      <c r="Z321" s="31">
        <v>4044684.13620489</v>
      </c>
      <c r="AA321" s="31">
        <f t="shared" si="21"/>
        <v>64894897.704265811</v>
      </c>
      <c r="AB321" s="31">
        <v>153151.84000000003</v>
      </c>
      <c r="AD321" s="42" t="s">
        <v>507</v>
      </c>
      <c r="AE321" s="42" t="s">
        <v>508</v>
      </c>
      <c r="AF321" s="43" t="s">
        <v>1275</v>
      </c>
      <c r="AG321" s="44">
        <v>32</v>
      </c>
      <c r="AH321" s="31">
        <v>48555298.581792049</v>
      </c>
      <c r="AI321" s="31">
        <v>1750722.5199999996</v>
      </c>
      <c r="AJ321" s="31">
        <v>296183.65000000002</v>
      </c>
      <c r="AK321" s="31">
        <v>169085.68000000002</v>
      </c>
      <c r="AL321" s="31">
        <v>7299325.2396859583</v>
      </c>
      <c r="AM321" s="31">
        <v>4125119.8119871924</v>
      </c>
      <c r="AN321" s="31">
        <v>4122582.589621217</v>
      </c>
      <c r="AO321" s="31">
        <f t="shared" si="22"/>
        <v>66474168.183086418</v>
      </c>
      <c r="AP321" s="31">
        <v>155850.11000000002</v>
      </c>
      <c r="AR321" s="42" t="s">
        <v>507</v>
      </c>
      <c r="AS321" s="42" t="s">
        <v>508</v>
      </c>
      <c r="AT321" s="43" t="s">
        <v>1276</v>
      </c>
      <c r="AU321" s="44">
        <v>32</v>
      </c>
      <c r="AV321" s="31">
        <v>49858042.852389529</v>
      </c>
      <c r="AW321" s="31">
        <v>1796409.69</v>
      </c>
      <c r="AX321" s="31">
        <v>301592.23</v>
      </c>
      <c r="AY321" s="31">
        <v>173538.98</v>
      </c>
      <c r="AZ321" s="31">
        <v>7433359.8542834902</v>
      </c>
      <c r="BA321" s="31">
        <v>4125316.6894129324</v>
      </c>
      <c r="BB321" s="31">
        <v>4198593.0324784219</v>
      </c>
      <c r="BC321" s="31">
        <f t="shared" si="23"/>
        <v>68045593.29856436</v>
      </c>
      <c r="BD321" s="31">
        <v>158739.97</v>
      </c>
    </row>
    <row r="322" spans="2:56">
      <c r="B322" s="42" t="s">
        <v>603</v>
      </c>
      <c r="C322" s="42" t="s">
        <v>604</v>
      </c>
      <c r="D322" s="43" t="s">
        <v>1049</v>
      </c>
      <c r="E322" s="44">
        <v>32</v>
      </c>
      <c r="F322" s="31">
        <v>10390294.395494634</v>
      </c>
      <c r="G322" s="31">
        <v>452621.50999999995</v>
      </c>
      <c r="H322" s="31">
        <v>212717.47999999998</v>
      </c>
      <c r="I322" s="31">
        <v>0</v>
      </c>
      <c r="J322" s="31">
        <v>1178648.8546684843</v>
      </c>
      <c r="K322" s="31">
        <v>456020.15379510541</v>
      </c>
      <c r="L322" s="31">
        <v>411482.14304740343</v>
      </c>
      <c r="M322" s="31">
        <f t="shared" si="20"/>
        <v>13461932.85700563</v>
      </c>
      <c r="N322" s="31">
        <v>360148.32</v>
      </c>
      <c r="P322" s="42" t="s">
        <v>603</v>
      </c>
      <c r="Q322" s="42" t="s">
        <v>604</v>
      </c>
      <c r="R322" s="43" t="s">
        <v>1050</v>
      </c>
      <c r="S322" s="44">
        <v>32</v>
      </c>
      <c r="T322" s="31">
        <v>10609633.694278859</v>
      </c>
      <c r="U322" s="31">
        <v>462229.65</v>
      </c>
      <c r="V322" s="31">
        <v>220886.05000000002</v>
      </c>
      <c r="W322" s="31">
        <v>0</v>
      </c>
      <c r="X322" s="31">
        <v>1220463.3970921943</v>
      </c>
      <c r="Y322" s="31">
        <v>456348.81247781747</v>
      </c>
      <c r="Z322" s="31">
        <v>430389.08956066635</v>
      </c>
      <c r="AA322" s="31">
        <f t="shared" si="21"/>
        <v>13768952.793409539</v>
      </c>
      <c r="AB322" s="31">
        <v>369002.1</v>
      </c>
      <c r="AD322" s="42" t="s">
        <v>603</v>
      </c>
      <c r="AE322" s="42" t="s">
        <v>604</v>
      </c>
      <c r="AF322" s="43" t="s">
        <v>1275</v>
      </c>
      <c r="AG322" s="44">
        <v>32</v>
      </c>
      <c r="AH322" s="31">
        <v>10869448.476733752</v>
      </c>
      <c r="AI322" s="31">
        <v>473123.20999999979</v>
      </c>
      <c r="AJ322" s="31">
        <v>225206.87000000002</v>
      </c>
      <c r="AK322" s="31">
        <v>0</v>
      </c>
      <c r="AL322" s="31">
        <v>1246503.9998216298</v>
      </c>
      <c r="AM322" s="31">
        <v>456237.1575383303</v>
      </c>
      <c r="AN322" s="31">
        <v>438679.14361666696</v>
      </c>
      <c r="AO322" s="31">
        <f t="shared" si="22"/>
        <v>14084702.147710375</v>
      </c>
      <c r="AP322" s="31">
        <v>375503.29</v>
      </c>
      <c r="AR322" s="42" t="s">
        <v>603</v>
      </c>
      <c r="AS322" s="42" t="s">
        <v>604</v>
      </c>
      <c r="AT322" s="43" t="s">
        <v>1276</v>
      </c>
      <c r="AU322" s="44">
        <v>32</v>
      </c>
      <c r="AV322" s="31">
        <v>11122427.62163985</v>
      </c>
      <c r="AW322" s="31">
        <v>483232.85999999993</v>
      </c>
      <c r="AX322" s="31">
        <v>229319.36</v>
      </c>
      <c r="AY322" s="31">
        <v>0</v>
      </c>
      <c r="AZ322" s="31">
        <v>1271198.0307619884</v>
      </c>
      <c r="BA322" s="31">
        <v>456254.92578582704</v>
      </c>
      <c r="BB322" s="31">
        <v>446766.40006520349</v>
      </c>
      <c r="BC322" s="31">
        <f t="shared" si="23"/>
        <v>14391665.258252868</v>
      </c>
      <c r="BD322" s="31">
        <v>382466.06</v>
      </c>
    </row>
  </sheetData>
  <autoFilter ref="A4:BJ4" xr:uid="{00000000-0009-0000-0000-00001B000000}"/>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7" tint="0.59999389629810485"/>
  </sheetPr>
  <dimension ref="A1:BF322"/>
  <sheetViews>
    <sheetView workbookViewId="0">
      <pane xSplit="2" ySplit="4" topLeftCell="AQ5"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5.21875" customWidth="1"/>
    <col min="2" max="2" width="7.21875" bestFit="1" customWidth="1"/>
    <col min="3" max="3" width="54.5546875" bestFit="1" customWidth="1"/>
    <col min="4" max="4" width="7.5546875" bestFit="1" customWidth="1"/>
    <col min="5" max="5" width="10.21875" bestFit="1" customWidth="1"/>
    <col min="6" max="7" width="18.21875" customWidth="1"/>
    <col min="8" max="10" width="14.21875" bestFit="1" customWidth="1"/>
    <col min="11" max="11" width="15.21875" bestFit="1" customWidth="1"/>
    <col min="12" max="12" width="16.77734375" bestFit="1" customWidth="1"/>
    <col min="13" max="13" width="15.21875" bestFit="1" customWidth="1"/>
    <col min="14" max="14" width="15.21875" customWidth="1"/>
    <col min="15" max="15" width="8" bestFit="1" customWidth="1"/>
    <col min="16" max="16" width="7.21875" bestFit="1" customWidth="1"/>
    <col min="17" max="17" width="54.5546875" bestFit="1" customWidth="1"/>
    <col min="18" max="18" width="7.5546875" bestFit="1" customWidth="1"/>
    <col min="19" max="19" width="10.21875" bestFit="1" customWidth="1"/>
    <col min="20" max="21" width="18.21875" customWidth="1"/>
    <col min="22" max="24" width="14.21875" bestFit="1" customWidth="1"/>
    <col min="25" max="25" width="15.21875" bestFit="1" customWidth="1"/>
    <col min="26" max="26" width="16.77734375" bestFit="1" customWidth="1"/>
    <col min="27" max="27" width="15.21875" bestFit="1" customWidth="1"/>
    <col min="28" max="28" width="15.21875" customWidth="1"/>
    <col min="29" max="29" width="8" bestFit="1" customWidth="1"/>
    <col min="30" max="30" width="7.21875" bestFit="1" customWidth="1"/>
    <col min="31" max="31" width="54.5546875" bestFit="1" customWidth="1"/>
    <col min="32" max="32" width="7.5546875" bestFit="1" customWidth="1"/>
    <col min="33" max="33" width="10.21875" bestFit="1" customWidth="1"/>
    <col min="34" max="35" width="18.21875" customWidth="1"/>
    <col min="36" max="38" width="14.21875" bestFit="1" customWidth="1"/>
    <col min="39" max="39" width="15.21875" bestFit="1" customWidth="1"/>
    <col min="40" max="40" width="16.77734375" bestFit="1" customWidth="1"/>
    <col min="41" max="41" width="15.21875" bestFit="1" customWidth="1"/>
    <col min="42" max="42" width="15.21875" customWidth="1"/>
    <col min="44" max="44" width="7.21875" bestFit="1" customWidth="1"/>
    <col min="45" max="45" width="54.5546875" bestFit="1" customWidth="1"/>
    <col min="46" max="46" width="7.5546875" bestFit="1" customWidth="1"/>
    <col min="47" max="47" width="10.21875" bestFit="1" customWidth="1"/>
    <col min="48" max="49" width="18.21875" customWidth="1"/>
    <col min="50" max="52" width="14.21875" bestFit="1" customWidth="1"/>
    <col min="53" max="53" width="15.21875" bestFit="1" customWidth="1"/>
    <col min="54" max="54" width="16.77734375" bestFit="1" customWidth="1"/>
    <col min="55" max="55" width="15.21875" bestFit="1" customWidth="1"/>
    <col min="56" max="56" width="15.21875" customWidth="1"/>
  </cols>
  <sheetData>
    <row r="1" spans="1:58" s="27" customFormat="1">
      <c r="A1" s="45"/>
      <c r="B1" s="45">
        <v>1</v>
      </c>
      <c r="C1" s="45">
        <f>B1+1</f>
        <v>2</v>
      </c>
      <c r="D1" s="45">
        <f>C1+1</f>
        <v>3</v>
      </c>
      <c r="E1" s="45">
        <f t="shared" ref="E1:N1" si="0">D1+1</f>
        <v>4</v>
      </c>
      <c r="F1" s="45">
        <f t="shared" si="0"/>
        <v>5</v>
      </c>
      <c r="G1" s="45">
        <f t="shared" si="0"/>
        <v>6</v>
      </c>
      <c r="H1" s="45">
        <f t="shared" si="0"/>
        <v>7</v>
      </c>
      <c r="I1" s="45">
        <f t="shared" si="0"/>
        <v>8</v>
      </c>
      <c r="J1" s="45">
        <f t="shared" si="0"/>
        <v>9</v>
      </c>
      <c r="K1" s="45">
        <f t="shared" si="0"/>
        <v>10</v>
      </c>
      <c r="L1" s="45">
        <f t="shared" si="0"/>
        <v>11</v>
      </c>
      <c r="M1" s="45">
        <f t="shared" si="0"/>
        <v>12</v>
      </c>
      <c r="N1" s="45">
        <f t="shared" si="0"/>
        <v>13</v>
      </c>
      <c r="O1" s="45"/>
      <c r="P1" s="45">
        <v>1</v>
      </c>
      <c r="Q1" s="45">
        <f>P1+1</f>
        <v>2</v>
      </c>
      <c r="R1" s="45">
        <f t="shared" ref="R1:AB1" si="1">Q1+1</f>
        <v>3</v>
      </c>
      <c r="S1" s="45">
        <f t="shared" si="1"/>
        <v>4</v>
      </c>
      <c r="T1" s="45">
        <f t="shared" si="1"/>
        <v>5</v>
      </c>
      <c r="U1" s="45">
        <f t="shared" si="1"/>
        <v>6</v>
      </c>
      <c r="V1" s="45">
        <f t="shared" si="1"/>
        <v>7</v>
      </c>
      <c r="W1" s="45">
        <f t="shared" si="1"/>
        <v>8</v>
      </c>
      <c r="X1" s="45">
        <f t="shared" si="1"/>
        <v>9</v>
      </c>
      <c r="Y1" s="45">
        <f t="shared" si="1"/>
        <v>10</v>
      </c>
      <c r="Z1" s="45">
        <f t="shared" si="1"/>
        <v>11</v>
      </c>
      <c r="AA1" s="45">
        <f t="shared" si="1"/>
        <v>12</v>
      </c>
      <c r="AB1" s="45">
        <f t="shared" si="1"/>
        <v>13</v>
      </c>
      <c r="AC1" s="45"/>
      <c r="AD1" s="45">
        <v>1</v>
      </c>
      <c r="AE1" s="45">
        <f>AD1+1</f>
        <v>2</v>
      </c>
      <c r="AF1" s="45">
        <f t="shared" ref="AF1:AP1" si="2">AE1+1</f>
        <v>3</v>
      </c>
      <c r="AG1" s="45">
        <f t="shared" si="2"/>
        <v>4</v>
      </c>
      <c r="AH1" s="45">
        <f t="shared" si="2"/>
        <v>5</v>
      </c>
      <c r="AI1" s="45">
        <f t="shared" si="2"/>
        <v>6</v>
      </c>
      <c r="AJ1" s="45">
        <f t="shared" si="2"/>
        <v>7</v>
      </c>
      <c r="AK1" s="45">
        <f t="shared" si="2"/>
        <v>8</v>
      </c>
      <c r="AL1" s="45">
        <f t="shared" si="2"/>
        <v>9</v>
      </c>
      <c r="AM1" s="45">
        <f t="shared" si="2"/>
        <v>10</v>
      </c>
      <c r="AN1" s="45">
        <f t="shared" si="2"/>
        <v>11</v>
      </c>
      <c r="AO1" s="45">
        <f t="shared" si="2"/>
        <v>12</v>
      </c>
      <c r="AP1" s="45">
        <f t="shared" si="2"/>
        <v>13</v>
      </c>
      <c r="AR1" s="45">
        <v>1</v>
      </c>
      <c r="AS1" s="45">
        <f>AR1+1</f>
        <v>2</v>
      </c>
      <c r="AT1" s="45">
        <f t="shared" ref="AT1:BD1" si="3">AS1+1</f>
        <v>3</v>
      </c>
      <c r="AU1" s="45">
        <f t="shared" si="3"/>
        <v>4</v>
      </c>
      <c r="AV1" s="45">
        <f t="shared" si="3"/>
        <v>5</v>
      </c>
      <c r="AW1" s="45">
        <f t="shared" si="3"/>
        <v>6</v>
      </c>
      <c r="AX1" s="45">
        <f t="shared" si="3"/>
        <v>7</v>
      </c>
      <c r="AY1" s="45">
        <f t="shared" si="3"/>
        <v>8</v>
      </c>
      <c r="AZ1" s="45">
        <f t="shared" si="3"/>
        <v>9</v>
      </c>
      <c r="BA1" s="45">
        <f t="shared" si="3"/>
        <v>10</v>
      </c>
      <c r="BB1" s="45">
        <f t="shared" si="3"/>
        <v>11</v>
      </c>
      <c r="BC1" s="45">
        <f t="shared" si="3"/>
        <v>12</v>
      </c>
      <c r="BD1" s="45">
        <f t="shared" si="3"/>
        <v>13</v>
      </c>
      <c r="BE1" s="45"/>
      <c r="BF1" s="45"/>
    </row>
    <row r="2" spans="1:58">
      <c r="B2" s="35"/>
      <c r="C2" s="35"/>
      <c r="D2" s="36"/>
      <c r="E2" s="36"/>
      <c r="K2" s="77"/>
      <c r="L2" s="77"/>
      <c r="M2" s="77"/>
      <c r="N2" s="77"/>
      <c r="P2" s="35"/>
      <c r="Q2" s="35"/>
      <c r="R2" s="36"/>
      <c r="S2" s="36"/>
      <c r="Y2" s="77"/>
      <c r="Z2" s="77"/>
      <c r="AA2" s="77"/>
      <c r="AB2" s="77"/>
      <c r="AD2" s="35"/>
      <c r="AE2" s="35"/>
      <c r="AF2" s="36"/>
      <c r="AG2" s="36"/>
      <c r="AM2" s="77"/>
      <c r="AN2" s="77"/>
      <c r="AO2" s="77"/>
      <c r="AP2" s="77"/>
      <c r="AR2" s="35"/>
      <c r="AS2" s="35"/>
      <c r="AT2" s="36"/>
      <c r="AU2" s="36"/>
      <c r="BA2" s="77"/>
      <c r="BB2" s="77"/>
      <c r="BC2" s="77"/>
      <c r="BD2" s="77"/>
    </row>
    <row r="3" spans="1:58" ht="28.2" thickBot="1">
      <c r="B3" s="32" t="s">
        <v>623</v>
      </c>
      <c r="C3" s="32" t="s">
        <v>911</v>
      </c>
      <c r="D3" s="33" t="s">
        <v>916</v>
      </c>
      <c r="E3" s="33" t="s">
        <v>917</v>
      </c>
      <c r="F3" s="34" t="s">
        <v>971</v>
      </c>
      <c r="G3" s="34" t="s">
        <v>628</v>
      </c>
      <c r="H3" s="34" t="s">
        <v>918</v>
      </c>
      <c r="I3" s="34" t="s">
        <v>626</v>
      </c>
      <c r="J3" s="34" t="s">
        <v>919</v>
      </c>
      <c r="K3" s="34" t="s">
        <v>920</v>
      </c>
      <c r="L3" s="34" t="s">
        <v>1048</v>
      </c>
      <c r="M3" s="34" t="s">
        <v>629</v>
      </c>
      <c r="N3" s="34" t="s">
        <v>1055</v>
      </c>
      <c r="P3" s="32" t="s">
        <v>623</v>
      </c>
      <c r="Q3" s="32" t="s">
        <v>911</v>
      </c>
      <c r="R3" s="33" t="s">
        <v>916</v>
      </c>
      <c r="S3" s="33" t="s">
        <v>917</v>
      </c>
      <c r="T3" s="34" t="s">
        <v>971</v>
      </c>
      <c r="U3" s="34" t="s">
        <v>628</v>
      </c>
      <c r="V3" s="34" t="s">
        <v>918</v>
      </c>
      <c r="W3" s="34" t="s">
        <v>626</v>
      </c>
      <c r="X3" s="34" t="s">
        <v>919</v>
      </c>
      <c r="Y3" s="34" t="s">
        <v>920</v>
      </c>
      <c r="Z3" s="34" t="s">
        <v>1048</v>
      </c>
      <c r="AA3" s="34" t="s">
        <v>629</v>
      </c>
      <c r="AB3" s="34" t="s">
        <v>1055</v>
      </c>
      <c r="AD3" s="32" t="s">
        <v>623</v>
      </c>
      <c r="AE3" s="32" t="s">
        <v>911</v>
      </c>
      <c r="AF3" s="33" t="s">
        <v>916</v>
      </c>
      <c r="AG3" s="33" t="s">
        <v>917</v>
      </c>
      <c r="AH3" s="34" t="s">
        <v>971</v>
      </c>
      <c r="AI3" s="34" t="s">
        <v>628</v>
      </c>
      <c r="AJ3" s="34" t="s">
        <v>918</v>
      </c>
      <c r="AK3" s="34" t="s">
        <v>626</v>
      </c>
      <c r="AL3" s="34" t="s">
        <v>919</v>
      </c>
      <c r="AM3" s="34" t="s">
        <v>920</v>
      </c>
      <c r="AN3" s="34" t="s">
        <v>1048</v>
      </c>
      <c r="AO3" s="34" t="s">
        <v>629</v>
      </c>
      <c r="AP3" s="34" t="s">
        <v>1055</v>
      </c>
      <c r="AR3" s="32" t="s">
        <v>623</v>
      </c>
      <c r="AS3" s="32" t="s">
        <v>911</v>
      </c>
      <c r="AT3" s="33" t="s">
        <v>916</v>
      </c>
      <c r="AU3" s="33" t="s">
        <v>917</v>
      </c>
      <c r="AV3" s="34" t="s">
        <v>971</v>
      </c>
      <c r="AW3" s="34" t="s">
        <v>628</v>
      </c>
      <c r="AX3" s="34" t="s">
        <v>918</v>
      </c>
      <c r="AY3" s="34" t="s">
        <v>626</v>
      </c>
      <c r="AZ3" s="34" t="s">
        <v>919</v>
      </c>
      <c r="BA3" s="34" t="s">
        <v>920</v>
      </c>
      <c r="BB3" s="34" t="s">
        <v>1048</v>
      </c>
      <c r="BC3" s="34" t="s">
        <v>629</v>
      </c>
      <c r="BD3" s="34" t="s">
        <v>1055</v>
      </c>
    </row>
    <row r="4" spans="1:58">
      <c r="B4" s="37" t="s">
        <v>627</v>
      </c>
      <c r="C4" s="38" t="s">
        <v>871</v>
      </c>
      <c r="D4" s="39" t="s">
        <v>1049</v>
      </c>
      <c r="E4" s="40">
        <v>34</v>
      </c>
      <c r="F4" s="41">
        <v>9230761835.2088699</v>
      </c>
      <c r="G4" s="41">
        <v>326698166.14000022</v>
      </c>
      <c r="H4" s="41">
        <v>216662589.81000006</v>
      </c>
      <c r="I4" s="41">
        <v>28451620.379999999</v>
      </c>
      <c r="J4" s="41">
        <v>1335776939.3022685</v>
      </c>
      <c r="K4" s="41">
        <v>590218986.73336327</v>
      </c>
      <c r="L4" s="41">
        <v>728398828.01556575</v>
      </c>
      <c r="M4" s="41">
        <f>SUM(M5:M318)</f>
        <v>12336247421.177702</v>
      </c>
      <c r="N4" s="41">
        <v>134812916.28999996</v>
      </c>
      <c r="P4" s="37" t="s">
        <v>627</v>
      </c>
      <c r="Q4" s="38" t="s">
        <v>871</v>
      </c>
      <c r="R4" s="39" t="s">
        <v>1050</v>
      </c>
      <c r="S4" s="40">
        <v>34</v>
      </c>
      <c r="T4" s="41">
        <v>10175137253.817413</v>
      </c>
      <c r="U4" s="41">
        <v>360403627.35999984</v>
      </c>
      <c r="V4" s="41">
        <v>230138425.35000017</v>
      </c>
      <c r="W4" s="41">
        <v>31127546.989999991</v>
      </c>
      <c r="X4" s="41">
        <v>1412439189.7077157</v>
      </c>
      <c r="Y4" s="41">
        <v>591512069.31925452</v>
      </c>
      <c r="Z4" s="41">
        <v>775096155.27584517</v>
      </c>
      <c r="AA4" s="41">
        <f>SUM(AA5:AA318)</f>
        <v>13438982359.212149</v>
      </c>
      <c r="AB4" s="41">
        <v>141109843.76999995</v>
      </c>
      <c r="AD4" s="37" t="s">
        <v>627</v>
      </c>
      <c r="AE4" s="38" t="s">
        <v>871</v>
      </c>
      <c r="AF4" s="39" t="s">
        <v>1275</v>
      </c>
      <c r="AG4" s="40">
        <v>34</v>
      </c>
      <c r="AH4" s="41">
        <v>10448896573.169655</v>
      </c>
      <c r="AI4" s="41">
        <v>368668838.66999984</v>
      </c>
      <c r="AJ4" s="41">
        <v>234194255.45999992</v>
      </c>
      <c r="AK4" s="41">
        <v>31932685.349999979</v>
      </c>
      <c r="AL4" s="41">
        <v>1438127574.0380967</v>
      </c>
      <c r="AM4" s="41">
        <v>590514102.67718017</v>
      </c>
      <c r="AN4" s="41">
        <v>788832559.59460402</v>
      </c>
      <c r="AO4" s="41">
        <f>SUM(AO5:AO318)</f>
        <v>13761535069.309628</v>
      </c>
      <c r="AP4" s="41">
        <v>143620796.26999995</v>
      </c>
      <c r="AR4" s="37" t="s">
        <v>627</v>
      </c>
      <c r="AS4" s="38" t="s">
        <v>871</v>
      </c>
      <c r="AT4" s="39" t="s">
        <v>1276</v>
      </c>
      <c r="AU4" s="40">
        <v>34</v>
      </c>
      <c r="AV4" s="41">
        <v>10694883020.725266</v>
      </c>
      <c r="AW4" s="41">
        <v>376258502.66999996</v>
      </c>
      <c r="AX4" s="41">
        <v>238538049.33999997</v>
      </c>
      <c r="AY4" s="41">
        <v>32629371.919999987</v>
      </c>
      <c r="AZ4" s="41">
        <v>1466447323.8690131</v>
      </c>
      <c r="BA4" s="41">
        <v>590542616.00981128</v>
      </c>
      <c r="BB4" s="41">
        <v>803543815.49647415</v>
      </c>
      <c r="BC4" s="41">
        <f>SUM(BC5:BC318)</f>
        <v>14060265825.286169</v>
      </c>
      <c r="BD4" s="41">
        <v>146310026.52000007</v>
      </c>
    </row>
    <row r="5" spans="1:58">
      <c r="B5" s="42" t="s">
        <v>141</v>
      </c>
      <c r="C5" s="42" t="s">
        <v>142</v>
      </c>
      <c r="D5" s="43" t="s">
        <v>1049</v>
      </c>
      <c r="E5" s="44">
        <v>34</v>
      </c>
      <c r="F5" s="31">
        <v>24093043.616767928</v>
      </c>
      <c r="G5" s="31">
        <v>1407852.5799999996</v>
      </c>
      <c r="H5" s="31">
        <v>637372.91</v>
      </c>
      <c r="I5" s="31">
        <v>87406.13</v>
      </c>
      <c r="J5" s="31">
        <v>4058166.9319256772</v>
      </c>
      <c r="K5" s="31">
        <v>1174309.784083107</v>
      </c>
      <c r="L5" s="31">
        <v>3097255.8582306374</v>
      </c>
      <c r="M5" s="31">
        <f t="shared" ref="M5:M68" si="4">SUM(F5:L5,N5)</f>
        <v>35450321.851007342</v>
      </c>
      <c r="N5" s="31">
        <v>894914.04</v>
      </c>
      <c r="P5" s="42" t="s">
        <v>141</v>
      </c>
      <c r="Q5" s="42" t="s">
        <v>142</v>
      </c>
      <c r="R5" s="43" t="s">
        <v>1050</v>
      </c>
      <c r="S5" s="44">
        <v>34</v>
      </c>
      <c r="T5" s="31">
        <v>26088529.334306933</v>
      </c>
      <c r="U5" s="31">
        <v>1528947.1700000004</v>
      </c>
      <c r="V5" s="31">
        <v>678744.23999999987</v>
      </c>
      <c r="W5" s="31">
        <v>94013.510000000009</v>
      </c>
      <c r="X5" s="31">
        <v>4283059.8676583553</v>
      </c>
      <c r="Y5" s="31">
        <v>1176568.0563801352</v>
      </c>
      <c r="Z5" s="31">
        <v>3319139.8773795781</v>
      </c>
      <c r="AA5" s="31">
        <f t="shared" ref="AA5:AA68" si="5">SUM(T5:Z5,AB5)</f>
        <v>38107130.895725012</v>
      </c>
      <c r="AB5" s="31">
        <v>938128.84</v>
      </c>
      <c r="AD5" s="42" t="s">
        <v>141</v>
      </c>
      <c r="AE5" s="42" t="s">
        <v>142</v>
      </c>
      <c r="AF5" s="43" t="s">
        <v>1275</v>
      </c>
      <c r="AG5" s="44">
        <v>34</v>
      </c>
      <c r="AH5" s="31">
        <v>26683023.631050237</v>
      </c>
      <c r="AI5" s="31">
        <v>1555381.4699999997</v>
      </c>
      <c r="AJ5" s="31">
        <v>690578.03999999992</v>
      </c>
      <c r="AK5" s="31">
        <v>95652.62000000001</v>
      </c>
      <c r="AL5" s="31">
        <v>4376865.005288275</v>
      </c>
      <c r="AM5" s="31">
        <v>1174852.3785043354</v>
      </c>
      <c r="AN5" s="31">
        <v>3377532.4702268364</v>
      </c>
      <c r="AO5" s="31">
        <f t="shared" ref="AO5:AO68" si="6">SUM(AH5:AN5,AP5)</f>
        <v>38908593.235069685</v>
      </c>
      <c r="AP5" s="31">
        <v>954707.62</v>
      </c>
      <c r="AR5" s="42" t="s">
        <v>141</v>
      </c>
      <c r="AS5" s="42" t="s">
        <v>142</v>
      </c>
      <c r="AT5" s="43" t="s">
        <v>1276</v>
      </c>
      <c r="AU5" s="44">
        <v>34</v>
      </c>
      <c r="AV5" s="31">
        <v>27360396.726055697</v>
      </c>
      <c r="AW5" s="31">
        <v>1583692.6100000006</v>
      </c>
      <c r="AX5" s="31">
        <v>703252.03999999992</v>
      </c>
      <c r="AY5" s="31">
        <v>97408.11</v>
      </c>
      <c r="AZ5" s="31">
        <v>4482723.5031139934</v>
      </c>
      <c r="BA5" s="31">
        <v>1174901.3978722154</v>
      </c>
      <c r="BB5" s="31">
        <v>3440068.9793156488</v>
      </c>
      <c r="BC5" s="31">
        <f t="shared" ref="BC5:BC68" si="7">SUM(AV5:BB5,BD5)</f>
        <v>39814906.856357552</v>
      </c>
      <c r="BD5" s="31">
        <v>972463.49</v>
      </c>
    </row>
    <row r="6" spans="1:58">
      <c r="B6" s="42" t="s">
        <v>279</v>
      </c>
      <c r="C6" s="42" t="s">
        <v>280</v>
      </c>
      <c r="D6" s="43" t="s">
        <v>1049</v>
      </c>
      <c r="E6" s="44">
        <v>34</v>
      </c>
      <c r="F6" s="31">
        <v>5272220.1589501528</v>
      </c>
      <c r="G6" s="31">
        <v>106430.69999999998</v>
      </c>
      <c r="H6" s="31">
        <v>0</v>
      </c>
      <c r="I6" s="31">
        <v>17856.14</v>
      </c>
      <c r="J6" s="31">
        <v>679387.56522808468</v>
      </c>
      <c r="K6" s="31">
        <v>350110.06392341462</v>
      </c>
      <c r="L6" s="31">
        <v>463065.29464732751</v>
      </c>
      <c r="M6" s="31">
        <f t="shared" si="4"/>
        <v>6889069.9227489801</v>
      </c>
      <c r="N6" s="31">
        <v>0</v>
      </c>
      <c r="P6" s="42" t="s">
        <v>279</v>
      </c>
      <c r="Q6" s="42" t="s">
        <v>280</v>
      </c>
      <c r="R6" s="43" t="s">
        <v>1050</v>
      </c>
      <c r="S6" s="44">
        <v>34</v>
      </c>
      <c r="T6" s="31">
        <v>5515138.9198100138</v>
      </c>
      <c r="U6" s="31">
        <v>112343.86</v>
      </c>
      <c r="V6" s="31">
        <v>0</v>
      </c>
      <c r="W6" s="31">
        <v>18902.98</v>
      </c>
      <c r="X6" s="31">
        <v>715987.66212425544</v>
      </c>
      <c r="Y6" s="31">
        <v>351110.80267680075</v>
      </c>
      <c r="Z6" s="31">
        <v>491486.20360239508</v>
      </c>
      <c r="AA6" s="31">
        <f t="shared" si="5"/>
        <v>7204970.428213466</v>
      </c>
      <c r="AB6" s="31">
        <v>0</v>
      </c>
      <c r="AD6" s="42" t="s">
        <v>279</v>
      </c>
      <c r="AE6" s="42" t="s">
        <v>280</v>
      </c>
      <c r="AF6" s="43" t="s">
        <v>1275</v>
      </c>
      <c r="AG6" s="44">
        <v>34</v>
      </c>
      <c r="AH6" s="31">
        <v>5548048.4868587293</v>
      </c>
      <c r="AI6" s="31">
        <v>113656.23999999999</v>
      </c>
      <c r="AJ6" s="31">
        <v>0</v>
      </c>
      <c r="AK6" s="31">
        <v>19124.849999999995</v>
      </c>
      <c r="AL6" s="31">
        <v>732432.17132739222</v>
      </c>
      <c r="AM6" s="31">
        <v>350350.51112963009</v>
      </c>
      <c r="AN6" s="31">
        <v>500158.39438642212</v>
      </c>
      <c r="AO6" s="31">
        <f t="shared" si="6"/>
        <v>7263770.6537021734</v>
      </c>
      <c r="AP6" s="31">
        <v>0</v>
      </c>
      <c r="AR6" s="42" t="s">
        <v>279</v>
      </c>
      <c r="AS6" s="42" t="s">
        <v>280</v>
      </c>
      <c r="AT6" s="43" t="s">
        <v>1276</v>
      </c>
      <c r="AU6" s="44">
        <v>34</v>
      </c>
      <c r="AV6" s="31">
        <v>5530409.3325071968</v>
      </c>
      <c r="AW6" s="31">
        <v>111077.36</v>
      </c>
      <c r="AX6" s="31">
        <v>0</v>
      </c>
      <c r="AY6" s="31">
        <v>18698.39</v>
      </c>
      <c r="AZ6" s="31">
        <v>745977.2646898157</v>
      </c>
      <c r="BA6" s="31">
        <v>350372.23374526348</v>
      </c>
      <c r="BB6" s="31">
        <v>509446.02171651507</v>
      </c>
      <c r="BC6" s="31">
        <f t="shared" si="7"/>
        <v>7265980.6026587915</v>
      </c>
      <c r="BD6" s="31">
        <v>0</v>
      </c>
    </row>
    <row r="7" spans="1:58">
      <c r="B7" s="42" t="s">
        <v>301</v>
      </c>
      <c r="C7" s="42" t="s">
        <v>302</v>
      </c>
      <c r="D7" s="43" t="s">
        <v>1049</v>
      </c>
      <c r="E7" s="44">
        <v>34</v>
      </c>
      <c r="F7" s="31">
        <v>2075727.5904541076</v>
      </c>
      <c r="G7" s="31">
        <v>23303.780000000002</v>
      </c>
      <c r="H7" s="31">
        <v>0</v>
      </c>
      <c r="I7" s="31">
        <v>0</v>
      </c>
      <c r="J7" s="31">
        <v>82898.691177076049</v>
      </c>
      <c r="K7" s="31">
        <v>178371.18282314594</v>
      </c>
      <c r="L7" s="31">
        <v>30424.361647055375</v>
      </c>
      <c r="M7" s="31">
        <f t="shared" si="4"/>
        <v>2390725.6061013849</v>
      </c>
      <c r="N7" s="31">
        <v>0</v>
      </c>
      <c r="P7" s="42" t="s">
        <v>301</v>
      </c>
      <c r="Q7" s="42" t="s">
        <v>302</v>
      </c>
      <c r="R7" s="43" t="s">
        <v>1050</v>
      </c>
      <c r="S7" s="44">
        <v>34</v>
      </c>
      <c r="T7" s="31">
        <v>2113969.9250733126</v>
      </c>
      <c r="U7" s="31">
        <v>23413.930000000004</v>
      </c>
      <c r="V7" s="31">
        <v>0</v>
      </c>
      <c r="W7" s="31">
        <v>0</v>
      </c>
      <c r="X7" s="31">
        <v>85625.997050485312</v>
      </c>
      <c r="Y7" s="31">
        <v>178710.03051266167</v>
      </c>
      <c r="Z7" s="31">
        <v>32291.255966221092</v>
      </c>
      <c r="AA7" s="31">
        <f t="shared" si="5"/>
        <v>2434011.1386026805</v>
      </c>
      <c r="AB7" s="31">
        <v>0</v>
      </c>
      <c r="AD7" s="42" t="s">
        <v>301</v>
      </c>
      <c r="AE7" s="42" t="s">
        <v>302</v>
      </c>
      <c r="AF7" s="43" t="s">
        <v>1275</v>
      </c>
      <c r="AG7" s="44">
        <v>34</v>
      </c>
      <c r="AH7" s="31">
        <v>2104853.2811378678</v>
      </c>
      <c r="AI7" s="31">
        <v>23386.949999999997</v>
      </c>
      <c r="AJ7" s="31">
        <v>0</v>
      </c>
      <c r="AK7" s="31">
        <v>0</v>
      </c>
      <c r="AL7" s="31">
        <v>85891.332098180079</v>
      </c>
      <c r="AM7" s="31">
        <v>178452.59765793767</v>
      </c>
      <c r="AN7" s="31">
        <v>32860.947282897512</v>
      </c>
      <c r="AO7" s="31">
        <f t="shared" si="6"/>
        <v>2425445.1081768828</v>
      </c>
      <c r="AP7" s="31">
        <v>0</v>
      </c>
      <c r="AR7" s="42" t="s">
        <v>301</v>
      </c>
      <c r="AS7" s="42" t="s">
        <v>302</v>
      </c>
      <c r="AT7" s="43" t="s">
        <v>1276</v>
      </c>
      <c r="AU7" s="44">
        <v>34</v>
      </c>
      <c r="AV7" s="31">
        <v>2133865.2066555335</v>
      </c>
      <c r="AW7" s="31">
        <v>24040.790000000005</v>
      </c>
      <c r="AX7" s="31">
        <v>0</v>
      </c>
      <c r="AY7" s="31">
        <v>0</v>
      </c>
      <c r="AZ7" s="31">
        <v>86263.148696778546</v>
      </c>
      <c r="BA7" s="31">
        <v>178459.95288235837</v>
      </c>
      <c r="BB7" s="31">
        <v>33471.067665457951</v>
      </c>
      <c r="BC7" s="31">
        <f t="shared" si="7"/>
        <v>2456100.165900128</v>
      </c>
      <c r="BD7" s="31">
        <v>0</v>
      </c>
    </row>
    <row r="8" spans="1:58">
      <c r="B8" s="42" t="s">
        <v>407</v>
      </c>
      <c r="C8" s="42" t="s">
        <v>408</v>
      </c>
      <c r="D8" s="43" t="s">
        <v>1049</v>
      </c>
      <c r="E8" s="44">
        <v>34</v>
      </c>
      <c r="F8" s="31">
        <v>22427530.43284009</v>
      </c>
      <c r="G8" s="31">
        <v>501412.21</v>
      </c>
      <c r="H8" s="31">
        <v>90195.99000000002</v>
      </c>
      <c r="I8" s="31">
        <v>77911.25</v>
      </c>
      <c r="J8" s="31">
        <v>3030597.5501745851</v>
      </c>
      <c r="K8" s="31">
        <v>1043096.536471059</v>
      </c>
      <c r="L8" s="31">
        <v>1145673.3317024559</v>
      </c>
      <c r="M8" s="31">
        <f t="shared" si="4"/>
        <v>28334413.401188191</v>
      </c>
      <c r="N8" s="31">
        <v>17996.100000000002</v>
      </c>
      <c r="P8" s="42" t="s">
        <v>407</v>
      </c>
      <c r="Q8" s="42" t="s">
        <v>408</v>
      </c>
      <c r="R8" s="43" t="s">
        <v>1050</v>
      </c>
      <c r="S8" s="44">
        <v>34</v>
      </c>
      <c r="T8" s="31">
        <v>23702851.063677389</v>
      </c>
      <c r="U8" s="31">
        <v>534084.69000000006</v>
      </c>
      <c r="V8" s="31">
        <v>95982.63</v>
      </c>
      <c r="W8" s="31">
        <v>82909.739999999991</v>
      </c>
      <c r="X8" s="31">
        <v>3186831.326850621</v>
      </c>
      <c r="Y8" s="31">
        <v>1045013.1358518916</v>
      </c>
      <c r="Z8" s="31">
        <v>1215649.1053708333</v>
      </c>
      <c r="AA8" s="31">
        <f t="shared" si="5"/>
        <v>29882197.901750736</v>
      </c>
      <c r="AB8" s="31">
        <v>18876.210000000003</v>
      </c>
      <c r="AD8" s="42" t="s">
        <v>407</v>
      </c>
      <c r="AE8" s="42" t="s">
        <v>408</v>
      </c>
      <c r="AF8" s="43" t="s">
        <v>1275</v>
      </c>
      <c r="AG8" s="44">
        <v>34</v>
      </c>
      <c r="AH8" s="31">
        <v>24071182.575272568</v>
      </c>
      <c r="AI8" s="31">
        <v>542350.74</v>
      </c>
      <c r="AJ8" s="31">
        <v>97678.63</v>
      </c>
      <c r="AK8" s="31">
        <v>84258.02</v>
      </c>
      <c r="AL8" s="31">
        <v>3241628.8397281016</v>
      </c>
      <c r="AM8" s="31">
        <v>1043526.1522712871</v>
      </c>
      <c r="AN8" s="31">
        <v>1237253.128328949</v>
      </c>
      <c r="AO8" s="31">
        <f t="shared" si="6"/>
        <v>30337091.925600901</v>
      </c>
      <c r="AP8" s="31">
        <v>19213.84</v>
      </c>
      <c r="AR8" s="42" t="s">
        <v>407</v>
      </c>
      <c r="AS8" s="42" t="s">
        <v>408</v>
      </c>
      <c r="AT8" s="43" t="s">
        <v>1276</v>
      </c>
      <c r="AU8" s="44">
        <v>34</v>
      </c>
      <c r="AV8" s="31">
        <v>24396313.440413278</v>
      </c>
      <c r="AW8" s="31">
        <v>549103.45000000007</v>
      </c>
      <c r="AX8" s="31">
        <v>99495.040000000008</v>
      </c>
      <c r="AY8" s="31">
        <v>85230.51</v>
      </c>
      <c r="AZ8" s="31">
        <v>3304512.6668648408</v>
      </c>
      <c r="BA8" s="31">
        <v>1043568.6375164471</v>
      </c>
      <c r="BB8" s="31">
        <v>1260390.3642826902</v>
      </c>
      <c r="BC8" s="31">
        <f t="shared" si="7"/>
        <v>30758189.569077257</v>
      </c>
      <c r="BD8" s="31">
        <v>19575.460000000003</v>
      </c>
    </row>
    <row r="9" spans="1:58">
      <c r="B9" s="42" t="s">
        <v>431</v>
      </c>
      <c r="C9" s="42" t="s">
        <v>432</v>
      </c>
      <c r="D9" s="43" t="s">
        <v>1049</v>
      </c>
      <c r="E9" s="44">
        <v>34</v>
      </c>
      <c r="F9" s="31">
        <v>47764717.996696949</v>
      </c>
      <c r="G9" s="31">
        <v>1253229.7000000002</v>
      </c>
      <c r="H9" s="31">
        <v>504183.07999999996</v>
      </c>
      <c r="I9" s="31">
        <v>171471.17</v>
      </c>
      <c r="J9" s="31">
        <v>7576316.1276263483</v>
      </c>
      <c r="K9" s="31">
        <v>3610176.8081120225</v>
      </c>
      <c r="L9" s="31">
        <v>3749072.543494808</v>
      </c>
      <c r="M9" s="31">
        <f t="shared" si="4"/>
        <v>64629167.425930128</v>
      </c>
      <c r="N9" s="31">
        <v>0</v>
      </c>
      <c r="P9" s="42" t="s">
        <v>431</v>
      </c>
      <c r="Q9" s="42" t="s">
        <v>432</v>
      </c>
      <c r="R9" s="43" t="s">
        <v>1050</v>
      </c>
      <c r="S9" s="44">
        <v>34</v>
      </c>
      <c r="T9" s="31">
        <v>53490463.323001653</v>
      </c>
      <c r="U9" s="31">
        <v>1388153.35</v>
      </c>
      <c r="V9" s="31">
        <v>532297.64</v>
      </c>
      <c r="W9" s="31">
        <v>189837.94000000003</v>
      </c>
      <c r="X9" s="31">
        <v>8017197.3407722022</v>
      </c>
      <c r="Y9" s="31">
        <v>3616783.5671434086</v>
      </c>
      <c r="Z9" s="31">
        <v>3952319.464851846</v>
      </c>
      <c r="AA9" s="31">
        <f t="shared" si="5"/>
        <v>71187052.625769109</v>
      </c>
      <c r="AB9" s="31">
        <v>0</v>
      </c>
      <c r="AD9" s="42" t="s">
        <v>431</v>
      </c>
      <c r="AE9" s="42" t="s">
        <v>432</v>
      </c>
      <c r="AF9" s="43" t="s">
        <v>1275</v>
      </c>
      <c r="AG9" s="44">
        <v>34</v>
      </c>
      <c r="AH9" s="31">
        <v>55759194.398129813</v>
      </c>
      <c r="AI9" s="31">
        <v>1441190.4300000002</v>
      </c>
      <c r="AJ9" s="31">
        <v>541730.85</v>
      </c>
      <c r="AK9" s="31">
        <v>197145.11000000002</v>
      </c>
      <c r="AL9" s="31">
        <v>8176958.0395043306</v>
      </c>
      <c r="AM9" s="31">
        <v>3611628.9382815086</v>
      </c>
      <c r="AN9" s="31">
        <v>4022714.8595096371</v>
      </c>
      <c r="AO9" s="31">
        <f t="shared" si="6"/>
        <v>73750562.625425279</v>
      </c>
      <c r="AP9" s="31">
        <v>0</v>
      </c>
      <c r="AR9" s="42" t="s">
        <v>431</v>
      </c>
      <c r="AS9" s="42" t="s">
        <v>432</v>
      </c>
      <c r="AT9" s="43" t="s">
        <v>1276</v>
      </c>
      <c r="AU9" s="44">
        <v>34</v>
      </c>
      <c r="AV9" s="31">
        <v>57486405.960953444</v>
      </c>
      <c r="AW9" s="31">
        <v>1482429.5999999999</v>
      </c>
      <c r="AX9" s="31">
        <v>551833.81000000006</v>
      </c>
      <c r="AY9" s="31">
        <v>202769.11000000002</v>
      </c>
      <c r="AZ9" s="31">
        <v>8339351.5226108739</v>
      </c>
      <c r="BA9" s="31">
        <v>3611776.2133918488</v>
      </c>
      <c r="BB9" s="31">
        <v>4098106.1821613312</v>
      </c>
      <c r="BC9" s="31">
        <f t="shared" si="7"/>
        <v>75772672.399117514</v>
      </c>
      <c r="BD9" s="31">
        <v>0</v>
      </c>
    </row>
    <row r="10" spans="1:58">
      <c r="B10" s="42" t="s">
        <v>15</v>
      </c>
      <c r="C10" s="42" t="s">
        <v>16</v>
      </c>
      <c r="D10" s="43" t="s">
        <v>1049</v>
      </c>
      <c r="E10" s="44">
        <v>34</v>
      </c>
      <c r="F10" s="31">
        <v>5409384.3150998112</v>
      </c>
      <c r="G10" s="31">
        <v>118100.58</v>
      </c>
      <c r="H10" s="31">
        <v>0</v>
      </c>
      <c r="I10" s="31">
        <v>17052.489999999998</v>
      </c>
      <c r="J10" s="31">
        <v>744226.44108178397</v>
      </c>
      <c r="K10" s="31">
        <v>280331.01026898378</v>
      </c>
      <c r="L10" s="31">
        <v>432894.90237023687</v>
      </c>
      <c r="M10" s="31">
        <f t="shared" si="4"/>
        <v>7001989.7388208155</v>
      </c>
      <c r="N10" s="31">
        <v>0</v>
      </c>
      <c r="P10" s="42" t="s">
        <v>15</v>
      </c>
      <c r="Q10" s="42" t="s">
        <v>16</v>
      </c>
      <c r="R10" s="43" t="s">
        <v>1050</v>
      </c>
      <c r="S10" s="44">
        <v>34</v>
      </c>
      <c r="T10" s="31">
        <v>6050646.0335976249</v>
      </c>
      <c r="U10" s="31">
        <v>134275.34</v>
      </c>
      <c r="V10" s="31">
        <v>0</v>
      </c>
      <c r="W10" s="31">
        <v>19300.780000000002</v>
      </c>
      <c r="X10" s="31">
        <v>791318.43205148738</v>
      </c>
      <c r="Y10" s="31">
        <v>281238.89221398369</v>
      </c>
      <c r="Z10" s="31">
        <v>459503.42463974189</v>
      </c>
      <c r="AA10" s="31">
        <f t="shared" si="5"/>
        <v>7736282.9025028376</v>
      </c>
      <c r="AB10" s="31">
        <v>0</v>
      </c>
      <c r="AD10" s="42" t="s">
        <v>15</v>
      </c>
      <c r="AE10" s="42" t="s">
        <v>16</v>
      </c>
      <c r="AF10" s="43" t="s">
        <v>1275</v>
      </c>
      <c r="AG10" s="44">
        <v>34</v>
      </c>
      <c r="AH10" s="31">
        <v>6511193.480517365</v>
      </c>
      <c r="AI10" s="31">
        <v>142317.56</v>
      </c>
      <c r="AJ10" s="31">
        <v>0</v>
      </c>
      <c r="AK10" s="31">
        <v>20481.91</v>
      </c>
      <c r="AL10" s="31">
        <v>816414.63024194632</v>
      </c>
      <c r="AM10" s="31">
        <v>280549.14679713367</v>
      </c>
      <c r="AN10" s="31">
        <v>467588.88334301359</v>
      </c>
      <c r="AO10" s="31">
        <f t="shared" si="6"/>
        <v>8238545.6108994586</v>
      </c>
      <c r="AP10" s="31">
        <v>0</v>
      </c>
      <c r="AR10" s="42" t="s">
        <v>15</v>
      </c>
      <c r="AS10" s="42" t="s">
        <v>16</v>
      </c>
      <c r="AT10" s="43" t="s">
        <v>1276</v>
      </c>
      <c r="AU10" s="44">
        <v>34</v>
      </c>
      <c r="AV10" s="31">
        <v>7053504.3079263344</v>
      </c>
      <c r="AW10" s="31">
        <v>153745.65999999997</v>
      </c>
      <c r="AX10" s="31">
        <v>0</v>
      </c>
      <c r="AY10" s="31">
        <v>22147.98</v>
      </c>
      <c r="AZ10" s="31">
        <v>835937.08877658902</v>
      </c>
      <c r="BA10" s="31">
        <v>280568.85380904365</v>
      </c>
      <c r="BB10" s="31">
        <v>476248.13368921739</v>
      </c>
      <c r="BC10" s="31">
        <f t="shared" si="7"/>
        <v>8822152.0242011864</v>
      </c>
      <c r="BD10" s="31">
        <v>0</v>
      </c>
    </row>
    <row r="11" spans="1:58">
      <c r="B11" s="42" t="s">
        <v>205</v>
      </c>
      <c r="C11" s="42" t="s">
        <v>206</v>
      </c>
      <c r="D11" s="43" t="s">
        <v>1049</v>
      </c>
      <c r="E11" s="44">
        <v>34</v>
      </c>
      <c r="F11" s="31">
        <v>152613269.73470962</v>
      </c>
      <c r="G11" s="31">
        <v>6783230.8200000003</v>
      </c>
      <c r="H11" s="31">
        <v>6921230.669999999</v>
      </c>
      <c r="I11" s="31">
        <v>537320.85</v>
      </c>
      <c r="J11" s="31">
        <v>18959632.789758548</v>
      </c>
      <c r="K11" s="31">
        <v>8948766.3267089985</v>
      </c>
      <c r="L11" s="31">
        <v>9643539.791825952</v>
      </c>
      <c r="M11" s="31">
        <f t="shared" si="4"/>
        <v>207998322.50300312</v>
      </c>
      <c r="N11" s="31">
        <v>3591331.52</v>
      </c>
      <c r="P11" s="42" t="s">
        <v>205</v>
      </c>
      <c r="Q11" s="42" t="s">
        <v>206</v>
      </c>
      <c r="R11" s="43" t="s">
        <v>1050</v>
      </c>
      <c r="S11" s="44">
        <v>34</v>
      </c>
      <c r="T11" s="31">
        <v>167432359.23852533</v>
      </c>
      <c r="U11" s="31">
        <v>7412220.080000001</v>
      </c>
      <c r="V11" s="31">
        <v>7307176.25</v>
      </c>
      <c r="W11" s="31">
        <v>582897.60000000009</v>
      </c>
      <c r="X11" s="31">
        <v>19917110.303297933</v>
      </c>
      <c r="Y11" s="31">
        <v>8969231.8650351949</v>
      </c>
      <c r="Z11" s="31">
        <v>10266650.343700835</v>
      </c>
      <c r="AA11" s="31">
        <f t="shared" si="5"/>
        <v>225625969.24055931</v>
      </c>
      <c r="AB11" s="31">
        <v>3738323.5599999996</v>
      </c>
      <c r="AD11" s="42" t="s">
        <v>205</v>
      </c>
      <c r="AE11" s="42" t="s">
        <v>206</v>
      </c>
      <c r="AF11" s="43" t="s">
        <v>1275</v>
      </c>
      <c r="AG11" s="44">
        <v>34</v>
      </c>
      <c r="AH11" s="31">
        <v>172221969.50894073</v>
      </c>
      <c r="AI11" s="31">
        <v>7616501.6300000008</v>
      </c>
      <c r="AJ11" s="31">
        <v>7436671.6799999997</v>
      </c>
      <c r="AK11" s="31">
        <v>599082.15000000014</v>
      </c>
      <c r="AL11" s="31">
        <v>20270811.54727713</v>
      </c>
      <c r="AM11" s="31">
        <v>8953264.542172445</v>
      </c>
      <c r="AN11" s="31">
        <v>10449498.368582105</v>
      </c>
      <c r="AO11" s="31">
        <f t="shared" si="6"/>
        <v>231353168.08697239</v>
      </c>
      <c r="AP11" s="31">
        <v>3805368.66</v>
      </c>
      <c r="AR11" s="42" t="s">
        <v>205</v>
      </c>
      <c r="AS11" s="42" t="s">
        <v>206</v>
      </c>
      <c r="AT11" s="43" t="s">
        <v>1276</v>
      </c>
      <c r="AU11" s="44">
        <v>34</v>
      </c>
      <c r="AV11" s="31">
        <v>177231893.27560687</v>
      </c>
      <c r="AW11" s="31">
        <v>7830733.6399999997</v>
      </c>
      <c r="AX11" s="31">
        <v>7575361.2699999996</v>
      </c>
      <c r="AY11" s="31">
        <v>616096.76000000013</v>
      </c>
      <c r="AZ11" s="31">
        <v>20649125.631297853</v>
      </c>
      <c r="BA11" s="31">
        <v>8953720.7513970956</v>
      </c>
      <c r="BB11" s="31">
        <v>10645323.085635545</v>
      </c>
      <c r="BC11" s="31">
        <f t="shared" si="7"/>
        <v>237379428.38393736</v>
      </c>
      <c r="BD11" s="31">
        <v>3877173.9699999997</v>
      </c>
    </row>
    <row r="12" spans="1:58">
      <c r="B12" s="42" t="s">
        <v>229</v>
      </c>
      <c r="C12" s="42" t="s">
        <v>230</v>
      </c>
      <c r="D12" s="43" t="s">
        <v>1049</v>
      </c>
      <c r="E12" s="44">
        <v>34</v>
      </c>
      <c r="F12" s="31">
        <v>31652438.34856236</v>
      </c>
      <c r="G12" s="31">
        <v>181349.87999999998</v>
      </c>
      <c r="H12" s="31">
        <v>72833.55</v>
      </c>
      <c r="I12" s="31">
        <v>116985.36</v>
      </c>
      <c r="J12" s="31">
        <v>4428634.9932812192</v>
      </c>
      <c r="K12" s="31">
        <v>1437654.570036853</v>
      </c>
      <c r="L12" s="31">
        <v>3258762.0203841329</v>
      </c>
      <c r="M12" s="31">
        <f t="shared" si="4"/>
        <v>41148658.722264566</v>
      </c>
      <c r="N12" s="31">
        <v>0</v>
      </c>
      <c r="P12" s="42" t="s">
        <v>229</v>
      </c>
      <c r="Q12" s="42" t="s">
        <v>230</v>
      </c>
      <c r="R12" s="43" t="s">
        <v>1050</v>
      </c>
      <c r="S12" s="44">
        <v>34</v>
      </c>
      <c r="T12" s="31">
        <v>31796985.745549027</v>
      </c>
      <c r="U12" s="31">
        <v>183075.18000000002</v>
      </c>
      <c r="V12" s="31">
        <v>77482.59</v>
      </c>
      <c r="W12" s="31">
        <v>118085.89</v>
      </c>
      <c r="X12" s="31">
        <v>4691783.9202561509</v>
      </c>
      <c r="Y12" s="31">
        <v>1440012.8341925896</v>
      </c>
      <c r="Z12" s="31">
        <v>3457239.9193348759</v>
      </c>
      <c r="AA12" s="31">
        <f t="shared" si="5"/>
        <v>41764666.079332642</v>
      </c>
      <c r="AB12" s="31">
        <v>0</v>
      </c>
      <c r="AD12" s="42" t="s">
        <v>229</v>
      </c>
      <c r="AE12" s="42" t="s">
        <v>230</v>
      </c>
      <c r="AF12" s="43" t="s">
        <v>1275</v>
      </c>
      <c r="AG12" s="44">
        <v>34</v>
      </c>
      <c r="AH12" s="31">
        <v>31789705.288978919</v>
      </c>
      <c r="AI12" s="31">
        <v>182905.29</v>
      </c>
      <c r="AJ12" s="31">
        <v>78859.549999999988</v>
      </c>
      <c r="AK12" s="31">
        <v>117983.68999999999</v>
      </c>
      <c r="AL12" s="31">
        <v>4784386.1303542033</v>
      </c>
      <c r="AM12" s="31">
        <v>1438166.037496886</v>
      </c>
      <c r="AN12" s="31">
        <v>3518949.0218070368</v>
      </c>
      <c r="AO12" s="31">
        <f t="shared" si="6"/>
        <v>41910955.008637048</v>
      </c>
      <c r="AP12" s="31">
        <v>0</v>
      </c>
      <c r="AR12" s="42" t="s">
        <v>229</v>
      </c>
      <c r="AS12" s="42" t="s">
        <v>230</v>
      </c>
      <c r="AT12" s="43" t="s">
        <v>1276</v>
      </c>
      <c r="AU12" s="44">
        <v>34</v>
      </c>
      <c r="AV12" s="31">
        <v>31899374.560646448</v>
      </c>
      <c r="AW12" s="31">
        <v>183087.44</v>
      </c>
      <c r="AX12" s="31">
        <v>80334.27</v>
      </c>
      <c r="AY12" s="31">
        <v>118072.70999999999</v>
      </c>
      <c r="AZ12" s="31">
        <v>4890070.7713752044</v>
      </c>
      <c r="BA12" s="31">
        <v>1438218.8031167632</v>
      </c>
      <c r="BB12" s="31">
        <v>3585037.6294699199</v>
      </c>
      <c r="BC12" s="31">
        <f t="shared" si="7"/>
        <v>42194196.18460834</v>
      </c>
      <c r="BD12" s="31">
        <v>0</v>
      </c>
    </row>
    <row r="13" spans="1:58">
      <c r="B13" s="42" t="s">
        <v>69</v>
      </c>
      <c r="C13" s="42" t="s">
        <v>70</v>
      </c>
      <c r="D13" s="43" t="s">
        <v>1049</v>
      </c>
      <c r="E13" s="44">
        <v>34</v>
      </c>
      <c r="F13" s="31">
        <v>97202896.090791419</v>
      </c>
      <c r="G13" s="31">
        <v>2646410.7200000002</v>
      </c>
      <c r="H13" s="31">
        <v>1252769.1599999999</v>
      </c>
      <c r="I13" s="31">
        <v>346897.00999999995</v>
      </c>
      <c r="J13" s="31">
        <v>15068084.789676208</v>
      </c>
      <c r="K13" s="31">
        <v>10644551.552892311</v>
      </c>
      <c r="L13" s="31">
        <v>8912708.6767557617</v>
      </c>
      <c r="M13" s="31">
        <f t="shared" si="4"/>
        <v>136074318.00011569</v>
      </c>
      <c r="N13" s="31">
        <v>0</v>
      </c>
      <c r="P13" s="42" t="s">
        <v>69</v>
      </c>
      <c r="Q13" s="42" t="s">
        <v>70</v>
      </c>
      <c r="R13" s="43" t="s">
        <v>1050</v>
      </c>
      <c r="S13" s="44">
        <v>34</v>
      </c>
      <c r="T13" s="31">
        <v>104584206.28147</v>
      </c>
      <c r="U13" s="31">
        <v>2845319.55</v>
      </c>
      <c r="V13" s="31">
        <v>1333589.94</v>
      </c>
      <c r="W13" s="31">
        <v>372990.13999999996</v>
      </c>
      <c r="X13" s="31">
        <v>15940030.18467726</v>
      </c>
      <c r="Y13" s="31">
        <v>10669422.154005757</v>
      </c>
      <c r="Z13" s="31">
        <v>9458744.5080238152</v>
      </c>
      <c r="AA13" s="31">
        <f t="shared" si="5"/>
        <v>145204302.75817683</v>
      </c>
      <c r="AB13" s="31">
        <v>0</v>
      </c>
      <c r="AD13" s="42" t="s">
        <v>69</v>
      </c>
      <c r="AE13" s="42" t="s">
        <v>70</v>
      </c>
      <c r="AF13" s="43" t="s">
        <v>1275</v>
      </c>
      <c r="AG13" s="44">
        <v>34</v>
      </c>
      <c r="AH13" s="31">
        <v>109756387.36819893</v>
      </c>
      <c r="AI13" s="31">
        <v>2972964.1999999997</v>
      </c>
      <c r="AJ13" s="31">
        <v>1357005.3399999999</v>
      </c>
      <c r="AK13" s="31">
        <v>389652.80000000005</v>
      </c>
      <c r="AL13" s="31">
        <v>16236213.232780868</v>
      </c>
      <c r="AM13" s="31">
        <v>10650319.856747204</v>
      </c>
      <c r="AN13" s="31">
        <v>9626045.9998772871</v>
      </c>
      <c r="AO13" s="31">
        <f t="shared" si="6"/>
        <v>150988588.79760429</v>
      </c>
      <c r="AP13" s="31">
        <v>0</v>
      </c>
      <c r="AR13" s="42" t="s">
        <v>69</v>
      </c>
      <c r="AS13" s="42" t="s">
        <v>70</v>
      </c>
      <c r="AT13" s="43" t="s">
        <v>1276</v>
      </c>
      <c r="AU13" s="44">
        <v>34</v>
      </c>
      <c r="AV13" s="31">
        <v>115125733.86195824</v>
      </c>
      <c r="AW13" s="31">
        <v>3105668.92</v>
      </c>
      <c r="AX13" s="31">
        <v>1382083.23</v>
      </c>
      <c r="AY13" s="31">
        <v>407041.05000000005</v>
      </c>
      <c r="AZ13" s="31">
        <v>16552257.996276651</v>
      </c>
      <c r="BA13" s="31">
        <v>10650865.636668878</v>
      </c>
      <c r="BB13" s="31">
        <v>9805220.4502419531</v>
      </c>
      <c r="BC13" s="31">
        <f t="shared" si="7"/>
        <v>157028871.14514574</v>
      </c>
      <c r="BD13" s="31">
        <v>0</v>
      </c>
    </row>
    <row r="14" spans="1:58">
      <c r="B14" s="42" t="s">
        <v>199</v>
      </c>
      <c r="C14" s="42" t="s">
        <v>200</v>
      </c>
      <c r="D14" s="43" t="s">
        <v>1049</v>
      </c>
      <c r="E14" s="44">
        <v>34</v>
      </c>
      <c r="F14" s="31">
        <v>173161095.97000167</v>
      </c>
      <c r="G14" s="31">
        <v>2382616.7899999996</v>
      </c>
      <c r="H14" s="31">
        <v>5627040.7600000007</v>
      </c>
      <c r="I14" s="31">
        <v>616205.68000000005</v>
      </c>
      <c r="J14" s="31">
        <v>17020425.07177471</v>
      </c>
      <c r="K14" s="31">
        <v>9618336.659874713</v>
      </c>
      <c r="L14" s="31">
        <v>10158930.69058672</v>
      </c>
      <c r="M14" s="31">
        <f t="shared" si="4"/>
        <v>218728399.07223779</v>
      </c>
      <c r="N14" s="31">
        <v>143747.45000000001</v>
      </c>
      <c r="P14" s="42" t="s">
        <v>199</v>
      </c>
      <c r="Q14" s="42" t="s">
        <v>200</v>
      </c>
      <c r="R14" s="43" t="s">
        <v>1050</v>
      </c>
      <c r="S14" s="44">
        <v>34</v>
      </c>
      <c r="T14" s="31">
        <v>196989406.64529067</v>
      </c>
      <c r="U14" s="31">
        <v>2701625.2600000002</v>
      </c>
      <c r="V14" s="31">
        <v>5986221.8200000003</v>
      </c>
      <c r="W14" s="31">
        <v>698184.30999999994</v>
      </c>
      <c r="X14" s="31">
        <v>18041006.200409211</v>
      </c>
      <c r="Y14" s="31">
        <v>9637278.1066719592</v>
      </c>
      <c r="Z14" s="31">
        <v>10777670.826892717</v>
      </c>
      <c r="AA14" s="31">
        <f t="shared" si="5"/>
        <v>244982208.84926453</v>
      </c>
      <c r="AB14" s="31">
        <v>150815.68000000002</v>
      </c>
      <c r="AD14" s="42" t="s">
        <v>199</v>
      </c>
      <c r="AE14" s="42" t="s">
        <v>200</v>
      </c>
      <c r="AF14" s="43" t="s">
        <v>1275</v>
      </c>
      <c r="AG14" s="44">
        <v>34</v>
      </c>
      <c r="AH14" s="31">
        <v>200582077.41684052</v>
      </c>
      <c r="AI14" s="31">
        <v>2749605.0000000005</v>
      </c>
      <c r="AJ14" s="31">
        <v>6092604.3499999996</v>
      </c>
      <c r="AK14" s="31">
        <v>710591.90999999992</v>
      </c>
      <c r="AL14" s="31">
        <v>18362644.011283655</v>
      </c>
      <c r="AM14" s="31">
        <v>9622444.7381233573</v>
      </c>
      <c r="AN14" s="31">
        <v>10970044.048086494</v>
      </c>
      <c r="AO14" s="31">
        <f t="shared" si="6"/>
        <v>249243538.79433402</v>
      </c>
      <c r="AP14" s="31">
        <v>153527.32000000004</v>
      </c>
      <c r="AR14" s="42" t="s">
        <v>199</v>
      </c>
      <c r="AS14" s="42" t="s">
        <v>200</v>
      </c>
      <c r="AT14" s="43" t="s">
        <v>1276</v>
      </c>
      <c r="AU14" s="44">
        <v>34</v>
      </c>
      <c r="AV14" s="31">
        <v>204424189.97390091</v>
      </c>
      <c r="AW14" s="31">
        <v>2800991.3299999996</v>
      </c>
      <c r="AX14" s="31">
        <v>6206540.0499999998</v>
      </c>
      <c r="AY14" s="31">
        <v>723880.45</v>
      </c>
      <c r="AZ14" s="31">
        <v>18707116.935204577</v>
      </c>
      <c r="BA14" s="31">
        <v>9622868.5486533195</v>
      </c>
      <c r="BB14" s="31">
        <v>11176070.028914828</v>
      </c>
      <c r="BC14" s="31">
        <f t="shared" si="7"/>
        <v>253818088.78667367</v>
      </c>
      <c r="BD14" s="31">
        <v>156431.47000000003</v>
      </c>
    </row>
    <row r="15" spans="1:58">
      <c r="B15" s="42" t="s">
        <v>539</v>
      </c>
      <c r="C15" s="42" t="s">
        <v>540</v>
      </c>
      <c r="D15" s="43" t="s">
        <v>1049</v>
      </c>
      <c r="E15" s="44">
        <v>34</v>
      </c>
      <c r="F15" s="31">
        <v>96982174.343626767</v>
      </c>
      <c r="G15" s="31">
        <v>2900654.81</v>
      </c>
      <c r="H15" s="31">
        <v>1387232.81</v>
      </c>
      <c r="I15" s="31">
        <v>343043.74999999994</v>
      </c>
      <c r="J15" s="31">
        <v>15305919.41801808</v>
      </c>
      <c r="K15" s="31">
        <v>4179309.7792304317</v>
      </c>
      <c r="L15" s="31">
        <v>7262980.4003748037</v>
      </c>
      <c r="M15" s="31">
        <f t="shared" si="4"/>
        <v>128862148.57125008</v>
      </c>
      <c r="N15" s="31">
        <v>500833.25999999989</v>
      </c>
      <c r="P15" s="42" t="s">
        <v>539</v>
      </c>
      <c r="Q15" s="42" t="s">
        <v>540</v>
      </c>
      <c r="R15" s="43" t="s">
        <v>1050</v>
      </c>
      <c r="S15" s="44">
        <v>34</v>
      </c>
      <c r="T15" s="31">
        <v>105009474.7219138</v>
      </c>
      <c r="U15" s="31">
        <v>3134661.31</v>
      </c>
      <c r="V15" s="31">
        <v>1464501.9199999997</v>
      </c>
      <c r="W15" s="31">
        <v>369875.72000000003</v>
      </c>
      <c r="X15" s="31">
        <v>16116032.966911275</v>
      </c>
      <c r="Y15" s="31">
        <v>4189778.2350037098</v>
      </c>
      <c r="Z15" s="31">
        <v>7656055.5011334531</v>
      </c>
      <c r="AA15" s="31">
        <f t="shared" si="5"/>
        <v>138461376.46496224</v>
      </c>
      <c r="AB15" s="31">
        <v>520996.08999999997</v>
      </c>
      <c r="AD15" s="42" t="s">
        <v>539</v>
      </c>
      <c r="AE15" s="42" t="s">
        <v>540</v>
      </c>
      <c r="AF15" s="43" t="s">
        <v>1275</v>
      </c>
      <c r="AG15" s="44">
        <v>34</v>
      </c>
      <c r="AH15" s="31">
        <v>106942137.3030137</v>
      </c>
      <c r="AI15" s="31">
        <v>3189763.6999999997</v>
      </c>
      <c r="AJ15" s="31">
        <v>1490299.5999999999</v>
      </c>
      <c r="AK15" s="31">
        <v>376391.21</v>
      </c>
      <c r="AL15" s="31">
        <v>16401374.379705133</v>
      </c>
      <c r="AM15" s="31">
        <v>4181688.9148413595</v>
      </c>
      <c r="AN15" s="31">
        <v>7791800.1228362806</v>
      </c>
      <c r="AO15" s="31">
        <f t="shared" si="6"/>
        <v>140903744.52039644</v>
      </c>
      <c r="AP15" s="31">
        <v>530289.29</v>
      </c>
      <c r="AR15" s="42" t="s">
        <v>539</v>
      </c>
      <c r="AS15" s="42" t="s">
        <v>540</v>
      </c>
      <c r="AT15" s="43" t="s">
        <v>1276</v>
      </c>
      <c r="AU15" s="44">
        <v>34</v>
      </c>
      <c r="AV15" s="31">
        <v>109007054.46762903</v>
      </c>
      <c r="AW15" s="31">
        <v>3248778.39</v>
      </c>
      <c r="AX15" s="31">
        <v>1517928.92</v>
      </c>
      <c r="AY15" s="31">
        <v>383369.29</v>
      </c>
      <c r="AZ15" s="31">
        <v>16706973.930106521</v>
      </c>
      <c r="BA15" s="31">
        <v>4181920.0382745699</v>
      </c>
      <c r="BB15" s="31">
        <v>7937178.2917228043</v>
      </c>
      <c r="BC15" s="31">
        <f t="shared" si="7"/>
        <v>143523445.61773291</v>
      </c>
      <c r="BD15" s="31">
        <v>540242.29</v>
      </c>
    </row>
    <row r="16" spans="1:58">
      <c r="B16" s="42" t="s">
        <v>5</v>
      </c>
      <c r="C16" s="42" t="s">
        <v>6</v>
      </c>
      <c r="D16" s="43" t="s">
        <v>1049</v>
      </c>
      <c r="E16" s="44">
        <v>34</v>
      </c>
      <c r="F16" s="31">
        <v>328897.83339915954</v>
      </c>
      <c r="G16" s="31">
        <v>0</v>
      </c>
      <c r="H16" s="31">
        <v>0</v>
      </c>
      <c r="I16" s="31">
        <v>292.33000000000004</v>
      </c>
      <c r="J16" s="31">
        <v>0</v>
      </c>
      <c r="K16" s="31">
        <v>65135.600284457054</v>
      </c>
      <c r="L16" s="31">
        <v>0</v>
      </c>
      <c r="M16" s="31">
        <f t="shared" si="4"/>
        <v>394325.76368361659</v>
      </c>
      <c r="N16" s="31">
        <v>0</v>
      </c>
      <c r="P16" s="42" t="s">
        <v>5</v>
      </c>
      <c r="Q16" s="42" t="s">
        <v>6</v>
      </c>
      <c r="R16" s="43" t="s">
        <v>1050</v>
      </c>
      <c r="S16" s="44">
        <v>34</v>
      </c>
      <c r="T16" s="31">
        <v>350697.77312952769</v>
      </c>
      <c r="U16" s="31">
        <v>0</v>
      </c>
      <c r="V16" s="31">
        <v>0</v>
      </c>
      <c r="W16" s="31">
        <v>311.29999999999995</v>
      </c>
      <c r="X16" s="31">
        <v>0</v>
      </c>
      <c r="Y16" s="31">
        <v>65235.378583033147</v>
      </c>
      <c r="Z16" s="31">
        <v>0</v>
      </c>
      <c r="AA16" s="31">
        <f t="shared" si="5"/>
        <v>416244.45171256084</v>
      </c>
      <c r="AB16" s="31">
        <v>0</v>
      </c>
      <c r="AD16" s="42" t="s">
        <v>5</v>
      </c>
      <c r="AE16" s="42" t="s">
        <v>6</v>
      </c>
      <c r="AF16" s="43" t="s">
        <v>1275</v>
      </c>
      <c r="AG16" s="44">
        <v>34</v>
      </c>
      <c r="AH16" s="31">
        <v>359765.86200907244</v>
      </c>
      <c r="AI16" s="31">
        <v>0</v>
      </c>
      <c r="AJ16" s="31">
        <v>0</v>
      </c>
      <c r="AK16" s="31">
        <v>316.72000000000003</v>
      </c>
      <c r="AL16" s="31">
        <v>0</v>
      </c>
      <c r="AM16" s="31">
        <v>65159.573986936724</v>
      </c>
      <c r="AN16" s="31">
        <v>0</v>
      </c>
      <c r="AO16" s="31">
        <f t="shared" si="6"/>
        <v>425242.15599600913</v>
      </c>
      <c r="AP16" s="31">
        <v>0</v>
      </c>
      <c r="AR16" s="42" t="s">
        <v>5</v>
      </c>
      <c r="AS16" s="42" t="s">
        <v>6</v>
      </c>
      <c r="AT16" s="43" t="s">
        <v>1276</v>
      </c>
      <c r="AU16" s="44">
        <v>34</v>
      </c>
      <c r="AV16" s="31">
        <v>367327.146822904</v>
      </c>
      <c r="AW16" s="31">
        <v>0</v>
      </c>
      <c r="AX16" s="31">
        <v>0</v>
      </c>
      <c r="AY16" s="31">
        <v>322.53000000000003</v>
      </c>
      <c r="AZ16" s="31">
        <v>0</v>
      </c>
      <c r="BA16" s="31">
        <v>65161.739832539482</v>
      </c>
      <c r="BB16" s="31">
        <v>0</v>
      </c>
      <c r="BC16" s="31">
        <f t="shared" si="7"/>
        <v>432811.41665544349</v>
      </c>
      <c r="BD16" s="31">
        <v>0</v>
      </c>
    </row>
    <row r="17" spans="2:56">
      <c r="B17" s="42" t="s">
        <v>383</v>
      </c>
      <c r="C17" s="42" t="s">
        <v>384</v>
      </c>
      <c r="D17" s="43" t="s">
        <v>1049</v>
      </c>
      <c r="E17" s="44">
        <v>34</v>
      </c>
      <c r="F17" s="31">
        <v>162446464.79937142</v>
      </c>
      <c r="G17" s="31">
        <v>6223082.5600000005</v>
      </c>
      <c r="H17" s="31">
        <v>1923714.38</v>
      </c>
      <c r="I17" s="31">
        <v>565265.28</v>
      </c>
      <c r="J17" s="31">
        <v>24222147.444630902</v>
      </c>
      <c r="K17" s="31">
        <v>15094726.044891372</v>
      </c>
      <c r="L17" s="31">
        <v>13974934.555609494</v>
      </c>
      <c r="M17" s="31">
        <f t="shared" si="4"/>
        <v>227365821.56450316</v>
      </c>
      <c r="N17" s="31">
        <v>2915486.5</v>
      </c>
      <c r="P17" s="42" t="s">
        <v>383</v>
      </c>
      <c r="Q17" s="42" t="s">
        <v>384</v>
      </c>
      <c r="R17" s="43" t="s">
        <v>1050</v>
      </c>
      <c r="S17" s="44">
        <v>34</v>
      </c>
      <c r="T17" s="31">
        <v>184505289.46558097</v>
      </c>
      <c r="U17" s="31">
        <v>7084835.75</v>
      </c>
      <c r="V17" s="31">
        <v>2048581.0299999998</v>
      </c>
      <c r="W17" s="31">
        <v>639104.98</v>
      </c>
      <c r="X17" s="31">
        <v>25664935.559512675</v>
      </c>
      <c r="Y17" s="31">
        <v>15130654.765488205</v>
      </c>
      <c r="Z17" s="31">
        <v>14834854.2360848</v>
      </c>
      <c r="AA17" s="31">
        <f t="shared" si="5"/>
        <v>252964529.20666662</v>
      </c>
      <c r="AB17" s="31">
        <v>3056273.4200000004</v>
      </c>
      <c r="AD17" s="42" t="s">
        <v>383</v>
      </c>
      <c r="AE17" s="42" t="s">
        <v>384</v>
      </c>
      <c r="AF17" s="43" t="s">
        <v>1275</v>
      </c>
      <c r="AG17" s="44">
        <v>34</v>
      </c>
      <c r="AH17" s="31">
        <v>189779344.22921413</v>
      </c>
      <c r="AI17" s="31">
        <v>7275202.5599999996</v>
      </c>
      <c r="AJ17" s="31">
        <v>2084297.7200000002</v>
      </c>
      <c r="AK17" s="31">
        <v>656371.1399999999</v>
      </c>
      <c r="AL17" s="31">
        <v>26117606.282665584</v>
      </c>
      <c r="AM17" s="31">
        <v>15103358.628031751</v>
      </c>
      <c r="AN17" s="31">
        <v>15095824.474061066</v>
      </c>
      <c r="AO17" s="31">
        <f t="shared" si="6"/>
        <v>259222289.42397252</v>
      </c>
      <c r="AP17" s="31">
        <v>3110284.3899999997</v>
      </c>
      <c r="AR17" s="42" t="s">
        <v>383</v>
      </c>
      <c r="AS17" s="42" t="s">
        <v>384</v>
      </c>
      <c r="AT17" s="43" t="s">
        <v>1276</v>
      </c>
      <c r="AU17" s="44">
        <v>34</v>
      </c>
      <c r="AV17" s="31">
        <v>195337626.04795167</v>
      </c>
      <c r="AW17" s="31">
        <v>7476445.6199999992</v>
      </c>
      <c r="AX17" s="31">
        <v>2122550.2899999996</v>
      </c>
      <c r="AY17" s="31">
        <v>674653.19</v>
      </c>
      <c r="AZ17" s="31">
        <v>26601415.395914275</v>
      </c>
      <c r="BA17" s="31">
        <v>15104138.517673364</v>
      </c>
      <c r="BB17" s="31">
        <v>15375314.892948043</v>
      </c>
      <c r="BC17" s="31">
        <f t="shared" si="7"/>
        <v>265860274.10448736</v>
      </c>
      <c r="BD17" s="31">
        <v>3168130.15</v>
      </c>
    </row>
    <row r="18" spans="2:56">
      <c r="B18" s="42" t="s">
        <v>253</v>
      </c>
      <c r="C18" s="42" t="s">
        <v>254</v>
      </c>
      <c r="D18" s="43" t="s">
        <v>1049</v>
      </c>
      <c r="E18" s="44">
        <v>34</v>
      </c>
      <c r="F18" s="31">
        <v>2028344.3853565911</v>
      </c>
      <c r="G18" s="31">
        <v>0</v>
      </c>
      <c r="H18" s="31">
        <v>0</v>
      </c>
      <c r="I18" s="31">
        <v>3215.6</v>
      </c>
      <c r="J18" s="31">
        <v>143796.12253377982</v>
      </c>
      <c r="K18" s="31">
        <v>204245.10318151774</v>
      </c>
      <c r="L18" s="31">
        <v>0</v>
      </c>
      <c r="M18" s="31">
        <f t="shared" si="4"/>
        <v>2379601.2110718889</v>
      </c>
      <c r="N18" s="31">
        <v>0</v>
      </c>
      <c r="P18" s="42" t="s">
        <v>253</v>
      </c>
      <c r="Q18" s="42" t="s">
        <v>254</v>
      </c>
      <c r="R18" s="43" t="s">
        <v>1050</v>
      </c>
      <c r="S18" s="44">
        <v>34</v>
      </c>
      <c r="T18" s="31">
        <v>2162197.5840695389</v>
      </c>
      <c r="U18" s="31">
        <v>0</v>
      </c>
      <c r="V18" s="31">
        <v>0</v>
      </c>
      <c r="W18" s="31">
        <v>3320.5499999999997</v>
      </c>
      <c r="X18" s="31">
        <v>153527.57727418354</v>
      </c>
      <c r="Y18" s="31">
        <v>204633.54220131386</v>
      </c>
      <c r="Z18" s="31">
        <v>0</v>
      </c>
      <c r="AA18" s="31">
        <f t="shared" si="5"/>
        <v>2523679.2535450361</v>
      </c>
      <c r="AB18" s="31">
        <v>0</v>
      </c>
      <c r="AD18" s="42" t="s">
        <v>253</v>
      </c>
      <c r="AE18" s="42" t="s">
        <v>254</v>
      </c>
      <c r="AF18" s="43" t="s">
        <v>1275</v>
      </c>
      <c r="AG18" s="44">
        <v>34</v>
      </c>
      <c r="AH18" s="31">
        <v>2226190.3846441917</v>
      </c>
      <c r="AI18" s="31">
        <v>0</v>
      </c>
      <c r="AJ18" s="31">
        <v>0</v>
      </c>
      <c r="AK18" s="31">
        <v>3378.4399999999996</v>
      </c>
      <c r="AL18" s="31">
        <v>156514.54368225764</v>
      </c>
      <c r="AM18" s="31">
        <v>204338.43331066385</v>
      </c>
      <c r="AN18" s="31">
        <v>0</v>
      </c>
      <c r="AO18" s="31">
        <f t="shared" si="6"/>
        <v>2590421.8016371131</v>
      </c>
      <c r="AP18" s="31">
        <v>0</v>
      </c>
      <c r="AR18" s="42" t="s">
        <v>253</v>
      </c>
      <c r="AS18" s="42" t="s">
        <v>254</v>
      </c>
      <c r="AT18" s="43" t="s">
        <v>1276</v>
      </c>
      <c r="AU18" s="44">
        <v>34</v>
      </c>
      <c r="AV18" s="31">
        <v>2272703.1483469736</v>
      </c>
      <c r="AW18" s="31">
        <v>0</v>
      </c>
      <c r="AX18" s="31">
        <v>0</v>
      </c>
      <c r="AY18" s="31">
        <v>3440.45</v>
      </c>
      <c r="AZ18" s="31">
        <v>161144.43768993745</v>
      </c>
      <c r="BA18" s="31">
        <v>204346.86499325381</v>
      </c>
      <c r="BB18" s="31">
        <v>0</v>
      </c>
      <c r="BC18" s="31">
        <f t="shared" si="7"/>
        <v>2641634.9010301651</v>
      </c>
      <c r="BD18" s="31">
        <v>0</v>
      </c>
    </row>
    <row r="19" spans="2:56">
      <c r="B19" s="42" t="s">
        <v>543</v>
      </c>
      <c r="C19" s="42" t="s">
        <v>544</v>
      </c>
      <c r="D19" s="43" t="s">
        <v>1049</v>
      </c>
      <c r="E19" s="44">
        <v>34</v>
      </c>
      <c r="F19" s="31">
        <v>19186818.572017204</v>
      </c>
      <c r="G19" s="31">
        <v>698005.57999999984</v>
      </c>
      <c r="H19" s="31">
        <v>155680.70999999996</v>
      </c>
      <c r="I19" s="31">
        <v>67387.5</v>
      </c>
      <c r="J19" s="31">
        <v>3045027.1744312509</v>
      </c>
      <c r="K19" s="31">
        <v>1278916.7381508555</v>
      </c>
      <c r="L19" s="31">
        <v>1255749.1972670495</v>
      </c>
      <c r="M19" s="31">
        <f t="shared" si="4"/>
        <v>25851606.221866354</v>
      </c>
      <c r="N19" s="31">
        <v>164020.75</v>
      </c>
      <c r="P19" s="42" t="s">
        <v>543</v>
      </c>
      <c r="Q19" s="42" t="s">
        <v>544</v>
      </c>
      <c r="R19" s="43" t="s">
        <v>1050</v>
      </c>
      <c r="S19" s="44">
        <v>34</v>
      </c>
      <c r="T19" s="31">
        <v>20922863.495982099</v>
      </c>
      <c r="U19" s="31">
        <v>763643.96</v>
      </c>
      <c r="V19" s="31">
        <v>165634.35000000003</v>
      </c>
      <c r="W19" s="31">
        <v>73470.66</v>
      </c>
      <c r="X19" s="31">
        <v>3220676.3031449062</v>
      </c>
      <c r="Y19" s="31">
        <v>1282295.3101507309</v>
      </c>
      <c r="Z19" s="31">
        <v>1332350.8123865265</v>
      </c>
      <c r="AA19" s="31">
        <f t="shared" si="5"/>
        <v>27933006.651664268</v>
      </c>
      <c r="AB19" s="31">
        <v>172071.75999999998</v>
      </c>
      <c r="AD19" s="42" t="s">
        <v>543</v>
      </c>
      <c r="AE19" s="42" t="s">
        <v>544</v>
      </c>
      <c r="AF19" s="43" t="s">
        <v>1275</v>
      </c>
      <c r="AG19" s="44">
        <v>34</v>
      </c>
      <c r="AH19" s="31">
        <v>21305829.120263007</v>
      </c>
      <c r="AI19" s="31">
        <v>777153.42000000016</v>
      </c>
      <c r="AJ19" s="31">
        <v>168572.45</v>
      </c>
      <c r="AK19" s="31">
        <v>74773.919999999998</v>
      </c>
      <c r="AL19" s="31">
        <v>3277991.0078568948</v>
      </c>
      <c r="AM19" s="31">
        <v>1279674.0627789809</v>
      </c>
      <c r="AN19" s="31">
        <v>1356083.540036422</v>
      </c>
      <c r="AO19" s="31">
        <f t="shared" si="6"/>
        <v>28415237.950935304</v>
      </c>
      <c r="AP19" s="31">
        <v>175160.43</v>
      </c>
      <c r="AR19" s="42" t="s">
        <v>543</v>
      </c>
      <c r="AS19" s="42" t="s">
        <v>544</v>
      </c>
      <c r="AT19" s="43" t="s">
        <v>1276</v>
      </c>
      <c r="AU19" s="44">
        <v>34</v>
      </c>
      <c r="AV19" s="31">
        <v>21715090.529945549</v>
      </c>
      <c r="AW19" s="31">
        <v>791622.08000000007</v>
      </c>
      <c r="AX19" s="31">
        <v>171719.15000000002</v>
      </c>
      <c r="AY19" s="31">
        <v>76169.710000000006</v>
      </c>
      <c r="AZ19" s="31">
        <v>3339338.3427284411</v>
      </c>
      <c r="BA19" s="31">
        <v>1279748.9555610309</v>
      </c>
      <c r="BB19" s="31">
        <v>1381500.5682278601</v>
      </c>
      <c r="BC19" s="31">
        <f t="shared" si="7"/>
        <v>28933657.726462882</v>
      </c>
      <c r="BD19" s="31">
        <v>178468.39</v>
      </c>
    </row>
    <row r="20" spans="2:56">
      <c r="B20" s="42" t="s">
        <v>283</v>
      </c>
      <c r="C20" s="42" t="s">
        <v>284</v>
      </c>
      <c r="D20" s="43" t="s">
        <v>1049</v>
      </c>
      <c r="E20" s="44">
        <v>34</v>
      </c>
      <c r="F20" s="31">
        <v>837661.23932314338</v>
      </c>
      <c r="G20" s="31">
        <v>28063.480000000003</v>
      </c>
      <c r="H20" s="31">
        <v>0</v>
      </c>
      <c r="I20" s="31">
        <v>0</v>
      </c>
      <c r="J20" s="31">
        <v>121492.51273492345</v>
      </c>
      <c r="K20" s="31">
        <v>147224.19300537929</v>
      </c>
      <c r="L20" s="31">
        <v>0</v>
      </c>
      <c r="M20" s="31">
        <f t="shared" si="4"/>
        <v>1159581.6650634462</v>
      </c>
      <c r="N20" s="31">
        <v>25140.239999999998</v>
      </c>
      <c r="P20" s="42" t="s">
        <v>283</v>
      </c>
      <c r="Q20" s="42" t="s">
        <v>284</v>
      </c>
      <c r="R20" s="43" t="s">
        <v>1050</v>
      </c>
      <c r="S20" s="44">
        <v>34</v>
      </c>
      <c r="T20" s="31">
        <v>861945.03528035665</v>
      </c>
      <c r="U20" s="31">
        <v>29057.69</v>
      </c>
      <c r="V20" s="31">
        <v>0</v>
      </c>
      <c r="W20" s="31">
        <v>0</v>
      </c>
      <c r="X20" s="31">
        <v>128919.91321837259</v>
      </c>
      <c r="Y20" s="31">
        <v>147573.35737564147</v>
      </c>
      <c r="Z20" s="31">
        <v>0</v>
      </c>
      <c r="AA20" s="31">
        <f t="shared" si="5"/>
        <v>1193850.2358743707</v>
      </c>
      <c r="AB20" s="31">
        <v>26354.240000000002</v>
      </c>
      <c r="AD20" s="42" t="s">
        <v>283</v>
      </c>
      <c r="AE20" s="42" t="s">
        <v>284</v>
      </c>
      <c r="AF20" s="43" t="s">
        <v>1275</v>
      </c>
      <c r="AG20" s="44">
        <v>34</v>
      </c>
      <c r="AH20" s="31">
        <v>878755.27880548406</v>
      </c>
      <c r="AI20" s="31">
        <v>29558.050000000003</v>
      </c>
      <c r="AJ20" s="31">
        <v>0</v>
      </c>
      <c r="AK20" s="31">
        <v>0</v>
      </c>
      <c r="AL20" s="31">
        <v>130706.72475140955</v>
      </c>
      <c r="AM20" s="31">
        <v>147308.0866260225</v>
      </c>
      <c r="AN20" s="31">
        <v>0</v>
      </c>
      <c r="AO20" s="31">
        <f t="shared" si="6"/>
        <v>1213148.1101829163</v>
      </c>
      <c r="AP20" s="31">
        <v>26819.97</v>
      </c>
      <c r="AR20" s="42" t="s">
        <v>283</v>
      </c>
      <c r="AS20" s="42" t="s">
        <v>284</v>
      </c>
      <c r="AT20" s="43" t="s">
        <v>1276</v>
      </c>
      <c r="AU20" s="44">
        <v>34</v>
      </c>
      <c r="AV20" s="31">
        <v>903669.02920056926</v>
      </c>
      <c r="AW20" s="31">
        <v>30093.94</v>
      </c>
      <c r="AX20" s="31">
        <v>0</v>
      </c>
      <c r="AY20" s="31">
        <v>0</v>
      </c>
      <c r="AZ20" s="31">
        <v>135568.43273715224</v>
      </c>
      <c r="BA20" s="31">
        <v>147315.66579029735</v>
      </c>
      <c r="BB20" s="31">
        <v>0</v>
      </c>
      <c r="BC20" s="31">
        <f t="shared" si="7"/>
        <v>1243965.8377280189</v>
      </c>
      <c r="BD20" s="31">
        <v>27318.77</v>
      </c>
    </row>
    <row r="21" spans="2:56">
      <c r="B21" s="42" t="s">
        <v>227</v>
      </c>
      <c r="C21" s="42" t="s">
        <v>228</v>
      </c>
      <c r="D21" s="43" t="s">
        <v>1049</v>
      </c>
      <c r="E21" s="44">
        <v>34</v>
      </c>
      <c r="F21" s="31">
        <v>38639172.35587088</v>
      </c>
      <c r="G21" s="31">
        <v>2128094.62</v>
      </c>
      <c r="H21" s="31">
        <v>769664.26000000013</v>
      </c>
      <c r="I21" s="31">
        <v>148264.25</v>
      </c>
      <c r="J21" s="31">
        <v>6700103.1409654683</v>
      </c>
      <c r="K21" s="31">
        <v>1974796.0191229219</v>
      </c>
      <c r="L21" s="31">
        <v>7034712.7100287881</v>
      </c>
      <c r="M21" s="31">
        <f t="shared" si="4"/>
        <v>58683340.065988056</v>
      </c>
      <c r="N21" s="31">
        <v>1288532.71</v>
      </c>
      <c r="P21" s="42" t="s">
        <v>227</v>
      </c>
      <c r="Q21" s="42" t="s">
        <v>228</v>
      </c>
      <c r="R21" s="43" t="s">
        <v>1050</v>
      </c>
      <c r="S21" s="44">
        <v>34</v>
      </c>
      <c r="T21" s="31">
        <v>42118778.115230195</v>
      </c>
      <c r="U21" s="31">
        <v>2317540.48</v>
      </c>
      <c r="V21" s="31">
        <v>818792.88</v>
      </c>
      <c r="W21" s="31">
        <v>160130.69999999998</v>
      </c>
      <c r="X21" s="31">
        <v>7074216.9093375672</v>
      </c>
      <c r="Y21" s="31">
        <v>1978514.0299864186</v>
      </c>
      <c r="Z21" s="31">
        <v>7534217.0365443742</v>
      </c>
      <c r="AA21" s="31">
        <f t="shared" si="5"/>
        <v>63354081.581098557</v>
      </c>
      <c r="AB21" s="31">
        <v>1351891.4300000002</v>
      </c>
      <c r="AD21" s="42" t="s">
        <v>227</v>
      </c>
      <c r="AE21" s="42" t="s">
        <v>228</v>
      </c>
      <c r="AF21" s="43" t="s">
        <v>1275</v>
      </c>
      <c r="AG21" s="44">
        <v>34</v>
      </c>
      <c r="AH21" s="31">
        <v>42580309.441837803</v>
      </c>
      <c r="AI21" s="31">
        <v>2335703.1999999997</v>
      </c>
      <c r="AJ21" s="31">
        <v>833343.84</v>
      </c>
      <c r="AK21" s="31">
        <v>161387.03</v>
      </c>
      <c r="AL21" s="31">
        <v>7224288.2967085587</v>
      </c>
      <c r="AM21" s="31">
        <v>1975602.3925599693</v>
      </c>
      <c r="AN21" s="31">
        <v>7668644.9864920564</v>
      </c>
      <c r="AO21" s="31">
        <f t="shared" si="6"/>
        <v>64155477.337598391</v>
      </c>
      <c r="AP21" s="31">
        <v>1376198.15</v>
      </c>
      <c r="AR21" s="42" t="s">
        <v>227</v>
      </c>
      <c r="AS21" s="42" t="s">
        <v>228</v>
      </c>
      <c r="AT21" s="43" t="s">
        <v>1276</v>
      </c>
      <c r="AU21" s="44">
        <v>34</v>
      </c>
      <c r="AV21" s="31">
        <v>42913853.958751254</v>
      </c>
      <c r="AW21" s="31">
        <v>2334372.4900000002</v>
      </c>
      <c r="AX21" s="31">
        <v>848927.91</v>
      </c>
      <c r="AY21" s="31">
        <v>161291.32</v>
      </c>
      <c r="AZ21" s="31">
        <v>7425234.0914361533</v>
      </c>
      <c r="BA21" s="31">
        <v>1975685.5822007251</v>
      </c>
      <c r="BB21" s="31">
        <v>7812613.5472508203</v>
      </c>
      <c r="BC21" s="31">
        <f t="shared" si="7"/>
        <v>64874209.539638959</v>
      </c>
      <c r="BD21" s="31">
        <v>1402230.6400000001</v>
      </c>
    </row>
    <row r="22" spans="2:56">
      <c r="B22" s="42" t="s">
        <v>333</v>
      </c>
      <c r="C22" s="42" t="s">
        <v>334</v>
      </c>
      <c r="D22" s="43" t="s">
        <v>1049</v>
      </c>
      <c r="E22" s="44">
        <v>34</v>
      </c>
      <c r="F22" s="31">
        <v>7739781.7000827799</v>
      </c>
      <c r="G22" s="31">
        <v>580174.03</v>
      </c>
      <c r="H22" s="31">
        <v>532719.42999999993</v>
      </c>
      <c r="I22" s="31">
        <v>27478.850000000002</v>
      </c>
      <c r="J22" s="31">
        <v>975017.96678022982</v>
      </c>
      <c r="K22" s="31">
        <v>208965.42034072077</v>
      </c>
      <c r="L22" s="31">
        <v>813910.64368802216</v>
      </c>
      <c r="M22" s="31">
        <f t="shared" si="4"/>
        <v>11152739.090891752</v>
      </c>
      <c r="N22" s="31">
        <v>274691.05</v>
      </c>
      <c r="P22" s="42" t="s">
        <v>333</v>
      </c>
      <c r="Q22" s="42" t="s">
        <v>334</v>
      </c>
      <c r="R22" s="43" t="s">
        <v>1050</v>
      </c>
      <c r="S22" s="44">
        <v>34</v>
      </c>
      <c r="T22" s="31">
        <v>8355568.8269093772</v>
      </c>
      <c r="U22" s="31">
        <v>620218.80999999994</v>
      </c>
      <c r="V22" s="31">
        <v>567297.77999999991</v>
      </c>
      <c r="W22" s="31">
        <v>29158.719999999998</v>
      </c>
      <c r="X22" s="31">
        <v>1038753.4086835877</v>
      </c>
      <c r="Y22" s="31">
        <v>209492.37062707744</v>
      </c>
      <c r="Z22" s="31">
        <v>872212.77874603984</v>
      </c>
      <c r="AA22" s="31">
        <f t="shared" si="5"/>
        <v>11980658.404966082</v>
      </c>
      <c r="AB22" s="31">
        <v>287955.70999999996</v>
      </c>
      <c r="AD22" s="42" t="s">
        <v>333</v>
      </c>
      <c r="AE22" s="42" t="s">
        <v>334</v>
      </c>
      <c r="AF22" s="43" t="s">
        <v>1275</v>
      </c>
      <c r="AG22" s="44">
        <v>34</v>
      </c>
      <c r="AH22" s="31">
        <v>8857322.4996040929</v>
      </c>
      <c r="AI22" s="31">
        <v>649545.42000000004</v>
      </c>
      <c r="AJ22" s="31">
        <v>577188.52999999991</v>
      </c>
      <c r="AK22" s="31">
        <v>30617.280000000002</v>
      </c>
      <c r="AL22" s="31">
        <v>1066376.2746940013</v>
      </c>
      <c r="AM22" s="31">
        <v>209092.03053118274</v>
      </c>
      <c r="AN22" s="31">
        <v>887558.90637793578</v>
      </c>
      <c r="AO22" s="31">
        <f t="shared" si="6"/>
        <v>12570745.441207211</v>
      </c>
      <c r="AP22" s="31">
        <v>293044.5</v>
      </c>
      <c r="AR22" s="42" t="s">
        <v>333</v>
      </c>
      <c r="AS22" s="42" t="s">
        <v>334</v>
      </c>
      <c r="AT22" s="43" t="s">
        <v>1276</v>
      </c>
      <c r="AU22" s="44">
        <v>34</v>
      </c>
      <c r="AV22" s="31">
        <v>9368702.1057003178</v>
      </c>
      <c r="AW22" s="31">
        <v>678381.70000000007</v>
      </c>
      <c r="AX22" s="31">
        <v>587781.50999999989</v>
      </c>
      <c r="AY22" s="31">
        <v>31931.81</v>
      </c>
      <c r="AZ22" s="31">
        <v>1096184.579015156</v>
      </c>
      <c r="BA22" s="31">
        <v>209103.46881963688</v>
      </c>
      <c r="BB22" s="31">
        <v>903994.09033269621</v>
      </c>
      <c r="BC22" s="31">
        <f t="shared" si="7"/>
        <v>13174573.873867806</v>
      </c>
      <c r="BD22" s="31">
        <v>298494.61</v>
      </c>
    </row>
    <row r="23" spans="2:56">
      <c r="B23" s="42" t="s">
        <v>91</v>
      </c>
      <c r="C23" s="42" t="s">
        <v>92</v>
      </c>
      <c r="D23" s="43" t="s">
        <v>1049</v>
      </c>
      <c r="E23" s="44">
        <v>34</v>
      </c>
      <c r="F23" s="31">
        <v>6343488.0439552311</v>
      </c>
      <c r="G23" s="31">
        <v>443559.30999999994</v>
      </c>
      <c r="H23" s="31">
        <v>535545.25</v>
      </c>
      <c r="I23" s="31">
        <v>20950.2</v>
      </c>
      <c r="J23" s="31">
        <v>647627.22401884221</v>
      </c>
      <c r="K23" s="31">
        <v>200527.8836296314</v>
      </c>
      <c r="L23" s="31">
        <v>249918.29588849843</v>
      </c>
      <c r="M23" s="31">
        <f t="shared" si="4"/>
        <v>8656282.5474922024</v>
      </c>
      <c r="N23" s="31">
        <v>214666.34000000005</v>
      </c>
      <c r="P23" s="42" t="s">
        <v>91</v>
      </c>
      <c r="Q23" s="42" t="s">
        <v>92</v>
      </c>
      <c r="R23" s="43" t="s">
        <v>1050</v>
      </c>
      <c r="S23" s="44">
        <v>34</v>
      </c>
      <c r="T23" s="31">
        <v>6818320.412717063</v>
      </c>
      <c r="U23" s="31">
        <v>479134.86999999988</v>
      </c>
      <c r="V23" s="31">
        <v>570307.04</v>
      </c>
      <c r="W23" s="31">
        <v>22413.81</v>
      </c>
      <c r="X23" s="31">
        <v>685191.48310648941</v>
      </c>
      <c r="Y23" s="31">
        <v>200990.02934956015</v>
      </c>
      <c r="Z23" s="31">
        <v>267746.77274133079</v>
      </c>
      <c r="AA23" s="31">
        <f t="shared" si="5"/>
        <v>9269136.8579144422</v>
      </c>
      <c r="AB23" s="31">
        <v>225032.44000000003</v>
      </c>
      <c r="AD23" s="42" t="s">
        <v>91</v>
      </c>
      <c r="AE23" s="42" t="s">
        <v>92</v>
      </c>
      <c r="AF23" s="43" t="s">
        <v>1275</v>
      </c>
      <c r="AG23" s="44">
        <v>34</v>
      </c>
      <c r="AH23" s="31">
        <v>6968369.7357997037</v>
      </c>
      <c r="AI23" s="31">
        <v>489968.93999999994</v>
      </c>
      <c r="AJ23" s="31">
        <v>580250.26</v>
      </c>
      <c r="AK23" s="31">
        <v>22910.18</v>
      </c>
      <c r="AL23" s="31">
        <v>697228.51967571373</v>
      </c>
      <c r="AM23" s="31">
        <v>200638.92324596015</v>
      </c>
      <c r="AN23" s="31">
        <v>272457.40423666622</v>
      </c>
      <c r="AO23" s="31">
        <f t="shared" si="6"/>
        <v>9460833.2129580434</v>
      </c>
      <c r="AP23" s="31">
        <v>229009.25000000003</v>
      </c>
      <c r="AR23" s="42" t="s">
        <v>91</v>
      </c>
      <c r="AS23" s="42" t="s">
        <v>92</v>
      </c>
      <c r="AT23" s="43" t="s">
        <v>1276</v>
      </c>
      <c r="AU23" s="44">
        <v>34</v>
      </c>
      <c r="AV23" s="31">
        <v>7168117.8913318021</v>
      </c>
      <c r="AW23" s="31">
        <v>503528.12000000011</v>
      </c>
      <c r="AX23" s="31">
        <v>590899.44000000006</v>
      </c>
      <c r="AY23" s="31">
        <v>23545.66</v>
      </c>
      <c r="AZ23" s="31">
        <v>710328.07580153306</v>
      </c>
      <c r="BA23" s="31">
        <v>200648.95484892014</v>
      </c>
      <c r="BB23" s="31">
        <v>277502.33129577042</v>
      </c>
      <c r="BC23" s="31">
        <f t="shared" si="7"/>
        <v>9707838.893278027</v>
      </c>
      <c r="BD23" s="31">
        <v>233268.42000000004</v>
      </c>
    </row>
    <row r="24" spans="2:56">
      <c r="B24" s="42" t="s">
        <v>175</v>
      </c>
      <c r="C24" s="42" t="s">
        <v>176</v>
      </c>
      <c r="D24" s="43" t="s">
        <v>1049</v>
      </c>
      <c r="E24" s="44">
        <v>34</v>
      </c>
      <c r="F24" s="31">
        <v>687171.97915355011</v>
      </c>
      <c r="G24" s="31">
        <v>35469.12999999999</v>
      </c>
      <c r="H24" s="31">
        <v>0</v>
      </c>
      <c r="I24" s="31">
        <v>2046.29</v>
      </c>
      <c r="J24" s="31">
        <v>71998.760080828826</v>
      </c>
      <c r="K24" s="31">
        <v>97630.34124617363</v>
      </c>
      <c r="L24" s="31">
        <v>0</v>
      </c>
      <c r="M24" s="31">
        <f t="shared" si="4"/>
        <v>914876.94048055261</v>
      </c>
      <c r="N24" s="31">
        <v>20560.440000000002</v>
      </c>
      <c r="P24" s="42" t="s">
        <v>175</v>
      </c>
      <c r="Q24" s="42" t="s">
        <v>176</v>
      </c>
      <c r="R24" s="43" t="s">
        <v>1050</v>
      </c>
      <c r="S24" s="44">
        <v>34</v>
      </c>
      <c r="T24" s="31">
        <v>622461.63070162816</v>
      </c>
      <c r="U24" s="31">
        <v>31679.539999999997</v>
      </c>
      <c r="V24" s="31">
        <v>0</v>
      </c>
      <c r="W24" s="31">
        <v>1764.0600000000002</v>
      </c>
      <c r="X24" s="31">
        <v>76557.508369863601</v>
      </c>
      <c r="Y24" s="31">
        <v>97781.00653223104</v>
      </c>
      <c r="Z24" s="31">
        <v>0</v>
      </c>
      <c r="AA24" s="31">
        <f t="shared" si="5"/>
        <v>851797.0256037229</v>
      </c>
      <c r="AB24" s="31">
        <v>21553.280000000002</v>
      </c>
      <c r="AD24" s="42" t="s">
        <v>175</v>
      </c>
      <c r="AE24" s="42" t="s">
        <v>176</v>
      </c>
      <c r="AF24" s="43" t="s">
        <v>1275</v>
      </c>
      <c r="AG24" s="44">
        <v>34</v>
      </c>
      <c r="AH24" s="31">
        <v>632243.46409252286</v>
      </c>
      <c r="AI24" s="31">
        <v>32226.75</v>
      </c>
      <c r="AJ24" s="31">
        <v>0</v>
      </c>
      <c r="AK24" s="31">
        <v>1794.8100000000002</v>
      </c>
      <c r="AL24" s="31">
        <v>78298.246385139282</v>
      </c>
      <c r="AM24" s="31">
        <v>97666.541550182621</v>
      </c>
      <c r="AN24" s="31">
        <v>0</v>
      </c>
      <c r="AO24" s="31">
        <f t="shared" si="6"/>
        <v>864163.99202784488</v>
      </c>
      <c r="AP24" s="31">
        <v>21934.18</v>
      </c>
      <c r="AR24" s="42" t="s">
        <v>175</v>
      </c>
      <c r="AS24" s="42" t="s">
        <v>176</v>
      </c>
      <c r="AT24" s="43" t="s">
        <v>1276</v>
      </c>
      <c r="AU24" s="44">
        <v>34</v>
      </c>
      <c r="AV24" s="31">
        <v>641787.94617283717</v>
      </c>
      <c r="AW24" s="31">
        <v>32812.819999999992</v>
      </c>
      <c r="AX24" s="31">
        <v>0</v>
      </c>
      <c r="AY24" s="31">
        <v>1827.76</v>
      </c>
      <c r="AZ24" s="31">
        <v>80515.048206318897</v>
      </c>
      <c r="BA24" s="31">
        <v>97669.811978241152</v>
      </c>
      <c r="BB24" s="31">
        <v>0</v>
      </c>
      <c r="BC24" s="31">
        <f t="shared" si="7"/>
        <v>876955.49635739718</v>
      </c>
      <c r="BD24" s="31">
        <v>22342.11</v>
      </c>
    </row>
    <row r="25" spans="2:56">
      <c r="B25" s="42" t="s">
        <v>403</v>
      </c>
      <c r="C25" s="42" t="s">
        <v>404</v>
      </c>
      <c r="D25" s="43" t="s">
        <v>1049</v>
      </c>
      <c r="E25" s="44">
        <v>34</v>
      </c>
      <c r="F25" s="31">
        <v>27783206.817980524</v>
      </c>
      <c r="G25" s="31">
        <v>1270243.3699999999</v>
      </c>
      <c r="H25" s="31">
        <v>1290926.69</v>
      </c>
      <c r="I25" s="31">
        <v>104862.09</v>
      </c>
      <c r="J25" s="31">
        <v>4625190.9548425321</v>
      </c>
      <c r="K25" s="31">
        <v>2079618.5127864762</v>
      </c>
      <c r="L25" s="31">
        <v>3932026.1783980927</v>
      </c>
      <c r="M25" s="31">
        <f t="shared" si="4"/>
        <v>41539772.68400763</v>
      </c>
      <c r="N25" s="31">
        <v>453698.07</v>
      </c>
      <c r="P25" s="42" t="s">
        <v>403</v>
      </c>
      <c r="Q25" s="42" t="s">
        <v>404</v>
      </c>
      <c r="R25" s="43" t="s">
        <v>1050</v>
      </c>
      <c r="S25" s="44">
        <v>34</v>
      </c>
      <c r="T25" s="31">
        <v>28941546.575568616</v>
      </c>
      <c r="U25" s="31">
        <v>1319393.9199999997</v>
      </c>
      <c r="V25" s="31">
        <v>1362912.0599999998</v>
      </c>
      <c r="W25" s="31">
        <v>108361.44</v>
      </c>
      <c r="X25" s="31">
        <v>4861956.0906383982</v>
      </c>
      <c r="Y25" s="31">
        <v>2083725.4159279699</v>
      </c>
      <c r="Z25" s="31">
        <v>4186163.9908023421</v>
      </c>
      <c r="AA25" s="31">
        <f t="shared" si="5"/>
        <v>43336327.282937318</v>
      </c>
      <c r="AB25" s="31">
        <v>472267.7900000001</v>
      </c>
      <c r="AD25" s="42" t="s">
        <v>403</v>
      </c>
      <c r="AE25" s="42" t="s">
        <v>404</v>
      </c>
      <c r="AF25" s="43" t="s">
        <v>1275</v>
      </c>
      <c r="AG25" s="44">
        <v>34</v>
      </c>
      <c r="AH25" s="31">
        <v>29464194.838211946</v>
      </c>
      <c r="AI25" s="31">
        <v>1342675.2799999998</v>
      </c>
      <c r="AJ25" s="31">
        <v>1387065.14</v>
      </c>
      <c r="AK25" s="31">
        <v>110281.79000000001</v>
      </c>
      <c r="AL25" s="31">
        <v>4948439.4604324847</v>
      </c>
      <c r="AM25" s="31">
        <v>2080521.1880507912</v>
      </c>
      <c r="AN25" s="31">
        <v>4260719.0170008149</v>
      </c>
      <c r="AO25" s="31">
        <f t="shared" si="6"/>
        <v>44074634.403696038</v>
      </c>
      <c r="AP25" s="31">
        <v>480737.69</v>
      </c>
      <c r="AR25" s="42" t="s">
        <v>403</v>
      </c>
      <c r="AS25" s="42" t="s">
        <v>404</v>
      </c>
      <c r="AT25" s="43" t="s">
        <v>1276</v>
      </c>
      <c r="AU25" s="44">
        <v>34</v>
      </c>
      <c r="AV25" s="31">
        <v>30023392.637826264</v>
      </c>
      <c r="AW25" s="31">
        <v>1367609.6099999996</v>
      </c>
      <c r="AX25" s="31">
        <v>1412933.0999999999</v>
      </c>
      <c r="AY25" s="31">
        <v>112338.48</v>
      </c>
      <c r="AZ25" s="31">
        <v>5041062.7773156669</v>
      </c>
      <c r="BA25" s="31">
        <v>2080612.7374187105</v>
      </c>
      <c r="BB25" s="31">
        <v>4340565.2003791789</v>
      </c>
      <c r="BC25" s="31">
        <f t="shared" si="7"/>
        <v>44868323.492939822</v>
      </c>
      <c r="BD25" s="31">
        <v>489808.95000000013</v>
      </c>
    </row>
    <row r="26" spans="2:56">
      <c r="B26" s="42" t="s">
        <v>67</v>
      </c>
      <c r="C26" s="42" t="s">
        <v>68</v>
      </c>
      <c r="D26" s="43" t="s">
        <v>1049</v>
      </c>
      <c r="E26" s="44">
        <v>34</v>
      </c>
      <c r="F26" s="31">
        <v>60835390.650329225</v>
      </c>
      <c r="G26" s="31">
        <v>725852.97</v>
      </c>
      <c r="H26" s="31">
        <v>379734.03</v>
      </c>
      <c r="I26" s="31">
        <v>214839.77000000002</v>
      </c>
      <c r="J26" s="31">
        <v>7341555.980055741</v>
      </c>
      <c r="K26" s="31">
        <v>3464597.7384328274</v>
      </c>
      <c r="L26" s="31">
        <v>4099741.4671753743</v>
      </c>
      <c r="M26" s="31">
        <f t="shared" si="4"/>
        <v>77061712.605993167</v>
      </c>
      <c r="N26" s="31">
        <v>0</v>
      </c>
      <c r="P26" s="42" t="s">
        <v>67</v>
      </c>
      <c r="Q26" s="42" t="s">
        <v>68</v>
      </c>
      <c r="R26" s="43" t="s">
        <v>1050</v>
      </c>
      <c r="S26" s="44">
        <v>34</v>
      </c>
      <c r="T26" s="31">
        <v>65990654.008061349</v>
      </c>
      <c r="U26" s="31">
        <v>786769.55999999994</v>
      </c>
      <c r="V26" s="31">
        <v>400885.29</v>
      </c>
      <c r="W26" s="31">
        <v>232851.55</v>
      </c>
      <c r="X26" s="31">
        <v>7706306.7640154585</v>
      </c>
      <c r="Y26" s="31">
        <v>3469099.6258202349</v>
      </c>
      <c r="Z26" s="31">
        <v>4321621.190693412</v>
      </c>
      <c r="AA26" s="31">
        <f t="shared" si="5"/>
        <v>82908187.988590464</v>
      </c>
      <c r="AB26" s="31">
        <v>0</v>
      </c>
      <c r="AD26" s="42" t="s">
        <v>67</v>
      </c>
      <c r="AE26" s="42" t="s">
        <v>68</v>
      </c>
      <c r="AF26" s="43" t="s">
        <v>1275</v>
      </c>
      <c r="AG26" s="44">
        <v>34</v>
      </c>
      <c r="AH26" s="31">
        <v>67220762.275236338</v>
      </c>
      <c r="AI26" s="31">
        <v>800173.07999999984</v>
      </c>
      <c r="AJ26" s="31">
        <v>407947.00999999995</v>
      </c>
      <c r="AK26" s="31">
        <v>236839.38</v>
      </c>
      <c r="AL26" s="31">
        <v>7851199.0131607037</v>
      </c>
      <c r="AM26" s="31">
        <v>3465620.8693350102</v>
      </c>
      <c r="AN26" s="31">
        <v>4398245.0854440313</v>
      </c>
      <c r="AO26" s="31">
        <f t="shared" si="6"/>
        <v>84380786.713176087</v>
      </c>
      <c r="AP26" s="31">
        <v>0</v>
      </c>
      <c r="AR26" s="42" t="s">
        <v>67</v>
      </c>
      <c r="AS26" s="42" t="s">
        <v>68</v>
      </c>
      <c r="AT26" s="43" t="s">
        <v>1276</v>
      </c>
      <c r="AU26" s="44">
        <v>34</v>
      </c>
      <c r="AV26" s="31">
        <v>67919660.039842635</v>
      </c>
      <c r="AW26" s="31">
        <v>808510.07000000007</v>
      </c>
      <c r="AX26" s="31">
        <v>415510.11999999994</v>
      </c>
      <c r="AY26" s="31">
        <v>239373.75</v>
      </c>
      <c r="AZ26" s="31">
        <v>7997813.1331744511</v>
      </c>
      <c r="BA26" s="31">
        <v>3465720.2623774451</v>
      </c>
      <c r="BB26" s="31">
        <v>4480306.8376015443</v>
      </c>
      <c r="BC26" s="31">
        <f t="shared" si="7"/>
        <v>85326894.212996066</v>
      </c>
      <c r="BD26" s="31">
        <v>0</v>
      </c>
    </row>
    <row r="27" spans="2:56">
      <c r="B27" s="42" t="s">
        <v>49</v>
      </c>
      <c r="C27" s="42" t="s">
        <v>50</v>
      </c>
      <c r="D27" s="43" t="s">
        <v>1049</v>
      </c>
      <c r="E27" s="44">
        <v>34</v>
      </c>
      <c r="F27" s="31">
        <v>4802200.8960865419</v>
      </c>
      <c r="G27" s="31">
        <v>217004.93000000008</v>
      </c>
      <c r="H27" s="31">
        <v>0</v>
      </c>
      <c r="I27" s="31">
        <v>0</v>
      </c>
      <c r="J27" s="31">
        <v>606879.84933551261</v>
      </c>
      <c r="K27" s="31">
        <v>276064.10665396188</v>
      </c>
      <c r="L27" s="31">
        <v>67614.206827759874</v>
      </c>
      <c r="M27" s="31">
        <f t="shared" si="4"/>
        <v>6111543.1789037762</v>
      </c>
      <c r="N27" s="31">
        <v>141779.18999999997</v>
      </c>
      <c r="P27" s="42" t="s">
        <v>49</v>
      </c>
      <c r="Q27" s="42" t="s">
        <v>50</v>
      </c>
      <c r="R27" s="43" t="s">
        <v>1050</v>
      </c>
      <c r="S27" s="44">
        <v>34</v>
      </c>
      <c r="T27" s="31">
        <v>5208551.9814931061</v>
      </c>
      <c r="U27" s="31">
        <v>239880.49</v>
      </c>
      <c r="V27" s="31">
        <v>0</v>
      </c>
      <c r="W27" s="31">
        <v>0</v>
      </c>
      <c r="X27" s="31">
        <v>640139.10105376726</v>
      </c>
      <c r="Y27" s="31">
        <v>276536.3794580822</v>
      </c>
      <c r="Z27" s="31">
        <v>72393.089959553399</v>
      </c>
      <c r="AA27" s="31">
        <f t="shared" si="5"/>
        <v>6586126.6519645089</v>
      </c>
      <c r="AB27" s="31">
        <v>148625.60999999999</v>
      </c>
      <c r="AD27" s="42" t="s">
        <v>49</v>
      </c>
      <c r="AE27" s="42" t="s">
        <v>50</v>
      </c>
      <c r="AF27" s="43" t="s">
        <v>1275</v>
      </c>
      <c r="AG27" s="44">
        <v>34</v>
      </c>
      <c r="AH27" s="31">
        <v>5279444.3227363918</v>
      </c>
      <c r="AI27" s="31">
        <v>243077.31</v>
      </c>
      <c r="AJ27" s="31">
        <v>0</v>
      </c>
      <c r="AK27" s="31">
        <v>0</v>
      </c>
      <c r="AL27" s="31">
        <v>649165.17563383351</v>
      </c>
      <c r="AM27" s="31">
        <v>276177.57950183353</v>
      </c>
      <c r="AN27" s="31">
        <v>73666.927211741262</v>
      </c>
      <c r="AO27" s="31">
        <f t="shared" si="6"/>
        <v>6672783.4750838</v>
      </c>
      <c r="AP27" s="31">
        <v>151252.15999999997</v>
      </c>
      <c r="AR27" s="42" t="s">
        <v>49</v>
      </c>
      <c r="AS27" s="42" t="s">
        <v>50</v>
      </c>
      <c r="AT27" s="43" t="s">
        <v>1276</v>
      </c>
      <c r="AU27" s="44">
        <v>34</v>
      </c>
      <c r="AV27" s="31">
        <v>5338291.2554320702</v>
      </c>
      <c r="AW27" s="31">
        <v>246533.68</v>
      </c>
      <c r="AX27" s="31">
        <v>0</v>
      </c>
      <c r="AY27" s="31">
        <v>0</v>
      </c>
      <c r="AZ27" s="31">
        <v>660368.57576764864</v>
      </c>
      <c r="BA27" s="31">
        <v>276187.83092915494</v>
      </c>
      <c r="BB27" s="31">
        <v>75031.163779634458</v>
      </c>
      <c r="BC27" s="31">
        <f t="shared" si="7"/>
        <v>6750477.6759085068</v>
      </c>
      <c r="BD27" s="31">
        <v>154065.16999999998</v>
      </c>
    </row>
    <row r="28" spans="2:56">
      <c r="B28" s="42" t="s">
        <v>367</v>
      </c>
      <c r="C28" s="42" t="s">
        <v>368</v>
      </c>
      <c r="D28" s="43" t="s">
        <v>1049</v>
      </c>
      <c r="E28" s="44">
        <v>34</v>
      </c>
      <c r="F28" s="31">
        <v>1676580.6507552369</v>
      </c>
      <c r="G28" s="31">
        <v>36584.26</v>
      </c>
      <c r="H28" s="31">
        <v>0</v>
      </c>
      <c r="I28" s="31">
        <v>5408.1</v>
      </c>
      <c r="J28" s="31">
        <v>257049.6078094382</v>
      </c>
      <c r="K28" s="31">
        <v>111344.81278901687</v>
      </c>
      <c r="L28" s="31">
        <v>0</v>
      </c>
      <c r="M28" s="31">
        <f t="shared" si="4"/>
        <v>2086967.431353692</v>
      </c>
      <c r="N28" s="31">
        <v>0</v>
      </c>
      <c r="P28" s="42" t="s">
        <v>367</v>
      </c>
      <c r="Q28" s="42" t="s">
        <v>368</v>
      </c>
      <c r="R28" s="43" t="s">
        <v>1050</v>
      </c>
      <c r="S28" s="44">
        <v>34</v>
      </c>
      <c r="T28" s="31">
        <v>1851763.7228949275</v>
      </c>
      <c r="U28" s="31">
        <v>40741.280000000006</v>
      </c>
      <c r="V28" s="31">
        <v>0</v>
      </c>
      <c r="W28" s="31">
        <v>6094.2600000000011</v>
      </c>
      <c r="X28" s="31">
        <v>270118.68390461046</v>
      </c>
      <c r="Y28" s="31">
        <v>111568.99244318699</v>
      </c>
      <c r="Z28" s="31">
        <v>0</v>
      </c>
      <c r="AA28" s="31">
        <f t="shared" si="5"/>
        <v>2280286.9392427253</v>
      </c>
      <c r="AB28" s="31">
        <v>0</v>
      </c>
      <c r="AD28" s="42" t="s">
        <v>367</v>
      </c>
      <c r="AE28" s="42" t="s">
        <v>368</v>
      </c>
      <c r="AF28" s="43" t="s">
        <v>1275</v>
      </c>
      <c r="AG28" s="44">
        <v>34</v>
      </c>
      <c r="AH28" s="31">
        <v>1884480.4303577752</v>
      </c>
      <c r="AI28" s="31">
        <v>41459.71</v>
      </c>
      <c r="AJ28" s="31">
        <v>0</v>
      </c>
      <c r="AK28" s="31">
        <v>6201.7200000000012</v>
      </c>
      <c r="AL28" s="31">
        <v>274895.98759676417</v>
      </c>
      <c r="AM28" s="31">
        <v>111396.80736516078</v>
      </c>
      <c r="AN28" s="31">
        <v>0</v>
      </c>
      <c r="AO28" s="31">
        <f t="shared" si="6"/>
        <v>2318434.6553197</v>
      </c>
      <c r="AP28" s="31">
        <v>0</v>
      </c>
      <c r="AR28" s="42" t="s">
        <v>367</v>
      </c>
      <c r="AS28" s="42" t="s">
        <v>368</v>
      </c>
      <c r="AT28" s="43" t="s">
        <v>1276</v>
      </c>
      <c r="AU28" s="44">
        <v>34</v>
      </c>
      <c r="AV28" s="31">
        <v>1919519.594576485</v>
      </c>
      <c r="AW28" s="31">
        <v>42229.13</v>
      </c>
      <c r="AX28" s="31">
        <v>0</v>
      </c>
      <c r="AY28" s="31">
        <v>6316.8200000000006</v>
      </c>
      <c r="AZ28" s="31">
        <v>280012.41781154927</v>
      </c>
      <c r="BA28" s="31">
        <v>111401.72693881868</v>
      </c>
      <c r="BB28" s="31">
        <v>0</v>
      </c>
      <c r="BC28" s="31">
        <f t="shared" si="7"/>
        <v>2359479.6893268526</v>
      </c>
      <c r="BD28" s="31">
        <v>0</v>
      </c>
    </row>
    <row r="29" spans="2:56">
      <c r="B29" s="42" t="s">
        <v>1226</v>
      </c>
      <c r="C29" s="42" t="s">
        <v>1227</v>
      </c>
      <c r="D29" s="43" t="s">
        <v>1049</v>
      </c>
      <c r="E29" s="44">
        <v>34</v>
      </c>
      <c r="F29" s="31">
        <v>1747359.6558962683</v>
      </c>
      <c r="G29" s="31">
        <v>51491.609999999993</v>
      </c>
      <c r="H29" s="31">
        <v>16260.520000000002</v>
      </c>
      <c r="I29" s="31">
        <v>0</v>
      </c>
      <c r="J29" s="31">
        <v>131410.50776088261</v>
      </c>
      <c r="K29" s="31">
        <v>47195.07</v>
      </c>
      <c r="L29" s="31">
        <v>0</v>
      </c>
      <c r="M29" s="31">
        <f t="shared" si="4"/>
        <v>2027480.523657151</v>
      </c>
      <c r="N29" s="31">
        <v>33763.159999999996</v>
      </c>
      <c r="P29" s="42" t="s">
        <v>1226</v>
      </c>
      <c r="Q29" s="42" t="s">
        <v>1227</v>
      </c>
      <c r="R29" s="43" t="s">
        <v>1050</v>
      </c>
      <c r="S29" s="44">
        <v>34</v>
      </c>
      <c r="T29" s="31">
        <v>2355060.2258474361</v>
      </c>
      <c r="U29" s="31">
        <v>110171.88</v>
      </c>
      <c r="V29" s="31">
        <v>17298.440000000002</v>
      </c>
      <c r="W29" s="31">
        <v>0</v>
      </c>
      <c r="X29" s="31">
        <v>139176.8623433582</v>
      </c>
      <c r="Y29" s="31">
        <v>47195.07</v>
      </c>
      <c r="Z29" s="31">
        <v>0</v>
      </c>
      <c r="AA29" s="31">
        <f t="shared" si="5"/>
        <v>2704325.818190794</v>
      </c>
      <c r="AB29" s="31">
        <v>35423.339999999997</v>
      </c>
      <c r="AD29" s="42" t="s">
        <v>1226</v>
      </c>
      <c r="AE29" s="42" t="s">
        <v>1227</v>
      </c>
      <c r="AF29" s="43" t="s">
        <v>1275</v>
      </c>
      <c r="AG29" s="44">
        <v>34</v>
      </c>
      <c r="AH29" s="31">
        <v>3095264.9334329851</v>
      </c>
      <c r="AI29" s="31">
        <v>167874.25</v>
      </c>
      <c r="AJ29" s="31">
        <v>17605.860000000004</v>
      </c>
      <c r="AK29" s="31">
        <v>0</v>
      </c>
      <c r="AL29" s="31">
        <v>141663.08618380898</v>
      </c>
      <c r="AM29" s="31">
        <v>47195.07</v>
      </c>
      <c r="AN29" s="31">
        <v>0</v>
      </c>
      <c r="AO29" s="31">
        <f t="shared" si="6"/>
        <v>3505663.4396167942</v>
      </c>
      <c r="AP29" s="31">
        <v>36060.239999999998</v>
      </c>
      <c r="AR29" s="42" t="s">
        <v>1226</v>
      </c>
      <c r="AS29" s="42" t="s">
        <v>1227</v>
      </c>
      <c r="AT29" s="43" t="s">
        <v>1276</v>
      </c>
      <c r="AU29" s="44">
        <v>34</v>
      </c>
      <c r="AV29" s="31">
        <v>4204927.758378122</v>
      </c>
      <c r="AW29" s="31">
        <v>227800.32000000001</v>
      </c>
      <c r="AX29" s="31">
        <v>17935.100000000002</v>
      </c>
      <c r="AY29" s="31">
        <v>0</v>
      </c>
      <c r="AZ29" s="31">
        <v>144325.86319219007</v>
      </c>
      <c r="BA29" s="31">
        <v>47195.07</v>
      </c>
      <c r="BB29" s="31">
        <v>0</v>
      </c>
      <c r="BC29" s="31">
        <f t="shared" si="7"/>
        <v>4678926.471570313</v>
      </c>
      <c r="BD29" s="31">
        <v>36742.36</v>
      </c>
    </row>
    <row r="30" spans="2:56">
      <c r="B30" s="42" t="s">
        <v>39</v>
      </c>
      <c r="C30" s="42" t="s">
        <v>40</v>
      </c>
      <c r="D30" s="43" t="s">
        <v>1049</v>
      </c>
      <c r="E30" s="44">
        <v>34</v>
      </c>
      <c r="F30" s="31">
        <v>9398777.6727278605</v>
      </c>
      <c r="G30" s="31">
        <v>310549.99</v>
      </c>
      <c r="H30" s="31">
        <v>232108.59</v>
      </c>
      <c r="I30" s="31">
        <v>0</v>
      </c>
      <c r="J30" s="31">
        <v>983613.64915245574</v>
      </c>
      <c r="K30" s="31">
        <v>941105.18427397101</v>
      </c>
      <c r="L30" s="31">
        <v>1552784.7394475355</v>
      </c>
      <c r="M30" s="31">
        <f t="shared" si="4"/>
        <v>13424104.285601825</v>
      </c>
      <c r="N30" s="31">
        <v>5164.46</v>
      </c>
      <c r="P30" s="42" t="s">
        <v>39</v>
      </c>
      <c r="Q30" s="42" t="s">
        <v>40</v>
      </c>
      <c r="R30" s="43" t="s">
        <v>1050</v>
      </c>
      <c r="S30" s="44">
        <v>34</v>
      </c>
      <c r="T30" s="31">
        <v>9581239.2369402573</v>
      </c>
      <c r="U30" s="31">
        <v>316577.19999999995</v>
      </c>
      <c r="V30" s="31">
        <v>247174.55999999997</v>
      </c>
      <c r="W30" s="31">
        <v>0</v>
      </c>
      <c r="X30" s="31">
        <v>1046289.219449529</v>
      </c>
      <c r="Y30" s="31">
        <v>943665.27706888935</v>
      </c>
      <c r="Z30" s="31">
        <v>1648230.8201279638</v>
      </c>
      <c r="AA30" s="31">
        <f t="shared" si="5"/>
        <v>13788590.163586639</v>
      </c>
      <c r="AB30" s="31">
        <v>5413.85</v>
      </c>
      <c r="AD30" s="42" t="s">
        <v>39</v>
      </c>
      <c r="AE30" s="42" t="s">
        <v>40</v>
      </c>
      <c r="AF30" s="43" t="s">
        <v>1275</v>
      </c>
      <c r="AG30" s="44">
        <v>34</v>
      </c>
      <c r="AH30" s="31">
        <v>10018404.536693906</v>
      </c>
      <c r="AI30" s="31">
        <v>328852.28999999998</v>
      </c>
      <c r="AJ30" s="31">
        <v>251484.00999999998</v>
      </c>
      <c r="AK30" s="31">
        <v>0</v>
      </c>
      <c r="AL30" s="31">
        <v>1067272.0343728394</v>
      </c>
      <c r="AM30" s="31">
        <v>941720.29701753939</v>
      </c>
      <c r="AN30" s="31">
        <v>1677233.6858941966</v>
      </c>
      <c r="AO30" s="31">
        <f t="shared" si="6"/>
        <v>14290476.38397848</v>
      </c>
      <c r="AP30" s="31">
        <v>5509.5300000000007</v>
      </c>
      <c r="AR30" s="42" t="s">
        <v>39</v>
      </c>
      <c r="AS30" s="42" t="s">
        <v>40</v>
      </c>
      <c r="AT30" s="43" t="s">
        <v>1276</v>
      </c>
      <c r="AU30" s="44">
        <v>34</v>
      </c>
      <c r="AV30" s="31">
        <v>10510004.375626422</v>
      </c>
      <c r="AW30" s="31">
        <v>343164.88999999996</v>
      </c>
      <c r="AX30" s="31">
        <v>256099.41999999998</v>
      </c>
      <c r="AY30" s="31">
        <v>0</v>
      </c>
      <c r="AZ30" s="31">
        <v>1088207.2050123063</v>
      </c>
      <c r="BA30" s="31">
        <v>941775.86787614936</v>
      </c>
      <c r="BB30" s="31">
        <v>1708294.7657052318</v>
      </c>
      <c r="BC30" s="31">
        <f t="shared" si="7"/>
        <v>14853158.514220111</v>
      </c>
      <c r="BD30" s="31">
        <v>5611.99</v>
      </c>
    </row>
    <row r="31" spans="2:56">
      <c r="B31" s="42" t="s">
        <v>37</v>
      </c>
      <c r="C31" s="42" t="s">
        <v>38</v>
      </c>
      <c r="D31" s="43" t="s">
        <v>1049</v>
      </c>
      <c r="E31" s="44">
        <v>34</v>
      </c>
      <c r="F31" s="31">
        <v>12392364.707411379</v>
      </c>
      <c r="G31" s="31">
        <v>441258.63</v>
      </c>
      <c r="H31" s="31">
        <v>310111.81</v>
      </c>
      <c r="I31" s="31">
        <v>45497.859999999993</v>
      </c>
      <c r="J31" s="31">
        <v>1848344.4327993318</v>
      </c>
      <c r="K31" s="31">
        <v>478942.58102959208</v>
      </c>
      <c r="L31" s="31">
        <v>1622373.0229085854</v>
      </c>
      <c r="M31" s="31">
        <f t="shared" si="4"/>
        <v>17138893.044148888</v>
      </c>
      <c r="N31" s="31">
        <v>0</v>
      </c>
      <c r="P31" s="42" t="s">
        <v>37</v>
      </c>
      <c r="Q31" s="42" t="s">
        <v>38</v>
      </c>
      <c r="R31" s="43" t="s">
        <v>1050</v>
      </c>
      <c r="S31" s="44">
        <v>34</v>
      </c>
      <c r="T31" s="31">
        <v>13140799.260338441</v>
      </c>
      <c r="U31" s="31">
        <v>469459.84</v>
      </c>
      <c r="V31" s="31">
        <v>330157.75</v>
      </c>
      <c r="W31" s="31">
        <v>48438.91</v>
      </c>
      <c r="X31" s="31">
        <v>1952650.3535793629</v>
      </c>
      <c r="Y31" s="31">
        <v>479733.73793365352</v>
      </c>
      <c r="Z31" s="31">
        <v>1721945.7790928518</v>
      </c>
      <c r="AA31" s="31">
        <f t="shared" si="5"/>
        <v>18143185.630944308</v>
      </c>
      <c r="AB31" s="31">
        <v>0</v>
      </c>
      <c r="AD31" s="42" t="s">
        <v>37</v>
      </c>
      <c r="AE31" s="42" t="s">
        <v>38</v>
      </c>
      <c r="AF31" s="43" t="s">
        <v>1275</v>
      </c>
      <c r="AG31" s="44">
        <v>34</v>
      </c>
      <c r="AH31" s="31">
        <v>13415260.363367379</v>
      </c>
      <c r="AI31" s="31">
        <v>477684.04999999993</v>
      </c>
      <c r="AJ31" s="31">
        <v>335941.58999999997</v>
      </c>
      <c r="AK31" s="31">
        <v>49287.479999999996</v>
      </c>
      <c r="AL31" s="31">
        <v>1992452.2634862007</v>
      </c>
      <c r="AM31" s="31">
        <v>479132.6720664546</v>
      </c>
      <c r="AN31" s="31">
        <v>1752328.673986647</v>
      </c>
      <c r="AO31" s="31">
        <f t="shared" si="6"/>
        <v>18502087.09290668</v>
      </c>
      <c r="AP31" s="31">
        <v>0</v>
      </c>
      <c r="AR31" s="42" t="s">
        <v>37</v>
      </c>
      <c r="AS31" s="42" t="s">
        <v>38</v>
      </c>
      <c r="AT31" s="43" t="s">
        <v>1276</v>
      </c>
      <c r="AU31" s="44">
        <v>34</v>
      </c>
      <c r="AV31" s="31">
        <v>13728842.744721815</v>
      </c>
      <c r="AW31" s="31">
        <v>488050.36000000004</v>
      </c>
      <c r="AX31" s="31">
        <v>342136.11</v>
      </c>
      <c r="AY31" s="31">
        <v>50307.59</v>
      </c>
      <c r="AZ31" s="31">
        <v>2031304.7388057727</v>
      </c>
      <c r="BA31" s="31">
        <v>479149.84537694597</v>
      </c>
      <c r="BB31" s="31">
        <v>1784867.7421269019</v>
      </c>
      <c r="BC31" s="31">
        <f t="shared" si="7"/>
        <v>18904659.131031431</v>
      </c>
      <c r="BD31" s="31">
        <v>0</v>
      </c>
    </row>
    <row r="32" spans="2:56">
      <c r="B32" s="42" t="s">
        <v>81</v>
      </c>
      <c r="C32" s="42" t="s">
        <v>82</v>
      </c>
      <c r="D32" s="43" t="s">
        <v>1049</v>
      </c>
      <c r="E32" s="44">
        <v>34</v>
      </c>
      <c r="F32" s="31">
        <v>11571339.715994649</v>
      </c>
      <c r="G32" s="31">
        <v>460319.44999999995</v>
      </c>
      <c r="H32" s="31">
        <v>32740.770000000004</v>
      </c>
      <c r="I32" s="31">
        <v>39464.32</v>
      </c>
      <c r="J32" s="31">
        <v>1819293.8537274187</v>
      </c>
      <c r="K32" s="31">
        <v>883520.31797443726</v>
      </c>
      <c r="L32" s="31">
        <v>675681.01465600077</v>
      </c>
      <c r="M32" s="31">
        <f t="shared" si="4"/>
        <v>15647037.662352504</v>
      </c>
      <c r="N32" s="31">
        <v>164678.22</v>
      </c>
      <c r="P32" s="42" t="s">
        <v>81</v>
      </c>
      <c r="Q32" s="42" t="s">
        <v>82</v>
      </c>
      <c r="R32" s="43" t="s">
        <v>1050</v>
      </c>
      <c r="S32" s="44">
        <v>34</v>
      </c>
      <c r="T32" s="31">
        <v>13027280.03295593</v>
      </c>
      <c r="U32" s="31">
        <v>517632.01</v>
      </c>
      <c r="V32" s="31">
        <v>34865.94</v>
      </c>
      <c r="W32" s="31">
        <v>44101.26</v>
      </c>
      <c r="X32" s="31">
        <v>1916808.0456939111</v>
      </c>
      <c r="Y32" s="31">
        <v>885647.04832887219</v>
      </c>
      <c r="Z32" s="31">
        <v>724160.59385009052</v>
      </c>
      <c r="AA32" s="31">
        <f t="shared" si="5"/>
        <v>17323125.350828804</v>
      </c>
      <c r="AB32" s="31">
        <v>172630.42</v>
      </c>
      <c r="AD32" s="42" t="s">
        <v>81</v>
      </c>
      <c r="AE32" s="42" t="s">
        <v>82</v>
      </c>
      <c r="AF32" s="43" t="s">
        <v>1275</v>
      </c>
      <c r="AG32" s="44">
        <v>34</v>
      </c>
      <c r="AH32" s="31">
        <v>13404093.329676395</v>
      </c>
      <c r="AI32" s="31">
        <v>529783.17999999993</v>
      </c>
      <c r="AJ32" s="31">
        <v>35473.82</v>
      </c>
      <c r="AK32" s="31">
        <v>45081.32</v>
      </c>
      <c r="AL32" s="31">
        <v>1958531.3833149844</v>
      </c>
      <c r="AM32" s="31">
        <v>884031.30685177131</v>
      </c>
      <c r="AN32" s="31">
        <v>736901.77790330839</v>
      </c>
      <c r="AO32" s="31">
        <f t="shared" si="6"/>
        <v>17769577.287746459</v>
      </c>
      <c r="AP32" s="31">
        <v>175681.17</v>
      </c>
      <c r="AR32" s="42" t="s">
        <v>81</v>
      </c>
      <c r="AS32" s="42" t="s">
        <v>82</v>
      </c>
      <c r="AT32" s="43" t="s">
        <v>1276</v>
      </c>
      <c r="AU32" s="44">
        <v>34</v>
      </c>
      <c r="AV32" s="31">
        <v>13827022.631056258</v>
      </c>
      <c r="AW32" s="31">
        <v>542795.99999999988</v>
      </c>
      <c r="AX32" s="31">
        <v>36124.870000000003</v>
      </c>
      <c r="AY32" s="31">
        <v>46231.199999999997</v>
      </c>
      <c r="AZ32" s="31">
        <v>2006004.0703913313</v>
      </c>
      <c r="BA32" s="31">
        <v>884077.4708939743</v>
      </c>
      <c r="BB32" s="31">
        <v>750547.15535490448</v>
      </c>
      <c r="BC32" s="31">
        <f t="shared" si="7"/>
        <v>18271751.92769647</v>
      </c>
      <c r="BD32" s="31">
        <v>178948.53</v>
      </c>
    </row>
    <row r="33" spans="2:56">
      <c r="B33" s="42" t="s">
        <v>1228</v>
      </c>
      <c r="C33" s="42" t="s">
        <v>1229</v>
      </c>
      <c r="D33" s="43" t="s">
        <v>1049</v>
      </c>
      <c r="E33" s="44">
        <v>34</v>
      </c>
      <c r="F33" s="31">
        <v>3215127.0694825966</v>
      </c>
      <c r="G33" s="31">
        <v>111678.11000000003</v>
      </c>
      <c r="H33" s="31">
        <v>0</v>
      </c>
      <c r="I33" s="31">
        <v>9824.06</v>
      </c>
      <c r="J33" s="31">
        <v>321473.46905599075</v>
      </c>
      <c r="K33" s="31">
        <v>47657.04</v>
      </c>
      <c r="L33" s="31">
        <v>0</v>
      </c>
      <c r="M33" s="31">
        <f t="shared" si="4"/>
        <v>3705759.7485385872</v>
      </c>
      <c r="N33" s="31">
        <v>0</v>
      </c>
      <c r="P33" s="42" t="s">
        <v>1228</v>
      </c>
      <c r="Q33" s="42" t="s">
        <v>1229</v>
      </c>
      <c r="R33" s="43" t="s">
        <v>1050</v>
      </c>
      <c r="S33" s="44">
        <v>34</v>
      </c>
      <c r="T33" s="31">
        <v>4311500.7812985647</v>
      </c>
      <c r="U33" s="31">
        <v>154604.81000000003</v>
      </c>
      <c r="V33" s="31">
        <v>0</v>
      </c>
      <c r="W33" s="31">
        <v>13574.46</v>
      </c>
      <c r="X33" s="31">
        <v>325306.30110341194</v>
      </c>
      <c r="Y33" s="31">
        <v>47657.04</v>
      </c>
      <c r="Z33" s="31">
        <v>0</v>
      </c>
      <c r="AA33" s="31">
        <f t="shared" si="5"/>
        <v>4852643.3924019765</v>
      </c>
      <c r="AB33" s="31">
        <v>0</v>
      </c>
      <c r="AD33" s="42" t="s">
        <v>1228</v>
      </c>
      <c r="AE33" s="42" t="s">
        <v>1229</v>
      </c>
      <c r="AF33" s="43" t="s">
        <v>1275</v>
      </c>
      <c r="AG33" s="44">
        <v>34</v>
      </c>
      <c r="AH33" s="31">
        <v>5014971.7326637665</v>
      </c>
      <c r="AI33" s="31">
        <v>179726.44</v>
      </c>
      <c r="AJ33" s="31">
        <v>0</v>
      </c>
      <c r="AK33" s="31">
        <v>15771.910000000002</v>
      </c>
      <c r="AL33" s="31">
        <v>331110.9062402597</v>
      </c>
      <c r="AM33" s="31">
        <v>47657.04</v>
      </c>
      <c r="AN33" s="31">
        <v>0</v>
      </c>
      <c r="AO33" s="31">
        <f t="shared" si="6"/>
        <v>5589238.0289040264</v>
      </c>
      <c r="AP33" s="31">
        <v>0</v>
      </c>
      <c r="AR33" s="42" t="s">
        <v>1228</v>
      </c>
      <c r="AS33" s="42" t="s">
        <v>1229</v>
      </c>
      <c r="AT33" s="43" t="s">
        <v>1276</v>
      </c>
      <c r="AU33" s="44">
        <v>34</v>
      </c>
      <c r="AV33" s="31">
        <v>5289471.4695912981</v>
      </c>
      <c r="AW33" s="31">
        <v>194545.99</v>
      </c>
      <c r="AX33" s="31">
        <v>0</v>
      </c>
      <c r="AY33" s="31">
        <v>17063.259999999998</v>
      </c>
      <c r="AZ33" s="31">
        <v>328560.8148485134</v>
      </c>
      <c r="BA33" s="31">
        <v>47657.04</v>
      </c>
      <c r="BB33" s="31">
        <v>0</v>
      </c>
      <c r="BC33" s="31">
        <f t="shared" si="7"/>
        <v>5877298.5744398115</v>
      </c>
      <c r="BD33" s="31">
        <v>0</v>
      </c>
    </row>
    <row r="34" spans="2:56">
      <c r="B34" s="42" t="s">
        <v>255</v>
      </c>
      <c r="C34" s="42" t="s">
        <v>256</v>
      </c>
      <c r="D34" s="43" t="s">
        <v>1049</v>
      </c>
      <c r="E34" s="44">
        <v>34</v>
      </c>
      <c r="F34" s="31">
        <v>895447.40019107971</v>
      </c>
      <c r="G34" s="31">
        <v>18663.190000000002</v>
      </c>
      <c r="H34" s="31">
        <v>0</v>
      </c>
      <c r="I34" s="31">
        <v>0</v>
      </c>
      <c r="J34" s="31">
        <v>72461.669974238175</v>
      </c>
      <c r="K34" s="31">
        <v>106398.64056856248</v>
      </c>
      <c r="L34" s="31">
        <v>0</v>
      </c>
      <c r="M34" s="31">
        <f t="shared" si="4"/>
        <v>1092970.9007338805</v>
      </c>
      <c r="N34" s="31">
        <v>0</v>
      </c>
      <c r="P34" s="42" t="s">
        <v>255</v>
      </c>
      <c r="Q34" s="42" t="s">
        <v>256</v>
      </c>
      <c r="R34" s="43" t="s">
        <v>1050</v>
      </c>
      <c r="S34" s="44">
        <v>34</v>
      </c>
      <c r="T34" s="31">
        <v>919672.20611382858</v>
      </c>
      <c r="U34" s="31">
        <v>19654.810000000001</v>
      </c>
      <c r="V34" s="31">
        <v>0</v>
      </c>
      <c r="W34" s="31">
        <v>0</v>
      </c>
      <c r="X34" s="31">
        <v>75025.858579610242</v>
      </c>
      <c r="Y34" s="31">
        <v>106690.77648563929</v>
      </c>
      <c r="Z34" s="31">
        <v>0</v>
      </c>
      <c r="AA34" s="31">
        <f t="shared" si="5"/>
        <v>1121043.6511790783</v>
      </c>
      <c r="AB34" s="31">
        <v>0</v>
      </c>
      <c r="AD34" s="42" t="s">
        <v>255</v>
      </c>
      <c r="AE34" s="42" t="s">
        <v>256</v>
      </c>
      <c r="AF34" s="43" t="s">
        <v>1275</v>
      </c>
      <c r="AG34" s="44">
        <v>34</v>
      </c>
      <c r="AH34" s="31">
        <v>950305.14028716169</v>
      </c>
      <c r="AI34" s="31">
        <v>19999.140000000003</v>
      </c>
      <c r="AJ34" s="31">
        <v>0</v>
      </c>
      <c r="AK34" s="31">
        <v>0</v>
      </c>
      <c r="AL34" s="31">
        <v>77672.708862571802</v>
      </c>
      <c r="AM34" s="31">
        <v>106468.83197951628</v>
      </c>
      <c r="AN34" s="31">
        <v>0</v>
      </c>
      <c r="AO34" s="31">
        <f t="shared" si="6"/>
        <v>1154445.8211292496</v>
      </c>
      <c r="AP34" s="31">
        <v>0</v>
      </c>
      <c r="AR34" s="42" t="s">
        <v>255</v>
      </c>
      <c r="AS34" s="42" t="s">
        <v>256</v>
      </c>
      <c r="AT34" s="43" t="s">
        <v>1276</v>
      </c>
      <c r="AU34" s="44">
        <v>34</v>
      </c>
      <c r="AV34" s="31">
        <v>970059.70061587286</v>
      </c>
      <c r="AW34" s="31">
        <v>20367.910000000003</v>
      </c>
      <c r="AX34" s="31">
        <v>0</v>
      </c>
      <c r="AY34" s="31">
        <v>0</v>
      </c>
      <c r="AZ34" s="31">
        <v>78575.918162594418</v>
      </c>
      <c r="BA34" s="31">
        <v>106475.17325111979</v>
      </c>
      <c r="BB34" s="31">
        <v>0</v>
      </c>
      <c r="BC34" s="31">
        <f t="shared" si="7"/>
        <v>1175478.7020295872</v>
      </c>
      <c r="BD34" s="31">
        <v>0</v>
      </c>
    </row>
    <row r="35" spans="2:56">
      <c r="B35" s="42" t="s">
        <v>233</v>
      </c>
      <c r="C35" s="42" t="s">
        <v>234</v>
      </c>
      <c r="D35" s="43" t="s">
        <v>1049</v>
      </c>
      <c r="E35" s="44">
        <v>34</v>
      </c>
      <c r="F35" s="31">
        <v>100811593.27431473</v>
      </c>
      <c r="G35" s="31">
        <v>3057766.8500000006</v>
      </c>
      <c r="H35" s="31">
        <v>763340.74</v>
      </c>
      <c r="I35" s="31">
        <v>361909.32999999996</v>
      </c>
      <c r="J35" s="31">
        <v>16234883.168405313</v>
      </c>
      <c r="K35" s="31">
        <v>5555917.4045732347</v>
      </c>
      <c r="L35" s="31">
        <v>7774165.2287344141</v>
      </c>
      <c r="M35" s="31">
        <f t="shared" si="4"/>
        <v>134896078.25602767</v>
      </c>
      <c r="N35" s="31">
        <v>336502.25999999995</v>
      </c>
      <c r="P35" s="42" t="s">
        <v>233</v>
      </c>
      <c r="Q35" s="42" t="s">
        <v>234</v>
      </c>
      <c r="R35" s="43" t="s">
        <v>1050</v>
      </c>
      <c r="S35" s="44">
        <v>34</v>
      </c>
      <c r="T35" s="31">
        <v>107501636.37392662</v>
      </c>
      <c r="U35" s="31">
        <v>3264728.3499999996</v>
      </c>
      <c r="V35" s="31">
        <v>812065.72000000009</v>
      </c>
      <c r="W35" s="31">
        <v>385851.35</v>
      </c>
      <c r="X35" s="31">
        <v>17194070.046164304</v>
      </c>
      <c r="Y35" s="31">
        <v>5570923.9403285999</v>
      </c>
      <c r="Z35" s="31">
        <v>8247658.9237935711</v>
      </c>
      <c r="AA35" s="31">
        <f t="shared" si="5"/>
        <v>143329983.19421312</v>
      </c>
      <c r="AB35" s="31">
        <v>353048.49</v>
      </c>
      <c r="AD35" s="42" t="s">
        <v>233</v>
      </c>
      <c r="AE35" s="42" t="s">
        <v>234</v>
      </c>
      <c r="AF35" s="43" t="s">
        <v>1275</v>
      </c>
      <c r="AG35" s="44">
        <v>34</v>
      </c>
      <c r="AH35" s="31">
        <v>108072852.3283646</v>
      </c>
      <c r="AI35" s="31">
        <v>3272545.2000000011</v>
      </c>
      <c r="AJ35" s="31">
        <v>826497.13</v>
      </c>
      <c r="AK35" s="31">
        <v>386717.52</v>
      </c>
      <c r="AL35" s="31">
        <v>17553850.715299923</v>
      </c>
      <c r="AM35" s="31">
        <v>5559172.0674183704</v>
      </c>
      <c r="AN35" s="31">
        <v>8394873.4977871776</v>
      </c>
      <c r="AO35" s="31">
        <f t="shared" si="6"/>
        <v>144425904.67887005</v>
      </c>
      <c r="AP35" s="31">
        <v>359396.22</v>
      </c>
      <c r="AR35" s="42" t="s">
        <v>233</v>
      </c>
      <c r="AS35" s="42" t="s">
        <v>234</v>
      </c>
      <c r="AT35" s="43" t="s">
        <v>1276</v>
      </c>
      <c r="AU35" s="44">
        <v>34</v>
      </c>
      <c r="AV35" s="31">
        <v>112239743.73029213</v>
      </c>
      <c r="AW35" s="31">
        <v>3383859.8199999994</v>
      </c>
      <c r="AX35" s="31">
        <v>841953.15999999992</v>
      </c>
      <c r="AY35" s="31">
        <v>399927.75</v>
      </c>
      <c r="AZ35" s="31">
        <v>17925232.904869825</v>
      </c>
      <c r="BA35" s="31">
        <v>5559507.8352158051</v>
      </c>
      <c r="BB35" s="31">
        <v>8552535.9148271289</v>
      </c>
      <c r="BC35" s="31">
        <f t="shared" si="7"/>
        <v>149268955.75520489</v>
      </c>
      <c r="BD35" s="31">
        <v>366194.64</v>
      </c>
    </row>
    <row r="36" spans="2:56">
      <c r="B36" s="42" t="s">
        <v>463</v>
      </c>
      <c r="C36" s="42" t="s">
        <v>464</v>
      </c>
      <c r="D36" s="43" t="s">
        <v>1049</v>
      </c>
      <c r="E36" s="44">
        <v>34</v>
      </c>
      <c r="F36" s="31">
        <v>115808044.69396487</v>
      </c>
      <c r="G36" s="31">
        <v>3350081.08</v>
      </c>
      <c r="H36" s="31">
        <v>763268.91</v>
      </c>
      <c r="I36" s="31">
        <v>394837.94</v>
      </c>
      <c r="J36" s="31">
        <v>18413126.553750012</v>
      </c>
      <c r="K36" s="31">
        <v>6595479.5111921662</v>
      </c>
      <c r="L36" s="31">
        <v>6680697.2382057672</v>
      </c>
      <c r="M36" s="31">
        <f t="shared" si="4"/>
        <v>152985907.25711283</v>
      </c>
      <c r="N36" s="31">
        <v>980371.33</v>
      </c>
      <c r="P36" s="42" t="s">
        <v>463</v>
      </c>
      <c r="Q36" s="42" t="s">
        <v>464</v>
      </c>
      <c r="R36" s="43" t="s">
        <v>1050</v>
      </c>
      <c r="S36" s="44">
        <v>34</v>
      </c>
      <c r="T36" s="31">
        <v>126726830.55558354</v>
      </c>
      <c r="U36" s="31">
        <v>3687593.189999999</v>
      </c>
      <c r="V36" s="31">
        <v>812812.04</v>
      </c>
      <c r="W36" s="31">
        <v>432711.12000000005</v>
      </c>
      <c r="X36" s="31">
        <v>19449140.451416433</v>
      </c>
      <c r="Y36" s="31">
        <v>6608135.2509736586</v>
      </c>
      <c r="Z36" s="31">
        <v>7091523.2197728939</v>
      </c>
      <c r="AA36" s="31">
        <f t="shared" si="5"/>
        <v>165836458.63774657</v>
      </c>
      <c r="AB36" s="31">
        <v>1027712.8099999999</v>
      </c>
      <c r="AD36" s="42" t="s">
        <v>463</v>
      </c>
      <c r="AE36" s="42" t="s">
        <v>464</v>
      </c>
      <c r="AF36" s="43" t="s">
        <v>1275</v>
      </c>
      <c r="AG36" s="44">
        <v>34</v>
      </c>
      <c r="AH36" s="31">
        <v>132951875.98406877</v>
      </c>
      <c r="AI36" s="31">
        <v>3860702.7600000002</v>
      </c>
      <c r="AJ36" s="31">
        <v>826983.29</v>
      </c>
      <c r="AK36" s="31">
        <v>453135.75</v>
      </c>
      <c r="AL36" s="31">
        <v>19791549.032900617</v>
      </c>
      <c r="AM36" s="31">
        <v>6598520.3020706577</v>
      </c>
      <c r="AN36" s="31">
        <v>7216294.2503911387</v>
      </c>
      <c r="AO36" s="31">
        <f t="shared" si="6"/>
        <v>172744936.09943116</v>
      </c>
      <c r="AP36" s="31">
        <v>1045874.73</v>
      </c>
      <c r="AR36" s="42" t="s">
        <v>463</v>
      </c>
      <c r="AS36" s="42" t="s">
        <v>464</v>
      </c>
      <c r="AT36" s="43" t="s">
        <v>1276</v>
      </c>
      <c r="AU36" s="44">
        <v>34</v>
      </c>
      <c r="AV36" s="31">
        <v>139615745.99237415</v>
      </c>
      <c r="AW36" s="31">
        <v>4046018.4000000004</v>
      </c>
      <c r="AX36" s="31">
        <v>842160.69000000018</v>
      </c>
      <c r="AY36" s="31">
        <v>474998.83</v>
      </c>
      <c r="AZ36" s="31">
        <v>20158214.328956164</v>
      </c>
      <c r="BA36" s="31">
        <v>6598795.014896458</v>
      </c>
      <c r="BB36" s="31">
        <v>7349919.8062946768</v>
      </c>
      <c r="BC36" s="31">
        <f t="shared" si="7"/>
        <v>180151179.20252144</v>
      </c>
      <c r="BD36" s="31">
        <v>1065326.1399999999</v>
      </c>
    </row>
    <row r="37" spans="2:56">
      <c r="B37" s="42" t="s">
        <v>295</v>
      </c>
      <c r="C37" s="42" t="s">
        <v>296</v>
      </c>
      <c r="D37" s="43" t="s">
        <v>1049</v>
      </c>
      <c r="E37" s="44">
        <v>34</v>
      </c>
      <c r="F37" s="31">
        <v>27079753.167837314</v>
      </c>
      <c r="G37" s="31">
        <v>1697842.1400000001</v>
      </c>
      <c r="H37" s="31">
        <v>739687.79</v>
      </c>
      <c r="I37" s="31">
        <v>94714.340000000011</v>
      </c>
      <c r="J37" s="31">
        <v>4300637.4243836282</v>
      </c>
      <c r="K37" s="31">
        <v>1995130.505136417</v>
      </c>
      <c r="L37" s="31">
        <v>2464974.5261939624</v>
      </c>
      <c r="M37" s="31">
        <f t="shared" si="4"/>
        <v>39311698.053551316</v>
      </c>
      <c r="N37" s="31">
        <v>938958.16000000015</v>
      </c>
      <c r="P37" s="42" t="s">
        <v>295</v>
      </c>
      <c r="Q37" s="42" t="s">
        <v>296</v>
      </c>
      <c r="R37" s="43" t="s">
        <v>1050</v>
      </c>
      <c r="S37" s="44">
        <v>34</v>
      </c>
      <c r="T37" s="31">
        <v>28482084.444344297</v>
      </c>
      <c r="U37" s="31">
        <v>1785673.9600000002</v>
      </c>
      <c r="V37" s="31">
        <v>787700.27</v>
      </c>
      <c r="W37" s="31">
        <v>98683.049999999988</v>
      </c>
      <c r="X37" s="31">
        <v>4551088.0611143187</v>
      </c>
      <c r="Y37" s="31">
        <v>2002075.3312532711</v>
      </c>
      <c r="Z37" s="31">
        <v>2641949.2841209355</v>
      </c>
      <c r="AA37" s="31">
        <f t="shared" si="5"/>
        <v>41333554.220832817</v>
      </c>
      <c r="AB37" s="31">
        <v>984299.82000000007</v>
      </c>
      <c r="AD37" s="42" t="s">
        <v>295</v>
      </c>
      <c r="AE37" s="42" t="s">
        <v>296</v>
      </c>
      <c r="AF37" s="43" t="s">
        <v>1275</v>
      </c>
      <c r="AG37" s="44">
        <v>34</v>
      </c>
      <c r="AH37" s="31">
        <v>29600810.791811384</v>
      </c>
      <c r="AI37" s="31">
        <v>1851413.6699999995</v>
      </c>
      <c r="AJ37" s="31">
        <v>801433.7</v>
      </c>
      <c r="AK37" s="31">
        <v>102409.52</v>
      </c>
      <c r="AL37" s="31">
        <v>4631084.1338043343</v>
      </c>
      <c r="AM37" s="31">
        <v>1996799.136466821</v>
      </c>
      <c r="AN37" s="31">
        <v>2688432.5586984875</v>
      </c>
      <c r="AO37" s="31">
        <f t="shared" si="6"/>
        <v>42674078.040781029</v>
      </c>
      <c r="AP37" s="31">
        <v>1001694.5300000001</v>
      </c>
      <c r="AR37" s="42" t="s">
        <v>295</v>
      </c>
      <c r="AS37" s="42" t="s">
        <v>296</v>
      </c>
      <c r="AT37" s="43" t="s">
        <v>1276</v>
      </c>
      <c r="AU37" s="44">
        <v>34</v>
      </c>
      <c r="AV37" s="31">
        <v>30800306.276258014</v>
      </c>
      <c r="AW37" s="31">
        <v>1921808.7000000002</v>
      </c>
      <c r="AX37" s="31">
        <v>816142.20000000007</v>
      </c>
      <c r="AY37" s="31">
        <v>106331.80000000002</v>
      </c>
      <c r="AZ37" s="31">
        <v>4717235.526997718</v>
      </c>
      <c r="BA37" s="31">
        <v>1996949.8848892911</v>
      </c>
      <c r="BB37" s="31">
        <v>2738214.5748946462</v>
      </c>
      <c r="BC37" s="31">
        <f t="shared" si="7"/>
        <v>44117313.233039662</v>
      </c>
      <c r="BD37" s="31">
        <v>1020324.2700000001</v>
      </c>
    </row>
    <row r="38" spans="2:56">
      <c r="B38" s="42" t="s">
        <v>291</v>
      </c>
      <c r="C38" s="42" t="s">
        <v>292</v>
      </c>
      <c r="D38" s="43" t="s">
        <v>1049</v>
      </c>
      <c r="E38" s="44">
        <v>34</v>
      </c>
      <c r="F38" s="31">
        <v>23656915.479530647</v>
      </c>
      <c r="G38" s="31">
        <v>858608.19999999972</v>
      </c>
      <c r="H38" s="31">
        <v>180478.21</v>
      </c>
      <c r="I38" s="31">
        <v>82622.490000000005</v>
      </c>
      <c r="J38" s="31">
        <v>3648495.1463529528</v>
      </c>
      <c r="K38" s="31">
        <v>1280371.5930994134</v>
      </c>
      <c r="L38" s="31">
        <v>1553536.4958006898</v>
      </c>
      <c r="M38" s="31">
        <f t="shared" si="4"/>
        <v>31631265.184783705</v>
      </c>
      <c r="N38" s="31">
        <v>370237.57000000007</v>
      </c>
      <c r="P38" s="42" t="s">
        <v>291</v>
      </c>
      <c r="Q38" s="42" t="s">
        <v>292</v>
      </c>
      <c r="R38" s="43" t="s">
        <v>1050</v>
      </c>
      <c r="S38" s="44">
        <v>34</v>
      </c>
      <c r="T38" s="31">
        <v>26151953.980303608</v>
      </c>
      <c r="U38" s="31">
        <v>953592.11999999988</v>
      </c>
      <c r="V38" s="31">
        <v>192144.51</v>
      </c>
      <c r="W38" s="31">
        <v>91185.4</v>
      </c>
      <c r="X38" s="31">
        <v>3864477.7506946921</v>
      </c>
      <c r="Y38" s="31">
        <v>1282828.3885529302</v>
      </c>
      <c r="Z38" s="31">
        <v>1648883.7747351006</v>
      </c>
      <c r="AA38" s="31">
        <f t="shared" si="5"/>
        <v>34573263.244286336</v>
      </c>
      <c r="AB38" s="31">
        <v>388197.32</v>
      </c>
      <c r="AD38" s="42" t="s">
        <v>291</v>
      </c>
      <c r="AE38" s="42" t="s">
        <v>292</v>
      </c>
      <c r="AF38" s="43" t="s">
        <v>1275</v>
      </c>
      <c r="AG38" s="44">
        <v>34</v>
      </c>
      <c r="AH38" s="31">
        <v>26272805.290111255</v>
      </c>
      <c r="AI38" s="31">
        <v>957094.01000000024</v>
      </c>
      <c r="AJ38" s="31">
        <v>195510.58</v>
      </c>
      <c r="AK38" s="31">
        <v>91580.709999999992</v>
      </c>
      <c r="AL38" s="31">
        <v>3937206.1667568022</v>
      </c>
      <c r="AM38" s="31">
        <v>1280961.8866211164</v>
      </c>
      <c r="AN38" s="31">
        <v>1677977.3511222475</v>
      </c>
      <c r="AO38" s="31">
        <f t="shared" si="6"/>
        <v>34808223.324611418</v>
      </c>
      <c r="AP38" s="31">
        <v>395087.33</v>
      </c>
      <c r="AR38" s="42" t="s">
        <v>291</v>
      </c>
      <c r="AS38" s="42" t="s">
        <v>292</v>
      </c>
      <c r="AT38" s="43" t="s">
        <v>1276</v>
      </c>
      <c r="AU38" s="44">
        <v>34</v>
      </c>
      <c r="AV38" s="31">
        <v>26529837.546849925</v>
      </c>
      <c r="AW38" s="31">
        <v>964631.01</v>
      </c>
      <c r="AX38" s="31">
        <v>199115.65</v>
      </c>
      <c r="AY38" s="31">
        <v>92267.66</v>
      </c>
      <c r="AZ38" s="31">
        <v>4017776.1580777103</v>
      </c>
      <c r="BA38" s="31">
        <v>1281015.2152477398</v>
      </c>
      <c r="BB38" s="31">
        <v>1709135.6021012815</v>
      </c>
      <c r="BC38" s="31">
        <f t="shared" si="7"/>
        <v>35196245.372276656</v>
      </c>
      <c r="BD38" s="31">
        <v>402466.53</v>
      </c>
    </row>
    <row r="39" spans="2:56">
      <c r="B39" s="42" t="s">
        <v>467</v>
      </c>
      <c r="C39" s="42" t="s">
        <v>468</v>
      </c>
      <c r="D39" s="43" t="s">
        <v>1049</v>
      </c>
      <c r="E39" s="44">
        <v>34</v>
      </c>
      <c r="F39" s="31">
        <v>40798137.945282385</v>
      </c>
      <c r="G39" s="31">
        <v>1594845.1799999997</v>
      </c>
      <c r="H39" s="31">
        <v>364046.04</v>
      </c>
      <c r="I39" s="31">
        <v>144702.47</v>
      </c>
      <c r="J39" s="31">
        <v>6779568.6987778274</v>
      </c>
      <c r="K39" s="31">
        <v>2921707.6402007653</v>
      </c>
      <c r="L39" s="31">
        <v>4423596.4114251006</v>
      </c>
      <c r="M39" s="31">
        <f t="shared" si="4"/>
        <v>57457398.70568607</v>
      </c>
      <c r="N39" s="31">
        <v>430794.31999999995</v>
      </c>
      <c r="P39" s="42" t="s">
        <v>467</v>
      </c>
      <c r="Q39" s="42" t="s">
        <v>468</v>
      </c>
      <c r="R39" s="43" t="s">
        <v>1050</v>
      </c>
      <c r="S39" s="44">
        <v>34</v>
      </c>
      <c r="T39" s="31">
        <v>44266447.987845466</v>
      </c>
      <c r="U39" s="31">
        <v>1738523.0200000005</v>
      </c>
      <c r="V39" s="31">
        <v>387675.95</v>
      </c>
      <c r="W39" s="31">
        <v>157104.24</v>
      </c>
      <c r="X39" s="31">
        <v>7161795.951519615</v>
      </c>
      <c r="Y39" s="31">
        <v>2927984.7908361261</v>
      </c>
      <c r="Z39" s="31">
        <v>4695503.4437242746</v>
      </c>
      <c r="AA39" s="31">
        <f t="shared" si="5"/>
        <v>61786632.473925494</v>
      </c>
      <c r="AB39" s="31">
        <v>451597.08999999997</v>
      </c>
      <c r="AD39" s="42" t="s">
        <v>467</v>
      </c>
      <c r="AE39" s="42" t="s">
        <v>468</v>
      </c>
      <c r="AF39" s="43" t="s">
        <v>1275</v>
      </c>
      <c r="AG39" s="44">
        <v>34</v>
      </c>
      <c r="AH39" s="31">
        <v>45854087.374574266</v>
      </c>
      <c r="AI39" s="31">
        <v>1795226.5099999998</v>
      </c>
      <c r="AJ39" s="31">
        <v>394435.02</v>
      </c>
      <c r="AK39" s="31">
        <v>162271.58000000002</v>
      </c>
      <c r="AL39" s="31">
        <v>7292893.6079118159</v>
      </c>
      <c r="AM39" s="31">
        <v>2923215.8493394232</v>
      </c>
      <c r="AN39" s="31">
        <v>4778127.1581537938</v>
      </c>
      <c r="AO39" s="31">
        <f t="shared" si="6"/>
        <v>63659834.889979303</v>
      </c>
      <c r="AP39" s="31">
        <v>459577.79</v>
      </c>
      <c r="AR39" s="42" t="s">
        <v>467</v>
      </c>
      <c r="AS39" s="42" t="s">
        <v>468</v>
      </c>
      <c r="AT39" s="43" t="s">
        <v>1276</v>
      </c>
      <c r="AU39" s="44">
        <v>34</v>
      </c>
      <c r="AV39" s="31">
        <v>47060110.327734679</v>
      </c>
      <c r="AW39" s="31">
        <v>1837307.2599999998</v>
      </c>
      <c r="AX39" s="31">
        <v>401673.99000000005</v>
      </c>
      <c r="AY39" s="31">
        <v>166002.31</v>
      </c>
      <c r="AZ39" s="31">
        <v>7436845.0480086785</v>
      </c>
      <c r="BA39" s="31">
        <v>2923352.1048107576</v>
      </c>
      <c r="BB39" s="31">
        <v>4866614.3372882083</v>
      </c>
      <c r="BC39" s="31">
        <f t="shared" si="7"/>
        <v>65160030.497842327</v>
      </c>
      <c r="BD39" s="31">
        <v>468125.12</v>
      </c>
    </row>
    <row r="40" spans="2:56">
      <c r="B40" s="42" t="s">
        <v>485</v>
      </c>
      <c r="C40" s="42" t="s">
        <v>486</v>
      </c>
      <c r="D40" s="43" t="s">
        <v>1049</v>
      </c>
      <c r="E40" s="44">
        <v>34</v>
      </c>
      <c r="F40" s="31">
        <v>6138978.8253290355</v>
      </c>
      <c r="G40" s="31">
        <v>278491.32</v>
      </c>
      <c r="H40" s="31">
        <v>1753.96</v>
      </c>
      <c r="I40" s="31">
        <v>21534.85</v>
      </c>
      <c r="J40" s="31">
        <v>942991.21989566379</v>
      </c>
      <c r="K40" s="31">
        <v>567589.48461338005</v>
      </c>
      <c r="L40" s="31">
        <v>628610.55154032598</v>
      </c>
      <c r="M40" s="31">
        <f t="shared" si="4"/>
        <v>8795493.5313784052</v>
      </c>
      <c r="N40" s="31">
        <v>215543.32</v>
      </c>
      <c r="P40" s="42" t="s">
        <v>485</v>
      </c>
      <c r="Q40" s="42" t="s">
        <v>486</v>
      </c>
      <c r="R40" s="43" t="s">
        <v>1050</v>
      </c>
      <c r="S40" s="44">
        <v>34</v>
      </c>
      <c r="T40" s="31">
        <v>6078407.5572184827</v>
      </c>
      <c r="U40" s="31">
        <v>280849.47000000009</v>
      </c>
      <c r="V40" s="31">
        <v>1867.83</v>
      </c>
      <c r="W40" s="31">
        <v>21376.140000000003</v>
      </c>
      <c r="X40" s="31">
        <v>990896.63886119775</v>
      </c>
      <c r="Y40" s="31">
        <v>569249.22722193215</v>
      </c>
      <c r="Z40" s="31">
        <v>673678.1764007695</v>
      </c>
      <c r="AA40" s="31">
        <f t="shared" si="5"/>
        <v>8842276.7997023817</v>
      </c>
      <c r="AB40" s="31">
        <v>225951.75999999998</v>
      </c>
      <c r="AD40" s="42" t="s">
        <v>485</v>
      </c>
      <c r="AE40" s="42" t="s">
        <v>486</v>
      </c>
      <c r="AF40" s="43" t="s">
        <v>1275</v>
      </c>
      <c r="AG40" s="44">
        <v>34</v>
      </c>
      <c r="AH40" s="31">
        <v>6153141.196082457</v>
      </c>
      <c r="AI40" s="31">
        <v>281363.7699999999</v>
      </c>
      <c r="AJ40" s="31">
        <v>1900.3799999999999</v>
      </c>
      <c r="AK40" s="31">
        <v>21432.1</v>
      </c>
      <c r="AL40" s="31">
        <v>1010342.1558724935</v>
      </c>
      <c r="AM40" s="31">
        <v>567988.27048223221</v>
      </c>
      <c r="AN40" s="31">
        <v>685531.16225417773</v>
      </c>
      <c r="AO40" s="31">
        <f t="shared" si="6"/>
        <v>8951643.8546913601</v>
      </c>
      <c r="AP40" s="31">
        <v>229944.82</v>
      </c>
      <c r="AR40" s="42" t="s">
        <v>485</v>
      </c>
      <c r="AS40" s="42" t="s">
        <v>486</v>
      </c>
      <c r="AT40" s="43" t="s">
        <v>1276</v>
      </c>
      <c r="AU40" s="44">
        <v>34</v>
      </c>
      <c r="AV40" s="31">
        <v>6227457.964706081</v>
      </c>
      <c r="AW40" s="31">
        <v>284428.33</v>
      </c>
      <c r="AX40" s="31">
        <v>1935.2599999999998</v>
      </c>
      <c r="AY40" s="31">
        <v>21717.909999999996</v>
      </c>
      <c r="AZ40" s="31">
        <v>1029831.8095931616</v>
      </c>
      <c r="BA40" s="31">
        <v>568024.29781765211</v>
      </c>
      <c r="BB40" s="31">
        <v>698225.30948837788</v>
      </c>
      <c r="BC40" s="31">
        <f t="shared" si="7"/>
        <v>9065842.2616052739</v>
      </c>
      <c r="BD40" s="31">
        <v>234221.38</v>
      </c>
    </row>
    <row r="41" spans="2:56">
      <c r="B41" s="42" t="s">
        <v>1038</v>
      </c>
      <c r="C41" s="42" t="s">
        <v>1043</v>
      </c>
      <c r="D41" s="43" t="s">
        <v>1049</v>
      </c>
      <c r="E41" s="44">
        <v>34</v>
      </c>
      <c r="F41" s="31">
        <v>5379636.1083789701</v>
      </c>
      <c r="G41" s="31">
        <v>201202.34000000003</v>
      </c>
      <c r="H41" s="31">
        <v>0</v>
      </c>
      <c r="I41" s="31">
        <v>0</v>
      </c>
      <c r="J41" s="31">
        <v>0</v>
      </c>
      <c r="K41" s="31">
        <v>487556.37</v>
      </c>
      <c r="L41" s="31">
        <v>266444.6497730267</v>
      </c>
      <c r="M41" s="31">
        <f t="shared" si="4"/>
        <v>6513571.9581519971</v>
      </c>
      <c r="N41" s="31">
        <v>178732.49</v>
      </c>
      <c r="P41" s="42" t="s">
        <v>1038</v>
      </c>
      <c r="Q41" s="42" t="s">
        <v>1043</v>
      </c>
      <c r="R41" s="43" t="s">
        <v>1050</v>
      </c>
      <c r="S41" s="44">
        <v>34</v>
      </c>
      <c r="T41" s="31">
        <v>5778477.5859873015</v>
      </c>
      <c r="U41" s="31">
        <v>217024.62999999989</v>
      </c>
      <c r="V41" s="31">
        <v>0</v>
      </c>
      <c r="W41" s="31">
        <v>0</v>
      </c>
      <c r="X41" s="31">
        <v>0</v>
      </c>
      <c r="Y41" s="31">
        <v>487556.37</v>
      </c>
      <c r="Z41" s="31">
        <v>285473.81737561541</v>
      </c>
      <c r="AA41" s="31">
        <f t="shared" si="5"/>
        <v>6955953.5933629172</v>
      </c>
      <c r="AB41" s="31">
        <v>187421.19</v>
      </c>
      <c r="AD41" s="42" t="s">
        <v>1038</v>
      </c>
      <c r="AE41" s="42" t="s">
        <v>1043</v>
      </c>
      <c r="AF41" s="43" t="s">
        <v>1275</v>
      </c>
      <c r="AG41" s="44">
        <v>34</v>
      </c>
      <c r="AH41" s="31">
        <v>5880335.8615814429</v>
      </c>
      <c r="AI41" s="31">
        <v>220792.65999999997</v>
      </c>
      <c r="AJ41" s="31">
        <v>0</v>
      </c>
      <c r="AK41" s="31">
        <v>0</v>
      </c>
      <c r="AL41" s="31">
        <v>0</v>
      </c>
      <c r="AM41" s="31">
        <v>487556.37</v>
      </c>
      <c r="AN41" s="31">
        <v>290522.64041987283</v>
      </c>
      <c r="AO41" s="31">
        <f t="shared" si="6"/>
        <v>7069962.0220013158</v>
      </c>
      <c r="AP41" s="31">
        <v>190754.49</v>
      </c>
      <c r="AR41" s="42" t="s">
        <v>1038</v>
      </c>
      <c r="AS41" s="42" t="s">
        <v>1043</v>
      </c>
      <c r="AT41" s="43" t="s">
        <v>1276</v>
      </c>
      <c r="AU41" s="44">
        <v>34</v>
      </c>
      <c r="AV41" s="31">
        <v>5989422.5164154284</v>
      </c>
      <c r="AW41" s="31">
        <v>224828.21999999997</v>
      </c>
      <c r="AX41" s="31">
        <v>0</v>
      </c>
      <c r="AY41" s="31">
        <v>0</v>
      </c>
      <c r="AZ41" s="31">
        <v>0</v>
      </c>
      <c r="BA41" s="31">
        <v>487556.37</v>
      </c>
      <c r="BB41" s="31">
        <v>295929.76700547256</v>
      </c>
      <c r="BC41" s="31">
        <f t="shared" si="7"/>
        <v>7192061.3234209009</v>
      </c>
      <c r="BD41" s="31">
        <v>194324.45</v>
      </c>
    </row>
    <row r="42" spans="2:56">
      <c r="B42" s="42" t="s">
        <v>179</v>
      </c>
      <c r="C42" s="42" t="s">
        <v>180</v>
      </c>
      <c r="D42" s="43" t="s">
        <v>1049</v>
      </c>
      <c r="E42" s="44">
        <v>34</v>
      </c>
      <c r="F42" s="31">
        <v>6495669.4829871859</v>
      </c>
      <c r="G42" s="31">
        <v>239121.79000000004</v>
      </c>
      <c r="H42" s="31">
        <v>25431.610000000004</v>
      </c>
      <c r="I42" s="31">
        <v>0</v>
      </c>
      <c r="J42" s="31">
        <v>989307.09997019242</v>
      </c>
      <c r="K42" s="31">
        <v>876122.4026050932</v>
      </c>
      <c r="L42" s="31">
        <v>132507.25916775406</v>
      </c>
      <c r="M42" s="31">
        <f t="shared" si="4"/>
        <v>8861502.5147302244</v>
      </c>
      <c r="N42" s="31">
        <v>103342.87</v>
      </c>
      <c r="P42" s="42" t="s">
        <v>179</v>
      </c>
      <c r="Q42" s="42" t="s">
        <v>180</v>
      </c>
      <c r="R42" s="43" t="s">
        <v>1050</v>
      </c>
      <c r="S42" s="44">
        <v>34</v>
      </c>
      <c r="T42" s="31">
        <v>7013253.2587492988</v>
      </c>
      <c r="U42" s="31">
        <v>255465.61</v>
      </c>
      <c r="V42" s="31">
        <v>27063.199999999997</v>
      </c>
      <c r="W42" s="31">
        <v>0</v>
      </c>
      <c r="X42" s="31">
        <v>1059167.3441994495</v>
      </c>
      <c r="Y42" s="31">
        <v>878597.58533777308</v>
      </c>
      <c r="Z42" s="31">
        <v>141861.66842877571</v>
      </c>
      <c r="AA42" s="31">
        <f t="shared" si="5"/>
        <v>9483805.5567152984</v>
      </c>
      <c r="AB42" s="31">
        <v>108396.89000000001</v>
      </c>
      <c r="AD42" s="42" t="s">
        <v>179</v>
      </c>
      <c r="AE42" s="42" t="s">
        <v>180</v>
      </c>
      <c r="AF42" s="43" t="s">
        <v>1275</v>
      </c>
      <c r="AG42" s="44">
        <v>34</v>
      </c>
      <c r="AH42" s="31">
        <v>7106344.7799437977</v>
      </c>
      <c r="AI42" s="31">
        <v>261123.06999999998</v>
      </c>
      <c r="AJ42" s="31">
        <v>27541.399999999994</v>
      </c>
      <c r="AK42" s="31">
        <v>0</v>
      </c>
      <c r="AL42" s="31">
        <v>1076403.4884482382</v>
      </c>
      <c r="AM42" s="31">
        <v>876677.22779237316</v>
      </c>
      <c r="AN42" s="31">
        <v>144382.59807509393</v>
      </c>
      <c r="AO42" s="31">
        <f t="shared" si="6"/>
        <v>9602808.3642595038</v>
      </c>
      <c r="AP42" s="31">
        <v>110335.80000000002</v>
      </c>
      <c r="AR42" s="42" t="s">
        <v>179</v>
      </c>
      <c r="AS42" s="42" t="s">
        <v>180</v>
      </c>
      <c r="AT42" s="43" t="s">
        <v>1276</v>
      </c>
      <c r="AU42" s="44">
        <v>34</v>
      </c>
      <c r="AV42" s="31">
        <v>7316668.6228662496</v>
      </c>
      <c r="AW42" s="31">
        <v>264408.72000000003</v>
      </c>
      <c r="AX42" s="31">
        <v>28053.549999999996</v>
      </c>
      <c r="AY42" s="31">
        <v>0</v>
      </c>
      <c r="AZ42" s="31">
        <v>1097557.0752761895</v>
      </c>
      <c r="BA42" s="31">
        <v>876732.09515081311</v>
      </c>
      <c r="BB42" s="31">
        <v>147082.43590130072</v>
      </c>
      <c r="BC42" s="31">
        <f t="shared" si="7"/>
        <v>9842914.8691945523</v>
      </c>
      <c r="BD42" s="31">
        <v>112412.37</v>
      </c>
    </row>
    <row r="43" spans="2:56">
      <c r="B43" s="42" t="s">
        <v>13</v>
      </c>
      <c r="C43" s="42" t="s">
        <v>14</v>
      </c>
      <c r="D43" s="43" t="s">
        <v>1049</v>
      </c>
      <c r="E43" s="44">
        <v>34</v>
      </c>
      <c r="F43" s="31">
        <v>19979849.394951396</v>
      </c>
      <c r="G43" s="31">
        <v>871332.89999999991</v>
      </c>
      <c r="H43" s="31">
        <v>28843.039999999997</v>
      </c>
      <c r="I43" s="31">
        <v>68404.789999999994</v>
      </c>
      <c r="J43" s="31">
        <v>3143610.2215422094</v>
      </c>
      <c r="K43" s="31">
        <v>988731.65387451707</v>
      </c>
      <c r="L43" s="31">
        <v>1376257.8429764521</v>
      </c>
      <c r="M43" s="31">
        <f t="shared" si="4"/>
        <v>26842026.083344568</v>
      </c>
      <c r="N43" s="31">
        <v>384996.24000000005</v>
      </c>
      <c r="P43" s="42" t="s">
        <v>13</v>
      </c>
      <c r="Q43" s="42" t="s">
        <v>14</v>
      </c>
      <c r="R43" s="43" t="s">
        <v>1050</v>
      </c>
      <c r="S43" s="44">
        <v>34</v>
      </c>
      <c r="T43" s="31">
        <v>21464698.756599072</v>
      </c>
      <c r="U43" s="31">
        <v>932524.87999999977</v>
      </c>
      <c r="V43" s="31">
        <v>30715.239999999994</v>
      </c>
      <c r="W43" s="31">
        <v>72741.139999999985</v>
      </c>
      <c r="X43" s="31">
        <v>3333701.4005343225</v>
      </c>
      <c r="Y43" s="31">
        <v>990689.23341740598</v>
      </c>
      <c r="Z43" s="31">
        <v>1474931.76687044</v>
      </c>
      <c r="AA43" s="31">
        <f t="shared" si="5"/>
        <v>28703589.867421236</v>
      </c>
      <c r="AB43" s="31">
        <v>403587.45000000007</v>
      </c>
      <c r="AD43" s="42" t="s">
        <v>13</v>
      </c>
      <c r="AE43" s="42" t="s">
        <v>14</v>
      </c>
      <c r="AF43" s="43" t="s">
        <v>1275</v>
      </c>
      <c r="AG43" s="44">
        <v>34</v>
      </c>
      <c r="AH43" s="31">
        <v>22242474.109184071</v>
      </c>
      <c r="AI43" s="31">
        <v>963468.27</v>
      </c>
      <c r="AJ43" s="31">
        <v>31250.74</v>
      </c>
      <c r="AK43" s="31">
        <v>75170.709999999992</v>
      </c>
      <c r="AL43" s="31">
        <v>3395839.1275598444</v>
      </c>
      <c r="AM43" s="31">
        <v>989202.00093606499</v>
      </c>
      <c r="AN43" s="31">
        <v>1500882.498893097</v>
      </c>
      <c r="AO43" s="31">
        <f t="shared" si="6"/>
        <v>29609007.176573075</v>
      </c>
      <c r="AP43" s="31">
        <v>410719.72000000003</v>
      </c>
      <c r="AR43" s="42" t="s">
        <v>13</v>
      </c>
      <c r="AS43" s="42" t="s">
        <v>14</v>
      </c>
      <c r="AT43" s="43" t="s">
        <v>1276</v>
      </c>
      <c r="AU43" s="44">
        <v>34</v>
      </c>
      <c r="AV43" s="31">
        <v>23019474.02216851</v>
      </c>
      <c r="AW43" s="31">
        <v>991693.67000000016</v>
      </c>
      <c r="AX43" s="31">
        <v>31824.289999999997</v>
      </c>
      <c r="AY43" s="31">
        <v>77302.889999999985</v>
      </c>
      <c r="AZ43" s="31">
        <v>3469967.149746119</v>
      </c>
      <c r="BA43" s="31">
        <v>989244.49329267477</v>
      </c>
      <c r="BB43" s="31">
        <v>1528674.8558157622</v>
      </c>
      <c r="BC43" s="31">
        <f t="shared" si="7"/>
        <v>30526539.741023067</v>
      </c>
      <c r="BD43" s="31">
        <v>418358.37000000005</v>
      </c>
    </row>
    <row r="44" spans="2:56">
      <c r="B44" s="42" t="s">
        <v>249</v>
      </c>
      <c r="C44" s="42" t="s">
        <v>250</v>
      </c>
      <c r="D44" s="43" t="s">
        <v>1049</v>
      </c>
      <c r="E44" s="44">
        <v>34</v>
      </c>
      <c r="F44" s="31">
        <v>7070248.9119836539</v>
      </c>
      <c r="G44" s="31">
        <v>224215.74</v>
      </c>
      <c r="H44" s="31">
        <v>19878.32</v>
      </c>
      <c r="I44" s="31">
        <v>24847.89</v>
      </c>
      <c r="J44" s="31">
        <v>1178767.8008160098</v>
      </c>
      <c r="K44" s="31">
        <v>545428.20381599013</v>
      </c>
      <c r="L44" s="31">
        <v>621319.32991310372</v>
      </c>
      <c r="M44" s="31">
        <f t="shared" si="4"/>
        <v>9691039.9765287563</v>
      </c>
      <c r="N44" s="31">
        <v>6333.78</v>
      </c>
      <c r="P44" s="42" t="s">
        <v>249</v>
      </c>
      <c r="Q44" s="42" t="s">
        <v>250</v>
      </c>
      <c r="R44" s="43" t="s">
        <v>1050</v>
      </c>
      <c r="S44" s="44">
        <v>34</v>
      </c>
      <c r="T44" s="31">
        <v>7517761.8659885135</v>
      </c>
      <c r="U44" s="31">
        <v>238044.49999999997</v>
      </c>
      <c r="V44" s="31">
        <v>21168.6</v>
      </c>
      <c r="W44" s="31">
        <v>26356.980000000003</v>
      </c>
      <c r="X44" s="31">
        <v>1249569.3623598001</v>
      </c>
      <c r="Y44" s="31">
        <v>545958.748061675</v>
      </c>
      <c r="Z44" s="31">
        <v>659510.0865322235</v>
      </c>
      <c r="AA44" s="31">
        <f t="shared" si="5"/>
        <v>10265009.782942213</v>
      </c>
      <c r="AB44" s="31">
        <v>6639.64</v>
      </c>
      <c r="AD44" s="42" t="s">
        <v>249</v>
      </c>
      <c r="AE44" s="42" t="s">
        <v>250</v>
      </c>
      <c r="AF44" s="43" t="s">
        <v>1275</v>
      </c>
      <c r="AG44" s="44">
        <v>34</v>
      </c>
      <c r="AH44" s="31">
        <v>7476820.3504289947</v>
      </c>
      <c r="AI44" s="31">
        <v>241454.15999999995</v>
      </c>
      <c r="AJ44" s="31">
        <v>21537.67</v>
      </c>
      <c r="AK44" s="31">
        <v>26710.929999999997</v>
      </c>
      <c r="AL44" s="31">
        <v>1263210.1272347327</v>
      </c>
      <c r="AM44" s="31">
        <v>545555.6775260038</v>
      </c>
      <c r="AN44" s="31">
        <v>671115.02577121765</v>
      </c>
      <c r="AO44" s="31">
        <f t="shared" si="6"/>
        <v>10253160.91096095</v>
      </c>
      <c r="AP44" s="31">
        <v>6756.97</v>
      </c>
      <c r="AR44" s="42" t="s">
        <v>249</v>
      </c>
      <c r="AS44" s="42" t="s">
        <v>250</v>
      </c>
      <c r="AT44" s="43" t="s">
        <v>1276</v>
      </c>
      <c r="AU44" s="44">
        <v>34</v>
      </c>
      <c r="AV44" s="31">
        <v>7584147.200991394</v>
      </c>
      <c r="AW44" s="31">
        <v>244486.15</v>
      </c>
      <c r="AX44" s="31">
        <v>21932.94</v>
      </c>
      <c r="AY44" s="31">
        <v>27093.65</v>
      </c>
      <c r="AZ44" s="31">
        <v>1288198.986804317</v>
      </c>
      <c r="BA44" s="31">
        <v>545567.19382702303</v>
      </c>
      <c r="BB44" s="31">
        <v>683543.51960938016</v>
      </c>
      <c r="BC44" s="31">
        <f t="shared" si="7"/>
        <v>10401852.291232117</v>
      </c>
      <c r="BD44" s="31">
        <v>6882.65</v>
      </c>
    </row>
    <row r="45" spans="2:56">
      <c r="B45" s="42" t="s">
        <v>377</v>
      </c>
      <c r="C45" s="42" t="s">
        <v>378</v>
      </c>
      <c r="D45" s="43" t="s">
        <v>1049</v>
      </c>
      <c r="E45" s="44">
        <v>34</v>
      </c>
      <c r="F45" s="31">
        <v>102387788.89440536</v>
      </c>
      <c r="G45" s="31">
        <v>5432873.0199999986</v>
      </c>
      <c r="H45" s="31">
        <v>2678422.5000000005</v>
      </c>
      <c r="I45" s="31">
        <v>355105.19</v>
      </c>
      <c r="J45" s="31">
        <v>16873765.356205255</v>
      </c>
      <c r="K45" s="31">
        <v>6271752.4814209342</v>
      </c>
      <c r="L45" s="31">
        <v>8714246.0450060349</v>
      </c>
      <c r="M45" s="31">
        <f t="shared" si="4"/>
        <v>145527707.88703758</v>
      </c>
      <c r="N45" s="31">
        <v>2813754.4000000004</v>
      </c>
      <c r="P45" s="42" t="s">
        <v>377</v>
      </c>
      <c r="Q45" s="42" t="s">
        <v>378</v>
      </c>
      <c r="R45" s="43" t="s">
        <v>1050</v>
      </c>
      <c r="S45" s="44">
        <v>34</v>
      </c>
      <c r="T45" s="31">
        <v>113160394.18692738</v>
      </c>
      <c r="U45" s="31">
        <v>5979489.3899999987</v>
      </c>
      <c r="V45" s="31">
        <v>2851217.4899999998</v>
      </c>
      <c r="W45" s="31">
        <v>387953.45</v>
      </c>
      <c r="X45" s="31">
        <v>17859095.429199584</v>
      </c>
      <c r="Y45" s="31">
        <v>6277618.8538538078</v>
      </c>
      <c r="Z45" s="31">
        <v>9338203.2229843698</v>
      </c>
      <c r="AA45" s="31">
        <f t="shared" si="5"/>
        <v>158804511.07296517</v>
      </c>
      <c r="AB45" s="31">
        <v>2950539.0500000003</v>
      </c>
      <c r="AD45" s="42" t="s">
        <v>377</v>
      </c>
      <c r="AE45" s="42" t="s">
        <v>378</v>
      </c>
      <c r="AF45" s="43" t="s">
        <v>1275</v>
      </c>
      <c r="AG45" s="44">
        <v>34</v>
      </c>
      <c r="AH45" s="31">
        <v>116403460.25010017</v>
      </c>
      <c r="AI45" s="31">
        <v>6141156.3999999994</v>
      </c>
      <c r="AJ45" s="31">
        <v>2901279.64</v>
      </c>
      <c r="AK45" s="31">
        <v>398543.92</v>
      </c>
      <c r="AL45" s="31">
        <v>18175316.94072894</v>
      </c>
      <c r="AM45" s="31">
        <v>6273113.0845910963</v>
      </c>
      <c r="AN45" s="31">
        <v>9503357.5017373823</v>
      </c>
      <c r="AO45" s="31">
        <f t="shared" si="6"/>
        <v>162799242.35715759</v>
      </c>
      <c r="AP45" s="31">
        <v>3003014.62</v>
      </c>
      <c r="AR45" s="42" t="s">
        <v>377</v>
      </c>
      <c r="AS45" s="42" t="s">
        <v>378</v>
      </c>
      <c r="AT45" s="43" t="s">
        <v>1276</v>
      </c>
      <c r="AU45" s="44">
        <v>34</v>
      </c>
      <c r="AV45" s="31">
        <v>119829943.21752501</v>
      </c>
      <c r="AW45" s="31">
        <v>6312236.5199999996</v>
      </c>
      <c r="AX45" s="31">
        <v>2954896.2100000004</v>
      </c>
      <c r="AY45" s="31">
        <v>409644.49000000005</v>
      </c>
      <c r="AZ45" s="31">
        <v>18513532.938655138</v>
      </c>
      <c r="BA45" s="31">
        <v>6273241.8208557451</v>
      </c>
      <c r="BB45" s="31">
        <v>9680232.4081652556</v>
      </c>
      <c r="BC45" s="31">
        <f t="shared" si="7"/>
        <v>167032943.5652011</v>
      </c>
      <c r="BD45" s="31">
        <v>3059215.9600000004</v>
      </c>
    </row>
    <row r="46" spans="2:56">
      <c r="B46" s="42" t="s">
        <v>563</v>
      </c>
      <c r="C46" s="42" t="s">
        <v>564</v>
      </c>
      <c r="D46" s="43" t="s">
        <v>1049</v>
      </c>
      <c r="E46" s="44">
        <v>34</v>
      </c>
      <c r="F46" s="31">
        <v>4396647.4582698913</v>
      </c>
      <c r="G46" s="31">
        <v>104263.70999999999</v>
      </c>
      <c r="H46" s="31">
        <v>0</v>
      </c>
      <c r="I46" s="31">
        <v>14518.98</v>
      </c>
      <c r="J46" s="31">
        <v>666655.21119231952</v>
      </c>
      <c r="K46" s="31">
        <v>515238.60352280445</v>
      </c>
      <c r="L46" s="31">
        <v>498999.28716624848</v>
      </c>
      <c r="M46" s="31">
        <f t="shared" si="4"/>
        <v>6196323.2501512635</v>
      </c>
      <c r="N46" s="31">
        <v>0</v>
      </c>
      <c r="P46" s="42" t="s">
        <v>563</v>
      </c>
      <c r="Q46" s="42" t="s">
        <v>564</v>
      </c>
      <c r="R46" s="43" t="s">
        <v>1050</v>
      </c>
      <c r="S46" s="44">
        <v>34</v>
      </c>
      <c r="T46" s="31">
        <v>4777821.4391096253</v>
      </c>
      <c r="U46" s="31">
        <v>113936.89</v>
      </c>
      <c r="V46" s="31">
        <v>0</v>
      </c>
      <c r="W46" s="31">
        <v>15876.460000000001</v>
      </c>
      <c r="X46" s="31">
        <v>708178.22333476134</v>
      </c>
      <c r="Y46" s="31">
        <v>516331.29002582963</v>
      </c>
      <c r="Z46" s="31">
        <v>529671.47507668776</v>
      </c>
      <c r="AA46" s="31">
        <f t="shared" si="5"/>
        <v>6661815.7775469031</v>
      </c>
      <c r="AB46" s="31">
        <v>0</v>
      </c>
      <c r="AD46" s="42" t="s">
        <v>563</v>
      </c>
      <c r="AE46" s="42" t="s">
        <v>564</v>
      </c>
      <c r="AF46" s="43" t="s">
        <v>1275</v>
      </c>
      <c r="AG46" s="44">
        <v>34</v>
      </c>
      <c r="AH46" s="31">
        <v>4833481.6636521481</v>
      </c>
      <c r="AI46" s="31">
        <v>112861.63999999998</v>
      </c>
      <c r="AJ46" s="31">
        <v>0</v>
      </c>
      <c r="AK46" s="31">
        <v>15730.960000000001</v>
      </c>
      <c r="AL46" s="31">
        <v>723357.50233432767</v>
      </c>
      <c r="AM46" s="31">
        <v>515501.14298780746</v>
      </c>
      <c r="AN46" s="31">
        <v>538991.73235868313</v>
      </c>
      <c r="AO46" s="31">
        <f t="shared" si="6"/>
        <v>6739924.6413329653</v>
      </c>
      <c r="AP46" s="31">
        <v>0</v>
      </c>
      <c r="AR46" s="42" t="s">
        <v>563</v>
      </c>
      <c r="AS46" s="42" t="s">
        <v>564</v>
      </c>
      <c r="AT46" s="43" t="s">
        <v>1276</v>
      </c>
      <c r="AU46" s="44">
        <v>34</v>
      </c>
      <c r="AV46" s="31">
        <v>4856042.4427242586</v>
      </c>
      <c r="AW46" s="31">
        <v>113750.28999999998</v>
      </c>
      <c r="AX46" s="31">
        <v>0</v>
      </c>
      <c r="AY46" s="31">
        <v>15804.62</v>
      </c>
      <c r="AZ46" s="31">
        <v>737899.80724939855</v>
      </c>
      <c r="BA46" s="31">
        <v>515524.86147460807</v>
      </c>
      <c r="BB46" s="31">
        <v>548973.40992889996</v>
      </c>
      <c r="BC46" s="31">
        <f t="shared" si="7"/>
        <v>6787995.431377166</v>
      </c>
      <c r="BD46" s="31">
        <v>0</v>
      </c>
    </row>
    <row r="47" spans="2:56">
      <c r="B47" s="42" t="s">
        <v>529</v>
      </c>
      <c r="C47" s="42" t="s">
        <v>530</v>
      </c>
      <c r="D47" s="43" t="s">
        <v>1049</v>
      </c>
      <c r="E47" s="44">
        <v>34</v>
      </c>
      <c r="F47" s="31">
        <v>12071663.154265825</v>
      </c>
      <c r="G47" s="31">
        <v>537981.2899999998</v>
      </c>
      <c r="H47" s="31">
        <v>456616.64</v>
      </c>
      <c r="I47" s="31">
        <v>42777.36</v>
      </c>
      <c r="J47" s="31">
        <v>2078968.5525369041</v>
      </c>
      <c r="K47" s="31">
        <v>458977.0713379485</v>
      </c>
      <c r="L47" s="31">
        <v>1168789.2035574224</v>
      </c>
      <c r="M47" s="31">
        <f t="shared" si="4"/>
        <v>17251634.631698098</v>
      </c>
      <c r="N47" s="31">
        <v>435861.36000000004</v>
      </c>
      <c r="P47" s="42" t="s">
        <v>529</v>
      </c>
      <c r="Q47" s="42" t="s">
        <v>530</v>
      </c>
      <c r="R47" s="43" t="s">
        <v>1050</v>
      </c>
      <c r="S47" s="44">
        <v>34</v>
      </c>
      <c r="T47" s="31">
        <v>13373903.926111417</v>
      </c>
      <c r="U47" s="31">
        <v>591974.6399999999</v>
      </c>
      <c r="V47" s="31">
        <v>486255.23</v>
      </c>
      <c r="W47" s="31">
        <v>46487.9</v>
      </c>
      <c r="X47" s="31">
        <v>2216127.8881155574</v>
      </c>
      <c r="Y47" s="31">
        <v>459889.43486831209</v>
      </c>
      <c r="Z47" s="31">
        <v>1252658.7885937747</v>
      </c>
      <c r="AA47" s="31">
        <f t="shared" si="5"/>
        <v>18884206.617689062</v>
      </c>
      <c r="AB47" s="31">
        <v>456908.81000000006</v>
      </c>
      <c r="AD47" s="42" t="s">
        <v>529</v>
      </c>
      <c r="AE47" s="42" t="s">
        <v>530</v>
      </c>
      <c r="AF47" s="43" t="s">
        <v>1275</v>
      </c>
      <c r="AG47" s="44">
        <v>34</v>
      </c>
      <c r="AH47" s="31">
        <v>13613161.08219493</v>
      </c>
      <c r="AI47" s="31">
        <v>604509.88000000012</v>
      </c>
      <c r="AJ47" s="31">
        <v>494733.01</v>
      </c>
      <c r="AK47" s="31">
        <v>47404</v>
      </c>
      <c r="AL47" s="31">
        <v>2246072.6826246772</v>
      </c>
      <c r="AM47" s="31">
        <v>459196.28465529683</v>
      </c>
      <c r="AN47" s="31">
        <v>1274698.6698571998</v>
      </c>
      <c r="AO47" s="31">
        <f t="shared" si="6"/>
        <v>19204758.989332102</v>
      </c>
      <c r="AP47" s="31">
        <v>464983.38000000006</v>
      </c>
      <c r="AR47" s="42" t="s">
        <v>529</v>
      </c>
      <c r="AS47" s="42" t="s">
        <v>530</v>
      </c>
      <c r="AT47" s="43" t="s">
        <v>1276</v>
      </c>
      <c r="AU47" s="44">
        <v>34</v>
      </c>
      <c r="AV47" s="31">
        <v>13929436.150558742</v>
      </c>
      <c r="AW47" s="31">
        <v>617425.40999999992</v>
      </c>
      <c r="AX47" s="31">
        <v>503812.70999999996</v>
      </c>
      <c r="AY47" s="31">
        <v>48489.03</v>
      </c>
      <c r="AZ47" s="31">
        <v>2289591.0206108</v>
      </c>
      <c r="BA47" s="31">
        <v>459216.08894709725</v>
      </c>
      <c r="BB47" s="31">
        <v>1298302.637890928</v>
      </c>
      <c r="BC47" s="31">
        <f t="shared" si="7"/>
        <v>19619904.288007565</v>
      </c>
      <c r="BD47" s="31">
        <v>473631.24000000005</v>
      </c>
    </row>
    <row r="48" spans="2:56">
      <c r="B48" s="42" t="s">
        <v>571</v>
      </c>
      <c r="C48" s="42" t="s">
        <v>572</v>
      </c>
      <c r="D48" s="43" t="s">
        <v>1049</v>
      </c>
      <c r="E48" s="44">
        <v>34</v>
      </c>
      <c r="F48" s="31">
        <v>2436379.3704066649</v>
      </c>
      <c r="G48" s="31">
        <v>31677</v>
      </c>
      <c r="H48" s="31">
        <v>0</v>
      </c>
      <c r="I48" s="31">
        <v>0</v>
      </c>
      <c r="J48" s="31">
        <v>203244.91047961198</v>
      </c>
      <c r="K48" s="31">
        <v>161853.08523781027</v>
      </c>
      <c r="L48" s="31">
        <v>85856.700911586959</v>
      </c>
      <c r="M48" s="31">
        <f t="shared" si="4"/>
        <v>2919011.0670356746</v>
      </c>
      <c r="N48" s="31">
        <v>0</v>
      </c>
      <c r="P48" s="42" t="s">
        <v>571</v>
      </c>
      <c r="Q48" s="42" t="s">
        <v>572</v>
      </c>
      <c r="R48" s="43" t="s">
        <v>1050</v>
      </c>
      <c r="S48" s="44">
        <v>34</v>
      </c>
      <c r="T48" s="31">
        <v>2374609.6041654819</v>
      </c>
      <c r="U48" s="31">
        <v>30395.129999999997</v>
      </c>
      <c r="V48" s="31">
        <v>0</v>
      </c>
      <c r="W48" s="31">
        <v>0</v>
      </c>
      <c r="X48" s="31">
        <v>209010.0096278128</v>
      </c>
      <c r="Y48" s="31">
        <v>162386.78541277463</v>
      </c>
      <c r="Z48" s="31">
        <v>91126.305049400922</v>
      </c>
      <c r="AA48" s="31">
        <f t="shared" si="5"/>
        <v>2867527.83425547</v>
      </c>
      <c r="AB48" s="31">
        <v>0</v>
      </c>
      <c r="AD48" s="42" t="s">
        <v>571</v>
      </c>
      <c r="AE48" s="42" t="s">
        <v>572</v>
      </c>
      <c r="AF48" s="43" t="s">
        <v>1275</v>
      </c>
      <c r="AG48" s="44">
        <v>34</v>
      </c>
      <c r="AH48" s="31">
        <v>2371450.4543237211</v>
      </c>
      <c r="AI48" s="31">
        <v>30927.599999999999</v>
      </c>
      <c r="AJ48" s="31">
        <v>0</v>
      </c>
      <c r="AK48" s="31">
        <v>0</v>
      </c>
      <c r="AL48" s="31">
        <v>210740.25516473953</v>
      </c>
      <c r="AM48" s="31">
        <v>161981.31722202461</v>
      </c>
      <c r="AN48" s="31">
        <v>92734.203581561742</v>
      </c>
      <c r="AO48" s="31">
        <f t="shared" si="6"/>
        <v>2867833.8302920475</v>
      </c>
      <c r="AP48" s="31">
        <v>0</v>
      </c>
      <c r="AR48" s="42" t="s">
        <v>571</v>
      </c>
      <c r="AS48" s="42" t="s">
        <v>572</v>
      </c>
      <c r="AT48" s="43" t="s">
        <v>1276</v>
      </c>
      <c r="AU48" s="44">
        <v>34</v>
      </c>
      <c r="AV48" s="31">
        <v>2403347.7371280091</v>
      </c>
      <c r="AW48" s="31">
        <v>31275.31</v>
      </c>
      <c r="AX48" s="31">
        <v>0</v>
      </c>
      <c r="AY48" s="31">
        <v>0</v>
      </c>
      <c r="AZ48" s="31">
        <v>214332.11528434712</v>
      </c>
      <c r="BA48" s="31">
        <v>161992.90202747463</v>
      </c>
      <c r="BB48" s="31">
        <v>94456.209365905961</v>
      </c>
      <c r="BC48" s="31">
        <f t="shared" si="7"/>
        <v>2905404.2738057366</v>
      </c>
      <c r="BD48" s="31">
        <v>0</v>
      </c>
    </row>
    <row r="49" spans="2:56">
      <c r="B49" s="42" t="s">
        <v>499</v>
      </c>
      <c r="C49" s="42" t="s">
        <v>500</v>
      </c>
      <c r="D49" s="43" t="s">
        <v>1049</v>
      </c>
      <c r="E49" s="44">
        <v>34</v>
      </c>
      <c r="F49" s="31">
        <v>1889913.6444681901</v>
      </c>
      <c r="G49" s="31">
        <v>52034.419999999984</v>
      </c>
      <c r="H49" s="31">
        <v>0</v>
      </c>
      <c r="I49" s="31">
        <v>2923.29</v>
      </c>
      <c r="J49" s="31">
        <v>130916.18449914776</v>
      </c>
      <c r="K49" s="31">
        <v>215130.65942224776</v>
      </c>
      <c r="L49" s="31">
        <v>65853.469344846046</v>
      </c>
      <c r="M49" s="31">
        <f t="shared" si="4"/>
        <v>2385907.0577344317</v>
      </c>
      <c r="N49" s="31">
        <v>29135.39</v>
      </c>
      <c r="P49" s="42" t="s">
        <v>499</v>
      </c>
      <c r="Q49" s="42" t="s">
        <v>500</v>
      </c>
      <c r="R49" s="43" t="s">
        <v>1050</v>
      </c>
      <c r="S49" s="44">
        <v>34</v>
      </c>
      <c r="T49" s="31">
        <v>2026253.2962261653</v>
      </c>
      <c r="U49" s="31">
        <v>54132.079999999994</v>
      </c>
      <c r="V49" s="31">
        <v>0</v>
      </c>
      <c r="W49" s="31">
        <v>3009.2700000000004</v>
      </c>
      <c r="X49" s="31">
        <v>138754.5841553325</v>
      </c>
      <c r="Y49" s="31">
        <v>215459.21292515559</v>
      </c>
      <c r="Z49" s="31">
        <v>70523.962461928881</v>
      </c>
      <c r="AA49" s="31">
        <f t="shared" si="5"/>
        <v>2538674.725768582</v>
      </c>
      <c r="AB49" s="31">
        <v>30542.32</v>
      </c>
      <c r="AD49" s="42" t="s">
        <v>499</v>
      </c>
      <c r="AE49" s="42" t="s">
        <v>500</v>
      </c>
      <c r="AF49" s="43" t="s">
        <v>1275</v>
      </c>
      <c r="AG49" s="44">
        <v>34</v>
      </c>
      <c r="AH49" s="31">
        <v>2038133.116831294</v>
      </c>
      <c r="AI49" s="31">
        <v>52851.520000000004</v>
      </c>
      <c r="AJ49" s="31">
        <v>0</v>
      </c>
      <c r="AK49" s="31">
        <v>2956.1600000000003</v>
      </c>
      <c r="AL49" s="31">
        <v>142005.57675295955</v>
      </c>
      <c r="AM49" s="31">
        <v>215209.60087584812</v>
      </c>
      <c r="AN49" s="31">
        <v>71764.830850326674</v>
      </c>
      <c r="AO49" s="31">
        <f t="shared" si="6"/>
        <v>2554002.8653104282</v>
      </c>
      <c r="AP49" s="31">
        <v>31082.06</v>
      </c>
      <c r="AR49" s="42" t="s">
        <v>499</v>
      </c>
      <c r="AS49" s="42" t="s">
        <v>500</v>
      </c>
      <c r="AT49" s="43" t="s">
        <v>1276</v>
      </c>
      <c r="AU49" s="44">
        <v>34</v>
      </c>
      <c r="AV49" s="31">
        <v>2088787.3310008105</v>
      </c>
      <c r="AW49" s="31">
        <v>52201.150000000009</v>
      </c>
      <c r="AX49" s="31">
        <v>0</v>
      </c>
      <c r="AY49" s="31">
        <v>2902.9000000000005</v>
      </c>
      <c r="AZ49" s="31">
        <v>144563.52304597592</v>
      </c>
      <c r="BA49" s="31">
        <v>215216.73264868546</v>
      </c>
      <c r="BB49" s="31">
        <v>73093.758897100692</v>
      </c>
      <c r="BC49" s="31">
        <f t="shared" si="7"/>
        <v>2608425.5255925721</v>
      </c>
      <c r="BD49" s="31">
        <v>31660.13</v>
      </c>
    </row>
    <row r="50" spans="2:56">
      <c r="B50" s="42" t="s">
        <v>533</v>
      </c>
      <c r="C50" s="42" t="s">
        <v>534</v>
      </c>
      <c r="D50" s="43" t="s">
        <v>1049</v>
      </c>
      <c r="E50" s="44">
        <v>34</v>
      </c>
      <c r="F50" s="31">
        <v>6186508.0167204402</v>
      </c>
      <c r="G50" s="31">
        <v>256139.84999999992</v>
      </c>
      <c r="H50" s="31">
        <v>215887.84999999998</v>
      </c>
      <c r="I50" s="31">
        <v>20579.969999999998</v>
      </c>
      <c r="J50" s="31">
        <v>962898.01659741835</v>
      </c>
      <c r="K50" s="31">
        <v>440105.10158555338</v>
      </c>
      <c r="L50" s="31">
        <v>493820.03311586019</v>
      </c>
      <c r="M50" s="31">
        <f t="shared" si="4"/>
        <v>8787186.10801927</v>
      </c>
      <c r="N50" s="31">
        <v>211247.27000000002</v>
      </c>
      <c r="P50" s="42" t="s">
        <v>533</v>
      </c>
      <c r="Q50" s="42" t="s">
        <v>534</v>
      </c>
      <c r="R50" s="43" t="s">
        <v>1050</v>
      </c>
      <c r="S50" s="44">
        <v>34</v>
      </c>
      <c r="T50" s="31">
        <v>6492465.8875016226</v>
      </c>
      <c r="U50" s="31">
        <v>278145.54999999993</v>
      </c>
      <c r="V50" s="31">
        <v>229843.07</v>
      </c>
      <c r="W50" s="31">
        <v>22125.079999999998</v>
      </c>
      <c r="X50" s="31">
        <v>1015305.9280659966</v>
      </c>
      <c r="Y50" s="31">
        <v>441231.68208041548</v>
      </c>
      <c r="Z50" s="31">
        <v>529267.38711105636</v>
      </c>
      <c r="AA50" s="31">
        <f t="shared" si="5"/>
        <v>9229879.1947590914</v>
      </c>
      <c r="AB50" s="31">
        <v>221494.61000000002</v>
      </c>
      <c r="AD50" s="42" t="s">
        <v>533</v>
      </c>
      <c r="AE50" s="42" t="s">
        <v>534</v>
      </c>
      <c r="AF50" s="43" t="s">
        <v>1275</v>
      </c>
      <c r="AG50" s="44">
        <v>34</v>
      </c>
      <c r="AH50" s="31">
        <v>6659753.3809132166</v>
      </c>
      <c r="AI50" s="31">
        <v>287338.61</v>
      </c>
      <c r="AJ50" s="31">
        <v>233869.56</v>
      </c>
      <c r="AK50" s="31">
        <v>22840.530000000002</v>
      </c>
      <c r="AL50" s="31">
        <v>1032857.9522696293</v>
      </c>
      <c r="AM50" s="31">
        <v>440375.78475001547</v>
      </c>
      <c r="AN50" s="31">
        <v>538605.17204820307</v>
      </c>
      <c r="AO50" s="31">
        <f t="shared" si="6"/>
        <v>9441066.8499810658</v>
      </c>
      <c r="AP50" s="31">
        <v>225425.86000000002</v>
      </c>
      <c r="AR50" s="42" t="s">
        <v>533</v>
      </c>
      <c r="AS50" s="42" t="s">
        <v>534</v>
      </c>
      <c r="AT50" s="43" t="s">
        <v>1276</v>
      </c>
      <c r="AU50" s="44">
        <v>34</v>
      </c>
      <c r="AV50" s="31">
        <v>6751457.7073305268</v>
      </c>
      <c r="AW50" s="31">
        <v>289800.74</v>
      </c>
      <c r="AX50" s="31">
        <v>238181.93</v>
      </c>
      <c r="AY50" s="31">
        <v>23039.100000000002</v>
      </c>
      <c r="AZ50" s="31">
        <v>1059515.7354738938</v>
      </c>
      <c r="BA50" s="31">
        <v>440400.23895945557</v>
      </c>
      <c r="BB50" s="31">
        <v>548605.63164208713</v>
      </c>
      <c r="BC50" s="31">
        <f t="shared" si="7"/>
        <v>9580637.3034059629</v>
      </c>
      <c r="BD50" s="31">
        <v>229636.22000000003</v>
      </c>
    </row>
    <row r="51" spans="2:56">
      <c r="B51" s="42" t="s">
        <v>491</v>
      </c>
      <c r="C51" s="42" t="s">
        <v>492</v>
      </c>
      <c r="D51" s="43" t="s">
        <v>1049</v>
      </c>
      <c r="E51" s="44">
        <v>34</v>
      </c>
      <c r="F51" s="31">
        <v>13185159.208482901</v>
      </c>
      <c r="G51" s="31">
        <v>566352.5199999999</v>
      </c>
      <c r="H51" s="31">
        <v>23707.32</v>
      </c>
      <c r="I51" s="31">
        <v>47515.519999999982</v>
      </c>
      <c r="J51" s="31">
        <v>2142681.5994578665</v>
      </c>
      <c r="K51" s="31">
        <v>1561149.3770833279</v>
      </c>
      <c r="L51" s="31">
        <v>1304764.8941347373</v>
      </c>
      <c r="M51" s="31">
        <f t="shared" si="4"/>
        <v>19160105.439158831</v>
      </c>
      <c r="N51" s="31">
        <v>328775</v>
      </c>
      <c r="P51" s="42" t="s">
        <v>491</v>
      </c>
      <c r="Q51" s="42" t="s">
        <v>492</v>
      </c>
      <c r="R51" s="43" t="s">
        <v>1050</v>
      </c>
      <c r="S51" s="44">
        <v>34</v>
      </c>
      <c r="T51" s="31">
        <v>14555871.629591368</v>
      </c>
      <c r="U51" s="31">
        <v>623195.1100000001</v>
      </c>
      <c r="V51" s="31">
        <v>25239.78</v>
      </c>
      <c r="W51" s="31">
        <v>51768.39</v>
      </c>
      <c r="X51" s="31">
        <v>2268326.740362165</v>
      </c>
      <c r="Y51" s="31">
        <v>1565181.7922554517</v>
      </c>
      <c r="Z51" s="31">
        <v>1398032.9184694889</v>
      </c>
      <c r="AA51" s="31">
        <f t="shared" si="5"/>
        <v>20832339.810678471</v>
      </c>
      <c r="AB51" s="31">
        <v>344723.45</v>
      </c>
      <c r="AD51" s="42" t="s">
        <v>491</v>
      </c>
      <c r="AE51" s="42" t="s">
        <v>492</v>
      </c>
      <c r="AF51" s="43" t="s">
        <v>1275</v>
      </c>
      <c r="AG51" s="44">
        <v>34</v>
      </c>
      <c r="AH51" s="31">
        <v>15075502.179415427</v>
      </c>
      <c r="AI51" s="31">
        <v>644087.34</v>
      </c>
      <c r="AJ51" s="31">
        <v>25681.940000000002</v>
      </c>
      <c r="AK51" s="31">
        <v>53549.590000000004</v>
      </c>
      <c r="AL51" s="31">
        <v>2307869.2861362053</v>
      </c>
      <c r="AM51" s="31">
        <v>1562118.2442918348</v>
      </c>
      <c r="AN51" s="31">
        <v>1422694.9022292076</v>
      </c>
      <c r="AO51" s="31">
        <f t="shared" si="6"/>
        <v>21442345.332072675</v>
      </c>
      <c r="AP51" s="31">
        <v>350841.85</v>
      </c>
      <c r="AR51" s="42" t="s">
        <v>491</v>
      </c>
      <c r="AS51" s="42" t="s">
        <v>492</v>
      </c>
      <c r="AT51" s="43" t="s">
        <v>1276</v>
      </c>
      <c r="AU51" s="44">
        <v>34</v>
      </c>
      <c r="AV51" s="31">
        <v>15650025.866274923</v>
      </c>
      <c r="AW51" s="31">
        <v>667010.26</v>
      </c>
      <c r="AX51" s="31">
        <v>26155.489999999998</v>
      </c>
      <c r="AY51" s="31">
        <v>55427.37000000001</v>
      </c>
      <c r="AZ51" s="31">
        <v>2351213.7880530045</v>
      </c>
      <c r="BA51" s="31">
        <v>1562205.7742336523</v>
      </c>
      <c r="BB51" s="31">
        <v>1449107.0836818658</v>
      </c>
      <c r="BC51" s="31">
        <f t="shared" si="7"/>
        <v>22118540.292243447</v>
      </c>
      <c r="BD51" s="31">
        <v>357394.66</v>
      </c>
    </row>
    <row r="52" spans="2:56">
      <c r="B52" s="42" t="s">
        <v>401</v>
      </c>
      <c r="C52" s="42" t="s">
        <v>402</v>
      </c>
      <c r="D52" s="43" t="s">
        <v>1049</v>
      </c>
      <c r="E52" s="44">
        <v>34</v>
      </c>
      <c r="F52" s="31">
        <v>4874307.9428666057</v>
      </c>
      <c r="G52" s="31">
        <v>236643.2699999999</v>
      </c>
      <c r="H52" s="31">
        <v>0</v>
      </c>
      <c r="I52" s="31">
        <v>15086.54</v>
      </c>
      <c r="J52" s="31">
        <v>658433.69628310541</v>
      </c>
      <c r="K52" s="31">
        <v>686676.3555047285</v>
      </c>
      <c r="L52" s="31">
        <v>482923.43812768772</v>
      </c>
      <c r="M52" s="31">
        <f t="shared" si="4"/>
        <v>7113342.1027821284</v>
      </c>
      <c r="N52" s="31">
        <v>159270.85999999999</v>
      </c>
      <c r="P52" s="42" t="s">
        <v>401</v>
      </c>
      <c r="Q52" s="42" t="s">
        <v>402</v>
      </c>
      <c r="R52" s="43" t="s">
        <v>1050</v>
      </c>
      <c r="S52" s="44">
        <v>34</v>
      </c>
      <c r="T52" s="31">
        <v>5339465.4940099316</v>
      </c>
      <c r="U52" s="31">
        <v>259644.11000000004</v>
      </c>
      <c r="V52" s="31">
        <v>0</v>
      </c>
      <c r="W52" s="31">
        <v>16398.46</v>
      </c>
      <c r="X52" s="31">
        <v>697046.64181381965</v>
      </c>
      <c r="Y52" s="31">
        <v>688374.84585748543</v>
      </c>
      <c r="Z52" s="31">
        <v>517485.33881524863</v>
      </c>
      <c r="AA52" s="31">
        <f t="shared" si="5"/>
        <v>7685474.9504964845</v>
      </c>
      <c r="AB52" s="31">
        <v>167060.06</v>
      </c>
      <c r="AD52" s="42" t="s">
        <v>401</v>
      </c>
      <c r="AE52" s="42" t="s">
        <v>402</v>
      </c>
      <c r="AF52" s="43" t="s">
        <v>1275</v>
      </c>
      <c r="AG52" s="44">
        <v>34</v>
      </c>
      <c r="AH52" s="31">
        <v>5448506.4425527062</v>
      </c>
      <c r="AI52" s="31">
        <v>265712.75000000012</v>
      </c>
      <c r="AJ52" s="31">
        <v>0</v>
      </c>
      <c r="AK52" s="31">
        <v>16804.930000000004</v>
      </c>
      <c r="AL52" s="31">
        <v>709696.17497933318</v>
      </c>
      <c r="AM52" s="31">
        <v>687057.08102273545</v>
      </c>
      <c r="AN52" s="31">
        <v>526681.12920677988</v>
      </c>
      <c r="AO52" s="31">
        <f t="shared" si="6"/>
        <v>7824506.7977615548</v>
      </c>
      <c r="AP52" s="31">
        <v>170048.29</v>
      </c>
      <c r="AR52" s="42" t="s">
        <v>401</v>
      </c>
      <c r="AS52" s="42" t="s">
        <v>402</v>
      </c>
      <c r="AT52" s="43" t="s">
        <v>1276</v>
      </c>
      <c r="AU52" s="44">
        <v>34</v>
      </c>
      <c r="AV52" s="31">
        <v>5602045.3060465278</v>
      </c>
      <c r="AW52" s="31">
        <v>272279.86999999994</v>
      </c>
      <c r="AX52" s="31">
        <v>0</v>
      </c>
      <c r="AY52" s="31">
        <v>17236.289999999997</v>
      </c>
      <c r="AZ52" s="31">
        <v>723609.35269139078</v>
      </c>
      <c r="BA52" s="31">
        <v>687094.73144658539</v>
      </c>
      <c r="BB52" s="31">
        <v>536529.53709350969</v>
      </c>
      <c r="BC52" s="31">
        <f t="shared" si="7"/>
        <v>8012043.757278014</v>
      </c>
      <c r="BD52" s="31">
        <v>173248.66999999998</v>
      </c>
    </row>
    <row r="53" spans="2:56">
      <c r="B53" s="42" t="s">
        <v>411</v>
      </c>
      <c r="C53" s="42" t="s">
        <v>412</v>
      </c>
      <c r="D53" s="43" t="s">
        <v>1049</v>
      </c>
      <c r="E53" s="44">
        <v>34</v>
      </c>
      <c r="F53" s="31">
        <v>4389923.7713699294</v>
      </c>
      <c r="G53" s="31">
        <v>60542.880000000005</v>
      </c>
      <c r="H53" s="31">
        <v>50908.57</v>
      </c>
      <c r="I53" s="31">
        <v>14232.510000000002</v>
      </c>
      <c r="J53" s="31">
        <v>452357.01402670756</v>
      </c>
      <c r="K53" s="31">
        <v>216731.34885787385</v>
      </c>
      <c r="L53" s="31">
        <v>0</v>
      </c>
      <c r="M53" s="31">
        <f t="shared" si="4"/>
        <v>5184696.0942545114</v>
      </c>
      <c r="N53" s="31">
        <v>0</v>
      </c>
      <c r="P53" s="42" t="s">
        <v>411</v>
      </c>
      <c r="Q53" s="42" t="s">
        <v>412</v>
      </c>
      <c r="R53" s="43" t="s">
        <v>1050</v>
      </c>
      <c r="S53" s="44">
        <v>34</v>
      </c>
      <c r="T53" s="31">
        <v>4636351.503144484</v>
      </c>
      <c r="U53" s="31">
        <v>63917.69</v>
      </c>
      <c r="V53" s="31">
        <v>53746.33</v>
      </c>
      <c r="W53" s="31">
        <v>15025.86</v>
      </c>
      <c r="X53" s="31">
        <v>476331.21562747943</v>
      </c>
      <c r="Y53" s="31">
        <v>217238.00127321866</v>
      </c>
      <c r="Z53" s="31">
        <v>0</v>
      </c>
      <c r="AA53" s="31">
        <f t="shared" si="5"/>
        <v>5462610.6000451827</v>
      </c>
      <c r="AB53" s="31">
        <v>0</v>
      </c>
      <c r="AD53" s="42" t="s">
        <v>411</v>
      </c>
      <c r="AE53" s="42" t="s">
        <v>412</v>
      </c>
      <c r="AF53" s="43" t="s">
        <v>1275</v>
      </c>
      <c r="AG53" s="44">
        <v>34</v>
      </c>
      <c r="AH53" s="31">
        <v>4615586.5356630282</v>
      </c>
      <c r="AI53" s="31">
        <v>63401.42</v>
      </c>
      <c r="AJ53" s="31">
        <v>54696.960000000006</v>
      </c>
      <c r="AK53" s="31">
        <v>14821.12</v>
      </c>
      <c r="AL53" s="31">
        <v>486098.08484396816</v>
      </c>
      <c r="AM53" s="31">
        <v>216846.49428426867</v>
      </c>
      <c r="AN53" s="31">
        <v>0</v>
      </c>
      <c r="AO53" s="31">
        <f t="shared" si="6"/>
        <v>5451450.6147912648</v>
      </c>
      <c r="AP53" s="31">
        <v>0</v>
      </c>
      <c r="AR53" s="42" t="s">
        <v>411</v>
      </c>
      <c r="AS53" s="42" t="s">
        <v>412</v>
      </c>
      <c r="AT53" s="43" t="s">
        <v>1276</v>
      </c>
      <c r="AU53" s="44">
        <v>34</v>
      </c>
      <c r="AV53" s="31">
        <v>4739009.6213962343</v>
      </c>
      <c r="AW53" s="31">
        <v>65060.840000000011</v>
      </c>
      <c r="AX53" s="31">
        <v>55715.08</v>
      </c>
      <c r="AY53" s="31">
        <v>15216.810000000001</v>
      </c>
      <c r="AZ53" s="31">
        <v>495693.72687525896</v>
      </c>
      <c r="BA53" s="31">
        <v>216857.68019823867</v>
      </c>
      <c r="BB53" s="31">
        <v>0</v>
      </c>
      <c r="BC53" s="31">
        <f t="shared" si="7"/>
        <v>5587553.7584697306</v>
      </c>
      <c r="BD53" s="31">
        <v>0</v>
      </c>
    </row>
    <row r="54" spans="2:56">
      <c r="B54" s="42" t="s">
        <v>157</v>
      </c>
      <c r="C54" s="42" t="s">
        <v>158</v>
      </c>
      <c r="D54" s="43" t="s">
        <v>1049</v>
      </c>
      <c r="E54" s="44">
        <v>34</v>
      </c>
      <c r="F54" s="31">
        <v>1527751.2586801329</v>
      </c>
      <c r="G54" s="31">
        <v>51352.32</v>
      </c>
      <c r="H54" s="31">
        <v>3215.6</v>
      </c>
      <c r="I54" s="31">
        <v>4579.8100000000004</v>
      </c>
      <c r="J54" s="31">
        <v>210533.79901758637</v>
      </c>
      <c r="K54" s="31">
        <v>56006.816169358382</v>
      </c>
      <c r="L54" s="31">
        <v>0</v>
      </c>
      <c r="M54" s="31">
        <f t="shared" si="4"/>
        <v>1853439.6038670777</v>
      </c>
      <c r="N54" s="31">
        <v>0</v>
      </c>
      <c r="P54" s="42" t="s">
        <v>157</v>
      </c>
      <c r="Q54" s="42" t="s">
        <v>158</v>
      </c>
      <c r="R54" s="43" t="s">
        <v>1050</v>
      </c>
      <c r="S54" s="44">
        <v>34</v>
      </c>
      <c r="T54" s="31">
        <v>1671976.6146272607</v>
      </c>
      <c r="U54" s="31">
        <v>55723.240000000005</v>
      </c>
      <c r="V54" s="31">
        <v>3424.3399999999997</v>
      </c>
      <c r="W54" s="31">
        <v>4980.8599999999997</v>
      </c>
      <c r="X54" s="31">
        <v>221717.70146022949</v>
      </c>
      <c r="Y54" s="31">
        <v>56116.299822207329</v>
      </c>
      <c r="Z54" s="31">
        <v>0</v>
      </c>
      <c r="AA54" s="31">
        <f t="shared" si="5"/>
        <v>2013939.0559096977</v>
      </c>
      <c r="AB54" s="31">
        <v>0</v>
      </c>
      <c r="AD54" s="42" t="s">
        <v>157</v>
      </c>
      <c r="AE54" s="42" t="s">
        <v>158</v>
      </c>
      <c r="AF54" s="43" t="s">
        <v>1275</v>
      </c>
      <c r="AG54" s="44">
        <v>34</v>
      </c>
      <c r="AH54" s="31">
        <v>1749310.4252400978</v>
      </c>
      <c r="AI54" s="31">
        <v>58383.990000000005</v>
      </c>
      <c r="AJ54" s="31">
        <v>3484.05</v>
      </c>
      <c r="AK54" s="31">
        <v>5278.84</v>
      </c>
      <c r="AL54" s="31">
        <v>225204.18790524459</v>
      </c>
      <c r="AM54" s="31">
        <v>56033.121774457337</v>
      </c>
      <c r="AN54" s="31">
        <v>0</v>
      </c>
      <c r="AO54" s="31">
        <f t="shared" si="6"/>
        <v>2097694.6149197998</v>
      </c>
      <c r="AP54" s="31">
        <v>0</v>
      </c>
      <c r="AR54" s="42" t="s">
        <v>157</v>
      </c>
      <c r="AS54" s="42" t="s">
        <v>158</v>
      </c>
      <c r="AT54" s="43" t="s">
        <v>1276</v>
      </c>
      <c r="AU54" s="44">
        <v>34</v>
      </c>
      <c r="AV54" s="31">
        <v>1841981.9843020514</v>
      </c>
      <c r="AW54" s="31">
        <v>61605.78</v>
      </c>
      <c r="AX54" s="31">
        <v>3547.98</v>
      </c>
      <c r="AY54" s="31">
        <v>5483.2400000000007</v>
      </c>
      <c r="AZ54" s="31">
        <v>229117.27557504375</v>
      </c>
      <c r="BA54" s="31">
        <v>56035.498290107338</v>
      </c>
      <c r="BB54" s="31">
        <v>0</v>
      </c>
      <c r="BC54" s="31">
        <f t="shared" si="7"/>
        <v>2197771.7581672021</v>
      </c>
      <c r="BD54" s="31">
        <v>0</v>
      </c>
    </row>
    <row r="55" spans="2:56">
      <c r="B55" s="42" t="s">
        <v>127</v>
      </c>
      <c r="C55" s="42" t="s">
        <v>128</v>
      </c>
      <c r="D55" s="43" t="s">
        <v>1049</v>
      </c>
      <c r="E55" s="44">
        <v>34</v>
      </c>
      <c r="F55" s="31">
        <v>2547115.7377046687</v>
      </c>
      <c r="G55" s="31">
        <v>55639.81</v>
      </c>
      <c r="H55" s="31">
        <v>0</v>
      </c>
      <c r="I55" s="31">
        <v>6138.8899999999994</v>
      </c>
      <c r="J55" s="31">
        <v>193612.51293849712</v>
      </c>
      <c r="K55" s="31">
        <v>300728.23419932398</v>
      </c>
      <c r="L55" s="31">
        <v>151861.39887626271</v>
      </c>
      <c r="M55" s="31">
        <f t="shared" si="4"/>
        <v>3255096.583718753</v>
      </c>
      <c r="N55" s="31">
        <v>0</v>
      </c>
      <c r="P55" s="42" t="s">
        <v>127</v>
      </c>
      <c r="Q55" s="42" t="s">
        <v>128</v>
      </c>
      <c r="R55" s="43" t="s">
        <v>1050</v>
      </c>
      <c r="S55" s="44">
        <v>34</v>
      </c>
      <c r="T55" s="31">
        <v>2507986.9591992022</v>
      </c>
      <c r="U55" s="31">
        <v>52506.43</v>
      </c>
      <c r="V55" s="31">
        <v>0</v>
      </c>
      <c r="W55" s="31">
        <v>5810.99</v>
      </c>
      <c r="X55" s="31">
        <v>203920.6020502171</v>
      </c>
      <c r="Y55" s="31">
        <v>301341.90539862198</v>
      </c>
      <c r="Z55" s="31">
        <v>161196.12702292023</v>
      </c>
      <c r="AA55" s="31">
        <f t="shared" si="5"/>
        <v>3232763.0136709623</v>
      </c>
      <c r="AB55" s="31">
        <v>0</v>
      </c>
      <c r="AD55" s="42" t="s">
        <v>127</v>
      </c>
      <c r="AE55" s="42" t="s">
        <v>128</v>
      </c>
      <c r="AF55" s="43" t="s">
        <v>1275</v>
      </c>
      <c r="AG55" s="44">
        <v>34</v>
      </c>
      <c r="AH55" s="31">
        <v>2556820.3885095967</v>
      </c>
      <c r="AI55" s="31">
        <v>53421.880000000005</v>
      </c>
      <c r="AJ55" s="31">
        <v>0</v>
      </c>
      <c r="AK55" s="31">
        <v>5912.3</v>
      </c>
      <c r="AL55" s="31">
        <v>208546.72905025145</v>
      </c>
      <c r="AM55" s="31">
        <v>300875.68079805601</v>
      </c>
      <c r="AN55" s="31">
        <v>164032.54849020985</v>
      </c>
      <c r="AO55" s="31">
        <f t="shared" si="6"/>
        <v>3289609.5268481141</v>
      </c>
      <c r="AP55" s="31">
        <v>0</v>
      </c>
      <c r="AR55" s="42" t="s">
        <v>127</v>
      </c>
      <c r="AS55" s="42" t="s">
        <v>128</v>
      </c>
      <c r="AT55" s="43" t="s">
        <v>1276</v>
      </c>
      <c r="AU55" s="44">
        <v>34</v>
      </c>
      <c r="AV55" s="31">
        <v>2597840.7135775257</v>
      </c>
      <c r="AW55" s="31">
        <v>53004.630000000005</v>
      </c>
      <c r="AX55" s="31">
        <v>0</v>
      </c>
      <c r="AY55" s="31">
        <v>5805.77</v>
      </c>
      <c r="AZ55" s="31">
        <v>215113.77342324919</v>
      </c>
      <c r="BA55" s="31">
        <v>300889.00150092936</v>
      </c>
      <c r="BB55" s="31">
        <v>167070.25915227702</v>
      </c>
      <c r="BC55" s="31">
        <f t="shared" si="7"/>
        <v>3339724.1476539811</v>
      </c>
      <c r="BD55" s="31">
        <v>0</v>
      </c>
    </row>
    <row r="56" spans="2:56">
      <c r="B56" s="42" t="s">
        <v>169</v>
      </c>
      <c r="C56" s="42" t="s">
        <v>170</v>
      </c>
      <c r="D56" s="43" t="s">
        <v>1049</v>
      </c>
      <c r="E56" s="44">
        <v>34</v>
      </c>
      <c r="F56" s="31">
        <v>9160496.5552699007</v>
      </c>
      <c r="G56" s="31">
        <v>234966.65999999997</v>
      </c>
      <c r="H56" s="31">
        <v>49150.63</v>
      </c>
      <c r="I56" s="31">
        <v>30913.730000000003</v>
      </c>
      <c r="J56" s="31">
        <v>1370074.2391633033</v>
      </c>
      <c r="K56" s="31">
        <v>465687.19539049524</v>
      </c>
      <c r="L56" s="31">
        <v>148342.20255037345</v>
      </c>
      <c r="M56" s="31">
        <f t="shared" si="4"/>
        <v>11476867.292374074</v>
      </c>
      <c r="N56" s="31">
        <v>17236.080000000002</v>
      </c>
      <c r="P56" s="42" t="s">
        <v>169</v>
      </c>
      <c r="Q56" s="42" t="s">
        <v>170</v>
      </c>
      <c r="R56" s="43" t="s">
        <v>1050</v>
      </c>
      <c r="S56" s="44">
        <v>34</v>
      </c>
      <c r="T56" s="31">
        <v>10368606.27947703</v>
      </c>
      <c r="U56" s="31">
        <v>267873.76</v>
      </c>
      <c r="V56" s="31">
        <v>52293.119999999995</v>
      </c>
      <c r="W56" s="31">
        <v>35256.459999999992</v>
      </c>
      <c r="X56" s="31">
        <v>1453631.4295302301</v>
      </c>
      <c r="Y56" s="31">
        <v>466608.45196643478</v>
      </c>
      <c r="Z56" s="31">
        <v>157390.83378447089</v>
      </c>
      <c r="AA56" s="31">
        <f t="shared" si="5"/>
        <v>12819742.444758164</v>
      </c>
      <c r="AB56" s="31">
        <v>18082.110000000004</v>
      </c>
      <c r="AD56" s="42" t="s">
        <v>169</v>
      </c>
      <c r="AE56" s="42" t="s">
        <v>170</v>
      </c>
      <c r="AF56" s="43" t="s">
        <v>1275</v>
      </c>
      <c r="AG56" s="44">
        <v>34</v>
      </c>
      <c r="AH56" s="31">
        <v>10484698.027654536</v>
      </c>
      <c r="AI56" s="31">
        <v>269490.94999999995</v>
      </c>
      <c r="AJ56" s="31">
        <v>53220.72</v>
      </c>
      <c r="AK56" s="31">
        <v>35400.199999999997</v>
      </c>
      <c r="AL56" s="31">
        <v>1486219.1943110365</v>
      </c>
      <c r="AM56" s="31">
        <v>465893.69988227671</v>
      </c>
      <c r="AN56" s="31">
        <v>160194.35425536931</v>
      </c>
      <c r="AO56" s="31">
        <f t="shared" si="6"/>
        <v>12973523.826103216</v>
      </c>
      <c r="AP56" s="31">
        <v>18406.680000000004</v>
      </c>
      <c r="AR56" s="42" t="s">
        <v>169</v>
      </c>
      <c r="AS56" s="42" t="s">
        <v>170</v>
      </c>
      <c r="AT56" s="43" t="s">
        <v>1276</v>
      </c>
      <c r="AU56" s="44">
        <v>34</v>
      </c>
      <c r="AV56" s="31">
        <v>10739614.059431685</v>
      </c>
      <c r="AW56" s="31">
        <v>276111.98</v>
      </c>
      <c r="AX56" s="31">
        <v>54214.18</v>
      </c>
      <c r="AY56" s="31">
        <v>36306.339999999997</v>
      </c>
      <c r="AZ56" s="31">
        <v>1512707.5846540448</v>
      </c>
      <c r="BA56" s="31">
        <v>465914.12137039553</v>
      </c>
      <c r="BB56" s="31">
        <v>163196.83927030145</v>
      </c>
      <c r="BC56" s="31">
        <f t="shared" si="7"/>
        <v>13266819.404726427</v>
      </c>
      <c r="BD56" s="31">
        <v>18754.300000000007</v>
      </c>
    </row>
    <row r="57" spans="2:56">
      <c r="B57" s="42" t="s">
        <v>45</v>
      </c>
      <c r="C57" s="42" t="s">
        <v>46</v>
      </c>
      <c r="D57" s="43" t="s">
        <v>1049</v>
      </c>
      <c r="E57" s="44">
        <v>34</v>
      </c>
      <c r="F57" s="31">
        <v>3430031.1514204848</v>
      </c>
      <c r="G57" s="31">
        <v>114202.90000000002</v>
      </c>
      <c r="H57" s="31">
        <v>0</v>
      </c>
      <c r="I57" s="31">
        <v>8672.41</v>
      </c>
      <c r="J57" s="31">
        <v>277731.14619303163</v>
      </c>
      <c r="K57" s="31">
        <v>114891.53201593457</v>
      </c>
      <c r="L57" s="31">
        <v>33741.919104134184</v>
      </c>
      <c r="M57" s="31">
        <f t="shared" si="4"/>
        <v>4041049.7387335855</v>
      </c>
      <c r="N57" s="31">
        <v>61778.68</v>
      </c>
      <c r="P57" s="42" t="s">
        <v>45</v>
      </c>
      <c r="Q57" s="42" t="s">
        <v>46</v>
      </c>
      <c r="R57" s="43" t="s">
        <v>1050</v>
      </c>
      <c r="S57" s="44">
        <v>34</v>
      </c>
      <c r="T57" s="31">
        <v>3423759.1429942735</v>
      </c>
      <c r="U57" s="31">
        <v>112680.76000000001</v>
      </c>
      <c r="V57" s="31">
        <v>0</v>
      </c>
      <c r="W57" s="31">
        <v>8405.18</v>
      </c>
      <c r="X57" s="31">
        <v>292094.9827580764</v>
      </c>
      <c r="Y57" s="31">
        <v>115120.18408460738</v>
      </c>
      <c r="Z57" s="31">
        <v>36127.326108012639</v>
      </c>
      <c r="AA57" s="31">
        <f t="shared" si="5"/>
        <v>4052949.5159449698</v>
      </c>
      <c r="AB57" s="31">
        <v>64761.939999999995</v>
      </c>
      <c r="AD57" s="42" t="s">
        <v>45</v>
      </c>
      <c r="AE57" s="42" t="s">
        <v>46</v>
      </c>
      <c r="AF57" s="43" t="s">
        <v>1275</v>
      </c>
      <c r="AG57" s="44">
        <v>34</v>
      </c>
      <c r="AH57" s="31">
        <v>3476384.0819761679</v>
      </c>
      <c r="AI57" s="31">
        <v>112624.00000000004</v>
      </c>
      <c r="AJ57" s="31">
        <v>0</v>
      </c>
      <c r="AK57" s="31">
        <v>8446.14</v>
      </c>
      <c r="AL57" s="31">
        <v>297054.97417345614</v>
      </c>
      <c r="AM57" s="31">
        <v>114946.47018128666</v>
      </c>
      <c r="AN57" s="31">
        <v>36763.005547797693</v>
      </c>
      <c r="AO57" s="31">
        <f t="shared" si="6"/>
        <v>4112125.0918787085</v>
      </c>
      <c r="AP57" s="31">
        <v>65906.42</v>
      </c>
      <c r="AR57" s="42" t="s">
        <v>45</v>
      </c>
      <c r="AS57" s="42" t="s">
        <v>46</v>
      </c>
      <c r="AT57" s="43" t="s">
        <v>1276</v>
      </c>
      <c r="AU57" s="44">
        <v>34</v>
      </c>
      <c r="AV57" s="31">
        <v>3552429.896728578</v>
      </c>
      <c r="AW57" s="31">
        <v>113814.68</v>
      </c>
      <c r="AX57" s="31">
        <v>0</v>
      </c>
      <c r="AY57" s="31">
        <v>8493.64</v>
      </c>
      <c r="AZ57" s="31">
        <v>303639.78475082724</v>
      </c>
      <c r="BA57" s="31">
        <v>114951.43343566725</v>
      </c>
      <c r="BB57" s="31">
        <v>37443.796719807477</v>
      </c>
      <c r="BC57" s="31">
        <f t="shared" si="7"/>
        <v>4197905.3916348806</v>
      </c>
      <c r="BD57" s="31">
        <v>67132.160000000003</v>
      </c>
    </row>
    <row r="58" spans="2:56">
      <c r="B58" s="42" t="s">
        <v>303</v>
      </c>
      <c r="C58" s="42" t="s">
        <v>304</v>
      </c>
      <c r="D58" s="43" t="s">
        <v>1049</v>
      </c>
      <c r="E58" s="44">
        <v>34</v>
      </c>
      <c r="F58" s="31">
        <v>1910430.6572916026</v>
      </c>
      <c r="G58" s="31">
        <v>27339.09</v>
      </c>
      <c r="H58" s="31">
        <v>0</v>
      </c>
      <c r="I58" s="31">
        <v>2522.06</v>
      </c>
      <c r="J58" s="31">
        <v>102795.59651943565</v>
      </c>
      <c r="K58" s="31">
        <v>528604.00680148334</v>
      </c>
      <c r="L58" s="31">
        <v>63683.5688976737</v>
      </c>
      <c r="M58" s="31">
        <f t="shared" si="4"/>
        <v>2647178.1795101957</v>
      </c>
      <c r="N58" s="31">
        <v>11803.2</v>
      </c>
      <c r="P58" s="42" t="s">
        <v>303</v>
      </c>
      <c r="Q58" s="42" t="s">
        <v>304</v>
      </c>
      <c r="R58" s="43" t="s">
        <v>1050</v>
      </c>
      <c r="S58" s="44">
        <v>34</v>
      </c>
      <c r="T58" s="31">
        <v>2024023.9811610251</v>
      </c>
      <c r="U58" s="31">
        <v>28330.080000000002</v>
      </c>
      <c r="V58" s="31">
        <v>0</v>
      </c>
      <c r="W58" s="31">
        <v>2577.6800000000003</v>
      </c>
      <c r="X58" s="31">
        <v>109262.74371251566</v>
      </c>
      <c r="Y58" s="31">
        <v>530001.7415992202</v>
      </c>
      <c r="Z58" s="31">
        <v>67591.67506025474</v>
      </c>
      <c r="AA58" s="31">
        <f t="shared" si="5"/>
        <v>2774163.6615330153</v>
      </c>
      <c r="AB58" s="31">
        <v>12375.76</v>
      </c>
      <c r="AD58" s="42" t="s">
        <v>303</v>
      </c>
      <c r="AE58" s="42" t="s">
        <v>304</v>
      </c>
      <c r="AF58" s="43" t="s">
        <v>1275</v>
      </c>
      <c r="AG58" s="44">
        <v>34</v>
      </c>
      <c r="AH58" s="31">
        <v>2056243.3978218776</v>
      </c>
      <c r="AI58" s="31">
        <v>28495.7</v>
      </c>
      <c r="AJ58" s="31">
        <v>0</v>
      </c>
      <c r="AK58" s="31">
        <v>2622.83</v>
      </c>
      <c r="AL58" s="31">
        <v>112627.81567359208</v>
      </c>
      <c r="AM58" s="31">
        <v>528939.84013062029</v>
      </c>
      <c r="AN58" s="31">
        <v>68784.163644393426</v>
      </c>
      <c r="AO58" s="31">
        <f t="shared" si="6"/>
        <v>2810309.1572704837</v>
      </c>
      <c r="AP58" s="31">
        <v>12595.41</v>
      </c>
      <c r="AR58" s="42" t="s">
        <v>303</v>
      </c>
      <c r="AS58" s="42" t="s">
        <v>304</v>
      </c>
      <c r="AT58" s="43" t="s">
        <v>1276</v>
      </c>
      <c r="AU58" s="44">
        <v>34</v>
      </c>
      <c r="AV58" s="31">
        <v>2086245.5920305052</v>
      </c>
      <c r="AW58" s="31">
        <v>26903.410000000003</v>
      </c>
      <c r="AX58" s="31">
        <v>0</v>
      </c>
      <c r="AY58" s="31">
        <v>2448.59</v>
      </c>
      <c r="AZ58" s="31">
        <v>116295.38412732653</v>
      </c>
      <c r="BA58" s="31">
        <v>528970.18017258018</v>
      </c>
      <c r="BB58" s="31">
        <v>70061.279128205962</v>
      </c>
      <c r="BC58" s="31">
        <f t="shared" si="7"/>
        <v>2843755.1054586177</v>
      </c>
      <c r="BD58" s="31">
        <v>12830.67</v>
      </c>
    </row>
    <row r="59" spans="2:56">
      <c r="B59" s="42" t="s">
        <v>103</v>
      </c>
      <c r="C59" s="42" t="s">
        <v>104</v>
      </c>
      <c r="D59" s="43" t="s">
        <v>1049</v>
      </c>
      <c r="E59" s="44">
        <v>34</v>
      </c>
      <c r="F59" s="31">
        <v>2857128.154405233</v>
      </c>
      <c r="G59" s="31">
        <v>83126.900000000009</v>
      </c>
      <c r="H59" s="31">
        <v>0</v>
      </c>
      <c r="I59" s="31">
        <v>0</v>
      </c>
      <c r="J59" s="31">
        <v>240388.16719346348</v>
      </c>
      <c r="K59" s="31">
        <v>129473.50271876868</v>
      </c>
      <c r="L59" s="31">
        <v>73862.921473186085</v>
      </c>
      <c r="M59" s="31">
        <f t="shared" si="4"/>
        <v>3456211.2857906511</v>
      </c>
      <c r="N59" s="31">
        <v>72231.64</v>
      </c>
      <c r="P59" s="42" t="s">
        <v>103</v>
      </c>
      <c r="Q59" s="42" t="s">
        <v>104</v>
      </c>
      <c r="R59" s="43" t="s">
        <v>1050</v>
      </c>
      <c r="S59" s="44">
        <v>34</v>
      </c>
      <c r="T59" s="31">
        <v>2849515.3189211115</v>
      </c>
      <c r="U59" s="31">
        <v>82684.36</v>
      </c>
      <c r="V59" s="31">
        <v>0</v>
      </c>
      <c r="W59" s="31">
        <v>0</v>
      </c>
      <c r="X59" s="31">
        <v>253212.67202729566</v>
      </c>
      <c r="Y59" s="31">
        <v>129676.71522008699</v>
      </c>
      <c r="Z59" s="31">
        <v>79147.889560725656</v>
      </c>
      <c r="AA59" s="31">
        <f t="shared" si="5"/>
        <v>3469972.4557292196</v>
      </c>
      <c r="AB59" s="31">
        <v>75735.499999999985</v>
      </c>
      <c r="AD59" s="42" t="s">
        <v>103</v>
      </c>
      <c r="AE59" s="42" t="s">
        <v>104</v>
      </c>
      <c r="AF59" s="43" t="s">
        <v>1275</v>
      </c>
      <c r="AG59" s="44">
        <v>34</v>
      </c>
      <c r="AH59" s="31">
        <v>3071185.0692736208</v>
      </c>
      <c r="AI59" s="31">
        <v>90453.95</v>
      </c>
      <c r="AJ59" s="31">
        <v>0</v>
      </c>
      <c r="AK59" s="31">
        <v>0</v>
      </c>
      <c r="AL59" s="31">
        <v>257929.61819541379</v>
      </c>
      <c r="AM59" s="31">
        <v>129522.32852674775</v>
      </c>
      <c r="AN59" s="31">
        <v>80544.204145661788</v>
      </c>
      <c r="AO59" s="31">
        <f t="shared" si="6"/>
        <v>3706714.8801414445</v>
      </c>
      <c r="AP59" s="31">
        <v>77079.709999999977</v>
      </c>
      <c r="AR59" s="42" t="s">
        <v>103</v>
      </c>
      <c r="AS59" s="42" t="s">
        <v>104</v>
      </c>
      <c r="AT59" s="43" t="s">
        <v>1276</v>
      </c>
      <c r="AU59" s="44">
        <v>34</v>
      </c>
      <c r="AV59" s="31">
        <v>3112774.7263543634</v>
      </c>
      <c r="AW59" s="31">
        <v>91324.390000000014</v>
      </c>
      <c r="AX59" s="31">
        <v>0</v>
      </c>
      <c r="AY59" s="31">
        <v>0</v>
      </c>
      <c r="AZ59" s="31">
        <v>264380.52773787465</v>
      </c>
      <c r="BA59" s="31">
        <v>129526.73957512887</v>
      </c>
      <c r="BB59" s="31">
        <v>82039.610993728333</v>
      </c>
      <c r="BC59" s="31">
        <f t="shared" si="7"/>
        <v>3758565.3546610954</v>
      </c>
      <c r="BD59" s="31">
        <v>78519.359999999986</v>
      </c>
    </row>
    <row r="60" spans="2:56">
      <c r="B60" s="42" t="s">
        <v>357</v>
      </c>
      <c r="C60" s="42" t="s">
        <v>358</v>
      </c>
      <c r="D60" s="43" t="s">
        <v>1049</v>
      </c>
      <c r="E60" s="44">
        <v>34</v>
      </c>
      <c r="F60" s="31">
        <v>3409704.4477415001</v>
      </c>
      <c r="G60" s="31">
        <v>138563.56000000006</v>
      </c>
      <c r="H60" s="31">
        <v>0</v>
      </c>
      <c r="I60" s="31">
        <v>9062.18</v>
      </c>
      <c r="J60" s="31">
        <v>391045.89287423418</v>
      </c>
      <c r="K60" s="31">
        <v>215612.36805868376</v>
      </c>
      <c r="L60" s="31">
        <v>107979.30060007858</v>
      </c>
      <c r="M60" s="31">
        <f t="shared" si="4"/>
        <v>4336864.6092744973</v>
      </c>
      <c r="N60" s="31">
        <v>64896.86</v>
      </c>
      <c r="P60" s="42" t="s">
        <v>357</v>
      </c>
      <c r="Q60" s="42" t="s">
        <v>358</v>
      </c>
      <c r="R60" s="43" t="s">
        <v>1050</v>
      </c>
      <c r="S60" s="44">
        <v>34</v>
      </c>
      <c r="T60" s="31">
        <v>3736466.85975195</v>
      </c>
      <c r="U60" s="31">
        <v>150296.46000000002</v>
      </c>
      <c r="V60" s="31">
        <v>0</v>
      </c>
      <c r="W60" s="31">
        <v>9754.1499999999978</v>
      </c>
      <c r="X60" s="31">
        <v>414229.46061887109</v>
      </c>
      <c r="Y60" s="31">
        <v>216031.40660786643</v>
      </c>
      <c r="Z60" s="31">
        <v>115654.13798861617</v>
      </c>
      <c r="AA60" s="31">
        <f t="shared" si="5"/>
        <v>4710463.1649673032</v>
      </c>
      <c r="AB60" s="31">
        <v>68030.69</v>
      </c>
      <c r="AD60" s="42" t="s">
        <v>357</v>
      </c>
      <c r="AE60" s="42" t="s">
        <v>358</v>
      </c>
      <c r="AF60" s="43" t="s">
        <v>1275</v>
      </c>
      <c r="AG60" s="44">
        <v>34</v>
      </c>
      <c r="AH60" s="31">
        <v>3814569.9576240103</v>
      </c>
      <c r="AI60" s="31">
        <v>153428.60999999999</v>
      </c>
      <c r="AJ60" s="31">
        <v>0</v>
      </c>
      <c r="AK60" s="31">
        <v>9924.2099999999991</v>
      </c>
      <c r="AL60" s="31">
        <v>420147.68243348971</v>
      </c>
      <c r="AM60" s="31">
        <v>215713.05032776413</v>
      </c>
      <c r="AN60" s="31">
        <v>117689.17677429251</v>
      </c>
      <c r="AO60" s="31">
        <f t="shared" si="6"/>
        <v>4800705.6171595557</v>
      </c>
      <c r="AP60" s="31">
        <v>69232.930000000008</v>
      </c>
      <c r="AR60" s="42" t="s">
        <v>357</v>
      </c>
      <c r="AS60" s="42" t="s">
        <v>358</v>
      </c>
      <c r="AT60" s="43" t="s">
        <v>1276</v>
      </c>
      <c r="AU60" s="44">
        <v>34</v>
      </c>
      <c r="AV60" s="31">
        <v>3894537.8255253914</v>
      </c>
      <c r="AW60" s="31">
        <v>155689.87</v>
      </c>
      <c r="AX60" s="31">
        <v>0</v>
      </c>
      <c r="AY60" s="31">
        <v>10106.35</v>
      </c>
      <c r="AZ60" s="31">
        <v>427423.39129483007</v>
      </c>
      <c r="BA60" s="31">
        <v>215722.14622148132</v>
      </c>
      <c r="BB60" s="31">
        <v>119868.63437495183</v>
      </c>
      <c r="BC60" s="31">
        <f t="shared" si="7"/>
        <v>4893868.7574166553</v>
      </c>
      <c r="BD60" s="31">
        <v>70520.539999999994</v>
      </c>
    </row>
    <row r="61" spans="2:56">
      <c r="B61" s="42" t="s">
        <v>239</v>
      </c>
      <c r="C61" s="42" t="s">
        <v>240</v>
      </c>
      <c r="D61" s="43" t="s">
        <v>1049</v>
      </c>
      <c r="E61" s="44">
        <v>34</v>
      </c>
      <c r="F61" s="31">
        <v>425635.18949655013</v>
      </c>
      <c r="G61" s="31">
        <v>0</v>
      </c>
      <c r="H61" s="31">
        <v>0</v>
      </c>
      <c r="I61" s="31">
        <v>0</v>
      </c>
      <c r="J61" s="31">
        <v>51164.771231945269</v>
      </c>
      <c r="K61" s="31">
        <v>0</v>
      </c>
      <c r="L61" s="31">
        <v>0</v>
      </c>
      <c r="M61" s="31">
        <f t="shared" si="4"/>
        <v>476799.96072849538</v>
      </c>
      <c r="N61" s="31">
        <v>0</v>
      </c>
      <c r="P61" s="42" t="s">
        <v>239</v>
      </c>
      <c r="Q61" s="42" t="s">
        <v>240</v>
      </c>
      <c r="R61" s="43" t="s">
        <v>1050</v>
      </c>
      <c r="S61" s="44">
        <v>34</v>
      </c>
      <c r="T61" s="31">
        <v>448538.61282215139</v>
      </c>
      <c r="U61" s="31">
        <v>0</v>
      </c>
      <c r="V61" s="31">
        <v>0</v>
      </c>
      <c r="W61" s="31">
        <v>0</v>
      </c>
      <c r="X61" s="31">
        <v>55685.552218568475</v>
      </c>
      <c r="Y61" s="31">
        <v>0</v>
      </c>
      <c r="Z61" s="31">
        <v>0</v>
      </c>
      <c r="AA61" s="31">
        <f t="shared" si="5"/>
        <v>504224.16504071985</v>
      </c>
      <c r="AB61" s="31">
        <v>0</v>
      </c>
      <c r="AD61" s="42" t="s">
        <v>239</v>
      </c>
      <c r="AE61" s="42" t="s">
        <v>240</v>
      </c>
      <c r="AF61" s="43" t="s">
        <v>1275</v>
      </c>
      <c r="AG61" s="44">
        <v>34</v>
      </c>
      <c r="AH61" s="31">
        <v>453452.26859933138</v>
      </c>
      <c r="AI61" s="31">
        <v>0</v>
      </c>
      <c r="AJ61" s="31">
        <v>0</v>
      </c>
      <c r="AK61" s="31">
        <v>0</v>
      </c>
      <c r="AL61" s="31">
        <v>57926.855101095345</v>
      </c>
      <c r="AM61" s="31">
        <v>0</v>
      </c>
      <c r="AN61" s="31">
        <v>0</v>
      </c>
      <c r="AO61" s="31">
        <f t="shared" si="6"/>
        <v>511379.12370042672</v>
      </c>
      <c r="AP61" s="31">
        <v>0</v>
      </c>
      <c r="AR61" s="42" t="s">
        <v>239</v>
      </c>
      <c r="AS61" s="42" t="s">
        <v>240</v>
      </c>
      <c r="AT61" s="43" t="s">
        <v>1276</v>
      </c>
      <c r="AU61" s="44">
        <v>34</v>
      </c>
      <c r="AV61" s="31">
        <v>469999.25323282537</v>
      </c>
      <c r="AW61" s="31">
        <v>0</v>
      </c>
      <c r="AX61" s="31">
        <v>0</v>
      </c>
      <c r="AY61" s="31">
        <v>0</v>
      </c>
      <c r="AZ61" s="31">
        <v>57151.91168715572</v>
      </c>
      <c r="BA61" s="31">
        <v>0</v>
      </c>
      <c r="BB61" s="31">
        <v>0</v>
      </c>
      <c r="BC61" s="31">
        <f t="shared" si="7"/>
        <v>527151.16491998103</v>
      </c>
      <c r="BD61" s="31">
        <v>0</v>
      </c>
    </row>
    <row r="62" spans="2:56">
      <c r="B62" s="42" t="s">
        <v>445</v>
      </c>
      <c r="C62" s="42" t="s">
        <v>446</v>
      </c>
      <c r="D62" s="43" t="s">
        <v>1049</v>
      </c>
      <c r="E62" s="44">
        <v>34</v>
      </c>
      <c r="F62" s="31">
        <v>4365284.2314913711</v>
      </c>
      <c r="G62" s="31">
        <v>132115.07</v>
      </c>
      <c r="H62" s="31">
        <v>7435.51</v>
      </c>
      <c r="I62" s="31">
        <v>12500.279999999999</v>
      </c>
      <c r="J62" s="31">
        <v>573153.62381470762</v>
      </c>
      <c r="K62" s="31">
        <v>289016.93840799463</v>
      </c>
      <c r="L62" s="31">
        <v>233923.43747625902</v>
      </c>
      <c r="M62" s="31">
        <f t="shared" si="4"/>
        <v>5703194.0511903325</v>
      </c>
      <c r="N62" s="31">
        <v>89764.959999999992</v>
      </c>
      <c r="P62" s="42" t="s">
        <v>445</v>
      </c>
      <c r="Q62" s="42" t="s">
        <v>446</v>
      </c>
      <c r="R62" s="43" t="s">
        <v>1050</v>
      </c>
      <c r="S62" s="44">
        <v>34</v>
      </c>
      <c r="T62" s="31">
        <v>4609267.8018170558</v>
      </c>
      <c r="U62" s="31">
        <v>143106.79000000004</v>
      </c>
      <c r="V62" s="31">
        <v>7912.55</v>
      </c>
      <c r="W62" s="31">
        <v>13416.929999999998</v>
      </c>
      <c r="X62" s="31">
        <v>598428.65311713237</v>
      </c>
      <c r="Y62" s="31">
        <v>289708.89584684925</v>
      </c>
      <c r="Z62" s="31">
        <v>248211.10096832638</v>
      </c>
      <c r="AA62" s="31">
        <f t="shared" si="5"/>
        <v>6004207.6717493637</v>
      </c>
      <c r="AB62" s="31">
        <v>94154.949999999983</v>
      </c>
      <c r="AD62" s="42" t="s">
        <v>445</v>
      </c>
      <c r="AE62" s="42" t="s">
        <v>446</v>
      </c>
      <c r="AF62" s="43" t="s">
        <v>1275</v>
      </c>
      <c r="AG62" s="44">
        <v>34</v>
      </c>
      <c r="AH62" s="31">
        <v>4753402.4447632059</v>
      </c>
      <c r="AI62" s="31">
        <v>147365.47999999998</v>
      </c>
      <c r="AJ62" s="31">
        <v>8052.36</v>
      </c>
      <c r="AK62" s="31">
        <v>13887.41</v>
      </c>
      <c r="AL62" s="31">
        <v>609942.94350912573</v>
      </c>
      <c r="AM62" s="31">
        <v>289172.04429594922</v>
      </c>
      <c r="AN62" s="31">
        <v>252622.16188960779</v>
      </c>
      <c r="AO62" s="31">
        <f t="shared" si="6"/>
        <v>6170283.96445789</v>
      </c>
      <c r="AP62" s="31">
        <v>95839.119999999981</v>
      </c>
      <c r="AR62" s="42" t="s">
        <v>445</v>
      </c>
      <c r="AS62" s="42" t="s">
        <v>446</v>
      </c>
      <c r="AT62" s="43" t="s">
        <v>1276</v>
      </c>
      <c r="AU62" s="44">
        <v>34</v>
      </c>
      <c r="AV62" s="31">
        <v>4842345.1279151207</v>
      </c>
      <c r="AW62" s="31">
        <v>150084.32</v>
      </c>
      <c r="AX62" s="31">
        <v>8202.0999999999985</v>
      </c>
      <c r="AY62" s="31">
        <v>14145.66</v>
      </c>
      <c r="AZ62" s="31">
        <v>621331.18008638197</v>
      </c>
      <c r="BA62" s="31">
        <v>289187.38291168923</v>
      </c>
      <c r="BB62" s="31">
        <v>257346.27076810016</v>
      </c>
      <c r="BC62" s="31">
        <f t="shared" si="7"/>
        <v>6280284.8916812921</v>
      </c>
      <c r="BD62" s="31">
        <v>97642.849999999977</v>
      </c>
    </row>
    <row r="63" spans="2:56">
      <c r="B63" s="42" t="s">
        <v>311</v>
      </c>
      <c r="C63" s="42" t="s">
        <v>312</v>
      </c>
      <c r="D63" s="43" t="s">
        <v>1049</v>
      </c>
      <c r="E63" s="44">
        <v>34</v>
      </c>
      <c r="F63" s="31">
        <v>4713969.5300585181</v>
      </c>
      <c r="G63" s="31">
        <v>195859.87999999998</v>
      </c>
      <c r="H63" s="31">
        <v>0</v>
      </c>
      <c r="I63" s="31">
        <v>0</v>
      </c>
      <c r="J63" s="31">
        <v>687046.57864156016</v>
      </c>
      <c r="K63" s="31">
        <v>375179.09913079883</v>
      </c>
      <c r="L63" s="31">
        <v>776157.51099964837</v>
      </c>
      <c r="M63" s="31">
        <f t="shared" si="4"/>
        <v>6819638.1288305251</v>
      </c>
      <c r="N63" s="31">
        <v>71425.53</v>
      </c>
      <c r="P63" s="42" t="s">
        <v>311</v>
      </c>
      <c r="Q63" s="42" t="s">
        <v>312</v>
      </c>
      <c r="R63" s="43" t="s">
        <v>1050</v>
      </c>
      <c r="S63" s="44">
        <v>34</v>
      </c>
      <c r="T63" s="31">
        <v>4887179.1288535167</v>
      </c>
      <c r="U63" s="31">
        <v>202185.00999999998</v>
      </c>
      <c r="V63" s="31">
        <v>0</v>
      </c>
      <c r="W63" s="31">
        <v>0</v>
      </c>
      <c r="X63" s="31">
        <v>728688.38929942006</v>
      </c>
      <c r="Y63" s="31">
        <v>376351.67919298529</v>
      </c>
      <c r="Z63" s="31">
        <v>831729.18314475426</v>
      </c>
      <c r="AA63" s="31">
        <f t="shared" si="5"/>
        <v>7101008.0204906752</v>
      </c>
      <c r="AB63" s="31">
        <v>74874.629999999976</v>
      </c>
      <c r="AD63" s="42" t="s">
        <v>311</v>
      </c>
      <c r="AE63" s="42" t="s">
        <v>312</v>
      </c>
      <c r="AF63" s="43" t="s">
        <v>1275</v>
      </c>
      <c r="AG63" s="44">
        <v>34</v>
      </c>
      <c r="AH63" s="31">
        <v>4968091.0118992412</v>
      </c>
      <c r="AI63" s="31">
        <v>204953.25999999995</v>
      </c>
      <c r="AJ63" s="31">
        <v>0</v>
      </c>
      <c r="AK63" s="31">
        <v>0</v>
      </c>
      <c r="AL63" s="31">
        <v>742045.84644807107</v>
      </c>
      <c r="AM63" s="31">
        <v>375460.83459778532</v>
      </c>
      <c r="AN63" s="31">
        <v>846362.551249351</v>
      </c>
      <c r="AO63" s="31">
        <f t="shared" si="6"/>
        <v>7213111.324194449</v>
      </c>
      <c r="AP63" s="31">
        <v>76197.820000000007</v>
      </c>
      <c r="AR63" s="42" t="s">
        <v>311</v>
      </c>
      <c r="AS63" s="42" t="s">
        <v>312</v>
      </c>
      <c r="AT63" s="43" t="s">
        <v>1276</v>
      </c>
      <c r="AU63" s="44">
        <v>34</v>
      </c>
      <c r="AV63" s="31">
        <v>5088208.2223878549</v>
      </c>
      <c r="AW63" s="31">
        <v>209018.56000000003</v>
      </c>
      <c r="AX63" s="31">
        <v>0</v>
      </c>
      <c r="AY63" s="31">
        <v>0</v>
      </c>
      <c r="AZ63" s="31">
        <v>756212.47122049646</v>
      </c>
      <c r="BA63" s="31">
        <v>375486.28730050533</v>
      </c>
      <c r="BB63" s="31">
        <v>862034.39510717394</v>
      </c>
      <c r="BC63" s="31">
        <f t="shared" si="7"/>
        <v>7368574.8960160306</v>
      </c>
      <c r="BD63" s="31">
        <v>77614.959999999992</v>
      </c>
    </row>
    <row r="64" spans="2:56">
      <c r="B64" s="42" t="s">
        <v>73</v>
      </c>
      <c r="C64" s="42" t="s">
        <v>74</v>
      </c>
      <c r="D64" s="43" t="s">
        <v>1049</v>
      </c>
      <c r="E64" s="44">
        <v>34</v>
      </c>
      <c r="F64" s="31">
        <v>3482093.3089041272</v>
      </c>
      <c r="G64" s="31">
        <v>118295.46</v>
      </c>
      <c r="H64" s="31">
        <v>2923.29</v>
      </c>
      <c r="I64" s="31">
        <v>10036.619999999999</v>
      </c>
      <c r="J64" s="31">
        <v>451705.33406930225</v>
      </c>
      <c r="K64" s="31">
        <v>248758.78826502379</v>
      </c>
      <c r="L64" s="31">
        <v>409172.82958479715</v>
      </c>
      <c r="M64" s="31">
        <f t="shared" si="4"/>
        <v>4826762.1508232495</v>
      </c>
      <c r="N64" s="31">
        <v>103776.52</v>
      </c>
      <c r="P64" s="42" t="s">
        <v>73</v>
      </c>
      <c r="Q64" s="42" t="s">
        <v>74</v>
      </c>
      <c r="R64" s="43" t="s">
        <v>1050</v>
      </c>
      <c r="S64" s="44">
        <v>34</v>
      </c>
      <c r="T64" s="31">
        <v>3763335.6131626624</v>
      </c>
      <c r="U64" s="31">
        <v>133509.66999999998</v>
      </c>
      <c r="V64" s="31">
        <v>3113.03</v>
      </c>
      <c r="W64" s="31">
        <v>11103.14</v>
      </c>
      <c r="X64" s="31">
        <v>472297.79443829483</v>
      </c>
      <c r="Y64" s="31">
        <v>249353.13445385121</v>
      </c>
      <c r="Z64" s="31">
        <v>438347.38395491295</v>
      </c>
      <c r="AA64" s="31">
        <f t="shared" si="5"/>
        <v>5179847.5760097206</v>
      </c>
      <c r="AB64" s="31">
        <v>108787.81000000001</v>
      </c>
      <c r="AD64" s="42" t="s">
        <v>73</v>
      </c>
      <c r="AE64" s="42" t="s">
        <v>74</v>
      </c>
      <c r="AF64" s="43" t="s">
        <v>1275</v>
      </c>
      <c r="AG64" s="44">
        <v>34</v>
      </c>
      <c r="AH64" s="31">
        <v>3778048.2771414714</v>
      </c>
      <c r="AI64" s="31">
        <v>135389.27000000002</v>
      </c>
      <c r="AJ64" s="31">
        <v>3167.3</v>
      </c>
      <c r="AK64" s="31">
        <v>11296.73</v>
      </c>
      <c r="AL64" s="31">
        <v>480987.60695681314</v>
      </c>
      <c r="AM64" s="31">
        <v>248901.59164916855</v>
      </c>
      <c r="AN64" s="31">
        <v>446059.98614439362</v>
      </c>
      <c r="AO64" s="31">
        <f t="shared" si="6"/>
        <v>5214561.0818918468</v>
      </c>
      <c r="AP64" s="31">
        <v>110710.31999999999</v>
      </c>
      <c r="AR64" s="42" t="s">
        <v>73</v>
      </c>
      <c r="AS64" s="42" t="s">
        <v>74</v>
      </c>
      <c r="AT64" s="43" t="s">
        <v>1276</v>
      </c>
      <c r="AU64" s="44">
        <v>34</v>
      </c>
      <c r="AV64" s="31">
        <v>3796122.951509425</v>
      </c>
      <c r="AW64" s="31">
        <v>136019.09999999998</v>
      </c>
      <c r="AX64" s="31">
        <v>3225.44</v>
      </c>
      <c r="AY64" s="31">
        <v>11289.039999999999</v>
      </c>
      <c r="AZ64" s="31">
        <v>489354.13999479695</v>
      </c>
      <c r="BA64" s="31">
        <v>248914.49287215952</v>
      </c>
      <c r="BB64" s="31">
        <v>454319.92227652727</v>
      </c>
      <c r="BC64" s="31">
        <f t="shared" si="7"/>
        <v>5252014.4266529093</v>
      </c>
      <c r="BD64" s="31">
        <v>112769.33999999998</v>
      </c>
    </row>
    <row r="65" spans="2:56">
      <c r="B65" s="42" t="s">
        <v>475</v>
      </c>
      <c r="C65" s="42" t="s">
        <v>476</v>
      </c>
      <c r="D65" s="43" t="s">
        <v>1049</v>
      </c>
      <c r="E65" s="44">
        <v>34</v>
      </c>
      <c r="F65" s="31">
        <v>20880251.649480652</v>
      </c>
      <c r="G65" s="31">
        <v>759371.20000000007</v>
      </c>
      <c r="H65" s="31">
        <v>37320.590000000004</v>
      </c>
      <c r="I65" s="31">
        <v>70548.53</v>
      </c>
      <c r="J65" s="31">
        <v>2642414.0780187803</v>
      </c>
      <c r="K65" s="31">
        <v>1410156.1344572301</v>
      </c>
      <c r="L65" s="31">
        <v>986219.41939784714</v>
      </c>
      <c r="M65" s="31">
        <f t="shared" si="4"/>
        <v>27166698.021354511</v>
      </c>
      <c r="N65" s="31">
        <v>380416.42000000004</v>
      </c>
      <c r="P65" s="42" t="s">
        <v>475</v>
      </c>
      <c r="Q65" s="42" t="s">
        <v>476</v>
      </c>
      <c r="R65" s="43" t="s">
        <v>1050</v>
      </c>
      <c r="S65" s="44">
        <v>34</v>
      </c>
      <c r="T65" s="31">
        <v>22453838.221938606</v>
      </c>
      <c r="U65" s="31">
        <v>822455.07000000007</v>
      </c>
      <c r="V65" s="31">
        <v>39743.03</v>
      </c>
      <c r="W65" s="31">
        <v>75854.149999999994</v>
      </c>
      <c r="X65" s="31">
        <v>2795846.3824089281</v>
      </c>
      <c r="Y65" s="31">
        <v>1413121.9714127313</v>
      </c>
      <c r="Z65" s="31">
        <v>1046839.6512653715</v>
      </c>
      <c r="AA65" s="31">
        <f t="shared" si="5"/>
        <v>29046484.95702564</v>
      </c>
      <c r="AB65" s="31">
        <v>398786.48</v>
      </c>
      <c r="AD65" s="42" t="s">
        <v>475</v>
      </c>
      <c r="AE65" s="42" t="s">
        <v>476</v>
      </c>
      <c r="AF65" s="43" t="s">
        <v>1275</v>
      </c>
      <c r="AG65" s="44">
        <v>34</v>
      </c>
      <c r="AH65" s="31">
        <v>22964693.110483799</v>
      </c>
      <c r="AI65" s="31">
        <v>839550.37</v>
      </c>
      <c r="AJ65" s="31">
        <v>40435.939999999995</v>
      </c>
      <c r="AK65" s="31">
        <v>77387.820000000007</v>
      </c>
      <c r="AL65" s="31">
        <v>2842765.5957276803</v>
      </c>
      <c r="AM65" s="31">
        <v>1410868.7352310363</v>
      </c>
      <c r="AN65" s="31">
        <v>1065260.2813331278</v>
      </c>
      <c r="AO65" s="31">
        <f t="shared" si="6"/>
        <v>29646795.742775641</v>
      </c>
      <c r="AP65" s="31">
        <v>405833.89</v>
      </c>
      <c r="AR65" s="42" t="s">
        <v>475</v>
      </c>
      <c r="AS65" s="42" t="s">
        <v>476</v>
      </c>
      <c r="AT65" s="43" t="s">
        <v>1276</v>
      </c>
      <c r="AU65" s="44">
        <v>34</v>
      </c>
      <c r="AV65" s="31">
        <v>23587124.102055475</v>
      </c>
      <c r="AW65" s="31">
        <v>859911.96999999986</v>
      </c>
      <c r="AX65" s="31">
        <v>41178.049999999996</v>
      </c>
      <c r="AY65" s="31">
        <v>79238.149999999994</v>
      </c>
      <c r="AZ65" s="31">
        <v>2896064.7967146374</v>
      </c>
      <c r="BA65" s="31">
        <v>1410933.1134076563</v>
      </c>
      <c r="BB65" s="31">
        <v>1084988.1476492947</v>
      </c>
      <c r="BC65" s="31">
        <f t="shared" si="7"/>
        <v>30372820.019827064</v>
      </c>
      <c r="BD65" s="31">
        <v>413381.69000000006</v>
      </c>
    </row>
    <row r="66" spans="2:56">
      <c r="B66" s="42" t="s">
        <v>373</v>
      </c>
      <c r="C66" s="42" t="s">
        <v>374</v>
      </c>
      <c r="D66" s="43" t="s">
        <v>1049</v>
      </c>
      <c r="E66" s="44">
        <v>34</v>
      </c>
      <c r="F66" s="31">
        <v>13003491.973829165</v>
      </c>
      <c r="G66" s="31">
        <v>168802.37</v>
      </c>
      <c r="H66" s="31">
        <v>121653.35</v>
      </c>
      <c r="I66" s="31">
        <v>43701.8</v>
      </c>
      <c r="J66" s="31">
        <v>1732082.9783211304</v>
      </c>
      <c r="K66" s="31">
        <v>1086389.496340974</v>
      </c>
      <c r="L66" s="31">
        <v>292066.31945842132</v>
      </c>
      <c r="M66" s="31">
        <f t="shared" si="4"/>
        <v>16448188.287949691</v>
      </c>
      <c r="N66" s="31">
        <v>0</v>
      </c>
      <c r="P66" s="42" t="s">
        <v>373</v>
      </c>
      <c r="Q66" s="42" t="s">
        <v>374</v>
      </c>
      <c r="R66" s="43" t="s">
        <v>1050</v>
      </c>
      <c r="S66" s="44">
        <v>34</v>
      </c>
      <c r="T66" s="31">
        <v>14214952.080493111</v>
      </c>
      <c r="U66" s="31">
        <v>186102.02</v>
      </c>
      <c r="V66" s="31">
        <v>129431.4</v>
      </c>
      <c r="W66" s="31">
        <v>48152.259999999995</v>
      </c>
      <c r="X66" s="31">
        <v>1818246.7232846783</v>
      </c>
      <c r="Y66" s="31">
        <v>1087996.8666872333</v>
      </c>
      <c r="Z66" s="31">
        <v>309882.60153480229</v>
      </c>
      <c r="AA66" s="31">
        <f t="shared" si="5"/>
        <v>17794763.951999824</v>
      </c>
      <c r="AB66" s="31">
        <v>0</v>
      </c>
      <c r="AD66" s="42" t="s">
        <v>373</v>
      </c>
      <c r="AE66" s="42" t="s">
        <v>374</v>
      </c>
      <c r="AF66" s="43" t="s">
        <v>1275</v>
      </c>
      <c r="AG66" s="44">
        <v>34</v>
      </c>
      <c r="AH66" s="31">
        <v>14552310.865289142</v>
      </c>
      <c r="AI66" s="31">
        <v>190005.22</v>
      </c>
      <c r="AJ66" s="31">
        <v>131727.31</v>
      </c>
      <c r="AK66" s="31">
        <v>49126.82</v>
      </c>
      <c r="AL66" s="31">
        <v>1855995.4076404269</v>
      </c>
      <c r="AM66" s="31">
        <v>1086749.7968317689</v>
      </c>
      <c r="AN66" s="31">
        <v>315402.46026853833</v>
      </c>
      <c r="AO66" s="31">
        <f t="shared" si="6"/>
        <v>18181317.880029876</v>
      </c>
      <c r="AP66" s="31">
        <v>0</v>
      </c>
      <c r="AR66" s="42" t="s">
        <v>373</v>
      </c>
      <c r="AS66" s="42" t="s">
        <v>374</v>
      </c>
      <c r="AT66" s="43" t="s">
        <v>1276</v>
      </c>
      <c r="AU66" s="44">
        <v>34</v>
      </c>
      <c r="AV66" s="31">
        <v>15189840.144200675</v>
      </c>
      <c r="AW66" s="31">
        <v>196741.06999999998</v>
      </c>
      <c r="AX66" s="31">
        <v>134186.23000000001</v>
      </c>
      <c r="AY66" s="31">
        <v>50902.459999999992</v>
      </c>
      <c r="AZ66" s="31">
        <v>1904282.3730027531</v>
      </c>
      <c r="BA66" s="31">
        <v>1086785.4273990679</v>
      </c>
      <c r="BB66" s="31">
        <v>321314.06075716962</v>
      </c>
      <c r="BC66" s="31">
        <f t="shared" si="7"/>
        <v>18884051.76535967</v>
      </c>
      <c r="BD66" s="31">
        <v>0</v>
      </c>
    </row>
    <row r="67" spans="2:56">
      <c r="B67" s="42" t="s">
        <v>525</v>
      </c>
      <c r="C67" s="42" t="s">
        <v>526</v>
      </c>
      <c r="D67" s="43" t="s">
        <v>1049</v>
      </c>
      <c r="E67" s="44">
        <v>34</v>
      </c>
      <c r="F67" s="31">
        <v>369483.16628448508</v>
      </c>
      <c r="G67" s="31">
        <v>11011.02</v>
      </c>
      <c r="H67" s="31">
        <v>0</v>
      </c>
      <c r="I67" s="31">
        <v>0</v>
      </c>
      <c r="J67" s="31">
        <v>19542.514764255699</v>
      </c>
      <c r="K67" s="31">
        <v>93212.844263618346</v>
      </c>
      <c r="L67" s="31">
        <v>0</v>
      </c>
      <c r="M67" s="31">
        <f t="shared" si="4"/>
        <v>497244.70531235909</v>
      </c>
      <c r="N67" s="31">
        <v>3995.1600000000003</v>
      </c>
      <c r="P67" s="42" t="s">
        <v>525</v>
      </c>
      <c r="Q67" s="42" t="s">
        <v>526</v>
      </c>
      <c r="R67" s="43" t="s">
        <v>1050</v>
      </c>
      <c r="S67" s="44">
        <v>34</v>
      </c>
      <c r="T67" s="31">
        <v>413118.95756822661</v>
      </c>
      <c r="U67" s="31">
        <v>13348.67</v>
      </c>
      <c r="V67" s="31">
        <v>0</v>
      </c>
      <c r="W67" s="31">
        <v>0</v>
      </c>
      <c r="X67" s="31">
        <v>20610.502530882437</v>
      </c>
      <c r="Y67" s="31">
        <v>93368.627840878326</v>
      </c>
      <c r="Z67" s="31">
        <v>0</v>
      </c>
      <c r="AA67" s="31">
        <f t="shared" si="5"/>
        <v>544634.83793998731</v>
      </c>
      <c r="AB67" s="31">
        <v>4188.08</v>
      </c>
      <c r="AD67" s="42" t="s">
        <v>525</v>
      </c>
      <c r="AE67" s="42" t="s">
        <v>526</v>
      </c>
      <c r="AF67" s="43" t="s">
        <v>1275</v>
      </c>
      <c r="AG67" s="44">
        <v>34</v>
      </c>
      <c r="AH67" s="31">
        <v>411898.33009096119</v>
      </c>
      <c r="AI67" s="31">
        <v>12841.34</v>
      </c>
      <c r="AJ67" s="31">
        <v>0</v>
      </c>
      <c r="AK67" s="31">
        <v>0</v>
      </c>
      <c r="AL67" s="31">
        <v>21179.832781780791</v>
      </c>
      <c r="AM67" s="31">
        <v>93250.274337950614</v>
      </c>
      <c r="AN67" s="31">
        <v>0</v>
      </c>
      <c r="AO67" s="31">
        <f t="shared" si="6"/>
        <v>543431.86721069261</v>
      </c>
      <c r="AP67" s="31">
        <v>4262.0899999999992</v>
      </c>
      <c r="AR67" s="42" t="s">
        <v>525</v>
      </c>
      <c r="AS67" s="42" t="s">
        <v>526</v>
      </c>
      <c r="AT67" s="43" t="s">
        <v>1276</v>
      </c>
      <c r="AU67" s="44">
        <v>34</v>
      </c>
      <c r="AV67" s="31">
        <v>412958.08766380069</v>
      </c>
      <c r="AW67" s="31">
        <v>12430.900000000003</v>
      </c>
      <c r="AX67" s="31">
        <v>0</v>
      </c>
      <c r="AY67" s="31">
        <v>0</v>
      </c>
      <c r="AZ67" s="31">
        <v>21165.305325782625</v>
      </c>
      <c r="BA67" s="31">
        <v>93253.655866605695</v>
      </c>
      <c r="BB67" s="31">
        <v>0</v>
      </c>
      <c r="BC67" s="31">
        <f t="shared" si="7"/>
        <v>544149.30885618902</v>
      </c>
      <c r="BD67" s="31">
        <v>4341.3599999999988</v>
      </c>
    </row>
    <row r="68" spans="2:56">
      <c r="B68" s="42" t="s">
        <v>469</v>
      </c>
      <c r="C68" s="42" t="s">
        <v>470</v>
      </c>
      <c r="D68" s="43" t="s">
        <v>1049</v>
      </c>
      <c r="E68" s="44">
        <v>34</v>
      </c>
      <c r="F68" s="31">
        <v>28946654.90689211</v>
      </c>
      <c r="G68" s="31">
        <v>1236916.33</v>
      </c>
      <c r="H68" s="31">
        <v>157477.07999999999</v>
      </c>
      <c r="I68" s="31">
        <v>101689.25</v>
      </c>
      <c r="J68" s="31">
        <v>4885557.0036764331</v>
      </c>
      <c r="K68" s="31">
        <v>2371052.8070992967</v>
      </c>
      <c r="L68" s="31">
        <v>2201703.5246145553</v>
      </c>
      <c r="M68" s="31">
        <f t="shared" si="4"/>
        <v>40461854.9122824</v>
      </c>
      <c r="N68" s="31">
        <v>560804.01</v>
      </c>
      <c r="P68" s="42" t="s">
        <v>469</v>
      </c>
      <c r="Q68" s="42" t="s">
        <v>470</v>
      </c>
      <c r="R68" s="43" t="s">
        <v>1050</v>
      </c>
      <c r="S68" s="44">
        <v>34</v>
      </c>
      <c r="T68" s="31">
        <v>32845789.812807113</v>
      </c>
      <c r="U68" s="31">
        <v>1395086.6700000004</v>
      </c>
      <c r="V68" s="31">
        <v>167656.55000000002</v>
      </c>
      <c r="W68" s="31">
        <v>113954.88999999998</v>
      </c>
      <c r="X68" s="31">
        <v>5172389.9959125929</v>
      </c>
      <c r="Y68" s="31">
        <v>2377352.8352045147</v>
      </c>
      <c r="Z68" s="31">
        <v>2359607.3452433036</v>
      </c>
      <c r="AA68" s="31">
        <f t="shared" si="5"/>
        <v>45019845.979167528</v>
      </c>
      <c r="AB68" s="31">
        <v>588007.88</v>
      </c>
      <c r="AD68" s="42" t="s">
        <v>469</v>
      </c>
      <c r="AE68" s="42" t="s">
        <v>470</v>
      </c>
      <c r="AF68" s="43" t="s">
        <v>1275</v>
      </c>
      <c r="AG68" s="44">
        <v>34</v>
      </c>
      <c r="AH68" s="31">
        <v>33581583.67090103</v>
      </c>
      <c r="AI68" s="31">
        <v>1423216</v>
      </c>
      <c r="AJ68" s="31">
        <v>170593.63</v>
      </c>
      <c r="AK68" s="31">
        <v>116279.08</v>
      </c>
      <c r="AL68" s="31">
        <v>5268555.3575195745</v>
      </c>
      <c r="AM68" s="31">
        <v>2372566.5130009148</v>
      </c>
      <c r="AN68" s="31">
        <v>2401237.6402112939</v>
      </c>
      <c r="AO68" s="31">
        <f t="shared" si="6"/>
        <v>45932476.161632814</v>
      </c>
      <c r="AP68" s="31">
        <v>598444.2699999999</v>
      </c>
      <c r="AR68" s="42" t="s">
        <v>469</v>
      </c>
      <c r="AS68" s="42" t="s">
        <v>470</v>
      </c>
      <c r="AT68" s="43" t="s">
        <v>1276</v>
      </c>
      <c r="AU68" s="44">
        <v>34</v>
      </c>
      <c r="AV68" s="31">
        <v>34506700.125538178</v>
      </c>
      <c r="AW68" s="31">
        <v>1453991.0899999999</v>
      </c>
      <c r="AX68" s="31">
        <v>173739.24000000002</v>
      </c>
      <c r="AY68" s="31">
        <v>118868.36</v>
      </c>
      <c r="AZ68" s="31">
        <v>5389614.9785343092</v>
      </c>
      <c r="BA68" s="31">
        <v>2372703.2650638754</v>
      </c>
      <c r="BB68" s="31">
        <v>2445822.3123268113</v>
      </c>
      <c r="BC68" s="31">
        <f t="shared" si="7"/>
        <v>47071061.031463169</v>
      </c>
      <c r="BD68" s="31">
        <v>609621.66</v>
      </c>
    </row>
    <row r="69" spans="2:56">
      <c r="B69" s="42" t="s">
        <v>587</v>
      </c>
      <c r="C69" s="42" t="s">
        <v>588</v>
      </c>
      <c r="D69" s="43" t="s">
        <v>1049</v>
      </c>
      <c r="E69" s="44">
        <v>34</v>
      </c>
      <c r="F69" s="31">
        <v>26517901.745412007</v>
      </c>
      <c r="G69" s="31">
        <v>1186949.9100000004</v>
      </c>
      <c r="H69" s="31">
        <v>538858.30999999994</v>
      </c>
      <c r="I69" s="31">
        <v>91401.279999999999</v>
      </c>
      <c r="J69" s="31">
        <v>3678180.6928263046</v>
      </c>
      <c r="K69" s="31">
        <v>1742989.5621444487</v>
      </c>
      <c r="L69" s="31">
        <v>1833932.1486166811</v>
      </c>
      <c r="M69" s="31">
        <f t="shared" ref="M69:M132" si="8">SUM(F69:L69,N69)</f>
        <v>36519719.848999441</v>
      </c>
      <c r="N69" s="31">
        <v>929506.2</v>
      </c>
      <c r="P69" s="42" t="s">
        <v>587</v>
      </c>
      <c r="Q69" s="42" t="s">
        <v>588</v>
      </c>
      <c r="R69" s="43" t="s">
        <v>1050</v>
      </c>
      <c r="S69" s="44">
        <v>34</v>
      </c>
      <c r="T69" s="31">
        <v>28103800.08488366</v>
      </c>
      <c r="U69" s="31">
        <v>1261490.22</v>
      </c>
      <c r="V69" s="31">
        <v>573835.14</v>
      </c>
      <c r="W69" s="31">
        <v>95985.08</v>
      </c>
      <c r="X69" s="31">
        <v>3896834.6821318008</v>
      </c>
      <c r="Y69" s="31">
        <v>1746507.0527285736</v>
      </c>
      <c r="Z69" s="31">
        <v>1965360.4419644857</v>
      </c>
      <c r="AA69" s="31">
        <f t="shared" ref="AA69:AA132" si="9">SUM(T69:Z69,AB69)</f>
        <v>38618204.151708513</v>
      </c>
      <c r="AB69" s="31">
        <v>974391.45</v>
      </c>
      <c r="AD69" s="42" t="s">
        <v>587</v>
      </c>
      <c r="AE69" s="42" t="s">
        <v>588</v>
      </c>
      <c r="AF69" s="43" t="s">
        <v>1275</v>
      </c>
      <c r="AG69" s="44">
        <v>34</v>
      </c>
      <c r="AH69" s="31">
        <v>28756237.807987735</v>
      </c>
      <c r="AI69" s="31">
        <v>1289481.8700000001</v>
      </c>
      <c r="AJ69" s="31">
        <v>583839.86</v>
      </c>
      <c r="AK69" s="31">
        <v>98080.87000000001</v>
      </c>
      <c r="AL69" s="31">
        <v>3965710.9916960131</v>
      </c>
      <c r="AM69" s="31">
        <v>1743834.7085735044</v>
      </c>
      <c r="AN69" s="31">
        <v>1999939.663196756</v>
      </c>
      <c r="AO69" s="31">
        <f t="shared" ref="AO69:AO132" si="10">SUM(AH69:AN69,AP69)</f>
        <v>39428736.831454016</v>
      </c>
      <c r="AP69" s="31">
        <v>991611.05999999994</v>
      </c>
      <c r="AR69" s="42" t="s">
        <v>587</v>
      </c>
      <c r="AS69" s="42" t="s">
        <v>588</v>
      </c>
      <c r="AT69" s="43" t="s">
        <v>1276</v>
      </c>
      <c r="AU69" s="44">
        <v>34</v>
      </c>
      <c r="AV69" s="31">
        <v>29510158.337407753</v>
      </c>
      <c r="AW69" s="31">
        <v>1322150.2199999997</v>
      </c>
      <c r="AX69" s="31">
        <v>594554.91999999993</v>
      </c>
      <c r="AY69" s="31">
        <v>100633.53</v>
      </c>
      <c r="AZ69" s="31">
        <v>4038670.1559194308</v>
      </c>
      <c r="BA69" s="31">
        <v>1743911.0612636493</v>
      </c>
      <c r="BB69" s="31">
        <v>2036972.8404597174</v>
      </c>
      <c r="BC69" s="31">
        <f t="shared" ref="BC69:BC132" si="11">SUM(AV69:BB69,BD69)</f>
        <v>40357104.325050555</v>
      </c>
      <c r="BD69" s="31">
        <v>1010053.2599999999</v>
      </c>
    </row>
    <row r="70" spans="2:56">
      <c r="B70" s="42" t="s">
        <v>95</v>
      </c>
      <c r="C70" s="42" t="s">
        <v>96</v>
      </c>
      <c r="D70" s="43" t="s">
        <v>1049</v>
      </c>
      <c r="E70" s="44">
        <v>34</v>
      </c>
      <c r="F70" s="31">
        <v>46282008.110941365</v>
      </c>
      <c r="G70" s="31">
        <v>2122789.8800000004</v>
      </c>
      <c r="H70" s="31">
        <v>1668901.67</v>
      </c>
      <c r="I70" s="31">
        <v>163314.01</v>
      </c>
      <c r="J70" s="31">
        <v>6266505.0426672148</v>
      </c>
      <c r="K70" s="31">
        <v>1869628.0526013325</v>
      </c>
      <c r="L70" s="31">
        <v>4230067.2381449761</v>
      </c>
      <c r="M70" s="31">
        <f t="shared" si="8"/>
        <v>64130433.934354894</v>
      </c>
      <c r="N70" s="31">
        <v>1527219.9300000002</v>
      </c>
      <c r="P70" s="42" t="s">
        <v>95</v>
      </c>
      <c r="Q70" s="42" t="s">
        <v>96</v>
      </c>
      <c r="R70" s="43" t="s">
        <v>1050</v>
      </c>
      <c r="S70" s="44">
        <v>34</v>
      </c>
      <c r="T70" s="31">
        <v>49808438.800624698</v>
      </c>
      <c r="U70" s="31">
        <v>2295818.38</v>
      </c>
      <c r="V70" s="31">
        <v>1777228.63</v>
      </c>
      <c r="W70" s="31">
        <v>174744.74000000002</v>
      </c>
      <c r="X70" s="31">
        <v>6613578.0484760338</v>
      </c>
      <c r="Y70" s="31">
        <v>1873278.6585725369</v>
      </c>
      <c r="Z70" s="31">
        <v>4533351.8250803761</v>
      </c>
      <c r="AA70" s="31">
        <f t="shared" si="9"/>
        <v>68677407.452753663</v>
      </c>
      <c r="AB70" s="31">
        <v>1600968.37</v>
      </c>
      <c r="AD70" s="42" t="s">
        <v>95</v>
      </c>
      <c r="AE70" s="42" t="s">
        <v>96</v>
      </c>
      <c r="AF70" s="43" t="s">
        <v>1275</v>
      </c>
      <c r="AG70" s="44">
        <v>34</v>
      </c>
      <c r="AH70" s="31">
        <v>50847596.828916669</v>
      </c>
      <c r="AI70" s="31">
        <v>2342644.8900000006</v>
      </c>
      <c r="AJ70" s="31">
        <v>1808214.33</v>
      </c>
      <c r="AK70" s="31">
        <v>178319.28000000003</v>
      </c>
      <c r="AL70" s="31">
        <v>6726741.3397886492</v>
      </c>
      <c r="AM70" s="31">
        <v>1870505.1826253268</v>
      </c>
      <c r="AN70" s="31">
        <v>4613113.4640176874</v>
      </c>
      <c r="AO70" s="31">
        <f t="shared" si="10"/>
        <v>70016396.26534833</v>
      </c>
      <c r="AP70" s="31">
        <v>1629260.95</v>
      </c>
      <c r="AR70" s="42" t="s">
        <v>95</v>
      </c>
      <c r="AS70" s="42" t="s">
        <v>96</v>
      </c>
      <c r="AT70" s="43" t="s">
        <v>1276</v>
      </c>
      <c r="AU70" s="44">
        <v>34</v>
      </c>
      <c r="AV70" s="31">
        <v>51727727.799384445</v>
      </c>
      <c r="AW70" s="31">
        <v>2371477.0099999998</v>
      </c>
      <c r="AX70" s="31">
        <v>1841400.02</v>
      </c>
      <c r="AY70" s="31">
        <v>180516.76</v>
      </c>
      <c r="AZ70" s="31">
        <v>6880075.0701561486</v>
      </c>
      <c r="BA70" s="31">
        <v>1870584.4247952471</v>
      </c>
      <c r="BB70" s="31">
        <v>4698535.4835181469</v>
      </c>
      <c r="BC70" s="31">
        <f t="shared" si="11"/>
        <v>71229878.87785399</v>
      </c>
      <c r="BD70" s="31">
        <v>1659562.3099999998</v>
      </c>
    </row>
    <row r="71" spans="2:56">
      <c r="B71" s="42" t="s">
        <v>241</v>
      </c>
      <c r="C71" s="42" t="s">
        <v>242</v>
      </c>
      <c r="D71" s="43" t="s">
        <v>1049</v>
      </c>
      <c r="E71" s="44">
        <v>34</v>
      </c>
      <c r="F71" s="31">
        <v>1942673.4093458413</v>
      </c>
      <c r="G71" s="31">
        <v>38587.31</v>
      </c>
      <c r="H71" s="31">
        <v>13934.31</v>
      </c>
      <c r="I71" s="31">
        <v>0</v>
      </c>
      <c r="J71" s="31">
        <v>95661.212467181642</v>
      </c>
      <c r="K71" s="31">
        <v>111636.73228081799</v>
      </c>
      <c r="L71" s="31">
        <v>0</v>
      </c>
      <c r="M71" s="31">
        <f t="shared" si="8"/>
        <v>2227048.554093841</v>
      </c>
      <c r="N71" s="31">
        <v>24555.579999999998</v>
      </c>
      <c r="P71" s="42" t="s">
        <v>241</v>
      </c>
      <c r="Q71" s="42" t="s">
        <v>242</v>
      </c>
      <c r="R71" s="43" t="s">
        <v>1050</v>
      </c>
      <c r="S71" s="44">
        <v>34</v>
      </c>
      <c r="T71" s="31">
        <v>2066676.5445874305</v>
      </c>
      <c r="U71" s="31">
        <v>44301.810000000012</v>
      </c>
      <c r="V71" s="31">
        <v>14838.79</v>
      </c>
      <c r="W71" s="31">
        <v>0</v>
      </c>
      <c r="X71" s="31">
        <v>104347.60351796198</v>
      </c>
      <c r="Y71" s="31">
        <v>111788.03124146083</v>
      </c>
      <c r="Z71" s="31">
        <v>0</v>
      </c>
      <c r="AA71" s="31">
        <f t="shared" si="9"/>
        <v>2367694.1293468536</v>
      </c>
      <c r="AB71" s="31">
        <v>25741.349999999995</v>
      </c>
      <c r="AD71" s="42" t="s">
        <v>241</v>
      </c>
      <c r="AE71" s="42" t="s">
        <v>242</v>
      </c>
      <c r="AF71" s="43" t="s">
        <v>1275</v>
      </c>
      <c r="AG71" s="44">
        <v>34</v>
      </c>
      <c r="AH71" s="31">
        <v>2100042.2541610161</v>
      </c>
      <c r="AI71" s="31">
        <v>45068.100000000006</v>
      </c>
      <c r="AJ71" s="31">
        <v>15097.500000000002</v>
      </c>
      <c r="AK71" s="31">
        <v>0</v>
      </c>
      <c r="AL71" s="31">
        <v>107365.31641485046</v>
      </c>
      <c r="AM71" s="31">
        <v>111673.08483763343</v>
      </c>
      <c r="AN71" s="31">
        <v>0</v>
      </c>
      <c r="AO71" s="31">
        <f t="shared" si="10"/>
        <v>2405442.5154134999</v>
      </c>
      <c r="AP71" s="31">
        <v>26196.259999999995</v>
      </c>
      <c r="AR71" s="42" t="s">
        <v>241</v>
      </c>
      <c r="AS71" s="42" t="s">
        <v>242</v>
      </c>
      <c r="AT71" s="43" t="s">
        <v>1276</v>
      </c>
      <c r="AU71" s="44">
        <v>34</v>
      </c>
      <c r="AV71" s="31">
        <v>2139258.8218335193</v>
      </c>
      <c r="AW71" s="31">
        <v>45888.799999999996</v>
      </c>
      <c r="AX71" s="31">
        <v>15374.580000000002</v>
      </c>
      <c r="AY71" s="31">
        <v>0</v>
      </c>
      <c r="AZ71" s="31">
        <v>108977.32076027116</v>
      </c>
      <c r="BA71" s="31">
        <v>111676.36902059992</v>
      </c>
      <c r="BB71" s="31">
        <v>0</v>
      </c>
      <c r="BC71" s="31">
        <f t="shared" si="11"/>
        <v>2447859.35161439</v>
      </c>
      <c r="BD71" s="31">
        <v>26683.46</v>
      </c>
    </row>
    <row r="72" spans="2:56">
      <c r="B72" s="42" t="s">
        <v>385</v>
      </c>
      <c r="C72" s="42" t="s">
        <v>386</v>
      </c>
      <c r="D72" s="43" t="s">
        <v>1049</v>
      </c>
      <c r="E72" s="44">
        <v>34</v>
      </c>
      <c r="F72" s="31">
        <v>15300877.206247209</v>
      </c>
      <c r="G72" s="31">
        <v>497640.00999999989</v>
      </c>
      <c r="H72" s="31">
        <v>0</v>
      </c>
      <c r="I72" s="31">
        <v>53496.069999999992</v>
      </c>
      <c r="J72" s="31">
        <v>2074772.7654096165</v>
      </c>
      <c r="K72" s="31">
        <v>1335744.2156340177</v>
      </c>
      <c r="L72" s="31">
        <v>1395185.6444581565</v>
      </c>
      <c r="M72" s="31">
        <f t="shared" si="8"/>
        <v>20714914.791748997</v>
      </c>
      <c r="N72" s="31">
        <v>57198.879999999997</v>
      </c>
      <c r="P72" s="42" t="s">
        <v>385</v>
      </c>
      <c r="Q72" s="42" t="s">
        <v>386</v>
      </c>
      <c r="R72" s="43" t="s">
        <v>1050</v>
      </c>
      <c r="S72" s="44">
        <v>34</v>
      </c>
      <c r="T72" s="31">
        <v>15860816.855608661</v>
      </c>
      <c r="U72" s="31">
        <v>521137.88</v>
      </c>
      <c r="V72" s="31">
        <v>0</v>
      </c>
      <c r="W72" s="31">
        <v>55930.779999999992</v>
      </c>
      <c r="X72" s="31">
        <v>2183291.6296730535</v>
      </c>
      <c r="Y72" s="31">
        <v>1339818.5205463513</v>
      </c>
      <c r="Z72" s="31">
        <v>1480943.7152301902</v>
      </c>
      <c r="AA72" s="31">
        <f t="shared" si="9"/>
        <v>21501900.351058252</v>
      </c>
      <c r="AB72" s="31">
        <v>59960.97</v>
      </c>
      <c r="AD72" s="42" t="s">
        <v>385</v>
      </c>
      <c r="AE72" s="42" t="s">
        <v>386</v>
      </c>
      <c r="AF72" s="43" t="s">
        <v>1275</v>
      </c>
      <c r="AG72" s="44">
        <v>34</v>
      </c>
      <c r="AH72" s="31">
        <v>16324396.542094929</v>
      </c>
      <c r="AI72" s="31">
        <v>536227.5</v>
      </c>
      <c r="AJ72" s="31">
        <v>0</v>
      </c>
      <c r="AK72" s="31">
        <v>57539.37</v>
      </c>
      <c r="AL72" s="31">
        <v>2219103.1309779384</v>
      </c>
      <c r="AM72" s="31">
        <v>1336723.1476780958</v>
      </c>
      <c r="AN72" s="31">
        <v>1507002.7445019197</v>
      </c>
      <c r="AO72" s="31">
        <f t="shared" si="10"/>
        <v>22042013.045252886</v>
      </c>
      <c r="AP72" s="31">
        <v>61020.61</v>
      </c>
      <c r="AR72" s="42" t="s">
        <v>385</v>
      </c>
      <c r="AS72" s="42" t="s">
        <v>386</v>
      </c>
      <c r="AT72" s="43" t="s">
        <v>1276</v>
      </c>
      <c r="AU72" s="44">
        <v>34</v>
      </c>
      <c r="AV72" s="31">
        <v>16878091.01993227</v>
      </c>
      <c r="AW72" s="31">
        <v>552289.59</v>
      </c>
      <c r="AX72" s="31">
        <v>0</v>
      </c>
      <c r="AY72" s="31">
        <v>59240.469999999994</v>
      </c>
      <c r="AZ72" s="31">
        <v>2264390.0093617756</v>
      </c>
      <c r="BA72" s="31">
        <v>1336811.5869029032</v>
      </c>
      <c r="BB72" s="31">
        <v>1534911.0757225417</v>
      </c>
      <c r="BC72" s="31">
        <f t="shared" si="11"/>
        <v>22687889.251919489</v>
      </c>
      <c r="BD72" s="31">
        <v>62155.5</v>
      </c>
    </row>
    <row r="73" spans="2:56">
      <c r="B73" s="42" t="s">
        <v>429</v>
      </c>
      <c r="C73" s="42" t="s">
        <v>430</v>
      </c>
      <c r="D73" s="43" t="s">
        <v>1049</v>
      </c>
      <c r="E73" s="44">
        <v>34</v>
      </c>
      <c r="F73" s="31">
        <v>185721688.43698636</v>
      </c>
      <c r="G73" s="31">
        <v>5310638.2899999991</v>
      </c>
      <c r="H73" s="31">
        <v>5891161.1700000009</v>
      </c>
      <c r="I73" s="31">
        <v>652114.32000000007</v>
      </c>
      <c r="J73" s="31">
        <v>29526751.608861737</v>
      </c>
      <c r="K73" s="31">
        <v>15254384.123382561</v>
      </c>
      <c r="L73" s="31">
        <v>10414177.156155415</v>
      </c>
      <c r="M73" s="31">
        <f t="shared" si="8"/>
        <v>253508848.78538606</v>
      </c>
      <c r="N73" s="31">
        <v>737933.68000000017</v>
      </c>
      <c r="P73" s="42" t="s">
        <v>429</v>
      </c>
      <c r="Q73" s="42" t="s">
        <v>430</v>
      </c>
      <c r="R73" s="43" t="s">
        <v>1050</v>
      </c>
      <c r="S73" s="44">
        <v>34</v>
      </c>
      <c r="T73" s="31">
        <v>204722062.66861495</v>
      </c>
      <c r="U73" s="31">
        <v>5857811.4999999981</v>
      </c>
      <c r="V73" s="31">
        <v>6267201.3600000013</v>
      </c>
      <c r="W73" s="31">
        <v>717885.31</v>
      </c>
      <c r="X73" s="31">
        <v>31255286.180868477</v>
      </c>
      <c r="Y73" s="31">
        <v>15287951.553458173</v>
      </c>
      <c r="Z73" s="31">
        <v>11048463.426076978</v>
      </c>
      <c r="AA73" s="31">
        <f t="shared" si="9"/>
        <v>275930880.77901858</v>
      </c>
      <c r="AB73" s="31">
        <v>774218.78</v>
      </c>
      <c r="AD73" s="42" t="s">
        <v>429</v>
      </c>
      <c r="AE73" s="42" t="s">
        <v>430</v>
      </c>
      <c r="AF73" s="43" t="s">
        <v>1275</v>
      </c>
      <c r="AG73" s="44">
        <v>34</v>
      </c>
      <c r="AH73" s="31">
        <v>212439483.04393879</v>
      </c>
      <c r="AI73" s="31">
        <v>6064451.3999999994</v>
      </c>
      <c r="AJ73" s="31">
        <v>6378577.2400000002</v>
      </c>
      <c r="AK73" s="31">
        <v>743358.37</v>
      </c>
      <c r="AL73" s="31">
        <v>31838392.610310074</v>
      </c>
      <c r="AM73" s="31">
        <v>15261664.329104574</v>
      </c>
      <c r="AN73" s="31">
        <v>11245670.310263516</v>
      </c>
      <c r="AO73" s="31">
        <f t="shared" si="10"/>
        <v>284759736.37361699</v>
      </c>
      <c r="AP73" s="31">
        <v>788139.07000000007</v>
      </c>
      <c r="AR73" s="42" t="s">
        <v>429</v>
      </c>
      <c r="AS73" s="42" t="s">
        <v>430</v>
      </c>
      <c r="AT73" s="43" t="s">
        <v>1276</v>
      </c>
      <c r="AU73" s="44">
        <v>34</v>
      </c>
      <c r="AV73" s="31">
        <v>218694005.20919174</v>
      </c>
      <c r="AW73" s="31">
        <v>6217297.4000000013</v>
      </c>
      <c r="AX73" s="31">
        <v>6497860.8200000003</v>
      </c>
      <c r="AY73" s="31">
        <v>762117.08</v>
      </c>
      <c r="AZ73" s="31">
        <v>32534629.353038363</v>
      </c>
      <c r="BA73" s="31">
        <v>15262415.392657533</v>
      </c>
      <c r="BB73" s="31">
        <v>11456872.999883696</v>
      </c>
      <c r="BC73" s="31">
        <f t="shared" si="11"/>
        <v>292228245.93477136</v>
      </c>
      <c r="BD73" s="31">
        <v>803047.68</v>
      </c>
    </row>
    <row r="74" spans="2:56">
      <c r="B74" s="42" t="s">
        <v>245</v>
      </c>
      <c r="C74" s="42" t="s">
        <v>246</v>
      </c>
      <c r="D74" s="43" t="s">
        <v>1049</v>
      </c>
      <c r="E74" s="44">
        <v>34</v>
      </c>
      <c r="F74" s="31">
        <v>25992264.91705076</v>
      </c>
      <c r="G74" s="31">
        <v>820467.8</v>
      </c>
      <c r="H74" s="31">
        <v>337541.61</v>
      </c>
      <c r="I74" s="31">
        <v>90719.19</v>
      </c>
      <c r="J74" s="31">
        <v>3664280.1141184592</v>
      </c>
      <c r="K74" s="31">
        <v>1688808.6694923157</v>
      </c>
      <c r="L74" s="31">
        <v>2015605.3236128404</v>
      </c>
      <c r="M74" s="31">
        <f t="shared" si="8"/>
        <v>34761990.614274383</v>
      </c>
      <c r="N74" s="31">
        <v>152302.99</v>
      </c>
      <c r="P74" s="42" t="s">
        <v>245</v>
      </c>
      <c r="Q74" s="42" t="s">
        <v>246</v>
      </c>
      <c r="R74" s="43" t="s">
        <v>1050</v>
      </c>
      <c r="S74" s="44">
        <v>34</v>
      </c>
      <c r="T74" s="31">
        <v>27413991.323441301</v>
      </c>
      <c r="U74" s="31">
        <v>869198.70000000007</v>
      </c>
      <c r="V74" s="31">
        <v>359451.15</v>
      </c>
      <c r="W74" s="31">
        <v>95777.55</v>
      </c>
      <c r="X74" s="31">
        <v>3873343.3090715772</v>
      </c>
      <c r="Y74" s="31">
        <v>1691900.6380111522</v>
      </c>
      <c r="Z74" s="31">
        <v>2139499.1046892121</v>
      </c>
      <c r="AA74" s="31">
        <f t="shared" si="9"/>
        <v>36602819.375213243</v>
      </c>
      <c r="AB74" s="31">
        <v>159657.59999999998</v>
      </c>
      <c r="AD74" s="42" t="s">
        <v>245</v>
      </c>
      <c r="AE74" s="42" t="s">
        <v>246</v>
      </c>
      <c r="AF74" s="43" t="s">
        <v>1275</v>
      </c>
      <c r="AG74" s="44">
        <v>34</v>
      </c>
      <c r="AH74" s="31">
        <v>27898862.028835416</v>
      </c>
      <c r="AI74" s="31">
        <v>882414.76</v>
      </c>
      <c r="AJ74" s="31">
        <v>365718.13</v>
      </c>
      <c r="AK74" s="31">
        <v>97236.260000000009</v>
      </c>
      <c r="AL74" s="31">
        <v>3948422.2535202107</v>
      </c>
      <c r="AM74" s="31">
        <v>1689551.5758597816</v>
      </c>
      <c r="AN74" s="31">
        <v>2177146.3740514363</v>
      </c>
      <c r="AO74" s="31">
        <f t="shared" si="10"/>
        <v>37221830.482266851</v>
      </c>
      <c r="AP74" s="31">
        <v>162479.09999999998</v>
      </c>
      <c r="AR74" s="42" t="s">
        <v>245</v>
      </c>
      <c r="AS74" s="42" t="s">
        <v>246</v>
      </c>
      <c r="AT74" s="43" t="s">
        <v>1276</v>
      </c>
      <c r="AU74" s="44">
        <v>34</v>
      </c>
      <c r="AV74" s="31">
        <v>28458785.247656778</v>
      </c>
      <c r="AW74" s="31">
        <v>898569.60000000009</v>
      </c>
      <c r="AX74" s="31">
        <v>372430.05</v>
      </c>
      <c r="AY74" s="31">
        <v>99020.82</v>
      </c>
      <c r="AZ74" s="31">
        <v>4024588.5467390744</v>
      </c>
      <c r="BA74" s="31">
        <v>1689618.6919212495</v>
      </c>
      <c r="BB74" s="31">
        <v>2217465.3151711784</v>
      </c>
      <c r="BC74" s="31">
        <f t="shared" si="11"/>
        <v>37925979.191488281</v>
      </c>
      <c r="BD74" s="31">
        <v>165500.91999999998</v>
      </c>
    </row>
    <row r="75" spans="2:56">
      <c r="B75" s="42" t="s">
        <v>151</v>
      </c>
      <c r="C75" s="42" t="s">
        <v>152</v>
      </c>
      <c r="D75" s="43" t="s">
        <v>1049</v>
      </c>
      <c r="E75" s="44">
        <v>34</v>
      </c>
      <c r="F75" s="31">
        <v>11631235.059165977</v>
      </c>
      <c r="G75" s="31">
        <v>776994.50999999978</v>
      </c>
      <c r="H75" s="31">
        <v>193189.36</v>
      </c>
      <c r="I75" s="31">
        <v>45296.100000000006</v>
      </c>
      <c r="J75" s="31">
        <v>2034711.3325883052</v>
      </c>
      <c r="K75" s="31">
        <v>959356.70389505685</v>
      </c>
      <c r="L75" s="31">
        <v>2374789.8208077531</v>
      </c>
      <c r="M75" s="31">
        <f t="shared" si="8"/>
        <v>18477512.366457094</v>
      </c>
      <c r="N75" s="31">
        <v>461939.48000000004</v>
      </c>
      <c r="P75" s="42" t="s">
        <v>151</v>
      </c>
      <c r="Q75" s="42" t="s">
        <v>152</v>
      </c>
      <c r="R75" s="43" t="s">
        <v>1050</v>
      </c>
      <c r="S75" s="44">
        <v>34</v>
      </c>
      <c r="T75" s="31">
        <v>13132480.804522574</v>
      </c>
      <c r="U75" s="31">
        <v>874733.82000000007</v>
      </c>
      <c r="V75" s="31">
        <v>205677.33999999997</v>
      </c>
      <c r="W75" s="31">
        <v>50586.96</v>
      </c>
      <c r="X75" s="31">
        <v>2142307.2249582517</v>
      </c>
      <c r="Y75" s="31">
        <v>961678.72958304838</v>
      </c>
      <c r="Z75" s="31">
        <v>2545034.7978247507</v>
      </c>
      <c r="AA75" s="31">
        <f t="shared" si="9"/>
        <v>20396847.236888625</v>
      </c>
      <c r="AB75" s="31">
        <v>484347.56000000011</v>
      </c>
      <c r="AD75" s="42" t="s">
        <v>151</v>
      </c>
      <c r="AE75" s="42" t="s">
        <v>152</v>
      </c>
      <c r="AF75" s="43" t="s">
        <v>1275</v>
      </c>
      <c r="AG75" s="44">
        <v>34</v>
      </c>
      <c r="AH75" s="31">
        <v>13497219.709325664</v>
      </c>
      <c r="AI75" s="31">
        <v>897486.91999999993</v>
      </c>
      <c r="AJ75" s="31">
        <v>209280.47999999998</v>
      </c>
      <c r="AK75" s="31">
        <v>51910.3</v>
      </c>
      <c r="AL75" s="31">
        <v>2178276.3828848451</v>
      </c>
      <c r="AM75" s="31">
        <v>959914.61632479832</v>
      </c>
      <c r="AN75" s="31">
        <v>2589936.4704682673</v>
      </c>
      <c r="AO75" s="31">
        <f t="shared" si="10"/>
        <v>20876968.999003578</v>
      </c>
      <c r="AP75" s="31">
        <v>492944.12000000005</v>
      </c>
      <c r="AR75" s="42" t="s">
        <v>151</v>
      </c>
      <c r="AS75" s="42" t="s">
        <v>152</v>
      </c>
      <c r="AT75" s="43" t="s">
        <v>1276</v>
      </c>
      <c r="AU75" s="44">
        <v>34</v>
      </c>
      <c r="AV75" s="31">
        <v>13882796.306773279</v>
      </c>
      <c r="AW75" s="31">
        <v>921598.19</v>
      </c>
      <c r="AX75" s="31">
        <v>213139.45</v>
      </c>
      <c r="AY75" s="31">
        <v>53312.680000000008</v>
      </c>
      <c r="AZ75" s="31">
        <v>2216905.4105977444</v>
      </c>
      <c r="BA75" s="31">
        <v>959965.01956074836</v>
      </c>
      <c r="BB75" s="31">
        <v>2638024.6801946731</v>
      </c>
      <c r="BC75" s="31">
        <f t="shared" si="11"/>
        <v>21387892.767126441</v>
      </c>
      <c r="BD75" s="31">
        <v>502151.03</v>
      </c>
    </row>
    <row r="76" spans="2:56">
      <c r="B76" s="42" t="s">
        <v>573</v>
      </c>
      <c r="C76" s="42" t="s">
        <v>574</v>
      </c>
      <c r="D76" s="43" t="s">
        <v>1049</v>
      </c>
      <c r="E76" s="44">
        <v>34</v>
      </c>
      <c r="F76" s="31">
        <v>1921468.314020202</v>
      </c>
      <c r="G76" s="31">
        <v>27576.280000000002</v>
      </c>
      <c r="H76" s="31">
        <v>0</v>
      </c>
      <c r="I76" s="31">
        <v>2046.29</v>
      </c>
      <c r="J76" s="31">
        <v>90213.333926510473</v>
      </c>
      <c r="K76" s="31">
        <v>230809.1144059161</v>
      </c>
      <c r="L76" s="31">
        <v>0</v>
      </c>
      <c r="M76" s="31">
        <f t="shared" si="8"/>
        <v>2295012.3823526287</v>
      </c>
      <c r="N76" s="31">
        <v>22899.05</v>
      </c>
      <c r="P76" s="42" t="s">
        <v>573</v>
      </c>
      <c r="Q76" s="42" t="s">
        <v>574</v>
      </c>
      <c r="R76" s="43" t="s">
        <v>1050</v>
      </c>
      <c r="S76" s="44">
        <v>34</v>
      </c>
      <c r="T76" s="31">
        <v>2034497.5364831814</v>
      </c>
      <c r="U76" s="31">
        <v>31925.939999999995</v>
      </c>
      <c r="V76" s="31">
        <v>0</v>
      </c>
      <c r="W76" s="31">
        <v>2386.6500000000005</v>
      </c>
      <c r="X76" s="31">
        <v>97008.137202588041</v>
      </c>
      <c r="Y76" s="31">
        <v>231396.61463720075</v>
      </c>
      <c r="Z76" s="31">
        <v>0</v>
      </c>
      <c r="AA76" s="31">
        <f t="shared" si="9"/>
        <v>2421219.71832297</v>
      </c>
      <c r="AB76" s="31">
        <v>24004.839999999997</v>
      </c>
      <c r="AD76" s="42" t="s">
        <v>573</v>
      </c>
      <c r="AE76" s="42" t="s">
        <v>574</v>
      </c>
      <c r="AF76" s="43" t="s">
        <v>1275</v>
      </c>
      <c r="AG76" s="44">
        <v>34</v>
      </c>
      <c r="AH76" s="31">
        <v>2069717.3072287587</v>
      </c>
      <c r="AI76" s="31">
        <v>32476.850000000006</v>
      </c>
      <c r="AJ76" s="31">
        <v>0</v>
      </c>
      <c r="AK76" s="31">
        <v>2428.2700000000004</v>
      </c>
      <c r="AL76" s="31">
        <v>98773.943894509212</v>
      </c>
      <c r="AM76" s="31">
        <v>230950.27291385373</v>
      </c>
      <c r="AN76" s="31">
        <v>0</v>
      </c>
      <c r="AO76" s="31">
        <f t="shared" si="10"/>
        <v>2458775.7040371215</v>
      </c>
      <c r="AP76" s="31">
        <v>24429.059999999998</v>
      </c>
      <c r="AR76" s="42" t="s">
        <v>573</v>
      </c>
      <c r="AS76" s="42" t="s">
        <v>574</v>
      </c>
      <c r="AT76" s="43" t="s">
        <v>1276</v>
      </c>
      <c r="AU76" s="44">
        <v>34</v>
      </c>
      <c r="AV76" s="31">
        <v>2113263.0077817766</v>
      </c>
      <c r="AW76" s="31">
        <v>33819.500000000007</v>
      </c>
      <c r="AX76" s="31">
        <v>0</v>
      </c>
      <c r="AY76" s="31">
        <v>2580.35</v>
      </c>
      <c r="AZ76" s="31">
        <v>99224.29702930068</v>
      </c>
      <c r="BA76" s="31">
        <v>230963.02553452077</v>
      </c>
      <c r="BB76" s="31">
        <v>0</v>
      </c>
      <c r="BC76" s="31">
        <f t="shared" si="11"/>
        <v>2504733.5703455983</v>
      </c>
      <c r="BD76" s="31">
        <v>24883.39</v>
      </c>
    </row>
    <row r="77" spans="2:56">
      <c r="B77" s="42" t="s">
        <v>33</v>
      </c>
      <c r="C77" s="42" t="s">
        <v>34</v>
      </c>
      <c r="D77" s="43" t="s">
        <v>1049</v>
      </c>
      <c r="E77" s="44">
        <v>34</v>
      </c>
      <c r="F77" s="31">
        <v>3663482.0130399093</v>
      </c>
      <c r="G77" s="31">
        <v>130743.31000000001</v>
      </c>
      <c r="H77" s="31">
        <v>81512.800000000003</v>
      </c>
      <c r="I77" s="31">
        <v>9079.41</v>
      </c>
      <c r="J77" s="31">
        <v>352259.71179496264</v>
      </c>
      <c r="K77" s="31">
        <v>261053.69399201623</v>
      </c>
      <c r="L77" s="31">
        <v>0</v>
      </c>
      <c r="M77" s="31">
        <f t="shared" si="8"/>
        <v>4590740.7788268877</v>
      </c>
      <c r="N77" s="31">
        <v>92609.839999999982</v>
      </c>
      <c r="P77" s="42" t="s">
        <v>33</v>
      </c>
      <c r="Q77" s="42" t="s">
        <v>34</v>
      </c>
      <c r="R77" s="43" t="s">
        <v>1050</v>
      </c>
      <c r="S77" s="44">
        <v>34</v>
      </c>
      <c r="T77" s="31">
        <v>3786186.1390908118</v>
      </c>
      <c r="U77" s="31">
        <v>136070.37</v>
      </c>
      <c r="V77" s="31">
        <v>86781.87000000001</v>
      </c>
      <c r="W77" s="31">
        <v>9344.09</v>
      </c>
      <c r="X77" s="31">
        <v>365937.22417560406</v>
      </c>
      <c r="Y77" s="31">
        <v>261489.90145534909</v>
      </c>
      <c r="Z77" s="31">
        <v>0</v>
      </c>
      <c r="AA77" s="31">
        <f t="shared" si="9"/>
        <v>4742911.8047217652</v>
      </c>
      <c r="AB77" s="31">
        <v>97102.209999999992</v>
      </c>
      <c r="AD77" s="42" t="s">
        <v>33</v>
      </c>
      <c r="AE77" s="42" t="s">
        <v>34</v>
      </c>
      <c r="AF77" s="43" t="s">
        <v>1275</v>
      </c>
      <c r="AG77" s="44">
        <v>34</v>
      </c>
      <c r="AH77" s="31">
        <v>3819644.997450849</v>
      </c>
      <c r="AI77" s="31">
        <v>139306</v>
      </c>
      <c r="AJ77" s="31">
        <v>88302.159999999989</v>
      </c>
      <c r="AK77" s="31">
        <v>9617.0700000000015</v>
      </c>
      <c r="AL77" s="31">
        <v>374509.4761326955</v>
      </c>
      <c r="AM77" s="31">
        <v>261158.50143105446</v>
      </c>
      <c r="AN77" s="31">
        <v>0</v>
      </c>
      <c r="AO77" s="31">
        <f t="shared" si="10"/>
        <v>4791363.8650145987</v>
      </c>
      <c r="AP77" s="31">
        <v>98825.66</v>
      </c>
      <c r="AR77" s="42" t="s">
        <v>33</v>
      </c>
      <c r="AS77" s="42" t="s">
        <v>34</v>
      </c>
      <c r="AT77" s="43" t="s">
        <v>1276</v>
      </c>
      <c r="AU77" s="44">
        <v>34</v>
      </c>
      <c r="AV77" s="31">
        <v>3906614.6291653649</v>
      </c>
      <c r="AW77" s="31">
        <v>145078.86000000004</v>
      </c>
      <c r="AX77" s="31">
        <v>89930.37999999999</v>
      </c>
      <c r="AY77" s="31">
        <v>10016.999999999998</v>
      </c>
      <c r="AZ77" s="31">
        <v>377525.31093802664</v>
      </c>
      <c r="BA77" s="31">
        <v>261167.97000317718</v>
      </c>
      <c r="BB77" s="31">
        <v>0</v>
      </c>
      <c r="BC77" s="31">
        <f t="shared" si="11"/>
        <v>4891005.6201065686</v>
      </c>
      <c r="BD77" s="31">
        <v>100671.46999999999</v>
      </c>
    </row>
    <row r="78" spans="2:56">
      <c r="B78" s="42" t="s">
        <v>187</v>
      </c>
      <c r="C78" s="42" t="s">
        <v>188</v>
      </c>
      <c r="D78" s="43" t="s">
        <v>1049</v>
      </c>
      <c r="E78" s="44">
        <v>34</v>
      </c>
      <c r="F78" s="31">
        <v>35141045.180763036</v>
      </c>
      <c r="G78" s="31">
        <v>866251.91999999993</v>
      </c>
      <c r="H78" s="31">
        <v>0</v>
      </c>
      <c r="I78" s="31">
        <v>130771.78</v>
      </c>
      <c r="J78" s="31">
        <v>6024407.9697946459</v>
      </c>
      <c r="K78" s="31">
        <v>2372290.0740763433</v>
      </c>
      <c r="L78" s="31">
        <v>4353161.6509491326</v>
      </c>
      <c r="M78" s="31">
        <f t="shared" si="8"/>
        <v>48891153.39558316</v>
      </c>
      <c r="N78" s="31">
        <v>3224.8199999999997</v>
      </c>
      <c r="P78" s="42" t="s">
        <v>187</v>
      </c>
      <c r="Q78" s="42" t="s">
        <v>188</v>
      </c>
      <c r="R78" s="43" t="s">
        <v>1050</v>
      </c>
      <c r="S78" s="44">
        <v>34</v>
      </c>
      <c r="T78" s="31">
        <v>40540970.143086717</v>
      </c>
      <c r="U78" s="31">
        <v>990186.31999999983</v>
      </c>
      <c r="V78" s="31">
        <v>0</v>
      </c>
      <c r="W78" s="31">
        <v>149544.16</v>
      </c>
      <c r="X78" s="31">
        <v>6392208.6131718699</v>
      </c>
      <c r="Y78" s="31">
        <v>2378161.4253647332</v>
      </c>
      <c r="Z78" s="31">
        <v>4618706.4048629161</v>
      </c>
      <c r="AA78" s="31">
        <f t="shared" si="9"/>
        <v>55073160.166486233</v>
      </c>
      <c r="AB78" s="31">
        <v>3383.0999999999995</v>
      </c>
      <c r="AD78" s="42" t="s">
        <v>187</v>
      </c>
      <c r="AE78" s="42" t="s">
        <v>188</v>
      </c>
      <c r="AF78" s="43" t="s">
        <v>1275</v>
      </c>
      <c r="AG78" s="44">
        <v>34</v>
      </c>
      <c r="AH78" s="31">
        <v>43726967.745497935</v>
      </c>
      <c r="AI78" s="31">
        <v>1061211.5199999998</v>
      </c>
      <c r="AJ78" s="31">
        <v>0</v>
      </c>
      <c r="AK78" s="31">
        <v>160264.21999999997</v>
      </c>
      <c r="AL78" s="31">
        <v>6512042.5605375944</v>
      </c>
      <c r="AM78" s="31">
        <v>2373606.1682520001</v>
      </c>
      <c r="AN78" s="31">
        <v>4700977.7624932518</v>
      </c>
      <c r="AO78" s="31">
        <f t="shared" si="10"/>
        <v>58538513.806780778</v>
      </c>
      <c r="AP78" s="31">
        <v>3443.8299999999995</v>
      </c>
      <c r="AR78" s="42" t="s">
        <v>187</v>
      </c>
      <c r="AS78" s="42" t="s">
        <v>188</v>
      </c>
      <c r="AT78" s="43" t="s">
        <v>1276</v>
      </c>
      <c r="AU78" s="44">
        <v>34</v>
      </c>
      <c r="AV78" s="31">
        <v>46880331.103042036</v>
      </c>
      <c r="AW78" s="31">
        <v>1129592.1299999999</v>
      </c>
      <c r="AX78" s="31">
        <v>0</v>
      </c>
      <c r="AY78" s="31">
        <v>170615.22000000003</v>
      </c>
      <c r="AZ78" s="31">
        <v>6651180.2279979363</v>
      </c>
      <c r="BA78" s="31">
        <v>2373736.3184552207</v>
      </c>
      <c r="BB78" s="31">
        <v>4789087.8798711384</v>
      </c>
      <c r="BC78" s="31">
        <f t="shared" si="11"/>
        <v>61998051.749366328</v>
      </c>
      <c r="BD78" s="31">
        <v>3508.87</v>
      </c>
    </row>
    <row r="79" spans="2:56">
      <c r="B79" s="42" t="s">
        <v>135</v>
      </c>
      <c r="C79" s="42" t="s">
        <v>136</v>
      </c>
      <c r="D79" s="43" t="s">
        <v>1049</v>
      </c>
      <c r="E79" s="44">
        <v>34</v>
      </c>
      <c r="F79" s="31">
        <v>20703260.699231572</v>
      </c>
      <c r="G79" s="31">
        <v>933361.89000000013</v>
      </c>
      <c r="H79" s="31">
        <v>616793.62</v>
      </c>
      <c r="I79" s="31">
        <v>0</v>
      </c>
      <c r="J79" s="31">
        <v>3175990.3474239316</v>
      </c>
      <c r="K79" s="31">
        <v>1478563.1427322172</v>
      </c>
      <c r="L79" s="31">
        <v>2230982.4502273002</v>
      </c>
      <c r="M79" s="31">
        <f t="shared" si="8"/>
        <v>29665355.329615023</v>
      </c>
      <c r="N79" s="31">
        <v>526403.17999999993</v>
      </c>
      <c r="P79" s="42" t="s">
        <v>135</v>
      </c>
      <c r="Q79" s="42" t="s">
        <v>136</v>
      </c>
      <c r="R79" s="43" t="s">
        <v>1050</v>
      </c>
      <c r="S79" s="44">
        <v>34</v>
      </c>
      <c r="T79" s="31">
        <v>22375265.989993002</v>
      </c>
      <c r="U79" s="31">
        <v>1003046.7099999998</v>
      </c>
      <c r="V79" s="31">
        <v>656663.80000000005</v>
      </c>
      <c r="W79" s="31">
        <v>0</v>
      </c>
      <c r="X79" s="31">
        <v>3375889.2487213602</v>
      </c>
      <c r="Y79" s="31">
        <v>1481103.9250870331</v>
      </c>
      <c r="Z79" s="31">
        <v>2390859.0810144092</v>
      </c>
      <c r="AA79" s="31">
        <f t="shared" si="9"/>
        <v>31834767.05481581</v>
      </c>
      <c r="AB79" s="31">
        <v>551938.29999999993</v>
      </c>
      <c r="AD79" s="42" t="s">
        <v>135</v>
      </c>
      <c r="AE79" s="42" t="s">
        <v>136</v>
      </c>
      <c r="AF79" s="43" t="s">
        <v>1275</v>
      </c>
      <c r="AG79" s="44">
        <v>34</v>
      </c>
      <c r="AH79" s="31">
        <v>22747174.253221519</v>
      </c>
      <c r="AI79" s="31">
        <v>1020491.43</v>
      </c>
      <c r="AJ79" s="31">
        <v>668167.52999999991</v>
      </c>
      <c r="AK79" s="31">
        <v>0</v>
      </c>
      <c r="AL79" s="31">
        <v>3431946.0180964489</v>
      </c>
      <c r="AM79" s="31">
        <v>1479173.6157620165</v>
      </c>
      <c r="AN79" s="31">
        <v>2433040.3289969629</v>
      </c>
      <c r="AO79" s="31">
        <f t="shared" si="10"/>
        <v>32341727.696076948</v>
      </c>
      <c r="AP79" s="31">
        <v>561734.5199999999</v>
      </c>
      <c r="AR79" s="42" t="s">
        <v>135</v>
      </c>
      <c r="AS79" s="42" t="s">
        <v>136</v>
      </c>
      <c r="AT79" s="43" t="s">
        <v>1276</v>
      </c>
      <c r="AU79" s="44">
        <v>34</v>
      </c>
      <c r="AV79" s="31">
        <v>23176102.101555213</v>
      </c>
      <c r="AW79" s="31">
        <v>1039174.73</v>
      </c>
      <c r="AX79" s="31">
        <v>680488.02999999991</v>
      </c>
      <c r="AY79" s="31">
        <v>0</v>
      </c>
      <c r="AZ79" s="31">
        <v>3495370.4684791532</v>
      </c>
      <c r="BA79" s="31">
        <v>1479228.7674570167</v>
      </c>
      <c r="BB79" s="31">
        <v>2478215.0535658775</v>
      </c>
      <c r="BC79" s="31">
        <f t="shared" si="11"/>
        <v>32920805.401057262</v>
      </c>
      <c r="BD79" s="31">
        <v>572226.25</v>
      </c>
    </row>
    <row r="80" spans="2:56">
      <c r="B80" s="42" t="s">
        <v>273</v>
      </c>
      <c r="C80" s="42" t="s">
        <v>274</v>
      </c>
      <c r="D80" s="43" t="s">
        <v>1049</v>
      </c>
      <c r="E80" s="44">
        <v>34</v>
      </c>
      <c r="F80" s="31">
        <v>526362.90238324052</v>
      </c>
      <c r="G80" s="31">
        <v>17344.800000000003</v>
      </c>
      <c r="H80" s="31">
        <v>3800.26</v>
      </c>
      <c r="I80" s="31">
        <v>1266.7600000000002</v>
      </c>
      <c r="J80" s="31">
        <v>64829.507592904702</v>
      </c>
      <c r="K80" s="31">
        <v>23198.336213827675</v>
      </c>
      <c r="L80" s="31">
        <v>0</v>
      </c>
      <c r="M80" s="31">
        <f t="shared" si="8"/>
        <v>650249.66618997301</v>
      </c>
      <c r="N80" s="31">
        <v>13447.1</v>
      </c>
      <c r="P80" s="42" t="s">
        <v>273</v>
      </c>
      <c r="Q80" s="42" t="s">
        <v>274</v>
      </c>
      <c r="R80" s="43" t="s">
        <v>1050</v>
      </c>
      <c r="S80" s="44">
        <v>34</v>
      </c>
      <c r="T80" s="31">
        <v>618634.41738914605</v>
      </c>
      <c r="U80" s="31">
        <v>21495.88</v>
      </c>
      <c r="V80" s="31">
        <v>4046.94</v>
      </c>
      <c r="W80" s="31">
        <v>1556.52</v>
      </c>
      <c r="X80" s="31">
        <v>69652.31480048965</v>
      </c>
      <c r="Y80" s="31">
        <v>23237.332354808219</v>
      </c>
      <c r="Z80" s="31">
        <v>0</v>
      </c>
      <c r="AA80" s="31">
        <f t="shared" si="9"/>
        <v>752719.85454444389</v>
      </c>
      <c r="AB80" s="31">
        <v>14096.45</v>
      </c>
      <c r="AD80" s="42" t="s">
        <v>273</v>
      </c>
      <c r="AE80" s="42" t="s">
        <v>274</v>
      </c>
      <c r="AF80" s="43" t="s">
        <v>1275</v>
      </c>
      <c r="AG80" s="44">
        <v>34</v>
      </c>
      <c r="AH80" s="31">
        <v>671219.69341819431</v>
      </c>
      <c r="AI80" s="31">
        <v>23450.94</v>
      </c>
      <c r="AJ80" s="31">
        <v>4117.5</v>
      </c>
      <c r="AK80" s="31">
        <v>1689.2299999999998</v>
      </c>
      <c r="AL80" s="31">
        <v>71560.237708301196</v>
      </c>
      <c r="AM80" s="31">
        <v>23207.705805162306</v>
      </c>
      <c r="AN80" s="31">
        <v>0</v>
      </c>
      <c r="AO80" s="31">
        <f t="shared" si="10"/>
        <v>809590.86693165777</v>
      </c>
      <c r="AP80" s="31">
        <v>14345.560000000001</v>
      </c>
      <c r="AR80" s="42" t="s">
        <v>273</v>
      </c>
      <c r="AS80" s="42" t="s">
        <v>274</v>
      </c>
      <c r="AT80" s="43" t="s">
        <v>1276</v>
      </c>
      <c r="AU80" s="44">
        <v>34</v>
      </c>
      <c r="AV80" s="31">
        <v>726305.84266227926</v>
      </c>
      <c r="AW80" s="31">
        <v>25490.519999999997</v>
      </c>
      <c r="AX80" s="31">
        <v>4193.0600000000004</v>
      </c>
      <c r="AY80" s="31">
        <v>1935.2599999999998</v>
      </c>
      <c r="AZ80" s="31">
        <v>73164.26653059473</v>
      </c>
      <c r="BA80" s="31">
        <v>23208.552278009334</v>
      </c>
      <c r="BB80" s="31">
        <v>0</v>
      </c>
      <c r="BC80" s="31">
        <f t="shared" si="11"/>
        <v>868909.87147088349</v>
      </c>
      <c r="BD80" s="31">
        <v>14612.37</v>
      </c>
    </row>
    <row r="81" spans="2:56">
      <c r="B81" s="42" t="s">
        <v>423</v>
      </c>
      <c r="C81" s="42" t="s">
        <v>424</v>
      </c>
      <c r="D81" s="43" t="s">
        <v>1049</v>
      </c>
      <c r="E81" s="44">
        <v>34</v>
      </c>
      <c r="F81" s="31">
        <v>181963987.9831199</v>
      </c>
      <c r="G81" s="31">
        <v>5570813.6999999993</v>
      </c>
      <c r="H81" s="31">
        <v>5796081.1799999997</v>
      </c>
      <c r="I81" s="31">
        <v>651842.75000000012</v>
      </c>
      <c r="J81" s="31">
        <v>26399373.720740926</v>
      </c>
      <c r="K81" s="31">
        <v>12685237.22906089</v>
      </c>
      <c r="L81" s="31">
        <v>15376566.202289466</v>
      </c>
      <c r="M81" s="31">
        <f t="shared" si="8"/>
        <v>251051044.46521115</v>
      </c>
      <c r="N81" s="31">
        <v>2607141.7000000002</v>
      </c>
      <c r="P81" s="42" t="s">
        <v>423</v>
      </c>
      <c r="Q81" s="42" t="s">
        <v>424</v>
      </c>
      <c r="R81" s="43" t="s">
        <v>1050</v>
      </c>
      <c r="S81" s="44">
        <v>34</v>
      </c>
      <c r="T81" s="31">
        <v>193744109.81044471</v>
      </c>
      <c r="U81" s="31">
        <v>5934373.8299999991</v>
      </c>
      <c r="V81" s="31">
        <v>6073554.9199999999</v>
      </c>
      <c r="W81" s="31">
        <v>690015.60999999987</v>
      </c>
      <c r="X81" s="31">
        <v>27663773.581654988</v>
      </c>
      <c r="Y81" s="31">
        <v>12710926.22873777</v>
      </c>
      <c r="Z81" s="31">
        <v>16109855.543530354</v>
      </c>
      <c r="AA81" s="31">
        <f t="shared" si="9"/>
        <v>265620914.57436785</v>
      </c>
      <c r="AB81" s="31">
        <v>2694305.05</v>
      </c>
      <c r="AD81" s="42" t="s">
        <v>423</v>
      </c>
      <c r="AE81" s="42" t="s">
        <v>424</v>
      </c>
      <c r="AF81" s="43" t="s">
        <v>1275</v>
      </c>
      <c r="AG81" s="44">
        <v>34</v>
      </c>
      <c r="AH81" s="31">
        <v>197882621.98119462</v>
      </c>
      <c r="AI81" s="31">
        <v>6051866.1500000004</v>
      </c>
      <c r="AJ81" s="31">
        <v>6181489.4700000007</v>
      </c>
      <c r="AK81" s="31">
        <v>703745.20000000007</v>
      </c>
      <c r="AL81" s="31">
        <v>28181919.463110238</v>
      </c>
      <c r="AM81" s="31">
        <v>12690775.891719388</v>
      </c>
      <c r="AN81" s="31">
        <v>16397404.518471336</v>
      </c>
      <c r="AO81" s="31">
        <f t="shared" si="10"/>
        <v>270832570.73449558</v>
      </c>
      <c r="AP81" s="31">
        <v>2742748.0600000005</v>
      </c>
      <c r="AR81" s="42" t="s">
        <v>423</v>
      </c>
      <c r="AS81" s="42" t="s">
        <v>424</v>
      </c>
      <c r="AT81" s="43" t="s">
        <v>1276</v>
      </c>
      <c r="AU81" s="44">
        <v>34</v>
      </c>
      <c r="AV81" s="31">
        <v>201049470.11765882</v>
      </c>
      <c r="AW81" s="31">
        <v>6147634.5899999989</v>
      </c>
      <c r="AX81" s="31">
        <v>6297087.370000001</v>
      </c>
      <c r="AY81" s="31">
        <v>714912.9</v>
      </c>
      <c r="AZ81" s="31">
        <v>28710727.033413514</v>
      </c>
      <c r="BA81" s="31">
        <v>12691351.615634199</v>
      </c>
      <c r="BB81" s="31">
        <v>16705360.892337123</v>
      </c>
      <c r="BC81" s="31">
        <f t="shared" si="11"/>
        <v>275111175.03904366</v>
      </c>
      <c r="BD81" s="31">
        <v>2794630.5200000005</v>
      </c>
    </row>
    <row r="82" spans="2:56">
      <c r="B82" s="42" t="s">
        <v>65</v>
      </c>
      <c r="C82" s="42" t="s">
        <v>66</v>
      </c>
      <c r="D82" s="43" t="s">
        <v>1049</v>
      </c>
      <c r="E82" s="44">
        <v>34</v>
      </c>
      <c r="F82" s="31">
        <v>180963684.75782695</v>
      </c>
      <c r="G82" s="31">
        <v>8121966.1099999994</v>
      </c>
      <c r="H82" s="31">
        <v>5727135.2300000004</v>
      </c>
      <c r="I82" s="31">
        <v>677993.34</v>
      </c>
      <c r="J82" s="31">
        <v>29313166.775507834</v>
      </c>
      <c r="K82" s="31">
        <v>16429225.342256634</v>
      </c>
      <c r="L82" s="31">
        <v>28000724.103871163</v>
      </c>
      <c r="M82" s="31">
        <f t="shared" si="8"/>
        <v>273244911.58946258</v>
      </c>
      <c r="N82" s="31">
        <v>4011015.93</v>
      </c>
      <c r="P82" s="42" t="s">
        <v>65</v>
      </c>
      <c r="Q82" s="42" t="s">
        <v>66</v>
      </c>
      <c r="R82" s="43" t="s">
        <v>1050</v>
      </c>
      <c r="S82" s="44">
        <v>34</v>
      </c>
      <c r="T82" s="31">
        <v>212167507.073524</v>
      </c>
      <c r="U82" s="31">
        <v>9382524.9699999988</v>
      </c>
      <c r="V82" s="31">
        <v>6096613.9900000002</v>
      </c>
      <c r="W82" s="31">
        <v>777872.8600000001</v>
      </c>
      <c r="X82" s="31">
        <v>31102018.015406307</v>
      </c>
      <c r="Y82" s="31">
        <v>16470290.986205118</v>
      </c>
      <c r="Z82" s="31">
        <v>30000146.474212009</v>
      </c>
      <c r="AA82" s="31">
        <f t="shared" si="9"/>
        <v>310202977.25934744</v>
      </c>
      <c r="AB82" s="31">
        <v>4206002.8900000006</v>
      </c>
      <c r="AD82" s="42" t="s">
        <v>65</v>
      </c>
      <c r="AE82" s="42" t="s">
        <v>66</v>
      </c>
      <c r="AF82" s="43" t="s">
        <v>1275</v>
      </c>
      <c r="AG82" s="44">
        <v>34</v>
      </c>
      <c r="AH82" s="31">
        <v>211977473.43422034</v>
      </c>
      <c r="AI82" s="31">
        <v>9381158.2399999984</v>
      </c>
      <c r="AJ82" s="31">
        <v>6203659.370000001</v>
      </c>
      <c r="AK82" s="31">
        <v>777749.65999999992</v>
      </c>
      <c r="AL82" s="31">
        <v>31676511.885776214</v>
      </c>
      <c r="AM82" s="31">
        <v>16438749.804942969</v>
      </c>
      <c r="AN82" s="31">
        <v>30530597.715526216</v>
      </c>
      <c r="AO82" s="31">
        <f t="shared" si="10"/>
        <v>311266707.08046579</v>
      </c>
      <c r="AP82" s="31">
        <v>4280806.97</v>
      </c>
      <c r="AR82" s="42" t="s">
        <v>65</v>
      </c>
      <c r="AS82" s="42" t="s">
        <v>66</v>
      </c>
      <c r="AT82" s="43" t="s">
        <v>1276</v>
      </c>
      <c r="AU82" s="44">
        <v>34</v>
      </c>
      <c r="AV82" s="31">
        <v>212570494.86498812</v>
      </c>
      <c r="AW82" s="31">
        <v>9406369.9800000004</v>
      </c>
      <c r="AX82" s="31">
        <v>6318304.9700000007</v>
      </c>
      <c r="AY82" s="31">
        <v>779784.72000000009</v>
      </c>
      <c r="AZ82" s="31">
        <v>32309211.933362048</v>
      </c>
      <c r="BA82" s="31">
        <v>16439650.981550459</v>
      </c>
      <c r="BB82" s="31">
        <v>31098694.311444502</v>
      </c>
      <c r="BC82" s="31">
        <f t="shared" si="11"/>
        <v>313283433.92134517</v>
      </c>
      <c r="BD82" s="31">
        <v>4360922.16</v>
      </c>
    </row>
    <row r="83" spans="2:56">
      <c r="B83" s="42" t="s">
        <v>497</v>
      </c>
      <c r="C83" s="42" t="s">
        <v>498</v>
      </c>
      <c r="D83" s="43" t="s">
        <v>1049</v>
      </c>
      <c r="E83" s="44">
        <v>34</v>
      </c>
      <c r="F83" s="31">
        <v>425627.35472715984</v>
      </c>
      <c r="G83" s="31">
        <v>13349.65</v>
      </c>
      <c r="H83" s="31">
        <v>0</v>
      </c>
      <c r="I83" s="31">
        <v>682.09999999999991</v>
      </c>
      <c r="J83" s="31">
        <v>9228.2530419587183</v>
      </c>
      <c r="K83" s="31">
        <v>0</v>
      </c>
      <c r="L83" s="31">
        <v>0</v>
      </c>
      <c r="M83" s="31">
        <f t="shared" si="8"/>
        <v>455708.34776911855</v>
      </c>
      <c r="N83" s="31">
        <v>6820.99</v>
      </c>
      <c r="P83" s="42" t="s">
        <v>497</v>
      </c>
      <c r="Q83" s="42" t="s">
        <v>498</v>
      </c>
      <c r="R83" s="43" t="s">
        <v>1050</v>
      </c>
      <c r="S83" s="44">
        <v>34</v>
      </c>
      <c r="T83" s="31">
        <v>456129.58798693924</v>
      </c>
      <c r="U83" s="31">
        <v>17857.66</v>
      </c>
      <c r="V83" s="31">
        <v>0</v>
      </c>
      <c r="W83" s="31">
        <v>933.91</v>
      </c>
      <c r="X83" s="31">
        <v>10008.251982645195</v>
      </c>
      <c r="Y83" s="31">
        <v>0</v>
      </c>
      <c r="Z83" s="31">
        <v>0</v>
      </c>
      <c r="AA83" s="31">
        <f t="shared" si="9"/>
        <v>492079.76996958436</v>
      </c>
      <c r="AB83" s="31">
        <v>7150.36</v>
      </c>
      <c r="AD83" s="42" t="s">
        <v>497</v>
      </c>
      <c r="AE83" s="42" t="s">
        <v>498</v>
      </c>
      <c r="AF83" s="43" t="s">
        <v>1275</v>
      </c>
      <c r="AG83" s="44">
        <v>34</v>
      </c>
      <c r="AH83" s="31">
        <v>466654.2936502985</v>
      </c>
      <c r="AI83" s="31">
        <v>18167.300000000003</v>
      </c>
      <c r="AJ83" s="31">
        <v>0</v>
      </c>
      <c r="AK83" s="31">
        <v>950.18999999999994</v>
      </c>
      <c r="AL83" s="31">
        <v>9911.5534084062292</v>
      </c>
      <c r="AM83" s="31">
        <v>0</v>
      </c>
      <c r="AN83" s="31">
        <v>0</v>
      </c>
      <c r="AO83" s="31">
        <f t="shared" si="10"/>
        <v>502960.06705870468</v>
      </c>
      <c r="AP83" s="31">
        <v>7276.73</v>
      </c>
      <c r="AR83" s="42" t="s">
        <v>497</v>
      </c>
      <c r="AS83" s="42" t="s">
        <v>498</v>
      </c>
      <c r="AT83" s="43" t="s">
        <v>1276</v>
      </c>
      <c r="AU83" s="44">
        <v>34</v>
      </c>
      <c r="AV83" s="31">
        <v>474136.07526690036</v>
      </c>
      <c r="AW83" s="31">
        <v>18498.930000000004</v>
      </c>
      <c r="AX83" s="31">
        <v>0</v>
      </c>
      <c r="AY83" s="31">
        <v>967.63</v>
      </c>
      <c r="AZ83" s="31">
        <v>10184.603663830065</v>
      </c>
      <c r="BA83" s="31">
        <v>0</v>
      </c>
      <c r="BB83" s="31">
        <v>0</v>
      </c>
      <c r="BC83" s="31">
        <f t="shared" si="11"/>
        <v>511199.30893073045</v>
      </c>
      <c r="BD83" s="31">
        <v>7412.0700000000006</v>
      </c>
    </row>
    <row r="84" spans="2:56">
      <c r="B84" s="42" t="s">
        <v>185</v>
      </c>
      <c r="C84" s="42" t="s">
        <v>186</v>
      </c>
      <c r="D84" s="43" t="s">
        <v>1049</v>
      </c>
      <c r="E84" s="44">
        <v>34</v>
      </c>
      <c r="F84" s="31">
        <v>179101201.58127844</v>
      </c>
      <c r="G84" s="31">
        <v>9248377.5899999999</v>
      </c>
      <c r="H84" s="31">
        <v>8544697.8599999994</v>
      </c>
      <c r="I84" s="31">
        <v>634281.60999999987</v>
      </c>
      <c r="J84" s="31">
        <v>27615229.700525362</v>
      </c>
      <c r="K84" s="31">
        <v>13452641.209165677</v>
      </c>
      <c r="L84" s="31">
        <v>13151729.831512645</v>
      </c>
      <c r="M84" s="31">
        <f t="shared" si="8"/>
        <v>257700341.63248211</v>
      </c>
      <c r="N84" s="31">
        <v>5952182.25</v>
      </c>
      <c r="P84" s="42" t="s">
        <v>185</v>
      </c>
      <c r="Q84" s="42" t="s">
        <v>186</v>
      </c>
      <c r="R84" s="43" t="s">
        <v>1050</v>
      </c>
      <c r="S84" s="44">
        <v>34</v>
      </c>
      <c r="T84" s="31">
        <v>212555959.20803529</v>
      </c>
      <c r="U84" s="31">
        <v>10867320.309999999</v>
      </c>
      <c r="V84" s="31">
        <v>9092892.7199999988</v>
      </c>
      <c r="W84" s="31">
        <v>739077.78</v>
      </c>
      <c r="X84" s="31">
        <v>29307080.759290487</v>
      </c>
      <c r="Y84" s="31">
        <v>13476139.609495243</v>
      </c>
      <c r="Z84" s="31">
        <v>14092105.394404806</v>
      </c>
      <c r="AA84" s="31">
        <f t="shared" si="9"/>
        <v>296373851.92122585</v>
      </c>
      <c r="AB84" s="31">
        <v>6243276.1399999997</v>
      </c>
      <c r="AD84" s="42" t="s">
        <v>185</v>
      </c>
      <c r="AE84" s="42" t="s">
        <v>186</v>
      </c>
      <c r="AF84" s="43" t="s">
        <v>1275</v>
      </c>
      <c r="AG84" s="44">
        <v>34</v>
      </c>
      <c r="AH84" s="31">
        <v>216451767.26833403</v>
      </c>
      <c r="AI84" s="31">
        <v>11057986.359999999</v>
      </c>
      <c r="AJ84" s="31">
        <v>9253562</v>
      </c>
      <c r="AK84" s="31">
        <v>752137.1100000001</v>
      </c>
      <c r="AL84" s="31">
        <v>29827151.820145562</v>
      </c>
      <c r="AM84" s="31">
        <v>13457908.498805143</v>
      </c>
      <c r="AN84" s="31">
        <v>14342524.351596668</v>
      </c>
      <c r="AO84" s="31">
        <f t="shared" si="10"/>
        <v>301497987.7488814</v>
      </c>
      <c r="AP84" s="31">
        <v>6354950.3399999999</v>
      </c>
      <c r="AR84" s="42" t="s">
        <v>185</v>
      </c>
      <c r="AS84" s="42" t="s">
        <v>186</v>
      </c>
      <c r="AT84" s="43" t="s">
        <v>1276</v>
      </c>
      <c r="AU84" s="44">
        <v>34</v>
      </c>
      <c r="AV84" s="31">
        <v>220615716.76410878</v>
      </c>
      <c r="AW84" s="31">
        <v>11262189.679999996</v>
      </c>
      <c r="AX84" s="31">
        <v>9425638.8099999987</v>
      </c>
      <c r="AY84" s="31">
        <v>766123.64999999991</v>
      </c>
      <c r="AZ84" s="31">
        <v>30384145.491731249</v>
      </c>
      <c r="BA84" s="31">
        <v>13458429.387682004</v>
      </c>
      <c r="BB84" s="31">
        <v>14610715.332811145</v>
      </c>
      <c r="BC84" s="31">
        <f t="shared" si="11"/>
        <v>306997512.52633321</v>
      </c>
      <c r="BD84" s="31">
        <v>6474553.4100000001</v>
      </c>
    </row>
    <row r="85" spans="2:56">
      <c r="B85" s="42" t="s">
        <v>541</v>
      </c>
      <c r="C85" s="42" t="s">
        <v>542</v>
      </c>
      <c r="D85" s="43" t="s">
        <v>1049</v>
      </c>
      <c r="E85" s="44">
        <v>34</v>
      </c>
      <c r="F85" s="31">
        <v>38401502.021323793</v>
      </c>
      <c r="G85" s="31">
        <v>1444919.2800000003</v>
      </c>
      <c r="H85" s="31">
        <v>566366.79999999993</v>
      </c>
      <c r="I85" s="31">
        <v>133612.07999999999</v>
      </c>
      <c r="J85" s="31">
        <v>6032406.234308891</v>
      </c>
      <c r="K85" s="31">
        <v>2666314.9565983322</v>
      </c>
      <c r="L85" s="31">
        <v>2570515.8110656892</v>
      </c>
      <c r="M85" s="31">
        <f t="shared" si="8"/>
        <v>52338527.043296702</v>
      </c>
      <c r="N85" s="31">
        <v>522889.86</v>
      </c>
      <c r="P85" s="42" t="s">
        <v>541</v>
      </c>
      <c r="Q85" s="42" t="s">
        <v>542</v>
      </c>
      <c r="R85" s="43" t="s">
        <v>1050</v>
      </c>
      <c r="S85" s="44">
        <v>34</v>
      </c>
      <c r="T85" s="31">
        <v>43907863.899952769</v>
      </c>
      <c r="U85" s="31">
        <v>1654379.48</v>
      </c>
      <c r="V85" s="31">
        <v>597913.53</v>
      </c>
      <c r="W85" s="31">
        <v>152137.15</v>
      </c>
      <c r="X85" s="31">
        <v>6331799.2338240221</v>
      </c>
      <c r="Y85" s="31">
        <v>2673811.1800313136</v>
      </c>
      <c r="Z85" s="31">
        <v>2709632.9291370637</v>
      </c>
      <c r="AA85" s="31">
        <f t="shared" si="9"/>
        <v>58571478.062945165</v>
      </c>
      <c r="AB85" s="31">
        <v>543940.66</v>
      </c>
      <c r="AD85" s="42" t="s">
        <v>541</v>
      </c>
      <c r="AE85" s="42" t="s">
        <v>542</v>
      </c>
      <c r="AF85" s="43" t="s">
        <v>1275</v>
      </c>
      <c r="AG85" s="44">
        <v>34</v>
      </c>
      <c r="AH85" s="31">
        <v>45392560.562565736</v>
      </c>
      <c r="AI85" s="31">
        <v>1709944.4700000002</v>
      </c>
      <c r="AJ85" s="31">
        <v>608445.97</v>
      </c>
      <c r="AK85" s="31">
        <v>157323.32999999999</v>
      </c>
      <c r="AL85" s="31">
        <v>6435712.0830780091</v>
      </c>
      <c r="AM85" s="31">
        <v>2668018.6015774133</v>
      </c>
      <c r="AN85" s="31">
        <v>2757675.7843215102</v>
      </c>
      <c r="AO85" s="31">
        <f t="shared" si="10"/>
        <v>60283323.921542667</v>
      </c>
      <c r="AP85" s="31">
        <v>553643.12</v>
      </c>
      <c r="AR85" s="42" t="s">
        <v>541</v>
      </c>
      <c r="AS85" s="42" t="s">
        <v>542</v>
      </c>
      <c r="AT85" s="43" t="s">
        <v>1276</v>
      </c>
      <c r="AU85" s="44">
        <v>34</v>
      </c>
      <c r="AV85" s="31">
        <v>46259774.395282462</v>
      </c>
      <c r="AW85" s="31">
        <v>1741518.7900000003</v>
      </c>
      <c r="AX85" s="31">
        <v>619726.21</v>
      </c>
      <c r="AY85" s="31">
        <v>160240.00999999998</v>
      </c>
      <c r="AZ85" s="31">
        <v>6555608.7371715857</v>
      </c>
      <c r="BA85" s="31">
        <v>2668184.103818953</v>
      </c>
      <c r="BB85" s="31">
        <v>2809128.1528920513</v>
      </c>
      <c r="BC85" s="31">
        <f t="shared" si="11"/>
        <v>61378214.849165052</v>
      </c>
      <c r="BD85" s="31">
        <v>564034.44999999995</v>
      </c>
    </row>
    <row r="86" spans="2:56">
      <c r="B86" s="42" t="s">
        <v>389</v>
      </c>
      <c r="C86" s="42" t="s">
        <v>390</v>
      </c>
      <c r="D86" s="43" t="s">
        <v>1049</v>
      </c>
      <c r="E86" s="44">
        <v>34</v>
      </c>
      <c r="F86" s="31">
        <v>31556137.665536307</v>
      </c>
      <c r="G86" s="31">
        <v>1167698.8600000001</v>
      </c>
      <c r="H86" s="31">
        <v>896464.27</v>
      </c>
      <c r="I86" s="31">
        <v>114981.06</v>
      </c>
      <c r="J86" s="31">
        <v>4129633.4162087026</v>
      </c>
      <c r="K86" s="31">
        <v>2039003.2324999091</v>
      </c>
      <c r="L86" s="31">
        <v>3497348.2767773289</v>
      </c>
      <c r="M86" s="31">
        <f t="shared" si="8"/>
        <v>43667113.331022248</v>
      </c>
      <c r="N86" s="31">
        <v>265846.55</v>
      </c>
      <c r="P86" s="42" t="s">
        <v>389</v>
      </c>
      <c r="Q86" s="42" t="s">
        <v>390</v>
      </c>
      <c r="R86" s="43" t="s">
        <v>1050</v>
      </c>
      <c r="S86" s="44">
        <v>34</v>
      </c>
      <c r="T86" s="31">
        <v>34152187.378969386</v>
      </c>
      <c r="U86" s="31">
        <v>1264672.17</v>
      </c>
      <c r="V86" s="31">
        <v>953977.97</v>
      </c>
      <c r="W86" s="31">
        <v>124077.92000000001</v>
      </c>
      <c r="X86" s="31">
        <v>4378542.2090014778</v>
      </c>
      <c r="Y86" s="31">
        <v>2042968.8267937179</v>
      </c>
      <c r="Z86" s="31">
        <v>3710960.9148557857</v>
      </c>
      <c r="AA86" s="31">
        <f t="shared" si="9"/>
        <v>46906235.269620374</v>
      </c>
      <c r="AB86" s="31">
        <v>278847.88</v>
      </c>
      <c r="AD86" s="42" t="s">
        <v>389</v>
      </c>
      <c r="AE86" s="42" t="s">
        <v>390</v>
      </c>
      <c r="AF86" s="43" t="s">
        <v>1275</v>
      </c>
      <c r="AG86" s="44">
        <v>34</v>
      </c>
      <c r="AH86" s="31">
        <v>35114934.272927515</v>
      </c>
      <c r="AI86" s="31">
        <v>1298861.52</v>
      </c>
      <c r="AJ86" s="31">
        <v>970834.53999999992</v>
      </c>
      <c r="AK86" s="31">
        <v>127437.34000000001</v>
      </c>
      <c r="AL86" s="31">
        <v>4455814.2708485248</v>
      </c>
      <c r="AM86" s="31">
        <v>2039892.1412530646</v>
      </c>
      <c r="AN86" s="31">
        <v>3776910.4654799988</v>
      </c>
      <c r="AO86" s="31">
        <f t="shared" si="10"/>
        <v>48068520.210509107</v>
      </c>
      <c r="AP86" s="31">
        <v>283835.66000000003</v>
      </c>
      <c r="AR86" s="42" t="s">
        <v>389</v>
      </c>
      <c r="AS86" s="42" t="s">
        <v>390</v>
      </c>
      <c r="AT86" s="43" t="s">
        <v>1276</v>
      </c>
      <c r="AU86" s="44">
        <v>34</v>
      </c>
      <c r="AV86" s="31">
        <v>35841058.934712656</v>
      </c>
      <c r="AW86" s="31">
        <v>1321643.45</v>
      </c>
      <c r="AX86" s="31">
        <v>988887.91999999993</v>
      </c>
      <c r="AY86" s="31">
        <v>129688.27</v>
      </c>
      <c r="AZ86" s="31">
        <v>4551348.4409362599</v>
      </c>
      <c r="BA86" s="31">
        <v>2039980.0465542262</v>
      </c>
      <c r="BB86" s="31">
        <v>3847540.3807505309</v>
      </c>
      <c r="BC86" s="31">
        <f t="shared" si="11"/>
        <v>49009325.022953674</v>
      </c>
      <c r="BD86" s="31">
        <v>289177.58</v>
      </c>
    </row>
    <row r="87" spans="2:56">
      <c r="B87" s="42" t="s">
        <v>23</v>
      </c>
      <c r="C87" s="42" t="s">
        <v>24</v>
      </c>
      <c r="D87" s="43" t="s">
        <v>1049</v>
      </c>
      <c r="E87" s="44">
        <v>34</v>
      </c>
      <c r="F87" s="31">
        <v>6743997.5453808475</v>
      </c>
      <c r="G87" s="31">
        <v>418029.32000000007</v>
      </c>
      <c r="H87" s="31">
        <v>257930.90999999997</v>
      </c>
      <c r="I87" s="31">
        <v>23776.03</v>
      </c>
      <c r="J87" s="31">
        <v>987822.41987919831</v>
      </c>
      <c r="K87" s="31">
        <v>621971.80617919401</v>
      </c>
      <c r="L87" s="31">
        <v>623119.02699683991</v>
      </c>
      <c r="M87" s="31">
        <f t="shared" si="8"/>
        <v>9925320.9084360804</v>
      </c>
      <c r="N87" s="31">
        <v>248673.85</v>
      </c>
      <c r="P87" s="42" t="s">
        <v>23</v>
      </c>
      <c r="Q87" s="42" t="s">
        <v>24</v>
      </c>
      <c r="R87" s="43" t="s">
        <v>1050</v>
      </c>
      <c r="S87" s="44">
        <v>34</v>
      </c>
      <c r="T87" s="31">
        <v>7208531.8334134407</v>
      </c>
      <c r="U87" s="31">
        <v>450126.29999999993</v>
      </c>
      <c r="V87" s="31">
        <v>274673</v>
      </c>
      <c r="W87" s="31">
        <v>25319.31</v>
      </c>
      <c r="X87" s="31">
        <v>1047830.4820195835</v>
      </c>
      <c r="Y87" s="31">
        <v>623622.13351329602</v>
      </c>
      <c r="Z87" s="31">
        <v>667848.88511344558</v>
      </c>
      <c r="AA87" s="31">
        <f t="shared" si="9"/>
        <v>10558634.084059766</v>
      </c>
      <c r="AB87" s="31">
        <v>260682.14</v>
      </c>
      <c r="AD87" s="42" t="s">
        <v>23</v>
      </c>
      <c r="AE87" s="42" t="s">
        <v>24</v>
      </c>
      <c r="AF87" s="43" t="s">
        <v>1275</v>
      </c>
      <c r="AG87" s="44">
        <v>34</v>
      </c>
      <c r="AH87" s="31">
        <v>7095345.108767882</v>
      </c>
      <c r="AI87" s="31">
        <v>445559.8299999999</v>
      </c>
      <c r="AJ87" s="31">
        <v>279461.87</v>
      </c>
      <c r="AK87" s="31">
        <v>25021.719999999998</v>
      </c>
      <c r="AL87" s="31">
        <v>1062384.2658417644</v>
      </c>
      <c r="AM87" s="31">
        <v>622368.32984282065</v>
      </c>
      <c r="AN87" s="31">
        <v>679599.49780927598</v>
      </c>
      <c r="AO87" s="31">
        <f t="shared" si="10"/>
        <v>10475029.582261745</v>
      </c>
      <c r="AP87" s="31">
        <v>265288.96000000002</v>
      </c>
      <c r="AR87" s="42" t="s">
        <v>23</v>
      </c>
      <c r="AS87" s="42" t="s">
        <v>24</v>
      </c>
      <c r="AT87" s="43" t="s">
        <v>1276</v>
      </c>
      <c r="AU87" s="44">
        <v>34</v>
      </c>
      <c r="AV87" s="31">
        <v>7038656.7119894233</v>
      </c>
      <c r="AW87" s="31">
        <v>441737.83000000007</v>
      </c>
      <c r="AX87" s="31">
        <v>284590.76</v>
      </c>
      <c r="AY87" s="31">
        <v>24835.84</v>
      </c>
      <c r="AZ87" s="31">
        <v>1084611.7607871734</v>
      </c>
      <c r="BA87" s="31">
        <v>622404.15280483419</v>
      </c>
      <c r="BB87" s="31">
        <v>692184.00678771036</v>
      </c>
      <c r="BC87" s="31">
        <f t="shared" si="11"/>
        <v>10459243.932369141</v>
      </c>
      <c r="BD87" s="31">
        <v>270222.87</v>
      </c>
    </row>
    <row r="88" spans="2:56">
      <c r="B88" s="42" t="s">
        <v>381</v>
      </c>
      <c r="C88" s="42" t="s">
        <v>382</v>
      </c>
      <c r="D88" s="43" t="s">
        <v>1049</v>
      </c>
      <c r="E88" s="44">
        <v>34</v>
      </c>
      <c r="F88" s="31">
        <v>60686154.072240017</v>
      </c>
      <c r="G88" s="31">
        <v>3753998.1799999992</v>
      </c>
      <c r="H88" s="31">
        <v>1525998.0000000002</v>
      </c>
      <c r="I88" s="31">
        <v>216079.58999999997</v>
      </c>
      <c r="J88" s="31">
        <v>9534636.2268059608</v>
      </c>
      <c r="K88" s="31">
        <v>4352037.6187080862</v>
      </c>
      <c r="L88" s="31">
        <v>5892881.4533175211</v>
      </c>
      <c r="M88" s="31">
        <f t="shared" si="8"/>
        <v>88187425.481071591</v>
      </c>
      <c r="N88" s="31">
        <v>2225640.3400000003</v>
      </c>
      <c r="P88" s="42" t="s">
        <v>381</v>
      </c>
      <c r="Q88" s="42" t="s">
        <v>382</v>
      </c>
      <c r="R88" s="43" t="s">
        <v>1050</v>
      </c>
      <c r="S88" s="44">
        <v>34</v>
      </c>
      <c r="T88" s="31">
        <v>70692155.439676166</v>
      </c>
      <c r="U88" s="31">
        <v>4345364.41</v>
      </c>
      <c r="V88" s="31">
        <v>1624445.7899999998</v>
      </c>
      <c r="W88" s="31">
        <v>248041.17</v>
      </c>
      <c r="X88" s="31">
        <v>10078506.527902611</v>
      </c>
      <c r="Y88" s="31">
        <v>4362587.0199064761</v>
      </c>
      <c r="Z88" s="31">
        <v>6314745.8301985078</v>
      </c>
      <c r="AA88" s="31">
        <f t="shared" si="9"/>
        <v>99999681.267683759</v>
      </c>
      <c r="AB88" s="31">
        <v>2333835.0800000005</v>
      </c>
      <c r="AD88" s="42" t="s">
        <v>381</v>
      </c>
      <c r="AE88" s="42" t="s">
        <v>382</v>
      </c>
      <c r="AF88" s="43" t="s">
        <v>1275</v>
      </c>
      <c r="AG88" s="44">
        <v>34</v>
      </c>
      <c r="AH88" s="31">
        <v>72088011.169905886</v>
      </c>
      <c r="AI88" s="31">
        <v>4428355.5</v>
      </c>
      <c r="AJ88" s="31">
        <v>1652968.0899999999</v>
      </c>
      <c r="AK88" s="31">
        <v>252840.88999999998</v>
      </c>
      <c r="AL88" s="31">
        <v>10256540.537591573</v>
      </c>
      <c r="AM88" s="31">
        <v>4354484.3690428259</v>
      </c>
      <c r="AN88" s="31">
        <v>6426427.3953851555</v>
      </c>
      <c r="AO88" s="31">
        <f t="shared" si="10"/>
        <v>101834970.47192545</v>
      </c>
      <c r="AP88" s="31">
        <v>2375342.52</v>
      </c>
      <c r="AR88" s="42" t="s">
        <v>381</v>
      </c>
      <c r="AS88" s="42" t="s">
        <v>382</v>
      </c>
      <c r="AT88" s="43" t="s">
        <v>1276</v>
      </c>
      <c r="AU88" s="44">
        <v>34</v>
      </c>
      <c r="AV88" s="31">
        <v>73577035.247338489</v>
      </c>
      <c r="AW88" s="31">
        <v>4516993.0600000005</v>
      </c>
      <c r="AX88" s="31">
        <v>1683515.4699999997</v>
      </c>
      <c r="AY88" s="31">
        <v>257966.23</v>
      </c>
      <c r="AZ88" s="31">
        <v>10447226.716563635</v>
      </c>
      <c r="BA88" s="31">
        <v>4354715.8733532168</v>
      </c>
      <c r="BB88" s="31">
        <v>6546034.750128855</v>
      </c>
      <c r="BC88" s="31">
        <f t="shared" si="11"/>
        <v>103803284.33738419</v>
      </c>
      <c r="BD88" s="31">
        <v>2419796.9900000007</v>
      </c>
    </row>
    <row r="89" spans="2:56">
      <c r="B89" s="42" t="s">
        <v>465</v>
      </c>
      <c r="C89" s="42" t="s">
        <v>466</v>
      </c>
      <c r="D89" s="43" t="s">
        <v>1049</v>
      </c>
      <c r="E89" s="44">
        <v>34</v>
      </c>
      <c r="F89" s="31">
        <v>6478884.0118916463</v>
      </c>
      <c r="G89" s="31">
        <v>125396.53000000001</v>
      </c>
      <c r="H89" s="31">
        <v>0</v>
      </c>
      <c r="I89" s="31">
        <v>0</v>
      </c>
      <c r="J89" s="31">
        <v>1013986.9416784635</v>
      </c>
      <c r="K89" s="31">
        <v>751013.30936871737</v>
      </c>
      <c r="L89" s="31">
        <v>1114854.5527293922</v>
      </c>
      <c r="M89" s="31">
        <f t="shared" si="8"/>
        <v>9484135.345668219</v>
      </c>
      <c r="N89" s="31">
        <v>0</v>
      </c>
      <c r="P89" s="42" t="s">
        <v>465</v>
      </c>
      <c r="Q89" s="42" t="s">
        <v>466</v>
      </c>
      <c r="R89" s="43" t="s">
        <v>1050</v>
      </c>
      <c r="S89" s="44">
        <v>34</v>
      </c>
      <c r="T89" s="31">
        <v>6980975.3613207005</v>
      </c>
      <c r="U89" s="31">
        <v>134576.32999999999</v>
      </c>
      <c r="V89" s="31">
        <v>0</v>
      </c>
      <c r="W89" s="31">
        <v>0</v>
      </c>
      <c r="X89" s="31">
        <v>1076208.2249649521</v>
      </c>
      <c r="Y89" s="31">
        <v>753052.0757491705</v>
      </c>
      <c r="Z89" s="31">
        <v>1183278.3209161041</v>
      </c>
      <c r="AA89" s="31">
        <f t="shared" si="9"/>
        <v>10128090.312950928</v>
      </c>
      <c r="AB89" s="31">
        <v>0</v>
      </c>
      <c r="AD89" s="42" t="s">
        <v>465</v>
      </c>
      <c r="AE89" s="42" t="s">
        <v>466</v>
      </c>
      <c r="AF89" s="43" t="s">
        <v>1275</v>
      </c>
      <c r="AG89" s="44">
        <v>34</v>
      </c>
      <c r="AH89" s="31">
        <v>7106430.505223522</v>
      </c>
      <c r="AI89" s="31">
        <v>136933.9</v>
      </c>
      <c r="AJ89" s="31">
        <v>0</v>
      </c>
      <c r="AK89" s="31">
        <v>0</v>
      </c>
      <c r="AL89" s="31">
        <v>1095168.7536324484</v>
      </c>
      <c r="AM89" s="31">
        <v>751503.1631678706</v>
      </c>
      <c r="AN89" s="31">
        <v>1204156.777471663</v>
      </c>
      <c r="AO89" s="31">
        <f t="shared" si="10"/>
        <v>10294193.099495506</v>
      </c>
      <c r="AP89" s="31">
        <v>0</v>
      </c>
      <c r="AR89" s="42" t="s">
        <v>465</v>
      </c>
      <c r="AS89" s="42" t="s">
        <v>466</v>
      </c>
      <c r="AT89" s="43" t="s">
        <v>1276</v>
      </c>
      <c r="AU89" s="44">
        <v>34</v>
      </c>
      <c r="AV89" s="31">
        <v>7240626.5657452568</v>
      </c>
      <c r="AW89" s="31">
        <v>139458.85999999999</v>
      </c>
      <c r="AX89" s="31">
        <v>0</v>
      </c>
      <c r="AY89" s="31">
        <v>0</v>
      </c>
      <c r="AZ89" s="31">
        <v>1115475.3991547229</v>
      </c>
      <c r="BA89" s="31">
        <v>751547.41781305056</v>
      </c>
      <c r="BB89" s="31">
        <v>1226516.9087154663</v>
      </c>
      <c r="BC89" s="31">
        <f t="shared" si="11"/>
        <v>10473625.151428496</v>
      </c>
      <c r="BD89" s="31">
        <v>0</v>
      </c>
    </row>
    <row r="90" spans="2:56">
      <c r="B90" s="42" t="s">
        <v>567</v>
      </c>
      <c r="C90" s="42" t="s">
        <v>568</v>
      </c>
      <c r="D90" s="43" t="s">
        <v>1049</v>
      </c>
      <c r="E90" s="44">
        <v>34</v>
      </c>
      <c r="F90" s="31">
        <v>2030412.8579348968</v>
      </c>
      <c r="G90" s="31">
        <v>34299.810000000005</v>
      </c>
      <c r="H90" s="31">
        <v>0</v>
      </c>
      <c r="I90" s="31">
        <v>0</v>
      </c>
      <c r="J90" s="31">
        <v>130256.8708251879</v>
      </c>
      <c r="K90" s="31">
        <v>246235.321783847</v>
      </c>
      <c r="L90" s="31">
        <v>43351.06109314035</v>
      </c>
      <c r="M90" s="31">
        <f t="shared" si="8"/>
        <v>2508039.6416370724</v>
      </c>
      <c r="N90" s="31">
        <v>23483.72</v>
      </c>
      <c r="P90" s="42" t="s">
        <v>567</v>
      </c>
      <c r="Q90" s="42" t="s">
        <v>568</v>
      </c>
      <c r="R90" s="43" t="s">
        <v>1050</v>
      </c>
      <c r="S90" s="44">
        <v>34</v>
      </c>
      <c r="T90" s="31">
        <v>2172555.1206730488</v>
      </c>
      <c r="U90" s="31">
        <v>38473.019999999997</v>
      </c>
      <c r="V90" s="31">
        <v>0</v>
      </c>
      <c r="W90" s="31">
        <v>0</v>
      </c>
      <c r="X90" s="31">
        <v>138794.46712339445</v>
      </c>
      <c r="Y90" s="31">
        <v>246574.99529252006</v>
      </c>
      <c r="Z90" s="31">
        <v>46430.646783159333</v>
      </c>
      <c r="AA90" s="31">
        <f t="shared" si="9"/>
        <v>2667445.9698721226</v>
      </c>
      <c r="AB90" s="31">
        <v>24617.72</v>
      </c>
      <c r="AD90" s="42" t="s">
        <v>567</v>
      </c>
      <c r="AE90" s="42" t="s">
        <v>568</v>
      </c>
      <c r="AF90" s="43" t="s">
        <v>1275</v>
      </c>
      <c r="AG90" s="44">
        <v>34</v>
      </c>
      <c r="AH90" s="31">
        <v>2259045.811960056</v>
      </c>
      <c r="AI90" s="31">
        <v>41249.459999999992</v>
      </c>
      <c r="AJ90" s="31">
        <v>0</v>
      </c>
      <c r="AK90" s="31">
        <v>0</v>
      </c>
      <c r="AL90" s="31">
        <v>141185.68387943934</v>
      </c>
      <c r="AM90" s="31">
        <v>246316.93503796504</v>
      </c>
      <c r="AN90" s="31">
        <v>47247.537953756924</v>
      </c>
      <c r="AO90" s="31">
        <f t="shared" si="10"/>
        <v>2760098.1988312169</v>
      </c>
      <c r="AP90" s="31">
        <v>25052.77</v>
      </c>
      <c r="AR90" s="42" t="s">
        <v>567</v>
      </c>
      <c r="AS90" s="42" t="s">
        <v>568</v>
      </c>
      <c r="AT90" s="43" t="s">
        <v>1276</v>
      </c>
      <c r="AU90" s="44">
        <v>34</v>
      </c>
      <c r="AV90" s="31">
        <v>2365684.8682105802</v>
      </c>
      <c r="AW90" s="31">
        <v>43183.039999999994</v>
      </c>
      <c r="AX90" s="31">
        <v>0</v>
      </c>
      <c r="AY90" s="31">
        <v>0</v>
      </c>
      <c r="AZ90" s="31">
        <v>144118.94325780173</v>
      </c>
      <c r="BA90" s="31">
        <v>246324.30818809516</v>
      </c>
      <c r="BB90" s="31">
        <v>48122.400833266933</v>
      </c>
      <c r="BC90" s="31">
        <f t="shared" si="11"/>
        <v>2872952.2704897439</v>
      </c>
      <c r="BD90" s="31">
        <v>25518.710000000003</v>
      </c>
    </row>
    <row r="91" spans="2:56">
      <c r="B91" s="42" t="s">
        <v>259</v>
      </c>
      <c r="C91" s="42" t="s">
        <v>260</v>
      </c>
      <c r="D91" s="43" t="s">
        <v>1049</v>
      </c>
      <c r="E91" s="44">
        <v>34</v>
      </c>
      <c r="F91" s="31">
        <v>1956150.5269975346</v>
      </c>
      <c r="G91" s="31">
        <v>18965.86</v>
      </c>
      <c r="H91" s="31">
        <v>0</v>
      </c>
      <c r="I91" s="31">
        <v>0</v>
      </c>
      <c r="J91" s="31">
        <v>61495.652379815343</v>
      </c>
      <c r="K91" s="31">
        <v>67624.64671058477</v>
      </c>
      <c r="L91" s="31">
        <v>0</v>
      </c>
      <c r="M91" s="31">
        <f t="shared" si="8"/>
        <v>2108978.1460879347</v>
      </c>
      <c r="N91" s="31">
        <v>4741.46</v>
      </c>
      <c r="P91" s="42" t="s">
        <v>259</v>
      </c>
      <c r="Q91" s="42" t="s">
        <v>260</v>
      </c>
      <c r="R91" s="43" t="s">
        <v>1050</v>
      </c>
      <c r="S91" s="44">
        <v>34</v>
      </c>
      <c r="T91" s="31">
        <v>2068721.793437345</v>
      </c>
      <c r="U91" s="31">
        <v>21879.360000000001</v>
      </c>
      <c r="V91" s="31">
        <v>0</v>
      </c>
      <c r="W91" s="31">
        <v>0</v>
      </c>
      <c r="X91" s="31">
        <v>66213.334698276856</v>
      </c>
      <c r="Y91" s="31">
        <v>67772.046226796025</v>
      </c>
      <c r="Z91" s="31">
        <v>0</v>
      </c>
      <c r="AA91" s="31">
        <f t="shared" si="9"/>
        <v>2229557.9943624181</v>
      </c>
      <c r="AB91" s="31">
        <v>4971.4600000000009</v>
      </c>
      <c r="AD91" s="42" t="s">
        <v>259</v>
      </c>
      <c r="AE91" s="42" t="s">
        <v>260</v>
      </c>
      <c r="AF91" s="43" t="s">
        <v>1275</v>
      </c>
      <c r="AG91" s="44">
        <v>34</v>
      </c>
      <c r="AH91" s="31">
        <v>2106364.6431557517</v>
      </c>
      <c r="AI91" s="31">
        <v>22589.369999999995</v>
      </c>
      <c r="AJ91" s="31">
        <v>0</v>
      </c>
      <c r="AK91" s="31">
        <v>0</v>
      </c>
      <c r="AL91" s="31">
        <v>67129.354532990081</v>
      </c>
      <c r="AM91" s="31">
        <v>67660.062349032465</v>
      </c>
      <c r="AN91" s="31">
        <v>0</v>
      </c>
      <c r="AO91" s="31">
        <f t="shared" si="10"/>
        <v>2268803.1200377746</v>
      </c>
      <c r="AP91" s="31">
        <v>5059.6900000000005</v>
      </c>
      <c r="AR91" s="42" t="s">
        <v>259</v>
      </c>
      <c r="AS91" s="42" t="s">
        <v>260</v>
      </c>
      <c r="AT91" s="43" t="s">
        <v>1276</v>
      </c>
      <c r="AU91" s="44">
        <v>34</v>
      </c>
      <c r="AV91" s="31">
        <v>2143858.030812704</v>
      </c>
      <c r="AW91" s="31">
        <v>21780.379999999997</v>
      </c>
      <c r="AX91" s="31">
        <v>0</v>
      </c>
      <c r="AY91" s="31">
        <v>0</v>
      </c>
      <c r="AZ91" s="31">
        <v>67968.09683659063</v>
      </c>
      <c r="BA91" s="31">
        <v>67663.26188839713</v>
      </c>
      <c r="BB91" s="31">
        <v>0</v>
      </c>
      <c r="BC91" s="31">
        <f t="shared" si="11"/>
        <v>2306423.9695376917</v>
      </c>
      <c r="BD91" s="31">
        <v>5154.2000000000007</v>
      </c>
    </row>
    <row r="92" spans="2:56">
      <c r="B92" s="42" t="s">
        <v>265</v>
      </c>
      <c r="C92" s="42" t="s">
        <v>266</v>
      </c>
      <c r="D92" s="43" t="s">
        <v>1049</v>
      </c>
      <c r="E92" s="44">
        <v>34</v>
      </c>
      <c r="F92" s="31">
        <v>18534781.405275632</v>
      </c>
      <c r="G92" s="31">
        <v>825827.14999999991</v>
      </c>
      <c r="H92" s="31">
        <v>108843.53000000001</v>
      </c>
      <c r="I92" s="31">
        <v>0</v>
      </c>
      <c r="J92" s="31">
        <v>2616339.1519687646</v>
      </c>
      <c r="K92" s="31">
        <v>513964.93255708745</v>
      </c>
      <c r="L92" s="31">
        <v>953505.55392894894</v>
      </c>
      <c r="M92" s="31">
        <f t="shared" si="8"/>
        <v>23709072.653730433</v>
      </c>
      <c r="N92" s="31">
        <v>155810.93000000002</v>
      </c>
      <c r="P92" s="42" t="s">
        <v>265</v>
      </c>
      <c r="Q92" s="42" t="s">
        <v>266</v>
      </c>
      <c r="R92" s="43" t="s">
        <v>1050</v>
      </c>
      <c r="S92" s="44">
        <v>34</v>
      </c>
      <c r="T92" s="31">
        <v>19946756.771547075</v>
      </c>
      <c r="U92" s="31">
        <v>881086.53</v>
      </c>
      <c r="V92" s="31">
        <v>115908.47</v>
      </c>
      <c r="W92" s="31">
        <v>0</v>
      </c>
      <c r="X92" s="31">
        <v>2784390.2803650945</v>
      </c>
      <c r="Y92" s="31">
        <v>515479.41401047137</v>
      </c>
      <c r="Z92" s="31">
        <v>1021920.7741196232</v>
      </c>
      <c r="AA92" s="31">
        <f t="shared" si="9"/>
        <v>25428877.170042265</v>
      </c>
      <c r="AB92" s="31">
        <v>163334.93</v>
      </c>
      <c r="AD92" s="42" t="s">
        <v>265</v>
      </c>
      <c r="AE92" s="42" t="s">
        <v>266</v>
      </c>
      <c r="AF92" s="43" t="s">
        <v>1275</v>
      </c>
      <c r="AG92" s="44">
        <v>34</v>
      </c>
      <c r="AH92" s="31">
        <v>20184506.900368247</v>
      </c>
      <c r="AI92" s="31">
        <v>887540.9</v>
      </c>
      <c r="AJ92" s="31">
        <v>117929.31999999999</v>
      </c>
      <c r="AK92" s="31">
        <v>0</v>
      </c>
      <c r="AL92" s="31">
        <v>2830204.7203017413</v>
      </c>
      <c r="AM92" s="31">
        <v>514328.81657087139</v>
      </c>
      <c r="AN92" s="31">
        <v>1039900.7676859454</v>
      </c>
      <c r="AO92" s="31">
        <f t="shared" si="10"/>
        <v>25740632.844926804</v>
      </c>
      <c r="AP92" s="31">
        <v>166221.42000000001</v>
      </c>
      <c r="AR92" s="42" t="s">
        <v>265</v>
      </c>
      <c r="AS92" s="42" t="s">
        <v>266</v>
      </c>
      <c r="AT92" s="43" t="s">
        <v>1276</v>
      </c>
      <c r="AU92" s="44">
        <v>34</v>
      </c>
      <c r="AV92" s="31">
        <v>20657973.338210572</v>
      </c>
      <c r="AW92" s="31">
        <v>901853.66</v>
      </c>
      <c r="AX92" s="31">
        <v>120093.65</v>
      </c>
      <c r="AY92" s="31">
        <v>0</v>
      </c>
      <c r="AZ92" s="31">
        <v>2887643.2804030376</v>
      </c>
      <c r="BA92" s="31">
        <v>514361.6907834314</v>
      </c>
      <c r="BB92" s="31">
        <v>1059156.733137876</v>
      </c>
      <c r="BC92" s="31">
        <f t="shared" si="11"/>
        <v>26310395.192534912</v>
      </c>
      <c r="BD92" s="31">
        <v>169312.84</v>
      </c>
    </row>
    <row r="93" spans="2:56">
      <c r="B93" s="42" t="s">
        <v>139</v>
      </c>
      <c r="C93" s="42" t="s">
        <v>140</v>
      </c>
      <c r="D93" s="43" t="s">
        <v>1049</v>
      </c>
      <c r="E93" s="44">
        <v>34</v>
      </c>
      <c r="F93" s="31">
        <v>5988564.7930151904</v>
      </c>
      <c r="G93" s="31">
        <v>329258.97000000009</v>
      </c>
      <c r="H93" s="31">
        <v>0</v>
      </c>
      <c r="I93" s="31">
        <v>20170.64</v>
      </c>
      <c r="J93" s="31">
        <v>870886.80414785841</v>
      </c>
      <c r="K93" s="31">
        <v>483437.74882389733</v>
      </c>
      <c r="L93" s="31">
        <v>300792.25297684624</v>
      </c>
      <c r="M93" s="31">
        <f t="shared" si="8"/>
        <v>8198033.288963791</v>
      </c>
      <c r="N93" s="31">
        <v>204922.08</v>
      </c>
      <c r="P93" s="42" t="s">
        <v>139</v>
      </c>
      <c r="Q93" s="42" t="s">
        <v>140</v>
      </c>
      <c r="R93" s="43" t="s">
        <v>1050</v>
      </c>
      <c r="S93" s="44">
        <v>34</v>
      </c>
      <c r="T93" s="31">
        <v>6264501.400706918</v>
      </c>
      <c r="U93" s="31">
        <v>346357.85000000009</v>
      </c>
      <c r="V93" s="31">
        <v>0</v>
      </c>
      <c r="W93" s="31">
        <v>20961.059999999998</v>
      </c>
      <c r="X93" s="31">
        <v>921541.02446985198</v>
      </c>
      <c r="Y93" s="31">
        <v>484573.47526121599</v>
      </c>
      <c r="Z93" s="31">
        <v>322266.9868459265</v>
      </c>
      <c r="AA93" s="31">
        <f t="shared" si="9"/>
        <v>8575019.4172839113</v>
      </c>
      <c r="AB93" s="31">
        <v>214817.62</v>
      </c>
      <c r="AD93" s="42" t="s">
        <v>139</v>
      </c>
      <c r="AE93" s="42" t="s">
        <v>140</v>
      </c>
      <c r="AF93" s="43" t="s">
        <v>1275</v>
      </c>
      <c r="AG93" s="44">
        <v>34</v>
      </c>
      <c r="AH93" s="31">
        <v>6419163.9640331734</v>
      </c>
      <c r="AI93" s="31">
        <v>352345.56000000011</v>
      </c>
      <c r="AJ93" s="31">
        <v>0</v>
      </c>
      <c r="AK93" s="31">
        <v>21326.509999999995</v>
      </c>
      <c r="AL93" s="31">
        <v>939761.42114493565</v>
      </c>
      <c r="AM93" s="31">
        <v>483710.62948126602</v>
      </c>
      <c r="AN93" s="31">
        <v>327937.20869468426</v>
      </c>
      <c r="AO93" s="31">
        <f t="shared" si="10"/>
        <v>8762859.2133540586</v>
      </c>
      <c r="AP93" s="31">
        <v>218613.91999999998</v>
      </c>
      <c r="AR93" s="42" t="s">
        <v>139</v>
      </c>
      <c r="AS93" s="42" t="s">
        <v>140</v>
      </c>
      <c r="AT93" s="43" t="s">
        <v>1276</v>
      </c>
      <c r="AU93" s="44">
        <v>34</v>
      </c>
      <c r="AV93" s="31">
        <v>6560673.9557781881</v>
      </c>
      <c r="AW93" s="31">
        <v>356285.56999999995</v>
      </c>
      <c r="AX93" s="31">
        <v>0</v>
      </c>
      <c r="AY93" s="31">
        <v>21610.420000000002</v>
      </c>
      <c r="AZ93" s="31">
        <v>959551.49325519241</v>
      </c>
      <c r="BA93" s="31">
        <v>483735.28221783601</v>
      </c>
      <c r="BB93" s="31">
        <v>334009.82453390374</v>
      </c>
      <c r="BC93" s="31">
        <f t="shared" si="11"/>
        <v>8938546.2957851198</v>
      </c>
      <c r="BD93" s="31">
        <v>222679.75</v>
      </c>
    </row>
    <row r="94" spans="2:56">
      <c r="B94" s="42" t="s">
        <v>593</v>
      </c>
      <c r="C94" s="42" t="s">
        <v>594</v>
      </c>
      <c r="D94" s="43" t="s">
        <v>1049</v>
      </c>
      <c r="E94" s="44">
        <v>34</v>
      </c>
      <c r="F94" s="31">
        <v>27605209.846428059</v>
      </c>
      <c r="G94" s="31">
        <v>1863105.0100000002</v>
      </c>
      <c r="H94" s="31">
        <v>1724346.56</v>
      </c>
      <c r="I94" s="31">
        <v>98417.150000000009</v>
      </c>
      <c r="J94" s="31">
        <v>4371075.3524244875</v>
      </c>
      <c r="K94" s="31">
        <v>1176908.6340059193</v>
      </c>
      <c r="L94" s="31">
        <v>2832168.8244953472</v>
      </c>
      <c r="M94" s="31">
        <f t="shared" si="8"/>
        <v>40689118.147353813</v>
      </c>
      <c r="N94" s="31">
        <v>1017886.77</v>
      </c>
      <c r="P94" s="42" t="s">
        <v>593</v>
      </c>
      <c r="Q94" s="42" t="s">
        <v>594</v>
      </c>
      <c r="R94" s="43" t="s">
        <v>1050</v>
      </c>
      <c r="S94" s="44">
        <v>34</v>
      </c>
      <c r="T94" s="31">
        <v>28520971.899214495</v>
      </c>
      <c r="U94" s="31">
        <v>1925411.7999999996</v>
      </c>
      <c r="V94" s="31">
        <v>1836272.4299999997</v>
      </c>
      <c r="W94" s="31">
        <v>100758.39</v>
      </c>
      <c r="X94" s="31">
        <v>4636524.3621107033</v>
      </c>
      <c r="Y94" s="31">
        <v>1178994.9824993587</v>
      </c>
      <c r="Z94" s="31">
        <v>3035241.7712994106</v>
      </c>
      <c r="AA94" s="31">
        <f t="shared" si="9"/>
        <v>42301215.475123972</v>
      </c>
      <c r="AB94" s="31">
        <v>1067039.8400000001</v>
      </c>
      <c r="AD94" s="42" t="s">
        <v>593</v>
      </c>
      <c r="AE94" s="42" t="s">
        <v>594</v>
      </c>
      <c r="AF94" s="43" t="s">
        <v>1275</v>
      </c>
      <c r="AG94" s="44">
        <v>34</v>
      </c>
      <c r="AH94" s="31">
        <v>28589339.95995716</v>
      </c>
      <c r="AI94" s="31">
        <v>1928849.5599999996</v>
      </c>
      <c r="AJ94" s="31">
        <v>1868287.5499999998</v>
      </c>
      <c r="AK94" s="31">
        <v>100931.46</v>
      </c>
      <c r="AL94" s="31">
        <v>4726213.1025160234</v>
      </c>
      <c r="AM94" s="31">
        <v>1177409.9203453779</v>
      </c>
      <c r="AN94" s="31">
        <v>3088644.9791499618</v>
      </c>
      <c r="AO94" s="31">
        <f t="shared" si="10"/>
        <v>42565573.281968527</v>
      </c>
      <c r="AP94" s="31">
        <v>1085896.75</v>
      </c>
      <c r="AR94" s="42" t="s">
        <v>593</v>
      </c>
      <c r="AS94" s="42" t="s">
        <v>594</v>
      </c>
      <c r="AT94" s="43" t="s">
        <v>1276</v>
      </c>
      <c r="AU94" s="44">
        <v>34</v>
      </c>
      <c r="AV94" s="31">
        <v>28366121.483972888</v>
      </c>
      <c r="AW94" s="31">
        <v>1914741.0499999998</v>
      </c>
      <c r="AX94" s="31">
        <v>1902575.7399999998</v>
      </c>
      <c r="AY94" s="31">
        <v>100203.46</v>
      </c>
      <c r="AZ94" s="31">
        <v>4820477.3214774281</v>
      </c>
      <c r="BA94" s="31">
        <v>1177455.2078354915</v>
      </c>
      <c r="BB94" s="31">
        <v>3145838.0098971021</v>
      </c>
      <c r="BC94" s="31">
        <f t="shared" si="11"/>
        <v>42533504.773182914</v>
      </c>
      <c r="BD94" s="31">
        <v>1106092.5</v>
      </c>
    </row>
    <row r="95" spans="2:56">
      <c r="B95" s="42" t="s">
        <v>601</v>
      </c>
      <c r="C95" s="42" t="s">
        <v>602</v>
      </c>
      <c r="D95" s="43" t="s">
        <v>1049</v>
      </c>
      <c r="E95" s="44">
        <v>34</v>
      </c>
      <c r="F95" s="31">
        <v>11098922.818280533</v>
      </c>
      <c r="G95" s="31">
        <v>825632.24000000011</v>
      </c>
      <c r="H95" s="31">
        <v>901052.95</v>
      </c>
      <c r="I95" s="31">
        <v>40828.519999999997</v>
      </c>
      <c r="J95" s="31">
        <v>1842467.0536756071</v>
      </c>
      <c r="K95" s="31">
        <v>534062.38875469787</v>
      </c>
      <c r="L95" s="31">
        <v>1658149.3210313136</v>
      </c>
      <c r="M95" s="31">
        <f t="shared" si="8"/>
        <v>17311836.411742151</v>
      </c>
      <c r="N95" s="31">
        <v>410721.12</v>
      </c>
      <c r="P95" s="42" t="s">
        <v>601</v>
      </c>
      <c r="Q95" s="42" t="s">
        <v>602</v>
      </c>
      <c r="R95" s="43" t="s">
        <v>1050</v>
      </c>
      <c r="S95" s="44">
        <v>34</v>
      </c>
      <c r="T95" s="31">
        <v>11872959.24216453</v>
      </c>
      <c r="U95" s="31">
        <v>885323.07000000007</v>
      </c>
      <c r="V95" s="31">
        <v>959539.51</v>
      </c>
      <c r="W95" s="31">
        <v>43478.639999999992</v>
      </c>
      <c r="X95" s="31">
        <v>1943136.0149131191</v>
      </c>
      <c r="Y95" s="31">
        <v>535362.47559881082</v>
      </c>
      <c r="Z95" s="31">
        <v>1777032.1466272962</v>
      </c>
      <c r="AA95" s="31">
        <f t="shared" si="9"/>
        <v>18447385.659303755</v>
      </c>
      <c r="AB95" s="31">
        <v>430554.56000000006</v>
      </c>
      <c r="AD95" s="42" t="s">
        <v>601</v>
      </c>
      <c r="AE95" s="42" t="s">
        <v>602</v>
      </c>
      <c r="AF95" s="43" t="s">
        <v>1275</v>
      </c>
      <c r="AG95" s="44">
        <v>34</v>
      </c>
      <c r="AH95" s="31">
        <v>12341172.169815447</v>
      </c>
      <c r="AI95" s="31">
        <v>917231.91999999981</v>
      </c>
      <c r="AJ95" s="31">
        <v>976268.93</v>
      </c>
      <c r="AK95" s="31">
        <v>45081.32</v>
      </c>
      <c r="AL95" s="31">
        <v>1978018.328825346</v>
      </c>
      <c r="AM95" s="31">
        <v>534374.76023871079</v>
      </c>
      <c r="AN95" s="31">
        <v>1808297.8583746983</v>
      </c>
      <c r="AO95" s="31">
        <f t="shared" si="10"/>
        <v>19038608.687254202</v>
      </c>
      <c r="AP95" s="31">
        <v>438163.4</v>
      </c>
      <c r="AR95" s="42" t="s">
        <v>601</v>
      </c>
      <c r="AS95" s="42" t="s">
        <v>602</v>
      </c>
      <c r="AT95" s="43" t="s">
        <v>1276</v>
      </c>
      <c r="AU95" s="44">
        <v>34</v>
      </c>
      <c r="AV95" s="31">
        <v>12750264.62441276</v>
      </c>
      <c r="AW95" s="31">
        <v>943956.91999999993</v>
      </c>
      <c r="AX95" s="31">
        <v>994186.14</v>
      </c>
      <c r="AY95" s="31">
        <v>46338.729999999996</v>
      </c>
      <c r="AZ95" s="31">
        <v>2018235.3013484848</v>
      </c>
      <c r="BA95" s="31">
        <v>534402.98067757068</v>
      </c>
      <c r="BB95" s="31">
        <v>1841782.3791039651</v>
      </c>
      <c r="BC95" s="31">
        <f t="shared" si="11"/>
        <v>19575479.535542782</v>
      </c>
      <c r="BD95" s="31">
        <v>446312.46</v>
      </c>
    </row>
    <row r="96" spans="2:56">
      <c r="B96" s="42" t="s">
        <v>447</v>
      </c>
      <c r="C96" s="42" t="s">
        <v>448</v>
      </c>
      <c r="D96" s="43" t="s">
        <v>1049</v>
      </c>
      <c r="E96" s="44">
        <v>34</v>
      </c>
      <c r="F96" s="31">
        <v>18571884.828790981</v>
      </c>
      <c r="G96" s="31">
        <v>688808.70000000007</v>
      </c>
      <c r="H96" s="31">
        <v>139227.29</v>
      </c>
      <c r="I96" s="31">
        <v>67242.899999999994</v>
      </c>
      <c r="J96" s="31">
        <v>3208117.1660679472</v>
      </c>
      <c r="K96" s="31">
        <v>1596233.6024708068</v>
      </c>
      <c r="L96" s="31">
        <v>1972302.8211859725</v>
      </c>
      <c r="M96" s="31">
        <f t="shared" si="8"/>
        <v>26306103.208515704</v>
      </c>
      <c r="N96" s="31">
        <v>62285.9</v>
      </c>
      <c r="P96" s="42" t="s">
        <v>447</v>
      </c>
      <c r="Q96" s="42" t="s">
        <v>448</v>
      </c>
      <c r="R96" s="43" t="s">
        <v>1050</v>
      </c>
      <c r="S96" s="44">
        <v>34</v>
      </c>
      <c r="T96" s="31">
        <v>19223280.48716943</v>
      </c>
      <c r="U96" s="31">
        <v>716863.43</v>
      </c>
      <c r="V96" s="31">
        <v>148159.59</v>
      </c>
      <c r="W96" s="31">
        <v>69951.510000000009</v>
      </c>
      <c r="X96" s="31">
        <v>3390790.6387257222</v>
      </c>
      <c r="Y96" s="31">
        <v>1599363.7912223609</v>
      </c>
      <c r="Z96" s="31">
        <v>2092768.4834557059</v>
      </c>
      <c r="AA96" s="31">
        <f t="shared" si="9"/>
        <v>27306509.940573219</v>
      </c>
      <c r="AB96" s="31">
        <v>65332.009999999995</v>
      </c>
      <c r="AD96" s="42" t="s">
        <v>447</v>
      </c>
      <c r="AE96" s="42" t="s">
        <v>448</v>
      </c>
      <c r="AF96" s="43" t="s">
        <v>1275</v>
      </c>
      <c r="AG96" s="44">
        <v>34</v>
      </c>
      <c r="AH96" s="31">
        <v>20102052.108309109</v>
      </c>
      <c r="AI96" s="31">
        <v>747721.36</v>
      </c>
      <c r="AJ96" s="31">
        <v>150777.54000000004</v>
      </c>
      <c r="AK96" s="31">
        <v>72938.039999999994</v>
      </c>
      <c r="AL96" s="31">
        <v>3448639.7737038219</v>
      </c>
      <c r="AM96" s="31">
        <v>1596935.250691511</v>
      </c>
      <c r="AN96" s="31">
        <v>2129960.3089157403</v>
      </c>
      <c r="AO96" s="31">
        <f t="shared" si="10"/>
        <v>28315524.991620179</v>
      </c>
      <c r="AP96" s="31">
        <v>66500.61</v>
      </c>
      <c r="AR96" s="42" t="s">
        <v>447</v>
      </c>
      <c r="AS96" s="42" t="s">
        <v>448</v>
      </c>
      <c r="AT96" s="43" t="s">
        <v>1276</v>
      </c>
      <c r="AU96" s="44">
        <v>34</v>
      </c>
      <c r="AV96" s="31">
        <v>20739221.839759987</v>
      </c>
      <c r="AW96" s="31">
        <v>766603.42000000016</v>
      </c>
      <c r="AX96" s="31">
        <v>153581.35</v>
      </c>
      <c r="AY96" s="31">
        <v>74769.860000000015</v>
      </c>
      <c r="AZ96" s="31">
        <v>3528971.2374630501</v>
      </c>
      <c r="BA96" s="31">
        <v>1597004.6375638209</v>
      </c>
      <c r="BB96" s="31">
        <v>2169791.5960040367</v>
      </c>
      <c r="BC96" s="31">
        <f t="shared" si="11"/>
        <v>29097696.130790897</v>
      </c>
      <c r="BD96" s="31">
        <v>67752.19</v>
      </c>
    </row>
    <row r="97" spans="2:56">
      <c r="B97" s="42" t="s">
        <v>315</v>
      </c>
      <c r="C97" s="42" t="s">
        <v>316</v>
      </c>
      <c r="D97" s="43" t="s">
        <v>1049</v>
      </c>
      <c r="E97" s="44">
        <v>34</v>
      </c>
      <c r="F97" s="31">
        <v>1912066.7698928902</v>
      </c>
      <c r="G97" s="31">
        <v>60901.709999999992</v>
      </c>
      <c r="H97" s="31">
        <v>0</v>
      </c>
      <c r="I97" s="31">
        <v>6041.4600000000009</v>
      </c>
      <c r="J97" s="31">
        <v>223096.85187945142</v>
      </c>
      <c r="K97" s="31">
        <v>145464.32756712576</v>
      </c>
      <c r="L97" s="31">
        <v>0</v>
      </c>
      <c r="M97" s="31">
        <f t="shared" si="8"/>
        <v>2347571.119339467</v>
      </c>
      <c r="N97" s="31">
        <v>0</v>
      </c>
      <c r="P97" s="42" t="s">
        <v>315</v>
      </c>
      <c r="Q97" s="42" t="s">
        <v>316</v>
      </c>
      <c r="R97" s="43" t="s">
        <v>1050</v>
      </c>
      <c r="S97" s="44">
        <v>34</v>
      </c>
      <c r="T97" s="31">
        <v>2053326.6694049574</v>
      </c>
      <c r="U97" s="31">
        <v>65269.859999999993</v>
      </c>
      <c r="V97" s="31">
        <v>0</v>
      </c>
      <c r="W97" s="31">
        <v>6433.5899999999992</v>
      </c>
      <c r="X97" s="31">
        <v>236819.47258683373</v>
      </c>
      <c r="Y97" s="31">
        <v>145772.87300653968</v>
      </c>
      <c r="Z97" s="31">
        <v>0</v>
      </c>
      <c r="AA97" s="31">
        <f t="shared" si="9"/>
        <v>2507622.4649983309</v>
      </c>
      <c r="AB97" s="31">
        <v>0</v>
      </c>
      <c r="AD97" s="42" t="s">
        <v>315</v>
      </c>
      <c r="AE97" s="42" t="s">
        <v>316</v>
      </c>
      <c r="AF97" s="43" t="s">
        <v>1275</v>
      </c>
      <c r="AG97" s="44">
        <v>34</v>
      </c>
      <c r="AH97" s="31">
        <v>2086230.5221159547</v>
      </c>
      <c r="AI97" s="31">
        <v>66407.83</v>
      </c>
      <c r="AJ97" s="31">
        <v>0</v>
      </c>
      <c r="AK97" s="31">
        <v>6545.76</v>
      </c>
      <c r="AL97" s="31">
        <v>240643.57708576208</v>
      </c>
      <c r="AM97" s="31">
        <v>145538.46168918966</v>
      </c>
      <c r="AN97" s="31">
        <v>0</v>
      </c>
      <c r="AO97" s="31">
        <f t="shared" si="10"/>
        <v>2545366.1508909063</v>
      </c>
      <c r="AP97" s="31">
        <v>0</v>
      </c>
      <c r="AR97" s="42" t="s">
        <v>315</v>
      </c>
      <c r="AS97" s="42" t="s">
        <v>316</v>
      </c>
      <c r="AT97" s="43" t="s">
        <v>1276</v>
      </c>
      <c r="AU97" s="44">
        <v>34</v>
      </c>
      <c r="AV97" s="31">
        <v>2116088.9669263395</v>
      </c>
      <c r="AW97" s="31">
        <v>67304.06</v>
      </c>
      <c r="AX97" s="31">
        <v>0</v>
      </c>
      <c r="AY97" s="31">
        <v>6665.8899999999994</v>
      </c>
      <c r="AZ97" s="31">
        <v>245242.29639285462</v>
      </c>
      <c r="BA97" s="31">
        <v>145545.15915539968</v>
      </c>
      <c r="BB97" s="31">
        <v>0</v>
      </c>
      <c r="BC97" s="31">
        <f t="shared" si="11"/>
        <v>2580846.372474594</v>
      </c>
      <c r="BD97" s="31">
        <v>0</v>
      </c>
    </row>
    <row r="98" spans="2:56">
      <c r="B98" s="42" t="s">
        <v>455</v>
      </c>
      <c r="C98" s="42" t="s">
        <v>456</v>
      </c>
      <c r="D98" s="43" t="s">
        <v>1049</v>
      </c>
      <c r="E98" s="44">
        <v>34</v>
      </c>
      <c r="F98" s="31">
        <v>423367.89391142561</v>
      </c>
      <c r="G98" s="31">
        <v>7600.5400000000009</v>
      </c>
      <c r="H98" s="31">
        <v>0</v>
      </c>
      <c r="I98" s="31">
        <v>0</v>
      </c>
      <c r="J98" s="31">
        <v>26174.992485148319</v>
      </c>
      <c r="K98" s="31">
        <v>155905.36294333485</v>
      </c>
      <c r="L98" s="31">
        <v>0</v>
      </c>
      <c r="M98" s="31">
        <f t="shared" si="8"/>
        <v>613048.78933990875</v>
      </c>
      <c r="N98" s="31">
        <v>0</v>
      </c>
      <c r="P98" s="42" t="s">
        <v>455</v>
      </c>
      <c r="Q98" s="42" t="s">
        <v>456</v>
      </c>
      <c r="R98" s="43" t="s">
        <v>1050</v>
      </c>
      <c r="S98" s="44">
        <v>34</v>
      </c>
      <c r="T98" s="31">
        <v>455174.94206324802</v>
      </c>
      <c r="U98" s="31">
        <v>11518.21</v>
      </c>
      <c r="V98" s="31">
        <v>0</v>
      </c>
      <c r="W98" s="31">
        <v>0</v>
      </c>
      <c r="X98" s="31">
        <v>27176.926883270851</v>
      </c>
      <c r="Y98" s="31">
        <v>156418.88774412469</v>
      </c>
      <c r="Z98" s="31">
        <v>0</v>
      </c>
      <c r="AA98" s="31">
        <f t="shared" si="9"/>
        <v>650288.96669064357</v>
      </c>
      <c r="AB98" s="31">
        <v>0</v>
      </c>
      <c r="AD98" s="42" t="s">
        <v>455</v>
      </c>
      <c r="AE98" s="42" t="s">
        <v>456</v>
      </c>
      <c r="AF98" s="43" t="s">
        <v>1275</v>
      </c>
      <c r="AG98" s="44">
        <v>34</v>
      </c>
      <c r="AH98" s="31">
        <v>464110.4898811754</v>
      </c>
      <c r="AI98" s="31">
        <v>11719.029999999999</v>
      </c>
      <c r="AJ98" s="31">
        <v>0</v>
      </c>
      <c r="AK98" s="31">
        <v>0</v>
      </c>
      <c r="AL98" s="31">
        <v>27458.849392398028</v>
      </c>
      <c r="AM98" s="31">
        <v>156028.74739632467</v>
      </c>
      <c r="AN98" s="31">
        <v>0</v>
      </c>
      <c r="AO98" s="31">
        <f t="shared" si="10"/>
        <v>659317.11666989804</v>
      </c>
      <c r="AP98" s="31">
        <v>0</v>
      </c>
      <c r="AR98" s="42" t="s">
        <v>455</v>
      </c>
      <c r="AS98" s="42" t="s">
        <v>456</v>
      </c>
      <c r="AT98" s="43" t="s">
        <v>1276</v>
      </c>
      <c r="AU98" s="44">
        <v>34</v>
      </c>
      <c r="AV98" s="31">
        <v>467655.17810216994</v>
      </c>
      <c r="AW98" s="31">
        <v>11934.100000000002</v>
      </c>
      <c r="AX98" s="31">
        <v>0</v>
      </c>
      <c r="AY98" s="31">
        <v>0</v>
      </c>
      <c r="AZ98" s="31">
        <v>28964.269778981059</v>
      </c>
      <c r="BA98" s="31">
        <v>156039.89426340468</v>
      </c>
      <c r="BB98" s="31">
        <v>0</v>
      </c>
      <c r="BC98" s="31">
        <f t="shared" si="11"/>
        <v>664593.44214455562</v>
      </c>
      <c r="BD98" s="31">
        <v>0</v>
      </c>
    </row>
    <row r="99" spans="2:56">
      <c r="B99" s="42" t="s">
        <v>1023</v>
      </c>
      <c r="C99" s="42" t="s">
        <v>1041</v>
      </c>
      <c r="D99" s="43" t="s">
        <v>1049</v>
      </c>
      <c r="E99" s="44">
        <v>34</v>
      </c>
      <c r="F99" s="31">
        <v>2651337.9339300469</v>
      </c>
      <c r="G99" s="31">
        <v>0</v>
      </c>
      <c r="H99" s="31">
        <v>46184.36</v>
      </c>
      <c r="I99" s="31">
        <v>0</v>
      </c>
      <c r="J99" s="31">
        <v>197015.1047303337</v>
      </c>
      <c r="K99" s="31">
        <v>443653.05</v>
      </c>
      <c r="L99" s="31">
        <v>0</v>
      </c>
      <c r="M99" s="31">
        <f t="shared" si="8"/>
        <v>3338190.4486603802</v>
      </c>
      <c r="N99" s="31">
        <v>0</v>
      </c>
      <c r="P99" s="42" t="s">
        <v>1023</v>
      </c>
      <c r="Q99" s="42" t="s">
        <v>1041</v>
      </c>
      <c r="R99" s="43" t="s">
        <v>1050</v>
      </c>
      <c r="S99" s="44">
        <v>34</v>
      </c>
      <c r="T99" s="31">
        <v>3346922.1670943531</v>
      </c>
      <c r="U99" s="31">
        <v>0</v>
      </c>
      <c r="V99" s="31">
        <v>49132.38</v>
      </c>
      <c r="W99" s="31">
        <v>0</v>
      </c>
      <c r="X99" s="31">
        <v>207778.73226716794</v>
      </c>
      <c r="Y99" s="31">
        <v>443653.05</v>
      </c>
      <c r="Z99" s="31">
        <v>0</v>
      </c>
      <c r="AA99" s="31">
        <f t="shared" si="9"/>
        <v>4047486.3293615207</v>
      </c>
      <c r="AB99" s="31">
        <v>0</v>
      </c>
      <c r="AD99" s="42" t="s">
        <v>1023</v>
      </c>
      <c r="AE99" s="42" t="s">
        <v>1041</v>
      </c>
      <c r="AF99" s="43" t="s">
        <v>1275</v>
      </c>
      <c r="AG99" s="44">
        <v>34</v>
      </c>
      <c r="AH99" s="31">
        <v>4059079.5118858889</v>
      </c>
      <c r="AI99" s="31">
        <v>0</v>
      </c>
      <c r="AJ99" s="31">
        <v>50005.520000000011</v>
      </c>
      <c r="AK99" s="31">
        <v>0</v>
      </c>
      <c r="AL99" s="31">
        <v>210934.51348299903</v>
      </c>
      <c r="AM99" s="31">
        <v>443653.05</v>
      </c>
      <c r="AN99" s="31">
        <v>0</v>
      </c>
      <c r="AO99" s="31">
        <f t="shared" si="10"/>
        <v>4763672.5953688873</v>
      </c>
      <c r="AP99" s="31">
        <v>0</v>
      </c>
      <c r="AR99" s="42" t="s">
        <v>1023</v>
      </c>
      <c r="AS99" s="42" t="s">
        <v>1041</v>
      </c>
      <c r="AT99" s="43" t="s">
        <v>1276</v>
      </c>
      <c r="AU99" s="44">
        <v>34</v>
      </c>
      <c r="AV99" s="31">
        <v>5027636.2531209216</v>
      </c>
      <c r="AW99" s="31">
        <v>0</v>
      </c>
      <c r="AX99" s="31">
        <v>50940.659999999996</v>
      </c>
      <c r="AY99" s="31">
        <v>0</v>
      </c>
      <c r="AZ99" s="31">
        <v>214046.69393058401</v>
      </c>
      <c r="BA99" s="31">
        <v>443653.05</v>
      </c>
      <c r="BB99" s="31">
        <v>0</v>
      </c>
      <c r="BC99" s="31">
        <f t="shared" si="11"/>
        <v>5736276.6570515055</v>
      </c>
      <c r="BD99" s="31">
        <v>0</v>
      </c>
    </row>
    <row r="100" spans="2:56">
      <c r="B100" s="42" t="s">
        <v>61</v>
      </c>
      <c r="C100" s="42" t="s">
        <v>62</v>
      </c>
      <c r="D100" s="43" t="s">
        <v>1049</v>
      </c>
      <c r="E100" s="44">
        <v>34</v>
      </c>
      <c r="F100" s="31">
        <v>1361698.2623225916</v>
      </c>
      <c r="G100" s="31">
        <v>48526.47</v>
      </c>
      <c r="H100" s="31">
        <v>0</v>
      </c>
      <c r="I100" s="31">
        <v>4287.4900000000007</v>
      </c>
      <c r="J100" s="31">
        <v>186065.36220417946</v>
      </c>
      <c r="K100" s="31">
        <v>182148.95969046818</v>
      </c>
      <c r="L100" s="31">
        <v>0</v>
      </c>
      <c r="M100" s="31">
        <f t="shared" si="8"/>
        <v>1782726.5442172391</v>
      </c>
      <c r="N100" s="31">
        <v>0</v>
      </c>
      <c r="P100" s="42" t="s">
        <v>61</v>
      </c>
      <c r="Q100" s="42" t="s">
        <v>62</v>
      </c>
      <c r="R100" s="43" t="s">
        <v>1050</v>
      </c>
      <c r="S100" s="44">
        <v>34</v>
      </c>
      <c r="T100" s="31">
        <v>1401873.850225932</v>
      </c>
      <c r="U100" s="31">
        <v>49289.630000000005</v>
      </c>
      <c r="V100" s="31">
        <v>0</v>
      </c>
      <c r="W100" s="31">
        <v>4358.24</v>
      </c>
      <c r="X100" s="31">
        <v>197022.55881046655</v>
      </c>
      <c r="Y100" s="31">
        <v>182477.67993639701</v>
      </c>
      <c r="Z100" s="31">
        <v>0</v>
      </c>
      <c r="AA100" s="31">
        <f t="shared" si="9"/>
        <v>1835021.9589727954</v>
      </c>
      <c r="AB100" s="31">
        <v>0</v>
      </c>
      <c r="AD100" s="42" t="s">
        <v>61</v>
      </c>
      <c r="AE100" s="42" t="s">
        <v>62</v>
      </c>
      <c r="AF100" s="43" t="s">
        <v>1275</v>
      </c>
      <c r="AG100" s="44">
        <v>34</v>
      </c>
      <c r="AH100" s="31">
        <v>1449029.8026525094</v>
      </c>
      <c r="AI100" s="31">
        <v>50888.03</v>
      </c>
      <c r="AJ100" s="31">
        <v>0</v>
      </c>
      <c r="AK100" s="31">
        <v>4539.8100000000004</v>
      </c>
      <c r="AL100" s="31">
        <v>200894.77414865425</v>
      </c>
      <c r="AM100" s="31">
        <v>182227.94120736516</v>
      </c>
      <c r="AN100" s="31">
        <v>0</v>
      </c>
      <c r="AO100" s="31">
        <f t="shared" si="10"/>
        <v>1887580.3580085288</v>
      </c>
      <c r="AP100" s="31">
        <v>0</v>
      </c>
      <c r="AR100" s="42" t="s">
        <v>61</v>
      </c>
      <c r="AS100" s="42" t="s">
        <v>62</v>
      </c>
      <c r="AT100" s="43" t="s">
        <v>1276</v>
      </c>
      <c r="AU100" s="44">
        <v>34</v>
      </c>
      <c r="AV100" s="31">
        <v>1518943.5501341096</v>
      </c>
      <c r="AW100" s="31">
        <v>53219.66</v>
      </c>
      <c r="AX100" s="31">
        <v>0</v>
      </c>
      <c r="AY100" s="31">
        <v>4730.6299999999992</v>
      </c>
      <c r="AZ100" s="31">
        <v>205065.44938532426</v>
      </c>
      <c r="BA100" s="31">
        <v>182235.07659962322</v>
      </c>
      <c r="BB100" s="31">
        <v>0</v>
      </c>
      <c r="BC100" s="31">
        <f t="shared" si="11"/>
        <v>1964194.3661190569</v>
      </c>
      <c r="BD100" s="31">
        <v>0</v>
      </c>
    </row>
    <row r="101" spans="2:56">
      <c r="B101" s="42" t="s">
        <v>517</v>
      </c>
      <c r="C101" s="42" t="s">
        <v>518</v>
      </c>
      <c r="D101" s="43" t="s">
        <v>1049</v>
      </c>
      <c r="E101" s="44">
        <v>34</v>
      </c>
      <c r="F101" s="31">
        <v>5266566.7732619513</v>
      </c>
      <c r="G101" s="31">
        <v>64312.21</v>
      </c>
      <c r="H101" s="31">
        <v>3410.5</v>
      </c>
      <c r="I101" s="31">
        <v>16955.04</v>
      </c>
      <c r="J101" s="31">
        <v>795840.51088336494</v>
      </c>
      <c r="K101" s="31">
        <v>692073.33428741153</v>
      </c>
      <c r="L101" s="31">
        <v>0</v>
      </c>
      <c r="M101" s="31">
        <f t="shared" si="8"/>
        <v>6839158.3684327276</v>
      </c>
      <c r="N101" s="31">
        <v>0</v>
      </c>
      <c r="P101" s="42" t="s">
        <v>517</v>
      </c>
      <c r="Q101" s="42" t="s">
        <v>518</v>
      </c>
      <c r="R101" s="43" t="s">
        <v>1050</v>
      </c>
      <c r="S101" s="44">
        <v>34</v>
      </c>
      <c r="T101" s="31">
        <v>5682366.8711651675</v>
      </c>
      <c r="U101" s="31">
        <v>69316.789999999994</v>
      </c>
      <c r="V101" s="31">
        <v>3631.88</v>
      </c>
      <c r="W101" s="31">
        <v>18263.099999999995</v>
      </c>
      <c r="X101" s="31">
        <v>844669.00448716758</v>
      </c>
      <c r="Y101" s="31">
        <v>693799.25128785963</v>
      </c>
      <c r="Z101" s="31">
        <v>0</v>
      </c>
      <c r="AA101" s="31">
        <f t="shared" si="9"/>
        <v>7312046.896940195</v>
      </c>
      <c r="AB101" s="31">
        <v>0</v>
      </c>
      <c r="AD101" s="42" t="s">
        <v>517</v>
      </c>
      <c r="AE101" s="42" t="s">
        <v>518</v>
      </c>
      <c r="AF101" s="43" t="s">
        <v>1275</v>
      </c>
      <c r="AG101" s="44">
        <v>34</v>
      </c>
      <c r="AH101" s="31">
        <v>5778957.3597595245</v>
      </c>
      <c r="AI101" s="31">
        <v>70525.31</v>
      </c>
      <c r="AJ101" s="31">
        <v>3695.21</v>
      </c>
      <c r="AK101" s="31">
        <v>18581.52</v>
      </c>
      <c r="AL101" s="31">
        <v>859058.4643889087</v>
      </c>
      <c r="AM101" s="31">
        <v>692488.01985795959</v>
      </c>
      <c r="AN101" s="31">
        <v>0</v>
      </c>
      <c r="AO101" s="31">
        <f t="shared" si="10"/>
        <v>7423305.8840063922</v>
      </c>
      <c r="AP101" s="31">
        <v>0</v>
      </c>
      <c r="AR101" s="42" t="s">
        <v>517</v>
      </c>
      <c r="AS101" s="42" t="s">
        <v>518</v>
      </c>
      <c r="AT101" s="43" t="s">
        <v>1276</v>
      </c>
      <c r="AU101" s="44">
        <v>34</v>
      </c>
      <c r="AV101" s="31">
        <v>5888615.3289068099</v>
      </c>
      <c r="AW101" s="31">
        <v>71819.639999999985</v>
      </c>
      <c r="AX101" s="31">
        <v>3763.02</v>
      </c>
      <c r="AY101" s="31">
        <v>18922.539999999997</v>
      </c>
      <c r="AZ101" s="31">
        <v>875346.97798748524</v>
      </c>
      <c r="BA101" s="31">
        <v>692525.48361309967</v>
      </c>
      <c r="BB101" s="31">
        <v>0</v>
      </c>
      <c r="BC101" s="31">
        <f t="shared" si="11"/>
        <v>7550992.9905073941</v>
      </c>
      <c r="BD101" s="31">
        <v>0</v>
      </c>
    </row>
    <row r="102" spans="2:56">
      <c r="B102" s="42" t="s">
        <v>309</v>
      </c>
      <c r="C102" s="42" t="s">
        <v>310</v>
      </c>
      <c r="D102" s="43" t="s">
        <v>1049</v>
      </c>
      <c r="E102" s="44">
        <v>34</v>
      </c>
      <c r="F102" s="31">
        <v>2191834.168591762</v>
      </c>
      <c r="G102" s="31">
        <v>37729.950000000004</v>
      </c>
      <c r="H102" s="31">
        <v>0</v>
      </c>
      <c r="I102" s="31">
        <v>0</v>
      </c>
      <c r="J102" s="31">
        <v>149848.77340297698</v>
      </c>
      <c r="K102" s="31">
        <v>260521.41208158573</v>
      </c>
      <c r="L102" s="31">
        <v>49739.174243028814</v>
      </c>
      <c r="M102" s="31">
        <f t="shared" si="8"/>
        <v>2723065.4683193536</v>
      </c>
      <c r="N102" s="31">
        <v>33391.99</v>
      </c>
      <c r="P102" s="42" t="s">
        <v>309</v>
      </c>
      <c r="Q102" s="42" t="s">
        <v>310</v>
      </c>
      <c r="R102" s="43" t="s">
        <v>1050</v>
      </c>
      <c r="S102" s="44">
        <v>34</v>
      </c>
      <c r="T102" s="31">
        <v>2215510.5577275218</v>
      </c>
      <c r="U102" s="31">
        <v>40492.720000000008</v>
      </c>
      <c r="V102" s="31">
        <v>0</v>
      </c>
      <c r="W102" s="31">
        <v>0</v>
      </c>
      <c r="X102" s="31">
        <v>155406.89543793496</v>
      </c>
      <c r="Y102" s="31">
        <v>261077.12710753229</v>
      </c>
      <c r="Z102" s="31">
        <v>53328.76121910513</v>
      </c>
      <c r="AA102" s="31">
        <f t="shared" si="9"/>
        <v>2760827.8614920941</v>
      </c>
      <c r="AB102" s="31">
        <v>35011.799999999996</v>
      </c>
      <c r="AD102" s="42" t="s">
        <v>309</v>
      </c>
      <c r="AE102" s="42" t="s">
        <v>310</v>
      </c>
      <c r="AF102" s="43" t="s">
        <v>1275</v>
      </c>
      <c r="AG102" s="44">
        <v>34</v>
      </c>
      <c r="AH102" s="31">
        <v>2263331.3763846401</v>
      </c>
      <c r="AI102" s="31">
        <v>41194.030000000006</v>
      </c>
      <c r="AJ102" s="31">
        <v>0</v>
      </c>
      <c r="AK102" s="31">
        <v>0</v>
      </c>
      <c r="AL102" s="31">
        <v>159145.78425802133</v>
      </c>
      <c r="AM102" s="31">
        <v>260654.93356757661</v>
      </c>
      <c r="AN102" s="31">
        <v>54269.648202845623</v>
      </c>
      <c r="AO102" s="31">
        <f t="shared" si="10"/>
        <v>2814228.9824130838</v>
      </c>
      <c r="AP102" s="31">
        <v>35633.21</v>
      </c>
      <c r="AR102" s="42" t="s">
        <v>309</v>
      </c>
      <c r="AS102" s="42" t="s">
        <v>310</v>
      </c>
      <c r="AT102" s="43" t="s">
        <v>1276</v>
      </c>
      <c r="AU102" s="44">
        <v>34</v>
      </c>
      <c r="AV102" s="31">
        <v>2271197.4912965135</v>
      </c>
      <c r="AW102" s="31">
        <v>41945.130000000005</v>
      </c>
      <c r="AX102" s="31">
        <v>0</v>
      </c>
      <c r="AY102" s="31">
        <v>0</v>
      </c>
      <c r="AZ102" s="31">
        <v>159698.18819093661</v>
      </c>
      <c r="BA102" s="31">
        <v>260666.99624014678</v>
      </c>
      <c r="BB102" s="31">
        <v>55277.3069758317</v>
      </c>
      <c r="BC102" s="31">
        <f t="shared" si="11"/>
        <v>2825083.8627034286</v>
      </c>
      <c r="BD102" s="31">
        <v>36298.75</v>
      </c>
    </row>
    <row r="103" spans="2:56">
      <c r="B103" s="42" t="s">
        <v>599</v>
      </c>
      <c r="C103" s="42" t="s">
        <v>600</v>
      </c>
      <c r="D103" s="43" t="s">
        <v>1049</v>
      </c>
      <c r="E103" s="44">
        <v>34</v>
      </c>
      <c r="F103" s="31">
        <v>8419137.9696160853</v>
      </c>
      <c r="G103" s="31">
        <v>529893.59000000008</v>
      </c>
      <c r="H103" s="31">
        <v>484192.93</v>
      </c>
      <c r="I103" s="31">
        <v>28940.489999999998</v>
      </c>
      <c r="J103" s="31">
        <v>1156986.6995734496</v>
      </c>
      <c r="K103" s="31">
        <v>779634.85062575317</v>
      </c>
      <c r="L103" s="31">
        <v>411352.38187223196</v>
      </c>
      <c r="M103" s="31">
        <f t="shared" si="8"/>
        <v>12115719.30168752</v>
      </c>
      <c r="N103" s="31">
        <v>305580.39</v>
      </c>
      <c r="P103" s="42" t="s">
        <v>599</v>
      </c>
      <c r="Q103" s="42" t="s">
        <v>600</v>
      </c>
      <c r="R103" s="43" t="s">
        <v>1050</v>
      </c>
      <c r="S103" s="44">
        <v>34</v>
      </c>
      <c r="T103" s="31">
        <v>9105568.3007985763</v>
      </c>
      <c r="U103" s="31">
        <v>572584.01</v>
      </c>
      <c r="V103" s="31">
        <v>515621.47000000003</v>
      </c>
      <c r="W103" s="31">
        <v>31026.53</v>
      </c>
      <c r="X103" s="31">
        <v>1226033.8466181811</v>
      </c>
      <c r="Y103" s="31">
        <v>781509.5259048508</v>
      </c>
      <c r="Z103" s="31">
        <v>440990.15001810645</v>
      </c>
      <c r="AA103" s="31">
        <f t="shared" si="9"/>
        <v>12993670.503339715</v>
      </c>
      <c r="AB103" s="31">
        <v>320336.67000000004</v>
      </c>
      <c r="AD103" s="42" t="s">
        <v>599</v>
      </c>
      <c r="AE103" s="42" t="s">
        <v>600</v>
      </c>
      <c r="AF103" s="43" t="s">
        <v>1275</v>
      </c>
      <c r="AG103" s="44">
        <v>34</v>
      </c>
      <c r="AH103" s="31">
        <v>9266314.8128464315</v>
      </c>
      <c r="AI103" s="31">
        <v>582490.91000000015</v>
      </c>
      <c r="AJ103" s="31">
        <v>524611.24</v>
      </c>
      <c r="AK103" s="31">
        <v>31567.46</v>
      </c>
      <c r="AL103" s="31">
        <v>1247573.5375479816</v>
      </c>
      <c r="AM103" s="31">
        <v>780085.27830420074</v>
      </c>
      <c r="AN103" s="31">
        <v>448749.02603502211</v>
      </c>
      <c r="AO103" s="31">
        <f t="shared" si="10"/>
        <v>13207389.974733638</v>
      </c>
      <c r="AP103" s="31">
        <v>325997.71000000002</v>
      </c>
      <c r="AR103" s="42" t="s">
        <v>599</v>
      </c>
      <c r="AS103" s="42" t="s">
        <v>600</v>
      </c>
      <c r="AT103" s="43" t="s">
        <v>1276</v>
      </c>
      <c r="AU103" s="44">
        <v>34</v>
      </c>
      <c r="AV103" s="31">
        <v>9438419.0316893719</v>
      </c>
      <c r="AW103" s="31">
        <v>593101.16999999993</v>
      </c>
      <c r="AX103" s="31">
        <v>534239.29999999993</v>
      </c>
      <c r="AY103" s="31">
        <v>32146.82</v>
      </c>
      <c r="AZ103" s="31">
        <v>1270642.4502097273</v>
      </c>
      <c r="BA103" s="31">
        <v>780125.97109279083</v>
      </c>
      <c r="BB103" s="31">
        <v>457058.52019113884</v>
      </c>
      <c r="BC103" s="31">
        <f t="shared" si="11"/>
        <v>13437793.963183029</v>
      </c>
      <c r="BD103" s="31">
        <v>332060.7</v>
      </c>
    </row>
    <row r="104" spans="2:56">
      <c r="B104" s="42" t="s">
        <v>191</v>
      </c>
      <c r="C104" s="42" t="s">
        <v>192</v>
      </c>
      <c r="D104" s="43" t="s">
        <v>1049</v>
      </c>
      <c r="E104" s="44">
        <v>34</v>
      </c>
      <c r="F104" s="31">
        <v>161308633.97328416</v>
      </c>
      <c r="G104" s="31">
        <v>9008211.1300000008</v>
      </c>
      <c r="H104" s="31">
        <v>9977970.0399999991</v>
      </c>
      <c r="I104" s="31">
        <v>572731.39</v>
      </c>
      <c r="J104" s="31">
        <v>25266163.584082298</v>
      </c>
      <c r="K104" s="31">
        <v>6904016.4027555939</v>
      </c>
      <c r="L104" s="31">
        <v>11936036.557593139</v>
      </c>
      <c r="M104" s="31">
        <f t="shared" si="8"/>
        <v>230216875.05771515</v>
      </c>
      <c r="N104" s="31">
        <v>5243111.9800000004</v>
      </c>
      <c r="P104" s="42" t="s">
        <v>191</v>
      </c>
      <c r="Q104" s="42" t="s">
        <v>192</v>
      </c>
      <c r="R104" s="43" t="s">
        <v>1050</v>
      </c>
      <c r="S104" s="44">
        <v>34</v>
      </c>
      <c r="T104" s="31">
        <v>182701732.95982128</v>
      </c>
      <c r="U104" s="31">
        <v>10137109.25</v>
      </c>
      <c r="V104" s="31">
        <v>10614876.33</v>
      </c>
      <c r="W104" s="31">
        <v>639561.83000000007</v>
      </c>
      <c r="X104" s="31">
        <v>26777573.424730666</v>
      </c>
      <c r="Y104" s="31">
        <v>6921671.5824304568</v>
      </c>
      <c r="Z104" s="31">
        <v>12784639.559256306</v>
      </c>
      <c r="AA104" s="31">
        <f t="shared" si="9"/>
        <v>256078087.11623874</v>
      </c>
      <c r="AB104" s="31">
        <v>5500922.1799999997</v>
      </c>
      <c r="AD104" s="42" t="s">
        <v>191</v>
      </c>
      <c r="AE104" s="42" t="s">
        <v>192</v>
      </c>
      <c r="AF104" s="43" t="s">
        <v>1275</v>
      </c>
      <c r="AG104" s="44">
        <v>34</v>
      </c>
      <c r="AH104" s="31">
        <v>185575609.89085814</v>
      </c>
      <c r="AI104" s="31">
        <v>10278453.969999999</v>
      </c>
      <c r="AJ104" s="31">
        <v>10803515.76</v>
      </c>
      <c r="AK104" s="31">
        <v>648604.62</v>
      </c>
      <c r="AL104" s="31">
        <v>27291166.241428342</v>
      </c>
      <c r="AM104" s="31">
        <v>6907845.5115018561</v>
      </c>
      <c r="AN104" s="31">
        <v>13012760.041967679</v>
      </c>
      <c r="AO104" s="31">
        <f t="shared" si="10"/>
        <v>260117783.59575602</v>
      </c>
      <c r="AP104" s="31">
        <v>5599827.5600000005</v>
      </c>
      <c r="AR104" s="42" t="s">
        <v>191</v>
      </c>
      <c r="AS104" s="42" t="s">
        <v>192</v>
      </c>
      <c r="AT104" s="43" t="s">
        <v>1276</v>
      </c>
      <c r="AU104" s="44">
        <v>34</v>
      </c>
      <c r="AV104" s="31">
        <v>189161562.05835176</v>
      </c>
      <c r="AW104" s="31">
        <v>10466097.770000001</v>
      </c>
      <c r="AX104" s="31">
        <v>11005548.58</v>
      </c>
      <c r="AY104" s="31">
        <v>660484.86999999988</v>
      </c>
      <c r="AZ104" s="31">
        <v>27813306.214023054</v>
      </c>
      <c r="BA104" s="31">
        <v>6908240.5420998167</v>
      </c>
      <c r="BB104" s="31">
        <v>13257070.617042758</v>
      </c>
      <c r="BC104" s="31">
        <f t="shared" si="11"/>
        <v>264978065.85151738</v>
      </c>
      <c r="BD104" s="31">
        <v>5705755.1999999993</v>
      </c>
    </row>
    <row r="105" spans="2:56">
      <c r="B105" s="42" t="s">
        <v>57</v>
      </c>
      <c r="C105" s="42" t="s">
        <v>58</v>
      </c>
      <c r="D105" s="43" t="s">
        <v>1049</v>
      </c>
      <c r="E105" s="44">
        <v>34</v>
      </c>
      <c r="F105" s="31">
        <v>16791089.01800067</v>
      </c>
      <c r="G105" s="31">
        <v>228699.63</v>
      </c>
      <c r="H105" s="31">
        <v>114708.91</v>
      </c>
      <c r="I105" s="31">
        <v>56738.860000000008</v>
      </c>
      <c r="J105" s="31">
        <v>1730041.8072024474</v>
      </c>
      <c r="K105" s="31">
        <v>1336694.0039319897</v>
      </c>
      <c r="L105" s="31">
        <v>467849.77252552868</v>
      </c>
      <c r="M105" s="31">
        <f t="shared" si="8"/>
        <v>20725822.001660634</v>
      </c>
      <c r="N105" s="31">
        <v>0</v>
      </c>
      <c r="P105" s="42" t="s">
        <v>57</v>
      </c>
      <c r="Q105" s="42" t="s">
        <v>58</v>
      </c>
      <c r="R105" s="43" t="s">
        <v>1050</v>
      </c>
      <c r="S105" s="44">
        <v>34</v>
      </c>
      <c r="T105" s="31">
        <v>18584218.922036324</v>
      </c>
      <c r="U105" s="31">
        <v>252737.69</v>
      </c>
      <c r="V105" s="31">
        <v>122109.21</v>
      </c>
      <c r="W105" s="31">
        <v>62692.92</v>
      </c>
      <c r="X105" s="31">
        <v>1833296.3468281738</v>
      </c>
      <c r="Y105" s="31">
        <v>1339762.9157851913</v>
      </c>
      <c r="Z105" s="31">
        <v>496512.50285862049</v>
      </c>
      <c r="AA105" s="31">
        <f t="shared" si="9"/>
        <v>22691330.507508311</v>
      </c>
      <c r="AB105" s="31">
        <v>0</v>
      </c>
      <c r="AD105" s="42" t="s">
        <v>57</v>
      </c>
      <c r="AE105" s="42" t="s">
        <v>58</v>
      </c>
      <c r="AF105" s="43" t="s">
        <v>1275</v>
      </c>
      <c r="AG105" s="44">
        <v>34</v>
      </c>
      <c r="AH105" s="31">
        <v>19363533.347102676</v>
      </c>
      <c r="AI105" s="31">
        <v>261398.58000000002</v>
      </c>
      <c r="AJ105" s="31">
        <v>124253.23000000001</v>
      </c>
      <c r="AK105" s="31">
        <v>64793.95</v>
      </c>
      <c r="AL105" s="31">
        <v>1877493.6902167443</v>
      </c>
      <c r="AM105" s="31">
        <v>1337405.7847205764</v>
      </c>
      <c r="AN105" s="31">
        <v>505294.578000971</v>
      </c>
      <c r="AO105" s="31">
        <f t="shared" si="10"/>
        <v>23534173.160040967</v>
      </c>
      <c r="AP105" s="31">
        <v>0</v>
      </c>
      <c r="AR105" s="42" t="s">
        <v>57</v>
      </c>
      <c r="AS105" s="42" t="s">
        <v>58</v>
      </c>
      <c r="AT105" s="43" t="s">
        <v>1276</v>
      </c>
      <c r="AU105" s="44">
        <v>34</v>
      </c>
      <c r="AV105" s="31">
        <v>19862306.541844577</v>
      </c>
      <c r="AW105" s="31">
        <v>266568.90000000002</v>
      </c>
      <c r="AX105" s="31">
        <v>126549.47000000002</v>
      </c>
      <c r="AY105" s="31">
        <v>66104.55</v>
      </c>
      <c r="AZ105" s="31">
        <v>1923095.0897337333</v>
      </c>
      <c r="BA105" s="31">
        <v>1337473.1313224225</v>
      </c>
      <c r="BB105" s="31">
        <v>514699.89464842831</v>
      </c>
      <c r="BC105" s="31">
        <f t="shared" si="11"/>
        <v>24096797.57754916</v>
      </c>
      <c r="BD105" s="31">
        <v>0</v>
      </c>
    </row>
    <row r="106" spans="2:56">
      <c r="B106" s="42" t="s">
        <v>325</v>
      </c>
      <c r="C106" s="42" t="s">
        <v>326</v>
      </c>
      <c r="D106" s="43" t="s">
        <v>1049</v>
      </c>
      <c r="E106" s="44">
        <v>34</v>
      </c>
      <c r="F106" s="31">
        <v>2651079.6708279261</v>
      </c>
      <c r="G106" s="31">
        <v>150451.59000000003</v>
      </c>
      <c r="H106" s="31">
        <v>0</v>
      </c>
      <c r="I106" s="31">
        <v>8477.5300000000007</v>
      </c>
      <c r="J106" s="31">
        <v>330567.63728040882</v>
      </c>
      <c r="K106" s="31">
        <v>523766.02213386068</v>
      </c>
      <c r="L106" s="31">
        <v>0</v>
      </c>
      <c r="M106" s="31">
        <f t="shared" si="8"/>
        <v>3749507.3902421952</v>
      </c>
      <c r="N106" s="31">
        <v>85164.939999999988</v>
      </c>
      <c r="P106" s="42" t="s">
        <v>325</v>
      </c>
      <c r="Q106" s="42" t="s">
        <v>326</v>
      </c>
      <c r="R106" s="43" t="s">
        <v>1050</v>
      </c>
      <c r="S106" s="44">
        <v>34</v>
      </c>
      <c r="T106" s="31">
        <v>2759365.697343932</v>
      </c>
      <c r="U106" s="31">
        <v>156029.22999999998</v>
      </c>
      <c r="V106" s="31">
        <v>0</v>
      </c>
      <c r="W106" s="31">
        <v>8612.7099999999991</v>
      </c>
      <c r="X106" s="31">
        <v>349942.13015589485</v>
      </c>
      <c r="Y106" s="31">
        <v>524922.19267910055</v>
      </c>
      <c r="Z106" s="31">
        <v>0</v>
      </c>
      <c r="AA106" s="31">
        <f t="shared" si="9"/>
        <v>3888149.4701789273</v>
      </c>
      <c r="AB106" s="31">
        <v>89277.51</v>
      </c>
      <c r="AD106" s="42" t="s">
        <v>325</v>
      </c>
      <c r="AE106" s="42" t="s">
        <v>326</v>
      </c>
      <c r="AF106" s="43" t="s">
        <v>1275</v>
      </c>
      <c r="AG106" s="44">
        <v>34</v>
      </c>
      <c r="AH106" s="31">
        <v>2807714.0462337313</v>
      </c>
      <c r="AI106" s="31">
        <v>158728.38</v>
      </c>
      <c r="AJ106" s="31">
        <v>0</v>
      </c>
      <c r="AK106" s="31">
        <v>8762.880000000001</v>
      </c>
      <c r="AL106" s="31">
        <v>356080.84345324407</v>
      </c>
      <c r="AM106" s="31">
        <v>524043.81489103218</v>
      </c>
      <c r="AN106" s="31">
        <v>0</v>
      </c>
      <c r="AO106" s="31">
        <f t="shared" si="10"/>
        <v>3946185.2045780076</v>
      </c>
      <c r="AP106" s="31">
        <v>90855.24</v>
      </c>
      <c r="AR106" s="42" t="s">
        <v>325</v>
      </c>
      <c r="AS106" s="42" t="s">
        <v>326</v>
      </c>
      <c r="AT106" s="43" t="s">
        <v>1276</v>
      </c>
      <c r="AU106" s="44">
        <v>34</v>
      </c>
      <c r="AV106" s="31">
        <v>2859494.4582847063</v>
      </c>
      <c r="AW106" s="31">
        <v>161619.18</v>
      </c>
      <c r="AX106" s="31">
        <v>0</v>
      </c>
      <c r="AY106" s="31">
        <v>8923.7000000000007</v>
      </c>
      <c r="AZ106" s="31">
        <v>362655.32006849616</v>
      </c>
      <c r="BA106" s="31">
        <v>524068.91139926272</v>
      </c>
      <c r="BB106" s="31">
        <v>0</v>
      </c>
      <c r="BC106" s="31">
        <f t="shared" si="11"/>
        <v>4009306.5497524659</v>
      </c>
      <c r="BD106" s="31">
        <v>92544.98</v>
      </c>
    </row>
    <row r="107" spans="2:56">
      <c r="B107" s="42" t="s">
        <v>143</v>
      </c>
      <c r="C107" s="42" t="s">
        <v>144</v>
      </c>
      <c r="D107" s="43" t="s">
        <v>1049</v>
      </c>
      <c r="E107" s="44">
        <v>34</v>
      </c>
      <c r="F107" s="31">
        <v>12407152.958058584</v>
      </c>
      <c r="G107" s="31">
        <v>748262.73</v>
      </c>
      <c r="H107" s="31">
        <v>153277.43000000002</v>
      </c>
      <c r="I107" s="31">
        <v>44044.12</v>
      </c>
      <c r="J107" s="31">
        <v>1946280.1728292361</v>
      </c>
      <c r="K107" s="31">
        <v>1082271.6148795504</v>
      </c>
      <c r="L107" s="31">
        <v>1277782.3855893856</v>
      </c>
      <c r="M107" s="31">
        <f t="shared" si="8"/>
        <v>18111303.121356759</v>
      </c>
      <c r="N107" s="31">
        <v>452231.71</v>
      </c>
      <c r="P107" s="42" t="s">
        <v>143</v>
      </c>
      <c r="Q107" s="42" t="s">
        <v>144</v>
      </c>
      <c r="R107" s="43" t="s">
        <v>1050</v>
      </c>
      <c r="S107" s="44">
        <v>34</v>
      </c>
      <c r="T107" s="31">
        <v>13922700.350753985</v>
      </c>
      <c r="U107" s="31">
        <v>833195.23999999987</v>
      </c>
      <c r="V107" s="31">
        <v>163226.51999999999</v>
      </c>
      <c r="W107" s="31">
        <v>48563.270000000004</v>
      </c>
      <c r="X107" s="31">
        <v>2069086.046244124</v>
      </c>
      <c r="Y107" s="31">
        <v>1084473.6655442494</v>
      </c>
      <c r="Z107" s="31">
        <v>1369468.8135518325</v>
      </c>
      <c r="AA107" s="31">
        <f t="shared" si="9"/>
        <v>19964783.586094189</v>
      </c>
      <c r="AB107" s="31">
        <v>474069.68000000005</v>
      </c>
      <c r="AD107" s="42" t="s">
        <v>143</v>
      </c>
      <c r="AE107" s="42" t="s">
        <v>144</v>
      </c>
      <c r="AF107" s="43" t="s">
        <v>1275</v>
      </c>
      <c r="AG107" s="44">
        <v>34</v>
      </c>
      <c r="AH107" s="31">
        <v>14065067.730355924</v>
      </c>
      <c r="AI107" s="31">
        <v>842436.08000000007</v>
      </c>
      <c r="AJ107" s="31">
        <v>166072.36000000002</v>
      </c>
      <c r="AK107" s="31">
        <v>49093.23</v>
      </c>
      <c r="AL107" s="31">
        <v>2102571.5116488775</v>
      </c>
      <c r="AM107" s="31">
        <v>1082800.7009456991</v>
      </c>
      <c r="AN107" s="31">
        <v>1393563.7462662109</v>
      </c>
      <c r="AO107" s="31">
        <f t="shared" si="10"/>
        <v>20184052.889216714</v>
      </c>
      <c r="AP107" s="31">
        <v>482447.52999999997</v>
      </c>
      <c r="AR107" s="42" t="s">
        <v>143</v>
      </c>
      <c r="AS107" s="42" t="s">
        <v>144</v>
      </c>
      <c r="AT107" s="43" t="s">
        <v>1276</v>
      </c>
      <c r="AU107" s="44">
        <v>34</v>
      </c>
      <c r="AV107" s="31">
        <v>14213803.963950433</v>
      </c>
      <c r="AW107" s="31">
        <v>849822.58</v>
      </c>
      <c r="AX107" s="31">
        <v>169120.24000000002</v>
      </c>
      <c r="AY107" s="31">
        <v>49564.169999999991</v>
      </c>
      <c r="AZ107" s="31">
        <v>2144038.1055308459</v>
      </c>
      <c r="BA107" s="31">
        <v>1082848.4999342293</v>
      </c>
      <c r="BB107" s="31">
        <v>1419368.6048991098</v>
      </c>
      <c r="BC107" s="31">
        <f t="shared" si="11"/>
        <v>20419986.364314616</v>
      </c>
      <c r="BD107" s="31">
        <v>491420.20000000007</v>
      </c>
    </row>
    <row r="108" spans="2:56">
      <c r="B108" s="42" t="s">
        <v>1315</v>
      </c>
      <c r="C108" s="42" t="s">
        <v>1316</v>
      </c>
      <c r="D108" s="43" t="s">
        <v>1049</v>
      </c>
      <c r="E108" s="44">
        <v>34</v>
      </c>
      <c r="F108" s="31">
        <v>2829301.0156453652</v>
      </c>
      <c r="G108" s="31">
        <v>94937.479999999981</v>
      </c>
      <c r="H108" s="31">
        <v>41488.01</v>
      </c>
      <c r="I108" s="31">
        <v>0</v>
      </c>
      <c r="J108" s="31">
        <v>28920.383798683935</v>
      </c>
      <c r="K108" s="31">
        <v>78040.08</v>
      </c>
      <c r="L108" s="31">
        <v>0</v>
      </c>
      <c r="M108" s="31">
        <f t="shared" si="8"/>
        <v>3157063.8794440492</v>
      </c>
      <c r="N108" s="31">
        <v>84376.91</v>
      </c>
      <c r="P108" s="42" t="s">
        <v>1315</v>
      </c>
      <c r="Q108" s="42" t="s">
        <v>1316</v>
      </c>
      <c r="R108" s="43" t="s">
        <v>1050</v>
      </c>
      <c r="S108" s="44">
        <v>34</v>
      </c>
      <c r="T108" s="31">
        <v>4135922.1250385512</v>
      </c>
      <c r="U108" s="31">
        <v>138437.63999999998</v>
      </c>
      <c r="V108" s="31">
        <v>44149.709999999992</v>
      </c>
      <c r="W108" s="31">
        <v>0</v>
      </c>
      <c r="X108" s="31">
        <v>30619.794185310271</v>
      </c>
      <c r="Y108" s="31">
        <v>78040.08</v>
      </c>
      <c r="Z108" s="31">
        <v>0</v>
      </c>
      <c r="AA108" s="31">
        <f t="shared" si="9"/>
        <v>4515672.7392238611</v>
      </c>
      <c r="AB108" s="31">
        <v>88503.389999999985</v>
      </c>
      <c r="AD108" s="42" t="s">
        <v>1315</v>
      </c>
      <c r="AE108" s="42" t="s">
        <v>1316</v>
      </c>
      <c r="AF108" s="43" t="s">
        <v>1275</v>
      </c>
      <c r="AG108" s="44">
        <v>34</v>
      </c>
      <c r="AH108" s="31">
        <v>5242871.7224928532</v>
      </c>
      <c r="AI108" s="31">
        <v>175057.91</v>
      </c>
      <c r="AJ108" s="31">
        <v>44929.829999999994</v>
      </c>
      <c r="AK108" s="31">
        <v>0</v>
      </c>
      <c r="AL108" s="31">
        <v>31162.093655951376</v>
      </c>
      <c r="AM108" s="31">
        <v>78040.08</v>
      </c>
      <c r="AN108" s="31">
        <v>0</v>
      </c>
      <c r="AO108" s="31">
        <f t="shared" si="10"/>
        <v>5662148.0961488048</v>
      </c>
      <c r="AP108" s="31">
        <v>90086.459999999992</v>
      </c>
      <c r="AR108" s="42" t="s">
        <v>1315</v>
      </c>
      <c r="AS108" s="42" t="s">
        <v>1316</v>
      </c>
      <c r="AT108" s="43" t="s">
        <v>1276</v>
      </c>
      <c r="AU108" s="44">
        <v>34</v>
      </c>
      <c r="AV108" s="31">
        <v>6128420.1123895925</v>
      </c>
      <c r="AW108" s="31">
        <v>213241.07</v>
      </c>
      <c r="AX108" s="31">
        <v>45765.33</v>
      </c>
      <c r="AY108" s="31">
        <v>0</v>
      </c>
      <c r="AZ108" s="31">
        <v>30408.777482395159</v>
      </c>
      <c r="BA108" s="31">
        <v>78040.08</v>
      </c>
      <c r="BB108" s="31">
        <v>0</v>
      </c>
      <c r="BC108" s="31">
        <f t="shared" si="11"/>
        <v>6587657.2998719877</v>
      </c>
      <c r="BD108" s="31">
        <v>91781.93</v>
      </c>
    </row>
    <row r="109" spans="2:56">
      <c r="B109" s="42" t="s">
        <v>1230</v>
      </c>
      <c r="C109" s="42" t="s">
        <v>1231</v>
      </c>
      <c r="D109" s="43" t="s">
        <v>1049</v>
      </c>
      <c r="E109" s="44">
        <v>34</v>
      </c>
      <c r="F109" s="31">
        <v>3416333.7281552423</v>
      </c>
      <c r="G109" s="31">
        <v>124438.09000000001</v>
      </c>
      <c r="H109" s="31">
        <v>66171.27</v>
      </c>
      <c r="I109" s="31">
        <v>9485.3000000000011</v>
      </c>
      <c r="J109" s="31">
        <v>102749.24875892818</v>
      </c>
      <c r="K109" s="31">
        <v>38906.230000000003</v>
      </c>
      <c r="L109" s="31">
        <v>0</v>
      </c>
      <c r="M109" s="31">
        <f t="shared" si="8"/>
        <v>3758083.8669141703</v>
      </c>
      <c r="N109" s="31">
        <v>0</v>
      </c>
      <c r="P109" s="42" t="s">
        <v>1230</v>
      </c>
      <c r="Q109" s="42" t="s">
        <v>1231</v>
      </c>
      <c r="R109" s="43" t="s">
        <v>1050</v>
      </c>
      <c r="S109" s="44">
        <v>34</v>
      </c>
      <c r="T109" s="31">
        <v>4306792.6353451125</v>
      </c>
      <c r="U109" s="31">
        <v>154965.21000000002</v>
      </c>
      <c r="V109" s="31">
        <v>70395.05</v>
      </c>
      <c r="W109" s="31">
        <v>11772.550000000001</v>
      </c>
      <c r="X109" s="31">
        <v>108778.14380401419</v>
      </c>
      <c r="Y109" s="31">
        <v>38906.230000000003</v>
      </c>
      <c r="Z109" s="31">
        <v>0</v>
      </c>
      <c r="AA109" s="31">
        <f t="shared" si="9"/>
        <v>4691609.8191491272</v>
      </c>
      <c r="AB109" s="31">
        <v>0</v>
      </c>
      <c r="AD109" s="42" t="s">
        <v>1230</v>
      </c>
      <c r="AE109" s="42" t="s">
        <v>1231</v>
      </c>
      <c r="AF109" s="43" t="s">
        <v>1275</v>
      </c>
      <c r="AG109" s="44">
        <v>34</v>
      </c>
      <c r="AH109" s="31">
        <v>5459934.7103326758</v>
      </c>
      <c r="AI109" s="31">
        <v>196476.46</v>
      </c>
      <c r="AJ109" s="31">
        <v>71646.070000000007</v>
      </c>
      <c r="AK109" s="31">
        <v>15038.33</v>
      </c>
      <c r="AL109" s="31">
        <v>110713.90852899017</v>
      </c>
      <c r="AM109" s="31">
        <v>38906.230000000003</v>
      </c>
      <c r="AN109" s="31">
        <v>0</v>
      </c>
      <c r="AO109" s="31">
        <f t="shared" si="10"/>
        <v>5892715.7088616667</v>
      </c>
      <c r="AP109" s="31">
        <v>0</v>
      </c>
      <c r="AR109" s="42" t="s">
        <v>1230</v>
      </c>
      <c r="AS109" s="42" t="s">
        <v>1231</v>
      </c>
      <c r="AT109" s="43" t="s">
        <v>1276</v>
      </c>
      <c r="AU109" s="44">
        <v>34</v>
      </c>
      <c r="AV109" s="31">
        <v>6381120.6465721317</v>
      </c>
      <c r="AW109" s="31">
        <v>239632.81999999998</v>
      </c>
      <c r="AX109" s="31">
        <v>72985.88</v>
      </c>
      <c r="AY109" s="31">
        <v>18308.740000000002</v>
      </c>
      <c r="AZ109" s="31">
        <v>108018.94854974013</v>
      </c>
      <c r="BA109" s="31">
        <v>38906.230000000003</v>
      </c>
      <c r="BB109" s="31">
        <v>0</v>
      </c>
      <c r="BC109" s="31">
        <f t="shared" si="11"/>
        <v>6858973.2651218725</v>
      </c>
      <c r="BD109" s="31">
        <v>0</v>
      </c>
    </row>
    <row r="110" spans="2:56">
      <c r="B110" s="42" t="s">
        <v>1032</v>
      </c>
      <c r="C110" s="42" t="s">
        <v>1042</v>
      </c>
      <c r="D110" s="43" t="s">
        <v>1049</v>
      </c>
      <c r="E110" s="44">
        <v>34</v>
      </c>
      <c r="F110" s="31">
        <v>6776490.6034356095</v>
      </c>
      <c r="G110" s="31">
        <v>280493.86</v>
      </c>
      <c r="H110" s="31">
        <v>241423.45</v>
      </c>
      <c r="I110" s="31">
        <v>19422.27</v>
      </c>
      <c r="J110" s="31">
        <v>273094.09519344935</v>
      </c>
      <c r="K110" s="31">
        <v>87788.41</v>
      </c>
      <c r="L110" s="31">
        <v>0</v>
      </c>
      <c r="M110" s="31">
        <f t="shared" si="8"/>
        <v>7878129.7986290595</v>
      </c>
      <c r="N110" s="31">
        <v>199417.11000000002</v>
      </c>
      <c r="P110" s="42" t="s">
        <v>1032</v>
      </c>
      <c r="Q110" s="42" t="s">
        <v>1042</v>
      </c>
      <c r="R110" s="43" t="s">
        <v>1050</v>
      </c>
      <c r="S110" s="44">
        <v>34</v>
      </c>
      <c r="T110" s="31">
        <v>6944835.184088381</v>
      </c>
      <c r="U110" s="31">
        <v>299399.53000000003</v>
      </c>
      <c r="V110" s="31">
        <v>256833.81999999998</v>
      </c>
      <c r="W110" s="31">
        <v>20541.889999999996</v>
      </c>
      <c r="X110" s="31">
        <v>276599.52796401409</v>
      </c>
      <c r="Y110" s="31">
        <v>87788.41</v>
      </c>
      <c r="Z110" s="31">
        <v>0</v>
      </c>
      <c r="AA110" s="31">
        <f t="shared" si="9"/>
        <v>8095221.0620523961</v>
      </c>
      <c r="AB110" s="31">
        <v>209222.7</v>
      </c>
      <c r="AD110" s="42" t="s">
        <v>1032</v>
      </c>
      <c r="AE110" s="42" t="s">
        <v>1042</v>
      </c>
      <c r="AF110" s="43" t="s">
        <v>1275</v>
      </c>
      <c r="AG110" s="44">
        <v>34</v>
      </c>
      <c r="AH110" s="31">
        <v>7336346.2085602488</v>
      </c>
      <c r="AI110" s="31">
        <v>318981.36000000004</v>
      </c>
      <c r="AJ110" s="31">
        <v>261398.06</v>
      </c>
      <c r="AK110" s="31">
        <v>21885.039999999994</v>
      </c>
      <c r="AL110" s="31">
        <v>279004.32269199472</v>
      </c>
      <c r="AM110" s="31">
        <v>87788.41</v>
      </c>
      <c r="AN110" s="31">
        <v>0</v>
      </c>
      <c r="AO110" s="31">
        <f t="shared" si="10"/>
        <v>8518387.8712522443</v>
      </c>
      <c r="AP110" s="31">
        <v>212984.47000000003</v>
      </c>
      <c r="AR110" s="42" t="s">
        <v>1032</v>
      </c>
      <c r="AS110" s="42" t="s">
        <v>1042</v>
      </c>
      <c r="AT110" s="43" t="s">
        <v>1276</v>
      </c>
      <c r="AU110" s="44">
        <v>34</v>
      </c>
      <c r="AV110" s="31">
        <v>7200407.0704849083</v>
      </c>
      <c r="AW110" s="31">
        <v>310328.33000000013</v>
      </c>
      <c r="AX110" s="31">
        <v>266286.38</v>
      </c>
      <c r="AY110" s="31">
        <v>21297.929999999997</v>
      </c>
      <c r="AZ110" s="31">
        <v>286791.57761701109</v>
      </c>
      <c r="BA110" s="31">
        <v>87788.41</v>
      </c>
      <c r="BB110" s="31">
        <v>0</v>
      </c>
      <c r="BC110" s="31">
        <f t="shared" si="11"/>
        <v>8389913.038101919</v>
      </c>
      <c r="BD110" s="31">
        <v>217013.34000000003</v>
      </c>
    </row>
    <row r="111" spans="2:56">
      <c r="B111" s="42" t="s">
        <v>107</v>
      </c>
      <c r="C111" s="42" t="s">
        <v>108</v>
      </c>
      <c r="D111" s="43" t="s">
        <v>1049</v>
      </c>
      <c r="E111" s="44">
        <v>34</v>
      </c>
      <c r="F111" s="31">
        <v>2811344.7319271076</v>
      </c>
      <c r="G111" s="31">
        <v>116151.74999999999</v>
      </c>
      <c r="H111" s="31">
        <v>0</v>
      </c>
      <c r="I111" s="31">
        <v>0</v>
      </c>
      <c r="J111" s="31">
        <v>214940.78815853238</v>
      </c>
      <c r="K111" s="31">
        <v>0</v>
      </c>
      <c r="L111" s="31">
        <v>0</v>
      </c>
      <c r="M111" s="31">
        <f t="shared" si="8"/>
        <v>3208503.4400856397</v>
      </c>
      <c r="N111" s="31">
        <v>66066.17</v>
      </c>
      <c r="P111" s="42" t="s">
        <v>107</v>
      </c>
      <c r="Q111" s="42" t="s">
        <v>108</v>
      </c>
      <c r="R111" s="43" t="s">
        <v>1050</v>
      </c>
      <c r="S111" s="44">
        <v>34</v>
      </c>
      <c r="T111" s="31">
        <v>2900464.2680266481</v>
      </c>
      <c r="U111" s="31">
        <v>118978.05999999998</v>
      </c>
      <c r="V111" s="31">
        <v>0</v>
      </c>
      <c r="W111" s="31">
        <v>0</v>
      </c>
      <c r="X111" s="31">
        <v>227517.70419112151</v>
      </c>
      <c r="Y111" s="31">
        <v>0</v>
      </c>
      <c r="Z111" s="31">
        <v>0</v>
      </c>
      <c r="AA111" s="31">
        <f t="shared" si="9"/>
        <v>3316216.4922177698</v>
      </c>
      <c r="AB111" s="31">
        <v>69256.460000000006</v>
      </c>
      <c r="AD111" s="42" t="s">
        <v>107</v>
      </c>
      <c r="AE111" s="42" t="s">
        <v>108</v>
      </c>
      <c r="AF111" s="43" t="s">
        <v>1275</v>
      </c>
      <c r="AG111" s="44">
        <v>34</v>
      </c>
      <c r="AH111" s="31">
        <v>2951459.0087642679</v>
      </c>
      <c r="AI111" s="31">
        <v>121036.00000000003</v>
      </c>
      <c r="AJ111" s="31">
        <v>0</v>
      </c>
      <c r="AK111" s="31">
        <v>0</v>
      </c>
      <c r="AL111" s="31">
        <v>231514.05996914514</v>
      </c>
      <c r="AM111" s="31">
        <v>0</v>
      </c>
      <c r="AN111" s="31">
        <v>0</v>
      </c>
      <c r="AO111" s="31">
        <f t="shared" si="10"/>
        <v>3374489.4387334133</v>
      </c>
      <c r="AP111" s="31">
        <v>70480.37</v>
      </c>
      <c r="AR111" s="42" t="s">
        <v>107</v>
      </c>
      <c r="AS111" s="42" t="s">
        <v>108</v>
      </c>
      <c r="AT111" s="43" t="s">
        <v>1276</v>
      </c>
      <c r="AU111" s="44">
        <v>34</v>
      </c>
      <c r="AV111" s="31">
        <v>3006048.4446316217</v>
      </c>
      <c r="AW111" s="31">
        <v>123240.04000000001</v>
      </c>
      <c r="AX111" s="31">
        <v>0</v>
      </c>
      <c r="AY111" s="31">
        <v>0</v>
      </c>
      <c r="AZ111" s="31">
        <v>235794.13657478424</v>
      </c>
      <c r="BA111" s="31">
        <v>0</v>
      </c>
      <c r="BB111" s="31">
        <v>0</v>
      </c>
      <c r="BC111" s="31">
        <f t="shared" si="11"/>
        <v>3436873.8012064062</v>
      </c>
      <c r="BD111" s="31">
        <v>71791.179999999993</v>
      </c>
    </row>
    <row r="112" spans="2:56">
      <c r="B112" s="42" t="s">
        <v>435</v>
      </c>
      <c r="C112" s="42" t="s">
        <v>436</v>
      </c>
      <c r="D112" s="43" t="s">
        <v>1049</v>
      </c>
      <c r="E112" s="44">
        <v>34</v>
      </c>
      <c r="F112" s="31">
        <v>591608.562918109</v>
      </c>
      <c r="G112" s="31">
        <v>8189.84</v>
      </c>
      <c r="H112" s="31">
        <v>0</v>
      </c>
      <c r="I112" s="31">
        <v>0</v>
      </c>
      <c r="J112" s="31">
        <v>34133.292587697448</v>
      </c>
      <c r="K112" s="31">
        <v>81182.484782710977</v>
      </c>
      <c r="L112" s="31">
        <v>0</v>
      </c>
      <c r="M112" s="31">
        <f t="shared" si="8"/>
        <v>715114.1802885175</v>
      </c>
      <c r="N112" s="31">
        <v>0</v>
      </c>
      <c r="P112" s="42" t="s">
        <v>435</v>
      </c>
      <c r="Q112" s="42" t="s">
        <v>436</v>
      </c>
      <c r="R112" s="43" t="s">
        <v>1050</v>
      </c>
      <c r="S112" s="44">
        <v>34</v>
      </c>
      <c r="T112" s="31">
        <v>652719.13116138126</v>
      </c>
      <c r="U112" s="31">
        <v>9173.9699999999993</v>
      </c>
      <c r="V112" s="31">
        <v>0</v>
      </c>
      <c r="W112" s="31">
        <v>0</v>
      </c>
      <c r="X112" s="31">
        <v>34375.040305105285</v>
      </c>
      <c r="Y112" s="31">
        <v>81325.817610995728</v>
      </c>
      <c r="Z112" s="31">
        <v>0</v>
      </c>
      <c r="AA112" s="31">
        <f t="shared" si="9"/>
        <v>777593.95907748223</v>
      </c>
      <c r="AB112" s="31">
        <v>0</v>
      </c>
      <c r="AD112" s="42" t="s">
        <v>435</v>
      </c>
      <c r="AE112" s="42" t="s">
        <v>436</v>
      </c>
      <c r="AF112" s="43" t="s">
        <v>1275</v>
      </c>
      <c r="AG112" s="44">
        <v>34</v>
      </c>
      <c r="AH112" s="31">
        <v>669790.70109190815</v>
      </c>
      <c r="AI112" s="31">
        <v>9336.0699999999979</v>
      </c>
      <c r="AJ112" s="31">
        <v>0</v>
      </c>
      <c r="AK112" s="31">
        <v>0</v>
      </c>
      <c r="AL112" s="31">
        <v>32987.811788180174</v>
      </c>
      <c r="AM112" s="31">
        <v>81214.613587686239</v>
      </c>
      <c r="AN112" s="31">
        <v>0</v>
      </c>
      <c r="AO112" s="31">
        <f t="shared" si="10"/>
        <v>793329.19646777445</v>
      </c>
      <c r="AP112" s="31">
        <v>0</v>
      </c>
      <c r="AR112" s="42" t="s">
        <v>435</v>
      </c>
      <c r="AS112" s="42" t="s">
        <v>436</v>
      </c>
      <c r="AT112" s="43" t="s">
        <v>1276</v>
      </c>
      <c r="AU112" s="44">
        <v>34</v>
      </c>
      <c r="AV112" s="31">
        <v>684990.58496564324</v>
      </c>
      <c r="AW112" s="31">
        <v>9509.6899999999987</v>
      </c>
      <c r="AX112" s="31">
        <v>0</v>
      </c>
      <c r="AY112" s="31">
        <v>0</v>
      </c>
      <c r="AZ112" s="31">
        <v>32371.353537832372</v>
      </c>
      <c r="BA112" s="31">
        <v>81217.790845495081</v>
      </c>
      <c r="BB112" s="31">
        <v>0</v>
      </c>
      <c r="BC112" s="31">
        <f t="shared" si="11"/>
        <v>808089.41934897064</v>
      </c>
      <c r="BD112" s="31">
        <v>0</v>
      </c>
    </row>
    <row r="113" spans="2:56">
      <c r="B113" s="42" t="s">
        <v>211</v>
      </c>
      <c r="C113" s="42" t="s">
        <v>212</v>
      </c>
      <c r="D113" s="43" t="s">
        <v>1049</v>
      </c>
      <c r="E113" s="44">
        <v>34</v>
      </c>
      <c r="F113" s="31">
        <v>175489078.77735424</v>
      </c>
      <c r="G113" s="31">
        <v>1409696.12</v>
      </c>
      <c r="H113" s="31">
        <v>2558094.8299999996</v>
      </c>
      <c r="I113" s="31">
        <v>625352.22</v>
      </c>
      <c r="J113" s="31">
        <v>16798344.095787942</v>
      </c>
      <c r="K113" s="31">
        <v>9139448.7948959023</v>
      </c>
      <c r="L113" s="31">
        <v>11565238.856265876</v>
      </c>
      <c r="M113" s="31">
        <f t="shared" si="8"/>
        <v>217585253.69430396</v>
      </c>
      <c r="N113" s="31">
        <v>0</v>
      </c>
      <c r="P113" s="42" t="s">
        <v>211</v>
      </c>
      <c r="Q113" s="42" t="s">
        <v>212</v>
      </c>
      <c r="R113" s="43" t="s">
        <v>1050</v>
      </c>
      <c r="S113" s="44">
        <v>34</v>
      </c>
      <c r="T113" s="31">
        <v>189661165.32640806</v>
      </c>
      <c r="U113" s="31">
        <v>1513013</v>
      </c>
      <c r="V113" s="31">
        <v>2721381.2200000007</v>
      </c>
      <c r="W113" s="31">
        <v>671155.52</v>
      </c>
      <c r="X113" s="31">
        <v>17898505.672067821</v>
      </c>
      <c r="Y113" s="31">
        <v>9161890.7789817005</v>
      </c>
      <c r="Z113" s="31">
        <v>12269632.063746141</v>
      </c>
      <c r="AA113" s="31">
        <f t="shared" si="9"/>
        <v>233896743.58120376</v>
      </c>
      <c r="AB113" s="31">
        <v>0</v>
      </c>
      <c r="AD113" s="42" t="s">
        <v>211</v>
      </c>
      <c r="AE113" s="42" t="s">
        <v>212</v>
      </c>
      <c r="AF113" s="43" t="s">
        <v>1275</v>
      </c>
      <c r="AG113" s="44">
        <v>34</v>
      </c>
      <c r="AH113" s="31">
        <v>208698691.57834536</v>
      </c>
      <c r="AI113" s="31">
        <v>1661308.17</v>
      </c>
      <c r="AJ113" s="31">
        <v>2769743.52</v>
      </c>
      <c r="AK113" s="31">
        <v>737000.70000000007</v>
      </c>
      <c r="AL113" s="31">
        <v>18177436.970903467</v>
      </c>
      <c r="AM113" s="31">
        <v>9144316.0802551545</v>
      </c>
      <c r="AN113" s="31">
        <v>12488635.872907465</v>
      </c>
      <c r="AO113" s="31">
        <f t="shared" si="10"/>
        <v>253677132.89241141</v>
      </c>
      <c r="AP113" s="31">
        <v>0</v>
      </c>
      <c r="AR113" s="42" t="s">
        <v>211</v>
      </c>
      <c r="AS113" s="42" t="s">
        <v>212</v>
      </c>
      <c r="AT113" s="43" t="s">
        <v>1276</v>
      </c>
      <c r="AU113" s="44">
        <v>34</v>
      </c>
      <c r="AV113" s="31">
        <v>209742868.85709667</v>
      </c>
      <c r="AW113" s="31">
        <v>1664725.7600000002</v>
      </c>
      <c r="AX113" s="31">
        <v>2821539.54</v>
      </c>
      <c r="AY113" s="31">
        <v>738452.71000000008</v>
      </c>
      <c r="AZ113" s="31">
        <v>18581240.721134942</v>
      </c>
      <c r="BA113" s="31">
        <v>9144818.2145044841</v>
      </c>
      <c r="BB113" s="31">
        <v>12723182.419068042</v>
      </c>
      <c r="BC113" s="31">
        <f t="shared" si="11"/>
        <v>255416828.22180411</v>
      </c>
      <c r="BD113" s="31">
        <v>0</v>
      </c>
    </row>
    <row r="114" spans="2:56">
      <c r="B114" s="42" t="s">
        <v>117</v>
      </c>
      <c r="C114" s="42" t="s">
        <v>118</v>
      </c>
      <c r="D114" s="43" t="s">
        <v>1049</v>
      </c>
      <c r="E114" s="44">
        <v>34</v>
      </c>
      <c r="F114" s="31">
        <v>1840082.8244621293</v>
      </c>
      <c r="G114" s="31">
        <v>16040.26</v>
      </c>
      <c r="H114" s="31">
        <v>0</v>
      </c>
      <c r="I114" s="31">
        <v>0</v>
      </c>
      <c r="J114" s="31">
        <v>44726.633909913333</v>
      </c>
      <c r="K114" s="31">
        <v>96319.635234996982</v>
      </c>
      <c r="L114" s="31">
        <v>33412.072526612319</v>
      </c>
      <c r="M114" s="31">
        <f t="shared" si="8"/>
        <v>2040669.6461336517</v>
      </c>
      <c r="N114" s="31">
        <v>10088.219999999999</v>
      </c>
      <c r="P114" s="42" t="s">
        <v>117</v>
      </c>
      <c r="Q114" s="42" t="s">
        <v>118</v>
      </c>
      <c r="R114" s="43" t="s">
        <v>1050</v>
      </c>
      <c r="S114" s="44">
        <v>34</v>
      </c>
      <c r="T114" s="31">
        <v>1977127.1280579325</v>
      </c>
      <c r="U114" s="31">
        <v>17025.07</v>
      </c>
      <c r="V114" s="31">
        <v>0</v>
      </c>
      <c r="W114" s="31">
        <v>0</v>
      </c>
      <c r="X114" s="31">
        <v>46928.389113677236</v>
      </c>
      <c r="Y114" s="31">
        <v>96487.761521108085</v>
      </c>
      <c r="Z114" s="31">
        <v>35784.947804822106</v>
      </c>
      <c r="AA114" s="31">
        <f t="shared" si="9"/>
        <v>2183930.8764975402</v>
      </c>
      <c r="AB114" s="31">
        <v>10577.58</v>
      </c>
      <c r="AD114" s="42" t="s">
        <v>117</v>
      </c>
      <c r="AE114" s="42" t="s">
        <v>118</v>
      </c>
      <c r="AF114" s="43" t="s">
        <v>1275</v>
      </c>
      <c r="AG114" s="44">
        <v>34</v>
      </c>
      <c r="AH114" s="31">
        <v>2011350.1363389823</v>
      </c>
      <c r="AI114" s="31">
        <v>17320.88</v>
      </c>
      <c r="AJ114" s="31">
        <v>0</v>
      </c>
      <c r="AK114" s="31">
        <v>0</v>
      </c>
      <c r="AL114" s="31">
        <v>47755.044337393352</v>
      </c>
      <c r="AM114" s="31">
        <v>96360.030888358087</v>
      </c>
      <c r="AN114" s="31">
        <v>36416.365744266543</v>
      </c>
      <c r="AO114" s="31">
        <f t="shared" si="10"/>
        <v>2219967.777309</v>
      </c>
      <c r="AP114" s="31">
        <v>10765.32</v>
      </c>
      <c r="AR114" s="42" t="s">
        <v>117</v>
      </c>
      <c r="AS114" s="42" t="s">
        <v>118</v>
      </c>
      <c r="AT114" s="43" t="s">
        <v>1276</v>
      </c>
      <c r="AU114" s="44">
        <v>34</v>
      </c>
      <c r="AV114" s="31">
        <v>2048007.6804602067</v>
      </c>
      <c r="AW114" s="31">
        <v>17637.699999999997</v>
      </c>
      <c r="AX114" s="31">
        <v>0</v>
      </c>
      <c r="AY114" s="31">
        <v>0</v>
      </c>
      <c r="AZ114" s="31">
        <v>48640.389385138609</v>
      </c>
      <c r="BA114" s="31">
        <v>96363.680335008074</v>
      </c>
      <c r="BB114" s="31">
        <v>37092.593528611535</v>
      </c>
      <c r="BC114" s="31">
        <f t="shared" si="11"/>
        <v>2258708.4337089648</v>
      </c>
      <c r="BD114" s="31">
        <v>10966.390000000001</v>
      </c>
    </row>
    <row r="115" spans="2:56">
      <c r="B115" s="42" t="s">
        <v>83</v>
      </c>
      <c r="C115" s="42" t="s">
        <v>84</v>
      </c>
      <c r="D115" s="43" t="s">
        <v>1049</v>
      </c>
      <c r="E115" s="44">
        <v>34</v>
      </c>
      <c r="F115" s="31">
        <v>8676480.8764516823</v>
      </c>
      <c r="G115" s="31">
        <v>209794.2</v>
      </c>
      <c r="H115" s="31">
        <v>0</v>
      </c>
      <c r="I115" s="31">
        <v>0</v>
      </c>
      <c r="J115" s="31">
        <v>1390202.5460782247</v>
      </c>
      <c r="K115" s="31">
        <v>0</v>
      </c>
      <c r="L115" s="31">
        <v>486266.41722639167</v>
      </c>
      <c r="M115" s="31">
        <f t="shared" si="8"/>
        <v>10762744.039756296</v>
      </c>
      <c r="N115" s="31">
        <v>0</v>
      </c>
      <c r="P115" s="42" t="s">
        <v>83</v>
      </c>
      <c r="Q115" s="42" t="s">
        <v>84</v>
      </c>
      <c r="R115" s="43" t="s">
        <v>1050</v>
      </c>
      <c r="S115" s="44">
        <v>34</v>
      </c>
      <c r="T115" s="31">
        <v>9420576.9123931788</v>
      </c>
      <c r="U115" s="31">
        <v>229949.12999999998</v>
      </c>
      <c r="V115" s="31">
        <v>0</v>
      </c>
      <c r="W115" s="31">
        <v>0</v>
      </c>
      <c r="X115" s="31">
        <v>1466513.0852422328</v>
      </c>
      <c r="Y115" s="31">
        <v>0</v>
      </c>
      <c r="Z115" s="31">
        <v>516156.13375337387</v>
      </c>
      <c r="AA115" s="31">
        <f t="shared" si="9"/>
        <v>11633195.261388786</v>
      </c>
      <c r="AB115" s="31">
        <v>0</v>
      </c>
      <c r="AD115" s="42" t="s">
        <v>83</v>
      </c>
      <c r="AE115" s="42" t="s">
        <v>84</v>
      </c>
      <c r="AF115" s="43" t="s">
        <v>1275</v>
      </c>
      <c r="AG115" s="44">
        <v>34</v>
      </c>
      <c r="AH115" s="31">
        <v>9365748.4742065798</v>
      </c>
      <c r="AI115" s="31">
        <v>228468.26</v>
      </c>
      <c r="AJ115" s="31">
        <v>0</v>
      </c>
      <c r="AK115" s="31">
        <v>0</v>
      </c>
      <c r="AL115" s="31">
        <v>1493245.0908452859</v>
      </c>
      <c r="AM115" s="31">
        <v>0</v>
      </c>
      <c r="AN115" s="31">
        <v>525238.64894824452</v>
      </c>
      <c r="AO115" s="31">
        <f t="shared" si="10"/>
        <v>11612700.474000111</v>
      </c>
      <c r="AP115" s="31">
        <v>0</v>
      </c>
      <c r="AR115" s="42" t="s">
        <v>83</v>
      </c>
      <c r="AS115" s="42" t="s">
        <v>84</v>
      </c>
      <c r="AT115" s="43" t="s">
        <v>1276</v>
      </c>
      <c r="AU115" s="44">
        <v>34</v>
      </c>
      <c r="AV115" s="31">
        <v>9658176.5678916536</v>
      </c>
      <c r="AW115" s="31">
        <v>235134.11</v>
      </c>
      <c r="AX115" s="31">
        <v>0</v>
      </c>
      <c r="AY115" s="31">
        <v>0</v>
      </c>
      <c r="AZ115" s="31">
        <v>1522879.3024453665</v>
      </c>
      <c r="BA115" s="31">
        <v>0</v>
      </c>
      <c r="BB115" s="31">
        <v>534965.7128369509</v>
      </c>
      <c r="BC115" s="31">
        <f t="shared" si="11"/>
        <v>11951155.693173971</v>
      </c>
      <c r="BD115" s="31">
        <v>0</v>
      </c>
    </row>
    <row r="116" spans="2:56">
      <c r="B116" s="42" t="s">
        <v>101</v>
      </c>
      <c r="C116" s="42" t="s">
        <v>102</v>
      </c>
      <c r="D116" s="43" t="s">
        <v>1049</v>
      </c>
      <c r="E116" s="44">
        <v>34</v>
      </c>
      <c r="F116" s="31">
        <v>422854.39426809677</v>
      </c>
      <c r="G116" s="31">
        <v>19585.979999999996</v>
      </c>
      <c r="H116" s="31">
        <v>0</v>
      </c>
      <c r="I116" s="31">
        <v>0</v>
      </c>
      <c r="J116" s="31">
        <v>33719.872121661443</v>
      </c>
      <c r="K116" s="31">
        <v>92293.884993765387</v>
      </c>
      <c r="L116" s="31">
        <v>0</v>
      </c>
      <c r="M116" s="31">
        <f t="shared" si="8"/>
        <v>577906.08138352353</v>
      </c>
      <c r="N116" s="31">
        <v>9451.9500000000025</v>
      </c>
      <c r="P116" s="42" t="s">
        <v>101</v>
      </c>
      <c r="Q116" s="42" t="s">
        <v>102</v>
      </c>
      <c r="R116" s="43" t="s">
        <v>1050</v>
      </c>
      <c r="S116" s="44">
        <v>34</v>
      </c>
      <c r="T116" s="31">
        <v>452945.03397021489</v>
      </c>
      <c r="U116" s="31">
        <v>18835.260000000002</v>
      </c>
      <c r="V116" s="31">
        <v>0</v>
      </c>
      <c r="W116" s="31">
        <v>0</v>
      </c>
      <c r="X116" s="31">
        <v>35725.118211646353</v>
      </c>
      <c r="Y116" s="31">
        <v>92503.739174045812</v>
      </c>
      <c r="Z116" s="31">
        <v>0</v>
      </c>
      <c r="AA116" s="31">
        <f t="shared" si="9"/>
        <v>609917.53135590709</v>
      </c>
      <c r="AB116" s="31">
        <v>9908.3799999999992</v>
      </c>
      <c r="AD116" s="42" t="s">
        <v>101</v>
      </c>
      <c r="AE116" s="42" t="s">
        <v>102</v>
      </c>
      <c r="AF116" s="43" t="s">
        <v>1275</v>
      </c>
      <c r="AG116" s="44">
        <v>34</v>
      </c>
      <c r="AH116" s="31">
        <v>464656.45440786087</v>
      </c>
      <c r="AI116" s="31">
        <v>19161.300000000003</v>
      </c>
      <c r="AJ116" s="31">
        <v>0</v>
      </c>
      <c r="AK116" s="31">
        <v>0</v>
      </c>
      <c r="AL116" s="31">
        <v>35017.583232564313</v>
      </c>
      <c r="AM116" s="31">
        <v>92344.30659599707</v>
      </c>
      <c r="AN116" s="31">
        <v>0</v>
      </c>
      <c r="AO116" s="31">
        <f t="shared" si="10"/>
        <v>621263.12423642224</v>
      </c>
      <c r="AP116" s="31">
        <v>10083.479999999998</v>
      </c>
      <c r="AR116" s="42" t="s">
        <v>101</v>
      </c>
      <c r="AS116" s="42" t="s">
        <v>102</v>
      </c>
      <c r="AT116" s="43" t="s">
        <v>1276</v>
      </c>
      <c r="AU116" s="44">
        <v>34</v>
      </c>
      <c r="AV116" s="31">
        <v>474127.68581061787</v>
      </c>
      <c r="AW116" s="31">
        <v>19510.489999999998</v>
      </c>
      <c r="AX116" s="31">
        <v>0</v>
      </c>
      <c r="AY116" s="31">
        <v>0</v>
      </c>
      <c r="AZ116" s="31">
        <v>35340.427150269606</v>
      </c>
      <c r="BA116" s="31">
        <v>92348.86181251274</v>
      </c>
      <c r="BB116" s="31">
        <v>0</v>
      </c>
      <c r="BC116" s="31">
        <f t="shared" si="11"/>
        <v>631598.48477340024</v>
      </c>
      <c r="BD116" s="31">
        <v>10271.020000000002</v>
      </c>
    </row>
    <row r="117" spans="2:56">
      <c r="B117" s="42" t="s">
        <v>87</v>
      </c>
      <c r="C117" s="42" t="s">
        <v>88</v>
      </c>
      <c r="D117" s="43" t="s">
        <v>1049</v>
      </c>
      <c r="E117" s="44">
        <v>34</v>
      </c>
      <c r="F117" s="31">
        <v>38075234.968129143</v>
      </c>
      <c r="G117" s="31">
        <v>1828707.7300000004</v>
      </c>
      <c r="H117" s="31">
        <v>455252.43</v>
      </c>
      <c r="I117" s="31">
        <v>134276.08000000002</v>
      </c>
      <c r="J117" s="31">
        <v>6040227.4989624843</v>
      </c>
      <c r="K117" s="31">
        <v>2338852.3585415701</v>
      </c>
      <c r="L117" s="31">
        <v>3741895.8956274572</v>
      </c>
      <c r="M117" s="31">
        <f t="shared" si="8"/>
        <v>53909558.30126065</v>
      </c>
      <c r="N117" s="31">
        <v>1295111.3399999999</v>
      </c>
      <c r="P117" s="42" t="s">
        <v>87</v>
      </c>
      <c r="Q117" s="42" t="s">
        <v>88</v>
      </c>
      <c r="R117" s="43" t="s">
        <v>1050</v>
      </c>
      <c r="S117" s="44">
        <v>34</v>
      </c>
      <c r="T117" s="31">
        <v>38382948.490293816</v>
      </c>
      <c r="U117" s="31">
        <v>1856655.4600000002</v>
      </c>
      <c r="V117" s="31">
        <v>484802.48999999993</v>
      </c>
      <c r="W117" s="31">
        <v>134794.18000000002</v>
      </c>
      <c r="X117" s="31">
        <v>6392157.4517725883</v>
      </c>
      <c r="Y117" s="31">
        <v>2344558.9682656163</v>
      </c>
      <c r="Z117" s="31">
        <v>4010175.1706484379</v>
      </c>
      <c r="AA117" s="31">
        <f t="shared" si="9"/>
        <v>54963743.620980456</v>
      </c>
      <c r="AB117" s="31">
        <v>1357651.41</v>
      </c>
      <c r="AD117" s="42" t="s">
        <v>87</v>
      </c>
      <c r="AE117" s="42" t="s">
        <v>88</v>
      </c>
      <c r="AF117" s="43" t="s">
        <v>1275</v>
      </c>
      <c r="AG117" s="44">
        <v>34</v>
      </c>
      <c r="AH117" s="31">
        <v>39085008.498981163</v>
      </c>
      <c r="AI117" s="31">
        <v>1888703.7599999998</v>
      </c>
      <c r="AJ117" s="31">
        <v>493254.95</v>
      </c>
      <c r="AK117" s="31">
        <v>137144.30000000002</v>
      </c>
      <c r="AL117" s="31">
        <v>6504446.6548200836</v>
      </c>
      <c r="AM117" s="31">
        <v>2340223.4839831167</v>
      </c>
      <c r="AN117" s="31">
        <v>4080731.8907024744</v>
      </c>
      <c r="AO117" s="31">
        <f t="shared" si="10"/>
        <v>55911157.588486828</v>
      </c>
      <c r="AP117" s="31">
        <v>1381644.0499999998</v>
      </c>
      <c r="AR117" s="42" t="s">
        <v>87</v>
      </c>
      <c r="AS117" s="42" t="s">
        <v>88</v>
      </c>
      <c r="AT117" s="43" t="s">
        <v>1276</v>
      </c>
      <c r="AU117" s="44">
        <v>34</v>
      </c>
      <c r="AV117" s="31">
        <v>39835067.245935842</v>
      </c>
      <c r="AW117" s="31">
        <v>1923027.4600000002</v>
      </c>
      <c r="AX117" s="31">
        <v>502307.51999999996</v>
      </c>
      <c r="AY117" s="31">
        <v>139661.27000000002</v>
      </c>
      <c r="AZ117" s="31">
        <v>6624707.8929185793</v>
      </c>
      <c r="BA117" s="31">
        <v>2340347.3549626167</v>
      </c>
      <c r="BB117" s="31">
        <v>4156295.7532091467</v>
      </c>
      <c r="BC117" s="31">
        <f t="shared" si="11"/>
        <v>56928754.67702619</v>
      </c>
      <c r="BD117" s="31">
        <v>1407340.18</v>
      </c>
    </row>
    <row r="118" spans="2:56">
      <c r="B118" s="42" t="s">
        <v>17</v>
      </c>
      <c r="C118" s="42" t="s">
        <v>18</v>
      </c>
      <c r="D118" s="43" t="s">
        <v>1049</v>
      </c>
      <c r="E118" s="44">
        <v>34</v>
      </c>
      <c r="F118" s="31">
        <v>145935856.89833647</v>
      </c>
      <c r="G118" s="31">
        <v>6712245.0599999987</v>
      </c>
      <c r="H118" s="31">
        <v>4057905.09</v>
      </c>
      <c r="I118" s="31">
        <v>514010.41000000003</v>
      </c>
      <c r="J118" s="31">
        <v>20616345.450004131</v>
      </c>
      <c r="K118" s="31">
        <v>8176657.1704723854</v>
      </c>
      <c r="L118" s="31">
        <v>14377796.381748267</v>
      </c>
      <c r="M118" s="31">
        <f t="shared" si="8"/>
        <v>204009742.05056125</v>
      </c>
      <c r="N118" s="31">
        <v>3618925.5900000003</v>
      </c>
      <c r="P118" s="42" t="s">
        <v>17</v>
      </c>
      <c r="Q118" s="42" t="s">
        <v>18</v>
      </c>
      <c r="R118" s="43" t="s">
        <v>1050</v>
      </c>
      <c r="S118" s="44">
        <v>34</v>
      </c>
      <c r="T118" s="31">
        <v>161586141.02330846</v>
      </c>
      <c r="U118" s="31">
        <v>7386142.2599999998</v>
      </c>
      <c r="V118" s="31">
        <v>4321300.22</v>
      </c>
      <c r="W118" s="31">
        <v>560967.94000000006</v>
      </c>
      <c r="X118" s="31">
        <v>21879687.011449683</v>
      </c>
      <c r="Y118" s="31">
        <v>8194317.4985113451</v>
      </c>
      <c r="Z118" s="31">
        <v>15405092.864794165</v>
      </c>
      <c r="AA118" s="31">
        <f t="shared" si="9"/>
        <v>223127329.93806365</v>
      </c>
      <c r="AB118" s="31">
        <v>3793681.1199999996</v>
      </c>
      <c r="AD118" s="42" t="s">
        <v>17</v>
      </c>
      <c r="AE118" s="42" t="s">
        <v>18</v>
      </c>
      <c r="AF118" s="43" t="s">
        <v>1275</v>
      </c>
      <c r="AG118" s="44">
        <v>34</v>
      </c>
      <c r="AH118" s="31">
        <v>165980492.99642295</v>
      </c>
      <c r="AI118" s="31">
        <v>7572718.8499999996</v>
      </c>
      <c r="AJ118" s="31">
        <v>4396641.42</v>
      </c>
      <c r="AK118" s="31">
        <v>575288.14</v>
      </c>
      <c r="AL118" s="31">
        <v>22273850.772137344</v>
      </c>
      <c r="AM118" s="31">
        <v>8180900.4123009332</v>
      </c>
      <c r="AN118" s="31">
        <v>15676023.309054477</v>
      </c>
      <c r="AO118" s="31">
        <f t="shared" si="10"/>
        <v>228516639.58991566</v>
      </c>
      <c r="AP118" s="31">
        <v>3860723.69</v>
      </c>
      <c r="AR118" s="42" t="s">
        <v>17</v>
      </c>
      <c r="AS118" s="42" t="s">
        <v>18</v>
      </c>
      <c r="AT118" s="43" t="s">
        <v>1276</v>
      </c>
      <c r="AU118" s="44">
        <v>34</v>
      </c>
      <c r="AV118" s="31">
        <v>169869452.67778063</v>
      </c>
      <c r="AW118" s="31">
        <v>7742683.0300000012</v>
      </c>
      <c r="AX118" s="31">
        <v>4477331.82</v>
      </c>
      <c r="AY118" s="31">
        <v>588211.56999999995</v>
      </c>
      <c r="AZ118" s="31">
        <v>22681915.392207354</v>
      </c>
      <c r="BA118" s="31">
        <v>8181283.7576212296</v>
      </c>
      <c r="BB118" s="31">
        <v>15966180.984012064</v>
      </c>
      <c r="BC118" s="31">
        <f t="shared" si="11"/>
        <v>233439585.52162126</v>
      </c>
      <c r="BD118" s="31">
        <v>3932526.2899999996</v>
      </c>
    </row>
    <row r="119" spans="2:56">
      <c r="B119" s="42" t="s">
        <v>217</v>
      </c>
      <c r="C119" s="42" t="s">
        <v>218</v>
      </c>
      <c r="D119" s="43" t="s">
        <v>1049</v>
      </c>
      <c r="E119" s="44">
        <v>34</v>
      </c>
      <c r="F119" s="31">
        <v>225744409.21730953</v>
      </c>
      <c r="G119" s="31">
        <v>9323936.0800000019</v>
      </c>
      <c r="H119" s="31">
        <v>10181226.449999999</v>
      </c>
      <c r="I119" s="31">
        <v>802862.82000000018</v>
      </c>
      <c r="J119" s="31">
        <v>28806044.02240482</v>
      </c>
      <c r="K119" s="31">
        <v>12813779.656117178</v>
      </c>
      <c r="L119" s="31">
        <v>16320506.984031525</v>
      </c>
      <c r="M119" s="31">
        <f t="shared" si="8"/>
        <v>307806871.73986304</v>
      </c>
      <c r="N119" s="31">
        <v>3814106.5100000002</v>
      </c>
      <c r="P119" s="42" t="s">
        <v>217</v>
      </c>
      <c r="Q119" s="42" t="s">
        <v>218</v>
      </c>
      <c r="R119" s="43" t="s">
        <v>1050</v>
      </c>
      <c r="S119" s="44">
        <v>34</v>
      </c>
      <c r="T119" s="31">
        <v>269473507.02066153</v>
      </c>
      <c r="U119" s="31">
        <v>11073580.66</v>
      </c>
      <c r="V119" s="31">
        <v>10831106.84</v>
      </c>
      <c r="W119" s="31">
        <v>948771.48</v>
      </c>
      <c r="X119" s="31">
        <v>30328847.993140791</v>
      </c>
      <c r="Y119" s="31">
        <v>12843481.218460964</v>
      </c>
      <c r="Z119" s="31">
        <v>17486005.706526041</v>
      </c>
      <c r="AA119" s="31">
        <f t="shared" si="9"/>
        <v>356986951.68878937</v>
      </c>
      <c r="AB119" s="31">
        <v>4001650.77</v>
      </c>
      <c r="AD119" s="42" t="s">
        <v>217</v>
      </c>
      <c r="AE119" s="42" t="s">
        <v>218</v>
      </c>
      <c r="AF119" s="43" t="s">
        <v>1275</v>
      </c>
      <c r="AG119" s="44">
        <v>34</v>
      </c>
      <c r="AH119" s="31">
        <v>276019033.21563077</v>
      </c>
      <c r="AI119" s="31">
        <v>11324311.060000002</v>
      </c>
      <c r="AJ119" s="31">
        <v>11023588.949999999</v>
      </c>
      <c r="AK119" s="31">
        <v>970278.29</v>
      </c>
      <c r="AL119" s="31">
        <v>30894462.962781277</v>
      </c>
      <c r="AM119" s="31">
        <v>12820221.420757512</v>
      </c>
      <c r="AN119" s="31">
        <v>17798097.910714872</v>
      </c>
      <c r="AO119" s="31">
        <f t="shared" si="10"/>
        <v>364923593.37988442</v>
      </c>
      <c r="AP119" s="31">
        <v>4073599.5700000003</v>
      </c>
      <c r="AR119" s="42" t="s">
        <v>217</v>
      </c>
      <c r="AS119" s="42" t="s">
        <v>218</v>
      </c>
      <c r="AT119" s="43" t="s">
        <v>1276</v>
      </c>
      <c r="AU119" s="44">
        <v>34</v>
      </c>
      <c r="AV119" s="31">
        <v>280793978.90522063</v>
      </c>
      <c r="AW119" s="31">
        <v>11523995.49</v>
      </c>
      <c r="AX119" s="31">
        <v>11229737.280000001</v>
      </c>
      <c r="AY119" s="31">
        <v>987426.76</v>
      </c>
      <c r="AZ119" s="31">
        <v>31451313.961599402</v>
      </c>
      <c r="BA119" s="31">
        <v>12820885.986406183</v>
      </c>
      <c r="BB119" s="31">
        <v>18132339.441544108</v>
      </c>
      <c r="BC119" s="31">
        <f t="shared" si="11"/>
        <v>371090334.55477035</v>
      </c>
      <c r="BD119" s="31">
        <v>4150656.73</v>
      </c>
    </row>
    <row r="120" spans="2:56">
      <c r="B120" s="42" t="s">
        <v>505</v>
      </c>
      <c r="C120" s="42" t="s">
        <v>506</v>
      </c>
      <c r="D120" s="43" t="s">
        <v>1049</v>
      </c>
      <c r="E120" s="44">
        <v>34</v>
      </c>
      <c r="F120" s="31">
        <v>8800805.2128784116</v>
      </c>
      <c r="G120" s="31">
        <v>364588.17999999993</v>
      </c>
      <c r="H120" s="31">
        <v>0</v>
      </c>
      <c r="I120" s="31">
        <v>30466.409999999996</v>
      </c>
      <c r="J120" s="31">
        <v>1318287.4116704226</v>
      </c>
      <c r="K120" s="31">
        <v>955215.39119258686</v>
      </c>
      <c r="L120" s="31">
        <v>501262.22054942674</v>
      </c>
      <c r="M120" s="31">
        <f t="shared" si="8"/>
        <v>12185503.856290847</v>
      </c>
      <c r="N120" s="31">
        <v>214879.03</v>
      </c>
      <c r="P120" s="42" t="s">
        <v>505</v>
      </c>
      <c r="Q120" s="42" t="s">
        <v>506</v>
      </c>
      <c r="R120" s="43" t="s">
        <v>1050</v>
      </c>
      <c r="S120" s="44">
        <v>34</v>
      </c>
      <c r="T120" s="31">
        <v>9718071.9281703532</v>
      </c>
      <c r="U120" s="31">
        <v>401503.14</v>
      </c>
      <c r="V120" s="31">
        <v>0</v>
      </c>
      <c r="W120" s="31">
        <v>33295.010000000009</v>
      </c>
      <c r="X120" s="31">
        <v>1398337.3572451111</v>
      </c>
      <c r="Y120" s="31">
        <v>957342.92831775546</v>
      </c>
      <c r="Z120" s="31">
        <v>537273.90415968269</v>
      </c>
      <c r="AA120" s="31">
        <f t="shared" si="9"/>
        <v>13271126.797892902</v>
      </c>
      <c r="AB120" s="31">
        <v>225302.53</v>
      </c>
      <c r="AD120" s="42" t="s">
        <v>505</v>
      </c>
      <c r="AE120" s="42" t="s">
        <v>506</v>
      </c>
      <c r="AF120" s="43" t="s">
        <v>1275</v>
      </c>
      <c r="AG120" s="44">
        <v>34</v>
      </c>
      <c r="AH120" s="31">
        <v>9876852.3105139416</v>
      </c>
      <c r="AI120" s="31">
        <v>406627.12</v>
      </c>
      <c r="AJ120" s="31">
        <v>0</v>
      </c>
      <c r="AK120" s="31">
        <v>33769.03</v>
      </c>
      <c r="AL120" s="31">
        <v>1423747.2641672175</v>
      </c>
      <c r="AM120" s="31">
        <v>955726.57391248806</v>
      </c>
      <c r="AN120" s="31">
        <v>546752.91073533637</v>
      </c>
      <c r="AO120" s="31">
        <f t="shared" si="10"/>
        <v>13472776.579328982</v>
      </c>
      <c r="AP120" s="31">
        <v>229301.36999999997</v>
      </c>
      <c r="AR120" s="42" t="s">
        <v>505</v>
      </c>
      <c r="AS120" s="42" t="s">
        <v>506</v>
      </c>
      <c r="AT120" s="43" t="s">
        <v>1276</v>
      </c>
      <c r="AU120" s="44">
        <v>34</v>
      </c>
      <c r="AV120" s="31">
        <v>10116017.032616895</v>
      </c>
      <c r="AW120" s="31">
        <v>415628.61</v>
      </c>
      <c r="AX120" s="31">
        <v>0</v>
      </c>
      <c r="AY120" s="31">
        <v>34502.97</v>
      </c>
      <c r="AZ120" s="31">
        <v>1448950.017074384</v>
      </c>
      <c r="BA120" s="31">
        <v>955772.75546692428</v>
      </c>
      <c r="BB120" s="31">
        <v>556904.61406286119</v>
      </c>
      <c r="BC120" s="31">
        <f t="shared" si="11"/>
        <v>13761360.119221063</v>
      </c>
      <c r="BD120" s="31">
        <v>233584.12000000002</v>
      </c>
    </row>
    <row r="121" spans="2:56">
      <c r="B121" s="42" t="s">
        <v>21</v>
      </c>
      <c r="C121" s="42" t="s">
        <v>22</v>
      </c>
      <c r="D121" s="43" t="s">
        <v>1049</v>
      </c>
      <c r="E121" s="44">
        <v>34</v>
      </c>
      <c r="F121" s="31">
        <v>11371052.95961256</v>
      </c>
      <c r="G121" s="31">
        <v>611453.14000000013</v>
      </c>
      <c r="H121" s="31">
        <v>543925.31999999995</v>
      </c>
      <c r="I121" s="31">
        <v>39074.549999999996</v>
      </c>
      <c r="J121" s="31">
        <v>1644237.8240866514</v>
      </c>
      <c r="K121" s="31">
        <v>731585.67916059343</v>
      </c>
      <c r="L121" s="31">
        <v>756149.24569961138</v>
      </c>
      <c r="M121" s="31">
        <f t="shared" si="8"/>
        <v>16094752.738559416</v>
      </c>
      <c r="N121" s="31">
        <v>397274.01999999996</v>
      </c>
      <c r="P121" s="42" t="s">
        <v>21</v>
      </c>
      <c r="Q121" s="42" t="s">
        <v>22</v>
      </c>
      <c r="R121" s="43" t="s">
        <v>1050</v>
      </c>
      <c r="S121" s="44">
        <v>34</v>
      </c>
      <c r="T121" s="31">
        <v>11548931.629350906</v>
      </c>
      <c r="U121" s="31">
        <v>627548.26</v>
      </c>
      <c r="V121" s="31">
        <v>579231.05999999994</v>
      </c>
      <c r="W121" s="31">
        <v>39639.25</v>
      </c>
      <c r="X121" s="31">
        <v>1729209.9105518963</v>
      </c>
      <c r="Y121" s="31">
        <v>732805.16263942537</v>
      </c>
      <c r="Z121" s="31">
        <v>810381.94246004941</v>
      </c>
      <c r="AA121" s="31">
        <f t="shared" si="9"/>
        <v>16484205.325002277</v>
      </c>
      <c r="AB121" s="31">
        <v>416458.10999999993</v>
      </c>
      <c r="AD121" s="42" t="s">
        <v>21</v>
      </c>
      <c r="AE121" s="42" t="s">
        <v>22</v>
      </c>
      <c r="AF121" s="43" t="s">
        <v>1275</v>
      </c>
      <c r="AG121" s="44">
        <v>34</v>
      </c>
      <c r="AH121" s="31">
        <v>11952640.446944041</v>
      </c>
      <c r="AI121" s="31">
        <v>645992.18000000005</v>
      </c>
      <c r="AJ121" s="31">
        <v>589329.87</v>
      </c>
      <c r="AK121" s="31">
        <v>40858.240000000005</v>
      </c>
      <c r="AL121" s="31">
        <v>1766875.7840195154</v>
      </c>
      <c r="AM121" s="31">
        <v>731878.68409771495</v>
      </c>
      <c r="AN121" s="31">
        <v>824640.06671580556</v>
      </c>
      <c r="AO121" s="31">
        <f t="shared" si="10"/>
        <v>16976033.101777073</v>
      </c>
      <c r="AP121" s="31">
        <v>423817.82999999996</v>
      </c>
      <c r="AR121" s="42" t="s">
        <v>21</v>
      </c>
      <c r="AS121" s="42" t="s">
        <v>22</v>
      </c>
      <c r="AT121" s="43" t="s">
        <v>1276</v>
      </c>
      <c r="AU121" s="44">
        <v>34</v>
      </c>
      <c r="AV121" s="31">
        <v>12109961.635943759</v>
      </c>
      <c r="AW121" s="31">
        <v>654840.93999999994</v>
      </c>
      <c r="AX121" s="31">
        <v>600145.67999999993</v>
      </c>
      <c r="AY121" s="31">
        <v>41393.069999999992</v>
      </c>
      <c r="AZ121" s="31">
        <v>1798314.0678295826</v>
      </c>
      <c r="BA121" s="31">
        <v>731905.15491319238</v>
      </c>
      <c r="BB121" s="31">
        <v>839910.03595792037</v>
      </c>
      <c r="BC121" s="31">
        <f t="shared" si="11"/>
        <v>17208170.674644455</v>
      </c>
      <c r="BD121" s="31">
        <v>431700.08999999991</v>
      </c>
    </row>
    <row r="122" spans="2:56">
      <c r="B122" s="42" t="s">
        <v>247</v>
      </c>
      <c r="C122" s="42" t="s">
        <v>248</v>
      </c>
      <c r="D122" s="43" t="s">
        <v>1049</v>
      </c>
      <c r="E122" s="44">
        <v>34</v>
      </c>
      <c r="F122" s="31">
        <v>4839700.7607450802</v>
      </c>
      <c r="G122" s="31">
        <v>171109.43</v>
      </c>
      <c r="H122" s="31">
        <v>54567.93</v>
      </c>
      <c r="I122" s="31">
        <v>0</v>
      </c>
      <c r="J122" s="31">
        <v>724780.13679404021</v>
      </c>
      <c r="K122" s="31">
        <v>411250.93964047218</v>
      </c>
      <c r="L122" s="31">
        <v>491623.43671317084</v>
      </c>
      <c r="M122" s="31">
        <f t="shared" si="8"/>
        <v>6693032.6338927625</v>
      </c>
      <c r="N122" s="31">
        <v>0</v>
      </c>
      <c r="P122" s="42" t="s">
        <v>247</v>
      </c>
      <c r="Q122" s="42" t="s">
        <v>248</v>
      </c>
      <c r="R122" s="43" t="s">
        <v>1050</v>
      </c>
      <c r="S122" s="44">
        <v>34</v>
      </c>
      <c r="T122" s="31">
        <v>4994932.7049312005</v>
      </c>
      <c r="U122" s="31">
        <v>178480.36</v>
      </c>
      <c r="V122" s="31">
        <v>58109.88</v>
      </c>
      <c r="W122" s="31">
        <v>0</v>
      </c>
      <c r="X122" s="31">
        <v>766431.50133790553</v>
      </c>
      <c r="Y122" s="31">
        <v>412086.90550276212</v>
      </c>
      <c r="Z122" s="31">
        <v>521842.58742467326</v>
      </c>
      <c r="AA122" s="31">
        <f t="shared" si="9"/>
        <v>6931883.939196541</v>
      </c>
      <c r="AB122" s="31">
        <v>0</v>
      </c>
      <c r="AD122" s="42" t="s">
        <v>247</v>
      </c>
      <c r="AE122" s="42" t="s">
        <v>248</v>
      </c>
      <c r="AF122" s="43" t="s">
        <v>1275</v>
      </c>
      <c r="AG122" s="44">
        <v>34</v>
      </c>
      <c r="AH122" s="31">
        <v>5049646.4552986678</v>
      </c>
      <c r="AI122" s="31">
        <v>179269.45</v>
      </c>
      <c r="AJ122" s="31">
        <v>59123.009999999995</v>
      </c>
      <c r="AK122" s="31">
        <v>0</v>
      </c>
      <c r="AL122" s="31">
        <v>785652.95975776936</v>
      </c>
      <c r="AM122" s="31">
        <v>411451.7969125614</v>
      </c>
      <c r="AN122" s="31">
        <v>531025.25404810754</v>
      </c>
      <c r="AO122" s="31">
        <f t="shared" si="10"/>
        <v>7016168.9260171056</v>
      </c>
      <c r="AP122" s="31">
        <v>0</v>
      </c>
      <c r="AR122" s="42" t="s">
        <v>247</v>
      </c>
      <c r="AS122" s="42" t="s">
        <v>248</v>
      </c>
      <c r="AT122" s="43" t="s">
        <v>1276</v>
      </c>
      <c r="AU122" s="44">
        <v>34</v>
      </c>
      <c r="AV122" s="31">
        <v>5096461.1617383547</v>
      </c>
      <c r="AW122" s="31">
        <v>178366.46999999997</v>
      </c>
      <c r="AX122" s="31">
        <v>60208.09</v>
      </c>
      <c r="AY122" s="31">
        <v>0</v>
      </c>
      <c r="AZ122" s="31">
        <v>802009.40874642588</v>
      </c>
      <c r="BA122" s="31">
        <v>411469.94287228142</v>
      </c>
      <c r="BB122" s="31">
        <v>540859.57672080561</v>
      </c>
      <c r="BC122" s="31">
        <f t="shared" si="11"/>
        <v>7089374.6500778673</v>
      </c>
      <c r="BD122" s="31">
        <v>0</v>
      </c>
    </row>
    <row r="123" spans="2:56">
      <c r="B123" s="42" t="s">
        <v>261</v>
      </c>
      <c r="C123" s="42" t="s">
        <v>262</v>
      </c>
      <c r="D123" s="43" t="s">
        <v>1049</v>
      </c>
      <c r="E123" s="44">
        <v>34</v>
      </c>
      <c r="F123" s="31">
        <v>2001218.9268738618</v>
      </c>
      <c r="G123" s="31">
        <v>30970.840000000004</v>
      </c>
      <c r="H123" s="31">
        <v>0</v>
      </c>
      <c r="I123" s="31">
        <v>2723.82</v>
      </c>
      <c r="J123" s="31">
        <v>116007.66203102519</v>
      </c>
      <c r="K123" s="31">
        <v>95501.994369712687</v>
      </c>
      <c r="L123" s="31">
        <v>0</v>
      </c>
      <c r="M123" s="31">
        <f t="shared" si="8"/>
        <v>2273358.7832745998</v>
      </c>
      <c r="N123" s="31">
        <v>26935.54</v>
      </c>
      <c r="P123" s="42" t="s">
        <v>261</v>
      </c>
      <c r="Q123" s="42" t="s">
        <v>262</v>
      </c>
      <c r="R123" s="43" t="s">
        <v>1050</v>
      </c>
      <c r="S123" s="44">
        <v>34</v>
      </c>
      <c r="T123" s="31">
        <v>2097934.2289187596</v>
      </c>
      <c r="U123" s="31">
        <v>27500.169999999995</v>
      </c>
      <c r="V123" s="31">
        <v>0</v>
      </c>
      <c r="W123" s="31">
        <v>2362.8599999999997</v>
      </c>
      <c r="X123" s="31">
        <v>122932.18411572796</v>
      </c>
      <c r="Y123" s="31">
        <v>95712.642575886624</v>
      </c>
      <c r="Z123" s="31">
        <v>0</v>
      </c>
      <c r="AA123" s="31">
        <f t="shared" si="9"/>
        <v>2374684.2356103738</v>
      </c>
      <c r="AB123" s="31">
        <v>28242.149999999998</v>
      </c>
      <c r="AD123" s="42" t="s">
        <v>261</v>
      </c>
      <c r="AE123" s="42" t="s">
        <v>262</v>
      </c>
      <c r="AF123" s="43" t="s">
        <v>1275</v>
      </c>
      <c r="AG123" s="44">
        <v>34</v>
      </c>
      <c r="AH123" s="31">
        <v>2133370.3771937676</v>
      </c>
      <c r="AI123" s="31">
        <v>26882.570000000007</v>
      </c>
      <c r="AJ123" s="31">
        <v>0</v>
      </c>
      <c r="AK123" s="31">
        <v>2294.98</v>
      </c>
      <c r="AL123" s="31">
        <v>124843.01823064315</v>
      </c>
      <c r="AM123" s="31">
        <v>95552.606752312495</v>
      </c>
      <c r="AN123" s="31">
        <v>0</v>
      </c>
      <c r="AO123" s="31">
        <f t="shared" si="10"/>
        <v>2411686.9621767229</v>
      </c>
      <c r="AP123" s="31">
        <v>28743.409999999996</v>
      </c>
      <c r="AR123" s="42" t="s">
        <v>261</v>
      </c>
      <c r="AS123" s="42" t="s">
        <v>262</v>
      </c>
      <c r="AT123" s="43" t="s">
        <v>1276</v>
      </c>
      <c r="AU123" s="44">
        <v>34</v>
      </c>
      <c r="AV123" s="31">
        <v>2171113.3723488245</v>
      </c>
      <c r="AW123" s="31">
        <v>26258.420000000006</v>
      </c>
      <c r="AX123" s="31">
        <v>0</v>
      </c>
      <c r="AY123" s="31">
        <v>2225.9899999999998</v>
      </c>
      <c r="AZ123" s="31">
        <v>126900.22297335454</v>
      </c>
      <c r="BA123" s="31">
        <v>95557.179204414613</v>
      </c>
      <c r="BB123" s="31">
        <v>0</v>
      </c>
      <c r="BC123" s="31">
        <f t="shared" si="11"/>
        <v>2451335.4445265937</v>
      </c>
      <c r="BD123" s="31">
        <v>29280.259999999995</v>
      </c>
    </row>
    <row r="124" spans="2:56">
      <c r="B124" s="42" t="s">
        <v>59</v>
      </c>
      <c r="C124" s="42" t="s">
        <v>60</v>
      </c>
      <c r="D124" s="43" t="s">
        <v>1049</v>
      </c>
      <c r="E124" s="44">
        <v>34</v>
      </c>
      <c r="F124" s="31">
        <v>14913763.567702662</v>
      </c>
      <c r="G124" s="31">
        <v>289068.68</v>
      </c>
      <c r="H124" s="31">
        <v>71577.909999999989</v>
      </c>
      <c r="I124" s="31">
        <v>51005.88</v>
      </c>
      <c r="J124" s="31">
        <v>2152277.0076281372</v>
      </c>
      <c r="K124" s="31">
        <v>0</v>
      </c>
      <c r="L124" s="31">
        <v>423526.18710599205</v>
      </c>
      <c r="M124" s="31">
        <f t="shared" si="8"/>
        <v>17901219.232436791</v>
      </c>
      <c r="N124" s="31">
        <v>0</v>
      </c>
      <c r="P124" s="42" t="s">
        <v>59</v>
      </c>
      <c r="Q124" s="42" t="s">
        <v>60</v>
      </c>
      <c r="R124" s="43" t="s">
        <v>1050</v>
      </c>
      <c r="S124" s="44">
        <v>34</v>
      </c>
      <c r="T124" s="31">
        <v>15959394.224376872</v>
      </c>
      <c r="U124" s="31">
        <v>310130.40999999997</v>
      </c>
      <c r="V124" s="31">
        <v>76178.31</v>
      </c>
      <c r="W124" s="31">
        <v>54735.549999999996</v>
      </c>
      <c r="X124" s="31">
        <v>2272820.6747215628</v>
      </c>
      <c r="Y124" s="31">
        <v>0</v>
      </c>
      <c r="Z124" s="31">
        <v>449437.66936190071</v>
      </c>
      <c r="AA124" s="31">
        <f t="shared" si="9"/>
        <v>19122696.838460337</v>
      </c>
      <c r="AB124" s="31">
        <v>0</v>
      </c>
      <c r="AD124" s="42" t="s">
        <v>59</v>
      </c>
      <c r="AE124" s="42" t="s">
        <v>60</v>
      </c>
      <c r="AF124" s="43" t="s">
        <v>1275</v>
      </c>
      <c r="AG124" s="44">
        <v>34</v>
      </c>
      <c r="AH124" s="31">
        <v>16610638.676512672</v>
      </c>
      <c r="AI124" s="31">
        <v>322375.13</v>
      </c>
      <c r="AJ124" s="31">
        <v>77521.63</v>
      </c>
      <c r="AK124" s="31">
        <v>56964.049999999988</v>
      </c>
      <c r="AL124" s="31">
        <v>2313531.7463743053</v>
      </c>
      <c r="AM124" s="31">
        <v>0</v>
      </c>
      <c r="AN124" s="31">
        <v>457407.06034308556</v>
      </c>
      <c r="AO124" s="31">
        <f t="shared" si="10"/>
        <v>19838438.293230064</v>
      </c>
      <c r="AP124" s="31">
        <v>0</v>
      </c>
      <c r="AR124" s="42" t="s">
        <v>59</v>
      </c>
      <c r="AS124" s="42" t="s">
        <v>60</v>
      </c>
      <c r="AT124" s="43" t="s">
        <v>1276</v>
      </c>
      <c r="AU124" s="44">
        <v>34</v>
      </c>
      <c r="AV124" s="31">
        <v>17081759.444818147</v>
      </c>
      <c r="AW124" s="31">
        <v>331165.42</v>
      </c>
      <c r="AX124" s="31">
        <v>78960.309999999983</v>
      </c>
      <c r="AY124" s="31">
        <v>58489.130000000005</v>
      </c>
      <c r="AZ124" s="31">
        <v>2356697.038182891</v>
      </c>
      <c r="BA124" s="31">
        <v>0</v>
      </c>
      <c r="BB124" s="31">
        <v>465942.02445933456</v>
      </c>
      <c r="BC124" s="31">
        <f t="shared" si="11"/>
        <v>20373013.367460374</v>
      </c>
      <c r="BD124" s="31">
        <v>0</v>
      </c>
    </row>
    <row r="125" spans="2:56">
      <c r="B125" s="42" t="s">
        <v>409</v>
      </c>
      <c r="C125" s="42" t="s">
        <v>410</v>
      </c>
      <c r="D125" s="43" t="s">
        <v>1049</v>
      </c>
      <c r="E125" s="44">
        <v>34</v>
      </c>
      <c r="F125" s="31">
        <v>5697579.4130249638</v>
      </c>
      <c r="G125" s="31">
        <v>238525.10000000003</v>
      </c>
      <c r="H125" s="31">
        <v>20460.89</v>
      </c>
      <c r="I125" s="31">
        <v>18459.28</v>
      </c>
      <c r="J125" s="31">
        <v>802992.76765904401</v>
      </c>
      <c r="K125" s="31">
        <v>580917.66512366582</v>
      </c>
      <c r="L125" s="31">
        <v>149238.444619491</v>
      </c>
      <c r="M125" s="31">
        <f t="shared" si="8"/>
        <v>7697325.6104271635</v>
      </c>
      <c r="N125" s="31">
        <v>189152.05</v>
      </c>
      <c r="P125" s="42" t="s">
        <v>409</v>
      </c>
      <c r="Q125" s="42" t="s">
        <v>410</v>
      </c>
      <c r="R125" s="43" t="s">
        <v>1050</v>
      </c>
      <c r="S125" s="44">
        <v>34</v>
      </c>
      <c r="T125" s="31">
        <v>6214965.1090779025</v>
      </c>
      <c r="U125" s="31">
        <v>260725.41000000003</v>
      </c>
      <c r="V125" s="31">
        <v>21769.090000000004</v>
      </c>
      <c r="W125" s="31">
        <v>19994.41</v>
      </c>
      <c r="X125" s="31">
        <v>854887.76845668023</v>
      </c>
      <c r="Y125" s="31">
        <v>581899.43980469299</v>
      </c>
      <c r="Z125" s="31">
        <v>159968.2314582566</v>
      </c>
      <c r="AA125" s="31">
        <f t="shared" si="9"/>
        <v>8312646.1087975334</v>
      </c>
      <c r="AB125" s="31">
        <v>198436.64999999997</v>
      </c>
      <c r="AD125" s="42" t="s">
        <v>409</v>
      </c>
      <c r="AE125" s="42" t="s">
        <v>410</v>
      </c>
      <c r="AF125" s="43" t="s">
        <v>1275</v>
      </c>
      <c r="AG125" s="44">
        <v>34</v>
      </c>
      <c r="AH125" s="31">
        <v>6503066.554345509</v>
      </c>
      <c r="AI125" s="31">
        <v>267114.45000000007</v>
      </c>
      <c r="AJ125" s="31">
        <v>22155.23</v>
      </c>
      <c r="AK125" s="31">
        <v>20469.510000000002</v>
      </c>
      <c r="AL125" s="31">
        <v>875561.53431560262</v>
      </c>
      <c r="AM125" s="31">
        <v>581137.73506600806</v>
      </c>
      <c r="AN125" s="31">
        <v>162817.42592896352</v>
      </c>
      <c r="AO125" s="31">
        <f t="shared" si="10"/>
        <v>8634320.9996560849</v>
      </c>
      <c r="AP125" s="31">
        <v>201998.55999999997</v>
      </c>
      <c r="AR125" s="42" t="s">
        <v>409</v>
      </c>
      <c r="AS125" s="42" t="s">
        <v>410</v>
      </c>
      <c r="AT125" s="43" t="s">
        <v>1276</v>
      </c>
      <c r="AU125" s="44">
        <v>34</v>
      </c>
      <c r="AV125" s="31">
        <v>6713054.8761648117</v>
      </c>
      <c r="AW125" s="31">
        <v>273405.69000000006</v>
      </c>
      <c r="AX125" s="31">
        <v>22568.800000000003</v>
      </c>
      <c r="AY125" s="31">
        <v>20974.269999999997</v>
      </c>
      <c r="AZ125" s="31">
        <v>901143.78000687121</v>
      </c>
      <c r="BA125" s="31">
        <v>581159.49805854203</v>
      </c>
      <c r="BB125" s="31">
        <v>165868.8272882906</v>
      </c>
      <c r="BC125" s="31">
        <f t="shared" si="11"/>
        <v>8883989.1015185155</v>
      </c>
      <c r="BD125" s="31">
        <v>205813.35999999996</v>
      </c>
    </row>
    <row r="126" spans="2:56">
      <c r="B126" s="42" t="s">
        <v>555</v>
      </c>
      <c r="C126" s="42" t="s">
        <v>556</v>
      </c>
      <c r="D126" s="43" t="s">
        <v>1049</v>
      </c>
      <c r="E126" s="44">
        <v>34</v>
      </c>
      <c r="F126" s="31">
        <v>1924304.0592740213</v>
      </c>
      <c r="G126" s="31">
        <v>21790.550000000003</v>
      </c>
      <c r="H126" s="31">
        <v>0</v>
      </c>
      <c r="I126" s="31">
        <v>2320.29</v>
      </c>
      <c r="J126" s="31">
        <v>115869.15710561308</v>
      </c>
      <c r="K126" s="31">
        <v>236903.10679434999</v>
      </c>
      <c r="L126" s="31">
        <v>33887.696309706771</v>
      </c>
      <c r="M126" s="31">
        <f t="shared" si="8"/>
        <v>2335074.8594836909</v>
      </c>
      <c r="N126" s="31">
        <v>0</v>
      </c>
      <c r="P126" s="42" t="s">
        <v>555</v>
      </c>
      <c r="Q126" s="42" t="s">
        <v>556</v>
      </c>
      <c r="R126" s="43" t="s">
        <v>1050</v>
      </c>
      <c r="S126" s="44">
        <v>34</v>
      </c>
      <c r="T126" s="31">
        <v>2037630.5223291002</v>
      </c>
      <c r="U126" s="31">
        <v>21265.84</v>
      </c>
      <c r="V126" s="31">
        <v>0</v>
      </c>
      <c r="W126" s="31">
        <v>2255.4699999999998</v>
      </c>
      <c r="X126" s="31">
        <v>122649.05757915444</v>
      </c>
      <c r="Y126" s="31">
        <v>237379.26103174576</v>
      </c>
      <c r="Z126" s="31">
        <v>35967.421804848003</v>
      </c>
      <c r="AA126" s="31">
        <f t="shared" si="9"/>
        <v>2457147.5727448487</v>
      </c>
      <c r="AB126" s="31">
        <v>0</v>
      </c>
      <c r="AD126" s="42" t="s">
        <v>555</v>
      </c>
      <c r="AE126" s="42" t="s">
        <v>556</v>
      </c>
      <c r="AF126" s="43" t="s">
        <v>1275</v>
      </c>
      <c r="AG126" s="44">
        <v>34</v>
      </c>
      <c r="AH126" s="31">
        <v>2073010.1505085581</v>
      </c>
      <c r="AI126" s="31">
        <v>21638.39</v>
      </c>
      <c r="AJ126" s="31">
        <v>0</v>
      </c>
      <c r="AK126" s="31">
        <v>2294.98</v>
      </c>
      <c r="AL126" s="31">
        <v>124809.18016539828</v>
      </c>
      <c r="AM126" s="31">
        <v>237017.51223305421</v>
      </c>
      <c r="AN126" s="31">
        <v>36602.092181485772</v>
      </c>
      <c r="AO126" s="31">
        <f t="shared" si="10"/>
        <v>2495372.3050884963</v>
      </c>
      <c r="AP126" s="31">
        <v>0</v>
      </c>
      <c r="AR126" s="42" t="s">
        <v>555</v>
      </c>
      <c r="AS126" s="42" t="s">
        <v>556</v>
      </c>
      <c r="AT126" s="43" t="s">
        <v>1276</v>
      </c>
      <c r="AU126" s="44">
        <v>34</v>
      </c>
      <c r="AV126" s="31">
        <v>2110905.5884825177</v>
      </c>
      <c r="AW126" s="31">
        <v>22037.39</v>
      </c>
      <c r="AX126" s="31">
        <v>0</v>
      </c>
      <c r="AY126" s="31">
        <v>2337.2999999999997</v>
      </c>
      <c r="AZ126" s="31">
        <v>127122.66008110534</v>
      </c>
      <c r="BA126" s="31">
        <v>237027.84791301683</v>
      </c>
      <c r="BB126" s="31">
        <v>37281.802986464798</v>
      </c>
      <c r="BC126" s="31">
        <f t="shared" si="11"/>
        <v>2536712.589463105</v>
      </c>
      <c r="BD126" s="31">
        <v>0</v>
      </c>
    </row>
    <row r="127" spans="2:56">
      <c r="B127" s="42" t="s">
        <v>35</v>
      </c>
      <c r="C127" s="42" t="s">
        <v>36</v>
      </c>
      <c r="D127" s="43" t="s">
        <v>1049</v>
      </c>
      <c r="E127" s="44">
        <v>34</v>
      </c>
      <c r="F127" s="31">
        <v>10140318.580616962</v>
      </c>
      <c r="G127" s="31">
        <v>478054.03000000009</v>
      </c>
      <c r="H127" s="31">
        <v>536617.13</v>
      </c>
      <c r="I127" s="31">
        <v>35176.82</v>
      </c>
      <c r="J127" s="31">
        <v>1156519.6690649325</v>
      </c>
      <c r="K127" s="31">
        <v>784745.92692644184</v>
      </c>
      <c r="L127" s="31">
        <v>898868.49133570888</v>
      </c>
      <c r="M127" s="31">
        <f t="shared" si="8"/>
        <v>14388207.807944044</v>
      </c>
      <c r="N127" s="31">
        <v>357907.16</v>
      </c>
      <c r="P127" s="42" t="s">
        <v>35</v>
      </c>
      <c r="Q127" s="42" t="s">
        <v>36</v>
      </c>
      <c r="R127" s="43" t="s">
        <v>1050</v>
      </c>
      <c r="S127" s="44">
        <v>34</v>
      </c>
      <c r="T127" s="31">
        <v>10823011.411710892</v>
      </c>
      <c r="U127" s="31">
        <v>509947.84000000014</v>
      </c>
      <c r="V127" s="31">
        <v>571448.48</v>
      </c>
      <c r="W127" s="31">
        <v>37148.82</v>
      </c>
      <c r="X127" s="31">
        <v>1228315.4823914012</v>
      </c>
      <c r="Y127" s="31">
        <v>786649.11670506059</v>
      </c>
      <c r="Z127" s="31">
        <v>963222.27985905414</v>
      </c>
      <c r="AA127" s="31">
        <f t="shared" si="9"/>
        <v>15294933.690666409</v>
      </c>
      <c r="AB127" s="31">
        <v>375190.25999999995</v>
      </c>
      <c r="AD127" s="42" t="s">
        <v>35</v>
      </c>
      <c r="AE127" s="42" t="s">
        <v>36</v>
      </c>
      <c r="AF127" s="43" t="s">
        <v>1275</v>
      </c>
      <c r="AG127" s="44">
        <v>34</v>
      </c>
      <c r="AH127" s="31">
        <v>11086209.812692385</v>
      </c>
      <c r="AI127" s="31">
        <v>521705.80000000016</v>
      </c>
      <c r="AJ127" s="31">
        <v>581411.60000000009</v>
      </c>
      <c r="AK127" s="31">
        <v>38007.67</v>
      </c>
      <c r="AL127" s="31">
        <v>1250300.0007031779</v>
      </c>
      <c r="AM127" s="31">
        <v>785203.20577531052</v>
      </c>
      <c r="AN127" s="31">
        <v>980169.55556835514</v>
      </c>
      <c r="AO127" s="31">
        <f t="shared" si="10"/>
        <v>15624828.334739229</v>
      </c>
      <c r="AP127" s="31">
        <v>381820.68999999994</v>
      </c>
      <c r="AR127" s="42" t="s">
        <v>35</v>
      </c>
      <c r="AS127" s="42" t="s">
        <v>36</v>
      </c>
      <c r="AT127" s="43" t="s">
        <v>1276</v>
      </c>
      <c r="AU127" s="44">
        <v>34</v>
      </c>
      <c r="AV127" s="31">
        <v>11288731.874949718</v>
      </c>
      <c r="AW127" s="31">
        <v>529036.50999999989</v>
      </c>
      <c r="AX127" s="31">
        <v>592082.09000000008</v>
      </c>
      <c r="AY127" s="31">
        <v>38490.17</v>
      </c>
      <c r="AZ127" s="31">
        <v>1277997.1039872454</v>
      </c>
      <c r="BA127" s="31">
        <v>785244.5175161605</v>
      </c>
      <c r="BB127" s="31">
        <v>998319.51506101643</v>
      </c>
      <c r="BC127" s="31">
        <f t="shared" si="11"/>
        <v>15898823.661514141</v>
      </c>
      <c r="BD127" s="31">
        <v>388921.88</v>
      </c>
    </row>
    <row r="128" spans="2:56">
      <c r="B128" s="42" t="s">
        <v>155</v>
      </c>
      <c r="C128" s="42" t="s">
        <v>156</v>
      </c>
      <c r="D128" s="43" t="s">
        <v>1049</v>
      </c>
      <c r="E128" s="44">
        <v>34</v>
      </c>
      <c r="F128" s="31">
        <v>2420807.3367021177</v>
      </c>
      <c r="G128" s="31">
        <v>108843.50999999997</v>
      </c>
      <c r="H128" s="31">
        <v>72887.150000000009</v>
      </c>
      <c r="I128" s="31">
        <v>0</v>
      </c>
      <c r="J128" s="31">
        <v>215892.21302987021</v>
      </c>
      <c r="K128" s="31">
        <v>253814.67859208619</v>
      </c>
      <c r="L128" s="31">
        <v>44319.555746018625</v>
      </c>
      <c r="M128" s="31">
        <f t="shared" si="8"/>
        <v>3165967.9240700924</v>
      </c>
      <c r="N128" s="31">
        <v>49403.479999999996</v>
      </c>
      <c r="P128" s="42" t="s">
        <v>155</v>
      </c>
      <c r="Q128" s="42" t="s">
        <v>156</v>
      </c>
      <c r="R128" s="43" t="s">
        <v>1050</v>
      </c>
      <c r="S128" s="44">
        <v>34</v>
      </c>
      <c r="T128" s="31">
        <v>2608588.1126978691</v>
      </c>
      <c r="U128" s="31">
        <v>122955.60000000003</v>
      </c>
      <c r="V128" s="31">
        <v>77618.2</v>
      </c>
      <c r="W128" s="31">
        <v>0</v>
      </c>
      <c r="X128" s="31">
        <v>228114.2572069928</v>
      </c>
      <c r="Y128" s="31">
        <v>254489.06667618899</v>
      </c>
      <c r="Z128" s="31">
        <v>47459.017344682041</v>
      </c>
      <c r="AA128" s="31">
        <f t="shared" si="9"/>
        <v>3391013.3939257334</v>
      </c>
      <c r="AB128" s="31">
        <v>51789.139999999992</v>
      </c>
      <c r="AD128" s="42" t="s">
        <v>155</v>
      </c>
      <c r="AE128" s="42" t="s">
        <v>156</v>
      </c>
      <c r="AF128" s="43" t="s">
        <v>1275</v>
      </c>
      <c r="AG128" s="44">
        <v>34</v>
      </c>
      <c r="AH128" s="31">
        <v>2682443.7899110923</v>
      </c>
      <c r="AI128" s="31">
        <v>128465.47000000003</v>
      </c>
      <c r="AJ128" s="31">
        <v>78971.449999999983</v>
      </c>
      <c r="AK128" s="31">
        <v>0</v>
      </c>
      <c r="AL128" s="31">
        <v>231622.73464865788</v>
      </c>
      <c r="AM128" s="31">
        <v>253976.71361888896</v>
      </c>
      <c r="AN128" s="31">
        <v>48294.167360797292</v>
      </c>
      <c r="AO128" s="31">
        <f t="shared" si="10"/>
        <v>3476478.685539437</v>
      </c>
      <c r="AP128" s="31">
        <v>52704.359999999993</v>
      </c>
      <c r="AR128" s="42" t="s">
        <v>155</v>
      </c>
      <c r="AS128" s="42" t="s">
        <v>156</v>
      </c>
      <c r="AT128" s="43" t="s">
        <v>1276</v>
      </c>
      <c r="AU128" s="44">
        <v>34</v>
      </c>
      <c r="AV128" s="31">
        <v>2739292.8680770332</v>
      </c>
      <c r="AW128" s="31">
        <v>130810.23000000003</v>
      </c>
      <c r="AX128" s="31">
        <v>80420.799999999988</v>
      </c>
      <c r="AY128" s="31">
        <v>0</v>
      </c>
      <c r="AZ128" s="31">
        <v>235845.60715548019</v>
      </c>
      <c r="BA128" s="31">
        <v>253991.35227766898</v>
      </c>
      <c r="BB128" s="31">
        <v>49188.58472805671</v>
      </c>
      <c r="BC128" s="31">
        <f t="shared" si="11"/>
        <v>3543234.0122382385</v>
      </c>
      <c r="BD128" s="31">
        <v>53684.569999999992</v>
      </c>
    </row>
    <row r="129" spans="2:56">
      <c r="B129" s="42" t="s">
        <v>425</v>
      </c>
      <c r="C129" s="42" t="s">
        <v>426</v>
      </c>
      <c r="D129" s="43" t="s">
        <v>1049</v>
      </c>
      <c r="E129" s="44">
        <v>34</v>
      </c>
      <c r="F129" s="31">
        <v>86362423.432278514</v>
      </c>
      <c r="G129" s="31">
        <v>1703320.37</v>
      </c>
      <c r="H129" s="31">
        <v>1085754.96</v>
      </c>
      <c r="I129" s="31">
        <v>306776.49</v>
      </c>
      <c r="J129" s="31">
        <v>13991170.61229125</v>
      </c>
      <c r="K129" s="31">
        <v>5643176.9677509479</v>
      </c>
      <c r="L129" s="31">
        <v>6237020.8009363022</v>
      </c>
      <c r="M129" s="31">
        <f t="shared" si="8"/>
        <v>115329643.633257</v>
      </c>
      <c r="N129" s="31">
        <v>0</v>
      </c>
      <c r="P129" s="42" t="s">
        <v>425</v>
      </c>
      <c r="Q129" s="42" t="s">
        <v>426</v>
      </c>
      <c r="R129" s="43" t="s">
        <v>1050</v>
      </c>
      <c r="S129" s="44">
        <v>34</v>
      </c>
      <c r="T129" s="31">
        <v>87185154.138767198</v>
      </c>
      <c r="U129" s="31">
        <v>1730925.3</v>
      </c>
      <c r="V129" s="31">
        <v>1137732.9100000001</v>
      </c>
      <c r="W129" s="31">
        <v>311732.33000000007</v>
      </c>
      <c r="X129" s="31">
        <v>14533418.771554537</v>
      </c>
      <c r="Y129" s="31">
        <v>5656956.2779079182</v>
      </c>
      <c r="Z129" s="31">
        <v>6534457.3204488764</v>
      </c>
      <c r="AA129" s="31">
        <f t="shared" si="9"/>
        <v>117090377.04867853</v>
      </c>
      <c r="AB129" s="31">
        <v>0</v>
      </c>
      <c r="AD129" s="42" t="s">
        <v>425</v>
      </c>
      <c r="AE129" s="42" t="s">
        <v>426</v>
      </c>
      <c r="AF129" s="43" t="s">
        <v>1275</v>
      </c>
      <c r="AG129" s="44">
        <v>34</v>
      </c>
      <c r="AH129" s="31">
        <v>90645340.411211699</v>
      </c>
      <c r="AI129" s="31">
        <v>1796775.4499999997</v>
      </c>
      <c r="AJ129" s="31">
        <v>1157951.83</v>
      </c>
      <c r="AK129" s="31">
        <v>323629.8600000001</v>
      </c>
      <c r="AL129" s="31">
        <v>14792346.958307978</v>
      </c>
      <c r="AM129" s="31">
        <v>5646147.8483452182</v>
      </c>
      <c r="AN129" s="31">
        <v>6651092.6031097891</v>
      </c>
      <c r="AO129" s="31">
        <f t="shared" si="10"/>
        <v>121013284.96097469</v>
      </c>
      <c r="AP129" s="31">
        <v>0</v>
      </c>
      <c r="AR129" s="42" t="s">
        <v>425</v>
      </c>
      <c r="AS129" s="42" t="s">
        <v>426</v>
      </c>
      <c r="AT129" s="43" t="s">
        <v>1276</v>
      </c>
      <c r="AU129" s="44">
        <v>34</v>
      </c>
      <c r="AV129" s="31">
        <v>94292142.776442021</v>
      </c>
      <c r="AW129" s="31">
        <v>1866246.52</v>
      </c>
      <c r="AX129" s="31">
        <v>1179606.28</v>
      </c>
      <c r="AY129" s="31">
        <v>336158.52</v>
      </c>
      <c r="AZ129" s="31">
        <v>15070427.660628976</v>
      </c>
      <c r="BA129" s="31">
        <v>5646456.6606184393</v>
      </c>
      <c r="BB129" s="31">
        <v>6776005.5111848256</v>
      </c>
      <c r="BC129" s="31">
        <f t="shared" si="11"/>
        <v>125167043.92887425</v>
      </c>
      <c r="BD129" s="31">
        <v>0</v>
      </c>
    </row>
    <row r="130" spans="2:56">
      <c r="B130" s="42" t="s">
        <v>215</v>
      </c>
      <c r="C130" s="42" t="s">
        <v>216</v>
      </c>
      <c r="D130" s="43" t="s">
        <v>1049</v>
      </c>
      <c r="E130" s="44">
        <v>34</v>
      </c>
      <c r="F130" s="31">
        <v>278245844.28020018</v>
      </c>
      <c r="G130" s="31">
        <v>2410621.0099999998</v>
      </c>
      <c r="H130" s="31">
        <v>6599283.9200000009</v>
      </c>
      <c r="I130" s="31">
        <v>993923.83000000007</v>
      </c>
      <c r="J130" s="31">
        <v>29682763.197865915</v>
      </c>
      <c r="K130" s="31">
        <v>11230038.524321584</v>
      </c>
      <c r="L130" s="31">
        <v>23032619.324891828</v>
      </c>
      <c r="M130" s="31">
        <f t="shared" si="8"/>
        <v>352195094.08727944</v>
      </c>
      <c r="N130" s="31">
        <v>0</v>
      </c>
      <c r="P130" s="42" t="s">
        <v>215</v>
      </c>
      <c r="Q130" s="42" t="s">
        <v>216</v>
      </c>
      <c r="R130" s="43" t="s">
        <v>1050</v>
      </c>
      <c r="S130" s="44">
        <v>34</v>
      </c>
      <c r="T130" s="31">
        <v>302687257.85558701</v>
      </c>
      <c r="U130" s="31">
        <v>2625879.4000000004</v>
      </c>
      <c r="V130" s="31">
        <v>7020524.4500000002</v>
      </c>
      <c r="W130" s="31">
        <v>1082714.27</v>
      </c>
      <c r="X130" s="31">
        <v>31352140.952860441</v>
      </c>
      <c r="Y130" s="31">
        <v>11247440.365267133</v>
      </c>
      <c r="Z130" s="31">
        <v>24436516.097913302</v>
      </c>
      <c r="AA130" s="31">
        <f t="shared" si="9"/>
        <v>380452473.39162785</v>
      </c>
      <c r="AB130" s="31">
        <v>0</v>
      </c>
      <c r="AD130" s="42" t="s">
        <v>215</v>
      </c>
      <c r="AE130" s="42" t="s">
        <v>216</v>
      </c>
      <c r="AF130" s="43" t="s">
        <v>1275</v>
      </c>
      <c r="AG130" s="44">
        <v>34</v>
      </c>
      <c r="AH130" s="31">
        <v>309731099.56373</v>
      </c>
      <c r="AI130" s="31">
        <v>2685382.12</v>
      </c>
      <c r="AJ130" s="31">
        <v>7145287.8100000005</v>
      </c>
      <c r="AK130" s="31">
        <v>1107212.73</v>
      </c>
      <c r="AL130" s="31">
        <v>31911216.279422443</v>
      </c>
      <c r="AM130" s="31">
        <v>11233812.688198293</v>
      </c>
      <c r="AN130" s="31">
        <v>24872635.916401628</v>
      </c>
      <c r="AO130" s="31">
        <f t="shared" si="10"/>
        <v>388686647.10775238</v>
      </c>
      <c r="AP130" s="31">
        <v>0</v>
      </c>
      <c r="AR130" s="42" t="s">
        <v>215</v>
      </c>
      <c r="AS130" s="42" t="s">
        <v>216</v>
      </c>
      <c r="AT130" s="43" t="s">
        <v>1276</v>
      </c>
      <c r="AU130" s="44">
        <v>34</v>
      </c>
      <c r="AV130" s="31">
        <v>317216292.64098883</v>
      </c>
      <c r="AW130" s="31">
        <v>2748553.6500000004</v>
      </c>
      <c r="AX130" s="31">
        <v>7278909.3799999999</v>
      </c>
      <c r="AY130" s="31">
        <v>1133273.96</v>
      </c>
      <c r="AZ130" s="31">
        <v>32509925.091056399</v>
      </c>
      <c r="BA130" s="31">
        <v>11234202.050400259</v>
      </c>
      <c r="BB130" s="31">
        <v>25339707.474174619</v>
      </c>
      <c r="BC130" s="31">
        <f t="shared" si="11"/>
        <v>397460864.24662006</v>
      </c>
      <c r="BD130" s="31">
        <v>0</v>
      </c>
    </row>
    <row r="131" spans="2:56">
      <c r="B131" s="42" t="s">
        <v>441</v>
      </c>
      <c r="C131" s="42" t="s">
        <v>442</v>
      </c>
      <c r="D131" s="43" t="s">
        <v>1049</v>
      </c>
      <c r="E131" s="44">
        <v>34</v>
      </c>
      <c r="F131" s="31">
        <v>23251330.655971952</v>
      </c>
      <c r="G131" s="31">
        <v>778403.53999999992</v>
      </c>
      <c r="H131" s="31">
        <v>365960.85000000003</v>
      </c>
      <c r="I131" s="31">
        <v>81398.76999999999</v>
      </c>
      <c r="J131" s="31">
        <v>3696900.4842654062</v>
      </c>
      <c r="K131" s="31">
        <v>1849661.5236069988</v>
      </c>
      <c r="L131" s="31">
        <v>1204492.7286306112</v>
      </c>
      <c r="M131" s="31">
        <f t="shared" si="8"/>
        <v>31228148.552474968</v>
      </c>
      <c r="N131" s="31">
        <v>0</v>
      </c>
      <c r="P131" s="42" t="s">
        <v>441</v>
      </c>
      <c r="Q131" s="42" t="s">
        <v>442</v>
      </c>
      <c r="R131" s="43" t="s">
        <v>1050</v>
      </c>
      <c r="S131" s="44">
        <v>34</v>
      </c>
      <c r="T131" s="31">
        <v>24392998.725888453</v>
      </c>
      <c r="U131" s="31">
        <v>816291.44</v>
      </c>
      <c r="V131" s="31">
        <v>386367.79000000004</v>
      </c>
      <c r="W131" s="31">
        <v>85350.76</v>
      </c>
      <c r="X131" s="31">
        <v>3886843.6401770823</v>
      </c>
      <c r="Y131" s="31">
        <v>1854256.3792768221</v>
      </c>
      <c r="Z131" s="31">
        <v>1269791.6756860698</v>
      </c>
      <c r="AA131" s="31">
        <f t="shared" si="9"/>
        <v>32691900.41102843</v>
      </c>
      <c r="AB131" s="31">
        <v>0</v>
      </c>
      <c r="AD131" s="42" t="s">
        <v>441</v>
      </c>
      <c r="AE131" s="42" t="s">
        <v>442</v>
      </c>
      <c r="AF131" s="43" t="s">
        <v>1275</v>
      </c>
      <c r="AG131" s="44">
        <v>34</v>
      </c>
      <c r="AH131" s="31">
        <v>25492583.67968953</v>
      </c>
      <c r="AI131" s="31">
        <v>853100.62</v>
      </c>
      <c r="AJ131" s="31">
        <v>393214.86000000004</v>
      </c>
      <c r="AK131" s="31">
        <v>89133.49</v>
      </c>
      <c r="AL131" s="31">
        <v>3949679.3375601247</v>
      </c>
      <c r="AM131" s="31">
        <v>1850671.4482176723</v>
      </c>
      <c r="AN131" s="31">
        <v>1292408.2143722191</v>
      </c>
      <c r="AO131" s="31">
        <f t="shared" si="10"/>
        <v>33920791.649839543</v>
      </c>
      <c r="AP131" s="31">
        <v>0</v>
      </c>
      <c r="AR131" s="42" t="s">
        <v>441</v>
      </c>
      <c r="AS131" s="42" t="s">
        <v>442</v>
      </c>
      <c r="AT131" s="43" t="s">
        <v>1276</v>
      </c>
      <c r="AU131" s="44">
        <v>34</v>
      </c>
      <c r="AV131" s="31">
        <v>26408749.411206406</v>
      </c>
      <c r="AW131" s="31">
        <v>877043.33000000007</v>
      </c>
      <c r="AX131" s="31">
        <v>400548.09</v>
      </c>
      <c r="AY131" s="31">
        <v>91647.74000000002</v>
      </c>
      <c r="AZ131" s="31">
        <v>4049937.3870150247</v>
      </c>
      <c r="BA131" s="31">
        <v>1850773.8748193621</v>
      </c>
      <c r="BB131" s="31">
        <v>1316629.8383132855</v>
      </c>
      <c r="BC131" s="31">
        <f t="shared" si="11"/>
        <v>34995329.671354085</v>
      </c>
      <c r="BD131" s="31">
        <v>0</v>
      </c>
    </row>
    <row r="132" spans="2:56">
      <c r="B132" s="42" t="s">
        <v>557</v>
      </c>
      <c r="C132" s="42" t="s">
        <v>558</v>
      </c>
      <c r="D132" s="43" t="s">
        <v>1049</v>
      </c>
      <c r="E132" s="44">
        <v>34</v>
      </c>
      <c r="F132" s="31">
        <v>585037.08234274713</v>
      </c>
      <c r="G132" s="31">
        <v>16857.580000000002</v>
      </c>
      <c r="H132" s="31">
        <v>0</v>
      </c>
      <c r="I132" s="31">
        <v>1071.8800000000001</v>
      </c>
      <c r="J132" s="31">
        <v>38850.418631978362</v>
      </c>
      <c r="K132" s="31">
        <v>88386.028222811568</v>
      </c>
      <c r="L132" s="31">
        <v>0</v>
      </c>
      <c r="M132" s="31">
        <f t="shared" si="8"/>
        <v>740824.25919753697</v>
      </c>
      <c r="N132" s="31">
        <v>10621.269999999999</v>
      </c>
      <c r="P132" s="42" t="s">
        <v>557</v>
      </c>
      <c r="Q132" s="42" t="s">
        <v>558</v>
      </c>
      <c r="R132" s="43" t="s">
        <v>1050</v>
      </c>
      <c r="S132" s="44">
        <v>34</v>
      </c>
      <c r="T132" s="31">
        <v>625477.09637372789</v>
      </c>
      <c r="U132" s="31">
        <v>17713.250000000007</v>
      </c>
      <c r="V132" s="31">
        <v>0</v>
      </c>
      <c r="W132" s="31">
        <v>1037.67</v>
      </c>
      <c r="X132" s="31">
        <v>41178.119985951809</v>
      </c>
      <c r="Y132" s="31">
        <v>88485.302122824316</v>
      </c>
      <c r="Z132" s="31">
        <v>0</v>
      </c>
      <c r="AA132" s="31">
        <f t="shared" si="9"/>
        <v>785025.59848250414</v>
      </c>
      <c r="AB132" s="31">
        <v>11134.159999999998</v>
      </c>
      <c r="AD132" s="42" t="s">
        <v>557</v>
      </c>
      <c r="AE132" s="42" t="s">
        <v>558</v>
      </c>
      <c r="AF132" s="43" t="s">
        <v>1275</v>
      </c>
      <c r="AG132" s="44">
        <v>34</v>
      </c>
      <c r="AH132" s="31">
        <v>632112.94791934884</v>
      </c>
      <c r="AI132" s="31">
        <v>16013.480000000003</v>
      </c>
      <c r="AJ132" s="31">
        <v>0</v>
      </c>
      <c r="AK132" s="31">
        <v>950.18999999999994</v>
      </c>
      <c r="AL132" s="31">
        <v>41898.696057817462</v>
      </c>
      <c r="AM132" s="31">
        <v>88409.880733596641</v>
      </c>
      <c r="AN132" s="31">
        <v>0</v>
      </c>
      <c r="AO132" s="31">
        <f t="shared" si="10"/>
        <v>790716.11471076286</v>
      </c>
      <c r="AP132" s="31">
        <v>11330.919999999998</v>
      </c>
      <c r="AR132" s="42" t="s">
        <v>557</v>
      </c>
      <c r="AS132" s="42" t="s">
        <v>558</v>
      </c>
      <c r="AT132" s="43" t="s">
        <v>1276</v>
      </c>
      <c r="AU132" s="44">
        <v>34</v>
      </c>
      <c r="AV132" s="31">
        <v>642562.99870800693</v>
      </c>
      <c r="AW132" s="31">
        <v>15874.520000000002</v>
      </c>
      <c r="AX132" s="31">
        <v>0</v>
      </c>
      <c r="AY132" s="31">
        <v>967.63</v>
      </c>
      <c r="AZ132" s="31">
        <v>42685.034024815366</v>
      </c>
      <c r="BA132" s="31">
        <v>88412.035630431725</v>
      </c>
      <c r="BB132" s="31">
        <v>0</v>
      </c>
      <c r="BC132" s="31">
        <f t="shared" si="11"/>
        <v>802043.87836325413</v>
      </c>
      <c r="BD132" s="31">
        <v>11541.659999999998</v>
      </c>
    </row>
    <row r="133" spans="2:56">
      <c r="B133" s="42" t="s">
        <v>471</v>
      </c>
      <c r="C133" s="42" t="s">
        <v>472</v>
      </c>
      <c r="D133" s="43" t="s">
        <v>1049</v>
      </c>
      <c r="E133" s="44">
        <v>34</v>
      </c>
      <c r="F133" s="31">
        <v>5137381.7872200273</v>
      </c>
      <c r="G133" s="31">
        <v>114690.1</v>
      </c>
      <c r="H133" s="31">
        <v>1753.96</v>
      </c>
      <c r="I133" s="31">
        <v>0</v>
      </c>
      <c r="J133" s="31">
        <v>593854.47848630731</v>
      </c>
      <c r="K133" s="31">
        <v>562926.75487062999</v>
      </c>
      <c r="L133" s="31">
        <v>267126.35579938983</v>
      </c>
      <c r="M133" s="31">
        <f t="shared" ref="M133:M196" si="12">SUM(F133:L133,N133)</f>
        <v>6677733.4363763537</v>
      </c>
      <c r="N133" s="31">
        <v>0</v>
      </c>
      <c r="P133" s="42" t="s">
        <v>471</v>
      </c>
      <c r="Q133" s="42" t="s">
        <v>472</v>
      </c>
      <c r="R133" s="43" t="s">
        <v>1050</v>
      </c>
      <c r="S133" s="44">
        <v>34</v>
      </c>
      <c r="T133" s="31">
        <v>5338979.1178515684</v>
      </c>
      <c r="U133" s="31">
        <v>121200.62</v>
      </c>
      <c r="V133" s="31">
        <v>1867.83</v>
      </c>
      <c r="W133" s="31">
        <v>0</v>
      </c>
      <c r="X133" s="31">
        <v>625063.54574629304</v>
      </c>
      <c r="Y133" s="31">
        <v>564358.38368142478</v>
      </c>
      <c r="Z133" s="31">
        <v>283545.46936571097</v>
      </c>
      <c r="AA133" s="31">
        <f t="shared" ref="AA133:AA196" si="13">SUM(T133:Z133,AB133)</f>
        <v>6935014.9666449977</v>
      </c>
      <c r="AB133" s="31">
        <v>0</v>
      </c>
      <c r="AD133" s="42" t="s">
        <v>471</v>
      </c>
      <c r="AE133" s="42" t="s">
        <v>472</v>
      </c>
      <c r="AF133" s="43" t="s">
        <v>1275</v>
      </c>
      <c r="AG133" s="44">
        <v>34</v>
      </c>
      <c r="AH133" s="31">
        <v>5475346.2985787168</v>
      </c>
      <c r="AI133" s="31">
        <v>124475.07999999999</v>
      </c>
      <c r="AJ133" s="31">
        <v>1900.3799999999999</v>
      </c>
      <c r="AK133" s="31">
        <v>0</v>
      </c>
      <c r="AL133" s="31">
        <v>638066.41508887825</v>
      </c>
      <c r="AM133" s="31">
        <v>563270.73190432473</v>
      </c>
      <c r="AN133" s="31">
        <v>288534.78245923965</v>
      </c>
      <c r="AO133" s="31">
        <f t="shared" ref="AO133:AO196" si="14">SUM(AH133:AN133,AP133)</f>
        <v>7091593.6880311593</v>
      </c>
      <c r="AP133" s="31">
        <v>0</v>
      </c>
      <c r="AR133" s="42" t="s">
        <v>471</v>
      </c>
      <c r="AS133" s="42" t="s">
        <v>472</v>
      </c>
      <c r="AT133" s="43" t="s">
        <v>1276</v>
      </c>
      <c r="AU133" s="44">
        <v>34</v>
      </c>
      <c r="AV133" s="31">
        <v>5628833.2740591792</v>
      </c>
      <c r="AW133" s="31">
        <v>125791.90999999999</v>
      </c>
      <c r="AX133" s="31">
        <v>1935.2599999999998</v>
      </c>
      <c r="AY133" s="31">
        <v>0</v>
      </c>
      <c r="AZ133" s="31">
        <v>653009.97510312439</v>
      </c>
      <c r="BA133" s="31">
        <v>563301.80766938475</v>
      </c>
      <c r="BB133" s="31">
        <v>293878.16652960872</v>
      </c>
      <c r="BC133" s="31">
        <f t="shared" ref="BC133:BC196" si="15">SUM(AV133:BB133,BD133)</f>
        <v>7266750.3933612965</v>
      </c>
      <c r="BD133" s="31">
        <v>0</v>
      </c>
    </row>
    <row r="134" spans="2:56">
      <c r="B134" s="42" t="s">
        <v>9</v>
      </c>
      <c r="C134" s="42" t="s">
        <v>10</v>
      </c>
      <c r="D134" s="43" t="s">
        <v>1049</v>
      </c>
      <c r="E134" s="44">
        <v>34</v>
      </c>
      <c r="F134" s="31">
        <v>2407576.8893441912</v>
      </c>
      <c r="G134" s="31">
        <v>82728.86</v>
      </c>
      <c r="H134" s="31">
        <v>44823.66</v>
      </c>
      <c r="I134" s="31">
        <v>0</v>
      </c>
      <c r="J134" s="31">
        <v>191074.63870119199</v>
      </c>
      <c r="K134" s="31">
        <v>904332.05379206431</v>
      </c>
      <c r="L134" s="31">
        <v>157889.50691708349</v>
      </c>
      <c r="M134" s="31">
        <f t="shared" si="12"/>
        <v>3841337.0287545314</v>
      </c>
      <c r="N134" s="31">
        <v>52911.42</v>
      </c>
      <c r="P134" s="42" t="s">
        <v>9</v>
      </c>
      <c r="Q134" s="42" t="s">
        <v>10</v>
      </c>
      <c r="R134" s="43" t="s">
        <v>1050</v>
      </c>
      <c r="S134" s="44">
        <v>34</v>
      </c>
      <c r="T134" s="31">
        <v>2509288.6753069395</v>
      </c>
      <c r="U134" s="31">
        <v>85138.709999999977</v>
      </c>
      <c r="V134" s="31">
        <v>47733.119999999995</v>
      </c>
      <c r="W134" s="31">
        <v>0</v>
      </c>
      <c r="X134" s="31">
        <v>202147.81538445587</v>
      </c>
      <c r="Y134" s="31">
        <v>906332.62224100519</v>
      </c>
      <c r="Z134" s="31">
        <v>169150.98884850566</v>
      </c>
      <c r="AA134" s="31">
        <f t="shared" si="13"/>
        <v>3975258.4117809064</v>
      </c>
      <c r="AB134" s="31">
        <v>55466.479999999996</v>
      </c>
      <c r="AD134" s="42" t="s">
        <v>9</v>
      </c>
      <c r="AE134" s="42" t="s">
        <v>10</v>
      </c>
      <c r="AF134" s="43" t="s">
        <v>1275</v>
      </c>
      <c r="AG134" s="44">
        <v>34</v>
      </c>
      <c r="AH134" s="31">
        <v>2529263.9266421953</v>
      </c>
      <c r="AI134" s="31">
        <v>86609.930000000022</v>
      </c>
      <c r="AJ134" s="31">
        <v>48565.34</v>
      </c>
      <c r="AK134" s="31">
        <v>0</v>
      </c>
      <c r="AL134" s="31">
        <v>204781.67665379206</v>
      </c>
      <c r="AM134" s="31">
        <v>904812.72978543711</v>
      </c>
      <c r="AN134" s="31">
        <v>172127.10249848303</v>
      </c>
      <c r="AO134" s="31">
        <f t="shared" si="14"/>
        <v>4002607.3955799076</v>
      </c>
      <c r="AP134" s="31">
        <v>56446.69</v>
      </c>
      <c r="AR134" s="42" t="s">
        <v>9</v>
      </c>
      <c r="AS134" s="42" t="s">
        <v>10</v>
      </c>
      <c r="AT134" s="43" t="s">
        <v>1276</v>
      </c>
      <c r="AU134" s="44">
        <v>34</v>
      </c>
      <c r="AV134" s="31">
        <v>2521602.5373887215</v>
      </c>
      <c r="AW134" s="31">
        <v>88185.599999999991</v>
      </c>
      <c r="AX134" s="31">
        <v>49456.65</v>
      </c>
      <c r="AY134" s="31">
        <v>0</v>
      </c>
      <c r="AZ134" s="31">
        <v>208961.57528076661</v>
      </c>
      <c r="BA134" s="31">
        <v>904856.15528416762</v>
      </c>
      <c r="BB134" s="31">
        <v>175314.4196394087</v>
      </c>
      <c r="BC134" s="31">
        <f t="shared" si="15"/>
        <v>4005873.4275930645</v>
      </c>
      <c r="BD134" s="31">
        <v>57496.490000000005</v>
      </c>
    </row>
    <row r="135" spans="2:56">
      <c r="B135" s="42" t="s">
        <v>77</v>
      </c>
      <c r="C135" s="42" t="s">
        <v>78</v>
      </c>
      <c r="D135" s="43" t="s">
        <v>1049</v>
      </c>
      <c r="E135" s="44">
        <v>34</v>
      </c>
      <c r="F135" s="31">
        <v>50107219.566256091</v>
      </c>
      <c r="G135" s="31">
        <v>2426908.6699999995</v>
      </c>
      <c r="H135" s="31">
        <v>659394.94999999995</v>
      </c>
      <c r="I135" s="31">
        <v>173058.30000000002</v>
      </c>
      <c r="J135" s="31">
        <v>8283157.7234295616</v>
      </c>
      <c r="K135" s="31">
        <v>2690098.7541928706</v>
      </c>
      <c r="L135" s="31">
        <v>3752747.4812527262</v>
      </c>
      <c r="M135" s="31">
        <f t="shared" si="12"/>
        <v>69389450.745131254</v>
      </c>
      <c r="N135" s="31">
        <v>1296865.2999999998</v>
      </c>
      <c r="P135" s="42" t="s">
        <v>77</v>
      </c>
      <c r="Q135" s="42" t="s">
        <v>78</v>
      </c>
      <c r="R135" s="43" t="s">
        <v>1050</v>
      </c>
      <c r="S135" s="44">
        <v>34</v>
      </c>
      <c r="T135" s="31">
        <v>57017557.35018342</v>
      </c>
      <c r="U135" s="31">
        <v>2740785.05</v>
      </c>
      <c r="V135" s="31">
        <v>702195.72</v>
      </c>
      <c r="W135" s="31">
        <v>193837.97</v>
      </c>
      <c r="X135" s="31">
        <v>8791650.1089444906</v>
      </c>
      <c r="Y135" s="31">
        <v>2697323.0731883436</v>
      </c>
      <c r="Z135" s="31">
        <v>4021942.4871733356</v>
      </c>
      <c r="AA135" s="31">
        <f t="shared" si="13"/>
        <v>77524781.839489594</v>
      </c>
      <c r="AB135" s="31">
        <v>1359490.0799999998</v>
      </c>
      <c r="AD135" s="42" t="s">
        <v>77</v>
      </c>
      <c r="AE135" s="42" t="s">
        <v>78</v>
      </c>
      <c r="AF135" s="43" t="s">
        <v>1275</v>
      </c>
      <c r="AG135" s="44">
        <v>34</v>
      </c>
      <c r="AH135" s="31">
        <v>58335212.747267298</v>
      </c>
      <c r="AI135" s="31">
        <v>2805245.419999999</v>
      </c>
      <c r="AJ135" s="31">
        <v>714438.4</v>
      </c>
      <c r="AK135" s="31">
        <v>198484.44</v>
      </c>
      <c r="AL135" s="31">
        <v>8931207.9150763582</v>
      </c>
      <c r="AM135" s="31">
        <v>2691834.5391950933</v>
      </c>
      <c r="AN135" s="31">
        <v>4092706.1242233245</v>
      </c>
      <c r="AO135" s="31">
        <f t="shared" si="14"/>
        <v>79152644.805762067</v>
      </c>
      <c r="AP135" s="31">
        <v>1383515.22</v>
      </c>
      <c r="AR135" s="42" t="s">
        <v>77</v>
      </c>
      <c r="AS135" s="42" t="s">
        <v>78</v>
      </c>
      <c r="AT135" s="43" t="s">
        <v>1276</v>
      </c>
      <c r="AU135" s="44">
        <v>34</v>
      </c>
      <c r="AV135" s="31">
        <v>59436673.157603964</v>
      </c>
      <c r="AW135" s="31">
        <v>2856389.7200000007</v>
      </c>
      <c r="AX135" s="31">
        <v>727550.3</v>
      </c>
      <c r="AY135" s="31">
        <v>202127.16</v>
      </c>
      <c r="AZ135" s="31">
        <v>9096309.3865432851</v>
      </c>
      <c r="BA135" s="31">
        <v>2691991.3544520433</v>
      </c>
      <c r="BB135" s="31">
        <v>4168491.5878142612</v>
      </c>
      <c r="BC135" s="31">
        <f t="shared" si="15"/>
        <v>80588778.806413546</v>
      </c>
      <c r="BD135" s="31">
        <v>1409246.14</v>
      </c>
    </row>
    <row r="136" spans="2:56">
      <c r="B136" s="42" t="s">
        <v>493</v>
      </c>
      <c r="C136" s="42" t="s">
        <v>494</v>
      </c>
      <c r="D136" s="43" t="s">
        <v>1049</v>
      </c>
      <c r="E136" s="44">
        <v>34</v>
      </c>
      <c r="F136" s="31">
        <v>2062029.2382777671</v>
      </c>
      <c r="G136" s="31">
        <v>80877.460000000006</v>
      </c>
      <c r="H136" s="31">
        <v>0</v>
      </c>
      <c r="I136" s="31">
        <v>0</v>
      </c>
      <c r="J136" s="31">
        <v>170554.54292502906</v>
      </c>
      <c r="K136" s="31">
        <v>0</v>
      </c>
      <c r="L136" s="31">
        <v>0</v>
      </c>
      <c r="M136" s="31">
        <f t="shared" si="12"/>
        <v>2343765.9412027965</v>
      </c>
      <c r="N136" s="31">
        <v>30304.7</v>
      </c>
      <c r="P136" s="42" t="s">
        <v>493</v>
      </c>
      <c r="Q136" s="42" t="s">
        <v>494</v>
      </c>
      <c r="R136" s="43" t="s">
        <v>1050</v>
      </c>
      <c r="S136" s="44">
        <v>34</v>
      </c>
      <c r="T136" s="31">
        <v>2193205.0918599018</v>
      </c>
      <c r="U136" s="31">
        <v>85593.129999999976</v>
      </c>
      <c r="V136" s="31">
        <v>0</v>
      </c>
      <c r="W136" s="31">
        <v>0</v>
      </c>
      <c r="X136" s="31">
        <v>180909.43854635052</v>
      </c>
      <c r="Y136" s="31">
        <v>0</v>
      </c>
      <c r="Z136" s="31">
        <v>0</v>
      </c>
      <c r="AA136" s="31">
        <f t="shared" si="13"/>
        <v>2491475.7604062525</v>
      </c>
      <c r="AB136" s="31">
        <v>31768.100000000002</v>
      </c>
      <c r="AD136" s="42" t="s">
        <v>493</v>
      </c>
      <c r="AE136" s="42" t="s">
        <v>494</v>
      </c>
      <c r="AF136" s="43" t="s">
        <v>1275</v>
      </c>
      <c r="AG136" s="44">
        <v>34</v>
      </c>
      <c r="AH136" s="31">
        <v>2182069.4470712836</v>
      </c>
      <c r="AI136" s="31">
        <v>84860.79</v>
      </c>
      <c r="AJ136" s="31">
        <v>0</v>
      </c>
      <c r="AK136" s="31">
        <v>0</v>
      </c>
      <c r="AL136" s="31">
        <v>183859.02735360659</v>
      </c>
      <c r="AM136" s="31">
        <v>0</v>
      </c>
      <c r="AN136" s="31">
        <v>0</v>
      </c>
      <c r="AO136" s="31">
        <f t="shared" si="14"/>
        <v>2483118.7644248903</v>
      </c>
      <c r="AP136" s="31">
        <v>32329.500000000004</v>
      </c>
      <c r="AR136" s="42" t="s">
        <v>493</v>
      </c>
      <c r="AS136" s="42" t="s">
        <v>494</v>
      </c>
      <c r="AT136" s="43" t="s">
        <v>1276</v>
      </c>
      <c r="AU136" s="44">
        <v>34</v>
      </c>
      <c r="AV136" s="31">
        <v>2232446.4779347712</v>
      </c>
      <c r="AW136" s="31">
        <v>86732.81</v>
      </c>
      <c r="AX136" s="31">
        <v>0</v>
      </c>
      <c r="AY136" s="31">
        <v>0</v>
      </c>
      <c r="AZ136" s="31">
        <v>186414.01435694145</v>
      </c>
      <c r="BA136" s="31">
        <v>0</v>
      </c>
      <c r="BB136" s="31">
        <v>0</v>
      </c>
      <c r="BC136" s="31">
        <f t="shared" si="15"/>
        <v>2538524.0822917125</v>
      </c>
      <c r="BD136" s="31">
        <v>32930.780000000006</v>
      </c>
    </row>
    <row r="137" spans="2:56">
      <c r="B137" s="42" t="s">
        <v>397</v>
      </c>
      <c r="C137" s="42" t="s">
        <v>398</v>
      </c>
      <c r="D137" s="43" t="s">
        <v>1049</v>
      </c>
      <c r="E137" s="44">
        <v>34</v>
      </c>
      <c r="F137" s="31">
        <v>3299511.805334257</v>
      </c>
      <c r="G137" s="31">
        <v>73277.53</v>
      </c>
      <c r="H137" s="31">
        <v>26940.260000000002</v>
      </c>
      <c r="I137" s="31">
        <v>7543.27</v>
      </c>
      <c r="J137" s="31">
        <v>308920.87603469315</v>
      </c>
      <c r="K137" s="31">
        <v>166858.17143649526</v>
      </c>
      <c r="L137" s="31">
        <v>127983.71681888557</v>
      </c>
      <c r="M137" s="31">
        <f t="shared" si="12"/>
        <v>4011035.6296243304</v>
      </c>
      <c r="N137" s="31">
        <v>0</v>
      </c>
      <c r="P137" s="42" t="s">
        <v>397</v>
      </c>
      <c r="Q137" s="42" t="s">
        <v>398</v>
      </c>
      <c r="R137" s="43" t="s">
        <v>1050</v>
      </c>
      <c r="S137" s="44">
        <v>34</v>
      </c>
      <c r="T137" s="31">
        <v>3374319.5949281459</v>
      </c>
      <c r="U137" s="31">
        <v>73162.399999999994</v>
      </c>
      <c r="V137" s="31">
        <v>28668.65</v>
      </c>
      <c r="W137" s="31">
        <v>7453.8599999999988</v>
      </c>
      <c r="X137" s="31">
        <v>329311.29595781717</v>
      </c>
      <c r="Y137" s="31">
        <v>167250.1721891124</v>
      </c>
      <c r="Z137" s="31">
        <v>135801.21709986654</v>
      </c>
      <c r="AA137" s="31">
        <f t="shared" si="13"/>
        <v>4115967.1901749414</v>
      </c>
      <c r="AB137" s="31">
        <v>0</v>
      </c>
      <c r="AD137" s="42" t="s">
        <v>397</v>
      </c>
      <c r="AE137" s="42" t="s">
        <v>398</v>
      </c>
      <c r="AF137" s="43" t="s">
        <v>1275</v>
      </c>
      <c r="AG137" s="44">
        <v>34</v>
      </c>
      <c r="AH137" s="31">
        <v>3448717.0518913292</v>
      </c>
      <c r="AI137" s="31">
        <v>75738.87</v>
      </c>
      <c r="AJ137" s="31">
        <v>29175.22</v>
      </c>
      <c r="AK137" s="31">
        <v>7702.2400000000007</v>
      </c>
      <c r="AL137" s="31">
        <v>334004.52288397093</v>
      </c>
      <c r="AM137" s="31">
        <v>166946.04046051242</v>
      </c>
      <c r="AN137" s="31">
        <v>138214.67529167893</v>
      </c>
      <c r="AO137" s="31">
        <f t="shared" si="14"/>
        <v>4200498.6205274919</v>
      </c>
      <c r="AP137" s="31">
        <v>0</v>
      </c>
      <c r="AR137" s="42" t="s">
        <v>397</v>
      </c>
      <c r="AS137" s="42" t="s">
        <v>398</v>
      </c>
      <c r="AT137" s="43" t="s">
        <v>1276</v>
      </c>
      <c r="AU137" s="44">
        <v>34</v>
      </c>
      <c r="AV137" s="31">
        <v>3543581.0927352174</v>
      </c>
      <c r="AW137" s="31">
        <v>79168.099999999991</v>
      </c>
      <c r="AX137" s="31">
        <v>29717.75</v>
      </c>
      <c r="AY137" s="31">
        <v>8083.2200000000012</v>
      </c>
      <c r="AZ137" s="31">
        <v>339793.79112378362</v>
      </c>
      <c r="BA137" s="31">
        <v>166954.72993847242</v>
      </c>
      <c r="BB137" s="31">
        <v>140799.41390690993</v>
      </c>
      <c r="BC137" s="31">
        <f t="shared" si="15"/>
        <v>4308098.0977043835</v>
      </c>
      <c r="BD137" s="31">
        <v>0</v>
      </c>
    </row>
    <row r="138" spans="2:56">
      <c r="B138" s="42" t="s">
        <v>1232</v>
      </c>
      <c r="C138" s="42" t="s">
        <v>1233</v>
      </c>
      <c r="D138" s="43" t="s">
        <v>1049</v>
      </c>
      <c r="E138" s="44">
        <v>34</v>
      </c>
      <c r="F138" s="31">
        <v>1391293.4449826088</v>
      </c>
      <c r="G138" s="31">
        <v>19470.25</v>
      </c>
      <c r="H138" s="31">
        <v>0</v>
      </c>
      <c r="I138" s="31">
        <v>0</v>
      </c>
      <c r="J138" s="31">
        <v>39886.637169416528</v>
      </c>
      <c r="K138" s="31">
        <v>11305.43</v>
      </c>
      <c r="L138" s="31">
        <v>0</v>
      </c>
      <c r="M138" s="31">
        <f t="shared" si="12"/>
        <v>1473456.3421520253</v>
      </c>
      <c r="N138" s="31">
        <v>11500.58</v>
      </c>
      <c r="P138" s="42" t="s">
        <v>1232</v>
      </c>
      <c r="Q138" s="42" t="s">
        <v>1233</v>
      </c>
      <c r="R138" s="43" t="s">
        <v>1050</v>
      </c>
      <c r="S138" s="44">
        <v>34</v>
      </c>
      <c r="T138" s="31">
        <v>1553399.8157608001</v>
      </c>
      <c r="U138" s="31">
        <v>45125.920000000013</v>
      </c>
      <c r="V138" s="31">
        <v>0</v>
      </c>
      <c r="W138" s="31">
        <v>0</v>
      </c>
      <c r="X138" s="31">
        <v>41966.215540544625</v>
      </c>
      <c r="Y138" s="31">
        <v>11305.43</v>
      </c>
      <c r="Z138" s="31">
        <v>0</v>
      </c>
      <c r="AA138" s="31">
        <f t="shared" si="13"/>
        <v>1663752.4513013447</v>
      </c>
      <c r="AB138" s="31">
        <v>11955.070000000002</v>
      </c>
      <c r="AD138" s="42" t="s">
        <v>1232</v>
      </c>
      <c r="AE138" s="42" t="s">
        <v>1233</v>
      </c>
      <c r="AF138" s="43" t="s">
        <v>1275</v>
      </c>
      <c r="AG138" s="44">
        <v>34</v>
      </c>
      <c r="AH138" s="31">
        <v>1647665.303111966</v>
      </c>
      <c r="AI138" s="31">
        <v>55014.84</v>
      </c>
      <c r="AJ138" s="31">
        <v>0</v>
      </c>
      <c r="AK138" s="31">
        <v>0</v>
      </c>
      <c r="AL138" s="31">
        <v>42707.413876321516</v>
      </c>
      <c r="AM138" s="31">
        <v>11305.43</v>
      </c>
      <c r="AN138" s="31">
        <v>0</v>
      </c>
      <c r="AO138" s="31">
        <f t="shared" si="14"/>
        <v>1768860.0169882877</v>
      </c>
      <c r="AP138" s="31">
        <v>12167.03</v>
      </c>
      <c r="AR138" s="42" t="s">
        <v>1232</v>
      </c>
      <c r="AS138" s="42" t="s">
        <v>1233</v>
      </c>
      <c r="AT138" s="43" t="s">
        <v>1276</v>
      </c>
      <c r="AU138" s="44">
        <v>34</v>
      </c>
      <c r="AV138" s="31">
        <v>1746857.4995195861</v>
      </c>
      <c r="AW138" s="31">
        <v>65294.879999999997</v>
      </c>
      <c r="AX138" s="31">
        <v>0</v>
      </c>
      <c r="AY138" s="31">
        <v>0</v>
      </c>
      <c r="AZ138" s="31">
        <v>43501.247694195132</v>
      </c>
      <c r="BA138" s="31">
        <v>11305.43</v>
      </c>
      <c r="BB138" s="31">
        <v>0</v>
      </c>
      <c r="BC138" s="31">
        <f t="shared" si="15"/>
        <v>1879353.0972137812</v>
      </c>
      <c r="BD138" s="31">
        <v>12394.039999999999</v>
      </c>
    </row>
    <row r="139" spans="2:56">
      <c r="B139" s="42" t="s">
        <v>553</v>
      </c>
      <c r="C139" s="42" t="s">
        <v>554</v>
      </c>
      <c r="D139" s="43" t="s">
        <v>1049</v>
      </c>
      <c r="E139" s="44">
        <v>34</v>
      </c>
      <c r="F139" s="31">
        <v>4333407.2570112357</v>
      </c>
      <c r="G139" s="31">
        <v>253650.88</v>
      </c>
      <c r="H139" s="31">
        <v>0</v>
      </c>
      <c r="I139" s="31">
        <v>0</v>
      </c>
      <c r="J139" s="31">
        <v>663130.58193999005</v>
      </c>
      <c r="K139" s="31">
        <v>283188.21999999997</v>
      </c>
      <c r="L139" s="31">
        <v>0</v>
      </c>
      <c r="M139" s="31">
        <f t="shared" si="12"/>
        <v>5660308.4289512252</v>
      </c>
      <c r="N139" s="31">
        <v>126931.49</v>
      </c>
      <c r="P139" s="42" t="s">
        <v>553</v>
      </c>
      <c r="Q139" s="42" t="s">
        <v>554</v>
      </c>
      <c r="R139" s="43" t="s">
        <v>1050</v>
      </c>
      <c r="S139" s="44">
        <v>34</v>
      </c>
      <c r="T139" s="31">
        <v>4614691.0368761094</v>
      </c>
      <c r="U139" s="31">
        <v>269739.3</v>
      </c>
      <c r="V139" s="31">
        <v>0</v>
      </c>
      <c r="W139" s="31">
        <v>0</v>
      </c>
      <c r="X139" s="31">
        <v>697607.56977690756</v>
      </c>
      <c r="Y139" s="31">
        <v>283188.21999999997</v>
      </c>
      <c r="Z139" s="31">
        <v>0</v>
      </c>
      <c r="AA139" s="31">
        <f t="shared" si="13"/>
        <v>5997267.6966530168</v>
      </c>
      <c r="AB139" s="31">
        <v>132041.57</v>
      </c>
      <c r="AD139" s="42" t="s">
        <v>553</v>
      </c>
      <c r="AE139" s="42" t="s">
        <v>554</v>
      </c>
      <c r="AF139" s="43" t="s">
        <v>1275</v>
      </c>
      <c r="AG139" s="44">
        <v>34</v>
      </c>
      <c r="AH139" s="31">
        <v>4696240.5144621339</v>
      </c>
      <c r="AI139" s="31">
        <v>274461.52</v>
      </c>
      <c r="AJ139" s="31">
        <v>0</v>
      </c>
      <c r="AK139" s="31">
        <v>0</v>
      </c>
      <c r="AL139" s="31">
        <v>709957.10657161544</v>
      </c>
      <c r="AM139" s="31">
        <v>283188.21999999997</v>
      </c>
      <c r="AN139" s="31">
        <v>0</v>
      </c>
      <c r="AO139" s="31">
        <f t="shared" si="14"/>
        <v>6098244.2110337485</v>
      </c>
      <c r="AP139" s="31">
        <v>134396.85</v>
      </c>
      <c r="AR139" s="42" t="s">
        <v>553</v>
      </c>
      <c r="AS139" s="42" t="s">
        <v>554</v>
      </c>
      <c r="AT139" s="43" t="s">
        <v>1276</v>
      </c>
      <c r="AU139" s="44">
        <v>34</v>
      </c>
      <c r="AV139" s="31">
        <v>4783571.362662876</v>
      </c>
      <c r="AW139" s="31">
        <v>279519.03000000003</v>
      </c>
      <c r="AX139" s="31">
        <v>0</v>
      </c>
      <c r="AY139" s="31">
        <v>0</v>
      </c>
      <c r="AZ139" s="31">
        <v>723183.40363882657</v>
      </c>
      <c r="BA139" s="31">
        <v>283188.21999999997</v>
      </c>
      <c r="BB139" s="31">
        <v>0</v>
      </c>
      <c r="BC139" s="31">
        <f t="shared" si="15"/>
        <v>6206381.3563017026</v>
      </c>
      <c r="BD139" s="31">
        <v>136919.34</v>
      </c>
    </row>
    <row r="140" spans="2:56">
      <c r="B140" s="42" t="s">
        <v>269</v>
      </c>
      <c r="C140" s="42" t="s">
        <v>270</v>
      </c>
      <c r="D140" s="43" t="s">
        <v>1049</v>
      </c>
      <c r="E140" s="44">
        <v>34</v>
      </c>
      <c r="F140" s="31">
        <v>2768530.7847080515</v>
      </c>
      <c r="G140" s="31">
        <v>118295.46999999999</v>
      </c>
      <c r="H140" s="31">
        <v>10913.58</v>
      </c>
      <c r="I140" s="31">
        <v>0</v>
      </c>
      <c r="J140" s="31">
        <v>296072.29918646178</v>
      </c>
      <c r="K140" s="31">
        <v>220770.07062199619</v>
      </c>
      <c r="L140" s="31">
        <v>0</v>
      </c>
      <c r="M140" s="31">
        <f t="shared" si="12"/>
        <v>3478017.4345165095</v>
      </c>
      <c r="N140" s="31">
        <v>63435.229999999996</v>
      </c>
      <c r="P140" s="42" t="s">
        <v>269</v>
      </c>
      <c r="Q140" s="42" t="s">
        <v>270</v>
      </c>
      <c r="R140" s="43" t="s">
        <v>1050</v>
      </c>
      <c r="S140" s="44">
        <v>34</v>
      </c>
      <c r="T140" s="31">
        <v>3101272.4859641502</v>
      </c>
      <c r="U140" s="31">
        <v>131697.74</v>
      </c>
      <c r="V140" s="31">
        <v>11621.98</v>
      </c>
      <c r="W140" s="31">
        <v>0</v>
      </c>
      <c r="X140" s="31">
        <v>321908.03263929725</v>
      </c>
      <c r="Y140" s="31">
        <v>221362.50073058944</v>
      </c>
      <c r="Z140" s="31">
        <v>0</v>
      </c>
      <c r="AA140" s="31">
        <f t="shared" si="13"/>
        <v>3854361.219334037</v>
      </c>
      <c r="AB140" s="31">
        <v>66498.48</v>
      </c>
      <c r="AD140" s="42" t="s">
        <v>269</v>
      </c>
      <c r="AE140" s="42" t="s">
        <v>270</v>
      </c>
      <c r="AF140" s="43" t="s">
        <v>1275</v>
      </c>
      <c r="AG140" s="44">
        <v>34</v>
      </c>
      <c r="AH140" s="31">
        <v>3288530.6852586544</v>
      </c>
      <c r="AI140" s="31">
        <v>144852.51999999999</v>
      </c>
      <c r="AJ140" s="31">
        <v>11824.61</v>
      </c>
      <c r="AK140" s="31">
        <v>0</v>
      </c>
      <c r="AL140" s="31">
        <v>327248.49543446163</v>
      </c>
      <c r="AM140" s="31">
        <v>220912.41363010611</v>
      </c>
      <c r="AN140" s="31">
        <v>0</v>
      </c>
      <c r="AO140" s="31">
        <f t="shared" si="14"/>
        <v>4061042.3743232219</v>
      </c>
      <c r="AP140" s="31">
        <v>67673.649999999994</v>
      </c>
      <c r="AR140" s="42" t="s">
        <v>269</v>
      </c>
      <c r="AS140" s="42" t="s">
        <v>270</v>
      </c>
      <c r="AT140" s="43" t="s">
        <v>1276</v>
      </c>
      <c r="AU140" s="44">
        <v>34</v>
      </c>
      <c r="AV140" s="31">
        <v>3425786.7476284797</v>
      </c>
      <c r="AW140" s="31">
        <v>154805.33000000002</v>
      </c>
      <c r="AX140" s="31">
        <v>12041.609999999999</v>
      </c>
      <c r="AY140" s="31">
        <v>0</v>
      </c>
      <c r="AZ140" s="31">
        <v>332083.78214707953</v>
      </c>
      <c r="BA140" s="31">
        <v>220925.27326154849</v>
      </c>
      <c r="BB140" s="31">
        <v>0</v>
      </c>
      <c r="BC140" s="31">
        <f t="shared" si="15"/>
        <v>4214575.0030371081</v>
      </c>
      <c r="BD140" s="31">
        <v>68932.259999999995</v>
      </c>
    </row>
    <row r="141" spans="2:56">
      <c r="B141" s="42" t="s">
        <v>545</v>
      </c>
      <c r="C141" s="42" t="s">
        <v>546</v>
      </c>
      <c r="D141" s="43" t="s">
        <v>1049</v>
      </c>
      <c r="E141" s="44">
        <v>34</v>
      </c>
      <c r="F141" s="31">
        <v>27893583.295769729</v>
      </c>
      <c r="G141" s="31">
        <v>703951.61</v>
      </c>
      <c r="H141" s="31">
        <v>576417.44000000006</v>
      </c>
      <c r="I141" s="31">
        <v>98087.400000000009</v>
      </c>
      <c r="J141" s="31">
        <v>4611648.0675613014</v>
      </c>
      <c r="K141" s="31">
        <v>1461286.0941467665</v>
      </c>
      <c r="L141" s="31">
        <v>2163675.3952683927</v>
      </c>
      <c r="M141" s="31">
        <f t="shared" si="12"/>
        <v>37508649.302746192</v>
      </c>
      <c r="N141" s="31">
        <v>0</v>
      </c>
      <c r="P141" s="42" t="s">
        <v>545</v>
      </c>
      <c r="Q141" s="42" t="s">
        <v>546</v>
      </c>
      <c r="R141" s="43" t="s">
        <v>1050</v>
      </c>
      <c r="S141" s="44">
        <v>34</v>
      </c>
      <c r="T141" s="31">
        <v>30312141.062293217</v>
      </c>
      <c r="U141" s="31">
        <v>764438.65000000014</v>
      </c>
      <c r="V141" s="31">
        <v>613604.2699999999</v>
      </c>
      <c r="W141" s="31">
        <v>106490.59</v>
      </c>
      <c r="X141" s="31">
        <v>4877865.4357398665</v>
      </c>
      <c r="Y141" s="31">
        <v>1464516.6038971874</v>
      </c>
      <c r="Z141" s="31">
        <v>2296232.3677481865</v>
      </c>
      <c r="AA141" s="31">
        <f t="shared" si="13"/>
        <v>40435288.979678452</v>
      </c>
      <c r="AB141" s="31">
        <v>0</v>
      </c>
      <c r="AD141" s="42" t="s">
        <v>545</v>
      </c>
      <c r="AE141" s="42" t="s">
        <v>546</v>
      </c>
      <c r="AF141" s="43" t="s">
        <v>1275</v>
      </c>
      <c r="AG141" s="44">
        <v>34</v>
      </c>
      <c r="AH141" s="31">
        <v>34056806.829536818</v>
      </c>
      <c r="AI141" s="31">
        <v>849434.21000000008</v>
      </c>
      <c r="AJ141" s="31">
        <v>624378.03000000014</v>
      </c>
      <c r="AK141" s="31">
        <v>118251.74</v>
      </c>
      <c r="AL141" s="31">
        <v>4985692.002897203</v>
      </c>
      <c r="AM141" s="31">
        <v>1462035.3547601961</v>
      </c>
      <c r="AN141" s="31">
        <v>2336846.9137544008</v>
      </c>
      <c r="AO141" s="31">
        <f t="shared" si="14"/>
        <v>44433445.080948621</v>
      </c>
      <c r="AP141" s="31">
        <v>0</v>
      </c>
      <c r="AR141" s="42" t="s">
        <v>545</v>
      </c>
      <c r="AS141" s="42" t="s">
        <v>546</v>
      </c>
      <c r="AT141" s="43" t="s">
        <v>1276</v>
      </c>
      <c r="AU141" s="44">
        <v>34</v>
      </c>
      <c r="AV141" s="31">
        <v>35440241.935580835</v>
      </c>
      <c r="AW141" s="31">
        <v>881092.21000000008</v>
      </c>
      <c r="AX141" s="31">
        <v>635916.74999999988</v>
      </c>
      <c r="AY141" s="31">
        <v>122700.92</v>
      </c>
      <c r="AZ141" s="31">
        <v>5083425.1488847965</v>
      </c>
      <c r="BA141" s="31">
        <v>1462106.2475926813</v>
      </c>
      <c r="BB141" s="31">
        <v>2380343.7700680569</v>
      </c>
      <c r="BC141" s="31">
        <f t="shared" si="15"/>
        <v>46005826.98212637</v>
      </c>
      <c r="BD141" s="31">
        <v>0</v>
      </c>
    </row>
    <row r="142" spans="2:56">
      <c r="B142" s="42" t="s">
        <v>591</v>
      </c>
      <c r="C142" s="42" t="s">
        <v>592</v>
      </c>
      <c r="D142" s="43" t="s">
        <v>1049</v>
      </c>
      <c r="E142" s="44">
        <v>34</v>
      </c>
      <c r="F142" s="31">
        <v>6518204.9000127595</v>
      </c>
      <c r="G142" s="31">
        <v>499101.69</v>
      </c>
      <c r="H142" s="31">
        <v>528139.6</v>
      </c>
      <c r="I142" s="31">
        <v>22704.16</v>
      </c>
      <c r="J142" s="31">
        <v>748142.82838201756</v>
      </c>
      <c r="K142" s="31">
        <v>234595.68018167873</v>
      </c>
      <c r="L142" s="31">
        <v>687180.04785877222</v>
      </c>
      <c r="M142" s="31">
        <f t="shared" si="12"/>
        <v>9471054.4664352294</v>
      </c>
      <c r="N142" s="31">
        <v>232985.56</v>
      </c>
      <c r="P142" s="42" t="s">
        <v>591</v>
      </c>
      <c r="Q142" s="42" t="s">
        <v>592</v>
      </c>
      <c r="R142" s="43" t="s">
        <v>1050</v>
      </c>
      <c r="S142" s="44">
        <v>34</v>
      </c>
      <c r="T142" s="31">
        <v>7401934.4367440902</v>
      </c>
      <c r="U142" s="31">
        <v>564425.06000000006</v>
      </c>
      <c r="V142" s="31">
        <v>562420.68999999994</v>
      </c>
      <c r="W142" s="31">
        <v>25423.08</v>
      </c>
      <c r="X142" s="31">
        <v>796523.68254099553</v>
      </c>
      <c r="Y142" s="31">
        <v>235118.35092492512</v>
      </c>
      <c r="Z142" s="31">
        <v>736446.78328992752</v>
      </c>
      <c r="AA142" s="31">
        <f t="shared" si="13"/>
        <v>10566528.363499939</v>
      </c>
      <c r="AB142" s="31">
        <v>244236.27999999997</v>
      </c>
      <c r="AD142" s="42" t="s">
        <v>591</v>
      </c>
      <c r="AE142" s="42" t="s">
        <v>592</v>
      </c>
      <c r="AF142" s="43" t="s">
        <v>1275</v>
      </c>
      <c r="AG142" s="44">
        <v>34</v>
      </c>
      <c r="AH142" s="31">
        <v>7496498.0129275862</v>
      </c>
      <c r="AI142" s="31">
        <v>577586.20999999985</v>
      </c>
      <c r="AJ142" s="31">
        <v>572226.4</v>
      </c>
      <c r="AK142" s="31">
        <v>26077.5</v>
      </c>
      <c r="AL142" s="31">
        <v>808382.08975023311</v>
      </c>
      <c r="AM142" s="31">
        <v>234721.26212757514</v>
      </c>
      <c r="AN142" s="31">
        <v>749404.06197494129</v>
      </c>
      <c r="AO142" s="31">
        <f t="shared" si="14"/>
        <v>10713448.006780334</v>
      </c>
      <c r="AP142" s="31">
        <v>248552.46999999997</v>
      </c>
      <c r="AR142" s="42" t="s">
        <v>591</v>
      </c>
      <c r="AS142" s="42" t="s">
        <v>592</v>
      </c>
      <c r="AT142" s="43" t="s">
        <v>1276</v>
      </c>
      <c r="AU142" s="44">
        <v>34</v>
      </c>
      <c r="AV142" s="31">
        <v>7641186.1551486403</v>
      </c>
      <c r="AW142" s="31">
        <v>588125.48999999987</v>
      </c>
      <c r="AX142" s="31">
        <v>582728.32999999996</v>
      </c>
      <c r="AY142" s="31">
        <v>26556.089999999997</v>
      </c>
      <c r="AZ142" s="31">
        <v>827110.29723744525</v>
      </c>
      <c r="BA142" s="31">
        <v>234732.60752178513</v>
      </c>
      <c r="BB142" s="31">
        <v>763280.869475791</v>
      </c>
      <c r="BC142" s="31">
        <f t="shared" si="15"/>
        <v>10916894.939383661</v>
      </c>
      <c r="BD142" s="31">
        <v>253175.09999999998</v>
      </c>
    </row>
    <row r="143" spans="2:56">
      <c r="B143" s="42" t="s">
        <v>97</v>
      </c>
      <c r="C143" s="42" t="s">
        <v>98</v>
      </c>
      <c r="D143" s="43" t="s">
        <v>1049</v>
      </c>
      <c r="E143" s="44">
        <v>34</v>
      </c>
      <c r="F143" s="31">
        <v>1924016.1315290071</v>
      </c>
      <c r="G143" s="31">
        <v>41900.359999999993</v>
      </c>
      <c r="H143" s="31">
        <v>8477.5300000000007</v>
      </c>
      <c r="I143" s="31">
        <v>0</v>
      </c>
      <c r="J143" s="31">
        <v>85276.131561814007</v>
      </c>
      <c r="K143" s="31">
        <v>110838.53747934004</v>
      </c>
      <c r="L143" s="31">
        <v>27584.049888141919</v>
      </c>
      <c r="M143" s="31">
        <f t="shared" si="12"/>
        <v>2224694.620458303</v>
      </c>
      <c r="N143" s="31">
        <v>26601.879999999997</v>
      </c>
      <c r="P143" s="42" t="s">
        <v>97</v>
      </c>
      <c r="Q143" s="42" t="s">
        <v>98</v>
      </c>
      <c r="R143" s="43" t="s">
        <v>1050</v>
      </c>
      <c r="S143" s="44">
        <v>34</v>
      </c>
      <c r="T143" s="31">
        <v>2010845.5358195289</v>
      </c>
      <c r="U143" s="31">
        <v>39562.520000000004</v>
      </c>
      <c r="V143" s="31">
        <v>9027.8000000000011</v>
      </c>
      <c r="W143" s="31">
        <v>0</v>
      </c>
      <c r="X143" s="31">
        <v>90823.401018255056</v>
      </c>
      <c r="Y143" s="31">
        <v>111088.17152965615</v>
      </c>
      <c r="Z143" s="31">
        <v>29591.148806540848</v>
      </c>
      <c r="AA143" s="31">
        <f t="shared" si="13"/>
        <v>2318825.0371739808</v>
      </c>
      <c r="AB143" s="31">
        <v>27886.459999999995</v>
      </c>
      <c r="AD143" s="42" t="s">
        <v>97</v>
      </c>
      <c r="AE143" s="42" t="s">
        <v>98</v>
      </c>
      <c r="AF143" s="43" t="s">
        <v>1275</v>
      </c>
      <c r="AG143" s="44">
        <v>34</v>
      </c>
      <c r="AH143" s="31">
        <v>2043523.9208723144</v>
      </c>
      <c r="AI143" s="31">
        <v>40245.67</v>
      </c>
      <c r="AJ143" s="31">
        <v>9185.19</v>
      </c>
      <c r="AK143" s="31">
        <v>0</v>
      </c>
      <c r="AL143" s="31">
        <v>93050.427195456286</v>
      </c>
      <c r="AM143" s="31">
        <v>110898.51697925614</v>
      </c>
      <c r="AN143" s="31">
        <v>30111.795280286868</v>
      </c>
      <c r="AO143" s="31">
        <f t="shared" si="14"/>
        <v>2355394.8003273136</v>
      </c>
      <c r="AP143" s="31">
        <v>28379.279999999999</v>
      </c>
      <c r="AR143" s="42" t="s">
        <v>97</v>
      </c>
      <c r="AS143" s="42" t="s">
        <v>98</v>
      </c>
      <c r="AT143" s="43" t="s">
        <v>1276</v>
      </c>
      <c r="AU143" s="44">
        <v>34</v>
      </c>
      <c r="AV143" s="31">
        <v>2078554.3624910135</v>
      </c>
      <c r="AW143" s="31">
        <v>40977.33</v>
      </c>
      <c r="AX143" s="31">
        <v>9353.7699999999986</v>
      </c>
      <c r="AY143" s="31">
        <v>0</v>
      </c>
      <c r="AZ143" s="31">
        <v>95253.988584802137</v>
      </c>
      <c r="BA143" s="31">
        <v>110903.93568069614</v>
      </c>
      <c r="BB143" s="31">
        <v>30669.390107668845</v>
      </c>
      <c r="BC143" s="31">
        <f t="shared" si="15"/>
        <v>2394619.8468641806</v>
      </c>
      <c r="BD143" s="31">
        <v>28907.069999999996</v>
      </c>
    </row>
    <row r="144" spans="2:56">
      <c r="B144" s="42" t="s">
        <v>29</v>
      </c>
      <c r="C144" s="42" t="s">
        <v>30</v>
      </c>
      <c r="D144" s="43" t="s">
        <v>1049</v>
      </c>
      <c r="E144" s="44">
        <v>34</v>
      </c>
      <c r="F144" s="31">
        <v>5290727.7441556994</v>
      </c>
      <c r="G144" s="31">
        <v>262997.94</v>
      </c>
      <c r="H144" s="31">
        <v>334228.56999999995</v>
      </c>
      <c r="I144" s="31">
        <v>16760.150000000001</v>
      </c>
      <c r="J144" s="31">
        <v>664895.35109236941</v>
      </c>
      <c r="K144" s="31">
        <v>369590.65309190226</v>
      </c>
      <c r="L144" s="31">
        <v>150719.43956585517</v>
      </c>
      <c r="M144" s="31">
        <f t="shared" si="12"/>
        <v>7263173.0279058265</v>
      </c>
      <c r="N144" s="31">
        <v>173253.18</v>
      </c>
      <c r="P144" s="42" t="s">
        <v>29</v>
      </c>
      <c r="Q144" s="42" t="s">
        <v>30</v>
      </c>
      <c r="R144" s="43" t="s">
        <v>1050</v>
      </c>
      <c r="S144" s="44">
        <v>34</v>
      </c>
      <c r="T144" s="31">
        <v>5415915.9064114355</v>
      </c>
      <c r="U144" s="31">
        <v>272364.05</v>
      </c>
      <c r="V144" s="31">
        <v>355923.05</v>
      </c>
      <c r="W144" s="31">
        <v>17225.43</v>
      </c>
      <c r="X144" s="31">
        <v>708413.51556420873</v>
      </c>
      <c r="Y144" s="31">
        <v>370165.61045381258</v>
      </c>
      <c r="Z144" s="31">
        <v>161436.44990787716</v>
      </c>
      <c r="AA144" s="31">
        <f t="shared" si="13"/>
        <v>7483063.4623373337</v>
      </c>
      <c r="AB144" s="31">
        <v>181619.45</v>
      </c>
      <c r="AD144" s="42" t="s">
        <v>29</v>
      </c>
      <c r="AE144" s="42" t="s">
        <v>30</v>
      </c>
      <c r="AF144" s="43" t="s">
        <v>1275</v>
      </c>
      <c r="AG144" s="44">
        <v>34</v>
      </c>
      <c r="AH144" s="31">
        <v>5445053.554900161</v>
      </c>
      <c r="AI144" s="31">
        <v>274641.29999999993</v>
      </c>
      <c r="AJ144" s="31">
        <v>362128.51</v>
      </c>
      <c r="AK144" s="31">
        <v>17314.59</v>
      </c>
      <c r="AL144" s="31">
        <v>720173.82508723286</v>
      </c>
      <c r="AM144" s="31">
        <v>369728.79792830092</v>
      </c>
      <c r="AN144" s="31">
        <v>164276.8869364867</v>
      </c>
      <c r="AO144" s="31">
        <f t="shared" si="14"/>
        <v>7538146.5248521799</v>
      </c>
      <c r="AP144" s="31">
        <v>184829.06000000003</v>
      </c>
      <c r="AR144" s="42" t="s">
        <v>29</v>
      </c>
      <c r="AS144" s="42" t="s">
        <v>30</v>
      </c>
      <c r="AT144" s="43" t="s">
        <v>1276</v>
      </c>
      <c r="AU144" s="44">
        <v>34</v>
      </c>
      <c r="AV144" s="31">
        <v>5451489.0012256838</v>
      </c>
      <c r="AW144" s="31">
        <v>268992.40999999992</v>
      </c>
      <c r="AX144" s="31">
        <v>368774.56</v>
      </c>
      <c r="AY144" s="31">
        <v>16987.28</v>
      </c>
      <c r="AZ144" s="31">
        <v>736338.14456310566</v>
      </c>
      <c r="BA144" s="31">
        <v>369741.27828617266</v>
      </c>
      <c r="BB144" s="31">
        <v>167318.89900052751</v>
      </c>
      <c r="BC144" s="31">
        <f t="shared" si="15"/>
        <v>7567908.1230754899</v>
      </c>
      <c r="BD144" s="31">
        <v>188266.55000000002</v>
      </c>
    </row>
    <row r="145" spans="2:56">
      <c r="B145" s="42" t="s">
        <v>319</v>
      </c>
      <c r="C145" s="42" t="s">
        <v>320</v>
      </c>
      <c r="D145" s="43" t="s">
        <v>1049</v>
      </c>
      <c r="E145" s="44">
        <v>34</v>
      </c>
      <c r="F145" s="31">
        <v>13435511.986247918</v>
      </c>
      <c r="G145" s="31">
        <v>185530.97000000003</v>
      </c>
      <c r="H145" s="31">
        <v>0</v>
      </c>
      <c r="I145" s="31">
        <v>40438.74</v>
      </c>
      <c r="J145" s="31">
        <v>1628522.2810486942</v>
      </c>
      <c r="K145" s="31">
        <v>262334.62199512165</v>
      </c>
      <c r="L145" s="31">
        <v>208617.84733025986</v>
      </c>
      <c r="M145" s="31">
        <f t="shared" si="12"/>
        <v>15809580.366621993</v>
      </c>
      <c r="N145" s="31">
        <v>48623.92</v>
      </c>
      <c r="P145" s="42" t="s">
        <v>319</v>
      </c>
      <c r="Q145" s="42" t="s">
        <v>320</v>
      </c>
      <c r="R145" s="43" t="s">
        <v>1050</v>
      </c>
      <c r="S145" s="44">
        <v>34</v>
      </c>
      <c r="T145" s="31">
        <v>14185995.788494768</v>
      </c>
      <c r="U145" s="31">
        <v>196513.91</v>
      </c>
      <c r="V145" s="31">
        <v>0</v>
      </c>
      <c r="W145" s="31">
        <v>42648.520000000004</v>
      </c>
      <c r="X145" s="31">
        <v>1722790.4511912535</v>
      </c>
      <c r="Y145" s="31">
        <v>262819.51736825315</v>
      </c>
      <c r="Z145" s="31">
        <v>221441.29195613097</v>
      </c>
      <c r="AA145" s="31">
        <f t="shared" si="13"/>
        <v>16683181.419010404</v>
      </c>
      <c r="AB145" s="31">
        <v>50971.94</v>
      </c>
      <c r="AD145" s="42" t="s">
        <v>319</v>
      </c>
      <c r="AE145" s="42" t="s">
        <v>320</v>
      </c>
      <c r="AF145" s="43" t="s">
        <v>1275</v>
      </c>
      <c r="AG145" s="44">
        <v>34</v>
      </c>
      <c r="AH145" s="31">
        <v>14525954.206684524</v>
      </c>
      <c r="AI145" s="31">
        <v>199716.86</v>
      </c>
      <c r="AJ145" s="31">
        <v>0</v>
      </c>
      <c r="AK145" s="31">
        <v>43286.5</v>
      </c>
      <c r="AL145" s="31">
        <v>1751980.950894447</v>
      </c>
      <c r="AM145" s="31">
        <v>262451.1276639406</v>
      </c>
      <c r="AN145" s="31">
        <v>225337.99953455763</v>
      </c>
      <c r="AO145" s="31">
        <f t="shared" si="14"/>
        <v>17060600.37477747</v>
      </c>
      <c r="AP145" s="31">
        <v>51872.729999999996</v>
      </c>
      <c r="AR145" s="42" t="s">
        <v>319</v>
      </c>
      <c r="AS145" s="42" t="s">
        <v>320</v>
      </c>
      <c r="AT145" s="43" t="s">
        <v>1276</v>
      </c>
      <c r="AU145" s="44">
        <v>34</v>
      </c>
      <c r="AV145" s="31">
        <v>14884787.020179542</v>
      </c>
      <c r="AW145" s="31">
        <v>203476.98</v>
      </c>
      <c r="AX145" s="31">
        <v>0</v>
      </c>
      <c r="AY145" s="31">
        <v>44080.929999999993</v>
      </c>
      <c r="AZ145" s="31">
        <v>1784125.0081566349</v>
      </c>
      <c r="BA145" s="31">
        <v>262461.65308406384</v>
      </c>
      <c r="BB145" s="31">
        <v>229511.24045425249</v>
      </c>
      <c r="BC145" s="31">
        <f t="shared" si="15"/>
        <v>17461280.291874494</v>
      </c>
      <c r="BD145" s="31">
        <v>52837.46</v>
      </c>
    </row>
    <row r="146" spans="2:56">
      <c r="B146" s="42" t="s">
        <v>501</v>
      </c>
      <c r="C146" s="42" t="s">
        <v>502</v>
      </c>
      <c r="D146" s="43" t="s">
        <v>1049</v>
      </c>
      <c r="E146" s="44">
        <v>34</v>
      </c>
      <c r="F146" s="31">
        <v>4030237.862977915</v>
      </c>
      <c r="G146" s="31">
        <v>220025.68999999997</v>
      </c>
      <c r="H146" s="31">
        <v>0</v>
      </c>
      <c r="I146" s="31">
        <v>12667.55</v>
      </c>
      <c r="J146" s="31">
        <v>550302.51504864742</v>
      </c>
      <c r="K146" s="31">
        <v>409230.28837248968</v>
      </c>
      <c r="L146" s="31">
        <v>349331.61278077186</v>
      </c>
      <c r="M146" s="31">
        <f t="shared" si="12"/>
        <v>5700419.9191798242</v>
      </c>
      <c r="N146" s="31">
        <v>128624.4</v>
      </c>
      <c r="P146" s="42" t="s">
        <v>501</v>
      </c>
      <c r="Q146" s="42" t="s">
        <v>502</v>
      </c>
      <c r="R146" s="43" t="s">
        <v>1050</v>
      </c>
      <c r="S146" s="44">
        <v>34</v>
      </c>
      <c r="T146" s="31">
        <v>4319738.9742955351</v>
      </c>
      <c r="U146" s="31">
        <v>236133.79000000007</v>
      </c>
      <c r="V146" s="31">
        <v>0</v>
      </c>
      <c r="W146" s="31">
        <v>13489.79</v>
      </c>
      <c r="X146" s="31">
        <v>582899.01351025247</v>
      </c>
      <c r="Y146" s="31">
        <v>410253.03403347818</v>
      </c>
      <c r="Z146" s="31">
        <v>374308.80855013581</v>
      </c>
      <c r="AA146" s="31">
        <f t="shared" si="13"/>
        <v>6071659.0003894018</v>
      </c>
      <c r="AB146" s="31">
        <v>134835.59</v>
      </c>
      <c r="AD146" s="42" t="s">
        <v>501</v>
      </c>
      <c r="AE146" s="42" t="s">
        <v>502</v>
      </c>
      <c r="AF146" s="43" t="s">
        <v>1275</v>
      </c>
      <c r="AG146" s="44">
        <v>34</v>
      </c>
      <c r="AH146" s="31">
        <v>4012407.4849015232</v>
      </c>
      <c r="AI146" s="31">
        <v>217308.57000000004</v>
      </c>
      <c r="AJ146" s="31">
        <v>0</v>
      </c>
      <c r="AK146" s="31">
        <v>12352.49</v>
      </c>
      <c r="AL146" s="31">
        <v>590786.19702843949</v>
      </c>
      <c r="AM146" s="31">
        <v>409476.02317192819</v>
      </c>
      <c r="AN146" s="31">
        <v>380894.57151725778</v>
      </c>
      <c r="AO146" s="31">
        <f t="shared" si="14"/>
        <v>5760443.7566191489</v>
      </c>
      <c r="AP146" s="31">
        <v>137218.42000000001</v>
      </c>
      <c r="AR146" s="42" t="s">
        <v>501</v>
      </c>
      <c r="AS146" s="42" t="s">
        <v>502</v>
      </c>
      <c r="AT146" s="43" t="s">
        <v>1276</v>
      </c>
      <c r="AU146" s="44">
        <v>34</v>
      </c>
      <c r="AV146" s="31">
        <v>4111496.3747818805</v>
      </c>
      <c r="AW146" s="31">
        <v>226101.24</v>
      </c>
      <c r="AX146" s="31">
        <v>0</v>
      </c>
      <c r="AY146" s="31">
        <v>12901.74</v>
      </c>
      <c r="AZ146" s="31">
        <v>597532.33998460579</v>
      </c>
      <c r="BA146" s="31">
        <v>409498.22348225821</v>
      </c>
      <c r="BB146" s="31">
        <v>387947.7010472453</v>
      </c>
      <c r="BC146" s="31">
        <f t="shared" si="15"/>
        <v>5885248.0592959914</v>
      </c>
      <c r="BD146" s="31">
        <v>139770.44</v>
      </c>
    </row>
    <row r="147" spans="2:56">
      <c r="B147" s="42" t="s">
        <v>433</v>
      </c>
      <c r="C147" s="42" t="s">
        <v>434</v>
      </c>
      <c r="D147" s="43" t="s">
        <v>1049</v>
      </c>
      <c r="E147" s="44">
        <v>34</v>
      </c>
      <c r="F147" s="31">
        <v>88195790.149863452</v>
      </c>
      <c r="G147" s="31">
        <v>3570537.05</v>
      </c>
      <c r="H147" s="31">
        <v>1850265.23</v>
      </c>
      <c r="I147" s="31">
        <v>317699.84999999998</v>
      </c>
      <c r="J147" s="31">
        <v>14588795.008414406</v>
      </c>
      <c r="K147" s="31">
        <v>7780243.1230761921</v>
      </c>
      <c r="L147" s="31">
        <v>7790228.292259885</v>
      </c>
      <c r="M147" s="31">
        <f t="shared" si="12"/>
        <v>126175009.74361393</v>
      </c>
      <c r="N147" s="31">
        <v>2081451.04</v>
      </c>
      <c r="P147" s="42" t="s">
        <v>433</v>
      </c>
      <c r="Q147" s="42" t="s">
        <v>434</v>
      </c>
      <c r="R147" s="43" t="s">
        <v>1050</v>
      </c>
      <c r="S147" s="44">
        <v>34</v>
      </c>
      <c r="T147" s="31">
        <v>89528073.05899708</v>
      </c>
      <c r="U147" s="31">
        <v>3639908.2500000009</v>
      </c>
      <c r="V147" s="31">
        <v>1953440.76</v>
      </c>
      <c r="W147" s="31">
        <v>321092.64</v>
      </c>
      <c r="X147" s="31">
        <v>15292943.503111197</v>
      </c>
      <c r="Y147" s="31">
        <v>7797411.1474551568</v>
      </c>
      <c r="Z147" s="31">
        <v>8293514.9438315164</v>
      </c>
      <c r="AA147" s="31">
        <f t="shared" si="13"/>
        <v>128993028.48339495</v>
      </c>
      <c r="AB147" s="31">
        <v>2166644.1799999997</v>
      </c>
      <c r="AD147" s="42" t="s">
        <v>433</v>
      </c>
      <c r="AE147" s="42" t="s">
        <v>434</v>
      </c>
      <c r="AF147" s="43" t="s">
        <v>1275</v>
      </c>
      <c r="AG147" s="44">
        <v>34</v>
      </c>
      <c r="AH147" s="31">
        <v>88808792.476932555</v>
      </c>
      <c r="AI147" s="31">
        <v>3616252.6500000004</v>
      </c>
      <c r="AJ147" s="31">
        <v>1988059.02</v>
      </c>
      <c r="AK147" s="31">
        <v>319016.62</v>
      </c>
      <c r="AL147" s="31">
        <v>15564174.848503727</v>
      </c>
      <c r="AM147" s="31">
        <v>7784016.5626753569</v>
      </c>
      <c r="AN147" s="31">
        <v>8441221.4231193028</v>
      </c>
      <c r="AO147" s="31">
        <f t="shared" si="14"/>
        <v>128727035.53123096</v>
      </c>
      <c r="AP147" s="31">
        <v>2205501.9299999997</v>
      </c>
      <c r="AR147" s="42" t="s">
        <v>433</v>
      </c>
      <c r="AS147" s="42" t="s">
        <v>434</v>
      </c>
      <c r="AT147" s="43" t="s">
        <v>1276</v>
      </c>
      <c r="AU147" s="44">
        <v>34</v>
      </c>
      <c r="AV147" s="31">
        <v>88210068.319734335</v>
      </c>
      <c r="AW147" s="31">
        <v>3597280.96</v>
      </c>
      <c r="AX147" s="31">
        <v>2025135.1600000001</v>
      </c>
      <c r="AY147" s="31">
        <v>317298.35000000003</v>
      </c>
      <c r="AZ147" s="31">
        <v>15855014.965299271</v>
      </c>
      <c r="BA147" s="31">
        <v>7784399.2650976367</v>
      </c>
      <c r="BB147" s="31">
        <v>8599410.6053563189</v>
      </c>
      <c r="BC147" s="31">
        <f t="shared" si="15"/>
        <v>128635726.21548754</v>
      </c>
      <c r="BD147" s="31">
        <v>2247118.59</v>
      </c>
    </row>
    <row r="148" spans="2:56">
      <c r="B148" s="42" t="s">
        <v>147</v>
      </c>
      <c r="C148" s="42" t="s">
        <v>148</v>
      </c>
      <c r="D148" s="43" t="s">
        <v>1049</v>
      </c>
      <c r="E148" s="44">
        <v>34</v>
      </c>
      <c r="F148" s="31">
        <v>2573126.4207651331</v>
      </c>
      <c r="G148" s="31">
        <v>110597.48999999999</v>
      </c>
      <c r="H148" s="31">
        <v>2825.85</v>
      </c>
      <c r="I148" s="31">
        <v>8185.1900000000005</v>
      </c>
      <c r="J148" s="31">
        <v>395401.78571019846</v>
      </c>
      <c r="K148" s="31">
        <v>213766.33242272781</v>
      </c>
      <c r="L148" s="31">
        <v>0</v>
      </c>
      <c r="M148" s="31">
        <f t="shared" si="12"/>
        <v>3387119.1688980591</v>
      </c>
      <c r="N148" s="31">
        <v>83216.100000000006</v>
      </c>
      <c r="P148" s="42" t="s">
        <v>147</v>
      </c>
      <c r="Q148" s="42" t="s">
        <v>148</v>
      </c>
      <c r="R148" s="43" t="s">
        <v>1050</v>
      </c>
      <c r="S148" s="44">
        <v>34</v>
      </c>
      <c r="T148" s="31">
        <v>2645931.850921812</v>
      </c>
      <c r="U148" s="31">
        <v>113659.63999999997</v>
      </c>
      <c r="V148" s="31">
        <v>3009.2700000000004</v>
      </c>
      <c r="W148" s="31">
        <v>8301.41</v>
      </c>
      <c r="X148" s="31">
        <v>418631.30461880961</v>
      </c>
      <c r="Y148" s="31">
        <v>214331.23685398162</v>
      </c>
      <c r="Z148" s="31">
        <v>0</v>
      </c>
      <c r="AA148" s="31">
        <f t="shared" si="13"/>
        <v>3491099.2523946036</v>
      </c>
      <c r="AB148" s="31">
        <v>87234.54</v>
      </c>
      <c r="AD148" s="42" t="s">
        <v>147</v>
      </c>
      <c r="AE148" s="42" t="s">
        <v>148</v>
      </c>
      <c r="AF148" s="43" t="s">
        <v>1275</v>
      </c>
      <c r="AG148" s="44">
        <v>34</v>
      </c>
      <c r="AH148" s="31">
        <v>2830467.6182328998</v>
      </c>
      <c r="AI148" s="31">
        <v>120477.11</v>
      </c>
      <c r="AJ148" s="31">
        <v>3061.73</v>
      </c>
      <c r="AK148" s="31">
        <v>8762.880000000001</v>
      </c>
      <c r="AL148" s="31">
        <v>429376.07901082555</v>
      </c>
      <c r="AM148" s="31">
        <v>213902.06184443165</v>
      </c>
      <c r="AN148" s="31">
        <v>0</v>
      </c>
      <c r="AO148" s="31">
        <f t="shared" si="14"/>
        <v>3694823.6390881571</v>
      </c>
      <c r="AP148" s="31">
        <v>88776.159999999989</v>
      </c>
      <c r="AR148" s="42" t="s">
        <v>147</v>
      </c>
      <c r="AS148" s="42" t="s">
        <v>148</v>
      </c>
      <c r="AT148" s="43" t="s">
        <v>1276</v>
      </c>
      <c r="AU148" s="44">
        <v>34</v>
      </c>
      <c r="AV148" s="31">
        <v>2925774.4627567315</v>
      </c>
      <c r="AW148" s="31">
        <v>123956.56</v>
      </c>
      <c r="AX148" s="31">
        <v>3117.9300000000003</v>
      </c>
      <c r="AY148" s="31">
        <v>9031.2099999999991</v>
      </c>
      <c r="AZ148" s="31">
        <v>439325.4575920449</v>
      </c>
      <c r="BA148" s="31">
        <v>213914.32398756163</v>
      </c>
      <c r="BB148" s="31">
        <v>0</v>
      </c>
      <c r="BC148" s="31">
        <f t="shared" si="15"/>
        <v>3805547.1943363384</v>
      </c>
      <c r="BD148" s="31">
        <v>90427.25</v>
      </c>
    </row>
    <row r="149" spans="2:56">
      <c r="B149" s="42" t="s">
        <v>461</v>
      </c>
      <c r="C149" s="42" t="s">
        <v>462</v>
      </c>
      <c r="D149" s="43" t="s">
        <v>1049</v>
      </c>
      <c r="E149" s="44">
        <v>34</v>
      </c>
      <c r="F149" s="31">
        <v>84013450.044301584</v>
      </c>
      <c r="G149" s="31">
        <v>1925840.71</v>
      </c>
      <c r="H149" s="31">
        <v>495331.4599999999</v>
      </c>
      <c r="I149" s="31">
        <v>295887.42</v>
      </c>
      <c r="J149" s="31">
        <v>12890212.239045991</v>
      </c>
      <c r="K149" s="31">
        <v>5434454.7534445794</v>
      </c>
      <c r="L149" s="31">
        <v>6649331.8178424779</v>
      </c>
      <c r="M149" s="31">
        <f t="shared" si="12"/>
        <v>111808719.72463463</v>
      </c>
      <c r="N149" s="31">
        <v>104211.28</v>
      </c>
      <c r="P149" s="42" t="s">
        <v>461</v>
      </c>
      <c r="Q149" s="42" t="s">
        <v>462</v>
      </c>
      <c r="R149" s="43" t="s">
        <v>1050</v>
      </c>
      <c r="S149" s="44">
        <v>34</v>
      </c>
      <c r="T149" s="31">
        <v>91764995.484700441</v>
      </c>
      <c r="U149" s="31">
        <v>2106434.2600000002</v>
      </c>
      <c r="V149" s="31">
        <v>522887.46</v>
      </c>
      <c r="W149" s="31">
        <v>323316.96000000008</v>
      </c>
      <c r="X149" s="31">
        <v>13488878.680666307</v>
      </c>
      <c r="Y149" s="31">
        <v>5448456.2158338167</v>
      </c>
      <c r="Z149" s="31">
        <v>7008533.0942683723</v>
      </c>
      <c r="AA149" s="31">
        <f t="shared" si="13"/>
        <v>120771831.73546892</v>
      </c>
      <c r="AB149" s="31">
        <v>108329.58</v>
      </c>
      <c r="AD149" s="42" t="s">
        <v>461</v>
      </c>
      <c r="AE149" s="42" t="s">
        <v>462</v>
      </c>
      <c r="AF149" s="43" t="s">
        <v>1275</v>
      </c>
      <c r="AG149" s="44">
        <v>34</v>
      </c>
      <c r="AH149" s="31">
        <v>96853367.478353098</v>
      </c>
      <c r="AI149" s="31">
        <v>2214133.7000000002</v>
      </c>
      <c r="AJ149" s="31">
        <v>532036.9800000001</v>
      </c>
      <c r="AK149" s="31">
        <v>339918.54000000004</v>
      </c>
      <c r="AL149" s="31">
        <v>13742111.039948283</v>
      </c>
      <c r="AM149" s="31">
        <v>5437748.8233499164</v>
      </c>
      <c r="AN149" s="31">
        <v>7132183.8256711066</v>
      </c>
      <c r="AO149" s="31">
        <f t="shared" si="14"/>
        <v>126361750.66732243</v>
      </c>
      <c r="AP149" s="31">
        <v>110250.28</v>
      </c>
      <c r="AR149" s="42" t="s">
        <v>461</v>
      </c>
      <c r="AS149" s="42" t="s">
        <v>462</v>
      </c>
      <c r="AT149" s="43" t="s">
        <v>1276</v>
      </c>
      <c r="AU149" s="44">
        <v>34</v>
      </c>
      <c r="AV149" s="31">
        <v>100621948.32572566</v>
      </c>
      <c r="AW149" s="31">
        <v>2293400.9300000002</v>
      </c>
      <c r="AX149" s="31">
        <v>541836.12</v>
      </c>
      <c r="AY149" s="31">
        <v>352027.96</v>
      </c>
      <c r="AZ149" s="31">
        <v>14012142.761203956</v>
      </c>
      <c r="BA149" s="31">
        <v>5438054.7488494562</v>
      </c>
      <c r="BB149" s="31">
        <v>7264609.6387498323</v>
      </c>
      <c r="BC149" s="31">
        <f t="shared" si="15"/>
        <v>130636327.82452892</v>
      </c>
      <c r="BD149" s="31">
        <v>112307.34</v>
      </c>
    </row>
    <row r="150" spans="2:56">
      <c r="B150" s="42" t="s">
        <v>459</v>
      </c>
      <c r="C150" s="42" t="s">
        <v>460</v>
      </c>
      <c r="D150" s="43" t="s">
        <v>1049</v>
      </c>
      <c r="E150" s="44">
        <v>34</v>
      </c>
      <c r="F150" s="31">
        <v>14281584.423680754</v>
      </c>
      <c r="G150" s="31">
        <v>418808.85999999987</v>
      </c>
      <c r="H150" s="31">
        <v>28355.84</v>
      </c>
      <c r="I150" s="31">
        <v>49208.59</v>
      </c>
      <c r="J150" s="31">
        <v>2275776.646159648</v>
      </c>
      <c r="K150" s="31">
        <v>1153661.7134751424</v>
      </c>
      <c r="L150" s="31">
        <v>1157588.6523058165</v>
      </c>
      <c r="M150" s="31">
        <f t="shared" si="12"/>
        <v>19371318.505621359</v>
      </c>
      <c r="N150" s="31">
        <v>6333.78</v>
      </c>
      <c r="P150" s="42" t="s">
        <v>459</v>
      </c>
      <c r="Q150" s="42" t="s">
        <v>460</v>
      </c>
      <c r="R150" s="43" t="s">
        <v>1050</v>
      </c>
      <c r="S150" s="44">
        <v>34</v>
      </c>
      <c r="T150" s="31">
        <v>15926632.756603671</v>
      </c>
      <c r="U150" s="31">
        <v>466852.17999999993</v>
      </c>
      <c r="V150" s="31">
        <v>30196.400000000001</v>
      </c>
      <c r="W150" s="31">
        <v>54893.1</v>
      </c>
      <c r="X150" s="31">
        <v>2405195.2613876211</v>
      </c>
      <c r="Y150" s="31">
        <v>1156099.4702142794</v>
      </c>
      <c r="Z150" s="31">
        <v>1228742.993209118</v>
      </c>
      <c r="AA150" s="31">
        <f t="shared" si="13"/>
        <v>21275251.801414691</v>
      </c>
      <c r="AB150" s="31">
        <v>6639.64</v>
      </c>
      <c r="AD150" s="42" t="s">
        <v>459</v>
      </c>
      <c r="AE150" s="42" t="s">
        <v>460</v>
      </c>
      <c r="AF150" s="43" t="s">
        <v>1275</v>
      </c>
      <c r="AG150" s="44">
        <v>34</v>
      </c>
      <c r="AH150" s="31">
        <v>16214724.989342339</v>
      </c>
      <c r="AI150" s="31">
        <v>474990.09</v>
      </c>
      <c r="AJ150" s="31">
        <v>30722.860000000004</v>
      </c>
      <c r="AK150" s="31">
        <v>55850.15</v>
      </c>
      <c r="AL150" s="31">
        <v>2447439.7352478108</v>
      </c>
      <c r="AM150" s="31">
        <v>1154247.4325705359</v>
      </c>
      <c r="AN150" s="31">
        <v>1250364.5424604164</v>
      </c>
      <c r="AO150" s="31">
        <f t="shared" si="14"/>
        <v>21635096.7696211</v>
      </c>
      <c r="AP150" s="31">
        <v>6756.97</v>
      </c>
      <c r="AR150" s="42" t="s">
        <v>459</v>
      </c>
      <c r="AS150" s="42" t="s">
        <v>460</v>
      </c>
      <c r="AT150" s="43" t="s">
        <v>1276</v>
      </c>
      <c r="AU150" s="44">
        <v>34</v>
      </c>
      <c r="AV150" s="31">
        <v>16522715.885419782</v>
      </c>
      <c r="AW150" s="31">
        <v>483705.79</v>
      </c>
      <c r="AX150" s="31">
        <v>31286.720000000001</v>
      </c>
      <c r="AY150" s="31">
        <v>56875.149999999994</v>
      </c>
      <c r="AZ150" s="31">
        <v>2492683.3568526041</v>
      </c>
      <c r="BA150" s="31">
        <v>1154300.3479317855</v>
      </c>
      <c r="BB150" s="31">
        <v>1273520.4839841567</v>
      </c>
      <c r="BC150" s="31">
        <f t="shared" si="15"/>
        <v>22021970.384188324</v>
      </c>
      <c r="BD150" s="31">
        <v>6882.65</v>
      </c>
    </row>
    <row r="151" spans="2:56">
      <c r="B151" s="42" t="s">
        <v>189</v>
      </c>
      <c r="C151" s="42" t="s">
        <v>190</v>
      </c>
      <c r="D151" s="43" t="s">
        <v>1049</v>
      </c>
      <c r="E151" s="44">
        <v>34</v>
      </c>
      <c r="F151" s="31">
        <v>35550269.369757548</v>
      </c>
      <c r="G151" s="31">
        <v>99369.8</v>
      </c>
      <c r="H151" s="31">
        <v>280945.52999999997</v>
      </c>
      <c r="I151" s="31">
        <v>129745.33</v>
      </c>
      <c r="J151" s="31">
        <v>4023710.8173615173</v>
      </c>
      <c r="K151" s="31">
        <v>1713918.2668713848</v>
      </c>
      <c r="L151" s="31">
        <v>3052215.7787711304</v>
      </c>
      <c r="M151" s="31">
        <f t="shared" si="12"/>
        <v>44850174.892761581</v>
      </c>
      <c r="N151" s="31">
        <v>0</v>
      </c>
      <c r="P151" s="42" t="s">
        <v>189</v>
      </c>
      <c r="Q151" s="42" t="s">
        <v>190</v>
      </c>
      <c r="R151" s="43" t="s">
        <v>1050</v>
      </c>
      <c r="S151" s="44">
        <v>34</v>
      </c>
      <c r="T151" s="31">
        <v>38743730.847852305</v>
      </c>
      <c r="U151" s="31">
        <v>108355.51000000001</v>
      </c>
      <c r="V151" s="31">
        <v>298878.64000000007</v>
      </c>
      <c r="W151" s="31">
        <v>141390.73000000001</v>
      </c>
      <c r="X151" s="31">
        <v>4253341.6614059834</v>
      </c>
      <c r="Y151" s="31">
        <v>1715780.3610920869</v>
      </c>
      <c r="Z151" s="31">
        <v>3238114.6100513404</v>
      </c>
      <c r="AA151" s="31">
        <f t="shared" si="13"/>
        <v>48499592.360401712</v>
      </c>
      <c r="AB151" s="31">
        <v>0</v>
      </c>
      <c r="AD151" s="42" t="s">
        <v>189</v>
      </c>
      <c r="AE151" s="42" t="s">
        <v>190</v>
      </c>
      <c r="AF151" s="43" t="s">
        <v>1275</v>
      </c>
      <c r="AG151" s="44">
        <v>34</v>
      </c>
      <c r="AH151" s="31">
        <v>38358784.704103589</v>
      </c>
      <c r="AI151" s="31">
        <v>107591.33</v>
      </c>
      <c r="AJ151" s="31">
        <v>304190.08000000002</v>
      </c>
      <c r="AK151" s="31">
        <v>140357.79999999999</v>
      </c>
      <c r="AL151" s="31">
        <v>4326672.8888875172</v>
      </c>
      <c r="AM151" s="31">
        <v>1714322.1234957955</v>
      </c>
      <c r="AN151" s="31">
        <v>3295912.5037655141</v>
      </c>
      <c r="AO151" s="31">
        <f t="shared" si="14"/>
        <v>48247831.43025241</v>
      </c>
      <c r="AP151" s="31">
        <v>0</v>
      </c>
      <c r="AR151" s="42" t="s">
        <v>189</v>
      </c>
      <c r="AS151" s="42" t="s">
        <v>190</v>
      </c>
      <c r="AT151" s="43" t="s">
        <v>1276</v>
      </c>
      <c r="AU151" s="44">
        <v>34</v>
      </c>
      <c r="AV151" s="31">
        <v>37785893.473481581</v>
      </c>
      <c r="AW151" s="31">
        <v>105991.44</v>
      </c>
      <c r="AX151" s="31">
        <v>309878.63000000006</v>
      </c>
      <c r="AY151" s="31">
        <v>138249.71</v>
      </c>
      <c r="AZ151" s="31">
        <v>4418151.4554661941</v>
      </c>
      <c r="BA151" s="31">
        <v>1714363.787427118</v>
      </c>
      <c r="BB151" s="31">
        <v>3357812.3236709931</v>
      </c>
      <c r="BC151" s="31">
        <f t="shared" si="15"/>
        <v>47830340.820045888</v>
      </c>
      <c r="BD151" s="31">
        <v>0</v>
      </c>
    </row>
    <row r="152" spans="2:56">
      <c r="B152" s="42" t="s">
        <v>547</v>
      </c>
      <c r="C152" s="42" t="s">
        <v>548</v>
      </c>
      <c r="D152" s="43" t="s">
        <v>1049</v>
      </c>
      <c r="E152" s="44">
        <v>34</v>
      </c>
      <c r="F152" s="31">
        <v>15099250.123553924</v>
      </c>
      <c r="G152" s="31">
        <v>431748.79</v>
      </c>
      <c r="H152" s="31">
        <v>298058.50999999995</v>
      </c>
      <c r="I152" s="31">
        <v>51403.549999999996</v>
      </c>
      <c r="J152" s="31">
        <v>1877838.7227489632</v>
      </c>
      <c r="K152" s="31">
        <v>1004557.9005241829</v>
      </c>
      <c r="L152" s="31">
        <v>571186.91942863446</v>
      </c>
      <c r="M152" s="31">
        <f t="shared" si="12"/>
        <v>19334044.516255707</v>
      </c>
      <c r="N152" s="31">
        <v>0</v>
      </c>
      <c r="P152" s="42" t="s">
        <v>547</v>
      </c>
      <c r="Q152" s="42" t="s">
        <v>548</v>
      </c>
      <c r="R152" s="43" t="s">
        <v>1050</v>
      </c>
      <c r="S152" s="44">
        <v>34</v>
      </c>
      <c r="T152" s="31">
        <v>16349097.762419822</v>
      </c>
      <c r="U152" s="31">
        <v>466374.19999999995</v>
      </c>
      <c r="V152" s="31">
        <v>317287.38</v>
      </c>
      <c r="W152" s="31">
        <v>55593.54</v>
      </c>
      <c r="X152" s="31">
        <v>1990951.3474053727</v>
      </c>
      <c r="Y152" s="31">
        <v>1005419.1963387213</v>
      </c>
      <c r="Z152" s="31">
        <v>606180.89271325141</v>
      </c>
      <c r="AA152" s="31">
        <f t="shared" si="13"/>
        <v>20790904.318877168</v>
      </c>
      <c r="AB152" s="31">
        <v>0</v>
      </c>
      <c r="AD152" s="42" t="s">
        <v>547</v>
      </c>
      <c r="AE152" s="42" t="s">
        <v>548</v>
      </c>
      <c r="AF152" s="43" t="s">
        <v>1275</v>
      </c>
      <c r="AG152" s="44">
        <v>34</v>
      </c>
      <c r="AH152" s="31">
        <v>16557893.273106923</v>
      </c>
      <c r="AI152" s="31">
        <v>472117.81</v>
      </c>
      <c r="AJ152" s="31">
        <v>322858.36</v>
      </c>
      <c r="AK152" s="31">
        <v>56236.25</v>
      </c>
      <c r="AL152" s="31">
        <v>2024216.7940542428</v>
      </c>
      <c r="AM152" s="31">
        <v>1004757.6631251971</v>
      </c>
      <c r="AN152" s="31">
        <v>616902.69586070802</v>
      </c>
      <c r="AO152" s="31">
        <f t="shared" si="14"/>
        <v>21054982.846147072</v>
      </c>
      <c r="AP152" s="31">
        <v>0</v>
      </c>
      <c r="AR152" s="42" t="s">
        <v>547</v>
      </c>
      <c r="AS152" s="42" t="s">
        <v>548</v>
      </c>
      <c r="AT152" s="43" t="s">
        <v>1276</v>
      </c>
      <c r="AU152" s="44">
        <v>34</v>
      </c>
      <c r="AV152" s="31">
        <v>16953488.638881784</v>
      </c>
      <c r="AW152" s="31">
        <v>482201.02</v>
      </c>
      <c r="AX152" s="31">
        <v>328824.89</v>
      </c>
      <c r="AY152" s="31">
        <v>57501.919999999998</v>
      </c>
      <c r="AZ152" s="31">
        <v>2063767.9916659603</v>
      </c>
      <c r="BA152" s="31">
        <v>1004776.5640741549</v>
      </c>
      <c r="BB152" s="31">
        <v>628385.39797943411</v>
      </c>
      <c r="BC152" s="31">
        <f t="shared" si="15"/>
        <v>21518946.422601335</v>
      </c>
      <c r="BD152" s="31">
        <v>0</v>
      </c>
    </row>
    <row r="153" spans="2:56">
      <c r="B153" s="42" t="s">
        <v>337</v>
      </c>
      <c r="C153" s="42" t="s">
        <v>338</v>
      </c>
      <c r="D153" s="43" t="s">
        <v>1049</v>
      </c>
      <c r="E153" s="44">
        <v>34</v>
      </c>
      <c r="F153" s="31">
        <v>6157014.5915527493</v>
      </c>
      <c r="G153" s="31">
        <v>175689.22999999998</v>
      </c>
      <c r="H153" s="31">
        <v>36541.030000000006</v>
      </c>
      <c r="I153" s="31">
        <v>20073.189999999999</v>
      </c>
      <c r="J153" s="31">
        <v>759823.98901455023</v>
      </c>
      <c r="K153" s="31">
        <v>625921.68649680004</v>
      </c>
      <c r="L153" s="31">
        <v>347571.48274217802</v>
      </c>
      <c r="M153" s="31">
        <f t="shared" si="12"/>
        <v>8134620.6498062788</v>
      </c>
      <c r="N153" s="31">
        <v>11985.449999999999</v>
      </c>
      <c r="P153" s="42" t="s">
        <v>337</v>
      </c>
      <c r="Q153" s="42" t="s">
        <v>338</v>
      </c>
      <c r="R153" s="43" t="s">
        <v>1050</v>
      </c>
      <c r="S153" s="44">
        <v>34</v>
      </c>
      <c r="T153" s="31">
        <v>5933342.5259742746</v>
      </c>
      <c r="U153" s="31">
        <v>171312.06</v>
      </c>
      <c r="V153" s="31">
        <v>38912.87999999999</v>
      </c>
      <c r="W153" s="31">
        <v>19612.099999999999</v>
      </c>
      <c r="X153" s="31">
        <v>789955.34383142262</v>
      </c>
      <c r="Y153" s="31">
        <v>627991.9223103245</v>
      </c>
      <c r="Z153" s="31">
        <v>368935.66981845762</v>
      </c>
      <c r="AA153" s="31">
        <f t="shared" si="13"/>
        <v>7962626.7219344778</v>
      </c>
      <c r="AB153" s="31">
        <v>12564.219999999998</v>
      </c>
      <c r="AD153" s="42" t="s">
        <v>337</v>
      </c>
      <c r="AE153" s="42" t="s">
        <v>338</v>
      </c>
      <c r="AF153" s="43" t="s">
        <v>1275</v>
      </c>
      <c r="AG153" s="44">
        <v>34</v>
      </c>
      <c r="AH153" s="31">
        <v>6026227.3508783877</v>
      </c>
      <c r="AI153" s="31">
        <v>174295.88</v>
      </c>
      <c r="AJ153" s="31">
        <v>39591.319999999992</v>
      </c>
      <c r="AK153" s="31">
        <v>19954.04</v>
      </c>
      <c r="AL153" s="31">
        <v>801953.61210200179</v>
      </c>
      <c r="AM153" s="31">
        <v>626419.10144739028</v>
      </c>
      <c r="AN153" s="31">
        <v>375427.51638821</v>
      </c>
      <c r="AO153" s="31">
        <f t="shared" si="14"/>
        <v>8076655.0808159895</v>
      </c>
      <c r="AP153" s="31">
        <v>12786.26</v>
      </c>
      <c r="AR153" s="42" t="s">
        <v>337</v>
      </c>
      <c r="AS153" s="42" t="s">
        <v>338</v>
      </c>
      <c r="AT153" s="43" t="s">
        <v>1276</v>
      </c>
      <c r="AU153" s="44">
        <v>34</v>
      </c>
      <c r="AV153" s="31">
        <v>6120696.5879624244</v>
      </c>
      <c r="AW153" s="31">
        <v>177491.54</v>
      </c>
      <c r="AX153" s="31">
        <v>40317.929999999993</v>
      </c>
      <c r="AY153" s="31">
        <v>20320.25</v>
      </c>
      <c r="AZ153" s="31">
        <v>815368.80855589197</v>
      </c>
      <c r="BA153" s="31">
        <v>626464.03918633121</v>
      </c>
      <c r="BB153" s="31">
        <v>382380.06258861464</v>
      </c>
      <c r="BC153" s="31">
        <f t="shared" si="15"/>
        <v>8196063.2782932613</v>
      </c>
      <c r="BD153" s="31">
        <v>13024.059999999998</v>
      </c>
    </row>
    <row r="154" spans="2:56">
      <c r="B154" s="42" t="s">
        <v>419</v>
      </c>
      <c r="C154" s="42" t="s">
        <v>420</v>
      </c>
      <c r="D154" s="43" t="s">
        <v>1049</v>
      </c>
      <c r="E154" s="44">
        <v>34</v>
      </c>
      <c r="F154" s="31">
        <v>1844099.5345432186</v>
      </c>
      <c r="G154" s="31">
        <v>8282.64</v>
      </c>
      <c r="H154" s="31">
        <v>0</v>
      </c>
      <c r="I154" s="31">
        <v>0</v>
      </c>
      <c r="J154" s="31">
        <v>31456.565223040318</v>
      </c>
      <c r="K154" s="31">
        <v>97432.8</v>
      </c>
      <c r="L154" s="31">
        <v>0</v>
      </c>
      <c r="M154" s="31">
        <f t="shared" si="12"/>
        <v>1991015.8097662588</v>
      </c>
      <c r="N154" s="31">
        <v>9744.27</v>
      </c>
      <c r="P154" s="42" t="s">
        <v>419</v>
      </c>
      <c r="Q154" s="42" t="s">
        <v>420</v>
      </c>
      <c r="R154" s="43" t="s">
        <v>1050</v>
      </c>
      <c r="S154" s="44">
        <v>34</v>
      </c>
      <c r="T154" s="31">
        <v>2028529.0628545922</v>
      </c>
      <c r="U154" s="31">
        <v>22264.46</v>
      </c>
      <c r="V154" s="31">
        <v>0</v>
      </c>
      <c r="W154" s="31">
        <v>0</v>
      </c>
      <c r="X154" s="31">
        <v>32367.843414901217</v>
      </c>
      <c r="Y154" s="31">
        <v>97432.8</v>
      </c>
      <c r="Z154" s="31">
        <v>0</v>
      </c>
      <c r="AA154" s="31">
        <f t="shared" si="13"/>
        <v>2190808.9862694931</v>
      </c>
      <c r="AB154" s="31">
        <v>10214.82</v>
      </c>
      <c r="AD154" s="42" t="s">
        <v>419</v>
      </c>
      <c r="AE154" s="42" t="s">
        <v>420</v>
      </c>
      <c r="AF154" s="43" t="s">
        <v>1275</v>
      </c>
      <c r="AG154" s="44">
        <v>34</v>
      </c>
      <c r="AH154" s="31">
        <v>2067636.0600652755</v>
      </c>
      <c r="AI154" s="31">
        <v>24022.719999999998</v>
      </c>
      <c r="AJ154" s="31">
        <v>0</v>
      </c>
      <c r="AK154" s="31">
        <v>0</v>
      </c>
      <c r="AL154" s="31">
        <v>32677.642770471401</v>
      </c>
      <c r="AM154" s="31">
        <v>97432.8</v>
      </c>
      <c r="AN154" s="31">
        <v>0</v>
      </c>
      <c r="AO154" s="31">
        <f t="shared" si="14"/>
        <v>2232164.5628357464</v>
      </c>
      <c r="AP154" s="31">
        <v>10395.34</v>
      </c>
      <c r="AR154" s="42" t="s">
        <v>419</v>
      </c>
      <c r="AS154" s="42" t="s">
        <v>420</v>
      </c>
      <c r="AT154" s="43" t="s">
        <v>1276</v>
      </c>
      <c r="AU154" s="44">
        <v>34</v>
      </c>
      <c r="AV154" s="31">
        <v>2107273.9279802218</v>
      </c>
      <c r="AW154" s="31">
        <v>25106.120000000003</v>
      </c>
      <c r="AX154" s="31">
        <v>0</v>
      </c>
      <c r="AY154" s="31">
        <v>0</v>
      </c>
      <c r="AZ154" s="31">
        <v>33360.207178480385</v>
      </c>
      <c r="BA154" s="31">
        <v>97432.8</v>
      </c>
      <c r="BB154" s="31">
        <v>0</v>
      </c>
      <c r="BC154" s="31">
        <f t="shared" si="15"/>
        <v>2273761.7351587024</v>
      </c>
      <c r="BD154" s="31">
        <v>10588.68</v>
      </c>
    </row>
    <row r="155" spans="2:56">
      <c r="B155" s="42" t="s">
        <v>437</v>
      </c>
      <c r="C155" s="42" t="s">
        <v>438</v>
      </c>
      <c r="D155" s="43" t="s">
        <v>1049</v>
      </c>
      <c r="E155" s="44">
        <v>34</v>
      </c>
      <c r="F155" s="31">
        <v>51326406.287598133</v>
      </c>
      <c r="G155" s="31">
        <v>1305696.58</v>
      </c>
      <c r="H155" s="31">
        <v>1196276.8800000001</v>
      </c>
      <c r="I155" s="31">
        <v>188350.95</v>
      </c>
      <c r="J155" s="31">
        <v>7266986.8934142021</v>
      </c>
      <c r="K155" s="31">
        <v>3185444.8858588627</v>
      </c>
      <c r="L155" s="31">
        <v>4599506.8704378568</v>
      </c>
      <c r="M155" s="31">
        <f t="shared" si="12"/>
        <v>69265715.14730905</v>
      </c>
      <c r="N155" s="31">
        <v>197045.79999999996</v>
      </c>
      <c r="P155" s="42" t="s">
        <v>437</v>
      </c>
      <c r="Q155" s="42" t="s">
        <v>438</v>
      </c>
      <c r="R155" s="43" t="s">
        <v>1050</v>
      </c>
      <c r="S155" s="44">
        <v>34</v>
      </c>
      <c r="T155" s="31">
        <v>54715540.822784409</v>
      </c>
      <c r="U155" s="31">
        <v>1400098.24</v>
      </c>
      <c r="V155" s="31">
        <v>1272636.73</v>
      </c>
      <c r="W155" s="31">
        <v>201454.76999999996</v>
      </c>
      <c r="X155" s="31">
        <v>7661557.9863029318</v>
      </c>
      <c r="Y155" s="31">
        <v>3187565.0804141904</v>
      </c>
      <c r="Z155" s="31">
        <v>4879644.7267507501</v>
      </c>
      <c r="AA155" s="31">
        <f t="shared" si="13"/>
        <v>73525233.136252284</v>
      </c>
      <c r="AB155" s="31">
        <v>206734.77999999997</v>
      </c>
      <c r="AD155" s="42" t="s">
        <v>437</v>
      </c>
      <c r="AE155" s="42" t="s">
        <v>438</v>
      </c>
      <c r="AF155" s="43" t="s">
        <v>1275</v>
      </c>
      <c r="AG155" s="44">
        <v>34</v>
      </c>
      <c r="AH155" s="31">
        <v>55764514.659180962</v>
      </c>
      <c r="AI155" s="31">
        <v>1424936.6</v>
      </c>
      <c r="AJ155" s="31">
        <v>1295253.05</v>
      </c>
      <c r="AK155" s="31">
        <v>205034.87</v>
      </c>
      <c r="AL155" s="31">
        <v>7798196.1041719476</v>
      </c>
      <c r="AM155" s="31">
        <v>3185904.7200641832</v>
      </c>
      <c r="AN155" s="31">
        <v>4966742.7915344518</v>
      </c>
      <c r="AO155" s="31">
        <f t="shared" si="14"/>
        <v>74851034.614951536</v>
      </c>
      <c r="AP155" s="31">
        <v>210451.81999999998</v>
      </c>
      <c r="AR155" s="42" t="s">
        <v>437</v>
      </c>
      <c r="AS155" s="42" t="s">
        <v>438</v>
      </c>
      <c r="AT155" s="43" t="s">
        <v>1276</v>
      </c>
      <c r="AU155" s="44">
        <v>34</v>
      </c>
      <c r="AV155" s="31">
        <v>56883062.399063826</v>
      </c>
      <c r="AW155" s="31">
        <v>1451538.47</v>
      </c>
      <c r="AX155" s="31">
        <v>1319475.1300000001</v>
      </c>
      <c r="AY155" s="31">
        <v>208869.15000000002</v>
      </c>
      <c r="AZ155" s="31">
        <v>7944535.4373470759</v>
      </c>
      <c r="BA155" s="31">
        <v>3185952.1589313266</v>
      </c>
      <c r="BB155" s="31">
        <v>5060022.2205249947</v>
      </c>
      <c r="BC155" s="31">
        <f t="shared" si="15"/>
        <v>76267887.745867223</v>
      </c>
      <c r="BD155" s="31">
        <v>214432.77999999997</v>
      </c>
    </row>
    <row r="156" spans="2:56">
      <c r="B156" s="42" t="s">
        <v>149</v>
      </c>
      <c r="C156" s="42" t="s">
        <v>150</v>
      </c>
      <c r="D156" s="43" t="s">
        <v>1049</v>
      </c>
      <c r="E156" s="44">
        <v>34</v>
      </c>
      <c r="F156" s="31">
        <v>10514465.054648466</v>
      </c>
      <c r="G156" s="31">
        <v>319090.32</v>
      </c>
      <c r="H156" s="31">
        <v>42168.749999999993</v>
      </c>
      <c r="I156" s="31">
        <v>39344.04</v>
      </c>
      <c r="J156" s="31">
        <v>1869143.542256271</v>
      </c>
      <c r="K156" s="31">
        <v>597041.3099596122</v>
      </c>
      <c r="L156" s="31">
        <v>1525886.8133305199</v>
      </c>
      <c r="M156" s="31">
        <f t="shared" si="12"/>
        <v>14907139.83019487</v>
      </c>
      <c r="N156" s="31">
        <v>0</v>
      </c>
      <c r="P156" s="42" t="s">
        <v>149</v>
      </c>
      <c r="Q156" s="42" t="s">
        <v>150</v>
      </c>
      <c r="R156" s="43" t="s">
        <v>1050</v>
      </c>
      <c r="S156" s="44">
        <v>34</v>
      </c>
      <c r="T156" s="31">
        <v>11365669.539402688</v>
      </c>
      <c r="U156" s="31">
        <v>343905.36</v>
      </c>
      <c r="V156" s="31">
        <v>44894.57</v>
      </c>
      <c r="W156" s="31">
        <v>42424.299999999996</v>
      </c>
      <c r="X156" s="31">
        <v>1983426.0716715318</v>
      </c>
      <c r="Y156" s="31">
        <v>598643.48603059375</v>
      </c>
      <c r="Z156" s="31">
        <v>1619538.1234296262</v>
      </c>
      <c r="AA156" s="31">
        <f t="shared" si="13"/>
        <v>15998501.450534441</v>
      </c>
      <c r="AB156" s="31">
        <v>0</v>
      </c>
      <c r="AD156" s="42" t="s">
        <v>149</v>
      </c>
      <c r="AE156" s="42" t="s">
        <v>150</v>
      </c>
      <c r="AF156" s="43" t="s">
        <v>1275</v>
      </c>
      <c r="AG156" s="44">
        <v>34</v>
      </c>
      <c r="AH156" s="31">
        <v>11569893.27188071</v>
      </c>
      <c r="AI156" s="31">
        <v>349930.06</v>
      </c>
      <c r="AJ156" s="31">
        <v>45681.060000000005</v>
      </c>
      <c r="AK156" s="31">
        <v>43167.499999999993</v>
      </c>
      <c r="AL156" s="31">
        <v>2018368.3727249624</v>
      </c>
      <c r="AM156" s="31">
        <v>597426.26433339785</v>
      </c>
      <c r="AN156" s="31">
        <v>1648114.2042136893</v>
      </c>
      <c r="AO156" s="31">
        <f t="shared" si="14"/>
        <v>16272580.733152762</v>
      </c>
      <c r="AP156" s="31">
        <v>0</v>
      </c>
      <c r="AR156" s="42" t="s">
        <v>149</v>
      </c>
      <c r="AS156" s="42" t="s">
        <v>150</v>
      </c>
      <c r="AT156" s="43" t="s">
        <v>1276</v>
      </c>
      <c r="AU156" s="44">
        <v>34</v>
      </c>
      <c r="AV156" s="31">
        <v>11788341.873451862</v>
      </c>
      <c r="AW156" s="31">
        <v>356382.5</v>
      </c>
      <c r="AX156" s="31">
        <v>46523.38</v>
      </c>
      <c r="AY156" s="31">
        <v>43963.479999999996</v>
      </c>
      <c r="AZ156" s="31">
        <v>2055791.4311626481</v>
      </c>
      <c r="BA156" s="31">
        <v>597461.0420961749</v>
      </c>
      <c r="BB156" s="31">
        <v>1678718.2346082204</v>
      </c>
      <c r="BC156" s="31">
        <f t="shared" si="15"/>
        <v>16567181.941318907</v>
      </c>
      <c r="BD156" s="31">
        <v>0</v>
      </c>
    </row>
    <row r="157" spans="2:56">
      <c r="B157" s="42" t="s">
        <v>277</v>
      </c>
      <c r="C157" s="42" t="s">
        <v>278</v>
      </c>
      <c r="D157" s="43" t="s">
        <v>1049</v>
      </c>
      <c r="E157" s="44">
        <v>34</v>
      </c>
      <c r="F157" s="31">
        <v>3341744.4737876356</v>
      </c>
      <c r="G157" s="31">
        <v>140025.21000000002</v>
      </c>
      <c r="H157" s="31">
        <v>0</v>
      </c>
      <c r="I157" s="31">
        <v>10718.71</v>
      </c>
      <c r="J157" s="31">
        <v>435725.09957905917</v>
      </c>
      <c r="K157" s="31">
        <v>254336.19515466917</v>
      </c>
      <c r="L157" s="31">
        <v>730697.93245293933</v>
      </c>
      <c r="M157" s="31">
        <f t="shared" si="12"/>
        <v>5024137.4409743035</v>
      </c>
      <c r="N157" s="31">
        <v>110889.81999999999</v>
      </c>
      <c r="P157" s="42" t="s">
        <v>277</v>
      </c>
      <c r="Q157" s="42" t="s">
        <v>278</v>
      </c>
      <c r="R157" s="43" t="s">
        <v>1050</v>
      </c>
      <c r="S157" s="44">
        <v>34</v>
      </c>
      <c r="T157" s="31">
        <v>2938043.2183977584</v>
      </c>
      <c r="U157" s="31">
        <v>123666.19999999995</v>
      </c>
      <c r="V157" s="31">
        <v>0</v>
      </c>
      <c r="W157" s="31">
        <v>9339.0799999999981</v>
      </c>
      <c r="X157" s="31">
        <v>455675.20085111551</v>
      </c>
      <c r="Y157" s="31">
        <v>254720.99194658356</v>
      </c>
      <c r="Z157" s="31">
        <v>783158.0979883197</v>
      </c>
      <c r="AA157" s="31">
        <f t="shared" si="13"/>
        <v>4680847.4091837769</v>
      </c>
      <c r="AB157" s="31">
        <v>116244.62</v>
      </c>
      <c r="AD157" s="42" t="s">
        <v>277</v>
      </c>
      <c r="AE157" s="42" t="s">
        <v>278</v>
      </c>
      <c r="AF157" s="43" t="s">
        <v>1275</v>
      </c>
      <c r="AG157" s="44">
        <v>34</v>
      </c>
      <c r="AH157" s="31">
        <v>3041510.5988067416</v>
      </c>
      <c r="AI157" s="31">
        <v>126956.04999999999</v>
      </c>
      <c r="AJ157" s="31">
        <v>0</v>
      </c>
      <c r="AK157" s="31">
        <v>9501.8999999999978</v>
      </c>
      <c r="AL157" s="31">
        <v>465225.46399564802</v>
      </c>
      <c r="AM157" s="31">
        <v>254428.65016679239</v>
      </c>
      <c r="AN157" s="31">
        <v>796936.96794556291</v>
      </c>
      <c r="AO157" s="31">
        <f t="shared" si="14"/>
        <v>4812858.5509147448</v>
      </c>
      <c r="AP157" s="31">
        <v>118298.92000000001</v>
      </c>
      <c r="AR157" s="42" t="s">
        <v>277</v>
      </c>
      <c r="AS157" s="42" t="s">
        <v>278</v>
      </c>
      <c r="AT157" s="43" t="s">
        <v>1276</v>
      </c>
      <c r="AU157" s="44">
        <v>34</v>
      </c>
      <c r="AV157" s="31">
        <v>3159895.9026869633</v>
      </c>
      <c r="AW157" s="31">
        <v>130439.66</v>
      </c>
      <c r="AX157" s="31">
        <v>0</v>
      </c>
      <c r="AY157" s="31">
        <v>9783.8199999999961</v>
      </c>
      <c r="AZ157" s="31">
        <v>474674.28705184074</v>
      </c>
      <c r="BA157" s="31">
        <v>254437.00278907217</v>
      </c>
      <c r="BB157" s="31">
        <v>811693.67202157015</v>
      </c>
      <c r="BC157" s="31">
        <f t="shared" si="15"/>
        <v>4961423.404549446</v>
      </c>
      <c r="BD157" s="31">
        <v>120499.06</v>
      </c>
    </row>
    <row r="158" spans="2:56">
      <c r="B158" s="42" t="s">
        <v>133</v>
      </c>
      <c r="C158" s="42" t="s">
        <v>134</v>
      </c>
      <c r="D158" s="43" t="s">
        <v>1049</v>
      </c>
      <c r="E158" s="44">
        <v>34</v>
      </c>
      <c r="F158" s="31">
        <v>69232191.206650376</v>
      </c>
      <c r="G158" s="31">
        <v>3448051.8400000008</v>
      </c>
      <c r="H158" s="31">
        <v>1891238.13</v>
      </c>
      <c r="I158" s="31">
        <v>243025.16</v>
      </c>
      <c r="J158" s="31">
        <v>11155260.835700126</v>
      </c>
      <c r="K158" s="31">
        <v>4264990.2661867626</v>
      </c>
      <c r="L158" s="31">
        <v>6286754.6413683398</v>
      </c>
      <c r="M158" s="31">
        <f t="shared" si="12"/>
        <v>98767855.459905595</v>
      </c>
      <c r="N158" s="31">
        <v>2246343.38</v>
      </c>
      <c r="P158" s="42" t="s">
        <v>133</v>
      </c>
      <c r="Q158" s="42" t="s">
        <v>134</v>
      </c>
      <c r="R158" s="43" t="s">
        <v>1050</v>
      </c>
      <c r="S158" s="44">
        <v>34</v>
      </c>
      <c r="T158" s="31">
        <v>75840271.695563778</v>
      </c>
      <c r="U158" s="31">
        <v>3788630.6300000004</v>
      </c>
      <c r="V158" s="31">
        <v>1996450.33</v>
      </c>
      <c r="W158" s="31">
        <v>264532.06</v>
      </c>
      <c r="X158" s="31">
        <v>11648125.572810385</v>
      </c>
      <c r="Y158" s="31">
        <v>4276159.7893174244</v>
      </c>
      <c r="Z158" s="31">
        <v>6688240.6055373764</v>
      </c>
      <c r="AA158" s="31">
        <f t="shared" si="13"/>
        <v>106837526.96322896</v>
      </c>
      <c r="AB158" s="31">
        <v>2335116.2799999998</v>
      </c>
      <c r="AD158" s="42" t="s">
        <v>133</v>
      </c>
      <c r="AE158" s="42" t="s">
        <v>134</v>
      </c>
      <c r="AF158" s="43" t="s">
        <v>1275</v>
      </c>
      <c r="AG158" s="44">
        <v>34</v>
      </c>
      <c r="AH158" s="31">
        <v>77244265.852639899</v>
      </c>
      <c r="AI158" s="31">
        <v>3860992.4900000007</v>
      </c>
      <c r="AJ158" s="31">
        <v>2031384.3900000001</v>
      </c>
      <c r="AK158" s="31">
        <v>269594.30000000005</v>
      </c>
      <c r="AL158" s="31">
        <v>11836556.26126967</v>
      </c>
      <c r="AM158" s="31">
        <v>4267618.0766953239</v>
      </c>
      <c r="AN158" s="31">
        <v>6806177.6688220929</v>
      </c>
      <c r="AO158" s="31">
        <f t="shared" si="14"/>
        <v>108693107.14942698</v>
      </c>
      <c r="AP158" s="31">
        <v>2376518.11</v>
      </c>
      <c r="AR158" s="42" t="s">
        <v>133</v>
      </c>
      <c r="AS158" s="42" t="s">
        <v>134</v>
      </c>
      <c r="AT158" s="43" t="s">
        <v>1276</v>
      </c>
      <c r="AU158" s="44">
        <v>34</v>
      </c>
      <c r="AV158" s="31">
        <v>79017792.428868338</v>
      </c>
      <c r="AW158" s="31">
        <v>3940583.63</v>
      </c>
      <c r="AX158" s="31">
        <v>2068798.7700000003</v>
      </c>
      <c r="AY158" s="31">
        <v>275221.86000000004</v>
      </c>
      <c r="AZ158" s="31">
        <v>12071591.796050802</v>
      </c>
      <c r="BA158" s="31">
        <v>4267862.1256273836</v>
      </c>
      <c r="BB158" s="31">
        <v>6932484.528452822</v>
      </c>
      <c r="BC158" s="31">
        <f t="shared" si="15"/>
        <v>110995194.58899935</v>
      </c>
      <c r="BD158" s="31">
        <v>2420859.4500000002</v>
      </c>
    </row>
    <row r="159" spans="2:56">
      <c r="B159" s="42" t="s">
        <v>275</v>
      </c>
      <c r="C159" s="42" t="s">
        <v>276</v>
      </c>
      <c r="D159" s="43" t="s">
        <v>1049</v>
      </c>
      <c r="E159" s="44">
        <v>34</v>
      </c>
      <c r="F159" s="31">
        <v>5039134.5883529764</v>
      </c>
      <c r="G159" s="31">
        <v>233667.65999999997</v>
      </c>
      <c r="H159" s="31">
        <v>88478.000000000015</v>
      </c>
      <c r="I159" s="31">
        <v>16175.490000000002</v>
      </c>
      <c r="J159" s="31">
        <v>701295.64029573591</v>
      </c>
      <c r="K159" s="31">
        <v>400505.78742226813</v>
      </c>
      <c r="L159" s="31">
        <v>433914.95655061537</v>
      </c>
      <c r="M159" s="31">
        <f t="shared" si="12"/>
        <v>7079799.2026215959</v>
      </c>
      <c r="N159" s="31">
        <v>166627.08000000002</v>
      </c>
      <c r="P159" s="42" t="s">
        <v>275</v>
      </c>
      <c r="Q159" s="42" t="s">
        <v>276</v>
      </c>
      <c r="R159" s="43" t="s">
        <v>1050</v>
      </c>
      <c r="S159" s="44">
        <v>34</v>
      </c>
      <c r="T159" s="31">
        <v>4934154.8890097253</v>
      </c>
      <c r="U159" s="31">
        <v>231161.92999999993</v>
      </c>
      <c r="V159" s="31">
        <v>94221.03</v>
      </c>
      <c r="W159" s="31">
        <v>15772.68</v>
      </c>
      <c r="X159" s="31">
        <v>739818.7429853616</v>
      </c>
      <c r="Y159" s="31">
        <v>401268.60461419355</v>
      </c>
      <c r="Z159" s="31">
        <v>464921.14689173852</v>
      </c>
      <c r="AA159" s="31">
        <f t="shared" si="13"/>
        <v>7055992.4135010177</v>
      </c>
      <c r="AB159" s="31">
        <v>174673.39</v>
      </c>
      <c r="AD159" s="42" t="s">
        <v>275</v>
      </c>
      <c r="AE159" s="42" t="s">
        <v>276</v>
      </c>
      <c r="AF159" s="43" t="s">
        <v>1275</v>
      </c>
      <c r="AG159" s="44">
        <v>34</v>
      </c>
      <c r="AH159" s="31">
        <v>5034066.5989799555</v>
      </c>
      <c r="AI159" s="31">
        <v>236417.65999999997</v>
      </c>
      <c r="AJ159" s="31">
        <v>95863.760000000009</v>
      </c>
      <c r="AK159" s="31">
        <v>16153.26</v>
      </c>
      <c r="AL159" s="31">
        <v>753097.76371083898</v>
      </c>
      <c r="AM159" s="31">
        <v>400689.0692848232</v>
      </c>
      <c r="AN159" s="31">
        <v>473101.02407303965</v>
      </c>
      <c r="AO159" s="31">
        <f t="shared" si="14"/>
        <v>7187149.386048656</v>
      </c>
      <c r="AP159" s="31">
        <v>177760.25</v>
      </c>
      <c r="AR159" s="42" t="s">
        <v>275</v>
      </c>
      <c r="AS159" s="42" t="s">
        <v>276</v>
      </c>
      <c r="AT159" s="43" t="s">
        <v>1276</v>
      </c>
      <c r="AU159" s="44">
        <v>34</v>
      </c>
      <c r="AV159" s="31">
        <v>5178926.5404463634</v>
      </c>
      <c r="AW159" s="31">
        <v>242540.67000000004</v>
      </c>
      <c r="AX159" s="31">
        <v>97623.12000000001</v>
      </c>
      <c r="AY159" s="31">
        <v>16557.23</v>
      </c>
      <c r="AZ159" s="31">
        <v>768093.64350078802</v>
      </c>
      <c r="BA159" s="31">
        <v>400705.62743709085</v>
      </c>
      <c r="BB159" s="31">
        <v>481861.39609981311</v>
      </c>
      <c r="BC159" s="31">
        <f t="shared" si="15"/>
        <v>7367374.4974840563</v>
      </c>
      <c r="BD159" s="31">
        <v>181066.27000000002</v>
      </c>
    </row>
    <row r="160" spans="2:56">
      <c r="B160" s="42" t="s">
        <v>609</v>
      </c>
      <c r="C160" s="42" t="s">
        <v>610</v>
      </c>
      <c r="D160" s="43" t="s">
        <v>1049</v>
      </c>
      <c r="E160" s="44">
        <v>34</v>
      </c>
      <c r="F160" s="31">
        <v>6996307.0938488375</v>
      </c>
      <c r="G160" s="31">
        <v>510405.02000000014</v>
      </c>
      <c r="H160" s="31">
        <v>193326.38000000003</v>
      </c>
      <c r="I160" s="31">
        <v>23093.929999999997</v>
      </c>
      <c r="J160" s="31">
        <v>1034088.0899749969</v>
      </c>
      <c r="K160" s="31">
        <v>762266.82274795126</v>
      </c>
      <c r="L160" s="31">
        <v>223027.36280289176</v>
      </c>
      <c r="M160" s="31">
        <f t="shared" si="12"/>
        <v>9976279.8193746768</v>
      </c>
      <c r="N160" s="31">
        <v>233765.11999999997</v>
      </c>
      <c r="P160" s="42" t="s">
        <v>609</v>
      </c>
      <c r="Q160" s="42" t="s">
        <v>610</v>
      </c>
      <c r="R160" s="43" t="s">
        <v>1050</v>
      </c>
      <c r="S160" s="44">
        <v>34</v>
      </c>
      <c r="T160" s="31">
        <v>7811598.1080803424</v>
      </c>
      <c r="U160" s="31">
        <v>566928.42999999993</v>
      </c>
      <c r="V160" s="31">
        <v>205875.04</v>
      </c>
      <c r="W160" s="31">
        <v>25423.08</v>
      </c>
      <c r="X160" s="31">
        <v>1096889.8034008807</v>
      </c>
      <c r="Y160" s="31">
        <v>764083.1246992253</v>
      </c>
      <c r="Z160" s="31">
        <v>238995.37395278452</v>
      </c>
      <c r="AA160" s="31">
        <f t="shared" si="13"/>
        <v>10954846.440133231</v>
      </c>
      <c r="AB160" s="31">
        <v>245053.47999999998</v>
      </c>
      <c r="AD160" s="42" t="s">
        <v>609</v>
      </c>
      <c r="AE160" s="42" t="s">
        <v>610</v>
      </c>
      <c r="AF160" s="43" t="s">
        <v>1275</v>
      </c>
      <c r="AG160" s="44">
        <v>34</v>
      </c>
      <c r="AH160" s="31">
        <v>7941670.2819301514</v>
      </c>
      <c r="AI160" s="31">
        <v>575487.64999999991</v>
      </c>
      <c r="AJ160" s="31">
        <v>209464.43000000002</v>
      </c>
      <c r="AK160" s="31">
        <v>25866.33</v>
      </c>
      <c r="AL160" s="31">
        <v>1116301.0818277053</v>
      </c>
      <c r="AM160" s="31">
        <v>762703.22508407524</v>
      </c>
      <c r="AN160" s="31">
        <v>243200.13564727386</v>
      </c>
      <c r="AO160" s="31">
        <f t="shared" si="14"/>
        <v>11124077.244489206</v>
      </c>
      <c r="AP160" s="31">
        <v>249384.11</v>
      </c>
      <c r="AR160" s="42" t="s">
        <v>609</v>
      </c>
      <c r="AS160" s="42" t="s">
        <v>610</v>
      </c>
      <c r="AT160" s="43" t="s">
        <v>1276</v>
      </c>
      <c r="AU160" s="44">
        <v>34</v>
      </c>
      <c r="AV160" s="31">
        <v>7983380.0200157473</v>
      </c>
      <c r="AW160" s="31">
        <v>577064.50999999989</v>
      </c>
      <c r="AX160" s="31">
        <v>213308.67</v>
      </c>
      <c r="AY160" s="31">
        <v>25911.000000000004</v>
      </c>
      <c r="AZ160" s="31">
        <v>1136912.6543880794</v>
      </c>
      <c r="BA160" s="31">
        <v>762742.65078736516</v>
      </c>
      <c r="BB160" s="31">
        <v>247703.29324287185</v>
      </c>
      <c r="BC160" s="31">
        <f t="shared" si="15"/>
        <v>11201045.008434065</v>
      </c>
      <c r="BD160" s="31">
        <v>254022.21</v>
      </c>
    </row>
    <row r="161" spans="2:56">
      <c r="B161" s="42" t="s">
        <v>551</v>
      </c>
      <c r="C161" s="42" t="s">
        <v>552</v>
      </c>
      <c r="D161" s="43" t="s">
        <v>1049</v>
      </c>
      <c r="E161" s="44">
        <v>34</v>
      </c>
      <c r="F161" s="31">
        <v>14444704.936698059</v>
      </c>
      <c r="G161" s="31">
        <v>625768.49</v>
      </c>
      <c r="H161" s="31">
        <v>155175.93000000002</v>
      </c>
      <c r="I161" s="31">
        <v>50970.990000000005</v>
      </c>
      <c r="J161" s="31">
        <v>2343696.0587622183</v>
      </c>
      <c r="K161" s="31">
        <v>1709965.2634148283</v>
      </c>
      <c r="L161" s="31">
        <v>918636.55672917771</v>
      </c>
      <c r="M161" s="31">
        <f t="shared" si="12"/>
        <v>20657332.645604286</v>
      </c>
      <c r="N161" s="31">
        <v>408414.42</v>
      </c>
      <c r="P161" s="42" t="s">
        <v>551</v>
      </c>
      <c r="Q161" s="42" t="s">
        <v>552</v>
      </c>
      <c r="R161" s="43" t="s">
        <v>1050</v>
      </c>
      <c r="S161" s="44">
        <v>34</v>
      </c>
      <c r="T161" s="31">
        <v>16901085.272599496</v>
      </c>
      <c r="U161" s="31">
        <v>725926.37999999989</v>
      </c>
      <c r="V161" s="31">
        <v>165131.42999999996</v>
      </c>
      <c r="W161" s="31">
        <v>58598.720000000008</v>
      </c>
      <c r="X161" s="31">
        <v>2488248.4766036253</v>
      </c>
      <c r="Y161" s="31">
        <v>1714465.4236806745</v>
      </c>
      <c r="Z161" s="31">
        <v>984230.35769047891</v>
      </c>
      <c r="AA161" s="31">
        <f t="shared" si="13"/>
        <v>23466074.150574271</v>
      </c>
      <c r="AB161" s="31">
        <v>428388.09</v>
      </c>
      <c r="AD161" s="42" t="s">
        <v>551</v>
      </c>
      <c r="AE161" s="42" t="s">
        <v>552</v>
      </c>
      <c r="AF161" s="43" t="s">
        <v>1275</v>
      </c>
      <c r="AG161" s="44">
        <v>34</v>
      </c>
      <c r="AH161" s="31">
        <v>17002240.909449033</v>
      </c>
      <c r="AI161" s="31">
        <v>729674.25999999978</v>
      </c>
      <c r="AJ161" s="31">
        <v>168049.27</v>
      </c>
      <c r="AK161" s="31">
        <v>58933.939999999995</v>
      </c>
      <c r="AL161" s="31">
        <v>2534958.6689377939</v>
      </c>
      <c r="AM161" s="31">
        <v>1710973.9979334243</v>
      </c>
      <c r="AN161" s="31">
        <v>1001720.3522754619</v>
      </c>
      <c r="AO161" s="31">
        <f t="shared" si="14"/>
        <v>23642602.118595712</v>
      </c>
      <c r="AP161" s="31">
        <v>436050.72000000003</v>
      </c>
      <c r="AR161" s="42" t="s">
        <v>551</v>
      </c>
      <c r="AS161" s="42" t="s">
        <v>552</v>
      </c>
      <c r="AT161" s="43" t="s">
        <v>1276</v>
      </c>
      <c r="AU161" s="44">
        <v>34</v>
      </c>
      <c r="AV161" s="31">
        <v>17249319.859858993</v>
      </c>
      <c r="AW161" s="31">
        <v>738033.64999999979</v>
      </c>
      <c r="AX161" s="31">
        <v>171174.26</v>
      </c>
      <c r="AY161" s="31">
        <v>59554.380000000012</v>
      </c>
      <c r="AZ161" s="31">
        <v>2588415.069004002</v>
      </c>
      <c r="BA161" s="31">
        <v>1711073.7529547745</v>
      </c>
      <c r="BB161" s="31">
        <v>1020451.597134578</v>
      </c>
      <c r="BC161" s="31">
        <f t="shared" si="15"/>
        <v>23982279.968952347</v>
      </c>
      <c r="BD161" s="31">
        <v>444257.4</v>
      </c>
    </row>
    <row r="162" spans="2:56">
      <c r="B162" s="42" t="s">
        <v>417</v>
      </c>
      <c r="C162" s="42" t="s">
        <v>418</v>
      </c>
      <c r="D162" s="43" t="s">
        <v>1049</v>
      </c>
      <c r="E162" s="44">
        <v>34</v>
      </c>
      <c r="F162" s="31">
        <v>634310.17303443793</v>
      </c>
      <c r="G162" s="31">
        <v>8823.77</v>
      </c>
      <c r="H162" s="31">
        <v>0</v>
      </c>
      <c r="I162" s="31">
        <v>1744.22</v>
      </c>
      <c r="J162" s="31">
        <v>42566.034649388181</v>
      </c>
      <c r="K162" s="31">
        <v>74149.7838929891</v>
      </c>
      <c r="L162" s="31">
        <v>0</v>
      </c>
      <c r="M162" s="31">
        <f t="shared" si="12"/>
        <v>761593.98157681525</v>
      </c>
      <c r="N162" s="31">
        <v>0</v>
      </c>
      <c r="P162" s="42" t="s">
        <v>417</v>
      </c>
      <c r="Q162" s="42" t="s">
        <v>418</v>
      </c>
      <c r="R162" s="43" t="s">
        <v>1050</v>
      </c>
      <c r="S162" s="44">
        <v>34</v>
      </c>
      <c r="T162" s="31">
        <v>693927.68047344161</v>
      </c>
      <c r="U162" s="31">
        <v>9829.9</v>
      </c>
      <c r="V162" s="31">
        <v>0</v>
      </c>
      <c r="W162" s="31">
        <v>1965.9799999999998</v>
      </c>
      <c r="X162" s="31">
        <v>45033.438817294373</v>
      </c>
      <c r="Y162" s="31">
        <v>74283.0505738395</v>
      </c>
      <c r="Z162" s="31">
        <v>0</v>
      </c>
      <c r="AA162" s="31">
        <f t="shared" si="13"/>
        <v>825040.04986457538</v>
      </c>
      <c r="AB162" s="31">
        <v>0</v>
      </c>
      <c r="AD162" s="42" t="s">
        <v>417</v>
      </c>
      <c r="AE162" s="42" t="s">
        <v>418</v>
      </c>
      <c r="AF162" s="43" t="s">
        <v>1275</v>
      </c>
      <c r="AG162" s="44">
        <v>34</v>
      </c>
      <c r="AH162" s="31">
        <v>714785.68803365342</v>
      </c>
      <c r="AI162" s="31">
        <v>10002.489999999998</v>
      </c>
      <c r="AJ162" s="31">
        <v>0</v>
      </c>
      <c r="AK162" s="31">
        <v>2000.5</v>
      </c>
      <c r="AL162" s="31">
        <v>46474.406316543842</v>
      </c>
      <c r="AM162" s="31">
        <v>74180.69278438951</v>
      </c>
      <c r="AN162" s="31">
        <v>0</v>
      </c>
      <c r="AO162" s="31">
        <f t="shared" si="14"/>
        <v>847443.77713458671</v>
      </c>
      <c r="AP162" s="31">
        <v>0</v>
      </c>
      <c r="AR162" s="42" t="s">
        <v>417</v>
      </c>
      <c r="AS162" s="42" t="s">
        <v>418</v>
      </c>
      <c r="AT162" s="43" t="s">
        <v>1276</v>
      </c>
      <c r="AU162" s="44">
        <v>34</v>
      </c>
      <c r="AV162" s="31">
        <v>711055.75733929966</v>
      </c>
      <c r="AW162" s="31">
        <v>10187.339999999998</v>
      </c>
      <c r="AX162" s="31">
        <v>0</v>
      </c>
      <c r="AY162" s="31">
        <v>2037.46</v>
      </c>
      <c r="AZ162" s="31">
        <v>47117.731496410306</v>
      </c>
      <c r="BA162" s="31">
        <v>74183.617292659503</v>
      </c>
      <c r="BB162" s="31">
        <v>0</v>
      </c>
      <c r="BC162" s="31">
        <f t="shared" si="15"/>
        <v>844581.90612836939</v>
      </c>
      <c r="BD162" s="31">
        <v>0</v>
      </c>
    </row>
    <row r="163" spans="2:56">
      <c r="B163" s="42" t="s">
        <v>413</v>
      </c>
      <c r="C163" s="42" t="s">
        <v>414</v>
      </c>
      <c r="D163" s="43" t="s">
        <v>1049</v>
      </c>
      <c r="E163" s="44">
        <v>34</v>
      </c>
      <c r="F163" s="31">
        <v>56196561.714903474</v>
      </c>
      <c r="G163" s="31">
        <v>2867521.8600000003</v>
      </c>
      <c r="H163" s="31">
        <v>2644025.41</v>
      </c>
      <c r="I163" s="31">
        <v>204207.21999999997</v>
      </c>
      <c r="J163" s="31">
        <v>9018612.6032267157</v>
      </c>
      <c r="K163" s="31">
        <v>2911819.6015786654</v>
      </c>
      <c r="L163" s="31">
        <v>6157894.2783128582</v>
      </c>
      <c r="M163" s="31">
        <f t="shared" si="12"/>
        <v>81932367.478021726</v>
      </c>
      <c r="N163" s="31">
        <v>1931724.7899999998</v>
      </c>
      <c r="P163" s="42" t="s">
        <v>413</v>
      </c>
      <c r="Q163" s="42" t="s">
        <v>414</v>
      </c>
      <c r="R163" s="43" t="s">
        <v>1050</v>
      </c>
      <c r="S163" s="44">
        <v>34</v>
      </c>
      <c r="T163" s="31">
        <v>63198247.354495078</v>
      </c>
      <c r="U163" s="31">
        <v>3207896.0099999993</v>
      </c>
      <c r="V163" s="31">
        <v>2813655.8899999997</v>
      </c>
      <c r="W163" s="31">
        <v>226367.66</v>
      </c>
      <c r="X163" s="31">
        <v>9558205.1103432961</v>
      </c>
      <c r="Y163" s="31">
        <v>2919327.1781725124</v>
      </c>
      <c r="Z163" s="31">
        <v>6596040.1254031174</v>
      </c>
      <c r="AA163" s="31">
        <f t="shared" si="13"/>
        <v>90545935.898413986</v>
      </c>
      <c r="AB163" s="31">
        <v>2026196.5699999998</v>
      </c>
      <c r="AD163" s="42" t="s">
        <v>413</v>
      </c>
      <c r="AE163" s="42" t="s">
        <v>414</v>
      </c>
      <c r="AF163" s="43" t="s">
        <v>1275</v>
      </c>
      <c r="AG163" s="44">
        <v>34</v>
      </c>
      <c r="AH163" s="31">
        <v>64362885.472390398</v>
      </c>
      <c r="AI163" s="31">
        <v>3264138.3899999997</v>
      </c>
      <c r="AJ163" s="31">
        <v>2863372.53</v>
      </c>
      <c r="AK163" s="31">
        <v>230367.52000000002</v>
      </c>
      <c r="AL163" s="31">
        <v>9727855.9659498669</v>
      </c>
      <c r="AM163" s="31">
        <v>2913502.4642355125</v>
      </c>
      <c r="AN163" s="31">
        <v>6713215.1543789171</v>
      </c>
      <c r="AO163" s="31">
        <f t="shared" si="14"/>
        <v>92137776.87695469</v>
      </c>
      <c r="AP163" s="31">
        <v>2062439.38</v>
      </c>
      <c r="AR163" s="42" t="s">
        <v>413</v>
      </c>
      <c r="AS163" s="42" t="s">
        <v>414</v>
      </c>
      <c r="AT163" s="43" t="s">
        <v>1276</v>
      </c>
      <c r="AU163" s="44">
        <v>34</v>
      </c>
      <c r="AV163" s="31">
        <v>65607318.626467511</v>
      </c>
      <c r="AW163" s="31">
        <v>3324373.9899999988</v>
      </c>
      <c r="AX163" s="31">
        <v>2916619.0599999996</v>
      </c>
      <c r="AY163" s="31">
        <v>234651.37</v>
      </c>
      <c r="AZ163" s="31">
        <v>9909551.5483228676</v>
      </c>
      <c r="BA163" s="31">
        <v>2913668.8846337125</v>
      </c>
      <c r="BB163" s="31">
        <v>6838706.1428129971</v>
      </c>
      <c r="BC163" s="31">
        <f t="shared" si="15"/>
        <v>93846145.052237093</v>
      </c>
      <c r="BD163" s="31">
        <v>2101255.4300000002</v>
      </c>
    </row>
    <row r="164" spans="2:56">
      <c r="B164" s="42" t="s">
        <v>223</v>
      </c>
      <c r="C164" s="42" t="s">
        <v>224</v>
      </c>
      <c r="D164" s="43" t="s">
        <v>1049</v>
      </c>
      <c r="E164" s="44">
        <v>34</v>
      </c>
      <c r="F164" s="31">
        <v>5715380.3720149025</v>
      </c>
      <c r="G164" s="31">
        <v>312789.01999999996</v>
      </c>
      <c r="H164" s="31">
        <v>0</v>
      </c>
      <c r="I164" s="31">
        <v>0</v>
      </c>
      <c r="J164" s="31">
        <v>0</v>
      </c>
      <c r="K164" s="31">
        <v>413778.88</v>
      </c>
      <c r="L164" s="31">
        <v>68417.426813222177</v>
      </c>
      <c r="M164" s="31">
        <f t="shared" si="12"/>
        <v>6682569.0488281241</v>
      </c>
      <c r="N164" s="31">
        <v>172203.35000000003</v>
      </c>
      <c r="P164" s="42" t="s">
        <v>223</v>
      </c>
      <c r="Q164" s="42" t="s">
        <v>224</v>
      </c>
      <c r="R164" s="43" t="s">
        <v>1050</v>
      </c>
      <c r="S164" s="44">
        <v>34</v>
      </c>
      <c r="T164" s="31">
        <v>6135712.5911337882</v>
      </c>
      <c r="U164" s="31">
        <v>335279.25</v>
      </c>
      <c r="V164" s="31">
        <v>0</v>
      </c>
      <c r="W164" s="31">
        <v>0</v>
      </c>
      <c r="X164" s="31">
        <v>0</v>
      </c>
      <c r="Y164" s="31">
        <v>413778.88</v>
      </c>
      <c r="Z164" s="31">
        <v>73185.058375267501</v>
      </c>
      <c r="AA164" s="31">
        <f t="shared" si="13"/>
        <v>7138626.5795090552</v>
      </c>
      <c r="AB164" s="31">
        <v>180670.80000000002</v>
      </c>
      <c r="AD164" s="42" t="s">
        <v>223</v>
      </c>
      <c r="AE164" s="42" t="s">
        <v>224</v>
      </c>
      <c r="AF164" s="43" t="s">
        <v>1275</v>
      </c>
      <c r="AG164" s="44">
        <v>34</v>
      </c>
      <c r="AH164" s="31">
        <v>6244976.5807952303</v>
      </c>
      <c r="AI164" s="31">
        <v>341199.89</v>
      </c>
      <c r="AJ164" s="31">
        <v>0</v>
      </c>
      <c r="AK164" s="31">
        <v>0</v>
      </c>
      <c r="AL164" s="31">
        <v>0</v>
      </c>
      <c r="AM164" s="31">
        <v>413778.88</v>
      </c>
      <c r="AN164" s="31">
        <v>74491.345583212285</v>
      </c>
      <c r="AO164" s="31">
        <f t="shared" si="14"/>
        <v>7258365.9263784429</v>
      </c>
      <c r="AP164" s="31">
        <v>183919.23</v>
      </c>
      <c r="AR164" s="42" t="s">
        <v>223</v>
      </c>
      <c r="AS164" s="42" t="s">
        <v>224</v>
      </c>
      <c r="AT164" s="43" t="s">
        <v>1276</v>
      </c>
      <c r="AU164" s="44">
        <v>34</v>
      </c>
      <c r="AV164" s="31">
        <v>6361984.189503355</v>
      </c>
      <c r="AW164" s="31">
        <v>347540.90999999992</v>
      </c>
      <c r="AX164" s="31">
        <v>0</v>
      </c>
      <c r="AY164" s="31">
        <v>0</v>
      </c>
      <c r="AZ164" s="31">
        <v>0</v>
      </c>
      <c r="BA164" s="31">
        <v>413778.88</v>
      </c>
      <c r="BB164" s="31">
        <v>75890.340525121152</v>
      </c>
      <c r="BC164" s="31">
        <f t="shared" si="15"/>
        <v>7386592.6000284767</v>
      </c>
      <c r="BD164" s="31">
        <v>187398.28</v>
      </c>
    </row>
    <row r="165" spans="2:56">
      <c r="B165" s="42" t="s">
        <v>427</v>
      </c>
      <c r="C165" s="42" t="s">
        <v>428</v>
      </c>
      <c r="D165" s="43" t="s">
        <v>1049</v>
      </c>
      <c r="E165" s="44">
        <v>34</v>
      </c>
      <c r="F165" s="31">
        <v>137409071.55545753</v>
      </c>
      <c r="G165" s="31">
        <v>5480018.8300000001</v>
      </c>
      <c r="H165" s="31">
        <v>5862686.9800000004</v>
      </c>
      <c r="I165" s="31">
        <v>496161.71</v>
      </c>
      <c r="J165" s="31">
        <v>21610811.315077849</v>
      </c>
      <c r="K165" s="31">
        <v>8782089.3412183076</v>
      </c>
      <c r="L165" s="31">
        <v>12888120.640033776</v>
      </c>
      <c r="M165" s="31">
        <f t="shared" si="12"/>
        <v>195451591.2317875</v>
      </c>
      <c r="N165" s="31">
        <v>2922630.86</v>
      </c>
      <c r="P165" s="42" t="s">
        <v>427</v>
      </c>
      <c r="Q165" s="42" t="s">
        <v>428</v>
      </c>
      <c r="R165" s="43" t="s">
        <v>1050</v>
      </c>
      <c r="S165" s="44">
        <v>34</v>
      </c>
      <c r="T165" s="31">
        <v>149614438.77338871</v>
      </c>
      <c r="U165" s="31">
        <v>5966558.9700000007</v>
      </c>
      <c r="V165" s="31">
        <v>6143349.3099999996</v>
      </c>
      <c r="W165" s="31">
        <v>536371.80999999994</v>
      </c>
      <c r="X165" s="31">
        <v>22646363.857822619</v>
      </c>
      <c r="Y165" s="31">
        <v>8798653.497292567</v>
      </c>
      <c r="Z165" s="31">
        <v>13502596.059924547</v>
      </c>
      <c r="AA165" s="31">
        <f t="shared" si="13"/>
        <v>210228674.07842848</v>
      </c>
      <c r="AB165" s="31">
        <v>3020341.7999999993</v>
      </c>
      <c r="AD165" s="42" t="s">
        <v>427</v>
      </c>
      <c r="AE165" s="42" t="s">
        <v>428</v>
      </c>
      <c r="AF165" s="43" t="s">
        <v>1275</v>
      </c>
      <c r="AG165" s="44">
        <v>34</v>
      </c>
      <c r="AH165" s="31">
        <v>152592337.12915075</v>
      </c>
      <c r="AI165" s="31">
        <v>6082476.7800000012</v>
      </c>
      <c r="AJ165" s="31">
        <v>6252524.1899999995</v>
      </c>
      <c r="AK165" s="31">
        <v>546881.91999999993</v>
      </c>
      <c r="AL165" s="31">
        <v>23050004.622187488</v>
      </c>
      <c r="AM165" s="31">
        <v>8785660.6469862219</v>
      </c>
      <c r="AN165" s="31">
        <v>13743524.895284707</v>
      </c>
      <c r="AO165" s="31">
        <f t="shared" si="14"/>
        <v>214128057.07360914</v>
      </c>
      <c r="AP165" s="31">
        <v>3074646.8899999992</v>
      </c>
      <c r="AR165" s="42" t="s">
        <v>427</v>
      </c>
      <c r="AS165" s="42" t="s">
        <v>428</v>
      </c>
      <c r="AT165" s="43" t="s">
        <v>1276</v>
      </c>
      <c r="AU165" s="44">
        <v>34</v>
      </c>
      <c r="AV165" s="31">
        <v>155771203.57241845</v>
      </c>
      <c r="AW165" s="31">
        <v>6206271.5000000009</v>
      </c>
      <c r="AX165" s="31">
        <v>6369450.4800000004</v>
      </c>
      <c r="AY165" s="31">
        <v>558105.34000000008</v>
      </c>
      <c r="AZ165" s="31">
        <v>23482303.892150186</v>
      </c>
      <c r="BA165" s="31">
        <v>8786031.8712806869</v>
      </c>
      <c r="BB165" s="31">
        <v>14001552.864730436</v>
      </c>
      <c r="BC165" s="31">
        <f t="shared" si="15"/>
        <v>218307727.15057978</v>
      </c>
      <c r="BD165" s="31">
        <v>3132807.63</v>
      </c>
    </row>
    <row r="166" spans="2:56">
      <c r="B166" s="42" t="s">
        <v>583</v>
      </c>
      <c r="C166" s="42" t="s">
        <v>584</v>
      </c>
      <c r="D166" s="43" t="s">
        <v>1049</v>
      </c>
      <c r="E166" s="44">
        <v>34</v>
      </c>
      <c r="F166" s="31">
        <v>9875979.5281293672</v>
      </c>
      <c r="G166" s="31">
        <v>400684.5</v>
      </c>
      <c r="H166" s="31">
        <v>127260.21</v>
      </c>
      <c r="I166" s="31">
        <v>34299.849999999991</v>
      </c>
      <c r="J166" s="31">
        <v>1510256.247462132</v>
      </c>
      <c r="K166" s="31">
        <v>922762.02231205208</v>
      </c>
      <c r="L166" s="31">
        <v>744332.20701646782</v>
      </c>
      <c r="M166" s="31">
        <f t="shared" si="12"/>
        <v>13855965.79492002</v>
      </c>
      <c r="N166" s="31">
        <v>240391.23</v>
      </c>
      <c r="P166" s="42" t="s">
        <v>583</v>
      </c>
      <c r="Q166" s="42" t="s">
        <v>584</v>
      </c>
      <c r="R166" s="43" t="s">
        <v>1050</v>
      </c>
      <c r="S166" s="44">
        <v>34</v>
      </c>
      <c r="T166" s="31">
        <v>10811782.990129119</v>
      </c>
      <c r="U166" s="31">
        <v>436498.83000000007</v>
      </c>
      <c r="V166" s="31">
        <v>135520.54999999999</v>
      </c>
      <c r="W166" s="31">
        <v>37045.050000000003</v>
      </c>
      <c r="X166" s="31">
        <v>1603302.8878724494</v>
      </c>
      <c r="Y166" s="31">
        <v>925314.31349329499</v>
      </c>
      <c r="Z166" s="31">
        <v>797734.0592850151</v>
      </c>
      <c r="AA166" s="31">
        <f t="shared" si="13"/>
        <v>14999198.24077988</v>
      </c>
      <c r="AB166" s="31">
        <v>251999.56000000003</v>
      </c>
      <c r="AD166" s="42" t="s">
        <v>583</v>
      </c>
      <c r="AE166" s="42" t="s">
        <v>584</v>
      </c>
      <c r="AF166" s="43" t="s">
        <v>1275</v>
      </c>
      <c r="AG166" s="44">
        <v>34</v>
      </c>
      <c r="AH166" s="31">
        <v>10955411.332330298</v>
      </c>
      <c r="AI166" s="31">
        <v>442993.54999999993</v>
      </c>
      <c r="AJ166" s="31">
        <v>137883.34</v>
      </c>
      <c r="AK166" s="31">
        <v>37585.340000000004</v>
      </c>
      <c r="AL166" s="31">
        <v>1628310.8034890669</v>
      </c>
      <c r="AM166" s="31">
        <v>923375.26056419499</v>
      </c>
      <c r="AN166" s="31">
        <v>811769.59093649464</v>
      </c>
      <c r="AO166" s="31">
        <f t="shared" si="14"/>
        <v>15193782.157320054</v>
      </c>
      <c r="AP166" s="31">
        <v>256452.94000000003</v>
      </c>
      <c r="AR166" s="42" t="s">
        <v>583</v>
      </c>
      <c r="AS166" s="42" t="s">
        <v>584</v>
      </c>
      <c r="AT166" s="43" t="s">
        <v>1276</v>
      </c>
      <c r="AU166" s="44">
        <v>34</v>
      </c>
      <c r="AV166" s="31">
        <v>11135247.955084836</v>
      </c>
      <c r="AW166" s="31">
        <v>449985.59000000008</v>
      </c>
      <c r="AX166" s="31">
        <v>140413.87</v>
      </c>
      <c r="AY166" s="31">
        <v>38167.650000000009</v>
      </c>
      <c r="AZ166" s="31">
        <v>1658483.213711021</v>
      </c>
      <c r="BA166" s="31">
        <v>923430.66207645508</v>
      </c>
      <c r="BB166" s="31">
        <v>826801.17102722905</v>
      </c>
      <c r="BC166" s="31">
        <f t="shared" si="15"/>
        <v>15433752.62189954</v>
      </c>
      <c r="BD166" s="31">
        <v>261222.51000000004</v>
      </c>
    </row>
    <row r="167" spans="2:56">
      <c r="B167" s="42" t="s">
        <v>271</v>
      </c>
      <c r="C167" s="42" t="s">
        <v>272</v>
      </c>
      <c r="D167" s="43" t="s">
        <v>1049</v>
      </c>
      <c r="E167" s="44">
        <v>34</v>
      </c>
      <c r="F167" s="31">
        <v>5812132.4280396048</v>
      </c>
      <c r="G167" s="31">
        <v>221779.66999999998</v>
      </c>
      <c r="H167" s="31">
        <v>27576.280000000002</v>
      </c>
      <c r="I167" s="31">
        <v>21534.85</v>
      </c>
      <c r="J167" s="31">
        <v>747561.83150082373</v>
      </c>
      <c r="K167" s="31">
        <v>379541.76707780029</v>
      </c>
      <c r="L167" s="31">
        <v>1068828.9939821053</v>
      </c>
      <c r="M167" s="31">
        <f t="shared" si="12"/>
        <v>8278955.8206003336</v>
      </c>
      <c r="N167" s="31">
        <v>0</v>
      </c>
      <c r="P167" s="42" t="s">
        <v>271</v>
      </c>
      <c r="Q167" s="42" t="s">
        <v>272</v>
      </c>
      <c r="R167" s="43" t="s">
        <v>1050</v>
      </c>
      <c r="S167" s="44">
        <v>34</v>
      </c>
      <c r="T167" s="31">
        <v>6121393.6137357522</v>
      </c>
      <c r="U167" s="31">
        <v>232647.08</v>
      </c>
      <c r="V167" s="31">
        <v>29366.25</v>
      </c>
      <c r="W167" s="31">
        <v>22621.360000000001</v>
      </c>
      <c r="X167" s="31">
        <v>790289.68228809652</v>
      </c>
      <c r="Y167" s="31">
        <v>380608.36006101611</v>
      </c>
      <c r="Z167" s="31">
        <v>1134526.8435980412</v>
      </c>
      <c r="AA167" s="31">
        <f t="shared" si="13"/>
        <v>8711453.1896829065</v>
      </c>
      <c r="AB167" s="31">
        <v>0</v>
      </c>
      <c r="AD167" s="42" t="s">
        <v>271</v>
      </c>
      <c r="AE167" s="42" t="s">
        <v>272</v>
      </c>
      <c r="AF167" s="43" t="s">
        <v>1275</v>
      </c>
      <c r="AG167" s="44">
        <v>34</v>
      </c>
      <c r="AH167" s="31">
        <v>6267933.0126733407</v>
      </c>
      <c r="AI167" s="31">
        <v>238286.90000000002</v>
      </c>
      <c r="AJ167" s="31">
        <v>29878.240000000002</v>
      </c>
      <c r="AK167" s="31">
        <v>23121.319999999996</v>
      </c>
      <c r="AL167" s="31">
        <v>804098.82557314401</v>
      </c>
      <c r="AM167" s="31">
        <v>379798.03706046607</v>
      </c>
      <c r="AN167" s="31">
        <v>1154490.2593446365</v>
      </c>
      <c r="AO167" s="31">
        <f t="shared" si="14"/>
        <v>8897606.5946515873</v>
      </c>
      <c r="AP167" s="31">
        <v>0</v>
      </c>
      <c r="AR167" s="42" t="s">
        <v>271</v>
      </c>
      <c r="AS167" s="42" t="s">
        <v>272</v>
      </c>
      <c r="AT167" s="43" t="s">
        <v>1276</v>
      </c>
      <c r="AU167" s="44">
        <v>34</v>
      </c>
      <c r="AV167" s="31">
        <v>6423390.1923262561</v>
      </c>
      <c r="AW167" s="31">
        <v>244272.84000000003</v>
      </c>
      <c r="AX167" s="31">
        <v>30426.579999999998</v>
      </c>
      <c r="AY167" s="31">
        <v>23653.170000000002</v>
      </c>
      <c r="AZ167" s="31">
        <v>818902.41238116997</v>
      </c>
      <c r="BA167" s="31">
        <v>379821.18914619606</v>
      </c>
      <c r="BB167" s="31">
        <v>1175870.3964282398</v>
      </c>
      <c r="BC167" s="31">
        <f t="shared" si="15"/>
        <v>9096336.7802818622</v>
      </c>
      <c r="BD167" s="31">
        <v>0</v>
      </c>
    </row>
    <row r="168" spans="2:56">
      <c r="B168" s="42" t="s">
        <v>349</v>
      </c>
      <c r="C168" s="42" t="s">
        <v>350</v>
      </c>
      <c r="D168" s="43" t="s">
        <v>1049</v>
      </c>
      <c r="E168" s="44">
        <v>34</v>
      </c>
      <c r="F168" s="31">
        <v>3382870.2667499324</v>
      </c>
      <c r="G168" s="31">
        <v>106733.33999999998</v>
      </c>
      <c r="H168" s="31">
        <v>22597.599999999999</v>
      </c>
      <c r="I168" s="31">
        <v>9079.41</v>
      </c>
      <c r="J168" s="31">
        <v>380688.20842747437</v>
      </c>
      <c r="K168" s="31">
        <v>229951.44005905298</v>
      </c>
      <c r="L168" s="31">
        <v>116414.26317744788</v>
      </c>
      <c r="M168" s="31">
        <f t="shared" si="12"/>
        <v>4342760.2484139074</v>
      </c>
      <c r="N168" s="31">
        <v>94425.719999999987</v>
      </c>
      <c r="P168" s="42" t="s">
        <v>349</v>
      </c>
      <c r="Q168" s="42" t="s">
        <v>350</v>
      </c>
      <c r="R168" s="43" t="s">
        <v>1050</v>
      </c>
      <c r="S168" s="44">
        <v>34</v>
      </c>
      <c r="T168" s="31">
        <v>3325075.39633404</v>
      </c>
      <c r="U168" s="31">
        <v>105811.90000000001</v>
      </c>
      <c r="V168" s="31">
        <v>24058.34</v>
      </c>
      <c r="W168" s="31">
        <v>8914.4700000000012</v>
      </c>
      <c r="X168" s="31">
        <v>399028.85193565005</v>
      </c>
      <c r="Y168" s="31">
        <v>230660.52952292652</v>
      </c>
      <c r="Z168" s="31">
        <v>124740.46328254569</v>
      </c>
      <c r="AA168" s="31">
        <f t="shared" si="13"/>
        <v>4317296.1410751631</v>
      </c>
      <c r="AB168" s="31">
        <v>99006.189999999988</v>
      </c>
      <c r="AD168" s="42" t="s">
        <v>349</v>
      </c>
      <c r="AE168" s="42" t="s">
        <v>350</v>
      </c>
      <c r="AF168" s="43" t="s">
        <v>1275</v>
      </c>
      <c r="AG168" s="44">
        <v>34</v>
      </c>
      <c r="AH168" s="31">
        <v>3383399.1202282924</v>
      </c>
      <c r="AI168" s="31">
        <v>107642.76000000004</v>
      </c>
      <c r="AJ168" s="31">
        <v>24479.820000000003</v>
      </c>
      <c r="AK168" s="31">
        <v>9070.6299999999992</v>
      </c>
      <c r="AL168" s="31">
        <v>409528.65941069234</v>
      </c>
      <c r="AM168" s="31">
        <v>230121.81277617652</v>
      </c>
      <c r="AN168" s="31">
        <v>126941.30080565259</v>
      </c>
      <c r="AO168" s="31">
        <f t="shared" si="14"/>
        <v>4391947.5332208136</v>
      </c>
      <c r="AP168" s="31">
        <v>100763.43</v>
      </c>
      <c r="AR168" s="42" t="s">
        <v>349</v>
      </c>
      <c r="AS168" s="42" t="s">
        <v>350</v>
      </c>
      <c r="AT168" s="43" t="s">
        <v>1276</v>
      </c>
      <c r="AU168" s="44">
        <v>34</v>
      </c>
      <c r="AV168" s="31">
        <v>3467236.2435280774</v>
      </c>
      <c r="AW168" s="31">
        <v>109603.62000000001</v>
      </c>
      <c r="AX168" s="31">
        <v>24931.200000000001</v>
      </c>
      <c r="AY168" s="31">
        <v>9237.9</v>
      </c>
      <c r="AZ168" s="31">
        <v>421754.36021588754</v>
      </c>
      <c r="BA168" s="31">
        <v>230137.2046832265</v>
      </c>
      <c r="BB168" s="31">
        <v>129298.32511850007</v>
      </c>
      <c r="BC168" s="31">
        <f t="shared" si="15"/>
        <v>4494844.2735456908</v>
      </c>
      <c r="BD168" s="31">
        <v>102645.42</v>
      </c>
    </row>
    <row r="169" spans="2:56">
      <c r="B169" s="42" t="s">
        <v>327</v>
      </c>
      <c r="C169" s="42" t="s">
        <v>328</v>
      </c>
      <c r="D169" s="43" t="s">
        <v>1049</v>
      </c>
      <c r="E169" s="44">
        <v>34</v>
      </c>
      <c r="F169" s="31">
        <v>1152415.1436120542</v>
      </c>
      <c r="G169" s="31">
        <v>80000.48000000001</v>
      </c>
      <c r="H169" s="31">
        <v>0</v>
      </c>
      <c r="I169" s="31">
        <v>0</v>
      </c>
      <c r="J169" s="31">
        <v>174682.23429234681</v>
      </c>
      <c r="K169" s="31">
        <v>186915.49262984528</v>
      </c>
      <c r="L169" s="31">
        <v>0</v>
      </c>
      <c r="M169" s="31">
        <f t="shared" si="12"/>
        <v>1631139.0405342462</v>
      </c>
      <c r="N169" s="31">
        <v>37125.689999999995</v>
      </c>
      <c r="P169" s="42" t="s">
        <v>327</v>
      </c>
      <c r="Q169" s="42" t="s">
        <v>328</v>
      </c>
      <c r="R169" s="43" t="s">
        <v>1050</v>
      </c>
      <c r="S169" s="44">
        <v>34</v>
      </c>
      <c r="T169" s="31">
        <v>1085541.6391472749</v>
      </c>
      <c r="U169" s="31">
        <v>76886.25</v>
      </c>
      <c r="V169" s="31">
        <v>0</v>
      </c>
      <c r="W169" s="31">
        <v>0</v>
      </c>
      <c r="X169" s="31">
        <v>180210.37870449512</v>
      </c>
      <c r="Y169" s="31">
        <v>187313.61565337225</v>
      </c>
      <c r="Z169" s="31">
        <v>0</v>
      </c>
      <c r="AA169" s="31">
        <f t="shared" si="13"/>
        <v>1568870.3435051423</v>
      </c>
      <c r="AB169" s="31">
        <v>38918.46</v>
      </c>
      <c r="AD169" s="42" t="s">
        <v>327</v>
      </c>
      <c r="AE169" s="42" t="s">
        <v>328</v>
      </c>
      <c r="AF169" s="43" t="s">
        <v>1275</v>
      </c>
      <c r="AG169" s="44">
        <v>34</v>
      </c>
      <c r="AH169" s="31">
        <v>1107279.7869347262</v>
      </c>
      <c r="AI169" s="31">
        <v>78217.510000000009</v>
      </c>
      <c r="AJ169" s="31">
        <v>0</v>
      </c>
      <c r="AK169" s="31">
        <v>0</v>
      </c>
      <c r="AL169" s="31">
        <v>183829.17686288839</v>
      </c>
      <c r="AM169" s="31">
        <v>187011.14953172224</v>
      </c>
      <c r="AN169" s="31">
        <v>0</v>
      </c>
      <c r="AO169" s="31">
        <f t="shared" si="14"/>
        <v>1595943.863329337</v>
      </c>
      <c r="AP169" s="31">
        <v>39606.239999999998</v>
      </c>
      <c r="AR169" s="42" t="s">
        <v>327</v>
      </c>
      <c r="AS169" s="42" t="s">
        <v>328</v>
      </c>
      <c r="AT169" s="43" t="s">
        <v>1276</v>
      </c>
      <c r="AU169" s="44">
        <v>34</v>
      </c>
      <c r="AV169" s="31">
        <v>1153312.7684440776</v>
      </c>
      <c r="AW169" s="31">
        <v>79643.300000000017</v>
      </c>
      <c r="AX169" s="31">
        <v>0</v>
      </c>
      <c r="AY169" s="31">
        <v>0</v>
      </c>
      <c r="AZ169" s="31">
        <v>191558.9393837188</v>
      </c>
      <c r="BA169" s="31">
        <v>187019.79142091225</v>
      </c>
      <c r="BB169" s="31">
        <v>0</v>
      </c>
      <c r="BC169" s="31">
        <f t="shared" si="15"/>
        <v>1651877.629248709</v>
      </c>
      <c r="BD169" s="31">
        <v>40342.829999999994</v>
      </c>
    </row>
    <row r="170" spans="2:56">
      <c r="B170" s="42" t="s">
        <v>355</v>
      </c>
      <c r="C170" s="42" t="s">
        <v>356</v>
      </c>
      <c r="D170" s="43" t="s">
        <v>1049</v>
      </c>
      <c r="E170" s="44">
        <v>34</v>
      </c>
      <c r="F170" s="31">
        <v>7754667.1850839565</v>
      </c>
      <c r="G170" s="31">
        <v>384216.6999999999</v>
      </c>
      <c r="H170" s="31">
        <v>0</v>
      </c>
      <c r="I170" s="31">
        <v>28745.600000000002</v>
      </c>
      <c r="J170" s="31">
        <v>1259800.8254742215</v>
      </c>
      <c r="K170" s="31">
        <v>852641.51881356712</v>
      </c>
      <c r="L170" s="31">
        <v>1185220.0547156399</v>
      </c>
      <c r="M170" s="31">
        <f t="shared" si="12"/>
        <v>11748850.234087383</v>
      </c>
      <c r="N170" s="31">
        <v>283558.35000000003</v>
      </c>
      <c r="P170" s="42" t="s">
        <v>355</v>
      </c>
      <c r="Q170" s="42" t="s">
        <v>356</v>
      </c>
      <c r="R170" s="43" t="s">
        <v>1050</v>
      </c>
      <c r="S170" s="44">
        <v>34</v>
      </c>
      <c r="T170" s="31">
        <v>9084271.1926369984</v>
      </c>
      <c r="U170" s="31">
        <v>446866.68000000011</v>
      </c>
      <c r="V170" s="31">
        <v>0</v>
      </c>
      <c r="W170" s="31">
        <v>32998.109999999993</v>
      </c>
      <c r="X170" s="31">
        <v>1333242.1597043255</v>
      </c>
      <c r="Y170" s="31">
        <v>854724.53301730647</v>
      </c>
      <c r="Z170" s="31">
        <v>1270056.8277902906</v>
      </c>
      <c r="AA170" s="31">
        <f t="shared" si="13"/>
        <v>13319410.683148919</v>
      </c>
      <c r="AB170" s="31">
        <v>297251.18</v>
      </c>
      <c r="AD170" s="42" t="s">
        <v>355</v>
      </c>
      <c r="AE170" s="42" t="s">
        <v>356</v>
      </c>
      <c r="AF170" s="43" t="s">
        <v>1275</v>
      </c>
      <c r="AG170" s="44">
        <v>34</v>
      </c>
      <c r="AH170" s="31">
        <v>9179019.1085404959</v>
      </c>
      <c r="AI170" s="31">
        <v>451314.27999999991</v>
      </c>
      <c r="AJ170" s="31">
        <v>0</v>
      </c>
      <c r="AK170" s="31">
        <v>33362.28</v>
      </c>
      <c r="AL170" s="31">
        <v>1356643.1257145195</v>
      </c>
      <c r="AM170" s="31">
        <v>853142.00402421923</v>
      </c>
      <c r="AN170" s="31">
        <v>1292402.5523812131</v>
      </c>
      <c r="AO170" s="31">
        <f t="shared" si="14"/>
        <v>13468387.610660447</v>
      </c>
      <c r="AP170" s="31">
        <v>302504.26</v>
      </c>
      <c r="AR170" s="42" t="s">
        <v>355</v>
      </c>
      <c r="AS170" s="42" t="s">
        <v>356</v>
      </c>
      <c r="AT170" s="43" t="s">
        <v>1276</v>
      </c>
      <c r="AU170" s="44">
        <v>34</v>
      </c>
      <c r="AV170" s="31">
        <v>9050168.8624111079</v>
      </c>
      <c r="AW170" s="31">
        <v>445008.42</v>
      </c>
      <c r="AX170" s="31">
        <v>0</v>
      </c>
      <c r="AY170" s="31">
        <v>32899.43</v>
      </c>
      <c r="AZ170" s="31">
        <v>1384726.330944855</v>
      </c>
      <c r="BA170" s="31">
        <v>853187.21913830738</v>
      </c>
      <c r="BB170" s="31">
        <v>1316334.068034491</v>
      </c>
      <c r="BC170" s="31">
        <f t="shared" si="15"/>
        <v>13390454.640528761</v>
      </c>
      <c r="BD170" s="31">
        <v>308130.31</v>
      </c>
    </row>
    <row r="171" spans="2:56">
      <c r="B171" s="42" t="s">
        <v>457</v>
      </c>
      <c r="C171" s="42" t="s">
        <v>458</v>
      </c>
      <c r="D171" s="43" t="s">
        <v>1049</v>
      </c>
      <c r="E171" s="44">
        <v>34</v>
      </c>
      <c r="F171" s="31">
        <v>11138590.072786625</v>
      </c>
      <c r="G171" s="31">
        <v>217102.42</v>
      </c>
      <c r="H171" s="31">
        <v>0</v>
      </c>
      <c r="I171" s="31">
        <v>38977.100000000006</v>
      </c>
      <c r="J171" s="31">
        <v>1672889.8607153418</v>
      </c>
      <c r="K171" s="31">
        <v>1005722.1061213798</v>
      </c>
      <c r="L171" s="31">
        <v>879596.46810920304</v>
      </c>
      <c r="M171" s="31">
        <f t="shared" si="12"/>
        <v>14952878.027732549</v>
      </c>
      <c r="N171" s="31">
        <v>0</v>
      </c>
      <c r="P171" s="42" t="s">
        <v>457</v>
      </c>
      <c r="Q171" s="42" t="s">
        <v>458</v>
      </c>
      <c r="R171" s="43" t="s">
        <v>1050</v>
      </c>
      <c r="S171" s="44">
        <v>34</v>
      </c>
      <c r="T171" s="31">
        <v>11375297.775125569</v>
      </c>
      <c r="U171" s="31">
        <v>221959.03</v>
      </c>
      <c r="V171" s="31">
        <v>0</v>
      </c>
      <c r="W171" s="31">
        <v>39846.779999999992</v>
      </c>
      <c r="X171" s="31">
        <v>1773707.2872147136</v>
      </c>
      <c r="Y171" s="31">
        <v>1008327.35031694</v>
      </c>
      <c r="Z171" s="31">
        <v>933662.69716945768</v>
      </c>
      <c r="AA171" s="31">
        <f t="shared" si="13"/>
        <v>15352800.919826679</v>
      </c>
      <c r="AB171" s="31">
        <v>0</v>
      </c>
      <c r="AD171" s="42" t="s">
        <v>457</v>
      </c>
      <c r="AE171" s="42" t="s">
        <v>458</v>
      </c>
      <c r="AF171" s="43" t="s">
        <v>1275</v>
      </c>
      <c r="AG171" s="44">
        <v>34</v>
      </c>
      <c r="AH171" s="31">
        <v>11608804.265508758</v>
      </c>
      <c r="AI171" s="31">
        <v>225828.84</v>
      </c>
      <c r="AJ171" s="31">
        <v>0</v>
      </c>
      <c r="AK171" s="31">
        <v>40541.499999999993</v>
      </c>
      <c r="AL171" s="31">
        <v>1808418.6712986135</v>
      </c>
      <c r="AM171" s="31">
        <v>1006348.0673787129</v>
      </c>
      <c r="AN171" s="31">
        <v>950091.58776205801</v>
      </c>
      <c r="AO171" s="31">
        <f t="shared" si="14"/>
        <v>15640032.931948142</v>
      </c>
      <c r="AP171" s="31">
        <v>0</v>
      </c>
      <c r="AR171" s="42" t="s">
        <v>457</v>
      </c>
      <c r="AS171" s="42" t="s">
        <v>458</v>
      </c>
      <c r="AT171" s="43" t="s">
        <v>1276</v>
      </c>
      <c r="AU171" s="44">
        <v>34</v>
      </c>
      <c r="AV171" s="31">
        <v>11961958.366519317</v>
      </c>
      <c r="AW171" s="31">
        <v>231801.17000000004</v>
      </c>
      <c r="AX171" s="31">
        <v>0</v>
      </c>
      <c r="AY171" s="31">
        <v>41715.61</v>
      </c>
      <c r="AZ171" s="31">
        <v>1845604.5888108399</v>
      </c>
      <c r="BA171" s="31">
        <v>1006404.6183198051</v>
      </c>
      <c r="BB171" s="31">
        <v>967686.36902033305</v>
      </c>
      <c r="BC171" s="31">
        <f t="shared" si="15"/>
        <v>16055170.722670296</v>
      </c>
      <c r="BD171" s="31">
        <v>0</v>
      </c>
    </row>
    <row r="172" spans="2:56">
      <c r="B172" s="42" t="s">
        <v>549</v>
      </c>
      <c r="C172" s="42" t="s">
        <v>550</v>
      </c>
      <c r="D172" s="43" t="s">
        <v>1049</v>
      </c>
      <c r="E172" s="44">
        <v>34</v>
      </c>
      <c r="F172" s="31">
        <v>15616052.716939846</v>
      </c>
      <c r="G172" s="31">
        <v>644545.11</v>
      </c>
      <c r="H172" s="31">
        <v>393170.45999999996</v>
      </c>
      <c r="I172" s="31">
        <v>53250.38</v>
      </c>
      <c r="J172" s="31">
        <v>2515480.3160548015</v>
      </c>
      <c r="K172" s="31">
        <v>1293031.5201573034</v>
      </c>
      <c r="L172" s="31">
        <v>811387.76584809774</v>
      </c>
      <c r="M172" s="31">
        <f t="shared" si="12"/>
        <v>21764823.169000044</v>
      </c>
      <c r="N172" s="31">
        <v>437904.9</v>
      </c>
      <c r="P172" s="42" t="s">
        <v>549</v>
      </c>
      <c r="Q172" s="42" t="s">
        <v>550</v>
      </c>
      <c r="R172" s="43" t="s">
        <v>1050</v>
      </c>
      <c r="S172" s="44">
        <v>34</v>
      </c>
      <c r="T172" s="31">
        <v>19048638.617638696</v>
      </c>
      <c r="U172" s="31">
        <v>777736.53000000026</v>
      </c>
      <c r="V172" s="31">
        <v>418535.36</v>
      </c>
      <c r="W172" s="31">
        <v>63675.91</v>
      </c>
      <c r="X172" s="31">
        <v>2675741.201549625</v>
      </c>
      <c r="Y172" s="31">
        <v>1295588.4111991632</v>
      </c>
      <c r="Z172" s="31">
        <v>869392.1685447566</v>
      </c>
      <c r="AA172" s="31">
        <f t="shared" si="13"/>
        <v>25608500.908932246</v>
      </c>
      <c r="AB172" s="31">
        <v>459192.71</v>
      </c>
      <c r="AD172" s="42" t="s">
        <v>549</v>
      </c>
      <c r="AE172" s="42" t="s">
        <v>550</v>
      </c>
      <c r="AF172" s="43" t="s">
        <v>1275</v>
      </c>
      <c r="AG172" s="44">
        <v>34</v>
      </c>
      <c r="AH172" s="31">
        <v>19556606.004797239</v>
      </c>
      <c r="AI172" s="31">
        <v>801290.47</v>
      </c>
      <c r="AJ172" s="31">
        <v>425884.06999999995</v>
      </c>
      <c r="AK172" s="31">
        <v>65571.930000000008</v>
      </c>
      <c r="AL172" s="31">
        <v>2711121.3329367242</v>
      </c>
      <c r="AM172" s="31">
        <v>1293624.5466139631</v>
      </c>
      <c r="AN172" s="31">
        <v>884768.17171940231</v>
      </c>
      <c r="AO172" s="31">
        <f t="shared" si="14"/>
        <v>26206226.006067324</v>
      </c>
      <c r="AP172" s="31">
        <v>467359.48000000004</v>
      </c>
      <c r="AR172" s="42" t="s">
        <v>549</v>
      </c>
      <c r="AS172" s="42" t="s">
        <v>550</v>
      </c>
      <c r="AT172" s="43" t="s">
        <v>1276</v>
      </c>
      <c r="AU172" s="44">
        <v>34</v>
      </c>
      <c r="AV172" s="31">
        <v>20319196.518509526</v>
      </c>
      <c r="AW172" s="31">
        <v>831043.55</v>
      </c>
      <c r="AX172" s="31">
        <v>433754.54</v>
      </c>
      <c r="AY172" s="31">
        <v>68028.829999999987</v>
      </c>
      <c r="AZ172" s="31">
        <v>2763581.2615681584</v>
      </c>
      <c r="BA172" s="31">
        <v>1293680.6570306832</v>
      </c>
      <c r="BB172" s="31">
        <v>901235.37519024755</v>
      </c>
      <c r="BC172" s="31">
        <f t="shared" si="15"/>
        <v>27086626.832298614</v>
      </c>
      <c r="BD172" s="31">
        <v>476106.10000000003</v>
      </c>
    </row>
    <row r="173" spans="2:56">
      <c r="B173" s="42" t="s">
        <v>145</v>
      </c>
      <c r="C173" s="42" t="s">
        <v>146</v>
      </c>
      <c r="D173" s="43" t="s">
        <v>1049</v>
      </c>
      <c r="E173" s="44">
        <v>34</v>
      </c>
      <c r="F173" s="31">
        <v>6384921.8202214371</v>
      </c>
      <c r="G173" s="31">
        <v>340854.69000000006</v>
      </c>
      <c r="H173" s="31">
        <v>28745.600000000002</v>
      </c>
      <c r="I173" s="31">
        <v>20365.53</v>
      </c>
      <c r="J173" s="31">
        <v>898107.67840627523</v>
      </c>
      <c r="K173" s="31">
        <v>593477.41942498717</v>
      </c>
      <c r="L173" s="31">
        <v>346985.02301399177</v>
      </c>
      <c r="M173" s="31">
        <f t="shared" si="12"/>
        <v>8823836.6210666914</v>
      </c>
      <c r="N173" s="31">
        <v>210378.86</v>
      </c>
      <c r="P173" s="42" t="s">
        <v>145</v>
      </c>
      <c r="Q173" s="42" t="s">
        <v>146</v>
      </c>
      <c r="R173" s="43" t="s">
        <v>1050</v>
      </c>
      <c r="S173" s="44">
        <v>34</v>
      </c>
      <c r="T173" s="31">
        <v>6872376.042410017</v>
      </c>
      <c r="U173" s="31">
        <v>373013.07000000007</v>
      </c>
      <c r="V173" s="31">
        <v>30611.470000000005</v>
      </c>
      <c r="W173" s="31">
        <v>21998.760000000002</v>
      </c>
      <c r="X173" s="31">
        <v>944708.90850159479</v>
      </c>
      <c r="Y173" s="31">
        <v>594402.18243798078</v>
      </c>
      <c r="Z173" s="31">
        <v>371713.88027211546</v>
      </c>
      <c r="AA173" s="31">
        <f t="shared" si="13"/>
        <v>9429362.2236217074</v>
      </c>
      <c r="AB173" s="31">
        <v>220537.90999999995</v>
      </c>
      <c r="AD173" s="42" t="s">
        <v>145</v>
      </c>
      <c r="AE173" s="42" t="s">
        <v>146</v>
      </c>
      <c r="AF173" s="43" t="s">
        <v>1275</v>
      </c>
      <c r="AG173" s="44">
        <v>34</v>
      </c>
      <c r="AH173" s="31">
        <v>6976275.1662529409</v>
      </c>
      <c r="AI173" s="31">
        <v>379464.15</v>
      </c>
      <c r="AJ173" s="31">
        <v>31145.180000000004</v>
      </c>
      <c r="AK173" s="31">
        <v>22382.29</v>
      </c>
      <c r="AL173" s="31">
        <v>962017.33410268754</v>
      </c>
      <c r="AM173" s="31">
        <v>593699.61196238338</v>
      </c>
      <c r="AN173" s="31">
        <v>378253.8783943681</v>
      </c>
      <c r="AO173" s="31">
        <f t="shared" si="14"/>
        <v>9567672.91071238</v>
      </c>
      <c r="AP173" s="31">
        <v>224435.29999999996</v>
      </c>
      <c r="AR173" s="42" t="s">
        <v>145</v>
      </c>
      <c r="AS173" s="42" t="s">
        <v>146</v>
      </c>
      <c r="AT173" s="43" t="s">
        <v>1276</v>
      </c>
      <c r="AU173" s="44">
        <v>34</v>
      </c>
      <c r="AV173" s="31">
        <v>6949147.7355684564</v>
      </c>
      <c r="AW173" s="31">
        <v>386373.26</v>
      </c>
      <c r="AX173" s="31">
        <v>31716.77</v>
      </c>
      <c r="AY173" s="31">
        <v>22793.07</v>
      </c>
      <c r="AZ173" s="31">
        <v>970739.7190275524</v>
      </c>
      <c r="BA173" s="31">
        <v>593719.6854045433</v>
      </c>
      <c r="BB173" s="31">
        <v>385257.99519050075</v>
      </c>
      <c r="BC173" s="31">
        <f t="shared" si="15"/>
        <v>9568357.6351910532</v>
      </c>
      <c r="BD173" s="31">
        <v>228609.39999999994</v>
      </c>
    </row>
    <row r="174" spans="2:56">
      <c r="B174" s="42" t="s">
        <v>113</v>
      </c>
      <c r="C174" s="42" t="s">
        <v>114</v>
      </c>
      <c r="D174" s="43" t="s">
        <v>1049</v>
      </c>
      <c r="E174" s="44">
        <v>34</v>
      </c>
      <c r="F174" s="31">
        <v>16709870.13729937</v>
      </c>
      <c r="G174" s="31">
        <v>958056.95000000019</v>
      </c>
      <c r="H174" s="31">
        <v>1128386.83</v>
      </c>
      <c r="I174" s="31">
        <v>57198.879999999997</v>
      </c>
      <c r="J174" s="31">
        <v>2692651.9099983489</v>
      </c>
      <c r="K174" s="31">
        <v>1509616.5768358549</v>
      </c>
      <c r="L174" s="31">
        <v>989890.6474760616</v>
      </c>
      <c r="M174" s="31">
        <f t="shared" si="12"/>
        <v>24635882.551609635</v>
      </c>
      <c r="N174" s="31">
        <v>590210.61999999988</v>
      </c>
      <c r="P174" s="42" t="s">
        <v>113</v>
      </c>
      <c r="Q174" s="42" t="s">
        <v>114</v>
      </c>
      <c r="R174" s="43" t="s">
        <v>1050</v>
      </c>
      <c r="S174" s="44">
        <v>34</v>
      </c>
      <c r="T174" s="31">
        <v>18099053.523558255</v>
      </c>
      <c r="U174" s="31">
        <v>1037212.7200000001</v>
      </c>
      <c r="V174" s="31">
        <v>1201629.45</v>
      </c>
      <c r="W174" s="31">
        <v>61326.689999999988</v>
      </c>
      <c r="X174" s="31">
        <v>2850855.3964784616</v>
      </c>
      <c r="Y174" s="31">
        <v>1512549.2178475123</v>
      </c>
      <c r="Z174" s="31">
        <v>1060773.7053432551</v>
      </c>
      <c r="AA174" s="31">
        <f t="shared" si="13"/>
        <v>26442112.203227483</v>
      </c>
      <c r="AB174" s="31">
        <v>618711.49999999988</v>
      </c>
      <c r="AD174" s="42" t="s">
        <v>113</v>
      </c>
      <c r="AE174" s="42" t="s">
        <v>114</v>
      </c>
      <c r="AF174" s="43" t="s">
        <v>1275</v>
      </c>
      <c r="AG174" s="44">
        <v>34</v>
      </c>
      <c r="AH174" s="31">
        <v>18483735.745986231</v>
      </c>
      <c r="AI174" s="31">
        <v>1057683.3900000001</v>
      </c>
      <c r="AJ174" s="31">
        <v>1222579.6599999999</v>
      </c>
      <c r="AK174" s="31">
        <v>62501.48</v>
      </c>
      <c r="AL174" s="31">
        <v>2903659.6435957681</v>
      </c>
      <c r="AM174" s="31">
        <v>1510321.2016299882</v>
      </c>
      <c r="AN174" s="31">
        <v>1079437.4584860522</v>
      </c>
      <c r="AO174" s="31">
        <f t="shared" si="14"/>
        <v>26949564.04969804</v>
      </c>
      <c r="AP174" s="31">
        <v>629645.47000000009</v>
      </c>
      <c r="AR174" s="42" t="s">
        <v>113</v>
      </c>
      <c r="AS174" s="42" t="s">
        <v>114</v>
      </c>
      <c r="AT174" s="43" t="s">
        <v>1276</v>
      </c>
      <c r="AU174" s="44">
        <v>34</v>
      </c>
      <c r="AV174" s="31">
        <v>18828525.514655061</v>
      </c>
      <c r="AW174" s="31">
        <v>1077477.7800000003</v>
      </c>
      <c r="AX174" s="31">
        <v>1245017.3399999999</v>
      </c>
      <c r="AY174" s="31">
        <v>63648.560000000005</v>
      </c>
      <c r="AZ174" s="31">
        <v>2955750.9620622722</v>
      </c>
      <c r="BA174" s="31">
        <v>1510384.8592362031</v>
      </c>
      <c r="BB174" s="31">
        <v>1099425.7072949875</v>
      </c>
      <c r="BC174" s="31">
        <f t="shared" si="15"/>
        <v>27421586.483248528</v>
      </c>
      <c r="BD174" s="31">
        <v>641355.75999999989</v>
      </c>
    </row>
    <row r="175" spans="2:56">
      <c r="B175" s="42" t="s">
        <v>231</v>
      </c>
      <c r="C175" s="42" t="s">
        <v>232</v>
      </c>
      <c r="D175" s="43" t="s">
        <v>1049</v>
      </c>
      <c r="E175" s="44">
        <v>34</v>
      </c>
      <c r="F175" s="31">
        <v>49315801.343260519</v>
      </c>
      <c r="G175" s="31">
        <v>1299260.1499999999</v>
      </c>
      <c r="H175" s="31">
        <v>426386.77</v>
      </c>
      <c r="I175" s="31">
        <v>176381.41000000003</v>
      </c>
      <c r="J175" s="31">
        <v>7601825.8501590816</v>
      </c>
      <c r="K175" s="31">
        <v>3261896.604598667</v>
      </c>
      <c r="L175" s="31">
        <v>3482825.6920225676</v>
      </c>
      <c r="M175" s="31">
        <f t="shared" si="12"/>
        <v>65675378.400040828</v>
      </c>
      <c r="N175" s="31">
        <v>111000.58</v>
      </c>
      <c r="P175" s="42" t="s">
        <v>231</v>
      </c>
      <c r="Q175" s="42" t="s">
        <v>232</v>
      </c>
      <c r="R175" s="43" t="s">
        <v>1050</v>
      </c>
      <c r="S175" s="44">
        <v>34</v>
      </c>
      <c r="T175" s="31">
        <v>54627323.583015725</v>
      </c>
      <c r="U175" s="31">
        <v>1424303.98</v>
      </c>
      <c r="V175" s="31">
        <v>453603.56</v>
      </c>
      <c r="W175" s="31">
        <v>193165.93</v>
      </c>
      <c r="X175" s="31">
        <v>8124740.0669664629</v>
      </c>
      <c r="Y175" s="31">
        <v>3273154.1569220619</v>
      </c>
      <c r="Z175" s="31">
        <v>3694950.6357866707</v>
      </c>
      <c r="AA175" s="31">
        <f t="shared" si="13"/>
        <v>71907700.522690907</v>
      </c>
      <c r="AB175" s="31">
        <v>116458.60999999999</v>
      </c>
      <c r="AD175" s="42" t="s">
        <v>231</v>
      </c>
      <c r="AE175" s="42" t="s">
        <v>232</v>
      </c>
      <c r="AF175" s="43" t="s">
        <v>1275</v>
      </c>
      <c r="AG175" s="44">
        <v>34</v>
      </c>
      <c r="AH175" s="31">
        <v>56288239.878410317</v>
      </c>
      <c r="AI175" s="31">
        <v>1462795.7100000002</v>
      </c>
      <c r="AJ175" s="31">
        <v>461664.66</v>
      </c>
      <c r="AK175" s="31">
        <v>198432.67</v>
      </c>
      <c r="AL175" s="31">
        <v>8285442.9922466567</v>
      </c>
      <c r="AM175" s="31">
        <v>3264338.1765824622</v>
      </c>
      <c r="AN175" s="31">
        <v>3760902.7751636384</v>
      </c>
      <c r="AO175" s="31">
        <f t="shared" si="14"/>
        <v>73840369.382403061</v>
      </c>
      <c r="AP175" s="31">
        <v>118552.51999999999</v>
      </c>
      <c r="AR175" s="42" t="s">
        <v>231</v>
      </c>
      <c r="AS175" s="42" t="s">
        <v>232</v>
      </c>
      <c r="AT175" s="43" t="s">
        <v>1276</v>
      </c>
      <c r="AU175" s="44">
        <v>34</v>
      </c>
      <c r="AV175" s="31">
        <v>57368823.203847125</v>
      </c>
      <c r="AW175" s="31">
        <v>1487509.8399999999</v>
      </c>
      <c r="AX175" s="31">
        <v>470298.09</v>
      </c>
      <c r="AY175" s="31">
        <v>201769.84999999998</v>
      </c>
      <c r="AZ175" s="31">
        <v>8454775.9919397552</v>
      </c>
      <c r="BA175" s="31">
        <v>3264590.0617350219</v>
      </c>
      <c r="BB175" s="31">
        <v>3831535.5488505699</v>
      </c>
      <c r="BC175" s="31">
        <f t="shared" si="15"/>
        <v>75200097.666372478</v>
      </c>
      <c r="BD175" s="31">
        <v>120795.07999999999</v>
      </c>
    </row>
    <row r="176" spans="2:56">
      <c r="B176" s="42" t="s">
        <v>323</v>
      </c>
      <c r="C176" s="42" t="s">
        <v>324</v>
      </c>
      <c r="D176" s="43" t="s">
        <v>1049</v>
      </c>
      <c r="E176" s="44">
        <v>34</v>
      </c>
      <c r="F176" s="31">
        <v>18452896.1620875</v>
      </c>
      <c r="G176" s="31">
        <v>844105.79</v>
      </c>
      <c r="H176" s="31">
        <v>482126.31</v>
      </c>
      <c r="I176" s="31">
        <v>66793.849999999991</v>
      </c>
      <c r="J176" s="31">
        <v>3123279.1372091332</v>
      </c>
      <c r="K176" s="31">
        <v>2097123.2148924915</v>
      </c>
      <c r="L176" s="31">
        <v>2173907.8017640822</v>
      </c>
      <c r="M176" s="31">
        <f t="shared" si="12"/>
        <v>27673314.875953205</v>
      </c>
      <c r="N176" s="31">
        <v>433082.60999999993</v>
      </c>
      <c r="P176" s="42" t="s">
        <v>323</v>
      </c>
      <c r="Q176" s="42" t="s">
        <v>324</v>
      </c>
      <c r="R176" s="43" t="s">
        <v>1050</v>
      </c>
      <c r="S176" s="44">
        <v>34</v>
      </c>
      <c r="T176" s="31">
        <v>20221307.401393145</v>
      </c>
      <c r="U176" s="31">
        <v>926200.60000000009</v>
      </c>
      <c r="V176" s="31">
        <v>513230.06</v>
      </c>
      <c r="W176" s="31">
        <v>72741.279999999984</v>
      </c>
      <c r="X176" s="31">
        <v>3292060.6067403299</v>
      </c>
      <c r="Y176" s="31">
        <v>2102439.5953407544</v>
      </c>
      <c r="Z176" s="31">
        <v>2329523.6479718247</v>
      </c>
      <c r="AA176" s="31">
        <f t="shared" si="13"/>
        <v>29911639.181446053</v>
      </c>
      <c r="AB176" s="31">
        <v>454135.98999999993</v>
      </c>
      <c r="AD176" s="42" t="s">
        <v>323</v>
      </c>
      <c r="AE176" s="42" t="s">
        <v>324</v>
      </c>
      <c r="AF176" s="43" t="s">
        <v>1275</v>
      </c>
      <c r="AG176" s="44">
        <v>34</v>
      </c>
      <c r="AH176" s="31">
        <v>20595161.878219537</v>
      </c>
      <c r="AI176" s="31">
        <v>942359.95000000007</v>
      </c>
      <c r="AJ176" s="31">
        <v>522241.44</v>
      </c>
      <c r="AK176" s="31">
        <v>74018.490000000005</v>
      </c>
      <c r="AL176" s="31">
        <v>3350211.2529412988</v>
      </c>
      <c r="AM176" s="31">
        <v>2098356.2569767544</v>
      </c>
      <c r="AN176" s="31">
        <v>2370723.0816073809</v>
      </c>
      <c r="AO176" s="31">
        <f t="shared" si="14"/>
        <v>30415285.179744966</v>
      </c>
      <c r="AP176" s="31">
        <v>462212.82999999996</v>
      </c>
      <c r="AR176" s="42" t="s">
        <v>323</v>
      </c>
      <c r="AS176" s="42" t="s">
        <v>324</v>
      </c>
      <c r="AT176" s="43" t="s">
        <v>1276</v>
      </c>
      <c r="AU176" s="44">
        <v>34</v>
      </c>
      <c r="AV176" s="31">
        <v>20994451.247369993</v>
      </c>
      <c r="AW176" s="31">
        <v>959666.59999999986</v>
      </c>
      <c r="AX176" s="31">
        <v>531892.64000000013</v>
      </c>
      <c r="AY176" s="31">
        <v>75386.37000000001</v>
      </c>
      <c r="AZ176" s="31">
        <v>3412490.4326035115</v>
      </c>
      <c r="BA176" s="31">
        <v>2098472.9237871543</v>
      </c>
      <c r="BB176" s="31">
        <v>2414846.3463460607</v>
      </c>
      <c r="BC176" s="31">
        <f t="shared" si="15"/>
        <v>30958069.690106723</v>
      </c>
      <c r="BD176" s="31">
        <v>470863.12999999995</v>
      </c>
    </row>
    <row r="177" spans="2:56">
      <c r="B177" s="42" t="s">
        <v>353</v>
      </c>
      <c r="C177" s="42" t="s">
        <v>354</v>
      </c>
      <c r="D177" s="43" t="s">
        <v>1049</v>
      </c>
      <c r="E177" s="44">
        <v>34</v>
      </c>
      <c r="F177" s="31">
        <v>1941549.5505428584</v>
      </c>
      <c r="G177" s="31">
        <v>38002.65</v>
      </c>
      <c r="H177" s="31">
        <v>0</v>
      </c>
      <c r="I177" s="31">
        <v>0</v>
      </c>
      <c r="J177" s="31">
        <v>74725.554338031492</v>
      </c>
      <c r="K177" s="31">
        <v>149369.75704981267</v>
      </c>
      <c r="L177" s="31">
        <v>0</v>
      </c>
      <c r="M177" s="31">
        <f t="shared" si="12"/>
        <v>2228787.7519307025</v>
      </c>
      <c r="N177" s="31">
        <v>25140.239999999998</v>
      </c>
      <c r="P177" s="42" t="s">
        <v>353</v>
      </c>
      <c r="Q177" s="42" t="s">
        <v>354</v>
      </c>
      <c r="R177" s="43" t="s">
        <v>1050</v>
      </c>
      <c r="S177" s="44">
        <v>34</v>
      </c>
      <c r="T177" s="31">
        <v>2053257.3038117792</v>
      </c>
      <c r="U177" s="31">
        <v>35491.279999999999</v>
      </c>
      <c r="V177" s="31">
        <v>0</v>
      </c>
      <c r="W177" s="31">
        <v>0</v>
      </c>
      <c r="X177" s="31">
        <v>78118.376666316355</v>
      </c>
      <c r="Y177" s="31">
        <v>149768.95619588817</v>
      </c>
      <c r="Z177" s="31">
        <v>0</v>
      </c>
      <c r="AA177" s="31">
        <f t="shared" si="13"/>
        <v>2342990.1566739841</v>
      </c>
      <c r="AB177" s="31">
        <v>26354.240000000002</v>
      </c>
      <c r="AD177" s="42" t="s">
        <v>353</v>
      </c>
      <c r="AE177" s="42" t="s">
        <v>354</v>
      </c>
      <c r="AF177" s="43" t="s">
        <v>1275</v>
      </c>
      <c r="AG177" s="44">
        <v>34</v>
      </c>
      <c r="AH177" s="31">
        <v>2089204.2031403845</v>
      </c>
      <c r="AI177" s="31">
        <v>35681.51</v>
      </c>
      <c r="AJ177" s="31">
        <v>0</v>
      </c>
      <c r="AK177" s="31">
        <v>0</v>
      </c>
      <c r="AL177" s="31">
        <v>79424.897879292781</v>
      </c>
      <c r="AM177" s="31">
        <v>149465.67251133817</v>
      </c>
      <c r="AN177" s="31">
        <v>0</v>
      </c>
      <c r="AO177" s="31">
        <f t="shared" si="14"/>
        <v>2380596.2535310155</v>
      </c>
      <c r="AP177" s="31">
        <v>26819.97</v>
      </c>
      <c r="AR177" s="42" t="s">
        <v>353</v>
      </c>
      <c r="AS177" s="42" t="s">
        <v>354</v>
      </c>
      <c r="AT177" s="43" t="s">
        <v>1276</v>
      </c>
      <c r="AU177" s="44">
        <v>34</v>
      </c>
      <c r="AV177" s="31">
        <v>2127815.2407072801</v>
      </c>
      <c r="AW177" s="31">
        <v>36329.790000000008</v>
      </c>
      <c r="AX177" s="31">
        <v>0</v>
      </c>
      <c r="AY177" s="31">
        <v>0</v>
      </c>
      <c r="AZ177" s="31">
        <v>80727.930556902502</v>
      </c>
      <c r="BA177" s="31">
        <v>149474.33775946818</v>
      </c>
      <c r="BB177" s="31">
        <v>0</v>
      </c>
      <c r="BC177" s="31">
        <f t="shared" si="15"/>
        <v>2421666.0690236511</v>
      </c>
      <c r="BD177" s="31">
        <v>27318.77</v>
      </c>
    </row>
    <row r="178" spans="2:56">
      <c r="B178" s="42" t="s">
        <v>509</v>
      </c>
      <c r="C178" s="42" t="s">
        <v>510</v>
      </c>
      <c r="D178" s="43" t="s">
        <v>1049</v>
      </c>
      <c r="E178" s="44">
        <v>34</v>
      </c>
      <c r="F178" s="31">
        <v>123435730.01552919</v>
      </c>
      <c r="G178" s="31">
        <v>4131326.8099999996</v>
      </c>
      <c r="H178" s="31">
        <v>1391366.9499999997</v>
      </c>
      <c r="I178" s="31">
        <v>430464.23000000004</v>
      </c>
      <c r="J178" s="31">
        <v>20149568.994290508</v>
      </c>
      <c r="K178" s="31">
        <v>7819920.7465654491</v>
      </c>
      <c r="L178" s="31">
        <v>9346521.1997727305</v>
      </c>
      <c r="M178" s="31">
        <f t="shared" si="12"/>
        <v>167711904.81615788</v>
      </c>
      <c r="N178" s="31">
        <v>1007005.8700000001</v>
      </c>
      <c r="P178" s="42" t="s">
        <v>509</v>
      </c>
      <c r="Q178" s="42" t="s">
        <v>510</v>
      </c>
      <c r="R178" s="43" t="s">
        <v>1050</v>
      </c>
      <c r="S178" s="44">
        <v>34</v>
      </c>
      <c r="T178" s="31">
        <v>136763071.86184138</v>
      </c>
      <c r="U178" s="31">
        <v>4561938.4799999995</v>
      </c>
      <c r="V178" s="31">
        <v>1468770.6299999997</v>
      </c>
      <c r="W178" s="31">
        <v>473687.05</v>
      </c>
      <c r="X178" s="31">
        <v>21236853.751767706</v>
      </c>
      <c r="Y178" s="31">
        <v>7837821.6796908369</v>
      </c>
      <c r="Z178" s="31">
        <v>9851426.38091629</v>
      </c>
      <c r="AA178" s="31">
        <f t="shared" si="13"/>
        <v>183240371.4042162</v>
      </c>
      <c r="AB178" s="31">
        <v>1046801.5700000001</v>
      </c>
      <c r="AD178" s="42" t="s">
        <v>509</v>
      </c>
      <c r="AE178" s="42" t="s">
        <v>510</v>
      </c>
      <c r="AF178" s="43" t="s">
        <v>1275</v>
      </c>
      <c r="AG178" s="44">
        <v>34</v>
      </c>
      <c r="AH178" s="31">
        <v>139743899.0162577</v>
      </c>
      <c r="AI178" s="31">
        <v>4654632.09</v>
      </c>
      <c r="AJ178" s="31">
        <v>1494471.3099999998</v>
      </c>
      <c r="AK178" s="31">
        <v>483384.33000000007</v>
      </c>
      <c r="AL178" s="31">
        <v>21620807.305221211</v>
      </c>
      <c r="AM178" s="31">
        <v>7824132.2298695864</v>
      </c>
      <c r="AN178" s="31">
        <v>10025233.860920632</v>
      </c>
      <c r="AO178" s="31">
        <f t="shared" si="14"/>
        <v>186911921.60226914</v>
      </c>
      <c r="AP178" s="31">
        <v>1065361.46</v>
      </c>
      <c r="AR178" s="42" t="s">
        <v>509</v>
      </c>
      <c r="AS178" s="42" t="s">
        <v>510</v>
      </c>
      <c r="AT178" s="43" t="s">
        <v>1276</v>
      </c>
      <c r="AU178" s="44">
        <v>34</v>
      </c>
      <c r="AV178" s="31">
        <v>142594253.38570026</v>
      </c>
      <c r="AW178" s="31">
        <v>4745954.9700000007</v>
      </c>
      <c r="AX178" s="31">
        <v>1521996.73</v>
      </c>
      <c r="AY178" s="31">
        <v>492839.14</v>
      </c>
      <c r="AZ178" s="31">
        <v>22020486.142361164</v>
      </c>
      <c r="BA178" s="31">
        <v>7824523.3570073359</v>
      </c>
      <c r="BB178" s="31">
        <v>10211375.88046688</v>
      </c>
      <c r="BC178" s="31">
        <f t="shared" si="15"/>
        <v>190496668.70553559</v>
      </c>
      <c r="BD178" s="31">
        <v>1085239.0999999999</v>
      </c>
    </row>
    <row r="179" spans="2:56">
      <c r="B179" s="42" t="s">
        <v>503</v>
      </c>
      <c r="C179" s="42" t="s">
        <v>504</v>
      </c>
      <c r="D179" s="43" t="s">
        <v>1049</v>
      </c>
      <c r="E179" s="44">
        <v>34</v>
      </c>
      <c r="F179" s="31">
        <v>3110220.5753675755</v>
      </c>
      <c r="G179" s="31">
        <v>104848.38999999998</v>
      </c>
      <c r="H179" s="31">
        <v>0</v>
      </c>
      <c r="I179" s="31">
        <v>0</v>
      </c>
      <c r="J179" s="31">
        <v>207434.68508498417</v>
      </c>
      <c r="K179" s="31">
        <v>281291.59612940717</v>
      </c>
      <c r="L179" s="31">
        <v>61693.83171361687</v>
      </c>
      <c r="M179" s="31">
        <f t="shared" si="12"/>
        <v>3808363.8682955839</v>
      </c>
      <c r="N179" s="31">
        <v>42874.790000000008</v>
      </c>
      <c r="P179" s="42" t="s">
        <v>503</v>
      </c>
      <c r="Q179" s="42" t="s">
        <v>504</v>
      </c>
      <c r="R179" s="43" t="s">
        <v>1050</v>
      </c>
      <c r="S179" s="44">
        <v>34</v>
      </c>
      <c r="T179" s="31">
        <v>3217032.4356548511</v>
      </c>
      <c r="U179" s="31">
        <v>111121.33999999997</v>
      </c>
      <c r="V179" s="31">
        <v>0</v>
      </c>
      <c r="W179" s="31">
        <v>0</v>
      </c>
      <c r="X179" s="31">
        <v>217782.89801444192</v>
      </c>
      <c r="Y179" s="31">
        <v>281920.7312599867</v>
      </c>
      <c r="Z179" s="31">
        <v>66108.48422435562</v>
      </c>
      <c r="AA179" s="31">
        <f t="shared" si="13"/>
        <v>3938911.0891536358</v>
      </c>
      <c r="AB179" s="31">
        <v>44945.200000000012</v>
      </c>
      <c r="AD179" s="42" t="s">
        <v>503</v>
      </c>
      <c r="AE179" s="42" t="s">
        <v>504</v>
      </c>
      <c r="AF179" s="43" t="s">
        <v>1275</v>
      </c>
      <c r="AG179" s="44">
        <v>34</v>
      </c>
      <c r="AH179" s="31">
        <v>3257248.5032745395</v>
      </c>
      <c r="AI179" s="31">
        <v>111253.28</v>
      </c>
      <c r="AJ179" s="31">
        <v>0</v>
      </c>
      <c r="AK179" s="31">
        <v>0</v>
      </c>
      <c r="AL179" s="31">
        <v>221222.47155561089</v>
      </c>
      <c r="AM179" s="31">
        <v>281442.75824236422</v>
      </c>
      <c r="AN179" s="31">
        <v>67271.680920315528</v>
      </c>
      <c r="AO179" s="31">
        <f t="shared" si="14"/>
        <v>3984178.1639928296</v>
      </c>
      <c r="AP179" s="31">
        <v>45739.470000000008</v>
      </c>
      <c r="AR179" s="42" t="s">
        <v>503</v>
      </c>
      <c r="AS179" s="42" t="s">
        <v>504</v>
      </c>
      <c r="AT179" s="43" t="s">
        <v>1276</v>
      </c>
      <c r="AU179" s="44">
        <v>34</v>
      </c>
      <c r="AV179" s="31">
        <v>3294580.0812623249</v>
      </c>
      <c r="AW179" s="31">
        <v>113283.84999999998</v>
      </c>
      <c r="AX179" s="31">
        <v>0</v>
      </c>
      <c r="AY179" s="31">
        <v>0</v>
      </c>
      <c r="AZ179" s="31">
        <v>225514.19739044347</v>
      </c>
      <c r="BA179" s="31">
        <v>281456.41461429623</v>
      </c>
      <c r="BB179" s="31">
        <v>68517.425188088586</v>
      </c>
      <c r="BC179" s="31">
        <f t="shared" si="15"/>
        <v>4029942.1084551536</v>
      </c>
      <c r="BD179" s="31">
        <v>46590.140000000007</v>
      </c>
    </row>
    <row r="180" spans="2:56">
      <c r="B180" s="42" t="s">
        <v>219</v>
      </c>
      <c r="C180" s="42" t="s">
        <v>220</v>
      </c>
      <c r="D180" s="43" t="s">
        <v>1049</v>
      </c>
      <c r="E180" s="44">
        <v>34</v>
      </c>
      <c r="F180" s="31">
        <v>208765894.03656435</v>
      </c>
      <c r="G180" s="31">
        <v>2348627.81</v>
      </c>
      <c r="H180" s="31">
        <v>3799313.9599999995</v>
      </c>
      <c r="I180" s="31">
        <v>730368.00999999989</v>
      </c>
      <c r="J180" s="31">
        <v>27960204.93074733</v>
      </c>
      <c r="K180" s="31">
        <v>11460425.155261811</v>
      </c>
      <c r="L180" s="31">
        <v>10817746.007111154</v>
      </c>
      <c r="M180" s="31">
        <f t="shared" si="12"/>
        <v>265882579.90968466</v>
      </c>
      <c r="N180" s="31">
        <v>0</v>
      </c>
      <c r="P180" s="42" t="s">
        <v>219</v>
      </c>
      <c r="Q180" s="42" t="s">
        <v>220</v>
      </c>
      <c r="R180" s="43" t="s">
        <v>1050</v>
      </c>
      <c r="S180" s="44">
        <v>34</v>
      </c>
      <c r="T180" s="31">
        <v>229206927.04293349</v>
      </c>
      <c r="U180" s="31">
        <v>2576266.5199999996</v>
      </c>
      <c r="V180" s="31">
        <v>4041828.9099999997</v>
      </c>
      <c r="W180" s="31">
        <v>801134.07</v>
      </c>
      <c r="X180" s="31">
        <v>29598268.954395588</v>
      </c>
      <c r="Y180" s="31">
        <v>11483950.082505308</v>
      </c>
      <c r="Z180" s="31">
        <v>11476611.883216318</v>
      </c>
      <c r="AA180" s="31">
        <f t="shared" si="13"/>
        <v>289184987.46305072</v>
      </c>
      <c r="AB180" s="31">
        <v>0</v>
      </c>
      <c r="AD180" s="42" t="s">
        <v>219</v>
      </c>
      <c r="AE180" s="42" t="s">
        <v>220</v>
      </c>
      <c r="AF180" s="43" t="s">
        <v>1275</v>
      </c>
      <c r="AG180" s="44">
        <v>34</v>
      </c>
      <c r="AH180" s="31">
        <v>236842728.20790043</v>
      </c>
      <c r="AI180" s="31">
        <v>2656039.0300000003</v>
      </c>
      <c r="AJ180" s="31">
        <v>4113657.19</v>
      </c>
      <c r="AK180" s="31">
        <v>825885.83</v>
      </c>
      <c r="AL180" s="31">
        <v>30164109.35475098</v>
      </c>
      <c r="AM180" s="31">
        <v>11465527.312607257</v>
      </c>
      <c r="AN180" s="31">
        <v>11681460.740616478</v>
      </c>
      <c r="AO180" s="31">
        <f t="shared" si="14"/>
        <v>297749407.66587514</v>
      </c>
      <c r="AP180" s="31">
        <v>0</v>
      </c>
      <c r="AR180" s="42" t="s">
        <v>219</v>
      </c>
      <c r="AS180" s="42" t="s">
        <v>220</v>
      </c>
      <c r="AT180" s="43" t="s">
        <v>1276</v>
      </c>
      <c r="AU180" s="44">
        <v>34</v>
      </c>
      <c r="AV180" s="31">
        <v>244898626.40547359</v>
      </c>
      <c r="AW180" s="31">
        <v>2740333.4</v>
      </c>
      <c r="AX180" s="31">
        <v>4190585.27</v>
      </c>
      <c r="AY180" s="31">
        <v>852166.2300000001</v>
      </c>
      <c r="AZ180" s="31">
        <v>30767852.895021897</v>
      </c>
      <c r="BA180" s="31">
        <v>11466053.677461486</v>
      </c>
      <c r="BB180" s="31">
        <v>11900847.755676847</v>
      </c>
      <c r="BC180" s="31">
        <f t="shared" si="15"/>
        <v>306816465.63363385</v>
      </c>
      <c r="BD180" s="31">
        <v>0</v>
      </c>
    </row>
    <row r="181" spans="2:56">
      <c r="B181" s="42" t="s">
        <v>167</v>
      </c>
      <c r="C181" s="42" t="s">
        <v>168</v>
      </c>
      <c r="D181" s="43" t="s">
        <v>1049</v>
      </c>
      <c r="E181" s="44">
        <v>34</v>
      </c>
      <c r="F181" s="31">
        <v>47837802.29688777</v>
      </c>
      <c r="G181" s="31">
        <v>1462102.0699999996</v>
      </c>
      <c r="H181" s="31">
        <v>369512.68000000005</v>
      </c>
      <c r="I181" s="31">
        <v>170693.52</v>
      </c>
      <c r="J181" s="31">
        <v>8510074.0109630115</v>
      </c>
      <c r="K181" s="31">
        <v>2406459.1287051979</v>
      </c>
      <c r="L181" s="31">
        <v>4453475.4989796439</v>
      </c>
      <c r="M181" s="31">
        <f t="shared" si="12"/>
        <v>65487927.225535631</v>
      </c>
      <c r="N181" s="31">
        <v>277808.02</v>
      </c>
      <c r="P181" s="42" t="s">
        <v>167</v>
      </c>
      <c r="Q181" s="42" t="s">
        <v>168</v>
      </c>
      <c r="R181" s="43" t="s">
        <v>1050</v>
      </c>
      <c r="S181" s="44">
        <v>34</v>
      </c>
      <c r="T181" s="31">
        <v>49323650.667981438</v>
      </c>
      <c r="U181" s="31">
        <v>1521381.67</v>
      </c>
      <c r="V181" s="31">
        <v>393219.18</v>
      </c>
      <c r="W181" s="31">
        <v>177172.25</v>
      </c>
      <c r="X181" s="31">
        <v>8975712.9754680544</v>
      </c>
      <c r="Y181" s="31">
        <v>2410812.4203630541</v>
      </c>
      <c r="Z181" s="31">
        <v>4725486.8128136648</v>
      </c>
      <c r="AA181" s="31">
        <f t="shared" si="13"/>
        <v>67818830.316626221</v>
      </c>
      <c r="AB181" s="31">
        <v>291394.34000000008</v>
      </c>
      <c r="AD181" s="42" t="s">
        <v>167</v>
      </c>
      <c r="AE181" s="42" t="s">
        <v>168</v>
      </c>
      <c r="AF181" s="43" t="s">
        <v>1275</v>
      </c>
      <c r="AG181" s="44">
        <v>34</v>
      </c>
      <c r="AH181" s="31">
        <v>50230263.354854949</v>
      </c>
      <c r="AI181" s="31">
        <v>1548200.8</v>
      </c>
      <c r="AJ181" s="31">
        <v>400167.25999999995</v>
      </c>
      <c r="AK181" s="31">
        <v>180302.83</v>
      </c>
      <c r="AL181" s="31">
        <v>9134999.7341203149</v>
      </c>
      <c r="AM181" s="31">
        <v>2407434.9418552597</v>
      </c>
      <c r="AN181" s="31">
        <v>4809466.0315433824</v>
      </c>
      <c r="AO181" s="31">
        <f t="shared" si="14"/>
        <v>69007441.502373904</v>
      </c>
      <c r="AP181" s="31">
        <v>296606.55000000005</v>
      </c>
      <c r="AR181" s="42" t="s">
        <v>167</v>
      </c>
      <c r="AS181" s="42" t="s">
        <v>168</v>
      </c>
      <c r="AT181" s="43" t="s">
        <v>1276</v>
      </c>
      <c r="AU181" s="44">
        <v>34</v>
      </c>
      <c r="AV181" s="31">
        <v>51199141.055218041</v>
      </c>
      <c r="AW181" s="31">
        <v>1576924.0699999998</v>
      </c>
      <c r="AX181" s="31">
        <v>407608.68</v>
      </c>
      <c r="AY181" s="31">
        <v>183655.71</v>
      </c>
      <c r="AZ181" s="31">
        <v>9305595.2059524879</v>
      </c>
      <c r="BA181" s="31">
        <v>2407531.4412411964</v>
      </c>
      <c r="BB181" s="31">
        <v>4899405.1599395098</v>
      </c>
      <c r="BC181" s="31">
        <f t="shared" si="15"/>
        <v>70282050.142351225</v>
      </c>
      <c r="BD181" s="31">
        <v>302188.82000000007</v>
      </c>
    </row>
    <row r="182" spans="2:56">
      <c r="B182" s="42" t="s">
        <v>579</v>
      </c>
      <c r="C182" s="42" t="s">
        <v>580</v>
      </c>
      <c r="D182" s="43" t="s">
        <v>1049</v>
      </c>
      <c r="E182" s="44">
        <v>34</v>
      </c>
      <c r="F182" s="31">
        <v>2328287.7949679666</v>
      </c>
      <c r="G182" s="31">
        <v>37931.699999999997</v>
      </c>
      <c r="H182" s="31">
        <v>0</v>
      </c>
      <c r="I182" s="31">
        <v>0</v>
      </c>
      <c r="J182" s="31">
        <v>175051.28276503447</v>
      </c>
      <c r="K182" s="31">
        <v>357241.67165562755</v>
      </c>
      <c r="L182" s="31">
        <v>54435.959349026438</v>
      </c>
      <c r="M182" s="31">
        <f t="shared" si="12"/>
        <v>2952948.4087376553</v>
      </c>
      <c r="N182" s="31">
        <v>0</v>
      </c>
      <c r="P182" s="42" t="s">
        <v>579</v>
      </c>
      <c r="Q182" s="42" t="s">
        <v>580</v>
      </c>
      <c r="R182" s="43" t="s">
        <v>1050</v>
      </c>
      <c r="S182" s="44">
        <v>34</v>
      </c>
      <c r="T182" s="31">
        <v>2306807.3208698477</v>
      </c>
      <c r="U182" s="31">
        <v>36409.71</v>
      </c>
      <c r="V182" s="31">
        <v>0</v>
      </c>
      <c r="W182" s="31">
        <v>0</v>
      </c>
      <c r="X182" s="31">
        <v>182631.73540419189</v>
      </c>
      <c r="Y182" s="31">
        <v>358125.34361605486</v>
      </c>
      <c r="Z182" s="31">
        <v>57777.103733754557</v>
      </c>
      <c r="AA182" s="31">
        <f t="shared" si="13"/>
        <v>2941751.2136238492</v>
      </c>
      <c r="AB182" s="31">
        <v>0</v>
      </c>
      <c r="AD182" s="42" t="s">
        <v>579</v>
      </c>
      <c r="AE182" s="42" t="s">
        <v>580</v>
      </c>
      <c r="AF182" s="43" t="s">
        <v>1275</v>
      </c>
      <c r="AG182" s="44">
        <v>34</v>
      </c>
      <c r="AH182" s="31">
        <v>2347246.0084708952</v>
      </c>
      <c r="AI182" s="31">
        <v>37047.549999999996</v>
      </c>
      <c r="AJ182" s="31">
        <v>0</v>
      </c>
      <c r="AK182" s="31">
        <v>0</v>
      </c>
      <c r="AL182" s="31">
        <v>185848.64737825337</v>
      </c>
      <c r="AM182" s="31">
        <v>357453.99125789816</v>
      </c>
      <c r="AN182" s="31">
        <v>58796.454821496045</v>
      </c>
      <c r="AO182" s="31">
        <f t="shared" si="14"/>
        <v>2986392.6519285426</v>
      </c>
      <c r="AP182" s="31">
        <v>0</v>
      </c>
      <c r="AR182" s="42" t="s">
        <v>579</v>
      </c>
      <c r="AS182" s="42" t="s">
        <v>580</v>
      </c>
      <c r="AT182" s="43" t="s">
        <v>1276</v>
      </c>
      <c r="AU182" s="44">
        <v>34</v>
      </c>
      <c r="AV182" s="31">
        <v>2390543.77691417</v>
      </c>
      <c r="AW182" s="31">
        <v>37730.689999999995</v>
      </c>
      <c r="AX182" s="31">
        <v>0</v>
      </c>
      <c r="AY182" s="31">
        <v>0</v>
      </c>
      <c r="AZ182" s="31">
        <v>189293.94441100827</v>
      </c>
      <c r="BA182" s="31">
        <v>357473.17275384552</v>
      </c>
      <c r="BB182" s="31">
        <v>59888.145933067164</v>
      </c>
      <c r="BC182" s="31">
        <f t="shared" si="15"/>
        <v>3034929.7300120904</v>
      </c>
      <c r="BD182" s="31">
        <v>0</v>
      </c>
    </row>
    <row r="183" spans="2:56">
      <c r="B183" s="42" t="s">
        <v>165</v>
      </c>
      <c r="C183" s="42" t="s">
        <v>166</v>
      </c>
      <c r="D183" s="43" t="s">
        <v>1049</v>
      </c>
      <c r="E183" s="44">
        <v>34</v>
      </c>
      <c r="F183" s="31">
        <v>3343253.8851690879</v>
      </c>
      <c r="G183" s="31">
        <v>154446.71000000002</v>
      </c>
      <c r="H183" s="31">
        <v>0</v>
      </c>
      <c r="I183" s="31">
        <v>9257.0600000000013</v>
      </c>
      <c r="J183" s="31">
        <v>437668.49279422534</v>
      </c>
      <c r="K183" s="31">
        <v>156279.95291078085</v>
      </c>
      <c r="L183" s="31">
        <v>254948.98544175434</v>
      </c>
      <c r="M183" s="31">
        <f t="shared" si="12"/>
        <v>4440727.7163158488</v>
      </c>
      <c r="N183" s="31">
        <v>84872.63</v>
      </c>
      <c r="P183" s="42" t="s">
        <v>165</v>
      </c>
      <c r="Q183" s="42" t="s">
        <v>166</v>
      </c>
      <c r="R183" s="43" t="s">
        <v>1050</v>
      </c>
      <c r="S183" s="44">
        <v>34</v>
      </c>
      <c r="T183" s="31">
        <v>3311269.4197633206</v>
      </c>
      <c r="U183" s="31">
        <v>151769.89000000001</v>
      </c>
      <c r="V183" s="31">
        <v>0</v>
      </c>
      <c r="W183" s="31">
        <v>9027.8000000000011</v>
      </c>
      <c r="X183" s="31">
        <v>466539.5183490637</v>
      </c>
      <c r="Y183" s="31">
        <v>156632.76574020952</v>
      </c>
      <c r="Z183" s="31">
        <v>273190.62154042674</v>
      </c>
      <c r="AA183" s="31">
        <f t="shared" si="13"/>
        <v>4457401.0853930209</v>
      </c>
      <c r="AB183" s="31">
        <v>88971.07</v>
      </c>
      <c r="AD183" s="42" t="s">
        <v>165</v>
      </c>
      <c r="AE183" s="42" t="s">
        <v>166</v>
      </c>
      <c r="AF183" s="43" t="s">
        <v>1275</v>
      </c>
      <c r="AG183" s="44">
        <v>34</v>
      </c>
      <c r="AH183" s="31">
        <v>3474361.4044463118</v>
      </c>
      <c r="AI183" s="31">
        <v>153972.52999999997</v>
      </c>
      <c r="AJ183" s="31">
        <v>0</v>
      </c>
      <c r="AK183" s="31">
        <v>9185.19</v>
      </c>
      <c r="AL183" s="31">
        <v>480646.46099711966</v>
      </c>
      <c r="AM183" s="31">
        <v>156364.72314563589</v>
      </c>
      <c r="AN183" s="31">
        <v>277997.18357371772</v>
      </c>
      <c r="AO183" s="31">
        <f t="shared" si="14"/>
        <v>4643070.8821627842</v>
      </c>
      <c r="AP183" s="31">
        <v>90543.390000000014</v>
      </c>
      <c r="AR183" s="42" t="s">
        <v>165</v>
      </c>
      <c r="AS183" s="42" t="s">
        <v>166</v>
      </c>
      <c r="AT183" s="43" t="s">
        <v>1276</v>
      </c>
      <c r="AU183" s="44">
        <v>34</v>
      </c>
      <c r="AV183" s="31">
        <v>3600792.8439557715</v>
      </c>
      <c r="AW183" s="31">
        <v>157743.77999999997</v>
      </c>
      <c r="AX183" s="31">
        <v>0</v>
      </c>
      <c r="AY183" s="31">
        <v>9353.7699999999986</v>
      </c>
      <c r="AZ183" s="31">
        <v>490966.25743326207</v>
      </c>
      <c r="BA183" s="31">
        <v>156372.38150548085</v>
      </c>
      <c r="BB183" s="31">
        <v>283144.84889957227</v>
      </c>
      <c r="BC183" s="31">
        <f t="shared" si="15"/>
        <v>4790601.2117940867</v>
      </c>
      <c r="BD183" s="31">
        <v>92227.33</v>
      </c>
    </row>
    <row r="184" spans="2:56">
      <c r="B184" s="42" t="s">
        <v>343</v>
      </c>
      <c r="C184" s="42" t="s">
        <v>344</v>
      </c>
      <c r="D184" s="43" t="s">
        <v>1049</v>
      </c>
      <c r="E184" s="44">
        <v>34</v>
      </c>
      <c r="F184" s="31">
        <v>8146740.6846200144</v>
      </c>
      <c r="G184" s="31">
        <v>409844.1100000001</v>
      </c>
      <c r="H184" s="31">
        <v>66845.72</v>
      </c>
      <c r="I184" s="31">
        <v>28745.600000000002</v>
      </c>
      <c r="J184" s="31">
        <v>1297826.7210932132</v>
      </c>
      <c r="K184" s="31">
        <v>905641.90498795279</v>
      </c>
      <c r="L184" s="31">
        <v>740529.53446643322</v>
      </c>
      <c r="M184" s="31">
        <f t="shared" si="12"/>
        <v>11888015.265167614</v>
      </c>
      <c r="N184" s="31">
        <v>291840.99</v>
      </c>
      <c r="P184" s="42" t="s">
        <v>343</v>
      </c>
      <c r="Q184" s="42" t="s">
        <v>344</v>
      </c>
      <c r="R184" s="43" t="s">
        <v>1050</v>
      </c>
      <c r="S184" s="44">
        <v>34</v>
      </c>
      <c r="T184" s="31">
        <v>8860689.9499365557</v>
      </c>
      <c r="U184" s="31">
        <v>445136.48000000016</v>
      </c>
      <c r="V184" s="31">
        <v>71184.600000000006</v>
      </c>
      <c r="W184" s="31">
        <v>30819.010000000002</v>
      </c>
      <c r="X184" s="31">
        <v>1376991.3989280791</v>
      </c>
      <c r="Y184" s="31">
        <v>907290.50349614036</v>
      </c>
      <c r="Z184" s="31">
        <v>793594.24164585792</v>
      </c>
      <c r="AA184" s="31">
        <f t="shared" si="13"/>
        <v>12791639.984006634</v>
      </c>
      <c r="AB184" s="31">
        <v>305933.8</v>
      </c>
      <c r="AD184" s="42" t="s">
        <v>343</v>
      </c>
      <c r="AE184" s="42" t="s">
        <v>344</v>
      </c>
      <c r="AF184" s="43" t="s">
        <v>1275</v>
      </c>
      <c r="AG184" s="44">
        <v>34</v>
      </c>
      <c r="AH184" s="31">
        <v>8850727.1154022571</v>
      </c>
      <c r="AI184" s="31">
        <v>443745.16</v>
      </c>
      <c r="AJ184" s="31">
        <v>72425.709999999992</v>
      </c>
      <c r="AK184" s="31">
        <v>30722.860000000004</v>
      </c>
      <c r="AL184" s="31">
        <v>1404313.1969428868</v>
      </c>
      <c r="AM184" s="31">
        <v>906038.01326708496</v>
      </c>
      <c r="AN184" s="31">
        <v>807557.05835013522</v>
      </c>
      <c r="AO184" s="31">
        <f t="shared" si="14"/>
        <v>12826869.423962364</v>
      </c>
      <c r="AP184" s="31">
        <v>311340.31</v>
      </c>
      <c r="AR184" s="42" t="s">
        <v>343</v>
      </c>
      <c r="AS184" s="42" t="s">
        <v>344</v>
      </c>
      <c r="AT184" s="43" t="s">
        <v>1276</v>
      </c>
      <c r="AU184" s="44">
        <v>34</v>
      </c>
      <c r="AV184" s="31">
        <v>8890247.2301624231</v>
      </c>
      <c r="AW184" s="31">
        <v>445254.3000000001</v>
      </c>
      <c r="AX184" s="31">
        <v>73754.899999999994</v>
      </c>
      <c r="AY184" s="31">
        <v>30856.65</v>
      </c>
      <c r="AZ184" s="31">
        <v>1431843.9444067616</v>
      </c>
      <c r="BA184" s="31">
        <v>906073.79870220087</v>
      </c>
      <c r="BB184" s="31">
        <v>822510.763109616</v>
      </c>
      <c r="BC184" s="31">
        <f t="shared" si="15"/>
        <v>12917672.276381003</v>
      </c>
      <c r="BD184" s="31">
        <v>317130.69</v>
      </c>
    </row>
    <row r="185" spans="2:56">
      <c r="B185" s="42" t="s">
        <v>163</v>
      </c>
      <c r="C185" s="42" t="s">
        <v>164</v>
      </c>
      <c r="D185" s="43" t="s">
        <v>1049</v>
      </c>
      <c r="E185" s="44">
        <v>34</v>
      </c>
      <c r="F185" s="31">
        <v>5029803.8239824129</v>
      </c>
      <c r="G185" s="31">
        <v>271280.55999999994</v>
      </c>
      <c r="H185" s="31">
        <v>74056.47</v>
      </c>
      <c r="I185" s="31">
        <v>15980.6</v>
      </c>
      <c r="J185" s="31">
        <v>631518.47884935793</v>
      </c>
      <c r="K185" s="31">
        <v>491459.01277668402</v>
      </c>
      <c r="L185" s="31">
        <v>391213.77718566143</v>
      </c>
      <c r="M185" s="31">
        <f t="shared" si="12"/>
        <v>7073693.7627941156</v>
      </c>
      <c r="N185" s="31">
        <v>168381.04</v>
      </c>
      <c r="P185" s="42" t="s">
        <v>163</v>
      </c>
      <c r="Q185" s="42" t="s">
        <v>164</v>
      </c>
      <c r="R185" s="43" t="s">
        <v>1050</v>
      </c>
      <c r="S185" s="44">
        <v>34</v>
      </c>
      <c r="T185" s="31">
        <v>5597079.1688629519</v>
      </c>
      <c r="U185" s="31">
        <v>312441.14</v>
      </c>
      <c r="V185" s="31">
        <v>78863.419999999984</v>
      </c>
      <c r="W185" s="31">
        <v>18159.339999999997</v>
      </c>
      <c r="X185" s="31">
        <v>663250.77504776022</v>
      </c>
      <c r="Y185" s="31">
        <v>492625.13665318227</v>
      </c>
      <c r="Z185" s="31">
        <v>419076.2834235187</v>
      </c>
      <c r="AA185" s="31">
        <f t="shared" si="13"/>
        <v>7758007.3139874125</v>
      </c>
      <c r="AB185" s="31">
        <v>176512.05</v>
      </c>
      <c r="AD185" s="42" t="s">
        <v>163</v>
      </c>
      <c r="AE185" s="42" t="s">
        <v>164</v>
      </c>
      <c r="AF185" s="43" t="s">
        <v>1275</v>
      </c>
      <c r="AG185" s="44">
        <v>34</v>
      </c>
      <c r="AH185" s="31">
        <v>5615187.1457914934</v>
      </c>
      <c r="AI185" s="31">
        <v>318374.50000000006</v>
      </c>
      <c r="AJ185" s="31">
        <v>80238.37999999999</v>
      </c>
      <c r="AK185" s="31">
        <v>18581.52</v>
      </c>
      <c r="AL185" s="31">
        <v>669530.22709047934</v>
      </c>
      <c r="AM185" s="31">
        <v>491739.19701783225</v>
      </c>
      <c r="AN185" s="31">
        <v>426449.78547006595</v>
      </c>
      <c r="AO185" s="31">
        <f t="shared" si="14"/>
        <v>7799732.1553698704</v>
      </c>
      <c r="AP185" s="31">
        <v>179631.39999999997</v>
      </c>
      <c r="AR185" s="42" t="s">
        <v>163</v>
      </c>
      <c r="AS185" s="42" t="s">
        <v>164</v>
      </c>
      <c r="AT185" s="43" t="s">
        <v>1276</v>
      </c>
      <c r="AU185" s="44">
        <v>34</v>
      </c>
      <c r="AV185" s="31">
        <v>5644696.6102606645</v>
      </c>
      <c r="AW185" s="31">
        <v>316217.39000000007</v>
      </c>
      <c r="AX185" s="31">
        <v>81710.98</v>
      </c>
      <c r="AY185" s="31">
        <v>18384.98</v>
      </c>
      <c r="AZ185" s="31">
        <v>682387.4665493659</v>
      </c>
      <c r="BA185" s="31">
        <v>491764.50957884232</v>
      </c>
      <c r="BB185" s="31">
        <v>434346.55678231793</v>
      </c>
      <c r="BC185" s="31">
        <f t="shared" si="15"/>
        <v>7852480.7131711915</v>
      </c>
      <c r="BD185" s="31">
        <v>182972.21999999997</v>
      </c>
    </row>
    <row r="186" spans="2:56">
      <c r="B186" s="42" t="s">
        <v>305</v>
      </c>
      <c r="C186" s="42" t="s">
        <v>306</v>
      </c>
      <c r="D186" s="43" t="s">
        <v>1049</v>
      </c>
      <c r="E186" s="44">
        <v>34</v>
      </c>
      <c r="F186" s="31">
        <v>2727547.5797611778</v>
      </c>
      <c r="G186" s="31">
        <v>77615.27</v>
      </c>
      <c r="H186" s="31">
        <v>0</v>
      </c>
      <c r="I186" s="31">
        <v>6572.24</v>
      </c>
      <c r="J186" s="31">
        <v>256865.7716030709</v>
      </c>
      <c r="K186" s="31">
        <v>333554.33884224819</v>
      </c>
      <c r="L186" s="31">
        <v>130274.2320431015</v>
      </c>
      <c r="M186" s="31">
        <f t="shared" si="12"/>
        <v>3565186.4222495989</v>
      </c>
      <c r="N186" s="31">
        <v>32756.99</v>
      </c>
      <c r="P186" s="42" t="s">
        <v>305</v>
      </c>
      <c r="Q186" s="42" t="s">
        <v>306</v>
      </c>
      <c r="R186" s="43" t="s">
        <v>1050</v>
      </c>
      <c r="S186" s="44">
        <v>34</v>
      </c>
      <c r="T186" s="31">
        <v>2802897.7513596802</v>
      </c>
      <c r="U186" s="31">
        <v>79145.76999999999</v>
      </c>
      <c r="V186" s="31">
        <v>0</v>
      </c>
      <c r="W186" s="31">
        <v>6607.79</v>
      </c>
      <c r="X186" s="31">
        <v>271480.19991950801</v>
      </c>
      <c r="Y186" s="31">
        <v>334380.18583205657</v>
      </c>
      <c r="Z186" s="31">
        <v>138641.55795743482</v>
      </c>
      <c r="AA186" s="31">
        <f t="shared" si="13"/>
        <v>3667221.1750686797</v>
      </c>
      <c r="AB186" s="31">
        <v>34067.920000000006</v>
      </c>
      <c r="AD186" s="42" t="s">
        <v>305</v>
      </c>
      <c r="AE186" s="42" t="s">
        <v>306</v>
      </c>
      <c r="AF186" s="43" t="s">
        <v>1275</v>
      </c>
      <c r="AG186" s="44">
        <v>34</v>
      </c>
      <c r="AH186" s="31">
        <v>2863229.0036443998</v>
      </c>
      <c r="AI186" s="31">
        <v>81649.920000000013</v>
      </c>
      <c r="AJ186" s="31">
        <v>0</v>
      </c>
      <c r="AK186" s="31">
        <v>6836.01</v>
      </c>
      <c r="AL186" s="31">
        <v>275659.22603378684</v>
      </c>
      <c r="AM186" s="31">
        <v>333748.63266955805</v>
      </c>
      <c r="AN186" s="31">
        <v>141093.97017891679</v>
      </c>
      <c r="AO186" s="31">
        <f t="shared" si="14"/>
        <v>3736891.1925266609</v>
      </c>
      <c r="AP186" s="31">
        <v>34674.43</v>
      </c>
      <c r="AR186" s="42" t="s">
        <v>305</v>
      </c>
      <c r="AS186" s="42" t="s">
        <v>306</v>
      </c>
      <c r="AT186" s="43" t="s">
        <v>1276</v>
      </c>
      <c r="AU186" s="44">
        <v>34</v>
      </c>
      <c r="AV186" s="31">
        <v>2883093.8248421769</v>
      </c>
      <c r="AW186" s="31">
        <v>79728.23</v>
      </c>
      <c r="AX186" s="31">
        <v>0</v>
      </c>
      <c r="AY186" s="31">
        <v>6734.21</v>
      </c>
      <c r="AZ186" s="31">
        <v>282705.20581017045</v>
      </c>
      <c r="BA186" s="31">
        <v>333766.67704562948</v>
      </c>
      <c r="BB186" s="31">
        <v>143720.42454132391</v>
      </c>
      <c r="BC186" s="31">
        <f t="shared" si="15"/>
        <v>3765072.5722393007</v>
      </c>
      <c r="BD186" s="31">
        <v>35324</v>
      </c>
    </row>
    <row r="187" spans="2:56">
      <c r="B187" s="42" t="s">
        <v>331</v>
      </c>
      <c r="C187" s="42" t="s">
        <v>332</v>
      </c>
      <c r="D187" s="43" t="s">
        <v>1049</v>
      </c>
      <c r="E187" s="44">
        <v>34</v>
      </c>
      <c r="F187" s="31">
        <v>8456601.6162183024</v>
      </c>
      <c r="G187" s="31">
        <v>468496.83</v>
      </c>
      <c r="H187" s="31">
        <v>130844.18000000001</v>
      </c>
      <c r="I187" s="31">
        <v>30062.879999999997</v>
      </c>
      <c r="J187" s="31">
        <v>1332909.2424992614</v>
      </c>
      <c r="K187" s="31">
        <v>535525.255790725</v>
      </c>
      <c r="L187" s="31">
        <v>696550.15804366942</v>
      </c>
      <c r="M187" s="31">
        <f t="shared" si="12"/>
        <v>11959386.962551961</v>
      </c>
      <c r="N187" s="31">
        <v>308396.79999999999</v>
      </c>
      <c r="P187" s="42" t="s">
        <v>331</v>
      </c>
      <c r="Q187" s="42" t="s">
        <v>332</v>
      </c>
      <c r="R187" s="43" t="s">
        <v>1050</v>
      </c>
      <c r="S187" s="44">
        <v>34</v>
      </c>
      <c r="T187" s="31">
        <v>9407572.814826671</v>
      </c>
      <c r="U187" s="31">
        <v>520081.42</v>
      </c>
      <c r="V187" s="31">
        <v>139302.08000000002</v>
      </c>
      <c r="W187" s="31">
        <v>33080.230000000003</v>
      </c>
      <c r="X187" s="31">
        <v>1412510.2115246146</v>
      </c>
      <c r="Y187" s="31">
        <v>536961.99593567406</v>
      </c>
      <c r="Z187" s="31">
        <v>746480.73071942898</v>
      </c>
      <c r="AA187" s="31">
        <f t="shared" si="13"/>
        <v>13119346.20300639</v>
      </c>
      <c r="AB187" s="31">
        <v>323356.72000000003</v>
      </c>
      <c r="AD187" s="42" t="s">
        <v>331</v>
      </c>
      <c r="AE187" s="42" t="s">
        <v>332</v>
      </c>
      <c r="AF187" s="43" t="s">
        <v>1275</v>
      </c>
      <c r="AG187" s="44">
        <v>34</v>
      </c>
      <c r="AH187" s="31">
        <v>9580870.8978387807</v>
      </c>
      <c r="AI187" s="31">
        <v>529117.9700000002</v>
      </c>
      <c r="AJ187" s="31">
        <v>141742.45000000001</v>
      </c>
      <c r="AK187" s="31">
        <v>33659.74</v>
      </c>
      <c r="AL187" s="31">
        <v>1437398.2817572614</v>
      </c>
      <c r="AM187" s="31">
        <v>535870.46092317509</v>
      </c>
      <c r="AN187" s="31">
        <v>759650.86648378382</v>
      </c>
      <c r="AO187" s="31">
        <f t="shared" si="14"/>
        <v>13347406.567003001</v>
      </c>
      <c r="AP187" s="31">
        <v>329095.89999999997</v>
      </c>
      <c r="AR187" s="42" t="s">
        <v>331</v>
      </c>
      <c r="AS187" s="42" t="s">
        <v>332</v>
      </c>
      <c r="AT187" s="43" t="s">
        <v>1276</v>
      </c>
      <c r="AU187" s="44">
        <v>34</v>
      </c>
      <c r="AV187" s="31">
        <v>9765977.7667186335</v>
      </c>
      <c r="AW187" s="31">
        <v>538796.11</v>
      </c>
      <c r="AX187" s="31">
        <v>144356.06</v>
      </c>
      <c r="AY187" s="31">
        <v>34280.39</v>
      </c>
      <c r="AZ187" s="31">
        <v>1464053.3268535908</v>
      </c>
      <c r="BA187" s="31">
        <v>535901.64763781778</v>
      </c>
      <c r="BB187" s="31">
        <v>773755.64731260797</v>
      </c>
      <c r="BC187" s="31">
        <f t="shared" si="15"/>
        <v>13592363.50852265</v>
      </c>
      <c r="BD187" s="31">
        <v>335242.56000000006</v>
      </c>
    </row>
    <row r="188" spans="2:56">
      <c r="B188" s="42" t="s">
        <v>513</v>
      </c>
      <c r="C188" s="42" t="s">
        <v>514</v>
      </c>
      <c r="D188" s="43" t="s">
        <v>1049</v>
      </c>
      <c r="E188" s="44">
        <v>34</v>
      </c>
      <c r="F188" s="31">
        <v>78542631.492798612</v>
      </c>
      <c r="G188" s="31">
        <v>1869245.8100000005</v>
      </c>
      <c r="H188" s="31">
        <v>490186.5</v>
      </c>
      <c r="I188" s="31">
        <v>0</v>
      </c>
      <c r="J188" s="31">
        <v>12530872.880928913</v>
      </c>
      <c r="K188" s="31">
        <v>4276408.44811262</v>
      </c>
      <c r="L188" s="31">
        <v>6567161.3783787889</v>
      </c>
      <c r="M188" s="31">
        <f t="shared" si="12"/>
        <v>104457892.67021894</v>
      </c>
      <c r="N188" s="31">
        <v>181386.16</v>
      </c>
      <c r="P188" s="42" t="s">
        <v>513</v>
      </c>
      <c r="Q188" s="42" t="s">
        <v>514</v>
      </c>
      <c r="R188" s="43" t="s">
        <v>1050</v>
      </c>
      <c r="S188" s="44">
        <v>34</v>
      </c>
      <c r="T188" s="31">
        <v>89241420.885895342</v>
      </c>
      <c r="U188" s="31">
        <v>2105453.2000000002</v>
      </c>
      <c r="V188" s="31">
        <v>521872.65</v>
      </c>
      <c r="W188" s="31">
        <v>0</v>
      </c>
      <c r="X188" s="31">
        <v>13347904.248028068</v>
      </c>
      <c r="Y188" s="31">
        <v>4286582.9125570282</v>
      </c>
      <c r="Z188" s="31">
        <v>6970219.1740613673</v>
      </c>
      <c r="AA188" s="31">
        <f t="shared" si="13"/>
        <v>116663638.03054181</v>
      </c>
      <c r="AB188" s="31">
        <v>190184.95999999999</v>
      </c>
      <c r="AD188" s="42" t="s">
        <v>513</v>
      </c>
      <c r="AE188" s="42" t="s">
        <v>514</v>
      </c>
      <c r="AF188" s="43" t="s">
        <v>1275</v>
      </c>
      <c r="AG188" s="44">
        <v>34</v>
      </c>
      <c r="AH188" s="31">
        <v>91478485.241237924</v>
      </c>
      <c r="AI188" s="31">
        <v>2153440.7399999998</v>
      </c>
      <c r="AJ188" s="31">
        <v>531015.05000000005</v>
      </c>
      <c r="AK188" s="31">
        <v>0</v>
      </c>
      <c r="AL188" s="31">
        <v>13592066.517705452</v>
      </c>
      <c r="AM188" s="31">
        <v>4278853.0636949772</v>
      </c>
      <c r="AN188" s="31">
        <v>7093205.222821027</v>
      </c>
      <c r="AO188" s="31">
        <f t="shared" si="14"/>
        <v>119320626.33545938</v>
      </c>
      <c r="AP188" s="31">
        <v>193560.5</v>
      </c>
      <c r="AR188" s="42" t="s">
        <v>513</v>
      </c>
      <c r="AS188" s="42" t="s">
        <v>514</v>
      </c>
      <c r="AT188" s="43" t="s">
        <v>1276</v>
      </c>
      <c r="AU188" s="44">
        <v>34</v>
      </c>
      <c r="AV188" s="31">
        <v>92241709.556176245</v>
      </c>
      <c r="AW188" s="31">
        <v>2167280.8699999996</v>
      </c>
      <c r="AX188" s="31">
        <v>540806.56999999995</v>
      </c>
      <c r="AY188" s="31">
        <v>0</v>
      </c>
      <c r="AZ188" s="31">
        <v>13863446.716574669</v>
      </c>
      <c r="BA188" s="31">
        <v>4279073.9165196074</v>
      </c>
      <c r="BB188" s="31">
        <v>7224919.1834290223</v>
      </c>
      <c r="BC188" s="31">
        <f t="shared" si="15"/>
        <v>120514412.51269954</v>
      </c>
      <c r="BD188" s="31">
        <v>197175.7</v>
      </c>
    </row>
    <row r="189" spans="2:56">
      <c r="B189" s="42" t="s">
        <v>329</v>
      </c>
      <c r="C189" s="42" t="s">
        <v>330</v>
      </c>
      <c r="D189" s="43" t="s">
        <v>1049</v>
      </c>
      <c r="E189" s="44">
        <v>34</v>
      </c>
      <c r="F189" s="31">
        <v>56239719.916402251</v>
      </c>
      <c r="G189" s="31">
        <v>2235141.3600000003</v>
      </c>
      <c r="H189" s="31">
        <v>450672.62999999995</v>
      </c>
      <c r="I189" s="31">
        <v>185433.52</v>
      </c>
      <c r="J189" s="31">
        <v>7789237.5685768183</v>
      </c>
      <c r="K189" s="31">
        <v>980577.83151286631</v>
      </c>
      <c r="L189" s="31">
        <v>1523234.1689746305</v>
      </c>
      <c r="M189" s="31">
        <f t="shared" si="12"/>
        <v>70941468.405466557</v>
      </c>
      <c r="N189" s="31">
        <v>1537451.41</v>
      </c>
      <c r="P189" s="42" t="s">
        <v>329</v>
      </c>
      <c r="Q189" s="42" t="s">
        <v>330</v>
      </c>
      <c r="R189" s="43" t="s">
        <v>1050</v>
      </c>
      <c r="S189" s="44">
        <v>34</v>
      </c>
      <c r="T189" s="31">
        <v>59369162.842490897</v>
      </c>
      <c r="U189" s="31">
        <v>2368937.0900000003</v>
      </c>
      <c r="V189" s="31">
        <v>479925.41000000003</v>
      </c>
      <c r="W189" s="31">
        <v>194460.58999999997</v>
      </c>
      <c r="X189" s="31">
        <v>8250458.5828866661</v>
      </c>
      <c r="Y189" s="31">
        <v>982742.22230727761</v>
      </c>
      <c r="Z189" s="31">
        <v>1632475.4038838595</v>
      </c>
      <c r="AA189" s="31">
        <f t="shared" si="13"/>
        <v>74889856.061568707</v>
      </c>
      <c r="AB189" s="31">
        <v>1611693.92</v>
      </c>
      <c r="AD189" s="42" t="s">
        <v>329</v>
      </c>
      <c r="AE189" s="42" t="s">
        <v>330</v>
      </c>
      <c r="AF189" s="43" t="s">
        <v>1275</v>
      </c>
      <c r="AG189" s="44">
        <v>34</v>
      </c>
      <c r="AH189" s="31">
        <v>60522447.740150295</v>
      </c>
      <c r="AI189" s="31">
        <v>2398876.6500000004</v>
      </c>
      <c r="AJ189" s="31">
        <v>488292.83</v>
      </c>
      <c r="AK189" s="31">
        <v>196900.78999999998</v>
      </c>
      <c r="AL189" s="31">
        <v>8393893.7075407803</v>
      </c>
      <c r="AM189" s="31">
        <v>981097.86905304715</v>
      </c>
      <c r="AN189" s="31">
        <v>1661197.8222349281</v>
      </c>
      <c r="AO189" s="31">
        <f t="shared" si="14"/>
        <v>76282883.45897904</v>
      </c>
      <c r="AP189" s="31">
        <v>1640176.0499999998</v>
      </c>
      <c r="AR189" s="42" t="s">
        <v>329</v>
      </c>
      <c r="AS189" s="42" t="s">
        <v>330</v>
      </c>
      <c r="AT189" s="43" t="s">
        <v>1276</v>
      </c>
      <c r="AU189" s="44">
        <v>34</v>
      </c>
      <c r="AV189" s="31">
        <v>61725322.806947365</v>
      </c>
      <c r="AW189" s="31">
        <v>2430565.85</v>
      </c>
      <c r="AX189" s="31">
        <v>497254.35</v>
      </c>
      <c r="AY189" s="31">
        <v>199546.81</v>
      </c>
      <c r="AZ189" s="31">
        <v>8547798.5417071525</v>
      </c>
      <c r="BA189" s="31">
        <v>981144.85057459655</v>
      </c>
      <c r="BB189" s="31">
        <v>1691958.5616555221</v>
      </c>
      <c r="BC189" s="31">
        <f t="shared" si="15"/>
        <v>77744272.170884654</v>
      </c>
      <c r="BD189" s="31">
        <v>1670680.4</v>
      </c>
    </row>
    <row r="190" spans="2:56">
      <c r="B190" s="42" t="s">
        <v>287</v>
      </c>
      <c r="C190" s="42" t="s">
        <v>288</v>
      </c>
      <c r="D190" s="43" t="s">
        <v>1049</v>
      </c>
      <c r="E190" s="44">
        <v>34</v>
      </c>
      <c r="F190" s="31">
        <v>6014857.3301627729</v>
      </c>
      <c r="G190" s="31">
        <v>285214.87000000005</v>
      </c>
      <c r="H190" s="31">
        <v>0</v>
      </c>
      <c r="I190" s="31">
        <v>22216.95</v>
      </c>
      <c r="J190" s="31">
        <v>1006932.7795235945</v>
      </c>
      <c r="K190" s="31">
        <v>660766.32628542359</v>
      </c>
      <c r="L190" s="31">
        <v>957544.64472850435</v>
      </c>
      <c r="M190" s="31">
        <f t="shared" si="12"/>
        <v>9176523.3207002953</v>
      </c>
      <c r="N190" s="31">
        <v>228990.41999999998</v>
      </c>
      <c r="P190" s="42" t="s">
        <v>287</v>
      </c>
      <c r="Q190" s="42" t="s">
        <v>288</v>
      </c>
      <c r="R190" s="43" t="s">
        <v>1050</v>
      </c>
      <c r="S190" s="44">
        <v>34</v>
      </c>
      <c r="T190" s="31">
        <v>6490079.8889903603</v>
      </c>
      <c r="U190" s="31">
        <v>310646.74</v>
      </c>
      <c r="V190" s="31">
        <v>0</v>
      </c>
      <c r="W190" s="31">
        <v>23866.57</v>
      </c>
      <c r="X190" s="31">
        <v>1065037.0615923537</v>
      </c>
      <c r="Y190" s="31">
        <v>662227.24948481994</v>
      </c>
      <c r="Z190" s="31">
        <v>1026127.7101293129</v>
      </c>
      <c r="AA190" s="31">
        <f t="shared" si="13"/>
        <v>9818033.4301968478</v>
      </c>
      <c r="AB190" s="31">
        <v>240048.21</v>
      </c>
      <c r="AD190" s="42" t="s">
        <v>287</v>
      </c>
      <c r="AE190" s="42" t="s">
        <v>288</v>
      </c>
      <c r="AF190" s="43" t="s">
        <v>1275</v>
      </c>
      <c r="AG190" s="44">
        <v>34</v>
      </c>
      <c r="AH190" s="31">
        <v>6616313.155047657</v>
      </c>
      <c r="AI190" s="31">
        <v>317167.19000000006</v>
      </c>
      <c r="AJ190" s="31">
        <v>0</v>
      </c>
      <c r="AK190" s="31">
        <v>24388.239999999998</v>
      </c>
      <c r="AL190" s="31">
        <v>1079962.7632117006</v>
      </c>
      <c r="AM190" s="31">
        <v>661117.34187325975</v>
      </c>
      <c r="AN190" s="31">
        <v>1044181.823697465</v>
      </c>
      <c r="AO190" s="31">
        <f t="shared" si="14"/>
        <v>9987420.8938300833</v>
      </c>
      <c r="AP190" s="31">
        <v>244290.37999999998</v>
      </c>
      <c r="AR190" s="42" t="s">
        <v>287</v>
      </c>
      <c r="AS190" s="42" t="s">
        <v>288</v>
      </c>
      <c r="AT190" s="43" t="s">
        <v>1276</v>
      </c>
      <c r="AU190" s="44">
        <v>34</v>
      </c>
      <c r="AV190" s="31">
        <v>6838004.4012280544</v>
      </c>
      <c r="AW190" s="31">
        <v>327766.25999999989</v>
      </c>
      <c r="AX190" s="31">
        <v>0</v>
      </c>
      <c r="AY190" s="31">
        <v>25265.9</v>
      </c>
      <c r="AZ190" s="31">
        <v>1100283.6350132783</v>
      </c>
      <c r="BA190" s="31">
        <v>661149.05351930426</v>
      </c>
      <c r="BB190" s="31">
        <v>1063517.1690111554</v>
      </c>
      <c r="BC190" s="31">
        <f t="shared" si="15"/>
        <v>10264820.168771792</v>
      </c>
      <c r="BD190" s="31">
        <v>248833.74999999997</v>
      </c>
    </row>
    <row r="191" spans="2:56">
      <c r="B191" s="42" t="s">
        <v>483</v>
      </c>
      <c r="C191" s="42" t="s">
        <v>484</v>
      </c>
      <c r="D191" s="43" t="s">
        <v>1049</v>
      </c>
      <c r="E191" s="44">
        <v>34</v>
      </c>
      <c r="F191" s="31">
        <v>586998.00635285024</v>
      </c>
      <c r="G191" s="31">
        <v>24312.62999999999</v>
      </c>
      <c r="H191" s="31">
        <v>0</v>
      </c>
      <c r="I191" s="31">
        <v>1412.37</v>
      </c>
      <c r="J191" s="31">
        <v>50799.773471523069</v>
      </c>
      <c r="K191" s="31">
        <v>126719.06494009375</v>
      </c>
      <c r="L191" s="31">
        <v>0</v>
      </c>
      <c r="M191" s="31">
        <f t="shared" si="12"/>
        <v>804466.21476446709</v>
      </c>
      <c r="N191" s="31">
        <v>14224.370000000003</v>
      </c>
      <c r="P191" s="42" t="s">
        <v>483</v>
      </c>
      <c r="Q191" s="42" t="s">
        <v>484</v>
      </c>
      <c r="R191" s="43" t="s">
        <v>1050</v>
      </c>
      <c r="S191" s="44">
        <v>34</v>
      </c>
      <c r="T191" s="31">
        <v>632059.04714241717</v>
      </c>
      <c r="U191" s="31">
        <v>22998.99</v>
      </c>
      <c r="V191" s="31">
        <v>0</v>
      </c>
      <c r="W191" s="31">
        <v>1288.8399999999999</v>
      </c>
      <c r="X191" s="31">
        <v>52017.583373320434</v>
      </c>
      <c r="Y191" s="31">
        <v>126995.06124483395</v>
      </c>
      <c r="Z191" s="31">
        <v>0</v>
      </c>
      <c r="AA191" s="31">
        <f t="shared" si="13"/>
        <v>850273.90176057152</v>
      </c>
      <c r="AB191" s="31">
        <v>14914.380000000001</v>
      </c>
      <c r="AD191" s="42" t="s">
        <v>483</v>
      </c>
      <c r="AE191" s="42" t="s">
        <v>484</v>
      </c>
      <c r="AF191" s="43" t="s">
        <v>1275</v>
      </c>
      <c r="AG191" s="44">
        <v>34</v>
      </c>
      <c r="AH191" s="31">
        <v>639326.82004160015</v>
      </c>
      <c r="AI191" s="31">
        <v>20666.339999999993</v>
      </c>
      <c r="AJ191" s="31">
        <v>0</v>
      </c>
      <c r="AK191" s="31">
        <v>1202.1199999999999</v>
      </c>
      <c r="AL191" s="31">
        <v>53202.968764095531</v>
      </c>
      <c r="AM191" s="31">
        <v>126785.37849113395</v>
      </c>
      <c r="AN191" s="31">
        <v>0</v>
      </c>
      <c r="AO191" s="31">
        <f t="shared" si="14"/>
        <v>856362.71729682956</v>
      </c>
      <c r="AP191" s="31">
        <v>15179.09</v>
      </c>
      <c r="AR191" s="42" t="s">
        <v>483</v>
      </c>
      <c r="AS191" s="42" t="s">
        <v>484</v>
      </c>
      <c r="AT191" s="43" t="s">
        <v>1276</v>
      </c>
      <c r="AU191" s="44">
        <v>34</v>
      </c>
      <c r="AV191" s="31">
        <v>647976.10055053234</v>
      </c>
      <c r="AW191" s="31">
        <v>18929.099999999999</v>
      </c>
      <c r="AX191" s="31">
        <v>0</v>
      </c>
      <c r="AY191" s="31">
        <v>1112.99</v>
      </c>
      <c r="AZ191" s="31">
        <v>54352.451374034201</v>
      </c>
      <c r="BA191" s="31">
        <v>126791.36942695394</v>
      </c>
      <c r="BB191" s="31">
        <v>0</v>
      </c>
      <c r="BC191" s="31">
        <f t="shared" si="15"/>
        <v>864624.61135152041</v>
      </c>
      <c r="BD191" s="31">
        <v>15462.599999999999</v>
      </c>
    </row>
    <row r="192" spans="2:56">
      <c r="B192" s="42" t="s">
        <v>395</v>
      </c>
      <c r="C192" s="42" t="s">
        <v>396</v>
      </c>
      <c r="D192" s="43" t="s">
        <v>1049</v>
      </c>
      <c r="E192" s="44">
        <v>34</v>
      </c>
      <c r="F192" s="31">
        <v>7055803.4804237569</v>
      </c>
      <c r="G192" s="31">
        <v>149572.36000000002</v>
      </c>
      <c r="H192" s="31">
        <v>57867.689999999995</v>
      </c>
      <c r="I192" s="31">
        <v>22414.3</v>
      </c>
      <c r="J192" s="31">
        <v>813462.92168334324</v>
      </c>
      <c r="K192" s="31">
        <v>202440.0676892247</v>
      </c>
      <c r="L192" s="31">
        <v>113634.68374271283</v>
      </c>
      <c r="M192" s="31">
        <f t="shared" si="12"/>
        <v>8415195.5035390388</v>
      </c>
      <c r="N192" s="31">
        <v>0</v>
      </c>
      <c r="P192" s="42" t="s">
        <v>395</v>
      </c>
      <c r="Q192" s="42" t="s">
        <v>396</v>
      </c>
      <c r="R192" s="43" t="s">
        <v>1050</v>
      </c>
      <c r="S192" s="44">
        <v>34</v>
      </c>
      <c r="T192" s="31">
        <v>6862165.0796820326</v>
      </c>
      <c r="U192" s="31">
        <v>148732.95000000001</v>
      </c>
      <c r="V192" s="31">
        <v>61580.240000000005</v>
      </c>
      <c r="W192" s="31">
        <v>22361.550000000003</v>
      </c>
      <c r="X192" s="31">
        <v>847334.47805205802</v>
      </c>
      <c r="Y192" s="31">
        <v>202856.43326925486</v>
      </c>
      <c r="Z192" s="31">
        <v>120575.36278173789</v>
      </c>
      <c r="AA192" s="31">
        <f t="shared" si="13"/>
        <v>8265606.0937850839</v>
      </c>
      <c r="AB192" s="31">
        <v>0</v>
      </c>
      <c r="AD192" s="42" t="s">
        <v>395</v>
      </c>
      <c r="AE192" s="42" t="s">
        <v>396</v>
      </c>
      <c r="AF192" s="43" t="s">
        <v>1275</v>
      </c>
      <c r="AG192" s="44">
        <v>34</v>
      </c>
      <c r="AH192" s="31">
        <v>6768409.4563605003</v>
      </c>
      <c r="AI192" s="31">
        <v>146692.99999999997</v>
      </c>
      <c r="AJ192" s="31">
        <v>62668.350000000006</v>
      </c>
      <c r="AK192" s="31">
        <v>21939.760000000002</v>
      </c>
      <c r="AL192" s="31">
        <v>860664.7832410573</v>
      </c>
      <c r="AM192" s="31">
        <v>202533.39821705487</v>
      </c>
      <c r="AN192" s="31">
        <v>122718.17887864306</v>
      </c>
      <c r="AO192" s="31">
        <f t="shared" si="14"/>
        <v>8185626.9266972551</v>
      </c>
      <c r="AP192" s="31">
        <v>0</v>
      </c>
      <c r="AR192" s="42" t="s">
        <v>395</v>
      </c>
      <c r="AS192" s="42" t="s">
        <v>396</v>
      </c>
      <c r="AT192" s="43" t="s">
        <v>1276</v>
      </c>
      <c r="AU192" s="44">
        <v>34</v>
      </c>
      <c r="AV192" s="31">
        <v>6735640.720895011</v>
      </c>
      <c r="AW192" s="31">
        <v>144428.28</v>
      </c>
      <c r="AX192" s="31">
        <v>63833.710000000006</v>
      </c>
      <c r="AY192" s="31">
        <v>21634.529999999995</v>
      </c>
      <c r="AZ192" s="31">
        <v>880776.15128240478</v>
      </c>
      <c r="BA192" s="31">
        <v>202542.62778997485</v>
      </c>
      <c r="BB192" s="31">
        <v>125013.06824362846</v>
      </c>
      <c r="BC192" s="31">
        <f t="shared" si="15"/>
        <v>8173869.0882110195</v>
      </c>
      <c r="BD192" s="31">
        <v>0</v>
      </c>
    </row>
    <row r="193" spans="2:56">
      <c r="B193" s="42" t="s">
        <v>453</v>
      </c>
      <c r="C193" s="42" t="s">
        <v>454</v>
      </c>
      <c r="D193" s="43" t="s">
        <v>1049</v>
      </c>
      <c r="E193" s="44">
        <v>34</v>
      </c>
      <c r="F193" s="31">
        <v>743950.00742913526</v>
      </c>
      <c r="G193" s="31">
        <v>6626.11</v>
      </c>
      <c r="H193" s="31">
        <v>0</v>
      </c>
      <c r="I193" s="31">
        <v>0</v>
      </c>
      <c r="J193" s="31">
        <v>38147.509277400262</v>
      </c>
      <c r="K193" s="31">
        <v>32923.575338555747</v>
      </c>
      <c r="L193" s="31">
        <v>0</v>
      </c>
      <c r="M193" s="31">
        <f t="shared" si="12"/>
        <v>821647.2020450912</v>
      </c>
      <c r="N193" s="31">
        <v>0</v>
      </c>
      <c r="P193" s="42" t="s">
        <v>453</v>
      </c>
      <c r="Q193" s="42" t="s">
        <v>454</v>
      </c>
      <c r="R193" s="43" t="s">
        <v>1050</v>
      </c>
      <c r="S193" s="44">
        <v>34</v>
      </c>
      <c r="T193" s="31">
        <v>675520.5667949958</v>
      </c>
      <c r="U193" s="31">
        <v>5810.99</v>
      </c>
      <c r="V193" s="31">
        <v>0</v>
      </c>
      <c r="W193" s="31">
        <v>0</v>
      </c>
      <c r="X193" s="31">
        <v>39675.264571161264</v>
      </c>
      <c r="Y193" s="31">
        <v>33008.310920803378</v>
      </c>
      <c r="Z193" s="31">
        <v>0</v>
      </c>
      <c r="AA193" s="31">
        <f t="shared" si="13"/>
        <v>754015.13228696038</v>
      </c>
      <c r="AB193" s="31">
        <v>0</v>
      </c>
      <c r="AD193" s="42" t="s">
        <v>453</v>
      </c>
      <c r="AE193" s="42" t="s">
        <v>454</v>
      </c>
      <c r="AF193" s="43" t="s">
        <v>1275</v>
      </c>
      <c r="AG193" s="44">
        <v>34</v>
      </c>
      <c r="AH193" s="31">
        <v>657318.22042237548</v>
      </c>
      <c r="AI193" s="31">
        <v>5912.3</v>
      </c>
      <c r="AJ193" s="31">
        <v>0</v>
      </c>
      <c r="AK193" s="31">
        <v>0</v>
      </c>
      <c r="AL193" s="31">
        <v>39162.680047677168</v>
      </c>
      <c r="AM193" s="31">
        <v>32943.934732003385</v>
      </c>
      <c r="AN193" s="31">
        <v>0</v>
      </c>
      <c r="AO193" s="31">
        <f t="shared" si="14"/>
        <v>735337.13520205603</v>
      </c>
      <c r="AP193" s="31">
        <v>0</v>
      </c>
      <c r="AR193" s="42" t="s">
        <v>453</v>
      </c>
      <c r="AS193" s="42" t="s">
        <v>454</v>
      </c>
      <c r="AT193" s="43" t="s">
        <v>1276</v>
      </c>
      <c r="AU193" s="44">
        <v>34</v>
      </c>
      <c r="AV193" s="31">
        <v>658125.77127136977</v>
      </c>
      <c r="AW193" s="31">
        <v>6020.8099999999995</v>
      </c>
      <c r="AX193" s="31">
        <v>0</v>
      </c>
      <c r="AY193" s="31">
        <v>0</v>
      </c>
      <c r="AZ193" s="31">
        <v>39064.3499165557</v>
      </c>
      <c r="BA193" s="31">
        <v>32945.774051683387</v>
      </c>
      <c r="BB193" s="31">
        <v>0</v>
      </c>
      <c r="BC193" s="31">
        <f t="shared" si="15"/>
        <v>736156.70523960888</v>
      </c>
      <c r="BD193" s="31">
        <v>0</v>
      </c>
    </row>
    <row r="194" spans="2:56">
      <c r="B194" s="42" t="s">
        <v>105</v>
      </c>
      <c r="C194" s="42" t="s">
        <v>106</v>
      </c>
      <c r="D194" s="43" t="s">
        <v>1049</v>
      </c>
      <c r="E194" s="44">
        <v>34</v>
      </c>
      <c r="F194" s="31">
        <v>580280.6184730744</v>
      </c>
      <c r="G194" s="31">
        <v>15535.860000000004</v>
      </c>
      <c r="H194" s="31">
        <v>0</v>
      </c>
      <c r="I194" s="31">
        <v>1008.8100000000001</v>
      </c>
      <c r="J194" s="31">
        <v>42434.749134771206</v>
      </c>
      <c r="K194" s="31">
        <v>332269.71829718299</v>
      </c>
      <c r="L194" s="31">
        <v>0</v>
      </c>
      <c r="M194" s="31">
        <f t="shared" si="12"/>
        <v>981012.6659050287</v>
      </c>
      <c r="N194" s="31">
        <v>9482.91</v>
      </c>
      <c r="P194" s="42" t="s">
        <v>105</v>
      </c>
      <c r="Q194" s="42" t="s">
        <v>106</v>
      </c>
      <c r="R194" s="43" t="s">
        <v>1050</v>
      </c>
      <c r="S194" s="44">
        <v>34</v>
      </c>
      <c r="T194" s="31">
        <v>623895.6159558543</v>
      </c>
      <c r="U194" s="31">
        <v>18948.570000000007</v>
      </c>
      <c r="V194" s="31">
        <v>0</v>
      </c>
      <c r="W194" s="31">
        <v>1181.4299999999998</v>
      </c>
      <c r="X194" s="31">
        <v>44570.760290062724</v>
      </c>
      <c r="Y194" s="31">
        <v>333051.97639991483</v>
      </c>
      <c r="Z194" s="31">
        <v>0</v>
      </c>
      <c r="AA194" s="31">
        <f t="shared" si="13"/>
        <v>1031591.272645832</v>
      </c>
      <c r="AB194" s="31">
        <v>9942.92</v>
      </c>
      <c r="AD194" s="42" t="s">
        <v>105</v>
      </c>
      <c r="AE194" s="42" t="s">
        <v>106</v>
      </c>
      <c r="AF194" s="43" t="s">
        <v>1275</v>
      </c>
      <c r="AG194" s="44">
        <v>34</v>
      </c>
      <c r="AH194" s="31">
        <v>637399.10321396752</v>
      </c>
      <c r="AI194" s="31">
        <v>19278.229999999996</v>
      </c>
      <c r="AJ194" s="31">
        <v>0</v>
      </c>
      <c r="AK194" s="31">
        <v>1202.1199999999999</v>
      </c>
      <c r="AL194" s="31">
        <v>44311.359693714265</v>
      </c>
      <c r="AM194" s="31">
        <v>332457.67122166482</v>
      </c>
      <c r="AN194" s="31">
        <v>0</v>
      </c>
      <c r="AO194" s="31">
        <f t="shared" si="14"/>
        <v>1044767.8841293467</v>
      </c>
      <c r="AP194" s="31">
        <v>10119.4</v>
      </c>
      <c r="AR194" s="42" t="s">
        <v>105</v>
      </c>
      <c r="AS194" s="42" t="s">
        <v>106</v>
      </c>
      <c r="AT194" s="43" t="s">
        <v>1276</v>
      </c>
      <c r="AU194" s="44">
        <v>34</v>
      </c>
      <c r="AV194" s="31">
        <v>648348.36631905823</v>
      </c>
      <c r="AW194" s="31">
        <v>19631.300000000003</v>
      </c>
      <c r="AX194" s="31">
        <v>0</v>
      </c>
      <c r="AY194" s="31">
        <v>1224.29</v>
      </c>
      <c r="AZ194" s="31">
        <v>45485.466409157314</v>
      </c>
      <c r="BA194" s="31">
        <v>332474.65136961482</v>
      </c>
      <c r="BB194" s="31">
        <v>0</v>
      </c>
      <c r="BC194" s="31">
        <f t="shared" si="15"/>
        <v>1057472.4740978302</v>
      </c>
      <c r="BD194" s="31">
        <v>10308.4</v>
      </c>
    </row>
    <row r="195" spans="2:56">
      <c r="B195" s="42" t="s">
        <v>89</v>
      </c>
      <c r="C195" s="42" t="s">
        <v>90</v>
      </c>
      <c r="D195" s="43" t="s">
        <v>1049</v>
      </c>
      <c r="E195" s="44">
        <v>34</v>
      </c>
      <c r="F195" s="31">
        <v>1201730.1683764947</v>
      </c>
      <c r="G195" s="31">
        <v>76784.88</v>
      </c>
      <c r="H195" s="31">
        <v>89744.75</v>
      </c>
      <c r="I195" s="31">
        <v>3897.71</v>
      </c>
      <c r="J195" s="31">
        <v>150004.61351045719</v>
      </c>
      <c r="K195" s="31">
        <v>270288.46799932304</v>
      </c>
      <c r="L195" s="31">
        <v>12749.332884176802</v>
      </c>
      <c r="M195" s="31">
        <f t="shared" si="12"/>
        <v>1844956.5427704516</v>
      </c>
      <c r="N195" s="31">
        <v>39756.620000000003</v>
      </c>
      <c r="P195" s="42" t="s">
        <v>89</v>
      </c>
      <c r="Q195" s="42" t="s">
        <v>90</v>
      </c>
      <c r="R195" s="43" t="s">
        <v>1050</v>
      </c>
      <c r="S195" s="44">
        <v>34</v>
      </c>
      <c r="T195" s="31">
        <v>1448536.3645794741</v>
      </c>
      <c r="U195" s="31">
        <v>92495.12000000001</v>
      </c>
      <c r="V195" s="31">
        <v>95570.010000000009</v>
      </c>
      <c r="W195" s="31">
        <v>4669.5499999999993</v>
      </c>
      <c r="X195" s="31">
        <v>157863.70707214891</v>
      </c>
      <c r="Y195" s="31">
        <v>270891.57036189764</v>
      </c>
      <c r="Z195" s="31">
        <v>13636.44402252194</v>
      </c>
      <c r="AA195" s="31">
        <f t="shared" si="13"/>
        <v>2125339.2160360427</v>
      </c>
      <c r="AB195" s="31">
        <v>41676.449999999997</v>
      </c>
      <c r="AD195" s="42" t="s">
        <v>89</v>
      </c>
      <c r="AE195" s="42" t="s">
        <v>90</v>
      </c>
      <c r="AF195" s="43" t="s">
        <v>1275</v>
      </c>
      <c r="AG195" s="44">
        <v>34</v>
      </c>
      <c r="AH195" s="31">
        <v>1468108.3444778079</v>
      </c>
      <c r="AI195" s="31">
        <v>94097.880000000019</v>
      </c>
      <c r="AJ195" s="31">
        <v>97236.260000000009</v>
      </c>
      <c r="AK195" s="31">
        <v>4750.9699999999993</v>
      </c>
      <c r="AL195" s="31">
        <v>160020.23374395128</v>
      </c>
      <c r="AM195" s="31">
        <v>270433.37522676116</v>
      </c>
      <c r="AN195" s="31">
        <v>13876.329882264381</v>
      </c>
      <c r="AO195" s="31">
        <f t="shared" si="14"/>
        <v>2150936.3533307849</v>
      </c>
      <c r="AP195" s="31">
        <v>42412.960000000006</v>
      </c>
      <c r="AR195" s="42" t="s">
        <v>89</v>
      </c>
      <c r="AS195" s="42" t="s">
        <v>90</v>
      </c>
      <c r="AT195" s="43" t="s">
        <v>1276</v>
      </c>
      <c r="AU195" s="44">
        <v>34</v>
      </c>
      <c r="AV195" s="31">
        <v>1521166.1733775651</v>
      </c>
      <c r="AW195" s="31">
        <v>95814.42</v>
      </c>
      <c r="AX195" s="31">
        <v>99020.82</v>
      </c>
      <c r="AY195" s="31">
        <v>4838.16</v>
      </c>
      <c r="AZ195" s="31">
        <v>165803.8201908292</v>
      </c>
      <c r="BA195" s="31">
        <v>270446.46651633654</v>
      </c>
      <c r="BB195" s="31">
        <v>14133.23948764853</v>
      </c>
      <c r="BC195" s="31">
        <f t="shared" si="15"/>
        <v>2214424.8695723792</v>
      </c>
      <c r="BD195" s="31">
        <v>43201.770000000004</v>
      </c>
    </row>
    <row r="196" spans="2:56">
      <c r="B196" s="42" t="s">
        <v>341</v>
      </c>
      <c r="C196" s="42" t="s">
        <v>342</v>
      </c>
      <c r="D196" s="43" t="s">
        <v>1049</v>
      </c>
      <c r="E196" s="44">
        <v>34</v>
      </c>
      <c r="F196" s="31">
        <v>4697330.575340094</v>
      </c>
      <c r="G196" s="31">
        <v>238734.71000000002</v>
      </c>
      <c r="H196" s="31">
        <v>101535.32</v>
      </c>
      <c r="I196" s="31">
        <v>0</v>
      </c>
      <c r="J196" s="31">
        <v>597525.68906491285</v>
      </c>
      <c r="K196" s="31">
        <v>251361.99620982501</v>
      </c>
      <c r="L196" s="31">
        <v>255975.68077863537</v>
      </c>
      <c r="M196" s="31">
        <f t="shared" si="12"/>
        <v>6291941.1113934675</v>
      </c>
      <c r="N196" s="31">
        <v>149477.14000000001</v>
      </c>
      <c r="P196" s="42" t="s">
        <v>341</v>
      </c>
      <c r="Q196" s="42" t="s">
        <v>342</v>
      </c>
      <c r="R196" s="43" t="s">
        <v>1050</v>
      </c>
      <c r="S196" s="44">
        <v>34</v>
      </c>
      <c r="T196" s="31">
        <v>4973925.0635771481</v>
      </c>
      <c r="U196" s="31">
        <v>250073.9</v>
      </c>
      <c r="V196" s="31">
        <v>108125.91</v>
      </c>
      <c r="W196" s="31">
        <v>0</v>
      </c>
      <c r="X196" s="31">
        <v>633158.90758931579</v>
      </c>
      <c r="Y196" s="31">
        <v>251957.29753065552</v>
      </c>
      <c r="Z196" s="31">
        <v>274280.73733655422</v>
      </c>
      <c r="AA196" s="31">
        <f t="shared" si="13"/>
        <v>6648217.1160336742</v>
      </c>
      <c r="AB196" s="31">
        <v>156695.30000000002</v>
      </c>
      <c r="AD196" s="42" t="s">
        <v>341</v>
      </c>
      <c r="AE196" s="42" t="s">
        <v>342</v>
      </c>
      <c r="AF196" s="43" t="s">
        <v>1275</v>
      </c>
      <c r="AG196" s="44">
        <v>34</v>
      </c>
      <c r="AH196" s="31">
        <v>5165951.3764144834</v>
      </c>
      <c r="AI196" s="31">
        <v>261364.78000000003</v>
      </c>
      <c r="AJ196" s="31">
        <v>110011.07</v>
      </c>
      <c r="AK196" s="31">
        <v>0</v>
      </c>
      <c r="AL196" s="31">
        <v>644705.57958208967</v>
      </c>
      <c r="AM196" s="31">
        <v>251505.02908325553</v>
      </c>
      <c r="AN196" s="31">
        <v>279106.46001415013</v>
      </c>
      <c r="AO196" s="31">
        <f t="shared" si="14"/>
        <v>6872108.7450939799</v>
      </c>
      <c r="AP196" s="31">
        <v>159464.45000000001</v>
      </c>
      <c r="AR196" s="42" t="s">
        <v>341</v>
      </c>
      <c r="AS196" s="42" t="s">
        <v>342</v>
      </c>
      <c r="AT196" s="43" t="s">
        <v>1276</v>
      </c>
      <c r="AU196" s="44">
        <v>34</v>
      </c>
      <c r="AV196" s="31">
        <v>5296643.2786063943</v>
      </c>
      <c r="AW196" s="31">
        <v>268165.17999999993</v>
      </c>
      <c r="AX196" s="31">
        <v>112030.07</v>
      </c>
      <c r="AY196" s="31">
        <v>0</v>
      </c>
      <c r="AZ196" s="31">
        <v>657261.38489821774</v>
      </c>
      <c r="BA196" s="31">
        <v>251517.95103889555</v>
      </c>
      <c r="BB196" s="31">
        <v>284274.64599385532</v>
      </c>
      <c r="BC196" s="31">
        <f t="shared" si="15"/>
        <v>7032322.7105373619</v>
      </c>
      <c r="BD196" s="31">
        <v>162430.20000000001</v>
      </c>
    </row>
    <row r="197" spans="2:56">
      <c r="B197" s="42" t="s">
        <v>375</v>
      </c>
      <c r="C197" s="42" t="s">
        <v>376</v>
      </c>
      <c r="D197" s="43" t="s">
        <v>1049</v>
      </c>
      <c r="E197" s="44">
        <v>34</v>
      </c>
      <c r="F197" s="31">
        <v>21045219.589709699</v>
      </c>
      <c r="G197" s="31">
        <v>537941.72000000009</v>
      </c>
      <c r="H197" s="31">
        <v>106603.35999999999</v>
      </c>
      <c r="I197" s="31">
        <v>76951.420000000013</v>
      </c>
      <c r="J197" s="31">
        <v>3551729.2492769272</v>
      </c>
      <c r="K197" s="31">
        <v>1512852.7542255726</v>
      </c>
      <c r="L197" s="31">
        <v>2573148.2718259608</v>
      </c>
      <c r="M197" s="31">
        <f t="shared" ref="M197:M260" si="16">SUM(F197:L197,N197)</f>
        <v>29404446.365038164</v>
      </c>
      <c r="N197" s="31">
        <v>0</v>
      </c>
      <c r="P197" s="42" t="s">
        <v>375</v>
      </c>
      <c r="Q197" s="42" t="s">
        <v>376</v>
      </c>
      <c r="R197" s="43" t="s">
        <v>1050</v>
      </c>
      <c r="S197" s="44">
        <v>34</v>
      </c>
      <c r="T197" s="31">
        <v>23971371.481995486</v>
      </c>
      <c r="U197" s="31">
        <v>607487.90000000014</v>
      </c>
      <c r="V197" s="31">
        <v>113480.74999999999</v>
      </c>
      <c r="W197" s="31">
        <v>86830.79</v>
      </c>
      <c r="X197" s="31">
        <v>3771347.0458030738</v>
      </c>
      <c r="Y197" s="31">
        <v>1515973.4952333614</v>
      </c>
      <c r="Z197" s="31">
        <v>2730792.2091379669</v>
      </c>
      <c r="AA197" s="31">
        <f t="shared" ref="AA197:AA260" si="17">SUM(T197:Z197,AB197)</f>
        <v>32797283.672169887</v>
      </c>
      <c r="AB197" s="31">
        <v>0</v>
      </c>
      <c r="AD197" s="42" t="s">
        <v>375</v>
      </c>
      <c r="AE197" s="42" t="s">
        <v>376</v>
      </c>
      <c r="AF197" s="43" t="s">
        <v>1275</v>
      </c>
      <c r="AG197" s="44">
        <v>34</v>
      </c>
      <c r="AH197" s="31">
        <v>25411657.828598212</v>
      </c>
      <c r="AI197" s="31">
        <v>641382.29</v>
      </c>
      <c r="AJ197" s="31">
        <v>115473.25999999998</v>
      </c>
      <c r="AK197" s="31">
        <v>91689.56</v>
      </c>
      <c r="AL197" s="31">
        <v>3838210.1877958085</v>
      </c>
      <c r="AM197" s="31">
        <v>1513576.5558861452</v>
      </c>
      <c r="AN197" s="31">
        <v>2779093.1555282199</v>
      </c>
      <c r="AO197" s="31">
        <f t="shared" ref="AO197:AO260" si="18">SUM(AH197:AN197,AP197)</f>
        <v>34391082.837808385</v>
      </c>
      <c r="AP197" s="31">
        <v>0</v>
      </c>
      <c r="AR197" s="42" t="s">
        <v>375</v>
      </c>
      <c r="AS197" s="42" t="s">
        <v>376</v>
      </c>
      <c r="AT197" s="43" t="s">
        <v>1276</v>
      </c>
      <c r="AU197" s="44">
        <v>34</v>
      </c>
      <c r="AV197" s="31">
        <v>26958613.691874016</v>
      </c>
      <c r="AW197" s="31">
        <v>677911.26</v>
      </c>
      <c r="AX197" s="31">
        <v>117607.23999999999</v>
      </c>
      <c r="AY197" s="31">
        <v>96892.970000000016</v>
      </c>
      <c r="AZ197" s="31">
        <v>3909702.282498132</v>
      </c>
      <c r="BA197" s="31">
        <v>1513645.0398674943</v>
      </c>
      <c r="BB197" s="31">
        <v>2830821.8964811815</v>
      </c>
      <c r="BC197" s="31">
        <f t="shared" ref="BC197:BC260" si="19">SUM(AV197:BB197,BD197)</f>
        <v>36105194.380720824</v>
      </c>
      <c r="BD197" s="31">
        <v>0</v>
      </c>
    </row>
    <row r="198" spans="2:56">
      <c r="B198" s="42" t="s">
        <v>7</v>
      </c>
      <c r="C198" s="42" t="s">
        <v>8</v>
      </c>
      <c r="D198" s="43" t="s">
        <v>1049</v>
      </c>
      <c r="E198" s="44">
        <v>34</v>
      </c>
      <c r="F198" s="31">
        <v>36347326.735194393</v>
      </c>
      <c r="G198" s="31">
        <v>2267102.59</v>
      </c>
      <c r="H198" s="31">
        <v>2886935.8000000007</v>
      </c>
      <c r="I198" s="31">
        <v>125116.46000000002</v>
      </c>
      <c r="J198" s="31">
        <v>5470856.796871393</v>
      </c>
      <c r="K198" s="31">
        <v>2096029.985005335</v>
      </c>
      <c r="L198" s="31">
        <v>2324009.8452922851</v>
      </c>
      <c r="M198" s="31">
        <f t="shared" si="16"/>
        <v>52803622.252363399</v>
      </c>
      <c r="N198" s="31">
        <v>1286244.04</v>
      </c>
      <c r="P198" s="42" t="s">
        <v>7</v>
      </c>
      <c r="Q198" s="42" t="s">
        <v>8</v>
      </c>
      <c r="R198" s="43" t="s">
        <v>1050</v>
      </c>
      <c r="S198" s="44">
        <v>34</v>
      </c>
      <c r="T198" s="31">
        <v>41139219.183636181</v>
      </c>
      <c r="U198" s="31">
        <v>2565863.79</v>
      </c>
      <c r="V198" s="31">
        <v>3074324.3299999996</v>
      </c>
      <c r="W198" s="31">
        <v>140501.41</v>
      </c>
      <c r="X198" s="31">
        <v>5772820.7345333565</v>
      </c>
      <c r="Y198" s="31">
        <v>2100363.1516881776</v>
      </c>
      <c r="Z198" s="31">
        <v>2490641.0678603216</v>
      </c>
      <c r="AA198" s="31">
        <f t="shared" si="17"/>
        <v>58632089.587718032</v>
      </c>
      <c r="AB198" s="31">
        <v>1348355.92</v>
      </c>
      <c r="AD198" s="42" t="s">
        <v>7</v>
      </c>
      <c r="AE198" s="42" t="s">
        <v>8</v>
      </c>
      <c r="AF198" s="43" t="s">
        <v>1275</v>
      </c>
      <c r="AG198" s="44">
        <v>34</v>
      </c>
      <c r="AH198" s="31">
        <v>41514148.863368191</v>
      </c>
      <c r="AI198" s="31">
        <v>2588213.66</v>
      </c>
      <c r="AJ198" s="31">
        <v>3127924.68</v>
      </c>
      <c r="AK198" s="31">
        <v>141684.10999999999</v>
      </c>
      <c r="AL198" s="31">
        <v>5876424.8687512577</v>
      </c>
      <c r="AM198" s="31">
        <v>2097071.1136909486</v>
      </c>
      <c r="AN198" s="31">
        <v>2534462.2346494691</v>
      </c>
      <c r="AO198" s="31">
        <f t="shared" si="18"/>
        <v>59252113.83045987</v>
      </c>
      <c r="AP198" s="31">
        <v>1372184.3</v>
      </c>
      <c r="AR198" s="42" t="s">
        <v>7</v>
      </c>
      <c r="AS198" s="42" t="s">
        <v>8</v>
      </c>
      <c r="AT198" s="43" t="s">
        <v>1276</v>
      </c>
      <c r="AU198" s="44">
        <v>34</v>
      </c>
      <c r="AV198" s="31">
        <v>41811156.023466982</v>
      </c>
      <c r="AW198" s="31">
        <v>2602908.2599999998</v>
      </c>
      <c r="AX198" s="31">
        <v>3185330.67</v>
      </c>
      <c r="AY198" s="31">
        <v>142456.65</v>
      </c>
      <c r="AZ198" s="31">
        <v>5995971.2550575677</v>
      </c>
      <c r="BA198" s="31">
        <v>2097165.1719194409</v>
      </c>
      <c r="BB198" s="31">
        <v>2581393.2231718455</v>
      </c>
      <c r="BC198" s="31">
        <f t="shared" si="19"/>
        <v>59814085.733615831</v>
      </c>
      <c r="BD198" s="31">
        <v>1397704.4800000002</v>
      </c>
    </row>
    <row r="199" spans="2:56">
      <c r="B199" s="42" t="s">
        <v>93</v>
      </c>
      <c r="C199" s="42" t="s">
        <v>94</v>
      </c>
      <c r="D199" s="43" t="s">
        <v>1049</v>
      </c>
      <c r="E199" s="44">
        <v>34</v>
      </c>
      <c r="F199" s="31">
        <v>403263.79399110691</v>
      </c>
      <c r="G199" s="31">
        <v>12472.669999999998</v>
      </c>
      <c r="H199" s="31">
        <v>12570.099999999999</v>
      </c>
      <c r="I199" s="31">
        <v>0</v>
      </c>
      <c r="J199" s="31">
        <v>48951.989249271959</v>
      </c>
      <c r="K199" s="31">
        <v>93000.615266374734</v>
      </c>
      <c r="L199" s="31">
        <v>0</v>
      </c>
      <c r="M199" s="31">
        <f t="shared" si="16"/>
        <v>576592.94850675366</v>
      </c>
      <c r="N199" s="31">
        <v>6333.78</v>
      </c>
      <c r="P199" s="42" t="s">
        <v>93</v>
      </c>
      <c r="Q199" s="42" t="s">
        <v>94</v>
      </c>
      <c r="R199" s="43" t="s">
        <v>1050</v>
      </c>
      <c r="S199" s="44">
        <v>34</v>
      </c>
      <c r="T199" s="31">
        <v>451856.6037522821</v>
      </c>
      <c r="U199" s="31">
        <v>15255.340000000004</v>
      </c>
      <c r="V199" s="31">
        <v>13386.019999999999</v>
      </c>
      <c r="W199" s="31">
        <v>0</v>
      </c>
      <c r="X199" s="31">
        <v>53238.423049336991</v>
      </c>
      <c r="Y199" s="31">
        <v>93194.283067259399</v>
      </c>
      <c r="Z199" s="31">
        <v>0</v>
      </c>
      <c r="AA199" s="31">
        <f t="shared" si="17"/>
        <v>633570.30986887845</v>
      </c>
      <c r="AB199" s="31">
        <v>6639.64</v>
      </c>
      <c r="AD199" s="42" t="s">
        <v>93</v>
      </c>
      <c r="AE199" s="42" t="s">
        <v>94</v>
      </c>
      <c r="AF199" s="43" t="s">
        <v>1275</v>
      </c>
      <c r="AG199" s="44">
        <v>34</v>
      </c>
      <c r="AH199" s="31">
        <v>451698.73709746462</v>
      </c>
      <c r="AI199" s="31">
        <v>14886.279999999999</v>
      </c>
      <c r="AJ199" s="31">
        <v>13619.41</v>
      </c>
      <c r="AK199" s="31">
        <v>0</v>
      </c>
      <c r="AL199" s="31">
        <v>54566.472746539344</v>
      </c>
      <c r="AM199" s="31">
        <v>93047.147771985256</v>
      </c>
      <c r="AN199" s="31">
        <v>0</v>
      </c>
      <c r="AO199" s="31">
        <f t="shared" si="18"/>
        <v>634575.0176159892</v>
      </c>
      <c r="AP199" s="31">
        <v>6756.97</v>
      </c>
      <c r="AR199" s="42" t="s">
        <v>93</v>
      </c>
      <c r="AS199" s="42" t="s">
        <v>94</v>
      </c>
      <c r="AT199" s="43" t="s">
        <v>1276</v>
      </c>
      <c r="AU199" s="44">
        <v>34</v>
      </c>
      <c r="AV199" s="31">
        <v>459964.13639592414</v>
      </c>
      <c r="AW199" s="31">
        <v>15157.810000000003</v>
      </c>
      <c r="AX199" s="31">
        <v>13869.359999999999</v>
      </c>
      <c r="AY199" s="31">
        <v>0</v>
      </c>
      <c r="AZ199" s="31">
        <v>55573.316349285233</v>
      </c>
      <c r="BA199" s="31">
        <v>93051.351637564512</v>
      </c>
      <c r="BB199" s="31">
        <v>0</v>
      </c>
      <c r="BC199" s="31">
        <f t="shared" si="19"/>
        <v>644498.62438277388</v>
      </c>
      <c r="BD199" s="31">
        <v>6882.65</v>
      </c>
    </row>
    <row r="200" spans="2:56">
      <c r="B200" s="42" t="s">
        <v>565</v>
      </c>
      <c r="C200" s="42" t="s">
        <v>566</v>
      </c>
      <c r="D200" s="43" t="s">
        <v>1049</v>
      </c>
      <c r="E200" s="44">
        <v>34</v>
      </c>
      <c r="F200" s="31">
        <v>2210879.432647232</v>
      </c>
      <c r="G200" s="31">
        <v>34689.61</v>
      </c>
      <c r="H200" s="31">
        <v>0</v>
      </c>
      <c r="I200" s="31">
        <v>0</v>
      </c>
      <c r="J200" s="31">
        <v>163641.20748194394</v>
      </c>
      <c r="K200" s="31">
        <v>0</v>
      </c>
      <c r="L200" s="31">
        <v>85352.69647737511</v>
      </c>
      <c r="M200" s="31">
        <f t="shared" si="16"/>
        <v>2494562.9466065508</v>
      </c>
      <c r="N200" s="31">
        <v>0</v>
      </c>
      <c r="P200" s="42" t="s">
        <v>565</v>
      </c>
      <c r="Q200" s="42" t="s">
        <v>566</v>
      </c>
      <c r="R200" s="43" t="s">
        <v>1050</v>
      </c>
      <c r="S200" s="44">
        <v>34</v>
      </c>
      <c r="T200" s="31">
        <v>2388360.512921745</v>
      </c>
      <c r="U200" s="31">
        <v>38394.030000000006</v>
      </c>
      <c r="V200" s="31">
        <v>0</v>
      </c>
      <c r="W200" s="31">
        <v>0</v>
      </c>
      <c r="X200" s="31">
        <v>172362.47176142098</v>
      </c>
      <c r="Y200" s="31">
        <v>0</v>
      </c>
      <c r="Z200" s="31">
        <v>90599.604759355803</v>
      </c>
      <c r="AA200" s="31">
        <f t="shared" si="17"/>
        <v>2689716.6194425216</v>
      </c>
      <c r="AB200" s="31">
        <v>0</v>
      </c>
      <c r="AD200" s="42" t="s">
        <v>565</v>
      </c>
      <c r="AE200" s="42" t="s">
        <v>566</v>
      </c>
      <c r="AF200" s="43" t="s">
        <v>1275</v>
      </c>
      <c r="AG200" s="44">
        <v>34</v>
      </c>
      <c r="AH200" s="31">
        <v>2451624.4646330345</v>
      </c>
      <c r="AI200" s="31">
        <v>39063.43</v>
      </c>
      <c r="AJ200" s="31">
        <v>0</v>
      </c>
      <c r="AK200" s="31">
        <v>0</v>
      </c>
      <c r="AL200" s="31">
        <v>174188.24981236176</v>
      </c>
      <c r="AM200" s="31">
        <v>0</v>
      </c>
      <c r="AN200" s="31">
        <v>92193.944309096536</v>
      </c>
      <c r="AO200" s="31">
        <f t="shared" si="18"/>
        <v>2757070.0887544928</v>
      </c>
      <c r="AP200" s="31">
        <v>0</v>
      </c>
      <c r="AR200" s="42" t="s">
        <v>565</v>
      </c>
      <c r="AS200" s="42" t="s">
        <v>566</v>
      </c>
      <c r="AT200" s="43" t="s">
        <v>1276</v>
      </c>
      <c r="AU200" s="44">
        <v>34</v>
      </c>
      <c r="AV200" s="31">
        <v>2473687.1066766139</v>
      </c>
      <c r="AW200" s="31">
        <v>40317.929999999993</v>
      </c>
      <c r="AX200" s="31">
        <v>0</v>
      </c>
      <c r="AY200" s="31">
        <v>0</v>
      </c>
      <c r="AZ200" s="31">
        <v>178178.11251598684</v>
      </c>
      <c r="BA200" s="31">
        <v>0</v>
      </c>
      <c r="BB200" s="31">
        <v>93901.427630868828</v>
      </c>
      <c r="BC200" s="31">
        <f t="shared" si="19"/>
        <v>2786084.5768234697</v>
      </c>
      <c r="BD200" s="31">
        <v>0</v>
      </c>
    </row>
    <row r="201" spans="2:56">
      <c r="B201" s="42" t="s">
        <v>111</v>
      </c>
      <c r="C201" s="42" t="s">
        <v>112</v>
      </c>
      <c r="D201" s="43" t="s">
        <v>1049</v>
      </c>
      <c r="E201" s="44">
        <v>34</v>
      </c>
      <c r="F201" s="31">
        <v>146711126.16986844</v>
      </c>
      <c r="G201" s="31">
        <v>8277272.7699999977</v>
      </c>
      <c r="H201" s="31">
        <v>9979792.1700000018</v>
      </c>
      <c r="I201" s="31">
        <v>507481.75</v>
      </c>
      <c r="J201" s="31">
        <v>20982185.700044595</v>
      </c>
      <c r="K201" s="31">
        <v>8015744.0452046283</v>
      </c>
      <c r="L201" s="31">
        <v>10579337.216825472</v>
      </c>
      <c r="M201" s="31">
        <f t="shared" si="16"/>
        <v>209846927.30194318</v>
      </c>
      <c r="N201" s="31">
        <v>4793987.4800000004</v>
      </c>
      <c r="P201" s="42" t="s">
        <v>111</v>
      </c>
      <c r="Q201" s="42" t="s">
        <v>112</v>
      </c>
      <c r="R201" s="43" t="s">
        <v>1050</v>
      </c>
      <c r="S201" s="44">
        <v>34</v>
      </c>
      <c r="T201" s="31">
        <v>164368099.77818906</v>
      </c>
      <c r="U201" s="31">
        <v>9203861.25</v>
      </c>
      <c r="V201" s="31">
        <v>10627571.92</v>
      </c>
      <c r="W201" s="31">
        <v>559411.42999999993</v>
      </c>
      <c r="X201" s="31">
        <v>22294235.829163998</v>
      </c>
      <c r="Y201" s="31">
        <v>8034665.1063383538</v>
      </c>
      <c r="Z201" s="31">
        <v>11337873.630528383</v>
      </c>
      <c r="AA201" s="31">
        <f t="shared" si="17"/>
        <v>231451204.9142198</v>
      </c>
      <c r="AB201" s="31">
        <v>5025485.9700000007</v>
      </c>
      <c r="AD201" s="42" t="s">
        <v>111</v>
      </c>
      <c r="AE201" s="42" t="s">
        <v>112</v>
      </c>
      <c r="AF201" s="43" t="s">
        <v>1275</v>
      </c>
      <c r="AG201" s="44">
        <v>34</v>
      </c>
      <c r="AH201" s="31">
        <v>169059549.84043908</v>
      </c>
      <c r="AI201" s="31">
        <v>9454882.6799999997</v>
      </c>
      <c r="AJ201" s="31">
        <v>10812861.959999999</v>
      </c>
      <c r="AK201" s="31">
        <v>574760.25</v>
      </c>
      <c r="AL201" s="31">
        <v>22686056.138264492</v>
      </c>
      <c r="AM201" s="31">
        <v>8020290.2030033972</v>
      </c>
      <c r="AN201" s="31">
        <v>11537356.739395782</v>
      </c>
      <c r="AO201" s="31">
        <f t="shared" si="18"/>
        <v>237260055.02110282</v>
      </c>
      <c r="AP201" s="31">
        <v>5114297.21</v>
      </c>
      <c r="AR201" s="42" t="s">
        <v>111</v>
      </c>
      <c r="AS201" s="42" t="s">
        <v>112</v>
      </c>
      <c r="AT201" s="43" t="s">
        <v>1276</v>
      </c>
      <c r="AU201" s="44">
        <v>34</v>
      </c>
      <c r="AV201" s="31">
        <v>175841733.25570095</v>
      </c>
      <c r="AW201" s="31">
        <v>9815945.5700000003</v>
      </c>
      <c r="AX201" s="31">
        <v>11011307.58</v>
      </c>
      <c r="AY201" s="31">
        <v>596920.23999999987</v>
      </c>
      <c r="AZ201" s="31">
        <v>23105539.095858555</v>
      </c>
      <c r="BA201" s="31">
        <v>8020700.9145272523</v>
      </c>
      <c r="BB201" s="31">
        <v>11750996.406857362</v>
      </c>
      <c r="BC201" s="31">
        <f t="shared" si="19"/>
        <v>245352557.10294411</v>
      </c>
      <c r="BD201" s="31">
        <v>5209414.04</v>
      </c>
    </row>
    <row r="202" spans="2:56">
      <c r="B202" s="42" t="s">
        <v>335</v>
      </c>
      <c r="C202" s="42" t="s">
        <v>336</v>
      </c>
      <c r="D202" s="43" t="s">
        <v>1049</v>
      </c>
      <c r="E202" s="44">
        <v>34</v>
      </c>
      <c r="F202" s="31">
        <v>3263872.2500538221</v>
      </c>
      <c r="G202" s="31">
        <v>137502.41000000003</v>
      </c>
      <c r="H202" s="31">
        <v>57301.08</v>
      </c>
      <c r="I202" s="31">
        <v>8574.99</v>
      </c>
      <c r="J202" s="31">
        <v>370516.36197021039</v>
      </c>
      <c r="K202" s="31">
        <v>197071.99173807609</v>
      </c>
      <c r="L202" s="31">
        <v>101937.06604758077</v>
      </c>
      <c r="M202" s="31">
        <f t="shared" si="16"/>
        <v>4218490.69980969</v>
      </c>
      <c r="N202" s="31">
        <v>81714.55</v>
      </c>
      <c r="P202" s="42" t="s">
        <v>335</v>
      </c>
      <c r="Q202" s="42" t="s">
        <v>336</v>
      </c>
      <c r="R202" s="43" t="s">
        <v>1050</v>
      </c>
      <c r="S202" s="44">
        <v>34</v>
      </c>
      <c r="T202" s="31">
        <v>3601334.816336527</v>
      </c>
      <c r="U202" s="31">
        <v>152327.29999999999</v>
      </c>
      <c r="V202" s="31">
        <v>61005.079999999994</v>
      </c>
      <c r="W202" s="31">
        <v>9451.5000000000018</v>
      </c>
      <c r="X202" s="31">
        <v>395252.01383993786</v>
      </c>
      <c r="Y202" s="31">
        <v>197609.7271251046</v>
      </c>
      <c r="Z202" s="31">
        <v>109159.86254339604</v>
      </c>
      <c r="AA202" s="31">
        <f t="shared" si="17"/>
        <v>4611818.7198449653</v>
      </c>
      <c r="AB202" s="31">
        <v>85678.420000000013</v>
      </c>
      <c r="AD202" s="42" t="s">
        <v>335</v>
      </c>
      <c r="AE202" s="42" t="s">
        <v>336</v>
      </c>
      <c r="AF202" s="43" t="s">
        <v>1275</v>
      </c>
      <c r="AG202" s="44">
        <v>34</v>
      </c>
      <c r="AH202" s="31">
        <v>3635893.9604668315</v>
      </c>
      <c r="AI202" s="31">
        <v>156506.09000000003</v>
      </c>
      <c r="AJ202" s="31">
        <v>62073.79</v>
      </c>
      <c r="AK202" s="31">
        <v>9617.0700000000015</v>
      </c>
      <c r="AL202" s="31">
        <v>405716.01489369955</v>
      </c>
      <c r="AM202" s="31">
        <v>197201.19326150735</v>
      </c>
      <c r="AN202" s="31">
        <v>111085.72473135756</v>
      </c>
      <c r="AO202" s="31">
        <f t="shared" si="18"/>
        <v>4665292.9533533957</v>
      </c>
      <c r="AP202" s="31">
        <v>87199.11</v>
      </c>
      <c r="AR202" s="42" t="s">
        <v>335</v>
      </c>
      <c r="AS202" s="42" t="s">
        <v>336</v>
      </c>
      <c r="AT202" s="43" t="s">
        <v>1276</v>
      </c>
      <c r="AU202" s="44">
        <v>34</v>
      </c>
      <c r="AV202" s="31">
        <v>3786763.7291588928</v>
      </c>
      <c r="AW202" s="31">
        <v>160372.88</v>
      </c>
      <c r="AX202" s="31">
        <v>63218.38</v>
      </c>
      <c r="AY202" s="31">
        <v>9905.6899999999987</v>
      </c>
      <c r="AZ202" s="31">
        <v>417337.25422386482</v>
      </c>
      <c r="BA202" s="31">
        <v>197212.86565761012</v>
      </c>
      <c r="BB202" s="31">
        <v>113148.25951626431</v>
      </c>
      <c r="BC202" s="31">
        <f t="shared" si="19"/>
        <v>4836786.818556631</v>
      </c>
      <c r="BD202" s="31">
        <v>88827.760000000009</v>
      </c>
    </row>
    <row r="203" spans="2:56">
      <c r="B203" s="42" t="s">
        <v>19</v>
      </c>
      <c r="C203" s="42" t="s">
        <v>20</v>
      </c>
      <c r="D203" s="43" t="s">
        <v>1049</v>
      </c>
      <c r="E203" s="44">
        <v>34</v>
      </c>
      <c r="F203" s="31">
        <v>1239863.3363786475</v>
      </c>
      <c r="G203" s="31">
        <v>88088.22</v>
      </c>
      <c r="H203" s="31">
        <v>42972.24</v>
      </c>
      <c r="I203" s="31">
        <v>0</v>
      </c>
      <c r="J203" s="31">
        <v>181282.11538752014</v>
      </c>
      <c r="K203" s="31">
        <v>332092.50042596896</v>
      </c>
      <c r="L203" s="31">
        <v>0</v>
      </c>
      <c r="M203" s="31">
        <f t="shared" si="16"/>
        <v>1924932.0421921364</v>
      </c>
      <c r="N203" s="31">
        <v>40633.629999999997</v>
      </c>
      <c r="P203" s="42" t="s">
        <v>19</v>
      </c>
      <c r="Q203" s="42" t="s">
        <v>20</v>
      </c>
      <c r="R203" s="43" t="s">
        <v>1050</v>
      </c>
      <c r="S203" s="44">
        <v>34</v>
      </c>
      <c r="T203" s="31">
        <v>1327135.4823928305</v>
      </c>
      <c r="U203" s="31">
        <v>94169.98000000001</v>
      </c>
      <c r="V203" s="31">
        <v>45761.539999999994</v>
      </c>
      <c r="W203" s="31">
        <v>0</v>
      </c>
      <c r="X203" s="31">
        <v>190873.21661032145</v>
      </c>
      <c r="Y203" s="31">
        <v>332894.93335327238</v>
      </c>
      <c r="Z203" s="31">
        <v>0</v>
      </c>
      <c r="AA203" s="31">
        <f t="shared" si="17"/>
        <v>2033430.9423564244</v>
      </c>
      <c r="AB203" s="31">
        <v>42595.79</v>
      </c>
      <c r="AD203" s="42" t="s">
        <v>19</v>
      </c>
      <c r="AE203" s="42" t="s">
        <v>20</v>
      </c>
      <c r="AF203" s="43" t="s">
        <v>1275</v>
      </c>
      <c r="AG203" s="44">
        <v>34</v>
      </c>
      <c r="AH203" s="31">
        <v>1282576.7533713095</v>
      </c>
      <c r="AI203" s="31">
        <v>91156.32</v>
      </c>
      <c r="AJ203" s="31">
        <v>46559.39</v>
      </c>
      <c r="AK203" s="31">
        <v>0</v>
      </c>
      <c r="AL203" s="31">
        <v>194113.80584532235</v>
      </c>
      <c r="AM203" s="31">
        <v>332285.30074962234</v>
      </c>
      <c r="AN203" s="31">
        <v>0</v>
      </c>
      <c r="AO203" s="31">
        <f t="shared" si="18"/>
        <v>1990040.1299662541</v>
      </c>
      <c r="AP203" s="31">
        <v>43348.56</v>
      </c>
      <c r="AR203" s="42" t="s">
        <v>19</v>
      </c>
      <c r="AS203" s="42" t="s">
        <v>20</v>
      </c>
      <c r="AT203" s="43" t="s">
        <v>1276</v>
      </c>
      <c r="AU203" s="44">
        <v>34</v>
      </c>
      <c r="AV203" s="31">
        <v>1288831.1076809317</v>
      </c>
      <c r="AW203" s="31">
        <v>90775.890000000014</v>
      </c>
      <c r="AX203" s="31">
        <v>47413.869999999995</v>
      </c>
      <c r="AY203" s="31">
        <v>0</v>
      </c>
      <c r="AZ203" s="31">
        <v>199582.59810190508</v>
      </c>
      <c r="BA203" s="31">
        <v>332302.71882401238</v>
      </c>
      <c r="BB203" s="31">
        <v>0</v>
      </c>
      <c r="BC203" s="31">
        <f t="shared" si="19"/>
        <v>2003060.9446068495</v>
      </c>
      <c r="BD203" s="31">
        <v>44154.76</v>
      </c>
    </row>
    <row r="204" spans="2:56">
      <c r="B204" s="42" t="s">
        <v>289</v>
      </c>
      <c r="C204" s="42" t="s">
        <v>290</v>
      </c>
      <c r="D204" s="43" t="s">
        <v>1049</v>
      </c>
      <c r="E204" s="44">
        <v>34</v>
      </c>
      <c r="F204" s="31">
        <v>2880735.7406535917</v>
      </c>
      <c r="G204" s="31">
        <v>94526.58</v>
      </c>
      <c r="H204" s="31">
        <v>0</v>
      </c>
      <c r="I204" s="31">
        <v>7162.6399999999985</v>
      </c>
      <c r="J204" s="31">
        <v>351495.72769695142</v>
      </c>
      <c r="K204" s="31">
        <v>190085.30553271354</v>
      </c>
      <c r="L204" s="31">
        <v>194332.88077086539</v>
      </c>
      <c r="M204" s="31">
        <f t="shared" si="16"/>
        <v>3792890.8046541223</v>
      </c>
      <c r="N204" s="31">
        <v>74551.930000000008</v>
      </c>
      <c r="P204" s="42" t="s">
        <v>289</v>
      </c>
      <c r="Q204" s="42" t="s">
        <v>290</v>
      </c>
      <c r="R204" s="43" t="s">
        <v>1050</v>
      </c>
      <c r="S204" s="44">
        <v>34</v>
      </c>
      <c r="T204" s="31">
        <v>3103469.209724186</v>
      </c>
      <c r="U204" s="31">
        <v>103987.67999999998</v>
      </c>
      <c r="V204" s="31">
        <v>0</v>
      </c>
      <c r="W204" s="31">
        <v>7840.44</v>
      </c>
      <c r="X204" s="31">
        <v>372299.29831020255</v>
      </c>
      <c r="Y204" s="31">
        <v>190511.13568904874</v>
      </c>
      <c r="Z204" s="31">
        <v>208193.33348945878</v>
      </c>
      <c r="AA204" s="31">
        <f t="shared" si="17"/>
        <v>4064469.4372128956</v>
      </c>
      <c r="AB204" s="31">
        <v>78168.340000000011</v>
      </c>
      <c r="AD204" s="42" t="s">
        <v>289</v>
      </c>
      <c r="AE204" s="42" t="s">
        <v>290</v>
      </c>
      <c r="AF204" s="43" t="s">
        <v>1275</v>
      </c>
      <c r="AG204" s="44">
        <v>34</v>
      </c>
      <c r="AH204" s="31">
        <v>3193382.2799236486</v>
      </c>
      <c r="AI204" s="31">
        <v>107867.77</v>
      </c>
      <c r="AJ204" s="31">
        <v>0</v>
      </c>
      <c r="AK204" s="31">
        <v>8087.0800000000008</v>
      </c>
      <c r="AL204" s="31">
        <v>379687.20778208267</v>
      </c>
      <c r="AM204" s="31">
        <v>190187.61961924876</v>
      </c>
      <c r="AN204" s="31">
        <v>211866.5778527463</v>
      </c>
      <c r="AO204" s="31">
        <f t="shared" si="18"/>
        <v>4170634.2651777267</v>
      </c>
      <c r="AP204" s="31">
        <v>79555.73</v>
      </c>
      <c r="AR204" s="42" t="s">
        <v>289</v>
      </c>
      <c r="AS204" s="42" t="s">
        <v>290</v>
      </c>
      <c r="AT204" s="43" t="s">
        <v>1276</v>
      </c>
      <c r="AU204" s="44">
        <v>34</v>
      </c>
      <c r="AV204" s="31">
        <v>3263742.7487114435</v>
      </c>
      <c r="AW204" s="31">
        <v>110283.01000000001</v>
      </c>
      <c r="AX204" s="31">
        <v>0</v>
      </c>
      <c r="AY204" s="31">
        <v>8347.5000000000018</v>
      </c>
      <c r="AZ204" s="31">
        <v>387006.41268687363</v>
      </c>
      <c r="BA204" s="31">
        <v>190196.86293552874</v>
      </c>
      <c r="BB204" s="31">
        <v>215800.50127202726</v>
      </c>
      <c r="BC204" s="31">
        <f t="shared" si="19"/>
        <v>4256418.6656058729</v>
      </c>
      <c r="BD204" s="31">
        <v>81041.63</v>
      </c>
    </row>
    <row r="205" spans="2:56">
      <c r="B205" s="42" t="s">
        <v>379</v>
      </c>
      <c r="C205" s="42" t="s">
        <v>380</v>
      </c>
      <c r="D205" s="43" t="s">
        <v>1049</v>
      </c>
      <c r="E205" s="44">
        <v>34</v>
      </c>
      <c r="F205" s="31">
        <v>76944510.108828098</v>
      </c>
      <c r="G205" s="31">
        <v>1274802.6000000001</v>
      </c>
      <c r="H205" s="31">
        <v>346055.97000000003</v>
      </c>
      <c r="I205" s="31">
        <v>275666.05000000005</v>
      </c>
      <c r="J205" s="31">
        <v>11568412.728672519</v>
      </c>
      <c r="K205" s="31">
        <v>5956432.45225731</v>
      </c>
      <c r="L205" s="31">
        <v>5451540.93344157</v>
      </c>
      <c r="M205" s="31">
        <f t="shared" si="16"/>
        <v>101891813.98319948</v>
      </c>
      <c r="N205" s="31">
        <v>74393.14</v>
      </c>
      <c r="P205" s="42" t="s">
        <v>379</v>
      </c>
      <c r="Q205" s="42" t="s">
        <v>380</v>
      </c>
      <c r="R205" s="43" t="s">
        <v>1050</v>
      </c>
      <c r="S205" s="44">
        <v>34</v>
      </c>
      <c r="T205" s="31">
        <v>89594765.228047937</v>
      </c>
      <c r="U205" s="31">
        <v>1477734.95</v>
      </c>
      <c r="V205" s="31">
        <v>368181.45999999996</v>
      </c>
      <c r="W205" s="31">
        <v>319319.34000000003</v>
      </c>
      <c r="X205" s="31">
        <v>12253150.257218353</v>
      </c>
      <c r="Y205" s="31">
        <v>5970795.4437715383</v>
      </c>
      <c r="Z205" s="31">
        <v>5784086.9525261112</v>
      </c>
      <c r="AA205" s="31">
        <f t="shared" si="17"/>
        <v>115846078.38156395</v>
      </c>
      <c r="AB205" s="31">
        <v>78044.750000000015</v>
      </c>
      <c r="AD205" s="42" t="s">
        <v>379</v>
      </c>
      <c r="AE205" s="42" t="s">
        <v>380</v>
      </c>
      <c r="AF205" s="43" t="s">
        <v>1275</v>
      </c>
      <c r="AG205" s="44">
        <v>34</v>
      </c>
      <c r="AH205" s="31">
        <v>92113630.731836393</v>
      </c>
      <c r="AI205" s="31">
        <v>1521631.2799999998</v>
      </c>
      <c r="AJ205" s="31">
        <v>374712.43999999994</v>
      </c>
      <c r="AK205" s="31">
        <v>328836.64999999991</v>
      </c>
      <c r="AL205" s="31">
        <v>12438478.763589365</v>
      </c>
      <c r="AM205" s="31">
        <v>5959651.9921125155</v>
      </c>
      <c r="AN205" s="31">
        <v>5887116.6332598273</v>
      </c>
      <c r="AO205" s="31">
        <f t="shared" si="18"/>
        <v>118703504.13079812</v>
      </c>
      <c r="AP205" s="31">
        <v>79445.640000000014</v>
      </c>
      <c r="AR205" s="42" t="s">
        <v>379</v>
      </c>
      <c r="AS205" s="42" t="s">
        <v>380</v>
      </c>
      <c r="AT205" s="43" t="s">
        <v>1276</v>
      </c>
      <c r="AU205" s="44">
        <v>34</v>
      </c>
      <c r="AV205" s="31">
        <v>95264145.108376965</v>
      </c>
      <c r="AW205" s="31">
        <v>1571605.4000000001</v>
      </c>
      <c r="AX205" s="31">
        <v>381707.10999999993</v>
      </c>
      <c r="AY205" s="31">
        <v>339635.93000000005</v>
      </c>
      <c r="AZ205" s="31">
        <v>12671179.664904095</v>
      </c>
      <c r="BA205" s="31">
        <v>5959970.3764456306</v>
      </c>
      <c r="BB205" s="31">
        <v>5997458.2824028349</v>
      </c>
      <c r="BC205" s="31">
        <f t="shared" si="19"/>
        <v>122266647.87212953</v>
      </c>
      <c r="BD205" s="31">
        <v>80946</v>
      </c>
    </row>
    <row r="206" spans="2:56">
      <c r="B206" s="42" t="s">
        <v>1317</v>
      </c>
      <c r="C206" s="42" t="s">
        <v>1318</v>
      </c>
      <c r="D206" s="43" t="s">
        <v>1049</v>
      </c>
      <c r="E206" s="44">
        <v>34</v>
      </c>
      <c r="F206" s="31">
        <v>951358.83248754556</v>
      </c>
      <c r="G206" s="31">
        <v>33593.760000000002</v>
      </c>
      <c r="H206" s="31">
        <v>11904.09</v>
      </c>
      <c r="I206" s="31">
        <v>0</v>
      </c>
      <c r="J206" s="31">
        <v>131187.9391513748</v>
      </c>
      <c r="K206" s="31">
        <v>0</v>
      </c>
      <c r="L206" s="31">
        <v>0</v>
      </c>
      <c r="M206" s="31">
        <f t="shared" si="16"/>
        <v>1128044.6216389204</v>
      </c>
      <c r="N206" s="31">
        <v>0</v>
      </c>
      <c r="P206" s="42" t="s">
        <v>1317</v>
      </c>
      <c r="Q206" s="42" t="s">
        <v>1318</v>
      </c>
      <c r="R206" s="43" t="s">
        <v>1050</v>
      </c>
      <c r="S206" s="44">
        <v>34</v>
      </c>
      <c r="T206" s="31">
        <v>1466627.4012985593</v>
      </c>
      <c r="U206" s="31">
        <v>51649.789999999994</v>
      </c>
      <c r="V206" s="31">
        <v>12566.329999999998</v>
      </c>
      <c r="W206" s="31">
        <v>0</v>
      </c>
      <c r="X206" s="31">
        <v>138057.98399265221</v>
      </c>
      <c r="Y206" s="31">
        <v>0</v>
      </c>
      <c r="Z206" s="31">
        <v>0</v>
      </c>
      <c r="AA206" s="31">
        <f t="shared" si="17"/>
        <v>1668901.5052912117</v>
      </c>
      <c r="AB206" s="31">
        <v>0</v>
      </c>
      <c r="AD206" s="42" t="s">
        <v>1317</v>
      </c>
      <c r="AE206" s="42" t="s">
        <v>1318</v>
      </c>
      <c r="AF206" s="43" t="s">
        <v>1275</v>
      </c>
      <c r="AG206" s="44">
        <v>34</v>
      </c>
      <c r="AH206" s="31">
        <v>3040526.1855504941</v>
      </c>
      <c r="AI206" s="31">
        <v>72057.97</v>
      </c>
      <c r="AJ206" s="31">
        <v>12786.21</v>
      </c>
      <c r="AK206" s="31">
        <v>0</v>
      </c>
      <c r="AL206" s="31">
        <v>142414.72118840343</v>
      </c>
      <c r="AM206" s="31">
        <v>0</v>
      </c>
      <c r="AN206" s="31">
        <v>0</v>
      </c>
      <c r="AO206" s="31">
        <f t="shared" si="18"/>
        <v>3267785.0867388975</v>
      </c>
      <c r="AP206" s="31">
        <v>0</v>
      </c>
      <c r="AR206" s="42" t="s">
        <v>1317</v>
      </c>
      <c r="AS206" s="42" t="s">
        <v>1318</v>
      </c>
      <c r="AT206" s="43" t="s">
        <v>1276</v>
      </c>
      <c r="AU206" s="44">
        <v>34</v>
      </c>
      <c r="AV206" s="31">
        <v>3371276.6048032637</v>
      </c>
      <c r="AW206" s="31">
        <v>91814.19</v>
      </c>
      <c r="AX206" s="31">
        <v>13021.719999999998</v>
      </c>
      <c r="AY206" s="31">
        <v>0</v>
      </c>
      <c r="AZ206" s="31">
        <v>146233.44711644814</v>
      </c>
      <c r="BA206" s="31">
        <v>0</v>
      </c>
      <c r="BB206" s="31">
        <v>0</v>
      </c>
      <c r="BC206" s="31">
        <f t="shared" si="19"/>
        <v>3622345.9619197119</v>
      </c>
      <c r="BD206" s="31">
        <v>0</v>
      </c>
    </row>
    <row r="207" spans="2:56">
      <c r="B207" s="42" t="s">
        <v>321</v>
      </c>
      <c r="C207" s="42" t="s">
        <v>322</v>
      </c>
      <c r="D207" s="43" t="s">
        <v>1049</v>
      </c>
      <c r="E207" s="44">
        <v>34</v>
      </c>
      <c r="F207" s="31">
        <v>6125186.5355924778</v>
      </c>
      <c r="G207" s="31">
        <v>279660.63</v>
      </c>
      <c r="H207" s="31">
        <v>50085.570000000007</v>
      </c>
      <c r="I207" s="31">
        <v>19391.120000000003</v>
      </c>
      <c r="J207" s="31">
        <v>943840.28873090807</v>
      </c>
      <c r="K207" s="31">
        <v>671718.46139702224</v>
      </c>
      <c r="L207" s="31">
        <v>0</v>
      </c>
      <c r="M207" s="31">
        <f t="shared" si="16"/>
        <v>8286229.7057204079</v>
      </c>
      <c r="N207" s="31">
        <v>196347.09999999998</v>
      </c>
      <c r="P207" s="42" t="s">
        <v>321</v>
      </c>
      <c r="Q207" s="42" t="s">
        <v>322</v>
      </c>
      <c r="R207" s="43" t="s">
        <v>1050</v>
      </c>
      <c r="S207" s="44">
        <v>34</v>
      </c>
      <c r="T207" s="31">
        <v>6499313.5420019375</v>
      </c>
      <c r="U207" s="31">
        <v>299416.14999999997</v>
      </c>
      <c r="V207" s="31">
        <v>53336.58</v>
      </c>
      <c r="W207" s="31">
        <v>20442.23</v>
      </c>
      <c r="X207" s="31">
        <v>988316.74227296782</v>
      </c>
      <c r="Y207" s="31">
        <v>673235.09509550326</v>
      </c>
      <c r="Z207" s="31">
        <v>0</v>
      </c>
      <c r="AA207" s="31">
        <f t="shared" si="17"/>
        <v>8739888.9093704093</v>
      </c>
      <c r="AB207" s="31">
        <v>205828.57</v>
      </c>
      <c r="AD207" s="42" t="s">
        <v>321</v>
      </c>
      <c r="AE207" s="42" t="s">
        <v>322</v>
      </c>
      <c r="AF207" s="43" t="s">
        <v>1275</v>
      </c>
      <c r="AG207" s="44">
        <v>34</v>
      </c>
      <c r="AH207" s="31">
        <v>6926718.6066483166</v>
      </c>
      <c r="AI207" s="31">
        <v>317362.36</v>
      </c>
      <c r="AJ207" s="31">
        <v>54266.500000000007</v>
      </c>
      <c r="AK207" s="31">
        <v>21748.83</v>
      </c>
      <c r="AL207" s="31">
        <v>1010373.2450847778</v>
      </c>
      <c r="AM207" s="31">
        <v>672082.86253010319</v>
      </c>
      <c r="AN207" s="31">
        <v>0</v>
      </c>
      <c r="AO207" s="31">
        <f t="shared" si="18"/>
        <v>9212018.4142631982</v>
      </c>
      <c r="AP207" s="31">
        <v>209466.01</v>
      </c>
      <c r="AR207" s="42" t="s">
        <v>321</v>
      </c>
      <c r="AS207" s="42" t="s">
        <v>322</v>
      </c>
      <c r="AT207" s="43" t="s">
        <v>1276</v>
      </c>
      <c r="AU207" s="44">
        <v>34</v>
      </c>
      <c r="AV207" s="31">
        <v>7405294.7691714978</v>
      </c>
      <c r="AW207" s="31">
        <v>336467.19</v>
      </c>
      <c r="AX207" s="31">
        <v>55262.430000000008</v>
      </c>
      <c r="AY207" s="31">
        <v>23008.079999999998</v>
      </c>
      <c r="AZ207" s="31">
        <v>1036564.1847930825</v>
      </c>
      <c r="BA207" s="31">
        <v>672115.78346054326</v>
      </c>
      <c r="BB207" s="31">
        <v>0</v>
      </c>
      <c r="BC207" s="31">
        <f t="shared" si="19"/>
        <v>9742074.1474251244</v>
      </c>
      <c r="BD207" s="31">
        <v>213361.71000000002</v>
      </c>
    </row>
    <row r="208" spans="2:56">
      <c r="B208" s="42" t="s">
        <v>119</v>
      </c>
      <c r="C208" s="42" t="s">
        <v>120</v>
      </c>
      <c r="D208" s="43" t="s">
        <v>1049</v>
      </c>
      <c r="E208" s="44">
        <v>34</v>
      </c>
      <c r="F208" s="31">
        <v>3521560.9433224779</v>
      </c>
      <c r="G208" s="31">
        <v>118839.19999999997</v>
      </c>
      <c r="H208" s="31">
        <v>5144.9800000000014</v>
      </c>
      <c r="I208" s="31">
        <v>0</v>
      </c>
      <c r="J208" s="31">
        <v>487177.17231426295</v>
      </c>
      <c r="K208" s="31">
        <v>298951.78896501078</v>
      </c>
      <c r="L208" s="31">
        <v>476038.16963427508</v>
      </c>
      <c r="M208" s="31">
        <f t="shared" si="16"/>
        <v>5014243.8442360265</v>
      </c>
      <c r="N208" s="31">
        <v>106531.59000000001</v>
      </c>
      <c r="P208" s="42" t="s">
        <v>119</v>
      </c>
      <c r="Q208" s="42" t="s">
        <v>120</v>
      </c>
      <c r="R208" s="43" t="s">
        <v>1050</v>
      </c>
      <c r="S208" s="44">
        <v>34</v>
      </c>
      <c r="T208" s="31">
        <v>3340344.645346418</v>
      </c>
      <c r="U208" s="31">
        <v>113847.62999999999</v>
      </c>
      <c r="V208" s="31">
        <v>5477.58</v>
      </c>
      <c r="W208" s="31">
        <v>0</v>
      </c>
      <c r="X208" s="31">
        <v>509852.63968553371</v>
      </c>
      <c r="Y208" s="31">
        <v>299507.02926378639</v>
      </c>
      <c r="Z208" s="31">
        <v>510061.33718830132</v>
      </c>
      <c r="AA208" s="31">
        <f t="shared" si="17"/>
        <v>4890790.1614840394</v>
      </c>
      <c r="AB208" s="31">
        <v>111699.3</v>
      </c>
      <c r="AD208" s="42" t="s">
        <v>119</v>
      </c>
      <c r="AE208" s="42" t="s">
        <v>120</v>
      </c>
      <c r="AF208" s="43" t="s">
        <v>1275</v>
      </c>
      <c r="AG208" s="44">
        <v>34</v>
      </c>
      <c r="AH208" s="31">
        <v>3435911.592975562</v>
      </c>
      <c r="AI208" s="31">
        <v>117674.17000000003</v>
      </c>
      <c r="AJ208" s="31">
        <v>5573.53</v>
      </c>
      <c r="AK208" s="31">
        <v>0</v>
      </c>
      <c r="AL208" s="31">
        <v>520793.4125197056</v>
      </c>
      <c r="AM208" s="31">
        <v>299085.19638844382</v>
      </c>
      <c r="AN208" s="31">
        <v>519060.35042110732</v>
      </c>
      <c r="AO208" s="31">
        <f t="shared" si="18"/>
        <v>5011780.0723048188</v>
      </c>
      <c r="AP208" s="31">
        <v>113681.81999999999</v>
      </c>
      <c r="AR208" s="42" t="s">
        <v>119</v>
      </c>
      <c r="AS208" s="42" t="s">
        <v>120</v>
      </c>
      <c r="AT208" s="43" t="s">
        <v>1276</v>
      </c>
      <c r="AU208" s="44">
        <v>34</v>
      </c>
      <c r="AV208" s="31">
        <v>3504051.1672386639</v>
      </c>
      <c r="AW208" s="31">
        <v>117924.83999999995</v>
      </c>
      <c r="AX208" s="31">
        <v>5676.31</v>
      </c>
      <c r="AY208" s="31">
        <v>0</v>
      </c>
      <c r="AZ208" s="31">
        <v>531589.64512421063</v>
      </c>
      <c r="BA208" s="31">
        <v>299097.24875631079</v>
      </c>
      <c r="BB208" s="31">
        <v>528697.99661324243</v>
      </c>
      <c r="BC208" s="31">
        <f t="shared" si="19"/>
        <v>5102842.3077324275</v>
      </c>
      <c r="BD208" s="31">
        <v>115805.10000000002</v>
      </c>
    </row>
    <row r="209" spans="2:56">
      <c r="B209" s="42" t="s">
        <v>43</v>
      </c>
      <c r="C209" s="42" t="s">
        <v>44</v>
      </c>
      <c r="D209" s="43" t="s">
        <v>1049</v>
      </c>
      <c r="E209" s="44">
        <v>34</v>
      </c>
      <c r="F209" s="31">
        <v>28639165.418717742</v>
      </c>
      <c r="G209" s="31">
        <v>1184255.83</v>
      </c>
      <c r="H209" s="31">
        <v>85245.440000000002</v>
      </c>
      <c r="I209" s="31">
        <v>101487.46000000002</v>
      </c>
      <c r="J209" s="31">
        <v>4463521.7235988639</v>
      </c>
      <c r="K209" s="31">
        <v>1686509.1210638948</v>
      </c>
      <c r="L209" s="31">
        <v>2757065.5851950059</v>
      </c>
      <c r="M209" s="31">
        <f t="shared" si="16"/>
        <v>39562392.09857551</v>
      </c>
      <c r="N209" s="31">
        <v>645141.52</v>
      </c>
      <c r="P209" s="42" t="s">
        <v>43</v>
      </c>
      <c r="Q209" s="42" t="s">
        <v>44</v>
      </c>
      <c r="R209" s="43" t="s">
        <v>1050</v>
      </c>
      <c r="S209" s="44">
        <v>34</v>
      </c>
      <c r="T209" s="31">
        <v>31110206.3587754</v>
      </c>
      <c r="U209" s="31">
        <v>1285665.19</v>
      </c>
      <c r="V209" s="31">
        <v>89987.74000000002</v>
      </c>
      <c r="W209" s="31">
        <v>109263.23999999999</v>
      </c>
      <c r="X209" s="31">
        <v>4671707.4340262795</v>
      </c>
      <c r="Y209" s="31">
        <v>1689733.5452791913</v>
      </c>
      <c r="Z209" s="31">
        <v>2934154.5199635345</v>
      </c>
      <c r="AA209" s="31">
        <f t="shared" si="17"/>
        <v>42561354.788044401</v>
      </c>
      <c r="AB209" s="31">
        <v>670636.76</v>
      </c>
      <c r="AD209" s="42" t="s">
        <v>43</v>
      </c>
      <c r="AE209" s="42" t="s">
        <v>44</v>
      </c>
      <c r="AF209" s="43" t="s">
        <v>1275</v>
      </c>
      <c r="AG209" s="44">
        <v>34</v>
      </c>
      <c r="AH209" s="31">
        <v>33050906.10993829</v>
      </c>
      <c r="AI209" s="31">
        <v>1358609.38</v>
      </c>
      <c r="AJ209" s="31">
        <v>91562.35</v>
      </c>
      <c r="AK209" s="31">
        <v>115509.44</v>
      </c>
      <c r="AL209" s="31">
        <v>4757473.3317455081</v>
      </c>
      <c r="AM209" s="31">
        <v>1687267.7188784925</v>
      </c>
      <c r="AN209" s="31">
        <v>2985916.213610535</v>
      </c>
      <c r="AO209" s="31">
        <f t="shared" si="18"/>
        <v>44729771.754172824</v>
      </c>
      <c r="AP209" s="31">
        <v>682527.21000000008</v>
      </c>
      <c r="AR209" s="42" t="s">
        <v>43</v>
      </c>
      <c r="AS209" s="42" t="s">
        <v>44</v>
      </c>
      <c r="AT209" s="43" t="s">
        <v>1276</v>
      </c>
      <c r="AU209" s="44">
        <v>34</v>
      </c>
      <c r="AV209" s="31">
        <v>33701031.416382879</v>
      </c>
      <c r="AW209" s="31">
        <v>1383468.7000000002</v>
      </c>
      <c r="AX209" s="31">
        <v>93248.76999999999</v>
      </c>
      <c r="AY209" s="31">
        <v>117636.92</v>
      </c>
      <c r="AZ209" s="31">
        <v>4845685.2961999206</v>
      </c>
      <c r="BA209" s="31">
        <v>1687338.1710613698</v>
      </c>
      <c r="BB209" s="31">
        <v>3041351.2791486718</v>
      </c>
      <c r="BC209" s="31">
        <f t="shared" si="19"/>
        <v>45565022.43279285</v>
      </c>
      <c r="BD209" s="31">
        <v>695261.88</v>
      </c>
    </row>
    <row r="210" spans="2:56">
      <c r="B210" s="42" t="s">
        <v>181</v>
      </c>
      <c r="C210" s="42" t="s">
        <v>182</v>
      </c>
      <c r="D210" s="43" t="s">
        <v>1049</v>
      </c>
      <c r="E210" s="44">
        <v>34</v>
      </c>
      <c r="F210" s="31">
        <v>10203086.69210157</v>
      </c>
      <c r="G210" s="31">
        <v>413243.1</v>
      </c>
      <c r="H210" s="31">
        <v>58959</v>
      </c>
      <c r="I210" s="31">
        <v>35948.020000000004</v>
      </c>
      <c r="J210" s="31">
        <v>1430360.7111772757</v>
      </c>
      <c r="K210" s="31">
        <v>610361.32258085709</v>
      </c>
      <c r="L210" s="31">
        <v>519523.06880125147</v>
      </c>
      <c r="M210" s="31">
        <f t="shared" si="16"/>
        <v>13510711.184660954</v>
      </c>
      <c r="N210" s="31">
        <v>239229.27</v>
      </c>
      <c r="P210" s="42" t="s">
        <v>181</v>
      </c>
      <c r="Q210" s="42" t="s">
        <v>182</v>
      </c>
      <c r="R210" s="43" t="s">
        <v>1050</v>
      </c>
      <c r="S210" s="44">
        <v>34</v>
      </c>
      <c r="T210" s="31">
        <v>11000021.487771865</v>
      </c>
      <c r="U210" s="31">
        <v>443727.13</v>
      </c>
      <c r="V210" s="31">
        <v>62748.369999999995</v>
      </c>
      <c r="W210" s="31">
        <v>38258.44</v>
      </c>
      <c r="X210" s="31">
        <v>1519787.4668199525</v>
      </c>
      <c r="Y210" s="31">
        <v>611129.81037135457</v>
      </c>
      <c r="Z210" s="31">
        <v>556820.83834318025</v>
      </c>
      <c r="AA210" s="31">
        <f t="shared" si="17"/>
        <v>14483399.843306353</v>
      </c>
      <c r="AB210" s="31">
        <v>250906.30000000002</v>
      </c>
      <c r="AD210" s="42" t="s">
        <v>181</v>
      </c>
      <c r="AE210" s="42" t="s">
        <v>182</v>
      </c>
      <c r="AF210" s="43" t="s">
        <v>1275</v>
      </c>
      <c r="AG210" s="44">
        <v>34</v>
      </c>
      <c r="AH210" s="31">
        <v>10761889.53436359</v>
      </c>
      <c r="AI210" s="31">
        <v>433235.75</v>
      </c>
      <c r="AJ210" s="31">
        <v>63854.85</v>
      </c>
      <c r="AK210" s="31">
        <v>37325.229999999996</v>
      </c>
      <c r="AL210" s="31">
        <v>1550412.9975892878</v>
      </c>
      <c r="AM210" s="31">
        <v>610539.55997303536</v>
      </c>
      <c r="AN210" s="31">
        <v>566693.60169529438</v>
      </c>
      <c r="AO210" s="31">
        <f t="shared" si="18"/>
        <v>14279337.563621206</v>
      </c>
      <c r="AP210" s="31">
        <v>255386.04</v>
      </c>
      <c r="AR210" s="42" t="s">
        <v>181</v>
      </c>
      <c r="AS210" s="42" t="s">
        <v>182</v>
      </c>
      <c r="AT210" s="43" t="s">
        <v>1276</v>
      </c>
      <c r="AU210" s="44">
        <v>34</v>
      </c>
      <c r="AV210" s="31">
        <v>10707969.999457851</v>
      </c>
      <c r="AW210" s="31">
        <v>429987.84000000008</v>
      </c>
      <c r="AX210" s="31">
        <v>65039.909999999996</v>
      </c>
      <c r="AY210" s="31">
        <v>37082.089999999997</v>
      </c>
      <c r="AZ210" s="31">
        <v>1582773.2489774597</v>
      </c>
      <c r="BA210" s="31">
        <v>610556.42427013023</v>
      </c>
      <c r="BB210" s="31">
        <v>577267.02011520858</v>
      </c>
      <c r="BC210" s="31">
        <f t="shared" si="19"/>
        <v>14270860.36282065</v>
      </c>
      <c r="BD210" s="31">
        <v>260183.83</v>
      </c>
    </row>
    <row r="211" spans="2:56">
      <c r="B211" s="42" t="s">
        <v>537</v>
      </c>
      <c r="C211" s="42" t="s">
        <v>538</v>
      </c>
      <c r="D211" s="43" t="s">
        <v>1049</v>
      </c>
      <c r="E211" s="44">
        <v>34</v>
      </c>
      <c r="F211" s="31">
        <v>2953633.3551463205</v>
      </c>
      <c r="G211" s="31">
        <v>145384.53999999998</v>
      </c>
      <c r="H211" s="31">
        <v>0</v>
      </c>
      <c r="I211" s="31">
        <v>0</v>
      </c>
      <c r="J211" s="31">
        <v>296926.65283394128</v>
      </c>
      <c r="K211" s="31">
        <v>400674.78069264186</v>
      </c>
      <c r="L211" s="31">
        <v>46491.251988310978</v>
      </c>
      <c r="M211" s="31">
        <f t="shared" si="16"/>
        <v>3909469.1006612144</v>
      </c>
      <c r="N211" s="31">
        <v>66358.52</v>
      </c>
      <c r="P211" s="42" t="s">
        <v>537</v>
      </c>
      <c r="Q211" s="42" t="s">
        <v>538</v>
      </c>
      <c r="R211" s="43" t="s">
        <v>1050</v>
      </c>
      <c r="S211" s="44">
        <v>34</v>
      </c>
      <c r="T211" s="31">
        <v>3214029.4233840448</v>
      </c>
      <c r="U211" s="31">
        <v>162565.31</v>
      </c>
      <c r="V211" s="31">
        <v>0</v>
      </c>
      <c r="W211" s="31">
        <v>0</v>
      </c>
      <c r="X211" s="31">
        <v>312968.61873855186</v>
      </c>
      <c r="Y211" s="31">
        <v>401663.73314389185</v>
      </c>
      <c r="Z211" s="31">
        <v>49763.770130534584</v>
      </c>
      <c r="AA211" s="31">
        <f t="shared" si="17"/>
        <v>4210553.785397023</v>
      </c>
      <c r="AB211" s="31">
        <v>69562.930000000008</v>
      </c>
      <c r="AD211" s="42" t="s">
        <v>537</v>
      </c>
      <c r="AE211" s="42" t="s">
        <v>538</v>
      </c>
      <c r="AF211" s="43" t="s">
        <v>1275</v>
      </c>
      <c r="AG211" s="44">
        <v>34</v>
      </c>
      <c r="AH211" s="31">
        <v>3291006.2063922198</v>
      </c>
      <c r="AI211" s="31">
        <v>166016.57999999999</v>
      </c>
      <c r="AJ211" s="31">
        <v>0</v>
      </c>
      <c r="AK211" s="31">
        <v>0</v>
      </c>
      <c r="AL211" s="31">
        <v>318144.84009405808</v>
      </c>
      <c r="AM211" s="31">
        <v>400912.39600750641</v>
      </c>
      <c r="AN211" s="31">
        <v>50639.33543006207</v>
      </c>
      <c r="AO211" s="31">
        <f t="shared" si="18"/>
        <v>4297511.6079238467</v>
      </c>
      <c r="AP211" s="31">
        <v>70792.25</v>
      </c>
      <c r="AR211" s="42" t="s">
        <v>537</v>
      </c>
      <c r="AS211" s="42" t="s">
        <v>538</v>
      </c>
      <c r="AT211" s="43" t="s">
        <v>1276</v>
      </c>
      <c r="AU211" s="44">
        <v>34</v>
      </c>
      <c r="AV211" s="31">
        <v>3330822.8031168636</v>
      </c>
      <c r="AW211" s="31">
        <v>169691.14</v>
      </c>
      <c r="AX211" s="31">
        <v>0</v>
      </c>
      <c r="AY211" s="31">
        <v>0</v>
      </c>
      <c r="AZ211" s="31">
        <v>321831.32325978531</v>
      </c>
      <c r="BA211" s="31">
        <v>400933.86278283171</v>
      </c>
      <c r="BB211" s="31">
        <v>51577.036207456011</v>
      </c>
      <c r="BC211" s="31">
        <f t="shared" si="19"/>
        <v>4346965.0253669368</v>
      </c>
      <c r="BD211" s="31">
        <v>72108.86</v>
      </c>
    </row>
    <row r="212" spans="2:56">
      <c r="B212" s="42" t="s">
        <v>481</v>
      </c>
      <c r="C212" s="42" t="s">
        <v>482</v>
      </c>
      <c r="D212" s="43" t="s">
        <v>1049</v>
      </c>
      <c r="E212" s="44">
        <v>34</v>
      </c>
      <c r="F212" s="31">
        <v>5184568.7680800678</v>
      </c>
      <c r="G212" s="31">
        <v>242419.87999999998</v>
      </c>
      <c r="H212" s="31">
        <v>0</v>
      </c>
      <c r="I212" s="31">
        <v>0</v>
      </c>
      <c r="J212" s="31">
        <v>730340.6842751716</v>
      </c>
      <c r="K212" s="31">
        <v>568914.47</v>
      </c>
      <c r="L212" s="31">
        <v>109813.15082704349</v>
      </c>
      <c r="M212" s="31">
        <f t="shared" si="16"/>
        <v>7032272.7731822832</v>
      </c>
      <c r="N212" s="31">
        <v>196215.81999999998</v>
      </c>
      <c r="P212" s="42" t="s">
        <v>481</v>
      </c>
      <c r="Q212" s="42" t="s">
        <v>482</v>
      </c>
      <c r="R212" s="43" t="s">
        <v>1050</v>
      </c>
      <c r="S212" s="44">
        <v>34</v>
      </c>
      <c r="T212" s="31">
        <v>6169214.9416742139</v>
      </c>
      <c r="U212" s="31">
        <v>288992.49</v>
      </c>
      <c r="V212" s="31">
        <v>0</v>
      </c>
      <c r="W212" s="31">
        <v>0</v>
      </c>
      <c r="X212" s="31">
        <v>766951.25208635256</v>
      </c>
      <c r="Y212" s="31">
        <v>568914.47</v>
      </c>
      <c r="Z212" s="31">
        <v>116810.21051215286</v>
      </c>
      <c r="AA212" s="31">
        <f t="shared" si="17"/>
        <v>8114853.4042727193</v>
      </c>
      <c r="AB212" s="31">
        <v>203970.04</v>
      </c>
      <c r="AD212" s="42" t="s">
        <v>481</v>
      </c>
      <c r="AE212" s="42" t="s">
        <v>482</v>
      </c>
      <c r="AF212" s="43" t="s">
        <v>1275</v>
      </c>
      <c r="AG212" s="44">
        <v>34</v>
      </c>
      <c r="AH212" s="31">
        <v>6279584.8379749916</v>
      </c>
      <c r="AI212" s="31">
        <v>294001.98000000004</v>
      </c>
      <c r="AJ212" s="31">
        <v>0</v>
      </c>
      <c r="AK212" s="31">
        <v>0</v>
      </c>
      <c r="AL212" s="31">
        <v>780479.7439751135</v>
      </c>
      <c r="AM212" s="31">
        <v>568914.47</v>
      </c>
      <c r="AN212" s="31">
        <v>118870.91403041087</v>
      </c>
      <c r="AO212" s="31">
        <f t="shared" si="18"/>
        <v>8249438.3959805164</v>
      </c>
      <c r="AP212" s="31">
        <v>207586.45</v>
      </c>
      <c r="AR212" s="42" t="s">
        <v>481</v>
      </c>
      <c r="AS212" s="42" t="s">
        <v>482</v>
      </c>
      <c r="AT212" s="43" t="s">
        <v>1276</v>
      </c>
      <c r="AU212" s="44">
        <v>34</v>
      </c>
      <c r="AV212" s="31">
        <v>6397684.9040253758</v>
      </c>
      <c r="AW212" s="31">
        <v>299367.14</v>
      </c>
      <c r="AX212" s="31">
        <v>0</v>
      </c>
      <c r="AY212" s="31">
        <v>0</v>
      </c>
      <c r="AZ212" s="31">
        <v>794968.76027171593</v>
      </c>
      <c r="BA212" s="31">
        <v>568914.47</v>
      </c>
      <c r="BB212" s="31">
        <v>121077.85952186518</v>
      </c>
      <c r="BC212" s="31">
        <f t="shared" si="19"/>
        <v>8393472.7538189553</v>
      </c>
      <c r="BD212" s="31">
        <v>211459.62</v>
      </c>
    </row>
    <row r="213" spans="2:56">
      <c r="B213" s="42" t="s">
        <v>25</v>
      </c>
      <c r="C213" s="42" t="s">
        <v>26</v>
      </c>
      <c r="D213" s="43" t="s">
        <v>1049</v>
      </c>
      <c r="E213" s="44">
        <v>34</v>
      </c>
      <c r="F213" s="31">
        <v>18949273.624064073</v>
      </c>
      <c r="G213" s="31">
        <v>1101395.1899999995</v>
      </c>
      <c r="H213" s="31">
        <v>943732.85999999987</v>
      </c>
      <c r="I213" s="31">
        <v>68892.02</v>
      </c>
      <c r="J213" s="31">
        <v>2854087.2941376646</v>
      </c>
      <c r="K213" s="31">
        <v>1441746.4449851774</v>
      </c>
      <c r="L213" s="31">
        <v>2299335.1333539672</v>
      </c>
      <c r="M213" s="31">
        <f t="shared" si="16"/>
        <v>28367650.746540878</v>
      </c>
      <c r="N213" s="31">
        <v>709188.18</v>
      </c>
      <c r="P213" s="42" t="s">
        <v>25</v>
      </c>
      <c r="Q213" s="42" t="s">
        <v>26</v>
      </c>
      <c r="R213" s="43" t="s">
        <v>1050</v>
      </c>
      <c r="S213" s="44">
        <v>34</v>
      </c>
      <c r="T213" s="31">
        <v>19781524.17084768</v>
      </c>
      <c r="U213" s="31">
        <v>1148146.17</v>
      </c>
      <c r="V213" s="31">
        <v>1004989.74</v>
      </c>
      <c r="W213" s="31">
        <v>71080.840000000011</v>
      </c>
      <c r="X213" s="31">
        <v>3036825.5079920725</v>
      </c>
      <c r="Y213" s="31">
        <v>1445548.2507467819</v>
      </c>
      <c r="Z213" s="31">
        <v>2464242.3919513794</v>
      </c>
      <c r="AA213" s="31">
        <f t="shared" si="17"/>
        <v>29695791.491537914</v>
      </c>
      <c r="AB213" s="31">
        <v>743434.42</v>
      </c>
      <c r="AD213" s="42" t="s">
        <v>25</v>
      </c>
      <c r="AE213" s="42" t="s">
        <v>26</v>
      </c>
      <c r="AF213" s="43" t="s">
        <v>1275</v>
      </c>
      <c r="AG213" s="44">
        <v>34</v>
      </c>
      <c r="AH213" s="31">
        <v>19716872.661818139</v>
      </c>
      <c r="AI213" s="31">
        <v>1144127.1099999999</v>
      </c>
      <c r="AJ213" s="31">
        <v>1022511.57</v>
      </c>
      <c r="AK213" s="31">
        <v>70842.049999999988</v>
      </c>
      <c r="AL213" s="31">
        <v>3096003.0987790609</v>
      </c>
      <c r="AM213" s="31">
        <v>1442659.903738382</v>
      </c>
      <c r="AN213" s="31">
        <v>2507599.1662393142</v>
      </c>
      <c r="AO213" s="31">
        <f t="shared" si="18"/>
        <v>29757188.080574896</v>
      </c>
      <c r="AP213" s="31">
        <v>756572.52000000014</v>
      </c>
      <c r="AR213" s="42" t="s">
        <v>25</v>
      </c>
      <c r="AS213" s="42" t="s">
        <v>26</v>
      </c>
      <c r="AT213" s="43" t="s">
        <v>1276</v>
      </c>
      <c r="AU213" s="44">
        <v>34</v>
      </c>
      <c r="AV213" s="31">
        <v>19760799.902456537</v>
      </c>
      <c r="AW213" s="31">
        <v>1146124.2199999997</v>
      </c>
      <c r="AX213" s="31">
        <v>1041277.4600000001</v>
      </c>
      <c r="AY213" s="31">
        <v>70959.539999999994</v>
      </c>
      <c r="AZ213" s="31">
        <v>3158550.9205882004</v>
      </c>
      <c r="BA213" s="31">
        <v>1442742.427938622</v>
      </c>
      <c r="BB213" s="31">
        <v>2554032.8061842923</v>
      </c>
      <c r="BC213" s="31">
        <f t="shared" si="19"/>
        <v>29945130.69716765</v>
      </c>
      <c r="BD213" s="31">
        <v>770643.42</v>
      </c>
    </row>
    <row r="214" spans="2:56">
      <c r="B214" s="42" t="s">
        <v>1319</v>
      </c>
      <c r="C214" s="42" t="s">
        <v>1320</v>
      </c>
      <c r="D214" s="43" t="s">
        <v>1049</v>
      </c>
      <c r="E214" s="44">
        <v>34</v>
      </c>
      <c r="F214" s="31">
        <v>821699.86921582208</v>
      </c>
      <c r="G214" s="31">
        <v>10913.58</v>
      </c>
      <c r="H214" s="31">
        <v>0</v>
      </c>
      <c r="I214" s="31">
        <v>0</v>
      </c>
      <c r="J214" s="31">
        <v>100505.15417953405</v>
      </c>
      <c r="K214" s="31">
        <v>0</v>
      </c>
      <c r="L214" s="31">
        <v>0</v>
      </c>
      <c r="M214" s="31">
        <f t="shared" si="16"/>
        <v>933118.6033953561</v>
      </c>
      <c r="N214" s="31">
        <v>0</v>
      </c>
      <c r="P214" s="42" t="s">
        <v>1319</v>
      </c>
      <c r="Q214" s="42" t="s">
        <v>1320</v>
      </c>
      <c r="R214" s="43" t="s">
        <v>1050</v>
      </c>
      <c r="S214" s="44">
        <v>34</v>
      </c>
      <c r="T214" s="31">
        <v>1478648.2091350786</v>
      </c>
      <c r="U214" s="31">
        <v>21791.200000000004</v>
      </c>
      <c r="V214" s="31">
        <v>0</v>
      </c>
      <c r="W214" s="31">
        <v>0</v>
      </c>
      <c r="X214" s="31">
        <v>108563.29810926538</v>
      </c>
      <c r="Y214" s="31">
        <v>0</v>
      </c>
      <c r="Z214" s="31">
        <v>0</v>
      </c>
      <c r="AA214" s="31">
        <f t="shared" si="17"/>
        <v>1609002.7072443438</v>
      </c>
      <c r="AB214" s="31">
        <v>0</v>
      </c>
      <c r="AD214" s="42" t="s">
        <v>1319</v>
      </c>
      <c r="AE214" s="42" t="s">
        <v>1320</v>
      </c>
      <c r="AF214" s="43" t="s">
        <v>1275</v>
      </c>
      <c r="AG214" s="44">
        <v>34</v>
      </c>
      <c r="AH214" s="31">
        <v>1933349.0829624995</v>
      </c>
      <c r="AI214" s="31">
        <v>29561.52</v>
      </c>
      <c r="AJ214" s="31">
        <v>0</v>
      </c>
      <c r="AK214" s="31">
        <v>0</v>
      </c>
      <c r="AL214" s="31">
        <v>106454.81236668392</v>
      </c>
      <c r="AM214" s="31">
        <v>0</v>
      </c>
      <c r="AN214" s="31">
        <v>0</v>
      </c>
      <c r="AO214" s="31">
        <f t="shared" si="18"/>
        <v>2069365.4153291835</v>
      </c>
      <c r="AP214" s="31">
        <v>0</v>
      </c>
      <c r="AR214" s="42" t="s">
        <v>1319</v>
      </c>
      <c r="AS214" s="42" t="s">
        <v>1320</v>
      </c>
      <c r="AT214" s="43" t="s">
        <v>1276</v>
      </c>
      <c r="AU214" s="44">
        <v>34</v>
      </c>
      <c r="AV214" s="31">
        <v>2252703.8312841477</v>
      </c>
      <c r="AW214" s="31">
        <v>35049.730000000003</v>
      </c>
      <c r="AX214" s="31">
        <v>0</v>
      </c>
      <c r="AY214" s="31">
        <v>0</v>
      </c>
      <c r="AZ214" s="31">
        <v>106312.15150345195</v>
      </c>
      <c r="BA214" s="31">
        <v>0</v>
      </c>
      <c r="BB214" s="31">
        <v>0</v>
      </c>
      <c r="BC214" s="31">
        <f t="shared" si="19"/>
        <v>2394065.7127875998</v>
      </c>
      <c r="BD214" s="31">
        <v>0</v>
      </c>
    </row>
    <row r="215" spans="2:56">
      <c r="B215" s="42" t="s">
        <v>561</v>
      </c>
      <c r="C215" s="42" t="s">
        <v>562</v>
      </c>
      <c r="D215" s="43" t="s">
        <v>1049</v>
      </c>
      <c r="E215" s="44">
        <v>34</v>
      </c>
      <c r="F215" s="31">
        <v>21221410.408057489</v>
      </c>
      <c r="G215" s="31">
        <v>514400.18</v>
      </c>
      <c r="H215" s="31">
        <v>198295.96000000002</v>
      </c>
      <c r="I215" s="31">
        <v>73374.38</v>
      </c>
      <c r="J215" s="31">
        <v>3185237.8556751674</v>
      </c>
      <c r="K215" s="31">
        <v>1130342.4899041362</v>
      </c>
      <c r="L215" s="31">
        <v>1557640.5354763037</v>
      </c>
      <c r="M215" s="31">
        <f t="shared" si="16"/>
        <v>27880701.809113096</v>
      </c>
      <c r="N215" s="31">
        <v>0</v>
      </c>
      <c r="P215" s="42" t="s">
        <v>561</v>
      </c>
      <c r="Q215" s="42" t="s">
        <v>562</v>
      </c>
      <c r="R215" s="43" t="s">
        <v>1050</v>
      </c>
      <c r="S215" s="44">
        <v>34</v>
      </c>
      <c r="T215" s="31">
        <v>23154780.85452085</v>
      </c>
      <c r="U215" s="31">
        <v>559722.74</v>
      </c>
      <c r="V215" s="31">
        <v>211167.18999999997</v>
      </c>
      <c r="W215" s="31">
        <v>79901.079999999987</v>
      </c>
      <c r="X215" s="31">
        <v>3379239.5332353669</v>
      </c>
      <c r="Y215" s="31">
        <v>1132840.1741864753</v>
      </c>
      <c r="Z215" s="31">
        <v>1653384.493434892</v>
      </c>
      <c r="AA215" s="31">
        <f t="shared" si="17"/>
        <v>30171036.065377582</v>
      </c>
      <c r="AB215" s="31">
        <v>0</v>
      </c>
      <c r="AD215" s="42" t="s">
        <v>561</v>
      </c>
      <c r="AE215" s="42" t="s">
        <v>562</v>
      </c>
      <c r="AF215" s="43" t="s">
        <v>1275</v>
      </c>
      <c r="AG215" s="44">
        <v>34</v>
      </c>
      <c r="AH215" s="31">
        <v>23824957.245237384</v>
      </c>
      <c r="AI215" s="31">
        <v>574971.42000000004</v>
      </c>
      <c r="AJ215" s="31">
        <v>214848.84999999998</v>
      </c>
      <c r="AK215" s="31">
        <v>82033.19</v>
      </c>
      <c r="AL215" s="31">
        <v>3440765.1133062844</v>
      </c>
      <c r="AM215" s="31">
        <v>1130942.6077727254</v>
      </c>
      <c r="AN215" s="31">
        <v>1682477.9401776234</v>
      </c>
      <c r="AO215" s="31">
        <f t="shared" si="18"/>
        <v>30950996.366494022</v>
      </c>
      <c r="AP215" s="31">
        <v>0</v>
      </c>
      <c r="AR215" s="42" t="s">
        <v>561</v>
      </c>
      <c r="AS215" s="42" t="s">
        <v>562</v>
      </c>
      <c r="AT215" s="43" t="s">
        <v>1276</v>
      </c>
      <c r="AU215" s="44">
        <v>34</v>
      </c>
      <c r="AV215" s="31">
        <v>24514059.649671327</v>
      </c>
      <c r="AW215" s="31">
        <v>591006.94999999995</v>
      </c>
      <c r="AX215" s="31">
        <v>218791.91999999998</v>
      </c>
      <c r="AY215" s="31">
        <v>84291.319999999992</v>
      </c>
      <c r="AZ215" s="31">
        <v>3505297.2879737602</v>
      </c>
      <c r="BA215" s="31">
        <v>1130996.8239559752</v>
      </c>
      <c r="BB215" s="31">
        <v>1713636.0289316885</v>
      </c>
      <c r="BC215" s="31">
        <f t="shared" si="19"/>
        <v>31758079.980532754</v>
      </c>
      <c r="BD215" s="31">
        <v>0</v>
      </c>
    </row>
    <row r="216" spans="2:56">
      <c r="B216" s="42" t="s">
        <v>363</v>
      </c>
      <c r="C216" s="42" t="s">
        <v>364</v>
      </c>
      <c r="D216" s="43" t="s">
        <v>1049</v>
      </c>
      <c r="E216" s="44">
        <v>34</v>
      </c>
      <c r="F216" s="31">
        <v>187224272.69127002</v>
      </c>
      <c r="G216" s="31">
        <v>5827890.3299999991</v>
      </c>
      <c r="H216" s="31">
        <v>2444592.77</v>
      </c>
      <c r="I216" s="31">
        <v>659114.57999999996</v>
      </c>
      <c r="J216" s="31">
        <v>24930759.718671951</v>
      </c>
      <c r="K216" s="31">
        <v>10030450.570353607</v>
      </c>
      <c r="L216" s="31">
        <v>15067100.412274923</v>
      </c>
      <c r="M216" s="31">
        <f t="shared" si="16"/>
        <v>246783683.93257055</v>
      </c>
      <c r="N216" s="31">
        <v>599502.86</v>
      </c>
      <c r="P216" s="42" t="s">
        <v>363</v>
      </c>
      <c r="Q216" s="42" t="s">
        <v>364</v>
      </c>
      <c r="R216" s="43" t="s">
        <v>1050</v>
      </c>
      <c r="S216" s="44">
        <v>34</v>
      </c>
      <c r="T216" s="31">
        <v>205304693.459398</v>
      </c>
      <c r="U216" s="31">
        <v>6374284.4799999995</v>
      </c>
      <c r="V216" s="31">
        <v>2602302.54</v>
      </c>
      <c r="W216" s="31">
        <v>719876.44000000006</v>
      </c>
      <c r="X216" s="31">
        <v>26460275.783231273</v>
      </c>
      <c r="Y216" s="31">
        <v>10040312.633761752</v>
      </c>
      <c r="Z216" s="31">
        <v>15990184.816162162</v>
      </c>
      <c r="AA216" s="31">
        <f t="shared" si="17"/>
        <v>268120576.5625532</v>
      </c>
      <c r="AB216" s="31">
        <v>628646.41</v>
      </c>
      <c r="AD216" s="42" t="s">
        <v>363</v>
      </c>
      <c r="AE216" s="42" t="s">
        <v>364</v>
      </c>
      <c r="AF216" s="43" t="s">
        <v>1275</v>
      </c>
      <c r="AG216" s="44">
        <v>34</v>
      </c>
      <c r="AH216" s="31">
        <v>209203649.08985662</v>
      </c>
      <c r="AI216" s="31">
        <v>6486062.5899999999</v>
      </c>
      <c r="AJ216" s="31">
        <v>2647994.21</v>
      </c>
      <c r="AK216" s="31">
        <v>732516.14999999991</v>
      </c>
      <c r="AL216" s="31">
        <v>26946590.062511921</v>
      </c>
      <c r="AM216" s="31">
        <v>10032737.904628919</v>
      </c>
      <c r="AN216" s="31">
        <v>16273011.253286064</v>
      </c>
      <c r="AO216" s="31">
        <f t="shared" si="18"/>
        <v>272962388.20028359</v>
      </c>
      <c r="AP216" s="31">
        <v>639826.93999999994</v>
      </c>
      <c r="AR216" s="42" t="s">
        <v>363</v>
      </c>
      <c r="AS216" s="42" t="s">
        <v>364</v>
      </c>
      <c r="AT216" s="43" t="s">
        <v>1276</v>
      </c>
      <c r="AU216" s="44">
        <v>34</v>
      </c>
      <c r="AV216" s="31">
        <v>214174445.60669374</v>
      </c>
      <c r="AW216" s="31">
        <v>6605776.96</v>
      </c>
      <c r="AX216" s="31">
        <v>2696929.9899999998</v>
      </c>
      <c r="AY216" s="31">
        <v>746053.29</v>
      </c>
      <c r="AZ216" s="31">
        <v>27564661.627557963</v>
      </c>
      <c r="BA216" s="31">
        <v>10032954.325461289</v>
      </c>
      <c r="BB216" s="31">
        <v>16575909.158625763</v>
      </c>
      <c r="BC216" s="31">
        <f t="shared" si="19"/>
        <v>279048532.23833877</v>
      </c>
      <c r="BD216" s="31">
        <v>651801.28</v>
      </c>
    </row>
    <row r="217" spans="2:56">
      <c r="B217" s="42" t="s">
        <v>173</v>
      </c>
      <c r="C217" s="42" t="s">
        <v>174</v>
      </c>
      <c r="D217" s="43" t="s">
        <v>1049</v>
      </c>
      <c r="E217" s="44">
        <v>34</v>
      </c>
      <c r="F217" s="31">
        <v>576353.27879886597</v>
      </c>
      <c r="G217" s="31">
        <v>31668.889999999992</v>
      </c>
      <c r="H217" s="31">
        <v>0</v>
      </c>
      <c r="I217" s="31">
        <v>0</v>
      </c>
      <c r="J217" s="31">
        <v>70984.585869469636</v>
      </c>
      <c r="K217" s="31">
        <v>64293.501961947935</v>
      </c>
      <c r="L217" s="31">
        <v>0</v>
      </c>
      <c r="M217" s="31">
        <f t="shared" si="16"/>
        <v>757624.33663028351</v>
      </c>
      <c r="N217" s="31">
        <v>14324.08</v>
      </c>
      <c r="P217" s="42" t="s">
        <v>173</v>
      </c>
      <c r="Q217" s="42" t="s">
        <v>174</v>
      </c>
      <c r="R217" s="43" t="s">
        <v>1050</v>
      </c>
      <c r="S217" s="44">
        <v>34</v>
      </c>
      <c r="T217" s="31">
        <v>613356.76293757034</v>
      </c>
      <c r="U217" s="31">
        <v>26076.19999999999</v>
      </c>
      <c r="V217" s="31">
        <v>0</v>
      </c>
      <c r="W217" s="31">
        <v>0</v>
      </c>
      <c r="X217" s="31">
        <v>75122.841666736087</v>
      </c>
      <c r="Y217" s="31">
        <v>64453.988138594003</v>
      </c>
      <c r="Z217" s="31">
        <v>0</v>
      </c>
      <c r="AA217" s="31">
        <f t="shared" si="17"/>
        <v>794025.58274290035</v>
      </c>
      <c r="AB217" s="31">
        <v>15015.79</v>
      </c>
      <c r="AD217" s="42" t="s">
        <v>173</v>
      </c>
      <c r="AE217" s="42" t="s">
        <v>174</v>
      </c>
      <c r="AF217" s="43" t="s">
        <v>1275</v>
      </c>
      <c r="AG217" s="44">
        <v>34</v>
      </c>
      <c r="AH217" s="31">
        <v>622903.66769739334</v>
      </c>
      <c r="AI217" s="31">
        <v>25893.809999999998</v>
      </c>
      <c r="AJ217" s="31">
        <v>0</v>
      </c>
      <c r="AK217" s="31">
        <v>0</v>
      </c>
      <c r="AL217" s="31">
        <v>76683.417207710329</v>
      </c>
      <c r="AM217" s="31">
        <v>64332.061928452866</v>
      </c>
      <c r="AN217" s="31">
        <v>0</v>
      </c>
      <c r="AO217" s="31">
        <f t="shared" si="18"/>
        <v>805094.09683355654</v>
      </c>
      <c r="AP217" s="31">
        <v>15281.14</v>
      </c>
      <c r="AR217" s="42" t="s">
        <v>173</v>
      </c>
      <c r="AS217" s="42" t="s">
        <v>174</v>
      </c>
      <c r="AT217" s="43" t="s">
        <v>1276</v>
      </c>
      <c r="AU217" s="44">
        <v>34</v>
      </c>
      <c r="AV217" s="31">
        <v>635232.12079947023</v>
      </c>
      <c r="AW217" s="31">
        <v>25720.199999999997</v>
      </c>
      <c r="AX217" s="31">
        <v>0</v>
      </c>
      <c r="AY217" s="31">
        <v>0</v>
      </c>
      <c r="AZ217" s="31">
        <v>77122.890636209777</v>
      </c>
      <c r="BA217" s="31">
        <v>64335.545534456898</v>
      </c>
      <c r="BB217" s="31">
        <v>0</v>
      </c>
      <c r="BC217" s="31">
        <f t="shared" si="19"/>
        <v>817976.10697013675</v>
      </c>
      <c r="BD217" s="31">
        <v>15565.35</v>
      </c>
    </row>
    <row r="218" spans="2:56">
      <c r="B218" s="42" t="s">
        <v>177</v>
      </c>
      <c r="C218" s="42" t="s">
        <v>178</v>
      </c>
      <c r="D218" s="43" t="s">
        <v>1049</v>
      </c>
      <c r="E218" s="44">
        <v>34</v>
      </c>
      <c r="F218" s="31">
        <v>6422163.5048898552</v>
      </c>
      <c r="G218" s="31">
        <v>131740.83999999997</v>
      </c>
      <c r="H218" s="31">
        <v>0</v>
      </c>
      <c r="I218" s="31">
        <v>19083.960000000003</v>
      </c>
      <c r="J218" s="31">
        <v>488480.67727231595</v>
      </c>
      <c r="K218" s="31">
        <v>394942.15604624304</v>
      </c>
      <c r="L218" s="31">
        <v>71097.150419779704</v>
      </c>
      <c r="M218" s="31">
        <f t="shared" si="16"/>
        <v>7527508.2886281945</v>
      </c>
      <c r="N218" s="31">
        <v>0</v>
      </c>
      <c r="P218" s="42" t="s">
        <v>177</v>
      </c>
      <c r="Q218" s="42" t="s">
        <v>178</v>
      </c>
      <c r="R218" s="43" t="s">
        <v>1050</v>
      </c>
      <c r="S218" s="44">
        <v>34</v>
      </c>
      <c r="T218" s="31">
        <v>6815370.5082996739</v>
      </c>
      <c r="U218" s="31">
        <v>139038.5</v>
      </c>
      <c r="V218" s="31">
        <v>0</v>
      </c>
      <c r="W218" s="31">
        <v>20205.909999999996</v>
      </c>
      <c r="X218" s="31">
        <v>519087.92590593838</v>
      </c>
      <c r="Y218" s="31">
        <v>395893.09929290658</v>
      </c>
      <c r="Z218" s="31">
        <v>75453.394890932454</v>
      </c>
      <c r="AA218" s="31">
        <f t="shared" si="17"/>
        <v>7965049.3383894516</v>
      </c>
      <c r="AB218" s="31">
        <v>0</v>
      </c>
      <c r="AD218" s="42" t="s">
        <v>177</v>
      </c>
      <c r="AE218" s="42" t="s">
        <v>178</v>
      </c>
      <c r="AF218" s="43" t="s">
        <v>1275</v>
      </c>
      <c r="AG218" s="44">
        <v>34</v>
      </c>
      <c r="AH218" s="31">
        <v>7008980.8492265064</v>
      </c>
      <c r="AI218" s="31">
        <v>141479.76</v>
      </c>
      <c r="AJ218" s="31">
        <v>0</v>
      </c>
      <c r="AK218" s="31">
        <v>20560.68</v>
      </c>
      <c r="AL218" s="31">
        <v>528463.78207494586</v>
      </c>
      <c r="AM218" s="31">
        <v>395162.71081170667</v>
      </c>
      <c r="AN218" s="31">
        <v>76788.069165371649</v>
      </c>
      <c r="AO218" s="31">
        <f t="shared" si="18"/>
        <v>8171435.8512785295</v>
      </c>
      <c r="AP218" s="31">
        <v>0</v>
      </c>
      <c r="AR218" s="42" t="s">
        <v>177</v>
      </c>
      <c r="AS218" s="42" t="s">
        <v>178</v>
      </c>
      <c r="AT218" s="43" t="s">
        <v>1276</v>
      </c>
      <c r="AU218" s="44">
        <v>34</v>
      </c>
      <c r="AV218" s="31">
        <v>7202789.9197810218</v>
      </c>
      <c r="AW218" s="31">
        <v>144094.35</v>
      </c>
      <c r="AX218" s="31">
        <v>0</v>
      </c>
      <c r="AY218" s="31">
        <v>20940.650000000001</v>
      </c>
      <c r="AZ218" s="31">
        <v>538877.75547607662</v>
      </c>
      <c r="BA218" s="31">
        <v>395183.57905402663</v>
      </c>
      <c r="BB218" s="31">
        <v>78217.461957696039</v>
      </c>
      <c r="BC218" s="31">
        <f t="shared" si="19"/>
        <v>8380103.7162688207</v>
      </c>
      <c r="BD218" s="31">
        <v>0</v>
      </c>
    </row>
    <row r="219" spans="2:56">
      <c r="B219" s="42" t="s">
        <v>53</v>
      </c>
      <c r="C219" s="42" t="s">
        <v>54</v>
      </c>
      <c r="D219" s="43" t="s">
        <v>1049</v>
      </c>
      <c r="E219" s="44">
        <v>34</v>
      </c>
      <c r="F219" s="31">
        <v>1922797.2689816442</v>
      </c>
      <c r="G219" s="31">
        <v>68112.47</v>
      </c>
      <c r="H219" s="31">
        <v>0</v>
      </c>
      <c r="I219" s="31">
        <v>0</v>
      </c>
      <c r="J219" s="31">
        <v>137305.83723815694</v>
      </c>
      <c r="K219" s="31">
        <v>72574.649999999994</v>
      </c>
      <c r="L219" s="31">
        <v>92668.987948094917</v>
      </c>
      <c r="M219" s="31">
        <f t="shared" si="16"/>
        <v>2326297.4141678959</v>
      </c>
      <c r="N219" s="31">
        <v>32838.200000000004</v>
      </c>
      <c r="P219" s="42" t="s">
        <v>53</v>
      </c>
      <c r="Q219" s="42" t="s">
        <v>54</v>
      </c>
      <c r="R219" s="43" t="s">
        <v>1050</v>
      </c>
      <c r="S219" s="44">
        <v>34</v>
      </c>
      <c r="T219" s="31">
        <v>2050450.9929783009</v>
      </c>
      <c r="U219" s="31">
        <v>73079.379999999976</v>
      </c>
      <c r="V219" s="31">
        <v>0</v>
      </c>
      <c r="W219" s="31">
        <v>0</v>
      </c>
      <c r="X219" s="31">
        <v>145453.30389440083</v>
      </c>
      <c r="Y219" s="31">
        <v>72574.649999999994</v>
      </c>
      <c r="Z219" s="31">
        <v>99195.682627729228</v>
      </c>
      <c r="AA219" s="31">
        <f t="shared" si="17"/>
        <v>2475177.9295004304</v>
      </c>
      <c r="AB219" s="31">
        <v>34423.919999999998</v>
      </c>
      <c r="AD219" s="42" t="s">
        <v>53</v>
      </c>
      <c r="AE219" s="42" t="s">
        <v>54</v>
      </c>
      <c r="AF219" s="43" t="s">
        <v>1275</v>
      </c>
      <c r="AG219" s="44">
        <v>34</v>
      </c>
      <c r="AH219" s="31">
        <v>2086072.8773627735</v>
      </c>
      <c r="AI219" s="31">
        <v>74345.329999999987</v>
      </c>
      <c r="AJ219" s="31">
        <v>0</v>
      </c>
      <c r="AK219" s="31">
        <v>0</v>
      </c>
      <c r="AL219" s="31">
        <v>148008.87372772751</v>
      </c>
      <c r="AM219" s="31">
        <v>72574.649999999994</v>
      </c>
      <c r="AN219" s="31">
        <v>100941.17597977981</v>
      </c>
      <c r="AO219" s="31">
        <f t="shared" si="18"/>
        <v>2516975.177070281</v>
      </c>
      <c r="AP219" s="31">
        <v>35032.269999999997</v>
      </c>
      <c r="AR219" s="42" t="s">
        <v>53</v>
      </c>
      <c r="AS219" s="42" t="s">
        <v>54</v>
      </c>
      <c r="AT219" s="43" t="s">
        <v>1276</v>
      </c>
      <c r="AU219" s="44">
        <v>34</v>
      </c>
      <c r="AV219" s="31">
        <v>2124225.3193221809</v>
      </c>
      <c r="AW219" s="31">
        <v>75701.169999999984</v>
      </c>
      <c r="AX219" s="31">
        <v>0</v>
      </c>
      <c r="AY219" s="31">
        <v>0</v>
      </c>
      <c r="AZ219" s="31">
        <v>150745.88052900427</v>
      </c>
      <c r="BA219" s="31">
        <v>72574.649999999994</v>
      </c>
      <c r="BB219" s="31">
        <v>102810.540269426</v>
      </c>
      <c r="BC219" s="31">
        <f t="shared" si="19"/>
        <v>2561741.370120611</v>
      </c>
      <c r="BD219" s="31">
        <v>35683.81</v>
      </c>
    </row>
    <row r="220" spans="2:56">
      <c r="B220" s="42" t="s">
        <v>51</v>
      </c>
      <c r="C220" s="42" t="s">
        <v>52</v>
      </c>
      <c r="D220" s="43" t="s">
        <v>1049</v>
      </c>
      <c r="E220" s="44">
        <v>34</v>
      </c>
      <c r="F220" s="31">
        <v>27990104.674331315</v>
      </c>
      <c r="G220" s="31">
        <v>1282443.7899999998</v>
      </c>
      <c r="H220" s="31">
        <v>369113.07</v>
      </c>
      <c r="I220" s="31">
        <v>0</v>
      </c>
      <c r="J220" s="31">
        <v>3822528.207699785</v>
      </c>
      <c r="K220" s="31">
        <v>616113.08600477513</v>
      </c>
      <c r="L220" s="31">
        <v>501668.60730505304</v>
      </c>
      <c r="M220" s="31">
        <f t="shared" si="16"/>
        <v>35519175.615340926</v>
      </c>
      <c r="N220" s="31">
        <v>937204.17999999993</v>
      </c>
      <c r="P220" s="42" t="s">
        <v>51</v>
      </c>
      <c r="Q220" s="42" t="s">
        <v>52</v>
      </c>
      <c r="R220" s="43" t="s">
        <v>1050</v>
      </c>
      <c r="S220" s="44">
        <v>34</v>
      </c>
      <c r="T220" s="31">
        <v>30557590.798949417</v>
      </c>
      <c r="U220" s="31">
        <v>1405855.1800000002</v>
      </c>
      <c r="V220" s="31">
        <v>393071.87</v>
      </c>
      <c r="W220" s="31">
        <v>0</v>
      </c>
      <c r="X220" s="31">
        <v>4047950.1532856729</v>
      </c>
      <c r="Y220" s="31">
        <v>617543.85614036059</v>
      </c>
      <c r="Z220" s="31">
        <v>537607.02452349535</v>
      </c>
      <c r="AA220" s="31">
        <f t="shared" si="17"/>
        <v>38542080.042898946</v>
      </c>
      <c r="AB220" s="31">
        <v>982461.16</v>
      </c>
      <c r="AD220" s="42" t="s">
        <v>51</v>
      </c>
      <c r="AE220" s="42" t="s">
        <v>52</v>
      </c>
      <c r="AF220" s="43" t="s">
        <v>1275</v>
      </c>
      <c r="AG220" s="44">
        <v>34</v>
      </c>
      <c r="AH220" s="31">
        <v>31107668.16383059</v>
      </c>
      <c r="AI220" s="31">
        <v>1421581.1500000004</v>
      </c>
      <c r="AJ220" s="31">
        <v>399925.02</v>
      </c>
      <c r="AK220" s="31">
        <v>0</v>
      </c>
      <c r="AL220" s="31">
        <v>4119121.2049516323</v>
      </c>
      <c r="AM220" s="31">
        <v>616456.85672482953</v>
      </c>
      <c r="AN220" s="31">
        <v>547065.96364759235</v>
      </c>
      <c r="AO220" s="31">
        <f t="shared" si="18"/>
        <v>39211641.739154644</v>
      </c>
      <c r="AP220" s="31">
        <v>999823.38</v>
      </c>
      <c r="AR220" s="42" t="s">
        <v>51</v>
      </c>
      <c r="AS220" s="42" t="s">
        <v>52</v>
      </c>
      <c r="AT220" s="43" t="s">
        <v>1276</v>
      </c>
      <c r="AU220" s="44">
        <v>34</v>
      </c>
      <c r="AV220" s="31">
        <v>31841505.380238716</v>
      </c>
      <c r="AW220" s="31">
        <v>1445705.4000000004</v>
      </c>
      <c r="AX220" s="31">
        <v>407264.72999999992</v>
      </c>
      <c r="AY220" s="31">
        <v>0</v>
      </c>
      <c r="AZ220" s="31">
        <v>4196109.2532867957</v>
      </c>
      <c r="BA220" s="31">
        <v>616487.91385098756</v>
      </c>
      <c r="BB220" s="31">
        <v>557196.16765950038</v>
      </c>
      <c r="BC220" s="31">
        <f t="shared" si="19"/>
        <v>40082687.165035993</v>
      </c>
      <c r="BD220" s="31">
        <v>1018418.32</v>
      </c>
    </row>
    <row r="221" spans="2:56">
      <c r="B221" s="42" t="s">
        <v>123</v>
      </c>
      <c r="C221" s="42" t="s">
        <v>124</v>
      </c>
      <c r="D221" s="43" t="s">
        <v>1049</v>
      </c>
      <c r="E221" s="44">
        <v>34</v>
      </c>
      <c r="F221" s="31">
        <v>24915210.81365066</v>
      </c>
      <c r="G221" s="31">
        <v>1623201.0099999998</v>
      </c>
      <c r="H221" s="31">
        <v>1899646.04</v>
      </c>
      <c r="I221" s="31">
        <v>88185.67</v>
      </c>
      <c r="J221" s="31">
        <v>3843999.8081878908</v>
      </c>
      <c r="K221" s="31">
        <v>1637857.6464173042</v>
      </c>
      <c r="L221" s="31">
        <v>2442974.6996986228</v>
      </c>
      <c r="M221" s="31">
        <f t="shared" si="16"/>
        <v>37344333.207954474</v>
      </c>
      <c r="N221" s="31">
        <v>893257.52</v>
      </c>
      <c r="P221" s="42" t="s">
        <v>123</v>
      </c>
      <c r="Q221" s="42" t="s">
        <v>124</v>
      </c>
      <c r="R221" s="43" t="s">
        <v>1050</v>
      </c>
      <c r="S221" s="44">
        <v>34</v>
      </c>
      <c r="T221" s="31">
        <v>26673329.986445695</v>
      </c>
      <c r="U221" s="31">
        <v>1732407.9900000007</v>
      </c>
      <c r="V221" s="31">
        <v>2022950.4400000002</v>
      </c>
      <c r="W221" s="31">
        <v>93287.13</v>
      </c>
      <c r="X221" s="31">
        <v>4077816.9273911901</v>
      </c>
      <c r="Y221" s="31">
        <v>1641939.4836684044</v>
      </c>
      <c r="Z221" s="31">
        <v>2618205.9008727241</v>
      </c>
      <c r="AA221" s="31">
        <f t="shared" si="17"/>
        <v>39796330.188378006</v>
      </c>
      <c r="AB221" s="31">
        <v>936392.33</v>
      </c>
      <c r="AD221" s="42" t="s">
        <v>123</v>
      </c>
      <c r="AE221" s="42" t="s">
        <v>124</v>
      </c>
      <c r="AF221" s="43" t="s">
        <v>1275</v>
      </c>
      <c r="AG221" s="44">
        <v>34</v>
      </c>
      <c r="AH221" s="31">
        <v>27305051.370481752</v>
      </c>
      <c r="AI221" s="31">
        <v>1770836.15</v>
      </c>
      <c r="AJ221" s="31">
        <v>2058220.26</v>
      </c>
      <c r="AK221" s="31">
        <v>95441.45</v>
      </c>
      <c r="AL221" s="31">
        <v>4151707.1020022468</v>
      </c>
      <c r="AM221" s="31">
        <v>1638838.3882542045</v>
      </c>
      <c r="AN221" s="31">
        <v>2664271.7231131364</v>
      </c>
      <c r="AO221" s="31">
        <f t="shared" si="18"/>
        <v>40637306.863851339</v>
      </c>
      <c r="AP221" s="31">
        <v>952940.41999999993</v>
      </c>
      <c r="AR221" s="42" t="s">
        <v>123</v>
      </c>
      <c r="AS221" s="42" t="s">
        <v>124</v>
      </c>
      <c r="AT221" s="43" t="s">
        <v>1276</v>
      </c>
      <c r="AU221" s="44">
        <v>34</v>
      </c>
      <c r="AV221" s="31">
        <v>27800551.665299378</v>
      </c>
      <c r="AW221" s="31">
        <v>1798478.7999999998</v>
      </c>
      <c r="AX221" s="31">
        <v>2095994.24</v>
      </c>
      <c r="AY221" s="31">
        <v>96870.519999999975</v>
      </c>
      <c r="AZ221" s="31">
        <v>4236699.1616959553</v>
      </c>
      <c r="BA221" s="31">
        <v>1638926.9909803246</v>
      </c>
      <c r="BB221" s="31">
        <v>2713606.6618930176</v>
      </c>
      <c r="BC221" s="31">
        <f t="shared" si="19"/>
        <v>41351791.459868677</v>
      </c>
      <c r="BD221" s="31">
        <v>970663.41999999993</v>
      </c>
    </row>
    <row r="222" spans="2:56">
      <c r="B222" s="42" t="s">
        <v>225</v>
      </c>
      <c r="C222" s="42" t="s">
        <v>226</v>
      </c>
      <c r="D222" s="43" t="s">
        <v>1049</v>
      </c>
      <c r="E222" s="44">
        <v>34</v>
      </c>
      <c r="F222" s="31">
        <v>2862141.0068789697</v>
      </c>
      <c r="G222" s="31">
        <v>181011.11999999997</v>
      </c>
      <c r="H222" s="31">
        <v>183495.37</v>
      </c>
      <c r="I222" s="31">
        <v>0</v>
      </c>
      <c r="J222" s="31">
        <v>219875.19641365614</v>
      </c>
      <c r="K222" s="31">
        <v>317130.34000000003</v>
      </c>
      <c r="L222" s="31">
        <v>0</v>
      </c>
      <c r="M222" s="31">
        <f t="shared" si="16"/>
        <v>3874992.3832926261</v>
      </c>
      <c r="N222" s="31">
        <v>111339.35</v>
      </c>
      <c r="P222" s="42" t="s">
        <v>225</v>
      </c>
      <c r="Q222" s="42" t="s">
        <v>226</v>
      </c>
      <c r="R222" s="43" t="s">
        <v>1050</v>
      </c>
      <c r="S222" s="44">
        <v>34</v>
      </c>
      <c r="T222" s="31">
        <v>3094080.7203172371</v>
      </c>
      <c r="U222" s="31">
        <v>194197.53</v>
      </c>
      <c r="V222" s="31">
        <v>195208.11000000004</v>
      </c>
      <c r="W222" s="31">
        <v>0</v>
      </c>
      <c r="X222" s="31">
        <v>232903.2997423879</v>
      </c>
      <c r="Y222" s="31">
        <v>317130.34000000003</v>
      </c>
      <c r="Z222" s="31">
        <v>0</v>
      </c>
      <c r="AA222" s="31">
        <f t="shared" si="17"/>
        <v>4150334.0400596247</v>
      </c>
      <c r="AB222" s="31">
        <v>116814.04000000001</v>
      </c>
      <c r="AD222" s="42" t="s">
        <v>225</v>
      </c>
      <c r="AE222" s="42" t="s">
        <v>226</v>
      </c>
      <c r="AF222" s="43" t="s">
        <v>1275</v>
      </c>
      <c r="AG222" s="44">
        <v>34</v>
      </c>
      <c r="AH222" s="31">
        <v>3186840.4843398649</v>
      </c>
      <c r="AI222" s="31">
        <v>199947.28999999998</v>
      </c>
      <c r="AJ222" s="31">
        <v>198677.21000000002</v>
      </c>
      <c r="AK222" s="31">
        <v>0</v>
      </c>
      <c r="AL222" s="31">
        <v>237049.2110354233</v>
      </c>
      <c r="AM222" s="31">
        <v>317130.34000000003</v>
      </c>
      <c r="AN222" s="31">
        <v>0</v>
      </c>
      <c r="AO222" s="31">
        <f t="shared" si="18"/>
        <v>4258558.8653752878</v>
      </c>
      <c r="AP222" s="31">
        <v>118914.33000000002</v>
      </c>
      <c r="AR222" s="42" t="s">
        <v>225</v>
      </c>
      <c r="AS222" s="42" t="s">
        <v>226</v>
      </c>
      <c r="AT222" s="43" t="s">
        <v>1276</v>
      </c>
      <c r="AU222" s="44">
        <v>34</v>
      </c>
      <c r="AV222" s="31">
        <v>3246571.3543480784</v>
      </c>
      <c r="AW222" s="31">
        <v>203660.79999999996</v>
      </c>
      <c r="AX222" s="31">
        <v>202392.60000000003</v>
      </c>
      <c r="AY222" s="31">
        <v>0</v>
      </c>
      <c r="AZ222" s="31">
        <v>241494.65448925854</v>
      </c>
      <c r="BA222" s="31">
        <v>317130.34000000003</v>
      </c>
      <c r="BB222" s="31">
        <v>0</v>
      </c>
      <c r="BC222" s="31">
        <f t="shared" si="19"/>
        <v>4332413.4788373373</v>
      </c>
      <c r="BD222" s="31">
        <v>121163.73000000001</v>
      </c>
    </row>
    <row r="223" spans="2:56">
      <c r="B223" s="42" t="s">
        <v>515</v>
      </c>
      <c r="C223" s="42" t="s">
        <v>516</v>
      </c>
      <c r="D223" s="43" t="s">
        <v>1049</v>
      </c>
      <c r="E223" s="44">
        <v>34</v>
      </c>
      <c r="F223" s="31">
        <v>7286826.6895217421</v>
      </c>
      <c r="G223" s="31">
        <v>243899.15</v>
      </c>
      <c r="H223" s="31">
        <v>0</v>
      </c>
      <c r="I223" s="31">
        <v>24847.89</v>
      </c>
      <c r="J223" s="31">
        <v>1120394.0227980902</v>
      </c>
      <c r="K223" s="31">
        <v>432587.11366815795</v>
      </c>
      <c r="L223" s="31">
        <v>697270.35079997056</v>
      </c>
      <c r="M223" s="31">
        <f t="shared" si="16"/>
        <v>9805825.2167879604</v>
      </c>
      <c r="N223" s="31">
        <v>0</v>
      </c>
      <c r="P223" s="42" t="s">
        <v>515</v>
      </c>
      <c r="Q223" s="42" t="s">
        <v>516</v>
      </c>
      <c r="R223" s="43" t="s">
        <v>1050</v>
      </c>
      <c r="S223" s="44">
        <v>34</v>
      </c>
      <c r="T223" s="31">
        <v>7571094.8017491465</v>
      </c>
      <c r="U223" s="31">
        <v>261805.80000000002</v>
      </c>
      <c r="V223" s="31">
        <v>0</v>
      </c>
      <c r="W223" s="31">
        <v>26668.31</v>
      </c>
      <c r="X223" s="31">
        <v>1177069.2654766361</v>
      </c>
      <c r="Y223" s="31">
        <v>433460.97378796409</v>
      </c>
      <c r="Z223" s="31">
        <v>740129.26155570184</v>
      </c>
      <c r="AA223" s="31">
        <f t="shared" si="17"/>
        <v>10210228.412569446</v>
      </c>
      <c r="AB223" s="31">
        <v>0</v>
      </c>
      <c r="AD223" s="42" t="s">
        <v>515</v>
      </c>
      <c r="AE223" s="42" t="s">
        <v>516</v>
      </c>
      <c r="AF223" s="43" t="s">
        <v>1275</v>
      </c>
      <c r="AG223" s="44">
        <v>34</v>
      </c>
      <c r="AH223" s="31">
        <v>7528854.9956794623</v>
      </c>
      <c r="AI223" s="31">
        <v>263097.44</v>
      </c>
      <c r="AJ223" s="31">
        <v>0</v>
      </c>
      <c r="AK223" s="31">
        <v>26816.510000000006</v>
      </c>
      <c r="AL223" s="31">
        <v>1192515.6425492857</v>
      </c>
      <c r="AM223" s="31">
        <v>432797.07578236563</v>
      </c>
      <c r="AN223" s="31">
        <v>753152.79434142564</v>
      </c>
      <c r="AO223" s="31">
        <f t="shared" si="18"/>
        <v>10197234.45835254</v>
      </c>
      <c r="AP223" s="31">
        <v>0</v>
      </c>
      <c r="AR223" s="42" t="s">
        <v>515</v>
      </c>
      <c r="AS223" s="42" t="s">
        <v>516</v>
      </c>
      <c r="AT223" s="43" t="s">
        <v>1276</v>
      </c>
      <c r="AU223" s="44">
        <v>34</v>
      </c>
      <c r="AV223" s="31">
        <v>7598460.3322070325</v>
      </c>
      <c r="AW223" s="31">
        <v>266635.83999999997</v>
      </c>
      <c r="AX223" s="31">
        <v>0</v>
      </c>
      <c r="AY223" s="31">
        <v>27201.159999999996</v>
      </c>
      <c r="AZ223" s="31">
        <v>1209734.1833793023</v>
      </c>
      <c r="BA223" s="31">
        <v>432816.04429681128</v>
      </c>
      <c r="BB223" s="31">
        <v>767100.55353173555</v>
      </c>
      <c r="BC223" s="31">
        <f t="shared" si="19"/>
        <v>10301948.113414882</v>
      </c>
      <c r="BD223" s="31">
        <v>0</v>
      </c>
    </row>
    <row r="224" spans="2:56">
      <c r="B224" s="42" t="s">
        <v>345</v>
      </c>
      <c r="C224" s="42" t="s">
        <v>346</v>
      </c>
      <c r="D224" s="43" t="s">
        <v>1049</v>
      </c>
      <c r="E224" s="44">
        <v>34</v>
      </c>
      <c r="F224" s="31">
        <v>4660309.6391896475</v>
      </c>
      <c r="G224" s="31">
        <v>229087.84</v>
      </c>
      <c r="H224" s="31">
        <v>95981.11</v>
      </c>
      <c r="I224" s="31">
        <v>14713.87</v>
      </c>
      <c r="J224" s="31">
        <v>628242.97358206427</v>
      </c>
      <c r="K224" s="31">
        <v>483278.13467647217</v>
      </c>
      <c r="L224" s="31">
        <v>345864.48450775794</v>
      </c>
      <c r="M224" s="31">
        <f t="shared" si="16"/>
        <v>6606662.8919559428</v>
      </c>
      <c r="N224" s="31">
        <v>149184.84</v>
      </c>
      <c r="P224" s="42" t="s">
        <v>345</v>
      </c>
      <c r="Q224" s="42" t="s">
        <v>346</v>
      </c>
      <c r="R224" s="43" t="s">
        <v>1050</v>
      </c>
      <c r="S224" s="44">
        <v>34</v>
      </c>
      <c r="T224" s="31">
        <v>4849895.6986028338</v>
      </c>
      <c r="U224" s="31">
        <v>245607.02</v>
      </c>
      <c r="V224" s="31">
        <v>102211.15999999999</v>
      </c>
      <c r="W224" s="31">
        <v>15565.149999999998</v>
      </c>
      <c r="X224" s="31">
        <v>661828.80574589805</v>
      </c>
      <c r="Y224" s="31">
        <v>484368.66891317931</v>
      </c>
      <c r="Z224" s="31">
        <v>370524.93757646094</v>
      </c>
      <c r="AA224" s="31">
        <f t="shared" si="17"/>
        <v>6886390.3108383715</v>
      </c>
      <c r="AB224" s="31">
        <v>156388.87000000002</v>
      </c>
      <c r="AD224" s="42" t="s">
        <v>345</v>
      </c>
      <c r="AE224" s="42" t="s">
        <v>346</v>
      </c>
      <c r="AF224" s="43" t="s">
        <v>1275</v>
      </c>
      <c r="AG224" s="44">
        <v>34</v>
      </c>
      <c r="AH224" s="31">
        <v>4927077.017634267</v>
      </c>
      <c r="AI224" s="31">
        <v>245523.37999999998</v>
      </c>
      <c r="AJ224" s="31">
        <v>103993.18999999997</v>
      </c>
      <c r="AK224" s="31">
        <v>15519.789999999999</v>
      </c>
      <c r="AL224" s="31">
        <v>675748.96468102501</v>
      </c>
      <c r="AM224" s="31">
        <v>483540.15701707936</v>
      </c>
      <c r="AN224" s="31">
        <v>377044.18717880937</v>
      </c>
      <c r="AO224" s="31">
        <f t="shared" si="18"/>
        <v>6987599.28651118</v>
      </c>
      <c r="AP224" s="31">
        <v>159152.6</v>
      </c>
      <c r="AR224" s="42" t="s">
        <v>345</v>
      </c>
      <c r="AS224" s="42" t="s">
        <v>346</v>
      </c>
      <c r="AT224" s="43" t="s">
        <v>1276</v>
      </c>
      <c r="AU224" s="44">
        <v>34</v>
      </c>
      <c r="AV224" s="31">
        <v>4863889.6976286676</v>
      </c>
      <c r="AW224" s="31">
        <v>244184.57</v>
      </c>
      <c r="AX224" s="31">
        <v>105901.75</v>
      </c>
      <c r="AY224" s="31">
        <v>15482.089999999998</v>
      </c>
      <c r="AZ224" s="31">
        <v>687002.45902720036</v>
      </c>
      <c r="BA224" s="31">
        <v>483563.82878553931</v>
      </c>
      <c r="BB224" s="31">
        <v>384026.08304592455</v>
      </c>
      <c r="BC224" s="31">
        <f t="shared" si="19"/>
        <v>6946163.0284873312</v>
      </c>
      <c r="BD224" s="31">
        <v>162112.54999999999</v>
      </c>
    </row>
    <row r="225" spans="2:56">
      <c r="B225" s="42" t="s">
        <v>299</v>
      </c>
      <c r="C225" s="42" t="s">
        <v>300</v>
      </c>
      <c r="D225" s="43" t="s">
        <v>1049</v>
      </c>
      <c r="E225" s="44">
        <v>34</v>
      </c>
      <c r="F225" s="31">
        <v>5979110.5931076743</v>
      </c>
      <c r="G225" s="31">
        <v>207260.68999999997</v>
      </c>
      <c r="H225" s="31">
        <v>11303.359999999999</v>
      </c>
      <c r="I225" s="31">
        <v>0</v>
      </c>
      <c r="J225" s="31">
        <v>696276.00938230043</v>
      </c>
      <c r="K225" s="31">
        <v>794958.99997381598</v>
      </c>
      <c r="L225" s="31">
        <v>535286.93798250938</v>
      </c>
      <c r="M225" s="31">
        <f t="shared" si="16"/>
        <v>8224196.5904463008</v>
      </c>
      <c r="N225" s="31">
        <v>0</v>
      </c>
      <c r="P225" s="42" t="s">
        <v>299</v>
      </c>
      <c r="Q225" s="42" t="s">
        <v>300</v>
      </c>
      <c r="R225" s="43" t="s">
        <v>1050</v>
      </c>
      <c r="S225" s="44">
        <v>34</v>
      </c>
      <c r="T225" s="31">
        <v>6180491.2247300837</v>
      </c>
      <c r="U225" s="31">
        <v>213138.74999999997</v>
      </c>
      <c r="V225" s="31">
        <v>12037.050000000001</v>
      </c>
      <c r="W225" s="31">
        <v>0</v>
      </c>
      <c r="X225" s="31">
        <v>735545.2361839459</v>
      </c>
      <c r="Y225" s="31">
        <v>796966.02403670538</v>
      </c>
      <c r="Z225" s="31">
        <v>568189.62174783286</v>
      </c>
      <c r="AA225" s="31">
        <f t="shared" si="17"/>
        <v>8506367.9066985678</v>
      </c>
      <c r="AB225" s="31">
        <v>0</v>
      </c>
      <c r="AD225" s="42" t="s">
        <v>299</v>
      </c>
      <c r="AE225" s="42" t="s">
        <v>300</v>
      </c>
      <c r="AF225" s="43" t="s">
        <v>1275</v>
      </c>
      <c r="AG225" s="44">
        <v>34</v>
      </c>
      <c r="AH225" s="31">
        <v>6280732.632529784</v>
      </c>
      <c r="AI225" s="31">
        <v>219599.81</v>
      </c>
      <c r="AJ225" s="31">
        <v>12246.92</v>
      </c>
      <c r="AK225" s="31">
        <v>0</v>
      </c>
      <c r="AL225" s="31">
        <v>746582.80852238112</v>
      </c>
      <c r="AM225" s="31">
        <v>795441.22705565544</v>
      </c>
      <c r="AN225" s="31">
        <v>578187.64675302547</v>
      </c>
      <c r="AO225" s="31">
        <f t="shared" si="18"/>
        <v>8632791.0448608454</v>
      </c>
      <c r="AP225" s="31">
        <v>0</v>
      </c>
      <c r="AR225" s="42" t="s">
        <v>299</v>
      </c>
      <c r="AS225" s="42" t="s">
        <v>300</v>
      </c>
      <c r="AT225" s="43" t="s">
        <v>1276</v>
      </c>
      <c r="AU225" s="44">
        <v>34</v>
      </c>
      <c r="AV225" s="31">
        <v>6295950.7472960269</v>
      </c>
      <c r="AW225" s="31">
        <v>217286.71000000002</v>
      </c>
      <c r="AX225" s="31">
        <v>12471.68</v>
      </c>
      <c r="AY225" s="31">
        <v>0</v>
      </c>
      <c r="AZ225" s="31">
        <v>761778.24671840668</v>
      </c>
      <c r="BA225" s="31">
        <v>795484.79268368543</v>
      </c>
      <c r="BB225" s="31">
        <v>588895.19040538673</v>
      </c>
      <c r="BC225" s="31">
        <f t="shared" si="19"/>
        <v>8671867.3671035059</v>
      </c>
      <c r="BD225" s="31">
        <v>0</v>
      </c>
    </row>
    <row r="226" spans="2:56">
      <c r="B226" s="42" t="s">
        <v>195</v>
      </c>
      <c r="C226" s="42" t="s">
        <v>196</v>
      </c>
      <c r="D226" s="43" t="s">
        <v>1049</v>
      </c>
      <c r="E226" s="44">
        <v>34</v>
      </c>
      <c r="F226" s="31">
        <v>131378298.52612059</v>
      </c>
      <c r="G226" s="31">
        <v>5706310.7700000005</v>
      </c>
      <c r="H226" s="31">
        <v>5366872.5500000007</v>
      </c>
      <c r="I226" s="31">
        <v>481040.16</v>
      </c>
      <c r="J226" s="31">
        <v>21486066.092669141</v>
      </c>
      <c r="K226" s="31">
        <v>7444110.5770329917</v>
      </c>
      <c r="L226" s="31">
        <v>14457247.405506978</v>
      </c>
      <c r="M226" s="31">
        <f t="shared" si="16"/>
        <v>188760829.71132967</v>
      </c>
      <c r="N226" s="31">
        <v>2440883.63</v>
      </c>
      <c r="P226" s="42" t="s">
        <v>195</v>
      </c>
      <c r="Q226" s="42" t="s">
        <v>196</v>
      </c>
      <c r="R226" s="43" t="s">
        <v>1050</v>
      </c>
      <c r="S226" s="44">
        <v>34</v>
      </c>
      <c r="T226" s="31">
        <v>148483112.04514748</v>
      </c>
      <c r="U226" s="31">
        <v>6396204.1599999992</v>
      </c>
      <c r="V226" s="31">
        <v>5709446.75</v>
      </c>
      <c r="W226" s="31">
        <v>536251.68000000005</v>
      </c>
      <c r="X226" s="31">
        <v>22728278.700889207</v>
      </c>
      <c r="Y226" s="31">
        <v>7462148.6684314199</v>
      </c>
      <c r="Z226" s="31">
        <v>15489370.284586631</v>
      </c>
      <c r="AA226" s="31">
        <f t="shared" si="17"/>
        <v>209365717.14905477</v>
      </c>
      <c r="AB226" s="31">
        <v>2560904.8600000003</v>
      </c>
      <c r="AD226" s="42" t="s">
        <v>195</v>
      </c>
      <c r="AE226" s="42" t="s">
        <v>196</v>
      </c>
      <c r="AF226" s="43" t="s">
        <v>1275</v>
      </c>
      <c r="AG226" s="44">
        <v>34</v>
      </c>
      <c r="AH226" s="31">
        <v>150926738.37702775</v>
      </c>
      <c r="AI226" s="31">
        <v>6496011.8600000003</v>
      </c>
      <c r="AJ226" s="31">
        <v>5810910.6399999997</v>
      </c>
      <c r="AK226" s="31">
        <v>544558.90999999992</v>
      </c>
      <c r="AL226" s="31">
        <v>23144150.084271222</v>
      </c>
      <c r="AM226" s="31">
        <v>7448022.7328315508</v>
      </c>
      <c r="AN226" s="31">
        <v>15765826.216837347</v>
      </c>
      <c r="AO226" s="31">
        <f t="shared" si="18"/>
        <v>212743168.18096787</v>
      </c>
      <c r="AP226" s="31">
        <v>2606949.3600000003</v>
      </c>
      <c r="AR226" s="42" t="s">
        <v>195</v>
      </c>
      <c r="AS226" s="42" t="s">
        <v>196</v>
      </c>
      <c r="AT226" s="43" t="s">
        <v>1276</v>
      </c>
      <c r="AU226" s="44">
        <v>34</v>
      </c>
      <c r="AV226" s="31">
        <v>152489767.23842558</v>
      </c>
      <c r="AW226" s="31">
        <v>6561629.6500000004</v>
      </c>
      <c r="AX226" s="31">
        <v>5919578.4799999995</v>
      </c>
      <c r="AY226" s="31">
        <v>550134.22000000009</v>
      </c>
      <c r="AZ226" s="31">
        <v>23588418.545031939</v>
      </c>
      <c r="BA226" s="31">
        <v>7448426.3309915466</v>
      </c>
      <c r="BB226" s="31">
        <v>16061902.353011055</v>
      </c>
      <c r="BC226" s="31">
        <f t="shared" si="19"/>
        <v>215276119.8374601</v>
      </c>
      <c r="BD226" s="31">
        <v>2656263.02</v>
      </c>
    </row>
    <row r="227" spans="2:56">
      <c r="B227" s="42" t="s">
        <v>109</v>
      </c>
      <c r="C227" s="42" t="s">
        <v>110</v>
      </c>
      <c r="D227" s="43" t="s">
        <v>1049</v>
      </c>
      <c r="E227" s="44">
        <v>34</v>
      </c>
      <c r="F227" s="31">
        <v>3762542.6910178643</v>
      </c>
      <c r="G227" s="31">
        <v>167968.81</v>
      </c>
      <c r="H227" s="31">
        <v>0</v>
      </c>
      <c r="I227" s="31">
        <v>10592.62</v>
      </c>
      <c r="J227" s="31">
        <v>456602.94927393354</v>
      </c>
      <c r="K227" s="31">
        <v>417425.80251662078</v>
      </c>
      <c r="L227" s="31">
        <v>109681.7823202669</v>
      </c>
      <c r="M227" s="31">
        <f t="shared" si="16"/>
        <v>5013288.3351286845</v>
      </c>
      <c r="N227" s="31">
        <v>88473.68</v>
      </c>
      <c r="P227" s="42" t="s">
        <v>109</v>
      </c>
      <c r="Q227" s="42" t="s">
        <v>110</v>
      </c>
      <c r="R227" s="43" t="s">
        <v>1050</v>
      </c>
      <c r="S227" s="44">
        <v>34</v>
      </c>
      <c r="T227" s="31">
        <v>3925759.8200296992</v>
      </c>
      <c r="U227" s="31">
        <v>178105.68999999994</v>
      </c>
      <c r="V227" s="31">
        <v>0</v>
      </c>
      <c r="W227" s="31">
        <v>11169.96</v>
      </c>
      <c r="X227" s="31">
        <v>480636.86424962326</v>
      </c>
      <c r="Y227" s="31">
        <v>418454.46630202321</v>
      </c>
      <c r="Z227" s="31">
        <v>117487.49938768349</v>
      </c>
      <c r="AA227" s="31">
        <f t="shared" si="17"/>
        <v>5224379.7199690286</v>
      </c>
      <c r="AB227" s="31">
        <v>92765.42</v>
      </c>
      <c r="AD227" s="42" t="s">
        <v>109</v>
      </c>
      <c r="AE227" s="42" t="s">
        <v>110</v>
      </c>
      <c r="AF227" s="43" t="s">
        <v>1275</v>
      </c>
      <c r="AG227" s="44">
        <v>34</v>
      </c>
      <c r="AH227" s="31">
        <v>3999739.21826402</v>
      </c>
      <c r="AI227" s="31">
        <v>181204.46999999997</v>
      </c>
      <c r="AJ227" s="31">
        <v>0</v>
      </c>
      <c r="AK227" s="31">
        <v>11365.63</v>
      </c>
      <c r="AL227" s="31">
        <v>489108.13268573314</v>
      </c>
      <c r="AM227" s="31">
        <v>417672.95926207327</v>
      </c>
      <c r="AN227" s="31">
        <v>119560.44460708916</v>
      </c>
      <c r="AO227" s="31">
        <f t="shared" si="18"/>
        <v>5313062.7448189147</v>
      </c>
      <c r="AP227" s="31">
        <v>94411.89</v>
      </c>
      <c r="AR227" s="42" t="s">
        <v>109</v>
      </c>
      <c r="AS227" s="42" t="s">
        <v>110</v>
      </c>
      <c r="AT227" s="43" t="s">
        <v>1276</v>
      </c>
      <c r="AU227" s="44">
        <v>34</v>
      </c>
      <c r="AV227" s="31">
        <v>4078645.5251403605</v>
      </c>
      <c r="AW227" s="31">
        <v>184523.24999999994</v>
      </c>
      <c r="AX227" s="31">
        <v>0</v>
      </c>
      <c r="AY227" s="31">
        <v>11575.21</v>
      </c>
      <c r="AZ227" s="31">
        <v>498180.84880999551</v>
      </c>
      <c r="BA227" s="31">
        <v>417695.28803464328</v>
      </c>
      <c r="BB227" s="31">
        <v>121780.50045107263</v>
      </c>
      <c r="BC227" s="31">
        <f t="shared" si="19"/>
        <v>5408575.8824360715</v>
      </c>
      <c r="BD227" s="31">
        <v>96175.26</v>
      </c>
    </row>
    <row r="228" spans="2:56">
      <c r="B228" s="42" t="s">
        <v>27</v>
      </c>
      <c r="C228" s="42" t="s">
        <v>28</v>
      </c>
      <c r="D228" s="43" t="s">
        <v>1049</v>
      </c>
      <c r="E228" s="44">
        <v>34</v>
      </c>
      <c r="F228" s="31">
        <v>112522771.54386766</v>
      </c>
      <c r="G228" s="31">
        <v>3369868.1600000006</v>
      </c>
      <c r="H228" s="31">
        <v>1280800.1000000001</v>
      </c>
      <c r="I228" s="31">
        <v>389808.72000000003</v>
      </c>
      <c r="J228" s="31">
        <v>15588378.244572576</v>
      </c>
      <c r="K228" s="31">
        <v>4739627.5722763035</v>
      </c>
      <c r="L228" s="31">
        <v>6798673.4565004157</v>
      </c>
      <c r="M228" s="31">
        <f t="shared" si="16"/>
        <v>145424652.67721695</v>
      </c>
      <c r="N228" s="31">
        <v>734724.88</v>
      </c>
      <c r="P228" s="42" t="s">
        <v>27</v>
      </c>
      <c r="Q228" s="42" t="s">
        <v>28</v>
      </c>
      <c r="R228" s="43" t="s">
        <v>1050</v>
      </c>
      <c r="S228" s="44">
        <v>34</v>
      </c>
      <c r="T228" s="31">
        <v>128040410.73145358</v>
      </c>
      <c r="U228" s="31">
        <v>3818373.78</v>
      </c>
      <c r="V228" s="31">
        <v>1352052.7799999998</v>
      </c>
      <c r="W228" s="31">
        <v>440354.30000000005</v>
      </c>
      <c r="X228" s="31">
        <v>16420675.374739783</v>
      </c>
      <c r="Y228" s="31">
        <v>4749653.156810021</v>
      </c>
      <c r="Z228" s="31">
        <v>7165942.1275754385</v>
      </c>
      <c r="AA228" s="31">
        <f t="shared" si="17"/>
        <v>162751222.60057881</v>
      </c>
      <c r="AB228" s="31">
        <v>763760.35</v>
      </c>
      <c r="AD228" s="42" t="s">
        <v>27</v>
      </c>
      <c r="AE228" s="42" t="s">
        <v>28</v>
      </c>
      <c r="AF228" s="43" t="s">
        <v>1275</v>
      </c>
      <c r="AG228" s="44">
        <v>34</v>
      </c>
      <c r="AH228" s="31">
        <v>130093220.38773045</v>
      </c>
      <c r="AI228" s="31">
        <v>3874500.0900000008</v>
      </c>
      <c r="AJ228" s="31">
        <v>1375711.1099999999</v>
      </c>
      <c r="AK228" s="31">
        <v>446867.72999999992</v>
      </c>
      <c r="AL228" s="31">
        <v>16716594.019279093</v>
      </c>
      <c r="AM228" s="31">
        <v>4741986.2527753711</v>
      </c>
      <c r="AN228" s="31">
        <v>7292369.7874120539</v>
      </c>
      <c r="AO228" s="31">
        <f t="shared" si="18"/>
        <v>165318551.25719696</v>
      </c>
      <c r="AP228" s="31">
        <v>777301.88</v>
      </c>
      <c r="AR228" s="42" t="s">
        <v>27</v>
      </c>
      <c r="AS228" s="42" t="s">
        <v>28</v>
      </c>
      <c r="AT228" s="43" t="s">
        <v>1276</v>
      </c>
      <c r="AU228" s="44">
        <v>34</v>
      </c>
      <c r="AV228" s="31">
        <v>132616353.80163278</v>
      </c>
      <c r="AW228" s="31">
        <v>3945674.75</v>
      </c>
      <c r="AX228" s="31">
        <v>1401049.1899999997</v>
      </c>
      <c r="AY228" s="31">
        <v>455098.20999999996</v>
      </c>
      <c r="AZ228" s="31">
        <v>17026548.057645425</v>
      </c>
      <c r="BA228" s="31">
        <v>4742205.3071763618</v>
      </c>
      <c r="BB228" s="31">
        <v>7427769.5983024687</v>
      </c>
      <c r="BC228" s="31">
        <f t="shared" si="19"/>
        <v>168406503.78475702</v>
      </c>
      <c r="BD228" s="31">
        <v>791804.87</v>
      </c>
    </row>
    <row r="229" spans="2:56">
      <c r="B229" s="42" t="s">
        <v>71</v>
      </c>
      <c r="C229" s="42" t="s">
        <v>72</v>
      </c>
      <c r="D229" s="43" t="s">
        <v>1049</v>
      </c>
      <c r="E229" s="44">
        <v>34</v>
      </c>
      <c r="F229" s="31">
        <v>31309352.585060846</v>
      </c>
      <c r="G229" s="31">
        <v>583702.18999999994</v>
      </c>
      <c r="H229" s="31">
        <v>189300.50000000003</v>
      </c>
      <c r="I229" s="31">
        <v>109989.23999999999</v>
      </c>
      <c r="J229" s="31">
        <v>3905861.3427862599</v>
      </c>
      <c r="K229" s="31">
        <v>0</v>
      </c>
      <c r="L229" s="31">
        <v>2463665.3174152719</v>
      </c>
      <c r="M229" s="31">
        <f t="shared" si="16"/>
        <v>38561871.175262384</v>
      </c>
      <c r="N229" s="31">
        <v>0</v>
      </c>
      <c r="P229" s="42" t="s">
        <v>71</v>
      </c>
      <c r="Q229" s="42" t="s">
        <v>72</v>
      </c>
      <c r="R229" s="43" t="s">
        <v>1050</v>
      </c>
      <c r="S229" s="44">
        <v>34</v>
      </c>
      <c r="T229" s="31">
        <v>35603626.109059997</v>
      </c>
      <c r="U229" s="31">
        <v>661552.36</v>
      </c>
      <c r="V229" s="31">
        <v>201512.97000000003</v>
      </c>
      <c r="W229" s="31">
        <v>124730.51999999999</v>
      </c>
      <c r="X229" s="31">
        <v>4133262.1751824925</v>
      </c>
      <c r="Y229" s="31">
        <v>0</v>
      </c>
      <c r="Z229" s="31">
        <v>2614600.8660154184</v>
      </c>
      <c r="AA229" s="31">
        <f t="shared" si="17"/>
        <v>43339285.000257909</v>
      </c>
      <c r="AB229" s="31">
        <v>0</v>
      </c>
      <c r="AD229" s="42" t="s">
        <v>71</v>
      </c>
      <c r="AE229" s="42" t="s">
        <v>72</v>
      </c>
      <c r="AF229" s="43" t="s">
        <v>1275</v>
      </c>
      <c r="AG229" s="44">
        <v>34</v>
      </c>
      <c r="AH229" s="31">
        <v>39179324.185711592</v>
      </c>
      <c r="AI229" s="31">
        <v>724958.71</v>
      </c>
      <c r="AJ229" s="31">
        <v>205051.16</v>
      </c>
      <c r="AK229" s="31">
        <v>136589.65</v>
      </c>
      <c r="AL229" s="31">
        <v>4202795.8402119707</v>
      </c>
      <c r="AM229" s="31">
        <v>0</v>
      </c>
      <c r="AN229" s="31">
        <v>2660846.3547190996</v>
      </c>
      <c r="AO229" s="31">
        <f t="shared" si="18"/>
        <v>47109565.900642663</v>
      </c>
      <c r="AP229" s="31">
        <v>0</v>
      </c>
      <c r="AR229" s="42" t="s">
        <v>71</v>
      </c>
      <c r="AS229" s="42" t="s">
        <v>72</v>
      </c>
      <c r="AT229" s="43" t="s">
        <v>1276</v>
      </c>
      <c r="AU229" s="44">
        <v>34</v>
      </c>
      <c r="AV229" s="31">
        <v>42653973.571661897</v>
      </c>
      <c r="AW229" s="31">
        <v>788274.1599999998</v>
      </c>
      <c r="AX229" s="31">
        <v>208840.57</v>
      </c>
      <c r="AY229" s="31">
        <v>148622.06</v>
      </c>
      <c r="AZ229" s="31">
        <v>4268582.3776253266</v>
      </c>
      <c r="BA229" s="31">
        <v>0</v>
      </c>
      <c r="BB229" s="31">
        <v>2710373.767334342</v>
      </c>
      <c r="BC229" s="31">
        <f t="shared" si="19"/>
        <v>50778666.506621562</v>
      </c>
      <c r="BD229" s="31">
        <v>0</v>
      </c>
    </row>
    <row r="230" spans="2:56">
      <c r="B230" s="42" t="s">
        <v>11</v>
      </c>
      <c r="C230" s="42" t="s">
        <v>12</v>
      </c>
      <c r="D230" s="43" t="s">
        <v>1049</v>
      </c>
      <c r="E230" s="44">
        <v>34</v>
      </c>
      <c r="F230" s="31">
        <v>3619450.6501497226</v>
      </c>
      <c r="G230" s="31">
        <v>105926.27999999997</v>
      </c>
      <c r="H230" s="31">
        <v>0</v>
      </c>
      <c r="I230" s="31">
        <v>0</v>
      </c>
      <c r="J230" s="31">
        <v>275232.47111144627</v>
      </c>
      <c r="K230" s="31">
        <v>0</v>
      </c>
      <c r="L230" s="31">
        <v>279745.66889935784</v>
      </c>
      <c r="M230" s="31">
        <f t="shared" si="16"/>
        <v>4330392.6401605271</v>
      </c>
      <c r="N230" s="31">
        <v>50037.570000000014</v>
      </c>
      <c r="P230" s="42" t="s">
        <v>11</v>
      </c>
      <c r="Q230" s="42" t="s">
        <v>12</v>
      </c>
      <c r="R230" s="43" t="s">
        <v>1050</v>
      </c>
      <c r="S230" s="44">
        <v>34</v>
      </c>
      <c r="T230" s="31">
        <v>3464806.6799605326</v>
      </c>
      <c r="U230" s="31">
        <v>105095.82</v>
      </c>
      <c r="V230" s="31">
        <v>0</v>
      </c>
      <c r="W230" s="31">
        <v>0</v>
      </c>
      <c r="X230" s="31">
        <v>287806.13868658949</v>
      </c>
      <c r="Y230" s="31">
        <v>0</v>
      </c>
      <c r="Z230" s="31">
        <v>296915.15039927734</v>
      </c>
      <c r="AA230" s="31">
        <f t="shared" si="17"/>
        <v>4207088.6190463994</v>
      </c>
      <c r="AB230" s="31">
        <v>52464.830000000009</v>
      </c>
      <c r="AD230" s="42" t="s">
        <v>11</v>
      </c>
      <c r="AE230" s="42" t="s">
        <v>12</v>
      </c>
      <c r="AF230" s="43" t="s">
        <v>1275</v>
      </c>
      <c r="AG230" s="44">
        <v>34</v>
      </c>
      <c r="AH230" s="31">
        <v>3498796.5554960552</v>
      </c>
      <c r="AI230" s="31">
        <v>107580.55999999997</v>
      </c>
      <c r="AJ230" s="31">
        <v>0</v>
      </c>
      <c r="AK230" s="31">
        <v>0</v>
      </c>
      <c r="AL230" s="31">
        <v>290489.12857310992</v>
      </c>
      <c r="AM230" s="31">
        <v>0</v>
      </c>
      <c r="AN230" s="31">
        <v>302154.19772756041</v>
      </c>
      <c r="AO230" s="31">
        <f t="shared" si="18"/>
        <v>4252416.4517967254</v>
      </c>
      <c r="AP230" s="31">
        <v>53396.01</v>
      </c>
      <c r="AR230" s="42" t="s">
        <v>11</v>
      </c>
      <c r="AS230" s="42" t="s">
        <v>12</v>
      </c>
      <c r="AT230" s="43" t="s">
        <v>1276</v>
      </c>
      <c r="AU230" s="44">
        <v>34</v>
      </c>
      <c r="AV230" s="31">
        <v>3528224.154942879</v>
      </c>
      <c r="AW230" s="31">
        <v>106323.84000000003</v>
      </c>
      <c r="AX230" s="31">
        <v>0</v>
      </c>
      <c r="AY230" s="31">
        <v>0</v>
      </c>
      <c r="AZ230" s="31">
        <v>297340.22816412663</v>
      </c>
      <c r="BA230" s="31">
        <v>0</v>
      </c>
      <c r="BB230" s="31">
        <v>307765.04280515161</v>
      </c>
      <c r="BC230" s="31">
        <f t="shared" si="19"/>
        <v>4294046.5759121571</v>
      </c>
      <c r="BD230" s="31">
        <v>54393.310000000005</v>
      </c>
    </row>
    <row r="231" spans="2:56">
      <c r="B231" s="42" t="s">
        <v>477</v>
      </c>
      <c r="C231" s="42" t="s">
        <v>478</v>
      </c>
      <c r="D231" s="43" t="s">
        <v>1049</v>
      </c>
      <c r="E231" s="44">
        <v>34</v>
      </c>
      <c r="F231" s="31">
        <v>11099867.573316412</v>
      </c>
      <c r="G231" s="31">
        <v>454667.77</v>
      </c>
      <c r="H231" s="31">
        <v>25140.239999999998</v>
      </c>
      <c r="I231" s="31">
        <v>40438.74</v>
      </c>
      <c r="J231" s="31">
        <v>1786948.7830444805</v>
      </c>
      <c r="K231" s="31">
        <v>1496343.7500409356</v>
      </c>
      <c r="L231" s="31">
        <v>1503751.4047864215</v>
      </c>
      <c r="M231" s="31">
        <f t="shared" si="16"/>
        <v>16515222.271188248</v>
      </c>
      <c r="N231" s="31">
        <v>108064.01000000001</v>
      </c>
      <c r="P231" s="42" t="s">
        <v>477</v>
      </c>
      <c r="Q231" s="42" t="s">
        <v>478</v>
      </c>
      <c r="R231" s="43" t="s">
        <v>1050</v>
      </c>
      <c r="S231" s="44">
        <v>34</v>
      </c>
      <c r="T231" s="31">
        <v>11411141.267901432</v>
      </c>
      <c r="U231" s="31">
        <v>466778.85</v>
      </c>
      <c r="V231" s="31">
        <v>26772.06</v>
      </c>
      <c r="W231" s="31">
        <v>41299.520000000004</v>
      </c>
      <c r="X231" s="31">
        <v>1892579.9478818462</v>
      </c>
      <c r="Y231" s="31">
        <v>1500009.2743175908</v>
      </c>
      <c r="Z231" s="31">
        <v>1611586.9553916478</v>
      </c>
      <c r="AA231" s="31">
        <f t="shared" si="17"/>
        <v>17063450.215492517</v>
      </c>
      <c r="AB231" s="31">
        <v>113282.34</v>
      </c>
      <c r="AD231" s="42" t="s">
        <v>477</v>
      </c>
      <c r="AE231" s="42" t="s">
        <v>478</v>
      </c>
      <c r="AF231" s="43" t="s">
        <v>1275</v>
      </c>
      <c r="AG231" s="44">
        <v>34</v>
      </c>
      <c r="AH231" s="31">
        <v>11596906.834541403</v>
      </c>
      <c r="AI231" s="31">
        <v>473517.66999999993</v>
      </c>
      <c r="AJ231" s="31">
        <v>27238.83</v>
      </c>
      <c r="AK231" s="31">
        <v>41913.999999999993</v>
      </c>
      <c r="AL231" s="31">
        <v>1927052.6908300978</v>
      </c>
      <c r="AM231" s="31">
        <v>1497224.4644817968</v>
      </c>
      <c r="AN231" s="31">
        <v>1639941.763800431</v>
      </c>
      <c r="AO231" s="31">
        <f t="shared" si="18"/>
        <v>17319080.543653727</v>
      </c>
      <c r="AP231" s="31">
        <v>115284.29000000001</v>
      </c>
      <c r="AR231" s="42" t="s">
        <v>477</v>
      </c>
      <c r="AS231" s="42" t="s">
        <v>478</v>
      </c>
      <c r="AT231" s="43" t="s">
        <v>1276</v>
      </c>
      <c r="AU231" s="44">
        <v>34</v>
      </c>
      <c r="AV231" s="31">
        <v>11653127.169708226</v>
      </c>
      <c r="AW231" s="31">
        <v>475191.28</v>
      </c>
      <c r="AX231" s="31">
        <v>27738.730000000003</v>
      </c>
      <c r="AY231" s="31">
        <v>42038.15</v>
      </c>
      <c r="AZ231" s="31">
        <v>1965388.4860630257</v>
      </c>
      <c r="BA231" s="31">
        <v>1497304.0304771054</v>
      </c>
      <c r="BB231" s="31">
        <v>1670308.8052550377</v>
      </c>
      <c r="BC231" s="31">
        <f t="shared" si="19"/>
        <v>17448525.021503396</v>
      </c>
      <c r="BD231" s="31">
        <v>117428.37000000002</v>
      </c>
    </row>
    <row r="232" spans="2:56">
      <c r="B232" s="42" t="s">
        <v>203</v>
      </c>
      <c r="C232" s="42" t="s">
        <v>204</v>
      </c>
      <c r="D232" s="43" t="s">
        <v>1049</v>
      </c>
      <c r="E232" s="44">
        <v>34</v>
      </c>
      <c r="F232" s="31">
        <v>27439065.117330894</v>
      </c>
      <c r="G232" s="31">
        <v>283316.83</v>
      </c>
      <c r="H232" s="31">
        <v>352311.12</v>
      </c>
      <c r="I232" s="31">
        <v>97901.83</v>
      </c>
      <c r="J232" s="31">
        <v>3313213.1274896837</v>
      </c>
      <c r="K232" s="31">
        <v>2290548.1058273027</v>
      </c>
      <c r="L232" s="31">
        <v>1910848.1593277296</v>
      </c>
      <c r="M232" s="31">
        <f t="shared" si="16"/>
        <v>35687204.289975606</v>
      </c>
      <c r="N232" s="31">
        <v>0</v>
      </c>
      <c r="P232" s="42" t="s">
        <v>203</v>
      </c>
      <c r="Q232" s="42" t="s">
        <v>204</v>
      </c>
      <c r="R232" s="43" t="s">
        <v>1050</v>
      </c>
      <c r="S232" s="44">
        <v>34</v>
      </c>
      <c r="T232" s="31">
        <v>31450820.280260235</v>
      </c>
      <c r="U232" s="31">
        <v>323985.37999999995</v>
      </c>
      <c r="V232" s="31">
        <v>374799.58</v>
      </c>
      <c r="W232" s="31">
        <v>111959.37</v>
      </c>
      <c r="X232" s="31">
        <v>3502027.3774703736</v>
      </c>
      <c r="Y232" s="31">
        <v>2295652.1272094036</v>
      </c>
      <c r="Z232" s="31">
        <v>2027231.0390649652</v>
      </c>
      <c r="AA232" s="31">
        <f t="shared" si="17"/>
        <v>40086475.154004976</v>
      </c>
      <c r="AB232" s="31">
        <v>0</v>
      </c>
      <c r="AD232" s="42" t="s">
        <v>203</v>
      </c>
      <c r="AE232" s="42" t="s">
        <v>204</v>
      </c>
      <c r="AF232" s="43" t="s">
        <v>1275</v>
      </c>
      <c r="AG232" s="44">
        <v>34</v>
      </c>
      <c r="AH232" s="31">
        <v>32349481.940156251</v>
      </c>
      <c r="AI232" s="31">
        <v>332799.59999999998</v>
      </c>
      <c r="AJ232" s="31">
        <v>381460.22</v>
      </c>
      <c r="AK232" s="31">
        <v>115049.37000000001</v>
      </c>
      <c r="AL232" s="31">
        <v>3564632.9812531942</v>
      </c>
      <c r="AM232" s="31">
        <v>2291655.0814160667</v>
      </c>
      <c r="AN232" s="31">
        <v>2063415.6929612234</v>
      </c>
      <c r="AO232" s="31">
        <f t="shared" si="18"/>
        <v>41098494.885786735</v>
      </c>
      <c r="AP232" s="31">
        <v>0</v>
      </c>
      <c r="AR232" s="42" t="s">
        <v>203</v>
      </c>
      <c r="AS232" s="42" t="s">
        <v>204</v>
      </c>
      <c r="AT232" s="43" t="s">
        <v>1276</v>
      </c>
      <c r="AU232" s="44">
        <v>34</v>
      </c>
      <c r="AV232" s="31">
        <v>33333608.187131461</v>
      </c>
      <c r="AW232" s="31">
        <v>342510.54</v>
      </c>
      <c r="AX232" s="31">
        <v>388593.77999999997</v>
      </c>
      <c r="AY232" s="31">
        <v>118321.83</v>
      </c>
      <c r="AZ232" s="31">
        <v>3631796.8995245118</v>
      </c>
      <c r="BA232" s="31">
        <v>2291769.2827244475</v>
      </c>
      <c r="BB232" s="31">
        <v>2102168.3778089159</v>
      </c>
      <c r="BC232" s="31">
        <f t="shared" si="19"/>
        <v>42208768.897189334</v>
      </c>
      <c r="BD232" s="31">
        <v>0</v>
      </c>
    </row>
    <row r="233" spans="2:56">
      <c r="B233" s="42" t="s">
        <v>519</v>
      </c>
      <c r="C233" s="42" t="s">
        <v>520</v>
      </c>
      <c r="D233" s="43" t="s">
        <v>1049</v>
      </c>
      <c r="E233" s="44">
        <v>34</v>
      </c>
      <c r="F233" s="31">
        <v>17247549.754493684</v>
      </c>
      <c r="G233" s="31">
        <v>667775.05000000028</v>
      </c>
      <c r="H233" s="31">
        <v>319222.38999999996</v>
      </c>
      <c r="I233" s="31">
        <v>58465.639999999992</v>
      </c>
      <c r="J233" s="31">
        <v>2577800.8213884346</v>
      </c>
      <c r="K233" s="31">
        <v>1885964.6342048864</v>
      </c>
      <c r="L233" s="31">
        <v>971383.01909723331</v>
      </c>
      <c r="M233" s="31">
        <f t="shared" si="16"/>
        <v>24144631.54918424</v>
      </c>
      <c r="N233" s="31">
        <v>416470.24000000005</v>
      </c>
      <c r="P233" s="42" t="s">
        <v>519</v>
      </c>
      <c r="Q233" s="42" t="s">
        <v>520</v>
      </c>
      <c r="R233" s="43" t="s">
        <v>1050</v>
      </c>
      <c r="S233" s="44">
        <v>34</v>
      </c>
      <c r="T233" s="31">
        <v>18397564.218750209</v>
      </c>
      <c r="U233" s="31">
        <v>717937.61999999988</v>
      </c>
      <c r="V233" s="31">
        <v>339942.81999999995</v>
      </c>
      <c r="W233" s="31">
        <v>62260.580000000009</v>
      </c>
      <c r="X233" s="31">
        <v>2707203.2059514509</v>
      </c>
      <c r="Y233" s="31">
        <v>1890903.6272259259</v>
      </c>
      <c r="Z233" s="31">
        <v>1041001.0669412412</v>
      </c>
      <c r="AA233" s="31">
        <f t="shared" si="17"/>
        <v>25593394.448868826</v>
      </c>
      <c r="AB233" s="31">
        <v>436581.31</v>
      </c>
      <c r="AD233" s="42" t="s">
        <v>519</v>
      </c>
      <c r="AE233" s="42" t="s">
        <v>520</v>
      </c>
      <c r="AF233" s="43" t="s">
        <v>1275</v>
      </c>
      <c r="AG233" s="44">
        <v>34</v>
      </c>
      <c r="AH233" s="31">
        <v>18737743.099575352</v>
      </c>
      <c r="AI233" s="31">
        <v>728661.92999999993</v>
      </c>
      <c r="AJ233" s="31">
        <v>345869.67999999993</v>
      </c>
      <c r="AK233" s="31">
        <v>63240.529999999992</v>
      </c>
      <c r="AL233" s="31">
        <v>2762972.6103843469</v>
      </c>
      <c r="AM233" s="31">
        <v>1887151.3246067604</v>
      </c>
      <c r="AN233" s="31">
        <v>1059316.8769052611</v>
      </c>
      <c r="AO233" s="31">
        <f t="shared" si="18"/>
        <v>26029252.691471726</v>
      </c>
      <c r="AP233" s="31">
        <v>444296.63999999996</v>
      </c>
      <c r="AR233" s="42" t="s">
        <v>519</v>
      </c>
      <c r="AS233" s="42" t="s">
        <v>520</v>
      </c>
      <c r="AT233" s="43" t="s">
        <v>1276</v>
      </c>
      <c r="AU233" s="44">
        <v>34</v>
      </c>
      <c r="AV233" s="31">
        <v>19036012.396488953</v>
      </c>
      <c r="AW233" s="31">
        <v>739775.49</v>
      </c>
      <c r="AX233" s="31">
        <v>352217.32999999996</v>
      </c>
      <c r="AY233" s="31">
        <v>64186.139999999992</v>
      </c>
      <c r="AZ233" s="31">
        <v>2814207.8705175314</v>
      </c>
      <c r="BA233" s="31">
        <v>1887258.5332530222</v>
      </c>
      <c r="BB233" s="31">
        <v>1078932.4902293265</v>
      </c>
      <c r="BC233" s="31">
        <f t="shared" si="19"/>
        <v>26425150.020488828</v>
      </c>
      <c r="BD233" s="31">
        <v>452559.77000000008</v>
      </c>
    </row>
    <row r="234" spans="2:56">
      <c r="B234" s="42" t="s">
        <v>263</v>
      </c>
      <c r="C234" s="42" t="s">
        <v>264</v>
      </c>
      <c r="D234" s="43" t="s">
        <v>1049</v>
      </c>
      <c r="E234" s="44">
        <v>34</v>
      </c>
      <c r="F234" s="31">
        <v>429296.23317987961</v>
      </c>
      <c r="G234" s="31">
        <v>0</v>
      </c>
      <c r="H234" s="31">
        <v>0</v>
      </c>
      <c r="I234" s="31">
        <v>0</v>
      </c>
      <c r="J234" s="31">
        <v>52573.259702966912</v>
      </c>
      <c r="K234" s="31">
        <v>115219.65357997973</v>
      </c>
      <c r="L234" s="31">
        <v>0</v>
      </c>
      <c r="M234" s="31">
        <f t="shared" si="16"/>
        <v>597089.14646282629</v>
      </c>
      <c r="N234" s="31">
        <v>0</v>
      </c>
      <c r="P234" s="42" t="s">
        <v>263</v>
      </c>
      <c r="Q234" s="42" t="s">
        <v>264</v>
      </c>
      <c r="R234" s="43" t="s">
        <v>1050</v>
      </c>
      <c r="S234" s="44">
        <v>34</v>
      </c>
      <c r="T234" s="31">
        <v>454902.96741516603</v>
      </c>
      <c r="U234" s="31">
        <v>0</v>
      </c>
      <c r="V234" s="31">
        <v>0</v>
      </c>
      <c r="W234" s="31">
        <v>0</v>
      </c>
      <c r="X234" s="31">
        <v>55088.700893013949</v>
      </c>
      <c r="Y234" s="31">
        <v>115416.83187728329</v>
      </c>
      <c r="Z234" s="31">
        <v>0</v>
      </c>
      <c r="AA234" s="31">
        <f t="shared" si="17"/>
        <v>625408.50018546334</v>
      </c>
      <c r="AB234" s="31">
        <v>0</v>
      </c>
      <c r="AD234" s="42" t="s">
        <v>263</v>
      </c>
      <c r="AE234" s="42" t="s">
        <v>264</v>
      </c>
      <c r="AF234" s="43" t="s">
        <v>1275</v>
      </c>
      <c r="AG234" s="44">
        <v>34</v>
      </c>
      <c r="AH234" s="31">
        <v>463570.37180849933</v>
      </c>
      <c r="AI234" s="31">
        <v>0</v>
      </c>
      <c r="AJ234" s="31">
        <v>0</v>
      </c>
      <c r="AK234" s="31">
        <v>0</v>
      </c>
      <c r="AL234" s="31">
        <v>55816.492813651945</v>
      </c>
      <c r="AM234" s="31">
        <v>115267.02955153328</v>
      </c>
      <c r="AN234" s="31">
        <v>0</v>
      </c>
      <c r="AO234" s="31">
        <f t="shared" si="18"/>
        <v>634653.89417368453</v>
      </c>
      <c r="AP234" s="31">
        <v>0</v>
      </c>
      <c r="AR234" s="42" t="s">
        <v>263</v>
      </c>
      <c r="AS234" s="42" t="s">
        <v>264</v>
      </c>
      <c r="AT234" s="43" t="s">
        <v>1276</v>
      </c>
      <c r="AU234" s="44">
        <v>34</v>
      </c>
      <c r="AV234" s="31">
        <v>469340.89195353008</v>
      </c>
      <c r="AW234" s="31">
        <v>0</v>
      </c>
      <c r="AX234" s="31">
        <v>0</v>
      </c>
      <c r="AY234" s="31">
        <v>0</v>
      </c>
      <c r="AZ234" s="31">
        <v>57656.222270507031</v>
      </c>
      <c r="BA234" s="31">
        <v>115271.30961798328</v>
      </c>
      <c r="BB234" s="31">
        <v>0</v>
      </c>
      <c r="BC234" s="31">
        <f t="shared" si="19"/>
        <v>642268.42384202045</v>
      </c>
      <c r="BD234" s="31">
        <v>0</v>
      </c>
    </row>
    <row r="235" spans="2:56">
      <c r="B235" s="42" t="s">
        <v>575</v>
      </c>
      <c r="C235" s="42" t="s">
        <v>576</v>
      </c>
      <c r="D235" s="43" t="s">
        <v>1049</v>
      </c>
      <c r="E235" s="44">
        <v>34</v>
      </c>
      <c r="F235" s="31">
        <v>2331238.204795897</v>
      </c>
      <c r="G235" s="31">
        <v>63051.360000000001</v>
      </c>
      <c r="H235" s="31">
        <v>0</v>
      </c>
      <c r="I235" s="31">
        <v>0</v>
      </c>
      <c r="J235" s="31">
        <v>174010.49802843464</v>
      </c>
      <c r="K235" s="31">
        <v>208816.82793112096</v>
      </c>
      <c r="L235" s="31">
        <v>69388.780261988024</v>
      </c>
      <c r="M235" s="31">
        <f t="shared" si="16"/>
        <v>2893012.3610174404</v>
      </c>
      <c r="N235" s="31">
        <v>46506.69</v>
      </c>
      <c r="P235" s="42" t="s">
        <v>575</v>
      </c>
      <c r="Q235" s="42" t="s">
        <v>576</v>
      </c>
      <c r="R235" s="43" t="s">
        <v>1050</v>
      </c>
      <c r="S235" s="44">
        <v>34</v>
      </c>
      <c r="T235" s="31">
        <v>2496498.8218890401</v>
      </c>
      <c r="U235" s="31">
        <v>68092.13</v>
      </c>
      <c r="V235" s="31">
        <v>0</v>
      </c>
      <c r="W235" s="31">
        <v>0</v>
      </c>
      <c r="X235" s="31">
        <v>186575.46473199443</v>
      </c>
      <c r="Y235" s="31">
        <v>209288.93911834669</v>
      </c>
      <c r="Z235" s="31">
        <v>74292.00158611557</v>
      </c>
      <c r="AA235" s="31">
        <f t="shared" si="17"/>
        <v>3083510.0273254965</v>
      </c>
      <c r="AB235" s="31">
        <v>48762.670000000006</v>
      </c>
      <c r="AD235" s="42" t="s">
        <v>575</v>
      </c>
      <c r="AE235" s="42" t="s">
        <v>576</v>
      </c>
      <c r="AF235" s="43" t="s">
        <v>1275</v>
      </c>
      <c r="AG235" s="44">
        <v>34</v>
      </c>
      <c r="AH235" s="31">
        <v>2579236.6067233887</v>
      </c>
      <c r="AI235" s="31">
        <v>69710.900000000009</v>
      </c>
      <c r="AJ235" s="31">
        <v>0</v>
      </c>
      <c r="AK235" s="31">
        <v>0</v>
      </c>
      <c r="AL235" s="31">
        <v>188320.52066420615</v>
      </c>
      <c r="AM235" s="31">
        <v>208930.26194734886</v>
      </c>
      <c r="AN235" s="31">
        <v>75602.751222853083</v>
      </c>
      <c r="AO235" s="31">
        <f t="shared" si="18"/>
        <v>3171429.1805577967</v>
      </c>
      <c r="AP235" s="31">
        <v>49628.14</v>
      </c>
      <c r="AR235" s="42" t="s">
        <v>575</v>
      </c>
      <c r="AS235" s="42" t="s">
        <v>576</v>
      </c>
      <c r="AT235" s="43" t="s">
        <v>1276</v>
      </c>
      <c r="AU235" s="44">
        <v>34</v>
      </c>
      <c r="AV235" s="31">
        <v>2649249.025323404</v>
      </c>
      <c r="AW235" s="31">
        <v>73210.489999999991</v>
      </c>
      <c r="AX235" s="31">
        <v>0</v>
      </c>
      <c r="AY235" s="31">
        <v>0</v>
      </c>
      <c r="AZ235" s="31">
        <v>190549.30665922037</v>
      </c>
      <c r="BA235" s="31">
        <v>208940.50986652024</v>
      </c>
      <c r="BB235" s="31">
        <v>77006.520784798951</v>
      </c>
      <c r="BC235" s="31">
        <f t="shared" si="19"/>
        <v>3249510.9226339436</v>
      </c>
      <c r="BD235" s="31">
        <v>50555.070000000007</v>
      </c>
    </row>
    <row r="236" spans="2:56">
      <c r="B236" s="42" t="s">
        <v>131</v>
      </c>
      <c r="C236" s="42" t="s">
        <v>132</v>
      </c>
      <c r="D236" s="43" t="s">
        <v>1049</v>
      </c>
      <c r="E236" s="44">
        <v>34</v>
      </c>
      <c r="F236" s="31">
        <v>14160607.708229315</v>
      </c>
      <c r="G236" s="31">
        <v>858665.33000000019</v>
      </c>
      <c r="H236" s="31">
        <v>1187631.99</v>
      </c>
      <c r="I236" s="31">
        <v>49306.030000000006</v>
      </c>
      <c r="J236" s="31">
        <v>2182986.048056474</v>
      </c>
      <c r="K236" s="31">
        <v>999305.80799200956</v>
      </c>
      <c r="L236" s="31">
        <v>1056994.416502313</v>
      </c>
      <c r="M236" s="31">
        <f t="shared" si="16"/>
        <v>21002004.650780112</v>
      </c>
      <c r="N236" s="31">
        <v>506507.31999999995</v>
      </c>
      <c r="P236" s="42" t="s">
        <v>131</v>
      </c>
      <c r="Q236" s="42" t="s">
        <v>132</v>
      </c>
      <c r="R236" s="43" t="s">
        <v>1050</v>
      </c>
      <c r="S236" s="44">
        <v>34</v>
      </c>
      <c r="T236" s="31">
        <v>15158178.875573177</v>
      </c>
      <c r="U236" s="31">
        <v>918460.39000000013</v>
      </c>
      <c r="V236" s="31">
        <v>1264720.1800000002</v>
      </c>
      <c r="W236" s="31">
        <v>52195.12</v>
      </c>
      <c r="X236" s="31">
        <v>2313656.2345116348</v>
      </c>
      <c r="Y236" s="31">
        <v>1001465.6758973056</v>
      </c>
      <c r="Z236" s="31">
        <v>1132704.7268671123</v>
      </c>
      <c r="AA236" s="31">
        <f t="shared" si="17"/>
        <v>22372347.432849232</v>
      </c>
      <c r="AB236" s="31">
        <v>530966.23</v>
      </c>
      <c r="AD236" s="42" t="s">
        <v>131</v>
      </c>
      <c r="AE236" s="42" t="s">
        <v>132</v>
      </c>
      <c r="AF236" s="43" t="s">
        <v>1275</v>
      </c>
      <c r="AG236" s="44">
        <v>34</v>
      </c>
      <c r="AH236" s="31">
        <v>15718953.682167258</v>
      </c>
      <c r="AI236" s="31">
        <v>949233.91999999993</v>
      </c>
      <c r="AJ236" s="31">
        <v>1286770.3700000001</v>
      </c>
      <c r="AK236" s="31">
        <v>53949.770000000011</v>
      </c>
      <c r="AL236" s="31">
        <v>2359016.1403338588</v>
      </c>
      <c r="AM236" s="31">
        <v>999824.75881895178</v>
      </c>
      <c r="AN236" s="31">
        <v>1152633.8201280227</v>
      </c>
      <c r="AO236" s="31">
        <f t="shared" si="18"/>
        <v>23060732.011448089</v>
      </c>
      <c r="AP236" s="31">
        <v>540349.55000000005</v>
      </c>
      <c r="AR236" s="42" t="s">
        <v>131</v>
      </c>
      <c r="AS236" s="42" t="s">
        <v>132</v>
      </c>
      <c r="AT236" s="43" t="s">
        <v>1276</v>
      </c>
      <c r="AU236" s="44">
        <v>34</v>
      </c>
      <c r="AV236" s="31">
        <v>16173357.107744042</v>
      </c>
      <c r="AW236" s="31">
        <v>975661.04</v>
      </c>
      <c r="AX236" s="31">
        <v>1310386.1400000001</v>
      </c>
      <c r="AY236" s="31">
        <v>55477.450000000004</v>
      </c>
      <c r="AZ236" s="31">
        <v>2402308.6017287844</v>
      </c>
      <c r="BA236" s="31">
        <v>999871.64216404769</v>
      </c>
      <c r="BB236" s="31">
        <v>1173977.2053572573</v>
      </c>
      <c r="BC236" s="31">
        <f t="shared" si="19"/>
        <v>23641438.276994132</v>
      </c>
      <c r="BD236" s="31">
        <v>550399.09000000008</v>
      </c>
    </row>
    <row r="237" spans="2:56">
      <c r="B237" s="42" t="s">
        <v>399</v>
      </c>
      <c r="C237" s="42" t="s">
        <v>400</v>
      </c>
      <c r="D237" s="43" t="s">
        <v>1049</v>
      </c>
      <c r="E237" s="44">
        <v>34</v>
      </c>
      <c r="F237" s="31">
        <v>7023403.7035549823</v>
      </c>
      <c r="G237" s="31">
        <v>214336.76</v>
      </c>
      <c r="H237" s="31">
        <v>92459.000000000015</v>
      </c>
      <c r="I237" s="31">
        <v>24138.46</v>
      </c>
      <c r="J237" s="31">
        <v>1044378.8546325611</v>
      </c>
      <c r="K237" s="31">
        <v>375674.80553536693</v>
      </c>
      <c r="L237" s="31">
        <v>228763.52704134208</v>
      </c>
      <c r="M237" s="31">
        <f t="shared" si="16"/>
        <v>9003155.110764252</v>
      </c>
      <c r="N237" s="31">
        <v>0</v>
      </c>
      <c r="P237" s="42" t="s">
        <v>399</v>
      </c>
      <c r="Q237" s="42" t="s">
        <v>400</v>
      </c>
      <c r="R237" s="43" t="s">
        <v>1050</v>
      </c>
      <c r="S237" s="44">
        <v>34</v>
      </c>
      <c r="T237" s="31">
        <v>7474798.6072045444</v>
      </c>
      <c r="U237" s="31">
        <v>227399.72</v>
      </c>
      <c r="V237" s="31">
        <v>98390.8</v>
      </c>
      <c r="W237" s="31">
        <v>25572.440000000002</v>
      </c>
      <c r="X237" s="31">
        <v>1108488.98690821</v>
      </c>
      <c r="Y237" s="31">
        <v>376560.32697542629</v>
      </c>
      <c r="Z237" s="31">
        <v>242735.90183738538</v>
      </c>
      <c r="AA237" s="31">
        <f t="shared" si="17"/>
        <v>9553946.7829255667</v>
      </c>
      <c r="AB237" s="31">
        <v>0</v>
      </c>
      <c r="AD237" s="42" t="s">
        <v>399</v>
      </c>
      <c r="AE237" s="42" t="s">
        <v>400</v>
      </c>
      <c r="AF237" s="43" t="s">
        <v>1275</v>
      </c>
      <c r="AG237" s="44">
        <v>34</v>
      </c>
      <c r="AH237" s="31">
        <v>7436244.5032978961</v>
      </c>
      <c r="AI237" s="31">
        <v>224532.46</v>
      </c>
      <c r="AJ237" s="31">
        <v>100129.35</v>
      </c>
      <c r="AK237" s="31">
        <v>25324.09</v>
      </c>
      <c r="AL237" s="31">
        <v>1127949.4568697009</v>
      </c>
      <c r="AM237" s="31">
        <v>375873.2998090763</v>
      </c>
      <c r="AN237" s="31">
        <v>247049.64134415227</v>
      </c>
      <c r="AO237" s="31">
        <f t="shared" si="18"/>
        <v>9537102.8013208248</v>
      </c>
      <c r="AP237" s="31">
        <v>0</v>
      </c>
      <c r="AR237" s="42" t="s">
        <v>399</v>
      </c>
      <c r="AS237" s="42" t="s">
        <v>400</v>
      </c>
      <c r="AT237" s="43" t="s">
        <v>1276</v>
      </c>
      <c r="AU237" s="44">
        <v>34</v>
      </c>
      <c r="AV237" s="31">
        <v>7478772.207926197</v>
      </c>
      <c r="AW237" s="31">
        <v>224428.47</v>
      </c>
      <c r="AX237" s="31">
        <v>101991.32</v>
      </c>
      <c r="AY237" s="31">
        <v>25319.530000000002</v>
      </c>
      <c r="AZ237" s="31">
        <v>1149623.9519317427</v>
      </c>
      <c r="BA237" s="31">
        <v>375892.9291566863</v>
      </c>
      <c r="BB237" s="31">
        <v>251669.52204409958</v>
      </c>
      <c r="BC237" s="31">
        <f t="shared" si="19"/>
        <v>9607697.9310587272</v>
      </c>
      <c r="BD237" s="31">
        <v>0</v>
      </c>
    </row>
    <row r="238" spans="2:56">
      <c r="B238" s="42" t="s">
        <v>159</v>
      </c>
      <c r="C238" s="42" t="s">
        <v>160</v>
      </c>
      <c r="D238" s="43" t="s">
        <v>1049</v>
      </c>
      <c r="E238" s="44">
        <v>34</v>
      </c>
      <c r="F238" s="31">
        <v>589584.46309245448</v>
      </c>
      <c r="G238" s="31">
        <v>21145.090000000004</v>
      </c>
      <c r="H238" s="31">
        <v>0</v>
      </c>
      <c r="I238" s="31">
        <v>0</v>
      </c>
      <c r="J238" s="31">
        <v>68115.135744228697</v>
      </c>
      <c r="K238" s="31">
        <v>0</v>
      </c>
      <c r="L238" s="31">
        <v>0</v>
      </c>
      <c r="M238" s="31">
        <f t="shared" si="16"/>
        <v>694240.62883668323</v>
      </c>
      <c r="N238" s="31">
        <v>15395.940000000002</v>
      </c>
      <c r="P238" s="42" t="s">
        <v>159</v>
      </c>
      <c r="Q238" s="42" t="s">
        <v>160</v>
      </c>
      <c r="R238" s="43" t="s">
        <v>1050</v>
      </c>
      <c r="S238" s="44">
        <v>34</v>
      </c>
      <c r="T238" s="31">
        <v>619620.54018778936</v>
      </c>
      <c r="U238" s="31">
        <v>21528.249999999993</v>
      </c>
      <c r="V238" s="31">
        <v>0</v>
      </c>
      <c r="W238" s="31">
        <v>0</v>
      </c>
      <c r="X238" s="31">
        <v>74029.258645946247</v>
      </c>
      <c r="Y238" s="31">
        <v>0</v>
      </c>
      <c r="Z238" s="31">
        <v>0</v>
      </c>
      <c r="AA238" s="31">
        <f t="shared" si="17"/>
        <v>731317.45883373567</v>
      </c>
      <c r="AB238" s="31">
        <v>16139.410000000002</v>
      </c>
      <c r="AD238" s="42" t="s">
        <v>159</v>
      </c>
      <c r="AE238" s="42" t="s">
        <v>160</v>
      </c>
      <c r="AF238" s="43" t="s">
        <v>1275</v>
      </c>
      <c r="AG238" s="44">
        <v>34</v>
      </c>
      <c r="AH238" s="31">
        <v>630390.35537549795</v>
      </c>
      <c r="AI238" s="31">
        <v>21899.77</v>
      </c>
      <c r="AJ238" s="31">
        <v>0</v>
      </c>
      <c r="AK238" s="31">
        <v>0</v>
      </c>
      <c r="AL238" s="31">
        <v>75327.102794976134</v>
      </c>
      <c r="AM238" s="31">
        <v>0</v>
      </c>
      <c r="AN238" s="31">
        <v>0</v>
      </c>
      <c r="AO238" s="31">
        <f t="shared" si="18"/>
        <v>744041.84817047406</v>
      </c>
      <c r="AP238" s="31">
        <v>16424.62</v>
      </c>
      <c r="AR238" s="42" t="s">
        <v>159</v>
      </c>
      <c r="AS238" s="42" t="s">
        <v>160</v>
      </c>
      <c r="AT238" s="43" t="s">
        <v>1276</v>
      </c>
      <c r="AU238" s="44">
        <v>34</v>
      </c>
      <c r="AV238" s="31">
        <v>641924.93349003373</v>
      </c>
      <c r="AW238" s="31">
        <v>22297.66</v>
      </c>
      <c r="AX238" s="31">
        <v>0</v>
      </c>
      <c r="AY238" s="31">
        <v>0</v>
      </c>
      <c r="AZ238" s="31">
        <v>76717.076919732572</v>
      </c>
      <c r="BA238" s="31">
        <v>0</v>
      </c>
      <c r="BB238" s="31">
        <v>0</v>
      </c>
      <c r="BC238" s="31">
        <f t="shared" si="19"/>
        <v>757669.76040976634</v>
      </c>
      <c r="BD238" s="31">
        <v>16730.09</v>
      </c>
    </row>
    <row r="239" spans="2:56">
      <c r="B239" s="42" t="s">
        <v>183</v>
      </c>
      <c r="C239" s="42" t="s">
        <v>184</v>
      </c>
      <c r="D239" s="43" t="s">
        <v>1049</v>
      </c>
      <c r="E239" s="44">
        <v>34</v>
      </c>
      <c r="F239" s="31">
        <v>477953237.82958293</v>
      </c>
      <c r="G239" s="31">
        <v>14768384.830000002</v>
      </c>
      <c r="H239" s="31">
        <v>11584599.030000001</v>
      </c>
      <c r="I239" s="31">
        <v>0</v>
      </c>
      <c r="J239" s="31">
        <v>70992859.906978413</v>
      </c>
      <c r="K239" s="31">
        <v>35373539.357970014</v>
      </c>
      <c r="L239" s="31">
        <v>18348204.728756111</v>
      </c>
      <c r="M239" s="31">
        <f t="shared" si="16"/>
        <v>633735583.92328739</v>
      </c>
      <c r="N239" s="31">
        <v>4714758.2399999993</v>
      </c>
      <c r="P239" s="42" t="s">
        <v>183</v>
      </c>
      <c r="Q239" s="42" t="s">
        <v>184</v>
      </c>
      <c r="R239" s="43" t="s">
        <v>1050</v>
      </c>
      <c r="S239" s="44">
        <v>34</v>
      </c>
      <c r="T239" s="31">
        <v>538534843.72068572</v>
      </c>
      <c r="U239" s="31">
        <v>16626129.630000003</v>
      </c>
      <c r="V239" s="31">
        <v>12324058.450000001</v>
      </c>
      <c r="W239" s="31">
        <v>0</v>
      </c>
      <c r="X239" s="31">
        <v>75450013.718757182</v>
      </c>
      <c r="Y239" s="31">
        <v>35460838.509847924</v>
      </c>
      <c r="Z239" s="31">
        <v>19466073.085588969</v>
      </c>
      <c r="AA239" s="31">
        <f t="shared" si="17"/>
        <v>702808545.7648797</v>
      </c>
      <c r="AB239" s="31">
        <v>4946588.6499999994</v>
      </c>
      <c r="AD239" s="42" t="s">
        <v>183</v>
      </c>
      <c r="AE239" s="42" t="s">
        <v>184</v>
      </c>
      <c r="AF239" s="43" t="s">
        <v>1275</v>
      </c>
      <c r="AG239" s="44">
        <v>34</v>
      </c>
      <c r="AH239" s="31">
        <v>548768132.80970347</v>
      </c>
      <c r="AI239" s="31">
        <v>16920931.629999999</v>
      </c>
      <c r="AJ239" s="31">
        <v>12543072.160000002</v>
      </c>
      <c r="AK239" s="31">
        <v>0</v>
      </c>
      <c r="AL239" s="31">
        <v>76857930.012430429</v>
      </c>
      <c r="AM239" s="31">
        <v>35392473.061968103</v>
      </c>
      <c r="AN239" s="31">
        <v>19813510.362387151</v>
      </c>
      <c r="AO239" s="31">
        <f t="shared" si="18"/>
        <v>715331577.25648916</v>
      </c>
      <c r="AP239" s="31">
        <v>5035527.22</v>
      </c>
      <c r="AR239" s="42" t="s">
        <v>183</v>
      </c>
      <c r="AS239" s="42" t="s">
        <v>184</v>
      </c>
      <c r="AT239" s="43" t="s">
        <v>1276</v>
      </c>
      <c r="AU239" s="44">
        <v>34</v>
      </c>
      <c r="AV239" s="31">
        <v>561652201.15812922</v>
      </c>
      <c r="AW239" s="31">
        <v>17254338.239999998</v>
      </c>
      <c r="AX239" s="31">
        <v>12777635.83</v>
      </c>
      <c r="AY239" s="31">
        <v>0</v>
      </c>
      <c r="AZ239" s="31">
        <v>78551428.133409262</v>
      </c>
      <c r="BA239" s="31">
        <v>35394426.360478953</v>
      </c>
      <c r="BB239" s="31">
        <v>20185605.400486</v>
      </c>
      <c r="BC239" s="31">
        <f t="shared" si="19"/>
        <v>730946415.56250358</v>
      </c>
      <c r="BD239" s="31">
        <v>5130780.4400000004</v>
      </c>
    </row>
    <row r="240" spans="2:56">
      <c r="B240" s="42" t="s">
        <v>405</v>
      </c>
      <c r="C240" s="42" t="s">
        <v>406</v>
      </c>
      <c r="D240" s="43" t="s">
        <v>1049</v>
      </c>
      <c r="E240" s="44">
        <v>34</v>
      </c>
      <c r="F240" s="31">
        <v>37197884.830767311</v>
      </c>
      <c r="G240" s="31">
        <v>1524495.74</v>
      </c>
      <c r="H240" s="31">
        <v>570056.01</v>
      </c>
      <c r="I240" s="31">
        <v>132977.16</v>
      </c>
      <c r="J240" s="31">
        <v>6108029.4582347209</v>
      </c>
      <c r="K240" s="31">
        <v>3133936.2588345404</v>
      </c>
      <c r="L240" s="31">
        <v>3161633.2030189871</v>
      </c>
      <c r="M240" s="31">
        <f t="shared" si="16"/>
        <v>52512756.590855554</v>
      </c>
      <c r="N240" s="31">
        <v>683743.92999999993</v>
      </c>
      <c r="P240" s="42" t="s">
        <v>405</v>
      </c>
      <c r="Q240" s="42" t="s">
        <v>406</v>
      </c>
      <c r="R240" s="43" t="s">
        <v>1050</v>
      </c>
      <c r="S240" s="44">
        <v>34</v>
      </c>
      <c r="T240" s="31">
        <v>40184140.370957613</v>
      </c>
      <c r="U240" s="31">
        <v>1640297.6399999997</v>
      </c>
      <c r="V240" s="31">
        <v>606628.60999999987</v>
      </c>
      <c r="W240" s="31">
        <v>142196.50999999998</v>
      </c>
      <c r="X240" s="31">
        <v>6464922.1562642911</v>
      </c>
      <c r="Y240" s="31">
        <v>3141136.5696168379</v>
      </c>
      <c r="Z240" s="31">
        <v>3387660.5263316021</v>
      </c>
      <c r="AA240" s="31">
        <f t="shared" si="17"/>
        <v>56284165.093170345</v>
      </c>
      <c r="AB240" s="31">
        <v>717182.71</v>
      </c>
      <c r="AD240" s="42" t="s">
        <v>405</v>
      </c>
      <c r="AE240" s="42" t="s">
        <v>406</v>
      </c>
      <c r="AF240" s="43" t="s">
        <v>1275</v>
      </c>
      <c r="AG240" s="44">
        <v>34</v>
      </c>
      <c r="AH240" s="31">
        <v>44442089.358313695</v>
      </c>
      <c r="AI240" s="31">
        <v>1797613.0899999999</v>
      </c>
      <c r="AJ240" s="31">
        <v>617347.6</v>
      </c>
      <c r="AK240" s="31">
        <v>155912.37000000002</v>
      </c>
      <c r="AL240" s="31">
        <v>6597161.1173478598</v>
      </c>
      <c r="AM240" s="31">
        <v>3135550.2462486881</v>
      </c>
      <c r="AN240" s="31">
        <v>3447859.8903592341</v>
      </c>
      <c r="AO240" s="31">
        <f t="shared" si="18"/>
        <v>60923544.70226948</v>
      </c>
      <c r="AP240" s="31">
        <v>730011.02999999991</v>
      </c>
      <c r="AR240" s="42" t="s">
        <v>405</v>
      </c>
      <c r="AS240" s="42" t="s">
        <v>406</v>
      </c>
      <c r="AT240" s="43" t="s">
        <v>1276</v>
      </c>
      <c r="AU240" s="44">
        <v>34</v>
      </c>
      <c r="AV240" s="31">
        <v>45415773.064016595</v>
      </c>
      <c r="AW240" s="31">
        <v>1833967.61</v>
      </c>
      <c r="AX240" s="31">
        <v>628827.62999999989</v>
      </c>
      <c r="AY240" s="31">
        <v>159049.42999999996</v>
      </c>
      <c r="AZ240" s="31">
        <v>6726497.1537939776</v>
      </c>
      <c r="BA240" s="31">
        <v>3135709.8554877779</v>
      </c>
      <c r="BB240" s="31">
        <v>3512331.552809427</v>
      </c>
      <c r="BC240" s="31">
        <f t="shared" si="19"/>
        <v>62155906.476107776</v>
      </c>
      <c r="BD240" s="31">
        <v>743750.17999999993</v>
      </c>
    </row>
    <row r="241" spans="2:56">
      <c r="B241" s="42" t="s">
        <v>589</v>
      </c>
      <c r="C241" s="42" t="s">
        <v>590</v>
      </c>
      <c r="D241" s="43" t="s">
        <v>1049</v>
      </c>
      <c r="E241" s="44">
        <v>34</v>
      </c>
      <c r="F241" s="31">
        <v>28108607.672062058</v>
      </c>
      <c r="G241" s="31">
        <v>1253210.9499999997</v>
      </c>
      <c r="H241" s="31">
        <v>503584.03</v>
      </c>
      <c r="I241" s="31">
        <v>101535.32</v>
      </c>
      <c r="J241" s="31">
        <v>4164286.8609550134</v>
      </c>
      <c r="K241" s="31">
        <v>1466585.2283557919</v>
      </c>
      <c r="L241" s="31">
        <v>3499567.8401930635</v>
      </c>
      <c r="M241" s="31">
        <f t="shared" si="16"/>
        <v>39803935.151565932</v>
      </c>
      <c r="N241" s="31">
        <v>706557.25000000012</v>
      </c>
      <c r="P241" s="42" t="s">
        <v>589</v>
      </c>
      <c r="Q241" s="42" t="s">
        <v>590</v>
      </c>
      <c r="R241" s="43" t="s">
        <v>1050</v>
      </c>
      <c r="S241" s="44">
        <v>34</v>
      </c>
      <c r="T241" s="31">
        <v>30665941.152909353</v>
      </c>
      <c r="U241" s="31">
        <v>1362590.1799999997</v>
      </c>
      <c r="V241" s="31">
        <v>536271.24000000011</v>
      </c>
      <c r="W241" s="31">
        <v>109371.09</v>
      </c>
      <c r="X241" s="31">
        <v>4411482.3979079816</v>
      </c>
      <c r="Y241" s="31">
        <v>1469016.3339810567</v>
      </c>
      <c r="Z241" s="31">
        <v>3750484.3686194662</v>
      </c>
      <c r="AA241" s="31">
        <f t="shared" si="17"/>
        <v>43045833.193417855</v>
      </c>
      <c r="AB241" s="31">
        <v>740676.43</v>
      </c>
      <c r="AD241" s="42" t="s">
        <v>589</v>
      </c>
      <c r="AE241" s="42" t="s">
        <v>590</v>
      </c>
      <c r="AF241" s="43" t="s">
        <v>1275</v>
      </c>
      <c r="AG241" s="44">
        <v>34</v>
      </c>
      <c r="AH241" s="31">
        <v>31430706.044986982</v>
      </c>
      <c r="AI241" s="31">
        <v>1394828.2200000002</v>
      </c>
      <c r="AJ241" s="31">
        <v>545621.03000000014</v>
      </c>
      <c r="AK241" s="31">
        <v>112017.02000000002</v>
      </c>
      <c r="AL241" s="31">
        <v>4488715.3411090905</v>
      </c>
      <c r="AM241" s="31">
        <v>1467169.3493900097</v>
      </c>
      <c r="AN241" s="31">
        <v>3816471.9425657429</v>
      </c>
      <c r="AO241" s="31">
        <f t="shared" si="18"/>
        <v>44009294.738051824</v>
      </c>
      <c r="AP241" s="31">
        <v>753765.79</v>
      </c>
      <c r="AR241" s="42" t="s">
        <v>589</v>
      </c>
      <c r="AS241" s="42" t="s">
        <v>590</v>
      </c>
      <c r="AT241" s="43" t="s">
        <v>1276</v>
      </c>
      <c r="AU241" s="44">
        <v>34</v>
      </c>
      <c r="AV241" s="31">
        <v>32146516.462720316</v>
      </c>
      <c r="AW241" s="31">
        <v>1425187.77</v>
      </c>
      <c r="AX241" s="31">
        <v>555634.67000000004</v>
      </c>
      <c r="AY241" s="31">
        <v>114502.9</v>
      </c>
      <c r="AZ241" s="31">
        <v>4571458.2766105365</v>
      </c>
      <c r="BA241" s="31">
        <v>1467222.1203783252</v>
      </c>
      <c r="BB241" s="31">
        <v>3887142.4038826032</v>
      </c>
      <c r="BC241" s="31">
        <f t="shared" si="19"/>
        <v>44935449.093591779</v>
      </c>
      <c r="BD241" s="31">
        <v>767784.49000000011</v>
      </c>
    </row>
    <row r="242" spans="2:56">
      <c r="B242" s="42" t="s">
        <v>359</v>
      </c>
      <c r="C242" s="42" t="s">
        <v>360</v>
      </c>
      <c r="D242" s="43" t="s">
        <v>1049</v>
      </c>
      <c r="E242" s="44">
        <v>34</v>
      </c>
      <c r="F242" s="31">
        <v>2794385.5840173634</v>
      </c>
      <c r="G242" s="31">
        <v>85164.94</v>
      </c>
      <c r="H242" s="31">
        <v>0</v>
      </c>
      <c r="I242" s="31">
        <v>0</v>
      </c>
      <c r="J242" s="31">
        <v>339634.73523737455</v>
      </c>
      <c r="K242" s="31">
        <v>367129.02046780358</v>
      </c>
      <c r="L242" s="31">
        <v>160532.68136006183</v>
      </c>
      <c r="M242" s="31">
        <f t="shared" si="16"/>
        <v>3796542.7510826034</v>
      </c>
      <c r="N242" s="31">
        <v>49695.79</v>
      </c>
      <c r="P242" s="42" t="s">
        <v>359</v>
      </c>
      <c r="Q242" s="42" t="s">
        <v>360</v>
      </c>
      <c r="R242" s="43" t="s">
        <v>1050</v>
      </c>
      <c r="S242" s="44">
        <v>34</v>
      </c>
      <c r="T242" s="31">
        <v>2914008.14026854</v>
      </c>
      <c r="U242" s="31">
        <v>92971.62</v>
      </c>
      <c r="V242" s="31">
        <v>0</v>
      </c>
      <c r="W242" s="31">
        <v>0</v>
      </c>
      <c r="X242" s="31">
        <v>358259.37233483553</v>
      </c>
      <c r="Y242" s="31">
        <v>367983.92952311435</v>
      </c>
      <c r="Z242" s="31">
        <v>171956.88003119064</v>
      </c>
      <c r="AA242" s="31">
        <f t="shared" si="17"/>
        <v>3957275.5021576812</v>
      </c>
      <c r="AB242" s="31">
        <v>52095.56</v>
      </c>
      <c r="AD242" s="42" t="s">
        <v>359</v>
      </c>
      <c r="AE242" s="42" t="s">
        <v>360</v>
      </c>
      <c r="AF242" s="43" t="s">
        <v>1275</v>
      </c>
      <c r="AG242" s="44">
        <v>34</v>
      </c>
      <c r="AH242" s="31">
        <v>2960462.9799174173</v>
      </c>
      <c r="AI242" s="31">
        <v>93418.859999999971</v>
      </c>
      <c r="AJ242" s="31">
        <v>0</v>
      </c>
      <c r="AK242" s="31">
        <v>0</v>
      </c>
      <c r="AL242" s="31">
        <v>366210.56754521572</v>
      </c>
      <c r="AM242" s="31">
        <v>367334.42921531358</v>
      </c>
      <c r="AN242" s="31">
        <v>174982.31865505129</v>
      </c>
      <c r="AO242" s="31">
        <f t="shared" si="18"/>
        <v>4015425.3553329976</v>
      </c>
      <c r="AP242" s="31">
        <v>53016.2</v>
      </c>
      <c r="AR242" s="42" t="s">
        <v>359</v>
      </c>
      <c r="AS242" s="42" t="s">
        <v>360</v>
      </c>
      <c r="AT242" s="43" t="s">
        <v>1276</v>
      </c>
      <c r="AU242" s="44">
        <v>34</v>
      </c>
      <c r="AV242" s="31">
        <v>3023217.0372023238</v>
      </c>
      <c r="AW242" s="31">
        <v>96733.050000000017</v>
      </c>
      <c r="AX242" s="31">
        <v>0</v>
      </c>
      <c r="AY242" s="31">
        <v>0</v>
      </c>
      <c r="AZ242" s="31">
        <v>371753.01228862535</v>
      </c>
      <c r="BA242" s="31">
        <v>367352.98636696499</v>
      </c>
      <c r="BB242" s="31">
        <v>178222.46120160597</v>
      </c>
      <c r="BC242" s="31">
        <f t="shared" si="19"/>
        <v>4091280.7570595196</v>
      </c>
      <c r="BD242" s="31">
        <v>54002.209999999992</v>
      </c>
    </row>
    <row r="243" spans="2:56">
      <c r="B243" s="42" t="s">
        <v>47</v>
      </c>
      <c r="C243" s="42" t="s">
        <v>48</v>
      </c>
      <c r="D243" s="43" t="s">
        <v>1049</v>
      </c>
      <c r="E243" s="44">
        <v>34</v>
      </c>
      <c r="F243" s="31">
        <v>20965881.816185206</v>
      </c>
      <c r="G243" s="31">
        <v>742324.72999999986</v>
      </c>
      <c r="H243" s="31">
        <v>78900.87</v>
      </c>
      <c r="I243" s="31">
        <v>75309.789999999994</v>
      </c>
      <c r="J243" s="31">
        <v>3468020.9466406424</v>
      </c>
      <c r="K243" s="31">
        <v>1313146.1157302801</v>
      </c>
      <c r="L243" s="31">
        <v>2078332.1431228213</v>
      </c>
      <c r="M243" s="31">
        <f t="shared" si="16"/>
        <v>28721916.411678948</v>
      </c>
      <c r="N243" s="31">
        <v>0</v>
      </c>
      <c r="P243" s="42" t="s">
        <v>47</v>
      </c>
      <c r="Q243" s="42" t="s">
        <v>48</v>
      </c>
      <c r="R243" s="43" t="s">
        <v>1050</v>
      </c>
      <c r="S243" s="44">
        <v>34</v>
      </c>
      <c r="T243" s="31">
        <v>23431213.674955864</v>
      </c>
      <c r="U243" s="31">
        <v>826803.93</v>
      </c>
      <c r="V243" s="31">
        <v>83991.05</v>
      </c>
      <c r="W243" s="31">
        <v>83881.83</v>
      </c>
      <c r="X243" s="31">
        <v>3670367.4418532867</v>
      </c>
      <c r="Y243" s="31">
        <v>1315390.0608106263</v>
      </c>
      <c r="Z243" s="31">
        <v>2205660.5670685023</v>
      </c>
      <c r="AA243" s="31">
        <f t="shared" si="17"/>
        <v>31617308.554688275</v>
      </c>
      <c r="AB243" s="31">
        <v>0</v>
      </c>
      <c r="AD243" s="42" t="s">
        <v>47</v>
      </c>
      <c r="AE243" s="42" t="s">
        <v>48</v>
      </c>
      <c r="AF243" s="43" t="s">
        <v>1275</v>
      </c>
      <c r="AG243" s="44">
        <v>34</v>
      </c>
      <c r="AH243" s="31">
        <v>24106948.582980864</v>
      </c>
      <c r="AI243" s="31">
        <v>848545.09000000008</v>
      </c>
      <c r="AJ243" s="31">
        <v>85465.79</v>
      </c>
      <c r="AK243" s="31">
        <v>86021.470000000016</v>
      </c>
      <c r="AL243" s="31">
        <v>3737558.9087186274</v>
      </c>
      <c r="AM243" s="31">
        <v>1313666.5598079315</v>
      </c>
      <c r="AN243" s="31">
        <v>2244673.1424632263</v>
      </c>
      <c r="AO243" s="31">
        <f t="shared" si="18"/>
        <v>32422879.543970644</v>
      </c>
      <c r="AP243" s="31">
        <v>0</v>
      </c>
      <c r="AR243" s="42" t="s">
        <v>47</v>
      </c>
      <c r="AS243" s="42" t="s">
        <v>48</v>
      </c>
      <c r="AT243" s="43" t="s">
        <v>1276</v>
      </c>
      <c r="AU243" s="44">
        <v>34</v>
      </c>
      <c r="AV243" s="31">
        <v>24634333.617412083</v>
      </c>
      <c r="AW243" s="31">
        <v>864905.64</v>
      </c>
      <c r="AX243" s="31">
        <v>87045.219999999987</v>
      </c>
      <c r="AY243" s="31">
        <v>87724.37000000001</v>
      </c>
      <c r="AZ243" s="31">
        <v>3812461.9252869887</v>
      </c>
      <c r="BA243" s="31">
        <v>1313715.802693723</v>
      </c>
      <c r="BB243" s="31">
        <v>2286454.340380576</v>
      </c>
      <c r="BC243" s="31">
        <f t="shared" si="19"/>
        <v>33086640.915773373</v>
      </c>
      <c r="BD243" s="31">
        <v>0</v>
      </c>
    </row>
    <row r="244" spans="2:56">
      <c r="B244" s="42" t="s">
        <v>393</v>
      </c>
      <c r="C244" s="42" t="s">
        <v>394</v>
      </c>
      <c r="D244" s="43" t="s">
        <v>1049</v>
      </c>
      <c r="E244" s="44">
        <v>34</v>
      </c>
      <c r="F244" s="31">
        <v>385656.21220553294</v>
      </c>
      <c r="G244" s="31">
        <v>0</v>
      </c>
      <c r="H244" s="31">
        <v>0</v>
      </c>
      <c r="I244" s="31">
        <v>0</v>
      </c>
      <c r="J244" s="31">
        <v>0</v>
      </c>
      <c r="K244" s="31">
        <v>0</v>
      </c>
      <c r="L244" s="31">
        <v>0</v>
      </c>
      <c r="M244" s="31">
        <f t="shared" si="16"/>
        <v>385656.21220553294</v>
      </c>
      <c r="N244" s="31">
        <v>0</v>
      </c>
      <c r="P244" s="42" t="s">
        <v>393</v>
      </c>
      <c r="Q244" s="42" t="s">
        <v>394</v>
      </c>
      <c r="R244" s="43" t="s">
        <v>1050</v>
      </c>
      <c r="S244" s="44">
        <v>34</v>
      </c>
      <c r="T244" s="31">
        <v>412090.88516917126</v>
      </c>
      <c r="U244" s="31">
        <v>0</v>
      </c>
      <c r="V244" s="31">
        <v>0</v>
      </c>
      <c r="W244" s="31">
        <v>0</v>
      </c>
      <c r="X244" s="31">
        <v>0</v>
      </c>
      <c r="Y244" s="31">
        <v>0</v>
      </c>
      <c r="Z244" s="31">
        <v>0</v>
      </c>
      <c r="AA244" s="31">
        <f t="shared" si="17"/>
        <v>412090.88516917126</v>
      </c>
      <c r="AB244" s="31">
        <v>0</v>
      </c>
      <c r="AD244" s="42" t="s">
        <v>393</v>
      </c>
      <c r="AE244" s="42" t="s">
        <v>394</v>
      </c>
      <c r="AF244" s="43" t="s">
        <v>1275</v>
      </c>
      <c r="AG244" s="44">
        <v>34</v>
      </c>
      <c r="AH244" s="31">
        <v>436166.94733219966</v>
      </c>
      <c r="AI244" s="31">
        <v>0</v>
      </c>
      <c r="AJ244" s="31">
        <v>0</v>
      </c>
      <c r="AK244" s="31">
        <v>0</v>
      </c>
      <c r="AL244" s="31">
        <v>0</v>
      </c>
      <c r="AM244" s="31">
        <v>0</v>
      </c>
      <c r="AN244" s="31">
        <v>0</v>
      </c>
      <c r="AO244" s="31">
        <f t="shared" si="18"/>
        <v>436166.94733219966</v>
      </c>
      <c r="AP244" s="31">
        <v>0</v>
      </c>
      <c r="AR244" s="42" t="s">
        <v>393</v>
      </c>
      <c r="AS244" s="42" t="s">
        <v>394</v>
      </c>
      <c r="AT244" s="43" t="s">
        <v>1276</v>
      </c>
      <c r="AU244" s="44">
        <v>34</v>
      </c>
      <c r="AV244" s="31">
        <v>410757.17000406305</v>
      </c>
      <c r="AW244" s="31">
        <v>0</v>
      </c>
      <c r="AX244" s="31">
        <v>0</v>
      </c>
      <c r="AY244" s="31">
        <v>0</v>
      </c>
      <c r="AZ244" s="31">
        <v>0</v>
      </c>
      <c r="BA244" s="31">
        <v>0</v>
      </c>
      <c r="BB244" s="31">
        <v>0</v>
      </c>
      <c r="BC244" s="31">
        <f t="shared" si="19"/>
        <v>410757.17000406305</v>
      </c>
      <c r="BD244" s="31">
        <v>0</v>
      </c>
    </row>
    <row r="245" spans="2:56">
      <c r="B245" s="42" t="s">
        <v>317</v>
      </c>
      <c r="C245" s="42" t="s">
        <v>318</v>
      </c>
      <c r="D245" s="43" t="s">
        <v>1049</v>
      </c>
      <c r="E245" s="44">
        <v>34</v>
      </c>
      <c r="F245" s="31">
        <v>30583704.594515305</v>
      </c>
      <c r="G245" s="31">
        <v>1795090.0099999998</v>
      </c>
      <c r="H245" s="31">
        <v>1329118.8400000001</v>
      </c>
      <c r="I245" s="31">
        <v>120049.43999999999</v>
      </c>
      <c r="J245" s="31">
        <v>5465182.0350810001</v>
      </c>
      <c r="K245" s="31">
        <v>3080770.5080781579</v>
      </c>
      <c r="L245" s="31">
        <v>7001494.2626352645</v>
      </c>
      <c r="M245" s="31">
        <f t="shared" si="16"/>
        <v>50606501.140309736</v>
      </c>
      <c r="N245" s="31">
        <v>1231091.4500000002</v>
      </c>
      <c r="P245" s="42" t="s">
        <v>317</v>
      </c>
      <c r="Q245" s="42" t="s">
        <v>318</v>
      </c>
      <c r="R245" s="43" t="s">
        <v>1050</v>
      </c>
      <c r="S245" s="44">
        <v>34</v>
      </c>
      <c r="T245" s="31">
        <v>33114340.472970195</v>
      </c>
      <c r="U245" s="31">
        <v>1944312.82</v>
      </c>
      <c r="V245" s="31">
        <v>1415390.81</v>
      </c>
      <c r="W245" s="31">
        <v>128671.88999999998</v>
      </c>
      <c r="X245" s="31">
        <v>5785090.7078649886</v>
      </c>
      <c r="Y245" s="31">
        <v>3088633.7069353103</v>
      </c>
      <c r="Z245" s="31">
        <v>7503327.0748796742</v>
      </c>
      <c r="AA245" s="31">
        <f t="shared" si="17"/>
        <v>54270307.522650167</v>
      </c>
      <c r="AB245" s="31">
        <v>1290540.0399999998</v>
      </c>
      <c r="AD245" s="42" t="s">
        <v>317</v>
      </c>
      <c r="AE245" s="42" t="s">
        <v>318</v>
      </c>
      <c r="AF245" s="43" t="s">
        <v>1275</v>
      </c>
      <c r="AG245" s="44">
        <v>34</v>
      </c>
      <c r="AH245" s="31">
        <v>33716670.250365786</v>
      </c>
      <c r="AI245" s="31">
        <v>1977905.3300000005</v>
      </c>
      <c r="AJ245" s="31">
        <v>1440067.92</v>
      </c>
      <c r="AK245" s="31">
        <v>130915.26999999999</v>
      </c>
      <c r="AL245" s="31">
        <v>5886747.2185100168</v>
      </c>
      <c r="AM245" s="31">
        <v>3082659.7965570157</v>
      </c>
      <c r="AN245" s="31">
        <v>7635343.4434282556</v>
      </c>
      <c r="AO245" s="31">
        <f t="shared" si="18"/>
        <v>55183655.908861078</v>
      </c>
      <c r="AP245" s="31">
        <v>1313346.6799999997</v>
      </c>
      <c r="AR245" s="42" t="s">
        <v>317</v>
      </c>
      <c r="AS245" s="42" t="s">
        <v>318</v>
      </c>
      <c r="AT245" s="43" t="s">
        <v>1276</v>
      </c>
      <c r="AU245" s="44">
        <v>34</v>
      </c>
      <c r="AV245" s="31">
        <v>34360412.020415336</v>
      </c>
      <c r="AW245" s="31">
        <v>2013882.9</v>
      </c>
      <c r="AX245" s="31">
        <v>1466497.1099999999</v>
      </c>
      <c r="AY245" s="31">
        <v>133317.92999999996</v>
      </c>
      <c r="AZ245" s="31">
        <v>5995621.1140263919</v>
      </c>
      <c r="BA245" s="31">
        <v>3082830.4797106818</v>
      </c>
      <c r="BB245" s="31">
        <v>7776728.5121959858</v>
      </c>
      <c r="BC245" s="31">
        <f t="shared" si="19"/>
        <v>56167062.66634839</v>
      </c>
      <c r="BD245" s="31">
        <v>1337772.6000000001</v>
      </c>
    </row>
    <row r="246" spans="2:56">
      <c r="B246" s="42" t="s">
        <v>213</v>
      </c>
      <c r="C246" s="42" t="s">
        <v>214</v>
      </c>
      <c r="D246" s="43" t="s">
        <v>1049</v>
      </c>
      <c r="E246" s="44">
        <v>34</v>
      </c>
      <c r="F246" s="31">
        <v>85181361.258341745</v>
      </c>
      <c r="G246" s="31">
        <v>1782995.13</v>
      </c>
      <c r="H246" s="31">
        <v>1555205.55</v>
      </c>
      <c r="I246" s="31">
        <v>300012.73999999993</v>
      </c>
      <c r="J246" s="31">
        <v>11196260.081652844</v>
      </c>
      <c r="K246" s="31">
        <v>4175241.9513095766</v>
      </c>
      <c r="L246" s="31">
        <v>4482145.2827807777</v>
      </c>
      <c r="M246" s="31">
        <f t="shared" si="16"/>
        <v>108673221.99408494</v>
      </c>
      <c r="N246" s="31">
        <v>0</v>
      </c>
      <c r="P246" s="42" t="s">
        <v>213</v>
      </c>
      <c r="Q246" s="42" t="s">
        <v>214</v>
      </c>
      <c r="R246" s="43" t="s">
        <v>1050</v>
      </c>
      <c r="S246" s="44">
        <v>34</v>
      </c>
      <c r="T246" s="31">
        <v>92169627.176257208</v>
      </c>
      <c r="U246" s="31">
        <v>1922649.7</v>
      </c>
      <c r="V246" s="31">
        <v>1629657.34</v>
      </c>
      <c r="W246" s="31">
        <v>323504.89</v>
      </c>
      <c r="X246" s="31">
        <v>11703534.528971016</v>
      </c>
      <c r="Y246" s="31">
        <v>4184447.0407387428</v>
      </c>
      <c r="Z246" s="31">
        <v>4695893.8363514654</v>
      </c>
      <c r="AA246" s="31">
        <f t="shared" si="17"/>
        <v>116629314.51231845</v>
      </c>
      <c r="AB246" s="31">
        <v>0</v>
      </c>
      <c r="AD246" s="42" t="s">
        <v>213</v>
      </c>
      <c r="AE246" s="42" t="s">
        <v>214</v>
      </c>
      <c r="AF246" s="43" t="s">
        <v>1275</v>
      </c>
      <c r="AG246" s="44">
        <v>34</v>
      </c>
      <c r="AH246" s="31">
        <v>95697608.750600442</v>
      </c>
      <c r="AI246" s="31">
        <v>1996063.9600000002</v>
      </c>
      <c r="AJ246" s="31">
        <v>1658618.35</v>
      </c>
      <c r="AK246" s="31">
        <v>335856.16000000003</v>
      </c>
      <c r="AL246" s="31">
        <v>11898721.828608729</v>
      </c>
      <c r="AM246" s="31">
        <v>4177226.6095574931</v>
      </c>
      <c r="AN246" s="31">
        <v>4779711.9766888414</v>
      </c>
      <c r="AO246" s="31">
        <f t="shared" si="18"/>
        <v>120543807.63545549</v>
      </c>
      <c r="AP246" s="31">
        <v>0</v>
      </c>
      <c r="AR246" s="42" t="s">
        <v>213</v>
      </c>
      <c r="AS246" s="42" t="s">
        <v>214</v>
      </c>
      <c r="AT246" s="43" t="s">
        <v>1276</v>
      </c>
      <c r="AU246" s="44">
        <v>34</v>
      </c>
      <c r="AV246" s="31">
        <v>99591136.967662945</v>
      </c>
      <c r="AW246" s="31">
        <v>2073745.64</v>
      </c>
      <c r="AX246" s="31">
        <v>1689635.5999999999</v>
      </c>
      <c r="AY246" s="31">
        <v>348862.55000000005</v>
      </c>
      <c r="AZ246" s="31">
        <v>12128372.509923216</v>
      </c>
      <c r="BA246" s="31">
        <v>4177432.9075912433</v>
      </c>
      <c r="BB246" s="31">
        <v>4869478.7043455699</v>
      </c>
      <c r="BC246" s="31">
        <f t="shared" si="19"/>
        <v>124878664.87952296</v>
      </c>
      <c r="BD246" s="31">
        <v>0</v>
      </c>
    </row>
    <row r="247" spans="2:56">
      <c r="B247" s="42" t="s">
        <v>415</v>
      </c>
      <c r="C247" s="42" t="s">
        <v>416</v>
      </c>
      <c r="D247" s="43" t="s">
        <v>1049</v>
      </c>
      <c r="E247" s="44">
        <v>34</v>
      </c>
      <c r="F247" s="31">
        <v>700207.42173518077</v>
      </c>
      <c r="G247" s="31">
        <v>26894.190000000002</v>
      </c>
      <c r="H247" s="31">
        <v>0</v>
      </c>
      <c r="I247" s="31">
        <v>0</v>
      </c>
      <c r="J247" s="31">
        <v>86245.725569289018</v>
      </c>
      <c r="K247" s="31">
        <v>86595.467739883927</v>
      </c>
      <c r="L247" s="31">
        <v>0</v>
      </c>
      <c r="M247" s="31">
        <f t="shared" si="16"/>
        <v>919918.57504435373</v>
      </c>
      <c r="N247" s="31">
        <v>19975.769999999997</v>
      </c>
      <c r="P247" s="42" t="s">
        <v>415</v>
      </c>
      <c r="Q247" s="42" t="s">
        <v>416</v>
      </c>
      <c r="R247" s="43" t="s">
        <v>1050</v>
      </c>
      <c r="S247" s="44">
        <v>34</v>
      </c>
      <c r="T247" s="31">
        <v>781942.06287761673</v>
      </c>
      <c r="U247" s="31">
        <v>29802.010000000002</v>
      </c>
      <c r="V247" s="31">
        <v>0</v>
      </c>
      <c r="W247" s="31">
        <v>0</v>
      </c>
      <c r="X247" s="31">
        <v>90255.847833507331</v>
      </c>
      <c r="Y247" s="31">
        <v>86656.262068640164</v>
      </c>
      <c r="Z247" s="31">
        <v>0</v>
      </c>
      <c r="AA247" s="31">
        <f t="shared" si="17"/>
        <v>1009596.5727797643</v>
      </c>
      <c r="AB247" s="31">
        <v>20940.39</v>
      </c>
      <c r="AD247" s="42" t="s">
        <v>415</v>
      </c>
      <c r="AE247" s="42" t="s">
        <v>416</v>
      </c>
      <c r="AF247" s="43" t="s">
        <v>1275</v>
      </c>
      <c r="AG247" s="44">
        <v>34</v>
      </c>
      <c r="AH247" s="31">
        <v>782278.1937301748</v>
      </c>
      <c r="AI247" s="31">
        <v>31161.26</v>
      </c>
      <c r="AJ247" s="31">
        <v>0</v>
      </c>
      <c r="AK247" s="31">
        <v>0</v>
      </c>
      <c r="AL247" s="31">
        <v>91409.328530807252</v>
      </c>
      <c r="AM247" s="31">
        <v>86610.074775390167</v>
      </c>
      <c r="AN247" s="31">
        <v>0</v>
      </c>
      <c r="AO247" s="31">
        <f t="shared" si="18"/>
        <v>1012769.2970363722</v>
      </c>
      <c r="AP247" s="31">
        <v>21310.44</v>
      </c>
      <c r="AR247" s="42" t="s">
        <v>415</v>
      </c>
      <c r="AS247" s="42" t="s">
        <v>416</v>
      </c>
      <c r="AT247" s="43" t="s">
        <v>1276</v>
      </c>
      <c r="AU247" s="44">
        <v>34</v>
      </c>
      <c r="AV247" s="31">
        <v>736395.88502621162</v>
      </c>
      <c r="AW247" s="31">
        <v>31727.919999999991</v>
      </c>
      <c r="AX247" s="31">
        <v>0</v>
      </c>
      <c r="AY247" s="31">
        <v>0</v>
      </c>
      <c r="AZ247" s="31">
        <v>91942.142239954701</v>
      </c>
      <c r="BA247" s="31">
        <v>86611.39441234016</v>
      </c>
      <c r="BB247" s="31">
        <v>0</v>
      </c>
      <c r="BC247" s="31">
        <f t="shared" si="19"/>
        <v>968384.12167850649</v>
      </c>
      <c r="BD247" s="31">
        <v>21706.78</v>
      </c>
    </row>
    <row r="248" spans="2:56">
      <c r="B248" s="42" t="s">
        <v>197</v>
      </c>
      <c r="C248" s="42" t="s">
        <v>198</v>
      </c>
      <c r="D248" s="43" t="s">
        <v>1049</v>
      </c>
      <c r="E248" s="44">
        <v>34</v>
      </c>
      <c r="F248" s="31">
        <v>2142717.5319007295</v>
      </c>
      <c r="G248" s="31">
        <v>22922.82</v>
      </c>
      <c r="H248" s="31">
        <v>0</v>
      </c>
      <c r="I248" s="31">
        <v>0</v>
      </c>
      <c r="J248" s="31">
        <v>56634.450937427348</v>
      </c>
      <c r="K248" s="31">
        <v>51376.613673667569</v>
      </c>
      <c r="L248" s="31">
        <v>0</v>
      </c>
      <c r="M248" s="31">
        <f t="shared" si="16"/>
        <v>2286185.5465118242</v>
      </c>
      <c r="N248" s="31">
        <v>12534.130000000003</v>
      </c>
      <c r="P248" s="42" t="s">
        <v>197</v>
      </c>
      <c r="Q248" s="42" t="s">
        <v>198</v>
      </c>
      <c r="R248" s="43" t="s">
        <v>1050</v>
      </c>
      <c r="S248" s="44">
        <v>34</v>
      </c>
      <c r="T248" s="31">
        <v>2294028.4374421355</v>
      </c>
      <c r="U248" s="31">
        <v>28533.979999999992</v>
      </c>
      <c r="V248" s="31">
        <v>0</v>
      </c>
      <c r="W248" s="31">
        <v>0</v>
      </c>
      <c r="X248" s="31">
        <v>59405.254588222655</v>
      </c>
      <c r="Y248" s="31">
        <v>51446.070844938273</v>
      </c>
      <c r="Z248" s="31">
        <v>0</v>
      </c>
      <c r="AA248" s="31">
        <f t="shared" si="17"/>
        <v>2446564.1928752963</v>
      </c>
      <c r="AB248" s="31">
        <v>13150.45</v>
      </c>
      <c r="AD248" s="42" t="s">
        <v>197</v>
      </c>
      <c r="AE248" s="42" t="s">
        <v>198</v>
      </c>
      <c r="AF248" s="43" t="s">
        <v>1275</v>
      </c>
      <c r="AG248" s="44">
        <v>34</v>
      </c>
      <c r="AH248" s="31">
        <v>2337488.8915612926</v>
      </c>
      <c r="AI248" s="31">
        <v>29649.65</v>
      </c>
      <c r="AJ248" s="31">
        <v>0</v>
      </c>
      <c r="AK248" s="31">
        <v>0</v>
      </c>
      <c r="AL248" s="31">
        <v>59672.488657840528</v>
      </c>
      <c r="AM248" s="31">
        <v>51391.677754968419</v>
      </c>
      <c r="AN248" s="31">
        <v>0</v>
      </c>
      <c r="AO248" s="31">
        <f t="shared" si="18"/>
        <v>2491589.5979741015</v>
      </c>
      <c r="AP248" s="31">
        <v>13386.890000000001</v>
      </c>
      <c r="AR248" s="42" t="s">
        <v>197</v>
      </c>
      <c r="AS248" s="42" t="s">
        <v>198</v>
      </c>
      <c r="AT248" s="43" t="s">
        <v>1276</v>
      </c>
      <c r="AU248" s="44">
        <v>34</v>
      </c>
      <c r="AV248" s="31">
        <v>2378328.3784175627</v>
      </c>
      <c r="AW248" s="31">
        <v>29578.469999999998</v>
      </c>
      <c r="AX248" s="31">
        <v>0</v>
      </c>
      <c r="AY248" s="31">
        <v>0</v>
      </c>
      <c r="AZ248" s="31">
        <v>61101.073289521344</v>
      </c>
      <c r="BA248" s="31">
        <v>51393.231843253277</v>
      </c>
      <c r="BB248" s="31">
        <v>0</v>
      </c>
      <c r="BC248" s="31">
        <f t="shared" si="19"/>
        <v>2534041.2835503374</v>
      </c>
      <c r="BD248" s="31">
        <v>13640.130000000001</v>
      </c>
    </row>
    <row r="249" spans="2:56">
      <c r="B249" s="42" t="s">
        <v>439</v>
      </c>
      <c r="C249" s="42" t="s">
        <v>440</v>
      </c>
      <c r="D249" s="43" t="s">
        <v>1049</v>
      </c>
      <c r="E249" s="44">
        <v>34</v>
      </c>
      <c r="F249" s="31">
        <v>85855845.537386566</v>
      </c>
      <c r="G249" s="31">
        <v>1310678.54</v>
      </c>
      <c r="H249" s="31">
        <v>732549.27</v>
      </c>
      <c r="I249" s="31">
        <v>305400.81999999995</v>
      </c>
      <c r="J249" s="31">
        <v>12091594.498744344</v>
      </c>
      <c r="K249" s="31">
        <v>5933475.7636761786</v>
      </c>
      <c r="L249" s="31">
        <v>5455262.0614047665</v>
      </c>
      <c r="M249" s="31">
        <f t="shared" si="16"/>
        <v>111684806.49121185</v>
      </c>
      <c r="N249" s="31">
        <v>0</v>
      </c>
      <c r="P249" s="42" t="s">
        <v>439</v>
      </c>
      <c r="Q249" s="42" t="s">
        <v>440</v>
      </c>
      <c r="R249" s="43" t="s">
        <v>1050</v>
      </c>
      <c r="S249" s="44">
        <v>34</v>
      </c>
      <c r="T249" s="31">
        <v>88827159.655004144</v>
      </c>
      <c r="U249" s="31">
        <v>1358047.7899999998</v>
      </c>
      <c r="V249" s="31">
        <v>767618.34</v>
      </c>
      <c r="W249" s="31">
        <v>316537.45</v>
      </c>
      <c r="X249" s="31">
        <v>12602912.973108016</v>
      </c>
      <c r="Y249" s="31">
        <v>5943909.5185179422</v>
      </c>
      <c r="Z249" s="31">
        <v>5715417.1397524215</v>
      </c>
      <c r="AA249" s="31">
        <f t="shared" si="17"/>
        <v>115531602.86638254</v>
      </c>
      <c r="AB249" s="31">
        <v>0</v>
      </c>
      <c r="AD249" s="42" t="s">
        <v>439</v>
      </c>
      <c r="AE249" s="42" t="s">
        <v>440</v>
      </c>
      <c r="AF249" s="43" t="s">
        <v>1275</v>
      </c>
      <c r="AG249" s="44">
        <v>34</v>
      </c>
      <c r="AH249" s="31">
        <v>90446293.773618549</v>
      </c>
      <c r="AI249" s="31">
        <v>1382181.97</v>
      </c>
      <c r="AJ249" s="31">
        <v>781259.86</v>
      </c>
      <c r="AK249" s="31">
        <v>322162.71000000002</v>
      </c>
      <c r="AL249" s="31">
        <v>12827603.532744976</v>
      </c>
      <c r="AM249" s="31">
        <v>5935725.3276551915</v>
      </c>
      <c r="AN249" s="31">
        <v>5817433.2731560161</v>
      </c>
      <c r="AO249" s="31">
        <f t="shared" si="18"/>
        <v>117512660.44717473</v>
      </c>
      <c r="AP249" s="31">
        <v>0</v>
      </c>
      <c r="AR249" s="42" t="s">
        <v>439</v>
      </c>
      <c r="AS249" s="42" t="s">
        <v>440</v>
      </c>
      <c r="AT249" s="43" t="s">
        <v>1276</v>
      </c>
      <c r="AU249" s="44">
        <v>34</v>
      </c>
      <c r="AV249" s="31">
        <v>92177923.484941289</v>
      </c>
      <c r="AW249" s="31">
        <v>1408029.67</v>
      </c>
      <c r="AX249" s="31">
        <v>795869.94000000006</v>
      </c>
      <c r="AY249" s="31">
        <v>328187.36000000004</v>
      </c>
      <c r="AZ249" s="31">
        <v>13068246.379138134</v>
      </c>
      <c r="BA249" s="31">
        <v>5935959.1616798416</v>
      </c>
      <c r="BB249" s="31">
        <v>5926689.5085926652</v>
      </c>
      <c r="BC249" s="31">
        <f t="shared" si="19"/>
        <v>119640905.50435191</v>
      </c>
      <c r="BD249" s="31">
        <v>0</v>
      </c>
    </row>
    <row r="250" spans="2:56">
      <c r="B250" s="42" t="s">
        <v>209</v>
      </c>
      <c r="C250" s="42" t="s">
        <v>210</v>
      </c>
      <c r="D250" s="43" t="s">
        <v>1049</v>
      </c>
      <c r="E250" s="44">
        <v>34</v>
      </c>
      <c r="F250" s="31">
        <v>64863921.017356321</v>
      </c>
      <c r="G250" s="31">
        <v>542468.77</v>
      </c>
      <c r="H250" s="31">
        <v>498542.79</v>
      </c>
      <c r="I250" s="31">
        <v>230696.01999999996</v>
      </c>
      <c r="J250" s="31">
        <v>7205361.7576231575</v>
      </c>
      <c r="K250" s="31">
        <v>3799938.7519027176</v>
      </c>
      <c r="L250" s="31">
        <v>4505042.7153187245</v>
      </c>
      <c r="M250" s="31">
        <f t="shared" si="16"/>
        <v>81645971.822200924</v>
      </c>
      <c r="N250" s="31">
        <v>0</v>
      </c>
      <c r="P250" s="42" t="s">
        <v>209</v>
      </c>
      <c r="Q250" s="42" t="s">
        <v>210</v>
      </c>
      <c r="R250" s="43" t="s">
        <v>1050</v>
      </c>
      <c r="S250" s="44">
        <v>34</v>
      </c>
      <c r="T250" s="31">
        <v>70442528.666628048</v>
      </c>
      <c r="U250" s="31">
        <v>589588.55000000005</v>
      </c>
      <c r="V250" s="31">
        <v>530365.41</v>
      </c>
      <c r="W250" s="31">
        <v>250707.28</v>
      </c>
      <c r="X250" s="31">
        <v>7616751.215122303</v>
      </c>
      <c r="Y250" s="31">
        <v>3809096.4710160675</v>
      </c>
      <c r="Z250" s="31">
        <v>4779426.8183434764</v>
      </c>
      <c r="AA250" s="31">
        <f t="shared" si="17"/>
        <v>88018464.41110988</v>
      </c>
      <c r="AB250" s="31">
        <v>0</v>
      </c>
      <c r="AD250" s="42" t="s">
        <v>209</v>
      </c>
      <c r="AE250" s="42" t="s">
        <v>210</v>
      </c>
      <c r="AF250" s="43" t="s">
        <v>1275</v>
      </c>
      <c r="AG250" s="44">
        <v>34</v>
      </c>
      <c r="AH250" s="31">
        <v>72269467.744248837</v>
      </c>
      <c r="AI250" s="31">
        <v>605201.31000000006</v>
      </c>
      <c r="AJ250" s="31">
        <v>539790.66</v>
      </c>
      <c r="AK250" s="31">
        <v>257241.13</v>
      </c>
      <c r="AL250" s="31">
        <v>7741806.3843017351</v>
      </c>
      <c r="AM250" s="31">
        <v>3801924.9057113179</v>
      </c>
      <c r="AN250" s="31">
        <v>4864735.9414140657</v>
      </c>
      <c r="AO250" s="31">
        <f t="shared" si="18"/>
        <v>90080168.075675964</v>
      </c>
      <c r="AP250" s="31">
        <v>0</v>
      </c>
      <c r="AR250" s="42" t="s">
        <v>209</v>
      </c>
      <c r="AS250" s="42" t="s">
        <v>210</v>
      </c>
      <c r="AT250" s="43" t="s">
        <v>1276</v>
      </c>
      <c r="AU250" s="44">
        <v>34</v>
      </c>
      <c r="AV250" s="31">
        <v>74341443.661805302</v>
      </c>
      <c r="AW250" s="31">
        <v>619259.05000000005</v>
      </c>
      <c r="AX250" s="31">
        <v>549885.09000000008</v>
      </c>
      <c r="AY250" s="31">
        <v>263297.18</v>
      </c>
      <c r="AZ250" s="31">
        <v>7919438.9833817696</v>
      </c>
      <c r="BA250" s="31">
        <v>3802129.8075771676</v>
      </c>
      <c r="BB250" s="31">
        <v>4956099.4672036674</v>
      </c>
      <c r="BC250" s="31">
        <f t="shared" si="19"/>
        <v>92451553.239967898</v>
      </c>
      <c r="BD250" s="31">
        <v>0</v>
      </c>
    </row>
    <row r="251" spans="2:56">
      <c r="B251" s="42" t="s">
        <v>129</v>
      </c>
      <c r="C251" s="42" t="s">
        <v>130</v>
      </c>
      <c r="D251" s="43" t="s">
        <v>1049</v>
      </c>
      <c r="E251" s="44">
        <v>34</v>
      </c>
      <c r="F251" s="31">
        <v>4959821.2148148557</v>
      </c>
      <c r="G251" s="31">
        <v>274398.70999999996</v>
      </c>
      <c r="H251" s="31">
        <v>156298.14000000001</v>
      </c>
      <c r="I251" s="31">
        <v>15493.390000000001</v>
      </c>
      <c r="J251" s="31">
        <v>691724.8891853739</v>
      </c>
      <c r="K251" s="31">
        <v>359194.44337709708</v>
      </c>
      <c r="L251" s="31">
        <v>246344.5105411355</v>
      </c>
      <c r="M251" s="31">
        <f t="shared" si="16"/>
        <v>6861327.4179184614</v>
      </c>
      <c r="N251" s="31">
        <v>158052.12000000002</v>
      </c>
      <c r="P251" s="42" t="s">
        <v>129</v>
      </c>
      <c r="Q251" s="42" t="s">
        <v>130</v>
      </c>
      <c r="R251" s="43" t="s">
        <v>1050</v>
      </c>
      <c r="S251" s="44">
        <v>34</v>
      </c>
      <c r="T251" s="31">
        <v>5164254.9718565457</v>
      </c>
      <c r="U251" s="31">
        <v>286535.08999999997</v>
      </c>
      <c r="V251" s="31">
        <v>166443.32999999999</v>
      </c>
      <c r="W251" s="31">
        <v>16084</v>
      </c>
      <c r="X251" s="31">
        <v>731631.66249562928</v>
      </c>
      <c r="Y251" s="31">
        <v>359925.00526625657</v>
      </c>
      <c r="Z251" s="31">
        <v>263953.32762926532</v>
      </c>
      <c r="AA251" s="31">
        <f t="shared" si="17"/>
        <v>7154511.7372476961</v>
      </c>
      <c r="AB251" s="31">
        <v>165684.35</v>
      </c>
      <c r="AD251" s="42" t="s">
        <v>129</v>
      </c>
      <c r="AE251" s="42" t="s">
        <v>130</v>
      </c>
      <c r="AF251" s="43" t="s">
        <v>1275</v>
      </c>
      <c r="AG251" s="44">
        <v>34</v>
      </c>
      <c r="AH251" s="31">
        <v>5258223.2141482523</v>
      </c>
      <c r="AI251" s="31">
        <v>291491.45999999996</v>
      </c>
      <c r="AJ251" s="31">
        <v>169345.23999999996</v>
      </c>
      <c r="AK251" s="31">
        <v>16364.42</v>
      </c>
      <c r="AL251" s="31">
        <v>744484.70286718966</v>
      </c>
      <c r="AM251" s="31">
        <v>359369.97526753461</v>
      </c>
      <c r="AN251" s="31">
        <v>268597.27424062428</v>
      </c>
      <c r="AO251" s="31">
        <f t="shared" si="18"/>
        <v>7276488.6365236007</v>
      </c>
      <c r="AP251" s="31">
        <v>168612.35</v>
      </c>
      <c r="AR251" s="42" t="s">
        <v>129</v>
      </c>
      <c r="AS251" s="42" t="s">
        <v>130</v>
      </c>
      <c r="AT251" s="43" t="s">
        <v>1276</v>
      </c>
      <c r="AU251" s="44">
        <v>34</v>
      </c>
      <c r="AV251" s="31">
        <v>5358638.0456345435</v>
      </c>
      <c r="AW251" s="31">
        <v>296799.74</v>
      </c>
      <c r="AX251" s="31">
        <v>172453.18999999997</v>
      </c>
      <c r="AY251" s="31">
        <v>16664.740000000002</v>
      </c>
      <c r="AZ251" s="31">
        <v>758250.26052170817</v>
      </c>
      <c r="BA251" s="31">
        <v>359385.83326749806</v>
      </c>
      <c r="BB251" s="31">
        <v>273570.78410958959</v>
      </c>
      <c r="BC251" s="31">
        <f t="shared" si="19"/>
        <v>7407510.8335333401</v>
      </c>
      <c r="BD251" s="31">
        <v>171748.24000000002</v>
      </c>
    </row>
    <row r="252" spans="2:56">
      <c r="B252" s="42" t="s">
        <v>347</v>
      </c>
      <c r="C252" s="42" t="s">
        <v>348</v>
      </c>
      <c r="D252" s="43" t="s">
        <v>1049</v>
      </c>
      <c r="E252" s="44">
        <v>34</v>
      </c>
      <c r="F252" s="31">
        <v>4972758.6528821643</v>
      </c>
      <c r="G252" s="31">
        <v>241170.74000000002</v>
      </c>
      <c r="H252" s="31">
        <v>134081.19999999998</v>
      </c>
      <c r="I252" s="31">
        <v>0</v>
      </c>
      <c r="J252" s="31">
        <v>696289.58867765113</v>
      </c>
      <c r="K252" s="31">
        <v>479754.04803993308</v>
      </c>
      <c r="L252" s="31">
        <v>376650.57501439704</v>
      </c>
      <c r="M252" s="31">
        <f t="shared" si="16"/>
        <v>7049889.6446141452</v>
      </c>
      <c r="N252" s="31">
        <v>149184.84</v>
      </c>
      <c r="P252" s="42" t="s">
        <v>347</v>
      </c>
      <c r="Q252" s="42" t="s">
        <v>348</v>
      </c>
      <c r="R252" s="43" t="s">
        <v>1050</v>
      </c>
      <c r="S252" s="44">
        <v>34</v>
      </c>
      <c r="T252" s="31">
        <v>5146888.4089844031</v>
      </c>
      <c r="U252" s="31">
        <v>256710.15999999989</v>
      </c>
      <c r="V252" s="31">
        <v>142784.30000000002</v>
      </c>
      <c r="W252" s="31">
        <v>0</v>
      </c>
      <c r="X252" s="31">
        <v>735525.14227959223</v>
      </c>
      <c r="Y252" s="31">
        <v>480764.41994042235</v>
      </c>
      <c r="Z252" s="31">
        <v>403513.77511555015</v>
      </c>
      <c r="AA252" s="31">
        <f t="shared" si="17"/>
        <v>7322575.0763199683</v>
      </c>
      <c r="AB252" s="31">
        <v>156388.87000000002</v>
      </c>
      <c r="AD252" s="42" t="s">
        <v>347</v>
      </c>
      <c r="AE252" s="42" t="s">
        <v>348</v>
      </c>
      <c r="AF252" s="43" t="s">
        <v>1275</v>
      </c>
      <c r="AG252" s="44">
        <v>34</v>
      </c>
      <c r="AH252" s="31">
        <v>5174452.7526652068</v>
      </c>
      <c r="AI252" s="31">
        <v>254075.09000000005</v>
      </c>
      <c r="AJ252" s="31">
        <v>145273.72</v>
      </c>
      <c r="AK252" s="31">
        <v>0</v>
      </c>
      <c r="AL252" s="31">
        <v>749582.47836192162</v>
      </c>
      <c r="AM252" s="31">
        <v>479996.80979957239</v>
      </c>
      <c r="AN252" s="31">
        <v>410613.18890314037</v>
      </c>
      <c r="AO252" s="31">
        <f t="shared" si="18"/>
        <v>7373146.6397298407</v>
      </c>
      <c r="AP252" s="31">
        <v>159152.6</v>
      </c>
      <c r="AR252" s="42" t="s">
        <v>347</v>
      </c>
      <c r="AS252" s="42" t="s">
        <v>348</v>
      </c>
      <c r="AT252" s="43" t="s">
        <v>1276</v>
      </c>
      <c r="AU252" s="44">
        <v>34</v>
      </c>
      <c r="AV252" s="31">
        <v>5236679.2932849312</v>
      </c>
      <c r="AW252" s="31">
        <v>256226.18</v>
      </c>
      <c r="AX252" s="31">
        <v>147939.88999999998</v>
      </c>
      <c r="AY252" s="31">
        <v>0</v>
      </c>
      <c r="AZ252" s="31">
        <v>761658.53229539667</v>
      </c>
      <c r="BA252" s="31">
        <v>480018.74151788239</v>
      </c>
      <c r="BB252" s="31">
        <v>418216.4210856494</v>
      </c>
      <c r="BC252" s="31">
        <f t="shared" si="19"/>
        <v>7462851.6081838589</v>
      </c>
      <c r="BD252" s="31">
        <v>162112.54999999999</v>
      </c>
    </row>
    <row r="253" spans="2:56">
      <c r="B253" s="42" t="s">
        <v>235</v>
      </c>
      <c r="C253" s="42" t="s">
        <v>236</v>
      </c>
      <c r="D253" s="43" t="s">
        <v>1049</v>
      </c>
      <c r="E253" s="44">
        <v>34</v>
      </c>
      <c r="F253" s="31">
        <v>85289799.398860872</v>
      </c>
      <c r="G253" s="31">
        <v>2598971.94</v>
      </c>
      <c r="H253" s="31">
        <v>429096.86000000004</v>
      </c>
      <c r="I253" s="31">
        <v>313918.23</v>
      </c>
      <c r="J253" s="31">
        <v>14160153.424608892</v>
      </c>
      <c r="K253" s="31">
        <v>5783254.8153874511</v>
      </c>
      <c r="L253" s="31">
        <v>8826506.843074888</v>
      </c>
      <c r="M253" s="31">
        <f t="shared" si="16"/>
        <v>117610378.10193211</v>
      </c>
      <c r="N253" s="31">
        <v>208676.59</v>
      </c>
      <c r="P253" s="42" t="s">
        <v>235</v>
      </c>
      <c r="Q253" s="42" t="s">
        <v>236</v>
      </c>
      <c r="R253" s="43" t="s">
        <v>1050</v>
      </c>
      <c r="S253" s="44">
        <v>34</v>
      </c>
      <c r="T253" s="31">
        <v>91315525.314897701</v>
      </c>
      <c r="U253" s="31">
        <v>2783543.4299999997</v>
      </c>
      <c r="V253" s="31">
        <v>456486.63999999996</v>
      </c>
      <c r="W253" s="31">
        <v>335878.08</v>
      </c>
      <c r="X253" s="31">
        <v>14988822.803193342</v>
      </c>
      <c r="Y253" s="31">
        <v>5798270.0496285781</v>
      </c>
      <c r="Z253" s="31">
        <v>9364094.4040393531</v>
      </c>
      <c r="AA253" s="31">
        <f t="shared" si="17"/>
        <v>125261558.18175896</v>
      </c>
      <c r="AB253" s="31">
        <v>218937.45999999996</v>
      </c>
      <c r="AD253" s="42" t="s">
        <v>235</v>
      </c>
      <c r="AE253" s="42" t="s">
        <v>236</v>
      </c>
      <c r="AF253" s="43" t="s">
        <v>1275</v>
      </c>
      <c r="AG253" s="44">
        <v>34</v>
      </c>
      <c r="AH253" s="31">
        <v>100806957.50788277</v>
      </c>
      <c r="AI253" s="31">
        <v>3046802.5399999996</v>
      </c>
      <c r="AJ253" s="31">
        <v>464598.98000000004</v>
      </c>
      <c r="AK253" s="31">
        <v>367644.52</v>
      </c>
      <c r="AL253" s="31">
        <v>15261840.679739414</v>
      </c>
      <c r="AM253" s="31">
        <v>5786511.3647864778</v>
      </c>
      <c r="AN253" s="31">
        <v>9531236.534673946</v>
      </c>
      <c r="AO253" s="31">
        <f t="shared" si="18"/>
        <v>135488466.0470826</v>
      </c>
      <c r="AP253" s="31">
        <v>222873.91999999995</v>
      </c>
      <c r="AR253" s="42" t="s">
        <v>235</v>
      </c>
      <c r="AS253" s="42" t="s">
        <v>236</v>
      </c>
      <c r="AT253" s="43" t="s">
        <v>1276</v>
      </c>
      <c r="AU253" s="44">
        <v>34</v>
      </c>
      <c r="AV253" s="31">
        <v>104809185.0850933</v>
      </c>
      <c r="AW253" s="31">
        <v>3158657.9600000004</v>
      </c>
      <c r="AX253" s="31">
        <v>473287.29000000004</v>
      </c>
      <c r="AY253" s="31">
        <v>381120.81000000006</v>
      </c>
      <c r="AZ253" s="31">
        <v>15550127.7611578</v>
      </c>
      <c r="BA253" s="31">
        <v>5786847.3272105381</v>
      </c>
      <c r="BB253" s="31">
        <v>9710240.7700669933</v>
      </c>
      <c r="BC253" s="31">
        <f t="shared" si="19"/>
        <v>140096556.85352865</v>
      </c>
      <c r="BD253" s="31">
        <v>227089.84999999998</v>
      </c>
    </row>
    <row r="254" spans="2:56">
      <c r="B254" s="42" t="s">
        <v>171</v>
      </c>
      <c r="C254" s="42" t="s">
        <v>172</v>
      </c>
      <c r="D254" s="43" t="s">
        <v>1049</v>
      </c>
      <c r="E254" s="44">
        <v>34</v>
      </c>
      <c r="F254" s="31">
        <v>11111683.18512262</v>
      </c>
      <c r="G254" s="31">
        <v>262608.57999999996</v>
      </c>
      <c r="H254" s="31">
        <v>8265.56</v>
      </c>
      <c r="I254" s="31">
        <v>40265.07</v>
      </c>
      <c r="J254" s="31">
        <v>1694261.9335738861</v>
      </c>
      <c r="K254" s="31">
        <v>898693.91896110936</v>
      </c>
      <c r="L254" s="31">
        <v>614274.19545904081</v>
      </c>
      <c r="M254" s="31">
        <f t="shared" si="16"/>
        <v>14645284.683116658</v>
      </c>
      <c r="N254" s="31">
        <v>15232.24</v>
      </c>
      <c r="P254" s="42" t="s">
        <v>171</v>
      </c>
      <c r="Q254" s="42" t="s">
        <v>172</v>
      </c>
      <c r="R254" s="43" t="s">
        <v>1050</v>
      </c>
      <c r="S254" s="44">
        <v>34</v>
      </c>
      <c r="T254" s="31">
        <v>11238484.737546399</v>
      </c>
      <c r="U254" s="31">
        <v>265811.51</v>
      </c>
      <c r="V254" s="31">
        <v>8663.4700000000012</v>
      </c>
      <c r="W254" s="31">
        <v>40718.259999999995</v>
      </c>
      <c r="X254" s="31">
        <v>1770119.541934232</v>
      </c>
      <c r="Y254" s="31">
        <v>900927.95561889431</v>
      </c>
      <c r="Z254" s="31">
        <v>643673.34189077956</v>
      </c>
      <c r="AA254" s="31">
        <f t="shared" si="17"/>
        <v>14884149.766990304</v>
      </c>
      <c r="AB254" s="31">
        <v>15750.95</v>
      </c>
      <c r="AD254" s="42" t="s">
        <v>171</v>
      </c>
      <c r="AE254" s="42" t="s">
        <v>172</v>
      </c>
      <c r="AF254" s="43" t="s">
        <v>1275</v>
      </c>
      <c r="AG254" s="44">
        <v>34</v>
      </c>
      <c r="AH254" s="31">
        <v>10869205.26872972</v>
      </c>
      <c r="AI254" s="31">
        <v>257825.68999999997</v>
      </c>
      <c r="AJ254" s="31">
        <v>8817.9700000000012</v>
      </c>
      <c r="AK254" s="31">
        <v>39554.869999999995</v>
      </c>
      <c r="AL254" s="31">
        <v>1800521.0305501695</v>
      </c>
      <c r="AM254" s="31">
        <v>899175.58720704424</v>
      </c>
      <c r="AN254" s="31">
        <v>655186.9046201685</v>
      </c>
      <c r="AO254" s="31">
        <f t="shared" si="18"/>
        <v>14546322.3611071</v>
      </c>
      <c r="AP254" s="31">
        <v>16035.04</v>
      </c>
      <c r="AR254" s="42" t="s">
        <v>171</v>
      </c>
      <c r="AS254" s="42" t="s">
        <v>172</v>
      </c>
      <c r="AT254" s="43" t="s">
        <v>1276</v>
      </c>
      <c r="AU254" s="44">
        <v>34</v>
      </c>
      <c r="AV254" s="31">
        <v>10669503.584265547</v>
      </c>
      <c r="AW254" s="31">
        <v>252265.44</v>
      </c>
      <c r="AX254" s="31">
        <v>8983.44</v>
      </c>
      <c r="AY254" s="31">
        <v>38628.780000000006</v>
      </c>
      <c r="AZ254" s="31">
        <v>1842525.0998352517</v>
      </c>
      <c r="BA254" s="31">
        <v>899225.65487595426</v>
      </c>
      <c r="BB254" s="31">
        <v>667517.59398614406</v>
      </c>
      <c r="BC254" s="31">
        <f t="shared" si="19"/>
        <v>14394988.902962897</v>
      </c>
      <c r="BD254" s="31">
        <v>16339.31</v>
      </c>
    </row>
    <row r="255" spans="2:56">
      <c r="B255" s="42" t="s">
        <v>313</v>
      </c>
      <c r="C255" s="42" t="s">
        <v>314</v>
      </c>
      <c r="D255" s="43" t="s">
        <v>1049</v>
      </c>
      <c r="E255" s="44">
        <v>34</v>
      </c>
      <c r="F255" s="31">
        <v>1811518.8183496073</v>
      </c>
      <c r="G255" s="31">
        <v>55152.590000000004</v>
      </c>
      <c r="H255" s="31">
        <v>0</v>
      </c>
      <c r="I255" s="31">
        <v>5651.6799999999994</v>
      </c>
      <c r="J255" s="31">
        <v>249207.61886518804</v>
      </c>
      <c r="K255" s="31">
        <v>95006.49304109544</v>
      </c>
      <c r="L255" s="31">
        <v>0</v>
      </c>
      <c r="M255" s="31">
        <f t="shared" si="16"/>
        <v>2216537.2002558908</v>
      </c>
      <c r="N255" s="31">
        <v>0</v>
      </c>
      <c r="P255" s="42" t="s">
        <v>313</v>
      </c>
      <c r="Q255" s="42" t="s">
        <v>314</v>
      </c>
      <c r="R255" s="43" t="s">
        <v>1050</v>
      </c>
      <c r="S255" s="44">
        <v>34</v>
      </c>
      <c r="T255" s="31">
        <v>1875140.6540356646</v>
      </c>
      <c r="U255" s="31">
        <v>57591.040000000008</v>
      </c>
      <c r="V255" s="31">
        <v>0</v>
      </c>
      <c r="W255" s="31">
        <v>5810.99</v>
      </c>
      <c r="X255" s="31">
        <v>261643.32656273516</v>
      </c>
      <c r="Y255" s="31">
        <v>95218.364154697527</v>
      </c>
      <c r="Z255" s="31">
        <v>0</v>
      </c>
      <c r="AA255" s="31">
        <f t="shared" si="17"/>
        <v>2295404.3747530971</v>
      </c>
      <c r="AB255" s="31">
        <v>0</v>
      </c>
      <c r="AD255" s="42" t="s">
        <v>313</v>
      </c>
      <c r="AE255" s="42" t="s">
        <v>314</v>
      </c>
      <c r="AF255" s="43" t="s">
        <v>1275</v>
      </c>
      <c r="AG255" s="44">
        <v>34</v>
      </c>
      <c r="AH255" s="31">
        <v>1907989.9154515506</v>
      </c>
      <c r="AI255" s="31">
        <v>58595.130000000005</v>
      </c>
      <c r="AJ255" s="31">
        <v>0</v>
      </c>
      <c r="AK255" s="31">
        <v>5912.3</v>
      </c>
      <c r="AL255" s="31">
        <v>266232.15395575372</v>
      </c>
      <c r="AM255" s="31">
        <v>95057.39925130365</v>
      </c>
      <c r="AN255" s="31">
        <v>0</v>
      </c>
      <c r="AO255" s="31">
        <f t="shared" si="18"/>
        <v>2333786.8986586081</v>
      </c>
      <c r="AP255" s="31">
        <v>0</v>
      </c>
      <c r="AR255" s="42" t="s">
        <v>313</v>
      </c>
      <c r="AS255" s="42" t="s">
        <v>314</v>
      </c>
      <c r="AT255" s="43" t="s">
        <v>1276</v>
      </c>
      <c r="AU255" s="44">
        <v>34</v>
      </c>
      <c r="AV255" s="31">
        <v>1943171.0218639644</v>
      </c>
      <c r="AW255" s="31">
        <v>59670.520000000004</v>
      </c>
      <c r="AX255" s="31">
        <v>0</v>
      </c>
      <c r="AY255" s="31">
        <v>6020.8099999999995</v>
      </c>
      <c r="AZ255" s="31">
        <v>271146.72552981414</v>
      </c>
      <c r="BA255" s="31">
        <v>95061.998248543474</v>
      </c>
      <c r="BB255" s="31">
        <v>0</v>
      </c>
      <c r="BC255" s="31">
        <f t="shared" si="19"/>
        <v>2375071.0756423222</v>
      </c>
      <c r="BD255" s="31">
        <v>0</v>
      </c>
    </row>
    <row r="256" spans="2:56">
      <c r="B256" s="42" t="s">
        <v>479</v>
      </c>
      <c r="C256" s="42" t="s">
        <v>480</v>
      </c>
      <c r="D256" s="43" t="s">
        <v>1049</v>
      </c>
      <c r="E256" s="44">
        <v>34</v>
      </c>
      <c r="F256" s="31">
        <v>7565534.742260335</v>
      </c>
      <c r="G256" s="31">
        <v>221638.13000000003</v>
      </c>
      <c r="H256" s="31">
        <v>23808.190000000002</v>
      </c>
      <c r="I256" s="31">
        <v>19672.019999999993</v>
      </c>
      <c r="J256" s="31">
        <v>757414.07313052251</v>
      </c>
      <c r="K256" s="31">
        <v>338534.88</v>
      </c>
      <c r="L256" s="31">
        <v>0</v>
      </c>
      <c r="M256" s="31">
        <f t="shared" si="16"/>
        <v>8926602.0353908576</v>
      </c>
      <c r="N256" s="31">
        <v>0</v>
      </c>
      <c r="P256" s="42" t="s">
        <v>479</v>
      </c>
      <c r="Q256" s="42" t="s">
        <v>480</v>
      </c>
      <c r="R256" s="43" t="s">
        <v>1050</v>
      </c>
      <c r="S256" s="44">
        <v>34</v>
      </c>
      <c r="T256" s="31">
        <v>8705395.0543056689</v>
      </c>
      <c r="U256" s="31">
        <v>274542.52999999997</v>
      </c>
      <c r="V256" s="31">
        <v>25132.659999999996</v>
      </c>
      <c r="W256" s="31">
        <v>24387.22</v>
      </c>
      <c r="X256" s="31">
        <v>789684.46482311597</v>
      </c>
      <c r="Y256" s="31">
        <v>338534.88</v>
      </c>
      <c r="Z256" s="31">
        <v>0</v>
      </c>
      <c r="AA256" s="31">
        <f t="shared" si="17"/>
        <v>10157676.809128786</v>
      </c>
      <c r="AB256" s="31">
        <v>0</v>
      </c>
      <c r="AD256" s="42" t="s">
        <v>479</v>
      </c>
      <c r="AE256" s="42" t="s">
        <v>480</v>
      </c>
      <c r="AF256" s="43" t="s">
        <v>1275</v>
      </c>
      <c r="AG256" s="44">
        <v>34</v>
      </c>
      <c r="AH256" s="31">
        <v>9535358.4901251979</v>
      </c>
      <c r="AI256" s="31">
        <v>312395.66000000003</v>
      </c>
      <c r="AJ256" s="31">
        <v>25572.439999999995</v>
      </c>
      <c r="AK256" s="31">
        <v>27739.600000000002</v>
      </c>
      <c r="AL256" s="31">
        <v>793730.84899084421</v>
      </c>
      <c r="AM256" s="31">
        <v>338534.88</v>
      </c>
      <c r="AN256" s="31">
        <v>0</v>
      </c>
      <c r="AO256" s="31">
        <f t="shared" si="18"/>
        <v>11033331.919116043</v>
      </c>
      <c r="AP256" s="31">
        <v>0</v>
      </c>
      <c r="AR256" s="42" t="s">
        <v>479</v>
      </c>
      <c r="AS256" s="42" t="s">
        <v>480</v>
      </c>
      <c r="AT256" s="43" t="s">
        <v>1276</v>
      </c>
      <c r="AU256" s="44">
        <v>34</v>
      </c>
      <c r="AV256" s="31">
        <v>10542021.452024009</v>
      </c>
      <c r="AW256" s="31">
        <v>351696.89</v>
      </c>
      <c r="AX256" s="31">
        <v>26043.43</v>
      </c>
      <c r="AY256" s="31">
        <v>31230.059999999998</v>
      </c>
      <c r="AZ256" s="31">
        <v>800322.24934225401</v>
      </c>
      <c r="BA256" s="31">
        <v>338534.88</v>
      </c>
      <c r="BB256" s="31">
        <v>0</v>
      </c>
      <c r="BC256" s="31">
        <f t="shared" si="19"/>
        <v>12089848.961366264</v>
      </c>
      <c r="BD256" s="31">
        <v>0</v>
      </c>
    </row>
    <row r="257" spans="2:56">
      <c r="B257" s="42" t="s">
        <v>451</v>
      </c>
      <c r="C257" s="42" t="s">
        <v>452</v>
      </c>
      <c r="D257" s="43" t="s">
        <v>1049</v>
      </c>
      <c r="E257" s="44">
        <v>34</v>
      </c>
      <c r="F257" s="31">
        <v>237136371.03916165</v>
      </c>
      <c r="G257" s="31">
        <v>10945211.529999997</v>
      </c>
      <c r="H257" s="31">
        <v>2824196.49</v>
      </c>
      <c r="I257" s="31">
        <v>0</v>
      </c>
      <c r="J257" s="31">
        <v>36969188.307959579</v>
      </c>
      <c r="K257" s="31">
        <v>14047684.638424804</v>
      </c>
      <c r="L257" s="31">
        <v>17926219.580795016</v>
      </c>
      <c r="M257" s="31">
        <f t="shared" si="16"/>
        <v>325208337.99634105</v>
      </c>
      <c r="N257" s="31">
        <v>5359466.41</v>
      </c>
      <c r="P257" s="42" t="s">
        <v>451</v>
      </c>
      <c r="Q257" s="42" t="s">
        <v>452</v>
      </c>
      <c r="R257" s="43" t="s">
        <v>1050</v>
      </c>
      <c r="S257" s="44">
        <v>34</v>
      </c>
      <c r="T257" s="31">
        <v>272698232.47874445</v>
      </c>
      <c r="U257" s="31">
        <v>12405412.669999998</v>
      </c>
      <c r="V257" s="31">
        <v>2981310.4600000004</v>
      </c>
      <c r="W257" s="31">
        <v>0</v>
      </c>
      <c r="X257" s="31">
        <v>39084907.874329135</v>
      </c>
      <c r="Y257" s="31">
        <v>14077223.674011607</v>
      </c>
      <c r="Z257" s="31">
        <v>19073308.734271359</v>
      </c>
      <c r="AA257" s="31">
        <f t="shared" si="17"/>
        <v>365891662.24135655</v>
      </c>
      <c r="AB257" s="31">
        <v>5571266.3500000006</v>
      </c>
      <c r="AD257" s="42" t="s">
        <v>451</v>
      </c>
      <c r="AE257" s="42" t="s">
        <v>452</v>
      </c>
      <c r="AF257" s="43" t="s">
        <v>1275</v>
      </c>
      <c r="AG257" s="44">
        <v>34</v>
      </c>
      <c r="AH257" s="31">
        <v>278208487.10992658</v>
      </c>
      <c r="AI257" s="31">
        <v>12623249.870000001</v>
      </c>
      <c r="AJ257" s="31">
        <v>3033477.68</v>
      </c>
      <c r="AK257" s="31">
        <v>0</v>
      </c>
      <c r="AL257" s="31">
        <v>39840305.206959479</v>
      </c>
      <c r="AM257" s="31">
        <v>14054634.173084408</v>
      </c>
      <c r="AN257" s="31">
        <v>19409688.268124431</v>
      </c>
      <c r="AO257" s="31">
        <f t="shared" si="18"/>
        <v>372839887.69809496</v>
      </c>
      <c r="AP257" s="31">
        <v>5670045.3900000006</v>
      </c>
      <c r="AR257" s="42" t="s">
        <v>451</v>
      </c>
      <c r="AS257" s="42" t="s">
        <v>452</v>
      </c>
      <c r="AT257" s="43" t="s">
        <v>1276</v>
      </c>
      <c r="AU257" s="44">
        <v>34</v>
      </c>
      <c r="AV257" s="31">
        <v>284071608.43008876</v>
      </c>
      <c r="AW257" s="31">
        <v>12867077.129999999</v>
      </c>
      <c r="AX257" s="31">
        <v>3089348.78</v>
      </c>
      <c r="AY257" s="31">
        <v>0</v>
      </c>
      <c r="AZ257" s="31">
        <v>40615847.052972876</v>
      </c>
      <c r="BA257" s="31">
        <v>14055279.587396612</v>
      </c>
      <c r="BB257" s="31">
        <v>19769939.937828269</v>
      </c>
      <c r="BC257" s="31">
        <f t="shared" si="19"/>
        <v>380244938.66828644</v>
      </c>
      <c r="BD257" s="31">
        <v>5775837.7499999991</v>
      </c>
    </row>
    <row r="258" spans="2:56">
      <c r="B258" s="42" t="s">
        <v>297</v>
      </c>
      <c r="C258" s="42" t="s">
        <v>298</v>
      </c>
      <c r="D258" s="43" t="s">
        <v>1049</v>
      </c>
      <c r="E258" s="44">
        <v>34</v>
      </c>
      <c r="F258" s="31">
        <v>1698443.2548857452</v>
      </c>
      <c r="G258" s="31">
        <v>25140.2</v>
      </c>
      <c r="H258" s="31">
        <v>0</v>
      </c>
      <c r="I258" s="31">
        <v>2046.29</v>
      </c>
      <c r="J258" s="31">
        <v>87831.785072903673</v>
      </c>
      <c r="K258" s="31">
        <v>121124.12382249473</v>
      </c>
      <c r="L258" s="31">
        <v>75592.372509023728</v>
      </c>
      <c r="M258" s="31">
        <f t="shared" si="16"/>
        <v>2020214.6462901672</v>
      </c>
      <c r="N258" s="31">
        <v>10036.619999999999</v>
      </c>
      <c r="P258" s="42" t="s">
        <v>297</v>
      </c>
      <c r="Q258" s="42" t="s">
        <v>298</v>
      </c>
      <c r="R258" s="43" t="s">
        <v>1050</v>
      </c>
      <c r="S258" s="44">
        <v>34</v>
      </c>
      <c r="T258" s="31">
        <v>1804408.9502989892</v>
      </c>
      <c r="U258" s="31">
        <v>24448.44</v>
      </c>
      <c r="V258" s="31">
        <v>0</v>
      </c>
      <c r="W258" s="31">
        <v>1971.5999999999997</v>
      </c>
      <c r="X258" s="31">
        <v>92634.081840438332</v>
      </c>
      <c r="Y258" s="31">
        <v>121313.87269567182</v>
      </c>
      <c r="Z258" s="31">
        <v>80965.113436283689</v>
      </c>
      <c r="AA258" s="31">
        <f t="shared" si="17"/>
        <v>2136263.328271383</v>
      </c>
      <c r="AB258" s="31">
        <v>10521.27</v>
      </c>
      <c r="AD258" s="42" t="s">
        <v>297</v>
      </c>
      <c r="AE258" s="42" t="s">
        <v>298</v>
      </c>
      <c r="AF258" s="43" t="s">
        <v>1275</v>
      </c>
      <c r="AG258" s="44">
        <v>34</v>
      </c>
      <c r="AH258" s="31">
        <v>1837314.3304289016</v>
      </c>
      <c r="AI258" s="31">
        <v>25294.489999999998</v>
      </c>
      <c r="AJ258" s="31">
        <v>0</v>
      </c>
      <c r="AK258" s="31">
        <v>2005.9699999999996</v>
      </c>
      <c r="AL258" s="31">
        <v>93795.571772393741</v>
      </c>
      <c r="AM258" s="31">
        <v>121169.7147284965</v>
      </c>
      <c r="AN258" s="31">
        <v>82389.671928111755</v>
      </c>
      <c r="AO258" s="31">
        <f t="shared" si="18"/>
        <v>2172676.9588579037</v>
      </c>
      <c r="AP258" s="31">
        <v>10707.21</v>
      </c>
      <c r="AR258" s="42" t="s">
        <v>297</v>
      </c>
      <c r="AS258" s="42" t="s">
        <v>298</v>
      </c>
      <c r="AT258" s="43" t="s">
        <v>1276</v>
      </c>
      <c r="AU258" s="44">
        <v>34</v>
      </c>
      <c r="AV258" s="31">
        <v>1872791.7035929314</v>
      </c>
      <c r="AW258" s="31">
        <v>25756.099999999995</v>
      </c>
      <c r="AX258" s="31">
        <v>0</v>
      </c>
      <c r="AY258" s="31">
        <v>2042.7899999999997</v>
      </c>
      <c r="AZ258" s="31">
        <v>94604.167522799456</v>
      </c>
      <c r="BA258" s="31">
        <v>121173.83352755866</v>
      </c>
      <c r="BB258" s="31">
        <v>83915.325906259619</v>
      </c>
      <c r="BC258" s="31">
        <f t="shared" si="19"/>
        <v>2211190.260549549</v>
      </c>
      <c r="BD258" s="31">
        <v>10906.34</v>
      </c>
    </row>
    <row r="259" spans="2:56">
      <c r="B259" s="42" t="s">
        <v>577</v>
      </c>
      <c r="C259" s="42" t="s">
        <v>578</v>
      </c>
      <c r="D259" s="43" t="s">
        <v>1049</v>
      </c>
      <c r="E259" s="44">
        <v>34</v>
      </c>
      <c r="F259" s="31">
        <v>2066132.295002026</v>
      </c>
      <c r="G259" s="31">
        <v>38100.12000000001</v>
      </c>
      <c r="H259" s="31">
        <v>0</v>
      </c>
      <c r="I259" s="31">
        <v>3507.94</v>
      </c>
      <c r="J259" s="31">
        <v>146621.51902277383</v>
      </c>
      <c r="K259" s="31">
        <v>362429.03260111262</v>
      </c>
      <c r="L259" s="31">
        <v>49287.291707283337</v>
      </c>
      <c r="M259" s="31">
        <f t="shared" si="16"/>
        <v>2684982.088333196</v>
      </c>
      <c r="N259" s="31">
        <v>18903.889999999996</v>
      </c>
      <c r="P259" s="42" t="s">
        <v>577</v>
      </c>
      <c r="Q259" s="42" t="s">
        <v>578</v>
      </c>
      <c r="R259" s="43" t="s">
        <v>1050</v>
      </c>
      <c r="S259" s="44">
        <v>34</v>
      </c>
      <c r="T259" s="31">
        <v>2337461.0903599015</v>
      </c>
      <c r="U259" s="31">
        <v>47943.55000000001</v>
      </c>
      <c r="V259" s="31">
        <v>0</v>
      </c>
      <c r="W259" s="31">
        <v>4358.24</v>
      </c>
      <c r="X259" s="31">
        <v>154468.36130705292</v>
      </c>
      <c r="Y259" s="31">
        <v>363477.33369941521</v>
      </c>
      <c r="Z259" s="31">
        <v>52316.909498804649</v>
      </c>
      <c r="AA259" s="31">
        <f t="shared" si="17"/>
        <v>2979842.2248651744</v>
      </c>
      <c r="AB259" s="31">
        <v>19816.739999999998</v>
      </c>
      <c r="AD259" s="42" t="s">
        <v>577</v>
      </c>
      <c r="AE259" s="42" t="s">
        <v>578</v>
      </c>
      <c r="AF259" s="43" t="s">
        <v>1275</v>
      </c>
      <c r="AG259" s="44">
        <v>34</v>
      </c>
      <c r="AH259" s="31">
        <v>2394676.8479092522</v>
      </c>
      <c r="AI259" s="31">
        <v>47824.539999999994</v>
      </c>
      <c r="AJ259" s="31">
        <v>0</v>
      </c>
      <c r="AK259" s="31">
        <v>4328.66</v>
      </c>
      <c r="AL259" s="31">
        <v>158565.1565381313</v>
      </c>
      <c r="AM259" s="31">
        <v>362680.90759796521</v>
      </c>
      <c r="AN259" s="31">
        <v>53237.539135159146</v>
      </c>
      <c r="AO259" s="31">
        <f t="shared" si="18"/>
        <v>3041480.6011805078</v>
      </c>
      <c r="AP259" s="31">
        <v>20166.949999999997</v>
      </c>
      <c r="AR259" s="42" t="s">
        <v>577</v>
      </c>
      <c r="AS259" s="42" t="s">
        <v>578</v>
      </c>
      <c r="AT259" s="43" t="s">
        <v>1276</v>
      </c>
      <c r="AU259" s="44">
        <v>34</v>
      </c>
      <c r="AV259" s="31">
        <v>2447398.8895445447</v>
      </c>
      <c r="AW259" s="31">
        <v>47944.69</v>
      </c>
      <c r="AX259" s="31">
        <v>0</v>
      </c>
      <c r="AY259" s="31">
        <v>4408.1000000000004</v>
      </c>
      <c r="AZ259" s="31">
        <v>161914.15319495785</v>
      </c>
      <c r="BA259" s="31">
        <v>362703.66262943525</v>
      </c>
      <c r="BB259" s="31">
        <v>54223.502119294797</v>
      </c>
      <c r="BC259" s="31">
        <f t="shared" si="19"/>
        <v>3099135.0174882328</v>
      </c>
      <c r="BD259" s="31">
        <v>20542.02</v>
      </c>
    </row>
    <row r="260" spans="2:56">
      <c r="B260" s="42" t="s">
        <v>449</v>
      </c>
      <c r="C260" s="42" t="s">
        <v>450</v>
      </c>
      <c r="D260" s="43" t="s">
        <v>1049</v>
      </c>
      <c r="E260" s="44">
        <v>34</v>
      </c>
      <c r="F260" s="31">
        <v>40846470.943433389</v>
      </c>
      <c r="G260" s="31">
        <v>976388.44</v>
      </c>
      <c r="H260" s="31">
        <v>238795.02</v>
      </c>
      <c r="I260" s="31">
        <v>150522.25</v>
      </c>
      <c r="J260" s="31">
        <v>6807800.027756081</v>
      </c>
      <c r="K260" s="31">
        <v>2880669.512812051</v>
      </c>
      <c r="L260" s="31">
        <v>4198176.4756202763</v>
      </c>
      <c r="M260" s="31">
        <f t="shared" si="16"/>
        <v>56104554.669621795</v>
      </c>
      <c r="N260" s="31">
        <v>5732</v>
      </c>
      <c r="P260" s="42" t="s">
        <v>449</v>
      </c>
      <c r="Q260" s="42" t="s">
        <v>450</v>
      </c>
      <c r="R260" s="43" t="s">
        <v>1050</v>
      </c>
      <c r="S260" s="44">
        <v>34</v>
      </c>
      <c r="T260" s="31">
        <v>44802367.623794265</v>
      </c>
      <c r="U260" s="31">
        <v>1064603.0800000003</v>
      </c>
      <c r="V260" s="31">
        <v>252120.01</v>
      </c>
      <c r="W260" s="31">
        <v>164126.15</v>
      </c>
      <c r="X260" s="31">
        <v>7174512.0080110468</v>
      </c>
      <c r="Y260" s="31">
        <v>2885017.2972870409</v>
      </c>
      <c r="Z260" s="31">
        <v>4425994.4893112462</v>
      </c>
      <c r="AA260" s="31">
        <f t="shared" si="17"/>
        <v>60774709.6484036</v>
      </c>
      <c r="AB260" s="31">
        <v>5968.99</v>
      </c>
      <c r="AD260" s="42" t="s">
        <v>449</v>
      </c>
      <c r="AE260" s="42" t="s">
        <v>450</v>
      </c>
      <c r="AF260" s="43" t="s">
        <v>1275</v>
      </c>
      <c r="AG260" s="44">
        <v>34</v>
      </c>
      <c r="AH260" s="31">
        <v>46036318.541515306</v>
      </c>
      <c r="AI260" s="31">
        <v>1092038.32</v>
      </c>
      <c r="AJ260" s="31">
        <v>256604.54</v>
      </c>
      <c r="AK260" s="31">
        <v>168277.4</v>
      </c>
      <c r="AL260" s="31">
        <v>7305293.0238552727</v>
      </c>
      <c r="AM260" s="31">
        <v>2881625.1325003984</v>
      </c>
      <c r="AN260" s="31">
        <v>4505001.6786900526</v>
      </c>
      <c r="AO260" s="31">
        <f t="shared" si="18"/>
        <v>62251235.026561029</v>
      </c>
      <c r="AP260" s="31">
        <v>6076.3899999999994</v>
      </c>
      <c r="AR260" s="42" t="s">
        <v>449</v>
      </c>
      <c r="AS260" s="42" t="s">
        <v>450</v>
      </c>
      <c r="AT260" s="43" t="s">
        <v>1276</v>
      </c>
      <c r="AU260" s="44">
        <v>34</v>
      </c>
      <c r="AV260" s="31">
        <v>47448396.843721315</v>
      </c>
      <c r="AW260" s="31">
        <v>1126030.48</v>
      </c>
      <c r="AX260" s="31">
        <v>261407.47</v>
      </c>
      <c r="AY260" s="31">
        <v>173560.52</v>
      </c>
      <c r="AZ260" s="31">
        <v>7427699.1210080497</v>
      </c>
      <c r="BA260" s="31">
        <v>2881722.0514943022</v>
      </c>
      <c r="BB260" s="31">
        <v>4589616.0218605548</v>
      </c>
      <c r="BC260" s="31">
        <f t="shared" si="19"/>
        <v>63914623.938084222</v>
      </c>
      <c r="BD260" s="31">
        <v>6191.43</v>
      </c>
    </row>
    <row r="261" spans="2:56">
      <c r="B261" s="42" t="s">
        <v>115</v>
      </c>
      <c r="C261" s="42" t="s">
        <v>116</v>
      </c>
      <c r="D261" s="43" t="s">
        <v>1049</v>
      </c>
      <c r="E261" s="44">
        <v>34</v>
      </c>
      <c r="F261" s="31">
        <v>338095.06891283992</v>
      </c>
      <c r="G261" s="31">
        <v>0</v>
      </c>
      <c r="H261" s="31">
        <v>0</v>
      </c>
      <c r="I261" s="31">
        <v>0</v>
      </c>
      <c r="J261" s="31">
        <v>0</v>
      </c>
      <c r="K261" s="31">
        <v>105953.36240084749</v>
      </c>
      <c r="L261" s="31">
        <v>0</v>
      </c>
      <c r="M261" s="31">
        <f t="shared" ref="M261:M322" si="20">SUM(F261:L261,N261)</f>
        <v>444048.43131368741</v>
      </c>
      <c r="N261" s="31">
        <v>0</v>
      </c>
      <c r="P261" s="42" t="s">
        <v>115</v>
      </c>
      <c r="Q261" s="42" t="s">
        <v>116</v>
      </c>
      <c r="R261" s="43" t="s">
        <v>1050</v>
      </c>
      <c r="S261" s="44">
        <v>34</v>
      </c>
      <c r="T261" s="31">
        <v>372097.86595019122</v>
      </c>
      <c r="U261" s="31">
        <v>0</v>
      </c>
      <c r="V261" s="31">
        <v>0</v>
      </c>
      <c r="W261" s="31">
        <v>0</v>
      </c>
      <c r="X261" s="31">
        <v>0</v>
      </c>
      <c r="Y261" s="31">
        <v>106255.72096001178</v>
      </c>
      <c r="Z261" s="31">
        <v>0</v>
      </c>
      <c r="AA261" s="31">
        <f t="shared" ref="AA261:AA322" si="21">SUM(T261:Z261,AB261)</f>
        <v>478353.58691020298</v>
      </c>
      <c r="AB261" s="31">
        <v>0</v>
      </c>
      <c r="AD261" s="42" t="s">
        <v>115</v>
      </c>
      <c r="AE261" s="42" t="s">
        <v>116</v>
      </c>
      <c r="AF261" s="43" t="s">
        <v>1275</v>
      </c>
      <c r="AG261" s="44">
        <v>34</v>
      </c>
      <c r="AH261" s="31">
        <v>388522.71300778998</v>
      </c>
      <c r="AI261" s="31">
        <v>0</v>
      </c>
      <c r="AJ261" s="31">
        <v>0</v>
      </c>
      <c r="AK261" s="31">
        <v>0</v>
      </c>
      <c r="AL261" s="31">
        <v>0</v>
      </c>
      <c r="AM261" s="31">
        <v>106026.01000301179</v>
      </c>
      <c r="AN261" s="31">
        <v>0</v>
      </c>
      <c r="AO261" s="31">
        <f t="shared" ref="AO261:AO322" si="22">SUM(AH261:AN261,AP261)</f>
        <v>494548.72301080177</v>
      </c>
      <c r="AP261" s="31">
        <v>0</v>
      </c>
      <c r="AR261" s="42" t="s">
        <v>115</v>
      </c>
      <c r="AS261" s="42" t="s">
        <v>116</v>
      </c>
      <c r="AT261" s="43" t="s">
        <v>1276</v>
      </c>
      <c r="AU261" s="44">
        <v>34</v>
      </c>
      <c r="AV261" s="31">
        <v>402853.63202562206</v>
      </c>
      <c r="AW261" s="31">
        <v>0</v>
      </c>
      <c r="AX261" s="31">
        <v>0</v>
      </c>
      <c r="AY261" s="31">
        <v>0</v>
      </c>
      <c r="AZ261" s="31">
        <v>0</v>
      </c>
      <c r="BA261" s="31">
        <v>106032.57317321177</v>
      </c>
      <c r="BB261" s="31">
        <v>0</v>
      </c>
      <c r="BC261" s="31">
        <f t="shared" ref="BC261:BC322" si="23">SUM(AV261:BB261,BD261)</f>
        <v>508886.20519883384</v>
      </c>
      <c r="BD261" s="31">
        <v>0</v>
      </c>
    </row>
    <row r="262" spans="2:56">
      <c r="B262" s="42" t="s">
        <v>75</v>
      </c>
      <c r="C262" s="42" t="s">
        <v>76</v>
      </c>
      <c r="D262" s="43" t="s">
        <v>1049</v>
      </c>
      <c r="E262" s="44">
        <v>34</v>
      </c>
      <c r="F262" s="31">
        <v>3420955.7901091287</v>
      </c>
      <c r="G262" s="31">
        <v>130280.95</v>
      </c>
      <c r="H262" s="31">
        <v>0</v>
      </c>
      <c r="I262" s="31">
        <v>0</v>
      </c>
      <c r="J262" s="31">
        <v>226726.93169041289</v>
      </c>
      <c r="K262" s="31">
        <v>95832.400409903887</v>
      </c>
      <c r="L262" s="31">
        <v>0</v>
      </c>
      <c r="M262" s="31">
        <f t="shared" si="20"/>
        <v>3880617.062209446</v>
      </c>
      <c r="N262" s="31">
        <v>6820.99</v>
      </c>
      <c r="P262" s="42" t="s">
        <v>75</v>
      </c>
      <c r="Q262" s="42" t="s">
        <v>76</v>
      </c>
      <c r="R262" s="43" t="s">
        <v>1050</v>
      </c>
      <c r="S262" s="44">
        <v>34</v>
      </c>
      <c r="T262" s="31">
        <v>3731242.4160512355</v>
      </c>
      <c r="U262" s="31">
        <v>142378.82999999999</v>
      </c>
      <c r="V262" s="31">
        <v>0</v>
      </c>
      <c r="W262" s="31">
        <v>0</v>
      </c>
      <c r="X262" s="31">
        <v>242236.66875245952</v>
      </c>
      <c r="Y262" s="31">
        <v>95850.08173308683</v>
      </c>
      <c r="Z262" s="31">
        <v>0</v>
      </c>
      <c r="AA262" s="31">
        <f t="shared" si="21"/>
        <v>4218858.3565367823</v>
      </c>
      <c r="AB262" s="31">
        <v>7150.36</v>
      </c>
      <c r="AD262" s="42" t="s">
        <v>75</v>
      </c>
      <c r="AE262" s="42" t="s">
        <v>76</v>
      </c>
      <c r="AF262" s="43" t="s">
        <v>1275</v>
      </c>
      <c r="AG262" s="44">
        <v>34</v>
      </c>
      <c r="AH262" s="31">
        <v>3823464.5075332895</v>
      </c>
      <c r="AI262" s="31">
        <v>145387.37</v>
      </c>
      <c r="AJ262" s="31">
        <v>0</v>
      </c>
      <c r="AK262" s="31">
        <v>0</v>
      </c>
      <c r="AL262" s="31">
        <v>246436.18655855971</v>
      </c>
      <c r="AM262" s="31">
        <v>95836.648696229502</v>
      </c>
      <c r="AN262" s="31">
        <v>0</v>
      </c>
      <c r="AO262" s="31">
        <f t="shared" si="22"/>
        <v>4318401.4427880794</v>
      </c>
      <c r="AP262" s="31">
        <v>7276.73</v>
      </c>
      <c r="AR262" s="42" t="s">
        <v>75</v>
      </c>
      <c r="AS262" s="42" t="s">
        <v>76</v>
      </c>
      <c r="AT262" s="43" t="s">
        <v>1276</v>
      </c>
      <c r="AU262" s="44">
        <v>34</v>
      </c>
      <c r="AV262" s="31">
        <v>3938002.2393072457</v>
      </c>
      <c r="AW262" s="31">
        <v>149666.56</v>
      </c>
      <c r="AX262" s="31">
        <v>0</v>
      </c>
      <c r="AY262" s="31">
        <v>0</v>
      </c>
      <c r="AZ262" s="31">
        <v>250814.9353076159</v>
      </c>
      <c r="BA262" s="31">
        <v>95837.032497282562</v>
      </c>
      <c r="BB262" s="31">
        <v>0</v>
      </c>
      <c r="BC262" s="31">
        <f t="shared" si="23"/>
        <v>4441732.8371121446</v>
      </c>
      <c r="BD262" s="31">
        <v>7412.0700000000006</v>
      </c>
    </row>
    <row r="263" spans="2:56">
      <c r="B263" s="42" t="s">
        <v>31</v>
      </c>
      <c r="C263" s="42" t="s">
        <v>32</v>
      </c>
      <c r="D263" s="43" t="s">
        <v>1049</v>
      </c>
      <c r="E263" s="44">
        <v>34</v>
      </c>
      <c r="F263" s="31">
        <v>385114.89577810367</v>
      </c>
      <c r="G263" s="31">
        <v>0</v>
      </c>
      <c r="H263" s="31">
        <v>0</v>
      </c>
      <c r="I263" s="31">
        <v>0</v>
      </c>
      <c r="J263" s="31">
        <v>0</v>
      </c>
      <c r="K263" s="31">
        <v>0</v>
      </c>
      <c r="L263" s="31">
        <v>0</v>
      </c>
      <c r="M263" s="31">
        <f t="shared" si="20"/>
        <v>385114.89577810367</v>
      </c>
      <c r="N263" s="31">
        <v>0</v>
      </c>
      <c r="P263" s="42" t="s">
        <v>31</v>
      </c>
      <c r="Q263" s="42" t="s">
        <v>32</v>
      </c>
      <c r="R263" s="43" t="s">
        <v>1050</v>
      </c>
      <c r="S263" s="44">
        <v>34</v>
      </c>
      <c r="T263" s="31">
        <v>357110.46530765266</v>
      </c>
      <c r="U263" s="31">
        <v>0</v>
      </c>
      <c r="V263" s="31">
        <v>0</v>
      </c>
      <c r="W263" s="31">
        <v>0</v>
      </c>
      <c r="X263" s="31">
        <v>0</v>
      </c>
      <c r="Y263" s="31">
        <v>0</v>
      </c>
      <c r="Z263" s="31">
        <v>0</v>
      </c>
      <c r="AA263" s="31">
        <f t="shared" si="21"/>
        <v>357110.46530765266</v>
      </c>
      <c r="AB263" s="31">
        <v>0</v>
      </c>
      <c r="AD263" s="42" t="s">
        <v>31</v>
      </c>
      <c r="AE263" s="42" t="s">
        <v>32</v>
      </c>
      <c r="AF263" s="43" t="s">
        <v>1275</v>
      </c>
      <c r="AG263" s="44">
        <v>34</v>
      </c>
      <c r="AH263" s="31">
        <v>363510.19226488902</v>
      </c>
      <c r="AI263" s="31">
        <v>0</v>
      </c>
      <c r="AJ263" s="31">
        <v>0</v>
      </c>
      <c r="AK263" s="31">
        <v>0</v>
      </c>
      <c r="AL263" s="31">
        <v>0</v>
      </c>
      <c r="AM263" s="31">
        <v>0</v>
      </c>
      <c r="AN263" s="31">
        <v>0</v>
      </c>
      <c r="AO263" s="31">
        <f t="shared" si="22"/>
        <v>363510.19226488902</v>
      </c>
      <c r="AP263" s="31">
        <v>0</v>
      </c>
      <c r="AR263" s="42" t="s">
        <v>31</v>
      </c>
      <c r="AS263" s="42" t="s">
        <v>32</v>
      </c>
      <c r="AT263" s="43" t="s">
        <v>1276</v>
      </c>
      <c r="AU263" s="44">
        <v>34</v>
      </c>
      <c r="AV263" s="31">
        <v>370162.96228681831</v>
      </c>
      <c r="AW263" s="31">
        <v>0</v>
      </c>
      <c r="AX263" s="31">
        <v>0</v>
      </c>
      <c r="AY263" s="31">
        <v>0</v>
      </c>
      <c r="AZ263" s="31">
        <v>0</v>
      </c>
      <c r="BA263" s="31">
        <v>0</v>
      </c>
      <c r="BB263" s="31">
        <v>0</v>
      </c>
      <c r="BC263" s="31">
        <f t="shared" si="23"/>
        <v>370162.96228681831</v>
      </c>
      <c r="BD263" s="31">
        <v>0</v>
      </c>
    </row>
    <row r="264" spans="2:56">
      <c r="B264" s="42" t="s">
        <v>361</v>
      </c>
      <c r="C264" s="42" t="s">
        <v>362</v>
      </c>
      <c r="D264" s="43" t="s">
        <v>1049</v>
      </c>
      <c r="E264" s="44">
        <v>34</v>
      </c>
      <c r="F264" s="31">
        <v>25954163.133895583</v>
      </c>
      <c r="G264" s="31">
        <v>473641.8</v>
      </c>
      <c r="H264" s="31">
        <v>171701.46</v>
      </c>
      <c r="I264" s="31">
        <v>90793.960000000021</v>
      </c>
      <c r="J264" s="31">
        <v>3829186.6494214335</v>
      </c>
      <c r="K264" s="31">
        <v>2181563.9076841744</v>
      </c>
      <c r="L264" s="31">
        <v>2350314.2429059669</v>
      </c>
      <c r="M264" s="31">
        <f t="shared" si="20"/>
        <v>35062865.733907163</v>
      </c>
      <c r="N264" s="31">
        <v>11500.58</v>
      </c>
      <c r="P264" s="42" t="s">
        <v>361</v>
      </c>
      <c r="Q264" s="42" t="s">
        <v>362</v>
      </c>
      <c r="R264" s="43" t="s">
        <v>1050</v>
      </c>
      <c r="S264" s="44">
        <v>34</v>
      </c>
      <c r="T264" s="31">
        <v>29951670.704436898</v>
      </c>
      <c r="U264" s="31">
        <v>540963.81000000006</v>
      </c>
      <c r="V264" s="31">
        <v>181253.44000000003</v>
      </c>
      <c r="W264" s="31">
        <v>103725.54000000001</v>
      </c>
      <c r="X264" s="31">
        <v>4037748.2663085959</v>
      </c>
      <c r="Y264" s="31">
        <v>2185154.8129112977</v>
      </c>
      <c r="Z264" s="31">
        <v>2477279.1443506526</v>
      </c>
      <c r="AA264" s="31">
        <f t="shared" si="21"/>
        <v>39489750.788007446</v>
      </c>
      <c r="AB264" s="31">
        <v>11955.070000000002</v>
      </c>
      <c r="AD264" s="42" t="s">
        <v>361</v>
      </c>
      <c r="AE264" s="42" t="s">
        <v>362</v>
      </c>
      <c r="AF264" s="43" t="s">
        <v>1275</v>
      </c>
      <c r="AG264" s="44">
        <v>34</v>
      </c>
      <c r="AH264" s="31">
        <v>30992544.651996385</v>
      </c>
      <c r="AI264" s="31">
        <v>558878.77</v>
      </c>
      <c r="AJ264" s="31">
        <v>184425.03000000003</v>
      </c>
      <c r="AK264" s="31">
        <v>107165.91</v>
      </c>
      <c r="AL264" s="31">
        <v>4108001.6149442517</v>
      </c>
      <c r="AM264" s="31">
        <v>2182408.7260690508</v>
      </c>
      <c r="AN264" s="31">
        <v>2520985.3098041611</v>
      </c>
      <c r="AO264" s="31">
        <f t="shared" si="22"/>
        <v>40666577.042813852</v>
      </c>
      <c r="AP264" s="31">
        <v>12167.03</v>
      </c>
      <c r="AR264" s="42" t="s">
        <v>361</v>
      </c>
      <c r="AS264" s="42" t="s">
        <v>362</v>
      </c>
      <c r="AT264" s="43" t="s">
        <v>1276</v>
      </c>
      <c r="AU264" s="44">
        <v>34</v>
      </c>
      <c r="AV264" s="31">
        <v>31750241.301320571</v>
      </c>
      <c r="AW264" s="31">
        <v>572700.68999999994</v>
      </c>
      <c r="AX264" s="31">
        <v>187821.80000000005</v>
      </c>
      <c r="AY264" s="31">
        <v>109801.82999999999</v>
      </c>
      <c r="AZ264" s="31">
        <v>4178633.044857685</v>
      </c>
      <c r="BA264" s="31">
        <v>2182487.185693115</v>
      </c>
      <c r="BB264" s="31">
        <v>2567793.1566302674</v>
      </c>
      <c r="BC264" s="31">
        <f t="shared" si="23"/>
        <v>41561873.048501641</v>
      </c>
      <c r="BD264" s="31">
        <v>12394.039999999999</v>
      </c>
    </row>
    <row r="265" spans="2:56">
      <c r="B265" s="42" t="s">
        <v>569</v>
      </c>
      <c r="C265" s="42" t="s">
        <v>570</v>
      </c>
      <c r="D265" s="43" t="s">
        <v>1049</v>
      </c>
      <c r="E265" s="44">
        <v>34</v>
      </c>
      <c r="F265" s="31">
        <v>569324.36935035675</v>
      </c>
      <c r="G265" s="31">
        <v>0</v>
      </c>
      <c r="H265" s="31">
        <v>0</v>
      </c>
      <c r="I265" s="31">
        <v>0</v>
      </c>
      <c r="J265" s="31">
        <v>58279.029089469484</v>
      </c>
      <c r="K265" s="31">
        <v>86897.163026802955</v>
      </c>
      <c r="L265" s="31">
        <v>0</v>
      </c>
      <c r="M265" s="31">
        <f t="shared" si="20"/>
        <v>714500.56146662915</v>
      </c>
      <c r="N265" s="31">
        <v>0</v>
      </c>
      <c r="P265" s="42" t="s">
        <v>569</v>
      </c>
      <c r="Q265" s="42" t="s">
        <v>570</v>
      </c>
      <c r="R265" s="43" t="s">
        <v>1050</v>
      </c>
      <c r="S265" s="44">
        <v>34</v>
      </c>
      <c r="T265" s="31">
        <v>608551.14873717818</v>
      </c>
      <c r="U265" s="31">
        <v>0</v>
      </c>
      <c r="V265" s="31">
        <v>0</v>
      </c>
      <c r="W265" s="31">
        <v>0</v>
      </c>
      <c r="X265" s="31">
        <v>60825.261694418448</v>
      </c>
      <c r="Y265" s="31">
        <v>87057.188346358424</v>
      </c>
      <c r="Z265" s="31">
        <v>0</v>
      </c>
      <c r="AA265" s="31">
        <f t="shared" si="21"/>
        <v>756433.59877795517</v>
      </c>
      <c r="AB265" s="31">
        <v>0</v>
      </c>
      <c r="AD265" s="42" t="s">
        <v>569</v>
      </c>
      <c r="AE265" s="42" t="s">
        <v>570</v>
      </c>
      <c r="AF265" s="43" t="s">
        <v>1275</v>
      </c>
      <c r="AG265" s="44">
        <v>34</v>
      </c>
      <c r="AH265" s="31">
        <v>619905.02484236076</v>
      </c>
      <c r="AI265" s="31">
        <v>0</v>
      </c>
      <c r="AJ265" s="31">
        <v>0</v>
      </c>
      <c r="AK265" s="31">
        <v>0</v>
      </c>
      <c r="AL265" s="31">
        <v>61487.706867310553</v>
      </c>
      <c r="AM265" s="31">
        <v>86935.612263310148</v>
      </c>
      <c r="AN265" s="31">
        <v>0</v>
      </c>
      <c r="AO265" s="31">
        <f t="shared" si="22"/>
        <v>768328.34397298144</v>
      </c>
      <c r="AP265" s="31">
        <v>0</v>
      </c>
      <c r="AR265" s="42" t="s">
        <v>569</v>
      </c>
      <c r="AS265" s="42" t="s">
        <v>570</v>
      </c>
      <c r="AT265" s="43" t="s">
        <v>1276</v>
      </c>
      <c r="AU265" s="44">
        <v>34</v>
      </c>
      <c r="AV265" s="31">
        <v>631167.22136835288</v>
      </c>
      <c r="AW265" s="31">
        <v>0</v>
      </c>
      <c r="AX265" s="31">
        <v>0</v>
      </c>
      <c r="AY265" s="31">
        <v>0</v>
      </c>
      <c r="AZ265" s="31">
        <v>62606.732591973428</v>
      </c>
      <c r="BA265" s="31">
        <v>86939.085865682937</v>
      </c>
      <c r="BB265" s="31">
        <v>0</v>
      </c>
      <c r="BC265" s="31">
        <f t="shared" si="23"/>
        <v>780713.03982600919</v>
      </c>
      <c r="BD265" s="31">
        <v>0</v>
      </c>
    </row>
    <row r="266" spans="2:56">
      <c r="B266" s="42" t="s">
        <v>421</v>
      </c>
      <c r="C266" s="42" t="s">
        <v>422</v>
      </c>
      <c r="D266" s="43" t="s">
        <v>1049</v>
      </c>
      <c r="E266" s="44">
        <v>34</v>
      </c>
      <c r="F266" s="31">
        <v>6375834.4942030199</v>
      </c>
      <c r="G266" s="31">
        <v>253643.43999999997</v>
      </c>
      <c r="H266" s="31">
        <v>27089.08</v>
      </c>
      <c r="I266" s="31">
        <v>22022.059999999998</v>
      </c>
      <c r="J266" s="31">
        <v>1036368.1797604333</v>
      </c>
      <c r="K266" s="31">
        <v>678197.32459479372</v>
      </c>
      <c r="L266" s="31">
        <v>513844.2943660398</v>
      </c>
      <c r="M266" s="31">
        <f t="shared" si="20"/>
        <v>9133650.662924286</v>
      </c>
      <c r="N266" s="31">
        <v>226651.79</v>
      </c>
      <c r="P266" s="42" t="s">
        <v>421</v>
      </c>
      <c r="Q266" s="42" t="s">
        <v>422</v>
      </c>
      <c r="R266" s="43" t="s">
        <v>1050</v>
      </c>
      <c r="S266" s="44">
        <v>34</v>
      </c>
      <c r="T266" s="31">
        <v>7552326.5004358357</v>
      </c>
      <c r="U266" s="31">
        <v>300957.46999999997</v>
      </c>
      <c r="V266" s="31">
        <v>28847.410000000003</v>
      </c>
      <c r="W266" s="31">
        <v>25734.38</v>
      </c>
      <c r="X266" s="31">
        <v>1105219.1299597961</v>
      </c>
      <c r="Y266" s="31">
        <v>679633.79540745378</v>
      </c>
      <c r="Z266" s="31">
        <v>550715.62893700704</v>
      </c>
      <c r="AA266" s="31">
        <f t="shared" si="21"/>
        <v>10481030.974740094</v>
      </c>
      <c r="AB266" s="31">
        <v>237596.66</v>
      </c>
      <c r="AD266" s="42" t="s">
        <v>421</v>
      </c>
      <c r="AE266" s="42" t="s">
        <v>422</v>
      </c>
      <c r="AF266" s="43" t="s">
        <v>1275</v>
      </c>
      <c r="AG266" s="44">
        <v>34</v>
      </c>
      <c r="AH266" s="31">
        <v>7654772.6680624187</v>
      </c>
      <c r="AI266" s="31">
        <v>304775.75</v>
      </c>
      <c r="AJ266" s="31">
        <v>29350.360000000004</v>
      </c>
      <c r="AK266" s="31">
        <v>26077.5</v>
      </c>
      <c r="AL266" s="31">
        <v>1126875.7061751299</v>
      </c>
      <c r="AM266" s="31">
        <v>678542.46501485386</v>
      </c>
      <c r="AN266" s="31">
        <v>560405.10476579994</v>
      </c>
      <c r="AO266" s="31">
        <f t="shared" si="22"/>
        <v>10622595.054018203</v>
      </c>
      <c r="AP266" s="31">
        <v>241795.5</v>
      </c>
      <c r="AR266" s="42" t="s">
        <v>421</v>
      </c>
      <c r="AS266" s="42" t="s">
        <v>422</v>
      </c>
      <c r="AT266" s="43" t="s">
        <v>1276</v>
      </c>
      <c r="AU266" s="44">
        <v>34</v>
      </c>
      <c r="AV266" s="31">
        <v>7798524.1567144338</v>
      </c>
      <c r="AW266" s="31">
        <v>309987.27999999991</v>
      </c>
      <c r="AX266" s="31">
        <v>29889.010000000002</v>
      </c>
      <c r="AY266" s="31">
        <v>26556.089999999997</v>
      </c>
      <c r="AZ266" s="31">
        <v>1148586.8575614793</v>
      </c>
      <c r="BA266" s="31">
        <v>678573.64588321385</v>
      </c>
      <c r="BB266" s="31">
        <v>570782.20589083724</v>
      </c>
      <c r="BC266" s="31">
        <f t="shared" si="23"/>
        <v>10809191.726049965</v>
      </c>
      <c r="BD266" s="31">
        <v>246292.48000000001</v>
      </c>
    </row>
    <row r="267" spans="2:56">
      <c r="B267" s="42" t="s">
        <v>443</v>
      </c>
      <c r="C267" s="42" t="s">
        <v>444</v>
      </c>
      <c r="D267" s="43" t="s">
        <v>1049</v>
      </c>
      <c r="E267" s="44">
        <v>34</v>
      </c>
      <c r="F267" s="31">
        <v>17552040.264325533</v>
      </c>
      <c r="G267" s="31">
        <v>775197.3600000001</v>
      </c>
      <c r="H267" s="31">
        <v>390478.13999999996</v>
      </c>
      <c r="I267" s="31">
        <v>62783.65</v>
      </c>
      <c r="J267" s="31">
        <v>2801962.5131838545</v>
      </c>
      <c r="K267" s="31">
        <v>1447394.9327474032</v>
      </c>
      <c r="L267" s="31">
        <v>1460433.9602249907</v>
      </c>
      <c r="M267" s="31">
        <f t="shared" si="20"/>
        <v>25119256.480481781</v>
      </c>
      <c r="N267" s="31">
        <v>628965.65999999992</v>
      </c>
      <c r="P267" s="42" t="s">
        <v>443</v>
      </c>
      <c r="Q267" s="42" t="s">
        <v>444</v>
      </c>
      <c r="R267" s="43" t="s">
        <v>1050</v>
      </c>
      <c r="S267" s="44">
        <v>34</v>
      </c>
      <c r="T267" s="31">
        <v>20304482.697247483</v>
      </c>
      <c r="U267" s="31">
        <v>889999.64</v>
      </c>
      <c r="V267" s="31">
        <v>415402.85</v>
      </c>
      <c r="W267" s="31">
        <v>71356.070000000007</v>
      </c>
      <c r="X267" s="31">
        <v>2974691.6436188463</v>
      </c>
      <c r="Y267" s="31">
        <v>1451149.0812161951</v>
      </c>
      <c r="Z267" s="31">
        <v>1564716.721587593</v>
      </c>
      <c r="AA267" s="31">
        <f t="shared" si="21"/>
        <v>28331691.37367012</v>
      </c>
      <c r="AB267" s="31">
        <v>659892.67000000004</v>
      </c>
      <c r="AD267" s="42" t="s">
        <v>443</v>
      </c>
      <c r="AE267" s="42" t="s">
        <v>444</v>
      </c>
      <c r="AF267" s="43" t="s">
        <v>1275</v>
      </c>
      <c r="AG267" s="44">
        <v>34</v>
      </c>
      <c r="AH267" s="31">
        <v>21092837.475380313</v>
      </c>
      <c r="AI267" s="31">
        <v>922672.95999999985</v>
      </c>
      <c r="AJ267" s="31">
        <v>422785.07</v>
      </c>
      <c r="AK267" s="31">
        <v>73969.049999999988</v>
      </c>
      <c r="AL267" s="31">
        <v>3027527.5090772808</v>
      </c>
      <c r="AM267" s="31">
        <v>1448209.1438175451</v>
      </c>
      <c r="AN267" s="31">
        <v>1592644.047638244</v>
      </c>
      <c r="AO267" s="31">
        <f t="shared" si="22"/>
        <v>29252402.645913385</v>
      </c>
      <c r="AP267" s="31">
        <v>671757.39</v>
      </c>
      <c r="AR267" s="42" t="s">
        <v>443</v>
      </c>
      <c r="AS267" s="42" t="s">
        <v>444</v>
      </c>
      <c r="AT267" s="43" t="s">
        <v>1276</v>
      </c>
      <c r="AU267" s="44">
        <v>34</v>
      </c>
      <c r="AV267" s="31">
        <v>21935016.31575831</v>
      </c>
      <c r="AW267" s="31">
        <v>957468.73000000033</v>
      </c>
      <c r="AX267" s="31">
        <v>430691.43</v>
      </c>
      <c r="AY267" s="31">
        <v>76846.91</v>
      </c>
      <c r="AZ267" s="31">
        <v>3084406.886697771</v>
      </c>
      <c r="BA267" s="31">
        <v>1448293.142028935</v>
      </c>
      <c r="BB267" s="31">
        <v>1622553.388780291</v>
      </c>
      <c r="BC267" s="31">
        <f t="shared" si="23"/>
        <v>30239741.313265309</v>
      </c>
      <c r="BD267" s="31">
        <v>684464.50999999989</v>
      </c>
    </row>
    <row r="268" spans="2:56">
      <c r="B268" s="42" t="s">
        <v>1022</v>
      </c>
      <c r="C268" s="42" t="s">
        <v>1040</v>
      </c>
      <c r="D268" s="43" t="s">
        <v>1049</v>
      </c>
      <c r="E268" s="44">
        <v>34</v>
      </c>
      <c r="F268" s="31">
        <v>4372247.8882674482</v>
      </c>
      <c r="G268" s="31">
        <v>178752.71000000002</v>
      </c>
      <c r="H268" s="31">
        <v>159104.59</v>
      </c>
      <c r="I268" s="31">
        <v>15244.220000000003</v>
      </c>
      <c r="J268" s="31">
        <v>575890.58804156969</v>
      </c>
      <c r="K268" s="31">
        <v>549892.23</v>
      </c>
      <c r="L268" s="31">
        <v>0</v>
      </c>
      <c r="M268" s="31">
        <f t="shared" si="20"/>
        <v>6004816.6563090179</v>
      </c>
      <c r="N268" s="31">
        <v>153684.43</v>
      </c>
      <c r="P268" s="42" t="s">
        <v>1022</v>
      </c>
      <c r="Q268" s="42" t="s">
        <v>1040</v>
      </c>
      <c r="R268" s="43" t="s">
        <v>1050</v>
      </c>
      <c r="S268" s="44">
        <v>34</v>
      </c>
      <c r="T268" s="31">
        <v>6263869.2624880373</v>
      </c>
      <c r="U268" s="31">
        <v>268096.44</v>
      </c>
      <c r="V268" s="31">
        <v>169260.44999999998</v>
      </c>
      <c r="W268" s="31">
        <v>22584.080000000002</v>
      </c>
      <c r="X268" s="31">
        <v>610885.12876822776</v>
      </c>
      <c r="Y268" s="31">
        <v>549892.23</v>
      </c>
      <c r="Z268" s="31">
        <v>0</v>
      </c>
      <c r="AA268" s="31">
        <f t="shared" si="21"/>
        <v>8045828.861256266</v>
      </c>
      <c r="AB268" s="31">
        <v>161241.27000000002</v>
      </c>
      <c r="AD268" s="42" t="s">
        <v>1022</v>
      </c>
      <c r="AE268" s="42" t="s">
        <v>1040</v>
      </c>
      <c r="AF268" s="43" t="s">
        <v>1275</v>
      </c>
      <c r="AG268" s="44">
        <v>34</v>
      </c>
      <c r="AH268" s="31">
        <v>7134201.3238542173</v>
      </c>
      <c r="AI268" s="31">
        <v>304737.82000000007</v>
      </c>
      <c r="AJ268" s="31">
        <v>172268.41999999998</v>
      </c>
      <c r="AK268" s="31">
        <v>25675.210000000003</v>
      </c>
      <c r="AL268" s="31">
        <v>622689.26595693291</v>
      </c>
      <c r="AM268" s="31">
        <v>549892.23</v>
      </c>
      <c r="AN268" s="31">
        <v>0</v>
      </c>
      <c r="AO268" s="31">
        <f t="shared" si="22"/>
        <v>8973604.6298111491</v>
      </c>
      <c r="AP268" s="31">
        <v>164140.36000000002</v>
      </c>
      <c r="AR268" s="42" t="s">
        <v>1022</v>
      </c>
      <c r="AS268" s="42" t="s">
        <v>1040</v>
      </c>
      <c r="AT268" s="43" t="s">
        <v>1276</v>
      </c>
      <c r="AU268" s="44">
        <v>34</v>
      </c>
      <c r="AV268" s="31">
        <v>7359245.8927284256</v>
      </c>
      <c r="AW268" s="31">
        <v>314137.71999999997</v>
      </c>
      <c r="AX268" s="31">
        <v>175489.94999999998</v>
      </c>
      <c r="AY268" s="31">
        <v>26529.000000000004</v>
      </c>
      <c r="AZ268" s="31">
        <v>634555.02430516854</v>
      </c>
      <c r="BA268" s="31">
        <v>549892.23</v>
      </c>
      <c r="BB268" s="31">
        <v>0</v>
      </c>
      <c r="BC268" s="31">
        <f t="shared" si="23"/>
        <v>9227095.087033594</v>
      </c>
      <c r="BD268" s="31">
        <v>167245.27000000002</v>
      </c>
    </row>
    <row r="269" spans="2:56">
      <c r="B269" s="42" t="s">
        <v>391</v>
      </c>
      <c r="C269" s="42" t="s">
        <v>392</v>
      </c>
      <c r="D269" s="43" t="s">
        <v>1049</v>
      </c>
      <c r="E269" s="44">
        <v>34</v>
      </c>
      <c r="F269" s="31">
        <v>2004019.8586240229</v>
      </c>
      <c r="G269" s="31">
        <v>81790.639999999985</v>
      </c>
      <c r="H269" s="31">
        <v>32651.61</v>
      </c>
      <c r="I269" s="31">
        <v>5495.8100000000013</v>
      </c>
      <c r="J269" s="31">
        <v>217034.57474780016</v>
      </c>
      <c r="K269" s="31">
        <v>163150.46</v>
      </c>
      <c r="L269" s="31">
        <v>0</v>
      </c>
      <c r="M269" s="31">
        <f t="shared" si="20"/>
        <v>2561364.0733718234</v>
      </c>
      <c r="N269" s="31">
        <v>57221.119999999995</v>
      </c>
      <c r="P269" s="42" t="s">
        <v>391</v>
      </c>
      <c r="Q269" s="42" t="s">
        <v>392</v>
      </c>
      <c r="R269" s="43" t="s">
        <v>1050</v>
      </c>
      <c r="S269" s="44">
        <v>34</v>
      </c>
      <c r="T269" s="31">
        <v>2414819.7016704404</v>
      </c>
      <c r="U269" s="31">
        <v>117382.05000000005</v>
      </c>
      <c r="V269" s="31">
        <v>34746.410000000003</v>
      </c>
      <c r="W269" s="31">
        <v>7912.55</v>
      </c>
      <c r="X269" s="31">
        <v>229883.38710128705</v>
      </c>
      <c r="Y269" s="31">
        <v>163150.46</v>
      </c>
      <c r="Z269" s="31">
        <v>0</v>
      </c>
      <c r="AA269" s="31">
        <f t="shared" si="21"/>
        <v>3027914.1087717274</v>
      </c>
      <c r="AB269" s="31">
        <v>60019.549999999988</v>
      </c>
      <c r="AD269" s="42" t="s">
        <v>391</v>
      </c>
      <c r="AE269" s="42" t="s">
        <v>392</v>
      </c>
      <c r="AF269" s="43" t="s">
        <v>1275</v>
      </c>
      <c r="AG269" s="44">
        <v>34</v>
      </c>
      <c r="AH269" s="31">
        <v>2457767.5005118358</v>
      </c>
      <c r="AI269" s="31">
        <v>119443.12000000002</v>
      </c>
      <c r="AJ269" s="31">
        <v>35360.370000000003</v>
      </c>
      <c r="AK269" s="31">
        <v>8052.36</v>
      </c>
      <c r="AL269" s="31">
        <v>233972.4777552317</v>
      </c>
      <c r="AM269" s="31">
        <v>163150.46</v>
      </c>
      <c r="AN269" s="31">
        <v>0</v>
      </c>
      <c r="AO269" s="31">
        <f t="shared" si="22"/>
        <v>3078839.4082670677</v>
      </c>
      <c r="AP269" s="31">
        <v>61093.119999999988</v>
      </c>
      <c r="AR269" s="42" t="s">
        <v>391</v>
      </c>
      <c r="AS269" s="42" t="s">
        <v>392</v>
      </c>
      <c r="AT269" s="43" t="s">
        <v>1276</v>
      </c>
      <c r="AU269" s="44">
        <v>34</v>
      </c>
      <c r="AV269" s="31">
        <v>2503760.5372757181</v>
      </c>
      <c r="AW269" s="31">
        <v>121650.53</v>
      </c>
      <c r="AX269" s="31">
        <v>36017.920000000006</v>
      </c>
      <c r="AY269" s="31">
        <v>8202.0999999999985</v>
      </c>
      <c r="AZ269" s="31">
        <v>238351.94750548757</v>
      </c>
      <c r="BA269" s="31">
        <v>163150.46</v>
      </c>
      <c r="BB269" s="31">
        <v>0</v>
      </c>
      <c r="BC269" s="31">
        <f t="shared" si="23"/>
        <v>3133376.4147812054</v>
      </c>
      <c r="BD269" s="31">
        <v>62242.920000000006</v>
      </c>
    </row>
    <row r="270" spans="2:56">
      <c r="B270" s="42" t="s">
        <v>221</v>
      </c>
      <c r="C270" s="42" t="s">
        <v>222</v>
      </c>
      <c r="D270" s="43" t="s">
        <v>1049</v>
      </c>
      <c r="E270" s="44">
        <v>34</v>
      </c>
      <c r="F270" s="31">
        <v>2812960.1904540053</v>
      </c>
      <c r="G270" s="31">
        <v>82996.38</v>
      </c>
      <c r="H270" s="31">
        <v>100724.84</v>
      </c>
      <c r="I270" s="31">
        <v>9936.98</v>
      </c>
      <c r="J270" s="31">
        <v>388656.25018119102</v>
      </c>
      <c r="K270" s="31">
        <v>567488.78</v>
      </c>
      <c r="L270" s="31">
        <v>0</v>
      </c>
      <c r="M270" s="31">
        <f t="shared" si="20"/>
        <v>3962763.4206351964</v>
      </c>
      <c r="N270" s="31">
        <v>0</v>
      </c>
      <c r="P270" s="42" t="s">
        <v>221</v>
      </c>
      <c r="Q270" s="42" t="s">
        <v>222</v>
      </c>
      <c r="R270" s="43" t="s">
        <v>1050</v>
      </c>
      <c r="S270" s="44">
        <v>34</v>
      </c>
      <c r="T270" s="31">
        <v>3924819.6845617089</v>
      </c>
      <c r="U270" s="31">
        <v>115923.58</v>
      </c>
      <c r="V270" s="31">
        <v>107154.23</v>
      </c>
      <c r="W270" s="31">
        <v>13934.86</v>
      </c>
      <c r="X270" s="31">
        <v>411625.81556096178</v>
      </c>
      <c r="Y270" s="31">
        <v>567488.78</v>
      </c>
      <c r="Z270" s="31">
        <v>0</v>
      </c>
      <c r="AA270" s="31">
        <f t="shared" si="21"/>
        <v>5140946.9501226712</v>
      </c>
      <c r="AB270" s="31">
        <v>0</v>
      </c>
      <c r="AD270" s="42" t="s">
        <v>221</v>
      </c>
      <c r="AE270" s="42" t="s">
        <v>222</v>
      </c>
      <c r="AF270" s="43" t="s">
        <v>1275</v>
      </c>
      <c r="AG270" s="44">
        <v>34</v>
      </c>
      <c r="AH270" s="31">
        <v>4124176.7228137767</v>
      </c>
      <c r="AI270" s="31">
        <v>121773.84</v>
      </c>
      <c r="AJ270" s="31">
        <v>109058.5</v>
      </c>
      <c r="AK270" s="31">
        <v>14671.560000000001</v>
      </c>
      <c r="AL270" s="31">
        <v>418979.00558667083</v>
      </c>
      <c r="AM270" s="31">
        <v>567488.78</v>
      </c>
      <c r="AN270" s="31">
        <v>0</v>
      </c>
      <c r="AO270" s="31">
        <f t="shared" si="22"/>
        <v>5356148.4084004471</v>
      </c>
      <c r="AP270" s="31">
        <v>0</v>
      </c>
      <c r="AR270" s="42" t="s">
        <v>221</v>
      </c>
      <c r="AS270" s="42" t="s">
        <v>222</v>
      </c>
      <c r="AT270" s="43" t="s">
        <v>1276</v>
      </c>
      <c r="AU270" s="44">
        <v>34</v>
      </c>
      <c r="AV270" s="31">
        <v>4293933.2484203251</v>
      </c>
      <c r="AW270" s="31">
        <v>126666.61999999998</v>
      </c>
      <c r="AX270" s="31">
        <v>111097.95999999999</v>
      </c>
      <c r="AY270" s="31">
        <v>15195.03</v>
      </c>
      <c r="AZ270" s="31">
        <v>426854.36460308393</v>
      </c>
      <c r="BA270" s="31">
        <v>567488.78</v>
      </c>
      <c r="BB270" s="31">
        <v>0</v>
      </c>
      <c r="BC270" s="31">
        <f t="shared" si="23"/>
        <v>5541236.0030234093</v>
      </c>
      <c r="BD270" s="31">
        <v>0</v>
      </c>
    </row>
    <row r="271" spans="2:56">
      <c r="B271" s="42" t="s">
        <v>495</v>
      </c>
      <c r="C271" s="42" t="s">
        <v>496</v>
      </c>
      <c r="D271" s="43" t="s">
        <v>1049</v>
      </c>
      <c r="E271" s="44">
        <v>34</v>
      </c>
      <c r="F271" s="31">
        <v>663445.3646271273</v>
      </c>
      <c r="G271" s="31">
        <v>37905.230000000003</v>
      </c>
      <c r="H271" s="31">
        <v>0</v>
      </c>
      <c r="I271" s="31">
        <v>2046.29</v>
      </c>
      <c r="J271" s="31">
        <v>77745.358989579487</v>
      </c>
      <c r="K271" s="31">
        <v>0</v>
      </c>
      <c r="L271" s="31">
        <v>0</v>
      </c>
      <c r="M271" s="31">
        <f t="shared" si="20"/>
        <v>801994.99361670681</v>
      </c>
      <c r="N271" s="31">
        <v>20852.75</v>
      </c>
      <c r="P271" s="42" t="s">
        <v>495</v>
      </c>
      <c r="Q271" s="42" t="s">
        <v>496</v>
      </c>
      <c r="R271" s="43" t="s">
        <v>1050</v>
      </c>
      <c r="S271" s="44">
        <v>34</v>
      </c>
      <c r="T271" s="31">
        <v>662811.551949783</v>
      </c>
      <c r="U271" s="31">
        <v>36976.559999999983</v>
      </c>
      <c r="V271" s="31">
        <v>0</v>
      </c>
      <c r="W271" s="31">
        <v>1971.5999999999997</v>
      </c>
      <c r="X271" s="31">
        <v>80049.345089666167</v>
      </c>
      <c r="Y271" s="31">
        <v>0</v>
      </c>
      <c r="Z271" s="31">
        <v>0</v>
      </c>
      <c r="AA271" s="31">
        <f t="shared" si="21"/>
        <v>803668.76703944907</v>
      </c>
      <c r="AB271" s="31">
        <v>21859.710000000003</v>
      </c>
      <c r="AD271" s="42" t="s">
        <v>495</v>
      </c>
      <c r="AE271" s="42" t="s">
        <v>496</v>
      </c>
      <c r="AF271" s="43" t="s">
        <v>1275</v>
      </c>
      <c r="AG271" s="44">
        <v>34</v>
      </c>
      <c r="AH271" s="31">
        <v>651411.02735907701</v>
      </c>
      <c r="AI271" s="31">
        <v>37616.049999999988</v>
      </c>
      <c r="AJ271" s="31">
        <v>0</v>
      </c>
      <c r="AK271" s="31">
        <v>2005.9699999999996</v>
      </c>
      <c r="AL271" s="31">
        <v>81092.907618587342</v>
      </c>
      <c r="AM271" s="31">
        <v>0</v>
      </c>
      <c r="AN271" s="31">
        <v>0</v>
      </c>
      <c r="AO271" s="31">
        <f t="shared" si="22"/>
        <v>794371.97497766442</v>
      </c>
      <c r="AP271" s="31">
        <v>22246.02</v>
      </c>
      <c r="AR271" s="42" t="s">
        <v>495</v>
      </c>
      <c r="AS271" s="42" t="s">
        <v>496</v>
      </c>
      <c r="AT271" s="43" t="s">
        <v>1276</v>
      </c>
      <c r="AU271" s="44">
        <v>34</v>
      </c>
      <c r="AV271" s="31">
        <v>685996.9276521029</v>
      </c>
      <c r="AW271" s="31">
        <v>40021.169999999984</v>
      </c>
      <c r="AX271" s="31">
        <v>0</v>
      </c>
      <c r="AY271" s="31">
        <v>2150.2799999999997</v>
      </c>
      <c r="AZ271" s="31">
        <v>82896.535086135031</v>
      </c>
      <c r="BA271" s="31">
        <v>0</v>
      </c>
      <c r="BB271" s="31">
        <v>0</v>
      </c>
      <c r="BC271" s="31">
        <f t="shared" si="23"/>
        <v>833724.66273823788</v>
      </c>
      <c r="BD271" s="31">
        <v>22659.750000000004</v>
      </c>
    </row>
    <row r="272" spans="2:56">
      <c r="B272" s="42" t="s">
        <v>371</v>
      </c>
      <c r="C272" s="42" t="s">
        <v>372</v>
      </c>
      <c r="D272" s="43" t="s">
        <v>1049</v>
      </c>
      <c r="E272" s="44">
        <v>34</v>
      </c>
      <c r="F272" s="31">
        <v>86685427.923103526</v>
      </c>
      <c r="G272" s="31">
        <v>1980432.78</v>
      </c>
      <c r="H272" s="31">
        <v>726201.79999999993</v>
      </c>
      <c r="I272" s="31">
        <v>306364.68000000005</v>
      </c>
      <c r="J272" s="31">
        <v>12044673.861620503</v>
      </c>
      <c r="K272" s="31">
        <v>4521571.2075299555</v>
      </c>
      <c r="L272" s="31">
        <v>6313522.3172095455</v>
      </c>
      <c r="M272" s="31">
        <f t="shared" si="20"/>
        <v>112715051.11946353</v>
      </c>
      <c r="N272" s="31">
        <v>136856.54999999999</v>
      </c>
      <c r="P272" s="42" t="s">
        <v>371</v>
      </c>
      <c r="Q272" s="42" t="s">
        <v>372</v>
      </c>
      <c r="R272" s="43" t="s">
        <v>1050</v>
      </c>
      <c r="S272" s="44">
        <v>34</v>
      </c>
      <c r="T272" s="31">
        <v>91169111.643112838</v>
      </c>
      <c r="U272" s="31">
        <v>2090655.5700000003</v>
      </c>
      <c r="V272" s="31">
        <v>772792.1</v>
      </c>
      <c r="W272" s="31">
        <v>323038.32999999996</v>
      </c>
      <c r="X272" s="31">
        <v>12731950.532128662</v>
      </c>
      <c r="Y272" s="31">
        <v>4533792.2706382144</v>
      </c>
      <c r="Z272" s="31">
        <v>6699142.5394295864</v>
      </c>
      <c r="AA272" s="31">
        <f t="shared" si="21"/>
        <v>118464032.56530929</v>
      </c>
      <c r="AB272" s="31">
        <v>143549.58000000002</v>
      </c>
      <c r="AD272" s="42" t="s">
        <v>371</v>
      </c>
      <c r="AE272" s="42" t="s">
        <v>372</v>
      </c>
      <c r="AF272" s="43" t="s">
        <v>1275</v>
      </c>
      <c r="AG272" s="44">
        <v>34</v>
      </c>
      <c r="AH272" s="31">
        <v>93649861.097618282</v>
      </c>
      <c r="AI272" s="31">
        <v>2146471.3000000003</v>
      </c>
      <c r="AJ272" s="31">
        <v>786447.15999999992</v>
      </c>
      <c r="AK272" s="31">
        <v>331663.87000000005</v>
      </c>
      <c r="AL272" s="31">
        <v>12951682.249290546</v>
      </c>
      <c r="AM272" s="31">
        <v>4524310.6229025153</v>
      </c>
      <c r="AN272" s="31">
        <v>6818196.7052710429</v>
      </c>
      <c r="AO272" s="31">
        <f t="shared" si="22"/>
        <v>121354750.26508237</v>
      </c>
      <c r="AP272" s="31">
        <v>146117.25999999998</v>
      </c>
      <c r="AR272" s="42" t="s">
        <v>371</v>
      </c>
      <c r="AS272" s="42" t="s">
        <v>372</v>
      </c>
      <c r="AT272" s="43" t="s">
        <v>1276</v>
      </c>
      <c r="AU272" s="44">
        <v>34</v>
      </c>
      <c r="AV272" s="31">
        <v>96150000.634173438</v>
      </c>
      <c r="AW272" s="31">
        <v>2199786.1300000004</v>
      </c>
      <c r="AX272" s="31">
        <v>801071.73</v>
      </c>
      <c r="AY272" s="31">
        <v>339971.09</v>
      </c>
      <c r="AZ272" s="31">
        <v>13205546.945937125</v>
      </c>
      <c r="BA272" s="31">
        <v>4524581.5271235351</v>
      </c>
      <c r="BB272" s="31">
        <v>6945700.0100966431</v>
      </c>
      <c r="BC272" s="31">
        <f t="shared" si="23"/>
        <v>124315525.31733075</v>
      </c>
      <c r="BD272" s="31">
        <v>148867.24999999997</v>
      </c>
    </row>
    <row r="273" spans="2:56">
      <c r="B273" s="42" t="s">
        <v>595</v>
      </c>
      <c r="C273" s="42" t="s">
        <v>596</v>
      </c>
      <c r="D273" s="43" t="s">
        <v>1049</v>
      </c>
      <c r="E273" s="44">
        <v>34</v>
      </c>
      <c r="F273" s="31">
        <v>53208260.677478388</v>
      </c>
      <c r="G273" s="31">
        <v>3767720.63</v>
      </c>
      <c r="H273" s="31">
        <v>3086693.38</v>
      </c>
      <c r="I273" s="31">
        <v>180658.84</v>
      </c>
      <c r="J273" s="31">
        <v>7850638.4012261145</v>
      </c>
      <c r="K273" s="31">
        <v>3065070.5969906682</v>
      </c>
      <c r="L273" s="31">
        <v>2349537.1804656349</v>
      </c>
      <c r="M273" s="31">
        <f t="shared" si="20"/>
        <v>75362232.776160821</v>
      </c>
      <c r="N273" s="31">
        <v>1853653.07</v>
      </c>
      <c r="P273" s="42" t="s">
        <v>595</v>
      </c>
      <c r="Q273" s="42" t="s">
        <v>596</v>
      </c>
      <c r="R273" s="43" t="s">
        <v>1050</v>
      </c>
      <c r="S273" s="44">
        <v>34</v>
      </c>
      <c r="T273" s="31">
        <v>57546533.43386744</v>
      </c>
      <c r="U273" s="31">
        <v>4070067.080000001</v>
      </c>
      <c r="V273" s="31">
        <v>3287048.02</v>
      </c>
      <c r="W273" s="31">
        <v>193734.21</v>
      </c>
      <c r="X273" s="31">
        <v>8309053.6883450048</v>
      </c>
      <c r="Y273" s="31">
        <v>3072810.8617625912</v>
      </c>
      <c r="Z273" s="31">
        <v>2517945.1983991172</v>
      </c>
      <c r="AA273" s="31">
        <f t="shared" si="21"/>
        <v>80940357.242374152</v>
      </c>
      <c r="AB273" s="31">
        <v>1943164.75</v>
      </c>
      <c r="AD273" s="42" t="s">
        <v>595</v>
      </c>
      <c r="AE273" s="42" t="s">
        <v>596</v>
      </c>
      <c r="AF273" s="43" t="s">
        <v>1275</v>
      </c>
      <c r="AG273" s="44">
        <v>34</v>
      </c>
      <c r="AH273" s="31">
        <v>58154098.742329098</v>
      </c>
      <c r="AI273" s="31">
        <v>4113328.07</v>
      </c>
      <c r="AJ273" s="31">
        <v>3344357.17</v>
      </c>
      <c r="AK273" s="31">
        <v>195845.03</v>
      </c>
      <c r="AL273" s="31">
        <v>8455020.4140943307</v>
      </c>
      <c r="AM273" s="31">
        <v>3066930.3481329917</v>
      </c>
      <c r="AN273" s="31">
        <v>2562246.8643239709</v>
      </c>
      <c r="AO273" s="31">
        <f t="shared" si="22"/>
        <v>81869331.318880409</v>
      </c>
      <c r="AP273" s="31">
        <v>1977504.6800000002</v>
      </c>
      <c r="AR273" s="42" t="s">
        <v>595</v>
      </c>
      <c r="AS273" s="42" t="s">
        <v>596</v>
      </c>
      <c r="AT273" s="43" t="s">
        <v>1276</v>
      </c>
      <c r="AU273" s="44">
        <v>34</v>
      </c>
      <c r="AV273" s="31">
        <v>58187695.208616257</v>
      </c>
      <c r="AW273" s="31">
        <v>4112213.2299999986</v>
      </c>
      <c r="AX273" s="31">
        <v>3405735.29</v>
      </c>
      <c r="AY273" s="31">
        <v>195783.81999999998</v>
      </c>
      <c r="AZ273" s="31">
        <v>8622162.4425072856</v>
      </c>
      <c r="BA273" s="31">
        <v>3067098.3628081228</v>
      </c>
      <c r="BB273" s="31">
        <v>2609692.4512330885</v>
      </c>
      <c r="BC273" s="31">
        <f t="shared" si="23"/>
        <v>82214663.56516476</v>
      </c>
      <c r="BD273" s="31">
        <v>2014282.76</v>
      </c>
    </row>
    <row r="274" spans="2:56">
      <c r="B274" s="42" t="s">
        <v>237</v>
      </c>
      <c r="C274" s="42" t="s">
        <v>238</v>
      </c>
      <c r="D274" s="43" t="s">
        <v>1049</v>
      </c>
      <c r="E274" s="44">
        <v>34</v>
      </c>
      <c r="F274" s="31">
        <v>2273242.2756274929</v>
      </c>
      <c r="G274" s="31">
        <v>39522.080000000002</v>
      </c>
      <c r="H274" s="31">
        <v>0</v>
      </c>
      <c r="I274" s="31">
        <v>0</v>
      </c>
      <c r="J274" s="31">
        <v>106546.04957334505</v>
      </c>
      <c r="K274" s="31">
        <v>68769.66</v>
      </c>
      <c r="L274" s="31">
        <v>37412.189998806687</v>
      </c>
      <c r="M274" s="31">
        <f t="shared" si="20"/>
        <v>2553609.3851996446</v>
      </c>
      <c r="N274" s="31">
        <v>28117.13</v>
      </c>
      <c r="P274" s="42" t="s">
        <v>237</v>
      </c>
      <c r="Q274" s="42" t="s">
        <v>238</v>
      </c>
      <c r="R274" s="43" t="s">
        <v>1050</v>
      </c>
      <c r="S274" s="44">
        <v>34</v>
      </c>
      <c r="T274" s="31">
        <v>2415650.1707481761</v>
      </c>
      <c r="U274" s="31">
        <v>42457.030000000006</v>
      </c>
      <c r="V274" s="31">
        <v>0</v>
      </c>
      <c r="W274" s="31">
        <v>0</v>
      </c>
      <c r="X274" s="31">
        <v>112849.54838593493</v>
      </c>
      <c r="Y274" s="31">
        <v>68769.66</v>
      </c>
      <c r="Z274" s="31">
        <v>40051.172865072454</v>
      </c>
      <c r="AA274" s="31">
        <f t="shared" si="21"/>
        <v>2709277.2619991833</v>
      </c>
      <c r="AB274" s="31">
        <v>29499.68</v>
      </c>
      <c r="AD274" s="42" t="s">
        <v>237</v>
      </c>
      <c r="AE274" s="42" t="s">
        <v>238</v>
      </c>
      <c r="AF274" s="43" t="s">
        <v>1275</v>
      </c>
      <c r="AG274" s="44">
        <v>34</v>
      </c>
      <c r="AH274" s="31">
        <v>2458463.3058760697</v>
      </c>
      <c r="AI274" s="31">
        <v>43205.400000000016</v>
      </c>
      <c r="AJ274" s="31">
        <v>0</v>
      </c>
      <c r="AK274" s="31">
        <v>0</v>
      </c>
      <c r="AL274" s="31">
        <v>114863.6191288445</v>
      </c>
      <c r="AM274" s="31">
        <v>68769.66</v>
      </c>
      <c r="AN274" s="31">
        <v>40766.037561374862</v>
      </c>
      <c r="AO274" s="31">
        <f t="shared" si="22"/>
        <v>2756098.092566289</v>
      </c>
      <c r="AP274" s="31">
        <v>30030.07</v>
      </c>
      <c r="AR274" s="42" t="s">
        <v>237</v>
      </c>
      <c r="AS274" s="42" t="s">
        <v>238</v>
      </c>
      <c r="AT274" s="43" t="s">
        <v>1276</v>
      </c>
      <c r="AU274" s="44">
        <v>34</v>
      </c>
      <c r="AV274" s="31">
        <v>2504303.9617564892</v>
      </c>
      <c r="AW274" s="31">
        <v>44006.89</v>
      </c>
      <c r="AX274" s="31">
        <v>0</v>
      </c>
      <c r="AY274" s="31">
        <v>0</v>
      </c>
      <c r="AZ274" s="31">
        <v>117020.69256498985</v>
      </c>
      <c r="BA274" s="31">
        <v>68769.66</v>
      </c>
      <c r="BB274" s="31">
        <v>41531.636539314728</v>
      </c>
      <c r="BC274" s="31">
        <f t="shared" si="23"/>
        <v>2806230.9808607944</v>
      </c>
      <c r="BD274" s="31">
        <v>30598.14</v>
      </c>
    </row>
    <row r="275" spans="2:56">
      <c r="B275" s="42" t="s">
        <v>365</v>
      </c>
      <c r="C275" s="42" t="s">
        <v>366</v>
      </c>
      <c r="D275" s="43" t="s">
        <v>1049</v>
      </c>
      <c r="E275" s="44">
        <v>34</v>
      </c>
      <c r="F275" s="31">
        <v>238270948.37931061</v>
      </c>
      <c r="G275" s="31">
        <v>10841948.199999999</v>
      </c>
      <c r="H275" s="31">
        <v>5127271.330000001</v>
      </c>
      <c r="I275" s="31">
        <v>846032.10000000009</v>
      </c>
      <c r="J275" s="31">
        <v>38062383.343127437</v>
      </c>
      <c r="K275" s="31">
        <v>14300110.210898036</v>
      </c>
      <c r="L275" s="31">
        <v>18828001.909984902</v>
      </c>
      <c r="M275" s="31">
        <f t="shared" si="20"/>
        <v>331969604.60332096</v>
      </c>
      <c r="N275" s="31">
        <v>5692909.1300000008</v>
      </c>
      <c r="P275" s="42" t="s">
        <v>365</v>
      </c>
      <c r="Q275" s="42" t="s">
        <v>366</v>
      </c>
      <c r="R275" s="43" t="s">
        <v>1050</v>
      </c>
      <c r="S275" s="44">
        <v>34</v>
      </c>
      <c r="T275" s="31">
        <v>264246625.56404573</v>
      </c>
      <c r="U275" s="31">
        <v>11920780.669999998</v>
      </c>
      <c r="V275" s="31">
        <v>5456217.2800000003</v>
      </c>
      <c r="W275" s="31">
        <v>923474.53999999992</v>
      </c>
      <c r="X275" s="31">
        <v>40464083.703524835</v>
      </c>
      <c r="Y275" s="31">
        <v>14336828.030952176</v>
      </c>
      <c r="Z275" s="31">
        <v>20174270.302203838</v>
      </c>
      <c r="AA275" s="31">
        <f t="shared" si="21"/>
        <v>363493603.25072658</v>
      </c>
      <c r="AB275" s="31">
        <v>5971323.1600000011</v>
      </c>
      <c r="AD275" s="42" t="s">
        <v>365</v>
      </c>
      <c r="AE275" s="42" t="s">
        <v>366</v>
      </c>
      <c r="AF275" s="43" t="s">
        <v>1275</v>
      </c>
      <c r="AG275" s="44">
        <v>34</v>
      </c>
      <c r="AH275" s="31">
        <v>268952565.35987008</v>
      </c>
      <c r="AI275" s="31">
        <v>12118450.120000001</v>
      </c>
      <c r="AJ275" s="31">
        <v>5552627.370000002</v>
      </c>
      <c r="AK275" s="31">
        <v>938858.49000000011</v>
      </c>
      <c r="AL275" s="31">
        <v>41203920.066108651</v>
      </c>
      <c r="AM275" s="31">
        <v>14308340.702780141</v>
      </c>
      <c r="AN275" s="31">
        <v>20532770.284260575</v>
      </c>
      <c r="AO275" s="31">
        <f t="shared" si="22"/>
        <v>369685665.30301946</v>
      </c>
      <c r="AP275" s="31">
        <v>6078132.9100000011</v>
      </c>
      <c r="AR275" s="42" t="s">
        <v>365</v>
      </c>
      <c r="AS275" s="42" t="s">
        <v>366</v>
      </c>
      <c r="AT275" s="43" t="s">
        <v>1276</v>
      </c>
      <c r="AU275" s="44">
        <v>34</v>
      </c>
      <c r="AV275" s="31">
        <v>272354247.87135762</v>
      </c>
      <c r="AW275" s="31">
        <v>12266596.039999995</v>
      </c>
      <c r="AX275" s="31">
        <v>5655882.5700000012</v>
      </c>
      <c r="AY275" s="31">
        <v>950373.70999999985</v>
      </c>
      <c r="AZ275" s="31">
        <v>41978425.125816062</v>
      </c>
      <c r="BA275" s="31">
        <v>14309154.626442198</v>
      </c>
      <c r="BB275" s="31">
        <v>20916712.710270934</v>
      </c>
      <c r="BC275" s="31">
        <f t="shared" si="23"/>
        <v>374623918.80388677</v>
      </c>
      <c r="BD275" s="31">
        <v>6192526.1500000013</v>
      </c>
    </row>
    <row r="276" spans="2:56">
      <c r="B276" s="42" t="s">
        <v>153</v>
      </c>
      <c r="C276" s="42" t="s">
        <v>154</v>
      </c>
      <c r="D276" s="43" t="s">
        <v>1049</v>
      </c>
      <c r="E276" s="44">
        <v>34</v>
      </c>
      <c r="F276" s="31">
        <v>2193906.3891239888</v>
      </c>
      <c r="G276" s="31">
        <v>76492.540000000008</v>
      </c>
      <c r="H276" s="31">
        <v>0</v>
      </c>
      <c r="I276" s="31">
        <v>0</v>
      </c>
      <c r="J276" s="31">
        <v>195989.93451589323</v>
      </c>
      <c r="K276" s="31">
        <v>111849.42634267254</v>
      </c>
      <c r="L276" s="31">
        <v>31852.027890368867</v>
      </c>
      <c r="M276" s="31">
        <f t="shared" si="20"/>
        <v>2655790.9578729235</v>
      </c>
      <c r="N276" s="31">
        <v>45700.639999999999</v>
      </c>
      <c r="P276" s="42" t="s">
        <v>153</v>
      </c>
      <c r="Q276" s="42" t="s">
        <v>154</v>
      </c>
      <c r="R276" s="43" t="s">
        <v>1050</v>
      </c>
      <c r="S276" s="44">
        <v>34</v>
      </c>
      <c r="T276" s="31">
        <v>2391790.3912417972</v>
      </c>
      <c r="U276" s="31">
        <v>84915.12000000001</v>
      </c>
      <c r="V276" s="31">
        <v>0</v>
      </c>
      <c r="W276" s="31">
        <v>0</v>
      </c>
      <c r="X276" s="31">
        <v>208799.78431954782</v>
      </c>
      <c r="Y276" s="31">
        <v>112053.24793665862</v>
      </c>
      <c r="Z276" s="31">
        <v>34120.975755500018</v>
      </c>
      <c r="AA276" s="31">
        <f t="shared" si="21"/>
        <v>2879587.0092535042</v>
      </c>
      <c r="AB276" s="31">
        <v>47907.490000000005</v>
      </c>
      <c r="AD276" s="42" t="s">
        <v>153</v>
      </c>
      <c r="AE276" s="42" t="s">
        <v>154</v>
      </c>
      <c r="AF276" s="43" t="s">
        <v>1275</v>
      </c>
      <c r="AG276" s="44">
        <v>34</v>
      </c>
      <c r="AH276" s="31">
        <v>2442236.2886922881</v>
      </c>
      <c r="AI276" s="31">
        <v>85328.44</v>
      </c>
      <c r="AJ276" s="31">
        <v>0</v>
      </c>
      <c r="AK276" s="31">
        <v>0</v>
      </c>
      <c r="AL276" s="31">
        <v>215979.32499147064</v>
      </c>
      <c r="AM276" s="31">
        <v>111898.39849716792</v>
      </c>
      <c r="AN276" s="31">
        <v>34721.207958877218</v>
      </c>
      <c r="AO276" s="31">
        <f t="shared" si="22"/>
        <v>2938917.7801398039</v>
      </c>
      <c r="AP276" s="31">
        <v>48754.12</v>
      </c>
      <c r="AR276" s="42" t="s">
        <v>153</v>
      </c>
      <c r="AS276" s="42" t="s">
        <v>154</v>
      </c>
      <c r="AT276" s="43" t="s">
        <v>1276</v>
      </c>
      <c r="AU276" s="44">
        <v>34</v>
      </c>
      <c r="AV276" s="31">
        <v>2548190.1796144685</v>
      </c>
      <c r="AW276" s="31">
        <v>83119.5</v>
      </c>
      <c r="AX276" s="31">
        <v>0</v>
      </c>
      <c r="AY276" s="31">
        <v>0</v>
      </c>
      <c r="AZ276" s="31">
        <v>222947.64958171878</v>
      </c>
      <c r="BA276" s="31">
        <v>111902.82276686766</v>
      </c>
      <c r="BB276" s="31">
        <v>35364.0363858942</v>
      </c>
      <c r="BC276" s="31">
        <f t="shared" si="23"/>
        <v>3051185.0583489491</v>
      </c>
      <c r="BD276" s="31">
        <v>49660.87</v>
      </c>
    </row>
    <row r="277" spans="2:56">
      <c r="B277" s="42" t="s">
        <v>207</v>
      </c>
      <c r="C277" s="42" t="s">
        <v>208</v>
      </c>
      <c r="D277" s="43" t="s">
        <v>1049</v>
      </c>
      <c r="E277" s="44">
        <v>34</v>
      </c>
      <c r="F277" s="31">
        <v>80825810.915182307</v>
      </c>
      <c r="G277" s="31">
        <v>848611.08</v>
      </c>
      <c r="H277" s="31">
        <v>679424.10999999987</v>
      </c>
      <c r="I277" s="31">
        <v>290317.37</v>
      </c>
      <c r="J277" s="31">
        <v>11316501.292153418</v>
      </c>
      <c r="K277" s="31">
        <v>4351248.9134863839</v>
      </c>
      <c r="L277" s="31">
        <v>5790616.7415911825</v>
      </c>
      <c r="M277" s="31">
        <f t="shared" si="20"/>
        <v>104102530.42241329</v>
      </c>
      <c r="N277" s="31">
        <v>0</v>
      </c>
      <c r="P277" s="42" t="s">
        <v>207</v>
      </c>
      <c r="Q277" s="42" t="s">
        <v>208</v>
      </c>
      <c r="R277" s="43" t="s">
        <v>1050</v>
      </c>
      <c r="S277" s="44">
        <v>34</v>
      </c>
      <c r="T277" s="31">
        <v>91328440.737459064</v>
      </c>
      <c r="U277" s="31">
        <v>955703.39999999991</v>
      </c>
      <c r="V277" s="31">
        <v>722656.31</v>
      </c>
      <c r="W277" s="31">
        <v>326983.74</v>
      </c>
      <c r="X277" s="31">
        <v>11988298.546300465</v>
      </c>
      <c r="Y277" s="31">
        <v>4358490.0082106348</v>
      </c>
      <c r="Z277" s="31">
        <v>6142884.5017626965</v>
      </c>
      <c r="AA277" s="31">
        <f t="shared" si="21"/>
        <v>115823457.24373287</v>
      </c>
      <c r="AB277" s="31">
        <v>0</v>
      </c>
      <c r="AD277" s="42" t="s">
        <v>207</v>
      </c>
      <c r="AE277" s="42" t="s">
        <v>208</v>
      </c>
      <c r="AF277" s="43" t="s">
        <v>1275</v>
      </c>
      <c r="AG277" s="44">
        <v>34</v>
      </c>
      <c r="AH277" s="31">
        <v>93804479.76066868</v>
      </c>
      <c r="AI277" s="31">
        <v>982573.05</v>
      </c>
      <c r="AJ277" s="31">
        <v>735544.09999999986</v>
      </c>
      <c r="AK277" s="31">
        <v>336216.33999999997</v>
      </c>
      <c r="AL277" s="31">
        <v>12180827.971733896</v>
      </c>
      <c r="AM277" s="31">
        <v>4352819.3840027852</v>
      </c>
      <c r="AN277" s="31">
        <v>6252764.6597272418</v>
      </c>
      <c r="AO277" s="31">
        <f t="shared" si="22"/>
        <v>118645225.26613261</v>
      </c>
      <c r="AP277" s="31">
        <v>0</v>
      </c>
      <c r="AR277" s="42" t="s">
        <v>207</v>
      </c>
      <c r="AS277" s="42" t="s">
        <v>208</v>
      </c>
      <c r="AT277" s="43" t="s">
        <v>1276</v>
      </c>
      <c r="AU277" s="44">
        <v>34</v>
      </c>
      <c r="AV277" s="31">
        <v>96105630.956479117</v>
      </c>
      <c r="AW277" s="31">
        <v>1008198.2200000001</v>
      </c>
      <c r="AX277" s="31">
        <v>749346.91999999993</v>
      </c>
      <c r="AY277" s="31">
        <v>344963.97</v>
      </c>
      <c r="AZ277" s="31">
        <v>12384909.099984709</v>
      </c>
      <c r="BA277" s="31">
        <v>4352981.4018372949</v>
      </c>
      <c r="BB277" s="31">
        <v>6370443.0985552669</v>
      </c>
      <c r="BC277" s="31">
        <f t="shared" si="23"/>
        <v>121316473.66685638</v>
      </c>
      <c r="BD277" s="31">
        <v>0</v>
      </c>
    </row>
    <row r="278" spans="2:56">
      <c r="B278" s="42" t="s">
        <v>559</v>
      </c>
      <c r="C278" s="42" t="s">
        <v>560</v>
      </c>
      <c r="D278" s="43" t="s">
        <v>1049</v>
      </c>
      <c r="E278" s="44">
        <v>34</v>
      </c>
      <c r="F278" s="31">
        <v>2385407.5437095566</v>
      </c>
      <c r="G278" s="31">
        <v>81311.040000000008</v>
      </c>
      <c r="H278" s="31">
        <v>0</v>
      </c>
      <c r="I278" s="31">
        <v>0</v>
      </c>
      <c r="J278" s="31">
        <v>263188.72508553398</v>
      </c>
      <c r="K278" s="31">
        <v>144064.7140680064</v>
      </c>
      <c r="L278" s="31">
        <v>224894.25219391473</v>
      </c>
      <c r="M278" s="31">
        <f t="shared" si="20"/>
        <v>3155662.9350570119</v>
      </c>
      <c r="N278" s="31">
        <v>56796.66</v>
      </c>
      <c r="P278" s="42" t="s">
        <v>559</v>
      </c>
      <c r="Q278" s="42" t="s">
        <v>560</v>
      </c>
      <c r="R278" s="43" t="s">
        <v>1050</v>
      </c>
      <c r="S278" s="44">
        <v>34</v>
      </c>
      <c r="T278" s="31">
        <v>2498837.8293807385</v>
      </c>
      <c r="U278" s="31">
        <v>83079.789999999994</v>
      </c>
      <c r="V278" s="31">
        <v>0</v>
      </c>
      <c r="W278" s="31">
        <v>0</v>
      </c>
      <c r="X278" s="31">
        <v>277517.60603369866</v>
      </c>
      <c r="Y278" s="31">
        <v>144403.3336921641</v>
      </c>
      <c r="Z278" s="31">
        <v>241032.67663353414</v>
      </c>
      <c r="AA278" s="31">
        <f t="shared" si="21"/>
        <v>3304423.0357401352</v>
      </c>
      <c r="AB278" s="31">
        <v>59551.8</v>
      </c>
      <c r="AD278" s="42" t="s">
        <v>559</v>
      </c>
      <c r="AE278" s="42" t="s">
        <v>560</v>
      </c>
      <c r="AF278" s="43" t="s">
        <v>1275</v>
      </c>
      <c r="AG278" s="44">
        <v>34</v>
      </c>
      <c r="AH278" s="31">
        <v>2629188.1474837521</v>
      </c>
      <c r="AI278" s="31">
        <v>85395.790000000008</v>
      </c>
      <c r="AJ278" s="31">
        <v>0</v>
      </c>
      <c r="AK278" s="31">
        <v>0</v>
      </c>
      <c r="AL278" s="31">
        <v>283907.24846471875</v>
      </c>
      <c r="AM278" s="31">
        <v>144146.07410560161</v>
      </c>
      <c r="AN278" s="31">
        <v>245285.14322267362</v>
      </c>
      <c r="AO278" s="31">
        <f t="shared" si="22"/>
        <v>3448531.1632767464</v>
      </c>
      <c r="AP278" s="31">
        <v>60608.76</v>
      </c>
      <c r="AR278" s="42" t="s">
        <v>559</v>
      </c>
      <c r="AS278" s="42" t="s">
        <v>560</v>
      </c>
      <c r="AT278" s="43" t="s">
        <v>1276</v>
      </c>
      <c r="AU278" s="44">
        <v>34</v>
      </c>
      <c r="AV278" s="31">
        <v>2734129.5515934201</v>
      </c>
      <c r="AW278" s="31">
        <v>88402.890000000014</v>
      </c>
      <c r="AX278" s="31">
        <v>0</v>
      </c>
      <c r="AY278" s="31">
        <v>0</v>
      </c>
      <c r="AZ278" s="31">
        <v>289385.59592152922</v>
      </c>
      <c r="BA278" s="31">
        <v>144153.42437950338</v>
      </c>
      <c r="BB278" s="31">
        <v>249839.39462824195</v>
      </c>
      <c r="BC278" s="31">
        <f t="shared" si="23"/>
        <v>3567651.6365226945</v>
      </c>
      <c r="BD278" s="31">
        <v>61740.78</v>
      </c>
    </row>
    <row r="279" spans="2:56">
      <c r="B279" s="42" t="s">
        <v>521</v>
      </c>
      <c r="C279" s="42" t="s">
        <v>522</v>
      </c>
      <c r="D279" s="43" t="s">
        <v>1049</v>
      </c>
      <c r="E279" s="44">
        <v>34</v>
      </c>
      <c r="F279" s="31">
        <v>9697119.9903491549</v>
      </c>
      <c r="G279" s="31">
        <v>368236.07000000007</v>
      </c>
      <c r="H279" s="31">
        <v>15590.83</v>
      </c>
      <c r="I279" s="31">
        <v>34689.61</v>
      </c>
      <c r="J279" s="31">
        <v>1565830.9646135771</v>
      </c>
      <c r="K279" s="31">
        <v>1070938.6963558714</v>
      </c>
      <c r="L279" s="31">
        <v>1047941.0990938218</v>
      </c>
      <c r="M279" s="31">
        <f t="shared" si="20"/>
        <v>14043856.650412425</v>
      </c>
      <c r="N279" s="31">
        <v>243509.39</v>
      </c>
      <c r="P279" s="42" t="s">
        <v>521</v>
      </c>
      <c r="Q279" s="42" t="s">
        <v>522</v>
      </c>
      <c r="R279" s="43" t="s">
        <v>1050</v>
      </c>
      <c r="S279" s="44">
        <v>34</v>
      </c>
      <c r="T279" s="31">
        <v>10378232.032471893</v>
      </c>
      <c r="U279" s="31">
        <v>398675.47</v>
      </c>
      <c r="V279" s="31">
        <v>16602.84</v>
      </c>
      <c r="W279" s="31">
        <v>37148.82</v>
      </c>
      <c r="X279" s="31">
        <v>1656041.6968819415</v>
      </c>
      <c r="Y279" s="31">
        <v>1073648.6611130908</v>
      </c>
      <c r="Z279" s="31">
        <v>1112355.0253831442</v>
      </c>
      <c r="AA279" s="31">
        <f t="shared" si="21"/>
        <v>14927972.835850071</v>
      </c>
      <c r="AB279" s="31">
        <v>255268.29000000004</v>
      </c>
      <c r="AD279" s="42" t="s">
        <v>521</v>
      </c>
      <c r="AE279" s="42" t="s">
        <v>522</v>
      </c>
      <c r="AF279" s="43" t="s">
        <v>1275</v>
      </c>
      <c r="AG279" s="44">
        <v>34</v>
      </c>
      <c r="AH279" s="31">
        <v>10535955.746963901</v>
      </c>
      <c r="AI279" s="31">
        <v>406621.48999999987</v>
      </c>
      <c r="AJ279" s="31">
        <v>16892.309999999998</v>
      </c>
      <c r="AK279" s="31">
        <v>37902.080000000002</v>
      </c>
      <c r="AL279" s="31">
        <v>1677224.3011770395</v>
      </c>
      <c r="AM279" s="31">
        <v>1071589.8187917827</v>
      </c>
      <c r="AN279" s="31">
        <v>1131928.2381483472</v>
      </c>
      <c r="AO279" s="31">
        <f t="shared" si="22"/>
        <v>15137893.425081071</v>
      </c>
      <c r="AP279" s="31">
        <v>259779.44000000003</v>
      </c>
      <c r="AR279" s="42" t="s">
        <v>521</v>
      </c>
      <c r="AS279" s="42" t="s">
        <v>522</v>
      </c>
      <c r="AT279" s="43" t="s">
        <v>1276</v>
      </c>
      <c r="AU279" s="44">
        <v>34</v>
      </c>
      <c r="AV279" s="31">
        <v>10903293.428670742</v>
      </c>
      <c r="AW279" s="31">
        <v>417245.78</v>
      </c>
      <c r="AX279" s="31">
        <v>17202.309999999998</v>
      </c>
      <c r="AY279" s="31">
        <v>38920.22</v>
      </c>
      <c r="AZ279" s="31">
        <v>1719315.0144863355</v>
      </c>
      <c r="BA279" s="31">
        <v>1071648.6428581059</v>
      </c>
      <c r="BB279" s="31">
        <v>1152890.4813096793</v>
      </c>
      <c r="BC279" s="31">
        <f t="shared" si="23"/>
        <v>15585126.747324863</v>
      </c>
      <c r="BD279" s="31">
        <v>264610.87</v>
      </c>
    </row>
    <row r="280" spans="2:56">
      <c r="B280" s="42" t="s">
        <v>243</v>
      </c>
      <c r="C280" s="42" t="s">
        <v>244</v>
      </c>
      <c r="D280" s="43" t="s">
        <v>1049</v>
      </c>
      <c r="E280" s="44">
        <v>34</v>
      </c>
      <c r="F280" s="31">
        <v>2880120.2185061499</v>
      </c>
      <c r="G280" s="31">
        <v>66261.070000000007</v>
      </c>
      <c r="H280" s="31">
        <v>3897.71</v>
      </c>
      <c r="I280" s="31">
        <v>6236.329999999999</v>
      </c>
      <c r="J280" s="31">
        <v>303046.64767776546</v>
      </c>
      <c r="K280" s="31">
        <v>137478.34774182245</v>
      </c>
      <c r="L280" s="31">
        <v>119872.36120989984</v>
      </c>
      <c r="M280" s="31">
        <f t="shared" si="20"/>
        <v>3516912.6851356374</v>
      </c>
      <c r="N280" s="31">
        <v>0</v>
      </c>
      <c r="P280" s="42" t="s">
        <v>243</v>
      </c>
      <c r="Q280" s="42" t="s">
        <v>244</v>
      </c>
      <c r="R280" s="43" t="s">
        <v>1050</v>
      </c>
      <c r="S280" s="44">
        <v>34</v>
      </c>
      <c r="T280" s="31">
        <v>3032402.509562091</v>
      </c>
      <c r="U280" s="31">
        <v>77203.13</v>
      </c>
      <c r="V280" s="31">
        <v>4150.7</v>
      </c>
      <c r="W280" s="31">
        <v>7263.73</v>
      </c>
      <c r="X280" s="31">
        <v>318499.84640095651</v>
      </c>
      <c r="Y280" s="31">
        <v>137679.32129984308</v>
      </c>
      <c r="Z280" s="31">
        <v>127240.86302694706</v>
      </c>
      <c r="AA280" s="31">
        <f t="shared" si="21"/>
        <v>3704440.1002898379</v>
      </c>
      <c r="AB280" s="31">
        <v>0</v>
      </c>
      <c r="AD280" s="42" t="s">
        <v>243</v>
      </c>
      <c r="AE280" s="42" t="s">
        <v>244</v>
      </c>
      <c r="AF280" s="43" t="s">
        <v>1275</v>
      </c>
      <c r="AG280" s="44">
        <v>34</v>
      </c>
      <c r="AH280" s="31">
        <v>3125202.3670557542</v>
      </c>
      <c r="AI280" s="31">
        <v>78865.899999999994</v>
      </c>
      <c r="AJ280" s="31">
        <v>4223.08</v>
      </c>
      <c r="AK280" s="31">
        <v>7495.9700000000012</v>
      </c>
      <c r="AL280" s="31">
        <v>326550.99345997797</v>
      </c>
      <c r="AM280" s="31">
        <v>137526.63559955326</v>
      </c>
      <c r="AN280" s="31">
        <v>129479.83835529799</v>
      </c>
      <c r="AO280" s="31">
        <f t="shared" si="22"/>
        <v>3809344.7844705838</v>
      </c>
      <c r="AP280" s="31">
        <v>0</v>
      </c>
      <c r="AR280" s="42" t="s">
        <v>243</v>
      </c>
      <c r="AS280" s="42" t="s">
        <v>244</v>
      </c>
      <c r="AT280" s="43" t="s">
        <v>1276</v>
      </c>
      <c r="AU280" s="44">
        <v>34</v>
      </c>
      <c r="AV280" s="31">
        <v>3202289.4572950969</v>
      </c>
      <c r="AW280" s="31">
        <v>80635.829999999987</v>
      </c>
      <c r="AX280" s="31">
        <v>4300.579999999999</v>
      </c>
      <c r="AY280" s="31">
        <v>7633.5400000000009</v>
      </c>
      <c r="AZ280" s="31">
        <v>332723.49217443232</v>
      </c>
      <c r="BA280" s="31">
        <v>137530.99804813298</v>
      </c>
      <c r="BB280" s="31">
        <v>131877.70446536184</v>
      </c>
      <c r="BC280" s="31">
        <f t="shared" si="23"/>
        <v>3896991.6019830243</v>
      </c>
      <c r="BD280" s="31">
        <v>0</v>
      </c>
    </row>
    <row r="281" spans="2:56">
      <c r="B281" s="42" t="s">
        <v>285</v>
      </c>
      <c r="C281" s="42" t="s">
        <v>286</v>
      </c>
      <c r="D281" s="43" t="s">
        <v>1049</v>
      </c>
      <c r="E281" s="44">
        <v>34</v>
      </c>
      <c r="F281" s="31">
        <v>6776934.932862266</v>
      </c>
      <c r="G281" s="31">
        <v>268548.34999999998</v>
      </c>
      <c r="H281" s="31">
        <v>13518.21</v>
      </c>
      <c r="I281" s="31">
        <v>23202.879999999997</v>
      </c>
      <c r="J281" s="31">
        <v>1046072.1492639848</v>
      </c>
      <c r="K281" s="31">
        <v>516724.02064733685</v>
      </c>
      <c r="L281" s="31">
        <v>610290.86754111596</v>
      </c>
      <c r="M281" s="31">
        <f t="shared" si="20"/>
        <v>9433146.6903147027</v>
      </c>
      <c r="N281" s="31">
        <v>177855.28</v>
      </c>
      <c r="P281" s="42" t="s">
        <v>285</v>
      </c>
      <c r="Q281" s="42" t="s">
        <v>286</v>
      </c>
      <c r="R281" s="43" t="s">
        <v>1050</v>
      </c>
      <c r="S281" s="44">
        <v>34</v>
      </c>
      <c r="T281" s="31">
        <v>6920235.8342026314</v>
      </c>
      <c r="U281" s="31">
        <v>283299.24</v>
      </c>
      <c r="V281" s="31">
        <v>14392.039999999999</v>
      </c>
      <c r="W281" s="31">
        <v>24273.139999999996</v>
      </c>
      <c r="X281" s="31">
        <v>1092098.4682396501</v>
      </c>
      <c r="Y281" s="31">
        <v>517948.51782794442</v>
      </c>
      <c r="Z281" s="31">
        <v>654256.11219736934</v>
      </c>
      <c r="AA281" s="31">
        <f t="shared" si="21"/>
        <v>9692986.1524675954</v>
      </c>
      <c r="AB281" s="31">
        <v>186482.8</v>
      </c>
      <c r="AD281" s="42" t="s">
        <v>285</v>
      </c>
      <c r="AE281" s="42" t="s">
        <v>286</v>
      </c>
      <c r="AF281" s="43" t="s">
        <v>1275</v>
      </c>
      <c r="AG281" s="44">
        <v>34</v>
      </c>
      <c r="AH281" s="31">
        <v>7197243.7949240711</v>
      </c>
      <c r="AI281" s="31">
        <v>295432.07999999996</v>
      </c>
      <c r="AJ281" s="31">
        <v>14644.169999999998</v>
      </c>
      <c r="AK281" s="31">
        <v>25354.090000000004</v>
      </c>
      <c r="AL281" s="31">
        <v>1114546.0870182072</v>
      </c>
      <c r="AM281" s="31">
        <v>517018.23022511083</v>
      </c>
      <c r="AN281" s="31">
        <v>665799.16693666787</v>
      </c>
      <c r="AO281" s="31">
        <f t="shared" si="22"/>
        <v>10019830.249104057</v>
      </c>
      <c r="AP281" s="31">
        <v>189792.63</v>
      </c>
      <c r="AR281" s="42" t="s">
        <v>285</v>
      </c>
      <c r="AS281" s="42" t="s">
        <v>286</v>
      </c>
      <c r="AT281" s="43" t="s">
        <v>1276</v>
      </c>
      <c r="AU281" s="44">
        <v>34</v>
      </c>
      <c r="AV281" s="31">
        <v>7532769.5650413781</v>
      </c>
      <c r="AW281" s="31">
        <v>306844.59999999998</v>
      </c>
      <c r="AX281" s="31">
        <v>14914.199999999997</v>
      </c>
      <c r="AY281" s="31">
        <v>26266.79</v>
      </c>
      <c r="AZ281" s="31">
        <v>1141316.5818177748</v>
      </c>
      <c r="BA281" s="31">
        <v>517044.80987090606</v>
      </c>
      <c r="BB281" s="31">
        <v>678161.39770105644</v>
      </c>
      <c r="BC281" s="31">
        <f t="shared" si="23"/>
        <v>10410655.414431116</v>
      </c>
      <c r="BD281" s="31">
        <v>193337.46999999997</v>
      </c>
    </row>
    <row r="282" spans="2:56">
      <c r="B282" s="42" t="s">
        <v>339</v>
      </c>
      <c r="C282" s="42" t="s">
        <v>340</v>
      </c>
      <c r="D282" s="43" t="s">
        <v>1049</v>
      </c>
      <c r="E282" s="44">
        <v>34</v>
      </c>
      <c r="F282" s="31">
        <v>9478057.1762963198</v>
      </c>
      <c r="G282" s="31">
        <v>545192.07000000007</v>
      </c>
      <c r="H282" s="31">
        <v>202778.32</v>
      </c>
      <c r="I282" s="31">
        <v>31961.219999999998</v>
      </c>
      <c r="J282" s="31">
        <v>1186237.0633407147</v>
      </c>
      <c r="K282" s="31">
        <v>960823.91342787992</v>
      </c>
      <c r="L282" s="31">
        <v>378929.74975367688</v>
      </c>
      <c r="M282" s="31">
        <f t="shared" si="20"/>
        <v>13108074.042818591</v>
      </c>
      <c r="N282" s="31">
        <v>324094.52999999997</v>
      </c>
      <c r="P282" s="42" t="s">
        <v>339</v>
      </c>
      <c r="Q282" s="42" t="s">
        <v>340</v>
      </c>
      <c r="R282" s="43" t="s">
        <v>1050</v>
      </c>
      <c r="S282" s="44">
        <v>34</v>
      </c>
      <c r="T282" s="31">
        <v>9404637.3869890328</v>
      </c>
      <c r="U282" s="31">
        <v>543525.44999999995</v>
      </c>
      <c r="V282" s="31">
        <v>215940.49000000005</v>
      </c>
      <c r="W282" s="31">
        <v>31545.360000000001</v>
      </c>
      <c r="X282" s="31">
        <v>1256319.4982022257</v>
      </c>
      <c r="Y282" s="31">
        <v>962770.4124877227</v>
      </c>
      <c r="Z282" s="31">
        <v>405933.61636568711</v>
      </c>
      <c r="AA282" s="31">
        <f t="shared" si="21"/>
        <v>13160417.044044668</v>
      </c>
      <c r="AB282" s="31">
        <v>339744.83</v>
      </c>
      <c r="AD282" s="42" t="s">
        <v>339</v>
      </c>
      <c r="AE282" s="42" t="s">
        <v>340</v>
      </c>
      <c r="AF282" s="43" t="s">
        <v>1275</v>
      </c>
      <c r="AG282" s="44">
        <v>34</v>
      </c>
      <c r="AH282" s="31">
        <v>9846875.4470864721</v>
      </c>
      <c r="AI282" s="31">
        <v>568440.90000000014</v>
      </c>
      <c r="AJ282" s="31">
        <v>219705.39000000007</v>
      </c>
      <c r="AK282" s="31">
        <v>33045.550000000003</v>
      </c>
      <c r="AL282" s="31">
        <v>1276547.1811979797</v>
      </c>
      <c r="AM282" s="31">
        <v>961291.59818502213</v>
      </c>
      <c r="AN282" s="31">
        <v>413075.91250753845</v>
      </c>
      <c r="AO282" s="31">
        <f t="shared" si="22"/>
        <v>13664730.828977013</v>
      </c>
      <c r="AP282" s="31">
        <v>345748.85000000003</v>
      </c>
      <c r="AR282" s="42" t="s">
        <v>339</v>
      </c>
      <c r="AS282" s="42" t="s">
        <v>340</v>
      </c>
      <c r="AT282" s="43" t="s">
        <v>1276</v>
      </c>
      <c r="AU282" s="44">
        <v>34</v>
      </c>
      <c r="AV282" s="31">
        <v>10064793.593268722</v>
      </c>
      <c r="AW282" s="31">
        <v>578788.48000000021</v>
      </c>
      <c r="AX282" s="31">
        <v>223737.59000000003</v>
      </c>
      <c r="AY282" s="31">
        <v>33652.020000000004</v>
      </c>
      <c r="AZ282" s="31">
        <v>1303293.7359136769</v>
      </c>
      <c r="BA282" s="31">
        <v>961333.85002224217</v>
      </c>
      <c r="BB282" s="31">
        <v>420725.07010666118</v>
      </c>
      <c r="BC282" s="31">
        <f t="shared" si="23"/>
        <v>13938503.509311302</v>
      </c>
      <c r="BD282" s="31">
        <v>352179.17</v>
      </c>
    </row>
    <row r="283" spans="2:56">
      <c r="B283" s="42" t="s">
        <v>597</v>
      </c>
      <c r="C283" s="42" t="s">
        <v>598</v>
      </c>
      <c r="D283" s="43" t="s">
        <v>1049</v>
      </c>
      <c r="E283" s="44">
        <v>34</v>
      </c>
      <c r="F283" s="31">
        <v>32084115.568892218</v>
      </c>
      <c r="G283" s="31">
        <v>2490051.54</v>
      </c>
      <c r="H283" s="31">
        <v>2056333.9600000002</v>
      </c>
      <c r="I283" s="31">
        <v>119659.67000000001</v>
      </c>
      <c r="J283" s="31">
        <v>4855135.2442948455</v>
      </c>
      <c r="K283" s="31">
        <v>1461164.8718443906</v>
      </c>
      <c r="L283" s="31">
        <v>5380408.3723059278</v>
      </c>
      <c r="M283" s="31">
        <f t="shared" si="20"/>
        <v>49469335.807337381</v>
      </c>
      <c r="N283" s="31">
        <v>1022466.5800000001</v>
      </c>
      <c r="P283" s="42" t="s">
        <v>597</v>
      </c>
      <c r="Q283" s="42" t="s">
        <v>598</v>
      </c>
      <c r="R283" s="43" t="s">
        <v>1050</v>
      </c>
      <c r="S283" s="44">
        <v>34</v>
      </c>
      <c r="T283" s="31">
        <v>35855528.857902721</v>
      </c>
      <c r="U283" s="31">
        <v>2757393.2</v>
      </c>
      <c r="V283" s="31">
        <v>2189808.83</v>
      </c>
      <c r="W283" s="31">
        <v>131681.17000000001</v>
      </c>
      <c r="X283" s="31">
        <v>5153373.3322639186</v>
      </c>
      <c r="Y283" s="31">
        <v>1464072.7841549206</v>
      </c>
      <c r="Z283" s="31">
        <v>5766300.9262948819</v>
      </c>
      <c r="AA283" s="31">
        <f t="shared" si="21"/>
        <v>54389999.900616437</v>
      </c>
      <c r="AB283" s="31">
        <v>1071840.8</v>
      </c>
      <c r="AD283" s="42" t="s">
        <v>597</v>
      </c>
      <c r="AE283" s="42" t="s">
        <v>598</v>
      </c>
      <c r="AF283" s="43" t="s">
        <v>1275</v>
      </c>
      <c r="AG283" s="44">
        <v>34</v>
      </c>
      <c r="AH283" s="31">
        <v>36305935.774588101</v>
      </c>
      <c r="AI283" s="31">
        <v>2783781.4299999997</v>
      </c>
      <c r="AJ283" s="31">
        <v>2227987.7999999998</v>
      </c>
      <c r="AK283" s="31">
        <v>132921.22000000003</v>
      </c>
      <c r="AL283" s="31">
        <v>5253676.9984687315</v>
      </c>
      <c r="AM283" s="31">
        <v>1461863.5550807705</v>
      </c>
      <c r="AN283" s="31">
        <v>5867755.4135540351</v>
      </c>
      <c r="AO283" s="31">
        <f t="shared" si="22"/>
        <v>55124704.751691639</v>
      </c>
      <c r="AP283" s="31">
        <v>1090782.56</v>
      </c>
      <c r="AR283" s="42" t="s">
        <v>597</v>
      </c>
      <c r="AS283" s="42" t="s">
        <v>598</v>
      </c>
      <c r="AT283" s="43" t="s">
        <v>1276</v>
      </c>
      <c r="AU283" s="44">
        <v>34</v>
      </c>
      <c r="AV283" s="31">
        <v>36902505.724688046</v>
      </c>
      <c r="AW283" s="31">
        <v>2814605.9999999995</v>
      </c>
      <c r="AX283" s="31">
        <v>2268877.48</v>
      </c>
      <c r="AY283" s="31">
        <v>134393.06999999998</v>
      </c>
      <c r="AZ283" s="31">
        <v>5370678.0338905081</v>
      </c>
      <c r="BA283" s="31">
        <v>1461926.6759114605</v>
      </c>
      <c r="BB283" s="31">
        <v>5976409.7405239884</v>
      </c>
      <c r="BC283" s="31">
        <f t="shared" si="23"/>
        <v>56040465.905014001</v>
      </c>
      <c r="BD283" s="31">
        <v>1111069.1800000002</v>
      </c>
    </row>
    <row r="284" spans="2:56">
      <c r="B284" s="42" t="s">
        <v>531</v>
      </c>
      <c r="C284" s="42" t="s">
        <v>532</v>
      </c>
      <c r="D284" s="43" t="s">
        <v>1049</v>
      </c>
      <c r="E284" s="44">
        <v>34</v>
      </c>
      <c r="F284" s="31">
        <v>2471979.9747723937</v>
      </c>
      <c r="G284" s="31">
        <v>70256.200000000012</v>
      </c>
      <c r="H284" s="31">
        <v>61486.37</v>
      </c>
      <c r="I284" s="31">
        <v>0</v>
      </c>
      <c r="J284" s="31">
        <v>195133.20777359622</v>
      </c>
      <c r="K284" s="31">
        <v>140766.65336423967</v>
      </c>
      <c r="L284" s="31">
        <v>128270.77056264319</v>
      </c>
      <c r="M284" s="31">
        <f t="shared" si="20"/>
        <v>3126456.2664728728</v>
      </c>
      <c r="N284" s="31">
        <v>58563.089999999989</v>
      </c>
      <c r="P284" s="42" t="s">
        <v>531</v>
      </c>
      <c r="Q284" s="42" t="s">
        <v>532</v>
      </c>
      <c r="R284" s="43" t="s">
        <v>1050</v>
      </c>
      <c r="S284" s="44">
        <v>34</v>
      </c>
      <c r="T284" s="31">
        <v>2571280.5284000542</v>
      </c>
      <c r="U284" s="31">
        <v>73714.419999999984</v>
      </c>
      <c r="V284" s="31">
        <v>65477.4</v>
      </c>
      <c r="W284" s="31">
        <v>0</v>
      </c>
      <c r="X284" s="31">
        <v>206326.62667554046</v>
      </c>
      <c r="Y284" s="31">
        <v>141005.16159231099</v>
      </c>
      <c r="Z284" s="31">
        <v>137400.6784612498</v>
      </c>
      <c r="AA284" s="31">
        <f t="shared" si="21"/>
        <v>3256595.8751291553</v>
      </c>
      <c r="AB284" s="31">
        <v>61391.060000000005</v>
      </c>
      <c r="AD284" s="42" t="s">
        <v>531</v>
      </c>
      <c r="AE284" s="42" t="s">
        <v>532</v>
      </c>
      <c r="AF284" s="43" t="s">
        <v>1275</v>
      </c>
      <c r="AG284" s="44">
        <v>34</v>
      </c>
      <c r="AH284" s="31">
        <v>2544001.2795535452</v>
      </c>
      <c r="AI284" s="31">
        <v>72767.950000000012</v>
      </c>
      <c r="AJ284" s="31">
        <v>66618.989999999991</v>
      </c>
      <c r="AK284" s="31">
        <v>0</v>
      </c>
      <c r="AL284" s="31">
        <v>209003.64610333063</v>
      </c>
      <c r="AM284" s="31">
        <v>140823.95966611427</v>
      </c>
      <c r="AN284" s="31">
        <v>139818.37180748364</v>
      </c>
      <c r="AO284" s="31">
        <f t="shared" si="22"/>
        <v>3235510.1671304735</v>
      </c>
      <c r="AP284" s="31">
        <v>62475.969999999994</v>
      </c>
      <c r="AR284" s="42" t="s">
        <v>531</v>
      </c>
      <c r="AS284" s="42" t="s">
        <v>532</v>
      </c>
      <c r="AT284" s="43" t="s">
        <v>1276</v>
      </c>
      <c r="AU284" s="44">
        <v>34</v>
      </c>
      <c r="AV284" s="31">
        <v>2525245.1052089226</v>
      </c>
      <c r="AW284" s="31">
        <v>70325.090000000026</v>
      </c>
      <c r="AX284" s="31">
        <v>67841.63</v>
      </c>
      <c r="AY284" s="31">
        <v>0</v>
      </c>
      <c r="AZ284" s="31">
        <v>213577.09852482946</v>
      </c>
      <c r="BA284" s="31">
        <v>140829.13686400562</v>
      </c>
      <c r="BB284" s="31">
        <v>142407.6397075</v>
      </c>
      <c r="BC284" s="31">
        <f t="shared" si="23"/>
        <v>3223863.6203052574</v>
      </c>
      <c r="BD284" s="31">
        <v>63637.919999999991</v>
      </c>
    </row>
    <row r="285" spans="2:56">
      <c r="B285" s="42" t="s">
        <v>79</v>
      </c>
      <c r="C285" s="42" t="s">
        <v>80</v>
      </c>
      <c r="D285" s="43" t="s">
        <v>1049</v>
      </c>
      <c r="E285" s="44">
        <v>34</v>
      </c>
      <c r="F285" s="31">
        <v>6103363.3288619732</v>
      </c>
      <c r="G285" s="31">
        <v>185017.92</v>
      </c>
      <c r="H285" s="31">
        <v>0</v>
      </c>
      <c r="I285" s="31">
        <v>20277.310000000001</v>
      </c>
      <c r="J285" s="31">
        <v>889542.50505094475</v>
      </c>
      <c r="K285" s="31">
        <v>437617.34661909513</v>
      </c>
      <c r="L285" s="31">
        <v>538326.5781826654</v>
      </c>
      <c r="M285" s="31">
        <f t="shared" si="20"/>
        <v>8174144.9887146782</v>
      </c>
      <c r="N285" s="31">
        <v>0</v>
      </c>
      <c r="P285" s="42" t="s">
        <v>79</v>
      </c>
      <c r="Q285" s="42" t="s">
        <v>80</v>
      </c>
      <c r="R285" s="43" t="s">
        <v>1050</v>
      </c>
      <c r="S285" s="44">
        <v>34</v>
      </c>
      <c r="T285" s="31">
        <v>5993376.1618663352</v>
      </c>
      <c r="U285" s="31">
        <v>183122.64</v>
      </c>
      <c r="V285" s="31">
        <v>0</v>
      </c>
      <c r="W285" s="31">
        <v>19976.999999999996</v>
      </c>
      <c r="X285" s="31">
        <v>937903.75125728489</v>
      </c>
      <c r="Y285" s="31">
        <v>438492.70920720138</v>
      </c>
      <c r="Z285" s="31">
        <v>571366.3843815797</v>
      </c>
      <c r="AA285" s="31">
        <f t="shared" si="21"/>
        <v>8144238.6467124</v>
      </c>
      <c r="AB285" s="31">
        <v>0</v>
      </c>
      <c r="AD285" s="42" t="s">
        <v>79</v>
      </c>
      <c r="AE285" s="42" t="s">
        <v>80</v>
      </c>
      <c r="AF285" s="43" t="s">
        <v>1275</v>
      </c>
      <c r="AG285" s="44">
        <v>34</v>
      </c>
      <c r="AH285" s="31">
        <v>6102176.8612792855</v>
      </c>
      <c r="AI285" s="31">
        <v>186330.66</v>
      </c>
      <c r="AJ285" s="31">
        <v>0</v>
      </c>
      <c r="AK285" s="31">
        <v>20326.969999999998</v>
      </c>
      <c r="AL285" s="31">
        <v>954425.11013892095</v>
      </c>
      <c r="AM285" s="31">
        <v>437827.66973091976</v>
      </c>
      <c r="AN285" s="31">
        <v>581447.83165505994</v>
      </c>
      <c r="AO285" s="31">
        <f t="shared" si="22"/>
        <v>8282535.1028041858</v>
      </c>
      <c r="AP285" s="31">
        <v>0</v>
      </c>
      <c r="AR285" s="42" t="s">
        <v>79</v>
      </c>
      <c r="AS285" s="42" t="s">
        <v>80</v>
      </c>
      <c r="AT285" s="43" t="s">
        <v>1276</v>
      </c>
      <c r="AU285" s="44">
        <v>34</v>
      </c>
      <c r="AV285" s="31">
        <v>6218472.0655502798</v>
      </c>
      <c r="AW285" s="31">
        <v>189766.46</v>
      </c>
      <c r="AX285" s="31">
        <v>0</v>
      </c>
      <c r="AY285" s="31">
        <v>20701.780000000002</v>
      </c>
      <c r="AZ285" s="31">
        <v>972119.40620272711</v>
      </c>
      <c r="BA285" s="31">
        <v>437846.67085881357</v>
      </c>
      <c r="BB285" s="31">
        <v>592244.72582055745</v>
      </c>
      <c r="BC285" s="31">
        <f t="shared" si="23"/>
        <v>8431151.1084323786</v>
      </c>
      <c r="BD285" s="31">
        <v>0</v>
      </c>
    </row>
    <row r="286" spans="2:56">
      <c r="B286" s="42" t="s">
        <v>257</v>
      </c>
      <c r="C286" s="42" t="s">
        <v>258</v>
      </c>
      <c r="D286" s="43" t="s">
        <v>1049</v>
      </c>
      <c r="E286" s="44">
        <v>34</v>
      </c>
      <c r="F286" s="31">
        <v>2496010.6640299731</v>
      </c>
      <c r="G286" s="31">
        <v>0</v>
      </c>
      <c r="H286" s="31">
        <v>23678.59</v>
      </c>
      <c r="I286" s="31">
        <v>5359.369999999999</v>
      </c>
      <c r="J286" s="31">
        <v>154913.04096254066</v>
      </c>
      <c r="K286" s="31">
        <v>135749.48480082987</v>
      </c>
      <c r="L286" s="31">
        <v>0</v>
      </c>
      <c r="M286" s="31">
        <f t="shared" si="20"/>
        <v>2815711.1497933436</v>
      </c>
      <c r="N286" s="31">
        <v>0</v>
      </c>
      <c r="P286" s="42" t="s">
        <v>257</v>
      </c>
      <c r="Q286" s="42" t="s">
        <v>258</v>
      </c>
      <c r="R286" s="43" t="s">
        <v>1050</v>
      </c>
      <c r="S286" s="44">
        <v>34</v>
      </c>
      <c r="T286" s="31">
        <v>2786809.9433852644</v>
      </c>
      <c r="U286" s="31">
        <v>0</v>
      </c>
      <c r="V286" s="31">
        <v>25215.54</v>
      </c>
      <c r="W286" s="31">
        <v>6329.83</v>
      </c>
      <c r="X286" s="31">
        <v>165351.64927940248</v>
      </c>
      <c r="Y286" s="31">
        <v>136106.45023258115</v>
      </c>
      <c r="Z286" s="31">
        <v>0</v>
      </c>
      <c r="AA286" s="31">
        <f t="shared" si="21"/>
        <v>3119813.4128972483</v>
      </c>
      <c r="AB286" s="31">
        <v>0</v>
      </c>
      <c r="AD286" s="42" t="s">
        <v>257</v>
      </c>
      <c r="AE286" s="42" t="s">
        <v>258</v>
      </c>
      <c r="AF286" s="43" t="s">
        <v>1275</v>
      </c>
      <c r="AG286" s="44">
        <v>34</v>
      </c>
      <c r="AH286" s="31">
        <v>2876279.0028368644</v>
      </c>
      <c r="AI286" s="31">
        <v>0</v>
      </c>
      <c r="AJ286" s="31">
        <v>25655.170000000006</v>
      </c>
      <c r="AK286" s="31">
        <v>6440.18</v>
      </c>
      <c r="AL286" s="31">
        <v>167853.82446944312</v>
      </c>
      <c r="AM286" s="31">
        <v>135835.25278022478</v>
      </c>
      <c r="AN286" s="31">
        <v>0</v>
      </c>
      <c r="AO286" s="31">
        <f t="shared" si="22"/>
        <v>3212063.4300865321</v>
      </c>
      <c r="AP286" s="31">
        <v>0</v>
      </c>
      <c r="AR286" s="42" t="s">
        <v>257</v>
      </c>
      <c r="AS286" s="42" t="s">
        <v>258</v>
      </c>
      <c r="AT286" s="43" t="s">
        <v>1276</v>
      </c>
      <c r="AU286" s="44">
        <v>34</v>
      </c>
      <c r="AV286" s="31">
        <v>2948849.7584464108</v>
      </c>
      <c r="AW286" s="31">
        <v>0</v>
      </c>
      <c r="AX286" s="31">
        <v>26126.020000000004</v>
      </c>
      <c r="AY286" s="31">
        <v>6773.42</v>
      </c>
      <c r="AZ286" s="31">
        <v>171302.79435285073</v>
      </c>
      <c r="BA286" s="31">
        <v>135843.00127886355</v>
      </c>
      <c r="BB286" s="31">
        <v>0</v>
      </c>
      <c r="BC286" s="31">
        <f t="shared" si="23"/>
        <v>3288894.9940781253</v>
      </c>
      <c r="BD286" s="31">
        <v>0</v>
      </c>
    </row>
    <row r="287" spans="2:56">
      <c r="B287" s="42" t="s">
        <v>201</v>
      </c>
      <c r="C287" s="42" t="s">
        <v>202</v>
      </c>
      <c r="D287" s="43" t="s">
        <v>1049</v>
      </c>
      <c r="E287" s="44">
        <v>34</v>
      </c>
      <c r="F287" s="31">
        <v>23687724.728759062</v>
      </c>
      <c r="G287" s="31">
        <v>1369383.6</v>
      </c>
      <c r="H287" s="31">
        <v>1738858.5800000003</v>
      </c>
      <c r="I287" s="31">
        <v>82318.850000000006</v>
      </c>
      <c r="J287" s="31">
        <v>3565386.1782605499</v>
      </c>
      <c r="K287" s="31">
        <v>921753.55166467745</v>
      </c>
      <c r="L287" s="31">
        <v>1035336.0476193475</v>
      </c>
      <c r="M287" s="31">
        <f t="shared" si="20"/>
        <v>33245404.816303641</v>
      </c>
      <c r="N287" s="31">
        <v>844643.2799999998</v>
      </c>
      <c r="P287" s="42" t="s">
        <v>201</v>
      </c>
      <c r="Q287" s="42" t="s">
        <v>202</v>
      </c>
      <c r="R287" s="43" t="s">
        <v>1050</v>
      </c>
      <c r="S287" s="44">
        <v>34</v>
      </c>
      <c r="T287" s="31">
        <v>27904189.727590632</v>
      </c>
      <c r="U287" s="31">
        <v>1605280.68</v>
      </c>
      <c r="V287" s="31">
        <v>1849852.1</v>
      </c>
      <c r="W287" s="31">
        <v>95742.079999999987</v>
      </c>
      <c r="X287" s="31">
        <v>3774068.5150630572</v>
      </c>
      <c r="Y287" s="31">
        <v>923809.07788935618</v>
      </c>
      <c r="Z287" s="31">
        <v>1109170.2739639848</v>
      </c>
      <c r="AA287" s="31">
        <f t="shared" si="21"/>
        <v>38148287.88450703</v>
      </c>
      <c r="AB287" s="31">
        <v>886175.42999999993</v>
      </c>
      <c r="AD287" s="42" t="s">
        <v>201</v>
      </c>
      <c r="AE287" s="42" t="s">
        <v>202</v>
      </c>
      <c r="AF287" s="43" t="s">
        <v>1275</v>
      </c>
      <c r="AG287" s="44">
        <v>34</v>
      </c>
      <c r="AH287" s="31">
        <v>28160515.797024302</v>
      </c>
      <c r="AI287" s="31">
        <v>1620174.76</v>
      </c>
      <c r="AJ287" s="31">
        <v>1882726.2600000002</v>
      </c>
      <c r="AK287" s="31">
        <v>96709.959999999977</v>
      </c>
      <c r="AL287" s="31">
        <v>3840941.2330588922</v>
      </c>
      <c r="AM287" s="31">
        <v>922199.36040692974</v>
      </c>
      <c r="AN287" s="31">
        <v>1128966.9335028722</v>
      </c>
      <c r="AO287" s="31">
        <f t="shared" si="22"/>
        <v>38554342.963992998</v>
      </c>
      <c r="AP287" s="31">
        <v>902108.65999999992</v>
      </c>
      <c r="AR287" s="42" t="s">
        <v>201</v>
      </c>
      <c r="AS287" s="42" t="s">
        <v>202</v>
      </c>
      <c r="AT287" s="43" t="s">
        <v>1276</v>
      </c>
      <c r="AU287" s="44">
        <v>34</v>
      </c>
      <c r="AV287" s="31">
        <v>28334773.700460777</v>
      </c>
      <c r="AW287" s="31">
        <v>1629977.08</v>
      </c>
      <c r="AX287" s="31">
        <v>1917934.47</v>
      </c>
      <c r="AY287" s="31">
        <v>97273</v>
      </c>
      <c r="AZ287" s="31">
        <v>3913492.114333516</v>
      </c>
      <c r="BA287" s="31">
        <v>922245.35233499901</v>
      </c>
      <c r="BB287" s="31">
        <v>1150168.5710212202</v>
      </c>
      <c r="BC287" s="31">
        <f t="shared" si="23"/>
        <v>38885037.458150513</v>
      </c>
      <c r="BD287" s="31">
        <v>919173.16999999993</v>
      </c>
    </row>
    <row r="288" spans="2:56">
      <c r="B288" s="42" t="s">
        <v>511</v>
      </c>
      <c r="C288" s="42" t="s">
        <v>512</v>
      </c>
      <c r="D288" s="43" t="s">
        <v>1049</v>
      </c>
      <c r="E288" s="44">
        <v>34</v>
      </c>
      <c r="F288" s="31">
        <v>50265488.404364049</v>
      </c>
      <c r="G288" s="31">
        <v>1276304.8999999999</v>
      </c>
      <c r="H288" s="31">
        <v>218758.94</v>
      </c>
      <c r="I288" s="31">
        <v>186310.49999999997</v>
      </c>
      <c r="J288" s="31">
        <v>7721549.9907863783</v>
      </c>
      <c r="K288" s="31">
        <v>3678988.4508556905</v>
      </c>
      <c r="L288" s="31">
        <v>8303173.4728904571</v>
      </c>
      <c r="M288" s="31">
        <f t="shared" si="20"/>
        <v>71650574.658896565</v>
      </c>
      <c r="N288" s="31">
        <v>0</v>
      </c>
      <c r="P288" s="42" t="s">
        <v>511</v>
      </c>
      <c r="Q288" s="42" t="s">
        <v>512</v>
      </c>
      <c r="R288" s="43" t="s">
        <v>1050</v>
      </c>
      <c r="S288" s="44">
        <v>34</v>
      </c>
      <c r="T288" s="31">
        <v>52538834.039162047</v>
      </c>
      <c r="U288" s="31">
        <v>1335282.1700000002</v>
      </c>
      <c r="V288" s="31">
        <v>232958.38999999998</v>
      </c>
      <c r="W288" s="31">
        <v>194875.64999999997</v>
      </c>
      <c r="X288" s="31">
        <v>8176480.7770105517</v>
      </c>
      <c r="Y288" s="31">
        <v>3688930.4975617491</v>
      </c>
      <c r="Z288" s="31">
        <v>8814587.594549058</v>
      </c>
      <c r="AA288" s="31">
        <f t="shared" si="21"/>
        <v>74981949.118283406</v>
      </c>
      <c r="AB288" s="31">
        <v>0</v>
      </c>
      <c r="AD288" s="42" t="s">
        <v>511</v>
      </c>
      <c r="AE288" s="42" t="s">
        <v>512</v>
      </c>
      <c r="AF288" s="43" t="s">
        <v>1275</v>
      </c>
      <c r="AG288" s="44">
        <v>34</v>
      </c>
      <c r="AH288" s="31">
        <v>54982390.417911112</v>
      </c>
      <c r="AI288" s="31">
        <v>1390763.5599999998</v>
      </c>
      <c r="AJ288" s="31">
        <v>237019.99000000002</v>
      </c>
      <c r="AK288" s="31">
        <v>203024.25000000003</v>
      </c>
      <c r="AL288" s="31">
        <v>8323381.8874484738</v>
      </c>
      <c r="AM288" s="31">
        <v>3681377.2234963491</v>
      </c>
      <c r="AN288" s="31">
        <v>8969614.0807606485</v>
      </c>
      <c r="AO288" s="31">
        <f t="shared" si="22"/>
        <v>77787571.40961659</v>
      </c>
      <c r="AP288" s="31">
        <v>0</v>
      </c>
      <c r="AR288" s="42" t="s">
        <v>511</v>
      </c>
      <c r="AS288" s="42" t="s">
        <v>512</v>
      </c>
      <c r="AT288" s="43" t="s">
        <v>1276</v>
      </c>
      <c r="AU288" s="44">
        <v>34</v>
      </c>
      <c r="AV288" s="31">
        <v>57595112.746108532</v>
      </c>
      <c r="AW288" s="31">
        <v>1450262.45</v>
      </c>
      <c r="AX288" s="31">
        <v>241369.94999999998</v>
      </c>
      <c r="AY288" s="31">
        <v>211695.95</v>
      </c>
      <c r="AZ288" s="31">
        <v>8480134.0924144071</v>
      </c>
      <c r="BA288" s="31">
        <v>3681593.0313267894</v>
      </c>
      <c r="BB288" s="31">
        <v>9135642.3827554621</v>
      </c>
      <c r="BC288" s="31">
        <f t="shared" si="23"/>
        <v>80795810.602605194</v>
      </c>
      <c r="BD288" s="31">
        <v>0</v>
      </c>
    </row>
    <row r="289" spans="2:56">
      <c r="B289" s="42" t="s">
        <v>581</v>
      </c>
      <c r="C289" s="42" t="s">
        <v>582</v>
      </c>
      <c r="D289" s="43" t="s">
        <v>1049</v>
      </c>
      <c r="E289" s="44">
        <v>34</v>
      </c>
      <c r="F289" s="31">
        <v>4994256.0176886478</v>
      </c>
      <c r="G289" s="31">
        <v>327992.24</v>
      </c>
      <c r="H289" s="31">
        <v>257930.90999999997</v>
      </c>
      <c r="I289" s="31">
        <v>15883.19</v>
      </c>
      <c r="J289" s="31">
        <v>687210.35708410887</v>
      </c>
      <c r="K289" s="31">
        <v>136936.44498647811</v>
      </c>
      <c r="L289" s="31">
        <v>0</v>
      </c>
      <c r="M289" s="31">
        <f t="shared" si="20"/>
        <v>6585959.2497592354</v>
      </c>
      <c r="N289" s="31">
        <v>165750.09</v>
      </c>
      <c r="P289" s="42" t="s">
        <v>581</v>
      </c>
      <c r="Q289" s="42" t="s">
        <v>582</v>
      </c>
      <c r="R289" s="43" t="s">
        <v>1050</v>
      </c>
      <c r="S289" s="44">
        <v>34</v>
      </c>
      <c r="T289" s="31">
        <v>5428582.5202501761</v>
      </c>
      <c r="U289" s="31">
        <v>354734.63000000006</v>
      </c>
      <c r="V289" s="31">
        <v>274673</v>
      </c>
      <c r="W289" s="31">
        <v>17017.900000000001</v>
      </c>
      <c r="X289" s="31">
        <v>727223.97131460416</v>
      </c>
      <c r="Y289" s="31">
        <v>137332.68509930791</v>
      </c>
      <c r="Z289" s="31">
        <v>0</v>
      </c>
      <c r="AA289" s="31">
        <f t="shared" si="21"/>
        <v>7113318.7566640889</v>
      </c>
      <c r="AB289" s="31">
        <v>173754.05</v>
      </c>
      <c r="AD289" s="42" t="s">
        <v>581</v>
      </c>
      <c r="AE289" s="42" t="s">
        <v>582</v>
      </c>
      <c r="AF289" s="43" t="s">
        <v>1275</v>
      </c>
      <c r="AG289" s="44">
        <v>34</v>
      </c>
      <c r="AH289" s="31">
        <v>5849993.6185179893</v>
      </c>
      <c r="AI289" s="31">
        <v>379987.52999999991</v>
      </c>
      <c r="AJ289" s="31">
        <v>279461.87</v>
      </c>
      <c r="AK289" s="31">
        <v>18264.810000000001</v>
      </c>
      <c r="AL289" s="31">
        <v>744161.84476485616</v>
      </c>
      <c r="AM289" s="31">
        <v>137031.64948195513</v>
      </c>
      <c r="AN289" s="31">
        <v>0</v>
      </c>
      <c r="AO289" s="31">
        <f t="shared" si="22"/>
        <v>7585725.9827648001</v>
      </c>
      <c r="AP289" s="31">
        <v>176824.66</v>
      </c>
      <c r="AR289" s="42" t="s">
        <v>581</v>
      </c>
      <c r="AS289" s="42" t="s">
        <v>582</v>
      </c>
      <c r="AT289" s="43" t="s">
        <v>1276</v>
      </c>
      <c r="AU289" s="44">
        <v>34</v>
      </c>
      <c r="AV289" s="31">
        <v>6018226.3268755889</v>
      </c>
      <c r="AW289" s="31">
        <v>390143.36000000004</v>
      </c>
      <c r="AX289" s="31">
        <v>284590.76</v>
      </c>
      <c r="AY289" s="31">
        <v>18707.509999999998</v>
      </c>
      <c r="AZ289" s="31">
        <v>759246.45820834511</v>
      </c>
      <c r="BA289" s="31">
        <v>137040.25049959379</v>
      </c>
      <c r="BB289" s="31">
        <v>0</v>
      </c>
      <c r="BC289" s="31">
        <f t="shared" si="23"/>
        <v>7788067.9555835277</v>
      </c>
      <c r="BD289" s="31">
        <v>180113.28999999998</v>
      </c>
    </row>
    <row r="290" spans="2:56">
      <c r="B290" s="42" t="s">
        <v>369</v>
      </c>
      <c r="C290" s="42" t="s">
        <v>370</v>
      </c>
      <c r="D290" s="43" t="s">
        <v>1049</v>
      </c>
      <c r="E290" s="44">
        <v>34</v>
      </c>
      <c r="F290" s="31">
        <v>48387008.641914509</v>
      </c>
      <c r="G290" s="31">
        <v>1374295.78</v>
      </c>
      <c r="H290" s="31">
        <v>518966.31999999995</v>
      </c>
      <c r="I290" s="31">
        <v>169666.13999999998</v>
      </c>
      <c r="J290" s="31">
        <v>5470475.5099328794</v>
      </c>
      <c r="K290" s="31">
        <v>2088915.2169203914</v>
      </c>
      <c r="L290" s="31">
        <v>2810846.2693692246</v>
      </c>
      <c r="M290" s="31">
        <f t="shared" si="20"/>
        <v>60820173.878137</v>
      </c>
      <c r="N290" s="31">
        <v>0</v>
      </c>
      <c r="P290" s="42" t="s">
        <v>369</v>
      </c>
      <c r="Q290" s="42" t="s">
        <v>370</v>
      </c>
      <c r="R290" s="43" t="s">
        <v>1050</v>
      </c>
      <c r="S290" s="44">
        <v>34</v>
      </c>
      <c r="T290" s="31">
        <v>51097016.552811369</v>
      </c>
      <c r="U290" s="31">
        <v>1455288.0699999998</v>
      </c>
      <c r="V290" s="31">
        <v>552321.05000000005</v>
      </c>
      <c r="W290" s="31">
        <v>179667.98</v>
      </c>
      <c r="X290" s="31">
        <v>5779788.0137368506</v>
      </c>
      <c r="Y290" s="31">
        <v>2092760.2425094801</v>
      </c>
      <c r="Z290" s="31">
        <v>2982813.8702552039</v>
      </c>
      <c r="AA290" s="31">
        <f t="shared" si="21"/>
        <v>64139655.779312894</v>
      </c>
      <c r="AB290" s="31">
        <v>0</v>
      </c>
      <c r="AD290" s="42" t="s">
        <v>369</v>
      </c>
      <c r="AE290" s="42" t="s">
        <v>370</v>
      </c>
      <c r="AF290" s="43" t="s">
        <v>1275</v>
      </c>
      <c r="AG290" s="44">
        <v>34</v>
      </c>
      <c r="AH290" s="31">
        <v>52022634.470650911</v>
      </c>
      <c r="AI290" s="31">
        <v>1480950.28</v>
      </c>
      <c r="AJ290" s="31">
        <v>562060.55000000005</v>
      </c>
      <c r="AK290" s="31">
        <v>182836.21000000002</v>
      </c>
      <c r="AL290" s="31">
        <v>5882120.348785501</v>
      </c>
      <c r="AM290" s="31">
        <v>2089807.0038067049</v>
      </c>
      <c r="AN290" s="31">
        <v>3035704.7767050317</v>
      </c>
      <c r="AO290" s="31">
        <f t="shared" si="22"/>
        <v>65256113.639948145</v>
      </c>
      <c r="AP290" s="31">
        <v>0</v>
      </c>
      <c r="AR290" s="42" t="s">
        <v>369</v>
      </c>
      <c r="AS290" s="42" t="s">
        <v>370</v>
      </c>
      <c r="AT290" s="43" t="s">
        <v>1276</v>
      </c>
      <c r="AU290" s="44">
        <v>34</v>
      </c>
      <c r="AV290" s="31">
        <v>53012544.044725142</v>
      </c>
      <c r="AW290" s="31">
        <v>1508434.5</v>
      </c>
      <c r="AX290" s="31">
        <v>572491.55000000005</v>
      </c>
      <c r="AY290" s="31">
        <v>186229.37000000002</v>
      </c>
      <c r="AZ290" s="31">
        <v>5991717.7835686477</v>
      </c>
      <c r="BA290" s="31">
        <v>2089891.3820553559</v>
      </c>
      <c r="BB290" s="31">
        <v>3092349.2541155969</v>
      </c>
      <c r="BC290" s="31">
        <f t="shared" si="23"/>
        <v>66453657.884464741</v>
      </c>
      <c r="BD290" s="31">
        <v>0</v>
      </c>
    </row>
    <row r="291" spans="2:56">
      <c r="B291" s="42" t="s">
        <v>489</v>
      </c>
      <c r="C291" s="42" t="s">
        <v>490</v>
      </c>
      <c r="D291" s="43" t="s">
        <v>1049</v>
      </c>
      <c r="E291" s="44">
        <v>34</v>
      </c>
      <c r="F291" s="31">
        <v>10957750.718659814</v>
      </c>
      <c r="G291" s="31">
        <v>164873.09999999998</v>
      </c>
      <c r="H291" s="31">
        <v>0</v>
      </c>
      <c r="I291" s="31">
        <v>32448.43</v>
      </c>
      <c r="J291" s="31">
        <v>964206.36550334364</v>
      </c>
      <c r="K291" s="31">
        <v>989170.15045579593</v>
      </c>
      <c r="L291" s="31">
        <v>0</v>
      </c>
      <c r="M291" s="31">
        <f t="shared" si="20"/>
        <v>13182505.234618952</v>
      </c>
      <c r="N291" s="31">
        <v>74056.47</v>
      </c>
      <c r="P291" s="42" t="s">
        <v>489</v>
      </c>
      <c r="Q291" s="42" t="s">
        <v>490</v>
      </c>
      <c r="R291" s="43" t="s">
        <v>1050</v>
      </c>
      <c r="S291" s="44">
        <v>34</v>
      </c>
      <c r="T291" s="31">
        <v>11825203.345308725</v>
      </c>
      <c r="U291" s="31">
        <v>178881.02999999997</v>
      </c>
      <c r="V291" s="31">
        <v>0</v>
      </c>
      <c r="W291" s="31">
        <v>34969.71</v>
      </c>
      <c r="X291" s="31">
        <v>1021047.0867573563</v>
      </c>
      <c r="Y291" s="31">
        <v>990713.41707474506</v>
      </c>
      <c r="Z291" s="31">
        <v>0</v>
      </c>
      <c r="AA291" s="31">
        <f t="shared" si="21"/>
        <v>14128447.199140826</v>
      </c>
      <c r="AB291" s="31">
        <v>77632.61</v>
      </c>
      <c r="AD291" s="42" t="s">
        <v>489</v>
      </c>
      <c r="AE291" s="42" t="s">
        <v>490</v>
      </c>
      <c r="AF291" s="43" t="s">
        <v>1275</v>
      </c>
      <c r="AG291" s="44">
        <v>34</v>
      </c>
      <c r="AH291" s="31">
        <v>12222240.09874969</v>
      </c>
      <c r="AI291" s="31">
        <v>183565.03000000003</v>
      </c>
      <c r="AJ291" s="31">
        <v>0</v>
      </c>
      <c r="AK291" s="31">
        <v>35896.119999999995</v>
      </c>
      <c r="AL291" s="31">
        <v>1041395.9244045744</v>
      </c>
      <c r="AM291" s="31">
        <v>989540.95067285199</v>
      </c>
      <c r="AN291" s="31">
        <v>0</v>
      </c>
      <c r="AO291" s="31">
        <f t="shared" si="22"/>
        <v>14551642.663827114</v>
      </c>
      <c r="AP291" s="31">
        <v>79004.539999999994</v>
      </c>
      <c r="AR291" s="42" t="s">
        <v>489</v>
      </c>
      <c r="AS291" s="42" t="s">
        <v>490</v>
      </c>
      <c r="AT291" s="43" t="s">
        <v>1276</v>
      </c>
      <c r="AU291" s="44">
        <v>34</v>
      </c>
      <c r="AV291" s="31">
        <v>12619465.717102561</v>
      </c>
      <c r="AW291" s="31">
        <v>188419.76999999996</v>
      </c>
      <c r="AX291" s="31">
        <v>0</v>
      </c>
      <c r="AY291" s="31">
        <v>36877.47</v>
      </c>
      <c r="AZ291" s="31">
        <v>1062035.3411448968</v>
      </c>
      <c r="BA291" s="31">
        <v>989574.44971290592</v>
      </c>
      <c r="BB291" s="31">
        <v>0</v>
      </c>
      <c r="BC291" s="31">
        <f t="shared" si="23"/>
        <v>14976846.627960365</v>
      </c>
      <c r="BD291" s="31">
        <v>80473.88</v>
      </c>
    </row>
    <row r="292" spans="2:56">
      <c r="B292" s="42" t="s">
        <v>55</v>
      </c>
      <c r="C292" s="42" t="s">
        <v>56</v>
      </c>
      <c r="D292" s="43" t="s">
        <v>1049</v>
      </c>
      <c r="E292" s="44">
        <v>34</v>
      </c>
      <c r="F292" s="31">
        <v>179097181.73458564</v>
      </c>
      <c r="G292" s="31">
        <v>6821179.2699999996</v>
      </c>
      <c r="H292" s="31">
        <v>4827008.8100000005</v>
      </c>
      <c r="I292" s="31">
        <v>633566.71999999997</v>
      </c>
      <c r="J292" s="31">
        <v>27866759.31251619</v>
      </c>
      <c r="K292" s="31">
        <v>10638587.344901018</v>
      </c>
      <c r="L292" s="31">
        <v>15111380.051453874</v>
      </c>
      <c r="M292" s="31">
        <f t="shared" si="20"/>
        <v>248759203.41345671</v>
      </c>
      <c r="N292" s="31">
        <v>3763540.17</v>
      </c>
      <c r="P292" s="42" t="s">
        <v>55</v>
      </c>
      <c r="Q292" s="42" t="s">
        <v>56</v>
      </c>
      <c r="R292" s="43" t="s">
        <v>1050</v>
      </c>
      <c r="S292" s="44">
        <v>34</v>
      </c>
      <c r="T292" s="31">
        <v>199930375.75947961</v>
      </c>
      <c r="U292" s="31">
        <v>7602108.2800000003</v>
      </c>
      <c r="V292" s="31">
        <v>5138417.07</v>
      </c>
      <c r="W292" s="31">
        <v>700544.29999999993</v>
      </c>
      <c r="X292" s="31">
        <v>29700660.917360291</v>
      </c>
      <c r="Y292" s="31">
        <v>10662747.510289701</v>
      </c>
      <c r="Z292" s="31">
        <v>16037177.791469764</v>
      </c>
      <c r="AA292" s="31">
        <f t="shared" si="21"/>
        <v>273718528.24859941</v>
      </c>
      <c r="AB292" s="31">
        <v>3946496.62</v>
      </c>
      <c r="AD292" s="42" t="s">
        <v>55</v>
      </c>
      <c r="AE292" s="42" t="s">
        <v>56</v>
      </c>
      <c r="AF292" s="43" t="s">
        <v>1275</v>
      </c>
      <c r="AG292" s="44">
        <v>34</v>
      </c>
      <c r="AH292" s="31">
        <v>204509366.16460082</v>
      </c>
      <c r="AI292" s="31">
        <v>7748473.1299999999</v>
      </c>
      <c r="AJ292" s="31">
        <v>5228638.2600000007</v>
      </c>
      <c r="AK292" s="31">
        <v>714067.09000000008</v>
      </c>
      <c r="AL292" s="31">
        <v>30298536.034880087</v>
      </c>
      <c r="AM292" s="31">
        <v>10644190.87553185</v>
      </c>
      <c r="AN292" s="31">
        <v>16320835.579115804</v>
      </c>
      <c r="AO292" s="31">
        <f t="shared" si="22"/>
        <v>279480792.50412858</v>
      </c>
      <c r="AP292" s="31">
        <v>4016685.37</v>
      </c>
      <c r="AR292" s="42" t="s">
        <v>55</v>
      </c>
      <c r="AS292" s="42" t="s">
        <v>56</v>
      </c>
      <c r="AT292" s="43" t="s">
        <v>1276</v>
      </c>
      <c r="AU292" s="44">
        <v>34</v>
      </c>
      <c r="AV292" s="31">
        <v>210542014.82763427</v>
      </c>
      <c r="AW292" s="31">
        <v>7930342.2899999991</v>
      </c>
      <c r="AX292" s="31">
        <v>5325265.16</v>
      </c>
      <c r="AY292" s="31">
        <v>730998.64999999991</v>
      </c>
      <c r="AZ292" s="31">
        <v>30996994.894131377</v>
      </c>
      <c r="BA292" s="31">
        <v>10644721.065096362</v>
      </c>
      <c r="BB292" s="31">
        <v>16624623.833753314</v>
      </c>
      <c r="BC292" s="31">
        <f t="shared" si="23"/>
        <v>286886818.2506153</v>
      </c>
      <c r="BD292" s="31">
        <v>4091857.53</v>
      </c>
    </row>
    <row r="293" spans="2:56">
      <c r="B293" s="42" t="s">
        <v>193</v>
      </c>
      <c r="C293" s="42" t="s">
        <v>194</v>
      </c>
      <c r="D293" s="43" t="s">
        <v>1049</v>
      </c>
      <c r="E293" s="44">
        <v>34</v>
      </c>
      <c r="F293" s="31">
        <v>12472692.103237871</v>
      </c>
      <c r="G293" s="31">
        <v>237720.89999999997</v>
      </c>
      <c r="H293" s="31">
        <v>125757.15000000001</v>
      </c>
      <c r="I293" s="31">
        <v>46013.97</v>
      </c>
      <c r="J293" s="31">
        <v>1662721.4245707518</v>
      </c>
      <c r="K293" s="31">
        <v>966538.69088040106</v>
      </c>
      <c r="L293" s="31">
        <v>1137991.4381617596</v>
      </c>
      <c r="M293" s="31">
        <f t="shared" si="20"/>
        <v>16661720.436850784</v>
      </c>
      <c r="N293" s="31">
        <v>12284.76</v>
      </c>
      <c r="P293" s="42" t="s">
        <v>193</v>
      </c>
      <c r="Q293" s="42" t="s">
        <v>194</v>
      </c>
      <c r="R293" s="43" t="s">
        <v>1050</v>
      </c>
      <c r="S293" s="44">
        <v>34</v>
      </c>
      <c r="T293" s="31">
        <v>13258727.837644121</v>
      </c>
      <c r="U293" s="31">
        <v>252356.79000000004</v>
      </c>
      <c r="V293" s="31">
        <v>133825.26</v>
      </c>
      <c r="W293" s="31">
        <v>48736.700000000004</v>
      </c>
      <c r="X293" s="31">
        <v>1763894.8010283601</v>
      </c>
      <c r="Y293" s="31">
        <v>969061.08800960938</v>
      </c>
      <c r="Z293" s="31">
        <v>1207498.1700469651</v>
      </c>
      <c r="AA293" s="31">
        <f t="shared" si="21"/>
        <v>17646986.196729057</v>
      </c>
      <c r="AB293" s="31">
        <v>12885.550000000001</v>
      </c>
      <c r="AD293" s="42" t="s">
        <v>193</v>
      </c>
      <c r="AE293" s="42" t="s">
        <v>194</v>
      </c>
      <c r="AF293" s="43" t="s">
        <v>1275</v>
      </c>
      <c r="AG293" s="44">
        <v>34</v>
      </c>
      <c r="AH293" s="31">
        <v>13576713.270414429</v>
      </c>
      <c r="AI293" s="31">
        <v>258563.59</v>
      </c>
      <c r="AJ293" s="31">
        <v>136189.92000000001</v>
      </c>
      <c r="AK293" s="31">
        <v>49947.979999999996</v>
      </c>
      <c r="AL293" s="31">
        <v>1791610.6769625184</v>
      </c>
      <c r="AM293" s="31">
        <v>967104.09942221479</v>
      </c>
      <c r="AN293" s="31">
        <v>1228957.3487388273</v>
      </c>
      <c r="AO293" s="31">
        <f t="shared" si="22"/>
        <v>18022202.925537989</v>
      </c>
      <c r="AP293" s="31">
        <v>13116.040000000003</v>
      </c>
      <c r="AR293" s="42" t="s">
        <v>193</v>
      </c>
      <c r="AS293" s="42" t="s">
        <v>194</v>
      </c>
      <c r="AT293" s="43" t="s">
        <v>1276</v>
      </c>
      <c r="AU293" s="44">
        <v>34</v>
      </c>
      <c r="AV293" s="31">
        <v>13860797.015620409</v>
      </c>
      <c r="AW293" s="31">
        <v>263725.44</v>
      </c>
      <c r="AX293" s="31">
        <v>138722.48000000001</v>
      </c>
      <c r="AY293" s="31">
        <v>50995.65</v>
      </c>
      <c r="AZ293" s="31">
        <v>1824758.9394613295</v>
      </c>
      <c r="BA293" s="31">
        <v>967160.01338185475</v>
      </c>
      <c r="BB293" s="31">
        <v>1251939.4607850115</v>
      </c>
      <c r="BC293" s="31">
        <f t="shared" si="23"/>
        <v>18371461.889248606</v>
      </c>
      <c r="BD293" s="31">
        <v>13362.890000000001</v>
      </c>
    </row>
    <row r="294" spans="2:56">
      <c r="B294" s="42" t="s">
        <v>1024</v>
      </c>
      <c r="C294" s="42" t="s">
        <v>1044</v>
      </c>
      <c r="D294" s="43" t="s">
        <v>1049</v>
      </c>
      <c r="E294" s="44">
        <v>34</v>
      </c>
      <c r="F294" s="31">
        <v>1143193.3727090994</v>
      </c>
      <c r="G294" s="31">
        <v>80302.2</v>
      </c>
      <c r="H294" s="31">
        <v>0</v>
      </c>
      <c r="I294" s="31">
        <v>0</v>
      </c>
      <c r="J294" s="31">
        <v>153391.91466490593</v>
      </c>
      <c r="K294" s="31">
        <v>146487.5</v>
      </c>
      <c r="L294" s="31">
        <v>0</v>
      </c>
      <c r="M294" s="31">
        <f t="shared" si="20"/>
        <v>1560096.0973740055</v>
      </c>
      <c r="N294" s="31">
        <v>36721.11</v>
      </c>
      <c r="P294" s="42" t="s">
        <v>1024</v>
      </c>
      <c r="Q294" s="42" t="s">
        <v>1044</v>
      </c>
      <c r="R294" s="43" t="s">
        <v>1050</v>
      </c>
      <c r="S294" s="44">
        <v>34</v>
      </c>
      <c r="T294" s="31">
        <v>1225339.7110932884</v>
      </c>
      <c r="U294" s="31">
        <v>85361.209999999992</v>
      </c>
      <c r="V294" s="31">
        <v>0</v>
      </c>
      <c r="W294" s="31">
        <v>0</v>
      </c>
      <c r="X294" s="31">
        <v>161317.42044659707</v>
      </c>
      <c r="Y294" s="31">
        <v>146487.5</v>
      </c>
      <c r="Z294" s="31">
        <v>0</v>
      </c>
      <c r="AA294" s="31">
        <f t="shared" si="21"/>
        <v>1656678.1315398854</v>
      </c>
      <c r="AB294" s="31">
        <v>38172.29</v>
      </c>
      <c r="AD294" s="42" t="s">
        <v>1024</v>
      </c>
      <c r="AE294" s="42" t="s">
        <v>1044</v>
      </c>
      <c r="AF294" s="43" t="s">
        <v>1275</v>
      </c>
      <c r="AG294" s="44">
        <v>34</v>
      </c>
      <c r="AH294" s="31">
        <v>1246869.3553367225</v>
      </c>
      <c r="AI294" s="31">
        <v>86846.00999999998</v>
      </c>
      <c r="AJ294" s="31">
        <v>0</v>
      </c>
      <c r="AK294" s="31">
        <v>0</v>
      </c>
      <c r="AL294" s="31">
        <v>164155.1006939259</v>
      </c>
      <c r="AM294" s="31">
        <v>146487.5</v>
      </c>
      <c r="AN294" s="31">
        <v>0</v>
      </c>
      <c r="AO294" s="31">
        <f t="shared" si="22"/>
        <v>1683207.0560306485</v>
      </c>
      <c r="AP294" s="31">
        <v>38849.090000000004</v>
      </c>
      <c r="AR294" s="42" t="s">
        <v>1024</v>
      </c>
      <c r="AS294" s="42" t="s">
        <v>1044</v>
      </c>
      <c r="AT294" s="43" t="s">
        <v>1276</v>
      </c>
      <c r="AU294" s="44">
        <v>34</v>
      </c>
      <c r="AV294" s="31">
        <v>1269927.3143110403</v>
      </c>
      <c r="AW294" s="31">
        <v>88436.23</v>
      </c>
      <c r="AX294" s="31">
        <v>0</v>
      </c>
      <c r="AY294" s="31">
        <v>0</v>
      </c>
      <c r="AZ294" s="31">
        <v>167194.21788343875</v>
      </c>
      <c r="BA294" s="31">
        <v>146487.5</v>
      </c>
      <c r="BB294" s="31">
        <v>0</v>
      </c>
      <c r="BC294" s="31">
        <f t="shared" si="23"/>
        <v>1711619.2021944791</v>
      </c>
      <c r="BD294" s="31">
        <v>39573.94</v>
      </c>
    </row>
    <row r="295" spans="2:56">
      <c r="B295" s="42" t="s">
        <v>523</v>
      </c>
      <c r="C295" s="42" t="s">
        <v>524</v>
      </c>
      <c r="D295" s="43" t="s">
        <v>1049</v>
      </c>
      <c r="E295" s="44">
        <v>34</v>
      </c>
      <c r="F295" s="31">
        <v>4240471.8246802147</v>
      </c>
      <c r="G295" s="31">
        <v>188952.34000000003</v>
      </c>
      <c r="H295" s="31">
        <v>0</v>
      </c>
      <c r="I295" s="31">
        <v>0</v>
      </c>
      <c r="J295" s="31">
        <v>577579.01062242058</v>
      </c>
      <c r="K295" s="31">
        <v>342388.08050716663</v>
      </c>
      <c r="L295" s="31">
        <v>231626.73305109574</v>
      </c>
      <c r="M295" s="31">
        <f t="shared" si="20"/>
        <v>5717713.3288608976</v>
      </c>
      <c r="N295" s="31">
        <v>136695.33999999997</v>
      </c>
      <c r="P295" s="42" t="s">
        <v>523</v>
      </c>
      <c r="Q295" s="42" t="s">
        <v>524</v>
      </c>
      <c r="R295" s="43" t="s">
        <v>1050</v>
      </c>
      <c r="S295" s="44">
        <v>34</v>
      </c>
      <c r="T295" s="31">
        <v>4552582.7222438101</v>
      </c>
      <c r="U295" s="31">
        <v>207238.13999999998</v>
      </c>
      <c r="V295" s="31">
        <v>0</v>
      </c>
      <c r="W295" s="31">
        <v>0</v>
      </c>
      <c r="X295" s="31">
        <v>606454.47189005371</v>
      </c>
      <c r="Y295" s="31">
        <v>343170.87667117285</v>
      </c>
      <c r="Z295" s="31">
        <v>248178.23722651269</v>
      </c>
      <c r="AA295" s="31">
        <f t="shared" si="21"/>
        <v>6100950.6980315484</v>
      </c>
      <c r="AB295" s="31">
        <v>143326.24999999997</v>
      </c>
      <c r="AD295" s="42" t="s">
        <v>523</v>
      </c>
      <c r="AE295" s="42" t="s">
        <v>524</v>
      </c>
      <c r="AF295" s="43" t="s">
        <v>1275</v>
      </c>
      <c r="AG295" s="44">
        <v>34</v>
      </c>
      <c r="AH295" s="31">
        <v>4469557.1532361908</v>
      </c>
      <c r="AI295" s="31">
        <v>199032.86000000002</v>
      </c>
      <c r="AJ295" s="31">
        <v>0</v>
      </c>
      <c r="AK295" s="31">
        <v>0</v>
      </c>
      <c r="AL295" s="31">
        <v>618461.71928447753</v>
      </c>
      <c r="AM295" s="31">
        <v>342576.16271147283</v>
      </c>
      <c r="AN295" s="31">
        <v>252556.71457983099</v>
      </c>
      <c r="AO295" s="31">
        <f t="shared" si="22"/>
        <v>6028054.7198119732</v>
      </c>
      <c r="AP295" s="31">
        <v>145870.10999999996</v>
      </c>
      <c r="AR295" s="42" t="s">
        <v>523</v>
      </c>
      <c r="AS295" s="42" t="s">
        <v>524</v>
      </c>
      <c r="AT295" s="43" t="s">
        <v>1276</v>
      </c>
      <c r="AU295" s="44">
        <v>34</v>
      </c>
      <c r="AV295" s="31">
        <v>4414246.8123105345</v>
      </c>
      <c r="AW295" s="31">
        <v>191538.10999999996</v>
      </c>
      <c r="AX295" s="31">
        <v>0</v>
      </c>
      <c r="AY295" s="31">
        <v>0</v>
      </c>
      <c r="AZ295" s="31">
        <v>632015.8892650028</v>
      </c>
      <c r="BA295" s="31">
        <v>342593.15453889285</v>
      </c>
      <c r="BB295" s="31">
        <v>257245.91932543478</v>
      </c>
      <c r="BC295" s="31">
        <f t="shared" si="23"/>
        <v>5986234.4754398651</v>
      </c>
      <c r="BD295" s="31">
        <v>148594.59</v>
      </c>
    </row>
    <row r="296" spans="2:56">
      <c r="B296" s="42" t="s">
        <v>121</v>
      </c>
      <c r="C296" s="42" t="s">
        <v>122</v>
      </c>
      <c r="D296" s="43" t="s">
        <v>1049</v>
      </c>
      <c r="E296" s="44">
        <v>34</v>
      </c>
      <c r="F296" s="31">
        <v>17909774.610841364</v>
      </c>
      <c r="G296" s="31">
        <v>1448583.6499999994</v>
      </c>
      <c r="H296" s="31">
        <v>1897697.1800000002</v>
      </c>
      <c r="I296" s="31">
        <v>67332.94</v>
      </c>
      <c r="J296" s="31">
        <v>2756880.9249971621</v>
      </c>
      <c r="K296" s="31">
        <v>1244300.079216785</v>
      </c>
      <c r="L296" s="31">
        <v>2428360.5454441784</v>
      </c>
      <c r="M296" s="31">
        <f t="shared" si="20"/>
        <v>28454030.38049949</v>
      </c>
      <c r="N296" s="31">
        <v>701100.45000000007</v>
      </c>
      <c r="P296" s="42" t="s">
        <v>121</v>
      </c>
      <c r="Q296" s="42" t="s">
        <v>122</v>
      </c>
      <c r="R296" s="43" t="s">
        <v>1050</v>
      </c>
      <c r="S296" s="44">
        <v>34</v>
      </c>
      <c r="T296" s="31">
        <v>19555748.113002647</v>
      </c>
      <c r="U296" s="31">
        <v>1567959.4500000002</v>
      </c>
      <c r="V296" s="31">
        <v>2020875.0799999998</v>
      </c>
      <c r="W296" s="31">
        <v>72326.049999999988</v>
      </c>
      <c r="X296" s="31">
        <v>2930446.7862299145</v>
      </c>
      <c r="Y296" s="31">
        <v>1247253.9905212794</v>
      </c>
      <c r="Z296" s="31">
        <v>2602589.4082360798</v>
      </c>
      <c r="AA296" s="31">
        <f t="shared" si="21"/>
        <v>30732154.997989919</v>
      </c>
      <c r="AB296" s="31">
        <v>734956.12</v>
      </c>
      <c r="AD296" s="42" t="s">
        <v>121</v>
      </c>
      <c r="AE296" s="42" t="s">
        <v>122</v>
      </c>
      <c r="AF296" s="43" t="s">
        <v>1275</v>
      </c>
      <c r="AG296" s="44">
        <v>34</v>
      </c>
      <c r="AH296" s="31">
        <v>20135647.343039483</v>
      </c>
      <c r="AI296" s="31">
        <v>1610853.0900000003</v>
      </c>
      <c r="AJ296" s="31">
        <v>2056108.7199999997</v>
      </c>
      <c r="AK296" s="31">
        <v>74326.089999999982</v>
      </c>
      <c r="AL296" s="31">
        <v>2982352.3260032632</v>
      </c>
      <c r="AM296" s="31">
        <v>1245009.8146179279</v>
      </c>
      <c r="AN296" s="31">
        <v>2648380.4034995455</v>
      </c>
      <c r="AO296" s="31">
        <f t="shared" si="22"/>
        <v>31500622.177160218</v>
      </c>
      <c r="AP296" s="31">
        <v>747944.39</v>
      </c>
      <c r="AR296" s="42" t="s">
        <v>121</v>
      </c>
      <c r="AS296" s="42" t="s">
        <v>122</v>
      </c>
      <c r="AT296" s="43" t="s">
        <v>1276</v>
      </c>
      <c r="AU296" s="44">
        <v>34</v>
      </c>
      <c r="AV296" s="31">
        <v>20754619.122634653</v>
      </c>
      <c r="AW296" s="31">
        <v>1656897.7999999998</v>
      </c>
      <c r="AX296" s="31">
        <v>2093843.94</v>
      </c>
      <c r="AY296" s="31">
        <v>76442.78</v>
      </c>
      <c r="AZ296" s="31">
        <v>3037500.3487359663</v>
      </c>
      <c r="BA296" s="31">
        <v>1245073.9339294522</v>
      </c>
      <c r="BB296" s="31">
        <v>2697421.0117563158</v>
      </c>
      <c r="BC296" s="31">
        <f t="shared" si="23"/>
        <v>32323653.767056387</v>
      </c>
      <c r="BD296" s="31">
        <v>761854.83</v>
      </c>
    </row>
    <row r="297" spans="2:56">
      <c r="B297" s="42" t="s">
        <v>535</v>
      </c>
      <c r="C297" s="42" t="s">
        <v>536</v>
      </c>
      <c r="D297" s="43" t="s">
        <v>1049</v>
      </c>
      <c r="E297" s="44">
        <v>34</v>
      </c>
      <c r="F297" s="31">
        <v>2943522.5446933853</v>
      </c>
      <c r="G297" s="31">
        <v>92668.039999999979</v>
      </c>
      <c r="H297" s="31">
        <v>0</v>
      </c>
      <c r="I297" s="31">
        <v>0</v>
      </c>
      <c r="J297" s="31">
        <v>222056.15772976269</v>
      </c>
      <c r="K297" s="31">
        <v>146130.77391307594</v>
      </c>
      <c r="L297" s="31">
        <v>131111.87206232833</v>
      </c>
      <c r="M297" s="31">
        <f t="shared" si="20"/>
        <v>3611787.0483985525</v>
      </c>
      <c r="N297" s="31">
        <v>76297.66</v>
      </c>
      <c r="P297" s="42" t="s">
        <v>535</v>
      </c>
      <c r="Q297" s="42" t="s">
        <v>536</v>
      </c>
      <c r="R297" s="43" t="s">
        <v>1050</v>
      </c>
      <c r="S297" s="44">
        <v>34</v>
      </c>
      <c r="T297" s="31">
        <v>2847669.8872695379</v>
      </c>
      <c r="U297" s="31">
        <v>88121.579999999987</v>
      </c>
      <c r="V297" s="31">
        <v>0</v>
      </c>
      <c r="W297" s="31">
        <v>0</v>
      </c>
      <c r="X297" s="31">
        <v>233865.65045988385</v>
      </c>
      <c r="Y297" s="31">
        <v>146408.35900296533</v>
      </c>
      <c r="Z297" s="31">
        <v>140520.08531484753</v>
      </c>
      <c r="AA297" s="31">
        <f t="shared" si="21"/>
        <v>3536567.5820472348</v>
      </c>
      <c r="AB297" s="31">
        <v>79982.01999999999</v>
      </c>
      <c r="AD297" s="42" t="s">
        <v>535</v>
      </c>
      <c r="AE297" s="42" t="s">
        <v>536</v>
      </c>
      <c r="AF297" s="43" t="s">
        <v>1275</v>
      </c>
      <c r="AG297" s="44">
        <v>34</v>
      </c>
      <c r="AH297" s="31">
        <v>2944611.2779427599</v>
      </c>
      <c r="AI297" s="31">
        <v>90483.590000000011</v>
      </c>
      <c r="AJ297" s="31">
        <v>0</v>
      </c>
      <c r="AK297" s="31">
        <v>0</v>
      </c>
      <c r="AL297" s="31">
        <v>239971.06174999895</v>
      </c>
      <c r="AM297" s="31">
        <v>146197.46920105707</v>
      </c>
      <c r="AN297" s="31">
        <v>142992.47293659649</v>
      </c>
      <c r="AO297" s="31">
        <f t="shared" si="22"/>
        <v>3645651.3518304122</v>
      </c>
      <c r="AP297" s="31">
        <v>81395.48</v>
      </c>
      <c r="AR297" s="42" t="s">
        <v>535</v>
      </c>
      <c r="AS297" s="42" t="s">
        <v>536</v>
      </c>
      <c r="AT297" s="43" t="s">
        <v>1276</v>
      </c>
      <c r="AU297" s="44">
        <v>34</v>
      </c>
      <c r="AV297" s="31">
        <v>3031682.197185738</v>
      </c>
      <c r="AW297" s="31">
        <v>92876.840000000011</v>
      </c>
      <c r="AX297" s="31">
        <v>0</v>
      </c>
      <c r="AY297" s="31">
        <v>0</v>
      </c>
      <c r="AZ297" s="31">
        <v>244979.4877491387</v>
      </c>
      <c r="BA297" s="31">
        <v>146203.49462396876</v>
      </c>
      <c r="BB297" s="31">
        <v>145640.31653788959</v>
      </c>
      <c r="BC297" s="31">
        <f t="shared" si="23"/>
        <v>3744291.6260967352</v>
      </c>
      <c r="BD297" s="31">
        <v>82909.289999999994</v>
      </c>
    </row>
    <row r="298" spans="2:56">
      <c r="B298" s="42" t="s">
        <v>527</v>
      </c>
      <c r="C298" s="42" t="s">
        <v>528</v>
      </c>
      <c r="D298" s="43" t="s">
        <v>1049</v>
      </c>
      <c r="E298" s="44">
        <v>34</v>
      </c>
      <c r="F298" s="31">
        <v>44707368.35328044</v>
      </c>
      <c r="G298" s="31">
        <v>1961048.5899999994</v>
      </c>
      <c r="H298" s="31">
        <v>1244986.9200000002</v>
      </c>
      <c r="I298" s="31">
        <v>159192.07999999999</v>
      </c>
      <c r="J298" s="31">
        <v>6935711.3390098158</v>
      </c>
      <c r="K298" s="31">
        <v>1683763.6898272519</v>
      </c>
      <c r="L298" s="31">
        <v>4201982.771805685</v>
      </c>
      <c r="M298" s="31">
        <f t="shared" si="20"/>
        <v>61695159.093923189</v>
      </c>
      <c r="N298" s="31">
        <v>801105.35000000009</v>
      </c>
      <c r="P298" s="42" t="s">
        <v>527</v>
      </c>
      <c r="Q298" s="42" t="s">
        <v>528</v>
      </c>
      <c r="R298" s="43" t="s">
        <v>1050</v>
      </c>
      <c r="S298" s="44">
        <v>34</v>
      </c>
      <c r="T298" s="31">
        <v>49447037.189756021</v>
      </c>
      <c r="U298" s="31">
        <v>2151001.2300000009</v>
      </c>
      <c r="V298" s="31">
        <v>1325464.1499999999</v>
      </c>
      <c r="W298" s="31">
        <v>173563.72999999998</v>
      </c>
      <c r="X298" s="31">
        <v>7364394.0553361503</v>
      </c>
      <c r="Y298" s="31">
        <v>1685959.6866724326</v>
      </c>
      <c r="Z298" s="31">
        <v>4502655.5670660865</v>
      </c>
      <c r="AA298" s="31">
        <f t="shared" si="21"/>
        <v>67490041.528830692</v>
      </c>
      <c r="AB298" s="31">
        <v>839965.92</v>
      </c>
      <c r="AD298" s="42" t="s">
        <v>527</v>
      </c>
      <c r="AE298" s="42" t="s">
        <v>528</v>
      </c>
      <c r="AF298" s="43" t="s">
        <v>1275</v>
      </c>
      <c r="AG298" s="44">
        <v>34</v>
      </c>
      <c r="AH298" s="31">
        <v>50422835.614921868</v>
      </c>
      <c r="AI298" s="31">
        <v>2188490</v>
      </c>
      <c r="AJ298" s="31">
        <v>1348684.23</v>
      </c>
      <c r="AK298" s="31">
        <v>176604.31</v>
      </c>
      <c r="AL298" s="31">
        <v>7502940.6840436375</v>
      </c>
      <c r="AM298" s="31">
        <v>1684291.321343964</v>
      </c>
      <c r="AN298" s="31">
        <v>4582074.1609458085</v>
      </c>
      <c r="AO298" s="31">
        <f t="shared" si="22"/>
        <v>68760794.581255287</v>
      </c>
      <c r="AP298" s="31">
        <v>854874.26000000013</v>
      </c>
      <c r="AR298" s="42" t="s">
        <v>527</v>
      </c>
      <c r="AS298" s="42" t="s">
        <v>528</v>
      </c>
      <c r="AT298" s="43" t="s">
        <v>1276</v>
      </c>
      <c r="AU298" s="44">
        <v>34</v>
      </c>
      <c r="AV298" s="31">
        <v>51369600.974603981</v>
      </c>
      <c r="AW298" s="31">
        <v>2228640.5000000005</v>
      </c>
      <c r="AX298" s="31">
        <v>1373552.93</v>
      </c>
      <c r="AY298" s="31">
        <v>179860.75</v>
      </c>
      <c r="AZ298" s="31">
        <v>7637610.7334434744</v>
      </c>
      <c r="BA298" s="31">
        <v>1684338.9889247774</v>
      </c>
      <c r="BB298" s="31">
        <v>4667128.9240289889</v>
      </c>
      <c r="BC298" s="31">
        <f t="shared" si="23"/>
        <v>70011574.871001214</v>
      </c>
      <c r="BD298" s="31">
        <v>870841.07</v>
      </c>
    </row>
    <row r="299" spans="2:56">
      <c r="B299" s="42" t="s">
        <v>605</v>
      </c>
      <c r="C299" s="42" t="s">
        <v>606</v>
      </c>
      <c r="D299" s="43" t="s">
        <v>1049</v>
      </c>
      <c r="E299" s="44">
        <v>34</v>
      </c>
      <c r="F299" s="31">
        <v>23837920.896119941</v>
      </c>
      <c r="G299" s="31">
        <v>1732629.2</v>
      </c>
      <c r="H299" s="31">
        <v>1648925.8800000001</v>
      </c>
      <c r="I299" s="31">
        <v>85749.610000000015</v>
      </c>
      <c r="J299" s="31">
        <v>3575710.517867256</v>
      </c>
      <c r="K299" s="31">
        <v>1704815.0473985041</v>
      </c>
      <c r="L299" s="31">
        <v>2786180.7617077222</v>
      </c>
      <c r="M299" s="31">
        <f t="shared" si="20"/>
        <v>36270841.113093421</v>
      </c>
      <c r="N299" s="31">
        <v>898909.2</v>
      </c>
      <c r="P299" s="42" t="s">
        <v>605</v>
      </c>
      <c r="Q299" s="42" t="s">
        <v>606</v>
      </c>
      <c r="R299" s="43" t="s">
        <v>1050</v>
      </c>
      <c r="S299" s="44">
        <v>34</v>
      </c>
      <c r="T299" s="31">
        <v>26313246.046800286</v>
      </c>
      <c r="U299" s="31">
        <v>1909944.6199999996</v>
      </c>
      <c r="V299" s="31">
        <v>1755956.2700000003</v>
      </c>
      <c r="W299" s="31">
        <v>93805.96</v>
      </c>
      <c r="X299" s="31">
        <v>3776185.2762213564</v>
      </c>
      <c r="Y299" s="31">
        <v>1708737.6355501141</v>
      </c>
      <c r="Z299" s="31">
        <v>2986012.5947657083</v>
      </c>
      <c r="AA299" s="31">
        <f t="shared" si="21"/>
        <v>39486205.323337466</v>
      </c>
      <c r="AB299" s="31">
        <v>942316.92</v>
      </c>
      <c r="AD299" s="42" t="s">
        <v>605</v>
      </c>
      <c r="AE299" s="42" t="s">
        <v>606</v>
      </c>
      <c r="AF299" s="43" t="s">
        <v>1275</v>
      </c>
      <c r="AG299" s="44">
        <v>34</v>
      </c>
      <c r="AH299" s="31">
        <v>26742023.319509476</v>
      </c>
      <c r="AI299" s="31">
        <v>1941225.7399999998</v>
      </c>
      <c r="AJ299" s="31">
        <v>1786571.08</v>
      </c>
      <c r="AK299" s="31">
        <v>95335.88</v>
      </c>
      <c r="AL299" s="31">
        <v>3842026.2757486776</v>
      </c>
      <c r="AM299" s="31">
        <v>1705757.5265010644</v>
      </c>
      <c r="AN299" s="31">
        <v>3038549.8162072035</v>
      </c>
      <c r="AO299" s="31">
        <f t="shared" si="22"/>
        <v>40110459.347966418</v>
      </c>
      <c r="AP299" s="31">
        <v>958969.71000000008</v>
      </c>
      <c r="AR299" s="42" t="s">
        <v>605</v>
      </c>
      <c r="AS299" s="42" t="s">
        <v>606</v>
      </c>
      <c r="AT299" s="43" t="s">
        <v>1276</v>
      </c>
      <c r="AU299" s="44">
        <v>34</v>
      </c>
      <c r="AV299" s="31">
        <v>26819211.283728927</v>
      </c>
      <c r="AW299" s="31">
        <v>1940384.77</v>
      </c>
      <c r="AX299" s="31">
        <v>1819359.55</v>
      </c>
      <c r="AY299" s="31">
        <v>95365.32</v>
      </c>
      <c r="AZ299" s="31">
        <v>3930936.1767673506</v>
      </c>
      <c r="BA299" s="31">
        <v>1705842.6724738942</v>
      </c>
      <c r="BB299" s="31">
        <v>3094815.4047724437</v>
      </c>
      <c r="BC299" s="31">
        <f t="shared" si="23"/>
        <v>40382720.027742617</v>
      </c>
      <c r="BD299" s="31">
        <v>976804.85</v>
      </c>
    </row>
    <row r="300" spans="2:56">
      <c r="B300" s="42" t="s">
        <v>125</v>
      </c>
      <c r="C300" s="42" t="s">
        <v>126</v>
      </c>
      <c r="D300" s="43" t="s">
        <v>1049</v>
      </c>
      <c r="E300" s="44">
        <v>34</v>
      </c>
      <c r="F300" s="31">
        <v>7137822.105181613</v>
      </c>
      <c r="G300" s="31">
        <v>471622.82000000007</v>
      </c>
      <c r="H300" s="31">
        <v>375154.5</v>
      </c>
      <c r="I300" s="31">
        <v>24847.89</v>
      </c>
      <c r="J300" s="31">
        <v>1106431.2426925588</v>
      </c>
      <c r="K300" s="31">
        <v>394530.03798862337</v>
      </c>
      <c r="L300" s="31">
        <v>509592.77930813289</v>
      </c>
      <c r="M300" s="31">
        <f t="shared" si="20"/>
        <v>10277834.835170928</v>
      </c>
      <c r="N300" s="31">
        <v>257833.45999999996</v>
      </c>
      <c r="P300" s="42" t="s">
        <v>125</v>
      </c>
      <c r="Q300" s="42" t="s">
        <v>126</v>
      </c>
      <c r="R300" s="43" t="s">
        <v>1050</v>
      </c>
      <c r="S300" s="44">
        <v>34</v>
      </c>
      <c r="T300" s="31">
        <v>7581386.8405985162</v>
      </c>
      <c r="U300" s="31">
        <v>501228.4499999999</v>
      </c>
      <c r="V300" s="31">
        <v>399505.47</v>
      </c>
      <c r="W300" s="31">
        <v>26149.46</v>
      </c>
      <c r="X300" s="31">
        <v>1173104.4317909251</v>
      </c>
      <c r="Y300" s="31">
        <v>395455.89086899051</v>
      </c>
      <c r="Z300" s="31">
        <v>546203.13703236787</v>
      </c>
      <c r="AA300" s="31">
        <f t="shared" si="21"/>
        <v>10893317.7402908</v>
      </c>
      <c r="AB300" s="31">
        <v>270284.06</v>
      </c>
      <c r="AD300" s="42" t="s">
        <v>125</v>
      </c>
      <c r="AE300" s="42" t="s">
        <v>126</v>
      </c>
      <c r="AF300" s="43" t="s">
        <v>1275</v>
      </c>
      <c r="AG300" s="44">
        <v>34</v>
      </c>
      <c r="AH300" s="31">
        <v>7681246.6917339638</v>
      </c>
      <c r="AI300" s="31">
        <v>506419.10999999993</v>
      </c>
      <c r="AJ300" s="31">
        <v>406470.79000000004</v>
      </c>
      <c r="AK300" s="31">
        <v>26499.79</v>
      </c>
      <c r="AL300" s="31">
        <v>1197083.1770100917</v>
      </c>
      <c r="AM300" s="31">
        <v>394752.49238813331</v>
      </c>
      <c r="AN300" s="31">
        <v>555813.36173152959</v>
      </c>
      <c r="AO300" s="31">
        <f t="shared" si="22"/>
        <v>11043345.972863717</v>
      </c>
      <c r="AP300" s="31">
        <v>275060.56</v>
      </c>
      <c r="AR300" s="42" t="s">
        <v>125</v>
      </c>
      <c r="AS300" s="42" t="s">
        <v>126</v>
      </c>
      <c r="AT300" s="43" t="s">
        <v>1276</v>
      </c>
      <c r="AU300" s="44">
        <v>34</v>
      </c>
      <c r="AV300" s="31">
        <v>7797696.1731450818</v>
      </c>
      <c r="AW300" s="31">
        <v>510915.13</v>
      </c>
      <c r="AX300" s="31">
        <v>413930.6399999999</v>
      </c>
      <c r="AY300" s="31">
        <v>26663.59</v>
      </c>
      <c r="AZ300" s="31">
        <v>1226198.0637356688</v>
      </c>
      <c r="BA300" s="31">
        <v>394772.5894875864</v>
      </c>
      <c r="BB300" s="31">
        <v>566105.58755693177</v>
      </c>
      <c r="BC300" s="31">
        <f t="shared" si="23"/>
        <v>11216457.983925268</v>
      </c>
      <c r="BD300" s="31">
        <v>280176.20999999996</v>
      </c>
    </row>
    <row r="301" spans="2:56">
      <c r="B301" s="42" t="s">
        <v>63</v>
      </c>
      <c r="C301" s="42" t="s">
        <v>64</v>
      </c>
      <c r="D301" s="43" t="s">
        <v>1049</v>
      </c>
      <c r="E301" s="44">
        <v>34</v>
      </c>
      <c r="F301" s="31">
        <v>23701632.537475526</v>
      </c>
      <c r="G301" s="31">
        <v>651214.2300000001</v>
      </c>
      <c r="H301" s="31">
        <v>128354.98</v>
      </c>
      <c r="I301" s="31">
        <v>85672.58</v>
      </c>
      <c r="J301" s="31">
        <v>3961546.6971979942</v>
      </c>
      <c r="K301" s="31">
        <v>2061373.458891331</v>
      </c>
      <c r="L301" s="31">
        <v>2488988.448427551</v>
      </c>
      <c r="M301" s="31">
        <f t="shared" si="20"/>
        <v>33078782.931992404</v>
      </c>
      <c r="N301" s="31">
        <v>0</v>
      </c>
      <c r="P301" s="42" t="s">
        <v>63</v>
      </c>
      <c r="Q301" s="42" t="s">
        <v>64</v>
      </c>
      <c r="R301" s="43" t="s">
        <v>1050</v>
      </c>
      <c r="S301" s="44">
        <v>34</v>
      </c>
      <c r="T301" s="31">
        <v>25965612.02760854</v>
      </c>
      <c r="U301" s="31">
        <v>710811.09</v>
      </c>
      <c r="V301" s="31">
        <v>136635.63</v>
      </c>
      <c r="W301" s="31">
        <v>93493.290000000008</v>
      </c>
      <c r="X301" s="31">
        <v>4200623.4298990471</v>
      </c>
      <c r="Y301" s="31">
        <v>2066312.1593512858</v>
      </c>
      <c r="Z301" s="31">
        <v>2641475.7620250289</v>
      </c>
      <c r="AA301" s="31">
        <f t="shared" si="21"/>
        <v>35814963.388883904</v>
      </c>
      <c r="AB301" s="31">
        <v>0</v>
      </c>
      <c r="AD301" s="42" t="s">
        <v>63</v>
      </c>
      <c r="AE301" s="42" t="s">
        <v>64</v>
      </c>
      <c r="AF301" s="43" t="s">
        <v>1275</v>
      </c>
      <c r="AG301" s="44">
        <v>34</v>
      </c>
      <c r="AH301" s="31">
        <v>26216020.294839166</v>
      </c>
      <c r="AI301" s="31">
        <v>714956.21000000008</v>
      </c>
      <c r="AJ301" s="31">
        <v>139034.71</v>
      </c>
      <c r="AK301" s="31">
        <v>94023.459999999992</v>
      </c>
      <c r="AL301" s="31">
        <v>4290619.4473833079</v>
      </c>
      <c r="AM301" s="31">
        <v>2062518.9046636857</v>
      </c>
      <c r="AN301" s="31">
        <v>2688196.8048468912</v>
      </c>
      <c r="AO301" s="31">
        <f t="shared" si="22"/>
        <v>36205369.831733055</v>
      </c>
      <c r="AP301" s="31">
        <v>0</v>
      </c>
      <c r="AR301" s="42" t="s">
        <v>63</v>
      </c>
      <c r="AS301" s="42" t="s">
        <v>64</v>
      </c>
      <c r="AT301" s="43" t="s">
        <v>1276</v>
      </c>
      <c r="AU301" s="44">
        <v>34</v>
      </c>
      <c r="AV301" s="31">
        <v>26638695.466534022</v>
      </c>
      <c r="AW301" s="31">
        <v>721490.46</v>
      </c>
      <c r="AX301" s="31">
        <v>141604.12</v>
      </c>
      <c r="AY301" s="31">
        <v>94855.52</v>
      </c>
      <c r="AZ301" s="31">
        <v>4398820.3582122969</v>
      </c>
      <c r="BA301" s="31">
        <v>2062627.2833690457</v>
      </c>
      <c r="BB301" s="31">
        <v>2738233.5204143054</v>
      </c>
      <c r="BC301" s="31">
        <f t="shared" si="23"/>
        <v>36796326.728529677</v>
      </c>
      <c r="BD301" s="31">
        <v>0</v>
      </c>
    </row>
    <row r="302" spans="2:56">
      <c r="B302" s="42" t="s">
        <v>3</v>
      </c>
      <c r="C302" s="42" t="s">
        <v>4</v>
      </c>
      <c r="D302" s="43" t="s">
        <v>1049</v>
      </c>
      <c r="E302" s="44">
        <v>34</v>
      </c>
      <c r="F302" s="31">
        <v>1869786.8670771243</v>
      </c>
      <c r="G302" s="31">
        <v>36248.68</v>
      </c>
      <c r="H302" s="31">
        <v>0</v>
      </c>
      <c r="I302" s="31">
        <v>2241.1799999999998</v>
      </c>
      <c r="J302" s="31">
        <v>50541.099808965599</v>
      </c>
      <c r="K302" s="31">
        <v>139525.01151309922</v>
      </c>
      <c r="L302" s="31">
        <v>49752.597159475619</v>
      </c>
      <c r="M302" s="31">
        <f t="shared" si="20"/>
        <v>2171579.1555586648</v>
      </c>
      <c r="N302" s="31">
        <v>23483.72</v>
      </c>
      <c r="P302" s="42" t="s">
        <v>3</v>
      </c>
      <c r="Q302" s="42" t="s">
        <v>4</v>
      </c>
      <c r="R302" s="43" t="s">
        <v>1050</v>
      </c>
      <c r="S302" s="44">
        <v>34</v>
      </c>
      <c r="T302" s="31">
        <v>1975397.7663713251</v>
      </c>
      <c r="U302" s="31">
        <v>31520.6</v>
      </c>
      <c r="V302" s="31">
        <v>0</v>
      </c>
      <c r="W302" s="31">
        <v>1867.83</v>
      </c>
      <c r="X302" s="31">
        <v>54824.207651368422</v>
      </c>
      <c r="Y302" s="31">
        <v>139773.76333575475</v>
      </c>
      <c r="Z302" s="31">
        <v>53225.757083047356</v>
      </c>
      <c r="AA302" s="31">
        <f t="shared" si="21"/>
        <v>2281227.6444414956</v>
      </c>
      <c r="AB302" s="31">
        <v>24617.72</v>
      </c>
      <c r="AD302" s="42" t="s">
        <v>3</v>
      </c>
      <c r="AE302" s="42" t="s">
        <v>4</v>
      </c>
      <c r="AF302" s="43" t="s">
        <v>1275</v>
      </c>
      <c r="AG302" s="44">
        <v>34</v>
      </c>
      <c r="AH302" s="31">
        <v>2016645.5909662484</v>
      </c>
      <c r="AI302" s="31">
        <v>33014.479999999996</v>
      </c>
      <c r="AJ302" s="31">
        <v>0</v>
      </c>
      <c r="AK302" s="31">
        <v>2005.9699999999996</v>
      </c>
      <c r="AL302" s="31">
        <v>54347.729688658394</v>
      </c>
      <c r="AM302" s="31">
        <v>139584.77904043454</v>
      </c>
      <c r="AN302" s="31">
        <v>54162.303364919506</v>
      </c>
      <c r="AO302" s="31">
        <f t="shared" si="22"/>
        <v>2324813.6230602609</v>
      </c>
      <c r="AP302" s="31">
        <v>25052.77</v>
      </c>
      <c r="AR302" s="42" t="s">
        <v>3</v>
      </c>
      <c r="AS302" s="42" t="s">
        <v>4</v>
      </c>
      <c r="AT302" s="43" t="s">
        <v>1276</v>
      </c>
      <c r="AU302" s="44">
        <v>34</v>
      </c>
      <c r="AV302" s="31">
        <v>2055161.0218944908</v>
      </c>
      <c r="AW302" s="31">
        <v>34689.37999999999</v>
      </c>
      <c r="AX302" s="31">
        <v>0</v>
      </c>
      <c r="AY302" s="31">
        <v>2042.7899999999997</v>
      </c>
      <c r="AZ302" s="31">
        <v>55318.533274245463</v>
      </c>
      <c r="BA302" s="31">
        <v>139590.1785917294</v>
      </c>
      <c r="BB302" s="31">
        <v>55165.312736804568</v>
      </c>
      <c r="BC302" s="31">
        <f t="shared" si="23"/>
        <v>2367485.9264972704</v>
      </c>
      <c r="BD302" s="31">
        <v>25518.710000000003</v>
      </c>
    </row>
    <row r="303" spans="2:56">
      <c r="B303" s="42" t="s">
        <v>99</v>
      </c>
      <c r="C303" s="42" t="s">
        <v>100</v>
      </c>
      <c r="D303" s="43" t="s">
        <v>1049</v>
      </c>
      <c r="E303" s="44">
        <v>34</v>
      </c>
      <c r="F303" s="31">
        <v>2876164.0334881954</v>
      </c>
      <c r="G303" s="31">
        <v>90037.089999999982</v>
      </c>
      <c r="H303" s="31">
        <v>22801.599999999999</v>
      </c>
      <c r="I303" s="31">
        <v>7210.77</v>
      </c>
      <c r="J303" s="31">
        <v>310099.22144629748</v>
      </c>
      <c r="K303" s="31">
        <v>159387.74880985575</v>
      </c>
      <c r="L303" s="31">
        <v>135135.10736188351</v>
      </c>
      <c r="M303" s="31">
        <f t="shared" si="20"/>
        <v>3673722.7211062321</v>
      </c>
      <c r="N303" s="31">
        <v>72887.150000000009</v>
      </c>
      <c r="P303" s="42" t="s">
        <v>99</v>
      </c>
      <c r="Q303" s="42" t="s">
        <v>100</v>
      </c>
      <c r="R303" s="43" t="s">
        <v>1050</v>
      </c>
      <c r="S303" s="44">
        <v>34</v>
      </c>
      <c r="T303" s="31">
        <v>3233022.239986117</v>
      </c>
      <c r="U303" s="31">
        <v>102696.11999999998</v>
      </c>
      <c r="V303" s="31">
        <v>24281.630000000005</v>
      </c>
      <c r="W303" s="31">
        <v>8197.64</v>
      </c>
      <c r="X303" s="31">
        <v>329738.47313902405</v>
      </c>
      <c r="Y303" s="31">
        <v>159642.95994500429</v>
      </c>
      <c r="Z303" s="31">
        <v>144790.57979160323</v>
      </c>
      <c r="AA303" s="31">
        <f t="shared" si="21"/>
        <v>4078776.4828617484</v>
      </c>
      <c r="AB303" s="31">
        <v>76406.840000000011</v>
      </c>
      <c r="AD303" s="42" t="s">
        <v>99</v>
      </c>
      <c r="AE303" s="42" t="s">
        <v>100</v>
      </c>
      <c r="AF303" s="43" t="s">
        <v>1275</v>
      </c>
      <c r="AG303" s="44">
        <v>34</v>
      </c>
      <c r="AH303" s="31">
        <v>3275412.2452579485</v>
      </c>
      <c r="AI303" s="31">
        <v>104785.25000000001</v>
      </c>
      <c r="AJ303" s="31">
        <v>24704.969999999998</v>
      </c>
      <c r="AK303" s="31">
        <v>8340.57</v>
      </c>
      <c r="AL303" s="31">
        <v>335342.95117217436</v>
      </c>
      <c r="AM303" s="31">
        <v>159449.06831430574</v>
      </c>
      <c r="AN303" s="31">
        <v>147337.99765237528</v>
      </c>
      <c r="AO303" s="31">
        <f t="shared" si="22"/>
        <v>4133130.1523968042</v>
      </c>
      <c r="AP303" s="31">
        <v>77757.099999999991</v>
      </c>
      <c r="AR303" s="42" t="s">
        <v>99</v>
      </c>
      <c r="AS303" s="42" t="s">
        <v>100</v>
      </c>
      <c r="AT303" s="43" t="s">
        <v>1276</v>
      </c>
      <c r="AU303" s="44">
        <v>34</v>
      </c>
      <c r="AV303" s="31">
        <v>3326773.4004471181</v>
      </c>
      <c r="AW303" s="31">
        <v>107119.29999999997</v>
      </c>
      <c r="AX303" s="31">
        <v>25158.38</v>
      </c>
      <c r="AY303" s="31">
        <v>8493.64</v>
      </c>
      <c r="AZ303" s="31">
        <v>340854.39907348267</v>
      </c>
      <c r="BA303" s="31">
        <v>159454.60807518283</v>
      </c>
      <c r="BB303" s="31">
        <v>150066.19603606215</v>
      </c>
      <c r="BC303" s="31">
        <f t="shared" si="23"/>
        <v>4197123.173631846</v>
      </c>
      <c r="BD303" s="31">
        <v>79203.250000000015</v>
      </c>
    </row>
    <row r="304" spans="2:56">
      <c r="B304" s="42" t="s">
        <v>487</v>
      </c>
      <c r="C304" s="42" t="s">
        <v>488</v>
      </c>
      <c r="D304" s="43" t="s">
        <v>1049</v>
      </c>
      <c r="E304" s="44">
        <v>34</v>
      </c>
      <c r="F304" s="31">
        <v>4031543.1656304356</v>
      </c>
      <c r="G304" s="31">
        <v>218953.82000000004</v>
      </c>
      <c r="H304" s="31">
        <v>0</v>
      </c>
      <c r="I304" s="31">
        <v>10913.58</v>
      </c>
      <c r="J304" s="31">
        <v>503401.18296955025</v>
      </c>
      <c r="K304" s="31">
        <v>279621.71931425604</v>
      </c>
      <c r="L304" s="31">
        <v>58645.518245124011</v>
      </c>
      <c r="M304" s="31">
        <f t="shared" si="20"/>
        <v>5216599.7661593668</v>
      </c>
      <c r="N304" s="31">
        <v>113520.78</v>
      </c>
      <c r="P304" s="42" t="s">
        <v>487</v>
      </c>
      <c r="Q304" s="42" t="s">
        <v>488</v>
      </c>
      <c r="R304" s="43" t="s">
        <v>1050</v>
      </c>
      <c r="S304" s="44">
        <v>34</v>
      </c>
      <c r="T304" s="31">
        <v>4806277.3957462255</v>
      </c>
      <c r="U304" s="31">
        <v>272512.73999999987</v>
      </c>
      <c r="V304" s="31">
        <v>0</v>
      </c>
      <c r="W304" s="31">
        <v>13593.569999999998</v>
      </c>
      <c r="X304" s="31">
        <v>536195.637971277</v>
      </c>
      <c r="Y304" s="31">
        <v>280243.36843929946</v>
      </c>
      <c r="Z304" s="31">
        <v>62872.374544046266</v>
      </c>
      <c r="AA304" s="31">
        <f t="shared" si="21"/>
        <v>6090697.7167008482</v>
      </c>
      <c r="AB304" s="31">
        <v>119002.63</v>
      </c>
      <c r="AD304" s="42" t="s">
        <v>487</v>
      </c>
      <c r="AE304" s="42" t="s">
        <v>488</v>
      </c>
      <c r="AF304" s="43" t="s">
        <v>1275</v>
      </c>
      <c r="AG304" s="44">
        <v>34</v>
      </c>
      <c r="AH304" s="31">
        <v>4871287.5663031498</v>
      </c>
      <c r="AI304" s="31">
        <v>277235.71999999997</v>
      </c>
      <c r="AJ304" s="31">
        <v>0</v>
      </c>
      <c r="AK304" s="31">
        <v>13830.58</v>
      </c>
      <c r="AL304" s="31">
        <v>548741.18102800136</v>
      </c>
      <c r="AM304" s="31">
        <v>279771.08276686264</v>
      </c>
      <c r="AN304" s="31">
        <v>63978.476548269602</v>
      </c>
      <c r="AO304" s="31">
        <f t="shared" si="22"/>
        <v>6175950.2666462827</v>
      </c>
      <c r="AP304" s="31">
        <v>121105.66</v>
      </c>
      <c r="AR304" s="42" t="s">
        <v>487</v>
      </c>
      <c r="AS304" s="42" t="s">
        <v>488</v>
      </c>
      <c r="AT304" s="43" t="s">
        <v>1276</v>
      </c>
      <c r="AU304" s="44">
        <v>34</v>
      </c>
      <c r="AV304" s="31">
        <v>5009104.2114453381</v>
      </c>
      <c r="AW304" s="31">
        <v>288529.86</v>
      </c>
      <c r="AX304" s="31">
        <v>0</v>
      </c>
      <c r="AY304" s="31">
        <v>14299.439999999999</v>
      </c>
      <c r="AZ304" s="31">
        <v>557729.73173173855</v>
      </c>
      <c r="BA304" s="31">
        <v>279784.576643218</v>
      </c>
      <c r="BB304" s="31">
        <v>65163.07443879277</v>
      </c>
      <c r="BC304" s="31">
        <f t="shared" si="23"/>
        <v>6337968.9042590884</v>
      </c>
      <c r="BD304" s="31">
        <v>123358.01000000001</v>
      </c>
    </row>
    <row r="305" spans="2:56">
      <c r="B305" s="42" t="s">
        <v>41</v>
      </c>
      <c r="C305" s="42" t="s">
        <v>42</v>
      </c>
      <c r="D305" s="43" t="s">
        <v>1049</v>
      </c>
      <c r="E305" s="44">
        <v>34</v>
      </c>
      <c r="F305" s="31">
        <v>57079730.123818897</v>
      </c>
      <c r="G305" s="31">
        <v>2760943.3499999992</v>
      </c>
      <c r="H305" s="31">
        <v>2617791.5599999996</v>
      </c>
      <c r="I305" s="31">
        <v>0</v>
      </c>
      <c r="J305" s="31">
        <v>9285388.0489470139</v>
      </c>
      <c r="K305" s="31">
        <v>2284201.8460614439</v>
      </c>
      <c r="L305" s="31">
        <v>8472249.3594453558</v>
      </c>
      <c r="M305" s="31">
        <f t="shared" si="20"/>
        <v>84350685.128272712</v>
      </c>
      <c r="N305" s="31">
        <v>1850380.8400000003</v>
      </c>
      <c r="P305" s="42" t="s">
        <v>41</v>
      </c>
      <c r="Q305" s="42" t="s">
        <v>42</v>
      </c>
      <c r="R305" s="43" t="s">
        <v>1050</v>
      </c>
      <c r="S305" s="44">
        <v>34</v>
      </c>
      <c r="T305" s="31">
        <v>59166123.746091329</v>
      </c>
      <c r="U305" s="31">
        <v>2860009.2300000009</v>
      </c>
      <c r="V305" s="31">
        <v>2763422.9299999997</v>
      </c>
      <c r="W305" s="31">
        <v>0</v>
      </c>
      <c r="X305" s="31">
        <v>9788638.9833310861</v>
      </c>
      <c r="Y305" s="31">
        <v>2289934.2741120658</v>
      </c>
      <c r="Z305" s="31">
        <v>9014523.4310385976</v>
      </c>
      <c r="AA305" s="31">
        <f t="shared" si="21"/>
        <v>87806158.364573076</v>
      </c>
      <c r="AB305" s="31">
        <v>1923505.77</v>
      </c>
      <c r="AD305" s="42" t="s">
        <v>41</v>
      </c>
      <c r="AE305" s="42" t="s">
        <v>42</v>
      </c>
      <c r="AF305" s="43" t="s">
        <v>1275</v>
      </c>
      <c r="AG305" s="44">
        <v>34</v>
      </c>
      <c r="AH305" s="31">
        <v>59604426.407978281</v>
      </c>
      <c r="AI305" s="31">
        <v>2880351.05</v>
      </c>
      <c r="AJ305" s="31">
        <v>2811777.5399999996</v>
      </c>
      <c r="AK305" s="31">
        <v>0</v>
      </c>
      <c r="AL305" s="31">
        <v>9965511.8293224089</v>
      </c>
      <c r="AM305" s="31">
        <v>2285550.4922386156</v>
      </c>
      <c r="AN305" s="31">
        <v>9173501.293776717</v>
      </c>
      <c r="AO305" s="31">
        <f t="shared" si="22"/>
        <v>88678728.313316017</v>
      </c>
      <c r="AP305" s="31">
        <v>1957609.7000000002</v>
      </c>
      <c r="AR305" s="42" t="s">
        <v>41</v>
      </c>
      <c r="AS305" s="42" t="s">
        <v>42</v>
      </c>
      <c r="AT305" s="43" t="s">
        <v>1276</v>
      </c>
      <c r="AU305" s="44">
        <v>34</v>
      </c>
      <c r="AV305" s="31">
        <v>58897362.110472754</v>
      </c>
      <c r="AW305" s="31">
        <v>2844318.1800000011</v>
      </c>
      <c r="AX305" s="31">
        <v>2863565.33</v>
      </c>
      <c r="AY305" s="31">
        <v>0</v>
      </c>
      <c r="AZ305" s="31">
        <v>10183406.847013239</v>
      </c>
      <c r="BA305" s="31">
        <v>2285675.7431492857</v>
      </c>
      <c r="BB305" s="31">
        <v>9343761.4863544367</v>
      </c>
      <c r="BC305" s="31">
        <f t="shared" si="23"/>
        <v>88412224.696989715</v>
      </c>
      <c r="BD305" s="31">
        <v>1994134.9999999995</v>
      </c>
    </row>
    <row r="306" spans="2:56">
      <c r="B306" s="42" t="s">
        <v>473</v>
      </c>
      <c r="C306" s="42" t="s">
        <v>474</v>
      </c>
      <c r="D306" s="43" t="s">
        <v>1049</v>
      </c>
      <c r="E306" s="44">
        <v>34</v>
      </c>
      <c r="F306" s="31">
        <v>27252421.454663172</v>
      </c>
      <c r="G306" s="31">
        <v>1113185.7600000002</v>
      </c>
      <c r="H306" s="31">
        <v>159513.76</v>
      </c>
      <c r="I306" s="31">
        <v>95688.760000000009</v>
      </c>
      <c r="J306" s="31">
        <v>3790502.1442183964</v>
      </c>
      <c r="K306" s="31">
        <v>1633321.272659702</v>
      </c>
      <c r="L306" s="31">
        <v>2553035.502410965</v>
      </c>
      <c r="M306" s="31">
        <f t="shared" si="20"/>
        <v>37123274.753952242</v>
      </c>
      <c r="N306" s="31">
        <v>525606.1</v>
      </c>
      <c r="P306" s="42" t="s">
        <v>473</v>
      </c>
      <c r="Q306" s="42" t="s">
        <v>474</v>
      </c>
      <c r="R306" s="43" t="s">
        <v>1050</v>
      </c>
      <c r="S306" s="44">
        <v>34</v>
      </c>
      <c r="T306" s="31">
        <v>30163008.957317773</v>
      </c>
      <c r="U306" s="31">
        <v>1229769.48</v>
      </c>
      <c r="V306" s="31">
        <v>169867.65999999997</v>
      </c>
      <c r="W306" s="31">
        <v>104909.1</v>
      </c>
      <c r="X306" s="31">
        <v>4007876.3111031801</v>
      </c>
      <c r="Y306" s="31">
        <v>1636992.1792704216</v>
      </c>
      <c r="Z306" s="31">
        <v>2736149.0709653003</v>
      </c>
      <c r="AA306" s="31">
        <f t="shared" si="21"/>
        <v>40599560.028656684</v>
      </c>
      <c r="AB306" s="31">
        <v>550987.27</v>
      </c>
      <c r="AD306" s="42" t="s">
        <v>473</v>
      </c>
      <c r="AE306" s="42" t="s">
        <v>474</v>
      </c>
      <c r="AF306" s="43" t="s">
        <v>1275</v>
      </c>
      <c r="AG306" s="44">
        <v>34</v>
      </c>
      <c r="AH306" s="31">
        <v>31298439.173446734</v>
      </c>
      <c r="AI306" s="31">
        <v>1270188.95</v>
      </c>
      <c r="AJ306" s="31">
        <v>172829.27</v>
      </c>
      <c r="AK306" s="31">
        <v>108427.39</v>
      </c>
      <c r="AL306" s="31">
        <v>4083167.2444661264</v>
      </c>
      <c r="AM306" s="31">
        <v>1634203.2803123873</v>
      </c>
      <c r="AN306" s="31">
        <v>2784289.9460201734</v>
      </c>
      <c r="AO306" s="31">
        <f t="shared" si="22"/>
        <v>41912269.654245421</v>
      </c>
      <c r="AP306" s="31">
        <v>560724.39999999991</v>
      </c>
      <c r="AR306" s="42" t="s">
        <v>473</v>
      </c>
      <c r="AS306" s="42" t="s">
        <v>474</v>
      </c>
      <c r="AT306" s="43" t="s">
        <v>1276</v>
      </c>
      <c r="AU306" s="44">
        <v>34</v>
      </c>
      <c r="AV306" s="31">
        <v>31987600.402773663</v>
      </c>
      <c r="AW306" s="31">
        <v>1295082.9699999997</v>
      </c>
      <c r="AX306" s="31">
        <v>176001.15999999997</v>
      </c>
      <c r="AY306" s="31">
        <v>110524.85999999999</v>
      </c>
      <c r="AZ306" s="31">
        <v>4158697.5639841137</v>
      </c>
      <c r="BA306" s="31">
        <v>1634282.9631397598</v>
      </c>
      <c r="BB306" s="31">
        <v>2835847.1961803422</v>
      </c>
      <c r="BC306" s="31">
        <f t="shared" si="23"/>
        <v>42769189.99607788</v>
      </c>
      <c r="BD306" s="31">
        <v>571152.88</v>
      </c>
    </row>
    <row r="307" spans="2:56">
      <c r="B307" s="42" t="s">
        <v>607</v>
      </c>
      <c r="C307" s="42" t="s">
        <v>608</v>
      </c>
      <c r="D307" s="43" t="s">
        <v>1049</v>
      </c>
      <c r="E307" s="44">
        <v>34</v>
      </c>
      <c r="F307" s="31">
        <v>41508058.699975565</v>
      </c>
      <c r="G307" s="31">
        <v>1563371.09</v>
      </c>
      <c r="H307" s="31">
        <v>669554.99000000011</v>
      </c>
      <c r="I307" s="31">
        <v>151726.78</v>
      </c>
      <c r="J307" s="31">
        <v>6987543.5982942274</v>
      </c>
      <c r="K307" s="31">
        <v>2269708.6322501143</v>
      </c>
      <c r="L307" s="31">
        <v>5408103.0815354018</v>
      </c>
      <c r="M307" s="31">
        <f t="shared" si="20"/>
        <v>59013751.642055318</v>
      </c>
      <c r="N307" s="31">
        <v>455684.77</v>
      </c>
      <c r="P307" s="42" t="s">
        <v>607</v>
      </c>
      <c r="Q307" s="42" t="s">
        <v>608</v>
      </c>
      <c r="R307" s="43" t="s">
        <v>1050</v>
      </c>
      <c r="S307" s="44">
        <v>34</v>
      </c>
      <c r="T307" s="31">
        <v>45329895.612351082</v>
      </c>
      <c r="U307" s="31">
        <v>1699538.1000000003</v>
      </c>
      <c r="V307" s="31">
        <v>706803.27</v>
      </c>
      <c r="W307" s="31">
        <v>164214.36000000002</v>
      </c>
      <c r="X307" s="31">
        <v>7375846.1458639745</v>
      </c>
      <c r="Y307" s="31">
        <v>2275458.6717799851</v>
      </c>
      <c r="Z307" s="31">
        <v>5700252.1517284419</v>
      </c>
      <c r="AA307" s="31">
        <f t="shared" si="21"/>
        <v>63725701.221723482</v>
      </c>
      <c r="AB307" s="31">
        <v>473692.91</v>
      </c>
      <c r="AD307" s="42" t="s">
        <v>607</v>
      </c>
      <c r="AE307" s="42" t="s">
        <v>608</v>
      </c>
      <c r="AF307" s="43" t="s">
        <v>1275</v>
      </c>
      <c r="AG307" s="44">
        <v>34</v>
      </c>
      <c r="AH307" s="31">
        <v>47133547.076043159</v>
      </c>
      <c r="AI307" s="31">
        <v>1762216.0100000002</v>
      </c>
      <c r="AJ307" s="31">
        <v>719170.97000000009</v>
      </c>
      <c r="AK307" s="31">
        <v>170338.51999999996</v>
      </c>
      <c r="AL307" s="31">
        <v>7505555.8620903157</v>
      </c>
      <c r="AM307" s="31">
        <v>2271061.4218118964</v>
      </c>
      <c r="AN307" s="31">
        <v>5800820.8352208938</v>
      </c>
      <c r="AO307" s="31">
        <f t="shared" si="22"/>
        <v>65844802.235166267</v>
      </c>
      <c r="AP307" s="31">
        <v>482091.54000000004</v>
      </c>
      <c r="AR307" s="42" t="s">
        <v>607</v>
      </c>
      <c r="AS307" s="42" t="s">
        <v>608</v>
      </c>
      <c r="AT307" s="43" t="s">
        <v>1276</v>
      </c>
      <c r="AU307" s="44">
        <v>34</v>
      </c>
      <c r="AV307" s="31">
        <v>49034583.024829909</v>
      </c>
      <c r="AW307" s="31">
        <v>1828325.31</v>
      </c>
      <c r="AX307" s="31">
        <v>732416.77</v>
      </c>
      <c r="AY307" s="31">
        <v>176786.45999999996</v>
      </c>
      <c r="AZ307" s="31">
        <v>7645196.56967921</v>
      </c>
      <c r="BA307" s="31">
        <v>2271187.0575252702</v>
      </c>
      <c r="BB307" s="31">
        <v>5908526.5440685069</v>
      </c>
      <c r="BC307" s="31">
        <f t="shared" si="23"/>
        <v>68088108.196102887</v>
      </c>
      <c r="BD307" s="31">
        <v>491086.46</v>
      </c>
    </row>
    <row r="308" spans="2:56">
      <c r="B308" s="42" t="s">
        <v>1253</v>
      </c>
      <c r="C308" s="42" t="s">
        <v>1254</v>
      </c>
      <c r="D308" s="43" t="s">
        <v>1049</v>
      </c>
      <c r="E308" s="44">
        <v>34</v>
      </c>
      <c r="F308" s="31">
        <v>1459299.1193121755</v>
      </c>
      <c r="G308" s="31">
        <v>20466</v>
      </c>
      <c r="H308" s="31">
        <v>0</v>
      </c>
      <c r="I308" s="31">
        <v>0</v>
      </c>
      <c r="J308" s="31">
        <v>60028.425250620443</v>
      </c>
      <c r="K308" s="31">
        <v>0</v>
      </c>
      <c r="L308" s="31">
        <v>0</v>
      </c>
      <c r="M308" s="31">
        <f t="shared" si="20"/>
        <v>1554745.364562796</v>
      </c>
      <c r="N308" s="31">
        <v>14951.820000000002</v>
      </c>
      <c r="P308" s="42" t="s">
        <v>1253</v>
      </c>
      <c r="Q308" s="42" t="s">
        <v>1254</v>
      </c>
      <c r="R308" s="43" t="s">
        <v>1050</v>
      </c>
      <c r="S308" s="44">
        <v>34</v>
      </c>
      <c r="T308" s="31">
        <v>1636494.9393433207</v>
      </c>
      <c r="U308" s="31">
        <v>34822.770000000004</v>
      </c>
      <c r="V308" s="31">
        <v>0</v>
      </c>
      <c r="W308" s="31">
        <v>0</v>
      </c>
      <c r="X308" s="31">
        <v>63168.401374398221</v>
      </c>
      <c r="Y308" s="31">
        <v>0</v>
      </c>
      <c r="Z308" s="31">
        <v>0</v>
      </c>
      <c r="AA308" s="31">
        <f t="shared" si="21"/>
        <v>1750039.870717719</v>
      </c>
      <c r="AB308" s="31">
        <v>15553.76</v>
      </c>
      <c r="AD308" s="42" t="s">
        <v>1253</v>
      </c>
      <c r="AE308" s="42" t="s">
        <v>1254</v>
      </c>
      <c r="AF308" s="43" t="s">
        <v>1275</v>
      </c>
      <c r="AG308" s="44">
        <v>34</v>
      </c>
      <c r="AH308" s="31">
        <v>1795170.5537062022</v>
      </c>
      <c r="AI308" s="31">
        <v>47736.090000000011</v>
      </c>
      <c r="AJ308" s="31">
        <v>0</v>
      </c>
      <c r="AK308" s="31">
        <v>0</v>
      </c>
      <c r="AL308" s="31">
        <v>64289.474307837903</v>
      </c>
      <c r="AM308" s="31">
        <v>0</v>
      </c>
      <c r="AN308" s="31">
        <v>0</v>
      </c>
      <c r="AO308" s="31">
        <f t="shared" si="22"/>
        <v>1923027.3180140401</v>
      </c>
      <c r="AP308" s="31">
        <v>15831.2</v>
      </c>
      <c r="AR308" s="42" t="s">
        <v>1253</v>
      </c>
      <c r="AS308" s="42" t="s">
        <v>1254</v>
      </c>
      <c r="AT308" s="43" t="s">
        <v>1276</v>
      </c>
      <c r="AU308" s="44">
        <v>34</v>
      </c>
      <c r="AV308" s="31">
        <v>1833009.9865475972</v>
      </c>
      <c r="AW308" s="31">
        <v>49081.569999999992</v>
      </c>
      <c r="AX308" s="31">
        <v>0</v>
      </c>
      <c r="AY308" s="31">
        <v>0</v>
      </c>
      <c r="AZ308" s="31">
        <v>65490.158455733683</v>
      </c>
      <c r="BA308" s="31">
        <v>0</v>
      </c>
      <c r="BB308" s="31">
        <v>0</v>
      </c>
      <c r="BC308" s="31">
        <f t="shared" si="23"/>
        <v>1963710.055003331</v>
      </c>
      <c r="BD308" s="31">
        <v>16128.340000000002</v>
      </c>
    </row>
    <row r="309" spans="2:56">
      <c r="B309" s="42" t="s">
        <v>293</v>
      </c>
      <c r="C309" s="42" t="s">
        <v>294</v>
      </c>
      <c r="D309" s="43" t="s">
        <v>1049</v>
      </c>
      <c r="E309" s="44">
        <v>34</v>
      </c>
      <c r="F309" s="31">
        <v>3375597.7565639042</v>
      </c>
      <c r="G309" s="31">
        <v>140707.29</v>
      </c>
      <c r="H309" s="31">
        <v>0</v>
      </c>
      <c r="I309" s="31">
        <v>9062.18</v>
      </c>
      <c r="J309" s="31">
        <v>394223.18565639714</v>
      </c>
      <c r="K309" s="31">
        <v>447455.15663249994</v>
      </c>
      <c r="L309" s="31">
        <v>166403.18024335333</v>
      </c>
      <c r="M309" s="31">
        <f t="shared" si="20"/>
        <v>4628650.3090961548</v>
      </c>
      <c r="N309" s="31">
        <v>95201.56</v>
      </c>
      <c r="P309" s="42" t="s">
        <v>293</v>
      </c>
      <c r="Q309" s="42" t="s">
        <v>294</v>
      </c>
      <c r="R309" s="43" t="s">
        <v>1050</v>
      </c>
      <c r="S309" s="44">
        <v>34</v>
      </c>
      <c r="T309" s="31">
        <v>3530187.2246973184</v>
      </c>
      <c r="U309" s="31">
        <v>153394.31</v>
      </c>
      <c r="V309" s="31">
        <v>0</v>
      </c>
      <c r="W309" s="31">
        <v>9857.93</v>
      </c>
      <c r="X309" s="31">
        <v>411194.84495101555</v>
      </c>
      <c r="Y309" s="31">
        <v>448813.61680443637</v>
      </c>
      <c r="Z309" s="31">
        <v>178371.95463345436</v>
      </c>
      <c r="AA309" s="31">
        <f t="shared" si="21"/>
        <v>4831618.6610862259</v>
      </c>
      <c r="AB309" s="31">
        <v>99798.780000000013</v>
      </c>
      <c r="AD309" s="42" t="s">
        <v>293</v>
      </c>
      <c r="AE309" s="42" t="s">
        <v>294</v>
      </c>
      <c r="AF309" s="43" t="s">
        <v>1275</v>
      </c>
      <c r="AG309" s="44">
        <v>34</v>
      </c>
      <c r="AH309" s="31">
        <v>3518382.3119870229</v>
      </c>
      <c r="AI309" s="31">
        <v>148549.06999999998</v>
      </c>
      <c r="AJ309" s="31">
        <v>0</v>
      </c>
      <c r="AK309" s="31">
        <v>9501.8999999999978</v>
      </c>
      <c r="AL309" s="31">
        <v>419885.98528226814</v>
      </c>
      <c r="AM309" s="31">
        <v>447781.55345883634</v>
      </c>
      <c r="AN309" s="31">
        <v>181510.28245073624</v>
      </c>
      <c r="AO309" s="31">
        <f t="shared" si="22"/>
        <v>4827173.5431788638</v>
      </c>
      <c r="AP309" s="31">
        <v>101562.44</v>
      </c>
      <c r="AR309" s="42" t="s">
        <v>293</v>
      </c>
      <c r="AS309" s="42" t="s">
        <v>294</v>
      </c>
      <c r="AT309" s="43" t="s">
        <v>1276</v>
      </c>
      <c r="AU309" s="44">
        <v>34</v>
      </c>
      <c r="AV309" s="31">
        <v>3577475.8376682634</v>
      </c>
      <c r="AW309" s="31">
        <v>150282.79999999999</v>
      </c>
      <c r="AX309" s="31">
        <v>0</v>
      </c>
      <c r="AY309" s="31">
        <v>9568.7799999999988</v>
      </c>
      <c r="AZ309" s="31">
        <v>427288.91547783674</v>
      </c>
      <c r="BA309" s="31">
        <v>447811.04098299635</v>
      </c>
      <c r="BB309" s="31">
        <v>184871.3254180451</v>
      </c>
      <c r="BC309" s="31">
        <f t="shared" si="23"/>
        <v>4900750.0195471412</v>
      </c>
      <c r="BD309" s="31">
        <v>103451.32</v>
      </c>
    </row>
    <row r="310" spans="2:56">
      <c r="B310" s="42" t="s">
        <v>387</v>
      </c>
      <c r="C310" s="42" t="s">
        <v>388</v>
      </c>
      <c r="D310" s="43" t="s">
        <v>1049</v>
      </c>
      <c r="E310" s="44">
        <v>34</v>
      </c>
      <c r="F310" s="31">
        <v>34797946.118279181</v>
      </c>
      <c r="G310" s="31">
        <v>806348.29999999993</v>
      </c>
      <c r="H310" s="31">
        <v>204793.39</v>
      </c>
      <c r="I310" s="31">
        <v>0</v>
      </c>
      <c r="J310" s="31">
        <v>5597329.136728121</v>
      </c>
      <c r="K310" s="31">
        <v>2480029.0175399454</v>
      </c>
      <c r="L310" s="31">
        <v>2995983.6913767993</v>
      </c>
      <c r="M310" s="31">
        <f t="shared" si="20"/>
        <v>46890535.203924045</v>
      </c>
      <c r="N310" s="31">
        <v>8105.55</v>
      </c>
      <c r="P310" s="42" t="s">
        <v>387</v>
      </c>
      <c r="Q310" s="42" t="s">
        <v>388</v>
      </c>
      <c r="R310" s="43" t="s">
        <v>1050</v>
      </c>
      <c r="S310" s="44">
        <v>34</v>
      </c>
      <c r="T310" s="31">
        <v>36525326.288837723</v>
      </c>
      <c r="U310" s="31">
        <v>850087.66999999993</v>
      </c>
      <c r="V310" s="31">
        <v>218005.38</v>
      </c>
      <c r="W310" s="31">
        <v>0</v>
      </c>
      <c r="X310" s="31">
        <v>5909347.0429951902</v>
      </c>
      <c r="Y310" s="31">
        <v>2484757.5375526687</v>
      </c>
      <c r="Z310" s="31">
        <v>3179532.481142079</v>
      </c>
      <c r="AA310" s="31">
        <f t="shared" si="21"/>
        <v>49175556.000527672</v>
      </c>
      <c r="AB310" s="31">
        <v>8499.5999999999985</v>
      </c>
      <c r="AD310" s="42" t="s">
        <v>387</v>
      </c>
      <c r="AE310" s="42" t="s">
        <v>388</v>
      </c>
      <c r="AF310" s="43" t="s">
        <v>1275</v>
      </c>
      <c r="AG310" s="44">
        <v>34</v>
      </c>
      <c r="AH310" s="31">
        <v>37967804.610449344</v>
      </c>
      <c r="AI310" s="31">
        <v>881793.69</v>
      </c>
      <c r="AJ310" s="31">
        <v>221833.15</v>
      </c>
      <c r="AK310" s="31">
        <v>0</v>
      </c>
      <c r="AL310" s="31">
        <v>6014106.6705231629</v>
      </c>
      <c r="AM310" s="31">
        <v>2481125.7156089996</v>
      </c>
      <c r="AN310" s="31">
        <v>3235770.4047705042</v>
      </c>
      <c r="AO310" s="31">
        <f t="shared" si="22"/>
        <v>50811085.001351997</v>
      </c>
      <c r="AP310" s="31">
        <v>8650.7599999999984</v>
      </c>
      <c r="AR310" s="42" t="s">
        <v>387</v>
      </c>
      <c r="AS310" s="42" t="s">
        <v>388</v>
      </c>
      <c r="AT310" s="43" t="s">
        <v>1276</v>
      </c>
      <c r="AU310" s="44">
        <v>34</v>
      </c>
      <c r="AV310" s="31">
        <v>39501689.311950266</v>
      </c>
      <c r="AW310" s="31">
        <v>915745.54999999993</v>
      </c>
      <c r="AX310" s="31">
        <v>225932.69</v>
      </c>
      <c r="AY310" s="31">
        <v>0</v>
      </c>
      <c r="AZ310" s="31">
        <v>6125609.0403759303</v>
      </c>
      <c r="BA310" s="31">
        <v>2481229.4819502477</v>
      </c>
      <c r="BB310" s="31">
        <v>3295999.3899099468</v>
      </c>
      <c r="BC310" s="31">
        <f t="shared" si="23"/>
        <v>52555018.124186382</v>
      </c>
      <c r="BD310" s="31">
        <v>8812.66</v>
      </c>
    </row>
    <row r="311" spans="2:56">
      <c r="B311" s="42" t="s">
        <v>267</v>
      </c>
      <c r="C311" s="42" t="s">
        <v>268</v>
      </c>
      <c r="D311" s="43" t="s">
        <v>1049</v>
      </c>
      <c r="E311" s="44">
        <v>34</v>
      </c>
      <c r="F311" s="31">
        <v>9034183.4674334936</v>
      </c>
      <c r="G311" s="31">
        <v>297395.21999999997</v>
      </c>
      <c r="H311" s="31">
        <v>279855.52999999997</v>
      </c>
      <c r="I311" s="31">
        <v>31084.229999999996</v>
      </c>
      <c r="J311" s="31">
        <v>1292749.7461333645</v>
      </c>
      <c r="K311" s="31">
        <v>735897.43484189699</v>
      </c>
      <c r="L311" s="31">
        <v>514407.64999340358</v>
      </c>
      <c r="M311" s="31">
        <f t="shared" si="20"/>
        <v>12190737.73840216</v>
      </c>
      <c r="N311" s="31">
        <v>5164.46</v>
      </c>
      <c r="P311" s="42" t="s">
        <v>267</v>
      </c>
      <c r="Q311" s="42" t="s">
        <v>268</v>
      </c>
      <c r="R311" s="43" t="s">
        <v>1050</v>
      </c>
      <c r="S311" s="44">
        <v>34</v>
      </c>
      <c r="T311" s="31">
        <v>10078772.135119317</v>
      </c>
      <c r="U311" s="31">
        <v>330897.14</v>
      </c>
      <c r="V311" s="31">
        <v>298020.72000000003</v>
      </c>
      <c r="W311" s="31">
        <v>34554.630000000005</v>
      </c>
      <c r="X311" s="31">
        <v>1370565.7010994893</v>
      </c>
      <c r="Y311" s="31">
        <v>737979.24172746774</v>
      </c>
      <c r="Z311" s="31">
        <v>546026.7702270064</v>
      </c>
      <c r="AA311" s="31">
        <f t="shared" si="21"/>
        <v>13402230.188173281</v>
      </c>
      <c r="AB311" s="31">
        <v>5413.85</v>
      </c>
      <c r="AD311" s="42" t="s">
        <v>267</v>
      </c>
      <c r="AE311" s="42" t="s">
        <v>268</v>
      </c>
      <c r="AF311" s="43" t="s">
        <v>1275</v>
      </c>
      <c r="AG311" s="44">
        <v>34</v>
      </c>
      <c r="AH311" s="31">
        <v>10339089.726368878</v>
      </c>
      <c r="AI311" s="31">
        <v>339304.38999999996</v>
      </c>
      <c r="AJ311" s="31">
        <v>303216.65999999997</v>
      </c>
      <c r="AK311" s="31">
        <v>35368.239999999998</v>
      </c>
      <c r="AL311" s="31">
        <v>1394165.6353662715</v>
      </c>
      <c r="AM311" s="31">
        <v>736397.62997056765</v>
      </c>
      <c r="AN311" s="31">
        <v>555634.76377000986</v>
      </c>
      <c r="AO311" s="31">
        <f t="shared" si="22"/>
        <v>13708686.575475728</v>
      </c>
      <c r="AP311" s="31">
        <v>5509.5300000000007</v>
      </c>
      <c r="AR311" s="42" t="s">
        <v>267</v>
      </c>
      <c r="AS311" s="42" t="s">
        <v>268</v>
      </c>
      <c r="AT311" s="43" t="s">
        <v>1276</v>
      </c>
      <c r="AU311" s="44">
        <v>34</v>
      </c>
      <c r="AV311" s="31">
        <v>10529245.003891587</v>
      </c>
      <c r="AW311" s="31">
        <v>344025.01</v>
      </c>
      <c r="AX311" s="31">
        <v>308781.51999999996</v>
      </c>
      <c r="AY311" s="31">
        <v>35909.829999999994</v>
      </c>
      <c r="AZ311" s="31">
        <v>1425565.6991696716</v>
      </c>
      <c r="BA311" s="31">
        <v>736442.81887790759</v>
      </c>
      <c r="BB311" s="31">
        <v>565924.59702736628</v>
      </c>
      <c r="BC311" s="31">
        <f t="shared" si="23"/>
        <v>13951506.468966532</v>
      </c>
      <c r="BD311" s="31">
        <v>5611.99</v>
      </c>
    </row>
    <row r="312" spans="2:56">
      <c r="B312" s="42" t="s">
        <v>307</v>
      </c>
      <c r="C312" s="42" t="s">
        <v>308</v>
      </c>
      <c r="D312" s="43" t="s">
        <v>1049</v>
      </c>
      <c r="E312" s="44">
        <v>34</v>
      </c>
      <c r="F312" s="31">
        <v>2440509.4481912944</v>
      </c>
      <c r="G312" s="31">
        <v>60706.820000000007</v>
      </c>
      <c r="H312" s="31">
        <v>0</v>
      </c>
      <c r="I312" s="31">
        <v>6138.8899999999994</v>
      </c>
      <c r="J312" s="31">
        <v>258163.0520971418</v>
      </c>
      <c r="K312" s="31">
        <v>0</v>
      </c>
      <c r="L312" s="31">
        <v>190374.48518330985</v>
      </c>
      <c r="M312" s="31">
        <f t="shared" si="20"/>
        <v>2955892.6954717459</v>
      </c>
      <c r="N312" s="31">
        <v>0</v>
      </c>
      <c r="P312" s="42" t="s">
        <v>307</v>
      </c>
      <c r="Q312" s="42" t="s">
        <v>308</v>
      </c>
      <c r="R312" s="43" t="s">
        <v>1050</v>
      </c>
      <c r="S312" s="44">
        <v>34</v>
      </c>
      <c r="T312" s="31">
        <v>2407084.7128923647</v>
      </c>
      <c r="U312" s="31">
        <v>57279.75</v>
      </c>
      <c r="V312" s="31">
        <v>0</v>
      </c>
      <c r="W312" s="31">
        <v>5810.99</v>
      </c>
      <c r="X312" s="31">
        <v>275980.54742041451</v>
      </c>
      <c r="Y312" s="31">
        <v>0</v>
      </c>
      <c r="Z312" s="31">
        <v>202076.57071206023</v>
      </c>
      <c r="AA312" s="31">
        <f t="shared" si="21"/>
        <v>2948232.5710248398</v>
      </c>
      <c r="AB312" s="31">
        <v>0</v>
      </c>
      <c r="AD312" s="42" t="s">
        <v>307</v>
      </c>
      <c r="AE312" s="42" t="s">
        <v>308</v>
      </c>
      <c r="AF312" s="43" t="s">
        <v>1275</v>
      </c>
      <c r="AG312" s="44">
        <v>34</v>
      </c>
      <c r="AH312" s="31">
        <v>2411063.8818605873</v>
      </c>
      <c r="AI312" s="31">
        <v>55322.26</v>
      </c>
      <c r="AJ312" s="31">
        <v>0</v>
      </c>
      <c r="AK312" s="31">
        <v>5595.59</v>
      </c>
      <c r="AL312" s="31">
        <v>280518.42431507411</v>
      </c>
      <c r="AM312" s="31">
        <v>0</v>
      </c>
      <c r="AN312" s="31">
        <v>205632.40872138378</v>
      </c>
      <c r="AO312" s="31">
        <f t="shared" si="22"/>
        <v>2958132.5648970446</v>
      </c>
      <c r="AP312" s="31">
        <v>0</v>
      </c>
      <c r="AR312" s="42" t="s">
        <v>307</v>
      </c>
      <c r="AS312" s="42" t="s">
        <v>308</v>
      </c>
      <c r="AT312" s="43" t="s">
        <v>1276</v>
      </c>
      <c r="AU312" s="44">
        <v>34</v>
      </c>
      <c r="AV312" s="31">
        <v>2458230.562511852</v>
      </c>
      <c r="AW312" s="31">
        <v>54187.27</v>
      </c>
      <c r="AX312" s="31">
        <v>0</v>
      </c>
      <c r="AY312" s="31">
        <v>5483.2400000000007</v>
      </c>
      <c r="AZ312" s="31">
        <v>288329.86963567103</v>
      </c>
      <c r="BA312" s="31">
        <v>0</v>
      </c>
      <c r="BB312" s="31">
        <v>209440.58987896936</v>
      </c>
      <c r="BC312" s="31">
        <f t="shared" si="23"/>
        <v>3015671.5320264925</v>
      </c>
      <c r="BD312" s="31">
        <v>0</v>
      </c>
    </row>
    <row r="313" spans="2:56">
      <c r="B313" s="42" t="s">
        <v>351</v>
      </c>
      <c r="C313" s="42" t="s">
        <v>352</v>
      </c>
      <c r="D313" s="43" t="s">
        <v>1049</v>
      </c>
      <c r="E313" s="44">
        <v>34</v>
      </c>
      <c r="F313" s="31">
        <v>3553301.2571759112</v>
      </c>
      <c r="G313" s="31">
        <v>92862.919999999984</v>
      </c>
      <c r="H313" s="31">
        <v>11205.919999999998</v>
      </c>
      <c r="I313" s="31">
        <v>10036.619999999999</v>
      </c>
      <c r="J313" s="31">
        <v>373859.36491124833</v>
      </c>
      <c r="K313" s="31">
        <v>496022.54982368345</v>
      </c>
      <c r="L313" s="31">
        <v>273099.64873938815</v>
      </c>
      <c r="M313" s="31">
        <f t="shared" si="20"/>
        <v>4810388.2806502311</v>
      </c>
      <c r="N313" s="31">
        <v>0</v>
      </c>
      <c r="P313" s="42" t="s">
        <v>351</v>
      </c>
      <c r="Q313" s="42" t="s">
        <v>352</v>
      </c>
      <c r="R313" s="43" t="s">
        <v>1050</v>
      </c>
      <c r="S313" s="44">
        <v>34</v>
      </c>
      <c r="T313" s="31">
        <v>3568035.6147950701</v>
      </c>
      <c r="U313" s="31">
        <v>94636.079999999987</v>
      </c>
      <c r="V313" s="31">
        <v>11933.300000000001</v>
      </c>
      <c r="W313" s="31">
        <v>10273.01</v>
      </c>
      <c r="X313" s="31">
        <v>397253.02867625345</v>
      </c>
      <c r="Y313" s="31">
        <v>497222.29895740381</v>
      </c>
      <c r="Z313" s="31">
        <v>289885.87266204524</v>
      </c>
      <c r="AA313" s="31">
        <f t="shared" si="21"/>
        <v>4869239.2050907724</v>
      </c>
      <c r="AB313" s="31">
        <v>0</v>
      </c>
      <c r="AD313" s="42" t="s">
        <v>351</v>
      </c>
      <c r="AE313" s="42" t="s">
        <v>352</v>
      </c>
      <c r="AF313" s="43" t="s">
        <v>1275</v>
      </c>
      <c r="AG313" s="44">
        <v>34</v>
      </c>
      <c r="AH313" s="31">
        <v>3589028.2514679204</v>
      </c>
      <c r="AI313" s="31">
        <v>93435.49</v>
      </c>
      <c r="AJ313" s="31">
        <v>12141.35</v>
      </c>
      <c r="AK313" s="31">
        <v>10135.369999999999</v>
      </c>
      <c r="AL313" s="31">
        <v>406585.97582628083</v>
      </c>
      <c r="AM313" s="31">
        <v>496310.8131955039</v>
      </c>
      <c r="AN313" s="31">
        <v>294986.57346819813</v>
      </c>
      <c r="AO313" s="31">
        <f t="shared" si="22"/>
        <v>4902623.8239579033</v>
      </c>
      <c r="AP313" s="31">
        <v>0</v>
      </c>
      <c r="AR313" s="42" t="s">
        <v>351</v>
      </c>
      <c r="AS313" s="42" t="s">
        <v>352</v>
      </c>
      <c r="AT313" s="43" t="s">
        <v>1276</v>
      </c>
      <c r="AU313" s="44">
        <v>34</v>
      </c>
      <c r="AV313" s="31">
        <v>3671705.3096506386</v>
      </c>
      <c r="AW313" s="31">
        <v>95687.859999999986</v>
      </c>
      <c r="AX313" s="31">
        <v>12364.18</v>
      </c>
      <c r="AY313" s="31">
        <v>10321.379999999999</v>
      </c>
      <c r="AZ313" s="31">
        <v>414262.31908384437</v>
      </c>
      <c r="BA313" s="31">
        <v>496336.85564584384</v>
      </c>
      <c r="BB313" s="31">
        <v>300449.24998658791</v>
      </c>
      <c r="BC313" s="31">
        <f t="shared" si="23"/>
        <v>5001127.1543669151</v>
      </c>
      <c r="BD313" s="31">
        <v>0</v>
      </c>
    </row>
    <row r="314" spans="2:56">
      <c r="B314" s="42" t="s">
        <v>137</v>
      </c>
      <c r="C314" s="42" t="s">
        <v>138</v>
      </c>
      <c r="D314" s="43" t="s">
        <v>1049</v>
      </c>
      <c r="E314" s="44">
        <v>34</v>
      </c>
      <c r="F314" s="31">
        <v>1991553.8128150434</v>
      </c>
      <c r="G314" s="31">
        <v>48322.55000000001</v>
      </c>
      <c r="H314" s="31">
        <v>0</v>
      </c>
      <c r="I314" s="31">
        <v>3228.24</v>
      </c>
      <c r="J314" s="31">
        <v>139711.81558404976</v>
      </c>
      <c r="K314" s="31">
        <v>257964.46278194519</v>
      </c>
      <c r="L314" s="31">
        <v>123432.80992942845</v>
      </c>
      <c r="M314" s="31">
        <f t="shared" si="20"/>
        <v>2599118.9211104671</v>
      </c>
      <c r="N314" s="31">
        <v>34905.230000000003</v>
      </c>
      <c r="P314" s="42" t="s">
        <v>137</v>
      </c>
      <c r="Q314" s="42" t="s">
        <v>138</v>
      </c>
      <c r="R314" s="43" t="s">
        <v>1050</v>
      </c>
      <c r="S314" s="44">
        <v>34</v>
      </c>
      <c r="T314" s="31">
        <v>2298092.7788908156</v>
      </c>
      <c r="U314" s="31">
        <v>62427.399999999972</v>
      </c>
      <c r="V314" s="31">
        <v>0</v>
      </c>
      <c r="W314" s="31">
        <v>4188.7299999999996</v>
      </c>
      <c r="X314" s="31">
        <v>148725.19405893853</v>
      </c>
      <c r="Y314" s="31">
        <v>258622.71065109229</v>
      </c>
      <c r="Z314" s="31">
        <v>132297.21192874905</v>
      </c>
      <c r="AA314" s="31">
        <f t="shared" si="21"/>
        <v>2940952.465529595</v>
      </c>
      <c r="AB314" s="31">
        <v>36598.44000000001</v>
      </c>
      <c r="AD314" s="42" t="s">
        <v>137</v>
      </c>
      <c r="AE314" s="42" t="s">
        <v>138</v>
      </c>
      <c r="AF314" s="43" t="s">
        <v>1275</v>
      </c>
      <c r="AG314" s="44">
        <v>34</v>
      </c>
      <c r="AH314" s="31">
        <v>2338389.1966096656</v>
      </c>
      <c r="AI314" s="31">
        <v>63512.609999999979</v>
      </c>
      <c r="AJ314" s="31">
        <v>0</v>
      </c>
      <c r="AK314" s="31">
        <v>4262.1099999999997</v>
      </c>
      <c r="AL314" s="31">
        <v>151344.5486146312</v>
      </c>
      <c r="AM314" s="31">
        <v>258122.61980404326</v>
      </c>
      <c r="AN314" s="31">
        <v>134631.46854849442</v>
      </c>
      <c r="AO314" s="31">
        <f t="shared" si="22"/>
        <v>2987510.5735768345</v>
      </c>
      <c r="AP314" s="31">
        <v>37248.020000000011</v>
      </c>
      <c r="AR314" s="42" t="s">
        <v>137</v>
      </c>
      <c r="AS314" s="42" t="s">
        <v>138</v>
      </c>
      <c r="AT314" s="43" t="s">
        <v>1276</v>
      </c>
      <c r="AU314" s="44">
        <v>34</v>
      </c>
      <c r="AV314" s="31">
        <v>2381531.9648908894</v>
      </c>
      <c r="AW314" s="31">
        <v>64674.869999999988</v>
      </c>
      <c r="AX314" s="31">
        <v>0</v>
      </c>
      <c r="AY314" s="31">
        <v>4340.7</v>
      </c>
      <c r="AZ314" s="31">
        <v>154149.86346599998</v>
      </c>
      <c r="BA314" s="31">
        <v>258136.90811395895</v>
      </c>
      <c r="BB314" s="31">
        <v>137131.38035564171</v>
      </c>
      <c r="BC314" s="31">
        <f t="shared" si="23"/>
        <v>3037909.3968264903</v>
      </c>
      <c r="BD314" s="31">
        <v>37943.710000000014</v>
      </c>
    </row>
    <row r="315" spans="2:56">
      <c r="B315" s="42" t="s">
        <v>281</v>
      </c>
      <c r="C315" s="42" t="s">
        <v>282</v>
      </c>
      <c r="D315" s="43" t="s">
        <v>1049</v>
      </c>
      <c r="E315" s="44">
        <v>34</v>
      </c>
      <c r="F315" s="31">
        <v>6339219.7664329167</v>
      </c>
      <c r="G315" s="31">
        <v>429354.52</v>
      </c>
      <c r="H315" s="31">
        <v>68599.89</v>
      </c>
      <c r="I315" s="31">
        <v>21185.25</v>
      </c>
      <c r="J315" s="31">
        <v>948542.57391796773</v>
      </c>
      <c r="K315" s="31">
        <v>460376.82699010579</v>
      </c>
      <c r="L315" s="31">
        <v>518253.9389264402</v>
      </c>
      <c r="M315" s="31">
        <f t="shared" si="20"/>
        <v>9003337.3862674292</v>
      </c>
      <c r="N315" s="31">
        <v>217804.62</v>
      </c>
      <c r="P315" s="42" t="s">
        <v>281</v>
      </c>
      <c r="Q315" s="42" t="s">
        <v>282</v>
      </c>
      <c r="R315" s="43" t="s">
        <v>1050</v>
      </c>
      <c r="S315" s="44">
        <v>34</v>
      </c>
      <c r="T315" s="31">
        <v>6879748.6353978589</v>
      </c>
      <c r="U315" s="31">
        <v>471684.7</v>
      </c>
      <c r="V315" s="31">
        <v>73034.239999999991</v>
      </c>
      <c r="W315" s="31">
        <v>23091.709999999995</v>
      </c>
      <c r="X315" s="31">
        <v>1003151.2420961887</v>
      </c>
      <c r="Y315" s="31">
        <v>461023.51225653169</v>
      </c>
      <c r="Z315" s="31">
        <v>555415.50488615036</v>
      </c>
      <c r="AA315" s="31">
        <f t="shared" si="21"/>
        <v>9695519.5746367294</v>
      </c>
      <c r="AB315" s="31">
        <v>228370.02999999997</v>
      </c>
      <c r="AD315" s="42" t="s">
        <v>281</v>
      </c>
      <c r="AE315" s="42" t="s">
        <v>282</v>
      </c>
      <c r="AF315" s="43" t="s">
        <v>1275</v>
      </c>
      <c r="AG315" s="44">
        <v>34</v>
      </c>
      <c r="AH315" s="31">
        <v>7228607.2351825256</v>
      </c>
      <c r="AI315" s="31">
        <v>497053.00000000012</v>
      </c>
      <c r="AJ315" s="31">
        <v>74313.69</v>
      </c>
      <c r="AK315" s="31">
        <v>24370.53</v>
      </c>
      <c r="AL315" s="31">
        <v>1021171.3361621611</v>
      </c>
      <c r="AM315" s="31">
        <v>460532.20586904569</v>
      </c>
      <c r="AN315" s="31">
        <v>565214.73198964528</v>
      </c>
      <c r="AO315" s="31">
        <f t="shared" si="22"/>
        <v>10103686.049203377</v>
      </c>
      <c r="AP315" s="31">
        <v>232423.31999999998</v>
      </c>
      <c r="AR315" s="42" t="s">
        <v>281</v>
      </c>
      <c r="AS315" s="42" t="s">
        <v>282</v>
      </c>
      <c r="AT315" s="43" t="s">
        <v>1276</v>
      </c>
      <c r="AU315" s="44">
        <v>34</v>
      </c>
      <c r="AV315" s="31">
        <v>7582181.5177257312</v>
      </c>
      <c r="AW315" s="31">
        <v>522969.2300000001</v>
      </c>
      <c r="AX315" s="31">
        <v>75683.969999999987</v>
      </c>
      <c r="AY315" s="31">
        <v>25710.29</v>
      </c>
      <c r="AZ315" s="31">
        <v>1040163.8862836218</v>
      </c>
      <c r="BA315" s="31">
        <v>460546.24319440243</v>
      </c>
      <c r="BB315" s="31">
        <v>575709.38074848836</v>
      </c>
      <c r="BC315" s="31">
        <f t="shared" si="23"/>
        <v>10519728.887952244</v>
      </c>
      <c r="BD315" s="31">
        <v>236764.36999999997</v>
      </c>
    </row>
    <row r="316" spans="2:56">
      <c r="B316" s="42" t="s">
        <v>161</v>
      </c>
      <c r="C316" s="42" t="s">
        <v>162</v>
      </c>
      <c r="D316" s="43" t="s">
        <v>1049</v>
      </c>
      <c r="E316" s="44">
        <v>34</v>
      </c>
      <c r="F316" s="31">
        <v>2260270.9940265948</v>
      </c>
      <c r="G316" s="31">
        <v>66066.169999999984</v>
      </c>
      <c r="H316" s="31">
        <v>0</v>
      </c>
      <c r="I316" s="31">
        <v>0</v>
      </c>
      <c r="J316" s="31">
        <v>162800.5069257842</v>
      </c>
      <c r="K316" s="31">
        <v>87085.71202076583</v>
      </c>
      <c r="L316" s="31">
        <v>98323.667963401182</v>
      </c>
      <c r="M316" s="31">
        <f t="shared" si="20"/>
        <v>2718883.5009365464</v>
      </c>
      <c r="N316" s="31">
        <v>44336.45</v>
      </c>
      <c r="P316" s="42" t="s">
        <v>161</v>
      </c>
      <c r="Q316" s="42" t="s">
        <v>162</v>
      </c>
      <c r="R316" s="43" t="s">
        <v>1050</v>
      </c>
      <c r="S316" s="44">
        <v>34</v>
      </c>
      <c r="T316" s="31">
        <v>2222688.0393194426</v>
      </c>
      <c r="U316" s="31">
        <v>63620.039999999979</v>
      </c>
      <c r="V316" s="31">
        <v>0</v>
      </c>
      <c r="W316" s="31">
        <v>0</v>
      </c>
      <c r="X316" s="31">
        <v>169764.06788675408</v>
      </c>
      <c r="Y316" s="31">
        <v>87196.774104293479</v>
      </c>
      <c r="Z316" s="31">
        <v>105404.80164214478</v>
      </c>
      <c r="AA316" s="31">
        <f t="shared" si="21"/>
        <v>2695151.1629526345</v>
      </c>
      <c r="AB316" s="31">
        <v>46477.440000000002</v>
      </c>
      <c r="AD316" s="42" t="s">
        <v>161</v>
      </c>
      <c r="AE316" s="42" t="s">
        <v>162</v>
      </c>
      <c r="AF316" s="43" t="s">
        <v>1275</v>
      </c>
      <c r="AG316" s="44">
        <v>34</v>
      </c>
      <c r="AH316" s="31">
        <v>2222531.1457476667</v>
      </c>
      <c r="AI316" s="31">
        <v>64295.930000000008</v>
      </c>
      <c r="AJ316" s="31">
        <v>0</v>
      </c>
      <c r="AK316" s="31">
        <v>0</v>
      </c>
      <c r="AL316" s="31">
        <v>173104.06319089237</v>
      </c>
      <c r="AM316" s="31">
        <v>87112.396874940139</v>
      </c>
      <c r="AN316" s="31">
        <v>107259.36741499891</v>
      </c>
      <c r="AO316" s="31">
        <f t="shared" si="22"/>
        <v>2701601.6832284979</v>
      </c>
      <c r="AP316" s="31">
        <v>47298.78</v>
      </c>
      <c r="AR316" s="42" t="s">
        <v>161</v>
      </c>
      <c r="AS316" s="42" t="s">
        <v>162</v>
      </c>
      <c r="AT316" s="43" t="s">
        <v>1276</v>
      </c>
      <c r="AU316" s="44">
        <v>34</v>
      </c>
      <c r="AV316" s="31">
        <v>2239490.2510356656</v>
      </c>
      <c r="AW316" s="31">
        <v>65034.27</v>
      </c>
      <c r="AX316" s="31">
        <v>0</v>
      </c>
      <c r="AY316" s="31">
        <v>0</v>
      </c>
      <c r="AZ316" s="31">
        <v>176562.52780517441</v>
      </c>
      <c r="BA316" s="31">
        <v>87114.807652921663</v>
      </c>
      <c r="BB316" s="31">
        <v>109245.54470152562</v>
      </c>
      <c r="BC316" s="31">
        <f t="shared" si="23"/>
        <v>2725625.8611952872</v>
      </c>
      <c r="BD316" s="31">
        <v>48178.46</v>
      </c>
    </row>
    <row r="317" spans="2:56">
      <c r="B317" s="42" t="s">
        <v>251</v>
      </c>
      <c r="C317" s="42" t="s">
        <v>252</v>
      </c>
      <c r="D317" s="43" t="s">
        <v>1049</v>
      </c>
      <c r="E317" s="44">
        <v>34</v>
      </c>
      <c r="F317" s="31">
        <v>1920577.6221816805</v>
      </c>
      <c r="G317" s="31">
        <v>34299.85</v>
      </c>
      <c r="H317" s="31">
        <v>0</v>
      </c>
      <c r="I317" s="31">
        <v>0</v>
      </c>
      <c r="J317" s="31">
        <v>58152.173560458454</v>
      </c>
      <c r="K317" s="31">
        <v>47423.275564528092</v>
      </c>
      <c r="L317" s="31">
        <v>23050.984231398241</v>
      </c>
      <c r="M317" s="31">
        <f t="shared" si="20"/>
        <v>2100069.1555380654</v>
      </c>
      <c r="N317" s="31">
        <v>16565.25</v>
      </c>
      <c r="P317" s="42" t="s">
        <v>251</v>
      </c>
      <c r="Q317" s="42" t="s">
        <v>252</v>
      </c>
      <c r="R317" s="43" t="s">
        <v>1050</v>
      </c>
      <c r="S317" s="44">
        <v>34</v>
      </c>
      <c r="T317" s="31">
        <v>2040586.4208060158</v>
      </c>
      <c r="U317" s="31">
        <v>43753.960000000006</v>
      </c>
      <c r="V317" s="31">
        <v>0</v>
      </c>
      <c r="W317" s="31">
        <v>0</v>
      </c>
      <c r="X317" s="31">
        <v>60538.199998342927</v>
      </c>
      <c r="Y317" s="31">
        <v>47545.992305745916</v>
      </c>
      <c r="Z317" s="31">
        <v>24675.139616455119</v>
      </c>
      <c r="AA317" s="31">
        <f t="shared" si="21"/>
        <v>2234464.8927265597</v>
      </c>
      <c r="AB317" s="31">
        <v>17365.18</v>
      </c>
      <c r="AD317" s="42" t="s">
        <v>251</v>
      </c>
      <c r="AE317" s="42" t="s">
        <v>252</v>
      </c>
      <c r="AF317" s="43" t="s">
        <v>1275</v>
      </c>
      <c r="AG317" s="44">
        <v>34</v>
      </c>
      <c r="AH317" s="31">
        <v>2597517.0716225314</v>
      </c>
      <c r="AI317" s="31">
        <v>98356.89</v>
      </c>
      <c r="AJ317" s="31">
        <v>0</v>
      </c>
      <c r="AK317" s="31">
        <v>0</v>
      </c>
      <c r="AL317" s="31">
        <v>62639.956934772708</v>
      </c>
      <c r="AM317" s="31">
        <v>47452.760679880979</v>
      </c>
      <c r="AN317" s="31">
        <v>25109.204707292221</v>
      </c>
      <c r="AO317" s="31">
        <f t="shared" si="22"/>
        <v>2848747.9439444779</v>
      </c>
      <c r="AP317" s="31">
        <v>17672.060000000001</v>
      </c>
      <c r="AR317" s="42" t="s">
        <v>251</v>
      </c>
      <c r="AS317" s="42" t="s">
        <v>252</v>
      </c>
      <c r="AT317" s="43" t="s">
        <v>1276</v>
      </c>
      <c r="AU317" s="44">
        <v>34</v>
      </c>
      <c r="AV317" s="31">
        <v>2645299.9381199758</v>
      </c>
      <c r="AW317" s="31">
        <v>100157.68</v>
      </c>
      <c r="AX317" s="31">
        <v>0</v>
      </c>
      <c r="AY317" s="31">
        <v>0</v>
      </c>
      <c r="AZ317" s="31">
        <v>63797.756912527359</v>
      </c>
      <c r="BA317" s="31">
        <v>47455.42444061998</v>
      </c>
      <c r="BB317" s="31">
        <v>25574.073760178755</v>
      </c>
      <c r="BC317" s="31">
        <f t="shared" si="23"/>
        <v>2900285.5932333022</v>
      </c>
      <c r="BD317" s="31">
        <v>18000.72</v>
      </c>
    </row>
    <row r="318" spans="2:56">
      <c r="B318" s="42" t="s">
        <v>85</v>
      </c>
      <c r="C318" s="42" t="s">
        <v>86</v>
      </c>
      <c r="D318" s="43" t="s">
        <v>1049</v>
      </c>
      <c r="E318" s="44">
        <v>34</v>
      </c>
      <c r="F318" s="31">
        <v>19704009.326226279</v>
      </c>
      <c r="G318" s="31">
        <v>691648.52000000014</v>
      </c>
      <c r="H318" s="31">
        <v>312303.98</v>
      </c>
      <c r="I318" s="31">
        <v>65871.280000000013</v>
      </c>
      <c r="J318" s="31">
        <v>3006235.0527040982</v>
      </c>
      <c r="K318" s="31">
        <v>5702376.3561724639</v>
      </c>
      <c r="L318" s="31">
        <v>767436.93049635959</v>
      </c>
      <c r="M318" s="31">
        <f t="shared" si="20"/>
        <v>30392537.595599204</v>
      </c>
      <c r="N318" s="31">
        <v>142656.15</v>
      </c>
      <c r="P318" s="42" t="s">
        <v>85</v>
      </c>
      <c r="Q318" s="42" t="s">
        <v>86</v>
      </c>
      <c r="R318" s="43" t="s">
        <v>1050</v>
      </c>
      <c r="S318" s="44">
        <v>34</v>
      </c>
      <c r="T318" s="31">
        <v>22231339.413548794</v>
      </c>
      <c r="U318" s="31">
        <v>783845.12999999989</v>
      </c>
      <c r="V318" s="31">
        <v>332575.33</v>
      </c>
      <c r="W318" s="31">
        <v>74505.19</v>
      </c>
      <c r="X318" s="31">
        <v>3173568.5458030659</v>
      </c>
      <c r="Y318" s="31">
        <v>5716785.1820259364</v>
      </c>
      <c r="Z318" s="31">
        <v>814609.02257533278</v>
      </c>
      <c r="AA318" s="31">
        <f t="shared" si="21"/>
        <v>33276772.743953127</v>
      </c>
      <c r="AB318" s="31">
        <v>149544.93</v>
      </c>
      <c r="AD318" s="42" t="s">
        <v>85</v>
      </c>
      <c r="AE318" s="42" t="s">
        <v>86</v>
      </c>
      <c r="AF318" s="43" t="s">
        <v>1275</v>
      </c>
      <c r="AG318" s="44">
        <v>34</v>
      </c>
      <c r="AH318" s="31">
        <v>22909108.105692431</v>
      </c>
      <c r="AI318" s="31">
        <v>806977.79</v>
      </c>
      <c r="AJ318" s="31">
        <v>338373.74000000005</v>
      </c>
      <c r="AK318" s="31">
        <v>76648.76999999999</v>
      </c>
      <c r="AL318" s="31">
        <v>3227877.5795149701</v>
      </c>
      <c r="AM318" s="31">
        <v>5705838.3605263364</v>
      </c>
      <c r="AN318" s="31">
        <v>828943.21645960025</v>
      </c>
      <c r="AO318" s="31">
        <f t="shared" si="22"/>
        <v>34045955.262193337</v>
      </c>
      <c r="AP318" s="31">
        <v>152187.69999999998</v>
      </c>
      <c r="AR318" s="42" t="s">
        <v>85</v>
      </c>
      <c r="AS318" s="42" t="s">
        <v>86</v>
      </c>
      <c r="AT318" s="43" t="s">
        <v>1276</v>
      </c>
      <c r="AU318" s="44">
        <v>34</v>
      </c>
      <c r="AV318" s="31">
        <v>23563802.47278</v>
      </c>
      <c r="AW318" s="31">
        <v>828309.03999999992</v>
      </c>
      <c r="AX318" s="31">
        <v>344583.83</v>
      </c>
      <c r="AY318" s="31">
        <v>78700.58</v>
      </c>
      <c r="AZ318" s="31">
        <v>3290709.9021168188</v>
      </c>
      <c r="BA318" s="31">
        <v>5706151.1268548965</v>
      </c>
      <c r="BB318" s="31">
        <v>844294.64902905072</v>
      </c>
      <c r="BC318" s="31">
        <f t="shared" si="23"/>
        <v>34811569.730780765</v>
      </c>
      <c r="BD318" s="31">
        <v>155018.12999999998</v>
      </c>
    </row>
    <row r="319" spans="2:56">
      <c r="B319" s="42" t="s">
        <v>1039</v>
      </c>
      <c r="C319" s="42" t="s">
        <v>1045</v>
      </c>
      <c r="D319" s="43" t="s">
        <v>1049</v>
      </c>
      <c r="E319" s="44">
        <v>34</v>
      </c>
      <c r="F319" s="31">
        <v>2039278.1234776743</v>
      </c>
      <c r="G319" s="31">
        <v>0</v>
      </c>
      <c r="H319" s="31">
        <v>0</v>
      </c>
      <c r="I319" s="31">
        <v>0</v>
      </c>
      <c r="J319" s="31">
        <v>144343.61016967293</v>
      </c>
      <c r="K319" s="31">
        <v>0</v>
      </c>
      <c r="L319" s="31">
        <v>0</v>
      </c>
      <c r="M319" s="31">
        <f t="shared" si="20"/>
        <v>2183621.7336473474</v>
      </c>
      <c r="N319" s="31">
        <v>0</v>
      </c>
      <c r="P319" s="42" t="s">
        <v>1039</v>
      </c>
      <c r="Q319" s="42" t="s">
        <v>1045</v>
      </c>
      <c r="R319" s="43" t="s">
        <v>1050</v>
      </c>
      <c r="S319" s="44">
        <v>34</v>
      </c>
      <c r="T319" s="31">
        <v>2165160.9007654414</v>
      </c>
      <c r="U319" s="31">
        <v>0</v>
      </c>
      <c r="V319" s="31">
        <v>0</v>
      </c>
      <c r="W319" s="31">
        <v>0</v>
      </c>
      <c r="X319" s="31">
        <v>152925.28074291779</v>
      </c>
      <c r="Y319" s="31">
        <v>0</v>
      </c>
      <c r="Z319" s="31">
        <v>0</v>
      </c>
      <c r="AA319" s="31">
        <f t="shared" si="21"/>
        <v>2318086.181508359</v>
      </c>
      <c r="AB319" s="31">
        <v>0</v>
      </c>
      <c r="AD319" s="42" t="s">
        <v>1039</v>
      </c>
      <c r="AE319" s="42" t="s">
        <v>1045</v>
      </c>
      <c r="AF319" s="43" t="s">
        <v>1275</v>
      </c>
      <c r="AG319" s="44">
        <v>34</v>
      </c>
      <c r="AH319" s="31">
        <v>2202848.255139404</v>
      </c>
      <c r="AI319" s="31">
        <v>0</v>
      </c>
      <c r="AJ319" s="31">
        <v>0</v>
      </c>
      <c r="AK319" s="31">
        <v>0</v>
      </c>
      <c r="AL319" s="31">
        <v>155618.35482496544</v>
      </c>
      <c r="AM319" s="31">
        <v>0</v>
      </c>
      <c r="AN319" s="31">
        <v>0</v>
      </c>
      <c r="AO319" s="31">
        <f t="shared" si="22"/>
        <v>2358466.6099643693</v>
      </c>
      <c r="AP319" s="31">
        <v>0</v>
      </c>
      <c r="AR319" s="42" t="s">
        <v>1039</v>
      </c>
      <c r="AS319" s="42" t="s">
        <v>1045</v>
      </c>
      <c r="AT319" s="43" t="s">
        <v>1276</v>
      </c>
      <c r="AU319" s="44">
        <v>34</v>
      </c>
      <c r="AV319" s="31">
        <v>2243214.6473719175</v>
      </c>
      <c r="AW319" s="31">
        <v>0</v>
      </c>
      <c r="AX319" s="31">
        <v>0</v>
      </c>
      <c r="AY319" s="31">
        <v>0</v>
      </c>
      <c r="AZ319" s="31">
        <v>158502.66586194525</v>
      </c>
      <c r="BA319" s="31">
        <v>0</v>
      </c>
      <c r="BB319" s="31">
        <v>0</v>
      </c>
      <c r="BC319" s="31">
        <f t="shared" si="23"/>
        <v>2401717.3132338626</v>
      </c>
      <c r="BD319" s="31">
        <v>0</v>
      </c>
    </row>
    <row r="320" spans="2:56">
      <c r="B320" s="42" t="s">
        <v>585</v>
      </c>
      <c r="C320" s="42" t="s">
        <v>586</v>
      </c>
      <c r="D320" s="43" t="s">
        <v>1049</v>
      </c>
      <c r="E320" s="44">
        <v>34</v>
      </c>
      <c r="F320" s="31">
        <v>120762643.90729365</v>
      </c>
      <c r="G320" s="31">
        <v>8316542.2000000002</v>
      </c>
      <c r="H320" s="31">
        <v>7147424.2999999989</v>
      </c>
      <c r="I320" s="31">
        <v>438589.74000000005</v>
      </c>
      <c r="J320" s="31">
        <v>18678756.946355462</v>
      </c>
      <c r="K320" s="31">
        <v>3660685.0027060914</v>
      </c>
      <c r="L320" s="31">
        <v>16369644.889343288</v>
      </c>
      <c r="M320" s="31">
        <f t="shared" si="20"/>
        <v>179873899.96569848</v>
      </c>
      <c r="N320" s="31">
        <v>4499612.9799999995</v>
      </c>
      <c r="P320" s="42" t="s">
        <v>585</v>
      </c>
      <c r="Q320" s="42" t="s">
        <v>586</v>
      </c>
      <c r="R320" s="43" t="s">
        <v>1050</v>
      </c>
      <c r="S320" s="44">
        <v>34</v>
      </c>
      <c r="T320" s="31">
        <v>132271370.80239394</v>
      </c>
      <c r="U320" s="31">
        <v>9085862.0600000024</v>
      </c>
      <c r="V320" s="31">
        <v>7611357.4700000007</v>
      </c>
      <c r="W320" s="31">
        <v>475255.85999999993</v>
      </c>
      <c r="X320" s="31">
        <v>19765075.71865654</v>
      </c>
      <c r="Y320" s="31">
        <v>3669295.2202504734</v>
      </c>
      <c r="Z320" s="31">
        <v>17539646.263220817</v>
      </c>
      <c r="AA320" s="31">
        <f t="shared" si="21"/>
        <v>195134759.7145218</v>
      </c>
      <c r="AB320" s="31">
        <v>4716896.3199999994</v>
      </c>
      <c r="AD320" s="42" t="s">
        <v>585</v>
      </c>
      <c r="AE320" s="42" t="s">
        <v>586</v>
      </c>
      <c r="AF320" s="43" t="s">
        <v>1275</v>
      </c>
      <c r="AG320" s="44">
        <v>34</v>
      </c>
      <c r="AH320" s="31">
        <v>134637368.39206243</v>
      </c>
      <c r="AI320" s="31">
        <v>9243153.1700000018</v>
      </c>
      <c r="AJ320" s="31">
        <v>7744060.29</v>
      </c>
      <c r="AK320" s="31">
        <v>483541.86</v>
      </c>
      <c r="AL320" s="31">
        <v>20112294.580980424</v>
      </c>
      <c r="AM320" s="31">
        <v>3662753.7771454235</v>
      </c>
      <c r="AN320" s="31">
        <v>17848129.739385255</v>
      </c>
      <c r="AO320" s="31">
        <f t="shared" si="22"/>
        <v>198531555.92957354</v>
      </c>
      <c r="AP320" s="31">
        <v>4800254.1199999992</v>
      </c>
      <c r="AR320" s="42" t="s">
        <v>585</v>
      </c>
      <c r="AS320" s="42" t="s">
        <v>586</v>
      </c>
      <c r="AT320" s="43" t="s">
        <v>1276</v>
      </c>
      <c r="AU320" s="44">
        <v>34</v>
      </c>
      <c r="AV320" s="31">
        <v>137168428.34546483</v>
      </c>
      <c r="AW320" s="31">
        <v>9411611.9499999993</v>
      </c>
      <c r="AX320" s="31">
        <v>7886185.0000000009</v>
      </c>
      <c r="AY320" s="31">
        <v>492416.18999999994</v>
      </c>
      <c r="AZ320" s="31">
        <v>20484164.527201906</v>
      </c>
      <c r="BA320" s="31">
        <v>3662940.6755198534</v>
      </c>
      <c r="BB320" s="31">
        <v>18178505.450350963</v>
      </c>
      <c r="BC320" s="31">
        <f t="shared" si="23"/>
        <v>202173782.44853753</v>
      </c>
      <c r="BD320" s="31">
        <v>4889530.3099999996</v>
      </c>
    </row>
    <row r="321" spans="2:56">
      <c r="B321" s="42" t="s">
        <v>507</v>
      </c>
      <c r="C321" s="42" t="s">
        <v>508</v>
      </c>
      <c r="D321" s="43" t="s">
        <v>1049</v>
      </c>
      <c r="E321" s="44">
        <v>34</v>
      </c>
      <c r="F321" s="31">
        <v>42928363.708672002</v>
      </c>
      <c r="G321" s="31">
        <v>1554893.6799999997</v>
      </c>
      <c r="H321" s="31">
        <v>279758.09000000003</v>
      </c>
      <c r="I321" s="31">
        <v>150354.15000000002</v>
      </c>
      <c r="J321" s="31">
        <v>6923918.7120449366</v>
      </c>
      <c r="K321" s="31">
        <v>4122715.3464736412</v>
      </c>
      <c r="L321" s="31">
        <v>3905525.3188300221</v>
      </c>
      <c r="M321" s="31">
        <f t="shared" si="20"/>
        <v>60015006.146020606</v>
      </c>
      <c r="N321" s="31">
        <v>149477.14000000001</v>
      </c>
      <c r="P321" s="42" t="s">
        <v>507</v>
      </c>
      <c r="Q321" s="42" t="s">
        <v>508</v>
      </c>
      <c r="R321" s="43" t="s">
        <v>1050</v>
      </c>
      <c r="S321" s="44">
        <v>34</v>
      </c>
      <c r="T321" s="31">
        <v>48435970.016821019</v>
      </c>
      <c r="U321" s="31">
        <v>1747441.16</v>
      </c>
      <c r="V321" s="31">
        <v>297916.96000000002</v>
      </c>
      <c r="W321" s="31">
        <v>168726.21000000002</v>
      </c>
      <c r="X321" s="31">
        <v>7343356.0701685417</v>
      </c>
      <c r="Y321" s="31">
        <v>4131785.2887370186</v>
      </c>
      <c r="Z321" s="31">
        <v>4145586.6807533791</v>
      </c>
      <c r="AA321" s="31">
        <f t="shared" si="21"/>
        <v>66427477.686479956</v>
      </c>
      <c r="AB321" s="31">
        <v>156695.30000000002</v>
      </c>
      <c r="AD321" s="42" t="s">
        <v>507</v>
      </c>
      <c r="AE321" s="42" t="s">
        <v>508</v>
      </c>
      <c r="AF321" s="43" t="s">
        <v>1275</v>
      </c>
      <c r="AG321" s="44">
        <v>34</v>
      </c>
      <c r="AH321" s="31">
        <v>49716714.310316168</v>
      </c>
      <c r="AI321" s="31">
        <v>1791700.9</v>
      </c>
      <c r="AJ321" s="31">
        <v>303111.09000000003</v>
      </c>
      <c r="AK321" s="31">
        <v>173040.43</v>
      </c>
      <c r="AL321" s="31">
        <v>7471964.8582265377</v>
      </c>
      <c r="AM321" s="31">
        <v>4124894.5788361188</v>
      </c>
      <c r="AN321" s="31">
        <v>4218533.5927234758</v>
      </c>
      <c r="AO321" s="31">
        <f t="shared" si="22"/>
        <v>67959424.210102305</v>
      </c>
      <c r="AP321" s="31">
        <v>159464.45000000001</v>
      </c>
      <c r="AR321" s="42" t="s">
        <v>507</v>
      </c>
      <c r="AS321" s="42" t="s">
        <v>508</v>
      </c>
      <c r="AT321" s="43" t="s">
        <v>1276</v>
      </c>
      <c r="AU321" s="44">
        <v>34</v>
      </c>
      <c r="AV321" s="31">
        <v>51073792.271500729</v>
      </c>
      <c r="AW321" s="31">
        <v>1838628.76</v>
      </c>
      <c r="AX321" s="31">
        <v>308674.01</v>
      </c>
      <c r="AY321" s="31">
        <v>177613.87</v>
      </c>
      <c r="AZ321" s="31">
        <v>7609722.7276106616</v>
      </c>
      <c r="BA321" s="31">
        <v>4125091.4562618588</v>
      </c>
      <c r="BB321" s="31">
        <v>4296657.2464584485</v>
      </c>
      <c r="BC321" s="31">
        <f t="shared" si="23"/>
        <v>69592610.541831687</v>
      </c>
      <c r="BD321" s="31">
        <v>162430.20000000001</v>
      </c>
    </row>
    <row r="322" spans="2:56">
      <c r="B322" s="42" t="s">
        <v>603</v>
      </c>
      <c r="C322" s="42" t="s">
        <v>604</v>
      </c>
      <c r="D322" s="43" t="s">
        <v>1049</v>
      </c>
      <c r="E322" s="44">
        <v>34</v>
      </c>
      <c r="F322" s="31">
        <v>10390294.395494634</v>
      </c>
      <c r="G322" s="31">
        <v>452621.50999999995</v>
      </c>
      <c r="H322" s="31">
        <v>212717.47999999998</v>
      </c>
      <c r="I322" s="31">
        <v>0</v>
      </c>
      <c r="J322" s="31">
        <v>1178648.8546684843</v>
      </c>
      <c r="K322" s="31">
        <v>456020.15379510541</v>
      </c>
      <c r="L322" s="31">
        <v>411482.14304740343</v>
      </c>
      <c r="M322" s="31">
        <f t="shared" si="20"/>
        <v>13461932.85700563</v>
      </c>
      <c r="N322" s="31">
        <v>360148.32</v>
      </c>
      <c r="P322" s="42" t="s">
        <v>603</v>
      </c>
      <c r="Q322" s="42" t="s">
        <v>604</v>
      </c>
      <c r="R322" s="43" t="s">
        <v>1050</v>
      </c>
      <c r="S322" s="44">
        <v>34</v>
      </c>
      <c r="T322" s="31">
        <v>10873981.64918844</v>
      </c>
      <c r="U322" s="31">
        <v>474911.64999999997</v>
      </c>
      <c r="V322" s="31">
        <v>226524.80000000002</v>
      </c>
      <c r="W322" s="31">
        <v>0</v>
      </c>
      <c r="X322" s="31">
        <v>1250504.3472379288</v>
      </c>
      <c r="Y322" s="31">
        <v>456838.71884039062</v>
      </c>
      <c r="Z322" s="31">
        <v>441127.98031731456</v>
      </c>
      <c r="AA322" s="31">
        <f t="shared" si="21"/>
        <v>14101428.795584075</v>
      </c>
      <c r="AB322" s="31">
        <v>377539.64999999997</v>
      </c>
      <c r="AD322" s="42" t="s">
        <v>603</v>
      </c>
      <c r="AE322" s="42" t="s">
        <v>604</v>
      </c>
      <c r="AF322" s="43" t="s">
        <v>1275</v>
      </c>
      <c r="AG322" s="44">
        <v>34</v>
      </c>
      <c r="AH322" s="31">
        <v>11122825.400151335</v>
      </c>
      <c r="AI322" s="31">
        <v>484263.38999999984</v>
      </c>
      <c r="AJ322" s="31">
        <v>230474.23</v>
      </c>
      <c r="AK322" s="31">
        <v>0</v>
      </c>
      <c r="AL322" s="31">
        <v>1275988.3952390603</v>
      </c>
      <c r="AM322" s="31">
        <v>456216.83017800597</v>
      </c>
      <c r="AN322" s="31">
        <v>448889.33470684802</v>
      </c>
      <c r="AO322" s="31">
        <f t="shared" si="22"/>
        <v>14402869.17027525</v>
      </c>
      <c r="AP322" s="31">
        <v>384211.59</v>
      </c>
      <c r="AR322" s="42" t="s">
        <v>603</v>
      </c>
      <c r="AS322" s="42" t="s">
        <v>604</v>
      </c>
      <c r="AT322" s="43" t="s">
        <v>1276</v>
      </c>
      <c r="AU322" s="44">
        <v>34</v>
      </c>
      <c r="AV322" s="31">
        <v>11383262.800923087</v>
      </c>
      <c r="AW322" s="31">
        <v>494669.34999999986</v>
      </c>
      <c r="AX322" s="31">
        <v>234704.05999999997</v>
      </c>
      <c r="AY322" s="31">
        <v>0</v>
      </c>
      <c r="AZ322" s="31">
        <v>1301361.4183456113</v>
      </c>
      <c r="BA322" s="31">
        <v>456234.59842550271</v>
      </c>
      <c r="BB322" s="31">
        <v>457201.48308683839</v>
      </c>
      <c r="BC322" s="31">
        <f t="shared" si="23"/>
        <v>14718790.960781038</v>
      </c>
      <c r="BD322" s="31">
        <v>391357.25</v>
      </c>
    </row>
  </sheetData>
  <autoFilter ref="A4:AW311" xr:uid="{00000000-0009-0000-0000-00001E000000}"/>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7" tint="0.59999389629810485"/>
  </sheetPr>
  <dimension ref="A1:AO315"/>
  <sheetViews>
    <sheetView workbookViewId="0">
      <pane ySplit="7" topLeftCell="A221" activePane="bottomLeft" state="frozen"/>
      <selection activeCell="C3" sqref="C3:E3"/>
      <selection pane="bottomLeft" activeCell="C3" sqref="C3:E3"/>
    </sheetView>
  </sheetViews>
  <sheetFormatPr defaultColWidth="9.21875" defaultRowHeight="13.8"/>
  <cols>
    <col min="1" max="1" width="6.5546875" style="29" bestFit="1" customWidth="1"/>
    <col min="2" max="2" width="18" style="29" bestFit="1" customWidth="1"/>
    <col min="3" max="3" width="16" style="29" customWidth="1"/>
    <col min="4" max="4" width="14.5546875" style="29" bestFit="1" customWidth="1"/>
    <col min="5" max="5" width="4.77734375" style="47" customWidth="1"/>
    <col min="6" max="6" width="15.77734375" style="29" customWidth="1"/>
    <col min="7" max="7" width="14.5546875" style="29" bestFit="1" customWidth="1"/>
    <col min="8" max="8" width="4.77734375" style="47" customWidth="1"/>
    <col min="9" max="10" width="14.44140625" style="29" customWidth="1"/>
    <col min="11" max="12" width="14.5546875" style="29" customWidth="1"/>
    <col min="13" max="14" width="14.44140625" style="29" customWidth="1"/>
    <col min="15" max="17" width="16" style="29" customWidth="1"/>
    <col min="18" max="20" width="14.44140625" style="29" customWidth="1"/>
    <col min="21" max="21" width="16" style="29" customWidth="1"/>
    <col min="22" max="23" width="15.21875" style="29" customWidth="1"/>
    <col min="24" max="24" width="14.44140625" style="29" customWidth="1"/>
    <col min="25" max="25" width="4.77734375" style="47" customWidth="1"/>
    <col min="26" max="27" width="14.44140625" style="29" customWidth="1"/>
    <col min="28" max="29" width="16" style="29" customWidth="1"/>
    <col min="30" max="31" width="14.44140625" style="29" customWidth="1"/>
    <col min="32" max="41" width="16" style="29" customWidth="1"/>
    <col min="42" max="16384" width="9.21875" style="47"/>
  </cols>
  <sheetData>
    <row r="1" spans="1:41">
      <c r="A1" s="46">
        <v>1</v>
      </c>
      <c r="B1" s="46">
        <f>A1+1</f>
        <v>2</v>
      </c>
      <c r="C1" s="46">
        <f t="shared" ref="C1:AO1" si="0">B1+1</f>
        <v>3</v>
      </c>
      <c r="D1" s="46">
        <f t="shared" si="0"/>
        <v>4</v>
      </c>
      <c r="E1" s="46">
        <f t="shared" si="0"/>
        <v>5</v>
      </c>
      <c r="F1" s="46">
        <f t="shared" si="0"/>
        <v>6</v>
      </c>
      <c r="G1" s="46">
        <f t="shared" si="0"/>
        <v>7</v>
      </c>
      <c r="H1" s="46">
        <f t="shared" si="0"/>
        <v>8</v>
      </c>
      <c r="I1" s="46">
        <f t="shared" si="0"/>
        <v>9</v>
      </c>
      <c r="J1" s="46">
        <f t="shared" si="0"/>
        <v>10</v>
      </c>
      <c r="K1" s="46">
        <f t="shared" si="0"/>
        <v>11</v>
      </c>
      <c r="L1" s="46">
        <f t="shared" si="0"/>
        <v>12</v>
      </c>
      <c r="M1" s="46">
        <f t="shared" si="0"/>
        <v>13</v>
      </c>
      <c r="N1" s="46">
        <f t="shared" si="0"/>
        <v>14</v>
      </c>
      <c r="O1" s="46">
        <f t="shared" si="0"/>
        <v>15</v>
      </c>
      <c r="P1" s="46">
        <f t="shared" si="0"/>
        <v>16</v>
      </c>
      <c r="Q1" s="46">
        <f t="shared" si="0"/>
        <v>17</v>
      </c>
      <c r="R1" s="46">
        <f t="shared" si="0"/>
        <v>18</v>
      </c>
      <c r="S1" s="46">
        <f t="shared" si="0"/>
        <v>19</v>
      </c>
      <c r="T1" s="46">
        <f t="shared" si="0"/>
        <v>20</v>
      </c>
      <c r="U1" s="46">
        <f t="shared" si="0"/>
        <v>21</v>
      </c>
      <c r="V1" s="46">
        <f t="shared" si="0"/>
        <v>22</v>
      </c>
      <c r="W1" s="46">
        <f t="shared" si="0"/>
        <v>23</v>
      </c>
      <c r="X1" s="46">
        <f t="shared" si="0"/>
        <v>24</v>
      </c>
      <c r="Y1" s="46">
        <f t="shared" si="0"/>
        <v>25</v>
      </c>
      <c r="Z1" s="46">
        <f t="shared" si="0"/>
        <v>26</v>
      </c>
      <c r="AA1" s="46">
        <f t="shared" si="0"/>
        <v>27</v>
      </c>
      <c r="AB1" s="46">
        <f t="shared" si="0"/>
        <v>28</v>
      </c>
      <c r="AC1" s="46">
        <f t="shared" si="0"/>
        <v>29</v>
      </c>
      <c r="AD1" s="46">
        <f t="shared" si="0"/>
        <v>30</v>
      </c>
      <c r="AE1" s="46">
        <f t="shared" si="0"/>
        <v>31</v>
      </c>
      <c r="AF1" s="46">
        <f t="shared" si="0"/>
        <v>32</v>
      </c>
      <c r="AG1" s="46">
        <f t="shared" si="0"/>
        <v>33</v>
      </c>
      <c r="AH1" s="46">
        <f t="shared" si="0"/>
        <v>34</v>
      </c>
      <c r="AI1" s="46">
        <f t="shared" si="0"/>
        <v>35</v>
      </c>
      <c r="AJ1" s="46">
        <f t="shared" si="0"/>
        <v>36</v>
      </c>
      <c r="AK1" s="46">
        <f t="shared" si="0"/>
        <v>37</v>
      </c>
      <c r="AL1" s="46">
        <f t="shared" si="0"/>
        <v>38</v>
      </c>
      <c r="AM1" s="46">
        <f t="shared" si="0"/>
        <v>39</v>
      </c>
      <c r="AN1" s="46">
        <f t="shared" si="0"/>
        <v>40</v>
      </c>
      <c r="AO1" s="46">
        <f t="shared" si="0"/>
        <v>41</v>
      </c>
    </row>
    <row r="2" spans="1:41" ht="12.75" customHeight="1">
      <c r="A2" s="48"/>
      <c r="B2" s="49"/>
      <c r="C2" s="102" t="s">
        <v>1292</v>
      </c>
      <c r="D2" s="421"/>
      <c r="F2" s="102" t="s">
        <v>1343</v>
      </c>
      <c r="G2" s="421"/>
      <c r="I2" s="488" t="s">
        <v>1013</v>
      </c>
      <c r="J2" s="488"/>
      <c r="K2" s="488"/>
      <c r="L2" s="488"/>
      <c r="M2" s="488"/>
      <c r="N2" s="488"/>
      <c r="O2" s="488"/>
      <c r="P2" s="488"/>
      <c r="Q2" s="489" t="s">
        <v>1377</v>
      </c>
      <c r="R2" s="489"/>
      <c r="S2" s="489"/>
      <c r="T2" s="489"/>
      <c r="U2" s="489"/>
      <c r="V2" s="489"/>
      <c r="W2" s="489"/>
      <c r="X2" s="489"/>
      <c r="Z2" s="74" t="s">
        <v>1217</v>
      </c>
      <c r="AA2" s="420"/>
      <c r="AB2" s="420"/>
      <c r="AC2" s="420"/>
      <c r="AD2" s="420"/>
      <c r="AE2" s="420"/>
      <c r="AF2" s="420"/>
      <c r="AG2" s="420"/>
      <c r="AH2" s="222" t="s">
        <v>1217</v>
      </c>
      <c r="AI2" s="222"/>
      <c r="AJ2" s="222"/>
      <c r="AK2" s="222"/>
      <c r="AL2" s="222"/>
      <c r="AM2" s="222"/>
      <c r="AN2" s="222"/>
      <c r="AO2" s="222"/>
    </row>
    <row r="3" spans="1:41" ht="12.75" customHeight="1">
      <c r="A3" s="48"/>
      <c r="B3" s="49"/>
      <c r="C3" s="480" t="s">
        <v>915</v>
      </c>
      <c r="D3" s="480"/>
      <c r="F3" s="480" t="s">
        <v>1052</v>
      </c>
      <c r="G3" s="480"/>
      <c r="I3" s="481" t="s">
        <v>913</v>
      </c>
      <c r="J3" s="483"/>
      <c r="K3" s="481" t="s">
        <v>914</v>
      </c>
      <c r="L3" s="482"/>
      <c r="M3" s="481" t="s">
        <v>913</v>
      </c>
      <c r="N3" s="483"/>
      <c r="O3" s="481" t="s">
        <v>914</v>
      </c>
      <c r="P3" s="482"/>
      <c r="Q3" s="490"/>
      <c r="R3" s="490"/>
      <c r="S3" s="490"/>
      <c r="T3" s="491"/>
      <c r="U3" s="490"/>
      <c r="V3" s="490"/>
      <c r="W3" s="490"/>
      <c r="X3" s="491"/>
      <c r="Z3" s="484" t="s">
        <v>913</v>
      </c>
      <c r="AA3" s="485"/>
      <c r="AB3" s="484" t="s">
        <v>914</v>
      </c>
      <c r="AC3" s="484"/>
      <c r="AD3" s="484" t="s">
        <v>913</v>
      </c>
      <c r="AE3" s="485"/>
      <c r="AF3" s="484" t="s">
        <v>914</v>
      </c>
      <c r="AG3" s="484"/>
      <c r="AH3" s="486" t="s">
        <v>938</v>
      </c>
      <c r="AI3" s="486"/>
      <c r="AJ3" s="486"/>
      <c r="AK3" s="487"/>
      <c r="AL3" s="486" t="s">
        <v>939</v>
      </c>
      <c r="AM3" s="486"/>
      <c r="AN3" s="486"/>
      <c r="AO3" s="487"/>
    </row>
    <row r="4" spans="1:41" ht="12.75" customHeight="1">
      <c r="A4" s="46"/>
      <c r="B4" s="46"/>
      <c r="C4" s="103" t="s">
        <v>913</v>
      </c>
      <c r="D4" s="104" t="s">
        <v>914</v>
      </c>
      <c r="F4" s="103" t="s">
        <v>913</v>
      </c>
      <c r="G4" s="104" t="s">
        <v>914</v>
      </c>
      <c r="I4" s="50" t="s">
        <v>1052</v>
      </c>
      <c r="J4" s="51" t="s">
        <v>1053</v>
      </c>
      <c r="K4" s="50" t="s">
        <v>1052</v>
      </c>
      <c r="L4" s="51" t="s">
        <v>1053</v>
      </c>
      <c r="M4" s="50" t="s">
        <v>1293</v>
      </c>
      <c r="N4" s="51" t="s">
        <v>1294</v>
      </c>
      <c r="O4" s="50" t="s">
        <v>1293</v>
      </c>
      <c r="P4" s="51" t="s">
        <v>1294</v>
      </c>
      <c r="Q4" s="81" t="s">
        <v>1049</v>
      </c>
      <c r="R4" s="79" t="s">
        <v>1050</v>
      </c>
      <c r="S4" s="79" t="s">
        <v>1275</v>
      </c>
      <c r="T4" s="80" t="s">
        <v>1276</v>
      </c>
      <c r="U4" s="81" t="s">
        <v>1049</v>
      </c>
      <c r="V4" s="79" t="s">
        <v>1050</v>
      </c>
      <c r="W4" s="79" t="s">
        <v>1275</v>
      </c>
      <c r="X4" s="80" t="s">
        <v>1276</v>
      </c>
      <c r="Z4" s="52" t="s">
        <v>1052</v>
      </c>
      <c r="AA4" s="52" t="s">
        <v>1053</v>
      </c>
      <c r="AB4" s="52" t="s">
        <v>1052</v>
      </c>
      <c r="AC4" s="52" t="s">
        <v>1053</v>
      </c>
      <c r="AD4" s="52" t="s">
        <v>1293</v>
      </c>
      <c r="AE4" s="52" t="s">
        <v>1294</v>
      </c>
      <c r="AF4" s="52" t="s">
        <v>1293</v>
      </c>
      <c r="AG4" s="52" t="s">
        <v>1294</v>
      </c>
      <c r="AH4" s="54" t="s">
        <v>1049</v>
      </c>
      <c r="AI4" s="53" t="s">
        <v>1050</v>
      </c>
      <c r="AJ4" s="53" t="s">
        <v>1275</v>
      </c>
      <c r="AK4" s="54" t="s">
        <v>1276</v>
      </c>
      <c r="AL4" s="54" t="s">
        <v>1049</v>
      </c>
      <c r="AM4" s="53" t="s">
        <v>1050</v>
      </c>
      <c r="AN4" s="53" t="s">
        <v>1275</v>
      </c>
      <c r="AO4" s="54" t="s">
        <v>1276</v>
      </c>
    </row>
    <row r="5" spans="1:41">
      <c r="C5" s="55"/>
      <c r="D5" s="56"/>
      <c r="F5" s="55"/>
      <c r="G5" s="56"/>
      <c r="I5" s="56"/>
      <c r="J5" s="55"/>
      <c r="M5" s="55"/>
      <c r="N5" s="56"/>
      <c r="Q5" s="227"/>
      <c r="R5" s="55"/>
      <c r="S5" s="55"/>
      <c r="T5" s="56"/>
      <c r="V5" s="55"/>
      <c r="W5" s="55"/>
      <c r="X5" s="56"/>
      <c r="Z5" s="168"/>
      <c r="AA5" s="169"/>
      <c r="AB5" s="170"/>
      <c r="AC5" s="170"/>
      <c r="AD5" s="168"/>
      <c r="AE5" s="169"/>
      <c r="AF5" s="170"/>
      <c r="AG5" s="170"/>
    </row>
    <row r="6" spans="1:41">
      <c r="A6" s="57" t="s">
        <v>627</v>
      </c>
      <c r="B6" s="46" t="s">
        <v>921</v>
      </c>
      <c r="C6" s="105">
        <f>SUM(C8:C309)</f>
        <v>304859356.43000001</v>
      </c>
      <c r="D6" s="106">
        <f>SUM(D8:D309)</f>
        <v>2211368148</v>
      </c>
      <c r="F6" s="105">
        <f>SUM(F8:F309)</f>
        <v>278003186.41999996</v>
      </c>
      <c r="G6" s="106">
        <f>SUM(G8:G309)</f>
        <v>2384156731.4899998</v>
      </c>
      <c r="I6" s="59">
        <f t="shared" ref="I6:X6" si="1">SUM(I8:I315)</f>
        <v>239591917.97</v>
      </c>
      <c r="J6" s="249">
        <f t="shared" si="1"/>
        <v>252998242.97000995</v>
      </c>
      <c r="K6" s="61">
        <f t="shared" si="1"/>
        <v>2384156731.4899998</v>
      </c>
      <c r="L6" s="250">
        <f t="shared" si="1"/>
        <v>2391002580.7719007</v>
      </c>
      <c r="M6" s="58">
        <f t="shared" si="1"/>
        <v>231735952.47999251</v>
      </c>
      <c r="N6" s="59">
        <f t="shared" si="1"/>
        <v>219244540.34299192</v>
      </c>
      <c r="O6" s="60">
        <f t="shared" si="1"/>
        <v>2456241957.4740005</v>
      </c>
      <c r="P6" s="61">
        <f t="shared" si="1"/>
        <v>2498893962.4754</v>
      </c>
      <c r="Q6" s="61">
        <f t="shared" si="1"/>
        <v>257866800.73880005</v>
      </c>
      <c r="R6" s="58">
        <f t="shared" si="1"/>
        <v>249244471.97000712</v>
      </c>
      <c r="S6" s="249">
        <f t="shared" si="1"/>
        <v>237689393.8171975</v>
      </c>
      <c r="T6" s="59">
        <f t="shared" si="1"/>
        <v>222742135.7413522</v>
      </c>
      <c r="U6" s="61">
        <f t="shared" si="1"/>
        <v>2302289500.6324377</v>
      </c>
      <c r="V6" s="58">
        <f t="shared" si="1"/>
        <v>2387759017.3821349</v>
      </c>
      <c r="W6" s="249">
        <f t="shared" si="1"/>
        <v>2425331540.7925448</v>
      </c>
      <c r="X6" s="59">
        <f t="shared" si="1"/>
        <v>2478685442.5057359</v>
      </c>
      <c r="Z6" s="62">
        <f t="shared" ref="Z6:AO6" si="2">SUM(Z8:Z315)</f>
        <v>278003186.41999996</v>
      </c>
      <c r="AA6" s="62">
        <f t="shared" si="2"/>
        <v>288450206.37481481</v>
      </c>
      <c r="AB6" s="62">
        <f t="shared" si="2"/>
        <v>2384156731.4899998</v>
      </c>
      <c r="AC6" s="62">
        <f t="shared" si="2"/>
        <v>2420398546.7810998</v>
      </c>
      <c r="AD6" s="62">
        <f t="shared" si="2"/>
        <v>231735952.47999251</v>
      </c>
      <c r="AE6" s="62">
        <f t="shared" si="2"/>
        <v>219244540.34299192</v>
      </c>
      <c r="AF6" s="62">
        <f t="shared" si="2"/>
        <v>2456241957.4740005</v>
      </c>
      <c r="AG6" s="62">
        <f t="shared" si="2"/>
        <v>2498893962.4754</v>
      </c>
      <c r="AH6" s="62">
        <f t="shared" si="2"/>
        <v>285522914.02279991</v>
      </c>
      <c r="AI6" s="62">
        <f t="shared" si="2"/>
        <v>285525040.78746665</v>
      </c>
      <c r="AJ6" s="62">
        <f t="shared" si="2"/>
        <v>247615943.5705429</v>
      </c>
      <c r="AK6" s="62">
        <f t="shared" si="2"/>
        <v>222742135.7413522</v>
      </c>
      <c r="AL6" s="62">
        <f t="shared" si="2"/>
        <v>2302289500.6324377</v>
      </c>
      <c r="AM6" s="62">
        <f t="shared" si="2"/>
        <v>2403227174.696177</v>
      </c>
      <c r="AN6" s="62">
        <f t="shared" si="2"/>
        <v>2439259349.4877038</v>
      </c>
      <c r="AO6" s="62">
        <f t="shared" si="2"/>
        <v>2478685442.5057359</v>
      </c>
    </row>
    <row r="7" spans="1:41" ht="9" customHeight="1">
      <c r="C7" s="55"/>
      <c r="D7" s="56"/>
      <c r="F7" s="55"/>
      <c r="G7" s="56"/>
      <c r="I7" s="56"/>
      <c r="J7" s="55"/>
      <c r="K7" s="78"/>
      <c r="L7" s="78"/>
      <c r="M7" s="55"/>
      <c r="N7" s="56"/>
      <c r="O7" s="78"/>
      <c r="P7" s="78"/>
      <c r="Q7" s="78"/>
      <c r="R7" s="55"/>
      <c r="S7" s="55"/>
      <c r="T7" s="56"/>
      <c r="U7" s="78"/>
      <c r="V7" s="75"/>
      <c r="W7" s="75"/>
      <c r="X7" s="82"/>
      <c r="Z7" s="55"/>
      <c r="AA7" s="56"/>
      <c r="AD7" s="55"/>
      <c r="AE7" s="56"/>
    </row>
    <row r="8" spans="1:41">
      <c r="A8" s="29" t="s">
        <v>141</v>
      </c>
      <c r="B8" s="29" t="s">
        <v>631</v>
      </c>
      <c r="C8" s="107">
        <v>2986725.54</v>
      </c>
      <c r="D8" s="108">
        <v>5200000</v>
      </c>
      <c r="F8" s="107">
        <v>2816075.59</v>
      </c>
      <c r="G8" s="108">
        <v>4396406</v>
      </c>
      <c r="I8" s="64">
        <v>2413569.41</v>
      </c>
      <c r="J8" s="83">
        <v>2673162.6277999994</v>
      </c>
      <c r="K8" s="66">
        <v>4396406</v>
      </c>
      <c r="L8" s="251">
        <v>4153725.6724999999</v>
      </c>
      <c r="M8" s="63">
        <v>2763166.3313999996</v>
      </c>
      <c r="N8" s="64">
        <v>2877867.4689000007</v>
      </c>
      <c r="O8" s="65">
        <v>4306432.0025000004</v>
      </c>
      <c r="P8" s="66">
        <v>4474124.26</v>
      </c>
      <c r="Q8" s="66">
        <f>(0.28*C8)+(0.72*I8)</f>
        <v>2574053.1264</v>
      </c>
      <c r="R8" s="63">
        <f>(0.28*I8)+(0.72*J8)</f>
        <v>2600476.5268159998</v>
      </c>
      <c r="S8" s="83">
        <f>(0.28*J8)+(0.72*M8)</f>
        <v>2737965.2943919995</v>
      </c>
      <c r="T8" s="64">
        <f>(0.28*M8)+(0.72*N8)</f>
        <v>2845751.1504000006</v>
      </c>
      <c r="U8" s="66">
        <f>(0.4738*D8)+(0.5262*G8)</f>
        <v>4777148.8372</v>
      </c>
      <c r="V8" s="63">
        <f>(0.4738*G8)+(0.5262*L8)</f>
        <v>4268707.6116694994</v>
      </c>
      <c r="W8" s="83">
        <f>(0.4738*L8)+(0.5262*O8)</f>
        <v>4234079.7433460001</v>
      </c>
      <c r="X8" s="64">
        <f>(0.4738*O8)+(0.5262*P8)</f>
        <v>4394671.6683964999</v>
      </c>
      <c r="Z8" s="67">
        <v>2816075.59</v>
      </c>
      <c r="AA8" s="68">
        <v>3427108.9182999986</v>
      </c>
      <c r="AB8" s="69">
        <v>4396406</v>
      </c>
      <c r="AC8" s="70">
        <v>4153725.6724999999</v>
      </c>
      <c r="AD8" s="67">
        <v>2763166.3313999996</v>
      </c>
      <c r="AE8" s="68">
        <v>2877867.4689000007</v>
      </c>
      <c r="AF8" s="69">
        <v>4306432.0025000004</v>
      </c>
      <c r="AG8" s="70">
        <v>4474124.26</v>
      </c>
      <c r="AH8" s="70">
        <f>(0.28*C8)+(0.72*Z8)</f>
        <v>2863857.5759999999</v>
      </c>
      <c r="AI8" s="70">
        <f>(0.28*Z8)+(0.72*AA8)</f>
        <v>3256019.5863759993</v>
      </c>
      <c r="AJ8" s="70">
        <f>(0.28*AA8)+(0.72*AD8)</f>
        <v>2949070.2557319994</v>
      </c>
      <c r="AK8" s="70">
        <f>(0.28*AD8)+(0.72*AE8)</f>
        <v>2845751.1504000006</v>
      </c>
      <c r="AL8" s="70">
        <f>(0.4738*D8)+(0.5262*G8)</f>
        <v>4777148.8372</v>
      </c>
      <c r="AM8" s="70">
        <f>(0.4738*G8)+(0.5262*AC8)</f>
        <v>4268707.6116694994</v>
      </c>
      <c r="AN8" s="70">
        <f>(0.4738*AC8)+(0.5262*AF8)</f>
        <v>4234079.7433460001</v>
      </c>
      <c r="AO8" s="70">
        <f>(0.4738*AF8)+(0.5262*AG8)</f>
        <v>4394671.6683964999</v>
      </c>
    </row>
    <row r="9" spans="1:41">
      <c r="A9" s="29" t="s">
        <v>279</v>
      </c>
      <c r="B9" s="29" t="s">
        <v>632</v>
      </c>
      <c r="C9" s="107">
        <v>189108.11</v>
      </c>
      <c r="D9" s="108">
        <v>906687</v>
      </c>
      <c r="F9" s="107">
        <v>113530.43</v>
      </c>
      <c r="G9" s="108">
        <v>1015489</v>
      </c>
      <c r="I9" s="64">
        <v>41514.769999999997</v>
      </c>
      <c r="J9" s="83">
        <v>41653.814299999976</v>
      </c>
      <c r="K9" s="66">
        <v>1015489</v>
      </c>
      <c r="L9" s="251">
        <v>1015489</v>
      </c>
      <c r="M9" s="63">
        <v>3775.0664379999416</v>
      </c>
      <c r="N9" s="64">
        <v>0</v>
      </c>
      <c r="O9" s="65">
        <v>1015489</v>
      </c>
      <c r="P9" s="66">
        <v>1015489</v>
      </c>
      <c r="Q9" s="66">
        <f t="shared" ref="Q9:Q72" si="3">(0.28*C9)+(0.72*I9)</f>
        <v>82840.905199999994</v>
      </c>
      <c r="R9" s="63">
        <f t="shared" ref="R9:R72" si="4">(0.28*I9)+(0.72*J9)</f>
        <v>41614.881895999984</v>
      </c>
      <c r="S9" s="83">
        <f t="shared" ref="S9:S72" si="5">(0.28*J9)+(0.72*M9)</f>
        <v>14381.115839359953</v>
      </c>
      <c r="T9" s="64">
        <f t="shared" ref="T9:T72" si="6">(0.28*M9)+(0.72*N9)</f>
        <v>1057.0186026399838</v>
      </c>
      <c r="U9" s="66">
        <f t="shared" ref="U9:U72" si="7">(0.4738*D9)+(0.5262*G9)</f>
        <v>963938.61239999998</v>
      </c>
      <c r="V9" s="63">
        <f t="shared" ref="V9:V72" si="8">(0.4738*G9)+(0.5262*L9)</f>
        <v>1015489</v>
      </c>
      <c r="W9" s="83">
        <f t="shared" ref="W9:W72" si="9">(0.4738*L9)+(0.5262*O9)</f>
        <v>1015489</v>
      </c>
      <c r="X9" s="64">
        <f t="shared" ref="X9:X72" si="10">(0.4738*O9)+(0.5262*P9)</f>
        <v>1015489</v>
      </c>
      <c r="Z9" s="67">
        <v>113530.43</v>
      </c>
      <c r="AA9" s="68">
        <v>142227.35409999988</v>
      </c>
      <c r="AB9" s="69">
        <v>1015489</v>
      </c>
      <c r="AC9" s="70">
        <v>1015489</v>
      </c>
      <c r="AD9" s="67">
        <v>3775.0664379999416</v>
      </c>
      <c r="AE9" s="68">
        <v>0</v>
      </c>
      <c r="AF9" s="69">
        <v>1015489</v>
      </c>
      <c r="AG9" s="70">
        <v>1015489</v>
      </c>
      <c r="AH9" s="70">
        <f t="shared" ref="AH9:AH72" si="11">(0.28*C9)+(0.72*Z9)</f>
        <v>134692.18040000001</v>
      </c>
      <c r="AI9" s="70">
        <f t="shared" ref="AI9:AI72" si="12">(0.28*Z9)+(0.72*AA9)</f>
        <v>134192.21535199991</v>
      </c>
      <c r="AJ9" s="70">
        <f t="shared" ref="AJ9:AJ72" si="13">(0.28*AA9)+(0.72*AD9)</f>
        <v>42541.706983359931</v>
      </c>
      <c r="AK9" s="70">
        <f t="shared" ref="AK9:AK72" si="14">(0.28*AD9)+(0.72*AE9)</f>
        <v>1057.0186026399838</v>
      </c>
      <c r="AL9" s="70">
        <f t="shared" ref="AL9:AL72" si="15">(0.4738*D9)+(0.5262*G9)</f>
        <v>963938.61239999998</v>
      </c>
      <c r="AM9" s="70">
        <f t="shared" ref="AM9:AM72" si="16">(0.4738*G9)+(0.5262*AC9)</f>
        <v>1015489</v>
      </c>
      <c r="AN9" s="70">
        <f t="shared" ref="AN9:AN72" si="17">(0.4738*AC9)+(0.5262*AF9)</f>
        <v>1015489</v>
      </c>
      <c r="AO9" s="70">
        <f t="shared" ref="AO9:AO72" si="18">(0.4738*AF9)+(0.5262*AG9)</f>
        <v>1015489</v>
      </c>
    </row>
    <row r="10" spans="1:41">
      <c r="A10" s="29" t="s">
        <v>301</v>
      </c>
      <c r="B10" s="29" t="s">
        <v>888</v>
      </c>
      <c r="C10" s="107">
        <v>27036.52</v>
      </c>
      <c r="D10" s="108">
        <v>195758</v>
      </c>
      <c r="F10" s="107">
        <v>34299.33</v>
      </c>
      <c r="G10" s="108">
        <v>215000</v>
      </c>
      <c r="I10" s="64">
        <v>26229.93</v>
      </c>
      <c r="J10" s="83">
        <v>28406.522000000001</v>
      </c>
      <c r="K10" s="66">
        <v>215000</v>
      </c>
      <c r="L10" s="251">
        <v>209625.75</v>
      </c>
      <c r="M10" s="63">
        <v>25945.18349999997</v>
      </c>
      <c r="N10" s="64">
        <v>30322.887000000006</v>
      </c>
      <c r="O10" s="65">
        <v>215000</v>
      </c>
      <c r="P10" s="66">
        <v>215000</v>
      </c>
      <c r="Q10" s="66">
        <f t="shared" si="3"/>
        <v>26455.7752</v>
      </c>
      <c r="R10" s="63">
        <f t="shared" si="4"/>
        <v>27797.076240000002</v>
      </c>
      <c r="S10" s="83">
        <f t="shared" si="5"/>
        <v>26634.358279999979</v>
      </c>
      <c r="T10" s="64">
        <f t="shared" si="6"/>
        <v>29097.130019999997</v>
      </c>
      <c r="U10" s="66">
        <f t="shared" si="7"/>
        <v>205883.1404</v>
      </c>
      <c r="V10" s="63">
        <f t="shared" si="8"/>
        <v>212172.06965000002</v>
      </c>
      <c r="W10" s="83">
        <f t="shared" si="9"/>
        <v>212453.68034999998</v>
      </c>
      <c r="X10" s="64">
        <f t="shared" si="10"/>
        <v>215000</v>
      </c>
      <c r="Z10" s="67">
        <v>34299.33</v>
      </c>
      <c r="AA10" s="68">
        <v>36879.425299999995</v>
      </c>
      <c r="AB10" s="69">
        <v>215000</v>
      </c>
      <c r="AC10" s="70">
        <v>209625.75</v>
      </c>
      <c r="AD10" s="67">
        <v>25945.18349999997</v>
      </c>
      <c r="AE10" s="68">
        <v>30322.887000000006</v>
      </c>
      <c r="AF10" s="69">
        <v>215000</v>
      </c>
      <c r="AG10" s="70">
        <v>215000</v>
      </c>
      <c r="AH10" s="70">
        <f t="shared" si="11"/>
        <v>32265.743200000001</v>
      </c>
      <c r="AI10" s="70">
        <f t="shared" si="12"/>
        <v>36156.998615999997</v>
      </c>
      <c r="AJ10" s="70">
        <f t="shared" si="13"/>
        <v>29006.771203999975</v>
      </c>
      <c r="AK10" s="70">
        <f t="shared" si="14"/>
        <v>29097.130019999997</v>
      </c>
      <c r="AL10" s="70">
        <f t="shared" si="15"/>
        <v>205883.1404</v>
      </c>
      <c r="AM10" s="70">
        <f t="shared" si="16"/>
        <v>212172.06965000002</v>
      </c>
      <c r="AN10" s="70">
        <f t="shared" si="17"/>
        <v>212453.68034999998</v>
      </c>
      <c r="AO10" s="70">
        <f t="shared" si="18"/>
        <v>215000</v>
      </c>
    </row>
    <row r="11" spans="1:41">
      <c r="A11" s="29" t="s">
        <v>407</v>
      </c>
      <c r="B11" s="29" t="s">
        <v>633</v>
      </c>
      <c r="C11" s="107">
        <v>0</v>
      </c>
      <c r="D11" s="108">
        <v>6965794</v>
      </c>
      <c r="F11" s="107">
        <v>0</v>
      </c>
      <c r="G11" s="108">
        <v>7335234</v>
      </c>
      <c r="I11" s="64">
        <v>0</v>
      </c>
      <c r="J11" s="83">
        <v>0</v>
      </c>
      <c r="K11" s="66">
        <v>7335234</v>
      </c>
      <c r="L11" s="251">
        <v>7276532.8149999995</v>
      </c>
      <c r="M11" s="63">
        <v>0</v>
      </c>
      <c r="N11" s="64">
        <v>0</v>
      </c>
      <c r="O11" s="65">
        <v>7528706.6116000004</v>
      </c>
      <c r="P11" s="66">
        <v>7826983.5643999996</v>
      </c>
      <c r="Q11" s="66">
        <f t="shared" si="3"/>
        <v>0</v>
      </c>
      <c r="R11" s="63">
        <f t="shared" si="4"/>
        <v>0</v>
      </c>
      <c r="S11" s="83">
        <f t="shared" si="5"/>
        <v>0</v>
      </c>
      <c r="T11" s="64">
        <f t="shared" si="6"/>
        <v>0</v>
      </c>
      <c r="U11" s="66">
        <f t="shared" si="7"/>
        <v>7160193.3279999997</v>
      </c>
      <c r="V11" s="63">
        <f t="shared" si="8"/>
        <v>7304345.4364529997</v>
      </c>
      <c r="W11" s="83">
        <f t="shared" si="9"/>
        <v>7409226.6667709202</v>
      </c>
      <c r="X11" s="64">
        <f t="shared" si="10"/>
        <v>7685659.9441633597</v>
      </c>
      <c r="Z11" s="67">
        <v>0</v>
      </c>
      <c r="AA11" s="68">
        <v>0</v>
      </c>
      <c r="AB11" s="69">
        <v>7335234</v>
      </c>
      <c r="AC11" s="70">
        <v>7701998.7630000003</v>
      </c>
      <c r="AD11" s="67">
        <v>0</v>
      </c>
      <c r="AE11" s="68">
        <v>0</v>
      </c>
      <c r="AF11" s="69">
        <v>7528706.6116000004</v>
      </c>
      <c r="AG11" s="70">
        <v>7826983.5643999996</v>
      </c>
      <c r="AH11" s="70">
        <f t="shared" si="11"/>
        <v>0</v>
      </c>
      <c r="AI11" s="70">
        <f t="shared" si="12"/>
        <v>0</v>
      </c>
      <c r="AJ11" s="70">
        <f t="shared" si="13"/>
        <v>0</v>
      </c>
      <c r="AK11" s="70">
        <f t="shared" si="14"/>
        <v>0</v>
      </c>
      <c r="AL11" s="70">
        <f t="shared" si="15"/>
        <v>7160193.3279999997</v>
      </c>
      <c r="AM11" s="70">
        <f t="shared" si="16"/>
        <v>7528225.6182906004</v>
      </c>
      <c r="AN11" s="70">
        <f t="shared" si="17"/>
        <v>7610812.4329333203</v>
      </c>
      <c r="AO11" s="70">
        <f t="shared" si="18"/>
        <v>7685659.9441633597</v>
      </c>
    </row>
    <row r="12" spans="1:41">
      <c r="A12" s="29" t="s">
        <v>431</v>
      </c>
      <c r="B12" s="29" t="s">
        <v>634</v>
      </c>
      <c r="C12" s="107">
        <v>829878.63</v>
      </c>
      <c r="D12" s="108">
        <v>8950000</v>
      </c>
      <c r="F12" s="107">
        <v>336595.58</v>
      </c>
      <c r="G12" s="108">
        <v>9200000</v>
      </c>
      <c r="I12" s="64">
        <v>0</v>
      </c>
      <c r="J12" s="83">
        <v>0</v>
      </c>
      <c r="K12" s="66">
        <v>9200000</v>
      </c>
      <c r="L12" s="251">
        <v>9500000</v>
      </c>
      <c r="M12" s="63">
        <v>0</v>
      </c>
      <c r="N12" s="64">
        <v>0</v>
      </c>
      <c r="O12" s="65">
        <v>9750000</v>
      </c>
      <c r="P12" s="66">
        <v>9750000</v>
      </c>
      <c r="Q12" s="66">
        <f t="shared" si="3"/>
        <v>232366.01640000002</v>
      </c>
      <c r="R12" s="63">
        <f t="shared" si="4"/>
        <v>0</v>
      </c>
      <c r="S12" s="83">
        <f t="shared" si="5"/>
        <v>0</v>
      </c>
      <c r="T12" s="64">
        <f t="shared" si="6"/>
        <v>0</v>
      </c>
      <c r="U12" s="66">
        <f t="shared" si="7"/>
        <v>9081550</v>
      </c>
      <c r="V12" s="63">
        <f t="shared" si="8"/>
        <v>9357860</v>
      </c>
      <c r="W12" s="83">
        <f t="shared" si="9"/>
        <v>9631550</v>
      </c>
      <c r="X12" s="64">
        <f t="shared" si="10"/>
        <v>9750000</v>
      </c>
      <c r="Z12" s="67">
        <v>336595.58</v>
      </c>
      <c r="AA12" s="68">
        <v>129457.03401599849</v>
      </c>
      <c r="AB12" s="69">
        <v>9200000</v>
      </c>
      <c r="AC12" s="70">
        <v>9500000</v>
      </c>
      <c r="AD12" s="67">
        <v>0</v>
      </c>
      <c r="AE12" s="68">
        <v>0</v>
      </c>
      <c r="AF12" s="69">
        <v>9750000</v>
      </c>
      <c r="AG12" s="70">
        <v>9750000</v>
      </c>
      <c r="AH12" s="70">
        <f t="shared" si="11"/>
        <v>474714.83400000003</v>
      </c>
      <c r="AI12" s="70">
        <f t="shared" si="12"/>
        <v>187455.8268915189</v>
      </c>
      <c r="AJ12" s="70">
        <f t="shared" si="13"/>
        <v>36247.96952447958</v>
      </c>
      <c r="AK12" s="70">
        <f t="shared" si="14"/>
        <v>0</v>
      </c>
      <c r="AL12" s="70">
        <f t="shared" si="15"/>
        <v>9081550</v>
      </c>
      <c r="AM12" s="70">
        <f t="shared" si="16"/>
        <v>9357860</v>
      </c>
      <c r="AN12" s="70">
        <f t="shared" si="17"/>
        <v>9631550</v>
      </c>
      <c r="AO12" s="70">
        <f t="shared" si="18"/>
        <v>9750000</v>
      </c>
    </row>
    <row r="13" spans="1:41">
      <c r="A13" s="29" t="s">
        <v>15</v>
      </c>
      <c r="B13" s="29" t="s">
        <v>635</v>
      </c>
      <c r="C13" s="107">
        <v>362607.99</v>
      </c>
      <c r="D13" s="108">
        <v>648000</v>
      </c>
      <c r="F13" s="107">
        <v>388601.53</v>
      </c>
      <c r="G13" s="108">
        <v>1018827</v>
      </c>
      <c r="I13" s="64">
        <v>387045.17</v>
      </c>
      <c r="J13" s="83">
        <v>409641.99159999989</v>
      </c>
      <c r="K13" s="66">
        <v>1018827</v>
      </c>
      <c r="L13" s="251">
        <v>1049392</v>
      </c>
      <c r="M13" s="63">
        <v>424299.68459999998</v>
      </c>
      <c r="N13" s="64">
        <v>424728.67619999987</v>
      </c>
      <c r="O13" s="65">
        <v>1080874</v>
      </c>
      <c r="P13" s="66">
        <v>1113300</v>
      </c>
      <c r="Q13" s="66">
        <f t="shared" si="3"/>
        <v>380202.75959999999</v>
      </c>
      <c r="R13" s="63">
        <f t="shared" si="4"/>
        <v>403314.88155199995</v>
      </c>
      <c r="S13" s="83">
        <f t="shared" si="5"/>
        <v>420195.53055999993</v>
      </c>
      <c r="T13" s="64">
        <f t="shared" si="6"/>
        <v>424608.55855199991</v>
      </c>
      <c r="U13" s="66">
        <f t="shared" si="7"/>
        <v>843129.16740000003</v>
      </c>
      <c r="V13" s="63">
        <f t="shared" si="8"/>
        <v>1034910.303</v>
      </c>
      <c r="W13" s="83">
        <f t="shared" si="9"/>
        <v>1065957.8284</v>
      </c>
      <c r="X13" s="64">
        <f t="shared" si="10"/>
        <v>1097936.5611999999</v>
      </c>
      <c r="Z13" s="67">
        <v>388601.53</v>
      </c>
      <c r="AA13" s="68">
        <v>409641.99159999989</v>
      </c>
      <c r="AB13" s="69">
        <v>1018827</v>
      </c>
      <c r="AC13" s="70">
        <v>1049392</v>
      </c>
      <c r="AD13" s="67">
        <v>424299.68459999998</v>
      </c>
      <c r="AE13" s="68">
        <v>424728.67619999987</v>
      </c>
      <c r="AF13" s="69">
        <v>1080874</v>
      </c>
      <c r="AG13" s="70">
        <v>1113300</v>
      </c>
      <c r="AH13" s="70">
        <f t="shared" si="11"/>
        <v>381323.33880000003</v>
      </c>
      <c r="AI13" s="70">
        <f t="shared" si="12"/>
        <v>403750.66235199996</v>
      </c>
      <c r="AJ13" s="70">
        <f t="shared" si="13"/>
        <v>420195.53055999993</v>
      </c>
      <c r="AK13" s="70">
        <f t="shared" si="14"/>
        <v>424608.55855199991</v>
      </c>
      <c r="AL13" s="70">
        <f t="shared" si="15"/>
        <v>843129.16740000003</v>
      </c>
      <c r="AM13" s="70">
        <f t="shared" si="16"/>
        <v>1034910.303</v>
      </c>
      <c r="AN13" s="70">
        <f t="shared" si="17"/>
        <v>1065957.8284</v>
      </c>
      <c r="AO13" s="70">
        <f t="shared" si="18"/>
        <v>1097936.5611999999</v>
      </c>
    </row>
    <row r="14" spans="1:41">
      <c r="A14" s="29" t="s">
        <v>205</v>
      </c>
      <c r="B14" s="29" t="s">
        <v>636</v>
      </c>
      <c r="C14" s="107">
        <v>4860881</v>
      </c>
      <c r="D14" s="108">
        <v>37652132</v>
      </c>
      <c r="F14" s="107">
        <v>4134598.68</v>
      </c>
      <c r="G14" s="108">
        <v>41187668</v>
      </c>
      <c r="I14" s="64">
        <v>3215379.65</v>
      </c>
      <c r="J14" s="83">
        <v>3148136.3697000002</v>
      </c>
      <c r="K14" s="66">
        <v>41187668</v>
      </c>
      <c r="L14" s="251">
        <v>42958152.884999998</v>
      </c>
      <c r="M14" s="63">
        <v>2672433.0807000026</v>
      </c>
      <c r="N14" s="64">
        <v>2914456.5386999981</v>
      </c>
      <c r="O14" s="65">
        <v>45430642.085000001</v>
      </c>
      <c r="P14" s="66">
        <v>47015517.452500001</v>
      </c>
      <c r="Q14" s="66">
        <f t="shared" si="3"/>
        <v>3676120.0279999999</v>
      </c>
      <c r="R14" s="63">
        <f t="shared" si="4"/>
        <v>3166964.4881840004</v>
      </c>
      <c r="S14" s="83">
        <f t="shared" si="5"/>
        <v>2805630.0016200021</v>
      </c>
      <c r="T14" s="64">
        <f t="shared" si="6"/>
        <v>2846689.9704599995</v>
      </c>
      <c r="U14" s="66">
        <f t="shared" si="7"/>
        <v>39512531.043200001</v>
      </c>
      <c r="V14" s="63">
        <f t="shared" si="8"/>
        <v>42119297.146486998</v>
      </c>
      <c r="W14" s="83">
        <f t="shared" si="9"/>
        <v>44259176.702040002</v>
      </c>
      <c r="X14" s="64">
        <f t="shared" si="10"/>
        <v>46264603.503378496</v>
      </c>
      <c r="Z14" s="67">
        <v>4134598.68</v>
      </c>
      <c r="AA14" s="68">
        <v>4613060.4956</v>
      </c>
      <c r="AB14" s="69">
        <v>41187668</v>
      </c>
      <c r="AC14" s="70">
        <v>42958152.884999998</v>
      </c>
      <c r="AD14" s="67">
        <v>2672433.0807000026</v>
      </c>
      <c r="AE14" s="68">
        <v>2914456.5386999981</v>
      </c>
      <c r="AF14" s="69">
        <v>45430642.085000001</v>
      </c>
      <c r="AG14" s="70">
        <v>47015517.452500001</v>
      </c>
      <c r="AH14" s="70">
        <f t="shared" si="11"/>
        <v>4337957.7296000002</v>
      </c>
      <c r="AI14" s="70">
        <f t="shared" si="12"/>
        <v>4479091.1872319998</v>
      </c>
      <c r="AJ14" s="70">
        <f t="shared" si="13"/>
        <v>3215808.756872002</v>
      </c>
      <c r="AK14" s="70">
        <f t="shared" si="14"/>
        <v>2846689.9704599995</v>
      </c>
      <c r="AL14" s="70">
        <f t="shared" si="15"/>
        <v>39512531.043200001</v>
      </c>
      <c r="AM14" s="70">
        <f t="shared" si="16"/>
        <v>42119297.146486998</v>
      </c>
      <c r="AN14" s="70">
        <f t="shared" si="17"/>
        <v>44259176.702040002</v>
      </c>
      <c r="AO14" s="70">
        <f t="shared" si="18"/>
        <v>46264603.503378496</v>
      </c>
    </row>
    <row r="15" spans="1:41">
      <c r="A15" s="29" t="s">
        <v>229</v>
      </c>
      <c r="B15" s="29" t="s">
        <v>896</v>
      </c>
      <c r="C15" s="107">
        <v>0</v>
      </c>
      <c r="D15" s="108">
        <v>9822589</v>
      </c>
      <c r="F15" s="107">
        <v>0</v>
      </c>
      <c r="G15" s="108">
        <v>10000000</v>
      </c>
      <c r="I15" s="64">
        <v>0</v>
      </c>
      <c r="J15" s="83">
        <v>0</v>
      </c>
      <c r="K15" s="66">
        <v>10000000</v>
      </c>
      <c r="L15" s="251">
        <v>10300000</v>
      </c>
      <c r="M15" s="63">
        <v>0</v>
      </c>
      <c r="N15" s="64">
        <v>0</v>
      </c>
      <c r="O15" s="65">
        <v>10500000</v>
      </c>
      <c r="P15" s="66">
        <v>10500000</v>
      </c>
      <c r="Q15" s="66">
        <f t="shared" si="3"/>
        <v>0</v>
      </c>
      <c r="R15" s="63">
        <f t="shared" si="4"/>
        <v>0</v>
      </c>
      <c r="S15" s="83">
        <f t="shared" si="5"/>
        <v>0</v>
      </c>
      <c r="T15" s="64">
        <f t="shared" si="6"/>
        <v>0</v>
      </c>
      <c r="U15" s="66">
        <f t="shared" si="7"/>
        <v>9915942.6682000011</v>
      </c>
      <c r="V15" s="63">
        <f t="shared" si="8"/>
        <v>10157860</v>
      </c>
      <c r="W15" s="83">
        <f t="shared" si="9"/>
        <v>10405240</v>
      </c>
      <c r="X15" s="64">
        <f t="shared" si="10"/>
        <v>10500000</v>
      </c>
      <c r="Z15" s="67">
        <v>0</v>
      </c>
      <c r="AA15" s="68">
        <v>0</v>
      </c>
      <c r="AB15" s="69">
        <v>10000000</v>
      </c>
      <c r="AC15" s="70">
        <v>10300000</v>
      </c>
      <c r="AD15" s="67">
        <v>0</v>
      </c>
      <c r="AE15" s="68">
        <v>0</v>
      </c>
      <c r="AF15" s="69">
        <v>10500000</v>
      </c>
      <c r="AG15" s="70">
        <v>10500000</v>
      </c>
      <c r="AH15" s="70">
        <f t="shared" si="11"/>
        <v>0</v>
      </c>
      <c r="AI15" s="70">
        <f t="shared" si="12"/>
        <v>0</v>
      </c>
      <c r="AJ15" s="70">
        <f t="shared" si="13"/>
        <v>0</v>
      </c>
      <c r="AK15" s="70">
        <f t="shared" si="14"/>
        <v>0</v>
      </c>
      <c r="AL15" s="70">
        <f t="shared" si="15"/>
        <v>9915942.6682000011</v>
      </c>
      <c r="AM15" s="70">
        <f t="shared" si="16"/>
        <v>10157860</v>
      </c>
      <c r="AN15" s="70">
        <f t="shared" si="17"/>
        <v>10405240</v>
      </c>
      <c r="AO15" s="70">
        <f t="shared" si="18"/>
        <v>10500000</v>
      </c>
    </row>
    <row r="16" spans="1:41">
      <c r="A16" s="29" t="s">
        <v>69</v>
      </c>
      <c r="B16" s="29" t="s">
        <v>637</v>
      </c>
      <c r="C16" s="107">
        <v>2478004.85</v>
      </c>
      <c r="D16" s="108">
        <v>28308300</v>
      </c>
      <c r="F16" s="107">
        <v>1280905.27</v>
      </c>
      <c r="G16" s="108">
        <v>26750000</v>
      </c>
      <c r="I16" s="64">
        <v>0</v>
      </c>
      <c r="J16" s="83">
        <v>0</v>
      </c>
      <c r="K16" s="66">
        <v>26750000</v>
      </c>
      <c r="L16" s="251">
        <v>28200000</v>
      </c>
      <c r="M16" s="63">
        <v>0</v>
      </c>
      <c r="N16" s="64">
        <v>0</v>
      </c>
      <c r="O16" s="65">
        <v>29650000</v>
      </c>
      <c r="P16" s="66">
        <v>31100000</v>
      </c>
      <c r="Q16" s="66">
        <f t="shared" si="3"/>
        <v>693841.35800000012</v>
      </c>
      <c r="R16" s="63">
        <f t="shared" si="4"/>
        <v>0</v>
      </c>
      <c r="S16" s="83">
        <f t="shared" si="5"/>
        <v>0</v>
      </c>
      <c r="T16" s="64">
        <f t="shared" si="6"/>
        <v>0</v>
      </c>
      <c r="U16" s="66">
        <f t="shared" si="7"/>
        <v>27488322.539999999</v>
      </c>
      <c r="V16" s="63">
        <f t="shared" si="8"/>
        <v>27512990</v>
      </c>
      <c r="W16" s="83">
        <f t="shared" si="9"/>
        <v>28962990</v>
      </c>
      <c r="X16" s="64">
        <f t="shared" si="10"/>
        <v>30412990</v>
      </c>
      <c r="Z16" s="67">
        <v>1280905.27</v>
      </c>
      <c r="AA16" s="68">
        <v>650205.925899997</v>
      </c>
      <c r="AB16" s="69">
        <v>26750000</v>
      </c>
      <c r="AC16" s="70">
        <v>28200000</v>
      </c>
      <c r="AD16" s="67">
        <v>0</v>
      </c>
      <c r="AE16" s="68">
        <v>0</v>
      </c>
      <c r="AF16" s="69">
        <v>29650000</v>
      </c>
      <c r="AG16" s="70">
        <v>31100000</v>
      </c>
      <c r="AH16" s="70">
        <f t="shared" si="11"/>
        <v>1616093.1524</v>
      </c>
      <c r="AI16" s="70">
        <f t="shared" si="12"/>
        <v>826801.7422479979</v>
      </c>
      <c r="AJ16" s="70">
        <f t="shared" si="13"/>
        <v>182057.65925199917</v>
      </c>
      <c r="AK16" s="70">
        <f t="shared" si="14"/>
        <v>0</v>
      </c>
      <c r="AL16" s="70">
        <f t="shared" si="15"/>
        <v>27488322.539999999</v>
      </c>
      <c r="AM16" s="70">
        <f t="shared" si="16"/>
        <v>27512990</v>
      </c>
      <c r="AN16" s="70">
        <f t="shared" si="17"/>
        <v>28962990</v>
      </c>
      <c r="AO16" s="70">
        <f t="shared" si="18"/>
        <v>30412990</v>
      </c>
    </row>
    <row r="17" spans="1:41">
      <c r="A17" s="29" t="s">
        <v>199</v>
      </c>
      <c r="B17" s="29" t="s">
        <v>638</v>
      </c>
      <c r="C17" s="107">
        <v>0</v>
      </c>
      <c r="D17" s="108">
        <v>68000000</v>
      </c>
      <c r="F17" s="107">
        <v>0</v>
      </c>
      <c r="G17" s="108">
        <v>70000000</v>
      </c>
      <c r="I17" s="64">
        <v>0</v>
      </c>
      <c r="J17" s="83">
        <v>0</v>
      </c>
      <c r="K17" s="66">
        <v>70000000</v>
      </c>
      <c r="L17" s="251">
        <v>57109735.739999995</v>
      </c>
      <c r="M17" s="63">
        <v>0</v>
      </c>
      <c r="N17" s="64">
        <v>0</v>
      </c>
      <c r="O17" s="65">
        <v>59088954.910700001</v>
      </c>
      <c r="P17" s="66">
        <v>61429859.968399994</v>
      </c>
      <c r="Q17" s="66">
        <f t="shared" si="3"/>
        <v>0</v>
      </c>
      <c r="R17" s="63">
        <f t="shared" si="4"/>
        <v>0</v>
      </c>
      <c r="S17" s="83">
        <f t="shared" si="5"/>
        <v>0</v>
      </c>
      <c r="T17" s="64">
        <f t="shared" si="6"/>
        <v>0</v>
      </c>
      <c r="U17" s="66">
        <f t="shared" si="7"/>
        <v>69052400</v>
      </c>
      <c r="V17" s="63">
        <f t="shared" si="8"/>
        <v>63217142.946387999</v>
      </c>
      <c r="W17" s="83">
        <f t="shared" si="9"/>
        <v>58151200.867622331</v>
      </c>
      <c r="X17" s="64">
        <f t="shared" si="10"/>
        <v>60320739.152061738</v>
      </c>
      <c r="Z17" s="67">
        <v>0</v>
      </c>
      <c r="AA17" s="68">
        <v>0</v>
      </c>
      <c r="AB17" s="69">
        <v>70000000</v>
      </c>
      <c r="AC17" s="70">
        <v>59135304.848999999</v>
      </c>
      <c r="AD17" s="67">
        <v>0</v>
      </c>
      <c r="AE17" s="68">
        <v>0</v>
      </c>
      <c r="AF17" s="69">
        <v>59088954.910700001</v>
      </c>
      <c r="AG17" s="70">
        <v>61429859.968399994</v>
      </c>
      <c r="AH17" s="70">
        <f t="shared" si="11"/>
        <v>0</v>
      </c>
      <c r="AI17" s="70">
        <f t="shared" si="12"/>
        <v>0</v>
      </c>
      <c r="AJ17" s="70">
        <f t="shared" si="13"/>
        <v>0</v>
      </c>
      <c r="AK17" s="70">
        <f t="shared" si="14"/>
        <v>0</v>
      </c>
      <c r="AL17" s="70">
        <f t="shared" si="15"/>
        <v>69052400</v>
      </c>
      <c r="AM17" s="70">
        <f t="shared" si="16"/>
        <v>64282997.411543801</v>
      </c>
      <c r="AN17" s="70">
        <f t="shared" si="17"/>
        <v>59110915.511466533</v>
      </c>
      <c r="AO17" s="70">
        <f t="shared" si="18"/>
        <v>60320739.152061738</v>
      </c>
    </row>
    <row r="18" spans="1:41">
      <c r="A18" s="29" t="s">
        <v>539</v>
      </c>
      <c r="B18" s="29" t="s">
        <v>639</v>
      </c>
      <c r="C18" s="107">
        <v>0</v>
      </c>
      <c r="D18" s="108">
        <v>31000000</v>
      </c>
      <c r="F18" s="107">
        <v>0</v>
      </c>
      <c r="G18" s="108">
        <v>32000000</v>
      </c>
      <c r="I18" s="64">
        <v>0</v>
      </c>
      <c r="J18" s="83">
        <v>0</v>
      </c>
      <c r="K18" s="66">
        <v>32000000</v>
      </c>
      <c r="L18" s="251">
        <v>32740525.869800001</v>
      </c>
      <c r="M18" s="63">
        <v>0</v>
      </c>
      <c r="N18" s="64">
        <v>0</v>
      </c>
      <c r="O18" s="65">
        <v>33875211.953699999</v>
      </c>
      <c r="P18" s="66">
        <v>35000000</v>
      </c>
      <c r="Q18" s="66">
        <f t="shared" si="3"/>
        <v>0</v>
      </c>
      <c r="R18" s="63">
        <f t="shared" si="4"/>
        <v>0</v>
      </c>
      <c r="S18" s="83">
        <f t="shared" si="5"/>
        <v>0</v>
      </c>
      <c r="T18" s="64">
        <f t="shared" si="6"/>
        <v>0</v>
      </c>
      <c r="U18" s="66">
        <f t="shared" si="7"/>
        <v>31526200</v>
      </c>
      <c r="V18" s="63">
        <f t="shared" si="8"/>
        <v>32389664.712688759</v>
      </c>
      <c r="W18" s="83">
        <f t="shared" si="9"/>
        <v>33337597.687148176</v>
      </c>
      <c r="X18" s="64">
        <f t="shared" si="10"/>
        <v>34467075.423663057</v>
      </c>
      <c r="Z18" s="67">
        <v>0</v>
      </c>
      <c r="AA18" s="68">
        <v>0</v>
      </c>
      <c r="AB18" s="69">
        <v>32000000</v>
      </c>
      <c r="AC18" s="70">
        <v>33301375.1976</v>
      </c>
      <c r="AD18" s="67">
        <v>0</v>
      </c>
      <c r="AE18" s="68">
        <v>0</v>
      </c>
      <c r="AF18" s="69">
        <v>33875211.953699999</v>
      </c>
      <c r="AG18" s="70">
        <v>35000000</v>
      </c>
      <c r="AH18" s="70">
        <f t="shared" si="11"/>
        <v>0</v>
      </c>
      <c r="AI18" s="70">
        <f t="shared" si="12"/>
        <v>0</v>
      </c>
      <c r="AJ18" s="70">
        <f t="shared" si="13"/>
        <v>0</v>
      </c>
      <c r="AK18" s="70">
        <f t="shared" si="14"/>
        <v>0</v>
      </c>
      <c r="AL18" s="70">
        <f t="shared" si="15"/>
        <v>31526200</v>
      </c>
      <c r="AM18" s="70">
        <f t="shared" si="16"/>
        <v>32684783.62897712</v>
      </c>
      <c r="AN18" s="70">
        <f t="shared" si="17"/>
        <v>33603328.098659813</v>
      </c>
      <c r="AO18" s="70">
        <f t="shared" si="18"/>
        <v>34467075.423663057</v>
      </c>
    </row>
    <row r="19" spans="1:41">
      <c r="A19" s="29" t="s">
        <v>5</v>
      </c>
      <c r="B19" s="29" t="s">
        <v>909</v>
      </c>
      <c r="C19" s="107">
        <v>0</v>
      </c>
      <c r="D19" s="108">
        <v>50000</v>
      </c>
      <c r="F19" s="107">
        <v>0</v>
      </c>
      <c r="G19" s="108">
        <v>50000</v>
      </c>
      <c r="I19" s="64">
        <v>0</v>
      </c>
      <c r="J19" s="83">
        <v>0</v>
      </c>
      <c r="K19" s="66">
        <v>50000</v>
      </c>
      <c r="L19" s="251">
        <v>47210.02399999999</v>
      </c>
      <c r="M19" s="63">
        <v>0</v>
      </c>
      <c r="N19" s="64">
        <v>0</v>
      </c>
      <c r="O19" s="65">
        <v>48201.403999999995</v>
      </c>
      <c r="P19" s="66">
        <v>49261.827999999994</v>
      </c>
      <c r="Q19" s="66">
        <f t="shared" si="3"/>
        <v>0</v>
      </c>
      <c r="R19" s="63">
        <f t="shared" si="4"/>
        <v>0</v>
      </c>
      <c r="S19" s="83">
        <f t="shared" si="5"/>
        <v>0</v>
      </c>
      <c r="T19" s="64">
        <f t="shared" si="6"/>
        <v>0</v>
      </c>
      <c r="U19" s="66">
        <f t="shared" si="7"/>
        <v>50000</v>
      </c>
      <c r="V19" s="63">
        <f t="shared" si="8"/>
        <v>48531.91462879999</v>
      </c>
      <c r="W19" s="83">
        <f t="shared" si="9"/>
        <v>47731.688155999989</v>
      </c>
      <c r="X19" s="64">
        <f t="shared" si="10"/>
        <v>48759.399108799997</v>
      </c>
      <c r="Z19" s="67">
        <v>0</v>
      </c>
      <c r="AA19" s="68">
        <v>0</v>
      </c>
      <c r="AB19" s="69">
        <v>50000</v>
      </c>
      <c r="AC19" s="70">
        <v>50000</v>
      </c>
      <c r="AD19" s="67">
        <v>0</v>
      </c>
      <c r="AE19" s="68">
        <v>0</v>
      </c>
      <c r="AF19" s="69">
        <v>48201.403999999995</v>
      </c>
      <c r="AG19" s="70">
        <v>49261.827999999994</v>
      </c>
      <c r="AH19" s="70">
        <f t="shared" si="11"/>
        <v>0</v>
      </c>
      <c r="AI19" s="70">
        <f t="shared" si="12"/>
        <v>0</v>
      </c>
      <c r="AJ19" s="70">
        <f t="shared" si="13"/>
        <v>0</v>
      </c>
      <c r="AK19" s="70">
        <f t="shared" si="14"/>
        <v>0</v>
      </c>
      <c r="AL19" s="70">
        <f t="shared" si="15"/>
        <v>50000</v>
      </c>
      <c r="AM19" s="70">
        <f t="shared" si="16"/>
        <v>50000</v>
      </c>
      <c r="AN19" s="70">
        <f t="shared" si="17"/>
        <v>49053.578784799996</v>
      </c>
      <c r="AO19" s="70">
        <f t="shared" si="18"/>
        <v>48759.399108799997</v>
      </c>
    </row>
    <row r="20" spans="1:41">
      <c r="A20" s="29" t="s">
        <v>383</v>
      </c>
      <c r="B20" s="29" t="s">
        <v>640</v>
      </c>
      <c r="C20" s="107">
        <v>9928658.5099999998</v>
      </c>
      <c r="D20" s="108">
        <v>34000000</v>
      </c>
      <c r="F20" s="107">
        <v>7472327.2999999998</v>
      </c>
      <c r="G20" s="108">
        <v>39000000</v>
      </c>
      <c r="I20" s="64">
        <v>6400652.2599999998</v>
      </c>
      <c r="J20" s="83">
        <v>6214636.3967000004</v>
      </c>
      <c r="K20" s="66">
        <v>39000000</v>
      </c>
      <c r="L20" s="251">
        <v>39000000</v>
      </c>
      <c r="M20" s="63">
        <v>6042375.4437000044</v>
      </c>
      <c r="N20" s="64">
        <v>6118399.1000999985</v>
      </c>
      <c r="O20" s="65">
        <v>39000000</v>
      </c>
      <c r="P20" s="66">
        <v>39000000</v>
      </c>
      <c r="Q20" s="66">
        <f t="shared" si="3"/>
        <v>7388494.0099999998</v>
      </c>
      <c r="R20" s="63">
        <f t="shared" si="4"/>
        <v>6266720.838424</v>
      </c>
      <c r="S20" s="83">
        <f t="shared" si="5"/>
        <v>6090608.510540003</v>
      </c>
      <c r="T20" s="64">
        <f t="shared" si="6"/>
        <v>6097112.4763080003</v>
      </c>
      <c r="U20" s="66">
        <f t="shared" si="7"/>
        <v>36631000</v>
      </c>
      <c r="V20" s="63">
        <f t="shared" si="8"/>
        <v>39000000</v>
      </c>
      <c r="W20" s="83">
        <f t="shared" si="9"/>
        <v>39000000</v>
      </c>
      <c r="X20" s="64">
        <f t="shared" si="10"/>
        <v>39000000</v>
      </c>
      <c r="Z20" s="67">
        <v>7472327.2999999998</v>
      </c>
      <c r="AA20" s="68">
        <v>6982046.9653999973</v>
      </c>
      <c r="AB20" s="69">
        <v>39000000</v>
      </c>
      <c r="AC20" s="70">
        <v>39000000</v>
      </c>
      <c r="AD20" s="67">
        <v>6042375.4437000044</v>
      </c>
      <c r="AE20" s="68">
        <v>6118399.1000999985</v>
      </c>
      <c r="AF20" s="69">
        <v>39000000</v>
      </c>
      <c r="AG20" s="70">
        <v>39000000</v>
      </c>
      <c r="AH20" s="70">
        <f t="shared" si="11"/>
        <v>8160100.0387999993</v>
      </c>
      <c r="AI20" s="70">
        <f t="shared" si="12"/>
        <v>7119325.4590879986</v>
      </c>
      <c r="AJ20" s="70">
        <f t="shared" si="13"/>
        <v>6305483.4697760027</v>
      </c>
      <c r="AK20" s="70">
        <f t="shared" si="14"/>
        <v>6097112.4763080003</v>
      </c>
      <c r="AL20" s="70">
        <f t="shared" si="15"/>
        <v>36631000</v>
      </c>
      <c r="AM20" s="70">
        <f t="shared" si="16"/>
        <v>39000000</v>
      </c>
      <c r="AN20" s="70">
        <f t="shared" si="17"/>
        <v>39000000</v>
      </c>
      <c r="AO20" s="70">
        <f t="shared" si="18"/>
        <v>39000000</v>
      </c>
    </row>
    <row r="21" spans="1:41">
      <c r="A21" s="29" t="s">
        <v>253</v>
      </c>
      <c r="B21" s="29" t="s">
        <v>894</v>
      </c>
      <c r="C21" s="107">
        <v>0</v>
      </c>
      <c r="D21" s="108">
        <v>300000</v>
      </c>
      <c r="F21" s="107">
        <v>0</v>
      </c>
      <c r="G21" s="108">
        <v>300000</v>
      </c>
      <c r="I21" s="64">
        <v>0</v>
      </c>
      <c r="J21" s="83">
        <v>0</v>
      </c>
      <c r="K21" s="66">
        <v>300000</v>
      </c>
      <c r="L21" s="251">
        <v>289478.04959999997</v>
      </c>
      <c r="M21" s="63">
        <v>0</v>
      </c>
      <c r="N21" s="64">
        <v>0</v>
      </c>
      <c r="O21" s="65">
        <v>299642.26450000005</v>
      </c>
      <c r="P21" s="66">
        <v>300000</v>
      </c>
      <c r="Q21" s="66">
        <f t="shared" si="3"/>
        <v>0</v>
      </c>
      <c r="R21" s="63">
        <f t="shared" si="4"/>
        <v>0</v>
      </c>
      <c r="S21" s="83">
        <f t="shared" si="5"/>
        <v>0</v>
      </c>
      <c r="T21" s="64">
        <f t="shared" si="6"/>
        <v>0</v>
      </c>
      <c r="U21" s="66">
        <f t="shared" si="7"/>
        <v>300000</v>
      </c>
      <c r="V21" s="63">
        <f t="shared" si="8"/>
        <v>294463.34969951998</v>
      </c>
      <c r="W21" s="83">
        <f t="shared" si="9"/>
        <v>294826.45948038</v>
      </c>
      <c r="X21" s="64">
        <f t="shared" si="10"/>
        <v>299830.50492010004</v>
      </c>
      <c r="Z21" s="67">
        <v>0</v>
      </c>
      <c r="AA21" s="68">
        <v>0</v>
      </c>
      <c r="AB21" s="69">
        <v>300000</v>
      </c>
      <c r="AC21" s="70">
        <v>300000</v>
      </c>
      <c r="AD21" s="67">
        <v>0</v>
      </c>
      <c r="AE21" s="68">
        <v>0</v>
      </c>
      <c r="AF21" s="69">
        <v>299642.26450000005</v>
      </c>
      <c r="AG21" s="70">
        <v>300000</v>
      </c>
      <c r="AH21" s="70">
        <f t="shared" si="11"/>
        <v>0</v>
      </c>
      <c r="AI21" s="70">
        <f t="shared" si="12"/>
        <v>0</v>
      </c>
      <c r="AJ21" s="70">
        <f t="shared" si="13"/>
        <v>0</v>
      </c>
      <c r="AK21" s="70">
        <f t="shared" si="14"/>
        <v>0</v>
      </c>
      <c r="AL21" s="70">
        <f t="shared" si="15"/>
        <v>300000</v>
      </c>
      <c r="AM21" s="70">
        <f t="shared" si="16"/>
        <v>300000</v>
      </c>
      <c r="AN21" s="70">
        <f t="shared" si="17"/>
        <v>299811.75957990001</v>
      </c>
      <c r="AO21" s="70">
        <f t="shared" si="18"/>
        <v>299830.50492010004</v>
      </c>
    </row>
    <row r="22" spans="1:41">
      <c r="A22" s="29" t="s">
        <v>543</v>
      </c>
      <c r="B22" s="29" t="s">
        <v>641</v>
      </c>
      <c r="C22" s="107">
        <v>0</v>
      </c>
      <c r="D22" s="108">
        <v>5783172</v>
      </c>
      <c r="F22" s="107">
        <v>0</v>
      </c>
      <c r="G22" s="108">
        <v>6082990</v>
      </c>
      <c r="I22" s="64">
        <v>0</v>
      </c>
      <c r="J22" s="83">
        <v>0</v>
      </c>
      <c r="K22" s="66">
        <v>6082990</v>
      </c>
      <c r="L22" s="251">
        <v>6182267.7891999995</v>
      </c>
      <c r="M22" s="63">
        <v>0</v>
      </c>
      <c r="N22" s="64">
        <v>0</v>
      </c>
      <c r="O22" s="65">
        <v>6396532.0484999996</v>
      </c>
      <c r="P22" s="66">
        <v>6649956.2898999993</v>
      </c>
      <c r="Q22" s="66">
        <f t="shared" si="3"/>
        <v>0</v>
      </c>
      <c r="R22" s="63">
        <f t="shared" si="4"/>
        <v>0</v>
      </c>
      <c r="S22" s="83">
        <f t="shared" si="5"/>
        <v>0</v>
      </c>
      <c r="T22" s="64">
        <f t="shared" si="6"/>
        <v>0</v>
      </c>
      <c r="U22" s="66">
        <f t="shared" si="7"/>
        <v>5940936.2315999996</v>
      </c>
      <c r="V22" s="63">
        <f t="shared" si="8"/>
        <v>6135229.9726770399</v>
      </c>
      <c r="W22" s="83">
        <f t="shared" si="9"/>
        <v>6295013.6424436588</v>
      </c>
      <c r="X22" s="64">
        <f t="shared" si="10"/>
        <v>6529883.8843246792</v>
      </c>
      <c r="Z22" s="67">
        <v>0</v>
      </c>
      <c r="AA22" s="68">
        <v>0</v>
      </c>
      <c r="AB22" s="69">
        <v>6082990</v>
      </c>
      <c r="AC22" s="70">
        <v>6387142.0214</v>
      </c>
      <c r="AD22" s="67">
        <v>0</v>
      </c>
      <c r="AE22" s="68">
        <v>0</v>
      </c>
      <c r="AF22" s="69">
        <v>6396532.0484999996</v>
      </c>
      <c r="AG22" s="70">
        <v>6649956.2898999993</v>
      </c>
      <c r="AH22" s="70">
        <f t="shared" si="11"/>
        <v>0</v>
      </c>
      <c r="AI22" s="70">
        <f t="shared" si="12"/>
        <v>0</v>
      </c>
      <c r="AJ22" s="70">
        <f t="shared" si="13"/>
        <v>0</v>
      </c>
      <c r="AK22" s="70">
        <f t="shared" si="14"/>
        <v>0</v>
      </c>
      <c r="AL22" s="70">
        <f t="shared" si="15"/>
        <v>5940936.2315999996</v>
      </c>
      <c r="AM22" s="70">
        <f t="shared" si="16"/>
        <v>6243034.7936606798</v>
      </c>
      <c r="AN22" s="70">
        <f t="shared" si="17"/>
        <v>6392083.0536600202</v>
      </c>
      <c r="AO22" s="70">
        <f t="shared" si="18"/>
        <v>6529883.8843246792</v>
      </c>
    </row>
    <row r="23" spans="1:41">
      <c r="A23" s="29" t="s">
        <v>283</v>
      </c>
      <c r="B23" s="29" t="s">
        <v>890</v>
      </c>
      <c r="C23" s="107">
        <v>0</v>
      </c>
      <c r="D23" s="108">
        <v>250000</v>
      </c>
      <c r="F23" s="107">
        <v>0</v>
      </c>
      <c r="G23" s="108">
        <v>250847</v>
      </c>
      <c r="I23" s="64">
        <v>0</v>
      </c>
      <c r="J23" s="83">
        <v>0</v>
      </c>
      <c r="K23" s="66">
        <v>250847</v>
      </c>
      <c r="L23" s="251">
        <v>250000</v>
      </c>
      <c r="M23" s="63">
        <v>0</v>
      </c>
      <c r="N23" s="64">
        <v>0</v>
      </c>
      <c r="O23" s="65">
        <v>250000</v>
      </c>
      <c r="P23" s="66">
        <v>250000</v>
      </c>
      <c r="Q23" s="66">
        <f t="shared" si="3"/>
        <v>0</v>
      </c>
      <c r="R23" s="63">
        <f t="shared" si="4"/>
        <v>0</v>
      </c>
      <c r="S23" s="83">
        <f t="shared" si="5"/>
        <v>0</v>
      </c>
      <c r="T23" s="64">
        <f t="shared" si="6"/>
        <v>0</v>
      </c>
      <c r="U23" s="66">
        <f t="shared" si="7"/>
        <v>250445.69140000001</v>
      </c>
      <c r="V23" s="63">
        <f t="shared" si="8"/>
        <v>250401.30859999999</v>
      </c>
      <c r="W23" s="83">
        <f t="shared" si="9"/>
        <v>250000</v>
      </c>
      <c r="X23" s="64">
        <f t="shared" si="10"/>
        <v>250000</v>
      </c>
      <c r="Z23" s="67">
        <v>0</v>
      </c>
      <c r="AA23" s="68">
        <v>0</v>
      </c>
      <c r="AB23" s="69">
        <v>250847</v>
      </c>
      <c r="AC23" s="70">
        <v>250000</v>
      </c>
      <c r="AD23" s="67">
        <v>0</v>
      </c>
      <c r="AE23" s="68">
        <v>0</v>
      </c>
      <c r="AF23" s="69">
        <v>250000</v>
      </c>
      <c r="AG23" s="70">
        <v>250000</v>
      </c>
      <c r="AH23" s="70">
        <f t="shared" si="11"/>
        <v>0</v>
      </c>
      <c r="AI23" s="70">
        <f t="shared" si="12"/>
        <v>0</v>
      </c>
      <c r="AJ23" s="70">
        <f t="shared" si="13"/>
        <v>0</v>
      </c>
      <c r="AK23" s="70">
        <f t="shared" si="14"/>
        <v>0</v>
      </c>
      <c r="AL23" s="70">
        <f t="shared" si="15"/>
        <v>250445.69140000001</v>
      </c>
      <c r="AM23" s="70">
        <f t="shared" si="16"/>
        <v>250401.30859999999</v>
      </c>
      <c r="AN23" s="70">
        <f t="shared" si="17"/>
        <v>250000</v>
      </c>
      <c r="AO23" s="70">
        <f t="shared" si="18"/>
        <v>250000</v>
      </c>
    </row>
    <row r="24" spans="1:41">
      <c r="A24" s="29" t="s">
        <v>227</v>
      </c>
      <c r="B24" s="29" t="s">
        <v>642</v>
      </c>
      <c r="C24" s="107">
        <v>0</v>
      </c>
      <c r="D24" s="108">
        <v>12787991</v>
      </c>
      <c r="F24" s="107">
        <v>0</v>
      </c>
      <c r="G24" s="108">
        <v>13508597</v>
      </c>
      <c r="I24" s="64">
        <v>0</v>
      </c>
      <c r="J24" s="83">
        <v>0</v>
      </c>
      <c r="K24" s="66">
        <v>13508597</v>
      </c>
      <c r="L24" s="251">
        <v>13327879.147400001</v>
      </c>
      <c r="M24" s="63">
        <v>0</v>
      </c>
      <c r="N24" s="64">
        <v>0</v>
      </c>
      <c r="O24" s="65">
        <v>13789775.0802</v>
      </c>
      <c r="P24" s="66">
        <v>14336063.041299999</v>
      </c>
      <c r="Q24" s="66">
        <f t="shared" si="3"/>
        <v>0</v>
      </c>
      <c r="R24" s="63">
        <f t="shared" si="4"/>
        <v>0</v>
      </c>
      <c r="S24" s="83">
        <f t="shared" si="5"/>
        <v>0</v>
      </c>
      <c r="T24" s="64">
        <f t="shared" si="6"/>
        <v>0</v>
      </c>
      <c r="U24" s="66">
        <f t="shared" si="7"/>
        <v>13167173.8772</v>
      </c>
      <c r="V24" s="63">
        <f t="shared" si="8"/>
        <v>13413503.265961882</v>
      </c>
      <c r="W24" s="83">
        <f t="shared" si="9"/>
        <v>13570928.787239362</v>
      </c>
      <c r="X24" s="64">
        <f t="shared" si="10"/>
        <v>14077231.80533082</v>
      </c>
      <c r="Z24" s="67">
        <v>0</v>
      </c>
      <c r="AA24" s="68">
        <v>0</v>
      </c>
      <c r="AB24" s="69">
        <v>13508597</v>
      </c>
      <c r="AC24" s="70">
        <v>13851143</v>
      </c>
      <c r="AD24" s="67">
        <v>0</v>
      </c>
      <c r="AE24" s="68">
        <v>0</v>
      </c>
      <c r="AF24" s="69">
        <v>13789775.0802</v>
      </c>
      <c r="AG24" s="70">
        <v>14336063.041299999</v>
      </c>
      <c r="AH24" s="70">
        <f t="shared" si="11"/>
        <v>0</v>
      </c>
      <c r="AI24" s="70">
        <f t="shared" si="12"/>
        <v>0</v>
      </c>
      <c r="AJ24" s="70">
        <f t="shared" si="13"/>
        <v>0</v>
      </c>
      <c r="AK24" s="70">
        <f t="shared" si="14"/>
        <v>0</v>
      </c>
      <c r="AL24" s="70">
        <f t="shared" si="15"/>
        <v>13167173.8772</v>
      </c>
      <c r="AM24" s="70">
        <f t="shared" si="16"/>
        <v>13688844.705200002</v>
      </c>
      <c r="AN24" s="70">
        <f t="shared" si="17"/>
        <v>13818851.200601239</v>
      </c>
      <c r="AO24" s="70">
        <f t="shared" si="18"/>
        <v>14077231.80533082</v>
      </c>
    </row>
    <row r="25" spans="1:41">
      <c r="A25" s="29" t="s">
        <v>333</v>
      </c>
      <c r="B25" s="29" t="s">
        <v>643</v>
      </c>
      <c r="C25" s="107">
        <v>810208.08</v>
      </c>
      <c r="D25" s="108">
        <v>931940</v>
      </c>
      <c r="F25" s="107">
        <v>859794.2</v>
      </c>
      <c r="G25" s="108">
        <v>1144955</v>
      </c>
      <c r="I25" s="64">
        <v>808789.44</v>
      </c>
      <c r="J25" s="83">
        <v>827013.09819999989</v>
      </c>
      <c r="K25" s="66">
        <v>1144955</v>
      </c>
      <c r="L25" s="251">
        <v>1384679</v>
      </c>
      <c r="M25" s="63">
        <v>855978.87239999988</v>
      </c>
      <c r="N25" s="64">
        <v>876206.92559999996</v>
      </c>
      <c r="O25" s="65">
        <v>1453530.825</v>
      </c>
      <c r="P25" s="66">
        <v>1488530</v>
      </c>
      <c r="Q25" s="66">
        <f t="shared" si="3"/>
        <v>809186.65919999999</v>
      </c>
      <c r="R25" s="63">
        <f t="shared" si="4"/>
        <v>821910.4739039999</v>
      </c>
      <c r="S25" s="83">
        <f t="shared" si="5"/>
        <v>847868.45562399982</v>
      </c>
      <c r="T25" s="64">
        <f t="shared" si="6"/>
        <v>870543.07070399995</v>
      </c>
      <c r="U25" s="66">
        <f t="shared" si="7"/>
        <v>1044028.493</v>
      </c>
      <c r="V25" s="63">
        <f t="shared" si="8"/>
        <v>1271097.7688</v>
      </c>
      <c r="W25" s="83">
        <f t="shared" si="9"/>
        <v>1420908.8303149999</v>
      </c>
      <c r="X25" s="64">
        <f t="shared" si="10"/>
        <v>1471947.3908850001</v>
      </c>
      <c r="Z25" s="67">
        <v>859794.2</v>
      </c>
      <c r="AA25" s="68">
        <v>863711.24959999998</v>
      </c>
      <c r="AB25" s="69">
        <v>1144955</v>
      </c>
      <c r="AC25" s="70">
        <v>1384679</v>
      </c>
      <c r="AD25" s="67">
        <v>855978.87239999988</v>
      </c>
      <c r="AE25" s="68">
        <v>876206.92559999996</v>
      </c>
      <c r="AF25" s="69">
        <v>1453530.825</v>
      </c>
      <c r="AG25" s="70">
        <v>1488530</v>
      </c>
      <c r="AH25" s="70">
        <f t="shared" si="11"/>
        <v>845910.08639999991</v>
      </c>
      <c r="AI25" s="70">
        <f t="shared" si="12"/>
        <v>862614.47571200004</v>
      </c>
      <c r="AJ25" s="70">
        <f t="shared" si="13"/>
        <v>858143.93801599985</v>
      </c>
      <c r="AK25" s="70">
        <f t="shared" si="14"/>
        <v>870543.07070399995</v>
      </c>
      <c r="AL25" s="70">
        <f t="shared" si="15"/>
        <v>1044028.493</v>
      </c>
      <c r="AM25" s="70">
        <f t="shared" si="16"/>
        <v>1271097.7688</v>
      </c>
      <c r="AN25" s="70">
        <f t="shared" si="17"/>
        <v>1420908.8303149999</v>
      </c>
      <c r="AO25" s="70">
        <f t="shared" si="18"/>
        <v>1471947.3908850001</v>
      </c>
    </row>
    <row r="26" spans="1:41">
      <c r="A26" s="29" t="s">
        <v>91</v>
      </c>
      <c r="B26" s="29" t="s">
        <v>644</v>
      </c>
      <c r="C26" s="107">
        <v>1002764.28</v>
      </c>
      <c r="D26" s="108">
        <v>280674</v>
      </c>
      <c r="F26" s="107">
        <v>1051315</v>
      </c>
      <c r="G26" s="108">
        <v>297738.62</v>
      </c>
      <c r="I26" s="64">
        <v>996216.33</v>
      </c>
      <c r="J26" s="83">
        <v>1052843.6793</v>
      </c>
      <c r="K26" s="66">
        <v>297738.62</v>
      </c>
      <c r="L26" s="251">
        <v>315366</v>
      </c>
      <c r="M26" s="63">
        <v>1088839.4391000001</v>
      </c>
      <c r="N26" s="64">
        <v>1123040.2131000001</v>
      </c>
      <c r="O26" s="65">
        <v>334287</v>
      </c>
      <c r="P26" s="66">
        <v>334287</v>
      </c>
      <c r="Q26" s="66">
        <f t="shared" si="3"/>
        <v>998049.75599999994</v>
      </c>
      <c r="R26" s="63">
        <f t="shared" si="4"/>
        <v>1036988.021496</v>
      </c>
      <c r="S26" s="83">
        <f t="shared" si="5"/>
        <v>1078760.6263560001</v>
      </c>
      <c r="T26" s="64">
        <f t="shared" si="6"/>
        <v>1113463.9963800001</v>
      </c>
      <c r="U26" s="66">
        <f t="shared" si="7"/>
        <v>289653.40304400004</v>
      </c>
      <c r="V26" s="63">
        <f t="shared" si="8"/>
        <v>307014.14735599997</v>
      </c>
      <c r="W26" s="83">
        <f t="shared" si="9"/>
        <v>325322.23019999999</v>
      </c>
      <c r="X26" s="64">
        <f t="shared" si="10"/>
        <v>334287</v>
      </c>
      <c r="Z26" s="67">
        <v>1051315</v>
      </c>
      <c r="AA26" s="68">
        <v>1097197.6406</v>
      </c>
      <c r="AB26" s="69">
        <v>297738.62</v>
      </c>
      <c r="AC26" s="70">
        <v>315366</v>
      </c>
      <c r="AD26" s="67">
        <v>1088839.4391000001</v>
      </c>
      <c r="AE26" s="68">
        <v>1123040.2131000001</v>
      </c>
      <c r="AF26" s="69">
        <v>334287</v>
      </c>
      <c r="AG26" s="70">
        <v>334287</v>
      </c>
      <c r="AH26" s="70">
        <f t="shared" si="11"/>
        <v>1037720.7984</v>
      </c>
      <c r="AI26" s="70">
        <f t="shared" si="12"/>
        <v>1084350.5012320001</v>
      </c>
      <c r="AJ26" s="70">
        <f t="shared" si="13"/>
        <v>1091179.7355200001</v>
      </c>
      <c r="AK26" s="70">
        <f t="shared" si="14"/>
        <v>1113463.9963800001</v>
      </c>
      <c r="AL26" s="70">
        <f t="shared" si="15"/>
        <v>289653.40304400004</v>
      </c>
      <c r="AM26" s="70">
        <f t="shared" si="16"/>
        <v>307014.14735599997</v>
      </c>
      <c r="AN26" s="70">
        <f t="shared" si="17"/>
        <v>325322.23019999999</v>
      </c>
      <c r="AO26" s="70">
        <f t="shared" si="18"/>
        <v>334287</v>
      </c>
    </row>
    <row r="27" spans="1:41">
      <c r="A27" s="29" t="s">
        <v>175</v>
      </c>
      <c r="B27" s="29" t="s">
        <v>898</v>
      </c>
      <c r="C27" s="107">
        <v>0</v>
      </c>
      <c r="D27" s="108">
        <v>247019</v>
      </c>
      <c r="F27" s="107">
        <v>0</v>
      </c>
      <c r="G27" s="108">
        <v>327561.46000000002</v>
      </c>
      <c r="I27" s="64">
        <v>0</v>
      </c>
      <c r="J27" s="83">
        <v>0</v>
      </c>
      <c r="K27" s="66">
        <v>327561.46000000002</v>
      </c>
      <c r="L27" s="251">
        <v>327395</v>
      </c>
      <c r="M27" s="63">
        <v>0</v>
      </c>
      <c r="N27" s="64">
        <v>0</v>
      </c>
      <c r="O27" s="65">
        <v>327395</v>
      </c>
      <c r="P27" s="66">
        <v>327395</v>
      </c>
      <c r="Q27" s="66">
        <f t="shared" si="3"/>
        <v>0</v>
      </c>
      <c r="R27" s="63">
        <f t="shared" si="4"/>
        <v>0</v>
      </c>
      <c r="S27" s="83">
        <f t="shared" si="5"/>
        <v>0</v>
      </c>
      <c r="T27" s="64">
        <f t="shared" si="6"/>
        <v>0</v>
      </c>
      <c r="U27" s="66">
        <f t="shared" si="7"/>
        <v>289400.44245199999</v>
      </c>
      <c r="V27" s="63">
        <f t="shared" si="8"/>
        <v>327473.86874800001</v>
      </c>
      <c r="W27" s="83">
        <f t="shared" si="9"/>
        <v>327395</v>
      </c>
      <c r="X27" s="64">
        <f t="shared" si="10"/>
        <v>327395</v>
      </c>
      <c r="Z27" s="67">
        <v>0</v>
      </c>
      <c r="AA27" s="68">
        <v>0</v>
      </c>
      <c r="AB27" s="69">
        <v>327561.46000000002</v>
      </c>
      <c r="AC27" s="70">
        <v>327395</v>
      </c>
      <c r="AD27" s="67">
        <v>0</v>
      </c>
      <c r="AE27" s="68">
        <v>0</v>
      </c>
      <c r="AF27" s="69">
        <v>327395</v>
      </c>
      <c r="AG27" s="70">
        <v>327395</v>
      </c>
      <c r="AH27" s="70">
        <f t="shared" si="11"/>
        <v>0</v>
      </c>
      <c r="AI27" s="70">
        <f t="shared" si="12"/>
        <v>0</v>
      </c>
      <c r="AJ27" s="70">
        <f t="shared" si="13"/>
        <v>0</v>
      </c>
      <c r="AK27" s="70">
        <f t="shared" si="14"/>
        <v>0</v>
      </c>
      <c r="AL27" s="70">
        <f t="shared" si="15"/>
        <v>289400.44245199999</v>
      </c>
      <c r="AM27" s="70">
        <f t="shared" si="16"/>
        <v>327473.86874800001</v>
      </c>
      <c r="AN27" s="70">
        <f t="shared" si="17"/>
        <v>327395</v>
      </c>
      <c r="AO27" s="70">
        <f t="shared" si="18"/>
        <v>327395</v>
      </c>
    </row>
    <row r="28" spans="1:41">
      <c r="A28" s="29" t="s">
        <v>403</v>
      </c>
      <c r="B28" s="29" t="s">
        <v>922</v>
      </c>
      <c r="C28" s="107">
        <v>0</v>
      </c>
      <c r="D28" s="108">
        <v>10258000</v>
      </c>
      <c r="F28" s="107">
        <v>0</v>
      </c>
      <c r="G28" s="108">
        <v>10566000</v>
      </c>
      <c r="I28" s="64">
        <v>0</v>
      </c>
      <c r="J28" s="83">
        <v>0</v>
      </c>
      <c r="K28" s="66">
        <v>10566000</v>
      </c>
      <c r="L28" s="251">
        <v>9623705.8191999998</v>
      </c>
      <c r="M28" s="63">
        <v>0</v>
      </c>
      <c r="N28" s="64">
        <v>0</v>
      </c>
      <c r="O28" s="65">
        <v>9957234.4224000014</v>
      </c>
      <c r="P28" s="66">
        <v>10351712.3248</v>
      </c>
      <c r="Q28" s="66">
        <f t="shared" si="3"/>
        <v>0</v>
      </c>
      <c r="R28" s="63">
        <f t="shared" si="4"/>
        <v>0</v>
      </c>
      <c r="S28" s="83">
        <f t="shared" si="5"/>
        <v>0</v>
      </c>
      <c r="T28" s="64">
        <f t="shared" si="6"/>
        <v>0</v>
      </c>
      <c r="U28" s="66">
        <f t="shared" si="7"/>
        <v>10420069.600000001</v>
      </c>
      <c r="V28" s="63">
        <f t="shared" si="8"/>
        <v>10070164.80206304</v>
      </c>
      <c r="W28" s="83">
        <f t="shared" si="9"/>
        <v>9799208.5702038407</v>
      </c>
      <c r="X28" s="64">
        <f t="shared" si="10"/>
        <v>10164808.694642881</v>
      </c>
      <c r="Z28" s="67">
        <v>0</v>
      </c>
      <c r="AA28" s="68">
        <v>0</v>
      </c>
      <c r="AB28" s="69">
        <v>10566000</v>
      </c>
      <c r="AC28" s="70">
        <v>10123786.634400001</v>
      </c>
      <c r="AD28" s="67">
        <v>0</v>
      </c>
      <c r="AE28" s="68">
        <v>0</v>
      </c>
      <c r="AF28" s="69">
        <v>9957234.4224000014</v>
      </c>
      <c r="AG28" s="70">
        <v>10351712.3248</v>
      </c>
      <c r="AH28" s="70">
        <f t="shared" si="11"/>
        <v>0</v>
      </c>
      <c r="AI28" s="70">
        <f t="shared" si="12"/>
        <v>0</v>
      </c>
      <c r="AJ28" s="70">
        <f t="shared" si="13"/>
        <v>0</v>
      </c>
      <c r="AK28" s="70">
        <f t="shared" si="14"/>
        <v>0</v>
      </c>
      <c r="AL28" s="70">
        <f t="shared" si="15"/>
        <v>10420069.600000001</v>
      </c>
      <c r="AM28" s="70">
        <f t="shared" si="16"/>
        <v>10333307.32702128</v>
      </c>
      <c r="AN28" s="70">
        <f t="shared" si="17"/>
        <v>10036146.8604456</v>
      </c>
      <c r="AO28" s="70">
        <f t="shared" si="18"/>
        <v>10164808.694642881</v>
      </c>
    </row>
    <row r="29" spans="1:41">
      <c r="A29" s="29" t="s">
        <v>67</v>
      </c>
      <c r="B29" s="29" t="s">
        <v>645</v>
      </c>
      <c r="C29" s="107">
        <v>1895007.94</v>
      </c>
      <c r="D29" s="108">
        <v>16900000</v>
      </c>
      <c r="F29" s="107">
        <v>1344754.54</v>
      </c>
      <c r="G29" s="108">
        <v>17180000</v>
      </c>
      <c r="I29" s="64">
        <v>637776.18999999994</v>
      </c>
      <c r="J29" s="83">
        <v>446105.94840000098</v>
      </c>
      <c r="K29" s="66">
        <v>17180000</v>
      </c>
      <c r="L29" s="251">
        <v>17690000</v>
      </c>
      <c r="M29" s="63">
        <v>0</v>
      </c>
      <c r="N29" s="64">
        <v>0</v>
      </c>
      <c r="O29" s="65">
        <v>18220000</v>
      </c>
      <c r="P29" s="66">
        <v>18220000</v>
      </c>
      <c r="Q29" s="66">
        <f t="shared" si="3"/>
        <v>989801.08</v>
      </c>
      <c r="R29" s="63">
        <f t="shared" si="4"/>
        <v>499773.61604800069</v>
      </c>
      <c r="S29" s="83">
        <f t="shared" si="5"/>
        <v>124909.66555200028</v>
      </c>
      <c r="T29" s="64">
        <f t="shared" si="6"/>
        <v>0</v>
      </c>
      <c r="U29" s="66">
        <f t="shared" si="7"/>
        <v>17047336</v>
      </c>
      <c r="V29" s="63">
        <f t="shared" si="8"/>
        <v>17448362</v>
      </c>
      <c r="W29" s="83">
        <f t="shared" si="9"/>
        <v>17968886</v>
      </c>
      <c r="X29" s="64">
        <f t="shared" si="10"/>
        <v>18220000</v>
      </c>
      <c r="Z29" s="67">
        <v>1344754.54</v>
      </c>
      <c r="AA29" s="68">
        <v>1061501.6188999999</v>
      </c>
      <c r="AB29" s="69">
        <v>17180000</v>
      </c>
      <c r="AC29" s="70">
        <v>17690000</v>
      </c>
      <c r="AD29" s="67">
        <v>0</v>
      </c>
      <c r="AE29" s="68">
        <v>0</v>
      </c>
      <c r="AF29" s="69">
        <v>18220000</v>
      </c>
      <c r="AG29" s="70">
        <v>18220000</v>
      </c>
      <c r="AH29" s="70">
        <f t="shared" si="11"/>
        <v>1498825.4920000001</v>
      </c>
      <c r="AI29" s="70">
        <f t="shared" si="12"/>
        <v>1140812.4368079999</v>
      </c>
      <c r="AJ29" s="70">
        <f t="shared" si="13"/>
        <v>297220.45329199999</v>
      </c>
      <c r="AK29" s="70">
        <f t="shared" si="14"/>
        <v>0</v>
      </c>
      <c r="AL29" s="70">
        <f t="shared" si="15"/>
        <v>17047336</v>
      </c>
      <c r="AM29" s="70">
        <f t="shared" si="16"/>
        <v>17448362</v>
      </c>
      <c r="AN29" s="70">
        <f t="shared" si="17"/>
        <v>17968886</v>
      </c>
      <c r="AO29" s="70">
        <f t="shared" si="18"/>
        <v>18220000</v>
      </c>
    </row>
    <row r="30" spans="1:41">
      <c r="A30" s="29" t="s">
        <v>49</v>
      </c>
      <c r="B30" s="29" t="s">
        <v>646</v>
      </c>
      <c r="C30" s="107">
        <v>592717.17000000004</v>
      </c>
      <c r="D30" s="108">
        <v>360000</v>
      </c>
      <c r="F30" s="107">
        <v>624305.84</v>
      </c>
      <c r="G30" s="108">
        <v>362464.25</v>
      </c>
      <c r="I30" s="64">
        <v>615492.09</v>
      </c>
      <c r="J30" s="83">
        <v>645407.71460000006</v>
      </c>
      <c r="K30" s="66">
        <v>362464.25</v>
      </c>
      <c r="L30" s="251">
        <v>361981</v>
      </c>
      <c r="M30" s="63">
        <v>656526.74699999997</v>
      </c>
      <c r="N30" s="64">
        <v>677314.49399999995</v>
      </c>
      <c r="O30" s="65">
        <v>362162</v>
      </c>
      <c r="P30" s="66">
        <v>362162</v>
      </c>
      <c r="Q30" s="66">
        <f t="shared" si="3"/>
        <v>609115.11239999998</v>
      </c>
      <c r="R30" s="63">
        <f t="shared" si="4"/>
        <v>637031.33971199999</v>
      </c>
      <c r="S30" s="83">
        <f t="shared" si="5"/>
        <v>653413.41792799998</v>
      </c>
      <c r="T30" s="64">
        <f t="shared" si="6"/>
        <v>671493.92483999999</v>
      </c>
      <c r="U30" s="66">
        <f t="shared" si="7"/>
        <v>361296.68835000001</v>
      </c>
      <c r="V30" s="63">
        <f t="shared" si="8"/>
        <v>362209.96385</v>
      </c>
      <c r="W30" s="83">
        <f t="shared" si="9"/>
        <v>362076.24219999998</v>
      </c>
      <c r="X30" s="64">
        <f t="shared" si="10"/>
        <v>362162</v>
      </c>
      <c r="Z30" s="67">
        <v>624305.84</v>
      </c>
      <c r="AA30" s="68">
        <v>645478.76619999995</v>
      </c>
      <c r="AB30" s="69">
        <v>362464.25</v>
      </c>
      <c r="AC30" s="70">
        <v>361981</v>
      </c>
      <c r="AD30" s="67">
        <v>656526.74699999997</v>
      </c>
      <c r="AE30" s="68">
        <v>677314.49399999995</v>
      </c>
      <c r="AF30" s="69">
        <v>362162</v>
      </c>
      <c r="AG30" s="70">
        <v>362162</v>
      </c>
      <c r="AH30" s="70">
        <f t="shared" si="11"/>
        <v>615461.01240000001</v>
      </c>
      <c r="AI30" s="70">
        <f t="shared" si="12"/>
        <v>639550.34686399996</v>
      </c>
      <c r="AJ30" s="70">
        <f t="shared" si="13"/>
        <v>653433.31237599999</v>
      </c>
      <c r="AK30" s="70">
        <f t="shared" si="14"/>
        <v>671493.92483999999</v>
      </c>
      <c r="AL30" s="70">
        <f t="shared" si="15"/>
        <v>361296.68835000001</v>
      </c>
      <c r="AM30" s="70">
        <f t="shared" si="16"/>
        <v>362209.96385</v>
      </c>
      <c r="AN30" s="70">
        <f t="shared" si="17"/>
        <v>362076.24219999998</v>
      </c>
      <c r="AO30" s="70">
        <f t="shared" si="18"/>
        <v>362162</v>
      </c>
    </row>
    <row r="31" spans="1:41">
      <c r="A31" s="29" t="s">
        <v>367</v>
      </c>
      <c r="B31" s="29" t="s">
        <v>883</v>
      </c>
      <c r="C31" s="107">
        <v>153800.54</v>
      </c>
      <c r="D31" s="108">
        <v>383145</v>
      </c>
      <c r="F31" s="107">
        <v>139377.71</v>
      </c>
      <c r="G31" s="108">
        <v>410950</v>
      </c>
      <c r="I31" s="64">
        <v>131359.04999999999</v>
      </c>
      <c r="J31" s="83">
        <v>200814.4762</v>
      </c>
      <c r="K31" s="66">
        <v>410950</v>
      </c>
      <c r="L31" s="251">
        <v>441485</v>
      </c>
      <c r="M31" s="63">
        <v>199492.86569999991</v>
      </c>
      <c r="N31" s="64">
        <v>193341.49079999994</v>
      </c>
      <c r="O31" s="65">
        <v>480828</v>
      </c>
      <c r="P31" s="66">
        <v>480828</v>
      </c>
      <c r="Q31" s="66">
        <f t="shared" si="3"/>
        <v>137642.6672</v>
      </c>
      <c r="R31" s="63">
        <f t="shared" si="4"/>
        <v>181366.95686400001</v>
      </c>
      <c r="S31" s="83">
        <f t="shared" si="5"/>
        <v>199862.91663999995</v>
      </c>
      <c r="T31" s="64">
        <f t="shared" si="6"/>
        <v>195063.87577199994</v>
      </c>
      <c r="U31" s="66">
        <f t="shared" si="7"/>
        <v>397775.99100000004</v>
      </c>
      <c r="V31" s="63">
        <f t="shared" si="8"/>
        <v>427017.51699999999</v>
      </c>
      <c r="W31" s="83">
        <f t="shared" si="9"/>
        <v>462187.28659999999</v>
      </c>
      <c r="X31" s="64">
        <f t="shared" si="10"/>
        <v>480828</v>
      </c>
      <c r="Z31" s="67">
        <v>139377.71</v>
      </c>
      <c r="AA31" s="68">
        <v>200814.4762</v>
      </c>
      <c r="AB31" s="69">
        <v>410950</v>
      </c>
      <c r="AC31" s="70">
        <v>441485</v>
      </c>
      <c r="AD31" s="67">
        <v>199492.86569999991</v>
      </c>
      <c r="AE31" s="68">
        <v>193341.49079999994</v>
      </c>
      <c r="AF31" s="69">
        <v>480828</v>
      </c>
      <c r="AG31" s="70">
        <v>480828</v>
      </c>
      <c r="AH31" s="70">
        <f t="shared" si="11"/>
        <v>143416.1024</v>
      </c>
      <c r="AI31" s="70">
        <f t="shared" si="12"/>
        <v>183612.181664</v>
      </c>
      <c r="AJ31" s="70">
        <f t="shared" si="13"/>
        <v>199862.91663999995</v>
      </c>
      <c r="AK31" s="70">
        <f t="shared" si="14"/>
        <v>195063.87577199994</v>
      </c>
      <c r="AL31" s="70">
        <f t="shared" si="15"/>
        <v>397775.99100000004</v>
      </c>
      <c r="AM31" s="70">
        <f t="shared" si="16"/>
        <v>427017.51699999999</v>
      </c>
      <c r="AN31" s="70">
        <f t="shared" si="17"/>
        <v>462187.28659999999</v>
      </c>
      <c r="AO31" s="70">
        <f t="shared" si="18"/>
        <v>480828</v>
      </c>
    </row>
    <row r="32" spans="1:41">
      <c r="A32" s="29" t="s">
        <v>39</v>
      </c>
      <c r="B32" s="29" t="s">
        <v>647</v>
      </c>
      <c r="C32" s="107">
        <v>0</v>
      </c>
      <c r="D32" s="108">
        <v>3259592</v>
      </c>
      <c r="F32" s="107">
        <v>0</v>
      </c>
      <c r="G32" s="108">
        <v>3488439.33</v>
      </c>
      <c r="I32" s="64">
        <v>0</v>
      </c>
      <c r="J32" s="83">
        <v>0</v>
      </c>
      <c r="K32" s="66">
        <v>3488439.33</v>
      </c>
      <c r="L32" s="251">
        <v>3520514.8202</v>
      </c>
      <c r="M32" s="63">
        <v>0</v>
      </c>
      <c r="N32" s="64">
        <v>0</v>
      </c>
      <c r="O32" s="65">
        <v>3642527.1963</v>
      </c>
      <c r="P32" s="66">
        <v>3786822.8012999999</v>
      </c>
      <c r="Q32" s="66">
        <f t="shared" si="3"/>
        <v>0</v>
      </c>
      <c r="R32" s="63">
        <f t="shared" si="4"/>
        <v>0</v>
      </c>
      <c r="S32" s="83">
        <f t="shared" si="5"/>
        <v>0</v>
      </c>
      <c r="T32" s="64">
        <f t="shared" si="6"/>
        <v>0</v>
      </c>
      <c r="U32" s="66">
        <f t="shared" si="7"/>
        <v>3380011.4650459997</v>
      </c>
      <c r="V32" s="63">
        <f t="shared" si="8"/>
        <v>3505317.4529432403</v>
      </c>
      <c r="W32" s="83">
        <f t="shared" si="9"/>
        <v>3584717.7325038202</v>
      </c>
      <c r="X32" s="64">
        <f t="shared" si="10"/>
        <v>3718455.5436509997</v>
      </c>
      <c r="Z32" s="67">
        <v>0</v>
      </c>
      <c r="AA32" s="68">
        <v>0</v>
      </c>
      <c r="AB32" s="69">
        <v>3488439.33</v>
      </c>
      <c r="AC32" s="70">
        <v>3650000</v>
      </c>
      <c r="AD32" s="67">
        <v>0</v>
      </c>
      <c r="AE32" s="68">
        <v>0</v>
      </c>
      <c r="AF32" s="69">
        <v>3642527.1963</v>
      </c>
      <c r="AG32" s="70">
        <v>3786822.8012999999</v>
      </c>
      <c r="AH32" s="70">
        <f t="shared" si="11"/>
        <v>0</v>
      </c>
      <c r="AI32" s="70">
        <f t="shared" si="12"/>
        <v>0</v>
      </c>
      <c r="AJ32" s="70">
        <f t="shared" si="13"/>
        <v>0</v>
      </c>
      <c r="AK32" s="70">
        <f t="shared" si="14"/>
        <v>0</v>
      </c>
      <c r="AL32" s="70">
        <f t="shared" si="15"/>
        <v>3380011.4650459997</v>
      </c>
      <c r="AM32" s="70">
        <f t="shared" si="16"/>
        <v>3573452.554554</v>
      </c>
      <c r="AN32" s="70">
        <f t="shared" si="17"/>
        <v>3646067.81069306</v>
      </c>
      <c r="AO32" s="70">
        <f t="shared" si="18"/>
        <v>3718455.5436509997</v>
      </c>
    </row>
    <row r="33" spans="1:41">
      <c r="A33" s="29" t="s">
        <v>37</v>
      </c>
      <c r="B33" s="29" t="s">
        <v>648</v>
      </c>
      <c r="C33" s="107">
        <v>1093272.6200000001</v>
      </c>
      <c r="D33" s="108">
        <v>1673883</v>
      </c>
      <c r="F33" s="107">
        <v>1023637.8</v>
      </c>
      <c r="G33" s="108">
        <v>2065314</v>
      </c>
      <c r="I33" s="64">
        <v>983256.92</v>
      </c>
      <c r="J33" s="83">
        <v>1084703.2833999998</v>
      </c>
      <c r="K33" s="66">
        <v>2065314</v>
      </c>
      <c r="L33" s="251">
        <v>2508661</v>
      </c>
      <c r="M33" s="63">
        <v>1030131.6054</v>
      </c>
      <c r="N33" s="64">
        <v>957885.16920000024</v>
      </c>
      <c r="O33" s="65">
        <v>2709354</v>
      </c>
      <c r="P33" s="66">
        <v>2709354</v>
      </c>
      <c r="Q33" s="66">
        <f t="shared" si="3"/>
        <v>1014061.3160000001</v>
      </c>
      <c r="R33" s="63">
        <f t="shared" si="4"/>
        <v>1056298.3016479998</v>
      </c>
      <c r="S33" s="83">
        <f t="shared" si="5"/>
        <v>1045411.67524</v>
      </c>
      <c r="T33" s="64">
        <f t="shared" si="6"/>
        <v>978114.17133600009</v>
      </c>
      <c r="U33" s="66">
        <f t="shared" si="7"/>
        <v>1879853.9922000002</v>
      </c>
      <c r="V33" s="63">
        <f t="shared" si="8"/>
        <v>2298603.1913999999</v>
      </c>
      <c r="W33" s="83">
        <f t="shared" si="9"/>
        <v>2614265.6566000003</v>
      </c>
      <c r="X33" s="64">
        <f t="shared" si="10"/>
        <v>2709354</v>
      </c>
      <c r="Z33" s="67">
        <v>1023637.8</v>
      </c>
      <c r="AA33" s="68">
        <v>1098949.1291999999</v>
      </c>
      <c r="AB33" s="69">
        <v>2065314</v>
      </c>
      <c r="AC33" s="70">
        <v>2508661</v>
      </c>
      <c r="AD33" s="67">
        <v>1030131.6054</v>
      </c>
      <c r="AE33" s="68">
        <v>957885.16920000024</v>
      </c>
      <c r="AF33" s="69">
        <v>2709354</v>
      </c>
      <c r="AG33" s="70">
        <v>2709354</v>
      </c>
      <c r="AH33" s="70">
        <f t="shared" si="11"/>
        <v>1043135.5496</v>
      </c>
      <c r="AI33" s="70">
        <f t="shared" si="12"/>
        <v>1077861.9570239999</v>
      </c>
      <c r="AJ33" s="70">
        <f t="shared" si="13"/>
        <v>1049400.5120640001</v>
      </c>
      <c r="AK33" s="70">
        <f t="shared" si="14"/>
        <v>978114.17133600009</v>
      </c>
      <c r="AL33" s="70">
        <f t="shared" si="15"/>
        <v>1879853.9922000002</v>
      </c>
      <c r="AM33" s="70">
        <f t="shared" si="16"/>
        <v>2298603.1913999999</v>
      </c>
      <c r="AN33" s="70">
        <f t="shared" si="17"/>
        <v>2614265.6566000003</v>
      </c>
      <c r="AO33" s="70">
        <f t="shared" si="18"/>
        <v>2709354</v>
      </c>
    </row>
    <row r="34" spans="1:41">
      <c r="A34" s="29" t="s">
        <v>81</v>
      </c>
      <c r="B34" s="29" t="s">
        <v>649</v>
      </c>
      <c r="C34" s="107">
        <v>524986.59</v>
      </c>
      <c r="D34" s="108">
        <v>2375000</v>
      </c>
      <c r="F34" s="107">
        <v>372409.96</v>
      </c>
      <c r="G34" s="108">
        <v>2575000</v>
      </c>
      <c r="I34" s="64">
        <v>253669.53</v>
      </c>
      <c r="J34" s="83">
        <v>262929.1958999997</v>
      </c>
      <c r="K34" s="66">
        <v>2575000</v>
      </c>
      <c r="L34" s="251">
        <v>2575000</v>
      </c>
      <c r="M34" s="63">
        <v>89968.253700000074</v>
      </c>
      <c r="N34" s="64">
        <v>0</v>
      </c>
      <c r="O34" s="65">
        <v>2575000</v>
      </c>
      <c r="P34" s="66">
        <v>2575000</v>
      </c>
      <c r="Q34" s="66">
        <f t="shared" si="3"/>
        <v>329638.30680000002</v>
      </c>
      <c r="R34" s="63">
        <f t="shared" si="4"/>
        <v>260336.4894479998</v>
      </c>
      <c r="S34" s="83">
        <f t="shared" si="5"/>
        <v>138397.31751599998</v>
      </c>
      <c r="T34" s="64">
        <f t="shared" si="6"/>
        <v>25191.111036000024</v>
      </c>
      <c r="U34" s="66">
        <f t="shared" si="7"/>
        <v>2480240</v>
      </c>
      <c r="V34" s="63">
        <f t="shared" si="8"/>
        <v>2575000</v>
      </c>
      <c r="W34" s="83">
        <f t="shared" si="9"/>
        <v>2575000</v>
      </c>
      <c r="X34" s="64">
        <f t="shared" si="10"/>
        <v>2575000</v>
      </c>
      <c r="Z34" s="67">
        <v>372409.96</v>
      </c>
      <c r="AA34" s="68">
        <v>362969.84869999997</v>
      </c>
      <c r="AB34" s="69">
        <v>2575000</v>
      </c>
      <c r="AC34" s="70">
        <v>2575000</v>
      </c>
      <c r="AD34" s="67">
        <v>89968.253700000074</v>
      </c>
      <c r="AE34" s="68">
        <v>0</v>
      </c>
      <c r="AF34" s="69">
        <v>2575000</v>
      </c>
      <c r="AG34" s="70">
        <v>2575000</v>
      </c>
      <c r="AH34" s="70">
        <f t="shared" si="11"/>
        <v>415131.41639999999</v>
      </c>
      <c r="AI34" s="70">
        <f t="shared" si="12"/>
        <v>365613.07986399997</v>
      </c>
      <c r="AJ34" s="70">
        <f t="shared" si="13"/>
        <v>166408.70030000005</v>
      </c>
      <c r="AK34" s="70">
        <f t="shared" si="14"/>
        <v>25191.111036000024</v>
      </c>
      <c r="AL34" s="70">
        <f t="shared" si="15"/>
        <v>2480240</v>
      </c>
      <c r="AM34" s="70">
        <f t="shared" si="16"/>
        <v>2575000</v>
      </c>
      <c r="AN34" s="70">
        <f t="shared" si="17"/>
        <v>2575000</v>
      </c>
      <c r="AO34" s="70">
        <f t="shared" si="18"/>
        <v>2575000</v>
      </c>
    </row>
    <row r="35" spans="1:41">
      <c r="A35" s="29" t="s">
        <v>255</v>
      </c>
      <c r="B35" s="29" t="s">
        <v>893</v>
      </c>
      <c r="C35" s="107">
        <v>0</v>
      </c>
      <c r="D35" s="108">
        <v>273368</v>
      </c>
      <c r="F35" s="107">
        <v>0</v>
      </c>
      <c r="G35" s="108">
        <v>259947</v>
      </c>
      <c r="I35" s="64">
        <v>0</v>
      </c>
      <c r="J35" s="83">
        <v>22775.534899999988</v>
      </c>
      <c r="K35" s="66">
        <v>259947</v>
      </c>
      <c r="L35" s="251">
        <v>295000</v>
      </c>
      <c r="M35" s="63">
        <v>32597.888399999985</v>
      </c>
      <c r="N35" s="64">
        <v>35342.746200000001</v>
      </c>
      <c r="O35" s="65">
        <v>295000</v>
      </c>
      <c r="P35" s="66">
        <v>295000</v>
      </c>
      <c r="Q35" s="66">
        <f t="shared" si="3"/>
        <v>0</v>
      </c>
      <c r="R35" s="63">
        <f t="shared" si="4"/>
        <v>16398.385127999991</v>
      </c>
      <c r="S35" s="83">
        <f t="shared" si="5"/>
        <v>29847.629419999987</v>
      </c>
      <c r="T35" s="64">
        <f t="shared" si="6"/>
        <v>34574.186016</v>
      </c>
      <c r="U35" s="66">
        <f t="shared" si="7"/>
        <v>266305.86979999999</v>
      </c>
      <c r="V35" s="63">
        <f t="shared" si="8"/>
        <v>278391.88860000001</v>
      </c>
      <c r="W35" s="83">
        <f t="shared" si="9"/>
        <v>295000</v>
      </c>
      <c r="X35" s="64">
        <f t="shared" si="10"/>
        <v>295000</v>
      </c>
      <c r="Z35" s="67">
        <v>0</v>
      </c>
      <c r="AA35" s="68">
        <v>22775.534899999988</v>
      </c>
      <c r="AB35" s="69">
        <v>259947</v>
      </c>
      <c r="AC35" s="70">
        <v>295000</v>
      </c>
      <c r="AD35" s="67">
        <v>32597.888399999985</v>
      </c>
      <c r="AE35" s="68">
        <v>35342.746200000001</v>
      </c>
      <c r="AF35" s="69">
        <v>295000</v>
      </c>
      <c r="AG35" s="70">
        <v>295000</v>
      </c>
      <c r="AH35" s="70">
        <f t="shared" si="11"/>
        <v>0</v>
      </c>
      <c r="AI35" s="70">
        <f t="shared" si="12"/>
        <v>16398.385127999991</v>
      </c>
      <c r="AJ35" s="70">
        <f t="shared" si="13"/>
        <v>29847.629419999987</v>
      </c>
      <c r="AK35" s="70">
        <f t="shared" si="14"/>
        <v>34574.186016</v>
      </c>
      <c r="AL35" s="70">
        <f t="shared" si="15"/>
        <v>266305.86979999999</v>
      </c>
      <c r="AM35" s="70">
        <f t="shared" si="16"/>
        <v>278391.88860000001</v>
      </c>
      <c r="AN35" s="70">
        <f t="shared" si="17"/>
        <v>295000</v>
      </c>
      <c r="AO35" s="70">
        <f t="shared" si="18"/>
        <v>295000</v>
      </c>
    </row>
    <row r="36" spans="1:41">
      <c r="A36" s="29" t="s">
        <v>233</v>
      </c>
      <c r="B36" s="29" t="s">
        <v>650</v>
      </c>
      <c r="C36" s="107">
        <v>3798043.5</v>
      </c>
      <c r="D36" s="108">
        <v>15500000</v>
      </c>
      <c r="F36" s="107">
        <v>3122851.72</v>
      </c>
      <c r="G36" s="108">
        <v>17500000</v>
      </c>
      <c r="I36" s="64">
        <v>1889382.5</v>
      </c>
      <c r="J36" s="83">
        <v>1060328.6348159981</v>
      </c>
      <c r="K36" s="66">
        <v>17500000</v>
      </c>
      <c r="L36" s="251">
        <v>18000000</v>
      </c>
      <c r="M36" s="63">
        <v>0</v>
      </c>
      <c r="N36" s="64">
        <v>0</v>
      </c>
      <c r="O36" s="65">
        <v>18000000</v>
      </c>
      <c r="P36" s="66">
        <v>18000000</v>
      </c>
      <c r="Q36" s="66">
        <f t="shared" si="3"/>
        <v>2423807.58</v>
      </c>
      <c r="R36" s="63">
        <f t="shared" si="4"/>
        <v>1292463.7170675187</v>
      </c>
      <c r="S36" s="83">
        <f t="shared" si="5"/>
        <v>296892.0177484795</v>
      </c>
      <c r="T36" s="64">
        <f t="shared" si="6"/>
        <v>0</v>
      </c>
      <c r="U36" s="66">
        <f t="shared" si="7"/>
        <v>16552400</v>
      </c>
      <c r="V36" s="63">
        <f t="shared" si="8"/>
        <v>17763100</v>
      </c>
      <c r="W36" s="83">
        <f t="shared" si="9"/>
        <v>18000000</v>
      </c>
      <c r="X36" s="64">
        <f t="shared" si="10"/>
        <v>18000000</v>
      </c>
      <c r="Z36" s="67">
        <v>3122851.72</v>
      </c>
      <c r="AA36" s="68">
        <v>2128698.8602799987</v>
      </c>
      <c r="AB36" s="69">
        <v>17500000</v>
      </c>
      <c r="AC36" s="70">
        <v>18000000</v>
      </c>
      <c r="AD36" s="67">
        <v>0</v>
      </c>
      <c r="AE36" s="68">
        <v>0</v>
      </c>
      <c r="AF36" s="69">
        <v>18000000</v>
      </c>
      <c r="AG36" s="70">
        <v>18000000</v>
      </c>
      <c r="AH36" s="70">
        <f t="shared" si="11"/>
        <v>3311905.4184000003</v>
      </c>
      <c r="AI36" s="70">
        <f t="shared" si="12"/>
        <v>2407061.6610015994</v>
      </c>
      <c r="AJ36" s="70">
        <f t="shared" si="13"/>
        <v>596035.68087839975</v>
      </c>
      <c r="AK36" s="70">
        <f t="shared" si="14"/>
        <v>0</v>
      </c>
      <c r="AL36" s="70">
        <f t="shared" si="15"/>
        <v>16552400</v>
      </c>
      <c r="AM36" s="70">
        <f t="shared" si="16"/>
        <v>17763100</v>
      </c>
      <c r="AN36" s="70">
        <f t="shared" si="17"/>
        <v>18000000</v>
      </c>
      <c r="AO36" s="70">
        <f t="shared" si="18"/>
        <v>18000000</v>
      </c>
    </row>
    <row r="37" spans="1:41">
      <c r="A37" s="29" t="s">
        <v>463</v>
      </c>
      <c r="B37" s="29" t="s">
        <v>651</v>
      </c>
      <c r="C37" s="107">
        <v>6122648.2199999997</v>
      </c>
      <c r="D37" s="108">
        <v>27665500</v>
      </c>
      <c r="F37" s="107">
        <v>5070842.1900000004</v>
      </c>
      <c r="G37" s="108">
        <v>29211000</v>
      </c>
      <c r="I37" s="64">
        <v>4444760.9400000004</v>
      </c>
      <c r="J37" s="83">
        <v>4576640.0623000022</v>
      </c>
      <c r="K37" s="66">
        <v>29211000</v>
      </c>
      <c r="L37" s="251">
        <v>31110000</v>
      </c>
      <c r="M37" s="63">
        <v>3673275.9498000005</v>
      </c>
      <c r="N37" s="64">
        <v>3260244.4937999998</v>
      </c>
      <c r="O37" s="65">
        <v>33132000</v>
      </c>
      <c r="P37" s="66">
        <v>33132000</v>
      </c>
      <c r="Q37" s="66">
        <f t="shared" si="3"/>
        <v>4914569.3783999998</v>
      </c>
      <c r="R37" s="63">
        <f t="shared" si="4"/>
        <v>4539713.9080560021</v>
      </c>
      <c r="S37" s="83">
        <f t="shared" si="5"/>
        <v>3926217.901300001</v>
      </c>
      <c r="T37" s="64">
        <f t="shared" si="6"/>
        <v>3375893.3014799999</v>
      </c>
      <c r="U37" s="66">
        <f t="shared" si="7"/>
        <v>28478742.100000001</v>
      </c>
      <c r="V37" s="63">
        <f t="shared" si="8"/>
        <v>30210253.800000001</v>
      </c>
      <c r="W37" s="83">
        <f t="shared" si="9"/>
        <v>32173976.399999999</v>
      </c>
      <c r="X37" s="64">
        <f t="shared" si="10"/>
        <v>33132000</v>
      </c>
      <c r="Z37" s="67">
        <v>5070842.1900000004</v>
      </c>
      <c r="AA37" s="68">
        <v>4983978.8851000005</v>
      </c>
      <c r="AB37" s="69">
        <v>29211000</v>
      </c>
      <c r="AC37" s="70">
        <v>31110000</v>
      </c>
      <c r="AD37" s="67">
        <v>3673275.9498000005</v>
      </c>
      <c r="AE37" s="68">
        <v>3260244.4937999998</v>
      </c>
      <c r="AF37" s="69">
        <v>33132000</v>
      </c>
      <c r="AG37" s="70">
        <v>33132000</v>
      </c>
      <c r="AH37" s="70">
        <f t="shared" si="11"/>
        <v>5365347.8783999998</v>
      </c>
      <c r="AI37" s="70">
        <f t="shared" si="12"/>
        <v>5008300.6104720011</v>
      </c>
      <c r="AJ37" s="70">
        <f t="shared" si="13"/>
        <v>4040272.7716840003</v>
      </c>
      <c r="AK37" s="70">
        <f t="shared" si="14"/>
        <v>3375893.3014799999</v>
      </c>
      <c r="AL37" s="70">
        <f t="shared" si="15"/>
        <v>28478742.100000001</v>
      </c>
      <c r="AM37" s="70">
        <f t="shared" si="16"/>
        <v>30210253.800000001</v>
      </c>
      <c r="AN37" s="70">
        <f t="shared" si="17"/>
        <v>32173976.399999999</v>
      </c>
      <c r="AO37" s="70">
        <f t="shared" si="18"/>
        <v>33132000</v>
      </c>
    </row>
    <row r="38" spans="1:41">
      <c r="A38" s="29" t="s">
        <v>295</v>
      </c>
      <c r="B38" s="29" t="s">
        <v>652</v>
      </c>
      <c r="C38" s="107">
        <v>0</v>
      </c>
      <c r="D38" s="108">
        <v>0</v>
      </c>
      <c r="F38" s="107">
        <v>1036998.58</v>
      </c>
      <c r="G38" s="108">
        <v>4500000</v>
      </c>
      <c r="I38" s="64">
        <v>801789.8</v>
      </c>
      <c r="J38" s="83">
        <v>463638.70301866578</v>
      </c>
      <c r="K38" s="66">
        <v>4500000</v>
      </c>
      <c r="L38" s="251">
        <v>4600000</v>
      </c>
      <c r="M38" s="63">
        <v>167447.04933599982</v>
      </c>
      <c r="N38" s="64">
        <v>0</v>
      </c>
      <c r="O38" s="65">
        <v>4600000</v>
      </c>
      <c r="P38" s="66">
        <v>4600000</v>
      </c>
      <c r="Q38" s="66">
        <f t="shared" si="3"/>
        <v>577288.65599999996</v>
      </c>
      <c r="R38" s="63">
        <f t="shared" si="4"/>
        <v>558321.0101734394</v>
      </c>
      <c r="S38" s="83">
        <f t="shared" si="5"/>
        <v>250380.71236714628</v>
      </c>
      <c r="T38" s="64">
        <f t="shared" si="6"/>
        <v>46885.173814079957</v>
      </c>
      <c r="U38" s="66">
        <f t="shared" si="7"/>
        <v>2367900</v>
      </c>
      <c r="V38" s="63">
        <f t="shared" si="8"/>
        <v>4552620</v>
      </c>
      <c r="W38" s="83">
        <f t="shared" si="9"/>
        <v>4600000</v>
      </c>
      <c r="X38" s="64">
        <f t="shared" si="10"/>
        <v>4600000</v>
      </c>
      <c r="Z38" s="67">
        <v>1036998.58</v>
      </c>
      <c r="AA38" s="68">
        <v>646758.57066666672</v>
      </c>
      <c r="AB38" s="69">
        <v>4500000</v>
      </c>
      <c r="AC38" s="70">
        <v>4600000</v>
      </c>
      <c r="AD38" s="67">
        <v>167447.04933599982</v>
      </c>
      <c r="AE38" s="68">
        <v>0</v>
      </c>
      <c r="AF38" s="69">
        <v>4600000</v>
      </c>
      <c r="AG38" s="70">
        <v>4600000</v>
      </c>
      <c r="AH38" s="70">
        <f t="shared" si="11"/>
        <v>746638.97759999998</v>
      </c>
      <c r="AI38" s="70">
        <f t="shared" si="12"/>
        <v>756025.77328000008</v>
      </c>
      <c r="AJ38" s="70">
        <f t="shared" si="13"/>
        <v>301654.27530858654</v>
      </c>
      <c r="AK38" s="70">
        <f t="shared" si="14"/>
        <v>46885.173814079957</v>
      </c>
      <c r="AL38" s="70">
        <f t="shared" si="15"/>
        <v>2367900</v>
      </c>
      <c r="AM38" s="70">
        <f t="shared" si="16"/>
        <v>4552620</v>
      </c>
      <c r="AN38" s="70">
        <f t="shared" si="17"/>
        <v>4600000</v>
      </c>
      <c r="AO38" s="70">
        <f t="shared" si="18"/>
        <v>4600000</v>
      </c>
    </row>
    <row r="39" spans="1:41">
      <c r="A39" s="29" t="s">
        <v>291</v>
      </c>
      <c r="B39" s="29" t="s">
        <v>653</v>
      </c>
      <c r="C39" s="107">
        <v>1303076.24</v>
      </c>
      <c r="D39" s="108">
        <v>5215000</v>
      </c>
      <c r="F39" s="107">
        <v>1095654.1399999999</v>
      </c>
      <c r="G39" s="108">
        <v>5415000</v>
      </c>
      <c r="I39" s="64">
        <v>965697.74</v>
      </c>
      <c r="J39" s="83">
        <v>1046733.6089999997</v>
      </c>
      <c r="K39" s="66">
        <v>5415000</v>
      </c>
      <c r="L39" s="251">
        <v>5650000</v>
      </c>
      <c r="M39" s="63">
        <v>911309.70869999961</v>
      </c>
      <c r="N39" s="64">
        <v>794534.29679999989</v>
      </c>
      <c r="O39" s="65">
        <v>5850000</v>
      </c>
      <c r="P39" s="66">
        <v>5850000</v>
      </c>
      <c r="Q39" s="66">
        <f t="shared" si="3"/>
        <v>1060163.72</v>
      </c>
      <c r="R39" s="63">
        <f t="shared" si="4"/>
        <v>1024043.5656799998</v>
      </c>
      <c r="S39" s="83">
        <f t="shared" si="5"/>
        <v>949228.40078399959</v>
      </c>
      <c r="T39" s="64">
        <f t="shared" si="6"/>
        <v>827231.41213199985</v>
      </c>
      <c r="U39" s="66">
        <f t="shared" si="7"/>
        <v>5320240</v>
      </c>
      <c r="V39" s="63">
        <f t="shared" si="8"/>
        <v>5538657</v>
      </c>
      <c r="W39" s="83">
        <f t="shared" si="9"/>
        <v>5755240</v>
      </c>
      <c r="X39" s="64">
        <f t="shared" si="10"/>
        <v>5850000</v>
      </c>
      <c r="Z39" s="67">
        <v>1095654.1399999999</v>
      </c>
      <c r="AA39" s="68">
        <v>1237418.3405000002</v>
      </c>
      <c r="AB39" s="69">
        <v>5415000</v>
      </c>
      <c r="AC39" s="70">
        <v>5650000</v>
      </c>
      <c r="AD39" s="67">
        <v>911309.70869999961</v>
      </c>
      <c r="AE39" s="68">
        <v>794534.29679999989</v>
      </c>
      <c r="AF39" s="69">
        <v>5850000</v>
      </c>
      <c r="AG39" s="70">
        <v>5850000</v>
      </c>
      <c r="AH39" s="70">
        <f t="shared" si="11"/>
        <v>1153732.328</v>
      </c>
      <c r="AI39" s="70">
        <f t="shared" si="12"/>
        <v>1197724.36436</v>
      </c>
      <c r="AJ39" s="70">
        <f t="shared" si="13"/>
        <v>1002620.1256039997</v>
      </c>
      <c r="AK39" s="70">
        <f t="shared" si="14"/>
        <v>827231.41213199985</v>
      </c>
      <c r="AL39" s="70">
        <f t="shared" si="15"/>
        <v>5320240</v>
      </c>
      <c r="AM39" s="70">
        <f t="shared" si="16"/>
        <v>5538657</v>
      </c>
      <c r="AN39" s="70">
        <f t="shared" si="17"/>
        <v>5755240</v>
      </c>
      <c r="AO39" s="70">
        <f t="shared" si="18"/>
        <v>5850000</v>
      </c>
    </row>
    <row r="40" spans="1:41">
      <c r="A40" s="29" t="s">
        <v>467</v>
      </c>
      <c r="B40" s="29" t="s">
        <v>654</v>
      </c>
      <c r="C40" s="107">
        <v>646449.04</v>
      </c>
      <c r="D40" s="108">
        <v>7000000</v>
      </c>
      <c r="F40" s="107">
        <v>160024.84</v>
      </c>
      <c r="G40" s="108">
        <v>8700000</v>
      </c>
      <c r="I40" s="64">
        <v>25213.27</v>
      </c>
      <c r="J40" s="83">
        <v>0</v>
      </c>
      <c r="K40" s="66">
        <v>8700000</v>
      </c>
      <c r="L40" s="251">
        <v>9300000</v>
      </c>
      <c r="M40" s="63">
        <v>0</v>
      </c>
      <c r="N40" s="64">
        <v>0</v>
      </c>
      <c r="O40" s="65">
        <v>9900000</v>
      </c>
      <c r="P40" s="66">
        <v>9900000</v>
      </c>
      <c r="Q40" s="66">
        <f t="shared" si="3"/>
        <v>199159.28560000003</v>
      </c>
      <c r="R40" s="63">
        <f t="shared" si="4"/>
        <v>7059.7156000000004</v>
      </c>
      <c r="S40" s="83">
        <f t="shared" si="5"/>
        <v>0</v>
      </c>
      <c r="T40" s="64">
        <f t="shared" si="6"/>
        <v>0</v>
      </c>
      <c r="U40" s="66">
        <f t="shared" si="7"/>
        <v>7894540</v>
      </c>
      <c r="V40" s="63">
        <f t="shared" si="8"/>
        <v>9015720</v>
      </c>
      <c r="W40" s="83">
        <f t="shared" si="9"/>
        <v>9615720</v>
      </c>
      <c r="X40" s="64">
        <f t="shared" si="10"/>
        <v>9900000</v>
      </c>
      <c r="Z40" s="67">
        <v>160024.84</v>
      </c>
      <c r="AA40" s="68">
        <v>0</v>
      </c>
      <c r="AB40" s="69">
        <v>8700000</v>
      </c>
      <c r="AC40" s="70">
        <v>9300000</v>
      </c>
      <c r="AD40" s="67">
        <v>0</v>
      </c>
      <c r="AE40" s="68">
        <v>0</v>
      </c>
      <c r="AF40" s="69">
        <v>9900000</v>
      </c>
      <c r="AG40" s="70">
        <v>9900000</v>
      </c>
      <c r="AH40" s="70">
        <f t="shared" si="11"/>
        <v>296223.61600000004</v>
      </c>
      <c r="AI40" s="70">
        <f t="shared" si="12"/>
        <v>44806.955200000004</v>
      </c>
      <c r="AJ40" s="70">
        <f t="shared" si="13"/>
        <v>0</v>
      </c>
      <c r="AK40" s="70">
        <f t="shared" si="14"/>
        <v>0</v>
      </c>
      <c r="AL40" s="70">
        <f t="shared" si="15"/>
        <v>7894540</v>
      </c>
      <c r="AM40" s="70">
        <f t="shared" si="16"/>
        <v>9015720</v>
      </c>
      <c r="AN40" s="70">
        <f t="shared" si="17"/>
        <v>9615720</v>
      </c>
      <c r="AO40" s="70">
        <f t="shared" si="18"/>
        <v>9900000</v>
      </c>
    </row>
    <row r="41" spans="1:41">
      <c r="A41" s="29" t="s">
        <v>485</v>
      </c>
      <c r="B41" s="29" t="s">
        <v>655</v>
      </c>
      <c r="C41" s="107">
        <v>276120.40000000002</v>
      </c>
      <c r="D41" s="108">
        <v>1000000</v>
      </c>
      <c r="F41" s="107">
        <v>266969.2</v>
      </c>
      <c r="G41" s="108">
        <v>1000000</v>
      </c>
      <c r="I41" s="64">
        <v>160933.45000000001</v>
      </c>
      <c r="J41" s="83">
        <v>101063.99299999989</v>
      </c>
      <c r="K41" s="66">
        <v>1000000</v>
      </c>
      <c r="L41" s="251">
        <v>1000000</v>
      </c>
      <c r="M41" s="63">
        <v>66225.152559999973</v>
      </c>
      <c r="N41" s="64">
        <v>76822.461983999921</v>
      </c>
      <c r="O41" s="65">
        <v>1000000</v>
      </c>
      <c r="P41" s="66">
        <v>1000000</v>
      </c>
      <c r="Q41" s="66">
        <f t="shared" si="3"/>
        <v>193185.79600000003</v>
      </c>
      <c r="R41" s="63">
        <f t="shared" si="4"/>
        <v>117827.44095999992</v>
      </c>
      <c r="S41" s="83">
        <f t="shared" si="5"/>
        <v>75980.027883199946</v>
      </c>
      <c r="T41" s="64">
        <f t="shared" si="6"/>
        <v>73855.215345279939</v>
      </c>
      <c r="U41" s="66">
        <f t="shared" si="7"/>
        <v>1000000</v>
      </c>
      <c r="V41" s="63">
        <f t="shared" si="8"/>
        <v>1000000</v>
      </c>
      <c r="W41" s="83">
        <f t="shared" si="9"/>
        <v>1000000</v>
      </c>
      <c r="X41" s="64">
        <f t="shared" si="10"/>
        <v>1000000</v>
      </c>
      <c r="Z41" s="67">
        <v>266969.2</v>
      </c>
      <c r="AA41" s="68">
        <v>360704.30230000004</v>
      </c>
      <c r="AB41" s="69">
        <v>1000000</v>
      </c>
      <c r="AC41" s="70">
        <v>1000000</v>
      </c>
      <c r="AD41" s="67">
        <v>66225.152559999973</v>
      </c>
      <c r="AE41" s="68">
        <v>76822.461983999921</v>
      </c>
      <c r="AF41" s="69">
        <v>1000000</v>
      </c>
      <c r="AG41" s="70">
        <v>1000000</v>
      </c>
      <c r="AH41" s="70">
        <f t="shared" si="11"/>
        <v>269531.53600000002</v>
      </c>
      <c r="AI41" s="70">
        <f t="shared" si="12"/>
        <v>334458.47365600005</v>
      </c>
      <c r="AJ41" s="70">
        <f t="shared" si="13"/>
        <v>148679.3144872</v>
      </c>
      <c r="AK41" s="70">
        <f t="shared" si="14"/>
        <v>73855.215345279939</v>
      </c>
      <c r="AL41" s="70">
        <f t="shared" si="15"/>
        <v>1000000</v>
      </c>
      <c r="AM41" s="70">
        <f t="shared" si="16"/>
        <v>1000000</v>
      </c>
      <c r="AN41" s="70">
        <f t="shared" si="17"/>
        <v>1000000</v>
      </c>
      <c r="AO41" s="70">
        <f t="shared" si="18"/>
        <v>1000000</v>
      </c>
    </row>
    <row r="42" spans="1:41">
      <c r="A42" s="29" t="s">
        <v>179</v>
      </c>
      <c r="B42" s="29" t="s">
        <v>656</v>
      </c>
      <c r="C42" s="107">
        <v>0</v>
      </c>
      <c r="D42" s="108">
        <v>2074277</v>
      </c>
      <c r="F42" s="107">
        <v>0</v>
      </c>
      <c r="G42" s="108">
        <v>2101671.06</v>
      </c>
      <c r="I42" s="64">
        <v>0</v>
      </c>
      <c r="J42" s="83">
        <v>0</v>
      </c>
      <c r="K42" s="66">
        <v>2101671.06</v>
      </c>
      <c r="L42" s="251">
        <v>2057119.2226</v>
      </c>
      <c r="M42" s="63">
        <v>0</v>
      </c>
      <c r="N42" s="64">
        <v>0</v>
      </c>
      <c r="O42" s="65">
        <v>2128532.8531000004</v>
      </c>
      <c r="P42" s="66">
        <v>2213027.5474999999</v>
      </c>
      <c r="Q42" s="66">
        <f t="shared" si="3"/>
        <v>0</v>
      </c>
      <c r="R42" s="63">
        <f t="shared" si="4"/>
        <v>0</v>
      </c>
      <c r="S42" s="83">
        <f t="shared" si="5"/>
        <v>0</v>
      </c>
      <c r="T42" s="64">
        <f t="shared" si="6"/>
        <v>0</v>
      </c>
      <c r="U42" s="66">
        <f t="shared" si="7"/>
        <v>2088691.754372</v>
      </c>
      <c r="V42" s="63">
        <f t="shared" si="8"/>
        <v>2078227.8831601201</v>
      </c>
      <c r="W42" s="83">
        <f t="shared" si="9"/>
        <v>2094697.0749691003</v>
      </c>
      <c r="X42" s="64">
        <f t="shared" si="10"/>
        <v>2172993.9612932801</v>
      </c>
      <c r="Z42" s="67">
        <v>0</v>
      </c>
      <c r="AA42" s="68">
        <v>0</v>
      </c>
      <c r="AB42" s="69">
        <v>2101671.06</v>
      </c>
      <c r="AC42" s="70">
        <v>2150000</v>
      </c>
      <c r="AD42" s="67">
        <v>0</v>
      </c>
      <c r="AE42" s="68">
        <v>0</v>
      </c>
      <c r="AF42" s="69">
        <v>2128532.8531000004</v>
      </c>
      <c r="AG42" s="70">
        <v>2213027.5474999999</v>
      </c>
      <c r="AH42" s="70">
        <f t="shared" si="11"/>
        <v>0</v>
      </c>
      <c r="AI42" s="70">
        <f t="shared" si="12"/>
        <v>0</v>
      </c>
      <c r="AJ42" s="70">
        <f t="shared" si="13"/>
        <v>0</v>
      </c>
      <c r="AK42" s="70">
        <f t="shared" si="14"/>
        <v>0</v>
      </c>
      <c r="AL42" s="70">
        <f t="shared" si="15"/>
        <v>2088691.754372</v>
      </c>
      <c r="AM42" s="70">
        <f t="shared" si="16"/>
        <v>2127101.748228</v>
      </c>
      <c r="AN42" s="70">
        <f t="shared" si="17"/>
        <v>2138703.9873012202</v>
      </c>
      <c r="AO42" s="70">
        <f t="shared" si="18"/>
        <v>2172993.9612932801</v>
      </c>
    </row>
    <row r="43" spans="1:41">
      <c r="A43" s="29" t="s">
        <v>13</v>
      </c>
      <c r="B43" s="29" t="s">
        <v>657</v>
      </c>
      <c r="C43" s="107">
        <v>1928920.01</v>
      </c>
      <c r="D43" s="108">
        <v>2827917</v>
      </c>
      <c r="F43" s="107">
        <v>1968986.22</v>
      </c>
      <c r="G43" s="108">
        <v>3110709</v>
      </c>
      <c r="I43" s="64">
        <v>1760298.11</v>
      </c>
      <c r="J43" s="83">
        <v>1992861.6725000001</v>
      </c>
      <c r="K43" s="66">
        <v>3110709</v>
      </c>
      <c r="L43" s="251">
        <v>3110709</v>
      </c>
      <c r="M43" s="63">
        <v>2095545.4776000001</v>
      </c>
      <c r="N43" s="64">
        <v>2226485.0013000006</v>
      </c>
      <c r="O43" s="65">
        <v>3110709</v>
      </c>
      <c r="P43" s="66">
        <v>3110709</v>
      </c>
      <c r="Q43" s="66">
        <f t="shared" si="3"/>
        <v>1807512.2420000001</v>
      </c>
      <c r="R43" s="63">
        <f t="shared" si="4"/>
        <v>1927743.875</v>
      </c>
      <c r="S43" s="83">
        <f t="shared" si="5"/>
        <v>2066794.012172</v>
      </c>
      <c r="T43" s="64">
        <f t="shared" si="6"/>
        <v>2189821.9346640003</v>
      </c>
      <c r="U43" s="66">
        <f t="shared" si="7"/>
        <v>2976722.1503999997</v>
      </c>
      <c r="V43" s="63">
        <f t="shared" si="8"/>
        <v>3110709</v>
      </c>
      <c r="W43" s="83">
        <f t="shared" si="9"/>
        <v>3110709</v>
      </c>
      <c r="X43" s="64">
        <f t="shared" si="10"/>
        <v>3110709</v>
      </c>
      <c r="Z43" s="67">
        <v>1968986.22</v>
      </c>
      <c r="AA43" s="68">
        <v>2167346.6392000006</v>
      </c>
      <c r="AB43" s="69">
        <v>3110709</v>
      </c>
      <c r="AC43" s="70">
        <v>3110709</v>
      </c>
      <c r="AD43" s="67">
        <v>2095545.4776000001</v>
      </c>
      <c r="AE43" s="68">
        <v>2226485.0013000006</v>
      </c>
      <c r="AF43" s="69">
        <v>3110709</v>
      </c>
      <c r="AG43" s="70">
        <v>3110709</v>
      </c>
      <c r="AH43" s="70">
        <f t="shared" si="11"/>
        <v>1957767.6812</v>
      </c>
      <c r="AI43" s="70">
        <f t="shared" si="12"/>
        <v>2111805.7218240006</v>
      </c>
      <c r="AJ43" s="70">
        <f t="shared" si="13"/>
        <v>2115649.8028480001</v>
      </c>
      <c r="AK43" s="70">
        <f t="shared" si="14"/>
        <v>2189821.9346640003</v>
      </c>
      <c r="AL43" s="70">
        <f t="shared" si="15"/>
        <v>2976722.1503999997</v>
      </c>
      <c r="AM43" s="70">
        <f t="shared" si="16"/>
        <v>3110709</v>
      </c>
      <c r="AN43" s="70">
        <f t="shared" si="17"/>
        <v>3110709</v>
      </c>
      <c r="AO43" s="70">
        <f t="shared" si="18"/>
        <v>3110709</v>
      </c>
    </row>
    <row r="44" spans="1:41">
      <c r="A44" s="29" t="s">
        <v>249</v>
      </c>
      <c r="B44" s="29" t="s">
        <v>658</v>
      </c>
      <c r="C44" s="107">
        <v>0</v>
      </c>
      <c r="D44" s="108">
        <v>2348721</v>
      </c>
      <c r="F44" s="107">
        <v>0</v>
      </c>
      <c r="G44" s="108">
        <v>2700000</v>
      </c>
      <c r="I44" s="64">
        <v>0</v>
      </c>
      <c r="J44" s="83">
        <v>0</v>
      </c>
      <c r="K44" s="66">
        <v>2700000</v>
      </c>
      <c r="L44" s="251">
        <v>2448904.8486000001</v>
      </c>
      <c r="M44" s="63">
        <v>0</v>
      </c>
      <c r="N44" s="64">
        <v>0</v>
      </c>
      <c r="O44" s="65">
        <v>2533777.3399</v>
      </c>
      <c r="P44" s="66">
        <v>2634156.1015000003</v>
      </c>
      <c r="Q44" s="66">
        <f t="shared" si="3"/>
        <v>0</v>
      </c>
      <c r="R44" s="63">
        <f t="shared" si="4"/>
        <v>0</v>
      </c>
      <c r="S44" s="83">
        <f t="shared" si="5"/>
        <v>0</v>
      </c>
      <c r="T44" s="64">
        <f t="shared" si="6"/>
        <v>0</v>
      </c>
      <c r="U44" s="66">
        <f t="shared" si="7"/>
        <v>2533564.0098000001</v>
      </c>
      <c r="V44" s="63">
        <f t="shared" si="8"/>
        <v>2567873.73133332</v>
      </c>
      <c r="W44" s="83">
        <f t="shared" si="9"/>
        <v>2493564.7535220599</v>
      </c>
      <c r="X44" s="64">
        <f t="shared" si="10"/>
        <v>2586596.6442539203</v>
      </c>
      <c r="Z44" s="67">
        <v>0</v>
      </c>
      <c r="AA44" s="68">
        <v>0</v>
      </c>
      <c r="AB44" s="69">
        <v>2700000</v>
      </c>
      <c r="AC44" s="70">
        <v>2598595.1686</v>
      </c>
      <c r="AD44" s="67">
        <v>0</v>
      </c>
      <c r="AE44" s="68">
        <v>0</v>
      </c>
      <c r="AF44" s="69">
        <v>2533777.3399</v>
      </c>
      <c r="AG44" s="70">
        <v>2634156.1015000003</v>
      </c>
      <c r="AH44" s="70">
        <f t="shared" si="11"/>
        <v>0</v>
      </c>
      <c r="AI44" s="70">
        <f t="shared" si="12"/>
        <v>0</v>
      </c>
      <c r="AJ44" s="70">
        <f t="shared" si="13"/>
        <v>0</v>
      </c>
      <c r="AK44" s="70">
        <f t="shared" si="14"/>
        <v>0</v>
      </c>
      <c r="AL44" s="70">
        <f t="shared" si="15"/>
        <v>2533564.0098000001</v>
      </c>
      <c r="AM44" s="70">
        <f t="shared" si="16"/>
        <v>2646640.7777173202</v>
      </c>
      <c r="AN44" s="70">
        <f t="shared" si="17"/>
        <v>2564488.02713806</v>
      </c>
      <c r="AO44" s="70">
        <f t="shared" si="18"/>
        <v>2586596.6442539203</v>
      </c>
    </row>
    <row r="45" spans="1:41">
      <c r="A45" s="29" t="s">
        <v>377</v>
      </c>
      <c r="B45" s="29" t="s">
        <v>659</v>
      </c>
      <c r="C45" s="107">
        <v>8128992.6600000001</v>
      </c>
      <c r="D45" s="108">
        <v>20467699</v>
      </c>
      <c r="F45" s="107">
        <v>7199723.7300000004</v>
      </c>
      <c r="G45" s="108">
        <v>22105114</v>
      </c>
      <c r="I45" s="64">
        <v>6043971.2000000002</v>
      </c>
      <c r="J45" s="83">
        <v>6734380.1079999991</v>
      </c>
      <c r="K45" s="66">
        <v>22105114</v>
      </c>
      <c r="L45" s="251">
        <v>23873524</v>
      </c>
      <c r="M45" s="63">
        <v>6732808.6094999993</v>
      </c>
      <c r="N45" s="64">
        <v>6609533.9997000014</v>
      </c>
      <c r="O45" s="65">
        <v>25520625.524999999</v>
      </c>
      <c r="P45" s="66">
        <v>25783405</v>
      </c>
      <c r="Q45" s="66">
        <f t="shared" si="3"/>
        <v>6627777.2088000011</v>
      </c>
      <c r="R45" s="63">
        <f t="shared" si="4"/>
        <v>6541065.6137600001</v>
      </c>
      <c r="S45" s="83">
        <f t="shared" si="5"/>
        <v>6733248.6290799994</v>
      </c>
      <c r="T45" s="64">
        <f t="shared" si="6"/>
        <v>6644050.8904440012</v>
      </c>
      <c r="U45" s="66">
        <f t="shared" si="7"/>
        <v>21329306.773000002</v>
      </c>
      <c r="V45" s="63">
        <f t="shared" si="8"/>
        <v>23035651.342</v>
      </c>
      <c r="W45" s="83">
        <f t="shared" si="9"/>
        <v>24740228.822454996</v>
      </c>
      <c r="X45" s="64">
        <f t="shared" si="10"/>
        <v>25658900.084744997</v>
      </c>
      <c r="Z45" s="67">
        <v>7199723.7300000004</v>
      </c>
      <c r="AA45" s="68">
        <v>7732797.1911999984</v>
      </c>
      <c r="AB45" s="69">
        <v>22105114</v>
      </c>
      <c r="AC45" s="70">
        <v>23873524</v>
      </c>
      <c r="AD45" s="67">
        <v>6732808.6094999993</v>
      </c>
      <c r="AE45" s="68">
        <v>6609533.9997000014</v>
      </c>
      <c r="AF45" s="69">
        <v>25520625.524999999</v>
      </c>
      <c r="AG45" s="70">
        <v>25783405</v>
      </c>
      <c r="AH45" s="70">
        <f t="shared" si="11"/>
        <v>7459919.0304000005</v>
      </c>
      <c r="AI45" s="70">
        <f t="shared" si="12"/>
        <v>7583536.6220639991</v>
      </c>
      <c r="AJ45" s="70">
        <f t="shared" si="13"/>
        <v>7012805.4123759996</v>
      </c>
      <c r="AK45" s="70">
        <f t="shared" si="14"/>
        <v>6644050.8904440012</v>
      </c>
      <c r="AL45" s="70">
        <f t="shared" si="15"/>
        <v>21329306.773000002</v>
      </c>
      <c r="AM45" s="70">
        <f t="shared" si="16"/>
        <v>23035651.342</v>
      </c>
      <c r="AN45" s="70">
        <f t="shared" si="17"/>
        <v>24740228.822454996</v>
      </c>
      <c r="AO45" s="70">
        <f t="shared" si="18"/>
        <v>25658900.084744997</v>
      </c>
    </row>
    <row r="46" spans="1:41">
      <c r="A46" s="29" t="s">
        <v>563</v>
      </c>
      <c r="B46" s="29" t="s">
        <v>660</v>
      </c>
      <c r="C46" s="107">
        <v>181853.41</v>
      </c>
      <c r="D46" s="108">
        <v>900000</v>
      </c>
      <c r="F46" s="107">
        <v>213710.26</v>
      </c>
      <c r="G46" s="108">
        <v>900000</v>
      </c>
      <c r="I46" s="64">
        <v>177575.55</v>
      </c>
      <c r="J46" s="83">
        <v>218911.66770000005</v>
      </c>
      <c r="K46" s="66">
        <v>900000</v>
      </c>
      <c r="L46" s="251">
        <v>900000</v>
      </c>
      <c r="M46" s="63">
        <v>226155.53429999994</v>
      </c>
      <c r="N46" s="64">
        <v>228970.64039999995</v>
      </c>
      <c r="O46" s="65">
        <v>900000</v>
      </c>
      <c r="P46" s="66">
        <v>900000</v>
      </c>
      <c r="Q46" s="66">
        <f t="shared" si="3"/>
        <v>178773.35080000001</v>
      </c>
      <c r="R46" s="63">
        <f t="shared" si="4"/>
        <v>207337.55474400005</v>
      </c>
      <c r="S46" s="83">
        <f t="shared" si="5"/>
        <v>224127.25165199995</v>
      </c>
      <c r="T46" s="64">
        <f t="shared" si="6"/>
        <v>228182.41069199995</v>
      </c>
      <c r="U46" s="66">
        <f t="shared" si="7"/>
        <v>900000</v>
      </c>
      <c r="V46" s="63">
        <f t="shared" si="8"/>
        <v>900000</v>
      </c>
      <c r="W46" s="83">
        <f t="shared" si="9"/>
        <v>900000</v>
      </c>
      <c r="X46" s="64">
        <f t="shared" si="10"/>
        <v>900000</v>
      </c>
      <c r="Z46" s="67">
        <v>213710.26</v>
      </c>
      <c r="AA46" s="68">
        <v>263407.73220000003</v>
      </c>
      <c r="AB46" s="69">
        <v>900000</v>
      </c>
      <c r="AC46" s="70">
        <v>900000</v>
      </c>
      <c r="AD46" s="67">
        <v>226155.53429999994</v>
      </c>
      <c r="AE46" s="68">
        <v>228970.64039999995</v>
      </c>
      <c r="AF46" s="69">
        <v>900000</v>
      </c>
      <c r="AG46" s="70">
        <v>900000</v>
      </c>
      <c r="AH46" s="70">
        <f t="shared" si="11"/>
        <v>204790.342</v>
      </c>
      <c r="AI46" s="70">
        <f t="shared" si="12"/>
        <v>249492.43998400003</v>
      </c>
      <c r="AJ46" s="70">
        <f t="shared" si="13"/>
        <v>236586.14971199995</v>
      </c>
      <c r="AK46" s="70">
        <f t="shared" si="14"/>
        <v>228182.41069199995</v>
      </c>
      <c r="AL46" s="70">
        <f t="shared" si="15"/>
        <v>900000</v>
      </c>
      <c r="AM46" s="70">
        <f t="shared" si="16"/>
        <v>900000</v>
      </c>
      <c r="AN46" s="70">
        <f t="shared" si="17"/>
        <v>900000</v>
      </c>
      <c r="AO46" s="70">
        <f t="shared" si="18"/>
        <v>900000</v>
      </c>
    </row>
    <row r="47" spans="1:41">
      <c r="A47" s="29" t="s">
        <v>529</v>
      </c>
      <c r="B47" s="29" t="s">
        <v>661</v>
      </c>
      <c r="C47" s="107">
        <v>714762.56</v>
      </c>
      <c r="D47" s="108">
        <v>2600000</v>
      </c>
      <c r="F47" s="107">
        <v>468022.55</v>
      </c>
      <c r="G47" s="108">
        <v>2750000</v>
      </c>
      <c r="I47" s="64">
        <v>452746.5</v>
      </c>
      <c r="J47" s="83">
        <v>681387.45559999987</v>
      </c>
      <c r="K47" s="66">
        <v>2750000</v>
      </c>
      <c r="L47" s="251">
        <v>2750000</v>
      </c>
      <c r="M47" s="63">
        <v>624947.31239999982</v>
      </c>
      <c r="N47" s="64">
        <v>575823.06089999992</v>
      </c>
      <c r="O47" s="65">
        <v>2750000</v>
      </c>
      <c r="P47" s="66">
        <v>2750000</v>
      </c>
      <c r="Q47" s="66">
        <f t="shared" si="3"/>
        <v>526110.99680000008</v>
      </c>
      <c r="R47" s="63">
        <f t="shared" si="4"/>
        <v>617367.98803199991</v>
      </c>
      <c r="S47" s="83">
        <f t="shared" si="5"/>
        <v>640750.55249599984</v>
      </c>
      <c r="T47" s="64">
        <f t="shared" si="6"/>
        <v>589577.8513199999</v>
      </c>
      <c r="U47" s="66">
        <f t="shared" si="7"/>
        <v>2678930</v>
      </c>
      <c r="V47" s="63">
        <f t="shared" si="8"/>
        <v>2750000</v>
      </c>
      <c r="W47" s="83">
        <f t="shared" si="9"/>
        <v>2750000</v>
      </c>
      <c r="X47" s="64">
        <f t="shared" si="10"/>
        <v>2750000</v>
      </c>
      <c r="Z47" s="67">
        <v>468022.55</v>
      </c>
      <c r="AA47" s="68">
        <v>681387.45559999987</v>
      </c>
      <c r="AB47" s="69">
        <v>2750000</v>
      </c>
      <c r="AC47" s="70">
        <v>2750000</v>
      </c>
      <c r="AD47" s="67">
        <v>624947.31239999982</v>
      </c>
      <c r="AE47" s="68">
        <v>575823.06089999992</v>
      </c>
      <c r="AF47" s="69">
        <v>2750000</v>
      </c>
      <c r="AG47" s="70">
        <v>2750000</v>
      </c>
      <c r="AH47" s="70">
        <f t="shared" si="11"/>
        <v>537109.75280000002</v>
      </c>
      <c r="AI47" s="70">
        <f t="shared" si="12"/>
        <v>621645.2820319999</v>
      </c>
      <c r="AJ47" s="70">
        <f t="shared" si="13"/>
        <v>640750.55249599984</v>
      </c>
      <c r="AK47" s="70">
        <f t="shared" si="14"/>
        <v>589577.8513199999</v>
      </c>
      <c r="AL47" s="70">
        <f t="shared" si="15"/>
        <v>2678930</v>
      </c>
      <c r="AM47" s="70">
        <f t="shared" si="16"/>
        <v>2750000</v>
      </c>
      <c r="AN47" s="70">
        <f t="shared" si="17"/>
        <v>2750000</v>
      </c>
      <c r="AO47" s="70">
        <f t="shared" si="18"/>
        <v>2750000</v>
      </c>
    </row>
    <row r="48" spans="1:41">
      <c r="A48" s="29" t="s">
        <v>571</v>
      </c>
      <c r="B48" s="29" t="s">
        <v>662</v>
      </c>
      <c r="C48" s="107">
        <v>21577.88</v>
      </c>
      <c r="D48" s="108">
        <v>398947</v>
      </c>
      <c r="F48" s="107">
        <v>25924.14</v>
      </c>
      <c r="G48" s="108">
        <v>398947</v>
      </c>
      <c r="I48" s="64">
        <v>0</v>
      </c>
      <c r="J48" s="83">
        <v>2876.3297999999554</v>
      </c>
      <c r="K48" s="66">
        <v>398947</v>
      </c>
      <c r="L48" s="251">
        <v>398947</v>
      </c>
      <c r="M48" s="63">
        <v>12961.998899999959</v>
      </c>
      <c r="N48" s="64">
        <v>15799.963200000026</v>
      </c>
      <c r="O48" s="65">
        <v>398947</v>
      </c>
      <c r="P48" s="66">
        <v>398947</v>
      </c>
      <c r="Q48" s="66">
        <f t="shared" si="3"/>
        <v>6041.8064000000013</v>
      </c>
      <c r="R48" s="63">
        <f t="shared" si="4"/>
        <v>2070.9574559999678</v>
      </c>
      <c r="S48" s="83">
        <f t="shared" si="5"/>
        <v>10138.011551999956</v>
      </c>
      <c r="T48" s="64">
        <f t="shared" si="6"/>
        <v>15005.333196000007</v>
      </c>
      <c r="U48" s="66">
        <f t="shared" si="7"/>
        <v>398947</v>
      </c>
      <c r="V48" s="63">
        <f t="shared" si="8"/>
        <v>398947</v>
      </c>
      <c r="W48" s="83">
        <f t="shared" si="9"/>
        <v>398947</v>
      </c>
      <c r="X48" s="64">
        <f t="shared" si="10"/>
        <v>398947</v>
      </c>
      <c r="Z48" s="67">
        <v>25924.14</v>
      </c>
      <c r="AA48" s="68">
        <v>27868.730099999964</v>
      </c>
      <c r="AB48" s="69">
        <v>398947</v>
      </c>
      <c r="AC48" s="70">
        <v>398947</v>
      </c>
      <c r="AD48" s="67">
        <v>12961.998899999959</v>
      </c>
      <c r="AE48" s="68">
        <v>15799.963200000026</v>
      </c>
      <c r="AF48" s="69">
        <v>398947</v>
      </c>
      <c r="AG48" s="70">
        <v>398947</v>
      </c>
      <c r="AH48" s="70">
        <f t="shared" si="11"/>
        <v>24707.1872</v>
      </c>
      <c r="AI48" s="70">
        <f t="shared" si="12"/>
        <v>27324.244871999974</v>
      </c>
      <c r="AJ48" s="70">
        <f t="shared" si="13"/>
        <v>17135.883635999962</v>
      </c>
      <c r="AK48" s="70">
        <f t="shared" si="14"/>
        <v>15005.333196000007</v>
      </c>
      <c r="AL48" s="70">
        <f t="shared" si="15"/>
        <v>398947</v>
      </c>
      <c r="AM48" s="70">
        <f t="shared" si="16"/>
        <v>398947</v>
      </c>
      <c r="AN48" s="70">
        <f t="shared" si="17"/>
        <v>398947</v>
      </c>
      <c r="AO48" s="70">
        <f t="shared" si="18"/>
        <v>398947</v>
      </c>
    </row>
    <row r="49" spans="1:41">
      <c r="A49" s="29" t="s">
        <v>499</v>
      </c>
      <c r="B49" s="29" t="s">
        <v>923</v>
      </c>
      <c r="C49" s="107">
        <v>0</v>
      </c>
      <c r="D49" s="108">
        <v>175000</v>
      </c>
      <c r="F49" s="107">
        <v>0</v>
      </c>
      <c r="G49" s="108">
        <v>175000</v>
      </c>
      <c r="I49" s="64">
        <v>0</v>
      </c>
      <c r="J49" s="83">
        <v>0</v>
      </c>
      <c r="K49" s="66">
        <v>175000</v>
      </c>
      <c r="L49" s="251">
        <v>175000</v>
      </c>
      <c r="M49" s="63">
        <v>0</v>
      </c>
      <c r="N49" s="64">
        <v>0</v>
      </c>
      <c r="O49" s="65">
        <v>175000</v>
      </c>
      <c r="P49" s="66">
        <v>175000</v>
      </c>
      <c r="Q49" s="66">
        <f t="shared" si="3"/>
        <v>0</v>
      </c>
      <c r="R49" s="63">
        <f t="shared" si="4"/>
        <v>0</v>
      </c>
      <c r="S49" s="83">
        <f t="shared" si="5"/>
        <v>0</v>
      </c>
      <c r="T49" s="64">
        <f t="shared" si="6"/>
        <v>0</v>
      </c>
      <c r="U49" s="66">
        <f t="shared" si="7"/>
        <v>175000</v>
      </c>
      <c r="V49" s="63">
        <f t="shared" si="8"/>
        <v>175000</v>
      </c>
      <c r="W49" s="83">
        <f t="shared" si="9"/>
        <v>175000</v>
      </c>
      <c r="X49" s="64">
        <f t="shared" si="10"/>
        <v>175000</v>
      </c>
      <c r="Z49" s="67">
        <v>0</v>
      </c>
      <c r="AA49" s="68">
        <v>0</v>
      </c>
      <c r="AB49" s="69">
        <v>175000</v>
      </c>
      <c r="AC49" s="70">
        <v>175000</v>
      </c>
      <c r="AD49" s="67">
        <v>0</v>
      </c>
      <c r="AE49" s="68">
        <v>0</v>
      </c>
      <c r="AF49" s="69">
        <v>175000</v>
      </c>
      <c r="AG49" s="70">
        <v>175000</v>
      </c>
      <c r="AH49" s="70">
        <f t="shared" si="11"/>
        <v>0</v>
      </c>
      <c r="AI49" s="70">
        <f t="shared" si="12"/>
        <v>0</v>
      </c>
      <c r="AJ49" s="70">
        <f t="shared" si="13"/>
        <v>0</v>
      </c>
      <c r="AK49" s="70">
        <f t="shared" si="14"/>
        <v>0</v>
      </c>
      <c r="AL49" s="70">
        <f t="shared" si="15"/>
        <v>175000</v>
      </c>
      <c r="AM49" s="70">
        <f t="shared" si="16"/>
        <v>175000</v>
      </c>
      <c r="AN49" s="70">
        <f t="shared" si="17"/>
        <v>175000</v>
      </c>
      <c r="AO49" s="70">
        <f t="shared" si="18"/>
        <v>175000</v>
      </c>
    </row>
    <row r="50" spans="1:41">
      <c r="A50" s="29" t="s">
        <v>533</v>
      </c>
      <c r="B50" s="29" t="s">
        <v>924</v>
      </c>
      <c r="C50" s="107">
        <v>0</v>
      </c>
      <c r="D50" s="108">
        <v>2500000</v>
      </c>
      <c r="F50" s="107">
        <v>0</v>
      </c>
      <c r="G50" s="108">
        <v>2006571</v>
      </c>
      <c r="I50" s="64">
        <v>0</v>
      </c>
      <c r="J50" s="83">
        <v>0</v>
      </c>
      <c r="K50" s="66">
        <v>2006571</v>
      </c>
      <c r="L50" s="251">
        <v>2015090.7865999998</v>
      </c>
      <c r="M50" s="63">
        <v>0</v>
      </c>
      <c r="N50" s="64">
        <v>0</v>
      </c>
      <c r="O50" s="65">
        <v>2084916.4607000002</v>
      </c>
      <c r="P50" s="66">
        <v>2167520.432</v>
      </c>
      <c r="Q50" s="66">
        <f t="shared" si="3"/>
        <v>0</v>
      </c>
      <c r="R50" s="63">
        <f t="shared" si="4"/>
        <v>0</v>
      </c>
      <c r="S50" s="83">
        <f t="shared" si="5"/>
        <v>0</v>
      </c>
      <c r="T50" s="64">
        <f t="shared" si="6"/>
        <v>0</v>
      </c>
      <c r="U50" s="66">
        <f t="shared" si="7"/>
        <v>2240357.6601999998</v>
      </c>
      <c r="V50" s="63">
        <f t="shared" si="8"/>
        <v>2011054.1117089198</v>
      </c>
      <c r="W50" s="83">
        <f t="shared" si="9"/>
        <v>2051833.0563114202</v>
      </c>
      <c r="X50" s="64">
        <f t="shared" si="10"/>
        <v>2128382.6703980602</v>
      </c>
      <c r="Z50" s="67">
        <v>0</v>
      </c>
      <c r="AA50" s="68">
        <v>0</v>
      </c>
      <c r="AB50" s="69">
        <v>2006571</v>
      </c>
      <c r="AC50" s="70">
        <v>2168753.6573999999</v>
      </c>
      <c r="AD50" s="67">
        <v>0</v>
      </c>
      <c r="AE50" s="68">
        <v>0</v>
      </c>
      <c r="AF50" s="69">
        <v>2084916.4607000002</v>
      </c>
      <c r="AG50" s="70">
        <v>2167520.432</v>
      </c>
      <c r="AH50" s="70">
        <f t="shared" si="11"/>
        <v>0</v>
      </c>
      <c r="AI50" s="70">
        <f t="shared" si="12"/>
        <v>0</v>
      </c>
      <c r="AJ50" s="70">
        <f t="shared" si="13"/>
        <v>0</v>
      </c>
      <c r="AK50" s="70">
        <f t="shared" si="14"/>
        <v>0</v>
      </c>
      <c r="AL50" s="70">
        <f t="shared" si="15"/>
        <v>2240357.6601999998</v>
      </c>
      <c r="AM50" s="70">
        <f t="shared" si="16"/>
        <v>2091911.51432388</v>
      </c>
      <c r="AN50" s="70">
        <f t="shared" si="17"/>
        <v>2124638.5244964603</v>
      </c>
      <c r="AO50" s="70">
        <f t="shared" si="18"/>
        <v>2128382.6703980602</v>
      </c>
    </row>
    <row r="51" spans="1:41">
      <c r="A51" s="29" t="s">
        <v>491</v>
      </c>
      <c r="B51" s="29" t="s">
        <v>663</v>
      </c>
      <c r="C51" s="107">
        <v>823070.17</v>
      </c>
      <c r="D51" s="108">
        <v>1687402</v>
      </c>
      <c r="F51" s="107">
        <v>866224.61</v>
      </c>
      <c r="G51" s="108">
        <v>1738024</v>
      </c>
      <c r="I51" s="64">
        <v>632105.17000000004</v>
      </c>
      <c r="J51" s="83">
        <v>614142.50555733335</v>
      </c>
      <c r="K51" s="66">
        <v>1738024</v>
      </c>
      <c r="L51" s="251">
        <v>1738024</v>
      </c>
      <c r="M51" s="63">
        <v>548476.50863999955</v>
      </c>
      <c r="N51" s="64">
        <v>580475.00627999986</v>
      </c>
      <c r="O51" s="65">
        <v>1738024</v>
      </c>
      <c r="P51" s="66">
        <v>1738024</v>
      </c>
      <c r="Q51" s="66">
        <f t="shared" si="3"/>
        <v>685575.37000000011</v>
      </c>
      <c r="R51" s="63">
        <f t="shared" si="4"/>
        <v>619172.05160127999</v>
      </c>
      <c r="S51" s="83">
        <f t="shared" si="5"/>
        <v>566862.98777685303</v>
      </c>
      <c r="T51" s="64">
        <f t="shared" si="6"/>
        <v>571515.42694079969</v>
      </c>
      <c r="U51" s="66">
        <f t="shared" si="7"/>
        <v>1714039.2963999999</v>
      </c>
      <c r="V51" s="63">
        <f t="shared" si="8"/>
        <v>1738024</v>
      </c>
      <c r="W51" s="83">
        <f t="shared" si="9"/>
        <v>1738024</v>
      </c>
      <c r="X51" s="64">
        <f t="shared" si="10"/>
        <v>1738024</v>
      </c>
      <c r="Z51" s="67">
        <v>866224.61</v>
      </c>
      <c r="AA51" s="68">
        <v>884949.52115200006</v>
      </c>
      <c r="AB51" s="69">
        <v>1738024</v>
      </c>
      <c r="AC51" s="70">
        <v>1738024</v>
      </c>
      <c r="AD51" s="67">
        <v>548476.50863999955</v>
      </c>
      <c r="AE51" s="68">
        <v>580475.00627999986</v>
      </c>
      <c r="AF51" s="69">
        <v>1738024</v>
      </c>
      <c r="AG51" s="70">
        <v>1738024</v>
      </c>
      <c r="AH51" s="70">
        <f t="shared" si="11"/>
        <v>854141.36679999996</v>
      </c>
      <c r="AI51" s="70">
        <f t="shared" si="12"/>
        <v>879706.54602944013</v>
      </c>
      <c r="AJ51" s="70">
        <f t="shared" si="13"/>
        <v>642688.9521433597</v>
      </c>
      <c r="AK51" s="70">
        <f t="shared" si="14"/>
        <v>571515.42694079969</v>
      </c>
      <c r="AL51" s="70">
        <f t="shared" si="15"/>
        <v>1714039.2963999999</v>
      </c>
      <c r="AM51" s="70">
        <f t="shared" si="16"/>
        <v>1738024</v>
      </c>
      <c r="AN51" s="70">
        <f t="shared" si="17"/>
        <v>1738024</v>
      </c>
      <c r="AO51" s="70">
        <f t="shared" si="18"/>
        <v>1738024</v>
      </c>
    </row>
    <row r="52" spans="1:41">
      <c r="A52" s="29" t="s">
        <v>401</v>
      </c>
      <c r="B52" s="29" t="s">
        <v>664</v>
      </c>
      <c r="C52" s="107">
        <v>0</v>
      </c>
      <c r="D52" s="108">
        <v>1329290</v>
      </c>
      <c r="F52" s="107">
        <v>0</v>
      </c>
      <c r="G52" s="108">
        <v>1395300</v>
      </c>
      <c r="I52" s="64">
        <v>0</v>
      </c>
      <c r="J52" s="83">
        <v>0</v>
      </c>
      <c r="K52" s="66">
        <v>1395300</v>
      </c>
      <c r="L52" s="251">
        <v>1439905.7319999998</v>
      </c>
      <c r="M52" s="63">
        <v>0</v>
      </c>
      <c r="N52" s="64">
        <v>0</v>
      </c>
      <c r="O52" s="65">
        <v>1489805.4679</v>
      </c>
      <c r="P52" s="66">
        <v>1500000</v>
      </c>
      <c r="Q52" s="66">
        <f t="shared" si="3"/>
        <v>0</v>
      </c>
      <c r="R52" s="63">
        <f t="shared" si="4"/>
        <v>0</v>
      </c>
      <c r="S52" s="83">
        <f t="shared" si="5"/>
        <v>0</v>
      </c>
      <c r="T52" s="64">
        <f t="shared" si="6"/>
        <v>0</v>
      </c>
      <c r="U52" s="66">
        <f t="shared" si="7"/>
        <v>1364024.4619999998</v>
      </c>
      <c r="V52" s="63">
        <f t="shared" si="8"/>
        <v>1418771.5361783998</v>
      </c>
      <c r="W52" s="83">
        <f t="shared" si="9"/>
        <v>1466162.97303058</v>
      </c>
      <c r="X52" s="64">
        <f t="shared" si="10"/>
        <v>1495169.83069102</v>
      </c>
      <c r="Z52" s="67">
        <v>0</v>
      </c>
      <c r="AA52" s="68">
        <v>0</v>
      </c>
      <c r="AB52" s="69">
        <v>1395300</v>
      </c>
      <c r="AC52" s="70">
        <v>1465065.2204</v>
      </c>
      <c r="AD52" s="67">
        <v>0</v>
      </c>
      <c r="AE52" s="68">
        <v>0</v>
      </c>
      <c r="AF52" s="69">
        <v>1489805.4679</v>
      </c>
      <c r="AG52" s="70">
        <v>1500000</v>
      </c>
      <c r="AH52" s="70">
        <f t="shared" si="11"/>
        <v>0</v>
      </c>
      <c r="AI52" s="70">
        <f t="shared" si="12"/>
        <v>0</v>
      </c>
      <c r="AJ52" s="70">
        <f t="shared" si="13"/>
        <v>0</v>
      </c>
      <c r="AK52" s="70">
        <f t="shared" si="14"/>
        <v>0</v>
      </c>
      <c r="AL52" s="70">
        <f t="shared" si="15"/>
        <v>1364024.4619999998</v>
      </c>
      <c r="AM52" s="70">
        <f t="shared" si="16"/>
        <v>1432010.4589744802</v>
      </c>
      <c r="AN52" s="70">
        <f t="shared" si="17"/>
        <v>1478083.5386345</v>
      </c>
      <c r="AO52" s="70">
        <f t="shared" si="18"/>
        <v>1495169.83069102</v>
      </c>
    </row>
    <row r="53" spans="1:41">
      <c r="A53" s="29" t="s">
        <v>411</v>
      </c>
      <c r="B53" s="29" t="s">
        <v>665</v>
      </c>
      <c r="C53" s="107">
        <v>0</v>
      </c>
      <c r="D53" s="108">
        <v>1075000</v>
      </c>
      <c r="F53" s="107">
        <v>0</v>
      </c>
      <c r="G53" s="108">
        <v>1014000</v>
      </c>
      <c r="I53" s="64">
        <v>0</v>
      </c>
      <c r="J53" s="83">
        <v>0</v>
      </c>
      <c r="K53" s="66">
        <v>1014000</v>
      </c>
      <c r="L53" s="251">
        <v>1164000</v>
      </c>
      <c r="M53" s="63">
        <v>0</v>
      </c>
      <c r="N53" s="64">
        <v>0</v>
      </c>
      <c r="O53" s="65">
        <v>1164000</v>
      </c>
      <c r="P53" s="66">
        <v>1164000</v>
      </c>
      <c r="Q53" s="66">
        <f t="shared" si="3"/>
        <v>0</v>
      </c>
      <c r="R53" s="63">
        <f t="shared" si="4"/>
        <v>0</v>
      </c>
      <c r="S53" s="83">
        <f t="shared" si="5"/>
        <v>0</v>
      </c>
      <c r="T53" s="64">
        <f t="shared" si="6"/>
        <v>0</v>
      </c>
      <c r="U53" s="66">
        <f t="shared" si="7"/>
        <v>1042901.8</v>
      </c>
      <c r="V53" s="63">
        <f t="shared" si="8"/>
        <v>1092930</v>
      </c>
      <c r="W53" s="83">
        <f t="shared" si="9"/>
        <v>1164000</v>
      </c>
      <c r="X53" s="64">
        <f t="shared" si="10"/>
        <v>1164000</v>
      </c>
      <c r="Z53" s="67">
        <v>0</v>
      </c>
      <c r="AA53" s="68">
        <v>0</v>
      </c>
      <c r="AB53" s="69">
        <v>1014000</v>
      </c>
      <c r="AC53" s="70">
        <v>1164000</v>
      </c>
      <c r="AD53" s="67">
        <v>0</v>
      </c>
      <c r="AE53" s="68">
        <v>0</v>
      </c>
      <c r="AF53" s="69">
        <v>1164000</v>
      </c>
      <c r="AG53" s="70">
        <v>1164000</v>
      </c>
      <c r="AH53" s="70">
        <f t="shared" si="11"/>
        <v>0</v>
      </c>
      <c r="AI53" s="70">
        <f t="shared" si="12"/>
        <v>0</v>
      </c>
      <c r="AJ53" s="70">
        <f t="shared" si="13"/>
        <v>0</v>
      </c>
      <c r="AK53" s="70">
        <f t="shared" si="14"/>
        <v>0</v>
      </c>
      <c r="AL53" s="70">
        <f t="shared" si="15"/>
        <v>1042901.8</v>
      </c>
      <c r="AM53" s="70">
        <f t="shared" si="16"/>
        <v>1092930</v>
      </c>
      <c r="AN53" s="70">
        <f t="shared" si="17"/>
        <v>1164000</v>
      </c>
      <c r="AO53" s="70">
        <f t="shared" si="18"/>
        <v>1164000</v>
      </c>
    </row>
    <row r="54" spans="1:41">
      <c r="A54" s="29" t="s">
        <v>157</v>
      </c>
      <c r="B54" s="29" t="s">
        <v>666</v>
      </c>
      <c r="C54" s="107">
        <v>126123.63</v>
      </c>
      <c r="D54" s="108">
        <v>593758</v>
      </c>
      <c r="F54" s="107">
        <v>107475.06</v>
      </c>
      <c r="G54" s="108">
        <v>624150</v>
      </c>
      <c r="I54" s="64">
        <v>89170.87</v>
      </c>
      <c r="J54" s="83">
        <v>296262.62680000003</v>
      </c>
      <c r="K54" s="66">
        <v>624150</v>
      </c>
      <c r="L54" s="251">
        <v>655991.86750000005</v>
      </c>
      <c r="M54" s="63">
        <v>287333.39879999991</v>
      </c>
      <c r="N54" s="64">
        <v>288236.01089999999</v>
      </c>
      <c r="O54" s="65">
        <v>682821</v>
      </c>
      <c r="P54" s="66">
        <v>682821</v>
      </c>
      <c r="Q54" s="66">
        <f t="shared" si="3"/>
        <v>99517.642800000001</v>
      </c>
      <c r="R54" s="63">
        <f t="shared" si="4"/>
        <v>238276.93489599999</v>
      </c>
      <c r="S54" s="83">
        <f t="shared" si="5"/>
        <v>289833.58263999992</v>
      </c>
      <c r="T54" s="64">
        <f t="shared" si="6"/>
        <v>287983.27951199998</v>
      </c>
      <c r="U54" s="66">
        <f t="shared" si="7"/>
        <v>609750.27040000004</v>
      </c>
      <c r="V54" s="63">
        <f t="shared" si="8"/>
        <v>640905.1906785001</v>
      </c>
      <c r="W54" s="83">
        <f t="shared" si="9"/>
        <v>670109.35702150001</v>
      </c>
      <c r="X54" s="64">
        <f t="shared" si="10"/>
        <v>682821</v>
      </c>
      <c r="Z54" s="67">
        <v>107475.06</v>
      </c>
      <c r="AA54" s="68">
        <v>296262.62680000003</v>
      </c>
      <c r="AB54" s="69">
        <v>624150</v>
      </c>
      <c r="AC54" s="70">
        <v>655991.86750000005</v>
      </c>
      <c r="AD54" s="67">
        <v>287333.39879999991</v>
      </c>
      <c r="AE54" s="68">
        <v>288236.01089999999</v>
      </c>
      <c r="AF54" s="69">
        <v>682821</v>
      </c>
      <c r="AG54" s="70">
        <v>682821</v>
      </c>
      <c r="AH54" s="70">
        <f t="shared" si="11"/>
        <v>112696.65960000001</v>
      </c>
      <c r="AI54" s="70">
        <f t="shared" si="12"/>
        <v>243402.10809600001</v>
      </c>
      <c r="AJ54" s="70">
        <f t="shared" si="13"/>
        <v>289833.58263999992</v>
      </c>
      <c r="AK54" s="70">
        <f t="shared" si="14"/>
        <v>287983.27951199998</v>
      </c>
      <c r="AL54" s="70">
        <f t="shared" si="15"/>
        <v>609750.27040000004</v>
      </c>
      <c r="AM54" s="70">
        <f t="shared" si="16"/>
        <v>640905.1906785001</v>
      </c>
      <c r="AN54" s="70">
        <f t="shared" si="17"/>
        <v>670109.35702150001</v>
      </c>
      <c r="AO54" s="70">
        <f t="shared" si="18"/>
        <v>682821</v>
      </c>
    </row>
    <row r="55" spans="1:41">
      <c r="A55" s="29" t="s">
        <v>127</v>
      </c>
      <c r="B55" s="29" t="s">
        <v>925</v>
      </c>
      <c r="C55" s="107">
        <v>11465.58</v>
      </c>
      <c r="D55" s="108">
        <v>366318</v>
      </c>
      <c r="F55" s="107">
        <v>8681.2999999999993</v>
      </c>
      <c r="G55" s="108">
        <v>366318</v>
      </c>
      <c r="I55" s="64">
        <v>0</v>
      </c>
      <c r="J55" s="83">
        <v>11683.123999999998</v>
      </c>
      <c r="K55" s="66">
        <v>366318</v>
      </c>
      <c r="L55" s="251">
        <v>366318</v>
      </c>
      <c r="M55" s="63">
        <v>11810.001047999995</v>
      </c>
      <c r="N55" s="64">
        <v>20716.250478000027</v>
      </c>
      <c r="O55" s="65">
        <v>366318</v>
      </c>
      <c r="P55" s="66">
        <v>366318</v>
      </c>
      <c r="Q55" s="66">
        <f t="shared" si="3"/>
        <v>3210.3624000000004</v>
      </c>
      <c r="R55" s="63">
        <f t="shared" si="4"/>
        <v>8411.8492799999985</v>
      </c>
      <c r="S55" s="83">
        <f t="shared" si="5"/>
        <v>11774.475474559995</v>
      </c>
      <c r="T55" s="64">
        <f t="shared" si="6"/>
        <v>18222.500637600016</v>
      </c>
      <c r="U55" s="66">
        <f t="shared" si="7"/>
        <v>366318</v>
      </c>
      <c r="V55" s="63">
        <f t="shared" si="8"/>
        <v>366318</v>
      </c>
      <c r="W55" s="83">
        <f t="shared" si="9"/>
        <v>366318</v>
      </c>
      <c r="X55" s="64">
        <f t="shared" si="10"/>
        <v>366318</v>
      </c>
      <c r="Z55" s="67">
        <v>8681.2999999999993</v>
      </c>
      <c r="AA55" s="68">
        <v>31204.551100000001</v>
      </c>
      <c r="AB55" s="69">
        <v>366318</v>
      </c>
      <c r="AC55" s="70">
        <v>366318</v>
      </c>
      <c r="AD55" s="67">
        <v>11810.001047999995</v>
      </c>
      <c r="AE55" s="68">
        <v>20716.250478000027</v>
      </c>
      <c r="AF55" s="69">
        <v>366318</v>
      </c>
      <c r="AG55" s="70">
        <v>366318</v>
      </c>
      <c r="AH55" s="70">
        <f t="shared" si="11"/>
        <v>9460.8984</v>
      </c>
      <c r="AI55" s="70">
        <f t="shared" si="12"/>
        <v>24898.040792</v>
      </c>
      <c r="AJ55" s="70">
        <f t="shared" si="13"/>
        <v>17240.475062559999</v>
      </c>
      <c r="AK55" s="70">
        <f t="shared" si="14"/>
        <v>18222.500637600016</v>
      </c>
      <c r="AL55" s="70">
        <f t="shared" si="15"/>
        <v>366318</v>
      </c>
      <c r="AM55" s="70">
        <f t="shared" si="16"/>
        <v>366318</v>
      </c>
      <c r="AN55" s="70">
        <f t="shared" si="17"/>
        <v>366318</v>
      </c>
      <c r="AO55" s="70">
        <f t="shared" si="18"/>
        <v>366318</v>
      </c>
    </row>
    <row r="56" spans="1:41">
      <c r="A56" s="29" t="s">
        <v>169</v>
      </c>
      <c r="B56" s="29" t="s">
        <v>667</v>
      </c>
      <c r="C56" s="107">
        <v>0</v>
      </c>
      <c r="D56" s="108">
        <v>2440000</v>
      </c>
      <c r="F56" s="107">
        <v>0</v>
      </c>
      <c r="G56" s="108">
        <v>2440000</v>
      </c>
      <c r="I56" s="64">
        <v>0</v>
      </c>
      <c r="J56" s="83">
        <v>0</v>
      </c>
      <c r="K56" s="66">
        <v>2440000</v>
      </c>
      <c r="L56" s="251">
        <v>2440000</v>
      </c>
      <c r="M56" s="63">
        <v>0</v>
      </c>
      <c r="N56" s="64">
        <v>0</v>
      </c>
      <c r="O56" s="65">
        <v>2440000</v>
      </c>
      <c r="P56" s="66">
        <v>2440000</v>
      </c>
      <c r="Q56" s="66">
        <f t="shared" si="3"/>
        <v>0</v>
      </c>
      <c r="R56" s="63">
        <f t="shared" si="4"/>
        <v>0</v>
      </c>
      <c r="S56" s="83">
        <f t="shared" si="5"/>
        <v>0</v>
      </c>
      <c r="T56" s="64">
        <f t="shared" si="6"/>
        <v>0</v>
      </c>
      <c r="U56" s="66">
        <f t="shared" si="7"/>
        <v>2440000</v>
      </c>
      <c r="V56" s="63">
        <f t="shared" si="8"/>
        <v>2440000</v>
      </c>
      <c r="W56" s="83">
        <f t="shared" si="9"/>
        <v>2440000</v>
      </c>
      <c r="X56" s="64">
        <f t="shared" si="10"/>
        <v>2440000</v>
      </c>
      <c r="Z56" s="67">
        <v>0</v>
      </c>
      <c r="AA56" s="68">
        <v>0</v>
      </c>
      <c r="AB56" s="69">
        <v>2440000</v>
      </c>
      <c r="AC56" s="70">
        <v>2440000</v>
      </c>
      <c r="AD56" s="67">
        <v>0</v>
      </c>
      <c r="AE56" s="68">
        <v>0</v>
      </c>
      <c r="AF56" s="69">
        <v>2440000</v>
      </c>
      <c r="AG56" s="70">
        <v>2440000</v>
      </c>
      <c r="AH56" s="70">
        <f t="shared" si="11"/>
        <v>0</v>
      </c>
      <c r="AI56" s="70">
        <f t="shared" si="12"/>
        <v>0</v>
      </c>
      <c r="AJ56" s="70">
        <f t="shared" si="13"/>
        <v>0</v>
      </c>
      <c r="AK56" s="70">
        <f t="shared" si="14"/>
        <v>0</v>
      </c>
      <c r="AL56" s="70">
        <f t="shared" si="15"/>
        <v>2440000</v>
      </c>
      <c r="AM56" s="70">
        <f t="shared" si="16"/>
        <v>2440000</v>
      </c>
      <c r="AN56" s="70">
        <f t="shared" si="17"/>
        <v>2440000</v>
      </c>
      <c r="AO56" s="70">
        <f t="shared" si="18"/>
        <v>2440000</v>
      </c>
    </row>
    <row r="57" spans="1:41">
      <c r="A57" s="29" t="s">
        <v>45</v>
      </c>
      <c r="B57" s="29" t="s">
        <v>906</v>
      </c>
      <c r="C57" s="107">
        <v>0</v>
      </c>
      <c r="D57" s="108">
        <v>520000</v>
      </c>
      <c r="F57" s="107">
        <v>0</v>
      </c>
      <c r="G57" s="108">
        <v>521367.52</v>
      </c>
      <c r="I57" s="64">
        <v>0</v>
      </c>
      <c r="J57" s="83">
        <v>0</v>
      </c>
      <c r="K57" s="66">
        <v>521367.52</v>
      </c>
      <c r="L57" s="251">
        <v>520000</v>
      </c>
      <c r="M57" s="63">
        <v>0</v>
      </c>
      <c r="N57" s="64">
        <v>0</v>
      </c>
      <c r="O57" s="65">
        <v>520000</v>
      </c>
      <c r="P57" s="66">
        <v>520000</v>
      </c>
      <c r="Q57" s="66">
        <f t="shared" si="3"/>
        <v>0</v>
      </c>
      <c r="R57" s="63">
        <f t="shared" si="4"/>
        <v>0</v>
      </c>
      <c r="S57" s="83">
        <f t="shared" si="5"/>
        <v>0</v>
      </c>
      <c r="T57" s="64">
        <f t="shared" si="6"/>
        <v>0</v>
      </c>
      <c r="U57" s="66">
        <f t="shared" si="7"/>
        <v>520719.58902399999</v>
      </c>
      <c r="V57" s="63">
        <f t="shared" si="8"/>
        <v>520647.93097600003</v>
      </c>
      <c r="W57" s="83">
        <f t="shared" si="9"/>
        <v>520000</v>
      </c>
      <c r="X57" s="64">
        <f t="shared" si="10"/>
        <v>520000</v>
      </c>
      <c r="Z57" s="67">
        <v>0</v>
      </c>
      <c r="AA57" s="68">
        <v>0</v>
      </c>
      <c r="AB57" s="69">
        <v>521367.52</v>
      </c>
      <c r="AC57" s="70">
        <v>520000</v>
      </c>
      <c r="AD57" s="67">
        <v>0</v>
      </c>
      <c r="AE57" s="68">
        <v>0</v>
      </c>
      <c r="AF57" s="69">
        <v>520000</v>
      </c>
      <c r="AG57" s="70">
        <v>520000</v>
      </c>
      <c r="AH57" s="70">
        <f t="shared" si="11"/>
        <v>0</v>
      </c>
      <c r="AI57" s="70">
        <f t="shared" si="12"/>
        <v>0</v>
      </c>
      <c r="AJ57" s="70">
        <f t="shared" si="13"/>
        <v>0</v>
      </c>
      <c r="AK57" s="70">
        <f t="shared" si="14"/>
        <v>0</v>
      </c>
      <c r="AL57" s="70">
        <f t="shared" si="15"/>
        <v>520719.58902399999</v>
      </c>
      <c r="AM57" s="70">
        <f t="shared" si="16"/>
        <v>520647.93097600003</v>
      </c>
      <c r="AN57" s="70">
        <f t="shared" si="17"/>
        <v>520000</v>
      </c>
      <c r="AO57" s="70">
        <f t="shared" si="18"/>
        <v>520000</v>
      </c>
    </row>
    <row r="58" spans="1:41">
      <c r="A58" s="29" t="s">
        <v>303</v>
      </c>
      <c r="B58" s="29" t="s">
        <v>668</v>
      </c>
      <c r="C58" s="107">
        <v>0</v>
      </c>
      <c r="D58" s="108">
        <v>240000</v>
      </c>
      <c r="F58" s="107">
        <v>0</v>
      </c>
      <c r="G58" s="108">
        <v>240000</v>
      </c>
      <c r="I58" s="64">
        <v>0</v>
      </c>
      <c r="J58" s="83">
        <v>0</v>
      </c>
      <c r="K58" s="66">
        <v>240000</v>
      </c>
      <c r="L58" s="251">
        <v>240000</v>
      </c>
      <c r="M58" s="63">
        <v>0</v>
      </c>
      <c r="N58" s="64">
        <v>0</v>
      </c>
      <c r="O58" s="65">
        <v>240000</v>
      </c>
      <c r="P58" s="66">
        <v>240000</v>
      </c>
      <c r="Q58" s="66">
        <f t="shared" si="3"/>
        <v>0</v>
      </c>
      <c r="R58" s="63">
        <f t="shared" si="4"/>
        <v>0</v>
      </c>
      <c r="S58" s="83">
        <f t="shared" si="5"/>
        <v>0</v>
      </c>
      <c r="T58" s="64">
        <f t="shared" si="6"/>
        <v>0</v>
      </c>
      <c r="U58" s="66">
        <f t="shared" si="7"/>
        <v>240000</v>
      </c>
      <c r="V58" s="63">
        <f t="shared" si="8"/>
        <v>240000</v>
      </c>
      <c r="W58" s="83">
        <f t="shared" si="9"/>
        <v>240000</v>
      </c>
      <c r="X58" s="64">
        <f t="shared" si="10"/>
        <v>240000</v>
      </c>
      <c r="Z58" s="67">
        <v>0</v>
      </c>
      <c r="AA58" s="68">
        <v>0</v>
      </c>
      <c r="AB58" s="69">
        <v>240000</v>
      </c>
      <c r="AC58" s="70">
        <v>240000</v>
      </c>
      <c r="AD58" s="67">
        <v>0</v>
      </c>
      <c r="AE58" s="68">
        <v>0</v>
      </c>
      <c r="AF58" s="69">
        <v>240000</v>
      </c>
      <c r="AG58" s="70">
        <v>240000</v>
      </c>
      <c r="AH58" s="70">
        <f t="shared" si="11"/>
        <v>0</v>
      </c>
      <c r="AI58" s="70">
        <f t="shared" si="12"/>
        <v>0</v>
      </c>
      <c r="AJ58" s="70">
        <f t="shared" si="13"/>
        <v>0</v>
      </c>
      <c r="AK58" s="70">
        <f t="shared" si="14"/>
        <v>0</v>
      </c>
      <c r="AL58" s="70">
        <f t="shared" si="15"/>
        <v>240000</v>
      </c>
      <c r="AM58" s="70">
        <f t="shared" si="16"/>
        <v>240000</v>
      </c>
      <c r="AN58" s="70">
        <f t="shared" si="17"/>
        <v>240000</v>
      </c>
      <c r="AO58" s="70">
        <f t="shared" si="18"/>
        <v>240000</v>
      </c>
    </row>
    <row r="59" spans="1:41">
      <c r="A59" s="29" t="s">
        <v>103</v>
      </c>
      <c r="B59" s="29" t="s">
        <v>669</v>
      </c>
      <c r="C59" s="107">
        <v>206134.55</v>
      </c>
      <c r="D59" s="108">
        <v>195000</v>
      </c>
      <c r="F59" s="107">
        <v>269189.49</v>
      </c>
      <c r="G59" s="108">
        <v>200000</v>
      </c>
      <c r="I59" s="64">
        <v>269189.49</v>
      </c>
      <c r="J59" s="83">
        <v>295803.92196000007</v>
      </c>
      <c r="K59" s="66">
        <v>200000</v>
      </c>
      <c r="L59" s="251">
        <v>200000</v>
      </c>
      <c r="M59" s="63">
        <v>296571.26570999995</v>
      </c>
      <c r="N59" s="64">
        <v>312099.70035999996</v>
      </c>
      <c r="O59" s="65">
        <v>200000</v>
      </c>
      <c r="P59" s="66">
        <v>200000</v>
      </c>
      <c r="Q59" s="66">
        <f t="shared" si="3"/>
        <v>251534.10679999998</v>
      </c>
      <c r="R59" s="63">
        <f t="shared" si="4"/>
        <v>288351.88101120002</v>
      </c>
      <c r="S59" s="83">
        <f t="shared" si="5"/>
        <v>296356.40946</v>
      </c>
      <c r="T59" s="64">
        <f t="shared" si="6"/>
        <v>307751.73865799996</v>
      </c>
      <c r="U59" s="66">
        <f t="shared" si="7"/>
        <v>197631</v>
      </c>
      <c r="V59" s="63">
        <f t="shared" si="8"/>
        <v>200000</v>
      </c>
      <c r="W59" s="83">
        <f t="shared" si="9"/>
        <v>200000</v>
      </c>
      <c r="X59" s="64">
        <f t="shared" si="10"/>
        <v>200000</v>
      </c>
      <c r="Z59" s="67">
        <v>269189.49</v>
      </c>
      <c r="AA59" s="68">
        <v>295803.92196000007</v>
      </c>
      <c r="AB59" s="69">
        <v>200000</v>
      </c>
      <c r="AC59" s="70">
        <v>200000</v>
      </c>
      <c r="AD59" s="67">
        <v>296571.26570999995</v>
      </c>
      <c r="AE59" s="68">
        <v>312099.70035999996</v>
      </c>
      <c r="AF59" s="69">
        <v>200000</v>
      </c>
      <c r="AG59" s="70">
        <v>200000</v>
      </c>
      <c r="AH59" s="70">
        <f t="shared" si="11"/>
        <v>251534.10679999998</v>
      </c>
      <c r="AI59" s="70">
        <f t="shared" si="12"/>
        <v>288351.88101120002</v>
      </c>
      <c r="AJ59" s="70">
        <f t="shared" si="13"/>
        <v>296356.40946</v>
      </c>
      <c r="AK59" s="70">
        <f t="shared" si="14"/>
        <v>307751.73865799996</v>
      </c>
      <c r="AL59" s="70">
        <f t="shared" si="15"/>
        <v>197631</v>
      </c>
      <c r="AM59" s="70">
        <f t="shared" si="16"/>
        <v>200000</v>
      </c>
      <c r="AN59" s="70">
        <f t="shared" si="17"/>
        <v>200000</v>
      </c>
      <c r="AO59" s="70">
        <f t="shared" si="18"/>
        <v>200000</v>
      </c>
    </row>
    <row r="60" spans="1:41">
      <c r="A60" s="29" t="s">
        <v>357</v>
      </c>
      <c r="B60" s="29" t="s">
        <v>670</v>
      </c>
      <c r="C60" s="107">
        <v>0</v>
      </c>
      <c r="D60" s="108">
        <v>495000</v>
      </c>
      <c r="F60" s="107">
        <v>0</v>
      </c>
      <c r="G60" s="108">
        <v>495000</v>
      </c>
      <c r="I60" s="64">
        <v>0</v>
      </c>
      <c r="J60" s="83">
        <v>11593.727399999994</v>
      </c>
      <c r="K60" s="66">
        <v>495000</v>
      </c>
      <c r="L60" s="251">
        <v>495000</v>
      </c>
      <c r="M60" s="63">
        <v>18912.055651999941</v>
      </c>
      <c r="N60" s="64">
        <v>38586.333320000042</v>
      </c>
      <c r="O60" s="65">
        <v>495000</v>
      </c>
      <c r="P60" s="66">
        <v>495000</v>
      </c>
      <c r="Q60" s="66">
        <f t="shared" si="3"/>
        <v>0</v>
      </c>
      <c r="R60" s="63">
        <f t="shared" si="4"/>
        <v>8347.4837279999956</v>
      </c>
      <c r="S60" s="83">
        <f t="shared" si="5"/>
        <v>16862.923741439954</v>
      </c>
      <c r="T60" s="64">
        <f t="shared" si="6"/>
        <v>33077.535572960012</v>
      </c>
      <c r="U60" s="66">
        <f t="shared" si="7"/>
        <v>495000</v>
      </c>
      <c r="V60" s="63">
        <f t="shared" si="8"/>
        <v>495000</v>
      </c>
      <c r="W60" s="83">
        <f t="shared" si="9"/>
        <v>495000</v>
      </c>
      <c r="X60" s="64">
        <f t="shared" si="10"/>
        <v>495000</v>
      </c>
      <c r="Z60" s="67">
        <v>0</v>
      </c>
      <c r="AA60" s="68">
        <v>11593.727399999994</v>
      </c>
      <c r="AB60" s="69">
        <v>495000</v>
      </c>
      <c r="AC60" s="70">
        <v>495000</v>
      </c>
      <c r="AD60" s="67">
        <v>18912.055651999941</v>
      </c>
      <c r="AE60" s="68">
        <v>38586.333320000042</v>
      </c>
      <c r="AF60" s="69">
        <v>495000</v>
      </c>
      <c r="AG60" s="70">
        <v>495000</v>
      </c>
      <c r="AH60" s="70">
        <f t="shared" si="11"/>
        <v>0</v>
      </c>
      <c r="AI60" s="70">
        <f t="shared" si="12"/>
        <v>8347.4837279999956</v>
      </c>
      <c r="AJ60" s="70">
        <f t="shared" si="13"/>
        <v>16862.923741439954</v>
      </c>
      <c r="AK60" s="70">
        <f t="shared" si="14"/>
        <v>33077.535572960012</v>
      </c>
      <c r="AL60" s="70">
        <f t="shared" si="15"/>
        <v>495000</v>
      </c>
      <c r="AM60" s="70">
        <f t="shared" si="16"/>
        <v>495000</v>
      </c>
      <c r="AN60" s="70">
        <f t="shared" si="17"/>
        <v>495000</v>
      </c>
      <c r="AO60" s="70">
        <f t="shared" si="18"/>
        <v>495000</v>
      </c>
    </row>
    <row r="61" spans="1:41">
      <c r="A61" s="29" t="s">
        <v>239</v>
      </c>
      <c r="B61" s="29" t="s">
        <v>895</v>
      </c>
      <c r="C61" s="107">
        <v>0</v>
      </c>
      <c r="D61" s="108">
        <v>85000</v>
      </c>
      <c r="F61" s="107">
        <v>0</v>
      </c>
      <c r="G61" s="108">
        <v>85000</v>
      </c>
      <c r="I61" s="64">
        <v>0</v>
      </c>
      <c r="J61" s="83">
        <v>0</v>
      </c>
      <c r="K61" s="66">
        <v>85000</v>
      </c>
      <c r="L61" s="251">
        <v>85000</v>
      </c>
      <c r="M61" s="63">
        <v>0</v>
      </c>
      <c r="N61" s="64">
        <v>0</v>
      </c>
      <c r="O61" s="65">
        <v>85000</v>
      </c>
      <c r="P61" s="66">
        <v>85000</v>
      </c>
      <c r="Q61" s="66">
        <f t="shared" si="3"/>
        <v>0</v>
      </c>
      <c r="R61" s="63">
        <f t="shared" si="4"/>
        <v>0</v>
      </c>
      <c r="S61" s="83">
        <f t="shared" si="5"/>
        <v>0</v>
      </c>
      <c r="T61" s="64">
        <f t="shared" si="6"/>
        <v>0</v>
      </c>
      <c r="U61" s="66">
        <f t="shared" si="7"/>
        <v>85000</v>
      </c>
      <c r="V61" s="63">
        <f t="shared" si="8"/>
        <v>85000</v>
      </c>
      <c r="W61" s="83">
        <f t="shared" si="9"/>
        <v>85000</v>
      </c>
      <c r="X61" s="64">
        <f t="shared" si="10"/>
        <v>85000</v>
      </c>
      <c r="Z61" s="67">
        <v>0</v>
      </c>
      <c r="AA61" s="68">
        <v>0</v>
      </c>
      <c r="AB61" s="69">
        <v>85000</v>
      </c>
      <c r="AC61" s="70">
        <v>85000</v>
      </c>
      <c r="AD61" s="67">
        <v>0</v>
      </c>
      <c r="AE61" s="68">
        <v>0</v>
      </c>
      <c r="AF61" s="69">
        <v>85000</v>
      </c>
      <c r="AG61" s="70">
        <v>85000</v>
      </c>
      <c r="AH61" s="70">
        <f t="shared" si="11"/>
        <v>0</v>
      </c>
      <c r="AI61" s="70">
        <f t="shared" si="12"/>
        <v>0</v>
      </c>
      <c r="AJ61" s="70">
        <f t="shared" si="13"/>
        <v>0</v>
      </c>
      <c r="AK61" s="70">
        <f t="shared" si="14"/>
        <v>0</v>
      </c>
      <c r="AL61" s="70">
        <f t="shared" si="15"/>
        <v>85000</v>
      </c>
      <c r="AM61" s="70">
        <f t="shared" si="16"/>
        <v>85000</v>
      </c>
      <c r="AN61" s="70">
        <f t="shared" si="17"/>
        <v>85000</v>
      </c>
      <c r="AO61" s="70">
        <f t="shared" si="18"/>
        <v>85000</v>
      </c>
    </row>
    <row r="62" spans="1:41">
      <c r="A62" s="29" t="s">
        <v>445</v>
      </c>
      <c r="B62" s="29" t="s">
        <v>671</v>
      </c>
      <c r="C62" s="107">
        <v>0</v>
      </c>
      <c r="D62" s="108">
        <v>520596</v>
      </c>
      <c r="F62" s="107">
        <v>0</v>
      </c>
      <c r="G62" s="108">
        <v>520596</v>
      </c>
      <c r="I62" s="64">
        <v>0</v>
      </c>
      <c r="J62" s="83">
        <v>0</v>
      </c>
      <c r="K62" s="66">
        <v>520596</v>
      </c>
      <c r="L62" s="251">
        <v>520596</v>
      </c>
      <c r="M62" s="63">
        <v>0</v>
      </c>
      <c r="N62" s="64">
        <v>0</v>
      </c>
      <c r="O62" s="65">
        <v>520596</v>
      </c>
      <c r="P62" s="66">
        <v>520596</v>
      </c>
      <c r="Q62" s="66">
        <f t="shared" si="3"/>
        <v>0</v>
      </c>
      <c r="R62" s="63">
        <f t="shared" si="4"/>
        <v>0</v>
      </c>
      <c r="S62" s="83">
        <f t="shared" si="5"/>
        <v>0</v>
      </c>
      <c r="T62" s="64">
        <f t="shared" si="6"/>
        <v>0</v>
      </c>
      <c r="U62" s="66">
        <f t="shared" si="7"/>
        <v>520596</v>
      </c>
      <c r="V62" s="63">
        <f t="shared" si="8"/>
        <v>520596</v>
      </c>
      <c r="W62" s="83">
        <f t="shared" si="9"/>
        <v>520596</v>
      </c>
      <c r="X62" s="64">
        <f t="shared" si="10"/>
        <v>520596</v>
      </c>
      <c r="Z62" s="67">
        <v>0</v>
      </c>
      <c r="AA62" s="68">
        <v>0</v>
      </c>
      <c r="AB62" s="69">
        <v>520596</v>
      </c>
      <c r="AC62" s="70">
        <v>520596</v>
      </c>
      <c r="AD62" s="67">
        <v>0</v>
      </c>
      <c r="AE62" s="68">
        <v>0</v>
      </c>
      <c r="AF62" s="69">
        <v>520596</v>
      </c>
      <c r="AG62" s="70">
        <v>520596</v>
      </c>
      <c r="AH62" s="70">
        <f t="shared" si="11"/>
        <v>0</v>
      </c>
      <c r="AI62" s="70">
        <f t="shared" si="12"/>
        <v>0</v>
      </c>
      <c r="AJ62" s="70">
        <f t="shared" si="13"/>
        <v>0</v>
      </c>
      <c r="AK62" s="70">
        <f t="shared" si="14"/>
        <v>0</v>
      </c>
      <c r="AL62" s="70">
        <f t="shared" si="15"/>
        <v>520596</v>
      </c>
      <c r="AM62" s="70">
        <f t="shared" si="16"/>
        <v>520596</v>
      </c>
      <c r="AN62" s="70">
        <f t="shared" si="17"/>
        <v>520596</v>
      </c>
      <c r="AO62" s="70">
        <f t="shared" si="18"/>
        <v>520596</v>
      </c>
    </row>
    <row r="63" spans="1:41">
      <c r="A63" s="29" t="s">
        <v>311</v>
      </c>
      <c r="B63" s="29" t="s">
        <v>672</v>
      </c>
      <c r="C63" s="107">
        <v>418773.27</v>
      </c>
      <c r="D63" s="108">
        <v>738000</v>
      </c>
      <c r="F63" s="107">
        <v>425687.75</v>
      </c>
      <c r="G63" s="108">
        <v>760000</v>
      </c>
      <c r="I63" s="64">
        <v>385408.37</v>
      </c>
      <c r="J63" s="83">
        <v>421521.02630000003</v>
      </c>
      <c r="K63" s="66">
        <v>760000</v>
      </c>
      <c r="L63" s="251">
        <v>782000</v>
      </c>
      <c r="M63" s="63">
        <v>421454.68380000012</v>
      </c>
      <c r="N63" s="64">
        <v>431881.57829999994</v>
      </c>
      <c r="O63" s="65">
        <v>805000</v>
      </c>
      <c r="P63" s="66">
        <v>805000</v>
      </c>
      <c r="Q63" s="66">
        <f t="shared" si="3"/>
        <v>394750.54200000002</v>
      </c>
      <c r="R63" s="63">
        <f t="shared" si="4"/>
        <v>411409.48253600002</v>
      </c>
      <c r="S63" s="83">
        <f t="shared" si="5"/>
        <v>421473.25970000011</v>
      </c>
      <c r="T63" s="64">
        <f t="shared" si="6"/>
        <v>428962.04783999996</v>
      </c>
      <c r="U63" s="66">
        <f t="shared" si="7"/>
        <v>749576.4</v>
      </c>
      <c r="V63" s="63">
        <f t="shared" si="8"/>
        <v>771576.4</v>
      </c>
      <c r="W63" s="83">
        <f t="shared" si="9"/>
        <v>794102.6</v>
      </c>
      <c r="X63" s="64">
        <f t="shared" si="10"/>
        <v>805000</v>
      </c>
      <c r="Z63" s="67">
        <v>425687.75</v>
      </c>
      <c r="AA63" s="68">
        <v>454169.23649999994</v>
      </c>
      <c r="AB63" s="69">
        <v>760000</v>
      </c>
      <c r="AC63" s="70">
        <v>782000</v>
      </c>
      <c r="AD63" s="67">
        <v>421454.68380000012</v>
      </c>
      <c r="AE63" s="68">
        <v>431881.57829999994</v>
      </c>
      <c r="AF63" s="69">
        <v>805000</v>
      </c>
      <c r="AG63" s="70">
        <v>805000</v>
      </c>
      <c r="AH63" s="70">
        <f t="shared" si="11"/>
        <v>423751.69559999998</v>
      </c>
      <c r="AI63" s="70">
        <f t="shared" si="12"/>
        <v>446194.42027999996</v>
      </c>
      <c r="AJ63" s="70">
        <f t="shared" si="13"/>
        <v>430614.75855600007</v>
      </c>
      <c r="AK63" s="70">
        <f t="shared" si="14"/>
        <v>428962.04783999996</v>
      </c>
      <c r="AL63" s="70">
        <f t="shared" si="15"/>
        <v>749576.4</v>
      </c>
      <c r="AM63" s="70">
        <f t="shared" si="16"/>
        <v>771576.4</v>
      </c>
      <c r="AN63" s="70">
        <f t="shared" si="17"/>
        <v>794102.6</v>
      </c>
      <c r="AO63" s="70">
        <f t="shared" si="18"/>
        <v>805000</v>
      </c>
    </row>
    <row r="64" spans="1:41">
      <c r="A64" s="29" t="s">
        <v>73</v>
      </c>
      <c r="B64" s="29" t="s">
        <v>673</v>
      </c>
      <c r="C64" s="107">
        <v>0</v>
      </c>
      <c r="D64" s="108">
        <v>1051600</v>
      </c>
      <c r="F64" s="107">
        <v>0</v>
      </c>
      <c r="G64" s="108">
        <v>1074800</v>
      </c>
      <c r="I64" s="64">
        <v>0</v>
      </c>
      <c r="J64" s="83">
        <v>0</v>
      </c>
      <c r="K64" s="66">
        <v>1074800</v>
      </c>
      <c r="L64" s="251">
        <v>1098400</v>
      </c>
      <c r="M64" s="63">
        <v>0</v>
      </c>
      <c r="N64" s="64">
        <v>0</v>
      </c>
      <c r="O64" s="65">
        <v>1120000</v>
      </c>
      <c r="P64" s="66">
        <v>1120000</v>
      </c>
      <c r="Q64" s="66">
        <f t="shared" si="3"/>
        <v>0</v>
      </c>
      <c r="R64" s="63">
        <f t="shared" si="4"/>
        <v>0</v>
      </c>
      <c r="S64" s="83">
        <f t="shared" si="5"/>
        <v>0</v>
      </c>
      <c r="T64" s="64">
        <f t="shared" si="6"/>
        <v>0</v>
      </c>
      <c r="U64" s="66">
        <f t="shared" si="7"/>
        <v>1063807.8400000001</v>
      </c>
      <c r="V64" s="63">
        <f t="shared" si="8"/>
        <v>1087218.3199999998</v>
      </c>
      <c r="W64" s="83">
        <f t="shared" si="9"/>
        <v>1109765.92</v>
      </c>
      <c r="X64" s="64">
        <f t="shared" si="10"/>
        <v>1120000</v>
      </c>
      <c r="Z64" s="67">
        <v>0</v>
      </c>
      <c r="AA64" s="68">
        <v>0</v>
      </c>
      <c r="AB64" s="69">
        <v>1074800</v>
      </c>
      <c r="AC64" s="70">
        <v>1098400</v>
      </c>
      <c r="AD64" s="67">
        <v>0</v>
      </c>
      <c r="AE64" s="68">
        <v>0</v>
      </c>
      <c r="AF64" s="69">
        <v>1120000</v>
      </c>
      <c r="AG64" s="70">
        <v>1120000</v>
      </c>
      <c r="AH64" s="70">
        <f t="shared" si="11"/>
        <v>0</v>
      </c>
      <c r="AI64" s="70">
        <f t="shared" si="12"/>
        <v>0</v>
      </c>
      <c r="AJ64" s="70">
        <f t="shared" si="13"/>
        <v>0</v>
      </c>
      <c r="AK64" s="70">
        <f t="shared" si="14"/>
        <v>0</v>
      </c>
      <c r="AL64" s="70">
        <f t="shared" si="15"/>
        <v>1063807.8400000001</v>
      </c>
      <c r="AM64" s="70">
        <f t="shared" si="16"/>
        <v>1087218.3199999998</v>
      </c>
      <c r="AN64" s="70">
        <f t="shared" si="17"/>
        <v>1109765.92</v>
      </c>
      <c r="AO64" s="70">
        <f t="shared" si="18"/>
        <v>1120000</v>
      </c>
    </row>
    <row r="65" spans="1:41">
      <c r="A65" s="29" t="s">
        <v>475</v>
      </c>
      <c r="B65" s="29" t="s">
        <v>674</v>
      </c>
      <c r="C65" s="107">
        <v>2055951.25</v>
      </c>
      <c r="D65" s="108">
        <v>2000000</v>
      </c>
      <c r="F65" s="107">
        <v>1977145.57</v>
      </c>
      <c r="G65" s="108">
        <v>2205000</v>
      </c>
      <c r="I65" s="64">
        <v>1893541.76</v>
      </c>
      <c r="J65" s="83">
        <v>1886471.7389</v>
      </c>
      <c r="K65" s="66">
        <v>2205000</v>
      </c>
      <c r="L65" s="251">
        <v>2550000</v>
      </c>
      <c r="M65" s="63">
        <v>1842938.1087000002</v>
      </c>
      <c r="N65" s="64">
        <v>1788372.9472180002</v>
      </c>
      <c r="O65" s="65">
        <v>2550000</v>
      </c>
      <c r="P65" s="66">
        <v>2550000</v>
      </c>
      <c r="Q65" s="66">
        <f t="shared" si="3"/>
        <v>1939016.4172</v>
      </c>
      <c r="R65" s="63">
        <f t="shared" si="4"/>
        <v>1888451.3448080001</v>
      </c>
      <c r="S65" s="83">
        <f t="shared" si="5"/>
        <v>1855127.5251560002</v>
      </c>
      <c r="T65" s="64">
        <f t="shared" si="6"/>
        <v>1803651.19243296</v>
      </c>
      <c r="U65" s="66">
        <f t="shared" si="7"/>
        <v>2107871</v>
      </c>
      <c r="V65" s="63">
        <f t="shared" si="8"/>
        <v>2386539</v>
      </c>
      <c r="W65" s="83">
        <f t="shared" si="9"/>
        <v>2550000</v>
      </c>
      <c r="X65" s="64">
        <f t="shared" si="10"/>
        <v>2550000</v>
      </c>
      <c r="Z65" s="67">
        <v>1977145.57</v>
      </c>
      <c r="AA65" s="68">
        <v>2170553.7985999994</v>
      </c>
      <c r="AB65" s="69">
        <v>2205000</v>
      </c>
      <c r="AC65" s="70">
        <v>2550000</v>
      </c>
      <c r="AD65" s="67">
        <v>1842938.1087000002</v>
      </c>
      <c r="AE65" s="68">
        <v>1788372.9472180002</v>
      </c>
      <c r="AF65" s="69">
        <v>2550000</v>
      </c>
      <c r="AG65" s="70">
        <v>2550000</v>
      </c>
      <c r="AH65" s="70">
        <f t="shared" si="11"/>
        <v>1999211.1604000002</v>
      </c>
      <c r="AI65" s="70">
        <f t="shared" si="12"/>
        <v>2116399.4945919998</v>
      </c>
      <c r="AJ65" s="70">
        <f t="shared" si="13"/>
        <v>1934670.5018719998</v>
      </c>
      <c r="AK65" s="70">
        <f t="shared" si="14"/>
        <v>1803651.19243296</v>
      </c>
      <c r="AL65" s="70">
        <f t="shared" si="15"/>
        <v>2107871</v>
      </c>
      <c r="AM65" s="70">
        <f t="shared" si="16"/>
        <v>2386539</v>
      </c>
      <c r="AN65" s="70">
        <f t="shared" si="17"/>
        <v>2550000</v>
      </c>
      <c r="AO65" s="70">
        <f t="shared" si="18"/>
        <v>2550000</v>
      </c>
    </row>
    <row r="66" spans="1:41">
      <c r="A66" s="29" t="s">
        <v>373</v>
      </c>
      <c r="B66" s="29" t="s">
        <v>675</v>
      </c>
      <c r="C66" s="107">
        <v>0</v>
      </c>
      <c r="D66" s="108">
        <v>6000000</v>
      </c>
      <c r="F66" s="107">
        <v>0</v>
      </c>
      <c r="G66" s="108">
        <v>5474012</v>
      </c>
      <c r="I66" s="64">
        <v>0</v>
      </c>
      <c r="J66" s="83">
        <v>0</v>
      </c>
      <c r="K66" s="66">
        <v>5474012</v>
      </c>
      <c r="L66" s="251">
        <v>6500000</v>
      </c>
      <c r="M66" s="63">
        <v>0</v>
      </c>
      <c r="N66" s="64">
        <v>0</v>
      </c>
      <c r="O66" s="65">
        <v>6500000</v>
      </c>
      <c r="P66" s="66">
        <v>6500000</v>
      </c>
      <c r="Q66" s="66">
        <f t="shared" si="3"/>
        <v>0</v>
      </c>
      <c r="R66" s="63">
        <f t="shared" si="4"/>
        <v>0</v>
      </c>
      <c r="S66" s="83">
        <f t="shared" si="5"/>
        <v>0</v>
      </c>
      <c r="T66" s="64">
        <f t="shared" si="6"/>
        <v>0</v>
      </c>
      <c r="U66" s="66">
        <f t="shared" si="7"/>
        <v>5723225.1143999994</v>
      </c>
      <c r="V66" s="63">
        <f t="shared" si="8"/>
        <v>6013886.8856000006</v>
      </c>
      <c r="W66" s="83">
        <f t="shared" si="9"/>
        <v>6500000</v>
      </c>
      <c r="X66" s="64">
        <f t="shared" si="10"/>
        <v>6500000</v>
      </c>
      <c r="Z66" s="67">
        <v>0</v>
      </c>
      <c r="AA66" s="68">
        <v>0</v>
      </c>
      <c r="AB66" s="69">
        <v>5474012</v>
      </c>
      <c r="AC66" s="70">
        <v>6500000</v>
      </c>
      <c r="AD66" s="67">
        <v>0</v>
      </c>
      <c r="AE66" s="68">
        <v>0</v>
      </c>
      <c r="AF66" s="69">
        <v>6500000</v>
      </c>
      <c r="AG66" s="70">
        <v>6500000</v>
      </c>
      <c r="AH66" s="70">
        <f t="shared" si="11"/>
        <v>0</v>
      </c>
      <c r="AI66" s="70">
        <f t="shared" si="12"/>
        <v>0</v>
      </c>
      <c r="AJ66" s="70">
        <f t="shared" si="13"/>
        <v>0</v>
      </c>
      <c r="AK66" s="70">
        <f t="shared" si="14"/>
        <v>0</v>
      </c>
      <c r="AL66" s="70">
        <f t="shared" si="15"/>
        <v>5723225.1143999994</v>
      </c>
      <c r="AM66" s="70">
        <f t="shared" si="16"/>
        <v>6013886.8856000006</v>
      </c>
      <c r="AN66" s="70">
        <f t="shared" si="17"/>
        <v>6500000</v>
      </c>
      <c r="AO66" s="70">
        <f t="shared" si="18"/>
        <v>6500000</v>
      </c>
    </row>
    <row r="67" spans="1:41">
      <c r="A67" s="29" t="s">
        <v>525</v>
      </c>
      <c r="B67" s="29" t="s">
        <v>676</v>
      </c>
      <c r="C67" s="107">
        <v>0</v>
      </c>
      <c r="D67" s="108">
        <v>73302</v>
      </c>
      <c r="F67" s="107">
        <v>0</v>
      </c>
      <c r="G67" s="108">
        <v>137431</v>
      </c>
      <c r="I67" s="64">
        <v>0</v>
      </c>
      <c r="J67" s="83">
        <v>0</v>
      </c>
      <c r="K67" s="66">
        <v>137431</v>
      </c>
      <c r="L67" s="251">
        <v>199779.00400000002</v>
      </c>
      <c r="M67" s="63">
        <v>0</v>
      </c>
      <c r="N67" s="64">
        <v>0</v>
      </c>
      <c r="O67" s="65">
        <v>203974.23400000003</v>
      </c>
      <c r="P67" s="66">
        <v>208461.63800000001</v>
      </c>
      <c r="Q67" s="66">
        <f t="shared" si="3"/>
        <v>0</v>
      </c>
      <c r="R67" s="63">
        <f t="shared" si="4"/>
        <v>0</v>
      </c>
      <c r="S67" s="83">
        <f t="shared" si="5"/>
        <v>0</v>
      </c>
      <c r="T67" s="64">
        <f t="shared" si="6"/>
        <v>0</v>
      </c>
      <c r="U67" s="66">
        <f t="shared" si="7"/>
        <v>107046.67980000001</v>
      </c>
      <c r="V67" s="63">
        <f t="shared" si="8"/>
        <v>170238.51970480001</v>
      </c>
      <c r="W67" s="83">
        <f t="shared" si="9"/>
        <v>201986.53402600001</v>
      </c>
      <c r="X67" s="64">
        <f t="shared" si="10"/>
        <v>206335.50598480002</v>
      </c>
      <c r="Z67" s="67">
        <v>0</v>
      </c>
      <c r="AA67" s="68">
        <v>0</v>
      </c>
      <c r="AB67" s="69">
        <v>137431</v>
      </c>
      <c r="AC67" s="70">
        <v>199779.00400000002</v>
      </c>
      <c r="AD67" s="67">
        <v>0</v>
      </c>
      <c r="AE67" s="68">
        <v>0</v>
      </c>
      <c r="AF67" s="69">
        <v>203974.23400000003</v>
      </c>
      <c r="AG67" s="70">
        <v>208461.63800000001</v>
      </c>
      <c r="AH67" s="70">
        <f t="shared" si="11"/>
        <v>0</v>
      </c>
      <c r="AI67" s="70">
        <f t="shared" si="12"/>
        <v>0</v>
      </c>
      <c r="AJ67" s="70">
        <f t="shared" si="13"/>
        <v>0</v>
      </c>
      <c r="AK67" s="70">
        <f t="shared" si="14"/>
        <v>0</v>
      </c>
      <c r="AL67" s="70">
        <f t="shared" si="15"/>
        <v>107046.67980000001</v>
      </c>
      <c r="AM67" s="70">
        <f t="shared" si="16"/>
        <v>170238.51970480001</v>
      </c>
      <c r="AN67" s="70">
        <f t="shared" si="17"/>
        <v>201986.53402600001</v>
      </c>
      <c r="AO67" s="70">
        <f t="shared" si="18"/>
        <v>206335.50598480002</v>
      </c>
    </row>
    <row r="68" spans="1:41">
      <c r="A68" s="29" t="s">
        <v>469</v>
      </c>
      <c r="B68" s="29" t="s">
        <v>926</v>
      </c>
      <c r="C68" s="107">
        <v>210627.47</v>
      </c>
      <c r="D68" s="108">
        <v>9945273</v>
      </c>
      <c r="F68" s="107">
        <v>0</v>
      </c>
      <c r="G68" s="108">
        <v>10939800</v>
      </c>
      <c r="I68" s="64">
        <v>0</v>
      </c>
      <c r="J68" s="83">
        <v>0</v>
      </c>
      <c r="K68" s="66">
        <v>10939800</v>
      </c>
      <c r="L68" s="251">
        <v>10415135.812999999</v>
      </c>
      <c r="M68" s="63">
        <v>0</v>
      </c>
      <c r="N68" s="64">
        <v>0</v>
      </c>
      <c r="O68" s="65">
        <v>10776099.8595</v>
      </c>
      <c r="P68" s="66">
        <v>11203010.7805</v>
      </c>
      <c r="Q68" s="66">
        <f t="shared" si="3"/>
        <v>58975.691600000006</v>
      </c>
      <c r="R68" s="63">
        <f t="shared" si="4"/>
        <v>0</v>
      </c>
      <c r="S68" s="83">
        <f t="shared" si="5"/>
        <v>0</v>
      </c>
      <c r="T68" s="64">
        <f t="shared" si="6"/>
        <v>0</v>
      </c>
      <c r="U68" s="66">
        <f t="shared" si="7"/>
        <v>10468593.1074</v>
      </c>
      <c r="V68" s="63">
        <f t="shared" si="8"/>
        <v>10663721.7048006</v>
      </c>
      <c r="W68" s="83">
        <f t="shared" si="9"/>
        <v>10605075.0942683</v>
      </c>
      <c r="X68" s="64">
        <f t="shared" si="10"/>
        <v>11000740.386130199</v>
      </c>
      <c r="Z68" s="67">
        <v>0</v>
      </c>
      <c r="AA68" s="68">
        <v>0</v>
      </c>
      <c r="AB68" s="69">
        <v>10939800</v>
      </c>
      <c r="AC68" s="70">
        <v>11375715.868399998</v>
      </c>
      <c r="AD68" s="67">
        <v>0</v>
      </c>
      <c r="AE68" s="68">
        <v>0</v>
      </c>
      <c r="AF68" s="69">
        <v>10776099.8595</v>
      </c>
      <c r="AG68" s="70">
        <v>11203010.7805</v>
      </c>
      <c r="AH68" s="70">
        <f t="shared" si="11"/>
        <v>58975.691600000006</v>
      </c>
      <c r="AI68" s="70">
        <f t="shared" si="12"/>
        <v>0</v>
      </c>
      <c r="AJ68" s="70">
        <f t="shared" si="13"/>
        <v>0</v>
      </c>
      <c r="AK68" s="70">
        <f t="shared" si="14"/>
        <v>0</v>
      </c>
      <c r="AL68" s="70">
        <f t="shared" si="15"/>
        <v>10468593.1074</v>
      </c>
      <c r="AM68" s="70">
        <f t="shared" si="16"/>
        <v>11169178.929952079</v>
      </c>
      <c r="AN68" s="70">
        <f t="shared" si="17"/>
        <v>11060197.924516819</v>
      </c>
      <c r="AO68" s="70">
        <f t="shared" si="18"/>
        <v>11000740.386130199</v>
      </c>
    </row>
    <row r="69" spans="1:41">
      <c r="A69" s="29" t="s">
        <v>587</v>
      </c>
      <c r="B69" s="29" t="s">
        <v>873</v>
      </c>
      <c r="C69" s="107">
        <v>2247819.9900000002</v>
      </c>
      <c r="D69" s="108">
        <v>3746000</v>
      </c>
      <c r="F69" s="107">
        <v>2058329.88</v>
      </c>
      <c r="G69" s="108">
        <v>4155352</v>
      </c>
      <c r="I69" s="64">
        <v>1930335.86</v>
      </c>
      <c r="J69" s="83">
        <v>2059089.0707999996</v>
      </c>
      <c r="K69" s="66">
        <v>4155352</v>
      </c>
      <c r="L69" s="251">
        <v>4464999</v>
      </c>
      <c r="M69" s="63">
        <v>1964377.4294999994</v>
      </c>
      <c r="N69" s="64">
        <v>1899011.1402000003</v>
      </c>
      <c r="O69" s="65">
        <v>4753174</v>
      </c>
      <c r="P69" s="66">
        <v>4753174</v>
      </c>
      <c r="Q69" s="66">
        <f t="shared" si="3"/>
        <v>2019231.4164</v>
      </c>
      <c r="R69" s="63">
        <f t="shared" si="4"/>
        <v>2023038.1717759997</v>
      </c>
      <c r="S69" s="83">
        <f t="shared" si="5"/>
        <v>1990896.6890639996</v>
      </c>
      <c r="T69" s="64">
        <f t="shared" si="6"/>
        <v>1917313.701204</v>
      </c>
      <c r="U69" s="66">
        <f t="shared" si="7"/>
        <v>3961401.0224000001</v>
      </c>
      <c r="V69" s="63">
        <f t="shared" si="8"/>
        <v>4318288.2513999995</v>
      </c>
      <c r="W69" s="83">
        <f t="shared" si="9"/>
        <v>4616636.6850000005</v>
      </c>
      <c r="X69" s="64">
        <f t="shared" si="10"/>
        <v>4753174</v>
      </c>
      <c r="Z69" s="67">
        <v>2058329.88</v>
      </c>
      <c r="AA69" s="68">
        <v>2136730.7067</v>
      </c>
      <c r="AB69" s="69">
        <v>4155352</v>
      </c>
      <c r="AC69" s="70">
        <v>4464999</v>
      </c>
      <c r="AD69" s="67">
        <v>1964377.4294999994</v>
      </c>
      <c r="AE69" s="68">
        <v>1899011.1402000003</v>
      </c>
      <c r="AF69" s="69">
        <v>4753174</v>
      </c>
      <c r="AG69" s="70">
        <v>4753174</v>
      </c>
      <c r="AH69" s="70">
        <f t="shared" si="11"/>
        <v>2111387.1107999999</v>
      </c>
      <c r="AI69" s="70">
        <f t="shared" si="12"/>
        <v>2114778.4752239999</v>
      </c>
      <c r="AJ69" s="70">
        <f t="shared" si="13"/>
        <v>2012636.3471159996</v>
      </c>
      <c r="AK69" s="70">
        <f t="shared" si="14"/>
        <v>1917313.701204</v>
      </c>
      <c r="AL69" s="70">
        <f t="shared" si="15"/>
        <v>3961401.0224000001</v>
      </c>
      <c r="AM69" s="70">
        <f t="shared" si="16"/>
        <v>4318288.2513999995</v>
      </c>
      <c r="AN69" s="70">
        <f t="shared" si="17"/>
        <v>4616636.6850000005</v>
      </c>
      <c r="AO69" s="70">
        <f t="shared" si="18"/>
        <v>4753174</v>
      </c>
    </row>
    <row r="70" spans="1:41">
      <c r="A70" s="29" t="s">
        <v>95</v>
      </c>
      <c r="B70" s="29" t="s">
        <v>677</v>
      </c>
      <c r="C70" s="107">
        <v>2191993.14</v>
      </c>
      <c r="D70" s="108">
        <v>10523103</v>
      </c>
      <c r="F70" s="107">
        <v>1662623.37</v>
      </c>
      <c r="G70" s="108">
        <v>11049000</v>
      </c>
      <c r="I70" s="64">
        <v>1365171.76</v>
      </c>
      <c r="J70" s="83">
        <v>1248674.9428000005</v>
      </c>
      <c r="K70" s="66">
        <v>11049000</v>
      </c>
      <c r="L70" s="251">
        <v>11602000</v>
      </c>
      <c r="M70" s="63">
        <v>866175.77220000001</v>
      </c>
      <c r="N70" s="64">
        <v>141997.32300000059</v>
      </c>
      <c r="O70" s="65">
        <v>12182000</v>
      </c>
      <c r="P70" s="66">
        <v>12791000</v>
      </c>
      <c r="Q70" s="66">
        <f t="shared" si="3"/>
        <v>1596681.7464000001</v>
      </c>
      <c r="R70" s="63">
        <f t="shared" si="4"/>
        <v>1281294.0516160005</v>
      </c>
      <c r="S70" s="83">
        <f t="shared" si="5"/>
        <v>973275.53996800014</v>
      </c>
      <c r="T70" s="64">
        <f t="shared" si="6"/>
        <v>344767.28877600044</v>
      </c>
      <c r="U70" s="66">
        <f t="shared" si="7"/>
        <v>10799830.001399999</v>
      </c>
      <c r="V70" s="63">
        <f t="shared" si="8"/>
        <v>11339988.600000001</v>
      </c>
      <c r="W70" s="83">
        <f t="shared" si="9"/>
        <v>11907196</v>
      </c>
      <c r="X70" s="64">
        <f t="shared" si="10"/>
        <v>12502455.800000001</v>
      </c>
      <c r="Z70" s="67">
        <v>1662623.37</v>
      </c>
      <c r="AA70" s="68">
        <v>1613436.0943000007</v>
      </c>
      <c r="AB70" s="69">
        <v>11049000</v>
      </c>
      <c r="AC70" s="70">
        <v>11602000</v>
      </c>
      <c r="AD70" s="67">
        <v>866175.77220000001</v>
      </c>
      <c r="AE70" s="68">
        <v>141997.32300000059</v>
      </c>
      <c r="AF70" s="69">
        <v>12182000</v>
      </c>
      <c r="AG70" s="70">
        <v>12791000</v>
      </c>
      <c r="AH70" s="70">
        <f t="shared" si="11"/>
        <v>1810846.9056000002</v>
      </c>
      <c r="AI70" s="70">
        <f t="shared" si="12"/>
        <v>1627208.5314960005</v>
      </c>
      <c r="AJ70" s="70">
        <f t="shared" si="13"/>
        <v>1075408.6623880002</v>
      </c>
      <c r="AK70" s="70">
        <f t="shared" si="14"/>
        <v>344767.28877600044</v>
      </c>
      <c r="AL70" s="70">
        <f t="shared" si="15"/>
        <v>10799830.001399999</v>
      </c>
      <c r="AM70" s="70">
        <f t="shared" si="16"/>
        <v>11339988.600000001</v>
      </c>
      <c r="AN70" s="70">
        <f t="shared" si="17"/>
        <v>11907196</v>
      </c>
      <c r="AO70" s="70">
        <f t="shared" si="18"/>
        <v>12502455.800000001</v>
      </c>
    </row>
    <row r="71" spans="1:41">
      <c r="A71" s="29" t="s">
        <v>241</v>
      </c>
      <c r="B71" s="29" t="s">
        <v>678</v>
      </c>
      <c r="C71" s="107">
        <v>0</v>
      </c>
      <c r="D71" s="108">
        <v>254441</v>
      </c>
      <c r="F71" s="107">
        <v>0</v>
      </c>
      <c r="G71" s="108">
        <v>249656</v>
      </c>
      <c r="I71" s="64">
        <v>0</v>
      </c>
      <c r="J71" s="83">
        <v>0</v>
      </c>
      <c r="K71" s="66">
        <v>249656</v>
      </c>
      <c r="L71" s="251">
        <v>247392.04039999997</v>
      </c>
      <c r="M71" s="63">
        <v>0</v>
      </c>
      <c r="N71" s="64">
        <v>0</v>
      </c>
      <c r="O71" s="65">
        <v>252587.1134</v>
      </c>
      <c r="P71" s="66">
        <v>258143.9938</v>
      </c>
      <c r="Q71" s="66">
        <f t="shared" si="3"/>
        <v>0</v>
      </c>
      <c r="R71" s="63">
        <f t="shared" si="4"/>
        <v>0</v>
      </c>
      <c r="S71" s="83">
        <f t="shared" si="5"/>
        <v>0</v>
      </c>
      <c r="T71" s="64">
        <f t="shared" si="6"/>
        <v>0</v>
      </c>
      <c r="U71" s="66">
        <f t="shared" si="7"/>
        <v>251923.133</v>
      </c>
      <c r="V71" s="63">
        <f t="shared" si="8"/>
        <v>248464.70445848</v>
      </c>
      <c r="W71" s="83">
        <f t="shared" si="9"/>
        <v>250125.68781259999</v>
      </c>
      <c r="X71" s="64">
        <f t="shared" si="10"/>
        <v>255511.14386648001</v>
      </c>
      <c r="Z71" s="67">
        <v>0</v>
      </c>
      <c r="AA71" s="68">
        <v>0</v>
      </c>
      <c r="AB71" s="69">
        <v>249656</v>
      </c>
      <c r="AC71" s="70">
        <v>269845.58839999995</v>
      </c>
      <c r="AD71" s="67">
        <v>0</v>
      </c>
      <c r="AE71" s="68">
        <v>0</v>
      </c>
      <c r="AF71" s="69">
        <v>252587.1134</v>
      </c>
      <c r="AG71" s="70">
        <v>258143.9938</v>
      </c>
      <c r="AH71" s="70">
        <f t="shared" si="11"/>
        <v>0</v>
      </c>
      <c r="AI71" s="70">
        <f t="shared" si="12"/>
        <v>0</v>
      </c>
      <c r="AJ71" s="70">
        <f t="shared" si="13"/>
        <v>0</v>
      </c>
      <c r="AK71" s="70">
        <f t="shared" si="14"/>
        <v>0</v>
      </c>
      <c r="AL71" s="70">
        <f t="shared" si="15"/>
        <v>251923.133</v>
      </c>
      <c r="AM71" s="70">
        <f t="shared" si="16"/>
        <v>260279.76141607997</v>
      </c>
      <c r="AN71" s="70">
        <f t="shared" si="17"/>
        <v>260764.17885499998</v>
      </c>
      <c r="AO71" s="70">
        <f t="shared" si="18"/>
        <v>255511.14386648001</v>
      </c>
    </row>
    <row r="72" spans="1:41">
      <c r="A72" s="29" t="s">
        <v>385</v>
      </c>
      <c r="B72" s="29" t="s">
        <v>679</v>
      </c>
      <c r="C72" s="107">
        <v>180917.09</v>
      </c>
      <c r="D72" s="108">
        <v>5745000</v>
      </c>
      <c r="F72" s="107">
        <v>0</v>
      </c>
      <c r="G72" s="108">
        <v>5251891</v>
      </c>
      <c r="I72" s="64">
        <v>0</v>
      </c>
      <c r="J72" s="83">
        <v>0</v>
      </c>
      <c r="K72" s="66">
        <v>5251891</v>
      </c>
      <c r="L72" s="251">
        <v>5237520.3637999995</v>
      </c>
      <c r="M72" s="63">
        <v>0</v>
      </c>
      <c r="N72" s="64">
        <v>0</v>
      </c>
      <c r="O72" s="65">
        <v>5419042.8447000002</v>
      </c>
      <c r="P72" s="66">
        <v>5633720.8234999999</v>
      </c>
      <c r="Q72" s="66">
        <f t="shared" si="3"/>
        <v>50656.785200000006</v>
      </c>
      <c r="R72" s="63">
        <f t="shared" si="4"/>
        <v>0</v>
      </c>
      <c r="S72" s="83">
        <f t="shared" si="5"/>
        <v>0</v>
      </c>
      <c r="T72" s="64">
        <f t="shared" si="6"/>
        <v>0</v>
      </c>
      <c r="U72" s="66">
        <f t="shared" si="7"/>
        <v>5485526.0441999994</v>
      </c>
      <c r="V72" s="63">
        <f t="shared" si="8"/>
        <v>5244329.1712315604</v>
      </c>
      <c r="W72" s="83">
        <f t="shared" si="9"/>
        <v>5333037.4932495803</v>
      </c>
      <c r="X72" s="64">
        <f t="shared" si="10"/>
        <v>5532006.3971445598</v>
      </c>
      <c r="Z72" s="67">
        <v>0</v>
      </c>
      <c r="AA72" s="68">
        <v>0</v>
      </c>
      <c r="AB72" s="69">
        <v>5251891</v>
      </c>
      <c r="AC72" s="70">
        <v>5597122.5709999995</v>
      </c>
      <c r="AD72" s="67">
        <v>0</v>
      </c>
      <c r="AE72" s="68">
        <v>0</v>
      </c>
      <c r="AF72" s="69">
        <v>5419042.8447000002</v>
      </c>
      <c r="AG72" s="70">
        <v>5633720.8234999999</v>
      </c>
      <c r="AH72" s="70">
        <f t="shared" si="11"/>
        <v>50656.785200000006</v>
      </c>
      <c r="AI72" s="70">
        <f t="shared" si="12"/>
        <v>0</v>
      </c>
      <c r="AJ72" s="70">
        <f t="shared" si="13"/>
        <v>0</v>
      </c>
      <c r="AK72" s="70">
        <f t="shared" si="14"/>
        <v>0</v>
      </c>
      <c r="AL72" s="70">
        <f t="shared" si="15"/>
        <v>5485526.0441999994</v>
      </c>
      <c r="AM72" s="70">
        <f t="shared" si="16"/>
        <v>5433551.8526601996</v>
      </c>
      <c r="AN72" s="70">
        <f t="shared" si="17"/>
        <v>5503417.0190209392</v>
      </c>
      <c r="AO72" s="70">
        <f t="shared" si="18"/>
        <v>5532006.3971445598</v>
      </c>
    </row>
    <row r="73" spans="1:41">
      <c r="A73" s="29" t="s">
        <v>429</v>
      </c>
      <c r="B73" s="29" t="s">
        <v>680</v>
      </c>
      <c r="C73" s="107">
        <v>0</v>
      </c>
      <c r="D73" s="108">
        <v>54194690</v>
      </c>
      <c r="F73" s="107">
        <v>0</v>
      </c>
      <c r="G73" s="108">
        <v>57068976</v>
      </c>
      <c r="I73" s="64">
        <v>0</v>
      </c>
      <c r="J73" s="83">
        <v>0</v>
      </c>
      <c r="K73" s="66">
        <v>57068976</v>
      </c>
      <c r="L73" s="251">
        <v>58566136.193799995</v>
      </c>
      <c r="M73" s="63">
        <v>0</v>
      </c>
      <c r="N73" s="64">
        <v>0</v>
      </c>
      <c r="O73" s="65">
        <v>60595836.607700005</v>
      </c>
      <c r="P73" s="66">
        <v>62996476.211900003</v>
      </c>
      <c r="Q73" s="66">
        <f t="shared" ref="Q73:Q136" si="19">(0.28*C73)+(0.72*I73)</f>
        <v>0</v>
      </c>
      <c r="R73" s="63">
        <f t="shared" ref="R73:R136" si="20">(0.28*I73)+(0.72*J73)</f>
        <v>0</v>
      </c>
      <c r="S73" s="83">
        <f t="shared" ref="S73:S136" si="21">(0.28*J73)+(0.72*M73)</f>
        <v>0</v>
      </c>
      <c r="T73" s="64">
        <f t="shared" ref="T73:T136" si="22">(0.28*M73)+(0.72*N73)</f>
        <v>0</v>
      </c>
      <c r="U73" s="66">
        <f t="shared" ref="U73:U136" si="23">(0.4738*D73)+(0.5262*G73)</f>
        <v>55707139.293200001</v>
      </c>
      <c r="V73" s="63">
        <f t="shared" ref="V73:V136" si="24">(0.4738*G73)+(0.5262*L73)</f>
        <v>57856781.693977557</v>
      </c>
      <c r="W73" s="83">
        <f t="shared" ref="W73:W136" si="25">(0.4738*L73)+(0.5262*O73)</f>
        <v>59634164.551594183</v>
      </c>
      <c r="X73" s="64">
        <f t="shared" ref="X73:X136" si="26">(0.4738*O73)+(0.5262*P73)</f>
        <v>61859053.167430043</v>
      </c>
      <c r="Z73" s="67">
        <v>0</v>
      </c>
      <c r="AA73" s="68">
        <v>0</v>
      </c>
      <c r="AB73" s="69">
        <v>57068976</v>
      </c>
      <c r="AC73" s="70">
        <v>59922445.639399998</v>
      </c>
      <c r="AD73" s="67">
        <v>0</v>
      </c>
      <c r="AE73" s="68">
        <v>0</v>
      </c>
      <c r="AF73" s="69">
        <v>60595836.607700005</v>
      </c>
      <c r="AG73" s="70">
        <v>62996476.211900003</v>
      </c>
      <c r="AH73" s="70">
        <f t="shared" ref="AH73:AH136" si="27">(0.28*C73)+(0.72*Z73)</f>
        <v>0</v>
      </c>
      <c r="AI73" s="70">
        <f t="shared" ref="AI73:AI136" si="28">(0.28*Z73)+(0.72*AA73)</f>
        <v>0</v>
      </c>
      <c r="AJ73" s="70">
        <f t="shared" ref="AJ73:AJ136" si="29">(0.28*AA73)+(0.72*AD73)</f>
        <v>0</v>
      </c>
      <c r="AK73" s="70">
        <f t="shared" ref="AK73:AK136" si="30">(0.28*AD73)+(0.72*AE73)</f>
        <v>0</v>
      </c>
      <c r="AL73" s="70">
        <f t="shared" ref="AL73:AL136" si="31">(0.4738*D73)+(0.5262*G73)</f>
        <v>55707139.293200001</v>
      </c>
      <c r="AM73" s="70">
        <f t="shared" ref="AM73:AM136" si="32">(0.4738*G73)+(0.5262*AC73)</f>
        <v>58570471.724252284</v>
      </c>
      <c r="AN73" s="70">
        <f t="shared" ref="AN73:AN136" si="33">(0.4738*AC73)+(0.5262*AF73)</f>
        <v>60276783.966919459</v>
      </c>
      <c r="AO73" s="70">
        <f t="shared" ref="AO73:AO136" si="34">(0.4738*AF73)+(0.5262*AG73)</f>
        <v>61859053.167430043</v>
      </c>
    </row>
    <row r="74" spans="1:41">
      <c r="A74" s="29" t="s">
        <v>245</v>
      </c>
      <c r="B74" s="29" t="s">
        <v>681</v>
      </c>
      <c r="C74" s="107">
        <v>211961.1</v>
      </c>
      <c r="D74" s="108">
        <v>4741027</v>
      </c>
      <c r="F74" s="107">
        <v>0</v>
      </c>
      <c r="G74" s="108">
        <v>4859552</v>
      </c>
      <c r="I74" s="64">
        <v>0</v>
      </c>
      <c r="J74" s="83">
        <v>0</v>
      </c>
      <c r="K74" s="66">
        <v>4859552</v>
      </c>
      <c r="L74" s="251">
        <v>4859552</v>
      </c>
      <c r="M74" s="63">
        <v>0</v>
      </c>
      <c r="N74" s="64">
        <v>0</v>
      </c>
      <c r="O74" s="65">
        <v>4859552</v>
      </c>
      <c r="P74" s="66">
        <v>4859552</v>
      </c>
      <c r="Q74" s="66">
        <f t="shared" si="19"/>
        <v>59349.108000000007</v>
      </c>
      <c r="R74" s="63">
        <f t="shared" si="20"/>
        <v>0</v>
      </c>
      <c r="S74" s="83">
        <f t="shared" si="21"/>
        <v>0</v>
      </c>
      <c r="T74" s="64">
        <f t="shared" si="22"/>
        <v>0</v>
      </c>
      <c r="U74" s="66">
        <f t="shared" si="23"/>
        <v>4803394.8550000004</v>
      </c>
      <c r="V74" s="63">
        <f t="shared" si="24"/>
        <v>4859552</v>
      </c>
      <c r="W74" s="83">
        <f t="shared" si="25"/>
        <v>4859552</v>
      </c>
      <c r="X74" s="64">
        <f t="shared" si="26"/>
        <v>4859552</v>
      </c>
      <c r="Z74" s="67">
        <v>0</v>
      </c>
      <c r="AA74" s="68">
        <v>0</v>
      </c>
      <c r="AB74" s="69">
        <v>4859552</v>
      </c>
      <c r="AC74" s="70">
        <v>4859552</v>
      </c>
      <c r="AD74" s="67">
        <v>0</v>
      </c>
      <c r="AE74" s="68">
        <v>0</v>
      </c>
      <c r="AF74" s="69">
        <v>4859552</v>
      </c>
      <c r="AG74" s="70">
        <v>4859552</v>
      </c>
      <c r="AH74" s="70">
        <f t="shared" si="27"/>
        <v>59349.108000000007</v>
      </c>
      <c r="AI74" s="70">
        <f t="shared" si="28"/>
        <v>0</v>
      </c>
      <c r="AJ74" s="70">
        <f t="shared" si="29"/>
        <v>0</v>
      </c>
      <c r="AK74" s="70">
        <f t="shared" si="30"/>
        <v>0</v>
      </c>
      <c r="AL74" s="70">
        <f t="shared" si="31"/>
        <v>4803394.8550000004</v>
      </c>
      <c r="AM74" s="70">
        <f t="shared" si="32"/>
        <v>4859552</v>
      </c>
      <c r="AN74" s="70">
        <f t="shared" si="33"/>
        <v>4859552</v>
      </c>
      <c r="AO74" s="70">
        <f t="shared" si="34"/>
        <v>4859552</v>
      </c>
    </row>
    <row r="75" spans="1:41">
      <c r="A75" s="29" t="s">
        <v>151</v>
      </c>
      <c r="B75" s="29" t="s">
        <v>682</v>
      </c>
      <c r="C75" s="107">
        <v>810545.64</v>
      </c>
      <c r="D75" s="108">
        <v>2643570</v>
      </c>
      <c r="F75" s="107">
        <v>676350.22</v>
      </c>
      <c r="G75" s="108">
        <v>2775749</v>
      </c>
      <c r="I75" s="64">
        <v>538764.26</v>
      </c>
      <c r="J75" s="83">
        <v>443541.77919999999</v>
      </c>
      <c r="K75" s="66">
        <v>2775749</v>
      </c>
      <c r="L75" s="251">
        <v>2775749</v>
      </c>
      <c r="M75" s="63">
        <v>401148.22259999998</v>
      </c>
      <c r="N75" s="64">
        <v>367388.43660000025</v>
      </c>
      <c r="O75" s="65">
        <v>2775749</v>
      </c>
      <c r="P75" s="66">
        <v>2775749</v>
      </c>
      <c r="Q75" s="66">
        <f t="shared" si="19"/>
        <v>614863.04639999999</v>
      </c>
      <c r="R75" s="63">
        <f t="shared" si="20"/>
        <v>470204.07382399996</v>
      </c>
      <c r="S75" s="83">
        <f t="shared" si="21"/>
        <v>413018.41844799998</v>
      </c>
      <c r="T75" s="64">
        <f t="shared" si="22"/>
        <v>376841.17668000015</v>
      </c>
      <c r="U75" s="66">
        <f t="shared" si="23"/>
        <v>2713122.5898000002</v>
      </c>
      <c r="V75" s="63">
        <f t="shared" si="24"/>
        <v>2775749</v>
      </c>
      <c r="W75" s="83">
        <f t="shared" si="25"/>
        <v>2775749</v>
      </c>
      <c r="X75" s="64">
        <f t="shared" si="26"/>
        <v>2775749</v>
      </c>
      <c r="Z75" s="67">
        <v>676350.22</v>
      </c>
      <c r="AA75" s="68">
        <v>945770.01379999961</v>
      </c>
      <c r="AB75" s="69">
        <v>2775749</v>
      </c>
      <c r="AC75" s="70">
        <v>2775749</v>
      </c>
      <c r="AD75" s="67">
        <v>401148.22259999998</v>
      </c>
      <c r="AE75" s="68">
        <v>367388.43660000025</v>
      </c>
      <c r="AF75" s="69">
        <v>2775749</v>
      </c>
      <c r="AG75" s="70">
        <v>2775749</v>
      </c>
      <c r="AH75" s="70">
        <f t="shared" si="27"/>
        <v>713924.93759999995</v>
      </c>
      <c r="AI75" s="70">
        <f t="shared" si="28"/>
        <v>870332.47153599968</v>
      </c>
      <c r="AJ75" s="70">
        <f t="shared" si="29"/>
        <v>553642.32413599989</v>
      </c>
      <c r="AK75" s="70">
        <f t="shared" si="30"/>
        <v>376841.17668000015</v>
      </c>
      <c r="AL75" s="70">
        <f t="shared" si="31"/>
        <v>2713122.5898000002</v>
      </c>
      <c r="AM75" s="70">
        <f t="shared" si="32"/>
        <v>2775749</v>
      </c>
      <c r="AN75" s="70">
        <f t="shared" si="33"/>
        <v>2775749</v>
      </c>
      <c r="AO75" s="70">
        <f t="shared" si="34"/>
        <v>2775749</v>
      </c>
    </row>
    <row r="76" spans="1:41">
      <c r="A76" s="29" t="s">
        <v>573</v>
      </c>
      <c r="B76" s="29" t="s">
        <v>874</v>
      </c>
      <c r="C76" s="107">
        <v>0</v>
      </c>
      <c r="D76" s="108">
        <v>211545</v>
      </c>
      <c r="F76" s="107">
        <v>0</v>
      </c>
      <c r="G76" s="108">
        <v>220000</v>
      </c>
      <c r="I76" s="64">
        <v>0</v>
      </c>
      <c r="J76" s="83">
        <v>0</v>
      </c>
      <c r="K76" s="66">
        <v>220000</v>
      </c>
      <c r="L76" s="251">
        <v>229774.64119999995</v>
      </c>
      <c r="M76" s="63">
        <v>0</v>
      </c>
      <c r="N76" s="64">
        <v>0</v>
      </c>
      <c r="O76" s="65">
        <v>234599.76019999999</v>
      </c>
      <c r="P76" s="66">
        <v>239760.92139999999</v>
      </c>
      <c r="Q76" s="66">
        <f t="shared" si="19"/>
        <v>0</v>
      </c>
      <c r="R76" s="63">
        <f t="shared" si="20"/>
        <v>0</v>
      </c>
      <c r="S76" s="83">
        <f t="shared" si="21"/>
        <v>0</v>
      </c>
      <c r="T76" s="64">
        <f t="shared" si="22"/>
        <v>0</v>
      </c>
      <c r="U76" s="66">
        <f t="shared" si="23"/>
        <v>215994.02100000001</v>
      </c>
      <c r="V76" s="63">
        <f t="shared" si="24"/>
        <v>225143.41619943996</v>
      </c>
      <c r="W76" s="83">
        <f t="shared" si="25"/>
        <v>232313.61881779996</v>
      </c>
      <c r="X76" s="64">
        <f t="shared" si="26"/>
        <v>237315.56322344</v>
      </c>
      <c r="Z76" s="67">
        <v>0</v>
      </c>
      <c r="AA76" s="68">
        <v>0</v>
      </c>
      <c r="AB76" s="69">
        <v>220000</v>
      </c>
      <c r="AC76" s="70">
        <v>231760.9166</v>
      </c>
      <c r="AD76" s="67">
        <v>0</v>
      </c>
      <c r="AE76" s="68">
        <v>0</v>
      </c>
      <c r="AF76" s="69">
        <v>234599.76019999999</v>
      </c>
      <c r="AG76" s="70">
        <v>239760.92139999999</v>
      </c>
      <c r="AH76" s="70">
        <f t="shared" si="27"/>
        <v>0</v>
      </c>
      <c r="AI76" s="70">
        <f t="shared" si="28"/>
        <v>0</v>
      </c>
      <c r="AJ76" s="70">
        <f t="shared" si="29"/>
        <v>0</v>
      </c>
      <c r="AK76" s="70">
        <f t="shared" si="30"/>
        <v>0</v>
      </c>
      <c r="AL76" s="70">
        <f t="shared" si="31"/>
        <v>215994.02100000001</v>
      </c>
      <c r="AM76" s="70">
        <f t="shared" si="32"/>
        <v>226188.59431492002</v>
      </c>
      <c r="AN76" s="70">
        <f t="shared" si="33"/>
        <v>233254.71610232</v>
      </c>
      <c r="AO76" s="70">
        <f t="shared" si="34"/>
        <v>237315.56322344</v>
      </c>
    </row>
    <row r="77" spans="1:41">
      <c r="A77" s="29" t="s">
        <v>33</v>
      </c>
      <c r="B77" s="29" t="s">
        <v>683</v>
      </c>
      <c r="C77" s="107">
        <v>0</v>
      </c>
      <c r="D77" s="108">
        <v>485000</v>
      </c>
      <c r="F77" s="107">
        <v>0</v>
      </c>
      <c r="G77" s="108">
        <v>500000</v>
      </c>
      <c r="I77" s="64">
        <v>0</v>
      </c>
      <c r="J77" s="83">
        <v>0</v>
      </c>
      <c r="K77" s="66">
        <v>500000</v>
      </c>
      <c r="L77" s="251">
        <v>500000</v>
      </c>
      <c r="M77" s="63">
        <v>0</v>
      </c>
      <c r="N77" s="64">
        <v>0</v>
      </c>
      <c r="O77" s="65">
        <v>515000</v>
      </c>
      <c r="P77" s="66">
        <v>515000</v>
      </c>
      <c r="Q77" s="66">
        <f t="shared" si="19"/>
        <v>0</v>
      </c>
      <c r="R77" s="63">
        <f t="shared" si="20"/>
        <v>0</v>
      </c>
      <c r="S77" s="83">
        <f t="shared" si="21"/>
        <v>0</v>
      </c>
      <c r="T77" s="64">
        <f t="shared" si="22"/>
        <v>0</v>
      </c>
      <c r="U77" s="66">
        <f t="shared" si="23"/>
        <v>492893</v>
      </c>
      <c r="V77" s="63">
        <f t="shared" si="24"/>
        <v>500000</v>
      </c>
      <c r="W77" s="83">
        <f t="shared" si="25"/>
        <v>507893</v>
      </c>
      <c r="X77" s="64">
        <f t="shared" si="26"/>
        <v>515000</v>
      </c>
      <c r="Z77" s="67">
        <v>0</v>
      </c>
      <c r="AA77" s="68">
        <v>0</v>
      </c>
      <c r="AB77" s="69">
        <v>500000</v>
      </c>
      <c r="AC77" s="70">
        <v>500000</v>
      </c>
      <c r="AD77" s="67">
        <v>0</v>
      </c>
      <c r="AE77" s="68">
        <v>0</v>
      </c>
      <c r="AF77" s="69">
        <v>515000</v>
      </c>
      <c r="AG77" s="70">
        <v>515000</v>
      </c>
      <c r="AH77" s="70">
        <f t="shared" si="27"/>
        <v>0</v>
      </c>
      <c r="AI77" s="70">
        <f t="shared" si="28"/>
        <v>0</v>
      </c>
      <c r="AJ77" s="70">
        <f t="shared" si="29"/>
        <v>0</v>
      </c>
      <c r="AK77" s="70">
        <f t="shared" si="30"/>
        <v>0</v>
      </c>
      <c r="AL77" s="70">
        <f t="shared" si="31"/>
        <v>492893</v>
      </c>
      <c r="AM77" s="70">
        <f t="shared" si="32"/>
        <v>500000</v>
      </c>
      <c r="AN77" s="70">
        <f t="shared" si="33"/>
        <v>507893</v>
      </c>
      <c r="AO77" s="70">
        <f t="shared" si="34"/>
        <v>515000</v>
      </c>
    </row>
    <row r="78" spans="1:41">
      <c r="A78" s="29" t="s">
        <v>187</v>
      </c>
      <c r="B78" s="29" t="s">
        <v>684</v>
      </c>
      <c r="C78" s="107">
        <v>372999.7</v>
      </c>
      <c r="D78" s="108">
        <v>8358411</v>
      </c>
      <c r="F78" s="107">
        <v>0</v>
      </c>
      <c r="G78" s="108">
        <v>9612173</v>
      </c>
      <c r="I78" s="64">
        <v>0</v>
      </c>
      <c r="J78" s="83">
        <v>0</v>
      </c>
      <c r="K78" s="66">
        <v>9612173</v>
      </c>
      <c r="L78" s="251">
        <v>9612173</v>
      </c>
      <c r="M78" s="63">
        <v>0</v>
      </c>
      <c r="N78" s="64">
        <v>0</v>
      </c>
      <c r="O78" s="65">
        <v>9612173</v>
      </c>
      <c r="P78" s="66">
        <v>9612173</v>
      </c>
      <c r="Q78" s="66">
        <f t="shared" si="19"/>
        <v>104439.91600000001</v>
      </c>
      <c r="R78" s="63">
        <f t="shared" si="20"/>
        <v>0</v>
      </c>
      <c r="S78" s="83">
        <f t="shared" si="21"/>
        <v>0</v>
      </c>
      <c r="T78" s="64">
        <f t="shared" si="22"/>
        <v>0</v>
      </c>
      <c r="U78" s="66">
        <f t="shared" si="23"/>
        <v>9018140.5644000005</v>
      </c>
      <c r="V78" s="63">
        <f t="shared" si="24"/>
        <v>9612173</v>
      </c>
      <c r="W78" s="83">
        <f t="shared" si="25"/>
        <v>9612173</v>
      </c>
      <c r="X78" s="64">
        <f t="shared" si="26"/>
        <v>9612173</v>
      </c>
      <c r="Z78" s="67">
        <v>0</v>
      </c>
      <c r="AA78" s="68">
        <v>0</v>
      </c>
      <c r="AB78" s="69">
        <v>9612173</v>
      </c>
      <c r="AC78" s="70">
        <v>9612173</v>
      </c>
      <c r="AD78" s="67">
        <v>0</v>
      </c>
      <c r="AE78" s="68">
        <v>0</v>
      </c>
      <c r="AF78" s="69">
        <v>9612173</v>
      </c>
      <c r="AG78" s="70">
        <v>9612173</v>
      </c>
      <c r="AH78" s="70">
        <f t="shared" si="27"/>
        <v>104439.91600000001</v>
      </c>
      <c r="AI78" s="70">
        <f t="shared" si="28"/>
        <v>0</v>
      </c>
      <c r="AJ78" s="70">
        <f t="shared" si="29"/>
        <v>0</v>
      </c>
      <c r="AK78" s="70">
        <f t="shared" si="30"/>
        <v>0</v>
      </c>
      <c r="AL78" s="70">
        <f t="shared" si="31"/>
        <v>9018140.5644000005</v>
      </c>
      <c r="AM78" s="70">
        <f t="shared" si="32"/>
        <v>9612173</v>
      </c>
      <c r="AN78" s="70">
        <f t="shared" si="33"/>
        <v>9612173</v>
      </c>
      <c r="AO78" s="70">
        <f t="shared" si="34"/>
        <v>9612173</v>
      </c>
    </row>
    <row r="79" spans="1:41">
      <c r="A79" s="29" t="s">
        <v>135</v>
      </c>
      <c r="B79" s="29" t="s">
        <v>685</v>
      </c>
      <c r="C79" s="107">
        <v>2732394.97</v>
      </c>
      <c r="D79" s="108">
        <v>1694000</v>
      </c>
      <c r="F79" s="107">
        <v>2766633.48</v>
      </c>
      <c r="G79" s="108">
        <v>1882897.36</v>
      </c>
      <c r="I79" s="64">
        <v>2657941.7599999998</v>
      </c>
      <c r="J79" s="83">
        <v>2863749.3826000001</v>
      </c>
      <c r="K79" s="66">
        <v>1882897.36</v>
      </c>
      <c r="L79" s="251">
        <v>2004000</v>
      </c>
      <c r="M79" s="63">
        <v>2942732.8721999996</v>
      </c>
      <c r="N79" s="64">
        <v>2983514.6483999998</v>
      </c>
      <c r="O79" s="65">
        <v>2113500</v>
      </c>
      <c r="P79" s="66">
        <v>2230000</v>
      </c>
      <c r="Q79" s="66">
        <f t="shared" si="19"/>
        <v>2678788.6587999999</v>
      </c>
      <c r="R79" s="63">
        <f t="shared" si="20"/>
        <v>2806123.2482719999</v>
      </c>
      <c r="S79" s="83">
        <f t="shared" si="21"/>
        <v>2920617.4951119996</v>
      </c>
      <c r="T79" s="64">
        <f t="shared" si="22"/>
        <v>2972095.7510639997</v>
      </c>
      <c r="U79" s="66">
        <f t="shared" si="23"/>
        <v>1793397.7908319999</v>
      </c>
      <c r="V79" s="63">
        <f t="shared" si="24"/>
        <v>1946621.569168</v>
      </c>
      <c r="W79" s="83">
        <f t="shared" si="25"/>
        <v>2061618.9</v>
      </c>
      <c r="X79" s="64">
        <f t="shared" si="26"/>
        <v>2174802.2999999998</v>
      </c>
      <c r="Z79" s="67">
        <v>2766633.48</v>
      </c>
      <c r="AA79" s="68">
        <v>2931639.1863999995</v>
      </c>
      <c r="AB79" s="69">
        <v>1882897.36</v>
      </c>
      <c r="AC79" s="70">
        <v>2004000</v>
      </c>
      <c r="AD79" s="67">
        <v>2942732.8721999996</v>
      </c>
      <c r="AE79" s="68">
        <v>2983514.6483999998</v>
      </c>
      <c r="AF79" s="69">
        <v>2113500</v>
      </c>
      <c r="AG79" s="70">
        <v>2230000</v>
      </c>
      <c r="AH79" s="70">
        <f t="shared" si="27"/>
        <v>2757046.6972000003</v>
      </c>
      <c r="AI79" s="70">
        <f t="shared" si="28"/>
        <v>2885437.5886079995</v>
      </c>
      <c r="AJ79" s="70">
        <f t="shared" si="29"/>
        <v>2939626.6401759991</v>
      </c>
      <c r="AK79" s="70">
        <f t="shared" si="30"/>
        <v>2972095.7510639997</v>
      </c>
      <c r="AL79" s="70">
        <f t="shared" si="31"/>
        <v>1793397.7908319999</v>
      </c>
      <c r="AM79" s="70">
        <f t="shared" si="32"/>
        <v>1946621.569168</v>
      </c>
      <c r="AN79" s="70">
        <f t="shared" si="33"/>
        <v>2061618.9</v>
      </c>
      <c r="AO79" s="70">
        <f t="shared" si="34"/>
        <v>2174802.2999999998</v>
      </c>
    </row>
    <row r="80" spans="1:41">
      <c r="A80" s="29" t="s">
        <v>273</v>
      </c>
      <c r="B80" s="29" t="s">
        <v>891</v>
      </c>
      <c r="C80" s="107">
        <v>0</v>
      </c>
      <c r="D80" s="108">
        <v>190000</v>
      </c>
      <c r="F80" s="107">
        <v>0</v>
      </c>
      <c r="G80" s="108">
        <v>190904</v>
      </c>
      <c r="I80" s="64">
        <v>0</v>
      </c>
      <c r="J80" s="83">
        <v>0</v>
      </c>
      <c r="K80" s="66">
        <v>190904</v>
      </c>
      <c r="L80" s="251">
        <v>190000</v>
      </c>
      <c r="M80" s="63">
        <v>0</v>
      </c>
      <c r="N80" s="64">
        <v>0</v>
      </c>
      <c r="O80" s="65">
        <v>190000</v>
      </c>
      <c r="P80" s="66">
        <v>190000</v>
      </c>
      <c r="Q80" s="66">
        <f t="shared" si="19"/>
        <v>0</v>
      </c>
      <c r="R80" s="63">
        <f t="shared" si="20"/>
        <v>0</v>
      </c>
      <c r="S80" s="83">
        <f t="shared" si="21"/>
        <v>0</v>
      </c>
      <c r="T80" s="64">
        <f t="shared" si="22"/>
        <v>0</v>
      </c>
      <c r="U80" s="66">
        <f t="shared" si="23"/>
        <v>190475.68479999999</v>
      </c>
      <c r="V80" s="63">
        <f t="shared" si="24"/>
        <v>190428.31520000001</v>
      </c>
      <c r="W80" s="83">
        <f t="shared" si="25"/>
        <v>190000</v>
      </c>
      <c r="X80" s="64">
        <f t="shared" si="26"/>
        <v>190000</v>
      </c>
      <c r="Z80" s="67">
        <v>0</v>
      </c>
      <c r="AA80" s="68">
        <v>0</v>
      </c>
      <c r="AB80" s="69">
        <v>190904</v>
      </c>
      <c r="AC80" s="70">
        <v>190000</v>
      </c>
      <c r="AD80" s="67">
        <v>0</v>
      </c>
      <c r="AE80" s="68">
        <v>0</v>
      </c>
      <c r="AF80" s="69">
        <v>190000</v>
      </c>
      <c r="AG80" s="70">
        <v>190000</v>
      </c>
      <c r="AH80" s="70">
        <f t="shared" si="27"/>
        <v>0</v>
      </c>
      <c r="AI80" s="70">
        <f t="shared" si="28"/>
        <v>0</v>
      </c>
      <c r="AJ80" s="70">
        <f t="shared" si="29"/>
        <v>0</v>
      </c>
      <c r="AK80" s="70">
        <f t="shared" si="30"/>
        <v>0</v>
      </c>
      <c r="AL80" s="70">
        <f t="shared" si="31"/>
        <v>190475.68479999999</v>
      </c>
      <c r="AM80" s="70">
        <f t="shared" si="32"/>
        <v>190428.31520000001</v>
      </c>
      <c r="AN80" s="70">
        <f t="shared" si="33"/>
        <v>190000</v>
      </c>
      <c r="AO80" s="70">
        <f t="shared" si="34"/>
        <v>190000</v>
      </c>
    </row>
    <row r="81" spans="1:41">
      <c r="A81" s="29" t="s">
        <v>423</v>
      </c>
      <c r="B81" s="29" t="s">
        <v>686</v>
      </c>
      <c r="C81" s="107">
        <v>0</v>
      </c>
      <c r="D81" s="108">
        <v>48880000</v>
      </c>
      <c r="F81" s="107">
        <v>0</v>
      </c>
      <c r="G81" s="108">
        <v>53250000</v>
      </c>
      <c r="I81" s="64">
        <v>0</v>
      </c>
      <c r="J81" s="83">
        <v>0</v>
      </c>
      <c r="K81" s="66">
        <v>53250000</v>
      </c>
      <c r="L81" s="251">
        <v>53250000</v>
      </c>
      <c r="M81" s="63">
        <v>0</v>
      </c>
      <c r="N81" s="64">
        <v>0</v>
      </c>
      <c r="O81" s="65">
        <v>53250000</v>
      </c>
      <c r="P81" s="66">
        <v>53250000</v>
      </c>
      <c r="Q81" s="66">
        <f t="shared" si="19"/>
        <v>0</v>
      </c>
      <c r="R81" s="63">
        <f t="shared" si="20"/>
        <v>0</v>
      </c>
      <c r="S81" s="83">
        <f t="shared" si="21"/>
        <v>0</v>
      </c>
      <c r="T81" s="64">
        <f t="shared" si="22"/>
        <v>0</v>
      </c>
      <c r="U81" s="66">
        <f t="shared" si="23"/>
        <v>51179494</v>
      </c>
      <c r="V81" s="63">
        <f t="shared" si="24"/>
        <v>53250000</v>
      </c>
      <c r="W81" s="83">
        <f t="shared" si="25"/>
        <v>53250000</v>
      </c>
      <c r="X81" s="64">
        <f t="shared" si="26"/>
        <v>53250000</v>
      </c>
      <c r="Z81" s="67">
        <v>0</v>
      </c>
      <c r="AA81" s="68">
        <v>0</v>
      </c>
      <c r="AB81" s="69">
        <v>53250000</v>
      </c>
      <c r="AC81" s="70">
        <v>53250000</v>
      </c>
      <c r="AD81" s="67">
        <v>0</v>
      </c>
      <c r="AE81" s="68">
        <v>0</v>
      </c>
      <c r="AF81" s="69">
        <v>53250000</v>
      </c>
      <c r="AG81" s="70">
        <v>53250000</v>
      </c>
      <c r="AH81" s="70">
        <f t="shared" si="27"/>
        <v>0</v>
      </c>
      <c r="AI81" s="70">
        <f t="shared" si="28"/>
        <v>0</v>
      </c>
      <c r="AJ81" s="70">
        <f t="shared" si="29"/>
        <v>0</v>
      </c>
      <c r="AK81" s="70">
        <f t="shared" si="30"/>
        <v>0</v>
      </c>
      <c r="AL81" s="70">
        <f t="shared" si="31"/>
        <v>51179494</v>
      </c>
      <c r="AM81" s="70">
        <f t="shared" si="32"/>
        <v>53250000</v>
      </c>
      <c r="AN81" s="70">
        <f t="shared" si="33"/>
        <v>53250000</v>
      </c>
      <c r="AO81" s="70">
        <f t="shared" si="34"/>
        <v>53250000</v>
      </c>
    </row>
    <row r="82" spans="1:41">
      <c r="A82" s="29" t="s">
        <v>65</v>
      </c>
      <c r="B82" s="29" t="s">
        <v>687</v>
      </c>
      <c r="C82" s="107">
        <v>9857442.4800000004</v>
      </c>
      <c r="D82" s="108">
        <v>35300000</v>
      </c>
      <c r="F82" s="107">
        <v>8418736.7799999993</v>
      </c>
      <c r="G82" s="108">
        <v>38650000</v>
      </c>
      <c r="I82" s="64">
        <v>5988457.4800000004</v>
      </c>
      <c r="J82" s="83">
        <v>5738981.6895999974</v>
      </c>
      <c r="K82" s="66">
        <v>38650000</v>
      </c>
      <c r="L82" s="251">
        <v>38650000</v>
      </c>
      <c r="M82" s="63">
        <v>4541001.2552939951</v>
      </c>
      <c r="N82" s="64">
        <v>3088063.4077919978</v>
      </c>
      <c r="O82" s="65">
        <v>38650000</v>
      </c>
      <c r="P82" s="66">
        <v>38650000</v>
      </c>
      <c r="Q82" s="66">
        <f t="shared" si="19"/>
        <v>7071773.2800000012</v>
      </c>
      <c r="R82" s="63">
        <f t="shared" si="20"/>
        <v>5808834.9109119978</v>
      </c>
      <c r="S82" s="83">
        <f t="shared" si="21"/>
        <v>4876435.7768996758</v>
      </c>
      <c r="T82" s="64">
        <f t="shared" si="22"/>
        <v>3494886.0050925571</v>
      </c>
      <c r="U82" s="66">
        <f t="shared" si="23"/>
        <v>37062770</v>
      </c>
      <c r="V82" s="63">
        <f t="shared" si="24"/>
        <v>38650000</v>
      </c>
      <c r="W82" s="83">
        <f t="shared" si="25"/>
        <v>38650000</v>
      </c>
      <c r="X82" s="64">
        <f t="shared" si="26"/>
        <v>38650000</v>
      </c>
      <c r="Z82" s="67">
        <v>8418736.7799999993</v>
      </c>
      <c r="AA82" s="68">
        <v>7864579.1180999987</v>
      </c>
      <c r="AB82" s="69">
        <v>38650000</v>
      </c>
      <c r="AC82" s="70">
        <v>38650000</v>
      </c>
      <c r="AD82" s="67">
        <v>4541001.2552939951</v>
      </c>
      <c r="AE82" s="68">
        <v>3088063.4077919978</v>
      </c>
      <c r="AF82" s="69">
        <v>38650000</v>
      </c>
      <c r="AG82" s="70">
        <v>38650000</v>
      </c>
      <c r="AH82" s="70">
        <f t="shared" si="27"/>
        <v>8821574.3760000002</v>
      </c>
      <c r="AI82" s="70">
        <f t="shared" si="28"/>
        <v>8019743.2634319998</v>
      </c>
      <c r="AJ82" s="70">
        <f t="shared" si="29"/>
        <v>5471603.0568796769</v>
      </c>
      <c r="AK82" s="70">
        <f t="shared" si="30"/>
        <v>3494886.0050925571</v>
      </c>
      <c r="AL82" s="70">
        <f t="shared" si="31"/>
        <v>37062770</v>
      </c>
      <c r="AM82" s="70">
        <f t="shared" si="32"/>
        <v>38650000</v>
      </c>
      <c r="AN82" s="70">
        <f t="shared" si="33"/>
        <v>38650000</v>
      </c>
      <c r="AO82" s="70">
        <f t="shared" si="34"/>
        <v>38650000</v>
      </c>
    </row>
    <row r="83" spans="1:41">
      <c r="A83" s="29" t="s">
        <v>497</v>
      </c>
      <c r="B83" s="29" t="s">
        <v>927</v>
      </c>
      <c r="C83" s="107">
        <v>0</v>
      </c>
      <c r="D83" s="108">
        <v>30000</v>
      </c>
      <c r="F83" s="107">
        <v>0</v>
      </c>
      <c r="G83" s="108">
        <v>30000</v>
      </c>
      <c r="I83" s="64">
        <v>0</v>
      </c>
      <c r="J83" s="83">
        <v>0</v>
      </c>
      <c r="K83" s="66">
        <v>30000</v>
      </c>
      <c r="L83" s="251">
        <v>30000</v>
      </c>
      <c r="M83" s="63">
        <v>0</v>
      </c>
      <c r="N83" s="64">
        <v>0</v>
      </c>
      <c r="O83" s="65">
        <v>30000</v>
      </c>
      <c r="P83" s="66">
        <v>30000</v>
      </c>
      <c r="Q83" s="66">
        <f t="shared" si="19"/>
        <v>0</v>
      </c>
      <c r="R83" s="63">
        <f t="shared" si="20"/>
        <v>0</v>
      </c>
      <c r="S83" s="83">
        <f t="shared" si="21"/>
        <v>0</v>
      </c>
      <c r="T83" s="64">
        <f t="shared" si="22"/>
        <v>0</v>
      </c>
      <c r="U83" s="66">
        <f t="shared" si="23"/>
        <v>30000</v>
      </c>
      <c r="V83" s="63">
        <f t="shared" si="24"/>
        <v>30000</v>
      </c>
      <c r="W83" s="83">
        <f t="shared" si="25"/>
        <v>30000</v>
      </c>
      <c r="X83" s="64">
        <f t="shared" si="26"/>
        <v>30000</v>
      </c>
      <c r="Z83" s="67">
        <v>0</v>
      </c>
      <c r="AA83" s="68">
        <v>0</v>
      </c>
      <c r="AB83" s="69">
        <v>30000</v>
      </c>
      <c r="AC83" s="70">
        <v>30000</v>
      </c>
      <c r="AD83" s="67">
        <v>0</v>
      </c>
      <c r="AE83" s="68">
        <v>0</v>
      </c>
      <c r="AF83" s="69">
        <v>30000</v>
      </c>
      <c r="AG83" s="70">
        <v>30000</v>
      </c>
      <c r="AH83" s="70">
        <f t="shared" si="27"/>
        <v>0</v>
      </c>
      <c r="AI83" s="70">
        <f t="shared" si="28"/>
        <v>0</v>
      </c>
      <c r="AJ83" s="70">
        <f t="shared" si="29"/>
        <v>0</v>
      </c>
      <c r="AK83" s="70">
        <f t="shared" si="30"/>
        <v>0</v>
      </c>
      <c r="AL83" s="70">
        <f t="shared" si="31"/>
        <v>30000</v>
      </c>
      <c r="AM83" s="70">
        <f t="shared" si="32"/>
        <v>30000</v>
      </c>
      <c r="AN83" s="70">
        <f t="shared" si="33"/>
        <v>30000</v>
      </c>
      <c r="AO83" s="70">
        <f t="shared" si="34"/>
        <v>30000</v>
      </c>
    </row>
    <row r="84" spans="1:41">
      <c r="A84" s="29" t="s">
        <v>185</v>
      </c>
      <c r="B84" s="29" t="s">
        <v>688</v>
      </c>
      <c r="C84" s="107">
        <v>8119652.1100000003</v>
      </c>
      <c r="D84" s="108">
        <v>28400000</v>
      </c>
      <c r="F84" s="107">
        <v>6018339.8899999997</v>
      </c>
      <c r="G84" s="108">
        <v>32500000</v>
      </c>
      <c r="I84" s="64">
        <v>4065712.08</v>
      </c>
      <c r="J84" s="83">
        <v>5580083.912600005</v>
      </c>
      <c r="K84" s="66">
        <v>32500000</v>
      </c>
      <c r="L84" s="251">
        <v>33000000</v>
      </c>
      <c r="M84" s="63">
        <v>3761236.833144004</v>
      </c>
      <c r="N84" s="64">
        <v>3732872.0400160034</v>
      </c>
      <c r="O84" s="65">
        <v>33000000</v>
      </c>
      <c r="P84" s="66">
        <v>33000000</v>
      </c>
      <c r="Q84" s="66">
        <f t="shared" si="19"/>
        <v>5200815.2884</v>
      </c>
      <c r="R84" s="63">
        <f t="shared" si="20"/>
        <v>5156059.7994720042</v>
      </c>
      <c r="S84" s="83">
        <f t="shared" si="21"/>
        <v>4270514.0153916841</v>
      </c>
      <c r="T84" s="64">
        <f t="shared" si="22"/>
        <v>3740814.1820918433</v>
      </c>
      <c r="U84" s="66">
        <f t="shared" si="23"/>
        <v>30557420</v>
      </c>
      <c r="V84" s="63">
        <f t="shared" si="24"/>
        <v>32763100</v>
      </c>
      <c r="W84" s="83">
        <f t="shared" si="25"/>
        <v>33000000</v>
      </c>
      <c r="X84" s="64">
        <f t="shared" si="26"/>
        <v>33000000</v>
      </c>
      <c r="Z84" s="67">
        <v>6018339.8899999997</v>
      </c>
      <c r="AA84" s="68">
        <v>7251608.3283999972</v>
      </c>
      <c r="AB84" s="69">
        <v>32500000</v>
      </c>
      <c r="AC84" s="70">
        <v>33000000</v>
      </c>
      <c r="AD84" s="67">
        <v>3761236.833144004</v>
      </c>
      <c r="AE84" s="68">
        <v>3732872.0400160034</v>
      </c>
      <c r="AF84" s="69">
        <v>33000000</v>
      </c>
      <c r="AG84" s="70">
        <v>33000000</v>
      </c>
      <c r="AH84" s="70">
        <f t="shared" si="27"/>
        <v>6606707.3115999997</v>
      </c>
      <c r="AI84" s="70">
        <f t="shared" si="28"/>
        <v>6906293.1656479985</v>
      </c>
      <c r="AJ84" s="70">
        <f t="shared" si="29"/>
        <v>4738540.8518156819</v>
      </c>
      <c r="AK84" s="70">
        <f t="shared" si="30"/>
        <v>3740814.1820918433</v>
      </c>
      <c r="AL84" s="70">
        <f t="shared" si="31"/>
        <v>30557420</v>
      </c>
      <c r="AM84" s="70">
        <f t="shared" si="32"/>
        <v>32763100</v>
      </c>
      <c r="AN84" s="70">
        <f t="shared" si="33"/>
        <v>33000000</v>
      </c>
      <c r="AO84" s="70">
        <f t="shared" si="34"/>
        <v>33000000</v>
      </c>
    </row>
    <row r="85" spans="1:41">
      <c r="A85" s="29" t="s">
        <v>541</v>
      </c>
      <c r="B85" s="29" t="s">
        <v>689</v>
      </c>
      <c r="C85" s="107">
        <v>0</v>
      </c>
      <c r="D85" s="108">
        <v>8273000</v>
      </c>
      <c r="F85" s="107">
        <v>0</v>
      </c>
      <c r="G85" s="108">
        <v>8617676</v>
      </c>
      <c r="I85" s="64">
        <v>0</v>
      </c>
      <c r="J85" s="83">
        <v>0</v>
      </c>
      <c r="K85" s="66">
        <v>8617676</v>
      </c>
      <c r="L85" s="251">
        <v>8687000</v>
      </c>
      <c r="M85" s="63">
        <v>0</v>
      </c>
      <c r="N85" s="64">
        <v>0</v>
      </c>
      <c r="O85" s="65">
        <v>8687000</v>
      </c>
      <c r="P85" s="66">
        <v>8687000</v>
      </c>
      <c r="Q85" s="66">
        <f t="shared" si="19"/>
        <v>0</v>
      </c>
      <c r="R85" s="63">
        <f t="shared" si="20"/>
        <v>0</v>
      </c>
      <c r="S85" s="83">
        <f t="shared" si="21"/>
        <v>0</v>
      </c>
      <c r="T85" s="64">
        <f t="shared" si="22"/>
        <v>0</v>
      </c>
      <c r="U85" s="66">
        <f t="shared" si="23"/>
        <v>8454368.5111999996</v>
      </c>
      <c r="V85" s="63">
        <f t="shared" si="24"/>
        <v>8654154.2888000011</v>
      </c>
      <c r="W85" s="83">
        <f t="shared" si="25"/>
        <v>8687000</v>
      </c>
      <c r="X85" s="64">
        <f t="shared" si="26"/>
        <v>8687000</v>
      </c>
      <c r="Z85" s="67">
        <v>0</v>
      </c>
      <c r="AA85" s="68">
        <v>0</v>
      </c>
      <c r="AB85" s="69">
        <v>8617676</v>
      </c>
      <c r="AC85" s="70">
        <v>8687000</v>
      </c>
      <c r="AD85" s="67">
        <v>0</v>
      </c>
      <c r="AE85" s="68">
        <v>0</v>
      </c>
      <c r="AF85" s="69">
        <v>8687000</v>
      </c>
      <c r="AG85" s="70">
        <v>8687000</v>
      </c>
      <c r="AH85" s="70">
        <f t="shared" si="27"/>
        <v>0</v>
      </c>
      <c r="AI85" s="70">
        <f t="shared" si="28"/>
        <v>0</v>
      </c>
      <c r="AJ85" s="70">
        <f t="shared" si="29"/>
        <v>0</v>
      </c>
      <c r="AK85" s="70">
        <f t="shared" si="30"/>
        <v>0</v>
      </c>
      <c r="AL85" s="70">
        <f t="shared" si="31"/>
        <v>8454368.5111999996</v>
      </c>
      <c r="AM85" s="70">
        <f t="shared" si="32"/>
        <v>8654154.2888000011</v>
      </c>
      <c r="AN85" s="70">
        <f t="shared" si="33"/>
        <v>8687000</v>
      </c>
      <c r="AO85" s="70">
        <f t="shared" si="34"/>
        <v>8687000</v>
      </c>
    </row>
    <row r="86" spans="1:41">
      <c r="A86" s="29" t="s">
        <v>389</v>
      </c>
      <c r="B86" s="29" t="s">
        <v>690</v>
      </c>
      <c r="C86" s="107">
        <v>0</v>
      </c>
      <c r="D86" s="108">
        <v>9800000</v>
      </c>
      <c r="F86" s="107">
        <v>0</v>
      </c>
      <c r="G86" s="108">
        <v>9900000</v>
      </c>
      <c r="I86" s="64">
        <v>0</v>
      </c>
      <c r="J86" s="83">
        <v>0</v>
      </c>
      <c r="K86" s="66">
        <v>9900000</v>
      </c>
      <c r="L86" s="251">
        <v>9900000</v>
      </c>
      <c r="M86" s="63">
        <v>0</v>
      </c>
      <c r="N86" s="64">
        <v>0</v>
      </c>
      <c r="O86" s="65">
        <v>9900000</v>
      </c>
      <c r="P86" s="66">
        <v>9900000</v>
      </c>
      <c r="Q86" s="66">
        <f t="shared" si="19"/>
        <v>0</v>
      </c>
      <c r="R86" s="63">
        <f t="shared" si="20"/>
        <v>0</v>
      </c>
      <c r="S86" s="83">
        <f t="shared" si="21"/>
        <v>0</v>
      </c>
      <c r="T86" s="64">
        <f t="shared" si="22"/>
        <v>0</v>
      </c>
      <c r="U86" s="66">
        <f t="shared" si="23"/>
        <v>9852620</v>
      </c>
      <c r="V86" s="63">
        <f t="shared" si="24"/>
        <v>9900000</v>
      </c>
      <c r="W86" s="83">
        <f t="shared" si="25"/>
        <v>9900000</v>
      </c>
      <c r="X86" s="64">
        <f t="shared" si="26"/>
        <v>9900000</v>
      </c>
      <c r="Z86" s="67">
        <v>0</v>
      </c>
      <c r="AA86" s="68">
        <v>0</v>
      </c>
      <c r="AB86" s="69">
        <v>9900000</v>
      </c>
      <c r="AC86" s="70">
        <v>9900000</v>
      </c>
      <c r="AD86" s="67">
        <v>0</v>
      </c>
      <c r="AE86" s="68">
        <v>0</v>
      </c>
      <c r="AF86" s="69">
        <v>9900000</v>
      </c>
      <c r="AG86" s="70">
        <v>9900000</v>
      </c>
      <c r="AH86" s="70">
        <f t="shared" si="27"/>
        <v>0</v>
      </c>
      <c r="AI86" s="70">
        <f t="shared" si="28"/>
        <v>0</v>
      </c>
      <c r="AJ86" s="70">
        <f t="shared" si="29"/>
        <v>0</v>
      </c>
      <c r="AK86" s="70">
        <f t="shared" si="30"/>
        <v>0</v>
      </c>
      <c r="AL86" s="70">
        <f t="shared" si="31"/>
        <v>9852620</v>
      </c>
      <c r="AM86" s="70">
        <f t="shared" si="32"/>
        <v>9900000</v>
      </c>
      <c r="AN86" s="70">
        <f t="shared" si="33"/>
        <v>9900000</v>
      </c>
      <c r="AO86" s="70">
        <f t="shared" si="34"/>
        <v>9900000</v>
      </c>
    </row>
    <row r="87" spans="1:41">
      <c r="A87" s="29" t="s">
        <v>23</v>
      </c>
      <c r="B87" s="29" t="s">
        <v>691</v>
      </c>
      <c r="C87" s="107">
        <v>501296.07</v>
      </c>
      <c r="D87" s="108">
        <v>1125000</v>
      </c>
      <c r="F87" s="107">
        <v>532870.36</v>
      </c>
      <c r="G87" s="108">
        <v>1177099</v>
      </c>
      <c r="I87" s="64">
        <v>532870.36</v>
      </c>
      <c r="J87" s="83">
        <v>580314.57399999991</v>
      </c>
      <c r="K87" s="66">
        <v>1177099</v>
      </c>
      <c r="L87" s="251">
        <v>1175000</v>
      </c>
      <c r="M87" s="63">
        <v>557671.89509999962</v>
      </c>
      <c r="N87" s="64">
        <v>563240.36580000015</v>
      </c>
      <c r="O87" s="65">
        <v>1175000</v>
      </c>
      <c r="P87" s="66">
        <v>1175000</v>
      </c>
      <c r="Q87" s="66">
        <f t="shared" si="19"/>
        <v>524029.5588</v>
      </c>
      <c r="R87" s="63">
        <f t="shared" si="20"/>
        <v>567030.19407999993</v>
      </c>
      <c r="S87" s="83">
        <f t="shared" si="21"/>
        <v>564011.84519199969</v>
      </c>
      <c r="T87" s="64">
        <f t="shared" si="22"/>
        <v>561681.19400399993</v>
      </c>
      <c r="U87" s="66">
        <f t="shared" si="23"/>
        <v>1152414.4938000001</v>
      </c>
      <c r="V87" s="63">
        <f t="shared" si="24"/>
        <v>1175994.5061999999</v>
      </c>
      <c r="W87" s="83">
        <f t="shared" si="25"/>
        <v>1175000</v>
      </c>
      <c r="X87" s="64">
        <f t="shared" si="26"/>
        <v>1175000</v>
      </c>
      <c r="Z87" s="67">
        <v>532870.36</v>
      </c>
      <c r="AA87" s="68">
        <v>580314.57399999991</v>
      </c>
      <c r="AB87" s="69">
        <v>1177099</v>
      </c>
      <c r="AC87" s="70">
        <v>1175000</v>
      </c>
      <c r="AD87" s="67">
        <v>557671.89509999962</v>
      </c>
      <c r="AE87" s="68">
        <v>563240.36580000015</v>
      </c>
      <c r="AF87" s="69">
        <v>1175000</v>
      </c>
      <c r="AG87" s="70">
        <v>1175000</v>
      </c>
      <c r="AH87" s="70">
        <f t="shared" si="27"/>
        <v>524029.5588</v>
      </c>
      <c r="AI87" s="70">
        <f t="shared" si="28"/>
        <v>567030.19407999993</v>
      </c>
      <c r="AJ87" s="70">
        <f t="shared" si="29"/>
        <v>564011.84519199969</v>
      </c>
      <c r="AK87" s="70">
        <f t="shared" si="30"/>
        <v>561681.19400399993</v>
      </c>
      <c r="AL87" s="70">
        <f t="shared" si="31"/>
        <v>1152414.4938000001</v>
      </c>
      <c r="AM87" s="70">
        <f t="shared" si="32"/>
        <v>1175994.5061999999</v>
      </c>
      <c r="AN87" s="70">
        <f t="shared" si="33"/>
        <v>1175000</v>
      </c>
      <c r="AO87" s="70">
        <f t="shared" si="34"/>
        <v>1175000</v>
      </c>
    </row>
    <row r="88" spans="1:41">
      <c r="A88" s="29" t="s">
        <v>381</v>
      </c>
      <c r="B88" s="29" t="s">
        <v>692</v>
      </c>
      <c r="C88" s="107">
        <v>3946088.44</v>
      </c>
      <c r="D88" s="108">
        <v>21000000</v>
      </c>
      <c r="F88" s="107">
        <v>3039828.92</v>
      </c>
      <c r="G88" s="108">
        <v>22000000</v>
      </c>
      <c r="I88" s="64">
        <v>2502680.34</v>
      </c>
      <c r="J88" s="83">
        <v>2380072.2590000005</v>
      </c>
      <c r="K88" s="66">
        <v>22000000</v>
      </c>
      <c r="L88" s="251">
        <v>18199387.787500001</v>
      </c>
      <c r="M88" s="63">
        <v>1869993.2894999995</v>
      </c>
      <c r="N88" s="64">
        <v>1633860.5511000012</v>
      </c>
      <c r="O88" s="65">
        <v>19817701.392499998</v>
      </c>
      <c r="P88" s="66">
        <v>21119854.635000002</v>
      </c>
      <c r="Q88" s="66">
        <f t="shared" si="19"/>
        <v>2906834.608</v>
      </c>
      <c r="R88" s="63">
        <f t="shared" si="20"/>
        <v>2414402.5216800002</v>
      </c>
      <c r="S88" s="83">
        <f t="shared" si="21"/>
        <v>2012815.4009599998</v>
      </c>
      <c r="T88" s="64">
        <f t="shared" si="22"/>
        <v>1699977.7178520006</v>
      </c>
      <c r="U88" s="66">
        <f t="shared" si="23"/>
        <v>21526200</v>
      </c>
      <c r="V88" s="63">
        <f t="shared" si="24"/>
        <v>20000117.853782501</v>
      </c>
      <c r="W88" s="83">
        <f t="shared" si="25"/>
        <v>19050944.406451002</v>
      </c>
      <c r="X88" s="64">
        <f t="shared" si="26"/>
        <v>20502894.428703502</v>
      </c>
      <c r="Z88" s="67">
        <v>3039828.92</v>
      </c>
      <c r="AA88" s="68">
        <v>2809792.3358000014</v>
      </c>
      <c r="AB88" s="69">
        <v>22000000</v>
      </c>
      <c r="AC88" s="70">
        <v>18199387.787500001</v>
      </c>
      <c r="AD88" s="67">
        <v>1869993.2894999995</v>
      </c>
      <c r="AE88" s="68">
        <v>1633860.5511000012</v>
      </c>
      <c r="AF88" s="69">
        <v>19817701.392499998</v>
      </c>
      <c r="AG88" s="70">
        <v>21119854.635000002</v>
      </c>
      <c r="AH88" s="70">
        <f t="shared" si="27"/>
        <v>3293581.5855999999</v>
      </c>
      <c r="AI88" s="70">
        <f t="shared" si="28"/>
        <v>2874202.5793760009</v>
      </c>
      <c r="AJ88" s="70">
        <f t="shared" si="29"/>
        <v>2133137.0224640002</v>
      </c>
      <c r="AK88" s="70">
        <f t="shared" si="30"/>
        <v>1699977.7178520006</v>
      </c>
      <c r="AL88" s="70">
        <f t="shared" si="31"/>
        <v>21526200</v>
      </c>
      <c r="AM88" s="70">
        <f t="shared" si="32"/>
        <v>20000117.853782501</v>
      </c>
      <c r="AN88" s="70">
        <f t="shared" si="33"/>
        <v>19050944.406451002</v>
      </c>
      <c r="AO88" s="70">
        <f t="shared" si="34"/>
        <v>20502894.428703502</v>
      </c>
    </row>
    <row r="89" spans="1:41">
      <c r="A89" s="29" t="s">
        <v>465</v>
      </c>
      <c r="B89" s="29" t="s">
        <v>693</v>
      </c>
      <c r="C89" s="107">
        <v>263248.59000000003</v>
      </c>
      <c r="D89" s="108">
        <v>1206738</v>
      </c>
      <c r="F89" s="107">
        <v>173970.13</v>
      </c>
      <c r="G89" s="108">
        <v>1318023</v>
      </c>
      <c r="I89" s="64">
        <v>76557.98</v>
      </c>
      <c r="J89" s="83">
        <v>68832.729100000026</v>
      </c>
      <c r="K89" s="66">
        <v>1318023</v>
      </c>
      <c r="L89" s="251">
        <v>1449825</v>
      </c>
      <c r="M89" s="63">
        <v>42672.699899999985</v>
      </c>
      <c r="N89" s="64">
        <v>28019.46698600013</v>
      </c>
      <c r="O89" s="65">
        <v>1594808</v>
      </c>
      <c r="P89" s="66">
        <v>1594808</v>
      </c>
      <c r="Q89" s="66">
        <f t="shared" si="19"/>
        <v>128831.35080000001</v>
      </c>
      <c r="R89" s="63">
        <f t="shared" si="20"/>
        <v>70995.799352000016</v>
      </c>
      <c r="S89" s="83">
        <f t="shared" si="21"/>
        <v>49997.508075999998</v>
      </c>
      <c r="T89" s="64">
        <f t="shared" si="22"/>
        <v>32122.37220192009</v>
      </c>
      <c r="U89" s="66">
        <f t="shared" si="23"/>
        <v>1265296.1669999999</v>
      </c>
      <c r="V89" s="63">
        <f t="shared" si="24"/>
        <v>1387377.2124000001</v>
      </c>
      <c r="W89" s="83">
        <f t="shared" si="25"/>
        <v>1526115.0545999999</v>
      </c>
      <c r="X89" s="64">
        <f t="shared" si="26"/>
        <v>1594808</v>
      </c>
      <c r="Z89" s="67">
        <v>173970.13</v>
      </c>
      <c r="AA89" s="68">
        <v>158535.37409999999</v>
      </c>
      <c r="AB89" s="69">
        <v>1318023</v>
      </c>
      <c r="AC89" s="70">
        <v>1449825</v>
      </c>
      <c r="AD89" s="67">
        <v>42672.699899999985</v>
      </c>
      <c r="AE89" s="68">
        <v>28019.46698600013</v>
      </c>
      <c r="AF89" s="69">
        <v>1594808</v>
      </c>
      <c r="AG89" s="70">
        <v>1594808</v>
      </c>
      <c r="AH89" s="70">
        <f t="shared" si="27"/>
        <v>198968.09880000004</v>
      </c>
      <c r="AI89" s="70">
        <f t="shared" si="28"/>
        <v>162857.105752</v>
      </c>
      <c r="AJ89" s="70">
        <f t="shared" si="29"/>
        <v>75114.248675999988</v>
      </c>
      <c r="AK89" s="70">
        <f t="shared" si="30"/>
        <v>32122.37220192009</v>
      </c>
      <c r="AL89" s="70">
        <f t="shared" si="31"/>
        <v>1265296.1669999999</v>
      </c>
      <c r="AM89" s="70">
        <f t="shared" si="32"/>
        <v>1387377.2124000001</v>
      </c>
      <c r="AN89" s="70">
        <f t="shared" si="33"/>
        <v>1526115.0545999999</v>
      </c>
      <c r="AO89" s="70">
        <f t="shared" si="34"/>
        <v>1594808</v>
      </c>
    </row>
    <row r="90" spans="1:41">
      <c r="A90" s="29" t="s">
        <v>567</v>
      </c>
      <c r="B90" s="29" t="s">
        <v>694</v>
      </c>
      <c r="C90" s="107">
        <v>65549.919999999998</v>
      </c>
      <c r="D90" s="108">
        <v>176040</v>
      </c>
      <c r="F90" s="107">
        <v>70966.73</v>
      </c>
      <c r="G90" s="108">
        <v>176040</v>
      </c>
      <c r="I90" s="64">
        <v>35779.370000000003</v>
      </c>
      <c r="J90" s="83">
        <v>48406.95659999999</v>
      </c>
      <c r="K90" s="66">
        <v>176040</v>
      </c>
      <c r="L90" s="251">
        <v>176040</v>
      </c>
      <c r="M90" s="63">
        <v>55989.772799999984</v>
      </c>
      <c r="N90" s="64">
        <v>61468.372799999983</v>
      </c>
      <c r="O90" s="65">
        <v>176040</v>
      </c>
      <c r="P90" s="66">
        <v>176040</v>
      </c>
      <c r="Q90" s="66">
        <f t="shared" si="19"/>
        <v>44115.124000000003</v>
      </c>
      <c r="R90" s="63">
        <f t="shared" si="20"/>
        <v>44871.232351999992</v>
      </c>
      <c r="S90" s="83">
        <f t="shared" si="21"/>
        <v>53866.584263999983</v>
      </c>
      <c r="T90" s="64">
        <f t="shared" si="22"/>
        <v>59934.364799999981</v>
      </c>
      <c r="U90" s="66">
        <f t="shared" si="23"/>
        <v>176040</v>
      </c>
      <c r="V90" s="63">
        <f t="shared" si="24"/>
        <v>176040</v>
      </c>
      <c r="W90" s="83">
        <f t="shared" si="25"/>
        <v>176040</v>
      </c>
      <c r="X90" s="64">
        <f t="shared" si="26"/>
        <v>176040</v>
      </c>
      <c r="Z90" s="67">
        <v>70966.73</v>
      </c>
      <c r="AA90" s="68">
        <v>83506.446999999986</v>
      </c>
      <c r="AB90" s="69">
        <v>176040</v>
      </c>
      <c r="AC90" s="70">
        <v>176040</v>
      </c>
      <c r="AD90" s="67">
        <v>55989.772799999984</v>
      </c>
      <c r="AE90" s="68">
        <v>61468.372799999983</v>
      </c>
      <c r="AF90" s="69">
        <v>176040</v>
      </c>
      <c r="AG90" s="70">
        <v>176040</v>
      </c>
      <c r="AH90" s="70">
        <f t="shared" si="27"/>
        <v>69450.023199999996</v>
      </c>
      <c r="AI90" s="70">
        <f t="shared" si="28"/>
        <v>79995.326239999995</v>
      </c>
      <c r="AJ90" s="70">
        <f t="shared" si="29"/>
        <v>63694.441575999983</v>
      </c>
      <c r="AK90" s="70">
        <f t="shared" si="30"/>
        <v>59934.364799999981</v>
      </c>
      <c r="AL90" s="70">
        <f t="shared" si="31"/>
        <v>176040</v>
      </c>
      <c r="AM90" s="70">
        <f t="shared" si="32"/>
        <v>176040</v>
      </c>
      <c r="AN90" s="70">
        <f t="shared" si="33"/>
        <v>176040</v>
      </c>
      <c r="AO90" s="70">
        <f t="shared" si="34"/>
        <v>176040</v>
      </c>
    </row>
    <row r="91" spans="1:41">
      <c r="A91" s="29" t="s">
        <v>259</v>
      </c>
      <c r="B91" s="29" t="s">
        <v>695</v>
      </c>
      <c r="C91" s="107">
        <v>18570.41</v>
      </c>
      <c r="D91" s="108">
        <v>110000</v>
      </c>
      <c r="F91" s="107">
        <v>8411.7900000000009</v>
      </c>
      <c r="G91" s="108">
        <v>110000</v>
      </c>
      <c r="I91" s="64">
        <v>1255.9000000000001</v>
      </c>
      <c r="J91" s="83">
        <v>13927.749000000014</v>
      </c>
      <c r="K91" s="66">
        <v>110000</v>
      </c>
      <c r="L91" s="251">
        <v>110000</v>
      </c>
      <c r="M91" s="63">
        <v>14761.215</v>
      </c>
      <c r="N91" s="64">
        <v>13979.731500000016</v>
      </c>
      <c r="O91" s="65">
        <v>110000</v>
      </c>
      <c r="P91" s="66">
        <v>110000</v>
      </c>
      <c r="Q91" s="66">
        <f t="shared" si="19"/>
        <v>6103.9628000000012</v>
      </c>
      <c r="R91" s="63">
        <f t="shared" si="20"/>
        <v>10379.631280000011</v>
      </c>
      <c r="S91" s="83">
        <f t="shared" si="21"/>
        <v>14527.844520000004</v>
      </c>
      <c r="T91" s="64">
        <f t="shared" si="22"/>
        <v>14198.546880000013</v>
      </c>
      <c r="U91" s="66">
        <f t="shared" si="23"/>
        <v>110000</v>
      </c>
      <c r="V91" s="63">
        <f t="shared" si="24"/>
        <v>110000</v>
      </c>
      <c r="W91" s="83">
        <f t="shared" si="25"/>
        <v>110000</v>
      </c>
      <c r="X91" s="64">
        <f t="shared" si="26"/>
        <v>110000</v>
      </c>
      <c r="Z91" s="67">
        <v>8411.7900000000009</v>
      </c>
      <c r="AA91" s="68">
        <v>21441.45570000002</v>
      </c>
      <c r="AB91" s="69">
        <v>110000</v>
      </c>
      <c r="AC91" s="70">
        <v>110000</v>
      </c>
      <c r="AD91" s="67">
        <v>14761.215</v>
      </c>
      <c r="AE91" s="68">
        <v>13979.731500000016</v>
      </c>
      <c r="AF91" s="69">
        <v>110000</v>
      </c>
      <c r="AG91" s="70">
        <v>110000</v>
      </c>
      <c r="AH91" s="70">
        <f t="shared" si="27"/>
        <v>11256.203600000001</v>
      </c>
      <c r="AI91" s="70">
        <f t="shared" si="28"/>
        <v>17793.149304000013</v>
      </c>
      <c r="AJ91" s="70">
        <f t="shared" si="29"/>
        <v>16631.682396000007</v>
      </c>
      <c r="AK91" s="70">
        <f t="shared" si="30"/>
        <v>14198.546880000013</v>
      </c>
      <c r="AL91" s="70">
        <f t="shared" si="31"/>
        <v>110000</v>
      </c>
      <c r="AM91" s="70">
        <f t="shared" si="32"/>
        <v>110000</v>
      </c>
      <c r="AN91" s="70">
        <f t="shared" si="33"/>
        <v>110000</v>
      </c>
      <c r="AO91" s="70">
        <f t="shared" si="34"/>
        <v>110000</v>
      </c>
    </row>
    <row r="92" spans="1:41">
      <c r="A92" s="29" t="s">
        <v>265</v>
      </c>
      <c r="B92" s="29" t="s">
        <v>696</v>
      </c>
      <c r="C92" s="107">
        <v>0</v>
      </c>
      <c r="D92" s="108">
        <v>2315399</v>
      </c>
      <c r="F92" s="107">
        <v>1865851.44</v>
      </c>
      <c r="G92" s="108">
        <v>2522224</v>
      </c>
      <c r="I92" s="64">
        <v>1865851.44</v>
      </c>
      <c r="J92" s="83">
        <v>2055613.4536000004</v>
      </c>
      <c r="K92" s="66">
        <v>2522224</v>
      </c>
      <c r="L92" s="251">
        <v>2572668</v>
      </c>
      <c r="M92" s="63">
        <v>2163911.6597999991</v>
      </c>
      <c r="N92" s="64">
        <v>2336640.1803000001</v>
      </c>
      <c r="O92" s="65">
        <v>2624121</v>
      </c>
      <c r="P92" s="66">
        <v>2624121</v>
      </c>
      <c r="Q92" s="66">
        <f t="shared" si="19"/>
        <v>1343413.0367999999</v>
      </c>
      <c r="R92" s="63">
        <f t="shared" si="20"/>
        <v>2002480.0897920004</v>
      </c>
      <c r="S92" s="83">
        <f t="shared" si="21"/>
        <v>2133588.1620639996</v>
      </c>
      <c r="T92" s="64">
        <f t="shared" si="22"/>
        <v>2288276.1945599997</v>
      </c>
      <c r="U92" s="66">
        <f t="shared" si="23"/>
        <v>2424230.3149999999</v>
      </c>
      <c r="V92" s="63">
        <f t="shared" si="24"/>
        <v>2548767.6327999998</v>
      </c>
      <c r="W92" s="83">
        <f t="shared" si="25"/>
        <v>2599742.5685999999</v>
      </c>
      <c r="X92" s="64">
        <f t="shared" si="26"/>
        <v>2624121</v>
      </c>
      <c r="Z92" s="67">
        <v>1865851.44</v>
      </c>
      <c r="AA92" s="68">
        <v>2055613.4536000004</v>
      </c>
      <c r="AB92" s="69">
        <v>2522224</v>
      </c>
      <c r="AC92" s="70">
        <v>2572668</v>
      </c>
      <c r="AD92" s="67">
        <v>2163911.6597999991</v>
      </c>
      <c r="AE92" s="68">
        <v>2336640.1803000001</v>
      </c>
      <c r="AF92" s="69">
        <v>2624121</v>
      </c>
      <c r="AG92" s="70">
        <v>2624121</v>
      </c>
      <c r="AH92" s="70">
        <f t="shared" si="27"/>
        <v>1343413.0367999999</v>
      </c>
      <c r="AI92" s="70">
        <f t="shared" si="28"/>
        <v>2002480.0897920004</v>
      </c>
      <c r="AJ92" s="70">
        <f t="shared" si="29"/>
        <v>2133588.1620639996</v>
      </c>
      <c r="AK92" s="70">
        <f t="shared" si="30"/>
        <v>2288276.1945599997</v>
      </c>
      <c r="AL92" s="70">
        <f t="shared" si="31"/>
        <v>2424230.3149999999</v>
      </c>
      <c r="AM92" s="70">
        <f t="shared" si="32"/>
        <v>2548767.6327999998</v>
      </c>
      <c r="AN92" s="70">
        <f t="shared" si="33"/>
        <v>2599742.5685999999</v>
      </c>
      <c r="AO92" s="70">
        <f t="shared" si="34"/>
        <v>2624121</v>
      </c>
    </row>
    <row r="93" spans="1:41">
      <c r="A93" s="29" t="s">
        <v>139</v>
      </c>
      <c r="B93" s="29" t="s">
        <v>697</v>
      </c>
      <c r="C93" s="107">
        <v>643103.92000000004</v>
      </c>
      <c r="D93" s="108">
        <v>806022</v>
      </c>
      <c r="F93" s="107">
        <v>653384.29</v>
      </c>
      <c r="G93" s="108">
        <v>845307</v>
      </c>
      <c r="I93" s="64">
        <v>622476.93000000005</v>
      </c>
      <c r="J93" s="83">
        <v>600624.14279999991</v>
      </c>
      <c r="K93" s="66">
        <v>845307</v>
      </c>
      <c r="L93" s="251">
        <v>845307</v>
      </c>
      <c r="M93" s="63">
        <v>615306.6068999999</v>
      </c>
      <c r="N93" s="64">
        <v>647437.821</v>
      </c>
      <c r="O93" s="65">
        <v>845307</v>
      </c>
      <c r="P93" s="66">
        <v>845307</v>
      </c>
      <c r="Q93" s="66">
        <f t="shared" si="19"/>
        <v>628252.48720000009</v>
      </c>
      <c r="R93" s="63">
        <f t="shared" si="20"/>
        <v>606742.92321599997</v>
      </c>
      <c r="S93" s="83">
        <f t="shared" si="21"/>
        <v>611195.51695199986</v>
      </c>
      <c r="T93" s="64">
        <f t="shared" si="22"/>
        <v>638441.08105199994</v>
      </c>
      <c r="U93" s="66">
        <f t="shared" si="23"/>
        <v>826693.76699999999</v>
      </c>
      <c r="V93" s="63">
        <f t="shared" si="24"/>
        <v>845307</v>
      </c>
      <c r="W93" s="83">
        <f t="shared" si="25"/>
        <v>845307</v>
      </c>
      <c r="X93" s="64">
        <f t="shared" si="26"/>
        <v>845307</v>
      </c>
      <c r="Z93" s="67">
        <v>653384.29</v>
      </c>
      <c r="AA93" s="68">
        <v>791539.79200000002</v>
      </c>
      <c r="AB93" s="69">
        <v>845307</v>
      </c>
      <c r="AC93" s="70">
        <v>845307</v>
      </c>
      <c r="AD93" s="67">
        <v>615306.6068999999</v>
      </c>
      <c r="AE93" s="68">
        <v>647437.821</v>
      </c>
      <c r="AF93" s="69">
        <v>845307</v>
      </c>
      <c r="AG93" s="70">
        <v>845307</v>
      </c>
      <c r="AH93" s="70">
        <f t="shared" si="27"/>
        <v>650505.7864000001</v>
      </c>
      <c r="AI93" s="70">
        <f t="shared" si="28"/>
        <v>752856.25144000002</v>
      </c>
      <c r="AJ93" s="70">
        <f t="shared" si="29"/>
        <v>664651.898728</v>
      </c>
      <c r="AK93" s="70">
        <f t="shared" si="30"/>
        <v>638441.08105199994</v>
      </c>
      <c r="AL93" s="70">
        <f t="shared" si="31"/>
        <v>826693.76699999999</v>
      </c>
      <c r="AM93" s="70">
        <f t="shared" si="32"/>
        <v>845307</v>
      </c>
      <c r="AN93" s="70">
        <f t="shared" si="33"/>
        <v>845307</v>
      </c>
      <c r="AO93" s="70">
        <f t="shared" si="34"/>
        <v>845307</v>
      </c>
    </row>
    <row r="94" spans="1:41">
      <c r="A94" s="29" t="s">
        <v>593</v>
      </c>
      <c r="B94" s="29" t="s">
        <v>698</v>
      </c>
      <c r="C94" s="107">
        <v>4250634.0199999996</v>
      </c>
      <c r="D94" s="108">
        <v>1800000</v>
      </c>
      <c r="F94" s="107">
        <v>4357464.32</v>
      </c>
      <c r="G94" s="108">
        <v>1850000</v>
      </c>
      <c r="I94" s="64">
        <v>4282369.75</v>
      </c>
      <c r="J94" s="83">
        <v>4554662.4105999991</v>
      </c>
      <c r="K94" s="66">
        <v>1850000</v>
      </c>
      <c r="L94" s="251">
        <v>1850000</v>
      </c>
      <c r="M94" s="63">
        <v>4598645.3987599993</v>
      </c>
      <c r="N94" s="64">
        <v>4500424.1433199998</v>
      </c>
      <c r="O94" s="65">
        <v>1850000</v>
      </c>
      <c r="P94" s="66">
        <v>1850000</v>
      </c>
      <c r="Q94" s="66">
        <f t="shared" si="19"/>
        <v>4273483.7456</v>
      </c>
      <c r="R94" s="63">
        <f t="shared" si="20"/>
        <v>4478420.4656319991</v>
      </c>
      <c r="S94" s="83">
        <f t="shared" si="21"/>
        <v>4586330.1620751992</v>
      </c>
      <c r="T94" s="64">
        <f t="shared" si="22"/>
        <v>4527926.0948431995</v>
      </c>
      <c r="U94" s="66">
        <f t="shared" si="23"/>
        <v>1826310</v>
      </c>
      <c r="V94" s="63">
        <f t="shared" si="24"/>
        <v>1850000</v>
      </c>
      <c r="W94" s="83">
        <f t="shared" si="25"/>
        <v>1850000</v>
      </c>
      <c r="X94" s="64">
        <f t="shared" si="26"/>
        <v>1850000</v>
      </c>
      <c r="Z94" s="67">
        <v>4357464.32</v>
      </c>
      <c r="AA94" s="68">
        <v>4569672.0611000005</v>
      </c>
      <c r="AB94" s="69">
        <v>1850000</v>
      </c>
      <c r="AC94" s="70">
        <v>1850000</v>
      </c>
      <c r="AD94" s="67">
        <v>4598645.3987599993</v>
      </c>
      <c r="AE94" s="68">
        <v>4500424.1433199998</v>
      </c>
      <c r="AF94" s="69">
        <v>1850000</v>
      </c>
      <c r="AG94" s="70">
        <v>1850000</v>
      </c>
      <c r="AH94" s="70">
        <f t="shared" si="27"/>
        <v>4327551.8360000001</v>
      </c>
      <c r="AI94" s="70">
        <f t="shared" si="28"/>
        <v>4510253.893592</v>
      </c>
      <c r="AJ94" s="70">
        <f t="shared" si="29"/>
        <v>4590532.8642151998</v>
      </c>
      <c r="AK94" s="70">
        <f t="shared" si="30"/>
        <v>4527926.0948431995</v>
      </c>
      <c r="AL94" s="70">
        <f t="shared" si="31"/>
        <v>1826310</v>
      </c>
      <c r="AM94" s="70">
        <f t="shared" si="32"/>
        <v>1850000</v>
      </c>
      <c r="AN94" s="70">
        <f t="shared" si="33"/>
        <v>1850000</v>
      </c>
      <c r="AO94" s="70">
        <f t="shared" si="34"/>
        <v>1850000</v>
      </c>
    </row>
    <row r="95" spans="1:41">
      <c r="A95" s="29" t="s">
        <v>601</v>
      </c>
      <c r="B95" s="29" t="s">
        <v>699</v>
      </c>
      <c r="C95" s="107">
        <v>1714867.62</v>
      </c>
      <c r="D95" s="108">
        <v>626000</v>
      </c>
      <c r="F95" s="107">
        <v>1770149.17</v>
      </c>
      <c r="G95" s="108">
        <v>715000</v>
      </c>
      <c r="I95" s="64">
        <v>1755448.3</v>
      </c>
      <c r="J95" s="83">
        <v>1827358.8702000002</v>
      </c>
      <c r="K95" s="66">
        <v>715000</v>
      </c>
      <c r="L95" s="251">
        <v>760000</v>
      </c>
      <c r="M95" s="63">
        <v>1872534.7622999998</v>
      </c>
      <c r="N95" s="64">
        <v>1840611.4557120001</v>
      </c>
      <c r="O95" s="65">
        <v>810000</v>
      </c>
      <c r="P95" s="66">
        <v>810000</v>
      </c>
      <c r="Q95" s="66">
        <f t="shared" si="19"/>
        <v>1744085.7096000002</v>
      </c>
      <c r="R95" s="63">
        <f t="shared" si="20"/>
        <v>1807223.9105440001</v>
      </c>
      <c r="S95" s="83">
        <f t="shared" si="21"/>
        <v>1859885.512512</v>
      </c>
      <c r="T95" s="64">
        <f t="shared" si="22"/>
        <v>1849549.98155664</v>
      </c>
      <c r="U95" s="66">
        <f t="shared" si="23"/>
        <v>672831.8</v>
      </c>
      <c r="V95" s="63">
        <f t="shared" si="24"/>
        <v>738679</v>
      </c>
      <c r="W95" s="83">
        <f t="shared" si="25"/>
        <v>786310</v>
      </c>
      <c r="X95" s="64">
        <f t="shared" si="26"/>
        <v>810000</v>
      </c>
      <c r="Z95" s="67">
        <v>1770149.17</v>
      </c>
      <c r="AA95" s="68">
        <v>1827358.8702000002</v>
      </c>
      <c r="AB95" s="69">
        <v>715000</v>
      </c>
      <c r="AC95" s="70">
        <v>760000</v>
      </c>
      <c r="AD95" s="67">
        <v>1872534.7622999998</v>
      </c>
      <c r="AE95" s="68">
        <v>1840611.4557120001</v>
      </c>
      <c r="AF95" s="69">
        <v>810000</v>
      </c>
      <c r="AG95" s="70">
        <v>810000</v>
      </c>
      <c r="AH95" s="70">
        <f t="shared" si="27"/>
        <v>1754670.3359999999</v>
      </c>
      <c r="AI95" s="70">
        <f t="shared" si="28"/>
        <v>1811340.1541440003</v>
      </c>
      <c r="AJ95" s="70">
        <f t="shared" si="29"/>
        <v>1859885.512512</v>
      </c>
      <c r="AK95" s="70">
        <f t="shared" si="30"/>
        <v>1849549.98155664</v>
      </c>
      <c r="AL95" s="70">
        <f t="shared" si="31"/>
        <v>672831.8</v>
      </c>
      <c r="AM95" s="70">
        <f t="shared" si="32"/>
        <v>738679</v>
      </c>
      <c r="AN95" s="70">
        <f t="shared" si="33"/>
        <v>786310</v>
      </c>
      <c r="AO95" s="70">
        <f t="shared" si="34"/>
        <v>810000</v>
      </c>
    </row>
    <row r="96" spans="1:41">
      <c r="A96" s="29" t="s">
        <v>447</v>
      </c>
      <c r="B96" s="29" t="s">
        <v>700</v>
      </c>
      <c r="C96" s="107">
        <v>0</v>
      </c>
      <c r="D96" s="108">
        <v>4449366</v>
      </c>
      <c r="F96" s="107">
        <v>0</v>
      </c>
      <c r="G96" s="108">
        <v>4449366</v>
      </c>
      <c r="I96" s="64">
        <v>0</v>
      </c>
      <c r="J96" s="83">
        <v>0</v>
      </c>
      <c r="K96" s="66">
        <v>4449366</v>
      </c>
      <c r="L96" s="251">
        <v>4449366</v>
      </c>
      <c r="M96" s="63">
        <v>0</v>
      </c>
      <c r="N96" s="64">
        <v>0</v>
      </c>
      <c r="O96" s="65">
        <v>4449366</v>
      </c>
      <c r="P96" s="66">
        <v>4449366</v>
      </c>
      <c r="Q96" s="66">
        <f t="shared" si="19"/>
        <v>0</v>
      </c>
      <c r="R96" s="63">
        <f t="shared" si="20"/>
        <v>0</v>
      </c>
      <c r="S96" s="83">
        <f t="shared" si="21"/>
        <v>0</v>
      </c>
      <c r="T96" s="64">
        <f t="shared" si="22"/>
        <v>0</v>
      </c>
      <c r="U96" s="66">
        <f t="shared" si="23"/>
        <v>4449366</v>
      </c>
      <c r="V96" s="63">
        <f t="shared" si="24"/>
        <v>4449366</v>
      </c>
      <c r="W96" s="83">
        <f t="shared" si="25"/>
        <v>4449366</v>
      </c>
      <c r="X96" s="64">
        <f t="shared" si="26"/>
        <v>4449366</v>
      </c>
      <c r="Z96" s="67">
        <v>0</v>
      </c>
      <c r="AA96" s="68">
        <v>0</v>
      </c>
      <c r="AB96" s="69">
        <v>4449366</v>
      </c>
      <c r="AC96" s="70">
        <v>4449366</v>
      </c>
      <c r="AD96" s="67">
        <v>0</v>
      </c>
      <c r="AE96" s="68">
        <v>0</v>
      </c>
      <c r="AF96" s="69">
        <v>4449366</v>
      </c>
      <c r="AG96" s="70">
        <v>4449366</v>
      </c>
      <c r="AH96" s="70">
        <f t="shared" si="27"/>
        <v>0</v>
      </c>
      <c r="AI96" s="70">
        <f t="shared" si="28"/>
        <v>0</v>
      </c>
      <c r="AJ96" s="70">
        <f t="shared" si="29"/>
        <v>0</v>
      </c>
      <c r="AK96" s="70">
        <f t="shared" si="30"/>
        <v>0</v>
      </c>
      <c r="AL96" s="70">
        <f t="shared" si="31"/>
        <v>4449366</v>
      </c>
      <c r="AM96" s="70">
        <f t="shared" si="32"/>
        <v>4449366</v>
      </c>
      <c r="AN96" s="70">
        <f t="shared" si="33"/>
        <v>4449366</v>
      </c>
      <c r="AO96" s="70">
        <f t="shared" si="34"/>
        <v>4449366</v>
      </c>
    </row>
    <row r="97" spans="1:41">
      <c r="A97" s="29" t="s">
        <v>315</v>
      </c>
      <c r="B97" s="29" t="s">
        <v>701</v>
      </c>
      <c r="C97" s="107">
        <v>0</v>
      </c>
      <c r="D97" s="108">
        <v>698493</v>
      </c>
      <c r="F97" s="107">
        <v>0</v>
      </c>
      <c r="G97" s="108">
        <v>735538</v>
      </c>
      <c r="I97" s="64">
        <v>0</v>
      </c>
      <c r="J97" s="83">
        <v>0</v>
      </c>
      <c r="K97" s="66">
        <v>735538</v>
      </c>
      <c r="L97" s="251">
        <v>776529</v>
      </c>
      <c r="M97" s="63">
        <v>0</v>
      </c>
      <c r="N97" s="64">
        <v>0</v>
      </c>
      <c r="O97" s="65">
        <v>807343</v>
      </c>
      <c r="P97" s="66">
        <v>807343</v>
      </c>
      <c r="Q97" s="66">
        <f t="shared" si="19"/>
        <v>0</v>
      </c>
      <c r="R97" s="63">
        <f t="shared" si="20"/>
        <v>0</v>
      </c>
      <c r="S97" s="83">
        <f t="shared" si="21"/>
        <v>0</v>
      </c>
      <c r="T97" s="64">
        <f t="shared" si="22"/>
        <v>0</v>
      </c>
      <c r="U97" s="66">
        <f t="shared" si="23"/>
        <v>717986.07900000003</v>
      </c>
      <c r="V97" s="63">
        <f t="shared" si="24"/>
        <v>757107.46420000005</v>
      </c>
      <c r="W97" s="83">
        <f t="shared" si="25"/>
        <v>792743.32680000004</v>
      </c>
      <c r="X97" s="64">
        <f t="shared" si="26"/>
        <v>807343</v>
      </c>
      <c r="Z97" s="67">
        <v>0</v>
      </c>
      <c r="AA97" s="68">
        <v>0</v>
      </c>
      <c r="AB97" s="69">
        <v>735538</v>
      </c>
      <c r="AC97" s="70">
        <v>776529</v>
      </c>
      <c r="AD97" s="67">
        <v>0</v>
      </c>
      <c r="AE97" s="68">
        <v>0</v>
      </c>
      <c r="AF97" s="69">
        <v>807343</v>
      </c>
      <c r="AG97" s="70">
        <v>807343</v>
      </c>
      <c r="AH97" s="70">
        <f t="shared" si="27"/>
        <v>0</v>
      </c>
      <c r="AI97" s="70">
        <f t="shared" si="28"/>
        <v>0</v>
      </c>
      <c r="AJ97" s="70">
        <f t="shared" si="29"/>
        <v>0</v>
      </c>
      <c r="AK97" s="70">
        <f t="shared" si="30"/>
        <v>0</v>
      </c>
      <c r="AL97" s="70">
        <f t="shared" si="31"/>
        <v>717986.07900000003</v>
      </c>
      <c r="AM97" s="70">
        <f t="shared" si="32"/>
        <v>757107.46420000005</v>
      </c>
      <c r="AN97" s="70">
        <f t="shared" si="33"/>
        <v>792743.32680000004</v>
      </c>
      <c r="AO97" s="70">
        <f t="shared" si="34"/>
        <v>807343</v>
      </c>
    </row>
    <row r="98" spans="1:41">
      <c r="A98" s="29" t="s">
        <v>455</v>
      </c>
      <c r="B98" s="29" t="s">
        <v>880</v>
      </c>
      <c r="C98" s="107">
        <v>0</v>
      </c>
      <c r="D98" s="108">
        <v>215000</v>
      </c>
      <c r="F98" s="107">
        <v>0</v>
      </c>
      <c r="G98" s="108">
        <v>211633</v>
      </c>
      <c r="I98" s="64">
        <v>0</v>
      </c>
      <c r="J98" s="83">
        <v>0</v>
      </c>
      <c r="K98" s="66">
        <v>211633</v>
      </c>
      <c r="L98" s="251">
        <v>253619</v>
      </c>
      <c r="M98" s="63">
        <v>0</v>
      </c>
      <c r="N98" s="64">
        <v>0</v>
      </c>
      <c r="O98" s="65">
        <v>266424</v>
      </c>
      <c r="P98" s="66">
        <v>266424</v>
      </c>
      <c r="Q98" s="66">
        <f t="shared" si="19"/>
        <v>0</v>
      </c>
      <c r="R98" s="63">
        <f t="shared" si="20"/>
        <v>0</v>
      </c>
      <c r="S98" s="83">
        <f t="shared" si="21"/>
        <v>0</v>
      </c>
      <c r="T98" s="64">
        <f t="shared" si="22"/>
        <v>0</v>
      </c>
      <c r="U98" s="66">
        <f t="shared" si="23"/>
        <v>213228.28460000001</v>
      </c>
      <c r="V98" s="63">
        <f t="shared" si="24"/>
        <v>233726.03320000001</v>
      </c>
      <c r="W98" s="83">
        <f t="shared" si="25"/>
        <v>260356.99099999998</v>
      </c>
      <c r="X98" s="64">
        <f t="shared" si="26"/>
        <v>266424</v>
      </c>
      <c r="Z98" s="67">
        <v>0</v>
      </c>
      <c r="AA98" s="68">
        <v>0</v>
      </c>
      <c r="AB98" s="69">
        <v>211633</v>
      </c>
      <c r="AC98" s="70">
        <v>253619</v>
      </c>
      <c r="AD98" s="67">
        <v>0</v>
      </c>
      <c r="AE98" s="68">
        <v>0</v>
      </c>
      <c r="AF98" s="69">
        <v>266424</v>
      </c>
      <c r="AG98" s="70">
        <v>266424</v>
      </c>
      <c r="AH98" s="70">
        <f t="shared" si="27"/>
        <v>0</v>
      </c>
      <c r="AI98" s="70">
        <f t="shared" si="28"/>
        <v>0</v>
      </c>
      <c r="AJ98" s="70">
        <f t="shared" si="29"/>
        <v>0</v>
      </c>
      <c r="AK98" s="70">
        <f t="shared" si="30"/>
        <v>0</v>
      </c>
      <c r="AL98" s="70">
        <f t="shared" si="31"/>
        <v>213228.28460000001</v>
      </c>
      <c r="AM98" s="70">
        <f t="shared" si="32"/>
        <v>233726.03320000001</v>
      </c>
      <c r="AN98" s="70">
        <f t="shared" si="33"/>
        <v>260356.99099999998</v>
      </c>
      <c r="AO98" s="70">
        <f t="shared" si="34"/>
        <v>266424</v>
      </c>
    </row>
    <row r="99" spans="1:41">
      <c r="A99" s="29" t="s">
        <v>61</v>
      </c>
      <c r="B99" s="29" t="s">
        <v>904</v>
      </c>
      <c r="C99" s="107">
        <v>23351.93</v>
      </c>
      <c r="D99" s="108">
        <v>353241</v>
      </c>
      <c r="F99" s="107">
        <v>38618.129999999997</v>
      </c>
      <c r="G99" s="108">
        <v>388566</v>
      </c>
      <c r="I99" s="64">
        <v>28789.35</v>
      </c>
      <c r="J99" s="83">
        <v>89262.892699999982</v>
      </c>
      <c r="K99" s="66">
        <v>388566</v>
      </c>
      <c r="L99" s="251">
        <v>388566</v>
      </c>
      <c r="M99" s="63">
        <v>83464.493399999992</v>
      </c>
      <c r="N99" s="64">
        <v>89295.540300000008</v>
      </c>
      <c r="O99" s="65">
        <v>388566</v>
      </c>
      <c r="P99" s="66">
        <v>388566</v>
      </c>
      <c r="Q99" s="66">
        <f t="shared" si="19"/>
        <v>27266.8724</v>
      </c>
      <c r="R99" s="63">
        <f t="shared" si="20"/>
        <v>72330.300743999978</v>
      </c>
      <c r="S99" s="83">
        <f t="shared" si="21"/>
        <v>85088.045203999995</v>
      </c>
      <c r="T99" s="64">
        <f t="shared" si="22"/>
        <v>87662.847168000008</v>
      </c>
      <c r="U99" s="66">
        <f t="shared" si="23"/>
        <v>371829.01500000001</v>
      </c>
      <c r="V99" s="63">
        <f t="shared" si="24"/>
        <v>388566</v>
      </c>
      <c r="W99" s="83">
        <f t="shared" si="25"/>
        <v>388566</v>
      </c>
      <c r="X99" s="64">
        <f t="shared" si="26"/>
        <v>388566</v>
      </c>
      <c r="Z99" s="67">
        <v>38618.129999999997</v>
      </c>
      <c r="AA99" s="68">
        <v>89262.892699999982</v>
      </c>
      <c r="AB99" s="69">
        <v>388566</v>
      </c>
      <c r="AC99" s="70">
        <v>388566</v>
      </c>
      <c r="AD99" s="67">
        <v>83464.493399999992</v>
      </c>
      <c r="AE99" s="68">
        <v>89295.540300000008</v>
      </c>
      <c r="AF99" s="69">
        <v>388566</v>
      </c>
      <c r="AG99" s="70">
        <v>388566</v>
      </c>
      <c r="AH99" s="70">
        <f t="shared" si="27"/>
        <v>34343.593999999997</v>
      </c>
      <c r="AI99" s="70">
        <f t="shared" si="28"/>
        <v>75082.359143999987</v>
      </c>
      <c r="AJ99" s="70">
        <f t="shared" si="29"/>
        <v>85088.045203999995</v>
      </c>
      <c r="AK99" s="70">
        <f t="shared" si="30"/>
        <v>87662.847168000008</v>
      </c>
      <c r="AL99" s="70">
        <f t="shared" si="31"/>
        <v>371829.01500000001</v>
      </c>
      <c r="AM99" s="70">
        <f t="shared" si="32"/>
        <v>388566</v>
      </c>
      <c r="AN99" s="70">
        <f t="shared" si="33"/>
        <v>388566</v>
      </c>
      <c r="AO99" s="70">
        <f t="shared" si="34"/>
        <v>388566</v>
      </c>
    </row>
    <row r="100" spans="1:41">
      <c r="A100" s="29" t="s">
        <v>517</v>
      </c>
      <c r="B100" s="29" t="s">
        <v>702</v>
      </c>
      <c r="C100" s="107">
        <v>0</v>
      </c>
      <c r="D100" s="108">
        <v>2500000</v>
      </c>
      <c r="F100" s="107">
        <v>0</v>
      </c>
      <c r="G100" s="108">
        <v>2309671</v>
      </c>
      <c r="I100" s="64">
        <v>0</v>
      </c>
      <c r="J100" s="83">
        <v>0</v>
      </c>
      <c r="K100" s="66">
        <v>2309671</v>
      </c>
      <c r="L100" s="251">
        <v>3000000</v>
      </c>
      <c r="M100" s="63">
        <v>0</v>
      </c>
      <c r="N100" s="64">
        <v>0</v>
      </c>
      <c r="O100" s="65">
        <v>3096734.4693000005</v>
      </c>
      <c r="P100" s="66">
        <v>3208086.4353999998</v>
      </c>
      <c r="Q100" s="66">
        <f t="shared" si="19"/>
        <v>0</v>
      </c>
      <c r="R100" s="63">
        <f t="shared" si="20"/>
        <v>0</v>
      </c>
      <c r="S100" s="83">
        <f t="shared" si="21"/>
        <v>0</v>
      </c>
      <c r="T100" s="64">
        <f t="shared" si="22"/>
        <v>0</v>
      </c>
      <c r="U100" s="66">
        <f t="shared" si="23"/>
        <v>2399848.8802</v>
      </c>
      <c r="V100" s="63">
        <f t="shared" si="24"/>
        <v>2672922.1198</v>
      </c>
      <c r="W100" s="83">
        <f t="shared" si="25"/>
        <v>3050901.6777456603</v>
      </c>
      <c r="X100" s="64">
        <f t="shared" si="26"/>
        <v>3155327.87386182</v>
      </c>
      <c r="Z100" s="67">
        <v>0</v>
      </c>
      <c r="AA100" s="68">
        <v>0</v>
      </c>
      <c r="AB100" s="69">
        <v>2309671</v>
      </c>
      <c r="AC100" s="70">
        <v>3000000</v>
      </c>
      <c r="AD100" s="67">
        <v>0</v>
      </c>
      <c r="AE100" s="68">
        <v>0</v>
      </c>
      <c r="AF100" s="69">
        <v>3096734.4693000005</v>
      </c>
      <c r="AG100" s="70">
        <v>3208086.4353999998</v>
      </c>
      <c r="AH100" s="70">
        <f t="shared" si="27"/>
        <v>0</v>
      </c>
      <c r="AI100" s="70">
        <f t="shared" si="28"/>
        <v>0</v>
      </c>
      <c r="AJ100" s="70">
        <f t="shared" si="29"/>
        <v>0</v>
      </c>
      <c r="AK100" s="70">
        <f t="shared" si="30"/>
        <v>0</v>
      </c>
      <c r="AL100" s="70">
        <f t="shared" si="31"/>
        <v>2399848.8802</v>
      </c>
      <c r="AM100" s="70">
        <f t="shared" si="32"/>
        <v>2672922.1198</v>
      </c>
      <c r="AN100" s="70">
        <f t="shared" si="33"/>
        <v>3050901.6777456603</v>
      </c>
      <c r="AO100" s="70">
        <f t="shared" si="34"/>
        <v>3155327.87386182</v>
      </c>
    </row>
    <row r="101" spans="1:41">
      <c r="A101" s="29" t="s">
        <v>309</v>
      </c>
      <c r="B101" s="29" t="s">
        <v>885</v>
      </c>
      <c r="C101" s="107">
        <v>0</v>
      </c>
      <c r="D101" s="108">
        <v>325000</v>
      </c>
      <c r="F101" s="107">
        <v>0</v>
      </c>
      <c r="G101" s="108">
        <v>375000</v>
      </c>
      <c r="I101" s="64">
        <v>0</v>
      </c>
      <c r="J101" s="83">
        <v>0</v>
      </c>
      <c r="K101" s="66">
        <v>375000</v>
      </c>
      <c r="L101" s="251">
        <v>348058.7806</v>
      </c>
      <c r="M101" s="63">
        <v>0</v>
      </c>
      <c r="N101" s="64">
        <v>0</v>
      </c>
      <c r="O101" s="65">
        <v>360129.1483</v>
      </c>
      <c r="P101" s="66">
        <v>374389.89279999997</v>
      </c>
      <c r="Q101" s="66">
        <f t="shared" si="19"/>
        <v>0</v>
      </c>
      <c r="R101" s="63">
        <f t="shared" si="20"/>
        <v>0</v>
      </c>
      <c r="S101" s="83">
        <f t="shared" si="21"/>
        <v>0</v>
      </c>
      <c r="T101" s="64">
        <f t="shared" si="22"/>
        <v>0</v>
      </c>
      <c r="U101" s="66">
        <f t="shared" si="23"/>
        <v>351310</v>
      </c>
      <c r="V101" s="63">
        <f t="shared" si="24"/>
        <v>360823.53035171999</v>
      </c>
      <c r="W101" s="83">
        <f t="shared" si="25"/>
        <v>354410.20808373997</v>
      </c>
      <c r="X101" s="64">
        <f t="shared" si="26"/>
        <v>367633.15205589996</v>
      </c>
      <c r="Z101" s="67">
        <v>0</v>
      </c>
      <c r="AA101" s="68">
        <v>0</v>
      </c>
      <c r="AB101" s="69">
        <v>375000</v>
      </c>
      <c r="AC101" s="70">
        <v>362970.23940000002</v>
      </c>
      <c r="AD101" s="67">
        <v>0</v>
      </c>
      <c r="AE101" s="68">
        <v>0</v>
      </c>
      <c r="AF101" s="69">
        <v>360129.1483</v>
      </c>
      <c r="AG101" s="70">
        <v>374389.89279999997</v>
      </c>
      <c r="AH101" s="70">
        <f t="shared" si="27"/>
        <v>0</v>
      </c>
      <c r="AI101" s="70">
        <f t="shared" si="28"/>
        <v>0</v>
      </c>
      <c r="AJ101" s="70">
        <f t="shared" si="29"/>
        <v>0</v>
      </c>
      <c r="AK101" s="70">
        <f t="shared" si="30"/>
        <v>0</v>
      </c>
      <c r="AL101" s="70">
        <f t="shared" si="31"/>
        <v>351310</v>
      </c>
      <c r="AM101" s="70">
        <f t="shared" si="32"/>
        <v>368669.93997228</v>
      </c>
      <c r="AN101" s="70">
        <f t="shared" si="33"/>
        <v>361475.25726317998</v>
      </c>
      <c r="AO101" s="70">
        <f t="shared" si="34"/>
        <v>367633.15205589996</v>
      </c>
    </row>
    <row r="102" spans="1:41">
      <c r="A102" s="29" t="s">
        <v>599</v>
      </c>
      <c r="B102" s="29" t="s">
        <v>703</v>
      </c>
      <c r="C102" s="107">
        <v>782244.9</v>
      </c>
      <c r="D102" s="108">
        <v>1200000</v>
      </c>
      <c r="F102" s="107">
        <v>788052.32</v>
      </c>
      <c r="G102" s="108">
        <v>1250000</v>
      </c>
      <c r="I102" s="64">
        <v>717593.02</v>
      </c>
      <c r="J102" s="83">
        <v>743599.04379999998</v>
      </c>
      <c r="K102" s="66">
        <v>1250000</v>
      </c>
      <c r="L102" s="251">
        <v>1350000</v>
      </c>
      <c r="M102" s="63">
        <v>710757.36990000005</v>
      </c>
      <c r="N102" s="64">
        <v>636055.78323000018</v>
      </c>
      <c r="O102" s="65">
        <v>1350000</v>
      </c>
      <c r="P102" s="66">
        <v>1350000</v>
      </c>
      <c r="Q102" s="66">
        <f t="shared" si="19"/>
        <v>735695.54639999999</v>
      </c>
      <c r="R102" s="63">
        <f t="shared" si="20"/>
        <v>736317.35713599995</v>
      </c>
      <c r="S102" s="83">
        <f t="shared" si="21"/>
        <v>719953.03859200003</v>
      </c>
      <c r="T102" s="64">
        <f t="shared" si="22"/>
        <v>656972.22749760014</v>
      </c>
      <c r="U102" s="66">
        <f t="shared" si="23"/>
        <v>1226310</v>
      </c>
      <c r="V102" s="63">
        <f t="shared" si="24"/>
        <v>1302620</v>
      </c>
      <c r="W102" s="83">
        <f t="shared" si="25"/>
        <v>1350000</v>
      </c>
      <c r="X102" s="64">
        <f t="shared" si="26"/>
        <v>1350000</v>
      </c>
      <c r="Z102" s="67">
        <v>788052.32</v>
      </c>
      <c r="AA102" s="68">
        <v>798539.69350000005</v>
      </c>
      <c r="AB102" s="69">
        <v>1250000</v>
      </c>
      <c r="AC102" s="70">
        <v>1350000</v>
      </c>
      <c r="AD102" s="67">
        <v>710757.36990000005</v>
      </c>
      <c r="AE102" s="68">
        <v>636055.78323000018</v>
      </c>
      <c r="AF102" s="69">
        <v>1350000</v>
      </c>
      <c r="AG102" s="70">
        <v>1350000</v>
      </c>
      <c r="AH102" s="70">
        <f t="shared" si="27"/>
        <v>786426.24239999999</v>
      </c>
      <c r="AI102" s="70">
        <f t="shared" si="28"/>
        <v>795603.22892000002</v>
      </c>
      <c r="AJ102" s="70">
        <f t="shared" si="29"/>
        <v>735336.42050800007</v>
      </c>
      <c r="AK102" s="70">
        <f t="shared" si="30"/>
        <v>656972.22749760014</v>
      </c>
      <c r="AL102" s="70">
        <f t="shared" si="31"/>
        <v>1226310</v>
      </c>
      <c r="AM102" s="70">
        <f t="shared" si="32"/>
        <v>1302620</v>
      </c>
      <c r="AN102" s="70">
        <f t="shared" si="33"/>
        <v>1350000</v>
      </c>
      <c r="AO102" s="70">
        <f t="shared" si="34"/>
        <v>1350000</v>
      </c>
    </row>
    <row r="103" spans="1:41">
      <c r="A103" s="29" t="s">
        <v>191</v>
      </c>
      <c r="B103" s="29" t="s">
        <v>704</v>
      </c>
      <c r="C103" s="107">
        <v>0</v>
      </c>
      <c r="D103" s="108">
        <v>50211909</v>
      </c>
      <c r="F103" s="107">
        <v>0</v>
      </c>
      <c r="G103" s="108">
        <v>51718266</v>
      </c>
      <c r="I103" s="64">
        <v>0</v>
      </c>
      <c r="J103" s="83">
        <v>0</v>
      </c>
      <c r="K103" s="66">
        <v>51718266</v>
      </c>
      <c r="L103" s="251">
        <v>52986832.528200001</v>
      </c>
      <c r="M103" s="63">
        <v>0</v>
      </c>
      <c r="N103" s="64">
        <v>0</v>
      </c>
      <c r="O103" s="65">
        <v>54823160.047800004</v>
      </c>
      <c r="P103" s="66">
        <v>56995093.940400004</v>
      </c>
      <c r="Q103" s="66">
        <f t="shared" si="19"/>
        <v>0</v>
      </c>
      <c r="R103" s="63">
        <f t="shared" si="20"/>
        <v>0</v>
      </c>
      <c r="S103" s="83">
        <f t="shared" si="21"/>
        <v>0</v>
      </c>
      <c r="T103" s="64">
        <f t="shared" si="22"/>
        <v>0</v>
      </c>
      <c r="U103" s="66">
        <f t="shared" si="23"/>
        <v>51004554.053400002</v>
      </c>
      <c r="V103" s="63">
        <f t="shared" si="24"/>
        <v>52385785.707138836</v>
      </c>
      <c r="W103" s="83">
        <f t="shared" si="25"/>
        <v>53953108.069013521</v>
      </c>
      <c r="X103" s="64">
        <f t="shared" si="26"/>
        <v>55966031.662086129</v>
      </c>
      <c r="Z103" s="67">
        <v>0</v>
      </c>
      <c r="AA103" s="68">
        <v>0</v>
      </c>
      <c r="AB103" s="69">
        <v>51718266</v>
      </c>
      <c r="AC103" s="70">
        <v>53249308.747000001</v>
      </c>
      <c r="AD103" s="67">
        <v>0</v>
      </c>
      <c r="AE103" s="68">
        <v>0</v>
      </c>
      <c r="AF103" s="69">
        <v>54823160.047800004</v>
      </c>
      <c r="AG103" s="70">
        <v>56995093.940400004</v>
      </c>
      <c r="AH103" s="70">
        <f t="shared" si="27"/>
        <v>0</v>
      </c>
      <c r="AI103" s="70">
        <f t="shared" si="28"/>
        <v>0</v>
      </c>
      <c r="AJ103" s="70">
        <f t="shared" si="29"/>
        <v>0</v>
      </c>
      <c r="AK103" s="70">
        <f t="shared" si="30"/>
        <v>0</v>
      </c>
      <c r="AL103" s="70">
        <f t="shared" si="31"/>
        <v>51004554.053400002</v>
      </c>
      <c r="AM103" s="70">
        <f t="shared" si="32"/>
        <v>52523900.693471402</v>
      </c>
      <c r="AN103" s="70">
        <f t="shared" si="33"/>
        <v>54077469.301480964</v>
      </c>
      <c r="AO103" s="70">
        <f t="shared" si="34"/>
        <v>55966031.662086129</v>
      </c>
    </row>
    <row r="104" spans="1:41">
      <c r="A104" s="29" t="s">
        <v>57</v>
      </c>
      <c r="B104" s="29" t="s">
        <v>705</v>
      </c>
      <c r="C104" s="107">
        <v>444708.4</v>
      </c>
      <c r="D104" s="108">
        <v>2813450</v>
      </c>
      <c r="F104" s="107">
        <v>345228.48</v>
      </c>
      <c r="G104" s="108">
        <v>3065000</v>
      </c>
      <c r="I104" s="64">
        <v>0</v>
      </c>
      <c r="J104" s="83">
        <v>0</v>
      </c>
      <c r="K104" s="66">
        <v>3065000</v>
      </c>
      <c r="L104" s="251">
        <v>3335000</v>
      </c>
      <c r="M104" s="63">
        <v>0</v>
      </c>
      <c r="N104" s="64">
        <v>0</v>
      </c>
      <c r="O104" s="65">
        <v>3335000</v>
      </c>
      <c r="P104" s="66">
        <v>3335000</v>
      </c>
      <c r="Q104" s="66">
        <f t="shared" si="19"/>
        <v>124518.35200000001</v>
      </c>
      <c r="R104" s="63">
        <f t="shared" si="20"/>
        <v>0</v>
      </c>
      <c r="S104" s="83">
        <f t="shared" si="21"/>
        <v>0</v>
      </c>
      <c r="T104" s="64">
        <f t="shared" si="22"/>
        <v>0</v>
      </c>
      <c r="U104" s="66">
        <f t="shared" si="23"/>
        <v>2945815.6100000003</v>
      </c>
      <c r="V104" s="63">
        <f t="shared" si="24"/>
        <v>3207074</v>
      </c>
      <c r="W104" s="83">
        <f t="shared" si="25"/>
        <v>3335000</v>
      </c>
      <c r="X104" s="64">
        <f t="shared" si="26"/>
        <v>3335000</v>
      </c>
      <c r="Z104" s="67">
        <v>345228.48</v>
      </c>
      <c r="AA104" s="68">
        <v>127998.47015000015</v>
      </c>
      <c r="AB104" s="69">
        <v>3065000</v>
      </c>
      <c r="AC104" s="70">
        <v>3335000</v>
      </c>
      <c r="AD104" s="67">
        <v>0</v>
      </c>
      <c r="AE104" s="68">
        <v>0</v>
      </c>
      <c r="AF104" s="69">
        <v>3335000</v>
      </c>
      <c r="AG104" s="70">
        <v>3335000</v>
      </c>
      <c r="AH104" s="70">
        <f t="shared" si="27"/>
        <v>373082.85759999999</v>
      </c>
      <c r="AI104" s="70">
        <f t="shared" si="28"/>
        <v>188822.87290800011</v>
      </c>
      <c r="AJ104" s="70">
        <f t="shared" si="29"/>
        <v>35839.571642000046</v>
      </c>
      <c r="AK104" s="70">
        <f t="shared" si="30"/>
        <v>0</v>
      </c>
      <c r="AL104" s="70">
        <f t="shared" si="31"/>
        <v>2945815.6100000003</v>
      </c>
      <c r="AM104" s="70">
        <f t="shared" si="32"/>
        <v>3207074</v>
      </c>
      <c r="AN104" s="70">
        <f t="shared" si="33"/>
        <v>3335000</v>
      </c>
      <c r="AO104" s="70">
        <f t="shared" si="34"/>
        <v>3335000</v>
      </c>
    </row>
    <row r="105" spans="1:41">
      <c r="A105" s="29" t="s">
        <v>325</v>
      </c>
      <c r="B105" s="29" t="s">
        <v>706</v>
      </c>
      <c r="C105" s="107">
        <v>0</v>
      </c>
      <c r="D105" s="108">
        <v>1418528</v>
      </c>
      <c r="F105" s="107">
        <v>0</v>
      </c>
      <c r="G105" s="108">
        <v>1226226</v>
      </c>
      <c r="I105" s="64">
        <v>0</v>
      </c>
      <c r="J105" s="83">
        <v>0</v>
      </c>
      <c r="K105" s="66">
        <v>1226226</v>
      </c>
      <c r="L105" s="251">
        <v>1475269</v>
      </c>
      <c r="M105" s="63">
        <v>0</v>
      </c>
      <c r="N105" s="64">
        <v>0</v>
      </c>
      <c r="O105" s="65">
        <v>1475269</v>
      </c>
      <c r="P105" s="66">
        <v>1475269</v>
      </c>
      <c r="Q105" s="66">
        <f t="shared" si="19"/>
        <v>0</v>
      </c>
      <c r="R105" s="63">
        <f t="shared" si="20"/>
        <v>0</v>
      </c>
      <c r="S105" s="83">
        <f t="shared" si="21"/>
        <v>0</v>
      </c>
      <c r="T105" s="64">
        <f t="shared" si="22"/>
        <v>0</v>
      </c>
      <c r="U105" s="66">
        <f t="shared" si="23"/>
        <v>1317338.6876000001</v>
      </c>
      <c r="V105" s="63">
        <f t="shared" si="24"/>
        <v>1357272.4265999999</v>
      </c>
      <c r="W105" s="83">
        <f t="shared" si="25"/>
        <v>1475269</v>
      </c>
      <c r="X105" s="64">
        <f t="shared" si="26"/>
        <v>1475269</v>
      </c>
      <c r="Z105" s="67">
        <v>0</v>
      </c>
      <c r="AA105" s="68">
        <v>0</v>
      </c>
      <c r="AB105" s="69">
        <v>1226226</v>
      </c>
      <c r="AC105" s="70">
        <v>1475269</v>
      </c>
      <c r="AD105" s="67">
        <v>0</v>
      </c>
      <c r="AE105" s="68">
        <v>0</v>
      </c>
      <c r="AF105" s="69">
        <v>1475269</v>
      </c>
      <c r="AG105" s="70">
        <v>1475269</v>
      </c>
      <c r="AH105" s="70">
        <f t="shared" si="27"/>
        <v>0</v>
      </c>
      <c r="AI105" s="70">
        <f t="shared" si="28"/>
        <v>0</v>
      </c>
      <c r="AJ105" s="70">
        <f t="shared" si="29"/>
        <v>0</v>
      </c>
      <c r="AK105" s="70">
        <f t="shared" si="30"/>
        <v>0</v>
      </c>
      <c r="AL105" s="70">
        <f t="shared" si="31"/>
        <v>1317338.6876000001</v>
      </c>
      <c r="AM105" s="70">
        <f t="shared" si="32"/>
        <v>1357272.4265999999</v>
      </c>
      <c r="AN105" s="70">
        <f t="shared" si="33"/>
        <v>1475269</v>
      </c>
      <c r="AO105" s="70">
        <f t="shared" si="34"/>
        <v>1475269</v>
      </c>
    </row>
    <row r="106" spans="1:41">
      <c r="A106" s="29" t="s">
        <v>143</v>
      </c>
      <c r="B106" s="29" t="s">
        <v>707</v>
      </c>
      <c r="C106" s="107">
        <v>1450288.36</v>
      </c>
      <c r="D106" s="108">
        <v>1999296</v>
      </c>
      <c r="F106" s="107">
        <v>1439414.73</v>
      </c>
      <c r="G106" s="108">
        <v>2110907</v>
      </c>
      <c r="I106" s="64">
        <v>1420400.03</v>
      </c>
      <c r="J106" s="83">
        <v>1568093.4319</v>
      </c>
      <c r="K106" s="66">
        <v>2110907</v>
      </c>
      <c r="L106" s="251">
        <v>2136636.06</v>
      </c>
      <c r="M106" s="63">
        <v>1581827.5397999999</v>
      </c>
      <c r="N106" s="64">
        <v>1592156.9790000001</v>
      </c>
      <c r="O106" s="65">
        <v>2278358.9874999998</v>
      </c>
      <c r="P106" s="66">
        <v>2287145</v>
      </c>
      <c r="Q106" s="66">
        <f t="shared" si="19"/>
        <v>1428768.7624000001</v>
      </c>
      <c r="R106" s="63">
        <f t="shared" si="20"/>
        <v>1526739.2793680001</v>
      </c>
      <c r="S106" s="83">
        <f t="shared" si="21"/>
        <v>1577981.9895879999</v>
      </c>
      <c r="T106" s="64">
        <f t="shared" si="22"/>
        <v>1589264.736024</v>
      </c>
      <c r="U106" s="66">
        <f t="shared" si="23"/>
        <v>2058025.7082000002</v>
      </c>
      <c r="V106" s="63">
        <f t="shared" si="24"/>
        <v>2124445.6313720001</v>
      </c>
      <c r="W106" s="83">
        <f t="shared" si="25"/>
        <v>2211210.6644505002</v>
      </c>
      <c r="X106" s="64">
        <f t="shared" si="26"/>
        <v>2282982.1872774996</v>
      </c>
      <c r="Z106" s="67">
        <v>1439414.73</v>
      </c>
      <c r="AA106" s="68">
        <v>1568093.4319</v>
      </c>
      <c r="AB106" s="69">
        <v>2110907</v>
      </c>
      <c r="AC106" s="70">
        <v>2136636.06</v>
      </c>
      <c r="AD106" s="67">
        <v>1581827.5397999999</v>
      </c>
      <c r="AE106" s="68">
        <v>1592156.9790000001</v>
      </c>
      <c r="AF106" s="69">
        <v>2278358.9874999998</v>
      </c>
      <c r="AG106" s="70">
        <v>2287145</v>
      </c>
      <c r="AH106" s="70">
        <f t="shared" si="27"/>
        <v>1442459.3463999999</v>
      </c>
      <c r="AI106" s="70">
        <f t="shared" si="28"/>
        <v>1532063.395368</v>
      </c>
      <c r="AJ106" s="70">
        <f t="shared" si="29"/>
        <v>1577981.9895879999</v>
      </c>
      <c r="AK106" s="70">
        <f t="shared" si="30"/>
        <v>1589264.736024</v>
      </c>
      <c r="AL106" s="70">
        <f t="shared" si="31"/>
        <v>2058025.7082000002</v>
      </c>
      <c r="AM106" s="70">
        <f t="shared" si="32"/>
        <v>2124445.6313720001</v>
      </c>
      <c r="AN106" s="70">
        <f t="shared" si="33"/>
        <v>2211210.6644505002</v>
      </c>
      <c r="AO106" s="70">
        <f t="shared" si="34"/>
        <v>2282982.1872774996</v>
      </c>
    </row>
    <row r="107" spans="1:41">
      <c r="A107" s="29" t="s">
        <v>107</v>
      </c>
      <c r="B107" s="29" t="s">
        <v>708</v>
      </c>
      <c r="C107" s="107">
        <v>238768.3</v>
      </c>
      <c r="D107" s="108">
        <v>106582</v>
      </c>
      <c r="F107" s="107">
        <v>229294.05</v>
      </c>
      <c r="G107" s="108">
        <v>107149</v>
      </c>
      <c r="I107" s="64">
        <v>229294.05</v>
      </c>
      <c r="J107" s="83">
        <v>262454.3601339999</v>
      </c>
      <c r="K107" s="66">
        <v>107149</v>
      </c>
      <c r="L107" s="251">
        <v>107149</v>
      </c>
      <c r="M107" s="63">
        <v>261802.65607999999</v>
      </c>
      <c r="N107" s="64">
        <v>265249.19995200005</v>
      </c>
      <c r="O107" s="65">
        <v>107149</v>
      </c>
      <c r="P107" s="66">
        <v>107149</v>
      </c>
      <c r="Q107" s="66">
        <f t="shared" si="19"/>
        <v>231946.83999999997</v>
      </c>
      <c r="R107" s="63">
        <f t="shared" si="20"/>
        <v>253169.47329647993</v>
      </c>
      <c r="S107" s="83">
        <f t="shared" si="21"/>
        <v>261985.13321511995</v>
      </c>
      <c r="T107" s="64">
        <f t="shared" si="22"/>
        <v>264284.16766784003</v>
      </c>
      <c r="U107" s="66">
        <f t="shared" si="23"/>
        <v>106880.3554</v>
      </c>
      <c r="V107" s="63">
        <f t="shared" si="24"/>
        <v>107149</v>
      </c>
      <c r="W107" s="83">
        <f t="shared" si="25"/>
        <v>107149</v>
      </c>
      <c r="X107" s="64">
        <f t="shared" si="26"/>
        <v>107149</v>
      </c>
      <c r="Z107" s="67">
        <v>229294.05</v>
      </c>
      <c r="AA107" s="68">
        <v>262454.3601339999</v>
      </c>
      <c r="AB107" s="69">
        <v>107149</v>
      </c>
      <c r="AC107" s="70">
        <v>107149</v>
      </c>
      <c r="AD107" s="67">
        <v>261802.65607999999</v>
      </c>
      <c r="AE107" s="68">
        <v>265249.19995200005</v>
      </c>
      <c r="AF107" s="69">
        <v>107149</v>
      </c>
      <c r="AG107" s="70">
        <v>107149</v>
      </c>
      <c r="AH107" s="70">
        <f t="shared" si="27"/>
        <v>231946.83999999997</v>
      </c>
      <c r="AI107" s="70">
        <f t="shared" si="28"/>
        <v>253169.47329647993</v>
      </c>
      <c r="AJ107" s="70">
        <f t="shared" si="29"/>
        <v>261985.13321511995</v>
      </c>
      <c r="AK107" s="70">
        <f t="shared" si="30"/>
        <v>264284.16766784003</v>
      </c>
      <c r="AL107" s="70">
        <f t="shared" si="31"/>
        <v>106880.3554</v>
      </c>
      <c r="AM107" s="70">
        <f t="shared" si="32"/>
        <v>107149</v>
      </c>
      <c r="AN107" s="70">
        <f t="shared" si="33"/>
        <v>107149</v>
      </c>
      <c r="AO107" s="70">
        <f t="shared" si="34"/>
        <v>107149</v>
      </c>
    </row>
    <row r="108" spans="1:41">
      <c r="A108" s="29" t="s">
        <v>435</v>
      </c>
      <c r="B108" s="29" t="s">
        <v>709</v>
      </c>
      <c r="C108" s="107">
        <v>0</v>
      </c>
      <c r="D108" s="108">
        <v>96426</v>
      </c>
      <c r="F108" s="107">
        <v>0</v>
      </c>
      <c r="G108" s="108">
        <v>101822</v>
      </c>
      <c r="I108" s="64">
        <v>0</v>
      </c>
      <c r="J108" s="83">
        <v>0</v>
      </c>
      <c r="K108" s="66">
        <v>101822</v>
      </c>
      <c r="L108" s="251">
        <v>101386.40519999999</v>
      </c>
      <c r="M108" s="63">
        <v>0</v>
      </c>
      <c r="N108" s="64">
        <v>0</v>
      </c>
      <c r="O108" s="65">
        <v>103515.45420000001</v>
      </c>
      <c r="P108" s="66">
        <v>105792.7794</v>
      </c>
      <c r="Q108" s="66">
        <f t="shared" si="19"/>
        <v>0</v>
      </c>
      <c r="R108" s="63">
        <f t="shared" si="20"/>
        <v>0</v>
      </c>
      <c r="S108" s="83">
        <f t="shared" si="21"/>
        <v>0</v>
      </c>
      <c r="T108" s="64">
        <f t="shared" si="22"/>
        <v>0</v>
      </c>
      <c r="U108" s="66">
        <f t="shared" si="23"/>
        <v>99265.375200000009</v>
      </c>
      <c r="V108" s="63">
        <f t="shared" si="24"/>
        <v>101592.79001624</v>
      </c>
      <c r="W108" s="83">
        <f t="shared" si="25"/>
        <v>102506.71078379999</v>
      </c>
      <c r="X108" s="64">
        <f t="shared" si="26"/>
        <v>104713.78272024001</v>
      </c>
      <c r="Z108" s="67">
        <v>0</v>
      </c>
      <c r="AA108" s="68">
        <v>0</v>
      </c>
      <c r="AB108" s="69">
        <v>101822</v>
      </c>
      <c r="AC108" s="70">
        <v>101386.40519999999</v>
      </c>
      <c r="AD108" s="67">
        <v>0</v>
      </c>
      <c r="AE108" s="68">
        <v>0</v>
      </c>
      <c r="AF108" s="69">
        <v>103515.45420000001</v>
      </c>
      <c r="AG108" s="70">
        <v>105792.7794</v>
      </c>
      <c r="AH108" s="70">
        <f t="shared" si="27"/>
        <v>0</v>
      </c>
      <c r="AI108" s="70">
        <f t="shared" si="28"/>
        <v>0</v>
      </c>
      <c r="AJ108" s="70">
        <f t="shared" si="29"/>
        <v>0</v>
      </c>
      <c r="AK108" s="70">
        <f t="shared" si="30"/>
        <v>0</v>
      </c>
      <c r="AL108" s="70">
        <f t="shared" si="31"/>
        <v>99265.375200000009</v>
      </c>
      <c r="AM108" s="70">
        <f t="shared" si="32"/>
        <v>101592.79001624</v>
      </c>
      <c r="AN108" s="70">
        <f t="shared" si="33"/>
        <v>102506.71078379999</v>
      </c>
      <c r="AO108" s="70">
        <f t="shared" si="34"/>
        <v>104713.78272024001</v>
      </c>
    </row>
    <row r="109" spans="1:41">
      <c r="A109" s="29" t="s">
        <v>211</v>
      </c>
      <c r="B109" s="29" t="s">
        <v>710</v>
      </c>
      <c r="C109" s="107">
        <v>0</v>
      </c>
      <c r="D109" s="108">
        <v>49850000</v>
      </c>
      <c r="F109" s="107">
        <v>0</v>
      </c>
      <c r="G109" s="108">
        <v>54000000</v>
      </c>
      <c r="I109" s="64">
        <v>0</v>
      </c>
      <c r="J109" s="83">
        <v>0</v>
      </c>
      <c r="K109" s="66">
        <v>54000000</v>
      </c>
      <c r="L109" s="251">
        <v>54000000</v>
      </c>
      <c r="M109" s="63">
        <v>0</v>
      </c>
      <c r="N109" s="64">
        <v>0</v>
      </c>
      <c r="O109" s="65">
        <v>54000000</v>
      </c>
      <c r="P109" s="66">
        <v>54000000</v>
      </c>
      <c r="Q109" s="66">
        <f t="shared" si="19"/>
        <v>0</v>
      </c>
      <c r="R109" s="63">
        <f t="shared" si="20"/>
        <v>0</v>
      </c>
      <c r="S109" s="83">
        <f t="shared" si="21"/>
        <v>0</v>
      </c>
      <c r="T109" s="64">
        <f t="shared" si="22"/>
        <v>0</v>
      </c>
      <c r="U109" s="66">
        <f t="shared" si="23"/>
        <v>52033730</v>
      </c>
      <c r="V109" s="63">
        <f t="shared" si="24"/>
        <v>54000000</v>
      </c>
      <c r="W109" s="83">
        <f t="shared" si="25"/>
        <v>54000000</v>
      </c>
      <c r="X109" s="64">
        <f t="shared" si="26"/>
        <v>54000000</v>
      </c>
      <c r="Z109" s="67">
        <v>0</v>
      </c>
      <c r="AA109" s="68">
        <v>0</v>
      </c>
      <c r="AB109" s="69">
        <v>54000000</v>
      </c>
      <c r="AC109" s="70">
        <v>54000000</v>
      </c>
      <c r="AD109" s="67">
        <v>0</v>
      </c>
      <c r="AE109" s="68">
        <v>0</v>
      </c>
      <c r="AF109" s="69">
        <v>54000000</v>
      </c>
      <c r="AG109" s="70">
        <v>54000000</v>
      </c>
      <c r="AH109" s="70">
        <f t="shared" si="27"/>
        <v>0</v>
      </c>
      <c r="AI109" s="70">
        <f t="shared" si="28"/>
        <v>0</v>
      </c>
      <c r="AJ109" s="70">
        <f t="shared" si="29"/>
        <v>0</v>
      </c>
      <c r="AK109" s="70">
        <f t="shared" si="30"/>
        <v>0</v>
      </c>
      <c r="AL109" s="70">
        <f t="shared" si="31"/>
        <v>52033730</v>
      </c>
      <c r="AM109" s="70">
        <f t="shared" si="32"/>
        <v>54000000</v>
      </c>
      <c r="AN109" s="70">
        <f t="shared" si="33"/>
        <v>54000000</v>
      </c>
      <c r="AO109" s="70">
        <f t="shared" si="34"/>
        <v>54000000</v>
      </c>
    </row>
    <row r="110" spans="1:41">
      <c r="A110" s="29" t="s">
        <v>117</v>
      </c>
      <c r="B110" s="29" t="s">
        <v>901</v>
      </c>
      <c r="C110" s="107">
        <v>0</v>
      </c>
      <c r="D110" s="108">
        <v>75000</v>
      </c>
      <c r="F110" s="107">
        <v>0</v>
      </c>
      <c r="G110" s="108">
        <v>75000</v>
      </c>
      <c r="I110" s="64">
        <v>0</v>
      </c>
      <c r="J110" s="83">
        <v>0</v>
      </c>
      <c r="K110" s="66">
        <v>75000</v>
      </c>
      <c r="L110" s="251">
        <v>75000</v>
      </c>
      <c r="M110" s="63">
        <v>0</v>
      </c>
      <c r="N110" s="64">
        <v>0</v>
      </c>
      <c r="O110" s="65">
        <v>75000</v>
      </c>
      <c r="P110" s="66">
        <v>75000</v>
      </c>
      <c r="Q110" s="66">
        <f t="shared" si="19"/>
        <v>0</v>
      </c>
      <c r="R110" s="63">
        <f t="shared" si="20"/>
        <v>0</v>
      </c>
      <c r="S110" s="83">
        <f t="shared" si="21"/>
        <v>0</v>
      </c>
      <c r="T110" s="64">
        <f t="shared" si="22"/>
        <v>0</v>
      </c>
      <c r="U110" s="66">
        <f t="shared" si="23"/>
        <v>75000</v>
      </c>
      <c r="V110" s="63">
        <f t="shared" si="24"/>
        <v>75000</v>
      </c>
      <c r="W110" s="83">
        <f t="shared" si="25"/>
        <v>75000</v>
      </c>
      <c r="X110" s="64">
        <f t="shared" si="26"/>
        <v>75000</v>
      </c>
      <c r="Z110" s="67">
        <v>0</v>
      </c>
      <c r="AA110" s="68">
        <v>0</v>
      </c>
      <c r="AB110" s="69">
        <v>75000</v>
      </c>
      <c r="AC110" s="70">
        <v>75000</v>
      </c>
      <c r="AD110" s="67">
        <v>0</v>
      </c>
      <c r="AE110" s="68">
        <v>0</v>
      </c>
      <c r="AF110" s="69">
        <v>75000</v>
      </c>
      <c r="AG110" s="70">
        <v>75000</v>
      </c>
      <c r="AH110" s="70">
        <f t="shared" si="27"/>
        <v>0</v>
      </c>
      <c r="AI110" s="70">
        <f t="shared" si="28"/>
        <v>0</v>
      </c>
      <c r="AJ110" s="70">
        <f t="shared" si="29"/>
        <v>0</v>
      </c>
      <c r="AK110" s="70">
        <f t="shared" si="30"/>
        <v>0</v>
      </c>
      <c r="AL110" s="70">
        <f t="shared" si="31"/>
        <v>75000</v>
      </c>
      <c r="AM110" s="70">
        <f t="shared" si="32"/>
        <v>75000</v>
      </c>
      <c r="AN110" s="70">
        <f t="shared" si="33"/>
        <v>75000</v>
      </c>
      <c r="AO110" s="70">
        <f t="shared" si="34"/>
        <v>75000</v>
      </c>
    </row>
    <row r="111" spans="1:41">
      <c r="A111" s="29" t="s">
        <v>83</v>
      </c>
      <c r="B111" s="29" t="s">
        <v>711</v>
      </c>
      <c r="C111" s="107">
        <v>0</v>
      </c>
      <c r="D111" s="108">
        <v>2329475</v>
      </c>
      <c r="F111" s="107">
        <v>0</v>
      </c>
      <c r="G111" s="108">
        <v>2492539</v>
      </c>
      <c r="I111" s="64">
        <v>0</v>
      </c>
      <c r="J111" s="83">
        <v>0</v>
      </c>
      <c r="K111" s="66">
        <v>2492539</v>
      </c>
      <c r="L111" s="251">
        <v>2667016</v>
      </c>
      <c r="M111" s="63">
        <v>0</v>
      </c>
      <c r="N111" s="64">
        <v>0</v>
      </c>
      <c r="O111" s="65">
        <v>2667016</v>
      </c>
      <c r="P111" s="66">
        <v>2667016</v>
      </c>
      <c r="Q111" s="66">
        <f t="shared" si="19"/>
        <v>0</v>
      </c>
      <c r="R111" s="63">
        <f t="shared" si="20"/>
        <v>0</v>
      </c>
      <c r="S111" s="83">
        <f t="shared" si="21"/>
        <v>0</v>
      </c>
      <c r="T111" s="64">
        <f t="shared" si="22"/>
        <v>0</v>
      </c>
      <c r="U111" s="66">
        <f t="shared" si="23"/>
        <v>2415279.2768000001</v>
      </c>
      <c r="V111" s="63">
        <f t="shared" si="24"/>
        <v>2584348.7974</v>
      </c>
      <c r="W111" s="83">
        <f t="shared" si="25"/>
        <v>2667016</v>
      </c>
      <c r="X111" s="64">
        <f t="shared" si="26"/>
        <v>2667016</v>
      </c>
      <c r="Z111" s="67">
        <v>0</v>
      </c>
      <c r="AA111" s="68">
        <v>0</v>
      </c>
      <c r="AB111" s="69">
        <v>2492539</v>
      </c>
      <c r="AC111" s="70">
        <v>2667016</v>
      </c>
      <c r="AD111" s="67">
        <v>0</v>
      </c>
      <c r="AE111" s="68">
        <v>0</v>
      </c>
      <c r="AF111" s="69">
        <v>2667016</v>
      </c>
      <c r="AG111" s="70">
        <v>2667016</v>
      </c>
      <c r="AH111" s="70">
        <f t="shared" si="27"/>
        <v>0</v>
      </c>
      <c r="AI111" s="70">
        <f t="shared" si="28"/>
        <v>0</v>
      </c>
      <c r="AJ111" s="70">
        <f t="shared" si="29"/>
        <v>0</v>
      </c>
      <c r="AK111" s="70">
        <f t="shared" si="30"/>
        <v>0</v>
      </c>
      <c r="AL111" s="70">
        <f t="shared" si="31"/>
        <v>2415279.2768000001</v>
      </c>
      <c r="AM111" s="70">
        <f t="shared" si="32"/>
        <v>2584348.7974</v>
      </c>
      <c r="AN111" s="70">
        <f t="shared" si="33"/>
        <v>2667016</v>
      </c>
      <c r="AO111" s="70">
        <f t="shared" si="34"/>
        <v>2667016</v>
      </c>
    </row>
    <row r="112" spans="1:41">
      <c r="A112" s="29" t="s">
        <v>101</v>
      </c>
      <c r="B112" s="29" t="s">
        <v>712</v>
      </c>
      <c r="C112" s="107">
        <v>53371.51</v>
      </c>
      <c r="D112" s="108">
        <v>18325</v>
      </c>
      <c r="F112" s="107">
        <v>47579.4</v>
      </c>
      <c r="G112" s="108">
        <v>18325</v>
      </c>
      <c r="I112" s="64">
        <v>46609.49</v>
      </c>
      <c r="J112" s="83">
        <v>88163.741373333352</v>
      </c>
      <c r="K112" s="66">
        <v>18325</v>
      </c>
      <c r="L112" s="251">
        <v>18325</v>
      </c>
      <c r="M112" s="63">
        <v>84429.064740000002</v>
      </c>
      <c r="N112" s="64">
        <v>85461.329540000006</v>
      </c>
      <c r="O112" s="65">
        <v>18325</v>
      </c>
      <c r="P112" s="66">
        <v>18325</v>
      </c>
      <c r="Q112" s="66">
        <f t="shared" si="19"/>
        <v>48502.855599999995</v>
      </c>
      <c r="R112" s="63">
        <f t="shared" si="20"/>
        <v>76528.550988800009</v>
      </c>
      <c r="S112" s="83">
        <f t="shared" si="21"/>
        <v>85474.774197333347</v>
      </c>
      <c r="T112" s="64">
        <f t="shared" si="22"/>
        <v>85172.295396000001</v>
      </c>
      <c r="U112" s="66">
        <f t="shared" si="23"/>
        <v>18325</v>
      </c>
      <c r="V112" s="63">
        <f t="shared" si="24"/>
        <v>18325</v>
      </c>
      <c r="W112" s="83">
        <f t="shared" si="25"/>
        <v>18325</v>
      </c>
      <c r="X112" s="64">
        <f t="shared" si="26"/>
        <v>18325</v>
      </c>
      <c r="Z112" s="67">
        <v>47579.4</v>
      </c>
      <c r="AA112" s="68">
        <v>88163.741373333352</v>
      </c>
      <c r="AB112" s="69">
        <v>18325</v>
      </c>
      <c r="AC112" s="70">
        <v>18325</v>
      </c>
      <c r="AD112" s="67">
        <v>84429.064740000002</v>
      </c>
      <c r="AE112" s="68">
        <v>85461.329540000006</v>
      </c>
      <c r="AF112" s="69">
        <v>18325</v>
      </c>
      <c r="AG112" s="70">
        <v>18325</v>
      </c>
      <c r="AH112" s="70">
        <f t="shared" si="27"/>
        <v>49201.190799999997</v>
      </c>
      <c r="AI112" s="70">
        <f t="shared" si="28"/>
        <v>76800.125788800011</v>
      </c>
      <c r="AJ112" s="70">
        <f t="shared" si="29"/>
        <v>85474.774197333347</v>
      </c>
      <c r="AK112" s="70">
        <f t="shared" si="30"/>
        <v>85172.295396000001</v>
      </c>
      <c r="AL112" s="70">
        <f t="shared" si="31"/>
        <v>18325</v>
      </c>
      <c r="AM112" s="70">
        <f t="shared" si="32"/>
        <v>18325</v>
      </c>
      <c r="AN112" s="70">
        <f t="shared" si="33"/>
        <v>18325</v>
      </c>
      <c r="AO112" s="70">
        <f t="shared" si="34"/>
        <v>18325</v>
      </c>
    </row>
    <row r="113" spans="1:41">
      <c r="A113" s="29" t="s">
        <v>87</v>
      </c>
      <c r="B113" s="29" t="s">
        <v>713</v>
      </c>
      <c r="C113" s="107">
        <v>3652504.41</v>
      </c>
      <c r="D113" s="108">
        <v>6000000</v>
      </c>
      <c r="F113" s="107">
        <v>3402505.36</v>
      </c>
      <c r="G113" s="108">
        <v>6500000</v>
      </c>
      <c r="I113" s="64">
        <v>3033224.16</v>
      </c>
      <c r="J113" s="83">
        <v>3259665.4402999999</v>
      </c>
      <c r="K113" s="66">
        <v>6500000</v>
      </c>
      <c r="L113" s="251">
        <v>7000000</v>
      </c>
      <c r="M113" s="63">
        <v>2975111.3583000004</v>
      </c>
      <c r="N113" s="64">
        <v>2591404.6550999996</v>
      </c>
      <c r="O113" s="65">
        <v>7500000</v>
      </c>
      <c r="P113" s="66">
        <v>7500000</v>
      </c>
      <c r="Q113" s="66">
        <f t="shared" si="19"/>
        <v>3206622.6300000004</v>
      </c>
      <c r="R113" s="63">
        <f t="shared" si="20"/>
        <v>3196261.8818159997</v>
      </c>
      <c r="S113" s="83">
        <f t="shared" si="21"/>
        <v>3054786.5012600003</v>
      </c>
      <c r="T113" s="64">
        <f t="shared" si="22"/>
        <v>2698842.5319959996</v>
      </c>
      <c r="U113" s="66">
        <f t="shared" si="23"/>
        <v>6263100</v>
      </c>
      <c r="V113" s="63">
        <f t="shared" si="24"/>
        <v>6763100</v>
      </c>
      <c r="W113" s="83">
        <f t="shared" si="25"/>
        <v>7263100</v>
      </c>
      <c r="X113" s="64">
        <f t="shared" si="26"/>
        <v>7500000</v>
      </c>
      <c r="Z113" s="67">
        <v>3402505.36</v>
      </c>
      <c r="AA113" s="68">
        <v>3561403.8225999987</v>
      </c>
      <c r="AB113" s="69">
        <v>6500000</v>
      </c>
      <c r="AC113" s="70">
        <v>7000000</v>
      </c>
      <c r="AD113" s="67">
        <v>2975111.3583000004</v>
      </c>
      <c r="AE113" s="68">
        <v>2591404.6550999996</v>
      </c>
      <c r="AF113" s="69">
        <v>7500000</v>
      </c>
      <c r="AG113" s="70">
        <v>7500000</v>
      </c>
      <c r="AH113" s="70">
        <f t="shared" si="27"/>
        <v>3472505.094</v>
      </c>
      <c r="AI113" s="70">
        <f t="shared" si="28"/>
        <v>3516912.2530719992</v>
      </c>
      <c r="AJ113" s="70">
        <f t="shared" si="29"/>
        <v>3139273.2483040001</v>
      </c>
      <c r="AK113" s="70">
        <f t="shared" si="30"/>
        <v>2698842.5319959996</v>
      </c>
      <c r="AL113" s="70">
        <f t="shared" si="31"/>
        <v>6263100</v>
      </c>
      <c r="AM113" s="70">
        <f t="shared" si="32"/>
        <v>6763100</v>
      </c>
      <c r="AN113" s="70">
        <f t="shared" si="33"/>
        <v>7263100</v>
      </c>
      <c r="AO113" s="70">
        <f t="shared" si="34"/>
        <v>7500000</v>
      </c>
    </row>
    <row r="114" spans="1:41">
      <c r="A114" s="29" t="s">
        <v>17</v>
      </c>
      <c r="B114" s="29" t="s">
        <v>714</v>
      </c>
      <c r="C114" s="107">
        <v>15470345.84</v>
      </c>
      <c r="D114" s="108">
        <v>16500000</v>
      </c>
      <c r="F114" s="107">
        <v>15462027.65</v>
      </c>
      <c r="G114" s="108">
        <v>18150000</v>
      </c>
      <c r="I114" s="64">
        <v>14449325.27</v>
      </c>
      <c r="J114" s="83">
        <v>15362582.602999996</v>
      </c>
      <c r="K114" s="66">
        <v>18150000</v>
      </c>
      <c r="L114" s="251">
        <v>18150000</v>
      </c>
      <c r="M114" s="63">
        <v>14487183.204079997</v>
      </c>
      <c r="N114" s="64">
        <v>13051437.755818</v>
      </c>
      <c r="O114" s="65">
        <v>18150000</v>
      </c>
      <c r="P114" s="66">
        <v>18150000</v>
      </c>
      <c r="Q114" s="66">
        <f t="shared" si="19"/>
        <v>14735211.0296</v>
      </c>
      <c r="R114" s="63">
        <f t="shared" si="20"/>
        <v>15106870.549759997</v>
      </c>
      <c r="S114" s="83">
        <f t="shared" si="21"/>
        <v>14732295.035777597</v>
      </c>
      <c r="T114" s="64">
        <f t="shared" si="22"/>
        <v>13453446.48133136</v>
      </c>
      <c r="U114" s="66">
        <f t="shared" si="23"/>
        <v>17368230</v>
      </c>
      <c r="V114" s="63">
        <f t="shared" si="24"/>
        <v>18150000</v>
      </c>
      <c r="W114" s="83">
        <f t="shared" si="25"/>
        <v>18150000</v>
      </c>
      <c r="X114" s="64">
        <f t="shared" si="26"/>
        <v>18150000</v>
      </c>
      <c r="Z114" s="67">
        <v>15462027.65</v>
      </c>
      <c r="AA114" s="68">
        <v>16095977.218199998</v>
      </c>
      <c r="AB114" s="69">
        <v>18150000</v>
      </c>
      <c r="AC114" s="70">
        <v>18150000</v>
      </c>
      <c r="AD114" s="67">
        <v>14487183.204079997</v>
      </c>
      <c r="AE114" s="68">
        <v>13051437.755818</v>
      </c>
      <c r="AF114" s="69">
        <v>18150000</v>
      </c>
      <c r="AG114" s="70">
        <v>18150000</v>
      </c>
      <c r="AH114" s="70">
        <f t="shared" si="27"/>
        <v>15464356.7432</v>
      </c>
      <c r="AI114" s="70">
        <f t="shared" si="28"/>
        <v>15918471.339103999</v>
      </c>
      <c r="AJ114" s="70">
        <f t="shared" si="29"/>
        <v>14937645.528033597</v>
      </c>
      <c r="AK114" s="70">
        <f t="shared" si="30"/>
        <v>13453446.48133136</v>
      </c>
      <c r="AL114" s="70">
        <f t="shared" si="31"/>
        <v>17368230</v>
      </c>
      <c r="AM114" s="70">
        <f t="shared" si="32"/>
        <v>18150000</v>
      </c>
      <c r="AN114" s="70">
        <f t="shared" si="33"/>
        <v>18150000</v>
      </c>
      <c r="AO114" s="70">
        <f t="shared" si="34"/>
        <v>18150000</v>
      </c>
    </row>
    <row r="115" spans="1:41">
      <c r="A115" s="29" t="s">
        <v>217</v>
      </c>
      <c r="B115" s="29" t="s">
        <v>715</v>
      </c>
      <c r="C115" s="107">
        <v>0</v>
      </c>
      <c r="D115" s="108">
        <v>67800000</v>
      </c>
      <c r="F115" s="107">
        <v>0</v>
      </c>
      <c r="G115" s="108">
        <v>76250000</v>
      </c>
      <c r="I115" s="64">
        <v>0</v>
      </c>
      <c r="J115" s="83">
        <v>0</v>
      </c>
      <c r="K115" s="66">
        <v>76250000</v>
      </c>
      <c r="L115" s="251">
        <v>73640354.430199996</v>
      </c>
      <c r="M115" s="63">
        <v>0</v>
      </c>
      <c r="N115" s="64">
        <v>0</v>
      </c>
      <c r="O115" s="65">
        <v>76192458.951500013</v>
      </c>
      <c r="P115" s="66">
        <v>76250000</v>
      </c>
      <c r="Q115" s="66">
        <f t="shared" si="19"/>
        <v>0</v>
      </c>
      <c r="R115" s="63">
        <f t="shared" si="20"/>
        <v>0</v>
      </c>
      <c r="S115" s="83">
        <f t="shared" si="21"/>
        <v>0</v>
      </c>
      <c r="T115" s="64">
        <f t="shared" si="22"/>
        <v>0</v>
      </c>
      <c r="U115" s="66">
        <f t="shared" si="23"/>
        <v>72246390</v>
      </c>
      <c r="V115" s="63">
        <f t="shared" si="24"/>
        <v>74876804.501171231</v>
      </c>
      <c r="W115" s="83">
        <f t="shared" si="25"/>
        <v>74983271.829308063</v>
      </c>
      <c r="X115" s="64">
        <f t="shared" si="26"/>
        <v>76222737.051220715</v>
      </c>
      <c r="Z115" s="67">
        <v>0</v>
      </c>
      <c r="AA115" s="68">
        <v>0</v>
      </c>
      <c r="AB115" s="69">
        <v>76250000</v>
      </c>
      <c r="AC115" s="70">
        <v>76250000</v>
      </c>
      <c r="AD115" s="67">
        <v>0</v>
      </c>
      <c r="AE115" s="68">
        <v>0</v>
      </c>
      <c r="AF115" s="69">
        <v>76192458.951500013</v>
      </c>
      <c r="AG115" s="70">
        <v>76250000</v>
      </c>
      <c r="AH115" s="70">
        <f t="shared" si="27"/>
        <v>0</v>
      </c>
      <c r="AI115" s="70">
        <f t="shared" si="28"/>
        <v>0</v>
      </c>
      <c r="AJ115" s="70">
        <f t="shared" si="29"/>
        <v>0</v>
      </c>
      <c r="AK115" s="70">
        <f t="shared" si="30"/>
        <v>0</v>
      </c>
      <c r="AL115" s="70">
        <f t="shared" si="31"/>
        <v>72246390</v>
      </c>
      <c r="AM115" s="70">
        <f t="shared" si="32"/>
        <v>76250000</v>
      </c>
      <c r="AN115" s="70">
        <f t="shared" si="33"/>
        <v>76219721.900279313</v>
      </c>
      <c r="AO115" s="70">
        <f t="shared" si="34"/>
        <v>76222737.051220715</v>
      </c>
    </row>
    <row r="116" spans="1:41">
      <c r="A116" s="29" t="s">
        <v>505</v>
      </c>
      <c r="B116" s="29" t="s">
        <v>716</v>
      </c>
      <c r="C116" s="107">
        <v>660950.36</v>
      </c>
      <c r="D116" s="108">
        <v>910606</v>
      </c>
      <c r="F116" s="107">
        <v>677563.77</v>
      </c>
      <c r="G116" s="108">
        <v>965242</v>
      </c>
      <c r="I116" s="64">
        <v>677563.77</v>
      </c>
      <c r="J116" s="83">
        <v>716777.74406333314</v>
      </c>
      <c r="K116" s="66">
        <v>965242</v>
      </c>
      <c r="L116" s="251">
        <v>1023157</v>
      </c>
      <c r="M116" s="63">
        <v>679129.83279000001</v>
      </c>
      <c r="N116" s="64">
        <v>678648.06099999987</v>
      </c>
      <c r="O116" s="65">
        <v>1023157</v>
      </c>
      <c r="P116" s="66">
        <v>1023157</v>
      </c>
      <c r="Q116" s="66">
        <f t="shared" si="19"/>
        <v>672912.01520000002</v>
      </c>
      <c r="R116" s="63">
        <f t="shared" si="20"/>
        <v>705797.83132559992</v>
      </c>
      <c r="S116" s="83">
        <f t="shared" si="21"/>
        <v>689671.24794653326</v>
      </c>
      <c r="T116" s="64">
        <f t="shared" si="22"/>
        <v>678782.95710119989</v>
      </c>
      <c r="U116" s="66">
        <f t="shared" si="23"/>
        <v>939355.4632</v>
      </c>
      <c r="V116" s="63">
        <f t="shared" si="24"/>
        <v>995716.87300000002</v>
      </c>
      <c r="W116" s="83">
        <f t="shared" si="25"/>
        <v>1023157</v>
      </c>
      <c r="X116" s="64">
        <f t="shared" si="26"/>
        <v>1023157</v>
      </c>
      <c r="Z116" s="67">
        <v>677563.77</v>
      </c>
      <c r="AA116" s="68">
        <v>734219.72766999959</v>
      </c>
      <c r="AB116" s="69">
        <v>965242</v>
      </c>
      <c r="AC116" s="70">
        <v>1023157</v>
      </c>
      <c r="AD116" s="67">
        <v>679129.83279000001</v>
      </c>
      <c r="AE116" s="68">
        <v>678648.06099999987</v>
      </c>
      <c r="AF116" s="69">
        <v>1023157</v>
      </c>
      <c r="AG116" s="70">
        <v>1023157</v>
      </c>
      <c r="AH116" s="70">
        <f t="shared" si="27"/>
        <v>672912.01520000002</v>
      </c>
      <c r="AI116" s="70">
        <f t="shared" si="28"/>
        <v>718356.05952239968</v>
      </c>
      <c r="AJ116" s="70">
        <f t="shared" si="29"/>
        <v>694555.00335639995</v>
      </c>
      <c r="AK116" s="70">
        <f t="shared" si="30"/>
        <v>678782.95710119989</v>
      </c>
      <c r="AL116" s="70">
        <f t="shared" si="31"/>
        <v>939355.4632</v>
      </c>
      <c r="AM116" s="70">
        <f t="shared" si="32"/>
        <v>995716.87300000002</v>
      </c>
      <c r="AN116" s="70">
        <f t="shared" si="33"/>
        <v>1023157</v>
      </c>
      <c r="AO116" s="70">
        <f t="shared" si="34"/>
        <v>1023157</v>
      </c>
    </row>
    <row r="117" spans="1:41">
      <c r="A117" s="29" t="s">
        <v>21</v>
      </c>
      <c r="B117" s="29" t="s">
        <v>928</v>
      </c>
      <c r="C117" s="107">
        <v>0</v>
      </c>
      <c r="D117" s="108">
        <v>0</v>
      </c>
      <c r="F117" s="107">
        <v>845501.54</v>
      </c>
      <c r="G117" s="108">
        <v>1448076</v>
      </c>
      <c r="I117" s="64">
        <v>825672.56</v>
      </c>
      <c r="J117" s="83">
        <v>739001.24750133359</v>
      </c>
      <c r="K117" s="66">
        <v>1448076</v>
      </c>
      <c r="L117" s="251">
        <v>1560697</v>
      </c>
      <c r="M117" s="63">
        <v>560909.4319000002</v>
      </c>
      <c r="N117" s="64">
        <v>537064.42948399973</v>
      </c>
      <c r="O117" s="65">
        <v>1560697</v>
      </c>
      <c r="P117" s="66">
        <v>1560697</v>
      </c>
      <c r="Q117" s="66">
        <f t="shared" si="19"/>
        <v>594484.24320000003</v>
      </c>
      <c r="R117" s="63">
        <f t="shared" si="20"/>
        <v>763269.21500096016</v>
      </c>
      <c r="S117" s="83">
        <f t="shared" si="21"/>
        <v>610775.14026837354</v>
      </c>
      <c r="T117" s="64">
        <f t="shared" si="22"/>
        <v>543741.03016047995</v>
      </c>
      <c r="U117" s="66">
        <f t="shared" si="23"/>
        <v>761977.59120000002</v>
      </c>
      <c r="V117" s="63">
        <f t="shared" si="24"/>
        <v>1507337.1702000001</v>
      </c>
      <c r="W117" s="83">
        <f t="shared" si="25"/>
        <v>1560697</v>
      </c>
      <c r="X117" s="64">
        <f t="shared" si="26"/>
        <v>1560697</v>
      </c>
      <c r="Z117" s="67">
        <v>845501.54</v>
      </c>
      <c r="AA117" s="68">
        <v>739001.24750133359</v>
      </c>
      <c r="AB117" s="69">
        <v>1448076</v>
      </c>
      <c r="AC117" s="70">
        <v>1560697</v>
      </c>
      <c r="AD117" s="67">
        <v>560909.4319000002</v>
      </c>
      <c r="AE117" s="68">
        <v>537064.42948399973</v>
      </c>
      <c r="AF117" s="69">
        <v>1560697</v>
      </c>
      <c r="AG117" s="70">
        <v>1560697</v>
      </c>
      <c r="AH117" s="70">
        <f t="shared" si="27"/>
        <v>608761.10880000005</v>
      </c>
      <c r="AI117" s="70">
        <f t="shared" si="28"/>
        <v>768821.32940096012</v>
      </c>
      <c r="AJ117" s="70">
        <f t="shared" si="29"/>
        <v>610775.14026837354</v>
      </c>
      <c r="AK117" s="70">
        <f t="shared" si="30"/>
        <v>543741.03016047995</v>
      </c>
      <c r="AL117" s="70">
        <f t="shared" si="31"/>
        <v>761977.59120000002</v>
      </c>
      <c r="AM117" s="70">
        <f t="shared" si="32"/>
        <v>1507337.1702000001</v>
      </c>
      <c r="AN117" s="70">
        <f t="shared" si="33"/>
        <v>1560697</v>
      </c>
      <c r="AO117" s="70">
        <f t="shared" si="34"/>
        <v>1560697</v>
      </c>
    </row>
    <row r="118" spans="1:41">
      <c r="A118" s="29" t="s">
        <v>247</v>
      </c>
      <c r="B118" s="29" t="s">
        <v>717</v>
      </c>
      <c r="C118" s="107">
        <v>0</v>
      </c>
      <c r="D118" s="108">
        <v>1683268</v>
      </c>
      <c r="F118" s="107">
        <v>0</v>
      </c>
      <c r="G118" s="108">
        <v>1700097</v>
      </c>
      <c r="I118" s="64">
        <v>0</v>
      </c>
      <c r="J118" s="83">
        <v>0</v>
      </c>
      <c r="K118" s="66">
        <v>1700097</v>
      </c>
      <c r="L118" s="251">
        <v>1700097</v>
      </c>
      <c r="M118" s="63">
        <v>0</v>
      </c>
      <c r="N118" s="64">
        <v>0</v>
      </c>
      <c r="O118" s="65">
        <v>1700097</v>
      </c>
      <c r="P118" s="66">
        <v>1700097</v>
      </c>
      <c r="Q118" s="66">
        <f t="shared" si="19"/>
        <v>0</v>
      </c>
      <c r="R118" s="63">
        <f t="shared" si="20"/>
        <v>0</v>
      </c>
      <c r="S118" s="83">
        <f t="shared" si="21"/>
        <v>0</v>
      </c>
      <c r="T118" s="64">
        <f t="shared" si="22"/>
        <v>0</v>
      </c>
      <c r="U118" s="66">
        <f t="shared" si="23"/>
        <v>1692123.4198</v>
      </c>
      <c r="V118" s="63">
        <f t="shared" si="24"/>
        <v>1700097</v>
      </c>
      <c r="W118" s="83">
        <f t="shared" si="25"/>
        <v>1700097</v>
      </c>
      <c r="X118" s="64">
        <f t="shared" si="26"/>
        <v>1700097</v>
      </c>
      <c r="Z118" s="67">
        <v>0</v>
      </c>
      <c r="AA118" s="68">
        <v>0</v>
      </c>
      <c r="AB118" s="69">
        <v>1700097</v>
      </c>
      <c r="AC118" s="70">
        <v>1700097</v>
      </c>
      <c r="AD118" s="67">
        <v>0</v>
      </c>
      <c r="AE118" s="68">
        <v>0</v>
      </c>
      <c r="AF118" s="69">
        <v>1700097</v>
      </c>
      <c r="AG118" s="70">
        <v>1700097</v>
      </c>
      <c r="AH118" s="70">
        <f t="shared" si="27"/>
        <v>0</v>
      </c>
      <c r="AI118" s="70">
        <f t="shared" si="28"/>
        <v>0</v>
      </c>
      <c r="AJ118" s="70">
        <f t="shared" si="29"/>
        <v>0</v>
      </c>
      <c r="AK118" s="70">
        <f t="shared" si="30"/>
        <v>0</v>
      </c>
      <c r="AL118" s="70">
        <f t="shared" si="31"/>
        <v>1692123.4198</v>
      </c>
      <c r="AM118" s="70">
        <f t="shared" si="32"/>
        <v>1700097</v>
      </c>
      <c r="AN118" s="70">
        <f t="shared" si="33"/>
        <v>1700097</v>
      </c>
      <c r="AO118" s="70">
        <f t="shared" si="34"/>
        <v>1700097</v>
      </c>
    </row>
    <row r="119" spans="1:41">
      <c r="A119" s="29" t="s">
        <v>261</v>
      </c>
      <c r="B119" s="29" t="s">
        <v>718</v>
      </c>
      <c r="C119" s="107">
        <v>55908.19</v>
      </c>
      <c r="D119" s="108">
        <v>90000</v>
      </c>
      <c r="F119" s="107">
        <v>55587.21</v>
      </c>
      <c r="G119" s="108">
        <v>90000</v>
      </c>
      <c r="I119" s="64">
        <v>45352.42</v>
      </c>
      <c r="J119" s="83">
        <v>47196.930500000002</v>
      </c>
      <c r="K119" s="66">
        <v>90000</v>
      </c>
      <c r="L119" s="251">
        <v>90000</v>
      </c>
      <c r="M119" s="63">
        <v>45701.116499999989</v>
      </c>
      <c r="N119" s="64">
        <v>42836.801899999999</v>
      </c>
      <c r="O119" s="65">
        <v>90000</v>
      </c>
      <c r="P119" s="66">
        <v>90000</v>
      </c>
      <c r="Q119" s="66">
        <f t="shared" si="19"/>
        <v>48308.035600000003</v>
      </c>
      <c r="R119" s="63">
        <f t="shared" si="20"/>
        <v>46680.467560000005</v>
      </c>
      <c r="S119" s="83">
        <f t="shared" si="21"/>
        <v>46119.944419999993</v>
      </c>
      <c r="T119" s="64">
        <f t="shared" si="22"/>
        <v>43638.809987999994</v>
      </c>
      <c r="U119" s="66">
        <f t="shared" si="23"/>
        <v>90000</v>
      </c>
      <c r="V119" s="63">
        <f t="shared" si="24"/>
        <v>90000</v>
      </c>
      <c r="W119" s="83">
        <f t="shared" si="25"/>
        <v>90000</v>
      </c>
      <c r="X119" s="64">
        <f t="shared" si="26"/>
        <v>90000</v>
      </c>
      <c r="Z119" s="67">
        <v>55587.21</v>
      </c>
      <c r="AA119" s="68">
        <v>57943.484999999986</v>
      </c>
      <c r="AB119" s="69">
        <v>90000</v>
      </c>
      <c r="AC119" s="70">
        <v>90000</v>
      </c>
      <c r="AD119" s="67">
        <v>45701.116499999989</v>
      </c>
      <c r="AE119" s="68">
        <v>42836.801899999999</v>
      </c>
      <c r="AF119" s="69">
        <v>90000</v>
      </c>
      <c r="AG119" s="70">
        <v>90000</v>
      </c>
      <c r="AH119" s="70">
        <f t="shared" si="27"/>
        <v>55677.0844</v>
      </c>
      <c r="AI119" s="70">
        <f t="shared" si="28"/>
        <v>57283.727999999988</v>
      </c>
      <c r="AJ119" s="70">
        <f t="shared" si="29"/>
        <v>49128.979679999989</v>
      </c>
      <c r="AK119" s="70">
        <f t="shared" si="30"/>
        <v>43638.809987999994</v>
      </c>
      <c r="AL119" s="70">
        <f t="shared" si="31"/>
        <v>90000</v>
      </c>
      <c r="AM119" s="70">
        <f t="shared" si="32"/>
        <v>90000</v>
      </c>
      <c r="AN119" s="70">
        <f t="shared" si="33"/>
        <v>90000</v>
      </c>
      <c r="AO119" s="70">
        <f t="shared" si="34"/>
        <v>90000</v>
      </c>
    </row>
    <row r="120" spans="1:41">
      <c r="A120" s="29" t="s">
        <v>409</v>
      </c>
      <c r="B120" s="29" t="s">
        <v>719</v>
      </c>
      <c r="C120" s="107">
        <v>0</v>
      </c>
      <c r="D120" s="108">
        <v>874605</v>
      </c>
      <c r="F120" s="107">
        <v>0</v>
      </c>
      <c r="G120" s="108">
        <v>964783</v>
      </c>
      <c r="I120" s="64">
        <v>0</v>
      </c>
      <c r="J120" s="83">
        <v>0</v>
      </c>
      <c r="K120" s="66">
        <v>964783</v>
      </c>
      <c r="L120" s="251">
        <v>993717</v>
      </c>
      <c r="M120" s="63">
        <v>0</v>
      </c>
      <c r="N120" s="64">
        <v>0</v>
      </c>
      <c r="O120" s="65">
        <v>1023519</v>
      </c>
      <c r="P120" s="66">
        <v>1054215</v>
      </c>
      <c r="Q120" s="66">
        <f t="shared" si="19"/>
        <v>0</v>
      </c>
      <c r="R120" s="63">
        <f t="shared" si="20"/>
        <v>0</v>
      </c>
      <c r="S120" s="83">
        <f t="shared" si="21"/>
        <v>0</v>
      </c>
      <c r="T120" s="64">
        <f t="shared" si="22"/>
        <v>0</v>
      </c>
      <c r="U120" s="66">
        <f t="shared" si="23"/>
        <v>922056.66359999997</v>
      </c>
      <c r="V120" s="63">
        <f t="shared" si="24"/>
        <v>980008.0708000001</v>
      </c>
      <c r="W120" s="83">
        <f t="shared" si="25"/>
        <v>1009398.8123999999</v>
      </c>
      <c r="X120" s="64">
        <f t="shared" si="26"/>
        <v>1039671.2352</v>
      </c>
      <c r="Z120" s="67">
        <v>0</v>
      </c>
      <c r="AA120" s="68">
        <v>0</v>
      </c>
      <c r="AB120" s="69">
        <v>964783</v>
      </c>
      <c r="AC120" s="70">
        <v>993717</v>
      </c>
      <c r="AD120" s="67">
        <v>0</v>
      </c>
      <c r="AE120" s="68">
        <v>0</v>
      </c>
      <c r="AF120" s="69">
        <v>1023519</v>
      </c>
      <c r="AG120" s="70">
        <v>1054215</v>
      </c>
      <c r="AH120" s="70">
        <f t="shared" si="27"/>
        <v>0</v>
      </c>
      <c r="AI120" s="70">
        <f t="shared" si="28"/>
        <v>0</v>
      </c>
      <c r="AJ120" s="70">
        <f t="shared" si="29"/>
        <v>0</v>
      </c>
      <c r="AK120" s="70">
        <f t="shared" si="30"/>
        <v>0</v>
      </c>
      <c r="AL120" s="70">
        <f t="shared" si="31"/>
        <v>922056.66359999997</v>
      </c>
      <c r="AM120" s="70">
        <f t="shared" si="32"/>
        <v>980008.0708000001</v>
      </c>
      <c r="AN120" s="70">
        <f t="shared" si="33"/>
        <v>1009398.8123999999</v>
      </c>
      <c r="AO120" s="70">
        <f t="shared" si="34"/>
        <v>1039671.2352</v>
      </c>
    </row>
    <row r="121" spans="1:41">
      <c r="A121" s="29" t="s">
        <v>59</v>
      </c>
      <c r="B121" s="29" t="s">
        <v>905</v>
      </c>
      <c r="C121" s="107">
        <v>476648.53</v>
      </c>
      <c r="D121" s="108">
        <v>2203025</v>
      </c>
      <c r="F121" s="107">
        <v>341586.52</v>
      </c>
      <c r="G121" s="108">
        <v>2464030</v>
      </c>
      <c r="I121" s="64">
        <v>133828.85</v>
      </c>
      <c r="J121" s="83">
        <v>36535.790599999964</v>
      </c>
      <c r="K121" s="66">
        <v>2464030</v>
      </c>
      <c r="L121" s="251">
        <v>3181637</v>
      </c>
      <c r="M121" s="63">
        <v>0</v>
      </c>
      <c r="N121" s="64">
        <v>0</v>
      </c>
      <c r="O121" s="65">
        <v>3181637</v>
      </c>
      <c r="P121" s="66">
        <v>3181637</v>
      </c>
      <c r="Q121" s="66">
        <f t="shared" si="19"/>
        <v>229818.36040000001</v>
      </c>
      <c r="R121" s="63">
        <f t="shared" si="20"/>
        <v>63777.847231999986</v>
      </c>
      <c r="S121" s="83">
        <f t="shared" si="21"/>
        <v>10230.021367999991</v>
      </c>
      <c r="T121" s="64">
        <f t="shared" si="22"/>
        <v>0</v>
      </c>
      <c r="U121" s="66">
        <f t="shared" si="23"/>
        <v>2340365.8309999998</v>
      </c>
      <c r="V121" s="63">
        <f t="shared" si="24"/>
        <v>2841634.8034000001</v>
      </c>
      <c r="W121" s="83">
        <f t="shared" si="25"/>
        <v>3181637</v>
      </c>
      <c r="X121" s="64">
        <f t="shared" si="26"/>
        <v>3181637</v>
      </c>
      <c r="Z121" s="67">
        <v>341586.52</v>
      </c>
      <c r="AA121" s="68">
        <v>314685.04170000006</v>
      </c>
      <c r="AB121" s="69">
        <v>2464030</v>
      </c>
      <c r="AC121" s="70">
        <v>3181637</v>
      </c>
      <c r="AD121" s="67">
        <v>0</v>
      </c>
      <c r="AE121" s="68">
        <v>0</v>
      </c>
      <c r="AF121" s="69">
        <v>3181637</v>
      </c>
      <c r="AG121" s="70">
        <v>3181637</v>
      </c>
      <c r="AH121" s="70">
        <f t="shared" si="27"/>
        <v>379403.88280000002</v>
      </c>
      <c r="AI121" s="70">
        <f t="shared" si="28"/>
        <v>322217.45562400005</v>
      </c>
      <c r="AJ121" s="70">
        <f t="shared" si="29"/>
        <v>88111.811676000027</v>
      </c>
      <c r="AK121" s="70">
        <f t="shared" si="30"/>
        <v>0</v>
      </c>
      <c r="AL121" s="70">
        <f t="shared" si="31"/>
        <v>2340365.8309999998</v>
      </c>
      <c r="AM121" s="70">
        <f t="shared" si="32"/>
        <v>2841634.8034000001</v>
      </c>
      <c r="AN121" s="70">
        <f t="shared" si="33"/>
        <v>3181637</v>
      </c>
      <c r="AO121" s="70">
        <f t="shared" si="34"/>
        <v>3181637</v>
      </c>
    </row>
    <row r="122" spans="1:41">
      <c r="A122" s="29" t="s">
        <v>555</v>
      </c>
      <c r="B122" s="29" t="s">
        <v>929</v>
      </c>
      <c r="C122" s="107">
        <v>0</v>
      </c>
      <c r="D122" s="108">
        <v>205963</v>
      </c>
      <c r="F122" s="107">
        <v>0</v>
      </c>
      <c r="G122" s="108">
        <v>221727</v>
      </c>
      <c r="I122" s="64">
        <v>0</v>
      </c>
      <c r="J122" s="83">
        <v>0</v>
      </c>
      <c r="K122" s="66">
        <v>221727</v>
      </c>
      <c r="L122" s="251">
        <v>241145.34819999998</v>
      </c>
      <c r="M122" s="63">
        <v>0</v>
      </c>
      <c r="N122" s="64">
        <v>0</v>
      </c>
      <c r="O122" s="65">
        <v>246209.24470000001</v>
      </c>
      <c r="P122" s="66">
        <v>251625.81289999999</v>
      </c>
      <c r="Q122" s="66">
        <f t="shared" si="19"/>
        <v>0</v>
      </c>
      <c r="R122" s="63">
        <f t="shared" si="20"/>
        <v>0</v>
      </c>
      <c r="S122" s="83">
        <f t="shared" si="21"/>
        <v>0</v>
      </c>
      <c r="T122" s="64">
        <f t="shared" si="22"/>
        <v>0</v>
      </c>
      <c r="U122" s="66">
        <f t="shared" si="23"/>
        <v>214258.01680000001</v>
      </c>
      <c r="V122" s="63">
        <f t="shared" si="24"/>
        <v>231944.93482283998</v>
      </c>
      <c r="W122" s="83">
        <f t="shared" si="25"/>
        <v>243809.9705383</v>
      </c>
      <c r="X122" s="64">
        <f t="shared" si="26"/>
        <v>249059.44288684003</v>
      </c>
      <c r="Z122" s="67">
        <v>0</v>
      </c>
      <c r="AA122" s="68">
        <v>0</v>
      </c>
      <c r="AB122" s="69">
        <v>221727</v>
      </c>
      <c r="AC122" s="70">
        <v>241145.34819999998</v>
      </c>
      <c r="AD122" s="67">
        <v>0</v>
      </c>
      <c r="AE122" s="68">
        <v>0</v>
      </c>
      <c r="AF122" s="69">
        <v>246209.24470000001</v>
      </c>
      <c r="AG122" s="70">
        <v>251625.81289999999</v>
      </c>
      <c r="AH122" s="70">
        <f t="shared" si="27"/>
        <v>0</v>
      </c>
      <c r="AI122" s="70">
        <f t="shared" si="28"/>
        <v>0</v>
      </c>
      <c r="AJ122" s="70">
        <f t="shared" si="29"/>
        <v>0</v>
      </c>
      <c r="AK122" s="70">
        <f t="shared" si="30"/>
        <v>0</v>
      </c>
      <c r="AL122" s="70">
        <f t="shared" si="31"/>
        <v>214258.01680000001</v>
      </c>
      <c r="AM122" s="70">
        <f t="shared" si="32"/>
        <v>231944.93482283998</v>
      </c>
      <c r="AN122" s="70">
        <f t="shared" si="33"/>
        <v>243809.9705383</v>
      </c>
      <c r="AO122" s="70">
        <f t="shared" si="34"/>
        <v>249059.44288684003</v>
      </c>
    </row>
    <row r="123" spans="1:41">
      <c r="A123" s="29" t="s">
        <v>35</v>
      </c>
      <c r="B123" s="29" t="s">
        <v>720</v>
      </c>
      <c r="C123" s="107">
        <v>0</v>
      </c>
      <c r="D123" s="108">
        <v>3539532</v>
      </c>
      <c r="F123" s="107">
        <v>0</v>
      </c>
      <c r="G123" s="108">
        <v>3625239.1799999997</v>
      </c>
      <c r="I123" s="64">
        <v>0</v>
      </c>
      <c r="J123" s="83">
        <v>0</v>
      </c>
      <c r="K123" s="66">
        <v>3625239.1799999997</v>
      </c>
      <c r="L123" s="251">
        <v>3538823.0977999996</v>
      </c>
      <c r="M123" s="63">
        <v>0</v>
      </c>
      <c r="N123" s="64">
        <v>0</v>
      </c>
      <c r="O123" s="65">
        <v>3608822</v>
      </c>
      <c r="P123" s="66">
        <v>3608822</v>
      </c>
      <c r="Q123" s="66">
        <f t="shared" si="19"/>
        <v>0</v>
      </c>
      <c r="R123" s="63">
        <f t="shared" si="20"/>
        <v>0</v>
      </c>
      <c r="S123" s="83">
        <f t="shared" si="21"/>
        <v>0</v>
      </c>
      <c r="T123" s="64">
        <f t="shared" si="22"/>
        <v>0</v>
      </c>
      <c r="U123" s="66">
        <f t="shared" si="23"/>
        <v>3584631.1181159997</v>
      </c>
      <c r="V123" s="63">
        <f t="shared" si="24"/>
        <v>3579767.0375463599</v>
      </c>
      <c r="W123" s="83">
        <f t="shared" si="25"/>
        <v>3575656.5201376397</v>
      </c>
      <c r="X123" s="64">
        <f t="shared" si="26"/>
        <v>3608822</v>
      </c>
      <c r="Z123" s="67">
        <v>0</v>
      </c>
      <c r="AA123" s="68">
        <v>0</v>
      </c>
      <c r="AB123" s="69">
        <v>3625239.1799999997</v>
      </c>
      <c r="AC123" s="70">
        <v>3608822</v>
      </c>
      <c r="AD123" s="67">
        <v>0</v>
      </c>
      <c r="AE123" s="68">
        <v>0</v>
      </c>
      <c r="AF123" s="69">
        <v>3608822</v>
      </c>
      <c r="AG123" s="70">
        <v>3608822</v>
      </c>
      <c r="AH123" s="70">
        <f t="shared" si="27"/>
        <v>0</v>
      </c>
      <c r="AI123" s="70">
        <f t="shared" si="28"/>
        <v>0</v>
      </c>
      <c r="AJ123" s="70">
        <f t="shared" si="29"/>
        <v>0</v>
      </c>
      <c r="AK123" s="70">
        <f t="shared" si="30"/>
        <v>0</v>
      </c>
      <c r="AL123" s="70">
        <f t="shared" si="31"/>
        <v>3584631.1181159997</v>
      </c>
      <c r="AM123" s="70">
        <f t="shared" si="32"/>
        <v>3616600.459884</v>
      </c>
      <c r="AN123" s="70">
        <f t="shared" si="33"/>
        <v>3608822</v>
      </c>
      <c r="AO123" s="70">
        <f t="shared" si="34"/>
        <v>3608822</v>
      </c>
    </row>
    <row r="124" spans="1:41">
      <c r="A124" s="29" t="s">
        <v>425</v>
      </c>
      <c r="B124" s="29" t="s">
        <v>721</v>
      </c>
      <c r="C124" s="107">
        <v>3412503.41</v>
      </c>
      <c r="D124" s="108">
        <v>12627600</v>
      </c>
      <c r="F124" s="107">
        <v>2449555.98</v>
      </c>
      <c r="G124" s="108">
        <v>14521800</v>
      </c>
      <c r="I124" s="64">
        <v>1781791.23</v>
      </c>
      <c r="J124" s="83">
        <v>1803645.9255999986</v>
      </c>
      <c r="K124" s="66">
        <v>14521800</v>
      </c>
      <c r="L124" s="251">
        <v>14521800</v>
      </c>
      <c r="M124" s="63">
        <v>1067156.7274939986</v>
      </c>
      <c r="N124" s="64">
        <v>276580.06865399878</v>
      </c>
      <c r="O124" s="65">
        <v>14521800</v>
      </c>
      <c r="P124" s="66">
        <v>14521800</v>
      </c>
      <c r="Q124" s="66">
        <f t="shared" si="19"/>
        <v>2238390.6403999999</v>
      </c>
      <c r="R124" s="63">
        <f t="shared" si="20"/>
        <v>1797526.610831999</v>
      </c>
      <c r="S124" s="83">
        <f t="shared" si="21"/>
        <v>1273373.7029636786</v>
      </c>
      <c r="T124" s="64">
        <f t="shared" si="22"/>
        <v>497941.53312919871</v>
      </c>
      <c r="U124" s="66">
        <f t="shared" si="23"/>
        <v>13624328.039999999</v>
      </c>
      <c r="V124" s="63">
        <f t="shared" si="24"/>
        <v>14521800</v>
      </c>
      <c r="W124" s="83">
        <f t="shared" si="25"/>
        <v>14521800</v>
      </c>
      <c r="X124" s="64">
        <f t="shared" si="26"/>
        <v>14521800</v>
      </c>
      <c r="Z124" s="67">
        <v>2449555.98</v>
      </c>
      <c r="AA124" s="68">
        <v>2345343.3240000014</v>
      </c>
      <c r="AB124" s="69">
        <v>14521800</v>
      </c>
      <c r="AC124" s="70">
        <v>14521800</v>
      </c>
      <c r="AD124" s="67">
        <v>1067156.7274939986</v>
      </c>
      <c r="AE124" s="68">
        <v>276580.06865399878</v>
      </c>
      <c r="AF124" s="69">
        <v>14521800</v>
      </c>
      <c r="AG124" s="70">
        <v>14521800</v>
      </c>
      <c r="AH124" s="70">
        <f t="shared" si="27"/>
        <v>2719181.2604</v>
      </c>
      <c r="AI124" s="70">
        <f t="shared" si="28"/>
        <v>2374522.8676800011</v>
      </c>
      <c r="AJ124" s="70">
        <f t="shared" si="29"/>
        <v>1425048.9745156793</v>
      </c>
      <c r="AK124" s="70">
        <f t="shared" si="30"/>
        <v>497941.53312919871</v>
      </c>
      <c r="AL124" s="70">
        <f t="shared" si="31"/>
        <v>13624328.039999999</v>
      </c>
      <c r="AM124" s="70">
        <f t="shared" si="32"/>
        <v>14521800</v>
      </c>
      <c r="AN124" s="70">
        <f t="shared" si="33"/>
        <v>14521800</v>
      </c>
      <c r="AO124" s="70">
        <f t="shared" si="34"/>
        <v>14521800</v>
      </c>
    </row>
    <row r="125" spans="1:41">
      <c r="A125" s="29" t="s">
        <v>215</v>
      </c>
      <c r="B125" s="29" t="s">
        <v>722</v>
      </c>
      <c r="C125" s="107">
        <v>0</v>
      </c>
      <c r="D125" s="108">
        <v>65100000</v>
      </c>
      <c r="F125" s="107">
        <v>0</v>
      </c>
      <c r="G125" s="108">
        <v>67700000</v>
      </c>
      <c r="I125" s="64">
        <v>0</v>
      </c>
      <c r="J125" s="83">
        <v>0</v>
      </c>
      <c r="K125" s="66">
        <v>67700000</v>
      </c>
      <c r="L125" s="251">
        <v>67700000</v>
      </c>
      <c r="M125" s="63">
        <v>0</v>
      </c>
      <c r="N125" s="64">
        <v>0</v>
      </c>
      <c r="O125" s="65">
        <v>67700000</v>
      </c>
      <c r="P125" s="66">
        <v>67700000</v>
      </c>
      <c r="Q125" s="66">
        <f t="shared" si="19"/>
        <v>0</v>
      </c>
      <c r="R125" s="63">
        <f t="shared" si="20"/>
        <v>0</v>
      </c>
      <c r="S125" s="83">
        <f t="shared" si="21"/>
        <v>0</v>
      </c>
      <c r="T125" s="64">
        <f t="shared" si="22"/>
        <v>0</v>
      </c>
      <c r="U125" s="66">
        <f t="shared" si="23"/>
        <v>66468120</v>
      </c>
      <c r="V125" s="63">
        <f t="shared" si="24"/>
        <v>67700000</v>
      </c>
      <c r="W125" s="83">
        <f t="shared" si="25"/>
        <v>67700000</v>
      </c>
      <c r="X125" s="64">
        <f t="shared" si="26"/>
        <v>67700000</v>
      </c>
      <c r="Z125" s="67">
        <v>0</v>
      </c>
      <c r="AA125" s="68">
        <v>0</v>
      </c>
      <c r="AB125" s="69">
        <v>67700000</v>
      </c>
      <c r="AC125" s="70">
        <v>67700000</v>
      </c>
      <c r="AD125" s="67">
        <v>0</v>
      </c>
      <c r="AE125" s="68">
        <v>0</v>
      </c>
      <c r="AF125" s="69">
        <v>67700000</v>
      </c>
      <c r="AG125" s="70">
        <v>67700000</v>
      </c>
      <c r="AH125" s="70">
        <f t="shared" si="27"/>
        <v>0</v>
      </c>
      <c r="AI125" s="70">
        <f t="shared" si="28"/>
        <v>0</v>
      </c>
      <c r="AJ125" s="70">
        <f t="shared" si="29"/>
        <v>0</v>
      </c>
      <c r="AK125" s="70">
        <f t="shared" si="30"/>
        <v>0</v>
      </c>
      <c r="AL125" s="70">
        <f t="shared" si="31"/>
        <v>66468120</v>
      </c>
      <c r="AM125" s="70">
        <f t="shared" si="32"/>
        <v>67700000</v>
      </c>
      <c r="AN125" s="70">
        <f t="shared" si="33"/>
        <v>67700000</v>
      </c>
      <c r="AO125" s="70">
        <f t="shared" si="34"/>
        <v>67700000</v>
      </c>
    </row>
    <row r="126" spans="1:41">
      <c r="A126" s="29" t="s">
        <v>441</v>
      </c>
      <c r="B126" s="29" t="s">
        <v>723</v>
      </c>
      <c r="C126" s="107">
        <v>0</v>
      </c>
      <c r="D126" s="108">
        <v>0</v>
      </c>
      <c r="F126" s="107">
        <v>0</v>
      </c>
      <c r="G126" s="108">
        <v>6081871</v>
      </c>
      <c r="I126" s="64">
        <v>0</v>
      </c>
      <c r="J126" s="83">
        <v>0</v>
      </c>
      <c r="K126" s="66">
        <v>6081871</v>
      </c>
      <c r="L126" s="251">
        <v>6446783</v>
      </c>
      <c r="M126" s="63">
        <v>0</v>
      </c>
      <c r="N126" s="64">
        <v>0</v>
      </c>
      <c r="O126" s="65">
        <v>6833590</v>
      </c>
      <c r="P126" s="66">
        <v>6833590</v>
      </c>
      <c r="Q126" s="66">
        <f t="shared" si="19"/>
        <v>0</v>
      </c>
      <c r="R126" s="63">
        <f t="shared" si="20"/>
        <v>0</v>
      </c>
      <c r="S126" s="83">
        <f t="shared" si="21"/>
        <v>0</v>
      </c>
      <c r="T126" s="64">
        <f t="shared" si="22"/>
        <v>0</v>
      </c>
      <c r="U126" s="66">
        <f t="shared" si="23"/>
        <v>3200280.5202000001</v>
      </c>
      <c r="V126" s="63">
        <f t="shared" si="24"/>
        <v>6273887.6943999995</v>
      </c>
      <c r="W126" s="83">
        <f t="shared" si="25"/>
        <v>6650320.8433999997</v>
      </c>
      <c r="X126" s="64">
        <f t="shared" si="26"/>
        <v>6833590</v>
      </c>
      <c r="Z126" s="67">
        <v>0</v>
      </c>
      <c r="AA126" s="68">
        <v>0</v>
      </c>
      <c r="AB126" s="69">
        <v>6081871</v>
      </c>
      <c r="AC126" s="70">
        <v>6446783</v>
      </c>
      <c r="AD126" s="67">
        <v>0</v>
      </c>
      <c r="AE126" s="68">
        <v>0</v>
      </c>
      <c r="AF126" s="69">
        <v>6833590</v>
      </c>
      <c r="AG126" s="70">
        <v>6833590</v>
      </c>
      <c r="AH126" s="70">
        <f t="shared" si="27"/>
        <v>0</v>
      </c>
      <c r="AI126" s="70">
        <f t="shared" si="28"/>
        <v>0</v>
      </c>
      <c r="AJ126" s="70">
        <f t="shared" si="29"/>
        <v>0</v>
      </c>
      <c r="AK126" s="70">
        <f t="shared" si="30"/>
        <v>0</v>
      </c>
      <c r="AL126" s="70">
        <f t="shared" si="31"/>
        <v>3200280.5202000001</v>
      </c>
      <c r="AM126" s="70">
        <f t="shared" si="32"/>
        <v>6273887.6943999995</v>
      </c>
      <c r="AN126" s="70">
        <f t="shared" si="33"/>
        <v>6650320.8433999997</v>
      </c>
      <c r="AO126" s="70">
        <f t="shared" si="34"/>
        <v>6833590</v>
      </c>
    </row>
    <row r="127" spans="1:41">
      <c r="A127" s="29" t="s">
        <v>557</v>
      </c>
      <c r="B127" s="29" t="s">
        <v>724</v>
      </c>
      <c r="C127" s="107">
        <v>10781.67</v>
      </c>
      <c r="D127" s="108">
        <v>90000</v>
      </c>
      <c r="F127" s="107">
        <v>12104.9</v>
      </c>
      <c r="G127" s="108">
        <v>130000</v>
      </c>
      <c r="I127" s="64">
        <v>0</v>
      </c>
      <c r="J127" s="83">
        <v>9153.2698999999939</v>
      </c>
      <c r="K127" s="66">
        <v>130000</v>
      </c>
      <c r="L127" s="251">
        <v>125101.065</v>
      </c>
      <c r="M127" s="63">
        <v>9655.1933999999837</v>
      </c>
      <c r="N127" s="64">
        <v>9686.2868999999973</v>
      </c>
      <c r="O127" s="65">
        <v>127211.8475</v>
      </c>
      <c r="P127" s="66">
        <v>130312.79</v>
      </c>
      <c r="Q127" s="66">
        <f t="shared" si="19"/>
        <v>3018.8676000000005</v>
      </c>
      <c r="R127" s="63">
        <f t="shared" si="20"/>
        <v>6590.3543279999949</v>
      </c>
      <c r="S127" s="83">
        <f t="shared" si="21"/>
        <v>9514.654819999987</v>
      </c>
      <c r="T127" s="64">
        <f t="shared" si="22"/>
        <v>9677.5807199999945</v>
      </c>
      <c r="U127" s="66">
        <f t="shared" si="23"/>
        <v>111048</v>
      </c>
      <c r="V127" s="63">
        <f t="shared" si="24"/>
        <v>127422.18040300001</v>
      </c>
      <c r="W127" s="83">
        <f t="shared" si="25"/>
        <v>126211.75875150002</v>
      </c>
      <c r="X127" s="64">
        <f t="shared" si="26"/>
        <v>128843.5634435</v>
      </c>
      <c r="Z127" s="67">
        <v>12104.9</v>
      </c>
      <c r="AA127" s="68">
        <v>12013.096800000012</v>
      </c>
      <c r="AB127" s="69">
        <v>130000</v>
      </c>
      <c r="AC127" s="70">
        <v>125101.065</v>
      </c>
      <c r="AD127" s="67">
        <v>9655.1933999999837</v>
      </c>
      <c r="AE127" s="68">
        <v>9686.2868999999973</v>
      </c>
      <c r="AF127" s="69">
        <v>127211.8475</v>
      </c>
      <c r="AG127" s="70">
        <v>130312.79</v>
      </c>
      <c r="AH127" s="70">
        <f t="shared" si="27"/>
        <v>11734.3956</v>
      </c>
      <c r="AI127" s="70">
        <f t="shared" si="28"/>
        <v>12038.80169600001</v>
      </c>
      <c r="AJ127" s="70">
        <f t="shared" si="29"/>
        <v>10315.406351999991</v>
      </c>
      <c r="AK127" s="70">
        <f t="shared" si="30"/>
        <v>9677.5807199999945</v>
      </c>
      <c r="AL127" s="70">
        <f t="shared" si="31"/>
        <v>111048</v>
      </c>
      <c r="AM127" s="70">
        <f t="shared" si="32"/>
        <v>127422.18040300001</v>
      </c>
      <c r="AN127" s="70">
        <f t="shared" si="33"/>
        <v>126211.75875150002</v>
      </c>
      <c r="AO127" s="70">
        <f t="shared" si="34"/>
        <v>128843.5634435</v>
      </c>
    </row>
    <row r="128" spans="1:41">
      <c r="A128" s="29" t="s">
        <v>471</v>
      </c>
      <c r="B128" s="29" t="s">
        <v>725</v>
      </c>
      <c r="C128" s="107">
        <v>0</v>
      </c>
      <c r="D128" s="108">
        <v>1419402</v>
      </c>
      <c r="F128" s="107">
        <v>0</v>
      </c>
      <c r="G128" s="108">
        <v>1484202</v>
      </c>
      <c r="I128" s="64">
        <v>0</v>
      </c>
      <c r="J128" s="83">
        <v>0</v>
      </c>
      <c r="K128" s="66">
        <v>1484202</v>
      </c>
      <c r="L128" s="251">
        <v>1560665.5189999999</v>
      </c>
      <c r="M128" s="63">
        <v>0</v>
      </c>
      <c r="N128" s="64">
        <v>0</v>
      </c>
      <c r="O128" s="65">
        <v>1614776.4250999999</v>
      </c>
      <c r="P128" s="66">
        <v>1647984</v>
      </c>
      <c r="Q128" s="66">
        <f t="shared" si="19"/>
        <v>0</v>
      </c>
      <c r="R128" s="63">
        <f t="shared" si="20"/>
        <v>0</v>
      </c>
      <c r="S128" s="83">
        <f t="shared" si="21"/>
        <v>0</v>
      </c>
      <c r="T128" s="64">
        <f t="shared" si="22"/>
        <v>0</v>
      </c>
      <c r="U128" s="66">
        <f t="shared" si="23"/>
        <v>1453499.76</v>
      </c>
      <c r="V128" s="63">
        <f t="shared" si="24"/>
        <v>1524437.1036978001</v>
      </c>
      <c r="W128" s="83">
        <f t="shared" si="25"/>
        <v>1589138.6777898199</v>
      </c>
      <c r="X128" s="64">
        <f t="shared" si="26"/>
        <v>1632250.2510123798</v>
      </c>
      <c r="Z128" s="67">
        <v>0</v>
      </c>
      <c r="AA128" s="68">
        <v>0</v>
      </c>
      <c r="AB128" s="69">
        <v>1484202</v>
      </c>
      <c r="AC128" s="70">
        <v>1564881</v>
      </c>
      <c r="AD128" s="67">
        <v>0</v>
      </c>
      <c r="AE128" s="68">
        <v>0</v>
      </c>
      <c r="AF128" s="69">
        <v>1614776.4250999999</v>
      </c>
      <c r="AG128" s="70">
        <v>1647984</v>
      </c>
      <c r="AH128" s="70">
        <f t="shared" si="27"/>
        <v>0</v>
      </c>
      <c r="AI128" s="70">
        <f t="shared" si="28"/>
        <v>0</v>
      </c>
      <c r="AJ128" s="70">
        <f t="shared" si="29"/>
        <v>0</v>
      </c>
      <c r="AK128" s="70">
        <f t="shared" si="30"/>
        <v>0</v>
      </c>
      <c r="AL128" s="70">
        <f t="shared" si="31"/>
        <v>1453499.76</v>
      </c>
      <c r="AM128" s="70">
        <f t="shared" si="32"/>
        <v>1526655.2897999999</v>
      </c>
      <c r="AN128" s="70">
        <f t="shared" si="33"/>
        <v>1591135.97268762</v>
      </c>
      <c r="AO128" s="70">
        <f t="shared" si="34"/>
        <v>1632250.2510123798</v>
      </c>
    </row>
    <row r="129" spans="1:41">
      <c r="A129" s="29" t="s">
        <v>9</v>
      </c>
      <c r="B129" s="29" t="s">
        <v>726</v>
      </c>
      <c r="C129" s="107">
        <v>0</v>
      </c>
      <c r="D129" s="108">
        <v>525000</v>
      </c>
      <c r="F129" s="107">
        <v>0</v>
      </c>
      <c r="G129" s="108">
        <v>525000</v>
      </c>
      <c r="I129" s="64">
        <v>0</v>
      </c>
      <c r="J129" s="83">
        <v>0</v>
      </c>
      <c r="K129" s="66">
        <v>525000</v>
      </c>
      <c r="L129" s="251">
        <v>525000</v>
      </c>
      <c r="M129" s="63">
        <v>0</v>
      </c>
      <c r="N129" s="64">
        <v>0</v>
      </c>
      <c r="O129" s="65">
        <v>525000</v>
      </c>
      <c r="P129" s="66">
        <v>525000</v>
      </c>
      <c r="Q129" s="66">
        <f t="shared" si="19"/>
        <v>0</v>
      </c>
      <c r="R129" s="63">
        <f t="shared" si="20"/>
        <v>0</v>
      </c>
      <c r="S129" s="83">
        <f t="shared" si="21"/>
        <v>0</v>
      </c>
      <c r="T129" s="64">
        <f t="shared" si="22"/>
        <v>0</v>
      </c>
      <c r="U129" s="66">
        <f t="shared" si="23"/>
        <v>525000</v>
      </c>
      <c r="V129" s="63">
        <f t="shared" si="24"/>
        <v>525000</v>
      </c>
      <c r="W129" s="83">
        <f t="shared" si="25"/>
        <v>525000</v>
      </c>
      <c r="X129" s="64">
        <f t="shared" si="26"/>
        <v>525000</v>
      </c>
      <c r="Z129" s="67">
        <v>0</v>
      </c>
      <c r="AA129" s="68">
        <v>0</v>
      </c>
      <c r="AB129" s="69">
        <v>525000</v>
      </c>
      <c r="AC129" s="70">
        <v>525000</v>
      </c>
      <c r="AD129" s="67">
        <v>0</v>
      </c>
      <c r="AE129" s="68">
        <v>0</v>
      </c>
      <c r="AF129" s="69">
        <v>525000</v>
      </c>
      <c r="AG129" s="70">
        <v>525000</v>
      </c>
      <c r="AH129" s="70">
        <f t="shared" si="27"/>
        <v>0</v>
      </c>
      <c r="AI129" s="70">
        <f t="shared" si="28"/>
        <v>0</v>
      </c>
      <c r="AJ129" s="70">
        <f t="shared" si="29"/>
        <v>0</v>
      </c>
      <c r="AK129" s="70">
        <f t="shared" si="30"/>
        <v>0</v>
      </c>
      <c r="AL129" s="70">
        <f t="shared" si="31"/>
        <v>525000</v>
      </c>
      <c r="AM129" s="70">
        <f t="shared" si="32"/>
        <v>525000</v>
      </c>
      <c r="AN129" s="70">
        <f t="shared" si="33"/>
        <v>525000</v>
      </c>
      <c r="AO129" s="70">
        <f t="shared" si="34"/>
        <v>525000</v>
      </c>
    </row>
    <row r="130" spans="1:41">
      <c r="A130" s="29" t="s">
        <v>77</v>
      </c>
      <c r="B130" s="29" t="s">
        <v>727</v>
      </c>
      <c r="C130" s="107">
        <v>1248637.42</v>
      </c>
      <c r="D130" s="108">
        <v>13790705</v>
      </c>
      <c r="F130" s="107">
        <v>804321.65</v>
      </c>
      <c r="G130" s="108">
        <v>14496559</v>
      </c>
      <c r="I130" s="64">
        <v>240478.04</v>
      </c>
      <c r="J130" s="83">
        <v>123952.60199999889</v>
      </c>
      <c r="K130" s="66">
        <v>14496559</v>
      </c>
      <c r="L130" s="251">
        <v>15235033</v>
      </c>
      <c r="M130" s="63">
        <v>0</v>
      </c>
      <c r="N130" s="64">
        <v>0</v>
      </c>
      <c r="O130" s="65">
        <v>16007613</v>
      </c>
      <c r="P130" s="66">
        <v>16007613</v>
      </c>
      <c r="Q130" s="66">
        <f t="shared" si="19"/>
        <v>522762.66639999999</v>
      </c>
      <c r="R130" s="63">
        <f t="shared" si="20"/>
        <v>156579.72463999921</v>
      </c>
      <c r="S130" s="83">
        <f t="shared" si="21"/>
        <v>34706.72855999969</v>
      </c>
      <c r="T130" s="64">
        <f t="shared" si="22"/>
        <v>0</v>
      </c>
      <c r="U130" s="66">
        <f t="shared" si="23"/>
        <v>14162125.3748</v>
      </c>
      <c r="V130" s="63">
        <f t="shared" si="24"/>
        <v>14885144.0188</v>
      </c>
      <c r="W130" s="83">
        <f t="shared" si="25"/>
        <v>15641564.596000001</v>
      </c>
      <c r="X130" s="64">
        <f t="shared" si="26"/>
        <v>16007613</v>
      </c>
      <c r="Z130" s="67">
        <v>804321.65</v>
      </c>
      <c r="AA130" s="68">
        <v>604474.57280000008</v>
      </c>
      <c r="AB130" s="69">
        <v>14496559</v>
      </c>
      <c r="AC130" s="70">
        <v>15235033</v>
      </c>
      <c r="AD130" s="67">
        <v>0</v>
      </c>
      <c r="AE130" s="68">
        <v>0</v>
      </c>
      <c r="AF130" s="69">
        <v>16007613</v>
      </c>
      <c r="AG130" s="70">
        <v>16007613</v>
      </c>
      <c r="AH130" s="70">
        <f t="shared" si="27"/>
        <v>928730.06559999997</v>
      </c>
      <c r="AI130" s="70">
        <f t="shared" si="28"/>
        <v>660431.7544160001</v>
      </c>
      <c r="AJ130" s="70">
        <f t="shared" si="29"/>
        <v>169252.88038400005</v>
      </c>
      <c r="AK130" s="70">
        <f t="shared" si="30"/>
        <v>0</v>
      </c>
      <c r="AL130" s="70">
        <f t="shared" si="31"/>
        <v>14162125.3748</v>
      </c>
      <c r="AM130" s="70">
        <f t="shared" si="32"/>
        <v>14885144.0188</v>
      </c>
      <c r="AN130" s="70">
        <f t="shared" si="33"/>
        <v>15641564.596000001</v>
      </c>
      <c r="AO130" s="70">
        <f t="shared" si="34"/>
        <v>16007613</v>
      </c>
    </row>
    <row r="131" spans="1:41">
      <c r="A131" s="29" t="s">
        <v>493</v>
      </c>
      <c r="B131" s="29" t="s">
        <v>728</v>
      </c>
      <c r="C131" s="107">
        <v>0</v>
      </c>
      <c r="D131" s="108">
        <v>250000</v>
      </c>
      <c r="F131" s="107">
        <v>0</v>
      </c>
      <c r="G131" s="108">
        <v>250000</v>
      </c>
      <c r="I131" s="64">
        <v>0</v>
      </c>
      <c r="J131" s="83">
        <v>9307.9808333333367</v>
      </c>
      <c r="K131" s="66">
        <v>250000</v>
      </c>
      <c r="L131" s="251">
        <v>250000</v>
      </c>
      <c r="M131" s="63">
        <v>0</v>
      </c>
      <c r="N131" s="64">
        <v>0</v>
      </c>
      <c r="O131" s="65">
        <v>250000</v>
      </c>
      <c r="P131" s="66">
        <v>250000</v>
      </c>
      <c r="Q131" s="66">
        <f t="shared" si="19"/>
        <v>0</v>
      </c>
      <c r="R131" s="63">
        <f t="shared" si="20"/>
        <v>6701.7462000000023</v>
      </c>
      <c r="S131" s="83">
        <f t="shared" si="21"/>
        <v>2606.2346333333344</v>
      </c>
      <c r="T131" s="64">
        <f t="shared" si="22"/>
        <v>0</v>
      </c>
      <c r="U131" s="66">
        <f t="shared" si="23"/>
        <v>250000</v>
      </c>
      <c r="V131" s="63">
        <f t="shared" si="24"/>
        <v>250000</v>
      </c>
      <c r="W131" s="83">
        <f t="shared" si="25"/>
        <v>250000</v>
      </c>
      <c r="X131" s="64">
        <f t="shared" si="26"/>
        <v>250000</v>
      </c>
      <c r="Z131" s="67">
        <v>0</v>
      </c>
      <c r="AA131" s="68">
        <v>9307.9808333333367</v>
      </c>
      <c r="AB131" s="69">
        <v>250000</v>
      </c>
      <c r="AC131" s="70">
        <v>250000</v>
      </c>
      <c r="AD131" s="67">
        <v>0</v>
      </c>
      <c r="AE131" s="68">
        <v>0</v>
      </c>
      <c r="AF131" s="69">
        <v>250000</v>
      </c>
      <c r="AG131" s="70">
        <v>250000</v>
      </c>
      <c r="AH131" s="70">
        <f t="shared" si="27"/>
        <v>0</v>
      </c>
      <c r="AI131" s="70">
        <f t="shared" si="28"/>
        <v>6701.7462000000023</v>
      </c>
      <c r="AJ131" s="70">
        <f t="shared" si="29"/>
        <v>2606.2346333333344</v>
      </c>
      <c r="AK131" s="70">
        <f t="shared" si="30"/>
        <v>0</v>
      </c>
      <c r="AL131" s="70">
        <f t="shared" si="31"/>
        <v>250000</v>
      </c>
      <c r="AM131" s="70">
        <f t="shared" si="32"/>
        <v>250000</v>
      </c>
      <c r="AN131" s="70">
        <f t="shared" si="33"/>
        <v>250000</v>
      </c>
      <c r="AO131" s="70">
        <f t="shared" si="34"/>
        <v>250000</v>
      </c>
    </row>
    <row r="132" spans="1:41">
      <c r="A132" s="29" t="s">
        <v>397</v>
      </c>
      <c r="B132" s="29" t="s">
        <v>729</v>
      </c>
      <c r="C132" s="107">
        <v>0</v>
      </c>
      <c r="D132" s="108">
        <v>988350</v>
      </c>
      <c r="F132" s="107">
        <v>0</v>
      </c>
      <c r="G132" s="108">
        <v>1006141</v>
      </c>
      <c r="I132" s="64">
        <v>0</v>
      </c>
      <c r="J132" s="83">
        <v>0</v>
      </c>
      <c r="K132" s="66">
        <v>1006141</v>
      </c>
      <c r="L132" s="251">
        <v>678615.30839999998</v>
      </c>
      <c r="M132" s="63">
        <v>0</v>
      </c>
      <c r="N132" s="64">
        <v>0</v>
      </c>
      <c r="O132" s="65">
        <v>702123.98789999995</v>
      </c>
      <c r="P132" s="66">
        <v>729946.14769999997</v>
      </c>
      <c r="Q132" s="66">
        <f t="shared" si="19"/>
        <v>0</v>
      </c>
      <c r="R132" s="63">
        <f t="shared" si="20"/>
        <v>0</v>
      </c>
      <c r="S132" s="83">
        <f t="shared" si="21"/>
        <v>0</v>
      </c>
      <c r="T132" s="64">
        <f t="shared" si="22"/>
        <v>0</v>
      </c>
      <c r="U132" s="66">
        <f t="shared" si="23"/>
        <v>997711.62419999996</v>
      </c>
      <c r="V132" s="63">
        <f t="shared" si="24"/>
        <v>833796.98108008003</v>
      </c>
      <c r="W132" s="83">
        <f t="shared" si="25"/>
        <v>690985.57555289986</v>
      </c>
      <c r="X132" s="64">
        <f t="shared" si="26"/>
        <v>716764.00838676002</v>
      </c>
      <c r="Z132" s="67">
        <v>0</v>
      </c>
      <c r="AA132" s="68">
        <v>0</v>
      </c>
      <c r="AB132" s="69">
        <v>1006141</v>
      </c>
      <c r="AC132" s="70">
        <v>690014.80199999991</v>
      </c>
      <c r="AD132" s="67">
        <v>0</v>
      </c>
      <c r="AE132" s="68">
        <v>0</v>
      </c>
      <c r="AF132" s="69">
        <v>702123.98789999995</v>
      </c>
      <c r="AG132" s="70">
        <v>729946.14769999997</v>
      </c>
      <c r="AH132" s="70">
        <f t="shared" si="27"/>
        <v>0</v>
      </c>
      <c r="AI132" s="70">
        <f t="shared" si="28"/>
        <v>0</v>
      </c>
      <c r="AJ132" s="70">
        <f t="shared" si="29"/>
        <v>0</v>
      </c>
      <c r="AK132" s="70">
        <f t="shared" si="30"/>
        <v>0</v>
      </c>
      <c r="AL132" s="70">
        <f t="shared" si="31"/>
        <v>997711.62419999996</v>
      </c>
      <c r="AM132" s="70">
        <f t="shared" si="32"/>
        <v>839795.39461239998</v>
      </c>
      <c r="AN132" s="70">
        <f t="shared" si="33"/>
        <v>696386.65562057984</v>
      </c>
      <c r="AO132" s="70">
        <f t="shared" si="34"/>
        <v>716764.00838676002</v>
      </c>
    </row>
    <row r="133" spans="1:41">
      <c r="A133" s="29" t="s">
        <v>269</v>
      </c>
      <c r="B133" s="29" t="s">
        <v>730</v>
      </c>
      <c r="C133" s="107">
        <v>0</v>
      </c>
      <c r="D133" s="108">
        <v>625881</v>
      </c>
      <c r="F133" s="107">
        <v>0</v>
      </c>
      <c r="G133" s="108">
        <v>647945</v>
      </c>
      <c r="I133" s="64">
        <v>0</v>
      </c>
      <c r="J133" s="83">
        <v>0</v>
      </c>
      <c r="K133" s="66">
        <v>647945</v>
      </c>
      <c r="L133" s="251">
        <v>606936.67440000002</v>
      </c>
      <c r="M133" s="63">
        <v>0</v>
      </c>
      <c r="N133" s="64">
        <v>0</v>
      </c>
      <c r="O133" s="65">
        <v>627970.2426</v>
      </c>
      <c r="P133" s="66">
        <v>652839.37179999996</v>
      </c>
      <c r="Q133" s="66">
        <f t="shared" si="19"/>
        <v>0</v>
      </c>
      <c r="R133" s="63">
        <f t="shared" si="20"/>
        <v>0</v>
      </c>
      <c r="S133" s="83">
        <f t="shared" si="21"/>
        <v>0</v>
      </c>
      <c r="T133" s="64">
        <f t="shared" si="22"/>
        <v>0</v>
      </c>
      <c r="U133" s="66">
        <f t="shared" si="23"/>
        <v>637491.07679999992</v>
      </c>
      <c r="V133" s="63">
        <f t="shared" si="24"/>
        <v>626366.41906928003</v>
      </c>
      <c r="W133" s="83">
        <f t="shared" si="25"/>
        <v>618004.53798684001</v>
      </c>
      <c r="X133" s="64">
        <f t="shared" si="26"/>
        <v>641056.37838503998</v>
      </c>
      <c r="Z133" s="67">
        <v>0</v>
      </c>
      <c r="AA133" s="68">
        <v>0</v>
      </c>
      <c r="AB133" s="69">
        <v>647945</v>
      </c>
      <c r="AC133" s="70">
        <v>698938.64800000004</v>
      </c>
      <c r="AD133" s="67">
        <v>0</v>
      </c>
      <c r="AE133" s="68">
        <v>0</v>
      </c>
      <c r="AF133" s="69">
        <v>627970.2426</v>
      </c>
      <c r="AG133" s="70">
        <v>652839.37179999996</v>
      </c>
      <c r="AH133" s="70">
        <f t="shared" si="27"/>
        <v>0</v>
      </c>
      <c r="AI133" s="70">
        <f t="shared" si="28"/>
        <v>0</v>
      </c>
      <c r="AJ133" s="70">
        <f t="shared" si="29"/>
        <v>0</v>
      </c>
      <c r="AK133" s="70">
        <f t="shared" si="30"/>
        <v>0</v>
      </c>
      <c r="AL133" s="70">
        <f t="shared" si="31"/>
        <v>637491.07679999992</v>
      </c>
      <c r="AM133" s="70">
        <f t="shared" si="32"/>
        <v>674777.85757760005</v>
      </c>
      <c r="AN133" s="70">
        <f t="shared" si="33"/>
        <v>661595.07307852001</v>
      </c>
      <c r="AO133" s="70">
        <f t="shared" si="34"/>
        <v>641056.37838503998</v>
      </c>
    </row>
    <row r="134" spans="1:41">
      <c r="A134" s="29" t="s">
        <v>545</v>
      </c>
      <c r="B134" s="29" t="s">
        <v>731</v>
      </c>
      <c r="C134" s="107">
        <v>854719.14</v>
      </c>
      <c r="D134" s="108">
        <v>6700000</v>
      </c>
      <c r="F134" s="107">
        <v>390771.94</v>
      </c>
      <c r="G134" s="108">
        <v>7200000</v>
      </c>
      <c r="I134" s="64">
        <v>107581.36</v>
      </c>
      <c r="J134" s="83">
        <v>179409.63469999935</v>
      </c>
      <c r="K134" s="66">
        <v>7200000</v>
      </c>
      <c r="L134" s="251">
        <v>7600000</v>
      </c>
      <c r="M134" s="63">
        <v>0</v>
      </c>
      <c r="N134" s="64">
        <v>0</v>
      </c>
      <c r="O134" s="65">
        <v>8000000</v>
      </c>
      <c r="P134" s="66">
        <v>8000000</v>
      </c>
      <c r="Q134" s="66">
        <f t="shared" si="19"/>
        <v>316779.93840000004</v>
      </c>
      <c r="R134" s="63">
        <f t="shared" si="20"/>
        <v>159297.71778399954</v>
      </c>
      <c r="S134" s="83">
        <f t="shared" si="21"/>
        <v>50234.697715999821</v>
      </c>
      <c r="T134" s="64">
        <f t="shared" si="22"/>
        <v>0</v>
      </c>
      <c r="U134" s="66">
        <f t="shared" si="23"/>
        <v>6963100</v>
      </c>
      <c r="V134" s="63">
        <f t="shared" si="24"/>
        <v>7410480</v>
      </c>
      <c r="W134" s="83">
        <f t="shared" si="25"/>
        <v>7810480</v>
      </c>
      <c r="X134" s="64">
        <f t="shared" si="26"/>
        <v>8000000</v>
      </c>
      <c r="Z134" s="67">
        <v>390771.94</v>
      </c>
      <c r="AA134" s="68">
        <v>417023.94799999928</v>
      </c>
      <c r="AB134" s="69">
        <v>7200000</v>
      </c>
      <c r="AC134" s="70">
        <v>7600000</v>
      </c>
      <c r="AD134" s="67">
        <v>0</v>
      </c>
      <c r="AE134" s="68">
        <v>0</v>
      </c>
      <c r="AF134" s="69">
        <v>8000000</v>
      </c>
      <c r="AG134" s="70">
        <v>8000000</v>
      </c>
      <c r="AH134" s="70">
        <f t="shared" si="27"/>
        <v>520677.15600000008</v>
      </c>
      <c r="AI134" s="70">
        <f t="shared" si="28"/>
        <v>409673.38575999945</v>
      </c>
      <c r="AJ134" s="70">
        <f t="shared" si="29"/>
        <v>116766.7054399998</v>
      </c>
      <c r="AK134" s="70">
        <f t="shared" si="30"/>
        <v>0</v>
      </c>
      <c r="AL134" s="70">
        <f t="shared" si="31"/>
        <v>6963100</v>
      </c>
      <c r="AM134" s="70">
        <f t="shared" si="32"/>
        <v>7410480</v>
      </c>
      <c r="AN134" s="70">
        <f t="shared" si="33"/>
        <v>7810480</v>
      </c>
      <c r="AO134" s="70">
        <f t="shared" si="34"/>
        <v>8000000</v>
      </c>
    </row>
    <row r="135" spans="1:41">
      <c r="A135" s="29" t="s">
        <v>591</v>
      </c>
      <c r="B135" s="29" t="s">
        <v>732</v>
      </c>
      <c r="C135" s="107">
        <v>1030604.25</v>
      </c>
      <c r="D135" s="108">
        <v>385000</v>
      </c>
      <c r="F135" s="107">
        <v>1074439.1599999999</v>
      </c>
      <c r="G135" s="108">
        <v>400000</v>
      </c>
      <c r="I135" s="64">
        <v>1051685.79</v>
      </c>
      <c r="J135" s="83">
        <v>1104676.0135999999</v>
      </c>
      <c r="K135" s="66">
        <v>400000</v>
      </c>
      <c r="L135" s="251">
        <v>415000</v>
      </c>
      <c r="M135" s="63">
        <v>1134990.0204</v>
      </c>
      <c r="N135" s="64">
        <v>1075667.1502880002</v>
      </c>
      <c r="O135" s="65">
        <v>430000</v>
      </c>
      <c r="P135" s="66">
        <v>430000</v>
      </c>
      <c r="Q135" s="66">
        <f t="shared" si="19"/>
        <v>1045782.9587999999</v>
      </c>
      <c r="R135" s="63">
        <f t="shared" si="20"/>
        <v>1089838.7509919999</v>
      </c>
      <c r="S135" s="83">
        <f t="shared" si="21"/>
        <v>1126502.098496</v>
      </c>
      <c r="T135" s="64">
        <f t="shared" si="22"/>
        <v>1092277.55391936</v>
      </c>
      <c r="U135" s="66">
        <f t="shared" si="23"/>
        <v>392893</v>
      </c>
      <c r="V135" s="63">
        <f t="shared" si="24"/>
        <v>407893</v>
      </c>
      <c r="W135" s="83">
        <f t="shared" si="25"/>
        <v>422893</v>
      </c>
      <c r="X135" s="64">
        <f t="shared" si="26"/>
        <v>430000</v>
      </c>
      <c r="Z135" s="67">
        <v>1074439.1599999999</v>
      </c>
      <c r="AA135" s="68">
        <v>1113308.7830000001</v>
      </c>
      <c r="AB135" s="69">
        <v>400000</v>
      </c>
      <c r="AC135" s="70">
        <v>415000</v>
      </c>
      <c r="AD135" s="67">
        <v>1134990.0204</v>
      </c>
      <c r="AE135" s="68">
        <v>1075667.1502880002</v>
      </c>
      <c r="AF135" s="69">
        <v>430000</v>
      </c>
      <c r="AG135" s="70">
        <v>430000</v>
      </c>
      <c r="AH135" s="70">
        <f t="shared" si="27"/>
        <v>1062165.3851999999</v>
      </c>
      <c r="AI135" s="70">
        <f t="shared" si="28"/>
        <v>1102425.28856</v>
      </c>
      <c r="AJ135" s="70">
        <f t="shared" si="29"/>
        <v>1128919.2739280001</v>
      </c>
      <c r="AK135" s="70">
        <f t="shared" si="30"/>
        <v>1092277.55391936</v>
      </c>
      <c r="AL135" s="70">
        <f t="shared" si="31"/>
        <v>392893</v>
      </c>
      <c r="AM135" s="70">
        <f t="shared" si="32"/>
        <v>407893</v>
      </c>
      <c r="AN135" s="70">
        <f t="shared" si="33"/>
        <v>422893</v>
      </c>
      <c r="AO135" s="70">
        <f t="shared" si="34"/>
        <v>430000</v>
      </c>
    </row>
    <row r="136" spans="1:41">
      <c r="A136" s="29" t="s">
        <v>97</v>
      </c>
      <c r="B136" s="29" t="s">
        <v>733</v>
      </c>
      <c r="C136" s="107">
        <v>33913.93</v>
      </c>
      <c r="D136" s="108">
        <v>175000</v>
      </c>
      <c r="F136" s="107">
        <v>42535.68</v>
      </c>
      <c r="G136" s="108">
        <v>175350.42</v>
      </c>
      <c r="I136" s="64">
        <v>32571.57</v>
      </c>
      <c r="J136" s="83">
        <v>27437.405999999992</v>
      </c>
      <c r="K136" s="66">
        <v>175350.42</v>
      </c>
      <c r="L136" s="251">
        <v>175000</v>
      </c>
      <c r="M136" s="63">
        <v>28928.878499999995</v>
      </c>
      <c r="N136" s="64">
        <v>24440.559000000005</v>
      </c>
      <c r="O136" s="65">
        <v>175000</v>
      </c>
      <c r="P136" s="66">
        <v>175000</v>
      </c>
      <c r="Q136" s="66">
        <f t="shared" si="19"/>
        <v>32947.430800000002</v>
      </c>
      <c r="R136" s="63">
        <f t="shared" si="20"/>
        <v>28874.971919999993</v>
      </c>
      <c r="S136" s="83">
        <f t="shared" si="21"/>
        <v>28511.266199999995</v>
      </c>
      <c r="T136" s="64">
        <f t="shared" si="22"/>
        <v>25697.288460000003</v>
      </c>
      <c r="U136" s="66">
        <f t="shared" si="23"/>
        <v>175184.391004</v>
      </c>
      <c r="V136" s="63">
        <f t="shared" si="24"/>
        <v>175166.02899600001</v>
      </c>
      <c r="W136" s="83">
        <f t="shared" si="25"/>
        <v>175000</v>
      </c>
      <c r="X136" s="64">
        <f t="shared" si="26"/>
        <v>175000</v>
      </c>
      <c r="Z136" s="67">
        <v>42535.68</v>
      </c>
      <c r="AA136" s="68">
        <v>37899.754100000006</v>
      </c>
      <c r="AB136" s="69">
        <v>175350.42</v>
      </c>
      <c r="AC136" s="70">
        <v>175000</v>
      </c>
      <c r="AD136" s="67">
        <v>28928.878499999995</v>
      </c>
      <c r="AE136" s="68">
        <v>24440.559000000005</v>
      </c>
      <c r="AF136" s="69">
        <v>175000</v>
      </c>
      <c r="AG136" s="70">
        <v>175000</v>
      </c>
      <c r="AH136" s="70">
        <f t="shared" si="27"/>
        <v>40121.589999999997</v>
      </c>
      <c r="AI136" s="70">
        <f t="shared" si="28"/>
        <v>39197.813352000005</v>
      </c>
      <c r="AJ136" s="70">
        <f t="shared" si="29"/>
        <v>31440.723667999999</v>
      </c>
      <c r="AK136" s="70">
        <f t="shared" si="30"/>
        <v>25697.288460000003</v>
      </c>
      <c r="AL136" s="70">
        <f t="shared" si="31"/>
        <v>175184.391004</v>
      </c>
      <c r="AM136" s="70">
        <f t="shared" si="32"/>
        <v>175166.02899600001</v>
      </c>
      <c r="AN136" s="70">
        <f t="shared" si="33"/>
        <v>175000</v>
      </c>
      <c r="AO136" s="70">
        <f t="shared" si="34"/>
        <v>175000</v>
      </c>
    </row>
    <row r="137" spans="1:41">
      <c r="A137" s="29" t="s">
        <v>29</v>
      </c>
      <c r="B137" s="29" t="s">
        <v>734</v>
      </c>
      <c r="C137" s="107">
        <v>0</v>
      </c>
      <c r="D137" s="108">
        <v>1536273</v>
      </c>
      <c r="F137" s="107">
        <v>0</v>
      </c>
      <c r="G137" s="108">
        <v>1681182.1</v>
      </c>
      <c r="I137" s="64">
        <v>0</v>
      </c>
      <c r="J137" s="83">
        <v>0</v>
      </c>
      <c r="K137" s="66">
        <v>1681182.1</v>
      </c>
      <c r="L137" s="251">
        <v>1738474</v>
      </c>
      <c r="M137" s="63">
        <v>0</v>
      </c>
      <c r="N137" s="64">
        <v>0</v>
      </c>
      <c r="O137" s="65">
        <v>1738474</v>
      </c>
      <c r="P137" s="66">
        <v>1738474</v>
      </c>
      <c r="Q137" s="66">
        <f t="shared" ref="Q137:Q200" si="35">(0.28*C137)+(0.72*I137)</f>
        <v>0</v>
      </c>
      <c r="R137" s="63">
        <f t="shared" ref="R137:R200" si="36">(0.28*I137)+(0.72*J137)</f>
        <v>0</v>
      </c>
      <c r="S137" s="83">
        <f t="shared" ref="S137:S200" si="37">(0.28*J137)+(0.72*M137)</f>
        <v>0</v>
      </c>
      <c r="T137" s="64">
        <f t="shared" ref="T137:T200" si="38">(0.28*M137)+(0.72*N137)</f>
        <v>0</v>
      </c>
      <c r="U137" s="66">
        <f t="shared" ref="U137:U200" si="39">(0.4738*D137)+(0.5262*G137)</f>
        <v>1612524.16842</v>
      </c>
      <c r="V137" s="63">
        <f t="shared" ref="V137:V200" si="40">(0.4738*G137)+(0.5262*L137)</f>
        <v>1711329.09778</v>
      </c>
      <c r="W137" s="83">
        <f t="shared" ref="W137:W200" si="41">(0.4738*L137)+(0.5262*O137)</f>
        <v>1738474</v>
      </c>
      <c r="X137" s="64">
        <f t="shared" ref="X137:X200" si="42">(0.4738*O137)+(0.5262*P137)</f>
        <v>1738474</v>
      </c>
      <c r="Z137" s="67">
        <v>0</v>
      </c>
      <c r="AA137" s="68">
        <v>0</v>
      </c>
      <c r="AB137" s="69">
        <v>1681182.1</v>
      </c>
      <c r="AC137" s="70">
        <v>1738474</v>
      </c>
      <c r="AD137" s="67">
        <v>0</v>
      </c>
      <c r="AE137" s="68">
        <v>0</v>
      </c>
      <c r="AF137" s="69">
        <v>1738474</v>
      </c>
      <c r="AG137" s="70">
        <v>1738474</v>
      </c>
      <c r="AH137" s="70">
        <f t="shared" ref="AH137:AH200" si="43">(0.28*C137)+(0.72*Z137)</f>
        <v>0</v>
      </c>
      <c r="AI137" s="70">
        <f t="shared" ref="AI137:AI200" si="44">(0.28*Z137)+(0.72*AA137)</f>
        <v>0</v>
      </c>
      <c r="AJ137" s="70">
        <f t="shared" ref="AJ137:AJ200" si="45">(0.28*AA137)+(0.72*AD137)</f>
        <v>0</v>
      </c>
      <c r="AK137" s="70">
        <f t="shared" ref="AK137:AK200" si="46">(0.28*AD137)+(0.72*AE137)</f>
        <v>0</v>
      </c>
      <c r="AL137" s="70">
        <f t="shared" ref="AL137:AL200" si="47">(0.4738*D137)+(0.5262*G137)</f>
        <v>1612524.16842</v>
      </c>
      <c r="AM137" s="70">
        <f t="shared" ref="AM137:AM200" si="48">(0.4738*G137)+(0.5262*AC137)</f>
        <v>1711329.09778</v>
      </c>
      <c r="AN137" s="70">
        <f t="shared" ref="AN137:AN200" si="49">(0.4738*AC137)+(0.5262*AF137)</f>
        <v>1738474</v>
      </c>
      <c r="AO137" s="70">
        <f t="shared" ref="AO137:AO200" si="50">(0.4738*AF137)+(0.5262*AG137)</f>
        <v>1738474</v>
      </c>
    </row>
    <row r="138" spans="1:41">
      <c r="A138" s="29" t="s">
        <v>319</v>
      </c>
      <c r="B138" s="29" t="s">
        <v>735</v>
      </c>
      <c r="C138" s="107">
        <v>2498872.66</v>
      </c>
      <c r="D138" s="108">
        <v>522624</v>
      </c>
      <c r="F138" s="107">
        <v>3122223.14</v>
      </c>
      <c r="G138" s="108">
        <v>609919</v>
      </c>
      <c r="I138" s="64">
        <v>3122223.14</v>
      </c>
      <c r="J138" s="83">
        <v>3340092.2582000005</v>
      </c>
      <c r="K138" s="66">
        <v>609919</v>
      </c>
      <c r="L138" s="251">
        <v>615497.70499999996</v>
      </c>
      <c r="M138" s="63">
        <v>3427486.1192999999</v>
      </c>
      <c r="N138" s="64">
        <v>3539675.5014</v>
      </c>
      <c r="O138" s="65">
        <v>655664</v>
      </c>
      <c r="P138" s="66">
        <v>655664</v>
      </c>
      <c r="Q138" s="66">
        <f t="shared" si="35"/>
        <v>2947685.0056000003</v>
      </c>
      <c r="R138" s="63">
        <f t="shared" si="36"/>
        <v>3279088.9051040001</v>
      </c>
      <c r="S138" s="83">
        <f t="shared" si="37"/>
        <v>3403015.8381920001</v>
      </c>
      <c r="T138" s="64">
        <f t="shared" si="38"/>
        <v>3508262.4744120003</v>
      </c>
      <c r="U138" s="66">
        <f t="shared" si="39"/>
        <v>568558.62899999996</v>
      </c>
      <c r="V138" s="63">
        <f t="shared" si="40"/>
        <v>612854.51457099989</v>
      </c>
      <c r="W138" s="83">
        <f t="shared" si="41"/>
        <v>636633.20942900004</v>
      </c>
      <c r="X138" s="64">
        <f t="shared" si="42"/>
        <v>655664</v>
      </c>
      <c r="Z138" s="67">
        <v>3122223.14</v>
      </c>
      <c r="AA138" s="68">
        <v>3340092.2582000005</v>
      </c>
      <c r="AB138" s="69">
        <v>609919</v>
      </c>
      <c r="AC138" s="70">
        <v>615497.70499999996</v>
      </c>
      <c r="AD138" s="67">
        <v>3427486.1192999999</v>
      </c>
      <c r="AE138" s="68">
        <v>3539675.5014</v>
      </c>
      <c r="AF138" s="69">
        <v>655664</v>
      </c>
      <c r="AG138" s="70">
        <v>655664</v>
      </c>
      <c r="AH138" s="70">
        <f t="shared" si="43"/>
        <v>2947685.0056000003</v>
      </c>
      <c r="AI138" s="70">
        <f t="shared" si="44"/>
        <v>3279088.9051040001</v>
      </c>
      <c r="AJ138" s="70">
        <f t="shared" si="45"/>
        <v>3403015.8381920001</v>
      </c>
      <c r="AK138" s="70">
        <f t="shared" si="46"/>
        <v>3508262.4744120003</v>
      </c>
      <c r="AL138" s="70">
        <f t="shared" si="47"/>
        <v>568558.62899999996</v>
      </c>
      <c r="AM138" s="70">
        <f t="shared" si="48"/>
        <v>612854.51457099989</v>
      </c>
      <c r="AN138" s="70">
        <f t="shared" si="49"/>
        <v>636633.20942900004</v>
      </c>
      <c r="AO138" s="70">
        <f t="shared" si="50"/>
        <v>655664</v>
      </c>
    </row>
    <row r="139" spans="1:41">
      <c r="A139" s="29" t="s">
        <v>501</v>
      </c>
      <c r="B139" s="29" t="s">
        <v>736</v>
      </c>
      <c r="C139" s="107">
        <v>315313.99</v>
      </c>
      <c r="D139" s="108">
        <v>287000</v>
      </c>
      <c r="F139" s="107">
        <v>358019.99</v>
      </c>
      <c r="G139" s="108">
        <v>342273</v>
      </c>
      <c r="I139" s="64">
        <v>318095.2</v>
      </c>
      <c r="J139" s="83">
        <v>318398.821</v>
      </c>
      <c r="K139" s="66">
        <v>342273</v>
      </c>
      <c r="L139" s="251">
        <v>350830</v>
      </c>
      <c r="M139" s="63">
        <v>307669.726196</v>
      </c>
      <c r="N139" s="64">
        <v>335613.64985999995</v>
      </c>
      <c r="O139" s="65">
        <v>359601</v>
      </c>
      <c r="P139" s="66">
        <v>368591</v>
      </c>
      <c r="Q139" s="66">
        <f t="shared" si="35"/>
        <v>317316.46120000002</v>
      </c>
      <c r="R139" s="63">
        <f t="shared" si="36"/>
        <v>318313.80712000001</v>
      </c>
      <c r="S139" s="83">
        <f t="shared" si="37"/>
        <v>310673.87274111999</v>
      </c>
      <c r="T139" s="64">
        <f t="shared" si="38"/>
        <v>327789.35123407992</v>
      </c>
      <c r="U139" s="66">
        <f t="shared" si="39"/>
        <v>316084.65260000003</v>
      </c>
      <c r="V139" s="63">
        <f t="shared" si="40"/>
        <v>346775.69339999999</v>
      </c>
      <c r="W139" s="83">
        <f t="shared" si="41"/>
        <v>355445.3002</v>
      </c>
      <c r="X139" s="64">
        <f t="shared" si="42"/>
        <v>364331.538</v>
      </c>
      <c r="Z139" s="67">
        <v>358019.99</v>
      </c>
      <c r="AA139" s="68">
        <v>378406.1602959999</v>
      </c>
      <c r="AB139" s="69">
        <v>342273</v>
      </c>
      <c r="AC139" s="70">
        <v>350830</v>
      </c>
      <c r="AD139" s="67">
        <v>307669.726196</v>
      </c>
      <c r="AE139" s="68">
        <v>335613.64985999995</v>
      </c>
      <c r="AF139" s="69">
        <v>359601</v>
      </c>
      <c r="AG139" s="70">
        <v>368591</v>
      </c>
      <c r="AH139" s="70">
        <f t="shared" si="43"/>
        <v>346062.31</v>
      </c>
      <c r="AI139" s="70">
        <f t="shared" si="44"/>
        <v>372698.03261311993</v>
      </c>
      <c r="AJ139" s="70">
        <f t="shared" si="45"/>
        <v>327475.92774399999</v>
      </c>
      <c r="AK139" s="70">
        <f t="shared" si="46"/>
        <v>327789.35123407992</v>
      </c>
      <c r="AL139" s="70">
        <f t="shared" si="47"/>
        <v>316084.65260000003</v>
      </c>
      <c r="AM139" s="70">
        <f t="shared" si="48"/>
        <v>346775.69339999999</v>
      </c>
      <c r="AN139" s="70">
        <f t="shared" si="49"/>
        <v>355445.3002</v>
      </c>
      <c r="AO139" s="70">
        <f t="shared" si="50"/>
        <v>364331.538</v>
      </c>
    </row>
    <row r="140" spans="1:41">
      <c r="A140" s="29" t="s">
        <v>433</v>
      </c>
      <c r="B140" s="29" t="s">
        <v>737</v>
      </c>
      <c r="C140" s="107">
        <v>1546373.51</v>
      </c>
      <c r="D140" s="108">
        <v>26500000</v>
      </c>
      <c r="F140" s="107">
        <v>569973.31000000006</v>
      </c>
      <c r="G140" s="108">
        <v>26500000</v>
      </c>
      <c r="I140" s="64">
        <v>0</v>
      </c>
      <c r="J140" s="83">
        <v>646347.72060000058</v>
      </c>
      <c r="K140" s="66">
        <v>26500000</v>
      </c>
      <c r="L140" s="251">
        <v>26500000</v>
      </c>
      <c r="M140" s="63">
        <v>489768.95279999683</v>
      </c>
      <c r="N140" s="64">
        <v>347705.89650000003</v>
      </c>
      <c r="O140" s="65">
        <v>26500000</v>
      </c>
      <c r="P140" s="66">
        <v>26500000</v>
      </c>
      <c r="Q140" s="66">
        <f t="shared" si="35"/>
        <v>432984.58280000003</v>
      </c>
      <c r="R140" s="63">
        <f t="shared" si="36"/>
        <v>465370.35883200041</v>
      </c>
      <c r="S140" s="83">
        <f t="shared" si="37"/>
        <v>533611.0077839978</v>
      </c>
      <c r="T140" s="64">
        <f t="shared" si="38"/>
        <v>387483.55226399912</v>
      </c>
      <c r="U140" s="66">
        <f t="shared" si="39"/>
        <v>26500000</v>
      </c>
      <c r="V140" s="63">
        <f t="shared" si="40"/>
        <v>26500000</v>
      </c>
      <c r="W140" s="83">
        <f t="shared" si="41"/>
        <v>26500000</v>
      </c>
      <c r="X140" s="64">
        <f t="shared" si="42"/>
        <v>26500000</v>
      </c>
      <c r="Z140" s="67">
        <v>569973.31000000006</v>
      </c>
      <c r="AA140" s="68">
        <v>1312687.3883000009</v>
      </c>
      <c r="AB140" s="69">
        <v>26500000</v>
      </c>
      <c r="AC140" s="70">
        <v>26500000</v>
      </c>
      <c r="AD140" s="67">
        <v>489768.95279999683</v>
      </c>
      <c r="AE140" s="68">
        <v>347705.89650000003</v>
      </c>
      <c r="AF140" s="69">
        <v>26500000</v>
      </c>
      <c r="AG140" s="70">
        <v>26500000</v>
      </c>
      <c r="AH140" s="70">
        <f t="shared" si="43"/>
        <v>843365.36600000004</v>
      </c>
      <c r="AI140" s="70">
        <f t="shared" si="44"/>
        <v>1104727.4463760008</v>
      </c>
      <c r="AJ140" s="70">
        <f t="shared" si="45"/>
        <v>720186.11473999801</v>
      </c>
      <c r="AK140" s="70">
        <f t="shared" si="46"/>
        <v>387483.55226399912</v>
      </c>
      <c r="AL140" s="70">
        <f t="shared" si="47"/>
        <v>26500000</v>
      </c>
      <c r="AM140" s="70">
        <f t="shared" si="48"/>
        <v>26500000</v>
      </c>
      <c r="AN140" s="70">
        <f t="shared" si="49"/>
        <v>26500000</v>
      </c>
      <c r="AO140" s="70">
        <f t="shared" si="50"/>
        <v>26500000</v>
      </c>
    </row>
    <row r="141" spans="1:41">
      <c r="A141" s="29" t="s">
        <v>147</v>
      </c>
      <c r="B141" s="29" t="s">
        <v>930</v>
      </c>
      <c r="C141" s="107">
        <v>210566.98</v>
      </c>
      <c r="D141" s="108">
        <v>815591</v>
      </c>
      <c r="F141" s="107">
        <v>147738.01</v>
      </c>
      <c r="G141" s="108">
        <v>937930</v>
      </c>
      <c r="I141" s="64">
        <v>119774.21</v>
      </c>
      <c r="J141" s="83">
        <v>359749.44869999995</v>
      </c>
      <c r="K141" s="66">
        <v>937930</v>
      </c>
      <c r="L141" s="251">
        <v>937930</v>
      </c>
      <c r="M141" s="63">
        <v>332657.41199999989</v>
      </c>
      <c r="N141" s="64">
        <v>290796.61200000002</v>
      </c>
      <c r="O141" s="65">
        <v>937930</v>
      </c>
      <c r="P141" s="66">
        <v>937930</v>
      </c>
      <c r="Q141" s="66">
        <f t="shared" si="35"/>
        <v>145196.18560000003</v>
      </c>
      <c r="R141" s="63">
        <f t="shared" si="36"/>
        <v>292556.381864</v>
      </c>
      <c r="S141" s="83">
        <f t="shared" si="37"/>
        <v>340243.18227599992</v>
      </c>
      <c r="T141" s="64">
        <f t="shared" si="38"/>
        <v>302517.636</v>
      </c>
      <c r="U141" s="66">
        <f t="shared" si="39"/>
        <v>879965.7818</v>
      </c>
      <c r="V141" s="63">
        <f t="shared" si="40"/>
        <v>937930</v>
      </c>
      <c r="W141" s="83">
        <f t="shared" si="41"/>
        <v>937930</v>
      </c>
      <c r="X141" s="64">
        <f t="shared" si="42"/>
        <v>937930</v>
      </c>
      <c r="Z141" s="67">
        <v>147738.01</v>
      </c>
      <c r="AA141" s="68">
        <v>359749.44869999995</v>
      </c>
      <c r="AB141" s="69">
        <v>937930</v>
      </c>
      <c r="AC141" s="70">
        <v>937930</v>
      </c>
      <c r="AD141" s="67">
        <v>332657.41199999989</v>
      </c>
      <c r="AE141" s="68">
        <v>290796.61200000002</v>
      </c>
      <c r="AF141" s="69">
        <v>937930</v>
      </c>
      <c r="AG141" s="70">
        <v>937930</v>
      </c>
      <c r="AH141" s="70">
        <f t="shared" si="43"/>
        <v>165330.12160000001</v>
      </c>
      <c r="AI141" s="70">
        <f t="shared" si="44"/>
        <v>300386.245864</v>
      </c>
      <c r="AJ141" s="70">
        <f t="shared" si="45"/>
        <v>340243.18227599992</v>
      </c>
      <c r="AK141" s="70">
        <f t="shared" si="46"/>
        <v>302517.636</v>
      </c>
      <c r="AL141" s="70">
        <f t="shared" si="47"/>
        <v>879965.7818</v>
      </c>
      <c r="AM141" s="70">
        <f t="shared" si="48"/>
        <v>937930</v>
      </c>
      <c r="AN141" s="70">
        <f t="shared" si="49"/>
        <v>937930</v>
      </c>
      <c r="AO141" s="70">
        <f t="shared" si="50"/>
        <v>937930</v>
      </c>
    </row>
    <row r="142" spans="1:41">
      <c r="A142" s="29" t="s">
        <v>461</v>
      </c>
      <c r="B142" s="29" t="s">
        <v>738</v>
      </c>
      <c r="C142" s="107">
        <v>5302252.4800000004</v>
      </c>
      <c r="D142" s="108">
        <v>10500000</v>
      </c>
      <c r="F142" s="107">
        <v>5108084.5199999996</v>
      </c>
      <c r="G142" s="108">
        <v>16450000</v>
      </c>
      <c r="I142" s="64">
        <v>4442282.1500000004</v>
      </c>
      <c r="J142" s="83">
        <v>4399077.7569999984</v>
      </c>
      <c r="K142" s="66">
        <v>16450000</v>
      </c>
      <c r="L142" s="251">
        <v>17750000</v>
      </c>
      <c r="M142" s="63">
        <v>4285812.4320000019</v>
      </c>
      <c r="N142" s="64">
        <v>4173649.3305000002</v>
      </c>
      <c r="O142" s="65">
        <v>19000000</v>
      </c>
      <c r="P142" s="66">
        <v>19000000</v>
      </c>
      <c r="Q142" s="66">
        <f t="shared" si="35"/>
        <v>4683073.8424000004</v>
      </c>
      <c r="R142" s="63">
        <f t="shared" si="36"/>
        <v>4411174.9870399991</v>
      </c>
      <c r="S142" s="83">
        <f t="shared" si="37"/>
        <v>4317526.7230000012</v>
      </c>
      <c r="T142" s="64">
        <f t="shared" si="38"/>
        <v>4205054.9989200002</v>
      </c>
      <c r="U142" s="66">
        <f t="shared" si="39"/>
        <v>13630890</v>
      </c>
      <c r="V142" s="63">
        <f t="shared" si="40"/>
        <v>17134060</v>
      </c>
      <c r="W142" s="83">
        <f t="shared" si="41"/>
        <v>18407750</v>
      </c>
      <c r="X142" s="64">
        <f t="shared" si="42"/>
        <v>19000000</v>
      </c>
      <c r="Z142" s="67">
        <v>5108084.5199999996</v>
      </c>
      <c r="AA142" s="68">
        <v>5021756.2164999982</v>
      </c>
      <c r="AB142" s="69">
        <v>16450000</v>
      </c>
      <c r="AC142" s="70">
        <v>17750000</v>
      </c>
      <c r="AD142" s="67">
        <v>4285812.4320000019</v>
      </c>
      <c r="AE142" s="68">
        <v>4173649.3305000002</v>
      </c>
      <c r="AF142" s="69">
        <v>19000000</v>
      </c>
      <c r="AG142" s="70">
        <v>19000000</v>
      </c>
      <c r="AH142" s="70">
        <f t="shared" si="43"/>
        <v>5162451.5488</v>
      </c>
      <c r="AI142" s="70">
        <f t="shared" si="44"/>
        <v>5045928.1414799988</v>
      </c>
      <c r="AJ142" s="70">
        <f t="shared" si="45"/>
        <v>4491876.6916600009</v>
      </c>
      <c r="AK142" s="70">
        <f t="shared" si="46"/>
        <v>4205054.9989200002</v>
      </c>
      <c r="AL142" s="70">
        <f t="shared" si="47"/>
        <v>13630890</v>
      </c>
      <c r="AM142" s="70">
        <f t="shared" si="48"/>
        <v>17134060</v>
      </c>
      <c r="AN142" s="70">
        <f t="shared" si="49"/>
        <v>18407750</v>
      </c>
      <c r="AO142" s="70">
        <f t="shared" si="50"/>
        <v>19000000</v>
      </c>
    </row>
    <row r="143" spans="1:41">
      <c r="A143" s="29" t="s">
        <v>459</v>
      </c>
      <c r="B143" s="29" t="s">
        <v>739</v>
      </c>
      <c r="C143" s="107">
        <v>1470788.76</v>
      </c>
      <c r="D143" s="108">
        <v>1097573</v>
      </c>
      <c r="F143" s="107">
        <v>1695371.3</v>
      </c>
      <c r="G143" s="108">
        <v>1385117</v>
      </c>
      <c r="I143" s="64">
        <v>1522124.31</v>
      </c>
      <c r="J143" s="83">
        <v>1580519.1614000001</v>
      </c>
      <c r="K143" s="66">
        <v>1385117</v>
      </c>
      <c r="L143" s="251">
        <v>1523629</v>
      </c>
      <c r="M143" s="63">
        <v>1609633.6926</v>
      </c>
      <c r="N143" s="64">
        <v>1572520.8314339998</v>
      </c>
      <c r="O143" s="65">
        <v>1675992</v>
      </c>
      <c r="P143" s="66">
        <v>1675992</v>
      </c>
      <c r="Q143" s="66">
        <f t="shared" si="35"/>
        <v>1507750.3559999999</v>
      </c>
      <c r="R143" s="63">
        <f t="shared" si="36"/>
        <v>1564168.6030080002</v>
      </c>
      <c r="S143" s="83">
        <f t="shared" si="37"/>
        <v>1601481.623864</v>
      </c>
      <c r="T143" s="64">
        <f t="shared" si="38"/>
        <v>1582912.43256048</v>
      </c>
      <c r="U143" s="66">
        <f t="shared" si="39"/>
        <v>1248878.6528</v>
      </c>
      <c r="V143" s="63">
        <f t="shared" si="40"/>
        <v>1458002.0144</v>
      </c>
      <c r="W143" s="83">
        <f t="shared" si="41"/>
        <v>1603802.4106000001</v>
      </c>
      <c r="X143" s="64">
        <f t="shared" si="42"/>
        <v>1675992</v>
      </c>
      <c r="Z143" s="67">
        <v>1695371.3</v>
      </c>
      <c r="AA143" s="68">
        <v>1745500.9766000004</v>
      </c>
      <c r="AB143" s="69">
        <v>1385117</v>
      </c>
      <c r="AC143" s="70">
        <v>1523629</v>
      </c>
      <c r="AD143" s="67">
        <v>1609633.6926</v>
      </c>
      <c r="AE143" s="68">
        <v>1572520.8314339998</v>
      </c>
      <c r="AF143" s="69">
        <v>1675992</v>
      </c>
      <c r="AG143" s="70">
        <v>1675992</v>
      </c>
      <c r="AH143" s="70">
        <f t="shared" si="43"/>
        <v>1632488.1887999999</v>
      </c>
      <c r="AI143" s="70">
        <f t="shared" si="44"/>
        <v>1731464.6671520001</v>
      </c>
      <c r="AJ143" s="70">
        <f t="shared" si="45"/>
        <v>1647676.5321200001</v>
      </c>
      <c r="AK143" s="70">
        <f t="shared" si="46"/>
        <v>1582912.43256048</v>
      </c>
      <c r="AL143" s="70">
        <f t="shared" si="47"/>
        <v>1248878.6528</v>
      </c>
      <c r="AM143" s="70">
        <f t="shared" si="48"/>
        <v>1458002.0144</v>
      </c>
      <c r="AN143" s="70">
        <f t="shared" si="49"/>
        <v>1603802.4106000001</v>
      </c>
      <c r="AO143" s="70">
        <f t="shared" si="50"/>
        <v>1675992</v>
      </c>
    </row>
    <row r="144" spans="1:41">
      <c r="A144" s="29" t="s">
        <v>189</v>
      </c>
      <c r="B144" s="29" t="s">
        <v>740</v>
      </c>
      <c r="C144" s="107">
        <v>0</v>
      </c>
      <c r="D144" s="108">
        <v>11358411</v>
      </c>
      <c r="F144" s="107">
        <v>0</v>
      </c>
      <c r="G144" s="108">
        <v>11493460</v>
      </c>
      <c r="I144" s="64">
        <v>0</v>
      </c>
      <c r="J144" s="83">
        <v>0</v>
      </c>
      <c r="K144" s="66">
        <v>11493460</v>
      </c>
      <c r="L144" s="251">
        <v>11848909.999199999</v>
      </c>
      <c r="M144" s="63">
        <v>0</v>
      </c>
      <c r="N144" s="64">
        <v>0</v>
      </c>
      <c r="O144" s="65">
        <v>12259556.849800002</v>
      </c>
      <c r="P144" s="66">
        <v>12745236.411599999</v>
      </c>
      <c r="Q144" s="66">
        <f t="shared" si="35"/>
        <v>0</v>
      </c>
      <c r="R144" s="63">
        <f t="shared" si="36"/>
        <v>0</v>
      </c>
      <c r="S144" s="83">
        <f t="shared" si="37"/>
        <v>0</v>
      </c>
      <c r="T144" s="64">
        <f t="shared" si="38"/>
        <v>0</v>
      </c>
      <c r="U144" s="66">
        <f t="shared" si="39"/>
        <v>11429473.783799998</v>
      </c>
      <c r="V144" s="63">
        <f t="shared" si="40"/>
        <v>11680497.789579041</v>
      </c>
      <c r="W144" s="83">
        <f t="shared" si="41"/>
        <v>12064992.37198572</v>
      </c>
      <c r="X144" s="64">
        <f t="shared" si="42"/>
        <v>12515121.435219161</v>
      </c>
      <c r="Z144" s="67">
        <v>0</v>
      </c>
      <c r="AA144" s="68">
        <v>0</v>
      </c>
      <c r="AB144" s="69">
        <v>11493460</v>
      </c>
      <c r="AC144" s="70">
        <v>12545660.865599999</v>
      </c>
      <c r="AD144" s="67">
        <v>0</v>
      </c>
      <c r="AE144" s="68">
        <v>0</v>
      </c>
      <c r="AF144" s="69">
        <v>12259556.849800002</v>
      </c>
      <c r="AG144" s="70">
        <v>12745236.411599999</v>
      </c>
      <c r="AH144" s="70">
        <f t="shared" si="43"/>
        <v>0</v>
      </c>
      <c r="AI144" s="70">
        <f t="shared" si="44"/>
        <v>0</v>
      </c>
      <c r="AJ144" s="70">
        <f t="shared" si="45"/>
        <v>0</v>
      </c>
      <c r="AK144" s="70">
        <f t="shared" si="46"/>
        <v>0</v>
      </c>
      <c r="AL144" s="70">
        <f t="shared" si="47"/>
        <v>11429473.783799998</v>
      </c>
      <c r="AM144" s="70">
        <f t="shared" si="48"/>
        <v>12047128.095478721</v>
      </c>
      <c r="AN144" s="70">
        <f t="shared" si="49"/>
        <v>12395112.932486041</v>
      </c>
      <c r="AO144" s="70">
        <f t="shared" si="50"/>
        <v>12515121.435219161</v>
      </c>
    </row>
    <row r="145" spans="1:41">
      <c r="A145" s="29" t="s">
        <v>547</v>
      </c>
      <c r="B145" s="29" t="s">
        <v>741</v>
      </c>
      <c r="C145" s="107">
        <v>490226.51</v>
      </c>
      <c r="D145" s="108">
        <v>4027516</v>
      </c>
      <c r="F145" s="107">
        <v>277935.71000000002</v>
      </c>
      <c r="G145" s="108">
        <v>4269167</v>
      </c>
      <c r="I145" s="64">
        <v>277935.71000000002</v>
      </c>
      <c r="J145" s="83">
        <v>427812.75750000012</v>
      </c>
      <c r="K145" s="66">
        <v>4269167</v>
      </c>
      <c r="L145" s="251">
        <v>4525317</v>
      </c>
      <c r="M145" s="63">
        <v>188652.8229</v>
      </c>
      <c r="N145" s="64">
        <v>0</v>
      </c>
      <c r="O145" s="65">
        <v>4796836</v>
      </c>
      <c r="P145" s="66">
        <v>4796836</v>
      </c>
      <c r="Q145" s="66">
        <f t="shared" si="35"/>
        <v>337377.13400000008</v>
      </c>
      <c r="R145" s="63">
        <f t="shared" si="36"/>
        <v>385847.18420000008</v>
      </c>
      <c r="S145" s="83">
        <f t="shared" si="37"/>
        <v>255617.60458800005</v>
      </c>
      <c r="T145" s="64">
        <f t="shared" si="38"/>
        <v>52822.790412000002</v>
      </c>
      <c r="U145" s="66">
        <f t="shared" si="39"/>
        <v>4154672.7561999997</v>
      </c>
      <c r="V145" s="63">
        <f t="shared" si="40"/>
        <v>4403953.13</v>
      </c>
      <c r="W145" s="83">
        <f t="shared" si="41"/>
        <v>4668190.2977999998</v>
      </c>
      <c r="X145" s="64">
        <f t="shared" si="42"/>
        <v>4796836</v>
      </c>
      <c r="Z145" s="67">
        <v>277935.71000000002</v>
      </c>
      <c r="AA145" s="68">
        <v>427812.75750000012</v>
      </c>
      <c r="AB145" s="69">
        <v>4269167</v>
      </c>
      <c r="AC145" s="70">
        <v>4525317</v>
      </c>
      <c r="AD145" s="67">
        <v>188652.8229</v>
      </c>
      <c r="AE145" s="68">
        <v>0</v>
      </c>
      <c r="AF145" s="69">
        <v>4796836</v>
      </c>
      <c r="AG145" s="70">
        <v>4796836</v>
      </c>
      <c r="AH145" s="70">
        <f t="shared" si="43"/>
        <v>337377.13400000008</v>
      </c>
      <c r="AI145" s="70">
        <f t="shared" si="44"/>
        <v>385847.18420000008</v>
      </c>
      <c r="AJ145" s="70">
        <f t="shared" si="45"/>
        <v>255617.60458800005</v>
      </c>
      <c r="AK145" s="70">
        <f t="shared" si="46"/>
        <v>52822.790412000002</v>
      </c>
      <c r="AL145" s="70">
        <f t="shared" si="47"/>
        <v>4154672.7561999997</v>
      </c>
      <c r="AM145" s="70">
        <f t="shared" si="48"/>
        <v>4403953.13</v>
      </c>
      <c r="AN145" s="70">
        <f t="shared" si="49"/>
        <v>4668190.2977999998</v>
      </c>
      <c r="AO145" s="70">
        <f t="shared" si="50"/>
        <v>4796836</v>
      </c>
    </row>
    <row r="146" spans="1:41">
      <c r="A146" s="29" t="s">
        <v>337</v>
      </c>
      <c r="B146" s="29" t="s">
        <v>742</v>
      </c>
      <c r="C146" s="107">
        <v>0</v>
      </c>
      <c r="D146" s="108">
        <v>2000000</v>
      </c>
      <c r="F146" s="107">
        <v>0</v>
      </c>
      <c r="G146" s="108">
        <v>2050000</v>
      </c>
      <c r="I146" s="64">
        <v>0</v>
      </c>
      <c r="J146" s="83">
        <v>0</v>
      </c>
      <c r="K146" s="66">
        <v>2050000</v>
      </c>
      <c r="L146" s="251">
        <v>1977466.7004</v>
      </c>
      <c r="M146" s="63">
        <v>0</v>
      </c>
      <c r="N146" s="64">
        <v>0</v>
      </c>
      <c r="O146" s="65">
        <v>2045973.2532000002</v>
      </c>
      <c r="P146" s="66">
        <v>2127029.6124</v>
      </c>
      <c r="Q146" s="66">
        <f t="shared" si="35"/>
        <v>0</v>
      </c>
      <c r="R146" s="63">
        <f t="shared" si="36"/>
        <v>0</v>
      </c>
      <c r="S146" s="83">
        <f t="shared" si="37"/>
        <v>0</v>
      </c>
      <c r="T146" s="64">
        <f t="shared" si="38"/>
        <v>0</v>
      </c>
      <c r="U146" s="66">
        <f t="shared" si="39"/>
        <v>2026310</v>
      </c>
      <c r="V146" s="63">
        <f t="shared" si="40"/>
        <v>2011832.9777504799</v>
      </c>
      <c r="W146" s="83">
        <f t="shared" si="41"/>
        <v>2013514.8484833601</v>
      </c>
      <c r="X146" s="64">
        <f t="shared" si="42"/>
        <v>2088625.1094110401</v>
      </c>
      <c r="Z146" s="67">
        <v>0</v>
      </c>
      <c r="AA146" s="68">
        <v>0</v>
      </c>
      <c r="AB146" s="69">
        <v>2050000</v>
      </c>
      <c r="AC146" s="70">
        <v>2002280.7495999997</v>
      </c>
      <c r="AD146" s="67">
        <v>0</v>
      </c>
      <c r="AE146" s="68">
        <v>0</v>
      </c>
      <c r="AF146" s="69">
        <v>2045973.2532000002</v>
      </c>
      <c r="AG146" s="70">
        <v>2127029.6124</v>
      </c>
      <c r="AH146" s="70">
        <f t="shared" si="43"/>
        <v>0</v>
      </c>
      <c r="AI146" s="70">
        <f t="shared" si="44"/>
        <v>0</v>
      </c>
      <c r="AJ146" s="70">
        <f t="shared" si="45"/>
        <v>0</v>
      </c>
      <c r="AK146" s="70">
        <f t="shared" si="46"/>
        <v>0</v>
      </c>
      <c r="AL146" s="70">
        <f t="shared" si="47"/>
        <v>2026310</v>
      </c>
      <c r="AM146" s="70">
        <f t="shared" si="48"/>
        <v>2024890.1304395199</v>
      </c>
      <c r="AN146" s="70">
        <f t="shared" si="49"/>
        <v>2025271.74499432</v>
      </c>
      <c r="AO146" s="70">
        <f t="shared" si="50"/>
        <v>2088625.1094110401</v>
      </c>
    </row>
    <row r="147" spans="1:41">
      <c r="A147" s="29" t="s">
        <v>419</v>
      </c>
      <c r="B147" s="29" t="s">
        <v>743</v>
      </c>
      <c r="C147" s="107">
        <v>0</v>
      </c>
      <c r="D147" s="108">
        <v>0</v>
      </c>
      <c r="F147" s="107">
        <v>0</v>
      </c>
      <c r="G147" s="108">
        <v>0</v>
      </c>
      <c r="I147" s="64">
        <v>0</v>
      </c>
      <c r="J147" s="83">
        <v>0</v>
      </c>
      <c r="K147" s="66">
        <v>0</v>
      </c>
      <c r="L147" s="251">
        <v>0</v>
      </c>
      <c r="M147" s="63">
        <v>0</v>
      </c>
      <c r="N147" s="64">
        <v>0</v>
      </c>
      <c r="O147" s="65">
        <v>0</v>
      </c>
      <c r="P147" s="66">
        <v>0</v>
      </c>
      <c r="Q147" s="66">
        <f t="shared" si="35"/>
        <v>0</v>
      </c>
      <c r="R147" s="63">
        <f t="shared" si="36"/>
        <v>0</v>
      </c>
      <c r="S147" s="83">
        <f t="shared" si="37"/>
        <v>0</v>
      </c>
      <c r="T147" s="64">
        <f t="shared" si="38"/>
        <v>0</v>
      </c>
      <c r="U147" s="66">
        <f t="shared" si="39"/>
        <v>0</v>
      </c>
      <c r="V147" s="63">
        <f t="shared" si="40"/>
        <v>0</v>
      </c>
      <c r="W147" s="83">
        <f t="shared" si="41"/>
        <v>0</v>
      </c>
      <c r="X147" s="64">
        <f t="shared" si="42"/>
        <v>0</v>
      </c>
      <c r="Z147" s="67">
        <v>0</v>
      </c>
      <c r="AA147" s="68">
        <v>0</v>
      </c>
      <c r="AB147" s="69">
        <v>0</v>
      </c>
      <c r="AC147" s="70">
        <v>0</v>
      </c>
      <c r="AD147" s="67">
        <v>0</v>
      </c>
      <c r="AE147" s="68">
        <v>0</v>
      </c>
      <c r="AF147" s="69">
        <v>0</v>
      </c>
      <c r="AG147" s="70">
        <v>0</v>
      </c>
      <c r="AH147" s="70">
        <f t="shared" si="43"/>
        <v>0</v>
      </c>
      <c r="AI147" s="70">
        <f t="shared" si="44"/>
        <v>0</v>
      </c>
      <c r="AJ147" s="70">
        <f t="shared" si="45"/>
        <v>0</v>
      </c>
      <c r="AK147" s="70">
        <f t="shared" si="46"/>
        <v>0</v>
      </c>
      <c r="AL147" s="70">
        <f t="shared" si="47"/>
        <v>0</v>
      </c>
      <c r="AM147" s="70">
        <f t="shared" si="48"/>
        <v>0</v>
      </c>
      <c r="AN147" s="70">
        <f t="shared" si="49"/>
        <v>0</v>
      </c>
      <c r="AO147" s="70">
        <f t="shared" si="50"/>
        <v>0</v>
      </c>
    </row>
    <row r="148" spans="1:41">
      <c r="A148" s="29" t="s">
        <v>437</v>
      </c>
      <c r="B148" s="29" t="s">
        <v>744</v>
      </c>
      <c r="C148" s="107">
        <v>0</v>
      </c>
      <c r="D148" s="108">
        <v>13687957</v>
      </c>
      <c r="F148" s="107">
        <v>0</v>
      </c>
      <c r="G148" s="108">
        <v>15741150</v>
      </c>
      <c r="I148" s="64">
        <v>0</v>
      </c>
      <c r="J148" s="83">
        <v>0</v>
      </c>
      <c r="K148" s="66">
        <v>15741150</v>
      </c>
      <c r="L148" s="251">
        <v>15741150</v>
      </c>
      <c r="M148" s="63">
        <v>0</v>
      </c>
      <c r="N148" s="64">
        <v>0</v>
      </c>
      <c r="O148" s="65">
        <v>15741150</v>
      </c>
      <c r="P148" s="66">
        <v>15741150</v>
      </c>
      <c r="Q148" s="66">
        <f t="shared" si="35"/>
        <v>0</v>
      </c>
      <c r="R148" s="63">
        <f t="shared" si="36"/>
        <v>0</v>
      </c>
      <c r="S148" s="83">
        <f t="shared" si="37"/>
        <v>0</v>
      </c>
      <c r="T148" s="64">
        <f t="shared" si="38"/>
        <v>0</v>
      </c>
      <c r="U148" s="66">
        <f t="shared" si="39"/>
        <v>14768347.1566</v>
      </c>
      <c r="V148" s="63">
        <f t="shared" si="40"/>
        <v>15741150</v>
      </c>
      <c r="W148" s="83">
        <f t="shared" si="41"/>
        <v>15741150</v>
      </c>
      <c r="X148" s="64">
        <f t="shared" si="42"/>
        <v>15741150</v>
      </c>
      <c r="Z148" s="67">
        <v>0</v>
      </c>
      <c r="AA148" s="68">
        <v>0</v>
      </c>
      <c r="AB148" s="69">
        <v>15741150</v>
      </c>
      <c r="AC148" s="70">
        <v>15741150</v>
      </c>
      <c r="AD148" s="67">
        <v>0</v>
      </c>
      <c r="AE148" s="68">
        <v>0</v>
      </c>
      <c r="AF148" s="69">
        <v>15741150</v>
      </c>
      <c r="AG148" s="70">
        <v>15741150</v>
      </c>
      <c r="AH148" s="70">
        <f t="shared" si="43"/>
        <v>0</v>
      </c>
      <c r="AI148" s="70">
        <f t="shared" si="44"/>
        <v>0</v>
      </c>
      <c r="AJ148" s="70">
        <f t="shared" si="45"/>
        <v>0</v>
      </c>
      <c r="AK148" s="70">
        <f t="shared" si="46"/>
        <v>0</v>
      </c>
      <c r="AL148" s="70">
        <f t="shared" si="47"/>
        <v>14768347.1566</v>
      </c>
      <c r="AM148" s="70">
        <f t="shared" si="48"/>
        <v>15741150</v>
      </c>
      <c r="AN148" s="70">
        <f t="shared" si="49"/>
        <v>15741150</v>
      </c>
      <c r="AO148" s="70">
        <f t="shared" si="50"/>
        <v>15741150</v>
      </c>
    </row>
    <row r="149" spans="1:41">
      <c r="A149" s="29" t="s">
        <v>149</v>
      </c>
      <c r="B149" s="29" t="s">
        <v>745</v>
      </c>
      <c r="C149" s="107">
        <v>987690.38</v>
      </c>
      <c r="D149" s="108">
        <v>2125182</v>
      </c>
      <c r="F149" s="107">
        <v>878345.48</v>
      </c>
      <c r="G149" s="108">
        <v>2337700</v>
      </c>
      <c r="I149" s="64">
        <v>784456.13</v>
      </c>
      <c r="J149" s="83">
        <v>855183.46849999973</v>
      </c>
      <c r="K149" s="66">
        <v>2337700</v>
      </c>
      <c r="L149" s="251">
        <v>2454586</v>
      </c>
      <c r="M149" s="63">
        <v>745578.61919999996</v>
      </c>
      <c r="N149" s="64">
        <v>672835.09529999981</v>
      </c>
      <c r="O149" s="65">
        <v>2700044</v>
      </c>
      <c r="P149" s="66">
        <v>2700044</v>
      </c>
      <c r="Q149" s="66">
        <f t="shared" si="35"/>
        <v>841361.72</v>
      </c>
      <c r="R149" s="63">
        <f t="shared" si="36"/>
        <v>835379.81371999986</v>
      </c>
      <c r="S149" s="83">
        <f t="shared" si="37"/>
        <v>776267.97700399999</v>
      </c>
      <c r="T149" s="64">
        <f t="shared" si="38"/>
        <v>693203.28199199983</v>
      </c>
      <c r="U149" s="66">
        <f t="shared" si="39"/>
        <v>2237008.9715999998</v>
      </c>
      <c r="V149" s="63">
        <f t="shared" si="40"/>
        <v>2399205.4132000003</v>
      </c>
      <c r="W149" s="83">
        <f t="shared" si="41"/>
        <v>2583745.9995999997</v>
      </c>
      <c r="X149" s="64">
        <f t="shared" si="42"/>
        <v>2700044</v>
      </c>
      <c r="Z149" s="67">
        <v>878345.48</v>
      </c>
      <c r="AA149" s="68">
        <v>928988.31799999974</v>
      </c>
      <c r="AB149" s="69">
        <v>2337700</v>
      </c>
      <c r="AC149" s="70">
        <v>2454586</v>
      </c>
      <c r="AD149" s="67">
        <v>745578.61919999996</v>
      </c>
      <c r="AE149" s="68">
        <v>672835.09529999981</v>
      </c>
      <c r="AF149" s="69">
        <v>2700044</v>
      </c>
      <c r="AG149" s="70">
        <v>2700044</v>
      </c>
      <c r="AH149" s="70">
        <f t="shared" si="43"/>
        <v>908962.05199999991</v>
      </c>
      <c r="AI149" s="70">
        <f t="shared" si="44"/>
        <v>914808.32335999981</v>
      </c>
      <c r="AJ149" s="70">
        <f t="shared" si="45"/>
        <v>796933.33486399986</v>
      </c>
      <c r="AK149" s="70">
        <f t="shared" si="46"/>
        <v>693203.28199199983</v>
      </c>
      <c r="AL149" s="70">
        <f t="shared" si="47"/>
        <v>2237008.9715999998</v>
      </c>
      <c r="AM149" s="70">
        <f t="shared" si="48"/>
        <v>2399205.4132000003</v>
      </c>
      <c r="AN149" s="70">
        <f t="shared" si="49"/>
        <v>2583745.9995999997</v>
      </c>
      <c r="AO149" s="70">
        <f t="shared" si="50"/>
        <v>2700044</v>
      </c>
    </row>
    <row r="150" spans="1:41">
      <c r="A150" s="29" t="s">
        <v>277</v>
      </c>
      <c r="B150" s="29" t="s">
        <v>746</v>
      </c>
      <c r="C150" s="107">
        <v>0</v>
      </c>
      <c r="D150" s="108">
        <v>900000</v>
      </c>
      <c r="F150" s="107">
        <v>0</v>
      </c>
      <c r="G150" s="108">
        <v>939402</v>
      </c>
      <c r="I150" s="64">
        <v>0</v>
      </c>
      <c r="J150" s="83">
        <v>0</v>
      </c>
      <c r="K150" s="66">
        <v>939402</v>
      </c>
      <c r="L150" s="251">
        <v>919444.00399999984</v>
      </c>
      <c r="M150" s="63">
        <v>0</v>
      </c>
      <c r="N150" s="64">
        <v>0</v>
      </c>
      <c r="O150" s="65">
        <v>951331.12480000011</v>
      </c>
      <c r="P150" s="66">
        <v>989021.31019999995</v>
      </c>
      <c r="Q150" s="66">
        <f t="shared" si="35"/>
        <v>0</v>
      </c>
      <c r="R150" s="63">
        <f t="shared" si="36"/>
        <v>0</v>
      </c>
      <c r="S150" s="83">
        <f t="shared" si="37"/>
        <v>0</v>
      </c>
      <c r="T150" s="64">
        <f t="shared" si="38"/>
        <v>0</v>
      </c>
      <c r="U150" s="66">
        <f t="shared" si="39"/>
        <v>920733.33239999996</v>
      </c>
      <c r="V150" s="63">
        <f t="shared" si="40"/>
        <v>928900.10250479984</v>
      </c>
      <c r="W150" s="83">
        <f t="shared" si="41"/>
        <v>936223.0069649599</v>
      </c>
      <c r="X150" s="64">
        <f t="shared" si="42"/>
        <v>971163.70035747997</v>
      </c>
      <c r="Z150" s="67">
        <v>0</v>
      </c>
      <c r="AA150" s="68">
        <v>0</v>
      </c>
      <c r="AB150" s="69">
        <v>939402</v>
      </c>
      <c r="AC150" s="70">
        <v>986372.84899999993</v>
      </c>
      <c r="AD150" s="67">
        <v>0</v>
      </c>
      <c r="AE150" s="68">
        <v>0</v>
      </c>
      <c r="AF150" s="69">
        <v>951331.12480000011</v>
      </c>
      <c r="AG150" s="70">
        <v>989021.31019999995</v>
      </c>
      <c r="AH150" s="70">
        <f t="shared" si="43"/>
        <v>0</v>
      </c>
      <c r="AI150" s="70">
        <f t="shared" si="44"/>
        <v>0</v>
      </c>
      <c r="AJ150" s="70">
        <f t="shared" si="45"/>
        <v>0</v>
      </c>
      <c r="AK150" s="70">
        <f t="shared" si="46"/>
        <v>0</v>
      </c>
      <c r="AL150" s="70">
        <f t="shared" si="47"/>
        <v>920733.33239999996</v>
      </c>
      <c r="AM150" s="70">
        <f t="shared" si="48"/>
        <v>964118.0607437999</v>
      </c>
      <c r="AN150" s="70">
        <f t="shared" si="49"/>
        <v>967933.89372596005</v>
      </c>
      <c r="AO150" s="70">
        <f t="shared" si="50"/>
        <v>971163.70035747997</v>
      </c>
    </row>
    <row r="151" spans="1:41">
      <c r="A151" s="29" t="s">
        <v>133</v>
      </c>
      <c r="B151" s="29" t="s">
        <v>747</v>
      </c>
      <c r="C151" s="107">
        <v>7390888.1600000001</v>
      </c>
      <c r="D151" s="108">
        <v>6952565</v>
      </c>
      <c r="F151" s="107">
        <v>6837035.5800000001</v>
      </c>
      <c r="G151" s="108">
        <v>7093914</v>
      </c>
      <c r="I151" s="64">
        <v>5767404.79</v>
      </c>
      <c r="J151" s="83">
        <v>7090568.8047000002</v>
      </c>
      <c r="K151" s="66">
        <v>7093914</v>
      </c>
      <c r="L151" s="251">
        <v>7661427</v>
      </c>
      <c r="M151" s="63">
        <v>7281067.3013999993</v>
      </c>
      <c r="N151" s="64">
        <v>7717544.3271000022</v>
      </c>
      <c r="O151" s="65">
        <v>8121113</v>
      </c>
      <c r="P151" s="66">
        <v>8121113</v>
      </c>
      <c r="Q151" s="66">
        <f t="shared" si="35"/>
        <v>6221980.1336000003</v>
      </c>
      <c r="R151" s="63">
        <f t="shared" si="36"/>
        <v>6720082.8805839997</v>
      </c>
      <c r="S151" s="83">
        <f t="shared" si="37"/>
        <v>7227727.7223239997</v>
      </c>
      <c r="T151" s="64">
        <f t="shared" si="38"/>
        <v>7595330.7599040009</v>
      </c>
      <c r="U151" s="66">
        <f t="shared" si="39"/>
        <v>7026942.8437999999</v>
      </c>
      <c r="V151" s="63">
        <f t="shared" si="40"/>
        <v>7392539.3405999998</v>
      </c>
      <c r="W151" s="83">
        <f t="shared" si="41"/>
        <v>7903313.7731999997</v>
      </c>
      <c r="X151" s="64">
        <f t="shared" si="42"/>
        <v>8121113</v>
      </c>
      <c r="Z151" s="67">
        <v>6837035.5800000001</v>
      </c>
      <c r="AA151" s="68">
        <v>8138935.1626999993</v>
      </c>
      <c r="AB151" s="69">
        <v>7093914</v>
      </c>
      <c r="AC151" s="70">
        <v>7661427</v>
      </c>
      <c r="AD151" s="67">
        <v>7281067.3013999993</v>
      </c>
      <c r="AE151" s="68">
        <v>7717544.3271000022</v>
      </c>
      <c r="AF151" s="69">
        <v>8121113</v>
      </c>
      <c r="AG151" s="70">
        <v>8121113</v>
      </c>
      <c r="AH151" s="70">
        <f t="shared" si="43"/>
        <v>6992114.3023999995</v>
      </c>
      <c r="AI151" s="70">
        <f t="shared" si="44"/>
        <v>7774403.2795439996</v>
      </c>
      <c r="AJ151" s="70">
        <f t="shared" si="45"/>
        <v>7521270.3025639998</v>
      </c>
      <c r="AK151" s="70">
        <f t="shared" si="46"/>
        <v>7595330.7599040009</v>
      </c>
      <c r="AL151" s="70">
        <f t="shared" si="47"/>
        <v>7026942.8437999999</v>
      </c>
      <c r="AM151" s="70">
        <f t="shared" si="48"/>
        <v>7392539.3405999998</v>
      </c>
      <c r="AN151" s="70">
        <f t="shared" si="49"/>
        <v>7903313.7731999997</v>
      </c>
      <c r="AO151" s="70">
        <f t="shared" si="50"/>
        <v>8121113</v>
      </c>
    </row>
    <row r="152" spans="1:41">
      <c r="A152" s="29" t="s">
        <v>275</v>
      </c>
      <c r="B152" s="29" t="s">
        <v>748</v>
      </c>
      <c r="C152" s="107">
        <v>0</v>
      </c>
      <c r="D152" s="108">
        <v>721664</v>
      </c>
      <c r="F152" s="107">
        <v>0</v>
      </c>
      <c r="G152" s="108">
        <v>757747</v>
      </c>
      <c r="I152" s="64">
        <v>0</v>
      </c>
      <c r="J152" s="83">
        <v>0</v>
      </c>
      <c r="K152" s="66">
        <v>757747</v>
      </c>
      <c r="L152" s="251">
        <v>757747</v>
      </c>
      <c r="M152" s="63">
        <v>0</v>
      </c>
      <c r="N152" s="64">
        <v>0</v>
      </c>
      <c r="O152" s="65">
        <v>757747</v>
      </c>
      <c r="P152" s="66">
        <v>757747</v>
      </c>
      <c r="Q152" s="66">
        <f t="shared" si="35"/>
        <v>0</v>
      </c>
      <c r="R152" s="63">
        <f t="shared" si="36"/>
        <v>0</v>
      </c>
      <c r="S152" s="83">
        <f t="shared" si="37"/>
        <v>0</v>
      </c>
      <c r="T152" s="64">
        <f t="shared" si="38"/>
        <v>0</v>
      </c>
      <c r="U152" s="66">
        <f t="shared" si="39"/>
        <v>740650.87459999998</v>
      </c>
      <c r="V152" s="63">
        <f t="shared" si="40"/>
        <v>757747</v>
      </c>
      <c r="W152" s="83">
        <f t="shared" si="41"/>
        <v>757747</v>
      </c>
      <c r="X152" s="64">
        <f t="shared" si="42"/>
        <v>757747</v>
      </c>
      <c r="Z152" s="67">
        <v>0</v>
      </c>
      <c r="AA152" s="68">
        <v>0</v>
      </c>
      <c r="AB152" s="69">
        <v>757747</v>
      </c>
      <c r="AC152" s="70">
        <v>757747</v>
      </c>
      <c r="AD152" s="67">
        <v>0</v>
      </c>
      <c r="AE152" s="68">
        <v>0</v>
      </c>
      <c r="AF152" s="69">
        <v>757747</v>
      </c>
      <c r="AG152" s="70">
        <v>757747</v>
      </c>
      <c r="AH152" s="70">
        <f t="shared" si="43"/>
        <v>0</v>
      </c>
      <c r="AI152" s="70">
        <f t="shared" si="44"/>
        <v>0</v>
      </c>
      <c r="AJ152" s="70">
        <f t="shared" si="45"/>
        <v>0</v>
      </c>
      <c r="AK152" s="70">
        <f t="shared" si="46"/>
        <v>0</v>
      </c>
      <c r="AL152" s="70">
        <f t="shared" si="47"/>
        <v>740650.87459999998</v>
      </c>
      <c r="AM152" s="70">
        <f t="shared" si="48"/>
        <v>757747</v>
      </c>
      <c r="AN152" s="70">
        <f t="shared" si="49"/>
        <v>757747</v>
      </c>
      <c r="AO152" s="70">
        <f t="shared" si="50"/>
        <v>757747</v>
      </c>
    </row>
    <row r="153" spans="1:41">
      <c r="A153" s="29" t="s">
        <v>609</v>
      </c>
      <c r="B153" s="29" t="s">
        <v>749</v>
      </c>
      <c r="C153" s="107">
        <v>952800.22</v>
      </c>
      <c r="D153" s="108">
        <v>257000</v>
      </c>
      <c r="F153" s="107">
        <v>946309.05</v>
      </c>
      <c r="G153" s="108">
        <v>262000</v>
      </c>
      <c r="I153" s="64">
        <v>934505.95</v>
      </c>
      <c r="J153" s="83">
        <v>896114.015212</v>
      </c>
      <c r="K153" s="66">
        <v>262000</v>
      </c>
      <c r="L153" s="251">
        <v>262000</v>
      </c>
      <c r="M153" s="63">
        <v>849777.76127999998</v>
      </c>
      <c r="N153" s="64">
        <v>839696.91960000002</v>
      </c>
      <c r="O153" s="65">
        <v>262000</v>
      </c>
      <c r="P153" s="66">
        <v>262000</v>
      </c>
      <c r="Q153" s="66">
        <f t="shared" si="35"/>
        <v>939628.3456</v>
      </c>
      <c r="R153" s="63">
        <f t="shared" si="36"/>
        <v>906863.7569526399</v>
      </c>
      <c r="S153" s="83">
        <f t="shared" si="37"/>
        <v>862751.91238096007</v>
      </c>
      <c r="T153" s="64">
        <f t="shared" si="38"/>
        <v>842519.55527040013</v>
      </c>
      <c r="U153" s="66">
        <f t="shared" si="39"/>
        <v>259631</v>
      </c>
      <c r="V153" s="63">
        <f t="shared" si="40"/>
        <v>262000</v>
      </c>
      <c r="W153" s="83">
        <f t="shared" si="41"/>
        <v>262000</v>
      </c>
      <c r="X153" s="64">
        <f t="shared" si="42"/>
        <v>262000</v>
      </c>
      <c r="Z153" s="67">
        <v>946309.05</v>
      </c>
      <c r="AA153" s="68">
        <v>896114.015212</v>
      </c>
      <c r="AB153" s="69">
        <v>262000</v>
      </c>
      <c r="AC153" s="70">
        <v>262000</v>
      </c>
      <c r="AD153" s="67">
        <v>849777.76127999998</v>
      </c>
      <c r="AE153" s="68">
        <v>839696.91960000002</v>
      </c>
      <c r="AF153" s="69">
        <v>262000</v>
      </c>
      <c r="AG153" s="70">
        <v>262000</v>
      </c>
      <c r="AH153" s="70">
        <f t="shared" si="43"/>
        <v>948126.57760000008</v>
      </c>
      <c r="AI153" s="70">
        <f t="shared" si="44"/>
        <v>910168.62495263992</v>
      </c>
      <c r="AJ153" s="70">
        <f t="shared" si="45"/>
        <v>862751.91238096007</v>
      </c>
      <c r="AK153" s="70">
        <f t="shared" si="46"/>
        <v>842519.55527040013</v>
      </c>
      <c r="AL153" s="70">
        <f t="shared" si="47"/>
        <v>259631</v>
      </c>
      <c r="AM153" s="70">
        <f t="shared" si="48"/>
        <v>262000</v>
      </c>
      <c r="AN153" s="70">
        <f t="shared" si="49"/>
        <v>262000</v>
      </c>
      <c r="AO153" s="70">
        <f t="shared" si="50"/>
        <v>262000</v>
      </c>
    </row>
    <row r="154" spans="1:41">
      <c r="A154" s="29" t="s">
        <v>551</v>
      </c>
      <c r="B154" s="29" t="s">
        <v>750</v>
      </c>
      <c r="C154" s="107">
        <v>0</v>
      </c>
      <c r="D154" s="108">
        <v>5000000</v>
      </c>
      <c r="F154" s="107">
        <v>0</v>
      </c>
      <c r="G154" s="108">
        <v>4899368</v>
      </c>
      <c r="I154" s="64">
        <v>0</v>
      </c>
      <c r="J154" s="83">
        <v>0</v>
      </c>
      <c r="K154" s="66">
        <v>4899368</v>
      </c>
      <c r="L154" s="251">
        <v>4897435.4713999992</v>
      </c>
      <c r="M154" s="63">
        <v>0</v>
      </c>
      <c r="N154" s="64">
        <v>0</v>
      </c>
      <c r="O154" s="65">
        <v>5067143.2044000002</v>
      </c>
      <c r="P154" s="66">
        <v>5267891.6752000004</v>
      </c>
      <c r="Q154" s="66">
        <f t="shared" si="35"/>
        <v>0</v>
      </c>
      <c r="R154" s="63">
        <f t="shared" si="36"/>
        <v>0</v>
      </c>
      <c r="S154" s="83">
        <f t="shared" si="37"/>
        <v>0</v>
      </c>
      <c r="T154" s="64">
        <f t="shared" si="38"/>
        <v>0</v>
      </c>
      <c r="U154" s="66">
        <f t="shared" si="39"/>
        <v>4947047.4416000005</v>
      </c>
      <c r="V154" s="63">
        <f t="shared" si="40"/>
        <v>4898351.1034506802</v>
      </c>
      <c r="W154" s="83">
        <f t="shared" si="41"/>
        <v>4986735.6805045996</v>
      </c>
      <c r="X154" s="64">
        <f t="shared" si="42"/>
        <v>5172777.0497349603</v>
      </c>
      <c r="Z154" s="67">
        <v>0</v>
      </c>
      <c r="AA154" s="68">
        <v>0</v>
      </c>
      <c r="AB154" s="69">
        <v>4899368</v>
      </c>
      <c r="AC154" s="70">
        <v>5144338.1395999994</v>
      </c>
      <c r="AD154" s="67">
        <v>0</v>
      </c>
      <c r="AE154" s="68">
        <v>0</v>
      </c>
      <c r="AF154" s="69">
        <v>5067143.2044000002</v>
      </c>
      <c r="AG154" s="70">
        <v>5267891.6752000004</v>
      </c>
      <c r="AH154" s="70">
        <f t="shared" si="43"/>
        <v>0</v>
      </c>
      <c r="AI154" s="70">
        <f t="shared" si="44"/>
        <v>0</v>
      </c>
      <c r="AJ154" s="70">
        <f t="shared" si="45"/>
        <v>0</v>
      </c>
      <c r="AK154" s="70">
        <f t="shared" si="46"/>
        <v>0</v>
      </c>
      <c r="AL154" s="70">
        <f t="shared" si="47"/>
        <v>4947047.4416000005</v>
      </c>
      <c r="AM154" s="70">
        <f t="shared" si="48"/>
        <v>5028271.2874575201</v>
      </c>
      <c r="AN154" s="70">
        <f t="shared" si="49"/>
        <v>5103718.1646977598</v>
      </c>
      <c r="AO154" s="70">
        <f t="shared" si="50"/>
        <v>5172777.0497349603</v>
      </c>
    </row>
    <row r="155" spans="1:41">
      <c r="A155" s="29" t="s">
        <v>417</v>
      </c>
      <c r="B155" s="29" t="s">
        <v>751</v>
      </c>
      <c r="C155" s="107">
        <v>40835.57</v>
      </c>
      <c r="D155" s="108">
        <v>155000</v>
      </c>
      <c r="F155" s="107">
        <v>38933.699999999997</v>
      </c>
      <c r="G155" s="108">
        <v>155000</v>
      </c>
      <c r="I155" s="64">
        <v>25146.34</v>
      </c>
      <c r="J155" s="83">
        <v>37504.238499999992</v>
      </c>
      <c r="K155" s="66">
        <v>155000</v>
      </c>
      <c r="L155" s="251">
        <v>155000</v>
      </c>
      <c r="M155" s="63">
        <v>31979.489999999998</v>
      </c>
      <c r="N155" s="64">
        <v>23601.365999999995</v>
      </c>
      <c r="O155" s="65">
        <v>155000</v>
      </c>
      <c r="P155" s="66">
        <v>155000</v>
      </c>
      <c r="Q155" s="66">
        <f t="shared" si="35"/>
        <v>29539.324399999998</v>
      </c>
      <c r="R155" s="63">
        <f t="shared" si="36"/>
        <v>34044.026919999989</v>
      </c>
      <c r="S155" s="83">
        <f t="shared" si="37"/>
        <v>33526.419579999994</v>
      </c>
      <c r="T155" s="64">
        <f t="shared" si="38"/>
        <v>25947.240719999994</v>
      </c>
      <c r="U155" s="66">
        <f t="shared" si="39"/>
        <v>155000</v>
      </c>
      <c r="V155" s="63">
        <f t="shared" si="40"/>
        <v>155000</v>
      </c>
      <c r="W155" s="83">
        <f t="shared" si="41"/>
        <v>155000</v>
      </c>
      <c r="X155" s="64">
        <f t="shared" si="42"/>
        <v>155000</v>
      </c>
      <c r="Z155" s="67">
        <v>38933.699999999997</v>
      </c>
      <c r="AA155" s="68">
        <v>37504.238499999992</v>
      </c>
      <c r="AB155" s="69">
        <v>155000</v>
      </c>
      <c r="AC155" s="70">
        <v>155000</v>
      </c>
      <c r="AD155" s="67">
        <v>31979.489999999998</v>
      </c>
      <c r="AE155" s="68">
        <v>23601.365999999995</v>
      </c>
      <c r="AF155" s="69">
        <v>155000</v>
      </c>
      <c r="AG155" s="70">
        <v>155000</v>
      </c>
      <c r="AH155" s="70">
        <f t="shared" si="43"/>
        <v>39466.223599999998</v>
      </c>
      <c r="AI155" s="70">
        <f t="shared" si="44"/>
        <v>37904.48771999999</v>
      </c>
      <c r="AJ155" s="70">
        <f t="shared" si="45"/>
        <v>33526.419579999994</v>
      </c>
      <c r="AK155" s="70">
        <f t="shared" si="46"/>
        <v>25947.240719999994</v>
      </c>
      <c r="AL155" s="70">
        <f t="shared" si="47"/>
        <v>155000</v>
      </c>
      <c r="AM155" s="70">
        <f t="shared" si="48"/>
        <v>155000</v>
      </c>
      <c r="AN155" s="70">
        <f t="shared" si="49"/>
        <v>155000</v>
      </c>
      <c r="AO155" s="70">
        <f t="shared" si="50"/>
        <v>155000</v>
      </c>
    </row>
    <row r="156" spans="1:41">
      <c r="A156" s="29" t="s">
        <v>413</v>
      </c>
      <c r="B156" s="29" t="s">
        <v>882</v>
      </c>
      <c r="C156" s="107">
        <v>3471496.14</v>
      </c>
      <c r="D156" s="108">
        <v>11882329</v>
      </c>
      <c r="F156" s="107">
        <v>2969229.69</v>
      </c>
      <c r="G156" s="108">
        <v>13593622</v>
      </c>
      <c r="I156" s="64">
        <v>2492982.31</v>
      </c>
      <c r="J156" s="83">
        <v>2254372.7152000009</v>
      </c>
      <c r="K156" s="66">
        <v>13593622</v>
      </c>
      <c r="L156" s="251">
        <v>14953028</v>
      </c>
      <c r="M156" s="63">
        <v>1642949.9090999993</v>
      </c>
      <c r="N156" s="64">
        <v>1154622.3923999984</v>
      </c>
      <c r="O156" s="65">
        <v>16448331</v>
      </c>
      <c r="P156" s="66">
        <v>16448331</v>
      </c>
      <c r="Q156" s="66">
        <f t="shared" si="35"/>
        <v>2766966.1824000003</v>
      </c>
      <c r="R156" s="63">
        <f t="shared" si="36"/>
        <v>2321183.4017440006</v>
      </c>
      <c r="S156" s="83">
        <f t="shared" si="37"/>
        <v>1814148.2948079999</v>
      </c>
      <c r="T156" s="64">
        <f t="shared" si="38"/>
        <v>1291354.0970759986</v>
      </c>
      <c r="U156" s="66">
        <f t="shared" si="39"/>
        <v>12782811.376600001</v>
      </c>
      <c r="V156" s="63">
        <f t="shared" si="40"/>
        <v>14308941.437200001</v>
      </c>
      <c r="W156" s="83">
        <f t="shared" si="41"/>
        <v>15739856.4386</v>
      </c>
      <c r="X156" s="64">
        <f t="shared" si="42"/>
        <v>16448331</v>
      </c>
      <c r="Z156" s="67">
        <v>2969229.69</v>
      </c>
      <c r="AA156" s="68">
        <v>2946468.5879000002</v>
      </c>
      <c r="AB156" s="69">
        <v>13593622</v>
      </c>
      <c r="AC156" s="70">
        <v>14953028</v>
      </c>
      <c r="AD156" s="67">
        <v>1642949.9090999993</v>
      </c>
      <c r="AE156" s="68">
        <v>1154622.3923999984</v>
      </c>
      <c r="AF156" s="69">
        <v>16448331</v>
      </c>
      <c r="AG156" s="70">
        <v>16448331</v>
      </c>
      <c r="AH156" s="70">
        <f t="shared" si="43"/>
        <v>3109864.2960000001</v>
      </c>
      <c r="AI156" s="70">
        <f t="shared" si="44"/>
        <v>2952841.6964880005</v>
      </c>
      <c r="AJ156" s="70">
        <f t="shared" si="45"/>
        <v>2007935.1391639996</v>
      </c>
      <c r="AK156" s="70">
        <f t="shared" si="46"/>
        <v>1291354.0970759986</v>
      </c>
      <c r="AL156" s="70">
        <f t="shared" si="47"/>
        <v>12782811.376600001</v>
      </c>
      <c r="AM156" s="70">
        <f t="shared" si="48"/>
        <v>14308941.437200001</v>
      </c>
      <c r="AN156" s="70">
        <f t="shared" si="49"/>
        <v>15739856.4386</v>
      </c>
      <c r="AO156" s="70">
        <f t="shared" si="50"/>
        <v>16448331</v>
      </c>
    </row>
    <row r="157" spans="1:41">
      <c r="A157" s="29" t="s">
        <v>427</v>
      </c>
      <c r="B157" s="29" t="s">
        <v>752</v>
      </c>
      <c r="C157" s="107">
        <v>0</v>
      </c>
      <c r="D157" s="108">
        <v>41004068</v>
      </c>
      <c r="F157" s="107">
        <v>0</v>
      </c>
      <c r="G157" s="108">
        <v>43178569</v>
      </c>
      <c r="I157" s="64">
        <v>0</v>
      </c>
      <c r="J157" s="83">
        <v>0</v>
      </c>
      <c r="K157" s="66">
        <v>43178569</v>
      </c>
      <c r="L157" s="251">
        <v>44258217.249399997</v>
      </c>
      <c r="M157" s="63">
        <v>0</v>
      </c>
      <c r="N157" s="64">
        <v>0</v>
      </c>
      <c r="O157" s="65">
        <v>45792068.577500001</v>
      </c>
      <c r="P157" s="66">
        <v>47606180.013700001</v>
      </c>
      <c r="Q157" s="66">
        <f t="shared" si="35"/>
        <v>0</v>
      </c>
      <c r="R157" s="63">
        <f t="shared" si="36"/>
        <v>0</v>
      </c>
      <c r="S157" s="83">
        <f t="shared" si="37"/>
        <v>0</v>
      </c>
      <c r="T157" s="64">
        <f t="shared" si="38"/>
        <v>0</v>
      </c>
      <c r="U157" s="66">
        <f t="shared" si="39"/>
        <v>42148290.426200002</v>
      </c>
      <c r="V157" s="63">
        <f t="shared" si="40"/>
        <v>43746679.908834279</v>
      </c>
      <c r="W157" s="83">
        <f t="shared" si="41"/>
        <v>45065329.818246216</v>
      </c>
      <c r="X157" s="64">
        <f t="shared" si="42"/>
        <v>46746654.015228443</v>
      </c>
      <c r="Z157" s="67">
        <v>0</v>
      </c>
      <c r="AA157" s="68">
        <v>0</v>
      </c>
      <c r="AB157" s="69">
        <v>43178569</v>
      </c>
      <c r="AC157" s="70">
        <v>45337513.243199997</v>
      </c>
      <c r="AD157" s="67">
        <v>0</v>
      </c>
      <c r="AE157" s="68">
        <v>0</v>
      </c>
      <c r="AF157" s="69">
        <v>45792068.577500001</v>
      </c>
      <c r="AG157" s="70">
        <v>47606180.013700001</v>
      </c>
      <c r="AH157" s="70">
        <f t="shared" si="43"/>
        <v>0</v>
      </c>
      <c r="AI157" s="70">
        <f t="shared" si="44"/>
        <v>0</v>
      </c>
      <c r="AJ157" s="70">
        <f t="shared" si="45"/>
        <v>0</v>
      </c>
      <c r="AK157" s="70">
        <f t="shared" si="46"/>
        <v>0</v>
      </c>
      <c r="AL157" s="70">
        <f t="shared" si="47"/>
        <v>42148290.426200002</v>
      </c>
      <c r="AM157" s="70">
        <f t="shared" si="48"/>
        <v>44314605.460771836</v>
      </c>
      <c r="AN157" s="70">
        <f t="shared" si="49"/>
        <v>45576700.260108657</v>
      </c>
      <c r="AO157" s="70">
        <f t="shared" si="50"/>
        <v>46746654.015228443</v>
      </c>
    </row>
    <row r="158" spans="1:41">
      <c r="A158" s="29" t="s">
        <v>583</v>
      </c>
      <c r="B158" s="29" t="s">
        <v>753</v>
      </c>
      <c r="C158" s="107">
        <v>398772.9</v>
      </c>
      <c r="D158" s="108">
        <v>2750000</v>
      </c>
      <c r="F158" s="107">
        <v>325921.09000000003</v>
      </c>
      <c r="G158" s="108">
        <v>2950000</v>
      </c>
      <c r="I158" s="64">
        <v>243738.3</v>
      </c>
      <c r="J158" s="83">
        <v>238402.93999999983</v>
      </c>
      <c r="K158" s="66">
        <v>2950000</v>
      </c>
      <c r="L158" s="251">
        <v>3175000</v>
      </c>
      <c r="M158" s="63">
        <v>185682.60779999994</v>
      </c>
      <c r="N158" s="64">
        <v>89962.244100000025</v>
      </c>
      <c r="O158" s="65">
        <v>3400000</v>
      </c>
      <c r="P158" s="66">
        <v>3400000</v>
      </c>
      <c r="Q158" s="66">
        <f t="shared" si="35"/>
        <v>287147.98800000001</v>
      </c>
      <c r="R158" s="63">
        <f t="shared" si="36"/>
        <v>239896.84079999989</v>
      </c>
      <c r="S158" s="83">
        <f t="shared" si="37"/>
        <v>200444.30081599992</v>
      </c>
      <c r="T158" s="64">
        <f t="shared" si="38"/>
        <v>116763.945936</v>
      </c>
      <c r="U158" s="66">
        <f t="shared" si="39"/>
        <v>2855240</v>
      </c>
      <c r="V158" s="63">
        <f t="shared" si="40"/>
        <v>3068395</v>
      </c>
      <c r="W158" s="83">
        <f t="shared" si="41"/>
        <v>3293395</v>
      </c>
      <c r="X158" s="64">
        <f t="shared" si="42"/>
        <v>3400000</v>
      </c>
      <c r="Z158" s="67">
        <v>325921.09000000003</v>
      </c>
      <c r="AA158" s="68">
        <v>302757.92669999978</v>
      </c>
      <c r="AB158" s="69">
        <v>2950000</v>
      </c>
      <c r="AC158" s="70">
        <v>3175000</v>
      </c>
      <c r="AD158" s="67">
        <v>185682.60779999994</v>
      </c>
      <c r="AE158" s="68">
        <v>89962.244100000025</v>
      </c>
      <c r="AF158" s="69">
        <v>3400000</v>
      </c>
      <c r="AG158" s="70">
        <v>3400000</v>
      </c>
      <c r="AH158" s="70">
        <f t="shared" si="43"/>
        <v>346319.59680000006</v>
      </c>
      <c r="AI158" s="70">
        <f t="shared" si="44"/>
        <v>309243.61242399988</v>
      </c>
      <c r="AJ158" s="70">
        <f t="shared" si="45"/>
        <v>218463.6970919999</v>
      </c>
      <c r="AK158" s="70">
        <f t="shared" si="46"/>
        <v>116763.945936</v>
      </c>
      <c r="AL158" s="70">
        <f t="shared" si="47"/>
        <v>2855240</v>
      </c>
      <c r="AM158" s="70">
        <f t="shared" si="48"/>
        <v>3068395</v>
      </c>
      <c r="AN158" s="70">
        <f t="shared" si="49"/>
        <v>3293395</v>
      </c>
      <c r="AO158" s="70">
        <f t="shared" si="50"/>
        <v>3400000</v>
      </c>
    </row>
    <row r="159" spans="1:41">
      <c r="A159" s="29" t="s">
        <v>271</v>
      </c>
      <c r="B159" s="29" t="s">
        <v>754</v>
      </c>
      <c r="C159" s="107">
        <v>374604.89</v>
      </c>
      <c r="D159" s="108">
        <v>756716</v>
      </c>
      <c r="F159" s="107">
        <v>295774.81</v>
      </c>
      <c r="G159" s="108">
        <v>832388</v>
      </c>
      <c r="I159" s="64">
        <v>237237.48</v>
      </c>
      <c r="J159" s="83">
        <v>218594.9022619999</v>
      </c>
      <c r="K159" s="66">
        <v>832388</v>
      </c>
      <c r="L159" s="251">
        <v>832388</v>
      </c>
      <c r="M159" s="63">
        <v>159424.09078399997</v>
      </c>
      <c r="N159" s="64">
        <v>126394.10014399998</v>
      </c>
      <c r="O159" s="65">
        <v>832388</v>
      </c>
      <c r="P159" s="66">
        <v>832388</v>
      </c>
      <c r="Q159" s="66">
        <f t="shared" si="35"/>
        <v>275700.35480000003</v>
      </c>
      <c r="R159" s="63">
        <f t="shared" si="36"/>
        <v>223814.82402863994</v>
      </c>
      <c r="S159" s="83">
        <f t="shared" si="37"/>
        <v>175991.91799783995</v>
      </c>
      <c r="T159" s="64">
        <f t="shared" si="38"/>
        <v>135642.4975232</v>
      </c>
      <c r="U159" s="66">
        <f t="shared" si="39"/>
        <v>796534.60639999993</v>
      </c>
      <c r="V159" s="63">
        <f t="shared" si="40"/>
        <v>832388</v>
      </c>
      <c r="W159" s="83">
        <f t="shared" si="41"/>
        <v>832388</v>
      </c>
      <c r="X159" s="64">
        <f t="shared" si="42"/>
        <v>832388</v>
      </c>
      <c r="Z159" s="67">
        <v>295774.81</v>
      </c>
      <c r="AA159" s="68">
        <v>342984.93838199979</v>
      </c>
      <c r="AB159" s="69">
        <v>832388</v>
      </c>
      <c r="AC159" s="70">
        <v>832388</v>
      </c>
      <c r="AD159" s="67">
        <v>159424.09078399997</v>
      </c>
      <c r="AE159" s="68">
        <v>126394.10014399998</v>
      </c>
      <c r="AF159" s="69">
        <v>832388</v>
      </c>
      <c r="AG159" s="70">
        <v>832388</v>
      </c>
      <c r="AH159" s="70">
        <f t="shared" si="43"/>
        <v>317847.23239999998</v>
      </c>
      <c r="AI159" s="70">
        <f t="shared" si="44"/>
        <v>329766.10243503982</v>
      </c>
      <c r="AJ159" s="70">
        <f t="shared" si="45"/>
        <v>210821.12811143993</v>
      </c>
      <c r="AK159" s="70">
        <f t="shared" si="46"/>
        <v>135642.4975232</v>
      </c>
      <c r="AL159" s="70">
        <f t="shared" si="47"/>
        <v>796534.60639999993</v>
      </c>
      <c r="AM159" s="70">
        <f t="shared" si="48"/>
        <v>832388</v>
      </c>
      <c r="AN159" s="70">
        <f t="shared" si="49"/>
        <v>832388</v>
      </c>
      <c r="AO159" s="70">
        <f t="shared" si="50"/>
        <v>832388</v>
      </c>
    </row>
    <row r="160" spans="1:41">
      <c r="A160" s="29" t="s">
        <v>349</v>
      </c>
      <c r="B160" s="29" t="s">
        <v>931</v>
      </c>
      <c r="C160" s="107">
        <v>27408.48</v>
      </c>
      <c r="D160" s="108">
        <v>450000</v>
      </c>
      <c r="F160" s="107">
        <v>24607.63</v>
      </c>
      <c r="G160" s="108">
        <v>579000</v>
      </c>
      <c r="I160" s="64">
        <v>0</v>
      </c>
      <c r="J160" s="83">
        <v>0</v>
      </c>
      <c r="K160" s="66">
        <v>579000</v>
      </c>
      <c r="L160" s="251">
        <v>579000</v>
      </c>
      <c r="M160" s="63">
        <v>0</v>
      </c>
      <c r="N160" s="64">
        <v>0</v>
      </c>
      <c r="O160" s="65">
        <v>579000</v>
      </c>
      <c r="P160" s="66">
        <v>579000</v>
      </c>
      <c r="Q160" s="66">
        <f t="shared" si="35"/>
        <v>7674.3744000000006</v>
      </c>
      <c r="R160" s="63">
        <f t="shared" si="36"/>
        <v>0</v>
      </c>
      <c r="S160" s="83">
        <f t="shared" si="37"/>
        <v>0</v>
      </c>
      <c r="T160" s="64">
        <f t="shared" si="38"/>
        <v>0</v>
      </c>
      <c r="U160" s="66">
        <f t="shared" si="39"/>
        <v>517879.8</v>
      </c>
      <c r="V160" s="63">
        <f t="shared" si="40"/>
        <v>579000</v>
      </c>
      <c r="W160" s="83">
        <f t="shared" si="41"/>
        <v>579000</v>
      </c>
      <c r="X160" s="64">
        <f t="shared" si="42"/>
        <v>579000</v>
      </c>
      <c r="Z160" s="67">
        <v>24607.63</v>
      </c>
      <c r="AA160" s="68">
        <v>9703.3625999999458</v>
      </c>
      <c r="AB160" s="69">
        <v>579000</v>
      </c>
      <c r="AC160" s="70">
        <v>579000</v>
      </c>
      <c r="AD160" s="67">
        <v>0</v>
      </c>
      <c r="AE160" s="68">
        <v>0</v>
      </c>
      <c r="AF160" s="69">
        <v>579000</v>
      </c>
      <c r="AG160" s="70">
        <v>579000</v>
      </c>
      <c r="AH160" s="70">
        <f t="shared" si="43"/>
        <v>25391.868000000002</v>
      </c>
      <c r="AI160" s="70">
        <f t="shared" si="44"/>
        <v>13876.557471999962</v>
      </c>
      <c r="AJ160" s="70">
        <f t="shared" si="45"/>
        <v>2716.9415279999853</v>
      </c>
      <c r="AK160" s="70">
        <f t="shared" si="46"/>
        <v>0</v>
      </c>
      <c r="AL160" s="70">
        <f t="shared" si="47"/>
        <v>517879.8</v>
      </c>
      <c r="AM160" s="70">
        <f t="shared" si="48"/>
        <v>579000</v>
      </c>
      <c r="AN160" s="70">
        <f t="shared" si="49"/>
        <v>579000</v>
      </c>
      <c r="AO160" s="70">
        <f t="shared" si="50"/>
        <v>579000</v>
      </c>
    </row>
    <row r="161" spans="1:41">
      <c r="A161" s="29" t="s">
        <v>327</v>
      </c>
      <c r="B161" s="29" t="s">
        <v>755</v>
      </c>
      <c r="C161" s="107">
        <v>253250.42</v>
      </c>
      <c r="D161" s="108">
        <v>36000</v>
      </c>
      <c r="F161" s="107">
        <v>277051.46999999997</v>
      </c>
      <c r="G161" s="108">
        <v>36000</v>
      </c>
      <c r="I161" s="64">
        <v>277051.46999999997</v>
      </c>
      <c r="J161" s="83">
        <v>372763.02909999999</v>
      </c>
      <c r="K161" s="66">
        <v>36000</v>
      </c>
      <c r="L161" s="251">
        <v>36000</v>
      </c>
      <c r="M161" s="63">
        <v>384750.16769999999</v>
      </c>
      <c r="N161" s="64">
        <v>399237.0024</v>
      </c>
      <c r="O161" s="65">
        <v>36000</v>
      </c>
      <c r="P161" s="66">
        <v>36000</v>
      </c>
      <c r="Q161" s="66">
        <f t="shared" si="35"/>
        <v>270387.17599999998</v>
      </c>
      <c r="R161" s="63">
        <f t="shared" si="36"/>
        <v>345963.79255199997</v>
      </c>
      <c r="S161" s="83">
        <f t="shared" si="37"/>
        <v>381393.76889199996</v>
      </c>
      <c r="T161" s="64">
        <f t="shared" si="38"/>
        <v>395180.68868399994</v>
      </c>
      <c r="U161" s="66">
        <f t="shared" si="39"/>
        <v>36000</v>
      </c>
      <c r="V161" s="63">
        <f t="shared" si="40"/>
        <v>36000</v>
      </c>
      <c r="W161" s="83">
        <f t="shared" si="41"/>
        <v>36000</v>
      </c>
      <c r="X161" s="64">
        <f t="shared" si="42"/>
        <v>36000</v>
      </c>
      <c r="Z161" s="67">
        <v>277051.46999999997</v>
      </c>
      <c r="AA161" s="68">
        <v>372763.02909999999</v>
      </c>
      <c r="AB161" s="69">
        <v>36000</v>
      </c>
      <c r="AC161" s="70">
        <v>36000</v>
      </c>
      <c r="AD161" s="67">
        <v>384750.16769999999</v>
      </c>
      <c r="AE161" s="68">
        <v>399237.0024</v>
      </c>
      <c r="AF161" s="69">
        <v>36000</v>
      </c>
      <c r="AG161" s="70">
        <v>36000</v>
      </c>
      <c r="AH161" s="70">
        <f t="shared" si="43"/>
        <v>270387.17599999998</v>
      </c>
      <c r="AI161" s="70">
        <f t="shared" si="44"/>
        <v>345963.79255199997</v>
      </c>
      <c r="AJ161" s="70">
        <f t="shared" si="45"/>
        <v>381393.76889199996</v>
      </c>
      <c r="AK161" s="70">
        <f t="shared" si="46"/>
        <v>395180.68868399994</v>
      </c>
      <c r="AL161" s="70">
        <f t="shared" si="47"/>
        <v>36000</v>
      </c>
      <c r="AM161" s="70">
        <f t="shared" si="48"/>
        <v>36000</v>
      </c>
      <c r="AN161" s="70">
        <f t="shared" si="49"/>
        <v>36000</v>
      </c>
      <c r="AO161" s="70">
        <f t="shared" si="50"/>
        <v>36000</v>
      </c>
    </row>
    <row r="162" spans="1:41">
      <c r="A162" s="29" t="s">
        <v>355</v>
      </c>
      <c r="B162" s="29" t="s">
        <v>756</v>
      </c>
      <c r="C162" s="107">
        <v>228620.98</v>
      </c>
      <c r="D162" s="108">
        <v>1573148</v>
      </c>
      <c r="F162" s="107">
        <v>108720.66</v>
      </c>
      <c r="G162" s="108">
        <v>1606681</v>
      </c>
      <c r="I162" s="64">
        <v>0</v>
      </c>
      <c r="J162" s="83">
        <v>0</v>
      </c>
      <c r="K162" s="66">
        <v>1606681</v>
      </c>
      <c r="L162" s="251">
        <v>1637634</v>
      </c>
      <c r="M162" s="63">
        <v>0</v>
      </c>
      <c r="N162" s="64">
        <v>0</v>
      </c>
      <c r="O162" s="65">
        <v>1637634</v>
      </c>
      <c r="P162" s="66">
        <v>1637634</v>
      </c>
      <c r="Q162" s="66">
        <f t="shared" si="35"/>
        <v>64013.874400000008</v>
      </c>
      <c r="R162" s="63">
        <f t="shared" si="36"/>
        <v>0</v>
      </c>
      <c r="S162" s="83">
        <f t="shared" si="37"/>
        <v>0</v>
      </c>
      <c r="T162" s="64">
        <f t="shared" si="38"/>
        <v>0</v>
      </c>
      <c r="U162" s="66">
        <f t="shared" si="39"/>
        <v>1590793.0646000002</v>
      </c>
      <c r="V162" s="63">
        <f t="shared" si="40"/>
        <v>1622968.4686</v>
      </c>
      <c r="W162" s="83">
        <f t="shared" si="41"/>
        <v>1637634</v>
      </c>
      <c r="X162" s="64">
        <f t="shared" si="42"/>
        <v>1637634</v>
      </c>
      <c r="Z162" s="67">
        <v>108720.66</v>
      </c>
      <c r="AA162" s="68">
        <v>173030.1694120001</v>
      </c>
      <c r="AB162" s="69">
        <v>1606681</v>
      </c>
      <c r="AC162" s="70">
        <v>1637634</v>
      </c>
      <c r="AD162" s="67">
        <v>0</v>
      </c>
      <c r="AE162" s="68">
        <v>0</v>
      </c>
      <c r="AF162" s="69">
        <v>1637634</v>
      </c>
      <c r="AG162" s="70">
        <v>1637634</v>
      </c>
      <c r="AH162" s="70">
        <f t="shared" si="43"/>
        <v>142292.74960000001</v>
      </c>
      <c r="AI162" s="70">
        <f t="shared" si="44"/>
        <v>155023.50677664008</v>
      </c>
      <c r="AJ162" s="70">
        <f t="shared" si="45"/>
        <v>48448.447435360031</v>
      </c>
      <c r="AK162" s="70">
        <f t="shared" si="46"/>
        <v>0</v>
      </c>
      <c r="AL162" s="70">
        <f t="shared" si="47"/>
        <v>1590793.0646000002</v>
      </c>
      <c r="AM162" s="70">
        <f t="shared" si="48"/>
        <v>1622968.4686</v>
      </c>
      <c r="AN162" s="70">
        <f t="shared" si="49"/>
        <v>1637634</v>
      </c>
      <c r="AO162" s="70">
        <f t="shared" si="50"/>
        <v>1637634</v>
      </c>
    </row>
    <row r="163" spans="1:41">
      <c r="A163" s="29" t="s">
        <v>457</v>
      </c>
      <c r="B163" s="29" t="s">
        <v>757</v>
      </c>
      <c r="C163" s="107">
        <v>406882.8</v>
      </c>
      <c r="D163" s="108">
        <v>2240000</v>
      </c>
      <c r="F163" s="107">
        <v>332588.99</v>
      </c>
      <c r="G163" s="108">
        <v>3375550</v>
      </c>
      <c r="I163" s="64">
        <v>167343.73000000001</v>
      </c>
      <c r="J163" s="83">
        <v>152919.20950000006</v>
      </c>
      <c r="K163" s="66">
        <v>3375550</v>
      </c>
      <c r="L163" s="251">
        <v>3611575</v>
      </c>
      <c r="M163" s="63">
        <v>77953.2617999996</v>
      </c>
      <c r="N163" s="64">
        <v>91488.966299999985</v>
      </c>
      <c r="O163" s="65">
        <v>3864120</v>
      </c>
      <c r="P163" s="66">
        <v>3864120</v>
      </c>
      <c r="Q163" s="66">
        <f t="shared" si="35"/>
        <v>234414.66960000002</v>
      </c>
      <c r="R163" s="63">
        <f t="shared" si="36"/>
        <v>156958.07524000003</v>
      </c>
      <c r="S163" s="83">
        <f t="shared" si="37"/>
        <v>98943.727155999717</v>
      </c>
      <c r="T163" s="64">
        <f t="shared" si="38"/>
        <v>87698.969039999865</v>
      </c>
      <c r="U163" s="66">
        <f t="shared" si="39"/>
        <v>2837526.41</v>
      </c>
      <c r="V163" s="63">
        <f t="shared" si="40"/>
        <v>3499746.355</v>
      </c>
      <c r="W163" s="83">
        <f t="shared" si="41"/>
        <v>3744464.179</v>
      </c>
      <c r="X163" s="64">
        <f t="shared" si="42"/>
        <v>3864120</v>
      </c>
      <c r="Z163" s="67">
        <v>332588.99</v>
      </c>
      <c r="AA163" s="68">
        <v>302394.01299999986</v>
      </c>
      <c r="AB163" s="69">
        <v>3375550</v>
      </c>
      <c r="AC163" s="70">
        <v>3611575</v>
      </c>
      <c r="AD163" s="67">
        <v>77953.2617999996</v>
      </c>
      <c r="AE163" s="68">
        <v>91488.966299999985</v>
      </c>
      <c r="AF163" s="69">
        <v>3864120</v>
      </c>
      <c r="AG163" s="70">
        <v>3864120</v>
      </c>
      <c r="AH163" s="70">
        <f t="shared" si="43"/>
        <v>353391.25679999997</v>
      </c>
      <c r="AI163" s="70">
        <f t="shared" si="44"/>
        <v>310848.60655999993</v>
      </c>
      <c r="AJ163" s="70">
        <f t="shared" si="45"/>
        <v>140796.67213599969</v>
      </c>
      <c r="AK163" s="70">
        <f t="shared" si="46"/>
        <v>87698.969039999865</v>
      </c>
      <c r="AL163" s="70">
        <f t="shared" si="47"/>
        <v>2837526.41</v>
      </c>
      <c r="AM163" s="70">
        <f t="shared" si="48"/>
        <v>3499746.355</v>
      </c>
      <c r="AN163" s="70">
        <f t="shared" si="49"/>
        <v>3744464.179</v>
      </c>
      <c r="AO163" s="70">
        <f t="shared" si="50"/>
        <v>3864120</v>
      </c>
    </row>
    <row r="164" spans="1:41">
      <c r="A164" s="29" t="s">
        <v>549</v>
      </c>
      <c r="B164" s="29" t="s">
        <v>758</v>
      </c>
      <c r="C164" s="107">
        <v>1180672.95</v>
      </c>
      <c r="D164" s="108">
        <v>2500000</v>
      </c>
      <c r="F164" s="107">
        <v>988532.19</v>
      </c>
      <c r="G164" s="108">
        <v>2388385</v>
      </c>
      <c r="I164" s="64">
        <v>905300.55</v>
      </c>
      <c r="J164" s="83">
        <v>1056190.4675999996</v>
      </c>
      <c r="K164" s="66">
        <v>2388385</v>
      </c>
      <c r="L164" s="251">
        <v>2900000</v>
      </c>
      <c r="M164" s="63">
        <v>974660.51280000003</v>
      </c>
      <c r="N164" s="64">
        <v>959362.45590000041</v>
      </c>
      <c r="O164" s="65">
        <v>3100000</v>
      </c>
      <c r="P164" s="66">
        <v>3100000</v>
      </c>
      <c r="Q164" s="66">
        <f t="shared" si="35"/>
        <v>982404.82200000016</v>
      </c>
      <c r="R164" s="63">
        <f t="shared" si="36"/>
        <v>1013941.2906719998</v>
      </c>
      <c r="S164" s="83">
        <f t="shared" si="37"/>
        <v>997488.90014399996</v>
      </c>
      <c r="T164" s="64">
        <f t="shared" si="38"/>
        <v>963645.91183200036</v>
      </c>
      <c r="U164" s="66">
        <f t="shared" si="39"/>
        <v>2441268.1869999999</v>
      </c>
      <c r="V164" s="63">
        <f t="shared" si="40"/>
        <v>2657596.8130000001</v>
      </c>
      <c r="W164" s="83">
        <f t="shared" si="41"/>
        <v>3005240</v>
      </c>
      <c r="X164" s="64">
        <f t="shared" si="42"/>
        <v>3100000</v>
      </c>
      <c r="Z164" s="67">
        <v>988532.19</v>
      </c>
      <c r="AA164" s="68">
        <v>1110225.2093999998</v>
      </c>
      <c r="AB164" s="69">
        <v>2388385</v>
      </c>
      <c r="AC164" s="70">
        <v>2900000</v>
      </c>
      <c r="AD164" s="67">
        <v>974660.51280000003</v>
      </c>
      <c r="AE164" s="68">
        <v>959362.45590000041</v>
      </c>
      <c r="AF164" s="69">
        <v>3100000</v>
      </c>
      <c r="AG164" s="70">
        <v>3100000</v>
      </c>
      <c r="AH164" s="70">
        <f t="shared" si="43"/>
        <v>1042331.6028</v>
      </c>
      <c r="AI164" s="70">
        <f t="shared" si="44"/>
        <v>1076151.1639679999</v>
      </c>
      <c r="AJ164" s="70">
        <f t="shared" si="45"/>
        <v>1012618.627848</v>
      </c>
      <c r="AK164" s="70">
        <f t="shared" si="46"/>
        <v>963645.91183200036</v>
      </c>
      <c r="AL164" s="70">
        <f t="shared" si="47"/>
        <v>2441268.1869999999</v>
      </c>
      <c r="AM164" s="70">
        <f t="shared" si="48"/>
        <v>2657596.8130000001</v>
      </c>
      <c r="AN164" s="70">
        <f t="shared" si="49"/>
        <v>3005240</v>
      </c>
      <c r="AO164" s="70">
        <f t="shared" si="50"/>
        <v>3100000</v>
      </c>
    </row>
    <row r="165" spans="1:41">
      <c r="A165" s="29" t="s">
        <v>145</v>
      </c>
      <c r="B165" s="29" t="s">
        <v>759</v>
      </c>
      <c r="C165" s="107">
        <v>0</v>
      </c>
      <c r="D165" s="108">
        <v>1923615</v>
      </c>
      <c r="F165" s="107">
        <v>0</v>
      </c>
      <c r="G165" s="108">
        <v>2015500</v>
      </c>
      <c r="I165" s="64">
        <v>0</v>
      </c>
      <c r="J165" s="83">
        <v>0</v>
      </c>
      <c r="K165" s="66">
        <v>2015500</v>
      </c>
      <c r="L165" s="251">
        <v>2137865.6355999997</v>
      </c>
      <c r="M165" s="63">
        <v>0</v>
      </c>
      <c r="N165" s="64">
        <v>0</v>
      </c>
      <c r="O165" s="65">
        <v>2211944.7949000001</v>
      </c>
      <c r="P165" s="66">
        <v>2299596.1989000002</v>
      </c>
      <c r="Q165" s="66">
        <f t="shared" si="35"/>
        <v>0</v>
      </c>
      <c r="R165" s="63">
        <f t="shared" si="36"/>
        <v>0</v>
      </c>
      <c r="S165" s="83">
        <f t="shared" si="37"/>
        <v>0</v>
      </c>
      <c r="T165" s="64">
        <f t="shared" si="38"/>
        <v>0</v>
      </c>
      <c r="U165" s="66">
        <f t="shared" si="39"/>
        <v>1971964.8870000001</v>
      </c>
      <c r="V165" s="63">
        <f t="shared" si="40"/>
        <v>2079888.7974527199</v>
      </c>
      <c r="W165" s="83">
        <f t="shared" si="41"/>
        <v>2176846.0892236601</v>
      </c>
      <c r="X165" s="64">
        <f t="shared" si="42"/>
        <v>2258066.9636848001</v>
      </c>
      <c r="Z165" s="67">
        <v>0</v>
      </c>
      <c r="AA165" s="68">
        <v>0</v>
      </c>
      <c r="AB165" s="69">
        <v>2015500</v>
      </c>
      <c r="AC165" s="70">
        <v>2137865.6355999997</v>
      </c>
      <c r="AD165" s="67">
        <v>0</v>
      </c>
      <c r="AE165" s="68">
        <v>0</v>
      </c>
      <c r="AF165" s="69">
        <v>2211944.7949000001</v>
      </c>
      <c r="AG165" s="70">
        <v>2299596.1989000002</v>
      </c>
      <c r="AH165" s="70">
        <f t="shared" si="43"/>
        <v>0</v>
      </c>
      <c r="AI165" s="70">
        <f t="shared" si="44"/>
        <v>0</v>
      </c>
      <c r="AJ165" s="70">
        <f t="shared" si="45"/>
        <v>0</v>
      </c>
      <c r="AK165" s="70">
        <f t="shared" si="46"/>
        <v>0</v>
      </c>
      <c r="AL165" s="70">
        <f t="shared" si="47"/>
        <v>1971964.8870000001</v>
      </c>
      <c r="AM165" s="70">
        <f t="shared" si="48"/>
        <v>2079888.7974527199</v>
      </c>
      <c r="AN165" s="70">
        <f t="shared" si="49"/>
        <v>2176846.0892236601</v>
      </c>
      <c r="AO165" s="70">
        <f t="shared" si="50"/>
        <v>2258066.9636848001</v>
      </c>
    </row>
    <row r="166" spans="1:41">
      <c r="A166" s="29" t="s">
        <v>113</v>
      </c>
      <c r="B166" s="29" t="s">
        <v>760</v>
      </c>
      <c r="C166" s="107">
        <v>1512116.8</v>
      </c>
      <c r="D166" s="108">
        <v>1950000</v>
      </c>
      <c r="F166" s="107">
        <v>1565450.04</v>
      </c>
      <c r="G166" s="108">
        <v>2010000</v>
      </c>
      <c r="I166" s="64">
        <v>1514106.95</v>
      </c>
      <c r="J166" s="83">
        <v>1602590.6912766669</v>
      </c>
      <c r="K166" s="66">
        <v>2010000</v>
      </c>
      <c r="L166" s="251">
        <v>2010000</v>
      </c>
      <c r="M166" s="63">
        <v>1581293.3985419995</v>
      </c>
      <c r="N166" s="64">
        <v>1565784.9858560001</v>
      </c>
      <c r="O166" s="65">
        <v>2010000</v>
      </c>
      <c r="P166" s="66">
        <v>2010000</v>
      </c>
      <c r="Q166" s="66">
        <f t="shared" si="35"/>
        <v>1513549.7080000001</v>
      </c>
      <c r="R166" s="63">
        <f t="shared" si="36"/>
        <v>1577815.2437192001</v>
      </c>
      <c r="S166" s="83">
        <f t="shared" si="37"/>
        <v>1587256.6405077064</v>
      </c>
      <c r="T166" s="64">
        <f t="shared" si="38"/>
        <v>1570127.34140808</v>
      </c>
      <c r="U166" s="66">
        <f t="shared" si="39"/>
        <v>1981572</v>
      </c>
      <c r="V166" s="63">
        <f t="shared" si="40"/>
        <v>2010000</v>
      </c>
      <c r="W166" s="83">
        <f t="shared" si="41"/>
        <v>2010000</v>
      </c>
      <c r="X166" s="64">
        <f t="shared" si="42"/>
        <v>2010000</v>
      </c>
      <c r="Z166" s="67">
        <v>1565450.04</v>
      </c>
      <c r="AA166" s="68">
        <v>1630169.0145586662</v>
      </c>
      <c r="AB166" s="69">
        <v>2010000</v>
      </c>
      <c r="AC166" s="70">
        <v>2010000</v>
      </c>
      <c r="AD166" s="67">
        <v>1581293.3985419995</v>
      </c>
      <c r="AE166" s="68">
        <v>1565784.9858560001</v>
      </c>
      <c r="AF166" s="69">
        <v>2010000</v>
      </c>
      <c r="AG166" s="70">
        <v>2010000</v>
      </c>
      <c r="AH166" s="70">
        <f t="shared" si="43"/>
        <v>1550516.7327999999</v>
      </c>
      <c r="AI166" s="70">
        <f t="shared" si="44"/>
        <v>1612047.7016822395</v>
      </c>
      <c r="AJ166" s="70">
        <f t="shared" si="45"/>
        <v>1594978.5710266661</v>
      </c>
      <c r="AK166" s="70">
        <f t="shared" si="46"/>
        <v>1570127.34140808</v>
      </c>
      <c r="AL166" s="70">
        <f t="shared" si="47"/>
        <v>1981572</v>
      </c>
      <c r="AM166" s="70">
        <f t="shared" si="48"/>
        <v>2010000</v>
      </c>
      <c r="AN166" s="70">
        <f t="shared" si="49"/>
        <v>2010000</v>
      </c>
      <c r="AO166" s="70">
        <f t="shared" si="50"/>
        <v>2010000</v>
      </c>
    </row>
    <row r="167" spans="1:41">
      <c r="A167" s="29" t="s">
        <v>231</v>
      </c>
      <c r="B167" s="29" t="s">
        <v>761</v>
      </c>
      <c r="C167" s="107">
        <v>0</v>
      </c>
      <c r="D167" s="108">
        <v>12574688</v>
      </c>
      <c r="F167" s="107">
        <v>0</v>
      </c>
      <c r="G167" s="108">
        <v>13212139</v>
      </c>
      <c r="I167" s="64">
        <v>0</v>
      </c>
      <c r="J167" s="83">
        <v>0</v>
      </c>
      <c r="K167" s="66">
        <v>13212139</v>
      </c>
      <c r="L167" s="251">
        <v>13203423</v>
      </c>
      <c r="M167" s="63">
        <v>0</v>
      </c>
      <c r="N167" s="64">
        <v>0</v>
      </c>
      <c r="O167" s="65">
        <v>13203423</v>
      </c>
      <c r="P167" s="66">
        <v>13203423</v>
      </c>
      <c r="Q167" s="66">
        <f t="shared" si="35"/>
        <v>0</v>
      </c>
      <c r="R167" s="63">
        <f t="shared" si="36"/>
        <v>0</v>
      </c>
      <c r="S167" s="83">
        <f t="shared" si="37"/>
        <v>0</v>
      </c>
      <c r="T167" s="64">
        <f t="shared" si="38"/>
        <v>0</v>
      </c>
      <c r="U167" s="66">
        <f t="shared" si="39"/>
        <v>12910114.7162</v>
      </c>
      <c r="V167" s="63">
        <f t="shared" si="40"/>
        <v>13207552.640799999</v>
      </c>
      <c r="W167" s="83">
        <f t="shared" si="41"/>
        <v>13203423</v>
      </c>
      <c r="X167" s="64">
        <f t="shared" si="42"/>
        <v>13203423</v>
      </c>
      <c r="Z167" s="67">
        <v>0</v>
      </c>
      <c r="AA167" s="68">
        <v>0</v>
      </c>
      <c r="AB167" s="69">
        <v>13212139</v>
      </c>
      <c r="AC167" s="70">
        <v>13203423</v>
      </c>
      <c r="AD167" s="67">
        <v>0</v>
      </c>
      <c r="AE167" s="68">
        <v>0</v>
      </c>
      <c r="AF167" s="69">
        <v>13203423</v>
      </c>
      <c r="AG167" s="70">
        <v>13203423</v>
      </c>
      <c r="AH167" s="70">
        <f t="shared" si="43"/>
        <v>0</v>
      </c>
      <c r="AI167" s="70">
        <f t="shared" si="44"/>
        <v>0</v>
      </c>
      <c r="AJ167" s="70">
        <f t="shared" si="45"/>
        <v>0</v>
      </c>
      <c r="AK167" s="70">
        <f t="shared" si="46"/>
        <v>0</v>
      </c>
      <c r="AL167" s="70">
        <f t="shared" si="47"/>
        <v>12910114.7162</v>
      </c>
      <c r="AM167" s="70">
        <f t="shared" si="48"/>
        <v>13207552.640799999</v>
      </c>
      <c r="AN167" s="70">
        <f t="shared" si="49"/>
        <v>13203423</v>
      </c>
      <c r="AO167" s="70">
        <f t="shared" si="50"/>
        <v>13203423</v>
      </c>
    </row>
    <row r="168" spans="1:41">
      <c r="A168" s="29" t="s">
        <v>323</v>
      </c>
      <c r="B168" s="29" t="s">
        <v>762</v>
      </c>
      <c r="C168" s="107">
        <v>0</v>
      </c>
      <c r="D168" s="108">
        <v>0</v>
      </c>
      <c r="F168" s="107">
        <v>0</v>
      </c>
      <c r="G168" s="108">
        <v>3831125</v>
      </c>
      <c r="I168" s="64">
        <v>0</v>
      </c>
      <c r="J168" s="83">
        <v>0</v>
      </c>
      <c r="K168" s="66">
        <v>3831125</v>
      </c>
      <c r="L168" s="251">
        <v>3831125</v>
      </c>
      <c r="M168" s="63">
        <v>0</v>
      </c>
      <c r="N168" s="64">
        <v>0</v>
      </c>
      <c r="O168" s="65">
        <v>3831125</v>
      </c>
      <c r="P168" s="66">
        <v>3831125</v>
      </c>
      <c r="Q168" s="66">
        <f t="shared" si="35"/>
        <v>0</v>
      </c>
      <c r="R168" s="63">
        <f t="shared" si="36"/>
        <v>0</v>
      </c>
      <c r="S168" s="83">
        <f t="shared" si="37"/>
        <v>0</v>
      </c>
      <c r="T168" s="64">
        <f t="shared" si="38"/>
        <v>0</v>
      </c>
      <c r="U168" s="66">
        <f t="shared" si="39"/>
        <v>2015937.9750000001</v>
      </c>
      <c r="V168" s="63">
        <f t="shared" si="40"/>
        <v>3831125</v>
      </c>
      <c r="W168" s="83">
        <f t="shared" si="41"/>
        <v>3831125</v>
      </c>
      <c r="X168" s="64">
        <f t="shared" si="42"/>
        <v>3831125</v>
      </c>
      <c r="Z168" s="67">
        <v>0</v>
      </c>
      <c r="AA168" s="68">
        <v>0</v>
      </c>
      <c r="AB168" s="69">
        <v>3831125</v>
      </c>
      <c r="AC168" s="70">
        <v>3831125</v>
      </c>
      <c r="AD168" s="67">
        <v>0</v>
      </c>
      <c r="AE168" s="68">
        <v>0</v>
      </c>
      <c r="AF168" s="69">
        <v>3831125</v>
      </c>
      <c r="AG168" s="70">
        <v>3831125</v>
      </c>
      <c r="AH168" s="70">
        <f t="shared" si="43"/>
        <v>0</v>
      </c>
      <c r="AI168" s="70">
        <f t="shared" si="44"/>
        <v>0</v>
      </c>
      <c r="AJ168" s="70">
        <f t="shared" si="45"/>
        <v>0</v>
      </c>
      <c r="AK168" s="70">
        <f t="shared" si="46"/>
        <v>0</v>
      </c>
      <c r="AL168" s="70">
        <f t="shared" si="47"/>
        <v>2015937.9750000001</v>
      </c>
      <c r="AM168" s="70">
        <f t="shared" si="48"/>
        <v>3831125</v>
      </c>
      <c r="AN168" s="70">
        <f t="shared" si="49"/>
        <v>3831125</v>
      </c>
      <c r="AO168" s="70">
        <f t="shared" si="50"/>
        <v>3831125</v>
      </c>
    </row>
    <row r="169" spans="1:41">
      <c r="A169" s="29" t="s">
        <v>353</v>
      </c>
      <c r="B169" s="29" t="s">
        <v>884</v>
      </c>
      <c r="C169" s="107">
        <v>0</v>
      </c>
      <c r="D169" s="108">
        <v>0</v>
      </c>
      <c r="F169" s="107">
        <v>0</v>
      </c>
      <c r="G169" s="108">
        <v>0</v>
      </c>
      <c r="I169" s="64">
        <v>0</v>
      </c>
      <c r="J169" s="83">
        <v>0</v>
      </c>
      <c r="K169" s="66">
        <v>0</v>
      </c>
      <c r="L169" s="251">
        <v>0</v>
      </c>
      <c r="M169" s="63">
        <v>0</v>
      </c>
      <c r="N169" s="64">
        <v>0</v>
      </c>
      <c r="O169" s="65">
        <v>0</v>
      </c>
      <c r="P169" s="66">
        <v>0</v>
      </c>
      <c r="Q169" s="66">
        <f t="shared" si="35"/>
        <v>0</v>
      </c>
      <c r="R169" s="63">
        <f t="shared" si="36"/>
        <v>0</v>
      </c>
      <c r="S169" s="83">
        <f t="shared" si="37"/>
        <v>0</v>
      </c>
      <c r="T169" s="64">
        <f t="shared" si="38"/>
        <v>0</v>
      </c>
      <c r="U169" s="66">
        <f t="shared" si="39"/>
        <v>0</v>
      </c>
      <c r="V169" s="63">
        <f t="shared" si="40"/>
        <v>0</v>
      </c>
      <c r="W169" s="83">
        <f t="shared" si="41"/>
        <v>0</v>
      </c>
      <c r="X169" s="64">
        <f t="shared" si="42"/>
        <v>0</v>
      </c>
      <c r="Z169" s="67">
        <v>0</v>
      </c>
      <c r="AA169" s="68">
        <v>0</v>
      </c>
      <c r="AB169" s="69">
        <v>0</v>
      </c>
      <c r="AC169" s="70">
        <v>0</v>
      </c>
      <c r="AD169" s="67">
        <v>0</v>
      </c>
      <c r="AE169" s="68">
        <v>0</v>
      </c>
      <c r="AF169" s="69">
        <v>0</v>
      </c>
      <c r="AG169" s="70">
        <v>0</v>
      </c>
      <c r="AH169" s="70">
        <f t="shared" si="43"/>
        <v>0</v>
      </c>
      <c r="AI169" s="70">
        <f t="shared" si="44"/>
        <v>0</v>
      </c>
      <c r="AJ169" s="70">
        <f t="shared" si="45"/>
        <v>0</v>
      </c>
      <c r="AK169" s="70">
        <f t="shared" si="46"/>
        <v>0</v>
      </c>
      <c r="AL169" s="70">
        <f t="shared" si="47"/>
        <v>0</v>
      </c>
      <c r="AM169" s="70">
        <f t="shared" si="48"/>
        <v>0</v>
      </c>
      <c r="AN169" s="70">
        <f t="shared" si="49"/>
        <v>0</v>
      </c>
      <c r="AO169" s="70">
        <f t="shared" si="50"/>
        <v>0</v>
      </c>
    </row>
    <row r="170" spans="1:41">
      <c r="A170" s="29" t="s">
        <v>509</v>
      </c>
      <c r="B170" s="29" t="s">
        <v>763</v>
      </c>
      <c r="C170" s="107">
        <v>2020355.68</v>
      </c>
      <c r="D170" s="108">
        <v>43125000</v>
      </c>
      <c r="F170" s="107">
        <v>0</v>
      </c>
      <c r="G170" s="108">
        <v>42100696</v>
      </c>
      <c r="I170" s="64">
        <v>0</v>
      </c>
      <c r="J170" s="83">
        <v>0</v>
      </c>
      <c r="K170" s="66">
        <v>42100696</v>
      </c>
      <c r="L170" s="251">
        <v>41994323.878999993</v>
      </c>
      <c r="M170" s="63">
        <v>0</v>
      </c>
      <c r="N170" s="64">
        <v>0</v>
      </c>
      <c r="O170" s="65">
        <v>43449803.645199999</v>
      </c>
      <c r="P170" s="66">
        <v>45171294.013999999</v>
      </c>
      <c r="Q170" s="66">
        <f t="shared" si="35"/>
        <v>565699.59039999999</v>
      </c>
      <c r="R170" s="63">
        <f t="shared" si="36"/>
        <v>0</v>
      </c>
      <c r="S170" s="83">
        <f t="shared" si="37"/>
        <v>0</v>
      </c>
      <c r="T170" s="64">
        <f t="shared" si="38"/>
        <v>0</v>
      </c>
      <c r="U170" s="66">
        <f t="shared" si="39"/>
        <v>42586011.235200003</v>
      </c>
      <c r="V170" s="63">
        <f t="shared" si="40"/>
        <v>42044722.989929795</v>
      </c>
      <c r="W170" s="83">
        <f t="shared" si="41"/>
        <v>42760197.331974432</v>
      </c>
      <c r="X170" s="64">
        <f t="shared" si="42"/>
        <v>44355651.877262563</v>
      </c>
      <c r="Z170" s="67">
        <v>0</v>
      </c>
      <c r="AA170" s="68">
        <v>0</v>
      </c>
      <c r="AB170" s="69">
        <v>42100696</v>
      </c>
      <c r="AC170" s="70">
        <v>43900054.372199997</v>
      </c>
      <c r="AD170" s="67">
        <v>0</v>
      </c>
      <c r="AE170" s="68">
        <v>0</v>
      </c>
      <c r="AF170" s="69">
        <v>43449803.645199999</v>
      </c>
      <c r="AG170" s="70">
        <v>45171294.013999999</v>
      </c>
      <c r="AH170" s="70">
        <f t="shared" si="43"/>
        <v>565699.59039999999</v>
      </c>
      <c r="AI170" s="70">
        <f t="shared" si="44"/>
        <v>0</v>
      </c>
      <c r="AJ170" s="70">
        <f t="shared" si="45"/>
        <v>0</v>
      </c>
      <c r="AK170" s="70">
        <f t="shared" si="46"/>
        <v>0</v>
      </c>
      <c r="AL170" s="70">
        <f t="shared" si="47"/>
        <v>42586011.235200003</v>
      </c>
      <c r="AM170" s="70">
        <f t="shared" si="48"/>
        <v>43047518.375451639</v>
      </c>
      <c r="AN170" s="70">
        <f t="shared" si="49"/>
        <v>43663132.439652599</v>
      </c>
      <c r="AO170" s="70">
        <f t="shared" si="50"/>
        <v>44355651.877262563</v>
      </c>
    </row>
    <row r="171" spans="1:41">
      <c r="A171" s="29" t="s">
        <v>503</v>
      </c>
      <c r="B171" s="29" t="s">
        <v>764</v>
      </c>
      <c r="C171" s="107">
        <v>10778.12</v>
      </c>
      <c r="D171" s="108">
        <v>375000</v>
      </c>
      <c r="F171" s="107">
        <v>71797.87</v>
      </c>
      <c r="G171" s="108">
        <v>375000</v>
      </c>
      <c r="I171" s="64">
        <v>71797.87</v>
      </c>
      <c r="J171" s="83">
        <v>116506.46310000002</v>
      </c>
      <c r="K171" s="66">
        <v>375000</v>
      </c>
      <c r="L171" s="251">
        <v>375000</v>
      </c>
      <c r="M171" s="63">
        <v>122634.12719999993</v>
      </c>
      <c r="N171" s="64">
        <v>136744.9773</v>
      </c>
      <c r="O171" s="65">
        <v>375000</v>
      </c>
      <c r="P171" s="66">
        <v>375000</v>
      </c>
      <c r="Q171" s="66">
        <f t="shared" si="35"/>
        <v>54712.34</v>
      </c>
      <c r="R171" s="63">
        <f t="shared" si="36"/>
        <v>103988.05703200001</v>
      </c>
      <c r="S171" s="83">
        <f t="shared" si="37"/>
        <v>120918.38125199996</v>
      </c>
      <c r="T171" s="64">
        <f t="shared" si="38"/>
        <v>132793.93927199999</v>
      </c>
      <c r="U171" s="66">
        <f t="shared" si="39"/>
        <v>375000</v>
      </c>
      <c r="V171" s="63">
        <f t="shared" si="40"/>
        <v>375000</v>
      </c>
      <c r="W171" s="83">
        <f t="shared" si="41"/>
        <v>375000</v>
      </c>
      <c r="X171" s="64">
        <f t="shared" si="42"/>
        <v>375000</v>
      </c>
      <c r="Z171" s="67">
        <v>71797.87</v>
      </c>
      <c r="AA171" s="68">
        <v>116506.46310000002</v>
      </c>
      <c r="AB171" s="69">
        <v>375000</v>
      </c>
      <c r="AC171" s="70">
        <v>375000</v>
      </c>
      <c r="AD171" s="67">
        <v>122634.12719999993</v>
      </c>
      <c r="AE171" s="68">
        <v>136744.9773</v>
      </c>
      <c r="AF171" s="69">
        <v>375000</v>
      </c>
      <c r="AG171" s="70">
        <v>375000</v>
      </c>
      <c r="AH171" s="70">
        <f t="shared" si="43"/>
        <v>54712.34</v>
      </c>
      <c r="AI171" s="70">
        <f t="shared" si="44"/>
        <v>103988.05703200001</v>
      </c>
      <c r="AJ171" s="70">
        <f t="shared" si="45"/>
        <v>120918.38125199996</v>
      </c>
      <c r="AK171" s="70">
        <f t="shared" si="46"/>
        <v>132793.93927199999</v>
      </c>
      <c r="AL171" s="70">
        <f t="shared" si="47"/>
        <v>375000</v>
      </c>
      <c r="AM171" s="70">
        <f t="shared" si="48"/>
        <v>375000</v>
      </c>
      <c r="AN171" s="70">
        <f t="shared" si="49"/>
        <v>375000</v>
      </c>
      <c r="AO171" s="70">
        <f t="shared" si="50"/>
        <v>375000</v>
      </c>
    </row>
    <row r="172" spans="1:41">
      <c r="A172" s="29" t="s">
        <v>219</v>
      </c>
      <c r="B172" s="29" t="s">
        <v>765</v>
      </c>
      <c r="C172" s="107">
        <v>0</v>
      </c>
      <c r="D172" s="108">
        <v>59000000</v>
      </c>
      <c r="F172" s="107">
        <v>0</v>
      </c>
      <c r="G172" s="108">
        <v>60000000</v>
      </c>
      <c r="I172" s="64">
        <v>0</v>
      </c>
      <c r="J172" s="83">
        <v>0</v>
      </c>
      <c r="K172" s="66">
        <v>60000000</v>
      </c>
      <c r="L172" s="251">
        <v>60000000</v>
      </c>
      <c r="M172" s="63">
        <v>0</v>
      </c>
      <c r="N172" s="64">
        <v>0</v>
      </c>
      <c r="O172" s="65">
        <v>60000000</v>
      </c>
      <c r="P172" s="66">
        <v>60000000</v>
      </c>
      <c r="Q172" s="66">
        <f t="shared" si="35"/>
        <v>0</v>
      </c>
      <c r="R172" s="63">
        <f t="shared" si="36"/>
        <v>0</v>
      </c>
      <c r="S172" s="83">
        <f t="shared" si="37"/>
        <v>0</v>
      </c>
      <c r="T172" s="64">
        <f t="shared" si="38"/>
        <v>0</v>
      </c>
      <c r="U172" s="66">
        <f t="shared" si="39"/>
        <v>59526200</v>
      </c>
      <c r="V172" s="63">
        <f t="shared" si="40"/>
        <v>60000000</v>
      </c>
      <c r="W172" s="83">
        <f t="shared" si="41"/>
        <v>60000000</v>
      </c>
      <c r="X172" s="64">
        <f t="shared" si="42"/>
        <v>60000000</v>
      </c>
      <c r="Z172" s="67">
        <v>0</v>
      </c>
      <c r="AA172" s="68">
        <v>0</v>
      </c>
      <c r="AB172" s="69">
        <v>60000000</v>
      </c>
      <c r="AC172" s="70">
        <v>60000000</v>
      </c>
      <c r="AD172" s="67">
        <v>0</v>
      </c>
      <c r="AE172" s="68">
        <v>0</v>
      </c>
      <c r="AF172" s="69">
        <v>60000000</v>
      </c>
      <c r="AG172" s="70">
        <v>60000000</v>
      </c>
      <c r="AH172" s="70">
        <f t="shared" si="43"/>
        <v>0</v>
      </c>
      <c r="AI172" s="70">
        <f t="shared" si="44"/>
        <v>0</v>
      </c>
      <c r="AJ172" s="70">
        <f t="shared" si="45"/>
        <v>0</v>
      </c>
      <c r="AK172" s="70">
        <f t="shared" si="46"/>
        <v>0</v>
      </c>
      <c r="AL172" s="70">
        <f t="shared" si="47"/>
        <v>59526200</v>
      </c>
      <c r="AM172" s="70">
        <f t="shared" si="48"/>
        <v>60000000</v>
      </c>
      <c r="AN172" s="70">
        <f t="shared" si="49"/>
        <v>60000000</v>
      </c>
      <c r="AO172" s="70">
        <f t="shared" si="50"/>
        <v>60000000</v>
      </c>
    </row>
    <row r="173" spans="1:41">
      <c r="A173" s="29" t="s">
        <v>167</v>
      </c>
      <c r="B173" s="29" t="s">
        <v>766</v>
      </c>
      <c r="C173" s="107">
        <v>2348064.5099999998</v>
      </c>
      <c r="D173" s="108">
        <v>10950000</v>
      </c>
      <c r="F173" s="107">
        <v>2198614.71</v>
      </c>
      <c r="G173" s="108">
        <v>11400000</v>
      </c>
      <c r="I173" s="64">
        <v>1611425.64</v>
      </c>
      <c r="J173" s="83">
        <v>1754028.9705999992</v>
      </c>
      <c r="K173" s="66">
        <v>11400000</v>
      </c>
      <c r="L173" s="251">
        <v>11850000</v>
      </c>
      <c r="M173" s="63">
        <v>1853198.7506999979</v>
      </c>
      <c r="N173" s="64">
        <v>1411735.0581000017</v>
      </c>
      <c r="O173" s="65">
        <v>12350000</v>
      </c>
      <c r="P173" s="66">
        <v>12850000</v>
      </c>
      <c r="Q173" s="66">
        <f t="shared" si="35"/>
        <v>1817684.5235999997</v>
      </c>
      <c r="R173" s="63">
        <f t="shared" si="36"/>
        <v>1714100.0380319995</v>
      </c>
      <c r="S173" s="83">
        <f t="shared" si="37"/>
        <v>1825431.2122719982</v>
      </c>
      <c r="T173" s="64">
        <f t="shared" si="38"/>
        <v>1535344.8920280007</v>
      </c>
      <c r="U173" s="66">
        <f t="shared" si="39"/>
        <v>11186790</v>
      </c>
      <c r="V173" s="63">
        <f t="shared" si="40"/>
        <v>11636790</v>
      </c>
      <c r="W173" s="83">
        <f t="shared" si="41"/>
        <v>12113100</v>
      </c>
      <c r="X173" s="64">
        <f t="shared" si="42"/>
        <v>12613100</v>
      </c>
      <c r="Z173" s="67">
        <v>2198614.71</v>
      </c>
      <c r="AA173" s="68">
        <v>2270822.783199999</v>
      </c>
      <c r="AB173" s="69">
        <v>11400000</v>
      </c>
      <c r="AC173" s="70">
        <v>11850000</v>
      </c>
      <c r="AD173" s="67">
        <v>1853198.7506999979</v>
      </c>
      <c r="AE173" s="68">
        <v>1411735.0581000017</v>
      </c>
      <c r="AF173" s="69">
        <v>12350000</v>
      </c>
      <c r="AG173" s="70">
        <v>12850000</v>
      </c>
      <c r="AH173" s="70">
        <f t="shared" si="43"/>
        <v>2240460.6540000001</v>
      </c>
      <c r="AI173" s="70">
        <f t="shared" si="44"/>
        <v>2250604.5227039992</v>
      </c>
      <c r="AJ173" s="70">
        <f t="shared" si="45"/>
        <v>1970133.479799998</v>
      </c>
      <c r="AK173" s="70">
        <f t="shared" si="46"/>
        <v>1535344.8920280007</v>
      </c>
      <c r="AL173" s="70">
        <f t="shared" si="47"/>
        <v>11186790</v>
      </c>
      <c r="AM173" s="70">
        <f t="shared" si="48"/>
        <v>11636790</v>
      </c>
      <c r="AN173" s="70">
        <f t="shared" si="49"/>
        <v>12113100</v>
      </c>
      <c r="AO173" s="70">
        <f t="shared" si="50"/>
        <v>12613100</v>
      </c>
    </row>
    <row r="174" spans="1:41">
      <c r="A174" s="29" t="s">
        <v>579</v>
      </c>
      <c r="B174" s="29" t="s">
        <v>767</v>
      </c>
      <c r="C174" s="107">
        <v>0</v>
      </c>
      <c r="D174" s="108">
        <v>310598</v>
      </c>
      <c r="F174" s="107">
        <v>0</v>
      </c>
      <c r="G174" s="108">
        <v>387761</v>
      </c>
      <c r="I174" s="64">
        <v>0</v>
      </c>
      <c r="J174" s="83">
        <v>0</v>
      </c>
      <c r="K174" s="66">
        <v>387761</v>
      </c>
      <c r="L174" s="251">
        <v>423163.01999999996</v>
      </c>
      <c r="M174" s="63">
        <v>0</v>
      </c>
      <c r="N174" s="64">
        <v>9752.6195999999891</v>
      </c>
      <c r="O174" s="65">
        <v>437839.21669999999</v>
      </c>
      <c r="P174" s="66">
        <v>451875.42499999999</v>
      </c>
      <c r="Q174" s="66">
        <f t="shared" si="35"/>
        <v>0</v>
      </c>
      <c r="R174" s="63">
        <f t="shared" si="36"/>
        <v>0</v>
      </c>
      <c r="S174" s="83">
        <f t="shared" si="37"/>
        <v>0</v>
      </c>
      <c r="T174" s="64">
        <f t="shared" si="38"/>
        <v>7021.886111999992</v>
      </c>
      <c r="U174" s="66">
        <f t="shared" si="39"/>
        <v>351201.17060000001</v>
      </c>
      <c r="V174" s="63">
        <f t="shared" si="40"/>
        <v>406389.54292399995</v>
      </c>
      <c r="W174" s="83">
        <f t="shared" si="41"/>
        <v>430885.63470354001</v>
      </c>
      <c r="X174" s="64">
        <f t="shared" si="42"/>
        <v>445225.06950745999</v>
      </c>
      <c r="Z174" s="67">
        <v>0</v>
      </c>
      <c r="AA174" s="68">
        <v>0</v>
      </c>
      <c r="AB174" s="69">
        <v>387761</v>
      </c>
      <c r="AC174" s="70">
        <v>423163.01999999996</v>
      </c>
      <c r="AD174" s="67">
        <v>0</v>
      </c>
      <c r="AE174" s="68">
        <v>9752.6195999999891</v>
      </c>
      <c r="AF174" s="69">
        <v>437839.21669999999</v>
      </c>
      <c r="AG174" s="70">
        <v>451875.42499999999</v>
      </c>
      <c r="AH174" s="70">
        <f t="shared" si="43"/>
        <v>0</v>
      </c>
      <c r="AI174" s="70">
        <f t="shared" si="44"/>
        <v>0</v>
      </c>
      <c r="AJ174" s="70">
        <f t="shared" si="45"/>
        <v>0</v>
      </c>
      <c r="AK174" s="70">
        <f t="shared" si="46"/>
        <v>7021.886111999992</v>
      </c>
      <c r="AL174" s="70">
        <f t="shared" si="47"/>
        <v>351201.17060000001</v>
      </c>
      <c r="AM174" s="70">
        <f t="shared" si="48"/>
        <v>406389.54292399995</v>
      </c>
      <c r="AN174" s="70">
        <f t="shared" si="49"/>
        <v>430885.63470354001</v>
      </c>
      <c r="AO174" s="70">
        <f t="shared" si="50"/>
        <v>445225.06950745999</v>
      </c>
    </row>
    <row r="175" spans="1:41">
      <c r="A175" s="29" t="s">
        <v>165</v>
      </c>
      <c r="B175" s="29" t="s">
        <v>768</v>
      </c>
      <c r="C175" s="107">
        <v>123212.58</v>
      </c>
      <c r="D175" s="108">
        <v>400000</v>
      </c>
      <c r="F175" s="107">
        <v>119778.9</v>
      </c>
      <c r="G175" s="108">
        <v>400000</v>
      </c>
      <c r="I175" s="64">
        <v>119778.9</v>
      </c>
      <c r="J175" s="83">
        <v>116238.14049999996</v>
      </c>
      <c r="K175" s="66">
        <v>400000</v>
      </c>
      <c r="L175" s="251">
        <v>410000</v>
      </c>
      <c r="M175" s="63">
        <v>98999.751993999947</v>
      </c>
      <c r="N175" s="64">
        <v>75080.451820000046</v>
      </c>
      <c r="O175" s="65">
        <v>410000</v>
      </c>
      <c r="P175" s="66">
        <v>410000</v>
      </c>
      <c r="Q175" s="66">
        <f t="shared" si="35"/>
        <v>120740.33039999999</v>
      </c>
      <c r="R175" s="63">
        <f t="shared" si="36"/>
        <v>117229.55315999998</v>
      </c>
      <c r="S175" s="83">
        <f t="shared" si="37"/>
        <v>103826.50077567995</v>
      </c>
      <c r="T175" s="64">
        <f t="shared" si="38"/>
        <v>81777.855868720013</v>
      </c>
      <c r="U175" s="66">
        <f t="shared" si="39"/>
        <v>400000</v>
      </c>
      <c r="V175" s="63">
        <f t="shared" si="40"/>
        <v>405262</v>
      </c>
      <c r="W175" s="83">
        <f t="shared" si="41"/>
        <v>410000</v>
      </c>
      <c r="X175" s="64">
        <f t="shared" si="42"/>
        <v>410000</v>
      </c>
      <c r="Z175" s="67">
        <v>119778.9</v>
      </c>
      <c r="AA175" s="68">
        <v>116238.14049999996</v>
      </c>
      <c r="AB175" s="69">
        <v>400000</v>
      </c>
      <c r="AC175" s="70">
        <v>410000</v>
      </c>
      <c r="AD175" s="67">
        <v>98999.751993999947</v>
      </c>
      <c r="AE175" s="68">
        <v>75080.451820000046</v>
      </c>
      <c r="AF175" s="69">
        <v>410000</v>
      </c>
      <c r="AG175" s="70">
        <v>410000</v>
      </c>
      <c r="AH175" s="70">
        <f t="shared" si="43"/>
        <v>120740.33039999999</v>
      </c>
      <c r="AI175" s="70">
        <f t="shared" si="44"/>
        <v>117229.55315999998</v>
      </c>
      <c r="AJ175" s="70">
        <f t="shared" si="45"/>
        <v>103826.50077567995</v>
      </c>
      <c r="AK175" s="70">
        <f t="shared" si="46"/>
        <v>81777.855868720013</v>
      </c>
      <c r="AL175" s="70">
        <f t="shared" si="47"/>
        <v>400000</v>
      </c>
      <c r="AM175" s="70">
        <f t="shared" si="48"/>
        <v>405262</v>
      </c>
      <c r="AN175" s="70">
        <f t="shared" si="49"/>
        <v>410000</v>
      </c>
      <c r="AO175" s="70">
        <f t="shared" si="50"/>
        <v>410000</v>
      </c>
    </row>
    <row r="176" spans="1:41">
      <c r="A176" s="29" t="s">
        <v>343</v>
      </c>
      <c r="B176" s="29" t="s">
        <v>769</v>
      </c>
      <c r="C176" s="107">
        <v>0</v>
      </c>
      <c r="D176" s="108">
        <v>2756000</v>
      </c>
      <c r="F176" s="107">
        <v>0</v>
      </c>
      <c r="G176" s="108">
        <v>2778958</v>
      </c>
      <c r="I176" s="64">
        <v>0</v>
      </c>
      <c r="J176" s="83">
        <v>0</v>
      </c>
      <c r="K176" s="66">
        <v>2778958</v>
      </c>
      <c r="L176" s="251">
        <v>2911591.8703999999</v>
      </c>
      <c r="M176" s="63">
        <v>0</v>
      </c>
      <c r="N176" s="64">
        <v>0</v>
      </c>
      <c r="O176" s="65">
        <v>3012499.5767000001</v>
      </c>
      <c r="P176" s="66">
        <v>3020160</v>
      </c>
      <c r="Q176" s="66">
        <f t="shared" si="35"/>
        <v>0</v>
      </c>
      <c r="R176" s="63">
        <f t="shared" si="36"/>
        <v>0</v>
      </c>
      <c r="S176" s="83">
        <f t="shared" si="37"/>
        <v>0</v>
      </c>
      <c r="T176" s="64">
        <f t="shared" si="38"/>
        <v>0</v>
      </c>
      <c r="U176" s="66">
        <f t="shared" si="39"/>
        <v>2768080.4995999997</v>
      </c>
      <c r="V176" s="63">
        <f t="shared" si="40"/>
        <v>2848749.9426044803</v>
      </c>
      <c r="W176" s="83">
        <f t="shared" si="41"/>
        <v>2964689.5054550599</v>
      </c>
      <c r="X176" s="64">
        <f t="shared" si="42"/>
        <v>3016530.4914404601</v>
      </c>
      <c r="Z176" s="67">
        <v>0</v>
      </c>
      <c r="AA176" s="68">
        <v>0</v>
      </c>
      <c r="AB176" s="69">
        <v>2778958</v>
      </c>
      <c r="AC176" s="70">
        <v>2932497</v>
      </c>
      <c r="AD176" s="67">
        <v>0</v>
      </c>
      <c r="AE176" s="68">
        <v>0</v>
      </c>
      <c r="AF176" s="69">
        <v>3012499.5767000001</v>
      </c>
      <c r="AG176" s="70">
        <v>3020160</v>
      </c>
      <c r="AH176" s="70">
        <f t="shared" si="43"/>
        <v>0</v>
      </c>
      <c r="AI176" s="70">
        <f t="shared" si="44"/>
        <v>0</v>
      </c>
      <c r="AJ176" s="70">
        <f t="shared" si="45"/>
        <v>0</v>
      </c>
      <c r="AK176" s="70">
        <f t="shared" si="46"/>
        <v>0</v>
      </c>
      <c r="AL176" s="70">
        <f t="shared" si="47"/>
        <v>2768080.4995999997</v>
      </c>
      <c r="AM176" s="70">
        <f t="shared" si="48"/>
        <v>2859750.2218000004</v>
      </c>
      <c r="AN176" s="70">
        <f t="shared" si="49"/>
        <v>2974594.3558595399</v>
      </c>
      <c r="AO176" s="70">
        <f t="shared" si="50"/>
        <v>3016530.4914404601</v>
      </c>
    </row>
    <row r="177" spans="1:41">
      <c r="A177" s="29" t="s">
        <v>163</v>
      </c>
      <c r="B177" s="29" t="s">
        <v>770</v>
      </c>
      <c r="C177" s="107">
        <v>0</v>
      </c>
      <c r="D177" s="108">
        <v>1594640</v>
      </c>
      <c r="F177" s="107">
        <v>0</v>
      </c>
      <c r="G177" s="108">
        <v>1643895</v>
      </c>
      <c r="I177" s="64">
        <v>0</v>
      </c>
      <c r="J177" s="83">
        <v>0</v>
      </c>
      <c r="K177" s="66">
        <v>1643895</v>
      </c>
      <c r="L177" s="251">
        <v>1692600</v>
      </c>
      <c r="M177" s="63">
        <v>0</v>
      </c>
      <c r="N177" s="64">
        <v>0</v>
      </c>
      <c r="O177" s="65">
        <v>1692600</v>
      </c>
      <c r="P177" s="66">
        <v>1692600</v>
      </c>
      <c r="Q177" s="66">
        <f t="shared" si="35"/>
        <v>0</v>
      </c>
      <c r="R177" s="63">
        <f t="shared" si="36"/>
        <v>0</v>
      </c>
      <c r="S177" s="83">
        <f t="shared" si="37"/>
        <v>0</v>
      </c>
      <c r="T177" s="64">
        <f t="shared" si="38"/>
        <v>0</v>
      </c>
      <c r="U177" s="66">
        <f t="shared" si="39"/>
        <v>1620557.9810000001</v>
      </c>
      <c r="V177" s="63">
        <f t="shared" si="40"/>
        <v>1669523.571</v>
      </c>
      <c r="W177" s="83">
        <f t="shared" si="41"/>
        <v>1692600</v>
      </c>
      <c r="X177" s="64">
        <f t="shared" si="42"/>
        <v>1692600</v>
      </c>
      <c r="Z177" s="67">
        <v>0</v>
      </c>
      <c r="AA177" s="68">
        <v>0</v>
      </c>
      <c r="AB177" s="69">
        <v>1643895</v>
      </c>
      <c r="AC177" s="70">
        <v>1692600</v>
      </c>
      <c r="AD177" s="67">
        <v>0</v>
      </c>
      <c r="AE177" s="68">
        <v>0</v>
      </c>
      <c r="AF177" s="69">
        <v>1692600</v>
      </c>
      <c r="AG177" s="70">
        <v>1692600</v>
      </c>
      <c r="AH177" s="70">
        <f t="shared" si="43"/>
        <v>0</v>
      </c>
      <c r="AI177" s="70">
        <f t="shared" si="44"/>
        <v>0</v>
      </c>
      <c r="AJ177" s="70">
        <f t="shared" si="45"/>
        <v>0</v>
      </c>
      <c r="AK177" s="70">
        <f t="shared" si="46"/>
        <v>0</v>
      </c>
      <c r="AL177" s="70">
        <f t="shared" si="47"/>
        <v>1620557.9810000001</v>
      </c>
      <c r="AM177" s="70">
        <f t="shared" si="48"/>
        <v>1669523.571</v>
      </c>
      <c r="AN177" s="70">
        <f t="shared" si="49"/>
        <v>1692600</v>
      </c>
      <c r="AO177" s="70">
        <f t="shared" si="50"/>
        <v>1692600</v>
      </c>
    </row>
    <row r="178" spans="1:41">
      <c r="A178" s="29" t="s">
        <v>305</v>
      </c>
      <c r="B178" s="29" t="s">
        <v>887</v>
      </c>
      <c r="C178" s="107">
        <v>0</v>
      </c>
      <c r="D178" s="108">
        <v>592036</v>
      </c>
      <c r="F178" s="107">
        <v>0</v>
      </c>
      <c r="G178" s="108">
        <v>550000</v>
      </c>
      <c r="I178" s="64">
        <v>0</v>
      </c>
      <c r="J178" s="83">
        <v>0</v>
      </c>
      <c r="K178" s="66">
        <v>550000</v>
      </c>
      <c r="L178" s="251">
        <v>550000</v>
      </c>
      <c r="M178" s="63">
        <v>0</v>
      </c>
      <c r="N178" s="64">
        <v>0</v>
      </c>
      <c r="O178" s="65">
        <v>550000</v>
      </c>
      <c r="P178" s="66">
        <v>550000</v>
      </c>
      <c r="Q178" s="66">
        <f t="shared" si="35"/>
        <v>0</v>
      </c>
      <c r="R178" s="63">
        <f t="shared" si="36"/>
        <v>0</v>
      </c>
      <c r="S178" s="83">
        <f t="shared" si="37"/>
        <v>0</v>
      </c>
      <c r="T178" s="64">
        <f t="shared" si="38"/>
        <v>0</v>
      </c>
      <c r="U178" s="66">
        <f t="shared" si="39"/>
        <v>569916.6568</v>
      </c>
      <c r="V178" s="63">
        <f t="shared" si="40"/>
        <v>550000</v>
      </c>
      <c r="W178" s="83">
        <f t="shared" si="41"/>
        <v>550000</v>
      </c>
      <c r="X178" s="64">
        <f t="shared" si="42"/>
        <v>550000</v>
      </c>
      <c r="Z178" s="67">
        <v>0</v>
      </c>
      <c r="AA178" s="68">
        <v>0</v>
      </c>
      <c r="AB178" s="69">
        <v>550000</v>
      </c>
      <c r="AC178" s="70">
        <v>550000</v>
      </c>
      <c r="AD178" s="67">
        <v>0</v>
      </c>
      <c r="AE178" s="68">
        <v>0</v>
      </c>
      <c r="AF178" s="69">
        <v>550000</v>
      </c>
      <c r="AG178" s="70">
        <v>550000</v>
      </c>
      <c r="AH178" s="70">
        <f t="shared" si="43"/>
        <v>0</v>
      </c>
      <c r="AI178" s="70">
        <f t="shared" si="44"/>
        <v>0</v>
      </c>
      <c r="AJ178" s="70">
        <f t="shared" si="45"/>
        <v>0</v>
      </c>
      <c r="AK178" s="70">
        <f t="shared" si="46"/>
        <v>0</v>
      </c>
      <c r="AL178" s="70">
        <f t="shared" si="47"/>
        <v>569916.6568</v>
      </c>
      <c r="AM178" s="70">
        <f t="shared" si="48"/>
        <v>550000</v>
      </c>
      <c r="AN178" s="70">
        <f t="shared" si="49"/>
        <v>550000</v>
      </c>
      <c r="AO178" s="70">
        <f t="shared" si="50"/>
        <v>550000</v>
      </c>
    </row>
    <row r="179" spans="1:41">
      <c r="A179" s="29" t="s">
        <v>331</v>
      </c>
      <c r="B179" s="29" t="s">
        <v>771</v>
      </c>
      <c r="C179" s="107">
        <v>1301027.01</v>
      </c>
      <c r="D179" s="108">
        <v>642766</v>
      </c>
      <c r="F179" s="107">
        <v>1355159.69</v>
      </c>
      <c r="G179" s="108">
        <v>674904</v>
      </c>
      <c r="I179" s="64">
        <v>1254605.04</v>
      </c>
      <c r="J179" s="83">
        <v>1324249.6195999999</v>
      </c>
      <c r="K179" s="66">
        <v>674904</v>
      </c>
      <c r="L179" s="251">
        <v>708649</v>
      </c>
      <c r="M179" s="63">
        <v>1370238.7898999995</v>
      </c>
      <c r="N179" s="64">
        <v>1425262.5849000001</v>
      </c>
      <c r="O179" s="65">
        <v>708649</v>
      </c>
      <c r="P179" s="66">
        <v>708649</v>
      </c>
      <c r="Q179" s="66">
        <f t="shared" si="35"/>
        <v>1267603.1916</v>
      </c>
      <c r="R179" s="63">
        <f t="shared" si="36"/>
        <v>1304749.1373119999</v>
      </c>
      <c r="S179" s="83">
        <f t="shared" si="37"/>
        <v>1357361.8222159995</v>
      </c>
      <c r="T179" s="64">
        <f t="shared" si="38"/>
        <v>1409855.9223</v>
      </c>
      <c r="U179" s="66">
        <f t="shared" si="39"/>
        <v>659677.01560000004</v>
      </c>
      <c r="V179" s="63">
        <f t="shared" si="40"/>
        <v>692660.61899999995</v>
      </c>
      <c r="W179" s="83">
        <f t="shared" si="41"/>
        <v>708649</v>
      </c>
      <c r="X179" s="64">
        <f t="shared" si="42"/>
        <v>708649</v>
      </c>
      <c r="Z179" s="67">
        <v>1355159.69</v>
      </c>
      <c r="AA179" s="68">
        <v>1410222.0556000001</v>
      </c>
      <c r="AB179" s="69">
        <v>674904</v>
      </c>
      <c r="AC179" s="70">
        <v>708649</v>
      </c>
      <c r="AD179" s="67">
        <v>1370238.7898999995</v>
      </c>
      <c r="AE179" s="68">
        <v>1425262.5849000001</v>
      </c>
      <c r="AF179" s="69">
        <v>708649</v>
      </c>
      <c r="AG179" s="70">
        <v>708649</v>
      </c>
      <c r="AH179" s="70">
        <f t="shared" si="43"/>
        <v>1340002.5396</v>
      </c>
      <c r="AI179" s="70">
        <f t="shared" si="44"/>
        <v>1394804.593232</v>
      </c>
      <c r="AJ179" s="70">
        <f t="shared" si="45"/>
        <v>1381434.1042959997</v>
      </c>
      <c r="AK179" s="70">
        <f t="shared" si="46"/>
        <v>1409855.9223</v>
      </c>
      <c r="AL179" s="70">
        <f t="shared" si="47"/>
        <v>659677.01560000004</v>
      </c>
      <c r="AM179" s="70">
        <f t="shared" si="48"/>
        <v>692660.61899999995</v>
      </c>
      <c r="AN179" s="70">
        <f t="shared" si="49"/>
        <v>708649</v>
      </c>
      <c r="AO179" s="70">
        <f t="shared" si="50"/>
        <v>708649</v>
      </c>
    </row>
    <row r="180" spans="1:41">
      <c r="A180" s="29" t="s">
        <v>513</v>
      </c>
      <c r="B180" s="29" t="s">
        <v>772</v>
      </c>
      <c r="C180" s="107">
        <v>0</v>
      </c>
      <c r="D180" s="108">
        <v>30900000</v>
      </c>
      <c r="F180" s="107">
        <v>0</v>
      </c>
      <c r="G180" s="108">
        <v>27098729</v>
      </c>
      <c r="I180" s="64">
        <v>0</v>
      </c>
      <c r="J180" s="83">
        <v>0</v>
      </c>
      <c r="K180" s="66">
        <v>27098729</v>
      </c>
      <c r="L180" s="251">
        <v>26589549.114799999</v>
      </c>
      <c r="M180" s="63">
        <v>0</v>
      </c>
      <c r="N180" s="64">
        <v>0</v>
      </c>
      <c r="O180" s="65">
        <v>27520914.915900003</v>
      </c>
      <c r="P180" s="66">
        <v>28624215.951099999</v>
      </c>
      <c r="Q180" s="66">
        <f t="shared" si="35"/>
        <v>0</v>
      </c>
      <c r="R180" s="63">
        <f t="shared" si="36"/>
        <v>0</v>
      </c>
      <c r="S180" s="83">
        <f t="shared" si="37"/>
        <v>0</v>
      </c>
      <c r="T180" s="64">
        <f t="shared" si="38"/>
        <v>0</v>
      </c>
      <c r="U180" s="66">
        <f t="shared" si="39"/>
        <v>28899771.1998</v>
      </c>
      <c r="V180" s="63">
        <f t="shared" si="40"/>
        <v>26830798.544407759</v>
      </c>
      <c r="W180" s="83">
        <f t="shared" si="41"/>
        <v>27079633.799338821</v>
      </c>
      <c r="X180" s="64">
        <f t="shared" si="42"/>
        <v>28101471.920622244</v>
      </c>
      <c r="Z180" s="67">
        <v>0</v>
      </c>
      <c r="AA180" s="68">
        <v>0</v>
      </c>
      <c r="AB180" s="69">
        <v>27098729</v>
      </c>
      <c r="AC180" s="70">
        <v>28989689.463000003</v>
      </c>
      <c r="AD180" s="67">
        <v>0</v>
      </c>
      <c r="AE180" s="68">
        <v>0</v>
      </c>
      <c r="AF180" s="69">
        <v>27520914.915900003</v>
      </c>
      <c r="AG180" s="70">
        <v>28624215.951099999</v>
      </c>
      <c r="AH180" s="70">
        <f t="shared" si="43"/>
        <v>0</v>
      </c>
      <c r="AI180" s="70">
        <f t="shared" si="44"/>
        <v>0</v>
      </c>
      <c r="AJ180" s="70">
        <f t="shared" si="45"/>
        <v>0</v>
      </c>
      <c r="AK180" s="70">
        <f t="shared" si="46"/>
        <v>0</v>
      </c>
      <c r="AL180" s="70">
        <f t="shared" si="47"/>
        <v>28899771.1998</v>
      </c>
      <c r="AM180" s="70">
        <f t="shared" si="48"/>
        <v>28093752.395630602</v>
      </c>
      <c r="AN180" s="70">
        <f t="shared" si="49"/>
        <v>28216820.296315983</v>
      </c>
      <c r="AO180" s="70">
        <f t="shared" si="50"/>
        <v>28101471.920622244</v>
      </c>
    </row>
    <row r="181" spans="1:41">
      <c r="A181" s="29" t="s">
        <v>329</v>
      </c>
      <c r="B181" s="29" t="s">
        <v>773</v>
      </c>
      <c r="C181" s="107">
        <v>7635725.1100000003</v>
      </c>
      <c r="D181" s="108">
        <v>1175719</v>
      </c>
      <c r="F181" s="107">
        <v>11831365.82</v>
      </c>
      <c r="G181" s="108">
        <v>1187476</v>
      </c>
      <c r="I181" s="64">
        <v>11831365.82</v>
      </c>
      <c r="J181" s="83">
        <v>12794658.590399999</v>
      </c>
      <c r="K181" s="66">
        <v>1187476</v>
      </c>
      <c r="L181" s="251">
        <v>1199351</v>
      </c>
      <c r="M181" s="63">
        <v>13242326.712599998</v>
      </c>
      <c r="N181" s="64">
        <v>13821528.983099997</v>
      </c>
      <c r="O181" s="65">
        <v>1211344</v>
      </c>
      <c r="P181" s="66">
        <v>1211344</v>
      </c>
      <c r="Q181" s="66">
        <f t="shared" si="35"/>
        <v>10656586.4212</v>
      </c>
      <c r="R181" s="63">
        <f t="shared" si="36"/>
        <v>12524936.614688</v>
      </c>
      <c r="S181" s="83">
        <f t="shared" si="37"/>
        <v>13116979.638383998</v>
      </c>
      <c r="T181" s="64">
        <f t="shared" si="38"/>
        <v>13659352.347359998</v>
      </c>
      <c r="U181" s="66">
        <f t="shared" si="39"/>
        <v>1181905.5334000001</v>
      </c>
      <c r="V181" s="63">
        <f t="shared" si="40"/>
        <v>1193724.625</v>
      </c>
      <c r="W181" s="83">
        <f t="shared" si="41"/>
        <v>1205661.7165999999</v>
      </c>
      <c r="X181" s="64">
        <f t="shared" si="42"/>
        <v>1211344</v>
      </c>
      <c r="Z181" s="67">
        <v>11831365.82</v>
      </c>
      <c r="AA181" s="68">
        <v>12794658.590399999</v>
      </c>
      <c r="AB181" s="69">
        <v>1187476</v>
      </c>
      <c r="AC181" s="70">
        <v>1199351</v>
      </c>
      <c r="AD181" s="67">
        <v>13242326.712599998</v>
      </c>
      <c r="AE181" s="68">
        <v>13821528.983099997</v>
      </c>
      <c r="AF181" s="69">
        <v>1211344</v>
      </c>
      <c r="AG181" s="70">
        <v>1211344</v>
      </c>
      <c r="AH181" s="70">
        <f t="shared" si="43"/>
        <v>10656586.4212</v>
      </c>
      <c r="AI181" s="70">
        <f t="shared" si="44"/>
        <v>12524936.614688</v>
      </c>
      <c r="AJ181" s="70">
        <f t="shared" si="45"/>
        <v>13116979.638383998</v>
      </c>
      <c r="AK181" s="70">
        <f t="shared" si="46"/>
        <v>13659352.347359998</v>
      </c>
      <c r="AL181" s="70">
        <f t="shared" si="47"/>
        <v>1181905.5334000001</v>
      </c>
      <c r="AM181" s="70">
        <f t="shared" si="48"/>
        <v>1193724.625</v>
      </c>
      <c r="AN181" s="70">
        <f t="shared" si="49"/>
        <v>1205661.7165999999</v>
      </c>
      <c r="AO181" s="70">
        <f t="shared" si="50"/>
        <v>1211344</v>
      </c>
    </row>
    <row r="182" spans="1:41">
      <c r="A182" s="29" t="s">
        <v>287</v>
      </c>
      <c r="B182" s="29" t="s">
        <v>774</v>
      </c>
      <c r="C182" s="107">
        <v>261258.13</v>
      </c>
      <c r="D182" s="108">
        <v>916740</v>
      </c>
      <c r="F182" s="107">
        <v>0</v>
      </c>
      <c r="G182" s="108">
        <v>975186</v>
      </c>
      <c r="I182" s="64">
        <v>0</v>
      </c>
      <c r="J182" s="83">
        <v>156518.49983333336</v>
      </c>
      <c r="K182" s="66">
        <v>975186</v>
      </c>
      <c r="L182" s="251">
        <v>971743</v>
      </c>
      <c r="M182" s="63">
        <v>110108.29500199998</v>
      </c>
      <c r="N182" s="64">
        <v>43058.035199999955</v>
      </c>
      <c r="O182" s="65">
        <v>971743</v>
      </c>
      <c r="P182" s="66">
        <v>971743</v>
      </c>
      <c r="Q182" s="66">
        <f t="shared" si="35"/>
        <v>73152.276400000002</v>
      </c>
      <c r="R182" s="63">
        <f t="shared" si="36"/>
        <v>112693.31988000002</v>
      </c>
      <c r="S182" s="83">
        <f t="shared" si="37"/>
        <v>123103.15235477334</v>
      </c>
      <c r="T182" s="64">
        <f t="shared" si="38"/>
        <v>61832.107944559961</v>
      </c>
      <c r="U182" s="66">
        <f t="shared" si="39"/>
        <v>947494.28520000004</v>
      </c>
      <c r="V182" s="63">
        <f t="shared" si="40"/>
        <v>973374.29340000008</v>
      </c>
      <c r="W182" s="83">
        <f t="shared" si="41"/>
        <v>971743</v>
      </c>
      <c r="X182" s="64">
        <f t="shared" si="42"/>
        <v>971743</v>
      </c>
      <c r="Z182" s="67">
        <v>0</v>
      </c>
      <c r="AA182" s="68">
        <v>156518.49983333336</v>
      </c>
      <c r="AB182" s="69">
        <v>975186</v>
      </c>
      <c r="AC182" s="70">
        <v>971743</v>
      </c>
      <c r="AD182" s="67">
        <v>110108.29500199998</v>
      </c>
      <c r="AE182" s="68">
        <v>43058.035199999955</v>
      </c>
      <c r="AF182" s="69">
        <v>971743</v>
      </c>
      <c r="AG182" s="70">
        <v>971743</v>
      </c>
      <c r="AH182" s="70">
        <f t="shared" si="43"/>
        <v>73152.276400000002</v>
      </c>
      <c r="AI182" s="70">
        <f t="shared" si="44"/>
        <v>112693.31988000002</v>
      </c>
      <c r="AJ182" s="70">
        <f t="shared" si="45"/>
        <v>123103.15235477334</v>
      </c>
      <c r="AK182" s="70">
        <f t="shared" si="46"/>
        <v>61832.107944559961</v>
      </c>
      <c r="AL182" s="70">
        <f t="shared" si="47"/>
        <v>947494.28520000004</v>
      </c>
      <c r="AM182" s="70">
        <f t="shared" si="48"/>
        <v>973374.29340000008</v>
      </c>
      <c r="AN182" s="70">
        <f t="shared" si="49"/>
        <v>971743</v>
      </c>
      <c r="AO182" s="70">
        <f t="shared" si="50"/>
        <v>971743</v>
      </c>
    </row>
    <row r="183" spans="1:41">
      <c r="A183" s="29" t="s">
        <v>483</v>
      </c>
      <c r="B183" s="29" t="s">
        <v>775</v>
      </c>
      <c r="C183" s="107">
        <v>40779.519999999997</v>
      </c>
      <c r="D183" s="108">
        <v>74255</v>
      </c>
      <c r="F183" s="107">
        <v>45114.79</v>
      </c>
      <c r="G183" s="108">
        <v>76060</v>
      </c>
      <c r="I183" s="64">
        <v>45114.79</v>
      </c>
      <c r="J183" s="83">
        <v>81290.143700000001</v>
      </c>
      <c r="K183" s="66">
        <v>76060</v>
      </c>
      <c r="L183" s="251">
        <v>77909</v>
      </c>
      <c r="M183" s="63">
        <v>82377.922200000001</v>
      </c>
      <c r="N183" s="64">
        <v>84107.855700000015</v>
      </c>
      <c r="O183" s="65">
        <v>79802</v>
      </c>
      <c r="P183" s="66">
        <v>79802</v>
      </c>
      <c r="Q183" s="66">
        <f t="shared" si="35"/>
        <v>43900.914400000001</v>
      </c>
      <c r="R183" s="63">
        <f t="shared" si="36"/>
        <v>71161.044664000001</v>
      </c>
      <c r="S183" s="83">
        <f t="shared" si="37"/>
        <v>82073.344219999999</v>
      </c>
      <c r="T183" s="64">
        <f t="shared" si="38"/>
        <v>83623.474320000008</v>
      </c>
      <c r="U183" s="66">
        <f t="shared" si="39"/>
        <v>75204.790999999997</v>
      </c>
      <c r="V183" s="63">
        <f t="shared" si="40"/>
        <v>77032.943800000008</v>
      </c>
      <c r="W183" s="83">
        <f t="shared" si="41"/>
        <v>78905.096600000004</v>
      </c>
      <c r="X183" s="64">
        <f t="shared" si="42"/>
        <v>79802</v>
      </c>
      <c r="Z183" s="67">
        <v>45114.79</v>
      </c>
      <c r="AA183" s="68">
        <v>81290.143700000001</v>
      </c>
      <c r="AB183" s="69">
        <v>76060</v>
      </c>
      <c r="AC183" s="70">
        <v>77909</v>
      </c>
      <c r="AD183" s="67">
        <v>82377.922200000001</v>
      </c>
      <c r="AE183" s="68">
        <v>84107.855700000015</v>
      </c>
      <c r="AF183" s="69">
        <v>79802</v>
      </c>
      <c r="AG183" s="70">
        <v>79802</v>
      </c>
      <c r="AH183" s="70">
        <f t="shared" si="43"/>
        <v>43900.914400000001</v>
      </c>
      <c r="AI183" s="70">
        <f t="shared" si="44"/>
        <v>71161.044664000001</v>
      </c>
      <c r="AJ183" s="70">
        <f t="shared" si="45"/>
        <v>82073.344219999999</v>
      </c>
      <c r="AK183" s="70">
        <f t="shared" si="46"/>
        <v>83623.474320000008</v>
      </c>
      <c r="AL183" s="70">
        <f t="shared" si="47"/>
        <v>75204.790999999997</v>
      </c>
      <c r="AM183" s="70">
        <f t="shared" si="48"/>
        <v>77032.943800000008</v>
      </c>
      <c r="AN183" s="70">
        <f t="shared" si="49"/>
        <v>78905.096600000004</v>
      </c>
      <c r="AO183" s="70">
        <f t="shared" si="50"/>
        <v>79802</v>
      </c>
    </row>
    <row r="184" spans="1:41">
      <c r="A184" s="29" t="s">
        <v>395</v>
      </c>
      <c r="B184" s="29" t="s">
        <v>932</v>
      </c>
      <c r="C184" s="107">
        <v>0</v>
      </c>
      <c r="D184" s="108">
        <v>2225000</v>
      </c>
      <c r="F184" s="107">
        <v>0</v>
      </c>
      <c r="G184" s="108">
        <v>2166643</v>
      </c>
      <c r="I184" s="64">
        <v>0</v>
      </c>
      <c r="J184" s="83">
        <v>0</v>
      </c>
      <c r="K184" s="66">
        <v>2166643</v>
      </c>
      <c r="L184" s="251">
        <v>2208076.1529999999</v>
      </c>
      <c r="M184" s="63">
        <v>0</v>
      </c>
      <c r="N184" s="64">
        <v>0</v>
      </c>
      <c r="O184" s="65">
        <v>2284599.5940999999</v>
      </c>
      <c r="P184" s="66">
        <v>2350000</v>
      </c>
      <c r="Q184" s="66">
        <f t="shared" si="35"/>
        <v>0</v>
      </c>
      <c r="R184" s="63">
        <f t="shared" si="36"/>
        <v>0</v>
      </c>
      <c r="S184" s="83">
        <f t="shared" si="37"/>
        <v>0</v>
      </c>
      <c r="T184" s="64">
        <f t="shared" si="38"/>
        <v>0</v>
      </c>
      <c r="U184" s="66">
        <f t="shared" si="39"/>
        <v>2194292.5466</v>
      </c>
      <c r="V184" s="63">
        <f t="shared" si="40"/>
        <v>2188445.1251085997</v>
      </c>
      <c r="W184" s="83">
        <f t="shared" si="41"/>
        <v>2248342.7877068198</v>
      </c>
      <c r="X184" s="64">
        <f t="shared" si="42"/>
        <v>2319013.2876845798</v>
      </c>
      <c r="Z184" s="67">
        <v>0</v>
      </c>
      <c r="AA184" s="68">
        <v>0</v>
      </c>
      <c r="AB184" s="69">
        <v>2166643</v>
      </c>
      <c r="AC184" s="70">
        <v>2274976.2113999999</v>
      </c>
      <c r="AD184" s="67">
        <v>0</v>
      </c>
      <c r="AE184" s="68">
        <v>0</v>
      </c>
      <c r="AF184" s="69">
        <v>2284599.5940999999</v>
      </c>
      <c r="AG184" s="70">
        <v>2350000</v>
      </c>
      <c r="AH184" s="70">
        <f t="shared" si="43"/>
        <v>0</v>
      </c>
      <c r="AI184" s="70">
        <f t="shared" si="44"/>
        <v>0</v>
      </c>
      <c r="AJ184" s="70">
        <f t="shared" si="45"/>
        <v>0</v>
      </c>
      <c r="AK184" s="70">
        <f t="shared" si="46"/>
        <v>0</v>
      </c>
      <c r="AL184" s="70">
        <f t="shared" si="47"/>
        <v>2194292.5466</v>
      </c>
      <c r="AM184" s="70">
        <f t="shared" si="48"/>
        <v>2223647.9358386798</v>
      </c>
      <c r="AN184" s="70">
        <f t="shared" si="49"/>
        <v>2280040.0353767397</v>
      </c>
      <c r="AO184" s="70">
        <f t="shared" si="50"/>
        <v>2319013.2876845798</v>
      </c>
    </row>
    <row r="185" spans="1:41">
      <c r="A185" s="29" t="s">
        <v>453</v>
      </c>
      <c r="B185" s="29" t="s">
        <v>881</v>
      </c>
      <c r="C185" s="107">
        <v>0</v>
      </c>
      <c r="D185" s="108">
        <v>125000</v>
      </c>
      <c r="F185" s="107">
        <v>0</v>
      </c>
      <c r="G185" s="108">
        <v>160000</v>
      </c>
      <c r="I185" s="64">
        <v>0</v>
      </c>
      <c r="J185" s="83">
        <v>51840.250746666672</v>
      </c>
      <c r="K185" s="66">
        <v>160000</v>
      </c>
      <c r="L185" s="251">
        <v>165000</v>
      </c>
      <c r="M185" s="63">
        <v>48566.061767999985</v>
      </c>
      <c r="N185" s="64">
        <v>44903.809650000003</v>
      </c>
      <c r="O185" s="65">
        <v>165000</v>
      </c>
      <c r="P185" s="66">
        <v>165000</v>
      </c>
      <c r="Q185" s="66">
        <f t="shared" si="35"/>
        <v>0</v>
      </c>
      <c r="R185" s="63">
        <f t="shared" si="36"/>
        <v>37324.9805376</v>
      </c>
      <c r="S185" s="83">
        <f t="shared" si="37"/>
        <v>49482.83468202666</v>
      </c>
      <c r="T185" s="64">
        <f t="shared" si="38"/>
        <v>45929.240243039996</v>
      </c>
      <c r="U185" s="66">
        <f t="shared" si="39"/>
        <v>143417</v>
      </c>
      <c r="V185" s="63">
        <f t="shared" si="40"/>
        <v>162631</v>
      </c>
      <c r="W185" s="83">
        <f t="shared" si="41"/>
        <v>165000</v>
      </c>
      <c r="X185" s="64">
        <f t="shared" si="42"/>
        <v>165000</v>
      </c>
      <c r="Z185" s="67">
        <v>0</v>
      </c>
      <c r="AA185" s="68">
        <v>51840.250746666672</v>
      </c>
      <c r="AB185" s="69">
        <v>160000</v>
      </c>
      <c r="AC185" s="70">
        <v>165000</v>
      </c>
      <c r="AD185" s="67">
        <v>48566.061767999985</v>
      </c>
      <c r="AE185" s="68">
        <v>44903.809650000003</v>
      </c>
      <c r="AF185" s="69">
        <v>165000</v>
      </c>
      <c r="AG185" s="70">
        <v>165000</v>
      </c>
      <c r="AH185" s="70">
        <f t="shared" si="43"/>
        <v>0</v>
      </c>
      <c r="AI185" s="70">
        <f t="shared" si="44"/>
        <v>37324.9805376</v>
      </c>
      <c r="AJ185" s="70">
        <f t="shared" si="45"/>
        <v>49482.83468202666</v>
      </c>
      <c r="AK185" s="70">
        <f t="shared" si="46"/>
        <v>45929.240243039996</v>
      </c>
      <c r="AL185" s="70">
        <f t="shared" si="47"/>
        <v>143417</v>
      </c>
      <c r="AM185" s="70">
        <f t="shared" si="48"/>
        <v>162631</v>
      </c>
      <c r="AN185" s="70">
        <f t="shared" si="49"/>
        <v>165000</v>
      </c>
      <c r="AO185" s="70">
        <f t="shared" si="50"/>
        <v>165000</v>
      </c>
    </row>
    <row r="186" spans="1:41">
      <c r="A186" s="29" t="s">
        <v>105</v>
      </c>
      <c r="B186" s="29" t="s">
        <v>776</v>
      </c>
      <c r="C186" s="107">
        <v>0</v>
      </c>
      <c r="D186" s="108">
        <v>60000</v>
      </c>
      <c r="F186" s="107">
        <v>0</v>
      </c>
      <c r="G186" s="108">
        <v>0</v>
      </c>
      <c r="I186" s="64">
        <v>0</v>
      </c>
      <c r="J186" s="83">
        <v>0</v>
      </c>
      <c r="K186" s="66">
        <v>0</v>
      </c>
      <c r="L186" s="251">
        <v>60000</v>
      </c>
      <c r="M186" s="63">
        <v>0</v>
      </c>
      <c r="N186" s="64">
        <v>0</v>
      </c>
      <c r="O186" s="65">
        <v>60000</v>
      </c>
      <c r="P186" s="66">
        <v>60000</v>
      </c>
      <c r="Q186" s="66">
        <f t="shared" si="35"/>
        <v>0</v>
      </c>
      <c r="R186" s="63">
        <f t="shared" si="36"/>
        <v>0</v>
      </c>
      <c r="S186" s="83">
        <f t="shared" si="37"/>
        <v>0</v>
      </c>
      <c r="T186" s="64">
        <f t="shared" si="38"/>
        <v>0</v>
      </c>
      <c r="U186" s="66">
        <f t="shared" si="39"/>
        <v>28428</v>
      </c>
      <c r="V186" s="63">
        <f t="shared" si="40"/>
        <v>31572</v>
      </c>
      <c r="W186" s="83">
        <f t="shared" si="41"/>
        <v>60000</v>
      </c>
      <c r="X186" s="64">
        <f t="shared" si="42"/>
        <v>60000</v>
      </c>
      <c r="Z186" s="67">
        <v>0</v>
      </c>
      <c r="AA186" s="68">
        <v>0</v>
      </c>
      <c r="AB186" s="69">
        <v>0</v>
      </c>
      <c r="AC186" s="70">
        <v>60000</v>
      </c>
      <c r="AD186" s="67">
        <v>0</v>
      </c>
      <c r="AE186" s="68">
        <v>0</v>
      </c>
      <c r="AF186" s="69">
        <v>60000</v>
      </c>
      <c r="AG186" s="70">
        <v>60000</v>
      </c>
      <c r="AH186" s="70">
        <f t="shared" si="43"/>
        <v>0</v>
      </c>
      <c r="AI186" s="70">
        <f t="shared" si="44"/>
        <v>0</v>
      </c>
      <c r="AJ186" s="70">
        <f t="shared" si="45"/>
        <v>0</v>
      </c>
      <c r="AK186" s="70">
        <f t="shared" si="46"/>
        <v>0</v>
      </c>
      <c r="AL186" s="70">
        <f t="shared" si="47"/>
        <v>28428</v>
      </c>
      <c r="AM186" s="70">
        <f t="shared" si="48"/>
        <v>31572</v>
      </c>
      <c r="AN186" s="70">
        <f t="shared" si="49"/>
        <v>60000</v>
      </c>
      <c r="AO186" s="70">
        <f t="shared" si="50"/>
        <v>60000</v>
      </c>
    </row>
    <row r="187" spans="1:41">
      <c r="A187" s="29" t="s">
        <v>89</v>
      </c>
      <c r="B187" s="29" t="s">
        <v>777</v>
      </c>
      <c r="C187" s="107">
        <v>0</v>
      </c>
      <c r="D187" s="108">
        <v>631250</v>
      </c>
      <c r="F187" s="107">
        <v>0</v>
      </c>
      <c r="G187" s="108">
        <v>648925</v>
      </c>
      <c r="I187" s="64">
        <v>0</v>
      </c>
      <c r="J187" s="83">
        <v>0</v>
      </c>
      <c r="K187" s="66">
        <v>648925</v>
      </c>
      <c r="L187" s="251">
        <v>648925</v>
      </c>
      <c r="M187" s="63">
        <v>0</v>
      </c>
      <c r="N187" s="64">
        <v>0</v>
      </c>
      <c r="O187" s="65">
        <v>648925</v>
      </c>
      <c r="P187" s="66">
        <v>648925</v>
      </c>
      <c r="Q187" s="66">
        <f t="shared" si="35"/>
        <v>0</v>
      </c>
      <c r="R187" s="63">
        <f t="shared" si="36"/>
        <v>0</v>
      </c>
      <c r="S187" s="83">
        <f t="shared" si="37"/>
        <v>0</v>
      </c>
      <c r="T187" s="64">
        <f t="shared" si="38"/>
        <v>0</v>
      </c>
      <c r="U187" s="66">
        <f t="shared" si="39"/>
        <v>640550.58499999996</v>
      </c>
      <c r="V187" s="63">
        <f t="shared" si="40"/>
        <v>648925</v>
      </c>
      <c r="W187" s="83">
        <f t="shared" si="41"/>
        <v>648925</v>
      </c>
      <c r="X187" s="64">
        <f t="shared" si="42"/>
        <v>648925</v>
      </c>
      <c r="Z187" s="67">
        <v>0</v>
      </c>
      <c r="AA187" s="68">
        <v>0</v>
      </c>
      <c r="AB187" s="69">
        <v>648925</v>
      </c>
      <c r="AC187" s="70">
        <v>648925</v>
      </c>
      <c r="AD187" s="67">
        <v>0</v>
      </c>
      <c r="AE187" s="68">
        <v>0</v>
      </c>
      <c r="AF187" s="69">
        <v>648925</v>
      </c>
      <c r="AG187" s="70">
        <v>648925</v>
      </c>
      <c r="AH187" s="70">
        <f t="shared" si="43"/>
        <v>0</v>
      </c>
      <c r="AI187" s="70">
        <f t="shared" si="44"/>
        <v>0</v>
      </c>
      <c r="AJ187" s="70">
        <f t="shared" si="45"/>
        <v>0</v>
      </c>
      <c r="AK187" s="70">
        <f t="shared" si="46"/>
        <v>0</v>
      </c>
      <c r="AL187" s="70">
        <f t="shared" si="47"/>
        <v>640550.58499999996</v>
      </c>
      <c r="AM187" s="70">
        <f t="shared" si="48"/>
        <v>648925</v>
      </c>
      <c r="AN187" s="70">
        <f t="shared" si="49"/>
        <v>648925</v>
      </c>
      <c r="AO187" s="70">
        <f t="shared" si="50"/>
        <v>648925</v>
      </c>
    </row>
    <row r="188" spans="1:41">
      <c r="A188" s="29" t="s">
        <v>341</v>
      </c>
      <c r="B188" s="29" t="s">
        <v>778</v>
      </c>
      <c r="C188" s="107">
        <v>99121.76</v>
      </c>
      <c r="D188" s="108">
        <v>1229600</v>
      </c>
      <c r="F188" s="107">
        <v>116231.74</v>
      </c>
      <c r="G188" s="108">
        <v>1229600</v>
      </c>
      <c r="I188" s="64">
        <v>68069.039999999994</v>
      </c>
      <c r="J188" s="83">
        <v>118903.03499999996</v>
      </c>
      <c r="K188" s="66">
        <v>1229600</v>
      </c>
      <c r="L188" s="251">
        <v>1229600</v>
      </c>
      <c r="M188" s="63">
        <v>148750.92059999998</v>
      </c>
      <c r="N188" s="64">
        <v>200237.2203000001</v>
      </c>
      <c r="O188" s="65">
        <v>1229600</v>
      </c>
      <c r="P188" s="66">
        <v>1229600</v>
      </c>
      <c r="Q188" s="66">
        <f t="shared" si="35"/>
        <v>76763.801599999992</v>
      </c>
      <c r="R188" s="63">
        <f t="shared" si="36"/>
        <v>104669.51639999996</v>
      </c>
      <c r="S188" s="83">
        <f t="shared" si="37"/>
        <v>140393.51263199997</v>
      </c>
      <c r="T188" s="64">
        <f t="shared" si="38"/>
        <v>185821.05638400005</v>
      </c>
      <c r="U188" s="66">
        <f t="shared" si="39"/>
        <v>1229600</v>
      </c>
      <c r="V188" s="63">
        <f t="shared" si="40"/>
        <v>1229600</v>
      </c>
      <c r="W188" s="83">
        <f t="shared" si="41"/>
        <v>1229600</v>
      </c>
      <c r="X188" s="64">
        <f t="shared" si="42"/>
        <v>1229600</v>
      </c>
      <c r="Z188" s="67">
        <v>116231.74</v>
      </c>
      <c r="AA188" s="68">
        <v>159899.80819999991</v>
      </c>
      <c r="AB188" s="69">
        <v>1229600</v>
      </c>
      <c r="AC188" s="70">
        <v>1229600</v>
      </c>
      <c r="AD188" s="67">
        <v>148750.92059999998</v>
      </c>
      <c r="AE188" s="68">
        <v>200237.2203000001</v>
      </c>
      <c r="AF188" s="69">
        <v>1229600</v>
      </c>
      <c r="AG188" s="70">
        <v>1229600</v>
      </c>
      <c r="AH188" s="70">
        <f t="shared" si="43"/>
        <v>111440.94560000001</v>
      </c>
      <c r="AI188" s="70">
        <f t="shared" si="44"/>
        <v>147672.74910399993</v>
      </c>
      <c r="AJ188" s="70">
        <f t="shared" si="45"/>
        <v>151872.60912799998</v>
      </c>
      <c r="AK188" s="70">
        <f t="shared" si="46"/>
        <v>185821.05638400005</v>
      </c>
      <c r="AL188" s="70">
        <f t="shared" si="47"/>
        <v>1229600</v>
      </c>
      <c r="AM188" s="70">
        <f t="shared" si="48"/>
        <v>1229600</v>
      </c>
      <c r="AN188" s="70">
        <f t="shared" si="49"/>
        <v>1229600</v>
      </c>
      <c r="AO188" s="70">
        <f t="shared" si="50"/>
        <v>1229600</v>
      </c>
    </row>
    <row r="189" spans="1:41">
      <c r="A189" s="29" t="s">
        <v>375</v>
      </c>
      <c r="B189" s="29" t="s">
        <v>779</v>
      </c>
      <c r="C189" s="107">
        <v>1201551.22</v>
      </c>
      <c r="D189" s="108">
        <v>3900000</v>
      </c>
      <c r="F189" s="107">
        <v>610808.1</v>
      </c>
      <c r="G189" s="108">
        <v>4100000</v>
      </c>
      <c r="I189" s="64">
        <v>325350.64</v>
      </c>
      <c r="J189" s="83">
        <v>424283.03399999999</v>
      </c>
      <c r="K189" s="66">
        <v>4100000</v>
      </c>
      <c r="L189" s="251">
        <v>4100000</v>
      </c>
      <c r="M189" s="63">
        <v>160012.70508800037</v>
      </c>
      <c r="N189" s="64">
        <v>0</v>
      </c>
      <c r="O189" s="65">
        <v>4100000</v>
      </c>
      <c r="P189" s="66">
        <v>4100000</v>
      </c>
      <c r="Q189" s="66">
        <f t="shared" si="35"/>
        <v>570686.80240000004</v>
      </c>
      <c r="R189" s="63">
        <f t="shared" si="36"/>
        <v>396581.96367999999</v>
      </c>
      <c r="S189" s="83">
        <f t="shared" si="37"/>
        <v>234008.39718336027</v>
      </c>
      <c r="T189" s="64">
        <f t="shared" si="38"/>
        <v>44803.557424640108</v>
      </c>
      <c r="U189" s="66">
        <f t="shared" si="39"/>
        <v>4005240</v>
      </c>
      <c r="V189" s="63">
        <f t="shared" si="40"/>
        <v>4100000</v>
      </c>
      <c r="W189" s="83">
        <f t="shared" si="41"/>
        <v>4100000</v>
      </c>
      <c r="X189" s="64">
        <f t="shared" si="42"/>
        <v>4100000</v>
      </c>
      <c r="Z189" s="67">
        <v>610808.1</v>
      </c>
      <c r="AA189" s="68">
        <v>678310.26689999981</v>
      </c>
      <c r="AB189" s="69">
        <v>4100000</v>
      </c>
      <c r="AC189" s="70">
        <v>4100000</v>
      </c>
      <c r="AD189" s="67">
        <v>160012.70508800037</v>
      </c>
      <c r="AE189" s="68">
        <v>0</v>
      </c>
      <c r="AF189" s="69">
        <v>4100000</v>
      </c>
      <c r="AG189" s="70">
        <v>4100000</v>
      </c>
      <c r="AH189" s="70">
        <f t="shared" si="43"/>
        <v>776216.1736000001</v>
      </c>
      <c r="AI189" s="70">
        <f t="shared" si="44"/>
        <v>659409.66016799991</v>
      </c>
      <c r="AJ189" s="70">
        <f t="shared" si="45"/>
        <v>305136.02239536023</v>
      </c>
      <c r="AK189" s="70">
        <f t="shared" si="46"/>
        <v>44803.557424640108</v>
      </c>
      <c r="AL189" s="70">
        <f t="shared" si="47"/>
        <v>4005240</v>
      </c>
      <c r="AM189" s="70">
        <f t="shared" si="48"/>
        <v>4100000</v>
      </c>
      <c r="AN189" s="70">
        <f t="shared" si="49"/>
        <v>4100000</v>
      </c>
      <c r="AO189" s="70">
        <f t="shared" si="50"/>
        <v>4100000</v>
      </c>
    </row>
    <row r="190" spans="1:41">
      <c r="A190" s="29" t="s">
        <v>7</v>
      </c>
      <c r="B190" s="29" t="s">
        <v>780</v>
      </c>
      <c r="C190" s="107">
        <v>5064278.5599999996</v>
      </c>
      <c r="D190" s="108">
        <v>2350000</v>
      </c>
      <c r="F190" s="107">
        <v>5228075.5599999996</v>
      </c>
      <c r="G190" s="108">
        <v>2435000</v>
      </c>
      <c r="I190" s="64">
        <v>5203918.09</v>
      </c>
      <c r="J190" s="83">
        <v>5566198.864599999</v>
      </c>
      <c r="K190" s="66">
        <v>2435000</v>
      </c>
      <c r="L190" s="251">
        <v>2560000</v>
      </c>
      <c r="M190" s="63">
        <v>5527409.6712099994</v>
      </c>
      <c r="N190" s="64">
        <v>5441801.0538600003</v>
      </c>
      <c r="O190" s="65">
        <v>2560000</v>
      </c>
      <c r="P190" s="66">
        <v>2560000</v>
      </c>
      <c r="Q190" s="66">
        <f t="shared" si="35"/>
        <v>5164819.0215999996</v>
      </c>
      <c r="R190" s="63">
        <f t="shared" si="36"/>
        <v>5464760.2477119993</v>
      </c>
      <c r="S190" s="83">
        <f t="shared" si="37"/>
        <v>5538270.6453591995</v>
      </c>
      <c r="T190" s="64">
        <f t="shared" si="38"/>
        <v>5465771.4667180004</v>
      </c>
      <c r="U190" s="66">
        <f t="shared" si="39"/>
        <v>2394727</v>
      </c>
      <c r="V190" s="63">
        <f t="shared" si="40"/>
        <v>2500775</v>
      </c>
      <c r="W190" s="83">
        <f t="shared" si="41"/>
        <v>2560000</v>
      </c>
      <c r="X190" s="64">
        <f t="shared" si="42"/>
        <v>2560000</v>
      </c>
      <c r="Z190" s="67">
        <v>5228075.5599999996</v>
      </c>
      <c r="AA190" s="68">
        <v>5566198.864599999</v>
      </c>
      <c r="AB190" s="69">
        <v>2435000</v>
      </c>
      <c r="AC190" s="70">
        <v>2560000</v>
      </c>
      <c r="AD190" s="67">
        <v>5527409.6712099994</v>
      </c>
      <c r="AE190" s="68">
        <v>5441801.0538600003</v>
      </c>
      <c r="AF190" s="69">
        <v>2560000</v>
      </c>
      <c r="AG190" s="70">
        <v>2560000</v>
      </c>
      <c r="AH190" s="70">
        <f t="shared" si="43"/>
        <v>5182212.3999999994</v>
      </c>
      <c r="AI190" s="70">
        <f t="shared" si="44"/>
        <v>5471524.3393119993</v>
      </c>
      <c r="AJ190" s="70">
        <f t="shared" si="45"/>
        <v>5538270.6453591995</v>
      </c>
      <c r="AK190" s="70">
        <f t="shared" si="46"/>
        <v>5465771.4667180004</v>
      </c>
      <c r="AL190" s="70">
        <f t="shared" si="47"/>
        <v>2394727</v>
      </c>
      <c r="AM190" s="70">
        <f t="shared" si="48"/>
        <v>2500775</v>
      </c>
      <c r="AN190" s="70">
        <f t="shared" si="49"/>
        <v>2560000</v>
      </c>
      <c r="AO190" s="70">
        <f t="shared" si="50"/>
        <v>2560000</v>
      </c>
    </row>
    <row r="191" spans="1:41">
      <c r="A191" s="29" t="s">
        <v>93</v>
      </c>
      <c r="B191" s="29" t="s">
        <v>781</v>
      </c>
      <c r="C191" s="107">
        <v>0</v>
      </c>
      <c r="D191" s="108">
        <v>151980</v>
      </c>
      <c r="F191" s="107">
        <v>0</v>
      </c>
      <c r="G191" s="108">
        <v>151980</v>
      </c>
      <c r="I191" s="64">
        <v>0</v>
      </c>
      <c r="J191" s="83">
        <v>0</v>
      </c>
      <c r="K191" s="66">
        <v>151980</v>
      </c>
      <c r="L191" s="251">
        <v>151980</v>
      </c>
      <c r="M191" s="63">
        <v>0</v>
      </c>
      <c r="N191" s="64">
        <v>0</v>
      </c>
      <c r="O191" s="65">
        <v>151980</v>
      </c>
      <c r="P191" s="66">
        <v>151980</v>
      </c>
      <c r="Q191" s="66">
        <f t="shared" si="35"/>
        <v>0</v>
      </c>
      <c r="R191" s="63">
        <f t="shared" si="36"/>
        <v>0</v>
      </c>
      <c r="S191" s="83">
        <f t="shared" si="37"/>
        <v>0</v>
      </c>
      <c r="T191" s="64">
        <f t="shared" si="38"/>
        <v>0</v>
      </c>
      <c r="U191" s="66">
        <f t="shared" si="39"/>
        <v>151980</v>
      </c>
      <c r="V191" s="63">
        <f t="shared" si="40"/>
        <v>151980</v>
      </c>
      <c r="W191" s="83">
        <f t="shared" si="41"/>
        <v>151980</v>
      </c>
      <c r="X191" s="64">
        <f t="shared" si="42"/>
        <v>151980</v>
      </c>
      <c r="Z191" s="67">
        <v>0</v>
      </c>
      <c r="AA191" s="68">
        <v>0</v>
      </c>
      <c r="AB191" s="69">
        <v>151980</v>
      </c>
      <c r="AC191" s="70">
        <v>151980</v>
      </c>
      <c r="AD191" s="67">
        <v>0</v>
      </c>
      <c r="AE191" s="68">
        <v>0</v>
      </c>
      <c r="AF191" s="69">
        <v>151980</v>
      </c>
      <c r="AG191" s="70">
        <v>151980</v>
      </c>
      <c r="AH191" s="70">
        <f t="shared" si="43"/>
        <v>0</v>
      </c>
      <c r="AI191" s="70">
        <f t="shared" si="44"/>
        <v>0</v>
      </c>
      <c r="AJ191" s="70">
        <f t="shared" si="45"/>
        <v>0</v>
      </c>
      <c r="AK191" s="70">
        <f t="shared" si="46"/>
        <v>0</v>
      </c>
      <c r="AL191" s="70">
        <f t="shared" si="47"/>
        <v>151980</v>
      </c>
      <c r="AM191" s="70">
        <f t="shared" si="48"/>
        <v>151980</v>
      </c>
      <c r="AN191" s="70">
        <f t="shared" si="49"/>
        <v>151980</v>
      </c>
      <c r="AO191" s="70">
        <f t="shared" si="50"/>
        <v>151980</v>
      </c>
    </row>
    <row r="192" spans="1:41">
      <c r="A192" s="29" t="s">
        <v>565</v>
      </c>
      <c r="B192" s="29" t="s">
        <v>876</v>
      </c>
      <c r="C192" s="107">
        <v>63416.52</v>
      </c>
      <c r="D192" s="108">
        <v>378837</v>
      </c>
      <c r="F192" s="107">
        <v>74482.7</v>
      </c>
      <c r="G192" s="108">
        <v>441603</v>
      </c>
      <c r="I192" s="64">
        <v>38111.15</v>
      </c>
      <c r="J192" s="83">
        <v>35079.303099999976</v>
      </c>
      <c r="K192" s="66">
        <v>441603</v>
      </c>
      <c r="L192" s="251">
        <v>419326.9</v>
      </c>
      <c r="M192" s="63">
        <v>31622.528999999995</v>
      </c>
      <c r="N192" s="64">
        <v>21577.16130000004</v>
      </c>
      <c r="O192" s="65">
        <v>441603</v>
      </c>
      <c r="P192" s="66">
        <v>441603</v>
      </c>
      <c r="Q192" s="66">
        <f t="shared" si="35"/>
        <v>45196.653599999998</v>
      </c>
      <c r="R192" s="63">
        <f t="shared" si="36"/>
        <v>35928.220231999985</v>
      </c>
      <c r="S192" s="83">
        <f t="shared" si="37"/>
        <v>32590.425747999991</v>
      </c>
      <c r="T192" s="64">
        <f t="shared" si="38"/>
        <v>24389.86425600003</v>
      </c>
      <c r="U192" s="66">
        <f t="shared" si="39"/>
        <v>411864.46919999999</v>
      </c>
      <c r="V192" s="63">
        <f t="shared" si="40"/>
        <v>429881.31618000002</v>
      </c>
      <c r="W192" s="83">
        <f t="shared" si="41"/>
        <v>431048.58382</v>
      </c>
      <c r="X192" s="64">
        <f t="shared" si="42"/>
        <v>441603</v>
      </c>
      <c r="Z192" s="67">
        <v>74482.7</v>
      </c>
      <c r="AA192" s="68">
        <v>70374.185399999944</v>
      </c>
      <c r="AB192" s="69">
        <v>441603</v>
      </c>
      <c r="AC192" s="70">
        <v>419326.9</v>
      </c>
      <c r="AD192" s="67">
        <v>31622.528999999995</v>
      </c>
      <c r="AE192" s="68">
        <v>21577.16130000004</v>
      </c>
      <c r="AF192" s="69">
        <v>441603</v>
      </c>
      <c r="AG192" s="70">
        <v>441603</v>
      </c>
      <c r="AH192" s="70">
        <f t="shared" si="43"/>
        <v>71384.169599999994</v>
      </c>
      <c r="AI192" s="70">
        <f t="shared" si="44"/>
        <v>71524.56948799995</v>
      </c>
      <c r="AJ192" s="70">
        <f t="shared" si="45"/>
        <v>42472.992791999983</v>
      </c>
      <c r="AK192" s="70">
        <f t="shared" si="46"/>
        <v>24389.86425600003</v>
      </c>
      <c r="AL192" s="70">
        <f t="shared" si="47"/>
        <v>411864.46919999999</v>
      </c>
      <c r="AM192" s="70">
        <f t="shared" si="48"/>
        <v>429881.31618000002</v>
      </c>
      <c r="AN192" s="70">
        <f t="shared" si="49"/>
        <v>431048.58382</v>
      </c>
      <c r="AO192" s="70">
        <f t="shared" si="50"/>
        <v>441603</v>
      </c>
    </row>
    <row r="193" spans="1:41">
      <c r="A193" s="29" t="s">
        <v>111</v>
      </c>
      <c r="B193" s="29" t="s">
        <v>782</v>
      </c>
      <c r="C193" s="107">
        <v>16774148.68</v>
      </c>
      <c r="D193" s="108">
        <v>13218439</v>
      </c>
      <c r="F193" s="107">
        <v>15440768.119999999</v>
      </c>
      <c r="G193" s="108">
        <v>14804651</v>
      </c>
      <c r="I193" s="64">
        <v>14908426.210000001</v>
      </c>
      <c r="J193" s="83">
        <v>14197409.553844001</v>
      </c>
      <c r="K193" s="66">
        <v>14804651</v>
      </c>
      <c r="L193" s="251">
        <v>14804651</v>
      </c>
      <c r="M193" s="63">
        <v>12053810.215919999</v>
      </c>
      <c r="N193" s="64">
        <v>9663220.4216100015</v>
      </c>
      <c r="O193" s="65">
        <v>14804651</v>
      </c>
      <c r="P193" s="66">
        <v>14804651</v>
      </c>
      <c r="Q193" s="66">
        <f t="shared" si="35"/>
        <v>15430828.501600001</v>
      </c>
      <c r="R193" s="63">
        <f t="shared" si="36"/>
        <v>14396494.21756768</v>
      </c>
      <c r="S193" s="83">
        <f t="shared" si="37"/>
        <v>12654018.030538719</v>
      </c>
      <c r="T193" s="64">
        <f t="shared" si="38"/>
        <v>10332585.5640168</v>
      </c>
      <c r="U193" s="66">
        <f t="shared" si="39"/>
        <v>14053103.7544</v>
      </c>
      <c r="V193" s="63">
        <f t="shared" si="40"/>
        <v>14804651</v>
      </c>
      <c r="W193" s="83">
        <f t="shared" si="41"/>
        <v>14804651</v>
      </c>
      <c r="X193" s="64">
        <f t="shared" si="42"/>
        <v>14804651</v>
      </c>
      <c r="Z193" s="67">
        <v>15440768.119999999</v>
      </c>
      <c r="AA193" s="68">
        <v>14417945.667729335</v>
      </c>
      <c r="AB193" s="69">
        <v>14804651</v>
      </c>
      <c r="AC193" s="70">
        <v>14804651</v>
      </c>
      <c r="AD193" s="67">
        <v>12053810.215919999</v>
      </c>
      <c r="AE193" s="68">
        <v>9663220.4216100015</v>
      </c>
      <c r="AF193" s="69">
        <v>14804651</v>
      </c>
      <c r="AG193" s="70">
        <v>14804651</v>
      </c>
      <c r="AH193" s="70">
        <f t="shared" si="43"/>
        <v>15814114.6768</v>
      </c>
      <c r="AI193" s="70">
        <f t="shared" si="44"/>
        <v>14704335.954365121</v>
      </c>
      <c r="AJ193" s="70">
        <f t="shared" si="45"/>
        <v>12715768.142426612</v>
      </c>
      <c r="AK193" s="70">
        <f t="shared" si="46"/>
        <v>10332585.5640168</v>
      </c>
      <c r="AL193" s="70">
        <f t="shared" si="47"/>
        <v>14053103.7544</v>
      </c>
      <c r="AM193" s="70">
        <f t="shared" si="48"/>
        <v>14804651</v>
      </c>
      <c r="AN193" s="70">
        <f t="shared" si="49"/>
        <v>14804651</v>
      </c>
      <c r="AO193" s="70">
        <f t="shared" si="50"/>
        <v>14804651</v>
      </c>
    </row>
    <row r="194" spans="1:41">
      <c r="A194" s="29" t="s">
        <v>335</v>
      </c>
      <c r="B194" s="29" t="s">
        <v>783</v>
      </c>
      <c r="C194" s="107">
        <v>156282.39000000001</v>
      </c>
      <c r="D194" s="108">
        <v>325000</v>
      </c>
      <c r="F194" s="107">
        <v>142736.20000000001</v>
      </c>
      <c r="G194" s="108">
        <v>664000</v>
      </c>
      <c r="I194" s="64">
        <v>129625.53</v>
      </c>
      <c r="J194" s="83">
        <v>173084.55869999999</v>
      </c>
      <c r="K194" s="66">
        <v>664000</v>
      </c>
      <c r="L194" s="251">
        <v>597095.11499999999</v>
      </c>
      <c r="M194" s="63">
        <v>183249.92669999998</v>
      </c>
      <c r="N194" s="64">
        <v>203689.01640000008</v>
      </c>
      <c r="O194" s="65">
        <v>610839.35</v>
      </c>
      <c r="P194" s="66">
        <v>613088.6</v>
      </c>
      <c r="Q194" s="66">
        <f t="shared" si="35"/>
        <v>137089.45079999999</v>
      </c>
      <c r="R194" s="63">
        <f t="shared" si="36"/>
        <v>160916.03066399999</v>
      </c>
      <c r="S194" s="83">
        <f t="shared" si="37"/>
        <v>180403.62365999998</v>
      </c>
      <c r="T194" s="64">
        <f t="shared" si="38"/>
        <v>197966.07128400006</v>
      </c>
      <c r="U194" s="66">
        <f t="shared" si="39"/>
        <v>503381.8</v>
      </c>
      <c r="V194" s="63">
        <f t="shared" si="40"/>
        <v>628794.64951299992</v>
      </c>
      <c r="W194" s="83">
        <f t="shared" si="41"/>
        <v>604327.33145699999</v>
      </c>
      <c r="X194" s="64">
        <f t="shared" si="42"/>
        <v>612022.90535000002</v>
      </c>
      <c r="Z194" s="67">
        <v>142736.20000000001</v>
      </c>
      <c r="AA194" s="68">
        <v>181486.41040000002</v>
      </c>
      <c r="AB194" s="69">
        <v>664000</v>
      </c>
      <c r="AC194" s="70">
        <v>597095.11499999999</v>
      </c>
      <c r="AD194" s="67">
        <v>183249.92669999998</v>
      </c>
      <c r="AE194" s="68">
        <v>203689.01640000008</v>
      </c>
      <c r="AF194" s="69">
        <v>610839.35</v>
      </c>
      <c r="AG194" s="70">
        <v>613088.6</v>
      </c>
      <c r="AH194" s="70">
        <f t="shared" si="43"/>
        <v>146529.13320000001</v>
      </c>
      <c r="AI194" s="70">
        <f t="shared" si="44"/>
        <v>170636.35148800001</v>
      </c>
      <c r="AJ194" s="70">
        <f t="shared" si="45"/>
        <v>182756.14213599998</v>
      </c>
      <c r="AK194" s="70">
        <f t="shared" si="46"/>
        <v>197966.07128400006</v>
      </c>
      <c r="AL194" s="70">
        <f t="shared" si="47"/>
        <v>503381.8</v>
      </c>
      <c r="AM194" s="70">
        <f t="shared" si="48"/>
        <v>628794.64951299992</v>
      </c>
      <c r="AN194" s="70">
        <f t="shared" si="49"/>
        <v>604327.33145699999</v>
      </c>
      <c r="AO194" s="70">
        <f t="shared" si="50"/>
        <v>612022.90535000002</v>
      </c>
    </row>
    <row r="195" spans="1:41">
      <c r="A195" s="29" t="s">
        <v>19</v>
      </c>
      <c r="B195" s="29" t="s">
        <v>908</v>
      </c>
      <c r="C195" s="107">
        <v>0</v>
      </c>
      <c r="D195" s="108">
        <v>335521</v>
      </c>
      <c r="F195" s="107">
        <v>0</v>
      </c>
      <c r="G195" s="108">
        <v>364314</v>
      </c>
      <c r="I195" s="64">
        <v>0</v>
      </c>
      <c r="J195" s="83">
        <v>0</v>
      </c>
      <c r="K195" s="66">
        <v>364314</v>
      </c>
      <c r="L195" s="251">
        <v>355497</v>
      </c>
      <c r="M195" s="63">
        <v>0</v>
      </c>
      <c r="N195" s="64">
        <v>0</v>
      </c>
      <c r="O195" s="65">
        <v>355497</v>
      </c>
      <c r="P195" s="66">
        <v>355497</v>
      </c>
      <c r="Q195" s="66">
        <f t="shared" si="35"/>
        <v>0</v>
      </c>
      <c r="R195" s="63">
        <f t="shared" si="36"/>
        <v>0</v>
      </c>
      <c r="S195" s="83">
        <f t="shared" si="37"/>
        <v>0</v>
      </c>
      <c r="T195" s="64">
        <f t="shared" si="38"/>
        <v>0</v>
      </c>
      <c r="U195" s="66">
        <f t="shared" si="39"/>
        <v>350671.87659999996</v>
      </c>
      <c r="V195" s="63">
        <f t="shared" si="40"/>
        <v>359674.49459999998</v>
      </c>
      <c r="W195" s="83">
        <f t="shared" si="41"/>
        <v>355497</v>
      </c>
      <c r="X195" s="64">
        <f t="shared" si="42"/>
        <v>355497</v>
      </c>
      <c r="Z195" s="67">
        <v>0</v>
      </c>
      <c r="AA195" s="68">
        <v>0</v>
      </c>
      <c r="AB195" s="69">
        <v>364314</v>
      </c>
      <c r="AC195" s="70">
        <v>355497</v>
      </c>
      <c r="AD195" s="67">
        <v>0</v>
      </c>
      <c r="AE195" s="68">
        <v>0</v>
      </c>
      <c r="AF195" s="69">
        <v>355497</v>
      </c>
      <c r="AG195" s="70">
        <v>355497</v>
      </c>
      <c r="AH195" s="70">
        <f t="shared" si="43"/>
        <v>0</v>
      </c>
      <c r="AI195" s="70">
        <f t="shared" si="44"/>
        <v>0</v>
      </c>
      <c r="AJ195" s="70">
        <f t="shared" si="45"/>
        <v>0</v>
      </c>
      <c r="AK195" s="70">
        <f t="shared" si="46"/>
        <v>0</v>
      </c>
      <c r="AL195" s="70">
        <f t="shared" si="47"/>
        <v>350671.87659999996</v>
      </c>
      <c r="AM195" s="70">
        <f t="shared" si="48"/>
        <v>359674.49459999998</v>
      </c>
      <c r="AN195" s="70">
        <f t="shared" si="49"/>
        <v>355497</v>
      </c>
      <c r="AO195" s="70">
        <f t="shared" si="50"/>
        <v>355497</v>
      </c>
    </row>
    <row r="196" spans="1:41">
      <c r="A196" s="29" t="s">
        <v>289</v>
      </c>
      <c r="B196" s="29" t="s">
        <v>784</v>
      </c>
      <c r="C196" s="107">
        <v>30046.880000000001</v>
      </c>
      <c r="D196" s="108">
        <v>350000</v>
      </c>
      <c r="F196" s="107">
        <v>8456.35</v>
      </c>
      <c r="G196" s="108">
        <v>350018</v>
      </c>
      <c r="I196" s="64">
        <v>5481.78</v>
      </c>
      <c r="J196" s="83">
        <v>15762.794468666631</v>
      </c>
      <c r="K196" s="66">
        <v>350018</v>
      </c>
      <c r="L196" s="251">
        <v>350000</v>
      </c>
      <c r="M196" s="63">
        <v>0</v>
      </c>
      <c r="N196" s="64">
        <v>0</v>
      </c>
      <c r="O196" s="65">
        <v>350000</v>
      </c>
      <c r="P196" s="66">
        <v>350000</v>
      </c>
      <c r="Q196" s="66">
        <f t="shared" si="35"/>
        <v>12360.008000000002</v>
      </c>
      <c r="R196" s="63">
        <f t="shared" si="36"/>
        <v>12884.110417439973</v>
      </c>
      <c r="S196" s="83">
        <f t="shared" si="37"/>
        <v>4413.5824512266572</v>
      </c>
      <c r="T196" s="64">
        <f t="shared" si="38"/>
        <v>0</v>
      </c>
      <c r="U196" s="66">
        <f t="shared" si="39"/>
        <v>350009.47159999999</v>
      </c>
      <c r="V196" s="63">
        <f t="shared" si="40"/>
        <v>350008.52840000001</v>
      </c>
      <c r="W196" s="83">
        <f t="shared" si="41"/>
        <v>350000</v>
      </c>
      <c r="X196" s="64">
        <f t="shared" si="42"/>
        <v>350000</v>
      </c>
      <c r="Z196" s="67">
        <v>8456.35</v>
      </c>
      <c r="AA196" s="68">
        <v>15762.794468666631</v>
      </c>
      <c r="AB196" s="69">
        <v>350018</v>
      </c>
      <c r="AC196" s="70">
        <v>350000</v>
      </c>
      <c r="AD196" s="67">
        <v>0</v>
      </c>
      <c r="AE196" s="68">
        <v>0</v>
      </c>
      <c r="AF196" s="69">
        <v>350000</v>
      </c>
      <c r="AG196" s="70">
        <v>350000</v>
      </c>
      <c r="AH196" s="70">
        <f t="shared" si="43"/>
        <v>14501.698400000001</v>
      </c>
      <c r="AI196" s="70">
        <f t="shared" si="44"/>
        <v>13716.990017439974</v>
      </c>
      <c r="AJ196" s="70">
        <f t="shared" si="45"/>
        <v>4413.5824512266572</v>
      </c>
      <c r="AK196" s="70">
        <f t="shared" si="46"/>
        <v>0</v>
      </c>
      <c r="AL196" s="70">
        <f t="shared" si="47"/>
        <v>350009.47159999999</v>
      </c>
      <c r="AM196" s="70">
        <f t="shared" si="48"/>
        <v>350008.52840000001</v>
      </c>
      <c r="AN196" s="70">
        <f t="shared" si="49"/>
        <v>350000</v>
      </c>
      <c r="AO196" s="70">
        <f t="shared" si="50"/>
        <v>350000</v>
      </c>
    </row>
    <row r="197" spans="1:41">
      <c r="A197" s="29" t="s">
        <v>379</v>
      </c>
      <c r="B197" s="29" t="s">
        <v>785</v>
      </c>
      <c r="C197" s="107">
        <v>0</v>
      </c>
      <c r="D197" s="108">
        <v>25140000</v>
      </c>
      <c r="F197" s="107">
        <v>0</v>
      </c>
      <c r="G197" s="108">
        <v>26900000</v>
      </c>
      <c r="I197" s="64">
        <v>0</v>
      </c>
      <c r="J197" s="83">
        <v>0</v>
      </c>
      <c r="K197" s="66">
        <v>26900000</v>
      </c>
      <c r="L197" s="251">
        <v>24416909.266400002</v>
      </c>
      <c r="M197" s="63">
        <v>0</v>
      </c>
      <c r="N197" s="64">
        <v>0</v>
      </c>
      <c r="O197" s="65">
        <v>25263120.005000003</v>
      </c>
      <c r="P197" s="66">
        <v>26263973.635899998</v>
      </c>
      <c r="Q197" s="66">
        <f t="shared" si="35"/>
        <v>0</v>
      </c>
      <c r="R197" s="63">
        <f t="shared" si="36"/>
        <v>0</v>
      </c>
      <c r="S197" s="83">
        <f t="shared" si="37"/>
        <v>0</v>
      </c>
      <c r="T197" s="64">
        <f t="shared" si="38"/>
        <v>0</v>
      </c>
      <c r="U197" s="66">
        <f t="shared" si="39"/>
        <v>26066112</v>
      </c>
      <c r="V197" s="63">
        <f t="shared" si="40"/>
        <v>25593397.655979682</v>
      </c>
      <c r="W197" s="83">
        <f t="shared" si="41"/>
        <v>24862185.35705132</v>
      </c>
      <c r="X197" s="64">
        <f t="shared" si="42"/>
        <v>25789769.185579579</v>
      </c>
      <c r="Z197" s="67">
        <v>0</v>
      </c>
      <c r="AA197" s="68">
        <v>0</v>
      </c>
      <c r="AB197" s="69">
        <v>26900000</v>
      </c>
      <c r="AC197" s="70">
        <v>26596083.672999997</v>
      </c>
      <c r="AD197" s="67">
        <v>0</v>
      </c>
      <c r="AE197" s="68">
        <v>0</v>
      </c>
      <c r="AF197" s="69">
        <v>25263120.005000003</v>
      </c>
      <c r="AG197" s="70">
        <v>26263973.635899998</v>
      </c>
      <c r="AH197" s="70">
        <f t="shared" si="43"/>
        <v>0</v>
      </c>
      <c r="AI197" s="70">
        <f t="shared" si="44"/>
        <v>0</v>
      </c>
      <c r="AJ197" s="70">
        <f t="shared" si="45"/>
        <v>0</v>
      </c>
      <c r="AK197" s="70">
        <f t="shared" si="46"/>
        <v>0</v>
      </c>
      <c r="AL197" s="70">
        <f t="shared" si="47"/>
        <v>26066112</v>
      </c>
      <c r="AM197" s="70">
        <f t="shared" si="48"/>
        <v>26740079.228732601</v>
      </c>
      <c r="AN197" s="70">
        <f t="shared" si="49"/>
        <v>25894678.1908984</v>
      </c>
      <c r="AO197" s="70">
        <f t="shared" si="50"/>
        <v>25789769.185579579</v>
      </c>
    </row>
    <row r="198" spans="1:41">
      <c r="A198" s="29" t="s">
        <v>321</v>
      </c>
      <c r="B198" s="29" t="s">
        <v>786</v>
      </c>
      <c r="C198" s="107">
        <v>0</v>
      </c>
      <c r="D198" s="108">
        <v>2641258</v>
      </c>
      <c r="F198" s="107">
        <v>0</v>
      </c>
      <c r="G198" s="108">
        <v>2727137</v>
      </c>
      <c r="I198" s="64">
        <v>0</v>
      </c>
      <c r="J198" s="83">
        <v>0</v>
      </c>
      <c r="K198" s="66">
        <v>2727137</v>
      </c>
      <c r="L198" s="251">
        <v>2802110</v>
      </c>
      <c r="M198" s="63">
        <v>0</v>
      </c>
      <c r="N198" s="64">
        <v>0</v>
      </c>
      <c r="O198" s="65">
        <v>2802110</v>
      </c>
      <c r="P198" s="66">
        <v>2802110</v>
      </c>
      <c r="Q198" s="66">
        <f t="shared" si="35"/>
        <v>0</v>
      </c>
      <c r="R198" s="63">
        <f t="shared" si="36"/>
        <v>0</v>
      </c>
      <c r="S198" s="83">
        <f t="shared" si="37"/>
        <v>0</v>
      </c>
      <c r="T198" s="64">
        <f t="shared" si="38"/>
        <v>0</v>
      </c>
      <c r="U198" s="66">
        <f t="shared" si="39"/>
        <v>2686447.5298000001</v>
      </c>
      <c r="V198" s="63">
        <f t="shared" si="40"/>
        <v>2766587.7925999998</v>
      </c>
      <c r="W198" s="83">
        <f t="shared" si="41"/>
        <v>2802110</v>
      </c>
      <c r="X198" s="64">
        <f t="shared" si="42"/>
        <v>2802110</v>
      </c>
      <c r="Z198" s="67">
        <v>0</v>
      </c>
      <c r="AA198" s="68">
        <v>0</v>
      </c>
      <c r="AB198" s="69">
        <v>2727137</v>
      </c>
      <c r="AC198" s="70">
        <v>2802110</v>
      </c>
      <c r="AD198" s="67">
        <v>0</v>
      </c>
      <c r="AE198" s="68">
        <v>0</v>
      </c>
      <c r="AF198" s="69">
        <v>2802110</v>
      </c>
      <c r="AG198" s="70">
        <v>2802110</v>
      </c>
      <c r="AH198" s="70">
        <f t="shared" si="43"/>
        <v>0</v>
      </c>
      <c r="AI198" s="70">
        <f t="shared" si="44"/>
        <v>0</v>
      </c>
      <c r="AJ198" s="70">
        <f t="shared" si="45"/>
        <v>0</v>
      </c>
      <c r="AK198" s="70">
        <f t="shared" si="46"/>
        <v>0</v>
      </c>
      <c r="AL198" s="70">
        <f t="shared" si="47"/>
        <v>2686447.5298000001</v>
      </c>
      <c r="AM198" s="70">
        <f t="shared" si="48"/>
        <v>2766587.7925999998</v>
      </c>
      <c r="AN198" s="70">
        <f t="shared" si="49"/>
        <v>2802110</v>
      </c>
      <c r="AO198" s="70">
        <f t="shared" si="50"/>
        <v>2802110</v>
      </c>
    </row>
    <row r="199" spans="1:41">
      <c r="A199" s="29" t="s">
        <v>119</v>
      </c>
      <c r="B199" s="29" t="s">
        <v>900</v>
      </c>
      <c r="C199" s="107">
        <v>0</v>
      </c>
      <c r="D199" s="108">
        <v>793022</v>
      </c>
      <c r="F199" s="107">
        <v>0</v>
      </c>
      <c r="G199" s="108">
        <v>843420</v>
      </c>
      <c r="I199" s="64">
        <v>0</v>
      </c>
      <c r="J199" s="83">
        <v>0</v>
      </c>
      <c r="K199" s="66">
        <v>843420</v>
      </c>
      <c r="L199" s="251">
        <v>894629.95479999983</v>
      </c>
      <c r="M199" s="63">
        <v>0</v>
      </c>
      <c r="N199" s="64">
        <v>0</v>
      </c>
      <c r="O199" s="65">
        <v>925613.91230000008</v>
      </c>
      <c r="P199" s="66">
        <v>962287.75719999999</v>
      </c>
      <c r="Q199" s="66">
        <f t="shared" si="35"/>
        <v>0</v>
      </c>
      <c r="R199" s="63">
        <f t="shared" si="36"/>
        <v>0</v>
      </c>
      <c r="S199" s="83">
        <f t="shared" si="37"/>
        <v>0</v>
      </c>
      <c r="T199" s="64">
        <f t="shared" si="38"/>
        <v>0</v>
      </c>
      <c r="U199" s="66">
        <f t="shared" si="39"/>
        <v>819541.42760000005</v>
      </c>
      <c r="V199" s="63">
        <f t="shared" si="40"/>
        <v>870366.67821575992</v>
      </c>
      <c r="W199" s="83">
        <f t="shared" si="41"/>
        <v>910933.71323650004</v>
      </c>
      <c r="X199" s="64">
        <f t="shared" si="42"/>
        <v>944911.68948637997</v>
      </c>
      <c r="Z199" s="67">
        <v>0</v>
      </c>
      <c r="AA199" s="68">
        <v>0</v>
      </c>
      <c r="AB199" s="69">
        <v>843420</v>
      </c>
      <c r="AC199" s="70">
        <v>894629.95479999983</v>
      </c>
      <c r="AD199" s="67">
        <v>0</v>
      </c>
      <c r="AE199" s="68">
        <v>0</v>
      </c>
      <c r="AF199" s="69">
        <v>925613.91230000008</v>
      </c>
      <c r="AG199" s="70">
        <v>962287.75719999999</v>
      </c>
      <c r="AH199" s="70">
        <f t="shared" si="43"/>
        <v>0</v>
      </c>
      <c r="AI199" s="70">
        <f t="shared" si="44"/>
        <v>0</v>
      </c>
      <c r="AJ199" s="70">
        <f t="shared" si="45"/>
        <v>0</v>
      </c>
      <c r="AK199" s="70">
        <f t="shared" si="46"/>
        <v>0</v>
      </c>
      <c r="AL199" s="70">
        <f t="shared" si="47"/>
        <v>819541.42760000005</v>
      </c>
      <c r="AM199" s="70">
        <f t="shared" si="48"/>
        <v>870366.67821575992</v>
      </c>
      <c r="AN199" s="70">
        <f t="shared" si="49"/>
        <v>910933.71323650004</v>
      </c>
      <c r="AO199" s="70">
        <f t="shared" si="50"/>
        <v>944911.68948637997</v>
      </c>
    </row>
    <row r="200" spans="1:41">
      <c r="A200" s="29" t="s">
        <v>43</v>
      </c>
      <c r="B200" s="29" t="s">
        <v>787</v>
      </c>
      <c r="C200" s="107">
        <v>41618.33</v>
      </c>
      <c r="D200" s="108">
        <v>5936331</v>
      </c>
      <c r="F200" s="107">
        <v>0</v>
      </c>
      <c r="G200" s="108">
        <v>5600000</v>
      </c>
      <c r="I200" s="64">
        <v>0</v>
      </c>
      <c r="J200" s="83">
        <v>0</v>
      </c>
      <c r="K200" s="66">
        <v>5600000</v>
      </c>
      <c r="L200" s="251">
        <v>5600000</v>
      </c>
      <c r="M200" s="63">
        <v>0</v>
      </c>
      <c r="N200" s="64">
        <v>0</v>
      </c>
      <c r="O200" s="65">
        <v>5600000</v>
      </c>
      <c r="P200" s="66">
        <v>5600000</v>
      </c>
      <c r="Q200" s="66">
        <f t="shared" si="35"/>
        <v>11653.132400000002</v>
      </c>
      <c r="R200" s="63">
        <f t="shared" si="36"/>
        <v>0</v>
      </c>
      <c r="S200" s="83">
        <f t="shared" si="37"/>
        <v>0</v>
      </c>
      <c r="T200" s="64">
        <f t="shared" si="38"/>
        <v>0</v>
      </c>
      <c r="U200" s="66">
        <f t="shared" si="39"/>
        <v>5759353.6277999999</v>
      </c>
      <c r="V200" s="63">
        <f t="shared" si="40"/>
        <v>5600000</v>
      </c>
      <c r="W200" s="83">
        <f t="shared" si="41"/>
        <v>5600000</v>
      </c>
      <c r="X200" s="64">
        <f t="shared" si="42"/>
        <v>5600000</v>
      </c>
      <c r="Z200" s="67">
        <v>0</v>
      </c>
      <c r="AA200" s="68">
        <v>0</v>
      </c>
      <c r="AB200" s="69">
        <v>5600000</v>
      </c>
      <c r="AC200" s="70">
        <v>5600000</v>
      </c>
      <c r="AD200" s="67">
        <v>0</v>
      </c>
      <c r="AE200" s="68">
        <v>0</v>
      </c>
      <c r="AF200" s="69">
        <v>5600000</v>
      </c>
      <c r="AG200" s="70">
        <v>5600000</v>
      </c>
      <c r="AH200" s="70">
        <f t="shared" si="43"/>
        <v>11653.132400000002</v>
      </c>
      <c r="AI200" s="70">
        <f t="shared" si="44"/>
        <v>0</v>
      </c>
      <c r="AJ200" s="70">
        <f t="shared" si="45"/>
        <v>0</v>
      </c>
      <c r="AK200" s="70">
        <f t="shared" si="46"/>
        <v>0</v>
      </c>
      <c r="AL200" s="70">
        <f t="shared" si="47"/>
        <v>5759353.6277999999</v>
      </c>
      <c r="AM200" s="70">
        <f t="shared" si="48"/>
        <v>5600000</v>
      </c>
      <c r="AN200" s="70">
        <f t="shared" si="49"/>
        <v>5600000</v>
      </c>
      <c r="AO200" s="70">
        <f t="shared" si="50"/>
        <v>5600000</v>
      </c>
    </row>
    <row r="201" spans="1:41">
      <c r="A201" s="29" t="s">
        <v>181</v>
      </c>
      <c r="B201" s="29" t="s">
        <v>788</v>
      </c>
      <c r="C201" s="107">
        <v>0</v>
      </c>
      <c r="D201" s="108">
        <v>3121025</v>
      </c>
      <c r="F201" s="107">
        <v>0</v>
      </c>
      <c r="G201" s="108">
        <v>3204275.15</v>
      </c>
      <c r="I201" s="64">
        <v>0</v>
      </c>
      <c r="J201" s="83">
        <v>0</v>
      </c>
      <c r="K201" s="66">
        <v>3204275.15</v>
      </c>
      <c r="L201" s="251">
        <v>3178702.7317999997</v>
      </c>
      <c r="M201" s="63">
        <v>0</v>
      </c>
      <c r="N201" s="64">
        <v>0</v>
      </c>
      <c r="O201" s="65">
        <v>3288893.4811</v>
      </c>
      <c r="P201" s="66">
        <v>3375000</v>
      </c>
      <c r="Q201" s="66">
        <f t="shared" ref="Q201:Q264" si="51">(0.28*C201)+(0.72*I201)</f>
        <v>0</v>
      </c>
      <c r="R201" s="63">
        <f t="shared" ref="R201:R264" si="52">(0.28*I201)+(0.72*J201)</f>
        <v>0</v>
      </c>
      <c r="S201" s="83">
        <f t="shared" ref="S201:S264" si="53">(0.28*J201)+(0.72*M201)</f>
        <v>0</v>
      </c>
      <c r="T201" s="64">
        <f t="shared" ref="T201:T264" si="54">(0.28*M201)+(0.72*N201)</f>
        <v>0</v>
      </c>
      <c r="U201" s="66">
        <f t="shared" ref="U201:U264" si="55">(0.4738*D201)+(0.5262*G201)</f>
        <v>3164831.2289300002</v>
      </c>
      <c r="V201" s="63">
        <f t="shared" ref="V201:V264" si="56">(0.4738*G201)+(0.5262*L201)</f>
        <v>3190818.9435431599</v>
      </c>
      <c r="W201" s="83">
        <f t="shared" ref="W201:W264" si="57">(0.4738*L201)+(0.5262*O201)</f>
        <v>3236685.1040816596</v>
      </c>
      <c r="X201" s="64">
        <f t="shared" ref="X201:X264" si="58">(0.4738*O201)+(0.5262*P201)</f>
        <v>3334202.73134518</v>
      </c>
      <c r="Z201" s="67">
        <v>0</v>
      </c>
      <c r="AA201" s="68">
        <v>0</v>
      </c>
      <c r="AB201" s="69">
        <v>3204275.15</v>
      </c>
      <c r="AC201" s="70">
        <v>3375000</v>
      </c>
      <c r="AD201" s="67">
        <v>0</v>
      </c>
      <c r="AE201" s="68">
        <v>0</v>
      </c>
      <c r="AF201" s="69">
        <v>3288893.4811</v>
      </c>
      <c r="AG201" s="70">
        <v>3375000</v>
      </c>
      <c r="AH201" s="70">
        <f t="shared" ref="AH201:AH264" si="59">(0.28*C201)+(0.72*Z201)</f>
        <v>0</v>
      </c>
      <c r="AI201" s="70">
        <f t="shared" ref="AI201:AI264" si="60">(0.28*Z201)+(0.72*AA201)</f>
        <v>0</v>
      </c>
      <c r="AJ201" s="70">
        <f t="shared" ref="AJ201:AJ264" si="61">(0.28*AA201)+(0.72*AD201)</f>
        <v>0</v>
      </c>
      <c r="AK201" s="70">
        <f t="shared" ref="AK201:AK264" si="62">(0.28*AD201)+(0.72*AE201)</f>
        <v>0</v>
      </c>
      <c r="AL201" s="70">
        <f t="shared" ref="AL201:AL264" si="63">(0.4738*D201)+(0.5262*G201)</f>
        <v>3164831.2289300002</v>
      </c>
      <c r="AM201" s="70">
        <f t="shared" ref="AM201:AM264" si="64">(0.4738*G201)+(0.5262*AC201)</f>
        <v>3294110.5660699997</v>
      </c>
      <c r="AN201" s="70">
        <f t="shared" ref="AN201:AN264" si="65">(0.4738*AC201)+(0.5262*AF201)</f>
        <v>3329690.74975482</v>
      </c>
      <c r="AO201" s="70">
        <f t="shared" ref="AO201:AO264" si="66">(0.4738*AF201)+(0.5262*AG201)</f>
        <v>3334202.73134518</v>
      </c>
    </row>
    <row r="202" spans="1:41">
      <c r="A202" s="29" t="s">
        <v>537</v>
      </c>
      <c r="B202" s="29" t="s">
        <v>877</v>
      </c>
      <c r="C202" s="107">
        <v>0</v>
      </c>
      <c r="D202" s="108">
        <v>635612</v>
      </c>
      <c r="F202" s="107">
        <v>0</v>
      </c>
      <c r="G202" s="108">
        <v>670000</v>
      </c>
      <c r="I202" s="64">
        <v>0</v>
      </c>
      <c r="J202" s="83">
        <v>0</v>
      </c>
      <c r="K202" s="66">
        <v>670000</v>
      </c>
      <c r="L202" s="251">
        <v>670000</v>
      </c>
      <c r="M202" s="63">
        <v>0</v>
      </c>
      <c r="N202" s="64">
        <v>0</v>
      </c>
      <c r="O202" s="65">
        <v>670000</v>
      </c>
      <c r="P202" s="66">
        <v>670000</v>
      </c>
      <c r="Q202" s="66">
        <f t="shared" si="51"/>
        <v>0</v>
      </c>
      <c r="R202" s="63">
        <f t="shared" si="52"/>
        <v>0</v>
      </c>
      <c r="S202" s="83">
        <f t="shared" si="53"/>
        <v>0</v>
      </c>
      <c r="T202" s="64">
        <f t="shared" si="54"/>
        <v>0</v>
      </c>
      <c r="U202" s="66">
        <f t="shared" si="55"/>
        <v>653706.9656</v>
      </c>
      <c r="V202" s="63">
        <f t="shared" si="56"/>
        <v>670000</v>
      </c>
      <c r="W202" s="83">
        <f t="shared" si="57"/>
        <v>670000</v>
      </c>
      <c r="X202" s="64">
        <f t="shared" si="58"/>
        <v>670000</v>
      </c>
      <c r="Z202" s="67">
        <v>0</v>
      </c>
      <c r="AA202" s="68">
        <v>0</v>
      </c>
      <c r="AB202" s="69">
        <v>670000</v>
      </c>
      <c r="AC202" s="70">
        <v>670000</v>
      </c>
      <c r="AD202" s="67">
        <v>0</v>
      </c>
      <c r="AE202" s="68">
        <v>0</v>
      </c>
      <c r="AF202" s="69">
        <v>670000</v>
      </c>
      <c r="AG202" s="70">
        <v>670000</v>
      </c>
      <c r="AH202" s="70">
        <f t="shared" si="59"/>
        <v>0</v>
      </c>
      <c r="AI202" s="70">
        <f t="shared" si="60"/>
        <v>0</v>
      </c>
      <c r="AJ202" s="70">
        <f t="shared" si="61"/>
        <v>0</v>
      </c>
      <c r="AK202" s="70">
        <f t="shared" si="62"/>
        <v>0</v>
      </c>
      <c r="AL202" s="70">
        <f t="shared" si="63"/>
        <v>653706.9656</v>
      </c>
      <c r="AM202" s="70">
        <f t="shared" si="64"/>
        <v>670000</v>
      </c>
      <c r="AN202" s="70">
        <f t="shared" si="65"/>
        <v>670000</v>
      </c>
      <c r="AO202" s="70">
        <f t="shared" si="66"/>
        <v>670000</v>
      </c>
    </row>
    <row r="203" spans="1:41">
      <c r="A203" s="29" t="s">
        <v>25</v>
      </c>
      <c r="B203" s="29" t="s">
        <v>789</v>
      </c>
      <c r="C203" s="107">
        <v>1699505.23</v>
      </c>
      <c r="D203" s="108">
        <v>3190400</v>
      </c>
      <c r="F203" s="107">
        <v>1818310.42</v>
      </c>
      <c r="G203" s="108">
        <v>3668960</v>
      </c>
      <c r="I203" s="64">
        <v>1631242.24</v>
      </c>
      <c r="J203" s="83">
        <v>1690030.5230999999</v>
      </c>
      <c r="K203" s="66">
        <v>3668960</v>
      </c>
      <c r="L203" s="251">
        <v>3668960</v>
      </c>
      <c r="M203" s="63">
        <v>1651700.9817000004</v>
      </c>
      <c r="N203" s="64">
        <v>1749714.5816999997</v>
      </c>
      <c r="O203" s="65">
        <v>3668960</v>
      </c>
      <c r="P203" s="66">
        <v>3668960</v>
      </c>
      <c r="Q203" s="66">
        <f t="shared" si="51"/>
        <v>1650355.8772</v>
      </c>
      <c r="R203" s="63">
        <f t="shared" si="52"/>
        <v>1673569.8038320001</v>
      </c>
      <c r="S203" s="83">
        <f t="shared" si="53"/>
        <v>1662433.2532920002</v>
      </c>
      <c r="T203" s="64">
        <f t="shared" si="54"/>
        <v>1722270.7736999998</v>
      </c>
      <c r="U203" s="66">
        <f t="shared" si="55"/>
        <v>3442218.2719999999</v>
      </c>
      <c r="V203" s="63">
        <f t="shared" si="56"/>
        <v>3668960</v>
      </c>
      <c r="W203" s="83">
        <f t="shared" si="57"/>
        <v>3668960</v>
      </c>
      <c r="X203" s="64">
        <f t="shared" si="58"/>
        <v>3668960</v>
      </c>
      <c r="Z203" s="67">
        <v>1818310.42</v>
      </c>
      <c r="AA203" s="68">
        <v>1905370.1597999996</v>
      </c>
      <c r="AB203" s="69">
        <v>3668960</v>
      </c>
      <c r="AC203" s="70">
        <v>3668960</v>
      </c>
      <c r="AD203" s="67">
        <v>1651700.9817000004</v>
      </c>
      <c r="AE203" s="68">
        <v>1749714.5816999997</v>
      </c>
      <c r="AF203" s="69">
        <v>3668960</v>
      </c>
      <c r="AG203" s="70">
        <v>3668960</v>
      </c>
      <c r="AH203" s="70">
        <f t="shared" si="59"/>
        <v>1785044.9668000001</v>
      </c>
      <c r="AI203" s="70">
        <f t="shared" si="60"/>
        <v>1880993.4326559997</v>
      </c>
      <c r="AJ203" s="70">
        <f t="shared" si="61"/>
        <v>1722728.3515680002</v>
      </c>
      <c r="AK203" s="70">
        <f t="shared" si="62"/>
        <v>1722270.7736999998</v>
      </c>
      <c r="AL203" s="70">
        <f t="shared" si="63"/>
        <v>3442218.2719999999</v>
      </c>
      <c r="AM203" s="70">
        <f t="shared" si="64"/>
        <v>3668960</v>
      </c>
      <c r="AN203" s="70">
        <f t="shared" si="65"/>
        <v>3668960</v>
      </c>
      <c r="AO203" s="70">
        <f t="shared" si="66"/>
        <v>3668960</v>
      </c>
    </row>
    <row r="204" spans="1:41">
      <c r="A204" s="29" t="s">
        <v>561</v>
      </c>
      <c r="B204" s="29" t="s">
        <v>790</v>
      </c>
      <c r="C204" s="107">
        <v>617240.6</v>
      </c>
      <c r="D204" s="108">
        <v>5300000</v>
      </c>
      <c r="F204" s="107">
        <v>742635.83</v>
      </c>
      <c r="G204" s="108">
        <v>5300000</v>
      </c>
      <c r="I204" s="64">
        <v>437334.73</v>
      </c>
      <c r="J204" s="83">
        <v>356462.52689999982</v>
      </c>
      <c r="K204" s="66">
        <v>5300000</v>
      </c>
      <c r="L204" s="251">
        <v>5300000</v>
      </c>
      <c r="M204" s="63">
        <v>236092.85579999941</v>
      </c>
      <c r="N204" s="64">
        <v>62241.805500000439</v>
      </c>
      <c r="O204" s="65">
        <v>5300000</v>
      </c>
      <c r="P204" s="66">
        <v>5300000</v>
      </c>
      <c r="Q204" s="66">
        <f t="shared" si="51"/>
        <v>487708.37359999999</v>
      </c>
      <c r="R204" s="63">
        <f t="shared" si="52"/>
        <v>379106.74376799987</v>
      </c>
      <c r="S204" s="83">
        <f t="shared" si="53"/>
        <v>269796.36370799952</v>
      </c>
      <c r="T204" s="64">
        <f t="shared" si="54"/>
        <v>110920.09958400016</v>
      </c>
      <c r="U204" s="66">
        <f t="shared" si="55"/>
        <v>5300000</v>
      </c>
      <c r="V204" s="63">
        <f t="shared" si="56"/>
        <v>5300000</v>
      </c>
      <c r="W204" s="83">
        <f t="shared" si="57"/>
        <v>5300000</v>
      </c>
      <c r="X204" s="64">
        <f t="shared" si="58"/>
        <v>5300000</v>
      </c>
      <c r="Z204" s="67">
        <v>742635.83</v>
      </c>
      <c r="AA204" s="68">
        <v>630757.22869999986</v>
      </c>
      <c r="AB204" s="69">
        <v>5300000</v>
      </c>
      <c r="AC204" s="70">
        <v>5300000</v>
      </c>
      <c r="AD204" s="67">
        <v>236092.85579999941</v>
      </c>
      <c r="AE204" s="68">
        <v>62241.805500000439</v>
      </c>
      <c r="AF204" s="69">
        <v>5300000</v>
      </c>
      <c r="AG204" s="70">
        <v>5300000</v>
      </c>
      <c r="AH204" s="70">
        <f t="shared" si="59"/>
        <v>707525.16559999995</v>
      </c>
      <c r="AI204" s="70">
        <f t="shared" si="60"/>
        <v>662083.23706399987</v>
      </c>
      <c r="AJ204" s="70">
        <f t="shared" si="61"/>
        <v>346598.88021199952</v>
      </c>
      <c r="AK204" s="70">
        <f t="shared" si="62"/>
        <v>110920.09958400016</v>
      </c>
      <c r="AL204" s="70">
        <f t="shared" si="63"/>
        <v>5300000</v>
      </c>
      <c r="AM204" s="70">
        <f t="shared" si="64"/>
        <v>5300000</v>
      </c>
      <c r="AN204" s="70">
        <f t="shared" si="65"/>
        <v>5300000</v>
      </c>
      <c r="AO204" s="70">
        <f t="shared" si="66"/>
        <v>5300000</v>
      </c>
    </row>
    <row r="205" spans="1:41">
      <c r="A205" s="29" t="s">
        <v>363</v>
      </c>
      <c r="B205" s="29" t="s">
        <v>791</v>
      </c>
      <c r="C205" s="107">
        <v>7398485</v>
      </c>
      <c r="D205" s="108">
        <v>52349127</v>
      </c>
      <c r="F205" s="107">
        <v>3607864.39</v>
      </c>
      <c r="G205" s="108">
        <v>55725189</v>
      </c>
      <c r="I205" s="64">
        <v>1489230.06</v>
      </c>
      <c r="J205" s="83">
        <v>1493779.7284000011</v>
      </c>
      <c r="K205" s="66">
        <v>55725189</v>
      </c>
      <c r="L205" s="251">
        <v>55725189</v>
      </c>
      <c r="M205" s="63">
        <v>2091.1301999922052</v>
      </c>
      <c r="N205" s="64">
        <v>0</v>
      </c>
      <c r="O205" s="65">
        <v>55725189</v>
      </c>
      <c r="P205" s="66">
        <v>55725189</v>
      </c>
      <c r="Q205" s="66">
        <f t="shared" si="51"/>
        <v>3143821.4432000006</v>
      </c>
      <c r="R205" s="63">
        <f t="shared" si="52"/>
        <v>1492505.8212480007</v>
      </c>
      <c r="S205" s="83">
        <f t="shared" si="53"/>
        <v>419763.93769599474</v>
      </c>
      <c r="T205" s="64">
        <f t="shared" si="54"/>
        <v>585.5164559978175</v>
      </c>
      <c r="U205" s="66">
        <f t="shared" si="55"/>
        <v>54125610.8244</v>
      </c>
      <c r="V205" s="63">
        <f t="shared" si="56"/>
        <v>55725189</v>
      </c>
      <c r="W205" s="83">
        <f t="shared" si="57"/>
        <v>55725189</v>
      </c>
      <c r="X205" s="64">
        <f t="shared" si="58"/>
        <v>55725189</v>
      </c>
      <c r="Z205" s="67">
        <v>3607864.39</v>
      </c>
      <c r="AA205" s="68">
        <v>3318988.7550000022</v>
      </c>
      <c r="AB205" s="69">
        <v>55725189</v>
      </c>
      <c r="AC205" s="70">
        <v>55725189</v>
      </c>
      <c r="AD205" s="67">
        <v>2091.1301999922052</v>
      </c>
      <c r="AE205" s="68">
        <v>0</v>
      </c>
      <c r="AF205" s="69">
        <v>55725189</v>
      </c>
      <c r="AG205" s="70">
        <v>55725189</v>
      </c>
      <c r="AH205" s="70">
        <f t="shared" si="59"/>
        <v>4669238.1608000007</v>
      </c>
      <c r="AI205" s="70">
        <f t="shared" si="60"/>
        <v>3399873.9328000019</v>
      </c>
      <c r="AJ205" s="70">
        <f t="shared" si="61"/>
        <v>930822.46514399513</v>
      </c>
      <c r="AK205" s="70">
        <f t="shared" si="62"/>
        <v>585.5164559978175</v>
      </c>
      <c r="AL205" s="70">
        <f t="shared" si="63"/>
        <v>54125610.8244</v>
      </c>
      <c r="AM205" s="70">
        <f t="shared" si="64"/>
        <v>55725189</v>
      </c>
      <c r="AN205" s="70">
        <f t="shared" si="65"/>
        <v>55725189</v>
      </c>
      <c r="AO205" s="70">
        <f t="shared" si="66"/>
        <v>55725189</v>
      </c>
    </row>
    <row r="206" spans="1:41">
      <c r="A206" s="29" t="s">
        <v>173</v>
      </c>
      <c r="B206" s="29" t="s">
        <v>792</v>
      </c>
      <c r="C206" s="107">
        <v>0</v>
      </c>
      <c r="D206" s="108">
        <v>75000</v>
      </c>
      <c r="F206" s="107">
        <v>9043.1299999999992</v>
      </c>
      <c r="G206" s="108">
        <v>75000</v>
      </c>
      <c r="I206" s="64">
        <v>9043.1299999999992</v>
      </c>
      <c r="J206" s="83">
        <v>39876.571599999988</v>
      </c>
      <c r="K206" s="66">
        <v>75000</v>
      </c>
      <c r="L206" s="251">
        <v>75000</v>
      </c>
      <c r="M206" s="63">
        <v>40868.684099999984</v>
      </c>
      <c r="N206" s="64">
        <v>42895.674599999991</v>
      </c>
      <c r="O206" s="65">
        <v>75000</v>
      </c>
      <c r="P206" s="66">
        <v>75000</v>
      </c>
      <c r="Q206" s="66">
        <f t="shared" si="51"/>
        <v>6511.0535999999993</v>
      </c>
      <c r="R206" s="63">
        <f t="shared" si="52"/>
        <v>31243.20795199999</v>
      </c>
      <c r="S206" s="83">
        <f t="shared" si="53"/>
        <v>40590.892599999985</v>
      </c>
      <c r="T206" s="64">
        <f t="shared" si="54"/>
        <v>42328.117259999985</v>
      </c>
      <c r="U206" s="66">
        <f t="shared" si="55"/>
        <v>75000</v>
      </c>
      <c r="V206" s="63">
        <f t="shared" si="56"/>
        <v>75000</v>
      </c>
      <c r="W206" s="83">
        <f t="shared" si="57"/>
        <v>75000</v>
      </c>
      <c r="X206" s="64">
        <f t="shared" si="58"/>
        <v>75000</v>
      </c>
      <c r="Z206" s="67">
        <v>9043.1299999999992</v>
      </c>
      <c r="AA206" s="68">
        <v>39876.571599999988</v>
      </c>
      <c r="AB206" s="69">
        <v>75000</v>
      </c>
      <c r="AC206" s="70">
        <v>75000</v>
      </c>
      <c r="AD206" s="67">
        <v>40868.684099999984</v>
      </c>
      <c r="AE206" s="68">
        <v>42895.674599999991</v>
      </c>
      <c r="AF206" s="69">
        <v>75000</v>
      </c>
      <c r="AG206" s="70">
        <v>75000</v>
      </c>
      <c r="AH206" s="70">
        <f t="shared" si="59"/>
        <v>6511.0535999999993</v>
      </c>
      <c r="AI206" s="70">
        <f t="shared" si="60"/>
        <v>31243.20795199999</v>
      </c>
      <c r="AJ206" s="70">
        <f t="shared" si="61"/>
        <v>40590.892599999985</v>
      </c>
      <c r="AK206" s="70">
        <f t="shared" si="62"/>
        <v>42328.117259999985</v>
      </c>
      <c r="AL206" s="70">
        <f t="shared" si="63"/>
        <v>75000</v>
      </c>
      <c r="AM206" s="70">
        <f t="shared" si="64"/>
        <v>75000</v>
      </c>
      <c r="AN206" s="70">
        <f t="shared" si="65"/>
        <v>75000</v>
      </c>
      <c r="AO206" s="70">
        <f t="shared" si="66"/>
        <v>75000</v>
      </c>
    </row>
    <row r="207" spans="1:41">
      <c r="A207" s="29" t="s">
        <v>177</v>
      </c>
      <c r="B207" s="29" t="s">
        <v>793</v>
      </c>
      <c r="C207" s="107">
        <v>389797.16</v>
      </c>
      <c r="D207" s="108">
        <v>599004</v>
      </c>
      <c r="F207" s="107">
        <v>323757.28000000003</v>
      </c>
      <c r="G207" s="108">
        <v>612462.43999999994</v>
      </c>
      <c r="I207" s="64">
        <v>307322.08</v>
      </c>
      <c r="J207" s="83">
        <v>335414.69576999993</v>
      </c>
      <c r="K207" s="66">
        <v>612462.43999999994</v>
      </c>
      <c r="L207" s="251">
        <v>616602</v>
      </c>
      <c r="M207" s="63">
        <v>312593.8578</v>
      </c>
      <c r="N207" s="64">
        <v>305197.57013399998</v>
      </c>
      <c r="O207" s="65">
        <v>625599</v>
      </c>
      <c r="P207" s="66">
        <v>625599</v>
      </c>
      <c r="Q207" s="66">
        <f t="shared" si="51"/>
        <v>330415.10239999997</v>
      </c>
      <c r="R207" s="63">
        <f t="shared" si="52"/>
        <v>327548.76335439994</v>
      </c>
      <c r="S207" s="83">
        <f t="shared" si="53"/>
        <v>318983.69243159995</v>
      </c>
      <c r="T207" s="64">
        <f t="shared" si="54"/>
        <v>307268.53068047995</v>
      </c>
      <c r="U207" s="66">
        <f t="shared" si="55"/>
        <v>606085.83112799993</v>
      </c>
      <c r="V207" s="63">
        <f t="shared" si="56"/>
        <v>614640.67647200008</v>
      </c>
      <c r="W207" s="83">
        <f t="shared" si="57"/>
        <v>621336.22139999992</v>
      </c>
      <c r="X207" s="64">
        <f t="shared" si="58"/>
        <v>625599</v>
      </c>
      <c r="Z207" s="67">
        <v>323757.28000000003</v>
      </c>
      <c r="AA207" s="68">
        <v>433780.30709999986</v>
      </c>
      <c r="AB207" s="69">
        <v>612462.43999999994</v>
      </c>
      <c r="AC207" s="70">
        <v>616602</v>
      </c>
      <c r="AD207" s="67">
        <v>312593.8578</v>
      </c>
      <c r="AE207" s="68">
        <v>305197.57013399998</v>
      </c>
      <c r="AF207" s="69">
        <v>625599</v>
      </c>
      <c r="AG207" s="70">
        <v>625599</v>
      </c>
      <c r="AH207" s="70">
        <f t="shared" si="59"/>
        <v>342248.44640000002</v>
      </c>
      <c r="AI207" s="70">
        <f t="shared" si="60"/>
        <v>402973.85951199988</v>
      </c>
      <c r="AJ207" s="70">
        <f t="shared" si="61"/>
        <v>346526.06360399997</v>
      </c>
      <c r="AK207" s="70">
        <f t="shared" si="62"/>
        <v>307268.53068047995</v>
      </c>
      <c r="AL207" s="70">
        <f t="shared" si="63"/>
        <v>606085.83112799993</v>
      </c>
      <c r="AM207" s="70">
        <f t="shared" si="64"/>
        <v>614640.67647200008</v>
      </c>
      <c r="AN207" s="70">
        <f t="shared" si="65"/>
        <v>621336.22139999992</v>
      </c>
      <c r="AO207" s="70">
        <f t="shared" si="66"/>
        <v>625599</v>
      </c>
    </row>
    <row r="208" spans="1:41">
      <c r="A208" s="29" t="s">
        <v>51</v>
      </c>
      <c r="B208" s="29" t="s">
        <v>794</v>
      </c>
      <c r="C208" s="107">
        <v>4186480</v>
      </c>
      <c r="D208" s="108">
        <v>714304</v>
      </c>
      <c r="F208" s="107">
        <v>4032574.57</v>
      </c>
      <c r="G208" s="108">
        <v>715285.78</v>
      </c>
      <c r="I208" s="64">
        <v>4032574.57</v>
      </c>
      <c r="J208" s="83">
        <v>3987594.4878726653</v>
      </c>
      <c r="K208" s="66">
        <v>715285.78</v>
      </c>
      <c r="L208" s="251">
        <v>714304</v>
      </c>
      <c r="M208" s="63">
        <v>3761219.2240479998</v>
      </c>
      <c r="N208" s="64">
        <v>3672152.7897319999</v>
      </c>
      <c r="O208" s="65">
        <v>714304</v>
      </c>
      <c r="P208" s="66">
        <v>714304</v>
      </c>
      <c r="Q208" s="66">
        <f t="shared" si="51"/>
        <v>4075668.0904000001</v>
      </c>
      <c r="R208" s="63">
        <f t="shared" si="52"/>
        <v>4000188.9108683192</v>
      </c>
      <c r="S208" s="83">
        <f t="shared" si="53"/>
        <v>3824604.2979189064</v>
      </c>
      <c r="T208" s="64">
        <f t="shared" si="54"/>
        <v>3697091.3913404797</v>
      </c>
      <c r="U208" s="66">
        <f t="shared" si="55"/>
        <v>714820.61263600003</v>
      </c>
      <c r="V208" s="63">
        <f t="shared" si="56"/>
        <v>714769.16736399999</v>
      </c>
      <c r="W208" s="83">
        <f t="shared" si="57"/>
        <v>714304</v>
      </c>
      <c r="X208" s="64">
        <f t="shared" si="58"/>
        <v>714304</v>
      </c>
      <c r="Z208" s="67">
        <v>4032574.57</v>
      </c>
      <c r="AA208" s="68">
        <v>3987594.4878726653</v>
      </c>
      <c r="AB208" s="69">
        <v>715285.78</v>
      </c>
      <c r="AC208" s="70">
        <v>714304</v>
      </c>
      <c r="AD208" s="67">
        <v>3761219.2240479998</v>
      </c>
      <c r="AE208" s="68">
        <v>3672152.7897319999</v>
      </c>
      <c r="AF208" s="69">
        <v>714304</v>
      </c>
      <c r="AG208" s="70">
        <v>714304</v>
      </c>
      <c r="AH208" s="70">
        <f t="shared" si="59"/>
        <v>4075668.0904000001</v>
      </c>
      <c r="AI208" s="70">
        <f t="shared" si="60"/>
        <v>4000188.9108683192</v>
      </c>
      <c r="AJ208" s="70">
        <f t="shared" si="61"/>
        <v>3824604.2979189064</v>
      </c>
      <c r="AK208" s="70">
        <f t="shared" si="62"/>
        <v>3697091.3913404797</v>
      </c>
      <c r="AL208" s="70">
        <f t="shared" si="63"/>
        <v>714820.61263600003</v>
      </c>
      <c r="AM208" s="70">
        <f t="shared" si="64"/>
        <v>714769.16736399999</v>
      </c>
      <c r="AN208" s="70">
        <f t="shared" si="65"/>
        <v>714304</v>
      </c>
      <c r="AO208" s="70">
        <f t="shared" si="66"/>
        <v>714304</v>
      </c>
    </row>
    <row r="209" spans="1:41">
      <c r="A209" s="29" t="s">
        <v>155</v>
      </c>
      <c r="B209" s="29" t="s">
        <v>933</v>
      </c>
      <c r="C209" s="107">
        <v>60741.54</v>
      </c>
      <c r="D209" s="108">
        <v>331448</v>
      </c>
      <c r="F209" s="107">
        <v>57868.08</v>
      </c>
      <c r="G209" s="108">
        <v>331448</v>
      </c>
      <c r="I209" s="64">
        <v>34370.370000000003</v>
      </c>
      <c r="J209" s="83">
        <v>38638.087600000013</v>
      </c>
      <c r="K209" s="66">
        <v>331448</v>
      </c>
      <c r="L209" s="251">
        <v>331448</v>
      </c>
      <c r="M209" s="63">
        <v>40086.337500000023</v>
      </c>
      <c r="N209" s="64">
        <v>45965.458799999979</v>
      </c>
      <c r="O209" s="65">
        <v>331448</v>
      </c>
      <c r="P209" s="66">
        <v>331448</v>
      </c>
      <c r="Q209" s="66">
        <f t="shared" si="51"/>
        <v>41754.297600000005</v>
      </c>
      <c r="R209" s="63">
        <f t="shared" si="52"/>
        <v>37443.126672000013</v>
      </c>
      <c r="S209" s="83">
        <f t="shared" si="53"/>
        <v>39680.827528000023</v>
      </c>
      <c r="T209" s="64">
        <f t="shared" si="54"/>
        <v>44319.304835999988</v>
      </c>
      <c r="U209" s="66">
        <f t="shared" si="55"/>
        <v>331448</v>
      </c>
      <c r="V209" s="63">
        <f t="shared" si="56"/>
        <v>331448</v>
      </c>
      <c r="W209" s="83">
        <f t="shared" si="57"/>
        <v>331448</v>
      </c>
      <c r="X209" s="64">
        <f t="shared" si="58"/>
        <v>331448</v>
      </c>
      <c r="Z209" s="67">
        <v>57868.08</v>
      </c>
      <c r="AA209" s="68">
        <v>93845.180799999973</v>
      </c>
      <c r="AB209" s="69">
        <v>331448</v>
      </c>
      <c r="AC209" s="70">
        <v>331448</v>
      </c>
      <c r="AD209" s="67">
        <v>40086.337500000023</v>
      </c>
      <c r="AE209" s="68">
        <v>45965.458799999979</v>
      </c>
      <c r="AF209" s="69">
        <v>331448</v>
      </c>
      <c r="AG209" s="70">
        <v>331448</v>
      </c>
      <c r="AH209" s="70">
        <f t="shared" si="59"/>
        <v>58672.648800000003</v>
      </c>
      <c r="AI209" s="70">
        <f t="shared" si="60"/>
        <v>83771.592575999966</v>
      </c>
      <c r="AJ209" s="70">
        <f t="shared" si="61"/>
        <v>55138.813624000009</v>
      </c>
      <c r="AK209" s="70">
        <f t="shared" si="62"/>
        <v>44319.304835999988</v>
      </c>
      <c r="AL209" s="70">
        <f t="shared" si="63"/>
        <v>331448</v>
      </c>
      <c r="AM209" s="70">
        <f t="shared" si="64"/>
        <v>331448</v>
      </c>
      <c r="AN209" s="70">
        <f t="shared" si="65"/>
        <v>331448</v>
      </c>
      <c r="AO209" s="70">
        <f t="shared" si="66"/>
        <v>331448</v>
      </c>
    </row>
    <row r="210" spans="1:41">
      <c r="A210" s="29" t="s">
        <v>123</v>
      </c>
      <c r="B210" s="29" t="s">
        <v>795</v>
      </c>
      <c r="C210" s="107">
        <v>0</v>
      </c>
      <c r="D210" s="108">
        <v>7998462</v>
      </c>
      <c r="F210" s="107">
        <v>0</v>
      </c>
      <c r="G210" s="108">
        <v>8462372</v>
      </c>
      <c r="I210" s="64">
        <v>0</v>
      </c>
      <c r="J210" s="83">
        <v>0</v>
      </c>
      <c r="K210" s="66">
        <v>8462372</v>
      </c>
      <c r="L210" s="251">
        <v>8462372</v>
      </c>
      <c r="M210" s="63">
        <v>0</v>
      </c>
      <c r="N210" s="64">
        <v>0</v>
      </c>
      <c r="O210" s="65">
        <v>8462372</v>
      </c>
      <c r="P210" s="66">
        <v>8462372</v>
      </c>
      <c r="Q210" s="66">
        <f t="shared" si="51"/>
        <v>0</v>
      </c>
      <c r="R210" s="63">
        <f t="shared" si="52"/>
        <v>0</v>
      </c>
      <c r="S210" s="83">
        <f t="shared" si="53"/>
        <v>0</v>
      </c>
      <c r="T210" s="64">
        <f t="shared" si="54"/>
        <v>0</v>
      </c>
      <c r="U210" s="66">
        <f t="shared" si="55"/>
        <v>8242571.4419999998</v>
      </c>
      <c r="V210" s="63">
        <f t="shared" si="56"/>
        <v>8462372</v>
      </c>
      <c r="W210" s="83">
        <f t="shared" si="57"/>
        <v>8462372</v>
      </c>
      <c r="X210" s="64">
        <f t="shared" si="58"/>
        <v>8462372</v>
      </c>
      <c r="Z210" s="67">
        <v>0</v>
      </c>
      <c r="AA210" s="68">
        <v>0</v>
      </c>
      <c r="AB210" s="69">
        <v>8462372</v>
      </c>
      <c r="AC210" s="70">
        <v>8462372</v>
      </c>
      <c r="AD210" s="67">
        <v>0</v>
      </c>
      <c r="AE210" s="68">
        <v>0</v>
      </c>
      <c r="AF210" s="69">
        <v>8462372</v>
      </c>
      <c r="AG210" s="70">
        <v>8462372</v>
      </c>
      <c r="AH210" s="70">
        <f t="shared" si="59"/>
        <v>0</v>
      </c>
      <c r="AI210" s="70">
        <f t="shared" si="60"/>
        <v>0</v>
      </c>
      <c r="AJ210" s="70">
        <f t="shared" si="61"/>
        <v>0</v>
      </c>
      <c r="AK210" s="70">
        <f t="shared" si="62"/>
        <v>0</v>
      </c>
      <c r="AL210" s="70">
        <f t="shared" si="63"/>
        <v>8242571.4419999998</v>
      </c>
      <c r="AM210" s="70">
        <f t="shared" si="64"/>
        <v>8462372</v>
      </c>
      <c r="AN210" s="70">
        <f t="shared" si="65"/>
        <v>8462372</v>
      </c>
      <c r="AO210" s="70">
        <f t="shared" si="66"/>
        <v>8462372</v>
      </c>
    </row>
    <row r="211" spans="1:41">
      <c r="A211" s="29" t="s">
        <v>515</v>
      </c>
      <c r="B211" s="29" t="s">
        <v>796</v>
      </c>
      <c r="C211" s="107">
        <v>181025.42</v>
      </c>
      <c r="D211" s="108">
        <v>1659080</v>
      </c>
      <c r="F211" s="107">
        <v>265973.43</v>
      </c>
      <c r="G211" s="108">
        <v>1879475</v>
      </c>
      <c r="I211" s="64">
        <v>241731.37</v>
      </c>
      <c r="J211" s="83">
        <v>43676.772599999938</v>
      </c>
      <c r="K211" s="66">
        <v>1879475</v>
      </c>
      <c r="L211" s="251">
        <v>2105012</v>
      </c>
      <c r="M211" s="63">
        <v>0</v>
      </c>
      <c r="N211" s="64">
        <v>0</v>
      </c>
      <c r="O211" s="65">
        <v>2357614</v>
      </c>
      <c r="P211" s="66">
        <v>2357614</v>
      </c>
      <c r="Q211" s="66">
        <f t="shared" si="51"/>
        <v>224733.704</v>
      </c>
      <c r="R211" s="63">
        <f t="shared" si="52"/>
        <v>99132.059871999969</v>
      </c>
      <c r="S211" s="83">
        <f t="shared" si="53"/>
        <v>12229.496327999985</v>
      </c>
      <c r="T211" s="64">
        <f t="shared" si="54"/>
        <v>0</v>
      </c>
      <c r="U211" s="66">
        <f t="shared" si="55"/>
        <v>1775051.8489999999</v>
      </c>
      <c r="V211" s="63">
        <f t="shared" si="56"/>
        <v>1998152.5693999999</v>
      </c>
      <c r="W211" s="83">
        <f t="shared" si="57"/>
        <v>2237931.1724</v>
      </c>
      <c r="X211" s="64">
        <f t="shared" si="58"/>
        <v>2357614</v>
      </c>
      <c r="Z211" s="67">
        <v>265973.43</v>
      </c>
      <c r="AA211" s="68">
        <v>53322.02730000006</v>
      </c>
      <c r="AB211" s="69">
        <v>1879475</v>
      </c>
      <c r="AC211" s="70">
        <v>2105012</v>
      </c>
      <c r="AD211" s="67">
        <v>0</v>
      </c>
      <c r="AE211" s="68">
        <v>0</v>
      </c>
      <c r="AF211" s="69">
        <v>2357614</v>
      </c>
      <c r="AG211" s="70">
        <v>2357614</v>
      </c>
      <c r="AH211" s="70">
        <f t="shared" si="59"/>
        <v>242187.98719999997</v>
      </c>
      <c r="AI211" s="70">
        <f t="shared" si="60"/>
        <v>112864.42005600005</v>
      </c>
      <c r="AJ211" s="70">
        <f t="shared" si="61"/>
        <v>14930.167644000017</v>
      </c>
      <c r="AK211" s="70">
        <f t="shared" si="62"/>
        <v>0</v>
      </c>
      <c r="AL211" s="70">
        <f t="shared" si="63"/>
        <v>1775051.8489999999</v>
      </c>
      <c r="AM211" s="70">
        <f t="shared" si="64"/>
        <v>1998152.5693999999</v>
      </c>
      <c r="AN211" s="70">
        <f t="shared" si="65"/>
        <v>2237931.1724</v>
      </c>
      <c r="AO211" s="70">
        <f t="shared" si="66"/>
        <v>2357614</v>
      </c>
    </row>
    <row r="212" spans="1:41">
      <c r="A212" s="29" t="s">
        <v>345</v>
      </c>
      <c r="B212" s="29" t="s">
        <v>797</v>
      </c>
      <c r="C212" s="107">
        <v>460106.96</v>
      </c>
      <c r="D212" s="108">
        <v>632000</v>
      </c>
      <c r="F212" s="107">
        <v>431242.62</v>
      </c>
      <c r="G212" s="108">
        <v>632000</v>
      </c>
      <c r="I212" s="64">
        <v>404784.43</v>
      </c>
      <c r="J212" s="83">
        <v>461825.64389999985</v>
      </c>
      <c r="K212" s="66">
        <v>632000</v>
      </c>
      <c r="L212" s="251">
        <v>632000</v>
      </c>
      <c r="M212" s="63">
        <v>453430.94639999996</v>
      </c>
      <c r="N212" s="64">
        <v>431874.21329999994</v>
      </c>
      <c r="O212" s="65">
        <v>632000</v>
      </c>
      <c r="P212" s="66">
        <v>632000</v>
      </c>
      <c r="Q212" s="66">
        <f t="shared" si="51"/>
        <v>420274.73839999997</v>
      </c>
      <c r="R212" s="63">
        <f t="shared" si="52"/>
        <v>445854.10400799988</v>
      </c>
      <c r="S212" s="83">
        <f t="shared" si="53"/>
        <v>455781.46169999999</v>
      </c>
      <c r="T212" s="64">
        <f t="shared" si="54"/>
        <v>437910.0985679999</v>
      </c>
      <c r="U212" s="66">
        <f t="shared" si="55"/>
        <v>632000</v>
      </c>
      <c r="V212" s="63">
        <f t="shared" si="56"/>
        <v>632000</v>
      </c>
      <c r="W212" s="83">
        <f t="shared" si="57"/>
        <v>632000</v>
      </c>
      <c r="X212" s="64">
        <f t="shared" si="58"/>
        <v>632000</v>
      </c>
      <c r="Z212" s="67">
        <v>431242.62</v>
      </c>
      <c r="AA212" s="68">
        <v>479943.8018999999</v>
      </c>
      <c r="AB212" s="69">
        <v>632000</v>
      </c>
      <c r="AC212" s="70">
        <v>632000</v>
      </c>
      <c r="AD212" s="67">
        <v>453430.94639999996</v>
      </c>
      <c r="AE212" s="68">
        <v>431874.21329999994</v>
      </c>
      <c r="AF212" s="69">
        <v>632000</v>
      </c>
      <c r="AG212" s="70">
        <v>632000</v>
      </c>
      <c r="AH212" s="70">
        <f t="shared" si="59"/>
        <v>439324.63520000002</v>
      </c>
      <c r="AI212" s="70">
        <f t="shared" si="60"/>
        <v>466307.47096799989</v>
      </c>
      <c r="AJ212" s="70">
        <f t="shared" si="61"/>
        <v>460854.54593999998</v>
      </c>
      <c r="AK212" s="70">
        <f t="shared" si="62"/>
        <v>437910.0985679999</v>
      </c>
      <c r="AL212" s="70">
        <f t="shared" si="63"/>
        <v>632000</v>
      </c>
      <c r="AM212" s="70">
        <f t="shared" si="64"/>
        <v>632000</v>
      </c>
      <c r="AN212" s="70">
        <f t="shared" si="65"/>
        <v>632000</v>
      </c>
      <c r="AO212" s="70">
        <f t="shared" si="66"/>
        <v>632000</v>
      </c>
    </row>
    <row r="213" spans="1:41">
      <c r="A213" s="29" t="s">
        <v>299</v>
      </c>
      <c r="B213" s="29" t="s">
        <v>889</v>
      </c>
      <c r="C213" s="107">
        <v>108971.41</v>
      </c>
      <c r="D213" s="108">
        <v>1300462</v>
      </c>
      <c r="F213" s="107">
        <v>54962.58</v>
      </c>
      <c r="G213" s="108">
        <v>1300112</v>
      </c>
      <c r="I213" s="64">
        <v>54962.58</v>
      </c>
      <c r="J213" s="83">
        <v>141250.79070000001</v>
      </c>
      <c r="K213" s="66">
        <v>1300112</v>
      </c>
      <c r="L213" s="251">
        <v>1358617</v>
      </c>
      <c r="M213" s="63">
        <v>104945.73449999993</v>
      </c>
      <c r="N213" s="64">
        <v>94256.799599999838</v>
      </c>
      <c r="O213" s="65">
        <v>1419755</v>
      </c>
      <c r="P213" s="66">
        <v>1419755</v>
      </c>
      <c r="Q213" s="66">
        <f t="shared" si="51"/>
        <v>70085.0524</v>
      </c>
      <c r="R213" s="63">
        <f t="shared" si="52"/>
        <v>117090.09170400001</v>
      </c>
      <c r="S213" s="83">
        <f t="shared" si="53"/>
        <v>115111.15023599996</v>
      </c>
      <c r="T213" s="64">
        <f t="shared" si="54"/>
        <v>97249.701371999865</v>
      </c>
      <c r="U213" s="66">
        <f t="shared" si="55"/>
        <v>1300277.83</v>
      </c>
      <c r="V213" s="63">
        <f t="shared" si="56"/>
        <v>1330897.331</v>
      </c>
      <c r="W213" s="83">
        <f t="shared" si="57"/>
        <v>1390787.8155999999</v>
      </c>
      <c r="X213" s="64">
        <f t="shared" si="58"/>
        <v>1419755</v>
      </c>
      <c r="Z213" s="67">
        <v>54962.58</v>
      </c>
      <c r="AA213" s="68">
        <v>141250.79070000001</v>
      </c>
      <c r="AB213" s="69">
        <v>1300112</v>
      </c>
      <c r="AC213" s="70">
        <v>1358617</v>
      </c>
      <c r="AD213" s="67">
        <v>104945.73449999993</v>
      </c>
      <c r="AE213" s="68">
        <v>94256.799599999838</v>
      </c>
      <c r="AF213" s="69">
        <v>1419755</v>
      </c>
      <c r="AG213" s="70">
        <v>1419755</v>
      </c>
      <c r="AH213" s="70">
        <f t="shared" si="59"/>
        <v>70085.0524</v>
      </c>
      <c r="AI213" s="70">
        <f t="shared" si="60"/>
        <v>117090.09170400001</v>
      </c>
      <c r="AJ213" s="70">
        <f t="shared" si="61"/>
        <v>115111.15023599996</v>
      </c>
      <c r="AK213" s="70">
        <f t="shared" si="62"/>
        <v>97249.701371999865</v>
      </c>
      <c r="AL213" s="70">
        <f t="shared" si="63"/>
        <v>1300277.83</v>
      </c>
      <c r="AM213" s="70">
        <f t="shared" si="64"/>
        <v>1330897.331</v>
      </c>
      <c r="AN213" s="70">
        <f t="shared" si="65"/>
        <v>1390787.8155999999</v>
      </c>
      <c r="AO213" s="70">
        <f t="shared" si="66"/>
        <v>1419755</v>
      </c>
    </row>
    <row r="214" spans="1:41">
      <c r="A214" s="29" t="s">
        <v>195</v>
      </c>
      <c r="B214" s="29" t="s">
        <v>798</v>
      </c>
      <c r="C214" s="107">
        <v>0</v>
      </c>
      <c r="D214" s="108">
        <v>58000000</v>
      </c>
      <c r="F214" s="107">
        <v>0</v>
      </c>
      <c r="G214" s="108">
        <v>59000000</v>
      </c>
      <c r="I214" s="64">
        <v>0</v>
      </c>
      <c r="J214" s="83">
        <v>0</v>
      </c>
      <c r="K214" s="66">
        <v>59000000</v>
      </c>
      <c r="L214" s="251">
        <v>43611900.506200001</v>
      </c>
      <c r="M214" s="63">
        <v>0</v>
      </c>
      <c r="N214" s="64">
        <v>0</v>
      </c>
      <c r="O214" s="65">
        <v>45123362.270300001</v>
      </c>
      <c r="P214" s="66">
        <v>46910987.484900005</v>
      </c>
      <c r="Q214" s="66">
        <f t="shared" si="51"/>
        <v>0</v>
      </c>
      <c r="R214" s="63">
        <f t="shared" si="52"/>
        <v>0</v>
      </c>
      <c r="S214" s="83">
        <f t="shared" si="53"/>
        <v>0</v>
      </c>
      <c r="T214" s="64">
        <f t="shared" si="54"/>
        <v>0</v>
      </c>
      <c r="U214" s="66">
        <f t="shared" si="55"/>
        <v>58526200</v>
      </c>
      <c r="V214" s="63">
        <f t="shared" si="56"/>
        <v>50902782.046362445</v>
      </c>
      <c r="W214" s="83">
        <f t="shared" si="57"/>
        <v>44407231.686469421</v>
      </c>
      <c r="X214" s="64">
        <f t="shared" si="58"/>
        <v>46064010.658222526</v>
      </c>
      <c r="Z214" s="67">
        <v>0</v>
      </c>
      <c r="AA214" s="68">
        <v>0</v>
      </c>
      <c r="AB214" s="69">
        <v>59000000</v>
      </c>
      <c r="AC214" s="70">
        <v>44498642.932599999</v>
      </c>
      <c r="AD214" s="67">
        <v>0</v>
      </c>
      <c r="AE214" s="68">
        <v>0</v>
      </c>
      <c r="AF214" s="69">
        <v>45123362.270300001</v>
      </c>
      <c r="AG214" s="70">
        <v>46910987.484900005</v>
      </c>
      <c r="AH214" s="70">
        <f t="shared" si="59"/>
        <v>0</v>
      </c>
      <c r="AI214" s="70">
        <f t="shared" si="60"/>
        <v>0</v>
      </c>
      <c r="AJ214" s="70">
        <f t="shared" si="61"/>
        <v>0</v>
      </c>
      <c r="AK214" s="70">
        <f t="shared" si="62"/>
        <v>0</v>
      </c>
      <c r="AL214" s="70">
        <f t="shared" si="63"/>
        <v>58526200</v>
      </c>
      <c r="AM214" s="70">
        <f t="shared" si="64"/>
        <v>51369385.911134124</v>
      </c>
      <c r="AN214" s="70">
        <f t="shared" si="65"/>
        <v>44827370.24809774</v>
      </c>
      <c r="AO214" s="70">
        <f t="shared" si="66"/>
        <v>46064010.658222526</v>
      </c>
    </row>
    <row r="215" spans="1:41">
      <c r="A215" s="29" t="s">
        <v>109</v>
      </c>
      <c r="B215" s="29" t="s">
        <v>799</v>
      </c>
      <c r="C215" s="107">
        <v>37018.559999999998</v>
      </c>
      <c r="D215" s="108">
        <v>475000</v>
      </c>
      <c r="F215" s="107">
        <v>72583.539999999994</v>
      </c>
      <c r="G215" s="108">
        <v>490000</v>
      </c>
      <c r="I215" s="64">
        <v>72583.539999999994</v>
      </c>
      <c r="J215" s="83">
        <v>96331.649549999885</v>
      </c>
      <c r="K215" s="66">
        <v>490000</v>
      </c>
      <c r="L215" s="251">
        <v>490000</v>
      </c>
      <c r="M215" s="63">
        <v>76867.345100000006</v>
      </c>
      <c r="N215" s="64">
        <v>82237.376844000013</v>
      </c>
      <c r="O215" s="65">
        <v>490000</v>
      </c>
      <c r="P215" s="66">
        <v>490000</v>
      </c>
      <c r="Q215" s="66">
        <f t="shared" si="51"/>
        <v>62625.345599999993</v>
      </c>
      <c r="R215" s="63">
        <f t="shared" si="52"/>
        <v>89682.178875999918</v>
      </c>
      <c r="S215" s="83">
        <f t="shared" si="53"/>
        <v>82317.350345999977</v>
      </c>
      <c r="T215" s="64">
        <f t="shared" si="54"/>
        <v>80733.767955680014</v>
      </c>
      <c r="U215" s="66">
        <f t="shared" si="55"/>
        <v>482893</v>
      </c>
      <c r="V215" s="63">
        <f t="shared" si="56"/>
        <v>490000</v>
      </c>
      <c r="W215" s="83">
        <f t="shared" si="57"/>
        <v>490000</v>
      </c>
      <c r="X215" s="64">
        <f t="shared" si="58"/>
        <v>490000</v>
      </c>
      <c r="Z215" s="67">
        <v>72583.539999999994</v>
      </c>
      <c r="AA215" s="68">
        <v>96331.649549999885</v>
      </c>
      <c r="AB215" s="69">
        <v>490000</v>
      </c>
      <c r="AC215" s="70">
        <v>490000</v>
      </c>
      <c r="AD215" s="67">
        <v>76867.345100000006</v>
      </c>
      <c r="AE215" s="68">
        <v>82237.376844000013</v>
      </c>
      <c r="AF215" s="69">
        <v>490000</v>
      </c>
      <c r="AG215" s="70">
        <v>490000</v>
      </c>
      <c r="AH215" s="70">
        <f t="shared" si="59"/>
        <v>62625.345599999993</v>
      </c>
      <c r="AI215" s="70">
        <f t="shared" si="60"/>
        <v>89682.178875999918</v>
      </c>
      <c r="AJ215" s="70">
        <f t="shared" si="61"/>
        <v>82317.350345999977</v>
      </c>
      <c r="AK215" s="70">
        <f t="shared" si="62"/>
        <v>80733.767955680014</v>
      </c>
      <c r="AL215" s="70">
        <f t="shared" si="63"/>
        <v>482893</v>
      </c>
      <c r="AM215" s="70">
        <f t="shared" si="64"/>
        <v>490000</v>
      </c>
      <c r="AN215" s="70">
        <f t="shared" si="65"/>
        <v>490000</v>
      </c>
      <c r="AO215" s="70">
        <f t="shared" si="66"/>
        <v>490000</v>
      </c>
    </row>
    <row r="216" spans="1:41">
      <c r="A216" s="29" t="s">
        <v>27</v>
      </c>
      <c r="B216" s="29" t="s">
        <v>800</v>
      </c>
      <c r="C216" s="107">
        <v>7125854.7400000002</v>
      </c>
      <c r="D216" s="108">
        <v>24513000</v>
      </c>
      <c r="F216" s="107">
        <v>6844096.21</v>
      </c>
      <c r="G216" s="108">
        <v>26000000</v>
      </c>
      <c r="I216" s="64">
        <v>5925435.4400000004</v>
      </c>
      <c r="J216" s="83">
        <v>5622398.5051000034</v>
      </c>
      <c r="K216" s="66">
        <v>26000000</v>
      </c>
      <c r="L216" s="251">
        <v>26000000</v>
      </c>
      <c r="M216" s="63">
        <v>4208789.4668999976</v>
      </c>
      <c r="N216" s="64">
        <v>3199706.2410000027</v>
      </c>
      <c r="O216" s="65">
        <v>26000000</v>
      </c>
      <c r="P216" s="66">
        <v>26000000</v>
      </c>
      <c r="Q216" s="66">
        <f t="shared" si="51"/>
        <v>6261552.8440000005</v>
      </c>
      <c r="R216" s="63">
        <f t="shared" si="52"/>
        <v>5707248.8468720028</v>
      </c>
      <c r="S216" s="83">
        <f t="shared" si="53"/>
        <v>4604599.9975959994</v>
      </c>
      <c r="T216" s="64">
        <f t="shared" si="54"/>
        <v>3482249.5442520012</v>
      </c>
      <c r="U216" s="66">
        <f t="shared" si="55"/>
        <v>25295459.399999999</v>
      </c>
      <c r="V216" s="63">
        <f t="shared" si="56"/>
        <v>26000000</v>
      </c>
      <c r="W216" s="83">
        <f t="shared" si="57"/>
        <v>26000000</v>
      </c>
      <c r="X216" s="64">
        <f t="shared" si="58"/>
        <v>26000000</v>
      </c>
      <c r="Z216" s="67">
        <v>6844096.21</v>
      </c>
      <c r="AA216" s="68">
        <v>6349167.5586000029</v>
      </c>
      <c r="AB216" s="69">
        <v>26000000</v>
      </c>
      <c r="AC216" s="70">
        <v>26000000</v>
      </c>
      <c r="AD216" s="67">
        <v>4208789.4668999976</v>
      </c>
      <c r="AE216" s="68">
        <v>3199706.2410000027</v>
      </c>
      <c r="AF216" s="69">
        <v>26000000</v>
      </c>
      <c r="AG216" s="70">
        <v>26000000</v>
      </c>
      <c r="AH216" s="70">
        <f t="shared" si="59"/>
        <v>6922988.5983999996</v>
      </c>
      <c r="AI216" s="70">
        <f t="shared" si="60"/>
        <v>6487747.580992002</v>
      </c>
      <c r="AJ216" s="70">
        <f t="shared" si="61"/>
        <v>4808095.3325759992</v>
      </c>
      <c r="AK216" s="70">
        <f t="shared" si="62"/>
        <v>3482249.5442520012</v>
      </c>
      <c r="AL216" s="70">
        <f t="shared" si="63"/>
        <v>25295459.399999999</v>
      </c>
      <c r="AM216" s="70">
        <f t="shared" si="64"/>
        <v>26000000</v>
      </c>
      <c r="AN216" s="70">
        <f t="shared" si="65"/>
        <v>26000000</v>
      </c>
      <c r="AO216" s="70">
        <f t="shared" si="66"/>
        <v>26000000</v>
      </c>
    </row>
    <row r="217" spans="1:41">
      <c r="A217" s="29" t="s">
        <v>71</v>
      </c>
      <c r="B217" s="29" t="s">
        <v>801</v>
      </c>
      <c r="C217" s="107">
        <v>0</v>
      </c>
      <c r="D217" s="108">
        <v>6493786</v>
      </c>
      <c r="F217" s="107">
        <v>0</v>
      </c>
      <c r="G217" s="108">
        <v>7642525</v>
      </c>
      <c r="I217" s="64">
        <v>0</v>
      </c>
      <c r="J217" s="83">
        <v>0</v>
      </c>
      <c r="K217" s="66">
        <v>7642525</v>
      </c>
      <c r="L217" s="251">
        <v>7984531</v>
      </c>
      <c r="M217" s="63">
        <v>0</v>
      </c>
      <c r="N217" s="64">
        <v>0</v>
      </c>
      <c r="O217" s="65">
        <v>7984531</v>
      </c>
      <c r="P217" s="66">
        <v>7984531</v>
      </c>
      <c r="Q217" s="66">
        <f t="shared" si="51"/>
        <v>0</v>
      </c>
      <c r="R217" s="63">
        <f t="shared" si="52"/>
        <v>0</v>
      </c>
      <c r="S217" s="83">
        <f t="shared" si="53"/>
        <v>0</v>
      </c>
      <c r="T217" s="64">
        <f t="shared" si="54"/>
        <v>0</v>
      </c>
      <c r="U217" s="66">
        <f t="shared" si="55"/>
        <v>7098252.4617999997</v>
      </c>
      <c r="V217" s="63">
        <f t="shared" si="56"/>
        <v>7822488.5571999997</v>
      </c>
      <c r="W217" s="83">
        <f t="shared" si="57"/>
        <v>7984531</v>
      </c>
      <c r="X217" s="64">
        <f t="shared" si="58"/>
        <v>7984531</v>
      </c>
      <c r="Z217" s="67">
        <v>0</v>
      </c>
      <c r="AA217" s="68">
        <v>0</v>
      </c>
      <c r="AB217" s="69">
        <v>7642525</v>
      </c>
      <c r="AC217" s="70">
        <v>7984531</v>
      </c>
      <c r="AD217" s="67">
        <v>0</v>
      </c>
      <c r="AE217" s="68">
        <v>0</v>
      </c>
      <c r="AF217" s="69">
        <v>7984531</v>
      </c>
      <c r="AG217" s="70">
        <v>7984531</v>
      </c>
      <c r="AH217" s="70">
        <f t="shared" si="59"/>
        <v>0</v>
      </c>
      <c r="AI217" s="70">
        <f t="shared" si="60"/>
        <v>0</v>
      </c>
      <c r="AJ217" s="70">
        <f t="shared" si="61"/>
        <v>0</v>
      </c>
      <c r="AK217" s="70">
        <f t="shared" si="62"/>
        <v>0</v>
      </c>
      <c r="AL217" s="70">
        <f t="shared" si="63"/>
        <v>7098252.4617999997</v>
      </c>
      <c r="AM217" s="70">
        <f t="shared" si="64"/>
        <v>7822488.5571999997</v>
      </c>
      <c r="AN217" s="70">
        <f t="shared" si="65"/>
        <v>7984531</v>
      </c>
      <c r="AO217" s="70">
        <f t="shared" si="66"/>
        <v>7984531</v>
      </c>
    </row>
    <row r="218" spans="1:41">
      <c r="A218" s="29" t="s">
        <v>11</v>
      </c>
      <c r="B218" s="29" t="s">
        <v>802</v>
      </c>
      <c r="C218" s="107">
        <v>0</v>
      </c>
      <c r="D218" s="108">
        <v>877500</v>
      </c>
      <c r="F218" s="107">
        <v>0</v>
      </c>
      <c r="G218" s="108">
        <v>877500</v>
      </c>
      <c r="I218" s="64">
        <v>0</v>
      </c>
      <c r="J218" s="83">
        <v>0</v>
      </c>
      <c r="K218" s="66">
        <v>877500</v>
      </c>
      <c r="L218" s="251">
        <v>877500</v>
      </c>
      <c r="M218" s="63">
        <v>0</v>
      </c>
      <c r="N218" s="64">
        <v>0</v>
      </c>
      <c r="O218" s="65">
        <v>877500</v>
      </c>
      <c r="P218" s="66">
        <v>877500</v>
      </c>
      <c r="Q218" s="66">
        <f t="shared" si="51"/>
        <v>0</v>
      </c>
      <c r="R218" s="63">
        <f t="shared" si="52"/>
        <v>0</v>
      </c>
      <c r="S218" s="83">
        <f t="shared" si="53"/>
        <v>0</v>
      </c>
      <c r="T218" s="64">
        <f t="shared" si="54"/>
        <v>0</v>
      </c>
      <c r="U218" s="66">
        <f t="shared" si="55"/>
        <v>877500</v>
      </c>
      <c r="V218" s="63">
        <f t="shared" si="56"/>
        <v>877500</v>
      </c>
      <c r="W218" s="83">
        <f t="shared" si="57"/>
        <v>877500</v>
      </c>
      <c r="X218" s="64">
        <f t="shared" si="58"/>
        <v>877500</v>
      </c>
      <c r="Z218" s="67">
        <v>0</v>
      </c>
      <c r="AA218" s="68">
        <v>0</v>
      </c>
      <c r="AB218" s="69">
        <v>877500</v>
      </c>
      <c r="AC218" s="70">
        <v>877500</v>
      </c>
      <c r="AD218" s="67">
        <v>0</v>
      </c>
      <c r="AE218" s="68">
        <v>0</v>
      </c>
      <c r="AF218" s="69">
        <v>877500</v>
      </c>
      <c r="AG218" s="70">
        <v>877500</v>
      </c>
      <c r="AH218" s="70">
        <f t="shared" si="59"/>
        <v>0</v>
      </c>
      <c r="AI218" s="70">
        <f t="shared" si="60"/>
        <v>0</v>
      </c>
      <c r="AJ218" s="70">
        <f t="shared" si="61"/>
        <v>0</v>
      </c>
      <c r="AK218" s="70">
        <f t="shared" si="62"/>
        <v>0</v>
      </c>
      <c r="AL218" s="70">
        <f t="shared" si="63"/>
        <v>877500</v>
      </c>
      <c r="AM218" s="70">
        <f t="shared" si="64"/>
        <v>877500</v>
      </c>
      <c r="AN218" s="70">
        <f t="shared" si="65"/>
        <v>877500</v>
      </c>
      <c r="AO218" s="70">
        <f t="shared" si="66"/>
        <v>877500</v>
      </c>
    </row>
    <row r="219" spans="1:41">
      <c r="A219" s="29" t="s">
        <v>477</v>
      </c>
      <c r="B219" s="29" t="s">
        <v>803</v>
      </c>
      <c r="C219" s="107">
        <v>328494.84000000003</v>
      </c>
      <c r="D219" s="108">
        <v>2087900</v>
      </c>
      <c r="F219" s="107">
        <v>103125.31</v>
      </c>
      <c r="G219" s="108">
        <v>2196049</v>
      </c>
      <c r="I219" s="64">
        <v>16650.349999999999</v>
      </c>
      <c r="J219" s="83">
        <v>100141.59920000022</v>
      </c>
      <c r="K219" s="66">
        <v>2196049</v>
      </c>
      <c r="L219" s="251">
        <v>2415654</v>
      </c>
      <c r="M219" s="63">
        <v>14286.823199999955</v>
      </c>
      <c r="N219" s="64">
        <v>0</v>
      </c>
      <c r="O219" s="65">
        <v>2657220</v>
      </c>
      <c r="P219" s="66">
        <v>2657220</v>
      </c>
      <c r="Q219" s="66">
        <f t="shared" si="51"/>
        <v>103966.80720000001</v>
      </c>
      <c r="R219" s="63">
        <f t="shared" si="52"/>
        <v>76764.049424000157</v>
      </c>
      <c r="S219" s="83">
        <f t="shared" si="53"/>
        <v>38326.160480000035</v>
      </c>
      <c r="T219" s="64">
        <f t="shared" si="54"/>
        <v>4000.3104959999878</v>
      </c>
      <c r="U219" s="66">
        <f t="shared" si="55"/>
        <v>2144808.0038000001</v>
      </c>
      <c r="V219" s="63">
        <f t="shared" si="56"/>
        <v>2311605.1510000001</v>
      </c>
      <c r="W219" s="83">
        <f t="shared" si="57"/>
        <v>2542766.0291999998</v>
      </c>
      <c r="X219" s="64">
        <f t="shared" si="58"/>
        <v>2657220</v>
      </c>
      <c r="Z219" s="67">
        <v>103125.31</v>
      </c>
      <c r="AA219" s="68">
        <v>171548.45719999971</v>
      </c>
      <c r="AB219" s="69">
        <v>2196049</v>
      </c>
      <c r="AC219" s="70">
        <v>2415654</v>
      </c>
      <c r="AD219" s="67">
        <v>14286.823199999955</v>
      </c>
      <c r="AE219" s="68">
        <v>0</v>
      </c>
      <c r="AF219" s="69">
        <v>2657220</v>
      </c>
      <c r="AG219" s="70">
        <v>2657220</v>
      </c>
      <c r="AH219" s="70">
        <f t="shared" si="59"/>
        <v>166228.77840000001</v>
      </c>
      <c r="AI219" s="70">
        <f t="shared" si="60"/>
        <v>152389.97598399979</v>
      </c>
      <c r="AJ219" s="70">
        <f t="shared" si="61"/>
        <v>58320.080719999896</v>
      </c>
      <c r="AK219" s="70">
        <f t="shared" si="62"/>
        <v>4000.3104959999878</v>
      </c>
      <c r="AL219" s="70">
        <f t="shared" si="63"/>
        <v>2144808.0038000001</v>
      </c>
      <c r="AM219" s="70">
        <f t="shared" si="64"/>
        <v>2311605.1510000001</v>
      </c>
      <c r="AN219" s="70">
        <f t="shared" si="65"/>
        <v>2542766.0291999998</v>
      </c>
      <c r="AO219" s="70">
        <f t="shared" si="66"/>
        <v>2657220</v>
      </c>
    </row>
    <row r="220" spans="1:41">
      <c r="A220" s="29" t="s">
        <v>203</v>
      </c>
      <c r="B220" s="29" t="s">
        <v>804</v>
      </c>
      <c r="C220" s="107">
        <v>0</v>
      </c>
      <c r="D220" s="108">
        <v>7820000</v>
      </c>
      <c r="F220" s="107">
        <v>0</v>
      </c>
      <c r="G220" s="108">
        <v>7820000</v>
      </c>
      <c r="I220" s="64">
        <v>0</v>
      </c>
      <c r="J220" s="83">
        <v>0</v>
      </c>
      <c r="K220" s="66">
        <v>7820000</v>
      </c>
      <c r="L220" s="251">
        <v>7820000</v>
      </c>
      <c r="M220" s="63">
        <v>0</v>
      </c>
      <c r="N220" s="64">
        <v>0</v>
      </c>
      <c r="O220" s="65">
        <v>7820000</v>
      </c>
      <c r="P220" s="66">
        <v>7820000</v>
      </c>
      <c r="Q220" s="66">
        <f t="shared" si="51"/>
        <v>0</v>
      </c>
      <c r="R220" s="63">
        <f t="shared" si="52"/>
        <v>0</v>
      </c>
      <c r="S220" s="83">
        <f t="shared" si="53"/>
        <v>0</v>
      </c>
      <c r="T220" s="64">
        <f t="shared" si="54"/>
        <v>0</v>
      </c>
      <c r="U220" s="66">
        <f t="shared" si="55"/>
        <v>7820000</v>
      </c>
      <c r="V220" s="63">
        <f t="shared" si="56"/>
        <v>7820000</v>
      </c>
      <c r="W220" s="83">
        <f t="shared" si="57"/>
        <v>7820000</v>
      </c>
      <c r="X220" s="64">
        <f t="shared" si="58"/>
        <v>7820000</v>
      </c>
      <c r="Z220" s="67">
        <v>0</v>
      </c>
      <c r="AA220" s="68">
        <v>0</v>
      </c>
      <c r="AB220" s="69">
        <v>7820000</v>
      </c>
      <c r="AC220" s="70">
        <v>7820000</v>
      </c>
      <c r="AD220" s="67">
        <v>0</v>
      </c>
      <c r="AE220" s="68">
        <v>0</v>
      </c>
      <c r="AF220" s="69">
        <v>7820000</v>
      </c>
      <c r="AG220" s="70">
        <v>7820000</v>
      </c>
      <c r="AH220" s="70">
        <f t="shared" si="59"/>
        <v>0</v>
      </c>
      <c r="AI220" s="70">
        <f t="shared" si="60"/>
        <v>0</v>
      </c>
      <c r="AJ220" s="70">
        <f t="shared" si="61"/>
        <v>0</v>
      </c>
      <c r="AK220" s="70">
        <f t="shared" si="62"/>
        <v>0</v>
      </c>
      <c r="AL220" s="70">
        <f t="shared" si="63"/>
        <v>7820000</v>
      </c>
      <c r="AM220" s="70">
        <f t="shared" si="64"/>
        <v>7820000</v>
      </c>
      <c r="AN220" s="70">
        <f t="shared" si="65"/>
        <v>7820000</v>
      </c>
      <c r="AO220" s="70">
        <f t="shared" si="66"/>
        <v>7820000</v>
      </c>
    </row>
    <row r="221" spans="1:41">
      <c r="A221" s="29" t="s">
        <v>519</v>
      </c>
      <c r="B221" s="29" t="s">
        <v>805</v>
      </c>
      <c r="C221" s="107">
        <v>1441172.54</v>
      </c>
      <c r="D221" s="108">
        <v>3732229</v>
      </c>
      <c r="F221" s="107">
        <v>1217351.0900000001</v>
      </c>
      <c r="G221" s="108">
        <v>4105452</v>
      </c>
      <c r="I221" s="64">
        <v>1122598.98</v>
      </c>
      <c r="J221" s="83">
        <v>1419445.5205999997</v>
      </c>
      <c r="K221" s="66">
        <v>4105452</v>
      </c>
      <c r="L221" s="251">
        <v>3991273.7225000001</v>
      </c>
      <c r="M221" s="63">
        <v>1398744.7584000006</v>
      </c>
      <c r="N221" s="64">
        <v>1416980.3282999997</v>
      </c>
      <c r="O221" s="65">
        <v>4246075.3624999998</v>
      </c>
      <c r="P221" s="66">
        <v>4476261.4275000002</v>
      </c>
      <c r="Q221" s="66">
        <f t="shared" si="51"/>
        <v>1211799.5767999999</v>
      </c>
      <c r="R221" s="63">
        <f t="shared" si="52"/>
        <v>1336328.4892319997</v>
      </c>
      <c r="S221" s="83">
        <f t="shared" si="53"/>
        <v>1404540.9718160003</v>
      </c>
      <c r="T221" s="64">
        <f t="shared" si="54"/>
        <v>1411874.368728</v>
      </c>
      <c r="U221" s="66">
        <f t="shared" si="55"/>
        <v>3928618.9425999997</v>
      </c>
      <c r="V221" s="63">
        <f t="shared" si="56"/>
        <v>4045371.3903795001</v>
      </c>
      <c r="W221" s="83">
        <f t="shared" si="57"/>
        <v>4125350.345468</v>
      </c>
      <c r="X221" s="64">
        <f t="shared" si="58"/>
        <v>4367199.2699030004</v>
      </c>
      <c r="Z221" s="67">
        <v>1217351.0900000001</v>
      </c>
      <c r="AA221" s="68">
        <v>1480425.5562999994</v>
      </c>
      <c r="AB221" s="69">
        <v>4105452</v>
      </c>
      <c r="AC221" s="70">
        <v>3991273.7225000001</v>
      </c>
      <c r="AD221" s="67">
        <v>1398744.7584000006</v>
      </c>
      <c r="AE221" s="68">
        <v>1416980.3282999997</v>
      </c>
      <c r="AF221" s="69">
        <v>4246075.3624999998</v>
      </c>
      <c r="AG221" s="70">
        <v>4476261.4275000002</v>
      </c>
      <c r="AH221" s="70">
        <f t="shared" si="59"/>
        <v>1280021.0960000001</v>
      </c>
      <c r="AI221" s="70">
        <f t="shared" si="60"/>
        <v>1406764.7057359996</v>
      </c>
      <c r="AJ221" s="70">
        <f t="shared" si="61"/>
        <v>1421615.3818120002</v>
      </c>
      <c r="AK221" s="70">
        <f t="shared" si="62"/>
        <v>1411874.368728</v>
      </c>
      <c r="AL221" s="70">
        <f t="shared" si="63"/>
        <v>3928618.9425999997</v>
      </c>
      <c r="AM221" s="70">
        <f t="shared" si="64"/>
        <v>4045371.3903795001</v>
      </c>
      <c r="AN221" s="70">
        <f t="shared" si="65"/>
        <v>4125350.345468</v>
      </c>
      <c r="AO221" s="70">
        <f t="shared" si="66"/>
        <v>4367199.2699030004</v>
      </c>
    </row>
    <row r="222" spans="1:41">
      <c r="A222" s="29" t="s">
        <v>263</v>
      </c>
      <c r="B222" s="29" t="s">
        <v>806</v>
      </c>
      <c r="C222" s="107">
        <v>0</v>
      </c>
      <c r="D222" s="108">
        <v>60000</v>
      </c>
      <c r="F222" s="107">
        <v>0</v>
      </c>
      <c r="G222" s="108">
        <v>60000</v>
      </c>
      <c r="I222" s="64">
        <v>0</v>
      </c>
      <c r="J222" s="83">
        <v>0</v>
      </c>
      <c r="K222" s="66">
        <v>60000</v>
      </c>
      <c r="L222" s="251">
        <v>60000</v>
      </c>
      <c r="M222" s="63">
        <v>0</v>
      </c>
      <c r="N222" s="64">
        <v>0</v>
      </c>
      <c r="O222" s="65">
        <v>60000</v>
      </c>
      <c r="P222" s="66">
        <v>60000</v>
      </c>
      <c r="Q222" s="66">
        <f t="shared" si="51"/>
        <v>0</v>
      </c>
      <c r="R222" s="63">
        <f t="shared" si="52"/>
        <v>0</v>
      </c>
      <c r="S222" s="83">
        <f t="shared" si="53"/>
        <v>0</v>
      </c>
      <c r="T222" s="64">
        <f t="shared" si="54"/>
        <v>0</v>
      </c>
      <c r="U222" s="66">
        <f t="shared" si="55"/>
        <v>60000</v>
      </c>
      <c r="V222" s="63">
        <f t="shared" si="56"/>
        <v>60000</v>
      </c>
      <c r="W222" s="83">
        <f t="shared" si="57"/>
        <v>60000</v>
      </c>
      <c r="X222" s="64">
        <f t="shared" si="58"/>
        <v>60000</v>
      </c>
      <c r="Z222" s="67">
        <v>0</v>
      </c>
      <c r="AA222" s="68">
        <v>0</v>
      </c>
      <c r="AB222" s="69">
        <v>60000</v>
      </c>
      <c r="AC222" s="70">
        <v>60000</v>
      </c>
      <c r="AD222" s="67">
        <v>0</v>
      </c>
      <c r="AE222" s="68">
        <v>0</v>
      </c>
      <c r="AF222" s="69">
        <v>60000</v>
      </c>
      <c r="AG222" s="70">
        <v>60000</v>
      </c>
      <c r="AH222" s="70">
        <f t="shared" si="59"/>
        <v>0</v>
      </c>
      <c r="AI222" s="70">
        <f t="shared" si="60"/>
        <v>0</v>
      </c>
      <c r="AJ222" s="70">
        <f t="shared" si="61"/>
        <v>0</v>
      </c>
      <c r="AK222" s="70">
        <f t="shared" si="62"/>
        <v>0</v>
      </c>
      <c r="AL222" s="70">
        <f t="shared" si="63"/>
        <v>60000</v>
      </c>
      <c r="AM222" s="70">
        <f t="shared" si="64"/>
        <v>60000</v>
      </c>
      <c r="AN222" s="70">
        <f t="shared" si="65"/>
        <v>60000</v>
      </c>
      <c r="AO222" s="70">
        <f t="shared" si="66"/>
        <v>60000</v>
      </c>
    </row>
    <row r="223" spans="1:41">
      <c r="A223" s="29" t="s">
        <v>575</v>
      </c>
      <c r="B223" s="29" t="s">
        <v>807</v>
      </c>
      <c r="C223" s="107">
        <v>54924.07</v>
      </c>
      <c r="D223" s="108">
        <v>448000</v>
      </c>
      <c r="F223" s="107">
        <v>54836.59</v>
      </c>
      <c r="G223" s="108">
        <v>448000</v>
      </c>
      <c r="I223" s="64">
        <v>20731.919999999998</v>
      </c>
      <c r="J223" s="83">
        <v>46807.113399999995</v>
      </c>
      <c r="K223" s="66">
        <v>448000</v>
      </c>
      <c r="L223" s="251">
        <v>427668.30249999999</v>
      </c>
      <c r="M223" s="63">
        <v>58409.053499999973</v>
      </c>
      <c r="N223" s="64">
        <v>66188.392200000002</v>
      </c>
      <c r="O223" s="65">
        <v>425872.29249999998</v>
      </c>
      <c r="P223" s="66">
        <v>433623.54499999998</v>
      </c>
      <c r="Q223" s="66">
        <f t="shared" si="51"/>
        <v>30305.722000000002</v>
      </c>
      <c r="R223" s="63">
        <f t="shared" si="52"/>
        <v>39506.05924799999</v>
      </c>
      <c r="S223" s="83">
        <f t="shared" si="53"/>
        <v>55160.510271999978</v>
      </c>
      <c r="T223" s="64">
        <f t="shared" si="54"/>
        <v>64010.177363999988</v>
      </c>
      <c r="U223" s="66">
        <f t="shared" si="55"/>
        <v>448000</v>
      </c>
      <c r="V223" s="63">
        <f t="shared" si="56"/>
        <v>437301.46077549999</v>
      </c>
      <c r="W223" s="83">
        <f t="shared" si="57"/>
        <v>426723.24203800003</v>
      </c>
      <c r="X223" s="64">
        <f t="shared" si="58"/>
        <v>429951.00156549993</v>
      </c>
      <c r="Z223" s="67">
        <v>54836.59</v>
      </c>
      <c r="AA223" s="68">
        <v>79561.900999999983</v>
      </c>
      <c r="AB223" s="69">
        <v>448000</v>
      </c>
      <c r="AC223" s="70">
        <v>427668.30249999999</v>
      </c>
      <c r="AD223" s="67">
        <v>58409.053499999973</v>
      </c>
      <c r="AE223" s="68">
        <v>66188.392200000002</v>
      </c>
      <c r="AF223" s="69">
        <v>425872.29249999998</v>
      </c>
      <c r="AG223" s="70">
        <v>433623.54499999998</v>
      </c>
      <c r="AH223" s="70">
        <f t="shared" si="59"/>
        <v>54861.0844</v>
      </c>
      <c r="AI223" s="70">
        <f t="shared" si="60"/>
        <v>72638.813919999986</v>
      </c>
      <c r="AJ223" s="70">
        <f t="shared" si="61"/>
        <v>64331.850799999971</v>
      </c>
      <c r="AK223" s="70">
        <f t="shared" si="62"/>
        <v>64010.177363999988</v>
      </c>
      <c r="AL223" s="70">
        <f t="shared" si="63"/>
        <v>448000</v>
      </c>
      <c r="AM223" s="70">
        <f t="shared" si="64"/>
        <v>437301.46077549999</v>
      </c>
      <c r="AN223" s="70">
        <f t="shared" si="65"/>
        <v>426723.24203800003</v>
      </c>
      <c r="AO223" s="70">
        <f t="shared" si="66"/>
        <v>429951.00156549993</v>
      </c>
    </row>
    <row r="224" spans="1:41">
      <c r="A224" s="29" t="s">
        <v>131</v>
      </c>
      <c r="B224" s="29" t="s">
        <v>808</v>
      </c>
      <c r="C224" s="107">
        <v>1552782.16</v>
      </c>
      <c r="D224" s="108">
        <v>1370000</v>
      </c>
      <c r="F224" s="107">
        <v>1638620.57</v>
      </c>
      <c r="G224" s="108">
        <v>1370000</v>
      </c>
      <c r="I224" s="64">
        <v>1638620.57</v>
      </c>
      <c r="J224" s="83">
        <v>1704862.5206599997</v>
      </c>
      <c r="K224" s="66">
        <v>1370000</v>
      </c>
      <c r="L224" s="251">
        <v>1370000</v>
      </c>
      <c r="M224" s="63">
        <v>1554915.3107779997</v>
      </c>
      <c r="N224" s="64">
        <v>1535299.9360400003</v>
      </c>
      <c r="O224" s="65">
        <v>1370000</v>
      </c>
      <c r="P224" s="66">
        <v>1370000</v>
      </c>
      <c r="Q224" s="66">
        <f t="shared" si="51"/>
        <v>1614585.8152000001</v>
      </c>
      <c r="R224" s="63">
        <f t="shared" si="52"/>
        <v>1686314.7744751996</v>
      </c>
      <c r="S224" s="83">
        <f t="shared" si="53"/>
        <v>1596900.5295449598</v>
      </c>
      <c r="T224" s="64">
        <f t="shared" si="54"/>
        <v>1540792.2409666402</v>
      </c>
      <c r="U224" s="66">
        <f t="shared" si="55"/>
        <v>1370000</v>
      </c>
      <c r="V224" s="63">
        <f t="shared" si="56"/>
        <v>1370000</v>
      </c>
      <c r="W224" s="83">
        <f t="shared" si="57"/>
        <v>1370000</v>
      </c>
      <c r="X224" s="64">
        <f t="shared" si="58"/>
        <v>1370000</v>
      </c>
      <c r="Z224" s="67">
        <v>1638620.57</v>
      </c>
      <c r="AA224" s="68">
        <v>1704862.5206599997</v>
      </c>
      <c r="AB224" s="69">
        <v>1370000</v>
      </c>
      <c r="AC224" s="70">
        <v>1370000</v>
      </c>
      <c r="AD224" s="67">
        <v>1554915.3107779997</v>
      </c>
      <c r="AE224" s="68">
        <v>1535299.9360400003</v>
      </c>
      <c r="AF224" s="69">
        <v>1370000</v>
      </c>
      <c r="AG224" s="70">
        <v>1370000</v>
      </c>
      <c r="AH224" s="70">
        <f t="shared" si="59"/>
        <v>1614585.8152000001</v>
      </c>
      <c r="AI224" s="70">
        <f t="shared" si="60"/>
        <v>1686314.7744751996</v>
      </c>
      <c r="AJ224" s="70">
        <f t="shared" si="61"/>
        <v>1596900.5295449598</v>
      </c>
      <c r="AK224" s="70">
        <f t="shared" si="62"/>
        <v>1540792.2409666402</v>
      </c>
      <c r="AL224" s="70">
        <f t="shared" si="63"/>
        <v>1370000</v>
      </c>
      <c r="AM224" s="70">
        <f t="shared" si="64"/>
        <v>1370000</v>
      </c>
      <c r="AN224" s="70">
        <f t="shared" si="65"/>
        <v>1370000</v>
      </c>
      <c r="AO224" s="70">
        <f t="shared" si="66"/>
        <v>1370000</v>
      </c>
    </row>
    <row r="225" spans="1:41">
      <c r="A225" s="29" t="s">
        <v>399</v>
      </c>
      <c r="B225" s="29" t="s">
        <v>934</v>
      </c>
      <c r="C225" s="107">
        <v>0</v>
      </c>
      <c r="D225" s="108">
        <v>2064477</v>
      </c>
      <c r="F225" s="107">
        <v>0</v>
      </c>
      <c r="G225" s="108">
        <v>2169549</v>
      </c>
      <c r="I225" s="64">
        <v>0</v>
      </c>
      <c r="J225" s="83">
        <v>0</v>
      </c>
      <c r="K225" s="66">
        <v>2169549</v>
      </c>
      <c r="L225" s="251">
        <v>2180441.017</v>
      </c>
      <c r="M225" s="63">
        <v>0</v>
      </c>
      <c r="N225" s="64">
        <v>0</v>
      </c>
      <c r="O225" s="65">
        <v>2256090.2271000003</v>
      </c>
      <c r="P225" s="66">
        <v>2345553.8799000001</v>
      </c>
      <c r="Q225" s="66">
        <f t="shared" si="51"/>
        <v>0</v>
      </c>
      <c r="R225" s="63">
        <f t="shared" si="52"/>
        <v>0</v>
      </c>
      <c r="S225" s="83">
        <f t="shared" si="53"/>
        <v>0</v>
      </c>
      <c r="T225" s="64">
        <f t="shared" si="54"/>
        <v>0</v>
      </c>
      <c r="U225" s="66">
        <f t="shared" si="55"/>
        <v>2119765.8864000002</v>
      </c>
      <c r="V225" s="63">
        <f t="shared" si="56"/>
        <v>2175280.3793454003</v>
      </c>
      <c r="W225" s="83">
        <f t="shared" si="57"/>
        <v>2220247.6313546202</v>
      </c>
      <c r="X225" s="64">
        <f t="shared" si="58"/>
        <v>2303166.00120336</v>
      </c>
      <c r="Z225" s="67">
        <v>0</v>
      </c>
      <c r="AA225" s="68">
        <v>0</v>
      </c>
      <c r="AB225" s="69">
        <v>2169549</v>
      </c>
      <c r="AC225" s="70">
        <v>2283784.9109999998</v>
      </c>
      <c r="AD225" s="67">
        <v>0</v>
      </c>
      <c r="AE225" s="68">
        <v>0</v>
      </c>
      <c r="AF225" s="69">
        <v>2256090.2271000003</v>
      </c>
      <c r="AG225" s="70">
        <v>2345553.8799000001</v>
      </c>
      <c r="AH225" s="70">
        <f t="shared" si="59"/>
        <v>0</v>
      </c>
      <c r="AI225" s="70">
        <f t="shared" si="60"/>
        <v>0</v>
      </c>
      <c r="AJ225" s="70">
        <f t="shared" si="61"/>
        <v>0</v>
      </c>
      <c r="AK225" s="70">
        <f t="shared" si="62"/>
        <v>0</v>
      </c>
      <c r="AL225" s="70">
        <f t="shared" si="63"/>
        <v>2119765.8864000002</v>
      </c>
      <c r="AM225" s="70">
        <f t="shared" si="64"/>
        <v>2229659.9363682</v>
      </c>
      <c r="AN225" s="70">
        <f t="shared" si="65"/>
        <v>2269211.9683318203</v>
      </c>
      <c r="AO225" s="70">
        <f t="shared" si="66"/>
        <v>2303166.00120336</v>
      </c>
    </row>
    <row r="226" spans="1:41">
      <c r="A226" s="29" t="s">
        <v>159</v>
      </c>
      <c r="B226" s="29" t="s">
        <v>809</v>
      </c>
      <c r="C226" s="107">
        <v>54128.04</v>
      </c>
      <c r="D226" s="108">
        <v>80000</v>
      </c>
      <c r="F226" s="107">
        <v>42007.43</v>
      </c>
      <c r="G226" s="108">
        <v>83001</v>
      </c>
      <c r="I226" s="64">
        <v>33725.769999999997</v>
      </c>
      <c r="J226" s="83">
        <v>81562.284223333336</v>
      </c>
      <c r="K226" s="66">
        <v>83001</v>
      </c>
      <c r="L226" s="251">
        <v>80000</v>
      </c>
      <c r="M226" s="63">
        <v>74108.542539999995</v>
      </c>
      <c r="N226" s="64">
        <v>67181.465399999986</v>
      </c>
      <c r="O226" s="65">
        <v>80000</v>
      </c>
      <c r="P226" s="66">
        <v>80000</v>
      </c>
      <c r="Q226" s="66">
        <f t="shared" si="51"/>
        <v>39438.405599999998</v>
      </c>
      <c r="R226" s="63">
        <f t="shared" si="52"/>
        <v>68168.060240799998</v>
      </c>
      <c r="S226" s="83">
        <f t="shared" si="53"/>
        <v>76195.590211333329</v>
      </c>
      <c r="T226" s="64">
        <f t="shared" si="54"/>
        <v>69121.046999199985</v>
      </c>
      <c r="U226" s="66">
        <f t="shared" si="55"/>
        <v>81579.126199999999</v>
      </c>
      <c r="V226" s="63">
        <f t="shared" si="56"/>
        <v>81421.873800000001</v>
      </c>
      <c r="W226" s="83">
        <f t="shared" si="57"/>
        <v>80000</v>
      </c>
      <c r="X226" s="64">
        <f t="shared" si="58"/>
        <v>80000</v>
      </c>
      <c r="Z226" s="67">
        <v>42007.43</v>
      </c>
      <c r="AA226" s="68">
        <v>81562.284223333336</v>
      </c>
      <c r="AB226" s="69">
        <v>83001</v>
      </c>
      <c r="AC226" s="70">
        <v>80000</v>
      </c>
      <c r="AD226" s="67">
        <v>74108.542539999995</v>
      </c>
      <c r="AE226" s="68">
        <v>67181.465399999986</v>
      </c>
      <c r="AF226" s="69">
        <v>80000</v>
      </c>
      <c r="AG226" s="70">
        <v>80000</v>
      </c>
      <c r="AH226" s="70">
        <f t="shared" si="59"/>
        <v>45401.200799999999</v>
      </c>
      <c r="AI226" s="70">
        <f t="shared" si="60"/>
        <v>70486.925040800008</v>
      </c>
      <c r="AJ226" s="70">
        <f t="shared" si="61"/>
        <v>76195.590211333329</v>
      </c>
      <c r="AK226" s="70">
        <f t="shared" si="62"/>
        <v>69121.046999199985</v>
      </c>
      <c r="AL226" s="70">
        <f t="shared" si="63"/>
        <v>81579.126199999999</v>
      </c>
      <c r="AM226" s="70">
        <f t="shared" si="64"/>
        <v>81421.873800000001</v>
      </c>
      <c r="AN226" s="70">
        <f t="shared" si="65"/>
        <v>80000</v>
      </c>
      <c r="AO226" s="70">
        <f t="shared" si="66"/>
        <v>80000</v>
      </c>
    </row>
    <row r="227" spans="1:41">
      <c r="A227" s="29" t="s">
        <v>183</v>
      </c>
      <c r="B227" s="29" t="s">
        <v>810</v>
      </c>
      <c r="C227" s="107">
        <v>0</v>
      </c>
      <c r="D227" s="108">
        <v>169025500</v>
      </c>
      <c r="F227" s="107">
        <v>0</v>
      </c>
      <c r="G227" s="108">
        <v>177990203</v>
      </c>
      <c r="I227" s="64">
        <v>0</v>
      </c>
      <c r="J227" s="83">
        <v>0</v>
      </c>
      <c r="K227" s="66">
        <v>177990203</v>
      </c>
      <c r="L227" s="251">
        <v>183113287.824</v>
      </c>
      <c r="M227" s="63">
        <v>0</v>
      </c>
      <c r="N227" s="64">
        <v>0</v>
      </c>
      <c r="O227" s="65">
        <v>189459316.4544</v>
      </c>
      <c r="P227" s="66">
        <v>196965000.14219999</v>
      </c>
      <c r="Q227" s="66">
        <f t="shared" si="51"/>
        <v>0</v>
      </c>
      <c r="R227" s="63">
        <f t="shared" si="52"/>
        <v>0</v>
      </c>
      <c r="S227" s="83">
        <f t="shared" si="53"/>
        <v>0</v>
      </c>
      <c r="T227" s="64">
        <f t="shared" si="54"/>
        <v>0</v>
      </c>
      <c r="U227" s="66">
        <f t="shared" si="55"/>
        <v>173742726.7186</v>
      </c>
      <c r="V227" s="63">
        <f t="shared" si="56"/>
        <v>180685970.2343888</v>
      </c>
      <c r="W227" s="83">
        <f t="shared" si="57"/>
        <v>186452568.08931649</v>
      </c>
      <c r="X227" s="64">
        <f t="shared" si="58"/>
        <v>193408807.21092033</v>
      </c>
      <c r="Z227" s="67">
        <v>0</v>
      </c>
      <c r="AA227" s="68">
        <v>0</v>
      </c>
      <c r="AB227" s="69">
        <v>177990203</v>
      </c>
      <c r="AC227" s="70">
        <v>186889983.34400001</v>
      </c>
      <c r="AD227" s="67">
        <v>0</v>
      </c>
      <c r="AE227" s="68">
        <v>0</v>
      </c>
      <c r="AF227" s="69">
        <v>189459316.4544</v>
      </c>
      <c r="AG227" s="70">
        <v>196965000.14219999</v>
      </c>
      <c r="AH227" s="70">
        <f t="shared" si="59"/>
        <v>0</v>
      </c>
      <c r="AI227" s="70">
        <f t="shared" si="60"/>
        <v>0</v>
      </c>
      <c r="AJ227" s="70">
        <f t="shared" si="61"/>
        <v>0</v>
      </c>
      <c r="AK227" s="70">
        <f t="shared" si="62"/>
        <v>0</v>
      </c>
      <c r="AL227" s="70">
        <f t="shared" si="63"/>
        <v>173742726.7186</v>
      </c>
      <c r="AM227" s="70">
        <f t="shared" si="64"/>
        <v>182673267.41701281</v>
      </c>
      <c r="AN227" s="70">
        <f t="shared" si="65"/>
        <v>188241966.42669249</v>
      </c>
      <c r="AO227" s="70">
        <f t="shared" si="66"/>
        <v>193408807.21092033</v>
      </c>
    </row>
    <row r="228" spans="1:41">
      <c r="A228" s="29" t="s">
        <v>405</v>
      </c>
      <c r="B228" s="29" t="s">
        <v>935</v>
      </c>
      <c r="C228" s="107">
        <v>1274892.21</v>
      </c>
      <c r="D228" s="108">
        <v>13104354</v>
      </c>
      <c r="F228" s="107">
        <v>682349.91</v>
      </c>
      <c r="G228" s="108">
        <v>13667841</v>
      </c>
      <c r="I228" s="64">
        <v>164469.79</v>
      </c>
      <c r="J228" s="83">
        <v>207474.11609999934</v>
      </c>
      <c r="K228" s="66">
        <v>13667841</v>
      </c>
      <c r="L228" s="251">
        <v>12095611.41</v>
      </c>
      <c r="M228" s="63">
        <v>0</v>
      </c>
      <c r="N228" s="64">
        <v>0</v>
      </c>
      <c r="O228" s="65">
        <v>12516787.756999999</v>
      </c>
      <c r="P228" s="66">
        <v>13012692.092399999</v>
      </c>
      <c r="Q228" s="66">
        <f t="shared" si="51"/>
        <v>475388.06760000001</v>
      </c>
      <c r="R228" s="63">
        <f t="shared" si="52"/>
        <v>195432.90479199952</v>
      </c>
      <c r="S228" s="83">
        <f t="shared" si="53"/>
        <v>58092.752507999823</v>
      </c>
      <c r="T228" s="64">
        <f t="shared" si="54"/>
        <v>0</v>
      </c>
      <c r="U228" s="66">
        <f t="shared" si="55"/>
        <v>13400860.8594</v>
      </c>
      <c r="V228" s="63">
        <f t="shared" si="56"/>
        <v>12840533.789742</v>
      </c>
      <c r="W228" s="83">
        <f t="shared" si="57"/>
        <v>12317234.4037914</v>
      </c>
      <c r="X228" s="64">
        <f t="shared" si="58"/>
        <v>12777732.61828748</v>
      </c>
      <c r="Z228" s="67">
        <v>682349.91</v>
      </c>
      <c r="AA228" s="68">
        <v>675881.78909999959</v>
      </c>
      <c r="AB228" s="69">
        <v>13667841</v>
      </c>
      <c r="AC228" s="70">
        <v>12095611.41</v>
      </c>
      <c r="AD228" s="67">
        <v>0</v>
      </c>
      <c r="AE228" s="68">
        <v>0</v>
      </c>
      <c r="AF228" s="69">
        <v>12516787.756999999</v>
      </c>
      <c r="AG228" s="70">
        <v>13012692.092399999</v>
      </c>
      <c r="AH228" s="70">
        <f t="shared" si="59"/>
        <v>848261.75399999996</v>
      </c>
      <c r="AI228" s="70">
        <f t="shared" si="60"/>
        <v>677692.86295199976</v>
      </c>
      <c r="AJ228" s="70">
        <f t="shared" si="61"/>
        <v>189246.90094799991</v>
      </c>
      <c r="AK228" s="70">
        <f t="shared" si="62"/>
        <v>0</v>
      </c>
      <c r="AL228" s="70">
        <f t="shared" si="63"/>
        <v>13400860.8594</v>
      </c>
      <c r="AM228" s="70">
        <f t="shared" si="64"/>
        <v>12840533.789742</v>
      </c>
      <c r="AN228" s="70">
        <f t="shared" si="65"/>
        <v>12317234.4037914</v>
      </c>
      <c r="AO228" s="70">
        <f t="shared" si="66"/>
        <v>12777732.61828748</v>
      </c>
    </row>
    <row r="229" spans="1:41">
      <c r="A229" s="29" t="s">
        <v>589</v>
      </c>
      <c r="B229" s="29" t="s">
        <v>811</v>
      </c>
      <c r="C229" s="107">
        <v>2745248.14</v>
      </c>
      <c r="D229" s="108">
        <v>3468869</v>
      </c>
      <c r="F229" s="107">
        <v>2653342.9300000002</v>
      </c>
      <c r="G229" s="108">
        <v>3550187</v>
      </c>
      <c r="I229" s="64">
        <v>2453473.54</v>
      </c>
      <c r="J229" s="83">
        <v>2478163.976900667</v>
      </c>
      <c r="K229" s="66">
        <v>3550187</v>
      </c>
      <c r="L229" s="251">
        <v>3905205</v>
      </c>
      <c r="M229" s="63">
        <v>2130431.5805119998</v>
      </c>
      <c r="N229" s="64">
        <v>1891676.002356</v>
      </c>
      <c r="O229" s="65">
        <v>3905205</v>
      </c>
      <c r="P229" s="66">
        <v>3905205</v>
      </c>
      <c r="Q229" s="66">
        <f t="shared" si="51"/>
        <v>2535170.4279999998</v>
      </c>
      <c r="R229" s="63">
        <f t="shared" si="52"/>
        <v>2471250.6545684803</v>
      </c>
      <c r="S229" s="83">
        <f t="shared" si="53"/>
        <v>2227796.6515008267</v>
      </c>
      <c r="T229" s="64">
        <f t="shared" si="54"/>
        <v>1958527.5642396798</v>
      </c>
      <c r="U229" s="66">
        <f t="shared" si="55"/>
        <v>3511658.5316000003</v>
      </c>
      <c r="V229" s="63">
        <f t="shared" si="56"/>
        <v>3736997.4715999998</v>
      </c>
      <c r="W229" s="83">
        <f t="shared" si="57"/>
        <v>3905205</v>
      </c>
      <c r="X229" s="64">
        <f t="shared" si="58"/>
        <v>3905205</v>
      </c>
      <c r="Z229" s="67">
        <v>2653342.9300000002</v>
      </c>
      <c r="AA229" s="68">
        <v>2627506.8612633334</v>
      </c>
      <c r="AB229" s="69">
        <v>3550187</v>
      </c>
      <c r="AC229" s="70">
        <v>3905205</v>
      </c>
      <c r="AD229" s="67">
        <v>2130431.5805119998</v>
      </c>
      <c r="AE229" s="68">
        <v>1891676.002356</v>
      </c>
      <c r="AF229" s="69">
        <v>3905205</v>
      </c>
      <c r="AG229" s="70">
        <v>3905205</v>
      </c>
      <c r="AH229" s="70">
        <f t="shared" si="59"/>
        <v>2679076.3888000003</v>
      </c>
      <c r="AI229" s="70">
        <f t="shared" si="60"/>
        <v>2634740.9605096001</v>
      </c>
      <c r="AJ229" s="70">
        <f t="shared" si="61"/>
        <v>2269612.659122373</v>
      </c>
      <c r="AK229" s="70">
        <f t="shared" si="62"/>
        <v>1958527.5642396798</v>
      </c>
      <c r="AL229" s="70">
        <f t="shared" si="63"/>
        <v>3511658.5316000003</v>
      </c>
      <c r="AM229" s="70">
        <f t="shared" si="64"/>
        <v>3736997.4715999998</v>
      </c>
      <c r="AN229" s="70">
        <f t="shared" si="65"/>
        <v>3905205</v>
      </c>
      <c r="AO229" s="70">
        <f t="shared" si="66"/>
        <v>3905205</v>
      </c>
    </row>
    <row r="230" spans="1:41">
      <c r="A230" s="29" t="s">
        <v>359</v>
      </c>
      <c r="B230" s="29" t="s">
        <v>812</v>
      </c>
      <c r="C230" s="107">
        <v>0</v>
      </c>
      <c r="D230" s="108">
        <v>675910</v>
      </c>
      <c r="F230" s="107">
        <v>0</v>
      </c>
      <c r="G230" s="108">
        <v>695760</v>
      </c>
      <c r="I230" s="64">
        <v>0</v>
      </c>
      <c r="J230" s="83">
        <v>0</v>
      </c>
      <c r="K230" s="66">
        <v>695760</v>
      </c>
      <c r="L230" s="251">
        <v>673491.29359999998</v>
      </c>
      <c r="M230" s="63">
        <v>0</v>
      </c>
      <c r="N230" s="64">
        <v>0</v>
      </c>
      <c r="O230" s="65">
        <v>696833.58990000002</v>
      </c>
      <c r="P230" s="66">
        <v>714981</v>
      </c>
      <c r="Q230" s="66">
        <f t="shared" si="51"/>
        <v>0</v>
      </c>
      <c r="R230" s="63">
        <f t="shared" si="52"/>
        <v>0</v>
      </c>
      <c r="S230" s="83">
        <f t="shared" si="53"/>
        <v>0</v>
      </c>
      <c r="T230" s="64">
        <f t="shared" si="54"/>
        <v>0</v>
      </c>
      <c r="U230" s="66">
        <f t="shared" si="55"/>
        <v>686355.07000000007</v>
      </c>
      <c r="V230" s="63">
        <f t="shared" si="56"/>
        <v>684042.20669232006</v>
      </c>
      <c r="W230" s="83">
        <f t="shared" si="57"/>
        <v>685774.00991306</v>
      </c>
      <c r="X230" s="64">
        <f t="shared" si="58"/>
        <v>706382.75709462003</v>
      </c>
      <c r="Z230" s="67">
        <v>0</v>
      </c>
      <c r="AA230" s="68">
        <v>16587.52789999999</v>
      </c>
      <c r="AB230" s="69">
        <v>695760</v>
      </c>
      <c r="AC230" s="70">
        <v>714981</v>
      </c>
      <c r="AD230" s="67">
        <v>0</v>
      </c>
      <c r="AE230" s="68">
        <v>0</v>
      </c>
      <c r="AF230" s="69">
        <v>696833.58990000002</v>
      </c>
      <c r="AG230" s="70">
        <v>714981</v>
      </c>
      <c r="AH230" s="70">
        <f t="shared" si="59"/>
        <v>0</v>
      </c>
      <c r="AI230" s="70">
        <f t="shared" si="60"/>
        <v>11943.020087999992</v>
      </c>
      <c r="AJ230" s="70">
        <f t="shared" si="61"/>
        <v>4644.507811999998</v>
      </c>
      <c r="AK230" s="70">
        <f t="shared" si="62"/>
        <v>0</v>
      </c>
      <c r="AL230" s="70">
        <f t="shared" si="63"/>
        <v>686355.07000000007</v>
      </c>
      <c r="AM230" s="70">
        <f t="shared" si="64"/>
        <v>705874.09019999998</v>
      </c>
      <c r="AN230" s="70">
        <f t="shared" si="65"/>
        <v>705431.83280537999</v>
      </c>
      <c r="AO230" s="70">
        <f t="shared" si="66"/>
        <v>706382.75709462003</v>
      </c>
    </row>
    <row r="231" spans="1:41">
      <c r="A231" s="29" t="s">
        <v>47</v>
      </c>
      <c r="B231" s="29" t="s">
        <v>813</v>
      </c>
      <c r="C231" s="107">
        <v>0</v>
      </c>
      <c r="D231" s="108">
        <v>6924000</v>
      </c>
      <c r="F231" s="107">
        <v>0</v>
      </c>
      <c r="G231" s="108">
        <v>7168803.5300000003</v>
      </c>
      <c r="I231" s="64">
        <v>0</v>
      </c>
      <c r="J231" s="83">
        <v>0</v>
      </c>
      <c r="K231" s="66">
        <v>7168803.5300000003</v>
      </c>
      <c r="L231" s="251">
        <v>7291876.0727999993</v>
      </c>
      <c r="M231" s="63">
        <v>0</v>
      </c>
      <c r="N231" s="64">
        <v>0</v>
      </c>
      <c r="O231" s="65">
        <v>7526780</v>
      </c>
      <c r="P231" s="66">
        <v>7718191</v>
      </c>
      <c r="Q231" s="66">
        <f t="shared" si="51"/>
        <v>0</v>
      </c>
      <c r="R231" s="63">
        <f t="shared" si="52"/>
        <v>0</v>
      </c>
      <c r="S231" s="83">
        <f t="shared" si="53"/>
        <v>0</v>
      </c>
      <c r="T231" s="64">
        <f t="shared" si="54"/>
        <v>0</v>
      </c>
      <c r="U231" s="66">
        <f t="shared" si="55"/>
        <v>7052815.6174860001</v>
      </c>
      <c r="V231" s="63">
        <f t="shared" si="56"/>
        <v>7233564.30202136</v>
      </c>
      <c r="W231" s="83">
        <f t="shared" si="57"/>
        <v>7415482.5192926396</v>
      </c>
      <c r="X231" s="64">
        <f t="shared" si="58"/>
        <v>7627500.4682</v>
      </c>
      <c r="Z231" s="67">
        <v>0</v>
      </c>
      <c r="AA231" s="68">
        <v>0</v>
      </c>
      <c r="AB231" s="69">
        <v>7168803.5300000003</v>
      </c>
      <c r="AC231" s="70">
        <v>7338560</v>
      </c>
      <c r="AD231" s="67">
        <v>0</v>
      </c>
      <c r="AE231" s="68">
        <v>0</v>
      </c>
      <c r="AF231" s="69">
        <v>7526780</v>
      </c>
      <c r="AG231" s="70">
        <v>7718191</v>
      </c>
      <c r="AH231" s="70">
        <f t="shared" si="59"/>
        <v>0</v>
      </c>
      <c r="AI231" s="70">
        <f t="shared" si="60"/>
        <v>0</v>
      </c>
      <c r="AJ231" s="70">
        <f t="shared" si="61"/>
        <v>0</v>
      </c>
      <c r="AK231" s="70">
        <f t="shared" si="62"/>
        <v>0</v>
      </c>
      <c r="AL231" s="70">
        <f t="shared" si="63"/>
        <v>7052815.6174860001</v>
      </c>
      <c r="AM231" s="70">
        <f t="shared" si="64"/>
        <v>7258129.3845140003</v>
      </c>
      <c r="AN231" s="70">
        <f t="shared" si="65"/>
        <v>7437601.3640000001</v>
      </c>
      <c r="AO231" s="70">
        <f t="shared" si="66"/>
        <v>7627500.4682</v>
      </c>
    </row>
    <row r="232" spans="1:41">
      <c r="A232" s="29" t="s">
        <v>393</v>
      </c>
      <c r="B232" s="29" t="s">
        <v>936</v>
      </c>
      <c r="C232" s="107">
        <v>0</v>
      </c>
      <c r="D232" s="108">
        <v>0</v>
      </c>
      <c r="F232" s="107">
        <v>0</v>
      </c>
      <c r="G232" s="108">
        <v>0</v>
      </c>
      <c r="I232" s="64">
        <v>0</v>
      </c>
      <c r="J232" s="83">
        <v>0</v>
      </c>
      <c r="K232" s="66">
        <v>0</v>
      </c>
      <c r="L232" s="251">
        <v>0</v>
      </c>
      <c r="M232" s="63">
        <v>0</v>
      </c>
      <c r="N232" s="64">
        <v>0</v>
      </c>
      <c r="O232" s="65">
        <v>0</v>
      </c>
      <c r="P232" s="66">
        <v>0</v>
      </c>
      <c r="Q232" s="66">
        <f t="shared" si="51"/>
        <v>0</v>
      </c>
      <c r="R232" s="63">
        <f t="shared" si="52"/>
        <v>0</v>
      </c>
      <c r="S232" s="83">
        <f t="shared" si="53"/>
        <v>0</v>
      </c>
      <c r="T232" s="64">
        <f t="shared" si="54"/>
        <v>0</v>
      </c>
      <c r="U232" s="66">
        <f t="shared" si="55"/>
        <v>0</v>
      </c>
      <c r="V232" s="63">
        <f t="shared" si="56"/>
        <v>0</v>
      </c>
      <c r="W232" s="83">
        <f t="shared" si="57"/>
        <v>0</v>
      </c>
      <c r="X232" s="64">
        <f t="shared" si="58"/>
        <v>0</v>
      </c>
      <c r="Z232" s="67">
        <v>0</v>
      </c>
      <c r="AA232" s="68">
        <v>0</v>
      </c>
      <c r="AB232" s="69">
        <v>0</v>
      </c>
      <c r="AC232" s="70">
        <v>0</v>
      </c>
      <c r="AD232" s="67">
        <v>0</v>
      </c>
      <c r="AE232" s="68">
        <v>0</v>
      </c>
      <c r="AF232" s="69">
        <v>0</v>
      </c>
      <c r="AG232" s="70">
        <v>0</v>
      </c>
      <c r="AH232" s="70">
        <f t="shared" si="59"/>
        <v>0</v>
      </c>
      <c r="AI232" s="70">
        <f t="shared" si="60"/>
        <v>0</v>
      </c>
      <c r="AJ232" s="70">
        <f t="shared" si="61"/>
        <v>0</v>
      </c>
      <c r="AK232" s="70">
        <f t="shared" si="62"/>
        <v>0</v>
      </c>
      <c r="AL232" s="70">
        <f t="shared" si="63"/>
        <v>0</v>
      </c>
      <c r="AM232" s="70">
        <f t="shared" si="64"/>
        <v>0</v>
      </c>
      <c r="AN232" s="70">
        <f t="shared" si="65"/>
        <v>0</v>
      </c>
      <c r="AO232" s="70">
        <f t="shared" si="66"/>
        <v>0</v>
      </c>
    </row>
    <row r="233" spans="1:41">
      <c r="A233" s="29" t="s">
        <v>317</v>
      </c>
      <c r="B233" s="29" t="s">
        <v>814</v>
      </c>
      <c r="C233" s="107">
        <v>2947617.02</v>
      </c>
      <c r="D233" s="108">
        <v>5500000</v>
      </c>
      <c r="F233" s="107">
        <v>2785528.91</v>
      </c>
      <c r="G233" s="108">
        <v>5545416</v>
      </c>
      <c r="I233" s="64">
        <v>2441589.38</v>
      </c>
      <c r="J233" s="83">
        <v>1817335.8814999997</v>
      </c>
      <c r="K233" s="66">
        <v>5545416</v>
      </c>
      <c r="L233" s="251">
        <v>5500000</v>
      </c>
      <c r="M233" s="63">
        <v>1569684.316499999</v>
      </c>
      <c r="N233" s="64">
        <v>1294838.1297000004</v>
      </c>
      <c r="O233" s="65">
        <v>5500000</v>
      </c>
      <c r="P233" s="66">
        <v>5500000</v>
      </c>
      <c r="Q233" s="66">
        <f t="shared" si="51"/>
        <v>2583277.1191999996</v>
      </c>
      <c r="R233" s="63">
        <f t="shared" si="52"/>
        <v>1992126.8610799997</v>
      </c>
      <c r="S233" s="83">
        <f t="shared" si="53"/>
        <v>1639026.754699999</v>
      </c>
      <c r="T233" s="64">
        <f t="shared" si="54"/>
        <v>1371795.0620039999</v>
      </c>
      <c r="U233" s="66">
        <f t="shared" si="55"/>
        <v>5523897.8991999999</v>
      </c>
      <c r="V233" s="63">
        <f t="shared" si="56"/>
        <v>5521518.1008000001</v>
      </c>
      <c r="W233" s="83">
        <f t="shared" si="57"/>
        <v>5500000</v>
      </c>
      <c r="X233" s="64">
        <f t="shared" si="58"/>
        <v>5500000</v>
      </c>
      <c r="Z233" s="67">
        <v>2785528.91</v>
      </c>
      <c r="AA233" s="68">
        <v>3861650.2795999995</v>
      </c>
      <c r="AB233" s="69">
        <v>5545416</v>
      </c>
      <c r="AC233" s="70">
        <v>5500000</v>
      </c>
      <c r="AD233" s="67">
        <v>1569684.316499999</v>
      </c>
      <c r="AE233" s="68">
        <v>1294838.1297000004</v>
      </c>
      <c r="AF233" s="69">
        <v>5500000</v>
      </c>
      <c r="AG233" s="70">
        <v>5500000</v>
      </c>
      <c r="AH233" s="70">
        <f t="shared" si="59"/>
        <v>2830913.5808000001</v>
      </c>
      <c r="AI233" s="70">
        <f t="shared" si="60"/>
        <v>3560336.2961119995</v>
      </c>
      <c r="AJ233" s="70">
        <f t="shared" si="61"/>
        <v>2211434.7861679993</v>
      </c>
      <c r="AK233" s="70">
        <f t="shared" si="62"/>
        <v>1371795.0620039999</v>
      </c>
      <c r="AL233" s="70">
        <f t="shared" si="63"/>
        <v>5523897.8991999999</v>
      </c>
      <c r="AM233" s="70">
        <f t="shared" si="64"/>
        <v>5521518.1008000001</v>
      </c>
      <c r="AN233" s="70">
        <f t="shared" si="65"/>
        <v>5500000</v>
      </c>
      <c r="AO233" s="70">
        <f t="shared" si="66"/>
        <v>5500000</v>
      </c>
    </row>
    <row r="234" spans="1:41">
      <c r="A234" s="29" t="s">
        <v>213</v>
      </c>
      <c r="B234" s="29" t="s">
        <v>815</v>
      </c>
      <c r="C234" s="107">
        <v>0</v>
      </c>
      <c r="D234" s="108">
        <v>25032669</v>
      </c>
      <c r="F234" s="107">
        <v>0</v>
      </c>
      <c r="G234" s="108">
        <v>26355275</v>
      </c>
      <c r="I234" s="64">
        <v>0</v>
      </c>
      <c r="J234" s="83">
        <v>0</v>
      </c>
      <c r="K234" s="66">
        <v>26355275</v>
      </c>
      <c r="L234" s="251">
        <v>26992619.087999996</v>
      </c>
      <c r="M234" s="63">
        <v>0</v>
      </c>
      <c r="N234" s="64">
        <v>0</v>
      </c>
      <c r="O234" s="65">
        <v>27928099.215300001</v>
      </c>
      <c r="P234" s="66">
        <v>28250000</v>
      </c>
      <c r="Q234" s="66">
        <f t="shared" si="51"/>
        <v>0</v>
      </c>
      <c r="R234" s="63">
        <f t="shared" si="52"/>
        <v>0</v>
      </c>
      <c r="S234" s="83">
        <f t="shared" si="53"/>
        <v>0</v>
      </c>
      <c r="T234" s="64">
        <f t="shared" si="54"/>
        <v>0</v>
      </c>
      <c r="U234" s="66">
        <f t="shared" si="55"/>
        <v>25728624.277199998</v>
      </c>
      <c r="V234" s="63">
        <f t="shared" si="56"/>
        <v>26690645.459105596</v>
      </c>
      <c r="W234" s="83">
        <f t="shared" si="57"/>
        <v>27484868.730985258</v>
      </c>
      <c r="X234" s="64">
        <f t="shared" si="58"/>
        <v>28097483.408209141</v>
      </c>
      <c r="Z234" s="67">
        <v>0</v>
      </c>
      <c r="AA234" s="68">
        <v>0</v>
      </c>
      <c r="AB234" s="69">
        <v>26355275</v>
      </c>
      <c r="AC234" s="70">
        <v>27673047.952199999</v>
      </c>
      <c r="AD234" s="67">
        <v>0</v>
      </c>
      <c r="AE234" s="68">
        <v>0</v>
      </c>
      <c r="AF234" s="69">
        <v>27928099.215300001</v>
      </c>
      <c r="AG234" s="70">
        <v>28250000</v>
      </c>
      <c r="AH234" s="70">
        <f t="shared" si="59"/>
        <v>0</v>
      </c>
      <c r="AI234" s="70">
        <f t="shared" si="60"/>
        <v>0</v>
      </c>
      <c r="AJ234" s="70">
        <f t="shared" si="61"/>
        <v>0</v>
      </c>
      <c r="AK234" s="70">
        <f t="shared" si="62"/>
        <v>0</v>
      </c>
      <c r="AL234" s="70">
        <f t="shared" si="63"/>
        <v>25728624.277199998</v>
      </c>
      <c r="AM234" s="70">
        <f t="shared" si="64"/>
        <v>27048687.127447639</v>
      </c>
      <c r="AN234" s="70">
        <f t="shared" si="65"/>
        <v>27807255.926843219</v>
      </c>
      <c r="AO234" s="70">
        <f t="shared" si="66"/>
        <v>28097483.408209141</v>
      </c>
    </row>
    <row r="235" spans="1:41">
      <c r="A235" s="29" t="s">
        <v>415</v>
      </c>
      <c r="B235" s="29" t="s">
        <v>816</v>
      </c>
      <c r="C235" s="107">
        <v>0</v>
      </c>
      <c r="D235" s="108">
        <v>229400</v>
      </c>
      <c r="F235" s="107">
        <v>0</v>
      </c>
      <c r="G235" s="108">
        <v>229400</v>
      </c>
      <c r="I235" s="64">
        <v>0</v>
      </c>
      <c r="J235" s="83">
        <v>0</v>
      </c>
      <c r="K235" s="66">
        <v>229400</v>
      </c>
      <c r="L235" s="251">
        <v>229400</v>
      </c>
      <c r="M235" s="63">
        <v>0</v>
      </c>
      <c r="N235" s="64">
        <v>0</v>
      </c>
      <c r="O235" s="65">
        <v>229400</v>
      </c>
      <c r="P235" s="66">
        <v>229400</v>
      </c>
      <c r="Q235" s="66">
        <f t="shared" si="51"/>
        <v>0</v>
      </c>
      <c r="R235" s="63">
        <f t="shared" si="52"/>
        <v>0</v>
      </c>
      <c r="S235" s="83">
        <f t="shared" si="53"/>
        <v>0</v>
      </c>
      <c r="T235" s="64">
        <f t="shared" si="54"/>
        <v>0</v>
      </c>
      <c r="U235" s="66">
        <f t="shared" si="55"/>
        <v>229400</v>
      </c>
      <c r="V235" s="63">
        <f t="shared" si="56"/>
        <v>229400</v>
      </c>
      <c r="W235" s="83">
        <f t="shared" si="57"/>
        <v>229400</v>
      </c>
      <c r="X235" s="64">
        <f t="shared" si="58"/>
        <v>229400</v>
      </c>
      <c r="Z235" s="67">
        <v>0</v>
      </c>
      <c r="AA235" s="68">
        <v>0</v>
      </c>
      <c r="AB235" s="69">
        <v>229400</v>
      </c>
      <c r="AC235" s="70">
        <v>229400</v>
      </c>
      <c r="AD235" s="67">
        <v>0</v>
      </c>
      <c r="AE235" s="68">
        <v>0</v>
      </c>
      <c r="AF235" s="69">
        <v>229400</v>
      </c>
      <c r="AG235" s="70">
        <v>229400</v>
      </c>
      <c r="AH235" s="70">
        <f t="shared" si="59"/>
        <v>0</v>
      </c>
      <c r="AI235" s="70">
        <f t="shared" si="60"/>
        <v>0</v>
      </c>
      <c r="AJ235" s="70">
        <f t="shared" si="61"/>
        <v>0</v>
      </c>
      <c r="AK235" s="70">
        <f t="shared" si="62"/>
        <v>0</v>
      </c>
      <c r="AL235" s="70">
        <f t="shared" si="63"/>
        <v>229400</v>
      </c>
      <c r="AM235" s="70">
        <f t="shared" si="64"/>
        <v>229400</v>
      </c>
      <c r="AN235" s="70">
        <f t="shared" si="65"/>
        <v>229400</v>
      </c>
      <c r="AO235" s="70">
        <f t="shared" si="66"/>
        <v>229400</v>
      </c>
    </row>
    <row r="236" spans="1:41">
      <c r="A236" s="29" t="s">
        <v>197</v>
      </c>
      <c r="B236" s="29" t="s">
        <v>897</v>
      </c>
      <c r="C236" s="107">
        <v>0</v>
      </c>
      <c r="D236" s="108">
        <v>352780</v>
      </c>
      <c r="F236" s="107">
        <v>0</v>
      </c>
      <c r="G236" s="108">
        <v>388058</v>
      </c>
      <c r="I236" s="64">
        <v>0</v>
      </c>
      <c r="J236" s="83">
        <v>0</v>
      </c>
      <c r="K236" s="66">
        <v>388058</v>
      </c>
      <c r="L236" s="251">
        <v>129366.98039999999</v>
      </c>
      <c r="M236" s="63">
        <v>0</v>
      </c>
      <c r="N236" s="64">
        <v>0</v>
      </c>
      <c r="O236" s="65">
        <v>132083.60339999999</v>
      </c>
      <c r="P236" s="66">
        <v>134989.42379999999</v>
      </c>
      <c r="Q236" s="66">
        <f t="shared" si="51"/>
        <v>0</v>
      </c>
      <c r="R236" s="63">
        <f t="shared" si="52"/>
        <v>0</v>
      </c>
      <c r="S236" s="83">
        <f t="shared" si="53"/>
        <v>0</v>
      </c>
      <c r="T236" s="64">
        <f t="shared" si="54"/>
        <v>0</v>
      </c>
      <c r="U236" s="66">
        <f t="shared" si="55"/>
        <v>371343.28359999997</v>
      </c>
      <c r="V236" s="63">
        <f t="shared" si="56"/>
        <v>251934.78548647999</v>
      </c>
      <c r="W236" s="83">
        <f t="shared" si="57"/>
        <v>130796.46742259999</v>
      </c>
      <c r="X236" s="64">
        <f t="shared" si="58"/>
        <v>133612.64609448001</v>
      </c>
      <c r="Z236" s="67">
        <v>0</v>
      </c>
      <c r="AA236" s="68">
        <v>0</v>
      </c>
      <c r="AB236" s="69">
        <v>388058</v>
      </c>
      <c r="AC236" s="70">
        <v>149085.8014</v>
      </c>
      <c r="AD236" s="67">
        <v>0</v>
      </c>
      <c r="AE236" s="68">
        <v>0</v>
      </c>
      <c r="AF236" s="69">
        <v>132083.60339999999</v>
      </c>
      <c r="AG236" s="70">
        <v>134989.42379999999</v>
      </c>
      <c r="AH236" s="70">
        <f t="shared" si="59"/>
        <v>0</v>
      </c>
      <c r="AI236" s="70">
        <f t="shared" si="60"/>
        <v>0</v>
      </c>
      <c r="AJ236" s="70">
        <f t="shared" si="61"/>
        <v>0</v>
      </c>
      <c r="AK236" s="70">
        <f t="shared" si="62"/>
        <v>0</v>
      </c>
      <c r="AL236" s="70">
        <f t="shared" si="63"/>
        <v>371343.28359999997</v>
      </c>
      <c r="AM236" s="70">
        <f t="shared" si="64"/>
        <v>262310.82909667998</v>
      </c>
      <c r="AN236" s="70">
        <f t="shared" si="65"/>
        <v>140139.24481239999</v>
      </c>
      <c r="AO236" s="70">
        <f t="shared" si="66"/>
        <v>133612.64609448001</v>
      </c>
    </row>
    <row r="237" spans="1:41">
      <c r="A237" s="29" t="s">
        <v>439</v>
      </c>
      <c r="B237" s="29" t="s">
        <v>817</v>
      </c>
      <c r="C237" s="107">
        <v>0</v>
      </c>
      <c r="D237" s="108">
        <v>16868639</v>
      </c>
      <c r="F237" s="107">
        <v>0</v>
      </c>
      <c r="G237" s="108">
        <v>19016000</v>
      </c>
      <c r="I237" s="64">
        <v>0</v>
      </c>
      <c r="J237" s="83">
        <v>0</v>
      </c>
      <c r="K237" s="66">
        <v>19016000</v>
      </c>
      <c r="L237" s="251">
        <v>22945000</v>
      </c>
      <c r="M237" s="63">
        <v>0</v>
      </c>
      <c r="N237" s="64">
        <v>0</v>
      </c>
      <c r="O237" s="65">
        <v>22945000</v>
      </c>
      <c r="P237" s="66">
        <v>22945000</v>
      </c>
      <c r="Q237" s="66">
        <f t="shared" si="51"/>
        <v>0</v>
      </c>
      <c r="R237" s="63">
        <f t="shared" si="52"/>
        <v>0</v>
      </c>
      <c r="S237" s="83">
        <f t="shared" si="53"/>
        <v>0</v>
      </c>
      <c r="T237" s="64">
        <f t="shared" si="54"/>
        <v>0</v>
      </c>
      <c r="U237" s="66">
        <f t="shared" si="55"/>
        <v>17998580.358199999</v>
      </c>
      <c r="V237" s="63">
        <f t="shared" si="56"/>
        <v>21083439.800000001</v>
      </c>
      <c r="W237" s="83">
        <f t="shared" si="57"/>
        <v>22945000</v>
      </c>
      <c r="X237" s="64">
        <f t="shared" si="58"/>
        <v>22945000</v>
      </c>
      <c r="Z237" s="67">
        <v>0</v>
      </c>
      <c r="AA237" s="68">
        <v>0</v>
      </c>
      <c r="AB237" s="69">
        <v>19016000</v>
      </c>
      <c r="AC237" s="70">
        <v>22945000</v>
      </c>
      <c r="AD237" s="67">
        <v>0</v>
      </c>
      <c r="AE237" s="68">
        <v>0</v>
      </c>
      <c r="AF237" s="69">
        <v>22945000</v>
      </c>
      <c r="AG237" s="70">
        <v>22945000</v>
      </c>
      <c r="AH237" s="70">
        <f t="shared" si="59"/>
        <v>0</v>
      </c>
      <c r="AI237" s="70">
        <f t="shared" si="60"/>
        <v>0</v>
      </c>
      <c r="AJ237" s="70">
        <f t="shared" si="61"/>
        <v>0</v>
      </c>
      <c r="AK237" s="70">
        <f t="shared" si="62"/>
        <v>0</v>
      </c>
      <c r="AL237" s="70">
        <f t="shared" si="63"/>
        <v>17998580.358199999</v>
      </c>
      <c r="AM237" s="70">
        <f t="shared" si="64"/>
        <v>21083439.800000001</v>
      </c>
      <c r="AN237" s="70">
        <f t="shared" si="65"/>
        <v>22945000</v>
      </c>
      <c r="AO237" s="70">
        <f t="shared" si="66"/>
        <v>22945000</v>
      </c>
    </row>
    <row r="238" spans="1:41">
      <c r="A238" s="29" t="s">
        <v>209</v>
      </c>
      <c r="B238" s="29" t="s">
        <v>818</v>
      </c>
      <c r="C238" s="107">
        <v>0</v>
      </c>
      <c r="D238" s="108">
        <v>15950000</v>
      </c>
      <c r="F238" s="107">
        <v>0</v>
      </c>
      <c r="G238" s="108">
        <v>16900000</v>
      </c>
      <c r="I238" s="64">
        <v>0</v>
      </c>
      <c r="J238" s="83">
        <v>0</v>
      </c>
      <c r="K238" s="66">
        <v>16900000</v>
      </c>
      <c r="L238" s="251">
        <v>16900000</v>
      </c>
      <c r="M238" s="63">
        <v>0</v>
      </c>
      <c r="N238" s="64">
        <v>0</v>
      </c>
      <c r="O238" s="65">
        <v>16900000</v>
      </c>
      <c r="P238" s="66">
        <v>16900000</v>
      </c>
      <c r="Q238" s="66">
        <f t="shared" si="51"/>
        <v>0</v>
      </c>
      <c r="R238" s="63">
        <f t="shared" si="52"/>
        <v>0</v>
      </c>
      <c r="S238" s="83">
        <f t="shared" si="53"/>
        <v>0</v>
      </c>
      <c r="T238" s="64">
        <f t="shared" si="54"/>
        <v>0</v>
      </c>
      <c r="U238" s="66">
        <f t="shared" si="55"/>
        <v>16449890</v>
      </c>
      <c r="V238" s="63">
        <f t="shared" si="56"/>
        <v>16900000</v>
      </c>
      <c r="W238" s="83">
        <f t="shared" si="57"/>
        <v>16900000</v>
      </c>
      <c r="X238" s="64">
        <f t="shared" si="58"/>
        <v>16900000</v>
      </c>
      <c r="Z238" s="67">
        <v>0</v>
      </c>
      <c r="AA238" s="68">
        <v>0</v>
      </c>
      <c r="AB238" s="69">
        <v>16900000</v>
      </c>
      <c r="AC238" s="70">
        <v>16900000</v>
      </c>
      <c r="AD238" s="67">
        <v>0</v>
      </c>
      <c r="AE238" s="68">
        <v>0</v>
      </c>
      <c r="AF238" s="69">
        <v>16900000</v>
      </c>
      <c r="AG238" s="70">
        <v>16900000</v>
      </c>
      <c r="AH238" s="70">
        <f t="shared" si="59"/>
        <v>0</v>
      </c>
      <c r="AI238" s="70">
        <f t="shared" si="60"/>
        <v>0</v>
      </c>
      <c r="AJ238" s="70">
        <f t="shared" si="61"/>
        <v>0</v>
      </c>
      <c r="AK238" s="70">
        <f t="shared" si="62"/>
        <v>0</v>
      </c>
      <c r="AL238" s="70">
        <f t="shared" si="63"/>
        <v>16449890</v>
      </c>
      <c r="AM238" s="70">
        <f t="shared" si="64"/>
        <v>16900000</v>
      </c>
      <c r="AN238" s="70">
        <f t="shared" si="65"/>
        <v>16900000</v>
      </c>
      <c r="AO238" s="70">
        <f t="shared" si="66"/>
        <v>16900000</v>
      </c>
    </row>
    <row r="239" spans="1:41">
      <c r="A239" s="29" t="s">
        <v>129</v>
      </c>
      <c r="B239" s="29" t="s">
        <v>819</v>
      </c>
      <c r="C239" s="107">
        <v>525078.07999999996</v>
      </c>
      <c r="D239" s="108">
        <v>579000</v>
      </c>
      <c r="F239" s="107">
        <v>527870.28</v>
      </c>
      <c r="G239" s="108">
        <v>624665.72</v>
      </c>
      <c r="I239" s="64">
        <v>516146.79</v>
      </c>
      <c r="J239" s="83">
        <v>561694.43059999996</v>
      </c>
      <c r="K239" s="66">
        <v>624665.72</v>
      </c>
      <c r="L239" s="251">
        <v>663000</v>
      </c>
      <c r="M239" s="63">
        <v>581522.38949999993</v>
      </c>
      <c r="N239" s="64">
        <v>598603.89809999999</v>
      </c>
      <c r="O239" s="65">
        <v>693706.91500000004</v>
      </c>
      <c r="P239" s="66">
        <v>709000</v>
      </c>
      <c r="Q239" s="66">
        <f t="shared" si="51"/>
        <v>518647.55119999999</v>
      </c>
      <c r="R239" s="63">
        <f t="shared" si="52"/>
        <v>548941.09123199992</v>
      </c>
      <c r="S239" s="83">
        <f t="shared" si="53"/>
        <v>575970.56100799993</v>
      </c>
      <c r="T239" s="64">
        <f t="shared" si="54"/>
        <v>593821.07569199998</v>
      </c>
      <c r="U239" s="66">
        <f t="shared" si="55"/>
        <v>603029.30186400004</v>
      </c>
      <c r="V239" s="63">
        <f t="shared" si="56"/>
        <v>644837.21813599998</v>
      </c>
      <c r="W239" s="83">
        <f t="shared" si="57"/>
        <v>679157.97867300012</v>
      </c>
      <c r="X239" s="64">
        <f t="shared" si="58"/>
        <v>701754.13632699999</v>
      </c>
      <c r="Z239" s="67">
        <v>527870.28</v>
      </c>
      <c r="AA239" s="68">
        <v>564270.05110000004</v>
      </c>
      <c r="AB239" s="69">
        <v>624665.72</v>
      </c>
      <c r="AC239" s="70">
        <v>663000</v>
      </c>
      <c r="AD239" s="67">
        <v>581522.38949999993</v>
      </c>
      <c r="AE239" s="68">
        <v>598603.89809999999</v>
      </c>
      <c r="AF239" s="69">
        <v>693706.91500000004</v>
      </c>
      <c r="AG239" s="70">
        <v>709000</v>
      </c>
      <c r="AH239" s="70">
        <f t="shared" si="59"/>
        <v>527088.46400000004</v>
      </c>
      <c r="AI239" s="70">
        <f t="shared" si="60"/>
        <v>554078.11519200006</v>
      </c>
      <c r="AJ239" s="70">
        <f t="shared" si="61"/>
        <v>576691.73474799993</v>
      </c>
      <c r="AK239" s="70">
        <f t="shared" si="62"/>
        <v>593821.07569199998</v>
      </c>
      <c r="AL239" s="70">
        <f t="shared" si="63"/>
        <v>603029.30186400004</v>
      </c>
      <c r="AM239" s="70">
        <f t="shared" si="64"/>
        <v>644837.21813599998</v>
      </c>
      <c r="AN239" s="70">
        <f t="shared" si="65"/>
        <v>679157.97867300012</v>
      </c>
      <c r="AO239" s="70">
        <f t="shared" si="66"/>
        <v>701754.13632699999</v>
      </c>
    </row>
    <row r="240" spans="1:41">
      <c r="A240" s="29" t="s">
        <v>347</v>
      </c>
      <c r="B240" s="29" t="s">
        <v>820</v>
      </c>
      <c r="C240" s="107">
        <v>505773.31</v>
      </c>
      <c r="D240" s="108">
        <v>525000</v>
      </c>
      <c r="F240" s="107">
        <v>575967.46</v>
      </c>
      <c r="G240" s="108">
        <v>525000</v>
      </c>
      <c r="I240" s="64">
        <v>575967.46</v>
      </c>
      <c r="J240" s="83">
        <v>612484.40019999992</v>
      </c>
      <c r="K240" s="66">
        <v>525000</v>
      </c>
      <c r="L240" s="251">
        <v>525000</v>
      </c>
      <c r="M240" s="63">
        <v>616221.20340000011</v>
      </c>
      <c r="N240" s="64">
        <v>621762.15780000004</v>
      </c>
      <c r="O240" s="65">
        <v>525000</v>
      </c>
      <c r="P240" s="66">
        <v>525000</v>
      </c>
      <c r="Q240" s="66">
        <f t="shared" si="51"/>
        <v>556313.098</v>
      </c>
      <c r="R240" s="63">
        <f t="shared" si="52"/>
        <v>602259.65694399993</v>
      </c>
      <c r="S240" s="83">
        <f t="shared" si="53"/>
        <v>615174.89850400004</v>
      </c>
      <c r="T240" s="64">
        <f t="shared" si="54"/>
        <v>620210.69056800008</v>
      </c>
      <c r="U240" s="66">
        <f t="shared" si="55"/>
        <v>525000</v>
      </c>
      <c r="V240" s="63">
        <f t="shared" si="56"/>
        <v>525000</v>
      </c>
      <c r="W240" s="83">
        <f t="shared" si="57"/>
        <v>525000</v>
      </c>
      <c r="X240" s="64">
        <f t="shared" si="58"/>
        <v>525000</v>
      </c>
      <c r="Z240" s="67">
        <v>575967.46</v>
      </c>
      <c r="AA240" s="68">
        <v>612484.40019999992</v>
      </c>
      <c r="AB240" s="69">
        <v>525000</v>
      </c>
      <c r="AC240" s="70">
        <v>525000</v>
      </c>
      <c r="AD240" s="67">
        <v>616221.20340000011</v>
      </c>
      <c r="AE240" s="68">
        <v>621762.15780000004</v>
      </c>
      <c r="AF240" s="69">
        <v>525000</v>
      </c>
      <c r="AG240" s="70">
        <v>525000</v>
      </c>
      <c r="AH240" s="70">
        <f t="shared" si="59"/>
        <v>556313.098</v>
      </c>
      <c r="AI240" s="70">
        <f t="shared" si="60"/>
        <v>602259.65694399993</v>
      </c>
      <c r="AJ240" s="70">
        <f t="shared" si="61"/>
        <v>615174.89850400004</v>
      </c>
      <c r="AK240" s="70">
        <f t="shared" si="62"/>
        <v>620210.69056800008</v>
      </c>
      <c r="AL240" s="70">
        <f t="shared" si="63"/>
        <v>525000</v>
      </c>
      <c r="AM240" s="70">
        <f t="shared" si="64"/>
        <v>525000</v>
      </c>
      <c r="AN240" s="70">
        <f t="shared" si="65"/>
        <v>525000</v>
      </c>
      <c r="AO240" s="70">
        <f t="shared" si="66"/>
        <v>525000</v>
      </c>
    </row>
    <row r="241" spans="1:41">
      <c r="A241" s="29" t="s">
        <v>235</v>
      </c>
      <c r="B241" s="29" t="s">
        <v>821</v>
      </c>
      <c r="C241" s="107">
        <v>743277.16</v>
      </c>
      <c r="D241" s="108">
        <v>25520460</v>
      </c>
      <c r="F241" s="107">
        <v>0</v>
      </c>
      <c r="G241" s="108">
        <v>27880220</v>
      </c>
      <c r="I241" s="64">
        <v>0</v>
      </c>
      <c r="J241" s="83">
        <v>0</v>
      </c>
      <c r="K241" s="66">
        <v>27880220</v>
      </c>
      <c r="L241" s="251">
        <v>28661551.009599999</v>
      </c>
      <c r="M241" s="63">
        <v>0</v>
      </c>
      <c r="N241" s="64">
        <v>0</v>
      </c>
      <c r="O241" s="65">
        <v>29654855.731400002</v>
      </c>
      <c r="P241" s="66">
        <v>30829673.998199999</v>
      </c>
      <c r="Q241" s="66">
        <f t="shared" si="51"/>
        <v>208117.60480000003</v>
      </c>
      <c r="R241" s="63">
        <f t="shared" si="52"/>
        <v>0</v>
      </c>
      <c r="S241" s="83">
        <f t="shared" si="53"/>
        <v>0</v>
      </c>
      <c r="T241" s="64">
        <f t="shared" si="54"/>
        <v>0</v>
      </c>
      <c r="U241" s="66">
        <f t="shared" si="55"/>
        <v>26762165.712000001</v>
      </c>
      <c r="V241" s="63">
        <f t="shared" si="56"/>
        <v>28291356.377251521</v>
      </c>
      <c r="W241" s="83">
        <f t="shared" si="57"/>
        <v>29184227.954211161</v>
      </c>
      <c r="X241" s="64">
        <f t="shared" si="58"/>
        <v>30273045.103390161</v>
      </c>
      <c r="Z241" s="67">
        <v>0</v>
      </c>
      <c r="AA241" s="68">
        <v>0</v>
      </c>
      <c r="AB241" s="69">
        <v>27880220</v>
      </c>
      <c r="AC241" s="70">
        <v>28661551.009599999</v>
      </c>
      <c r="AD241" s="67">
        <v>0</v>
      </c>
      <c r="AE241" s="68">
        <v>0</v>
      </c>
      <c r="AF241" s="69">
        <v>29654855.731400002</v>
      </c>
      <c r="AG241" s="70">
        <v>30829673.998199999</v>
      </c>
      <c r="AH241" s="70">
        <f t="shared" si="59"/>
        <v>208117.60480000003</v>
      </c>
      <c r="AI241" s="70">
        <f t="shared" si="60"/>
        <v>0</v>
      </c>
      <c r="AJ241" s="70">
        <f t="shared" si="61"/>
        <v>0</v>
      </c>
      <c r="AK241" s="70">
        <f t="shared" si="62"/>
        <v>0</v>
      </c>
      <c r="AL241" s="70">
        <f t="shared" si="63"/>
        <v>26762165.712000001</v>
      </c>
      <c r="AM241" s="70">
        <f t="shared" si="64"/>
        <v>28291356.377251521</v>
      </c>
      <c r="AN241" s="70">
        <f t="shared" si="65"/>
        <v>29184227.954211161</v>
      </c>
      <c r="AO241" s="70">
        <f t="shared" si="66"/>
        <v>30273045.103390161</v>
      </c>
    </row>
    <row r="242" spans="1:41">
      <c r="A242" s="29" t="s">
        <v>171</v>
      </c>
      <c r="B242" s="29" t="s">
        <v>822</v>
      </c>
      <c r="C242" s="107">
        <v>0</v>
      </c>
      <c r="D242" s="108">
        <v>3347945</v>
      </c>
      <c r="F242" s="107">
        <v>0</v>
      </c>
      <c r="G242" s="108">
        <v>3516049</v>
      </c>
      <c r="I242" s="64">
        <v>0</v>
      </c>
      <c r="J242" s="83">
        <v>0</v>
      </c>
      <c r="K242" s="66">
        <v>3516049</v>
      </c>
      <c r="L242" s="251">
        <v>3496218.9297999996</v>
      </c>
      <c r="M242" s="63">
        <v>0</v>
      </c>
      <c r="N242" s="64">
        <v>0</v>
      </c>
      <c r="O242" s="65">
        <v>3617397.8058000002</v>
      </c>
      <c r="P242" s="66">
        <v>3760690.0022999998</v>
      </c>
      <c r="Q242" s="66">
        <f t="shared" si="51"/>
        <v>0</v>
      </c>
      <c r="R242" s="63">
        <f t="shared" si="52"/>
        <v>0</v>
      </c>
      <c r="S242" s="83">
        <f t="shared" si="53"/>
        <v>0</v>
      </c>
      <c r="T242" s="64">
        <f t="shared" si="54"/>
        <v>0</v>
      </c>
      <c r="U242" s="66">
        <f t="shared" si="55"/>
        <v>3436401.3248000001</v>
      </c>
      <c r="V242" s="63">
        <f t="shared" si="56"/>
        <v>3505614.4170607598</v>
      </c>
      <c r="W242" s="83">
        <f t="shared" si="57"/>
        <v>3559983.2543511996</v>
      </c>
      <c r="X242" s="64">
        <f t="shared" si="58"/>
        <v>3692798.1595983002</v>
      </c>
      <c r="Z242" s="67">
        <v>0</v>
      </c>
      <c r="AA242" s="68">
        <v>0</v>
      </c>
      <c r="AB242" s="69">
        <v>3516049</v>
      </c>
      <c r="AC242" s="70">
        <v>3691852.6634</v>
      </c>
      <c r="AD242" s="67">
        <v>0</v>
      </c>
      <c r="AE242" s="68">
        <v>0</v>
      </c>
      <c r="AF242" s="69">
        <v>3617397.8058000002</v>
      </c>
      <c r="AG242" s="70">
        <v>3760690.0022999998</v>
      </c>
      <c r="AH242" s="70">
        <f t="shared" si="59"/>
        <v>0</v>
      </c>
      <c r="AI242" s="70">
        <f t="shared" si="60"/>
        <v>0</v>
      </c>
      <c r="AJ242" s="70">
        <f t="shared" si="61"/>
        <v>0</v>
      </c>
      <c r="AK242" s="70">
        <f t="shared" si="62"/>
        <v>0</v>
      </c>
      <c r="AL242" s="70">
        <f t="shared" si="63"/>
        <v>3436401.3248000001</v>
      </c>
      <c r="AM242" s="70">
        <f t="shared" si="64"/>
        <v>3608556.88768108</v>
      </c>
      <c r="AN242" s="70">
        <f t="shared" si="65"/>
        <v>3652674.5173308803</v>
      </c>
      <c r="AO242" s="70">
        <f t="shared" si="66"/>
        <v>3692798.1595983002</v>
      </c>
    </row>
    <row r="243" spans="1:41">
      <c r="A243" s="29" t="s">
        <v>313</v>
      </c>
      <c r="B243" s="29" t="s">
        <v>823</v>
      </c>
      <c r="C243" s="107">
        <v>72924.66</v>
      </c>
      <c r="D243" s="108">
        <v>597090</v>
      </c>
      <c r="F243" s="107">
        <v>35906.17</v>
      </c>
      <c r="G243" s="108">
        <v>609032</v>
      </c>
      <c r="I243" s="64">
        <v>11748.69</v>
      </c>
      <c r="J243" s="83">
        <v>173594.18599999999</v>
      </c>
      <c r="K243" s="66">
        <v>609032</v>
      </c>
      <c r="L243" s="251">
        <v>609032</v>
      </c>
      <c r="M243" s="63">
        <v>133501.47839999993</v>
      </c>
      <c r="N243" s="64">
        <v>84370.046100000051</v>
      </c>
      <c r="O243" s="65">
        <v>609032</v>
      </c>
      <c r="P243" s="66">
        <v>609032</v>
      </c>
      <c r="Q243" s="66">
        <f t="shared" si="51"/>
        <v>28877.961600000002</v>
      </c>
      <c r="R243" s="63">
        <f t="shared" si="52"/>
        <v>128277.44711999998</v>
      </c>
      <c r="S243" s="83">
        <f t="shared" si="53"/>
        <v>144727.43652799993</v>
      </c>
      <c r="T243" s="64">
        <f t="shared" si="54"/>
        <v>98126.847144000028</v>
      </c>
      <c r="U243" s="66">
        <f t="shared" si="55"/>
        <v>603373.88040000002</v>
      </c>
      <c r="V243" s="63">
        <f t="shared" si="56"/>
        <v>609032</v>
      </c>
      <c r="W243" s="83">
        <f t="shared" si="57"/>
        <v>609032</v>
      </c>
      <c r="X243" s="64">
        <f t="shared" si="58"/>
        <v>609032</v>
      </c>
      <c r="Z243" s="67">
        <v>35906.17</v>
      </c>
      <c r="AA243" s="68">
        <v>173594.18599999999</v>
      </c>
      <c r="AB243" s="69">
        <v>609032</v>
      </c>
      <c r="AC243" s="70">
        <v>609032</v>
      </c>
      <c r="AD243" s="67">
        <v>133501.47839999993</v>
      </c>
      <c r="AE243" s="68">
        <v>84370.046100000051</v>
      </c>
      <c r="AF243" s="69">
        <v>609032</v>
      </c>
      <c r="AG243" s="70">
        <v>609032</v>
      </c>
      <c r="AH243" s="70">
        <f t="shared" si="59"/>
        <v>46271.347200000004</v>
      </c>
      <c r="AI243" s="70">
        <f t="shared" si="60"/>
        <v>135041.54152</v>
      </c>
      <c r="AJ243" s="70">
        <f t="shared" si="61"/>
        <v>144727.43652799993</v>
      </c>
      <c r="AK243" s="70">
        <f t="shared" si="62"/>
        <v>98126.847144000028</v>
      </c>
      <c r="AL243" s="70">
        <f t="shared" si="63"/>
        <v>603373.88040000002</v>
      </c>
      <c r="AM243" s="70">
        <f t="shared" si="64"/>
        <v>609032</v>
      </c>
      <c r="AN243" s="70">
        <f t="shared" si="65"/>
        <v>609032</v>
      </c>
      <c r="AO243" s="70">
        <f t="shared" si="66"/>
        <v>609032</v>
      </c>
    </row>
    <row r="244" spans="1:41">
      <c r="A244" s="29" t="s">
        <v>451</v>
      </c>
      <c r="B244" s="29" t="s">
        <v>824</v>
      </c>
      <c r="C244" s="107">
        <v>11401178.300000001</v>
      </c>
      <c r="D244" s="108">
        <v>38000000</v>
      </c>
      <c r="F244" s="107">
        <v>9952996.5600000005</v>
      </c>
      <c r="G244" s="108">
        <v>65700000</v>
      </c>
      <c r="I244" s="64">
        <v>7058903.8700000001</v>
      </c>
      <c r="J244" s="83">
        <v>6001637.576100003</v>
      </c>
      <c r="K244" s="66">
        <v>65700000</v>
      </c>
      <c r="L244" s="251">
        <v>73800000</v>
      </c>
      <c r="M244" s="63">
        <v>4514612.8142999904</v>
      </c>
      <c r="N244" s="64">
        <v>2951917.7273999983</v>
      </c>
      <c r="O244" s="65">
        <v>80029483.397499993</v>
      </c>
      <c r="P244" s="66">
        <v>82100000</v>
      </c>
      <c r="Q244" s="66">
        <f t="shared" si="51"/>
        <v>8274740.7104000002</v>
      </c>
      <c r="R244" s="63">
        <f t="shared" si="52"/>
        <v>6297672.1383920023</v>
      </c>
      <c r="S244" s="83">
        <f t="shared" si="53"/>
        <v>4930979.7476039939</v>
      </c>
      <c r="T244" s="64">
        <f t="shared" si="54"/>
        <v>3389472.3517319961</v>
      </c>
      <c r="U244" s="66">
        <f t="shared" si="55"/>
        <v>52575740</v>
      </c>
      <c r="V244" s="63">
        <f t="shared" si="56"/>
        <v>69962220</v>
      </c>
      <c r="W244" s="83">
        <f t="shared" si="57"/>
        <v>77077954.163764507</v>
      </c>
      <c r="X244" s="64">
        <f t="shared" si="58"/>
        <v>81118989.233735502</v>
      </c>
      <c r="Z244" s="67">
        <v>9952996.5600000005</v>
      </c>
      <c r="AA244" s="68">
        <v>8553260.398199996</v>
      </c>
      <c r="AB244" s="69">
        <v>65700000</v>
      </c>
      <c r="AC244" s="70">
        <v>73800000</v>
      </c>
      <c r="AD244" s="67">
        <v>4514612.8142999904</v>
      </c>
      <c r="AE244" s="68">
        <v>2951917.7273999983</v>
      </c>
      <c r="AF244" s="69">
        <v>80029483.397499993</v>
      </c>
      <c r="AG244" s="70">
        <v>82100000</v>
      </c>
      <c r="AH244" s="70">
        <f t="shared" si="59"/>
        <v>10358487.4472</v>
      </c>
      <c r="AI244" s="70">
        <f t="shared" si="60"/>
        <v>8945186.5235039964</v>
      </c>
      <c r="AJ244" s="70">
        <f t="shared" si="61"/>
        <v>5645434.1377919922</v>
      </c>
      <c r="AK244" s="70">
        <f t="shared" si="62"/>
        <v>3389472.3517319961</v>
      </c>
      <c r="AL244" s="70">
        <f t="shared" si="63"/>
        <v>52575740</v>
      </c>
      <c r="AM244" s="70">
        <f t="shared" si="64"/>
        <v>69962220</v>
      </c>
      <c r="AN244" s="70">
        <f t="shared" si="65"/>
        <v>77077954.163764507</v>
      </c>
      <c r="AO244" s="70">
        <f t="shared" si="66"/>
        <v>81118989.233735502</v>
      </c>
    </row>
    <row r="245" spans="1:41">
      <c r="A245" s="29" t="s">
        <v>297</v>
      </c>
      <c r="B245" s="29" t="s">
        <v>825</v>
      </c>
      <c r="C245" s="107">
        <v>0</v>
      </c>
      <c r="D245" s="108">
        <v>163955</v>
      </c>
      <c r="F245" s="107">
        <v>0</v>
      </c>
      <c r="G245" s="108">
        <v>180291</v>
      </c>
      <c r="I245" s="64">
        <v>0</v>
      </c>
      <c r="J245" s="83">
        <v>0</v>
      </c>
      <c r="K245" s="66">
        <v>180291</v>
      </c>
      <c r="L245" s="251">
        <v>195000</v>
      </c>
      <c r="M245" s="63">
        <v>0</v>
      </c>
      <c r="N245" s="64">
        <v>0</v>
      </c>
      <c r="O245" s="65">
        <v>195000</v>
      </c>
      <c r="P245" s="66">
        <v>195000</v>
      </c>
      <c r="Q245" s="66">
        <f t="shared" si="51"/>
        <v>0</v>
      </c>
      <c r="R245" s="63">
        <f t="shared" si="52"/>
        <v>0</v>
      </c>
      <c r="S245" s="83">
        <f t="shared" si="53"/>
        <v>0</v>
      </c>
      <c r="T245" s="64">
        <f t="shared" si="54"/>
        <v>0</v>
      </c>
      <c r="U245" s="66">
        <f t="shared" si="55"/>
        <v>172551.00320000001</v>
      </c>
      <c r="V245" s="63">
        <f t="shared" si="56"/>
        <v>188030.87579999998</v>
      </c>
      <c r="W245" s="83">
        <f t="shared" si="57"/>
        <v>195000</v>
      </c>
      <c r="X245" s="64">
        <f t="shared" si="58"/>
        <v>195000</v>
      </c>
      <c r="Z245" s="67">
        <v>0</v>
      </c>
      <c r="AA245" s="68">
        <v>0</v>
      </c>
      <c r="AB245" s="69">
        <v>180291</v>
      </c>
      <c r="AC245" s="70">
        <v>195000</v>
      </c>
      <c r="AD245" s="67">
        <v>0</v>
      </c>
      <c r="AE245" s="68">
        <v>0</v>
      </c>
      <c r="AF245" s="69">
        <v>195000</v>
      </c>
      <c r="AG245" s="70">
        <v>195000</v>
      </c>
      <c r="AH245" s="70">
        <f t="shared" si="59"/>
        <v>0</v>
      </c>
      <c r="AI245" s="70">
        <f t="shared" si="60"/>
        <v>0</v>
      </c>
      <c r="AJ245" s="70">
        <f t="shared" si="61"/>
        <v>0</v>
      </c>
      <c r="AK245" s="70">
        <f t="shared" si="62"/>
        <v>0</v>
      </c>
      <c r="AL245" s="70">
        <f t="shared" si="63"/>
        <v>172551.00320000001</v>
      </c>
      <c r="AM245" s="70">
        <f t="shared" si="64"/>
        <v>188030.87579999998</v>
      </c>
      <c r="AN245" s="70">
        <f t="shared" si="65"/>
        <v>195000</v>
      </c>
      <c r="AO245" s="70">
        <f t="shared" si="66"/>
        <v>195000</v>
      </c>
    </row>
    <row r="246" spans="1:41">
      <c r="A246" s="29" t="s">
        <v>577</v>
      </c>
      <c r="B246" s="29" t="s">
        <v>937</v>
      </c>
      <c r="C246" s="107">
        <v>0</v>
      </c>
      <c r="D246" s="108">
        <v>359352</v>
      </c>
      <c r="F246" s="107">
        <v>0</v>
      </c>
      <c r="G246" s="108">
        <v>375000</v>
      </c>
      <c r="I246" s="64">
        <v>0</v>
      </c>
      <c r="J246" s="83">
        <v>0</v>
      </c>
      <c r="K246" s="66">
        <v>375000</v>
      </c>
      <c r="L246" s="251">
        <v>376586.30119999999</v>
      </c>
      <c r="M246" s="63">
        <v>0</v>
      </c>
      <c r="N246" s="64">
        <v>0</v>
      </c>
      <c r="O246" s="65">
        <v>389667.20380000008</v>
      </c>
      <c r="P246" s="66">
        <v>405178.53529999993</v>
      </c>
      <c r="Q246" s="66">
        <f t="shared" si="51"/>
        <v>0</v>
      </c>
      <c r="R246" s="63">
        <f t="shared" si="52"/>
        <v>0</v>
      </c>
      <c r="S246" s="83">
        <f t="shared" si="53"/>
        <v>0</v>
      </c>
      <c r="T246" s="64">
        <f t="shared" si="54"/>
        <v>0</v>
      </c>
      <c r="U246" s="66">
        <f t="shared" si="55"/>
        <v>367585.97759999998</v>
      </c>
      <c r="V246" s="63">
        <f t="shared" si="56"/>
        <v>375834.71169143997</v>
      </c>
      <c r="W246" s="83">
        <f t="shared" si="57"/>
        <v>383469.47214812005</v>
      </c>
      <c r="X246" s="64">
        <f t="shared" si="58"/>
        <v>397829.2664353</v>
      </c>
      <c r="Z246" s="67">
        <v>0</v>
      </c>
      <c r="AA246" s="68">
        <v>0</v>
      </c>
      <c r="AB246" s="69">
        <v>375000</v>
      </c>
      <c r="AC246" s="70">
        <v>394462.77979999996</v>
      </c>
      <c r="AD246" s="67">
        <v>0</v>
      </c>
      <c r="AE246" s="68">
        <v>0</v>
      </c>
      <c r="AF246" s="69">
        <v>389667.20380000008</v>
      </c>
      <c r="AG246" s="70">
        <v>405178.53529999993</v>
      </c>
      <c r="AH246" s="70">
        <f t="shared" si="59"/>
        <v>0</v>
      </c>
      <c r="AI246" s="70">
        <f t="shared" si="60"/>
        <v>0</v>
      </c>
      <c r="AJ246" s="70">
        <f t="shared" si="61"/>
        <v>0</v>
      </c>
      <c r="AK246" s="70">
        <f t="shared" si="62"/>
        <v>0</v>
      </c>
      <c r="AL246" s="70">
        <f t="shared" si="63"/>
        <v>367585.97759999998</v>
      </c>
      <c r="AM246" s="70">
        <f t="shared" si="64"/>
        <v>385241.31473075994</v>
      </c>
      <c r="AN246" s="70">
        <f t="shared" si="65"/>
        <v>391939.34770879999</v>
      </c>
      <c r="AO246" s="70">
        <f t="shared" si="66"/>
        <v>397829.2664353</v>
      </c>
    </row>
    <row r="247" spans="1:41">
      <c r="A247" s="29" t="s">
        <v>449</v>
      </c>
      <c r="B247" s="29" t="s">
        <v>826</v>
      </c>
      <c r="C247" s="107">
        <v>0</v>
      </c>
      <c r="D247" s="108">
        <v>12314373</v>
      </c>
      <c r="F247" s="107">
        <v>0</v>
      </c>
      <c r="G247" s="108">
        <v>12967481</v>
      </c>
      <c r="I247" s="64">
        <v>0</v>
      </c>
      <c r="J247" s="83">
        <v>0</v>
      </c>
      <c r="K247" s="66">
        <v>12967481</v>
      </c>
      <c r="L247" s="251">
        <v>13134289.262399999</v>
      </c>
      <c r="M247" s="63">
        <v>0</v>
      </c>
      <c r="N247" s="64">
        <v>0</v>
      </c>
      <c r="O247" s="65">
        <v>13589739.253600001</v>
      </c>
      <c r="P247" s="66">
        <v>14128502.534299999</v>
      </c>
      <c r="Q247" s="66">
        <f t="shared" si="51"/>
        <v>0</v>
      </c>
      <c r="R247" s="63">
        <f t="shared" si="52"/>
        <v>0</v>
      </c>
      <c r="S247" s="83">
        <f t="shared" si="53"/>
        <v>0</v>
      </c>
      <c r="T247" s="64">
        <f t="shared" si="54"/>
        <v>0</v>
      </c>
      <c r="U247" s="66">
        <f t="shared" si="55"/>
        <v>12658038.4296</v>
      </c>
      <c r="V247" s="63">
        <f t="shared" si="56"/>
        <v>13055255.50767488</v>
      </c>
      <c r="W247" s="83">
        <f t="shared" si="57"/>
        <v>13373947.04776944</v>
      </c>
      <c r="X247" s="64">
        <f t="shared" si="58"/>
        <v>13873236.491904341</v>
      </c>
      <c r="Z247" s="67">
        <v>0</v>
      </c>
      <c r="AA247" s="68">
        <v>0</v>
      </c>
      <c r="AB247" s="69">
        <v>12967481</v>
      </c>
      <c r="AC247" s="70">
        <v>13636010.913799999</v>
      </c>
      <c r="AD247" s="67">
        <v>0</v>
      </c>
      <c r="AE247" s="68">
        <v>0</v>
      </c>
      <c r="AF247" s="69">
        <v>13589739.253600001</v>
      </c>
      <c r="AG247" s="70">
        <v>14128502.534299999</v>
      </c>
      <c r="AH247" s="70">
        <f t="shared" si="59"/>
        <v>0</v>
      </c>
      <c r="AI247" s="70">
        <f t="shared" si="60"/>
        <v>0</v>
      </c>
      <c r="AJ247" s="70">
        <f t="shared" si="61"/>
        <v>0</v>
      </c>
      <c r="AK247" s="70">
        <f t="shared" si="62"/>
        <v>0</v>
      </c>
      <c r="AL247" s="70">
        <f t="shared" si="63"/>
        <v>12658038.4296</v>
      </c>
      <c r="AM247" s="70">
        <f t="shared" si="64"/>
        <v>13319261.44064156</v>
      </c>
      <c r="AN247" s="70">
        <f t="shared" si="65"/>
        <v>13611662.766202759</v>
      </c>
      <c r="AO247" s="70">
        <f t="shared" si="66"/>
        <v>13873236.491904341</v>
      </c>
    </row>
    <row r="248" spans="1:41">
      <c r="A248" s="29" t="s">
        <v>115</v>
      </c>
      <c r="B248" s="29" t="s">
        <v>902</v>
      </c>
      <c r="C248" s="107">
        <v>0</v>
      </c>
      <c r="D248" s="108">
        <v>0</v>
      </c>
      <c r="F248" s="107">
        <v>0</v>
      </c>
      <c r="G248" s="108">
        <v>0</v>
      </c>
      <c r="I248" s="64">
        <v>0</v>
      </c>
      <c r="J248" s="83">
        <v>0</v>
      </c>
      <c r="K248" s="66">
        <v>0</v>
      </c>
      <c r="L248" s="251">
        <v>0</v>
      </c>
      <c r="M248" s="63">
        <v>0</v>
      </c>
      <c r="N248" s="64">
        <v>0</v>
      </c>
      <c r="O248" s="65">
        <v>0</v>
      </c>
      <c r="P248" s="66">
        <v>0</v>
      </c>
      <c r="Q248" s="66">
        <f t="shared" si="51"/>
        <v>0</v>
      </c>
      <c r="R248" s="63">
        <f t="shared" si="52"/>
        <v>0</v>
      </c>
      <c r="S248" s="83">
        <f t="shared" si="53"/>
        <v>0</v>
      </c>
      <c r="T248" s="64">
        <f t="shared" si="54"/>
        <v>0</v>
      </c>
      <c r="U248" s="66">
        <f t="shared" si="55"/>
        <v>0</v>
      </c>
      <c r="V248" s="63">
        <f t="shared" si="56"/>
        <v>0</v>
      </c>
      <c r="W248" s="83">
        <f t="shared" si="57"/>
        <v>0</v>
      </c>
      <c r="X248" s="64">
        <f t="shared" si="58"/>
        <v>0</v>
      </c>
      <c r="Z248" s="67">
        <v>0</v>
      </c>
      <c r="AA248" s="68">
        <v>0</v>
      </c>
      <c r="AB248" s="69">
        <v>0</v>
      </c>
      <c r="AC248" s="70">
        <v>0</v>
      </c>
      <c r="AD248" s="67">
        <v>0</v>
      </c>
      <c r="AE248" s="68">
        <v>0</v>
      </c>
      <c r="AF248" s="69">
        <v>0</v>
      </c>
      <c r="AG248" s="70">
        <v>0</v>
      </c>
      <c r="AH248" s="70">
        <f t="shared" si="59"/>
        <v>0</v>
      </c>
      <c r="AI248" s="70">
        <f t="shared" si="60"/>
        <v>0</v>
      </c>
      <c r="AJ248" s="70">
        <f t="shared" si="61"/>
        <v>0</v>
      </c>
      <c r="AK248" s="70">
        <f t="shared" si="62"/>
        <v>0</v>
      </c>
      <c r="AL248" s="70">
        <f t="shared" si="63"/>
        <v>0</v>
      </c>
      <c r="AM248" s="70">
        <f t="shared" si="64"/>
        <v>0</v>
      </c>
      <c r="AN248" s="70">
        <f t="shared" si="65"/>
        <v>0</v>
      </c>
      <c r="AO248" s="70">
        <f t="shared" si="66"/>
        <v>0</v>
      </c>
    </row>
    <row r="249" spans="1:41">
      <c r="A249" s="29" t="s">
        <v>75</v>
      </c>
      <c r="B249" s="29" t="s">
        <v>903</v>
      </c>
      <c r="C249" s="107">
        <v>0</v>
      </c>
      <c r="D249" s="108">
        <v>0</v>
      </c>
      <c r="F249" s="107">
        <v>0</v>
      </c>
      <c r="G249" s="108">
        <v>0</v>
      </c>
      <c r="I249" s="64">
        <v>0</v>
      </c>
      <c r="J249" s="83">
        <v>0</v>
      </c>
      <c r="K249" s="66">
        <v>0</v>
      </c>
      <c r="L249" s="251">
        <v>0</v>
      </c>
      <c r="M249" s="63">
        <v>0</v>
      </c>
      <c r="N249" s="64">
        <v>0</v>
      </c>
      <c r="O249" s="65">
        <v>0</v>
      </c>
      <c r="P249" s="66">
        <v>0</v>
      </c>
      <c r="Q249" s="66">
        <f t="shared" si="51"/>
        <v>0</v>
      </c>
      <c r="R249" s="63">
        <f t="shared" si="52"/>
        <v>0</v>
      </c>
      <c r="S249" s="83">
        <f t="shared" si="53"/>
        <v>0</v>
      </c>
      <c r="T249" s="64">
        <f t="shared" si="54"/>
        <v>0</v>
      </c>
      <c r="U249" s="66">
        <f t="shared" si="55"/>
        <v>0</v>
      </c>
      <c r="V249" s="63">
        <f t="shared" si="56"/>
        <v>0</v>
      </c>
      <c r="W249" s="83">
        <f t="shared" si="57"/>
        <v>0</v>
      </c>
      <c r="X249" s="64">
        <f t="shared" si="58"/>
        <v>0</v>
      </c>
      <c r="Z249" s="67">
        <v>0</v>
      </c>
      <c r="AA249" s="68">
        <v>0</v>
      </c>
      <c r="AB249" s="69">
        <v>0</v>
      </c>
      <c r="AC249" s="70">
        <v>0</v>
      </c>
      <c r="AD249" s="67">
        <v>0</v>
      </c>
      <c r="AE249" s="68">
        <v>0</v>
      </c>
      <c r="AF249" s="69">
        <v>0</v>
      </c>
      <c r="AG249" s="70">
        <v>0</v>
      </c>
      <c r="AH249" s="70">
        <f t="shared" si="59"/>
        <v>0</v>
      </c>
      <c r="AI249" s="70">
        <f t="shared" si="60"/>
        <v>0</v>
      </c>
      <c r="AJ249" s="70">
        <f t="shared" si="61"/>
        <v>0</v>
      </c>
      <c r="AK249" s="70">
        <f t="shared" si="62"/>
        <v>0</v>
      </c>
      <c r="AL249" s="70">
        <f t="shared" si="63"/>
        <v>0</v>
      </c>
      <c r="AM249" s="70">
        <f t="shared" si="64"/>
        <v>0</v>
      </c>
      <c r="AN249" s="70">
        <f t="shared" si="65"/>
        <v>0</v>
      </c>
      <c r="AO249" s="70">
        <f t="shared" si="66"/>
        <v>0</v>
      </c>
    </row>
    <row r="250" spans="1:41">
      <c r="A250" s="29" t="s">
        <v>31</v>
      </c>
      <c r="B250" s="29" t="s">
        <v>907</v>
      </c>
      <c r="C250" s="107">
        <v>0</v>
      </c>
      <c r="D250" s="108">
        <v>0</v>
      </c>
      <c r="F250" s="107">
        <v>0</v>
      </c>
      <c r="G250" s="108">
        <v>0</v>
      </c>
      <c r="I250" s="64">
        <v>0</v>
      </c>
      <c r="J250" s="83">
        <v>0</v>
      </c>
      <c r="K250" s="66">
        <v>0</v>
      </c>
      <c r="L250" s="251">
        <v>0</v>
      </c>
      <c r="M250" s="63">
        <v>0</v>
      </c>
      <c r="N250" s="64">
        <v>0</v>
      </c>
      <c r="O250" s="65">
        <v>0</v>
      </c>
      <c r="P250" s="66">
        <v>0</v>
      </c>
      <c r="Q250" s="66">
        <f t="shared" si="51"/>
        <v>0</v>
      </c>
      <c r="R250" s="63">
        <f t="shared" si="52"/>
        <v>0</v>
      </c>
      <c r="S250" s="83">
        <f t="shared" si="53"/>
        <v>0</v>
      </c>
      <c r="T250" s="64">
        <f t="shared" si="54"/>
        <v>0</v>
      </c>
      <c r="U250" s="66">
        <f t="shared" si="55"/>
        <v>0</v>
      </c>
      <c r="V250" s="63">
        <f t="shared" si="56"/>
        <v>0</v>
      </c>
      <c r="W250" s="83">
        <f t="shared" si="57"/>
        <v>0</v>
      </c>
      <c r="X250" s="64">
        <f t="shared" si="58"/>
        <v>0</v>
      </c>
      <c r="Z250" s="67">
        <v>0</v>
      </c>
      <c r="AA250" s="68">
        <v>0</v>
      </c>
      <c r="AB250" s="69">
        <v>0</v>
      </c>
      <c r="AC250" s="70">
        <v>0</v>
      </c>
      <c r="AD250" s="67">
        <v>0</v>
      </c>
      <c r="AE250" s="68">
        <v>0</v>
      </c>
      <c r="AF250" s="69">
        <v>0</v>
      </c>
      <c r="AG250" s="70">
        <v>0</v>
      </c>
      <c r="AH250" s="70">
        <f t="shared" si="59"/>
        <v>0</v>
      </c>
      <c r="AI250" s="70">
        <f t="shared" si="60"/>
        <v>0</v>
      </c>
      <c r="AJ250" s="70">
        <f t="shared" si="61"/>
        <v>0</v>
      </c>
      <c r="AK250" s="70">
        <f t="shared" si="62"/>
        <v>0</v>
      </c>
      <c r="AL250" s="70">
        <f t="shared" si="63"/>
        <v>0</v>
      </c>
      <c r="AM250" s="70">
        <f t="shared" si="64"/>
        <v>0</v>
      </c>
      <c r="AN250" s="70">
        <f t="shared" si="65"/>
        <v>0</v>
      </c>
      <c r="AO250" s="70">
        <f t="shared" si="66"/>
        <v>0</v>
      </c>
    </row>
    <row r="251" spans="1:41">
      <c r="A251" s="29" t="s">
        <v>361</v>
      </c>
      <c r="B251" s="29" t="s">
        <v>827</v>
      </c>
      <c r="C251" s="107">
        <v>0</v>
      </c>
      <c r="D251" s="108">
        <v>6025000</v>
      </c>
      <c r="F251" s="107">
        <v>0</v>
      </c>
      <c r="G251" s="108">
        <v>6625000</v>
      </c>
      <c r="I251" s="64">
        <v>0</v>
      </c>
      <c r="J251" s="83">
        <v>0</v>
      </c>
      <c r="K251" s="66">
        <v>6625000</v>
      </c>
      <c r="L251" s="251">
        <v>6625000</v>
      </c>
      <c r="M251" s="63">
        <v>0</v>
      </c>
      <c r="N251" s="64">
        <v>0</v>
      </c>
      <c r="O251" s="65">
        <v>6625000</v>
      </c>
      <c r="P251" s="66">
        <v>6625000</v>
      </c>
      <c r="Q251" s="66">
        <f t="shared" si="51"/>
        <v>0</v>
      </c>
      <c r="R251" s="63">
        <f t="shared" si="52"/>
        <v>0</v>
      </c>
      <c r="S251" s="83">
        <f t="shared" si="53"/>
        <v>0</v>
      </c>
      <c r="T251" s="64">
        <f t="shared" si="54"/>
        <v>0</v>
      </c>
      <c r="U251" s="66">
        <f t="shared" si="55"/>
        <v>6340720</v>
      </c>
      <c r="V251" s="63">
        <f t="shared" si="56"/>
        <v>6625000</v>
      </c>
      <c r="W251" s="83">
        <f t="shared" si="57"/>
        <v>6625000</v>
      </c>
      <c r="X251" s="64">
        <f t="shared" si="58"/>
        <v>6625000</v>
      </c>
      <c r="Z251" s="67">
        <v>0</v>
      </c>
      <c r="AA251" s="68">
        <v>0</v>
      </c>
      <c r="AB251" s="69">
        <v>6625000</v>
      </c>
      <c r="AC251" s="70">
        <v>6625000</v>
      </c>
      <c r="AD251" s="67">
        <v>0</v>
      </c>
      <c r="AE251" s="68">
        <v>0</v>
      </c>
      <c r="AF251" s="69">
        <v>6625000</v>
      </c>
      <c r="AG251" s="70">
        <v>6625000</v>
      </c>
      <c r="AH251" s="70">
        <f t="shared" si="59"/>
        <v>0</v>
      </c>
      <c r="AI251" s="70">
        <f t="shared" si="60"/>
        <v>0</v>
      </c>
      <c r="AJ251" s="70">
        <f t="shared" si="61"/>
        <v>0</v>
      </c>
      <c r="AK251" s="70">
        <f t="shared" si="62"/>
        <v>0</v>
      </c>
      <c r="AL251" s="70">
        <f t="shared" si="63"/>
        <v>6340720</v>
      </c>
      <c r="AM251" s="70">
        <f t="shared" si="64"/>
        <v>6625000</v>
      </c>
      <c r="AN251" s="70">
        <f t="shared" si="65"/>
        <v>6625000</v>
      </c>
      <c r="AO251" s="70">
        <f t="shared" si="66"/>
        <v>6625000</v>
      </c>
    </row>
    <row r="252" spans="1:41">
      <c r="A252" s="29" t="s">
        <v>569</v>
      </c>
      <c r="B252" s="29" t="s">
        <v>875</v>
      </c>
      <c r="C252" s="107">
        <v>25972.99</v>
      </c>
      <c r="D252" s="108">
        <v>110000</v>
      </c>
      <c r="F252" s="107">
        <v>28978.16</v>
      </c>
      <c r="G252" s="108">
        <v>110000</v>
      </c>
      <c r="I252" s="64">
        <v>12230.33</v>
      </c>
      <c r="J252" s="83">
        <v>23489.025000000005</v>
      </c>
      <c r="K252" s="66">
        <v>110000</v>
      </c>
      <c r="L252" s="251">
        <v>110000</v>
      </c>
      <c r="M252" s="63">
        <v>24011.949000000008</v>
      </c>
      <c r="N252" s="64">
        <v>22954.213500000002</v>
      </c>
      <c r="O252" s="65">
        <v>110000</v>
      </c>
      <c r="P252" s="66">
        <v>110000</v>
      </c>
      <c r="Q252" s="66">
        <f t="shared" si="51"/>
        <v>16078.274799999999</v>
      </c>
      <c r="R252" s="63">
        <f t="shared" si="52"/>
        <v>20336.590400000001</v>
      </c>
      <c r="S252" s="83">
        <f t="shared" si="53"/>
        <v>23865.53028000001</v>
      </c>
      <c r="T252" s="64">
        <f t="shared" si="54"/>
        <v>23250.379440000004</v>
      </c>
      <c r="U252" s="66">
        <f t="shared" si="55"/>
        <v>110000</v>
      </c>
      <c r="V252" s="63">
        <f t="shared" si="56"/>
        <v>110000</v>
      </c>
      <c r="W252" s="83">
        <f t="shared" si="57"/>
        <v>110000</v>
      </c>
      <c r="X252" s="64">
        <f t="shared" si="58"/>
        <v>110000</v>
      </c>
      <c r="Z252" s="67">
        <v>28978.16</v>
      </c>
      <c r="AA252" s="68">
        <v>25087.686000000002</v>
      </c>
      <c r="AB252" s="69">
        <v>110000</v>
      </c>
      <c r="AC252" s="70">
        <v>110000</v>
      </c>
      <c r="AD252" s="67">
        <v>24011.949000000008</v>
      </c>
      <c r="AE252" s="68">
        <v>22954.213500000002</v>
      </c>
      <c r="AF252" s="69">
        <v>110000</v>
      </c>
      <c r="AG252" s="70">
        <v>110000</v>
      </c>
      <c r="AH252" s="70">
        <f t="shared" si="59"/>
        <v>28136.7124</v>
      </c>
      <c r="AI252" s="70">
        <f t="shared" si="60"/>
        <v>26177.01872</v>
      </c>
      <c r="AJ252" s="70">
        <f t="shared" si="61"/>
        <v>24313.155360000008</v>
      </c>
      <c r="AK252" s="70">
        <f t="shared" si="62"/>
        <v>23250.379440000004</v>
      </c>
      <c r="AL252" s="70">
        <f t="shared" si="63"/>
        <v>110000</v>
      </c>
      <c r="AM252" s="70">
        <f t="shared" si="64"/>
        <v>110000</v>
      </c>
      <c r="AN252" s="70">
        <f t="shared" si="65"/>
        <v>110000</v>
      </c>
      <c r="AO252" s="70">
        <f t="shared" si="66"/>
        <v>110000</v>
      </c>
    </row>
    <row r="253" spans="1:41">
      <c r="A253" s="29" t="s">
        <v>421</v>
      </c>
      <c r="B253" s="29" t="s">
        <v>828</v>
      </c>
      <c r="C253" s="107">
        <v>0</v>
      </c>
      <c r="D253" s="108">
        <v>2100000</v>
      </c>
      <c r="F253" s="107">
        <v>0</v>
      </c>
      <c r="G253" s="108">
        <v>2210000</v>
      </c>
      <c r="I253" s="64">
        <v>0</v>
      </c>
      <c r="J253" s="83">
        <v>0</v>
      </c>
      <c r="K253" s="66">
        <v>2210000</v>
      </c>
      <c r="L253" s="251">
        <v>2300000</v>
      </c>
      <c r="M253" s="63">
        <v>0</v>
      </c>
      <c r="N253" s="64">
        <v>0</v>
      </c>
      <c r="O253" s="65">
        <v>2300000</v>
      </c>
      <c r="P253" s="66">
        <v>2300000</v>
      </c>
      <c r="Q253" s="66">
        <f t="shared" si="51"/>
        <v>0</v>
      </c>
      <c r="R253" s="63">
        <f t="shared" si="52"/>
        <v>0</v>
      </c>
      <c r="S253" s="83">
        <f t="shared" si="53"/>
        <v>0</v>
      </c>
      <c r="T253" s="64">
        <f t="shared" si="54"/>
        <v>0</v>
      </c>
      <c r="U253" s="66">
        <f t="shared" si="55"/>
        <v>2157882</v>
      </c>
      <c r="V253" s="63">
        <f t="shared" si="56"/>
        <v>2257358</v>
      </c>
      <c r="W253" s="83">
        <f t="shared" si="57"/>
        <v>2300000</v>
      </c>
      <c r="X253" s="64">
        <f t="shared" si="58"/>
        <v>2300000</v>
      </c>
      <c r="Z253" s="67">
        <v>0</v>
      </c>
      <c r="AA253" s="68">
        <v>0</v>
      </c>
      <c r="AB253" s="69">
        <v>2210000</v>
      </c>
      <c r="AC253" s="70">
        <v>2300000</v>
      </c>
      <c r="AD253" s="67">
        <v>0</v>
      </c>
      <c r="AE253" s="68">
        <v>0</v>
      </c>
      <c r="AF253" s="69">
        <v>2300000</v>
      </c>
      <c r="AG253" s="70">
        <v>2300000</v>
      </c>
      <c r="AH253" s="70">
        <f t="shared" si="59"/>
        <v>0</v>
      </c>
      <c r="AI253" s="70">
        <f t="shared" si="60"/>
        <v>0</v>
      </c>
      <c r="AJ253" s="70">
        <f t="shared" si="61"/>
        <v>0</v>
      </c>
      <c r="AK253" s="70">
        <f t="shared" si="62"/>
        <v>0</v>
      </c>
      <c r="AL253" s="70">
        <f t="shared" si="63"/>
        <v>2157882</v>
      </c>
      <c r="AM253" s="70">
        <f t="shared" si="64"/>
        <v>2257358</v>
      </c>
      <c r="AN253" s="70">
        <f t="shared" si="65"/>
        <v>2300000</v>
      </c>
      <c r="AO253" s="70">
        <f t="shared" si="66"/>
        <v>2300000</v>
      </c>
    </row>
    <row r="254" spans="1:41">
      <c r="A254" s="29" t="s">
        <v>443</v>
      </c>
      <c r="B254" s="29" t="s">
        <v>829</v>
      </c>
      <c r="C254" s="107">
        <v>184230.55</v>
      </c>
      <c r="D254" s="108">
        <v>3083775</v>
      </c>
      <c r="F254" s="107">
        <v>0</v>
      </c>
      <c r="G254" s="108">
        <v>3515504</v>
      </c>
      <c r="I254" s="64">
        <v>0</v>
      </c>
      <c r="J254" s="83">
        <v>0</v>
      </c>
      <c r="K254" s="66">
        <v>3515504</v>
      </c>
      <c r="L254" s="251">
        <v>3515504</v>
      </c>
      <c r="M254" s="63">
        <v>0</v>
      </c>
      <c r="N254" s="64">
        <v>0</v>
      </c>
      <c r="O254" s="65">
        <v>3515504</v>
      </c>
      <c r="P254" s="66">
        <v>3515504</v>
      </c>
      <c r="Q254" s="66">
        <f t="shared" si="51"/>
        <v>51584.554000000004</v>
      </c>
      <c r="R254" s="63">
        <f t="shared" si="52"/>
        <v>0</v>
      </c>
      <c r="S254" s="83">
        <f t="shared" si="53"/>
        <v>0</v>
      </c>
      <c r="T254" s="64">
        <f t="shared" si="54"/>
        <v>0</v>
      </c>
      <c r="U254" s="66">
        <f t="shared" si="55"/>
        <v>3310950.7998000002</v>
      </c>
      <c r="V254" s="63">
        <f t="shared" si="56"/>
        <v>3515504</v>
      </c>
      <c r="W254" s="83">
        <f t="shared" si="57"/>
        <v>3515504</v>
      </c>
      <c r="X254" s="64">
        <f t="shared" si="58"/>
        <v>3515504</v>
      </c>
      <c r="Z254" s="67">
        <v>0</v>
      </c>
      <c r="AA254" s="68">
        <v>0</v>
      </c>
      <c r="AB254" s="69">
        <v>3515504</v>
      </c>
      <c r="AC254" s="70">
        <v>3515504</v>
      </c>
      <c r="AD254" s="67">
        <v>0</v>
      </c>
      <c r="AE254" s="68">
        <v>0</v>
      </c>
      <c r="AF254" s="69">
        <v>3515504</v>
      </c>
      <c r="AG254" s="70">
        <v>3515504</v>
      </c>
      <c r="AH254" s="70">
        <f t="shared" si="59"/>
        <v>51584.554000000004</v>
      </c>
      <c r="AI254" s="70">
        <f t="shared" si="60"/>
        <v>0</v>
      </c>
      <c r="AJ254" s="70">
        <f t="shared" si="61"/>
        <v>0</v>
      </c>
      <c r="AK254" s="70">
        <f t="shared" si="62"/>
        <v>0</v>
      </c>
      <c r="AL254" s="70">
        <f t="shared" si="63"/>
        <v>3310950.7998000002</v>
      </c>
      <c r="AM254" s="70">
        <f t="shared" si="64"/>
        <v>3515504</v>
      </c>
      <c r="AN254" s="70">
        <f t="shared" si="65"/>
        <v>3515504</v>
      </c>
      <c r="AO254" s="70">
        <f t="shared" si="66"/>
        <v>3515504</v>
      </c>
    </row>
    <row r="255" spans="1:41">
      <c r="A255" s="29" t="s">
        <v>495</v>
      </c>
      <c r="B255" s="29" t="s">
        <v>878</v>
      </c>
      <c r="C255" s="107">
        <v>58557.15</v>
      </c>
      <c r="D255" s="108">
        <v>93000</v>
      </c>
      <c r="F255" s="107">
        <v>64098.32</v>
      </c>
      <c r="G255" s="108">
        <v>94500</v>
      </c>
      <c r="I255" s="64">
        <v>53356.02</v>
      </c>
      <c r="J255" s="83">
        <v>86314.16541999999</v>
      </c>
      <c r="K255" s="66">
        <v>94500</v>
      </c>
      <c r="L255" s="251">
        <v>96500</v>
      </c>
      <c r="M255" s="63">
        <v>85593.037449999974</v>
      </c>
      <c r="N255" s="64">
        <v>88345.370880000002</v>
      </c>
      <c r="O255" s="65">
        <v>98500</v>
      </c>
      <c r="P255" s="66">
        <v>101500</v>
      </c>
      <c r="Q255" s="66">
        <f t="shared" si="51"/>
        <v>54812.3364</v>
      </c>
      <c r="R255" s="63">
        <f t="shared" si="52"/>
        <v>77085.884702399984</v>
      </c>
      <c r="S255" s="83">
        <f t="shared" si="53"/>
        <v>85794.953281599985</v>
      </c>
      <c r="T255" s="64">
        <f t="shared" si="54"/>
        <v>87574.717519600003</v>
      </c>
      <c r="U255" s="66">
        <f t="shared" si="55"/>
        <v>93789.3</v>
      </c>
      <c r="V255" s="63">
        <f t="shared" si="56"/>
        <v>95552.4</v>
      </c>
      <c r="W255" s="83">
        <f t="shared" si="57"/>
        <v>97552.4</v>
      </c>
      <c r="X255" s="64">
        <f t="shared" si="58"/>
        <v>100078.6</v>
      </c>
      <c r="Z255" s="67">
        <v>64098.32</v>
      </c>
      <c r="AA255" s="68">
        <v>86314.16541999999</v>
      </c>
      <c r="AB255" s="69">
        <v>94500</v>
      </c>
      <c r="AC255" s="70">
        <v>96500</v>
      </c>
      <c r="AD255" s="67">
        <v>85593.037449999974</v>
      </c>
      <c r="AE255" s="68">
        <v>88345.370880000002</v>
      </c>
      <c r="AF255" s="69">
        <v>98500</v>
      </c>
      <c r="AG255" s="70">
        <v>101500</v>
      </c>
      <c r="AH255" s="70">
        <f t="shared" si="59"/>
        <v>62546.792399999998</v>
      </c>
      <c r="AI255" s="70">
        <f t="shared" si="60"/>
        <v>80093.728702399996</v>
      </c>
      <c r="AJ255" s="70">
        <f t="shared" si="61"/>
        <v>85794.953281599985</v>
      </c>
      <c r="AK255" s="70">
        <f t="shared" si="62"/>
        <v>87574.717519600003</v>
      </c>
      <c r="AL255" s="70">
        <f t="shared" si="63"/>
        <v>93789.3</v>
      </c>
      <c r="AM255" s="70">
        <f t="shared" si="64"/>
        <v>95552.4</v>
      </c>
      <c r="AN255" s="70">
        <f t="shared" si="65"/>
        <v>97552.4</v>
      </c>
      <c r="AO255" s="70">
        <f t="shared" si="66"/>
        <v>100078.6</v>
      </c>
    </row>
    <row r="256" spans="1:41">
      <c r="A256" s="29" t="s">
        <v>371</v>
      </c>
      <c r="B256" s="29" t="s">
        <v>830</v>
      </c>
      <c r="C256" s="107">
        <v>0</v>
      </c>
      <c r="D256" s="108">
        <v>28000000</v>
      </c>
      <c r="F256" s="107">
        <v>0</v>
      </c>
      <c r="G256" s="108">
        <v>32500000</v>
      </c>
      <c r="I256" s="64">
        <v>0</v>
      </c>
      <c r="J256" s="83">
        <v>0</v>
      </c>
      <c r="K256" s="66">
        <v>32500000</v>
      </c>
      <c r="L256" s="251">
        <v>25897461.6776</v>
      </c>
      <c r="M256" s="63">
        <v>0</v>
      </c>
      <c r="N256" s="64">
        <v>0</v>
      </c>
      <c r="O256" s="65">
        <v>26807886.8299</v>
      </c>
      <c r="P256" s="66">
        <v>27886940.604599997</v>
      </c>
      <c r="Q256" s="66">
        <f t="shared" si="51"/>
        <v>0</v>
      </c>
      <c r="R256" s="63">
        <f t="shared" si="52"/>
        <v>0</v>
      </c>
      <c r="S256" s="83">
        <f t="shared" si="53"/>
        <v>0</v>
      </c>
      <c r="T256" s="64">
        <f t="shared" si="54"/>
        <v>0</v>
      </c>
      <c r="U256" s="66">
        <f t="shared" si="55"/>
        <v>30367900</v>
      </c>
      <c r="V256" s="63">
        <f t="shared" si="56"/>
        <v>29025744.334753118</v>
      </c>
      <c r="W256" s="83">
        <f t="shared" si="57"/>
        <v>26376527.392740261</v>
      </c>
      <c r="X256" s="64">
        <f t="shared" si="58"/>
        <v>27375684.926147141</v>
      </c>
      <c r="Z256" s="67">
        <v>0</v>
      </c>
      <c r="AA256" s="68">
        <v>0</v>
      </c>
      <c r="AB256" s="69">
        <v>32500000</v>
      </c>
      <c r="AC256" s="70">
        <v>28503656.508599997</v>
      </c>
      <c r="AD256" s="67">
        <v>0</v>
      </c>
      <c r="AE256" s="68">
        <v>0</v>
      </c>
      <c r="AF256" s="69">
        <v>26807886.8299</v>
      </c>
      <c r="AG256" s="70">
        <v>27886940.604599997</v>
      </c>
      <c r="AH256" s="70">
        <f t="shared" si="59"/>
        <v>0</v>
      </c>
      <c r="AI256" s="70">
        <f t="shared" si="60"/>
        <v>0</v>
      </c>
      <c r="AJ256" s="70">
        <f t="shared" si="61"/>
        <v>0</v>
      </c>
      <c r="AK256" s="70">
        <f t="shared" si="62"/>
        <v>0</v>
      </c>
      <c r="AL256" s="70">
        <f t="shared" si="63"/>
        <v>30367900</v>
      </c>
      <c r="AM256" s="70">
        <f t="shared" si="64"/>
        <v>30397124.054825321</v>
      </c>
      <c r="AN256" s="70">
        <f t="shared" si="65"/>
        <v>27611342.503668059</v>
      </c>
      <c r="AO256" s="70">
        <f t="shared" si="66"/>
        <v>27375684.926147141</v>
      </c>
    </row>
    <row r="257" spans="1:41">
      <c r="A257" s="29" t="s">
        <v>595</v>
      </c>
      <c r="B257" s="29" t="s">
        <v>831</v>
      </c>
      <c r="C257" s="107">
        <v>8209895.96</v>
      </c>
      <c r="D257" s="108">
        <v>2800000</v>
      </c>
      <c r="F257" s="107">
        <v>8533932.8599999994</v>
      </c>
      <c r="G257" s="108">
        <v>3100000</v>
      </c>
      <c r="I257" s="64">
        <v>8430840.6600000001</v>
      </c>
      <c r="J257" s="83">
        <v>8876663.1799999997</v>
      </c>
      <c r="K257" s="66">
        <v>3100000</v>
      </c>
      <c r="L257" s="251">
        <v>3400000</v>
      </c>
      <c r="M257" s="63">
        <v>9107835.1475999989</v>
      </c>
      <c r="N257" s="64">
        <v>9422704.5770999976</v>
      </c>
      <c r="O257" s="65">
        <v>3700000</v>
      </c>
      <c r="P257" s="66">
        <v>3700000</v>
      </c>
      <c r="Q257" s="66">
        <f t="shared" si="51"/>
        <v>8368976.1440000003</v>
      </c>
      <c r="R257" s="63">
        <f t="shared" si="52"/>
        <v>8751832.874400001</v>
      </c>
      <c r="S257" s="83">
        <f t="shared" si="53"/>
        <v>9043106.9966719989</v>
      </c>
      <c r="T257" s="64">
        <f t="shared" si="54"/>
        <v>9334541.136839997</v>
      </c>
      <c r="U257" s="66">
        <f t="shared" si="55"/>
        <v>2957860</v>
      </c>
      <c r="V257" s="63">
        <f t="shared" si="56"/>
        <v>3257860</v>
      </c>
      <c r="W257" s="83">
        <f t="shared" si="57"/>
        <v>3557860</v>
      </c>
      <c r="X257" s="64">
        <f t="shared" si="58"/>
        <v>3700000</v>
      </c>
      <c r="Z257" s="67">
        <v>8533932.8599999994</v>
      </c>
      <c r="AA257" s="68">
        <v>8876663.1799999997</v>
      </c>
      <c r="AB257" s="69">
        <v>3100000</v>
      </c>
      <c r="AC257" s="70">
        <v>3400000</v>
      </c>
      <c r="AD257" s="67">
        <v>9107835.1475999989</v>
      </c>
      <c r="AE257" s="68">
        <v>9422704.5770999976</v>
      </c>
      <c r="AF257" s="69">
        <v>3700000</v>
      </c>
      <c r="AG257" s="70">
        <v>3700000</v>
      </c>
      <c r="AH257" s="70">
        <f t="shared" si="59"/>
        <v>8443202.5280000009</v>
      </c>
      <c r="AI257" s="70">
        <f t="shared" si="60"/>
        <v>8780698.6904000007</v>
      </c>
      <c r="AJ257" s="70">
        <f t="shared" si="61"/>
        <v>9043106.9966719989</v>
      </c>
      <c r="AK257" s="70">
        <f t="shared" si="62"/>
        <v>9334541.136839997</v>
      </c>
      <c r="AL257" s="70">
        <f t="shared" si="63"/>
        <v>2957860</v>
      </c>
      <c r="AM257" s="70">
        <f t="shared" si="64"/>
        <v>3257860</v>
      </c>
      <c r="AN257" s="70">
        <f t="shared" si="65"/>
        <v>3557860</v>
      </c>
      <c r="AO257" s="70">
        <f t="shared" si="66"/>
        <v>3700000</v>
      </c>
    </row>
    <row r="258" spans="1:41">
      <c r="A258" s="29" t="s">
        <v>365</v>
      </c>
      <c r="B258" s="29" t="s">
        <v>832</v>
      </c>
      <c r="C258" s="107">
        <v>0</v>
      </c>
      <c r="D258" s="108">
        <v>73871787</v>
      </c>
      <c r="F258" s="107">
        <v>0</v>
      </c>
      <c r="G258" s="108">
        <v>76000000</v>
      </c>
      <c r="I258" s="64">
        <v>0</v>
      </c>
      <c r="J258" s="83">
        <v>0</v>
      </c>
      <c r="K258" s="66">
        <v>76000000</v>
      </c>
      <c r="L258" s="251">
        <v>76000000</v>
      </c>
      <c r="M258" s="63">
        <v>0</v>
      </c>
      <c r="N258" s="64">
        <v>0</v>
      </c>
      <c r="O258" s="65">
        <v>76000000</v>
      </c>
      <c r="P258" s="66">
        <v>76000000</v>
      </c>
      <c r="Q258" s="66">
        <f t="shared" si="51"/>
        <v>0</v>
      </c>
      <c r="R258" s="63">
        <f t="shared" si="52"/>
        <v>0</v>
      </c>
      <c r="S258" s="83">
        <f t="shared" si="53"/>
        <v>0</v>
      </c>
      <c r="T258" s="64">
        <f t="shared" si="54"/>
        <v>0</v>
      </c>
      <c r="U258" s="66">
        <f t="shared" si="55"/>
        <v>74991652.680600002</v>
      </c>
      <c r="V258" s="63">
        <f t="shared" si="56"/>
        <v>76000000</v>
      </c>
      <c r="W258" s="83">
        <f t="shared" si="57"/>
        <v>76000000</v>
      </c>
      <c r="X258" s="64">
        <f t="shared" si="58"/>
        <v>76000000</v>
      </c>
      <c r="Z258" s="67">
        <v>0</v>
      </c>
      <c r="AA258" s="68">
        <v>0</v>
      </c>
      <c r="AB258" s="69">
        <v>76000000</v>
      </c>
      <c r="AC258" s="70">
        <v>76000000</v>
      </c>
      <c r="AD258" s="67">
        <v>0</v>
      </c>
      <c r="AE258" s="68">
        <v>0</v>
      </c>
      <c r="AF258" s="69">
        <v>76000000</v>
      </c>
      <c r="AG258" s="70">
        <v>76000000</v>
      </c>
      <c r="AH258" s="70">
        <f t="shared" si="59"/>
        <v>0</v>
      </c>
      <c r="AI258" s="70">
        <f t="shared" si="60"/>
        <v>0</v>
      </c>
      <c r="AJ258" s="70">
        <f t="shared" si="61"/>
        <v>0</v>
      </c>
      <c r="AK258" s="70">
        <f t="shared" si="62"/>
        <v>0</v>
      </c>
      <c r="AL258" s="70">
        <f t="shared" si="63"/>
        <v>74991652.680600002</v>
      </c>
      <c r="AM258" s="70">
        <f t="shared" si="64"/>
        <v>76000000</v>
      </c>
      <c r="AN258" s="70">
        <f t="shared" si="65"/>
        <v>76000000</v>
      </c>
      <c r="AO258" s="70">
        <f t="shared" si="66"/>
        <v>76000000</v>
      </c>
    </row>
    <row r="259" spans="1:41">
      <c r="A259" s="29" t="s">
        <v>153</v>
      </c>
      <c r="B259" s="29" t="s">
        <v>833</v>
      </c>
      <c r="C259" s="107">
        <v>249741.76</v>
      </c>
      <c r="D259" s="108">
        <v>35000</v>
      </c>
      <c r="F259" s="107">
        <v>260946.39</v>
      </c>
      <c r="G259" s="108">
        <v>36000</v>
      </c>
      <c r="I259" s="64">
        <v>256091.21</v>
      </c>
      <c r="J259" s="83">
        <v>274567.5049</v>
      </c>
      <c r="K259" s="66">
        <v>36000</v>
      </c>
      <c r="L259" s="251">
        <v>36000</v>
      </c>
      <c r="M259" s="63">
        <v>284978.4903</v>
      </c>
      <c r="N259" s="64">
        <v>297088.51079999999</v>
      </c>
      <c r="O259" s="65">
        <v>36000</v>
      </c>
      <c r="P259" s="66">
        <v>36000</v>
      </c>
      <c r="Q259" s="66">
        <f t="shared" si="51"/>
        <v>254313.364</v>
      </c>
      <c r="R259" s="63">
        <f t="shared" si="52"/>
        <v>269394.14232800005</v>
      </c>
      <c r="S259" s="83">
        <f t="shared" si="53"/>
        <v>282063.41438799998</v>
      </c>
      <c r="T259" s="64">
        <f t="shared" si="54"/>
        <v>293697.70506000001</v>
      </c>
      <c r="U259" s="66">
        <f t="shared" si="55"/>
        <v>35526.199999999997</v>
      </c>
      <c r="V259" s="63">
        <f t="shared" si="56"/>
        <v>36000</v>
      </c>
      <c r="W259" s="83">
        <f t="shared" si="57"/>
        <v>36000</v>
      </c>
      <c r="X259" s="64">
        <f t="shared" si="58"/>
        <v>36000</v>
      </c>
      <c r="Z259" s="67">
        <v>260946.39</v>
      </c>
      <c r="AA259" s="68">
        <v>276628.0013</v>
      </c>
      <c r="AB259" s="69">
        <v>36000</v>
      </c>
      <c r="AC259" s="70">
        <v>36000</v>
      </c>
      <c r="AD259" s="67">
        <v>284978.4903</v>
      </c>
      <c r="AE259" s="68">
        <v>297088.51079999999</v>
      </c>
      <c r="AF259" s="69">
        <v>36000</v>
      </c>
      <c r="AG259" s="70">
        <v>36000</v>
      </c>
      <c r="AH259" s="70">
        <f t="shared" si="59"/>
        <v>257809.09360000002</v>
      </c>
      <c r="AI259" s="70">
        <f t="shared" si="60"/>
        <v>272237.15013600001</v>
      </c>
      <c r="AJ259" s="70">
        <f t="shared" si="61"/>
        <v>282640.35337999999</v>
      </c>
      <c r="AK259" s="70">
        <f t="shared" si="62"/>
        <v>293697.70506000001</v>
      </c>
      <c r="AL259" s="70">
        <f t="shared" si="63"/>
        <v>35526.199999999997</v>
      </c>
      <c r="AM259" s="70">
        <f t="shared" si="64"/>
        <v>36000</v>
      </c>
      <c r="AN259" s="70">
        <f t="shared" si="65"/>
        <v>36000</v>
      </c>
      <c r="AO259" s="70">
        <f t="shared" si="66"/>
        <v>36000</v>
      </c>
    </row>
    <row r="260" spans="1:41">
      <c r="A260" s="29" t="s">
        <v>207</v>
      </c>
      <c r="B260" s="29" t="s">
        <v>834</v>
      </c>
      <c r="C260" s="107">
        <v>2640185.17</v>
      </c>
      <c r="D260" s="108">
        <v>15672954</v>
      </c>
      <c r="F260" s="107">
        <v>1236218.52</v>
      </c>
      <c r="G260" s="108">
        <v>16699783</v>
      </c>
      <c r="I260" s="64">
        <v>496370.45</v>
      </c>
      <c r="J260" s="83">
        <v>1603017.6871000004</v>
      </c>
      <c r="K260" s="66">
        <v>16699783</v>
      </c>
      <c r="L260" s="251">
        <v>19504860</v>
      </c>
      <c r="M260" s="63">
        <v>1696138.8371999995</v>
      </c>
      <c r="N260" s="64">
        <v>1630840.3305000011</v>
      </c>
      <c r="O260" s="65">
        <v>21258878</v>
      </c>
      <c r="P260" s="66">
        <v>21258878</v>
      </c>
      <c r="Q260" s="66">
        <f t="shared" si="51"/>
        <v>1096638.5716000001</v>
      </c>
      <c r="R260" s="63">
        <f t="shared" si="52"/>
        <v>1293156.4607120003</v>
      </c>
      <c r="S260" s="83">
        <f t="shared" si="53"/>
        <v>1670064.9151719997</v>
      </c>
      <c r="T260" s="64">
        <f t="shared" si="54"/>
        <v>1649123.9123760008</v>
      </c>
      <c r="U260" s="66">
        <f t="shared" si="55"/>
        <v>16213271.4198</v>
      </c>
      <c r="V260" s="63">
        <f t="shared" si="56"/>
        <v>18175814.5174</v>
      </c>
      <c r="W260" s="83">
        <f t="shared" si="57"/>
        <v>20427824.271600001</v>
      </c>
      <c r="X260" s="64">
        <f t="shared" si="58"/>
        <v>21258878</v>
      </c>
      <c r="Z260" s="67">
        <v>1236218.52</v>
      </c>
      <c r="AA260" s="68">
        <v>2225678.3836999997</v>
      </c>
      <c r="AB260" s="69">
        <v>16699783</v>
      </c>
      <c r="AC260" s="70">
        <v>19504860</v>
      </c>
      <c r="AD260" s="67">
        <v>1696138.8371999995</v>
      </c>
      <c r="AE260" s="68">
        <v>1630840.3305000011</v>
      </c>
      <c r="AF260" s="69">
        <v>21258878</v>
      </c>
      <c r="AG260" s="70">
        <v>21258878</v>
      </c>
      <c r="AH260" s="70">
        <f t="shared" si="59"/>
        <v>1629329.182</v>
      </c>
      <c r="AI260" s="70">
        <f t="shared" si="60"/>
        <v>1948629.6218639996</v>
      </c>
      <c r="AJ260" s="70">
        <f t="shared" si="61"/>
        <v>1844409.9102199995</v>
      </c>
      <c r="AK260" s="70">
        <f t="shared" si="62"/>
        <v>1649123.9123760008</v>
      </c>
      <c r="AL260" s="70">
        <f t="shared" si="63"/>
        <v>16213271.4198</v>
      </c>
      <c r="AM260" s="70">
        <f t="shared" si="64"/>
        <v>18175814.5174</v>
      </c>
      <c r="AN260" s="70">
        <f t="shared" si="65"/>
        <v>20427824.271600001</v>
      </c>
      <c r="AO260" s="70">
        <f t="shared" si="66"/>
        <v>21258878</v>
      </c>
    </row>
    <row r="261" spans="1:41">
      <c r="A261" s="29" t="s">
        <v>559</v>
      </c>
      <c r="B261" s="29" t="s">
        <v>835</v>
      </c>
      <c r="C261" s="107">
        <v>202838.46</v>
      </c>
      <c r="D261" s="108">
        <v>211946</v>
      </c>
      <c r="F261" s="107">
        <v>215339.31</v>
      </c>
      <c r="G261" s="108">
        <v>236818</v>
      </c>
      <c r="I261" s="64">
        <v>163911.63</v>
      </c>
      <c r="J261" s="83">
        <v>181998.5214</v>
      </c>
      <c r="K261" s="66">
        <v>236818</v>
      </c>
      <c r="L261" s="251">
        <v>204865.7</v>
      </c>
      <c r="M261" s="63">
        <v>190020.36989999999</v>
      </c>
      <c r="N261" s="64">
        <v>201384.72990000001</v>
      </c>
      <c r="O261" s="65">
        <v>209119.57750000001</v>
      </c>
      <c r="P261" s="66">
        <v>211014.76749999999</v>
      </c>
      <c r="Q261" s="66">
        <f t="shared" si="51"/>
        <v>174811.14240000001</v>
      </c>
      <c r="R261" s="63">
        <f t="shared" si="52"/>
        <v>176934.191808</v>
      </c>
      <c r="S261" s="83">
        <f t="shared" si="53"/>
        <v>187774.25232</v>
      </c>
      <c r="T261" s="64">
        <f t="shared" si="54"/>
        <v>198202.70910000001</v>
      </c>
      <c r="U261" s="66">
        <f t="shared" si="55"/>
        <v>225033.6464</v>
      </c>
      <c r="V261" s="63">
        <f t="shared" si="56"/>
        <v>220004.69974000001</v>
      </c>
      <c r="W261" s="83">
        <f t="shared" si="57"/>
        <v>207104.0903405</v>
      </c>
      <c r="X261" s="64">
        <f t="shared" si="58"/>
        <v>210116.826478</v>
      </c>
      <c r="Z261" s="67">
        <v>215339.31</v>
      </c>
      <c r="AA261" s="68">
        <v>232924.75569999998</v>
      </c>
      <c r="AB261" s="69">
        <v>236818</v>
      </c>
      <c r="AC261" s="70">
        <v>204865.7</v>
      </c>
      <c r="AD261" s="67">
        <v>190020.36989999999</v>
      </c>
      <c r="AE261" s="68">
        <v>201384.72990000001</v>
      </c>
      <c r="AF261" s="69">
        <v>209119.57750000001</v>
      </c>
      <c r="AG261" s="70">
        <v>211014.76749999999</v>
      </c>
      <c r="AH261" s="70">
        <f t="shared" si="59"/>
        <v>211839.07199999999</v>
      </c>
      <c r="AI261" s="70">
        <f t="shared" si="60"/>
        <v>228000.83090399997</v>
      </c>
      <c r="AJ261" s="70">
        <f t="shared" si="61"/>
        <v>202033.597924</v>
      </c>
      <c r="AK261" s="70">
        <f t="shared" si="62"/>
        <v>198202.70910000001</v>
      </c>
      <c r="AL261" s="70">
        <f t="shared" si="63"/>
        <v>225033.6464</v>
      </c>
      <c r="AM261" s="70">
        <f t="shared" si="64"/>
        <v>220004.69974000001</v>
      </c>
      <c r="AN261" s="70">
        <f t="shared" si="65"/>
        <v>207104.0903405</v>
      </c>
      <c r="AO261" s="70">
        <f t="shared" si="66"/>
        <v>210116.826478</v>
      </c>
    </row>
    <row r="262" spans="1:41">
      <c r="A262" s="29" t="s">
        <v>521</v>
      </c>
      <c r="B262" s="29" t="s">
        <v>836</v>
      </c>
      <c r="C262" s="107">
        <v>263041.56</v>
      </c>
      <c r="D262" s="108">
        <v>3213815</v>
      </c>
      <c r="F262" s="107">
        <v>0</v>
      </c>
      <c r="G262" s="108">
        <v>3535196</v>
      </c>
      <c r="I262" s="64">
        <v>0</v>
      </c>
      <c r="J262" s="83">
        <v>77983.871000000334</v>
      </c>
      <c r="K262" s="66">
        <v>3535196</v>
      </c>
      <c r="L262" s="251">
        <v>3604528.5825</v>
      </c>
      <c r="M262" s="63">
        <v>0</v>
      </c>
      <c r="N262" s="64">
        <v>0</v>
      </c>
      <c r="O262" s="65">
        <v>3757123.0951999999</v>
      </c>
      <c r="P262" s="66">
        <v>3905982.3571999995</v>
      </c>
      <c r="Q262" s="66">
        <f t="shared" si="51"/>
        <v>73651.636800000007</v>
      </c>
      <c r="R262" s="63">
        <f t="shared" si="52"/>
        <v>56148.38712000024</v>
      </c>
      <c r="S262" s="83">
        <f t="shared" si="53"/>
        <v>21835.483880000094</v>
      </c>
      <c r="T262" s="64">
        <f t="shared" si="54"/>
        <v>0</v>
      </c>
      <c r="U262" s="66">
        <f t="shared" si="55"/>
        <v>3382925.6821999997</v>
      </c>
      <c r="V262" s="63">
        <f t="shared" si="56"/>
        <v>3571678.8049114998</v>
      </c>
      <c r="W262" s="83">
        <f t="shared" si="57"/>
        <v>3684823.81508274</v>
      </c>
      <c r="X262" s="64">
        <f t="shared" si="58"/>
        <v>3835452.8388643996</v>
      </c>
      <c r="Z262" s="67">
        <v>0</v>
      </c>
      <c r="AA262" s="68">
        <v>158716.25150000039</v>
      </c>
      <c r="AB262" s="69">
        <v>3535196</v>
      </c>
      <c r="AC262" s="70">
        <v>3604528.5825</v>
      </c>
      <c r="AD262" s="67">
        <v>0</v>
      </c>
      <c r="AE262" s="68">
        <v>0</v>
      </c>
      <c r="AF262" s="69">
        <v>3757123.0951999999</v>
      </c>
      <c r="AG262" s="70">
        <v>3905982.3571999995</v>
      </c>
      <c r="AH262" s="70">
        <f t="shared" si="59"/>
        <v>73651.636800000007</v>
      </c>
      <c r="AI262" s="70">
        <f t="shared" si="60"/>
        <v>114275.70108000028</v>
      </c>
      <c r="AJ262" s="70">
        <f t="shared" si="61"/>
        <v>44440.550420000116</v>
      </c>
      <c r="AK262" s="70">
        <f t="shared" si="62"/>
        <v>0</v>
      </c>
      <c r="AL262" s="70">
        <f t="shared" si="63"/>
        <v>3382925.6821999997</v>
      </c>
      <c r="AM262" s="70">
        <f t="shared" si="64"/>
        <v>3571678.8049114998</v>
      </c>
      <c r="AN262" s="70">
        <f t="shared" si="65"/>
        <v>3684823.81508274</v>
      </c>
      <c r="AO262" s="70">
        <f t="shared" si="66"/>
        <v>3835452.8388643996</v>
      </c>
    </row>
    <row r="263" spans="1:41">
      <c r="A263" s="29" t="s">
        <v>243</v>
      </c>
      <c r="B263" s="29" t="s">
        <v>837</v>
      </c>
      <c r="C263" s="107">
        <v>0</v>
      </c>
      <c r="D263" s="108">
        <v>582351</v>
      </c>
      <c r="F263" s="107">
        <v>0</v>
      </c>
      <c r="G263" s="108">
        <v>596786</v>
      </c>
      <c r="I263" s="64">
        <v>0</v>
      </c>
      <c r="J263" s="83">
        <v>0</v>
      </c>
      <c r="K263" s="66">
        <v>596786</v>
      </c>
      <c r="L263" s="251">
        <v>622711.73119999992</v>
      </c>
      <c r="M263" s="63">
        <v>0</v>
      </c>
      <c r="N263" s="64">
        <v>0</v>
      </c>
      <c r="O263" s="65">
        <v>644311.69420000003</v>
      </c>
      <c r="P263" s="66">
        <v>669840.71</v>
      </c>
      <c r="Q263" s="66">
        <f t="shared" si="51"/>
        <v>0</v>
      </c>
      <c r="R263" s="63">
        <f t="shared" si="52"/>
        <v>0</v>
      </c>
      <c r="S263" s="83">
        <f t="shared" si="53"/>
        <v>0</v>
      </c>
      <c r="T263" s="64">
        <f t="shared" si="54"/>
        <v>0</v>
      </c>
      <c r="U263" s="66">
        <f t="shared" si="55"/>
        <v>589946.69699999993</v>
      </c>
      <c r="V263" s="63">
        <f t="shared" si="56"/>
        <v>610428.11975743994</v>
      </c>
      <c r="W263" s="83">
        <f t="shared" si="57"/>
        <v>634077.63173060003</v>
      </c>
      <c r="X263" s="64">
        <f t="shared" si="58"/>
        <v>657745.06231395993</v>
      </c>
      <c r="Z263" s="67">
        <v>0</v>
      </c>
      <c r="AA263" s="68">
        <v>0</v>
      </c>
      <c r="AB263" s="69">
        <v>596786</v>
      </c>
      <c r="AC263" s="70">
        <v>645021.34619999991</v>
      </c>
      <c r="AD263" s="67">
        <v>0</v>
      </c>
      <c r="AE263" s="68">
        <v>0</v>
      </c>
      <c r="AF263" s="69">
        <v>644311.69420000003</v>
      </c>
      <c r="AG263" s="70">
        <v>669840.71</v>
      </c>
      <c r="AH263" s="70">
        <f t="shared" si="59"/>
        <v>0</v>
      </c>
      <c r="AI263" s="70">
        <f t="shared" si="60"/>
        <v>0</v>
      </c>
      <c r="AJ263" s="70">
        <f t="shared" si="61"/>
        <v>0</v>
      </c>
      <c r="AK263" s="70">
        <f t="shared" si="62"/>
        <v>0</v>
      </c>
      <c r="AL263" s="70">
        <f t="shared" si="63"/>
        <v>589946.69699999993</v>
      </c>
      <c r="AM263" s="70">
        <f t="shared" si="64"/>
        <v>622167.43917043996</v>
      </c>
      <c r="AN263" s="70">
        <f t="shared" si="65"/>
        <v>644647.9273176</v>
      </c>
      <c r="AO263" s="70">
        <f t="shared" si="66"/>
        <v>657745.06231395993</v>
      </c>
    </row>
    <row r="264" spans="1:41">
      <c r="A264" s="29" t="s">
        <v>285</v>
      </c>
      <c r="B264" s="29" t="s">
        <v>838</v>
      </c>
      <c r="C264" s="107">
        <v>294189.95</v>
      </c>
      <c r="D264" s="108">
        <v>895000</v>
      </c>
      <c r="F264" s="107">
        <v>185355.42</v>
      </c>
      <c r="G264" s="108">
        <v>1100000</v>
      </c>
      <c r="I264" s="64">
        <v>116175.03999999999</v>
      </c>
      <c r="J264" s="83">
        <v>221687.77577799998</v>
      </c>
      <c r="K264" s="66">
        <v>1100000</v>
      </c>
      <c r="L264" s="251">
        <v>1150000</v>
      </c>
      <c r="M264" s="63">
        <v>162125.05061399998</v>
      </c>
      <c r="N264" s="64">
        <v>96906.665082000021</v>
      </c>
      <c r="O264" s="65">
        <v>1200000</v>
      </c>
      <c r="P264" s="66">
        <v>1200000</v>
      </c>
      <c r="Q264" s="66">
        <f t="shared" si="51"/>
        <v>166019.21480000002</v>
      </c>
      <c r="R264" s="63">
        <f t="shared" si="52"/>
        <v>192144.20976015998</v>
      </c>
      <c r="S264" s="83">
        <f t="shared" si="53"/>
        <v>178802.61365991997</v>
      </c>
      <c r="T264" s="64">
        <f t="shared" si="54"/>
        <v>115167.81303096001</v>
      </c>
      <c r="U264" s="66">
        <f t="shared" si="55"/>
        <v>1002871</v>
      </c>
      <c r="V264" s="63">
        <f t="shared" si="56"/>
        <v>1126310</v>
      </c>
      <c r="W264" s="83">
        <f t="shared" si="57"/>
        <v>1176310</v>
      </c>
      <c r="X264" s="64">
        <f t="shared" si="58"/>
        <v>1200000</v>
      </c>
      <c r="Z264" s="67">
        <v>185355.42</v>
      </c>
      <c r="AA264" s="68">
        <v>285190.85379399976</v>
      </c>
      <c r="AB264" s="69">
        <v>1100000</v>
      </c>
      <c r="AC264" s="70">
        <v>1150000</v>
      </c>
      <c r="AD264" s="67">
        <v>162125.05061399998</v>
      </c>
      <c r="AE264" s="68">
        <v>96906.665082000021</v>
      </c>
      <c r="AF264" s="69">
        <v>1200000</v>
      </c>
      <c r="AG264" s="70">
        <v>1200000</v>
      </c>
      <c r="AH264" s="70">
        <f t="shared" si="59"/>
        <v>215829.08840000001</v>
      </c>
      <c r="AI264" s="70">
        <f t="shared" si="60"/>
        <v>257236.93233167985</v>
      </c>
      <c r="AJ264" s="70">
        <f t="shared" si="61"/>
        <v>196583.47550439992</v>
      </c>
      <c r="AK264" s="70">
        <f t="shared" si="62"/>
        <v>115167.81303096001</v>
      </c>
      <c r="AL264" s="70">
        <f t="shared" si="63"/>
        <v>1002871</v>
      </c>
      <c r="AM264" s="70">
        <f t="shared" si="64"/>
        <v>1126310</v>
      </c>
      <c r="AN264" s="70">
        <f t="shared" si="65"/>
        <v>1176310</v>
      </c>
      <c r="AO264" s="70">
        <f t="shared" si="66"/>
        <v>1200000</v>
      </c>
    </row>
    <row r="265" spans="1:41">
      <c r="A265" s="29" t="s">
        <v>339</v>
      </c>
      <c r="B265" s="29" t="s">
        <v>839</v>
      </c>
      <c r="C265" s="107">
        <v>932679.48</v>
      </c>
      <c r="D265" s="108">
        <v>878240</v>
      </c>
      <c r="F265" s="107">
        <v>933057.58</v>
      </c>
      <c r="G265" s="108">
        <v>922152</v>
      </c>
      <c r="I265" s="64">
        <v>922725.58</v>
      </c>
      <c r="J265" s="83">
        <v>1064571.8818000001</v>
      </c>
      <c r="K265" s="66">
        <v>922152</v>
      </c>
      <c r="L265" s="251">
        <v>922152</v>
      </c>
      <c r="M265" s="63">
        <v>1078347.5752159997</v>
      </c>
      <c r="N265" s="64">
        <v>1128843.2033279999</v>
      </c>
      <c r="O265" s="65">
        <v>922152</v>
      </c>
      <c r="P265" s="66">
        <v>922152</v>
      </c>
      <c r="Q265" s="66">
        <f t="shared" ref="Q265:Q309" si="67">(0.28*C265)+(0.72*I265)</f>
        <v>925512.6719999999</v>
      </c>
      <c r="R265" s="63">
        <f t="shared" ref="R265:R309" si="68">(0.28*I265)+(0.72*J265)</f>
        <v>1024854.9172960001</v>
      </c>
      <c r="S265" s="83">
        <f t="shared" ref="S265:S309" si="69">(0.28*J265)+(0.72*M265)</f>
        <v>1074490.3810595199</v>
      </c>
      <c r="T265" s="64">
        <f t="shared" ref="T265:T309" si="70">(0.28*M265)+(0.72*N265)</f>
        <v>1114704.4274566397</v>
      </c>
      <c r="U265" s="66">
        <f t="shared" ref="U265:U309" si="71">(0.4738*D265)+(0.5262*G265)</f>
        <v>901346.49439999997</v>
      </c>
      <c r="V265" s="63">
        <f t="shared" ref="V265:V309" si="72">(0.4738*G265)+(0.5262*L265)</f>
        <v>922152</v>
      </c>
      <c r="W265" s="83">
        <f t="shared" ref="W265:W309" si="73">(0.4738*L265)+(0.5262*O265)</f>
        <v>922152</v>
      </c>
      <c r="X265" s="64">
        <f t="shared" ref="X265:X309" si="74">(0.4738*O265)+(0.5262*P265)</f>
        <v>922152</v>
      </c>
      <c r="Z265" s="67">
        <v>933057.58</v>
      </c>
      <c r="AA265" s="68">
        <v>1064571.8818000001</v>
      </c>
      <c r="AB265" s="69">
        <v>922152</v>
      </c>
      <c r="AC265" s="70">
        <v>922152</v>
      </c>
      <c r="AD265" s="67">
        <v>1078347.5752159997</v>
      </c>
      <c r="AE265" s="68">
        <v>1128843.2033279999</v>
      </c>
      <c r="AF265" s="69">
        <v>922152</v>
      </c>
      <c r="AG265" s="70">
        <v>922152</v>
      </c>
      <c r="AH265" s="70">
        <f t="shared" ref="AH265:AH309" si="75">(0.28*C265)+(0.72*Z265)</f>
        <v>932951.71199999994</v>
      </c>
      <c r="AI265" s="70">
        <f t="shared" ref="AI265:AI309" si="76">(0.28*Z265)+(0.72*AA265)</f>
        <v>1027747.877296</v>
      </c>
      <c r="AJ265" s="70">
        <f t="shared" ref="AJ265:AJ309" si="77">(0.28*AA265)+(0.72*AD265)</f>
        <v>1074490.3810595199</v>
      </c>
      <c r="AK265" s="70">
        <f t="shared" ref="AK265:AK309" si="78">(0.28*AD265)+(0.72*AE265)</f>
        <v>1114704.4274566397</v>
      </c>
      <c r="AL265" s="70">
        <f t="shared" ref="AL265:AL309" si="79">(0.4738*D265)+(0.5262*G265)</f>
        <v>901346.49439999997</v>
      </c>
      <c r="AM265" s="70">
        <f t="shared" ref="AM265:AM309" si="80">(0.4738*G265)+(0.5262*AC265)</f>
        <v>922152</v>
      </c>
      <c r="AN265" s="70">
        <f t="shared" ref="AN265:AN309" si="81">(0.4738*AC265)+(0.5262*AF265)</f>
        <v>922152</v>
      </c>
      <c r="AO265" s="70">
        <f t="shared" ref="AO265:AO309" si="82">(0.4738*AF265)+(0.5262*AG265)</f>
        <v>922152</v>
      </c>
    </row>
    <row r="266" spans="1:41">
      <c r="A266" s="29" t="s">
        <v>597</v>
      </c>
      <c r="B266" s="29" t="s">
        <v>840</v>
      </c>
      <c r="C266" s="107">
        <v>5962185.2800000003</v>
      </c>
      <c r="D266" s="108">
        <v>1400000</v>
      </c>
      <c r="F266" s="107">
        <v>6427140.7300000004</v>
      </c>
      <c r="G266" s="108">
        <v>1420000</v>
      </c>
      <c r="I266" s="64">
        <v>6427140.7300000004</v>
      </c>
      <c r="J266" s="83">
        <v>6840852.1515999995</v>
      </c>
      <c r="K266" s="66">
        <v>1420000</v>
      </c>
      <c r="L266" s="251">
        <v>1460000</v>
      </c>
      <c r="M266" s="63">
        <v>7071092.1672</v>
      </c>
      <c r="N266" s="64">
        <v>7333244.2208999991</v>
      </c>
      <c r="O266" s="65">
        <v>1500000</v>
      </c>
      <c r="P266" s="66">
        <v>1540000</v>
      </c>
      <c r="Q266" s="66">
        <f t="shared" si="67"/>
        <v>6296953.2039999999</v>
      </c>
      <c r="R266" s="63">
        <f t="shared" si="68"/>
        <v>6725012.9535520002</v>
      </c>
      <c r="S266" s="83">
        <f t="shared" si="69"/>
        <v>7006624.9628320001</v>
      </c>
      <c r="T266" s="64">
        <f t="shared" si="70"/>
        <v>7259841.6458639996</v>
      </c>
      <c r="U266" s="66">
        <f t="shared" si="71"/>
        <v>1410524</v>
      </c>
      <c r="V266" s="63">
        <f t="shared" si="72"/>
        <v>1441048</v>
      </c>
      <c r="W266" s="83">
        <f t="shared" si="73"/>
        <v>1481048</v>
      </c>
      <c r="X266" s="64">
        <f t="shared" si="74"/>
        <v>1521048</v>
      </c>
      <c r="Z266" s="67">
        <v>6427140.7300000004</v>
      </c>
      <c r="AA266" s="68">
        <v>6840852.1515999995</v>
      </c>
      <c r="AB266" s="69">
        <v>1420000</v>
      </c>
      <c r="AC266" s="70">
        <v>1460000</v>
      </c>
      <c r="AD266" s="67">
        <v>7071092.1672</v>
      </c>
      <c r="AE266" s="68">
        <v>7333244.2208999991</v>
      </c>
      <c r="AF266" s="69">
        <v>1500000</v>
      </c>
      <c r="AG266" s="70">
        <v>1540000</v>
      </c>
      <c r="AH266" s="70">
        <f t="shared" si="75"/>
        <v>6296953.2039999999</v>
      </c>
      <c r="AI266" s="70">
        <f t="shared" si="76"/>
        <v>6725012.9535520002</v>
      </c>
      <c r="AJ266" s="70">
        <f t="shared" si="77"/>
        <v>7006624.9628320001</v>
      </c>
      <c r="AK266" s="70">
        <f t="shared" si="78"/>
        <v>7259841.6458639996</v>
      </c>
      <c r="AL266" s="70">
        <f t="shared" si="79"/>
        <v>1410524</v>
      </c>
      <c r="AM266" s="70">
        <f t="shared" si="80"/>
        <v>1441048</v>
      </c>
      <c r="AN266" s="70">
        <f t="shared" si="81"/>
        <v>1481048</v>
      </c>
      <c r="AO266" s="70">
        <f t="shared" si="82"/>
        <v>1521048</v>
      </c>
    </row>
    <row r="267" spans="1:41">
      <c r="A267" s="29" t="s">
        <v>531</v>
      </c>
      <c r="B267" s="29" t="s">
        <v>841</v>
      </c>
      <c r="C267" s="107">
        <v>0</v>
      </c>
      <c r="D267" s="108">
        <v>572275</v>
      </c>
      <c r="F267" s="107">
        <v>0</v>
      </c>
      <c r="G267" s="108">
        <v>734966</v>
      </c>
      <c r="I267" s="64">
        <v>0</v>
      </c>
      <c r="J267" s="83">
        <v>0</v>
      </c>
      <c r="K267" s="66">
        <v>734966</v>
      </c>
      <c r="L267" s="251">
        <v>618854.32679999992</v>
      </c>
      <c r="M267" s="63">
        <v>0</v>
      </c>
      <c r="N267" s="64">
        <v>0</v>
      </c>
      <c r="O267" s="65">
        <v>640314.5046000001</v>
      </c>
      <c r="P267" s="66">
        <v>665665.46970000002</v>
      </c>
      <c r="Q267" s="66">
        <f t="shared" si="67"/>
        <v>0</v>
      </c>
      <c r="R267" s="63">
        <f t="shared" si="68"/>
        <v>0</v>
      </c>
      <c r="S267" s="83">
        <f t="shared" si="69"/>
        <v>0</v>
      </c>
      <c r="T267" s="64">
        <f t="shared" si="70"/>
        <v>0</v>
      </c>
      <c r="U267" s="66">
        <f t="shared" si="71"/>
        <v>657883.00420000008</v>
      </c>
      <c r="V267" s="63">
        <f t="shared" si="72"/>
        <v>673868.03756215994</v>
      </c>
      <c r="W267" s="83">
        <f t="shared" si="73"/>
        <v>630146.67235836003</v>
      </c>
      <c r="X267" s="64">
        <f t="shared" si="74"/>
        <v>653654.18243562011</v>
      </c>
      <c r="Z267" s="67">
        <v>0</v>
      </c>
      <c r="AA267" s="68">
        <v>0</v>
      </c>
      <c r="AB267" s="69">
        <v>734966</v>
      </c>
      <c r="AC267" s="70">
        <v>633305.19999999995</v>
      </c>
      <c r="AD267" s="67">
        <v>0</v>
      </c>
      <c r="AE267" s="68">
        <v>0</v>
      </c>
      <c r="AF267" s="69">
        <v>640314.5046000001</v>
      </c>
      <c r="AG267" s="70">
        <v>665665.46970000002</v>
      </c>
      <c r="AH267" s="70">
        <f t="shared" si="75"/>
        <v>0</v>
      </c>
      <c r="AI267" s="70">
        <f t="shared" si="76"/>
        <v>0</v>
      </c>
      <c r="AJ267" s="70">
        <f t="shared" si="77"/>
        <v>0</v>
      </c>
      <c r="AK267" s="70">
        <f t="shared" si="78"/>
        <v>0</v>
      </c>
      <c r="AL267" s="70">
        <f t="shared" si="79"/>
        <v>657883.00420000008</v>
      </c>
      <c r="AM267" s="70">
        <f t="shared" si="80"/>
        <v>681472.0870399999</v>
      </c>
      <c r="AN267" s="70">
        <f t="shared" si="81"/>
        <v>636993.4960805201</v>
      </c>
      <c r="AO267" s="70">
        <f t="shared" si="82"/>
        <v>653654.18243562011</v>
      </c>
    </row>
    <row r="268" spans="1:41">
      <c r="A268" s="29" t="s">
        <v>79</v>
      </c>
      <c r="B268" s="29" t="s">
        <v>842</v>
      </c>
      <c r="C268" s="107">
        <v>255828.49</v>
      </c>
      <c r="D268" s="108">
        <v>1358225</v>
      </c>
      <c r="F268" s="107">
        <v>158194.91</v>
      </c>
      <c r="G268" s="108">
        <v>1453000</v>
      </c>
      <c r="I268" s="64">
        <v>111943.83</v>
      </c>
      <c r="J268" s="83">
        <v>173900.48819999991</v>
      </c>
      <c r="K268" s="66">
        <v>1453000</v>
      </c>
      <c r="L268" s="251">
        <v>1555030</v>
      </c>
      <c r="M268" s="63">
        <v>106628.55959999991</v>
      </c>
      <c r="N268" s="64">
        <v>41111.661299999927</v>
      </c>
      <c r="O268" s="65">
        <v>1663885</v>
      </c>
      <c r="P268" s="66">
        <v>1663885</v>
      </c>
      <c r="Q268" s="66">
        <f t="shared" si="67"/>
        <v>152231.53480000002</v>
      </c>
      <c r="R268" s="63">
        <f t="shared" si="68"/>
        <v>156552.62390399992</v>
      </c>
      <c r="S268" s="83">
        <f t="shared" si="69"/>
        <v>125464.69960799991</v>
      </c>
      <c r="T268" s="64">
        <f t="shared" si="70"/>
        <v>59456.392823999922</v>
      </c>
      <c r="U268" s="66">
        <f t="shared" si="71"/>
        <v>1408095.605</v>
      </c>
      <c r="V268" s="63">
        <f t="shared" si="72"/>
        <v>1506688.186</v>
      </c>
      <c r="W268" s="83">
        <f t="shared" si="73"/>
        <v>1612309.5010000002</v>
      </c>
      <c r="X268" s="64">
        <f t="shared" si="74"/>
        <v>1663885</v>
      </c>
      <c r="Z268" s="67">
        <v>158194.91</v>
      </c>
      <c r="AA268" s="68">
        <v>210527.58799999999</v>
      </c>
      <c r="AB268" s="69">
        <v>1453000</v>
      </c>
      <c r="AC268" s="70">
        <v>1555030</v>
      </c>
      <c r="AD268" s="67">
        <v>106628.55959999991</v>
      </c>
      <c r="AE268" s="68">
        <v>41111.661299999927</v>
      </c>
      <c r="AF268" s="69">
        <v>1663885</v>
      </c>
      <c r="AG268" s="70">
        <v>1663885</v>
      </c>
      <c r="AH268" s="70">
        <f t="shared" si="75"/>
        <v>185532.3124</v>
      </c>
      <c r="AI268" s="70">
        <f t="shared" si="76"/>
        <v>195874.43815999999</v>
      </c>
      <c r="AJ268" s="70">
        <f t="shared" si="77"/>
        <v>135720.28755199994</v>
      </c>
      <c r="AK268" s="70">
        <f t="shared" si="78"/>
        <v>59456.392823999922</v>
      </c>
      <c r="AL268" s="70">
        <f t="shared" si="79"/>
        <v>1408095.605</v>
      </c>
      <c r="AM268" s="70">
        <f t="shared" si="80"/>
        <v>1506688.186</v>
      </c>
      <c r="AN268" s="70">
        <f t="shared" si="81"/>
        <v>1612309.5010000002</v>
      </c>
      <c r="AO268" s="70">
        <f t="shared" si="82"/>
        <v>1663885</v>
      </c>
    </row>
    <row r="269" spans="1:41">
      <c r="A269" s="29" t="s">
        <v>257</v>
      </c>
      <c r="B269" s="29" t="s">
        <v>843</v>
      </c>
      <c r="C269" s="107">
        <v>49804.93</v>
      </c>
      <c r="D269" s="108">
        <v>290000</v>
      </c>
      <c r="F269" s="107">
        <v>34572.39</v>
      </c>
      <c r="G269" s="108">
        <v>540000</v>
      </c>
      <c r="I269" s="64">
        <v>0</v>
      </c>
      <c r="J269" s="83">
        <v>0</v>
      </c>
      <c r="K269" s="66">
        <v>540000</v>
      </c>
      <c r="L269" s="251">
        <v>541015.36040000001</v>
      </c>
      <c r="M269" s="63">
        <v>0</v>
      </c>
      <c r="N269" s="64">
        <v>0</v>
      </c>
      <c r="O269" s="65">
        <v>559753.49950000003</v>
      </c>
      <c r="P269" s="66">
        <v>575000</v>
      </c>
      <c r="Q269" s="66">
        <f t="shared" si="67"/>
        <v>13945.380400000002</v>
      </c>
      <c r="R269" s="63">
        <f t="shared" si="68"/>
        <v>0</v>
      </c>
      <c r="S269" s="83">
        <f t="shared" si="69"/>
        <v>0</v>
      </c>
      <c r="T269" s="64">
        <f t="shared" si="70"/>
        <v>0</v>
      </c>
      <c r="U269" s="66">
        <f t="shared" si="71"/>
        <v>421550</v>
      </c>
      <c r="V269" s="63">
        <f t="shared" si="72"/>
        <v>540534.28264247999</v>
      </c>
      <c r="W269" s="83">
        <f t="shared" si="73"/>
        <v>550875.36919442005</v>
      </c>
      <c r="X269" s="64">
        <f t="shared" si="74"/>
        <v>567776.2080631</v>
      </c>
      <c r="Z269" s="67">
        <v>34572.39</v>
      </c>
      <c r="AA269" s="68">
        <v>43241.73449999997</v>
      </c>
      <c r="AB269" s="69">
        <v>540000</v>
      </c>
      <c r="AC269" s="70">
        <v>575000</v>
      </c>
      <c r="AD269" s="67">
        <v>0</v>
      </c>
      <c r="AE269" s="68">
        <v>0</v>
      </c>
      <c r="AF269" s="69">
        <v>559753.49950000003</v>
      </c>
      <c r="AG269" s="70">
        <v>575000</v>
      </c>
      <c r="AH269" s="70">
        <f t="shared" si="75"/>
        <v>38837.501199999999</v>
      </c>
      <c r="AI269" s="70">
        <f t="shared" si="76"/>
        <v>40814.318039999976</v>
      </c>
      <c r="AJ269" s="70">
        <f t="shared" si="77"/>
        <v>12107.685659999992</v>
      </c>
      <c r="AK269" s="70">
        <f t="shared" si="78"/>
        <v>0</v>
      </c>
      <c r="AL269" s="70">
        <f t="shared" si="79"/>
        <v>421550</v>
      </c>
      <c r="AM269" s="70">
        <f t="shared" si="80"/>
        <v>558417</v>
      </c>
      <c r="AN269" s="70">
        <f t="shared" si="81"/>
        <v>566977.29143690004</v>
      </c>
      <c r="AO269" s="70">
        <f t="shared" si="82"/>
        <v>567776.2080631</v>
      </c>
    </row>
    <row r="270" spans="1:41">
      <c r="A270" s="29" t="s">
        <v>201</v>
      </c>
      <c r="B270" s="29" t="s">
        <v>844</v>
      </c>
      <c r="C270" s="107">
        <v>0</v>
      </c>
      <c r="D270" s="108">
        <v>7850000</v>
      </c>
      <c r="F270" s="107">
        <v>0</v>
      </c>
      <c r="G270" s="108">
        <v>8250000</v>
      </c>
      <c r="I270" s="64">
        <v>0</v>
      </c>
      <c r="J270" s="83">
        <v>0</v>
      </c>
      <c r="K270" s="66">
        <v>8250000</v>
      </c>
      <c r="L270" s="251">
        <v>7737118.415</v>
      </c>
      <c r="M270" s="63">
        <v>0</v>
      </c>
      <c r="N270" s="64">
        <v>0</v>
      </c>
      <c r="O270" s="65">
        <v>8005253.9069999997</v>
      </c>
      <c r="P270" s="66">
        <v>8322395.3505000006</v>
      </c>
      <c r="Q270" s="66">
        <f t="shared" si="67"/>
        <v>0</v>
      </c>
      <c r="R270" s="63">
        <f t="shared" si="68"/>
        <v>0</v>
      </c>
      <c r="S270" s="83">
        <f t="shared" si="69"/>
        <v>0</v>
      </c>
      <c r="T270" s="64">
        <f t="shared" si="70"/>
        <v>0</v>
      </c>
      <c r="U270" s="66">
        <f t="shared" si="71"/>
        <v>8060480</v>
      </c>
      <c r="V270" s="63">
        <f t="shared" si="72"/>
        <v>7980121.709973</v>
      </c>
      <c r="W270" s="83">
        <f t="shared" si="73"/>
        <v>7878211.3108903999</v>
      </c>
      <c r="X270" s="64">
        <f t="shared" si="74"/>
        <v>8172133.7345697004</v>
      </c>
      <c r="Z270" s="67">
        <v>0</v>
      </c>
      <c r="AA270" s="68">
        <v>0</v>
      </c>
      <c r="AB270" s="69">
        <v>8250000</v>
      </c>
      <c r="AC270" s="70">
        <v>8182303.1839999994</v>
      </c>
      <c r="AD270" s="67">
        <v>0</v>
      </c>
      <c r="AE270" s="68">
        <v>0</v>
      </c>
      <c r="AF270" s="69">
        <v>8005253.9069999997</v>
      </c>
      <c r="AG270" s="70">
        <v>8322395.3505000006</v>
      </c>
      <c r="AH270" s="70">
        <f t="shared" si="75"/>
        <v>0</v>
      </c>
      <c r="AI270" s="70">
        <f t="shared" si="76"/>
        <v>0</v>
      </c>
      <c r="AJ270" s="70">
        <f t="shared" si="77"/>
        <v>0</v>
      </c>
      <c r="AK270" s="70">
        <f t="shared" si="78"/>
        <v>0</v>
      </c>
      <c r="AL270" s="70">
        <f t="shared" si="79"/>
        <v>8060480</v>
      </c>
      <c r="AM270" s="70">
        <f t="shared" si="80"/>
        <v>8214377.9354208</v>
      </c>
      <c r="AN270" s="70">
        <f t="shared" si="81"/>
        <v>8089139.8544426002</v>
      </c>
      <c r="AO270" s="70">
        <f t="shared" si="82"/>
        <v>8172133.7345697004</v>
      </c>
    </row>
    <row r="271" spans="1:41">
      <c r="A271" s="29" t="s">
        <v>511</v>
      </c>
      <c r="B271" s="29" t="s">
        <v>845</v>
      </c>
      <c r="C271" s="107">
        <v>1373028.74</v>
      </c>
      <c r="D271" s="108">
        <v>16750000</v>
      </c>
      <c r="F271" s="107">
        <v>269090.53999999998</v>
      </c>
      <c r="G271" s="108">
        <v>18172977</v>
      </c>
      <c r="I271" s="64">
        <v>0</v>
      </c>
      <c r="J271" s="83">
        <v>674468.95289999922</v>
      </c>
      <c r="K271" s="66">
        <v>18172977</v>
      </c>
      <c r="L271" s="251">
        <v>18294020.914999999</v>
      </c>
      <c r="M271" s="63">
        <v>151880.9453999993</v>
      </c>
      <c r="N271" s="64">
        <v>0</v>
      </c>
      <c r="O271" s="65">
        <v>19535999.6501</v>
      </c>
      <c r="P271" s="66">
        <v>20310201.118899997</v>
      </c>
      <c r="Q271" s="66">
        <f t="shared" si="67"/>
        <v>384448.04720000003</v>
      </c>
      <c r="R271" s="63">
        <f t="shared" si="68"/>
        <v>485617.6460879994</v>
      </c>
      <c r="S271" s="83">
        <f t="shared" si="69"/>
        <v>298205.58749999927</v>
      </c>
      <c r="T271" s="64">
        <f t="shared" si="70"/>
        <v>42526.664711999809</v>
      </c>
      <c r="U271" s="66">
        <f t="shared" si="71"/>
        <v>17498770.497400001</v>
      </c>
      <c r="V271" s="63">
        <f t="shared" si="72"/>
        <v>18236670.308072999</v>
      </c>
      <c r="W271" s="83">
        <f t="shared" si="73"/>
        <v>18947550.125409618</v>
      </c>
      <c r="X271" s="64">
        <f t="shared" si="74"/>
        <v>19943384.462982558</v>
      </c>
      <c r="Z271" s="67">
        <v>269090.53999999998</v>
      </c>
      <c r="AA271" s="68">
        <v>1067419.8266999987</v>
      </c>
      <c r="AB271" s="69">
        <v>18172977</v>
      </c>
      <c r="AC271" s="70">
        <v>18294020.914999999</v>
      </c>
      <c r="AD271" s="67">
        <v>151880.9453999993</v>
      </c>
      <c r="AE271" s="68">
        <v>0</v>
      </c>
      <c r="AF271" s="69">
        <v>19535999.6501</v>
      </c>
      <c r="AG271" s="70">
        <v>20310201.118899997</v>
      </c>
      <c r="AH271" s="70">
        <f t="shared" si="75"/>
        <v>578193.23600000003</v>
      </c>
      <c r="AI271" s="70">
        <f t="shared" si="76"/>
        <v>843887.62642399909</v>
      </c>
      <c r="AJ271" s="70">
        <f t="shared" si="77"/>
        <v>408231.83216399915</v>
      </c>
      <c r="AK271" s="70">
        <f t="shared" si="78"/>
        <v>42526.664711999809</v>
      </c>
      <c r="AL271" s="70">
        <f t="shared" si="79"/>
        <v>17498770.497400001</v>
      </c>
      <c r="AM271" s="70">
        <f t="shared" si="80"/>
        <v>18236670.308072999</v>
      </c>
      <c r="AN271" s="70">
        <f t="shared" si="81"/>
        <v>18947550.125409618</v>
      </c>
      <c r="AO271" s="70">
        <f t="shared" si="82"/>
        <v>19943384.462982558</v>
      </c>
    </row>
    <row r="272" spans="1:41">
      <c r="A272" s="29" t="s">
        <v>581</v>
      </c>
      <c r="B272" s="29" t="s">
        <v>846</v>
      </c>
      <c r="C272" s="107">
        <v>446193.49</v>
      </c>
      <c r="D272" s="108">
        <v>922500</v>
      </c>
      <c r="F272" s="107">
        <v>465693.28</v>
      </c>
      <c r="G272" s="108">
        <v>922500</v>
      </c>
      <c r="I272" s="64">
        <v>410087.1</v>
      </c>
      <c r="J272" s="83">
        <v>733927.44654599985</v>
      </c>
      <c r="K272" s="66">
        <v>922500</v>
      </c>
      <c r="L272" s="251">
        <v>922500</v>
      </c>
      <c r="M272" s="63">
        <v>665450.87185799994</v>
      </c>
      <c r="N272" s="64">
        <v>609240.34209599986</v>
      </c>
      <c r="O272" s="65">
        <v>922500</v>
      </c>
      <c r="P272" s="66">
        <v>922500</v>
      </c>
      <c r="Q272" s="66">
        <f t="shared" si="67"/>
        <v>420196.88919999998</v>
      </c>
      <c r="R272" s="63">
        <f t="shared" si="68"/>
        <v>643252.14951311995</v>
      </c>
      <c r="S272" s="83">
        <f t="shared" si="69"/>
        <v>684624.3127706399</v>
      </c>
      <c r="T272" s="64">
        <f t="shared" si="70"/>
        <v>624979.29042935988</v>
      </c>
      <c r="U272" s="66">
        <f t="shared" si="71"/>
        <v>922500</v>
      </c>
      <c r="V272" s="63">
        <f t="shared" si="72"/>
        <v>922500</v>
      </c>
      <c r="W272" s="83">
        <f t="shared" si="73"/>
        <v>922500</v>
      </c>
      <c r="X272" s="64">
        <f t="shared" si="74"/>
        <v>922500</v>
      </c>
      <c r="Z272" s="67">
        <v>465693.28</v>
      </c>
      <c r="AA272" s="68">
        <v>733927.44654599985</v>
      </c>
      <c r="AB272" s="69">
        <v>922500</v>
      </c>
      <c r="AC272" s="70">
        <v>922500</v>
      </c>
      <c r="AD272" s="67">
        <v>665450.87185799994</v>
      </c>
      <c r="AE272" s="68">
        <v>609240.34209599986</v>
      </c>
      <c r="AF272" s="69">
        <v>922500</v>
      </c>
      <c r="AG272" s="70">
        <v>922500</v>
      </c>
      <c r="AH272" s="70">
        <f t="shared" si="75"/>
        <v>460233.33880000003</v>
      </c>
      <c r="AI272" s="70">
        <f t="shared" si="76"/>
        <v>658821.87991311995</v>
      </c>
      <c r="AJ272" s="70">
        <f t="shared" si="77"/>
        <v>684624.3127706399</v>
      </c>
      <c r="AK272" s="70">
        <f t="shared" si="78"/>
        <v>624979.29042935988</v>
      </c>
      <c r="AL272" s="70">
        <f t="shared" si="79"/>
        <v>922500</v>
      </c>
      <c r="AM272" s="70">
        <f t="shared" si="80"/>
        <v>922500</v>
      </c>
      <c r="AN272" s="70">
        <f t="shared" si="81"/>
        <v>922500</v>
      </c>
      <c r="AO272" s="70">
        <f t="shared" si="82"/>
        <v>922500</v>
      </c>
    </row>
    <row r="273" spans="1:41">
      <c r="A273" s="29" t="s">
        <v>369</v>
      </c>
      <c r="B273" s="29" t="s">
        <v>847</v>
      </c>
      <c r="C273" s="107">
        <v>2022238</v>
      </c>
      <c r="D273" s="108">
        <v>12053000</v>
      </c>
      <c r="F273" s="107">
        <v>1355774.06</v>
      </c>
      <c r="G273" s="108">
        <v>13258000</v>
      </c>
      <c r="I273" s="64">
        <v>1322159.98</v>
      </c>
      <c r="J273" s="83">
        <v>1494507.1325999999</v>
      </c>
      <c r="K273" s="66">
        <v>13258000</v>
      </c>
      <c r="L273" s="251">
        <v>13258000</v>
      </c>
      <c r="M273" s="63">
        <v>1251451.3479000002</v>
      </c>
      <c r="N273" s="64">
        <v>1020417.0668999997</v>
      </c>
      <c r="O273" s="65">
        <v>13258000</v>
      </c>
      <c r="P273" s="66">
        <v>13258000</v>
      </c>
      <c r="Q273" s="66">
        <f t="shared" si="67"/>
        <v>1518181.8256000001</v>
      </c>
      <c r="R273" s="63">
        <f t="shared" si="68"/>
        <v>1446249.9298719999</v>
      </c>
      <c r="S273" s="83">
        <f t="shared" si="69"/>
        <v>1319506.9676160002</v>
      </c>
      <c r="T273" s="64">
        <f t="shared" si="70"/>
        <v>1085106.6655799998</v>
      </c>
      <c r="U273" s="66">
        <f t="shared" si="71"/>
        <v>12687071</v>
      </c>
      <c r="V273" s="63">
        <f t="shared" si="72"/>
        <v>13258000</v>
      </c>
      <c r="W273" s="83">
        <f t="shared" si="73"/>
        <v>13258000</v>
      </c>
      <c r="X273" s="64">
        <f t="shared" si="74"/>
        <v>13258000</v>
      </c>
      <c r="Z273" s="67">
        <v>1355774.06</v>
      </c>
      <c r="AA273" s="68">
        <v>1494507.1325999999</v>
      </c>
      <c r="AB273" s="69">
        <v>13258000</v>
      </c>
      <c r="AC273" s="70">
        <v>13258000</v>
      </c>
      <c r="AD273" s="67">
        <v>1251451.3479000002</v>
      </c>
      <c r="AE273" s="68">
        <v>1020417.0668999997</v>
      </c>
      <c r="AF273" s="69">
        <v>13258000</v>
      </c>
      <c r="AG273" s="70">
        <v>13258000</v>
      </c>
      <c r="AH273" s="70">
        <f t="shared" si="75"/>
        <v>1542383.9632000001</v>
      </c>
      <c r="AI273" s="70">
        <f t="shared" si="76"/>
        <v>1455661.8722719999</v>
      </c>
      <c r="AJ273" s="70">
        <f t="shared" si="77"/>
        <v>1319506.9676160002</v>
      </c>
      <c r="AK273" s="70">
        <f t="shared" si="78"/>
        <v>1085106.6655799998</v>
      </c>
      <c r="AL273" s="70">
        <f t="shared" si="79"/>
        <v>12687071</v>
      </c>
      <c r="AM273" s="70">
        <f t="shared" si="80"/>
        <v>13258000</v>
      </c>
      <c r="AN273" s="70">
        <f t="shared" si="81"/>
        <v>13258000</v>
      </c>
      <c r="AO273" s="70">
        <f t="shared" si="82"/>
        <v>13258000</v>
      </c>
    </row>
    <row r="274" spans="1:41">
      <c r="A274" s="29" t="s">
        <v>489</v>
      </c>
      <c r="B274" s="29" t="s">
        <v>848</v>
      </c>
      <c r="C274" s="107">
        <v>952381.13</v>
      </c>
      <c r="D274" s="108">
        <v>152000</v>
      </c>
      <c r="F274" s="107">
        <v>1150999.3999999999</v>
      </c>
      <c r="G274" s="108">
        <v>152000</v>
      </c>
      <c r="I274" s="64">
        <v>1150999.3999999999</v>
      </c>
      <c r="J274" s="83">
        <v>1220327.13708</v>
      </c>
      <c r="K274" s="66">
        <v>152000</v>
      </c>
      <c r="L274" s="251">
        <v>152000</v>
      </c>
      <c r="M274" s="63">
        <v>1189036.5732799999</v>
      </c>
      <c r="N274" s="64">
        <v>1177182.2626739999</v>
      </c>
      <c r="O274" s="65">
        <v>152000</v>
      </c>
      <c r="P274" s="66">
        <v>152000</v>
      </c>
      <c r="Q274" s="66">
        <f t="shared" si="67"/>
        <v>1095386.2843999998</v>
      </c>
      <c r="R274" s="63">
        <f t="shared" si="68"/>
        <v>1200915.3706976001</v>
      </c>
      <c r="S274" s="83">
        <f t="shared" si="69"/>
        <v>1197797.931144</v>
      </c>
      <c r="T274" s="64">
        <f t="shared" si="70"/>
        <v>1180501.4696436799</v>
      </c>
      <c r="U274" s="66">
        <f t="shared" si="71"/>
        <v>152000</v>
      </c>
      <c r="V274" s="63">
        <f t="shared" si="72"/>
        <v>152000</v>
      </c>
      <c r="W274" s="83">
        <f t="shared" si="73"/>
        <v>152000</v>
      </c>
      <c r="X274" s="64">
        <f t="shared" si="74"/>
        <v>152000</v>
      </c>
      <c r="Z274" s="67">
        <v>1150999.3999999999</v>
      </c>
      <c r="AA274" s="68">
        <v>1220327.13708</v>
      </c>
      <c r="AB274" s="69">
        <v>152000</v>
      </c>
      <c r="AC274" s="70">
        <v>152000</v>
      </c>
      <c r="AD274" s="67">
        <v>1189036.5732799999</v>
      </c>
      <c r="AE274" s="68">
        <v>1177182.2626739999</v>
      </c>
      <c r="AF274" s="69">
        <v>152000</v>
      </c>
      <c r="AG274" s="70">
        <v>152000</v>
      </c>
      <c r="AH274" s="70">
        <f t="shared" si="75"/>
        <v>1095386.2843999998</v>
      </c>
      <c r="AI274" s="70">
        <f t="shared" si="76"/>
        <v>1200915.3706976001</v>
      </c>
      <c r="AJ274" s="70">
        <f t="shared" si="77"/>
        <v>1197797.931144</v>
      </c>
      <c r="AK274" s="70">
        <f t="shared" si="78"/>
        <v>1180501.4696436799</v>
      </c>
      <c r="AL274" s="70">
        <f t="shared" si="79"/>
        <v>152000</v>
      </c>
      <c r="AM274" s="70">
        <f t="shared" si="80"/>
        <v>152000</v>
      </c>
      <c r="AN274" s="70">
        <f t="shared" si="81"/>
        <v>152000</v>
      </c>
      <c r="AO274" s="70">
        <f t="shared" si="82"/>
        <v>152000</v>
      </c>
    </row>
    <row r="275" spans="1:41">
      <c r="A275" s="29" t="s">
        <v>55</v>
      </c>
      <c r="B275" s="29" t="s">
        <v>849</v>
      </c>
      <c r="C275" s="107">
        <v>2912848.12</v>
      </c>
      <c r="D275" s="108">
        <v>45400000</v>
      </c>
      <c r="F275" s="107">
        <v>1373560.08</v>
      </c>
      <c r="G275" s="108">
        <v>48640000</v>
      </c>
      <c r="I275" s="64">
        <v>0</v>
      </c>
      <c r="J275" s="83">
        <v>0</v>
      </c>
      <c r="K275" s="66">
        <v>48640000</v>
      </c>
      <c r="L275" s="251">
        <v>52175000</v>
      </c>
      <c r="M275" s="63">
        <v>0</v>
      </c>
      <c r="N275" s="64">
        <v>0</v>
      </c>
      <c r="O275" s="65">
        <v>52175000</v>
      </c>
      <c r="P275" s="66">
        <v>52175000</v>
      </c>
      <c r="Q275" s="66">
        <f t="shared" si="67"/>
        <v>815597.47360000014</v>
      </c>
      <c r="R275" s="63">
        <f t="shared" si="68"/>
        <v>0</v>
      </c>
      <c r="S275" s="83">
        <f t="shared" si="69"/>
        <v>0</v>
      </c>
      <c r="T275" s="64">
        <f t="shared" si="70"/>
        <v>0</v>
      </c>
      <c r="U275" s="66">
        <f t="shared" si="71"/>
        <v>47104888</v>
      </c>
      <c r="V275" s="63">
        <f t="shared" si="72"/>
        <v>50500117</v>
      </c>
      <c r="W275" s="83">
        <f t="shared" si="73"/>
        <v>52175000</v>
      </c>
      <c r="X275" s="64">
        <f t="shared" si="74"/>
        <v>52175000</v>
      </c>
      <c r="Z275" s="67">
        <v>1373560.08</v>
      </c>
      <c r="AA275" s="68">
        <v>127229.14939999767</v>
      </c>
      <c r="AB275" s="69">
        <v>48640000</v>
      </c>
      <c r="AC275" s="70">
        <v>52175000</v>
      </c>
      <c r="AD275" s="67">
        <v>0</v>
      </c>
      <c r="AE275" s="68">
        <v>0</v>
      </c>
      <c r="AF275" s="69">
        <v>52175000</v>
      </c>
      <c r="AG275" s="70">
        <v>52175000</v>
      </c>
      <c r="AH275" s="70">
        <f t="shared" si="75"/>
        <v>1804560.7312000003</v>
      </c>
      <c r="AI275" s="70">
        <f t="shared" si="76"/>
        <v>476201.80996799842</v>
      </c>
      <c r="AJ275" s="70">
        <f t="shared" si="77"/>
        <v>35624.16183199935</v>
      </c>
      <c r="AK275" s="70">
        <f t="shared" si="78"/>
        <v>0</v>
      </c>
      <c r="AL275" s="70">
        <f t="shared" si="79"/>
        <v>47104888</v>
      </c>
      <c r="AM275" s="70">
        <f t="shared" si="80"/>
        <v>50500117</v>
      </c>
      <c r="AN275" s="70">
        <f t="shared" si="81"/>
        <v>52175000</v>
      </c>
      <c r="AO275" s="70">
        <f t="shared" si="82"/>
        <v>52175000</v>
      </c>
    </row>
    <row r="276" spans="1:41">
      <c r="A276" s="29" t="s">
        <v>193</v>
      </c>
      <c r="B276" s="29" t="s">
        <v>850</v>
      </c>
      <c r="C276" s="107">
        <v>0</v>
      </c>
      <c r="D276" s="108">
        <v>3906182</v>
      </c>
      <c r="F276" s="107">
        <v>0</v>
      </c>
      <c r="G276" s="108">
        <v>5274470</v>
      </c>
      <c r="I276" s="64">
        <v>0</v>
      </c>
      <c r="J276" s="83">
        <v>0</v>
      </c>
      <c r="K276" s="66">
        <v>5274470</v>
      </c>
      <c r="L276" s="251">
        <v>4256156.3832</v>
      </c>
      <c r="M276" s="63">
        <v>0</v>
      </c>
      <c r="N276" s="64">
        <v>0</v>
      </c>
      <c r="O276" s="65">
        <v>4403639.1218999997</v>
      </c>
      <c r="P276" s="66">
        <v>4578105.9323999994</v>
      </c>
      <c r="Q276" s="66">
        <f t="shared" si="67"/>
        <v>0</v>
      </c>
      <c r="R276" s="63">
        <f t="shared" si="68"/>
        <v>0</v>
      </c>
      <c r="S276" s="83">
        <f t="shared" si="69"/>
        <v>0</v>
      </c>
      <c r="T276" s="64">
        <f t="shared" si="70"/>
        <v>0</v>
      </c>
      <c r="U276" s="66">
        <f t="shared" si="71"/>
        <v>4626175.1456000004</v>
      </c>
      <c r="V276" s="63">
        <f t="shared" si="72"/>
        <v>4738633.3748398405</v>
      </c>
      <c r="W276" s="83">
        <f t="shared" si="73"/>
        <v>4333761.8003039397</v>
      </c>
      <c r="X276" s="64">
        <f t="shared" si="74"/>
        <v>4495443.5575850997</v>
      </c>
      <c r="Z276" s="67">
        <v>0</v>
      </c>
      <c r="AA276" s="68">
        <v>0</v>
      </c>
      <c r="AB276" s="69">
        <v>5274470</v>
      </c>
      <c r="AC276" s="70">
        <v>4319170.2505999999</v>
      </c>
      <c r="AD276" s="67">
        <v>0</v>
      </c>
      <c r="AE276" s="68">
        <v>0</v>
      </c>
      <c r="AF276" s="69">
        <v>4403639.1218999997</v>
      </c>
      <c r="AG276" s="70">
        <v>4578105.9323999994</v>
      </c>
      <c r="AH276" s="70">
        <f t="shared" si="75"/>
        <v>0</v>
      </c>
      <c r="AI276" s="70">
        <f t="shared" si="76"/>
        <v>0</v>
      </c>
      <c r="AJ276" s="70">
        <f t="shared" si="77"/>
        <v>0</v>
      </c>
      <c r="AK276" s="70">
        <f t="shared" si="78"/>
        <v>0</v>
      </c>
      <c r="AL276" s="70">
        <f t="shared" si="79"/>
        <v>4626175.1456000004</v>
      </c>
      <c r="AM276" s="70">
        <f t="shared" si="80"/>
        <v>4771791.2718657199</v>
      </c>
      <c r="AN276" s="70">
        <f t="shared" si="81"/>
        <v>4363617.7706780601</v>
      </c>
      <c r="AO276" s="70">
        <f t="shared" si="82"/>
        <v>4495443.5575850997</v>
      </c>
    </row>
    <row r="277" spans="1:41">
      <c r="A277" s="29" t="s">
        <v>523</v>
      </c>
      <c r="B277" s="29" t="s">
        <v>851</v>
      </c>
      <c r="C277" s="107">
        <v>55791.64</v>
      </c>
      <c r="D277" s="108">
        <v>997000</v>
      </c>
      <c r="F277" s="107">
        <v>0</v>
      </c>
      <c r="G277" s="108">
        <v>997000</v>
      </c>
      <c r="I277" s="64">
        <v>0</v>
      </c>
      <c r="J277" s="83">
        <v>0</v>
      </c>
      <c r="K277" s="66">
        <v>997000</v>
      </c>
      <c r="L277" s="251">
        <v>997000</v>
      </c>
      <c r="M277" s="63">
        <v>0</v>
      </c>
      <c r="N277" s="64">
        <v>0</v>
      </c>
      <c r="O277" s="65">
        <v>997000</v>
      </c>
      <c r="P277" s="66">
        <v>997000</v>
      </c>
      <c r="Q277" s="66">
        <f t="shared" si="67"/>
        <v>15621.659200000002</v>
      </c>
      <c r="R277" s="63">
        <f t="shared" si="68"/>
        <v>0</v>
      </c>
      <c r="S277" s="83">
        <f t="shared" si="69"/>
        <v>0</v>
      </c>
      <c r="T277" s="64">
        <f t="shared" si="70"/>
        <v>0</v>
      </c>
      <c r="U277" s="66">
        <f t="shared" si="71"/>
        <v>997000</v>
      </c>
      <c r="V277" s="63">
        <f t="shared" si="72"/>
        <v>997000</v>
      </c>
      <c r="W277" s="83">
        <f t="shared" si="73"/>
        <v>997000</v>
      </c>
      <c r="X277" s="64">
        <f t="shared" si="74"/>
        <v>997000</v>
      </c>
      <c r="Z277" s="67">
        <v>0</v>
      </c>
      <c r="AA277" s="68">
        <v>38890.586900000024</v>
      </c>
      <c r="AB277" s="69">
        <v>997000</v>
      </c>
      <c r="AC277" s="70">
        <v>997000</v>
      </c>
      <c r="AD277" s="67">
        <v>0</v>
      </c>
      <c r="AE277" s="68">
        <v>0</v>
      </c>
      <c r="AF277" s="69">
        <v>997000</v>
      </c>
      <c r="AG277" s="70">
        <v>997000</v>
      </c>
      <c r="AH277" s="70">
        <f t="shared" si="75"/>
        <v>15621.659200000002</v>
      </c>
      <c r="AI277" s="70">
        <f t="shared" si="76"/>
        <v>28001.222568000016</v>
      </c>
      <c r="AJ277" s="70">
        <f t="shared" si="77"/>
        <v>10889.364332000008</v>
      </c>
      <c r="AK277" s="70">
        <f t="shared" si="78"/>
        <v>0</v>
      </c>
      <c r="AL277" s="70">
        <f t="shared" si="79"/>
        <v>997000</v>
      </c>
      <c r="AM277" s="70">
        <f t="shared" si="80"/>
        <v>997000</v>
      </c>
      <c r="AN277" s="70">
        <f t="shared" si="81"/>
        <v>997000</v>
      </c>
      <c r="AO277" s="70">
        <f t="shared" si="82"/>
        <v>997000</v>
      </c>
    </row>
    <row r="278" spans="1:41">
      <c r="A278" s="29" t="s">
        <v>121</v>
      </c>
      <c r="B278" s="29" t="s">
        <v>852</v>
      </c>
      <c r="C278" s="107">
        <v>2720099.8</v>
      </c>
      <c r="D278" s="108">
        <v>2214962</v>
      </c>
      <c r="F278" s="107">
        <v>2829074.82</v>
      </c>
      <c r="G278" s="108">
        <v>2434238</v>
      </c>
      <c r="I278" s="64">
        <v>2829074.82</v>
      </c>
      <c r="J278" s="83">
        <v>3052039.2398999999</v>
      </c>
      <c r="K278" s="66">
        <v>2434238</v>
      </c>
      <c r="L278" s="251">
        <v>2162929.125</v>
      </c>
      <c r="M278" s="63">
        <v>3130677.9783000005</v>
      </c>
      <c r="N278" s="64">
        <v>3244982.9309999999</v>
      </c>
      <c r="O278" s="65">
        <v>2283120.9300000002</v>
      </c>
      <c r="P278" s="66">
        <v>2389790.9175</v>
      </c>
      <c r="Q278" s="66">
        <f t="shared" si="67"/>
        <v>2798561.8144</v>
      </c>
      <c r="R278" s="63">
        <f t="shared" si="68"/>
        <v>2989609.2023279998</v>
      </c>
      <c r="S278" s="83">
        <f t="shared" si="69"/>
        <v>3108659.1315480005</v>
      </c>
      <c r="T278" s="64">
        <f t="shared" si="70"/>
        <v>3212977.5442439998</v>
      </c>
      <c r="U278" s="66">
        <f t="shared" si="71"/>
        <v>2330345.0312000001</v>
      </c>
      <c r="V278" s="63">
        <f t="shared" si="72"/>
        <v>2291475.2699750001</v>
      </c>
      <c r="W278" s="83">
        <f t="shared" si="73"/>
        <v>2226174.0527909999</v>
      </c>
      <c r="X278" s="64">
        <f t="shared" si="74"/>
        <v>2339250.6774225002</v>
      </c>
      <c r="Z278" s="67">
        <v>2829074.82</v>
      </c>
      <c r="AA278" s="68">
        <v>3052039.2398999999</v>
      </c>
      <c r="AB278" s="69">
        <v>2434238</v>
      </c>
      <c r="AC278" s="70">
        <v>2162929.125</v>
      </c>
      <c r="AD278" s="67">
        <v>3130677.9783000005</v>
      </c>
      <c r="AE278" s="68">
        <v>3244982.9309999999</v>
      </c>
      <c r="AF278" s="69">
        <v>2283120.9300000002</v>
      </c>
      <c r="AG278" s="70">
        <v>2389790.9175</v>
      </c>
      <c r="AH278" s="70">
        <f t="shared" si="75"/>
        <v>2798561.8144</v>
      </c>
      <c r="AI278" s="70">
        <f t="shared" si="76"/>
        <v>2989609.2023279998</v>
      </c>
      <c r="AJ278" s="70">
        <f t="shared" si="77"/>
        <v>3108659.1315480005</v>
      </c>
      <c r="AK278" s="70">
        <f t="shared" si="78"/>
        <v>3212977.5442439998</v>
      </c>
      <c r="AL278" s="70">
        <f t="shared" si="79"/>
        <v>2330345.0312000001</v>
      </c>
      <c r="AM278" s="70">
        <f t="shared" si="80"/>
        <v>2291475.2699750001</v>
      </c>
      <c r="AN278" s="70">
        <f t="shared" si="81"/>
        <v>2226174.0527909999</v>
      </c>
      <c r="AO278" s="70">
        <f t="shared" si="82"/>
        <v>2339250.6774225002</v>
      </c>
    </row>
    <row r="279" spans="1:41">
      <c r="A279" s="29" t="s">
        <v>535</v>
      </c>
      <c r="B279" s="29" t="s">
        <v>853</v>
      </c>
      <c r="C279" s="107">
        <v>156008.42000000001</v>
      </c>
      <c r="D279" s="108">
        <v>490289</v>
      </c>
      <c r="F279" s="107">
        <v>146033.87</v>
      </c>
      <c r="G279" s="108">
        <v>640535</v>
      </c>
      <c r="I279" s="64">
        <v>91442.71</v>
      </c>
      <c r="J279" s="83">
        <v>105219.43349999993</v>
      </c>
      <c r="K279" s="66">
        <v>640535</v>
      </c>
      <c r="L279" s="251">
        <v>494295.60749999998</v>
      </c>
      <c r="M279" s="63">
        <v>112636.86810000001</v>
      </c>
      <c r="N279" s="64">
        <v>112331.27910000001</v>
      </c>
      <c r="O279" s="65">
        <v>505486.4375</v>
      </c>
      <c r="P279" s="66">
        <v>533912.37749999994</v>
      </c>
      <c r="Q279" s="66">
        <f t="shared" si="67"/>
        <v>109521.10880000002</v>
      </c>
      <c r="R279" s="63">
        <f t="shared" si="68"/>
        <v>101361.95091999994</v>
      </c>
      <c r="S279" s="83">
        <f t="shared" si="69"/>
        <v>110559.986412</v>
      </c>
      <c r="T279" s="64">
        <f t="shared" si="70"/>
        <v>112416.84402000002</v>
      </c>
      <c r="U279" s="66">
        <f t="shared" si="71"/>
        <v>569348.44519999996</v>
      </c>
      <c r="V279" s="63">
        <f t="shared" si="72"/>
        <v>563583.83166649996</v>
      </c>
      <c r="W279" s="83">
        <f t="shared" si="73"/>
        <v>500184.22224599996</v>
      </c>
      <c r="X279" s="64">
        <f t="shared" si="74"/>
        <v>520444.167128</v>
      </c>
      <c r="Z279" s="67">
        <v>146033.87</v>
      </c>
      <c r="AA279" s="68">
        <v>188527.43450000003</v>
      </c>
      <c r="AB279" s="69">
        <v>640535</v>
      </c>
      <c r="AC279" s="70">
        <v>494295.60749999998</v>
      </c>
      <c r="AD279" s="67">
        <v>112636.86810000001</v>
      </c>
      <c r="AE279" s="68">
        <v>112331.27910000001</v>
      </c>
      <c r="AF279" s="69">
        <v>505486.4375</v>
      </c>
      <c r="AG279" s="70">
        <v>533912.37749999994</v>
      </c>
      <c r="AH279" s="70">
        <f t="shared" si="75"/>
        <v>148826.74400000001</v>
      </c>
      <c r="AI279" s="70">
        <f t="shared" si="76"/>
        <v>176629.23644000004</v>
      </c>
      <c r="AJ279" s="70">
        <f t="shared" si="77"/>
        <v>133886.22669200003</v>
      </c>
      <c r="AK279" s="70">
        <f t="shared" si="78"/>
        <v>112416.84402000002</v>
      </c>
      <c r="AL279" s="70">
        <f t="shared" si="79"/>
        <v>569348.44519999996</v>
      </c>
      <c r="AM279" s="70">
        <f t="shared" si="80"/>
        <v>563583.83166649996</v>
      </c>
      <c r="AN279" s="70">
        <f t="shared" si="81"/>
        <v>500184.22224599996</v>
      </c>
      <c r="AO279" s="70">
        <f t="shared" si="82"/>
        <v>520444.167128</v>
      </c>
    </row>
    <row r="280" spans="1:41">
      <c r="A280" s="29" t="s">
        <v>527</v>
      </c>
      <c r="B280" s="29" t="s">
        <v>854</v>
      </c>
      <c r="C280" s="107">
        <v>3325252.83</v>
      </c>
      <c r="D280" s="108">
        <v>11010402</v>
      </c>
      <c r="F280" s="107">
        <v>2874644.41</v>
      </c>
      <c r="G280" s="108">
        <v>11285662</v>
      </c>
      <c r="I280" s="64">
        <v>2566230.59</v>
      </c>
      <c r="J280" s="83">
        <v>3303499.6303999997</v>
      </c>
      <c r="K280" s="66">
        <v>11285662</v>
      </c>
      <c r="L280" s="251">
        <v>10866705.890000001</v>
      </c>
      <c r="M280" s="63">
        <v>3132466.4630999994</v>
      </c>
      <c r="N280" s="64">
        <v>3133222.7649000012</v>
      </c>
      <c r="O280" s="65">
        <v>11719634.26</v>
      </c>
      <c r="P280" s="66">
        <v>11856999</v>
      </c>
      <c r="Q280" s="66">
        <f t="shared" si="67"/>
        <v>2778756.8171999999</v>
      </c>
      <c r="R280" s="63">
        <f t="shared" si="68"/>
        <v>3097064.2990879999</v>
      </c>
      <c r="S280" s="83">
        <f t="shared" si="69"/>
        <v>3180355.7499439996</v>
      </c>
      <c r="T280" s="64">
        <f t="shared" si="70"/>
        <v>3133011.0003960012</v>
      </c>
      <c r="U280" s="66">
        <f t="shared" si="71"/>
        <v>11155243.811999999</v>
      </c>
      <c r="V280" s="63">
        <f t="shared" si="72"/>
        <v>11065207.294918001</v>
      </c>
      <c r="W280" s="83">
        <f t="shared" si="73"/>
        <v>11315516.798294</v>
      </c>
      <c r="X280" s="64">
        <f t="shared" si="74"/>
        <v>11791915.586188</v>
      </c>
      <c r="Z280" s="67">
        <v>2874644.41</v>
      </c>
      <c r="AA280" s="68">
        <v>3570564.8318999996</v>
      </c>
      <c r="AB280" s="69">
        <v>11285662</v>
      </c>
      <c r="AC280" s="70">
        <v>10866705.890000001</v>
      </c>
      <c r="AD280" s="67">
        <v>3132466.4630999994</v>
      </c>
      <c r="AE280" s="68">
        <v>3133222.7649000012</v>
      </c>
      <c r="AF280" s="69">
        <v>11719634.26</v>
      </c>
      <c r="AG280" s="70">
        <v>11856999</v>
      </c>
      <c r="AH280" s="70">
        <f t="shared" si="75"/>
        <v>3000814.7675999999</v>
      </c>
      <c r="AI280" s="70">
        <f t="shared" si="76"/>
        <v>3375707.1137680002</v>
      </c>
      <c r="AJ280" s="70">
        <f t="shared" si="77"/>
        <v>3255134.0063639996</v>
      </c>
      <c r="AK280" s="70">
        <f t="shared" si="78"/>
        <v>3133011.0003960012</v>
      </c>
      <c r="AL280" s="70">
        <f t="shared" si="79"/>
        <v>11155243.811999999</v>
      </c>
      <c r="AM280" s="70">
        <f t="shared" si="80"/>
        <v>11065207.294918001</v>
      </c>
      <c r="AN280" s="70">
        <f t="shared" si="81"/>
        <v>11315516.798294</v>
      </c>
      <c r="AO280" s="70">
        <f t="shared" si="82"/>
        <v>11791915.586188</v>
      </c>
    </row>
    <row r="281" spans="1:41">
      <c r="A281" s="29" t="s">
        <v>605</v>
      </c>
      <c r="B281" s="29" t="s">
        <v>855</v>
      </c>
      <c r="C281" s="107">
        <v>4046853.2</v>
      </c>
      <c r="D281" s="108">
        <v>1350000</v>
      </c>
      <c r="F281" s="107">
        <v>4201917.8099999996</v>
      </c>
      <c r="G281" s="108">
        <v>1350000</v>
      </c>
      <c r="I281" s="64">
        <v>4006526.46</v>
      </c>
      <c r="J281" s="83">
        <v>3888921.2800113331</v>
      </c>
      <c r="K281" s="66">
        <v>1350000</v>
      </c>
      <c r="L281" s="251">
        <v>1350000</v>
      </c>
      <c r="M281" s="63">
        <v>3799242.4137360002</v>
      </c>
      <c r="N281" s="64">
        <v>3676873.1506720004</v>
      </c>
      <c r="O281" s="65">
        <v>1350000</v>
      </c>
      <c r="P281" s="66">
        <v>1350000</v>
      </c>
      <c r="Q281" s="66">
        <f t="shared" si="67"/>
        <v>4017817.9471999998</v>
      </c>
      <c r="R281" s="63">
        <f t="shared" si="68"/>
        <v>3921850.73040816</v>
      </c>
      <c r="S281" s="83">
        <f t="shared" si="69"/>
        <v>3824352.4962930935</v>
      </c>
      <c r="T281" s="64">
        <f t="shared" si="70"/>
        <v>3711136.5443299208</v>
      </c>
      <c r="U281" s="66">
        <f t="shared" si="71"/>
        <v>1350000</v>
      </c>
      <c r="V281" s="63">
        <f t="shared" si="72"/>
        <v>1350000</v>
      </c>
      <c r="W281" s="83">
        <f t="shared" si="73"/>
        <v>1350000</v>
      </c>
      <c r="X281" s="64">
        <f t="shared" si="74"/>
        <v>1350000</v>
      </c>
      <c r="Z281" s="67">
        <v>4201917.8099999996</v>
      </c>
      <c r="AA281" s="68">
        <v>4026101.3146473337</v>
      </c>
      <c r="AB281" s="69">
        <v>1350000</v>
      </c>
      <c r="AC281" s="70">
        <v>1350000</v>
      </c>
      <c r="AD281" s="67">
        <v>3799242.4137360002</v>
      </c>
      <c r="AE281" s="68">
        <v>3676873.1506720004</v>
      </c>
      <c r="AF281" s="69">
        <v>1350000</v>
      </c>
      <c r="AG281" s="70">
        <v>1350000</v>
      </c>
      <c r="AH281" s="70">
        <f t="shared" si="75"/>
        <v>4158499.7191999997</v>
      </c>
      <c r="AI281" s="70">
        <f t="shared" si="76"/>
        <v>4075329.9333460801</v>
      </c>
      <c r="AJ281" s="70">
        <f t="shared" si="77"/>
        <v>3862762.9059911738</v>
      </c>
      <c r="AK281" s="70">
        <f t="shared" si="78"/>
        <v>3711136.5443299208</v>
      </c>
      <c r="AL281" s="70">
        <f t="shared" si="79"/>
        <v>1350000</v>
      </c>
      <c r="AM281" s="70">
        <f t="shared" si="80"/>
        <v>1350000</v>
      </c>
      <c r="AN281" s="70">
        <f t="shared" si="81"/>
        <v>1350000</v>
      </c>
      <c r="AO281" s="70">
        <f t="shared" si="82"/>
        <v>1350000</v>
      </c>
    </row>
    <row r="282" spans="1:41">
      <c r="A282" s="29" t="s">
        <v>125</v>
      </c>
      <c r="B282" s="29" t="s">
        <v>856</v>
      </c>
      <c r="C282" s="107">
        <v>657907.32999999996</v>
      </c>
      <c r="D282" s="108">
        <v>1082316</v>
      </c>
      <c r="F282" s="107">
        <v>705742.22</v>
      </c>
      <c r="G282" s="108">
        <v>1168901</v>
      </c>
      <c r="I282" s="64">
        <v>663415.88</v>
      </c>
      <c r="J282" s="83">
        <v>672768.23749999993</v>
      </c>
      <c r="K282" s="66">
        <v>1168901</v>
      </c>
      <c r="L282" s="251">
        <v>1168901</v>
      </c>
      <c r="M282" s="63">
        <v>678504.07470000011</v>
      </c>
      <c r="N282" s="64">
        <v>714342.40469999996</v>
      </c>
      <c r="O282" s="65">
        <v>1168901</v>
      </c>
      <c r="P282" s="66">
        <v>1168901</v>
      </c>
      <c r="Q282" s="66">
        <f t="shared" si="67"/>
        <v>661873.48600000003</v>
      </c>
      <c r="R282" s="63">
        <f t="shared" si="68"/>
        <v>670149.57739999995</v>
      </c>
      <c r="S282" s="83">
        <f t="shared" si="69"/>
        <v>676898.0402840001</v>
      </c>
      <c r="T282" s="64">
        <f t="shared" si="70"/>
        <v>704307.67229999998</v>
      </c>
      <c r="U282" s="66">
        <f t="shared" si="71"/>
        <v>1127877.027</v>
      </c>
      <c r="V282" s="63">
        <f t="shared" si="72"/>
        <v>1168901</v>
      </c>
      <c r="W282" s="83">
        <f t="shared" si="73"/>
        <v>1168901</v>
      </c>
      <c r="X282" s="64">
        <f t="shared" si="74"/>
        <v>1168901</v>
      </c>
      <c r="Z282" s="67">
        <v>705742.22</v>
      </c>
      <c r="AA282" s="68">
        <v>701402.03230000008</v>
      </c>
      <c r="AB282" s="69">
        <v>1168901</v>
      </c>
      <c r="AC282" s="70">
        <v>1168901</v>
      </c>
      <c r="AD282" s="67">
        <v>678504.07470000011</v>
      </c>
      <c r="AE282" s="68">
        <v>714342.40469999996</v>
      </c>
      <c r="AF282" s="69">
        <v>1168901</v>
      </c>
      <c r="AG282" s="70">
        <v>1168901</v>
      </c>
      <c r="AH282" s="70">
        <f t="shared" si="75"/>
        <v>692348.45079999999</v>
      </c>
      <c r="AI282" s="70">
        <f t="shared" si="76"/>
        <v>702617.28485599998</v>
      </c>
      <c r="AJ282" s="70">
        <f t="shared" si="77"/>
        <v>684915.50282800011</v>
      </c>
      <c r="AK282" s="70">
        <f t="shared" si="78"/>
        <v>704307.67229999998</v>
      </c>
      <c r="AL282" s="70">
        <f t="shared" si="79"/>
        <v>1127877.027</v>
      </c>
      <c r="AM282" s="70">
        <f t="shared" si="80"/>
        <v>1168901</v>
      </c>
      <c r="AN282" s="70">
        <f t="shared" si="81"/>
        <v>1168901</v>
      </c>
      <c r="AO282" s="70">
        <f t="shared" si="82"/>
        <v>1168901</v>
      </c>
    </row>
    <row r="283" spans="1:41">
      <c r="A283" s="29" t="s">
        <v>63</v>
      </c>
      <c r="B283" s="29" t="s">
        <v>857</v>
      </c>
      <c r="C283" s="107">
        <v>0</v>
      </c>
      <c r="D283" s="108">
        <v>7392656</v>
      </c>
      <c r="F283" s="107">
        <v>0</v>
      </c>
      <c r="G283" s="108">
        <v>7984068</v>
      </c>
      <c r="I283" s="64">
        <v>0</v>
      </c>
      <c r="J283" s="83">
        <v>0</v>
      </c>
      <c r="K283" s="66">
        <v>7984068</v>
      </c>
      <c r="L283" s="251">
        <v>8271771.9367999993</v>
      </c>
      <c r="M283" s="63">
        <v>0</v>
      </c>
      <c r="N283" s="64">
        <v>0</v>
      </c>
      <c r="O283" s="65">
        <v>8559070.4043000005</v>
      </c>
      <c r="P283" s="66">
        <v>8622793</v>
      </c>
      <c r="Q283" s="66">
        <f t="shared" si="67"/>
        <v>0</v>
      </c>
      <c r="R283" s="63">
        <f t="shared" si="68"/>
        <v>0</v>
      </c>
      <c r="S283" s="83">
        <f t="shared" si="69"/>
        <v>0</v>
      </c>
      <c r="T283" s="64">
        <f t="shared" si="70"/>
        <v>0</v>
      </c>
      <c r="U283" s="66">
        <f t="shared" si="71"/>
        <v>7703856.9944000002</v>
      </c>
      <c r="V283" s="63">
        <f t="shared" si="72"/>
        <v>8135457.8115441594</v>
      </c>
      <c r="W283" s="83">
        <f t="shared" si="73"/>
        <v>8422948.3903985005</v>
      </c>
      <c r="X283" s="64">
        <f t="shared" si="74"/>
        <v>8592601.2341573406</v>
      </c>
      <c r="Z283" s="67">
        <v>0</v>
      </c>
      <c r="AA283" s="68">
        <v>0</v>
      </c>
      <c r="AB283" s="69">
        <v>7984068</v>
      </c>
      <c r="AC283" s="70">
        <v>8622793</v>
      </c>
      <c r="AD283" s="67">
        <v>0</v>
      </c>
      <c r="AE283" s="68">
        <v>0</v>
      </c>
      <c r="AF283" s="69">
        <v>8559070.4043000005</v>
      </c>
      <c r="AG283" s="70">
        <v>8622793</v>
      </c>
      <c r="AH283" s="70">
        <f t="shared" si="75"/>
        <v>0</v>
      </c>
      <c r="AI283" s="70">
        <f t="shared" si="76"/>
        <v>0</v>
      </c>
      <c r="AJ283" s="70">
        <f t="shared" si="77"/>
        <v>0</v>
      </c>
      <c r="AK283" s="70">
        <f t="shared" si="78"/>
        <v>0</v>
      </c>
      <c r="AL283" s="70">
        <f t="shared" si="79"/>
        <v>7703856.9944000002</v>
      </c>
      <c r="AM283" s="70">
        <f t="shared" si="80"/>
        <v>8320165.0949999997</v>
      </c>
      <c r="AN283" s="70">
        <f t="shared" si="81"/>
        <v>8589262.1701426618</v>
      </c>
      <c r="AO283" s="70">
        <f t="shared" si="82"/>
        <v>8592601.2341573406</v>
      </c>
    </row>
    <row r="284" spans="1:41">
      <c r="A284" s="29" t="s">
        <v>3</v>
      </c>
      <c r="B284" s="29" t="s">
        <v>910</v>
      </c>
      <c r="C284" s="107">
        <v>3513.6</v>
      </c>
      <c r="D284" s="108">
        <v>142000</v>
      </c>
      <c r="F284" s="107">
        <v>0</v>
      </c>
      <c r="G284" s="108">
        <v>150000</v>
      </c>
      <c r="I284" s="64">
        <v>0</v>
      </c>
      <c r="J284" s="83">
        <v>10640.863500000005</v>
      </c>
      <c r="K284" s="66">
        <v>150000</v>
      </c>
      <c r="L284" s="251">
        <v>150000</v>
      </c>
      <c r="M284" s="63">
        <v>10891.123499999991</v>
      </c>
      <c r="N284" s="64">
        <v>7948.8300000000045</v>
      </c>
      <c r="O284" s="65">
        <v>150000</v>
      </c>
      <c r="P284" s="66">
        <v>150000</v>
      </c>
      <c r="Q284" s="66">
        <f t="shared" si="67"/>
        <v>983.80800000000011</v>
      </c>
      <c r="R284" s="63">
        <f t="shared" si="68"/>
        <v>7661.421720000003</v>
      </c>
      <c r="S284" s="83">
        <f t="shared" si="69"/>
        <v>10821.050699999994</v>
      </c>
      <c r="T284" s="64">
        <f t="shared" si="70"/>
        <v>8772.6721800000014</v>
      </c>
      <c r="U284" s="66">
        <f t="shared" si="71"/>
        <v>146209.60000000001</v>
      </c>
      <c r="V284" s="63">
        <f t="shared" si="72"/>
        <v>150000</v>
      </c>
      <c r="W284" s="83">
        <f t="shared" si="73"/>
        <v>150000</v>
      </c>
      <c r="X284" s="64">
        <f t="shared" si="74"/>
        <v>150000</v>
      </c>
      <c r="Z284" s="67">
        <v>0</v>
      </c>
      <c r="AA284" s="68">
        <v>10640.863500000005</v>
      </c>
      <c r="AB284" s="69">
        <v>150000</v>
      </c>
      <c r="AC284" s="70">
        <v>150000</v>
      </c>
      <c r="AD284" s="67">
        <v>10891.123499999991</v>
      </c>
      <c r="AE284" s="68">
        <v>7948.8300000000045</v>
      </c>
      <c r="AF284" s="69">
        <v>150000</v>
      </c>
      <c r="AG284" s="70">
        <v>150000</v>
      </c>
      <c r="AH284" s="70">
        <f t="shared" si="75"/>
        <v>983.80800000000011</v>
      </c>
      <c r="AI284" s="70">
        <f t="shared" si="76"/>
        <v>7661.421720000003</v>
      </c>
      <c r="AJ284" s="70">
        <f t="shared" si="77"/>
        <v>10821.050699999994</v>
      </c>
      <c r="AK284" s="70">
        <f t="shared" si="78"/>
        <v>8772.6721800000014</v>
      </c>
      <c r="AL284" s="70">
        <f t="shared" si="79"/>
        <v>146209.60000000001</v>
      </c>
      <c r="AM284" s="70">
        <f t="shared" si="80"/>
        <v>150000</v>
      </c>
      <c r="AN284" s="70">
        <f t="shared" si="81"/>
        <v>150000</v>
      </c>
      <c r="AO284" s="70">
        <f t="shared" si="82"/>
        <v>150000</v>
      </c>
    </row>
    <row r="285" spans="1:41">
      <c r="A285" s="29" t="s">
        <v>99</v>
      </c>
      <c r="B285" s="29" t="s">
        <v>858</v>
      </c>
      <c r="C285" s="107">
        <v>77430.63</v>
      </c>
      <c r="D285" s="108">
        <v>583000</v>
      </c>
      <c r="F285" s="107">
        <v>82049.52</v>
      </c>
      <c r="G285" s="108">
        <v>618083.25</v>
      </c>
      <c r="I285" s="64">
        <v>82049.52</v>
      </c>
      <c r="J285" s="83">
        <v>51289.550800000012</v>
      </c>
      <c r="K285" s="66">
        <v>618083.25</v>
      </c>
      <c r="L285" s="251">
        <v>587346.46250000002</v>
      </c>
      <c r="M285" s="63">
        <v>53630.628600000011</v>
      </c>
      <c r="N285" s="64">
        <v>47812.669800000003</v>
      </c>
      <c r="O285" s="65">
        <v>607608.48250000004</v>
      </c>
      <c r="P285" s="66">
        <v>646015.33499999996</v>
      </c>
      <c r="Q285" s="66">
        <f t="shared" si="67"/>
        <v>80756.230800000005</v>
      </c>
      <c r="R285" s="63">
        <f t="shared" si="68"/>
        <v>59902.342176000013</v>
      </c>
      <c r="S285" s="83">
        <f t="shared" si="69"/>
        <v>52975.126816000011</v>
      </c>
      <c r="T285" s="64">
        <f t="shared" si="70"/>
        <v>49441.698264000006</v>
      </c>
      <c r="U285" s="66">
        <f t="shared" si="71"/>
        <v>601460.80615000008</v>
      </c>
      <c r="V285" s="63">
        <f t="shared" si="72"/>
        <v>601909.55241749994</v>
      </c>
      <c r="W285" s="83">
        <f t="shared" si="73"/>
        <v>598008.33742400003</v>
      </c>
      <c r="X285" s="64">
        <f t="shared" si="74"/>
        <v>627818.16828550003</v>
      </c>
      <c r="Z285" s="67">
        <v>82049.52</v>
      </c>
      <c r="AA285" s="68">
        <v>120387.23179999994</v>
      </c>
      <c r="AB285" s="69">
        <v>618083.25</v>
      </c>
      <c r="AC285" s="70">
        <v>587346.46250000002</v>
      </c>
      <c r="AD285" s="67">
        <v>53630.628600000011</v>
      </c>
      <c r="AE285" s="68">
        <v>47812.669800000003</v>
      </c>
      <c r="AF285" s="69">
        <v>607608.48250000004</v>
      </c>
      <c r="AG285" s="70">
        <v>646015.33499999996</v>
      </c>
      <c r="AH285" s="70">
        <f t="shared" si="75"/>
        <v>80756.230800000005</v>
      </c>
      <c r="AI285" s="70">
        <f t="shared" si="76"/>
        <v>109652.67249599996</v>
      </c>
      <c r="AJ285" s="70">
        <f t="shared" si="77"/>
        <v>72322.477495999992</v>
      </c>
      <c r="AK285" s="70">
        <f t="shared" si="78"/>
        <v>49441.698264000006</v>
      </c>
      <c r="AL285" s="70">
        <f t="shared" si="79"/>
        <v>601460.80615000008</v>
      </c>
      <c r="AM285" s="70">
        <f t="shared" si="80"/>
        <v>601909.55241749994</v>
      </c>
      <c r="AN285" s="70">
        <f t="shared" si="81"/>
        <v>598008.33742400003</v>
      </c>
      <c r="AO285" s="70">
        <f t="shared" si="82"/>
        <v>627818.16828550003</v>
      </c>
    </row>
    <row r="286" spans="1:41">
      <c r="A286" s="29" t="s">
        <v>487</v>
      </c>
      <c r="B286" s="29" t="s">
        <v>859</v>
      </c>
      <c r="C286" s="107">
        <v>480953.65</v>
      </c>
      <c r="D286" s="108">
        <v>50000</v>
      </c>
      <c r="F286" s="107">
        <v>500915.7</v>
      </c>
      <c r="G286" s="108">
        <v>50000</v>
      </c>
      <c r="I286" s="64">
        <v>488885.35</v>
      </c>
      <c r="J286" s="83">
        <v>449428.47641399992</v>
      </c>
      <c r="K286" s="66">
        <v>50000</v>
      </c>
      <c r="L286" s="251">
        <v>50000</v>
      </c>
      <c r="M286" s="63">
        <v>429716.78585999995</v>
      </c>
      <c r="N286" s="64">
        <v>431646.99459599995</v>
      </c>
      <c r="O286" s="65">
        <v>50000</v>
      </c>
      <c r="P286" s="66">
        <v>50000</v>
      </c>
      <c r="Q286" s="66">
        <f t="shared" si="67"/>
        <v>486664.47400000005</v>
      </c>
      <c r="R286" s="63">
        <f t="shared" si="68"/>
        <v>460476.40101807995</v>
      </c>
      <c r="S286" s="83">
        <f t="shared" si="69"/>
        <v>435236.05921511998</v>
      </c>
      <c r="T286" s="64">
        <f t="shared" si="70"/>
        <v>431106.53614991996</v>
      </c>
      <c r="U286" s="66">
        <f t="shared" si="71"/>
        <v>50000</v>
      </c>
      <c r="V286" s="63">
        <f t="shared" si="72"/>
        <v>50000</v>
      </c>
      <c r="W286" s="83">
        <f t="shared" si="73"/>
        <v>50000</v>
      </c>
      <c r="X286" s="64">
        <f t="shared" si="74"/>
        <v>50000</v>
      </c>
      <c r="Z286" s="67">
        <v>500915.7</v>
      </c>
      <c r="AA286" s="68">
        <v>455424.520938</v>
      </c>
      <c r="AB286" s="69">
        <v>50000</v>
      </c>
      <c r="AC286" s="70">
        <v>50000</v>
      </c>
      <c r="AD286" s="67">
        <v>429716.78585999995</v>
      </c>
      <c r="AE286" s="68">
        <v>431646.99459599995</v>
      </c>
      <c r="AF286" s="69">
        <v>50000</v>
      </c>
      <c r="AG286" s="70">
        <v>50000</v>
      </c>
      <c r="AH286" s="70">
        <f t="shared" si="75"/>
        <v>495326.326</v>
      </c>
      <c r="AI286" s="70">
        <f t="shared" si="76"/>
        <v>468162.05107535998</v>
      </c>
      <c r="AJ286" s="70">
        <f t="shared" si="77"/>
        <v>436914.95168184</v>
      </c>
      <c r="AK286" s="70">
        <f t="shared" si="78"/>
        <v>431106.53614991996</v>
      </c>
      <c r="AL286" s="70">
        <f t="shared" si="79"/>
        <v>50000</v>
      </c>
      <c r="AM286" s="70">
        <f t="shared" si="80"/>
        <v>50000</v>
      </c>
      <c r="AN286" s="70">
        <f t="shared" si="81"/>
        <v>50000</v>
      </c>
      <c r="AO286" s="70">
        <f t="shared" si="82"/>
        <v>50000</v>
      </c>
    </row>
    <row r="287" spans="1:41">
      <c r="A287" s="29" t="s">
        <v>41</v>
      </c>
      <c r="B287" s="29" t="s">
        <v>860</v>
      </c>
      <c r="C287" s="107">
        <v>4101924.25</v>
      </c>
      <c r="D287" s="108">
        <v>11489774</v>
      </c>
      <c r="F287" s="107">
        <v>3712997.33</v>
      </c>
      <c r="G287" s="108">
        <v>12064898.85</v>
      </c>
      <c r="I287" s="64">
        <v>3097336.94</v>
      </c>
      <c r="J287" s="83">
        <v>3686191.8868000004</v>
      </c>
      <c r="K287" s="66">
        <v>12064898.85</v>
      </c>
      <c r="L287" s="251">
        <v>12350000</v>
      </c>
      <c r="M287" s="63">
        <v>3360860.6372999991</v>
      </c>
      <c r="N287" s="64">
        <v>2999576.1735</v>
      </c>
      <c r="O287" s="65">
        <v>12700000</v>
      </c>
      <c r="P287" s="66">
        <v>13050000</v>
      </c>
      <c r="Q287" s="66">
        <f t="shared" si="67"/>
        <v>3378621.3868</v>
      </c>
      <c r="R287" s="63">
        <f t="shared" si="68"/>
        <v>3521312.5016960003</v>
      </c>
      <c r="S287" s="83">
        <f t="shared" si="69"/>
        <v>3451953.3871599995</v>
      </c>
      <c r="T287" s="64">
        <f t="shared" si="70"/>
        <v>3100735.8233639998</v>
      </c>
      <c r="U287" s="66">
        <f t="shared" si="71"/>
        <v>11792404.696070001</v>
      </c>
      <c r="V287" s="63">
        <f t="shared" si="72"/>
        <v>12214919.075130001</v>
      </c>
      <c r="W287" s="83">
        <f t="shared" si="73"/>
        <v>12534170</v>
      </c>
      <c r="X287" s="64">
        <f t="shared" si="74"/>
        <v>12884170</v>
      </c>
      <c r="Z287" s="67">
        <v>3712997.33</v>
      </c>
      <c r="AA287" s="68">
        <v>4203465.2977</v>
      </c>
      <c r="AB287" s="69">
        <v>12064898.85</v>
      </c>
      <c r="AC287" s="70">
        <v>12350000</v>
      </c>
      <c r="AD287" s="67">
        <v>3360860.6372999991</v>
      </c>
      <c r="AE287" s="68">
        <v>2999576.1735</v>
      </c>
      <c r="AF287" s="69">
        <v>12700000</v>
      </c>
      <c r="AG287" s="70">
        <v>13050000</v>
      </c>
      <c r="AH287" s="70">
        <f t="shared" si="75"/>
        <v>3821896.8676</v>
      </c>
      <c r="AI287" s="70">
        <f t="shared" si="76"/>
        <v>4066134.2667439999</v>
      </c>
      <c r="AJ287" s="70">
        <f t="shared" si="77"/>
        <v>3596789.9422119996</v>
      </c>
      <c r="AK287" s="70">
        <f t="shared" si="78"/>
        <v>3100735.8233639998</v>
      </c>
      <c r="AL287" s="70">
        <f t="shared" si="79"/>
        <v>11792404.696070001</v>
      </c>
      <c r="AM287" s="70">
        <f t="shared" si="80"/>
        <v>12214919.075130001</v>
      </c>
      <c r="AN287" s="70">
        <f t="shared" si="81"/>
        <v>12534170</v>
      </c>
      <c r="AO287" s="70">
        <f t="shared" si="82"/>
        <v>12884170</v>
      </c>
    </row>
    <row r="288" spans="1:41">
      <c r="A288" s="29" t="s">
        <v>473</v>
      </c>
      <c r="B288" s="29" t="s">
        <v>879</v>
      </c>
      <c r="C288" s="107">
        <v>1875376.87</v>
      </c>
      <c r="D288" s="108">
        <v>6951077</v>
      </c>
      <c r="F288" s="107">
        <v>1751434.65</v>
      </c>
      <c r="G288" s="108">
        <v>7574504</v>
      </c>
      <c r="I288" s="64">
        <v>1293170.04</v>
      </c>
      <c r="J288" s="83">
        <v>1220931.2739000004</v>
      </c>
      <c r="K288" s="66">
        <v>7574504</v>
      </c>
      <c r="L288" s="251">
        <v>7902746.5774999997</v>
      </c>
      <c r="M288" s="63">
        <v>1143850.7195999997</v>
      </c>
      <c r="N288" s="64">
        <v>1097754.4619999994</v>
      </c>
      <c r="O288" s="65">
        <v>8376153.8099999996</v>
      </c>
      <c r="P288" s="66">
        <v>8753286</v>
      </c>
      <c r="Q288" s="66">
        <f t="shared" si="67"/>
        <v>1456187.9524000001</v>
      </c>
      <c r="R288" s="63">
        <f t="shared" si="68"/>
        <v>1241158.1284080003</v>
      </c>
      <c r="S288" s="83">
        <f t="shared" si="69"/>
        <v>1165433.2748039998</v>
      </c>
      <c r="T288" s="64">
        <f t="shared" si="70"/>
        <v>1110661.4141279995</v>
      </c>
      <c r="U288" s="66">
        <f t="shared" si="71"/>
        <v>7279124.2873999998</v>
      </c>
      <c r="V288" s="63">
        <f t="shared" si="72"/>
        <v>7747225.2442804994</v>
      </c>
      <c r="W288" s="83">
        <f t="shared" si="73"/>
        <v>8151853.4632414998</v>
      </c>
      <c r="X288" s="64">
        <f t="shared" si="74"/>
        <v>8574600.7683780007</v>
      </c>
      <c r="Z288" s="67">
        <v>1751434.65</v>
      </c>
      <c r="AA288" s="68">
        <v>1687971.2036000006</v>
      </c>
      <c r="AB288" s="69">
        <v>7574504</v>
      </c>
      <c r="AC288" s="70">
        <v>7902746.5774999997</v>
      </c>
      <c r="AD288" s="67">
        <v>1143850.7195999997</v>
      </c>
      <c r="AE288" s="68">
        <v>1097754.4619999994</v>
      </c>
      <c r="AF288" s="69">
        <v>8376153.8099999996</v>
      </c>
      <c r="AG288" s="70">
        <v>8753286</v>
      </c>
      <c r="AH288" s="70">
        <f t="shared" si="75"/>
        <v>1786138.4715999998</v>
      </c>
      <c r="AI288" s="70">
        <f t="shared" si="76"/>
        <v>1705740.9685920004</v>
      </c>
      <c r="AJ288" s="70">
        <f t="shared" si="77"/>
        <v>1296204.4551200001</v>
      </c>
      <c r="AK288" s="70">
        <f t="shared" si="78"/>
        <v>1110661.4141279995</v>
      </c>
      <c r="AL288" s="70">
        <f t="shared" si="79"/>
        <v>7279124.2873999998</v>
      </c>
      <c r="AM288" s="70">
        <f t="shared" si="80"/>
        <v>7747225.2442804994</v>
      </c>
      <c r="AN288" s="70">
        <f t="shared" si="81"/>
        <v>8151853.4632414998</v>
      </c>
      <c r="AO288" s="70">
        <f t="shared" si="82"/>
        <v>8574600.7683780007</v>
      </c>
    </row>
    <row r="289" spans="1:41">
      <c r="A289" s="29" t="s">
        <v>607</v>
      </c>
      <c r="B289" s="29" t="s">
        <v>872</v>
      </c>
      <c r="C289" s="107">
        <v>3088185.8</v>
      </c>
      <c r="D289" s="108">
        <v>5965626</v>
      </c>
      <c r="F289" s="107">
        <v>2715309.59</v>
      </c>
      <c r="G289" s="108">
        <v>5965626</v>
      </c>
      <c r="I289" s="64">
        <v>2352711.9700000002</v>
      </c>
      <c r="J289" s="83">
        <v>1858752.0402773342</v>
      </c>
      <c r="K289" s="66">
        <v>5965626</v>
      </c>
      <c r="L289" s="251">
        <v>5965626</v>
      </c>
      <c r="M289" s="63">
        <v>1271452.0420319994</v>
      </c>
      <c r="N289" s="64">
        <v>910309.11046400038</v>
      </c>
      <c r="O289" s="65">
        <v>5965626</v>
      </c>
      <c r="P289" s="66">
        <v>5965626</v>
      </c>
      <c r="Q289" s="66">
        <f t="shared" si="67"/>
        <v>2558644.6424000002</v>
      </c>
      <c r="R289" s="63">
        <f t="shared" si="68"/>
        <v>1997060.8205996808</v>
      </c>
      <c r="S289" s="83">
        <f t="shared" si="69"/>
        <v>1435896.0415406933</v>
      </c>
      <c r="T289" s="64">
        <f t="shared" si="70"/>
        <v>1011429.1313030401</v>
      </c>
      <c r="U289" s="66">
        <f t="shared" si="71"/>
        <v>5965626</v>
      </c>
      <c r="V289" s="63">
        <f t="shared" si="72"/>
        <v>5965626</v>
      </c>
      <c r="W289" s="83">
        <f t="shared" si="73"/>
        <v>5965626</v>
      </c>
      <c r="X289" s="64">
        <f t="shared" si="74"/>
        <v>5965626</v>
      </c>
      <c r="Z289" s="67">
        <v>2715309.59</v>
      </c>
      <c r="AA289" s="68">
        <v>2117948.2770773335</v>
      </c>
      <c r="AB289" s="69">
        <v>5965626</v>
      </c>
      <c r="AC289" s="70">
        <v>5965626</v>
      </c>
      <c r="AD289" s="67">
        <v>1271452.0420319994</v>
      </c>
      <c r="AE289" s="68">
        <v>910309.11046400038</v>
      </c>
      <c r="AF289" s="69">
        <v>5965626</v>
      </c>
      <c r="AG289" s="70">
        <v>5965626</v>
      </c>
      <c r="AH289" s="70">
        <f t="shared" si="75"/>
        <v>2819714.9287999999</v>
      </c>
      <c r="AI289" s="70">
        <f t="shared" si="76"/>
        <v>2285209.4446956799</v>
      </c>
      <c r="AJ289" s="70">
        <f t="shared" si="77"/>
        <v>1508470.987844693</v>
      </c>
      <c r="AK289" s="70">
        <f t="shared" si="78"/>
        <v>1011429.1313030401</v>
      </c>
      <c r="AL289" s="70">
        <f t="shared" si="79"/>
        <v>5965626</v>
      </c>
      <c r="AM289" s="70">
        <f t="shared" si="80"/>
        <v>5965626</v>
      </c>
      <c r="AN289" s="70">
        <f t="shared" si="81"/>
        <v>5965626</v>
      </c>
      <c r="AO289" s="70">
        <f t="shared" si="82"/>
        <v>5965626</v>
      </c>
    </row>
    <row r="290" spans="1:41">
      <c r="A290" s="29" t="s">
        <v>293</v>
      </c>
      <c r="B290" s="29" t="s">
        <v>861</v>
      </c>
      <c r="C290" s="107">
        <v>0</v>
      </c>
      <c r="D290" s="108">
        <v>1188000</v>
      </c>
      <c r="F290" s="107">
        <v>0</v>
      </c>
      <c r="G290" s="108">
        <v>947506</v>
      </c>
      <c r="I290" s="64">
        <v>0</v>
      </c>
      <c r="J290" s="83">
        <v>0</v>
      </c>
      <c r="K290" s="66">
        <v>947506</v>
      </c>
      <c r="L290" s="251">
        <v>932927</v>
      </c>
      <c r="M290" s="63">
        <v>0</v>
      </c>
      <c r="N290" s="64">
        <v>0</v>
      </c>
      <c r="O290" s="65">
        <v>932927</v>
      </c>
      <c r="P290" s="66">
        <v>932927</v>
      </c>
      <c r="Q290" s="66">
        <f t="shared" si="67"/>
        <v>0</v>
      </c>
      <c r="R290" s="63">
        <f t="shared" si="68"/>
        <v>0</v>
      </c>
      <c r="S290" s="83">
        <f t="shared" si="69"/>
        <v>0</v>
      </c>
      <c r="T290" s="64">
        <f t="shared" si="70"/>
        <v>0</v>
      </c>
      <c r="U290" s="66">
        <f t="shared" si="71"/>
        <v>1061452.0572000002</v>
      </c>
      <c r="V290" s="63">
        <f t="shared" si="72"/>
        <v>939834.53019999992</v>
      </c>
      <c r="W290" s="83">
        <f t="shared" si="73"/>
        <v>932927</v>
      </c>
      <c r="X290" s="64">
        <f t="shared" si="74"/>
        <v>932927</v>
      </c>
      <c r="Z290" s="67">
        <v>0</v>
      </c>
      <c r="AA290" s="68">
        <v>0</v>
      </c>
      <c r="AB290" s="69">
        <v>947506</v>
      </c>
      <c r="AC290" s="70">
        <v>932927</v>
      </c>
      <c r="AD290" s="67">
        <v>0</v>
      </c>
      <c r="AE290" s="68">
        <v>0</v>
      </c>
      <c r="AF290" s="69">
        <v>932927</v>
      </c>
      <c r="AG290" s="70">
        <v>932927</v>
      </c>
      <c r="AH290" s="70">
        <f t="shared" si="75"/>
        <v>0</v>
      </c>
      <c r="AI290" s="70">
        <f t="shared" si="76"/>
        <v>0</v>
      </c>
      <c r="AJ290" s="70">
        <f t="shared" si="77"/>
        <v>0</v>
      </c>
      <c r="AK290" s="70">
        <f t="shared" si="78"/>
        <v>0</v>
      </c>
      <c r="AL290" s="70">
        <f t="shared" si="79"/>
        <v>1061452.0572000002</v>
      </c>
      <c r="AM290" s="70">
        <f t="shared" si="80"/>
        <v>939834.53019999992</v>
      </c>
      <c r="AN290" s="70">
        <f t="shared" si="81"/>
        <v>932927</v>
      </c>
      <c r="AO290" s="70">
        <f t="shared" si="82"/>
        <v>932927</v>
      </c>
    </row>
    <row r="291" spans="1:41">
      <c r="A291" s="29" t="s">
        <v>387</v>
      </c>
      <c r="B291" s="29" t="s">
        <v>862</v>
      </c>
      <c r="C291" s="107">
        <v>104590.3</v>
      </c>
      <c r="D291" s="108">
        <v>9250000</v>
      </c>
      <c r="F291" s="107">
        <v>0</v>
      </c>
      <c r="G291" s="108">
        <v>9750000</v>
      </c>
      <c r="I291" s="64">
        <v>0</v>
      </c>
      <c r="J291" s="83">
        <v>0</v>
      </c>
      <c r="K291" s="66">
        <v>9750000</v>
      </c>
      <c r="L291" s="251">
        <v>9750000</v>
      </c>
      <c r="M291" s="63">
        <v>0</v>
      </c>
      <c r="N291" s="64">
        <v>0</v>
      </c>
      <c r="O291" s="65">
        <v>9750000</v>
      </c>
      <c r="P291" s="66">
        <v>9750000</v>
      </c>
      <c r="Q291" s="66">
        <f t="shared" si="67"/>
        <v>29285.284000000003</v>
      </c>
      <c r="R291" s="63">
        <f t="shared" si="68"/>
        <v>0</v>
      </c>
      <c r="S291" s="83">
        <f t="shared" si="69"/>
        <v>0</v>
      </c>
      <c r="T291" s="64">
        <f t="shared" si="70"/>
        <v>0</v>
      </c>
      <c r="U291" s="66">
        <f t="shared" si="71"/>
        <v>9513100</v>
      </c>
      <c r="V291" s="63">
        <f t="shared" si="72"/>
        <v>9750000</v>
      </c>
      <c r="W291" s="83">
        <f t="shared" si="73"/>
        <v>9750000</v>
      </c>
      <c r="X291" s="64">
        <f t="shared" si="74"/>
        <v>9750000</v>
      </c>
      <c r="Z291" s="67">
        <v>0</v>
      </c>
      <c r="AA291" s="68">
        <v>0</v>
      </c>
      <c r="AB291" s="69">
        <v>9750000</v>
      </c>
      <c r="AC291" s="70">
        <v>9750000</v>
      </c>
      <c r="AD291" s="67">
        <v>0</v>
      </c>
      <c r="AE291" s="68">
        <v>0</v>
      </c>
      <c r="AF291" s="69">
        <v>9750000</v>
      </c>
      <c r="AG291" s="70">
        <v>9750000</v>
      </c>
      <c r="AH291" s="70">
        <f t="shared" si="75"/>
        <v>29285.284000000003</v>
      </c>
      <c r="AI291" s="70">
        <f t="shared" si="76"/>
        <v>0</v>
      </c>
      <c r="AJ291" s="70">
        <f t="shared" si="77"/>
        <v>0</v>
      </c>
      <c r="AK291" s="70">
        <f t="shared" si="78"/>
        <v>0</v>
      </c>
      <c r="AL291" s="70">
        <f t="shared" si="79"/>
        <v>9513100</v>
      </c>
      <c r="AM291" s="70">
        <f t="shared" si="80"/>
        <v>9750000</v>
      </c>
      <c r="AN291" s="70">
        <f t="shared" si="81"/>
        <v>9750000</v>
      </c>
      <c r="AO291" s="70">
        <f t="shared" si="82"/>
        <v>9750000</v>
      </c>
    </row>
    <row r="292" spans="1:41">
      <c r="A292" s="29" t="s">
        <v>267</v>
      </c>
      <c r="B292" s="29" t="s">
        <v>892</v>
      </c>
      <c r="C292" s="107">
        <v>0</v>
      </c>
      <c r="D292" s="108">
        <v>3260000</v>
      </c>
      <c r="F292" s="107">
        <v>0</v>
      </c>
      <c r="G292" s="108">
        <v>3338537</v>
      </c>
      <c r="I292" s="64">
        <v>0</v>
      </c>
      <c r="J292" s="83">
        <v>0</v>
      </c>
      <c r="K292" s="66">
        <v>3338537</v>
      </c>
      <c r="L292" s="251">
        <v>3289243.2757999999</v>
      </c>
      <c r="M292" s="63">
        <v>0</v>
      </c>
      <c r="N292" s="64">
        <v>0</v>
      </c>
      <c r="O292" s="65">
        <v>3403136.6868000003</v>
      </c>
      <c r="P292" s="66">
        <v>3425000</v>
      </c>
      <c r="Q292" s="66">
        <f t="shared" si="67"/>
        <v>0</v>
      </c>
      <c r="R292" s="63">
        <f t="shared" si="68"/>
        <v>0</v>
      </c>
      <c r="S292" s="83">
        <f t="shared" si="69"/>
        <v>0</v>
      </c>
      <c r="T292" s="64">
        <f t="shared" si="70"/>
        <v>0</v>
      </c>
      <c r="U292" s="66">
        <f t="shared" si="71"/>
        <v>3301326.1694</v>
      </c>
      <c r="V292" s="63">
        <f t="shared" si="72"/>
        <v>3312598.6423259601</v>
      </c>
      <c r="W292" s="83">
        <f t="shared" si="73"/>
        <v>3349173.9886682001</v>
      </c>
      <c r="X292" s="64">
        <f t="shared" si="74"/>
        <v>3414641.1622058405</v>
      </c>
      <c r="Z292" s="67">
        <v>0</v>
      </c>
      <c r="AA292" s="68">
        <v>0</v>
      </c>
      <c r="AB292" s="69">
        <v>3338537</v>
      </c>
      <c r="AC292" s="70">
        <v>3425000</v>
      </c>
      <c r="AD292" s="67">
        <v>0</v>
      </c>
      <c r="AE292" s="68">
        <v>0</v>
      </c>
      <c r="AF292" s="69">
        <v>3403136.6868000003</v>
      </c>
      <c r="AG292" s="70">
        <v>3425000</v>
      </c>
      <c r="AH292" s="70">
        <f t="shared" si="75"/>
        <v>0</v>
      </c>
      <c r="AI292" s="70">
        <f t="shared" si="76"/>
        <v>0</v>
      </c>
      <c r="AJ292" s="70">
        <f t="shared" si="77"/>
        <v>0</v>
      </c>
      <c r="AK292" s="70">
        <f t="shared" si="78"/>
        <v>0</v>
      </c>
      <c r="AL292" s="70">
        <f t="shared" si="79"/>
        <v>3301326.1694</v>
      </c>
      <c r="AM292" s="70">
        <f t="shared" si="80"/>
        <v>3384033.8306</v>
      </c>
      <c r="AN292" s="70">
        <f t="shared" si="81"/>
        <v>3413495.5245941598</v>
      </c>
      <c r="AO292" s="70">
        <f t="shared" si="82"/>
        <v>3414641.1622058405</v>
      </c>
    </row>
    <row r="293" spans="1:41">
      <c r="A293" s="29" t="s">
        <v>307</v>
      </c>
      <c r="B293" s="29" t="s">
        <v>886</v>
      </c>
      <c r="C293" s="107">
        <v>51774.17</v>
      </c>
      <c r="D293" s="108">
        <v>465000</v>
      </c>
      <c r="F293" s="107">
        <v>64656.06</v>
      </c>
      <c r="G293" s="108">
        <v>465000</v>
      </c>
      <c r="I293" s="64">
        <v>53609.25</v>
      </c>
      <c r="J293" s="83">
        <v>29722.34109999994</v>
      </c>
      <c r="K293" s="66">
        <v>465000</v>
      </c>
      <c r="L293" s="251">
        <v>465000</v>
      </c>
      <c r="M293" s="63">
        <v>22495.772399999987</v>
      </c>
      <c r="N293" s="64">
        <v>34560.760799999989</v>
      </c>
      <c r="O293" s="65">
        <v>465000</v>
      </c>
      <c r="P293" s="66">
        <v>465000</v>
      </c>
      <c r="Q293" s="66">
        <f t="shared" si="67"/>
        <v>53095.427599999995</v>
      </c>
      <c r="R293" s="63">
        <f t="shared" si="68"/>
        <v>36410.675591999956</v>
      </c>
      <c r="S293" s="83">
        <f t="shared" si="69"/>
        <v>24519.211635999975</v>
      </c>
      <c r="T293" s="64">
        <f t="shared" si="70"/>
        <v>31182.564047999989</v>
      </c>
      <c r="U293" s="66">
        <f t="shared" si="71"/>
        <v>465000</v>
      </c>
      <c r="V293" s="63">
        <f t="shared" si="72"/>
        <v>465000</v>
      </c>
      <c r="W293" s="83">
        <f t="shared" si="73"/>
        <v>465000</v>
      </c>
      <c r="X293" s="64">
        <f t="shared" si="74"/>
        <v>465000</v>
      </c>
      <c r="Z293" s="67">
        <v>64656.06</v>
      </c>
      <c r="AA293" s="68">
        <v>102319.31339999994</v>
      </c>
      <c r="AB293" s="69">
        <v>465000</v>
      </c>
      <c r="AC293" s="70">
        <v>465000</v>
      </c>
      <c r="AD293" s="67">
        <v>22495.772399999987</v>
      </c>
      <c r="AE293" s="68">
        <v>34560.760799999989</v>
      </c>
      <c r="AF293" s="69">
        <v>465000</v>
      </c>
      <c r="AG293" s="70">
        <v>465000</v>
      </c>
      <c r="AH293" s="70">
        <f t="shared" si="75"/>
        <v>61049.130799999999</v>
      </c>
      <c r="AI293" s="70">
        <f t="shared" si="76"/>
        <v>91773.602447999961</v>
      </c>
      <c r="AJ293" s="70">
        <f t="shared" si="77"/>
        <v>44846.363879999975</v>
      </c>
      <c r="AK293" s="70">
        <f t="shared" si="78"/>
        <v>31182.564047999989</v>
      </c>
      <c r="AL293" s="70">
        <f t="shared" si="79"/>
        <v>465000</v>
      </c>
      <c r="AM293" s="70">
        <f t="shared" si="80"/>
        <v>465000</v>
      </c>
      <c r="AN293" s="70">
        <f t="shared" si="81"/>
        <v>465000</v>
      </c>
      <c r="AO293" s="70">
        <f t="shared" si="82"/>
        <v>465000</v>
      </c>
    </row>
    <row r="294" spans="1:41">
      <c r="A294" s="29" t="s">
        <v>351</v>
      </c>
      <c r="B294" s="29" t="s">
        <v>863</v>
      </c>
      <c r="C294" s="107">
        <v>0</v>
      </c>
      <c r="D294" s="108">
        <v>0</v>
      </c>
      <c r="F294" s="107">
        <v>55580.36</v>
      </c>
      <c r="G294" s="108">
        <v>544125</v>
      </c>
      <c r="I294" s="64">
        <v>55580.36</v>
      </c>
      <c r="J294" s="83">
        <v>53978.011363333339</v>
      </c>
      <c r="K294" s="66">
        <v>544125</v>
      </c>
      <c r="L294" s="251">
        <v>544125</v>
      </c>
      <c r="M294" s="63">
        <v>22985.414577999974</v>
      </c>
      <c r="N294" s="64">
        <v>0</v>
      </c>
      <c r="O294" s="65">
        <v>544125</v>
      </c>
      <c r="P294" s="66">
        <v>544125</v>
      </c>
      <c r="Q294" s="66">
        <f t="shared" si="67"/>
        <v>40017.859199999999</v>
      </c>
      <c r="R294" s="63">
        <f t="shared" si="68"/>
        <v>54426.668981600007</v>
      </c>
      <c r="S294" s="83">
        <f t="shared" si="69"/>
        <v>31663.341677893317</v>
      </c>
      <c r="T294" s="64">
        <f t="shared" si="70"/>
        <v>6435.9160818399932</v>
      </c>
      <c r="U294" s="66">
        <f t="shared" si="71"/>
        <v>286318.57500000001</v>
      </c>
      <c r="V294" s="63">
        <f t="shared" si="72"/>
        <v>544125</v>
      </c>
      <c r="W294" s="83">
        <f t="shared" si="73"/>
        <v>544125</v>
      </c>
      <c r="X294" s="64">
        <f t="shared" si="74"/>
        <v>544125</v>
      </c>
      <c r="Z294" s="67">
        <v>55580.36</v>
      </c>
      <c r="AA294" s="68">
        <v>53978.011363333339</v>
      </c>
      <c r="AB294" s="69">
        <v>544125</v>
      </c>
      <c r="AC294" s="70">
        <v>544125</v>
      </c>
      <c r="AD294" s="67">
        <v>22985.414577999974</v>
      </c>
      <c r="AE294" s="68">
        <v>0</v>
      </c>
      <c r="AF294" s="69">
        <v>544125</v>
      </c>
      <c r="AG294" s="70">
        <v>544125</v>
      </c>
      <c r="AH294" s="70">
        <f t="shared" si="75"/>
        <v>40017.859199999999</v>
      </c>
      <c r="AI294" s="70">
        <f t="shared" si="76"/>
        <v>54426.668981600007</v>
      </c>
      <c r="AJ294" s="70">
        <f t="shared" si="77"/>
        <v>31663.341677893317</v>
      </c>
      <c r="AK294" s="70">
        <f t="shared" si="78"/>
        <v>6435.9160818399932</v>
      </c>
      <c r="AL294" s="70">
        <f t="shared" si="79"/>
        <v>286318.57500000001</v>
      </c>
      <c r="AM294" s="70">
        <f t="shared" si="80"/>
        <v>544125</v>
      </c>
      <c r="AN294" s="70">
        <f t="shared" si="81"/>
        <v>544125</v>
      </c>
      <c r="AO294" s="70">
        <f t="shared" si="82"/>
        <v>544125</v>
      </c>
    </row>
    <row r="295" spans="1:41">
      <c r="A295" s="29" t="s">
        <v>137</v>
      </c>
      <c r="B295" s="29" t="s">
        <v>899</v>
      </c>
      <c r="C295" s="107">
        <v>85825.89</v>
      </c>
      <c r="D295" s="108">
        <v>212375</v>
      </c>
      <c r="F295" s="107">
        <v>68229.31</v>
      </c>
      <c r="G295" s="108">
        <v>213522.47</v>
      </c>
      <c r="I295" s="64">
        <v>51887.49</v>
      </c>
      <c r="J295" s="83">
        <v>75845.729899999991</v>
      </c>
      <c r="K295" s="66">
        <v>213522.47</v>
      </c>
      <c r="L295" s="251">
        <v>212375</v>
      </c>
      <c r="M295" s="63">
        <v>71676.163499999966</v>
      </c>
      <c r="N295" s="64">
        <v>77547.584099999993</v>
      </c>
      <c r="O295" s="65">
        <v>212375</v>
      </c>
      <c r="P295" s="66">
        <v>212375</v>
      </c>
      <c r="Q295" s="66">
        <f t="shared" si="67"/>
        <v>61390.241999999998</v>
      </c>
      <c r="R295" s="63">
        <f t="shared" si="68"/>
        <v>69137.42272799999</v>
      </c>
      <c r="S295" s="83">
        <f t="shared" si="69"/>
        <v>72843.642091999965</v>
      </c>
      <c r="T295" s="64">
        <f t="shared" si="70"/>
        <v>75903.586331999977</v>
      </c>
      <c r="U295" s="66">
        <f t="shared" si="71"/>
        <v>212978.79871399998</v>
      </c>
      <c r="V295" s="63">
        <f t="shared" si="72"/>
        <v>212918.671286</v>
      </c>
      <c r="W295" s="83">
        <f t="shared" si="73"/>
        <v>212375</v>
      </c>
      <c r="X295" s="64">
        <f t="shared" si="74"/>
        <v>212375</v>
      </c>
      <c r="Z295" s="67">
        <v>68229.31</v>
      </c>
      <c r="AA295" s="68">
        <v>90606.699800000002</v>
      </c>
      <c r="AB295" s="69">
        <v>213522.47</v>
      </c>
      <c r="AC295" s="70">
        <v>212375</v>
      </c>
      <c r="AD295" s="67">
        <v>71676.163499999966</v>
      </c>
      <c r="AE295" s="68">
        <v>77547.584099999993</v>
      </c>
      <c r="AF295" s="69">
        <v>212375</v>
      </c>
      <c r="AG295" s="70">
        <v>212375</v>
      </c>
      <c r="AH295" s="70">
        <f t="shared" si="75"/>
        <v>73156.352400000003</v>
      </c>
      <c r="AI295" s="70">
        <f t="shared" si="76"/>
        <v>84341.030656000003</v>
      </c>
      <c r="AJ295" s="70">
        <f t="shared" si="77"/>
        <v>76976.713663999981</v>
      </c>
      <c r="AK295" s="70">
        <f t="shared" si="78"/>
        <v>75903.586331999977</v>
      </c>
      <c r="AL295" s="70">
        <f t="shared" si="79"/>
        <v>212978.79871399998</v>
      </c>
      <c r="AM295" s="70">
        <f t="shared" si="80"/>
        <v>212918.671286</v>
      </c>
      <c r="AN295" s="70">
        <f t="shared" si="81"/>
        <v>212375</v>
      </c>
      <c r="AO295" s="70">
        <f t="shared" si="82"/>
        <v>212375</v>
      </c>
    </row>
    <row r="296" spans="1:41">
      <c r="A296" s="29" t="s">
        <v>281</v>
      </c>
      <c r="B296" s="29" t="s">
        <v>864</v>
      </c>
      <c r="C296" s="107">
        <v>252340.16</v>
      </c>
      <c r="D296" s="108">
        <v>640000</v>
      </c>
      <c r="F296" s="107">
        <v>23104.55</v>
      </c>
      <c r="G296" s="108">
        <v>681288</v>
      </c>
      <c r="I296" s="64">
        <v>23104.55</v>
      </c>
      <c r="J296" s="83">
        <v>206311.00328666662</v>
      </c>
      <c r="K296" s="66">
        <v>681288</v>
      </c>
      <c r="L296" s="251">
        <v>680000</v>
      </c>
      <c r="M296" s="63">
        <v>150170.02169399988</v>
      </c>
      <c r="N296" s="64">
        <v>125390.81952600004</v>
      </c>
      <c r="O296" s="65">
        <v>680000</v>
      </c>
      <c r="P296" s="66">
        <v>680000</v>
      </c>
      <c r="Q296" s="66">
        <f t="shared" si="67"/>
        <v>87290.520800000013</v>
      </c>
      <c r="R296" s="63">
        <f t="shared" si="68"/>
        <v>155013.19636639996</v>
      </c>
      <c r="S296" s="83">
        <f t="shared" si="69"/>
        <v>165889.49653994659</v>
      </c>
      <c r="T296" s="64">
        <f t="shared" si="70"/>
        <v>132328.99613304</v>
      </c>
      <c r="U296" s="66">
        <f t="shared" si="71"/>
        <v>661725.74560000002</v>
      </c>
      <c r="V296" s="63">
        <f t="shared" si="72"/>
        <v>680610.25439999998</v>
      </c>
      <c r="W296" s="83">
        <f t="shared" si="73"/>
        <v>680000</v>
      </c>
      <c r="X296" s="64">
        <f t="shared" si="74"/>
        <v>680000</v>
      </c>
      <c r="Z296" s="67">
        <v>23104.55</v>
      </c>
      <c r="AA296" s="68">
        <v>206311.00328666662</v>
      </c>
      <c r="AB296" s="69">
        <v>681288</v>
      </c>
      <c r="AC296" s="70">
        <v>680000</v>
      </c>
      <c r="AD296" s="67">
        <v>150170.02169399988</v>
      </c>
      <c r="AE296" s="68">
        <v>125390.81952600004</v>
      </c>
      <c r="AF296" s="69">
        <v>680000</v>
      </c>
      <c r="AG296" s="70">
        <v>680000</v>
      </c>
      <c r="AH296" s="70">
        <f t="shared" si="75"/>
        <v>87290.520800000013</v>
      </c>
      <c r="AI296" s="70">
        <f t="shared" si="76"/>
        <v>155013.19636639996</v>
      </c>
      <c r="AJ296" s="70">
        <f t="shared" si="77"/>
        <v>165889.49653994659</v>
      </c>
      <c r="AK296" s="70">
        <f t="shared" si="78"/>
        <v>132328.99613304</v>
      </c>
      <c r="AL296" s="70">
        <f t="shared" si="79"/>
        <v>661725.74560000002</v>
      </c>
      <c r="AM296" s="70">
        <f t="shared" si="80"/>
        <v>680610.25439999998</v>
      </c>
      <c r="AN296" s="70">
        <f t="shared" si="81"/>
        <v>680000</v>
      </c>
      <c r="AO296" s="70">
        <f t="shared" si="82"/>
        <v>680000</v>
      </c>
    </row>
    <row r="297" spans="1:41">
      <c r="A297" s="29" t="s">
        <v>161</v>
      </c>
      <c r="B297" s="29" t="s">
        <v>865</v>
      </c>
      <c r="C297" s="107">
        <v>82955.19</v>
      </c>
      <c r="D297" s="108">
        <v>392654</v>
      </c>
      <c r="F297" s="107">
        <v>77525.2</v>
      </c>
      <c r="G297" s="108">
        <v>305079</v>
      </c>
      <c r="I297" s="64">
        <v>66647.570000000007</v>
      </c>
      <c r="J297" s="83">
        <v>73514.957900000009</v>
      </c>
      <c r="K297" s="66">
        <v>305079</v>
      </c>
      <c r="L297" s="251">
        <v>318912.74</v>
      </c>
      <c r="M297" s="63">
        <v>72437.402999999962</v>
      </c>
      <c r="N297" s="64">
        <v>71340.766499999983</v>
      </c>
      <c r="O297" s="65">
        <v>335993.41</v>
      </c>
      <c r="P297" s="66">
        <v>355901.07750000001</v>
      </c>
      <c r="Q297" s="66">
        <f t="shared" si="67"/>
        <v>71213.703600000008</v>
      </c>
      <c r="R297" s="63">
        <f t="shared" si="68"/>
        <v>71592.089288000017</v>
      </c>
      <c r="S297" s="83">
        <f t="shared" si="69"/>
        <v>72739.118371999968</v>
      </c>
      <c r="T297" s="64">
        <f t="shared" si="70"/>
        <v>71647.824719999975</v>
      </c>
      <c r="U297" s="66">
        <f t="shared" si="71"/>
        <v>346572.03500000003</v>
      </c>
      <c r="V297" s="63">
        <f t="shared" si="72"/>
        <v>312358.31398800004</v>
      </c>
      <c r="W297" s="83">
        <f t="shared" si="73"/>
        <v>327900.58855399996</v>
      </c>
      <c r="X297" s="64">
        <f t="shared" si="74"/>
        <v>346468.82463849999</v>
      </c>
      <c r="Z297" s="67">
        <v>77525.2</v>
      </c>
      <c r="AA297" s="68">
        <v>82254.304700000008</v>
      </c>
      <c r="AB297" s="69">
        <v>305079</v>
      </c>
      <c r="AC297" s="70">
        <v>318912.74</v>
      </c>
      <c r="AD297" s="67">
        <v>72437.402999999962</v>
      </c>
      <c r="AE297" s="68">
        <v>71340.766499999983</v>
      </c>
      <c r="AF297" s="69">
        <v>335993.41</v>
      </c>
      <c r="AG297" s="70">
        <v>355901.07750000001</v>
      </c>
      <c r="AH297" s="70">
        <f t="shared" si="75"/>
        <v>79045.597199999989</v>
      </c>
      <c r="AI297" s="70">
        <f t="shared" si="76"/>
        <v>80930.155383999998</v>
      </c>
      <c r="AJ297" s="70">
        <f t="shared" si="77"/>
        <v>75186.135475999967</v>
      </c>
      <c r="AK297" s="70">
        <f t="shared" si="78"/>
        <v>71647.824719999975</v>
      </c>
      <c r="AL297" s="70">
        <f t="shared" si="79"/>
        <v>346572.03500000003</v>
      </c>
      <c r="AM297" s="70">
        <f t="shared" si="80"/>
        <v>312358.31398800004</v>
      </c>
      <c r="AN297" s="70">
        <f t="shared" si="81"/>
        <v>327900.58855399996</v>
      </c>
      <c r="AO297" s="70">
        <f t="shared" si="82"/>
        <v>346468.82463849999</v>
      </c>
    </row>
    <row r="298" spans="1:41">
      <c r="A298" s="29" t="s">
        <v>251</v>
      </c>
      <c r="B298" s="29" t="s">
        <v>866</v>
      </c>
      <c r="C298" s="107">
        <v>25245.51</v>
      </c>
      <c r="D298" s="108">
        <v>75000</v>
      </c>
      <c r="F298" s="107">
        <v>23409.66</v>
      </c>
      <c r="G298" s="108">
        <v>75000</v>
      </c>
      <c r="I298" s="64">
        <v>22056.639999999999</v>
      </c>
      <c r="J298" s="83">
        <v>22123.05945600001</v>
      </c>
      <c r="K298" s="66">
        <v>75000</v>
      </c>
      <c r="L298" s="251">
        <v>75000</v>
      </c>
      <c r="M298" s="63">
        <v>18036.568030000006</v>
      </c>
      <c r="N298" s="64">
        <v>15280.428997999998</v>
      </c>
      <c r="O298" s="65">
        <v>75000</v>
      </c>
      <c r="P298" s="66">
        <v>75000</v>
      </c>
      <c r="Q298" s="66">
        <f t="shared" si="67"/>
        <v>22949.5236</v>
      </c>
      <c r="R298" s="63">
        <f t="shared" si="68"/>
        <v>22104.462008320006</v>
      </c>
      <c r="S298" s="83">
        <f t="shared" si="69"/>
        <v>19180.785629280006</v>
      </c>
      <c r="T298" s="64">
        <f t="shared" si="70"/>
        <v>16052.14792696</v>
      </c>
      <c r="U298" s="66">
        <f t="shared" si="71"/>
        <v>75000</v>
      </c>
      <c r="V298" s="63">
        <f t="shared" si="72"/>
        <v>75000</v>
      </c>
      <c r="W298" s="83">
        <f t="shared" si="73"/>
        <v>75000</v>
      </c>
      <c r="X298" s="64">
        <f t="shared" si="74"/>
        <v>75000</v>
      </c>
      <c r="Z298" s="67">
        <v>23409.66</v>
      </c>
      <c r="AA298" s="68">
        <v>23477.658209999994</v>
      </c>
      <c r="AB298" s="69">
        <v>75000</v>
      </c>
      <c r="AC298" s="70">
        <v>75000</v>
      </c>
      <c r="AD298" s="67">
        <v>18036.568030000006</v>
      </c>
      <c r="AE298" s="68">
        <v>15280.428997999998</v>
      </c>
      <c r="AF298" s="69">
        <v>75000</v>
      </c>
      <c r="AG298" s="70">
        <v>75000</v>
      </c>
      <c r="AH298" s="70">
        <f t="shared" si="75"/>
        <v>23923.698</v>
      </c>
      <c r="AI298" s="70">
        <f t="shared" si="76"/>
        <v>23458.618711199993</v>
      </c>
      <c r="AJ298" s="70">
        <f t="shared" si="77"/>
        <v>19560.073280400004</v>
      </c>
      <c r="AK298" s="70">
        <f t="shared" si="78"/>
        <v>16052.14792696</v>
      </c>
      <c r="AL298" s="70">
        <f t="shared" si="79"/>
        <v>75000</v>
      </c>
      <c r="AM298" s="70">
        <f t="shared" si="80"/>
        <v>75000</v>
      </c>
      <c r="AN298" s="70">
        <f t="shared" si="81"/>
        <v>75000</v>
      </c>
      <c r="AO298" s="70">
        <f t="shared" si="82"/>
        <v>75000</v>
      </c>
    </row>
    <row r="299" spans="1:41">
      <c r="A299" s="29" t="s">
        <v>85</v>
      </c>
      <c r="B299" s="29" t="s">
        <v>867</v>
      </c>
      <c r="C299" s="107">
        <v>515206.96</v>
      </c>
      <c r="D299" s="108">
        <v>5400000</v>
      </c>
      <c r="F299" s="107">
        <v>447630.8</v>
      </c>
      <c r="G299" s="108">
        <v>5750000</v>
      </c>
      <c r="I299" s="64">
        <v>257043.88</v>
      </c>
      <c r="J299" s="83">
        <v>74304.956900000005</v>
      </c>
      <c r="K299" s="66">
        <v>5750000</v>
      </c>
      <c r="L299" s="251">
        <v>6100000</v>
      </c>
      <c r="M299" s="63">
        <v>0</v>
      </c>
      <c r="N299" s="64">
        <v>0</v>
      </c>
      <c r="O299" s="65">
        <v>6100000</v>
      </c>
      <c r="P299" s="66">
        <v>6100000</v>
      </c>
      <c r="Q299" s="66">
        <f t="shared" si="67"/>
        <v>329329.54240000003</v>
      </c>
      <c r="R299" s="63">
        <f t="shared" si="68"/>
        <v>125471.85536800002</v>
      </c>
      <c r="S299" s="83">
        <f t="shared" si="69"/>
        <v>20805.387932000005</v>
      </c>
      <c r="T299" s="64">
        <f t="shared" si="70"/>
        <v>0</v>
      </c>
      <c r="U299" s="66">
        <f t="shared" si="71"/>
        <v>5584170</v>
      </c>
      <c r="V299" s="63">
        <f t="shared" si="72"/>
        <v>5934170</v>
      </c>
      <c r="W299" s="83">
        <f t="shared" si="73"/>
        <v>6100000</v>
      </c>
      <c r="X299" s="64">
        <f t="shared" si="74"/>
        <v>6100000</v>
      </c>
      <c r="Z299" s="67">
        <v>447630.8</v>
      </c>
      <c r="AA299" s="68">
        <v>267440.96860000014</v>
      </c>
      <c r="AB299" s="69">
        <v>5750000</v>
      </c>
      <c r="AC299" s="70">
        <v>6100000</v>
      </c>
      <c r="AD299" s="67">
        <v>0</v>
      </c>
      <c r="AE299" s="68">
        <v>0</v>
      </c>
      <c r="AF299" s="69">
        <v>6100000</v>
      </c>
      <c r="AG299" s="70">
        <v>6100000</v>
      </c>
      <c r="AH299" s="70">
        <f t="shared" si="75"/>
        <v>466552.12479999999</v>
      </c>
      <c r="AI299" s="70">
        <f t="shared" si="76"/>
        <v>317894.12139200012</v>
      </c>
      <c r="AJ299" s="70">
        <f t="shared" si="77"/>
        <v>74883.471208000046</v>
      </c>
      <c r="AK299" s="70">
        <f t="shared" si="78"/>
        <v>0</v>
      </c>
      <c r="AL299" s="70">
        <f t="shared" si="79"/>
        <v>5584170</v>
      </c>
      <c r="AM299" s="70">
        <f t="shared" si="80"/>
        <v>5934170</v>
      </c>
      <c r="AN299" s="70">
        <f t="shared" si="81"/>
        <v>6100000</v>
      </c>
      <c r="AO299" s="70">
        <f t="shared" si="82"/>
        <v>6100000</v>
      </c>
    </row>
    <row r="300" spans="1:41">
      <c r="A300" s="29" t="s">
        <v>585</v>
      </c>
      <c r="B300" s="29" t="s">
        <v>868</v>
      </c>
      <c r="C300" s="107">
        <v>16596785.789999999</v>
      </c>
      <c r="D300" s="108">
        <v>14694709</v>
      </c>
      <c r="F300" s="107">
        <v>16878745.199999999</v>
      </c>
      <c r="G300" s="108">
        <v>15282497</v>
      </c>
      <c r="I300" s="64">
        <v>16269665.529999999</v>
      </c>
      <c r="J300" s="83">
        <v>16932294.380899999</v>
      </c>
      <c r="K300" s="66">
        <v>15282497</v>
      </c>
      <c r="L300" s="251">
        <v>15893797</v>
      </c>
      <c r="M300" s="63">
        <v>17065935.794999998</v>
      </c>
      <c r="N300" s="64">
        <v>17191256.536499996</v>
      </c>
      <c r="O300" s="65">
        <v>16529549</v>
      </c>
      <c r="P300" s="66">
        <v>16529549</v>
      </c>
      <c r="Q300" s="66">
        <f t="shared" si="67"/>
        <v>16361259.202799998</v>
      </c>
      <c r="R300" s="63">
        <f t="shared" si="68"/>
        <v>16746758.302648</v>
      </c>
      <c r="S300" s="83">
        <f t="shared" si="69"/>
        <v>17028516.199051999</v>
      </c>
      <c r="T300" s="64">
        <f t="shared" si="70"/>
        <v>17156166.728879996</v>
      </c>
      <c r="U300" s="66">
        <f t="shared" si="71"/>
        <v>15004003.045600001</v>
      </c>
      <c r="V300" s="63">
        <f t="shared" si="72"/>
        <v>15604163.059999999</v>
      </c>
      <c r="W300" s="83">
        <f t="shared" si="73"/>
        <v>16228329.702400001</v>
      </c>
      <c r="X300" s="64">
        <f t="shared" si="74"/>
        <v>16529549</v>
      </c>
      <c r="Z300" s="67">
        <v>16878745.199999999</v>
      </c>
      <c r="AA300" s="68">
        <v>17939290.944800001</v>
      </c>
      <c r="AB300" s="69">
        <v>15282497</v>
      </c>
      <c r="AC300" s="70">
        <v>15893797</v>
      </c>
      <c r="AD300" s="67">
        <v>17065935.794999998</v>
      </c>
      <c r="AE300" s="68">
        <v>17191256.536499996</v>
      </c>
      <c r="AF300" s="69">
        <v>16529549</v>
      </c>
      <c r="AG300" s="70">
        <v>16529549</v>
      </c>
      <c r="AH300" s="70">
        <f t="shared" si="75"/>
        <v>16799796.565200001</v>
      </c>
      <c r="AI300" s="70">
        <f t="shared" si="76"/>
        <v>17642338.136256002</v>
      </c>
      <c r="AJ300" s="70">
        <f t="shared" si="77"/>
        <v>17310475.236943997</v>
      </c>
      <c r="AK300" s="70">
        <f t="shared" si="78"/>
        <v>17156166.728879996</v>
      </c>
      <c r="AL300" s="70">
        <f t="shared" si="79"/>
        <v>15004003.045600001</v>
      </c>
      <c r="AM300" s="70">
        <f t="shared" si="80"/>
        <v>15604163.059999999</v>
      </c>
      <c r="AN300" s="70">
        <f t="shared" si="81"/>
        <v>16228329.702400001</v>
      </c>
      <c r="AO300" s="70">
        <f t="shared" si="82"/>
        <v>16529549</v>
      </c>
    </row>
    <row r="301" spans="1:41">
      <c r="A301" s="29" t="s">
        <v>507</v>
      </c>
      <c r="B301" s="29" t="s">
        <v>869</v>
      </c>
      <c r="C301" s="107">
        <v>3382845.63</v>
      </c>
      <c r="D301" s="108">
        <v>10017576</v>
      </c>
      <c r="F301" s="107">
        <v>2522149.7000000002</v>
      </c>
      <c r="G301" s="108">
        <v>10942599</v>
      </c>
      <c r="I301" s="64">
        <v>1934808.38</v>
      </c>
      <c r="J301" s="83">
        <v>2861973.7133999998</v>
      </c>
      <c r="K301" s="66">
        <v>10942599</v>
      </c>
      <c r="L301" s="251">
        <v>11255021.675000001</v>
      </c>
      <c r="M301" s="63">
        <v>2628347.4647999993</v>
      </c>
      <c r="N301" s="64">
        <v>2589669.7082999996</v>
      </c>
      <c r="O301" s="65">
        <v>12199774.522500001</v>
      </c>
      <c r="P301" s="66">
        <v>12750000</v>
      </c>
      <c r="Q301" s="66">
        <f t="shared" si="67"/>
        <v>2340258.81</v>
      </c>
      <c r="R301" s="63">
        <f t="shared" si="68"/>
        <v>2602367.4200479998</v>
      </c>
      <c r="S301" s="83">
        <f t="shared" si="69"/>
        <v>2693762.8144079992</v>
      </c>
      <c r="T301" s="64">
        <f t="shared" si="70"/>
        <v>2600499.4801199995</v>
      </c>
      <c r="U301" s="66">
        <f t="shared" si="71"/>
        <v>10504323.102600001</v>
      </c>
      <c r="V301" s="63">
        <f t="shared" si="72"/>
        <v>11106995.811585002</v>
      </c>
      <c r="W301" s="83">
        <f t="shared" si="73"/>
        <v>11752150.6233545</v>
      </c>
      <c r="X301" s="64">
        <f t="shared" si="74"/>
        <v>12489303.168760501</v>
      </c>
      <c r="Z301" s="67">
        <v>2522149.7000000002</v>
      </c>
      <c r="AA301" s="68">
        <v>3381609.5900000008</v>
      </c>
      <c r="AB301" s="69">
        <v>10942599</v>
      </c>
      <c r="AC301" s="70">
        <v>11255021.675000001</v>
      </c>
      <c r="AD301" s="67">
        <v>2628347.4647999993</v>
      </c>
      <c r="AE301" s="68">
        <v>2589669.7082999996</v>
      </c>
      <c r="AF301" s="69">
        <v>12199774.522500001</v>
      </c>
      <c r="AG301" s="70">
        <v>12750000</v>
      </c>
      <c r="AH301" s="70">
        <f t="shared" si="75"/>
        <v>2763144.5603999998</v>
      </c>
      <c r="AI301" s="70">
        <f t="shared" si="76"/>
        <v>3140960.8208000008</v>
      </c>
      <c r="AJ301" s="70">
        <f t="shared" si="77"/>
        <v>2839260.8598559997</v>
      </c>
      <c r="AK301" s="70">
        <f t="shared" si="78"/>
        <v>2600499.4801199995</v>
      </c>
      <c r="AL301" s="70">
        <f t="shared" si="79"/>
        <v>10504323.102600001</v>
      </c>
      <c r="AM301" s="70">
        <f t="shared" si="80"/>
        <v>11106995.811585002</v>
      </c>
      <c r="AN301" s="70">
        <f t="shared" si="81"/>
        <v>11752150.6233545</v>
      </c>
      <c r="AO301" s="70">
        <f t="shared" si="82"/>
        <v>12489303.168760501</v>
      </c>
    </row>
    <row r="302" spans="1:41">
      <c r="A302" s="29" t="s">
        <v>603</v>
      </c>
      <c r="B302" s="29" t="s">
        <v>870</v>
      </c>
      <c r="C302" s="107">
        <v>1252245.8999999999</v>
      </c>
      <c r="D302" s="108">
        <v>1100000</v>
      </c>
      <c r="F302" s="107">
        <v>1270386.06</v>
      </c>
      <c r="G302" s="108">
        <v>1100000</v>
      </c>
      <c r="I302" s="64">
        <v>1190487.07</v>
      </c>
      <c r="J302" s="83">
        <v>1255393.1881999997</v>
      </c>
      <c r="K302" s="66">
        <v>1100000</v>
      </c>
      <c r="L302" s="251">
        <v>1100000</v>
      </c>
      <c r="M302" s="63">
        <v>1275176.4362999997</v>
      </c>
      <c r="N302" s="64">
        <v>1301281.1463000001</v>
      </c>
      <c r="O302" s="65">
        <v>1100000</v>
      </c>
      <c r="P302" s="66">
        <v>1100000</v>
      </c>
      <c r="Q302" s="66">
        <f t="shared" si="67"/>
        <v>1207779.5423999999</v>
      </c>
      <c r="R302" s="63">
        <f t="shared" si="68"/>
        <v>1237219.4751039997</v>
      </c>
      <c r="S302" s="83">
        <f t="shared" si="69"/>
        <v>1269637.1268319997</v>
      </c>
      <c r="T302" s="64">
        <f t="shared" si="70"/>
        <v>1293971.8275000001</v>
      </c>
      <c r="U302" s="66">
        <f t="shared" si="71"/>
        <v>1100000</v>
      </c>
      <c r="V302" s="63">
        <f t="shared" si="72"/>
        <v>1100000</v>
      </c>
      <c r="W302" s="83">
        <f t="shared" si="73"/>
        <v>1100000</v>
      </c>
      <c r="X302" s="64">
        <f t="shared" si="74"/>
        <v>1100000</v>
      </c>
      <c r="Z302" s="67">
        <v>1270386.06</v>
      </c>
      <c r="AA302" s="68">
        <v>1317101.5027999999</v>
      </c>
      <c r="AB302" s="69">
        <v>1100000</v>
      </c>
      <c r="AC302" s="70">
        <v>1100000</v>
      </c>
      <c r="AD302" s="67">
        <v>1275176.4362999997</v>
      </c>
      <c r="AE302" s="68">
        <v>1301281.1463000001</v>
      </c>
      <c r="AF302" s="69">
        <v>1100000</v>
      </c>
      <c r="AG302" s="70">
        <v>1100000</v>
      </c>
      <c r="AH302" s="70">
        <f t="shared" si="75"/>
        <v>1265306.8152000001</v>
      </c>
      <c r="AI302" s="70">
        <f t="shared" si="76"/>
        <v>1304021.178816</v>
      </c>
      <c r="AJ302" s="70">
        <f t="shared" si="77"/>
        <v>1286915.4549199997</v>
      </c>
      <c r="AK302" s="70">
        <f t="shared" si="78"/>
        <v>1293971.8275000001</v>
      </c>
      <c r="AL302" s="70">
        <f t="shared" si="79"/>
        <v>1100000</v>
      </c>
      <c r="AM302" s="70">
        <f t="shared" si="80"/>
        <v>1100000</v>
      </c>
      <c r="AN302" s="70">
        <f t="shared" si="81"/>
        <v>1100000</v>
      </c>
      <c r="AO302" s="70">
        <f t="shared" si="82"/>
        <v>1100000</v>
      </c>
    </row>
    <row r="303" spans="1:41">
      <c r="A303" s="342" t="s">
        <v>1039</v>
      </c>
      <c r="B303" s="342" t="s">
        <v>1285</v>
      </c>
      <c r="C303" s="107">
        <v>0</v>
      </c>
      <c r="D303" s="107">
        <v>0</v>
      </c>
      <c r="F303" s="107">
        <v>37397.730000000003</v>
      </c>
      <c r="G303" s="108">
        <v>0</v>
      </c>
      <c r="I303" s="64">
        <v>33951.78</v>
      </c>
      <c r="J303" s="83">
        <v>225588.83</v>
      </c>
      <c r="K303" s="66">
        <v>0</v>
      </c>
      <c r="L303" s="251">
        <v>0</v>
      </c>
      <c r="M303" s="63">
        <v>36774.633810988453</v>
      </c>
      <c r="N303" s="64">
        <v>38732.256849472476</v>
      </c>
      <c r="O303" s="65">
        <v>0</v>
      </c>
      <c r="P303" s="66">
        <v>0</v>
      </c>
      <c r="Q303" s="66">
        <f t="shared" si="67"/>
        <v>24445.281599999998</v>
      </c>
      <c r="R303" s="63">
        <f t="shared" si="68"/>
        <v>171930.45600000001</v>
      </c>
      <c r="S303" s="83">
        <f t="shared" si="69"/>
        <v>89642.608743911682</v>
      </c>
      <c r="T303" s="64">
        <f t="shared" si="70"/>
        <v>38184.122398696949</v>
      </c>
      <c r="U303" s="66">
        <f t="shared" si="71"/>
        <v>0</v>
      </c>
      <c r="V303" s="63">
        <f t="shared" si="72"/>
        <v>0</v>
      </c>
      <c r="W303" s="83">
        <f t="shared" si="73"/>
        <v>0</v>
      </c>
      <c r="X303" s="64">
        <f t="shared" si="74"/>
        <v>0</v>
      </c>
      <c r="Z303" s="67">
        <v>37397.730000000003</v>
      </c>
      <c r="AA303" s="68">
        <v>38554.996780934693</v>
      </c>
      <c r="AB303" s="69">
        <v>0</v>
      </c>
      <c r="AC303" s="70">
        <v>0</v>
      </c>
      <c r="AD303" s="67">
        <v>36774.633810988453</v>
      </c>
      <c r="AE303" s="68">
        <v>38732.256849472476</v>
      </c>
      <c r="AF303" s="69">
        <v>0</v>
      </c>
      <c r="AG303" s="70">
        <v>0</v>
      </c>
      <c r="AH303" s="70">
        <f t="shared" si="75"/>
        <v>26926.365600000001</v>
      </c>
      <c r="AI303" s="70">
        <f t="shared" si="76"/>
        <v>38230.962082272978</v>
      </c>
      <c r="AJ303" s="70">
        <f t="shared" si="77"/>
        <v>37273.135442573403</v>
      </c>
      <c r="AK303" s="70">
        <f t="shared" si="78"/>
        <v>38184.122398696949</v>
      </c>
      <c r="AL303" s="70">
        <f t="shared" si="79"/>
        <v>0</v>
      </c>
      <c r="AM303" s="70">
        <f t="shared" si="80"/>
        <v>0</v>
      </c>
      <c r="AN303" s="70">
        <f t="shared" si="81"/>
        <v>0</v>
      </c>
      <c r="AO303" s="70">
        <f t="shared" si="82"/>
        <v>0</v>
      </c>
    </row>
    <row r="304" spans="1:41">
      <c r="A304" s="342" t="s">
        <v>1038</v>
      </c>
      <c r="B304" s="342" t="s">
        <v>1286</v>
      </c>
      <c r="C304" s="107">
        <v>0</v>
      </c>
      <c r="D304" s="107">
        <v>0</v>
      </c>
      <c r="F304" s="107">
        <v>848882.75</v>
      </c>
      <c r="G304" s="108">
        <v>0</v>
      </c>
      <c r="I304" s="64">
        <v>848882.75</v>
      </c>
      <c r="J304" s="83">
        <v>991152.05709999998</v>
      </c>
      <c r="K304" s="66">
        <v>0</v>
      </c>
      <c r="L304" s="251">
        <v>0</v>
      </c>
      <c r="M304" s="63">
        <v>1025460.2022849113</v>
      </c>
      <c r="N304" s="64">
        <v>1066127.4480000001</v>
      </c>
      <c r="O304" s="65">
        <v>0</v>
      </c>
      <c r="P304" s="66">
        <v>0</v>
      </c>
      <c r="Q304" s="66">
        <f t="shared" si="67"/>
        <v>611195.57999999996</v>
      </c>
      <c r="R304" s="63">
        <f t="shared" si="68"/>
        <v>951316.65111199999</v>
      </c>
      <c r="S304" s="83">
        <f t="shared" si="69"/>
        <v>1015853.9216331361</v>
      </c>
      <c r="T304" s="64">
        <f t="shared" si="70"/>
        <v>1054740.6191997752</v>
      </c>
      <c r="U304" s="66">
        <f t="shared" si="71"/>
        <v>0</v>
      </c>
      <c r="V304" s="63">
        <f t="shared" si="72"/>
        <v>0</v>
      </c>
      <c r="W304" s="83">
        <f t="shared" si="73"/>
        <v>0</v>
      </c>
      <c r="X304" s="64">
        <f t="shared" si="74"/>
        <v>0</v>
      </c>
      <c r="Z304" s="67">
        <v>848882.75</v>
      </c>
      <c r="AA304" s="68">
        <v>911654.69767613348</v>
      </c>
      <c r="AB304" s="69">
        <v>0</v>
      </c>
      <c r="AC304" s="70">
        <v>0</v>
      </c>
      <c r="AD304" s="67">
        <v>1025460.2022849113</v>
      </c>
      <c r="AE304" s="68">
        <v>1066127.4480000001</v>
      </c>
      <c r="AF304" s="69">
        <v>0</v>
      </c>
      <c r="AG304" s="70">
        <v>0</v>
      </c>
      <c r="AH304" s="70">
        <f t="shared" si="75"/>
        <v>611195.57999999996</v>
      </c>
      <c r="AI304" s="70">
        <f t="shared" si="76"/>
        <v>894078.55232681613</v>
      </c>
      <c r="AJ304" s="70">
        <f t="shared" si="77"/>
        <v>993594.66099445347</v>
      </c>
      <c r="AK304" s="70">
        <f t="shared" si="78"/>
        <v>1054740.6191997752</v>
      </c>
      <c r="AL304" s="70">
        <f t="shared" si="79"/>
        <v>0</v>
      </c>
      <c r="AM304" s="70">
        <f t="shared" si="80"/>
        <v>0</v>
      </c>
      <c r="AN304" s="70">
        <f t="shared" si="81"/>
        <v>0</v>
      </c>
      <c r="AO304" s="70">
        <f t="shared" si="82"/>
        <v>0</v>
      </c>
    </row>
    <row r="305" spans="1:41">
      <c r="A305" s="342" t="s">
        <v>1024</v>
      </c>
      <c r="B305" s="342" t="s">
        <v>1287</v>
      </c>
      <c r="C305" s="107">
        <v>0</v>
      </c>
      <c r="D305" s="107">
        <v>0</v>
      </c>
      <c r="F305" s="107">
        <v>236161.32</v>
      </c>
      <c r="G305" s="108">
        <v>0</v>
      </c>
      <c r="I305" s="64">
        <v>236161.32</v>
      </c>
      <c r="J305" s="83">
        <v>250492.41580000002</v>
      </c>
      <c r="K305" s="66">
        <v>0</v>
      </c>
      <c r="L305" s="251">
        <v>0</v>
      </c>
      <c r="M305" s="63">
        <v>259180.14689999999</v>
      </c>
      <c r="N305" s="64">
        <v>269441.84130000003</v>
      </c>
      <c r="O305" s="65">
        <v>0</v>
      </c>
      <c r="P305" s="66">
        <v>0</v>
      </c>
      <c r="Q305" s="66">
        <f t="shared" si="67"/>
        <v>170036.15040000001</v>
      </c>
      <c r="R305" s="63">
        <f t="shared" si="68"/>
        <v>246479.70897600002</v>
      </c>
      <c r="S305" s="83">
        <f t="shared" si="69"/>
        <v>256747.582192</v>
      </c>
      <c r="T305" s="64">
        <f t="shared" si="70"/>
        <v>266568.56686800002</v>
      </c>
      <c r="U305" s="66">
        <f t="shared" si="71"/>
        <v>0</v>
      </c>
      <c r="V305" s="63">
        <f t="shared" si="72"/>
        <v>0</v>
      </c>
      <c r="W305" s="83">
        <f t="shared" si="73"/>
        <v>0</v>
      </c>
      <c r="X305" s="64">
        <f t="shared" si="74"/>
        <v>0</v>
      </c>
      <c r="Z305" s="67">
        <v>236161.32</v>
      </c>
      <c r="AA305" s="68">
        <v>250492.41580000002</v>
      </c>
      <c r="AB305" s="69">
        <v>0</v>
      </c>
      <c r="AC305" s="70">
        <v>0</v>
      </c>
      <c r="AD305" s="67">
        <v>259180.14689999999</v>
      </c>
      <c r="AE305" s="68">
        <v>269441.84130000003</v>
      </c>
      <c r="AF305" s="69">
        <v>0</v>
      </c>
      <c r="AG305" s="70">
        <v>0</v>
      </c>
      <c r="AH305" s="70">
        <f t="shared" si="75"/>
        <v>170036.15040000001</v>
      </c>
      <c r="AI305" s="70">
        <f t="shared" si="76"/>
        <v>246479.70897600002</v>
      </c>
      <c r="AJ305" s="70">
        <f t="shared" si="77"/>
        <v>256747.582192</v>
      </c>
      <c r="AK305" s="70">
        <f t="shared" si="78"/>
        <v>266568.56686800002</v>
      </c>
      <c r="AL305" s="70">
        <f t="shared" si="79"/>
        <v>0</v>
      </c>
      <c r="AM305" s="70">
        <f t="shared" si="80"/>
        <v>0</v>
      </c>
      <c r="AN305" s="70">
        <f t="shared" si="81"/>
        <v>0</v>
      </c>
      <c r="AO305" s="70">
        <f t="shared" si="82"/>
        <v>0</v>
      </c>
    </row>
    <row r="306" spans="1:41">
      <c r="A306" s="342" t="s">
        <v>53</v>
      </c>
      <c r="B306" s="342" t="s">
        <v>1288</v>
      </c>
      <c r="C306" s="107">
        <v>0</v>
      </c>
      <c r="D306" s="107">
        <v>0</v>
      </c>
      <c r="F306" s="107">
        <v>33028.71</v>
      </c>
      <c r="G306" s="108">
        <v>0</v>
      </c>
      <c r="I306" s="64">
        <v>33028.71</v>
      </c>
      <c r="J306" s="83">
        <v>233031.48509999999</v>
      </c>
      <c r="K306" s="66">
        <v>0</v>
      </c>
      <c r="L306" s="251">
        <v>0</v>
      </c>
      <c r="M306" s="63">
        <v>38544.622720826766</v>
      </c>
      <c r="N306" s="64">
        <v>40784.652254413631</v>
      </c>
      <c r="O306" s="65">
        <v>0</v>
      </c>
      <c r="P306" s="66">
        <v>0</v>
      </c>
      <c r="Q306" s="66">
        <f t="shared" si="67"/>
        <v>23780.671199999997</v>
      </c>
      <c r="R306" s="63">
        <f t="shared" si="68"/>
        <v>177030.70807200001</v>
      </c>
      <c r="S306" s="83">
        <f t="shared" si="69"/>
        <v>93000.944186995272</v>
      </c>
      <c r="T306" s="64">
        <f t="shared" si="70"/>
        <v>40157.443985009311</v>
      </c>
      <c r="U306" s="66">
        <f t="shared" si="71"/>
        <v>0</v>
      </c>
      <c r="V306" s="63">
        <f t="shared" si="72"/>
        <v>0</v>
      </c>
      <c r="W306" s="83">
        <f t="shared" si="73"/>
        <v>0</v>
      </c>
      <c r="X306" s="64">
        <f t="shared" si="74"/>
        <v>0</v>
      </c>
      <c r="Z306" s="67">
        <v>33028.71</v>
      </c>
      <c r="AA306" s="68">
        <v>35379.743250446154</v>
      </c>
      <c r="AB306" s="69">
        <v>0</v>
      </c>
      <c r="AC306" s="70">
        <v>0</v>
      </c>
      <c r="AD306" s="67">
        <v>38544.622720826766</v>
      </c>
      <c r="AE306" s="68">
        <v>40784.652254413631</v>
      </c>
      <c r="AF306" s="69">
        <v>0</v>
      </c>
      <c r="AG306" s="70">
        <v>0</v>
      </c>
      <c r="AH306" s="70">
        <f t="shared" si="75"/>
        <v>23780.671199999997</v>
      </c>
      <c r="AI306" s="70">
        <f t="shared" si="76"/>
        <v>34721.453940321233</v>
      </c>
      <c r="AJ306" s="70">
        <f t="shared" si="77"/>
        <v>37658.456469120196</v>
      </c>
      <c r="AK306" s="70">
        <f t="shared" si="78"/>
        <v>40157.443985009311</v>
      </c>
      <c r="AL306" s="70">
        <f t="shared" si="79"/>
        <v>0</v>
      </c>
      <c r="AM306" s="70">
        <f t="shared" si="80"/>
        <v>0</v>
      </c>
      <c r="AN306" s="70">
        <f t="shared" si="81"/>
        <v>0</v>
      </c>
      <c r="AO306" s="70">
        <f t="shared" si="82"/>
        <v>0</v>
      </c>
    </row>
    <row r="307" spans="1:41">
      <c r="A307" s="342" t="s">
        <v>223</v>
      </c>
      <c r="B307" s="342" t="s">
        <v>1289</v>
      </c>
      <c r="C307" s="107">
        <v>0</v>
      </c>
      <c r="D307" s="107">
        <v>0</v>
      </c>
      <c r="F307" s="107">
        <v>943275</v>
      </c>
      <c r="G307" s="108">
        <v>0</v>
      </c>
      <c r="I307" s="64">
        <v>943275</v>
      </c>
      <c r="J307" s="83">
        <v>1000548.6311999999</v>
      </c>
      <c r="K307" s="66">
        <v>0</v>
      </c>
      <c r="L307" s="251">
        <v>0</v>
      </c>
      <c r="M307" s="63">
        <v>1035215.3078999999</v>
      </c>
      <c r="N307" s="64">
        <v>1076228.9685</v>
      </c>
      <c r="O307" s="65">
        <v>0</v>
      </c>
      <c r="P307" s="66">
        <v>0</v>
      </c>
      <c r="Q307" s="66">
        <f t="shared" si="67"/>
        <v>679158</v>
      </c>
      <c r="R307" s="63">
        <f t="shared" si="68"/>
        <v>984512.01446399989</v>
      </c>
      <c r="S307" s="83">
        <f t="shared" si="69"/>
        <v>1025508.638424</v>
      </c>
      <c r="T307" s="64">
        <f t="shared" si="70"/>
        <v>1064745.143532</v>
      </c>
      <c r="U307" s="66">
        <f t="shared" si="71"/>
        <v>0</v>
      </c>
      <c r="V307" s="63">
        <f t="shared" si="72"/>
        <v>0</v>
      </c>
      <c r="W307" s="83">
        <f t="shared" si="73"/>
        <v>0</v>
      </c>
      <c r="X307" s="64">
        <f t="shared" si="74"/>
        <v>0</v>
      </c>
      <c r="Z307" s="67">
        <v>943275</v>
      </c>
      <c r="AA307" s="68">
        <v>1000548.6311999999</v>
      </c>
      <c r="AB307" s="69">
        <v>0</v>
      </c>
      <c r="AC307" s="70">
        <v>0</v>
      </c>
      <c r="AD307" s="67">
        <v>1035215.3078999999</v>
      </c>
      <c r="AE307" s="68">
        <v>1076228.9685</v>
      </c>
      <c r="AF307" s="69">
        <v>0</v>
      </c>
      <c r="AG307" s="70">
        <v>0</v>
      </c>
      <c r="AH307" s="70">
        <f t="shared" si="75"/>
        <v>679158</v>
      </c>
      <c r="AI307" s="70">
        <f t="shared" si="76"/>
        <v>984512.01446399989</v>
      </c>
      <c r="AJ307" s="70">
        <f t="shared" si="77"/>
        <v>1025508.638424</v>
      </c>
      <c r="AK307" s="70">
        <f t="shared" si="78"/>
        <v>1064745.143532</v>
      </c>
      <c r="AL307" s="70">
        <f t="shared" si="79"/>
        <v>0</v>
      </c>
      <c r="AM307" s="70">
        <f t="shared" si="80"/>
        <v>0</v>
      </c>
      <c r="AN307" s="70">
        <f t="shared" si="81"/>
        <v>0</v>
      </c>
      <c r="AO307" s="70">
        <f t="shared" si="82"/>
        <v>0</v>
      </c>
    </row>
    <row r="308" spans="1:41">
      <c r="A308" s="342" t="s">
        <v>237</v>
      </c>
      <c r="B308" s="342" t="s">
        <v>1290</v>
      </c>
      <c r="C308" s="107">
        <v>0</v>
      </c>
      <c r="D308" s="107">
        <v>0</v>
      </c>
      <c r="F308" s="107">
        <v>149106.44</v>
      </c>
      <c r="G308" s="108">
        <v>0</v>
      </c>
      <c r="I308" s="64">
        <v>149106.44</v>
      </c>
      <c r="J308" s="83">
        <v>156562.20060000001</v>
      </c>
      <c r="K308" s="66">
        <v>0</v>
      </c>
      <c r="L308" s="251">
        <v>0</v>
      </c>
      <c r="M308" s="63">
        <v>159849.82259999998</v>
      </c>
      <c r="N308" s="64">
        <v>163366.60860000001</v>
      </c>
      <c r="O308" s="65">
        <v>0</v>
      </c>
      <c r="P308" s="66">
        <v>0</v>
      </c>
      <c r="Q308" s="66">
        <f t="shared" si="67"/>
        <v>107356.63679999999</v>
      </c>
      <c r="R308" s="63">
        <f t="shared" si="68"/>
        <v>154474.58763200001</v>
      </c>
      <c r="S308" s="83">
        <f t="shared" si="69"/>
        <v>158929.28843999997</v>
      </c>
      <c r="T308" s="64">
        <f t="shared" si="70"/>
        <v>162381.90852</v>
      </c>
      <c r="U308" s="66">
        <f t="shared" si="71"/>
        <v>0</v>
      </c>
      <c r="V308" s="63">
        <f t="shared" si="72"/>
        <v>0</v>
      </c>
      <c r="W308" s="83">
        <f t="shared" si="73"/>
        <v>0</v>
      </c>
      <c r="X308" s="64">
        <f t="shared" si="74"/>
        <v>0</v>
      </c>
      <c r="Z308" s="67">
        <v>149106.44</v>
      </c>
      <c r="AA308" s="68">
        <v>156562.20060000001</v>
      </c>
      <c r="AB308" s="69">
        <v>0</v>
      </c>
      <c r="AC308" s="70">
        <v>0</v>
      </c>
      <c r="AD308" s="67">
        <v>159849.82259999998</v>
      </c>
      <c r="AE308" s="68">
        <v>163366.60860000001</v>
      </c>
      <c r="AF308" s="69">
        <v>0</v>
      </c>
      <c r="AG308" s="70">
        <v>0</v>
      </c>
      <c r="AH308" s="70">
        <f t="shared" si="75"/>
        <v>107356.63679999999</v>
      </c>
      <c r="AI308" s="70">
        <f t="shared" si="76"/>
        <v>154474.58763200001</v>
      </c>
      <c r="AJ308" s="70">
        <f t="shared" si="77"/>
        <v>158929.28843999997</v>
      </c>
      <c r="AK308" s="70">
        <f t="shared" si="78"/>
        <v>162381.90852</v>
      </c>
      <c r="AL308" s="70">
        <f t="shared" si="79"/>
        <v>0</v>
      </c>
      <c r="AM308" s="70">
        <f t="shared" si="80"/>
        <v>0</v>
      </c>
      <c r="AN308" s="70">
        <f t="shared" si="81"/>
        <v>0</v>
      </c>
      <c r="AO308" s="70">
        <f t="shared" si="82"/>
        <v>0</v>
      </c>
    </row>
    <row r="309" spans="1:41">
      <c r="A309" s="342" t="s">
        <v>553</v>
      </c>
      <c r="B309" s="342" t="s">
        <v>1291</v>
      </c>
      <c r="C309" s="107">
        <v>0</v>
      </c>
      <c r="D309" s="107">
        <v>0</v>
      </c>
      <c r="F309" s="107">
        <v>671554.15</v>
      </c>
      <c r="G309" s="108">
        <v>0</v>
      </c>
      <c r="I309" s="64">
        <v>671554.15</v>
      </c>
      <c r="J309" s="83">
        <v>712327.81579999998</v>
      </c>
      <c r="K309" s="66">
        <v>0</v>
      </c>
      <c r="L309" s="251">
        <v>0</v>
      </c>
      <c r="M309" s="63">
        <v>737006.70419999992</v>
      </c>
      <c r="N309" s="64">
        <v>766214.23109999998</v>
      </c>
      <c r="O309" s="65">
        <v>0</v>
      </c>
      <c r="P309" s="66">
        <v>0</v>
      </c>
      <c r="Q309" s="66">
        <f t="shared" si="67"/>
        <v>483518.98800000001</v>
      </c>
      <c r="R309" s="63">
        <f t="shared" si="68"/>
        <v>700911.18937599997</v>
      </c>
      <c r="S309" s="83">
        <f t="shared" si="69"/>
        <v>730096.61544799991</v>
      </c>
      <c r="T309" s="64">
        <f t="shared" si="70"/>
        <v>758036.12356800004</v>
      </c>
      <c r="U309" s="66">
        <f t="shared" si="71"/>
        <v>0</v>
      </c>
      <c r="V309" s="63">
        <f t="shared" si="72"/>
        <v>0</v>
      </c>
      <c r="W309" s="83">
        <f t="shared" si="73"/>
        <v>0</v>
      </c>
      <c r="X309" s="64">
        <f t="shared" si="74"/>
        <v>0</v>
      </c>
      <c r="Z309" s="67">
        <v>671554.15</v>
      </c>
      <c r="AA309" s="68">
        <v>712327.81579999998</v>
      </c>
      <c r="AB309" s="69">
        <v>0</v>
      </c>
      <c r="AC309" s="70">
        <v>0</v>
      </c>
      <c r="AD309" s="67">
        <v>737006.70419999992</v>
      </c>
      <c r="AE309" s="68">
        <v>766214.23109999998</v>
      </c>
      <c r="AF309" s="69">
        <v>0</v>
      </c>
      <c r="AG309" s="70">
        <v>0</v>
      </c>
      <c r="AH309" s="70">
        <f t="shared" si="75"/>
        <v>483518.98800000001</v>
      </c>
      <c r="AI309" s="70">
        <f t="shared" si="76"/>
        <v>700911.18937599997</v>
      </c>
      <c r="AJ309" s="70">
        <f t="shared" si="77"/>
        <v>730096.61544799991</v>
      </c>
      <c r="AK309" s="70">
        <f t="shared" si="78"/>
        <v>758036.12356800004</v>
      </c>
      <c r="AL309" s="70">
        <f t="shared" si="79"/>
        <v>0</v>
      </c>
      <c r="AM309" s="70">
        <f t="shared" si="80"/>
        <v>0</v>
      </c>
      <c r="AN309" s="70">
        <f t="shared" si="81"/>
        <v>0</v>
      </c>
      <c r="AO309" s="70">
        <f t="shared" si="82"/>
        <v>0</v>
      </c>
    </row>
    <row r="310" spans="1:41">
      <c r="A310" s="71"/>
      <c r="B310" s="71"/>
    </row>
    <row r="311" spans="1:41">
      <c r="A311" s="71"/>
      <c r="B311" s="71"/>
    </row>
    <row r="312" spans="1:41">
      <c r="A312" s="71"/>
      <c r="B312" s="71"/>
    </row>
    <row r="313" spans="1:41">
      <c r="A313" s="71"/>
      <c r="B313" s="71"/>
    </row>
    <row r="314" spans="1:41">
      <c r="A314" s="71"/>
      <c r="B314" s="71"/>
    </row>
    <row r="315" spans="1:41">
      <c r="A315" s="71"/>
      <c r="B315" s="71"/>
    </row>
  </sheetData>
  <autoFilter ref="A7:AQ302" xr:uid="{00000000-0009-0000-0000-00001F000000}"/>
  <mergeCells count="16">
    <mergeCell ref="AB3:AC3"/>
    <mergeCell ref="AD3:AE3"/>
    <mergeCell ref="AF3:AG3"/>
    <mergeCell ref="AH3:AK3"/>
    <mergeCell ref="AL3:AO3"/>
    <mergeCell ref="C3:D3"/>
    <mergeCell ref="F3:G3"/>
    <mergeCell ref="I3:J3"/>
    <mergeCell ref="K3:L3"/>
    <mergeCell ref="M3:N3"/>
    <mergeCell ref="Q2:X2"/>
    <mergeCell ref="Q3:T3"/>
    <mergeCell ref="U3:X3"/>
    <mergeCell ref="Z3:AA3"/>
    <mergeCell ref="I2:P2"/>
    <mergeCell ref="O3:P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theme="7" tint="0.59999389629810485"/>
  </sheetPr>
  <dimension ref="A1:AE325"/>
  <sheetViews>
    <sheetView zoomScale="90" zoomScaleNormal="90" workbookViewId="0">
      <pane ySplit="7" topLeftCell="A14"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AD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 t="shared" si="0"/>
        <v>18</v>
      </c>
      <c r="S1" s="389">
        <f t="shared" si="0"/>
        <v>19</v>
      </c>
      <c r="T1" s="389">
        <f t="shared" si="0"/>
        <v>20</v>
      </c>
      <c r="U1" s="389">
        <f t="shared" si="0"/>
        <v>21</v>
      </c>
      <c r="V1" s="389">
        <f t="shared" si="0"/>
        <v>22</v>
      </c>
      <c r="W1" s="389">
        <f t="shared" si="0"/>
        <v>23</v>
      </c>
      <c r="X1" s="389">
        <f t="shared" si="0"/>
        <v>24</v>
      </c>
      <c r="Y1" s="389">
        <f t="shared" si="0"/>
        <v>25</v>
      </c>
      <c r="Z1" s="389">
        <f t="shared" si="0"/>
        <v>26</v>
      </c>
      <c r="AA1" s="389">
        <f t="shared" si="0"/>
        <v>27</v>
      </c>
      <c r="AB1" s="389">
        <f t="shared" si="0"/>
        <v>28</v>
      </c>
      <c r="AC1" s="389">
        <f t="shared" si="0"/>
        <v>29</v>
      </c>
      <c r="AD1" s="389">
        <f t="shared" si="0"/>
        <v>30</v>
      </c>
      <c r="AE1" s="389"/>
    </row>
    <row r="2" spans="1:31" ht="21">
      <c r="A2" s="9" t="s">
        <v>1364</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1">SUM(C8:C325)</f>
        <v>301246.51999999996</v>
      </c>
      <c r="D6" s="16">
        <f t="shared" si="1"/>
        <v>11894.569999999991</v>
      </c>
      <c r="E6" s="16">
        <f t="shared" si="1"/>
        <v>59932.950000000004</v>
      </c>
      <c r="F6" s="16">
        <f t="shared" si="1"/>
        <v>71827.520000000019</v>
      </c>
      <c r="G6" s="16">
        <f t="shared" si="1"/>
        <v>4696.07</v>
      </c>
      <c r="H6" s="16">
        <f t="shared" si="1"/>
        <v>20956.299999999996</v>
      </c>
      <c r="I6" s="16">
        <f t="shared" si="1"/>
        <v>1355.1900000000012</v>
      </c>
      <c r="J6" s="16">
        <f t="shared" si="1"/>
        <v>49284.890000000021</v>
      </c>
      <c r="K6" s="16">
        <f t="shared" si="1"/>
        <v>3775.5699999999993</v>
      </c>
      <c r="L6" s="16">
        <f t="shared" si="1"/>
        <v>49.53</v>
      </c>
      <c r="M6" s="386">
        <f t="shared" si="1"/>
        <v>1062338.2399999993</v>
      </c>
      <c r="N6" s="385">
        <f>AVERAGE(N7:N325)</f>
        <v>0.53765283018867871</v>
      </c>
      <c r="O6" s="16">
        <f t="shared" ref="O6:AD6" si="2">SUM(O8:O325)</f>
        <v>445332</v>
      </c>
      <c r="P6" s="16">
        <f t="shared" si="2"/>
        <v>128008.26999999999</v>
      </c>
      <c r="Q6" s="16">
        <f t="shared" si="2"/>
        <v>83405.240000000005</v>
      </c>
      <c r="R6" s="16">
        <f t="shared" si="2"/>
        <v>44603.03</v>
      </c>
      <c r="S6" s="28">
        <f t="shared" si="2"/>
        <v>22685.010000000002</v>
      </c>
      <c r="T6" s="28">
        <f t="shared" si="2"/>
        <v>150693.27999999997</v>
      </c>
      <c r="U6" s="16">
        <f t="shared" si="2"/>
        <v>488899.52000000037</v>
      </c>
      <c r="V6" s="16">
        <f t="shared" si="2"/>
        <v>46734.46</v>
      </c>
      <c r="W6" s="28">
        <f t="shared" si="2"/>
        <v>267611.63221100008</v>
      </c>
      <c r="X6" s="28">
        <f t="shared" si="2"/>
        <v>136833.96999999997</v>
      </c>
      <c r="Y6" s="28">
        <f t="shared" si="2"/>
        <v>85540.97</v>
      </c>
      <c r="Z6" s="28">
        <f t="shared" si="2"/>
        <v>51293</v>
      </c>
      <c r="AA6" s="370">
        <f t="shared" si="2"/>
        <v>1063423.909999999</v>
      </c>
      <c r="AB6" s="245">
        <f t="shared" si="2"/>
        <v>42.692500644765786</v>
      </c>
      <c r="AC6" s="245">
        <f t="shared" si="2"/>
        <v>4.3544101765149703</v>
      </c>
      <c r="AD6" s="382">
        <f t="shared" si="2"/>
        <v>-44975321.375530876</v>
      </c>
    </row>
    <row r="7" spans="1:31" ht="4.9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845.76</v>
      </c>
      <c r="D8" s="147">
        <v>60.32</v>
      </c>
      <c r="E8" s="22">
        <v>264.47000000000003</v>
      </c>
      <c r="F8" s="22">
        <v>324.79000000000002</v>
      </c>
      <c r="G8" s="22">
        <v>21.12</v>
      </c>
      <c r="H8" s="22">
        <v>52.75</v>
      </c>
      <c r="I8" s="22">
        <v>1.42</v>
      </c>
      <c r="J8" s="22">
        <v>109.48</v>
      </c>
      <c r="K8" s="22">
        <v>10.6</v>
      </c>
      <c r="L8" s="22">
        <v>0</v>
      </c>
      <c r="M8" s="388">
        <v>3115.65</v>
      </c>
      <c r="N8" s="25">
        <v>0.72529999999999994</v>
      </c>
      <c r="O8" s="24">
        <v>3131</v>
      </c>
      <c r="P8" s="24">
        <v>405</v>
      </c>
      <c r="Q8" s="24">
        <v>254</v>
      </c>
      <c r="R8" s="22">
        <v>151</v>
      </c>
      <c r="S8" s="24">
        <v>72</v>
      </c>
      <c r="T8" s="24">
        <f>S8+P8</f>
        <v>477</v>
      </c>
      <c r="U8" s="376">
        <v>2260.09</v>
      </c>
      <c r="V8" s="376">
        <v>155.78</v>
      </c>
      <c r="W8" s="22">
        <f>U8*N8</f>
        <v>1639.243277</v>
      </c>
      <c r="X8" s="22">
        <f>Y8+Z8</f>
        <v>480.5</v>
      </c>
      <c r="Y8" s="22">
        <v>268.5</v>
      </c>
      <c r="Z8" s="22">
        <v>212</v>
      </c>
      <c r="AA8" s="371">
        <v>3110.7</v>
      </c>
      <c r="AB8" s="22">
        <v>0.15446684026103449</v>
      </c>
      <c r="AC8" s="24">
        <v>1.9466840261034485E-2</v>
      </c>
      <c r="AD8" s="384">
        <v>-526865.30447185319</v>
      </c>
    </row>
    <row r="9" spans="1:31">
      <c r="A9" s="21" t="s">
        <v>279</v>
      </c>
      <c r="B9" s="21" t="s">
        <v>280</v>
      </c>
      <c r="C9" s="23">
        <v>164.9</v>
      </c>
      <c r="D9" s="147">
        <v>18.940000000000001</v>
      </c>
      <c r="E9" s="22">
        <v>32.119999999999997</v>
      </c>
      <c r="F9" s="22">
        <v>51.06</v>
      </c>
      <c r="G9" s="22">
        <v>0</v>
      </c>
      <c r="H9" s="22">
        <v>12.53</v>
      </c>
      <c r="I9" s="22">
        <v>2.15</v>
      </c>
      <c r="J9" s="22">
        <v>0.8</v>
      </c>
      <c r="K9" s="22">
        <v>0.2</v>
      </c>
      <c r="L9" s="22">
        <v>0</v>
      </c>
      <c r="M9" s="388">
        <v>616.50999999999988</v>
      </c>
      <c r="N9" s="25">
        <v>0.2676</v>
      </c>
      <c r="O9" s="24">
        <v>0</v>
      </c>
      <c r="P9" s="24">
        <v>0</v>
      </c>
      <c r="Q9" s="24">
        <v>0</v>
      </c>
      <c r="R9" s="22">
        <v>0</v>
      </c>
      <c r="S9" s="24">
        <v>0</v>
      </c>
      <c r="T9" s="24">
        <f t="shared" ref="T9:T72" si="3">S9+P9</f>
        <v>0</v>
      </c>
      <c r="U9" s="376">
        <v>164.98</v>
      </c>
      <c r="V9" s="376">
        <v>30.83</v>
      </c>
      <c r="W9" s="22">
        <f t="shared" ref="W9:W72" si="4">U9*N9</f>
        <v>44.148648000000001</v>
      </c>
      <c r="X9" s="22">
        <f t="shared" ref="X9:X72" si="5">Y9+Z9</f>
        <v>73</v>
      </c>
      <c r="Y9" s="22">
        <v>46</v>
      </c>
      <c r="Z9" s="22">
        <v>27</v>
      </c>
      <c r="AA9" s="371">
        <v>623.91999999999996</v>
      </c>
      <c r="AB9" s="22">
        <v>0.11700217976663675</v>
      </c>
      <c r="AC9" s="24">
        <v>0</v>
      </c>
      <c r="AD9" s="384">
        <v>0</v>
      </c>
    </row>
    <row r="10" spans="1:31">
      <c r="A10" s="21" t="s">
        <v>301</v>
      </c>
      <c r="B10" s="21" t="s">
        <v>302</v>
      </c>
      <c r="C10" s="23">
        <v>37.799999999999997</v>
      </c>
      <c r="D10" s="147">
        <v>0</v>
      </c>
      <c r="E10" s="22">
        <v>3.36</v>
      </c>
      <c r="F10" s="22">
        <v>3.36</v>
      </c>
      <c r="G10" s="22">
        <v>0</v>
      </c>
      <c r="H10" s="22">
        <v>0</v>
      </c>
      <c r="I10" s="22">
        <v>0</v>
      </c>
      <c r="J10" s="22">
        <v>0</v>
      </c>
      <c r="K10" s="22">
        <v>0</v>
      </c>
      <c r="L10" s="22">
        <v>0</v>
      </c>
      <c r="M10" s="388">
        <v>95.25</v>
      </c>
      <c r="N10" s="25">
        <v>0.37959999999999999</v>
      </c>
      <c r="O10" s="24">
        <v>0</v>
      </c>
      <c r="P10" s="24">
        <v>0</v>
      </c>
      <c r="Q10" s="24">
        <v>0</v>
      </c>
      <c r="R10" s="22">
        <v>0</v>
      </c>
      <c r="S10" s="24">
        <v>0</v>
      </c>
      <c r="T10" s="24">
        <f t="shared" si="3"/>
        <v>0</v>
      </c>
      <c r="U10" s="376">
        <v>36.159999999999997</v>
      </c>
      <c r="V10" s="376">
        <v>0</v>
      </c>
      <c r="W10" s="22">
        <f t="shared" si="4"/>
        <v>13.726335999999998</v>
      </c>
      <c r="X10" s="22">
        <f t="shared" si="5"/>
        <v>9</v>
      </c>
      <c r="Y10" s="22">
        <v>9</v>
      </c>
      <c r="Z10" s="22">
        <v>0</v>
      </c>
      <c r="AA10" s="371">
        <v>95.26</v>
      </c>
      <c r="AB10" s="22">
        <v>9.4478269997900474E-2</v>
      </c>
      <c r="AC10" s="24">
        <v>0</v>
      </c>
      <c r="AD10" s="384">
        <v>0</v>
      </c>
    </row>
    <row r="11" spans="1:31">
      <c r="A11" s="21" t="s">
        <v>407</v>
      </c>
      <c r="B11" s="21" t="s">
        <v>408</v>
      </c>
      <c r="C11" s="23">
        <v>730.43</v>
      </c>
      <c r="D11" s="147">
        <v>7.63</v>
      </c>
      <c r="E11" s="22">
        <v>111.21</v>
      </c>
      <c r="F11" s="22">
        <v>118.83999999999999</v>
      </c>
      <c r="G11" s="22">
        <v>0</v>
      </c>
      <c r="H11" s="22">
        <v>36.880000000000003</v>
      </c>
      <c r="I11" s="22">
        <v>1.78</v>
      </c>
      <c r="J11" s="22">
        <v>106.92</v>
      </c>
      <c r="K11" s="22">
        <v>5.4</v>
      </c>
      <c r="L11" s="22">
        <v>0.2</v>
      </c>
      <c r="M11" s="388">
        <v>2510.2800000000002</v>
      </c>
      <c r="N11" s="25">
        <v>0.28989999999999999</v>
      </c>
      <c r="O11" s="24">
        <v>57</v>
      </c>
      <c r="P11" s="24">
        <v>48</v>
      </c>
      <c r="Q11" s="24">
        <v>29.75</v>
      </c>
      <c r="R11" s="22">
        <v>18.25</v>
      </c>
      <c r="S11" s="24">
        <v>16</v>
      </c>
      <c r="T11" s="24">
        <f t="shared" si="3"/>
        <v>64</v>
      </c>
      <c r="U11" s="376">
        <v>727.23</v>
      </c>
      <c r="V11" s="376">
        <v>125.51</v>
      </c>
      <c r="W11" s="22">
        <f t="shared" si="4"/>
        <v>210.82397699999999</v>
      </c>
      <c r="X11" s="22">
        <f t="shared" si="5"/>
        <v>273.25</v>
      </c>
      <c r="Y11" s="22">
        <v>161.5</v>
      </c>
      <c r="Z11" s="22">
        <v>111.75</v>
      </c>
      <c r="AA11" s="371">
        <v>2534.66</v>
      </c>
      <c r="AB11" s="22">
        <v>0.1078053861267389</v>
      </c>
      <c r="AC11" s="24">
        <v>0</v>
      </c>
      <c r="AD11" s="384">
        <v>0</v>
      </c>
    </row>
    <row r="12" spans="1:31">
      <c r="A12" s="21" t="s">
        <v>431</v>
      </c>
      <c r="B12" s="21" t="s">
        <v>432</v>
      </c>
      <c r="C12" s="23">
        <v>1446.89</v>
      </c>
      <c r="D12" s="147">
        <v>31.07</v>
      </c>
      <c r="E12" s="22">
        <v>347.91</v>
      </c>
      <c r="F12" s="22">
        <v>378.98</v>
      </c>
      <c r="G12" s="22">
        <v>0</v>
      </c>
      <c r="H12" s="22">
        <v>69.209999999999994</v>
      </c>
      <c r="I12" s="22">
        <v>3.83</v>
      </c>
      <c r="J12" s="22">
        <v>216.67000000000002</v>
      </c>
      <c r="K12" s="22">
        <v>32.6</v>
      </c>
      <c r="L12" s="22">
        <v>0</v>
      </c>
      <c r="M12" s="388">
        <v>5354.920000000001</v>
      </c>
      <c r="N12" s="25">
        <v>0.32919999999999999</v>
      </c>
      <c r="O12" s="24">
        <v>0</v>
      </c>
      <c r="P12" s="24">
        <v>269.75</v>
      </c>
      <c r="Q12" s="24">
        <v>153.75</v>
      </c>
      <c r="R12" s="22">
        <v>116</v>
      </c>
      <c r="S12" s="24">
        <v>59.75</v>
      </c>
      <c r="T12" s="24">
        <f t="shared" si="3"/>
        <v>329.5</v>
      </c>
      <c r="U12" s="376">
        <v>1762.84</v>
      </c>
      <c r="V12" s="376">
        <v>267.75</v>
      </c>
      <c r="W12" s="22">
        <f t="shared" si="4"/>
        <v>580.32692799999995</v>
      </c>
      <c r="X12" s="22">
        <f t="shared" si="5"/>
        <v>784.25</v>
      </c>
      <c r="Y12" s="22">
        <v>474.25</v>
      </c>
      <c r="Z12" s="22">
        <v>310</v>
      </c>
      <c r="AA12" s="371">
        <v>5403.02</v>
      </c>
      <c r="AB12" s="22">
        <v>0.14515030482952127</v>
      </c>
      <c r="AC12" s="24">
        <v>1.0150304829521256E-2</v>
      </c>
      <c r="AD12" s="384">
        <v>-532582.76835567213</v>
      </c>
    </row>
    <row r="13" spans="1:31">
      <c r="A13" s="21" t="s">
        <v>15</v>
      </c>
      <c r="B13" s="21" t="s">
        <v>16</v>
      </c>
      <c r="C13" s="23">
        <v>210.4</v>
      </c>
      <c r="D13" s="147">
        <v>4.72</v>
      </c>
      <c r="E13" s="22">
        <v>44.03</v>
      </c>
      <c r="F13" s="22">
        <v>48.75</v>
      </c>
      <c r="G13" s="22">
        <v>0</v>
      </c>
      <c r="H13" s="22">
        <v>13.01</v>
      </c>
      <c r="I13" s="22">
        <v>0.75</v>
      </c>
      <c r="J13" s="22">
        <v>0</v>
      </c>
      <c r="K13" s="22">
        <v>0</v>
      </c>
      <c r="L13" s="22">
        <v>0</v>
      </c>
      <c r="M13" s="388">
        <v>607.07000000000005</v>
      </c>
      <c r="N13" s="25">
        <v>0.31240000000000001</v>
      </c>
      <c r="O13" s="24">
        <v>0</v>
      </c>
      <c r="P13" s="24">
        <v>0</v>
      </c>
      <c r="Q13" s="24">
        <v>0</v>
      </c>
      <c r="R13" s="22">
        <v>0</v>
      </c>
      <c r="S13" s="24">
        <v>0</v>
      </c>
      <c r="T13" s="24">
        <f t="shared" si="3"/>
        <v>0</v>
      </c>
      <c r="U13" s="376">
        <v>189.65</v>
      </c>
      <c r="V13" s="376">
        <v>30.35</v>
      </c>
      <c r="W13" s="22">
        <f t="shared" si="4"/>
        <v>59.246660000000006</v>
      </c>
      <c r="X13" s="22">
        <f t="shared" si="5"/>
        <v>83</v>
      </c>
      <c r="Y13" s="22">
        <v>45</v>
      </c>
      <c r="Z13" s="22">
        <v>38</v>
      </c>
      <c r="AA13" s="371">
        <v>607.07000000000005</v>
      </c>
      <c r="AB13" s="22">
        <v>0.13672228902762448</v>
      </c>
      <c r="AC13" s="24">
        <v>1.722289027624474E-3</v>
      </c>
      <c r="AD13" s="384">
        <v>-9267.444405796452</v>
      </c>
    </row>
    <row r="14" spans="1:31">
      <c r="A14" s="21" t="s">
        <v>205</v>
      </c>
      <c r="B14" s="21" t="s">
        <v>206</v>
      </c>
      <c r="C14" s="23">
        <v>4911.2299999999996</v>
      </c>
      <c r="D14" s="147">
        <v>216.88</v>
      </c>
      <c r="E14" s="22">
        <v>757.96</v>
      </c>
      <c r="F14" s="22">
        <v>974.84</v>
      </c>
      <c r="G14" s="22">
        <v>0</v>
      </c>
      <c r="H14" s="22">
        <v>391.45</v>
      </c>
      <c r="I14" s="22">
        <v>30.43</v>
      </c>
      <c r="J14" s="22">
        <v>59.2</v>
      </c>
      <c r="K14" s="22">
        <v>47.81</v>
      </c>
      <c r="L14" s="22">
        <v>5.36</v>
      </c>
      <c r="M14" s="388">
        <v>16785.930000000004</v>
      </c>
      <c r="N14" s="25">
        <v>0.56840000000000002</v>
      </c>
      <c r="O14" s="24">
        <v>11010</v>
      </c>
      <c r="P14" s="24">
        <v>4009.75</v>
      </c>
      <c r="Q14" s="24">
        <v>2679</v>
      </c>
      <c r="R14" s="22">
        <v>1330.75</v>
      </c>
      <c r="S14" s="24">
        <v>506.75</v>
      </c>
      <c r="T14" s="24">
        <f t="shared" si="3"/>
        <v>4516.5</v>
      </c>
      <c r="U14" s="376">
        <v>9539.44</v>
      </c>
      <c r="V14" s="376">
        <v>839.3</v>
      </c>
      <c r="W14" s="22">
        <f t="shared" si="4"/>
        <v>5422.2176960000006</v>
      </c>
      <c r="X14" s="22">
        <f t="shared" si="5"/>
        <v>1746.5</v>
      </c>
      <c r="Y14" s="22">
        <v>981.25</v>
      </c>
      <c r="Z14" s="22">
        <v>765.25</v>
      </c>
      <c r="AA14" s="371">
        <v>16806.63</v>
      </c>
      <c r="AB14" s="22">
        <v>0.10391732310403691</v>
      </c>
      <c r="AC14" s="24">
        <v>0</v>
      </c>
      <c r="AD14" s="384">
        <v>0</v>
      </c>
    </row>
    <row r="15" spans="1:31">
      <c r="A15" s="21" t="s">
        <v>229</v>
      </c>
      <c r="B15" s="21" t="s">
        <v>230</v>
      </c>
      <c r="C15" s="23">
        <v>869.8</v>
      </c>
      <c r="D15" s="147">
        <v>49.6</v>
      </c>
      <c r="E15" s="22">
        <v>275.68</v>
      </c>
      <c r="F15" s="22">
        <v>325.28000000000003</v>
      </c>
      <c r="G15" s="22">
        <v>0</v>
      </c>
      <c r="H15" s="22">
        <v>62.83</v>
      </c>
      <c r="I15" s="22">
        <v>1.67</v>
      </c>
      <c r="J15" s="22">
        <v>97.78</v>
      </c>
      <c r="K15" s="22">
        <v>0</v>
      </c>
      <c r="L15" s="22">
        <v>0</v>
      </c>
      <c r="M15" s="388">
        <v>3597.84</v>
      </c>
      <c r="N15" s="25">
        <v>6.9800000000000001E-2</v>
      </c>
      <c r="O15" s="24">
        <v>0</v>
      </c>
      <c r="P15" s="24">
        <v>38.75</v>
      </c>
      <c r="Q15" s="24">
        <v>22.25</v>
      </c>
      <c r="R15" s="22">
        <v>16.5</v>
      </c>
      <c r="S15" s="24">
        <v>8</v>
      </c>
      <c r="T15" s="24">
        <f t="shared" si="3"/>
        <v>46.75</v>
      </c>
      <c r="U15" s="376">
        <v>250.77</v>
      </c>
      <c r="V15" s="376">
        <v>179.89</v>
      </c>
      <c r="W15" s="22">
        <f t="shared" si="4"/>
        <v>17.503746</v>
      </c>
      <c r="X15" s="22">
        <f t="shared" si="5"/>
        <v>422</v>
      </c>
      <c r="Y15" s="22">
        <v>281.25</v>
      </c>
      <c r="Z15" s="22">
        <v>140.75</v>
      </c>
      <c r="AA15" s="371">
        <v>3605.32</v>
      </c>
      <c r="AB15" s="22">
        <v>0.11704924944249054</v>
      </c>
      <c r="AC15" s="24">
        <v>0</v>
      </c>
      <c r="AD15" s="384">
        <v>0</v>
      </c>
    </row>
    <row r="16" spans="1:31">
      <c r="A16" s="21" t="s">
        <v>69</v>
      </c>
      <c r="B16" s="21" t="s">
        <v>70</v>
      </c>
      <c r="C16" s="23">
        <v>2923.92</v>
      </c>
      <c r="D16" s="147">
        <v>73.3</v>
      </c>
      <c r="E16" s="22">
        <v>889.14</v>
      </c>
      <c r="F16" s="22">
        <v>962.43999999999994</v>
      </c>
      <c r="G16" s="22">
        <v>0</v>
      </c>
      <c r="H16" s="22">
        <v>298.83999999999997</v>
      </c>
      <c r="I16" s="22">
        <v>5.32</v>
      </c>
      <c r="J16" s="22">
        <v>1622.42</v>
      </c>
      <c r="K16" s="22">
        <v>16.8</v>
      </c>
      <c r="L16" s="22">
        <v>0</v>
      </c>
      <c r="M16" s="388">
        <v>11744.859999999999</v>
      </c>
      <c r="N16" s="25">
        <v>0.34350000000000003</v>
      </c>
      <c r="O16" s="24">
        <v>0</v>
      </c>
      <c r="P16" s="24">
        <v>732.75</v>
      </c>
      <c r="Q16" s="24">
        <v>471</v>
      </c>
      <c r="R16" s="22">
        <v>261.75</v>
      </c>
      <c r="S16" s="24">
        <v>184.75</v>
      </c>
      <c r="T16" s="24">
        <f t="shared" si="3"/>
        <v>917.5</v>
      </c>
      <c r="U16" s="376">
        <v>4039.06</v>
      </c>
      <c r="V16" s="376">
        <v>587.24</v>
      </c>
      <c r="W16" s="22">
        <f t="shared" si="4"/>
        <v>1387.4171100000001</v>
      </c>
      <c r="X16" s="22">
        <f t="shared" si="5"/>
        <v>1568.5</v>
      </c>
      <c r="Y16" s="22">
        <v>1021.25</v>
      </c>
      <c r="Z16" s="22">
        <v>547.25</v>
      </c>
      <c r="AA16" s="371">
        <v>11855.88</v>
      </c>
      <c r="AB16" s="22">
        <v>0.13229722298133922</v>
      </c>
      <c r="AC16" s="24">
        <v>0</v>
      </c>
      <c r="AD16" s="384">
        <v>0</v>
      </c>
    </row>
    <row r="17" spans="1:30">
      <c r="A17" s="21" t="s">
        <v>199</v>
      </c>
      <c r="B17" s="21" t="s">
        <v>200</v>
      </c>
      <c r="C17" s="23">
        <v>4768.1400000000003</v>
      </c>
      <c r="D17" s="147">
        <v>248.93</v>
      </c>
      <c r="E17" s="22">
        <v>765.04</v>
      </c>
      <c r="F17" s="22">
        <v>1013.97</v>
      </c>
      <c r="G17" s="22">
        <v>0</v>
      </c>
      <c r="H17" s="22">
        <v>395.6</v>
      </c>
      <c r="I17" s="22">
        <v>44.31</v>
      </c>
      <c r="J17" s="22">
        <v>563.48</v>
      </c>
      <c r="K17" s="22">
        <v>29</v>
      </c>
      <c r="L17" s="22">
        <v>0</v>
      </c>
      <c r="M17" s="388">
        <v>18956.59</v>
      </c>
      <c r="N17" s="25">
        <v>0.1741</v>
      </c>
      <c r="O17" s="24">
        <v>434</v>
      </c>
      <c r="P17" s="24">
        <v>2968</v>
      </c>
      <c r="Q17" s="24">
        <v>2086</v>
      </c>
      <c r="R17" s="22">
        <v>882</v>
      </c>
      <c r="S17" s="24">
        <v>914</v>
      </c>
      <c r="T17" s="24">
        <f t="shared" si="3"/>
        <v>3882</v>
      </c>
      <c r="U17" s="376">
        <v>3300.34</v>
      </c>
      <c r="V17" s="376">
        <v>947.83</v>
      </c>
      <c r="W17" s="22">
        <f t="shared" si="4"/>
        <v>574.58919400000002</v>
      </c>
      <c r="X17" s="22">
        <f t="shared" si="5"/>
        <v>1605.5</v>
      </c>
      <c r="Y17" s="22">
        <v>1069.5</v>
      </c>
      <c r="Z17" s="22">
        <v>536</v>
      </c>
      <c r="AA17" s="371">
        <v>19094.22</v>
      </c>
      <c r="AB17" s="22">
        <v>8.4083036646692033E-2</v>
      </c>
      <c r="AC17" s="24">
        <v>0</v>
      </c>
      <c r="AD17" s="384">
        <v>0</v>
      </c>
    </row>
    <row r="18" spans="1:30">
      <c r="A18" s="21" t="s">
        <v>539</v>
      </c>
      <c r="B18" s="21" t="s">
        <v>540</v>
      </c>
      <c r="C18" s="23">
        <v>3066.34</v>
      </c>
      <c r="D18" s="147">
        <v>102.15</v>
      </c>
      <c r="E18" s="22">
        <v>661.27</v>
      </c>
      <c r="F18" s="22">
        <v>763.42</v>
      </c>
      <c r="G18" s="22">
        <v>0</v>
      </c>
      <c r="H18" s="22">
        <v>275.64999999999998</v>
      </c>
      <c r="I18" s="22">
        <v>26.74</v>
      </c>
      <c r="J18" s="22">
        <v>478.03</v>
      </c>
      <c r="K18" s="22">
        <v>67.75</v>
      </c>
      <c r="L18" s="22">
        <v>4.45</v>
      </c>
      <c r="M18" s="388">
        <v>11238.42</v>
      </c>
      <c r="N18" s="25">
        <v>0.38069999999999998</v>
      </c>
      <c r="O18" s="24">
        <v>1610</v>
      </c>
      <c r="P18" s="24">
        <v>769</v>
      </c>
      <c r="Q18" s="24">
        <v>476.25</v>
      </c>
      <c r="R18" s="22">
        <v>292.75</v>
      </c>
      <c r="S18" s="24">
        <v>127.75</v>
      </c>
      <c r="T18" s="24">
        <f t="shared" si="3"/>
        <v>896.75</v>
      </c>
      <c r="U18" s="376">
        <v>4278.47</v>
      </c>
      <c r="V18" s="376">
        <v>561.91999999999996</v>
      </c>
      <c r="W18" s="22">
        <f t="shared" si="4"/>
        <v>1628.813529</v>
      </c>
      <c r="X18" s="22">
        <f t="shared" si="5"/>
        <v>1627</v>
      </c>
      <c r="Y18" s="22">
        <v>1215.75</v>
      </c>
      <c r="Z18" s="22">
        <v>411.25</v>
      </c>
      <c r="AA18" s="371">
        <v>11260.28</v>
      </c>
      <c r="AB18" s="22">
        <v>0.14449019029722174</v>
      </c>
      <c r="AC18" s="24">
        <v>9.4901902972217289E-3</v>
      </c>
      <c r="AD18" s="384">
        <v>-1000076.2100095166</v>
      </c>
    </row>
    <row r="19" spans="1:30">
      <c r="A19" s="21" t="s">
        <v>5</v>
      </c>
      <c r="B19" s="21" t="s">
        <v>6</v>
      </c>
      <c r="C19" s="23">
        <v>9.8000000000000007</v>
      </c>
      <c r="D19" s="147">
        <v>0</v>
      </c>
      <c r="E19" s="22">
        <v>0</v>
      </c>
      <c r="F19" s="22">
        <v>0</v>
      </c>
      <c r="G19" s="22">
        <v>0</v>
      </c>
      <c r="H19" s="22">
        <v>0</v>
      </c>
      <c r="I19" s="22">
        <v>0</v>
      </c>
      <c r="J19" s="22">
        <v>0</v>
      </c>
      <c r="K19" s="22">
        <v>0</v>
      </c>
      <c r="L19" s="22">
        <v>0</v>
      </c>
      <c r="M19" s="388">
        <v>11.8</v>
      </c>
      <c r="N19" s="25">
        <v>0.21429999999999999</v>
      </c>
      <c r="O19" s="24">
        <v>0</v>
      </c>
      <c r="P19" s="24">
        <v>0</v>
      </c>
      <c r="Q19" s="24">
        <v>0</v>
      </c>
      <c r="R19" s="22">
        <v>0</v>
      </c>
      <c r="S19" s="24">
        <v>0</v>
      </c>
      <c r="T19" s="24">
        <f t="shared" si="3"/>
        <v>0</v>
      </c>
      <c r="U19" s="376">
        <v>0</v>
      </c>
      <c r="V19" s="376">
        <v>0.59</v>
      </c>
      <c r="W19" s="22">
        <f t="shared" si="4"/>
        <v>0</v>
      </c>
      <c r="X19" s="22">
        <f t="shared" si="5"/>
        <v>0</v>
      </c>
      <c r="Y19" s="22">
        <v>0</v>
      </c>
      <c r="Z19" s="22">
        <v>0</v>
      </c>
      <c r="AA19" s="371">
        <v>11.8</v>
      </c>
      <c r="AB19" s="22">
        <v>0</v>
      </c>
      <c r="AC19" s="24">
        <v>0</v>
      </c>
      <c r="AD19" s="384">
        <v>0</v>
      </c>
    </row>
    <row r="20" spans="1:30">
      <c r="A20" s="21" t="s">
        <v>383</v>
      </c>
      <c r="B20" s="21" t="s">
        <v>384</v>
      </c>
      <c r="C20" s="23">
        <v>5837.54</v>
      </c>
      <c r="D20" s="147">
        <v>259.69</v>
      </c>
      <c r="E20" s="22">
        <v>1014.88</v>
      </c>
      <c r="F20" s="22">
        <v>1274.57</v>
      </c>
      <c r="G20" s="22">
        <v>263.58999999999997</v>
      </c>
      <c r="H20" s="22">
        <v>283.07</v>
      </c>
      <c r="I20" s="22">
        <v>18.350000000000001</v>
      </c>
      <c r="J20" s="22">
        <v>1124.47</v>
      </c>
      <c r="K20" s="22">
        <v>231.6</v>
      </c>
      <c r="L20" s="22">
        <v>0</v>
      </c>
      <c r="M20" s="388">
        <v>20151.559999999998</v>
      </c>
      <c r="N20" s="25">
        <v>0.49569999999999997</v>
      </c>
      <c r="O20" s="24">
        <v>10200</v>
      </c>
      <c r="P20" s="24">
        <v>1233.5</v>
      </c>
      <c r="Q20" s="24">
        <v>791.75</v>
      </c>
      <c r="R20" s="22">
        <v>441.75</v>
      </c>
      <c r="S20" s="24">
        <v>208.75</v>
      </c>
      <c r="T20" s="24">
        <f t="shared" si="3"/>
        <v>1442.25</v>
      </c>
      <c r="U20" s="376">
        <v>9989.1299999999992</v>
      </c>
      <c r="V20" s="376">
        <v>1007.58</v>
      </c>
      <c r="W20" s="22">
        <f t="shared" si="4"/>
        <v>4951.6117409999997</v>
      </c>
      <c r="X20" s="22">
        <f t="shared" si="5"/>
        <v>2577.75</v>
      </c>
      <c r="Y20" s="22">
        <v>1412</v>
      </c>
      <c r="Z20" s="22">
        <v>1165.75</v>
      </c>
      <c r="AA20" s="371">
        <v>20090.669999999998</v>
      </c>
      <c r="AB20" s="22">
        <v>0.12830582553991482</v>
      </c>
      <c r="AC20" s="24">
        <v>0</v>
      </c>
      <c r="AD20" s="384">
        <v>0</v>
      </c>
    </row>
    <row r="21" spans="1:30">
      <c r="A21" s="21" t="s">
        <v>253</v>
      </c>
      <c r="B21" s="21" t="s">
        <v>254</v>
      </c>
      <c r="C21" s="23">
        <v>32.799999999999997</v>
      </c>
      <c r="D21" s="147">
        <v>0</v>
      </c>
      <c r="E21" s="22">
        <v>0</v>
      </c>
      <c r="F21" s="22">
        <v>0</v>
      </c>
      <c r="G21" s="22">
        <v>0</v>
      </c>
      <c r="H21" s="22">
        <v>0</v>
      </c>
      <c r="I21" s="22">
        <v>0</v>
      </c>
      <c r="J21" s="22">
        <v>0</v>
      </c>
      <c r="K21" s="22">
        <v>0</v>
      </c>
      <c r="L21" s="22">
        <v>0</v>
      </c>
      <c r="M21" s="388">
        <v>113.39999999999999</v>
      </c>
      <c r="N21" s="25">
        <v>0.47370000000000001</v>
      </c>
      <c r="O21" s="24">
        <v>0</v>
      </c>
      <c r="P21" s="24">
        <v>0</v>
      </c>
      <c r="Q21" s="24">
        <v>0</v>
      </c>
      <c r="R21" s="22">
        <v>0</v>
      </c>
      <c r="S21" s="24">
        <v>0</v>
      </c>
      <c r="T21" s="24">
        <f t="shared" si="3"/>
        <v>0</v>
      </c>
      <c r="U21" s="376">
        <v>0</v>
      </c>
      <c r="V21" s="376">
        <v>5.67</v>
      </c>
      <c r="W21" s="22">
        <f t="shared" si="4"/>
        <v>0</v>
      </c>
      <c r="X21" s="22">
        <f t="shared" si="5"/>
        <v>19.5</v>
      </c>
      <c r="Y21" s="22">
        <v>12.5</v>
      </c>
      <c r="Z21" s="22">
        <v>7</v>
      </c>
      <c r="AA21" s="371">
        <v>113.4</v>
      </c>
      <c r="AB21" s="22">
        <v>0.17195767195767195</v>
      </c>
      <c r="AC21" s="24">
        <v>3.6957671957671939E-2</v>
      </c>
      <c r="AD21" s="384">
        <v>-36622.88457977301</v>
      </c>
    </row>
    <row r="22" spans="1:30">
      <c r="A22" s="21" t="s">
        <v>543</v>
      </c>
      <c r="B22" s="21" t="s">
        <v>544</v>
      </c>
      <c r="C22" s="23">
        <v>620.97</v>
      </c>
      <c r="D22" s="147">
        <v>16.88</v>
      </c>
      <c r="E22" s="22">
        <v>110.88</v>
      </c>
      <c r="F22" s="22">
        <v>127.75999999999999</v>
      </c>
      <c r="G22" s="22">
        <v>0</v>
      </c>
      <c r="H22" s="22">
        <v>44.16</v>
      </c>
      <c r="I22" s="22">
        <v>5.46</v>
      </c>
      <c r="J22" s="22">
        <v>76.55</v>
      </c>
      <c r="K22" s="22">
        <v>14.49</v>
      </c>
      <c r="L22" s="22">
        <v>0.31</v>
      </c>
      <c r="M22" s="388">
        <v>2105</v>
      </c>
      <c r="N22" s="25">
        <v>0.46639999999999998</v>
      </c>
      <c r="O22" s="24">
        <v>503</v>
      </c>
      <c r="P22" s="24">
        <v>90</v>
      </c>
      <c r="Q22" s="24">
        <v>68.5</v>
      </c>
      <c r="R22" s="22">
        <v>21.5</v>
      </c>
      <c r="S22" s="24">
        <v>17.25</v>
      </c>
      <c r="T22" s="24">
        <f t="shared" si="3"/>
        <v>107.25</v>
      </c>
      <c r="U22" s="376">
        <v>981.77</v>
      </c>
      <c r="V22" s="376">
        <v>105.25</v>
      </c>
      <c r="W22" s="22">
        <f t="shared" si="4"/>
        <v>457.89752799999997</v>
      </c>
      <c r="X22" s="22">
        <f t="shared" si="5"/>
        <v>293.25</v>
      </c>
      <c r="Y22" s="22">
        <v>236</v>
      </c>
      <c r="Z22" s="22">
        <v>57.25</v>
      </c>
      <c r="AA22" s="371">
        <v>2107.79</v>
      </c>
      <c r="AB22" s="22">
        <v>0.13912676310258612</v>
      </c>
      <c r="AC22" s="24">
        <v>4.1267631025861118E-3</v>
      </c>
      <c r="AD22" s="384">
        <v>-84657.010845258934</v>
      </c>
    </row>
    <row r="23" spans="1:30">
      <c r="A23" s="21" t="s">
        <v>283</v>
      </c>
      <c r="B23" s="21" t="s">
        <v>284</v>
      </c>
      <c r="C23" s="23">
        <v>29.8</v>
      </c>
      <c r="D23" s="147">
        <v>0</v>
      </c>
      <c r="E23" s="22">
        <v>0</v>
      </c>
      <c r="F23" s="22">
        <v>0</v>
      </c>
      <c r="G23" s="22">
        <v>0</v>
      </c>
      <c r="H23" s="22">
        <v>0</v>
      </c>
      <c r="I23" s="22">
        <v>0</v>
      </c>
      <c r="J23" s="22">
        <v>0</v>
      </c>
      <c r="K23" s="22">
        <v>0</v>
      </c>
      <c r="L23" s="22">
        <v>0</v>
      </c>
      <c r="M23" s="388">
        <v>85.68</v>
      </c>
      <c r="N23" s="25">
        <v>0.52580000000000005</v>
      </c>
      <c r="O23" s="24">
        <v>88</v>
      </c>
      <c r="P23" s="24">
        <v>7</v>
      </c>
      <c r="Q23" s="24">
        <v>5</v>
      </c>
      <c r="R23" s="22">
        <v>2</v>
      </c>
      <c r="S23" s="24">
        <v>1</v>
      </c>
      <c r="T23" s="24">
        <f t="shared" si="3"/>
        <v>8</v>
      </c>
      <c r="U23" s="376">
        <v>45.05</v>
      </c>
      <c r="V23" s="376">
        <v>0</v>
      </c>
      <c r="W23" s="22">
        <f t="shared" si="4"/>
        <v>23.687290000000001</v>
      </c>
      <c r="X23" s="22">
        <f t="shared" si="5"/>
        <v>19.75</v>
      </c>
      <c r="Y23" s="22">
        <v>14.75</v>
      </c>
      <c r="Z23" s="22">
        <v>5</v>
      </c>
      <c r="AA23" s="371">
        <v>85.68</v>
      </c>
      <c r="AB23" s="22">
        <v>0.23050887021475255</v>
      </c>
      <c r="AC23" s="24">
        <v>9.5508870214752545E-2</v>
      </c>
      <c r="AD23" s="384">
        <v>-71747.618385123773</v>
      </c>
    </row>
    <row r="24" spans="1:30">
      <c r="A24" s="21" t="s">
        <v>227</v>
      </c>
      <c r="B24" s="21" t="s">
        <v>228</v>
      </c>
      <c r="C24" s="23">
        <v>1384.77</v>
      </c>
      <c r="D24" s="147">
        <v>85.98</v>
      </c>
      <c r="E24" s="22">
        <v>323.31</v>
      </c>
      <c r="F24" s="22">
        <v>409.29</v>
      </c>
      <c r="G24" s="22">
        <v>257.43</v>
      </c>
      <c r="H24" s="22">
        <v>39.36</v>
      </c>
      <c r="I24" s="22">
        <v>2.67</v>
      </c>
      <c r="J24" s="22">
        <v>311.09000000000003</v>
      </c>
      <c r="K24" s="22">
        <v>31.2</v>
      </c>
      <c r="L24" s="22">
        <v>0</v>
      </c>
      <c r="M24" s="388">
        <v>4560.8900000000003</v>
      </c>
      <c r="N24" s="25">
        <v>0.64629999999999999</v>
      </c>
      <c r="O24" s="24">
        <v>3890</v>
      </c>
      <c r="P24" s="24">
        <v>454</v>
      </c>
      <c r="Q24" s="24">
        <v>319.5</v>
      </c>
      <c r="R24" s="22">
        <v>134.5</v>
      </c>
      <c r="S24" s="24">
        <v>39.25</v>
      </c>
      <c r="T24" s="24">
        <f t="shared" si="3"/>
        <v>493.25</v>
      </c>
      <c r="U24" s="376">
        <v>2951.35</v>
      </c>
      <c r="V24" s="376">
        <v>228.04</v>
      </c>
      <c r="W24" s="22">
        <f t="shared" si="4"/>
        <v>1907.4575049999999</v>
      </c>
      <c r="X24" s="22">
        <f t="shared" si="5"/>
        <v>636.25</v>
      </c>
      <c r="Y24" s="22">
        <v>410.75</v>
      </c>
      <c r="Z24" s="22">
        <v>225.5</v>
      </c>
      <c r="AA24" s="371">
        <v>4387.3900000000003</v>
      </c>
      <c r="AB24" s="22">
        <v>0.14501788079017364</v>
      </c>
      <c r="AC24" s="24">
        <v>1.0017880790173628E-2</v>
      </c>
      <c r="AD24" s="384">
        <v>-437303.833323028</v>
      </c>
    </row>
    <row r="25" spans="1:30">
      <c r="A25" s="21" t="s">
        <v>333</v>
      </c>
      <c r="B25" s="21" t="s">
        <v>334</v>
      </c>
      <c r="C25" s="23">
        <v>290.8</v>
      </c>
      <c r="D25" s="147">
        <v>0</v>
      </c>
      <c r="E25" s="22">
        <v>91.65</v>
      </c>
      <c r="F25" s="22">
        <v>91.65</v>
      </c>
      <c r="G25" s="22">
        <v>0</v>
      </c>
      <c r="H25" s="22">
        <v>13.47</v>
      </c>
      <c r="I25" s="22">
        <v>0.97</v>
      </c>
      <c r="J25" s="22">
        <v>10.02</v>
      </c>
      <c r="K25" s="22">
        <v>0</v>
      </c>
      <c r="L25" s="22">
        <v>0</v>
      </c>
      <c r="M25" s="388">
        <v>980.34000000000015</v>
      </c>
      <c r="N25" s="25">
        <v>0.94989999999999997</v>
      </c>
      <c r="O25" s="24">
        <v>961</v>
      </c>
      <c r="P25" s="24">
        <v>324.75</v>
      </c>
      <c r="Q25" s="24">
        <v>219</v>
      </c>
      <c r="R25" s="22">
        <v>105.75</v>
      </c>
      <c r="S25" s="24">
        <v>95.75</v>
      </c>
      <c r="T25" s="24">
        <f t="shared" si="3"/>
        <v>420.5</v>
      </c>
      <c r="U25" s="376">
        <v>931.22</v>
      </c>
      <c r="V25" s="376">
        <v>49.02</v>
      </c>
      <c r="W25" s="22">
        <f t="shared" si="4"/>
        <v>884.565878</v>
      </c>
      <c r="X25" s="22">
        <f t="shared" si="5"/>
        <v>97.75</v>
      </c>
      <c r="Y25" s="22">
        <v>73.75</v>
      </c>
      <c r="Z25" s="22">
        <v>24</v>
      </c>
      <c r="AA25" s="371">
        <v>980.34</v>
      </c>
      <c r="AB25" s="22">
        <v>9.9710304588204096E-2</v>
      </c>
      <c r="AC25" s="24">
        <v>0</v>
      </c>
      <c r="AD25" s="384">
        <v>0</v>
      </c>
    </row>
    <row r="26" spans="1:30">
      <c r="A26" s="21" t="s">
        <v>91</v>
      </c>
      <c r="B26" s="21" t="s">
        <v>92</v>
      </c>
      <c r="C26" s="23">
        <v>207</v>
      </c>
      <c r="D26" s="147">
        <v>0</v>
      </c>
      <c r="E26" s="22">
        <v>28.14</v>
      </c>
      <c r="F26" s="22">
        <v>28.14</v>
      </c>
      <c r="G26" s="22">
        <v>0</v>
      </c>
      <c r="H26" s="22">
        <v>0</v>
      </c>
      <c r="I26" s="22">
        <v>0</v>
      </c>
      <c r="J26" s="22">
        <v>27.8</v>
      </c>
      <c r="K26" s="22">
        <v>0</v>
      </c>
      <c r="L26" s="22">
        <v>0</v>
      </c>
      <c r="M26" s="388">
        <v>745.77</v>
      </c>
      <c r="N26" s="25">
        <v>0.95469999999999999</v>
      </c>
      <c r="O26" s="24">
        <v>751</v>
      </c>
      <c r="P26" s="24">
        <v>352.5</v>
      </c>
      <c r="Q26" s="24">
        <v>215.25</v>
      </c>
      <c r="R26" s="22">
        <v>137.25</v>
      </c>
      <c r="S26" s="24">
        <v>34</v>
      </c>
      <c r="T26" s="24">
        <f t="shared" si="3"/>
        <v>386.5</v>
      </c>
      <c r="U26" s="376">
        <v>711.99</v>
      </c>
      <c r="V26" s="376">
        <v>37.29</v>
      </c>
      <c r="W26" s="22">
        <f t="shared" si="4"/>
        <v>679.736853</v>
      </c>
      <c r="X26" s="22">
        <f t="shared" si="5"/>
        <v>66.25</v>
      </c>
      <c r="Y26" s="22">
        <v>50.5</v>
      </c>
      <c r="Z26" s="22">
        <v>15.75</v>
      </c>
      <c r="AA26" s="371">
        <v>745.77</v>
      </c>
      <c r="AB26" s="22">
        <v>8.8834359118763154E-2</v>
      </c>
      <c r="AC26" s="24">
        <v>0</v>
      </c>
      <c r="AD26" s="384">
        <v>0</v>
      </c>
    </row>
    <row r="27" spans="1:30">
      <c r="A27" s="21" t="s">
        <v>175</v>
      </c>
      <c r="B27" s="21" t="s">
        <v>176</v>
      </c>
      <c r="C27" s="23">
        <v>29.2</v>
      </c>
      <c r="D27" s="147">
        <v>0</v>
      </c>
      <c r="E27" s="22">
        <v>0</v>
      </c>
      <c r="F27" s="22">
        <v>0</v>
      </c>
      <c r="G27" s="22">
        <v>0</v>
      </c>
      <c r="H27" s="22">
        <v>0</v>
      </c>
      <c r="I27" s="22">
        <v>0</v>
      </c>
      <c r="J27" s="22">
        <v>0.4</v>
      </c>
      <c r="K27" s="22">
        <v>0</v>
      </c>
      <c r="L27" s="22">
        <v>0</v>
      </c>
      <c r="M27" s="388">
        <v>72.800000000000011</v>
      </c>
      <c r="N27" s="25">
        <v>0.78210000000000002</v>
      </c>
      <c r="O27" s="24">
        <v>72</v>
      </c>
      <c r="P27" s="24">
        <v>0.5</v>
      </c>
      <c r="Q27" s="24">
        <v>0.5</v>
      </c>
      <c r="R27" s="22">
        <v>0</v>
      </c>
      <c r="S27" s="24">
        <v>0</v>
      </c>
      <c r="T27" s="24">
        <f t="shared" si="3"/>
        <v>0.5</v>
      </c>
      <c r="U27" s="376">
        <v>56.94</v>
      </c>
      <c r="V27" s="376">
        <v>3.64</v>
      </c>
      <c r="W27" s="22">
        <f t="shared" si="4"/>
        <v>44.532773999999996</v>
      </c>
      <c r="X27" s="22">
        <f t="shared" si="5"/>
        <v>7</v>
      </c>
      <c r="Y27" s="22">
        <v>0</v>
      </c>
      <c r="Z27" s="22">
        <v>7</v>
      </c>
      <c r="AA27" s="371">
        <v>72.8</v>
      </c>
      <c r="AB27" s="22">
        <v>9.6153846153846159E-2</v>
      </c>
      <c r="AC27" s="24">
        <v>0</v>
      </c>
      <c r="AD27" s="384">
        <v>0</v>
      </c>
    </row>
    <row r="28" spans="1:30">
      <c r="A28" s="21" t="s">
        <v>403</v>
      </c>
      <c r="B28" s="21" t="s">
        <v>404</v>
      </c>
      <c r="C28" s="23">
        <v>885.95</v>
      </c>
      <c r="D28" s="147">
        <v>81.25</v>
      </c>
      <c r="E28" s="22">
        <v>316.22000000000003</v>
      </c>
      <c r="F28" s="22">
        <v>397.47</v>
      </c>
      <c r="G28" s="22">
        <v>0</v>
      </c>
      <c r="H28" s="22">
        <v>51.27</v>
      </c>
      <c r="I28" s="22">
        <v>4.2</v>
      </c>
      <c r="J28" s="22">
        <v>21.84</v>
      </c>
      <c r="K28" s="22">
        <v>10</v>
      </c>
      <c r="L28" s="22">
        <v>0.2</v>
      </c>
      <c r="M28" s="388">
        <v>3274.7400000000002</v>
      </c>
      <c r="N28" s="25">
        <v>0.54559999999999997</v>
      </c>
      <c r="O28" s="24">
        <v>1391</v>
      </c>
      <c r="P28" s="24">
        <v>734.75</v>
      </c>
      <c r="Q28" s="24">
        <v>424</v>
      </c>
      <c r="R28" s="22">
        <v>310.75</v>
      </c>
      <c r="S28" s="24">
        <v>73.75</v>
      </c>
      <c r="T28" s="24">
        <f t="shared" si="3"/>
        <v>808.5</v>
      </c>
      <c r="U28" s="376">
        <v>1787.03</v>
      </c>
      <c r="V28" s="376">
        <v>163.74</v>
      </c>
      <c r="W28" s="22">
        <f t="shared" si="4"/>
        <v>975.00356799999997</v>
      </c>
      <c r="X28" s="22">
        <f t="shared" si="5"/>
        <v>487.25</v>
      </c>
      <c r="Y28" s="22">
        <v>350.25</v>
      </c>
      <c r="Z28" s="22">
        <v>137</v>
      </c>
      <c r="AA28" s="371">
        <v>3306.02</v>
      </c>
      <c r="AB28" s="22">
        <v>0.14738265346247148</v>
      </c>
      <c r="AC28" s="24">
        <v>1.2382653462471471E-2</v>
      </c>
      <c r="AD28" s="384">
        <v>-397700.50788328145</v>
      </c>
    </row>
    <row r="29" spans="1:30">
      <c r="A29" s="21" t="s">
        <v>67</v>
      </c>
      <c r="B29" s="21" t="s">
        <v>68</v>
      </c>
      <c r="C29" s="23">
        <v>1838.24</v>
      </c>
      <c r="D29" s="147">
        <v>34.78</v>
      </c>
      <c r="E29" s="22">
        <v>396.16</v>
      </c>
      <c r="F29" s="22">
        <v>430.94000000000005</v>
      </c>
      <c r="G29" s="22">
        <v>0</v>
      </c>
      <c r="H29" s="22">
        <v>170.96</v>
      </c>
      <c r="I29" s="22">
        <v>1.91</v>
      </c>
      <c r="J29" s="22">
        <v>120.72</v>
      </c>
      <c r="K29" s="22">
        <v>6.6</v>
      </c>
      <c r="L29" s="22">
        <v>0</v>
      </c>
      <c r="M29" s="388">
        <v>7039.41</v>
      </c>
      <c r="N29" s="25">
        <v>0.15210000000000001</v>
      </c>
      <c r="O29" s="24">
        <v>0</v>
      </c>
      <c r="P29" s="24">
        <v>187.75</v>
      </c>
      <c r="Q29" s="24">
        <v>139.75</v>
      </c>
      <c r="R29" s="22">
        <v>48</v>
      </c>
      <c r="S29" s="24">
        <v>116.5</v>
      </c>
      <c r="T29" s="24">
        <f t="shared" si="3"/>
        <v>304.25</v>
      </c>
      <c r="U29" s="376">
        <v>1069.99</v>
      </c>
      <c r="V29" s="376">
        <v>351.97</v>
      </c>
      <c r="W29" s="22">
        <f t="shared" si="4"/>
        <v>162.74547900000002</v>
      </c>
      <c r="X29" s="22">
        <f t="shared" si="5"/>
        <v>732.5</v>
      </c>
      <c r="Y29" s="22">
        <v>541.25</v>
      </c>
      <c r="Z29" s="22">
        <v>191.25</v>
      </c>
      <c r="AA29" s="371">
        <v>7095.41</v>
      </c>
      <c r="AB29" s="22">
        <v>0.10323575381831353</v>
      </c>
      <c r="AC29" s="24">
        <v>0</v>
      </c>
      <c r="AD29" s="384">
        <v>0</v>
      </c>
    </row>
    <row r="30" spans="1:30">
      <c r="A30" s="21" t="s">
        <v>49</v>
      </c>
      <c r="B30" s="21" t="s">
        <v>50</v>
      </c>
      <c r="C30" s="23">
        <v>160.79</v>
      </c>
      <c r="D30" s="147">
        <v>0</v>
      </c>
      <c r="E30" s="22">
        <v>7.62</v>
      </c>
      <c r="F30" s="22">
        <v>7.62</v>
      </c>
      <c r="G30" s="22">
        <v>0</v>
      </c>
      <c r="H30" s="22">
        <v>9.5</v>
      </c>
      <c r="I30" s="22">
        <v>0.74</v>
      </c>
      <c r="J30" s="22">
        <v>1.96</v>
      </c>
      <c r="K30" s="22">
        <v>0</v>
      </c>
      <c r="L30" s="22">
        <v>0</v>
      </c>
      <c r="M30" s="388">
        <v>483.21</v>
      </c>
      <c r="N30" s="25">
        <v>0.72089999999999999</v>
      </c>
      <c r="O30" s="24">
        <v>496</v>
      </c>
      <c r="P30" s="24">
        <v>0</v>
      </c>
      <c r="Q30" s="24">
        <v>0</v>
      </c>
      <c r="R30" s="22">
        <v>0</v>
      </c>
      <c r="S30" s="24">
        <v>0</v>
      </c>
      <c r="T30" s="24">
        <f t="shared" si="3"/>
        <v>0</v>
      </c>
      <c r="U30" s="376">
        <v>348.35</v>
      </c>
      <c r="V30" s="376">
        <v>0</v>
      </c>
      <c r="W30" s="22">
        <f t="shared" si="4"/>
        <v>251.12551500000001</v>
      </c>
      <c r="X30" s="22">
        <f t="shared" si="5"/>
        <v>72</v>
      </c>
      <c r="Y30" s="22">
        <v>52</v>
      </c>
      <c r="Z30" s="22">
        <v>20</v>
      </c>
      <c r="AA30" s="371">
        <v>483.21</v>
      </c>
      <c r="AB30" s="22">
        <v>0.14900353883404732</v>
      </c>
      <c r="AC30" s="24">
        <v>1.4003538834047313E-2</v>
      </c>
      <c r="AD30" s="384">
        <v>-59801.55585500053</v>
      </c>
    </row>
    <row r="31" spans="1:30">
      <c r="A31" s="21" t="s">
        <v>367</v>
      </c>
      <c r="B31" s="21" t="s">
        <v>368</v>
      </c>
      <c r="C31" s="23">
        <v>78.2</v>
      </c>
      <c r="D31" s="147">
        <v>0</v>
      </c>
      <c r="E31" s="22">
        <v>0</v>
      </c>
      <c r="F31" s="22">
        <v>0</v>
      </c>
      <c r="G31" s="22">
        <v>0</v>
      </c>
      <c r="H31" s="22">
        <v>0</v>
      </c>
      <c r="I31" s="22">
        <v>0</v>
      </c>
      <c r="J31" s="22">
        <v>0</v>
      </c>
      <c r="K31" s="22">
        <v>0</v>
      </c>
      <c r="L31" s="22">
        <v>0</v>
      </c>
      <c r="M31" s="388">
        <v>177.76000000000002</v>
      </c>
      <c r="N31" s="25">
        <v>0.3034</v>
      </c>
      <c r="O31" s="24">
        <v>0</v>
      </c>
      <c r="P31" s="24">
        <v>0</v>
      </c>
      <c r="Q31" s="24">
        <v>0</v>
      </c>
      <c r="R31" s="22">
        <v>0</v>
      </c>
      <c r="S31" s="24">
        <v>0</v>
      </c>
      <c r="T31" s="24">
        <f t="shared" si="3"/>
        <v>0</v>
      </c>
      <c r="U31" s="376">
        <v>53.93</v>
      </c>
      <c r="V31" s="376">
        <v>8.89</v>
      </c>
      <c r="W31" s="22">
        <f t="shared" si="4"/>
        <v>16.362362000000001</v>
      </c>
      <c r="X31" s="22">
        <f t="shared" si="5"/>
        <v>25.5</v>
      </c>
      <c r="Y31" s="22">
        <v>22.75</v>
      </c>
      <c r="Z31" s="22">
        <v>2.75</v>
      </c>
      <c r="AA31" s="371">
        <v>178.76</v>
      </c>
      <c r="AB31" s="22">
        <v>0.14264936227343925</v>
      </c>
      <c r="AC31" s="24">
        <v>7.6493622734392364E-3</v>
      </c>
      <c r="AD31" s="384">
        <v>-13162.29627455984</v>
      </c>
    </row>
    <row r="32" spans="1:30">
      <c r="A32" s="21" t="s">
        <v>1226</v>
      </c>
      <c r="B32" s="21" t="s">
        <v>1227</v>
      </c>
      <c r="C32" s="23">
        <v>0</v>
      </c>
      <c r="D32" s="147">
        <v>0</v>
      </c>
      <c r="E32" s="22">
        <v>0</v>
      </c>
      <c r="F32" s="22">
        <v>0</v>
      </c>
      <c r="G32" s="22">
        <v>0</v>
      </c>
      <c r="H32" s="22">
        <v>0</v>
      </c>
      <c r="I32" s="22">
        <v>0</v>
      </c>
      <c r="J32" s="22">
        <v>0</v>
      </c>
      <c r="K32" s="22">
        <v>0</v>
      </c>
      <c r="L32" s="22">
        <v>0</v>
      </c>
      <c r="M32" s="388">
        <v>104</v>
      </c>
      <c r="N32" s="25">
        <v>0.68630000000000002</v>
      </c>
      <c r="O32" s="24">
        <v>102</v>
      </c>
      <c r="P32" s="24">
        <v>4.99</v>
      </c>
      <c r="Q32" s="24">
        <v>0</v>
      </c>
      <c r="R32" s="22">
        <v>4.99</v>
      </c>
      <c r="S32" s="24">
        <v>6.76</v>
      </c>
      <c r="T32" s="24">
        <f t="shared" si="3"/>
        <v>11.75</v>
      </c>
      <c r="U32" s="376">
        <v>70.36</v>
      </c>
      <c r="V32" s="376">
        <v>0</v>
      </c>
      <c r="W32" s="22">
        <f t="shared" si="4"/>
        <v>48.288068000000003</v>
      </c>
      <c r="X32" s="22">
        <f t="shared" si="5"/>
        <v>19</v>
      </c>
      <c r="Y32" s="22">
        <v>19</v>
      </c>
      <c r="Z32" s="22">
        <v>0</v>
      </c>
      <c r="AA32" s="371">
        <v>104</v>
      </c>
      <c r="AB32" s="22">
        <v>0.18269230769230768</v>
      </c>
      <c r="AC32" s="24">
        <v>4.7692307692307673E-2</v>
      </c>
      <c r="AD32" s="384">
        <v>-46424.224963958513</v>
      </c>
    </row>
    <row r="33" spans="1:30">
      <c r="A33" s="21" t="s">
        <v>39</v>
      </c>
      <c r="B33" s="21" t="s">
        <v>40</v>
      </c>
      <c r="C33" s="23">
        <v>328.8</v>
      </c>
      <c r="D33" s="147">
        <v>44.46</v>
      </c>
      <c r="E33" s="22">
        <v>130.35</v>
      </c>
      <c r="F33" s="22">
        <v>174.81</v>
      </c>
      <c r="G33" s="22">
        <v>0</v>
      </c>
      <c r="H33" s="22">
        <v>29.82</v>
      </c>
      <c r="I33" s="22">
        <v>0.75</v>
      </c>
      <c r="J33" s="22">
        <v>61.67</v>
      </c>
      <c r="K33" s="22">
        <v>0</v>
      </c>
      <c r="L33" s="22">
        <v>0</v>
      </c>
      <c r="M33" s="388">
        <v>1235.76</v>
      </c>
      <c r="N33" s="25">
        <v>0.40339999999999998</v>
      </c>
      <c r="O33" s="24">
        <v>18</v>
      </c>
      <c r="P33" s="24">
        <v>135.5</v>
      </c>
      <c r="Q33" s="24">
        <v>89</v>
      </c>
      <c r="R33" s="22">
        <v>46.5</v>
      </c>
      <c r="S33" s="24">
        <v>51</v>
      </c>
      <c r="T33" s="24">
        <f t="shared" si="3"/>
        <v>186.5</v>
      </c>
      <c r="U33" s="376">
        <v>498.51</v>
      </c>
      <c r="V33" s="376">
        <v>0</v>
      </c>
      <c r="W33" s="22">
        <f t="shared" si="4"/>
        <v>201.09893399999999</v>
      </c>
      <c r="X33" s="22">
        <f t="shared" si="5"/>
        <v>110.75</v>
      </c>
      <c r="Y33" s="22">
        <v>71</v>
      </c>
      <c r="Z33" s="22">
        <v>39.75</v>
      </c>
      <c r="AA33" s="371">
        <v>1237.5899999999999</v>
      </c>
      <c r="AB33" s="22">
        <v>8.9488441244677155E-2</v>
      </c>
      <c r="AC33" s="24">
        <v>0</v>
      </c>
      <c r="AD33" s="384">
        <v>0</v>
      </c>
    </row>
    <row r="34" spans="1:30">
      <c r="A34" s="21" t="s">
        <v>37</v>
      </c>
      <c r="B34" s="21" t="s">
        <v>38</v>
      </c>
      <c r="C34" s="23">
        <v>469.51</v>
      </c>
      <c r="D34" s="147">
        <v>54.57</v>
      </c>
      <c r="E34" s="22">
        <v>124.28</v>
      </c>
      <c r="F34" s="22">
        <v>178.85</v>
      </c>
      <c r="G34" s="22">
        <v>0</v>
      </c>
      <c r="H34" s="22">
        <v>34.67</v>
      </c>
      <c r="I34" s="22">
        <v>1.3</v>
      </c>
      <c r="J34" s="22">
        <v>0</v>
      </c>
      <c r="K34" s="22">
        <v>0</v>
      </c>
      <c r="L34" s="22">
        <v>0</v>
      </c>
      <c r="M34" s="388">
        <v>1567.21</v>
      </c>
      <c r="N34" s="25">
        <v>0.4365</v>
      </c>
      <c r="O34" s="24">
        <v>0</v>
      </c>
      <c r="P34" s="24">
        <v>186</v>
      </c>
      <c r="Q34" s="24">
        <v>152.25</v>
      </c>
      <c r="R34" s="22">
        <v>33.75</v>
      </c>
      <c r="S34" s="24">
        <v>65.5</v>
      </c>
      <c r="T34" s="24">
        <f t="shared" si="3"/>
        <v>251.5</v>
      </c>
      <c r="U34" s="376">
        <v>684.09</v>
      </c>
      <c r="V34" s="376">
        <v>78.36</v>
      </c>
      <c r="W34" s="22">
        <f t="shared" si="4"/>
        <v>298.60528500000004</v>
      </c>
      <c r="X34" s="22">
        <f t="shared" si="5"/>
        <v>185</v>
      </c>
      <c r="Y34" s="22">
        <v>159</v>
      </c>
      <c r="Z34" s="22">
        <v>26</v>
      </c>
      <c r="AA34" s="371">
        <v>1578.32</v>
      </c>
      <c r="AB34" s="22">
        <v>0.11721323939378581</v>
      </c>
      <c r="AC34" s="24">
        <v>0</v>
      </c>
      <c r="AD34" s="384">
        <v>0</v>
      </c>
    </row>
    <row r="35" spans="1:30">
      <c r="A35" s="21" t="s">
        <v>81</v>
      </c>
      <c r="B35" s="21" t="s">
        <v>82</v>
      </c>
      <c r="C35" s="23">
        <v>416.7</v>
      </c>
      <c r="D35" s="147">
        <v>5.44</v>
      </c>
      <c r="E35" s="22">
        <v>70.650000000000006</v>
      </c>
      <c r="F35" s="22">
        <v>76.09</v>
      </c>
      <c r="G35" s="22">
        <v>0</v>
      </c>
      <c r="H35" s="22">
        <v>23.14</v>
      </c>
      <c r="I35" s="22">
        <v>2.37</v>
      </c>
      <c r="J35" s="22">
        <v>46.43</v>
      </c>
      <c r="K35" s="22">
        <v>0</v>
      </c>
      <c r="L35" s="22">
        <v>0</v>
      </c>
      <c r="M35" s="388">
        <v>1405.16</v>
      </c>
      <c r="N35" s="25">
        <v>0.52590000000000003</v>
      </c>
      <c r="O35" s="24">
        <v>576</v>
      </c>
      <c r="P35" s="24">
        <v>20.25</v>
      </c>
      <c r="Q35" s="24">
        <v>10.25</v>
      </c>
      <c r="R35" s="22">
        <v>10</v>
      </c>
      <c r="S35" s="24">
        <v>3</v>
      </c>
      <c r="T35" s="24">
        <f t="shared" si="3"/>
        <v>23.25</v>
      </c>
      <c r="U35" s="376">
        <v>738.97</v>
      </c>
      <c r="V35" s="376">
        <v>70.260000000000005</v>
      </c>
      <c r="W35" s="22">
        <f t="shared" si="4"/>
        <v>388.62432300000006</v>
      </c>
      <c r="X35" s="22">
        <f t="shared" si="5"/>
        <v>231.75</v>
      </c>
      <c r="Y35" s="22">
        <v>146.5</v>
      </c>
      <c r="Z35" s="22">
        <v>85.25</v>
      </c>
      <c r="AA35" s="371">
        <v>1408.8</v>
      </c>
      <c r="AB35" s="22">
        <v>0.16450170357751279</v>
      </c>
      <c r="AC35" s="24">
        <v>2.9501703577512778E-2</v>
      </c>
      <c r="AD35" s="384">
        <v>-364599.00761114532</v>
      </c>
    </row>
    <row r="36" spans="1:30">
      <c r="A36" s="21" t="s">
        <v>1228</v>
      </c>
      <c r="B36" s="21" t="s">
        <v>1229</v>
      </c>
      <c r="C36" s="23">
        <v>198.2</v>
      </c>
      <c r="D36" s="147">
        <v>0</v>
      </c>
      <c r="E36" s="22">
        <v>0</v>
      </c>
      <c r="F36" s="22">
        <v>0</v>
      </c>
      <c r="G36" s="22">
        <v>0</v>
      </c>
      <c r="H36" s="22">
        <v>0</v>
      </c>
      <c r="I36" s="22">
        <v>0</v>
      </c>
      <c r="J36" s="22">
        <v>0</v>
      </c>
      <c r="K36" s="22">
        <v>0</v>
      </c>
      <c r="L36" s="22">
        <v>0</v>
      </c>
      <c r="M36" s="388">
        <v>301.39999999999998</v>
      </c>
      <c r="N36" s="25">
        <v>0.51339999999999997</v>
      </c>
      <c r="O36" s="24">
        <v>0</v>
      </c>
      <c r="P36" s="24">
        <v>1</v>
      </c>
      <c r="Q36" s="24">
        <v>0</v>
      </c>
      <c r="R36" s="22">
        <v>1</v>
      </c>
      <c r="S36" s="24">
        <v>0</v>
      </c>
      <c r="T36" s="24">
        <f t="shared" si="3"/>
        <v>1</v>
      </c>
      <c r="U36" s="376">
        <v>154.74</v>
      </c>
      <c r="V36" s="376">
        <v>15.07</v>
      </c>
      <c r="W36" s="22">
        <f t="shared" si="4"/>
        <v>79.443516000000002</v>
      </c>
      <c r="X36" s="22">
        <f t="shared" si="5"/>
        <v>29.5</v>
      </c>
      <c r="Y36" s="22">
        <v>28.75</v>
      </c>
      <c r="Z36" s="22">
        <v>0.75</v>
      </c>
      <c r="AA36" s="371">
        <v>301.39999999999998</v>
      </c>
      <c r="AB36" s="22">
        <v>9.787657597876577E-2</v>
      </c>
      <c r="AC36" s="24">
        <v>0</v>
      </c>
      <c r="AD36" s="384">
        <v>0</v>
      </c>
    </row>
    <row r="37" spans="1:30">
      <c r="A37" s="21" t="s">
        <v>255</v>
      </c>
      <c r="B37" s="21" t="s">
        <v>256</v>
      </c>
      <c r="C37" s="23">
        <v>42</v>
      </c>
      <c r="D37" s="147">
        <v>0</v>
      </c>
      <c r="E37" s="22">
        <v>0</v>
      </c>
      <c r="F37" s="22">
        <v>0</v>
      </c>
      <c r="G37" s="22">
        <v>0</v>
      </c>
      <c r="H37" s="22">
        <v>0</v>
      </c>
      <c r="I37" s="22">
        <v>0</v>
      </c>
      <c r="J37" s="22">
        <v>0</v>
      </c>
      <c r="K37" s="22">
        <v>0</v>
      </c>
      <c r="L37" s="22">
        <v>0</v>
      </c>
      <c r="M37" s="388">
        <v>86.8</v>
      </c>
      <c r="N37" s="25">
        <v>0.33329999999999999</v>
      </c>
      <c r="O37" s="24">
        <v>0</v>
      </c>
      <c r="P37" s="24">
        <v>0</v>
      </c>
      <c r="Q37" s="24">
        <v>0</v>
      </c>
      <c r="R37" s="22">
        <v>0</v>
      </c>
      <c r="S37" s="24">
        <v>0</v>
      </c>
      <c r="T37" s="24">
        <f t="shared" si="3"/>
        <v>0</v>
      </c>
      <c r="U37" s="376">
        <v>28.93</v>
      </c>
      <c r="V37" s="376">
        <v>0</v>
      </c>
      <c r="W37" s="22">
        <f t="shared" si="4"/>
        <v>9.6423689999999986</v>
      </c>
      <c r="X37" s="22">
        <f t="shared" si="5"/>
        <v>7.75</v>
      </c>
      <c r="Y37" s="22">
        <v>7</v>
      </c>
      <c r="Z37" s="22">
        <v>0.75</v>
      </c>
      <c r="AA37" s="371">
        <v>86.8</v>
      </c>
      <c r="AB37" s="22">
        <v>8.9285714285714288E-2</v>
      </c>
      <c r="AC37" s="24">
        <v>0</v>
      </c>
      <c r="AD37" s="384">
        <v>0</v>
      </c>
    </row>
    <row r="38" spans="1:30">
      <c r="A38" s="21" t="s">
        <v>233</v>
      </c>
      <c r="B38" s="21" t="s">
        <v>234</v>
      </c>
      <c r="C38" s="23">
        <v>3116.95</v>
      </c>
      <c r="D38" s="147">
        <v>113.01</v>
      </c>
      <c r="E38" s="22">
        <v>662.91</v>
      </c>
      <c r="F38" s="22">
        <v>775.92</v>
      </c>
      <c r="G38" s="22">
        <v>0</v>
      </c>
      <c r="H38" s="22">
        <v>272.89</v>
      </c>
      <c r="I38" s="22">
        <v>10.93</v>
      </c>
      <c r="J38" s="22">
        <v>686.12</v>
      </c>
      <c r="K38" s="22">
        <v>0</v>
      </c>
      <c r="L38" s="22">
        <v>0</v>
      </c>
      <c r="M38" s="388">
        <v>11134.289999999999</v>
      </c>
      <c r="N38" s="25">
        <v>0.38040000000000002</v>
      </c>
      <c r="O38" s="24">
        <v>1016</v>
      </c>
      <c r="P38" s="24">
        <v>410.5</v>
      </c>
      <c r="Q38" s="24">
        <v>235</v>
      </c>
      <c r="R38" s="22">
        <v>175.5</v>
      </c>
      <c r="S38" s="24">
        <v>74.25</v>
      </c>
      <c r="T38" s="24">
        <f t="shared" si="3"/>
        <v>484.75</v>
      </c>
      <c r="U38" s="376">
        <v>4235.4799999999996</v>
      </c>
      <c r="V38" s="376">
        <v>556.71</v>
      </c>
      <c r="W38" s="22">
        <f t="shared" si="4"/>
        <v>1611.1765919999998</v>
      </c>
      <c r="X38" s="22">
        <f t="shared" si="5"/>
        <v>1497.75</v>
      </c>
      <c r="Y38" s="22">
        <v>959</v>
      </c>
      <c r="Z38" s="22">
        <v>538.75</v>
      </c>
      <c r="AA38" s="371">
        <v>11101.92</v>
      </c>
      <c r="AB38" s="22">
        <v>0.134909096804877</v>
      </c>
      <c r="AC38" s="24">
        <v>0</v>
      </c>
      <c r="AD38" s="384">
        <v>0</v>
      </c>
    </row>
    <row r="39" spans="1:30">
      <c r="A39" s="21" t="s">
        <v>463</v>
      </c>
      <c r="B39" s="21" t="s">
        <v>464</v>
      </c>
      <c r="C39" s="23">
        <v>4166.8999999999996</v>
      </c>
      <c r="D39" s="147">
        <v>54.24</v>
      </c>
      <c r="E39" s="22">
        <v>638.70000000000005</v>
      </c>
      <c r="F39" s="22">
        <v>692.94</v>
      </c>
      <c r="G39" s="22">
        <v>52.27</v>
      </c>
      <c r="H39" s="22">
        <v>273.26</v>
      </c>
      <c r="I39" s="22">
        <v>10.78</v>
      </c>
      <c r="J39" s="22">
        <v>228</v>
      </c>
      <c r="K39" s="22">
        <v>91.8</v>
      </c>
      <c r="L39" s="22">
        <v>0</v>
      </c>
      <c r="M39" s="388">
        <v>14077.22</v>
      </c>
      <c r="N39" s="25">
        <v>0.38200000000000001</v>
      </c>
      <c r="O39" s="24">
        <v>3430</v>
      </c>
      <c r="P39" s="24">
        <v>476</v>
      </c>
      <c r="Q39" s="24">
        <v>288.75</v>
      </c>
      <c r="R39" s="22">
        <v>187.25</v>
      </c>
      <c r="S39" s="24">
        <v>96.25</v>
      </c>
      <c r="T39" s="24">
        <f t="shared" si="3"/>
        <v>572.25</v>
      </c>
      <c r="U39" s="376">
        <v>5377.5</v>
      </c>
      <c r="V39" s="376">
        <v>703.86</v>
      </c>
      <c r="W39" s="22">
        <f t="shared" si="4"/>
        <v>2054.2049999999999</v>
      </c>
      <c r="X39" s="22">
        <f t="shared" si="5"/>
        <v>2012</v>
      </c>
      <c r="Y39" s="22">
        <v>915.25</v>
      </c>
      <c r="Z39" s="22">
        <v>1096.75</v>
      </c>
      <c r="AA39" s="371">
        <v>14268.61</v>
      </c>
      <c r="AB39" s="22">
        <v>0.14100882987200575</v>
      </c>
      <c r="AC39" s="24">
        <v>6.0088298720057387E-3</v>
      </c>
      <c r="AD39" s="384">
        <v>-749374.27536408417</v>
      </c>
    </row>
    <row r="40" spans="1:30">
      <c r="A40" s="21" t="s">
        <v>295</v>
      </c>
      <c r="B40" s="21" t="s">
        <v>296</v>
      </c>
      <c r="C40" s="23">
        <v>1046.33</v>
      </c>
      <c r="D40" s="147">
        <v>48.87</v>
      </c>
      <c r="E40" s="22">
        <v>228.67</v>
      </c>
      <c r="F40" s="22">
        <v>277.53999999999996</v>
      </c>
      <c r="G40" s="22">
        <v>0</v>
      </c>
      <c r="H40" s="22">
        <v>52.42</v>
      </c>
      <c r="I40" s="22">
        <v>7.57</v>
      </c>
      <c r="J40" s="22">
        <v>52.77</v>
      </c>
      <c r="K40" s="22">
        <v>8.6</v>
      </c>
      <c r="L40" s="22">
        <v>0</v>
      </c>
      <c r="M40" s="388">
        <v>3375.91</v>
      </c>
      <c r="N40" s="25">
        <v>0.80730000000000002</v>
      </c>
      <c r="O40" s="24">
        <v>3285</v>
      </c>
      <c r="P40" s="24">
        <v>482.5</v>
      </c>
      <c r="Q40" s="24">
        <v>312.5</v>
      </c>
      <c r="R40" s="22">
        <v>170</v>
      </c>
      <c r="S40" s="24">
        <v>67</v>
      </c>
      <c r="T40" s="24">
        <f t="shared" si="3"/>
        <v>549.5</v>
      </c>
      <c r="U40" s="376">
        <v>2725.03</v>
      </c>
      <c r="V40" s="376">
        <v>168.8</v>
      </c>
      <c r="W40" s="22">
        <f t="shared" si="4"/>
        <v>2199.9167190000003</v>
      </c>
      <c r="X40" s="22">
        <f t="shared" si="5"/>
        <v>465.75</v>
      </c>
      <c r="Y40" s="22">
        <v>271.25</v>
      </c>
      <c r="Z40" s="22">
        <v>194.5</v>
      </c>
      <c r="AA40" s="371">
        <v>3390.27</v>
      </c>
      <c r="AB40" s="22">
        <v>0.1373784388853985</v>
      </c>
      <c r="AC40" s="24">
        <v>2.3784388853984872E-3</v>
      </c>
      <c r="AD40" s="384">
        <v>-70799.244817219223</v>
      </c>
    </row>
    <row r="41" spans="1:30">
      <c r="A41" s="21" t="s">
        <v>291</v>
      </c>
      <c r="B41" s="21" t="s">
        <v>292</v>
      </c>
      <c r="C41" s="23">
        <v>806.21</v>
      </c>
      <c r="D41" s="147">
        <v>0</v>
      </c>
      <c r="E41" s="22">
        <v>171.26</v>
      </c>
      <c r="F41" s="22">
        <v>171.26</v>
      </c>
      <c r="G41" s="22">
        <v>0</v>
      </c>
      <c r="H41" s="22">
        <v>75.150000000000006</v>
      </c>
      <c r="I41" s="22">
        <v>7.15</v>
      </c>
      <c r="J41" s="22">
        <v>25.77</v>
      </c>
      <c r="K41" s="22">
        <v>5.4</v>
      </c>
      <c r="L41" s="22">
        <v>0</v>
      </c>
      <c r="M41" s="388">
        <v>2845.2100000000009</v>
      </c>
      <c r="N41" s="25">
        <v>0.46789999999999998</v>
      </c>
      <c r="O41" s="24">
        <v>1251</v>
      </c>
      <c r="P41" s="24">
        <v>108.5</v>
      </c>
      <c r="Q41" s="24">
        <v>56.25</v>
      </c>
      <c r="R41" s="22">
        <v>52.25</v>
      </c>
      <c r="S41" s="24">
        <v>16</v>
      </c>
      <c r="T41" s="24">
        <f t="shared" si="3"/>
        <v>124.5</v>
      </c>
      <c r="U41" s="376">
        <v>1331.27</v>
      </c>
      <c r="V41" s="376">
        <v>142.26</v>
      </c>
      <c r="W41" s="22">
        <f t="shared" si="4"/>
        <v>622.90123299999993</v>
      </c>
      <c r="X41" s="22">
        <f t="shared" si="5"/>
        <v>388.5</v>
      </c>
      <c r="Y41" s="22">
        <v>210.25</v>
      </c>
      <c r="Z41" s="22">
        <v>178.25</v>
      </c>
      <c r="AA41" s="371">
        <v>2850.93</v>
      </c>
      <c r="AB41" s="22">
        <v>0.13627132198966654</v>
      </c>
      <c r="AC41" s="24">
        <v>1.2713219896665351E-3</v>
      </c>
      <c r="AD41" s="384">
        <v>-32310.670892935945</v>
      </c>
    </row>
    <row r="42" spans="1:30">
      <c r="A42" s="21" t="s">
        <v>467</v>
      </c>
      <c r="B42" s="21" t="s">
        <v>468</v>
      </c>
      <c r="C42" s="23">
        <v>1515.2</v>
      </c>
      <c r="D42" s="147">
        <v>97.13</v>
      </c>
      <c r="E42" s="22">
        <v>400.93</v>
      </c>
      <c r="F42" s="22">
        <v>498.06</v>
      </c>
      <c r="G42" s="22">
        <v>0</v>
      </c>
      <c r="H42" s="22">
        <v>98.97</v>
      </c>
      <c r="I42" s="22">
        <v>2.41</v>
      </c>
      <c r="J42" s="22">
        <v>311.99</v>
      </c>
      <c r="K42" s="22">
        <v>8.16</v>
      </c>
      <c r="L42" s="22">
        <v>1</v>
      </c>
      <c r="M42" s="388">
        <v>5158.13</v>
      </c>
      <c r="N42" s="25">
        <v>0.49630000000000002</v>
      </c>
      <c r="O42" s="24">
        <v>1507</v>
      </c>
      <c r="P42" s="24">
        <v>238.25</v>
      </c>
      <c r="Q42" s="24">
        <v>168.75</v>
      </c>
      <c r="R42" s="22">
        <v>69.5</v>
      </c>
      <c r="S42" s="24">
        <v>41.25</v>
      </c>
      <c r="T42" s="24">
        <f t="shared" si="3"/>
        <v>279.5</v>
      </c>
      <c r="U42" s="376">
        <v>2559.98</v>
      </c>
      <c r="V42" s="376">
        <v>257.91000000000003</v>
      </c>
      <c r="W42" s="22">
        <f t="shared" si="4"/>
        <v>1270.5180740000001</v>
      </c>
      <c r="X42" s="22">
        <f t="shared" si="5"/>
        <v>804.75</v>
      </c>
      <c r="Y42" s="22">
        <v>600.75</v>
      </c>
      <c r="Z42" s="22">
        <v>204</v>
      </c>
      <c r="AA42" s="371">
        <v>5179.01</v>
      </c>
      <c r="AB42" s="22">
        <v>0.15538684034207309</v>
      </c>
      <c r="AC42" s="24">
        <v>2.0386840342073081E-2</v>
      </c>
      <c r="AD42" s="384">
        <v>-925991.89723034168</v>
      </c>
    </row>
    <row r="43" spans="1:30">
      <c r="A43" s="21" t="s">
        <v>485</v>
      </c>
      <c r="B43" s="21" t="s">
        <v>486</v>
      </c>
      <c r="C43" s="23">
        <v>185</v>
      </c>
      <c r="D43" s="147">
        <v>10.06</v>
      </c>
      <c r="E43" s="22">
        <v>60.72</v>
      </c>
      <c r="F43" s="22">
        <v>70.78</v>
      </c>
      <c r="G43" s="22">
        <v>0</v>
      </c>
      <c r="H43" s="22">
        <v>23.68</v>
      </c>
      <c r="I43" s="22">
        <v>0.46</v>
      </c>
      <c r="J43" s="22">
        <v>118.30000000000001</v>
      </c>
      <c r="K43" s="22">
        <v>14.4</v>
      </c>
      <c r="L43" s="22">
        <v>0</v>
      </c>
      <c r="M43" s="388">
        <v>766.06000000000006</v>
      </c>
      <c r="N43" s="25">
        <v>0.58360000000000001</v>
      </c>
      <c r="O43" s="24">
        <v>754</v>
      </c>
      <c r="P43" s="24">
        <v>1</v>
      </c>
      <c r="Q43" s="24">
        <v>0</v>
      </c>
      <c r="R43" s="22">
        <v>1</v>
      </c>
      <c r="S43" s="24">
        <v>0</v>
      </c>
      <c r="T43" s="24">
        <f t="shared" si="3"/>
        <v>1</v>
      </c>
      <c r="U43" s="376">
        <v>446.15</v>
      </c>
      <c r="V43" s="376">
        <v>38.299999999999997</v>
      </c>
      <c r="W43" s="22">
        <f t="shared" si="4"/>
        <v>260.37313999999998</v>
      </c>
      <c r="X43" s="22">
        <f t="shared" si="5"/>
        <v>132.75</v>
      </c>
      <c r="Y43" s="22">
        <v>91.25</v>
      </c>
      <c r="Z43" s="22">
        <v>41.5</v>
      </c>
      <c r="AA43" s="371">
        <v>766.06</v>
      </c>
      <c r="AB43" s="22">
        <v>0.17328929848836908</v>
      </c>
      <c r="AC43" s="24">
        <v>3.8289298488369067E-2</v>
      </c>
      <c r="AD43" s="384">
        <v>-254753.23095605348</v>
      </c>
    </row>
    <row r="44" spans="1:30">
      <c r="A44" s="21" t="s">
        <v>1038</v>
      </c>
      <c r="B44" s="21" t="s">
        <v>1043</v>
      </c>
      <c r="C44" s="23">
        <v>172.2</v>
      </c>
      <c r="D44" s="147">
        <v>0</v>
      </c>
      <c r="E44" s="22">
        <v>28.78</v>
      </c>
      <c r="F44" s="22">
        <v>28.78</v>
      </c>
      <c r="G44" s="22">
        <v>0</v>
      </c>
      <c r="H44" s="22">
        <v>0.85</v>
      </c>
      <c r="I44" s="22">
        <v>0</v>
      </c>
      <c r="J44" s="22">
        <v>0</v>
      </c>
      <c r="K44" s="22">
        <v>0</v>
      </c>
      <c r="L44" s="22">
        <v>0</v>
      </c>
      <c r="M44" s="388">
        <v>580.26</v>
      </c>
      <c r="N44" s="25">
        <v>0.52859999999999996</v>
      </c>
      <c r="O44" s="24">
        <v>594</v>
      </c>
      <c r="P44" s="24">
        <v>0</v>
      </c>
      <c r="Q44" s="24">
        <v>0</v>
      </c>
      <c r="R44" s="22">
        <v>0</v>
      </c>
      <c r="S44" s="24">
        <v>0</v>
      </c>
      <c r="T44" s="24">
        <f t="shared" si="3"/>
        <v>0</v>
      </c>
      <c r="U44" s="376">
        <v>307.70999999999998</v>
      </c>
      <c r="V44" s="376">
        <v>0</v>
      </c>
      <c r="W44" s="22">
        <f t="shared" si="4"/>
        <v>162.65550599999997</v>
      </c>
      <c r="X44" s="22">
        <f t="shared" si="5"/>
        <v>0</v>
      </c>
      <c r="Y44" s="22">
        <v>0</v>
      </c>
      <c r="Z44" s="22">
        <v>0</v>
      </c>
      <c r="AA44" s="371">
        <v>580.25</v>
      </c>
      <c r="AB44" s="22">
        <v>0</v>
      </c>
      <c r="AC44" s="24">
        <v>0</v>
      </c>
      <c r="AD44" s="384">
        <v>0</v>
      </c>
    </row>
    <row r="45" spans="1:30">
      <c r="A45" s="21" t="s">
        <v>179</v>
      </c>
      <c r="B45" s="21" t="s">
        <v>180</v>
      </c>
      <c r="C45" s="23">
        <v>178.4</v>
      </c>
      <c r="D45" s="147">
        <v>0</v>
      </c>
      <c r="E45" s="22">
        <v>13.75</v>
      </c>
      <c r="F45" s="22">
        <v>13.75</v>
      </c>
      <c r="G45" s="22">
        <v>0</v>
      </c>
      <c r="H45" s="22">
        <v>9.02</v>
      </c>
      <c r="I45" s="22">
        <v>1.03</v>
      </c>
      <c r="J45" s="22">
        <v>79.349999999999994</v>
      </c>
      <c r="K45" s="22">
        <v>0</v>
      </c>
      <c r="L45" s="22">
        <v>0</v>
      </c>
      <c r="M45" s="388">
        <v>672.93999999999994</v>
      </c>
      <c r="N45" s="25">
        <v>0.51580000000000004</v>
      </c>
      <c r="O45" s="24">
        <v>327</v>
      </c>
      <c r="P45" s="24">
        <v>17.25</v>
      </c>
      <c r="Q45" s="24">
        <v>16.75</v>
      </c>
      <c r="R45" s="22">
        <v>0.5</v>
      </c>
      <c r="S45" s="24">
        <v>1.75</v>
      </c>
      <c r="T45" s="24">
        <f t="shared" si="3"/>
        <v>19</v>
      </c>
      <c r="U45" s="376">
        <v>347.57</v>
      </c>
      <c r="V45" s="376">
        <v>0</v>
      </c>
      <c r="W45" s="22">
        <f t="shared" si="4"/>
        <v>179.27660600000002</v>
      </c>
      <c r="X45" s="22">
        <f t="shared" si="5"/>
        <v>110.75</v>
      </c>
      <c r="Y45" s="22">
        <v>77</v>
      </c>
      <c r="Z45" s="22">
        <v>33.75</v>
      </c>
      <c r="AA45" s="371">
        <v>685.95</v>
      </c>
      <c r="AB45" s="22">
        <v>0.16145491653910635</v>
      </c>
      <c r="AC45" s="24">
        <v>2.6454916539106338E-2</v>
      </c>
      <c r="AD45" s="384">
        <v>-171576.492091725</v>
      </c>
    </row>
    <row r="46" spans="1:30">
      <c r="A46" s="21" t="s">
        <v>13</v>
      </c>
      <c r="B46" s="21" t="s">
        <v>14</v>
      </c>
      <c r="C46" s="23">
        <v>725.11</v>
      </c>
      <c r="D46" s="147">
        <v>0</v>
      </c>
      <c r="E46" s="22">
        <v>154.96</v>
      </c>
      <c r="F46" s="22">
        <v>154.96</v>
      </c>
      <c r="G46" s="22">
        <v>0</v>
      </c>
      <c r="H46" s="22">
        <v>25.16</v>
      </c>
      <c r="I46" s="22">
        <v>2.37</v>
      </c>
      <c r="J46" s="22">
        <v>175.07999999999998</v>
      </c>
      <c r="K46" s="22">
        <v>3.8</v>
      </c>
      <c r="L46" s="22">
        <v>0</v>
      </c>
      <c r="M46" s="388">
        <v>2438.7799999999997</v>
      </c>
      <c r="N46" s="25">
        <v>0.57350000000000001</v>
      </c>
      <c r="O46" s="24">
        <v>1347</v>
      </c>
      <c r="P46" s="24">
        <v>18.25</v>
      </c>
      <c r="Q46" s="24">
        <v>15.25</v>
      </c>
      <c r="R46" s="22">
        <v>3</v>
      </c>
      <c r="S46" s="24">
        <v>6</v>
      </c>
      <c r="T46" s="24">
        <f t="shared" si="3"/>
        <v>24.25</v>
      </c>
      <c r="U46" s="376">
        <v>1398.64</v>
      </c>
      <c r="V46" s="376">
        <v>121.94</v>
      </c>
      <c r="W46" s="22">
        <f t="shared" si="4"/>
        <v>802.12004000000002</v>
      </c>
      <c r="X46" s="22">
        <f t="shared" si="5"/>
        <v>385.75</v>
      </c>
      <c r="Y46" s="22">
        <v>264.75</v>
      </c>
      <c r="Z46" s="22">
        <v>121</v>
      </c>
      <c r="AA46" s="371">
        <v>2438.7800000000002</v>
      </c>
      <c r="AB46" s="22">
        <v>0.15817334896956672</v>
      </c>
      <c r="AC46" s="24">
        <v>2.3173348969566715E-2</v>
      </c>
      <c r="AD46" s="384">
        <v>-496817.75654332561</v>
      </c>
    </row>
    <row r="47" spans="1:30">
      <c r="A47" s="21" t="s">
        <v>249</v>
      </c>
      <c r="B47" s="21" t="s">
        <v>250</v>
      </c>
      <c r="C47" s="23">
        <v>267.52999999999997</v>
      </c>
      <c r="D47" s="147">
        <v>8.83</v>
      </c>
      <c r="E47" s="22">
        <v>61.15</v>
      </c>
      <c r="F47" s="22">
        <v>69.98</v>
      </c>
      <c r="G47" s="22">
        <v>0</v>
      </c>
      <c r="H47" s="22">
        <v>13.99</v>
      </c>
      <c r="I47" s="22">
        <v>0</v>
      </c>
      <c r="J47" s="22">
        <v>22.3</v>
      </c>
      <c r="K47" s="22">
        <v>0</v>
      </c>
      <c r="L47" s="22">
        <v>0</v>
      </c>
      <c r="M47" s="388">
        <v>884.75</v>
      </c>
      <c r="N47" s="25">
        <v>0.40670000000000001</v>
      </c>
      <c r="O47" s="24">
        <v>22</v>
      </c>
      <c r="P47" s="24">
        <v>13</v>
      </c>
      <c r="Q47" s="24">
        <v>7.25</v>
      </c>
      <c r="R47" s="22">
        <v>5.75</v>
      </c>
      <c r="S47" s="24">
        <v>1</v>
      </c>
      <c r="T47" s="24">
        <f t="shared" si="3"/>
        <v>14</v>
      </c>
      <c r="U47" s="376">
        <v>359.83</v>
      </c>
      <c r="V47" s="376">
        <v>44.24</v>
      </c>
      <c r="W47" s="22">
        <f t="shared" si="4"/>
        <v>146.342861</v>
      </c>
      <c r="X47" s="22">
        <f t="shared" si="5"/>
        <v>130.75</v>
      </c>
      <c r="Y47" s="22">
        <v>106</v>
      </c>
      <c r="Z47" s="22">
        <v>24.75</v>
      </c>
      <c r="AA47" s="371">
        <v>883.74</v>
      </c>
      <c r="AB47" s="22">
        <v>0.14795075474687125</v>
      </c>
      <c r="AC47" s="24">
        <v>1.295075474687124E-2</v>
      </c>
      <c r="AD47" s="384">
        <v>-100545.99826962117</v>
      </c>
    </row>
    <row r="48" spans="1:30">
      <c r="A48" s="21" t="s">
        <v>377</v>
      </c>
      <c r="B48" s="21" t="s">
        <v>378</v>
      </c>
      <c r="C48" s="23">
        <v>4258.93</v>
      </c>
      <c r="D48" s="147">
        <v>369.97</v>
      </c>
      <c r="E48" s="22">
        <v>571.04</v>
      </c>
      <c r="F48" s="22">
        <v>941.01</v>
      </c>
      <c r="G48" s="22">
        <v>0</v>
      </c>
      <c r="H48" s="22">
        <v>148.94999999999999</v>
      </c>
      <c r="I48" s="22">
        <v>8.98</v>
      </c>
      <c r="J48" s="22">
        <v>549.36</v>
      </c>
      <c r="K48" s="22">
        <v>193.6</v>
      </c>
      <c r="L48" s="22">
        <v>0</v>
      </c>
      <c r="M48" s="388">
        <v>12024.210000000001</v>
      </c>
      <c r="N48" s="25">
        <v>0.68879999999999997</v>
      </c>
      <c r="O48" s="24">
        <v>9349</v>
      </c>
      <c r="P48" s="24">
        <v>1585.5</v>
      </c>
      <c r="Q48" s="24">
        <v>1102.75</v>
      </c>
      <c r="R48" s="22">
        <v>482.75</v>
      </c>
      <c r="S48" s="24">
        <v>416</v>
      </c>
      <c r="T48" s="24">
        <f t="shared" si="3"/>
        <v>2001.5</v>
      </c>
      <c r="U48" s="376">
        <v>8282.2800000000007</v>
      </c>
      <c r="V48" s="376">
        <v>601.21</v>
      </c>
      <c r="W48" s="22">
        <f t="shared" si="4"/>
        <v>5704.8344640000005</v>
      </c>
      <c r="X48" s="22">
        <f t="shared" si="5"/>
        <v>1759.25</v>
      </c>
      <c r="Y48" s="22">
        <v>888.75</v>
      </c>
      <c r="Z48" s="22">
        <v>870.5</v>
      </c>
      <c r="AA48" s="371">
        <v>12069.44</v>
      </c>
      <c r="AB48" s="22">
        <v>0.14576069809369779</v>
      </c>
      <c r="AC48" s="24">
        <v>1.0760698093697785E-2</v>
      </c>
      <c r="AD48" s="384">
        <v>-1204289.8922519998</v>
      </c>
    </row>
    <row r="49" spans="1:30">
      <c r="A49" s="21" t="s">
        <v>563</v>
      </c>
      <c r="B49" s="21" t="s">
        <v>564</v>
      </c>
      <c r="C49" s="23">
        <v>136</v>
      </c>
      <c r="D49" s="147">
        <v>6.88</v>
      </c>
      <c r="E49" s="22">
        <v>49.3</v>
      </c>
      <c r="F49" s="22">
        <v>56.18</v>
      </c>
      <c r="G49" s="22">
        <v>0</v>
      </c>
      <c r="H49" s="22">
        <v>2.02</v>
      </c>
      <c r="I49" s="22">
        <v>0.25</v>
      </c>
      <c r="J49" s="22">
        <v>0</v>
      </c>
      <c r="K49" s="22">
        <v>0</v>
      </c>
      <c r="L49" s="22">
        <v>0</v>
      </c>
      <c r="M49" s="388">
        <v>518.04999999999995</v>
      </c>
      <c r="N49" s="25">
        <v>0.32319999999999999</v>
      </c>
      <c r="O49" s="24">
        <v>0</v>
      </c>
      <c r="P49" s="24">
        <v>0</v>
      </c>
      <c r="Q49" s="24">
        <v>0</v>
      </c>
      <c r="R49" s="22">
        <v>0</v>
      </c>
      <c r="S49" s="24">
        <v>0</v>
      </c>
      <c r="T49" s="24">
        <f t="shared" si="3"/>
        <v>0</v>
      </c>
      <c r="U49" s="376">
        <v>167.43</v>
      </c>
      <c r="V49" s="376">
        <v>25.9</v>
      </c>
      <c r="W49" s="22">
        <f t="shared" si="4"/>
        <v>54.113376000000002</v>
      </c>
      <c r="X49" s="22">
        <f t="shared" si="5"/>
        <v>77.75</v>
      </c>
      <c r="Y49" s="22">
        <v>50</v>
      </c>
      <c r="Z49" s="22">
        <v>27.75</v>
      </c>
      <c r="AA49" s="371">
        <v>518.04999999999995</v>
      </c>
      <c r="AB49" s="22">
        <v>0.15008203841328058</v>
      </c>
      <c r="AC49" s="24">
        <v>1.5082038413280568E-2</v>
      </c>
      <c r="AD49" s="384">
        <v>-67808.193406779144</v>
      </c>
    </row>
    <row r="50" spans="1:30">
      <c r="A50" s="21" t="s">
        <v>529</v>
      </c>
      <c r="B50" s="21" t="s">
        <v>530</v>
      </c>
      <c r="C50" s="23">
        <v>428.33</v>
      </c>
      <c r="D50" s="147">
        <v>0</v>
      </c>
      <c r="E50" s="22">
        <v>131.59</v>
      </c>
      <c r="F50" s="22">
        <v>131.59</v>
      </c>
      <c r="G50" s="22">
        <v>0</v>
      </c>
      <c r="H50" s="22">
        <v>36.81</v>
      </c>
      <c r="I50" s="22">
        <v>3.89</v>
      </c>
      <c r="J50" s="22">
        <v>0</v>
      </c>
      <c r="K50" s="22">
        <v>8.33</v>
      </c>
      <c r="L50" s="22">
        <v>0.87</v>
      </c>
      <c r="M50" s="388">
        <v>1523.4399999999998</v>
      </c>
      <c r="N50" s="25">
        <v>0.56679999999999997</v>
      </c>
      <c r="O50" s="24">
        <v>1525</v>
      </c>
      <c r="P50" s="24">
        <v>292.25</v>
      </c>
      <c r="Q50" s="24">
        <v>178.25</v>
      </c>
      <c r="R50" s="22">
        <v>114</v>
      </c>
      <c r="S50" s="24">
        <v>44.25</v>
      </c>
      <c r="T50" s="24">
        <f t="shared" si="3"/>
        <v>336.5</v>
      </c>
      <c r="U50" s="376">
        <v>863.49</v>
      </c>
      <c r="V50" s="376">
        <v>76.17</v>
      </c>
      <c r="W50" s="22">
        <f t="shared" si="4"/>
        <v>489.426132</v>
      </c>
      <c r="X50" s="22">
        <f t="shared" si="5"/>
        <v>210</v>
      </c>
      <c r="Y50" s="22">
        <v>103.5</v>
      </c>
      <c r="Z50" s="22">
        <v>106.5</v>
      </c>
      <c r="AA50" s="371">
        <v>1529.2</v>
      </c>
      <c r="AB50" s="22">
        <v>0.1373267067747842</v>
      </c>
      <c r="AC50" s="24">
        <v>2.326706774784193E-3</v>
      </c>
      <c r="AD50" s="384">
        <v>-30963.679062224437</v>
      </c>
    </row>
    <row r="51" spans="1:30">
      <c r="A51" s="21" t="s">
        <v>571</v>
      </c>
      <c r="B51" s="21" t="s">
        <v>572</v>
      </c>
      <c r="C51" s="23">
        <v>64.400000000000006</v>
      </c>
      <c r="D51" s="147">
        <v>0</v>
      </c>
      <c r="E51" s="22">
        <v>9.4600000000000009</v>
      </c>
      <c r="F51" s="22">
        <v>9.4600000000000009</v>
      </c>
      <c r="G51" s="22">
        <v>0</v>
      </c>
      <c r="H51" s="22">
        <v>1.23</v>
      </c>
      <c r="I51" s="22">
        <v>0</v>
      </c>
      <c r="J51" s="22">
        <v>0</v>
      </c>
      <c r="K51" s="22">
        <v>0</v>
      </c>
      <c r="L51" s="22">
        <v>0</v>
      </c>
      <c r="M51" s="388">
        <v>158.57000000000002</v>
      </c>
      <c r="N51" s="25">
        <v>0.31009999999999999</v>
      </c>
      <c r="O51" s="24">
        <v>0</v>
      </c>
      <c r="P51" s="24">
        <v>0</v>
      </c>
      <c r="Q51" s="24">
        <v>0</v>
      </c>
      <c r="R51" s="22">
        <v>0</v>
      </c>
      <c r="S51" s="24">
        <v>0</v>
      </c>
      <c r="T51" s="24">
        <f t="shared" si="3"/>
        <v>0</v>
      </c>
      <c r="U51" s="376">
        <v>49.17</v>
      </c>
      <c r="V51" s="376">
        <v>0</v>
      </c>
      <c r="W51" s="22">
        <f t="shared" si="4"/>
        <v>15.247617</v>
      </c>
      <c r="X51" s="22">
        <f t="shared" si="5"/>
        <v>29.25</v>
      </c>
      <c r="Y51" s="22">
        <v>27.75</v>
      </c>
      <c r="Z51" s="22">
        <v>1.5</v>
      </c>
      <c r="AA51" s="371">
        <v>158.57</v>
      </c>
      <c r="AB51" s="22">
        <v>0.18446112127136283</v>
      </c>
      <c r="AC51" s="24">
        <v>4.9461121271362818E-2</v>
      </c>
      <c r="AD51" s="384">
        <v>-72529.693548178417</v>
      </c>
    </row>
    <row r="52" spans="1:30">
      <c r="A52" s="21" t="s">
        <v>499</v>
      </c>
      <c r="B52" s="21" t="s">
        <v>500</v>
      </c>
      <c r="C52" s="23">
        <v>28</v>
      </c>
      <c r="D52" s="147">
        <v>0</v>
      </c>
      <c r="E52" s="22">
        <v>7.42</v>
      </c>
      <c r="F52" s="22">
        <v>7.42</v>
      </c>
      <c r="G52" s="22">
        <v>0</v>
      </c>
      <c r="H52" s="22">
        <v>0.5</v>
      </c>
      <c r="I52" s="22">
        <v>0</v>
      </c>
      <c r="J52" s="22">
        <v>0</v>
      </c>
      <c r="K52" s="22">
        <v>0</v>
      </c>
      <c r="L52" s="22">
        <v>0</v>
      </c>
      <c r="M52" s="388">
        <v>104.46000000000001</v>
      </c>
      <c r="N52" s="25">
        <v>0.8</v>
      </c>
      <c r="O52" s="24">
        <v>102</v>
      </c>
      <c r="P52" s="24">
        <v>0</v>
      </c>
      <c r="Q52" s="24">
        <v>0</v>
      </c>
      <c r="R52" s="22">
        <v>0</v>
      </c>
      <c r="S52" s="24">
        <v>0</v>
      </c>
      <c r="T52" s="24">
        <f t="shared" si="3"/>
        <v>0</v>
      </c>
      <c r="U52" s="376">
        <v>83.57</v>
      </c>
      <c r="V52" s="376">
        <v>5.22</v>
      </c>
      <c r="W52" s="22">
        <f t="shared" si="4"/>
        <v>66.855999999999995</v>
      </c>
      <c r="X52" s="22">
        <f t="shared" si="5"/>
        <v>16.5</v>
      </c>
      <c r="Y52" s="22">
        <v>16</v>
      </c>
      <c r="Z52" s="22">
        <v>0.5</v>
      </c>
      <c r="AA52" s="371">
        <v>104.46</v>
      </c>
      <c r="AB52" s="22">
        <v>0.1579551981619759</v>
      </c>
      <c r="AC52" s="24">
        <v>2.2955198161975887E-2</v>
      </c>
      <c r="AD52" s="384">
        <v>-20986.321473656772</v>
      </c>
    </row>
    <row r="53" spans="1:30">
      <c r="A53" s="21" t="s">
        <v>533</v>
      </c>
      <c r="B53" s="21" t="s">
        <v>534</v>
      </c>
      <c r="C53" s="23">
        <v>209.2</v>
      </c>
      <c r="D53" s="147">
        <v>0</v>
      </c>
      <c r="E53" s="22">
        <v>54.43</v>
      </c>
      <c r="F53" s="22">
        <v>54.43</v>
      </c>
      <c r="G53" s="22">
        <v>0</v>
      </c>
      <c r="H53" s="22">
        <v>14.08</v>
      </c>
      <c r="I53" s="22">
        <v>0.5</v>
      </c>
      <c r="J53" s="22">
        <v>0</v>
      </c>
      <c r="K53" s="22">
        <v>2.8</v>
      </c>
      <c r="L53" s="22">
        <v>0</v>
      </c>
      <c r="M53" s="388">
        <v>708.86</v>
      </c>
      <c r="N53" s="25">
        <v>0.56020000000000003</v>
      </c>
      <c r="O53" s="24">
        <v>714</v>
      </c>
      <c r="P53" s="24">
        <v>132.5</v>
      </c>
      <c r="Q53" s="24">
        <v>80.75</v>
      </c>
      <c r="R53" s="22">
        <v>51.75</v>
      </c>
      <c r="S53" s="24">
        <v>22</v>
      </c>
      <c r="T53" s="24">
        <f t="shared" si="3"/>
        <v>154.5</v>
      </c>
      <c r="U53" s="376">
        <v>390.37</v>
      </c>
      <c r="V53" s="376">
        <v>35.44</v>
      </c>
      <c r="W53" s="22">
        <f t="shared" si="4"/>
        <v>218.68527400000002</v>
      </c>
      <c r="X53" s="22">
        <f t="shared" si="5"/>
        <v>96.25</v>
      </c>
      <c r="Y53" s="22">
        <v>71.75</v>
      </c>
      <c r="Z53" s="22">
        <v>24.5</v>
      </c>
      <c r="AA53" s="371">
        <v>714.02</v>
      </c>
      <c r="AB53" s="22">
        <v>0.13480014565418336</v>
      </c>
      <c r="AC53" s="24">
        <v>0</v>
      </c>
      <c r="AD53" s="384">
        <v>0</v>
      </c>
    </row>
    <row r="54" spans="1:30">
      <c r="A54" s="21" t="s">
        <v>491</v>
      </c>
      <c r="B54" s="21" t="s">
        <v>492</v>
      </c>
      <c r="C54" s="23">
        <v>428.1</v>
      </c>
      <c r="D54" s="147">
        <v>14.62</v>
      </c>
      <c r="E54" s="22">
        <v>113.13</v>
      </c>
      <c r="F54" s="22">
        <v>127.75</v>
      </c>
      <c r="G54" s="22">
        <v>14.15</v>
      </c>
      <c r="H54" s="22">
        <v>21.99</v>
      </c>
      <c r="I54" s="22">
        <v>1.56</v>
      </c>
      <c r="J54" s="22">
        <v>65.830000000000013</v>
      </c>
      <c r="K54" s="22">
        <v>8.6</v>
      </c>
      <c r="L54" s="22">
        <v>0</v>
      </c>
      <c r="M54" s="388">
        <v>1634.53</v>
      </c>
      <c r="N54" s="25">
        <v>0.53720000000000001</v>
      </c>
      <c r="O54" s="24">
        <v>1111</v>
      </c>
      <c r="P54" s="24">
        <v>16.5</v>
      </c>
      <c r="Q54" s="24">
        <v>14.5</v>
      </c>
      <c r="R54" s="22">
        <v>2</v>
      </c>
      <c r="S54" s="24">
        <v>1.75</v>
      </c>
      <c r="T54" s="24">
        <f t="shared" si="3"/>
        <v>18.25</v>
      </c>
      <c r="U54" s="376">
        <v>848.32</v>
      </c>
      <c r="V54" s="376">
        <v>81.73</v>
      </c>
      <c r="W54" s="22">
        <f t="shared" si="4"/>
        <v>455.71750400000002</v>
      </c>
      <c r="X54" s="22">
        <f t="shared" si="5"/>
        <v>238.5</v>
      </c>
      <c r="Y54" s="22">
        <v>153.5</v>
      </c>
      <c r="Z54" s="22">
        <v>85</v>
      </c>
      <c r="AA54" s="371">
        <v>1634.52</v>
      </c>
      <c r="AB54" s="22">
        <v>0.14591439688715954</v>
      </c>
      <c r="AC54" s="24">
        <v>1.0914396887159533E-2</v>
      </c>
      <c r="AD54" s="384">
        <v>-158414.54486364062</v>
      </c>
    </row>
    <row r="55" spans="1:30">
      <c r="A55" s="21" t="s">
        <v>401</v>
      </c>
      <c r="B55" s="21" t="s">
        <v>402</v>
      </c>
      <c r="C55" s="23">
        <v>169.21</v>
      </c>
      <c r="D55" s="147">
        <v>6.05</v>
      </c>
      <c r="E55" s="22">
        <v>44.06</v>
      </c>
      <c r="F55" s="22">
        <v>50.11</v>
      </c>
      <c r="G55" s="22">
        <v>0</v>
      </c>
      <c r="H55" s="22">
        <v>1.02</v>
      </c>
      <c r="I55" s="22">
        <v>1.98</v>
      </c>
      <c r="J55" s="22">
        <v>4.05</v>
      </c>
      <c r="K55" s="22">
        <v>0</v>
      </c>
      <c r="L55" s="22">
        <v>0</v>
      </c>
      <c r="M55" s="388">
        <v>487.69000000000005</v>
      </c>
      <c r="N55" s="25">
        <v>0.70440000000000003</v>
      </c>
      <c r="O55" s="24">
        <v>504</v>
      </c>
      <c r="P55" s="24">
        <v>0</v>
      </c>
      <c r="Q55" s="24">
        <v>0</v>
      </c>
      <c r="R55" s="22">
        <v>0</v>
      </c>
      <c r="S55" s="24">
        <v>0</v>
      </c>
      <c r="T55" s="24">
        <f t="shared" si="3"/>
        <v>0</v>
      </c>
      <c r="U55" s="376">
        <v>343.53</v>
      </c>
      <c r="V55" s="376">
        <v>24.38</v>
      </c>
      <c r="W55" s="22">
        <f t="shared" si="4"/>
        <v>241.98253199999999</v>
      </c>
      <c r="X55" s="22">
        <f t="shared" si="5"/>
        <v>85</v>
      </c>
      <c r="Y55" s="22">
        <v>53.5</v>
      </c>
      <c r="Z55" s="22">
        <v>31.5</v>
      </c>
      <c r="AA55" s="371">
        <v>497.53</v>
      </c>
      <c r="AB55" s="22">
        <v>0.17084396920788697</v>
      </c>
      <c r="AC55" s="24">
        <v>3.5843969207886961E-2</v>
      </c>
      <c r="AD55" s="384">
        <v>-171886.74819231473</v>
      </c>
    </row>
    <row r="56" spans="1:30">
      <c r="A56" s="21" t="s">
        <v>411</v>
      </c>
      <c r="B56" s="21" t="s">
        <v>412</v>
      </c>
      <c r="C56" s="23">
        <v>205.8</v>
      </c>
      <c r="D56" s="147">
        <v>0</v>
      </c>
      <c r="E56" s="22">
        <v>0</v>
      </c>
      <c r="F56" s="22">
        <v>0</v>
      </c>
      <c r="G56" s="22">
        <v>0</v>
      </c>
      <c r="H56" s="22">
        <v>0</v>
      </c>
      <c r="I56" s="22">
        <v>0</v>
      </c>
      <c r="J56" s="22">
        <v>0</v>
      </c>
      <c r="K56" s="22">
        <v>0</v>
      </c>
      <c r="L56" s="22">
        <v>0</v>
      </c>
      <c r="M56" s="388">
        <v>450.66999999999996</v>
      </c>
      <c r="N56" s="25">
        <v>0.19209999999999999</v>
      </c>
      <c r="O56" s="24">
        <v>0</v>
      </c>
      <c r="P56" s="24">
        <v>31.75</v>
      </c>
      <c r="Q56" s="24">
        <v>24.75</v>
      </c>
      <c r="R56" s="22">
        <v>7</v>
      </c>
      <c r="S56" s="24">
        <v>0</v>
      </c>
      <c r="T56" s="24">
        <f t="shared" si="3"/>
        <v>31.75</v>
      </c>
      <c r="U56" s="376">
        <v>86.57</v>
      </c>
      <c r="V56" s="376">
        <v>22.53</v>
      </c>
      <c r="W56" s="22">
        <f t="shared" si="4"/>
        <v>16.630096999999999</v>
      </c>
      <c r="X56" s="22">
        <f t="shared" si="5"/>
        <v>43.25</v>
      </c>
      <c r="Y56" s="22">
        <v>36.25</v>
      </c>
      <c r="Z56" s="22">
        <v>7</v>
      </c>
      <c r="AA56" s="371">
        <v>451.67</v>
      </c>
      <c r="AB56" s="22">
        <v>9.5755750880067297E-2</v>
      </c>
      <c r="AC56" s="24">
        <v>0</v>
      </c>
      <c r="AD56" s="384">
        <v>0</v>
      </c>
    </row>
    <row r="57" spans="1:30">
      <c r="A57" s="21" t="s">
        <v>157</v>
      </c>
      <c r="B57" s="21" t="s">
        <v>158</v>
      </c>
      <c r="C57" s="23">
        <v>104.4</v>
      </c>
      <c r="D57" s="147">
        <v>0</v>
      </c>
      <c r="E57" s="22">
        <v>0</v>
      </c>
      <c r="F57" s="22">
        <v>0</v>
      </c>
      <c r="G57" s="22">
        <v>0</v>
      </c>
      <c r="H57" s="22">
        <v>0</v>
      </c>
      <c r="I57" s="22">
        <v>0</v>
      </c>
      <c r="J57" s="22">
        <v>0</v>
      </c>
      <c r="K57" s="22">
        <v>0</v>
      </c>
      <c r="L57" s="22">
        <v>0</v>
      </c>
      <c r="M57" s="388">
        <v>163.80000000000001</v>
      </c>
      <c r="N57" s="25">
        <v>0.50329999999999997</v>
      </c>
      <c r="O57" s="24">
        <v>0</v>
      </c>
      <c r="P57" s="24">
        <v>2</v>
      </c>
      <c r="Q57" s="24">
        <v>2</v>
      </c>
      <c r="R57" s="22">
        <v>0</v>
      </c>
      <c r="S57" s="24">
        <v>1</v>
      </c>
      <c r="T57" s="24">
        <f t="shared" si="3"/>
        <v>3</v>
      </c>
      <c r="U57" s="376">
        <v>82.44</v>
      </c>
      <c r="V57" s="376">
        <v>8.19</v>
      </c>
      <c r="W57" s="22">
        <f t="shared" si="4"/>
        <v>41.492051999999994</v>
      </c>
      <c r="X57" s="22">
        <f t="shared" si="5"/>
        <v>23</v>
      </c>
      <c r="Y57" s="22">
        <v>15</v>
      </c>
      <c r="Z57" s="22">
        <v>8</v>
      </c>
      <c r="AA57" s="371">
        <v>163.80000000000001</v>
      </c>
      <c r="AB57" s="22">
        <v>0.14041514041514042</v>
      </c>
      <c r="AC57" s="24">
        <v>5.415140415140407E-3</v>
      </c>
      <c r="AD57" s="384">
        <v>-8444.9635838013292</v>
      </c>
    </row>
    <row r="58" spans="1:30">
      <c r="A58" s="21" t="s">
        <v>127</v>
      </c>
      <c r="B58" s="21" t="s">
        <v>128</v>
      </c>
      <c r="C58" s="23">
        <v>55.4</v>
      </c>
      <c r="D58" s="147">
        <v>0</v>
      </c>
      <c r="E58" s="22">
        <v>17.09</v>
      </c>
      <c r="F58" s="22">
        <v>17.09</v>
      </c>
      <c r="G58" s="22">
        <v>0</v>
      </c>
      <c r="H58" s="22">
        <v>3.97</v>
      </c>
      <c r="I58" s="22">
        <v>0.03</v>
      </c>
      <c r="J58" s="22">
        <v>0</v>
      </c>
      <c r="K58" s="22">
        <v>0</v>
      </c>
      <c r="L58" s="22">
        <v>0</v>
      </c>
      <c r="M58" s="388">
        <v>217.93</v>
      </c>
      <c r="N58" s="25">
        <v>0.4098</v>
      </c>
      <c r="O58" s="24">
        <v>0</v>
      </c>
      <c r="P58" s="24">
        <v>0</v>
      </c>
      <c r="Q58" s="24">
        <v>0</v>
      </c>
      <c r="R58" s="22">
        <v>0</v>
      </c>
      <c r="S58" s="24">
        <v>0</v>
      </c>
      <c r="T58" s="24">
        <f t="shared" si="3"/>
        <v>0</v>
      </c>
      <c r="U58" s="376">
        <v>89.31</v>
      </c>
      <c r="V58" s="376">
        <v>10.9</v>
      </c>
      <c r="W58" s="22">
        <f t="shared" si="4"/>
        <v>36.599238</v>
      </c>
      <c r="X58" s="22">
        <f t="shared" si="5"/>
        <v>21.25</v>
      </c>
      <c r="Y58" s="22">
        <v>9.75</v>
      </c>
      <c r="Z58" s="22">
        <v>11.5</v>
      </c>
      <c r="AA58" s="371">
        <v>217.93</v>
      </c>
      <c r="AB58" s="22">
        <v>9.7508374248611931E-2</v>
      </c>
      <c r="AC58" s="24">
        <v>0</v>
      </c>
      <c r="AD58" s="384">
        <v>0</v>
      </c>
    </row>
    <row r="59" spans="1:30">
      <c r="A59" s="21" t="s">
        <v>169</v>
      </c>
      <c r="B59" s="21" t="s">
        <v>170</v>
      </c>
      <c r="C59" s="23">
        <v>281.39999999999998</v>
      </c>
      <c r="D59" s="147">
        <v>0.81</v>
      </c>
      <c r="E59" s="22">
        <v>14.28</v>
      </c>
      <c r="F59" s="22">
        <v>15.09</v>
      </c>
      <c r="G59" s="22">
        <v>0</v>
      </c>
      <c r="H59" s="22">
        <v>36.74</v>
      </c>
      <c r="I59" s="22">
        <v>1.1200000000000001</v>
      </c>
      <c r="J59" s="22">
        <v>0</v>
      </c>
      <c r="K59" s="22">
        <v>51.8</v>
      </c>
      <c r="L59" s="22">
        <v>0</v>
      </c>
      <c r="M59" s="388">
        <v>965.86</v>
      </c>
      <c r="N59" s="25">
        <v>0.3422</v>
      </c>
      <c r="O59" s="24">
        <v>53</v>
      </c>
      <c r="P59" s="24">
        <v>27.75</v>
      </c>
      <c r="Q59" s="24">
        <v>16.75</v>
      </c>
      <c r="R59" s="22">
        <v>11</v>
      </c>
      <c r="S59" s="24">
        <v>3.75</v>
      </c>
      <c r="T59" s="24">
        <f t="shared" si="3"/>
        <v>31.5</v>
      </c>
      <c r="U59" s="376">
        <v>330.52</v>
      </c>
      <c r="V59" s="376">
        <v>48.29</v>
      </c>
      <c r="W59" s="22">
        <f t="shared" si="4"/>
        <v>113.103944</v>
      </c>
      <c r="X59" s="22">
        <f t="shared" si="5"/>
        <v>144</v>
      </c>
      <c r="Y59" s="22">
        <v>99.25</v>
      </c>
      <c r="Z59" s="22">
        <v>44.75</v>
      </c>
      <c r="AA59" s="371">
        <v>967.86</v>
      </c>
      <c r="AB59" s="22">
        <v>0.14878184861446903</v>
      </c>
      <c r="AC59" s="24">
        <v>1.3781848614469017E-2</v>
      </c>
      <c r="AD59" s="384">
        <v>-129636.01278894188</v>
      </c>
    </row>
    <row r="60" spans="1:30">
      <c r="A60" s="21" t="s">
        <v>45</v>
      </c>
      <c r="B60" s="21" t="s">
        <v>46</v>
      </c>
      <c r="C60" s="23">
        <v>56.6</v>
      </c>
      <c r="D60" s="147">
        <v>0</v>
      </c>
      <c r="E60" s="22">
        <v>3.8</v>
      </c>
      <c r="F60" s="22">
        <v>3.8</v>
      </c>
      <c r="G60" s="22">
        <v>0</v>
      </c>
      <c r="H60" s="22">
        <v>4.4000000000000004</v>
      </c>
      <c r="I60" s="22">
        <v>0</v>
      </c>
      <c r="J60" s="22">
        <v>88.58</v>
      </c>
      <c r="K60" s="22">
        <v>0</v>
      </c>
      <c r="L60" s="22">
        <v>0</v>
      </c>
      <c r="M60" s="388">
        <v>307.8</v>
      </c>
      <c r="N60" s="25">
        <v>0.59550000000000003</v>
      </c>
      <c r="O60" s="24">
        <v>216</v>
      </c>
      <c r="P60" s="24">
        <v>0</v>
      </c>
      <c r="Q60" s="24">
        <v>0</v>
      </c>
      <c r="R60" s="22">
        <v>0</v>
      </c>
      <c r="S60" s="24">
        <v>0</v>
      </c>
      <c r="T60" s="24">
        <f t="shared" si="3"/>
        <v>0</v>
      </c>
      <c r="U60" s="376">
        <v>183.29</v>
      </c>
      <c r="V60" s="376">
        <v>15.39</v>
      </c>
      <c r="W60" s="22">
        <f t="shared" si="4"/>
        <v>109.14919500000001</v>
      </c>
      <c r="X60" s="22">
        <f t="shared" si="5"/>
        <v>31.25</v>
      </c>
      <c r="Y60" s="22">
        <v>23.75</v>
      </c>
      <c r="Z60" s="22">
        <v>7.5</v>
      </c>
      <c r="AA60" s="371">
        <v>307.8</v>
      </c>
      <c r="AB60" s="22">
        <v>0.10152696556205328</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86.8</v>
      </c>
      <c r="N61" s="25">
        <v>0.4884</v>
      </c>
      <c r="O61" s="24">
        <v>40</v>
      </c>
      <c r="P61" s="24">
        <v>0</v>
      </c>
      <c r="Q61" s="24">
        <v>0</v>
      </c>
      <c r="R61" s="22">
        <v>0</v>
      </c>
      <c r="S61" s="24">
        <v>0</v>
      </c>
      <c r="T61" s="24">
        <f t="shared" si="3"/>
        <v>0</v>
      </c>
      <c r="U61" s="376">
        <v>42.39</v>
      </c>
      <c r="V61" s="376">
        <v>4.34</v>
      </c>
      <c r="W61" s="22">
        <f t="shared" si="4"/>
        <v>20.703275999999999</v>
      </c>
      <c r="X61" s="22">
        <f t="shared" si="5"/>
        <v>22</v>
      </c>
      <c r="Y61" s="22">
        <v>17.5</v>
      </c>
      <c r="Z61" s="22">
        <v>4.5</v>
      </c>
      <c r="AA61" s="371">
        <v>86.8</v>
      </c>
      <c r="AB61" s="22">
        <v>0.25345622119815669</v>
      </c>
      <c r="AC61" s="24">
        <v>0.11845622119815669</v>
      </c>
      <c r="AD61" s="384">
        <v>-90198.354959279517</v>
      </c>
    </row>
    <row r="62" spans="1:30">
      <c r="A62" s="21" t="s">
        <v>103</v>
      </c>
      <c r="B62" s="21" t="s">
        <v>104</v>
      </c>
      <c r="C62" s="23">
        <v>46</v>
      </c>
      <c r="D62" s="147">
        <v>0</v>
      </c>
      <c r="E62" s="22">
        <v>8.14</v>
      </c>
      <c r="F62" s="22">
        <v>8.14</v>
      </c>
      <c r="G62" s="22">
        <v>0</v>
      </c>
      <c r="H62" s="22">
        <v>0</v>
      </c>
      <c r="I62" s="22">
        <v>0</v>
      </c>
      <c r="J62" s="22">
        <v>34.090000000000003</v>
      </c>
      <c r="K62" s="22">
        <v>26</v>
      </c>
      <c r="L62" s="22">
        <v>0</v>
      </c>
      <c r="M62" s="388">
        <v>242.10999999999999</v>
      </c>
      <c r="N62" s="25">
        <v>0.53210000000000002</v>
      </c>
      <c r="O62" s="24">
        <v>244</v>
      </c>
      <c r="P62" s="24">
        <v>0</v>
      </c>
      <c r="Q62" s="24">
        <v>0</v>
      </c>
      <c r="R62" s="22">
        <v>0</v>
      </c>
      <c r="S62" s="24">
        <v>0</v>
      </c>
      <c r="T62" s="24">
        <f t="shared" si="3"/>
        <v>0</v>
      </c>
      <c r="U62" s="376">
        <v>128.83000000000001</v>
      </c>
      <c r="V62" s="376">
        <v>0</v>
      </c>
      <c r="W62" s="22">
        <f t="shared" si="4"/>
        <v>68.550443000000016</v>
      </c>
      <c r="X62" s="22">
        <f t="shared" si="5"/>
        <v>26</v>
      </c>
      <c r="Y62" s="22">
        <v>23</v>
      </c>
      <c r="Z62" s="22">
        <v>3</v>
      </c>
      <c r="AA62" s="371">
        <v>242.11</v>
      </c>
      <c r="AB62" s="22">
        <v>0.10738920325471893</v>
      </c>
      <c r="AC62" s="24">
        <v>0</v>
      </c>
      <c r="AD62" s="384">
        <v>0</v>
      </c>
    </row>
    <row r="63" spans="1:30">
      <c r="A63" s="21" t="s">
        <v>357</v>
      </c>
      <c r="B63" s="21" t="s">
        <v>358</v>
      </c>
      <c r="C63" s="23">
        <v>61.9</v>
      </c>
      <c r="D63" s="147">
        <v>0</v>
      </c>
      <c r="E63" s="22">
        <v>12.18</v>
      </c>
      <c r="F63" s="22">
        <v>12.18</v>
      </c>
      <c r="G63" s="22">
        <v>0</v>
      </c>
      <c r="H63" s="22">
        <v>0</v>
      </c>
      <c r="I63" s="22">
        <v>0</v>
      </c>
      <c r="J63" s="22">
        <v>104.00999999999999</v>
      </c>
      <c r="K63" s="22">
        <v>0</v>
      </c>
      <c r="L63" s="22">
        <v>0</v>
      </c>
      <c r="M63" s="388">
        <v>321.44</v>
      </c>
      <c r="N63" s="25">
        <v>0.69210000000000005</v>
      </c>
      <c r="O63" s="24">
        <v>227</v>
      </c>
      <c r="P63" s="24">
        <v>0</v>
      </c>
      <c r="Q63" s="24">
        <v>0</v>
      </c>
      <c r="R63" s="22">
        <v>0</v>
      </c>
      <c r="S63" s="24">
        <v>0</v>
      </c>
      <c r="T63" s="24">
        <f t="shared" si="3"/>
        <v>0</v>
      </c>
      <c r="U63" s="376">
        <v>222.47</v>
      </c>
      <c r="V63" s="376">
        <v>16.07</v>
      </c>
      <c r="W63" s="22">
        <f t="shared" si="4"/>
        <v>153.971487</v>
      </c>
      <c r="X63" s="22">
        <f t="shared" si="5"/>
        <v>46.25</v>
      </c>
      <c r="Y63" s="22">
        <v>36</v>
      </c>
      <c r="Z63" s="22">
        <v>10.25</v>
      </c>
      <c r="AA63" s="371">
        <v>321.44</v>
      </c>
      <c r="AB63" s="22">
        <v>0.14388377302140368</v>
      </c>
      <c r="AC63" s="24">
        <v>8.8837730214036681E-3</v>
      </c>
      <c r="AD63" s="384">
        <v>-24597.664327940776</v>
      </c>
    </row>
    <row r="64" spans="1:30">
      <c r="A64" s="21" t="s">
        <v>239</v>
      </c>
      <c r="B64" s="21" t="s">
        <v>240</v>
      </c>
      <c r="C64" s="23">
        <v>25.6</v>
      </c>
      <c r="D64" s="147">
        <v>0</v>
      </c>
      <c r="E64" s="22">
        <v>0</v>
      </c>
      <c r="F64" s="22">
        <v>0</v>
      </c>
      <c r="G64" s="22">
        <v>0</v>
      </c>
      <c r="H64" s="22">
        <v>0</v>
      </c>
      <c r="I64" s="22">
        <v>0</v>
      </c>
      <c r="J64" s="22">
        <v>0</v>
      </c>
      <c r="K64" s="22">
        <v>0</v>
      </c>
      <c r="L64" s="22">
        <v>0</v>
      </c>
      <c r="M64" s="388">
        <v>41.400000000000006</v>
      </c>
      <c r="N64" s="25">
        <v>0</v>
      </c>
      <c r="O64" s="24">
        <v>0</v>
      </c>
      <c r="P64" s="24">
        <v>0</v>
      </c>
      <c r="Q64" s="24">
        <v>0</v>
      </c>
      <c r="R64" s="22">
        <v>0</v>
      </c>
      <c r="S64" s="24">
        <v>0</v>
      </c>
      <c r="T64" s="24">
        <f t="shared" si="3"/>
        <v>0</v>
      </c>
      <c r="U64" s="376">
        <v>0</v>
      </c>
      <c r="V64" s="376">
        <v>0</v>
      </c>
      <c r="W64" s="22">
        <f t="shared" si="4"/>
        <v>0</v>
      </c>
      <c r="X64" s="22">
        <f t="shared" si="5"/>
        <v>4.25</v>
      </c>
      <c r="Y64" s="22">
        <v>3.25</v>
      </c>
      <c r="Z64" s="22">
        <v>1</v>
      </c>
      <c r="AA64" s="371">
        <v>41.4</v>
      </c>
      <c r="AB64" s="22">
        <v>0.10265700483091787</v>
      </c>
      <c r="AC64" s="24">
        <v>0</v>
      </c>
      <c r="AD64" s="384">
        <v>0</v>
      </c>
    </row>
    <row r="65" spans="1:30">
      <c r="A65" s="21" t="s">
        <v>445</v>
      </c>
      <c r="B65" s="21" t="s">
        <v>446</v>
      </c>
      <c r="C65" s="23">
        <v>150.11000000000001</v>
      </c>
      <c r="D65" s="147">
        <v>0</v>
      </c>
      <c r="E65" s="22">
        <v>24.27</v>
      </c>
      <c r="F65" s="22">
        <v>24.27</v>
      </c>
      <c r="G65" s="22">
        <v>0</v>
      </c>
      <c r="H65" s="22">
        <v>1.5</v>
      </c>
      <c r="I65" s="22">
        <v>0</v>
      </c>
      <c r="J65" s="22">
        <v>4.88</v>
      </c>
      <c r="K65" s="22">
        <v>0</v>
      </c>
      <c r="L65" s="22">
        <v>0</v>
      </c>
      <c r="M65" s="388">
        <v>403.39</v>
      </c>
      <c r="N65" s="25">
        <v>0.47520000000000001</v>
      </c>
      <c r="O65" s="24">
        <v>284</v>
      </c>
      <c r="P65" s="24">
        <v>5</v>
      </c>
      <c r="Q65" s="24">
        <v>4</v>
      </c>
      <c r="R65" s="22">
        <v>1</v>
      </c>
      <c r="S65" s="24">
        <v>0</v>
      </c>
      <c r="T65" s="24">
        <f t="shared" si="3"/>
        <v>5</v>
      </c>
      <c r="U65" s="376">
        <v>191.69</v>
      </c>
      <c r="V65" s="376">
        <v>20.170000000000002</v>
      </c>
      <c r="W65" s="22">
        <f t="shared" si="4"/>
        <v>91.091087999999999</v>
      </c>
      <c r="X65" s="22">
        <f t="shared" si="5"/>
        <v>73.25</v>
      </c>
      <c r="Y65" s="22">
        <v>66.75</v>
      </c>
      <c r="Z65" s="22">
        <v>6.5</v>
      </c>
      <c r="AA65" s="371">
        <v>407.35</v>
      </c>
      <c r="AB65" s="22">
        <v>0.17982079292991285</v>
      </c>
      <c r="AC65" s="24">
        <v>4.4820792929912839E-2</v>
      </c>
      <c r="AD65" s="384">
        <v>-178252.52447629019</v>
      </c>
    </row>
    <row r="66" spans="1:30">
      <c r="A66" s="21" t="s">
        <v>311</v>
      </c>
      <c r="B66" s="21" t="s">
        <v>312</v>
      </c>
      <c r="C66" s="23">
        <v>188.8</v>
      </c>
      <c r="D66" s="147">
        <v>23.83</v>
      </c>
      <c r="E66" s="22">
        <v>61.61</v>
      </c>
      <c r="F66" s="22">
        <v>85.44</v>
      </c>
      <c r="G66" s="22">
        <v>1.73</v>
      </c>
      <c r="H66" s="22">
        <v>6.76</v>
      </c>
      <c r="I66" s="22">
        <v>0.5</v>
      </c>
      <c r="J66" s="22">
        <v>14.760000000000002</v>
      </c>
      <c r="K66" s="22">
        <v>0</v>
      </c>
      <c r="L66" s="22">
        <v>0</v>
      </c>
      <c r="M66" s="388">
        <v>570.99</v>
      </c>
      <c r="N66" s="25">
        <v>0.55049999999999999</v>
      </c>
      <c r="O66" s="24">
        <v>250</v>
      </c>
      <c r="P66" s="24">
        <v>0</v>
      </c>
      <c r="Q66" s="24">
        <v>0</v>
      </c>
      <c r="R66" s="22">
        <v>0</v>
      </c>
      <c r="S66" s="24">
        <v>0</v>
      </c>
      <c r="T66" s="24">
        <f t="shared" si="3"/>
        <v>0</v>
      </c>
      <c r="U66" s="376">
        <v>314.33</v>
      </c>
      <c r="V66" s="376">
        <v>0</v>
      </c>
      <c r="W66" s="22">
        <f t="shared" si="4"/>
        <v>173.03866499999998</v>
      </c>
      <c r="X66" s="22">
        <f t="shared" si="5"/>
        <v>71.5</v>
      </c>
      <c r="Y66" s="22">
        <v>51.5</v>
      </c>
      <c r="Z66" s="22">
        <v>20</v>
      </c>
      <c r="AA66" s="371">
        <v>570.98</v>
      </c>
      <c r="AB66" s="22">
        <v>0.12522330029072823</v>
      </c>
      <c r="AC66" s="24">
        <v>0</v>
      </c>
      <c r="AD66" s="384">
        <v>0</v>
      </c>
    </row>
    <row r="67" spans="1:30">
      <c r="A67" s="21" t="s">
        <v>73</v>
      </c>
      <c r="B67" s="21" t="s">
        <v>74</v>
      </c>
      <c r="C67" s="23">
        <v>120.8</v>
      </c>
      <c r="D67" s="147">
        <v>13.22</v>
      </c>
      <c r="E67" s="22">
        <v>32.86</v>
      </c>
      <c r="F67" s="22">
        <v>46.08</v>
      </c>
      <c r="G67" s="22">
        <v>0</v>
      </c>
      <c r="H67" s="22">
        <v>5.62</v>
      </c>
      <c r="I67" s="22">
        <v>0.43</v>
      </c>
      <c r="J67" s="22">
        <v>0</v>
      </c>
      <c r="K67" s="22">
        <v>1.93</v>
      </c>
      <c r="L67" s="22">
        <v>7.0000000000000007E-2</v>
      </c>
      <c r="M67" s="388">
        <v>356.25</v>
      </c>
      <c r="N67" s="25">
        <v>0.53320000000000001</v>
      </c>
      <c r="O67" s="24">
        <v>363</v>
      </c>
      <c r="P67" s="24">
        <v>1.75</v>
      </c>
      <c r="Q67" s="24">
        <v>1.75</v>
      </c>
      <c r="R67" s="22">
        <v>0</v>
      </c>
      <c r="S67" s="24">
        <v>1</v>
      </c>
      <c r="T67" s="24">
        <f t="shared" si="3"/>
        <v>2.75</v>
      </c>
      <c r="U67" s="376">
        <v>189.95</v>
      </c>
      <c r="V67" s="376">
        <v>17.809999999999999</v>
      </c>
      <c r="W67" s="22">
        <f t="shared" si="4"/>
        <v>101.28134</v>
      </c>
      <c r="X67" s="22">
        <f t="shared" si="5"/>
        <v>47.5</v>
      </c>
      <c r="Y67" s="22">
        <v>35.5</v>
      </c>
      <c r="Z67" s="22">
        <v>12</v>
      </c>
      <c r="AA67" s="371">
        <v>356.89</v>
      </c>
      <c r="AB67" s="22">
        <v>0.13309423071534646</v>
      </c>
      <c r="AC67" s="24">
        <v>0</v>
      </c>
      <c r="AD67" s="384">
        <v>0</v>
      </c>
    </row>
    <row r="68" spans="1:30">
      <c r="A68" s="21" t="s">
        <v>475</v>
      </c>
      <c r="B68" s="21" t="s">
        <v>476</v>
      </c>
      <c r="C68" s="23">
        <v>566.64</v>
      </c>
      <c r="D68" s="147">
        <v>0</v>
      </c>
      <c r="E68" s="22">
        <v>111.04</v>
      </c>
      <c r="F68" s="22">
        <v>111.04</v>
      </c>
      <c r="G68" s="22">
        <v>0</v>
      </c>
      <c r="H68" s="22">
        <v>77.94</v>
      </c>
      <c r="I68" s="22">
        <v>6.53</v>
      </c>
      <c r="J68" s="22">
        <v>561.75</v>
      </c>
      <c r="K68" s="22">
        <v>4.5999999999999996</v>
      </c>
      <c r="L68" s="22">
        <v>0</v>
      </c>
      <c r="M68" s="388">
        <v>2514.6999999999998</v>
      </c>
      <c r="N68" s="25">
        <v>0.48470000000000002</v>
      </c>
      <c r="O68" s="24">
        <v>1331</v>
      </c>
      <c r="P68" s="24">
        <v>24.25</v>
      </c>
      <c r="Q68" s="24">
        <v>16.75</v>
      </c>
      <c r="R68" s="22">
        <v>7.5</v>
      </c>
      <c r="S68" s="24">
        <v>4.25</v>
      </c>
      <c r="T68" s="24">
        <f t="shared" si="3"/>
        <v>28.5</v>
      </c>
      <c r="U68" s="376">
        <v>1218.8800000000001</v>
      </c>
      <c r="V68" s="376">
        <v>125.74</v>
      </c>
      <c r="W68" s="22">
        <f t="shared" si="4"/>
        <v>590.79113600000005</v>
      </c>
      <c r="X68" s="22">
        <f t="shared" si="5"/>
        <v>285</v>
      </c>
      <c r="Y68" s="22">
        <v>180.75</v>
      </c>
      <c r="Z68" s="22">
        <v>104.25</v>
      </c>
      <c r="AA68" s="371">
        <v>2527.89</v>
      </c>
      <c r="AB68" s="22">
        <v>0.11274224748703465</v>
      </c>
      <c r="AC68" s="24">
        <v>0</v>
      </c>
      <c r="AD68" s="384">
        <v>0</v>
      </c>
    </row>
    <row r="69" spans="1:30">
      <c r="A69" s="21" t="s">
        <v>373</v>
      </c>
      <c r="B69" s="21" t="s">
        <v>374</v>
      </c>
      <c r="C69" s="23">
        <v>547.96</v>
      </c>
      <c r="D69" s="147">
        <v>29.72</v>
      </c>
      <c r="E69" s="22">
        <v>0</v>
      </c>
      <c r="F69" s="22">
        <v>29.72</v>
      </c>
      <c r="G69" s="22">
        <v>0</v>
      </c>
      <c r="H69" s="22">
        <v>0</v>
      </c>
      <c r="I69" s="22">
        <v>0</v>
      </c>
      <c r="J69" s="22">
        <v>0</v>
      </c>
      <c r="K69" s="22">
        <v>0</v>
      </c>
      <c r="L69" s="22">
        <v>0</v>
      </c>
      <c r="M69" s="388">
        <v>1365.5600000000002</v>
      </c>
      <c r="N69" s="25">
        <v>0.1739</v>
      </c>
      <c r="O69" s="24">
        <v>0</v>
      </c>
      <c r="P69" s="24">
        <v>56.5</v>
      </c>
      <c r="Q69" s="24">
        <v>48.75</v>
      </c>
      <c r="R69" s="22">
        <v>7.75</v>
      </c>
      <c r="S69" s="24">
        <v>37.75</v>
      </c>
      <c r="T69" s="24">
        <f t="shared" si="3"/>
        <v>94.25</v>
      </c>
      <c r="U69" s="376">
        <v>237.47</v>
      </c>
      <c r="V69" s="376">
        <v>68.28</v>
      </c>
      <c r="W69" s="22">
        <f t="shared" si="4"/>
        <v>41.296033000000001</v>
      </c>
      <c r="X69" s="22">
        <f t="shared" si="5"/>
        <v>155.25</v>
      </c>
      <c r="Y69" s="22">
        <v>82.5</v>
      </c>
      <c r="Z69" s="22">
        <v>72.75</v>
      </c>
      <c r="AA69" s="371">
        <v>1367.06</v>
      </c>
      <c r="AB69" s="22">
        <v>0.11356487645019239</v>
      </c>
      <c r="AC69" s="24">
        <v>0</v>
      </c>
      <c r="AD69" s="384">
        <v>0</v>
      </c>
    </row>
    <row r="70" spans="1:30">
      <c r="A70" s="21" t="s">
        <v>525</v>
      </c>
      <c r="B70" s="21" t="s">
        <v>526</v>
      </c>
      <c r="C70" s="23">
        <v>12.6</v>
      </c>
      <c r="D70" s="147">
        <v>0</v>
      </c>
      <c r="E70" s="22">
        <v>0</v>
      </c>
      <c r="F70" s="22">
        <v>0</v>
      </c>
      <c r="G70" s="22">
        <v>0</v>
      </c>
      <c r="H70" s="22">
        <v>0</v>
      </c>
      <c r="I70" s="22">
        <v>0</v>
      </c>
      <c r="J70" s="22">
        <v>0</v>
      </c>
      <c r="K70" s="22">
        <v>0</v>
      </c>
      <c r="L70" s="22">
        <v>0</v>
      </c>
      <c r="M70" s="388">
        <v>17.600000000000001</v>
      </c>
      <c r="N70" s="25">
        <v>1</v>
      </c>
      <c r="O70" s="24">
        <v>14</v>
      </c>
      <c r="P70" s="24">
        <v>0</v>
      </c>
      <c r="Q70" s="24">
        <v>0</v>
      </c>
      <c r="R70" s="22">
        <v>0</v>
      </c>
      <c r="S70" s="24">
        <v>0</v>
      </c>
      <c r="T70" s="24">
        <f t="shared" si="3"/>
        <v>0</v>
      </c>
      <c r="U70" s="376">
        <v>17.600000000000001</v>
      </c>
      <c r="V70" s="376">
        <v>0</v>
      </c>
      <c r="W70" s="22">
        <f t="shared" si="4"/>
        <v>17.600000000000001</v>
      </c>
      <c r="X70" s="22">
        <f t="shared" si="5"/>
        <v>2</v>
      </c>
      <c r="Y70" s="22">
        <v>2</v>
      </c>
      <c r="Z70" s="22">
        <v>0</v>
      </c>
      <c r="AA70" s="371">
        <v>17.600000000000001</v>
      </c>
      <c r="AB70" s="22">
        <v>0.11363636363636363</v>
      </c>
      <c r="AC70" s="24">
        <v>0</v>
      </c>
      <c r="AD70" s="384">
        <v>0</v>
      </c>
    </row>
    <row r="71" spans="1:30">
      <c r="A71" s="21" t="s">
        <v>469</v>
      </c>
      <c r="B71" s="21" t="s">
        <v>470</v>
      </c>
      <c r="C71" s="23">
        <v>976.02</v>
      </c>
      <c r="D71" s="147">
        <v>30.59</v>
      </c>
      <c r="E71" s="22">
        <v>212.13</v>
      </c>
      <c r="F71" s="22">
        <v>242.72</v>
      </c>
      <c r="G71" s="22">
        <v>0</v>
      </c>
      <c r="H71" s="22">
        <v>80.459999999999994</v>
      </c>
      <c r="I71" s="22">
        <v>6.41</v>
      </c>
      <c r="J71" s="22">
        <v>289.70000000000005</v>
      </c>
      <c r="K71" s="22">
        <v>2.8</v>
      </c>
      <c r="L71" s="22">
        <v>0</v>
      </c>
      <c r="M71" s="388">
        <v>3502.74</v>
      </c>
      <c r="N71" s="25">
        <v>0.54749999999999999</v>
      </c>
      <c r="O71" s="24">
        <v>1895</v>
      </c>
      <c r="P71" s="24">
        <v>90.75</v>
      </c>
      <c r="Q71" s="24">
        <v>63</v>
      </c>
      <c r="R71" s="22">
        <v>27.75</v>
      </c>
      <c r="S71" s="24">
        <v>32</v>
      </c>
      <c r="T71" s="24">
        <f t="shared" si="3"/>
        <v>122.75</v>
      </c>
      <c r="U71" s="376">
        <v>1919.85</v>
      </c>
      <c r="V71" s="376">
        <v>175.14</v>
      </c>
      <c r="W71" s="22">
        <f t="shared" si="4"/>
        <v>1051.1178749999999</v>
      </c>
      <c r="X71" s="22">
        <f t="shared" si="5"/>
        <v>536</v>
      </c>
      <c r="Y71" s="22">
        <v>303.25</v>
      </c>
      <c r="Z71" s="22">
        <v>232.75</v>
      </c>
      <c r="AA71" s="371">
        <v>3598.35</v>
      </c>
      <c r="AB71" s="22">
        <v>0.14895716092097766</v>
      </c>
      <c r="AC71" s="24">
        <v>1.3957160920977651E-2</v>
      </c>
      <c r="AD71" s="384">
        <v>-447484.90159460338</v>
      </c>
    </row>
    <row r="72" spans="1:30">
      <c r="A72" s="21" t="s">
        <v>587</v>
      </c>
      <c r="B72" s="21" t="s">
        <v>588</v>
      </c>
      <c r="C72" s="23">
        <v>983.59</v>
      </c>
      <c r="D72" s="147">
        <v>24.9</v>
      </c>
      <c r="E72" s="22">
        <v>181.58</v>
      </c>
      <c r="F72" s="22">
        <v>206.48000000000002</v>
      </c>
      <c r="G72" s="22">
        <v>0</v>
      </c>
      <c r="H72" s="22">
        <v>49.65</v>
      </c>
      <c r="I72" s="22">
        <v>3.28</v>
      </c>
      <c r="J72" s="22">
        <v>3.2</v>
      </c>
      <c r="K72" s="22">
        <v>14.2</v>
      </c>
      <c r="L72" s="22">
        <v>0</v>
      </c>
      <c r="M72" s="388">
        <v>3259.06</v>
      </c>
      <c r="N72" s="25">
        <v>0.58460000000000001</v>
      </c>
      <c r="O72" s="24">
        <v>3252</v>
      </c>
      <c r="P72" s="24">
        <v>343.75</v>
      </c>
      <c r="Q72" s="24">
        <v>249</v>
      </c>
      <c r="R72" s="22">
        <v>94.75</v>
      </c>
      <c r="S72" s="24">
        <v>80.5</v>
      </c>
      <c r="T72" s="24">
        <f t="shared" si="3"/>
        <v>424.25</v>
      </c>
      <c r="U72" s="376">
        <v>1905.25</v>
      </c>
      <c r="V72" s="376">
        <v>162.94999999999999</v>
      </c>
      <c r="W72" s="22">
        <f t="shared" si="4"/>
        <v>1113.80915</v>
      </c>
      <c r="X72" s="22">
        <f t="shared" si="5"/>
        <v>380</v>
      </c>
      <c r="Y72" s="22">
        <v>206.25</v>
      </c>
      <c r="Z72" s="22">
        <v>173.75</v>
      </c>
      <c r="AA72" s="371">
        <v>3311.05</v>
      </c>
      <c r="AB72" s="22">
        <v>0.11476721885806616</v>
      </c>
      <c r="AC72" s="24">
        <v>0</v>
      </c>
      <c r="AD72" s="384">
        <v>0</v>
      </c>
    </row>
    <row r="73" spans="1:30">
      <c r="A73" s="21" t="s">
        <v>95</v>
      </c>
      <c r="B73" s="21" t="s">
        <v>96</v>
      </c>
      <c r="C73" s="23">
        <v>1570.46</v>
      </c>
      <c r="D73" s="147">
        <v>131.41999999999999</v>
      </c>
      <c r="E73" s="22">
        <v>344.87</v>
      </c>
      <c r="F73" s="22">
        <v>476.28999999999996</v>
      </c>
      <c r="G73" s="22">
        <v>0</v>
      </c>
      <c r="H73" s="22">
        <v>128.69999999999999</v>
      </c>
      <c r="I73" s="22">
        <v>6.2</v>
      </c>
      <c r="J73" s="22">
        <v>205.97</v>
      </c>
      <c r="K73" s="22">
        <v>0</v>
      </c>
      <c r="L73" s="22">
        <v>0</v>
      </c>
      <c r="M73" s="388">
        <v>5822.79</v>
      </c>
      <c r="N73" s="25">
        <v>0.58520000000000005</v>
      </c>
      <c r="O73" s="24">
        <v>5343</v>
      </c>
      <c r="P73" s="24">
        <v>1040.5</v>
      </c>
      <c r="Q73" s="24">
        <v>680.5</v>
      </c>
      <c r="R73" s="22">
        <v>360</v>
      </c>
      <c r="S73" s="24">
        <v>243.75</v>
      </c>
      <c r="T73" s="24">
        <f t="shared" ref="T73:T136" si="6">S73+P73</f>
        <v>1284.25</v>
      </c>
      <c r="U73" s="376">
        <v>3407.5</v>
      </c>
      <c r="V73" s="376">
        <v>291.14</v>
      </c>
      <c r="W73" s="22">
        <f t="shared" ref="W73:W136" si="7">U73*N73</f>
        <v>1994.0690000000002</v>
      </c>
      <c r="X73" s="22">
        <f t="shared" ref="X73:X136" si="8">Y73+Z73</f>
        <v>658.25</v>
      </c>
      <c r="Y73" s="22">
        <v>460.75</v>
      </c>
      <c r="Z73" s="22">
        <v>197.5</v>
      </c>
      <c r="AA73" s="371">
        <v>5858.31</v>
      </c>
      <c r="AB73" s="22">
        <v>0.11236175620614135</v>
      </c>
      <c r="AC73" s="24">
        <v>0</v>
      </c>
      <c r="AD73" s="384">
        <v>0</v>
      </c>
    </row>
    <row r="74" spans="1:30">
      <c r="A74" s="21" t="s">
        <v>241</v>
      </c>
      <c r="B74" s="21" t="s">
        <v>242</v>
      </c>
      <c r="C74" s="23">
        <v>17.96</v>
      </c>
      <c r="D74" s="147">
        <v>0</v>
      </c>
      <c r="E74" s="22">
        <v>0</v>
      </c>
      <c r="F74" s="22">
        <v>0</v>
      </c>
      <c r="G74" s="22">
        <v>0</v>
      </c>
      <c r="H74" s="22">
        <v>2.82</v>
      </c>
      <c r="I74" s="22">
        <v>0</v>
      </c>
      <c r="J74" s="22">
        <v>0</v>
      </c>
      <c r="K74" s="22">
        <v>0</v>
      </c>
      <c r="L74" s="22">
        <v>0</v>
      </c>
      <c r="M74" s="388">
        <v>83.259999999999991</v>
      </c>
      <c r="N74" s="25">
        <v>0.74419999999999997</v>
      </c>
      <c r="O74" s="24">
        <v>86</v>
      </c>
      <c r="P74" s="24">
        <v>6</v>
      </c>
      <c r="Q74" s="24">
        <v>1</v>
      </c>
      <c r="R74" s="22">
        <v>5</v>
      </c>
      <c r="S74" s="24">
        <v>5</v>
      </c>
      <c r="T74" s="24">
        <f t="shared" si="6"/>
        <v>11</v>
      </c>
      <c r="U74" s="376">
        <v>61.96</v>
      </c>
      <c r="V74" s="376">
        <v>0</v>
      </c>
      <c r="W74" s="22">
        <f t="shared" si="7"/>
        <v>46.110631999999995</v>
      </c>
      <c r="X74" s="22">
        <f t="shared" si="8"/>
        <v>7.75</v>
      </c>
      <c r="Y74" s="22">
        <v>5.75</v>
      </c>
      <c r="Z74" s="22">
        <v>2</v>
      </c>
      <c r="AA74" s="371">
        <v>83.26</v>
      </c>
      <c r="AB74" s="22">
        <v>9.3081912082632709E-2</v>
      </c>
      <c r="AC74" s="24">
        <v>0</v>
      </c>
      <c r="AD74" s="384">
        <v>0</v>
      </c>
    </row>
    <row r="75" spans="1:30">
      <c r="A75" s="21" t="s">
        <v>385</v>
      </c>
      <c r="B75" s="21" t="s">
        <v>386</v>
      </c>
      <c r="C75" s="23">
        <v>572.20000000000005</v>
      </c>
      <c r="D75" s="147">
        <v>25.24</v>
      </c>
      <c r="E75" s="22">
        <v>131.85</v>
      </c>
      <c r="F75" s="22">
        <v>157.09</v>
      </c>
      <c r="G75" s="22">
        <v>0</v>
      </c>
      <c r="H75" s="22">
        <v>38.44</v>
      </c>
      <c r="I75" s="22">
        <v>2.38</v>
      </c>
      <c r="J75" s="22">
        <v>64.600000000000009</v>
      </c>
      <c r="K75" s="22">
        <v>24.4</v>
      </c>
      <c r="L75" s="22">
        <v>0</v>
      </c>
      <c r="M75" s="388">
        <v>1907.3200000000002</v>
      </c>
      <c r="N75" s="25">
        <v>0.41880000000000001</v>
      </c>
      <c r="O75" s="24">
        <v>200</v>
      </c>
      <c r="P75" s="24">
        <v>15.25</v>
      </c>
      <c r="Q75" s="24">
        <v>6.25</v>
      </c>
      <c r="R75" s="22">
        <v>9</v>
      </c>
      <c r="S75" s="24">
        <v>1</v>
      </c>
      <c r="T75" s="24">
        <f t="shared" si="6"/>
        <v>16.25</v>
      </c>
      <c r="U75" s="376">
        <v>798.79</v>
      </c>
      <c r="V75" s="376">
        <v>95.37</v>
      </c>
      <c r="W75" s="22">
        <f t="shared" si="7"/>
        <v>334.533252</v>
      </c>
      <c r="X75" s="22">
        <f t="shared" si="8"/>
        <v>211</v>
      </c>
      <c r="Y75" s="22">
        <v>132</v>
      </c>
      <c r="Z75" s="22">
        <v>79</v>
      </c>
      <c r="AA75" s="371">
        <v>1937.62</v>
      </c>
      <c r="AB75" s="22">
        <v>0.10889648125019354</v>
      </c>
      <c r="AC75" s="24">
        <v>0</v>
      </c>
      <c r="AD75" s="384">
        <v>0</v>
      </c>
    </row>
    <row r="76" spans="1:30">
      <c r="A76" s="21" t="s">
        <v>429</v>
      </c>
      <c r="B76" s="21" t="s">
        <v>430</v>
      </c>
      <c r="C76" s="23">
        <v>5927.35</v>
      </c>
      <c r="D76" s="147">
        <v>113.59</v>
      </c>
      <c r="E76" s="22">
        <v>925.87</v>
      </c>
      <c r="F76" s="22">
        <v>1039.46</v>
      </c>
      <c r="G76" s="22">
        <v>0</v>
      </c>
      <c r="H76" s="22">
        <v>358.56</v>
      </c>
      <c r="I76" s="22">
        <v>41.34</v>
      </c>
      <c r="J76" s="22">
        <v>884.1400000000001</v>
      </c>
      <c r="K76" s="22">
        <v>115.72</v>
      </c>
      <c r="L76" s="22">
        <v>0</v>
      </c>
      <c r="M76" s="388">
        <v>20060.140000000003</v>
      </c>
      <c r="N76" s="25">
        <v>0.36670000000000003</v>
      </c>
      <c r="O76" s="24">
        <v>2228</v>
      </c>
      <c r="P76" s="24">
        <v>3298</v>
      </c>
      <c r="Q76" s="24">
        <v>2127.25</v>
      </c>
      <c r="R76" s="22">
        <v>1170.75</v>
      </c>
      <c r="S76" s="24">
        <v>488.25</v>
      </c>
      <c r="T76" s="24">
        <f t="shared" si="6"/>
        <v>3786.25</v>
      </c>
      <c r="U76" s="376">
        <v>7356.05</v>
      </c>
      <c r="V76" s="376">
        <v>1003.01</v>
      </c>
      <c r="W76" s="22">
        <f t="shared" si="7"/>
        <v>2697.4635350000003</v>
      </c>
      <c r="X76" s="22">
        <f t="shared" si="8"/>
        <v>2726.75</v>
      </c>
      <c r="Y76" s="22">
        <v>1427</v>
      </c>
      <c r="Z76" s="22">
        <v>1299.75</v>
      </c>
      <c r="AA76" s="371">
        <v>20082.439999999999</v>
      </c>
      <c r="AB76" s="22">
        <v>0.13577782381025413</v>
      </c>
      <c r="AC76" s="24">
        <v>7.7782381025412461E-4</v>
      </c>
      <c r="AD76" s="384">
        <v>-154545.07614489141</v>
      </c>
    </row>
    <row r="77" spans="1:30">
      <c r="A77" s="21" t="s">
        <v>245</v>
      </c>
      <c r="B77" s="21" t="s">
        <v>246</v>
      </c>
      <c r="C77" s="23">
        <v>923.04</v>
      </c>
      <c r="D77" s="147">
        <v>27.46</v>
      </c>
      <c r="E77" s="22">
        <v>199.46</v>
      </c>
      <c r="F77" s="22">
        <v>226.92000000000002</v>
      </c>
      <c r="G77" s="22">
        <v>0</v>
      </c>
      <c r="H77" s="22">
        <v>91.81</v>
      </c>
      <c r="I77" s="22">
        <v>0.54</v>
      </c>
      <c r="J77" s="22">
        <v>89.78</v>
      </c>
      <c r="K77" s="22">
        <v>2.2000000000000002</v>
      </c>
      <c r="L77" s="22">
        <v>0</v>
      </c>
      <c r="M77" s="388">
        <v>3232.5299999999997</v>
      </c>
      <c r="N77" s="25">
        <v>0.40739999999999998</v>
      </c>
      <c r="O77" s="24">
        <v>533</v>
      </c>
      <c r="P77" s="24">
        <v>218.5</v>
      </c>
      <c r="Q77" s="24">
        <v>148</v>
      </c>
      <c r="R77" s="22">
        <v>70.5</v>
      </c>
      <c r="S77" s="24">
        <v>38</v>
      </c>
      <c r="T77" s="24">
        <f t="shared" si="6"/>
        <v>256.5</v>
      </c>
      <c r="U77" s="376">
        <v>1317.26</v>
      </c>
      <c r="V77" s="376">
        <v>161.63</v>
      </c>
      <c r="W77" s="22">
        <f t="shared" si="7"/>
        <v>536.65172399999994</v>
      </c>
      <c r="X77" s="22">
        <f t="shared" si="8"/>
        <v>384.25</v>
      </c>
      <c r="Y77" s="22">
        <v>251.75</v>
      </c>
      <c r="Z77" s="22">
        <v>132.5</v>
      </c>
      <c r="AA77" s="371">
        <v>3234.11</v>
      </c>
      <c r="AB77" s="22">
        <v>0.11881166688826292</v>
      </c>
      <c r="AC77" s="24">
        <v>0</v>
      </c>
      <c r="AD77" s="384">
        <v>0</v>
      </c>
    </row>
    <row r="78" spans="1:30">
      <c r="A78" s="21" t="s">
        <v>151</v>
      </c>
      <c r="B78" s="21" t="s">
        <v>152</v>
      </c>
      <c r="C78" s="23">
        <v>419.87</v>
      </c>
      <c r="D78" s="147">
        <v>69.92</v>
      </c>
      <c r="E78" s="22">
        <v>191.86</v>
      </c>
      <c r="F78" s="22">
        <v>261.78000000000003</v>
      </c>
      <c r="G78" s="22">
        <v>0</v>
      </c>
      <c r="H78" s="22">
        <v>33.700000000000003</v>
      </c>
      <c r="I78" s="22">
        <v>1.02</v>
      </c>
      <c r="J78" s="22">
        <v>69.36</v>
      </c>
      <c r="K78" s="22">
        <v>38.4</v>
      </c>
      <c r="L78" s="22">
        <v>0</v>
      </c>
      <c r="M78" s="388">
        <v>1559.33</v>
      </c>
      <c r="N78" s="25">
        <v>0.77259999999999995</v>
      </c>
      <c r="O78" s="24">
        <v>1561</v>
      </c>
      <c r="P78" s="24">
        <v>121.5</v>
      </c>
      <c r="Q78" s="24">
        <v>81.25</v>
      </c>
      <c r="R78" s="22">
        <v>40.25</v>
      </c>
      <c r="S78" s="24">
        <v>19</v>
      </c>
      <c r="T78" s="24">
        <f t="shared" si="6"/>
        <v>140.5</v>
      </c>
      <c r="U78" s="376">
        <v>1203.96</v>
      </c>
      <c r="V78" s="376">
        <v>77.97</v>
      </c>
      <c r="W78" s="22">
        <f t="shared" si="7"/>
        <v>930.17949599999997</v>
      </c>
      <c r="X78" s="22">
        <f t="shared" si="8"/>
        <v>268.25</v>
      </c>
      <c r="Y78" s="22">
        <v>116</v>
      </c>
      <c r="Z78" s="22">
        <v>152.25</v>
      </c>
      <c r="AA78" s="371">
        <v>1567.5</v>
      </c>
      <c r="AB78" s="22">
        <v>0.1711323763955343</v>
      </c>
      <c r="AC78" s="24">
        <v>3.6132376395534294E-2</v>
      </c>
      <c r="AD78" s="384">
        <v>-502921.82990498678</v>
      </c>
    </row>
    <row r="79" spans="1:30">
      <c r="A79" s="21" t="s">
        <v>573</v>
      </c>
      <c r="B79" s="21" t="s">
        <v>574</v>
      </c>
      <c r="C79" s="23">
        <v>21</v>
      </c>
      <c r="D79" s="147">
        <v>0</v>
      </c>
      <c r="E79" s="22">
        <v>0</v>
      </c>
      <c r="F79" s="22">
        <v>0</v>
      </c>
      <c r="G79" s="22">
        <v>0</v>
      </c>
      <c r="H79" s="22">
        <v>1.36</v>
      </c>
      <c r="I79" s="22">
        <v>0</v>
      </c>
      <c r="J79" s="22">
        <v>0</v>
      </c>
      <c r="K79" s="22">
        <v>0</v>
      </c>
      <c r="L79" s="22">
        <v>0</v>
      </c>
      <c r="M79" s="388">
        <v>74.679999999999993</v>
      </c>
      <c r="N79" s="25">
        <v>0.59379999999999999</v>
      </c>
      <c r="O79" s="24">
        <v>80</v>
      </c>
      <c r="P79" s="24">
        <v>0</v>
      </c>
      <c r="Q79" s="24">
        <v>0</v>
      </c>
      <c r="R79" s="22">
        <v>0</v>
      </c>
      <c r="S79" s="24">
        <v>0</v>
      </c>
      <c r="T79" s="24">
        <f t="shared" si="6"/>
        <v>0</v>
      </c>
      <c r="U79" s="376">
        <v>44.34</v>
      </c>
      <c r="V79" s="376">
        <v>3.73</v>
      </c>
      <c r="W79" s="22">
        <f t="shared" si="7"/>
        <v>26.329092000000003</v>
      </c>
      <c r="X79" s="22">
        <f t="shared" si="8"/>
        <v>9.25</v>
      </c>
      <c r="Y79" s="22">
        <v>5.25</v>
      </c>
      <c r="Z79" s="22">
        <v>4</v>
      </c>
      <c r="AA79" s="371">
        <v>74.67</v>
      </c>
      <c r="AB79" s="22">
        <v>0.12387839828579081</v>
      </c>
      <c r="AC79" s="24">
        <v>0</v>
      </c>
      <c r="AD79" s="384">
        <v>0</v>
      </c>
    </row>
    <row r="80" spans="1:30">
      <c r="A80" s="21" t="s">
        <v>33</v>
      </c>
      <c r="B80" s="21" t="s">
        <v>34</v>
      </c>
      <c r="C80" s="23">
        <v>115.2</v>
      </c>
      <c r="D80" s="147">
        <v>0</v>
      </c>
      <c r="E80" s="22">
        <v>0</v>
      </c>
      <c r="F80" s="22">
        <v>0</v>
      </c>
      <c r="G80" s="22">
        <v>0</v>
      </c>
      <c r="H80" s="22">
        <v>8.8000000000000007</v>
      </c>
      <c r="I80" s="22">
        <v>0.65</v>
      </c>
      <c r="J80" s="22">
        <v>0</v>
      </c>
      <c r="K80" s="22">
        <v>0</v>
      </c>
      <c r="L80" s="22">
        <v>0</v>
      </c>
      <c r="M80" s="388">
        <v>312.99</v>
      </c>
      <c r="N80" s="25">
        <v>0.64759999999999995</v>
      </c>
      <c r="O80" s="24">
        <v>313</v>
      </c>
      <c r="P80" s="24">
        <v>50.75</v>
      </c>
      <c r="Q80" s="24">
        <v>29.5</v>
      </c>
      <c r="R80" s="22">
        <v>21.25</v>
      </c>
      <c r="S80" s="24">
        <v>6</v>
      </c>
      <c r="T80" s="24">
        <f t="shared" si="6"/>
        <v>56.75</v>
      </c>
      <c r="U80" s="376">
        <v>202.69</v>
      </c>
      <c r="V80" s="376">
        <v>15.65</v>
      </c>
      <c r="W80" s="22">
        <f t="shared" si="7"/>
        <v>131.262044</v>
      </c>
      <c r="X80" s="22">
        <f t="shared" si="8"/>
        <v>36.25</v>
      </c>
      <c r="Y80" s="22">
        <v>31.25</v>
      </c>
      <c r="Z80" s="22">
        <v>5</v>
      </c>
      <c r="AA80" s="371">
        <v>316.87</v>
      </c>
      <c r="AB80" s="22">
        <v>0.11440022722252027</v>
      </c>
      <c r="AC80" s="24">
        <v>0</v>
      </c>
      <c r="AD80" s="384">
        <v>0</v>
      </c>
    </row>
    <row r="81" spans="1:30">
      <c r="A81" s="21" t="s">
        <v>187</v>
      </c>
      <c r="B81" s="21" t="s">
        <v>188</v>
      </c>
      <c r="C81" s="23">
        <v>1201.97</v>
      </c>
      <c r="D81" s="147">
        <v>24.11</v>
      </c>
      <c r="E81" s="22">
        <v>418.76</v>
      </c>
      <c r="F81" s="22">
        <v>442.87</v>
      </c>
      <c r="G81" s="22">
        <v>0</v>
      </c>
      <c r="H81" s="22">
        <v>88.71</v>
      </c>
      <c r="I81" s="22">
        <v>5.31</v>
      </c>
      <c r="J81" s="22">
        <v>0</v>
      </c>
      <c r="K81" s="22">
        <v>8.1999999999999993</v>
      </c>
      <c r="L81" s="22">
        <v>0</v>
      </c>
      <c r="M81" s="388">
        <v>4086.2400000000002</v>
      </c>
      <c r="N81" s="25">
        <v>0.29820000000000002</v>
      </c>
      <c r="O81" s="24">
        <v>10</v>
      </c>
      <c r="P81" s="24">
        <v>277.5</v>
      </c>
      <c r="Q81" s="24">
        <v>191.25</v>
      </c>
      <c r="R81" s="22">
        <v>86.25</v>
      </c>
      <c r="S81" s="24">
        <v>51.25</v>
      </c>
      <c r="T81" s="24">
        <f t="shared" si="6"/>
        <v>328.75</v>
      </c>
      <c r="U81" s="376">
        <v>1218.52</v>
      </c>
      <c r="V81" s="376">
        <v>204.31</v>
      </c>
      <c r="W81" s="22">
        <f t="shared" si="7"/>
        <v>363.362664</v>
      </c>
      <c r="X81" s="22">
        <f t="shared" si="8"/>
        <v>594.5</v>
      </c>
      <c r="Y81" s="22">
        <v>346.75</v>
      </c>
      <c r="Z81" s="22">
        <v>247.75</v>
      </c>
      <c r="AA81" s="371">
        <v>4073.36</v>
      </c>
      <c r="AB81" s="22">
        <v>0.14594830803071665</v>
      </c>
      <c r="AC81" s="24">
        <v>1.0948308030716641E-2</v>
      </c>
      <c r="AD81" s="384">
        <v>-432407.8927834591</v>
      </c>
    </row>
    <row r="82" spans="1:30">
      <c r="A82" s="21" t="s">
        <v>135</v>
      </c>
      <c r="B82" s="21" t="s">
        <v>136</v>
      </c>
      <c r="C82" s="23">
        <v>724.77</v>
      </c>
      <c r="D82" s="147">
        <v>40.92</v>
      </c>
      <c r="E82" s="22">
        <v>205.02</v>
      </c>
      <c r="F82" s="22">
        <v>245.94</v>
      </c>
      <c r="G82" s="22">
        <v>0</v>
      </c>
      <c r="H82" s="22">
        <v>44.81</v>
      </c>
      <c r="I82" s="22">
        <v>3.64</v>
      </c>
      <c r="J82" s="22">
        <v>4.9800000000000004</v>
      </c>
      <c r="K82" s="22">
        <v>12.4</v>
      </c>
      <c r="L82" s="22">
        <v>0</v>
      </c>
      <c r="M82" s="388">
        <v>2582.81</v>
      </c>
      <c r="N82" s="25">
        <v>0.56030000000000002</v>
      </c>
      <c r="O82" s="24">
        <v>1779</v>
      </c>
      <c r="P82" s="24">
        <v>359.5</v>
      </c>
      <c r="Q82" s="24">
        <v>224.75</v>
      </c>
      <c r="R82" s="22">
        <v>134.75</v>
      </c>
      <c r="S82" s="24">
        <v>61</v>
      </c>
      <c r="T82" s="24">
        <f t="shared" si="6"/>
        <v>420.5</v>
      </c>
      <c r="U82" s="376">
        <v>1447.15</v>
      </c>
      <c r="V82" s="376">
        <v>0</v>
      </c>
      <c r="W82" s="22">
        <f t="shared" si="7"/>
        <v>810.83814500000005</v>
      </c>
      <c r="X82" s="22">
        <f t="shared" si="8"/>
        <v>332</v>
      </c>
      <c r="Y82" s="22">
        <v>239.5</v>
      </c>
      <c r="Z82" s="22">
        <v>92.5</v>
      </c>
      <c r="AA82" s="371">
        <v>2597.35</v>
      </c>
      <c r="AB82" s="22">
        <v>0.12782258840741526</v>
      </c>
      <c r="AC82" s="24">
        <v>0</v>
      </c>
      <c r="AD82" s="384">
        <v>0</v>
      </c>
    </row>
    <row r="83" spans="1:30">
      <c r="A83" s="21" t="s">
        <v>273</v>
      </c>
      <c r="B83" s="21" t="s">
        <v>274</v>
      </c>
      <c r="C83" s="23">
        <v>21.2</v>
      </c>
      <c r="D83" s="147">
        <v>0</v>
      </c>
      <c r="E83" s="22">
        <v>0</v>
      </c>
      <c r="F83" s="22">
        <v>0</v>
      </c>
      <c r="G83" s="22">
        <v>0</v>
      </c>
      <c r="H83" s="22">
        <v>0</v>
      </c>
      <c r="I83" s="22">
        <v>0</v>
      </c>
      <c r="J83" s="22">
        <v>0</v>
      </c>
      <c r="K83" s="22">
        <v>0</v>
      </c>
      <c r="L83" s="22">
        <v>0</v>
      </c>
      <c r="M83" s="388">
        <v>46</v>
      </c>
      <c r="N83" s="25">
        <v>0.6038</v>
      </c>
      <c r="O83" s="24">
        <v>47</v>
      </c>
      <c r="P83" s="24">
        <v>2</v>
      </c>
      <c r="Q83" s="24">
        <v>2</v>
      </c>
      <c r="R83" s="22">
        <v>0</v>
      </c>
      <c r="S83" s="24">
        <v>1.75</v>
      </c>
      <c r="T83" s="24">
        <f t="shared" si="6"/>
        <v>3.75</v>
      </c>
      <c r="U83" s="376">
        <v>27.77</v>
      </c>
      <c r="V83" s="376">
        <v>2.2999999999999998</v>
      </c>
      <c r="W83" s="22">
        <f t="shared" si="7"/>
        <v>16.767526</v>
      </c>
      <c r="X83" s="22">
        <f t="shared" si="8"/>
        <v>6</v>
      </c>
      <c r="Y83" s="22">
        <v>5</v>
      </c>
      <c r="Z83" s="22">
        <v>1</v>
      </c>
      <c r="AA83" s="371">
        <v>46</v>
      </c>
      <c r="AB83" s="22">
        <v>0.13043478260869565</v>
      </c>
      <c r="AC83" s="24">
        <v>0</v>
      </c>
      <c r="AD83" s="384">
        <v>0</v>
      </c>
    </row>
    <row r="84" spans="1:30">
      <c r="A84" s="21" t="s">
        <v>423</v>
      </c>
      <c r="B84" s="21" t="s">
        <v>424</v>
      </c>
      <c r="C84" s="23">
        <v>6286.54</v>
      </c>
      <c r="D84" s="147">
        <v>416.83</v>
      </c>
      <c r="E84" s="22">
        <v>1098.77</v>
      </c>
      <c r="F84" s="22">
        <v>1515.6</v>
      </c>
      <c r="G84" s="22">
        <v>0</v>
      </c>
      <c r="H84" s="22">
        <v>320.67</v>
      </c>
      <c r="I84" s="22">
        <v>17.16</v>
      </c>
      <c r="J84" s="22">
        <v>255.17000000000002</v>
      </c>
      <c r="K84" s="22">
        <v>114.4</v>
      </c>
      <c r="L84" s="22">
        <v>0</v>
      </c>
      <c r="M84" s="388">
        <v>19752.27</v>
      </c>
      <c r="N84" s="25">
        <v>0.38479999999999998</v>
      </c>
      <c r="O84" s="24">
        <v>7753</v>
      </c>
      <c r="P84" s="24">
        <v>3154.25</v>
      </c>
      <c r="Q84" s="24">
        <v>2337.5</v>
      </c>
      <c r="R84" s="22">
        <v>816.75</v>
      </c>
      <c r="S84" s="24">
        <v>751.75</v>
      </c>
      <c r="T84" s="24">
        <f t="shared" si="6"/>
        <v>3906</v>
      </c>
      <c r="U84" s="376">
        <v>7533.52</v>
      </c>
      <c r="V84" s="376">
        <v>987.61</v>
      </c>
      <c r="W84" s="22">
        <f t="shared" si="7"/>
        <v>2898.8984959999998</v>
      </c>
      <c r="X84" s="22">
        <f t="shared" si="8"/>
        <v>2405.5</v>
      </c>
      <c r="Y84" s="22">
        <v>1133.25</v>
      </c>
      <c r="Z84" s="22">
        <v>1272.25</v>
      </c>
      <c r="AA84" s="371">
        <v>19847.490000000002</v>
      </c>
      <c r="AB84" s="22">
        <v>0.12119920453417535</v>
      </c>
      <c r="AC84" s="24">
        <v>0</v>
      </c>
      <c r="AD84" s="384">
        <v>0</v>
      </c>
    </row>
    <row r="85" spans="1:30">
      <c r="A85" s="21" t="s">
        <v>65</v>
      </c>
      <c r="B85" s="21" t="s">
        <v>66</v>
      </c>
      <c r="C85" s="23">
        <v>5946.67</v>
      </c>
      <c r="D85" s="147">
        <v>213.52</v>
      </c>
      <c r="E85" s="22">
        <v>2172.5300000000002</v>
      </c>
      <c r="F85" s="22">
        <v>2386.0500000000002</v>
      </c>
      <c r="G85" s="22">
        <v>561.57000000000005</v>
      </c>
      <c r="H85" s="22">
        <v>357.02</v>
      </c>
      <c r="I85" s="22">
        <v>4.8099999999999996</v>
      </c>
      <c r="J85" s="22">
        <v>632.16</v>
      </c>
      <c r="K85" s="22">
        <v>72.8</v>
      </c>
      <c r="L85" s="22">
        <v>0</v>
      </c>
      <c r="M85" s="388">
        <v>22954.33</v>
      </c>
      <c r="N85" s="25">
        <v>0.53939999999999999</v>
      </c>
      <c r="O85" s="24">
        <v>13327</v>
      </c>
      <c r="P85" s="24">
        <v>3283.25</v>
      </c>
      <c r="Q85" s="24">
        <v>2124.5</v>
      </c>
      <c r="R85" s="22">
        <v>1158.75</v>
      </c>
      <c r="S85" s="24">
        <v>606.25</v>
      </c>
      <c r="T85" s="24">
        <f t="shared" si="6"/>
        <v>3889.5</v>
      </c>
      <c r="U85" s="376">
        <v>12340.25</v>
      </c>
      <c r="V85" s="376">
        <v>1147.72</v>
      </c>
      <c r="W85" s="22">
        <f t="shared" si="7"/>
        <v>6656.3308500000003</v>
      </c>
      <c r="X85" s="22">
        <f t="shared" si="8"/>
        <v>3096.5</v>
      </c>
      <c r="Y85" s="22">
        <v>2420.75</v>
      </c>
      <c r="Z85" s="22">
        <v>675.75</v>
      </c>
      <c r="AA85" s="371">
        <v>22566.85</v>
      </c>
      <c r="AB85" s="22">
        <v>0.13721454257018592</v>
      </c>
      <c r="AC85" s="24">
        <v>2.2145425701859123E-3</v>
      </c>
      <c r="AD85" s="384">
        <v>-453749.41115325008</v>
      </c>
    </row>
    <row r="86" spans="1:30">
      <c r="A86" s="21" t="s">
        <v>497</v>
      </c>
      <c r="B86" s="21" t="s">
        <v>498</v>
      </c>
      <c r="C86" s="23">
        <v>13.2</v>
      </c>
      <c r="D86" s="147">
        <v>0</v>
      </c>
      <c r="E86" s="22">
        <v>0</v>
      </c>
      <c r="F86" s="22">
        <v>0</v>
      </c>
      <c r="G86" s="22">
        <v>0</v>
      </c>
      <c r="H86" s="22">
        <v>0</v>
      </c>
      <c r="I86" s="22">
        <v>0</v>
      </c>
      <c r="J86" s="22">
        <v>0</v>
      </c>
      <c r="K86" s="22">
        <v>0</v>
      </c>
      <c r="L86" s="22">
        <v>0</v>
      </c>
      <c r="M86" s="388">
        <v>25.799999999999997</v>
      </c>
      <c r="N86" s="25">
        <v>0.83330000000000004</v>
      </c>
      <c r="O86" s="24">
        <v>24</v>
      </c>
      <c r="P86" s="24">
        <v>0</v>
      </c>
      <c r="Q86" s="24">
        <v>0</v>
      </c>
      <c r="R86" s="22">
        <v>0</v>
      </c>
      <c r="S86" s="24">
        <v>0</v>
      </c>
      <c r="T86" s="24">
        <f t="shared" si="6"/>
        <v>0</v>
      </c>
      <c r="U86" s="376">
        <v>21.5</v>
      </c>
      <c r="V86" s="376">
        <v>1.29</v>
      </c>
      <c r="W86" s="22">
        <f t="shared" si="7"/>
        <v>17.915950000000002</v>
      </c>
      <c r="X86" s="22">
        <f t="shared" si="8"/>
        <v>1</v>
      </c>
      <c r="Y86" s="22">
        <v>1</v>
      </c>
      <c r="Z86" s="22">
        <v>0</v>
      </c>
      <c r="AA86" s="371">
        <v>25.8</v>
      </c>
      <c r="AB86" s="22">
        <v>3.875968992248062E-2</v>
      </c>
      <c r="AC86" s="24">
        <v>0</v>
      </c>
      <c r="AD86" s="384">
        <v>0</v>
      </c>
    </row>
    <row r="87" spans="1:30">
      <c r="A87" s="21" t="s">
        <v>185</v>
      </c>
      <c r="B87" s="21" t="s">
        <v>186</v>
      </c>
      <c r="C87" s="23">
        <v>5729.63</v>
      </c>
      <c r="D87" s="147">
        <v>89.12</v>
      </c>
      <c r="E87" s="22">
        <v>1275.18</v>
      </c>
      <c r="F87" s="22">
        <v>1364.3000000000002</v>
      </c>
      <c r="G87" s="22">
        <v>0</v>
      </c>
      <c r="H87" s="22">
        <v>529.64</v>
      </c>
      <c r="I87" s="22">
        <v>47.73</v>
      </c>
      <c r="J87" s="22">
        <v>829.95</v>
      </c>
      <c r="K87" s="22">
        <v>120.12</v>
      </c>
      <c r="L87" s="22">
        <v>0</v>
      </c>
      <c r="M87" s="388">
        <v>20447.68</v>
      </c>
      <c r="N87" s="25">
        <v>0.65649999999999997</v>
      </c>
      <c r="O87" s="24">
        <v>18830</v>
      </c>
      <c r="P87" s="24">
        <v>5052.25</v>
      </c>
      <c r="Q87" s="24">
        <v>3239.75</v>
      </c>
      <c r="R87" s="22">
        <v>1812.5</v>
      </c>
      <c r="S87" s="24">
        <v>656.75</v>
      </c>
      <c r="T87" s="24">
        <f t="shared" si="6"/>
        <v>5709</v>
      </c>
      <c r="U87" s="376">
        <v>12777.76</v>
      </c>
      <c r="V87" s="376">
        <v>1022.38</v>
      </c>
      <c r="W87" s="22">
        <f t="shared" si="7"/>
        <v>8388.59944</v>
      </c>
      <c r="X87" s="22">
        <f t="shared" si="8"/>
        <v>2656</v>
      </c>
      <c r="Y87" s="22">
        <v>1323.5</v>
      </c>
      <c r="Z87" s="22">
        <v>1332.5</v>
      </c>
      <c r="AA87" s="371">
        <v>20545.96</v>
      </c>
      <c r="AB87" s="22">
        <v>0.12927115598395014</v>
      </c>
      <c r="AC87" s="24">
        <v>0</v>
      </c>
      <c r="AD87" s="384">
        <v>0</v>
      </c>
    </row>
    <row r="88" spans="1:30">
      <c r="A88" s="21" t="s">
        <v>541</v>
      </c>
      <c r="B88" s="21" t="s">
        <v>542</v>
      </c>
      <c r="C88" s="23">
        <v>1343.51</v>
      </c>
      <c r="D88" s="147">
        <v>17.98</v>
      </c>
      <c r="E88" s="22">
        <v>252.22</v>
      </c>
      <c r="F88" s="22">
        <v>270.2</v>
      </c>
      <c r="G88" s="22">
        <v>0</v>
      </c>
      <c r="H88" s="22">
        <v>94.16</v>
      </c>
      <c r="I88" s="22">
        <v>17.37</v>
      </c>
      <c r="J88" s="22">
        <v>97.02000000000001</v>
      </c>
      <c r="K88" s="22">
        <v>36.659999999999997</v>
      </c>
      <c r="L88" s="22">
        <v>3.14</v>
      </c>
      <c r="M88" s="388">
        <v>4375.380000000001</v>
      </c>
      <c r="N88" s="25">
        <v>0.48709999999999998</v>
      </c>
      <c r="O88" s="24">
        <v>1681</v>
      </c>
      <c r="P88" s="24">
        <v>336</v>
      </c>
      <c r="Q88" s="24">
        <v>223</v>
      </c>
      <c r="R88" s="22">
        <v>113</v>
      </c>
      <c r="S88" s="24">
        <v>57.25</v>
      </c>
      <c r="T88" s="24">
        <f t="shared" si="6"/>
        <v>393.25</v>
      </c>
      <c r="U88" s="376">
        <v>2129.9299999999998</v>
      </c>
      <c r="V88" s="376">
        <v>218.77</v>
      </c>
      <c r="W88" s="22">
        <f t="shared" si="7"/>
        <v>1037.4889029999999</v>
      </c>
      <c r="X88" s="22">
        <f t="shared" si="8"/>
        <v>611.5</v>
      </c>
      <c r="Y88" s="22">
        <v>348.75</v>
      </c>
      <c r="Z88" s="22">
        <v>262.75</v>
      </c>
      <c r="AA88" s="371">
        <v>4378.47</v>
      </c>
      <c r="AB88" s="22">
        <v>0.13966065771833538</v>
      </c>
      <c r="AC88" s="24">
        <v>4.6606577183353759E-3</v>
      </c>
      <c r="AD88" s="384">
        <v>-192126.95739651989</v>
      </c>
    </row>
    <row r="89" spans="1:30">
      <c r="A89" s="21" t="s">
        <v>389</v>
      </c>
      <c r="B89" s="21" t="s">
        <v>390</v>
      </c>
      <c r="C89" s="23">
        <v>1083.5999999999999</v>
      </c>
      <c r="D89" s="147">
        <v>47.73</v>
      </c>
      <c r="E89" s="22">
        <v>315.07</v>
      </c>
      <c r="F89" s="22">
        <v>362.8</v>
      </c>
      <c r="G89" s="22">
        <v>0</v>
      </c>
      <c r="H89" s="22">
        <v>61.52</v>
      </c>
      <c r="I89" s="22">
        <v>2.36</v>
      </c>
      <c r="J89" s="22">
        <v>6.89</v>
      </c>
      <c r="K89" s="22">
        <v>17.760000000000002</v>
      </c>
      <c r="L89" s="22">
        <v>0</v>
      </c>
      <c r="M89" s="388">
        <v>3706.1400000000003</v>
      </c>
      <c r="N89" s="25">
        <v>0.45729999999999998</v>
      </c>
      <c r="O89" s="24">
        <v>841</v>
      </c>
      <c r="P89" s="24">
        <v>518</v>
      </c>
      <c r="Q89" s="24">
        <v>355.5</v>
      </c>
      <c r="R89" s="22">
        <v>162.5</v>
      </c>
      <c r="S89" s="24">
        <v>106.5</v>
      </c>
      <c r="T89" s="24">
        <f t="shared" si="6"/>
        <v>624.5</v>
      </c>
      <c r="U89" s="376">
        <v>1694.82</v>
      </c>
      <c r="V89" s="376">
        <v>185.31</v>
      </c>
      <c r="W89" s="22">
        <f t="shared" si="7"/>
        <v>775.04118599999993</v>
      </c>
      <c r="X89" s="22">
        <f t="shared" si="8"/>
        <v>389</v>
      </c>
      <c r="Y89" s="22">
        <v>178.25</v>
      </c>
      <c r="Z89" s="22">
        <v>210.75</v>
      </c>
      <c r="AA89" s="371">
        <v>3719.9</v>
      </c>
      <c r="AB89" s="22">
        <v>0.1045727035673002</v>
      </c>
      <c r="AC89" s="24">
        <v>0</v>
      </c>
      <c r="AD89" s="384">
        <v>0</v>
      </c>
    </row>
    <row r="90" spans="1:30">
      <c r="A90" s="21" t="s">
        <v>23</v>
      </c>
      <c r="B90" s="21" t="s">
        <v>24</v>
      </c>
      <c r="C90" s="23">
        <v>220.18</v>
      </c>
      <c r="D90" s="147">
        <v>5.68</v>
      </c>
      <c r="E90" s="22">
        <v>64.5</v>
      </c>
      <c r="F90" s="22">
        <v>70.180000000000007</v>
      </c>
      <c r="G90" s="22">
        <v>0</v>
      </c>
      <c r="H90" s="22">
        <v>13.36</v>
      </c>
      <c r="I90" s="22">
        <v>0.53</v>
      </c>
      <c r="J90" s="22">
        <v>17.07</v>
      </c>
      <c r="K90" s="22">
        <v>0</v>
      </c>
      <c r="L90" s="22">
        <v>0</v>
      </c>
      <c r="M90" s="388">
        <v>846.00000000000023</v>
      </c>
      <c r="N90" s="25">
        <v>0.79310000000000003</v>
      </c>
      <c r="O90" s="24">
        <v>870</v>
      </c>
      <c r="P90" s="24">
        <v>167</v>
      </c>
      <c r="Q90" s="24">
        <v>113.25</v>
      </c>
      <c r="R90" s="22">
        <v>53.75</v>
      </c>
      <c r="S90" s="24">
        <v>29</v>
      </c>
      <c r="T90" s="24">
        <f t="shared" si="6"/>
        <v>196</v>
      </c>
      <c r="U90" s="376">
        <v>670.96</v>
      </c>
      <c r="V90" s="376">
        <v>42.3</v>
      </c>
      <c r="W90" s="22">
        <f t="shared" si="7"/>
        <v>532.13837599999999</v>
      </c>
      <c r="X90" s="22">
        <f t="shared" si="8"/>
        <v>100.5</v>
      </c>
      <c r="Y90" s="22">
        <v>61.5</v>
      </c>
      <c r="Z90" s="22">
        <v>39</v>
      </c>
      <c r="AA90" s="371">
        <v>863.49</v>
      </c>
      <c r="AB90" s="22">
        <v>0.11638814578049543</v>
      </c>
      <c r="AC90" s="24">
        <v>0</v>
      </c>
      <c r="AD90" s="384">
        <v>0</v>
      </c>
    </row>
    <row r="91" spans="1:30">
      <c r="A91" s="21" t="s">
        <v>381</v>
      </c>
      <c r="B91" s="21" t="s">
        <v>382</v>
      </c>
      <c r="C91" s="23">
        <v>2186.65</v>
      </c>
      <c r="D91" s="147">
        <v>107.61</v>
      </c>
      <c r="E91" s="22">
        <v>528.71</v>
      </c>
      <c r="F91" s="22">
        <v>636.32000000000005</v>
      </c>
      <c r="G91" s="22">
        <v>0</v>
      </c>
      <c r="H91" s="22">
        <v>134.72999999999999</v>
      </c>
      <c r="I91" s="22">
        <v>13.05</v>
      </c>
      <c r="J91" s="22">
        <v>97.800000000000011</v>
      </c>
      <c r="K91" s="22">
        <v>0</v>
      </c>
      <c r="L91" s="22">
        <v>0</v>
      </c>
      <c r="M91" s="388">
        <v>7315.3799999999992</v>
      </c>
      <c r="N91" s="25">
        <v>0.7823</v>
      </c>
      <c r="O91" s="24">
        <v>7395</v>
      </c>
      <c r="P91" s="24">
        <v>924</v>
      </c>
      <c r="Q91" s="24">
        <v>603</v>
      </c>
      <c r="R91" s="22">
        <v>321</v>
      </c>
      <c r="S91" s="24">
        <v>173.5</v>
      </c>
      <c r="T91" s="24">
        <f t="shared" si="6"/>
        <v>1097.5</v>
      </c>
      <c r="U91" s="376">
        <v>5722.82</v>
      </c>
      <c r="V91" s="376">
        <v>365.77</v>
      </c>
      <c r="W91" s="22">
        <f t="shared" si="7"/>
        <v>4476.9620859999995</v>
      </c>
      <c r="X91" s="22">
        <f t="shared" si="8"/>
        <v>954.5</v>
      </c>
      <c r="Y91" s="22">
        <v>475.5</v>
      </c>
      <c r="Z91" s="22">
        <v>479</v>
      </c>
      <c r="AA91" s="371">
        <v>7378.21</v>
      </c>
      <c r="AB91" s="22">
        <v>0.12936742109536054</v>
      </c>
      <c r="AC91" s="24">
        <v>0</v>
      </c>
      <c r="AD91" s="384">
        <v>0</v>
      </c>
    </row>
    <row r="92" spans="1:30">
      <c r="A92" s="21" t="s">
        <v>465</v>
      </c>
      <c r="B92" s="21" t="s">
        <v>466</v>
      </c>
      <c r="C92" s="23">
        <v>210.2</v>
      </c>
      <c r="D92" s="147">
        <v>34.31</v>
      </c>
      <c r="E92" s="22">
        <v>88.61</v>
      </c>
      <c r="F92" s="22">
        <v>122.92</v>
      </c>
      <c r="G92" s="22">
        <v>0</v>
      </c>
      <c r="H92" s="22">
        <v>21.67</v>
      </c>
      <c r="I92" s="22">
        <v>0.33</v>
      </c>
      <c r="J92" s="22">
        <v>1.8</v>
      </c>
      <c r="K92" s="22">
        <v>0.8</v>
      </c>
      <c r="L92" s="22">
        <v>0</v>
      </c>
      <c r="M92" s="388">
        <v>857.86999999999989</v>
      </c>
      <c r="N92" s="25">
        <v>0.2266</v>
      </c>
      <c r="O92" s="24">
        <v>0</v>
      </c>
      <c r="P92" s="24">
        <v>0</v>
      </c>
      <c r="Q92" s="24">
        <v>0</v>
      </c>
      <c r="R92" s="22">
        <v>0</v>
      </c>
      <c r="S92" s="24">
        <v>0</v>
      </c>
      <c r="T92" s="24">
        <f t="shared" si="6"/>
        <v>0</v>
      </c>
      <c r="U92" s="376">
        <v>194.39</v>
      </c>
      <c r="V92" s="376">
        <v>0</v>
      </c>
      <c r="W92" s="22">
        <f t="shared" si="7"/>
        <v>44.048773999999995</v>
      </c>
      <c r="X92" s="22">
        <f t="shared" si="8"/>
        <v>102.5</v>
      </c>
      <c r="Y92" s="22">
        <v>75.25</v>
      </c>
      <c r="Z92" s="22">
        <v>27.25</v>
      </c>
      <c r="AA92" s="371">
        <v>862.72</v>
      </c>
      <c r="AB92" s="22">
        <v>0.11881027448071216</v>
      </c>
      <c r="AC92" s="24">
        <v>0</v>
      </c>
      <c r="AD92" s="384">
        <v>0</v>
      </c>
    </row>
    <row r="93" spans="1:30">
      <c r="A93" s="21" t="s">
        <v>567</v>
      </c>
      <c r="B93" s="21" t="s">
        <v>568</v>
      </c>
      <c r="C93" s="23">
        <v>37.200000000000003</v>
      </c>
      <c r="D93" s="147">
        <v>0</v>
      </c>
      <c r="E93" s="22">
        <v>4.87</v>
      </c>
      <c r="F93" s="22">
        <v>4.87</v>
      </c>
      <c r="G93" s="22">
        <v>0</v>
      </c>
      <c r="H93" s="22">
        <v>2.75</v>
      </c>
      <c r="I93" s="22">
        <v>0</v>
      </c>
      <c r="J93" s="22">
        <v>0</v>
      </c>
      <c r="K93" s="22">
        <v>0</v>
      </c>
      <c r="L93" s="22">
        <v>0</v>
      </c>
      <c r="M93" s="388">
        <v>105.26</v>
      </c>
      <c r="N93" s="25">
        <v>0.52249999999999996</v>
      </c>
      <c r="O93" s="24">
        <v>82</v>
      </c>
      <c r="P93" s="24">
        <v>0</v>
      </c>
      <c r="Q93" s="24">
        <v>0</v>
      </c>
      <c r="R93" s="22">
        <v>0</v>
      </c>
      <c r="S93" s="24">
        <v>0</v>
      </c>
      <c r="T93" s="24">
        <f t="shared" si="6"/>
        <v>0</v>
      </c>
      <c r="U93" s="376">
        <v>55</v>
      </c>
      <c r="V93" s="376">
        <v>0</v>
      </c>
      <c r="W93" s="22">
        <f t="shared" si="7"/>
        <v>28.737499999999997</v>
      </c>
      <c r="X93" s="22">
        <f t="shared" si="8"/>
        <v>13.5</v>
      </c>
      <c r="Y93" s="22">
        <v>11</v>
      </c>
      <c r="Z93" s="22">
        <v>2.5</v>
      </c>
      <c r="AA93" s="371">
        <v>105.26</v>
      </c>
      <c r="AB93" s="22">
        <v>0.12825384761542846</v>
      </c>
      <c r="AC93" s="24">
        <v>0</v>
      </c>
      <c r="AD93" s="384">
        <v>0</v>
      </c>
    </row>
    <row r="94" spans="1:30">
      <c r="A94" s="21" t="s">
        <v>259</v>
      </c>
      <c r="B94" s="21" t="s">
        <v>260</v>
      </c>
      <c r="C94" s="23">
        <v>10.57</v>
      </c>
      <c r="D94" s="147">
        <v>0</v>
      </c>
      <c r="E94" s="22">
        <v>0</v>
      </c>
      <c r="F94" s="22">
        <v>0</v>
      </c>
      <c r="G94" s="22">
        <v>0</v>
      </c>
      <c r="H94" s="22">
        <v>1</v>
      </c>
      <c r="I94" s="22">
        <v>0</v>
      </c>
      <c r="J94" s="22">
        <v>0</v>
      </c>
      <c r="K94" s="22">
        <v>0</v>
      </c>
      <c r="L94" s="22">
        <v>0</v>
      </c>
      <c r="M94" s="388">
        <v>51.97</v>
      </c>
      <c r="N94" s="25">
        <v>0.56599999999999995</v>
      </c>
      <c r="O94" s="24">
        <v>16</v>
      </c>
      <c r="P94" s="24">
        <v>0</v>
      </c>
      <c r="Q94" s="24">
        <v>0</v>
      </c>
      <c r="R94" s="22">
        <v>0</v>
      </c>
      <c r="S94" s="24">
        <v>0</v>
      </c>
      <c r="T94" s="24">
        <f t="shared" si="6"/>
        <v>0</v>
      </c>
      <c r="U94" s="376">
        <v>29.42</v>
      </c>
      <c r="V94" s="376">
        <v>0</v>
      </c>
      <c r="W94" s="22">
        <f t="shared" si="7"/>
        <v>16.651720000000001</v>
      </c>
      <c r="X94" s="22">
        <f t="shared" si="8"/>
        <v>12</v>
      </c>
      <c r="Y94" s="22">
        <v>9</v>
      </c>
      <c r="Z94" s="22">
        <v>3</v>
      </c>
      <c r="AA94" s="371">
        <v>51.97</v>
      </c>
      <c r="AB94" s="22">
        <v>0.23090244371752935</v>
      </c>
      <c r="AC94" s="24">
        <v>9.5902443717529345E-2</v>
      </c>
      <c r="AD94" s="384">
        <v>-43685.802527614745</v>
      </c>
    </row>
    <row r="95" spans="1:30">
      <c r="A95" s="21" t="s">
        <v>265</v>
      </c>
      <c r="B95" s="21" t="s">
        <v>266</v>
      </c>
      <c r="C95" s="23">
        <v>217</v>
      </c>
      <c r="D95" s="147">
        <v>27.1</v>
      </c>
      <c r="E95" s="22">
        <v>80.260000000000005</v>
      </c>
      <c r="F95" s="22">
        <v>107.36000000000001</v>
      </c>
      <c r="G95" s="22">
        <v>0</v>
      </c>
      <c r="H95" s="22">
        <v>6.71</v>
      </c>
      <c r="I95" s="22">
        <v>1.34</v>
      </c>
      <c r="J95" s="22">
        <v>1378.9</v>
      </c>
      <c r="K95" s="22">
        <v>0</v>
      </c>
      <c r="L95" s="22">
        <v>0</v>
      </c>
      <c r="M95" s="388">
        <v>2240.65</v>
      </c>
      <c r="N95" s="25">
        <v>0.59160000000000001</v>
      </c>
      <c r="O95" s="24">
        <v>545</v>
      </c>
      <c r="P95" s="24">
        <v>71.25</v>
      </c>
      <c r="Q95" s="24">
        <v>39.5</v>
      </c>
      <c r="R95" s="22">
        <v>31.75</v>
      </c>
      <c r="S95" s="24">
        <v>5</v>
      </c>
      <c r="T95" s="24">
        <f t="shared" si="6"/>
        <v>76.25</v>
      </c>
      <c r="U95" s="376">
        <v>1325.57</v>
      </c>
      <c r="V95" s="376">
        <v>0</v>
      </c>
      <c r="W95" s="22">
        <f t="shared" si="7"/>
        <v>784.20721200000003</v>
      </c>
      <c r="X95" s="22">
        <f t="shared" si="8"/>
        <v>304</v>
      </c>
      <c r="Y95" s="22">
        <v>224.25</v>
      </c>
      <c r="Z95" s="22">
        <v>79.75</v>
      </c>
      <c r="AA95" s="371">
        <v>2240.66</v>
      </c>
      <c r="AB95" s="22">
        <v>0.13567431024787341</v>
      </c>
      <c r="AC95" s="24">
        <v>6.7431024787339977E-4</v>
      </c>
      <c r="AD95" s="384">
        <v>-12742.698415637025</v>
      </c>
    </row>
    <row r="96" spans="1:30">
      <c r="A96" s="21" t="s">
        <v>139</v>
      </c>
      <c r="B96" s="21" t="s">
        <v>140</v>
      </c>
      <c r="C96" s="23">
        <v>194.36</v>
      </c>
      <c r="D96" s="147">
        <v>7.56</v>
      </c>
      <c r="E96" s="22">
        <v>26.32</v>
      </c>
      <c r="F96" s="22">
        <v>33.880000000000003</v>
      </c>
      <c r="G96" s="22">
        <v>0</v>
      </c>
      <c r="H96" s="22">
        <v>11.57</v>
      </c>
      <c r="I96" s="22">
        <v>1.07</v>
      </c>
      <c r="J96" s="22">
        <v>33.32</v>
      </c>
      <c r="K96" s="22">
        <v>0</v>
      </c>
      <c r="L96" s="22">
        <v>0</v>
      </c>
      <c r="M96" s="388">
        <v>719.05000000000018</v>
      </c>
      <c r="N96" s="25">
        <v>0.73499999999999999</v>
      </c>
      <c r="O96" s="24">
        <v>717</v>
      </c>
      <c r="P96" s="24">
        <v>0</v>
      </c>
      <c r="Q96" s="24">
        <v>0</v>
      </c>
      <c r="R96" s="22">
        <v>0</v>
      </c>
      <c r="S96" s="24">
        <v>0</v>
      </c>
      <c r="T96" s="24">
        <f t="shared" si="6"/>
        <v>0</v>
      </c>
      <c r="U96" s="376">
        <v>528.5</v>
      </c>
      <c r="V96" s="376">
        <v>35.950000000000003</v>
      </c>
      <c r="W96" s="22">
        <f t="shared" si="7"/>
        <v>388.44749999999999</v>
      </c>
      <c r="X96" s="22">
        <f t="shared" si="8"/>
        <v>103.25</v>
      </c>
      <c r="Y96" s="22">
        <v>64.5</v>
      </c>
      <c r="Z96" s="22">
        <v>38.75</v>
      </c>
      <c r="AA96" s="371">
        <v>719.06</v>
      </c>
      <c r="AB96" s="22">
        <v>0.1435902428170111</v>
      </c>
      <c r="AC96" s="24">
        <v>8.5902428170110956E-3</v>
      </c>
      <c r="AD96" s="384">
        <v>-53826.077053843073</v>
      </c>
    </row>
    <row r="97" spans="1:30">
      <c r="A97" s="21" t="s">
        <v>593</v>
      </c>
      <c r="B97" s="21" t="s">
        <v>594</v>
      </c>
      <c r="C97" s="23">
        <v>971.41</v>
      </c>
      <c r="D97" s="147">
        <v>41.76</v>
      </c>
      <c r="E97" s="22">
        <v>277.12</v>
      </c>
      <c r="F97" s="22">
        <v>318.88</v>
      </c>
      <c r="G97" s="22">
        <v>0</v>
      </c>
      <c r="H97" s="22">
        <v>35</v>
      </c>
      <c r="I97" s="22">
        <v>4.17</v>
      </c>
      <c r="J97" s="22">
        <v>44.199999999999996</v>
      </c>
      <c r="K97" s="22">
        <v>7.2</v>
      </c>
      <c r="L97" s="22">
        <v>0</v>
      </c>
      <c r="M97" s="388">
        <v>3508.0599999999995</v>
      </c>
      <c r="N97" s="25">
        <v>0.85250000000000004</v>
      </c>
      <c r="O97" s="24">
        <v>3561</v>
      </c>
      <c r="P97" s="24">
        <v>1094.25</v>
      </c>
      <c r="Q97" s="24">
        <v>679.5</v>
      </c>
      <c r="R97" s="22">
        <v>414.75</v>
      </c>
      <c r="S97" s="24">
        <v>192.75</v>
      </c>
      <c r="T97" s="24">
        <f t="shared" si="6"/>
        <v>1287</v>
      </c>
      <c r="U97" s="376">
        <v>2990.62</v>
      </c>
      <c r="V97" s="376">
        <v>175.4</v>
      </c>
      <c r="W97" s="22">
        <f t="shared" si="7"/>
        <v>2549.5035499999999</v>
      </c>
      <c r="X97" s="22">
        <f t="shared" si="8"/>
        <v>511.5</v>
      </c>
      <c r="Y97" s="22">
        <v>234.5</v>
      </c>
      <c r="Z97" s="22">
        <v>277</v>
      </c>
      <c r="AA97" s="371">
        <v>3518.33</v>
      </c>
      <c r="AB97" s="22">
        <v>0.1453814735968485</v>
      </c>
      <c r="AC97" s="24">
        <v>1.0381473596848489E-2</v>
      </c>
      <c r="AD97" s="384">
        <v>-317325.18161112774</v>
      </c>
    </row>
    <row r="98" spans="1:30">
      <c r="A98" s="21" t="s">
        <v>601</v>
      </c>
      <c r="B98" s="21" t="s">
        <v>602</v>
      </c>
      <c r="C98" s="23">
        <v>429</v>
      </c>
      <c r="D98" s="147">
        <v>21.06</v>
      </c>
      <c r="E98" s="22">
        <v>165.61</v>
      </c>
      <c r="F98" s="22">
        <v>186.67000000000002</v>
      </c>
      <c r="G98" s="22">
        <v>0</v>
      </c>
      <c r="H98" s="22">
        <v>19.579999999999998</v>
      </c>
      <c r="I98" s="22">
        <v>0.8</v>
      </c>
      <c r="J98" s="22">
        <v>0</v>
      </c>
      <c r="K98" s="22">
        <v>0</v>
      </c>
      <c r="L98" s="22">
        <v>0</v>
      </c>
      <c r="M98" s="388">
        <v>1457.05</v>
      </c>
      <c r="N98" s="25">
        <v>0.90959999999999996</v>
      </c>
      <c r="O98" s="24">
        <v>1437</v>
      </c>
      <c r="P98" s="24">
        <v>568.75</v>
      </c>
      <c r="Q98" s="24">
        <v>354.25</v>
      </c>
      <c r="R98" s="22">
        <v>214.5</v>
      </c>
      <c r="S98" s="24">
        <v>107</v>
      </c>
      <c r="T98" s="24">
        <f t="shared" si="6"/>
        <v>675.75</v>
      </c>
      <c r="U98" s="376">
        <v>1325.33</v>
      </c>
      <c r="V98" s="376">
        <v>72.849999999999994</v>
      </c>
      <c r="W98" s="22">
        <f t="shared" si="7"/>
        <v>1205.5201679999998</v>
      </c>
      <c r="X98" s="22">
        <f t="shared" si="8"/>
        <v>190.25</v>
      </c>
      <c r="Y98" s="22">
        <v>88.25</v>
      </c>
      <c r="Z98" s="22">
        <v>102</v>
      </c>
      <c r="AA98" s="371">
        <v>1483.52</v>
      </c>
      <c r="AB98" s="22">
        <v>0.12824228861087145</v>
      </c>
      <c r="AC98" s="24">
        <v>0</v>
      </c>
      <c r="AD98" s="384">
        <v>0</v>
      </c>
    </row>
    <row r="99" spans="1:30">
      <c r="A99" s="21" t="s">
        <v>447</v>
      </c>
      <c r="B99" s="21" t="s">
        <v>448</v>
      </c>
      <c r="C99" s="23">
        <v>633.20000000000005</v>
      </c>
      <c r="D99" s="147">
        <v>71.14</v>
      </c>
      <c r="E99" s="22">
        <v>133.44999999999999</v>
      </c>
      <c r="F99" s="22">
        <v>204.58999999999997</v>
      </c>
      <c r="G99" s="22">
        <v>0</v>
      </c>
      <c r="H99" s="22">
        <v>12.07</v>
      </c>
      <c r="I99" s="22">
        <v>0.08</v>
      </c>
      <c r="J99" s="22">
        <v>139.46</v>
      </c>
      <c r="K99" s="22">
        <v>50.2</v>
      </c>
      <c r="L99" s="22">
        <v>0</v>
      </c>
      <c r="M99" s="388">
        <v>2169.1799999999998</v>
      </c>
      <c r="N99" s="25">
        <v>0.46089999999999998</v>
      </c>
      <c r="O99" s="24">
        <v>197</v>
      </c>
      <c r="P99" s="24">
        <v>83.25</v>
      </c>
      <c r="Q99" s="24">
        <v>51.5</v>
      </c>
      <c r="R99" s="22">
        <v>31.75</v>
      </c>
      <c r="S99" s="24">
        <v>7.75</v>
      </c>
      <c r="T99" s="24">
        <f t="shared" si="6"/>
        <v>91</v>
      </c>
      <c r="U99" s="376">
        <v>999.78</v>
      </c>
      <c r="V99" s="376">
        <v>108.46</v>
      </c>
      <c r="W99" s="22">
        <f t="shared" si="7"/>
        <v>460.79860199999996</v>
      </c>
      <c r="X99" s="22">
        <f t="shared" si="8"/>
        <v>366</v>
      </c>
      <c r="Y99" s="22">
        <v>182.25</v>
      </c>
      <c r="Z99" s="22">
        <v>183.75</v>
      </c>
      <c r="AA99" s="371">
        <v>2180.04</v>
      </c>
      <c r="AB99" s="22">
        <v>0.16788682776462818</v>
      </c>
      <c r="AC99" s="24">
        <v>3.2886827764628174E-2</v>
      </c>
      <c r="AD99" s="384">
        <v>-681742.45727665513</v>
      </c>
    </row>
    <row r="100" spans="1:30">
      <c r="A100" s="21" t="s">
        <v>315</v>
      </c>
      <c r="B100" s="21" t="s">
        <v>316</v>
      </c>
      <c r="C100" s="23">
        <v>99.8</v>
      </c>
      <c r="D100" s="147">
        <v>0</v>
      </c>
      <c r="E100" s="22">
        <v>0</v>
      </c>
      <c r="F100" s="22">
        <v>0</v>
      </c>
      <c r="G100" s="22">
        <v>0</v>
      </c>
      <c r="H100" s="22">
        <v>0</v>
      </c>
      <c r="I100" s="22">
        <v>0</v>
      </c>
      <c r="J100" s="22">
        <v>0</v>
      </c>
      <c r="K100" s="22">
        <v>0</v>
      </c>
      <c r="L100" s="22">
        <v>0</v>
      </c>
      <c r="M100" s="388">
        <v>214.6</v>
      </c>
      <c r="N100" s="25">
        <v>0.45540000000000003</v>
      </c>
      <c r="O100" s="24">
        <v>0</v>
      </c>
      <c r="P100" s="24">
        <v>0</v>
      </c>
      <c r="Q100" s="24">
        <v>0</v>
      </c>
      <c r="R100" s="22">
        <v>0</v>
      </c>
      <c r="S100" s="24">
        <v>0</v>
      </c>
      <c r="T100" s="24">
        <f t="shared" si="6"/>
        <v>0</v>
      </c>
      <c r="U100" s="376">
        <v>97.73</v>
      </c>
      <c r="V100" s="376">
        <v>10.73</v>
      </c>
      <c r="W100" s="22">
        <f t="shared" si="7"/>
        <v>44.506242000000007</v>
      </c>
      <c r="X100" s="22">
        <f t="shared" si="8"/>
        <v>24.5</v>
      </c>
      <c r="Y100" s="22">
        <v>24.5</v>
      </c>
      <c r="Z100" s="22">
        <v>0</v>
      </c>
      <c r="AA100" s="371">
        <v>214.6</v>
      </c>
      <c r="AB100" s="22">
        <v>0.114165890027959</v>
      </c>
      <c r="AC100" s="24">
        <v>0</v>
      </c>
      <c r="AD100" s="384">
        <v>0</v>
      </c>
    </row>
    <row r="101" spans="1:30">
      <c r="A101" s="21" t="s">
        <v>455</v>
      </c>
      <c r="B101" s="21" t="s">
        <v>456</v>
      </c>
      <c r="C101" s="23">
        <v>17.399999999999999</v>
      </c>
      <c r="D101" s="147">
        <v>0</v>
      </c>
      <c r="E101" s="22">
        <v>0</v>
      </c>
      <c r="F101" s="22">
        <v>0</v>
      </c>
      <c r="G101" s="22">
        <v>0</v>
      </c>
      <c r="H101" s="22">
        <v>0</v>
      </c>
      <c r="I101" s="22">
        <v>0</v>
      </c>
      <c r="J101" s="22">
        <v>0</v>
      </c>
      <c r="K101" s="22">
        <v>0</v>
      </c>
      <c r="L101" s="22">
        <v>0</v>
      </c>
      <c r="M101" s="388">
        <v>28</v>
      </c>
      <c r="N101" s="25">
        <v>0.43330000000000002</v>
      </c>
      <c r="O101" s="24">
        <v>0</v>
      </c>
      <c r="P101" s="24">
        <v>0</v>
      </c>
      <c r="Q101" s="24">
        <v>0</v>
      </c>
      <c r="R101" s="22">
        <v>0</v>
      </c>
      <c r="S101" s="24">
        <v>0</v>
      </c>
      <c r="T101" s="24">
        <f t="shared" si="6"/>
        <v>0</v>
      </c>
      <c r="U101" s="376">
        <v>12.13</v>
      </c>
      <c r="V101" s="376">
        <v>0</v>
      </c>
      <c r="W101" s="22">
        <f t="shared" si="7"/>
        <v>5.255929000000001</v>
      </c>
      <c r="X101" s="22">
        <f t="shared" si="8"/>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160.80000000000001</v>
      </c>
      <c r="N102" s="25">
        <v>0.76880000000000004</v>
      </c>
      <c r="O102" s="24">
        <v>160</v>
      </c>
      <c r="P102" s="24">
        <v>22</v>
      </c>
      <c r="Q102" s="24">
        <v>1</v>
      </c>
      <c r="R102" s="22">
        <v>21</v>
      </c>
      <c r="S102" s="24">
        <v>2</v>
      </c>
      <c r="T102" s="24">
        <f t="shared" si="6"/>
        <v>24</v>
      </c>
      <c r="U102" s="376">
        <v>0</v>
      </c>
      <c r="V102" s="376">
        <v>0</v>
      </c>
      <c r="W102" s="22">
        <f t="shared" si="7"/>
        <v>0</v>
      </c>
      <c r="X102" s="22">
        <f t="shared" si="8"/>
        <v>37.25</v>
      </c>
      <c r="Y102" s="22">
        <v>17.75</v>
      </c>
      <c r="Z102" s="22">
        <v>19.5</v>
      </c>
      <c r="AA102" s="371">
        <v>160.80000000000001</v>
      </c>
      <c r="AB102" s="22">
        <v>0.23165422885572137</v>
      </c>
      <c r="AC102" s="24">
        <v>9.6654228855721364E-2</v>
      </c>
      <c r="AD102" s="384">
        <v>-141054.3927454784</v>
      </c>
    </row>
    <row r="103" spans="1:30">
      <c r="A103" s="21" t="s">
        <v>61</v>
      </c>
      <c r="B103" s="21" t="s">
        <v>62</v>
      </c>
      <c r="C103" s="23">
        <v>70.400000000000006</v>
      </c>
      <c r="D103" s="147">
        <v>0</v>
      </c>
      <c r="E103" s="22">
        <v>0</v>
      </c>
      <c r="F103" s="22">
        <v>0</v>
      </c>
      <c r="G103" s="22">
        <v>0</v>
      </c>
      <c r="H103" s="22">
        <v>0</v>
      </c>
      <c r="I103" s="22">
        <v>0</v>
      </c>
      <c r="J103" s="22">
        <v>0</v>
      </c>
      <c r="K103" s="22">
        <v>0</v>
      </c>
      <c r="L103" s="22">
        <v>0</v>
      </c>
      <c r="M103" s="388">
        <v>153.02000000000001</v>
      </c>
      <c r="N103" s="25">
        <v>0.50919999999999999</v>
      </c>
      <c r="O103" s="24">
        <v>0</v>
      </c>
      <c r="P103" s="24">
        <v>3</v>
      </c>
      <c r="Q103" s="24">
        <v>2</v>
      </c>
      <c r="R103" s="22">
        <v>1</v>
      </c>
      <c r="S103" s="24">
        <v>1</v>
      </c>
      <c r="T103" s="24">
        <f t="shared" si="6"/>
        <v>4</v>
      </c>
      <c r="U103" s="376">
        <v>77.92</v>
      </c>
      <c r="V103" s="376">
        <v>7.65</v>
      </c>
      <c r="W103" s="22">
        <f t="shared" si="7"/>
        <v>39.676864000000002</v>
      </c>
      <c r="X103" s="22">
        <f t="shared" si="8"/>
        <v>20.5</v>
      </c>
      <c r="Y103" s="22">
        <v>17.5</v>
      </c>
      <c r="Z103" s="22">
        <v>3</v>
      </c>
      <c r="AA103" s="371">
        <v>153.02000000000001</v>
      </c>
      <c r="AB103" s="22">
        <v>0.1339694157626454</v>
      </c>
      <c r="AC103" s="24">
        <v>0</v>
      </c>
      <c r="AD103" s="384">
        <v>0</v>
      </c>
    </row>
    <row r="104" spans="1:30">
      <c r="A104" s="21" t="s">
        <v>517</v>
      </c>
      <c r="B104" s="21" t="s">
        <v>518</v>
      </c>
      <c r="C104" s="23">
        <v>239.21</v>
      </c>
      <c r="D104" s="147">
        <v>0</v>
      </c>
      <c r="E104" s="22">
        <v>0</v>
      </c>
      <c r="F104" s="22">
        <v>0</v>
      </c>
      <c r="G104" s="22">
        <v>0</v>
      </c>
      <c r="H104" s="22">
        <v>0</v>
      </c>
      <c r="I104" s="22">
        <v>0</v>
      </c>
      <c r="J104" s="22">
        <v>0</v>
      </c>
      <c r="K104" s="22">
        <v>0</v>
      </c>
      <c r="L104" s="22">
        <v>0</v>
      </c>
      <c r="M104" s="388">
        <v>603.01</v>
      </c>
      <c r="N104" s="25">
        <v>0.17130000000000001</v>
      </c>
      <c r="O104" s="24">
        <v>0</v>
      </c>
      <c r="P104" s="24">
        <v>1.5</v>
      </c>
      <c r="Q104" s="24">
        <v>0</v>
      </c>
      <c r="R104" s="22">
        <v>1.5</v>
      </c>
      <c r="S104" s="24">
        <v>1</v>
      </c>
      <c r="T104" s="24">
        <f t="shared" si="6"/>
        <v>2.5</v>
      </c>
      <c r="U104" s="376">
        <v>103.3</v>
      </c>
      <c r="V104" s="376">
        <v>30.15</v>
      </c>
      <c r="W104" s="22">
        <f t="shared" si="7"/>
        <v>17.69529</v>
      </c>
      <c r="X104" s="22">
        <f t="shared" si="8"/>
        <v>76.25</v>
      </c>
      <c r="Y104" s="22">
        <v>59.5</v>
      </c>
      <c r="Z104" s="22">
        <v>16.75</v>
      </c>
      <c r="AA104" s="371">
        <v>603.01</v>
      </c>
      <c r="AB104" s="22">
        <v>0.12644898094558962</v>
      </c>
      <c r="AC104" s="24">
        <v>0</v>
      </c>
      <c r="AD104" s="384">
        <v>0</v>
      </c>
    </row>
    <row r="105" spans="1:30">
      <c r="A105" s="21" t="s">
        <v>309</v>
      </c>
      <c r="B105" s="21" t="s">
        <v>310</v>
      </c>
      <c r="C105" s="23">
        <v>43.6</v>
      </c>
      <c r="D105" s="147">
        <v>1.06</v>
      </c>
      <c r="E105" s="22">
        <v>4.45</v>
      </c>
      <c r="F105" s="22">
        <v>5.51</v>
      </c>
      <c r="G105" s="22">
        <v>0</v>
      </c>
      <c r="H105" s="22">
        <v>1</v>
      </c>
      <c r="I105" s="22">
        <v>0</v>
      </c>
      <c r="J105" s="22">
        <v>0</v>
      </c>
      <c r="K105" s="22">
        <v>0</v>
      </c>
      <c r="L105" s="22">
        <v>0</v>
      </c>
      <c r="M105" s="388">
        <v>112.51</v>
      </c>
      <c r="N105" s="25">
        <v>0.52</v>
      </c>
      <c r="O105" s="24">
        <v>113</v>
      </c>
      <c r="P105" s="24">
        <v>0</v>
      </c>
      <c r="Q105" s="24">
        <v>0</v>
      </c>
      <c r="R105" s="22">
        <v>0</v>
      </c>
      <c r="S105" s="24">
        <v>0</v>
      </c>
      <c r="T105" s="24">
        <f t="shared" si="6"/>
        <v>0</v>
      </c>
      <c r="U105" s="376">
        <v>58.51</v>
      </c>
      <c r="V105" s="376">
        <v>0</v>
      </c>
      <c r="W105" s="22">
        <f t="shared" si="7"/>
        <v>30.4252</v>
      </c>
      <c r="X105" s="22">
        <f t="shared" si="8"/>
        <v>23.75</v>
      </c>
      <c r="Y105" s="22">
        <v>21.25</v>
      </c>
      <c r="Z105" s="22">
        <v>2.5</v>
      </c>
      <c r="AA105" s="371">
        <v>112.51</v>
      </c>
      <c r="AB105" s="22">
        <v>0.21109234734690249</v>
      </c>
      <c r="AC105" s="24">
        <v>7.6092347346902484E-2</v>
      </c>
      <c r="AD105" s="384">
        <v>-78551.001766501518</v>
      </c>
    </row>
    <row r="106" spans="1:30">
      <c r="A106" s="21" t="s">
        <v>599</v>
      </c>
      <c r="B106" s="21" t="s">
        <v>600</v>
      </c>
      <c r="C106" s="23">
        <v>256.8</v>
      </c>
      <c r="D106" s="147">
        <v>0</v>
      </c>
      <c r="E106" s="22">
        <v>46.3</v>
      </c>
      <c r="F106" s="22">
        <v>46.3</v>
      </c>
      <c r="G106" s="22">
        <v>0</v>
      </c>
      <c r="H106" s="22">
        <v>9.92</v>
      </c>
      <c r="I106" s="22">
        <v>0.42</v>
      </c>
      <c r="J106" s="22">
        <v>0</v>
      </c>
      <c r="K106" s="22">
        <v>5.4</v>
      </c>
      <c r="L106" s="22">
        <v>0</v>
      </c>
      <c r="M106" s="388">
        <v>1032.9400000000003</v>
      </c>
      <c r="N106" s="25">
        <v>0.82350000000000001</v>
      </c>
      <c r="O106" s="24">
        <v>1069</v>
      </c>
      <c r="P106" s="24">
        <v>298.5</v>
      </c>
      <c r="Q106" s="24">
        <v>202.5</v>
      </c>
      <c r="R106" s="22">
        <v>96</v>
      </c>
      <c r="S106" s="24">
        <v>81.75</v>
      </c>
      <c r="T106" s="24">
        <f t="shared" si="6"/>
        <v>380.25</v>
      </c>
      <c r="U106" s="376">
        <v>850.63</v>
      </c>
      <c r="V106" s="376">
        <v>51.65</v>
      </c>
      <c r="W106" s="22">
        <f t="shared" si="7"/>
        <v>700.49380499999995</v>
      </c>
      <c r="X106" s="22">
        <f t="shared" si="8"/>
        <v>123.25</v>
      </c>
      <c r="Y106" s="22">
        <v>81.5</v>
      </c>
      <c r="Z106" s="22">
        <v>41.75</v>
      </c>
      <c r="AA106" s="371">
        <v>1054.1099999999999</v>
      </c>
      <c r="AB106" s="22">
        <v>0.11692328125148231</v>
      </c>
      <c r="AC106" s="24">
        <v>0</v>
      </c>
      <c r="AD106" s="384">
        <v>0</v>
      </c>
    </row>
    <row r="107" spans="1:30">
      <c r="A107" s="21" t="s">
        <v>191</v>
      </c>
      <c r="B107" s="21" t="s">
        <v>192</v>
      </c>
      <c r="C107" s="23">
        <v>5214.53</v>
      </c>
      <c r="D107" s="147">
        <v>125.7</v>
      </c>
      <c r="E107" s="22">
        <v>655.34</v>
      </c>
      <c r="F107" s="22">
        <v>781.04000000000008</v>
      </c>
      <c r="G107" s="22">
        <v>360.64</v>
      </c>
      <c r="H107" s="22">
        <v>385.54</v>
      </c>
      <c r="I107" s="22">
        <v>31.37</v>
      </c>
      <c r="J107" s="22">
        <v>622.56999999999994</v>
      </c>
      <c r="K107" s="22">
        <v>160.18</v>
      </c>
      <c r="L107" s="22">
        <v>0</v>
      </c>
      <c r="M107" s="388">
        <v>17619.04</v>
      </c>
      <c r="N107" s="25">
        <v>0.70820000000000005</v>
      </c>
      <c r="O107" s="24">
        <v>15829</v>
      </c>
      <c r="P107" s="24">
        <v>5679</v>
      </c>
      <c r="Q107" s="24">
        <v>3443.75</v>
      </c>
      <c r="R107" s="22">
        <v>2235.25</v>
      </c>
      <c r="S107" s="24">
        <v>510.5</v>
      </c>
      <c r="T107" s="24">
        <f t="shared" si="6"/>
        <v>6189.5</v>
      </c>
      <c r="U107" s="376">
        <v>12477.8</v>
      </c>
      <c r="V107" s="376">
        <v>880.95</v>
      </c>
      <c r="W107" s="22">
        <f t="shared" si="7"/>
        <v>8836.7779599999994</v>
      </c>
      <c r="X107" s="22">
        <f t="shared" si="8"/>
        <v>2499.25</v>
      </c>
      <c r="Y107" s="22">
        <v>1760.75</v>
      </c>
      <c r="Z107" s="22">
        <v>738.5</v>
      </c>
      <c r="AA107" s="371">
        <v>17460.7</v>
      </c>
      <c r="AB107" s="22">
        <v>0.14313572766269392</v>
      </c>
      <c r="AC107" s="24">
        <v>8.135727662693909E-3</v>
      </c>
      <c r="AD107" s="384">
        <v>-1409615.2284091595</v>
      </c>
    </row>
    <row r="108" spans="1:30">
      <c r="A108" s="21" t="s">
        <v>57</v>
      </c>
      <c r="B108" s="21" t="s">
        <v>58</v>
      </c>
      <c r="C108" s="23">
        <v>538.16999999999996</v>
      </c>
      <c r="D108" s="147">
        <v>9.2200000000000006</v>
      </c>
      <c r="E108" s="22">
        <v>41.28</v>
      </c>
      <c r="F108" s="22">
        <v>50.5</v>
      </c>
      <c r="G108" s="22">
        <v>0</v>
      </c>
      <c r="H108" s="22">
        <v>64.099999999999994</v>
      </c>
      <c r="I108" s="22">
        <v>0.55000000000000004</v>
      </c>
      <c r="J108" s="22">
        <v>0</v>
      </c>
      <c r="K108" s="22">
        <v>3.4</v>
      </c>
      <c r="L108" s="22">
        <v>0</v>
      </c>
      <c r="M108" s="388">
        <v>1919.72</v>
      </c>
      <c r="N108" s="25">
        <v>0.18160000000000001</v>
      </c>
      <c r="O108" s="24">
        <v>0</v>
      </c>
      <c r="P108" s="24">
        <v>71.5</v>
      </c>
      <c r="Q108" s="24">
        <v>49.25</v>
      </c>
      <c r="R108" s="22">
        <v>22.25</v>
      </c>
      <c r="S108" s="24">
        <v>11</v>
      </c>
      <c r="T108" s="24">
        <f t="shared" si="6"/>
        <v>82.5</v>
      </c>
      <c r="U108" s="376">
        <v>348.62</v>
      </c>
      <c r="V108" s="376">
        <v>95.99</v>
      </c>
      <c r="W108" s="22">
        <f t="shared" si="7"/>
        <v>63.309392000000003</v>
      </c>
      <c r="X108" s="22">
        <f t="shared" si="8"/>
        <v>175.75</v>
      </c>
      <c r="Y108" s="22">
        <v>108</v>
      </c>
      <c r="Z108" s="22">
        <v>67.75</v>
      </c>
      <c r="AA108" s="371">
        <v>1934.62</v>
      </c>
      <c r="AB108" s="22">
        <v>9.084471369054388E-2</v>
      </c>
      <c r="AC108" s="24">
        <v>0</v>
      </c>
      <c r="AD108" s="384">
        <v>0</v>
      </c>
    </row>
    <row r="109" spans="1:30">
      <c r="A109" s="21" t="s">
        <v>325</v>
      </c>
      <c r="B109" s="21" t="s">
        <v>326</v>
      </c>
      <c r="C109" s="23">
        <v>129.19999999999999</v>
      </c>
      <c r="D109" s="147">
        <v>0</v>
      </c>
      <c r="E109" s="22">
        <v>0</v>
      </c>
      <c r="F109" s="22">
        <v>0</v>
      </c>
      <c r="G109" s="22">
        <v>0</v>
      </c>
      <c r="H109" s="22">
        <v>0</v>
      </c>
      <c r="I109" s="22">
        <v>0</v>
      </c>
      <c r="J109" s="22">
        <v>0</v>
      </c>
      <c r="K109" s="22">
        <v>0</v>
      </c>
      <c r="L109" s="22">
        <v>0</v>
      </c>
      <c r="M109" s="388">
        <v>300.60000000000002</v>
      </c>
      <c r="N109" s="25">
        <v>0.8034</v>
      </c>
      <c r="O109" s="24">
        <v>298</v>
      </c>
      <c r="P109" s="24">
        <v>7.5</v>
      </c>
      <c r="Q109" s="24">
        <v>7.5</v>
      </c>
      <c r="R109" s="22">
        <v>0</v>
      </c>
      <c r="S109" s="24">
        <v>0</v>
      </c>
      <c r="T109" s="24">
        <f t="shared" si="6"/>
        <v>7.5</v>
      </c>
      <c r="U109" s="376">
        <v>241.5</v>
      </c>
      <c r="V109" s="376">
        <v>15.03</v>
      </c>
      <c r="W109" s="22">
        <f t="shared" si="7"/>
        <v>194.02109999999999</v>
      </c>
      <c r="X109" s="22">
        <f t="shared" si="8"/>
        <v>36.75</v>
      </c>
      <c r="Y109" s="22">
        <v>31</v>
      </c>
      <c r="Z109" s="22">
        <v>5.75</v>
      </c>
      <c r="AA109" s="371">
        <v>300.60000000000002</v>
      </c>
      <c r="AB109" s="22">
        <v>0.12225548902195608</v>
      </c>
      <c r="AC109" s="24">
        <v>0</v>
      </c>
      <c r="AD109" s="384">
        <v>0</v>
      </c>
    </row>
    <row r="110" spans="1:30">
      <c r="A110" s="21" t="s">
        <v>143</v>
      </c>
      <c r="B110" s="21" t="s">
        <v>144</v>
      </c>
      <c r="C110" s="23">
        <v>420.8</v>
      </c>
      <c r="D110" s="147">
        <v>16.989999999999998</v>
      </c>
      <c r="E110" s="22">
        <v>126.88</v>
      </c>
      <c r="F110" s="22">
        <v>143.87</v>
      </c>
      <c r="G110" s="22">
        <v>0</v>
      </c>
      <c r="H110" s="22">
        <v>21.82</v>
      </c>
      <c r="I110" s="22">
        <v>0.98</v>
      </c>
      <c r="J110" s="22">
        <v>123.67</v>
      </c>
      <c r="K110" s="22">
        <v>12.08</v>
      </c>
      <c r="L110" s="22">
        <v>0</v>
      </c>
      <c r="M110" s="388">
        <v>1569.03</v>
      </c>
      <c r="N110" s="25">
        <v>0.76549999999999996</v>
      </c>
      <c r="O110" s="24">
        <v>1582</v>
      </c>
      <c r="P110" s="24">
        <v>98.25</v>
      </c>
      <c r="Q110" s="24">
        <v>71</v>
      </c>
      <c r="R110" s="22">
        <v>27.25</v>
      </c>
      <c r="S110" s="24">
        <v>11.75</v>
      </c>
      <c r="T110" s="24">
        <f t="shared" si="6"/>
        <v>110</v>
      </c>
      <c r="U110" s="376">
        <v>1201.0899999999999</v>
      </c>
      <c r="V110" s="376">
        <v>78.45</v>
      </c>
      <c r="W110" s="22">
        <f t="shared" si="7"/>
        <v>919.43439499999988</v>
      </c>
      <c r="X110" s="22">
        <f t="shared" si="8"/>
        <v>236</v>
      </c>
      <c r="Y110" s="22">
        <v>190.75</v>
      </c>
      <c r="Z110" s="22">
        <v>45.25</v>
      </c>
      <c r="AA110" s="371">
        <v>1573.59</v>
      </c>
      <c r="AB110" s="22">
        <v>0.14997553365234909</v>
      </c>
      <c r="AC110" s="24">
        <v>1.4975533652349077E-2</v>
      </c>
      <c r="AD110" s="384">
        <v>-205654.90136433387</v>
      </c>
    </row>
    <row r="111" spans="1:30">
      <c r="A111" s="21" t="s">
        <v>1315</v>
      </c>
      <c r="B111" s="21" t="s">
        <v>1316</v>
      </c>
      <c r="C111" s="23">
        <v>252</v>
      </c>
      <c r="D111" s="147">
        <v>0</v>
      </c>
      <c r="E111" s="22">
        <v>0</v>
      </c>
      <c r="F111" s="22">
        <v>0</v>
      </c>
      <c r="G111" s="22">
        <v>0</v>
      </c>
      <c r="H111" s="22">
        <v>0</v>
      </c>
      <c r="I111" s="22">
        <v>0</v>
      </c>
      <c r="J111" s="22">
        <v>0</v>
      </c>
      <c r="K111" s="22">
        <v>0</v>
      </c>
      <c r="L111" s="22">
        <v>0</v>
      </c>
      <c r="M111" s="388">
        <v>252</v>
      </c>
      <c r="N111" s="25">
        <v>0.54679999999999995</v>
      </c>
      <c r="O111" s="24">
        <v>267</v>
      </c>
      <c r="P111" s="24">
        <v>30.24</v>
      </c>
      <c r="Q111" s="24">
        <v>30.24</v>
      </c>
      <c r="R111" s="22">
        <v>0</v>
      </c>
      <c r="S111" s="24">
        <v>0</v>
      </c>
      <c r="T111" s="24">
        <f t="shared" si="6"/>
        <v>30.24</v>
      </c>
      <c r="U111" s="376">
        <v>137.79</v>
      </c>
      <c r="V111" s="376">
        <v>0</v>
      </c>
      <c r="W111" s="22">
        <f t="shared" si="7"/>
        <v>75.343571999999995</v>
      </c>
      <c r="X111" s="22">
        <f t="shared" si="8"/>
        <v>2.52</v>
      </c>
      <c r="Y111" s="22">
        <v>2.52</v>
      </c>
      <c r="Z111" s="22">
        <v>0</v>
      </c>
      <c r="AA111" s="371">
        <v>252</v>
      </c>
      <c r="AB111" s="22">
        <v>0.01</v>
      </c>
      <c r="AC111" s="24">
        <v>0</v>
      </c>
      <c r="AD111" s="384">
        <v>0</v>
      </c>
    </row>
    <row r="112" spans="1:30">
      <c r="A112" s="21" t="s">
        <v>1230</v>
      </c>
      <c r="B112" s="21" t="s">
        <v>1231</v>
      </c>
      <c r="C112" s="23">
        <v>292.2</v>
      </c>
      <c r="D112" s="147">
        <v>0</v>
      </c>
      <c r="E112" s="22">
        <v>0</v>
      </c>
      <c r="F112" s="22">
        <v>0</v>
      </c>
      <c r="G112" s="22">
        <v>0</v>
      </c>
      <c r="H112" s="22">
        <v>0</v>
      </c>
      <c r="I112" s="22">
        <v>0</v>
      </c>
      <c r="J112" s="22">
        <v>0</v>
      </c>
      <c r="K112" s="22">
        <v>0</v>
      </c>
      <c r="L112" s="22">
        <v>0</v>
      </c>
      <c r="M112" s="388">
        <v>292.2</v>
      </c>
      <c r="N112" s="25">
        <v>0.59</v>
      </c>
      <c r="O112" s="24">
        <v>0</v>
      </c>
      <c r="P112" s="24">
        <v>46</v>
      </c>
      <c r="Q112" s="24">
        <v>46</v>
      </c>
      <c r="R112" s="22">
        <v>0</v>
      </c>
      <c r="S112" s="24">
        <v>0</v>
      </c>
      <c r="T112" s="24">
        <f t="shared" si="6"/>
        <v>46</v>
      </c>
      <c r="U112" s="376">
        <v>172.4</v>
      </c>
      <c r="V112" s="376">
        <v>14.61</v>
      </c>
      <c r="W112" s="22">
        <f t="shared" si="7"/>
        <v>101.71599999999999</v>
      </c>
      <c r="X112" s="22">
        <f t="shared" si="8"/>
        <v>7.75</v>
      </c>
      <c r="Y112" s="22">
        <v>7</v>
      </c>
      <c r="Z112" s="22">
        <v>0.75</v>
      </c>
      <c r="AA112" s="371">
        <v>292.2</v>
      </c>
      <c r="AB112" s="22">
        <v>2.6522929500342234E-2</v>
      </c>
      <c r="AC112" s="24">
        <v>0</v>
      </c>
      <c r="AD112" s="384">
        <v>0</v>
      </c>
    </row>
    <row r="113" spans="1:30">
      <c r="A113" s="21" t="s">
        <v>1032</v>
      </c>
      <c r="B113" s="21" t="s">
        <v>1042</v>
      </c>
      <c r="C113" s="23">
        <v>526.6</v>
      </c>
      <c r="D113" s="147">
        <v>0</v>
      </c>
      <c r="E113" s="22">
        <v>0</v>
      </c>
      <c r="F113" s="22">
        <v>0</v>
      </c>
      <c r="G113" s="22">
        <v>0</v>
      </c>
      <c r="H113" s="22">
        <v>0</v>
      </c>
      <c r="I113" s="22">
        <v>0</v>
      </c>
      <c r="J113" s="22">
        <v>0</v>
      </c>
      <c r="K113" s="22">
        <v>0</v>
      </c>
      <c r="L113" s="22">
        <v>0</v>
      </c>
      <c r="M113" s="388">
        <v>597.80000000000007</v>
      </c>
      <c r="N113" s="25">
        <v>0.65</v>
      </c>
      <c r="O113" s="24">
        <v>602</v>
      </c>
      <c r="P113" s="24">
        <v>151</v>
      </c>
      <c r="Q113" s="24">
        <v>151</v>
      </c>
      <c r="R113" s="22">
        <v>0</v>
      </c>
      <c r="S113" s="24">
        <v>26.75</v>
      </c>
      <c r="T113" s="24">
        <f t="shared" si="6"/>
        <v>177.75</v>
      </c>
      <c r="U113" s="376">
        <v>388.57</v>
      </c>
      <c r="V113" s="376">
        <v>29.89</v>
      </c>
      <c r="W113" s="22">
        <f t="shared" si="7"/>
        <v>252.57050000000001</v>
      </c>
      <c r="X113" s="22">
        <f t="shared" si="8"/>
        <v>23</v>
      </c>
      <c r="Y113" s="22">
        <v>23</v>
      </c>
      <c r="Z113" s="22">
        <v>0</v>
      </c>
      <c r="AA113" s="371">
        <v>597.79999999999995</v>
      </c>
      <c r="AB113" s="22">
        <v>3.8474406155904986E-2</v>
      </c>
      <c r="AC113" s="24">
        <v>0</v>
      </c>
      <c r="AD113" s="384">
        <v>0</v>
      </c>
    </row>
    <row r="114" spans="1:30">
      <c r="A114" s="21" t="s">
        <v>107</v>
      </c>
      <c r="B114" s="21" t="s">
        <v>108</v>
      </c>
      <c r="C114" s="23">
        <v>66.599999999999994</v>
      </c>
      <c r="D114" s="147">
        <v>0</v>
      </c>
      <c r="E114" s="22">
        <v>0</v>
      </c>
      <c r="F114" s="22">
        <v>0</v>
      </c>
      <c r="G114" s="22">
        <v>0</v>
      </c>
      <c r="H114" s="22">
        <v>4.3899999999999997</v>
      </c>
      <c r="I114" s="22">
        <v>0.6</v>
      </c>
      <c r="J114" s="22">
        <v>0</v>
      </c>
      <c r="K114" s="22">
        <v>0</v>
      </c>
      <c r="L114" s="22">
        <v>0</v>
      </c>
      <c r="M114" s="388">
        <v>226.23999999999998</v>
      </c>
      <c r="N114" s="25">
        <v>0.82379999999999998</v>
      </c>
      <c r="O114" s="24">
        <v>231</v>
      </c>
      <c r="P114" s="24">
        <v>0</v>
      </c>
      <c r="Q114" s="24">
        <v>0</v>
      </c>
      <c r="R114" s="22">
        <v>0</v>
      </c>
      <c r="S114" s="24">
        <v>0</v>
      </c>
      <c r="T114" s="24">
        <f t="shared" si="6"/>
        <v>0</v>
      </c>
      <c r="U114" s="376">
        <v>186.38</v>
      </c>
      <c r="V114" s="376">
        <v>0</v>
      </c>
      <c r="W114" s="22">
        <f t="shared" si="7"/>
        <v>153.53984399999999</v>
      </c>
      <c r="X114" s="22">
        <f t="shared" si="8"/>
        <v>24.25</v>
      </c>
      <c r="Y114" s="22">
        <v>18.75</v>
      </c>
      <c r="Z114" s="22">
        <v>5.5</v>
      </c>
      <c r="AA114" s="371">
        <v>226.23</v>
      </c>
      <c r="AB114" s="22">
        <v>0.10719179595986386</v>
      </c>
      <c r="AC114" s="24">
        <v>0</v>
      </c>
      <c r="AD114" s="384">
        <v>0</v>
      </c>
    </row>
    <row r="115" spans="1:30">
      <c r="A115" s="21" t="s">
        <v>435</v>
      </c>
      <c r="B115" s="21" t="s">
        <v>436</v>
      </c>
      <c r="C115" s="23">
        <v>17.48</v>
      </c>
      <c r="D115" s="147">
        <v>0</v>
      </c>
      <c r="E115" s="22">
        <v>0</v>
      </c>
      <c r="F115" s="22">
        <v>0</v>
      </c>
      <c r="G115" s="22">
        <v>0</v>
      </c>
      <c r="H115" s="22">
        <v>0</v>
      </c>
      <c r="I115" s="22">
        <v>0</v>
      </c>
      <c r="J115" s="22">
        <v>0</v>
      </c>
      <c r="K115" s="22">
        <v>0</v>
      </c>
      <c r="L115" s="22">
        <v>0</v>
      </c>
      <c r="M115" s="388">
        <v>23.68</v>
      </c>
      <c r="N115" s="25">
        <v>0.5</v>
      </c>
      <c r="O115" s="24">
        <v>0</v>
      </c>
      <c r="P115" s="24">
        <v>0</v>
      </c>
      <c r="Q115" s="24">
        <v>0</v>
      </c>
      <c r="R115" s="22">
        <v>0</v>
      </c>
      <c r="S115" s="24">
        <v>0</v>
      </c>
      <c r="T115" s="24">
        <f t="shared" si="6"/>
        <v>0</v>
      </c>
      <c r="U115" s="376">
        <v>11.84</v>
      </c>
      <c r="V115" s="376">
        <v>0</v>
      </c>
      <c r="W115" s="22">
        <f t="shared" si="7"/>
        <v>5.92</v>
      </c>
      <c r="X115" s="22">
        <f t="shared" si="8"/>
        <v>4</v>
      </c>
      <c r="Y115" s="22">
        <v>3</v>
      </c>
      <c r="Z115" s="22">
        <v>1</v>
      </c>
      <c r="AA115" s="371">
        <v>23.68</v>
      </c>
      <c r="AB115" s="22">
        <v>0.16891891891891891</v>
      </c>
      <c r="AC115" s="24">
        <v>3.3918918918918906E-2</v>
      </c>
      <c r="AD115" s="384">
        <v>-8576.0324719840391</v>
      </c>
    </row>
    <row r="116" spans="1:30">
      <c r="A116" s="21" t="s">
        <v>211</v>
      </c>
      <c r="B116" s="21" t="s">
        <v>212</v>
      </c>
      <c r="C116" s="23">
        <v>5203.26</v>
      </c>
      <c r="D116" s="147">
        <v>100.48</v>
      </c>
      <c r="E116" s="22">
        <v>1053.8399999999999</v>
      </c>
      <c r="F116" s="22">
        <v>1154.32</v>
      </c>
      <c r="G116" s="22">
        <v>0</v>
      </c>
      <c r="H116" s="22">
        <v>580.16999999999996</v>
      </c>
      <c r="I116" s="22">
        <v>59.98</v>
      </c>
      <c r="J116" s="22">
        <v>8.34</v>
      </c>
      <c r="K116" s="22">
        <v>0</v>
      </c>
      <c r="L116" s="22">
        <v>0</v>
      </c>
      <c r="M116" s="388">
        <v>19237.55</v>
      </c>
      <c r="N116" s="25">
        <v>0.10150000000000001</v>
      </c>
      <c r="O116" s="24">
        <v>0</v>
      </c>
      <c r="P116" s="24">
        <v>1265.25</v>
      </c>
      <c r="Q116" s="24">
        <v>1025.75</v>
      </c>
      <c r="R116" s="22">
        <v>239.5</v>
      </c>
      <c r="S116" s="24">
        <v>657</v>
      </c>
      <c r="T116" s="24">
        <f t="shared" si="6"/>
        <v>1922.25</v>
      </c>
      <c r="U116" s="376">
        <v>1952.61</v>
      </c>
      <c r="V116" s="376">
        <v>961.88</v>
      </c>
      <c r="W116" s="22">
        <f t="shared" si="7"/>
        <v>198.18991500000001</v>
      </c>
      <c r="X116" s="22">
        <f t="shared" si="8"/>
        <v>1567.25</v>
      </c>
      <c r="Y116" s="22">
        <v>1022</v>
      </c>
      <c r="Z116" s="22">
        <v>545.25</v>
      </c>
      <c r="AA116" s="371">
        <v>19348.47</v>
      </c>
      <c r="AB116" s="22">
        <v>8.1001236790299178E-2</v>
      </c>
      <c r="AC116" s="24">
        <v>0</v>
      </c>
      <c r="AD116" s="384">
        <v>0</v>
      </c>
    </row>
    <row r="117" spans="1:30">
      <c r="A117" s="21" t="s">
        <v>117</v>
      </c>
      <c r="B117" s="21" t="s">
        <v>118</v>
      </c>
      <c r="C117" s="23">
        <v>13</v>
      </c>
      <c r="D117" s="147">
        <v>0</v>
      </c>
      <c r="E117" s="22">
        <v>3.68</v>
      </c>
      <c r="F117" s="22">
        <v>3.68</v>
      </c>
      <c r="G117" s="22">
        <v>0</v>
      </c>
      <c r="H117" s="22">
        <v>0</v>
      </c>
      <c r="I117" s="22">
        <v>0</v>
      </c>
      <c r="J117" s="22">
        <v>0</v>
      </c>
      <c r="K117" s="22">
        <v>0</v>
      </c>
      <c r="L117" s="22">
        <v>0</v>
      </c>
      <c r="M117" s="388">
        <v>36.4</v>
      </c>
      <c r="N117" s="25">
        <v>0.68179999999999996</v>
      </c>
      <c r="O117" s="24">
        <v>34</v>
      </c>
      <c r="P117" s="24">
        <v>0</v>
      </c>
      <c r="Q117" s="24">
        <v>0</v>
      </c>
      <c r="R117" s="22">
        <v>0</v>
      </c>
      <c r="S117" s="24">
        <v>1</v>
      </c>
      <c r="T117" s="24">
        <f t="shared" si="6"/>
        <v>1</v>
      </c>
      <c r="U117" s="376">
        <v>24.82</v>
      </c>
      <c r="V117" s="376">
        <v>0</v>
      </c>
      <c r="W117" s="22">
        <f t="shared" si="7"/>
        <v>16.922276</v>
      </c>
      <c r="X117" s="22">
        <f t="shared" si="8"/>
        <v>4</v>
      </c>
      <c r="Y117" s="22">
        <v>4</v>
      </c>
      <c r="Z117" s="22">
        <v>0</v>
      </c>
      <c r="AA117" s="371">
        <v>36.4</v>
      </c>
      <c r="AB117" s="22">
        <v>0.10989010989010989</v>
      </c>
      <c r="AC117" s="24">
        <v>0</v>
      </c>
      <c r="AD117" s="384">
        <v>0</v>
      </c>
    </row>
    <row r="118" spans="1:30">
      <c r="A118" s="21" t="s">
        <v>83</v>
      </c>
      <c r="B118" s="21" t="s">
        <v>84</v>
      </c>
      <c r="C118" s="23">
        <v>325.27999999999997</v>
      </c>
      <c r="D118" s="147">
        <v>17.07</v>
      </c>
      <c r="E118" s="22">
        <v>37.68</v>
      </c>
      <c r="F118" s="22">
        <v>54.75</v>
      </c>
      <c r="G118" s="22">
        <v>0</v>
      </c>
      <c r="H118" s="22">
        <v>37.549999999999997</v>
      </c>
      <c r="I118" s="22">
        <v>1.45</v>
      </c>
      <c r="J118" s="22">
        <v>37.6</v>
      </c>
      <c r="K118" s="22">
        <v>0</v>
      </c>
      <c r="L118" s="22">
        <v>0</v>
      </c>
      <c r="M118" s="388">
        <v>1041.82</v>
      </c>
      <c r="N118" s="25">
        <v>0.32329999999999998</v>
      </c>
      <c r="O118" s="24">
        <v>0</v>
      </c>
      <c r="P118" s="24">
        <v>28.75</v>
      </c>
      <c r="Q118" s="24">
        <v>20.75</v>
      </c>
      <c r="R118" s="22">
        <v>8</v>
      </c>
      <c r="S118" s="24">
        <v>2</v>
      </c>
      <c r="T118" s="24">
        <f t="shared" si="6"/>
        <v>30.75</v>
      </c>
      <c r="U118" s="376">
        <v>336.82</v>
      </c>
      <c r="V118" s="376">
        <v>0</v>
      </c>
      <c r="W118" s="22">
        <f t="shared" si="7"/>
        <v>108.89390599999999</v>
      </c>
      <c r="X118" s="22">
        <f t="shared" si="8"/>
        <v>183</v>
      </c>
      <c r="Y118" s="22">
        <v>127.25</v>
      </c>
      <c r="Z118" s="22">
        <v>55.75</v>
      </c>
      <c r="AA118" s="371">
        <v>1043.6099999999999</v>
      </c>
      <c r="AB118" s="22">
        <v>0.17535286170121023</v>
      </c>
      <c r="AC118" s="24">
        <v>4.0352861701210219E-2</v>
      </c>
      <c r="AD118" s="384">
        <v>-370365.46756246657</v>
      </c>
    </row>
    <row r="119" spans="1:30">
      <c r="A119" s="21" t="s">
        <v>101</v>
      </c>
      <c r="B119" s="21" t="s">
        <v>102</v>
      </c>
      <c r="C119" s="23">
        <v>22.2</v>
      </c>
      <c r="D119" s="147">
        <v>0</v>
      </c>
      <c r="E119" s="22">
        <v>0</v>
      </c>
      <c r="F119" s="22">
        <v>0</v>
      </c>
      <c r="G119" s="22">
        <v>0</v>
      </c>
      <c r="H119" s="22">
        <v>0</v>
      </c>
      <c r="I119" s="22">
        <v>0</v>
      </c>
      <c r="J119" s="22">
        <v>0</v>
      </c>
      <c r="K119" s="22">
        <v>0</v>
      </c>
      <c r="L119" s="22">
        <v>0</v>
      </c>
      <c r="M119" s="388">
        <v>33.4</v>
      </c>
      <c r="N119" s="25">
        <v>0.93940000000000001</v>
      </c>
      <c r="O119" s="24">
        <v>33</v>
      </c>
      <c r="P119" s="24">
        <v>0</v>
      </c>
      <c r="Q119" s="24">
        <v>0</v>
      </c>
      <c r="R119" s="22">
        <v>0</v>
      </c>
      <c r="S119" s="24">
        <v>0</v>
      </c>
      <c r="T119" s="24">
        <f t="shared" si="6"/>
        <v>0</v>
      </c>
      <c r="U119" s="376">
        <v>31.38</v>
      </c>
      <c r="V119" s="376">
        <v>0</v>
      </c>
      <c r="W119" s="22">
        <f t="shared" si="7"/>
        <v>29.478372</v>
      </c>
      <c r="X119" s="22">
        <f t="shared" si="8"/>
        <v>3.5</v>
      </c>
      <c r="Y119" s="22">
        <v>3.5</v>
      </c>
      <c r="Z119" s="22">
        <v>0</v>
      </c>
      <c r="AA119" s="371">
        <v>33.4</v>
      </c>
      <c r="AB119" s="22">
        <v>0.10479041916167665</v>
      </c>
      <c r="AC119" s="24">
        <v>0</v>
      </c>
      <c r="AD119" s="384">
        <v>0</v>
      </c>
    </row>
    <row r="120" spans="1:30">
      <c r="A120" s="21" t="s">
        <v>87</v>
      </c>
      <c r="B120" s="21" t="s">
        <v>88</v>
      </c>
      <c r="C120" s="23">
        <v>1360.64</v>
      </c>
      <c r="D120" s="147">
        <v>63.76</v>
      </c>
      <c r="E120" s="22">
        <v>357.56</v>
      </c>
      <c r="F120" s="22">
        <v>421.32</v>
      </c>
      <c r="G120" s="22">
        <v>0</v>
      </c>
      <c r="H120" s="22">
        <v>80.760000000000005</v>
      </c>
      <c r="I120" s="22">
        <v>8.16</v>
      </c>
      <c r="J120" s="22">
        <v>234.93</v>
      </c>
      <c r="K120" s="22">
        <v>15.24</v>
      </c>
      <c r="L120" s="22">
        <v>1.22</v>
      </c>
      <c r="M120" s="388">
        <v>4788.51</v>
      </c>
      <c r="N120" s="25">
        <v>0.61299999999999999</v>
      </c>
      <c r="O120" s="24">
        <v>4531</v>
      </c>
      <c r="P120" s="24">
        <v>305.75</v>
      </c>
      <c r="Q120" s="24">
        <v>195.5</v>
      </c>
      <c r="R120" s="22">
        <v>110.25</v>
      </c>
      <c r="S120" s="24">
        <v>23.5</v>
      </c>
      <c r="T120" s="24">
        <f t="shared" si="6"/>
        <v>329.25</v>
      </c>
      <c r="U120" s="376">
        <v>2935.84</v>
      </c>
      <c r="V120" s="376">
        <v>239.43</v>
      </c>
      <c r="W120" s="22">
        <f t="shared" si="7"/>
        <v>1799.66992</v>
      </c>
      <c r="X120" s="22">
        <f t="shared" si="8"/>
        <v>682.25</v>
      </c>
      <c r="Y120" s="22">
        <v>354.5</v>
      </c>
      <c r="Z120" s="22">
        <v>327.75</v>
      </c>
      <c r="AA120" s="371">
        <v>4781.29</v>
      </c>
      <c r="AB120" s="22">
        <v>0.14269161669758579</v>
      </c>
      <c r="AC120" s="24">
        <v>7.6916166975857791E-3</v>
      </c>
      <c r="AD120" s="384">
        <v>-320879.94817918958</v>
      </c>
    </row>
    <row r="121" spans="1:30">
      <c r="A121" s="21" t="s">
        <v>17</v>
      </c>
      <c r="B121" s="21" t="s">
        <v>18</v>
      </c>
      <c r="C121" s="23">
        <v>5149.1099999999997</v>
      </c>
      <c r="D121" s="147">
        <v>161.62</v>
      </c>
      <c r="E121" s="22">
        <v>961.01</v>
      </c>
      <c r="F121" s="22">
        <v>1122.6300000000001</v>
      </c>
      <c r="G121" s="22">
        <v>437.59</v>
      </c>
      <c r="H121" s="22">
        <v>269.67</v>
      </c>
      <c r="I121" s="22">
        <v>13.25</v>
      </c>
      <c r="J121" s="22">
        <v>791.23</v>
      </c>
      <c r="K121" s="22">
        <v>28.6</v>
      </c>
      <c r="L121" s="22">
        <v>0</v>
      </c>
      <c r="M121" s="388">
        <v>18323.689999999995</v>
      </c>
      <c r="N121" s="25">
        <v>0.58799999999999997</v>
      </c>
      <c r="O121" s="24">
        <v>12661</v>
      </c>
      <c r="P121" s="24">
        <v>2584.25</v>
      </c>
      <c r="Q121" s="24">
        <v>1687.75</v>
      </c>
      <c r="R121" s="22">
        <v>896.5</v>
      </c>
      <c r="S121" s="24">
        <v>492</v>
      </c>
      <c r="T121" s="24">
        <f t="shared" si="6"/>
        <v>3076.25</v>
      </c>
      <c r="U121" s="376">
        <v>10774.33</v>
      </c>
      <c r="V121" s="376">
        <v>916.18</v>
      </c>
      <c r="W121" s="22">
        <f t="shared" si="7"/>
        <v>6335.3060399999995</v>
      </c>
      <c r="X121" s="22">
        <f t="shared" si="8"/>
        <v>2171.75</v>
      </c>
      <c r="Y121" s="22">
        <v>1055</v>
      </c>
      <c r="Z121" s="22">
        <v>1116.75</v>
      </c>
      <c r="AA121" s="371">
        <v>18041.61</v>
      </c>
      <c r="AB121" s="22">
        <v>0.12037451203079991</v>
      </c>
      <c r="AC121" s="24">
        <v>0</v>
      </c>
      <c r="AD121" s="384">
        <v>0</v>
      </c>
    </row>
    <row r="122" spans="1:30">
      <c r="A122" s="21" t="s">
        <v>217</v>
      </c>
      <c r="B122" s="21" t="s">
        <v>218</v>
      </c>
      <c r="C122" s="23">
        <v>7328.96</v>
      </c>
      <c r="D122" s="147">
        <v>189.54</v>
      </c>
      <c r="E122" s="22">
        <v>1439.41</v>
      </c>
      <c r="F122" s="22">
        <v>1628.95</v>
      </c>
      <c r="G122" s="22">
        <v>0</v>
      </c>
      <c r="H122" s="22">
        <v>734.36</v>
      </c>
      <c r="I122" s="22">
        <v>52.82</v>
      </c>
      <c r="J122" s="22">
        <v>52.16</v>
      </c>
      <c r="K122" s="22">
        <v>187.09</v>
      </c>
      <c r="L122" s="22">
        <v>6.68</v>
      </c>
      <c r="M122" s="388">
        <v>24699.13</v>
      </c>
      <c r="N122" s="25">
        <v>0.52290000000000003</v>
      </c>
      <c r="O122" s="24">
        <v>11515</v>
      </c>
      <c r="P122" s="24">
        <v>5805.75</v>
      </c>
      <c r="Q122" s="24">
        <v>3871.75</v>
      </c>
      <c r="R122" s="22">
        <v>1934</v>
      </c>
      <c r="S122" s="24">
        <v>734.5</v>
      </c>
      <c r="T122" s="24">
        <f t="shared" si="6"/>
        <v>6540.25</v>
      </c>
      <c r="U122" s="376">
        <v>12873.19</v>
      </c>
      <c r="V122" s="376">
        <v>1234.96</v>
      </c>
      <c r="W122" s="22">
        <f t="shared" si="7"/>
        <v>6731.3910510000005</v>
      </c>
      <c r="X122" s="22">
        <f t="shared" si="8"/>
        <v>2656.5</v>
      </c>
      <c r="Y122" s="22">
        <v>1480.75</v>
      </c>
      <c r="Z122" s="22">
        <v>1175.75</v>
      </c>
      <c r="AA122" s="371">
        <v>24742.76</v>
      </c>
      <c r="AB122" s="22">
        <v>0.10736474023108175</v>
      </c>
      <c r="AC122" s="24">
        <v>0</v>
      </c>
      <c r="AD122" s="384">
        <v>0</v>
      </c>
    </row>
    <row r="123" spans="1:30">
      <c r="A123" s="21" t="s">
        <v>505</v>
      </c>
      <c r="B123" s="21" t="s">
        <v>506</v>
      </c>
      <c r="C123" s="23">
        <v>218.2</v>
      </c>
      <c r="D123" s="147">
        <v>0</v>
      </c>
      <c r="E123" s="22">
        <v>55.25</v>
      </c>
      <c r="F123" s="22">
        <v>55.25</v>
      </c>
      <c r="G123" s="22">
        <v>0</v>
      </c>
      <c r="H123" s="22">
        <v>15.87</v>
      </c>
      <c r="I123" s="22">
        <v>1.4</v>
      </c>
      <c r="J123" s="22">
        <v>327.06</v>
      </c>
      <c r="K123" s="22">
        <v>0</v>
      </c>
      <c r="L123" s="22">
        <v>0</v>
      </c>
      <c r="M123" s="388">
        <v>1050.5999999999999</v>
      </c>
      <c r="N123" s="25">
        <v>0.53800000000000003</v>
      </c>
      <c r="O123" s="24">
        <v>726</v>
      </c>
      <c r="P123" s="24">
        <v>3</v>
      </c>
      <c r="Q123" s="24">
        <v>0</v>
      </c>
      <c r="R123" s="22">
        <v>3</v>
      </c>
      <c r="S123" s="24">
        <v>0</v>
      </c>
      <c r="T123" s="24">
        <f t="shared" si="6"/>
        <v>3</v>
      </c>
      <c r="U123" s="376">
        <v>514.58000000000004</v>
      </c>
      <c r="V123" s="376">
        <v>52.53</v>
      </c>
      <c r="W123" s="22">
        <f t="shared" si="7"/>
        <v>276.84404000000006</v>
      </c>
      <c r="X123" s="22">
        <f t="shared" si="8"/>
        <v>138.5</v>
      </c>
      <c r="Y123" s="22">
        <v>115.75</v>
      </c>
      <c r="Z123" s="22">
        <v>22.75</v>
      </c>
      <c r="AA123" s="371">
        <v>1051.67</v>
      </c>
      <c r="AB123" s="22">
        <v>0.13169530365989329</v>
      </c>
      <c r="AC123" s="24">
        <v>0</v>
      </c>
      <c r="AD123" s="384">
        <v>0</v>
      </c>
    </row>
    <row r="124" spans="1:30">
      <c r="A124" s="21" t="s">
        <v>21</v>
      </c>
      <c r="B124" s="21" t="s">
        <v>22</v>
      </c>
      <c r="C124" s="23">
        <v>433.8</v>
      </c>
      <c r="D124" s="147">
        <v>0</v>
      </c>
      <c r="E124" s="22">
        <v>85.13</v>
      </c>
      <c r="F124" s="22">
        <v>85.13</v>
      </c>
      <c r="G124" s="22">
        <v>0</v>
      </c>
      <c r="H124" s="22">
        <v>25.8</v>
      </c>
      <c r="I124" s="22">
        <v>0.3</v>
      </c>
      <c r="J124" s="22">
        <v>0</v>
      </c>
      <c r="K124" s="22">
        <v>2.8</v>
      </c>
      <c r="L124" s="22">
        <v>0</v>
      </c>
      <c r="M124" s="388">
        <v>1391.51</v>
      </c>
      <c r="N124" s="25">
        <v>0.70530000000000004</v>
      </c>
      <c r="O124" s="24">
        <v>1390</v>
      </c>
      <c r="P124" s="24">
        <v>343.5</v>
      </c>
      <c r="Q124" s="24">
        <v>219.5</v>
      </c>
      <c r="R124" s="22">
        <v>124</v>
      </c>
      <c r="S124" s="24">
        <v>68</v>
      </c>
      <c r="T124" s="24">
        <f t="shared" si="6"/>
        <v>411.5</v>
      </c>
      <c r="U124" s="376">
        <v>981.43</v>
      </c>
      <c r="V124" s="376">
        <v>69.58</v>
      </c>
      <c r="W124" s="22">
        <f t="shared" si="7"/>
        <v>692.20257900000001</v>
      </c>
      <c r="X124" s="22">
        <f t="shared" si="8"/>
        <v>177.5</v>
      </c>
      <c r="Y124" s="22">
        <v>129.75</v>
      </c>
      <c r="Z124" s="22">
        <v>47.75</v>
      </c>
      <c r="AA124" s="371">
        <v>1414.66</v>
      </c>
      <c r="AB124" s="22">
        <v>0.12547184482490492</v>
      </c>
      <c r="AC124" s="24">
        <v>0</v>
      </c>
      <c r="AD124" s="384">
        <v>0</v>
      </c>
    </row>
    <row r="125" spans="1:30">
      <c r="A125" s="21" t="s">
        <v>247</v>
      </c>
      <c r="B125" s="21" t="s">
        <v>248</v>
      </c>
      <c r="C125" s="23">
        <v>156.19999999999999</v>
      </c>
      <c r="D125" s="147">
        <v>14.66</v>
      </c>
      <c r="E125" s="22">
        <v>40.69</v>
      </c>
      <c r="F125" s="22">
        <v>55.349999999999994</v>
      </c>
      <c r="G125" s="22">
        <v>0</v>
      </c>
      <c r="H125" s="22">
        <v>12.64</v>
      </c>
      <c r="I125" s="22">
        <v>0</v>
      </c>
      <c r="J125" s="22">
        <v>0</v>
      </c>
      <c r="K125" s="22">
        <v>0</v>
      </c>
      <c r="L125" s="22">
        <v>0</v>
      </c>
      <c r="M125" s="388">
        <v>577.94999999999993</v>
      </c>
      <c r="N125" s="25">
        <v>0.47520000000000001</v>
      </c>
      <c r="O125" s="24">
        <v>0</v>
      </c>
      <c r="P125" s="24">
        <v>32.25</v>
      </c>
      <c r="Q125" s="24">
        <v>13</v>
      </c>
      <c r="R125" s="22">
        <v>19.25</v>
      </c>
      <c r="S125" s="24">
        <v>5.75</v>
      </c>
      <c r="T125" s="24">
        <f t="shared" si="6"/>
        <v>38</v>
      </c>
      <c r="U125" s="376">
        <v>274.64</v>
      </c>
      <c r="V125" s="376">
        <v>0</v>
      </c>
      <c r="W125" s="22">
        <f t="shared" si="7"/>
        <v>130.508928</v>
      </c>
      <c r="X125" s="22">
        <f t="shared" si="8"/>
        <v>82.75</v>
      </c>
      <c r="Y125" s="22">
        <v>61</v>
      </c>
      <c r="Z125" s="22">
        <v>21.75</v>
      </c>
      <c r="AA125" s="371">
        <v>578.49</v>
      </c>
      <c r="AB125" s="22">
        <v>0.14304482359245621</v>
      </c>
      <c r="AC125" s="24">
        <v>8.0448235924562017E-3</v>
      </c>
      <c r="AD125" s="384">
        <v>-40517.009898499746</v>
      </c>
    </row>
    <row r="126" spans="1:30">
      <c r="A126" s="21" t="s">
        <v>261</v>
      </c>
      <c r="B126" s="21" t="s">
        <v>262</v>
      </c>
      <c r="C126" s="23">
        <v>28</v>
      </c>
      <c r="D126" s="147">
        <v>0</v>
      </c>
      <c r="E126" s="22">
        <v>0</v>
      </c>
      <c r="F126" s="22">
        <v>0</v>
      </c>
      <c r="G126" s="22">
        <v>0</v>
      </c>
      <c r="H126" s="22">
        <v>0.64</v>
      </c>
      <c r="I126" s="22">
        <v>0</v>
      </c>
      <c r="J126" s="22">
        <v>0</v>
      </c>
      <c r="K126" s="22">
        <v>0</v>
      </c>
      <c r="L126" s="22">
        <v>0</v>
      </c>
      <c r="M126" s="388">
        <v>92.7</v>
      </c>
      <c r="N126" s="25">
        <v>0.51759999999999995</v>
      </c>
      <c r="O126" s="24">
        <v>91</v>
      </c>
      <c r="P126" s="24">
        <v>0</v>
      </c>
      <c r="Q126" s="24">
        <v>0</v>
      </c>
      <c r="R126" s="22">
        <v>0</v>
      </c>
      <c r="S126" s="24">
        <v>0</v>
      </c>
      <c r="T126" s="24">
        <f t="shared" si="6"/>
        <v>0</v>
      </c>
      <c r="U126" s="376">
        <v>47.98</v>
      </c>
      <c r="V126" s="376">
        <v>4.6399999999999997</v>
      </c>
      <c r="W126" s="22">
        <f t="shared" si="7"/>
        <v>24.834447999999995</v>
      </c>
      <c r="X126" s="22">
        <f t="shared" si="8"/>
        <v>9.5</v>
      </c>
      <c r="Y126" s="22">
        <v>9.25</v>
      </c>
      <c r="Z126" s="22">
        <v>0.25</v>
      </c>
      <c r="AA126" s="371">
        <v>92.7</v>
      </c>
      <c r="AB126" s="22">
        <v>0.10248112189859762</v>
      </c>
      <c r="AC126" s="24">
        <v>0</v>
      </c>
      <c r="AD126" s="384">
        <v>0</v>
      </c>
    </row>
    <row r="127" spans="1:30">
      <c r="A127" s="21" t="s">
        <v>59</v>
      </c>
      <c r="B127" s="21" t="s">
        <v>60</v>
      </c>
      <c r="C127" s="23">
        <v>465.12</v>
      </c>
      <c r="D127" s="147">
        <v>0</v>
      </c>
      <c r="E127" s="22">
        <v>44.81</v>
      </c>
      <c r="F127" s="22">
        <v>44.81</v>
      </c>
      <c r="G127" s="22">
        <v>0</v>
      </c>
      <c r="H127" s="22">
        <v>46.09</v>
      </c>
      <c r="I127" s="22">
        <v>1.4</v>
      </c>
      <c r="J127" s="22">
        <v>85.94</v>
      </c>
      <c r="K127" s="22">
        <v>3</v>
      </c>
      <c r="L127" s="22">
        <v>0</v>
      </c>
      <c r="M127" s="388">
        <v>1672.64</v>
      </c>
      <c r="N127" s="25">
        <v>0.25490000000000002</v>
      </c>
      <c r="O127" s="24">
        <v>0</v>
      </c>
      <c r="P127" s="24">
        <v>43.25</v>
      </c>
      <c r="Q127" s="24">
        <v>26.5</v>
      </c>
      <c r="R127" s="22">
        <v>16.75</v>
      </c>
      <c r="S127" s="24">
        <v>4.25</v>
      </c>
      <c r="T127" s="24">
        <f t="shared" si="6"/>
        <v>47.5</v>
      </c>
      <c r="U127" s="376">
        <v>426.36</v>
      </c>
      <c r="V127" s="376">
        <v>83.63</v>
      </c>
      <c r="W127" s="22">
        <f t="shared" si="7"/>
        <v>108.67916400000001</v>
      </c>
      <c r="X127" s="22">
        <f t="shared" si="8"/>
        <v>221.25</v>
      </c>
      <c r="Y127" s="22">
        <v>108.5</v>
      </c>
      <c r="Z127" s="22">
        <v>112.75</v>
      </c>
      <c r="AA127" s="371">
        <v>1702.47</v>
      </c>
      <c r="AB127" s="22">
        <v>0.12995823714955329</v>
      </c>
      <c r="AC127" s="24">
        <v>0</v>
      </c>
      <c r="AD127" s="384">
        <v>0</v>
      </c>
    </row>
    <row r="128" spans="1:30">
      <c r="A128" s="21" t="s">
        <v>409</v>
      </c>
      <c r="B128" s="21" t="s">
        <v>410</v>
      </c>
      <c r="C128" s="23">
        <v>152.6</v>
      </c>
      <c r="D128" s="147">
        <v>0</v>
      </c>
      <c r="E128" s="22">
        <v>15.18</v>
      </c>
      <c r="F128" s="22">
        <v>15.18</v>
      </c>
      <c r="G128" s="22">
        <v>0</v>
      </c>
      <c r="H128" s="22">
        <v>15.63</v>
      </c>
      <c r="I128" s="22">
        <v>1.27</v>
      </c>
      <c r="J128" s="22">
        <v>0</v>
      </c>
      <c r="K128" s="22">
        <v>0.8</v>
      </c>
      <c r="L128" s="22">
        <v>0</v>
      </c>
      <c r="M128" s="388">
        <v>577.56999999999994</v>
      </c>
      <c r="N128" s="25">
        <v>0.58089999999999997</v>
      </c>
      <c r="O128" s="24">
        <v>580</v>
      </c>
      <c r="P128" s="24">
        <v>11</v>
      </c>
      <c r="Q128" s="24">
        <v>4.25</v>
      </c>
      <c r="R128" s="22">
        <v>6.75</v>
      </c>
      <c r="S128" s="24">
        <v>1</v>
      </c>
      <c r="T128" s="24">
        <f t="shared" si="6"/>
        <v>12</v>
      </c>
      <c r="U128" s="376">
        <v>335.51</v>
      </c>
      <c r="V128" s="376">
        <v>28.88</v>
      </c>
      <c r="W128" s="22">
        <f t="shared" si="7"/>
        <v>194.89775899999998</v>
      </c>
      <c r="X128" s="22">
        <f t="shared" si="8"/>
        <v>86.5</v>
      </c>
      <c r="Y128" s="22">
        <v>74.25</v>
      </c>
      <c r="Z128" s="22">
        <v>12.25</v>
      </c>
      <c r="AA128" s="371">
        <v>590.12</v>
      </c>
      <c r="AB128" s="22">
        <v>0.14658035653765336</v>
      </c>
      <c r="AC128" s="24">
        <v>1.1580356537653352E-2</v>
      </c>
      <c r="AD128" s="384">
        <v>-66037.546821286742</v>
      </c>
    </row>
    <row r="129" spans="1:30">
      <c r="A129" s="21" t="s">
        <v>555</v>
      </c>
      <c r="B129" s="21" t="s">
        <v>556</v>
      </c>
      <c r="C129" s="23">
        <v>26</v>
      </c>
      <c r="D129" s="147">
        <v>0</v>
      </c>
      <c r="E129" s="22">
        <v>3.74</v>
      </c>
      <c r="F129" s="22">
        <v>3.74</v>
      </c>
      <c r="G129" s="22">
        <v>0</v>
      </c>
      <c r="H129" s="22">
        <v>0</v>
      </c>
      <c r="I129" s="22">
        <v>0</v>
      </c>
      <c r="J129" s="22">
        <v>0</v>
      </c>
      <c r="K129" s="22">
        <v>0</v>
      </c>
      <c r="L129" s="22">
        <v>0</v>
      </c>
      <c r="M129" s="388">
        <v>79.400000000000006</v>
      </c>
      <c r="N129" s="25">
        <v>0.42470000000000002</v>
      </c>
      <c r="O129" s="24">
        <v>0</v>
      </c>
      <c r="P129" s="24">
        <v>0</v>
      </c>
      <c r="Q129" s="24">
        <v>0</v>
      </c>
      <c r="R129" s="22">
        <v>0</v>
      </c>
      <c r="S129" s="24">
        <v>0</v>
      </c>
      <c r="T129" s="24">
        <f t="shared" si="6"/>
        <v>0</v>
      </c>
      <c r="U129" s="376">
        <v>33.72</v>
      </c>
      <c r="V129" s="376">
        <v>3.97</v>
      </c>
      <c r="W129" s="22">
        <f t="shared" si="7"/>
        <v>14.320884</v>
      </c>
      <c r="X129" s="22">
        <f t="shared" si="8"/>
        <v>10.5</v>
      </c>
      <c r="Y129" s="22">
        <v>8.5</v>
      </c>
      <c r="Z129" s="22">
        <v>2</v>
      </c>
      <c r="AA129" s="371">
        <v>79.400000000000006</v>
      </c>
      <c r="AB129" s="22">
        <v>0.13224181360201509</v>
      </c>
      <c r="AC129" s="24">
        <v>0</v>
      </c>
      <c r="AD129" s="384">
        <v>0</v>
      </c>
    </row>
    <row r="130" spans="1:30">
      <c r="A130" s="21" t="s">
        <v>35</v>
      </c>
      <c r="B130" s="21" t="s">
        <v>36</v>
      </c>
      <c r="C130" s="23">
        <v>308.60000000000002</v>
      </c>
      <c r="D130" s="147">
        <v>0</v>
      </c>
      <c r="E130" s="22">
        <v>101.2</v>
      </c>
      <c r="F130" s="22">
        <v>101.2</v>
      </c>
      <c r="G130" s="22">
        <v>0</v>
      </c>
      <c r="H130" s="22">
        <v>18.77</v>
      </c>
      <c r="I130" s="22">
        <v>0.05</v>
      </c>
      <c r="J130" s="22">
        <v>6.3999999999999995</v>
      </c>
      <c r="K130" s="22">
        <v>0</v>
      </c>
      <c r="L130" s="22">
        <v>0</v>
      </c>
      <c r="M130" s="388">
        <v>1254.82</v>
      </c>
      <c r="N130" s="25">
        <v>0.61150000000000004</v>
      </c>
      <c r="O130" s="24">
        <v>1252</v>
      </c>
      <c r="P130" s="24">
        <v>358</v>
      </c>
      <c r="Q130" s="24">
        <v>230.25</v>
      </c>
      <c r="R130" s="22">
        <v>127.75</v>
      </c>
      <c r="S130" s="24">
        <v>33</v>
      </c>
      <c r="T130" s="24">
        <f t="shared" si="6"/>
        <v>391</v>
      </c>
      <c r="U130" s="376">
        <v>767.32</v>
      </c>
      <c r="V130" s="376">
        <v>62.74</v>
      </c>
      <c r="W130" s="22">
        <f t="shared" si="7"/>
        <v>469.21618000000007</v>
      </c>
      <c r="X130" s="22">
        <f t="shared" si="8"/>
        <v>128</v>
      </c>
      <c r="Y130" s="22">
        <v>108.25</v>
      </c>
      <c r="Z130" s="22">
        <v>19.75</v>
      </c>
      <c r="AA130" s="371">
        <v>1255.95</v>
      </c>
      <c r="AB130" s="22">
        <v>0.1019148851467017</v>
      </c>
      <c r="AC130" s="24">
        <v>0</v>
      </c>
      <c r="AD130" s="384">
        <v>0</v>
      </c>
    </row>
    <row r="131" spans="1:30">
      <c r="A131" s="21" t="s">
        <v>155</v>
      </c>
      <c r="B131" s="21" t="s">
        <v>156</v>
      </c>
      <c r="C131" s="23">
        <v>50.2</v>
      </c>
      <c r="D131" s="147">
        <v>0</v>
      </c>
      <c r="E131" s="22">
        <v>5</v>
      </c>
      <c r="F131" s="22">
        <v>5</v>
      </c>
      <c r="G131" s="22">
        <v>0</v>
      </c>
      <c r="H131" s="22">
        <v>6.63</v>
      </c>
      <c r="I131" s="22">
        <v>1.08</v>
      </c>
      <c r="J131" s="22">
        <v>0</v>
      </c>
      <c r="K131" s="22">
        <v>0</v>
      </c>
      <c r="L131" s="22">
        <v>0</v>
      </c>
      <c r="M131" s="388">
        <v>174.77</v>
      </c>
      <c r="N131" s="25">
        <v>1</v>
      </c>
      <c r="O131" s="24">
        <v>173</v>
      </c>
      <c r="P131" s="24">
        <v>48</v>
      </c>
      <c r="Q131" s="24">
        <v>27</v>
      </c>
      <c r="R131" s="22">
        <v>21</v>
      </c>
      <c r="S131" s="24">
        <v>3</v>
      </c>
      <c r="T131" s="24">
        <f t="shared" si="6"/>
        <v>51</v>
      </c>
      <c r="U131" s="376">
        <v>174.77</v>
      </c>
      <c r="V131" s="376">
        <v>0</v>
      </c>
      <c r="W131" s="22">
        <f t="shared" si="7"/>
        <v>174.77</v>
      </c>
      <c r="X131" s="22">
        <f t="shared" si="8"/>
        <v>32.5</v>
      </c>
      <c r="Y131" s="22">
        <v>17</v>
      </c>
      <c r="Z131" s="22">
        <v>15.5</v>
      </c>
      <c r="AA131" s="371">
        <v>174.77</v>
      </c>
      <c r="AB131" s="22">
        <v>0.1859586885621102</v>
      </c>
      <c r="AC131" s="24">
        <v>5.0958688562110194E-2</v>
      </c>
      <c r="AD131" s="384">
        <v>-77711.283843212092</v>
      </c>
    </row>
    <row r="132" spans="1:30">
      <c r="A132" s="21" t="s">
        <v>425</v>
      </c>
      <c r="B132" s="21" t="s">
        <v>426</v>
      </c>
      <c r="C132" s="23">
        <v>2870.76</v>
      </c>
      <c r="D132" s="147">
        <v>132.18</v>
      </c>
      <c r="E132" s="22">
        <v>482.6</v>
      </c>
      <c r="F132" s="22">
        <v>614.78</v>
      </c>
      <c r="G132" s="22">
        <v>0</v>
      </c>
      <c r="H132" s="22">
        <v>153.97</v>
      </c>
      <c r="I132" s="22">
        <v>8.15</v>
      </c>
      <c r="J132" s="22">
        <v>70.739999999999995</v>
      </c>
      <c r="K132" s="22">
        <v>0</v>
      </c>
      <c r="L132" s="22">
        <v>0</v>
      </c>
      <c r="M132" s="388">
        <v>9296.1999999999989</v>
      </c>
      <c r="N132" s="25">
        <v>0.25</v>
      </c>
      <c r="O132" s="24">
        <v>0</v>
      </c>
      <c r="P132" s="24">
        <v>589.75</v>
      </c>
      <c r="Q132" s="24">
        <v>446</v>
      </c>
      <c r="R132" s="22">
        <v>143.75</v>
      </c>
      <c r="S132" s="24">
        <v>148.75</v>
      </c>
      <c r="T132" s="24">
        <f t="shared" si="6"/>
        <v>738.5</v>
      </c>
      <c r="U132" s="376">
        <v>2324.0500000000002</v>
      </c>
      <c r="V132" s="376">
        <v>464.81</v>
      </c>
      <c r="W132" s="22">
        <f t="shared" si="7"/>
        <v>581.01250000000005</v>
      </c>
      <c r="X132" s="22">
        <f t="shared" si="8"/>
        <v>1274</v>
      </c>
      <c r="Y132" s="22">
        <v>707.75</v>
      </c>
      <c r="Z132" s="22">
        <v>566.25</v>
      </c>
      <c r="AA132" s="371">
        <v>9346.59</v>
      </c>
      <c r="AB132" s="22">
        <v>0.13630639623648838</v>
      </c>
      <c r="AC132" s="24">
        <v>1.3063962364883719E-3</v>
      </c>
      <c r="AD132" s="384">
        <v>-122697.0919904497</v>
      </c>
    </row>
    <row r="133" spans="1:30">
      <c r="A133" s="21" t="s">
        <v>215</v>
      </c>
      <c r="B133" s="21" t="s">
        <v>216</v>
      </c>
      <c r="C133" s="23">
        <v>9352.93</v>
      </c>
      <c r="D133" s="147">
        <v>317.70999999999998</v>
      </c>
      <c r="E133" s="22">
        <v>1625.12</v>
      </c>
      <c r="F133" s="22">
        <v>1942.83</v>
      </c>
      <c r="G133" s="22">
        <v>312.97000000000003</v>
      </c>
      <c r="H133" s="22">
        <v>508.55</v>
      </c>
      <c r="I133" s="22">
        <v>41.71</v>
      </c>
      <c r="J133" s="22">
        <v>290.98</v>
      </c>
      <c r="K133" s="22">
        <v>0</v>
      </c>
      <c r="L133" s="22">
        <v>0</v>
      </c>
      <c r="M133" s="388">
        <v>30577.479999999996</v>
      </c>
      <c r="N133" s="25">
        <v>0.10920000000000001</v>
      </c>
      <c r="O133" s="24">
        <v>0</v>
      </c>
      <c r="P133" s="24">
        <v>3466</v>
      </c>
      <c r="Q133" s="24">
        <v>2776.5</v>
      </c>
      <c r="R133" s="22">
        <v>689.5</v>
      </c>
      <c r="S133" s="24">
        <v>1325.5</v>
      </c>
      <c r="T133" s="24">
        <f t="shared" si="6"/>
        <v>4791.5</v>
      </c>
      <c r="U133" s="376">
        <v>3339.06</v>
      </c>
      <c r="V133" s="376">
        <v>1528.87</v>
      </c>
      <c r="W133" s="22">
        <f t="shared" si="7"/>
        <v>364.62535200000002</v>
      </c>
      <c r="X133" s="22">
        <f t="shared" si="8"/>
        <v>2745</v>
      </c>
      <c r="Y133" s="22">
        <v>1818.75</v>
      </c>
      <c r="Z133" s="22">
        <v>926.25</v>
      </c>
      <c r="AA133" s="371">
        <v>30482.65</v>
      </c>
      <c r="AB133" s="22">
        <v>9.0051225861268624E-2</v>
      </c>
      <c r="AC133" s="24">
        <v>0</v>
      </c>
      <c r="AD133" s="384">
        <v>0</v>
      </c>
    </row>
    <row r="134" spans="1:30">
      <c r="A134" s="21" t="s">
        <v>441</v>
      </c>
      <c r="B134" s="21" t="s">
        <v>442</v>
      </c>
      <c r="C134" s="23">
        <v>714.84</v>
      </c>
      <c r="D134" s="147">
        <v>18.41</v>
      </c>
      <c r="E134" s="22">
        <v>103.32</v>
      </c>
      <c r="F134" s="22">
        <v>121.72999999999999</v>
      </c>
      <c r="G134" s="22">
        <v>0</v>
      </c>
      <c r="H134" s="22">
        <v>33.369999999999997</v>
      </c>
      <c r="I134" s="22">
        <v>1.61</v>
      </c>
      <c r="J134" s="22">
        <v>79.430000000000007</v>
      </c>
      <c r="K134" s="22">
        <v>0</v>
      </c>
      <c r="L134" s="22">
        <v>0</v>
      </c>
      <c r="M134" s="388">
        <v>2541.9699999999998</v>
      </c>
      <c r="N134" s="25">
        <v>0.43070000000000003</v>
      </c>
      <c r="O134" s="24">
        <v>0</v>
      </c>
      <c r="P134" s="24">
        <v>207.75</v>
      </c>
      <c r="Q134" s="24">
        <v>124.5</v>
      </c>
      <c r="R134" s="22">
        <v>83.25</v>
      </c>
      <c r="S134" s="24">
        <v>25</v>
      </c>
      <c r="T134" s="24">
        <f t="shared" si="6"/>
        <v>232.75</v>
      </c>
      <c r="U134" s="376">
        <v>1095.8399999999999</v>
      </c>
      <c r="V134" s="376">
        <v>127.1</v>
      </c>
      <c r="W134" s="22">
        <f t="shared" si="7"/>
        <v>471.97828800000002</v>
      </c>
      <c r="X134" s="22">
        <f t="shared" si="8"/>
        <v>403</v>
      </c>
      <c r="Y134" s="22">
        <v>238</v>
      </c>
      <c r="Z134" s="22">
        <v>165</v>
      </c>
      <c r="AA134" s="371">
        <v>2556.42</v>
      </c>
      <c r="AB134" s="22">
        <v>0.15764232794298277</v>
      </c>
      <c r="AC134" s="24">
        <v>2.2642327942982765E-2</v>
      </c>
      <c r="AD134" s="384">
        <v>-563393.0248110533</v>
      </c>
    </row>
    <row r="135" spans="1:30">
      <c r="A135" s="21" t="s">
        <v>557</v>
      </c>
      <c r="B135" s="21" t="s">
        <v>558</v>
      </c>
      <c r="C135" s="23">
        <v>0</v>
      </c>
      <c r="D135" s="147">
        <v>0</v>
      </c>
      <c r="E135" s="22">
        <v>0</v>
      </c>
      <c r="F135" s="22">
        <v>0</v>
      </c>
      <c r="G135" s="22">
        <v>0</v>
      </c>
      <c r="H135" s="22">
        <v>0</v>
      </c>
      <c r="I135" s="22">
        <v>0</v>
      </c>
      <c r="J135" s="22">
        <v>0</v>
      </c>
      <c r="K135" s="22">
        <v>0</v>
      </c>
      <c r="L135" s="22">
        <v>0</v>
      </c>
      <c r="M135" s="388">
        <v>36.799999999999997</v>
      </c>
      <c r="N135" s="25">
        <v>0.73529999999999995</v>
      </c>
      <c r="O135" s="24">
        <v>37</v>
      </c>
      <c r="P135" s="24">
        <v>0</v>
      </c>
      <c r="Q135" s="24">
        <v>0</v>
      </c>
      <c r="R135" s="22">
        <v>0</v>
      </c>
      <c r="S135" s="24">
        <v>0</v>
      </c>
      <c r="T135" s="24">
        <f t="shared" si="6"/>
        <v>0</v>
      </c>
      <c r="U135" s="376">
        <v>27.06</v>
      </c>
      <c r="V135" s="376">
        <v>1.84</v>
      </c>
      <c r="W135" s="22">
        <f t="shared" si="7"/>
        <v>19.897217999999999</v>
      </c>
      <c r="X135" s="22">
        <f t="shared" si="8"/>
        <v>8</v>
      </c>
      <c r="Y135" s="22">
        <v>3.75</v>
      </c>
      <c r="Z135" s="22">
        <v>4.25</v>
      </c>
      <c r="AA135" s="371">
        <v>36.799999999999997</v>
      </c>
      <c r="AB135" s="22">
        <v>0.21739130434782611</v>
      </c>
      <c r="AC135" s="24">
        <v>8.23913043478261E-2</v>
      </c>
      <c r="AD135" s="384">
        <v>-23710.641967020612</v>
      </c>
    </row>
    <row r="136" spans="1:30">
      <c r="A136" s="21" t="s">
        <v>471</v>
      </c>
      <c r="B136" s="21" t="s">
        <v>472</v>
      </c>
      <c r="C136" s="23">
        <v>186.6</v>
      </c>
      <c r="D136" s="147">
        <v>0</v>
      </c>
      <c r="E136" s="22">
        <v>30.08</v>
      </c>
      <c r="F136" s="22">
        <v>30.08</v>
      </c>
      <c r="G136" s="22">
        <v>0</v>
      </c>
      <c r="H136" s="22">
        <v>7.62</v>
      </c>
      <c r="I136" s="22">
        <v>0</v>
      </c>
      <c r="J136" s="22">
        <v>4.5999999999999996</v>
      </c>
      <c r="K136" s="22">
        <v>0</v>
      </c>
      <c r="L136" s="22">
        <v>0</v>
      </c>
      <c r="M136" s="388">
        <v>567.97</v>
      </c>
      <c r="N136" s="25">
        <v>0.32419999999999999</v>
      </c>
      <c r="O136" s="24">
        <v>0</v>
      </c>
      <c r="P136" s="24">
        <v>1</v>
      </c>
      <c r="Q136" s="24">
        <v>0</v>
      </c>
      <c r="R136" s="22">
        <v>1</v>
      </c>
      <c r="S136" s="24">
        <v>0</v>
      </c>
      <c r="T136" s="24">
        <f t="shared" si="6"/>
        <v>1</v>
      </c>
      <c r="U136" s="376">
        <v>184.14</v>
      </c>
      <c r="V136" s="376">
        <v>0</v>
      </c>
      <c r="W136" s="22">
        <f t="shared" si="7"/>
        <v>59.698187999999995</v>
      </c>
      <c r="X136" s="22">
        <f t="shared" si="8"/>
        <v>64.5</v>
      </c>
      <c r="Y136" s="22">
        <v>48.75</v>
      </c>
      <c r="Z136" s="22">
        <v>15.75</v>
      </c>
      <c r="AA136" s="371">
        <v>568.51</v>
      </c>
      <c r="AB136" s="22">
        <v>0.11345446869887953</v>
      </c>
      <c r="AC136" s="24">
        <v>0</v>
      </c>
      <c r="AD136" s="384">
        <v>0</v>
      </c>
    </row>
    <row r="137" spans="1:30">
      <c r="A137" s="21" t="s">
        <v>9</v>
      </c>
      <c r="B137" s="21" t="s">
        <v>10</v>
      </c>
      <c r="C137" s="23">
        <v>52</v>
      </c>
      <c r="D137" s="147">
        <v>4.72</v>
      </c>
      <c r="E137" s="22">
        <v>13.05</v>
      </c>
      <c r="F137" s="22">
        <v>17.77</v>
      </c>
      <c r="G137" s="22">
        <v>0</v>
      </c>
      <c r="H137" s="22">
        <v>1</v>
      </c>
      <c r="I137" s="22">
        <v>0</v>
      </c>
      <c r="J137" s="22">
        <v>0</v>
      </c>
      <c r="K137" s="22">
        <v>0</v>
      </c>
      <c r="L137" s="22">
        <v>0</v>
      </c>
      <c r="M137" s="388">
        <v>188.2</v>
      </c>
      <c r="N137" s="25">
        <v>0.70589999999999997</v>
      </c>
      <c r="O137" s="24">
        <v>185</v>
      </c>
      <c r="P137" s="24">
        <v>29</v>
      </c>
      <c r="Q137" s="24">
        <v>18</v>
      </c>
      <c r="R137" s="22">
        <v>11</v>
      </c>
      <c r="S137" s="24">
        <v>4</v>
      </c>
      <c r="T137" s="24">
        <f t="shared" ref="T137:T200" si="9">S137+P137</f>
        <v>33</v>
      </c>
      <c r="U137" s="376">
        <v>132.85</v>
      </c>
      <c r="V137" s="376">
        <v>0</v>
      </c>
      <c r="W137" s="22">
        <f t="shared" ref="W137:W200" si="10">U137*N137</f>
        <v>93.778814999999994</v>
      </c>
      <c r="X137" s="22">
        <f t="shared" ref="X137:X200" si="11">Y137+Z137</f>
        <v>18.5</v>
      </c>
      <c r="Y137" s="22">
        <v>16</v>
      </c>
      <c r="Z137" s="22">
        <v>2.5</v>
      </c>
      <c r="AA137" s="371">
        <v>188.2</v>
      </c>
      <c r="AB137" s="22">
        <v>9.829968119022317E-2</v>
      </c>
      <c r="AC137" s="24">
        <v>0</v>
      </c>
      <c r="AD137" s="384">
        <v>0</v>
      </c>
    </row>
    <row r="138" spans="1:30">
      <c r="A138" s="21" t="s">
        <v>77</v>
      </c>
      <c r="B138" s="21" t="s">
        <v>78</v>
      </c>
      <c r="C138" s="23">
        <v>1859.02</v>
      </c>
      <c r="D138" s="147">
        <v>46.14</v>
      </c>
      <c r="E138" s="22">
        <v>376.42</v>
      </c>
      <c r="F138" s="22">
        <v>422.56</v>
      </c>
      <c r="G138" s="22">
        <v>0</v>
      </c>
      <c r="H138" s="22">
        <v>133.12</v>
      </c>
      <c r="I138" s="22">
        <v>10.94</v>
      </c>
      <c r="J138" s="22">
        <v>108.23</v>
      </c>
      <c r="K138" s="22">
        <v>27.96</v>
      </c>
      <c r="L138" s="22">
        <v>1.44</v>
      </c>
      <c r="M138" s="388">
        <v>6168.8799999999992</v>
      </c>
      <c r="N138" s="25">
        <v>0.63149999999999995</v>
      </c>
      <c r="O138" s="24">
        <v>4537</v>
      </c>
      <c r="P138" s="24">
        <v>402.75</v>
      </c>
      <c r="Q138" s="24">
        <v>267.25</v>
      </c>
      <c r="R138" s="22">
        <v>135.5</v>
      </c>
      <c r="S138" s="24">
        <v>69.25</v>
      </c>
      <c r="T138" s="24">
        <f t="shared" si="9"/>
        <v>472</v>
      </c>
      <c r="U138" s="376">
        <v>3869.74</v>
      </c>
      <c r="V138" s="376">
        <v>308.44</v>
      </c>
      <c r="W138" s="22">
        <f t="shared" si="10"/>
        <v>2443.7408099999998</v>
      </c>
      <c r="X138" s="22">
        <f t="shared" si="11"/>
        <v>997.25</v>
      </c>
      <c r="Y138" s="22">
        <v>560</v>
      </c>
      <c r="Z138" s="22">
        <v>437.25</v>
      </c>
      <c r="AA138" s="371">
        <v>6173.13</v>
      </c>
      <c r="AB138" s="22">
        <v>0.16154689760299881</v>
      </c>
      <c r="AC138" s="24">
        <v>2.6546897602998804E-2</v>
      </c>
      <c r="AD138" s="384">
        <v>-1436449.5074793682</v>
      </c>
    </row>
    <row r="139" spans="1:30">
      <c r="A139" s="21" t="s">
        <v>493</v>
      </c>
      <c r="B139" s="21" t="s">
        <v>494</v>
      </c>
      <c r="C139" s="23">
        <v>59</v>
      </c>
      <c r="D139" s="147">
        <v>0</v>
      </c>
      <c r="E139" s="22">
        <v>0</v>
      </c>
      <c r="F139" s="22">
        <v>0</v>
      </c>
      <c r="G139" s="22">
        <v>0</v>
      </c>
      <c r="H139" s="22">
        <v>0</v>
      </c>
      <c r="I139" s="22">
        <v>0</v>
      </c>
      <c r="J139" s="22">
        <v>126.3</v>
      </c>
      <c r="K139" s="22">
        <v>0</v>
      </c>
      <c r="L139" s="22">
        <v>0</v>
      </c>
      <c r="M139" s="388">
        <v>231.1</v>
      </c>
      <c r="N139" s="25">
        <v>0.56200000000000006</v>
      </c>
      <c r="O139" s="24">
        <v>106</v>
      </c>
      <c r="P139" s="24">
        <v>0</v>
      </c>
      <c r="Q139" s="24">
        <v>0</v>
      </c>
      <c r="R139" s="22">
        <v>0</v>
      </c>
      <c r="S139" s="24">
        <v>0</v>
      </c>
      <c r="T139" s="24">
        <f t="shared" si="9"/>
        <v>0</v>
      </c>
      <c r="U139" s="376">
        <v>128.93</v>
      </c>
      <c r="V139" s="376">
        <v>0</v>
      </c>
      <c r="W139" s="22">
        <f t="shared" si="10"/>
        <v>72.458660000000009</v>
      </c>
      <c r="X139" s="22">
        <f t="shared" si="11"/>
        <v>17.5</v>
      </c>
      <c r="Y139" s="22">
        <v>10.25</v>
      </c>
      <c r="Z139" s="22">
        <v>7.25</v>
      </c>
      <c r="AA139" s="371">
        <v>231.1</v>
      </c>
      <c r="AB139" s="22">
        <v>7.5724794461272185E-2</v>
      </c>
      <c r="AC139" s="24">
        <v>0</v>
      </c>
      <c r="AD139" s="384">
        <v>0</v>
      </c>
    </row>
    <row r="140" spans="1:30">
      <c r="A140" s="21" t="s">
        <v>397</v>
      </c>
      <c r="B140" s="21" t="s">
        <v>398</v>
      </c>
      <c r="C140" s="23">
        <v>63.2</v>
      </c>
      <c r="D140" s="147">
        <v>0.7</v>
      </c>
      <c r="E140" s="22">
        <v>12.57</v>
      </c>
      <c r="F140" s="22">
        <v>13.27</v>
      </c>
      <c r="G140" s="22">
        <v>0</v>
      </c>
      <c r="H140" s="22">
        <v>1.32</v>
      </c>
      <c r="I140" s="22">
        <v>0.1</v>
      </c>
      <c r="J140" s="22">
        <v>19.75</v>
      </c>
      <c r="K140" s="22">
        <v>0</v>
      </c>
      <c r="L140" s="22">
        <v>0</v>
      </c>
      <c r="M140" s="388">
        <v>241.82</v>
      </c>
      <c r="N140" s="25">
        <v>0.44</v>
      </c>
      <c r="O140" s="24">
        <v>0</v>
      </c>
      <c r="P140" s="24">
        <v>18</v>
      </c>
      <c r="Q140" s="24">
        <v>14</v>
      </c>
      <c r="R140" s="22">
        <v>4</v>
      </c>
      <c r="S140" s="24">
        <v>0</v>
      </c>
      <c r="T140" s="24">
        <f t="shared" si="9"/>
        <v>18</v>
      </c>
      <c r="U140" s="376">
        <v>106.4</v>
      </c>
      <c r="V140" s="376">
        <v>12.09</v>
      </c>
      <c r="W140" s="22">
        <f t="shared" si="10"/>
        <v>46.816000000000003</v>
      </c>
      <c r="X140" s="22">
        <f t="shared" si="11"/>
        <v>42.75</v>
      </c>
      <c r="Y140" s="22">
        <v>38</v>
      </c>
      <c r="Z140" s="22">
        <v>4.75</v>
      </c>
      <c r="AA140" s="371">
        <v>241.82</v>
      </c>
      <c r="AB140" s="22">
        <v>0.17678438507981142</v>
      </c>
      <c r="AC140" s="24">
        <v>4.1784385079811415E-2</v>
      </c>
      <c r="AD140" s="384">
        <v>-95615.324766120757</v>
      </c>
    </row>
    <row r="141" spans="1:30">
      <c r="A141" s="21" t="s">
        <v>1232</v>
      </c>
      <c r="B141" s="21" t="s">
        <v>1233</v>
      </c>
      <c r="C141" s="23">
        <v>0</v>
      </c>
      <c r="D141" s="147">
        <v>0</v>
      </c>
      <c r="E141" s="22">
        <v>0</v>
      </c>
      <c r="F141" s="22">
        <v>0</v>
      </c>
      <c r="G141" s="22">
        <v>0</v>
      </c>
      <c r="H141" s="22">
        <v>0</v>
      </c>
      <c r="I141" s="22">
        <v>0</v>
      </c>
      <c r="J141" s="22">
        <v>0</v>
      </c>
      <c r="K141" s="22">
        <v>0.8</v>
      </c>
      <c r="L141" s="22">
        <v>0</v>
      </c>
      <c r="M141" s="388">
        <v>34.599999999999994</v>
      </c>
      <c r="N141" s="25">
        <v>0.87180000000000002</v>
      </c>
      <c r="O141" s="24">
        <v>39</v>
      </c>
      <c r="P141" s="24">
        <v>0</v>
      </c>
      <c r="Q141" s="24">
        <v>0</v>
      </c>
      <c r="R141" s="22">
        <v>0</v>
      </c>
      <c r="S141" s="24">
        <v>0</v>
      </c>
      <c r="T141" s="24">
        <f t="shared" si="9"/>
        <v>0</v>
      </c>
      <c r="U141" s="376">
        <v>29.28</v>
      </c>
      <c r="V141" s="376">
        <v>0</v>
      </c>
      <c r="W141" s="22">
        <f t="shared" si="10"/>
        <v>25.526304000000003</v>
      </c>
      <c r="X141" s="22">
        <f t="shared" si="11"/>
        <v>6.75</v>
      </c>
      <c r="Y141" s="22">
        <v>6.5</v>
      </c>
      <c r="Z141" s="22">
        <v>0.25</v>
      </c>
      <c r="AA141" s="371">
        <v>34.6</v>
      </c>
      <c r="AB141" s="22">
        <v>0.19508670520231214</v>
      </c>
      <c r="AC141" s="24">
        <v>6.008670520231213E-2</v>
      </c>
      <c r="AD141" s="384">
        <v>-17753.011919335677</v>
      </c>
    </row>
    <row r="142" spans="1:30">
      <c r="A142" s="21" t="s">
        <v>553</v>
      </c>
      <c r="B142" s="21" t="s">
        <v>554</v>
      </c>
      <c r="C142" s="23">
        <v>122.6</v>
      </c>
      <c r="D142" s="147">
        <v>0</v>
      </c>
      <c r="E142" s="22">
        <v>0</v>
      </c>
      <c r="F142" s="22">
        <v>0</v>
      </c>
      <c r="G142" s="22">
        <v>0</v>
      </c>
      <c r="H142" s="22">
        <v>2.0099999999999998</v>
      </c>
      <c r="I142" s="22">
        <v>0</v>
      </c>
      <c r="J142" s="22">
        <v>0</v>
      </c>
      <c r="K142" s="22">
        <v>0</v>
      </c>
      <c r="L142" s="22">
        <v>0</v>
      </c>
      <c r="M142" s="388">
        <v>399.13</v>
      </c>
      <c r="N142" s="25">
        <v>0.9375</v>
      </c>
      <c r="O142" s="24">
        <v>408</v>
      </c>
      <c r="P142" s="24">
        <v>0</v>
      </c>
      <c r="Q142" s="24">
        <v>0</v>
      </c>
      <c r="R142" s="22">
        <v>0</v>
      </c>
      <c r="S142" s="24">
        <v>0</v>
      </c>
      <c r="T142" s="24">
        <f t="shared" si="9"/>
        <v>0</v>
      </c>
      <c r="U142" s="376">
        <v>374.18</v>
      </c>
      <c r="V142" s="376">
        <v>0</v>
      </c>
      <c r="W142" s="22">
        <f t="shared" si="10"/>
        <v>350.79374999999999</v>
      </c>
      <c r="X142" s="22">
        <f t="shared" si="11"/>
        <v>112</v>
      </c>
      <c r="Y142" s="22">
        <v>88.25</v>
      </c>
      <c r="Z142" s="22">
        <v>23.75</v>
      </c>
      <c r="AA142" s="371">
        <v>399.13</v>
      </c>
      <c r="AB142" s="22">
        <v>0.28061032746223036</v>
      </c>
      <c r="AC142" s="24">
        <v>0.14561032746223035</v>
      </c>
      <c r="AD142" s="384">
        <v>-549065.80042489187</v>
      </c>
    </row>
    <row r="143" spans="1:30">
      <c r="A143" s="21" t="s">
        <v>269</v>
      </c>
      <c r="B143" s="21" t="s">
        <v>270</v>
      </c>
      <c r="C143" s="23">
        <v>62.4</v>
      </c>
      <c r="D143" s="147">
        <v>0</v>
      </c>
      <c r="E143" s="22">
        <v>0</v>
      </c>
      <c r="F143" s="22">
        <v>0</v>
      </c>
      <c r="G143" s="22">
        <v>0</v>
      </c>
      <c r="H143" s="22">
        <v>13.71</v>
      </c>
      <c r="I143" s="22">
        <v>0</v>
      </c>
      <c r="J143" s="22">
        <v>0</v>
      </c>
      <c r="K143" s="22">
        <v>0</v>
      </c>
      <c r="L143" s="22">
        <v>0</v>
      </c>
      <c r="M143" s="388">
        <v>214.04000000000002</v>
      </c>
      <c r="N143" s="25">
        <v>0.88739999999999997</v>
      </c>
      <c r="O143" s="24">
        <v>222</v>
      </c>
      <c r="P143" s="24">
        <v>8</v>
      </c>
      <c r="Q143" s="24">
        <v>6</v>
      </c>
      <c r="R143" s="22">
        <v>2</v>
      </c>
      <c r="S143" s="24">
        <v>0</v>
      </c>
      <c r="T143" s="24">
        <f t="shared" si="9"/>
        <v>8</v>
      </c>
      <c r="U143" s="376">
        <v>189.83</v>
      </c>
      <c r="V143" s="376">
        <v>0</v>
      </c>
      <c r="W143" s="22">
        <f t="shared" si="10"/>
        <v>168.455142</v>
      </c>
      <c r="X143" s="22">
        <f t="shared" si="11"/>
        <v>39.5</v>
      </c>
      <c r="Y143" s="22">
        <v>35</v>
      </c>
      <c r="Z143" s="22">
        <v>4.5</v>
      </c>
      <c r="AA143" s="371">
        <v>214.04</v>
      </c>
      <c r="AB143" s="22">
        <v>0.18454494487011774</v>
      </c>
      <c r="AC143" s="24">
        <v>4.9544944870117735E-2</v>
      </c>
      <c r="AD143" s="384">
        <v>-93019.662381445218</v>
      </c>
    </row>
    <row r="144" spans="1:30">
      <c r="A144" s="21" t="s">
        <v>545</v>
      </c>
      <c r="B144" s="21" t="s">
        <v>546</v>
      </c>
      <c r="C144" s="23">
        <v>873.85</v>
      </c>
      <c r="D144" s="147">
        <v>14.93</v>
      </c>
      <c r="E144" s="22">
        <v>218.72</v>
      </c>
      <c r="F144" s="22">
        <v>233.65</v>
      </c>
      <c r="G144" s="22">
        <v>0</v>
      </c>
      <c r="H144" s="22">
        <v>106.19</v>
      </c>
      <c r="I144" s="22">
        <v>6.4</v>
      </c>
      <c r="J144" s="22">
        <v>388.61</v>
      </c>
      <c r="K144" s="22">
        <v>17.260000000000002</v>
      </c>
      <c r="L144" s="22">
        <v>1.54</v>
      </c>
      <c r="M144" s="388">
        <v>3319.4400000000005</v>
      </c>
      <c r="N144" s="25">
        <v>0.32329999999999998</v>
      </c>
      <c r="O144" s="24">
        <v>0</v>
      </c>
      <c r="P144" s="24">
        <v>342.25</v>
      </c>
      <c r="Q144" s="24">
        <v>230</v>
      </c>
      <c r="R144" s="22">
        <v>112.25</v>
      </c>
      <c r="S144" s="24">
        <v>82.25</v>
      </c>
      <c r="T144" s="24">
        <f t="shared" si="9"/>
        <v>424.5</v>
      </c>
      <c r="U144" s="376">
        <v>1073.17</v>
      </c>
      <c r="V144" s="376">
        <v>165.97</v>
      </c>
      <c r="W144" s="22">
        <f t="shared" si="10"/>
        <v>346.95586099999997</v>
      </c>
      <c r="X144" s="22">
        <f t="shared" si="11"/>
        <v>447.5</v>
      </c>
      <c r="Y144" s="22">
        <v>332.25</v>
      </c>
      <c r="Z144" s="22">
        <v>115.25</v>
      </c>
      <c r="AA144" s="371">
        <v>3322.08</v>
      </c>
      <c r="AB144" s="22">
        <v>0.13470476328083611</v>
      </c>
      <c r="AC144" s="24">
        <v>0</v>
      </c>
      <c r="AD144" s="384">
        <v>0</v>
      </c>
    </row>
    <row r="145" spans="1:30">
      <c r="A145" s="21" t="s">
        <v>591</v>
      </c>
      <c r="B145" s="21" t="s">
        <v>592</v>
      </c>
      <c r="C145" s="23">
        <v>237.6</v>
      </c>
      <c r="D145" s="147">
        <v>0</v>
      </c>
      <c r="E145" s="22">
        <v>77.38</v>
      </c>
      <c r="F145" s="22">
        <v>77.38</v>
      </c>
      <c r="G145" s="22">
        <v>0</v>
      </c>
      <c r="H145" s="22">
        <v>10.58</v>
      </c>
      <c r="I145" s="22">
        <v>0.92</v>
      </c>
      <c r="J145" s="22">
        <v>0</v>
      </c>
      <c r="K145" s="22">
        <v>3.6</v>
      </c>
      <c r="L145" s="22">
        <v>0</v>
      </c>
      <c r="M145" s="388">
        <v>808.32</v>
      </c>
      <c r="N145" s="25">
        <v>0.99119999999999997</v>
      </c>
      <c r="O145" s="24">
        <v>815</v>
      </c>
      <c r="P145" s="24">
        <v>329.75</v>
      </c>
      <c r="Q145" s="24">
        <v>144.75</v>
      </c>
      <c r="R145" s="22">
        <v>185</v>
      </c>
      <c r="S145" s="24">
        <v>29</v>
      </c>
      <c r="T145" s="24">
        <f t="shared" si="9"/>
        <v>358.75</v>
      </c>
      <c r="U145" s="376">
        <v>801.21</v>
      </c>
      <c r="V145" s="376">
        <v>40.42</v>
      </c>
      <c r="W145" s="22">
        <f t="shared" si="10"/>
        <v>794.15935200000001</v>
      </c>
      <c r="X145" s="22">
        <f t="shared" si="11"/>
        <v>83.5</v>
      </c>
      <c r="Y145" s="22">
        <v>31.5</v>
      </c>
      <c r="Z145" s="22">
        <v>52</v>
      </c>
      <c r="AA145" s="371">
        <v>811.56</v>
      </c>
      <c r="AB145" s="22">
        <v>0.10288826457686431</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91.399999999999991</v>
      </c>
      <c r="N146" s="25">
        <v>0.73629999999999995</v>
      </c>
      <c r="O146" s="24">
        <v>93</v>
      </c>
      <c r="P146" s="24">
        <v>5</v>
      </c>
      <c r="Q146" s="24">
        <v>2</v>
      </c>
      <c r="R146" s="22">
        <v>3</v>
      </c>
      <c r="S146" s="24">
        <v>1</v>
      </c>
      <c r="T146" s="24">
        <f t="shared" si="9"/>
        <v>6</v>
      </c>
      <c r="U146" s="376">
        <v>67.3</v>
      </c>
      <c r="V146" s="376">
        <v>0</v>
      </c>
      <c r="W146" s="22">
        <f t="shared" si="10"/>
        <v>49.552989999999994</v>
      </c>
      <c r="X146" s="22">
        <f t="shared" si="11"/>
        <v>9.75</v>
      </c>
      <c r="Y146" s="22">
        <v>7.75</v>
      </c>
      <c r="Z146" s="22">
        <v>2</v>
      </c>
      <c r="AA146" s="371">
        <v>91.4</v>
      </c>
      <c r="AB146" s="22">
        <v>0.10667396061269147</v>
      </c>
      <c r="AC146" s="24">
        <v>0</v>
      </c>
      <c r="AD146" s="384">
        <v>0</v>
      </c>
    </row>
    <row r="147" spans="1:30">
      <c r="A147" s="21" t="s">
        <v>29</v>
      </c>
      <c r="B147" s="21" t="s">
        <v>30</v>
      </c>
      <c r="C147" s="23">
        <v>161.97999999999999</v>
      </c>
      <c r="D147" s="147">
        <v>4.6100000000000003</v>
      </c>
      <c r="E147" s="22">
        <v>12.35</v>
      </c>
      <c r="F147" s="22">
        <v>16.96</v>
      </c>
      <c r="G147" s="22">
        <v>0</v>
      </c>
      <c r="H147" s="22">
        <v>0</v>
      </c>
      <c r="I147" s="22">
        <v>0</v>
      </c>
      <c r="J147" s="22">
        <v>0</v>
      </c>
      <c r="K147" s="22">
        <v>0</v>
      </c>
      <c r="L147" s="22">
        <v>0</v>
      </c>
      <c r="M147" s="388">
        <v>598.66</v>
      </c>
      <c r="N147" s="25">
        <v>0.70520000000000005</v>
      </c>
      <c r="O147" s="24">
        <v>606</v>
      </c>
      <c r="P147" s="24">
        <v>214.25</v>
      </c>
      <c r="Q147" s="24">
        <v>132.5</v>
      </c>
      <c r="R147" s="22">
        <v>81.75</v>
      </c>
      <c r="S147" s="24">
        <v>33</v>
      </c>
      <c r="T147" s="24">
        <f t="shared" si="9"/>
        <v>247.25</v>
      </c>
      <c r="U147" s="376">
        <v>422.18</v>
      </c>
      <c r="V147" s="376">
        <v>29.93</v>
      </c>
      <c r="W147" s="22">
        <f t="shared" si="10"/>
        <v>297.72133600000001</v>
      </c>
      <c r="X147" s="22">
        <f t="shared" si="11"/>
        <v>72</v>
      </c>
      <c r="Y147" s="22">
        <v>57.75</v>
      </c>
      <c r="Z147" s="22">
        <v>14.25</v>
      </c>
      <c r="AA147" s="371">
        <v>598.66</v>
      </c>
      <c r="AB147" s="22">
        <v>0.12026859987304982</v>
      </c>
      <c r="AC147" s="24">
        <v>0</v>
      </c>
      <c r="AD147" s="384">
        <v>0</v>
      </c>
    </row>
    <row r="148" spans="1:30">
      <c r="A148" s="21" t="s">
        <v>319</v>
      </c>
      <c r="B148" s="21" t="s">
        <v>320</v>
      </c>
      <c r="C148" s="23">
        <v>58.8</v>
      </c>
      <c r="D148" s="147">
        <v>4.8600000000000003</v>
      </c>
      <c r="E148" s="22">
        <v>18.62</v>
      </c>
      <c r="F148" s="22">
        <v>23.48</v>
      </c>
      <c r="G148" s="22">
        <v>0</v>
      </c>
      <c r="H148" s="22">
        <v>4.47</v>
      </c>
      <c r="I148" s="22">
        <v>0.33</v>
      </c>
      <c r="J148" s="22">
        <v>1274.4000000000001</v>
      </c>
      <c r="K148" s="22">
        <v>0</v>
      </c>
      <c r="L148" s="22">
        <v>0</v>
      </c>
      <c r="M148" s="388">
        <v>1440.42</v>
      </c>
      <c r="N148" s="25">
        <v>0.20680000000000001</v>
      </c>
      <c r="O148" s="24">
        <v>170</v>
      </c>
      <c r="P148" s="24">
        <v>31.25</v>
      </c>
      <c r="Q148" s="24">
        <v>27.75</v>
      </c>
      <c r="R148" s="22">
        <v>3.5</v>
      </c>
      <c r="S148" s="24">
        <v>5.25</v>
      </c>
      <c r="T148" s="24">
        <f t="shared" si="9"/>
        <v>36.5</v>
      </c>
      <c r="U148" s="376">
        <v>297.88</v>
      </c>
      <c r="V148" s="376">
        <v>72.02</v>
      </c>
      <c r="W148" s="22">
        <f t="shared" si="10"/>
        <v>61.601584000000003</v>
      </c>
      <c r="X148" s="22">
        <f t="shared" si="11"/>
        <v>246.25</v>
      </c>
      <c r="Y148" s="22">
        <v>212</v>
      </c>
      <c r="Z148" s="22">
        <v>34.25</v>
      </c>
      <c r="AA148" s="371">
        <v>1441.96</v>
      </c>
      <c r="AB148" s="22">
        <v>0.17077450137313102</v>
      </c>
      <c r="AC148" s="24">
        <v>3.5774501373131012E-2</v>
      </c>
      <c r="AD148" s="384">
        <v>-431552.38947815518</v>
      </c>
    </row>
    <row r="149" spans="1:30">
      <c r="A149" s="21" t="s">
        <v>501</v>
      </c>
      <c r="B149" s="21" t="s">
        <v>502</v>
      </c>
      <c r="C149" s="23">
        <v>118.2</v>
      </c>
      <c r="D149" s="147">
        <v>0</v>
      </c>
      <c r="E149" s="22">
        <v>39.33</v>
      </c>
      <c r="F149" s="22">
        <v>39.33</v>
      </c>
      <c r="G149" s="22">
        <v>0</v>
      </c>
      <c r="H149" s="22">
        <v>5.92</v>
      </c>
      <c r="I149" s="22">
        <v>1.02</v>
      </c>
      <c r="J149" s="22">
        <v>37.78</v>
      </c>
      <c r="K149" s="22">
        <v>0</v>
      </c>
      <c r="L149" s="22">
        <v>0</v>
      </c>
      <c r="M149" s="388">
        <v>450.72</v>
      </c>
      <c r="N149" s="25">
        <v>0.78349999999999997</v>
      </c>
      <c r="O149" s="24">
        <v>450</v>
      </c>
      <c r="P149" s="24">
        <v>1</v>
      </c>
      <c r="Q149" s="24">
        <v>0</v>
      </c>
      <c r="R149" s="22">
        <v>1</v>
      </c>
      <c r="S149" s="24">
        <v>0</v>
      </c>
      <c r="T149" s="24">
        <f t="shared" si="9"/>
        <v>1</v>
      </c>
      <c r="U149" s="376">
        <v>353.14</v>
      </c>
      <c r="V149" s="376">
        <v>22.54</v>
      </c>
      <c r="W149" s="22">
        <f t="shared" si="10"/>
        <v>276.68518999999998</v>
      </c>
      <c r="X149" s="22">
        <f t="shared" si="11"/>
        <v>71</v>
      </c>
      <c r="Y149" s="22">
        <v>52</v>
      </c>
      <c r="Z149" s="22">
        <v>19</v>
      </c>
      <c r="AA149" s="371">
        <v>450.72</v>
      </c>
      <c r="AB149" s="22">
        <v>0.15752573659921901</v>
      </c>
      <c r="AC149" s="24">
        <v>2.2525736599218998E-2</v>
      </c>
      <c r="AD149" s="384">
        <v>-88490.915271153848</v>
      </c>
    </row>
    <row r="150" spans="1:30">
      <c r="A150" s="21" t="s">
        <v>433</v>
      </c>
      <c r="B150" s="21" t="s">
        <v>434</v>
      </c>
      <c r="C150" s="23">
        <v>2864.18</v>
      </c>
      <c r="D150" s="147">
        <v>201.04</v>
      </c>
      <c r="E150" s="22">
        <v>586.42999999999995</v>
      </c>
      <c r="F150" s="22">
        <v>787.46999999999991</v>
      </c>
      <c r="G150" s="22">
        <v>0</v>
      </c>
      <c r="H150" s="22">
        <v>154.68</v>
      </c>
      <c r="I150" s="22">
        <v>8.43</v>
      </c>
      <c r="J150" s="22">
        <v>336.75</v>
      </c>
      <c r="K150" s="22">
        <v>76.52</v>
      </c>
      <c r="L150" s="22">
        <v>0</v>
      </c>
      <c r="M150" s="388">
        <v>9923.5600000000013</v>
      </c>
      <c r="N150" s="25">
        <v>0.50609999999999999</v>
      </c>
      <c r="O150" s="24">
        <v>6381</v>
      </c>
      <c r="P150" s="24">
        <v>1016.5</v>
      </c>
      <c r="Q150" s="24">
        <v>619.75</v>
      </c>
      <c r="R150" s="22">
        <v>396.75</v>
      </c>
      <c r="S150" s="24">
        <v>196.5</v>
      </c>
      <c r="T150" s="24">
        <f t="shared" si="9"/>
        <v>1213</v>
      </c>
      <c r="U150" s="376">
        <v>5025.29</v>
      </c>
      <c r="V150" s="376">
        <v>496.18</v>
      </c>
      <c r="W150" s="22">
        <f t="shared" si="10"/>
        <v>2543.2992690000001</v>
      </c>
      <c r="X150" s="22">
        <f t="shared" si="11"/>
        <v>1503.5</v>
      </c>
      <c r="Y150" s="22">
        <v>730</v>
      </c>
      <c r="Z150" s="22">
        <v>773.5</v>
      </c>
      <c r="AA150" s="371">
        <v>9953.17</v>
      </c>
      <c r="AB150" s="22">
        <v>0.15105740181268881</v>
      </c>
      <c r="AC150" s="24">
        <v>1.6057401812688804E-2</v>
      </c>
      <c r="AD150" s="384">
        <v>-1556287.6691872284</v>
      </c>
    </row>
    <row r="151" spans="1:30">
      <c r="A151" s="21" t="s">
        <v>147</v>
      </c>
      <c r="B151" s="21" t="s">
        <v>148</v>
      </c>
      <c r="C151" s="23">
        <v>125.41</v>
      </c>
      <c r="D151" s="147">
        <v>0</v>
      </c>
      <c r="E151" s="22">
        <v>0</v>
      </c>
      <c r="F151" s="22">
        <v>0</v>
      </c>
      <c r="G151" s="22">
        <v>0</v>
      </c>
      <c r="H151" s="22">
        <v>0</v>
      </c>
      <c r="I151" s="22">
        <v>0</v>
      </c>
      <c r="J151" s="22">
        <v>0</v>
      </c>
      <c r="K151" s="22">
        <v>0</v>
      </c>
      <c r="L151" s="22">
        <v>0</v>
      </c>
      <c r="M151" s="388">
        <v>291.75</v>
      </c>
      <c r="N151" s="25">
        <v>0.60860000000000003</v>
      </c>
      <c r="O151" s="24">
        <v>291</v>
      </c>
      <c r="P151" s="24">
        <v>2.25</v>
      </c>
      <c r="Q151" s="24">
        <v>2.25</v>
      </c>
      <c r="R151" s="22">
        <v>0</v>
      </c>
      <c r="S151" s="24">
        <v>0</v>
      </c>
      <c r="T151" s="24">
        <f t="shared" si="9"/>
        <v>2.25</v>
      </c>
      <c r="U151" s="376">
        <v>177.56</v>
      </c>
      <c r="V151" s="376">
        <v>14.59</v>
      </c>
      <c r="W151" s="22">
        <f t="shared" si="10"/>
        <v>108.063016</v>
      </c>
      <c r="X151" s="22">
        <f t="shared" si="11"/>
        <v>61.5</v>
      </c>
      <c r="Y151" s="22">
        <v>51.5</v>
      </c>
      <c r="Z151" s="22">
        <v>10</v>
      </c>
      <c r="AA151" s="371">
        <v>291.75</v>
      </c>
      <c r="AB151" s="22">
        <v>0.21079691516709512</v>
      </c>
      <c r="AC151" s="24">
        <v>7.5796915167095108E-2</v>
      </c>
      <c r="AD151" s="384">
        <v>-198898.32415362209</v>
      </c>
    </row>
    <row r="152" spans="1:30">
      <c r="A152" s="21" t="s">
        <v>461</v>
      </c>
      <c r="B152" s="21" t="s">
        <v>462</v>
      </c>
      <c r="C152" s="23">
        <v>2631.62</v>
      </c>
      <c r="D152" s="147">
        <v>406.12</v>
      </c>
      <c r="E152" s="22">
        <v>321.83999999999997</v>
      </c>
      <c r="F152" s="22">
        <v>727.96</v>
      </c>
      <c r="G152" s="22">
        <v>0</v>
      </c>
      <c r="H152" s="22">
        <v>302.37</v>
      </c>
      <c r="I152" s="22">
        <v>12.32</v>
      </c>
      <c r="J152" s="22">
        <v>538.24</v>
      </c>
      <c r="K152" s="22">
        <v>9.93</v>
      </c>
      <c r="L152" s="22">
        <v>1.7</v>
      </c>
      <c r="M152" s="388">
        <v>10187.290000000001</v>
      </c>
      <c r="N152" s="25">
        <v>0.29310000000000003</v>
      </c>
      <c r="O152" s="24">
        <v>352</v>
      </c>
      <c r="P152" s="24">
        <v>283</v>
      </c>
      <c r="Q152" s="24">
        <v>164.5</v>
      </c>
      <c r="R152" s="22">
        <v>118.5</v>
      </c>
      <c r="S152" s="24">
        <v>84</v>
      </c>
      <c r="T152" s="24">
        <f t="shared" si="9"/>
        <v>367</v>
      </c>
      <c r="U152" s="376">
        <v>2985.89</v>
      </c>
      <c r="V152" s="376">
        <v>509.36</v>
      </c>
      <c r="W152" s="22">
        <f t="shared" si="10"/>
        <v>875.16435899999999</v>
      </c>
      <c r="X152" s="22">
        <f t="shared" si="11"/>
        <v>1347.5</v>
      </c>
      <c r="Y152" s="22">
        <v>626</v>
      </c>
      <c r="Z152" s="22">
        <v>721.5</v>
      </c>
      <c r="AA152" s="371">
        <v>10243.16</v>
      </c>
      <c r="AB152" s="22">
        <v>0.13155120099656747</v>
      </c>
      <c r="AC152" s="24">
        <v>0</v>
      </c>
      <c r="AD152" s="384">
        <v>0</v>
      </c>
    </row>
    <row r="153" spans="1:30">
      <c r="A153" s="21" t="s">
        <v>459</v>
      </c>
      <c r="B153" s="21" t="s">
        <v>460</v>
      </c>
      <c r="C153" s="23">
        <v>565.32000000000005</v>
      </c>
      <c r="D153" s="147">
        <v>1.82</v>
      </c>
      <c r="E153" s="22">
        <v>128.52000000000001</v>
      </c>
      <c r="F153" s="22">
        <v>130.34</v>
      </c>
      <c r="G153" s="22">
        <v>0</v>
      </c>
      <c r="H153" s="22">
        <v>23.43</v>
      </c>
      <c r="I153" s="22">
        <v>1.3</v>
      </c>
      <c r="J153" s="22">
        <v>83.67</v>
      </c>
      <c r="K153" s="22">
        <v>0</v>
      </c>
      <c r="L153" s="22">
        <v>0</v>
      </c>
      <c r="M153" s="388">
        <v>1756.0400000000004</v>
      </c>
      <c r="N153" s="25">
        <v>0.38279999999999997</v>
      </c>
      <c r="O153" s="24">
        <v>22</v>
      </c>
      <c r="P153" s="24">
        <v>21</v>
      </c>
      <c r="Q153" s="24">
        <v>16.5</v>
      </c>
      <c r="R153" s="22">
        <v>4.5</v>
      </c>
      <c r="S153" s="24">
        <v>0</v>
      </c>
      <c r="T153" s="24">
        <f t="shared" si="9"/>
        <v>21</v>
      </c>
      <c r="U153" s="376">
        <v>672.21</v>
      </c>
      <c r="V153" s="376">
        <v>87.8</v>
      </c>
      <c r="W153" s="22">
        <f t="shared" si="10"/>
        <v>257.32198799999998</v>
      </c>
      <c r="X153" s="22">
        <f t="shared" si="11"/>
        <v>230.5</v>
      </c>
      <c r="Y153" s="22">
        <v>185.25</v>
      </c>
      <c r="Z153" s="22">
        <v>45.25</v>
      </c>
      <c r="AA153" s="371">
        <v>1769.29</v>
      </c>
      <c r="AB153" s="22">
        <v>0.13027824720650658</v>
      </c>
      <c r="AC153" s="24">
        <v>0</v>
      </c>
      <c r="AD153" s="384">
        <v>0</v>
      </c>
    </row>
    <row r="154" spans="1:30">
      <c r="A154" s="21" t="s">
        <v>189</v>
      </c>
      <c r="B154" s="21" t="s">
        <v>190</v>
      </c>
      <c r="C154" s="23">
        <v>948.09</v>
      </c>
      <c r="D154" s="147">
        <v>16.190000000000001</v>
      </c>
      <c r="E154" s="22">
        <v>288.45</v>
      </c>
      <c r="F154" s="22">
        <v>304.64</v>
      </c>
      <c r="G154" s="22">
        <v>0</v>
      </c>
      <c r="H154" s="22">
        <v>47.02</v>
      </c>
      <c r="I154" s="22">
        <v>3.21</v>
      </c>
      <c r="J154" s="22">
        <v>12.61</v>
      </c>
      <c r="K154" s="22">
        <v>0</v>
      </c>
      <c r="L154" s="22">
        <v>0</v>
      </c>
      <c r="M154" s="388">
        <v>3990.6800000000003</v>
      </c>
      <c r="N154" s="25">
        <v>3.4500000000000003E-2</v>
      </c>
      <c r="O154" s="24">
        <v>0</v>
      </c>
      <c r="P154" s="24">
        <v>114.25</v>
      </c>
      <c r="Q154" s="24">
        <v>88.75</v>
      </c>
      <c r="R154" s="22">
        <v>25.5</v>
      </c>
      <c r="S154" s="24">
        <v>112</v>
      </c>
      <c r="T154" s="24">
        <f t="shared" si="9"/>
        <v>226.25</v>
      </c>
      <c r="U154" s="376">
        <v>137.68</v>
      </c>
      <c r="V154" s="376">
        <v>199.53</v>
      </c>
      <c r="W154" s="22">
        <f t="shared" si="10"/>
        <v>4.7499600000000006</v>
      </c>
      <c r="X154" s="22">
        <f t="shared" si="11"/>
        <v>388.25</v>
      </c>
      <c r="Y154" s="22">
        <v>260.25</v>
      </c>
      <c r="Z154" s="22">
        <v>128</v>
      </c>
      <c r="AA154" s="371">
        <v>4005.48</v>
      </c>
      <c r="AB154" s="22">
        <v>9.6929706302365762E-2</v>
      </c>
      <c r="AC154" s="24">
        <v>0</v>
      </c>
      <c r="AD154" s="384">
        <v>0</v>
      </c>
    </row>
    <row r="155" spans="1:30">
      <c r="A155" s="21" t="s">
        <v>547</v>
      </c>
      <c r="B155" s="21" t="s">
        <v>548</v>
      </c>
      <c r="C155" s="23">
        <v>444.77</v>
      </c>
      <c r="D155" s="147">
        <v>0</v>
      </c>
      <c r="E155" s="22">
        <v>61.67</v>
      </c>
      <c r="F155" s="22">
        <v>61.67</v>
      </c>
      <c r="G155" s="22">
        <v>0</v>
      </c>
      <c r="H155" s="22">
        <v>43.95</v>
      </c>
      <c r="I155" s="22">
        <v>2.4500000000000002</v>
      </c>
      <c r="J155" s="22">
        <v>224.32999999999998</v>
      </c>
      <c r="K155" s="22">
        <v>8.6999999999999993</v>
      </c>
      <c r="L155" s="22">
        <v>0.9</v>
      </c>
      <c r="M155" s="388">
        <v>1741.69</v>
      </c>
      <c r="N155" s="25">
        <v>0.37790000000000001</v>
      </c>
      <c r="O155" s="24">
        <v>0</v>
      </c>
      <c r="P155" s="24">
        <v>189.5</v>
      </c>
      <c r="Q155" s="24">
        <v>133.5</v>
      </c>
      <c r="R155" s="22">
        <v>56</v>
      </c>
      <c r="S155" s="24">
        <v>24</v>
      </c>
      <c r="T155" s="24">
        <f t="shared" si="9"/>
        <v>213.5</v>
      </c>
      <c r="U155" s="376">
        <v>658.18</v>
      </c>
      <c r="V155" s="376">
        <v>87.08</v>
      </c>
      <c r="W155" s="22">
        <f t="shared" si="10"/>
        <v>248.72622199999998</v>
      </c>
      <c r="X155" s="22">
        <f t="shared" si="11"/>
        <v>191.25</v>
      </c>
      <c r="Y155" s="22">
        <v>134.25</v>
      </c>
      <c r="Z155" s="22">
        <v>57</v>
      </c>
      <c r="AA155" s="371">
        <v>1745.05</v>
      </c>
      <c r="AB155" s="22">
        <v>0.10959571358986848</v>
      </c>
      <c r="AC155" s="24">
        <v>0</v>
      </c>
      <c r="AD155" s="384">
        <v>0</v>
      </c>
    </row>
    <row r="156" spans="1:30">
      <c r="A156" s="21" t="s">
        <v>337</v>
      </c>
      <c r="B156" s="21" t="s">
        <v>338</v>
      </c>
      <c r="C156" s="23">
        <v>212.66</v>
      </c>
      <c r="D156" s="147">
        <v>0</v>
      </c>
      <c r="E156" s="22">
        <v>39.130000000000003</v>
      </c>
      <c r="F156" s="22">
        <v>39.130000000000003</v>
      </c>
      <c r="G156" s="22">
        <v>0</v>
      </c>
      <c r="H156" s="22">
        <v>7.07</v>
      </c>
      <c r="I156" s="22">
        <v>0.28000000000000003</v>
      </c>
      <c r="J156" s="22">
        <v>25.700000000000003</v>
      </c>
      <c r="K156" s="22">
        <v>0</v>
      </c>
      <c r="L156" s="22">
        <v>0</v>
      </c>
      <c r="M156" s="388">
        <v>716.15</v>
      </c>
      <c r="N156" s="25">
        <v>0.39369999999999999</v>
      </c>
      <c r="O156" s="24">
        <v>42</v>
      </c>
      <c r="P156" s="24">
        <v>24</v>
      </c>
      <c r="Q156" s="24">
        <v>16</v>
      </c>
      <c r="R156" s="22">
        <v>8</v>
      </c>
      <c r="S156" s="24">
        <v>3.25</v>
      </c>
      <c r="T156" s="24">
        <f t="shared" si="9"/>
        <v>27.25</v>
      </c>
      <c r="U156" s="376">
        <v>281.95</v>
      </c>
      <c r="V156" s="376">
        <v>35.81</v>
      </c>
      <c r="W156" s="22">
        <f t="shared" si="10"/>
        <v>111.003715</v>
      </c>
      <c r="X156" s="22">
        <f t="shared" si="11"/>
        <v>77.25</v>
      </c>
      <c r="Y156" s="22">
        <v>68.25</v>
      </c>
      <c r="Z156" s="22">
        <v>9</v>
      </c>
      <c r="AA156" s="371">
        <v>716.16</v>
      </c>
      <c r="AB156" s="22">
        <v>0.10786695710455764</v>
      </c>
      <c r="AC156" s="24">
        <v>0</v>
      </c>
      <c r="AD156" s="384">
        <v>0</v>
      </c>
    </row>
    <row r="157" spans="1:30">
      <c r="A157" s="21" t="s">
        <v>419</v>
      </c>
      <c r="B157" s="21" t="s">
        <v>420</v>
      </c>
      <c r="C157" s="23">
        <v>10.27</v>
      </c>
      <c r="D157" s="147">
        <v>0</v>
      </c>
      <c r="E157" s="22">
        <v>0</v>
      </c>
      <c r="F157" s="22">
        <v>0</v>
      </c>
      <c r="G157" s="22">
        <v>0</v>
      </c>
      <c r="H157" s="22">
        <v>0</v>
      </c>
      <c r="I157" s="22">
        <v>0</v>
      </c>
      <c r="J157" s="22">
        <v>0</v>
      </c>
      <c r="K157" s="22">
        <v>0</v>
      </c>
      <c r="L157" s="22">
        <v>0</v>
      </c>
      <c r="M157" s="388">
        <v>25.989999999999995</v>
      </c>
      <c r="N157" s="25">
        <v>0.51160000000000005</v>
      </c>
      <c r="O157" s="24">
        <v>34</v>
      </c>
      <c r="P157" s="24">
        <v>0</v>
      </c>
      <c r="Q157" s="24">
        <v>0</v>
      </c>
      <c r="R157" s="22">
        <v>0</v>
      </c>
      <c r="S157" s="24">
        <v>0</v>
      </c>
      <c r="T157" s="24">
        <f t="shared" si="9"/>
        <v>0</v>
      </c>
      <c r="U157" s="376">
        <v>13.3</v>
      </c>
      <c r="V157" s="376">
        <v>0</v>
      </c>
      <c r="W157" s="22">
        <f t="shared" si="10"/>
        <v>6.8042800000000012</v>
      </c>
      <c r="X157" s="22">
        <f t="shared" si="11"/>
        <v>5.25</v>
      </c>
      <c r="Y157" s="22">
        <v>4.25</v>
      </c>
      <c r="Z157" s="22">
        <v>1</v>
      </c>
      <c r="AA157" s="371">
        <v>25.99</v>
      </c>
      <c r="AB157" s="22">
        <v>0.20200076952674106</v>
      </c>
      <c r="AC157" s="24">
        <v>6.7000769526741055E-2</v>
      </c>
      <c r="AD157" s="384">
        <v>-15611.956123050531</v>
      </c>
    </row>
    <row r="158" spans="1:30">
      <c r="A158" s="21" t="s">
        <v>437</v>
      </c>
      <c r="B158" s="21" t="s">
        <v>438</v>
      </c>
      <c r="C158" s="23">
        <v>1383.4</v>
      </c>
      <c r="D158" s="147">
        <v>74.430000000000007</v>
      </c>
      <c r="E158" s="22">
        <v>384.65</v>
      </c>
      <c r="F158" s="22">
        <v>459.08</v>
      </c>
      <c r="G158" s="22">
        <v>0</v>
      </c>
      <c r="H158" s="22">
        <v>160.72</v>
      </c>
      <c r="I158" s="22">
        <v>13.71</v>
      </c>
      <c r="J158" s="22">
        <v>763.31999999999994</v>
      </c>
      <c r="K158" s="22">
        <v>0</v>
      </c>
      <c r="L158" s="22">
        <v>0</v>
      </c>
      <c r="M158" s="388">
        <v>5792.95</v>
      </c>
      <c r="N158" s="25">
        <v>0.31219999999999998</v>
      </c>
      <c r="O158" s="24">
        <v>595</v>
      </c>
      <c r="P158" s="24">
        <v>661.25</v>
      </c>
      <c r="Q158" s="24">
        <v>432.5</v>
      </c>
      <c r="R158" s="22">
        <v>228.75</v>
      </c>
      <c r="S158" s="24">
        <v>118.5</v>
      </c>
      <c r="T158" s="24">
        <f t="shared" si="9"/>
        <v>779.75</v>
      </c>
      <c r="U158" s="376">
        <v>1803.92</v>
      </c>
      <c r="V158" s="376">
        <v>289.64999999999998</v>
      </c>
      <c r="W158" s="22">
        <f t="shared" si="10"/>
        <v>563.18382399999996</v>
      </c>
      <c r="X158" s="22">
        <f t="shared" si="11"/>
        <v>708</v>
      </c>
      <c r="Y158" s="22">
        <v>546</v>
      </c>
      <c r="Z158" s="22">
        <v>162</v>
      </c>
      <c r="AA158" s="371">
        <v>5847.81</v>
      </c>
      <c r="AB158" s="22">
        <v>0.12107096502793352</v>
      </c>
      <c r="AC158" s="24">
        <v>0</v>
      </c>
      <c r="AD158" s="384">
        <v>0</v>
      </c>
    </row>
    <row r="159" spans="1:30">
      <c r="A159" s="21" t="s">
        <v>149</v>
      </c>
      <c r="B159" s="21" t="s">
        <v>150</v>
      </c>
      <c r="C159" s="23">
        <v>361.18</v>
      </c>
      <c r="D159" s="147">
        <v>21.92</v>
      </c>
      <c r="E159" s="22">
        <v>146.30000000000001</v>
      </c>
      <c r="F159" s="22">
        <v>168.22000000000003</v>
      </c>
      <c r="G159" s="22">
        <v>0</v>
      </c>
      <c r="H159" s="22">
        <v>49.04</v>
      </c>
      <c r="I159" s="22">
        <v>2.3199999999999998</v>
      </c>
      <c r="J159" s="22">
        <v>0</v>
      </c>
      <c r="K159" s="22">
        <v>12</v>
      </c>
      <c r="L159" s="22">
        <v>0</v>
      </c>
      <c r="M159" s="388">
        <v>1355.7599999999998</v>
      </c>
      <c r="N159" s="25">
        <v>0.3649</v>
      </c>
      <c r="O159" s="24">
        <v>0</v>
      </c>
      <c r="P159" s="24">
        <v>24</v>
      </c>
      <c r="Q159" s="24">
        <v>15</v>
      </c>
      <c r="R159" s="22">
        <v>9</v>
      </c>
      <c r="S159" s="24">
        <v>8</v>
      </c>
      <c r="T159" s="24">
        <f t="shared" si="9"/>
        <v>32</v>
      </c>
      <c r="U159" s="376">
        <v>494.72</v>
      </c>
      <c r="V159" s="376">
        <v>67.790000000000006</v>
      </c>
      <c r="W159" s="22">
        <f t="shared" si="10"/>
        <v>180.52332800000002</v>
      </c>
      <c r="X159" s="22">
        <f t="shared" si="11"/>
        <v>190</v>
      </c>
      <c r="Y159" s="22">
        <v>102.25</v>
      </c>
      <c r="Z159" s="22">
        <v>87.75</v>
      </c>
      <c r="AA159" s="371">
        <v>1356.66</v>
      </c>
      <c r="AB159" s="22">
        <v>0.14004982825468429</v>
      </c>
      <c r="AC159" s="24">
        <v>5.0498282546842799E-3</v>
      </c>
      <c r="AD159" s="384">
        <v>-60692.000537186796</v>
      </c>
    </row>
    <row r="160" spans="1:30">
      <c r="A160" s="21" t="s">
        <v>277</v>
      </c>
      <c r="B160" s="21" t="s">
        <v>278</v>
      </c>
      <c r="C160" s="23">
        <v>129</v>
      </c>
      <c r="D160" s="147">
        <v>26.31</v>
      </c>
      <c r="E160" s="22">
        <v>55.96</v>
      </c>
      <c r="F160" s="22">
        <v>82.27</v>
      </c>
      <c r="G160" s="22">
        <v>0</v>
      </c>
      <c r="H160" s="22">
        <v>5.83</v>
      </c>
      <c r="I160" s="22">
        <v>1.9</v>
      </c>
      <c r="J160" s="22">
        <v>0</v>
      </c>
      <c r="K160" s="22">
        <v>1</v>
      </c>
      <c r="L160" s="22">
        <v>0</v>
      </c>
      <c r="M160" s="388">
        <v>380.54999999999995</v>
      </c>
      <c r="N160" s="25">
        <v>0.59050000000000002</v>
      </c>
      <c r="O160" s="24">
        <v>388</v>
      </c>
      <c r="P160" s="24">
        <v>0</v>
      </c>
      <c r="Q160" s="24">
        <v>0</v>
      </c>
      <c r="R160" s="22">
        <v>0</v>
      </c>
      <c r="S160" s="24">
        <v>0</v>
      </c>
      <c r="T160" s="24">
        <f t="shared" si="9"/>
        <v>0</v>
      </c>
      <c r="U160" s="376">
        <v>224.71</v>
      </c>
      <c r="V160" s="376">
        <v>19.03</v>
      </c>
      <c r="W160" s="22">
        <f t="shared" si="10"/>
        <v>132.69125500000001</v>
      </c>
      <c r="X160" s="22">
        <f t="shared" si="11"/>
        <v>44.5</v>
      </c>
      <c r="Y160" s="22">
        <v>30</v>
      </c>
      <c r="Z160" s="22">
        <v>14.5</v>
      </c>
      <c r="AA160" s="371">
        <v>380.56</v>
      </c>
      <c r="AB160" s="22">
        <v>0.11693294092915703</v>
      </c>
      <c r="AC160" s="24">
        <v>0</v>
      </c>
      <c r="AD160" s="384">
        <v>0</v>
      </c>
    </row>
    <row r="161" spans="1:30">
      <c r="A161" s="21" t="s">
        <v>133</v>
      </c>
      <c r="B161" s="21" t="s">
        <v>134</v>
      </c>
      <c r="C161" s="23">
        <v>2535.36</v>
      </c>
      <c r="D161" s="147">
        <v>33.65</v>
      </c>
      <c r="E161" s="22">
        <v>416.27</v>
      </c>
      <c r="F161" s="22">
        <v>449.91999999999996</v>
      </c>
      <c r="G161" s="22">
        <v>210</v>
      </c>
      <c r="H161" s="22">
        <v>211.64</v>
      </c>
      <c r="I161" s="22">
        <v>12.59</v>
      </c>
      <c r="J161" s="22">
        <v>184.47</v>
      </c>
      <c r="K161" s="22">
        <v>103.56</v>
      </c>
      <c r="L161" s="22">
        <v>0</v>
      </c>
      <c r="M161" s="388">
        <v>8368.840000000002</v>
      </c>
      <c r="N161" s="25">
        <v>0.63880000000000003</v>
      </c>
      <c r="O161" s="24">
        <v>7591</v>
      </c>
      <c r="P161" s="24">
        <v>1095.5</v>
      </c>
      <c r="Q161" s="24">
        <v>653.25</v>
      </c>
      <c r="R161" s="22">
        <v>442.25</v>
      </c>
      <c r="S161" s="24">
        <v>303.75</v>
      </c>
      <c r="T161" s="24">
        <f t="shared" si="9"/>
        <v>1399.25</v>
      </c>
      <c r="U161" s="376">
        <v>5346.01</v>
      </c>
      <c r="V161" s="376">
        <v>418.44</v>
      </c>
      <c r="W161" s="22">
        <f t="shared" si="10"/>
        <v>3415.0311880000004</v>
      </c>
      <c r="X161" s="22">
        <f t="shared" si="11"/>
        <v>1115.75</v>
      </c>
      <c r="Y161" s="22">
        <v>750.75</v>
      </c>
      <c r="Z161" s="22">
        <v>365</v>
      </c>
      <c r="AA161" s="371">
        <v>8286.33</v>
      </c>
      <c r="AB161" s="22">
        <v>0.13464947690956069</v>
      </c>
      <c r="AC161" s="24">
        <v>0</v>
      </c>
      <c r="AD161" s="384">
        <v>0</v>
      </c>
    </row>
    <row r="162" spans="1:30">
      <c r="A162" s="21" t="s">
        <v>275</v>
      </c>
      <c r="B162" s="21" t="s">
        <v>276</v>
      </c>
      <c r="C162" s="23">
        <v>174</v>
      </c>
      <c r="D162" s="147">
        <v>14.56</v>
      </c>
      <c r="E162" s="22">
        <v>34.28</v>
      </c>
      <c r="F162" s="22">
        <v>48.84</v>
      </c>
      <c r="G162" s="22">
        <v>0</v>
      </c>
      <c r="H162" s="22">
        <v>6.05</v>
      </c>
      <c r="I162" s="22">
        <v>0.17</v>
      </c>
      <c r="J162" s="22">
        <v>13.36</v>
      </c>
      <c r="K162" s="22">
        <v>0</v>
      </c>
      <c r="L162" s="22">
        <v>0</v>
      </c>
      <c r="M162" s="388">
        <v>576.91999999999996</v>
      </c>
      <c r="N162" s="25">
        <v>0.65010000000000001</v>
      </c>
      <c r="O162" s="24">
        <v>583</v>
      </c>
      <c r="P162" s="24">
        <v>54.75</v>
      </c>
      <c r="Q162" s="24">
        <v>30.25</v>
      </c>
      <c r="R162" s="22">
        <v>24.5</v>
      </c>
      <c r="S162" s="24">
        <v>10</v>
      </c>
      <c r="T162" s="24">
        <f t="shared" si="9"/>
        <v>64.75</v>
      </c>
      <c r="U162" s="376">
        <v>375.06</v>
      </c>
      <c r="V162" s="376">
        <v>28.85</v>
      </c>
      <c r="W162" s="22">
        <f t="shared" si="10"/>
        <v>243.82650599999999</v>
      </c>
      <c r="X162" s="22">
        <f t="shared" si="11"/>
        <v>91.25</v>
      </c>
      <c r="Y162" s="22">
        <v>42.5</v>
      </c>
      <c r="Z162" s="22">
        <v>48.75</v>
      </c>
      <c r="AA162" s="371">
        <v>576.91999999999996</v>
      </c>
      <c r="AB162" s="22">
        <v>0.15816751022672121</v>
      </c>
      <c r="AC162" s="24">
        <v>2.31675102267212E-2</v>
      </c>
      <c r="AD162" s="384">
        <v>-116900.8118576186</v>
      </c>
    </row>
    <row r="163" spans="1:30">
      <c r="A163" s="21" t="s">
        <v>609</v>
      </c>
      <c r="B163" s="21" t="s">
        <v>610</v>
      </c>
      <c r="C163" s="23">
        <v>239.4</v>
      </c>
      <c r="D163" s="147">
        <v>2.3199999999999998</v>
      </c>
      <c r="E163" s="22">
        <v>22.8</v>
      </c>
      <c r="F163" s="22">
        <v>25.12</v>
      </c>
      <c r="G163" s="22">
        <v>0</v>
      </c>
      <c r="H163" s="22">
        <v>2.42</v>
      </c>
      <c r="I163" s="22">
        <v>0.38</v>
      </c>
      <c r="J163" s="22">
        <v>21.599999999999998</v>
      </c>
      <c r="K163" s="22">
        <v>1.2</v>
      </c>
      <c r="L163" s="22">
        <v>0</v>
      </c>
      <c r="M163" s="388">
        <v>822.54000000000008</v>
      </c>
      <c r="N163" s="25">
        <v>0.996</v>
      </c>
      <c r="O163" s="24">
        <v>818</v>
      </c>
      <c r="P163" s="24">
        <v>124.5</v>
      </c>
      <c r="Q163" s="24">
        <v>75.5</v>
      </c>
      <c r="R163" s="22">
        <v>49</v>
      </c>
      <c r="S163" s="24">
        <v>17</v>
      </c>
      <c r="T163" s="24">
        <f t="shared" si="9"/>
        <v>141.5</v>
      </c>
      <c r="U163" s="376">
        <v>819.25</v>
      </c>
      <c r="V163" s="376">
        <v>41.13</v>
      </c>
      <c r="W163" s="22">
        <f t="shared" si="10"/>
        <v>815.97299999999996</v>
      </c>
      <c r="X163" s="22">
        <f t="shared" si="11"/>
        <v>122.5</v>
      </c>
      <c r="Y163" s="22">
        <v>71</v>
      </c>
      <c r="Z163" s="22">
        <v>51.5</v>
      </c>
      <c r="AA163" s="371">
        <v>823.08</v>
      </c>
      <c r="AB163" s="22">
        <v>0.14883121932254459</v>
      </c>
      <c r="AC163" s="24">
        <v>1.383121932254458E-2</v>
      </c>
      <c r="AD163" s="384">
        <v>-99522.733995505143</v>
      </c>
    </row>
    <row r="164" spans="1:30">
      <c r="A164" s="21" t="s">
        <v>551</v>
      </c>
      <c r="B164" s="21" t="s">
        <v>552</v>
      </c>
      <c r="C164" s="23">
        <v>440.03</v>
      </c>
      <c r="D164" s="147">
        <v>7.49</v>
      </c>
      <c r="E164" s="22">
        <v>87.8</v>
      </c>
      <c r="F164" s="22">
        <v>95.289999999999992</v>
      </c>
      <c r="G164" s="22">
        <v>0</v>
      </c>
      <c r="H164" s="22">
        <v>40.83</v>
      </c>
      <c r="I164" s="22">
        <v>3.7</v>
      </c>
      <c r="J164" s="22">
        <v>80.45</v>
      </c>
      <c r="K164" s="22">
        <v>14.37</v>
      </c>
      <c r="L164" s="22">
        <v>0.43</v>
      </c>
      <c r="M164" s="388">
        <v>1642.07</v>
      </c>
      <c r="N164" s="25">
        <v>0.55310000000000004</v>
      </c>
      <c r="O164" s="24">
        <v>1292</v>
      </c>
      <c r="P164" s="24">
        <v>87.25</v>
      </c>
      <c r="Q164" s="24">
        <v>51.25</v>
      </c>
      <c r="R164" s="22">
        <v>36</v>
      </c>
      <c r="S164" s="24">
        <v>17</v>
      </c>
      <c r="T164" s="24">
        <f t="shared" si="9"/>
        <v>104.25</v>
      </c>
      <c r="U164" s="376">
        <v>908.23</v>
      </c>
      <c r="V164" s="376">
        <v>82.1</v>
      </c>
      <c r="W164" s="22">
        <f t="shared" si="10"/>
        <v>502.34201300000007</v>
      </c>
      <c r="X164" s="22">
        <f t="shared" si="11"/>
        <v>285.75</v>
      </c>
      <c r="Y164" s="22">
        <v>207.75</v>
      </c>
      <c r="Z164" s="22">
        <v>78</v>
      </c>
      <c r="AA164" s="371">
        <v>1642.18</v>
      </c>
      <c r="AB164" s="22">
        <v>0.17400650355015893</v>
      </c>
      <c r="AC164" s="24">
        <v>3.9006503550158916E-2</v>
      </c>
      <c r="AD164" s="384">
        <v>-605961.32756081072</v>
      </c>
    </row>
    <row r="165" spans="1:30">
      <c r="A165" s="21" t="s">
        <v>417</v>
      </c>
      <c r="B165" s="21" t="s">
        <v>418</v>
      </c>
      <c r="C165" s="23">
        <v>26.8</v>
      </c>
      <c r="D165" s="147">
        <v>0</v>
      </c>
      <c r="E165" s="22">
        <v>0</v>
      </c>
      <c r="F165" s="22">
        <v>0</v>
      </c>
      <c r="G165" s="22">
        <v>0</v>
      </c>
      <c r="H165" s="22">
        <v>0</v>
      </c>
      <c r="I165" s="22">
        <v>0</v>
      </c>
      <c r="J165" s="22">
        <v>0</v>
      </c>
      <c r="K165" s="22">
        <v>0</v>
      </c>
      <c r="L165" s="22">
        <v>0</v>
      </c>
      <c r="M165" s="388">
        <v>59.8</v>
      </c>
      <c r="N165" s="25">
        <v>0.22409999999999999</v>
      </c>
      <c r="O165" s="24">
        <v>0</v>
      </c>
      <c r="P165" s="24">
        <v>0</v>
      </c>
      <c r="Q165" s="24">
        <v>0</v>
      </c>
      <c r="R165" s="22">
        <v>0</v>
      </c>
      <c r="S165" s="24">
        <v>0</v>
      </c>
      <c r="T165" s="24">
        <f t="shared" si="9"/>
        <v>0</v>
      </c>
      <c r="U165" s="376">
        <v>13.4</v>
      </c>
      <c r="V165" s="376">
        <v>2.99</v>
      </c>
      <c r="W165" s="22">
        <f t="shared" si="10"/>
        <v>3.0029400000000002</v>
      </c>
      <c r="X165" s="22">
        <f t="shared" si="11"/>
        <v>4.5</v>
      </c>
      <c r="Y165" s="22">
        <v>4.5</v>
      </c>
      <c r="Z165" s="22">
        <v>0</v>
      </c>
      <c r="AA165" s="371">
        <v>59.8</v>
      </c>
      <c r="AB165" s="22">
        <v>7.5250836120401343E-2</v>
      </c>
      <c r="AC165" s="24">
        <v>0</v>
      </c>
      <c r="AD165" s="384">
        <v>0</v>
      </c>
    </row>
    <row r="166" spans="1:30">
      <c r="A166" s="21" t="s">
        <v>413</v>
      </c>
      <c r="B166" s="21" t="s">
        <v>414</v>
      </c>
      <c r="C166" s="23">
        <v>1792.34</v>
      </c>
      <c r="D166" s="147">
        <v>0</v>
      </c>
      <c r="E166" s="22">
        <v>421.29</v>
      </c>
      <c r="F166" s="22">
        <v>421.29</v>
      </c>
      <c r="G166" s="22">
        <v>191.36</v>
      </c>
      <c r="H166" s="22">
        <v>113.13</v>
      </c>
      <c r="I166" s="22">
        <v>6.42</v>
      </c>
      <c r="J166" s="22">
        <v>403.72</v>
      </c>
      <c r="K166" s="22">
        <v>23.2</v>
      </c>
      <c r="L166" s="22">
        <v>0</v>
      </c>
      <c r="M166" s="388">
        <v>6582.57</v>
      </c>
      <c r="N166" s="25">
        <v>0.63229999999999997</v>
      </c>
      <c r="O166" s="24">
        <v>6111</v>
      </c>
      <c r="P166" s="24">
        <v>1568.5</v>
      </c>
      <c r="Q166" s="24">
        <v>989.25</v>
      </c>
      <c r="R166" s="22">
        <v>579.25</v>
      </c>
      <c r="S166" s="24">
        <v>182.75</v>
      </c>
      <c r="T166" s="24">
        <f t="shared" si="9"/>
        <v>1751.25</v>
      </c>
      <c r="U166" s="376">
        <v>4162.16</v>
      </c>
      <c r="V166" s="376">
        <v>329.13</v>
      </c>
      <c r="W166" s="22">
        <f t="shared" si="10"/>
        <v>2631.7337679999996</v>
      </c>
      <c r="X166" s="22">
        <f t="shared" si="11"/>
        <v>858</v>
      </c>
      <c r="Y166" s="22">
        <v>514</v>
      </c>
      <c r="Z166" s="22">
        <v>344</v>
      </c>
      <c r="AA166" s="371">
        <v>6418.03</v>
      </c>
      <c r="AB166" s="22">
        <v>0.13368588180485289</v>
      </c>
      <c r="AC166" s="24">
        <v>0</v>
      </c>
      <c r="AD166" s="384">
        <v>0</v>
      </c>
    </row>
    <row r="167" spans="1:30">
      <c r="A167" s="21" t="s">
        <v>223</v>
      </c>
      <c r="B167" s="21" t="s">
        <v>224</v>
      </c>
      <c r="C167" s="23">
        <v>160.19999999999999</v>
      </c>
      <c r="D167" s="147">
        <v>0.27</v>
      </c>
      <c r="E167" s="22">
        <v>6.56</v>
      </c>
      <c r="F167" s="22">
        <v>6.83</v>
      </c>
      <c r="G167" s="22">
        <v>0</v>
      </c>
      <c r="H167" s="22">
        <v>2.69</v>
      </c>
      <c r="I167" s="22">
        <v>0.33</v>
      </c>
      <c r="J167" s="22">
        <v>0</v>
      </c>
      <c r="K167" s="22">
        <v>0</v>
      </c>
      <c r="L167" s="22">
        <v>0</v>
      </c>
      <c r="M167" s="388">
        <v>526.33000000000015</v>
      </c>
      <c r="N167" s="25">
        <v>0.82310000000000005</v>
      </c>
      <c r="O167" s="24">
        <v>520</v>
      </c>
      <c r="P167" s="24">
        <v>0</v>
      </c>
      <c r="Q167" s="24">
        <v>0</v>
      </c>
      <c r="R167" s="22">
        <v>0</v>
      </c>
      <c r="S167" s="24">
        <v>0</v>
      </c>
      <c r="T167" s="24">
        <f t="shared" si="9"/>
        <v>0</v>
      </c>
      <c r="U167" s="376">
        <v>433.22</v>
      </c>
      <c r="V167" s="376">
        <v>0</v>
      </c>
      <c r="W167" s="22">
        <f t="shared" si="10"/>
        <v>356.58338200000003</v>
      </c>
      <c r="X167" s="22">
        <f t="shared" si="11"/>
        <v>0</v>
      </c>
      <c r="Y167" s="22">
        <v>0</v>
      </c>
      <c r="Z167" s="22">
        <v>0</v>
      </c>
      <c r="AA167" s="371">
        <v>526.87</v>
      </c>
      <c r="AB167" s="22">
        <v>0</v>
      </c>
      <c r="AC167" s="24">
        <v>0</v>
      </c>
      <c r="AD167" s="384">
        <v>0</v>
      </c>
    </row>
    <row r="168" spans="1:30">
      <c r="A168" s="21" t="s">
        <v>427</v>
      </c>
      <c r="B168" s="21" t="s">
        <v>428</v>
      </c>
      <c r="C168" s="23">
        <v>4398.29</v>
      </c>
      <c r="D168" s="147">
        <v>166.94</v>
      </c>
      <c r="E168" s="22">
        <v>554.14</v>
      </c>
      <c r="F168" s="22">
        <v>721.07999999999993</v>
      </c>
      <c r="G168" s="22">
        <v>482.67</v>
      </c>
      <c r="H168" s="22">
        <v>288</v>
      </c>
      <c r="I168" s="22">
        <v>26.01</v>
      </c>
      <c r="J168" s="22">
        <v>0</v>
      </c>
      <c r="K168" s="22">
        <v>37.4</v>
      </c>
      <c r="L168" s="22">
        <v>0</v>
      </c>
      <c r="M168" s="388">
        <v>15034.829999999998</v>
      </c>
      <c r="N168" s="25">
        <v>0.49730000000000002</v>
      </c>
      <c r="O168" s="24">
        <v>8691</v>
      </c>
      <c r="P168" s="24">
        <v>3253.75</v>
      </c>
      <c r="Q168" s="24">
        <v>2258.25</v>
      </c>
      <c r="R168" s="22">
        <v>995.5</v>
      </c>
      <c r="S168" s="24">
        <v>546.75</v>
      </c>
      <c r="T168" s="24">
        <f t="shared" si="9"/>
        <v>3800.5</v>
      </c>
      <c r="U168" s="376">
        <v>7478.32</v>
      </c>
      <c r="V168" s="376">
        <v>751.74</v>
      </c>
      <c r="W168" s="22">
        <f t="shared" si="10"/>
        <v>3718.9685359999999</v>
      </c>
      <c r="X168" s="22">
        <f t="shared" si="11"/>
        <v>1979</v>
      </c>
      <c r="Y168" s="22">
        <v>1223.25</v>
      </c>
      <c r="Z168" s="22">
        <v>755.75</v>
      </c>
      <c r="AA168" s="371">
        <v>14647.94</v>
      </c>
      <c r="AB168" s="22">
        <v>0.13510432183638107</v>
      </c>
      <c r="AC168" s="24">
        <v>1.0432183638106607E-4</v>
      </c>
      <c r="AD168" s="384">
        <v>-15314.284996707212</v>
      </c>
    </row>
    <row r="169" spans="1:30">
      <c r="A169" s="21" t="s">
        <v>583</v>
      </c>
      <c r="B169" s="21" t="s">
        <v>584</v>
      </c>
      <c r="C169" s="23">
        <v>360.39</v>
      </c>
      <c r="D169" s="147">
        <v>20.63</v>
      </c>
      <c r="E169" s="22">
        <v>63.17</v>
      </c>
      <c r="F169" s="22">
        <v>83.8</v>
      </c>
      <c r="G169" s="22">
        <v>0</v>
      </c>
      <c r="H169" s="22">
        <v>20.399999999999999</v>
      </c>
      <c r="I169" s="22">
        <v>2.65</v>
      </c>
      <c r="J169" s="22">
        <v>40.160000000000004</v>
      </c>
      <c r="K169" s="22">
        <v>2.8</v>
      </c>
      <c r="L169" s="22">
        <v>0</v>
      </c>
      <c r="M169" s="388">
        <v>1223.7900000000002</v>
      </c>
      <c r="N169" s="25">
        <v>0.52549999999999997</v>
      </c>
      <c r="O169" s="24">
        <v>841</v>
      </c>
      <c r="P169" s="24">
        <v>72.75</v>
      </c>
      <c r="Q169" s="24">
        <v>41</v>
      </c>
      <c r="R169" s="22">
        <v>31.75</v>
      </c>
      <c r="S169" s="24">
        <v>26.25</v>
      </c>
      <c r="T169" s="24">
        <f t="shared" si="9"/>
        <v>99</v>
      </c>
      <c r="U169" s="376">
        <v>640.65</v>
      </c>
      <c r="V169" s="376">
        <v>61.19</v>
      </c>
      <c r="W169" s="22">
        <f t="shared" si="10"/>
        <v>336.66157499999997</v>
      </c>
      <c r="X169" s="22">
        <f t="shared" si="11"/>
        <v>158.25</v>
      </c>
      <c r="Y169" s="22">
        <v>120.75</v>
      </c>
      <c r="Z169" s="22">
        <v>37.5</v>
      </c>
      <c r="AA169" s="371">
        <v>1237.22</v>
      </c>
      <c r="AB169" s="22">
        <v>0.12790772861738414</v>
      </c>
      <c r="AC169" s="24">
        <v>0</v>
      </c>
      <c r="AD169" s="384">
        <v>0</v>
      </c>
    </row>
    <row r="170" spans="1:30">
      <c r="A170" s="21" t="s">
        <v>271</v>
      </c>
      <c r="B170" s="21" t="s">
        <v>272</v>
      </c>
      <c r="C170" s="23">
        <v>200.6</v>
      </c>
      <c r="D170" s="147">
        <v>42.48</v>
      </c>
      <c r="E170" s="22">
        <v>77.87</v>
      </c>
      <c r="F170" s="22">
        <v>120.35</v>
      </c>
      <c r="G170" s="22">
        <v>0</v>
      </c>
      <c r="H170" s="22">
        <v>13.9</v>
      </c>
      <c r="I170" s="22">
        <v>1.45</v>
      </c>
      <c r="J170" s="22">
        <v>0.8</v>
      </c>
      <c r="K170" s="22">
        <v>2.4</v>
      </c>
      <c r="L170" s="22">
        <v>0</v>
      </c>
      <c r="M170" s="388">
        <v>767.12999999999988</v>
      </c>
      <c r="N170" s="25">
        <v>0.46410000000000001</v>
      </c>
      <c r="O170" s="24">
        <v>0</v>
      </c>
      <c r="P170" s="24">
        <v>18</v>
      </c>
      <c r="Q170" s="24">
        <v>12</v>
      </c>
      <c r="R170" s="22">
        <v>6</v>
      </c>
      <c r="S170" s="24">
        <v>2.75</v>
      </c>
      <c r="T170" s="24">
        <f t="shared" si="9"/>
        <v>20.75</v>
      </c>
      <c r="U170" s="376">
        <v>356.03</v>
      </c>
      <c r="V170" s="376">
        <v>38.36</v>
      </c>
      <c r="W170" s="22">
        <f t="shared" si="10"/>
        <v>165.23352299999999</v>
      </c>
      <c r="X170" s="22">
        <f t="shared" si="11"/>
        <v>76.75</v>
      </c>
      <c r="Y170" s="22">
        <v>52.75</v>
      </c>
      <c r="Z170" s="22">
        <v>24</v>
      </c>
      <c r="AA170" s="371">
        <v>770.63</v>
      </c>
      <c r="AB170" s="22">
        <v>9.9593838807209692E-2</v>
      </c>
      <c r="AC170" s="24">
        <v>0</v>
      </c>
      <c r="AD170" s="384">
        <v>0</v>
      </c>
    </row>
    <row r="171" spans="1:30">
      <c r="A171" s="21" t="s">
        <v>349</v>
      </c>
      <c r="B171" s="21" t="s">
        <v>350</v>
      </c>
      <c r="C171" s="23">
        <v>77.8</v>
      </c>
      <c r="D171" s="147">
        <v>2.02</v>
      </c>
      <c r="E171" s="22">
        <v>10.82</v>
      </c>
      <c r="F171" s="22">
        <v>12.84</v>
      </c>
      <c r="G171" s="22">
        <v>0</v>
      </c>
      <c r="H171" s="22">
        <v>7.83</v>
      </c>
      <c r="I171" s="22">
        <v>0.71</v>
      </c>
      <c r="J171" s="22">
        <v>0</v>
      </c>
      <c r="K171" s="22">
        <v>0</v>
      </c>
      <c r="L171" s="22">
        <v>0</v>
      </c>
      <c r="M171" s="388">
        <v>312.36999999999995</v>
      </c>
      <c r="N171" s="25">
        <v>0.52969999999999995</v>
      </c>
      <c r="O171" s="24">
        <v>319</v>
      </c>
      <c r="P171" s="24">
        <v>13</v>
      </c>
      <c r="Q171" s="24">
        <v>2</v>
      </c>
      <c r="R171" s="22">
        <v>11</v>
      </c>
      <c r="S171" s="24">
        <v>0</v>
      </c>
      <c r="T171" s="24">
        <f t="shared" si="9"/>
        <v>13</v>
      </c>
      <c r="U171" s="376">
        <v>165.46</v>
      </c>
      <c r="V171" s="376">
        <v>15.62</v>
      </c>
      <c r="W171" s="22">
        <f t="shared" si="10"/>
        <v>87.644161999999994</v>
      </c>
      <c r="X171" s="22">
        <f t="shared" si="11"/>
        <v>41.75</v>
      </c>
      <c r="Y171" s="22">
        <v>25.5</v>
      </c>
      <c r="Z171" s="22">
        <v>16.25</v>
      </c>
      <c r="AA171" s="371">
        <v>312.37</v>
      </c>
      <c r="AB171" s="22">
        <v>0.13365560072990365</v>
      </c>
      <c r="AC171" s="24">
        <v>0</v>
      </c>
      <c r="AD171" s="384">
        <v>0</v>
      </c>
    </row>
    <row r="172" spans="1:30">
      <c r="A172" s="21" t="s">
        <v>327</v>
      </c>
      <c r="B172" s="21" t="s">
        <v>328</v>
      </c>
      <c r="C172" s="23">
        <v>63</v>
      </c>
      <c r="D172" s="147">
        <v>0</v>
      </c>
      <c r="E172" s="22">
        <v>0</v>
      </c>
      <c r="F172" s="22">
        <v>0</v>
      </c>
      <c r="G172" s="22">
        <v>0</v>
      </c>
      <c r="H172" s="22">
        <v>0</v>
      </c>
      <c r="I172" s="22">
        <v>0</v>
      </c>
      <c r="J172" s="22">
        <v>0</v>
      </c>
      <c r="K172" s="22">
        <v>0</v>
      </c>
      <c r="L172" s="22">
        <v>0</v>
      </c>
      <c r="M172" s="388">
        <v>128.4</v>
      </c>
      <c r="N172" s="25">
        <v>1</v>
      </c>
      <c r="O172" s="24">
        <v>130</v>
      </c>
      <c r="P172" s="24">
        <v>0</v>
      </c>
      <c r="Q172" s="24">
        <v>0</v>
      </c>
      <c r="R172" s="22">
        <v>0</v>
      </c>
      <c r="S172" s="24">
        <v>0</v>
      </c>
      <c r="T172" s="24">
        <f t="shared" si="9"/>
        <v>0</v>
      </c>
      <c r="U172" s="376">
        <v>128.4</v>
      </c>
      <c r="V172" s="376">
        <v>0</v>
      </c>
      <c r="W172" s="22">
        <f t="shared" si="10"/>
        <v>128.4</v>
      </c>
      <c r="X172" s="22">
        <f t="shared" si="11"/>
        <v>25.5</v>
      </c>
      <c r="Y172" s="22">
        <v>25</v>
      </c>
      <c r="Z172" s="22">
        <v>0.5</v>
      </c>
      <c r="AA172" s="371">
        <v>128.4</v>
      </c>
      <c r="AB172" s="22">
        <v>0.19859813084112149</v>
      </c>
      <c r="AC172" s="24">
        <v>6.3598130841121481E-2</v>
      </c>
      <c r="AD172" s="384">
        <v>-74892.997444041073</v>
      </c>
    </row>
    <row r="173" spans="1:30">
      <c r="A173" s="21" t="s">
        <v>355</v>
      </c>
      <c r="B173" s="21" t="s">
        <v>356</v>
      </c>
      <c r="C173" s="23">
        <v>249.8</v>
      </c>
      <c r="D173" s="147">
        <v>31.55</v>
      </c>
      <c r="E173" s="22">
        <v>101.91</v>
      </c>
      <c r="F173" s="22">
        <v>133.46</v>
      </c>
      <c r="G173" s="22">
        <v>0</v>
      </c>
      <c r="H173" s="22">
        <v>17.47</v>
      </c>
      <c r="I173" s="22">
        <v>0.5</v>
      </c>
      <c r="J173" s="22">
        <v>108.42</v>
      </c>
      <c r="K173" s="22">
        <v>0</v>
      </c>
      <c r="L173" s="22">
        <v>0</v>
      </c>
      <c r="M173" s="388">
        <v>1023.4</v>
      </c>
      <c r="N173" s="25">
        <v>0.60260000000000002</v>
      </c>
      <c r="O173" s="24">
        <v>992</v>
      </c>
      <c r="P173" s="24">
        <v>0</v>
      </c>
      <c r="Q173" s="24">
        <v>0</v>
      </c>
      <c r="R173" s="22">
        <v>0</v>
      </c>
      <c r="S173" s="24">
        <v>0</v>
      </c>
      <c r="T173" s="24">
        <f t="shared" si="9"/>
        <v>0</v>
      </c>
      <c r="U173" s="376">
        <v>616.70000000000005</v>
      </c>
      <c r="V173" s="376">
        <v>51.17</v>
      </c>
      <c r="W173" s="22">
        <f t="shared" si="10"/>
        <v>371.62342000000007</v>
      </c>
      <c r="X173" s="22">
        <f t="shared" si="11"/>
        <v>168.75</v>
      </c>
      <c r="Y173" s="22">
        <v>59.5</v>
      </c>
      <c r="Z173" s="22">
        <v>109.25</v>
      </c>
      <c r="AA173" s="371">
        <v>1023.4</v>
      </c>
      <c r="AB173" s="22">
        <v>0.16489153801055306</v>
      </c>
      <c r="AC173" s="24">
        <v>2.9891538010553054E-2</v>
      </c>
      <c r="AD173" s="384">
        <v>-264096.45931569242</v>
      </c>
    </row>
    <row r="174" spans="1:30">
      <c r="A174" s="21" t="s">
        <v>457</v>
      </c>
      <c r="B174" s="21" t="s">
        <v>458</v>
      </c>
      <c r="C174" s="23">
        <v>344.43</v>
      </c>
      <c r="D174" s="147">
        <v>2.48</v>
      </c>
      <c r="E174" s="22">
        <v>96.56</v>
      </c>
      <c r="F174" s="22">
        <v>99.04</v>
      </c>
      <c r="G174" s="22">
        <v>0</v>
      </c>
      <c r="H174" s="22">
        <v>56.85</v>
      </c>
      <c r="I174" s="22">
        <v>1.7</v>
      </c>
      <c r="J174" s="22">
        <v>53.800000000000004</v>
      </c>
      <c r="K174" s="22">
        <v>0.86</v>
      </c>
      <c r="L174" s="22">
        <v>0</v>
      </c>
      <c r="M174" s="388">
        <v>1390.8799999999997</v>
      </c>
      <c r="N174" s="25">
        <v>0.2505</v>
      </c>
      <c r="O174" s="24">
        <v>0</v>
      </c>
      <c r="P174" s="24">
        <v>10.75</v>
      </c>
      <c r="Q174" s="24">
        <v>5.25</v>
      </c>
      <c r="R174" s="22">
        <v>5.5</v>
      </c>
      <c r="S174" s="24">
        <v>0</v>
      </c>
      <c r="T174" s="24">
        <f t="shared" si="9"/>
        <v>10.75</v>
      </c>
      <c r="U174" s="376">
        <v>348.42</v>
      </c>
      <c r="V174" s="376">
        <v>69.540000000000006</v>
      </c>
      <c r="W174" s="22">
        <f t="shared" si="10"/>
        <v>87.279210000000006</v>
      </c>
      <c r="X174" s="22">
        <f t="shared" si="11"/>
        <v>183.5</v>
      </c>
      <c r="Y174" s="22">
        <v>111.5</v>
      </c>
      <c r="Z174" s="22">
        <v>72</v>
      </c>
      <c r="AA174" s="371">
        <v>1399.49</v>
      </c>
      <c r="AB174" s="22">
        <v>0.1311191934204603</v>
      </c>
      <c r="AC174" s="24">
        <v>0</v>
      </c>
      <c r="AD174" s="384">
        <v>0</v>
      </c>
    </row>
    <row r="175" spans="1:30">
      <c r="A175" s="21" t="s">
        <v>549</v>
      </c>
      <c r="B175" s="21" t="s">
        <v>550</v>
      </c>
      <c r="C175" s="23">
        <v>599.30999999999995</v>
      </c>
      <c r="D175" s="147">
        <v>12.82</v>
      </c>
      <c r="E175" s="22">
        <v>74.8</v>
      </c>
      <c r="F175" s="22">
        <v>87.62</v>
      </c>
      <c r="G175" s="22">
        <v>0</v>
      </c>
      <c r="H175" s="22">
        <v>19.079999999999998</v>
      </c>
      <c r="I175" s="22">
        <v>2.1800000000000002</v>
      </c>
      <c r="J175" s="22">
        <v>0</v>
      </c>
      <c r="K175" s="22">
        <v>5.71</v>
      </c>
      <c r="L175" s="22">
        <v>0.89</v>
      </c>
      <c r="M175" s="388">
        <v>1801.7200000000003</v>
      </c>
      <c r="N175" s="25">
        <v>0.5454</v>
      </c>
      <c r="O175" s="24">
        <v>1455</v>
      </c>
      <c r="P175" s="24">
        <v>243.5</v>
      </c>
      <c r="Q175" s="24">
        <v>162.25</v>
      </c>
      <c r="R175" s="22">
        <v>81.25</v>
      </c>
      <c r="S175" s="24">
        <v>37</v>
      </c>
      <c r="T175" s="24">
        <f t="shared" si="9"/>
        <v>280.5</v>
      </c>
      <c r="U175" s="376">
        <v>982.66</v>
      </c>
      <c r="V175" s="376">
        <v>90.09</v>
      </c>
      <c r="W175" s="22">
        <f t="shared" si="10"/>
        <v>535.94276400000001</v>
      </c>
      <c r="X175" s="22">
        <f t="shared" si="11"/>
        <v>275.75</v>
      </c>
      <c r="Y175" s="22">
        <v>187.5</v>
      </c>
      <c r="Z175" s="22">
        <v>88.25</v>
      </c>
      <c r="AA175" s="371">
        <v>1801.72</v>
      </c>
      <c r="AB175" s="22">
        <v>0.15304819838820682</v>
      </c>
      <c r="AC175" s="24">
        <v>1.8048198388206815E-2</v>
      </c>
      <c r="AD175" s="384">
        <v>-299595.30617859989</v>
      </c>
    </row>
    <row r="176" spans="1:30">
      <c r="A176" s="21" t="s">
        <v>145</v>
      </c>
      <c r="B176" s="21" t="s">
        <v>146</v>
      </c>
      <c r="C176" s="23">
        <v>242.46</v>
      </c>
      <c r="D176" s="147">
        <v>14.74</v>
      </c>
      <c r="E176" s="22">
        <v>24.34</v>
      </c>
      <c r="F176" s="22">
        <v>39.08</v>
      </c>
      <c r="G176" s="22">
        <v>0</v>
      </c>
      <c r="H176" s="22">
        <v>9.82</v>
      </c>
      <c r="I176" s="22">
        <v>1.08</v>
      </c>
      <c r="J176" s="22">
        <v>0</v>
      </c>
      <c r="K176" s="22">
        <v>3.2</v>
      </c>
      <c r="L176" s="22">
        <v>0</v>
      </c>
      <c r="M176" s="388">
        <v>724.34000000000015</v>
      </c>
      <c r="N176" s="25">
        <v>0.75539999999999996</v>
      </c>
      <c r="O176" s="24">
        <v>736</v>
      </c>
      <c r="P176" s="24">
        <v>17.75</v>
      </c>
      <c r="Q176" s="24">
        <v>13.75</v>
      </c>
      <c r="R176" s="22">
        <v>4</v>
      </c>
      <c r="S176" s="24">
        <v>6</v>
      </c>
      <c r="T176" s="24">
        <f t="shared" si="9"/>
        <v>23.75</v>
      </c>
      <c r="U176" s="376">
        <v>547.16999999999996</v>
      </c>
      <c r="V176" s="376">
        <v>36.22</v>
      </c>
      <c r="W176" s="22">
        <f t="shared" si="10"/>
        <v>413.33221799999995</v>
      </c>
      <c r="X176" s="22">
        <f t="shared" si="11"/>
        <v>123.5</v>
      </c>
      <c r="Y176" s="22">
        <v>90</v>
      </c>
      <c r="Z176" s="22">
        <v>33.5</v>
      </c>
      <c r="AA176" s="371">
        <v>724.35</v>
      </c>
      <c r="AB176" s="22">
        <v>0.17049768758197004</v>
      </c>
      <c r="AC176" s="24">
        <v>3.5497687581970028E-2</v>
      </c>
      <c r="AD176" s="384">
        <v>-227494.26018192823</v>
      </c>
    </row>
    <row r="177" spans="1:30">
      <c r="A177" s="21" t="s">
        <v>113</v>
      </c>
      <c r="B177" s="21" t="s">
        <v>114</v>
      </c>
      <c r="C177" s="23">
        <v>594.64</v>
      </c>
      <c r="D177" s="147">
        <v>7.41</v>
      </c>
      <c r="E177" s="22">
        <v>104.04</v>
      </c>
      <c r="F177" s="22">
        <v>111.45</v>
      </c>
      <c r="G177" s="22">
        <v>0</v>
      </c>
      <c r="H177" s="22">
        <v>29.05</v>
      </c>
      <c r="I177" s="22">
        <v>1.1000000000000001</v>
      </c>
      <c r="J177" s="22">
        <v>37.9</v>
      </c>
      <c r="K177" s="22">
        <v>3</v>
      </c>
      <c r="L177" s="22">
        <v>0</v>
      </c>
      <c r="M177" s="388">
        <v>2037.73</v>
      </c>
      <c r="N177" s="25">
        <v>0.75470000000000004</v>
      </c>
      <c r="O177" s="24">
        <v>2065</v>
      </c>
      <c r="P177" s="24">
        <v>721</v>
      </c>
      <c r="Q177" s="24">
        <v>430.75</v>
      </c>
      <c r="R177" s="22">
        <v>290.25</v>
      </c>
      <c r="S177" s="24">
        <v>105.75</v>
      </c>
      <c r="T177" s="24">
        <f t="shared" si="9"/>
        <v>826.75</v>
      </c>
      <c r="U177" s="376">
        <v>1537.87</v>
      </c>
      <c r="V177" s="376">
        <v>101.89</v>
      </c>
      <c r="W177" s="22">
        <f t="shared" si="10"/>
        <v>1160.6304889999999</v>
      </c>
      <c r="X177" s="22">
        <f t="shared" si="11"/>
        <v>288.25</v>
      </c>
      <c r="Y177" s="22">
        <v>152.25</v>
      </c>
      <c r="Z177" s="22">
        <v>136</v>
      </c>
      <c r="AA177" s="371">
        <v>2060.73</v>
      </c>
      <c r="AB177" s="22">
        <v>0.13987761618455596</v>
      </c>
      <c r="AC177" s="24">
        <v>4.8776161845559551E-3</v>
      </c>
      <c r="AD177" s="384">
        <v>-87859.09131135403</v>
      </c>
    </row>
    <row r="178" spans="1:30">
      <c r="A178" s="21" t="s">
        <v>231</v>
      </c>
      <c r="B178" s="21" t="s">
        <v>232</v>
      </c>
      <c r="C178" s="23">
        <v>1477.58</v>
      </c>
      <c r="D178" s="147">
        <v>85.33</v>
      </c>
      <c r="E178" s="22">
        <v>262.3</v>
      </c>
      <c r="F178" s="22">
        <v>347.63</v>
      </c>
      <c r="G178" s="22">
        <v>0</v>
      </c>
      <c r="H178" s="22">
        <v>180.11</v>
      </c>
      <c r="I178" s="22">
        <v>7.82</v>
      </c>
      <c r="J178" s="22">
        <v>222.51</v>
      </c>
      <c r="K178" s="22">
        <v>0</v>
      </c>
      <c r="L178" s="22">
        <v>0</v>
      </c>
      <c r="M178" s="388">
        <v>5427.1699999999992</v>
      </c>
      <c r="N178" s="25">
        <v>0.33160000000000001</v>
      </c>
      <c r="O178" s="24">
        <v>335</v>
      </c>
      <c r="P178" s="24">
        <v>238.5</v>
      </c>
      <c r="Q178" s="24">
        <v>164.75</v>
      </c>
      <c r="R178" s="22">
        <v>73.75</v>
      </c>
      <c r="S178" s="24">
        <v>43</v>
      </c>
      <c r="T178" s="24">
        <f t="shared" si="9"/>
        <v>281.5</v>
      </c>
      <c r="U178" s="376">
        <v>1799.65</v>
      </c>
      <c r="V178" s="376">
        <v>271.36</v>
      </c>
      <c r="W178" s="22">
        <f t="shared" si="10"/>
        <v>596.76394000000005</v>
      </c>
      <c r="X178" s="22">
        <f t="shared" si="11"/>
        <v>707.5</v>
      </c>
      <c r="Y178" s="22">
        <v>486.5</v>
      </c>
      <c r="Z178" s="22">
        <v>221</v>
      </c>
      <c r="AA178" s="371">
        <v>5480.32</v>
      </c>
      <c r="AB178" s="22">
        <v>0.12909830082914867</v>
      </c>
      <c r="AC178" s="24">
        <v>0</v>
      </c>
      <c r="AD178" s="384">
        <v>0</v>
      </c>
    </row>
    <row r="179" spans="1:30">
      <c r="A179" s="21" t="s">
        <v>323</v>
      </c>
      <c r="B179" s="21" t="s">
        <v>324</v>
      </c>
      <c r="C179" s="23">
        <v>638.19000000000005</v>
      </c>
      <c r="D179" s="147">
        <v>84.23</v>
      </c>
      <c r="E179" s="22">
        <v>150.52000000000001</v>
      </c>
      <c r="F179" s="22">
        <v>234.75</v>
      </c>
      <c r="G179" s="22">
        <v>0</v>
      </c>
      <c r="H179" s="22">
        <v>59.58</v>
      </c>
      <c r="I179" s="22">
        <v>3.85</v>
      </c>
      <c r="J179" s="22">
        <v>152.79</v>
      </c>
      <c r="K179" s="22">
        <v>0</v>
      </c>
      <c r="L179" s="22">
        <v>0</v>
      </c>
      <c r="M179" s="388">
        <v>2261.5099999999998</v>
      </c>
      <c r="N179" s="25">
        <v>0.56899999999999995</v>
      </c>
      <c r="O179" s="24">
        <v>1439</v>
      </c>
      <c r="P179" s="24">
        <v>301.5</v>
      </c>
      <c r="Q179" s="24">
        <v>185.75</v>
      </c>
      <c r="R179" s="22">
        <v>115.75</v>
      </c>
      <c r="S179" s="24">
        <v>30</v>
      </c>
      <c r="T179" s="24">
        <f t="shared" si="9"/>
        <v>331.5</v>
      </c>
      <c r="U179" s="376">
        <v>1286.8</v>
      </c>
      <c r="V179" s="376">
        <v>113.08</v>
      </c>
      <c r="W179" s="22">
        <f t="shared" si="10"/>
        <v>732.18919999999991</v>
      </c>
      <c r="X179" s="22">
        <f t="shared" si="11"/>
        <v>340.75</v>
      </c>
      <c r="Y179" s="22">
        <v>266</v>
      </c>
      <c r="Z179" s="22">
        <v>74.75</v>
      </c>
      <c r="AA179" s="371">
        <v>2277.7399999999998</v>
      </c>
      <c r="AB179" s="22">
        <v>0.14960004214704051</v>
      </c>
      <c r="AC179" s="24">
        <v>1.4600042147040498E-2</v>
      </c>
      <c r="AD179" s="384">
        <v>-304102.94674671954</v>
      </c>
    </row>
    <row r="180" spans="1:30">
      <c r="A180" s="21" t="s">
        <v>353</v>
      </c>
      <c r="B180" s="21" t="s">
        <v>354</v>
      </c>
      <c r="C180" s="23">
        <v>26.2</v>
      </c>
      <c r="D180" s="147">
        <v>0</v>
      </c>
      <c r="E180" s="22">
        <v>0</v>
      </c>
      <c r="F180" s="22">
        <v>0</v>
      </c>
      <c r="G180" s="22">
        <v>0</v>
      </c>
      <c r="H180" s="22">
        <v>3.35</v>
      </c>
      <c r="I180" s="22">
        <v>0</v>
      </c>
      <c r="J180" s="22">
        <v>0</v>
      </c>
      <c r="K180" s="22">
        <v>0</v>
      </c>
      <c r="L180" s="22">
        <v>0</v>
      </c>
      <c r="M180" s="388">
        <v>86.429999999999993</v>
      </c>
      <c r="N180" s="25">
        <v>0.70589999999999997</v>
      </c>
      <c r="O180" s="24">
        <v>88</v>
      </c>
      <c r="P180" s="24">
        <v>0</v>
      </c>
      <c r="Q180" s="24">
        <v>0</v>
      </c>
      <c r="R180" s="22">
        <v>0</v>
      </c>
      <c r="S180" s="24">
        <v>0</v>
      </c>
      <c r="T180" s="24">
        <f t="shared" si="9"/>
        <v>0</v>
      </c>
      <c r="U180" s="376">
        <v>61.01</v>
      </c>
      <c r="V180" s="376">
        <v>0</v>
      </c>
      <c r="W180" s="22">
        <f t="shared" si="10"/>
        <v>43.066958999999997</v>
      </c>
      <c r="X180" s="22">
        <f t="shared" si="11"/>
        <v>8.5</v>
      </c>
      <c r="Y180" s="22">
        <v>8.25</v>
      </c>
      <c r="Z180" s="22">
        <v>0.25</v>
      </c>
      <c r="AA180" s="371">
        <v>86.43</v>
      </c>
      <c r="AB180" s="22">
        <v>9.834548189286127E-2</v>
      </c>
      <c r="AC180" s="24">
        <v>0</v>
      </c>
      <c r="AD180" s="384">
        <v>0</v>
      </c>
    </row>
    <row r="181" spans="1:30">
      <c r="A181" s="21" t="s">
        <v>509</v>
      </c>
      <c r="B181" s="21" t="s">
        <v>510</v>
      </c>
      <c r="C181" s="23">
        <v>4283.75</v>
      </c>
      <c r="D181" s="147">
        <v>224.06</v>
      </c>
      <c r="E181" s="22">
        <v>799.18</v>
      </c>
      <c r="F181" s="22">
        <v>1023.24</v>
      </c>
      <c r="G181" s="22">
        <v>0</v>
      </c>
      <c r="H181" s="22">
        <v>304.32</v>
      </c>
      <c r="I181" s="22">
        <v>31.37</v>
      </c>
      <c r="J181" s="22">
        <v>647.01</v>
      </c>
      <c r="K181" s="22">
        <v>72.8</v>
      </c>
      <c r="L181" s="22">
        <v>0</v>
      </c>
      <c r="M181" s="388">
        <v>14824.02</v>
      </c>
      <c r="N181" s="25">
        <v>0.43209999999999998</v>
      </c>
      <c r="O181" s="24">
        <v>3403</v>
      </c>
      <c r="P181" s="24">
        <v>867</v>
      </c>
      <c r="Q181" s="24">
        <v>584.75</v>
      </c>
      <c r="R181" s="22">
        <v>282.25</v>
      </c>
      <c r="S181" s="24">
        <v>155</v>
      </c>
      <c r="T181" s="24">
        <f t="shared" si="9"/>
        <v>1022</v>
      </c>
      <c r="U181" s="376">
        <v>6401.01</v>
      </c>
      <c r="V181" s="376">
        <v>741.2</v>
      </c>
      <c r="W181" s="22">
        <f t="shared" si="10"/>
        <v>2765.8764209999999</v>
      </c>
      <c r="X181" s="22">
        <f t="shared" si="11"/>
        <v>2119.75</v>
      </c>
      <c r="Y181" s="22">
        <v>1235.5</v>
      </c>
      <c r="Z181" s="22">
        <v>884.25</v>
      </c>
      <c r="AA181" s="371">
        <v>14884.12</v>
      </c>
      <c r="AB181" s="22">
        <v>0.14241688457228241</v>
      </c>
      <c r="AC181" s="24">
        <v>7.4168845722824006E-3</v>
      </c>
      <c r="AD181" s="384">
        <v>-993166.58633132651</v>
      </c>
    </row>
    <row r="182" spans="1:30">
      <c r="A182" s="21" t="s">
        <v>503</v>
      </c>
      <c r="B182" s="21" t="s">
        <v>504</v>
      </c>
      <c r="C182" s="23">
        <v>41.4</v>
      </c>
      <c r="D182" s="147">
        <v>0</v>
      </c>
      <c r="E182" s="22">
        <v>6.96</v>
      </c>
      <c r="F182" s="22">
        <v>6.96</v>
      </c>
      <c r="G182" s="22">
        <v>0</v>
      </c>
      <c r="H182" s="22">
        <v>1.18</v>
      </c>
      <c r="I182" s="22">
        <v>0.42</v>
      </c>
      <c r="J182" s="22">
        <v>106.76</v>
      </c>
      <c r="K182" s="22">
        <v>0</v>
      </c>
      <c r="L182" s="22">
        <v>0</v>
      </c>
      <c r="M182" s="388">
        <v>251.93</v>
      </c>
      <c r="N182" s="25">
        <v>0.66810000000000003</v>
      </c>
      <c r="O182" s="24">
        <v>150</v>
      </c>
      <c r="P182" s="24">
        <v>0</v>
      </c>
      <c r="Q182" s="24">
        <v>0</v>
      </c>
      <c r="R182" s="22">
        <v>0</v>
      </c>
      <c r="S182" s="24">
        <v>0</v>
      </c>
      <c r="T182" s="24">
        <f t="shared" si="9"/>
        <v>0</v>
      </c>
      <c r="U182" s="376">
        <v>168.31</v>
      </c>
      <c r="V182" s="376">
        <v>0</v>
      </c>
      <c r="W182" s="22">
        <f t="shared" si="10"/>
        <v>112.447911</v>
      </c>
      <c r="X182" s="22">
        <f t="shared" si="11"/>
        <v>24.25</v>
      </c>
      <c r="Y182" s="22">
        <v>20.75</v>
      </c>
      <c r="Z182" s="22">
        <v>3.5</v>
      </c>
      <c r="AA182" s="371">
        <v>251.67</v>
      </c>
      <c r="AB182" s="22">
        <v>9.6356339651130454E-2</v>
      </c>
      <c r="AC182" s="24">
        <v>0</v>
      </c>
      <c r="AD182" s="384">
        <v>0</v>
      </c>
    </row>
    <row r="183" spans="1:30">
      <c r="A183" s="21" t="s">
        <v>219</v>
      </c>
      <c r="B183" s="21" t="s">
        <v>220</v>
      </c>
      <c r="C183" s="23">
        <v>6604.02</v>
      </c>
      <c r="D183" s="147">
        <v>204.85</v>
      </c>
      <c r="E183" s="22">
        <v>874.87</v>
      </c>
      <c r="F183" s="22">
        <v>1079.72</v>
      </c>
      <c r="G183" s="22">
        <v>0</v>
      </c>
      <c r="H183" s="22">
        <v>384.28</v>
      </c>
      <c r="I183" s="22">
        <v>20.440000000000001</v>
      </c>
      <c r="J183" s="22">
        <v>592.69999999999993</v>
      </c>
      <c r="K183" s="22">
        <v>4.2</v>
      </c>
      <c r="L183" s="22">
        <v>0</v>
      </c>
      <c r="M183" s="388">
        <v>22467.399999999998</v>
      </c>
      <c r="N183" s="25">
        <v>0.14480000000000001</v>
      </c>
      <c r="O183" s="24">
        <v>0</v>
      </c>
      <c r="P183" s="24">
        <v>2078.75</v>
      </c>
      <c r="Q183" s="24">
        <v>1565.5</v>
      </c>
      <c r="R183" s="22">
        <v>513.25</v>
      </c>
      <c r="S183" s="24">
        <v>552.75</v>
      </c>
      <c r="T183" s="24">
        <f t="shared" si="9"/>
        <v>2631.5</v>
      </c>
      <c r="U183" s="376">
        <v>3185.88</v>
      </c>
      <c r="V183" s="376">
        <v>1123.3699999999999</v>
      </c>
      <c r="W183" s="22">
        <f t="shared" si="10"/>
        <v>461.31542400000006</v>
      </c>
      <c r="X183" s="22">
        <f t="shared" si="11"/>
        <v>2620.75</v>
      </c>
      <c r="Y183" s="22">
        <v>1695.25</v>
      </c>
      <c r="Z183" s="22">
        <v>925.5</v>
      </c>
      <c r="AA183" s="371">
        <v>22589.87</v>
      </c>
      <c r="AB183" s="22">
        <v>0.11601439052106099</v>
      </c>
      <c r="AC183" s="24">
        <v>0</v>
      </c>
      <c r="AD183" s="384">
        <v>0</v>
      </c>
    </row>
    <row r="184" spans="1:30">
      <c r="A184" s="21" t="s">
        <v>167</v>
      </c>
      <c r="B184" s="21" t="s">
        <v>168</v>
      </c>
      <c r="C184" s="23">
        <v>1704.32</v>
      </c>
      <c r="D184" s="147">
        <v>46.11</v>
      </c>
      <c r="E184" s="22">
        <v>415.88</v>
      </c>
      <c r="F184" s="22">
        <v>461.99</v>
      </c>
      <c r="G184" s="22">
        <v>0</v>
      </c>
      <c r="H184" s="22">
        <v>93.34</v>
      </c>
      <c r="I184" s="22">
        <v>3.49</v>
      </c>
      <c r="J184" s="22">
        <v>293.84999999999997</v>
      </c>
      <c r="K184" s="22">
        <v>9.4</v>
      </c>
      <c r="L184" s="22">
        <v>0</v>
      </c>
      <c r="M184" s="388">
        <v>5503.49</v>
      </c>
      <c r="N184" s="25">
        <v>0.3856</v>
      </c>
      <c r="O184" s="24">
        <v>879</v>
      </c>
      <c r="P184" s="24">
        <v>207.5</v>
      </c>
      <c r="Q184" s="24">
        <v>117.25</v>
      </c>
      <c r="R184" s="22">
        <v>90.25</v>
      </c>
      <c r="S184" s="24">
        <v>38</v>
      </c>
      <c r="T184" s="24">
        <f t="shared" si="9"/>
        <v>245.5</v>
      </c>
      <c r="U184" s="376">
        <v>2122.15</v>
      </c>
      <c r="V184" s="376">
        <v>275.17</v>
      </c>
      <c r="W184" s="22">
        <f t="shared" si="10"/>
        <v>818.30104000000006</v>
      </c>
      <c r="X184" s="22">
        <f t="shared" si="11"/>
        <v>889.5</v>
      </c>
      <c r="Y184" s="22">
        <v>500.5</v>
      </c>
      <c r="Z184" s="22">
        <v>389</v>
      </c>
      <c r="AA184" s="371">
        <v>5501.48</v>
      </c>
      <c r="AB184" s="22">
        <v>0.16168376509593782</v>
      </c>
      <c r="AC184" s="24">
        <v>2.6683765095937811E-2</v>
      </c>
      <c r="AD184" s="384">
        <v>-1403410.209024206</v>
      </c>
    </row>
    <row r="185" spans="1:30">
      <c r="A185" s="21" t="s">
        <v>579</v>
      </c>
      <c r="B185" s="21" t="s">
        <v>580</v>
      </c>
      <c r="C185" s="23">
        <v>52.82</v>
      </c>
      <c r="D185" s="147">
        <v>0.61</v>
      </c>
      <c r="E185" s="22">
        <v>5.38</v>
      </c>
      <c r="F185" s="22">
        <v>5.99</v>
      </c>
      <c r="G185" s="22">
        <v>0</v>
      </c>
      <c r="H185" s="22">
        <v>3.65</v>
      </c>
      <c r="I185" s="22">
        <v>0</v>
      </c>
      <c r="J185" s="22">
        <v>0</v>
      </c>
      <c r="K185" s="22">
        <v>0</v>
      </c>
      <c r="L185" s="22">
        <v>0</v>
      </c>
      <c r="M185" s="388">
        <v>147.49</v>
      </c>
      <c r="N185" s="25">
        <v>0.3987</v>
      </c>
      <c r="O185" s="24">
        <v>0</v>
      </c>
      <c r="P185" s="24">
        <v>0</v>
      </c>
      <c r="Q185" s="24">
        <v>0</v>
      </c>
      <c r="R185" s="22">
        <v>0</v>
      </c>
      <c r="S185" s="24">
        <v>0</v>
      </c>
      <c r="T185" s="24">
        <f t="shared" si="9"/>
        <v>0</v>
      </c>
      <c r="U185" s="376">
        <v>58.8</v>
      </c>
      <c r="V185" s="376">
        <v>0</v>
      </c>
      <c r="W185" s="22">
        <f t="shared" si="10"/>
        <v>23.443559999999998</v>
      </c>
      <c r="X185" s="22">
        <f t="shared" si="11"/>
        <v>19.25</v>
      </c>
      <c r="Y185" s="22">
        <v>10.5</v>
      </c>
      <c r="Z185" s="22">
        <v>8.75</v>
      </c>
      <c r="AA185" s="371">
        <v>147.47999999999999</v>
      </c>
      <c r="AB185" s="22">
        <v>0.13052617304041228</v>
      </c>
      <c r="AC185" s="24">
        <v>0</v>
      </c>
      <c r="AD185" s="384">
        <v>0</v>
      </c>
    </row>
    <row r="186" spans="1:30">
      <c r="A186" s="21" t="s">
        <v>165</v>
      </c>
      <c r="B186" s="21" t="s">
        <v>166</v>
      </c>
      <c r="C186" s="23">
        <v>97</v>
      </c>
      <c r="D186" s="147">
        <v>8.4</v>
      </c>
      <c r="E186" s="22">
        <v>20.329999999999998</v>
      </c>
      <c r="F186" s="22">
        <v>28.729999999999997</v>
      </c>
      <c r="G186" s="22">
        <v>0</v>
      </c>
      <c r="H186" s="22">
        <v>3.32</v>
      </c>
      <c r="I186" s="22">
        <v>1.1499999999999999</v>
      </c>
      <c r="J186" s="22">
        <v>24.700000000000003</v>
      </c>
      <c r="K186" s="22">
        <v>2.8</v>
      </c>
      <c r="L186" s="22">
        <v>0</v>
      </c>
      <c r="M186" s="388">
        <v>330.96999999999997</v>
      </c>
      <c r="N186" s="25">
        <v>0.749</v>
      </c>
      <c r="O186" s="24">
        <v>297</v>
      </c>
      <c r="P186" s="24">
        <v>6</v>
      </c>
      <c r="Q186" s="24">
        <v>3</v>
      </c>
      <c r="R186" s="22">
        <v>3</v>
      </c>
      <c r="S186" s="24">
        <v>0</v>
      </c>
      <c r="T186" s="24">
        <f t="shared" si="9"/>
        <v>6</v>
      </c>
      <c r="U186" s="376">
        <v>247.9</v>
      </c>
      <c r="V186" s="376">
        <v>16.55</v>
      </c>
      <c r="W186" s="22">
        <f t="shared" si="10"/>
        <v>185.6771</v>
      </c>
      <c r="X186" s="22">
        <f t="shared" si="11"/>
        <v>58.75</v>
      </c>
      <c r="Y186" s="22">
        <v>51.5</v>
      </c>
      <c r="Z186" s="22">
        <v>7.25</v>
      </c>
      <c r="AA186" s="371">
        <v>332.59</v>
      </c>
      <c r="AB186" s="22">
        <v>0.17664391593252957</v>
      </c>
      <c r="AC186" s="24">
        <v>4.1643915932529557E-2</v>
      </c>
      <c r="AD186" s="384">
        <v>-121826.37534189952</v>
      </c>
    </row>
    <row r="187" spans="1:30">
      <c r="A187" s="21" t="s">
        <v>343</v>
      </c>
      <c r="B187" s="21" t="s">
        <v>344</v>
      </c>
      <c r="C187" s="23">
        <v>258.54000000000002</v>
      </c>
      <c r="D187" s="147">
        <v>0</v>
      </c>
      <c r="E187" s="22">
        <v>83.38</v>
      </c>
      <c r="F187" s="22">
        <v>83.38</v>
      </c>
      <c r="G187" s="22">
        <v>0</v>
      </c>
      <c r="H187" s="22">
        <v>12.43</v>
      </c>
      <c r="I187" s="22">
        <v>0.44</v>
      </c>
      <c r="J187" s="22">
        <v>91.15</v>
      </c>
      <c r="K187" s="22">
        <v>3.6</v>
      </c>
      <c r="L187" s="22">
        <v>0</v>
      </c>
      <c r="M187" s="388">
        <v>1024.1699999999998</v>
      </c>
      <c r="N187" s="25">
        <v>0.64239999999999997</v>
      </c>
      <c r="O187" s="24">
        <v>1021</v>
      </c>
      <c r="P187" s="24">
        <v>45.75</v>
      </c>
      <c r="Q187" s="24">
        <v>26.5</v>
      </c>
      <c r="R187" s="22">
        <v>19.25</v>
      </c>
      <c r="S187" s="24">
        <v>0</v>
      </c>
      <c r="T187" s="24">
        <f t="shared" si="9"/>
        <v>45.75</v>
      </c>
      <c r="U187" s="376">
        <v>657.93</v>
      </c>
      <c r="V187" s="376">
        <v>51.21</v>
      </c>
      <c r="W187" s="22">
        <f t="shared" si="10"/>
        <v>422.65423199999992</v>
      </c>
      <c r="X187" s="22">
        <f t="shared" si="11"/>
        <v>230.5</v>
      </c>
      <c r="Y187" s="22">
        <v>173.75</v>
      </c>
      <c r="Z187" s="22">
        <v>56.75</v>
      </c>
      <c r="AA187" s="371">
        <v>1024.17</v>
      </c>
      <c r="AB187" s="22">
        <v>0.2250602927248406</v>
      </c>
      <c r="AC187" s="24">
        <v>9.006029272484059E-2</v>
      </c>
      <c r="AD187" s="384">
        <v>-801116.55801144708</v>
      </c>
    </row>
    <row r="188" spans="1:30">
      <c r="A188" s="21" t="s">
        <v>163</v>
      </c>
      <c r="B188" s="21" t="s">
        <v>164</v>
      </c>
      <c r="C188" s="23">
        <v>168.08</v>
      </c>
      <c r="D188" s="147">
        <v>14.69</v>
      </c>
      <c r="E188" s="22">
        <v>29.37</v>
      </c>
      <c r="F188" s="22">
        <v>44.06</v>
      </c>
      <c r="G188" s="22">
        <v>0</v>
      </c>
      <c r="H188" s="22">
        <v>16.18</v>
      </c>
      <c r="I188" s="22">
        <v>0.97</v>
      </c>
      <c r="J188" s="22">
        <v>21.23</v>
      </c>
      <c r="K188" s="22">
        <v>2.2000000000000002</v>
      </c>
      <c r="L188" s="22">
        <v>0</v>
      </c>
      <c r="M188" s="388">
        <v>568.65</v>
      </c>
      <c r="N188" s="25">
        <v>0.76590000000000003</v>
      </c>
      <c r="O188" s="24">
        <v>589</v>
      </c>
      <c r="P188" s="24">
        <v>50.5</v>
      </c>
      <c r="Q188" s="24">
        <v>31.5</v>
      </c>
      <c r="R188" s="22">
        <v>19</v>
      </c>
      <c r="S188" s="24">
        <v>2</v>
      </c>
      <c r="T188" s="24">
        <f t="shared" si="9"/>
        <v>52.5</v>
      </c>
      <c r="U188" s="376">
        <v>435.53</v>
      </c>
      <c r="V188" s="376">
        <v>28.43</v>
      </c>
      <c r="W188" s="22">
        <f t="shared" si="10"/>
        <v>333.572427</v>
      </c>
      <c r="X188" s="22">
        <f t="shared" si="11"/>
        <v>67.25</v>
      </c>
      <c r="Y188" s="22">
        <v>57.5</v>
      </c>
      <c r="Z188" s="22">
        <v>9.75</v>
      </c>
      <c r="AA188" s="371">
        <v>568.65</v>
      </c>
      <c r="AB188" s="22">
        <v>0.11826255165743428</v>
      </c>
      <c r="AC188" s="24">
        <v>0</v>
      </c>
      <c r="AD188" s="384">
        <v>0</v>
      </c>
    </row>
    <row r="189" spans="1:30">
      <c r="A189" s="21" t="s">
        <v>305</v>
      </c>
      <c r="B189" s="21" t="s">
        <v>306</v>
      </c>
      <c r="C189" s="23">
        <v>58.2</v>
      </c>
      <c r="D189" s="147">
        <v>0</v>
      </c>
      <c r="E189" s="22">
        <v>13.98</v>
      </c>
      <c r="F189" s="22">
        <v>13.98</v>
      </c>
      <c r="G189" s="22">
        <v>0</v>
      </c>
      <c r="H189" s="22">
        <v>3.66</v>
      </c>
      <c r="I189" s="22">
        <v>0</v>
      </c>
      <c r="J189" s="22">
        <v>0</v>
      </c>
      <c r="K189" s="22">
        <v>0</v>
      </c>
      <c r="L189" s="22">
        <v>0</v>
      </c>
      <c r="M189" s="388">
        <v>218.75</v>
      </c>
      <c r="N189" s="25">
        <v>0.53200000000000003</v>
      </c>
      <c r="O189" s="24">
        <v>107</v>
      </c>
      <c r="P189" s="24">
        <v>0</v>
      </c>
      <c r="Q189" s="24">
        <v>0</v>
      </c>
      <c r="R189" s="22">
        <v>0</v>
      </c>
      <c r="S189" s="24">
        <v>0</v>
      </c>
      <c r="T189" s="24">
        <f t="shared" si="9"/>
        <v>0</v>
      </c>
      <c r="U189" s="376">
        <v>116.38</v>
      </c>
      <c r="V189" s="376">
        <v>10.94</v>
      </c>
      <c r="W189" s="22">
        <f t="shared" si="10"/>
        <v>61.914160000000003</v>
      </c>
      <c r="X189" s="22">
        <f t="shared" si="11"/>
        <v>23</v>
      </c>
      <c r="Y189" s="22">
        <v>13.5</v>
      </c>
      <c r="Z189" s="22">
        <v>9.5</v>
      </c>
      <c r="AA189" s="371">
        <v>218.75</v>
      </c>
      <c r="AB189" s="22">
        <v>0.10514285714285715</v>
      </c>
      <c r="AC189" s="24">
        <v>0</v>
      </c>
      <c r="AD189" s="384">
        <v>0</v>
      </c>
    </row>
    <row r="190" spans="1:30">
      <c r="A190" s="21" t="s">
        <v>331</v>
      </c>
      <c r="B190" s="21" t="s">
        <v>332</v>
      </c>
      <c r="C190" s="23">
        <v>259</v>
      </c>
      <c r="D190" s="147">
        <v>6.22</v>
      </c>
      <c r="E190" s="22">
        <v>70.56</v>
      </c>
      <c r="F190" s="22">
        <v>76.78</v>
      </c>
      <c r="G190" s="22">
        <v>0</v>
      </c>
      <c r="H190" s="22">
        <v>17.649999999999999</v>
      </c>
      <c r="I190" s="22">
        <v>0.35</v>
      </c>
      <c r="J190" s="22">
        <v>89.83</v>
      </c>
      <c r="K190" s="22">
        <v>0</v>
      </c>
      <c r="L190" s="22">
        <v>0</v>
      </c>
      <c r="M190" s="388">
        <v>1036.31</v>
      </c>
      <c r="N190" s="25">
        <v>0.70089999999999997</v>
      </c>
      <c r="O190" s="24">
        <v>1042</v>
      </c>
      <c r="P190" s="24">
        <v>71.5</v>
      </c>
      <c r="Q190" s="24">
        <v>41</v>
      </c>
      <c r="R190" s="22">
        <v>30.5</v>
      </c>
      <c r="S190" s="24">
        <v>28</v>
      </c>
      <c r="T190" s="24">
        <f t="shared" si="9"/>
        <v>99.5</v>
      </c>
      <c r="U190" s="376">
        <v>726.56</v>
      </c>
      <c r="V190" s="376">
        <v>51.82</v>
      </c>
      <c r="W190" s="22">
        <f t="shared" si="10"/>
        <v>509.24590399999994</v>
      </c>
      <c r="X190" s="22">
        <f t="shared" si="11"/>
        <v>152.5</v>
      </c>
      <c r="Y190" s="22">
        <v>124.5</v>
      </c>
      <c r="Z190" s="22">
        <v>28</v>
      </c>
      <c r="AA190" s="371">
        <v>1036.31</v>
      </c>
      <c r="AB190" s="22">
        <v>0.14715673881367544</v>
      </c>
      <c r="AC190" s="24">
        <v>1.2156738813675433E-2</v>
      </c>
      <c r="AD190" s="384">
        <v>-111800.16860719341</v>
      </c>
    </row>
    <row r="191" spans="1:30">
      <c r="A191" s="21" t="s">
        <v>513</v>
      </c>
      <c r="B191" s="21" t="s">
        <v>514</v>
      </c>
      <c r="C191" s="23">
        <v>2292.6999999999998</v>
      </c>
      <c r="D191" s="147">
        <v>138.66999999999999</v>
      </c>
      <c r="E191" s="22">
        <v>585.29</v>
      </c>
      <c r="F191" s="22">
        <v>723.95999999999992</v>
      </c>
      <c r="G191" s="22">
        <v>0</v>
      </c>
      <c r="H191" s="22">
        <v>343.24</v>
      </c>
      <c r="I191" s="22">
        <v>42.16</v>
      </c>
      <c r="J191" s="22">
        <v>832.66</v>
      </c>
      <c r="K191" s="22">
        <v>36.119999999999997</v>
      </c>
      <c r="L191" s="22">
        <v>0</v>
      </c>
      <c r="M191" s="388">
        <v>9638.36</v>
      </c>
      <c r="N191" s="25">
        <v>0.30070000000000002</v>
      </c>
      <c r="O191" s="24">
        <v>613</v>
      </c>
      <c r="P191" s="24">
        <v>295.75</v>
      </c>
      <c r="Q191" s="24">
        <v>184.25</v>
      </c>
      <c r="R191" s="22">
        <v>111.5</v>
      </c>
      <c r="S191" s="24">
        <v>62</v>
      </c>
      <c r="T191" s="24">
        <f t="shared" si="9"/>
        <v>357.75</v>
      </c>
      <c r="U191" s="376">
        <v>2898.25</v>
      </c>
      <c r="V191" s="376">
        <v>0</v>
      </c>
      <c r="W191" s="22">
        <f t="shared" si="10"/>
        <v>871.50377500000002</v>
      </c>
      <c r="X191" s="22">
        <f t="shared" si="11"/>
        <v>1420.25</v>
      </c>
      <c r="Y191" s="22">
        <v>812.5</v>
      </c>
      <c r="Z191" s="22">
        <v>607.75</v>
      </c>
      <c r="AA191" s="371">
        <v>9700.44</v>
      </c>
      <c r="AB191" s="22">
        <v>0.14641088445472575</v>
      </c>
      <c r="AC191" s="24">
        <v>1.1410884454725739E-2</v>
      </c>
      <c r="AD191" s="384">
        <v>-977184.08888594492</v>
      </c>
    </row>
    <row r="192" spans="1:30">
      <c r="A192" s="21" t="s">
        <v>329</v>
      </c>
      <c r="B192" s="21" t="s">
        <v>330</v>
      </c>
      <c r="C192" s="23">
        <v>509.68</v>
      </c>
      <c r="D192" s="147">
        <v>32.74</v>
      </c>
      <c r="E192" s="22">
        <v>138.75</v>
      </c>
      <c r="F192" s="22">
        <v>171.49</v>
      </c>
      <c r="G192" s="22">
        <v>0</v>
      </c>
      <c r="H192" s="22">
        <v>133.05000000000001</v>
      </c>
      <c r="I192" s="22">
        <v>10.95</v>
      </c>
      <c r="J192" s="22">
        <v>4866.97</v>
      </c>
      <c r="K192" s="22">
        <v>0</v>
      </c>
      <c r="L192" s="22">
        <v>0</v>
      </c>
      <c r="M192" s="388">
        <v>6612.34</v>
      </c>
      <c r="N192" s="25">
        <v>0.54259999999999997</v>
      </c>
      <c r="O192" s="24">
        <v>5379</v>
      </c>
      <c r="P192" s="24">
        <v>268.75</v>
      </c>
      <c r="Q192" s="24">
        <v>161.5</v>
      </c>
      <c r="R192" s="22">
        <v>107.25</v>
      </c>
      <c r="S192" s="24">
        <v>78.5</v>
      </c>
      <c r="T192" s="24">
        <f t="shared" si="9"/>
        <v>347.25</v>
      </c>
      <c r="U192" s="376">
        <v>3587.19</v>
      </c>
      <c r="V192" s="376">
        <v>330.62</v>
      </c>
      <c r="W192" s="22">
        <f t="shared" si="10"/>
        <v>1946.4092939999998</v>
      </c>
      <c r="X192" s="22">
        <f t="shared" si="11"/>
        <v>911</v>
      </c>
      <c r="Y192" s="22">
        <v>756</v>
      </c>
      <c r="Z192" s="22">
        <v>155</v>
      </c>
      <c r="AA192" s="371">
        <v>6592.51</v>
      </c>
      <c r="AB192" s="22">
        <v>0.13818712447914375</v>
      </c>
      <c r="AC192" s="24">
        <v>3.1871244791437381E-3</v>
      </c>
      <c r="AD192" s="384">
        <v>-176899.58743764838</v>
      </c>
    </row>
    <row r="193" spans="1:30">
      <c r="A193" s="21" t="s">
        <v>287</v>
      </c>
      <c r="B193" s="21" t="s">
        <v>288</v>
      </c>
      <c r="C193" s="23">
        <v>217.8</v>
      </c>
      <c r="D193" s="147">
        <v>9.91</v>
      </c>
      <c r="E193" s="22">
        <v>97.92</v>
      </c>
      <c r="F193" s="22">
        <v>107.83</v>
      </c>
      <c r="G193" s="22">
        <v>0</v>
      </c>
      <c r="H193" s="22">
        <v>13.04</v>
      </c>
      <c r="I193" s="22">
        <v>1</v>
      </c>
      <c r="J193" s="22">
        <v>0</v>
      </c>
      <c r="K193" s="22">
        <v>0.8</v>
      </c>
      <c r="L193" s="22">
        <v>0</v>
      </c>
      <c r="M193" s="388">
        <v>791.7199999999998</v>
      </c>
      <c r="N193" s="25">
        <v>0.57830000000000004</v>
      </c>
      <c r="O193" s="24">
        <v>801</v>
      </c>
      <c r="P193" s="24">
        <v>20</v>
      </c>
      <c r="Q193" s="24">
        <v>7.75</v>
      </c>
      <c r="R193" s="22">
        <v>12.25</v>
      </c>
      <c r="S193" s="24">
        <v>6</v>
      </c>
      <c r="T193" s="24">
        <f t="shared" si="9"/>
        <v>26</v>
      </c>
      <c r="U193" s="376">
        <v>457.85</v>
      </c>
      <c r="V193" s="376">
        <v>39.590000000000003</v>
      </c>
      <c r="W193" s="22">
        <f t="shared" si="10"/>
        <v>264.77465500000005</v>
      </c>
      <c r="X193" s="22">
        <f t="shared" si="11"/>
        <v>138.25</v>
      </c>
      <c r="Y193" s="22">
        <v>82</v>
      </c>
      <c r="Z193" s="22">
        <v>56.25</v>
      </c>
      <c r="AA193" s="371">
        <v>794.79</v>
      </c>
      <c r="AB193" s="22">
        <v>0.17394531888926634</v>
      </c>
      <c r="AC193" s="24">
        <v>3.8945318889266334E-2</v>
      </c>
      <c r="AD193" s="384">
        <v>-269586.06781631534</v>
      </c>
    </row>
    <row r="194" spans="1:30">
      <c r="A194" s="21" t="s">
        <v>483</v>
      </c>
      <c r="B194" s="21" t="s">
        <v>484</v>
      </c>
      <c r="C194" s="23">
        <v>21.4</v>
      </c>
      <c r="D194" s="147">
        <v>0</v>
      </c>
      <c r="E194" s="22">
        <v>0</v>
      </c>
      <c r="F194" s="22">
        <v>0</v>
      </c>
      <c r="G194" s="22">
        <v>0</v>
      </c>
      <c r="H194" s="22">
        <v>0</v>
      </c>
      <c r="I194" s="22">
        <v>0</v>
      </c>
      <c r="J194" s="22">
        <v>0</v>
      </c>
      <c r="K194" s="22">
        <v>0</v>
      </c>
      <c r="L194" s="22">
        <v>0</v>
      </c>
      <c r="M194" s="388">
        <v>48.8</v>
      </c>
      <c r="N194" s="25">
        <v>0.77080000000000004</v>
      </c>
      <c r="O194" s="24">
        <v>48</v>
      </c>
      <c r="P194" s="24">
        <v>0</v>
      </c>
      <c r="Q194" s="24">
        <v>0</v>
      </c>
      <c r="R194" s="22">
        <v>0</v>
      </c>
      <c r="S194" s="24">
        <v>0</v>
      </c>
      <c r="T194" s="24">
        <f t="shared" si="9"/>
        <v>0</v>
      </c>
      <c r="U194" s="376">
        <v>37.619999999999997</v>
      </c>
      <c r="V194" s="376">
        <v>2.44</v>
      </c>
      <c r="W194" s="22">
        <f t="shared" si="10"/>
        <v>28.997495999999998</v>
      </c>
      <c r="X194" s="22">
        <f t="shared" si="11"/>
        <v>5.5</v>
      </c>
      <c r="Y194" s="22">
        <v>5.5</v>
      </c>
      <c r="Z194" s="22">
        <v>0</v>
      </c>
      <c r="AA194" s="371">
        <v>48.8</v>
      </c>
      <c r="AB194" s="22">
        <v>0.11270491803278689</v>
      </c>
      <c r="AC194" s="24">
        <v>0</v>
      </c>
      <c r="AD194" s="384">
        <v>0</v>
      </c>
    </row>
    <row r="195" spans="1:30">
      <c r="A195" s="21" t="s">
        <v>395</v>
      </c>
      <c r="B195" s="21" t="s">
        <v>396</v>
      </c>
      <c r="C195" s="23">
        <v>109.65</v>
      </c>
      <c r="D195" s="147">
        <v>0</v>
      </c>
      <c r="E195" s="22">
        <v>11.78</v>
      </c>
      <c r="F195" s="22">
        <v>11.78</v>
      </c>
      <c r="G195" s="22">
        <v>0</v>
      </c>
      <c r="H195" s="22">
        <v>0</v>
      </c>
      <c r="I195" s="22">
        <v>0</v>
      </c>
      <c r="J195" s="22">
        <v>313.81</v>
      </c>
      <c r="K195" s="22">
        <v>0</v>
      </c>
      <c r="L195" s="22">
        <v>0</v>
      </c>
      <c r="M195" s="388">
        <v>723.35</v>
      </c>
      <c r="N195" s="25">
        <v>0.30020000000000002</v>
      </c>
      <c r="O195" s="24">
        <v>0</v>
      </c>
      <c r="P195" s="24">
        <v>35</v>
      </c>
      <c r="Q195" s="24">
        <v>21</v>
      </c>
      <c r="R195" s="22">
        <v>14</v>
      </c>
      <c r="S195" s="24">
        <v>2</v>
      </c>
      <c r="T195" s="24">
        <f t="shared" si="9"/>
        <v>37</v>
      </c>
      <c r="U195" s="376">
        <v>217.15</v>
      </c>
      <c r="V195" s="376">
        <v>36.17</v>
      </c>
      <c r="W195" s="22">
        <f t="shared" si="10"/>
        <v>65.188430000000011</v>
      </c>
      <c r="X195" s="22">
        <f t="shared" si="11"/>
        <v>79.25</v>
      </c>
      <c r="Y195" s="22">
        <v>71</v>
      </c>
      <c r="Z195" s="22">
        <v>8.25</v>
      </c>
      <c r="AA195" s="371">
        <v>723.34</v>
      </c>
      <c r="AB195" s="22">
        <v>0.10956120220090138</v>
      </c>
      <c r="AC195" s="24">
        <v>0</v>
      </c>
      <c r="AD195" s="384">
        <v>0</v>
      </c>
    </row>
    <row r="196" spans="1:30">
      <c r="A196" s="21" t="s">
        <v>453</v>
      </c>
      <c r="B196" s="21" t="s">
        <v>454</v>
      </c>
      <c r="C196" s="23">
        <v>46</v>
      </c>
      <c r="D196" s="147">
        <v>0</v>
      </c>
      <c r="E196" s="22">
        <v>0</v>
      </c>
      <c r="F196" s="22">
        <v>0</v>
      </c>
      <c r="G196" s="22">
        <v>0</v>
      </c>
      <c r="H196" s="22">
        <v>0</v>
      </c>
      <c r="I196" s="22">
        <v>0</v>
      </c>
      <c r="J196" s="22">
        <v>0</v>
      </c>
      <c r="K196" s="22">
        <v>0</v>
      </c>
      <c r="L196" s="22">
        <v>0</v>
      </c>
      <c r="M196" s="388">
        <v>68.400000000000006</v>
      </c>
      <c r="N196" s="25">
        <v>0.15579999999999999</v>
      </c>
      <c r="O196" s="24">
        <v>0</v>
      </c>
      <c r="P196" s="24">
        <v>0</v>
      </c>
      <c r="Q196" s="24">
        <v>0</v>
      </c>
      <c r="R196" s="22">
        <v>0</v>
      </c>
      <c r="S196" s="24">
        <v>0</v>
      </c>
      <c r="T196" s="24">
        <f t="shared" si="9"/>
        <v>0</v>
      </c>
      <c r="U196" s="376">
        <v>10.66</v>
      </c>
      <c r="V196" s="376">
        <v>0</v>
      </c>
      <c r="W196" s="22">
        <f t="shared" si="10"/>
        <v>1.660828</v>
      </c>
      <c r="X196" s="22">
        <f t="shared" si="11"/>
        <v>4</v>
      </c>
      <c r="Y196" s="22">
        <v>0</v>
      </c>
      <c r="Z196" s="22">
        <v>4</v>
      </c>
      <c r="AA196" s="371">
        <v>68.400000000000006</v>
      </c>
      <c r="AB196" s="22">
        <v>5.8479532163742687E-2</v>
      </c>
      <c r="AC196" s="24">
        <v>0</v>
      </c>
      <c r="AD196" s="384">
        <v>0</v>
      </c>
    </row>
    <row r="197" spans="1:30">
      <c r="A197" s="21" t="s">
        <v>105</v>
      </c>
      <c r="B197" s="21" t="s">
        <v>106</v>
      </c>
      <c r="C197" s="23">
        <v>16.8</v>
      </c>
      <c r="D197" s="147">
        <v>0</v>
      </c>
      <c r="E197" s="22">
        <v>0</v>
      </c>
      <c r="F197" s="22">
        <v>0</v>
      </c>
      <c r="G197" s="22">
        <v>0</v>
      </c>
      <c r="H197" s="22">
        <v>0</v>
      </c>
      <c r="I197" s="22">
        <v>0</v>
      </c>
      <c r="J197" s="22">
        <v>0</v>
      </c>
      <c r="K197" s="22">
        <v>0</v>
      </c>
      <c r="L197" s="22">
        <v>0</v>
      </c>
      <c r="M197" s="388">
        <v>33.4</v>
      </c>
      <c r="N197" s="25">
        <v>0.71879999999999999</v>
      </c>
      <c r="O197" s="24">
        <v>32</v>
      </c>
      <c r="P197" s="24">
        <v>0</v>
      </c>
      <c r="Q197" s="24">
        <v>0</v>
      </c>
      <c r="R197" s="22">
        <v>0</v>
      </c>
      <c r="S197" s="24">
        <v>0</v>
      </c>
      <c r="T197" s="24">
        <f t="shared" si="9"/>
        <v>0</v>
      </c>
      <c r="U197" s="376">
        <v>24.01</v>
      </c>
      <c r="V197" s="376">
        <v>1.67</v>
      </c>
      <c r="W197" s="22">
        <f t="shared" si="10"/>
        <v>17.258388</v>
      </c>
      <c r="X197" s="22">
        <f t="shared" si="11"/>
        <v>6.25</v>
      </c>
      <c r="Y197" s="22">
        <v>6.25</v>
      </c>
      <c r="Z197" s="22">
        <v>0</v>
      </c>
      <c r="AA197" s="371">
        <v>33.4</v>
      </c>
      <c r="AB197" s="22">
        <v>0.18712574850299402</v>
      </c>
      <c r="AC197" s="24">
        <v>5.2125748502994007E-2</v>
      </c>
      <c r="AD197" s="384">
        <v>-16384.763416197969</v>
      </c>
    </row>
    <row r="198" spans="1:30">
      <c r="A198" s="21" t="s">
        <v>89</v>
      </c>
      <c r="B198" s="21" t="s">
        <v>90</v>
      </c>
      <c r="C198" s="23">
        <v>57.4</v>
      </c>
      <c r="D198" s="147">
        <v>1.44</v>
      </c>
      <c r="E198" s="22">
        <v>0</v>
      </c>
      <c r="F198" s="22">
        <v>1.44</v>
      </c>
      <c r="G198" s="22">
        <v>0</v>
      </c>
      <c r="H198" s="22">
        <v>0</v>
      </c>
      <c r="I198" s="22">
        <v>0</v>
      </c>
      <c r="J198" s="22">
        <v>0</v>
      </c>
      <c r="K198" s="22">
        <v>0</v>
      </c>
      <c r="L198" s="22">
        <v>0</v>
      </c>
      <c r="M198" s="388">
        <v>138.07999999999998</v>
      </c>
      <c r="N198" s="25">
        <v>0.89300000000000002</v>
      </c>
      <c r="O198" s="24">
        <v>139</v>
      </c>
      <c r="P198" s="24">
        <v>59</v>
      </c>
      <c r="Q198" s="24">
        <v>49.75</v>
      </c>
      <c r="R198" s="22">
        <v>9.25</v>
      </c>
      <c r="S198" s="24">
        <v>15</v>
      </c>
      <c r="T198" s="24">
        <f t="shared" si="9"/>
        <v>74</v>
      </c>
      <c r="U198" s="376">
        <v>123.31</v>
      </c>
      <c r="V198" s="376">
        <v>6.9</v>
      </c>
      <c r="W198" s="22">
        <f t="shared" si="10"/>
        <v>110.11583</v>
      </c>
      <c r="X198" s="22">
        <f t="shared" si="11"/>
        <v>14.75</v>
      </c>
      <c r="Y198" s="22">
        <v>12</v>
      </c>
      <c r="Z198" s="22">
        <v>2.75</v>
      </c>
      <c r="AA198" s="371">
        <v>138.08000000000001</v>
      </c>
      <c r="AB198" s="22">
        <v>0.10682213209733486</v>
      </c>
      <c r="AC198" s="24">
        <v>0</v>
      </c>
      <c r="AD198" s="384">
        <v>0</v>
      </c>
    </row>
    <row r="199" spans="1:30">
      <c r="A199" s="21" t="s">
        <v>341</v>
      </c>
      <c r="B199" s="21" t="s">
        <v>342</v>
      </c>
      <c r="C199" s="23">
        <v>143.63999999999999</v>
      </c>
      <c r="D199" s="147">
        <v>5.17</v>
      </c>
      <c r="E199" s="22">
        <v>23.63</v>
      </c>
      <c r="F199" s="22">
        <v>28.799999999999997</v>
      </c>
      <c r="G199" s="22">
        <v>0</v>
      </c>
      <c r="H199" s="22">
        <v>13.32</v>
      </c>
      <c r="I199" s="22">
        <v>0.9</v>
      </c>
      <c r="J199" s="22">
        <v>15.4</v>
      </c>
      <c r="K199" s="22">
        <v>0</v>
      </c>
      <c r="L199" s="22">
        <v>0</v>
      </c>
      <c r="M199" s="388">
        <v>517.82999999999993</v>
      </c>
      <c r="N199" s="25">
        <v>0.74</v>
      </c>
      <c r="O199" s="24">
        <v>523</v>
      </c>
      <c r="P199" s="24">
        <v>64.5</v>
      </c>
      <c r="Q199" s="24">
        <v>41.25</v>
      </c>
      <c r="R199" s="22">
        <v>23.25</v>
      </c>
      <c r="S199" s="24">
        <v>12</v>
      </c>
      <c r="T199" s="24">
        <f t="shared" si="9"/>
        <v>76.5</v>
      </c>
      <c r="U199" s="376">
        <v>382.16</v>
      </c>
      <c r="V199" s="376">
        <v>0</v>
      </c>
      <c r="W199" s="22">
        <f t="shared" si="10"/>
        <v>282.79840000000002</v>
      </c>
      <c r="X199" s="22">
        <f t="shared" si="11"/>
        <v>65.25</v>
      </c>
      <c r="Y199" s="22">
        <v>49.75</v>
      </c>
      <c r="Z199" s="22">
        <v>15.5</v>
      </c>
      <c r="AA199" s="371">
        <v>517.82000000000005</v>
      </c>
      <c r="AB199" s="22">
        <v>0.12600903788961415</v>
      </c>
      <c r="AC199" s="24">
        <v>0</v>
      </c>
      <c r="AD199" s="384">
        <v>0</v>
      </c>
    </row>
    <row r="200" spans="1:30">
      <c r="A200" s="21" t="s">
        <v>375</v>
      </c>
      <c r="B200" s="21" t="s">
        <v>376</v>
      </c>
      <c r="C200" s="23">
        <v>720.61</v>
      </c>
      <c r="D200" s="147">
        <v>54.03</v>
      </c>
      <c r="E200" s="22">
        <v>223.82</v>
      </c>
      <c r="F200" s="22">
        <v>277.85000000000002</v>
      </c>
      <c r="G200" s="22">
        <v>0</v>
      </c>
      <c r="H200" s="22">
        <v>55.07</v>
      </c>
      <c r="I200" s="22">
        <v>2.33</v>
      </c>
      <c r="J200" s="22">
        <v>21.67</v>
      </c>
      <c r="K200" s="22">
        <v>4.5999999999999996</v>
      </c>
      <c r="L200" s="22">
        <v>0</v>
      </c>
      <c r="M200" s="388">
        <v>2604.17</v>
      </c>
      <c r="N200" s="25">
        <v>0.31490000000000001</v>
      </c>
      <c r="O200" s="24">
        <v>0</v>
      </c>
      <c r="P200" s="24">
        <v>68.5</v>
      </c>
      <c r="Q200" s="24">
        <v>48</v>
      </c>
      <c r="R200" s="22">
        <v>20.5</v>
      </c>
      <c r="S200" s="24">
        <v>7</v>
      </c>
      <c r="T200" s="24">
        <f t="shared" si="9"/>
        <v>75.5</v>
      </c>
      <c r="U200" s="376">
        <v>820.05</v>
      </c>
      <c r="V200" s="376">
        <v>130.21</v>
      </c>
      <c r="W200" s="22">
        <f t="shared" si="10"/>
        <v>258.233745</v>
      </c>
      <c r="X200" s="22">
        <f t="shared" si="11"/>
        <v>388.75</v>
      </c>
      <c r="Y200" s="22">
        <v>210.5</v>
      </c>
      <c r="Z200" s="22">
        <v>178.25</v>
      </c>
      <c r="AA200" s="371">
        <v>2616.88</v>
      </c>
      <c r="AB200" s="22">
        <v>0.1485547675094005</v>
      </c>
      <c r="AC200" s="24">
        <v>1.3554767509400489E-2</v>
      </c>
      <c r="AD200" s="384">
        <v>-322076.68834568613</v>
      </c>
    </row>
    <row r="201" spans="1:30">
      <c r="A201" s="21" t="s">
        <v>7</v>
      </c>
      <c r="B201" s="21" t="s">
        <v>8</v>
      </c>
      <c r="C201" s="23">
        <v>1299.21</v>
      </c>
      <c r="D201" s="147">
        <v>20.58</v>
      </c>
      <c r="E201" s="22">
        <v>241.1</v>
      </c>
      <c r="F201" s="22">
        <v>261.68</v>
      </c>
      <c r="G201" s="22">
        <v>0</v>
      </c>
      <c r="H201" s="22">
        <v>59.94</v>
      </c>
      <c r="I201" s="22">
        <v>6.6</v>
      </c>
      <c r="J201" s="22">
        <v>12.33</v>
      </c>
      <c r="K201" s="22">
        <v>20</v>
      </c>
      <c r="L201" s="22">
        <v>0</v>
      </c>
      <c r="M201" s="388">
        <v>4461.37</v>
      </c>
      <c r="N201" s="25">
        <v>0.81569999999999998</v>
      </c>
      <c r="O201" s="24">
        <v>4500</v>
      </c>
      <c r="P201" s="24">
        <v>1769.25</v>
      </c>
      <c r="Q201" s="24">
        <v>1150.75</v>
      </c>
      <c r="R201" s="22">
        <v>618.5</v>
      </c>
      <c r="S201" s="24">
        <v>274.5</v>
      </c>
      <c r="T201" s="24">
        <f t="shared" ref="T201:T264" si="12">S201+P201</f>
        <v>2043.75</v>
      </c>
      <c r="U201" s="376">
        <v>3639.14</v>
      </c>
      <c r="V201" s="376">
        <v>223.07</v>
      </c>
      <c r="W201" s="22">
        <f t="shared" ref="W201:W264" si="13">U201*N201</f>
        <v>2968.4464979999998</v>
      </c>
      <c r="X201" s="22">
        <f t="shared" ref="X201:X264" si="14">Y201+Z201</f>
        <v>567.75</v>
      </c>
      <c r="Y201" s="22">
        <v>377.25</v>
      </c>
      <c r="Z201" s="22">
        <v>190.5</v>
      </c>
      <c r="AA201" s="371">
        <v>4482.8500000000004</v>
      </c>
      <c r="AB201" s="22">
        <v>0.12664934137881034</v>
      </c>
      <c r="AC201" s="24">
        <v>0</v>
      </c>
      <c r="AD201" s="384">
        <v>0</v>
      </c>
    </row>
    <row r="202" spans="1:30">
      <c r="A202" s="21" t="s">
        <v>93</v>
      </c>
      <c r="B202" s="21" t="s">
        <v>94</v>
      </c>
      <c r="C202" s="23">
        <v>12</v>
      </c>
      <c r="D202" s="147">
        <v>0</v>
      </c>
      <c r="E202" s="22">
        <v>0</v>
      </c>
      <c r="F202" s="22">
        <v>0</v>
      </c>
      <c r="G202" s="22">
        <v>0</v>
      </c>
      <c r="H202" s="22">
        <v>0</v>
      </c>
      <c r="I202" s="22">
        <v>0</v>
      </c>
      <c r="J202" s="22">
        <v>0</v>
      </c>
      <c r="K202" s="22">
        <v>0</v>
      </c>
      <c r="L202" s="22">
        <v>0</v>
      </c>
      <c r="M202" s="388">
        <v>22</v>
      </c>
      <c r="N202" s="25">
        <v>0.91300000000000003</v>
      </c>
      <c r="O202" s="24">
        <v>22</v>
      </c>
      <c r="P202" s="24">
        <v>8.25</v>
      </c>
      <c r="Q202" s="24">
        <v>8.25</v>
      </c>
      <c r="R202" s="22">
        <v>0</v>
      </c>
      <c r="S202" s="24">
        <v>3</v>
      </c>
      <c r="T202" s="24">
        <f t="shared" si="12"/>
        <v>11.25</v>
      </c>
      <c r="U202" s="376">
        <v>20.09</v>
      </c>
      <c r="V202" s="376">
        <v>0</v>
      </c>
      <c r="W202" s="22">
        <f t="shared" si="13"/>
        <v>18.342169999999999</v>
      </c>
      <c r="X202" s="22">
        <f t="shared" si="14"/>
        <v>4</v>
      </c>
      <c r="Y202" s="22">
        <v>4</v>
      </c>
      <c r="Z202" s="22">
        <v>0</v>
      </c>
      <c r="AA202" s="371">
        <v>22</v>
      </c>
      <c r="AB202" s="22">
        <v>0.18181818181818182</v>
      </c>
      <c r="AC202" s="24">
        <v>4.6818181818181814E-2</v>
      </c>
      <c r="AD202" s="384">
        <v>-9598.6514388803935</v>
      </c>
    </row>
    <row r="203" spans="1:30">
      <c r="A203" s="21" t="s">
        <v>565</v>
      </c>
      <c r="B203" s="21" t="s">
        <v>566</v>
      </c>
      <c r="C203" s="23">
        <v>49.1</v>
      </c>
      <c r="D203" s="147">
        <v>0</v>
      </c>
      <c r="E203" s="22">
        <v>9.6</v>
      </c>
      <c r="F203" s="22">
        <v>9.6</v>
      </c>
      <c r="G203" s="22">
        <v>0</v>
      </c>
      <c r="H203" s="22">
        <v>1.75</v>
      </c>
      <c r="I203" s="22">
        <v>0</v>
      </c>
      <c r="J203" s="22">
        <v>0</v>
      </c>
      <c r="K203" s="22">
        <v>0</v>
      </c>
      <c r="L203" s="22">
        <v>0</v>
      </c>
      <c r="M203" s="388">
        <v>152.88999999999999</v>
      </c>
      <c r="N203" s="25">
        <v>0.36420000000000002</v>
      </c>
      <c r="O203" s="24">
        <v>0</v>
      </c>
      <c r="P203" s="24">
        <v>0</v>
      </c>
      <c r="Q203" s="24">
        <v>0</v>
      </c>
      <c r="R203" s="22">
        <v>0</v>
      </c>
      <c r="S203" s="24">
        <v>0</v>
      </c>
      <c r="T203" s="24">
        <f t="shared" si="12"/>
        <v>0</v>
      </c>
      <c r="U203" s="376">
        <v>55.68</v>
      </c>
      <c r="V203" s="376">
        <v>0</v>
      </c>
      <c r="W203" s="22">
        <f t="shared" si="13"/>
        <v>20.278656000000002</v>
      </c>
      <c r="X203" s="22">
        <f t="shared" si="14"/>
        <v>18.5</v>
      </c>
      <c r="Y203" s="22">
        <v>14.5</v>
      </c>
      <c r="Z203" s="22">
        <v>4</v>
      </c>
      <c r="AA203" s="371">
        <v>152.88999999999999</v>
      </c>
      <c r="AB203" s="22">
        <v>0.1210020276015436</v>
      </c>
      <c r="AC203" s="24">
        <v>0</v>
      </c>
      <c r="AD203" s="384">
        <v>0</v>
      </c>
    </row>
    <row r="204" spans="1:30">
      <c r="A204" s="21" t="s">
        <v>111</v>
      </c>
      <c r="B204" s="21" t="s">
        <v>112</v>
      </c>
      <c r="C204" s="23">
        <v>5307.87</v>
      </c>
      <c r="D204" s="147">
        <v>159.84</v>
      </c>
      <c r="E204" s="22">
        <v>1031.3499999999999</v>
      </c>
      <c r="F204" s="22">
        <v>1191.1899999999998</v>
      </c>
      <c r="G204" s="22">
        <v>0</v>
      </c>
      <c r="H204" s="22">
        <v>348.55</v>
      </c>
      <c r="I204" s="22">
        <v>15.35</v>
      </c>
      <c r="J204" s="22">
        <v>223.57999999999998</v>
      </c>
      <c r="K204" s="22">
        <v>21.29</v>
      </c>
      <c r="L204" s="22">
        <v>0</v>
      </c>
      <c r="M204" s="388">
        <v>18091.530000000002</v>
      </c>
      <c r="N204" s="25">
        <v>0.73440000000000005</v>
      </c>
      <c r="O204" s="24">
        <v>16772</v>
      </c>
      <c r="P204" s="24">
        <v>6328.5</v>
      </c>
      <c r="Q204" s="24">
        <v>3441.75</v>
      </c>
      <c r="R204" s="22">
        <v>2886.75</v>
      </c>
      <c r="S204" s="24">
        <v>798.5</v>
      </c>
      <c r="T204" s="24">
        <f t="shared" si="12"/>
        <v>7127</v>
      </c>
      <c r="U204" s="376">
        <v>13286.42</v>
      </c>
      <c r="V204" s="376">
        <v>904.58</v>
      </c>
      <c r="W204" s="22">
        <f t="shared" si="13"/>
        <v>9757.546848</v>
      </c>
      <c r="X204" s="22">
        <f t="shared" si="14"/>
        <v>2257.5</v>
      </c>
      <c r="Y204" s="22">
        <v>1186.5</v>
      </c>
      <c r="Z204" s="22">
        <v>1071</v>
      </c>
      <c r="AA204" s="371">
        <v>18205.89</v>
      </c>
      <c r="AB204" s="22">
        <v>0.12399833240780869</v>
      </c>
      <c r="AC204" s="24">
        <v>0</v>
      </c>
      <c r="AD204" s="384">
        <v>0</v>
      </c>
    </row>
    <row r="205" spans="1:30">
      <c r="A205" s="21" t="s">
        <v>335</v>
      </c>
      <c r="B205" s="21" t="s">
        <v>336</v>
      </c>
      <c r="C205" s="23">
        <v>75.02</v>
      </c>
      <c r="D205" s="147">
        <v>0</v>
      </c>
      <c r="E205" s="22">
        <v>11.24</v>
      </c>
      <c r="F205" s="22">
        <v>11.24</v>
      </c>
      <c r="G205" s="22">
        <v>0</v>
      </c>
      <c r="H205" s="22">
        <v>8.17</v>
      </c>
      <c r="I205" s="22">
        <v>0.59</v>
      </c>
      <c r="J205" s="22">
        <v>7.56</v>
      </c>
      <c r="K205" s="22">
        <v>0</v>
      </c>
      <c r="L205" s="22">
        <v>0</v>
      </c>
      <c r="M205" s="388">
        <v>295</v>
      </c>
      <c r="N205" s="25">
        <v>0.72289999999999999</v>
      </c>
      <c r="O205" s="24">
        <v>276</v>
      </c>
      <c r="P205" s="24">
        <v>32</v>
      </c>
      <c r="Q205" s="24">
        <v>20</v>
      </c>
      <c r="R205" s="22">
        <v>12</v>
      </c>
      <c r="S205" s="24">
        <v>12</v>
      </c>
      <c r="T205" s="24">
        <f t="shared" si="12"/>
        <v>44</v>
      </c>
      <c r="U205" s="376">
        <v>213.26</v>
      </c>
      <c r="V205" s="376">
        <v>14.75</v>
      </c>
      <c r="W205" s="22">
        <f t="shared" si="13"/>
        <v>154.16565399999999</v>
      </c>
      <c r="X205" s="22">
        <f t="shared" si="14"/>
        <v>41.5</v>
      </c>
      <c r="Y205" s="22">
        <v>31.25</v>
      </c>
      <c r="Z205" s="22">
        <v>10.25</v>
      </c>
      <c r="AA205" s="371">
        <v>294.99</v>
      </c>
      <c r="AB205" s="22">
        <v>0.14068273500796638</v>
      </c>
      <c r="AC205" s="24">
        <v>5.6827350079663719E-3</v>
      </c>
      <c r="AD205" s="384">
        <v>-14849.511595372127</v>
      </c>
    </row>
    <row r="206" spans="1:30">
      <c r="A206" s="21" t="s">
        <v>19</v>
      </c>
      <c r="B206" s="21" t="s">
        <v>20</v>
      </c>
      <c r="C206" s="23">
        <v>58</v>
      </c>
      <c r="D206" s="147">
        <v>0</v>
      </c>
      <c r="E206" s="22">
        <v>0</v>
      </c>
      <c r="F206" s="22">
        <v>0</v>
      </c>
      <c r="G206" s="22">
        <v>0</v>
      </c>
      <c r="H206" s="22">
        <v>0</v>
      </c>
      <c r="I206" s="22">
        <v>0</v>
      </c>
      <c r="J206" s="22">
        <v>0</v>
      </c>
      <c r="K206" s="22">
        <v>0</v>
      </c>
      <c r="L206" s="22">
        <v>0</v>
      </c>
      <c r="M206" s="388">
        <v>141.4</v>
      </c>
      <c r="N206" s="25">
        <v>1</v>
      </c>
      <c r="O206" s="24">
        <v>142</v>
      </c>
      <c r="P206" s="24">
        <v>25.5</v>
      </c>
      <c r="Q206" s="24">
        <v>20.25</v>
      </c>
      <c r="R206" s="22">
        <v>5.25</v>
      </c>
      <c r="S206" s="24">
        <v>11</v>
      </c>
      <c r="T206" s="24">
        <f t="shared" si="12"/>
        <v>36.5</v>
      </c>
      <c r="U206" s="376">
        <v>141.4</v>
      </c>
      <c r="V206" s="376">
        <v>0</v>
      </c>
      <c r="W206" s="22">
        <f t="shared" si="13"/>
        <v>141.4</v>
      </c>
      <c r="X206" s="22">
        <f t="shared" si="14"/>
        <v>22.75</v>
      </c>
      <c r="Y206" s="22">
        <v>22.75</v>
      </c>
      <c r="Z206" s="22">
        <v>0</v>
      </c>
      <c r="AA206" s="371">
        <v>141.4</v>
      </c>
      <c r="AB206" s="22">
        <v>0.1608910891089109</v>
      </c>
      <c r="AC206" s="24">
        <v>2.5891089108910886E-2</v>
      </c>
      <c r="AD206" s="384">
        <v>-32805.705188958142</v>
      </c>
    </row>
    <row r="207" spans="1:30">
      <c r="A207" s="21" t="s">
        <v>289</v>
      </c>
      <c r="B207" s="21" t="s">
        <v>290</v>
      </c>
      <c r="C207" s="23">
        <v>76.400000000000006</v>
      </c>
      <c r="D207" s="147">
        <v>6.29</v>
      </c>
      <c r="E207" s="22">
        <v>15.14</v>
      </c>
      <c r="F207" s="22">
        <v>21.43</v>
      </c>
      <c r="G207" s="22">
        <v>0</v>
      </c>
      <c r="H207" s="22">
        <v>2.74</v>
      </c>
      <c r="I207" s="22">
        <v>0.27</v>
      </c>
      <c r="J207" s="22">
        <v>0</v>
      </c>
      <c r="K207" s="22">
        <v>0</v>
      </c>
      <c r="L207" s="22">
        <v>0</v>
      </c>
      <c r="M207" s="388">
        <v>247.95000000000002</v>
      </c>
      <c r="N207" s="25">
        <v>0.59130000000000005</v>
      </c>
      <c r="O207" s="24">
        <v>252</v>
      </c>
      <c r="P207" s="24">
        <v>0</v>
      </c>
      <c r="Q207" s="24">
        <v>0</v>
      </c>
      <c r="R207" s="22">
        <v>0</v>
      </c>
      <c r="S207" s="24">
        <v>0</v>
      </c>
      <c r="T207" s="24">
        <f t="shared" si="12"/>
        <v>0</v>
      </c>
      <c r="U207" s="376">
        <v>146.61000000000001</v>
      </c>
      <c r="V207" s="376">
        <v>12.4</v>
      </c>
      <c r="W207" s="22">
        <f t="shared" si="13"/>
        <v>86.690493000000018</v>
      </c>
      <c r="X207" s="22">
        <f t="shared" si="14"/>
        <v>47.25</v>
      </c>
      <c r="Y207" s="22">
        <v>29.5</v>
      </c>
      <c r="Z207" s="22">
        <v>17.75</v>
      </c>
      <c r="AA207" s="371">
        <v>247.95</v>
      </c>
      <c r="AB207" s="22">
        <v>0.19056261343012704</v>
      </c>
      <c r="AC207" s="24">
        <v>5.5562613430127028E-2</v>
      </c>
      <c r="AD207" s="384">
        <v>-123509.77318057131</v>
      </c>
    </row>
    <row r="208" spans="1:30">
      <c r="A208" s="21" t="s">
        <v>379</v>
      </c>
      <c r="B208" s="21" t="s">
        <v>380</v>
      </c>
      <c r="C208" s="23">
        <v>2370.9699999999998</v>
      </c>
      <c r="D208" s="147">
        <v>82.41</v>
      </c>
      <c r="E208" s="22">
        <v>472.17</v>
      </c>
      <c r="F208" s="22">
        <v>554.58000000000004</v>
      </c>
      <c r="G208" s="22">
        <v>0</v>
      </c>
      <c r="H208" s="22">
        <v>355.14</v>
      </c>
      <c r="I208" s="22">
        <v>13.69</v>
      </c>
      <c r="J208" s="22">
        <v>177.01</v>
      </c>
      <c r="K208" s="22">
        <v>10.89</v>
      </c>
      <c r="L208" s="22">
        <v>3.27</v>
      </c>
      <c r="M208" s="388">
        <v>8612.32</v>
      </c>
      <c r="N208" s="25">
        <v>0.2082</v>
      </c>
      <c r="O208" s="24">
        <v>228</v>
      </c>
      <c r="P208" s="24">
        <v>197.75</v>
      </c>
      <c r="Q208" s="24">
        <v>138.5</v>
      </c>
      <c r="R208" s="22">
        <v>59.25</v>
      </c>
      <c r="S208" s="24">
        <v>34.5</v>
      </c>
      <c r="T208" s="24">
        <f t="shared" si="12"/>
        <v>232.25</v>
      </c>
      <c r="U208" s="376">
        <v>1793.09</v>
      </c>
      <c r="V208" s="376">
        <v>430.62</v>
      </c>
      <c r="W208" s="22">
        <f t="shared" si="13"/>
        <v>373.32133799999997</v>
      </c>
      <c r="X208" s="22">
        <f t="shared" si="14"/>
        <v>1107.5</v>
      </c>
      <c r="Y208" s="22">
        <v>722.25</v>
      </c>
      <c r="Z208" s="22">
        <v>385.25</v>
      </c>
      <c r="AA208" s="371">
        <v>8671.06</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120</v>
      </c>
      <c r="N209" s="25">
        <v>0.43359999999999999</v>
      </c>
      <c r="O209" s="24">
        <v>0</v>
      </c>
      <c r="P209" s="24">
        <v>8</v>
      </c>
      <c r="Q209" s="24">
        <v>5</v>
      </c>
      <c r="R209" s="22">
        <v>3</v>
      </c>
      <c r="S209" s="24">
        <v>0</v>
      </c>
      <c r="T209" s="24">
        <f t="shared" si="12"/>
        <v>8</v>
      </c>
      <c r="U209" s="376">
        <v>50.98</v>
      </c>
      <c r="V209" s="376">
        <v>0</v>
      </c>
      <c r="W209" s="22">
        <f t="shared" si="13"/>
        <v>22.104927999999997</v>
      </c>
      <c r="X209" s="22">
        <f t="shared" si="14"/>
        <v>16.2</v>
      </c>
      <c r="Y209" s="22">
        <v>16.2</v>
      </c>
      <c r="Z209" s="22">
        <v>0</v>
      </c>
      <c r="AA209" s="371">
        <v>120</v>
      </c>
      <c r="AB209" s="22">
        <v>0.13499999999999998</v>
      </c>
      <c r="AC209" s="24">
        <v>0</v>
      </c>
      <c r="AD209" s="384">
        <v>0</v>
      </c>
    </row>
    <row r="210" spans="1:30">
      <c r="A210" s="21" t="s">
        <v>321</v>
      </c>
      <c r="B210" s="21" t="s">
        <v>322</v>
      </c>
      <c r="C210" s="23">
        <v>297.57</v>
      </c>
      <c r="D210" s="147">
        <v>0</v>
      </c>
      <c r="E210" s="22">
        <v>0</v>
      </c>
      <c r="F210" s="22">
        <v>0</v>
      </c>
      <c r="G210" s="22">
        <v>0</v>
      </c>
      <c r="H210" s="22">
        <v>0</v>
      </c>
      <c r="I210" s="22">
        <v>0</v>
      </c>
      <c r="J210" s="22">
        <v>39.799999999999997</v>
      </c>
      <c r="K210" s="22">
        <v>0</v>
      </c>
      <c r="L210" s="22">
        <v>0</v>
      </c>
      <c r="M210" s="388">
        <v>689.6099999999999</v>
      </c>
      <c r="N210" s="25">
        <v>0.65090000000000003</v>
      </c>
      <c r="O210" s="24">
        <v>687</v>
      </c>
      <c r="P210" s="24">
        <v>31.75</v>
      </c>
      <c r="Q210" s="24">
        <v>18</v>
      </c>
      <c r="R210" s="22">
        <v>13.75</v>
      </c>
      <c r="S210" s="24">
        <v>4.5</v>
      </c>
      <c r="T210" s="24">
        <f t="shared" si="12"/>
        <v>36.25</v>
      </c>
      <c r="U210" s="376">
        <v>448.87</v>
      </c>
      <c r="V210" s="376">
        <v>34.479999999999997</v>
      </c>
      <c r="W210" s="22">
        <f t="shared" si="13"/>
        <v>292.16948300000001</v>
      </c>
      <c r="X210" s="22">
        <f t="shared" si="14"/>
        <v>99.5</v>
      </c>
      <c r="Y210" s="22">
        <v>88.25</v>
      </c>
      <c r="Z210" s="22">
        <v>11.25</v>
      </c>
      <c r="AA210" s="371">
        <v>689.6</v>
      </c>
      <c r="AB210" s="22">
        <v>0.14428654292343387</v>
      </c>
      <c r="AC210" s="24">
        <v>9.2865429234338659E-3</v>
      </c>
      <c r="AD210" s="384">
        <v>-57826.077145787633</v>
      </c>
    </row>
    <row r="211" spans="1:30">
      <c r="A211" s="21" t="s">
        <v>119</v>
      </c>
      <c r="B211" s="21" t="s">
        <v>120</v>
      </c>
      <c r="C211" s="23">
        <v>127.4</v>
      </c>
      <c r="D211" s="147">
        <v>13.18</v>
      </c>
      <c r="E211" s="22">
        <v>39.29</v>
      </c>
      <c r="F211" s="22">
        <v>52.47</v>
      </c>
      <c r="G211" s="22">
        <v>0</v>
      </c>
      <c r="H211" s="22">
        <v>1.22</v>
      </c>
      <c r="I211" s="22">
        <v>1.08</v>
      </c>
      <c r="J211" s="22">
        <v>0</v>
      </c>
      <c r="K211" s="22">
        <v>0</v>
      </c>
      <c r="L211" s="22">
        <v>0</v>
      </c>
      <c r="M211" s="388">
        <v>355.34000000000009</v>
      </c>
      <c r="N211" s="25">
        <v>0.51839999999999997</v>
      </c>
      <c r="O211" s="24">
        <v>360</v>
      </c>
      <c r="P211" s="24">
        <v>3</v>
      </c>
      <c r="Q211" s="24">
        <v>2</v>
      </c>
      <c r="R211" s="22">
        <v>1</v>
      </c>
      <c r="S211" s="24">
        <v>1</v>
      </c>
      <c r="T211" s="24">
        <f t="shared" si="12"/>
        <v>4</v>
      </c>
      <c r="U211" s="376">
        <v>184.21</v>
      </c>
      <c r="V211" s="376">
        <v>0</v>
      </c>
      <c r="W211" s="22">
        <f t="shared" si="13"/>
        <v>95.494463999999994</v>
      </c>
      <c r="X211" s="22">
        <f t="shared" si="14"/>
        <v>53.5</v>
      </c>
      <c r="Y211" s="22">
        <v>21</v>
      </c>
      <c r="Z211" s="22">
        <v>32.5</v>
      </c>
      <c r="AA211" s="371">
        <v>355.34</v>
      </c>
      <c r="AB211" s="22">
        <v>0.15056002701637869</v>
      </c>
      <c r="AC211" s="24">
        <v>1.556002701637868E-2</v>
      </c>
      <c r="AD211" s="384">
        <v>-50141.087657640157</v>
      </c>
    </row>
    <row r="212" spans="1:30">
      <c r="A212" s="21" t="s">
        <v>43</v>
      </c>
      <c r="B212" s="21" t="s">
        <v>44</v>
      </c>
      <c r="C212" s="23">
        <v>969.89</v>
      </c>
      <c r="D212" s="147">
        <v>72.28</v>
      </c>
      <c r="E212" s="22">
        <v>229.55</v>
      </c>
      <c r="F212" s="22">
        <v>301.83000000000004</v>
      </c>
      <c r="G212" s="22">
        <v>0</v>
      </c>
      <c r="H212" s="22">
        <v>96.37</v>
      </c>
      <c r="I212" s="22">
        <v>8.33</v>
      </c>
      <c r="J212" s="22">
        <v>359.36</v>
      </c>
      <c r="K212" s="22">
        <v>0</v>
      </c>
      <c r="L212" s="22">
        <v>0</v>
      </c>
      <c r="M212" s="388">
        <v>3493.54</v>
      </c>
      <c r="N212" s="25">
        <v>0.52559999999999996</v>
      </c>
      <c r="O212" s="24">
        <v>2180</v>
      </c>
      <c r="P212" s="24">
        <v>53.5</v>
      </c>
      <c r="Q212" s="24">
        <v>37</v>
      </c>
      <c r="R212" s="22">
        <v>16.5</v>
      </c>
      <c r="S212" s="24">
        <v>9.5</v>
      </c>
      <c r="T212" s="24">
        <f t="shared" si="12"/>
        <v>63</v>
      </c>
      <c r="U212" s="376">
        <v>1838.3</v>
      </c>
      <c r="V212" s="376">
        <v>174.68</v>
      </c>
      <c r="W212" s="22">
        <f t="shared" si="13"/>
        <v>966.21047999999985</v>
      </c>
      <c r="X212" s="22">
        <f t="shared" si="14"/>
        <v>550</v>
      </c>
      <c r="Y212" s="22">
        <v>398.75</v>
      </c>
      <c r="Z212" s="22">
        <v>151.25</v>
      </c>
      <c r="AA212" s="371">
        <v>3493.54</v>
      </c>
      <c r="AB212" s="22">
        <v>0.15743343428155968</v>
      </c>
      <c r="AC212" s="24">
        <v>2.2433434281559667E-2</v>
      </c>
      <c r="AD212" s="384">
        <v>-705320.93136839103</v>
      </c>
    </row>
    <row r="213" spans="1:30">
      <c r="A213" s="21" t="s">
        <v>181</v>
      </c>
      <c r="B213" s="21" t="s">
        <v>182</v>
      </c>
      <c r="C213" s="23">
        <v>268.24</v>
      </c>
      <c r="D213" s="147">
        <v>0</v>
      </c>
      <c r="E213" s="22">
        <v>54.97</v>
      </c>
      <c r="F213" s="22">
        <v>54.97</v>
      </c>
      <c r="G213" s="22">
        <v>0</v>
      </c>
      <c r="H213" s="22">
        <v>27.91</v>
      </c>
      <c r="I213" s="22">
        <v>2.3199999999999998</v>
      </c>
      <c r="J213" s="22">
        <v>135.22999999999999</v>
      </c>
      <c r="K213" s="22">
        <v>0</v>
      </c>
      <c r="L213" s="22">
        <v>0</v>
      </c>
      <c r="M213" s="388">
        <v>1178.02</v>
      </c>
      <c r="N213" s="25">
        <v>0.51739999999999997</v>
      </c>
      <c r="O213" s="24">
        <v>769</v>
      </c>
      <c r="P213" s="24">
        <v>36.25</v>
      </c>
      <c r="Q213" s="24">
        <v>22</v>
      </c>
      <c r="R213" s="22">
        <v>14.25</v>
      </c>
      <c r="S213" s="24">
        <v>2.25</v>
      </c>
      <c r="T213" s="24">
        <f t="shared" si="12"/>
        <v>38.5</v>
      </c>
      <c r="U213" s="376">
        <v>609.51</v>
      </c>
      <c r="V213" s="376">
        <v>58.9</v>
      </c>
      <c r="W213" s="22">
        <f t="shared" si="13"/>
        <v>315.36047399999995</v>
      </c>
      <c r="X213" s="22">
        <f t="shared" si="14"/>
        <v>141.75</v>
      </c>
      <c r="Y213" s="22">
        <v>101.75</v>
      </c>
      <c r="Z213" s="22">
        <v>40</v>
      </c>
      <c r="AA213" s="371">
        <v>1196.08</v>
      </c>
      <c r="AB213" s="22">
        <v>0.1185121396562103</v>
      </c>
      <c r="AC213" s="24">
        <v>0</v>
      </c>
      <c r="AD213" s="384">
        <v>0</v>
      </c>
    </row>
    <row r="214" spans="1:30">
      <c r="A214" s="21" t="s">
        <v>537</v>
      </c>
      <c r="B214" s="21" t="s">
        <v>538</v>
      </c>
      <c r="C214" s="23">
        <v>83.03</v>
      </c>
      <c r="D214" s="147">
        <v>0</v>
      </c>
      <c r="E214" s="22">
        <v>5.24</v>
      </c>
      <c r="F214" s="22">
        <v>5.24</v>
      </c>
      <c r="G214" s="22">
        <v>0</v>
      </c>
      <c r="H214" s="22">
        <v>1</v>
      </c>
      <c r="I214" s="22">
        <v>0</v>
      </c>
      <c r="J214" s="22">
        <v>0</v>
      </c>
      <c r="K214" s="22">
        <v>1</v>
      </c>
      <c r="L214" s="22">
        <v>0</v>
      </c>
      <c r="M214" s="388">
        <v>248.31</v>
      </c>
      <c r="N214" s="25">
        <v>0.93959999999999999</v>
      </c>
      <c r="O214" s="24">
        <v>232</v>
      </c>
      <c r="P214" s="24">
        <v>91</v>
      </c>
      <c r="Q214" s="24">
        <v>63.5</v>
      </c>
      <c r="R214" s="22">
        <v>27.5</v>
      </c>
      <c r="S214" s="24">
        <v>11</v>
      </c>
      <c r="T214" s="24">
        <f t="shared" si="12"/>
        <v>102</v>
      </c>
      <c r="U214" s="376">
        <v>233.31</v>
      </c>
      <c r="V214" s="376">
        <v>0</v>
      </c>
      <c r="W214" s="22">
        <f t="shared" si="13"/>
        <v>219.218076</v>
      </c>
      <c r="X214" s="22">
        <f t="shared" si="14"/>
        <v>35</v>
      </c>
      <c r="Y214" s="22">
        <v>25.75</v>
      </c>
      <c r="Z214" s="22">
        <v>9.25</v>
      </c>
      <c r="AA214" s="371">
        <v>248.31</v>
      </c>
      <c r="AB214" s="22">
        <v>0.14095284120655632</v>
      </c>
      <c r="AC214" s="24">
        <v>5.9528412065563141E-3</v>
      </c>
      <c r="AD214" s="384">
        <v>-13093.016402331308</v>
      </c>
    </row>
    <row r="215" spans="1:30">
      <c r="A215" s="21" t="s">
        <v>481</v>
      </c>
      <c r="B215" s="21" t="s">
        <v>482</v>
      </c>
      <c r="C215" s="23">
        <v>0</v>
      </c>
      <c r="D215" s="147">
        <v>0</v>
      </c>
      <c r="E215" s="22">
        <v>12.01</v>
      </c>
      <c r="F215" s="22">
        <v>12.01</v>
      </c>
      <c r="G215" s="22">
        <v>0</v>
      </c>
      <c r="H215" s="22">
        <v>12.71</v>
      </c>
      <c r="I215" s="22">
        <v>1</v>
      </c>
      <c r="J215" s="22">
        <v>0</v>
      </c>
      <c r="K215" s="22">
        <v>0</v>
      </c>
      <c r="L215" s="22">
        <v>0</v>
      </c>
      <c r="M215" s="388">
        <v>645.70000000000005</v>
      </c>
      <c r="N215" s="25">
        <v>0.58220000000000005</v>
      </c>
      <c r="O215" s="24">
        <v>663</v>
      </c>
      <c r="P215" s="24">
        <v>0</v>
      </c>
      <c r="Q215" s="24">
        <v>0</v>
      </c>
      <c r="R215" s="22">
        <v>0</v>
      </c>
      <c r="S215" s="24">
        <v>0</v>
      </c>
      <c r="T215" s="24">
        <f t="shared" si="12"/>
        <v>0</v>
      </c>
      <c r="U215" s="376">
        <v>375.93</v>
      </c>
      <c r="V215" s="376">
        <v>0</v>
      </c>
      <c r="W215" s="22">
        <f t="shared" si="13"/>
        <v>218.86644600000002</v>
      </c>
      <c r="X215" s="22">
        <f t="shared" si="14"/>
        <v>103.25</v>
      </c>
      <c r="Y215" s="22">
        <v>102.25</v>
      </c>
      <c r="Z215" s="22">
        <v>1</v>
      </c>
      <c r="AA215" s="371">
        <v>648.44000000000005</v>
      </c>
      <c r="AB215" s="22">
        <v>0.15922830177040279</v>
      </c>
      <c r="AC215" s="24">
        <v>2.4228301770402777E-2</v>
      </c>
      <c r="AD215" s="384">
        <v>-131073.44069497273</v>
      </c>
    </row>
    <row r="216" spans="1:30">
      <c r="A216" s="21" t="s">
        <v>25</v>
      </c>
      <c r="B216" s="21" t="s">
        <v>26</v>
      </c>
      <c r="C216" s="23">
        <v>627.26</v>
      </c>
      <c r="D216" s="147">
        <v>29.81</v>
      </c>
      <c r="E216" s="22">
        <v>229.08</v>
      </c>
      <c r="F216" s="22">
        <v>258.89</v>
      </c>
      <c r="G216" s="22">
        <v>0</v>
      </c>
      <c r="H216" s="22">
        <v>38.36</v>
      </c>
      <c r="I216" s="22">
        <v>2.69</v>
      </c>
      <c r="J216" s="22">
        <v>0</v>
      </c>
      <c r="K216" s="22">
        <v>12.6</v>
      </c>
      <c r="L216" s="22">
        <v>0</v>
      </c>
      <c r="M216" s="388">
        <v>2455.8000000000002</v>
      </c>
      <c r="N216" s="25">
        <v>0.71989999999999998</v>
      </c>
      <c r="O216" s="24">
        <v>2481</v>
      </c>
      <c r="P216" s="24">
        <v>586.75</v>
      </c>
      <c r="Q216" s="24">
        <v>378.25</v>
      </c>
      <c r="R216" s="22">
        <v>208.5</v>
      </c>
      <c r="S216" s="24">
        <v>71</v>
      </c>
      <c r="T216" s="24">
        <f t="shared" si="12"/>
        <v>657.75</v>
      </c>
      <c r="U216" s="376">
        <v>1767.19</v>
      </c>
      <c r="V216" s="376">
        <v>122.79</v>
      </c>
      <c r="W216" s="22">
        <f t="shared" si="13"/>
        <v>1272.200081</v>
      </c>
      <c r="X216" s="22">
        <f t="shared" si="14"/>
        <v>314.75</v>
      </c>
      <c r="Y216" s="22">
        <v>143.75</v>
      </c>
      <c r="Z216" s="22">
        <v>171</v>
      </c>
      <c r="AA216" s="371">
        <v>2475.6799999999998</v>
      </c>
      <c r="AB216" s="22">
        <v>0.12713678666063466</v>
      </c>
      <c r="AC216" s="24">
        <v>0</v>
      </c>
      <c r="AD216" s="384">
        <v>0</v>
      </c>
    </row>
    <row r="217" spans="1:30">
      <c r="A217" s="21" t="s">
        <v>1319</v>
      </c>
      <c r="B217" s="21" t="s">
        <v>1320</v>
      </c>
      <c r="C217" s="23">
        <v>52.2</v>
      </c>
      <c r="D217" s="147">
        <v>0</v>
      </c>
      <c r="E217" s="22">
        <v>0</v>
      </c>
      <c r="F217" s="22">
        <v>0</v>
      </c>
      <c r="G217" s="22">
        <v>0</v>
      </c>
      <c r="H217" s="22">
        <v>0</v>
      </c>
      <c r="I217" s="22">
        <v>0</v>
      </c>
      <c r="J217" s="22">
        <v>0</v>
      </c>
      <c r="K217" s="22">
        <v>0</v>
      </c>
      <c r="L217" s="22">
        <v>0</v>
      </c>
      <c r="M217" s="388">
        <v>77</v>
      </c>
      <c r="N217" s="25">
        <v>0.2278</v>
      </c>
      <c r="O217" s="24">
        <v>0</v>
      </c>
      <c r="P217" s="24">
        <v>3</v>
      </c>
      <c r="Q217" s="24">
        <v>3</v>
      </c>
      <c r="R217" s="22">
        <v>0</v>
      </c>
      <c r="S217" s="24">
        <v>0</v>
      </c>
      <c r="T217" s="24">
        <f t="shared" si="12"/>
        <v>3</v>
      </c>
      <c r="U217" s="376">
        <v>1.95</v>
      </c>
      <c r="V217" s="376">
        <v>0</v>
      </c>
      <c r="W217" s="22">
        <f t="shared" si="13"/>
        <v>0.44420999999999999</v>
      </c>
      <c r="X217" s="22">
        <f t="shared" si="14"/>
        <v>11.75</v>
      </c>
      <c r="Y217" s="22">
        <v>11.75</v>
      </c>
      <c r="Z217" s="22">
        <v>0</v>
      </c>
      <c r="AA217" s="371">
        <v>77</v>
      </c>
      <c r="AB217" s="22">
        <v>0.15259740259740259</v>
      </c>
      <c r="AC217" s="24">
        <v>1.7597402597402584E-2</v>
      </c>
      <c r="AD217" s="384">
        <v>-13100.960453416885</v>
      </c>
    </row>
    <row r="218" spans="1:30">
      <c r="A218" s="21" t="s">
        <v>561</v>
      </c>
      <c r="B218" s="21" t="s">
        <v>562</v>
      </c>
      <c r="C218" s="23">
        <v>779.01</v>
      </c>
      <c r="D218" s="147">
        <v>44.01</v>
      </c>
      <c r="E218" s="22">
        <v>131.38</v>
      </c>
      <c r="F218" s="22">
        <v>175.39</v>
      </c>
      <c r="G218" s="22">
        <v>0</v>
      </c>
      <c r="H218" s="22">
        <v>36.26</v>
      </c>
      <c r="I218" s="22">
        <v>0.6</v>
      </c>
      <c r="J218" s="22">
        <v>7.75</v>
      </c>
      <c r="K218" s="22">
        <v>0.8</v>
      </c>
      <c r="L218" s="22">
        <v>0</v>
      </c>
      <c r="M218" s="388">
        <v>2617.0100000000007</v>
      </c>
      <c r="N218" s="25">
        <v>0.3155</v>
      </c>
      <c r="O218" s="24">
        <v>0</v>
      </c>
      <c r="P218" s="24">
        <v>121.25</v>
      </c>
      <c r="Q218" s="24">
        <v>93.5</v>
      </c>
      <c r="R218" s="22">
        <v>27.75</v>
      </c>
      <c r="S218" s="24">
        <v>42.75</v>
      </c>
      <c r="T218" s="24">
        <f t="shared" si="12"/>
        <v>164</v>
      </c>
      <c r="U218" s="376">
        <v>825.67</v>
      </c>
      <c r="V218" s="376">
        <v>130.85</v>
      </c>
      <c r="W218" s="22">
        <f t="shared" si="13"/>
        <v>260.49888499999997</v>
      </c>
      <c r="X218" s="22">
        <f t="shared" si="14"/>
        <v>317</v>
      </c>
      <c r="Y218" s="22">
        <v>236.75</v>
      </c>
      <c r="Z218" s="22">
        <v>80.25</v>
      </c>
      <c r="AA218" s="371">
        <v>2617.1999999999998</v>
      </c>
      <c r="AB218" s="22">
        <v>0.1211218095674767</v>
      </c>
      <c r="AC218" s="24">
        <v>0</v>
      </c>
      <c r="AD218" s="384">
        <v>0</v>
      </c>
    </row>
    <row r="219" spans="1:30">
      <c r="A219" s="21" t="s">
        <v>363</v>
      </c>
      <c r="B219" s="21" t="s">
        <v>364</v>
      </c>
      <c r="C219" s="23">
        <v>6368.81</v>
      </c>
      <c r="D219" s="147">
        <v>359.2</v>
      </c>
      <c r="E219" s="22">
        <v>1267.8</v>
      </c>
      <c r="F219" s="22">
        <v>1627</v>
      </c>
      <c r="G219" s="22">
        <v>0</v>
      </c>
      <c r="H219" s="22">
        <v>626.98</v>
      </c>
      <c r="I219" s="22">
        <v>18.7</v>
      </c>
      <c r="J219" s="22">
        <v>740.55</v>
      </c>
      <c r="K219" s="22">
        <v>51.6</v>
      </c>
      <c r="L219" s="22">
        <v>0</v>
      </c>
      <c r="M219" s="388">
        <v>22317.139999999996</v>
      </c>
      <c r="N219" s="25">
        <v>0.39810000000000001</v>
      </c>
      <c r="O219" s="24">
        <v>1992</v>
      </c>
      <c r="P219" s="24">
        <v>1441.25</v>
      </c>
      <c r="Q219" s="24">
        <v>926.25</v>
      </c>
      <c r="R219" s="22">
        <v>515</v>
      </c>
      <c r="S219" s="24">
        <v>339.5</v>
      </c>
      <c r="T219" s="24">
        <f t="shared" si="12"/>
        <v>1780.75</v>
      </c>
      <c r="U219" s="376">
        <v>8884.4500000000007</v>
      </c>
      <c r="V219" s="376">
        <v>1115.8599999999999</v>
      </c>
      <c r="W219" s="22">
        <f t="shared" si="13"/>
        <v>3536.8995450000002</v>
      </c>
      <c r="X219" s="22">
        <f t="shared" si="14"/>
        <v>2490.5</v>
      </c>
      <c r="Y219" s="22">
        <v>1339.25</v>
      </c>
      <c r="Z219" s="22">
        <v>1151.25</v>
      </c>
      <c r="AA219" s="371">
        <v>22353.34</v>
      </c>
      <c r="AB219" s="22">
        <v>0.11141511738290565</v>
      </c>
      <c r="AC219" s="24">
        <v>0</v>
      </c>
      <c r="AD219" s="384">
        <v>0</v>
      </c>
    </row>
    <row r="220" spans="1:30">
      <c r="A220" s="21" t="s">
        <v>173</v>
      </c>
      <c r="B220" s="21" t="s">
        <v>174</v>
      </c>
      <c r="C220" s="23">
        <v>21</v>
      </c>
      <c r="D220" s="147">
        <v>0</v>
      </c>
      <c r="E220" s="22">
        <v>0</v>
      </c>
      <c r="F220" s="22">
        <v>0</v>
      </c>
      <c r="G220" s="22">
        <v>0</v>
      </c>
      <c r="H220" s="22">
        <v>0</v>
      </c>
      <c r="I220" s="22">
        <v>0</v>
      </c>
      <c r="J220" s="22">
        <v>0</v>
      </c>
      <c r="K220" s="22">
        <v>0</v>
      </c>
      <c r="L220" s="22">
        <v>0</v>
      </c>
      <c r="M220" s="388">
        <v>50.8</v>
      </c>
      <c r="N220" s="25">
        <v>1</v>
      </c>
      <c r="O220" s="24">
        <v>50</v>
      </c>
      <c r="P220" s="24">
        <v>0</v>
      </c>
      <c r="Q220" s="24">
        <v>0</v>
      </c>
      <c r="R220" s="22">
        <v>0</v>
      </c>
      <c r="S220" s="24">
        <v>0</v>
      </c>
      <c r="T220" s="24">
        <f t="shared" si="12"/>
        <v>0</v>
      </c>
      <c r="U220" s="376">
        <v>50.8</v>
      </c>
      <c r="V220" s="376">
        <v>0</v>
      </c>
      <c r="W220" s="22">
        <f t="shared" si="13"/>
        <v>50.8</v>
      </c>
      <c r="X220" s="22">
        <f t="shared" si="14"/>
        <v>8.75</v>
      </c>
      <c r="Y220" s="22">
        <v>0</v>
      </c>
      <c r="Z220" s="22">
        <v>8.75</v>
      </c>
      <c r="AA220" s="371">
        <v>50.8</v>
      </c>
      <c r="AB220" s="22">
        <v>0.17224409448818898</v>
      </c>
      <c r="AC220" s="24">
        <v>3.7244094488188967E-2</v>
      </c>
      <c r="AD220" s="384">
        <v>-16758.989514631372</v>
      </c>
    </row>
    <row r="221" spans="1:30">
      <c r="A221" s="21" t="s">
        <v>177</v>
      </c>
      <c r="B221" s="21" t="s">
        <v>178</v>
      </c>
      <c r="C221" s="23">
        <v>45.1</v>
      </c>
      <c r="D221" s="147">
        <v>0</v>
      </c>
      <c r="E221" s="22">
        <v>7.66</v>
      </c>
      <c r="F221" s="22">
        <v>7.66</v>
      </c>
      <c r="G221" s="22">
        <v>0</v>
      </c>
      <c r="H221" s="22">
        <v>4.34</v>
      </c>
      <c r="I221" s="22">
        <v>0</v>
      </c>
      <c r="J221" s="22">
        <v>436.06</v>
      </c>
      <c r="K221" s="22">
        <v>0</v>
      </c>
      <c r="L221" s="22">
        <v>0</v>
      </c>
      <c r="M221" s="388">
        <v>646.78</v>
      </c>
      <c r="N221" s="25">
        <v>0.31059999999999999</v>
      </c>
      <c r="O221" s="24">
        <v>0</v>
      </c>
      <c r="P221" s="24">
        <v>0</v>
      </c>
      <c r="Q221" s="24">
        <v>0</v>
      </c>
      <c r="R221" s="22">
        <v>0</v>
      </c>
      <c r="S221" s="24">
        <v>0</v>
      </c>
      <c r="T221" s="24">
        <f t="shared" si="12"/>
        <v>0</v>
      </c>
      <c r="U221" s="376">
        <v>201.34</v>
      </c>
      <c r="V221" s="376">
        <v>32.340000000000003</v>
      </c>
      <c r="W221" s="22">
        <f t="shared" si="13"/>
        <v>62.536203999999998</v>
      </c>
      <c r="X221" s="22">
        <f t="shared" si="14"/>
        <v>55.75</v>
      </c>
      <c r="Y221" s="22">
        <v>53</v>
      </c>
      <c r="Z221" s="22">
        <v>2.75</v>
      </c>
      <c r="AA221" s="371">
        <v>653.72</v>
      </c>
      <c r="AB221" s="22">
        <v>8.5281160129719147E-2</v>
      </c>
      <c r="AC221" s="24">
        <v>0</v>
      </c>
      <c r="AD221" s="384">
        <v>0</v>
      </c>
    </row>
    <row r="222" spans="1:30">
      <c r="A222" s="21" t="s">
        <v>53</v>
      </c>
      <c r="B222" s="21" t="s">
        <v>54</v>
      </c>
      <c r="C222" s="23">
        <v>30.4</v>
      </c>
      <c r="D222" s="147">
        <v>1.65</v>
      </c>
      <c r="E222" s="22">
        <v>8.7899999999999991</v>
      </c>
      <c r="F222" s="22">
        <v>10.44</v>
      </c>
      <c r="G222" s="22">
        <v>0</v>
      </c>
      <c r="H222" s="22">
        <v>0.33</v>
      </c>
      <c r="I222" s="22">
        <v>0</v>
      </c>
      <c r="J222" s="22">
        <v>0</v>
      </c>
      <c r="K222" s="22">
        <v>0</v>
      </c>
      <c r="L222" s="22">
        <v>0</v>
      </c>
      <c r="M222" s="388">
        <v>116.49</v>
      </c>
      <c r="N222" s="25">
        <v>0.93910000000000005</v>
      </c>
      <c r="O222" s="24">
        <v>115</v>
      </c>
      <c r="P222" s="24">
        <v>0</v>
      </c>
      <c r="Q222" s="24">
        <v>0</v>
      </c>
      <c r="R222" s="22">
        <v>0</v>
      </c>
      <c r="S222" s="24">
        <v>0</v>
      </c>
      <c r="T222" s="24">
        <f t="shared" si="12"/>
        <v>0</v>
      </c>
      <c r="U222" s="376">
        <v>109.4</v>
      </c>
      <c r="V222" s="376">
        <v>0</v>
      </c>
      <c r="W222" s="22">
        <f t="shared" si="13"/>
        <v>102.73754000000001</v>
      </c>
      <c r="X222" s="22">
        <f t="shared" si="14"/>
        <v>28.25</v>
      </c>
      <c r="Y222" s="22">
        <v>27</v>
      </c>
      <c r="Z222" s="22">
        <v>1.25</v>
      </c>
      <c r="AA222" s="371">
        <v>116.49</v>
      </c>
      <c r="AB222" s="22">
        <v>0.24251008670272128</v>
      </c>
      <c r="AC222" s="24">
        <v>0.10751008670272127</v>
      </c>
      <c r="AD222" s="384">
        <v>-109346.38863899252</v>
      </c>
    </row>
    <row r="223" spans="1:30">
      <c r="A223" s="21" t="s">
        <v>51</v>
      </c>
      <c r="B223" s="21" t="s">
        <v>52</v>
      </c>
      <c r="C223" s="23">
        <v>274.88</v>
      </c>
      <c r="D223" s="147">
        <v>13.1</v>
      </c>
      <c r="E223" s="22">
        <v>43.4</v>
      </c>
      <c r="F223" s="22">
        <v>56.5</v>
      </c>
      <c r="G223" s="22">
        <v>0</v>
      </c>
      <c r="H223" s="22">
        <v>82.68</v>
      </c>
      <c r="I223" s="22">
        <v>9.52</v>
      </c>
      <c r="J223" s="22">
        <v>2271.44</v>
      </c>
      <c r="K223" s="22">
        <v>6.8</v>
      </c>
      <c r="L223" s="22">
        <v>0</v>
      </c>
      <c r="M223" s="388">
        <v>3267.08</v>
      </c>
      <c r="N223" s="25">
        <v>0.63009999999999999</v>
      </c>
      <c r="O223" s="24">
        <v>3279</v>
      </c>
      <c r="P223" s="24">
        <v>231</v>
      </c>
      <c r="Q223" s="24">
        <v>119</v>
      </c>
      <c r="R223" s="22">
        <v>112</v>
      </c>
      <c r="S223" s="24">
        <v>31</v>
      </c>
      <c r="T223" s="24">
        <f t="shared" si="12"/>
        <v>262</v>
      </c>
      <c r="U223" s="376">
        <v>1736.78</v>
      </c>
      <c r="V223" s="376">
        <v>0</v>
      </c>
      <c r="W223" s="22">
        <f t="shared" si="13"/>
        <v>1094.3450780000001</v>
      </c>
      <c r="X223" s="22">
        <f t="shared" si="14"/>
        <v>565.75</v>
      </c>
      <c r="Y223" s="22">
        <v>502</v>
      </c>
      <c r="Z223" s="22">
        <v>63.75</v>
      </c>
      <c r="AA223" s="371">
        <v>3270.9</v>
      </c>
      <c r="AB223" s="22">
        <v>0.17296462747256106</v>
      </c>
      <c r="AC223" s="24">
        <v>3.7964627472561047E-2</v>
      </c>
      <c r="AD223" s="384">
        <v>-1047845.1594923758</v>
      </c>
    </row>
    <row r="224" spans="1:30">
      <c r="A224" s="21" t="s">
        <v>123</v>
      </c>
      <c r="B224" s="21" t="s">
        <v>124</v>
      </c>
      <c r="C224" s="23">
        <v>903.12</v>
      </c>
      <c r="D224" s="147">
        <v>51.71</v>
      </c>
      <c r="E224" s="22">
        <v>223.35</v>
      </c>
      <c r="F224" s="22">
        <v>275.06</v>
      </c>
      <c r="G224" s="22">
        <v>0</v>
      </c>
      <c r="H224" s="22">
        <v>50.26</v>
      </c>
      <c r="I224" s="22">
        <v>2.91</v>
      </c>
      <c r="J224" s="22">
        <v>58.04</v>
      </c>
      <c r="K224" s="22">
        <v>4.2</v>
      </c>
      <c r="L224" s="22">
        <v>0</v>
      </c>
      <c r="M224" s="388">
        <v>3144.2</v>
      </c>
      <c r="N224" s="25">
        <v>0.82869999999999999</v>
      </c>
      <c r="O224" s="24">
        <v>3125</v>
      </c>
      <c r="P224" s="24">
        <v>1196</v>
      </c>
      <c r="Q224" s="24">
        <v>762.75</v>
      </c>
      <c r="R224" s="22">
        <v>433.25</v>
      </c>
      <c r="S224" s="24">
        <v>243.25</v>
      </c>
      <c r="T224" s="24">
        <f t="shared" si="12"/>
        <v>1439.25</v>
      </c>
      <c r="U224" s="376">
        <v>2605.6</v>
      </c>
      <c r="V224" s="376">
        <v>157.21</v>
      </c>
      <c r="W224" s="22">
        <f t="shared" si="13"/>
        <v>2159.2607199999998</v>
      </c>
      <c r="X224" s="22">
        <f t="shared" si="14"/>
        <v>427</v>
      </c>
      <c r="Y224" s="22">
        <v>338</v>
      </c>
      <c r="Z224" s="22">
        <v>89</v>
      </c>
      <c r="AA224" s="371">
        <v>3149.58</v>
      </c>
      <c r="AB224" s="22">
        <v>0.13557363203982753</v>
      </c>
      <c r="AC224" s="24">
        <v>5.7363203982752076E-4</v>
      </c>
      <c r="AD224" s="384">
        <v>-15802.005895841872</v>
      </c>
    </row>
    <row r="225" spans="1:30">
      <c r="A225" s="21" t="s">
        <v>225</v>
      </c>
      <c r="B225" s="21" t="s">
        <v>226</v>
      </c>
      <c r="C225" s="23">
        <v>0</v>
      </c>
      <c r="D225" s="147">
        <v>0</v>
      </c>
      <c r="E225" s="22">
        <v>0</v>
      </c>
      <c r="F225" s="22">
        <v>0</v>
      </c>
      <c r="G225" s="22">
        <v>0</v>
      </c>
      <c r="H225" s="22">
        <v>0</v>
      </c>
      <c r="I225" s="22">
        <v>0</v>
      </c>
      <c r="J225" s="22">
        <v>0</v>
      </c>
      <c r="K225" s="22">
        <v>0</v>
      </c>
      <c r="L225" s="22">
        <v>0</v>
      </c>
      <c r="M225" s="388">
        <v>329</v>
      </c>
      <c r="N225" s="25">
        <v>0.76190000000000002</v>
      </c>
      <c r="O225" s="24">
        <v>336</v>
      </c>
      <c r="P225" s="24">
        <v>96.75</v>
      </c>
      <c r="Q225" s="24">
        <v>54.75</v>
      </c>
      <c r="R225" s="22">
        <v>42</v>
      </c>
      <c r="S225" s="24">
        <v>21</v>
      </c>
      <c r="T225" s="24">
        <f t="shared" si="12"/>
        <v>117.75</v>
      </c>
      <c r="U225" s="376">
        <v>250.67</v>
      </c>
      <c r="V225" s="376">
        <v>0</v>
      </c>
      <c r="W225" s="22">
        <f t="shared" si="13"/>
        <v>190.98547299999998</v>
      </c>
      <c r="X225" s="22">
        <f t="shared" si="14"/>
        <v>24.75</v>
      </c>
      <c r="Y225" s="22">
        <v>24.75</v>
      </c>
      <c r="Z225" s="22">
        <v>0</v>
      </c>
      <c r="AA225" s="371">
        <v>329</v>
      </c>
      <c r="AB225" s="22">
        <v>7.522796352583587E-2</v>
      </c>
      <c r="AC225" s="24">
        <v>0</v>
      </c>
      <c r="AD225" s="384">
        <v>0</v>
      </c>
    </row>
    <row r="226" spans="1:30">
      <c r="A226" s="21" t="s">
        <v>515</v>
      </c>
      <c r="B226" s="21" t="s">
        <v>516</v>
      </c>
      <c r="C226" s="23">
        <v>284.02</v>
      </c>
      <c r="D226" s="147">
        <v>14.94</v>
      </c>
      <c r="E226" s="22">
        <v>63.58</v>
      </c>
      <c r="F226" s="22">
        <v>78.52</v>
      </c>
      <c r="G226" s="22">
        <v>0</v>
      </c>
      <c r="H226" s="22">
        <v>17.89</v>
      </c>
      <c r="I226" s="22">
        <v>1.35</v>
      </c>
      <c r="J226" s="22">
        <v>0</v>
      </c>
      <c r="K226" s="22">
        <v>4.4000000000000004</v>
      </c>
      <c r="L226" s="22">
        <v>0</v>
      </c>
      <c r="M226" s="388">
        <v>886.79</v>
      </c>
      <c r="N226" s="25">
        <v>0.4415</v>
      </c>
      <c r="O226" s="24">
        <v>0</v>
      </c>
      <c r="P226" s="24">
        <v>0</v>
      </c>
      <c r="Q226" s="24">
        <v>0</v>
      </c>
      <c r="R226" s="22">
        <v>0</v>
      </c>
      <c r="S226" s="24">
        <v>0</v>
      </c>
      <c r="T226" s="24">
        <f t="shared" si="12"/>
        <v>0</v>
      </c>
      <c r="U226" s="376">
        <v>391.52</v>
      </c>
      <c r="V226" s="376">
        <v>44.34</v>
      </c>
      <c r="W226" s="22">
        <f t="shared" si="13"/>
        <v>172.85607999999999</v>
      </c>
      <c r="X226" s="22">
        <f t="shared" si="14"/>
        <v>126.75</v>
      </c>
      <c r="Y226" s="22">
        <v>88</v>
      </c>
      <c r="Z226" s="22">
        <v>38.75</v>
      </c>
      <c r="AA226" s="371">
        <v>886.79</v>
      </c>
      <c r="AB226" s="22">
        <v>0.14293124640557517</v>
      </c>
      <c r="AC226" s="24">
        <v>7.9312464055751597E-3</v>
      </c>
      <c r="AD226" s="384">
        <v>-61968.069276755661</v>
      </c>
    </row>
    <row r="227" spans="1:30">
      <c r="A227" s="21" t="s">
        <v>345</v>
      </c>
      <c r="B227" s="21" t="s">
        <v>346</v>
      </c>
      <c r="C227" s="23">
        <v>145.25</v>
      </c>
      <c r="D227" s="147">
        <v>0</v>
      </c>
      <c r="E227" s="22">
        <v>38.950000000000003</v>
      </c>
      <c r="F227" s="22">
        <v>38.950000000000003</v>
      </c>
      <c r="G227" s="22">
        <v>0</v>
      </c>
      <c r="H227" s="22">
        <v>19.68</v>
      </c>
      <c r="I227" s="22">
        <v>0.17</v>
      </c>
      <c r="J227" s="22">
        <v>2</v>
      </c>
      <c r="K227" s="22">
        <v>2</v>
      </c>
      <c r="L227" s="22">
        <v>0</v>
      </c>
      <c r="M227" s="388">
        <v>522.98</v>
      </c>
      <c r="N227" s="25">
        <v>0.70309999999999995</v>
      </c>
      <c r="O227" s="24">
        <v>522</v>
      </c>
      <c r="P227" s="24">
        <v>61.5</v>
      </c>
      <c r="Q227" s="24">
        <v>37.25</v>
      </c>
      <c r="R227" s="22">
        <v>24.25</v>
      </c>
      <c r="S227" s="24">
        <v>9</v>
      </c>
      <c r="T227" s="24">
        <f t="shared" si="12"/>
        <v>70.5</v>
      </c>
      <c r="U227" s="376">
        <v>367.71</v>
      </c>
      <c r="V227" s="376">
        <v>26.15</v>
      </c>
      <c r="W227" s="22">
        <f t="shared" si="13"/>
        <v>258.53690099999994</v>
      </c>
      <c r="X227" s="22">
        <f t="shared" si="14"/>
        <v>81.5</v>
      </c>
      <c r="Y227" s="22">
        <v>50.5</v>
      </c>
      <c r="Z227" s="22">
        <v>31</v>
      </c>
      <c r="AA227" s="371">
        <v>522.97</v>
      </c>
      <c r="AB227" s="22">
        <v>0.15584067919765951</v>
      </c>
      <c r="AC227" s="24">
        <v>2.0840679197659501E-2</v>
      </c>
      <c r="AD227" s="384">
        <v>-95055.150274777392</v>
      </c>
    </row>
    <row r="228" spans="1:30">
      <c r="A228" s="21" t="s">
        <v>299</v>
      </c>
      <c r="B228" s="21" t="s">
        <v>300</v>
      </c>
      <c r="C228" s="23">
        <v>207.3</v>
      </c>
      <c r="D228" s="147">
        <v>10.23</v>
      </c>
      <c r="E228" s="22">
        <v>50.04</v>
      </c>
      <c r="F228" s="22">
        <v>60.269999999999996</v>
      </c>
      <c r="G228" s="22">
        <v>0</v>
      </c>
      <c r="H228" s="22">
        <v>13.68</v>
      </c>
      <c r="I228" s="22">
        <v>0.05</v>
      </c>
      <c r="J228" s="22">
        <v>27.4</v>
      </c>
      <c r="K228" s="22">
        <v>0</v>
      </c>
      <c r="L228" s="22">
        <v>0</v>
      </c>
      <c r="M228" s="388">
        <v>720.36999999999989</v>
      </c>
      <c r="N228" s="25">
        <v>0.46189999999999998</v>
      </c>
      <c r="O228" s="24">
        <v>0</v>
      </c>
      <c r="P228" s="24">
        <v>6</v>
      </c>
      <c r="Q228" s="24">
        <v>5.75</v>
      </c>
      <c r="R228" s="22">
        <v>0.25</v>
      </c>
      <c r="S228" s="24">
        <v>4.75</v>
      </c>
      <c r="T228" s="24">
        <f t="shared" si="12"/>
        <v>10.75</v>
      </c>
      <c r="U228" s="376">
        <v>321.72000000000003</v>
      </c>
      <c r="V228" s="376">
        <v>0</v>
      </c>
      <c r="W228" s="22">
        <f t="shared" si="13"/>
        <v>148.60246800000002</v>
      </c>
      <c r="X228" s="22">
        <f t="shared" si="14"/>
        <v>78.75</v>
      </c>
      <c r="Y228" s="22">
        <v>45.75</v>
      </c>
      <c r="Z228" s="22">
        <v>33</v>
      </c>
      <c r="AA228" s="371">
        <v>720.37</v>
      </c>
      <c r="AB228" s="22">
        <v>0.10931882227188806</v>
      </c>
      <c r="AC228" s="24">
        <v>0</v>
      </c>
      <c r="AD228" s="384">
        <v>0</v>
      </c>
    </row>
    <row r="229" spans="1:30">
      <c r="A229" s="21" t="s">
        <v>195</v>
      </c>
      <c r="B229" s="21" t="s">
        <v>196</v>
      </c>
      <c r="C229" s="23">
        <v>4501.8599999999997</v>
      </c>
      <c r="D229" s="147">
        <v>190.06</v>
      </c>
      <c r="E229" s="22">
        <v>1252.92</v>
      </c>
      <c r="F229" s="22">
        <v>1442.98</v>
      </c>
      <c r="G229" s="22">
        <v>0</v>
      </c>
      <c r="H229" s="22">
        <v>413.14</v>
      </c>
      <c r="I229" s="22">
        <v>39.92</v>
      </c>
      <c r="J229" s="22">
        <v>540.91000000000008</v>
      </c>
      <c r="K229" s="22">
        <v>12.99</v>
      </c>
      <c r="L229" s="22">
        <v>0</v>
      </c>
      <c r="M229" s="388">
        <v>14798.939999999999</v>
      </c>
      <c r="N229" s="25">
        <v>0.53410000000000002</v>
      </c>
      <c r="O229" s="24">
        <v>7369</v>
      </c>
      <c r="P229" s="24">
        <v>3034</v>
      </c>
      <c r="Q229" s="24">
        <v>2059.25</v>
      </c>
      <c r="R229" s="22">
        <v>974.75</v>
      </c>
      <c r="S229" s="24">
        <v>459</v>
      </c>
      <c r="T229" s="24">
        <f t="shared" si="12"/>
        <v>3493</v>
      </c>
      <c r="U229" s="376">
        <v>7904.11</v>
      </c>
      <c r="V229" s="376">
        <v>739.95</v>
      </c>
      <c r="W229" s="22">
        <f t="shared" si="13"/>
        <v>4221.5851510000002</v>
      </c>
      <c r="X229" s="22">
        <f t="shared" si="14"/>
        <v>1961.75</v>
      </c>
      <c r="Y229" s="22">
        <v>1012.75</v>
      </c>
      <c r="Z229" s="22">
        <v>949</v>
      </c>
      <c r="AA229" s="371">
        <v>14860.81</v>
      </c>
      <c r="AB229" s="22">
        <v>0.13200828218650262</v>
      </c>
      <c r="AC229" s="24">
        <v>0</v>
      </c>
      <c r="AD229" s="384">
        <v>0</v>
      </c>
    </row>
    <row r="230" spans="1:30">
      <c r="A230" s="21" t="s">
        <v>109</v>
      </c>
      <c r="B230" s="21" t="s">
        <v>110</v>
      </c>
      <c r="C230" s="23">
        <v>81.400000000000006</v>
      </c>
      <c r="D230" s="147">
        <v>0</v>
      </c>
      <c r="E230" s="22">
        <v>12.1</v>
      </c>
      <c r="F230" s="22">
        <v>12.1</v>
      </c>
      <c r="G230" s="22">
        <v>0</v>
      </c>
      <c r="H230" s="22">
        <v>9.91</v>
      </c>
      <c r="I230" s="22">
        <v>0.7</v>
      </c>
      <c r="J230" s="22">
        <v>59.230000000000004</v>
      </c>
      <c r="K230" s="22">
        <v>0</v>
      </c>
      <c r="L230" s="22">
        <v>0</v>
      </c>
      <c r="M230" s="388">
        <v>364.34000000000003</v>
      </c>
      <c r="N230" s="25">
        <v>0.7147</v>
      </c>
      <c r="O230" s="24">
        <v>299</v>
      </c>
      <c r="P230" s="24">
        <v>0</v>
      </c>
      <c r="Q230" s="24">
        <v>0</v>
      </c>
      <c r="R230" s="22">
        <v>0</v>
      </c>
      <c r="S230" s="24">
        <v>0</v>
      </c>
      <c r="T230" s="24">
        <f t="shared" si="12"/>
        <v>0</v>
      </c>
      <c r="U230" s="376">
        <v>260.69</v>
      </c>
      <c r="V230" s="376">
        <v>18.22</v>
      </c>
      <c r="W230" s="22">
        <f t="shared" si="13"/>
        <v>186.31514300000001</v>
      </c>
      <c r="X230" s="22">
        <f t="shared" si="14"/>
        <v>60.25</v>
      </c>
      <c r="Y230" s="22">
        <v>48.25</v>
      </c>
      <c r="Z230" s="22">
        <v>12</v>
      </c>
      <c r="AA230" s="371">
        <v>364.34</v>
      </c>
      <c r="AB230" s="22">
        <v>0.1653675138606796</v>
      </c>
      <c r="AC230" s="24">
        <v>3.0367513860679596E-2</v>
      </c>
      <c r="AD230" s="384">
        <v>-97601.465647600096</v>
      </c>
    </row>
    <row r="231" spans="1:30">
      <c r="A231" s="21" t="s">
        <v>27</v>
      </c>
      <c r="B231" s="21" t="s">
        <v>28</v>
      </c>
      <c r="C231" s="23">
        <v>3460.81</v>
      </c>
      <c r="D231" s="147">
        <v>76.97</v>
      </c>
      <c r="E231" s="22">
        <v>667.34</v>
      </c>
      <c r="F231" s="22">
        <v>744.31000000000006</v>
      </c>
      <c r="G231" s="22">
        <v>0</v>
      </c>
      <c r="H231" s="22">
        <v>184.6</v>
      </c>
      <c r="I231" s="22">
        <v>19.96</v>
      </c>
      <c r="J231" s="22">
        <v>1146.56</v>
      </c>
      <c r="K231" s="22">
        <v>51.29</v>
      </c>
      <c r="L231" s="22">
        <v>0</v>
      </c>
      <c r="M231" s="388">
        <v>13424.679999999998</v>
      </c>
      <c r="N231" s="25">
        <v>0.38919999999999999</v>
      </c>
      <c r="O231" s="24">
        <v>2483</v>
      </c>
      <c r="P231" s="24">
        <v>791.5</v>
      </c>
      <c r="Q231" s="24">
        <v>491.5</v>
      </c>
      <c r="R231" s="22">
        <v>300</v>
      </c>
      <c r="S231" s="24">
        <v>126.5</v>
      </c>
      <c r="T231" s="24">
        <f t="shared" si="12"/>
        <v>918</v>
      </c>
      <c r="U231" s="376">
        <v>5224.8900000000003</v>
      </c>
      <c r="V231" s="376">
        <v>671.23</v>
      </c>
      <c r="W231" s="22">
        <f t="shared" si="13"/>
        <v>2033.527188</v>
      </c>
      <c r="X231" s="22">
        <f t="shared" si="14"/>
        <v>1602.75</v>
      </c>
      <c r="Y231" s="22">
        <v>991.75</v>
      </c>
      <c r="Z231" s="22">
        <v>611</v>
      </c>
      <c r="AA231" s="371">
        <v>13504.03</v>
      </c>
      <c r="AB231" s="22">
        <v>0.11868679201690162</v>
      </c>
      <c r="AC231" s="24">
        <v>0</v>
      </c>
      <c r="AD231" s="384">
        <v>0</v>
      </c>
    </row>
    <row r="232" spans="1:30">
      <c r="A232" s="21" t="s">
        <v>71</v>
      </c>
      <c r="B232" s="21" t="s">
        <v>72</v>
      </c>
      <c r="C232" s="23">
        <v>1088.92</v>
      </c>
      <c r="D232" s="147">
        <v>68.81</v>
      </c>
      <c r="E232" s="22">
        <v>197.23</v>
      </c>
      <c r="F232" s="22">
        <v>266.03999999999996</v>
      </c>
      <c r="G232" s="22">
        <v>0</v>
      </c>
      <c r="H232" s="22">
        <v>48.4</v>
      </c>
      <c r="I232" s="22">
        <v>0.25</v>
      </c>
      <c r="J232" s="22">
        <v>155.03</v>
      </c>
      <c r="K232" s="22">
        <v>3.4</v>
      </c>
      <c r="L232" s="22">
        <v>0</v>
      </c>
      <c r="M232" s="388">
        <v>3724.7400000000002</v>
      </c>
      <c r="N232" s="25">
        <v>0.2389</v>
      </c>
      <c r="O232" s="24">
        <v>0</v>
      </c>
      <c r="P232" s="24">
        <v>115.25</v>
      </c>
      <c r="Q232" s="24">
        <v>85.5</v>
      </c>
      <c r="R232" s="22">
        <v>29.75</v>
      </c>
      <c r="S232" s="24">
        <v>27.25</v>
      </c>
      <c r="T232" s="24">
        <f t="shared" si="12"/>
        <v>142.5</v>
      </c>
      <c r="U232" s="376">
        <v>890.21</v>
      </c>
      <c r="V232" s="376">
        <v>186.24</v>
      </c>
      <c r="W232" s="22">
        <f t="shared" si="13"/>
        <v>212.67116900000002</v>
      </c>
      <c r="X232" s="22">
        <f t="shared" si="14"/>
        <v>394.25</v>
      </c>
      <c r="Y232" s="22">
        <v>291.25</v>
      </c>
      <c r="Z232" s="22">
        <v>103</v>
      </c>
      <c r="AA232" s="371">
        <v>3755.83</v>
      </c>
      <c r="AB232" s="22">
        <v>0.10497013975605925</v>
      </c>
      <c r="AC232" s="24">
        <v>0</v>
      </c>
      <c r="AD232" s="384">
        <v>0</v>
      </c>
    </row>
    <row r="233" spans="1:30">
      <c r="A233" s="21" t="s">
        <v>11</v>
      </c>
      <c r="B233" s="21" t="s">
        <v>12</v>
      </c>
      <c r="C233" s="23">
        <v>95.9</v>
      </c>
      <c r="D233" s="147">
        <v>9.07</v>
      </c>
      <c r="E233" s="22">
        <v>21.78</v>
      </c>
      <c r="F233" s="22">
        <v>30.85</v>
      </c>
      <c r="G233" s="22">
        <v>0</v>
      </c>
      <c r="H233" s="22">
        <v>1.7</v>
      </c>
      <c r="I233" s="22">
        <v>0</v>
      </c>
      <c r="J233" s="22">
        <v>30.200000000000003</v>
      </c>
      <c r="K233" s="22">
        <v>0</v>
      </c>
      <c r="L233" s="22">
        <v>0</v>
      </c>
      <c r="M233" s="388">
        <v>356.94</v>
      </c>
      <c r="N233" s="25">
        <v>0.46010000000000001</v>
      </c>
      <c r="O233" s="24">
        <v>169</v>
      </c>
      <c r="P233" s="24">
        <v>0</v>
      </c>
      <c r="Q233" s="24">
        <v>0</v>
      </c>
      <c r="R233" s="22">
        <v>0</v>
      </c>
      <c r="S233" s="24">
        <v>0</v>
      </c>
      <c r="T233" s="24">
        <f t="shared" si="12"/>
        <v>0</v>
      </c>
      <c r="U233" s="376">
        <v>163.69</v>
      </c>
      <c r="V233" s="376">
        <v>0</v>
      </c>
      <c r="W233" s="22">
        <f t="shared" si="13"/>
        <v>75.313768999999994</v>
      </c>
      <c r="X233" s="22">
        <f t="shared" si="14"/>
        <v>29.5</v>
      </c>
      <c r="Y233" s="22">
        <v>23.75</v>
      </c>
      <c r="Z233" s="22">
        <v>5.75</v>
      </c>
      <c r="AA233" s="371">
        <v>356.94</v>
      </c>
      <c r="AB233" s="22">
        <v>8.2646943463887484E-2</v>
      </c>
      <c r="AC233" s="24">
        <v>0</v>
      </c>
      <c r="AD233" s="384">
        <v>0</v>
      </c>
    </row>
    <row r="234" spans="1:30">
      <c r="A234" s="21" t="s">
        <v>477</v>
      </c>
      <c r="B234" s="21" t="s">
        <v>478</v>
      </c>
      <c r="C234" s="23">
        <v>374.77</v>
      </c>
      <c r="D234" s="147">
        <v>54.07</v>
      </c>
      <c r="E234" s="22">
        <v>115.25</v>
      </c>
      <c r="F234" s="22">
        <v>169.32</v>
      </c>
      <c r="G234" s="22">
        <v>0</v>
      </c>
      <c r="H234" s="22">
        <v>18.899999999999999</v>
      </c>
      <c r="I234" s="22">
        <v>3.9</v>
      </c>
      <c r="J234" s="22">
        <v>142.76</v>
      </c>
      <c r="K234" s="22">
        <v>4.8</v>
      </c>
      <c r="L234" s="22">
        <v>0</v>
      </c>
      <c r="M234" s="388">
        <v>1440.6000000000001</v>
      </c>
      <c r="N234" s="25">
        <v>0.50660000000000005</v>
      </c>
      <c r="O234" s="24">
        <v>378</v>
      </c>
      <c r="P234" s="24">
        <v>18.75</v>
      </c>
      <c r="Q234" s="24">
        <v>16.25</v>
      </c>
      <c r="R234" s="22">
        <v>2.5</v>
      </c>
      <c r="S234" s="24">
        <v>0.75</v>
      </c>
      <c r="T234" s="24">
        <f t="shared" si="12"/>
        <v>19.5</v>
      </c>
      <c r="U234" s="376">
        <v>729.81</v>
      </c>
      <c r="V234" s="376">
        <v>72.03</v>
      </c>
      <c r="W234" s="22">
        <f t="shared" si="13"/>
        <v>369.721746</v>
      </c>
      <c r="X234" s="22">
        <f t="shared" si="14"/>
        <v>192.25</v>
      </c>
      <c r="Y234" s="22">
        <v>134</v>
      </c>
      <c r="Z234" s="22">
        <v>58.25</v>
      </c>
      <c r="AA234" s="371">
        <v>1453.6</v>
      </c>
      <c r="AB234" s="22">
        <v>0.1322578425976885</v>
      </c>
      <c r="AC234" s="24">
        <v>0</v>
      </c>
      <c r="AD234" s="384">
        <v>0</v>
      </c>
    </row>
    <row r="235" spans="1:30">
      <c r="A235" s="21" t="s">
        <v>203</v>
      </c>
      <c r="B235" s="21" t="s">
        <v>204</v>
      </c>
      <c r="C235" s="23">
        <v>836.47</v>
      </c>
      <c r="D235" s="147">
        <v>31.78</v>
      </c>
      <c r="E235" s="22">
        <v>158.94</v>
      </c>
      <c r="F235" s="22">
        <v>190.72</v>
      </c>
      <c r="G235" s="22">
        <v>0</v>
      </c>
      <c r="H235" s="22">
        <v>71.19</v>
      </c>
      <c r="I235" s="22">
        <v>5.53</v>
      </c>
      <c r="J235" s="22">
        <v>189.19</v>
      </c>
      <c r="K235" s="22">
        <v>0</v>
      </c>
      <c r="L235" s="22">
        <v>0</v>
      </c>
      <c r="M235" s="388">
        <v>3012.01</v>
      </c>
      <c r="N235" s="25">
        <v>0.1303</v>
      </c>
      <c r="O235" s="24">
        <v>0</v>
      </c>
      <c r="P235" s="24">
        <v>193.75</v>
      </c>
      <c r="Q235" s="24">
        <v>144</v>
      </c>
      <c r="R235" s="22">
        <v>49.75</v>
      </c>
      <c r="S235" s="24">
        <v>48.25</v>
      </c>
      <c r="T235" s="24">
        <f t="shared" si="12"/>
        <v>242</v>
      </c>
      <c r="U235" s="376">
        <v>392.46</v>
      </c>
      <c r="V235" s="376">
        <v>150.6</v>
      </c>
      <c r="W235" s="22">
        <f t="shared" si="13"/>
        <v>51.137537999999999</v>
      </c>
      <c r="X235" s="22">
        <f t="shared" si="14"/>
        <v>313.5</v>
      </c>
      <c r="Y235" s="22">
        <v>238</v>
      </c>
      <c r="Z235" s="22">
        <v>75.5</v>
      </c>
      <c r="AA235" s="371">
        <v>3036.45</v>
      </c>
      <c r="AB235" s="22">
        <v>0.10324556636862126</v>
      </c>
      <c r="AC235" s="24">
        <v>0</v>
      </c>
      <c r="AD235" s="384">
        <v>0</v>
      </c>
    </row>
    <row r="236" spans="1:30">
      <c r="A236" s="21" t="s">
        <v>519</v>
      </c>
      <c r="B236" s="21" t="s">
        <v>520</v>
      </c>
      <c r="C236" s="23">
        <v>653.63</v>
      </c>
      <c r="D236" s="147">
        <v>0</v>
      </c>
      <c r="E236" s="22">
        <v>109.39</v>
      </c>
      <c r="F236" s="22">
        <v>109.39</v>
      </c>
      <c r="G236" s="22">
        <v>0</v>
      </c>
      <c r="H236" s="22">
        <v>55.12</v>
      </c>
      <c r="I236" s="22">
        <v>5.73</v>
      </c>
      <c r="J236" s="22">
        <v>29</v>
      </c>
      <c r="K236" s="22">
        <v>8.6</v>
      </c>
      <c r="L236" s="22">
        <v>0</v>
      </c>
      <c r="M236" s="388">
        <v>2084.5599999999995</v>
      </c>
      <c r="N236" s="25">
        <v>0.51419999999999999</v>
      </c>
      <c r="O236" s="24">
        <v>1457</v>
      </c>
      <c r="P236" s="24">
        <v>203</v>
      </c>
      <c r="Q236" s="24">
        <v>140.5</v>
      </c>
      <c r="R236" s="22">
        <v>62.5</v>
      </c>
      <c r="S236" s="24">
        <v>22.5</v>
      </c>
      <c r="T236" s="24">
        <f t="shared" si="12"/>
        <v>225.5</v>
      </c>
      <c r="U236" s="376">
        <v>1071.8800000000001</v>
      </c>
      <c r="V236" s="376">
        <v>104.23</v>
      </c>
      <c r="W236" s="22">
        <f t="shared" si="13"/>
        <v>551.16069600000003</v>
      </c>
      <c r="X236" s="22">
        <f t="shared" si="14"/>
        <v>272.5</v>
      </c>
      <c r="Y236" s="22">
        <v>176.5</v>
      </c>
      <c r="Z236" s="22">
        <v>96</v>
      </c>
      <c r="AA236" s="371">
        <v>2099.4699999999998</v>
      </c>
      <c r="AB236" s="22">
        <v>0.12979466246243102</v>
      </c>
      <c r="AC236" s="24">
        <v>0</v>
      </c>
      <c r="AD236" s="384">
        <v>0</v>
      </c>
    </row>
    <row r="237" spans="1:30">
      <c r="A237" s="21" t="s">
        <v>263</v>
      </c>
      <c r="B237" s="21" t="s">
        <v>264</v>
      </c>
      <c r="C237" s="23">
        <v>16</v>
      </c>
      <c r="D237" s="147">
        <v>0</v>
      </c>
      <c r="E237" s="22">
        <v>0</v>
      </c>
      <c r="F237" s="22">
        <v>0</v>
      </c>
      <c r="G237" s="22">
        <v>0</v>
      </c>
      <c r="H237" s="22">
        <v>0</v>
      </c>
      <c r="I237" s="22">
        <v>0</v>
      </c>
      <c r="J237" s="22">
        <v>0</v>
      </c>
      <c r="K237" s="22">
        <v>0</v>
      </c>
      <c r="L237" s="22">
        <v>0</v>
      </c>
      <c r="M237" s="388">
        <v>34.4</v>
      </c>
      <c r="N237" s="25">
        <v>0</v>
      </c>
      <c r="O237" s="24">
        <v>0</v>
      </c>
      <c r="P237" s="24">
        <v>0</v>
      </c>
      <c r="Q237" s="24">
        <v>0</v>
      </c>
      <c r="R237" s="22">
        <v>0</v>
      </c>
      <c r="S237" s="24">
        <v>0</v>
      </c>
      <c r="T237" s="24">
        <f t="shared" si="12"/>
        <v>0</v>
      </c>
      <c r="U237" s="376">
        <v>0</v>
      </c>
      <c r="V237" s="376">
        <v>0</v>
      </c>
      <c r="W237" s="22">
        <f t="shared" si="13"/>
        <v>0</v>
      </c>
      <c r="X237" s="22">
        <f t="shared" si="14"/>
        <v>5.25</v>
      </c>
      <c r="Y237" s="22">
        <v>4.25</v>
      </c>
      <c r="Z237" s="22">
        <v>1</v>
      </c>
      <c r="AA237" s="371">
        <v>34.4</v>
      </c>
      <c r="AB237" s="22">
        <v>0.15261627906976744</v>
      </c>
      <c r="AC237" s="24">
        <v>1.7616279069767427E-2</v>
      </c>
      <c r="AD237" s="384">
        <v>-5504.2515286147891</v>
      </c>
    </row>
    <row r="238" spans="1:30">
      <c r="A238" s="21" t="s">
        <v>575</v>
      </c>
      <c r="B238" s="21" t="s">
        <v>576</v>
      </c>
      <c r="C238" s="23">
        <v>46.6</v>
      </c>
      <c r="D238" s="147">
        <v>2.35</v>
      </c>
      <c r="E238" s="22">
        <v>5.3</v>
      </c>
      <c r="F238" s="22">
        <v>7.65</v>
      </c>
      <c r="G238" s="22">
        <v>0</v>
      </c>
      <c r="H238" s="22">
        <v>3.85</v>
      </c>
      <c r="I238" s="22">
        <v>0</v>
      </c>
      <c r="J238" s="22">
        <v>0</v>
      </c>
      <c r="K238" s="22">
        <v>0</v>
      </c>
      <c r="L238" s="22">
        <v>0</v>
      </c>
      <c r="M238" s="388">
        <v>153.38</v>
      </c>
      <c r="N238" s="25">
        <v>0.63690000000000002</v>
      </c>
      <c r="O238" s="24">
        <v>157</v>
      </c>
      <c r="P238" s="24">
        <v>0</v>
      </c>
      <c r="Q238" s="24">
        <v>0</v>
      </c>
      <c r="R238" s="22">
        <v>0</v>
      </c>
      <c r="S238" s="24">
        <v>0</v>
      </c>
      <c r="T238" s="24">
        <f t="shared" si="12"/>
        <v>0</v>
      </c>
      <c r="U238" s="376">
        <v>97.69</v>
      </c>
      <c r="V238" s="376">
        <v>0</v>
      </c>
      <c r="W238" s="22">
        <f t="shared" si="13"/>
        <v>62.218761000000001</v>
      </c>
      <c r="X238" s="22">
        <f t="shared" si="14"/>
        <v>18.25</v>
      </c>
      <c r="Y238" s="22">
        <v>14</v>
      </c>
      <c r="Z238" s="22">
        <v>4.25</v>
      </c>
      <c r="AA238" s="371">
        <v>153.38</v>
      </c>
      <c r="AB238" s="22">
        <v>0.11898552614421698</v>
      </c>
      <c r="AC238" s="24">
        <v>0</v>
      </c>
      <c r="AD238" s="384">
        <v>0</v>
      </c>
    </row>
    <row r="239" spans="1:30">
      <c r="A239" s="21" t="s">
        <v>131</v>
      </c>
      <c r="B239" s="21" t="s">
        <v>132</v>
      </c>
      <c r="C239" s="23">
        <v>496.8</v>
      </c>
      <c r="D239" s="147">
        <v>29.34</v>
      </c>
      <c r="E239" s="22">
        <v>89.68</v>
      </c>
      <c r="F239" s="22">
        <v>119.02000000000001</v>
      </c>
      <c r="G239" s="22">
        <v>0</v>
      </c>
      <c r="H239" s="22">
        <v>41.75</v>
      </c>
      <c r="I239" s="22">
        <v>1.98</v>
      </c>
      <c r="J239" s="22">
        <v>0</v>
      </c>
      <c r="K239" s="22">
        <v>6.6</v>
      </c>
      <c r="L239" s="22">
        <v>0</v>
      </c>
      <c r="M239" s="388">
        <v>1756.8799999999999</v>
      </c>
      <c r="N239" s="25">
        <v>0.78449999999999998</v>
      </c>
      <c r="O239" s="24">
        <v>1772</v>
      </c>
      <c r="P239" s="24">
        <v>749.75</v>
      </c>
      <c r="Q239" s="24">
        <v>458.25</v>
      </c>
      <c r="R239" s="22">
        <v>291.5</v>
      </c>
      <c r="S239" s="24">
        <v>135</v>
      </c>
      <c r="T239" s="24">
        <f t="shared" si="12"/>
        <v>884.75</v>
      </c>
      <c r="U239" s="376">
        <v>1378.27</v>
      </c>
      <c r="V239" s="376">
        <v>87.84</v>
      </c>
      <c r="W239" s="22">
        <f t="shared" si="13"/>
        <v>1081.2528150000001</v>
      </c>
      <c r="X239" s="22">
        <f t="shared" si="14"/>
        <v>238.25</v>
      </c>
      <c r="Y239" s="22">
        <v>142.75</v>
      </c>
      <c r="Z239" s="22">
        <v>95.5</v>
      </c>
      <c r="AA239" s="371">
        <v>1767.14</v>
      </c>
      <c r="AB239" s="22">
        <v>0.13482236834659392</v>
      </c>
      <c r="AC239" s="24">
        <v>0</v>
      </c>
      <c r="AD239" s="384">
        <v>0</v>
      </c>
    </row>
    <row r="240" spans="1:30">
      <c r="A240" s="21" t="s">
        <v>399</v>
      </c>
      <c r="B240" s="21" t="s">
        <v>400</v>
      </c>
      <c r="C240" s="23">
        <v>198.74</v>
      </c>
      <c r="D240" s="147">
        <v>0</v>
      </c>
      <c r="E240" s="22">
        <v>23.73</v>
      </c>
      <c r="F240" s="22">
        <v>23.73</v>
      </c>
      <c r="G240" s="22">
        <v>0</v>
      </c>
      <c r="H240" s="22">
        <v>6.44</v>
      </c>
      <c r="I240" s="22">
        <v>0.62</v>
      </c>
      <c r="J240" s="22">
        <v>37.19</v>
      </c>
      <c r="K240" s="22">
        <v>4.5999999999999996</v>
      </c>
      <c r="L240" s="22">
        <v>0</v>
      </c>
      <c r="M240" s="388">
        <v>777.83</v>
      </c>
      <c r="N240" s="25">
        <v>0.4</v>
      </c>
      <c r="O240" s="24">
        <v>0</v>
      </c>
      <c r="P240" s="24">
        <v>48.5</v>
      </c>
      <c r="Q240" s="24">
        <v>30.5</v>
      </c>
      <c r="R240" s="22">
        <v>18</v>
      </c>
      <c r="S240" s="24">
        <v>12.5</v>
      </c>
      <c r="T240" s="24">
        <f t="shared" si="12"/>
        <v>61</v>
      </c>
      <c r="U240" s="376">
        <v>311.13</v>
      </c>
      <c r="V240" s="376">
        <v>38.89</v>
      </c>
      <c r="W240" s="22">
        <f t="shared" si="13"/>
        <v>124.452</v>
      </c>
      <c r="X240" s="22">
        <f t="shared" si="14"/>
        <v>137.25</v>
      </c>
      <c r="Y240" s="22">
        <v>118</v>
      </c>
      <c r="Z240" s="22">
        <v>19.25</v>
      </c>
      <c r="AA240" s="371">
        <v>777.82</v>
      </c>
      <c r="AB240" s="22">
        <v>0.17645470674449101</v>
      </c>
      <c r="AC240" s="24">
        <v>4.1454706744491004E-2</v>
      </c>
      <c r="AD240" s="384">
        <v>-304927.4150999416</v>
      </c>
    </row>
    <row r="241" spans="1:30">
      <c r="A241" s="21" t="s">
        <v>159</v>
      </c>
      <c r="B241" s="21" t="s">
        <v>160</v>
      </c>
      <c r="C241" s="23">
        <v>30</v>
      </c>
      <c r="D241" s="147">
        <v>0</v>
      </c>
      <c r="E241" s="22">
        <v>0</v>
      </c>
      <c r="F241" s="22">
        <v>0</v>
      </c>
      <c r="G241" s="22">
        <v>0</v>
      </c>
      <c r="H241" s="22">
        <v>0</v>
      </c>
      <c r="I241" s="22">
        <v>0</v>
      </c>
      <c r="J241" s="22">
        <v>0</v>
      </c>
      <c r="K241" s="22">
        <v>0</v>
      </c>
      <c r="L241" s="22">
        <v>0</v>
      </c>
      <c r="M241" s="388">
        <v>54</v>
      </c>
      <c r="N241" s="25">
        <v>0.62960000000000005</v>
      </c>
      <c r="O241" s="24">
        <v>54</v>
      </c>
      <c r="P241" s="24">
        <v>0</v>
      </c>
      <c r="Q241" s="24">
        <v>0</v>
      </c>
      <c r="R241" s="22">
        <v>0</v>
      </c>
      <c r="S241" s="24">
        <v>0</v>
      </c>
      <c r="T241" s="24">
        <f t="shared" si="12"/>
        <v>0</v>
      </c>
      <c r="U241" s="376">
        <v>34</v>
      </c>
      <c r="V241" s="376">
        <v>0</v>
      </c>
      <c r="W241" s="22">
        <f t="shared" si="13"/>
        <v>21.406400000000001</v>
      </c>
      <c r="X241" s="22">
        <f t="shared" si="14"/>
        <v>9.5</v>
      </c>
      <c r="Y241" s="22">
        <v>9.5</v>
      </c>
      <c r="Z241" s="22">
        <v>0</v>
      </c>
      <c r="AA241" s="371">
        <v>54</v>
      </c>
      <c r="AB241" s="22">
        <v>0.17592592592592593</v>
      </c>
      <c r="AC241" s="24">
        <v>4.0925925925925921E-2</v>
      </c>
      <c r="AD241" s="384">
        <v>-20649.444443723645</v>
      </c>
    </row>
    <row r="242" spans="1:30">
      <c r="A242" s="21" t="s">
        <v>183</v>
      </c>
      <c r="B242" s="21" t="s">
        <v>184</v>
      </c>
      <c r="C242" s="23">
        <v>15820.4</v>
      </c>
      <c r="D242" s="147">
        <v>172.69</v>
      </c>
      <c r="E242" s="22">
        <v>1541.82</v>
      </c>
      <c r="F242" s="22">
        <v>1714.51</v>
      </c>
      <c r="G242" s="22">
        <v>102.69</v>
      </c>
      <c r="H242" s="22">
        <v>889.52</v>
      </c>
      <c r="I242" s="22">
        <v>26.6</v>
      </c>
      <c r="J242" s="22">
        <v>695.67000000000007</v>
      </c>
      <c r="K242" s="22">
        <v>63.4</v>
      </c>
      <c r="L242" s="22">
        <v>0</v>
      </c>
      <c r="M242" s="388">
        <v>50572.71</v>
      </c>
      <c r="N242" s="25">
        <v>0.40450000000000003</v>
      </c>
      <c r="O242" s="24">
        <v>14234</v>
      </c>
      <c r="P242" s="24">
        <v>6642.5</v>
      </c>
      <c r="Q242" s="24">
        <v>4369.75</v>
      </c>
      <c r="R242" s="22">
        <v>2272.75</v>
      </c>
      <c r="S242" s="24">
        <v>729.5</v>
      </c>
      <c r="T242" s="24">
        <f t="shared" si="12"/>
        <v>7372</v>
      </c>
      <c r="U242" s="376">
        <v>20456.66</v>
      </c>
      <c r="V242" s="376">
        <v>0</v>
      </c>
      <c r="W242" s="22">
        <f t="shared" si="13"/>
        <v>8274.7189699999999</v>
      </c>
      <c r="X242" s="22">
        <f t="shared" si="14"/>
        <v>6762</v>
      </c>
      <c r="Y242" s="22">
        <v>4672.5</v>
      </c>
      <c r="Z242" s="22">
        <v>2089.5</v>
      </c>
      <c r="AA242" s="371">
        <v>50600.91</v>
      </c>
      <c r="AB242" s="22">
        <v>0.13363396033786742</v>
      </c>
      <c r="AC242" s="24">
        <v>0</v>
      </c>
      <c r="AD242" s="384">
        <v>0</v>
      </c>
    </row>
    <row r="243" spans="1:30">
      <c r="A243" s="21" t="s">
        <v>405</v>
      </c>
      <c r="B243" s="21" t="s">
        <v>406</v>
      </c>
      <c r="C243" s="23">
        <v>1216.73</v>
      </c>
      <c r="D243" s="147">
        <v>23.22</v>
      </c>
      <c r="E243" s="22">
        <v>304.77</v>
      </c>
      <c r="F243" s="22">
        <v>327.99</v>
      </c>
      <c r="G243" s="22">
        <v>0</v>
      </c>
      <c r="H243" s="22">
        <v>52.35</v>
      </c>
      <c r="I243" s="22">
        <v>4.5</v>
      </c>
      <c r="J243" s="22">
        <v>169.23000000000002</v>
      </c>
      <c r="K243" s="22">
        <v>29.6</v>
      </c>
      <c r="L243" s="22">
        <v>0</v>
      </c>
      <c r="M243" s="388">
        <v>4285.75</v>
      </c>
      <c r="N243" s="25">
        <v>0.51629999999999998</v>
      </c>
      <c r="O243" s="24">
        <v>2163</v>
      </c>
      <c r="P243" s="24">
        <v>338.75</v>
      </c>
      <c r="Q243" s="24">
        <v>221</v>
      </c>
      <c r="R243" s="22">
        <v>117.75</v>
      </c>
      <c r="S243" s="24">
        <v>43.25</v>
      </c>
      <c r="T243" s="24">
        <f t="shared" si="12"/>
        <v>382</v>
      </c>
      <c r="U243" s="376">
        <v>2212.73</v>
      </c>
      <c r="V243" s="376">
        <v>214.29</v>
      </c>
      <c r="W243" s="22">
        <f t="shared" si="13"/>
        <v>1142.432499</v>
      </c>
      <c r="X243" s="22">
        <f t="shared" si="14"/>
        <v>749.25</v>
      </c>
      <c r="Y243" s="22">
        <v>521.5</v>
      </c>
      <c r="Z243" s="22">
        <v>227.75</v>
      </c>
      <c r="AA243" s="371">
        <v>4341.6899999999996</v>
      </c>
      <c r="AB243" s="22">
        <v>0.17257104952219068</v>
      </c>
      <c r="AC243" s="24">
        <v>3.7571049522190675E-2</v>
      </c>
      <c r="AD243" s="384">
        <v>-1549225.6523850614</v>
      </c>
    </row>
    <row r="244" spans="1:30">
      <c r="A244" s="21" t="s">
        <v>589</v>
      </c>
      <c r="B244" s="21" t="s">
        <v>590</v>
      </c>
      <c r="C244" s="23">
        <v>1046.23</v>
      </c>
      <c r="D244" s="147">
        <v>22.18</v>
      </c>
      <c r="E244" s="22">
        <v>371.88</v>
      </c>
      <c r="F244" s="22">
        <v>394.06</v>
      </c>
      <c r="G244" s="22">
        <v>0</v>
      </c>
      <c r="H244" s="22">
        <v>34.54</v>
      </c>
      <c r="I244" s="22">
        <v>2.69</v>
      </c>
      <c r="J244" s="22">
        <v>98.5</v>
      </c>
      <c r="K244" s="22">
        <v>11.8</v>
      </c>
      <c r="L244" s="22">
        <v>0</v>
      </c>
      <c r="M244" s="388">
        <v>3618.7400000000002</v>
      </c>
      <c r="N244" s="25">
        <v>0.55589999999999995</v>
      </c>
      <c r="O244" s="24">
        <v>2472</v>
      </c>
      <c r="P244" s="24">
        <v>333.5</v>
      </c>
      <c r="Q244" s="24">
        <v>233.25</v>
      </c>
      <c r="R244" s="22">
        <v>100.25</v>
      </c>
      <c r="S244" s="24">
        <v>48</v>
      </c>
      <c r="T244" s="24">
        <f t="shared" si="12"/>
        <v>381.5</v>
      </c>
      <c r="U244" s="376">
        <v>2009.49</v>
      </c>
      <c r="V244" s="376">
        <v>180.94</v>
      </c>
      <c r="W244" s="22">
        <f t="shared" si="13"/>
        <v>1117.0754909999998</v>
      </c>
      <c r="X244" s="22">
        <f t="shared" si="14"/>
        <v>437.5</v>
      </c>
      <c r="Y244" s="22">
        <v>373.5</v>
      </c>
      <c r="Z244" s="22">
        <v>64</v>
      </c>
      <c r="AA244" s="371">
        <v>3654.15</v>
      </c>
      <c r="AB244" s="22">
        <v>0.11972688586949085</v>
      </c>
      <c r="AC244" s="24">
        <v>0</v>
      </c>
      <c r="AD244" s="384">
        <v>0</v>
      </c>
    </row>
    <row r="245" spans="1:30">
      <c r="A245" s="21" t="s">
        <v>359</v>
      </c>
      <c r="B245" s="21" t="s">
        <v>360</v>
      </c>
      <c r="C245" s="23">
        <v>76.25</v>
      </c>
      <c r="D245" s="147">
        <v>5.86</v>
      </c>
      <c r="E245" s="22">
        <v>12.2</v>
      </c>
      <c r="F245" s="22">
        <v>18.059999999999999</v>
      </c>
      <c r="G245" s="22">
        <v>0</v>
      </c>
      <c r="H245" s="22">
        <v>4.66</v>
      </c>
      <c r="I245" s="22">
        <v>0.2</v>
      </c>
      <c r="J245" s="22">
        <v>0</v>
      </c>
      <c r="K245" s="22">
        <v>0</v>
      </c>
      <c r="L245" s="22">
        <v>0</v>
      </c>
      <c r="M245" s="388">
        <v>234.57</v>
      </c>
      <c r="N245" s="25">
        <v>0.58299999999999996</v>
      </c>
      <c r="O245" s="24">
        <v>174</v>
      </c>
      <c r="P245" s="24">
        <v>0</v>
      </c>
      <c r="Q245" s="24">
        <v>0</v>
      </c>
      <c r="R245" s="22">
        <v>0</v>
      </c>
      <c r="S245" s="24">
        <v>0</v>
      </c>
      <c r="T245" s="24">
        <f t="shared" si="12"/>
        <v>0</v>
      </c>
      <c r="U245" s="376">
        <v>136.75</v>
      </c>
      <c r="V245" s="376">
        <v>0</v>
      </c>
      <c r="W245" s="22">
        <f t="shared" si="13"/>
        <v>79.725249999999988</v>
      </c>
      <c r="X245" s="22">
        <f t="shared" si="14"/>
        <v>44.25</v>
      </c>
      <c r="Y245" s="22">
        <v>28.75</v>
      </c>
      <c r="Z245" s="22">
        <v>15.5</v>
      </c>
      <c r="AA245" s="371">
        <v>234.57</v>
      </c>
      <c r="AB245" s="22">
        <v>0.18864304898324594</v>
      </c>
      <c r="AC245" s="24">
        <v>5.3643048983245928E-2</v>
      </c>
      <c r="AD245" s="384">
        <v>-110872.68802361521</v>
      </c>
    </row>
    <row r="246" spans="1:30">
      <c r="A246" s="21" t="s">
        <v>47</v>
      </c>
      <c r="B246" s="21" t="s">
        <v>48</v>
      </c>
      <c r="C246" s="23">
        <v>656.46</v>
      </c>
      <c r="D246" s="147">
        <v>11.93</v>
      </c>
      <c r="E246" s="22">
        <v>212.51</v>
      </c>
      <c r="F246" s="22">
        <v>224.44</v>
      </c>
      <c r="G246" s="22">
        <v>0</v>
      </c>
      <c r="H246" s="22">
        <v>56.32</v>
      </c>
      <c r="I246" s="22">
        <v>7.55</v>
      </c>
      <c r="J246" s="22">
        <v>219.85</v>
      </c>
      <c r="K246" s="22">
        <v>0</v>
      </c>
      <c r="L246" s="22">
        <v>0</v>
      </c>
      <c r="M246" s="388">
        <v>2549.2000000000003</v>
      </c>
      <c r="N246" s="25">
        <v>0.44390000000000002</v>
      </c>
      <c r="O246" s="24">
        <v>0</v>
      </c>
      <c r="P246" s="24">
        <v>47.5</v>
      </c>
      <c r="Q246" s="24">
        <v>34.75</v>
      </c>
      <c r="R246" s="22">
        <v>12.75</v>
      </c>
      <c r="S246" s="24">
        <v>12</v>
      </c>
      <c r="T246" s="24">
        <f t="shared" si="12"/>
        <v>59.5</v>
      </c>
      <c r="U246" s="376">
        <v>1132.0999999999999</v>
      </c>
      <c r="V246" s="376">
        <v>127.46</v>
      </c>
      <c r="W246" s="22">
        <f t="shared" si="13"/>
        <v>502.53918999999996</v>
      </c>
      <c r="X246" s="22">
        <f t="shared" si="14"/>
        <v>394.25</v>
      </c>
      <c r="Y246" s="22">
        <v>345.25</v>
      </c>
      <c r="Z246" s="22">
        <v>49</v>
      </c>
      <c r="AA246" s="371">
        <v>2549.21</v>
      </c>
      <c r="AB246" s="22">
        <v>0.1546557560969869</v>
      </c>
      <c r="AC246" s="24">
        <v>1.9655756096986887E-2</v>
      </c>
      <c r="AD246" s="384">
        <v>-455394.53533692221</v>
      </c>
    </row>
    <row r="247" spans="1:30">
      <c r="A247" s="21" t="s">
        <v>393</v>
      </c>
      <c r="B247" s="21" t="s">
        <v>394</v>
      </c>
      <c r="C247" s="23">
        <v>5.8</v>
      </c>
      <c r="D247" s="147">
        <v>0</v>
      </c>
      <c r="E247" s="22">
        <v>0</v>
      </c>
      <c r="F247" s="22">
        <v>0</v>
      </c>
      <c r="G247" s="22">
        <v>0</v>
      </c>
      <c r="H247" s="22">
        <v>0</v>
      </c>
      <c r="I247" s="22">
        <v>0</v>
      </c>
      <c r="J247" s="22">
        <v>0</v>
      </c>
      <c r="K247" s="22">
        <v>0</v>
      </c>
      <c r="L247" s="22">
        <v>0</v>
      </c>
      <c r="M247" s="388">
        <v>9.8000000000000007</v>
      </c>
      <c r="N247" s="25">
        <v>0</v>
      </c>
      <c r="O247" s="24">
        <v>0</v>
      </c>
      <c r="P247" s="24">
        <v>0</v>
      </c>
      <c r="Q247" s="24">
        <v>0</v>
      </c>
      <c r="R247" s="22">
        <v>0</v>
      </c>
      <c r="S247" s="24">
        <v>0</v>
      </c>
      <c r="T247" s="24">
        <f t="shared" si="12"/>
        <v>0</v>
      </c>
      <c r="U247" s="376">
        <v>0</v>
      </c>
      <c r="V247" s="376">
        <v>0</v>
      </c>
      <c r="W247" s="22">
        <f t="shared" si="13"/>
        <v>0</v>
      </c>
      <c r="X247" s="22">
        <f t="shared" si="14"/>
        <v>0</v>
      </c>
      <c r="Y247" s="22">
        <v>0</v>
      </c>
      <c r="Z247" s="22">
        <v>0</v>
      </c>
      <c r="AA247" s="371">
        <v>9.8000000000000007</v>
      </c>
      <c r="AB247" s="22">
        <v>0</v>
      </c>
      <c r="AC247" s="24">
        <v>0</v>
      </c>
      <c r="AD247" s="384">
        <v>0</v>
      </c>
    </row>
    <row r="248" spans="1:30">
      <c r="A248" s="21" t="s">
        <v>317</v>
      </c>
      <c r="B248" s="21" t="s">
        <v>318</v>
      </c>
      <c r="C248" s="23">
        <v>1090.6400000000001</v>
      </c>
      <c r="D248" s="147">
        <v>113.39</v>
      </c>
      <c r="E248" s="22">
        <v>674.94</v>
      </c>
      <c r="F248" s="22">
        <v>788.33</v>
      </c>
      <c r="G248" s="22">
        <v>0</v>
      </c>
      <c r="H248" s="22">
        <v>51.95</v>
      </c>
      <c r="I248" s="22">
        <v>4.6900000000000004</v>
      </c>
      <c r="J248" s="22">
        <v>151.6</v>
      </c>
      <c r="K248" s="22">
        <v>42</v>
      </c>
      <c r="L248" s="22">
        <v>0</v>
      </c>
      <c r="M248" s="388">
        <v>4278.8799999999992</v>
      </c>
      <c r="N248" s="25">
        <v>0.6734</v>
      </c>
      <c r="O248" s="24">
        <v>4307</v>
      </c>
      <c r="P248" s="24">
        <v>909.25</v>
      </c>
      <c r="Q248" s="24">
        <v>594.25</v>
      </c>
      <c r="R248" s="22">
        <v>315</v>
      </c>
      <c r="S248" s="24">
        <v>46.75</v>
      </c>
      <c r="T248" s="24">
        <f t="shared" si="12"/>
        <v>956</v>
      </c>
      <c r="U248" s="376">
        <v>2881.4</v>
      </c>
      <c r="V248" s="376">
        <v>213.94</v>
      </c>
      <c r="W248" s="22">
        <f t="shared" si="13"/>
        <v>1940.33476</v>
      </c>
      <c r="X248" s="22">
        <f t="shared" si="14"/>
        <v>554.75</v>
      </c>
      <c r="Y248" s="22">
        <v>424.5</v>
      </c>
      <c r="Z248" s="22">
        <v>130.25</v>
      </c>
      <c r="AA248" s="371">
        <v>4294.49</v>
      </c>
      <c r="AB248" s="22">
        <v>0.1291771549124576</v>
      </c>
      <c r="AC248" s="24">
        <v>0</v>
      </c>
      <c r="AD248" s="384">
        <v>0</v>
      </c>
    </row>
    <row r="249" spans="1:30">
      <c r="A249" s="21" t="s">
        <v>213</v>
      </c>
      <c r="B249" s="21" t="s">
        <v>214</v>
      </c>
      <c r="C249" s="23">
        <v>2544.88</v>
      </c>
      <c r="D249" s="147">
        <v>34.69</v>
      </c>
      <c r="E249" s="22">
        <v>407.12</v>
      </c>
      <c r="F249" s="22">
        <v>441.81</v>
      </c>
      <c r="G249" s="22">
        <v>0</v>
      </c>
      <c r="H249" s="22">
        <v>193.24</v>
      </c>
      <c r="I249" s="22">
        <v>7.61</v>
      </c>
      <c r="J249" s="22">
        <v>113.21</v>
      </c>
      <c r="K249" s="22">
        <v>0</v>
      </c>
      <c r="L249" s="22">
        <v>0</v>
      </c>
      <c r="M249" s="388">
        <v>9090.7899999999991</v>
      </c>
      <c r="N249" s="25">
        <v>0.2676</v>
      </c>
      <c r="O249" s="24">
        <v>0</v>
      </c>
      <c r="P249" s="24">
        <v>838.5</v>
      </c>
      <c r="Q249" s="24">
        <v>599.5</v>
      </c>
      <c r="R249" s="22">
        <v>239</v>
      </c>
      <c r="S249" s="24">
        <v>201</v>
      </c>
      <c r="T249" s="24">
        <f t="shared" si="12"/>
        <v>1039.5</v>
      </c>
      <c r="U249" s="376">
        <v>2432.6999999999998</v>
      </c>
      <c r="V249" s="376">
        <v>454.54</v>
      </c>
      <c r="W249" s="22">
        <f t="shared" si="13"/>
        <v>650.99051999999995</v>
      </c>
      <c r="X249" s="22">
        <f t="shared" si="14"/>
        <v>1033.5</v>
      </c>
      <c r="Y249" s="22">
        <v>713</v>
      </c>
      <c r="Z249" s="22">
        <v>320.5</v>
      </c>
      <c r="AA249" s="371">
        <v>9103.58</v>
      </c>
      <c r="AB249" s="22">
        <v>0.11352676639300144</v>
      </c>
      <c r="AC249" s="24">
        <v>0</v>
      </c>
      <c r="AD249" s="384">
        <v>0</v>
      </c>
    </row>
    <row r="250" spans="1:30">
      <c r="A250" s="21" t="s">
        <v>415</v>
      </c>
      <c r="B250" s="21" t="s">
        <v>416</v>
      </c>
      <c r="C250" s="23">
        <v>39.799999999999997</v>
      </c>
      <c r="D250" s="147">
        <v>0</v>
      </c>
      <c r="E250" s="22">
        <v>0</v>
      </c>
      <c r="F250" s="22">
        <v>0</v>
      </c>
      <c r="G250" s="22">
        <v>0</v>
      </c>
      <c r="H250" s="22">
        <v>0</v>
      </c>
      <c r="I250" s="22">
        <v>0</v>
      </c>
      <c r="J250" s="22">
        <v>0</v>
      </c>
      <c r="K250" s="22">
        <v>0</v>
      </c>
      <c r="L250" s="22">
        <v>0</v>
      </c>
      <c r="M250" s="388">
        <v>65.199999999999989</v>
      </c>
      <c r="N250" s="25">
        <v>0.66269999999999996</v>
      </c>
      <c r="O250" s="24">
        <v>70</v>
      </c>
      <c r="P250" s="24">
        <v>0</v>
      </c>
      <c r="Q250" s="24">
        <v>0</v>
      </c>
      <c r="R250" s="22">
        <v>0</v>
      </c>
      <c r="S250" s="24">
        <v>0</v>
      </c>
      <c r="T250" s="24">
        <f t="shared" si="12"/>
        <v>0</v>
      </c>
      <c r="U250" s="376">
        <v>43.21</v>
      </c>
      <c r="V250" s="376">
        <v>0</v>
      </c>
      <c r="W250" s="22">
        <f t="shared" si="13"/>
        <v>28.635266999999999</v>
      </c>
      <c r="X250" s="22">
        <f t="shared" si="14"/>
        <v>9</v>
      </c>
      <c r="Y250" s="22">
        <v>9</v>
      </c>
      <c r="Z250" s="22">
        <v>0</v>
      </c>
      <c r="AA250" s="371">
        <v>65.2</v>
      </c>
      <c r="AB250" s="22">
        <v>0.1380368098159509</v>
      </c>
      <c r="AC250" s="24">
        <v>3.0368098159508916E-3</v>
      </c>
      <c r="AD250" s="384">
        <v>-1879.1655701715804</v>
      </c>
    </row>
    <row r="251" spans="1:30">
      <c r="A251" s="21" t="s">
        <v>197</v>
      </c>
      <c r="B251" s="21" t="s">
        <v>198</v>
      </c>
      <c r="C251" s="23">
        <v>9.6</v>
      </c>
      <c r="D251" s="147">
        <v>0</v>
      </c>
      <c r="E251" s="22">
        <v>0</v>
      </c>
      <c r="F251" s="22">
        <v>0</v>
      </c>
      <c r="G251" s="22">
        <v>0</v>
      </c>
      <c r="H251" s="22">
        <v>1</v>
      </c>
      <c r="I251" s="22">
        <v>0</v>
      </c>
      <c r="J251" s="22">
        <v>0</v>
      </c>
      <c r="K251" s="22">
        <v>0</v>
      </c>
      <c r="L251" s="22">
        <v>0</v>
      </c>
      <c r="M251" s="388">
        <v>36.19</v>
      </c>
      <c r="N251" s="25">
        <v>0.87760000000000005</v>
      </c>
      <c r="O251" s="24">
        <v>38</v>
      </c>
      <c r="P251" s="24">
        <v>1</v>
      </c>
      <c r="Q251" s="24">
        <v>1</v>
      </c>
      <c r="R251" s="22">
        <v>0</v>
      </c>
      <c r="S251" s="24">
        <v>0</v>
      </c>
      <c r="T251" s="24">
        <f t="shared" si="12"/>
        <v>1</v>
      </c>
      <c r="U251" s="376">
        <v>31.76</v>
      </c>
      <c r="V251" s="376">
        <v>0</v>
      </c>
      <c r="W251" s="22">
        <f t="shared" si="13"/>
        <v>27.872576000000002</v>
      </c>
      <c r="X251" s="22">
        <f t="shared" si="14"/>
        <v>12.5</v>
      </c>
      <c r="Y251" s="22">
        <v>12.5</v>
      </c>
      <c r="Z251" s="22">
        <v>0</v>
      </c>
      <c r="AA251" s="371">
        <v>36.19</v>
      </c>
      <c r="AB251" s="22">
        <v>0.34539928156949434</v>
      </c>
      <c r="AC251" s="24">
        <v>0.21039928156949433</v>
      </c>
      <c r="AD251" s="384">
        <v>-75105.338673735096</v>
      </c>
    </row>
    <row r="252" spans="1:30">
      <c r="A252" s="21" t="s">
        <v>439</v>
      </c>
      <c r="B252" s="21" t="s">
        <v>440</v>
      </c>
      <c r="C252" s="23">
        <v>2532.9</v>
      </c>
      <c r="D252" s="147">
        <v>126.33</v>
      </c>
      <c r="E252" s="22">
        <v>411.38</v>
      </c>
      <c r="F252" s="22">
        <v>537.71</v>
      </c>
      <c r="G252" s="22">
        <v>0</v>
      </c>
      <c r="H252" s="22">
        <v>187.71</v>
      </c>
      <c r="I252" s="22">
        <v>13.25</v>
      </c>
      <c r="J252" s="22">
        <v>212.76</v>
      </c>
      <c r="K252" s="22">
        <v>0</v>
      </c>
      <c r="L252" s="22">
        <v>0</v>
      </c>
      <c r="M252" s="388">
        <v>9255.779999999997</v>
      </c>
      <c r="N252" s="25">
        <v>0.19320000000000001</v>
      </c>
      <c r="O252" s="24">
        <v>0</v>
      </c>
      <c r="P252" s="24">
        <v>363.75</v>
      </c>
      <c r="Q252" s="24">
        <v>260.75</v>
      </c>
      <c r="R252" s="22">
        <v>103</v>
      </c>
      <c r="S252" s="24">
        <v>150.75</v>
      </c>
      <c r="T252" s="24">
        <f t="shared" si="12"/>
        <v>514.5</v>
      </c>
      <c r="U252" s="376">
        <v>1789.14</v>
      </c>
      <c r="V252" s="376">
        <v>462.79</v>
      </c>
      <c r="W252" s="22">
        <f t="shared" si="13"/>
        <v>345.66184800000002</v>
      </c>
      <c r="X252" s="22">
        <f t="shared" si="14"/>
        <v>1112.25</v>
      </c>
      <c r="Y252" s="22">
        <v>680.25</v>
      </c>
      <c r="Z252" s="22">
        <v>432</v>
      </c>
      <c r="AA252" s="371">
        <v>9338.4500000000007</v>
      </c>
      <c r="AB252" s="22">
        <v>0.11910434815199523</v>
      </c>
      <c r="AC252" s="24">
        <v>0</v>
      </c>
      <c r="AD252" s="384">
        <v>0</v>
      </c>
    </row>
    <row r="253" spans="1:30">
      <c r="A253" s="21" t="s">
        <v>209</v>
      </c>
      <c r="B253" s="21" t="s">
        <v>210</v>
      </c>
      <c r="C253" s="23">
        <v>2065.1</v>
      </c>
      <c r="D253" s="147">
        <v>71.22</v>
      </c>
      <c r="E253" s="22">
        <v>378.43</v>
      </c>
      <c r="F253" s="22">
        <v>449.65</v>
      </c>
      <c r="G253" s="22">
        <v>0</v>
      </c>
      <c r="H253" s="22">
        <v>208.36</v>
      </c>
      <c r="I253" s="22">
        <v>21.38</v>
      </c>
      <c r="J253" s="22">
        <v>250.78</v>
      </c>
      <c r="K253" s="22">
        <v>16.399999999999999</v>
      </c>
      <c r="L253" s="22">
        <v>0</v>
      </c>
      <c r="M253" s="388">
        <v>7096.079999999999</v>
      </c>
      <c r="N253" s="25">
        <v>0.10589999999999999</v>
      </c>
      <c r="O253" s="24">
        <v>0</v>
      </c>
      <c r="P253" s="24">
        <v>255</v>
      </c>
      <c r="Q253" s="24">
        <v>185.75</v>
      </c>
      <c r="R253" s="22">
        <v>69.25</v>
      </c>
      <c r="S253" s="24">
        <v>99.5</v>
      </c>
      <c r="T253" s="24">
        <f t="shared" si="12"/>
        <v>354.5</v>
      </c>
      <c r="U253" s="376">
        <v>752.18</v>
      </c>
      <c r="V253" s="376">
        <v>354.8</v>
      </c>
      <c r="W253" s="22">
        <f t="shared" si="13"/>
        <v>79.655861999999985</v>
      </c>
      <c r="X253" s="22">
        <f t="shared" si="14"/>
        <v>660.25</v>
      </c>
      <c r="Y253" s="22">
        <v>424.5</v>
      </c>
      <c r="Z253" s="22">
        <v>235.75</v>
      </c>
      <c r="AA253" s="371">
        <v>7136.8</v>
      </c>
      <c r="AB253" s="22">
        <v>9.2513451406792957E-2</v>
      </c>
      <c r="AC253" s="24">
        <v>0</v>
      </c>
      <c r="AD253" s="384">
        <v>0</v>
      </c>
    </row>
    <row r="254" spans="1:30">
      <c r="A254" s="21" t="s">
        <v>129</v>
      </c>
      <c r="B254" s="21" t="s">
        <v>130</v>
      </c>
      <c r="C254" s="23">
        <v>159.49</v>
      </c>
      <c r="D254" s="147">
        <v>1.1399999999999999</v>
      </c>
      <c r="E254" s="22">
        <v>26.59</v>
      </c>
      <c r="F254" s="22">
        <v>27.73</v>
      </c>
      <c r="G254" s="22">
        <v>0</v>
      </c>
      <c r="H254" s="22">
        <v>18.27</v>
      </c>
      <c r="I254" s="22">
        <v>1.35</v>
      </c>
      <c r="J254" s="22">
        <v>25.42</v>
      </c>
      <c r="K254" s="22">
        <v>0</v>
      </c>
      <c r="L254" s="22">
        <v>0</v>
      </c>
      <c r="M254" s="388">
        <v>553.48</v>
      </c>
      <c r="N254" s="25">
        <v>0.79569999999999996</v>
      </c>
      <c r="O254" s="24">
        <v>553</v>
      </c>
      <c r="P254" s="24">
        <v>92.5</v>
      </c>
      <c r="Q254" s="24">
        <v>54.75</v>
      </c>
      <c r="R254" s="22">
        <v>37.75</v>
      </c>
      <c r="S254" s="24">
        <v>28</v>
      </c>
      <c r="T254" s="24">
        <f t="shared" si="12"/>
        <v>120.5</v>
      </c>
      <c r="U254" s="376">
        <v>440.4</v>
      </c>
      <c r="V254" s="376">
        <v>27.67</v>
      </c>
      <c r="W254" s="22">
        <f t="shared" si="13"/>
        <v>350.42627999999996</v>
      </c>
      <c r="X254" s="22">
        <f t="shared" si="14"/>
        <v>105</v>
      </c>
      <c r="Y254" s="22">
        <v>90</v>
      </c>
      <c r="Z254" s="22">
        <v>15</v>
      </c>
      <c r="AA254" s="371">
        <v>556.11</v>
      </c>
      <c r="AB254" s="22">
        <v>0.18881156605707503</v>
      </c>
      <c r="AC254" s="24">
        <v>5.3811566057075017E-2</v>
      </c>
      <c r="AD254" s="384">
        <v>-262719.61345625314</v>
      </c>
    </row>
    <row r="255" spans="1:30">
      <c r="A255" s="21" t="s">
        <v>347</v>
      </c>
      <c r="B255" s="21" t="s">
        <v>348</v>
      </c>
      <c r="C255" s="23">
        <v>161.9</v>
      </c>
      <c r="D255" s="147">
        <v>5.98</v>
      </c>
      <c r="E255" s="22">
        <v>36.42</v>
      </c>
      <c r="F255" s="22">
        <v>42.400000000000006</v>
      </c>
      <c r="G255" s="22">
        <v>0</v>
      </c>
      <c r="H255" s="22">
        <v>14.34</v>
      </c>
      <c r="I255" s="22">
        <v>0.17</v>
      </c>
      <c r="J255" s="22">
        <v>34.730000000000004</v>
      </c>
      <c r="K255" s="22">
        <v>0</v>
      </c>
      <c r="L255" s="22">
        <v>0</v>
      </c>
      <c r="M255" s="388">
        <v>551.57000000000005</v>
      </c>
      <c r="N255" s="25">
        <v>0.70199999999999996</v>
      </c>
      <c r="O255" s="24">
        <v>522</v>
      </c>
      <c r="P255" s="24">
        <v>87.25</v>
      </c>
      <c r="Q255" s="24">
        <v>51.5</v>
      </c>
      <c r="R255" s="22">
        <v>35.75</v>
      </c>
      <c r="S255" s="24">
        <v>9.25</v>
      </c>
      <c r="T255" s="24">
        <f t="shared" si="12"/>
        <v>96.5</v>
      </c>
      <c r="U255" s="376">
        <v>387.59</v>
      </c>
      <c r="V255" s="376">
        <v>0</v>
      </c>
      <c r="W255" s="22">
        <f t="shared" si="13"/>
        <v>272.08817999999997</v>
      </c>
      <c r="X255" s="22">
        <f t="shared" si="14"/>
        <v>75.25</v>
      </c>
      <c r="Y255" s="22">
        <v>26</v>
      </c>
      <c r="Z255" s="22">
        <v>49.25</v>
      </c>
      <c r="AA255" s="371">
        <v>552.07000000000005</v>
      </c>
      <c r="AB255" s="22">
        <v>0.136305178691108</v>
      </c>
      <c r="AC255" s="24">
        <v>1.3051786911079943E-3</v>
      </c>
      <c r="AD255" s="384">
        <v>-6294.3695551047549</v>
      </c>
    </row>
    <row r="256" spans="1:30">
      <c r="A256" s="21" t="s">
        <v>235</v>
      </c>
      <c r="B256" s="21" t="s">
        <v>236</v>
      </c>
      <c r="C256" s="23">
        <v>2668.21</v>
      </c>
      <c r="D256" s="147">
        <v>253.12</v>
      </c>
      <c r="E256" s="22">
        <v>627.89</v>
      </c>
      <c r="F256" s="22">
        <v>881.01</v>
      </c>
      <c r="G256" s="22">
        <v>0</v>
      </c>
      <c r="H256" s="22">
        <v>216.24</v>
      </c>
      <c r="I256" s="22">
        <v>9.8800000000000008</v>
      </c>
      <c r="J256" s="22">
        <v>1336.1599999999999</v>
      </c>
      <c r="K256" s="22">
        <v>0</v>
      </c>
      <c r="L256" s="22">
        <v>0</v>
      </c>
      <c r="M256" s="388">
        <v>9656.5999999999985</v>
      </c>
      <c r="N256" s="25">
        <v>0.37280000000000002</v>
      </c>
      <c r="O256" s="24">
        <v>630</v>
      </c>
      <c r="P256" s="24">
        <v>238.75</v>
      </c>
      <c r="Q256" s="24">
        <v>147.75</v>
      </c>
      <c r="R256" s="22">
        <v>91</v>
      </c>
      <c r="S256" s="24">
        <v>34</v>
      </c>
      <c r="T256" s="24">
        <f t="shared" si="12"/>
        <v>272.75</v>
      </c>
      <c r="U256" s="376">
        <v>3599.98</v>
      </c>
      <c r="V256" s="376">
        <v>482.83</v>
      </c>
      <c r="W256" s="22">
        <f t="shared" si="13"/>
        <v>1342.0725440000001</v>
      </c>
      <c r="X256" s="22">
        <f t="shared" si="14"/>
        <v>1394</v>
      </c>
      <c r="Y256" s="22">
        <v>868</v>
      </c>
      <c r="Z256" s="22">
        <v>526</v>
      </c>
      <c r="AA256" s="371">
        <v>9722.91</v>
      </c>
      <c r="AB256" s="22">
        <v>0.14337271454739373</v>
      </c>
      <c r="AC256" s="24">
        <v>8.372714547393717E-3</v>
      </c>
      <c r="AD256" s="384">
        <v>-803132.92199701979</v>
      </c>
    </row>
    <row r="257" spans="1:30">
      <c r="A257" s="21" t="s">
        <v>171</v>
      </c>
      <c r="B257" s="21" t="s">
        <v>172</v>
      </c>
      <c r="C257" s="23">
        <v>272.10000000000002</v>
      </c>
      <c r="D257" s="147">
        <v>0</v>
      </c>
      <c r="E257" s="22">
        <v>59.42</v>
      </c>
      <c r="F257" s="22">
        <v>59.42</v>
      </c>
      <c r="G257" s="22">
        <v>0</v>
      </c>
      <c r="H257" s="22">
        <v>25.89</v>
      </c>
      <c r="I257" s="22">
        <v>1.92</v>
      </c>
      <c r="J257" s="22">
        <v>74.14</v>
      </c>
      <c r="K257" s="22">
        <v>0</v>
      </c>
      <c r="L257" s="22">
        <v>0</v>
      </c>
      <c r="M257" s="388">
        <v>1185.5800000000002</v>
      </c>
      <c r="N257" s="25">
        <v>0.29339999999999999</v>
      </c>
      <c r="O257" s="24">
        <v>44</v>
      </c>
      <c r="P257" s="24">
        <v>3.25</v>
      </c>
      <c r="Q257" s="24">
        <v>2.5</v>
      </c>
      <c r="R257" s="22">
        <v>0.75</v>
      </c>
      <c r="S257" s="24">
        <v>3</v>
      </c>
      <c r="T257" s="24">
        <f t="shared" si="12"/>
        <v>6.25</v>
      </c>
      <c r="U257" s="376">
        <v>347.85</v>
      </c>
      <c r="V257" s="376">
        <v>59.28</v>
      </c>
      <c r="W257" s="22">
        <f t="shared" si="13"/>
        <v>102.05919</v>
      </c>
      <c r="X257" s="22">
        <f t="shared" si="14"/>
        <v>176</v>
      </c>
      <c r="Y257" s="22">
        <v>119.5</v>
      </c>
      <c r="Z257" s="22">
        <v>56.5</v>
      </c>
      <c r="AA257" s="371">
        <v>1196.56</v>
      </c>
      <c r="AB257" s="22">
        <v>0.14708831985023735</v>
      </c>
      <c r="AC257" s="24">
        <v>1.2088319850237339E-2</v>
      </c>
      <c r="AD257" s="384">
        <v>-145515.3869197797</v>
      </c>
    </row>
    <row r="258" spans="1:30">
      <c r="A258" s="21" t="s">
        <v>313</v>
      </c>
      <c r="B258" s="21" t="s">
        <v>314</v>
      </c>
      <c r="C258" s="23">
        <v>105</v>
      </c>
      <c r="D258" s="147">
        <v>0</v>
      </c>
      <c r="E258" s="22">
        <v>0</v>
      </c>
      <c r="F258" s="22">
        <v>0</v>
      </c>
      <c r="G258" s="22">
        <v>0</v>
      </c>
      <c r="H258" s="22">
        <v>0</v>
      </c>
      <c r="I258" s="22">
        <v>0</v>
      </c>
      <c r="J258" s="22">
        <v>0</v>
      </c>
      <c r="K258" s="22">
        <v>0</v>
      </c>
      <c r="L258" s="22">
        <v>0</v>
      </c>
      <c r="M258" s="388">
        <v>199.79999999999998</v>
      </c>
      <c r="N258" s="25">
        <v>0.44290000000000002</v>
      </c>
      <c r="O258" s="24">
        <v>0</v>
      </c>
      <c r="P258" s="24">
        <v>0</v>
      </c>
      <c r="Q258" s="24">
        <v>0</v>
      </c>
      <c r="R258" s="22">
        <v>0</v>
      </c>
      <c r="S258" s="24">
        <v>0</v>
      </c>
      <c r="T258" s="24">
        <f t="shared" si="12"/>
        <v>0</v>
      </c>
      <c r="U258" s="376">
        <v>88.49</v>
      </c>
      <c r="V258" s="376">
        <v>9.99</v>
      </c>
      <c r="W258" s="22">
        <f t="shared" si="13"/>
        <v>39.192220999999996</v>
      </c>
      <c r="X258" s="22">
        <f t="shared" si="14"/>
        <v>31.75</v>
      </c>
      <c r="Y258" s="22">
        <v>24.25</v>
      </c>
      <c r="Z258" s="22">
        <v>7.5</v>
      </c>
      <c r="AA258" s="371">
        <v>199.8</v>
      </c>
      <c r="AB258" s="22">
        <v>0.15890890890890891</v>
      </c>
      <c r="AC258" s="24">
        <v>2.3908908908908899E-2</v>
      </c>
      <c r="AD258" s="384">
        <v>-44135.424139658273</v>
      </c>
    </row>
    <row r="259" spans="1:30">
      <c r="A259" s="21" t="s">
        <v>479</v>
      </c>
      <c r="B259" s="21" t="s">
        <v>480</v>
      </c>
      <c r="C259" s="23">
        <v>351.8</v>
      </c>
      <c r="D259" s="147">
        <v>0</v>
      </c>
      <c r="E259" s="22">
        <v>0</v>
      </c>
      <c r="F259" s="22">
        <v>0</v>
      </c>
      <c r="G259" s="22">
        <v>0</v>
      </c>
      <c r="H259" s="22">
        <v>0</v>
      </c>
      <c r="I259" s="22">
        <v>0</v>
      </c>
      <c r="J259" s="22">
        <v>0</v>
      </c>
      <c r="K259" s="22">
        <v>0</v>
      </c>
      <c r="L259" s="22">
        <v>0</v>
      </c>
      <c r="M259" s="388">
        <v>678.2</v>
      </c>
      <c r="N259" s="25">
        <v>0.50660000000000005</v>
      </c>
      <c r="O259" s="24">
        <v>0</v>
      </c>
      <c r="P259" s="24">
        <v>16.75</v>
      </c>
      <c r="Q259" s="24">
        <v>15.5</v>
      </c>
      <c r="R259" s="22">
        <v>1.25</v>
      </c>
      <c r="S259" s="24">
        <v>2</v>
      </c>
      <c r="T259" s="24">
        <f t="shared" si="12"/>
        <v>18.75</v>
      </c>
      <c r="U259" s="376">
        <v>305.87</v>
      </c>
      <c r="V259" s="376">
        <v>33.909999999999997</v>
      </c>
      <c r="W259" s="22">
        <f t="shared" si="13"/>
        <v>154.95374200000001</v>
      </c>
      <c r="X259" s="22">
        <f t="shared" si="14"/>
        <v>79.5</v>
      </c>
      <c r="Y259" s="22">
        <v>77</v>
      </c>
      <c r="Z259" s="22">
        <v>2.5</v>
      </c>
      <c r="AA259" s="371">
        <v>678.2</v>
      </c>
      <c r="AB259" s="22">
        <v>0.11722205838985549</v>
      </c>
      <c r="AC259" s="24">
        <v>0</v>
      </c>
      <c r="AD259" s="384">
        <v>0</v>
      </c>
    </row>
    <row r="260" spans="1:30">
      <c r="A260" s="21" t="s">
        <v>451</v>
      </c>
      <c r="B260" s="21" t="s">
        <v>452</v>
      </c>
      <c r="C260" s="23">
        <v>8454.7999999999993</v>
      </c>
      <c r="D260" s="147">
        <v>264.67</v>
      </c>
      <c r="E260" s="22">
        <v>1256.5999999999999</v>
      </c>
      <c r="F260" s="22">
        <v>1521.27</v>
      </c>
      <c r="G260" s="22">
        <v>388.81</v>
      </c>
      <c r="H260" s="22">
        <v>386.72</v>
      </c>
      <c r="I260" s="22">
        <v>13.65</v>
      </c>
      <c r="J260" s="22">
        <v>1322.87</v>
      </c>
      <c r="K260" s="22">
        <v>84.36</v>
      </c>
      <c r="L260" s="22">
        <v>0.61</v>
      </c>
      <c r="M260" s="388">
        <v>28363.690000000002</v>
      </c>
      <c r="N260" s="25">
        <v>0.59830000000000005</v>
      </c>
      <c r="O260" s="24">
        <v>18111</v>
      </c>
      <c r="P260" s="24">
        <v>1736</v>
      </c>
      <c r="Q260" s="24">
        <v>1104</v>
      </c>
      <c r="R260" s="22">
        <v>632</v>
      </c>
      <c r="S260" s="24">
        <v>313.25</v>
      </c>
      <c r="T260" s="24">
        <f t="shared" si="12"/>
        <v>2049.25</v>
      </c>
      <c r="U260" s="376">
        <v>16970</v>
      </c>
      <c r="V260" s="376">
        <v>0</v>
      </c>
      <c r="W260" s="22">
        <f t="shared" si="13"/>
        <v>10153.151000000002</v>
      </c>
      <c r="X260" s="22">
        <f t="shared" si="14"/>
        <v>4414.25</v>
      </c>
      <c r="Y260" s="22">
        <v>2939.5</v>
      </c>
      <c r="Z260" s="22">
        <v>1474.75</v>
      </c>
      <c r="AA260" s="371">
        <v>28158.11</v>
      </c>
      <c r="AB260" s="22">
        <v>0.15676655855098229</v>
      </c>
      <c r="AC260" s="24">
        <v>2.1766558550982279E-2</v>
      </c>
      <c r="AD260" s="384">
        <v>-5533935.7768779676</v>
      </c>
    </row>
    <row r="261" spans="1:30">
      <c r="A261" s="21" t="s">
        <v>297</v>
      </c>
      <c r="B261" s="21" t="s">
        <v>298</v>
      </c>
      <c r="C261" s="23">
        <v>27.2</v>
      </c>
      <c r="D261" s="147">
        <v>0</v>
      </c>
      <c r="E261" s="22">
        <v>8.51</v>
      </c>
      <c r="F261" s="22">
        <v>8.51</v>
      </c>
      <c r="G261" s="22">
        <v>0</v>
      </c>
      <c r="H261" s="22">
        <v>0</v>
      </c>
      <c r="I261" s="22">
        <v>0</v>
      </c>
      <c r="J261" s="22">
        <v>0</v>
      </c>
      <c r="K261" s="22">
        <v>0</v>
      </c>
      <c r="L261" s="22">
        <v>0</v>
      </c>
      <c r="M261" s="388">
        <v>71.599999999999994</v>
      </c>
      <c r="N261" s="25">
        <v>0.56410000000000005</v>
      </c>
      <c r="O261" s="24">
        <v>35</v>
      </c>
      <c r="P261" s="24">
        <v>0</v>
      </c>
      <c r="Q261" s="24">
        <v>0</v>
      </c>
      <c r="R261" s="22">
        <v>0</v>
      </c>
      <c r="S261" s="24">
        <v>0</v>
      </c>
      <c r="T261" s="24">
        <f t="shared" si="12"/>
        <v>0</v>
      </c>
      <c r="U261" s="376">
        <v>40.39</v>
      </c>
      <c r="V261" s="376">
        <v>3.58</v>
      </c>
      <c r="W261" s="22">
        <f t="shared" si="13"/>
        <v>22.783999000000001</v>
      </c>
      <c r="X261" s="22">
        <f t="shared" si="14"/>
        <v>13.5</v>
      </c>
      <c r="Y261" s="22">
        <v>12</v>
      </c>
      <c r="Z261" s="22">
        <v>1.5</v>
      </c>
      <c r="AA261" s="371">
        <v>71.599999999999994</v>
      </c>
      <c r="AB261" s="22">
        <v>0.18854748603351956</v>
      </c>
      <c r="AC261" s="24">
        <v>5.3547486033519553E-2</v>
      </c>
      <c r="AD261" s="384">
        <v>-34838.305811040002</v>
      </c>
    </row>
    <row r="262" spans="1:30">
      <c r="A262" s="21" t="s">
        <v>577</v>
      </c>
      <c r="B262" s="21" t="s">
        <v>578</v>
      </c>
      <c r="C262" s="23">
        <v>34.6</v>
      </c>
      <c r="D262" s="147">
        <v>0</v>
      </c>
      <c r="E262" s="22">
        <v>5.54</v>
      </c>
      <c r="F262" s="22">
        <v>5.54</v>
      </c>
      <c r="G262" s="22">
        <v>0</v>
      </c>
      <c r="H262" s="22">
        <v>3.39</v>
      </c>
      <c r="I262" s="22">
        <v>0</v>
      </c>
      <c r="J262" s="22">
        <v>0</v>
      </c>
      <c r="K262" s="22">
        <v>0</v>
      </c>
      <c r="L262" s="22">
        <v>0</v>
      </c>
      <c r="M262" s="388">
        <v>124.30999999999999</v>
      </c>
      <c r="N262" s="25">
        <v>0.4919</v>
      </c>
      <c r="O262" s="24">
        <v>66</v>
      </c>
      <c r="P262" s="24">
        <v>0</v>
      </c>
      <c r="Q262" s="24">
        <v>0</v>
      </c>
      <c r="R262" s="22">
        <v>0</v>
      </c>
      <c r="S262" s="24">
        <v>0</v>
      </c>
      <c r="T262" s="24">
        <f t="shared" si="12"/>
        <v>0</v>
      </c>
      <c r="U262" s="376">
        <v>61.15</v>
      </c>
      <c r="V262" s="376">
        <v>6.22</v>
      </c>
      <c r="W262" s="22">
        <f t="shared" si="13"/>
        <v>30.079684999999998</v>
      </c>
      <c r="X262" s="22">
        <f t="shared" si="14"/>
        <v>16.75</v>
      </c>
      <c r="Y262" s="22">
        <v>14.25</v>
      </c>
      <c r="Z262" s="22">
        <v>2.5</v>
      </c>
      <c r="AA262" s="371">
        <v>124.31</v>
      </c>
      <c r="AB262" s="22">
        <v>0.1347437856970477</v>
      </c>
      <c r="AC262" s="24">
        <v>0</v>
      </c>
      <c r="AD262" s="384">
        <v>0</v>
      </c>
    </row>
    <row r="263" spans="1:30">
      <c r="A263" s="21" t="s">
        <v>449</v>
      </c>
      <c r="B263" s="21" t="s">
        <v>450</v>
      </c>
      <c r="C263" s="23">
        <v>1327.22</v>
      </c>
      <c r="D263" s="147">
        <v>79.180000000000007</v>
      </c>
      <c r="E263" s="22">
        <v>337.19</v>
      </c>
      <c r="F263" s="22">
        <v>416.37</v>
      </c>
      <c r="G263" s="22">
        <v>0</v>
      </c>
      <c r="H263" s="22">
        <v>62.69</v>
      </c>
      <c r="I263" s="22">
        <v>3.43</v>
      </c>
      <c r="J263" s="22">
        <v>270.32</v>
      </c>
      <c r="K263" s="22">
        <v>6.6</v>
      </c>
      <c r="L263" s="22">
        <v>0</v>
      </c>
      <c r="M263" s="388">
        <v>4560.88</v>
      </c>
      <c r="N263" s="25">
        <v>0.29210000000000003</v>
      </c>
      <c r="O263" s="24">
        <v>17</v>
      </c>
      <c r="P263" s="24">
        <v>123.75</v>
      </c>
      <c r="Q263" s="24">
        <v>83.75</v>
      </c>
      <c r="R263" s="22">
        <v>40</v>
      </c>
      <c r="S263" s="24">
        <v>23</v>
      </c>
      <c r="T263" s="24">
        <f t="shared" si="12"/>
        <v>146.75</v>
      </c>
      <c r="U263" s="376">
        <v>1332.23</v>
      </c>
      <c r="V263" s="376">
        <v>228.04</v>
      </c>
      <c r="W263" s="22">
        <f t="shared" si="13"/>
        <v>389.14438300000006</v>
      </c>
      <c r="X263" s="22">
        <f t="shared" si="14"/>
        <v>625.5</v>
      </c>
      <c r="Y263" s="22">
        <v>357.75</v>
      </c>
      <c r="Z263" s="22">
        <v>267.75</v>
      </c>
      <c r="AA263" s="371">
        <v>4562.9399999999996</v>
      </c>
      <c r="AB263" s="22">
        <v>0.1370826703835685</v>
      </c>
      <c r="AC263" s="24">
        <v>2.0826703835684912E-3</v>
      </c>
      <c r="AD263" s="384">
        <v>-94624.942923005859</v>
      </c>
    </row>
    <row r="264" spans="1:30">
      <c r="A264" s="21" t="s">
        <v>115</v>
      </c>
      <c r="B264" s="21" t="s">
        <v>116</v>
      </c>
      <c r="C264" s="23">
        <v>9</v>
      </c>
      <c r="D264" s="147">
        <v>0</v>
      </c>
      <c r="E264" s="22">
        <v>0</v>
      </c>
      <c r="F264" s="22">
        <v>0</v>
      </c>
      <c r="G264" s="22">
        <v>0</v>
      </c>
      <c r="H264" s="22">
        <v>0</v>
      </c>
      <c r="I264" s="22">
        <v>0</v>
      </c>
      <c r="J264" s="22">
        <v>0</v>
      </c>
      <c r="K264" s="22">
        <v>0</v>
      </c>
      <c r="L264" s="22">
        <v>0</v>
      </c>
      <c r="M264" s="388">
        <v>13</v>
      </c>
      <c r="N264" s="25">
        <v>0</v>
      </c>
      <c r="O264" s="24">
        <v>0</v>
      </c>
      <c r="P264" s="24">
        <v>0</v>
      </c>
      <c r="Q264" s="24">
        <v>0</v>
      </c>
      <c r="R264" s="22">
        <v>0</v>
      </c>
      <c r="S264" s="24">
        <v>0</v>
      </c>
      <c r="T264" s="24">
        <f t="shared" si="12"/>
        <v>0</v>
      </c>
      <c r="U264" s="376">
        <v>0</v>
      </c>
      <c r="V264" s="376">
        <v>0</v>
      </c>
      <c r="W264" s="22">
        <f t="shared" si="13"/>
        <v>0</v>
      </c>
      <c r="X264" s="22">
        <f t="shared" si="14"/>
        <v>0</v>
      </c>
      <c r="Y264" s="22">
        <v>0</v>
      </c>
      <c r="Z264" s="22">
        <v>0</v>
      </c>
      <c r="AA264" s="371">
        <v>13</v>
      </c>
      <c r="AB264" s="22">
        <v>0</v>
      </c>
      <c r="AC264" s="24">
        <v>0</v>
      </c>
      <c r="AD264" s="384">
        <v>0</v>
      </c>
    </row>
    <row r="265" spans="1:30">
      <c r="A265" s="21" t="s">
        <v>75</v>
      </c>
      <c r="B265" s="21" t="s">
        <v>76</v>
      </c>
      <c r="C265" s="23">
        <v>13.4</v>
      </c>
      <c r="D265" s="147">
        <v>0</v>
      </c>
      <c r="E265" s="22">
        <v>0</v>
      </c>
      <c r="F265" s="22">
        <v>0</v>
      </c>
      <c r="G265" s="22">
        <v>0</v>
      </c>
      <c r="H265" s="22">
        <v>0</v>
      </c>
      <c r="I265" s="22">
        <v>0</v>
      </c>
      <c r="J265" s="22">
        <v>235.8</v>
      </c>
      <c r="K265" s="22">
        <v>0</v>
      </c>
      <c r="L265" s="22">
        <v>0</v>
      </c>
      <c r="M265" s="388">
        <v>264.2</v>
      </c>
      <c r="N265" s="25">
        <v>0.79169999999999996</v>
      </c>
      <c r="O265" s="24">
        <v>24</v>
      </c>
      <c r="P265" s="24">
        <v>0</v>
      </c>
      <c r="Q265" s="24">
        <v>0</v>
      </c>
      <c r="R265" s="22">
        <v>0</v>
      </c>
      <c r="S265" s="24">
        <v>0</v>
      </c>
      <c r="T265" s="24">
        <f t="shared" ref="T265:T325" si="15">S265+P265</f>
        <v>0</v>
      </c>
      <c r="U265" s="376">
        <v>237.78</v>
      </c>
      <c r="V265" s="376">
        <v>0</v>
      </c>
      <c r="W265" s="22">
        <f t="shared" ref="W265:W325" si="16">U265*N265</f>
        <v>188.250426</v>
      </c>
      <c r="X265" s="22">
        <f t="shared" ref="X265:X325" si="17">Y265+Z265</f>
        <v>27</v>
      </c>
      <c r="Y265" s="22">
        <v>27</v>
      </c>
      <c r="Z265" s="22">
        <v>0</v>
      </c>
      <c r="AA265" s="371">
        <v>264.2</v>
      </c>
      <c r="AB265" s="22">
        <v>0.10219530658591976</v>
      </c>
      <c r="AC265" s="24">
        <v>0</v>
      </c>
      <c r="AD265" s="384">
        <v>0</v>
      </c>
    </row>
    <row r="266" spans="1:30">
      <c r="A266" s="21" t="s">
        <v>31</v>
      </c>
      <c r="B266" s="21" t="s">
        <v>32</v>
      </c>
      <c r="C266" s="23">
        <v>2</v>
      </c>
      <c r="D266" s="147">
        <v>0</v>
      </c>
      <c r="E266" s="22">
        <v>0</v>
      </c>
      <c r="F266" s="22">
        <v>0</v>
      </c>
      <c r="G266" s="22">
        <v>0</v>
      </c>
      <c r="H266" s="22">
        <v>0</v>
      </c>
      <c r="I266" s="22">
        <v>0</v>
      </c>
      <c r="J266" s="22">
        <v>0</v>
      </c>
      <c r="K266" s="22">
        <v>0</v>
      </c>
      <c r="L266" s="22">
        <v>0</v>
      </c>
      <c r="M266" s="388">
        <v>11</v>
      </c>
      <c r="N266" s="25">
        <v>0</v>
      </c>
      <c r="O266" s="24">
        <v>0</v>
      </c>
      <c r="P266" s="24">
        <v>0</v>
      </c>
      <c r="Q266" s="24">
        <v>0</v>
      </c>
      <c r="R266" s="22">
        <v>0</v>
      </c>
      <c r="S266" s="24">
        <v>0</v>
      </c>
      <c r="T266" s="24">
        <f t="shared" si="15"/>
        <v>0</v>
      </c>
      <c r="U266" s="376">
        <v>0</v>
      </c>
      <c r="V266" s="376">
        <v>0</v>
      </c>
      <c r="W266" s="22">
        <f t="shared" si="16"/>
        <v>0</v>
      </c>
      <c r="X266" s="22">
        <f t="shared" si="17"/>
        <v>0</v>
      </c>
      <c r="Y266" s="22">
        <v>0</v>
      </c>
      <c r="Z266" s="22">
        <v>0</v>
      </c>
      <c r="AA266" s="371">
        <v>11</v>
      </c>
      <c r="AB266" s="22">
        <v>0</v>
      </c>
      <c r="AC266" s="24">
        <v>0</v>
      </c>
      <c r="AD266" s="384">
        <v>0</v>
      </c>
    </row>
    <row r="267" spans="1:30">
      <c r="A267" s="21" t="s">
        <v>361</v>
      </c>
      <c r="B267" s="21" t="s">
        <v>362</v>
      </c>
      <c r="C267" s="23">
        <v>932.02</v>
      </c>
      <c r="D267" s="147">
        <v>22.05</v>
      </c>
      <c r="E267" s="22">
        <v>235.26</v>
      </c>
      <c r="F267" s="22">
        <v>257.31</v>
      </c>
      <c r="G267" s="22">
        <v>0</v>
      </c>
      <c r="H267" s="22">
        <v>156.12</v>
      </c>
      <c r="I267" s="22">
        <v>3.43</v>
      </c>
      <c r="J267" s="22">
        <v>84.789999999999992</v>
      </c>
      <c r="K267" s="22">
        <v>14.6</v>
      </c>
      <c r="L267" s="22">
        <v>0</v>
      </c>
      <c r="M267" s="388">
        <v>3127.6499999999996</v>
      </c>
      <c r="N267" s="25">
        <v>0.23480000000000001</v>
      </c>
      <c r="O267" s="24">
        <v>39</v>
      </c>
      <c r="P267" s="24">
        <v>104.25</v>
      </c>
      <c r="Q267" s="24">
        <v>70.5</v>
      </c>
      <c r="R267" s="22">
        <v>33.75</v>
      </c>
      <c r="S267" s="24">
        <v>24.25</v>
      </c>
      <c r="T267" s="24">
        <f t="shared" si="15"/>
        <v>128.5</v>
      </c>
      <c r="U267" s="376">
        <v>733.43</v>
      </c>
      <c r="V267" s="376">
        <v>156.38</v>
      </c>
      <c r="W267" s="22">
        <f t="shared" si="16"/>
        <v>172.20936399999999</v>
      </c>
      <c r="X267" s="22">
        <f t="shared" si="17"/>
        <v>397.5</v>
      </c>
      <c r="Y267" s="22">
        <v>252.5</v>
      </c>
      <c r="Z267" s="22">
        <v>145</v>
      </c>
      <c r="AA267" s="371">
        <v>3154.54</v>
      </c>
      <c r="AB267" s="22">
        <v>0.12600886341590217</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38.599999999999994</v>
      </c>
      <c r="N268" s="25">
        <v>0</v>
      </c>
      <c r="O268" s="24">
        <v>0</v>
      </c>
      <c r="P268" s="24">
        <v>0</v>
      </c>
      <c r="Q268" s="24">
        <v>0</v>
      </c>
      <c r="R268" s="22">
        <v>0</v>
      </c>
      <c r="S268" s="24">
        <v>0</v>
      </c>
      <c r="T268" s="24">
        <f t="shared" si="15"/>
        <v>0</v>
      </c>
      <c r="U268" s="376">
        <v>0</v>
      </c>
      <c r="V268" s="376">
        <v>0</v>
      </c>
      <c r="W268" s="22">
        <f t="shared" si="16"/>
        <v>0</v>
      </c>
      <c r="X268" s="22">
        <f t="shared" si="17"/>
        <v>5.75</v>
      </c>
      <c r="Y268" s="22">
        <v>5.5</v>
      </c>
      <c r="Z268" s="22">
        <v>0.25</v>
      </c>
      <c r="AA268" s="371">
        <v>38.6</v>
      </c>
      <c r="AB268" s="22">
        <v>0.14896373056994819</v>
      </c>
      <c r="AC268" s="24">
        <v>1.396373056994818E-2</v>
      </c>
      <c r="AD268" s="384">
        <v>-4944.4551252238298</v>
      </c>
    </row>
    <row r="269" spans="1:30">
      <c r="A269" s="21" t="s">
        <v>421</v>
      </c>
      <c r="B269" s="21" t="s">
        <v>422</v>
      </c>
      <c r="C269" s="23">
        <v>204.63</v>
      </c>
      <c r="D269" s="147">
        <v>8.8800000000000008</v>
      </c>
      <c r="E269" s="22">
        <v>48.98</v>
      </c>
      <c r="F269" s="22">
        <v>57.86</v>
      </c>
      <c r="G269" s="22">
        <v>0</v>
      </c>
      <c r="H269" s="22">
        <v>2.48</v>
      </c>
      <c r="I269" s="22">
        <v>0.15</v>
      </c>
      <c r="J269" s="22">
        <v>0</v>
      </c>
      <c r="K269" s="22">
        <v>3.2</v>
      </c>
      <c r="L269" s="22">
        <v>0</v>
      </c>
      <c r="M269" s="388">
        <v>783.81000000000006</v>
      </c>
      <c r="N269" s="25">
        <v>0.51949999999999996</v>
      </c>
      <c r="O269" s="24">
        <v>793</v>
      </c>
      <c r="P269" s="24">
        <v>18.5</v>
      </c>
      <c r="Q269" s="24">
        <v>15</v>
      </c>
      <c r="R269" s="22">
        <v>3.5</v>
      </c>
      <c r="S269" s="24">
        <v>3</v>
      </c>
      <c r="T269" s="24">
        <f t="shared" si="15"/>
        <v>21.5</v>
      </c>
      <c r="U269" s="376">
        <v>406.72</v>
      </c>
      <c r="V269" s="376">
        <v>39.19</v>
      </c>
      <c r="W269" s="22">
        <f t="shared" si="16"/>
        <v>211.29104000000001</v>
      </c>
      <c r="X269" s="22">
        <f t="shared" si="17"/>
        <v>132.75</v>
      </c>
      <c r="Y269" s="22">
        <v>80.75</v>
      </c>
      <c r="Z269" s="22">
        <v>52</v>
      </c>
      <c r="AA269" s="371">
        <v>784.61</v>
      </c>
      <c r="AB269" s="22">
        <v>0.16919233759447369</v>
      </c>
      <c r="AC269" s="24">
        <v>3.4192337594473682E-2</v>
      </c>
      <c r="AD269" s="384">
        <v>-232301.21662263654</v>
      </c>
    </row>
    <row r="270" spans="1:30">
      <c r="A270" s="21" t="s">
        <v>443</v>
      </c>
      <c r="B270" s="21" t="s">
        <v>444</v>
      </c>
      <c r="C270" s="23">
        <v>595.20000000000005</v>
      </c>
      <c r="D270" s="147">
        <v>0</v>
      </c>
      <c r="E270" s="22">
        <v>145.77000000000001</v>
      </c>
      <c r="F270" s="22">
        <v>145.77000000000001</v>
      </c>
      <c r="G270" s="22">
        <v>0</v>
      </c>
      <c r="H270" s="22">
        <v>14.68</v>
      </c>
      <c r="I270" s="22">
        <v>0.59</v>
      </c>
      <c r="J270" s="22">
        <v>91.539999999999992</v>
      </c>
      <c r="K270" s="22">
        <v>11</v>
      </c>
      <c r="L270" s="22">
        <v>0</v>
      </c>
      <c r="M270" s="388">
        <v>1932.7799999999997</v>
      </c>
      <c r="N270" s="25">
        <v>0.55559999999999998</v>
      </c>
      <c r="O270" s="24">
        <v>1899</v>
      </c>
      <c r="P270" s="24">
        <v>214.75</v>
      </c>
      <c r="Q270" s="24">
        <v>149.25</v>
      </c>
      <c r="R270" s="22">
        <v>65.5</v>
      </c>
      <c r="S270" s="24">
        <v>46.5</v>
      </c>
      <c r="T270" s="24">
        <f t="shared" si="15"/>
        <v>261.25</v>
      </c>
      <c r="U270" s="376">
        <v>1073.8499999999999</v>
      </c>
      <c r="V270" s="376">
        <v>96.64</v>
      </c>
      <c r="W270" s="22">
        <f t="shared" si="16"/>
        <v>596.63105999999993</v>
      </c>
      <c r="X270" s="22">
        <f t="shared" si="17"/>
        <v>320.5</v>
      </c>
      <c r="Y270" s="22">
        <v>159.25</v>
      </c>
      <c r="Z270" s="22">
        <v>161.25</v>
      </c>
      <c r="AA270" s="371">
        <v>1943.38</v>
      </c>
      <c r="AB270" s="22">
        <v>0.16491885272051784</v>
      </c>
      <c r="AC270" s="24">
        <v>2.9918852720517836E-2</v>
      </c>
      <c r="AD270" s="384">
        <v>-576783.34020829014</v>
      </c>
    </row>
    <row r="271" spans="1:30">
      <c r="A271" s="21" t="s">
        <v>1022</v>
      </c>
      <c r="B271" s="21" t="s">
        <v>1040</v>
      </c>
      <c r="C271" s="23">
        <v>0</v>
      </c>
      <c r="D271" s="147">
        <v>0</v>
      </c>
      <c r="E271" s="22">
        <v>0</v>
      </c>
      <c r="F271" s="22">
        <v>0</v>
      </c>
      <c r="G271" s="22">
        <v>0</v>
      </c>
      <c r="H271" s="22">
        <v>6.69</v>
      </c>
      <c r="I271" s="22">
        <v>0.25</v>
      </c>
      <c r="J271" s="22">
        <v>0</v>
      </c>
      <c r="K271" s="22">
        <v>0</v>
      </c>
      <c r="L271" s="22">
        <v>0</v>
      </c>
      <c r="M271" s="388">
        <v>467.44</v>
      </c>
      <c r="N271" s="25">
        <v>0.52980000000000005</v>
      </c>
      <c r="O271" s="24">
        <v>464</v>
      </c>
      <c r="P271" s="24">
        <v>74.25</v>
      </c>
      <c r="Q271" s="24">
        <v>12.5</v>
      </c>
      <c r="R271" s="22">
        <v>61.75</v>
      </c>
      <c r="S271" s="24">
        <v>16.75</v>
      </c>
      <c r="T271" s="24">
        <f t="shared" si="15"/>
        <v>91</v>
      </c>
      <c r="U271" s="376">
        <v>247.65</v>
      </c>
      <c r="V271" s="376">
        <v>23.37</v>
      </c>
      <c r="W271" s="22">
        <f t="shared" si="16"/>
        <v>131.20497</v>
      </c>
      <c r="X271" s="22">
        <f t="shared" si="17"/>
        <v>84.25</v>
      </c>
      <c r="Y271" s="22">
        <v>82.5</v>
      </c>
      <c r="Z271" s="22">
        <v>1.75</v>
      </c>
      <c r="AA271" s="371">
        <v>467.46</v>
      </c>
      <c r="AB271" s="22">
        <v>0.18022932443417619</v>
      </c>
      <c r="AC271" s="24">
        <v>4.5229324434176182E-2</v>
      </c>
      <c r="AD271" s="384">
        <v>-192941.79440830115</v>
      </c>
    </row>
    <row r="272" spans="1:30">
      <c r="A272" s="21" t="s">
        <v>391</v>
      </c>
      <c r="B272" s="21" t="s">
        <v>392</v>
      </c>
      <c r="C272" s="23">
        <v>0</v>
      </c>
      <c r="D272" s="147">
        <v>0</v>
      </c>
      <c r="E272" s="22">
        <v>0</v>
      </c>
      <c r="F272" s="22">
        <v>0</v>
      </c>
      <c r="G272" s="22">
        <v>0</v>
      </c>
      <c r="H272" s="22">
        <v>0</v>
      </c>
      <c r="I272" s="22">
        <v>0</v>
      </c>
      <c r="J272" s="22">
        <v>0</v>
      </c>
      <c r="K272" s="22">
        <v>0</v>
      </c>
      <c r="L272" s="22">
        <v>0</v>
      </c>
      <c r="M272" s="388">
        <v>178.6</v>
      </c>
      <c r="N272" s="25">
        <v>0.66490000000000005</v>
      </c>
      <c r="O272" s="24">
        <v>181</v>
      </c>
      <c r="P272" s="24">
        <v>16.75</v>
      </c>
      <c r="Q272" s="24">
        <v>0</v>
      </c>
      <c r="R272" s="22">
        <v>16.75</v>
      </c>
      <c r="S272" s="24">
        <v>0</v>
      </c>
      <c r="T272" s="24">
        <f t="shared" si="15"/>
        <v>16.75</v>
      </c>
      <c r="U272" s="376">
        <v>118.75</v>
      </c>
      <c r="V272" s="376">
        <v>8.93</v>
      </c>
      <c r="W272" s="22">
        <f t="shared" si="16"/>
        <v>78.956875000000011</v>
      </c>
      <c r="X272" s="22">
        <f t="shared" si="17"/>
        <v>27</v>
      </c>
      <c r="Y272" s="22">
        <v>25</v>
      </c>
      <c r="Z272" s="22">
        <v>2</v>
      </c>
      <c r="AA272" s="371">
        <v>178.6</v>
      </c>
      <c r="AB272" s="22">
        <v>0.15117581187010079</v>
      </c>
      <c r="AC272" s="24">
        <v>1.6175811870100781E-2</v>
      </c>
      <c r="AD272" s="384">
        <v>-26005.262595761043</v>
      </c>
    </row>
    <row r="273" spans="1:30">
      <c r="A273" s="21" t="s">
        <v>221</v>
      </c>
      <c r="B273" s="21" t="s">
        <v>222</v>
      </c>
      <c r="C273" s="23">
        <v>0</v>
      </c>
      <c r="D273" s="147">
        <v>0</v>
      </c>
      <c r="E273" s="22">
        <v>0</v>
      </c>
      <c r="F273" s="22">
        <v>0</v>
      </c>
      <c r="G273" s="22">
        <v>0</v>
      </c>
      <c r="H273" s="22">
        <v>4.04</v>
      </c>
      <c r="I273" s="22">
        <v>0.18</v>
      </c>
      <c r="J273" s="22">
        <v>0</v>
      </c>
      <c r="K273" s="22">
        <v>0</v>
      </c>
      <c r="L273" s="22">
        <v>0</v>
      </c>
      <c r="M273" s="388">
        <v>307.07000000000005</v>
      </c>
      <c r="N273" s="25">
        <v>0.37430000000000002</v>
      </c>
      <c r="O273" s="24">
        <v>0</v>
      </c>
      <c r="P273" s="24">
        <v>49.25</v>
      </c>
      <c r="Q273" s="24">
        <v>0</v>
      </c>
      <c r="R273" s="22">
        <v>49.25</v>
      </c>
      <c r="S273" s="24">
        <v>0.25</v>
      </c>
      <c r="T273" s="24">
        <f t="shared" si="15"/>
        <v>49.5</v>
      </c>
      <c r="U273" s="376">
        <v>114.94</v>
      </c>
      <c r="V273" s="376">
        <v>15.35</v>
      </c>
      <c r="W273" s="22">
        <f t="shared" si="16"/>
        <v>43.022041999999999</v>
      </c>
      <c r="X273" s="22">
        <f t="shared" si="17"/>
        <v>59</v>
      </c>
      <c r="Y273" s="22">
        <v>58.5</v>
      </c>
      <c r="Z273" s="22">
        <v>0.5</v>
      </c>
      <c r="AA273" s="371">
        <v>307.62</v>
      </c>
      <c r="AB273" s="22">
        <v>0.19179507184188285</v>
      </c>
      <c r="AC273" s="24">
        <v>5.6795071841882844E-2</v>
      </c>
      <c r="AD273" s="384">
        <v>-163509.33074694473</v>
      </c>
    </row>
    <row r="274" spans="1:30">
      <c r="A274" s="21" t="s">
        <v>495</v>
      </c>
      <c r="B274" s="21" t="s">
        <v>496</v>
      </c>
      <c r="C274" s="23">
        <v>35.6</v>
      </c>
      <c r="D274" s="147">
        <v>0</v>
      </c>
      <c r="E274" s="22">
        <v>0</v>
      </c>
      <c r="F274" s="22">
        <v>0</v>
      </c>
      <c r="G274" s="22">
        <v>0</v>
      </c>
      <c r="H274" s="22">
        <v>0</v>
      </c>
      <c r="I274" s="22">
        <v>0</v>
      </c>
      <c r="J274" s="22">
        <v>0</v>
      </c>
      <c r="K274" s="22">
        <v>0</v>
      </c>
      <c r="L274" s="22">
        <v>0</v>
      </c>
      <c r="M274" s="388">
        <v>71.69</v>
      </c>
      <c r="N274" s="25">
        <v>0.84930000000000005</v>
      </c>
      <c r="O274" s="24">
        <v>73</v>
      </c>
      <c r="P274" s="24">
        <v>0</v>
      </c>
      <c r="Q274" s="24">
        <v>0</v>
      </c>
      <c r="R274" s="22">
        <v>0</v>
      </c>
      <c r="S274" s="24">
        <v>0</v>
      </c>
      <c r="T274" s="24">
        <f t="shared" si="15"/>
        <v>0</v>
      </c>
      <c r="U274" s="376">
        <v>60.89</v>
      </c>
      <c r="V274" s="376">
        <v>3.58</v>
      </c>
      <c r="W274" s="22">
        <f t="shared" si="16"/>
        <v>51.713877000000004</v>
      </c>
      <c r="X274" s="22">
        <f t="shared" si="17"/>
        <v>8.5</v>
      </c>
      <c r="Y274" s="22">
        <v>5.25</v>
      </c>
      <c r="Z274" s="22">
        <v>3.25</v>
      </c>
      <c r="AA274" s="371">
        <v>71.69</v>
      </c>
      <c r="AB274" s="22">
        <v>0.11856604826335612</v>
      </c>
      <c r="AC274" s="24">
        <v>0</v>
      </c>
      <c r="AD274" s="384">
        <v>0</v>
      </c>
    </row>
    <row r="275" spans="1:30">
      <c r="A275" s="21" t="s">
        <v>371</v>
      </c>
      <c r="B275" s="21" t="s">
        <v>372</v>
      </c>
      <c r="C275" s="23">
        <v>2830.11</v>
      </c>
      <c r="D275" s="147">
        <v>111.35</v>
      </c>
      <c r="E275" s="22">
        <v>543.55999999999995</v>
      </c>
      <c r="F275" s="22">
        <v>654.91</v>
      </c>
      <c r="G275" s="22">
        <v>0</v>
      </c>
      <c r="H275" s="22">
        <v>205.08</v>
      </c>
      <c r="I275" s="22">
        <v>6.67</v>
      </c>
      <c r="J275" s="22">
        <v>153.51999999999998</v>
      </c>
      <c r="K275" s="22">
        <v>0</v>
      </c>
      <c r="L275" s="22">
        <v>0</v>
      </c>
      <c r="M275" s="388">
        <v>9874.77</v>
      </c>
      <c r="N275" s="25">
        <v>0.29110000000000003</v>
      </c>
      <c r="O275" s="24">
        <v>433</v>
      </c>
      <c r="P275" s="24">
        <v>412.25</v>
      </c>
      <c r="Q275" s="24">
        <v>244.25</v>
      </c>
      <c r="R275" s="22">
        <v>168</v>
      </c>
      <c r="S275" s="24">
        <v>73.75</v>
      </c>
      <c r="T275" s="24">
        <f t="shared" si="15"/>
        <v>486</v>
      </c>
      <c r="U275" s="376">
        <v>2874.55</v>
      </c>
      <c r="V275" s="376">
        <v>493.74</v>
      </c>
      <c r="W275" s="22">
        <f t="shared" si="16"/>
        <v>836.78150500000015</v>
      </c>
      <c r="X275" s="22">
        <f t="shared" si="17"/>
        <v>1160.25</v>
      </c>
      <c r="Y275" s="22">
        <v>717</v>
      </c>
      <c r="Z275" s="22">
        <v>443.25</v>
      </c>
      <c r="AA275" s="371">
        <v>9946.02</v>
      </c>
      <c r="AB275" s="22">
        <v>0.11665470208183776</v>
      </c>
      <c r="AC275" s="24">
        <v>0</v>
      </c>
      <c r="AD275" s="384">
        <v>0</v>
      </c>
    </row>
    <row r="276" spans="1:30">
      <c r="A276" s="21" t="s">
        <v>595</v>
      </c>
      <c r="B276" s="21" t="s">
        <v>596</v>
      </c>
      <c r="C276" s="23">
        <v>1786.84</v>
      </c>
      <c r="D276" s="147">
        <v>0</v>
      </c>
      <c r="E276" s="22">
        <v>264.54000000000002</v>
      </c>
      <c r="F276" s="22">
        <v>264.54000000000002</v>
      </c>
      <c r="G276" s="22">
        <v>0</v>
      </c>
      <c r="H276" s="22">
        <v>84.59</v>
      </c>
      <c r="I276" s="22">
        <v>7.89</v>
      </c>
      <c r="J276" s="22">
        <v>28.52</v>
      </c>
      <c r="K276" s="22">
        <v>4</v>
      </c>
      <c r="L276" s="22">
        <v>0</v>
      </c>
      <c r="M276" s="388">
        <v>6442.13</v>
      </c>
      <c r="N276" s="25">
        <v>0.93879999999999997</v>
      </c>
      <c r="O276" s="24">
        <v>6485</v>
      </c>
      <c r="P276" s="24">
        <v>2011.75</v>
      </c>
      <c r="Q276" s="24">
        <v>1235.75</v>
      </c>
      <c r="R276" s="22">
        <v>776</v>
      </c>
      <c r="S276" s="24">
        <v>238.25</v>
      </c>
      <c r="T276" s="24">
        <f t="shared" si="15"/>
        <v>2250</v>
      </c>
      <c r="U276" s="376">
        <v>6047.87</v>
      </c>
      <c r="V276" s="376">
        <v>322.11</v>
      </c>
      <c r="W276" s="22">
        <f t="shared" si="16"/>
        <v>5677.7403559999993</v>
      </c>
      <c r="X276" s="22">
        <f t="shared" si="17"/>
        <v>860.5</v>
      </c>
      <c r="Y276" s="22">
        <v>358.5</v>
      </c>
      <c r="Z276" s="22">
        <v>502</v>
      </c>
      <c r="AA276" s="371">
        <v>6480.05</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5"/>
        <v>0</v>
      </c>
      <c r="U277" s="376">
        <v>54.78</v>
      </c>
      <c r="V277" s="376">
        <v>0</v>
      </c>
      <c r="W277" s="22">
        <f t="shared" si="16"/>
        <v>34.801733999999996</v>
      </c>
      <c r="X277" s="22">
        <f t="shared" si="17"/>
        <v>17.75</v>
      </c>
      <c r="Y277" s="22">
        <v>16.75</v>
      </c>
      <c r="Z277" s="22">
        <v>1</v>
      </c>
      <c r="AA277" s="371">
        <v>86.21</v>
      </c>
      <c r="AB277" s="22">
        <v>0.20589258786683681</v>
      </c>
      <c r="AC277" s="24">
        <v>7.0892587866836804E-2</v>
      </c>
      <c r="AD277" s="384">
        <v>-55950.556898094183</v>
      </c>
    </row>
    <row r="278" spans="1:30">
      <c r="A278" s="21" t="s">
        <v>365</v>
      </c>
      <c r="B278" s="21" t="s">
        <v>366</v>
      </c>
      <c r="C278" s="23">
        <v>7802.64</v>
      </c>
      <c r="D278" s="147">
        <v>288.02</v>
      </c>
      <c r="E278" s="22">
        <v>1665.12</v>
      </c>
      <c r="F278" s="22">
        <v>1953.1399999999999</v>
      </c>
      <c r="G278" s="22">
        <v>0</v>
      </c>
      <c r="H278" s="22">
        <v>403.85</v>
      </c>
      <c r="I278" s="22">
        <v>22.45</v>
      </c>
      <c r="J278" s="22">
        <v>1571.94</v>
      </c>
      <c r="K278" s="22">
        <v>241.43</v>
      </c>
      <c r="L278" s="22">
        <v>13.44</v>
      </c>
      <c r="M278" s="388">
        <v>27273.629999999997</v>
      </c>
      <c r="N278" s="25">
        <v>0.57699999999999996</v>
      </c>
      <c r="O278" s="24">
        <v>18010</v>
      </c>
      <c r="P278" s="24">
        <v>2957.29</v>
      </c>
      <c r="Q278" s="24">
        <v>1815.75</v>
      </c>
      <c r="R278" s="22">
        <v>1141.54</v>
      </c>
      <c r="S278" s="24">
        <v>476.5</v>
      </c>
      <c r="T278" s="24">
        <f t="shared" si="15"/>
        <v>3433.79</v>
      </c>
      <c r="U278" s="376">
        <v>15736.88</v>
      </c>
      <c r="V278" s="376">
        <v>1363.68</v>
      </c>
      <c r="W278" s="22">
        <f t="shared" si="16"/>
        <v>9080.1797599999991</v>
      </c>
      <c r="X278" s="22">
        <f t="shared" si="17"/>
        <v>3920.25</v>
      </c>
      <c r="Y278" s="22">
        <v>2416.75</v>
      </c>
      <c r="Z278" s="22">
        <v>1503.5</v>
      </c>
      <c r="AA278" s="371">
        <v>27456.87</v>
      </c>
      <c r="AB278" s="22">
        <v>0.14277847402125587</v>
      </c>
      <c r="AC278" s="24">
        <v>7.7784740212558656E-3</v>
      </c>
      <c r="AD278" s="384">
        <v>-2029217.3932077705</v>
      </c>
    </row>
    <row r="279" spans="1:30">
      <c r="A279" s="21" t="s">
        <v>153</v>
      </c>
      <c r="B279" s="21" t="s">
        <v>154</v>
      </c>
      <c r="C279" s="23">
        <v>38.799999999999997</v>
      </c>
      <c r="D279" s="147">
        <v>0</v>
      </c>
      <c r="E279" s="22">
        <v>3.58</v>
      </c>
      <c r="F279" s="22">
        <v>3.58</v>
      </c>
      <c r="G279" s="22">
        <v>0</v>
      </c>
      <c r="H279" s="22">
        <v>0</v>
      </c>
      <c r="I279" s="22">
        <v>0</v>
      </c>
      <c r="J279" s="22">
        <v>0</v>
      </c>
      <c r="K279" s="22">
        <v>0</v>
      </c>
      <c r="L279" s="22">
        <v>0</v>
      </c>
      <c r="M279" s="388">
        <v>158.76999999999998</v>
      </c>
      <c r="N279" s="25">
        <v>0.77329999999999999</v>
      </c>
      <c r="O279" s="24">
        <v>160</v>
      </c>
      <c r="P279" s="24">
        <v>0</v>
      </c>
      <c r="Q279" s="24">
        <v>0</v>
      </c>
      <c r="R279" s="22">
        <v>0</v>
      </c>
      <c r="S279" s="24">
        <v>0</v>
      </c>
      <c r="T279" s="24">
        <f t="shared" si="15"/>
        <v>0</v>
      </c>
      <c r="U279" s="376">
        <v>122.78</v>
      </c>
      <c r="V279" s="376">
        <v>0</v>
      </c>
      <c r="W279" s="22">
        <f t="shared" si="16"/>
        <v>94.945774</v>
      </c>
      <c r="X279" s="22">
        <f t="shared" si="17"/>
        <v>41.75</v>
      </c>
      <c r="Y279" s="22">
        <v>38.75</v>
      </c>
      <c r="Z279" s="22">
        <v>3</v>
      </c>
      <c r="AA279" s="371">
        <v>158.77000000000001</v>
      </c>
      <c r="AB279" s="22">
        <v>0.26295899729167976</v>
      </c>
      <c r="AC279" s="24">
        <v>0.12795899729167975</v>
      </c>
      <c r="AD279" s="384">
        <v>-176367.35468837753</v>
      </c>
    </row>
    <row r="280" spans="1:30">
      <c r="A280" s="21" t="s">
        <v>207</v>
      </c>
      <c r="B280" s="21" t="s">
        <v>208</v>
      </c>
      <c r="C280" s="23">
        <v>2586.64</v>
      </c>
      <c r="D280" s="147">
        <v>38.25</v>
      </c>
      <c r="E280" s="22">
        <v>528.95000000000005</v>
      </c>
      <c r="F280" s="22">
        <v>567.20000000000005</v>
      </c>
      <c r="G280" s="22">
        <v>0</v>
      </c>
      <c r="H280" s="22">
        <v>189.47</v>
      </c>
      <c r="I280" s="22">
        <v>17.28</v>
      </c>
      <c r="J280" s="22">
        <v>0</v>
      </c>
      <c r="K280" s="22">
        <v>14.56</v>
      </c>
      <c r="L280" s="22">
        <v>1.24</v>
      </c>
      <c r="M280" s="388">
        <v>8668.48</v>
      </c>
      <c r="N280" s="25">
        <v>0.13159999999999999</v>
      </c>
      <c r="O280" s="24">
        <v>0</v>
      </c>
      <c r="P280" s="24">
        <v>356</v>
      </c>
      <c r="Q280" s="24">
        <v>296.25</v>
      </c>
      <c r="R280" s="22">
        <v>59.75</v>
      </c>
      <c r="S280" s="24">
        <v>123</v>
      </c>
      <c r="T280" s="24">
        <f t="shared" si="15"/>
        <v>479</v>
      </c>
      <c r="U280" s="376">
        <v>1141.6400000000001</v>
      </c>
      <c r="V280" s="376">
        <v>433.42</v>
      </c>
      <c r="W280" s="22">
        <f t="shared" si="16"/>
        <v>150.239824</v>
      </c>
      <c r="X280" s="22">
        <f t="shared" si="17"/>
        <v>1009.5</v>
      </c>
      <c r="Y280" s="22">
        <v>514.25</v>
      </c>
      <c r="Z280" s="22">
        <v>495.25</v>
      </c>
      <c r="AA280" s="371">
        <v>8679.9599999999991</v>
      </c>
      <c r="AB280" s="22">
        <v>0.11630237927363722</v>
      </c>
      <c r="AC280" s="24">
        <v>0</v>
      </c>
      <c r="AD280" s="384">
        <v>0</v>
      </c>
    </row>
    <row r="281" spans="1:30">
      <c r="A281" s="21" t="s">
        <v>559</v>
      </c>
      <c r="B281" s="21" t="s">
        <v>560</v>
      </c>
      <c r="C281" s="23">
        <v>55.46</v>
      </c>
      <c r="D281" s="147">
        <v>3.3</v>
      </c>
      <c r="E281" s="22">
        <v>21.49</v>
      </c>
      <c r="F281" s="22">
        <v>24.79</v>
      </c>
      <c r="G281" s="22">
        <v>0</v>
      </c>
      <c r="H281" s="22">
        <v>5.28</v>
      </c>
      <c r="I281" s="22">
        <v>0</v>
      </c>
      <c r="J281" s="22">
        <v>6.3100000000000005</v>
      </c>
      <c r="K281" s="22">
        <v>0</v>
      </c>
      <c r="L281" s="22">
        <v>0</v>
      </c>
      <c r="M281" s="388">
        <v>192.05999999999997</v>
      </c>
      <c r="N281" s="25">
        <v>0.65629999999999999</v>
      </c>
      <c r="O281" s="24">
        <v>192</v>
      </c>
      <c r="P281" s="24">
        <v>0</v>
      </c>
      <c r="Q281" s="24">
        <v>0</v>
      </c>
      <c r="R281" s="22">
        <v>0</v>
      </c>
      <c r="S281" s="24">
        <v>0</v>
      </c>
      <c r="T281" s="24">
        <f t="shared" si="15"/>
        <v>0</v>
      </c>
      <c r="U281" s="376">
        <v>121.04</v>
      </c>
      <c r="V281" s="376">
        <v>0</v>
      </c>
      <c r="W281" s="22">
        <f t="shared" si="16"/>
        <v>79.438552000000001</v>
      </c>
      <c r="X281" s="22">
        <f t="shared" si="17"/>
        <v>37.25</v>
      </c>
      <c r="Y281" s="22">
        <v>28.25</v>
      </c>
      <c r="Z281" s="22">
        <v>9</v>
      </c>
      <c r="AA281" s="371">
        <v>192.07</v>
      </c>
      <c r="AB281" s="22">
        <v>0.19393970948091843</v>
      </c>
      <c r="AC281" s="24">
        <v>5.8939709480918423E-2</v>
      </c>
      <c r="AD281" s="384">
        <v>-101465.55951364517</v>
      </c>
    </row>
    <row r="282" spans="1:30">
      <c r="A282" s="21" t="s">
        <v>521</v>
      </c>
      <c r="B282" s="21" t="s">
        <v>522</v>
      </c>
      <c r="C282" s="23">
        <v>350.26</v>
      </c>
      <c r="D282" s="147">
        <v>28.85</v>
      </c>
      <c r="E282" s="22">
        <v>89.12</v>
      </c>
      <c r="F282" s="22">
        <v>117.97</v>
      </c>
      <c r="G282" s="22">
        <v>0</v>
      </c>
      <c r="H282" s="22">
        <v>16.02</v>
      </c>
      <c r="I282" s="22">
        <v>1.05</v>
      </c>
      <c r="J282" s="22">
        <v>0</v>
      </c>
      <c r="K282" s="22">
        <v>9</v>
      </c>
      <c r="L282" s="22">
        <v>0</v>
      </c>
      <c r="M282" s="388">
        <v>1235.96</v>
      </c>
      <c r="N282" s="25">
        <v>0.47820000000000001</v>
      </c>
      <c r="O282" s="24">
        <v>852</v>
      </c>
      <c r="P282" s="24">
        <v>9</v>
      </c>
      <c r="Q282" s="24">
        <v>2</v>
      </c>
      <c r="R282" s="22">
        <v>7</v>
      </c>
      <c r="S282" s="24">
        <v>1</v>
      </c>
      <c r="T282" s="24">
        <f t="shared" si="15"/>
        <v>10</v>
      </c>
      <c r="U282" s="376">
        <v>591.04</v>
      </c>
      <c r="V282" s="376">
        <v>61.8</v>
      </c>
      <c r="W282" s="22">
        <f t="shared" si="16"/>
        <v>282.63532800000002</v>
      </c>
      <c r="X282" s="22">
        <f t="shared" si="17"/>
        <v>192</v>
      </c>
      <c r="Y282" s="22">
        <v>93.75</v>
      </c>
      <c r="Z282" s="22">
        <v>98.25</v>
      </c>
      <c r="AA282" s="371">
        <v>1242.97</v>
      </c>
      <c r="AB282" s="22">
        <v>0.15446873214960941</v>
      </c>
      <c r="AC282" s="24">
        <v>1.9468732149609397E-2</v>
      </c>
      <c r="AD282" s="384">
        <v>-210669.77477733555</v>
      </c>
    </row>
    <row r="283" spans="1:30">
      <c r="A283" s="21" t="s">
        <v>243</v>
      </c>
      <c r="B283" s="21" t="s">
        <v>244</v>
      </c>
      <c r="C283" s="23">
        <v>75.930000000000007</v>
      </c>
      <c r="D283" s="147">
        <v>3.47</v>
      </c>
      <c r="E283" s="22">
        <v>10.039999999999999</v>
      </c>
      <c r="F283" s="22">
        <v>13.51</v>
      </c>
      <c r="G283" s="22">
        <v>0</v>
      </c>
      <c r="H283" s="22">
        <v>7</v>
      </c>
      <c r="I283" s="22">
        <v>0</v>
      </c>
      <c r="J283" s="22">
        <v>0</v>
      </c>
      <c r="K283" s="22">
        <v>0</v>
      </c>
      <c r="L283" s="22">
        <v>0</v>
      </c>
      <c r="M283" s="388">
        <v>223.17999999999998</v>
      </c>
      <c r="N283" s="25">
        <v>0.47689999999999999</v>
      </c>
      <c r="O283" s="24">
        <v>0</v>
      </c>
      <c r="P283" s="24">
        <v>2</v>
      </c>
      <c r="Q283" s="24">
        <v>1.5</v>
      </c>
      <c r="R283" s="22">
        <v>0.5</v>
      </c>
      <c r="S283" s="24">
        <v>1.5</v>
      </c>
      <c r="T283" s="24">
        <f t="shared" si="15"/>
        <v>3.5</v>
      </c>
      <c r="U283" s="376">
        <v>106.43</v>
      </c>
      <c r="V283" s="376">
        <v>11.16</v>
      </c>
      <c r="W283" s="22">
        <f t="shared" si="16"/>
        <v>50.756467000000001</v>
      </c>
      <c r="X283" s="22">
        <f t="shared" si="17"/>
        <v>31.5</v>
      </c>
      <c r="Y283" s="22">
        <v>26.5</v>
      </c>
      <c r="Z283" s="22">
        <v>5</v>
      </c>
      <c r="AA283" s="371">
        <v>224.18</v>
      </c>
      <c r="AB283" s="22">
        <v>0.14051208850031224</v>
      </c>
      <c r="AC283" s="24">
        <v>5.5120885003122344E-3</v>
      </c>
      <c r="AD283" s="384">
        <v>-10928.074648918466</v>
      </c>
    </row>
    <row r="284" spans="1:30">
      <c r="A284" s="21" t="s">
        <v>285</v>
      </c>
      <c r="B284" s="21" t="s">
        <v>286</v>
      </c>
      <c r="C284" s="23">
        <v>263.68</v>
      </c>
      <c r="D284" s="147">
        <v>17.43</v>
      </c>
      <c r="E284" s="22">
        <v>49.86</v>
      </c>
      <c r="F284" s="22">
        <v>67.289999999999992</v>
      </c>
      <c r="G284" s="22">
        <v>0</v>
      </c>
      <c r="H284" s="22">
        <v>15.81</v>
      </c>
      <c r="I284" s="22">
        <v>2.13</v>
      </c>
      <c r="J284" s="22">
        <v>49.8</v>
      </c>
      <c r="K284" s="22">
        <v>0.4</v>
      </c>
      <c r="L284" s="22">
        <v>0</v>
      </c>
      <c r="M284" s="388">
        <v>800.58999999999992</v>
      </c>
      <c r="N284" s="25">
        <v>0.52</v>
      </c>
      <c r="O284" s="24">
        <v>601</v>
      </c>
      <c r="P284" s="24">
        <v>8</v>
      </c>
      <c r="Q284" s="24">
        <v>3</v>
      </c>
      <c r="R284" s="22">
        <v>5</v>
      </c>
      <c r="S284" s="24">
        <v>0.75</v>
      </c>
      <c r="T284" s="24">
        <f t="shared" si="15"/>
        <v>8.75</v>
      </c>
      <c r="U284" s="376">
        <v>416.31</v>
      </c>
      <c r="V284" s="376">
        <v>40.03</v>
      </c>
      <c r="W284" s="22">
        <f t="shared" si="16"/>
        <v>216.4812</v>
      </c>
      <c r="X284" s="22">
        <f t="shared" si="17"/>
        <v>111.75</v>
      </c>
      <c r="Y284" s="22">
        <v>61</v>
      </c>
      <c r="Z284" s="22">
        <v>50.75</v>
      </c>
      <c r="AA284" s="371">
        <v>798.78</v>
      </c>
      <c r="AB284" s="22">
        <v>0.13990084879441148</v>
      </c>
      <c r="AC284" s="24">
        <v>4.9008487944114665E-3</v>
      </c>
      <c r="AD284" s="384">
        <v>-35341.638829700947</v>
      </c>
    </row>
    <row r="285" spans="1:30">
      <c r="A285" s="21" t="s">
        <v>339</v>
      </c>
      <c r="B285" s="21" t="s">
        <v>340</v>
      </c>
      <c r="C285" s="23">
        <v>275.39999999999998</v>
      </c>
      <c r="D285" s="147">
        <v>12.14</v>
      </c>
      <c r="E285" s="22">
        <v>30.54</v>
      </c>
      <c r="F285" s="22">
        <v>42.68</v>
      </c>
      <c r="G285" s="22">
        <v>0</v>
      </c>
      <c r="H285" s="22">
        <v>50.03</v>
      </c>
      <c r="I285" s="22">
        <v>4.07</v>
      </c>
      <c r="J285" s="22">
        <v>113.13999999999999</v>
      </c>
      <c r="K285" s="22">
        <v>0</v>
      </c>
      <c r="L285" s="22">
        <v>0</v>
      </c>
      <c r="M285" s="388">
        <v>1140.73</v>
      </c>
      <c r="N285" s="25">
        <v>0.76719999999999999</v>
      </c>
      <c r="O285" s="24">
        <v>1134</v>
      </c>
      <c r="P285" s="24">
        <v>128.75</v>
      </c>
      <c r="Q285" s="24">
        <v>91</v>
      </c>
      <c r="R285" s="22">
        <v>37.75</v>
      </c>
      <c r="S285" s="24">
        <v>30</v>
      </c>
      <c r="T285" s="24">
        <f t="shared" si="15"/>
        <v>158.75</v>
      </c>
      <c r="U285" s="376">
        <v>875.17</v>
      </c>
      <c r="V285" s="376">
        <v>57.04</v>
      </c>
      <c r="W285" s="22">
        <f t="shared" si="16"/>
        <v>671.43042400000002</v>
      </c>
      <c r="X285" s="22">
        <f t="shared" si="17"/>
        <v>123</v>
      </c>
      <c r="Y285" s="22">
        <v>78.75</v>
      </c>
      <c r="Z285" s="22">
        <v>44.25</v>
      </c>
      <c r="AA285" s="371">
        <v>1140.73</v>
      </c>
      <c r="AB285" s="22">
        <v>0.10782569056656702</v>
      </c>
      <c r="AC285" s="24">
        <v>0</v>
      </c>
      <c r="AD285" s="384">
        <v>0</v>
      </c>
    </row>
    <row r="286" spans="1:30">
      <c r="A286" s="21" t="s">
        <v>597</v>
      </c>
      <c r="B286" s="21" t="s">
        <v>598</v>
      </c>
      <c r="C286" s="23">
        <v>1003.4</v>
      </c>
      <c r="D286" s="147">
        <v>125.49</v>
      </c>
      <c r="E286" s="22">
        <v>480.32</v>
      </c>
      <c r="F286" s="22">
        <v>605.80999999999995</v>
      </c>
      <c r="G286" s="22">
        <v>0</v>
      </c>
      <c r="H286" s="22">
        <v>64.73</v>
      </c>
      <c r="I286" s="22">
        <v>4.2300000000000004</v>
      </c>
      <c r="J286" s="22">
        <v>827.81</v>
      </c>
      <c r="K286" s="22">
        <v>0</v>
      </c>
      <c r="L286" s="22">
        <v>0</v>
      </c>
      <c r="M286" s="388">
        <v>4265.32</v>
      </c>
      <c r="N286" s="25">
        <v>0.93710000000000004</v>
      </c>
      <c r="O286" s="24">
        <v>3577</v>
      </c>
      <c r="P286" s="24">
        <v>1305.5</v>
      </c>
      <c r="Q286" s="24">
        <v>747.25</v>
      </c>
      <c r="R286" s="22">
        <v>558.25</v>
      </c>
      <c r="S286" s="24">
        <v>186.5</v>
      </c>
      <c r="T286" s="24">
        <f t="shared" si="15"/>
        <v>1492</v>
      </c>
      <c r="U286" s="376">
        <v>3997.03</v>
      </c>
      <c r="V286" s="376">
        <v>213.27</v>
      </c>
      <c r="W286" s="22">
        <f t="shared" si="16"/>
        <v>3745.6168130000005</v>
      </c>
      <c r="X286" s="22">
        <f t="shared" si="17"/>
        <v>527.5</v>
      </c>
      <c r="Y286" s="22">
        <v>484.5</v>
      </c>
      <c r="Z286" s="22">
        <v>43</v>
      </c>
      <c r="AA286" s="371">
        <v>4303.76</v>
      </c>
      <c r="AB286" s="22">
        <v>0.12256724352659069</v>
      </c>
      <c r="AC286" s="24">
        <v>0</v>
      </c>
      <c r="AD286" s="384">
        <v>0</v>
      </c>
    </row>
    <row r="287" spans="1:30">
      <c r="A287" s="21" t="s">
        <v>531</v>
      </c>
      <c r="B287" s="21" t="s">
        <v>532</v>
      </c>
      <c r="C287" s="23">
        <v>49.8</v>
      </c>
      <c r="D287" s="147">
        <v>2.99</v>
      </c>
      <c r="E287" s="22">
        <v>11.44</v>
      </c>
      <c r="F287" s="22">
        <v>14.43</v>
      </c>
      <c r="G287" s="22">
        <v>0</v>
      </c>
      <c r="H287" s="22">
        <v>5.95</v>
      </c>
      <c r="I287" s="22">
        <v>0</v>
      </c>
      <c r="J287" s="22">
        <v>0</v>
      </c>
      <c r="K287" s="22">
        <v>0</v>
      </c>
      <c r="L287" s="22">
        <v>0</v>
      </c>
      <c r="M287" s="388">
        <v>203.44</v>
      </c>
      <c r="N287" s="25">
        <v>0.55400000000000005</v>
      </c>
      <c r="O287" s="24">
        <v>205</v>
      </c>
      <c r="P287" s="24">
        <v>38</v>
      </c>
      <c r="Q287" s="24">
        <v>24</v>
      </c>
      <c r="R287" s="22">
        <v>14</v>
      </c>
      <c r="S287" s="24">
        <v>9</v>
      </c>
      <c r="T287" s="24">
        <f t="shared" si="15"/>
        <v>47</v>
      </c>
      <c r="U287" s="376">
        <v>112.71</v>
      </c>
      <c r="V287" s="376">
        <v>0</v>
      </c>
      <c r="W287" s="22">
        <f t="shared" si="16"/>
        <v>62.441340000000004</v>
      </c>
      <c r="X287" s="22">
        <f t="shared" si="17"/>
        <v>22.5</v>
      </c>
      <c r="Y287" s="22">
        <v>22</v>
      </c>
      <c r="Z287" s="22">
        <v>0.5</v>
      </c>
      <c r="AA287" s="371">
        <v>209.8</v>
      </c>
      <c r="AB287" s="22">
        <v>0.10724499523355577</v>
      </c>
      <c r="AC287" s="24">
        <v>0</v>
      </c>
      <c r="AD287" s="384">
        <v>0</v>
      </c>
    </row>
    <row r="288" spans="1:30">
      <c r="A288" s="21" t="s">
        <v>79</v>
      </c>
      <c r="B288" s="21" t="s">
        <v>80</v>
      </c>
      <c r="C288" s="23">
        <v>212.8</v>
      </c>
      <c r="D288" s="147">
        <v>17.79</v>
      </c>
      <c r="E288" s="22">
        <v>41.55</v>
      </c>
      <c r="F288" s="22">
        <v>59.339999999999996</v>
      </c>
      <c r="G288" s="22">
        <v>0</v>
      </c>
      <c r="H288" s="22">
        <v>23.36</v>
      </c>
      <c r="I288" s="22">
        <v>2.9</v>
      </c>
      <c r="J288" s="22">
        <v>13.799999999999999</v>
      </c>
      <c r="K288" s="22">
        <v>0</v>
      </c>
      <c r="L288" s="22">
        <v>0</v>
      </c>
      <c r="M288" s="388">
        <v>696.68</v>
      </c>
      <c r="N288" s="25">
        <v>0.41170000000000001</v>
      </c>
      <c r="O288" s="24">
        <v>0</v>
      </c>
      <c r="P288" s="24">
        <v>0</v>
      </c>
      <c r="Q288" s="24">
        <v>0</v>
      </c>
      <c r="R288" s="22">
        <v>0</v>
      </c>
      <c r="S288" s="24">
        <v>0</v>
      </c>
      <c r="T288" s="24">
        <f t="shared" si="15"/>
        <v>0</v>
      </c>
      <c r="U288" s="376">
        <v>286.82</v>
      </c>
      <c r="V288" s="376">
        <v>34.83</v>
      </c>
      <c r="W288" s="22">
        <f t="shared" si="16"/>
        <v>118.083794</v>
      </c>
      <c r="X288" s="22">
        <f t="shared" si="17"/>
        <v>104</v>
      </c>
      <c r="Y288" s="22">
        <v>42.75</v>
      </c>
      <c r="Z288" s="22">
        <v>61.25</v>
      </c>
      <c r="AA288" s="371">
        <v>696.68</v>
      </c>
      <c r="AB288" s="22">
        <v>0.14927943962794971</v>
      </c>
      <c r="AC288" s="24">
        <v>1.4279439627949697E-2</v>
      </c>
      <c r="AD288" s="384">
        <v>-88926.052653514547</v>
      </c>
    </row>
    <row r="289" spans="1:30">
      <c r="A289" s="21" t="s">
        <v>257</v>
      </c>
      <c r="B289" s="21" t="s">
        <v>258</v>
      </c>
      <c r="C289" s="23">
        <v>51</v>
      </c>
      <c r="D289" s="147">
        <v>0</v>
      </c>
      <c r="E289" s="22">
        <v>0</v>
      </c>
      <c r="F289" s="22">
        <v>0</v>
      </c>
      <c r="G289" s="22">
        <v>0</v>
      </c>
      <c r="H289" s="22">
        <v>2.89</v>
      </c>
      <c r="I289" s="22">
        <v>0</v>
      </c>
      <c r="J289" s="22">
        <v>2.35</v>
      </c>
      <c r="K289" s="22">
        <v>0</v>
      </c>
      <c r="L289" s="22">
        <v>0</v>
      </c>
      <c r="M289" s="388">
        <v>191.13</v>
      </c>
      <c r="N289" s="25">
        <v>0</v>
      </c>
      <c r="O289" s="24">
        <v>0</v>
      </c>
      <c r="P289" s="24">
        <v>15.5</v>
      </c>
      <c r="Q289" s="24">
        <v>7</v>
      </c>
      <c r="R289" s="22">
        <v>8.5</v>
      </c>
      <c r="S289" s="24">
        <v>0</v>
      </c>
      <c r="T289" s="24">
        <f t="shared" si="15"/>
        <v>15.5</v>
      </c>
      <c r="U289" s="376">
        <v>0</v>
      </c>
      <c r="V289" s="376">
        <v>9.56</v>
      </c>
      <c r="W289" s="22">
        <f t="shared" si="16"/>
        <v>0</v>
      </c>
      <c r="X289" s="22">
        <f t="shared" si="17"/>
        <v>17.25</v>
      </c>
      <c r="Y289" s="22">
        <v>10.5</v>
      </c>
      <c r="Z289" s="22">
        <v>6.75</v>
      </c>
      <c r="AA289" s="371">
        <v>191.13</v>
      </c>
      <c r="AB289" s="22">
        <v>9.0252707581227443E-2</v>
      </c>
      <c r="AC289" s="24">
        <v>0</v>
      </c>
      <c r="AD289" s="384">
        <v>0</v>
      </c>
    </row>
    <row r="290" spans="1:30">
      <c r="A290" s="21" t="s">
        <v>201</v>
      </c>
      <c r="B290" s="21" t="s">
        <v>202</v>
      </c>
      <c r="C290" s="23">
        <v>741.8</v>
      </c>
      <c r="D290" s="147">
        <v>0</v>
      </c>
      <c r="E290" s="22">
        <v>103.33</v>
      </c>
      <c r="F290" s="22">
        <v>103.33</v>
      </c>
      <c r="G290" s="22">
        <v>0</v>
      </c>
      <c r="H290" s="22">
        <v>55.89</v>
      </c>
      <c r="I290" s="22">
        <v>3.3</v>
      </c>
      <c r="J290" s="22">
        <v>21</v>
      </c>
      <c r="K290" s="22">
        <v>0.8</v>
      </c>
      <c r="L290" s="22">
        <v>0</v>
      </c>
      <c r="M290" s="388">
        <v>2532.5300000000002</v>
      </c>
      <c r="N290" s="25">
        <v>0.749</v>
      </c>
      <c r="O290" s="24">
        <v>2550</v>
      </c>
      <c r="P290" s="24">
        <v>1026.5</v>
      </c>
      <c r="Q290" s="24">
        <v>620.75</v>
      </c>
      <c r="R290" s="22">
        <v>405.75</v>
      </c>
      <c r="S290" s="24">
        <v>19.5</v>
      </c>
      <c r="T290" s="24">
        <f t="shared" si="15"/>
        <v>1046</v>
      </c>
      <c r="U290" s="376">
        <v>1896.61</v>
      </c>
      <c r="V290" s="376">
        <v>126.63</v>
      </c>
      <c r="W290" s="22">
        <f t="shared" si="16"/>
        <v>1420.56089</v>
      </c>
      <c r="X290" s="22">
        <f t="shared" si="17"/>
        <v>328.75</v>
      </c>
      <c r="Y290" s="22">
        <v>180.5</v>
      </c>
      <c r="Z290" s="22">
        <v>148.25</v>
      </c>
      <c r="AA290" s="371">
        <v>2564.7600000000002</v>
      </c>
      <c r="AB290" s="22">
        <v>0.12817963474165223</v>
      </c>
      <c r="AC290" s="24">
        <v>0</v>
      </c>
      <c r="AD290" s="384">
        <v>0</v>
      </c>
    </row>
    <row r="291" spans="1:30">
      <c r="A291" s="21" t="s">
        <v>511</v>
      </c>
      <c r="B291" s="21" t="s">
        <v>512</v>
      </c>
      <c r="C291" s="23">
        <v>1728.77</v>
      </c>
      <c r="D291" s="147">
        <v>205.24</v>
      </c>
      <c r="E291" s="22">
        <v>390.78</v>
      </c>
      <c r="F291" s="22">
        <v>596.02</v>
      </c>
      <c r="G291" s="22">
        <v>298.81</v>
      </c>
      <c r="H291" s="22">
        <v>204.08</v>
      </c>
      <c r="I291" s="22">
        <v>17.68</v>
      </c>
      <c r="J291" s="22">
        <v>366.95</v>
      </c>
      <c r="K291" s="22">
        <v>17.399999999999999</v>
      </c>
      <c r="L291" s="22">
        <v>0</v>
      </c>
      <c r="M291" s="388">
        <v>6640.6699999999983</v>
      </c>
      <c r="N291" s="25">
        <v>0.3085</v>
      </c>
      <c r="O291" s="24">
        <v>0</v>
      </c>
      <c r="P291" s="24">
        <v>129</v>
      </c>
      <c r="Q291" s="24">
        <v>93.5</v>
      </c>
      <c r="R291" s="22">
        <v>35.5</v>
      </c>
      <c r="S291" s="24">
        <v>51.5</v>
      </c>
      <c r="T291" s="24">
        <f t="shared" si="15"/>
        <v>180.5</v>
      </c>
      <c r="U291" s="376">
        <v>2049.31</v>
      </c>
      <c r="V291" s="376">
        <v>332.03</v>
      </c>
      <c r="W291" s="22">
        <f t="shared" si="16"/>
        <v>632.21213499999999</v>
      </c>
      <c r="X291" s="22">
        <f t="shared" si="17"/>
        <v>831.75</v>
      </c>
      <c r="Y291" s="22">
        <v>470</v>
      </c>
      <c r="Z291" s="22">
        <v>361.75</v>
      </c>
      <c r="AA291" s="371">
        <v>6446.42</v>
      </c>
      <c r="AB291" s="22">
        <v>0.12902510230484518</v>
      </c>
      <c r="AC291" s="24">
        <v>0</v>
      </c>
      <c r="AD291" s="384">
        <v>0</v>
      </c>
    </row>
    <row r="292" spans="1:30">
      <c r="A292" s="21" t="s">
        <v>581</v>
      </c>
      <c r="B292" s="21" t="s">
        <v>582</v>
      </c>
      <c r="C292" s="23">
        <v>246.31</v>
      </c>
      <c r="D292" s="147">
        <v>0</v>
      </c>
      <c r="E292" s="22">
        <v>0</v>
      </c>
      <c r="F292" s="22">
        <v>0</v>
      </c>
      <c r="G292" s="22">
        <v>0</v>
      </c>
      <c r="H292" s="22">
        <v>0</v>
      </c>
      <c r="I292" s="22">
        <v>0</v>
      </c>
      <c r="J292" s="22">
        <v>0</v>
      </c>
      <c r="K292" s="22">
        <v>0</v>
      </c>
      <c r="L292" s="22">
        <v>0</v>
      </c>
      <c r="M292" s="388">
        <v>565.30999999999995</v>
      </c>
      <c r="N292" s="25">
        <v>0.93140000000000001</v>
      </c>
      <c r="O292" s="24">
        <v>580</v>
      </c>
      <c r="P292" s="24">
        <v>163.75</v>
      </c>
      <c r="Q292" s="24">
        <v>143.75</v>
      </c>
      <c r="R292" s="22">
        <v>20</v>
      </c>
      <c r="S292" s="24">
        <v>56.75</v>
      </c>
      <c r="T292" s="24">
        <f t="shared" si="15"/>
        <v>220.5</v>
      </c>
      <c r="U292" s="376">
        <v>526.53</v>
      </c>
      <c r="V292" s="376">
        <v>28.27</v>
      </c>
      <c r="W292" s="22">
        <f t="shared" si="16"/>
        <v>490.41004199999998</v>
      </c>
      <c r="X292" s="22">
        <f t="shared" si="17"/>
        <v>69.75</v>
      </c>
      <c r="Y292" s="22">
        <v>53.75</v>
      </c>
      <c r="Z292" s="22">
        <v>16</v>
      </c>
      <c r="AA292" s="371">
        <v>565.45000000000005</v>
      </c>
      <c r="AB292" s="22">
        <v>0.1233530816164117</v>
      </c>
      <c r="AC292" s="24">
        <v>0</v>
      </c>
      <c r="AD292" s="384">
        <v>0</v>
      </c>
    </row>
    <row r="293" spans="1:30">
      <c r="A293" s="21" t="s">
        <v>369</v>
      </c>
      <c r="B293" s="21" t="s">
        <v>370</v>
      </c>
      <c r="C293" s="23">
        <v>1579.43</v>
      </c>
      <c r="D293" s="147">
        <v>0</v>
      </c>
      <c r="E293" s="22">
        <v>297.42</v>
      </c>
      <c r="F293" s="22">
        <v>297.42</v>
      </c>
      <c r="G293" s="22">
        <v>0</v>
      </c>
      <c r="H293" s="22">
        <v>215.02</v>
      </c>
      <c r="I293" s="22">
        <v>4.6900000000000004</v>
      </c>
      <c r="J293" s="22">
        <v>52.400000000000006</v>
      </c>
      <c r="K293" s="22">
        <v>0</v>
      </c>
      <c r="L293" s="22">
        <v>0</v>
      </c>
      <c r="M293" s="388">
        <v>5559.82</v>
      </c>
      <c r="N293" s="25">
        <v>0.36459999999999998</v>
      </c>
      <c r="O293" s="24">
        <v>0</v>
      </c>
      <c r="P293" s="24">
        <v>293</v>
      </c>
      <c r="Q293" s="24">
        <v>221.25</v>
      </c>
      <c r="R293" s="22">
        <v>71.75</v>
      </c>
      <c r="S293" s="24">
        <v>97.25</v>
      </c>
      <c r="T293" s="24">
        <f t="shared" si="15"/>
        <v>390.25</v>
      </c>
      <c r="U293" s="376">
        <v>2027.67</v>
      </c>
      <c r="V293" s="376">
        <v>277.99</v>
      </c>
      <c r="W293" s="22">
        <f t="shared" si="16"/>
        <v>739.28848199999993</v>
      </c>
      <c r="X293" s="22">
        <f t="shared" si="17"/>
        <v>544.5</v>
      </c>
      <c r="Y293" s="22">
        <v>274.5</v>
      </c>
      <c r="Z293" s="22">
        <v>270</v>
      </c>
      <c r="AA293" s="371">
        <v>5597.44</v>
      </c>
      <c r="AB293" s="22">
        <v>9.727661216556141E-2</v>
      </c>
      <c r="AC293" s="24">
        <v>0</v>
      </c>
      <c r="AD293" s="384">
        <v>0</v>
      </c>
    </row>
    <row r="294" spans="1:30">
      <c r="A294" s="21" t="s">
        <v>489</v>
      </c>
      <c r="B294" s="21" t="s">
        <v>490</v>
      </c>
      <c r="C294" s="23">
        <v>97.2</v>
      </c>
      <c r="D294" s="147">
        <v>0</v>
      </c>
      <c r="E294" s="22">
        <v>0</v>
      </c>
      <c r="F294" s="22">
        <v>0</v>
      </c>
      <c r="G294" s="22">
        <v>0</v>
      </c>
      <c r="H294" s="22">
        <v>1.75</v>
      </c>
      <c r="I294" s="22">
        <v>0.25</v>
      </c>
      <c r="J294" s="22">
        <v>900.75</v>
      </c>
      <c r="K294" s="22">
        <v>0</v>
      </c>
      <c r="L294" s="22">
        <v>0</v>
      </c>
      <c r="M294" s="388">
        <v>1158.1500000000001</v>
      </c>
      <c r="N294" s="25">
        <v>0.22850000000000001</v>
      </c>
      <c r="O294" s="24">
        <v>259</v>
      </c>
      <c r="P294" s="24">
        <v>36.75</v>
      </c>
      <c r="Q294" s="24">
        <v>26.5</v>
      </c>
      <c r="R294" s="22">
        <v>10.25</v>
      </c>
      <c r="S294" s="24">
        <v>3</v>
      </c>
      <c r="T294" s="24">
        <f t="shared" si="15"/>
        <v>39.75</v>
      </c>
      <c r="U294" s="376">
        <v>264.41000000000003</v>
      </c>
      <c r="V294" s="376">
        <v>57.91</v>
      </c>
      <c r="W294" s="22">
        <f t="shared" si="16"/>
        <v>60.417685000000006</v>
      </c>
      <c r="X294" s="22">
        <f t="shared" si="17"/>
        <v>109.5</v>
      </c>
      <c r="Y294" s="22">
        <v>99</v>
      </c>
      <c r="Z294" s="22">
        <v>10.5</v>
      </c>
      <c r="AA294" s="371">
        <v>1156.2</v>
      </c>
      <c r="AB294" s="22">
        <v>9.4706798131811099E-2</v>
      </c>
      <c r="AC294" s="24">
        <v>0</v>
      </c>
      <c r="AD294" s="384">
        <v>0</v>
      </c>
    </row>
    <row r="295" spans="1:30">
      <c r="A295" s="21" t="s">
        <v>55</v>
      </c>
      <c r="B295" s="21" t="s">
        <v>56</v>
      </c>
      <c r="C295" s="23">
        <v>5953.49</v>
      </c>
      <c r="D295" s="147">
        <v>264.52</v>
      </c>
      <c r="E295" s="22">
        <v>1367.27</v>
      </c>
      <c r="F295" s="22">
        <v>1631.79</v>
      </c>
      <c r="G295" s="22">
        <v>0</v>
      </c>
      <c r="H295" s="22">
        <v>361.05</v>
      </c>
      <c r="I295" s="22">
        <v>4.42</v>
      </c>
      <c r="J295" s="22">
        <v>1056.3499999999999</v>
      </c>
      <c r="K295" s="22">
        <v>212.39</v>
      </c>
      <c r="L295" s="22">
        <v>0.37</v>
      </c>
      <c r="M295" s="388">
        <v>21449.279999999995</v>
      </c>
      <c r="N295" s="25">
        <v>0.48480000000000001</v>
      </c>
      <c r="O295" s="24">
        <v>12505</v>
      </c>
      <c r="P295" s="24">
        <v>2930.5</v>
      </c>
      <c r="Q295" s="24">
        <v>1833</v>
      </c>
      <c r="R295" s="22">
        <v>1097.5</v>
      </c>
      <c r="S295" s="24">
        <v>481.75</v>
      </c>
      <c r="T295" s="24">
        <f t="shared" si="15"/>
        <v>3412.25</v>
      </c>
      <c r="U295" s="376">
        <v>10400.76</v>
      </c>
      <c r="V295" s="376">
        <v>1072.46</v>
      </c>
      <c r="W295" s="22">
        <f t="shared" si="16"/>
        <v>5042.2884480000002</v>
      </c>
      <c r="X295" s="22">
        <f t="shared" si="17"/>
        <v>2856.25</v>
      </c>
      <c r="Y295" s="22">
        <v>1787</v>
      </c>
      <c r="Z295" s="22">
        <v>1069.25</v>
      </c>
      <c r="AA295" s="371">
        <v>21527.19</v>
      </c>
      <c r="AB295" s="22">
        <v>0.13268104197528802</v>
      </c>
      <c r="AC295" s="24">
        <v>0</v>
      </c>
      <c r="AD295" s="384">
        <v>0</v>
      </c>
    </row>
    <row r="296" spans="1:30">
      <c r="A296" s="21" t="s">
        <v>193</v>
      </c>
      <c r="B296" s="21" t="s">
        <v>194</v>
      </c>
      <c r="C296" s="23">
        <v>274.36</v>
      </c>
      <c r="D296" s="147">
        <v>21.13</v>
      </c>
      <c r="E296" s="22">
        <v>96.95</v>
      </c>
      <c r="F296" s="22">
        <v>118.08</v>
      </c>
      <c r="G296" s="22">
        <v>0</v>
      </c>
      <c r="H296" s="22">
        <v>31.75</v>
      </c>
      <c r="I296" s="22">
        <v>0.68</v>
      </c>
      <c r="J296" s="22">
        <v>129.49</v>
      </c>
      <c r="K296" s="22">
        <v>0</v>
      </c>
      <c r="L296" s="22">
        <v>0</v>
      </c>
      <c r="M296" s="388">
        <v>1481.5300000000002</v>
      </c>
      <c r="N296" s="25">
        <v>0.2329</v>
      </c>
      <c r="O296" s="24">
        <v>39</v>
      </c>
      <c r="P296" s="24">
        <v>74.75</v>
      </c>
      <c r="Q296" s="24">
        <v>43.5</v>
      </c>
      <c r="R296" s="22">
        <v>31.25</v>
      </c>
      <c r="S296" s="24">
        <v>6</v>
      </c>
      <c r="T296" s="24">
        <f t="shared" si="15"/>
        <v>80.75</v>
      </c>
      <c r="U296" s="376">
        <v>345.79</v>
      </c>
      <c r="V296" s="376">
        <v>74.08</v>
      </c>
      <c r="W296" s="22">
        <f t="shared" si="16"/>
        <v>80.534491000000003</v>
      </c>
      <c r="X296" s="22">
        <f t="shared" si="17"/>
        <v>165</v>
      </c>
      <c r="Y296" s="22">
        <v>129</v>
      </c>
      <c r="Z296" s="22">
        <v>36</v>
      </c>
      <c r="AA296" s="371">
        <v>1483.22</v>
      </c>
      <c r="AB296" s="22">
        <v>0.11124445463248878</v>
      </c>
      <c r="AC296" s="24">
        <v>0</v>
      </c>
      <c r="AD296" s="384">
        <v>0</v>
      </c>
    </row>
    <row r="297" spans="1:30">
      <c r="A297" s="21" t="s">
        <v>1024</v>
      </c>
      <c r="B297" s="21" t="s">
        <v>1044</v>
      </c>
      <c r="C297" s="23">
        <v>55.2</v>
      </c>
      <c r="D297" s="147">
        <v>0</v>
      </c>
      <c r="E297" s="22">
        <v>0</v>
      </c>
      <c r="F297" s="22">
        <v>0</v>
      </c>
      <c r="G297" s="22">
        <v>0</v>
      </c>
      <c r="H297" s="22">
        <v>0</v>
      </c>
      <c r="I297" s="22">
        <v>0</v>
      </c>
      <c r="J297" s="22">
        <v>0</v>
      </c>
      <c r="K297" s="22">
        <v>0</v>
      </c>
      <c r="L297" s="22">
        <v>0</v>
      </c>
      <c r="M297" s="388">
        <v>125.60000000000001</v>
      </c>
      <c r="N297" s="25">
        <v>0.9919</v>
      </c>
      <c r="O297" s="24">
        <v>124</v>
      </c>
      <c r="P297" s="24">
        <v>0</v>
      </c>
      <c r="Q297" s="24">
        <v>0</v>
      </c>
      <c r="R297" s="22">
        <v>0</v>
      </c>
      <c r="S297" s="24">
        <v>0</v>
      </c>
      <c r="T297" s="24">
        <f t="shared" si="15"/>
        <v>0</v>
      </c>
      <c r="U297" s="376">
        <v>124.58</v>
      </c>
      <c r="V297" s="376">
        <v>0</v>
      </c>
      <c r="W297" s="22">
        <f t="shared" si="16"/>
        <v>123.570902</v>
      </c>
      <c r="X297" s="22">
        <f t="shared" si="17"/>
        <v>16.5</v>
      </c>
      <c r="Y297" s="22">
        <v>15.5</v>
      </c>
      <c r="Z297" s="22">
        <v>1</v>
      </c>
      <c r="AA297" s="371">
        <v>125.6</v>
      </c>
      <c r="AB297" s="22">
        <v>0.13136942675159236</v>
      </c>
      <c r="AC297" s="24">
        <v>0</v>
      </c>
      <c r="AD297" s="384">
        <v>0</v>
      </c>
    </row>
    <row r="298" spans="1:30">
      <c r="A298" s="21" t="s">
        <v>523</v>
      </c>
      <c r="B298" s="21" t="s">
        <v>524</v>
      </c>
      <c r="C298" s="23">
        <v>119.2</v>
      </c>
      <c r="D298" s="147">
        <v>0</v>
      </c>
      <c r="E298" s="22">
        <v>25.53</v>
      </c>
      <c r="F298" s="22">
        <v>25.53</v>
      </c>
      <c r="G298" s="22">
        <v>0</v>
      </c>
      <c r="H298" s="22">
        <v>7.02</v>
      </c>
      <c r="I298" s="22">
        <v>0.53</v>
      </c>
      <c r="J298" s="22">
        <v>19.79</v>
      </c>
      <c r="K298" s="22">
        <v>0</v>
      </c>
      <c r="L298" s="22">
        <v>0</v>
      </c>
      <c r="M298" s="388">
        <v>451.68</v>
      </c>
      <c r="N298" s="25">
        <v>0.64859999999999995</v>
      </c>
      <c r="O298" s="24">
        <v>462</v>
      </c>
      <c r="P298" s="24">
        <v>16.25</v>
      </c>
      <c r="Q298" s="24">
        <v>7.75</v>
      </c>
      <c r="R298" s="22">
        <v>8.5</v>
      </c>
      <c r="S298" s="24">
        <v>0</v>
      </c>
      <c r="T298" s="24">
        <f t="shared" si="15"/>
        <v>16.25</v>
      </c>
      <c r="U298" s="376">
        <v>292.95999999999998</v>
      </c>
      <c r="V298" s="376">
        <v>0</v>
      </c>
      <c r="W298" s="22">
        <f t="shared" si="16"/>
        <v>190.01385599999998</v>
      </c>
      <c r="X298" s="22">
        <f t="shared" si="17"/>
        <v>76.25</v>
      </c>
      <c r="Y298" s="22">
        <v>43.75</v>
      </c>
      <c r="Z298" s="22">
        <v>32.5</v>
      </c>
      <c r="AA298" s="371">
        <v>451.68</v>
      </c>
      <c r="AB298" s="22">
        <v>0.16881420474672335</v>
      </c>
      <c r="AC298" s="24">
        <v>3.3814204746723336E-2</v>
      </c>
      <c r="AD298" s="384">
        <v>-135729.53107407753</v>
      </c>
    </row>
    <row r="299" spans="1:30">
      <c r="A299" s="21" t="s">
        <v>121</v>
      </c>
      <c r="B299" s="21" t="s">
        <v>122</v>
      </c>
      <c r="C299" s="23">
        <v>643.79999999999995</v>
      </c>
      <c r="D299" s="147">
        <v>65.14</v>
      </c>
      <c r="E299" s="22">
        <v>208.3</v>
      </c>
      <c r="F299" s="22">
        <v>273.44</v>
      </c>
      <c r="G299" s="22">
        <v>0</v>
      </c>
      <c r="H299" s="22">
        <v>34.31</v>
      </c>
      <c r="I299" s="22">
        <v>1.99</v>
      </c>
      <c r="J299" s="22">
        <v>0</v>
      </c>
      <c r="K299" s="22">
        <v>0</v>
      </c>
      <c r="L299" s="22">
        <v>0</v>
      </c>
      <c r="M299" s="388">
        <v>2400.6899999999996</v>
      </c>
      <c r="N299" s="25">
        <v>0.96860000000000002</v>
      </c>
      <c r="O299" s="24">
        <v>2453</v>
      </c>
      <c r="P299" s="24">
        <v>1197</v>
      </c>
      <c r="Q299" s="24">
        <v>747.75</v>
      </c>
      <c r="R299" s="22">
        <v>449.25</v>
      </c>
      <c r="S299" s="24">
        <v>228.5</v>
      </c>
      <c r="T299" s="24">
        <f t="shared" si="15"/>
        <v>1425.5</v>
      </c>
      <c r="U299" s="376">
        <v>2324.35</v>
      </c>
      <c r="V299" s="376">
        <v>120.03</v>
      </c>
      <c r="W299" s="22">
        <f t="shared" si="16"/>
        <v>2251.3654099999999</v>
      </c>
      <c r="X299" s="22">
        <f t="shared" si="17"/>
        <v>294.25</v>
      </c>
      <c r="Y299" s="22">
        <v>168.75</v>
      </c>
      <c r="Z299" s="22">
        <v>125.5</v>
      </c>
      <c r="AA299" s="371">
        <v>2428.12</v>
      </c>
      <c r="AB299" s="22">
        <v>0.1211842907269822</v>
      </c>
      <c r="AC299" s="24">
        <v>0</v>
      </c>
      <c r="AD299" s="384">
        <v>0</v>
      </c>
    </row>
    <row r="300" spans="1:30">
      <c r="A300" s="21" t="s">
        <v>535</v>
      </c>
      <c r="B300" s="21" t="s">
        <v>536</v>
      </c>
      <c r="C300" s="23">
        <v>71.5</v>
      </c>
      <c r="D300" s="147">
        <v>4.5</v>
      </c>
      <c r="E300" s="22">
        <v>10.26</v>
      </c>
      <c r="F300" s="22">
        <v>14.76</v>
      </c>
      <c r="G300" s="22">
        <v>0</v>
      </c>
      <c r="H300" s="22">
        <v>2.79</v>
      </c>
      <c r="I300" s="22">
        <v>0.67</v>
      </c>
      <c r="J300" s="22">
        <v>0</v>
      </c>
      <c r="K300" s="22">
        <v>0</v>
      </c>
      <c r="L300" s="22">
        <v>0</v>
      </c>
      <c r="M300" s="388">
        <v>262.04000000000008</v>
      </c>
      <c r="N300" s="25">
        <v>0.56779999999999997</v>
      </c>
      <c r="O300" s="24">
        <v>267</v>
      </c>
      <c r="P300" s="24">
        <v>1.5</v>
      </c>
      <c r="Q300" s="24">
        <v>0.5</v>
      </c>
      <c r="R300" s="22">
        <v>1</v>
      </c>
      <c r="S300" s="24">
        <v>0</v>
      </c>
      <c r="T300" s="24">
        <f t="shared" si="15"/>
        <v>1.5</v>
      </c>
      <c r="U300" s="376">
        <v>148.79</v>
      </c>
      <c r="V300" s="376">
        <v>0</v>
      </c>
      <c r="W300" s="22">
        <f t="shared" si="16"/>
        <v>84.482961999999986</v>
      </c>
      <c r="X300" s="22">
        <f t="shared" si="17"/>
        <v>21.75</v>
      </c>
      <c r="Y300" s="22">
        <v>20.75</v>
      </c>
      <c r="Z300" s="22">
        <v>1</v>
      </c>
      <c r="AA300" s="371">
        <v>264.05</v>
      </c>
      <c r="AB300" s="22">
        <v>8.2370763113046766E-2</v>
      </c>
      <c r="AC300" s="24">
        <v>0</v>
      </c>
      <c r="AD300" s="384">
        <v>0</v>
      </c>
    </row>
    <row r="301" spans="1:30">
      <c r="A301" s="21" t="s">
        <v>527</v>
      </c>
      <c r="B301" s="21" t="s">
        <v>528</v>
      </c>
      <c r="C301" s="23">
        <v>1508.22</v>
      </c>
      <c r="D301" s="147">
        <v>64.94</v>
      </c>
      <c r="E301" s="22">
        <v>293.41000000000003</v>
      </c>
      <c r="F301" s="22">
        <v>358.35</v>
      </c>
      <c r="G301" s="22">
        <v>92.35</v>
      </c>
      <c r="H301" s="22">
        <v>89.96</v>
      </c>
      <c r="I301" s="22">
        <v>9.11</v>
      </c>
      <c r="J301" s="22">
        <v>344.87</v>
      </c>
      <c r="K301" s="22">
        <v>94.2</v>
      </c>
      <c r="L301" s="22">
        <v>0.2</v>
      </c>
      <c r="M301" s="388">
        <v>5480.4599999999991</v>
      </c>
      <c r="N301" s="25">
        <v>0.55479999999999996</v>
      </c>
      <c r="O301" s="24">
        <v>2707</v>
      </c>
      <c r="P301" s="24">
        <v>780.25</v>
      </c>
      <c r="Q301" s="24">
        <v>541</v>
      </c>
      <c r="R301" s="22">
        <v>239.25</v>
      </c>
      <c r="S301" s="24">
        <v>140.5</v>
      </c>
      <c r="T301" s="24">
        <f t="shared" si="15"/>
        <v>920.75</v>
      </c>
      <c r="U301" s="376">
        <v>3040.56</v>
      </c>
      <c r="V301" s="376">
        <v>274.02</v>
      </c>
      <c r="W301" s="22">
        <f t="shared" si="16"/>
        <v>1686.9026879999999</v>
      </c>
      <c r="X301" s="22">
        <f t="shared" si="17"/>
        <v>799</v>
      </c>
      <c r="Y301" s="22">
        <v>459.75</v>
      </c>
      <c r="Z301" s="22">
        <v>339.25</v>
      </c>
      <c r="AA301" s="371">
        <v>5465.81</v>
      </c>
      <c r="AB301" s="22">
        <v>0.14618144428730598</v>
      </c>
      <c r="AC301" s="24">
        <v>1.1181444287305969E-2</v>
      </c>
      <c r="AD301" s="384">
        <v>-544600.34222499118</v>
      </c>
    </row>
    <row r="302" spans="1:30">
      <c r="A302" s="21" t="s">
        <v>605</v>
      </c>
      <c r="B302" s="21" t="s">
        <v>606</v>
      </c>
      <c r="C302" s="23">
        <v>878.61</v>
      </c>
      <c r="D302" s="147">
        <v>57.4</v>
      </c>
      <c r="E302" s="22">
        <v>256.31</v>
      </c>
      <c r="F302" s="22">
        <v>313.70999999999998</v>
      </c>
      <c r="G302" s="22">
        <v>0</v>
      </c>
      <c r="H302" s="22">
        <v>15.45</v>
      </c>
      <c r="I302" s="22">
        <v>1.08</v>
      </c>
      <c r="J302" s="22">
        <v>28.75</v>
      </c>
      <c r="K302" s="22">
        <v>4.2</v>
      </c>
      <c r="L302" s="22">
        <v>0</v>
      </c>
      <c r="M302" s="388">
        <v>3058.3299999999995</v>
      </c>
      <c r="N302" s="25">
        <v>0.90939999999999999</v>
      </c>
      <c r="O302" s="24">
        <v>3145</v>
      </c>
      <c r="P302" s="24">
        <v>1045</v>
      </c>
      <c r="Q302" s="24">
        <v>595.5</v>
      </c>
      <c r="R302" s="22">
        <v>449.5</v>
      </c>
      <c r="S302" s="24">
        <v>151.25</v>
      </c>
      <c r="T302" s="24">
        <f t="shared" si="15"/>
        <v>1196.25</v>
      </c>
      <c r="U302" s="376">
        <v>2780.33</v>
      </c>
      <c r="V302" s="376">
        <v>152.91999999999999</v>
      </c>
      <c r="W302" s="22">
        <f t="shared" si="16"/>
        <v>2528.4321019999998</v>
      </c>
      <c r="X302" s="22">
        <f t="shared" si="17"/>
        <v>385.25</v>
      </c>
      <c r="Y302" s="22">
        <v>290</v>
      </c>
      <c r="Z302" s="22">
        <v>95.25</v>
      </c>
      <c r="AA302" s="371">
        <v>3067.73</v>
      </c>
      <c r="AB302" s="22">
        <v>0.1255814559951495</v>
      </c>
      <c r="AC302" s="24">
        <v>0</v>
      </c>
      <c r="AD302" s="384">
        <v>0</v>
      </c>
    </row>
    <row r="303" spans="1:30">
      <c r="A303" s="21" t="s">
        <v>125</v>
      </c>
      <c r="B303" s="21" t="s">
        <v>126</v>
      </c>
      <c r="C303" s="23">
        <v>230.2</v>
      </c>
      <c r="D303" s="147">
        <v>3.09</v>
      </c>
      <c r="E303" s="22">
        <v>54.3</v>
      </c>
      <c r="F303" s="22">
        <v>57.39</v>
      </c>
      <c r="G303" s="22">
        <v>0</v>
      </c>
      <c r="H303" s="22">
        <v>21.62</v>
      </c>
      <c r="I303" s="22">
        <v>2.0699999999999998</v>
      </c>
      <c r="J303" s="22">
        <v>0</v>
      </c>
      <c r="K303" s="22">
        <v>0</v>
      </c>
      <c r="L303" s="22">
        <v>0</v>
      </c>
      <c r="M303" s="388">
        <v>886.39</v>
      </c>
      <c r="N303" s="25">
        <v>0.85399999999999998</v>
      </c>
      <c r="O303" s="24">
        <v>902</v>
      </c>
      <c r="P303" s="24">
        <v>236.25</v>
      </c>
      <c r="Q303" s="24">
        <v>158.75</v>
      </c>
      <c r="R303" s="22">
        <v>77.5</v>
      </c>
      <c r="S303" s="24">
        <v>53.25</v>
      </c>
      <c r="T303" s="24">
        <f t="shared" si="15"/>
        <v>289.5</v>
      </c>
      <c r="U303" s="376">
        <v>756.98</v>
      </c>
      <c r="V303" s="376">
        <v>44.32</v>
      </c>
      <c r="W303" s="22">
        <f t="shared" si="16"/>
        <v>646.46091999999999</v>
      </c>
      <c r="X303" s="22">
        <f t="shared" si="17"/>
        <v>123.5</v>
      </c>
      <c r="Y303" s="22">
        <v>43.5</v>
      </c>
      <c r="Z303" s="22">
        <v>80</v>
      </c>
      <c r="AA303" s="371">
        <v>887.16</v>
      </c>
      <c r="AB303" s="22">
        <v>0.13920826006582804</v>
      </c>
      <c r="AC303" s="24">
        <v>4.2082600658280289E-3</v>
      </c>
      <c r="AD303" s="384">
        <v>-32244.009104831177</v>
      </c>
    </row>
    <row r="304" spans="1:30">
      <c r="A304" s="21" t="s">
        <v>63</v>
      </c>
      <c r="B304" s="21" t="s">
        <v>64</v>
      </c>
      <c r="C304" s="23">
        <v>757.57</v>
      </c>
      <c r="D304" s="147">
        <v>43.91</v>
      </c>
      <c r="E304" s="22">
        <v>224.87</v>
      </c>
      <c r="F304" s="22">
        <v>268.77999999999997</v>
      </c>
      <c r="G304" s="22">
        <v>0</v>
      </c>
      <c r="H304" s="22">
        <v>63.25</v>
      </c>
      <c r="I304" s="22">
        <v>0.7</v>
      </c>
      <c r="J304" s="22">
        <v>108.76</v>
      </c>
      <c r="K304" s="22">
        <v>5.4</v>
      </c>
      <c r="L304" s="22">
        <v>0</v>
      </c>
      <c r="M304" s="388">
        <v>2899.5800000000004</v>
      </c>
      <c r="N304" s="25">
        <v>0.34239999999999998</v>
      </c>
      <c r="O304" s="24">
        <v>0</v>
      </c>
      <c r="P304" s="24">
        <v>77.25</v>
      </c>
      <c r="Q304" s="24">
        <v>43.75</v>
      </c>
      <c r="R304" s="22">
        <v>33.5</v>
      </c>
      <c r="S304" s="24">
        <v>11</v>
      </c>
      <c r="T304" s="24">
        <f t="shared" si="15"/>
        <v>88.25</v>
      </c>
      <c r="U304" s="376">
        <v>992.82</v>
      </c>
      <c r="V304" s="376">
        <v>144.97999999999999</v>
      </c>
      <c r="W304" s="22">
        <f t="shared" si="16"/>
        <v>339.94156800000002</v>
      </c>
      <c r="X304" s="22">
        <f t="shared" si="17"/>
        <v>440.75</v>
      </c>
      <c r="Y304" s="22">
        <v>316.25</v>
      </c>
      <c r="Z304" s="22">
        <v>124.5</v>
      </c>
      <c r="AA304" s="371">
        <v>2943.94</v>
      </c>
      <c r="AB304" s="22">
        <v>0.14971432841701937</v>
      </c>
      <c r="AC304" s="24">
        <v>1.4714328417019362E-2</v>
      </c>
      <c r="AD304" s="384">
        <v>-392995.07064141636</v>
      </c>
    </row>
    <row r="305" spans="1:30">
      <c r="A305" s="21" t="s">
        <v>3</v>
      </c>
      <c r="B305" s="21" t="s">
        <v>4</v>
      </c>
      <c r="C305" s="23">
        <v>21.4</v>
      </c>
      <c r="D305" s="147">
        <v>2.9</v>
      </c>
      <c r="E305" s="22">
        <v>2.7</v>
      </c>
      <c r="F305" s="22">
        <v>5.6</v>
      </c>
      <c r="G305" s="22">
        <v>0</v>
      </c>
      <c r="H305" s="22">
        <v>0</v>
      </c>
      <c r="I305" s="22">
        <v>0</v>
      </c>
      <c r="J305" s="22">
        <v>0</v>
      </c>
      <c r="K305" s="22">
        <v>0</v>
      </c>
      <c r="L305" s="22">
        <v>0</v>
      </c>
      <c r="M305" s="388">
        <v>78.11</v>
      </c>
      <c r="N305" s="25">
        <v>0.74390000000000001</v>
      </c>
      <c r="O305" s="24">
        <v>82</v>
      </c>
      <c r="P305" s="24">
        <v>1</v>
      </c>
      <c r="Q305" s="24">
        <v>1</v>
      </c>
      <c r="R305" s="22">
        <v>0</v>
      </c>
      <c r="S305" s="24">
        <v>0</v>
      </c>
      <c r="T305" s="24">
        <f t="shared" si="15"/>
        <v>1</v>
      </c>
      <c r="U305" s="376">
        <v>58.11</v>
      </c>
      <c r="V305" s="376">
        <v>3.91</v>
      </c>
      <c r="W305" s="22">
        <f t="shared" si="16"/>
        <v>43.228028999999999</v>
      </c>
      <c r="X305" s="22">
        <f t="shared" si="17"/>
        <v>5.5</v>
      </c>
      <c r="Y305" s="22">
        <v>5.5</v>
      </c>
      <c r="Z305" s="22">
        <v>0</v>
      </c>
      <c r="AA305" s="371">
        <v>78.12</v>
      </c>
      <c r="AB305" s="22">
        <v>7.040450588837685E-2</v>
      </c>
      <c r="AC305" s="24">
        <v>0</v>
      </c>
      <c r="AD305" s="384">
        <v>0</v>
      </c>
    </row>
    <row r="306" spans="1:30">
      <c r="A306" s="21" t="s">
        <v>99</v>
      </c>
      <c r="B306" s="21" t="s">
        <v>100</v>
      </c>
      <c r="C306" s="23">
        <v>71.2</v>
      </c>
      <c r="D306" s="147">
        <v>1.39</v>
      </c>
      <c r="E306" s="22">
        <v>13.83</v>
      </c>
      <c r="F306" s="22">
        <v>15.22</v>
      </c>
      <c r="G306" s="22">
        <v>0</v>
      </c>
      <c r="H306" s="22">
        <v>4.92</v>
      </c>
      <c r="I306" s="22">
        <v>0.17</v>
      </c>
      <c r="J306" s="22">
        <v>0</v>
      </c>
      <c r="K306" s="22">
        <v>0</v>
      </c>
      <c r="L306" s="22">
        <v>0</v>
      </c>
      <c r="M306" s="388">
        <v>258.22000000000003</v>
      </c>
      <c r="N306" s="25">
        <v>0.55989999999999995</v>
      </c>
      <c r="O306" s="24">
        <v>255</v>
      </c>
      <c r="P306" s="24">
        <v>14</v>
      </c>
      <c r="Q306" s="24">
        <v>8</v>
      </c>
      <c r="R306" s="22">
        <v>6</v>
      </c>
      <c r="S306" s="24">
        <v>3</v>
      </c>
      <c r="T306" s="24">
        <f t="shared" si="15"/>
        <v>17</v>
      </c>
      <c r="U306" s="376">
        <v>144.58000000000001</v>
      </c>
      <c r="V306" s="376">
        <v>12.91</v>
      </c>
      <c r="W306" s="22">
        <f t="shared" si="16"/>
        <v>80.950342000000006</v>
      </c>
      <c r="X306" s="22">
        <f t="shared" si="17"/>
        <v>43</v>
      </c>
      <c r="Y306" s="22">
        <v>35</v>
      </c>
      <c r="Z306" s="22">
        <v>8</v>
      </c>
      <c r="AA306" s="371">
        <v>258.76</v>
      </c>
      <c r="AB306" s="22">
        <v>0.16617715257381357</v>
      </c>
      <c r="AC306" s="24">
        <v>3.1177152573813566E-2</v>
      </c>
      <c r="AD306" s="384">
        <v>-70461.056845039027</v>
      </c>
    </row>
    <row r="307" spans="1:30">
      <c r="A307" s="21" t="s">
        <v>487</v>
      </c>
      <c r="B307" s="21" t="s">
        <v>488</v>
      </c>
      <c r="C307" s="23">
        <v>109</v>
      </c>
      <c r="D307" s="147">
        <v>0</v>
      </c>
      <c r="E307" s="22">
        <v>6.6</v>
      </c>
      <c r="F307" s="22">
        <v>6.6</v>
      </c>
      <c r="G307" s="22">
        <v>0</v>
      </c>
      <c r="H307" s="22">
        <v>3.69</v>
      </c>
      <c r="I307" s="22">
        <v>0.08</v>
      </c>
      <c r="J307" s="22">
        <v>0</v>
      </c>
      <c r="K307" s="22">
        <v>21.6</v>
      </c>
      <c r="L307" s="22">
        <v>0</v>
      </c>
      <c r="M307" s="388">
        <v>390.85999999999996</v>
      </c>
      <c r="N307" s="25">
        <v>0.8992</v>
      </c>
      <c r="O307" s="24">
        <v>397</v>
      </c>
      <c r="P307" s="24">
        <v>0</v>
      </c>
      <c r="Q307" s="24">
        <v>0</v>
      </c>
      <c r="R307" s="22">
        <v>0</v>
      </c>
      <c r="S307" s="24">
        <v>0</v>
      </c>
      <c r="T307" s="24">
        <f t="shared" si="15"/>
        <v>0</v>
      </c>
      <c r="U307" s="376">
        <v>351.46</v>
      </c>
      <c r="V307" s="376">
        <v>19.54</v>
      </c>
      <c r="W307" s="22">
        <f t="shared" si="16"/>
        <v>316.03283199999998</v>
      </c>
      <c r="X307" s="22">
        <f t="shared" si="17"/>
        <v>63.25</v>
      </c>
      <c r="Y307" s="22">
        <v>54.75</v>
      </c>
      <c r="Z307" s="22">
        <v>8.5</v>
      </c>
      <c r="AA307" s="371">
        <v>390.86</v>
      </c>
      <c r="AB307" s="22">
        <v>0.16182264749526684</v>
      </c>
      <c r="AC307" s="24">
        <v>2.6822647495266833E-2</v>
      </c>
      <c r="AD307" s="384">
        <v>-91584.876096490872</v>
      </c>
    </row>
    <row r="308" spans="1:30">
      <c r="A308" s="21" t="s">
        <v>41</v>
      </c>
      <c r="B308" s="21" t="s">
        <v>42</v>
      </c>
      <c r="C308" s="23">
        <v>1839.83</v>
      </c>
      <c r="D308" s="147">
        <v>166.8</v>
      </c>
      <c r="E308" s="22">
        <v>535.94000000000005</v>
      </c>
      <c r="F308" s="22">
        <v>702.74</v>
      </c>
      <c r="G308" s="22">
        <v>198.04</v>
      </c>
      <c r="H308" s="22">
        <v>240.99</v>
      </c>
      <c r="I308" s="22">
        <v>15</v>
      </c>
      <c r="J308" s="22">
        <v>431.81000000000006</v>
      </c>
      <c r="K308" s="22">
        <v>49.66</v>
      </c>
      <c r="L308" s="22">
        <v>0</v>
      </c>
      <c r="M308" s="388">
        <v>7292.5</v>
      </c>
      <c r="N308" s="25">
        <v>0.58699999999999997</v>
      </c>
      <c r="O308" s="24">
        <v>6253</v>
      </c>
      <c r="P308" s="24">
        <v>1567.5</v>
      </c>
      <c r="Q308" s="24">
        <v>997</v>
      </c>
      <c r="R308" s="22">
        <v>570.5</v>
      </c>
      <c r="S308" s="24">
        <v>366.75</v>
      </c>
      <c r="T308" s="24">
        <f t="shared" si="15"/>
        <v>1934.25</v>
      </c>
      <c r="U308" s="376">
        <v>4280.7</v>
      </c>
      <c r="V308" s="376">
        <v>0</v>
      </c>
      <c r="W308" s="22">
        <f t="shared" si="16"/>
        <v>2512.7708999999995</v>
      </c>
      <c r="X308" s="22">
        <f t="shared" si="17"/>
        <v>947.25</v>
      </c>
      <c r="Y308" s="22">
        <v>754.5</v>
      </c>
      <c r="Z308" s="22">
        <v>192.75</v>
      </c>
      <c r="AA308" s="371">
        <v>7239.14</v>
      </c>
      <c r="AB308" s="22">
        <v>0.13085117845489933</v>
      </c>
      <c r="AC308" s="24">
        <v>0</v>
      </c>
      <c r="AD308" s="384">
        <v>0</v>
      </c>
    </row>
    <row r="309" spans="1:30">
      <c r="A309" s="21" t="s">
        <v>473</v>
      </c>
      <c r="B309" s="21" t="s">
        <v>474</v>
      </c>
      <c r="C309" s="23">
        <v>786.1</v>
      </c>
      <c r="D309" s="147">
        <v>82.08</v>
      </c>
      <c r="E309" s="22">
        <v>205.38</v>
      </c>
      <c r="F309" s="22">
        <v>287.45999999999998</v>
      </c>
      <c r="G309" s="22">
        <v>0</v>
      </c>
      <c r="H309" s="22">
        <v>66.19</v>
      </c>
      <c r="I309" s="22">
        <v>1.77</v>
      </c>
      <c r="J309" s="22">
        <v>721.08</v>
      </c>
      <c r="K309" s="22">
        <v>2.2000000000000002</v>
      </c>
      <c r="L309" s="22">
        <v>0</v>
      </c>
      <c r="M309" s="388">
        <v>3410.5899999999997</v>
      </c>
      <c r="N309" s="25">
        <v>0.52390000000000003</v>
      </c>
      <c r="O309" s="24">
        <v>1839</v>
      </c>
      <c r="P309" s="24">
        <v>102.25</v>
      </c>
      <c r="Q309" s="24">
        <v>60.25</v>
      </c>
      <c r="R309" s="22">
        <v>42</v>
      </c>
      <c r="S309" s="24">
        <v>13.75</v>
      </c>
      <c r="T309" s="24">
        <f t="shared" si="15"/>
        <v>116</v>
      </c>
      <c r="U309" s="376">
        <v>1786.81</v>
      </c>
      <c r="V309" s="376">
        <v>170.53</v>
      </c>
      <c r="W309" s="22">
        <f t="shared" si="16"/>
        <v>936.10975900000005</v>
      </c>
      <c r="X309" s="22">
        <f t="shared" si="17"/>
        <v>396.25</v>
      </c>
      <c r="Y309" s="22">
        <v>314.25</v>
      </c>
      <c r="Z309" s="22">
        <v>82</v>
      </c>
      <c r="AA309" s="371">
        <v>3195.2</v>
      </c>
      <c r="AB309" s="22">
        <v>0.12401414621932901</v>
      </c>
      <c r="AC309" s="24">
        <v>0</v>
      </c>
      <c r="AD309" s="384">
        <v>0</v>
      </c>
    </row>
    <row r="310" spans="1:30">
      <c r="A310" s="21" t="s">
        <v>607</v>
      </c>
      <c r="B310" s="21" t="s">
        <v>608</v>
      </c>
      <c r="C310" s="23">
        <v>1481.81</v>
      </c>
      <c r="D310" s="147">
        <v>281.89999999999998</v>
      </c>
      <c r="E310" s="22">
        <v>310.18</v>
      </c>
      <c r="F310" s="22">
        <v>592.07999999999993</v>
      </c>
      <c r="G310" s="22">
        <v>0</v>
      </c>
      <c r="H310" s="22">
        <v>80.069999999999993</v>
      </c>
      <c r="I310" s="22">
        <v>8.6199999999999992</v>
      </c>
      <c r="J310" s="22">
        <v>174.32</v>
      </c>
      <c r="K310" s="22">
        <v>5.6</v>
      </c>
      <c r="L310" s="22">
        <v>0</v>
      </c>
      <c r="M310" s="388">
        <v>5225.1799999999994</v>
      </c>
      <c r="N310" s="25">
        <v>0.46389999999999998</v>
      </c>
      <c r="O310" s="24">
        <v>1540</v>
      </c>
      <c r="P310" s="24">
        <v>422</v>
      </c>
      <c r="Q310" s="24">
        <v>299.75</v>
      </c>
      <c r="R310" s="22">
        <v>122.25</v>
      </c>
      <c r="S310" s="24">
        <v>76</v>
      </c>
      <c r="T310" s="24">
        <f t="shared" si="15"/>
        <v>498</v>
      </c>
      <c r="U310" s="376">
        <v>2416.65</v>
      </c>
      <c r="V310" s="376">
        <v>261.26</v>
      </c>
      <c r="W310" s="22">
        <f t="shared" si="16"/>
        <v>1121.0839349999999</v>
      </c>
      <c r="X310" s="22">
        <f t="shared" si="17"/>
        <v>714.25</v>
      </c>
      <c r="Y310" s="22">
        <v>484.5</v>
      </c>
      <c r="Z310" s="22">
        <v>229.75</v>
      </c>
      <c r="AA310" s="371">
        <v>5262.89</v>
      </c>
      <c r="AB310" s="22">
        <v>0.13571440786336023</v>
      </c>
      <c r="AC310" s="24">
        <v>7.1440786336021689E-4</v>
      </c>
      <c r="AD310" s="384">
        <v>-33776.670347178537</v>
      </c>
    </row>
    <row r="311" spans="1:30">
      <c r="A311" s="21" t="s">
        <v>1253</v>
      </c>
      <c r="B311" s="21" t="s">
        <v>1254</v>
      </c>
      <c r="C311" s="23">
        <v>0</v>
      </c>
      <c r="D311" s="147">
        <v>0</v>
      </c>
      <c r="E311" s="22">
        <v>0</v>
      </c>
      <c r="F311" s="22">
        <v>0</v>
      </c>
      <c r="G311" s="22">
        <v>0</v>
      </c>
      <c r="H311" s="22">
        <v>0</v>
      </c>
      <c r="I311" s="22">
        <v>0</v>
      </c>
      <c r="J311" s="22">
        <v>0</v>
      </c>
      <c r="K311" s="22">
        <v>0</v>
      </c>
      <c r="L311" s="22">
        <v>0</v>
      </c>
      <c r="M311" s="388">
        <v>50</v>
      </c>
      <c r="N311" s="25">
        <v>0.60419999999999996</v>
      </c>
      <c r="O311" s="24">
        <v>48</v>
      </c>
      <c r="P311" s="24">
        <v>2.5</v>
      </c>
      <c r="Q311" s="24">
        <v>0</v>
      </c>
      <c r="R311" s="22">
        <v>2.5</v>
      </c>
      <c r="S311" s="24">
        <v>2.5</v>
      </c>
      <c r="T311" s="24">
        <f t="shared" si="15"/>
        <v>5</v>
      </c>
      <c r="U311" s="376">
        <v>0</v>
      </c>
      <c r="V311" s="376">
        <v>0</v>
      </c>
      <c r="W311" s="22">
        <f t="shared" si="16"/>
        <v>0</v>
      </c>
      <c r="X311" s="22">
        <f t="shared" si="17"/>
        <v>6.75</v>
      </c>
      <c r="Y311" s="22">
        <v>6.75</v>
      </c>
      <c r="Z311" s="22">
        <v>0</v>
      </c>
      <c r="AA311" s="371">
        <v>50</v>
      </c>
      <c r="AB311" s="22">
        <v>0.13500000000000001</v>
      </c>
      <c r="AC311" s="24">
        <v>0</v>
      </c>
      <c r="AD311" s="384">
        <v>0</v>
      </c>
    </row>
    <row r="312" spans="1:30">
      <c r="A312" s="21" t="s">
        <v>293</v>
      </c>
      <c r="B312" s="21" t="s">
        <v>294</v>
      </c>
      <c r="C312" s="23">
        <v>96.49</v>
      </c>
      <c r="D312" s="147">
        <v>0.13</v>
      </c>
      <c r="E312" s="22">
        <v>18.62</v>
      </c>
      <c r="F312" s="22">
        <v>18.75</v>
      </c>
      <c r="G312" s="22">
        <v>0</v>
      </c>
      <c r="H312" s="22">
        <v>7.87</v>
      </c>
      <c r="I312" s="22">
        <v>0.92</v>
      </c>
      <c r="J312" s="22">
        <v>18.54</v>
      </c>
      <c r="K312" s="22">
        <v>0</v>
      </c>
      <c r="L312" s="22">
        <v>0</v>
      </c>
      <c r="M312" s="388">
        <v>324.11</v>
      </c>
      <c r="N312" s="25">
        <v>0.69669999999999999</v>
      </c>
      <c r="O312" s="24">
        <v>333</v>
      </c>
      <c r="P312" s="24">
        <v>0</v>
      </c>
      <c r="Q312" s="24">
        <v>0</v>
      </c>
      <c r="R312" s="22">
        <v>0</v>
      </c>
      <c r="S312" s="24">
        <v>0</v>
      </c>
      <c r="T312" s="24">
        <f t="shared" si="15"/>
        <v>0</v>
      </c>
      <c r="U312" s="376">
        <v>225.81</v>
      </c>
      <c r="V312" s="376">
        <v>16.21</v>
      </c>
      <c r="W312" s="22">
        <f t="shared" si="16"/>
        <v>157.32182699999998</v>
      </c>
      <c r="X312" s="22">
        <f t="shared" si="17"/>
        <v>60.5</v>
      </c>
      <c r="Y312" s="22">
        <v>40</v>
      </c>
      <c r="Z312" s="22">
        <v>20.5</v>
      </c>
      <c r="AA312" s="371">
        <v>324.11</v>
      </c>
      <c r="AB312" s="22">
        <v>0.18666502113479991</v>
      </c>
      <c r="AC312" s="24">
        <v>5.1665021134799899E-2</v>
      </c>
      <c r="AD312" s="384">
        <v>-147019.23090794118</v>
      </c>
    </row>
    <row r="313" spans="1:30">
      <c r="A313" s="21" t="s">
        <v>387</v>
      </c>
      <c r="B313" s="21" t="s">
        <v>388</v>
      </c>
      <c r="C313" s="23">
        <v>1286.52</v>
      </c>
      <c r="D313" s="147">
        <v>33.08</v>
      </c>
      <c r="E313" s="22">
        <v>290.43</v>
      </c>
      <c r="F313" s="22">
        <v>323.51</v>
      </c>
      <c r="G313" s="22">
        <v>0</v>
      </c>
      <c r="H313" s="22">
        <v>100.04</v>
      </c>
      <c r="I313" s="22">
        <v>6.32</v>
      </c>
      <c r="J313" s="22">
        <v>46.8</v>
      </c>
      <c r="K313" s="22">
        <v>30.8</v>
      </c>
      <c r="L313" s="22">
        <v>0</v>
      </c>
      <c r="M313" s="388">
        <v>4141.79</v>
      </c>
      <c r="N313" s="25">
        <v>0.29680000000000001</v>
      </c>
      <c r="O313" s="24">
        <v>27</v>
      </c>
      <c r="P313" s="24">
        <v>120.5</v>
      </c>
      <c r="Q313" s="24">
        <v>89.5</v>
      </c>
      <c r="R313" s="22">
        <v>31</v>
      </c>
      <c r="S313" s="24">
        <v>37</v>
      </c>
      <c r="T313" s="24">
        <f t="shared" si="15"/>
        <v>157.5</v>
      </c>
      <c r="U313" s="376">
        <v>1229.28</v>
      </c>
      <c r="V313" s="376">
        <v>0</v>
      </c>
      <c r="W313" s="22">
        <f t="shared" si="16"/>
        <v>364.85030399999999</v>
      </c>
      <c r="X313" s="22">
        <f t="shared" si="17"/>
        <v>566</v>
      </c>
      <c r="Y313" s="22">
        <v>341</v>
      </c>
      <c r="Z313" s="22">
        <v>225</v>
      </c>
      <c r="AA313" s="371">
        <v>4168.96</v>
      </c>
      <c r="AB313" s="22">
        <v>0.13576527479275408</v>
      </c>
      <c r="AC313" s="24">
        <v>7.6527479275406707E-4</v>
      </c>
      <c r="AD313" s="384">
        <v>-29268.838863338151</v>
      </c>
    </row>
    <row r="314" spans="1:30">
      <c r="A314" s="21" t="s">
        <v>267</v>
      </c>
      <c r="B314" s="21" t="s">
        <v>268</v>
      </c>
      <c r="C314" s="23">
        <v>300.05</v>
      </c>
      <c r="D314" s="147">
        <v>0</v>
      </c>
      <c r="E314" s="22">
        <v>57.92</v>
      </c>
      <c r="F314" s="22">
        <v>57.92</v>
      </c>
      <c r="G314" s="22">
        <v>0</v>
      </c>
      <c r="H314" s="22">
        <v>20.85</v>
      </c>
      <c r="I314" s="22">
        <v>0.05</v>
      </c>
      <c r="J314" s="22">
        <v>18.05</v>
      </c>
      <c r="K314" s="22">
        <v>0</v>
      </c>
      <c r="L314" s="22">
        <v>0</v>
      </c>
      <c r="M314" s="388">
        <v>1106.8599999999999</v>
      </c>
      <c r="N314" s="25">
        <v>0.43130000000000002</v>
      </c>
      <c r="O314" s="24">
        <v>18</v>
      </c>
      <c r="P314" s="24">
        <v>181.75</v>
      </c>
      <c r="Q314" s="24">
        <v>107.25</v>
      </c>
      <c r="R314" s="22">
        <v>74.5</v>
      </c>
      <c r="S314" s="24">
        <v>19.75</v>
      </c>
      <c r="T314" s="24">
        <f t="shared" si="15"/>
        <v>201.5</v>
      </c>
      <c r="U314" s="376">
        <v>477.94</v>
      </c>
      <c r="V314" s="376">
        <v>55.34</v>
      </c>
      <c r="W314" s="22">
        <f t="shared" si="16"/>
        <v>206.13552200000001</v>
      </c>
      <c r="X314" s="22">
        <f t="shared" si="17"/>
        <v>144.25</v>
      </c>
      <c r="Y314" s="22">
        <v>101.25</v>
      </c>
      <c r="Z314" s="22">
        <v>43</v>
      </c>
      <c r="AA314" s="371">
        <v>1106.8599999999999</v>
      </c>
      <c r="AB314" s="22">
        <v>0.13032361816309201</v>
      </c>
      <c r="AC314" s="24">
        <v>0</v>
      </c>
      <c r="AD314" s="384">
        <v>0</v>
      </c>
    </row>
    <row r="315" spans="1:30">
      <c r="A315" s="21" t="s">
        <v>307</v>
      </c>
      <c r="B315" s="21" t="s">
        <v>308</v>
      </c>
      <c r="C315" s="23">
        <v>53.3</v>
      </c>
      <c r="D315" s="147">
        <v>6.11</v>
      </c>
      <c r="E315" s="22">
        <v>15.33</v>
      </c>
      <c r="F315" s="22">
        <v>21.44</v>
      </c>
      <c r="G315" s="22">
        <v>0</v>
      </c>
      <c r="H315" s="22">
        <v>4.3</v>
      </c>
      <c r="I315" s="22">
        <v>0</v>
      </c>
      <c r="J315" s="22">
        <v>0</v>
      </c>
      <c r="K315" s="22">
        <v>0</v>
      </c>
      <c r="L315" s="22">
        <v>0</v>
      </c>
      <c r="M315" s="388">
        <v>220.11</v>
      </c>
      <c r="N315" s="25">
        <v>0.44269999999999998</v>
      </c>
      <c r="O315" s="24">
        <v>0</v>
      </c>
      <c r="P315" s="24">
        <v>0</v>
      </c>
      <c r="Q315" s="24">
        <v>0</v>
      </c>
      <c r="R315" s="22">
        <v>0</v>
      </c>
      <c r="S315" s="24">
        <v>0</v>
      </c>
      <c r="T315" s="24">
        <f t="shared" si="15"/>
        <v>0</v>
      </c>
      <c r="U315" s="376">
        <v>97.44</v>
      </c>
      <c r="V315" s="376">
        <v>11.01</v>
      </c>
      <c r="W315" s="22">
        <f t="shared" si="16"/>
        <v>43.136687999999999</v>
      </c>
      <c r="X315" s="22">
        <f t="shared" si="17"/>
        <v>40.25</v>
      </c>
      <c r="Y315" s="22">
        <v>30</v>
      </c>
      <c r="Z315" s="22">
        <v>10.25</v>
      </c>
      <c r="AA315" s="371">
        <v>220.11</v>
      </c>
      <c r="AB315" s="22">
        <v>0.18286311389759666</v>
      </c>
      <c r="AC315" s="24">
        <v>4.7863113897596649E-2</v>
      </c>
      <c r="AD315" s="384">
        <v>-91529.537530938323</v>
      </c>
    </row>
    <row r="316" spans="1:30">
      <c r="A316" s="21" t="s">
        <v>351</v>
      </c>
      <c r="B316" s="21" t="s">
        <v>352</v>
      </c>
      <c r="C316" s="23">
        <v>97.6</v>
      </c>
      <c r="D316" s="147">
        <v>6.34</v>
      </c>
      <c r="E316" s="22">
        <v>24.41</v>
      </c>
      <c r="F316" s="22">
        <v>30.75</v>
      </c>
      <c r="G316" s="22">
        <v>0</v>
      </c>
      <c r="H316" s="22">
        <v>19.3</v>
      </c>
      <c r="I316" s="22">
        <v>0</v>
      </c>
      <c r="J316" s="22">
        <v>0</v>
      </c>
      <c r="K316" s="22">
        <v>0</v>
      </c>
      <c r="L316" s="22">
        <v>0</v>
      </c>
      <c r="M316" s="388">
        <v>358.58</v>
      </c>
      <c r="N316" s="25">
        <v>0.41570000000000001</v>
      </c>
      <c r="O316" s="24">
        <v>0</v>
      </c>
      <c r="P316" s="24">
        <v>8</v>
      </c>
      <c r="Q316" s="24">
        <v>7</v>
      </c>
      <c r="R316" s="22">
        <v>1</v>
      </c>
      <c r="S316" s="24">
        <v>1</v>
      </c>
      <c r="T316" s="24">
        <f t="shared" si="15"/>
        <v>9</v>
      </c>
      <c r="U316" s="376">
        <v>149.06</v>
      </c>
      <c r="V316" s="376">
        <v>17.93</v>
      </c>
      <c r="W316" s="22">
        <f t="shared" si="16"/>
        <v>61.964242000000006</v>
      </c>
      <c r="X316" s="22">
        <f t="shared" si="17"/>
        <v>41</v>
      </c>
      <c r="Y316" s="22">
        <v>23.25</v>
      </c>
      <c r="Z316" s="22">
        <v>17.75</v>
      </c>
      <c r="AA316" s="371">
        <v>358.75</v>
      </c>
      <c r="AB316" s="22">
        <v>0.11428571428571428</v>
      </c>
      <c r="AC316" s="24">
        <v>0</v>
      </c>
      <c r="AD316" s="384">
        <v>0</v>
      </c>
    </row>
    <row r="317" spans="1:30">
      <c r="A317" s="21" t="s">
        <v>137</v>
      </c>
      <c r="B317" s="21" t="s">
        <v>138</v>
      </c>
      <c r="C317" s="23">
        <v>34.799999999999997</v>
      </c>
      <c r="D317" s="147">
        <v>3.05</v>
      </c>
      <c r="E317" s="22">
        <v>10.56</v>
      </c>
      <c r="F317" s="22">
        <v>13.61</v>
      </c>
      <c r="G317" s="22">
        <v>0</v>
      </c>
      <c r="H317" s="22">
        <v>3.41</v>
      </c>
      <c r="I317" s="22">
        <v>0.5</v>
      </c>
      <c r="J317" s="22">
        <v>0</v>
      </c>
      <c r="K317" s="22">
        <v>0</v>
      </c>
      <c r="L317" s="22">
        <v>0</v>
      </c>
      <c r="M317" s="388">
        <v>112.79999999999998</v>
      </c>
      <c r="N317" s="25">
        <v>0.66439999999999999</v>
      </c>
      <c r="O317" s="24">
        <v>118</v>
      </c>
      <c r="P317" s="24">
        <v>2.25</v>
      </c>
      <c r="Q317" s="24">
        <v>1</v>
      </c>
      <c r="R317" s="22">
        <v>1.25</v>
      </c>
      <c r="S317" s="24">
        <v>0.75</v>
      </c>
      <c r="T317" s="24">
        <f t="shared" si="15"/>
        <v>3</v>
      </c>
      <c r="U317" s="376">
        <v>74.94</v>
      </c>
      <c r="V317" s="376">
        <v>5.64</v>
      </c>
      <c r="W317" s="22">
        <f t="shared" si="16"/>
        <v>49.790135999999997</v>
      </c>
      <c r="X317" s="22">
        <f t="shared" si="17"/>
        <v>15.5</v>
      </c>
      <c r="Y317" s="22">
        <v>14.5</v>
      </c>
      <c r="Z317" s="22">
        <v>1</v>
      </c>
      <c r="AA317" s="371">
        <v>114.57</v>
      </c>
      <c r="AB317" s="22">
        <v>0.13528846993104654</v>
      </c>
      <c r="AC317" s="24">
        <v>2.8846993104653107E-4</v>
      </c>
      <c r="AD317" s="384">
        <v>-298.53820598456667</v>
      </c>
    </row>
    <row r="318" spans="1:30">
      <c r="A318" s="21" t="s">
        <v>281</v>
      </c>
      <c r="B318" s="21" t="s">
        <v>282</v>
      </c>
      <c r="C318" s="23">
        <v>226.2</v>
      </c>
      <c r="D318" s="147">
        <v>8.86</v>
      </c>
      <c r="E318" s="22">
        <v>48.29</v>
      </c>
      <c r="F318" s="22">
        <v>57.15</v>
      </c>
      <c r="G318" s="22">
        <v>0</v>
      </c>
      <c r="H318" s="22">
        <v>9.1300000000000008</v>
      </c>
      <c r="I318" s="22">
        <v>0.33</v>
      </c>
      <c r="J318" s="22">
        <v>0</v>
      </c>
      <c r="K318" s="22">
        <v>2</v>
      </c>
      <c r="L318" s="22">
        <v>0</v>
      </c>
      <c r="M318" s="388">
        <v>730.72</v>
      </c>
      <c r="N318" s="25">
        <v>0.91100000000000003</v>
      </c>
      <c r="O318" s="24">
        <v>736</v>
      </c>
      <c r="P318" s="24">
        <v>41</v>
      </c>
      <c r="Q318" s="24">
        <v>22.25</v>
      </c>
      <c r="R318" s="22">
        <v>18.75</v>
      </c>
      <c r="S318" s="24">
        <v>7.25</v>
      </c>
      <c r="T318" s="24">
        <f t="shared" si="15"/>
        <v>48.25</v>
      </c>
      <c r="U318" s="376">
        <v>665.69</v>
      </c>
      <c r="V318" s="376">
        <v>36.54</v>
      </c>
      <c r="W318" s="22">
        <f t="shared" si="16"/>
        <v>606.44359000000009</v>
      </c>
      <c r="X318" s="22">
        <f t="shared" si="17"/>
        <v>115</v>
      </c>
      <c r="Y318" s="22">
        <v>63</v>
      </c>
      <c r="Z318" s="22">
        <v>52</v>
      </c>
      <c r="AA318" s="371">
        <v>731.32</v>
      </c>
      <c r="AB318" s="22">
        <v>0.15724990428266694</v>
      </c>
      <c r="AC318" s="24">
        <v>2.2249904282666932E-2</v>
      </c>
      <c r="AD318" s="384">
        <v>-145742.57761362608</v>
      </c>
    </row>
    <row r="319" spans="1:30">
      <c r="A319" s="21" t="s">
        <v>161</v>
      </c>
      <c r="B319" s="21" t="s">
        <v>162</v>
      </c>
      <c r="C319" s="23">
        <v>48.4</v>
      </c>
      <c r="D319" s="147">
        <v>4.26</v>
      </c>
      <c r="E319" s="22">
        <v>6.81</v>
      </c>
      <c r="F319" s="22">
        <v>11.07</v>
      </c>
      <c r="G319" s="22">
        <v>0</v>
      </c>
      <c r="H319" s="22">
        <v>0.95</v>
      </c>
      <c r="I319" s="22">
        <v>0</v>
      </c>
      <c r="J319" s="22">
        <v>0</v>
      </c>
      <c r="K319" s="22">
        <v>0</v>
      </c>
      <c r="L319" s="22">
        <v>0</v>
      </c>
      <c r="M319" s="388">
        <v>156.47999999999996</v>
      </c>
      <c r="N319" s="25">
        <v>0.6774</v>
      </c>
      <c r="O319" s="24">
        <v>155</v>
      </c>
      <c r="P319" s="24">
        <v>0</v>
      </c>
      <c r="Q319" s="24">
        <v>0</v>
      </c>
      <c r="R319" s="22">
        <v>0</v>
      </c>
      <c r="S319" s="24">
        <v>0</v>
      </c>
      <c r="T319" s="24">
        <f t="shared" si="15"/>
        <v>0</v>
      </c>
      <c r="U319" s="376">
        <v>106</v>
      </c>
      <c r="V319" s="376">
        <v>0</v>
      </c>
      <c r="W319" s="22">
        <f t="shared" si="16"/>
        <v>71.804400000000001</v>
      </c>
      <c r="X319" s="22">
        <f t="shared" si="17"/>
        <v>18.5</v>
      </c>
      <c r="Y319" s="22">
        <v>15.5</v>
      </c>
      <c r="Z319" s="22">
        <v>3</v>
      </c>
      <c r="AA319" s="371">
        <v>156.47999999999999</v>
      </c>
      <c r="AB319" s="22">
        <v>0.11822597137014315</v>
      </c>
      <c r="AC319" s="24">
        <v>0</v>
      </c>
      <c r="AD319" s="384">
        <v>0</v>
      </c>
    </row>
    <row r="320" spans="1:30">
      <c r="A320" s="21" t="s">
        <v>251</v>
      </c>
      <c r="B320" s="21" t="s">
        <v>252</v>
      </c>
      <c r="C320" s="23">
        <v>16.399999999999999</v>
      </c>
      <c r="D320" s="147">
        <v>0</v>
      </c>
      <c r="E320" s="22">
        <v>2.59</v>
      </c>
      <c r="F320" s="22">
        <v>2.59</v>
      </c>
      <c r="G320" s="22">
        <v>0</v>
      </c>
      <c r="H320" s="22">
        <v>4.45</v>
      </c>
      <c r="I320" s="22">
        <v>0.08</v>
      </c>
      <c r="J320" s="22">
        <v>0</v>
      </c>
      <c r="K320" s="22">
        <v>0</v>
      </c>
      <c r="L320" s="22">
        <v>0</v>
      </c>
      <c r="M320" s="388">
        <v>60.22</v>
      </c>
      <c r="N320" s="25">
        <v>0.91379999999999995</v>
      </c>
      <c r="O320" s="24">
        <v>58</v>
      </c>
      <c r="P320" s="24">
        <v>0</v>
      </c>
      <c r="Q320" s="24">
        <v>0</v>
      </c>
      <c r="R320" s="22">
        <v>0</v>
      </c>
      <c r="S320" s="24">
        <v>0</v>
      </c>
      <c r="T320" s="24">
        <f t="shared" si="15"/>
        <v>0</v>
      </c>
      <c r="U320" s="376">
        <v>55.03</v>
      </c>
      <c r="V320" s="376">
        <v>0</v>
      </c>
      <c r="W320" s="22">
        <f t="shared" si="16"/>
        <v>50.286414000000001</v>
      </c>
      <c r="X320" s="22">
        <f t="shared" si="17"/>
        <v>5.5</v>
      </c>
      <c r="Y320" s="22">
        <v>5.5</v>
      </c>
      <c r="Z320" s="22">
        <v>0</v>
      </c>
      <c r="AA320" s="371">
        <v>60.23</v>
      </c>
      <c r="AB320" s="22">
        <v>9.1316619624771708E-2</v>
      </c>
      <c r="AC320" s="24">
        <v>0</v>
      </c>
      <c r="AD320" s="384">
        <v>0</v>
      </c>
    </row>
    <row r="321" spans="1:30">
      <c r="A321" s="21" t="s">
        <v>85</v>
      </c>
      <c r="B321" s="21" t="s">
        <v>86</v>
      </c>
      <c r="C321" s="23">
        <v>681.13</v>
      </c>
      <c r="D321" s="147">
        <v>3.34</v>
      </c>
      <c r="E321" s="22">
        <v>83.07</v>
      </c>
      <c r="F321" s="22">
        <v>86.41</v>
      </c>
      <c r="G321" s="22">
        <v>0</v>
      </c>
      <c r="H321" s="22">
        <v>47.04</v>
      </c>
      <c r="I321" s="22">
        <v>1.1200000000000001</v>
      </c>
      <c r="J321" s="22">
        <v>183.03</v>
      </c>
      <c r="K321" s="22">
        <v>1.8</v>
      </c>
      <c r="L321" s="22">
        <v>0</v>
      </c>
      <c r="M321" s="388">
        <v>2349.67</v>
      </c>
      <c r="N321" s="25">
        <v>0.47249999999999998</v>
      </c>
      <c r="O321" s="24">
        <v>499</v>
      </c>
      <c r="P321" s="24">
        <v>208.75</v>
      </c>
      <c r="Q321" s="24">
        <v>145.5</v>
      </c>
      <c r="R321" s="22">
        <v>63.25</v>
      </c>
      <c r="S321" s="24">
        <v>26</v>
      </c>
      <c r="T321" s="24">
        <f t="shared" si="15"/>
        <v>234.75</v>
      </c>
      <c r="U321" s="376">
        <v>1110.22</v>
      </c>
      <c r="V321" s="376">
        <v>117.48</v>
      </c>
      <c r="W321" s="22">
        <f t="shared" si="16"/>
        <v>524.57894999999996</v>
      </c>
      <c r="X321" s="22">
        <f t="shared" si="17"/>
        <v>318.75</v>
      </c>
      <c r="Y321" s="22">
        <v>186.25</v>
      </c>
      <c r="Z321" s="22">
        <v>132.5</v>
      </c>
      <c r="AA321" s="371">
        <v>2375.35</v>
      </c>
      <c r="AB321" s="22">
        <v>0.1341907508367188</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130.4</v>
      </c>
      <c r="N322" s="25">
        <v>0</v>
      </c>
      <c r="O322" s="24">
        <v>0</v>
      </c>
      <c r="P322" s="24">
        <v>0</v>
      </c>
      <c r="Q322" s="24">
        <v>0</v>
      </c>
      <c r="R322" s="22">
        <v>0</v>
      </c>
      <c r="S322" s="24">
        <v>0</v>
      </c>
      <c r="T322" s="24">
        <f t="shared" si="15"/>
        <v>0</v>
      </c>
      <c r="U322" s="376">
        <v>0</v>
      </c>
      <c r="V322" s="376">
        <v>0</v>
      </c>
      <c r="W322" s="22">
        <f t="shared" si="16"/>
        <v>0</v>
      </c>
      <c r="X322" s="22">
        <f t="shared" si="17"/>
        <v>17.5</v>
      </c>
      <c r="Y322" s="22">
        <v>16.5</v>
      </c>
      <c r="Z322" s="22">
        <v>1</v>
      </c>
      <c r="AA322" s="371">
        <v>130.4</v>
      </c>
      <c r="AB322" s="22">
        <v>0.13420245398773006</v>
      </c>
      <c r="AC322" s="24">
        <v>0</v>
      </c>
      <c r="AD322" s="384">
        <v>0</v>
      </c>
    </row>
    <row r="323" spans="1:30">
      <c r="A323" s="21" t="s">
        <v>585</v>
      </c>
      <c r="B323" s="21" t="s">
        <v>586</v>
      </c>
      <c r="C323" s="23">
        <v>4373.6499999999996</v>
      </c>
      <c r="D323" s="147">
        <v>268.20999999999998</v>
      </c>
      <c r="E323" s="22">
        <v>1066.55</v>
      </c>
      <c r="F323" s="22">
        <v>1334.76</v>
      </c>
      <c r="G323" s="22">
        <v>448.28</v>
      </c>
      <c r="H323" s="22">
        <v>142.85</v>
      </c>
      <c r="I323" s="22">
        <v>15.38</v>
      </c>
      <c r="J323" s="22">
        <v>355.47</v>
      </c>
      <c r="K323" s="22">
        <v>46.8</v>
      </c>
      <c r="L323" s="22">
        <v>0</v>
      </c>
      <c r="M323" s="388">
        <v>15635.349999999997</v>
      </c>
      <c r="N323" s="25">
        <v>0.8538</v>
      </c>
      <c r="O323" s="24">
        <v>15742</v>
      </c>
      <c r="P323" s="24">
        <v>4603.25</v>
      </c>
      <c r="Q323" s="24">
        <v>2883</v>
      </c>
      <c r="R323" s="22">
        <v>1720.25</v>
      </c>
      <c r="S323" s="24">
        <v>690.5</v>
      </c>
      <c r="T323" s="24">
        <f t="shared" si="15"/>
        <v>5293.75</v>
      </c>
      <c r="U323" s="376">
        <v>13349.46</v>
      </c>
      <c r="V323" s="376">
        <v>781.77</v>
      </c>
      <c r="W323" s="22">
        <f t="shared" si="16"/>
        <v>11397.768947999999</v>
      </c>
      <c r="X323" s="22">
        <f t="shared" si="17"/>
        <v>1933</v>
      </c>
      <c r="Y323" s="22">
        <v>1052.25</v>
      </c>
      <c r="Z323" s="22">
        <v>880.75</v>
      </c>
      <c r="AA323" s="371">
        <v>15340.83</v>
      </c>
      <c r="AB323" s="22">
        <v>0.12600361258158782</v>
      </c>
      <c r="AC323" s="24">
        <v>0</v>
      </c>
      <c r="AD323" s="384">
        <v>0</v>
      </c>
    </row>
    <row r="324" spans="1:30">
      <c r="A324" s="21" t="s">
        <v>507</v>
      </c>
      <c r="B324" s="21" t="s">
        <v>508</v>
      </c>
      <c r="C324" s="23">
        <v>1615.46</v>
      </c>
      <c r="D324" s="147">
        <v>35.25</v>
      </c>
      <c r="E324" s="22">
        <v>404.5</v>
      </c>
      <c r="F324" s="22">
        <v>439.75</v>
      </c>
      <c r="G324" s="22">
        <v>0</v>
      </c>
      <c r="H324" s="22">
        <v>98.96</v>
      </c>
      <c r="I324" s="22">
        <v>12.78</v>
      </c>
      <c r="J324" s="22">
        <v>80.69</v>
      </c>
      <c r="K324" s="22">
        <v>17.8</v>
      </c>
      <c r="L324" s="22">
        <v>0</v>
      </c>
      <c r="M324" s="388">
        <v>5360.44</v>
      </c>
      <c r="N324" s="25">
        <v>0.46560000000000001</v>
      </c>
      <c r="O324" s="24">
        <v>523</v>
      </c>
      <c r="P324" s="24">
        <v>182.25</v>
      </c>
      <c r="Q324" s="24">
        <v>108.5</v>
      </c>
      <c r="R324" s="22">
        <v>73.75</v>
      </c>
      <c r="S324" s="24">
        <v>19.5</v>
      </c>
      <c r="T324" s="24">
        <f t="shared" si="15"/>
        <v>201.75</v>
      </c>
      <c r="U324" s="376">
        <v>2495.8200000000002</v>
      </c>
      <c r="V324" s="376">
        <v>268.02</v>
      </c>
      <c r="W324" s="22">
        <f t="shared" si="16"/>
        <v>1162.0537920000002</v>
      </c>
      <c r="X324" s="22">
        <f t="shared" si="17"/>
        <v>749.5</v>
      </c>
      <c r="Y324" s="22">
        <v>574.25</v>
      </c>
      <c r="Z324" s="22">
        <v>175.25</v>
      </c>
      <c r="AA324" s="371">
        <v>5370.27</v>
      </c>
      <c r="AB324" s="22">
        <v>0.13956467738121173</v>
      </c>
      <c r="AC324" s="24">
        <v>4.5646773812117181E-3</v>
      </c>
      <c r="AD324" s="384">
        <v>-215329.11625566363</v>
      </c>
    </row>
    <row r="325" spans="1:30">
      <c r="A325" s="21" t="s">
        <v>603</v>
      </c>
      <c r="B325" s="21" t="s">
        <v>604</v>
      </c>
      <c r="C325" s="23">
        <v>351.34</v>
      </c>
      <c r="D325" s="147">
        <v>0</v>
      </c>
      <c r="E325" s="22">
        <v>46.32</v>
      </c>
      <c r="F325" s="22">
        <v>46.32</v>
      </c>
      <c r="G325" s="22">
        <v>0</v>
      </c>
      <c r="H325" s="22">
        <v>14.3</v>
      </c>
      <c r="I325" s="22">
        <v>1</v>
      </c>
      <c r="J325" s="22">
        <v>0</v>
      </c>
      <c r="K325" s="22">
        <v>0</v>
      </c>
      <c r="L325" s="22">
        <v>0</v>
      </c>
      <c r="M325" s="388">
        <v>1251.8999999999999</v>
      </c>
      <c r="N325" s="25">
        <v>0.58030000000000004</v>
      </c>
      <c r="O325" s="24">
        <v>1260</v>
      </c>
      <c r="P325" s="24">
        <v>142</v>
      </c>
      <c r="Q325" s="24">
        <v>104.25</v>
      </c>
      <c r="R325" s="22">
        <v>37.75</v>
      </c>
      <c r="S325" s="24">
        <v>7</v>
      </c>
      <c r="T325" s="24">
        <f t="shared" si="15"/>
        <v>149</v>
      </c>
      <c r="U325" s="376">
        <v>726.48</v>
      </c>
      <c r="V325" s="376">
        <v>0</v>
      </c>
      <c r="W325" s="22">
        <f t="shared" si="16"/>
        <v>421.57634400000006</v>
      </c>
      <c r="X325" s="22">
        <f t="shared" si="17"/>
        <v>128.25</v>
      </c>
      <c r="Y325" s="22">
        <v>98.5</v>
      </c>
      <c r="Z325" s="22">
        <v>29.75</v>
      </c>
      <c r="AA325" s="371">
        <v>1258.5999999999999</v>
      </c>
      <c r="AB325" s="22">
        <v>0.10189893532496426</v>
      </c>
      <c r="AC325" s="24">
        <v>0</v>
      </c>
      <c r="AD325" s="384">
        <v>0</v>
      </c>
    </row>
  </sheetData>
  <autoFilter ref="A7:AE7" xr:uid="{00000000-0001-0000-2000-000000000000}"/>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theme="7" tint="0.59999389629810485"/>
  </sheetPr>
  <dimension ref="A1:AE325"/>
  <sheetViews>
    <sheetView workbookViewId="0">
      <pane ySplit="7" topLeftCell="A8"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Q1+1</f>
        <v>18</v>
      </c>
      <c r="S1" s="389">
        <f t="shared" ref="S1:AD1" si="1">R1+1</f>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1365</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311099.78000000003</v>
      </c>
      <c r="D6" s="16">
        <f t="shared" si="2"/>
        <v>11894.569999999991</v>
      </c>
      <c r="E6" s="16">
        <f t="shared" si="2"/>
        <v>59932.950000000004</v>
      </c>
      <c r="F6" s="16">
        <f t="shared" si="2"/>
        <v>71827.520000000019</v>
      </c>
      <c r="G6" s="16">
        <f t="shared" si="2"/>
        <v>4696.07</v>
      </c>
      <c r="H6" s="16">
        <f t="shared" si="2"/>
        <v>26002.130000000005</v>
      </c>
      <c r="I6" s="16">
        <f t="shared" si="2"/>
        <v>1355.1900000000012</v>
      </c>
      <c r="J6" s="16">
        <f t="shared" si="2"/>
        <v>49284.890000000021</v>
      </c>
      <c r="K6" s="16">
        <f t="shared" si="2"/>
        <v>3775.5699999999993</v>
      </c>
      <c r="L6" s="16">
        <f t="shared" si="2"/>
        <v>49.53</v>
      </c>
      <c r="M6" s="386">
        <f t="shared" si="2"/>
        <v>1095591.3900000004</v>
      </c>
      <c r="N6" s="385">
        <f>AVERAGE(N7:N325)</f>
        <v>0.53765283018867871</v>
      </c>
      <c r="O6" s="16">
        <f t="shared" ref="O6:AD6" si="3">SUM(O8:O325)</f>
        <v>445332</v>
      </c>
      <c r="P6" s="16">
        <f t="shared" si="3"/>
        <v>128008.26999999999</v>
      </c>
      <c r="Q6" s="16">
        <f t="shared" si="3"/>
        <v>83405.240000000005</v>
      </c>
      <c r="R6" s="16">
        <f t="shared" si="3"/>
        <v>44603.03</v>
      </c>
      <c r="S6" s="28">
        <f t="shared" si="3"/>
        <v>22685.010000000002</v>
      </c>
      <c r="T6" s="28">
        <f t="shared" si="3"/>
        <v>150693.27999999997</v>
      </c>
      <c r="U6" s="16">
        <f t="shared" si="3"/>
        <v>504372.21000000031</v>
      </c>
      <c r="V6" s="16">
        <f t="shared" si="3"/>
        <v>48133.69999999999</v>
      </c>
      <c r="W6" s="28">
        <f t="shared" si="3"/>
        <v>275960.77921100007</v>
      </c>
      <c r="X6" s="28">
        <f t="shared" si="3"/>
        <v>136833.96999999997</v>
      </c>
      <c r="Y6" s="28">
        <f t="shared" si="3"/>
        <v>85540.97</v>
      </c>
      <c r="Z6" s="28">
        <f t="shared" si="3"/>
        <v>51293</v>
      </c>
      <c r="AA6" s="370">
        <f t="shared" si="3"/>
        <v>1063423.909999999</v>
      </c>
      <c r="AB6" s="245">
        <f t="shared" si="3"/>
        <v>42.692500644765786</v>
      </c>
      <c r="AC6" s="245">
        <f t="shared" si="3"/>
        <v>4.3544101765149703</v>
      </c>
      <c r="AD6" s="382">
        <f t="shared" si="3"/>
        <v>-46408683.584415272</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803</v>
      </c>
      <c r="D8" s="147">
        <v>60.32</v>
      </c>
      <c r="E8" s="22">
        <v>264.47000000000003</v>
      </c>
      <c r="F8" s="22">
        <v>324.79000000000002</v>
      </c>
      <c r="G8" s="22">
        <v>21.12</v>
      </c>
      <c r="H8" s="22">
        <v>60</v>
      </c>
      <c r="I8" s="22">
        <v>1.42</v>
      </c>
      <c r="J8" s="22">
        <v>109.48</v>
      </c>
      <c r="K8" s="22">
        <v>10.6</v>
      </c>
      <c r="L8" s="22">
        <v>0</v>
      </c>
      <c r="M8" s="388">
        <v>3146.5</v>
      </c>
      <c r="N8" s="25">
        <v>0.72529999999999994</v>
      </c>
      <c r="O8" s="24">
        <v>3131</v>
      </c>
      <c r="P8" s="24">
        <v>405</v>
      </c>
      <c r="Q8" s="24">
        <v>254</v>
      </c>
      <c r="R8" s="22">
        <v>151</v>
      </c>
      <c r="S8" s="24">
        <v>72</v>
      </c>
      <c r="T8" s="24">
        <f>S8+P8</f>
        <v>477</v>
      </c>
      <c r="U8" s="376">
        <v>2282.4699999999998</v>
      </c>
      <c r="V8" s="376">
        <v>157.33000000000001</v>
      </c>
      <c r="W8" s="22">
        <f>U8*N8</f>
        <v>1655.4754909999997</v>
      </c>
      <c r="X8" s="22">
        <f>Y8+Z8</f>
        <v>480.5</v>
      </c>
      <c r="Y8" s="22">
        <v>268.5</v>
      </c>
      <c r="Z8" s="22">
        <v>212</v>
      </c>
      <c r="AA8" s="371">
        <v>3110.7</v>
      </c>
      <c r="AB8" s="22">
        <v>0.15446684026103449</v>
      </c>
      <c r="AC8" s="24">
        <v>1.9466840261034485E-2</v>
      </c>
      <c r="AD8" s="384">
        <v>-542705.29637820448</v>
      </c>
    </row>
    <row r="9" spans="1:31">
      <c r="A9" s="21" t="s">
        <v>279</v>
      </c>
      <c r="B9" s="21" t="s">
        <v>280</v>
      </c>
      <c r="C9" s="23">
        <v>151</v>
      </c>
      <c r="D9" s="147">
        <v>18.940000000000001</v>
      </c>
      <c r="E9" s="22">
        <v>32.119999999999997</v>
      </c>
      <c r="F9" s="22">
        <v>51.06</v>
      </c>
      <c r="G9" s="22">
        <v>0</v>
      </c>
      <c r="H9" s="22">
        <v>20</v>
      </c>
      <c r="I9" s="22">
        <v>2.15</v>
      </c>
      <c r="J9" s="22">
        <v>0.8</v>
      </c>
      <c r="K9" s="22">
        <v>0.2</v>
      </c>
      <c r="L9" s="22">
        <v>0</v>
      </c>
      <c r="M9" s="388">
        <v>611.15</v>
      </c>
      <c r="N9" s="25">
        <v>0.2676</v>
      </c>
      <c r="O9" s="24">
        <v>0</v>
      </c>
      <c r="P9" s="24">
        <v>0</v>
      </c>
      <c r="Q9" s="24">
        <v>0</v>
      </c>
      <c r="R9" s="22">
        <v>0</v>
      </c>
      <c r="S9" s="24">
        <v>0</v>
      </c>
      <c r="T9" s="24">
        <f t="shared" ref="T9:T72" si="4">S9+P9</f>
        <v>0</v>
      </c>
      <c r="U9" s="376">
        <v>163.54</v>
      </c>
      <c r="V9" s="376">
        <v>30.56</v>
      </c>
      <c r="W9" s="22">
        <f t="shared" ref="W9:W72" si="5">U9*N9</f>
        <v>43.763303999999998</v>
      </c>
      <c r="X9" s="22">
        <f t="shared" ref="X9:X72" si="6">Y9+Z9</f>
        <v>73</v>
      </c>
      <c r="Y9" s="22">
        <v>46</v>
      </c>
      <c r="Z9" s="22">
        <v>27</v>
      </c>
      <c r="AA9" s="371">
        <v>623.91999999999996</v>
      </c>
      <c r="AB9" s="22">
        <v>0.11700217976663675</v>
      </c>
      <c r="AC9" s="24">
        <v>0</v>
      </c>
      <c r="AD9" s="384">
        <v>0</v>
      </c>
    </row>
    <row r="10" spans="1:31">
      <c r="A10" s="21" t="s">
        <v>301</v>
      </c>
      <c r="B10" s="21" t="s">
        <v>302</v>
      </c>
      <c r="C10" s="23">
        <v>28</v>
      </c>
      <c r="D10" s="147">
        <v>0</v>
      </c>
      <c r="E10" s="22">
        <v>3.36</v>
      </c>
      <c r="F10" s="22">
        <v>3.36</v>
      </c>
      <c r="G10" s="22">
        <v>0</v>
      </c>
      <c r="H10" s="22">
        <v>0</v>
      </c>
      <c r="I10" s="22">
        <v>0</v>
      </c>
      <c r="J10" s="22">
        <v>0</v>
      </c>
      <c r="K10" s="22">
        <v>0</v>
      </c>
      <c r="L10" s="22">
        <v>0</v>
      </c>
      <c r="M10" s="388">
        <v>90</v>
      </c>
      <c r="N10" s="25">
        <v>0.37959999999999999</v>
      </c>
      <c r="O10" s="24">
        <v>0</v>
      </c>
      <c r="P10" s="24">
        <v>0</v>
      </c>
      <c r="Q10" s="24">
        <v>0</v>
      </c>
      <c r="R10" s="22">
        <v>0</v>
      </c>
      <c r="S10" s="24">
        <v>0</v>
      </c>
      <c r="T10" s="24">
        <f t="shared" si="4"/>
        <v>0</v>
      </c>
      <c r="U10" s="376">
        <v>34.159999999999997</v>
      </c>
      <c r="V10" s="376">
        <v>0</v>
      </c>
      <c r="W10" s="22">
        <f t="shared" si="5"/>
        <v>12.967135999999998</v>
      </c>
      <c r="X10" s="22">
        <f t="shared" si="6"/>
        <v>9</v>
      </c>
      <c r="Y10" s="22">
        <v>9</v>
      </c>
      <c r="Z10" s="22">
        <v>0</v>
      </c>
      <c r="AA10" s="371">
        <v>95.26</v>
      </c>
      <c r="AB10" s="22">
        <v>9.4478269997900474E-2</v>
      </c>
      <c r="AC10" s="24">
        <v>0</v>
      </c>
      <c r="AD10" s="384">
        <v>0</v>
      </c>
    </row>
    <row r="11" spans="1:31">
      <c r="A11" s="21" t="s">
        <v>407</v>
      </c>
      <c r="B11" s="21" t="s">
        <v>408</v>
      </c>
      <c r="C11" s="23">
        <v>665</v>
      </c>
      <c r="D11" s="147">
        <v>7.63</v>
      </c>
      <c r="E11" s="22">
        <v>111.21</v>
      </c>
      <c r="F11" s="22">
        <v>118.83999999999999</v>
      </c>
      <c r="G11" s="22">
        <v>0</v>
      </c>
      <c r="H11" s="22">
        <v>31</v>
      </c>
      <c r="I11" s="22">
        <v>1.78</v>
      </c>
      <c r="J11" s="22">
        <v>106.92</v>
      </c>
      <c r="K11" s="22">
        <v>5.4</v>
      </c>
      <c r="L11" s="22">
        <v>0.2</v>
      </c>
      <c r="M11" s="388">
        <v>2511.3000000000002</v>
      </c>
      <c r="N11" s="25">
        <v>0.28989999999999999</v>
      </c>
      <c r="O11" s="24">
        <v>57</v>
      </c>
      <c r="P11" s="24">
        <v>48</v>
      </c>
      <c r="Q11" s="24">
        <v>29.75</v>
      </c>
      <c r="R11" s="22">
        <v>18.25</v>
      </c>
      <c r="S11" s="24">
        <v>16</v>
      </c>
      <c r="T11" s="24">
        <f t="shared" si="4"/>
        <v>64</v>
      </c>
      <c r="U11" s="376">
        <v>727.52</v>
      </c>
      <c r="V11" s="376">
        <v>125.57</v>
      </c>
      <c r="W11" s="22">
        <f t="shared" si="5"/>
        <v>210.90804799999998</v>
      </c>
      <c r="X11" s="22">
        <f t="shared" si="6"/>
        <v>273.25</v>
      </c>
      <c r="Y11" s="22">
        <v>161.5</v>
      </c>
      <c r="Z11" s="22">
        <v>111.75</v>
      </c>
      <c r="AA11" s="371">
        <v>2534.66</v>
      </c>
      <c r="AB11" s="22">
        <v>0.1078053861267389</v>
      </c>
      <c r="AC11" s="24">
        <v>0</v>
      </c>
      <c r="AD11" s="384">
        <v>0</v>
      </c>
    </row>
    <row r="12" spans="1:31">
      <c r="A12" s="21" t="s">
        <v>431</v>
      </c>
      <c r="B12" s="21" t="s">
        <v>432</v>
      </c>
      <c r="C12" s="23">
        <v>1637</v>
      </c>
      <c r="D12" s="147">
        <v>31.07</v>
      </c>
      <c r="E12" s="22">
        <v>347.91</v>
      </c>
      <c r="F12" s="22">
        <v>378.98</v>
      </c>
      <c r="G12" s="22">
        <v>0</v>
      </c>
      <c r="H12" s="22">
        <v>85</v>
      </c>
      <c r="I12" s="22">
        <v>3.83</v>
      </c>
      <c r="J12" s="22">
        <v>216.67000000000002</v>
      </c>
      <c r="K12" s="22">
        <v>32.6</v>
      </c>
      <c r="L12" s="22">
        <v>0</v>
      </c>
      <c r="M12" s="388">
        <v>5618.1</v>
      </c>
      <c r="N12" s="25">
        <v>0.32919999999999999</v>
      </c>
      <c r="O12" s="24">
        <v>0</v>
      </c>
      <c r="P12" s="24">
        <v>269.75</v>
      </c>
      <c r="Q12" s="24">
        <v>153.75</v>
      </c>
      <c r="R12" s="22">
        <v>116</v>
      </c>
      <c r="S12" s="24">
        <v>59.75</v>
      </c>
      <c r="T12" s="24">
        <f t="shared" si="4"/>
        <v>329.5</v>
      </c>
      <c r="U12" s="376">
        <v>1849.48</v>
      </c>
      <c r="V12" s="376">
        <v>280.91000000000003</v>
      </c>
      <c r="W12" s="22">
        <f t="shared" si="5"/>
        <v>608.84881599999994</v>
      </c>
      <c r="X12" s="22">
        <f t="shared" si="6"/>
        <v>784.25</v>
      </c>
      <c r="Y12" s="22">
        <v>474.25</v>
      </c>
      <c r="Z12" s="22">
        <v>310</v>
      </c>
      <c r="AA12" s="371">
        <v>5403.02</v>
      </c>
      <c r="AB12" s="22">
        <v>0.14515030482952127</v>
      </c>
      <c r="AC12" s="24">
        <v>1.0150304829521256E-2</v>
      </c>
      <c r="AD12" s="384">
        <v>-549862.84514825081</v>
      </c>
    </row>
    <row r="13" spans="1:31">
      <c r="A13" s="21" t="s">
        <v>15</v>
      </c>
      <c r="B13" s="21" t="s">
        <v>16</v>
      </c>
      <c r="C13" s="23">
        <v>231</v>
      </c>
      <c r="D13" s="147">
        <v>4.72</v>
      </c>
      <c r="E13" s="22">
        <v>44.03</v>
      </c>
      <c r="F13" s="22">
        <v>48.75</v>
      </c>
      <c r="G13" s="22">
        <v>0</v>
      </c>
      <c r="H13" s="22">
        <v>11</v>
      </c>
      <c r="I13" s="22">
        <v>0.75</v>
      </c>
      <c r="J13" s="22">
        <v>0</v>
      </c>
      <c r="K13" s="22">
        <v>0</v>
      </c>
      <c r="L13" s="22">
        <v>0</v>
      </c>
      <c r="M13" s="388">
        <v>647.75</v>
      </c>
      <c r="N13" s="25">
        <v>0.31240000000000001</v>
      </c>
      <c r="O13" s="24">
        <v>0</v>
      </c>
      <c r="P13" s="24">
        <v>0</v>
      </c>
      <c r="Q13" s="24">
        <v>0</v>
      </c>
      <c r="R13" s="22">
        <v>0</v>
      </c>
      <c r="S13" s="24">
        <v>0</v>
      </c>
      <c r="T13" s="24">
        <f t="shared" si="4"/>
        <v>0</v>
      </c>
      <c r="U13" s="376">
        <v>202.36</v>
      </c>
      <c r="V13" s="376">
        <v>32.39</v>
      </c>
      <c r="W13" s="22">
        <f t="shared" si="5"/>
        <v>63.217264000000007</v>
      </c>
      <c r="X13" s="22">
        <f t="shared" si="6"/>
        <v>83</v>
      </c>
      <c r="Y13" s="22">
        <v>45</v>
      </c>
      <c r="Z13" s="22">
        <v>38</v>
      </c>
      <c r="AA13" s="371">
        <v>607.07000000000005</v>
      </c>
      <c r="AB13" s="22">
        <v>0.13672228902762448</v>
      </c>
      <c r="AC13" s="24">
        <v>1.722289027624474E-3</v>
      </c>
      <c r="AD13" s="384">
        <v>-9617.0776819661314</v>
      </c>
    </row>
    <row r="14" spans="1:31">
      <c r="A14" s="21" t="s">
        <v>205</v>
      </c>
      <c r="B14" s="21" t="s">
        <v>206</v>
      </c>
      <c r="C14" s="23">
        <v>4944</v>
      </c>
      <c r="D14" s="147">
        <v>216.88</v>
      </c>
      <c r="E14" s="22">
        <v>757.96</v>
      </c>
      <c r="F14" s="22">
        <v>974.84</v>
      </c>
      <c r="G14" s="22">
        <v>0</v>
      </c>
      <c r="H14" s="22">
        <v>524</v>
      </c>
      <c r="I14" s="22">
        <v>30.43</v>
      </c>
      <c r="J14" s="22">
        <v>59.2</v>
      </c>
      <c r="K14" s="22">
        <v>47.81</v>
      </c>
      <c r="L14" s="22">
        <v>5.36</v>
      </c>
      <c r="M14" s="388">
        <v>17248.800000000003</v>
      </c>
      <c r="N14" s="25">
        <v>0.56840000000000002</v>
      </c>
      <c r="O14" s="24">
        <v>11010</v>
      </c>
      <c r="P14" s="24">
        <v>4009.75</v>
      </c>
      <c r="Q14" s="24">
        <v>2679</v>
      </c>
      <c r="R14" s="22">
        <v>1330.75</v>
      </c>
      <c r="S14" s="24">
        <v>506.75</v>
      </c>
      <c r="T14" s="24">
        <f t="shared" si="4"/>
        <v>4516.5</v>
      </c>
      <c r="U14" s="376">
        <v>9802.49</v>
      </c>
      <c r="V14" s="376">
        <v>862.44</v>
      </c>
      <c r="W14" s="22">
        <f t="shared" si="5"/>
        <v>5571.7353160000002</v>
      </c>
      <c r="X14" s="22">
        <f t="shared" si="6"/>
        <v>1746.5</v>
      </c>
      <c r="Y14" s="22">
        <v>981.25</v>
      </c>
      <c r="Z14" s="22">
        <v>765.25</v>
      </c>
      <c r="AA14" s="371">
        <v>16806.63</v>
      </c>
      <c r="AB14" s="22">
        <v>0.10391732310403691</v>
      </c>
      <c r="AC14" s="24">
        <v>0</v>
      </c>
      <c r="AD14" s="384">
        <v>0</v>
      </c>
    </row>
    <row r="15" spans="1:31">
      <c r="A15" s="21" t="s">
        <v>229</v>
      </c>
      <c r="B15" s="21" t="s">
        <v>230</v>
      </c>
      <c r="C15" s="23">
        <v>828</v>
      </c>
      <c r="D15" s="147">
        <v>49.6</v>
      </c>
      <c r="E15" s="22">
        <v>275.68</v>
      </c>
      <c r="F15" s="22">
        <v>325.28000000000003</v>
      </c>
      <c r="G15" s="22">
        <v>0</v>
      </c>
      <c r="H15" s="22">
        <v>100</v>
      </c>
      <c r="I15" s="22">
        <v>1.67</v>
      </c>
      <c r="J15" s="22">
        <v>97.78</v>
      </c>
      <c r="K15" s="22">
        <v>0</v>
      </c>
      <c r="L15" s="22">
        <v>0</v>
      </c>
      <c r="M15" s="388">
        <v>3414.4500000000003</v>
      </c>
      <c r="N15" s="25">
        <v>6.9800000000000001E-2</v>
      </c>
      <c r="O15" s="24">
        <v>0</v>
      </c>
      <c r="P15" s="24">
        <v>38.75</v>
      </c>
      <c r="Q15" s="24">
        <v>22.25</v>
      </c>
      <c r="R15" s="22">
        <v>16.5</v>
      </c>
      <c r="S15" s="24">
        <v>8</v>
      </c>
      <c r="T15" s="24">
        <f t="shared" si="4"/>
        <v>46.75</v>
      </c>
      <c r="U15" s="376">
        <v>237.99</v>
      </c>
      <c r="V15" s="376">
        <v>170.72</v>
      </c>
      <c r="W15" s="22">
        <f t="shared" si="5"/>
        <v>16.611702000000001</v>
      </c>
      <c r="X15" s="22">
        <f t="shared" si="6"/>
        <v>422</v>
      </c>
      <c r="Y15" s="22">
        <v>281.25</v>
      </c>
      <c r="Z15" s="22">
        <v>140.75</v>
      </c>
      <c r="AA15" s="371">
        <v>3605.32</v>
      </c>
      <c r="AB15" s="22">
        <v>0.11704924944249054</v>
      </c>
      <c r="AC15" s="24">
        <v>0</v>
      </c>
      <c r="AD15" s="384">
        <v>0</v>
      </c>
    </row>
    <row r="16" spans="1:31">
      <c r="A16" s="21" t="s">
        <v>69</v>
      </c>
      <c r="B16" s="21" t="s">
        <v>70</v>
      </c>
      <c r="C16" s="23">
        <v>2898</v>
      </c>
      <c r="D16" s="147">
        <v>73.3</v>
      </c>
      <c r="E16" s="22">
        <v>889.14</v>
      </c>
      <c r="F16" s="22">
        <v>962.43999999999994</v>
      </c>
      <c r="G16" s="22">
        <v>0</v>
      </c>
      <c r="H16" s="22">
        <v>500</v>
      </c>
      <c r="I16" s="22">
        <v>5.32</v>
      </c>
      <c r="J16" s="22">
        <v>1622.42</v>
      </c>
      <c r="K16" s="22">
        <v>16.8</v>
      </c>
      <c r="L16" s="22">
        <v>0</v>
      </c>
      <c r="M16" s="388">
        <v>11862.539999999999</v>
      </c>
      <c r="N16" s="25">
        <v>0.34350000000000003</v>
      </c>
      <c r="O16" s="24">
        <v>0</v>
      </c>
      <c r="P16" s="24">
        <v>732.75</v>
      </c>
      <c r="Q16" s="24">
        <v>471</v>
      </c>
      <c r="R16" s="22">
        <v>261.75</v>
      </c>
      <c r="S16" s="24">
        <v>184.75</v>
      </c>
      <c r="T16" s="24">
        <f t="shared" si="4"/>
        <v>917.5</v>
      </c>
      <c r="U16" s="376">
        <v>4079.53</v>
      </c>
      <c r="V16" s="376">
        <v>593.13</v>
      </c>
      <c r="W16" s="22">
        <f t="shared" si="5"/>
        <v>1401.3185550000003</v>
      </c>
      <c r="X16" s="22">
        <f t="shared" si="6"/>
        <v>1568.5</v>
      </c>
      <c r="Y16" s="22">
        <v>1021.25</v>
      </c>
      <c r="Z16" s="22">
        <v>547.25</v>
      </c>
      <c r="AA16" s="371">
        <v>11855.88</v>
      </c>
      <c r="AB16" s="22">
        <v>0.13229722298133922</v>
      </c>
      <c r="AC16" s="24">
        <v>0</v>
      </c>
      <c r="AD16" s="384">
        <v>0</v>
      </c>
    </row>
    <row r="17" spans="1:30">
      <c r="A17" s="21" t="s">
        <v>199</v>
      </c>
      <c r="B17" s="21" t="s">
        <v>200</v>
      </c>
      <c r="C17" s="23">
        <v>5170</v>
      </c>
      <c r="D17" s="147">
        <v>248.93</v>
      </c>
      <c r="E17" s="22">
        <v>765.04</v>
      </c>
      <c r="F17" s="22">
        <v>1013.97</v>
      </c>
      <c r="G17" s="22">
        <v>0</v>
      </c>
      <c r="H17" s="22">
        <v>477</v>
      </c>
      <c r="I17" s="22">
        <v>44.31</v>
      </c>
      <c r="J17" s="22">
        <v>563.48</v>
      </c>
      <c r="K17" s="22">
        <v>29</v>
      </c>
      <c r="L17" s="22">
        <v>0</v>
      </c>
      <c r="M17" s="388">
        <v>20188.79</v>
      </c>
      <c r="N17" s="25">
        <v>0.1741</v>
      </c>
      <c r="O17" s="24">
        <v>434</v>
      </c>
      <c r="P17" s="24">
        <v>2968</v>
      </c>
      <c r="Q17" s="24">
        <v>2086</v>
      </c>
      <c r="R17" s="22">
        <v>882</v>
      </c>
      <c r="S17" s="24">
        <v>914</v>
      </c>
      <c r="T17" s="24">
        <f t="shared" si="4"/>
        <v>3882</v>
      </c>
      <c r="U17" s="376">
        <v>3514.87</v>
      </c>
      <c r="V17" s="376">
        <v>1009.44</v>
      </c>
      <c r="W17" s="22">
        <f t="shared" si="5"/>
        <v>611.93886699999996</v>
      </c>
      <c r="X17" s="22">
        <f t="shared" si="6"/>
        <v>1605.5</v>
      </c>
      <c r="Y17" s="22">
        <v>1069.5</v>
      </c>
      <c r="Z17" s="22">
        <v>536</v>
      </c>
      <c r="AA17" s="371">
        <v>19094.22</v>
      </c>
      <c r="AB17" s="22">
        <v>8.4083036646692033E-2</v>
      </c>
      <c r="AC17" s="24">
        <v>0</v>
      </c>
      <c r="AD17" s="384">
        <v>0</v>
      </c>
    </row>
    <row r="18" spans="1:30">
      <c r="A18" s="21" t="s">
        <v>539</v>
      </c>
      <c r="B18" s="21" t="s">
        <v>540</v>
      </c>
      <c r="C18" s="23">
        <v>3178</v>
      </c>
      <c r="D18" s="147">
        <v>102.15</v>
      </c>
      <c r="E18" s="22">
        <v>661.27</v>
      </c>
      <c r="F18" s="22">
        <v>763.42</v>
      </c>
      <c r="G18" s="22">
        <v>0</v>
      </c>
      <c r="H18" s="22">
        <v>405</v>
      </c>
      <c r="I18" s="22">
        <v>26.74</v>
      </c>
      <c r="J18" s="22">
        <v>478.03</v>
      </c>
      <c r="K18" s="22">
        <v>67.75</v>
      </c>
      <c r="L18" s="22">
        <v>4.45</v>
      </c>
      <c r="M18" s="388">
        <v>11475.970000000001</v>
      </c>
      <c r="N18" s="25">
        <v>0.38069999999999998</v>
      </c>
      <c r="O18" s="24">
        <v>1610</v>
      </c>
      <c r="P18" s="24">
        <v>769</v>
      </c>
      <c r="Q18" s="24">
        <v>476.25</v>
      </c>
      <c r="R18" s="22">
        <v>292.75</v>
      </c>
      <c r="S18" s="24">
        <v>127.75</v>
      </c>
      <c r="T18" s="24">
        <f t="shared" si="4"/>
        <v>896.75</v>
      </c>
      <c r="U18" s="376">
        <v>4368.8999999999996</v>
      </c>
      <c r="V18" s="376">
        <v>573.79999999999995</v>
      </c>
      <c r="W18" s="22">
        <f t="shared" si="5"/>
        <v>1663.2402299999999</v>
      </c>
      <c r="X18" s="22">
        <f t="shared" si="6"/>
        <v>1627</v>
      </c>
      <c r="Y18" s="22">
        <v>1215.75</v>
      </c>
      <c r="Z18" s="22">
        <v>411.25</v>
      </c>
      <c r="AA18" s="371">
        <v>11260.28</v>
      </c>
      <c r="AB18" s="22">
        <v>0.14449019029722174</v>
      </c>
      <c r="AC18" s="24">
        <v>9.4901902972217289E-3</v>
      </c>
      <c r="AD18" s="384">
        <v>-1027510.5365151848</v>
      </c>
    </row>
    <row r="19" spans="1:30">
      <c r="A19" s="21" t="s">
        <v>5</v>
      </c>
      <c r="B19" s="21" t="s">
        <v>6</v>
      </c>
      <c r="C19" s="23">
        <v>9</v>
      </c>
      <c r="D19" s="147">
        <v>0</v>
      </c>
      <c r="E19" s="22">
        <v>0</v>
      </c>
      <c r="F19" s="22">
        <v>0</v>
      </c>
      <c r="G19" s="22">
        <v>0</v>
      </c>
      <c r="H19" s="22">
        <v>0</v>
      </c>
      <c r="I19" s="22">
        <v>0</v>
      </c>
      <c r="J19" s="22">
        <v>0</v>
      </c>
      <c r="K19" s="22">
        <v>0</v>
      </c>
      <c r="L19" s="22">
        <v>0</v>
      </c>
      <c r="M19" s="388">
        <v>12</v>
      </c>
      <c r="N19" s="25">
        <v>0.21429999999999999</v>
      </c>
      <c r="O19" s="24">
        <v>0</v>
      </c>
      <c r="P19" s="24">
        <v>0</v>
      </c>
      <c r="Q19" s="24">
        <v>0</v>
      </c>
      <c r="R19" s="22">
        <v>0</v>
      </c>
      <c r="S19" s="24">
        <v>0</v>
      </c>
      <c r="T19" s="24">
        <f t="shared" si="4"/>
        <v>0</v>
      </c>
      <c r="U19" s="376">
        <v>0</v>
      </c>
      <c r="V19" s="376">
        <v>0.6</v>
      </c>
      <c r="W19" s="22">
        <f t="shared" si="5"/>
        <v>0</v>
      </c>
      <c r="X19" s="22">
        <f t="shared" si="6"/>
        <v>0</v>
      </c>
      <c r="Y19" s="22">
        <v>0</v>
      </c>
      <c r="Z19" s="22">
        <v>0</v>
      </c>
      <c r="AA19" s="371">
        <v>11.8</v>
      </c>
      <c r="AB19" s="22">
        <v>0</v>
      </c>
      <c r="AC19" s="24">
        <v>0</v>
      </c>
      <c r="AD19" s="384">
        <v>0</v>
      </c>
    </row>
    <row r="20" spans="1:30">
      <c r="A20" s="21" t="s">
        <v>383</v>
      </c>
      <c r="B20" s="21" t="s">
        <v>384</v>
      </c>
      <c r="C20" s="23">
        <v>6252</v>
      </c>
      <c r="D20" s="147">
        <v>259.69</v>
      </c>
      <c r="E20" s="22">
        <v>1014.88</v>
      </c>
      <c r="F20" s="22">
        <v>1274.57</v>
      </c>
      <c r="G20" s="22">
        <v>263.58999999999997</v>
      </c>
      <c r="H20" s="22">
        <v>359</v>
      </c>
      <c r="I20" s="22">
        <v>18.350000000000001</v>
      </c>
      <c r="J20" s="22">
        <v>1124.47</v>
      </c>
      <c r="K20" s="22">
        <v>231.6</v>
      </c>
      <c r="L20" s="22">
        <v>0</v>
      </c>
      <c r="M20" s="388">
        <v>21396.42</v>
      </c>
      <c r="N20" s="25">
        <v>0.49569999999999997</v>
      </c>
      <c r="O20" s="24">
        <v>10200</v>
      </c>
      <c r="P20" s="24">
        <v>1233.5</v>
      </c>
      <c r="Q20" s="24">
        <v>791.75</v>
      </c>
      <c r="R20" s="22">
        <v>441.75</v>
      </c>
      <c r="S20" s="24">
        <v>208.75</v>
      </c>
      <c r="T20" s="24">
        <f t="shared" si="4"/>
        <v>1442.25</v>
      </c>
      <c r="U20" s="376">
        <v>10606.21</v>
      </c>
      <c r="V20" s="376">
        <v>1069.82</v>
      </c>
      <c r="W20" s="22">
        <f t="shared" si="5"/>
        <v>5257.4982969999992</v>
      </c>
      <c r="X20" s="22">
        <f t="shared" si="6"/>
        <v>2577.75</v>
      </c>
      <c r="Y20" s="22">
        <v>1412</v>
      </c>
      <c r="Z20" s="22">
        <v>1165.75</v>
      </c>
      <c r="AA20" s="371">
        <v>20090.669999999998</v>
      </c>
      <c r="AB20" s="22">
        <v>0.12830582553991482</v>
      </c>
      <c r="AC20" s="24">
        <v>0</v>
      </c>
      <c r="AD20" s="384">
        <v>0</v>
      </c>
    </row>
    <row r="21" spans="1:30">
      <c r="A21" s="21" t="s">
        <v>253</v>
      </c>
      <c r="B21" s="21" t="s">
        <v>254</v>
      </c>
      <c r="C21" s="23">
        <v>34</v>
      </c>
      <c r="D21" s="147">
        <v>0</v>
      </c>
      <c r="E21" s="22">
        <v>0</v>
      </c>
      <c r="F21" s="22">
        <v>0</v>
      </c>
      <c r="G21" s="22">
        <v>0</v>
      </c>
      <c r="H21" s="22">
        <v>0</v>
      </c>
      <c r="I21" s="22">
        <v>0</v>
      </c>
      <c r="J21" s="22">
        <v>0</v>
      </c>
      <c r="K21" s="22">
        <v>0</v>
      </c>
      <c r="L21" s="22">
        <v>0</v>
      </c>
      <c r="M21" s="388">
        <v>110</v>
      </c>
      <c r="N21" s="25">
        <v>0.47370000000000001</v>
      </c>
      <c r="O21" s="24">
        <v>0</v>
      </c>
      <c r="P21" s="24">
        <v>0</v>
      </c>
      <c r="Q21" s="24">
        <v>0</v>
      </c>
      <c r="R21" s="22">
        <v>0</v>
      </c>
      <c r="S21" s="24">
        <v>0</v>
      </c>
      <c r="T21" s="24">
        <f t="shared" si="4"/>
        <v>0</v>
      </c>
      <c r="U21" s="376">
        <v>0</v>
      </c>
      <c r="V21" s="376">
        <v>5.5</v>
      </c>
      <c r="W21" s="22">
        <f t="shared" si="5"/>
        <v>0</v>
      </c>
      <c r="X21" s="22">
        <f t="shared" si="6"/>
        <v>19.5</v>
      </c>
      <c r="Y21" s="22">
        <v>12.5</v>
      </c>
      <c r="Z21" s="22">
        <v>7</v>
      </c>
      <c r="AA21" s="371">
        <v>113.4</v>
      </c>
      <c r="AB21" s="22">
        <v>0.17195767195767195</v>
      </c>
      <c r="AC21" s="24">
        <v>3.6957671957671939E-2</v>
      </c>
      <c r="AD21" s="384">
        <v>-38161.894409721426</v>
      </c>
    </row>
    <row r="22" spans="1:30">
      <c r="A22" s="21" t="s">
        <v>543</v>
      </c>
      <c r="B22" s="21" t="s">
        <v>544</v>
      </c>
      <c r="C22" s="23">
        <v>623</v>
      </c>
      <c r="D22" s="147">
        <v>16.88</v>
      </c>
      <c r="E22" s="22">
        <v>110.88</v>
      </c>
      <c r="F22" s="22">
        <v>127.75999999999999</v>
      </c>
      <c r="G22" s="22">
        <v>0</v>
      </c>
      <c r="H22" s="22">
        <v>51</v>
      </c>
      <c r="I22" s="22">
        <v>5.46</v>
      </c>
      <c r="J22" s="22">
        <v>76.55</v>
      </c>
      <c r="K22" s="22">
        <v>14.49</v>
      </c>
      <c r="L22" s="22">
        <v>0.31</v>
      </c>
      <c r="M22" s="388">
        <v>2157.81</v>
      </c>
      <c r="N22" s="25">
        <v>0.46639999999999998</v>
      </c>
      <c r="O22" s="24">
        <v>503</v>
      </c>
      <c r="P22" s="24">
        <v>90</v>
      </c>
      <c r="Q22" s="24">
        <v>68.5</v>
      </c>
      <c r="R22" s="22">
        <v>21.5</v>
      </c>
      <c r="S22" s="24">
        <v>17.25</v>
      </c>
      <c r="T22" s="24">
        <f t="shared" si="4"/>
        <v>107.25</v>
      </c>
      <c r="U22" s="376">
        <v>1006.4</v>
      </c>
      <c r="V22" s="376">
        <v>107.89</v>
      </c>
      <c r="W22" s="22">
        <f t="shared" si="5"/>
        <v>469.38495999999998</v>
      </c>
      <c r="X22" s="22">
        <f t="shared" si="6"/>
        <v>293.25</v>
      </c>
      <c r="Y22" s="22">
        <v>236</v>
      </c>
      <c r="Z22" s="22">
        <v>57.25</v>
      </c>
      <c r="AA22" s="371">
        <v>2107.79</v>
      </c>
      <c r="AB22" s="22">
        <v>0.13912676310258612</v>
      </c>
      <c r="AC22" s="24">
        <v>4.1267631025861118E-3</v>
      </c>
      <c r="AD22" s="384">
        <v>-87361.032105341277</v>
      </c>
    </row>
    <row r="23" spans="1:30">
      <c r="A23" s="21" t="s">
        <v>283</v>
      </c>
      <c r="B23" s="21" t="s">
        <v>284</v>
      </c>
      <c r="C23" s="23">
        <v>29</v>
      </c>
      <c r="D23" s="147">
        <v>0</v>
      </c>
      <c r="E23" s="22">
        <v>0</v>
      </c>
      <c r="F23" s="22">
        <v>0</v>
      </c>
      <c r="G23" s="22">
        <v>0</v>
      </c>
      <c r="H23" s="22">
        <v>0</v>
      </c>
      <c r="I23" s="22">
        <v>0</v>
      </c>
      <c r="J23" s="22">
        <v>0</v>
      </c>
      <c r="K23" s="22">
        <v>0</v>
      </c>
      <c r="L23" s="22">
        <v>0</v>
      </c>
      <c r="M23" s="388">
        <v>82</v>
      </c>
      <c r="N23" s="25">
        <v>0.52580000000000005</v>
      </c>
      <c r="O23" s="24">
        <v>88</v>
      </c>
      <c r="P23" s="24">
        <v>7</v>
      </c>
      <c r="Q23" s="24">
        <v>5</v>
      </c>
      <c r="R23" s="22">
        <v>2</v>
      </c>
      <c r="S23" s="24">
        <v>1</v>
      </c>
      <c r="T23" s="24">
        <f t="shared" si="4"/>
        <v>8</v>
      </c>
      <c r="U23" s="376">
        <v>43.12</v>
      </c>
      <c r="V23" s="376">
        <v>0</v>
      </c>
      <c r="W23" s="22">
        <f t="shared" si="5"/>
        <v>22.672495999999999</v>
      </c>
      <c r="X23" s="22">
        <f t="shared" si="6"/>
        <v>19.75</v>
      </c>
      <c r="Y23" s="22">
        <v>14.75</v>
      </c>
      <c r="Z23" s="22">
        <v>5</v>
      </c>
      <c r="AA23" s="371">
        <v>85.68</v>
      </c>
      <c r="AB23" s="22">
        <v>0.23050887021475255</v>
      </c>
      <c r="AC23" s="24">
        <v>9.5508870214752545E-2</v>
      </c>
      <c r="AD23" s="384">
        <v>-74305.56547751707</v>
      </c>
    </row>
    <row r="24" spans="1:30">
      <c r="A24" s="21" t="s">
        <v>227</v>
      </c>
      <c r="B24" s="21" t="s">
        <v>228</v>
      </c>
      <c r="C24" s="23">
        <v>1342</v>
      </c>
      <c r="D24" s="147">
        <v>85.98</v>
      </c>
      <c r="E24" s="22">
        <v>323.31</v>
      </c>
      <c r="F24" s="22">
        <v>409.29</v>
      </c>
      <c r="G24" s="22">
        <v>257.43</v>
      </c>
      <c r="H24" s="22">
        <v>58</v>
      </c>
      <c r="I24" s="22">
        <v>2.67</v>
      </c>
      <c r="J24" s="22">
        <v>311.09000000000003</v>
      </c>
      <c r="K24" s="22">
        <v>31.2</v>
      </c>
      <c r="L24" s="22">
        <v>0</v>
      </c>
      <c r="M24" s="388">
        <v>4630.96</v>
      </c>
      <c r="N24" s="25">
        <v>0.64629999999999999</v>
      </c>
      <c r="O24" s="24">
        <v>3890</v>
      </c>
      <c r="P24" s="24">
        <v>454</v>
      </c>
      <c r="Q24" s="24">
        <v>319.5</v>
      </c>
      <c r="R24" s="22">
        <v>134.5</v>
      </c>
      <c r="S24" s="24">
        <v>39.25</v>
      </c>
      <c r="T24" s="24">
        <f t="shared" si="4"/>
        <v>493.25</v>
      </c>
      <c r="U24" s="376">
        <v>2996.69</v>
      </c>
      <c r="V24" s="376">
        <v>231.55</v>
      </c>
      <c r="W24" s="22">
        <f t="shared" si="5"/>
        <v>1936.760747</v>
      </c>
      <c r="X24" s="22">
        <f t="shared" si="6"/>
        <v>636.25</v>
      </c>
      <c r="Y24" s="22">
        <v>410.75</v>
      </c>
      <c r="Z24" s="22">
        <v>225.5</v>
      </c>
      <c r="AA24" s="371">
        <v>4387.3900000000003</v>
      </c>
      <c r="AB24" s="22">
        <v>0.14501788079017364</v>
      </c>
      <c r="AC24" s="24">
        <v>1.0017880790173628E-2</v>
      </c>
      <c r="AD24" s="384">
        <v>-450461.70957589644</v>
      </c>
    </row>
    <row r="25" spans="1:30">
      <c r="A25" s="21" t="s">
        <v>333</v>
      </c>
      <c r="B25" s="21" t="s">
        <v>334</v>
      </c>
      <c r="C25" s="23">
        <v>310</v>
      </c>
      <c r="D25" s="147">
        <v>0</v>
      </c>
      <c r="E25" s="22">
        <v>91.65</v>
      </c>
      <c r="F25" s="22">
        <v>91.65</v>
      </c>
      <c r="G25" s="22">
        <v>0</v>
      </c>
      <c r="H25" s="22">
        <v>15</v>
      </c>
      <c r="I25" s="22">
        <v>0.97</v>
      </c>
      <c r="J25" s="22">
        <v>10.02</v>
      </c>
      <c r="K25" s="22">
        <v>0</v>
      </c>
      <c r="L25" s="22">
        <v>0</v>
      </c>
      <c r="M25" s="388">
        <v>976.99</v>
      </c>
      <c r="N25" s="25">
        <v>0.94989999999999997</v>
      </c>
      <c r="O25" s="24">
        <v>961</v>
      </c>
      <c r="P25" s="24">
        <v>324.75</v>
      </c>
      <c r="Q25" s="24">
        <v>219</v>
      </c>
      <c r="R25" s="22">
        <v>105.75</v>
      </c>
      <c r="S25" s="24">
        <v>95.75</v>
      </c>
      <c r="T25" s="24">
        <f t="shared" si="4"/>
        <v>420.5</v>
      </c>
      <c r="U25" s="376">
        <v>928.04</v>
      </c>
      <c r="V25" s="376">
        <v>48.85</v>
      </c>
      <c r="W25" s="22">
        <f t="shared" si="5"/>
        <v>881.54519599999992</v>
      </c>
      <c r="X25" s="22">
        <f t="shared" si="6"/>
        <v>97.75</v>
      </c>
      <c r="Y25" s="22">
        <v>73.75</v>
      </c>
      <c r="Z25" s="22">
        <v>24</v>
      </c>
      <c r="AA25" s="371">
        <v>980.34</v>
      </c>
      <c r="AB25" s="22">
        <v>9.9710304588204096E-2</v>
      </c>
      <c r="AC25" s="24">
        <v>0</v>
      </c>
      <c r="AD25" s="384">
        <v>0</v>
      </c>
    </row>
    <row r="26" spans="1:30">
      <c r="A26" s="21" t="s">
        <v>91</v>
      </c>
      <c r="B26" s="21" t="s">
        <v>92</v>
      </c>
      <c r="C26" s="23">
        <v>204</v>
      </c>
      <c r="D26" s="147">
        <v>0</v>
      </c>
      <c r="E26" s="22">
        <v>28.14</v>
      </c>
      <c r="F26" s="22">
        <v>28.14</v>
      </c>
      <c r="G26" s="22">
        <v>0</v>
      </c>
      <c r="H26" s="22">
        <v>0</v>
      </c>
      <c r="I26" s="22">
        <v>0</v>
      </c>
      <c r="J26" s="22">
        <v>27.8</v>
      </c>
      <c r="K26" s="22">
        <v>0</v>
      </c>
      <c r="L26" s="22">
        <v>0</v>
      </c>
      <c r="M26" s="388">
        <v>750.8</v>
      </c>
      <c r="N26" s="25">
        <v>0.95469999999999999</v>
      </c>
      <c r="O26" s="24">
        <v>751</v>
      </c>
      <c r="P26" s="24">
        <v>352.5</v>
      </c>
      <c r="Q26" s="24">
        <v>215.25</v>
      </c>
      <c r="R26" s="22">
        <v>137.25</v>
      </c>
      <c r="S26" s="24">
        <v>34</v>
      </c>
      <c r="T26" s="24">
        <f t="shared" si="4"/>
        <v>386.5</v>
      </c>
      <c r="U26" s="376">
        <v>716.79</v>
      </c>
      <c r="V26" s="376">
        <v>37.54</v>
      </c>
      <c r="W26" s="22">
        <f t="shared" si="5"/>
        <v>684.31941299999994</v>
      </c>
      <c r="X26" s="22">
        <f t="shared" si="6"/>
        <v>66.25</v>
      </c>
      <c r="Y26" s="22">
        <v>50.5</v>
      </c>
      <c r="Z26" s="22">
        <v>15.75</v>
      </c>
      <c r="AA26" s="371">
        <v>745.77</v>
      </c>
      <c r="AB26" s="22">
        <v>8.8834359118763154E-2</v>
      </c>
      <c r="AC26" s="24">
        <v>0</v>
      </c>
      <c r="AD26" s="384">
        <v>0</v>
      </c>
    </row>
    <row r="27" spans="1:30">
      <c r="A27" s="21" t="s">
        <v>175</v>
      </c>
      <c r="B27" s="21" t="s">
        <v>176</v>
      </c>
      <c r="C27" s="23">
        <v>25</v>
      </c>
      <c r="D27" s="147">
        <v>0</v>
      </c>
      <c r="E27" s="22">
        <v>0</v>
      </c>
      <c r="F27" s="22">
        <v>0</v>
      </c>
      <c r="G27" s="22">
        <v>0</v>
      </c>
      <c r="H27" s="22">
        <v>0</v>
      </c>
      <c r="I27" s="22">
        <v>0</v>
      </c>
      <c r="J27" s="22">
        <v>0.4</v>
      </c>
      <c r="K27" s="22">
        <v>0</v>
      </c>
      <c r="L27" s="22">
        <v>0</v>
      </c>
      <c r="M27" s="388">
        <v>60.4</v>
      </c>
      <c r="N27" s="25">
        <v>0.78210000000000002</v>
      </c>
      <c r="O27" s="24">
        <v>72</v>
      </c>
      <c r="P27" s="24">
        <v>0.5</v>
      </c>
      <c r="Q27" s="24">
        <v>0.5</v>
      </c>
      <c r="R27" s="22">
        <v>0</v>
      </c>
      <c r="S27" s="24">
        <v>0</v>
      </c>
      <c r="T27" s="24">
        <f t="shared" si="4"/>
        <v>0.5</v>
      </c>
      <c r="U27" s="376">
        <v>47.24</v>
      </c>
      <c r="V27" s="376">
        <v>3.02</v>
      </c>
      <c r="W27" s="22">
        <f t="shared" si="5"/>
        <v>36.946404000000001</v>
      </c>
      <c r="X27" s="22">
        <f t="shared" si="6"/>
        <v>7</v>
      </c>
      <c r="Y27" s="22">
        <v>0</v>
      </c>
      <c r="Z27" s="22">
        <v>7</v>
      </c>
      <c r="AA27" s="371">
        <v>72.8</v>
      </c>
      <c r="AB27" s="22">
        <v>9.6153846153846159E-2</v>
      </c>
      <c r="AC27" s="24">
        <v>0</v>
      </c>
      <c r="AD27" s="384">
        <v>0</v>
      </c>
    </row>
    <row r="28" spans="1:30">
      <c r="A28" s="21" t="s">
        <v>403</v>
      </c>
      <c r="B28" s="21" t="s">
        <v>404</v>
      </c>
      <c r="C28" s="23">
        <v>858</v>
      </c>
      <c r="D28" s="147">
        <v>81.25</v>
      </c>
      <c r="E28" s="22">
        <v>316.22000000000003</v>
      </c>
      <c r="F28" s="22">
        <v>397.47</v>
      </c>
      <c r="G28" s="22">
        <v>0</v>
      </c>
      <c r="H28" s="22">
        <v>74</v>
      </c>
      <c r="I28" s="22">
        <v>4.2</v>
      </c>
      <c r="J28" s="22">
        <v>21.84</v>
      </c>
      <c r="K28" s="22">
        <v>10</v>
      </c>
      <c r="L28" s="22">
        <v>0.2</v>
      </c>
      <c r="M28" s="388">
        <v>3205.24</v>
      </c>
      <c r="N28" s="25">
        <v>0.54559999999999997</v>
      </c>
      <c r="O28" s="24">
        <v>1391</v>
      </c>
      <c r="P28" s="24">
        <v>734.75</v>
      </c>
      <c r="Q28" s="24">
        <v>424</v>
      </c>
      <c r="R28" s="22">
        <v>310.75</v>
      </c>
      <c r="S28" s="24">
        <v>73.75</v>
      </c>
      <c r="T28" s="24">
        <f t="shared" si="4"/>
        <v>808.5</v>
      </c>
      <c r="U28" s="376">
        <v>1749.1</v>
      </c>
      <c r="V28" s="376">
        <v>160.26</v>
      </c>
      <c r="W28" s="22">
        <f t="shared" si="5"/>
        <v>954.30895999999996</v>
      </c>
      <c r="X28" s="22">
        <f t="shared" si="6"/>
        <v>487.25</v>
      </c>
      <c r="Y28" s="22">
        <v>350.25</v>
      </c>
      <c r="Z28" s="22">
        <v>137</v>
      </c>
      <c r="AA28" s="371">
        <v>3306.02</v>
      </c>
      <c r="AB28" s="22">
        <v>0.14738265346247148</v>
      </c>
      <c r="AC28" s="24">
        <v>1.2382653462471471E-2</v>
      </c>
      <c r="AD28" s="384">
        <v>-407888.80558365223</v>
      </c>
    </row>
    <row r="29" spans="1:30">
      <c r="A29" s="21" t="s">
        <v>67</v>
      </c>
      <c r="B29" s="21" t="s">
        <v>68</v>
      </c>
      <c r="C29" s="23">
        <v>1815</v>
      </c>
      <c r="D29" s="147">
        <v>34.78</v>
      </c>
      <c r="E29" s="22">
        <v>396.16</v>
      </c>
      <c r="F29" s="22">
        <v>430.94000000000005</v>
      </c>
      <c r="G29" s="22">
        <v>0</v>
      </c>
      <c r="H29" s="22">
        <v>200</v>
      </c>
      <c r="I29" s="22">
        <v>1.91</v>
      </c>
      <c r="J29" s="22">
        <v>120.72</v>
      </c>
      <c r="K29" s="22">
        <v>6.6</v>
      </c>
      <c r="L29" s="22">
        <v>0</v>
      </c>
      <c r="M29" s="388">
        <v>7227.2300000000005</v>
      </c>
      <c r="N29" s="25">
        <v>0.15210000000000001</v>
      </c>
      <c r="O29" s="24">
        <v>0</v>
      </c>
      <c r="P29" s="24">
        <v>187.75</v>
      </c>
      <c r="Q29" s="24">
        <v>139.75</v>
      </c>
      <c r="R29" s="22">
        <v>48</v>
      </c>
      <c r="S29" s="24">
        <v>116.5</v>
      </c>
      <c r="T29" s="24">
        <f t="shared" si="4"/>
        <v>304.25</v>
      </c>
      <c r="U29" s="376">
        <v>1098.54</v>
      </c>
      <c r="V29" s="376">
        <v>361.36</v>
      </c>
      <c r="W29" s="22">
        <f t="shared" si="5"/>
        <v>167.08793400000002</v>
      </c>
      <c r="X29" s="22">
        <f t="shared" si="6"/>
        <v>732.5</v>
      </c>
      <c r="Y29" s="22">
        <v>541.25</v>
      </c>
      <c r="Z29" s="22">
        <v>191.25</v>
      </c>
      <c r="AA29" s="371">
        <v>7095.41</v>
      </c>
      <c r="AB29" s="22">
        <v>0.10323575381831353</v>
      </c>
      <c r="AC29" s="24">
        <v>0</v>
      </c>
      <c r="AD29" s="384">
        <v>0</v>
      </c>
    </row>
    <row r="30" spans="1:30">
      <c r="A30" s="21" t="s">
        <v>49</v>
      </c>
      <c r="B30" s="21" t="s">
        <v>50</v>
      </c>
      <c r="C30" s="23">
        <v>157</v>
      </c>
      <c r="D30" s="147">
        <v>0</v>
      </c>
      <c r="E30" s="22">
        <v>7.62</v>
      </c>
      <c r="F30" s="22">
        <v>7.62</v>
      </c>
      <c r="G30" s="22">
        <v>0</v>
      </c>
      <c r="H30" s="22">
        <v>8</v>
      </c>
      <c r="I30" s="22">
        <v>0.74</v>
      </c>
      <c r="J30" s="22">
        <v>1.96</v>
      </c>
      <c r="K30" s="22">
        <v>0</v>
      </c>
      <c r="L30" s="22">
        <v>0</v>
      </c>
      <c r="M30" s="388">
        <v>496.7</v>
      </c>
      <c r="N30" s="25">
        <v>0.72089999999999999</v>
      </c>
      <c r="O30" s="24">
        <v>496</v>
      </c>
      <c r="P30" s="24">
        <v>0</v>
      </c>
      <c r="Q30" s="24">
        <v>0</v>
      </c>
      <c r="R30" s="22">
        <v>0</v>
      </c>
      <c r="S30" s="24">
        <v>0</v>
      </c>
      <c r="T30" s="24">
        <f t="shared" si="4"/>
        <v>0</v>
      </c>
      <c r="U30" s="376">
        <v>358.07</v>
      </c>
      <c r="V30" s="376">
        <v>0</v>
      </c>
      <c r="W30" s="22">
        <f t="shared" si="5"/>
        <v>258.13266299999998</v>
      </c>
      <c r="X30" s="22">
        <f t="shared" si="6"/>
        <v>72</v>
      </c>
      <c r="Y30" s="22">
        <v>52</v>
      </c>
      <c r="Z30" s="22">
        <v>20</v>
      </c>
      <c r="AA30" s="371">
        <v>483.21</v>
      </c>
      <c r="AB30" s="22">
        <v>0.14900353883404732</v>
      </c>
      <c r="AC30" s="24">
        <v>1.4003538834047313E-2</v>
      </c>
      <c r="AD30" s="384">
        <v>-61563.544731351605</v>
      </c>
    </row>
    <row r="31" spans="1:30">
      <c r="A31" s="21" t="s">
        <v>367</v>
      </c>
      <c r="B31" s="21" t="s">
        <v>368</v>
      </c>
      <c r="C31" s="23">
        <v>77</v>
      </c>
      <c r="D31" s="147">
        <v>0</v>
      </c>
      <c r="E31" s="22">
        <v>0</v>
      </c>
      <c r="F31" s="22">
        <v>0</v>
      </c>
      <c r="G31" s="22">
        <v>0</v>
      </c>
      <c r="H31" s="22">
        <v>0</v>
      </c>
      <c r="I31" s="22">
        <v>0</v>
      </c>
      <c r="J31" s="22">
        <v>0</v>
      </c>
      <c r="K31" s="22">
        <v>0</v>
      </c>
      <c r="L31" s="22">
        <v>0</v>
      </c>
      <c r="M31" s="388">
        <v>186</v>
      </c>
      <c r="N31" s="25">
        <v>0.3034</v>
      </c>
      <c r="O31" s="24">
        <v>0</v>
      </c>
      <c r="P31" s="24">
        <v>0</v>
      </c>
      <c r="Q31" s="24">
        <v>0</v>
      </c>
      <c r="R31" s="22">
        <v>0</v>
      </c>
      <c r="S31" s="24">
        <v>0</v>
      </c>
      <c r="T31" s="24">
        <f t="shared" si="4"/>
        <v>0</v>
      </c>
      <c r="U31" s="376">
        <v>56.43</v>
      </c>
      <c r="V31" s="376">
        <v>9.3000000000000007</v>
      </c>
      <c r="W31" s="22">
        <f t="shared" si="5"/>
        <v>17.120861999999999</v>
      </c>
      <c r="X31" s="22">
        <f t="shared" si="6"/>
        <v>25.5</v>
      </c>
      <c r="Y31" s="22">
        <v>22.75</v>
      </c>
      <c r="Z31" s="22">
        <v>2.75</v>
      </c>
      <c r="AA31" s="371">
        <v>178.76</v>
      </c>
      <c r="AB31" s="22">
        <v>0.14264936227343925</v>
      </c>
      <c r="AC31" s="24">
        <v>7.6493622734392364E-3</v>
      </c>
      <c r="AD31" s="384">
        <v>-13496.429971682852</v>
      </c>
    </row>
    <row r="32" spans="1:30">
      <c r="A32" s="21" t="s">
        <v>1226</v>
      </c>
      <c r="B32" s="21" t="s">
        <v>1227</v>
      </c>
      <c r="C32" s="23">
        <v>0</v>
      </c>
      <c r="D32" s="147">
        <v>0</v>
      </c>
      <c r="E32" s="22">
        <v>0</v>
      </c>
      <c r="F32" s="22">
        <v>0</v>
      </c>
      <c r="G32" s="22">
        <v>0</v>
      </c>
      <c r="H32" s="22">
        <v>0</v>
      </c>
      <c r="I32" s="22">
        <v>0</v>
      </c>
      <c r="J32" s="22">
        <v>0</v>
      </c>
      <c r="K32" s="22">
        <v>0</v>
      </c>
      <c r="L32" s="22">
        <v>0</v>
      </c>
      <c r="M32" s="388">
        <v>208</v>
      </c>
      <c r="N32" s="25">
        <v>0.68630000000000002</v>
      </c>
      <c r="O32" s="24">
        <v>102</v>
      </c>
      <c r="P32" s="24">
        <v>4.99</v>
      </c>
      <c r="Q32" s="24">
        <v>0</v>
      </c>
      <c r="R32" s="22">
        <v>4.99</v>
      </c>
      <c r="S32" s="24">
        <v>6.76</v>
      </c>
      <c r="T32" s="24">
        <f t="shared" si="4"/>
        <v>11.75</v>
      </c>
      <c r="U32" s="376">
        <v>140.71</v>
      </c>
      <c r="V32" s="376">
        <v>0</v>
      </c>
      <c r="W32" s="22">
        <f t="shared" si="5"/>
        <v>96.56927300000001</v>
      </c>
      <c r="X32" s="22">
        <f t="shared" si="6"/>
        <v>19</v>
      </c>
      <c r="Y32" s="22">
        <v>19</v>
      </c>
      <c r="Z32" s="22">
        <v>0</v>
      </c>
      <c r="AA32" s="371">
        <v>104</v>
      </c>
      <c r="AB32" s="22">
        <v>0.18269230769230768</v>
      </c>
      <c r="AC32" s="24">
        <v>4.7692307692307673E-2</v>
      </c>
      <c r="AD32" s="384">
        <v>-47969.672587031135</v>
      </c>
    </row>
    <row r="33" spans="1:30">
      <c r="A33" s="21" t="s">
        <v>39</v>
      </c>
      <c r="B33" s="21" t="s">
        <v>40</v>
      </c>
      <c r="C33" s="23">
        <v>325</v>
      </c>
      <c r="D33" s="147">
        <v>44.46</v>
      </c>
      <c r="E33" s="22">
        <v>130.35</v>
      </c>
      <c r="F33" s="22">
        <v>174.81</v>
      </c>
      <c r="G33" s="22">
        <v>0</v>
      </c>
      <c r="H33" s="22">
        <v>50</v>
      </c>
      <c r="I33" s="22">
        <v>0.75</v>
      </c>
      <c r="J33" s="22">
        <v>61.67</v>
      </c>
      <c r="K33" s="22">
        <v>0</v>
      </c>
      <c r="L33" s="22">
        <v>0</v>
      </c>
      <c r="M33" s="388">
        <v>1182.42</v>
      </c>
      <c r="N33" s="25">
        <v>0.40339999999999998</v>
      </c>
      <c r="O33" s="24">
        <v>18</v>
      </c>
      <c r="P33" s="24">
        <v>135.5</v>
      </c>
      <c r="Q33" s="24">
        <v>89</v>
      </c>
      <c r="R33" s="22">
        <v>46.5</v>
      </c>
      <c r="S33" s="24">
        <v>51</v>
      </c>
      <c r="T33" s="24">
        <f t="shared" si="4"/>
        <v>186.5</v>
      </c>
      <c r="U33" s="376">
        <v>476.99</v>
      </c>
      <c r="V33" s="376">
        <v>0</v>
      </c>
      <c r="W33" s="22">
        <f t="shared" si="5"/>
        <v>192.417766</v>
      </c>
      <c r="X33" s="22">
        <f t="shared" si="6"/>
        <v>110.75</v>
      </c>
      <c r="Y33" s="22">
        <v>71</v>
      </c>
      <c r="Z33" s="22">
        <v>39.75</v>
      </c>
      <c r="AA33" s="371">
        <v>1237.5899999999999</v>
      </c>
      <c r="AB33" s="22">
        <v>8.9488441244677155E-2</v>
      </c>
      <c r="AC33" s="24">
        <v>0</v>
      </c>
      <c r="AD33" s="384">
        <v>0</v>
      </c>
    </row>
    <row r="34" spans="1:30">
      <c r="A34" s="21" t="s">
        <v>37</v>
      </c>
      <c r="B34" s="21" t="s">
        <v>38</v>
      </c>
      <c r="C34" s="23">
        <v>451</v>
      </c>
      <c r="D34" s="147">
        <v>54.57</v>
      </c>
      <c r="E34" s="22">
        <v>124.28</v>
      </c>
      <c r="F34" s="22">
        <v>178.85</v>
      </c>
      <c r="G34" s="22">
        <v>0</v>
      </c>
      <c r="H34" s="22">
        <v>30</v>
      </c>
      <c r="I34" s="22">
        <v>1.3</v>
      </c>
      <c r="J34" s="22">
        <v>0</v>
      </c>
      <c r="K34" s="22">
        <v>0</v>
      </c>
      <c r="L34" s="22">
        <v>0</v>
      </c>
      <c r="M34" s="388">
        <v>1566.3</v>
      </c>
      <c r="N34" s="25">
        <v>0.4365</v>
      </c>
      <c r="O34" s="24">
        <v>0</v>
      </c>
      <c r="P34" s="24">
        <v>186</v>
      </c>
      <c r="Q34" s="24">
        <v>152.25</v>
      </c>
      <c r="R34" s="22">
        <v>33.75</v>
      </c>
      <c r="S34" s="24">
        <v>65.5</v>
      </c>
      <c r="T34" s="24">
        <f t="shared" si="4"/>
        <v>251.5</v>
      </c>
      <c r="U34" s="376">
        <v>683.69</v>
      </c>
      <c r="V34" s="376">
        <v>78.319999999999993</v>
      </c>
      <c r="W34" s="22">
        <f t="shared" si="5"/>
        <v>298.43068500000004</v>
      </c>
      <c r="X34" s="22">
        <f t="shared" si="6"/>
        <v>185</v>
      </c>
      <c r="Y34" s="22">
        <v>159</v>
      </c>
      <c r="Z34" s="22">
        <v>26</v>
      </c>
      <c r="AA34" s="371">
        <v>1578.32</v>
      </c>
      <c r="AB34" s="22">
        <v>0.11721323939378581</v>
      </c>
      <c r="AC34" s="24">
        <v>0</v>
      </c>
      <c r="AD34" s="384">
        <v>0</v>
      </c>
    </row>
    <row r="35" spans="1:30">
      <c r="A35" s="21" t="s">
        <v>81</v>
      </c>
      <c r="B35" s="21" t="s">
        <v>82</v>
      </c>
      <c r="C35" s="23">
        <v>408</v>
      </c>
      <c r="D35" s="147">
        <v>5.44</v>
      </c>
      <c r="E35" s="22">
        <v>70.650000000000006</v>
      </c>
      <c r="F35" s="22">
        <v>76.09</v>
      </c>
      <c r="G35" s="22">
        <v>0</v>
      </c>
      <c r="H35" s="22">
        <v>32</v>
      </c>
      <c r="I35" s="22">
        <v>2.37</v>
      </c>
      <c r="J35" s="22">
        <v>46.43</v>
      </c>
      <c r="K35" s="22">
        <v>0</v>
      </c>
      <c r="L35" s="22">
        <v>0</v>
      </c>
      <c r="M35" s="388">
        <v>1475.8</v>
      </c>
      <c r="N35" s="25">
        <v>0.52590000000000003</v>
      </c>
      <c r="O35" s="24">
        <v>576</v>
      </c>
      <c r="P35" s="24">
        <v>20.25</v>
      </c>
      <c r="Q35" s="24">
        <v>10.25</v>
      </c>
      <c r="R35" s="22">
        <v>10</v>
      </c>
      <c r="S35" s="24">
        <v>3</v>
      </c>
      <c r="T35" s="24">
        <f t="shared" si="4"/>
        <v>23.25</v>
      </c>
      <c r="U35" s="376">
        <v>776.12</v>
      </c>
      <c r="V35" s="376">
        <v>73.790000000000006</v>
      </c>
      <c r="W35" s="22">
        <f t="shared" si="5"/>
        <v>408.16150800000003</v>
      </c>
      <c r="X35" s="22">
        <f t="shared" si="6"/>
        <v>231.75</v>
      </c>
      <c r="Y35" s="22">
        <v>146.5</v>
      </c>
      <c r="Z35" s="22">
        <v>85.25</v>
      </c>
      <c r="AA35" s="371">
        <v>1408.8</v>
      </c>
      <c r="AB35" s="22">
        <v>0.16450170357751279</v>
      </c>
      <c r="AC35" s="24">
        <v>2.9501703577512778E-2</v>
      </c>
      <c r="AD35" s="384">
        <v>-374913.21983128978</v>
      </c>
    </row>
    <row r="36" spans="1:30">
      <c r="A36" s="21" t="s">
        <v>1228</v>
      </c>
      <c r="B36" s="21" t="s">
        <v>1229</v>
      </c>
      <c r="C36" s="23">
        <v>196</v>
      </c>
      <c r="D36" s="147">
        <v>0</v>
      </c>
      <c r="E36" s="22">
        <v>0</v>
      </c>
      <c r="F36" s="22">
        <v>0</v>
      </c>
      <c r="G36" s="22">
        <v>0</v>
      </c>
      <c r="H36" s="22">
        <v>0</v>
      </c>
      <c r="I36" s="22">
        <v>0</v>
      </c>
      <c r="J36" s="22">
        <v>0</v>
      </c>
      <c r="K36" s="22">
        <v>0</v>
      </c>
      <c r="L36" s="22">
        <v>0</v>
      </c>
      <c r="M36" s="388">
        <v>392</v>
      </c>
      <c r="N36" s="25">
        <v>0.51339999999999997</v>
      </c>
      <c r="O36" s="24">
        <v>0</v>
      </c>
      <c r="P36" s="24">
        <v>1</v>
      </c>
      <c r="Q36" s="24">
        <v>0</v>
      </c>
      <c r="R36" s="22">
        <v>1</v>
      </c>
      <c r="S36" s="24">
        <v>0</v>
      </c>
      <c r="T36" s="24">
        <f t="shared" si="4"/>
        <v>1</v>
      </c>
      <c r="U36" s="376">
        <v>201.25</v>
      </c>
      <c r="V36" s="376">
        <v>19.600000000000001</v>
      </c>
      <c r="W36" s="22">
        <f t="shared" si="5"/>
        <v>103.32174999999999</v>
      </c>
      <c r="X36" s="22">
        <f t="shared" si="6"/>
        <v>29.5</v>
      </c>
      <c r="Y36" s="22">
        <v>28.75</v>
      </c>
      <c r="Z36" s="22">
        <v>0.75</v>
      </c>
      <c r="AA36" s="371">
        <v>301.39999999999998</v>
      </c>
      <c r="AB36" s="22">
        <v>9.787657597876577E-2</v>
      </c>
      <c r="AC36" s="24">
        <v>0</v>
      </c>
      <c r="AD36" s="384">
        <v>0</v>
      </c>
    </row>
    <row r="37" spans="1:30">
      <c r="A37" s="21" t="s">
        <v>255</v>
      </c>
      <c r="B37" s="21" t="s">
        <v>256</v>
      </c>
      <c r="C37" s="23">
        <v>35</v>
      </c>
      <c r="D37" s="147">
        <v>0</v>
      </c>
      <c r="E37" s="22">
        <v>0</v>
      </c>
      <c r="F37" s="22">
        <v>0</v>
      </c>
      <c r="G37" s="22">
        <v>0</v>
      </c>
      <c r="H37" s="22">
        <v>0</v>
      </c>
      <c r="I37" s="22">
        <v>0</v>
      </c>
      <c r="J37" s="22">
        <v>0</v>
      </c>
      <c r="K37" s="22">
        <v>0</v>
      </c>
      <c r="L37" s="22">
        <v>0</v>
      </c>
      <c r="M37" s="388">
        <v>86</v>
      </c>
      <c r="N37" s="25">
        <v>0.33329999999999999</v>
      </c>
      <c r="O37" s="24">
        <v>0</v>
      </c>
      <c r="P37" s="24">
        <v>0</v>
      </c>
      <c r="Q37" s="24">
        <v>0</v>
      </c>
      <c r="R37" s="22">
        <v>0</v>
      </c>
      <c r="S37" s="24">
        <v>0</v>
      </c>
      <c r="T37" s="24">
        <f t="shared" si="4"/>
        <v>0</v>
      </c>
      <c r="U37" s="376">
        <v>28.66</v>
      </c>
      <c r="V37" s="376">
        <v>0</v>
      </c>
      <c r="W37" s="22">
        <f t="shared" si="5"/>
        <v>9.5523779999999991</v>
      </c>
      <c r="X37" s="22">
        <f t="shared" si="6"/>
        <v>7.75</v>
      </c>
      <c r="Y37" s="22">
        <v>7</v>
      </c>
      <c r="Z37" s="22">
        <v>0.75</v>
      </c>
      <c r="AA37" s="371">
        <v>86.8</v>
      </c>
      <c r="AB37" s="22">
        <v>8.9285714285714288E-2</v>
      </c>
      <c r="AC37" s="24">
        <v>0</v>
      </c>
      <c r="AD37" s="384">
        <v>0</v>
      </c>
    </row>
    <row r="38" spans="1:30">
      <c r="A38" s="21" t="s">
        <v>233</v>
      </c>
      <c r="B38" s="21" t="s">
        <v>234</v>
      </c>
      <c r="C38" s="23">
        <v>3116.95</v>
      </c>
      <c r="D38" s="147">
        <v>113.01</v>
      </c>
      <c r="E38" s="22">
        <v>662.91</v>
      </c>
      <c r="F38" s="22">
        <v>775.92</v>
      </c>
      <c r="G38" s="22">
        <v>0</v>
      </c>
      <c r="H38" s="22">
        <v>340</v>
      </c>
      <c r="I38" s="22">
        <v>10.93</v>
      </c>
      <c r="J38" s="22">
        <v>686.12</v>
      </c>
      <c r="K38" s="22">
        <v>0</v>
      </c>
      <c r="L38" s="22">
        <v>0</v>
      </c>
      <c r="M38" s="388">
        <v>11157.800000000001</v>
      </c>
      <c r="N38" s="25">
        <v>0.38040000000000002</v>
      </c>
      <c r="O38" s="24">
        <v>1016</v>
      </c>
      <c r="P38" s="24">
        <v>410.5</v>
      </c>
      <c r="Q38" s="24">
        <v>235</v>
      </c>
      <c r="R38" s="22">
        <v>175.5</v>
      </c>
      <c r="S38" s="24">
        <v>74.25</v>
      </c>
      <c r="T38" s="24">
        <f t="shared" si="4"/>
        <v>484.75</v>
      </c>
      <c r="U38" s="376">
        <v>4244.43</v>
      </c>
      <c r="V38" s="376">
        <v>557.89</v>
      </c>
      <c r="W38" s="22">
        <f t="shared" si="5"/>
        <v>1614.5811720000002</v>
      </c>
      <c r="X38" s="22">
        <f t="shared" si="6"/>
        <v>1497.75</v>
      </c>
      <c r="Y38" s="22">
        <v>959</v>
      </c>
      <c r="Z38" s="22">
        <v>538.75</v>
      </c>
      <c r="AA38" s="371">
        <v>11101.92</v>
      </c>
      <c r="AB38" s="22">
        <v>0.134909096804877</v>
      </c>
      <c r="AC38" s="24">
        <v>0</v>
      </c>
      <c r="AD38" s="384">
        <v>0</v>
      </c>
    </row>
    <row r="39" spans="1:30">
      <c r="A39" s="21" t="s">
        <v>463</v>
      </c>
      <c r="B39" s="21" t="s">
        <v>464</v>
      </c>
      <c r="C39" s="23">
        <v>4142</v>
      </c>
      <c r="D39" s="147">
        <v>54.24</v>
      </c>
      <c r="E39" s="22">
        <v>638.70000000000005</v>
      </c>
      <c r="F39" s="22">
        <v>692.94</v>
      </c>
      <c r="G39" s="22">
        <v>52.27</v>
      </c>
      <c r="H39" s="22">
        <v>349</v>
      </c>
      <c r="I39" s="22">
        <v>10.78</v>
      </c>
      <c r="J39" s="22">
        <v>228</v>
      </c>
      <c r="K39" s="22">
        <v>91.8</v>
      </c>
      <c r="L39" s="22">
        <v>0</v>
      </c>
      <c r="M39" s="388">
        <v>14486.58</v>
      </c>
      <c r="N39" s="25">
        <v>0.38200000000000001</v>
      </c>
      <c r="O39" s="24">
        <v>3430</v>
      </c>
      <c r="P39" s="24">
        <v>476</v>
      </c>
      <c r="Q39" s="24">
        <v>288.75</v>
      </c>
      <c r="R39" s="22">
        <v>187.25</v>
      </c>
      <c r="S39" s="24">
        <v>96.25</v>
      </c>
      <c r="T39" s="24">
        <f t="shared" si="4"/>
        <v>572.25</v>
      </c>
      <c r="U39" s="376">
        <v>5533.87</v>
      </c>
      <c r="V39" s="376">
        <v>724.33</v>
      </c>
      <c r="W39" s="22">
        <f t="shared" si="5"/>
        <v>2113.9383400000002</v>
      </c>
      <c r="X39" s="22">
        <f t="shared" si="6"/>
        <v>2012</v>
      </c>
      <c r="Y39" s="22">
        <v>915.25</v>
      </c>
      <c r="Z39" s="22">
        <v>1096.75</v>
      </c>
      <c r="AA39" s="371">
        <v>14268.61</v>
      </c>
      <c r="AB39" s="22">
        <v>0.14100882987200575</v>
      </c>
      <c r="AC39" s="24">
        <v>6.0088298720057387E-3</v>
      </c>
      <c r="AD39" s="384">
        <v>-772523.06809381233</v>
      </c>
    </row>
    <row r="40" spans="1:30">
      <c r="A40" s="21" t="s">
        <v>295</v>
      </c>
      <c r="B40" s="21" t="s">
        <v>296</v>
      </c>
      <c r="C40" s="23">
        <v>1016</v>
      </c>
      <c r="D40" s="147">
        <v>48.87</v>
      </c>
      <c r="E40" s="22">
        <v>228.67</v>
      </c>
      <c r="F40" s="22">
        <v>277.53999999999996</v>
      </c>
      <c r="G40" s="22">
        <v>0</v>
      </c>
      <c r="H40" s="22">
        <v>94</v>
      </c>
      <c r="I40" s="22">
        <v>7.57</v>
      </c>
      <c r="J40" s="22">
        <v>52.77</v>
      </c>
      <c r="K40" s="22">
        <v>8.6</v>
      </c>
      <c r="L40" s="22">
        <v>0</v>
      </c>
      <c r="M40" s="388">
        <v>3304.94</v>
      </c>
      <c r="N40" s="25">
        <v>0.80730000000000002</v>
      </c>
      <c r="O40" s="24">
        <v>3285</v>
      </c>
      <c r="P40" s="24">
        <v>482.5</v>
      </c>
      <c r="Q40" s="24">
        <v>312.5</v>
      </c>
      <c r="R40" s="22">
        <v>170</v>
      </c>
      <c r="S40" s="24">
        <v>67</v>
      </c>
      <c r="T40" s="24">
        <f t="shared" si="4"/>
        <v>549.5</v>
      </c>
      <c r="U40" s="376">
        <v>2667.75</v>
      </c>
      <c r="V40" s="376">
        <v>165.25</v>
      </c>
      <c r="W40" s="22">
        <f t="shared" si="5"/>
        <v>2153.674575</v>
      </c>
      <c r="X40" s="22">
        <f t="shared" si="6"/>
        <v>465.75</v>
      </c>
      <c r="Y40" s="22">
        <v>271.25</v>
      </c>
      <c r="Z40" s="22">
        <v>194.5</v>
      </c>
      <c r="AA40" s="371">
        <v>3390.27</v>
      </c>
      <c r="AB40" s="22">
        <v>0.1373784388853985</v>
      </c>
      <c r="AC40" s="24">
        <v>2.3784388853984872E-3</v>
      </c>
      <c r="AD40" s="384">
        <v>-73122.407104297847</v>
      </c>
    </row>
    <row r="41" spans="1:30">
      <c r="A41" s="21" t="s">
        <v>291</v>
      </c>
      <c r="B41" s="21" t="s">
        <v>292</v>
      </c>
      <c r="C41" s="23">
        <v>830</v>
      </c>
      <c r="D41" s="147">
        <v>0</v>
      </c>
      <c r="E41" s="22">
        <v>171.26</v>
      </c>
      <c r="F41" s="22">
        <v>171.26</v>
      </c>
      <c r="G41" s="22">
        <v>0</v>
      </c>
      <c r="H41" s="22">
        <v>71</v>
      </c>
      <c r="I41" s="22">
        <v>7.15</v>
      </c>
      <c r="J41" s="22">
        <v>25.77</v>
      </c>
      <c r="K41" s="22">
        <v>5.4</v>
      </c>
      <c r="L41" s="22">
        <v>0</v>
      </c>
      <c r="M41" s="388">
        <v>2949.32</v>
      </c>
      <c r="N41" s="25">
        <v>0.46789999999999998</v>
      </c>
      <c r="O41" s="24">
        <v>1251</v>
      </c>
      <c r="P41" s="24">
        <v>108.5</v>
      </c>
      <c r="Q41" s="24">
        <v>56.25</v>
      </c>
      <c r="R41" s="22">
        <v>52.25</v>
      </c>
      <c r="S41" s="24">
        <v>16</v>
      </c>
      <c r="T41" s="24">
        <f t="shared" si="4"/>
        <v>124.5</v>
      </c>
      <c r="U41" s="376">
        <v>1379.99</v>
      </c>
      <c r="V41" s="376">
        <v>147.47</v>
      </c>
      <c r="W41" s="22">
        <f t="shared" si="5"/>
        <v>645.69732099999999</v>
      </c>
      <c r="X41" s="22">
        <f t="shared" si="6"/>
        <v>388.5</v>
      </c>
      <c r="Y41" s="22">
        <v>210.25</v>
      </c>
      <c r="Z41" s="22">
        <v>178.25</v>
      </c>
      <c r="AA41" s="371">
        <v>2850.93</v>
      </c>
      <c r="AB41" s="22">
        <v>0.13627132198966654</v>
      </c>
      <c r="AC41" s="24">
        <v>1.2713219896665351E-3</v>
      </c>
      <c r="AD41" s="384">
        <v>-33398.626482508844</v>
      </c>
    </row>
    <row r="42" spans="1:30">
      <c r="A42" s="21" t="s">
        <v>467</v>
      </c>
      <c r="B42" s="21" t="s">
        <v>468</v>
      </c>
      <c r="C42" s="23">
        <v>1463</v>
      </c>
      <c r="D42" s="147">
        <v>97.13</v>
      </c>
      <c r="E42" s="22">
        <v>400.93</v>
      </c>
      <c r="F42" s="22">
        <v>498.06</v>
      </c>
      <c r="G42" s="22">
        <v>0</v>
      </c>
      <c r="H42" s="22">
        <v>140</v>
      </c>
      <c r="I42" s="22">
        <v>2.41</v>
      </c>
      <c r="J42" s="22">
        <v>311.99</v>
      </c>
      <c r="K42" s="22">
        <v>8.16</v>
      </c>
      <c r="L42" s="22">
        <v>1</v>
      </c>
      <c r="M42" s="388">
        <v>5258.5599999999995</v>
      </c>
      <c r="N42" s="25">
        <v>0.49630000000000002</v>
      </c>
      <c r="O42" s="24">
        <v>1507</v>
      </c>
      <c r="P42" s="24">
        <v>238.25</v>
      </c>
      <c r="Q42" s="24">
        <v>168.75</v>
      </c>
      <c r="R42" s="22">
        <v>69.5</v>
      </c>
      <c r="S42" s="24">
        <v>41.25</v>
      </c>
      <c r="T42" s="24">
        <f t="shared" si="4"/>
        <v>279.5</v>
      </c>
      <c r="U42" s="376">
        <v>2609.8200000000002</v>
      </c>
      <c r="V42" s="376">
        <v>262.93</v>
      </c>
      <c r="W42" s="22">
        <f t="shared" si="5"/>
        <v>1295.2536660000001</v>
      </c>
      <c r="X42" s="22">
        <f t="shared" si="6"/>
        <v>804.75</v>
      </c>
      <c r="Y42" s="22">
        <v>600.75</v>
      </c>
      <c r="Z42" s="22">
        <v>204</v>
      </c>
      <c r="AA42" s="371">
        <v>5179.01</v>
      </c>
      <c r="AB42" s="22">
        <v>0.15538684034207309</v>
      </c>
      <c r="AC42" s="24">
        <v>2.0386840342073081E-2</v>
      </c>
      <c r="AD42" s="384">
        <v>-954698.42510729947</v>
      </c>
    </row>
    <row r="43" spans="1:30">
      <c r="A43" s="21" t="s">
        <v>485</v>
      </c>
      <c r="B43" s="21" t="s">
        <v>486</v>
      </c>
      <c r="C43" s="23">
        <v>150</v>
      </c>
      <c r="D43" s="147">
        <v>10.06</v>
      </c>
      <c r="E43" s="22">
        <v>60.72</v>
      </c>
      <c r="F43" s="22">
        <v>70.78</v>
      </c>
      <c r="G43" s="22">
        <v>0</v>
      </c>
      <c r="H43" s="22">
        <v>23</v>
      </c>
      <c r="I43" s="22">
        <v>0.46</v>
      </c>
      <c r="J43" s="22">
        <v>118.30000000000001</v>
      </c>
      <c r="K43" s="22">
        <v>14.4</v>
      </c>
      <c r="L43" s="22">
        <v>0</v>
      </c>
      <c r="M43" s="388">
        <v>716.16</v>
      </c>
      <c r="N43" s="25">
        <v>0.58360000000000001</v>
      </c>
      <c r="O43" s="24">
        <v>754</v>
      </c>
      <c r="P43" s="24">
        <v>1</v>
      </c>
      <c r="Q43" s="24">
        <v>0</v>
      </c>
      <c r="R43" s="22">
        <v>1</v>
      </c>
      <c r="S43" s="24">
        <v>0</v>
      </c>
      <c r="T43" s="24">
        <f t="shared" si="4"/>
        <v>1</v>
      </c>
      <c r="U43" s="376">
        <v>417.09</v>
      </c>
      <c r="V43" s="376">
        <v>35.81</v>
      </c>
      <c r="W43" s="22">
        <f t="shared" si="5"/>
        <v>243.413724</v>
      </c>
      <c r="X43" s="22">
        <f t="shared" si="6"/>
        <v>132.75</v>
      </c>
      <c r="Y43" s="22">
        <v>91.25</v>
      </c>
      <c r="Z43" s="22">
        <v>41.5</v>
      </c>
      <c r="AA43" s="371">
        <v>766.06</v>
      </c>
      <c r="AB43" s="22">
        <v>0.17328929848836908</v>
      </c>
      <c r="AC43" s="24">
        <v>3.8289298488369067E-2</v>
      </c>
      <c r="AD43" s="384">
        <v>-261264.45991331222</v>
      </c>
    </row>
    <row r="44" spans="1:30">
      <c r="A44" s="21" t="s">
        <v>1038</v>
      </c>
      <c r="B44" s="21" t="s">
        <v>1043</v>
      </c>
      <c r="C44" s="23">
        <v>172.2</v>
      </c>
      <c r="D44" s="147">
        <v>0</v>
      </c>
      <c r="E44" s="22">
        <v>28.78</v>
      </c>
      <c r="F44" s="22">
        <v>28.78</v>
      </c>
      <c r="G44" s="22">
        <v>0</v>
      </c>
      <c r="H44" s="22">
        <v>0.85</v>
      </c>
      <c r="I44" s="22">
        <v>0</v>
      </c>
      <c r="J44" s="22">
        <v>0</v>
      </c>
      <c r="K44" s="22">
        <v>0</v>
      </c>
      <c r="L44" s="22">
        <v>0</v>
      </c>
      <c r="M44" s="388">
        <v>580.26</v>
      </c>
      <c r="N44" s="25">
        <v>0.52859999999999996</v>
      </c>
      <c r="O44" s="24">
        <v>594</v>
      </c>
      <c r="P44" s="24">
        <v>0</v>
      </c>
      <c r="Q44" s="24">
        <v>0</v>
      </c>
      <c r="R44" s="22">
        <v>0</v>
      </c>
      <c r="S44" s="24">
        <v>0</v>
      </c>
      <c r="T44" s="24">
        <f t="shared" si="4"/>
        <v>0</v>
      </c>
      <c r="U44" s="376">
        <v>307.70999999999998</v>
      </c>
      <c r="V44" s="376">
        <v>0</v>
      </c>
      <c r="W44" s="22">
        <f t="shared" si="5"/>
        <v>162.65550599999997</v>
      </c>
      <c r="X44" s="22">
        <f t="shared" si="6"/>
        <v>0</v>
      </c>
      <c r="Y44" s="22">
        <v>0</v>
      </c>
      <c r="Z44" s="22">
        <v>0</v>
      </c>
      <c r="AA44" s="371">
        <v>580.25</v>
      </c>
      <c r="AB44" s="22">
        <v>0</v>
      </c>
      <c r="AC44" s="24">
        <v>0</v>
      </c>
      <c r="AD44" s="384">
        <v>0</v>
      </c>
    </row>
    <row r="45" spans="1:30">
      <c r="A45" s="21" t="s">
        <v>179</v>
      </c>
      <c r="B45" s="21" t="s">
        <v>180</v>
      </c>
      <c r="C45" s="23">
        <v>200</v>
      </c>
      <c r="D45" s="147">
        <v>0</v>
      </c>
      <c r="E45" s="22">
        <v>13.75</v>
      </c>
      <c r="F45" s="22">
        <v>13.75</v>
      </c>
      <c r="G45" s="22">
        <v>0</v>
      </c>
      <c r="H45" s="22">
        <v>15</v>
      </c>
      <c r="I45" s="22">
        <v>1.03</v>
      </c>
      <c r="J45" s="22">
        <v>79.349999999999994</v>
      </c>
      <c r="K45" s="22">
        <v>0</v>
      </c>
      <c r="L45" s="22">
        <v>0</v>
      </c>
      <c r="M45" s="388">
        <v>671.38</v>
      </c>
      <c r="N45" s="25">
        <v>0.51580000000000004</v>
      </c>
      <c r="O45" s="24">
        <v>327</v>
      </c>
      <c r="P45" s="24">
        <v>17.25</v>
      </c>
      <c r="Q45" s="24">
        <v>16.75</v>
      </c>
      <c r="R45" s="22">
        <v>0.5</v>
      </c>
      <c r="S45" s="24">
        <v>1.75</v>
      </c>
      <c r="T45" s="24">
        <f t="shared" si="4"/>
        <v>19</v>
      </c>
      <c r="U45" s="376">
        <v>346.77</v>
      </c>
      <c r="V45" s="376">
        <v>0</v>
      </c>
      <c r="W45" s="22">
        <f t="shared" si="5"/>
        <v>178.863966</v>
      </c>
      <c r="X45" s="22">
        <f t="shared" si="6"/>
        <v>110.75</v>
      </c>
      <c r="Y45" s="22">
        <v>77</v>
      </c>
      <c r="Z45" s="22">
        <v>33.75</v>
      </c>
      <c r="AA45" s="371">
        <v>685.95</v>
      </c>
      <c r="AB45" s="22">
        <v>0.16145491653910635</v>
      </c>
      <c r="AC45" s="24">
        <v>2.6454916539106338E-2</v>
      </c>
      <c r="AD45" s="384">
        <v>-179233.07409298344</v>
      </c>
    </row>
    <row r="46" spans="1:30">
      <c r="A46" s="21" t="s">
        <v>13</v>
      </c>
      <c r="B46" s="21" t="s">
        <v>14</v>
      </c>
      <c r="C46" s="23">
        <v>734</v>
      </c>
      <c r="D46" s="147">
        <v>0</v>
      </c>
      <c r="E46" s="22">
        <v>154.96</v>
      </c>
      <c r="F46" s="22">
        <v>154.96</v>
      </c>
      <c r="G46" s="22">
        <v>0</v>
      </c>
      <c r="H46" s="22">
        <v>22</v>
      </c>
      <c r="I46" s="22">
        <v>2.37</v>
      </c>
      <c r="J46" s="22">
        <v>175.07999999999998</v>
      </c>
      <c r="K46" s="22">
        <v>3.8</v>
      </c>
      <c r="L46" s="22">
        <v>0</v>
      </c>
      <c r="M46" s="388">
        <v>2434.25</v>
      </c>
      <c r="N46" s="25">
        <v>0.57350000000000001</v>
      </c>
      <c r="O46" s="24">
        <v>1347</v>
      </c>
      <c r="P46" s="24">
        <v>18.25</v>
      </c>
      <c r="Q46" s="24">
        <v>15.25</v>
      </c>
      <c r="R46" s="22">
        <v>3</v>
      </c>
      <c r="S46" s="24">
        <v>6</v>
      </c>
      <c r="T46" s="24">
        <f t="shared" si="4"/>
        <v>24.25</v>
      </c>
      <c r="U46" s="376">
        <v>1396.04</v>
      </c>
      <c r="V46" s="376">
        <v>121.71</v>
      </c>
      <c r="W46" s="22">
        <f t="shared" si="5"/>
        <v>800.62893999999994</v>
      </c>
      <c r="X46" s="22">
        <f t="shared" si="6"/>
        <v>385.75</v>
      </c>
      <c r="Y46" s="22">
        <v>264.75</v>
      </c>
      <c r="Z46" s="22">
        <v>121</v>
      </c>
      <c r="AA46" s="371">
        <v>2438.7800000000002</v>
      </c>
      <c r="AB46" s="22">
        <v>0.15817334896956672</v>
      </c>
      <c r="AC46" s="24">
        <v>2.3173348969566715E-2</v>
      </c>
      <c r="AD46" s="384">
        <v>-514201.3393183212</v>
      </c>
    </row>
    <row r="47" spans="1:30">
      <c r="A47" s="21" t="s">
        <v>249</v>
      </c>
      <c r="B47" s="21" t="s">
        <v>250</v>
      </c>
      <c r="C47" s="23">
        <v>267.52999999999997</v>
      </c>
      <c r="D47" s="147">
        <v>8.83</v>
      </c>
      <c r="E47" s="22">
        <v>61.15</v>
      </c>
      <c r="F47" s="22">
        <v>69.98</v>
      </c>
      <c r="G47" s="22">
        <v>0</v>
      </c>
      <c r="H47" s="22">
        <v>20</v>
      </c>
      <c r="I47" s="22">
        <v>0</v>
      </c>
      <c r="J47" s="22">
        <v>22.3</v>
      </c>
      <c r="K47" s="22">
        <v>0</v>
      </c>
      <c r="L47" s="22">
        <v>0</v>
      </c>
      <c r="M47" s="388">
        <v>881.76</v>
      </c>
      <c r="N47" s="25">
        <v>0.40670000000000001</v>
      </c>
      <c r="O47" s="24">
        <v>22</v>
      </c>
      <c r="P47" s="24">
        <v>13</v>
      </c>
      <c r="Q47" s="24">
        <v>7.25</v>
      </c>
      <c r="R47" s="22">
        <v>5.75</v>
      </c>
      <c r="S47" s="24">
        <v>1</v>
      </c>
      <c r="T47" s="24">
        <f t="shared" si="4"/>
        <v>14</v>
      </c>
      <c r="U47" s="376">
        <v>358.61</v>
      </c>
      <c r="V47" s="376">
        <v>44.09</v>
      </c>
      <c r="W47" s="22">
        <f t="shared" si="5"/>
        <v>145.846687</v>
      </c>
      <c r="X47" s="22">
        <f t="shared" si="6"/>
        <v>130.75</v>
      </c>
      <c r="Y47" s="22">
        <v>106</v>
      </c>
      <c r="Z47" s="22">
        <v>24.75</v>
      </c>
      <c r="AA47" s="371">
        <v>883.74</v>
      </c>
      <c r="AB47" s="22">
        <v>0.14795075474687125</v>
      </c>
      <c r="AC47" s="24">
        <v>1.295075474687124E-2</v>
      </c>
      <c r="AD47" s="384">
        <v>-104024.63212867978</v>
      </c>
    </row>
    <row r="48" spans="1:30">
      <c r="A48" s="21" t="s">
        <v>377</v>
      </c>
      <c r="B48" s="21" t="s">
        <v>378</v>
      </c>
      <c r="C48" s="23">
        <v>4334</v>
      </c>
      <c r="D48" s="147">
        <v>369.97</v>
      </c>
      <c r="E48" s="22">
        <v>571.04</v>
      </c>
      <c r="F48" s="22">
        <v>941.01</v>
      </c>
      <c r="G48" s="22">
        <v>0</v>
      </c>
      <c r="H48" s="22">
        <v>166</v>
      </c>
      <c r="I48" s="22">
        <v>8.98</v>
      </c>
      <c r="J48" s="22">
        <v>549.36</v>
      </c>
      <c r="K48" s="22">
        <v>193.6</v>
      </c>
      <c r="L48" s="22">
        <v>0</v>
      </c>
      <c r="M48" s="388">
        <v>12338.94</v>
      </c>
      <c r="N48" s="25">
        <v>0.68879999999999997</v>
      </c>
      <c r="O48" s="24">
        <v>9349</v>
      </c>
      <c r="P48" s="24">
        <v>1585.5</v>
      </c>
      <c r="Q48" s="24">
        <v>1102.75</v>
      </c>
      <c r="R48" s="22">
        <v>482.75</v>
      </c>
      <c r="S48" s="24">
        <v>416</v>
      </c>
      <c r="T48" s="24">
        <f t="shared" si="4"/>
        <v>2001.5</v>
      </c>
      <c r="U48" s="376">
        <v>8499.06</v>
      </c>
      <c r="V48" s="376">
        <v>616.95000000000005</v>
      </c>
      <c r="W48" s="22">
        <f t="shared" si="5"/>
        <v>5854.1525279999996</v>
      </c>
      <c r="X48" s="22">
        <f t="shared" si="6"/>
        <v>1759.25</v>
      </c>
      <c r="Y48" s="22">
        <v>888.75</v>
      </c>
      <c r="Z48" s="22">
        <v>870.5</v>
      </c>
      <c r="AA48" s="371">
        <v>12069.44</v>
      </c>
      <c r="AB48" s="22">
        <v>0.14576069809369779</v>
      </c>
      <c r="AC48" s="24">
        <v>1.0760698093697785E-2</v>
      </c>
      <c r="AD48" s="384">
        <v>-1243819.7947721956</v>
      </c>
    </row>
    <row r="49" spans="1:30">
      <c r="A49" s="21" t="s">
        <v>563</v>
      </c>
      <c r="B49" s="21" t="s">
        <v>564</v>
      </c>
      <c r="C49" s="23">
        <v>144</v>
      </c>
      <c r="D49" s="147">
        <v>6.88</v>
      </c>
      <c r="E49" s="22">
        <v>49.3</v>
      </c>
      <c r="F49" s="22">
        <v>56.18</v>
      </c>
      <c r="G49" s="22">
        <v>0</v>
      </c>
      <c r="H49" s="22">
        <v>1</v>
      </c>
      <c r="I49" s="22">
        <v>0.25</v>
      </c>
      <c r="J49" s="22">
        <v>0</v>
      </c>
      <c r="K49" s="22">
        <v>0</v>
      </c>
      <c r="L49" s="22">
        <v>0</v>
      </c>
      <c r="M49" s="388">
        <v>531.25</v>
      </c>
      <c r="N49" s="25">
        <v>0.32319999999999999</v>
      </c>
      <c r="O49" s="24">
        <v>0</v>
      </c>
      <c r="P49" s="24">
        <v>0</v>
      </c>
      <c r="Q49" s="24">
        <v>0</v>
      </c>
      <c r="R49" s="22">
        <v>0</v>
      </c>
      <c r="S49" s="24">
        <v>0</v>
      </c>
      <c r="T49" s="24">
        <f t="shared" si="4"/>
        <v>0</v>
      </c>
      <c r="U49" s="376">
        <v>171.7</v>
      </c>
      <c r="V49" s="376">
        <v>26.56</v>
      </c>
      <c r="W49" s="22">
        <f t="shared" si="5"/>
        <v>55.493439999999993</v>
      </c>
      <c r="X49" s="22">
        <f t="shared" si="6"/>
        <v>77.75</v>
      </c>
      <c r="Y49" s="22">
        <v>50</v>
      </c>
      <c r="Z49" s="22">
        <v>27.75</v>
      </c>
      <c r="AA49" s="371">
        <v>518.04999999999995</v>
      </c>
      <c r="AB49" s="22">
        <v>0.15008203841328058</v>
      </c>
      <c r="AC49" s="24">
        <v>1.5082038413280568E-2</v>
      </c>
      <c r="AD49" s="384">
        <v>-70301.360645702865</v>
      </c>
    </row>
    <row r="50" spans="1:30">
      <c r="A50" s="21" t="s">
        <v>529</v>
      </c>
      <c r="B50" s="21" t="s">
        <v>530</v>
      </c>
      <c r="C50" s="23">
        <v>465</v>
      </c>
      <c r="D50" s="147">
        <v>0</v>
      </c>
      <c r="E50" s="22">
        <v>131.59</v>
      </c>
      <c r="F50" s="22">
        <v>131.59</v>
      </c>
      <c r="G50" s="22">
        <v>0</v>
      </c>
      <c r="H50" s="22">
        <v>48</v>
      </c>
      <c r="I50" s="22">
        <v>3.89</v>
      </c>
      <c r="J50" s="22">
        <v>0</v>
      </c>
      <c r="K50" s="22">
        <v>8.33</v>
      </c>
      <c r="L50" s="22">
        <v>0.87</v>
      </c>
      <c r="M50" s="388">
        <v>1555.09</v>
      </c>
      <c r="N50" s="25">
        <v>0.56679999999999997</v>
      </c>
      <c r="O50" s="24">
        <v>1525</v>
      </c>
      <c r="P50" s="24">
        <v>292.25</v>
      </c>
      <c r="Q50" s="24">
        <v>178.25</v>
      </c>
      <c r="R50" s="22">
        <v>114</v>
      </c>
      <c r="S50" s="24">
        <v>44.25</v>
      </c>
      <c r="T50" s="24">
        <f t="shared" si="4"/>
        <v>336.5</v>
      </c>
      <c r="U50" s="376">
        <v>881.43</v>
      </c>
      <c r="V50" s="376">
        <v>77.75</v>
      </c>
      <c r="W50" s="22">
        <f t="shared" si="5"/>
        <v>499.59452399999992</v>
      </c>
      <c r="X50" s="22">
        <f t="shared" si="6"/>
        <v>210</v>
      </c>
      <c r="Y50" s="22">
        <v>103.5</v>
      </c>
      <c r="Z50" s="22">
        <v>106.5</v>
      </c>
      <c r="AA50" s="371">
        <v>1529.2</v>
      </c>
      <c r="AB50" s="22">
        <v>0.1373267067747842</v>
      </c>
      <c r="AC50" s="24">
        <v>2.326706774784193E-3</v>
      </c>
      <c r="AD50" s="384">
        <v>-32213.519173144676</v>
      </c>
    </row>
    <row r="51" spans="1:30">
      <c r="A51" s="21" t="s">
        <v>571</v>
      </c>
      <c r="B51" s="21" t="s">
        <v>572</v>
      </c>
      <c r="C51" s="23">
        <v>43</v>
      </c>
      <c r="D51" s="147">
        <v>0</v>
      </c>
      <c r="E51" s="22">
        <v>9.4600000000000009</v>
      </c>
      <c r="F51" s="22">
        <v>9.4600000000000009</v>
      </c>
      <c r="G51" s="22">
        <v>0</v>
      </c>
      <c r="H51" s="22">
        <v>1</v>
      </c>
      <c r="I51" s="22">
        <v>0</v>
      </c>
      <c r="J51" s="22">
        <v>0</v>
      </c>
      <c r="K51" s="22">
        <v>0</v>
      </c>
      <c r="L51" s="22">
        <v>0</v>
      </c>
      <c r="M51" s="388">
        <v>143</v>
      </c>
      <c r="N51" s="25">
        <v>0.31009999999999999</v>
      </c>
      <c r="O51" s="24">
        <v>0</v>
      </c>
      <c r="P51" s="24">
        <v>0</v>
      </c>
      <c r="Q51" s="24">
        <v>0</v>
      </c>
      <c r="R51" s="22">
        <v>0</v>
      </c>
      <c r="S51" s="24">
        <v>0</v>
      </c>
      <c r="T51" s="24">
        <f t="shared" si="4"/>
        <v>0</v>
      </c>
      <c r="U51" s="376">
        <v>44.34</v>
      </c>
      <c r="V51" s="376">
        <v>0</v>
      </c>
      <c r="W51" s="22">
        <f t="shared" si="5"/>
        <v>13.749834</v>
      </c>
      <c r="X51" s="22">
        <f t="shared" si="6"/>
        <v>29.25</v>
      </c>
      <c r="Y51" s="22">
        <v>27.75</v>
      </c>
      <c r="Z51" s="22">
        <v>1.5</v>
      </c>
      <c r="AA51" s="371">
        <v>158.57</v>
      </c>
      <c r="AB51" s="22">
        <v>0.18446112127136283</v>
      </c>
      <c r="AC51" s="24">
        <v>4.9461121271362818E-2</v>
      </c>
      <c r="AD51" s="384">
        <v>-72789.622631815699</v>
      </c>
    </row>
    <row r="52" spans="1:30">
      <c r="A52" s="21" t="s">
        <v>499</v>
      </c>
      <c r="B52" s="21" t="s">
        <v>500</v>
      </c>
      <c r="C52" s="23">
        <v>27</v>
      </c>
      <c r="D52" s="147">
        <v>0</v>
      </c>
      <c r="E52" s="22">
        <v>7.42</v>
      </c>
      <c r="F52" s="22">
        <v>7.42</v>
      </c>
      <c r="G52" s="22">
        <v>0</v>
      </c>
      <c r="H52" s="22">
        <v>2</v>
      </c>
      <c r="I52" s="22">
        <v>0</v>
      </c>
      <c r="J52" s="22">
        <v>0</v>
      </c>
      <c r="K52" s="22">
        <v>0</v>
      </c>
      <c r="L52" s="22">
        <v>0</v>
      </c>
      <c r="M52" s="388">
        <v>101</v>
      </c>
      <c r="N52" s="25">
        <v>0.8</v>
      </c>
      <c r="O52" s="24">
        <v>102</v>
      </c>
      <c r="P52" s="24">
        <v>0</v>
      </c>
      <c r="Q52" s="24">
        <v>0</v>
      </c>
      <c r="R52" s="22">
        <v>0</v>
      </c>
      <c r="S52" s="24">
        <v>0</v>
      </c>
      <c r="T52" s="24">
        <f t="shared" si="4"/>
        <v>0</v>
      </c>
      <c r="U52" s="376">
        <v>80.8</v>
      </c>
      <c r="V52" s="376">
        <v>5.05</v>
      </c>
      <c r="W52" s="22">
        <f t="shared" si="5"/>
        <v>64.64</v>
      </c>
      <c r="X52" s="22">
        <f t="shared" si="6"/>
        <v>16.5</v>
      </c>
      <c r="Y52" s="22">
        <v>16</v>
      </c>
      <c r="Z52" s="22">
        <v>0.5</v>
      </c>
      <c r="AA52" s="371">
        <v>104.46</v>
      </c>
      <c r="AB52" s="22">
        <v>0.1579551981619759</v>
      </c>
      <c r="AC52" s="24">
        <v>2.2955198161975887E-2</v>
      </c>
      <c r="AD52" s="384">
        <v>-21708.480298030856</v>
      </c>
    </row>
    <row r="53" spans="1:30">
      <c r="A53" s="21" t="s">
        <v>533</v>
      </c>
      <c r="B53" s="21" t="s">
        <v>534</v>
      </c>
      <c r="C53" s="23">
        <v>194</v>
      </c>
      <c r="D53" s="147">
        <v>0</v>
      </c>
      <c r="E53" s="22">
        <v>54.43</v>
      </c>
      <c r="F53" s="22">
        <v>54.43</v>
      </c>
      <c r="G53" s="22">
        <v>0</v>
      </c>
      <c r="H53" s="22">
        <v>13</v>
      </c>
      <c r="I53" s="22">
        <v>0.5</v>
      </c>
      <c r="J53" s="22">
        <v>0</v>
      </c>
      <c r="K53" s="22">
        <v>2.8</v>
      </c>
      <c r="L53" s="22">
        <v>0</v>
      </c>
      <c r="M53" s="388">
        <v>714.3</v>
      </c>
      <c r="N53" s="25">
        <v>0.56020000000000003</v>
      </c>
      <c r="O53" s="24">
        <v>714</v>
      </c>
      <c r="P53" s="24">
        <v>132.5</v>
      </c>
      <c r="Q53" s="24">
        <v>80.75</v>
      </c>
      <c r="R53" s="22">
        <v>51.75</v>
      </c>
      <c r="S53" s="24">
        <v>22</v>
      </c>
      <c r="T53" s="24">
        <f t="shared" si="4"/>
        <v>154.5</v>
      </c>
      <c r="U53" s="376">
        <v>393.37</v>
      </c>
      <c r="V53" s="376">
        <v>35.72</v>
      </c>
      <c r="W53" s="22">
        <f t="shared" si="5"/>
        <v>220.36587400000002</v>
      </c>
      <c r="X53" s="22">
        <f t="shared" si="6"/>
        <v>96.25</v>
      </c>
      <c r="Y53" s="22">
        <v>71.75</v>
      </c>
      <c r="Z53" s="22">
        <v>24.5</v>
      </c>
      <c r="AA53" s="371">
        <v>714.02</v>
      </c>
      <c r="AB53" s="22">
        <v>0.13480014565418336</v>
      </c>
      <c r="AC53" s="24">
        <v>0</v>
      </c>
      <c r="AD53" s="384">
        <v>0</v>
      </c>
    </row>
    <row r="54" spans="1:30">
      <c r="A54" s="21" t="s">
        <v>491</v>
      </c>
      <c r="B54" s="21" t="s">
        <v>492</v>
      </c>
      <c r="C54" s="23">
        <v>433</v>
      </c>
      <c r="D54" s="147">
        <v>14.62</v>
      </c>
      <c r="E54" s="22">
        <v>113.13</v>
      </c>
      <c r="F54" s="22">
        <v>127.75</v>
      </c>
      <c r="G54" s="22">
        <v>14.15</v>
      </c>
      <c r="H54" s="22">
        <v>41</v>
      </c>
      <c r="I54" s="22">
        <v>1.56</v>
      </c>
      <c r="J54" s="22">
        <v>65.830000000000013</v>
      </c>
      <c r="K54" s="22">
        <v>8.6</v>
      </c>
      <c r="L54" s="22">
        <v>0</v>
      </c>
      <c r="M54" s="388">
        <v>1674.9899999999998</v>
      </c>
      <c r="N54" s="25">
        <v>0.53720000000000001</v>
      </c>
      <c r="O54" s="24">
        <v>1111</v>
      </c>
      <c r="P54" s="24">
        <v>16.5</v>
      </c>
      <c r="Q54" s="24">
        <v>14.5</v>
      </c>
      <c r="R54" s="22">
        <v>2</v>
      </c>
      <c r="S54" s="24">
        <v>1.75</v>
      </c>
      <c r="T54" s="24">
        <f t="shared" si="4"/>
        <v>18.25</v>
      </c>
      <c r="U54" s="376">
        <v>869.32</v>
      </c>
      <c r="V54" s="376">
        <v>83.75</v>
      </c>
      <c r="W54" s="22">
        <f t="shared" si="5"/>
        <v>466.99870400000003</v>
      </c>
      <c r="X54" s="22">
        <f t="shared" si="6"/>
        <v>238.5</v>
      </c>
      <c r="Y54" s="22">
        <v>153.5</v>
      </c>
      <c r="Z54" s="22">
        <v>85</v>
      </c>
      <c r="AA54" s="371">
        <v>1634.52</v>
      </c>
      <c r="AB54" s="22">
        <v>0.14591439688715954</v>
      </c>
      <c r="AC54" s="24">
        <v>1.0914396887159533E-2</v>
      </c>
      <c r="AD54" s="384">
        <v>-163662.54610141896</v>
      </c>
    </row>
    <row r="55" spans="1:30">
      <c r="A55" s="21" t="s">
        <v>401</v>
      </c>
      <c r="B55" s="21" t="s">
        <v>402</v>
      </c>
      <c r="C55" s="23">
        <v>172</v>
      </c>
      <c r="D55" s="147">
        <v>6.05</v>
      </c>
      <c r="E55" s="22">
        <v>44.06</v>
      </c>
      <c r="F55" s="22">
        <v>50.11</v>
      </c>
      <c r="G55" s="22">
        <v>0</v>
      </c>
      <c r="H55" s="22">
        <v>5</v>
      </c>
      <c r="I55" s="22">
        <v>1.98</v>
      </c>
      <c r="J55" s="22">
        <v>4.05</v>
      </c>
      <c r="K55" s="22">
        <v>0</v>
      </c>
      <c r="L55" s="22">
        <v>0</v>
      </c>
      <c r="M55" s="388">
        <v>498.03000000000003</v>
      </c>
      <c r="N55" s="25">
        <v>0.70440000000000003</v>
      </c>
      <c r="O55" s="24">
        <v>504</v>
      </c>
      <c r="P55" s="24">
        <v>0</v>
      </c>
      <c r="Q55" s="24">
        <v>0</v>
      </c>
      <c r="R55" s="22">
        <v>0</v>
      </c>
      <c r="S55" s="24">
        <v>0</v>
      </c>
      <c r="T55" s="24">
        <f t="shared" si="4"/>
        <v>0</v>
      </c>
      <c r="U55" s="376">
        <v>350.81</v>
      </c>
      <c r="V55" s="376">
        <v>24.9</v>
      </c>
      <c r="W55" s="22">
        <f t="shared" si="5"/>
        <v>247.11056400000001</v>
      </c>
      <c r="X55" s="22">
        <f t="shared" si="6"/>
        <v>85</v>
      </c>
      <c r="Y55" s="22">
        <v>53.5</v>
      </c>
      <c r="Z55" s="22">
        <v>31.5</v>
      </c>
      <c r="AA55" s="371">
        <v>497.53</v>
      </c>
      <c r="AB55" s="22">
        <v>0.17084396920788697</v>
      </c>
      <c r="AC55" s="24">
        <v>3.5843969207886961E-2</v>
      </c>
      <c r="AD55" s="384">
        <v>-177549.14912070835</v>
      </c>
    </row>
    <row r="56" spans="1:30">
      <c r="A56" s="21" t="s">
        <v>411</v>
      </c>
      <c r="B56" s="21" t="s">
        <v>412</v>
      </c>
      <c r="C56" s="23">
        <v>207</v>
      </c>
      <c r="D56" s="147">
        <v>0</v>
      </c>
      <c r="E56" s="22">
        <v>0</v>
      </c>
      <c r="F56" s="22">
        <v>0</v>
      </c>
      <c r="G56" s="22">
        <v>0</v>
      </c>
      <c r="H56" s="22">
        <v>0</v>
      </c>
      <c r="I56" s="22">
        <v>0</v>
      </c>
      <c r="J56" s="22">
        <v>0</v>
      </c>
      <c r="K56" s="22">
        <v>0</v>
      </c>
      <c r="L56" s="22">
        <v>0</v>
      </c>
      <c r="M56" s="388">
        <v>450</v>
      </c>
      <c r="N56" s="25">
        <v>0.19209999999999999</v>
      </c>
      <c r="O56" s="24">
        <v>0</v>
      </c>
      <c r="P56" s="24">
        <v>31.75</v>
      </c>
      <c r="Q56" s="24">
        <v>24.75</v>
      </c>
      <c r="R56" s="22">
        <v>7</v>
      </c>
      <c r="S56" s="24">
        <v>0</v>
      </c>
      <c r="T56" s="24">
        <f t="shared" si="4"/>
        <v>31.75</v>
      </c>
      <c r="U56" s="376">
        <v>86.45</v>
      </c>
      <c r="V56" s="376">
        <v>22.5</v>
      </c>
      <c r="W56" s="22">
        <f t="shared" si="5"/>
        <v>16.607044999999999</v>
      </c>
      <c r="X56" s="22">
        <f t="shared" si="6"/>
        <v>43.25</v>
      </c>
      <c r="Y56" s="22">
        <v>36.25</v>
      </c>
      <c r="Z56" s="22">
        <v>7</v>
      </c>
      <c r="AA56" s="371">
        <v>451.67</v>
      </c>
      <c r="AB56" s="22">
        <v>9.5755750880067297E-2</v>
      </c>
      <c r="AC56" s="24">
        <v>0</v>
      </c>
      <c r="AD56" s="384">
        <v>0</v>
      </c>
    </row>
    <row r="57" spans="1:30">
      <c r="A57" s="21" t="s">
        <v>157</v>
      </c>
      <c r="B57" s="21" t="s">
        <v>158</v>
      </c>
      <c r="C57" s="23">
        <v>103</v>
      </c>
      <c r="D57" s="147">
        <v>0</v>
      </c>
      <c r="E57" s="22">
        <v>0</v>
      </c>
      <c r="F57" s="22">
        <v>0</v>
      </c>
      <c r="G57" s="22">
        <v>0</v>
      </c>
      <c r="H57" s="22">
        <v>0</v>
      </c>
      <c r="I57" s="22">
        <v>0</v>
      </c>
      <c r="J57" s="22">
        <v>0</v>
      </c>
      <c r="K57" s="22">
        <v>0</v>
      </c>
      <c r="L57" s="22">
        <v>0</v>
      </c>
      <c r="M57" s="388">
        <v>167</v>
      </c>
      <c r="N57" s="25">
        <v>0.50329999999999997</v>
      </c>
      <c r="O57" s="24">
        <v>0</v>
      </c>
      <c r="P57" s="24">
        <v>2</v>
      </c>
      <c r="Q57" s="24">
        <v>2</v>
      </c>
      <c r="R57" s="22">
        <v>0</v>
      </c>
      <c r="S57" s="24">
        <v>1</v>
      </c>
      <c r="T57" s="24">
        <f t="shared" si="4"/>
        <v>3</v>
      </c>
      <c r="U57" s="376">
        <v>84.05</v>
      </c>
      <c r="V57" s="376">
        <v>8.35</v>
      </c>
      <c r="W57" s="22">
        <f t="shared" si="5"/>
        <v>42.302364999999995</v>
      </c>
      <c r="X57" s="22">
        <f t="shared" si="6"/>
        <v>23</v>
      </c>
      <c r="Y57" s="22">
        <v>15</v>
      </c>
      <c r="Z57" s="22">
        <v>8</v>
      </c>
      <c r="AA57" s="371">
        <v>163.80000000000001</v>
      </c>
      <c r="AB57" s="22">
        <v>0.14041514041514042</v>
      </c>
      <c r="AC57" s="24">
        <v>5.415140415140407E-3</v>
      </c>
      <c r="AD57" s="384">
        <v>-8679.755350067695</v>
      </c>
    </row>
    <row r="58" spans="1:30">
      <c r="A58" s="21" t="s">
        <v>127</v>
      </c>
      <c r="B58" s="21" t="s">
        <v>128</v>
      </c>
      <c r="C58" s="23">
        <v>45</v>
      </c>
      <c r="D58" s="147">
        <v>0</v>
      </c>
      <c r="E58" s="22">
        <v>17.09</v>
      </c>
      <c r="F58" s="22">
        <v>17.09</v>
      </c>
      <c r="G58" s="22">
        <v>0</v>
      </c>
      <c r="H58" s="22">
        <v>6</v>
      </c>
      <c r="I58" s="22">
        <v>0.03</v>
      </c>
      <c r="J58" s="22">
        <v>0</v>
      </c>
      <c r="K58" s="22">
        <v>0</v>
      </c>
      <c r="L58" s="22">
        <v>0</v>
      </c>
      <c r="M58" s="388">
        <v>193.03</v>
      </c>
      <c r="N58" s="25">
        <v>0.4098</v>
      </c>
      <c r="O58" s="24">
        <v>0</v>
      </c>
      <c r="P58" s="24">
        <v>0</v>
      </c>
      <c r="Q58" s="24">
        <v>0</v>
      </c>
      <c r="R58" s="22">
        <v>0</v>
      </c>
      <c r="S58" s="24">
        <v>0</v>
      </c>
      <c r="T58" s="24">
        <f t="shared" si="4"/>
        <v>0</v>
      </c>
      <c r="U58" s="376">
        <v>79.099999999999994</v>
      </c>
      <c r="V58" s="376">
        <v>9.65</v>
      </c>
      <c r="W58" s="22">
        <f t="shared" si="5"/>
        <v>32.415179999999999</v>
      </c>
      <c r="X58" s="22">
        <f t="shared" si="6"/>
        <v>21.25</v>
      </c>
      <c r="Y58" s="22">
        <v>9.75</v>
      </c>
      <c r="Z58" s="22">
        <v>11.5</v>
      </c>
      <c r="AA58" s="371">
        <v>217.93</v>
      </c>
      <c r="AB58" s="22">
        <v>9.7508374248611931E-2</v>
      </c>
      <c r="AC58" s="24">
        <v>0</v>
      </c>
      <c r="AD58" s="384">
        <v>0</v>
      </c>
    </row>
    <row r="59" spans="1:30">
      <c r="A59" s="21" t="s">
        <v>169</v>
      </c>
      <c r="B59" s="21" t="s">
        <v>170</v>
      </c>
      <c r="C59" s="23">
        <v>306</v>
      </c>
      <c r="D59" s="147">
        <v>0.81</v>
      </c>
      <c r="E59" s="22">
        <v>14.28</v>
      </c>
      <c r="F59" s="22">
        <v>15.09</v>
      </c>
      <c r="G59" s="22">
        <v>0</v>
      </c>
      <c r="H59" s="22">
        <v>16</v>
      </c>
      <c r="I59" s="22">
        <v>1.1200000000000001</v>
      </c>
      <c r="J59" s="22">
        <v>0</v>
      </c>
      <c r="K59" s="22">
        <v>51.8</v>
      </c>
      <c r="L59" s="22">
        <v>0</v>
      </c>
      <c r="M59" s="388">
        <v>1033.92</v>
      </c>
      <c r="N59" s="25">
        <v>0.3422</v>
      </c>
      <c r="O59" s="24">
        <v>53</v>
      </c>
      <c r="P59" s="24">
        <v>27.75</v>
      </c>
      <c r="Q59" s="24">
        <v>16.75</v>
      </c>
      <c r="R59" s="22">
        <v>11</v>
      </c>
      <c r="S59" s="24">
        <v>3.75</v>
      </c>
      <c r="T59" s="24">
        <f t="shared" si="4"/>
        <v>31.5</v>
      </c>
      <c r="U59" s="376">
        <v>353.81</v>
      </c>
      <c r="V59" s="376">
        <v>51.7</v>
      </c>
      <c r="W59" s="22">
        <f t="shared" si="5"/>
        <v>121.07378200000001</v>
      </c>
      <c r="X59" s="22">
        <f t="shared" si="6"/>
        <v>144</v>
      </c>
      <c r="Y59" s="22">
        <v>99.25</v>
      </c>
      <c r="Z59" s="22">
        <v>44.75</v>
      </c>
      <c r="AA59" s="371">
        <v>967.86</v>
      </c>
      <c r="AB59" s="22">
        <v>0.14878184861446903</v>
      </c>
      <c r="AC59" s="24">
        <v>1.3781848614469017E-2</v>
      </c>
      <c r="AD59" s="384">
        <v>-134194.29062395627</v>
      </c>
    </row>
    <row r="60" spans="1:30">
      <c r="A60" s="21" t="s">
        <v>45</v>
      </c>
      <c r="B60" s="21" t="s">
        <v>46</v>
      </c>
      <c r="C60" s="23">
        <v>43</v>
      </c>
      <c r="D60" s="147">
        <v>0</v>
      </c>
      <c r="E60" s="22">
        <v>3.8</v>
      </c>
      <c r="F60" s="22">
        <v>3.8</v>
      </c>
      <c r="G60" s="22">
        <v>0</v>
      </c>
      <c r="H60" s="22">
        <v>5</v>
      </c>
      <c r="I60" s="22">
        <v>0</v>
      </c>
      <c r="J60" s="22">
        <v>88.58</v>
      </c>
      <c r="K60" s="22">
        <v>0</v>
      </c>
      <c r="L60" s="22">
        <v>0</v>
      </c>
      <c r="M60" s="388">
        <v>282.58</v>
      </c>
      <c r="N60" s="25">
        <v>0.59550000000000003</v>
      </c>
      <c r="O60" s="24">
        <v>216</v>
      </c>
      <c r="P60" s="24">
        <v>0</v>
      </c>
      <c r="Q60" s="24">
        <v>0</v>
      </c>
      <c r="R60" s="22">
        <v>0</v>
      </c>
      <c r="S60" s="24">
        <v>0</v>
      </c>
      <c r="T60" s="24">
        <f t="shared" si="4"/>
        <v>0</v>
      </c>
      <c r="U60" s="376">
        <v>168.28</v>
      </c>
      <c r="V60" s="376">
        <v>14.13</v>
      </c>
      <c r="W60" s="22">
        <f t="shared" si="5"/>
        <v>100.21074</v>
      </c>
      <c r="X60" s="22">
        <f t="shared" si="6"/>
        <v>31.25</v>
      </c>
      <c r="Y60" s="22">
        <v>23.75</v>
      </c>
      <c r="Z60" s="22">
        <v>7.5</v>
      </c>
      <c r="AA60" s="371">
        <v>307.8</v>
      </c>
      <c r="AB60" s="22">
        <v>0.10152696556205328</v>
      </c>
      <c r="AC60" s="24">
        <v>0</v>
      </c>
      <c r="AD60" s="384">
        <v>0</v>
      </c>
    </row>
    <row r="61" spans="1:30">
      <c r="A61" s="21" t="s">
        <v>303</v>
      </c>
      <c r="B61" s="21" t="s">
        <v>304</v>
      </c>
      <c r="C61" s="23">
        <v>19</v>
      </c>
      <c r="D61" s="147">
        <v>2.3199999999999998</v>
      </c>
      <c r="E61" s="22">
        <v>4.71</v>
      </c>
      <c r="F61" s="22">
        <v>7.0299999999999994</v>
      </c>
      <c r="G61" s="22">
        <v>0</v>
      </c>
      <c r="H61" s="22">
        <v>0</v>
      </c>
      <c r="I61" s="22">
        <v>0</v>
      </c>
      <c r="J61" s="22">
        <v>0</v>
      </c>
      <c r="K61" s="22">
        <v>0</v>
      </c>
      <c r="L61" s="22">
        <v>0</v>
      </c>
      <c r="M61" s="388">
        <v>84</v>
      </c>
      <c r="N61" s="25">
        <v>0.4884</v>
      </c>
      <c r="O61" s="24">
        <v>40</v>
      </c>
      <c r="P61" s="24">
        <v>0</v>
      </c>
      <c r="Q61" s="24">
        <v>0</v>
      </c>
      <c r="R61" s="22">
        <v>0</v>
      </c>
      <c r="S61" s="24">
        <v>0</v>
      </c>
      <c r="T61" s="24">
        <f t="shared" si="4"/>
        <v>0</v>
      </c>
      <c r="U61" s="376">
        <v>41.03</v>
      </c>
      <c r="V61" s="376">
        <v>4.2</v>
      </c>
      <c r="W61" s="22">
        <f t="shared" si="5"/>
        <v>20.039052000000002</v>
      </c>
      <c r="X61" s="22">
        <f t="shared" si="6"/>
        <v>22</v>
      </c>
      <c r="Y61" s="22">
        <v>17.5</v>
      </c>
      <c r="Z61" s="22">
        <v>4.5</v>
      </c>
      <c r="AA61" s="371">
        <v>86.8</v>
      </c>
      <c r="AB61" s="22">
        <v>0.25345622119815669</v>
      </c>
      <c r="AC61" s="24">
        <v>0.11845622119815669</v>
      </c>
      <c r="AD61" s="384">
        <v>-93563.021652028081</v>
      </c>
    </row>
    <row r="62" spans="1:30">
      <c r="A62" s="21" t="s">
        <v>103</v>
      </c>
      <c r="B62" s="21" t="s">
        <v>104</v>
      </c>
      <c r="C62" s="23">
        <v>36</v>
      </c>
      <c r="D62" s="147">
        <v>0</v>
      </c>
      <c r="E62" s="22">
        <v>8.14</v>
      </c>
      <c r="F62" s="22">
        <v>8.14</v>
      </c>
      <c r="G62" s="22">
        <v>0</v>
      </c>
      <c r="H62" s="22">
        <v>1</v>
      </c>
      <c r="I62" s="22">
        <v>0</v>
      </c>
      <c r="J62" s="22">
        <v>34.090000000000003</v>
      </c>
      <c r="K62" s="22">
        <v>26</v>
      </c>
      <c r="L62" s="22">
        <v>0</v>
      </c>
      <c r="M62" s="388">
        <v>223.09</v>
      </c>
      <c r="N62" s="25">
        <v>0.53210000000000002</v>
      </c>
      <c r="O62" s="24">
        <v>244</v>
      </c>
      <c r="P62" s="24">
        <v>0</v>
      </c>
      <c r="Q62" s="24">
        <v>0</v>
      </c>
      <c r="R62" s="22">
        <v>0</v>
      </c>
      <c r="S62" s="24">
        <v>0</v>
      </c>
      <c r="T62" s="24">
        <f t="shared" si="4"/>
        <v>0</v>
      </c>
      <c r="U62" s="376">
        <v>118.71</v>
      </c>
      <c r="V62" s="376">
        <v>0</v>
      </c>
      <c r="W62" s="22">
        <f t="shared" si="5"/>
        <v>63.165590999999999</v>
      </c>
      <c r="X62" s="22">
        <f t="shared" si="6"/>
        <v>26</v>
      </c>
      <c r="Y62" s="22">
        <v>23</v>
      </c>
      <c r="Z62" s="22">
        <v>3</v>
      </c>
      <c r="AA62" s="371">
        <v>242.11</v>
      </c>
      <c r="AB62" s="22">
        <v>0.10738920325471893</v>
      </c>
      <c r="AC62" s="24">
        <v>0</v>
      </c>
      <c r="AD62" s="384">
        <v>0</v>
      </c>
    </row>
    <row r="63" spans="1:30">
      <c r="A63" s="21" t="s">
        <v>357</v>
      </c>
      <c r="B63" s="21" t="s">
        <v>358</v>
      </c>
      <c r="C63" s="23">
        <v>64</v>
      </c>
      <c r="D63" s="147">
        <v>0</v>
      </c>
      <c r="E63" s="22">
        <v>12.18</v>
      </c>
      <c r="F63" s="22">
        <v>12.18</v>
      </c>
      <c r="G63" s="22">
        <v>0</v>
      </c>
      <c r="H63" s="22">
        <v>5</v>
      </c>
      <c r="I63" s="22">
        <v>0</v>
      </c>
      <c r="J63" s="22">
        <v>104.00999999999999</v>
      </c>
      <c r="K63" s="22">
        <v>0</v>
      </c>
      <c r="L63" s="22">
        <v>0</v>
      </c>
      <c r="M63" s="388">
        <v>325.01</v>
      </c>
      <c r="N63" s="25">
        <v>0.69210000000000005</v>
      </c>
      <c r="O63" s="24">
        <v>227</v>
      </c>
      <c r="P63" s="24">
        <v>0</v>
      </c>
      <c r="Q63" s="24">
        <v>0</v>
      </c>
      <c r="R63" s="22">
        <v>0</v>
      </c>
      <c r="S63" s="24">
        <v>0</v>
      </c>
      <c r="T63" s="24">
        <f t="shared" si="4"/>
        <v>0</v>
      </c>
      <c r="U63" s="376">
        <v>224.94</v>
      </c>
      <c r="V63" s="376">
        <v>16.25</v>
      </c>
      <c r="W63" s="22">
        <f t="shared" si="5"/>
        <v>155.68097400000002</v>
      </c>
      <c r="X63" s="22">
        <f t="shared" si="6"/>
        <v>46.25</v>
      </c>
      <c r="Y63" s="22">
        <v>36</v>
      </c>
      <c r="Z63" s="22">
        <v>10.25</v>
      </c>
      <c r="AA63" s="371">
        <v>321.44</v>
      </c>
      <c r="AB63" s="22">
        <v>0.14388377302140368</v>
      </c>
      <c r="AC63" s="24">
        <v>8.8837730214036681E-3</v>
      </c>
      <c r="AD63" s="384">
        <v>-25430.01831270719</v>
      </c>
    </row>
    <row r="64" spans="1:30">
      <c r="A64" s="21" t="s">
        <v>239</v>
      </c>
      <c r="B64" s="21" t="s">
        <v>240</v>
      </c>
      <c r="C64" s="23">
        <v>28</v>
      </c>
      <c r="D64" s="147">
        <v>0</v>
      </c>
      <c r="E64" s="22">
        <v>0</v>
      </c>
      <c r="F64" s="22">
        <v>0</v>
      </c>
      <c r="G64" s="22">
        <v>0</v>
      </c>
      <c r="H64" s="22">
        <v>0</v>
      </c>
      <c r="I64" s="22">
        <v>0</v>
      </c>
      <c r="J64" s="22">
        <v>0</v>
      </c>
      <c r="K64" s="22">
        <v>0</v>
      </c>
      <c r="L64" s="22">
        <v>0</v>
      </c>
      <c r="M64" s="388">
        <v>39</v>
      </c>
      <c r="N64" s="25">
        <v>0</v>
      </c>
      <c r="O64" s="24">
        <v>0</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132</v>
      </c>
      <c r="D65" s="147">
        <v>0</v>
      </c>
      <c r="E65" s="22">
        <v>24.27</v>
      </c>
      <c r="F65" s="22">
        <v>24.27</v>
      </c>
      <c r="G65" s="22">
        <v>0</v>
      </c>
      <c r="H65" s="22">
        <v>2</v>
      </c>
      <c r="I65" s="22">
        <v>0</v>
      </c>
      <c r="J65" s="22">
        <v>4.88</v>
      </c>
      <c r="K65" s="22">
        <v>0</v>
      </c>
      <c r="L65" s="22">
        <v>0</v>
      </c>
      <c r="M65" s="388">
        <v>406.88</v>
      </c>
      <c r="N65" s="25">
        <v>0.47520000000000001</v>
      </c>
      <c r="O65" s="24">
        <v>284</v>
      </c>
      <c r="P65" s="24">
        <v>5</v>
      </c>
      <c r="Q65" s="24">
        <v>4</v>
      </c>
      <c r="R65" s="22">
        <v>1</v>
      </c>
      <c r="S65" s="24">
        <v>0</v>
      </c>
      <c r="T65" s="24">
        <f t="shared" si="4"/>
        <v>5</v>
      </c>
      <c r="U65" s="376">
        <v>193.35</v>
      </c>
      <c r="V65" s="376">
        <v>20.34</v>
      </c>
      <c r="W65" s="22">
        <f t="shared" si="5"/>
        <v>91.879919999999998</v>
      </c>
      <c r="X65" s="22">
        <f t="shared" si="6"/>
        <v>73.25</v>
      </c>
      <c r="Y65" s="22">
        <v>66.75</v>
      </c>
      <c r="Z65" s="22">
        <v>6.5</v>
      </c>
      <c r="AA65" s="371">
        <v>407.35</v>
      </c>
      <c r="AB65" s="22">
        <v>0.17982079292991285</v>
      </c>
      <c r="AC65" s="24">
        <v>4.4820792929912839E-2</v>
      </c>
      <c r="AD65" s="384">
        <v>-181594.99843956548</v>
      </c>
    </row>
    <row r="66" spans="1:30">
      <c r="A66" s="21" t="s">
        <v>311</v>
      </c>
      <c r="B66" s="21" t="s">
        <v>312</v>
      </c>
      <c r="C66" s="23">
        <v>184</v>
      </c>
      <c r="D66" s="147">
        <v>23.83</v>
      </c>
      <c r="E66" s="22">
        <v>61.61</v>
      </c>
      <c r="F66" s="22">
        <v>85.44</v>
      </c>
      <c r="G66" s="22">
        <v>1.73</v>
      </c>
      <c r="H66" s="22">
        <v>4</v>
      </c>
      <c r="I66" s="22">
        <v>0.5</v>
      </c>
      <c r="J66" s="22">
        <v>14.760000000000002</v>
      </c>
      <c r="K66" s="22">
        <v>0</v>
      </c>
      <c r="L66" s="22">
        <v>0</v>
      </c>
      <c r="M66" s="388">
        <v>550.26</v>
      </c>
      <c r="N66" s="25">
        <v>0.55049999999999999</v>
      </c>
      <c r="O66" s="24">
        <v>250</v>
      </c>
      <c r="P66" s="24">
        <v>0</v>
      </c>
      <c r="Q66" s="24">
        <v>0</v>
      </c>
      <c r="R66" s="22">
        <v>0</v>
      </c>
      <c r="S66" s="24">
        <v>0</v>
      </c>
      <c r="T66" s="24">
        <f t="shared" si="4"/>
        <v>0</v>
      </c>
      <c r="U66" s="376">
        <v>302.92</v>
      </c>
      <c r="V66" s="376">
        <v>0</v>
      </c>
      <c r="W66" s="22">
        <f t="shared" si="5"/>
        <v>166.75746000000001</v>
      </c>
      <c r="X66" s="22">
        <f t="shared" si="6"/>
        <v>71.5</v>
      </c>
      <c r="Y66" s="22">
        <v>51.5</v>
      </c>
      <c r="Z66" s="22">
        <v>20</v>
      </c>
      <c r="AA66" s="371">
        <v>570.98</v>
      </c>
      <c r="AB66" s="22">
        <v>0.12522330029072823</v>
      </c>
      <c r="AC66" s="24">
        <v>0</v>
      </c>
      <c r="AD66" s="384">
        <v>0</v>
      </c>
    </row>
    <row r="67" spans="1:30">
      <c r="A67" s="21" t="s">
        <v>73</v>
      </c>
      <c r="B67" s="21" t="s">
        <v>74</v>
      </c>
      <c r="C67" s="23">
        <v>108</v>
      </c>
      <c r="D67" s="147">
        <v>13.22</v>
      </c>
      <c r="E67" s="22">
        <v>32.86</v>
      </c>
      <c r="F67" s="22">
        <v>46.08</v>
      </c>
      <c r="G67" s="22">
        <v>0</v>
      </c>
      <c r="H67" s="22">
        <v>5</v>
      </c>
      <c r="I67" s="22">
        <v>0.43</v>
      </c>
      <c r="J67" s="22">
        <v>0</v>
      </c>
      <c r="K67" s="22">
        <v>1.93</v>
      </c>
      <c r="L67" s="22">
        <v>7.0000000000000007E-2</v>
      </c>
      <c r="M67" s="388">
        <v>372.43</v>
      </c>
      <c r="N67" s="25">
        <v>0.53320000000000001</v>
      </c>
      <c r="O67" s="24">
        <v>363</v>
      </c>
      <c r="P67" s="24">
        <v>1.75</v>
      </c>
      <c r="Q67" s="24">
        <v>1.75</v>
      </c>
      <c r="R67" s="22">
        <v>0</v>
      </c>
      <c r="S67" s="24">
        <v>1</v>
      </c>
      <c r="T67" s="24">
        <f t="shared" si="4"/>
        <v>2.75</v>
      </c>
      <c r="U67" s="376">
        <v>198.58</v>
      </c>
      <c r="V67" s="376">
        <v>18.62</v>
      </c>
      <c r="W67" s="22">
        <f t="shared" si="5"/>
        <v>105.882856</v>
      </c>
      <c r="X67" s="22">
        <f t="shared" si="6"/>
        <v>47.5</v>
      </c>
      <c r="Y67" s="22">
        <v>35.5</v>
      </c>
      <c r="Z67" s="22">
        <v>12</v>
      </c>
      <c r="AA67" s="371">
        <v>356.89</v>
      </c>
      <c r="AB67" s="22">
        <v>0.13309423071534646</v>
      </c>
      <c r="AC67" s="24">
        <v>0</v>
      </c>
      <c r="AD67" s="384">
        <v>0</v>
      </c>
    </row>
    <row r="68" spans="1:30">
      <c r="A68" s="21" t="s">
        <v>475</v>
      </c>
      <c r="B68" s="21" t="s">
        <v>476</v>
      </c>
      <c r="C68" s="23">
        <v>555</v>
      </c>
      <c r="D68" s="147">
        <v>0</v>
      </c>
      <c r="E68" s="22">
        <v>111.04</v>
      </c>
      <c r="F68" s="22">
        <v>111.04</v>
      </c>
      <c r="G68" s="22">
        <v>0</v>
      </c>
      <c r="H68" s="22">
        <v>93</v>
      </c>
      <c r="I68" s="22">
        <v>6.53</v>
      </c>
      <c r="J68" s="22">
        <v>561.75</v>
      </c>
      <c r="K68" s="22">
        <v>4.5999999999999996</v>
      </c>
      <c r="L68" s="22">
        <v>0</v>
      </c>
      <c r="M68" s="388">
        <v>2537.8799999999997</v>
      </c>
      <c r="N68" s="25">
        <v>0.48470000000000002</v>
      </c>
      <c r="O68" s="24">
        <v>1331</v>
      </c>
      <c r="P68" s="24">
        <v>24.25</v>
      </c>
      <c r="Q68" s="24">
        <v>16.75</v>
      </c>
      <c r="R68" s="22">
        <v>7.5</v>
      </c>
      <c r="S68" s="24">
        <v>4.25</v>
      </c>
      <c r="T68" s="24">
        <f t="shared" si="4"/>
        <v>28.5</v>
      </c>
      <c r="U68" s="376">
        <v>1230.1099999999999</v>
      </c>
      <c r="V68" s="376">
        <v>126.89</v>
      </c>
      <c r="W68" s="22">
        <f t="shared" si="5"/>
        <v>596.23431699999992</v>
      </c>
      <c r="X68" s="22">
        <f t="shared" si="6"/>
        <v>285</v>
      </c>
      <c r="Y68" s="22">
        <v>180.75</v>
      </c>
      <c r="Z68" s="22">
        <v>104.25</v>
      </c>
      <c r="AA68" s="371">
        <v>2527.89</v>
      </c>
      <c r="AB68" s="22">
        <v>0.11274224748703465</v>
      </c>
      <c r="AC68" s="24">
        <v>0</v>
      </c>
      <c r="AD68" s="384">
        <v>0</v>
      </c>
    </row>
    <row r="69" spans="1:30">
      <c r="A69" s="21" t="s">
        <v>373</v>
      </c>
      <c r="B69" s="21" t="s">
        <v>374</v>
      </c>
      <c r="C69" s="23">
        <v>527</v>
      </c>
      <c r="D69" s="147">
        <v>29.72</v>
      </c>
      <c r="E69" s="22">
        <v>0</v>
      </c>
      <c r="F69" s="22">
        <v>29.72</v>
      </c>
      <c r="G69" s="22">
        <v>0</v>
      </c>
      <c r="H69" s="22">
        <v>0</v>
      </c>
      <c r="I69" s="22">
        <v>0</v>
      </c>
      <c r="J69" s="22">
        <v>0</v>
      </c>
      <c r="K69" s="22">
        <v>0</v>
      </c>
      <c r="L69" s="22">
        <v>0</v>
      </c>
      <c r="M69" s="388">
        <v>1415</v>
      </c>
      <c r="N69" s="25">
        <v>0.1739</v>
      </c>
      <c r="O69" s="24">
        <v>0</v>
      </c>
      <c r="P69" s="24">
        <v>56.5</v>
      </c>
      <c r="Q69" s="24">
        <v>48.75</v>
      </c>
      <c r="R69" s="22">
        <v>7.75</v>
      </c>
      <c r="S69" s="24">
        <v>37.75</v>
      </c>
      <c r="T69" s="24">
        <f t="shared" si="4"/>
        <v>94.25</v>
      </c>
      <c r="U69" s="376">
        <v>246.07</v>
      </c>
      <c r="V69" s="376">
        <v>70.75</v>
      </c>
      <c r="W69" s="22">
        <f t="shared" si="5"/>
        <v>42.791573</v>
      </c>
      <c r="X69" s="22">
        <f t="shared" si="6"/>
        <v>155.25</v>
      </c>
      <c r="Y69" s="22">
        <v>82.5</v>
      </c>
      <c r="Z69" s="22">
        <v>72.75</v>
      </c>
      <c r="AA69" s="371">
        <v>1367.06</v>
      </c>
      <c r="AB69" s="22">
        <v>0.11356487645019239</v>
      </c>
      <c r="AC69" s="24">
        <v>0</v>
      </c>
      <c r="AD69" s="384">
        <v>0</v>
      </c>
    </row>
    <row r="70" spans="1:30">
      <c r="A70" s="21" t="s">
        <v>525</v>
      </c>
      <c r="B70" s="21" t="s">
        <v>526</v>
      </c>
      <c r="C70" s="23">
        <v>14</v>
      </c>
      <c r="D70" s="147">
        <v>0</v>
      </c>
      <c r="E70" s="22">
        <v>0</v>
      </c>
      <c r="F70" s="22">
        <v>0</v>
      </c>
      <c r="G70" s="22">
        <v>0</v>
      </c>
      <c r="H70" s="22">
        <v>0</v>
      </c>
      <c r="I70" s="22">
        <v>0</v>
      </c>
      <c r="J70" s="22">
        <v>0</v>
      </c>
      <c r="K70" s="22">
        <v>0</v>
      </c>
      <c r="L70" s="22">
        <v>0</v>
      </c>
      <c r="M70" s="388">
        <v>20</v>
      </c>
      <c r="N70" s="25">
        <v>1</v>
      </c>
      <c r="O70" s="24">
        <v>14</v>
      </c>
      <c r="P70" s="24">
        <v>0</v>
      </c>
      <c r="Q70" s="24">
        <v>0</v>
      </c>
      <c r="R70" s="22">
        <v>0</v>
      </c>
      <c r="S70" s="24">
        <v>0</v>
      </c>
      <c r="T70" s="24">
        <f t="shared" si="4"/>
        <v>0</v>
      </c>
      <c r="U70" s="376">
        <v>20</v>
      </c>
      <c r="V70" s="376">
        <v>0</v>
      </c>
      <c r="W70" s="22">
        <f t="shared" si="5"/>
        <v>20</v>
      </c>
      <c r="X70" s="22">
        <f t="shared" si="6"/>
        <v>2</v>
      </c>
      <c r="Y70" s="22">
        <v>2</v>
      </c>
      <c r="Z70" s="22">
        <v>0</v>
      </c>
      <c r="AA70" s="371">
        <v>17.600000000000001</v>
      </c>
      <c r="AB70" s="22">
        <v>0.11363636363636363</v>
      </c>
      <c r="AC70" s="24">
        <v>0</v>
      </c>
      <c r="AD70" s="384">
        <v>0</v>
      </c>
    </row>
    <row r="71" spans="1:30">
      <c r="A71" s="21" t="s">
        <v>469</v>
      </c>
      <c r="B71" s="21" t="s">
        <v>470</v>
      </c>
      <c r="C71" s="23">
        <v>1015</v>
      </c>
      <c r="D71" s="147">
        <v>30.59</v>
      </c>
      <c r="E71" s="22">
        <v>212.13</v>
      </c>
      <c r="F71" s="22">
        <v>242.72</v>
      </c>
      <c r="G71" s="22">
        <v>0</v>
      </c>
      <c r="H71" s="22">
        <v>78</v>
      </c>
      <c r="I71" s="22">
        <v>6.41</v>
      </c>
      <c r="J71" s="22">
        <v>289.70000000000005</v>
      </c>
      <c r="K71" s="22">
        <v>2.8</v>
      </c>
      <c r="L71" s="22">
        <v>0</v>
      </c>
      <c r="M71" s="388">
        <v>3686.91</v>
      </c>
      <c r="N71" s="25">
        <v>0.54749999999999999</v>
      </c>
      <c r="O71" s="24">
        <v>1895</v>
      </c>
      <c r="P71" s="24">
        <v>90.75</v>
      </c>
      <c r="Q71" s="24">
        <v>63</v>
      </c>
      <c r="R71" s="22">
        <v>27.75</v>
      </c>
      <c r="S71" s="24">
        <v>32</v>
      </c>
      <c r="T71" s="24">
        <f t="shared" si="4"/>
        <v>122.75</v>
      </c>
      <c r="U71" s="376">
        <v>2020.8</v>
      </c>
      <c r="V71" s="376">
        <v>184.35</v>
      </c>
      <c r="W71" s="22">
        <f t="shared" si="5"/>
        <v>1106.3879999999999</v>
      </c>
      <c r="X71" s="22">
        <f t="shared" si="6"/>
        <v>536</v>
      </c>
      <c r="Y71" s="22">
        <v>303.25</v>
      </c>
      <c r="Z71" s="22">
        <v>232.75</v>
      </c>
      <c r="AA71" s="371">
        <v>3598.35</v>
      </c>
      <c r="AB71" s="22">
        <v>0.14895716092097766</v>
      </c>
      <c r="AC71" s="24">
        <v>1.3957160920977651E-2</v>
      </c>
      <c r="AD71" s="384">
        <v>-462339.75695224345</v>
      </c>
    </row>
    <row r="72" spans="1:30">
      <c r="A72" s="21" t="s">
        <v>587</v>
      </c>
      <c r="B72" s="21" t="s">
        <v>588</v>
      </c>
      <c r="C72" s="23">
        <v>975</v>
      </c>
      <c r="D72" s="147">
        <v>24.9</v>
      </c>
      <c r="E72" s="22">
        <v>181.58</v>
      </c>
      <c r="F72" s="22">
        <v>206.48000000000002</v>
      </c>
      <c r="G72" s="22">
        <v>0</v>
      </c>
      <c r="H72" s="22">
        <v>40</v>
      </c>
      <c r="I72" s="22">
        <v>3.28</v>
      </c>
      <c r="J72" s="22">
        <v>3.2</v>
      </c>
      <c r="K72" s="22">
        <v>14.2</v>
      </c>
      <c r="L72" s="22">
        <v>0</v>
      </c>
      <c r="M72" s="388">
        <v>3212.68</v>
      </c>
      <c r="N72" s="25">
        <v>0.58460000000000001</v>
      </c>
      <c r="O72" s="24">
        <v>3252</v>
      </c>
      <c r="P72" s="24">
        <v>343.75</v>
      </c>
      <c r="Q72" s="24">
        <v>249</v>
      </c>
      <c r="R72" s="22">
        <v>94.75</v>
      </c>
      <c r="S72" s="24">
        <v>80.5</v>
      </c>
      <c r="T72" s="24">
        <f t="shared" si="4"/>
        <v>424.25</v>
      </c>
      <c r="U72" s="376">
        <v>1878.13</v>
      </c>
      <c r="V72" s="376">
        <v>160.63</v>
      </c>
      <c r="W72" s="22">
        <f t="shared" si="5"/>
        <v>1097.954798</v>
      </c>
      <c r="X72" s="22">
        <f t="shared" si="6"/>
        <v>380</v>
      </c>
      <c r="Y72" s="22">
        <v>206.25</v>
      </c>
      <c r="Z72" s="22">
        <v>173.75</v>
      </c>
      <c r="AA72" s="371">
        <v>3311.05</v>
      </c>
      <c r="AB72" s="22">
        <v>0.11476721885806616</v>
      </c>
      <c r="AC72" s="24">
        <v>0</v>
      </c>
      <c r="AD72" s="384">
        <v>0</v>
      </c>
    </row>
    <row r="73" spans="1:30">
      <c r="A73" s="21" t="s">
        <v>95</v>
      </c>
      <c r="B73" s="21" t="s">
        <v>96</v>
      </c>
      <c r="C73" s="23">
        <v>1465</v>
      </c>
      <c r="D73" s="147">
        <v>131.41999999999999</v>
      </c>
      <c r="E73" s="22">
        <v>344.87</v>
      </c>
      <c r="F73" s="22">
        <v>476.28999999999996</v>
      </c>
      <c r="G73" s="22">
        <v>0</v>
      </c>
      <c r="H73" s="22">
        <v>160</v>
      </c>
      <c r="I73" s="22">
        <v>6.2</v>
      </c>
      <c r="J73" s="22">
        <v>205.97</v>
      </c>
      <c r="K73" s="22">
        <v>0</v>
      </c>
      <c r="L73" s="22">
        <v>0</v>
      </c>
      <c r="M73" s="388">
        <v>5848.17</v>
      </c>
      <c r="N73" s="25">
        <v>0.58520000000000005</v>
      </c>
      <c r="O73" s="24">
        <v>5343</v>
      </c>
      <c r="P73" s="24">
        <v>1040.5</v>
      </c>
      <c r="Q73" s="24">
        <v>680.5</v>
      </c>
      <c r="R73" s="22">
        <v>360</v>
      </c>
      <c r="S73" s="24">
        <v>243.75</v>
      </c>
      <c r="T73" s="24">
        <f t="shared" ref="T73:T136" si="7">S73+P73</f>
        <v>1284.25</v>
      </c>
      <c r="U73" s="376">
        <v>3422.35</v>
      </c>
      <c r="V73" s="376">
        <v>292.41000000000003</v>
      </c>
      <c r="W73" s="22">
        <f t="shared" ref="W73:W136" si="8">U73*N73</f>
        <v>2002.7592200000001</v>
      </c>
      <c r="X73" s="22">
        <f t="shared" ref="X73:X136" si="9">Y73+Z73</f>
        <v>658.25</v>
      </c>
      <c r="Y73" s="22">
        <v>460.75</v>
      </c>
      <c r="Z73" s="22">
        <v>197.5</v>
      </c>
      <c r="AA73" s="371">
        <v>5858.31</v>
      </c>
      <c r="AB73" s="22">
        <v>0.11236175620614135</v>
      </c>
      <c r="AC73" s="24">
        <v>0</v>
      </c>
      <c r="AD73" s="384">
        <v>0</v>
      </c>
    </row>
    <row r="74" spans="1:30">
      <c r="A74" s="21" t="s">
        <v>241</v>
      </c>
      <c r="B74" s="21" t="s">
        <v>242</v>
      </c>
      <c r="C74" s="23">
        <v>27</v>
      </c>
      <c r="D74" s="147">
        <v>0</v>
      </c>
      <c r="E74" s="22">
        <v>0</v>
      </c>
      <c r="F74" s="22">
        <v>0</v>
      </c>
      <c r="G74" s="22">
        <v>0</v>
      </c>
      <c r="H74" s="22">
        <v>3</v>
      </c>
      <c r="I74" s="22">
        <v>0</v>
      </c>
      <c r="J74" s="22">
        <v>0</v>
      </c>
      <c r="K74" s="22">
        <v>0</v>
      </c>
      <c r="L74" s="22">
        <v>0</v>
      </c>
      <c r="M74" s="388">
        <v>89</v>
      </c>
      <c r="N74" s="25">
        <v>0.74419999999999997</v>
      </c>
      <c r="O74" s="24">
        <v>86</v>
      </c>
      <c r="P74" s="24">
        <v>6</v>
      </c>
      <c r="Q74" s="24">
        <v>1</v>
      </c>
      <c r="R74" s="22">
        <v>5</v>
      </c>
      <c r="S74" s="24">
        <v>5</v>
      </c>
      <c r="T74" s="24">
        <f t="shared" si="7"/>
        <v>11</v>
      </c>
      <c r="U74" s="376">
        <v>66.23</v>
      </c>
      <c r="V74" s="376">
        <v>0</v>
      </c>
      <c r="W74" s="22">
        <f t="shared" si="8"/>
        <v>49.288366000000003</v>
      </c>
      <c r="X74" s="22">
        <f t="shared" si="9"/>
        <v>7.75</v>
      </c>
      <c r="Y74" s="22">
        <v>5.75</v>
      </c>
      <c r="Z74" s="22">
        <v>2</v>
      </c>
      <c r="AA74" s="371">
        <v>83.26</v>
      </c>
      <c r="AB74" s="22">
        <v>9.3081912082632709E-2</v>
      </c>
      <c r="AC74" s="24">
        <v>0</v>
      </c>
      <c r="AD74" s="384">
        <v>0</v>
      </c>
    </row>
    <row r="75" spans="1:30">
      <c r="A75" s="21" t="s">
        <v>385</v>
      </c>
      <c r="B75" s="21" t="s">
        <v>386</v>
      </c>
      <c r="C75" s="23">
        <v>514</v>
      </c>
      <c r="D75" s="147">
        <v>25.24</v>
      </c>
      <c r="E75" s="22">
        <v>131.85</v>
      </c>
      <c r="F75" s="22">
        <v>157.09</v>
      </c>
      <c r="G75" s="22">
        <v>0</v>
      </c>
      <c r="H75" s="22">
        <v>40</v>
      </c>
      <c r="I75" s="22">
        <v>2.38</v>
      </c>
      <c r="J75" s="22">
        <v>64.600000000000009</v>
      </c>
      <c r="K75" s="22">
        <v>24.4</v>
      </c>
      <c r="L75" s="22">
        <v>0</v>
      </c>
      <c r="M75" s="388">
        <v>1872.38</v>
      </c>
      <c r="N75" s="25">
        <v>0.41880000000000001</v>
      </c>
      <c r="O75" s="24">
        <v>200</v>
      </c>
      <c r="P75" s="24">
        <v>15.25</v>
      </c>
      <c r="Q75" s="24">
        <v>6.25</v>
      </c>
      <c r="R75" s="22">
        <v>9</v>
      </c>
      <c r="S75" s="24">
        <v>1</v>
      </c>
      <c r="T75" s="24">
        <f t="shared" si="7"/>
        <v>16.25</v>
      </c>
      <c r="U75" s="376">
        <v>784.15</v>
      </c>
      <c r="V75" s="376">
        <v>93.62</v>
      </c>
      <c r="W75" s="22">
        <f t="shared" si="8"/>
        <v>328.40201999999999</v>
      </c>
      <c r="X75" s="22">
        <f t="shared" si="9"/>
        <v>211</v>
      </c>
      <c r="Y75" s="22">
        <v>132</v>
      </c>
      <c r="Z75" s="22">
        <v>79</v>
      </c>
      <c r="AA75" s="371">
        <v>1937.62</v>
      </c>
      <c r="AB75" s="22">
        <v>0.10889648125019354</v>
      </c>
      <c r="AC75" s="24">
        <v>0</v>
      </c>
      <c r="AD75" s="384">
        <v>0</v>
      </c>
    </row>
    <row r="76" spans="1:30">
      <c r="A76" s="21" t="s">
        <v>429</v>
      </c>
      <c r="B76" s="21" t="s">
        <v>430</v>
      </c>
      <c r="C76" s="23">
        <v>6053</v>
      </c>
      <c r="D76" s="147">
        <v>113.59</v>
      </c>
      <c r="E76" s="22">
        <v>925.87</v>
      </c>
      <c r="F76" s="22">
        <v>1039.46</v>
      </c>
      <c r="G76" s="22">
        <v>0</v>
      </c>
      <c r="H76" s="22">
        <v>500</v>
      </c>
      <c r="I76" s="22">
        <v>41.34</v>
      </c>
      <c r="J76" s="22">
        <v>884.1400000000001</v>
      </c>
      <c r="K76" s="22">
        <v>115.72</v>
      </c>
      <c r="L76" s="22">
        <v>0</v>
      </c>
      <c r="M76" s="388">
        <v>20761.2</v>
      </c>
      <c r="N76" s="25">
        <v>0.36670000000000003</v>
      </c>
      <c r="O76" s="24">
        <v>2228</v>
      </c>
      <c r="P76" s="24">
        <v>3298</v>
      </c>
      <c r="Q76" s="24">
        <v>2127.25</v>
      </c>
      <c r="R76" s="22">
        <v>1170.75</v>
      </c>
      <c r="S76" s="24">
        <v>488.25</v>
      </c>
      <c r="T76" s="24">
        <f t="shared" si="7"/>
        <v>3786.25</v>
      </c>
      <c r="U76" s="376">
        <v>7613.13</v>
      </c>
      <c r="V76" s="376">
        <v>1038.06</v>
      </c>
      <c r="W76" s="22">
        <f t="shared" si="8"/>
        <v>2791.7347710000004</v>
      </c>
      <c r="X76" s="22">
        <f t="shared" si="9"/>
        <v>2726.75</v>
      </c>
      <c r="Y76" s="22">
        <v>1427</v>
      </c>
      <c r="Z76" s="22">
        <v>1299.75</v>
      </c>
      <c r="AA76" s="371">
        <v>20082.439999999999</v>
      </c>
      <c r="AB76" s="22">
        <v>0.13577782381025413</v>
      </c>
      <c r="AC76" s="24">
        <v>7.7782381025412461E-4</v>
      </c>
      <c r="AD76" s="384">
        <v>-159603.12346224891</v>
      </c>
    </row>
    <row r="77" spans="1:30">
      <c r="A77" s="21" t="s">
        <v>245</v>
      </c>
      <c r="B77" s="21" t="s">
        <v>246</v>
      </c>
      <c r="C77" s="23">
        <v>888</v>
      </c>
      <c r="D77" s="147">
        <v>27.46</v>
      </c>
      <c r="E77" s="22">
        <v>199.46</v>
      </c>
      <c r="F77" s="22">
        <v>226.92000000000002</v>
      </c>
      <c r="G77" s="22">
        <v>0</v>
      </c>
      <c r="H77" s="22">
        <v>135</v>
      </c>
      <c r="I77" s="22">
        <v>0.54</v>
      </c>
      <c r="J77" s="22">
        <v>89.78</v>
      </c>
      <c r="K77" s="22">
        <v>2.2000000000000002</v>
      </c>
      <c r="L77" s="22">
        <v>0</v>
      </c>
      <c r="M77" s="388">
        <v>3206.52</v>
      </c>
      <c r="N77" s="25">
        <v>0.40739999999999998</v>
      </c>
      <c r="O77" s="24">
        <v>533</v>
      </c>
      <c r="P77" s="24">
        <v>218.5</v>
      </c>
      <c r="Q77" s="24">
        <v>148</v>
      </c>
      <c r="R77" s="22">
        <v>70.5</v>
      </c>
      <c r="S77" s="24">
        <v>38</v>
      </c>
      <c r="T77" s="24">
        <f t="shared" si="7"/>
        <v>256.5</v>
      </c>
      <c r="U77" s="376">
        <v>1306.6600000000001</v>
      </c>
      <c r="V77" s="376">
        <v>160.33000000000001</v>
      </c>
      <c r="W77" s="22">
        <f t="shared" si="8"/>
        <v>532.33328400000005</v>
      </c>
      <c r="X77" s="22">
        <f t="shared" si="9"/>
        <v>384.25</v>
      </c>
      <c r="Y77" s="22">
        <v>251.75</v>
      </c>
      <c r="Z77" s="22">
        <v>132.5</v>
      </c>
      <c r="AA77" s="371">
        <v>3234.11</v>
      </c>
      <c r="AB77" s="22">
        <v>0.11881166688826292</v>
      </c>
      <c r="AC77" s="24">
        <v>0</v>
      </c>
      <c r="AD77" s="384">
        <v>0</v>
      </c>
    </row>
    <row r="78" spans="1:30">
      <c r="A78" s="21" t="s">
        <v>151</v>
      </c>
      <c r="B78" s="21" t="s">
        <v>152</v>
      </c>
      <c r="C78" s="23">
        <v>403</v>
      </c>
      <c r="D78" s="147">
        <v>69.92</v>
      </c>
      <c r="E78" s="22">
        <v>191.86</v>
      </c>
      <c r="F78" s="22">
        <v>261.78000000000003</v>
      </c>
      <c r="G78" s="22">
        <v>0</v>
      </c>
      <c r="H78" s="22">
        <v>49</v>
      </c>
      <c r="I78" s="22">
        <v>1.02</v>
      </c>
      <c r="J78" s="22">
        <v>69.36</v>
      </c>
      <c r="K78" s="22">
        <v>38.4</v>
      </c>
      <c r="L78" s="22">
        <v>0</v>
      </c>
      <c r="M78" s="388">
        <v>1634.78</v>
      </c>
      <c r="N78" s="25">
        <v>0.77259999999999995</v>
      </c>
      <c r="O78" s="24">
        <v>1561</v>
      </c>
      <c r="P78" s="24">
        <v>121.5</v>
      </c>
      <c r="Q78" s="24">
        <v>81.25</v>
      </c>
      <c r="R78" s="22">
        <v>40.25</v>
      </c>
      <c r="S78" s="24">
        <v>19</v>
      </c>
      <c r="T78" s="24">
        <f t="shared" si="7"/>
        <v>140.5</v>
      </c>
      <c r="U78" s="376">
        <v>1262.21</v>
      </c>
      <c r="V78" s="376">
        <v>81.739999999999995</v>
      </c>
      <c r="W78" s="22">
        <f t="shared" si="8"/>
        <v>975.183446</v>
      </c>
      <c r="X78" s="22">
        <f t="shared" si="9"/>
        <v>268.25</v>
      </c>
      <c r="Y78" s="22">
        <v>116</v>
      </c>
      <c r="Z78" s="22">
        <v>152.25</v>
      </c>
      <c r="AA78" s="371">
        <v>1567.5</v>
      </c>
      <c r="AB78" s="22">
        <v>0.1711323763955343</v>
      </c>
      <c r="AC78" s="24">
        <v>3.6132376395534294E-2</v>
      </c>
      <c r="AD78" s="384">
        <v>-516756.63433089852</v>
      </c>
    </row>
    <row r="79" spans="1:30">
      <c r="A79" s="21" t="s">
        <v>573</v>
      </c>
      <c r="B79" s="21" t="s">
        <v>574</v>
      </c>
      <c r="C79" s="23">
        <v>26</v>
      </c>
      <c r="D79" s="147">
        <v>0</v>
      </c>
      <c r="E79" s="22">
        <v>0</v>
      </c>
      <c r="F79" s="22">
        <v>0</v>
      </c>
      <c r="G79" s="22">
        <v>0</v>
      </c>
      <c r="H79" s="22">
        <v>0</v>
      </c>
      <c r="I79" s="22">
        <v>0</v>
      </c>
      <c r="J79" s="22">
        <v>0</v>
      </c>
      <c r="K79" s="22">
        <v>0</v>
      </c>
      <c r="L79" s="22">
        <v>0</v>
      </c>
      <c r="M79" s="388">
        <v>80</v>
      </c>
      <c r="N79" s="25">
        <v>0.59379999999999999</v>
      </c>
      <c r="O79" s="24">
        <v>80</v>
      </c>
      <c r="P79" s="24">
        <v>0</v>
      </c>
      <c r="Q79" s="24">
        <v>0</v>
      </c>
      <c r="R79" s="22">
        <v>0</v>
      </c>
      <c r="S79" s="24">
        <v>0</v>
      </c>
      <c r="T79" s="24">
        <f t="shared" si="7"/>
        <v>0</v>
      </c>
      <c r="U79" s="376">
        <v>47.5</v>
      </c>
      <c r="V79" s="376">
        <v>4</v>
      </c>
      <c r="W79" s="22">
        <f t="shared" si="8"/>
        <v>28.205500000000001</v>
      </c>
      <c r="X79" s="22">
        <f t="shared" si="9"/>
        <v>9.25</v>
      </c>
      <c r="Y79" s="22">
        <v>5.25</v>
      </c>
      <c r="Z79" s="22">
        <v>4</v>
      </c>
      <c r="AA79" s="371">
        <v>74.67</v>
      </c>
      <c r="AB79" s="22">
        <v>0.12387839828579081</v>
      </c>
      <c r="AC79" s="24">
        <v>0</v>
      </c>
      <c r="AD79" s="384">
        <v>0</v>
      </c>
    </row>
    <row r="80" spans="1:30">
      <c r="A80" s="21" t="s">
        <v>33</v>
      </c>
      <c r="B80" s="21" t="s">
        <v>34</v>
      </c>
      <c r="C80" s="23">
        <v>91</v>
      </c>
      <c r="D80" s="147">
        <v>0</v>
      </c>
      <c r="E80" s="22">
        <v>0</v>
      </c>
      <c r="F80" s="22">
        <v>0</v>
      </c>
      <c r="G80" s="22">
        <v>0</v>
      </c>
      <c r="H80" s="22">
        <v>14</v>
      </c>
      <c r="I80" s="22">
        <v>0.65</v>
      </c>
      <c r="J80" s="22">
        <v>0</v>
      </c>
      <c r="K80" s="22">
        <v>0</v>
      </c>
      <c r="L80" s="22">
        <v>0</v>
      </c>
      <c r="M80" s="388">
        <v>302.64999999999998</v>
      </c>
      <c r="N80" s="25">
        <v>0.64759999999999995</v>
      </c>
      <c r="O80" s="24">
        <v>313</v>
      </c>
      <c r="P80" s="24">
        <v>50.75</v>
      </c>
      <c r="Q80" s="24">
        <v>29.5</v>
      </c>
      <c r="R80" s="22">
        <v>21.25</v>
      </c>
      <c r="S80" s="24">
        <v>6</v>
      </c>
      <c r="T80" s="24">
        <f t="shared" si="7"/>
        <v>56.75</v>
      </c>
      <c r="U80" s="376">
        <v>196</v>
      </c>
      <c r="V80" s="376">
        <v>15.13</v>
      </c>
      <c r="W80" s="22">
        <f t="shared" si="8"/>
        <v>126.92959999999999</v>
      </c>
      <c r="X80" s="22">
        <f t="shared" si="9"/>
        <v>36.25</v>
      </c>
      <c r="Y80" s="22">
        <v>31.25</v>
      </c>
      <c r="Z80" s="22">
        <v>5</v>
      </c>
      <c r="AA80" s="371">
        <v>316.87</v>
      </c>
      <c r="AB80" s="22">
        <v>0.11440022722252027</v>
      </c>
      <c r="AC80" s="24">
        <v>0</v>
      </c>
      <c r="AD80" s="384">
        <v>0</v>
      </c>
    </row>
    <row r="81" spans="1:30">
      <c r="A81" s="21" t="s">
        <v>187</v>
      </c>
      <c r="B81" s="21" t="s">
        <v>188</v>
      </c>
      <c r="C81" s="23">
        <v>1310</v>
      </c>
      <c r="D81" s="147">
        <v>24.11</v>
      </c>
      <c r="E81" s="22">
        <v>418.76</v>
      </c>
      <c r="F81" s="22">
        <v>442.87</v>
      </c>
      <c r="G81" s="22">
        <v>0</v>
      </c>
      <c r="H81" s="22">
        <v>110</v>
      </c>
      <c r="I81" s="22">
        <v>5.31</v>
      </c>
      <c r="J81" s="22">
        <v>0</v>
      </c>
      <c r="K81" s="22">
        <v>8.1999999999999993</v>
      </c>
      <c r="L81" s="22">
        <v>0</v>
      </c>
      <c r="M81" s="388">
        <v>4389.51</v>
      </c>
      <c r="N81" s="25">
        <v>0.29820000000000002</v>
      </c>
      <c r="O81" s="24">
        <v>10</v>
      </c>
      <c r="P81" s="24">
        <v>277.5</v>
      </c>
      <c r="Q81" s="24">
        <v>191.25</v>
      </c>
      <c r="R81" s="22">
        <v>86.25</v>
      </c>
      <c r="S81" s="24">
        <v>51.25</v>
      </c>
      <c r="T81" s="24">
        <f t="shared" si="7"/>
        <v>328.75</v>
      </c>
      <c r="U81" s="376">
        <v>1308.95</v>
      </c>
      <c r="V81" s="376">
        <v>219.48</v>
      </c>
      <c r="W81" s="22">
        <f t="shared" si="8"/>
        <v>390.32889000000006</v>
      </c>
      <c r="X81" s="22">
        <f t="shared" si="9"/>
        <v>594.5</v>
      </c>
      <c r="Y81" s="22">
        <v>346.75</v>
      </c>
      <c r="Z81" s="22">
        <v>247.75</v>
      </c>
      <c r="AA81" s="371">
        <v>4073.36</v>
      </c>
      <c r="AB81" s="22">
        <v>0.14594830803071665</v>
      </c>
      <c r="AC81" s="24">
        <v>1.0948308030716641E-2</v>
      </c>
      <c r="AD81" s="384">
        <v>-447639.95513986825</v>
      </c>
    </row>
    <row r="82" spans="1:30">
      <c r="A82" s="21" t="s">
        <v>135</v>
      </c>
      <c r="B82" s="21" t="s">
        <v>136</v>
      </c>
      <c r="C82" s="23">
        <v>748</v>
      </c>
      <c r="D82" s="147">
        <v>40.92</v>
      </c>
      <c r="E82" s="22">
        <v>205.02</v>
      </c>
      <c r="F82" s="22">
        <v>245.94</v>
      </c>
      <c r="G82" s="22">
        <v>0</v>
      </c>
      <c r="H82" s="22">
        <v>55</v>
      </c>
      <c r="I82" s="22">
        <v>3.64</v>
      </c>
      <c r="J82" s="22">
        <v>4.9800000000000004</v>
      </c>
      <c r="K82" s="22">
        <v>12.4</v>
      </c>
      <c r="L82" s="22">
        <v>0</v>
      </c>
      <c r="M82" s="388">
        <v>2585.02</v>
      </c>
      <c r="N82" s="25">
        <v>0.56030000000000002</v>
      </c>
      <c r="O82" s="24">
        <v>1779</v>
      </c>
      <c r="P82" s="24">
        <v>359.5</v>
      </c>
      <c r="Q82" s="24">
        <v>224.75</v>
      </c>
      <c r="R82" s="22">
        <v>134.75</v>
      </c>
      <c r="S82" s="24">
        <v>61</v>
      </c>
      <c r="T82" s="24">
        <f t="shared" si="7"/>
        <v>420.5</v>
      </c>
      <c r="U82" s="376">
        <v>1448.39</v>
      </c>
      <c r="V82" s="376">
        <v>0</v>
      </c>
      <c r="W82" s="22">
        <f t="shared" si="8"/>
        <v>811.53291700000011</v>
      </c>
      <c r="X82" s="22">
        <f t="shared" si="9"/>
        <v>332</v>
      </c>
      <c r="Y82" s="22">
        <v>239.5</v>
      </c>
      <c r="Z82" s="22">
        <v>92.5</v>
      </c>
      <c r="AA82" s="371">
        <v>2597.35</v>
      </c>
      <c r="AB82" s="22">
        <v>0.12782258840741526</v>
      </c>
      <c r="AC82" s="24">
        <v>0</v>
      </c>
      <c r="AD82" s="384">
        <v>0</v>
      </c>
    </row>
    <row r="83" spans="1:30">
      <c r="A83" s="21" t="s">
        <v>273</v>
      </c>
      <c r="B83" s="21" t="s">
        <v>274</v>
      </c>
      <c r="C83" s="23">
        <v>27</v>
      </c>
      <c r="D83" s="147">
        <v>0</v>
      </c>
      <c r="E83" s="22">
        <v>0</v>
      </c>
      <c r="F83" s="22">
        <v>0</v>
      </c>
      <c r="G83" s="22">
        <v>0</v>
      </c>
      <c r="H83" s="22">
        <v>0</v>
      </c>
      <c r="I83" s="22">
        <v>0</v>
      </c>
      <c r="J83" s="22">
        <v>0</v>
      </c>
      <c r="K83" s="22">
        <v>0</v>
      </c>
      <c r="L83" s="22">
        <v>0</v>
      </c>
      <c r="M83" s="388">
        <v>53</v>
      </c>
      <c r="N83" s="25">
        <v>0.6038</v>
      </c>
      <c r="O83" s="24">
        <v>47</v>
      </c>
      <c r="P83" s="24">
        <v>2</v>
      </c>
      <c r="Q83" s="24">
        <v>2</v>
      </c>
      <c r="R83" s="22">
        <v>0</v>
      </c>
      <c r="S83" s="24">
        <v>1.75</v>
      </c>
      <c r="T83" s="24">
        <f t="shared" si="7"/>
        <v>3.75</v>
      </c>
      <c r="U83" s="376">
        <v>32</v>
      </c>
      <c r="V83" s="376">
        <v>2.65</v>
      </c>
      <c r="W83" s="22">
        <f t="shared" si="8"/>
        <v>19.3216</v>
      </c>
      <c r="X83" s="22">
        <f t="shared" si="9"/>
        <v>6</v>
      </c>
      <c r="Y83" s="22">
        <v>5</v>
      </c>
      <c r="Z83" s="22">
        <v>1</v>
      </c>
      <c r="AA83" s="371">
        <v>46</v>
      </c>
      <c r="AB83" s="22">
        <v>0.13043478260869565</v>
      </c>
      <c r="AC83" s="24">
        <v>0</v>
      </c>
      <c r="AD83" s="384">
        <v>0</v>
      </c>
    </row>
    <row r="84" spans="1:30">
      <c r="A84" s="21" t="s">
        <v>423</v>
      </c>
      <c r="B84" s="21" t="s">
        <v>424</v>
      </c>
      <c r="C84" s="23">
        <v>6500</v>
      </c>
      <c r="D84" s="147">
        <v>416.83</v>
      </c>
      <c r="E84" s="22">
        <v>1098.77</v>
      </c>
      <c r="F84" s="22">
        <v>1515.6</v>
      </c>
      <c r="G84" s="22">
        <v>0</v>
      </c>
      <c r="H84" s="22">
        <v>313</v>
      </c>
      <c r="I84" s="22">
        <v>17.16</v>
      </c>
      <c r="J84" s="22">
        <v>255.17000000000002</v>
      </c>
      <c r="K84" s="22">
        <v>114.4</v>
      </c>
      <c r="L84" s="22">
        <v>0</v>
      </c>
      <c r="M84" s="388">
        <v>19952.73</v>
      </c>
      <c r="N84" s="25">
        <v>0.38479999999999998</v>
      </c>
      <c r="O84" s="24">
        <v>7753</v>
      </c>
      <c r="P84" s="24">
        <v>3154.25</v>
      </c>
      <c r="Q84" s="24">
        <v>2337.5</v>
      </c>
      <c r="R84" s="22">
        <v>816.75</v>
      </c>
      <c r="S84" s="24">
        <v>751.75</v>
      </c>
      <c r="T84" s="24">
        <f t="shared" si="7"/>
        <v>3906</v>
      </c>
      <c r="U84" s="376">
        <v>7609.97</v>
      </c>
      <c r="V84" s="376">
        <v>997.64</v>
      </c>
      <c r="W84" s="22">
        <f t="shared" si="8"/>
        <v>2928.316456</v>
      </c>
      <c r="X84" s="22">
        <f t="shared" si="9"/>
        <v>2405.5</v>
      </c>
      <c r="Y84" s="22">
        <v>1133.25</v>
      </c>
      <c r="Z84" s="22">
        <v>1272.25</v>
      </c>
      <c r="AA84" s="371">
        <v>19847.490000000002</v>
      </c>
      <c r="AB84" s="22">
        <v>0.12119920453417535</v>
      </c>
      <c r="AC84" s="24">
        <v>0</v>
      </c>
      <c r="AD84" s="384">
        <v>0</v>
      </c>
    </row>
    <row r="85" spans="1:30">
      <c r="A85" s="21" t="s">
        <v>65</v>
      </c>
      <c r="B85" s="21" t="s">
        <v>66</v>
      </c>
      <c r="C85" s="23">
        <v>6583</v>
      </c>
      <c r="D85" s="147">
        <v>213.52</v>
      </c>
      <c r="E85" s="22">
        <v>2172.5300000000002</v>
      </c>
      <c r="F85" s="22">
        <v>2386.0500000000002</v>
      </c>
      <c r="G85" s="22">
        <v>561.57000000000005</v>
      </c>
      <c r="H85" s="22">
        <v>450</v>
      </c>
      <c r="I85" s="22">
        <v>4.8099999999999996</v>
      </c>
      <c r="J85" s="22">
        <v>632.16</v>
      </c>
      <c r="K85" s="22">
        <v>72.8</v>
      </c>
      <c r="L85" s="22">
        <v>0</v>
      </c>
      <c r="M85" s="388">
        <v>24740.77</v>
      </c>
      <c r="N85" s="25">
        <v>0.53939999999999999</v>
      </c>
      <c r="O85" s="24">
        <v>13327</v>
      </c>
      <c r="P85" s="24">
        <v>3283.25</v>
      </c>
      <c r="Q85" s="24">
        <v>2124.5</v>
      </c>
      <c r="R85" s="22">
        <v>1158.75</v>
      </c>
      <c r="S85" s="24">
        <v>606.25</v>
      </c>
      <c r="T85" s="24">
        <f t="shared" si="7"/>
        <v>3889.5</v>
      </c>
      <c r="U85" s="376">
        <v>13300.64</v>
      </c>
      <c r="V85" s="376">
        <v>1237.04</v>
      </c>
      <c r="W85" s="22">
        <f t="shared" si="8"/>
        <v>7174.3652159999992</v>
      </c>
      <c r="X85" s="22">
        <f t="shared" si="9"/>
        <v>3096.5</v>
      </c>
      <c r="Y85" s="22">
        <v>2420.75</v>
      </c>
      <c r="Z85" s="22">
        <v>675.75</v>
      </c>
      <c r="AA85" s="371">
        <v>22566.85</v>
      </c>
      <c r="AB85" s="22">
        <v>0.13721454257018592</v>
      </c>
      <c r="AC85" s="24">
        <v>2.2145425701859123E-3</v>
      </c>
      <c r="AD85" s="384">
        <v>-469811.81084901316</v>
      </c>
    </row>
    <row r="86" spans="1:30">
      <c r="A86" s="21" t="s">
        <v>497</v>
      </c>
      <c r="B86" s="21" t="s">
        <v>498</v>
      </c>
      <c r="C86" s="23">
        <v>19</v>
      </c>
      <c r="D86" s="147">
        <v>0</v>
      </c>
      <c r="E86" s="22">
        <v>0</v>
      </c>
      <c r="F86" s="22">
        <v>0</v>
      </c>
      <c r="G86" s="22">
        <v>0</v>
      </c>
      <c r="H86" s="22">
        <v>0</v>
      </c>
      <c r="I86" s="22">
        <v>0</v>
      </c>
      <c r="J86" s="22">
        <v>0</v>
      </c>
      <c r="K86" s="22">
        <v>0</v>
      </c>
      <c r="L86" s="22">
        <v>0</v>
      </c>
      <c r="M86" s="388">
        <v>32</v>
      </c>
      <c r="N86" s="25">
        <v>0.83330000000000004</v>
      </c>
      <c r="O86" s="24">
        <v>24</v>
      </c>
      <c r="P86" s="24">
        <v>0</v>
      </c>
      <c r="Q86" s="24">
        <v>0</v>
      </c>
      <c r="R86" s="22">
        <v>0</v>
      </c>
      <c r="S86" s="24">
        <v>0</v>
      </c>
      <c r="T86" s="24">
        <f t="shared" si="7"/>
        <v>0</v>
      </c>
      <c r="U86" s="376">
        <v>26.67</v>
      </c>
      <c r="V86" s="376">
        <v>1.6</v>
      </c>
      <c r="W86" s="22">
        <f t="shared" si="8"/>
        <v>22.224111000000004</v>
      </c>
      <c r="X86" s="22">
        <f t="shared" si="9"/>
        <v>1</v>
      </c>
      <c r="Y86" s="22">
        <v>1</v>
      </c>
      <c r="Z86" s="22">
        <v>0</v>
      </c>
      <c r="AA86" s="371">
        <v>25.8</v>
      </c>
      <c r="AB86" s="22">
        <v>3.875968992248062E-2</v>
      </c>
      <c r="AC86" s="24">
        <v>0</v>
      </c>
      <c r="AD86" s="384">
        <v>0</v>
      </c>
    </row>
    <row r="87" spans="1:30">
      <c r="A87" s="21" t="s">
        <v>185</v>
      </c>
      <c r="B87" s="21" t="s">
        <v>186</v>
      </c>
      <c r="C87" s="23">
        <v>6510</v>
      </c>
      <c r="D87" s="147">
        <v>89.12</v>
      </c>
      <c r="E87" s="22">
        <v>1275.18</v>
      </c>
      <c r="F87" s="22">
        <v>1364.3000000000002</v>
      </c>
      <c r="G87" s="22">
        <v>0</v>
      </c>
      <c r="H87" s="22">
        <v>675</v>
      </c>
      <c r="I87" s="22">
        <v>47.73</v>
      </c>
      <c r="J87" s="22">
        <v>829.95</v>
      </c>
      <c r="K87" s="22">
        <v>120.12</v>
      </c>
      <c r="L87" s="22">
        <v>0</v>
      </c>
      <c r="M87" s="388">
        <v>22389.8</v>
      </c>
      <c r="N87" s="25">
        <v>0.65649999999999997</v>
      </c>
      <c r="O87" s="24">
        <v>18830</v>
      </c>
      <c r="P87" s="24">
        <v>5052.25</v>
      </c>
      <c r="Q87" s="24">
        <v>3239.75</v>
      </c>
      <c r="R87" s="22">
        <v>1812.5</v>
      </c>
      <c r="S87" s="24">
        <v>656.75</v>
      </c>
      <c r="T87" s="24">
        <f t="shared" si="7"/>
        <v>5709</v>
      </c>
      <c r="U87" s="376">
        <v>13991.39</v>
      </c>
      <c r="V87" s="376">
        <v>1119.49</v>
      </c>
      <c r="W87" s="22">
        <f t="shared" si="8"/>
        <v>9185.347534999999</v>
      </c>
      <c r="X87" s="22">
        <f t="shared" si="9"/>
        <v>2656</v>
      </c>
      <c r="Y87" s="22">
        <v>1323.5</v>
      </c>
      <c r="Z87" s="22">
        <v>1332.5</v>
      </c>
      <c r="AA87" s="371">
        <v>20545.96</v>
      </c>
      <c r="AB87" s="22">
        <v>0.12927115598395014</v>
      </c>
      <c r="AC87" s="24">
        <v>0</v>
      </c>
      <c r="AD87" s="384">
        <v>0</v>
      </c>
    </row>
    <row r="88" spans="1:30">
      <c r="A88" s="21" t="s">
        <v>541</v>
      </c>
      <c r="B88" s="21" t="s">
        <v>542</v>
      </c>
      <c r="C88" s="23">
        <v>1423</v>
      </c>
      <c r="D88" s="147">
        <v>17.98</v>
      </c>
      <c r="E88" s="22">
        <v>252.22</v>
      </c>
      <c r="F88" s="22">
        <v>270.2</v>
      </c>
      <c r="G88" s="22">
        <v>0</v>
      </c>
      <c r="H88" s="22">
        <v>148</v>
      </c>
      <c r="I88" s="22">
        <v>17.37</v>
      </c>
      <c r="J88" s="22">
        <v>97.02000000000001</v>
      </c>
      <c r="K88" s="22">
        <v>36.659999999999997</v>
      </c>
      <c r="L88" s="22">
        <v>3.14</v>
      </c>
      <c r="M88" s="388">
        <v>4722.1900000000005</v>
      </c>
      <c r="N88" s="25">
        <v>0.48709999999999998</v>
      </c>
      <c r="O88" s="24">
        <v>1681</v>
      </c>
      <c r="P88" s="24">
        <v>336</v>
      </c>
      <c r="Q88" s="24">
        <v>223</v>
      </c>
      <c r="R88" s="22">
        <v>113</v>
      </c>
      <c r="S88" s="24">
        <v>57.25</v>
      </c>
      <c r="T88" s="24">
        <f t="shared" si="7"/>
        <v>393.25</v>
      </c>
      <c r="U88" s="376">
        <v>2298.7600000000002</v>
      </c>
      <c r="V88" s="376">
        <v>236.11</v>
      </c>
      <c r="W88" s="22">
        <f t="shared" si="8"/>
        <v>1119.7259960000001</v>
      </c>
      <c r="X88" s="22">
        <f t="shared" si="9"/>
        <v>611.5</v>
      </c>
      <c r="Y88" s="22">
        <v>348.75</v>
      </c>
      <c r="Z88" s="22">
        <v>262.75</v>
      </c>
      <c r="AA88" s="371">
        <v>4378.47</v>
      </c>
      <c r="AB88" s="22">
        <v>0.13966065771833538</v>
      </c>
      <c r="AC88" s="24">
        <v>4.6606577183353759E-3</v>
      </c>
      <c r="AD88" s="384">
        <v>-196779.0208939786</v>
      </c>
    </row>
    <row r="89" spans="1:30">
      <c r="A89" s="21" t="s">
        <v>389</v>
      </c>
      <c r="B89" s="21" t="s">
        <v>390</v>
      </c>
      <c r="C89" s="23">
        <v>1111</v>
      </c>
      <c r="D89" s="147">
        <v>47.73</v>
      </c>
      <c r="E89" s="22">
        <v>315.07</v>
      </c>
      <c r="F89" s="22">
        <v>362.8</v>
      </c>
      <c r="G89" s="22">
        <v>0</v>
      </c>
      <c r="H89" s="22">
        <v>54</v>
      </c>
      <c r="I89" s="22">
        <v>2.36</v>
      </c>
      <c r="J89" s="22">
        <v>6.89</v>
      </c>
      <c r="K89" s="22">
        <v>17.760000000000002</v>
      </c>
      <c r="L89" s="22">
        <v>0</v>
      </c>
      <c r="M89" s="388">
        <v>3760.01</v>
      </c>
      <c r="N89" s="25">
        <v>0.45729999999999998</v>
      </c>
      <c r="O89" s="24">
        <v>841</v>
      </c>
      <c r="P89" s="24">
        <v>518</v>
      </c>
      <c r="Q89" s="24">
        <v>355.5</v>
      </c>
      <c r="R89" s="22">
        <v>162.5</v>
      </c>
      <c r="S89" s="24">
        <v>106.5</v>
      </c>
      <c r="T89" s="24">
        <f t="shared" si="7"/>
        <v>624.5</v>
      </c>
      <c r="U89" s="376">
        <v>1719.45</v>
      </c>
      <c r="V89" s="376">
        <v>188</v>
      </c>
      <c r="W89" s="22">
        <f t="shared" si="8"/>
        <v>786.304485</v>
      </c>
      <c r="X89" s="22">
        <f t="shared" si="9"/>
        <v>389</v>
      </c>
      <c r="Y89" s="22">
        <v>178.25</v>
      </c>
      <c r="Z89" s="22">
        <v>210.75</v>
      </c>
      <c r="AA89" s="371">
        <v>3719.9</v>
      </c>
      <c r="AB89" s="22">
        <v>0.1045727035673002</v>
      </c>
      <c r="AC89" s="24">
        <v>0</v>
      </c>
      <c r="AD89" s="384">
        <v>0</v>
      </c>
    </row>
    <row r="90" spans="1:30">
      <c r="A90" s="21" t="s">
        <v>23</v>
      </c>
      <c r="B90" s="21" t="s">
        <v>24</v>
      </c>
      <c r="C90" s="23">
        <v>219</v>
      </c>
      <c r="D90" s="147">
        <v>5.68</v>
      </c>
      <c r="E90" s="22">
        <v>64.5</v>
      </c>
      <c r="F90" s="22">
        <v>70.180000000000007</v>
      </c>
      <c r="G90" s="22">
        <v>0</v>
      </c>
      <c r="H90" s="22">
        <v>10</v>
      </c>
      <c r="I90" s="22">
        <v>0.53</v>
      </c>
      <c r="J90" s="22">
        <v>17.07</v>
      </c>
      <c r="K90" s="22">
        <v>0</v>
      </c>
      <c r="L90" s="22">
        <v>0</v>
      </c>
      <c r="M90" s="388">
        <v>847.6</v>
      </c>
      <c r="N90" s="25">
        <v>0.79310000000000003</v>
      </c>
      <c r="O90" s="24">
        <v>870</v>
      </c>
      <c r="P90" s="24">
        <v>167</v>
      </c>
      <c r="Q90" s="24">
        <v>113.25</v>
      </c>
      <c r="R90" s="22">
        <v>53.75</v>
      </c>
      <c r="S90" s="24">
        <v>29</v>
      </c>
      <c r="T90" s="24">
        <f t="shared" si="7"/>
        <v>196</v>
      </c>
      <c r="U90" s="376">
        <v>672.23</v>
      </c>
      <c r="V90" s="376">
        <v>42.38</v>
      </c>
      <c r="W90" s="22">
        <f t="shared" si="8"/>
        <v>533.14561300000003</v>
      </c>
      <c r="X90" s="22">
        <f t="shared" si="9"/>
        <v>100.5</v>
      </c>
      <c r="Y90" s="22">
        <v>61.5</v>
      </c>
      <c r="Z90" s="22">
        <v>39</v>
      </c>
      <c r="AA90" s="371">
        <v>863.49</v>
      </c>
      <c r="AB90" s="22">
        <v>0.11638814578049543</v>
      </c>
      <c r="AC90" s="24">
        <v>0</v>
      </c>
      <c r="AD90" s="384">
        <v>0</v>
      </c>
    </row>
    <row r="91" spans="1:30">
      <c r="A91" s="21" t="s">
        <v>381</v>
      </c>
      <c r="B91" s="21" t="s">
        <v>382</v>
      </c>
      <c r="C91" s="23">
        <v>2314</v>
      </c>
      <c r="D91" s="147">
        <v>107.61</v>
      </c>
      <c r="E91" s="22">
        <v>528.71</v>
      </c>
      <c r="F91" s="22">
        <v>636.32000000000005</v>
      </c>
      <c r="G91" s="22">
        <v>0</v>
      </c>
      <c r="H91" s="22">
        <v>158</v>
      </c>
      <c r="I91" s="22">
        <v>13.05</v>
      </c>
      <c r="J91" s="22">
        <v>97.800000000000011</v>
      </c>
      <c r="K91" s="22">
        <v>0</v>
      </c>
      <c r="L91" s="22">
        <v>0</v>
      </c>
      <c r="M91" s="388">
        <v>7889.85</v>
      </c>
      <c r="N91" s="25">
        <v>0.7823</v>
      </c>
      <c r="O91" s="24">
        <v>7395</v>
      </c>
      <c r="P91" s="24">
        <v>924</v>
      </c>
      <c r="Q91" s="24">
        <v>603</v>
      </c>
      <c r="R91" s="22">
        <v>321</v>
      </c>
      <c r="S91" s="24">
        <v>173.5</v>
      </c>
      <c r="T91" s="24">
        <f t="shared" si="7"/>
        <v>1097.5</v>
      </c>
      <c r="U91" s="376">
        <v>6172.23</v>
      </c>
      <c r="V91" s="376">
        <v>394.49</v>
      </c>
      <c r="W91" s="22">
        <f t="shared" si="8"/>
        <v>4828.5355289999998</v>
      </c>
      <c r="X91" s="22">
        <f t="shared" si="9"/>
        <v>954.5</v>
      </c>
      <c r="Y91" s="22">
        <v>475.5</v>
      </c>
      <c r="Z91" s="22">
        <v>479</v>
      </c>
      <c r="AA91" s="371">
        <v>7378.21</v>
      </c>
      <c r="AB91" s="22">
        <v>0.12936742109536054</v>
      </c>
      <c r="AC91" s="24">
        <v>0</v>
      </c>
      <c r="AD91" s="384">
        <v>0</v>
      </c>
    </row>
    <row r="92" spans="1:30">
      <c r="A92" s="21" t="s">
        <v>465</v>
      </c>
      <c r="B92" s="21" t="s">
        <v>466</v>
      </c>
      <c r="C92" s="23">
        <v>216</v>
      </c>
      <c r="D92" s="147">
        <v>34.31</v>
      </c>
      <c r="E92" s="22">
        <v>88.61</v>
      </c>
      <c r="F92" s="22">
        <v>122.92</v>
      </c>
      <c r="G92" s="22">
        <v>0</v>
      </c>
      <c r="H92" s="22">
        <v>30</v>
      </c>
      <c r="I92" s="22">
        <v>0.33</v>
      </c>
      <c r="J92" s="22">
        <v>1.8</v>
      </c>
      <c r="K92" s="22">
        <v>0.8</v>
      </c>
      <c r="L92" s="22">
        <v>0</v>
      </c>
      <c r="M92" s="388">
        <v>864.93</v>
      </c>
      <c r="N92" s="25">
        <v>0.2266</v>
      </c>
      <c r="O92" s="24">
        <v>0</v>
      </c>
      <c r="P92" s="24">
        <v>0</v>
      </c>
      <c r="Q92" s="24">
        <v>0</v>
      </c>
      <c r="R92" s="22">
        <v>0</v>
      </c>
      <c r="S92" s="24">
        <v>0</v>
      </c>
      <c r="T92" s="24">
        <f t="shared" si="7"/>
        <v>0</v>
      </c>
      <c r="U92" s="376">
        <v>195.99</v>
      </c>
      <c r="V92" s="376">
        <v>0</v>
      </c>
      <c r="W92" s="22">
        <f t="shared" si="8"/>
        <v>44.411334000000004</v>
      </c>
      <c r="X92" s="22">
        <f t="shared" si="9"/>
        <v>102.5</v>
      </c>
      <c r="Y92" s="22">
        <v>75.25</v>
      </c>
      <c r="Z92" s="22">
        <v>27.25</v>
      </c>
      <c r="AA92" s="371">
        <v>862.72</v>
      </c>
      <c r="AB92" s="22">
        <v>0.11881027448071216</v>
      </c>
      <c r="AC92" s="24">
        <v>0</v>
      </c>
      <c r="AD92" s="384">
        <v>0</v>
      </c>
    </row>
    <row r="93" spans="1:30">
      <c r="A93" s="21" t="s">
        <v>567</v>
      </c>
      <c r="B93" s="21" t="s">
        <v>568</v>
      </c>
      <c r="C93" s="23">
        <v>40</v>
      </c>
      <c r="D93" s="147">
        <v>0</v>
      </c>
      <c r="E93" s="22">
        <v>4.87</v>
      </c>
      <c r="F93" s="22">
        <v>4.87</v>
      </c>
      <c r="G93" s="22">
        <v>0</v>
      </c>
      <c r="H93" s="22">
        <v>1</v>
      </c>
      <c r="I93" s="22">
        <v>0</v>
      </c>
      <c r="J93" s="22">
        <v>0</v>
      </c>
      <c r="K93" s="22">
        <v>0</v>
      </c>
      <c r="L93" s="22">
        <v>0</v>
      </c>
      <c r="M93" s="388">
        <v>110</v>
      </c>
      <c r="N93" s="25">
        <v>0.52249999999999996</v>
      </c>
      <c r="O93" s="24">
        <v>82</v>
      </c>
      <c r="P93" s="24">
        <v>0</v>
      </c>
      <c r="Q93" s="24">
        <v>0</v>
      </c>
      <c r="R93" s="22">
        <v>0</v>
      </c>
      <c r="S93" s="24">
        <v>0</v>
      </c>
      <c r="T93" s="24">
        <f t="shared" si="7"/>
        <v>0</v>
      </c>
      <c r="U93" s="376">
        <v>57.48</v>
      </c>
      <c r="V93" s="376">
        <v>0</v>
      </c>
      <c r="W93" s="22">
        <f t="shared" si="8"/>
        <v>30.033299999999997</v>
      </c>
      <c r="X93" s="22">
        <f t="shared" si="9"/>
        <v>13.5</v>
      </c>
      <c r="Y93" s="22">
        <v>11</v>
      </c>
      <c r="Z93" s="22">
        <v>2.5</v>
      </c>
      <c r="AA93" s="371">
        <v>105.26</v>
      </c>
      <c r="AB93" s="22">
        <v>0.12825384761542846</v>
      </c>
      <c r="AC93" s="24">
        <v>0</v>
      </c>
      <c r="AD93" s="384">
        <v>0</v>
      </c>
    </row>
    <row r="94" spans="1:30">
      <c r="A94" s="21" t="s">
        <v>259</v>
      </c>
      <c r="B94" s="21" t="s">
        <v>260</v>
      </c>
      <c r="C94" s="23">
        <v>15</v>
      </c>
      <c r="D94" s="147">
        <v>0</v>
      </c>
      <c r="E94" s="22">
        <v>0</v>
      </c>
      <c r="F94" s="22">
        <v>0</v>
      </c>
      <c r="G94" s="22">
        <v>0</v>
      </c>
      <c r="H94" s="22">
        <v>0</v>
      </c>
      <c r="I94" s="22">
        <v>0</v>
      </c>
      <c r="J94" s="22">
        <v>0</v>
      </c>
      <c r="K94" s="22">
        <v>0</v>
      </c>
      <c r="L94" s="22">
        <v>0</v>
      </c>
      <c r="M94" s="388">
        <v>56</v>
      </c>
      <c r="N94" s="25">
        <v>0.56599999999999995</v>
      </c>
      <c r="O94" s="24">
        <v>16</v>
      </c>
      <c r="P94" s="24">
        <v>0</v>
      </c>
      <c r="Q94" s="24">
        <v>0</v>
      </c>
      <c r="R94" s="22">
        <v>0</v>
      </c>
      <c r="S94" s="24">
        <v>0</v>
      </c>
      <c r="T94" s="24">
        <f t="shared" si="7"/>
        <v>0</v>
      </c>
      <c r="U94" s="376">
        <v>31.7</v>
      </c>
      <c r="V94" s="376">
        <v>0</v>
      </c>
      <c r="W94" s="22">
        <f t="shared" si="8"/>
        <v>17.9422</v>
      </c>
      <c r="X94" s="22">
        <f t="shared" si="9"/>
        <v>12</v>
      </c>
      <c r="Y94" s="22">
        <v>9</v>
      </c>
      <c r="Z94" s="22">
        <v>3</v>
      </c>
      <c r="AA94" s="371">
        <v>51.97</v>
      </c>
      <c r="AB94" s="22">
        <v>0.23090244371752935</v>
      </c>
      <c r="AC94" s="24">
        <v>9.5902443717529345E-2</v>
      </c>
      <c r="AD94" s="384">
        <v>-45903.644448042432</v>
      </c>
    </row>
    <row r="95" spans="1:30">
      <c r="A95" s="21" t="s">
        <v>265</v>
      </c>
      <c r="B95" s="21" t="s">
        <v>266</v>
      </c>
      <c r="C95" s="23">
        <v>253</v>
      </c>
      <c r="D95" s="147">
        <v>27.1</v>
      </c>
      <c r="E95" s="22">
        <v>80.260000000000005</v>
      </c>
      <c r="F95" s="22">
        <v>107.36000000000001</v>
      </c>
      <c r="G95" s="22">
        <v>0</v>
      </c>
      <c r="H95" s="22">
        <v>6</v>
      </c>
      <c r="I95" s="22">
        <v>1.34</v>
      </c>
      <c r="J95" s="22">
        <v>1378.9</v>
      </c>
      <c r="K95" s="22">
        <v>0</v>
      </c>
      <c r="L95" s="22">
        <v>0</v>
      </c>
      <c r="M95" s="388">
        <v>2238.2400000000002</v>
      </c>
      <c r="N95" s="25">
        <v>0.59160000000000001</v>
      </c>
      <c r="O95" s="24">
        <v>545</v>
      </c>
      <c r="P95" s="24">
        <v>71.25</v>
      </c>
      <c r="Q95" s="24">
        <v>39.5</v>
      </c>
      <c r="R95" s="22">
        <v>31.75</v>
      </c>
      <c r="S95" s="24">
        <v>5</v>
      </c>
      <c r="T95" s="24">
        <f t="shared" si="7"/>
        <v>76.25</v>
      </c>
      <c r="U95" s="376">
        <v>1324.14</v>
      </c>
      <c r="V95" s="376">
        <v>0</v>
      </c>
      <c r="W95" s="22">
        <f t="shared" si="8"/>
        <v>783.36122400000011</v>
      </c>
      <c r="X95" s="22">
        <f t="shared" si="9"/>
        <v>304</v>
      </c>
      <c r="Y95" s="22">
        <v>224.25</v>
      </c>
      <c r="Z95" s="22">
        <v>79.75</v>
      </c>
      <c r="AA95" s="371">
        <v>2240.66</v>
      </c>
      <c r="AB95" s="22">
        <v>0.13567431024787341</v>
      </c>
      <c r="AC95" s="24">
        <v>6.7431024787339977E-4</v>
      </c>
      <c r="AD95" s="384">
        <v>-13235.397889461343</v>
      </c>
    </row>
    <row r="96" spans="1:30">
      <c r="A96" s="21" t="s">
        <v>139</v>
      </c>
      <c r="B96" s="21" t="s">
        <v>140</v>
      </c>
      <c r="C96" s="23">
        <v>186</v>
      </c>
      <c r="D96" s="147">
        <v>7.56</v>
      </c>
      <c r="E96" s="22">
        <v>26.32</v>
      </c>
      <c r="F96" s="22">
        <v>33.880000000000003</v>
      </c>
      <c r="G96" s="22">
        <v>0</v>
      </c>
      <c r="H96" s="22">
        <v>11</v>
      </c>
      <c r="I96" s="22">
        <v>1.07</v>
      </c>
      <c r="J96" s="22">
        <v>33.32</v>
      </c>
      <c r="K96" s="22">
        <v>0</v>
      </c>
      <c r="L96" s="22">
        <v>0</v>
      </c>
      <c r="M96" s="388">
        <v>703.3900000000001</v>
      </c>
      <c r="N96" s="25">
        <v>0.73499999999999999</v>
      </c>
      <c r="O96" s="24">
        <v>717</v>
      </c>
      <c r="P96" s="24">
        <v>0</v>
      </c>
      <c r="Q96" s="24">
        <v>0</v>
      </c>
      <c r="R96" s="22">
        <v>0</v>
      </c>
      <c r="S96" s="24">
        <v>0</v>
      </c>
      <c r="T96" s="24">
        <f t="shared" si="7"/>
        <v>0</v>
      </c>
      <c r="U96" s="376">
        <v>516.99</v>
      </c>
      <c r="V96" s="376">
        <v>35.17</v>
      </c>
      <c r="W96" s="22">
        <f t="shared" si="8"/>
        <v>379.98764999999997</v>
      </c>
      <c r="X96" s="22">
        <f t="shared" si="9"/>
        <v>103.25</v>
      </c>
      <c r="Y96" s="22">
        <v>64.5</v>
      </c>
      <c r="Z96" s="22">
        <v>38.75</v>
      </c>
      <c r="AA96" s="371">
        <v>719.06</v>
      </c>
      <c r="AB96" s="22">
        <v>0.1435902428170111</v>
      </c>
      <c r="AC96" s="24">
        <v>8.5902428170110956E-3</v>
      </c>
      <c r="AD96" s="384">
        <v>-55588.538325113834</v>
      </c>
    </row>
    <row r="97" spans="1:30">
      <c r="A97" s="21" t="s">
        <v>593</v>
      </c>
      <c r="B97" s="21" t="s">
        <v>594</v>
      </c>
      <c r="C97" s="23">
        <v>948</v>
      </c>
      <c r="D97" s="147">
        <v>41.76</v>
      </c>
      <c r="E97" s="22">
        <v>277.12</v>
      </c>
      <c r="F97" s="22">
        <v>318.88</v>
      </c>
      <c r="G97" s="22">
        <v>0</v>
      </c>
      <c r="H97" s="22">
        <v>45</v>
      </c>
      <c r="I97" s="22">
        <v>4.17</v>
      </c>
      <c r="J97" s="22">
        <v>44.199999999999996</v>
      </c>
      <c r="K97" s="22">
        <v>7.2</v>
      </c>
      <c r="L97" s="22">
        <v>0</v>
      </c>
      <c r="M97" s="388">
        <v>3374.5699999999997</v>
      </c>
      <c r="N97" s="25">
        <v>0.85250000000000004</v>
      </c>
      <c r="O97" s="24">
        <v>3561</v>
      </c>
      <c r="P97" s="24">
        <v>1094.25</v>
      </c>
      <c r="Q97" s="24">
        <v>679.5</v>
      </c>
      <c r="R97" s="22">
        <v>414.75</v>
      </c>
      <c r="S97" s="24">
        <v>192.75</v>
      </c>
      <c r="T97" s="24">
        <f t="shared" si="7"/>
        <v>1287</v>
      </c>
      <c r="U97" s="376">
        <v>2876.82</v>
      </c>
      <c r="V97" s="376">
        <v>168.73</v>
      </c>
      <c r="W97" s="22">
        <f t="shared" si="8"/>
        <v>2452.4890500000001</v>
      </c>
      <c r="X97" s="22">
        <f t="shared" si="9"/>
        <v>511.5</v>
      </c>
      <c r="Y97" s="22">
        <v>234.5</v>
      </c>
      <c r="Z97" s="22">
        <v>277</v>
      </c>
      <c r="AA97" s="371">
        <v>3518.33</v>
      </c>
      <c r="AB97" s="22">
        <v>0.1453814735968485</v>
      </c>
      <c r="AC97" s="24">
        <v>1.0381473596848489E-2</v>
      </c>
      <c r="AD97" s="384">
        <v>-328510.30056643963</v>
      </c>
    </row>
    <row r="98" spans="1:30">
      <c r="A98" s="21" t="s">
        <v>601</v>
      </c>
      <c r="B98" s="21" t="s">
        <v>602</v>
      </c>
      <c r="C98" s="23">
        <v>408</v>
      </c>
      <c r="D98" s="147">
        <v>21.06</v>
      </c>
      <c r="E98" s="22">
        <v>165.61</v>
      </c>
      <c r="F98" s="22">
        <v>186.67000000000002</v>
      </c>
      <c r="G98" s="22">
        <v>0</v>
      </c>
      <c r="H98" s="22">
        <v>16</v>
      </c>
      <c r="I98" s="22">
        <v>0.8</v>
      </c>
      <c r="J98" s="22">
        <v>0</v>
      </c>
      <c r="K98" s="22">
        <v>0</v>
      </c>
      <c r="L98" s="22">
        <v>0</v>
      </c>
      <c r="M98" s="388">
        <v>1455.8</v>
      </c>
      <c r="N98" s="25">
        <v>0.90959999999999996</v>
      </c>
      <c r="O98" s="24">
        <v>1437</v>
      </c>
      <c r="P98" s="24">
        <v>568.75</v>
      </c>
      <c r="Q98" s="24">
        <v>354.25</v>
      </c>
      <c r="R98" s="22">
        <v>214.5</v>
      </c>
      <c r="S98" s="24">
        <v>107</v>
      </c>
      <c r="T98" s="24">
        <f t="shared" si="7"/>
        <v>675.75</v>
      </c>
      <c r="U98" s="376">
        <v>1324.2</v>
      </c>
      <c r="V98" s="376">
        <v>72.790000000000006</v>
      </c>
      <c r="W98" s="22">
        <f t="shared" si="8"/>
        <v>1204.4923200000001</v>
      </c>
      <c r="X98" s="22">
        <f t="shared" si="9"/>
        <v>190.25</v>
      </c>
      <c r="Y98" s="22">
        <v>88.25</v>
      </c>
      <c r="Z98" s="22">
        <v>102</v>
      </c>
      <c r="AA98" s="371">
        <v>1483.52</v>
      </c>
      <c r="AB98" s="22">
        <v>0.12824228861087145</v>
      </c>
      <c r="AC98" s="24">
        <v>0</v>
      </c>
      <c r="AD98" s="384">
        <v>0</v>
      </c>
    </row>
    <row r="99" spans="1:30">
      <c r="A99" s="21" t="s">
        <v>447</v>
      </c>
      <c r="B99" s="21" t="s">
        <v>448</v>
      </c>
      <c r="C99" s="23">
        <v>600</v>
      </c>
      <c r="D99" s="147">
        <v>71.14</v>
      </c>
      <c r="E99" s="22">
        <v>133.44999999999999</v>
      </c>
      <c r="F99" s="22">
        <v>204.58999999999997</v>
      </c>
      <c r="G99" s="22">
        <v>0</v>
      </c>
      <c r="H99" s="22">
        <v>20</v>
      </c>
      <c r="I99" s="22">
        <v>0.08</v>
      </c>
      <c r="J99" s="22">
        <v>139.46</v>
      </c>
      <c r="K99" s="22">
        <v>50.2</v>
      </c>
      <c r="L99" s="22">
        <v>0</v>
      </c>
      <c r="M99" s="388">
        <v>2118.7399999999998</v>
      </c>
      <c r="N99" s="25">
        <v>0.46089999999999998</v>
      </c>
      <c r="O99" s="24">
        <v>197</v>
      </c>
      <c r="P99" s="24">
        <v>83.25</v>
      </c>
      <c r="Q99" s="24">
        <v>51.5</v>
      </c>
      <c r="R99" s="22">
        <v>31.75</v>
      </c>
      <c r="S99" s="24">
        <v>7.75</v>
      </c>
      <c r="T99" s="24">
        <f t="shared" si="7"/>
        <v>91</v>
      </c>
      <c r="U99" s="376">
        <v>976.53</v>
      </c>
      <c r="V99" s="376">
        <v>105.94</v>
      </c>
      <c r="W99" s="22">
        <f t="shared" si="8"/>
        <v>450.08267699999999</v>
      </c>
      <c r="X99" s="22">
        <f t="shared" si="9"/>
        <v>366</v>
      </c>
      <c r="Y99" s="22">
        <v>182.25</v>
      </c>
      <c r="Z99" s="22">
        <v>183.75</v>
      </c>
      <c r="AA99" s="371">
        <v>2180.04</v>
      </c>
      <c r="AB99" s="22">
        <v>0.16788682776462818</v>
      </c>
      <c r="AC99" s="24">
        <v>3.2886827764628174E-2</v>
      </c>
      <c r="AD99" s="384">
        <v>-703070.51422858518</v>
      </c>
    </row>
    <row r="100" spans="1:30">
      <c r="A100" s="21" t="s">
        <v>315</v>
      </c>
      <c r="B100" s="21" t="s">
        <v>316</v>
      </c>
      <c r="C100" s="23">
        <v>102</v>
      </c>
      <c r="D100" s="147">
        <v>0</v>
      </c>
      <c r="E100" s="22">
        <v>0</v>
      </c>
      <c r="F100" s="22">
        <v>0</v>
      </c>
      <c r="G100" s="22">
        <v>0</v>
      </c>
      <c r="H100" s="22">
        <v>0</v>
      </c>
      <c r="I100" s="22">
        <v>0</v>
      </c>
      <c r="J100" s="22">
        <v>0</v>
      </c>
      <c r="K100" s="22">
        <v>0</v>
      </c>
      <c r="L100" s="22">
        <v>0</v>
      </c>
      <c r="M100" s="388">
        <v>216</v>
      </c>
      <c r="N100" s="25">
        <v>0.45540000000000003</v>
      </c>
      <c r="O100" s="24">
        <v>0</v>
      </c>
      <c r="P100" s="24">
        <v>0</v>
      </c>
      <c r="Q100" s="24">
        <v>0</v>
      </c>
      <c r="R100" s="22">
        <v>0</v>
      </c>
      <c r="S100" s="24">
        <v>0</v>
      </c>
      <c r="T100" s="24">
        <f t="shared" si="7"/>
        <v>0</v>
      </c>
      <c r="U100" s="376">
        <v>98.37</v>
      </c>
      <c r="V100" s="376">
        <v>10.8</v>
      </c>
      <c r="W100" s="22">
        <f t="shared" si="8"/>
        <v>44.797698000000004</v>
      </c>
      <c r="X100" s="22">
        <f t="shared" si="9"/>
        <v>24.5</v>
      </c>
      <c r="Y100" s="22">
        <v>24.5</v>
      </c>
      <c r="Z100" s="22">
        <v>0</v>
      </c>
      <c r="AA100" s="371">
        <v>214.6</v>
      </c>
      <c r="AB100" s="22">
        <v>0.114165890027959</v>
      </c>
      <c r="AC100" s="24">
        <v>0</v>
      </c>
      <c r="AD100" s="384">
        <v>0</v>
      </c>
    </row>
    <row r="101" spans="1:30">
      <c r="A101" s="21" t="s">
        <v>455</v>
      </c>
      <c r="B101" s="21" t="s">
        <v>456</v>
      </c>
      <c r="C101" s="23">
        <v>22</v>
      </c>
      <c r="D101" s="147">
        <v>0</v>
      </c>
      <c r="E101" s="22">
        <v>0</v>
      </c>
      <c r="F101" s="22">
        <v>0</v>
      </c>
      <c r="G101" s="22">
        <v>0</v>
      </c>
      <c r="H101" s="22">
        <v>0</v>
      </c>
      <c r="I101" s="22">
        <v>0</v>
      </c>
      <c r="J101" s="22">
        <v>0</v>
      </c>
      <c r="K101" s="22">
        <v>0</v>
      </c>
      <c r="L101" s="22">
        <v>0</v>
      </c>
      <c r="M101" s="388">
        <v>40</v>
      </c>
      <c r="N101" s="25">
        <v>0.43330000000000002</v>
      </c>
      <c r="O101" s="24">
        <v>0</v>
      </c>
      <c r="P101" s="24">
        <v>0</v>
      </c>
      <c r="Q101" s="24">
        <v>0</v>
      </c>
      <c r="R101" s="22">
        <v>0</v>
      </c>
      <c r="S101" s="24">
        <v>0</v>
      </c>
      <c r="T101" s="24">
        <f t="shared" si="7"/>
        <v>0</v>
      </c>
      <c r="U101" s="376">
        <v>17.329999999999998</v>
      </c>
      <c r="V101" s="376">
        <v>0</v>
      </c>
      <c r="W101" s="22">
        <f t="shared" si="8"/>
        <v>7.5090889999999995</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271</v>
      </c>
      <c r="N102" s="25">
        <v>0.76880000000000004</v>
      </c>
      <c r="O102" s="24">
        <v>160</v>
      </c>
      <c r="P102" s="24">
        <v>22</v>
      </c>
      <c r="Q102" s="24">
        <v>1</v>
      </c>
      <c r="R102" s="22">
        <v>21</v>
      </c>
      <c r="S102" s="24">
        <v>2</v>
      </c>
      <c r="T102" s="24">
        <f t="shared" si="7"/>
        <v>24</v>
      </c>
      <c r="U102" s="376">
        <v>0</v>
      </c>
      <c r="V102" s="376">
        <v>0</v>
      </c>
      <c r="W102" s="22">
        <f t="shared" si="8"/>
        <v>0</v>
      </c>
      <c r="X102" s="22">
        <f t="shared" si="9"/>
        <v>37.25</v>
      </c>
      <c r="Y102" s="22">
        <v>17.75</v>
      </c>
      <c r="Z102" s="22">
        <v>19.5</v>
      </c>
      <c r="AA102" s="371">
        <v>160.80000000000001</v>
      </c>
      <c r="AB102" s="22">
        <v>0.23165422885572137</v>
      </c>
      <c r="AC102" s="24">
        <v>9.6654228855721364E-2</v>
      </c>
      <c r="AD102" s="384">
        <v>-145139.09758378062</v>
      </c>
    </row>
    <row r="103" spans="1:30">
      <c r="A103" s="21" t="s">
        <v>61</v>
      </c>
      <c r="B103" s="21" t="s">
        <v>62</v>
      </c>
      <c r="C103" s="23">
        <v>67</v>
      </c>
      <c r="D103" s="147">
        <v>0</v>
      </c>
      <c r="E103" s="22">
        <v>0</v>
      </c>
      <c r="F103" s="22">
        <v>0</v>
      </c>
      <c r="G103" s="22">
        <v>0</v>
      </c>
      <c r="H103" s="22">
        <v>0</v>
      </c>
      <c r="I103" s="22">
        <v>0</v>
      </c>
      <c r="J103" s="22">
        <v>0</v>
      </c>
      <c r="K103" s="22">
        <v>0</v>
      </c>
      <c r="L103" s="22">
        <v>0</v>
      </c>
      <c r="M103" s="388">
        <v>146</v>
      </c>
      <c r="N103" s="25">
        <v>0.50919999999999999</v>
      </c>
      <c r="O103" s="24">
        <v>0</v>
      </c>
      <c r="P103" s="24">
        <v>3</v>
      </c>
      <c r="Q103" s="24">
        <v>2</v>
      </c>
      <c r="R103" s="22">
        <v>1</v>
      </c>
      <c r="S103" s="24">
        <v>1</v>
      </c>
      <c r="T103" s="24">
        <f t="shared" si="7"/>
        <v>4</v>
      </c>
      <c r="U103" s="376">
        <v>74.34</v>
      </c>
      <c r="V103" s="376">
        <v>7.3</v>
      </c>
      <c r="W103" s="22">
        <f t="shared" si="8"/>
        <v>37.853928000000003</v>
      </c>
      <c r="X103" s="22">
        <f t="shared" si="9"/>
        <v>20.5</v>
      </c>
      <c r="Y103" s="22">
        <v>17.5</v>
      </c>
      <c r="Z103" s="22">
        <v>3</v>
      </c>
      <c r="AA103" s="371">
        <v>153.02000000000001</v>
      </c>
      <c r="AB103" s="22">
        <v>0.1339694157626454</v>
      </c>
      <c r="AC103" s="24">
        <v>0</v>
      </c>
      <c r="AD103" s="384">
        <v>0</v>
      </c>
    </row>
    <row r="104" spans="1:30">
      <c r="A104" s="21" t="s">
        <v>517</v>
      </c>
      <c r="B104" s="21" t="s">
        <v>518</v>
      </c>
      <c r="C104" s="23">
        <v>246</v>
      </c>
      <c r="D104" s="147">
        <v>0</v>
      </c>
      <c r="E104" s="22">
        <v>0</v>
      </c>
      <c r="F104" s="22">
        <v>0</v>
      </c>
      <c r="G104" s="22">
        <v>0</v>
      </c>
      <c r="H104" s="22">
        <v>0</v>
      </c>
      <c r="I104" s="22">
        <v>0</v>
      </c>
      <c r="J104" s="22">
        <v>0</v>
      </c>
      <c r="K104" s="22">
        <v>0</v>
      </c>
      <c r="L104" s="22">
        <v>0</v>
      </c>
      <c r="M104" s="388">
        <v>610</v>
      </c>
      <c r="N104" s="25">
        <v>0.17130000000000001</v>
      </c>
      <c r="O104" s="24">
        <v>0</v>
      </c>
      <c r="P104" s="24">
        <v>1.5</v>
      </c>
      <c r="Q104" s="24">
        <v>0</v>
      </c>
      <c r="R104" s="22">
        <v>1.5</v>
      </c>
      <c r="S104" s="24">
        <v>1</v>
      </c>
      <c r="T104" s="24">
        <f t="shared" si="7"/>
        <v>2.5</v>
      </c>
      <c r="U104" s="376">
        <v>104.49</v>
      </c>
      <c r="V104" s="376">
        <v>30.5</v>
      </c>
      <c r="W104" s="22">
        <f t="shared" si="8"/>
        <v>17.899137</v>
      </c>
      <c r="X104" s="22">
        <f t="shared" si="9"/>
        <v>76.25</v>
      </c>
      <c r="Y104" s="22">
        <v>59.5</v>
      </c>
      <c r="Z104" s="22">
        <v>16.75</v>
      </c>
      <c r="AA104" s="371">
        <v>603.01</v>
      </c>
      <c r="AB104" s="22">
        <v>0.12644898094558962</v>
      </c>
      <c r="AC104" s="24">
        <v>0</v>
      </c>
      <c r="AD104" s="384">
        <v>0</v>
      </c>
    </row>
    <row r="105" spans="1:30">
      <c r="A105" s="21" t="s">
        <v>309</v>
      </c>
      <c r="B105" s="21" t="s">
        <v>310</v>
      </c>
      <c r="C105" s="23">
        <v>34</v>
      </c>
      <c r="D105" s="147">
        <v>1.06</v>
      </c>
      <c r="E105" s="22">
        <v>4.45</v>
      </c>
      <c r="F105" s="22">
        <v>5.51</v>
      </c>
      <c r="G105" s="22">
        <v>0</v>
      </c>
      <c r="H105" s="22">
        <v>0</v>
      </c>
      <c r="I105" s="22">
        <v>0</v>
      </c>
      <c r="J105" s="22">
        <v>0</v>
      </c>
      <c r="K105" s="22">
        <v>0</v>
      </c>
      <c r="L105" s="22">
        <v>0</v>
      </c>
      <c r="M105" s="388">
        <v>112</v>
      </c>
      <c r="N105" s="25">
        <v>0.52</v>
      </c>
      <c r="O105" s="24">
        <v>113</v>
      </c>
      <c r="P105" s="24">
        <v>0</v>
      </c>
      <c r="Q105" s="24">
        <v>0</v>
      </c>
      <c r="R105" s="22">
        <v>0</v>
      </c>
      <c r="S105" s="24">
        <v>0</v>
      </c>
      <c r="T105" s="24">
        <f t="shared" si="7"/>
        <v>0</v>
      </c>
      <c r="U105" s="376">
        <v>58.24</v>
      </c>
      <c r="V105" s="376">
        <v>0</v>
      </c>
      <c r="W105" s="22">
        <f t="shared" si="8"/>
        <v>30.284800000000001</v>
      </c>
      <c r="X105" s="22">
        <f t="shared" si="9"/>
        <v>23.75</v>
      </c>
      <c r="Y105" s="22">
        <v>21.25</v>
      </c>
      <c r="Z105" s="22">
        <v>2.5</v>
      </c>
      <c r="AA105" s="371">
        <v>112.51</v>
      </c>
      <c r="AB105" s="22">
        <v>0.21109234734690249</v>
      </c>
      <c r="AC105" s="24">
        <v>7.6092347346902484E-2</v>
      </c>
      <c r="AD105" s="384">
        <v>-79501.391575487913</v>
      </c>
    </row>
    <row r="106" spans="1:30">
      <c r="A106" s="21" t="s">
        <v>599</v>
      </c>
      <c r="B106" s="21" t="s">
        <v>600</v>
      </c>
      <c r="C106" s="23">
        <v>257</v>
      </c>
      <c r="D106" s="147">
        <v>0</v>
      </c>
      <c r="E106" s="22">
        <v>46.3</v>
      </c>
      <c r="F106" s="22">
        <v>46.3</v>
      </c>
      <c r="G106" s="22">
        <v>0</v>
      </c>
      <c r="H106" s="22">
        <v>5</v>
      </c>
      <c r="I106" s="22">
        <v>0.42</v>
      </c>
      <c r="J106" s="22">
        <v>0</v>
      </c>
      <c r="K106" s="22">
        <v>5.4</v>
      </c>
      <c r="L106" s="22">
        <v>0</v>
      </c>
      <c r="M106" s="388">
        <v>1038.8200000000002</v>
      </c>
      <c r="N106" s="25">
        <v>0.82350000000000001</v>
      </c>
      <c r="O106" s="24">
        <v>1069</v>
      </c>
      <c r="P106" s="24">
        <v>298.5</v>
      </c>
      <c r="Q106" s="24">
        <v>202.5</v>
      </c>
      <c r="R106" s="22">
        <v>96</v>
      </c>
      <c r="S106" s="24">
        <v>81.75</v>
      </c>
      <c r="T106" s="24">
        <f t="shared" si="7"/>
        <v>380.25</v>
      </c>
      <c r="U106" s="376">
        <v>855.47</v>
      </c>
      <c r="V106" s="376">
        <v>51.94</v>
      </c>
      <c r="W106" s="22">
        <f t="shared" si="8"/>
        <v>704.47954500000003</v>
      </c>
      <c r="X106" s="22">
        <f t="shared" si="9"/>
        <v>123.25</v>
      </c>
      <c r="Y106" s="22">
        <v>81.5</v>
      </c>
      <c r="Z106" s="22">
        <v>41.75</v>
      </c>
      <c r="AA106" s="371">
        <v>1054.1099999999999</v>
      </c>
      <c r="AB106" s="22">
        <v>0.11692328125148231</v>
      </c>
      <c r="AC106" s="24">
        <v>0</v>
      </c>
      <c r="AD106" s="384">
        <v>0</v>
      </c>
    </row>
    <row r="107" spans="1:30">
      <c r="A107" s="21" t="s">
        <v>191</v>
      </c>
      <c r="B107" s="21" t="s">
        <v>192</v>
      </c>
      <c r="C107" s="23">
        <v>5517</v>
      </c>
      <c r="D107" s="147">
        <v>125.7</v>
      </c>
      <c r="E107" s="22">
        <v>655.34</v>
      </c>
      <c r="F107" s="22">
        <v>781.04000000000008</v>
      </c>
      <c r="G107" s="22">
        <v>360.64</v>
      </c>
      <c r="H107" s="22">
        <v>420</v>
      </c>
      <c r="I107" s="22">
        <v>31.37</v>
      </c>
      <c r="J107" s="22">
        <v>622.56999999999994</v>
      </c>
      <c r="K107" s="22">
        <v>160.18</v>
      </c>
      <c r="L107" s="22">
        <v>0</v>
      </c>
      <c r="M107" s="388">
        <v>18496.12</v>
      </c>
      <c r="N107" s="25">
        <v>0.70820000000000005</v>
      </c>
      <c r="O107" s="24">
        <v>15829</v>
      </c>
      <c r="P107" s="24">
        <v>5679</v>
      </c>
      <c r="Q107" s="24">
        <v>3443.75</v>
      </c>
      <c r="R107" s="22">
        <v>2235.25</v>
      </c>
      <c r="S107" s="24">
        <v>510.5</v>
      </c>
      <c r="T107" s="24">
        <f t="shared" si="7"/>
        <v>6189.5</v>
      </c>
      <c r="U107" s="376">
        <v>13098.95</v>
      </c>
      <c r="V107" s="376">
        <v>924.81</v>
      </c>
      <c r="W107" s="22">
        <f t="shared" si="8"/>
        <v>9276.6763900000005</v>
      </c>
      <c r="X107" s="22">
        <f t="shared" si="9"/>
        <v>2499.25</v>
      </c>
      <c r="Y107" s="22">
        <v>1760.75</v>
      </c>
      <c r="Z107" s="22">
        <v>738.5</v>
      </c>
      <c r="AA107" s="371">
        <v>17460.7</v>
      </c>
      <c r="AB107" s="22">
        <v>0.14313572766269392</v>
      </c>
      <c r="AC107" s="24">
        <v>8.135727662693909E-3</v>
      </c>
      <c r="AD107" s="384">
        <v>-1457506.6644314229</v>
      </c>
    </row>
    <row r="108" spans="1:30">
      <c r="A108" s="21" t="s">
        <v>57</v>
      </c>
      <c r="B108" s="21" t="s">
        <v>58</v>
      </c>
      <c r="C108" s="23">
        <v>553</v>
      </c>
      <c r="D108" s="147">
        <v>9.2200000000000006</v>
      </c>
      <c r="E108" s="22">
        <v>41.28</v>
      </c>
      <c r="F108" s="22">
        <v>50.5</v>
      </c>
      <c r="G108" s="22">
        <v>0</v>
      </c>
      <c r="H108" s="22">
        <v>85</v>
      </c>
      <c r="I108" s="22">
        <v>0.55000000000000004</v>
      </c>
      <c r="J108" s="22">
        <v>0</v>
      </c>
      <c r="K108" s="22">
        <v>3.4</v>
      </c>
      <c r="L108" s="22">
        <v>0</v>
      </c>
      <c r="M108" s="388">
        <v>1992.95</v>
      </c>
      <c r="N108" s="25">
        <v>0.18160000000000001</v>
      </c>
      <c r="O108" s="24">
        <v>0</v>
      </c>
      <c r="P108" s="24">
        <v>71.5</v>
      </c>
      <c r="Q108" s="24">
        <v>49.25</v>
      </c>
      <c r="R108" s="22">
        <v>22.25</v>
      </c>
      <c r="S108" s="24">
        <v>11</v>
      </c>
      <c r="T108" s="24">
        <f t="shared" si="7"/>
        <v>82.5</v>
      </c>
      <c r="U108" s="376">
        <v>361.92</v>
      </c>
      <c r="V108" s="376">
        <v>99.65</v>
      </c>
      <c r="W108" s="22">
        <f t="shared" si="8"/>
        <v>65.724672000000012</v>
      </c>
      <c r="X108" s="22">
        <f t="shared" si="9"/>
        <v>175.75</v>
      </c>
      <c r="Y108" s="22">
        <v>108</v>
      </c>
      <c r="Z108" s="22">
        <v>67.75</v>
      </c>
      <c r="AA108" s="371">
        <v>1934.62</v>
      </c>
      <c r="AB108" s="22">
        <v>9.084471369054388E-2</v>
      </c>
      <c r="AC108" s="24">
        <v>0</v>
      </c>
      <c r="AD108" s="384">
        <v>0</v>
      </c>
    </row>
    <row r="109" spans="1:30">
      <c r="A109" s="21" t="s">
        <v>325</v>
      </c>
      <c r="B109" s="21" t="s">
        <v>326</v>
      </c>
      <c r="C109" s="23">
        <v>124</v>
      </c>
      <c r="D109" s="147">
        <v>0</v>
      </c>
      <c r="E109" s="22">
        <v>0</v>
      </c>
      <c r="F109" s="22">
        <v>0</v>
      </c>
      <c r="G109" s="22">
        <v>0</v>
      </c>
      <c r="H109" s="22">
        <v>0</v>
      </c>
      <c r="I109" s="22">
        <v>0</v>
      </c>
      <c r="J109" s="22">
        <v>0</v>
      </c>
      <c r="K109" s="22">
        <v>0</v>
      </c>
      <c r="L109" s="22">
        <v>0</v>
      </c>
      <c r="M109" s="388">
        <v>290</v>
      </c>
      <c r="N109" s="25">
        <v>0.8034</v>
      </c>
      <c r="O109" s="24">
        <v>298</v>
      </c>
      <c r="P109" s="24">
        <v>7.5</v>
      </c>
      <c r="Q109" s="24">
        <v>7.5</v>
      </c>
      <c r="R109" s="22">
        <v>0</v>
      </c>
      <c r="S109" s="24">
        <v>0</v>
      </c>
      <c r="T109" s="24">
        <f t="shared" si="7"/>
        <v>7.5</v>
      </c>
      <c r="U109" s="376">
        <v>232.99</v>
      </c>
      <c r="V109" s="376">
        <v>14.5</v>
      </c>
      <c r="W109" s="22">
        <f t="shared" si="8"/>
        <v>187.184166</v>
      </c>
      <c r="X109" s="22">
        <f t="shared" si="9"/>
        <v>36.75</v>
      </c>
      <c r="Y109" s="22">
        <v>31</v>
      </c>
      <c r="Z109" s="22">
        <v>5.75</v>
      </c>
      <c r="AA109" s="371">
        <v>300.60000000000002</v>
      </c>
      <c r="AB109" s="22">
        <v>0.12225548902195608</v>
      </c>
      <c r="AC109" s="24">
        <v>0</v>
      </c>
      <c r="AD109" s="384">
        <v>0</v>
      </c>
    </row>
    <row r="110" spans="1:30">
      <c r="A110" s="21" t="s">
        <v>143</v>
      </c>
      <c r="B110" s="21" t="s">
        <v>144</v>
      </c>
      <c r="C110" s="23">
        <v>453</v>
      </c>
      <c r="D110" s="147">
        <v>16.989999999999998</v>
      </c>
      <c r="E110" s="22">
        <v>126.88</v>
      </c>
      <c r="F110" s="22">
        <v>143.87</v>
      </c>
      <c r="G110" s="22">
        <v>0</v>
      </c>
      <c r="H110" s="22">
        <v>30</v>
      </c>
      <c r="I110" s="22">
        <v>0.98</v>
      </c>
      <c r="J110" s="22">
        <v>123.67</v>
      </c>
      <c r="K110" s="22">
        <v>12.08</v>
      </c>
      <c r="L110" s="22">
        <v>0</v>
      </c>
      <c r="M110" s="388">
        <v>1625.73</v>
      </c>
      <c r="N110" s="25">
        <v>0.76549999999999996</v>
      </c>
      <c r="O110" s="24">
        <v>1582</v>
      </c>
      <c r="P110" s="24">
        <v>98.25</v>
      </c>
      <c r="Q110" s="24">
        <v>71</v>
      </c>
      <c r="R110" s="22">
        <v>27.25</v>
      </c>
      <c r="S110" s="24">
        <v>11.75</v>
      </c>
      <c r="T110" s="24">
        <f t="shared" si="7"/>
        <v>110</v>
      </c>
      <c r="U110" s="376">
        <v>1244.5</v>
      </c>
      <c r="V110" s="376">
        <v>81.290000000000006</v>
      </c>
      <c r="W110" s="22">
        <f t="shared" si="8"/>
        <v>952.66474999999991</v>
      </c>
      <c r="X110" s="22">
        <f t="shared" si="9"/>
        <v>236</v>
      </c>
      <c r="Y110" s="22">
        <v>190.75</v>
      </c>
      <c r="Z110" s="22">
        <v>45.25</v>
      </c>
      <c r="AA110" s="371">
        <v>1573.59</v>
      </c>
      <c r="AB110" s="22">
        <v>0.14997553365234909</v>
      </c>
      <c r="AC110" s="24">
        <v>1.4975533652349077E-2</v>
      </c>
      <c r="AD110" s="384">
        <v>-213378.77797710392</v>
      </c>
    </row>
    <row r="111" spans="1:30">
      <c r="A111" s="21" t="s">
        <v>1315</v>
      </c>
      <c r="B111" s="21" t="s">
        <v>1316</v>
      </c>
      <c r="C111" s="23">
        <v>342</v>
      </c>
      <c r="D111" s="147">
        <v>0</v>
      </c>
      <c r="E111" s="22">
        <v>0</v>
      </c>
      <c r="F111" s="22">
        <v>0</v>
      </c>
      <c r="G111" s="22">
        <v>0</v>
      </c>
      <c r="H111" s="22">
        <v>0</v>
      </c>
      <c r="I111" s="22">
        <v>0</v>
      </c>
      <c r="J111" s="22">
        <v>0</v>
      </c>
      <c r="K111" s="22">
        <v>0</v>
      </c>
      <c r="L111" s="22">
        <v>0</v>
      </c>
      <c r="M111" s="388">
        <v>342</v>
      </c>
      <c r="N111" s="25">
        <v>0.54679999999999995</v>
      </c>
      <c r="O111" s="24">
        <v>267</v>
      </c>
      <c r="P111" s="24">
        <v>30.24</v>
      </c>
      <c r="Q111" s="24">
        <v>30.24</v>
      </c>
      <c r="R111" s="22">
        <v>0</v>
      </c>
      <c r="S111" s="24">
        <v>0</v>
      </c>
      <c r="T111" s="24">
        <f t="shared" si="7"/>
        <v>30.24</v>
      </c>
      <c r="U111" s="376">
        <v>187.01</v>
      </c>
      <c r="V111" s="376">
        <v>0</v>
      </c>
      <c r="W111" s="22">
        <f t="shared" si="8"/>
        <v>102.25706799999999</v>
      </c>
      <c r="X111" s="22">
        <f t="shared" si="9"/>
        <v>2.52</v>
      </c>
      <c r="Y111" s="22">
        <v>2.52</v>
      </c>
      <c r="Z111" s="22">
        <v>0</v>
      </c>
      <c r="AA111" s="371">
        <v>252</v>
      </c>
      <c r="AB111" s="22">
        <v>0.01</v>
      </c>
      <c r="AC111" s="24">
        <v>0</v>
      </c>
      <c r="AD111" s="384">
        <v>0</v>
      </c>
    </row>
    <row r="112" spans="1:30">
      <c r="A112" s="21" t="s">
        <v>1230</v>
      </c>
      <c r="B112" s="21" t="s">
        <v>1231</v>
      </c>
      <c r="C112" s="23">
        <v>342</v>
      </c>
      <c r="D112" s="147">
        <v>0</v>
      </c>
      <c r="E112" s="22">
        <v>0</v>
      </c>
      <c r="F112" s="22">
        <v>0</v>
      </c>
      <c r="G112" s="22">
        <v>0</v>
      </c>
      <c r="H112" s="22">
        <v>0</v>
      </c>
      <c r="I112" s="22">
        <v>0</v>
      </c>
      <c r="J112" s="22">
        <v>0</v>
      </c>
      <c r="K112" s="22">
        <v>0</v>
      </c>
      <c r="L112" s="22">
        <v>0</v>
      </c>
      <c r="M112" s="388">
        <v>342</v>
      </c>
      <c r="N112" s="25">
        <v>0.59</v>
      </c>
      <c r="O112" s="24">
        <v>0</v>
      </c>
      <c r="P112" s="24">
        <v>46</v>
      </c>
      <c r="Q112" s="24">
        <v>46</v>
      </c>
      <c r="R112" s="22">
        <v>0</v>
      </c>
      <c r="S112" s="24">
        <v>0</v>
      </c>
      <c r="T112" s="24">
        <f t="shared" si="7"/>
        <v>46</v>
      </c>
      <c r="U112" s="376">
        <v>201.78</v>
      </c>
      <c r="V112" s="376">
        <v>17.100000000000001</v>
      </c>
      <c r="W112" s="22">
        <f t="shared" si="8"/>
        <v>119.05019999999999</v>
      </c>
      <c r="X112" s="22">
        <f t="shared" si="9"/>
        <v>7.75</v>
      </c>
      <c r="Y112" s="22">
        <v>7</v>
      </c>
      <c r="Z112" s="22">
        <v>0.75</v>
      </c>
      <c r="AA112" s="371">
        <v>292.2</v>
      </c>
      <c r="AB112" s="22">
        <v>2.6522929500342234E-2</v>
      </c>
      <c r="AC112" s="24">
        <v>0</v>
      </c>
      <c r="AD112" s="384">
        <v>0</v>
      </c>
    </row>
    <row r="113" spans="1:30">
      <c r="A113" s="21" t="s">
        <v>1032</v>
      </c>
      <c r="B113" s="21" t="s">
        <v>1042</v>
      </c>
      <c r="C113" s="23">
        <v>426</v>
      </c>
      <c r="D113" s="147">
        <v>0</v>
      </c>
      <c r="E113" s="22">
        <v>0</v>
      </c>
      <c r="F113" s="22">
        <v>0</v>
      </c>
      <c r="G113" s="22">
        <v>0</v>
      </c>
      <c r="H113" s="22">
        <v>0</v>
      </c>
      <c r="I113" s="22">
        <v>0</v>
      </c>
      <c r="J113" s="22">
        <v>0</v>
      </c>
      <c r="K113" s="22">
        <v>0</v>
      </c>
      <c r="L113" s="22">
        <v>0</v>
      </c>
      <c r="M113" s="388">
        <v>594</v>
      </c>
      <c r="N113" s="25">
        <v>0.65</v>
      </c>
      <c r="O113" s="24">
        <v>602</v>
      </c>
      <c r="P113" s="24">
        <v>151</v>
      </c>
      <c r="Q113" s="24">
        <v>151</v>
      </c>
      <c r="R113" s="22">
        <v>0</v>
      </c>
      <c r="S113" s="24">
        <v>26.75</v>
      </c>
      <c r="T113" s="24">
        <f t="shared" si="7"/>
        <v>177.75</v>
      </c>
      <c r="U113" s="376">
        <v>386.1</v>
      </c>
      <c r="V113" s="376">
        <v>29.7</v>
      </c>
      <c r="W113" s="22">
        <f t="shared" si="8"/>
        <v>250.96500000000003</v>
      </c>
      <c r="X113" s="22">
        <f t="shared" si="9"/>
        <v>23</v>
      </c>
      <c r="Y113" s="22">
        <v>23</v>
      </c>
      <c r="Z113" s="22">
        <v>0</v>
      </c>
      <c r="AA113" s="371">
        <v>597.79999999999995</v>
      </c>
      <c r="AB113" s="22">
        <v>3.8474406155904986E-2</v>
      </c>
      <c r="AC113" s="24">
        <v>0</v>
      </c>
      <c r="AD113" s="384">
        <v>0</v>
      </c>
    </row>
    <row r="114" spans="1:30">
      <c r="A114" s="21" t="s">
        <v>107</v>
      </c>
      <c r="B114" s="21" t="s">
        <v>108</v>
      </c>
      <c r="C114" s="23">
        <v>62</v>
      </c>
      <c r="D114" s="147">
        <v>0</v>
      </c>
      <c r="E114" s="22">
        <v>0</v>
      </c>
      <c r="F114" s="22">
        <v>0</v>
      </c>
      <c r="G114" s="22">
        <v>0</v>
      </c>
      <c r="H114" s="22">
        <v>5</v>
      </c>
      <c r="I114" s="22">
        <v>0.6</v>
      </c>
      <c r="J114" s="22">
        <v>0</v>
      </c>
      <c r="K114" s="22">
        <v>0</v>
      </c>
      <c r="L114" s="22">
        <v>0</v>
      </c>
      <c r="M114" s="388">
        <v>215.6</v>
      </c>
      <c r="N114" s="25">
        <v>0.82379999999999998</v>
      </c>
      <c r="O114" s="24">
        <v>231</v>
      </c>
      <c r="P114" s="24">
        <v>0</v>
      </c>
      <c r="Q114" s="24">
        <v>0</v>
      </c>
      <c r="R114" s="22">
        <v>0</v>
      </c>
      <c r="S114" s="24">
        <v>0</v>
      </c>
      <c r="T114" s="24">
        <f t="shared" si="7"/>
        <v>0</v>
      </c>
      <c r="U114" s="376">
        <v>177.61</v>
      </c>
      <c r="V114" s="376">
        <v>0</v>
      </c>
      <c r="W114" s="22">
        <f t="shared" si="8"/>
        <v>146.31511800000001</v>
      </c>
      <c r="X114" s="22">
        <f t="shared" si="9"/>
        <v>24.25</v>
      </c>
      <c r="Y114" s="22">
        <v>18.75</v>
      </c>
      <c r="Z114" s="22">
        <v>5.5</v>
      </c>
      <c r="AA114" s="371">
        <v>226.23</v>
      </c>
      <c r="AB114" s="22">
        <v>0.10719179595986386</v>
      </c>
      <c r="AC114" s="24">
        <v>0</v>
      </c>
      <c r="AD114" s="384">
        <v>0</v>
      </c>
    </row>
    <row r="115" spans="1:30">
      <c r="A115" s="21" t="s">
        <v>435</v>
      </c>
      <c r="B115" s="21" t="s">
        <v>436</v>
      </c>
      <c r="C115" s="23">
        <v>14</v>
      </c>
      <c r="D115" s="147">
        <v>0</v>
      </c>
      <c r="E115" s="22">
        <v>0</v>
      </c>
      <c r="F115" s="22">
        <v>0</v>
      </c>
      <c r="G115" s="22">
        <v>0</v>
      </c>
      <c r="H115" s="22">
        <v>0</v>
      </c>
      <c r="I115" s="22">
        <v>0</v>
      </c>
      <c r="J115" s="22">
        <v>0</v>
      </c>
      <c r="K115" s="22">
        <v>0</v>
      </c>
      <c r="L115" s="22">
        <v>0</v>
      </c>
      <c r="M115" s="388">
        <v>25</v>
      </c>
      <c r="N115" s="25">
        <v>0.5</v>
      </c>
      <c r="O115" s="24">
        <v>0</v>
      </c>
      <c r="P115" s="24">
        <v>0</v>
      </c>
      <c r="Q115" s="24">
        <v>0</v>
      </c>
      <c r="R115" s="22">
        <v>0</v>
      </c>
      <c r="S115" s="24">
        <v>0</v>
      </c>
      <c r="T115" s="24">
        <f t="shared" si="7"/>
        <v>0</v>
      </c>
      <c r="U115" s="376">
        <v>12.5</v>
      </c>
      <c r="V115" s="376">
        <v>0</v>
      </c>
      <c r="W115" s="22">
        <f t="shared" si="8"/>
        <v>6.25</v>
      </c>
      <c r="X115" s="22">
        <f t="shared" si="9"/>
        <v>4</v>
      </c>
      <c r="Y115" s="22">
        <v>3</v>
      </c>
      <c r="Z115" s="22">
        <v>1</v>
      </c>
      <c r="AA115" s="371">
        <v>23.68</v>
      </c>
      <c r="AB115" s="22">
        <v>0.16891891891891891</v>
      </c>
      <c r="AC115" s="24">
        <v>3.3918918918918906E-2</v>
      </c>
      <c r="AD115" s="384">
        <v>-8426.9606065148128</v>
      </c>
    </row>
    <row r="116" spans="1:30">
      <c r="A116" s="21" t="s">
        <v>211</v>
      </c>
      <c r="B116" s="21" t="s">
        <v>212</v>
      </c>
      <c r="C116" s="23">
        <v>5657</v>
      </c>
      <c r="D116" s="147">
        <v>100.48</v>
      </c>
      <c r="E116" s="22">
        <v>1053.8399999999999</v>
      </c>
      <c r="F116" s="22">
        <v>1154.32</v>
      </c>
      <c r="G116" s="22">
        <v>0</v>
      </c>
      <c r="H116" s="22">
        <v>571</v>
      </c>
      <c r="I116" s="22">
        <v>59.98</v>
      </c>
      <c r="J116" s="22">
        <v>8.34</v>
      </c>
      <c r="K116" s="22">
        <v>0</v>
      </c>
      <c r="L116" s="22">
        <v>0</v>
      </c>
      <c r="M116" s="388">
        <v>19409.32</v>
      </c>
      <c r="N116" s="25">
        <v>0.10150000000000001</v>
      </c>
      <c r="O116" s="24">
        <v>0</v>
      </c>
      <c r="P116" s="24">
        <v>1265.25</v>
      </c>
      <c r="Q116" s="24">
        <v>1025.75</v>
      </c>
      <c r="R116" s="22">
        <v>239.5</v>
      </c>
      <c r="S116" s="24">
        <v>657</v>
      </c>
      <c r="T116" s="24">
        <f t="shared" si="7"/>
        <v>1922.25</v>
      </c>
      <c r="U116" s="376">
        <v>1970.05</v>
      </c>
      <c r="V116" s="376">
        <v>970.47</v>
      </c>
      <c r="W116" s="22">
        <f t="shared" si="8"/>
        <v>199.96007500000002</v>
      </c>
      <c r="X116" s="22">
        <f t="shared" si="9"/>
        <v>1567.25</v>
      </c>
      <c r="Y116" s="22">
        <v>1022</v>
      </c>
      <c r="Z116" s="22">
        <v>545.25</v>
      </c>
      <c r="AA116" s="371">
        <v>19348.47</v>
      </c>
      <c r="AB116" s="22">
        <v>8.1001236790299178E-2</v>
      </c>
      <c r="AC116" s="24">
        <v>0</v>
      </c>
      <c r="AD116" s="384">
        <v>0</v>
      </c>
    </row>
    <row r="117" spans="1:30">
      <c r="A117" s="21" t="s">
        <v>117</v>
      </c>
      <c r="B117" s="21" t="s">
        <v>118</v>
      </c>
      <c r="C117" s="23">
        <v>12</v>
      </c>
      <c r="D117" s="147">
        <v>0</v>
      </c>
      <c r="E117" s="22">
        <v>3.68</v>
      </c>
      <c r="F117" s="22">
        <v>3.68</v>
      </c>
      <c r="G117" s="22">
        <v>0</v>
      </c>
      <c r="H117" s="22">
        <v>0</v>
      </c>
      <c r="I117" s="22">
        <v>0</v>
      </c>
      <c r="J117" s="22">
        <v>0</v>
      </c>
      <c r="K117" s="22">
        <v>0</v>
      </c>
      <c r="L117" s="22">
        <v>0</v>
      </c>
      <c r="M117" s="388">
        <v>36</v>
      </c>
      <c r="N117" s="25">
        <v>0.68179999999999996</v>
      </c>
      <c r="O117" s="24">
        <v>34</v>
      </c>
      <c r="P117" s="24">
        <v>0</v>
      </c>
      <c r="Q117" s="24">
        <v>0</v>
      </c>
      <c r="R117" s="22">
        <v>0</v>
      </c>
      <c r="S117" s="24">
        <v>1</v>
      </c>
      <c r="T117" s="24">
        <f t="shared" si="7"/>
        <v>1</v>
      </c>
      <c r="U117" s="376">
        <v>24.54</v>
      </c>
      <c r="V117" s="376">
        <v>0</v>
      </c>
      <c r="W117" s="22">
        <f t="shared" si="8"/>
        <v>16.731371999999997</v>
      </c>
      <c r="X117" s="22">
        <f t="shared" si="9"/>
        <v>4</v>
      </c>
      <c r="Y117" s="22">
        <v>4</v>
      </c>
      <c r="Z117" s="22">
        <v>0</v>
      </c>
      <c r="AA117" s="371">
        <v>36.4</v>
      </c>
      <c r="AB117" s="22">
        <v>0.10989010989010989</v>
      </c>
      <c r="AC117" s="24">
        <v>0</v>
      </c>
      <c r="AD117" s="384">
        <v>0</v>
      </c>
    </row>
    <row r="118" spans="1:30">
      <c r="A118" s="21" t="s">
        <v>83</v>
      </c>
      <c r="B118" s="21" t="s">
        <v>84</v>
      </c>
      <c r="C118" s="23">
        <v>311</v>
      </c>
      <c r="D118" s="147">
        <v>17.07</v>
      </c>
      <c r="E118" s="22">
        <v>37.68</v>
      </c>
      <c r="F118" s="22">
        <v>54.75</v>
      </c>
      <c r="G118" s="22">
        <v>0</v>
      </c>
      <c r="H118" s="22">
        <v>40</v>
      </c>
      <c r="I118" s="22">
        <v>1.45</v>
      </c>
      <c r="J118" s="22">
        <v>37.6</v>
      </c>
      <c r="K118" s="22">
        <v>0</v>
      </c>
      <c r="L118" s="22">
        <v>0</v>
      </c>
      <c r="M118" s="388">
        <v>1072.05</v>
      </c>
      <c r="N118" s="25">
        <v>0.32329999999999998</v>
      </c>
      <c r="O118" s="24">
        <v>0</v>
      </c>
      <c r="P118" s="24">
        <v>28.75</v>
      </c>
      <c r="Q118" s="24">
        <v>20.75</v>
      </c>
      <c r="R118" s="22">
        <v>8</v>
      </c>
      <c r="S118" s="24">
        <v>2</v>
      </c>
      <c r="T118" s="24">
        <f t="shared" si="7"/>
        <v>30.75</v>
      </c>
      <c r="U118" s="376">
        <v>346.59</v>
      </c>
      <c r="V118" s="376">
        <v>0</v>
      </c>
      <c r="W118" s="22">
        <f t="shared" si="8"/>
        <v>112.05254699999999</v>
      </c>
      <c r="X118" s="22">
        <f t="shared" si="9"/>
        <v>183</v>
      </c>
      <c r="Y118" s="22">
        <v>127.25</v>
      </c>
      <c r="Z118" s="22">
        <v>55.75</v>
      </c>
      <c r="AA118" s="371">
        <v>1043.6099999999999</v>
      </c>
      <c r="AB118" s="22">
        <v>0.17535286170121023</v>
      </c>
      <c r="AC118" s="24">
        <v>4.0352861701210219E-2</v>
      </c>
      <c r="AD118" s="384">
        <v>-381309.5301870422</v>
      </c>
    </row>
    <row r="119" spans="1:30">
      <c r="A119" s="21" t="s">
        <v>101</v>
      </c>
      <c r="B119" s="21" t="s">
        <v>102</v>
      </c>
      <c r="C119" s="23">
        <v>20</v>
      </c>
      <c r="D119" s="147">
        <v>0</v>
      </c>
      <c r="E119" s="22">
        <v>0</v>
      </c>
      <c r="F119" s="22">
        <v>0</v>
      </c>
      <c r="G119" s="22">
        <v>0</v>
      </c>
      <c r="H119" s="22">
        <v>0</v>
      </c>
      <c r="I119" s="22">
        <v>0</v>
      </c>
      <c r="J119" s="22">
        <v>0</v>
      </c>
      <c r="K119" s="22">
        <v>0</v>
      </c>
      <c r="L119" s="22">
        <v>0</v>
      </c>
      <c r="M119" s="388">
        <v>30</v>
      </c>
      <c r="N119" s="25">
        <v>0.93940000000000001</v>
      </c>
      <c r="O119" s="24">
        <v>33</v>
      </c>
      <c r="P119" s="24">
        <v>0</v>
      </c>
      <c r="Q119" s="24">
        <v>0</v>
      </c>
      <c r="R119" s="22">
        <v>0</v>
      </c>
      <c r="S119" s="24">
        <v>0</v>
      </c>
      <c r="T119" s="24">
        <f t="shared" si="7"/>
        <v>0</v>
      </c>
      <c r="U119" s="376">
        <v>28.18</v>
      </c>
      <c r="V119" s="376">
        <v>0</v>
      </c>
      <c r="W119" s="22">
        <f t="shared" si="8"/>
        <v>26.472291999999999</v>
      </c>
      <c r="X119" s="22">
        <f t="shared" si="9"/>
        <v>3.5</v>
      </c>
      <c r="Y119" s="22">
        <v>3.5</v>
      </c>
      <c r="Z119" s="22">
        <v>0</v>
      </c>
      <c r="AA119" s="371">
        <v>33.4</v>
      </c>
      <c r="AB119" s="22">
        <v>0.10479041916167665</v>
      </c>
      <c r="AC119" s="24">
        <v>0</v>
      </c>
      <c r="AD119" s="384">
        <v>0</v>
      </c>
    </row>
    <row r="120" spans="1:30">
      <c r="A120" s="21" t="s">
        <v>87</v>
      </c>
      <c r="B120" s="21" t="s">
        <v>88</v>
      </c>
      <c r="C120" s="23">
        <v>1266</v>
      </c>
      <c r="D120" s="147">
        <v>63.76</v>
      </c>
      <c r="E120" s="22">
        <v>357.56</v>
      </c>
      <c r="F120" s="22">
        <v>421.32</v>
      </c>
      <c r="G120" s="22">
        <v>0</v>
      </c>
      <c r="H120" s="22">
        <v>106</v>
      </c>
      <c r="I120" s="22">
        <v>8.16</v>
      </c>
      <c r="J120" s="22">
        <v>234.93</v>
      </c>
      <c r="K120" s="22">
        <v>15.24</v>
      </c>
      <c r="L120" s="22">
        <v>1.22</v>
      </c>
      <c r="M120" s="388">
        <v>4512.55</v>
      </c>
      <c r="N120" s="25">
        <v>0.61299999999999999</v>
      </c>
      <c r="O120" s="24">
        <v>4531</v>
      </c>
      <c r="P120" s="24">
        <v>305.75</v>
      </c>
      <c r="Q120" s="24">
        <v>195.5</v>
      </c>
      <c r="R120" s="22">
        <v>110.25</v>
      </c>
      <c r="S120" s="24">
        <v>23.5</v>
      </c>
      <c r="T120" s="24">
        <f t="shared" si="7"/>
        <v>329.25</v>
      </c>
      <c r="U120" s="376">
        <v>2766.64</v>
      </c>
      <c r="V120" s="376">
        <v>225.63</v>
      </c>
      <c r="W120" s="22">
        <f t="shared" si="8"/>
        <v>1695.9503199999999</v>
      </c>
      <c r="X120" s="22">
        <f t="shared" si="9"/>
        <v>682.25</v>
      </c>
      <c r="Y120" s="22">
        <v>354.5</v>
      </c>
      <c r="Z120" s="22">
        <v>327.75</v>
      </c>
      <c r="AA120" s="371">
        <v>4781.29</v>
      </c>
      <c r="AB120" s="22">
        <v>0.14269161669758579</v>
      </c>
      <c r="AC120" s="24">
        <v>7.6916166975857791E-3</v>
      </c>
      <c r="AD120" s="384">
        <v>-331418.14390130475</v>
      </c>
    </row>
    <row r="121" spans="1:30">
      <c r="A121" s="21" t="s">
        <v>17</v>
      </c>
      <c r="B121" s="21" t="s">
        <v>18</v>
      </c>
      <c r="C121" s="23">
        <v>5422</v>
      </c>
      <c r="D121" s="147">
        <v>161.62</v>
      </c>
      <c r="E121" s="22">
        <v>961.01</v>
      </c>
      <c r="F121" s="22">
        <v>1122.6300000000001</v>
      </c>
      <c r="G121" s="22">
        <v>437.59</v>
      </c>
      <c r="H121" s="22">
        <v>370</v>
      </c>
      <c r="I121" s="22">
        <v>13.25</v>
      </c>
      <c r="J121" s="22">
        <v>791.23</v>
      </c>
      <c r="K121" s="22">
        <v>28.6</v>
      </c>
      <c r="L121" s="22">
        <v>0</v>
      </c>
      <c r="M121" s="388">
        <v>18780.079999999998</v>
      </c>
      <c r="N121" s="25">
        <v>0.58799999999999997</v>
      </c>
      <c r="O121" s="24">
        <v>12661</v>
      </c>
      <c r="P121" s="24">
        <v>2584.25</v>
      </c>
      <c r="Q121" s="24">
        <v>1687.75</v>
      </c>
      <c r="R121" s="22">
        <v>896.5</v>
      </c>
      <c r="S121" s="24">
        <v>492</v>
      </c>
      <c r="T121" s="24">
        <f t="shared" si="7"/>
        <v>3076.25</v>
      </c>
      <c r="U121" s="376">
        <v>11042.69</v>
      </c>
      <c r="V121" s="376">
        <v>939</v>
      </c>
      <c r="W121" s="22">
        <f t="shared" si="8"/>
        <v>6493.1017199999997</v>
      </c>
      <c r="X121" s="22">
        <f t="shared" si="9"/>
        <v>2171.75</v>
      </c>
      <c r="Y121" s="22">
        <v>1055</v>
      </c>
      <c r="Z121" s="22">
        <v>1116.75</v>
      </c>
      <c r="AA121" s="371">
        <v>18041.61</v>
      </c>
      <c r="AB121" s="22">
        <v>0.12037451203079991</v>
      </c>
      <c r="AC121" s="24">
        <v>0</v>
      </c>
      <c r="AD121" s="384">
        <v>0</v>
      </c>
    </row>
    <row r="122" spans="1:30">
      <c r="A122" s="21" t="s">
        <v>217</v>
      </c>
      <c r="B122" s="21" t="s">
        <v>218</v>
      </c>
      <c r="C122" s="23">
        <v>7518</v>
      </c>
      <c r="D122" s="147">
        <v>189.54</v>
      </c>
      <c r="E122" s="22">
        <v>1439.41</v>
      </c>
      <c r="F122" s="22">
        <v>1628.95</v>
      </c>
      <c r="G122" s="22">
        <v>0</v>
      </c>
      <c r="H122" s="22">
        <v>1020</v>
      </c>
      <c r="I122" s="22">
        <v>52.82</v>
      </c>
      <c r="J122" s="22">
        <v>52.16</v>
      </c>
      <c r="K122" s="22">
        <v>187.09</v>
      </c>
      <c r="L122" s="22">
        <v>6.68</v>
      </c>
      <c r="M122" s="388">
        <v>27434.75</v>
      </c>
      <c r="N122" s="25">
        <v>0.52290000000000003</v>
      </c>
      <c r="O122" s="24">
        <v>11515</v>
      </c>
      <c r="P122" s="24">
        <v>5805.75</v>
      </c>
      <c r="Q122" s="24">
        <v>3871.75</v>
      </c>
      <c r="R122" s="22">
        <v>1934</v>
      </c>
      <c r="S122" s="24">
        <v>734.5</v>
      </c>
      <c r="T122" s="24">
        <f t="shared" si="7"/>
        <v>6540.25</v>
      </c>
      <c r="U122" s="376">
        <v>14298.99</v>
      </c>
      <c r="V122" s="376">
        <v>1371.74</v>
      </c>
      <c r="W122" s="22">
        <f t="shared" si="8"/>
        <v>7476.941871</v>
      </c>
      <c r="X122" s="22">
        <f t="shared" si="9"/>
        <v>2656.5</v>
      </c>
      <c r="Y122" s="22">
        <v>1480.75</v>
      </c>
      <c r="Z122" s="22">
        <v>1175.75</v>
      </c>
      <c r="AA122" s="371">
        <v>24742.76</v>
      </c>
      <c r="AB122" s="22">
        <v>0.10736474023108175</v>
      </c>
      <c r="AC122" s="24">
        <v>0</v>
      </c>
      <c r="AD122" s="384">
        <v>0</v>
      </c>
    </row>
    <row r="123" spans="1:30">
      <c r="A123" s="21" t="s">
        <v>505</v>
      </c>
      <c r="B123" s="21" t="s">
        <v>506</v>
      </c>
      <c r="C123" s="23">
        <v>228</v>
      </c>
      <c r="D123" s="147">
        <v>0</v>
      </c>
      <c r="E123" s="22">
        <v>55.25</v>
      </c>
      <c r="F123" s="22">
        <v>55.25</v>
      </c>
      <c r="G123" s="22">
        <v>0</v>
      </c>
      <c r="H123" s="22">
        <v>21</v>
      </c>
      <c r="I123" s="22">
        <v>1.4</v>
      </c>
      <c r="J123" s="22">
        <v>327.06</v>
      </c>
      <c r="K123" s="22">
        <v>0</v>
      </c>
      <c r="L123" s="22">
        <v>0</v>
      </c>
      <c r="M123" s="388">
        <v>1077.46</v>
      </c>
      <c r="N123" s="25">
        <v>0.53800000000000003</v>
      </c>
      <c r="O123" s="24">
        <v>726</v>
      </c>
      <c r="P123" s="24">
        <v>3</v>
      </c>
      <c r="Q123" s="24">
        <v>0</v>
      </c>
      <c r="R123" s="22">
        <v>3</v>
      </c>
      <c r="S123" s="24">
        <v>0</v>
      </c>
      <c r="T123" s="24">
        <f t="shared" si="7"/>
        <v>3</v>
      </c>
      <c r="U123" s="376">
        <v>527.74</v>
      </c>
      <c r="V123" s="376">
        <v>53.87</v>
      </c>
      <c r="W123" s="22">
        <f t="shared" si="8"/>
        <v>283.92412000000002</v>
      </c>
      <c r="X123" s="22">
        <f t="shared" si="9"/>
        <v>138.5</v>
      </c>
      <c r="Y123" s="22">
        <v>115.75</v>
      </c>
      <c r="Z123" s="22">
        <v>22.75</v>
      </c>
      <c r="AA123" s="371">
        <v>1051.67</v>
      </c>
      <c r="AB123" s="22">
        <v>0.13169530365989329</v>
      </c>
      <c r="AC123" s="24">
        <v>0</v>
      </c>
      <c r="AD123" s="384">
        <v>0</v>
      </c>
    </row>
    <row r="124" spans="1:30">
      <c r="A124" s="21" t="s">
        <v>21</v>
      </c>
      <c r="B124" s="21" t="s">
        <v>22</v>
      </c>
      <c r="C124" s="23">
        <v>375</v>
      </c>
      <c r="D124" s="147">
        <v>0</v>
      </c>
      <c r="E124" s="22">
        <v>85.13</v>
      </c>
      <c r="F124" s="22">
        <v>85.13</v>
      </c>
      <c r="G124" s="22">
        <v>0</v>
      </c>
      <c r="H124" s="22">
        <v>28</v>
      </c>
      <c r="I124" s="22">
        <v>0.3</v>
      </c>
      <c r="J124" s="22">
        <v>0</v>
      </c>
      <c r="K124" s="22">
        <v>2.8</v>
      </c>
      <c r="L124" s="22">
        <v>0</v>
      </c>
      <c r="M124" s="388">
        <v>1327.1</v>
      </c>
      <c r="N124" s="25">
        <v>0.70530000000000004</v>
      </c>
      <c r="O124" s="24">
        <v>1390</v>
      </c>
      <c r="P124" s="24">
        <v>343.5</v>
      </c>
      <c r="Q124" s="24">
        <v>219.5</v>
      </c>
      <c r="R124" s="22">
        <v>124</v>
      </c>
      <c r="S124" s="24">
        <v>68</v>
      </c>
      <c r="T124" s="24">
        <f t="shared" si="7"/>
        <v>411.5</v>
      </c>
      <c r="U124" s="376">
        <v>936</v>
      </c>
      <c r="V124" s="376">
        <v>66.36</v>
      </c>
      <c r="W124" s="22">
        <f t="shared" si="8"/>
        <v>660.16079999999999</v>
      </c>
      <c r="X124" s="22">
        <f t="shared" si="9"/>
        <v>177.5</v>
      </c>
      <c r="Y124" s="22">
        <v>129.75</v>
      </c>
      <c r="Z124" s="22">
        <v>47.75</v>
      </c>
      <c r="AA124" s="371">
        <v>1414.66</v>
      </c>
      <c r="AB124" s="22">
        <v>0.12547184482490492</v>
      </c>
      <c r="AC124" s="24">
        <v>0</v>
      </c>
      <c r="AD124" s="384">
        <v>0</v>
      </c>
    </row>
    <row r="125" spans="1:30">
      <c r="A125" s="21" t="s">
        <v>247</v>
      </c>
      <c r="B125" s="21" t="s">
        <v>248</v>
      </c>
      <c r="C125" s="23">
        <v>147</v>
      </c>
      <c r="D125" s="147">
        <v>14.66</v>
      </c>
      <c r="E125" s="22">
        <v>40.69</v>
      </c>
      <c r="F125" s="22">
        <v>55.349999999999994</v>
      </c>
      <c r="G125" s="22">
        <v>0</v>
      </c>
      <c r="H125" s="22">
        <v>15</v>
      </c>
      <c r="I125" s="22">
        <v>0</v>
      </c>
      <c r="J125" s="22">
        <v>0</v>
      </c>
      <c r="K125" s="22">
        <v>0</v>
      </c>
      <c r="L125" s="22">
        <v>0</v>
      </c>
      <c r="M125" s="388">
        <v>566</v>
      </c>
      <c r="N125" s="25">
        <v>0.47520000000000001</v>
      </c>
      <c r="O125" s="24">
        <v>0</v>
      </c>
      <c r="P125" s="24">
        <v>32.25</v>
      </c>
      <c r="Q125" s="24">
        <v>13</v>
      </c>
      <c r="R125" s="22">
        <v>19.25</v>
      </c>
      <c r="S125" s="24">
        <v>5.75</v>
      </c>
      <c r="T125" s="24">
        <f t="shared" si="7"/>
        <v>38</v>
      </c>
      <c r="U125" s="376">
        <v>268.95999999999998</v>
      </c>
      <c r="V125" s="376">
        <v>0</v>
      </c>
      <c r="W125" s="22">
        <f t="shared" si="8"/>
        <v>127.80979199999999</v>
      </c>
      <c r="X125" s="22">
        <f t="shared" si="9"/>
        <v>82.75</v>
      </c>
      <c r="Y125" s="22">
        <v>61</v>
      </c>
      <c r="Z125" s="22">
        <v>21.75</v>
      </c>
      <c r="AA125" s="371">
        <v>578.49</v>
      </c>
      <c r="AB125" s="22">
        <v>0.14304482359245621</v>
      </c>
      <c r="AC125" s="24">
        <v>8.0448235924562017E-3</v>
      </c>
      <c r="AD125" s="384">
        <v>-41816.232767014735</v>
      </c>
    </row>
    <row r="126" spans="1:30">
      <c r="A126" s="21" t="s">
        <v>261</v>
      </c>
      <c r="B126" s="21" t="s">
        <v>262</v>
      </c>
      <c r="C126" s="23">
        <v>22</v>
      </c>
      <c r="D126" s="147">
        <v>0</v>
      </c>
      <c r="E126" s="22">
        <v>0</v>
      </c>
      <c r="F126" s="22">
        <v>0</v>
      </c>
      <c r="G126" s="22">
        <v>0</v>
      </c>
      <c r="H126" s="22">
        <v>2</v>
      </c>
      <c r="I126" s="22">
        <v>0</v>
      </c>
      <c r="J126" s="22">
        <v>0</v>
      </c>
      <c r="K126" s="22">
        <v>0</v>
      </c>
      <c r="L126" s="22">
        <v>0</v>
      </c>
      <c r="M126" s="388">
        <v>76</v>
      </c>
      <c r="N126" s="25">
        <v>0.51759999999999995</v>
      </c>
      <c r="O126" s="24">
        <v>91</v>
      </c>
      <c r="P126" s="24">
        <v>0</v>
      </c>
      <c r="Q126" s="24">
        <v>0</v>
      </c>
      <c r="R126" s="22">
        <v>0</v>
      </c>
      <c r="S126" s="24">
        <v>0</v>
      </c>
      <c r="T126" s="24">
        <f t="shared" si="7"/>
        <v>0</v>
      </c>
      <c r="U126" s="376">
        <v>39.340000000000003</v>
      </c>
      <c r="V126" s="376">
        <v>3.8</v>
      </c>
      <c r="W126" s="22">
        <f t="shared" si="8"/>
        <v>20.362383999999999</v>
      </c>
      <c r="X126" s="22">
        <f t="shared" si="9"/>
        <v>9.5</v>
      </c>
      <c r="Y126" s="22">
        <v>9.25</v>
      </c>
      <c r="Z126" s="22">
        <v>0.25</v>
      </c>
      <c r="AA126" s="371">
        <v>92.7</v>
      </c>
      <c r="AB126" s="22">
        <v>0.10248112189859762</v>
      </c>
      <c r="AC126" s="24">
        <v>0</v>
      </c>
      <c r="AD126" s="384">
        <v>0</v>
      </c>
    </row>
    <row r="127" spans="1:30">
      <c r="A127" s="21" t="s">
        <v>59</v>
      </c>
      <c r="B127" s="21" t="s">
        <v>60</v>
      </c>
      <c r="C127" s="23">
        <v>447</v>
      </c>
      <c r="D127" s="147">
        <v>0</v>
      </c>
      <c r="E127" s="22">
        <v>44.81</v>
      </c>
      <c r="F127" s="22">
        <v>44.81</v>
      </c>
      <c r="G127" s="22">
        <v>0</v>
      </c>
      <c r="H127" s="22">
        <v>42</v>
      </c>
      <c r="I127" s="22">
        <v>1.4</v>
      </c>
      <c r="J127" s="22">
        <v>85.94</v>
      </c>
      <c r="K127" s="22">
        <v>3</v>
      </c>
      <c r="L127" s="22">
        <v>0</v>
      </c>
      <c r="M127" s="388">
        <v>1686.3400000000001</v>
      </c>
      <c r="N127" s="25">
        <v>0.25490000000000002</v>
      </c>
      <c r="O127" s="24">
        <v>0</v>
      </c>
      <c r="P127" s="24">
        <v>43.25</v>
      </c>
      <c r="Q127" s="24">
        <v>26.5</v>
      </c>
      <c r="R127" s="22">
        <v>16.75</v>
      </c>
      <c r="S127" s="24">
        <v>4.25</v>
      </c>
      <c r="T127" s="24">
        <f t="shared" si="7"/>
        <v>47.5</v>
      </c>
      <c r="U127" s="376">
        <v>429.85</v>
      </c>
      <c r="V127" s="376">
        <v>84.32</v>
      </c>
      <c r="W127" s="22">
        <f t="shared" si="8"/>
        <v>109.56876500000001</v>
      </c>
      <c r="X127" s="22">
        <f t="shared" si="9"/>
        <v>221.25</v>
      </c>
      <c r="Y127" s="22">
        <v>108.5</v>
      </c>
      <c r="Z127" s="22">
        <v>112.75</v>
      </c>
      <c r="AA127" s="371">
        <v>1702.47</v>
      </c>
      <c r="AB127" s="22">
        <v>0.12995823714955329</v>
      </c>
      <c r="AC127" s="24">
        <v>0</v>
      </c>
      <c r="AD127" s="384">
        <v>0</v>
      </c>
    </row>
    <row r="128" spans="1:30">
      <c r="A128" s="21" t="s">
        <v>409</v>
      </c>
      <c r="B128" s="21" t="s">
        <v>410</v>
      </c>
      <c r="C128" s="23">
        <v>164</v>
      </c>
      <c r="D128" s="147">
        <v>0</v>
      </c>
      <c r="E128" s="22">
        <v>15.18</v>
      </c>
      <c r="F128" s="22">
        <v>15.18</v>
      </c>
      <c r="G128" s="22">
        <v>0</v>
      </c>
      <c r="H128" s="22">
        <v>20</v>
      </c>
      <c r="I128" s="22">
        <v>1.27</v>
      </c>
      <c r="J128" s="22">
        <v>0</v>
      </c>
      <c r="K128" s="22">
        <v>0.8</v>
      </c>
      <c r="L128" s="22">
        <v>0</v>
      </c>
      <c r="M128" s="388">
        <v>587.06999999999994</v>
      </c>
      <c r="N128" s="25">
        <v>0.58089999999999997</v>
      </c>
      <c r="O128" s="24">
        <v>580</v>
      </c>
      <c r="P128" s="24">
        <v>11</v>
      </c>
      <c r="Q128" s="24">
        <v>4.25</v>
      </c>
      <c r="R128" s="22">
        <v>6.75</v>
      </c>
      <c r="S128" s="24">
        <v>1</v>
      </c>
      <c r="T128" s="24">
        <f t="shared" si="7"/>
        <v>12</v>
      </c>
      <c r="U128" s="376">
        <v>341.03</v>
      </c>
      <c r="V128" s="376">
        <v>29.35</v>
      </c>
      <c r="W128" s="22">
        <f t="shared" si="8"/>
        <v>198.10432699999998</v>
      </c>
      <c r="X128" s="22">
        <f t="shared" si="9"/>
        <v>86.5</v>
      </c>
      <c r="Y128" s="22">
        <v>74.25</v>
      </c>
      <c r="Z128" s="22">
        <v>12.25</v>
      </c>
      <c r="AA128" s="371">
        <v>590.12</v>
      </c>
      <c r="AB128" s="22">
        <v>0.14658035653765336</v>
      </c>
      <c r="AC128" s="24">
        <v>1.1580356537653352E-2</v>
      </c>
      <c r="AD128" s="384">
        <v>-68594.182279141256</v>
      </c>
    </row>
    <row r="129" spans="1:30">
      <c r="A129" s="21" t="s">
        <v>555</v>
      </c>
      <c r="B129" s="21" t="s">
        <v>556</v>
      </c>
      <c r="C129" s="23">
        <v>24</v>
      </c>
      <c r="D129" s="147">
        <v>0</v>
      </c>
      <c r="E129" s="22">
        <v>3.74</v>
      </c>
      <c r="F129" s="22">
        <v>3.74</v>
      </c>
      <c r="G129" s="22">
        <v>0</v>
      </c>
      <c r="H129" s="22">
        <v>0</v>
      </c>
      <c r="I129" s="22">
        <v>0</v>
      </c>
      <c r="J129" s="22">
        <v>0</v>
      </c>
      <c r="K129" s="22">
        <v>0</v>
      </c>
      <c r="L129" s="22">
        <v>0</v>
      </c>
      <c r="M129" s="388">
        <v>73</v>
      </c>
      <c r="N129" s="25">
        <v>0.42470000000000002</v>
      </c>
      <c r="O129" s="24">
        <v>0</v>
      </c>
      <c r="P129" s="24">
        <v>0</v>
      </c>
      <c r="Q129" s="24">
        <v>0</v>
      </c>
      <c r="R129" s="22">
        <v>0</v>
      </c>
      <c r="S129" s="24">
        <v>0</v>
      </c>
      <c r="T129" s="24">
        <f t="shared" si="7"/>
        <v>0</v>
      </c>
      <c r="U129" s="376">
        <v>31</v>
      </c>
      <c r="V129" s="376">
        <v>3.65</v>
      </c>
      <c r="W129" s="22">
        <f t="shared" si="8"/>
        <v>13.165700000000001</v>
      </c>
      <c r="X129" s="22">
        <f t="shared" si="9"/>
        <v>10.5</v>
      </c>
      <c r="Y129" s="22">
        <v>8.5</v>
      </c>
      <c r="Z129" s="22">
        <v>2</v>
      </c>
      <c r="AA129" s="371">
        <v>79.400000000000006</v>
      </c>
      <c r="AB129" s="22">
        <v>0.13224181360201509</v>
      </c>
      <c r="AC129" s="24">
        <v>0</v>
      </c>
      <c r="AD129" s="384">
        <v>0</v>
      </c>
    </row>
    <row r="130" spans="1:30">
      <c r="A130" s="21" t="s">
        <v>35</v>
      </c>
      <c r="B130" s="21" t="s">
        <v>36</v>
      </c>
      <c r="C130" s="23">
        <v>315</v>
      </c>
      <c r="D130" s="147">
        <v>0</v>
      </c>
      <c r="E130" s="22">
        <v>101.2</v>
      </c>
      <c r="F130" s="22">
        <v>101.2</v>
      </c>
      <c r="G130" s="22">
        <v>0</v>
      </c>
      <c r="H130" s="22">
        <v>30</v>
      </c>
      <c r="I130" s="22">
        <v>0.05</v>
      </c>
      <c r="J130" s="22">
        <v>6.3999999999999995</v>
      </c>
      <c r="K130" s="22">
        <v>0</v>
      </c>
      <c r="L130" s="22">
        <v>0</v>
      </c>
      <c r="M130" s="388">
        <v>1242.45</v>
      </c>
      <c r="N130" s="25">
        <v>0.61150000000000004</v>
      </c>
      <c r="O130" s="24">
        <v>1252</v>
      </c>
      <c r="P130" s="24">
        <v>358</v>
      </c>
      <c r="Q130" s="24">
        <v>230.25</v>
      </c>
      <c r="R130" s="22">
        <v>127.75</v>
      </c>
      <c r="S130" s="24">
        <v>33</v>
      </c>
      <c r="T130" s="24">
        <f t="shared" si="7"/>
        <v>391</v>
      </c>
      <c r="U130" s="376">
        <v>759.76</v>
      </c>
      <c r="V130" s="376">
        <v>62.12</v>
      </c>
      <c r="W130" s="22">
        <f t="shared" si="8"/>
        <v>464.59324000000004</v>
      </c>
      <c r="X130" s="22">
        <f t="shared" si="9"/>
        <v>128</v>
      </c>
      <c r="Y130" s="22">
        <v>108.25</v>
      </c>
      <c r="Z130" s="22">
        <v>19.75</v>
      </c>
      <c r="AA130" s="371">
        <v>1255.95</v>
      </c>
      <c r="AB130" s="22">
        <v>0.1019148851467017</v>
      </c>
      <c r="AC130" s="24">
        <v>0</v>
      </c>
      <c r="AD130" s="384">
        <v>0</v>
      </c>
    </row>
    <row r="131" spans="1:30">
      <c r="A131" s="21" t="s">
        <v>155</v>
      </c>
      <c r="B131" s="21" t="s">
        <v>156</v>
      </c>
      <c r="C131" s="23">
        <v>51</v>
      </c>
      <c r="D131" s="147">
        <v>0</v>
      </c>
      <c r="E131" s="22">
        <v>5</v>
      </c>
      <c r="F131" s="22">
        <v>5</v>
      </c>
      <c r="G131" s="22">
        <v>0</v>
      </c>
      <c r="H131" s="22">
        <v>4</v>
      </c>
      <c r="I131" s="22">
        <v>1.08</v>
      </c>
      <c r="J131" s="22">
        <v>0</v>
      </c>
      <c r="K131" s="22">
        <v>0</v>
      </c>
      <c r="L131" s="22">
        <v>0</v>
      </c>
      <c r="M131" s="388">
        <v>184.08</v>
      </c>
      <c r="N131" s="25">
        <v>1</v>
      </c>
      <c r="O131" s="24">
        <v>173</v>
      </c>
      <c r="P131" s="24">
        <v>48</v>
      </c>
      <c r="Q131" s="24">
        <v>27</v>
      </c>
      <c r="R131" s="22">
        <v>21</v>
      </c>
      <c r="S131" s="24">
        <v>3</v>
      </c>
      <c r="T131" s="24">
        <f t="shared" si="7"/>
        <v>51</v>
      </c>
      <c r="U131" s="376">
        <v>184.08</v>
      </c>
      <c r="V131" s="376">
        <v>0</v>
      </c>
      <c r="W131" s="22">
        <f t="shared" si="8"/>
        <v>184.08</v>
      </c>
      <c r="X131" s="22">
        <f t="shared" si="9"/>
        <v>32.5</v>
      </c>
      <c r="Y131" s="22">
        <v>17</v>
      </c>
      <c r="Z131" s="22">
        <v>15.5</v>
      </c>
      <c r="AA131" s="371">
        <v>174.77</v>
      </c>
      <c r="AB131" s="22">
        <v>0.1859586885621102</v>
      </c>
      <c r="AC131" s="24">
        <v>5.0958688562110194E-2</v>
      </c>
      <c r="AD131" s="384">
        <v>-80138.198543913095</v>
      </c>
    </row>
    <row r="132" spans="1:30">
      <c r="A132" s="21" t="s">
        <v>425</v>
      </c>
      <c r="B132" s="21" t="s">
        <v>426</v>
      </c>
      <c r="C132" s="23">
        <v>2571</v>
      </c>
      <c r="D132" s="147">
        <v>132.18</v>
      </c>
      <c r="E132" s="22">
        <v>482.6</v>
      </c>
      <c r="F132" s="22">
        <v>614.78</v>
      </c>
      <c r="G132" s="22">
        <v>0</v>
      </c>
      <c r="H132" s="22">
        <v>173</v>
      </c>
      <c r="I132" s="22">
        <v>8.15</v>
      </c>
      <c r="J132" s="22">
        <v>70.739999999999995</v>
      </c>
      <c r="K132" s="22">
        <v>0</v>
      </c>
      <c r="L132" s="22">
        <v>0</v>
      </c>
      <c r="M132" s="388">
        <v>9014.89</v>
      </c>
      <c r="N132" s="25">
        <v>0.25</v>
      </c>
      <c r="O132" s="24">
        <v>0</v>
      </c>
      <c r="P132" s="24">
        <v>589.75</v>
      </c>
      <c r="Q132" s="24">
        <v>446</v>
      </c>
      <c r="R132" s="22">
        <v>143.75</v>
      </c>
      <c r="S132" s="24">
        <v>148.75</v>
      </c>
      <c r="T132" s="24">
        <f t="shared" si="7"/>
        <v>738.5</v>
      </c>
      <c r="U132" s="376">
        <v>2253.7199999999998</v>
      </c>
      <c r="V132" s="376">
        <v>450.74</v>
      </c>
      <c r="W132" s="22">
        <f t="shared" si="8"/>
        <v>563.42999999999995</v>
      </c>
      <c r="X132" s="22">
        <f t="shared" si="9"/>
        <v>1274</v>
      </c>
      <c r="Y132" s="22">
        <v>707.75</v>
      </c>
      <c r="Z132" s="22">
        <v>566.25</v>
      </c>
      <c r="AA132" s="371">
        <v>9346.59</v>
      </c>
      <c r="AB132" s="22">
        <v>0.13630639623648838</v>
      </c>
      <c r="AC132" s="24">
        <v>1.3063962364883719E-3</v>
      </c>
      <c r="AD132" s="384">
        <v>-124344.74962785523</v>
      </c>
    </row>
    <row r="133" spans="1:30">
      <c r="A133" s="21" t="s">
        <v>215</v>
      </c>
      <c r="B133" s="21" t="s">
        <v>216</v>
      </c>
      <c r="C133" s="23">
        <v>9335</v>
      </c>
      <c r="D133" s="147">
        <v>317.70999999999998</v>
      </c>
      <c r="E133" s="22">
        <v>1625.12</v>
      </c>
      <c r="F133" s="22">
        <v>1942.83</v>
      </c>
      <c r="G133" s="22">
        <v>312.97000000000003</v>
      </c>
      <c r="H133" s="22">
        <v>610</v>
      </c>
      <c r="I133" s="22">
        <v>41.71</v>
      </c>
      <c r="J133" s="22">
        <v>290.98</v>
      </c>
      <c r="K133" s="22">
        <v>0</v>
      </c>
      <c r="L133" s="22">
        <v>0</v>
      </c>
      <c r="M133" s="388">
        <v>31309.69</v>
      </c>
      <c r="N133" s="25">
        <v>0.10920000000000001</v>
      </c>
      <c r="O133" s="24">
        <v>0</v>
      </c>
      <c r="P133" s="24">
        <v>3466</v>
      </c>
      <c r="Q133" s="24">
        <v>2776.5</v>
      </c>
      <c r="R133" s="22">
        <v>689.5</v>
      </c>
      <c r="S133" s="24">
        <v>1325.5</v>
      </c>
      <c r="T133" s="24">
        <f t="shared" si="7"/>
        <v>4791.5</v>
      </c>
      <c r="U133" s="376">
        <v>3419.02</v>
      </c>
      <c r="V133" s="376">
        <v>1565.48</v>
      </c>
      <c r="W133" s="22">
        <f t="shared" si="8"/>
        <v>373.35698400000001</v>
      </c>
      <c r="X133" s="22">
        <f t="shared" si="9"/>
        <v>2745</v>
      </c>
      <c r="Y133" s="22">
        <v>1818.75</v>
      </c>
      <c r="Z133" s="22">
        <v>926.25</v>
      </c>
      <c r="AA133" s="371">
        <v>30482.65</v>
      </c>
      <c r="AB133" s="22">
        <v>9.0051225861268624E-2</v>
      </c>
      <c r="AC133" s="24">
        <v>0</v>
      </c>
      <c r="AD133" s="384">
        <v>0</v>
      </c>
    </row>
    <row r="134" spans="1:30">
      <c r="A134" s="21" t="s">
        <v>441</v>
      </c>
      <c r="B134" s="21" t="s">
        <v>442</v>
      </c>
      <c r="C134" s="23">
        <v>699</v>
      </c>
      <c r="D134" s="147">
        <v>18.41</v>
      </c>
      <c r="E134" s="22">
        <v>103.32</v>
      </c>
      <c r="F134" s="22">
        <v>121.72999999999999</v>
      </c>
      <c r="G134" s="22">
        <v>0</v>
      </c>
      <c r="H134" s="22">
        <v>38</v>
      </c>
      <c r="I134" s="22">
        <v>1.61</v>
      </c>
      <c r="J134" s="22">
        <v>79.430000000000007</v>
      </c>
      <c r="K134" s="22">
        <v>0</v>
      </c>
      <c r="L134" s="22">
        <v>0</v>
      </c>
      <c r="M134" s="388">
        <v>2525.04</v>
      </c>
      <c r="N134" s="25">
        <v>0.43070000000000003</v>
      </c>
      <c r="O134" s="24">
        <v>0</v>
      </c>
      <c r="P134" s="24">
        <v>207.75</v>
      </c>
      <c r="Q134" s="24">
        <v>124.5</v>
      </c>
      <c r="R134" s="22">
        <v>83.25</v>
      </c>
      <c r="S134" s="24">
        <v>25</v>
      </c>
      <c r="T134" s="24">
        <f t="shared" si="7"/>
        <v>232.75</v>
      </c>
      <c r="U134" s="376">
        <v>1088.54</v>
      </c>
      <c r="V134" s="376">
        <v>126.25</v>
      </c>
      <c r="W134" s="22">
        <f t="shared" si="8"/>
        <v>468.83417800000001</v>
      </c>
      <c r="X134" s="22">
        <f t="shared" si="9"/>
        <v>403</v>
      </c>
      <c r="Y134" s="22">
        <v>238</v>
      </c>
      <c r="Z134" s="22">
        <v>165</v>
      </c>
      <c r="AA134" s="371">
        <v>2556.42</v>
      </c>
      <c r="AB134" s="22">
        <v>0.15764232794298277</v>
      </c>
      <c r="AC134" s="24">
        <v>2.2642327942982765E-2</v>
      </c>
      <c r="AD134" s="384">
        <v>-577928.67089186248</v>
      </c>
    </row>
    <row r="135" spans="1:30">
      <c r="A135" s="21" t="s">
        <v>557</v>
      </c>
      <c r="B135" s="21" t="s">
        <v>558</v>
      </c>
      <c r="C135" s="23">
        <v>0</v>
      </c>
      <c r="D135" s="147">
        <v>0</v>
      </c>
      <c r="E135" s="22">
        <v>0</v>
      </c>
      <c r="F135" s="22">
        <v>0</v>
      </c>
      <c r="G135" s="22">
        <v>0</v>
      </c>
      <c r="H135" s="22">
        <v>0</v>
      </c>
      <c r="I135" s="22">
        <v>0</v>
      </c>
      <c r="J135" s="22">
        <v>0</v>
      </c>
      <c r="K135" s="22">
        <v>0</v>
      </c>
      <c r="L135" s="22">
        <v>0</v>
      </c>
      <c r="M135" s="388">
        <v>36</v>
      </c>
      <c r="N135" s="25">
        <v>0.73529999999999995</v>
      </c>
      <c r="O135" s="24">
        <v>37</v>
      </c>
      <c r="P135" s="24">
        <v>0</v>
      </c>
      <c r="Q135" s="24">
        <v>0</v>
      </c>
      <c r="R135" s="22">
        <v>0</v>
      </c>
      <c r="S135" s="24">
        <v>0</v>
      </c>
      <c r="T135" s="24">
        <f t="shared" si="7"/>
        <v>0</v>
      </c>
      <c r="U135" s="376">
        <v>26.47</v>
      </c>
      <c r="V135" s="376">
        <v>1.8</v>
      </c>
      <c r="W135" s="22">
        <f t="shared" si="8"/>
        <v>19.463390999999998</v>
      </c>
      <c r="X135" s="22">
        <f t="shared" si="9"/>
        <v>8</v>
      </c>
      <c r="Y135" s="22">
        <v>3.75</v>
      </c>
      <c r="Z135" s="22">
        <v>4.25</v>
      </c>
      <c r="AA135" s="371">
        <v>36.799999999999997</v>
      </c>
      <c r="AB135" s="22">
        <v>0.21739130434782611</v>
      </c>
      <c r="AC135" s="24">
        <v>8.23913043478261E-2</v>
      </c>
      <c r="AD135" s="384">
        <v>-24528.906800187346</v>
      </c>
    </row>
    <row r="136" spans="1:30">
      <c r="A136" s="21" t="s">
        <v>471</v>
      </c>
      <c r="B136" s="21" t="s">
        <v>472</v>
      </c>
      <c r="C136" s="23">
        <v>169</v>
      </c>
      <c r="D136" s="147">
        <v>0</v>
      </c>
      <c r="E136" s="22">
        <v>30.08</v>
      </c>
      <c r="F136" s="22">
        <v>30.08</v>
      </c>
      <c r="G136" s="22">
        <v>0</v>
      </c>
      <c r="H136" s="22">
        <v>17</v>
      </c>
      <c r="I136" s="22">
        <v>0</v>
      </c>
      <c r="J136" s="22">
        <v>4.5999999999999996</v>
      </c>
      <c r="K136" s="22">
        <v>0</v>
      </c>
      <c r="L136" s="22">
        <v>0</v>
      </c>
      <c r="M136" s="388">
        <v>563.6</v>
      </c>
      <c r="N136" s="25">
        <v>0.32419999999999999</v>
      </c>
      <c r="O136" s="24">
        <v>0</v>
      </c>
      <c r="P136" s="24">
        <v>1</v>
      </c>
      <c r="Q136" s="24">
        <v>0</v>
      </c>
      <c r="R136" s="22">
        <v>1</v>
      </c>
      <c r="S136" s="24">
        <v>0</v>
      </c>
      <c r="T136" s="24">
        <f t="shared" si="7"/>
        <v>1</v>
      </c>
      <c r="U136" s="376">
        <v>182.72</v>
      </c>
      <c r="V136" s="376">
        <v>0</v>
      </c>
      <c r="W136" s="22">
        <f t="shared" si="8"/>
        <v>59.237823999999996</v>
      </c>
      <c r="X136" s="22">
        <f t="shared" si="9"/>
        <v>64.5</v>
      </c>
      <c r="Y136" s="22">
        <v>48.75</v>
      </c>
      <c r="Z136" s="22">
        <v>15.75</v>
      </c>
      <c r="AA136" s="371">
        <v>568.51</v>
      </c>
      <c r="AB136" s="22">
        <v>0.11345446869887953</v>
      </c>
      <c r="AC136" s="24">
        <v>0</v>
      </c>
      <c r="AD136" s="384">
        <v>0</v>
      </c>
    </row>
    <row r="137" spans="1:30">
      <c r="A137" s="21" t="s">
        <v>9</v>
      </c>
      <c r="B137" s="21" t="s">
        <v>10</v>
      </c>
      <c r="C137" s="23">
        <v>49</v>
      </c>
      <c r="D137" s="147">
        <v>4.72</v>
      </c>
      <c r="E137" s="22">
        <v>13.05</v>
      </c>
      <c r="F137" s="22">
        <v>17.77</v>
      </c>
      <c r="G137" s="22">
        <v>0</v>
      </c>
      <c r="H137" s="22">
        <v>0</v>
      </c>
      <c r="I137" s="22">
        <v>0</v>
      </c>
      <c r="J137" s="22">
        <v>0</v>
      </c>
      <c r="K137" s="22">
        <v>0</v>
      </c>
      <c r="L137" s="22">
        <v>0</v>
      </c>
      <c r="M137" s="388">
        <v>180</v>
      </c>
      <c r="N137" s="25">
        <v>0.70589999999999997</v>
      </c>
      <c r="O137" s="24">
        <v>185</v>
      </c>
      <c r="P137" s="24">
        <v>29</v>
      </c>
      <c r="Q137" s="24">
        <v>18</v>
      </c>
      <c r="R137" s="22">
        <v>11</v>
      </c>
      <c r="S137" s="24">
        <v>4</v>
      </c>
      <c r="T137" s="24">
        <f t="shared" ref="T137:T200" si="10">S137+P137</f>
        <v>33</v>
      </c>
      <c r="U137" s="376">
        <v>127.06</v>
      </c>
      <c r="V137" s="376">
        <v>0</v>
      </c>
      <c r="W137" s="22">
        <f t="shared" ref="W137:W200" si="11">U137*N137</f>
        <v>89.691654</v>
      </c>
      <c r="X137" s="22">
        <f t="shared" ref="X137:X200" si="12">Y137+Z137</f>
        <v>18.5</v>
      </c>
      <c r="Y137" s="22">
        <v>16</v>
      </c>
      <c r="Z137" s="22">
        <v>2.5</v>
      </c>
      <c r="AA137" s="371">
        <v>188.2</v>
      </c>
      <c r="AB137" s="22">
        <v>9.829968119022317E-2</v>
      </c>
      <c r="AC137" s="24">
        <v>0</v>
      </c>
      <c r="AD137" s="384">
        <v>0</v>
      </c>
    </row>
    <row r="138" spans="1:30">
      <c r="A138" s="21" t="s">
        <v>77</v>
      </c>
      <c r="B138" s="21" t="s">
        <v>78</v>
      </c>
      <c r="C138" s="23">
        <v>1990</v>
      </c>
      <c r="D138" s="147">
        <v>46.14</v>
      </c>
      <c r="E138" s="22">
        <v>376.42</v>
      </c>
      <c r="F138" s="22">
        <v>422.56</v>
      </c>
      <c r="G138" s="22">
        <v>0</v>
      </c>
      <c r="H138" s="22">
        <v>168</v>
      </c>
      <c r="I138" s="22">
        <v>10.94</v>
      </c>
      <c r="J138" s="22">
        <v>108.23</v>
      </c>
      <c r="K138" s="22">
        <v>27.96</v>
      </c>
      <c r="L138" s="22">
        <v>1.44</v>
      </c>
      <c r="M138" s="388">
        <v>6490.5699999999988</v>
      </c>
      <c r="N138" s="25">
        <v>0.63149999999999995</v>
      </c>
      <c r="O138" s="24">
        <v>4537</v>
      </c>
      <c r="P138" s="24">
        <v>402.75</v>
      </c>
      <c r="Q138" s="24">
        <v>267.25</v>
      </c>
      <c r="R138" s="22">
        <v>135.5</v>
      </c>
      <c r="S138" s="24">
        <v>69.25</v>
      </c>
      <c r="T138" s="24">
        <f t="shared" si="10"/>
        <v>472</v>
      </c>
      <c r="U138" s="376">
        <v>4071.53</v>
      </c>
      <c r="V138" s="376">
        <v>324.52999999999997</v>
      </c>
      <c r="W138" s="22">
        <f t="shared" si="11"/>
        <v>2571.1711949999999</v>
      </c>
      <c r="X138" s="22">
        <f t="shared" si="12"/>
        <v>997.25</v>
      </c>
      <c r="Y138" s="22">
        <v>560</v>
      </c>
      <c r="Z138" s="22">
        <v>437.25</v>
      </c>
      <c r="AA138" s="371">
        <v>6173.13</v>
      </c>
      <c r="AB138" s="22">
        <v>0.16154689760299881</v>
      </c>
      <c r="AC138" s="24">
        <v>2.6546897602998804E-2</v>
      </c>
      <c r="AD138" s="384">
        <v>-1488001.6180391004</v>
      </c>
    </row>
    <row r="139" spans="1:30">
      <c r="A139" s="21" t="s">
        <v>493</v>
      </c>
      <c r="B139" s="21" t="s">
        <v>494</v>
      </c>
      <c r="C139" s="23">
        <v>59</v>
      </c>
      <c r="D139" s="147">
        <v>0</v>
      </c>
      <c r="E139" s="22">
        <v>0</v>
      </c>
      <c r="F139" s="22">
        <v>0</v>
      </c>
      <c r="G139" s="22">
        <v>0</v>
      </c>
      <c r="H139" s="22">
        <v>0</v>
      </c>
      <c r="I139" s="22">
        <v>0</v>
      </c>
      <c r="J139" s="22">
        <v>126.3</v>
      </c>
      <c r="K139" s="22">
        <v>0</v>
      </c>
      <c r="L139" s="22">
        <v>0</v>
      </c>
      <c r="M139" s="388">
        <v>228.3</v>
      </c>
      <c r="N139" s="25">
        <v>0.56200000000000006</v>
      </c>
      <c r="O139" s="24">
        <v>106</v>
      </c>
      <c r="P139" s="24">
        <v>0</v>
      </c>
      <c r="Q139" s="24">
        <v>0</v>
      </c>
      <c r="R139" s="22">
        <v>0</v>
      </c>
      <c r="S139" s="24">
        <v>0</v>
      </c>
      <c r="T139" s="24">
        <f t="shared" si="10"/>
        <v>0</v>
      </c>
      <c r="U139" s="376">
        <v>127.37</v>
      </c>
      <c r="V139" s="376">
        <v>0</v>
      </c>
      <c r="W139" s="22">
        <f t="shared" si="11"/>
        <v>71.581940000000003</v>
      </c>
      <c r="X139" s="22">
        <f t="shared" si="12"/>
        <v>17.5</v>
      </c>
      <c r="Y139" s="22">
        <v>10.25</v>
      </c>
      <c r="Z139" s="22">
        <v>7.25</v>
      </c>
      <c r="AA139" s="371">
        <v>231.1</v>
      </c>
      <c r="AB139" s="22">
        <v>7.5724794461272185E-2</v>
      </c>
      <c r="AC139" s="24">
        <v>0</v>
      </c>
      <c r="AD139" s="384">
        <v>0</v>
      </c>
    </row>
    <row r="140" spans="1:30">
      <c r="A140" s="21" t="s">
        <v>397</v>
      </c>
      <c r="B140" s="21" t="s">
        <v>398</v>
      </c>
      <c r="C140" s="23">
        <v>63</v>
      </c>
      <c r="D140" s="147">
        <v>0.7</v>
      </c>
      <c r="E140" s="22">
        <v>12.57</v>
      </c>
      <c r="F140" s="22">
        <v>13.27</v>
      </c>
      <c r="G140" s="22">
        <v>0</v>
      </c>
      <c r="H140" s="22">
        <v>3</v>
      </c>
      <c r="I140" s="22">
        <v>0.1</v>
      </c>
      <c r="J140" s="22">
        <v>19.75</v>
      </c>
      <c r="K140" s="22">
        <v>0</v>
      </c>
      <c r="L140" s="22">
        <v>0</v>
      </c>
      <c r="M140" s="388">
        <v>226.85</v>
      </c>
      <c r="N140" s="25">
        <v>0.44</v>
      </c>
      <c r="O140" s="24">
        <v>0</v>
      </c>
      <c r="P140" s="24">
        <v>18</v>
      </c>
      <c r="Q140" s="24">
        <v>14</v>
      </c>
      <c r="R140" s="22">
        <v>4</v>
      </c>
      <c r="S140" s="24">
        <v>0</v>
      </c>
      <c r="T140" s="24">
        <f t="shared" si="10"/>
        <v>18</v>
      </c>
      <c r="U140" s="376">
        <v>99.81</v>
      </c>
      <c r="V140" s="376">
        <v>11.34</v>
      </c>
      <c r="W140" s="22">
        <f t="shared" si="11"/>
        <v>43.916400000000003</v>
      </c>
      <c r="X140" s="22">
        <f t="shared" si="12"/>
        <v>42.75</v>
      </c>
      <c r="Y140" s="22">
        <v>38</v>
      </c>
      <c r="Z140" s="22">
        <v>4.75</v>
      </c>
      <c r="AA140" s="371">
        <v>241.82</v>
      </c>
      <c r="AB140" s="22">
        <v>0.17678438507981142</v>
      </c>
      <c r="AC140" s="24">
        <v>4.1784385079811415E-2</v>
      </c>
      <c r="AD140" s="384">
        <v>-99452.284602910673</v>
      </c>
    </row>
    <row r="141" spans="1:30">
      <c r="A141" s="21" t="s">
        <v>1232</v>
      </c>
      <c r="B141" s="21" t="s">
        <v>1233</v>
      </c>
      <c r="C141" s="23">
        <v>0</v>
      </c>
      <c r="D141" s="147">
        <v>0</v>
      </c>
      <c r="E141" s="22">
        <v>0</v>
      </c>
      <c r="F141" s="22">
        <v>0</v>
      </c>
      <c r="G141" s="22">
        <v>0</v>
      </c>
      <c r="H141" s="22">
        <v>0</v>
      </c>
      <c r="I141" s="22">
        <v>0</v>
      </c>
      <c r="J141" s="22">
        <v>0</v>
      </c>
      <c r="K141" s="22">
        <v>0.8</v>
      </c>
      <c r="L141" s="22">
        <v>0</v>
      </c>
      <c r="M141" s="388">
        <v>75.8</v>
      </c>
      <c r="N141" s="25">
        <v>0.87180000000000002</v>
      </c>
      <c r="O141" s="24">
        <v>39</v>
      </c>
      <c r="P141" s="24">
        <v>0</v>
      </c>
      <c r="Q141" s="24">
        <v>0</v>
      </c>
      <c r="R141" s="22">
        <v>0</v>
      </c>
      <c r="S141" s="24">
        <v>0</v>
      </c>
      <c r="T141" s="24">
        <f t="shared" si="10"/>
        <v>0</v>
      </c>
      <c r="U141" s="376">
        <v>64.14</v>
      </c>
      <c r="V141" s="376">
        <v>0</v>
      </c>
      <c r="W141" s="22">
        <f t="shared" si="11"/>
        <v>55.917252000000005</v>
      </c>
      <c r="X141" s="22">
        <f t="shared" si="12"/>
        <v>6.75</v>
      </c>
      <c r="Y141" s="22">
        <v>6.5</v>
      </c>
      <c r="Z141" s="22">
        <v>0.25</v>
      </c>
      <c r="AA141" s="371">
        <v>34.6</v>
      </c>
      <c r="AB141" s="22">
        <v>0.19508670520231214</v>
      </c>
      <c r="AC141" s="24">
        <v>6.008670520231213E-2</v>
      </c>
      <c r="AD141" s="384">
        <v>-18228.70847099381</v>
      </c>
    </row>
    <row r="142" spans="1:30">
      <c r="A142" s="21" t="s">
        <v>553</v>
      </c>
      <c r="B142" s="21" t="s">
        <v>554</v>
      </c>
      <c r="C142" s="23">
        <v>122.6</v>
      </c>
      <c r="D142" s="147">
        <v>0</v>
      </c>
      <c r="E142" s="22">
        <v>0</v>
      </c>
      <c r="F142" s="22">
        <v>0</v>
      </c>
      <c r="G142" s="22">
        <v>0</v>
      </c>
      <c r="H142" s="22">
        <v>2.0099999999999998</v>
      </c>
      <c r="I142" s="22">
        <v>0</v>
      </c>
      <c r="J142" s="22">
        <v>0</v>
      </c>
      <c r="K142" s="22">
        <v>0</v>
      </c>
      <c r="L142" s="22">
        <v>0</v>
      </c>
      <c r="M142" s="388">
        <v>399.13</v>
      </c>
      <c r="N142" s="25">
        <v>0.9375</v>
      </c>
      <c r="O142" s="24">
        <v>408</v>
      </c>
      <c r="P142" s="24">
        <v>0</v>
      </c>
      <c r="Q142" s="24">
        <v>0</v>
      </c>
      <c r="R142" s="22">
        <v>0</v>
      </c>
      <c r="S142" s="24">
        <v>0</v>
      </c>
      <c r="T142" s="24">
        <f t="shared" si="10"/>
        <v>0</v>
      </c>
      <c r="U142" s="376">
        <v>374.18</v>
      </c>
      <c r="V142" s="376">
        <v>0</v>
      </c>
      <c r="W142" s="22">
        <f t="shared" si="11"/>
        <v>350.79374999999999</v>
      </c>
      <c r="X142" s="22">
        <f t="shared" si="12"/>
        <v>112</v>
      </c>
      <c r="Y142" s="22">
        <v>88.25</v>
      </c>
      <c r="Z142" s="22">
        <v>23.75</v>
      </c>
      <c r="AA142" s="371">
        <v>399.13</v>
      </c>
      <c r="AB142" s="22">
        <v>0.28061032746223036</v>
      </c>
      <c r="AC142" s="24">
        <v>0.14561032746223035</v>
      </c>
      <c r="AD142" s="384">
        <v>-563624.51938238274</v>
      </c>
    </row>
    <row r="143" spans="1:30">
      <c r="A143" s="21" t="s">
        <v>269</v>
      </c>
      <c r="B143" s="21" t="s">
        <v>270</v>
      </c>
      <c r="C143" s="23">
        <v>86</v>
      </c>
      <c r="D143" s="147">
        <v>0</v>
      </c>
      <c r="E143" s="22">
        <v>0</v>
      </c>
      <c r="F143" s="22">
        <v>0</v>
      </c>
      <c r="G143" s="22">
        <v>0</v>
      </c>
      <c r="H143" s="22">
        <v>7</v>
      </c>
      <c r="I143" s="22">
        <v>0</v>
      </c>
      <c r="J143" s="22">
        <v>0</v>
      </c>
      <c r="K143" s="22">
        <v>0</v>
      </c>
      <c r="L143" s="22">
        <v>0</v>
      </c>
      <c r="M143" s="388">
        <v>222</v>
      </c>
      <c r="N143" s="25">
        <v>0.88739999999999997</v>
      </c>
      <c r="O143" s="24">
        <v>222</v>
      </c>
      <c r="P143" s="24">
        <v>8</v>
      </c>
      <c r="Q143" s="24">
        <v>6</v>
      </c>
      <c r="R143" s="22">
        <v>2</v>
      </c>
      <c r="S143" s="24">
        <v>0</v>
      </c>
      <c r="T143" s="24">
        <f t="shared" si="10"/>
        <v>8</v>
      </c>
      <c r="U143" s="376">
        <v>196.89</v>
      </c>
      <c r="V143" s="376">
        <v>0</v>
      </c>
      <c r="W143" s="22">
        <f t="shared" si="11"/>
        <v>174.72018599999998</v>
      </c>
      <c r="X143" s="22">
        <f t="shared" si="12"/>
        <v>39.5</v>
      </c>
      <c r="Y143" s="22">
        <v>35</v>
      </c>
      <c r="Z143" s="22">
        <v>4.5</v>
      </c>
      <c r="AA143" s="371">
        <v>214.04</v>
      </c>
      <c r="AB143" s="22">
        <v>0.18454494487011774</v>
      </c>
      <c r="AC143" s="24">
        <v>4.9544944870117735E-2</v>
      </c>
      <c r="AD143" s="384">
        <v>-98706.300827271421</v>
      </c>
    </row>
    <row r="144" spans="1:30">
      <c r="A144" s="21" t="s">
        <v>545</v>
      </c>
      <c r="B144" s="21" t="s">
        <v>546</v>
      </c>
      <c r="C144" s="23">
        <v>873.85</v>
      </c>
      <c r="D144" s="147">
        <v>14.93</v>
      </c>
      <c r="E144" s="22">
        <v>218.72</v>
      </c>
      <c r="F144" s="22">
        <v>233.65</v>
      </c>
      <c r="G144" s="22">
        <v>0</v>
      </c>
      <c r="H144" s="22">
        <v>145</v>
      </c>
      <c r="I144" s="22">
        <v>6.4</v>
      </c>
      <c r="J144" s="22">
        <v>388.61</v>
      </c>
      <c r="K144" s="22">
        <v>17.260000000000002</v>
      </c>
      <c r="L144" s="22">
        <v>1.54</v>
      </c>
      <c r="M144" s="388">
        <v>3386.05</v>
      </c>
      <c r="N144" s="25">
        <v>0.32329999999999998</v>
      </c>
      <c r="O144" s="24">
        <v>0</v>
      </c>
      <c r="P144" s="24">
        <v>342.25</v>
      </c>
      <c r="Q144" s="24">
        <v>230</v>
      </c>
      <c r="R144" s="22">
        <v>112.25</v>
      </c>
      <c r="S144" s="24">
        <v>82.25</v>
      </c>
      <c r="T144" s="24">
        <f t="shared" si="10"/>
        <v>424.5</v>
      </c>
      <c r="U144" s="376">
        <v>1094.71</v>
      </c>
      <c r="V144" s="376">
        <v>169.3</v>
      </c>
      <c r="W144" s="22">
        <f t="shared" si="11"/>
        <v>353.91974299999998</v>
      </c>
      <c r="X144" s="22">
        <f t="shared" si="12"/>
        <v>447.5</v>
      </c>
      <c r="Y144" s="22">
        <v>332.25</v>
      </c>
      <c r="Z144" s="22">
        <v>115.25</v>
      </c>
      <c r="AA144" s="371">
        <v>3322.08</v>
      </c>
      <c r="AB144" s="22">
        <v>0.13470476328083611</v>
      </c>
      <c r="AC144" s="24">
        <v>0</v>
      </c>
      <c r="AD144" s="384">
        <v>0</v>
      </c>
    </row>
    <row r="145" spans="1:30">
      <c r="A145" s="21" t="s">
        <v>591</v>
      </c>
      <c r="B145" s="21" t="s">
        <v>592</v>
      </c>
      <c r="C145" s="23">
        <v>264</v>
      </c>
      <c r="D145" s="147">
        <v>0</v>
      </c>
      <c r="E145" s="22">
        <v>77.38</v>
      </c>
      <c r="F145" s="22">
        <v>77.38</v>
      </c>
      <c r="G145" s="22">
        <v>0</v>
      </c>
      <c r="H145" s="22">
        <v>15</v>
      </c>
      <c r="I145" s="22">
        <v>0.92</v>
      </c>
      <c r="J145" s="22">
        <v>0</v>
      </c>
      <c r="K145" s="22">
        <v>3.6</v>
      </c>
      <c r="L145" s="22">
        <v>0</v>
      </c>
      <c r="M145" s="388">
        <v>852.52</v>
      </c>
      <c r="N145" s="25">
        <v>0.99119999999999997</v>
      </c>
      <c r="O145" s="24">
        <v>815</v>
      </c>
      <c r="P145" s="24">
        <v>329.75</v>
      </c>
      <c r="Q145" s="24">
        <v>144.75</v>
      </c>
      <c r="R145" s="22">
        <v>185</v>
      </c>
      <c r="S145" s="24">
        <v>29</v>
      </c>
      <c r="T145" s="24">
        <f t="shared" si="10"/>
        <v>358.75</v>
      </c>
      <c r="U145" s="376">
        <v>845.02</v>
      </c>
      <c r="V145" s="376">
        <v>42.63</v>
      </c>
      <c r="W145" s="22">
        <f t="shared" si="11"/>
        <v>837.58382399999994</v>
      </c>
      <c r="X145" s="22">
        <f t="shared" si="12"/>
        <v>83.5</v>
      </c>
      <c r="Y145" s="22">
        <v>31.5</v>
      </c>
      <c r="Z145" s="22">
        <v>52</v>
      </c>
      <c r="AA145" s="371">
        <v>811.56</v>
      </c>
      <c r="AB145" s="22">
        <v>0.10288826457686431</v>
      </c>
      <c r="AC145" s="24">
        <v>0</v>
      </c>
      <c r="AD145" s="384">
        <v>0</v>
      </c>
    </row>
    <row r="146" spans="1:30">
      <c r="A146" s="21" t="s">
        <v>97</v>
      </c>
      <c r="B146" s="21" t="s">
        <v>98</v>
      </c>
      <c r="C146" s="23">
        <v>24</v>
      </c>
      <c r="D146" s="147">
        <v>0</v>
      </c>
      <c r="E146" s="22">
        <v>3.1</v>
      </c>
      <c r="F146" s="22">
        <v>3.1</v>
      </c>
      <c r="G146" s="22">
        <v>0</v>
      </c>
      <c r="H146" s="22">
        <v>0</v>
      </c>
      <c r="I146" s="22">
        <v>0</v>
      </c>
      <c r="J146" s="22">
        <v>0</v>
      </c>
      <c r="K146" s="22">
        <v>0</v>
      </c>
      <c r="L146" s="22">
        <v>0</v>
      </c>
      <c r="M146" s="388">
        <v>80</v>
      </c>
      <c r="N146" s="25">
        <v>0.73629999999999995</v>
      </c>
      <c r="O146" s="24">
        <v>93</v>
      </c>
      <c r="P146" s="24">
        <v>5</v>
      </c>
      <c r="Q146" s="24">
        <v>2</v>
      </c>
      <c r="R146" s="22">
        <v>3</v>
      </c>
      <c r="S146" s="24">
        <v>1</v>
      </c>
      <c r="T146" s="24">
        <f t="shared" si="10"/>
        <v>6</v>
      </c>
      <c r="U146" s="376">
        <v>58.9</v>
      </c>
      <c r="V146" s="376">
        <v>0</v>
      </c>
      <c r="W146" s="22">
        <f t="shared" si="11"/>
        <v>43.368069999999996</v>
      </c>
      <c r="X146" s="22">
        <f t="shared" si="12"/>
        <v>9.75</v>
      </c>
      <c r="Y146" s="22">
        <v>7.75</v>
      </c>
      <c r="Z146" s="22">
        <v>2</v>
      </c>
      <c r="AA146" s="371">
        <v>91.4</v>
      </c>
      <c r="AB146" s="22">
        <v>0.10667396061269147</v>
      </c>
      <c r="AC146" s="24">
        <v>0</v>
      </c>
      <c r="AD146" s="384">
        <v>0</v>
      </c>
    </row>
    <row r="147" spans="1:30">
      <c r="A147" s="21" t="s">
        <v>29</v>
      </c>
      <c r="B147" s="21" t="s">
        <v>30</v>
      </c>
      <c r="C147" s="23">
        <v>162</v>
      </c>
      <c r="D147" s="147">
        <v>4.6100000000000003</v>
      </c>
      <c r="E147" s="22">
        <v>12.35</v>
      </c>
      <c r="F147" s="22">
        <v>16.96</v>
      </c>
      <c r="G147" s="22">
        <v>0</v>
      </c>
      <c r="H147" s="22">
        <v>2</v>
      </c>
      <c r="I147" s="22">
        <v>0</v>
      </c>
      <c r="J147" s="22">
        <v>0</v>
      </c>
      <c r="K147" s="22">
        <v>0</v>
      </c>
      <c r="L147" s="22">
        <v>0</v>
      </c>
      <c r="M147" s="388">
        <v>576</v>
      </c>
      <c r="N147" s="25">
        <v>0.70520000000000005</v>
      </c>
      <c r="O147" s="24">
        <v>606</v>
      </c>
      <c r="P147" s="24">
        <v>214.25</v>
      </c>
      <c r="Q147" s="24">
        <v>132.5</v>
      </c>
      <c r="R147" s="22">
        <v>81.75</v>
      </c>
      <c r="S147" s="24">
        <v>33</v>
      </c>
      <c r="T147" s="24">
        <f t="shared" si="10"/>
        <v>247.25</v>
      </c>
      <c r="U147" s="376">
        <v>406.2</v>
      </c>
      <c r="V147" s="376">
        <v>28.8</v>
      </c>
      <c r="W147" s="22">
        <f t="shared" si="11"/>
        <v>286.45224000000002</v>
      </c>
      <c r="X147" s="22">
        <f t="shared" si="12"/>
        <v>72</v>
      </c>
      <c r="Y147" s="22">
        <v>57.75</v>
      </c>
      <c r="Z147" s="22">
        <v>14.25</v>
      </c>
      <c r="AA147" s="371">
        <v>598.66</v>
      </c>
      <c r="AB147" s="22">
        <v>0.12026859987304982</v>
      </c>
      <c r="AC147" s="24">
        <v>0</v>
      </c>
      <c r="AD147" s="384">
        <v>0</v>
      </c>
    </row>
    <row r="148" spans="1:30">
      <c r="A148" s="21" t="s">
        <v>319</v>
      </c>
      <c r="B148" s="21" t="s">
        <v>320</v>
      </c>
      <c r="C148" s="23">
        <v>49</v>
      </c>
      <c r="D148" s="147">
        <v>4.8600000000000003</v>
      </c>
      <c r="E148" s="22">
        <v>18.62</v>
      </c>
      <c r="F148" s="22">
        <v>23.48</v>
      </c>
      <c r="G148" s="22">
        <v>0</v>
      </c>
      <c r="H148" s="22">
        <v>3</v>
      </c>
      <c r="I148" s="22">
        <v>0.33</v>
      </c>
      <c r="J148" s="22">
        <v>1274.4000000000001</v>
      </c>
      <c r="K148" s="22">
        <v>0</v>
      </c>
      <c r="L148" s="22">
        <v>0</v>
      </c>
      <c r="M148" s="388">
        <v>1426.73</v>
      </c>
      <c r="N148" s="25">
        <v>0.20680000000000001</v>
      </c>
      <c r="O148" s="24">
        <v>170</v>
      </c>
      <c r="P148" s="24">
        <v>31.25</v>
      </c>
      <c r="Q148" s="24">
        <v>27.75</v>
      </c>
      <c r="R148" s="22">
        <v>3.5</v>
      </c>
      <c r="S148" s="24">
        <v>5.25</v>
      </c>
      <c r="T148" s="24">
        <f t="shared" si="10"/>
        <v>36.5</v>
      </c>
      <c r="U148" s="376">
        <v>295.05</v>
      </c>
      <c r="V148" s="376">
        <v>71.34</v>
      </c>
      <c r="W148" s="22">
        <f t="shared" si="11"/>
        <v>61.016340000000007</v>
      </c>
      <c r="X148" s="22">
        <f t="shared" si="12"/>
        <v>246.25</v>
      </c>
      <c r="Y148" s="22">
        <v>212</v>
      </c>
      <c r="Z148" s="22">
        <v>34.25</v>
      </c>
      <c r="AA148" s="371">
        <v>1441.96</v>
      </c>
      <c r="AB148" s="22">
        <v>0.17077450137313102</v>
      </c>
      <c r="AC148" s="24">
        <v>3.5774501373131012E-2</v>
      </c>
      <c r="AD148" s="384">
        <v>-445566.00942906499</v>
      </c>
    </row>
    <row r="149" spans="1:30">
      <c r="A149" s="21" t="s">
        <v>501</v>
      </c>
      <c r="B149" s="21" t="s">
        <v>502</v>
      </c>
      <c r="C149" s="23">
        <v>118.2</v>
      </c>
      <c r="D149" s="147">
        <v>0</v>
      </c>
      <c r="E149" s="22">
        <v>39.33</v>
      </c>
      <c r="F149" s="22">
        <v>39.33</v>
      </c>
      <c r="G149" s="22">
        <v>0</v>
      </c>
      <c r="H149" s="22">
        <v>4</v>
      </c>
      <c r="I149" s="22">
        <v>1.02</v>
      </c>
      <c r="J149" s="22">
        <v>37.78</v>
      </c>
      <c r="K149" s="22">
        <v>0</v>
      </c>
      <c r="L149" s="22">
        <v>0</v>
      </c>
      <c r="M149" s="388">
        <v>450.19999999999993</v>
      </c>
      <c r="N149" s="25">
        <v>0.78349999999999997</v>
      </c>
      <c r="O149" s="24">
        <v>450</v>
      </c>
      <c r="P149" s="24">
        <v>1</v>
      </c>
      <c r="Q149" s="24">
        <v>0</v>
      </c>
      <c r="R149" s="22">
        <v>1</v>
      </c>
      <c r="S149" s="24">
        <v>0</v>
      </c>
      <c r="T149" s="24">
        <f t="shared" si="10"/>
        <v>1</v>
      </c>
      <c r="U149" s="376">
        <v>352.73</v>
      </c>
      <c r="V149" s="376">
        <v>22.51</v>
      </c>
      <c r="W149" s="22">
        <f t="shared" si="11"/>
        <v>276.36395500000003</v>
      </c>
      <c r="X149" s="22">
        <f t="shared" si="12"/>
        <v>71</v>
      </c>
      <c r="Y149" s="22">
        <v>52</v>
      </c>
      <c r="Z149" s="22">
        <v>19</v>
      </c>
      <c r="AA149" s="371">
        <v>450.72</v>
      </c>
      <c r="AB149" s="22">
        <v>0.15752573659921901</v>
      </c>
      <c r="AC149" s="24">
        <v>2.2525736599218998E-2</v>
      </c>
      <c r="AD149" s="384">
        <v>-91480.790136135547</v>
      </c>
    </row>
    <row r="150" spans="1:30">
      <c r="A150" s="21" t="s">
        <v>433</v>
      </c>
      <c r="B150" s="21" t="s">
        <v>434</v>
      </c>
      <c r="C150" s="23">
        <v>2617</v>
      </c>
      <c r="D150" s="147">
        <v>201.04</v>
      </c>
      <c r="E150" s="22">
        <v>586.42999999999995</v>
      </c>
      <c r="F150" s="22">
        <v>787.46999999999991</v>
      </c>
      <c r="G150" s="22">
        <v>0</v>
      </c>
      <c r="H150" s="22">
        <v>239</v>
      </c>
      <c r="I150" s="22">
        <v>8.43</v>
      </c>
      <c r="J150" s="22">
        <v>336.75</v>
      </c>
      <c r="K150" s="22">
        <v>76.52</v>
      </c>
      <c r="L150" s="22">
        <v>0</v>
      </c>
      <c r="M150" s="388">
        <v>9500.7000000000007</v>
      </c>
      <c r="N150" s="25">
        <v>0.50609999999999999</v>
      </c>
      <c r="O150" s="24">
        <v>6381</v>
      </c>
      <c r="P150" s="24">
        <v>1016.5</v>
      </c>
      <c r="Q150" s="24">
        <v>619.75</v>
      </c>
      <c r="R150" s="22">
        <v>396.75</v>
      </c>
      <c r="S150" s="24">
        <v>196.5</v>
      </c>
      <c r="T150" s="24">
        <f t="shared" si="10"/>
        <v>1213</v>
      </c>
      <c r="U150" s="376">
        <v>4811.1499999999996</v>
      </c>
      <c r="V150" s="376">
        <v>475.04</v>
      </c>
      <c r="W150" s="22">
        <f t="shared" si="11"/>
        <v>2434.9230149999999</v>
      </c>
      <c r="X150" s="22">
        <f t="shared" si="12"/>
        <v>1503.5</v>
      </c>
      <c r="Y150" s="22">
        <v>730</v>
      </c>
      <c r="Z150" s="22">
        <v>773.5</v>
      </c>
      <c r="AA150" s="371">
        <v>9953.17</v>
      </c>
      <c r="AB150" s="22">
        <v>0.15105740181268881</v>
      </c>
      <c r="AC150" s="24">
        <v>1.6057401812688804E-2</v>
      </c>
      <c r="AD150" s="384">
        <v>-1591715.2628452422</v>
      </c>
    </row>
    <row r="151" spans="1:30">
      <c r="A151" s="21" t="s">
        <v>147</v>
      </c>
      <c r="B151" s="21" t="s">
        <v>148</v>
      </c>
      <c r="C151" s="23">
        <v>119</v>
      </c>
      <c r="D151" s="147">
        <v>0</v>
      </c>
      <c r="E151" s="22">
        <v>0</v>
      </c>
      <c r="F151" s="22">
        <v>0</v>
      </c>
      <c r="G151" s="22">
        <v>0</v>
      </c>
      <c r="H151" s="22">
        <v>0</v>
      </c>
      <c r="I151" s="22">
        <v>0</v>
      </c>
      <c r="J151" s="22">
        <v>0</v>
      </c>
      <c r="K151" s="22">
        <v>0</v>
      </c>
      <c r="L151" s="22">
        <v>0</v>
      </c>
      <c r="M151" s="388">
        <v>278</v>
      </c>
      <c r="N151" s="25">
        <v>0.60860000000000003</v>
      </c>
      <c r="O151" s="24">
        <v>291</v>
      </c>
      <c r="P151" s="24">
        <v>2.25</v>
      </c>
      <c r="Q151" s="24">
        <v>2.25</v>
      </c>
      <c r="R151" s="22">
        <v>0</v>
      </c>
      <c r="S151" s="24">
        <v>0</v>
      </c>
      <c r="T151" s="24">
        <f t="shared" si="10"/>
        <v>2.25</v>
      </c>
      <c r="U151" s="376">
        <v>169.19</v>
      </c>
      <c r="V151" s="376">
        <v>13.9</v>
      </c>
      <c r="W151" s="22">
        <f t="shared" si="11"/>
        <v>102.96903400000001</v>
      </c>
      <c r="X151" s="22">
        <f t="shared" si="12"/>
        <v>61.5</v>
      </c>
      <c r="Y151" s="22">
        <v>51.5</v>
      </c>
      <c r="Z151" s="22">
        <v>10</v>
      </c>
      <c r="AA151" s="371">
        <v>291.75</v>
      </c>
      <c r="AB151" s="22">
        <v>0.21079691516709512</v>
      </c>
      <c r="AC151" s="24">
        <v>7.5796915167095108E-2</v>
      </c>
      <c r="AD151" s="384">
        <v>-205524.64169027822</v>
      </c>
    </row>
    <row r="152" spans="1:30">
      <c r="A152" s="21" t="s">
        <v>461</v>
      </c>
      <c r="B152" s="21" t="s">
        <v>462</v>
      </c>
      <c r="C152" s="23">
        <v>2510</v>
      </c>
      <c r="D152" s="147">
        <v>406.12</v>
      </c>
      <c r="E152" s="22">
        <v>321.83999999999997</v>
      </c>
      <c r="F152" s="22">
        <v>727.96</v>
      </c>
      <c r="G152" s="22">
        <v>0</v>
      </c>
      <c r="H152" s="22">
        <v>378</v>
      </c>
      <c r="I152" s="22">
        <v>12.32</v>
      </c>
      <c r="J152" s="22">
        <v>538.24</v>
      </c>
      <c r="K152" s="22">
        <v>9.93</v>
      </c>
      <c r="L152" s="22">
        <v>1.7</v>
      </c>
      <c r="M152" s="388">
        <v>10547.19</v>
      </c>
      <c r="N152" s="25">
        <v>0.29310000000000003</v>
      </c>
      <c r="O152" s="24">
        <v>352</v>
      </c>
      <c r="P152" s="24">
        <v>283</v>
      </c>
      <c r="Q152" s="24">
        <v>164.5</v>
      </c>
      <c r="R152" s="22">
        <v>118.5</v>
      </c>
      <c r="S152" s="24">
        <v>84</v>
      </c>
      <c r="T152" s="24">
        <f t="shared" si="10"/>
        <v>367</v>
      </c>
      <c r="U152" s="376">
        <v>3091.38</v>
      </c>
      <c r="V152" s="376">
        <v>527.36</v>
      </c>
      <c r="W152" s="22">
        <f t="shared" si="11"/>
        <v>906.08347800000013</v>
      </c>
      <c r="X152" s="22">
        <f t="shared" si="12"/>
        <v>1347.5</v>
      </c>
      <c r="Y152" s="22">
        <v>626</v>
      </c>
      <c r="Z152" s="22">
        <v>721.5</v>
      </c>
      <c r="AA152" s="371">
        <v>10243.16</v>
      </c>
      <c r="AB152" s="22">
        <v>0.13155120099656747</v>
      </c>
      <c r="AC152" s="24">
        <v>0</v>
      </c>
      <c r="AD152" s="384">
        <v>0</v>
      </c>
    </row>
    <row r="153" spans="1:30">
      <c r="A153" s="21" t="s">
        <v>459</v>
      </c>
      <c r="B153" s="21" t="s">
        <v>460</v>
      </c>
      <c r="C153" s="23">
        <v>572</v>
      </c>
      <c r="D153" s="147">
        <v>1.82</v>
      </c>
      <c r="E153" s="22">
        <v>128.52000000000001</v>
      </c>
      <c r="F153" s="22">
        <v>130.34</v>
      </c>
      <c r="G153" s="22">
        <v>0</v>
      </c>
      <c r="H153" s="22">
        <v>25</v>
      </c>
      <c r="I153" s="22">
        <v>1.3</v>
      </c>
      <c r="J153" s="22">
        <v>83.67</v>
      </c>
      <c r="K153" s="22">
        <v>0</v>
      </c>
      <c r="L153" s="22">
        <v>0</v>
      </c>
      <c r="M153" s="388">
        <v>1837.97</v>
      </c>
      <c r="N153" s="25">
        <v>0.38279999999999997</v>
      </c>
      <c r="O153" s="24">
        <v>22</v>
      </c>
      <c r="P153" s="24">
        <v>21</v>
      </c>
      <c r="Q153" s="24">
        <v>16.5</v>
      </c>
      <c r="R153" s="22">
        <v>4.5</v>
      </c>
      <c r="S153" s="24">
        <v>0</v>
      </c>
      <c r="T153" s="24">
        <f t="shared" si="10"/>
        <v>21</v>
      </c>
      <c r="U153" s="376">
        <v>703.57</v>
      </c>
      <c r="V153" s="376">
        <v>91.9</v>
      </c>
      <c r="W153" s="22">
        <f t="shared" si="11"/>
        <v>269.326596</v>
      </c>
      <c r="X153" s="22">
        <f t="shared" si="12"/>
        <v>230.5</v>
      </c>
      <c r="Y153" s="22">
        <v>185.25</v>
      </c>
      <c r="Z153" s="22">
        <v>45.25</v>
      </c>
      <c r="AA153" s="371">
        <v>1769.29</v>
      </c>
      <c r="AB153" s="22">
        <v>0.13027824720650658</v>
      </c>
      <c r="AC153" s="24">
        <v>0</v>
      </c>
      <c r="AD153" s="384">
        <v>0</v>
      </c>
    </row>
    <row r="154" spans="1:30">
      <c r="A154" s="21" t="s">
        <v>189</v>
      </c>
      <c r="B154" s="21" t="s">
        <v>190</v>
      </c>
      <c r="C154" s="23">
        <v>945</v>
      </c>
      <c r="D154" s="147">
        <v>16.190000000000001</v>
      </c>
      <c r="E154" s="22">
        <v>288.45</v>
      </c>
      <c r="F154" s="22">
        <v>304.64</v>
      </c>
      <c r="G154" s="22">
        <v>0</v>
      </c>
      <c r="H154" s="22">
        <v>54</v>
      </c>
      <c r="I154" s="22">
        <v>3.21</v>
      </c>
      <c r="J154" s="22">
        <v>12.61</v>
      </c>
      <c r="K154" s="22">
        <v>0</v>
      </c>
      <c r="L154" s="22">
        <v>0</v>
      </c>
      <c r="M154" s="388">
        <v>4089.82</v>
      </c>
      <c r="N154" s="25">
        <v>3.4500000000000003E-2</v>
      </c>
      <c r="O154" s="24">
        <v>0</v>
      </c>
      <c r="P154" s="24">
        <v>114.25</v>
      </c>
      <c r="Q154" s="24">
        <v>88.75</v>
      </c>
      <c r="R154" s="22">
        <v>25.5</v>
      </c>
      <c r="S154" s="24">
        <v>112</v>
      </c>
      <c r="T154" s="24">
        <f t="shared" si="10"/>
        <v>226.25</v>
      </c>
      <c r="U154" s="376">
        <v>141.1</v>
      </c>
      <c r="V154" s="376">
        <v>204.49</v>
      </c>
      <c r="W154" s="22">
        <f t="shared" si="11"/>
        <v>4.8679500000000004</v>
      </c>
      <c r="X154" s="22">
        <f t="shared" si="12"/>
        <v>388.25</v>
      </c>
      <c r="Y154" s="22">
        <v>260.25</v>
      </c>
      <c r="Z154" s="22">
        <v>128</v>
      </c>
      <c r="AA154" s="371">
        <v>4005.48</v>
      </c>
      <c r="AB154" s="22">
        <v>9.6929706302365762E-2</v>
      </c>
      <c r="AC154" s="24">
        <v>0</v>
      </c>
      <c r="AD154" s="384">
        <v>0</v>
      </c>
    </row>
    <row r="155" spans="1:30">
      <c r="A155" s="21" t="s">
        <v>547</v>
      </c>
      <c r="B155" s="21" t="s">
        <v>548</v>
      </c>
      <c r="C155" s="23">
        <v>451</v>
      </c>
      <c r="D155" s="147">
        <v>0</v>
      </c>
      <c r="E155" s="22">
        <v>61.67</v>
      </c>
      <c r="F155" s="22">
        <v>61.67</v>
      </c>
      <c r="G155" s="22">
        <v>0</v>
      </c>
      <c r="H155" s="22">
        <v>62</v>
      </c>
      <c r="I155" s="22">
        <v>2.4500000000000002</v>
      </c>
      <c r="J155" s="22">
        <v>224.32999999999998</v>
      </c>
      <c r="K155" s="22">
        <v>8.6999999999999993</v>
      </c>
      <c r="L155" s="22">
        <v>0.9</v>
      </c>
      <c r="M155" s="388">
        <v>1767.38</v>
      </c>
      <c r="N155" s="25">
        <v>0.37790000000000001</v>
      </c>
      <c r="O155" s="24">
        <v>0</v>
      </c>
      <c r="P155" s="24">
        <v>189.5</v>
      </c>
      <c r="Q155" s="24">
        <v>133.5</v>
      </c>
      <c r="R155" s="22">
        <v>56</v>
      </c>
      <c r="S155" s="24">
        <v>24</v>
      </c>
      <c r="T155" s="24">
        <f t="shared" si="10"/>
        <v>213.5</v>
      </c>
      <c r="U155" s="376">
        <v>667.89</v>
      </c>
      <c r="V155" s="376">
        <v>88.37</v>
      </c>
      <c r="W155" s="22">
        <f t="shared" si="11"/>
        <v>252.39563100000001</v>
      </c>
      <c r="X155" s="22">
        <f t="shared" si="12"/>
        <v>191.25</v>
      </c>
      <c r="Y155" s="22">
        <v>134.25</v>
      </c>
      <c r="Z155" s="22">
        <v>57</v>
      </c>
      <c r="AA155" s="371">
        <v>1745.05</v>
      </c>
      <c r="AB155" s="22">
        <v>0.10959571358986848</v>
      </c>
      <c r="AC155" s="24">
        <v>0</v>
      </c>
      <c r="AD155" s="384">
        <v>0</v>
      </c>
    </row>
    <row r="156" spans="1:30">
      <c r="A156" s="21" t="s">
        <v>337</v>
      </c>
      <c r="B156" s="21" t="s">
        <v>338</v>
      </c>
      <c r="C156" s="23">
        <v>152</v>
      </c>
      <c r="D156" s="147">
        <v>0</v>
      </c>
      <c r="E156" s="22">
        <v>39.130000000000003</v>
      </c>
      <c r="F156" s="22">
        <v>39.130000000000003</v>
      </c>
      <c r="G156" s="22">
        <v>0</v>
      </c>
      <c r="H156" s="22">
        <v>10</v>
      </c>
      <c r="I156" s="22">
        <v>0.28000000000000003</v>
      </c>
      <c r="J156" s="22">
        <v>25.700000000000003</v>
      </c>
      <c r="K156" s="22">
        <v>0</v>
      </c>
      <c r="L156" s="22">
        <v>0</v>
      </c>
      <c r="M156" s="388">
        <v>654.98</v>
      </c>
      <c r="N156" s="25">
        <v>0.39369999999999999</v>
      </c>
      <c r="O156" s="24">
        <v>42</v>
      </c>
      <c r="P156" s="24">
        <v>24</v>
      </c>
      <c r="Q156" s="24">
        <v>16</v>
      </c>
      <c r="R156" s="22">
        <v>8</v>
      </c>
      <c r="S156" s="24">
        <v>3.25</v>
      </c>
      <c r="T156" s="24">
        <f t="shared" si="10"/>
        <v>27.25</v>
      </c>
      <c r="U156" s="376">
        <v>257.87</v>
      </c>
      <c r="V156" s="376">
        <v>32.75</v>
      </c>
      <c r="W156" s="22">
        <f t="shared" si="11"/>
        <v>101.523419</v>
      </c>
      <c r="X156" s="22">
        <f t="shared" si="12"/>
        <v>77.25</v>
      </c>
      <c r="Y156" s="22">
        <v>68.25</v>
      </c>
      <c r="Z156" s="22">
        <v>9</v>
      </c>
      <c r="AA156" s="371">
        <v>716.16</v>
      </c>
      <c r="AB156" s="22">
        <v>0.10786695710455764</v>
      </c>
      <c r="AC156" s="24">
        <v>0</v>
      </c>
      <c r="AD156" s="384">
        <v>0</v>
      </c>
    </row>
    <row r="157" spans="1:30">
      <c r="A157" s="21" t="s">
        <v>419</v>
      </c>
      <c r="B157" s="21" t="s">
        <v>420</v>
      </c>
      <c r="C157" s="23">
        <v>18</v>
      </c>
      <c r="D157" s="147">
        <v>0</v>
      </c>
      <c r="E157" s="22">
        <v>0</v>
      </c>
      <c r="F157" s="22">
        <v>0</v>
      </c>
      <c r="G157" s="22">
        <v>0</v>
      </c>
      <c r="H157" s="22">
        <v>0</v>
      </c>
      <c r="I157" s="22">
        <v>0</v>
      </c>
      <c r="J157" s="22">
        <v>0</v>
      </c>
      <c r="K157" s="22">
        <v>0</v>
      </c>
      <c r="L157" s="22">
        <v>0</v>
      </c>
      <c r="M157" s="388">
        <v>65</v>
      </c>
      <c r="N157" s="25">
        <v>0.51160000000000005</v>
      </c>
      <c r="O157" s="24">
        <v>34</v>
      </c>
      <c r="P157" s="24">
        <v>0</v>
      </c>
      <c r="Q157" s="24">
        <v>0</v>
      </c>
      <c r="R157" s="22">
        <v>0</v>
      </c>
      <c r="S157" s="24">
        <v>0</v>
      </c>
      <c r="T157" s="24">
        <f t="shared" si="10"/>
        <v>0</v>
      </c>
      <c r="U157" s="376">
        <v>33.25</v>
      </c>
      <c r="V157" s="376">
        <v>0</v>
      </c>
      <c r="W157" s="22">
        <f t="shared" si="11"/>
        <v>17.010700000000003</v>
      </c>
      <c r="X157" s="22">
        <f t="shared" si="12"/>
        <v>5.25</v>
      </c>
      <c r="Y157" s="22">
        <v>4.25</v>
      </c>
      <c r="Z157" s="22">
        <v>1</v>
      </c>
      <c r="AA157" s="371">
        <v>25.99</v>
      </c>
      <c r="AB157" s="22">
        <v>0.20200076952674106</v>
      </c>
      <c r="AC157" s="24">
        <v>6.7000769526741055E-2</v>
      </c>
      <c r="AD157" s="384">
        <v>-15678.374852275365</v>
      </c>
    </row>
    <row r="158" spans="1:30">
      <c r="A158" s="21" t="s">
        <v>437</v>
      </c>
      <c r="B158" s="21" t="s">
        <v>438</v>
      </c>
      <c r="C158" s="23">
        <v>1281</v>
      </c>
      <c r="D158" s="147">
        <v>74.430000000000007</v>
      </c>
      <c r="E158" s="22">
        <v>384.65</v>
      </c>
      <c r="F158" s="22">
        <v>459.08</v>
      </c>
      <c r="G158" s="22">
        <v>0</v>
      </c>
      <c r="H158" s="22">
        <v>195</v>
      </c>
      <c r="I158" s="22">
        <v>13.71</v>
      </c>
      <c r="J158" s="22">
        <v>763.31999999999994</v>
      </c>
      <c r="K158" s="22">
        <v>0</v>
      </c>
      <c r="L158" s="22">
        <v>0</v>
      </c>
      <c r="M158" s="388">
        <v>5827.03</v>
      </c>
      <c r="N158" s="25">
        <v>0.31219999999999998</v>
      </c>
      <c r="O158" s="24">
        <v>595</v>
      </c>
      <c r="P158" s="24">
        <v>661.25</v>
      </c>
      <c r="Q158" s="24">
        <v>432.5</v>
      </c>
      <c r="R158" s="22">
        <v>228.75</v>
      </c>
      <c r="S158" s="24">
        <v>118.5</v>
      </c>
      <c r="T158" s="24">
        <f t="shared" si="10"/>
        <v>779.75</v>
      </c>
      <c r="U158" s="376">
        <v>1814.54</v>
      </c>
      <c r="V158" s="376">
        <v>291.35000000000002</v>
      </c>
      <c r="W158" s="22">
        <f t="shared" si="11"/>
        <v>566.49938799999995</v>
      </c>
      <c r="X158" s="22">
        <f t="shared" si="12"/>
        <v>708</v>
      </c>
      <c r="Y158" s="22">
        <v>546</v>
      </c>
      <c r="Z158" s="22">
        <v>162</v>
      </c>
      <c r="AA158" s="371">
        <v>5847.81</v>
      </c>
      <c r="AB158" s="22">
        <v>0.12107096502793352</v>
      </c>
      <c r="AC158" s="24">
        <v>0</v>
      </c>
      <c r="AD158" s="384">
        <v>0</v>
      </c>
    </row>
    <row r="159" spans="1:30">
      <c r="A159" s="21" t="s">
        <v>149</v>
      </c>
      <c r="B159" s="21" t="s">
        <v>150</v>
      </c>
      <c r="C159" s="23">
        <v>366</v>
      </c>
      <c r="D159" s="147">
        <v>21.92</v>
      </c>
      <c r="E159" s="22">
        <v>146.30000000000001</v>
      </c>
      <c r="F159" s="22">
        <v>168.22000000000003</v>
      </c>
      <c r="G159" s="22">
        <v>0</v>
      </c>
      <c r="H159" s="22">
        <v>40</v>
      </c>
      <c r="I159" s="22">
        <v>2.3199999999999998</v>
      </c>
      <c r="J159" s="22">
        <v>0</v>
      </c>
      <c r="K159" s="22">
        <v>12</v>
      </c>
      <c r="L159" s="22">
        <v>0</v>
      </c>
      <c r="M159" s="388">
        <v>1372.32</v>
      </c>
      <c r="N159" s="25">
        <v>0.3649</v>
      </c>
      <c r="O159" s="24">
        <v>0</v>
      </c>
      <c r="P159" s="24">
        <v>24</v>
      </c>
      <c r="Q159" s="24">
        <v>15</v>
      </c>
      <c r="R159" s="22">
        <v>9</v>
      </c>
      <c r="S159" s="24">
        <v>8</v>
      </c>
      <c r="T159" s="24">
        <f t="shared" si="10"/>
        <v>32</v>
      </c>
      <c r="U159" s="376">
        <v>500.76</v>
      </c>
      <c r="V159" s="376">
        <v>68.62</v>
      </c>
      <c r="W159" s="22">
        <f t="shared" si="11"/>
        <v>182.72732400000001</v>
      </c>
      <c r="X159" s="22">
        <f t="shared" si="12"/>
        <v>190</v>
      </c>
      <c r="Y159" s="22">
        <v>102.25</v>
      </c>
      <c r="Z159" s="22">
        <v>87.75</v>
      </c>
      <c r="AA159" s="371">
        <v>1356.66</v>
      </c>
      <c r="AB159" s="22">
        <v>0.14004982825468429</v>
      </c>
      <c r="AC159" s="24">
        <v>5.0498282546842799E-3</v>
      </c>
      <c r="AD159" s="384">
        <v>-62850.852840257496</v>
      </c>
    </row>
    <row r="160" spans="1:30">
      <c r="A160" s="21" t="s">
        <v>277</v>
      </c>
      <c r="B160" s="21" t="s">
        <v>278</v>
      </c>
      <c r="C160" s="23">
        <v>90</v>
      </c>
      <c r="D160" s="147">
        <v>26.31</v>
      </c>
      <c r="E160" s="22">
        <v>55.96</v>
      </c>
      <c r="F160" s="22">
        <v>82.27</v>
      </c>
      <c r="G160" s="22">
        <v>0</v>
      </c>
      <c r="H160" s="22">
        <v>6</v>
      </c>
      <c r="I160" s="22">
        <v>1.9</v>
      </c>
      <c r="J160" s="22">
        <v>0</v>
      </c>
      <c r="K160" s="22">
        <v>1</v>
      </c>
      <c r="L160" s="22">
        <v>0</v>
      </c>
      <c r="M160" s="388">
        <v>310.89999999999998</v>
      </c>
      <c r="N160" s="25">
        <v>0.59050000000000002</v>
      </c>
      <c r="O160" s="24">
        <v>388</v>
      </c>
      <c r="P160" s="24">
        <v>0</v>
      </c>
      <c r="Q160" s="24">
        <v>0</v>
      </c>
      <c r="R160" s="22">
        <v>0</v>
      </c>
      <c r="S160" s="24">
        <v>0</v>
      </c>
      <c r="T160" s="24">
        <f t="shared" si="10"/>
        <v>0</v>
      </c>
      <c r="U160" s="376">
        <v>183.59</v>
      </c>
      <c r="V160" s="376">
        <v>15.55</v>
      </c>
      <c r="W160" s="22">
        <f t="shared" si="11"/>
        <v>108.40989500000001</v>
      </c>
      <c r="X160" s="22">
        <f t="shared" si="12"/>
        <v>44.5</v>
      </c>
      <c r="Y160" s="22">
        <v>30</v>
      </c>
      <c r="Z160" s="22">
        <v>14.5</v>
      </c>
      <c r="AA160" s="371">
        <v>380.56</v>
      </c>
      <c r="AB160" s="22">
        <v>0.11693294092915703</v>
      </c>
      <c r="AC160" s="24">
        <v>0</v>
      </c>
      <c r="AD160" s="384">
        <v>0</v>
      </c>
    </row>
    <row r="161" spans="1:30">
      <c r="A161" s="21" t="s">
        <v>133</v>
      </c>
      <c r="B161" s="21" t="s">
        <v>134</v>
      </c>
      <c r="C161" s="23">
        <v>2344</v>
      </c>
      <c r="D161" s="147">
        <v>33.65</v>
      </c>
      <c r="E161" s="22">
        <v>416.27</v>
      </c>
      <c r="F161" s="22">
        <v>449.91999999999996</v>
      </c>
      <c r="G161" s="22">
        <v>210</v>
      </c>
      <c r="H161" s="22">
        <v>248</v>
      </c>
      <c r="I161" s="22">
        <v>12.59</v>
      </c>
      <c r="J161" s="22">
        <v>184.47</v>
      </c>
      <c r="K161" s="22">
        <v>103.56</v>
      </c>
      <c r="L161" s="22">
        <v>0</v>
      </c>
      <c r="M161" s="388">
        <v>8627.619999999999</v>
      </c>
      <c r="N161" s="25">
        <v>0.63880000000000003</v>
      </c>
      <c r="O161" s="24">
        <v>7591</v>
      </c>
      <c r="P161" s="24">
        <v>1095.5</v>
      </c>
      <c r="Q161" s="24">
        <v>653.25</v>
      </c>
      <c r="R161" s="22">
        <v>442.25</v>
      </c>
      <c r="S161" s="24">
        <v>303.75</v>
      </c>
      <c r="T161" s="24">
        <f t="shared" si="10"/>
        <v>1399.25</v>
      </c>
      <c r="U161" s="376">
        <v>5511.32</v>
      </c>
      <c r="V161" s="376">
        <v>431.38</v>
      </c>
      <c r="W161" s="22">
        <f t="shared" si="11"/>
        <v>3520.6312160000002</v>
      </c>
      <c r="X161" s="22">
        <f t="shared" si="12"/>
        <v>1115.75</v>
      </c>
      <c r="Y161" s="22">
        <v>750.75</v>
      </c>
      <c r="Z161" s="22">
        <v>365</v>
      </c>
      <c r="AA161" s="371">
        <v>8286.33</v>
      </c>
      <c r="AB161" s="22">
        <v>0.13464947690956069</v>
      </c>
      <c r="AC161" s="24">
        <v>0</v>
      </c>
      <c r="AD161" s="384">
        <v>0</v>
      </c>
    </row>
    <row r="162" spans="1:30">
      <c r="A162" s="21" t="s">
        <v>275</v>
      </c>
      <c r="B162" s="21" t="s">
        <v>276</v>
      </c>
      <c r="C162" s="23">
        <v>149</v>
      </c>
      <c r="D162" s="147">
        <v>14.56</v>
      </c>
      <c r="E162" s="22">
        <v>34.28</v>
      </c>
      <c r="F162" s="22">
        <v>48.84</v>
      </c>
      <c r="G162" s="22">
        <v>0</v>
      </c>
      <c r="H162" s="22">
        <v>8</v>
      </c>
      <c r="I162" s="22">
        <v>0.17</v>
      </c>
      <c r="J162" s="22">
        <v>13.36</v>
      </c>
      <c r="K162" s="22">
        <v>0</v>
      </c>
      <c r="L162" s="22">
        <v>0</v>
      </c>
      <c r="M162" s="388">
        <v>529.53</v>
      </c>
      <c r="N162" s="25">
        <v>0.65010000000000001</v>
      </c>
      <c r="O162" s="24">
        <v>583</v>
      </c>
      <c r="P162" s="24">
        <v>54.75</v>
      </c>
      <c r="Q162" s="24">
        <v>30.25</v>
      </c>
      <c r="R162" s="22">
        <v>24.5</v>
      </c>
      <c r="S162" s="24">
        <v>10</v>
      </c>
      <c r="T162" s="24">
        <f t="shared" si="10"/>
        <v>64.75</v>
      </c>
      <c r="U162" s="376">
        <v>344.25</v>
      </c>
      <c r="V162" s="376">
        <v>26.48</v>
      </c>
      <c r="W162" s="22">
        <f t="shared" si="11"/>
        <v>223.79692500000002</v>
      </c>
      <c r="X162" s="22">
        <f t="shared" si="12"/>
        <v>91.25</v>
      </c>
      <c r="Y162" s="22">
        <v>42.5</v>
      </c>
      <c r="Z162" s="22">
        <v>48.75</v>
      </c>
      <c r="AA162" s="371">
        <v>576.91999999999996</v>
      </c>
      <c r="AB162" s="22">
        <v>0.15816751022672121</v>
      </c>
      <c r="AC162" s="24">
        <v>2.31675102267212E-2</v>
      </c>
      <c r="AD162" s="384">
        <v>-120359.80237947876</v>
      </c>
    </row>
    <row r="163" spans="1:30">
      <c r="A163" s="21" t="s">
        <v>609</v>
      </c>
      <c r="B163" s="21" t="s">
        <v>610</v>
      </c>
      <c r="C163" s="23">
        <v>254</v>
      </c>
      <c r="D163" s="147">
        <v>2.3199999999999998</v>
      </c>
      <c r="E163" s="22">
        <v>22.8</v>
      </c>
      <c r="F163" s="22">
        <v>25.12</v>
      </c>
      <c r="G163" s="22">
        <v>0</v>
      </c>
      <c r="H163" s="22">
        <v>0</v>
      </c>
      <c r="I163" s="22">
        <v>0.38</v>
      </c>
      <c r="J163" s="22">
        <v>21.599999999999998</v>
      </c>
      <c r="K163" s="22">
        <v>1.2</v>
      </c>
      <c r="L163" s="22">
        <v>0</v>
      </c>
      <c r="M163" s="388">
        <v>852.18000000000006</v>
      </c>
      <c r="N163" s="25">
        <v>0.996</v>
      </c>
      <c r="O163" s="24">
        <v>818</v>
      </c>
      <c r="P163" s="24">
        <v>124.5</v>
      </c>
      <c r="Q163" s="24">
        <v>75.5</v>
      </c>
      <c r="R163" s="22">
        <v>49</v>
      </c>
      <c r="S163" s="24">
        <v>17</v>
      </c>
      <c r="T163" s="24">
        <f t="shared" si="10"/>
        <v>141.5</v>
      </c>
      <c r="U163" s="376">
        <v>848.77</v>
      </c>
      <c r="V163" s="376">
        <v>42.61</v>
      </c>
      <c r="W163" s="22">
        <f t="shared" si="11"/>
        <v>845.37491999999997</v>
      </c>
      <c r="X163" s="22">
        <f t="shared" si="12"/>
        <v>122.5</v>
      </c>
      <c r="Y163" s="22">
        <v>71</v>
      </c>
      <c r="Z163" s="22">
        <v>51.5</v>
      </c>
      <c r="AA163" s="371">
        <v>823.08</v>
      </c>
      <c r="AB163" s="22">
        <v>0.14883121932254459</v>
      </c>
      <c r="AC163" s="24">
        <v>1.383121932254458E-2</v>
      </c>
      <c r="AD163" s="384">
        <v>-103030.84778156843</v>
      </c>
    </row>
    <row r="164" spans="1:30">
      <c r="A164" s="21" t="s">
        <v>551</v>
      </c>
      <c r="B164" s="21" t="s">
        <v>552</v>
      </c>
      <c r="C164" s="23">
        <v>491</v>
      </c>
      <c r="D164" s="147">
        <v>7.49</v>
      </c>
      <c r="E164" s="22">
        <v>87.8</v>
      </c>
      <c r="F164" s="22">
        <v>95.289999999999992</v>
      </c>
      <c r="G164" s="22">
        <v>0</v>
      </c>
      <c r="H164" s="22">
        <v>50</v>
      </c>
      <c r="I164" s="22">
        <v>3.7</v>
      </c>
      <c r="J164" s="22">
        <v>80.45</v>
      </c>
      <c r="K164" s="22">
        <v>14.37</v>
      </c>
      <c r="L164" s="22">
        <v>0.43</v>
      </c>
      <c r="M164" s="388">
        <v>1774.95</v>
      </c>
      <c r="N164" s="25">
        <v>0.55310000000000004</v>
      </c>
      <c r="O164" s="24">
        <v>1292</v>
      </c>
      <c r="P164" s="24">
        <v>87.25</v>
      </c>
      <c r="Q164" s="24">
        <v>51.25</v>
      </c>
      <c r="R164" s="22">
        <v>36</v>
      </c>
      <c r="S164" s="24">
        <v>17</v>
      </c>
      <c r="T164" s="24">
        <f t="shared" si="10"/>
        <v>104.25</v>
      </c>
      <c r="U164" s="376">
        <v>981.72</v>
      </c>
      <c r="V164" s="376">
        <v>88.75</v>
      </c>
      <c r="W164" s="22">
        <f t="shared" si="11"/>
        <v>542.9893320000001</v>
      </c>
      <c r="X164" s="22">
        <f t="shared" si="12"/>
        <v>285.75</v>
      </c>
      <c r="Y164" s="22">
        <v>207.75</v>
      </c>
      <c r="Z164" s="22">
        <v>78</v>
      </c>
      <c r="AA164" s="371">
        <v>1642.18</v>
      </c>
      <c r="AB164" s="22">
        <v>0.17400650355015893</v>
      </c>
      <c r="AC164" s="24">
        <v>3.9006503550158916E-2</v>
      </c>
      <c r="AD164" s="384">
        <v>-627720.15334596217</v>
      </c>
    </row>
    <row r="165" spans="1:30">
      <c r="A165" s="21" t="s">
        <v>417</v>
      </c>
      <c r="B165" s="21" t="s">
        <v>418</v>
      </c>
      <c r="C165" s="23">
        <v>28</v>
      </c>
      <c r="D165" s="147">
        <v>0</v>
      </c>
      <c r="E165" s="22">
        <v>0</v>
      </c>
      <c r="F165" s="22">
        <v>0</v>
      </c>
      <c r="G165" s="22">
        <v>0</v>
      </c>
      <c r="H165" s="22">
        <v>0</v>
      </c>
      <c r="I165" s="22">
        <v>0</v>
      </c>
      <c r="J165" s="22">
        <v>0</v>
      </c>
      <c r="K165" s="22">
        <v>0</v>
      </c>
      <c r="L165" s="22">
        <v>0</v>
      </c>
      <c r="M165" s="388">
        <v>63</v>
      </c>
      <c r="N165" s="25">
        <v>0.22409999999999999</v>
      </c>
      <c r="O165" s="24">
        <v>0</v>
      </c>
      <c r="P165" s="24">
        <v>0</v>
      </c>
      <c r="Q165" s="24">
        <v>0</v>
      </c>
      <c r="R165" s="22">
        <v>0</v>
      </c>
      <c r="S165" s="24">
        <v>0</v>
      </c>
      <c r="T165" s="24">
        <f t="shared" si="10"/>
        <v>0</v>
      </c>
      <c r="U165" s="376">
        <v>14.12</v>
      </c>
      <c r="V165" s="376">
        <v>3.15</v>
      </c>
      <c r="W165" s="22">
        <f t="shared" si="11"/>
        <v>3.1642919999999997</v>
      </c>
      <c r="X165" s="22">
        <f t="shared" si="12"/>
        <v>4.5</v>
      </c>
      <c r="Y165" s="22">
        <v>4.5</v>
      </c>
      <c r="Z165" s="22">
        <v>0</v>
      </c>
      <c r="AA165" s="371">
        <v>59.8</v>
      </c>
      <c r="AB165" s="22">
        <v>7.5250836120401343E-2</v>
      </c>
      <c r="AC165" s="24">
        <v>0</v>
      </c>
      <c r="AD165" s="384">
        <v>0</v>
      </c>
    </row>
    <row r="166" spans="1:30">
      <c r="A166" s="21" t="s">
        <v>413</v>
      </c>
      <c r="B166" s="21" t="s">
        <v>414</v>
      </c>
      <c r="C166" s="23">
        <v>1889</v>
      </c>
      <c r="D166" s="147">
        <v>0</v>
      </c>
      <c r="E166" s="22">
        <v>421.29</v>
      </c>
      <c r="F166" s="22">
        <v>421.29</v>
      </c>
      <c r="G166" s="22">
        <v>191.36</v>
      </c>
      <c r="H166" s="22">
        <v>140</v>
      </c>
      <c r="I166" s="22">
        <v>6.42</v>
      </c>
      <c r="J166" s="22">
        <v>403.72</v>
      </c>
      <c r="K166" s="22">
        <v>23.2</v>
      </c>
      <c r="L166" s="22">
        <v>0</v>
      </c>
      <c r="M166" s="388">
        <v>6856.34</v>
      </c>
      <c r="N166" s="25">
        <v>0.63229999999999997</v>
      </c>
      <c r="O166" s="24">
        <v>6111</v>
      </c>
      <c r="P166" s="24">
        <v>1568.5</v>
      </c>
      <c r="Q166" s="24">
        <v>989.25</v>
      </c>
      <c r="R166" s="22">
        <v>579.25</v>
      </c>
      <c r="S166" s="24">
        <v>182.75</v>
      </c>
      <c r="T166" s="24">
        <f t="shared" si="10"/>
        <v>1751.25</v>
      </c>
      <c r="U166" s="376">
        <v>4335.26</v>
      </c>
      <c r="V166" s="376">
        <v>342.82</v>
      </c>
      <c r="W166" s="22">
        <f t="shared" si="11"/>
        <v>2741.184898</v>
      </c>
      <c r="X166" s="22">
        <f t="shared" si="12"/>
        <v>858</v>
      </c>
      <c r="Y166" s="22">
        <v>514</v>
      </c>
      <c r="Z166" s="22">
        <v>344</v>
      </c>
      <c r="AA166" s="371">
        <v>6418.03</v>
      </c>
      <c r="AB166" s="22">
        <v>0.13368588180485289</v>
      </c>
      <c r="AC166" s="24">
        <v>0</v>
      </c>
      <c r="AD166" s="384">
        <v>0</v>
      </c>
    </row>
    <row r="167" spans="1:30">
      <c r="A167" s="21" t="s">
        <v>223</v>
      </c>
      <c r="B167" s="21" t="s">
        <v>224</v>
      </c>
      <c r="C167" s="23">
        <v>160.19999999999999</v>
      </c>
      <c r="D167" s="147">
        <v>0.27</v>
      </c>
      <c r="E167" s="22">
        <v>6.56</v>
      </c>
      <c r="F167" s="22">
        <v>6.83</v>
      </c>
      <c r="G167" s="22">
        <v>0</v>
      </c>
      <c r="H167" s="22">
        <v>2.69</v>
      </c>
      <c r="I167" s="22">
        <v>0.33</v>
      </c>
      <c r="J167" s="22">
        <v>0</v>
      </c>
      <c r="K167" s="22">
        <v>0</v>
      </c>
      <c r="L167" s="22">
        <v>0</v>
      </c>
      <c r="M167" s="388">
        <v>526.33000000000015</v>
      </c>
      <c r="N167" s="25">
        <v>0.82310000000000005</v>
      </c>
      <c r="O167" s="24">
        <v>520</v>
      </c>
      <c r="P167" s="24">
        <v>0</v>
      </c>
      <c r="Q167" s="24">
        <v>0</v>
      </c>
      <c r="R167" s="22">
        <v>0</v>
      </c>
      <c r="S167" s="24">
        <v>0</v>
      </c>
      <c r="T167" s="24">
        <f t="shared" si="10"/>
        <v>0</v>
      </c>
      <c r="U167" s="376">
        <v>433.22</v>
      </c>
      <c r="V167" s="376">
        <v>0</v>
      </c>
      <c r="W167" s="22">
        <f t="shared" si="11"/>
        <v>356.58338200000003</v>
      </c>
      <c r="X167" s="22">
        <f t="shared" si="12"/>
        <v>0</v>
      </c>
      <c r="Y167" s="22">
        <v>0</v>
      </c>
      <c r="Z167" s="22">
        <v>0</v>
      </c>
      <c r="AA167" s="371">
        <v>526.87</v>
      </c>
      <c r="AB167" s="22">
        <v>0</v>
      </c>
      <c r="AC167" s="24">
        <v>0</v>
      </c>
      <c r="AD167" s="384">
        <v>0</v>
      </c>
    </row>
    <row r="168" spans="1:30">
      <c r="A168" s="21" t="s">
        <v>427</v>
      </c>
      <c r="B168" s="21" t="s">
        <v>428</v>
      </c>
      <c r="C168" s="23">
        <v>4667</v>
      </c>
      <c r="D168" s="147">
        <v>166.94</v>
      </c>
      <c r="E168" s="22">
        <v>554.14</v>
      </c>
      <c r="F168" s="22">
        <v>721.07999999999993</v>
      </c>
      <c r="G168" s="22">
        <v>482.67</v>
      </c>
      <c r="H168" s="22">
        <v>336</v>
      </c>
      <c r="I168" s="22">
        <v>26.01</v>
      </c>
      <c r="J168" s="22">
        <v>0</v>
      </c>
      <c r="K168" s="22">
        <v>37.4</v>
      </c>
      <c r="L168" s="22">
        <v>0</v>
      </c>
      <c r="M168" s="388">
        <v>15511.41</v>
      </c>
      <c r="N168" s="25">
        <v>0.49730000000000002</v>
      </c>
      <c r="O168" s="24">
        <v>8691</v>
      </c>
      <c r="P168" s="24">
        <v>3253.75</v>
      </c>
      <c r="Q168" s="24">
        <v>2258.25</v>
      </c>
      <c r="R168" s="22">
        <v>995.5</v>
      </c>
      <c r="S168" s="24">
        <v>546.75</v>
      </c>
      <c r="T168" s="24">
        <f t="shared" si="10"/>
        <v>3800.5</v>
      </c>
      <c r="U168" s="376">
        <v>7715.38</v>
      </c>
      <c r="V168" s="376">
        <v>775.57</v>
      </c>
      <c r="W168" s="22">
        <f t="shared" si="11"/>
        <v>3836.8584740000001</v>
      </c>
      <c r="X168" s="22">
        <f t="shared" si="12"/>
        <v>1979</v>
      </c>
      <c r="Y168" s="22">
        <v>1223.25</v>
      </c>
      <c r="Z168" s="22">
        <v>755.75</v>
      </c>
      <c r="AA168" s="371">
        <v>14647.94</v>
      </c>
      <c r="AB168" s="22">
        <v>0.13510432183638107</v>
      </c>
      <c r="AC168" s="24">
        <v>1.0432183638106607E-4</v>
      </c>
      <c r="AD168" s="384">
        <v>-15656.778380547683</v>
      </c>
    </row>
    <row r="169" spans="1:30">
      <c r="A169" s="21" t="s">
        <v>583</v>
      </c>
      <c r="B169" s="21" t="s">
        <v>584</v>
      </c>
      <c r="C169" s="23">
        <v>378</v>
      </c>
      <c r="D169" s="147">
        <v>20.63</v>
      </c>
      <c r="E169" s="22">
        <v>63.17</v>
      </c>
      <c r="F169" s="22">
        <v>83.8</v>
      </c>
      <c r="G169" s="22">
        <v>0</v>
      </c>
      <c r="H169" s="22">
        <v>21</v>
      </c>
      <c r="I169" s="22">
        <v>2.65</v>
      </c>
      <c r="J169" s="22">
        <v>40.160000000000004</v>
      </c>
      <c r="K169" s="22">
        <v>2.8</v>
      </c>
      <c r="L169" s="22">
        <v>0</v>
      </c>
      <c r="M169" s="388">
        <v>1240.6100000000001</v>
      </c>
      <c r="N169" s="25">
        <v>0.52549999999999997</v>
      </c>
      <c r="O169" s="24">
        <v>841</v>
      </c>
      <c r="P169" s="24">
        <v>72.75</v>
      </c>
      <c r="Q169" s="24">
        <v>41</v>
      </c>
      <c r="R169" s="22">
        <v>31.75</v>
      </c>
      <c r="S169" s="24">
        <v>26.25</v>
      </c>
      <c r="T169" s="24">
        <f t="shared" si="10"/>
        <v>99</v>
      </c>
      <c r="U169" s="376">
        <v>649.46</v>
      </c>
      <c r="V169" s="376">
        <v>62.03</v>
      </c>
      <c r="W169" s="22">
        <f t="shared" si="11"/>
        <v>341.29122999999998</v>
      </c>
      <c r="X169" s="22">
        <f t="shared" si="12"/>
        <v>158.25</v>
      </c>
      <c r="Y169" s="22">
        <v>120.75</v>
      </c>
      <c r="Z169" s="22">
        <v>37.5</v>
      </c>
      <c r="AA169" s="371">
        <v>1237.22</v>
      </c>
      <c r="AB169" s="22">
        <v>0.12790772861738414</v>
      </c>
      <c r="AC169" s="24">
        <v>0</v>
      </c>
      <c r="AD169" s="384">
        <v>0</v>
      </c>
    </row>
    <row r="170" spans="1:30">
      <c r="A170" s="21" t="s">
        <v>271</v>
      </c>
      <c r="B170" s="21" t="s">
        <v>272</v>
      </c>
      <c r="C170" s="23">
        <v>191</v>
      </c>
      <c r="D170" s="147">
        <v>42.48</v>
      </c>
      <c r="E170" s="22">
        <v>77.87</v>
      </c>
      <c r="F170" s="22">
        <v>120.35</v>
      </c>
      <c r="G170" s="22">
        <v>0</v>
      </c>
      <c r="H170" s="22">
        <v>29</v>
      </c>
      <c r="I170" s="22">
        <v>1.45</v>
      </c>
      <c r="J170" s="22">
        <v>0.8</v>
      </c>
      <c r="K170" s="22">
        <v>2.4</v>
      </c>
      <c r="L170" s="22">
        <v>0</v>
      </c>
      <c r="M170" s="388">
        <v>755.65</v>
      </c>
      <c r="N170" s="25">
        <v>0.46410000000000001</v>
      </c>
      <c r="O170" s="24">
        <v>0</v>
      </c>
      <c r="P170" s="24">
        <v>18</v>
      </c>
      <c r="Q170" s="24">
        <v>12</v>
      </c>
      <c r="R170" s="22">
        <v>6</v>
      </c>
      <c r="S170" s="24">
        <v>2.75</v>
      </c>
      <c r="T170" s="24">
        <f t="shared" si="10"/>
        <v>20.75</v>
      </c>
      <c r="U170" s="376">
        <v>350.7</v>
      </c>
      <c r="V170" s="376">
        <v>37.78</v>
      </c>
      <c r="W170" s="22">
        <f t="shared" si="11"/>
        <v>162.75987000000001</v>
      </c>
      <c r="X170" s="22">
        <f t="shared" si="12"/>
        <v>76.75</v>
      </c>
      <c r="Y170" s="22">
        <v>52.75</v>
      </c>
      <c r="Z170" s="22">
        <v>24</v>
      </c>
      <c r="AA170" s="371">
        <v>770.63</v>
      </c>
      <c r="AB170" s="22">
        <v>9.9593838807209692E-2</v>
      </c>
      <c r="AC170" s="24">
        <v>0</v>
      </c>
      <c r="AD170" s="384">
        <v>0</v>
      </c>
    </row>
    <row r="171" spans="1:30">
      <c r="A171" s="21" t="s">
        <v>349</v>
      </c>
      <c r="B171" s="21" t="s">
        <v>350</v>
      </c>
      <c r="C171" s="23">
        <v>59</v>
      </c>
      <c r="D171" s="147">
        <v>2.02</v>
      </c>
      <c r="E171" s="22">
        <v>10.82</v>
      </c>
      <c r="F171" s="22">
        <v>12.84</v>
      </c>
      <c r="G171" s="22">
        <v>0</v>
      </c>
      <c r="H171" s="22">
        <v>9</v>
      </c>
      <c r="I171" s="22">
        <v>0.71</v>
      </c>
      <c r="J171" s="22">
        <v>0</v>
      </c>
      <c r="K171" s="22">
        <v>0</v>
      </c>
      <c r="L171" s="22">
        <v>0</v>
      </c>
      <c r="M171" s="388">
        <v>286.70999999999998</v>
      </c>
      <c r="N171" s="25">
        <v>0.52969999999999995</v>
      </c>
      <c r="O171" s="24">
        <v>319</v>
      </c>
      <c r="P171" s="24">
        <v>13</v>
      </c>
      <c r="Q171" s="24">
        <v>2</v>
      </c>
      <c r="R171" s="22">
        <v>11</v>
      </c>
      <c r="S171" s="24">
        <v>0</v>
      </c>
      <c r="T171" s="24">
        <f t="shared" si="10"/>
        <v>13</v>
      </c>
      <c r="U171" s="376">
        <v>151.87</v>
      </c>
      <c r="V171" s="376">
        <v>14.34</v>
      </c>
      <c r="W171" s="22">
        <f t="shared" si="11"/>
        <v>80.445538999999997</v>
      </c>
      <c r="X171" s="22">
        <f t="shared" si="12"/>
        <v>41.75</v>
      </c>
      <c r="Y171" s="22">
        <v>25.5</v>
      </c>
      <c r="Z171" s="22">
        <v>16.25</v>
      </c>
      <c r="AA171" s="371">
        <v>312.37</v>
      </c>
      <c r="AB171" s="22">
        <v>0.13365560072990365</v>
      </c>
      <c r="AC171" s="24">
        <v>0</v>
      </c>
      <c r="AD171" s="384">
        <v>0</v>
      </c>
    </row>
    <row r="172" spans="1:30">
      <c r="A172" s="21" t="s">
        <v>327</v>
      </c>
      <c r="B172" s="21" t="s">
        <v>328</v>
      </c>
      <c r="C172" s="23">
        <v>46</v>
      </c>
      <c r="D172" s="147">
        <v>0</v>
      </c>
      <c r="E172" s="22">
        <v>0</v>
      </c>
      <c r="F172" s="22">
        <v>0</v>
      </c>
      <c r="G172" s="22">
        <v>0</v>
      </c>
      <c r="H172" s="22">
        <v>0</v>
      </c>
      <c r="I172" s="22">
        <v>0</v>
      </c>
      <c r="J172" s="22">
        <v>0</v>
      </c>
      <c r="K172" s="22">
        <v>0</v>
      </c>
      <c r="L172" s="22">
        <v>0</v>
      </c>
      <c r="M172" s="388">
        <v>115</v>
      </c>
      <c r="N172" s="25">
        <v>1</v>
      </c>
      <c r="O172" s="24">
        <v>130</v>
      </c>
      <c r="P172" s="24">
        <v>0</v>
      </c>
      <c r="Q172" s="24">
        <v>0</v>
      </c>
      <c r="R172" s="22">
        <v>0</v>
      </c>
      <c r="S172" s="24">
        <v>0</v>
      </c>
      <c r="T172" s="24">
        <f t="shared" si="10"/>
        <v>0</v>
      </c>
      <c r="U172" s="376">
        <v>115</v>
      </c>
      <c r="V172" s="376">
        <v>0</v>
      </c>
      <c r="W172" s="22">
        <f t="shared" si="11"/>
        <v>115</v>
      </c>
      <c r="X172" s="22">
        <f t="shared" si="12"/>
        <v>25.5</v>
      </c>
      <c r="Y172" s="22">
        <v>25</v>
      </c>
      <c r="Z172" s="22">
        <v>0.5</v>
      </c>
      <c r="AA172" s="371">
        <v>128.4</v>
      </c>
      <c r="AB172" s="22">
        <v>0.19859813084112149</v>
      </c>
      <c r="AC172" s="24">
        <v>6.3598130841121481E-2</v>
      </c>
      <c r="AD172" s="384">
        <v>-75407.266337251713</v>
      </c>
    </row>
    <row r="173" spans="1:30">
      <c r="A173" s="21" t="s">
        <v>355</v>
      </c>
      <c r="B173" s="21" t="s">
        <v>356</v>
      </c>
      <c r="C173" s="23">
        <v>263</v>
      </c>
      <c r="D173" s="147">
        <v>31.55</v>
      </c>
      <c r="E173" s="22">
        <v>101.91</v>
      </c>
      <c r="F173" s="22">
        <v>133.46</v>
      </c>
      <c r="G173" s="22">
        <v>0</v>
      </c>
      <c r="H173" s="22">
        <v>25</v>
      </c>
      <c r="I173" s="22">
        <v>0.5</v>
      </c>
      <c r="J173" s="22">
        <v>108.42</v>
      </c>
      <c r="K173" s="22">
        <v>0</v>
      </c>
      <c r="L173" s="22">
        <v>0</v>
      </c>
      <c r="M173" s="388">
        <v>1105.92</v>
      </c>
      <c r="N173" s="25">
        <v>0.60260000000000002</v>
      </c>
      <c r="O173" s="24">
        <v>992</v>
      </c>
      <c r="P173" s="24">
        <v>0</v>
      </c>
      <c r="Q173" s="24">
        <v>0</v>
      </c>
      <c r="R173" s="22">
        <v>0</v>
      </c>
      <c r="S173" s="24">
        <v>0</v>
      </c>
      <c r="T173" s="24">
        <f t="shared" si="10"/>
        <v>0</v>
      </c>
      <c r="U173" s="376">
        <v>666.43</v>
      </c>
      <c r="V173" s="376">
        <v>55.3</v>
      </c>
      <c r="W173" s="22">
        <f t="shared" si="11"/>
        <v>401.59071799999998</v>
      </c>
      <c r="X173" s="22">
        <f t="shared" si="12"/>
        <v>168.75</v>
      </c>
      <c r="Y173" s="22">
        <v>59.5</v>
      </c>
      <c r="Z173" s="22">
        <v>109.25</v>
      </c>
      <c r="AA173" s="371">
        <v>1023.4</v>
      </c>
      <c r="AB173" s="22">
        <v>0.16489153801055306</v>
      </c>
      <c r="AC173" s="24">
        <v>2.9891538010553054E-2</v>
      </c>
      <c r="AD173" s="384">
        <v>-272778.17345892492</v>
      </c>
    </row>
    <row r="174" spans="1:30">
      <c r="A174" s="21" t="s">
        <v>457</v>
      </c>
      <c r="B174" s="21" t="s">
        <v>458</v>
      </c>
      <c r="C174" s="23">
        <v>336</v>
      </c>
      <c r="D174" s="147">
        <v>2.48</v>
      </c>
      <c r="E174" s="22">
        <v>96.56</v>
      </c>
      <c r="F174" s="22">
        <v>99.04</v>
      </c>
      <c r="G174" s="22">
        <v>0</v>
      </c>
      <c r="H174" s="22">
        <v>65</v>
      </c>
      <c r="I174" s="22">
        <v>1.7</v>
      </c>
      <c r="J174" s="22">
        <v>53.800000000000004</v>
      </c>
      <c r="K174" s="22">
        <v>0.86</v>
      </c>
      <c r="L174" s="22">
        <v>0</v>
      </c>
      <c r="M174" s="388">
        <v>1335.36</v>
      </c>
      <c r="N174" s="25">
        <v>0.2505</v>
      </c>
      <c r="O174" s="24">
        <v>0</v>
      </c>
      <c r="P174" s="24">
        <v>10.75</v>
      </c>
      <c r="Q174" s="24">
        <v>5.25</v>
      </c>
      <c r="R174" s="22">
        <v>5.5</v>
      </c>
      <c r="S174" s="24">
        <v>0</v>
      </c>
      <c r="T174" s="24">
        <f t="shared" si="10"/>
        <v>10.75</v>
      </c>
      <c r="U174" s="376">
        <v>334.51</v>
      </c>
      <c r="V174" s="376">
        <v>66.77</v>
      </c>
      <c r="W174" s="22">
        <f t="shared" si="11"/>
        <v>83.794754999999995</v>
      </c>
      <c r="X174" s="22">
        <f t="shared" si="12"/>
        <v>183.5</v>
      </c>
      <c r="Y174" s="22">
        <v>111.5</v>
      </c>
      <c r="Z174" s="22">
        <v>72</v>
      </c>
      <c r="AA174" s="371">
        <v>1399.49</v>
      </c>
      <c r="AB174" s="22">
        <v>0.1311191934204603</v>
      </c>
      <c r="AC174" s="24">
        <v>0</v>
      </c>
      <c r="AD174" s="384">
        <v>0</v>
      </c>
    </row>
    <row r="175" spans="1:30">
      <c r="A175" s="21" t="s">
        <v>549</v>
      </c>
      <c r="B175" s="21" t="s">
        <v>550</v>
      </c>
      <c r="C175" s="23">
        <v>694</v>
      </c>
      <c r="D175" s="147">
        <v>12.82</v>
      </c>
      <c r="E175" s="22">
        <v>74.8</v>
      </c>
      <c r="F175" s="22">
        <v>87.62</v>
      </c>
      <c r="G175" s="22">
        <v>0</v>
      </c>
      <c r="H175" s="22">
        <v>30</v>
      </c>
      <c r="I175" s="22">
        <v>2.1800000000000002</v>
      </c>
      <c r="J175" s="22">
        <v>0</v>
      </c>
      <c r="K175" s="22">
        <v>5.71</v>
      </c>
      <c r="L175" s="22">
        <v>0.89</v>
      </c>
      <c r="M175" s="388">
        <v>2023.7800000000002</v>
      </c>
      <c r="N175" s="25">
        <v>0.5454</v>
      </c>
      <c r="O175" s="24">
        <v>1455</v>
      </c>
      <c r="P175" s="24">
        <v>243.5</v>
      </c>
      <c r="Q175" s="24">
        <v>162.25</v>
      </c>
      <c r="R175" s="22">
        <v>81.25</v>
      </c>
      <c r="S175" s="24">
        <v>37</v>
      </c>
      <c r="T175" s="24">
        <f t="shared" si="10"/>
        <v>280.5</v>
      </c>
      <c r="U175" s="376">
        <v>1103.77</v>
      </c>
      <c r="V175" s="376">
        <v>101.19</v>
      </c>
      <c r="W175" s="22">
        <f t="shared" si="11"/>
        <v>601.99615800000004</v>
      </c>
      <c r="X175" s="22">
        <f t="shared" si="12"/>
        <v>275.75</v>
      </c>
      <c r="Y175" s="22">
        <v>187.5</v>
      </c>
      <c r="Z175" s="22">
        <v>88.25</v>
      </c>
      <c r="AA175" s="371">
        <v>1801.72</v>
      </c>
      <c r="AB175" s="22">
        <v>0.15304819838820682</v>
      </c>
      <c r="AC175" s="24">
        <v>1.8048198388206815E-2</v>
      </c>
      <c r="AD175" s="384">
        <v>-310983.88231862732</v>
      </c>
    </row>
    <row r="176" spans="1:30">
      <c r="A176" s="21" t="s">
        <v>145</v>
      </c>
      <c r="B176" s="21" t="s">
        <v>146</v>
      </c>
      <c r="C176" s="23">
        <v>227</v>
      </c>
      <c r="D176" s="147">
        <v>14.74</v>
      </c>
      <c r="E176" s="22">
        <v>24.34</v>
      </c>
      <c r="F176" s="22">
        <v>39.08</v>
      </c>
      <c r="G176" s="22">
        <v>0</v>
      </c>
      <c r="H176" s="22">
        <v>13</v>
      </c>
      <c r="I176" s="22">
        <v>1.08</v>
      </c>
      <c r="J176" s="22">
        <v>0</v>
      </c>
      <c r="K176" s="22">
        <v>3.2</v>
      </c>
      <c r="L176" s="22">
        <v>0</v>
      </c>
      <c r="M176" s="388">
        <v>737.28000000000009</v>
      </c>
      <c r="N176" s="25">
        <v>0.75539999999999996</v>
      </c>
      <c r="O176" s="24">
        <v>736</v>
      </c>
      <c r="P176" s="24">
        <v>17.75</v>
      </c>
      <c r="Q176" s="24">
        <v>13.75</v>
      </c>
      <c r="R176" s="22">
        <v>4</v>
      </c>
      <c r="S176" s="24">
        <v>6</v>
      </c>
      <c r="T176" s="24">
        <f t="shared" si="10"/>
        <v>23.75</v>
      </c>
      <c r="U176" s="376">
        <v>556.94000000000005</v>
      </c>
      <c r="V176" s="376">
        <v>36.86</v>
      </c>
      <c r="W176" s="22">
        <f t="shared" si="11"/>
        <v>420.71247600000004</v>
      </c>
      <c r="X176" s="22">
        <f t="shared" si="12"/>
        <v>123.5</v>
      </c>
      <c r="Y176" s="22">
        <v>90</v>
      </c>
      <c r="Z176" s="22">
        <v>33.5</v>
      </c>
      <c r="AA176" s="371">
        <v>724.35</v>
      </c>
      <c r="AB176" s="22">
        <v>0.17049768758197004</v>
      </c>
      <c r="AC176" s="24">
        <v>3.5497687581970028E-2</v>
      </c>
      <c r="AD176" s="384">
        <v>-233549.85664656086</v>
      </c>
    </row>
    <row r="177" spans="1:30">
      <c r="A177" s="21" t="s">
        <v>113</v>
      </c>
      <c r="B177" s="21" t="s">
        <v>114</v>
      </c>
      <c r="C177" s="23">
        <v>595</v>
      </c>
      <c r="D177" s="147">
        <v>7.41</v>
      </c>
      <c r="E177" s="22">
        <v>104.04</v>
      </c>
      <c r="F177" s="22">
        <v>111.45</v>
      </c>
      <c r="G177" s="22">
        <v>0</v>
      </c>
      <c r="H177" s="22">
        <v>37</v>
      </c>
      <c r="I177" s="22">
        <v>1.1000000000000001</v>
      </c>
      <c r="J177" s="22">
        <v>37.9</v>
      </c>
      <c r="K177" s="22">
        <v>3</v>
      </c>
      <c r="L177" s="22">
        <v>0</v>
      </c>
      <c r="M177" s="388">
        <v>2052</v>
      </c>
      <c r="N177" s="25">
        <v>0.75470000000000004</v>
      </c>
      <c r="O177" s="24">
        <v>2065</v>
      </c>
      <c r="P177" s="24">
        <v>721</v>
      </c>
      <c r="Q177" s="24">
        <v>430.75</v>
      </c>
      <c r="R177" s="22">
        <v>290.25</v>
      </c>
      <c r="S177" s="24">
        <v>105.75</v>
      </c>
      <c r="T177" s="24">
        <f t="shared" si="10"/>
        <v>826.75</v>
      </c>
      <c r="U177" s="376">
        <v>1548.64</v>
      </c>
      <c r="V177" s="376">
        <v>102.6</v>
      </c>
      <c r="W177" s="22">
        <f t="shared" si="11"/>
        <v>1168.7586080000001</v>
      </c>
      <c r="X177" s="22">
        <f t="shared" si="12"/>
        <v>288.25</v>
      </c>
      <c r="Y177" s="22">
        <v>152.25</v>
      </c>
      <c r="Z177" s="22">
        <v>136</v>
      </c>
      <c r="AA177" s="371">
        <v>2060.73</v>
      </c>
      <c r="AB177" s="22">
        <v>0.13987761618455596</v>
      </c>
      <c r="AC177" s="24">
        <v>4.8776161845559551E-3</v>
      </c>
      <c r="AD177" s="384">
        <v>-90786.479139487972</v>
      </c>
    </row>
    <row r="178" spans="1:30">
      <c r="A178" s="21" t="s">
        <v>231</v>
      </c>
      <c r="B178" s="21" t="s">
        <v>232</v>
      </c>
      <c r="C178" s="23">
        <v>1699</v>
      </c>
      <c r="D178" s="147">
        <v>85.33</v>
      </c>
      <c r="E178" s="22">
        <v>262.3</v>
      </c>
      <c r="F178" s="22">
        <v>347.63</v>
      </c>
      <c r="G178" s="22">
        <v>0</v>
      </c>
      <c r="H178" s="22">
        <v>220</v>
      </c>
      <c r="I178" s="22">
        <v>7.82</v>
      </c>
      <c r="J178" s="22">
        <v>222.51</v>
      </c>
      <c r="K178" s="22">
        <v>0</v>
      </c>
      <c r="L178" s="22">
        <v>0</v>
      </c>
      <c r="M178" s="388">
        <v>5586.33</v>
      </c>
      <c r="N178" s="25">
        <v>0.33160000000000001</v>
      </c>
      <c r="O178" s="24">
        <v>335</v>
      </c>
      <c r="P178" s="24">
        <v>238.5</v>
      </c>
      <c r="Q178" s="24">
        <v>164.75</v>
      </c>
      <c r="R178" s="22">
        <v>73.75</v>
      </c>
      <c r="S178" s="24">
        <v>43</v>
      </c>
      <c r="T178" s="24">
        <f t="shared" si="10"/>
        <v>281.5</v>
      </c>
      <c r="U178" s="376">
        <v>1852.43</v>
      </c>
      <c r="V178" s="376">
        <v>279.32</v>
      </c>
      <c r="W178" s="22">
        <f t="shared" si="11"/>
        <v>614.26578800000004</v>
      </c>
      <c r="X178" s="22">
        <f t="shared" si="12"/>
        <v>707.5</v>
      </c>
      <c r="Y178" s="22">
        <v>486.5</v>
      </c>
      <c r="Z178" s="22">
        <v>221</v>
      </c>
      <c r="AA178" s="371">
        <v>5480.32</v>
      </c>
      <c r="AB178" s="22">
        <v>0.12909830082914867</v>
      </c>
      <c r="AC178" s="24">
        <v>0</v>
      </c>
      <c r="AD178" s="384">
        <v>0</v>
      </c>
    </row>
    <row r="179" spans="1:30">
      <c r="A179" s="21" t="s">
        <v>323</v>
      </c>
      <c r="B179" s="21" t="s">
        <v>324</v>
      </c>
      <c r="C179" s="23">
        <v>607</v>
      </c>
      <c r="D179" s="147">
        <v>84.23</v>
      </c>
      <c r="E179" s="22">
        <v>150.52000000000001</v>
      </c>
      <c r="F179" s="22">
        <v>234.75</v>
      </c>
      <c r="G179" s="22">
        <v>0</v>
      </c>
      <c r="H179" s="22">
        <v>63</v>
      </c>
      <c r="I179" s="22">
        <v>3.85</v>
      </c>
      <c r="J179" s="22">
        <v>152.79</v>
      </c>
      <c r="K179" s="22">
        <v>0</v>
      </c>
      <c r="L179" s="22">
        <v>0</v>
      </c>
      <c r="M179" s="388">
        <v>2313.64</v>
      </c>
      <c r="N179" s="25">
        <v>0.56899999999999995</v>
      </c>
      <c r="O179" s="24">
        <v>1439</v>
      </c>
      <c r="P179" s="24">
        <v>301.5</v>
      </c>
      <c r="Q179" s="24">
        <v>185.75</v>
      </c>
      <c r="R179" s="22">
        <v>115.75</v>
      </c>
      <c r="S179" s="24">
        <v>30</v>
      </c>
      <c r="T179" s="24">
        <f t="shared" si="10"/>
        <v>331.5</v>
      </c>
      <c r="U179" s="376">
        <v>1316.46</v>
      </c>
      <c r="V179" s="376">
        <v>115.68</v>
      </c>
      <c r="W179" s="22">
        <f t="shared" si="11"/>
        <v>749.06574000000001</v>
      </c>
      <c r="X179" s="22">
        <f t="shared" si="12"/>
        <v>340.75</v>
      </c>
      <c r="Y179" s="22">
        <v>266</v>
      </c>
      <c r="Z179" s="22">
        <v>74.75</v>
      </c>
      <c r="AA179" s="371">
        <v>2277.7399999999998</v>
      </c>
      <c r="AB179" s="22">
        <v>0.14960004214704051</v>
      </c>
      <c r="AC179" s="24">
        <v>1.4600042147040498E-2</v>
      </c>
      <c r="AD179" s="384">
        <v>-312794.57096848113</v>
      </c>
    </row>
    <row r="180" spans="1:30">
      <c r="A180" s="21" t="s">
        <v>353</v>
      </c>
      <c r="B180" s="21" t="s">
        <v>354</v>
      </c>
      <c r="C180" s="23">
        <v>19</v>
      </c>
      <c r="D180" s="147">
        <v>0</v>
      </c>
      <c r="E180" s="22">
        <v>0</v>
      </c>
      <c r="F180" s="22">
        <v>0</v>
      </c>
      <c r="G180" s="22">
        <v>0</v>
      </c>
      <c r="H180" s="22">
        <v>2</v>
      </c>
      <c r="I180" s="22">
        <v>0</v>
      </c>
      <c r="J180" s="22">
        <v>0</v>
      </c>
      <c r="K180" s="22">
        <v>0</v>
      </c>
      <c r="L180" s="22">
        <v>0</v>
      </c>
      <c r="M180" s="388">
        <v>75</v>
      </c>
      <c r="N180" s="25">
        <v>0.70589999999999997</v>
      </c>
      <c r="O180" s="24">
        <v>88</v>
      </c>
      <c r="P180" s="24">
        <v>0</v>
      </c>
      <c r="Q180" s="24">
        <v>0</v>
      </c>
      <c r="R180" s="22">
        <v>0</v>
      </c>
      <c r="S180" s="24">
        <v>0</v>
      </c>
      <c r="T180" s="24">
        <f t="shared" si="10"/>
        <v>0</v>
      </c>
      <c r="U180" s="376">
        <v>52.94</v>
      </c>
      <c r="V180" s="376">
        <v>0</v>
      </c>
      <c r="W180" s="22">
        <f t="shared" si="11"/>
        <v>37.370345999999998</v>
      </c>
      <c r="X180" s="22">
        <f t="shared" si="12"/>
        <v>8.5</v>
      </c>
      <c r="Y180" s="22">
        <v>8.25</v>
      </c>
      <c r="Z180" s="22">
        <v>0.25</v>
      </c>
      <c r="AA180" s="371">
        <v>86.43</v>
      </c>
      <c r="AB180" s="22">
        <v>9.834548189286127E-2</v>
      </c>
      <c r="AC180" s="24">
        <v>0</v>
      </c>
      <c r="AD180" s="384">
        <v>0</v>
      </c>
    </row>
    <row r="181" spans="1:30">
      <c r="A181" s="21" t="s">
        <v>509</v>
      </c>
      <c r="B181" s="21" t="s">
        <v>510</v>
      </c>
      <c r="C181" s="23">
        <v>4556</v>
      </c>
      <c r="D181" s="147">
        <v>224.06</v>
      </c>
      <c r="E181" s="22">
        <v>799.18</v>
      </c>
      <c r="F181" s="22">
        <v>1023.24</v>
      </c>
      <c r="G181" s="22">
        <v>0</v>
      </c>
      <c r="H181" s="22">
        <v>370</v>
      </c>
      <c r="I181" s="22">
        <v>31.37</v>
      </c>
      <c r="J181" s="22">
        <v>647.01</v>
      </c>
      <c r="K181" s="22">
        <v>72.8</v>
      </c>
      <c r="L181" s="22">
        <v>0</v>
      </c>
      <c r="M181" s="388">
        <v>15451.18</v>
      </c>
      <c r="N181" s="25">
        <v>0.43209999999999998</v>
      </c>
      <c r="O181" s="24">
        <v>3403</v>
      </c>
      <c r="P181" s="24">
        <v>867</v>
      </c>
      <c r="Q181" s="24">
        <v>584.75</v>
      </c>
      <c r="R181" s="22">
        <v>282.25</v>
      </c>
      <c r="S181" s="24">
        <v>155</v>
      </c>
      <c r="T181" s="24">
        <f t="shared" si="10"/>
        <v>1022</v>
      </c>
      <c r="U181" s="376">
        <v>6671.82</v>
      </c>
      <c r="V181" s="376">
        <v>772.56</v>
      </c>
      <c r="W181" s="22">
        <f t="shared" si="11"/>
        <v>2882.8934219999996</v>
      </c>
      <c r="X181" s="22">
        <f t="shared" si="12"/>
        <v>2119.75</v>
      </c>
      <c r="Y181" s="22">
        <v>1235.5</v>
      </c>
      <c r="Z181" s="22">
        <v>884.25</v>
      </c>
      <c r="AA181" s="371">
        <v>14884.12</v>
      </c>
      <c r="AB181" s="22">
        <v>0.14241688457228241</v>
      </c>
      <c r="AC181" s="24">
        <v>7.4168845722824006E-3</v>
      </c>
      <c r="AD181" s="384">
        <v>-1021541.084502376</v>
      </c>
    </row>
    <row r="182" spans="1:30">
      <c r="A182" s="21" t="s">
        <v>503</v>
      </c>
      <c r="B182" s="21" t="s">
        <v>504</v>
      </c>
      <c r="C182" s="23">
        <v>32</v>
      </c>
      <c r="D182" s="147">
        <v>0</v>
      </c>
      <c r="E182" s="22">
        <v>6.96</v>
      </c>
      <c r="F182" s="22">
        <v>6.96</v>
      </c>
      <c r="G182" s="22">
        <v>0</v>
      </c>
      <c r="H182" s="22">
        <v>2</v>
      </c>
      <c r="I182" s="22">
        <v>0.42</v>
      </c>
      <c r="J182" s="22">
        <v>106.76</v>
      </c>
      <c r="K182" s="22">
        <v>0</v>
      </c>
      <c r="L182" s="22">
        <v>0</v>
      </c>
      <c r="M182" s="388">
        <v>249.18</v>
      </c>
      <c r="N182" s="25">
        <v>0.66810000000000003</v>
      </c>
      <c r="O182" s="24">
        <v>150</v>
      </c>
      <c r="P182" s="24">
        <v>0</v>
      </c>
      <c r="Q182" s="24">
        <v>0</v>
      </c>
      <c r="R182" s="22">
        <v>0</v>
      </c>
      <c r="S182" s="24">
        <v>0</v>
      </c>
      <c r="T182" s="24">
        <f t="shared" si="10"/>
        <v>0</v>
      </c>
      <c r="U182" s="376">
        <v>166.48</v>
      </c>
      <c r="V182" s="376">
        <v>0</v>
      </c>
      <c r="W182" s="22">
        <f t="shared" si="11"/>
        <v>111.22528799999999</v>
      </c>
      <c r="X182" s="22">
        <f t="shared" si="12"/>
        <v>24.25</v>
      </c>
      <c r="Y182" s="22">
        <v>20.75</v>
      </c>
      <c r="Z182" s="22">
        <v>3.5</v>
      </c>
      <c r="AA182" s="371">
        <v>251.67</v>
      </c>
      <c r="AB182" s="22">
        <v>9.6356339651130454E-2</v>
      </c>
      <c r="AC182" s="24">
        <v>0</v>
      </c>
      <c r="AD182" s="384">
        <v>0</v>
      </c>
    </row>
    <row r="183" spans="1:30">
      <c r="A183" s="21" t="s">
        <v>219</v>
      </c>
      <c r="B183" s="21" t="s">
        <v>220</v>
      </c>
      <c r="C183" s="23">
        <v>6809</v>
      </c>
      <c r="D183" s="147">
        <v>204.85</v>
      </c>
      <c r="E183" s="22">
        <v>874.87</v>
      </c>
      <c r="F183" s="22">
        <v>1079.72</v>
      </c>
      <c r="G183" s="22">
        <v>0</v>
      </c>
      <c r="H183" s="22">
        <v>450</v>
      </c>
      <c r="I183" s="22">
        <v>20.440000000000001</v>
      </c>
      <c r="J183" s="22">
        <v>592.69999999999993</v>
      </c>
      <c r="K183" s="22">
        <v>4.2</v>
      </c>
      <c r="L183" s="22">
        <v>0</v>
      </c>
      <c r="M183" s="388">
        <v>23166.34</v>
      </c>
      <c r="N183" s="25">
        <v>0.14480000000000001</v>
      </c>
      <c r="O183" s="24">
        <v>0</v>
      </c>
      <c r="P183" s="24">
        <v>2078.75</v>
      </c>
      <c r="Q183" s="24">
        <v>1565.5</v>
      </c>
      <c r="R183" s="22">
        <v>513.25</v>
      </c>
      <c r="S183" s="24">
        <v>552.75</v>
      </c>
      <c r="T183" s="24">
        <f t="shared" si="10"/>
        <v>2631.5</v>
      </c>
      <c r="U183" s="376">
        <v>3284.99</v>
      </c>
      <c r="V183" s="376">
        <v>1158.32</v>
      </c>
      <c r="W183" s="22">
        <f t="shared" si="11"/>
        <v>475.66655200000002</v>
      </c>
      <c r="X183" s="22">
        <f t="shared" si="12"/>
        <v>2620.75</v>
      </c>
      <c r="Y183" s="22">
        <v>1695.25</v>
      </c>
      <c r="Z183" s="22">
        <v>925.5</v>
      </c>
      <c r="AA183" s="371">
        <v>22589.87</v>
      </c>
      <c r="AB183" s="22">
        <v>0.11601439052106099</v>
      </c>
      <c r="AC183" s="24">
        <v>0</v>
      </c>
      <c r="AD183" s="384">
        <v>0</v>
      </c>
    </row>
    <row r="184" spans="1:30">
      <c r="A184" s="21" t="s">
        <v>167</v>
      </c>
      <c r="B184" s="21" t="s">
        <v>168</v>
      </c>
      <c r="C184" s="23">
        <v>1582</v>
      </c>
      <c r="D184" s="147">
        <v>46.11</v>
      </c>
      <c r="E184" s="22">
        <v>415.88</v>
      </c>
      <c r="F184" s="22">
        <v>461.99</v>
      </c>
      <c r="G184" s="22">
        <v>0</v>
      </c>
      <c r="H184" s="22">
        <v>110</v>
      </c>
      <c r="I184" s="22">
        <v>3.49</v>
      </c>
      <c r="J184" s="22">
        <v>293.84999999999997</v>
      </c>
      <c r="K184" s="22">
        <v>9.4</v>
      </c>
      <c r="L184" s="22">
        <v>0</v>
      </c>
      <c r="M184" s="388">
        <v>5366.74</v>
      </c>
      <c r="N184" s="25">
        <v>0.3856</v>
      </c>
      <c r="O184" s="24">
        <v>879</v>
      </c>
      <c r="P184" s="24">
        <v>207.5</v>
      </c>
      <c r="Q184" s="24">
        <v>117.25</v>
      </c>
      <c r="R184" s="22">
        <v>90.25</v>
      </c>
      <c r="S184" s="24">
        <v>38</v>
      </c>
      <c r="T184" s="24">
        <f t="shared" si="10"/>
        <v>245.5</v>
      </c>
      <c r="U184" s="376">
        <v>2069.41</v>
      </c>
      <c r="V184" s="376">
        <v>268.33999999999997</v>
      </c>
      <c r="W184" s="22">
        <f t="shared" si="11"/>
        <v>797.96449599999994</v>
      </c>
      <c r="X184" s="22">
        <f t="shared" si="12"/>
        <v>889.5</v>
      </c>
      <c r="Y184" s="22">
        <v>500.5</v>
      </c>
      <c r="Z184" s="22">
        <v>389</v>
      </c>
      <c r="AA184" s="371">
        <v>5501.48</v>
      </c>
      <c r="AB184" s="22">
        <v>0.16168376509593782</v>
      </c>
      <c r="AC184" s="24">
        <v>2.6683765095937811E-2</v>
      </c>
      <c r="AD184" s="384">
        <v>-1444268.1675922165</v>
      </c>
    </row>
    <row r="185" spans="1:30">
      <c r="A185" s="21" t="s">
        <v>579</v>
      </c>
      <c r="B185" s="21" t="s">
        <v>580</v>
      </c>
      <c r="C185" s="23">
        <v>40</v>
      </c>
      <c r="D185" s="147">
        <v>0.61</v>
      </c>
      <c r="E185" s="22">
        <v>5.38</v>
      </c>
      <c r="F185" s="22">
        <v>5.99</v>
      </c>
      <c r="G185" s="22">
        <v>0</v>
      </c>
      <c r="H185" s="22">
        <v>3</v>
      </c>
      <c r="I185" s="22">
        <v>0</v>
      </c>
      <c r="J185" s="22">
        <v>0</v>
      </c>
      <c r="K185" s="22">
        <v>0</v>
      </c>
      <c r="L185" s="22">
        <v>0</v>
      </c>
      <c r="M185" s="388">
        <v>133</v>
      </c>
      <c r="N185" s="25">
        <v>0.3987</v>
      </c>
      <c r="O185" s="24">
        <v>0</v>
      </c>
      <c r="P185" s="24">
        <v>0</v>
      </c>
      <c r="Q185" s="24">
        <v>0</v>
      </c>
      <c r="R185" s="22">
        <v>0</v>
      </c>
      <c r="S185" s="24">
        <v>0</v>
      </c>
      <c r="T185" s="24">
        <f t="shared" si="10"/>
        <v>0</v>
      </c>
      <c r="U185" s="376">
        <v>53.03</v>
      </c>
      <c r="V185" s="376">
        <v>0</v>
      </c>
      <c r="W185" s="22">
        <f t="shared" si="11"/>
        <v>21.143060999999999</v>
      </c>
      <c r="X185" s="22">
        <f t="shared" si="12"/>
        <v>19.25</v>
      </c>
      <c r="Y185" s="22">
        <v>10.5</v>
      </c>
      <c r="Z185" s="22">
        <v>8.75</v>
      </c>
      <c r="AA185" s="371">
        <v>147.47999999999999</v>
      </c>
      <c r="AB185" s="22">
        <v>0.13052617304041228</v>
      </c>
      <c r="AC185" s="24">
        <v>0</v>
      </c>
      <c r="AD185" s="384">
        <v>0</v>
      </c>
    </row>
    <row r="186" spans="1:30">
      <c r="A186" s="21" t="s">
        <v>165</v>
      </c>
      <c r="B186" s="21" t="s">
        <v>166</v>
      </c>
      <c r="C186" s="23">
        <v>92</v>
      </c>
      <c r="D186" s="147">
        <v>8.4</v>
      </c>
      <c r="E186" s="22">
        <v>20.329999999999998</v>
      </c>
      <c r="F186" s="22">
        <v>28.729999999999997</v>
      </c>
      <c r="G186" s="22">
        <v>0</v>
      </c>
      <c r="H186" s="22">
        <v>5</v>
      </c>
      <c r="I186" s="22">
        <v>1.1499999999999999</v>
      </c>
      <c r="J186" s="22">
        <v>24.700000000000003</v>
      </c>
      <c r="K186" s="22">
        <v>2.8</v>
      </c>
      <c r="L186" s="22">
        <v>0</v>
      </c>
      <c r="M186" s="388">
        <v>302.64999999999998</v>
      </c>
      <c r="N186" s="25">
        <v>0.749</v>
      </c>
      <c r="O186" s="24">
        <v>297</v>
      </c>
      <c r="P186" s="24">
        <v>6</v>
      </c>
      <c r="Q186" s="24">
        <v>3</v>
      </c>
      <c r="R186" s="22">
        <v>3</v>
      </c>
      <c r="S186" s="24">
        <v>0</v>
      </c>
      <c r="T186" s="24">
        <f t="shared" si="10"/>
        <v>6</v>
      </c>
      <c r="U186" s="376">
        <v>226.68</v>
      </c>
      <c r="V186" s="376">
        <v>15.13</v>
      </c>
      <c r="W186" s="22">
        <f t="shared" si="11"/>
        <v>169.78332</v>
      </c>
      <c r="X186" s="22">
        <f t="shared" si="12"/>
        <v>58.75</v>
      </c>
      <c r="Y186" s="22">
        <v>51.5</v>
      </c>
      <c r="Z186" s="22">
        <v>7.25</v>
      </c>
      <c r="AA186" s="371">
        <v>332.59</v>
      </c>
      <c r="AB186" s="22">
        <v>0.17664391593252957</v>
      </c>
      <c r="AC186" s="24">
        <v>4.1643915932529557E-2</v>
      </c>
      <c r="AD186" s="384">
        <v>-126742.21284155869</v>
      </c>
    </row>
    <row r="187" spans="1:30">
      <c r="A187" s="21" t="s">
        <v>343</v>
      </c>
      <c r="B187" s="21" t="s">
        <v>344</v>
      </c>
      <c r="C187" s="23">
        <v>262</v>
      </c>
      <c r="D187" s="147">
        <v>0</v>
      </c>
      <c r="E187" s="22">
        <v>83.38</v>
      </c>
      <c r="F187" s="22">
        <v>83.38</v>
      </c>
      <c r="G187" s="22">
        <v>0</v>
      </c>
      <c r="H187" s="22">
        <v>20</v>
      </c>
      <c r="I187" s="22">
        <v>0.44</v>
      </c>
      <c r="J187" s="22">
        <v>91.15</v>
      </c>
      <c r="K187" s="22">
        <v>3.6</v>
      </c>
      <c r="L187" s="22">
        <v>0</v>
      </c>
      <c r="M187" s="388">
        <v>1033.19</v>
      </c>
      <c r="N187" s="25">
        <v>0.64239999999999997</v>
      </c>
      <c r="O187" s="24">
        <v>1021</v>
      </c>
      <c r="P187" s="24">
        <v>45.75</v>
      </c>
      <c r="Q187" s="24">
        <v>26.5</v>
      </c>
      <c r="R187" s="22">
        <v>19.25</v>
      </c>
      <c r="S187" s="24">
        <v>0</v>
      </c>
      <c r="T187" s="24">
        <f t="shared" si="10"/>
        <v>45.75</v>
      </c>
      <c r="U187" s="376">
        <v>663.72</v>
      </c>
      <c r="V187" s="376">
        <v>51.66</v>
      </c>
      <c r="W187" s="22">
        <f t="shared" si="11"/>
        <v>426.37372799999997</v>
      </c>
      <c r="X187" s="22">
        <f t="shared" si="12"/>
        <v>230.5</v>
      </c>
      <c r="Y187" s="22">
        <v>173.75</v>
      </c>
      <c r="Z187" s="22">
        <v>56.75</v>
      </c>
      <c r="AA187" s="371">
        <v>1024.17</v>
      </c>
      <c r="AB187" s="22">
        <v>0.2250602927248406</v>
      </c>
      <c r="AC187" s="24">
        <v>9.006029272484059E-2</v>
      </c>
      <c r="AD187" s="384">
        <v>-829563.84188102745</v>
      </c>
    </row>
    <row r="188" spans="1:30">
      <c r="A188" s="21" t="s">
        <v>163</v>
      </c>
      <c r="B188" s="21" t="s">
        <v>164</v>
      </c>
      <c r="C188" s="23">
        <v>159</v>
      </c>
      <c r="D188" s="147">
        <v>14.69</v>
      </c>
      <c r="E188" s="22">
        <v>29.37</v>
      </c>
      <c r="F188" s="22">
        <v>44.06</v>
      </c>
      <c r="G188" s="22">
        <v>0</v>
      </c>
      <c r="H188" s="22">
        <v>22</v>
      </c>
      <c r="I188" s="22">
        <v>0.97</v>
      </c>
      <c r="J188" s="22">
        <v>21.23</v>
      </c>
      <c r="K188" s="22">
        <v>2.2000000000000002</v>
      </c>
      <c r="L188" s="22">
        <v>0</v>
      </c>
      <c r="M188" s="388">
        <v>609.40000000000009</v>
      </c>
      <c r="N188" s="25">
        <v>0.76590000000000003</v>
      </c>
      <c r="O188" s="24">
        <v>589</v>
      </c>
      <c r="P188" s="24">
        <v>50.5</v>
      </c>
      <c r="Q188" s="24">
        <v>31.5</v>
      </c>
      <c r="R188" s="22">
        <v>19</v>
      </c>
      <c r="S188" s="24">
        <v>2</v>
      </c>
      <c r="T188" s="24">
        <f t="shared" si="10"/>
        <v>52.5</v>
      </c>
      <c r="U188" s="376">
        <v>466.74</v>
      </c>
      <c r="V188" s="376">
        <v>30.47</v>
      </c>
      <c r="W188" s="22">
        <f t="shared" si="11"/>
        <v>357.47616600000003</v>
      </c>
      <c r="X188" s="22">
        <f t="shared" si="12"/>
        <v>67.25</v>
      </c>
      <c r="Y188" s="22">
        <v>57.5</v>
      </c>
      <c r="Z188" s="22">
        <v>9.75</v>
      </c>
      <c r="AA188" s="371">
        <v>568.65</v>
      </c>
      <c r="AB188" s="22">
        <v>0.11826255165743428</v>
      </c>
      <c r="AC188" s="24">
        <v>0</v>
      </c>
      <c r="AD188" s="384">
        <v>0</v>
      </c>
    </row>
    <row r="189" spans="1:30">
      <c r="A189" s="21" t="s">
        <v>305</v>
      </c>
      <c r="B189" s="21" t="s">
        <v>306</v>
      </c>
      <c r="C189" s="23">
        <v>58</v>
      </c>
      <c r="D189" s="147">
        <v>0</v>
      </c>
      <c r="E189" s="22">
        <v>13.98</v>
      </c>
      <c r="F189" s="22">
        <v>13.98</v>
      </c>
      <c r="G189" s="22">
        <v>0</v>
      </c>
      <c r="H189" s="22">
        <v>3</v>
      </c>
      <c r="I189" s="22">
        <v>0</v>
      </c>
      <c r="J189" s="22">
        <v>0</v>
      </c>
      <c r="K189" s="22">
        <v>0</v>
      </c>
      <c r="L189" s="22">
        <v>0</v>
      </c>
      <c r="M189" s="388">
        <v>210</v>
      </c>
      <c r="N189" s="25">
        <v>0.53200000000000003</v>
      </c>
      <c r="O189" s="24">
        <v>107</v>
      </c>
      <c r="P189" s="24">
        <v>0</v>
      </c>
      <c r="Q189" s="24">
        <v>0</v>
      </c>
      <c r="R189" s="22">
        <v>0</v>
      </c>
      <c r="S189" s="24">
        <v>0</v>
      </c>
      <c r="T189" s="24">
        <f t="shared" si="10"/>
        <v>0</v>
      </c>
      <c r="U189" s="376">
        <v>111.72</v>
      </c>
      <c r="V189" s="376">
        <v>10.5</v>
      </c>
      <c r="W189" s="22">
        <f t="shared" si="11"/>
        <v>59.435040000000001</v>
      </c>
      <c r="X189" s="22">
        <f t="shared" si="12"/>
        <v>23</v>
      </c>
      <c r="Y189" s="22">
        <v>13.5</v>
      </c>
      <c r="Z189" s="22">
        <v>9.5</v>
      </c>
      <c r="AA189" s="371">
        <v>218.75</v>
      </c>
      <c r="AB189" s="22">
        <v>0.10514285714285715</v>
      </c>
      <c r="AC189" s="24">
        <v>0</v>
      </c>
      <c r="AD189" s="384">
        <v>0</v>
      </c>
    </row>
    <row r="190" spans="1:30">
      <c r="A190" s="21" t="s">
        <v>331</v>
      </c>
      <c r="B190" s="21" t="s">
        <v>332</v>
      </c>
      <c r="C190" s="23">
        <v>268</v>
      </c>
      <c r="D190" s="147">
        <v>6.22</v>
      </c>
      <c r="E190" s="22">
        <v>70.56</v>
      </c>
      <c r="F190" s="22">
        <v>76.78</v>
      </c>
      <c r="G190" s="22">
        <v>0</v>
      </c>
      <c r="H190" s="22">
        <v>8</v>
      </c>
      <c r="I190" s="22">
        <v>0.35</v>
      </c>
      <c r="J190" s="22">
        <v>89.83</v>
      </c>
      <c r="K190" s="22">
        <v>0</v>
      </c>
      <c r="L190" s="22">
        <v>0</v>
      </c>
      <c r="M190" s="388">
        <v>1070.18</v>
      </c>
      <c r="N190" s="25">
        <v>0.70089999999999997</v>
      </c>
      <c r="O190" s="24">
        <v>1042</v>
      </c>
      <c r="P190" s="24">
        <v>71.5</v>
      </c>
      <c r="Q190" s="24">
        <v>41</v>
      </c>
      <c r="R190" s="22">
        <v>30.5</v>
      </c>
      <c r="S190" s="24">
        <v>28</v>
      </c>
      <c r="T190" s="24">
        <f t="shared" si="10"/>
        <v>99.5</v>
      </c>
      <c r="U190" s="376">
        <v>750.3</v>
      </c>
      <c r="V190" s="376">
        <v>53.51</v>
      </c>
      <c r="W190" s="22">
        <f t="shared" si="11"/>
        <v>525.88526999999999</v>
      </c>
      <c r="X190" s="22">
        <f t="shared" si="12"/>
        <v>152.5</v>
      </c>
      <c r="Y190" s="22">
        <v>124.5</v>
      </c>
      <c r="Z190" s="22">
        <v>28</v>
      </c>
      <c r="AA190" s="371">
        <v>1036.31</v>
      </c>
      <c r="AB190" s="22">
        <v>0.14715673881367544</v>
      </c>
      <c r="AC190" s="24">
        <v>1.2156738813675433E-2</v>
      </c>
      <c r="AD190" s="384">
        <v>-115621.85249911084</v>
      </c>
    </row>
    <row r="191" spans="1:30">
      <c r="A191" s="21" t="s">
        <v>513</v>
      </c>
      <c r="B191" s="21" t="s">
        <v>514</v>
      </c>
      <c r="C191" s="23">
        <v>2622</v>
      </c>
      <c r="D191" s="147">
        <v>138.66999999999999</v>
      </c>
      <c r="E191" s="22">
        <v>585.29</v>
      </c>
      <c r="F191" s="22">
        <v>723.95999999999992</v>
      </c>
      <c r="G191" s="22">
        <v>0</v>
      </c>
      <c r="H191" s="22">
        <v>391</v>
      </c>
      <c r="I191" s="22">
        <v>42.16</v>
      </c>
      <c r="J191" s="22">
        <v>832.66</v>
      </c>
      <c r="K191" s="22">
        <v>36.119999999999997</v>
      </c>
      <c r="L191" s="22">
        <v>0</v>
      </c>
      <c r="M191" s="388">
        <v>10182.94</v>
      </c>
      <c r="N191" s="25">
        <v>0.30070000000000002</v>
      </c>
      <c r="O191" s="24">
        <v>613</v>
      </c>
      <c r="P191" s="24">
        <v>295.75</v>
      </c>
      <c r="Q191" s="24">
        <v>184.25</v>
      </c>
      <c r="R191" s="22">
        <v>111.5</v>
      </c>
      <c r="S191" s="24">
        <v>62</v>
      </c>
      <c r="T191" s="24">
        <f t="shared" si="10"/>
        <v>357.75</v>
      </c>
      <c r="U191" s="376">
        <v>3062.01</v>
      </c>
      <c r="V191" s="376">
        <v>0</v>
      </c>
      <c r="W191" s="22">
        <f t="shared" si="11"/>
        <v>920.74640700000009</v>
      </c>
      <c r="X191" s="22">
        <f t="shared" si="12"/>
        <v>1420.25</v>
      </c>
      <c r="Y191" s="22">
        <v>812.5</v>
      </c>
      <c r="Z191" s="22">
        <v>607.75</v>
      </c>
      <c r="AA191" s="371">
        <v>9700.44</v>
      </c>
      <c r="AB191" s="22">
        <v>0.14641088445472575</v>
      </c>
      <c r="AC191" s="24">
        <v>1.1410884454725739E-2</v>
      </c>
      <c r="AD191" s="384">
        <v>-1015813.2046846726</v>
      </c>
    </row>
    <row r="192" spans="1:30">
      <c r="A192" s="21" t="s">
        <v>329</v>
      </c>
      <c r="B192" s="21" t="s">
        <v>330</v>
      </c>
      <c r="C192" s="23">
        <v>488</v>
      </c>
      <c r="D192" s="147">
        <v>32.74</v>
      </c>
      <c r="E192" s="22">
        <v>138.75</v>
      </c>
      <c r="F192" s="22">
        <v>171.49</v>
      </c>
      <c r="G192" s="22">
        <v>0</v>
      </c>
      <c r="H192" s="22">
        <v>127</v>
      </c>
      <c r="I192" s="22">
        <v>10.95</v>
      </c>
      <c r="J192" s="22">
        <v>4866.97</v>
      </c>
      <c r="K192" s="22">
        <v>0</v>
      </c>
      <c r="L192" s="22">
        <v>0</v>
      </c>
      <c r="M192" s="388">
        <v>6509.92</v>
      </c>
      <c r="N192" s="25">
        <v>0.54259999999999997</v>
      </c>
      <c r="O192" s="24">
        <v>5379</v>
      </c>
      <c r="P192" s="24">
        <v>268.75</v>
      </c>
      <c r="Q192" s="24">
        <v>161.5</v>
      </c>
      <c r="R192" s="22">
        <v>107.25</v>
      </c>
      <c r="S192" s="24">
        <v>78.5</v>
      </c>
      <c r="T192" s="24">
        <f t="shared" si="10"/>
        <v>347.25</v>
      </c>
      <c r="U192" s="376">
        <v>3531.63</v>
      </c>
      <c r="V192" s="376">
        <v>325.5</v>
      </c>
      <c r="W192" s="22">
        <f t="shared" si="11"/>
        <v>1916.262438</v>
      </c>
      <c r="X192" s="22">
        <f t="shared" si="12"/>
        <v>911</v>
      </c>
      <c r="Y192" s="22">
        <v>756</v>
      </c>
      <c r="Z192" s="22">
        <v>155</v>
      </c>
      <c r="AA192" s="371">
        <v>6592.51</v>
      </c>
      <c r="AB192" s="22">
        <v>0.13818712447914375</v>
      </c>
      <c r="AC192" s="24">
        <v>3.1871244791437381E-3</v>
      </c>
      <c r="AD192" s="384">
        <v>-182873.02385818661</v>
      </c>
    </row>
    <row r="193" spans="1:30">
      <c r="A193" s="21" t="s">
        <v>287</v>
      </c>
      <c r="B193" s="21" t="s">
        <v>288</v>
      </c>
      <c r="C193" s="23">
        <v>215</v>
      </c>
      <c r="D193" s="147">
        <v>9.91</v>
      </c>
      <c r="E193" s="22">
        <v>97.92</v>
      </c>
      <c r="F193" s="22">
        <v>107.83</v>
      </c>
      <c r="G193" s="22">
        <v>0</v>
      </c>
      <c r="H193" s="22">
        <v>12</v>
      </c>
      <c r="I193" s="22">
        <v>1</v>
      </c>
      <c r="J193" s="22">
        <v>0</v>
      </c>
      <c r="K193" s="22">
        <v>0.8</v>
      </c>
      <c r="L193" s="22">
        <v>0</v>
      </c>
      <c r="M193" s="388">
        <v>799.8</v>
      </c>
      <c r="N193" s="25">
        <v>0.57830000000000004</v>
      </c>
      <c r="O193" s="24">
        <v>801</v>
      </c>
      <c r="P193" s="24">
        <v>20</v>
      </c>
      <c r="Q193" s="24">
        <v>7.75</v>
      </c>
      <c r="R193" s="22">
        <v>12.25</v>
      </c>
      <c r="S193" s="24">
        <v>6</v>
      </c>
      <c r="T193" s="24">
        <f t="shared" si="10"/>
        <v>26</v>
      </c>
      <c r="U193" s="376">
        <v>462.52</v>
      </c>
      <c r="V193" s="376">
        <v>39.99</v>
      </c>
      <c r="W193" s="22">
        <f t="shared" si="11"/>
        <v>267.47531600000002</v>
      </c>
      <c r="X193" s="22">
        <f t="shared" si="12"/>
        <v>138.25</v>
      </c>
      <c r="Y193" s="22">
        <v>82</v>
      </c>
      <c r="Z193" s="22">
        <v>56.25</v>
      </c>
      <c r="AA193" s="371">
        <v>794.79</v>
      </c>
      <c r="AB193" s="22">
        <v>0.17394531888926634</v>
      </c>
      <c r="AC193" s="24">
        <v>3.8945318889266334E-2</v>
      </c>
      <c r="AD193" s="384">
        <v>-278292.72775539686</v>
      </c>
    </row>
    <row r="194" spans="1:30">
      <c r="A194" s="21" t="s">
        <v>483</v>
      </c>
      <c r="B194" s="21" t="s">
        <v>484</v>
      </c>
      <c r="C194" s="23">
        <v>14</v>
      </c>
      <c r="D194" s="147">
        <v>0</v>
      </c>
      <c r="E194" s="22">
        <v>0</v>
      </c>
      <c r="F194" s="22">
        <v>0</v>
      </c>
      <c r="G194" s="22">
        <v>0</v>
      </c>
      <c r="H194" s="22">
        <v>0</v>
      </c>
      <c r="I194" s="22">
        <v>0</v>
      </c>
      <c r="J194" s="22">
        <v>0</v>
      </c>
      <c r="K194" s="22">
        <v>0</v>
      </c>
      <c r="L194" s="22">
        <v>0</v>
      </c>
      <c r="M194" s="388">
        <v>43</v>
      </c>
      <c r="N194" s="25">
        <v>0.77080000000000004</v>
      </c>
      <c r="O194" s="24">
        <v>48</v>
      </c>
      <c r="P194" s="24">
        <v>0</v>
      </c>
      <c r="Q194" s="24">
        <v>0</v>
      </c>
      <c r="R194" s="22">
        <v>0</v>
      </c>
      <c r="S194" s="24">
        <v>0</v>
      </c>
      <c r="T194" s="24">
        <f t="shared" si="10"/>
        <v>0</v>
      </c>
      <c r="U194" s="376">
        <v>33.14</v>
      </c>
      <c r="V194" s="376">
        <v>2.15</v>
      </c>
      <c r="W194" s="22">
        <f t="shared" si="11"/>
        <v>25.544312000000001</v>
      </c>
      <c r="X194" s="22">
        <f t="shared" si="12"/>
        <v>5.5</v>
      </c>
      <c r="Y194" s="22">
        <v>5.5</v>
      </c>
      <c r="Z194" s="22">
        <v>0</v>
      </c>
      <c r="AA194" s="371">
        <v>48.8</v>
      </c>
      <c r="AB194" s="22">
        <v>0.11270491803278689</v>
      </c>
      <c r="AC194" s="24">
        <v>0</v>
      </c>
      <c r="AD194" s="384">
        <v>0</v>
      </c>
    </row>
    <row r="195" spans="1:30">
      <c r="A195" s="21" t="s">
        <v>395</v>
      </c>
      <c r="B195" s="21" t="s">
        <v>396</v>
      </c>
      <c r="C195" s="23">
        <v>59</v>
      </c>
      <c r="D195" s="147">
        <v>0</v>
      </c>
      <c r="E195" s="22">
        <v>11.78</v>
      </c>
      <c r="F195" s="22">
        <v>11.78</v>
      </c>
      <c r="G195" s="22">
        <v>0</v>
      </c>
      <c r="H195" s="22">
        <v>2</v>
      </c>
      <c r="I195" s="22">
        <v>0</v>
      </c>
      <c r="J195" s="22">
        <v>313.81</v>
      </c>
      <c r="K195" s="22">
        <v>0</v>
      </c>
      <c r="L195" s="22">
        <v>0</v>
      </c>
      <c r="M195" s="388">
        <v>675.81</v>
      </c>
      <c r="N195" s="25">
        <v>0.30020000000000002</v>
      </c>
      <c r="O195" s="24">
        <v>0</v>
      </c>
      <c r="P195" s="24">
        <v>35</v>
      </c>
      <c r="Q195" s="24">
        <v>21</v>
      </c>
      <c r="R195" s="22">
        <v>14</v>
      </c>
      <c r="S195" s="24">
        <v>2</v>
      </c>
      <c r="T195" s="24">
        <f t="shared" si="10"/>
        <v>37</v>
      </c>
      <c r="U195" s="376">
        <v>202.88</v>
      </c>
      <c r="V195" s="376">
        <v>33.79</v>
      </c>
      <c r="W195" s="22">
        <f t="shared" si="11"/>
        <v>60.904576000000006</v>
      </c>
      <c r="X195" s="22">
        <f t="shared" si="12"/>
        <v>79.25</v>
      </c>
      <c r="Y195" s="22">
        <v>71</v>
      </c>
      <c r="Z195" s="22">
        <v>8.25</v>
      </c>
      <c r="AA195" s="371">
        <v>723.34</v>
      </c>
      <c r="AB195" s="22">
        <v>0.10956120220090138</v>
      </c>
      <c r="AC195" s="24">
        <v>0</v>
      </c>
      <c r="AD195" s="384">
        <v>0</v>
      </c>
    </row>
    <row r="196" spans="1:30">
      <c r="A196" s="21" t="s">
        <v>453</v>
      </c>
      <c r="B196" s="21" t="s">
        <v>454</v>
      </c>
      <c r="C196" s="23">
        <v>34</v>
      </c>
      <c r="D196" s="147">
        <v>0</v>
      </c>
      <c r="E196" s="22">
        <v>0</v>
      </c>
      <c r="F196" s="22">
        <v>0</v>
      </c>
      <c r="G196" s="22">
        <v>0</v>
      </c>
      <c r="H196" s="22">
        <v>0</v>
      </c>
      <c r="I196" s="22">
        <v>0</v>
      </c>
      <c r="J196" s="22">
        <v>0</v>
      </c>
      <c r="K196" s="22">
        <v>0</v>
      </c>
      <c r="L196" s="22">
        <v>0</v>
      </c>
      <c r="M196" s="388">
        <v>56</v>
      </c>
      <c r="N196" s="25">
        <v>0.15579999999999999</v>
      </c>
      <c r="O196" s="24">
        <v>0</v>
      </c>
      <c r="P196" s="24">
        <v>0</v>
      </c>
      <c r="Q196" s="24">
        <v>0</v>
      </c>
      <c r="R196" s="22">
        <v>0</v>
      </c>
      <c r="S196" s="24">
        <v>0</v>
      </c>
      <c r="T196" s="24">
        <f t="shared" si="10"/>
        <v>0</v>
      </c>
      <c r="U196" s="376">
        <v>8.7200000000000006</v>
      </c>
      <c r="V196" s="376">
        <v>0</v>
      </c>
      <c r="W196" s="22">
        <f t="shared" si="11"/>
        <v>1.358576</v>
      </c>
      <c r="X196" s="22">
        <f t="shared" si="12"/>
        <v>4</v>
      </c>
      <c r="Y196" s="22">
        <v>0</v>
      </c>
      <c r="Z196" s="22">
        <v>4</v>
      </c>
      <c r="AA196" s="371">
        <v>68.400000000000006</v>
      </c>
      <c r="AB196" s="22">
        <v>5.8479532163742687E-2</v>
      </c>
      <c r="AC196" s="24">
        <v>0</v>
      </c>
      <c r="AD196" s="384">
        <v>0</v>
      </c>
    </row>
    <row r="197" spans="1:30">
      <c r="A197" s="21" t="s">
        <v>105</v>
      </c>
      <c r="B197" s="21" t="s">
        <v>106</v>
      </c>
      <c r="C197" s="23">
        <v>18</v>
      </c>
      <c r="D197" s="147">
        <v>0</v>
      </c>
      <c r="E197" s="22">
        <v>0</v>
      </c>
      <c r="F197" s="22">
        <v>0</v>
      </c>
      <c r="G197" s="22">
        <v>0</v>
      </c>
      <c r="H197" s="22">
        <v>0</v>
      </c>
      <c r="I197" s="22">
        <v>0</v>
      </c>
      <c r="J197" s="22">
        <v>0</v>
      </c>
      <c r="K197" s="22">
        <v>0</v>
      </c>
      <c r="L197" s="22">
        <v>0</v>
      </c>
      <c r="M197" s="388">
        <v>38</v>
      </c>
      <c r="N197" s="25">
        <v>0.71879999999999999</v>
      </c>
      <c r="O197" s="24">
        <v>32</v>
      </c>
      <c r="P197" s="24">
        <v>0</v>
      </c>
      <c r="Q197" s="24">
        <v>0</v>
      </c>
      <c r="R197" s="22">
        <v>0</v>
      </c>
      <c r="S197" s="24">
        <v>0</v>
      </c>
      <c r="T197" s="24">
        <f t="shared" si="10"/>
        <v>0</v>
      </c>
      <c r="U197" s="376">
        <v>27.31</v>
      </c>
      <c r="V197" s="376">
        <v>1.9</v>
      </c>
      <c r="W197" s="22">
        <f t="shared" si="11"/>
        <v>19.630427999999998</v>
      </c>
      <c r="X197" s="22">
        <f t="shared" si="12"/>
        <v>6.25</v>
      </c>
      <c r="Y197" s="22">
        <v>6.25</v>
      </c>
      <c r="Z197" s="22">
        <v>0</v>
      </c>
      <c r="AA197" s="371">
        <v>33.4</v>
      </c>
      <c r="AB197" s="22">
        <v>0.18712574850299402</v>
      </c>
      <c r="AC197" s="24">
        <v>5.2125748502994007E-2</v>
      </c>
      <c r="AD197" s="384">
        <v>-16794.657060847552</v>
      </c>
    </row>
    <row r="198" spans="1:30">
      <c r="A198" s="21" t="s">
        <v>89</v>
      </c>
      <c r="B198" s="21" t="s">
        <v>90</v>
      </c>
      <c r="C198" s="23">
        <v>61</v>
      </c>
      <c r="D198" s="147">
        <v>1.44</v>
      </c>
      <c r="E198" s="22">
        <v>0</v>
      </c>
      <c r="F198" s="22">
        <v>1.44</v>
      </c>
      <c r="G198" s="22">
        <v>0</v>
      </c>
      <c r="H198" s="22">
        <v>0</v>
      </c>
      <c r="I198" s="22">
        <v>0</v>
      </c>
      <c r="J198" s="22">
        <v>0</v>
      </c>
      <c r="K198" s="22">
        <v>0</v>
      </c>
      <c r="L198" s="22">
        <v>0</v>
      </c>
      <c r="M198" s="388">
        <v>155</v>
      </c>
      <c r="N198" s="25">
        <v>0.89300000000000002</v>
      </c>
      <c r="O198" s="24">
        <v>139</v>
      </c>
      <c r="P198" s="24">
        <v>59</v>
      </c>
      <c r="Q198" s="24">
        <v>49.75</v>
      </c>
      <c r="R198" s="22">
        <v>9.25</v>
      </c>
      <c r="S198" s="24">
        <v>15</v>
      </c>
      <c r="T198" s="24">
        <f t="shared" si="10"/>
        <v>74</v>
      </c>
      <c r="U198" s="376">
        <v>138.41999999999999</v>
      </c>
      <c r="V198" s="376">
        <v>7.75</v>
      </c>
      <c r="W198" s="22">
        <f t="shared" si="11"/>
        <v>123.60905999999999</v>
      </c>
      <c r="X198" s="22">
        <f t="shared" si="12"/>
        <v>14.75</v>
      </c>
      <c r="Y198" s="22">
        <v>12</v>
      </c>
      <c r="Z198" s="22">
        <v>2.75</v>
      </c>
      <c r="AA198" s="371">
        <v>138.08000000000001</v>
      </c>
      <c r="AB198" s="22">
        <v>0.10682213209733486</v>
      </c>
      <c r="AC198" s="24">
        <v>0</v>
      </c>
      <c r="AD198" s="384">
        <v>0</v>
      </c>
    </row>
    <row r="199" spans="1:30">
      <c r="A199" s="21" t="s">
        <v>341</v>
      </c>
      <c r="B199" s="21" t="s">
        <v>342</v>
      </c>
      <c r="C199" s="23">
        <v>140</v>
      </c>
      <c r="D199" s="147">
        <v>5.17</v>
      </c>
      <c r="E199" s="22">
        <v>23.63</v>
      </c>
      <c r="F199" s="22">
        <v>28.799999999999997</v>
      </c>
      <c r="G199" s="22">
        <v>0</v>
      </c>
      <c r="H199" s="22">
        <v>22</v>
      </c>
      <c r="I199" s="22">
        <v>0.9</v>
      </c>
      <c r="J199" s="22">
        <v>15.4</v>
      </c>
      <c r="K199" s="22">
        <v>0</v>
      </c>
      <c r="L199" s="22">
        <v>0</v>
      </c>
      <c r="M199" s="388">
        <v>504.29999999999995</v>
      </c>
      <c r="N199" s="25">
        <v>0.74</v>
      </c>
      <c r="O199" s="24">
        <v>523</v>
      </c>
      <c r="P199" s="24">
        <v>64.5</v>
      </c>
      <c r="Q199" s="24">
        <v>41.25</v>
      </c>
      <c r="R199" s="22">
        <v>23.25</v>
      </c>
      <c r="S199" s="24">
        <v>12</v>
      </c>
      <c r="T199" s="24">
        <f t="shared" si="10"/>
        <v>76.5</v>
      </c>
      <c r="U199" s="376">
        <v>372.17</v>
      </c>
      <c r="V199" s="376">
        <v>0</v>
      </c>
      <c r="W199" s="22">
        <f t="shared" si="11"/>
        <v>275.4058</v>
      </c>
      <c r="X199" s="22">
        <f t="shared" si="12"/>
        <v>65.25</v>
      </c>
      <c r="Y199" s="22">
        <v>49.75</v>
      </c>
      <c r="Z199" s="22">
        <v>15.5</v>
      </c>
      <c r="AA199" s="371">
        <v>517.82000000000005</v>
      </c>
      <c r="AB199" s="22">
        <v>0.12600903788961415</v>
      </c>
      <c r="AC199" s="24">
        <v>0</v>
      </c>
      <c r="AD199" s="384">
        <v>0</v>
      </c>
    </row>
    <row r="200" spans="1:30">
      <c r="A200" s="21" t="s">
        <v>375</v>
      </c>
      <c r="B200" s="21" t="s">
        <v>376</v>
      </c>
      <c r="C200" s="23">
        <v>797</v>
      </c>
      <c r="D200" s="147">
        <v>54.03</v>
      </c>
      <c r="E200" s="22">
        <v>223.82</v>
      </c>
      <c r="F200" s="22">
        <v>277.85000000000002</v>
      </c>
      <c r="G200" s="22">
        <v>0</v>
      </c>
      <c r="H200" s="22">
        <v>56</v>
      </c>
      <c r="I200" s="22">
        <v>2.33</v>
      </c>
      <c r="J200" s="22">
        <v>21.67</v>
      </c>
      <c r="K200" s="22">
        <v>4.5999999999999996</v>
      </c>
      <c r="L200" s="22">
        <v>0</v>
      </c>
      <c r="M200" s="388">
        <v>2762.6</v>
      </c>
      <c r="N200" s="25">
        <v>0.31490000000000001</v>
      </c>
      <c r="O200" s="24">
        <v>0</v>
      </c>
      <c r="P200" s="24">
        <v>68.5</v>
      </c>
      <c r="Q200" s="24">
        <v>48</v>
      </c>
      <c r="R200" s="22">
        <v>20.5</v>
      </c>
      <c r="S200" s="24">
        <v>7</v>
      </c>
      <c r="T200" s="24">
        <f t="shared" si="10"/>
        <v>75.5</v>
      </c>
      <c r="U200" s="376">
        <v>869.94</v>
      </c>
      <c r="V200" s="376">
        <v>138.13</v>
      </c>
      <c r="W200" s="22">
        <f t="shared" si="11"/>
        <v>273.94410600000003</v>
      </c>
      <c r="X200" s="22">
        <f t="shared" si="12"/>
        <v>388.75</v>
      </c>
      <c r="Y200" s="22">
        <v>210.5</v>
      </c>
      <c r="Z200" s="22">
        <v>178.25</v>
      </c>
      <c r="AA200" s="371">
        <v>2616.88</v>
      </c>
      <c r="AB200" s="22">
        <v>0.1485547675094005</v>
      </c>
      <c r="AC200" s="24">
        <v>1.3554767509400489E-2</v>
      </c>
      <c r="AD200" s="384">
        <v>-333732.13909658394</v>
      </c>
    </row>
    <row r="201" spans="1:30">
      <c r="A201" s="21" t="s">
        <v>7</v>
      </c>
      <c r="B201" s="21" t="s">
        <v>8</v>
      </c>
      <c r="C201" s="23">
        <v>1278</v>
      </c>
      <c r="D201" s="147">
        <v>20.58</v>
      </c>
      <c r="E201" s="22">
        <v>241.1</v>
      </c>
      <c r="F201" s="22">
        <v>261.68</v>
      </c>
      <c r="G201" s="22">
        <v>0</v>
      </c>
      <c r="H201" s="22">
        <v>60</v>
      </c>
      <c r="I201" s="22">
        <v>6.6</v>
      </c>
      <c r="J201" s="22">
        <v>12.33</v>
      </c>
      <c r="K201" s="22">
        <v>20</v>
      </c>
      <c r="L201" s="22">
        <v>0</v>
      </c>
      <c r="M201" s="388">
        <v>4701.93</v>
      </c>
      <c r="N201" s="25">
        <v>0.81569999999999998</v>
      </c>
      <c r="O201" s="24">
        <v>4500</v>
      </c>
      <c r="P201" s="24">
        <v>1769.25</v>
      </c>
      <c r="Q201" s="24">
        <v>1150.75</v>
      </c>
      <c r="R201" s="22">
        <v>618.5</v>
      </c>
      <c r="S201" s="24">
        <v>274.5</v>
      </c>
      <c r="T201" s="24">
        <f t="shared" ref="T201:T264" si="13">S201+P201</f>
        <v>2043.75</v>
      </c>
      <c r="U201" s="376">
        <v>3835.36</v>
      </c>
      <c r="V201" s="376">
        <v>235.1</v>
      </c>
      <c r="W201" s="22">
        <f t="shared" ref="W201:W264" si="14">U201*N201</f>
        <v>3128.5031520000002</v>
      </c>
      <c r="X201" s="22">
        <f t="shared" ref="X201:X264" si="15">Y201+Z201</f>
        <v>567.75</v>
      </c>
      <c r="Y201" s="22">
        <v>377.25</v>
      </c>
      <c r="Z201" s="22">
        <v>190.5</v>
      </c>
      <c r="AA201" s="371">
        <v>4482.8500000000004</v>
      </c>
      <c r="AB201" s="22">
        <v>0.12664934137881034</v>
      </c>
      <c r="AC201" s="24">
        <v>0</v>
      </c>
      <c r="AD201" s="384">
        <v>0</v>
      </c>
    </row>
    <row r="202" spans="1:30">
      <c r="A202" s="21" t="s">
        <v>93</v>
      </c>
      <c r="B202" s="21" t="s">
        <v>94</v>
      </c>
      <c r="C202" s="23">
        <v>16</v>
      </c>
      <c r="D202" s="147">
        <v>0</v>
      </c>
      <c r="E202" s="22">
        <v>0</v>
      </c>
      <c r="F202" s="22">
        <v>0</v>
      </c>
      <c r="G202" s="22">
        <v>0</v>
      </c>
      <c r="H202" s="22">
        <v>0</v>
      </c>
      <c r="I202" s="22">
        <v>0</v>
      </c>
      <c r="J202" s="22">
        <v>0</v>
      </c>
      <c r="K202" s="22">
        <v>0</v>
      </c>
      <c r="L202" s="22">
        <v>0</v>
      </c>
      <c r="M202" s="388">
        <v>25</v>
      </c>
      <c r="N202" s="25">
        <v>0.91300000000000003</v>
      </c>
      <c r="O202" s="24">
        <v>22</v>
      </c>
      <c r="P202" s="24">
        <v>8.25</v>
      </c>
      <c r="Q202" s="24">
        <v>8.25</v>
      </c>
      <c r="R202" s="22">
        <v>0</v>
      </c>
      <c r="S202" s="24">
        <v>3</v>
      </c>
      <c r="T202" s="24">
        <f t="shared" si="13"/>
        <v>11.25</v>
      </c>
      <c r="U202" s="376">
        <v>22.83</v>
      </c>
      <c r="V202" s="376">
        <v>0</v>
      </c>
      <c r="W202" s="22">
        <f t="shared" si="14"/>
        <v>20.843789999999998</v>
      </c>
      <c r="X202" s="22">
        <f t="shared" si="15"/>
        <v>4</v>
      </c>
      <c r="Y202" s="22">
        <v>4</v>
      </c>
      <c r="Z202" s="22">
        <v>0</v>
      </c>
      <c r="AA202" s="371">
        <v>22</v>
      </c>
      <c r="AB202" s="22">
        <v>0.18181818181818182</v>
      </c>
      <c r="AC202" s="24">
        <v>4.6818181818181814E-2</v>
      </c>
      <c r="AD202" s="384">
        <v>-10188.145690239666</v>
      </c>
    </row>
    <row r="203" spans="1:30">
      <c r="A203" s="21" t="s">
        <v>565</v>
      </c>
      <c r="B203" s="21" t="s">
        <v>566</v>
      </c>
      <c r="C203" s="23">
        <v>48</v>
      </c>
      <c r="D203" s="147">
        <v>0</v>
      </c>
      <c r="E203" s="22">
        <v>9.6</v>
      </c>
      <c r="F203" s="22">
        <v>9.6</v>
      </c>
      <c r="G203" s="22">
        <v>0</v>
      </c>
      <c r="H203" s="22">
        <v>3</v>
      </c>
      <c r="I203" s="22">
        <v>0</v>
      </c>
      <c r="J203" s="22">
        <v>0</v>
      </c>
      <c r="K203" s="22">
        <v>0</v>
      </c>
      <c r="L203" s="22">
        <v>0</v>
      </c>
      <c r="M203" s="388">
        <v>159</v>
      </c>
      <c r="N203" s="25">
        <v>0.36420000000000002</v>
      </c>
      <c r="O203" s="24">
        <v>0</v>
      </c>
      <c r="P203" s="24">
        <v>0</v>
      </c>
      <c r="Q203" s="24">
        <v>0</v>
      </c>
      <c r="R203" s="22">
        <v>0</v>
      </c>
      <c r="S203" s="24">
        <v>0</v>
      </c>
      <c r="T203" s="24">
        <f t="shared" si="13"/>
        <v>0</v>
      </c>
      <c r="U203" s="376">
        <v>57.91</v>
      </c>
      <c r="V203" s="376">
        <v>0</v>
      </c>
      <c r="W203" s="22">
        <f t="shared" si="14"/>
        <v>21.090821999999999</v>
      </c>
      <c r="X203" s="22">
        <f t="shared" si="15"/>
        <v>18.5</v>
      </c>
      <c r="Y203" s="22">
        <v>14.5</v>
      </c>
      <c r="Z203" s="22">
        <v>4</v>
      </c>
      <c r="AA203" s="371">
        <v>152.88999999999999</v>
      </c>
      <c r="AB203" s="22">
        <v>0.1210020276015436</v>
      </c>
      <c r="AC203" s="24">
        <v>0</v>
      </c>
      <c r="AD203" s="384">
        <v>0</v>
      </c>
    </row>
    <row r="204" spans="1:30">
      <c r="A204" s="21" t="s">
        <v>111</v>
      </c>
      <c r="B204" s="21" t="s">
        <v>112</v>
      </c>
      <c r="C204" s="23">
        <v>5764</v>
      </c>
      <c r="D204" s="147">
        <v>159.84</v>
      </c>
      <c r="E204" s="22">
        <v>1031.3499999999999</v>
      </c>
      <c r="F204" s="22">
        <v>1191.1899999999998</v>
      </c>
      <c r="G204" s="22">
        <v>0</v>
      </c>
      <c r="H204" s="22">
        <v>445</v>
      </c>
      <c r="I204" s="22">
        <v>15.35</v>
      </c>
      <c r="J204" s="22">
        <v>223.57999999999998</v>
      </c>
      <c r="K204" s="22">
        <v>21.29</v>
      </c>
      <c r="L204" s="22">
        <v>0</v>
      </c>
      <c r="M204" s="388">
        <v>18727.22</v>
      </c>
      <c r="N204" s="25">
        <v>0.73440000000000005</v>
      </c>
      <c r="O204" s="24">
        <v>16772</v>
      </c>
      <c r="P204" s="24">
        <v>6328.5</v>
      </c>
      <c r="Q204" s="24">
        <v>3441.75</v>
      </c>
      <c r="R204" s="22">
        <v>2886.75</v>
      </c>
      <c r="S204" s="24">
        <v>798.5</v>
      </c>
      <c r="T204" s="24">
        <f t="shared" si="13"/>
        <v>7127</v>
      </c>
      <c r="U204" s="376">
        <v>13753.27</v>
      </c>
      <c r="V204" s="376">
        <v>936.36</v>
      </c>
      <c r="W204" s="22">
        <f t="shared" si="14"/>
        <v>10100.401488000001</v>
      </c>
      <c r="X204" s="22">
        <f t="shared" si="15"/>
        <v>2257.5</v>
      </c>
      <c r="Y204" s="22">
        <v>1186.5</v>
      </c>
      <c r="Z204" s="22">
        <v>1071</v>
      </c>
      <c r="AA204" s="371">
        <v>18205.89</v>
      </c>
      <c r="AB204" s="22">
        <v>0.12399833240780869</v>
      </c>
      <c r="AC204" s="24">
        <v>0</v>
      </c>
      <c r="AD204" s="384">
        <v>0</v>
      </c>
    </row>
    <row r="205" spans="1:30">
      <c r="A205" s="21" t="s">
        <v>335</v>
      </c>
      <c r="B205" s="21" t="s">
        <v>336</v>
      </c>
      <c r="C205" s="23">
        <v>85</v>
      </c>
      <c r="D205" s="147">
        <v>0</v>
      </c>
      <c r="E205" s="22">
        <v>11.24</v>
      </c>
      <c r="F205" s="22">
        <v>11.24</v>
      </c>
      <c r="G205" s="22">
        <v>0</v>
      </c>
      <c r="H205" s="22">
        <v>7</v>
      </c>
      <c r="I205" s="22">
        <v>0.59</v>
      </c>
      <c r="J205" s="22">
        <v>7.56</v>
      </c>
      <c r="K205" s="22">
        <v>0</v>
      </c>
      <c r="L205" s="22">
        <v>0</v>
      </c>
      <c r="M205" s="388">
        <v>304.14999999999998</v>
      </c>
      <c r="N205" s="25">
        <v>0.72289999999999999</v>
      </c>
      <c r="O205" s="24">
        <v>276</v>
      </c>
      <c r="P205" s="24">
        <v>32</v>
      </c>
      <c r="Q205" s="24">
        <v>20</v>
      </c>
      <c r="R205" s="22">
        <v>12</v>
      </c>
      <c r="S205" s="24">
        <v>12</v>
      </c>
      <c r="T205" s="24">
        <f t="shared" si="13"/>
        <v>44</v>
      </c>
      <c r="U205" s="376">
        <v>219.87</v>
      </c>
      <c r="V205" s="376">
        <v>15.21</v>
      </c>
      <c r="W205" s="22">
        <f t="shared" si="14"/>
        <v>158.94402299999999</v>
      </c>
      <c r="X205" s="22">
        <f t="shared" si="15"/>
        <v>41.5</v>
      </c>
      <c r="Y205" s="22">
        <v>31.25</v>
      </c>
      <c r="Z205" s="22">
        <v>10.25</v>
      </c>
      <c r="AA205" s="371">
        <v>294.99</v>
      </c>
      <c r="AB205" s="22">
        <v>0.14068273500796638</v>
      </c>
      <c r="AC205" s="24">
        <v>5.6827350079663719E-3</v>
      </c>
      <c r="AD205" s="384">
        <v>-15459.130634789713</v>
      </c>
    </row>
    <row r="206" spans="1:30">
      <c r="A206" s="21" t="s">
        <v>19</v>
      </c>
      <c r="B206" s="21" t="s">
        <v>20</v>
      </c>
      <c r="C206" s="23">
        <v>55</v>
      </c>
      <c r="D206" s="147">
        <v>0</v>
      </c>
      <c r="E206" s="22">
        <v>0</v>
      </c>
      <c r="F206" s="22">
        <v>0</v>
      </c>
      <c r="G206" s="22">
        <v>0</v>
      </c>
      <c r="H206" s="22">
        <v>0</v>
      </c>
      <c r="I206" s="22">
        <v>0</v>
      </c>
      <c r="J206" s="22">
        <v>0</v>
      </c>
      <c r="K206" s="22">
        <v>0</v>
      </c>
      <c r="L206" s="22">
        <v>0</v>
      </c>
      <c r="M206" s="388">
        <v>141</v>
      </c>
      <c r="N206" s="25">
        <v>1</v>
      </c>
      <c r="O206" s="24">
        <v>142</v>
      </c>
      <c r="P206" s="24">
        <v>25.5</v>
      </c>
      <c r="Q206" s="24">
        <v>20.25</v>
      </c>
      <c r="R206" s="22">
        <v>5.25</v>
      </c>
      <c r="S206" s="24">
        <v>11</v>
      </c>
      <c r="T206" s="24">
        <f t="shared" si="13"/>
        <v>36.5</v>
      </c>
      <c r="U206" s="376">
        <v>141</v>
      </c>
      <c r="V206" s="376">
        <v>0</v>
      </c>
      <c r="W206" s="22">
        <f t="shared" si="14"/>
        <v>141</v>
      </c>
      <c r="X206" s="22">
        <f t="shared" si="15"/>
        <v>22.75</v>
      </c>
      <c r="Y206" s="22">
        <v>22.75</v>
      </c>
      <c r="Z206" s="22">
        <v>0</v>
      </c>
      <c r="AA206" s="371">
        <v>141.4</v>
      </c>
      <c r="AB206" s="22">
        <v>0.1608910891089109</v>
      </c>
      <c r="AC206" s="24">
        <v>2.5891089108910886E-2</v>
      </c>
      <c r="AD206" s="384">
        <v>-33711.723916632131</v>
      </c>
    </row>
    <row r="207" spans="1:30">
      <c r="A207" s="21" t="s">
        <v>289</v>
      </c>
      <c r="B207" s="21" t="s">
        <v>290</v>
      </c>
      <c r="C207" s="23">
        <v>77</v>
      </c>
      <c r="D207" s="147">
        <v>6.29</v>
      </c>
      <c r="E207" s="22">
        <v>15.14</v>
      </c>
      <c r="F207" s="22">
        <v>21.43</v>
      </c>
      <c r="G207" s="22">
        <v>0</v>
      </c>
      <c r="H207" s="22">
        <v>3</v>
      </c>
      <c r="I207" s="22">
        <v>0.27</v>
      </c>
      <c r="J207" s="22">
        <v>0</v>
      </c>
      <c r="K207" s="22">
        <v>0</v>
      </c>
      <c r="L207" s="22">
        <v>0</v>
      </c>
      <c r="M207" s="388">
        <v>253.27</v>
      </c>
      <c r="N207" s="25">
        <v>0.59130000000000005</v>
      </c>
      <c r="O207" s="24">
        <v>252</v>
      </c>
      <c r="P207" s="24">
        <v>0</v>
      </c>
      <c r="Q207" s="24">
        <v>0</v>
      </c>
      <c r="R207" s="22">
        <v>0</v>
      </c>
      <c r="S207" s="24">
        <v>0</v>
      </c>
      <c r="T207" s="24">
        <f t="shared" si="13"/>
        <v>0</v>
      </c>
      <c r="U207" s="376">
        <v>149.76</v>
      </c>
      <c r="V207" s="376">
        <v>12.66</v>
      </c>
      <c r="W207" s="22">
        <f t="shared" si="14"/>
        <v>88.553088000000002</v>
      </c>
      <c r="X207" s="22">
        <f t="shared" si="15"/>
        <v>47.25</v>
      </c>
      <c r="Y207" s="22">
        <v>29.5</v>
      </c>
      <c r="Z207" s="22">
        <v>17.75</v>
      </c>
      <c r="AA207" s="371">
        <v>247.95</v>
      </c>
      <c r="AB207" s="22">
        <v>0.19056261343012704</v>
      </c>
      <c r="AC207" s="24">
        <v>5.5562613430127028E-2</v>
      </c>
      <c r="AD207" s="384">
        <v>-127667.03505920057</v>
      </c>
    </row>
    <row r="208" spans="1:30">
      <c r="A208" s="21" t="s">
        <v>379</v>
      </c>
      <c r="B208" s="21" t="s">
        <v>380</v>
      </c>
      <c r="C208" s="23">
        <v>2588</v>
      </c>
      <c r="D208" s="147">
        <v>82.41</v>
      </c>
      <c r="E208" s="22">
        <v>472.17</v>
      </c>
      <c r="F208" s="22">
        <v>554.58000000000004</v>
      </c>
      <c r="G208" s="22">
        <v>0</v>
      </c>
      <c r="H208" s="22">
        <v>450</v>
      </c>
      <c r="I208" s="22">
        <v>13.69</v>
      </c>
      <c r="J208" s="22">
        <v>177.01</v>
      </c>
      <c r="K208" s="22">
        <v>10.89</v>
      </c>
      <c r="L208" s="22">
        <v>3.27</v>
      </c>
      <c r="M208" s="388">
        <v>9376.86</v>
      </c>
      <c r="N208" s="25">
        <v>0.2082</v>
      </c>
      <c r="O208" s="24">
        <v>228</v>
      </c>
      <c r="P208" s="24">
        <v>197.75</v>
      </c>
      <c r="Q208" s="24">
        <v>138.5</v>
      </c>
      <c r="R208" s="22">
        <v>59.25</v>
      </c>
      <c r="S208" s="24">
        <v>34.5</v>
      </c>
      <c r="T208" s="24">
        <f t="shared" si="13"/>
        <v>232.25</v>
      </c>
      <c r="U208" s="376">
        <v>1952.26</v>
      </c>
      <c r="V208" s="376">
        <v>468.84</v>
      </c>
      <c r="W208" s="22">
        <f t="shared" si="14"/>
        <v>406.460532</v>
      </c>
      <c r="X208" s="22">
        <f t="shared" si="15"/>
        <v>1107.5</v>
      </c>
      <c r="Y208" s="22">
        <v>722.25</v>
      </c>
      <c r="Z208" s="22">
        <v>385.25</v>
      </c>
      <c r="AA208" s="371">
        <v>8671.06</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175</v>
      </c>
      <c r="N209" s="25">
        <v>0.43359999999999999</v>
      </c>
      <c r="O209" s="24">
        <v>0</v>
      </c>
      <c r="P209" s="24">
        <v>8</v>
      </c>
      <c r="Q209" s="24">
        <v>5</v>
      </c>
      <c r="R209" s="22">
        <v>3</v>
      </c>
      <c r="S209" s="24">
        <v>0</v>
      </c>
      <c r="T209" s="24">
        <f t="shared" si="13"/>
        <v>8</v>
      </c>
      <c r="U209" s="376">
        <v>74.34</v>
      </c>
      <c r="V209" s="376">
        <v>0</v>
      </c>
      <c r="W209" s="22">
        <f t="shared" si="14"/>
        <v>32.233823999999998</v>
      </c>
      <c r="X209" s="22">
        <f t="shared" si="15"/>
        <v>16.2</v>
      </c>
      <c r="Y209" s="22">
        <v>16.2</v>
      </c>
      <c r="Z209" s="22">
        <v>0</v>
      </c>
      <c r="AA209" s="371">
        <v>120</v>
      </c>
      <c r="AB209" s="22">
        <v>0.13499999999999998</v>
      </c>
      <c r="AC209" s="24">
        <v>0</v>
      </c>
      <c r="AD209" s="384">
        <v>0</v>
      </c>
    </row>
    <row r="210" spans="1:30">
      <c r="A210" s="21" t="s">
        <v>321</v>
      </c>
      <c r="B210" s="21" t="s">
        <v>322</v>
      </c>
      <c r="C210" s="23">
        <v>269</v>
      </c>
      <c r="D210" s="147">
        <v>0</v>
      </c>
      <c r="E210" s="22">
        <v>0</v>
      </c>
      <c r="F210" s="22">
        <v>0</v>
      </c>
      <c r="G210" s="22">
        <v>0</v>
      </c>
      <c r="H210" s="22">
        <v>0</v>
      </c>
      <c r="I210" s="22">
        <v>0</v>
      </c>
      <c r="J210" s="22">
        <v>39.799999999999997</v>
      </c>
      <c r="K210" s="22">
        <v>0</v>
      </c>
      <c r="L210" s="22">
        <v>0</v>
      </c>
      <c r="M210" s="388">
        <v>685.8</v>
      </c>
      <c r="N210" s="25">
        <v>0.65090000000000003</v>
      </c>
      <c r="O210" s="24">
        <v>687</v>
      </c>
      <c r="P210" s="24">
        <v>31.75</v>
      </c>
      <c r="Q210" s="24">
        <v>18</v>
      </c>
      <c r="R210" s="22">
        <v>13.75</v>
      </c>
      <c r="S210" s="24">
        <v>4.5</v>
      </c>
      <c r="T210" s="24">
        <f t="shared" si="13"/>
        <v>36.25</v>
      </c>
      <c r="U210" s="376">
        <v>446.39</v>
      </c>
      <c r="V210" s="376">
        <v>34.29</v>
      </c>
      <c r="W210" s="22">
        <f t="shared" si="14"/>
        <v>290.555251</v>
      </c>
      <c r="X210" s="22">
        <f t="shared" si="15"/>
        <v>99.5</v>
      </c>
      <c r="Y210" s="22">
        <v>88.25</v>
      </c>
      <c r="Z210" s="22">
        <v>11.25</v>
      </c>
      <c r="AA210" s="371">
        <v>689.6</v>
      </c>
      <c r="AB210" s="22">
        <v>0.14428654292343387</v>
      </c>
      <c r="AC210" s="24">
        <v>9.2865429234338659E-3</v>
      </c>
      <c r="AD210" s="384">
        <v>-59096.471918014824</v>
      </c>
    </row>
    <row r="211" spans="1:30">
      <c r="A211" s="21" t="s">
        <v>119</v>
      </c>
      <c r="B211" s="21" t="s">
        <v>120</v>
      </c>
      <c r="C211" s="23">
        <v>98</v>
      </c>
      <c r="D211" s="147">
        <v>13.18</v>
      </c>
      <c r="E211" s="22">
        <v>39.29</v>
      </c>
      <c r="F211" s="22">
        <v>52.47</v>
      </c>
      <c r="G211" s="22">
        <v>0</v>
      </c>
      <c r="H211" s="22">
        <v>2</v>
      </c>
      <c r="I211" s="22">
        <v>1.08</v>
      </c>
      <c r="J211" s="22">
        <v>0</v>
      </c>
      <c r="K211" s="22">
        <v>0</v>
      </c>
      <c r="L211" s="22">
        <v>0</v>
      </c>
      <c r="M211" s="388">
        <v>315.08</v>
      </c>
      <c r="N211" s="25">
        <v>0.51839999999999997</v>
      </c>
      <c r="O211" s="24">
        <v>360</v>
      </c>
      <c r="P211" s="24">
        <v>3</v>
      </c>
      <c r="Q211" s="24">
        <v>2</v>
      </c>
      <c r="R211" s="22">
        <v>1</v>
      </c>
      <c r="S211" s="24">
        <v>1</v>
      </c>
      <c r="T211" s="24">
        <f t="shared" si="13"/>
        <v>4</v>
      </c>
      <c r="U211" s="376">
        <v>163.34</v>
      </c>
      <c r="V211" s="376">
        <v>0</v>
      </c>
      <c r="W211" s="22">
        <f t="shared" si="14"/>
        <v>84.675455999999997</v>
      </c>
      <c r="X211" s="22">
        <f t="shared" si="15"/>
        <v>53.5</v>
      </c>
      <c r="Y211" s="22">
        <v>21</v>
      </c>
      <c r="Z211" s="22">
        <v>32.5</v>
      </c>
      <c r="AA211" s="371">
        <v>355.34</v>
      </c>
      <c r="AB211" s="22">
        <v>0.15056002701637869</v>
      </c>
      <c r="AC211" s="24">
        <v>1.556002701637868E-2</v>
      </c>
      <c r="AD211" s="384">
        <v>-51210.184499579664</v>
      </c>
    </row>
    <row r="212" spans="1:30">
      <c r="A212" s="21" t="s">
        <v>43</v>
      </c>
      <c r="B212" s="21" t="s">
        <v>44</v>
      </c>
      <c r="C212" s="23">
        <v>921</v>
      </c>
      <c r="D212" s="147">
        <v>72.28</v>
      </c>
      <c r="E212" s="22">
        <v>229.55</v>
      </c>
      <c r="F212" s="22">
        <v>301.83000000000004</v>
      </c>
      <c r="G212" s="22">
        <v>0</v>
      </c>
      <c r="H212" s="22">
        <v>125</v>
      </c>
      <c r="I212" s="22">
        <v>8.33</v>
      </c>
      <c r="J212" s="22">
        <v>359.36</v>
      </c>
      <c r="K212" s="22">
        <v>0</v>
      </c>
      <c r="L212" s="22">
        <v>0</v>
      </c>
      <c r="M212" s="388">
        <v>3563.69</v>
      </c>
      <c r="N212" s="25">
        <v>0.52559999999999996</v>
      </c>
      <c r="O212" s="24">
        <v>2180</v>
      </c>
      <c r="P212" s="24">
        <v>53.5</v>
      </c>
      <c r="Q212" s="24">
        <v>37</v>
      </c>
      <c r="R212" s="22">
        <v>16.5</v>
      </c>
      <c r="S212" s="24">
        <v>9.5</v>
      </c>
      <c r="T212" s="24">
        <f t="shared" si="13"/>
        <v>63</v>
      </c>
      <c r="U212" s="376">
        <v>1875.21</v>
      </c>
      <c r="V212" s="376">
        <v>178.18</v>
      </c>
      <c r="W212" s="22">
        <f t="shared" si="14"/>
        <v>985.61037599999997</v>
      </c>
      <c r="X212" s="22">
        <f t="shared" si="15"/>
        <v>550</v>
      </c>
      <c r="Y212" s="22">
        <v>398.75</v>
      </c>
      <c r="Z212" s="22">
        <v>151.25</v>
      </c>
      <c r="AA212" s="371">
        <v>3493.54</v>
      </c>
      <c r="AB212" s="22">
        <v>0.15743343428155968</v>
      </c>
      <c r="AC212" s="24">
        <v>2.2433434281559667E-2</v>
      </c>
      <c r="AD212" s="384">
        <v>-720435.1776347477</v>
      </c>
    </row>
    <row r="213" spans="1:30">
      <c r="A213" s="21" t="s">
        <v>181</v>
      </c>
      <c r="B213" s="21" t="s">
        <v>182</v>
      </c>
      <c r="C213" s="23">
        <v>278</v>
      </c>
      <c r="D213" s="147">
        <v>0</v>
      </c>
      <c r="E213" s="22">
        <v>54.97</v>
      </c>
      <c r="F213" s="22">
        <v>54.97</v>
      </c>
      <c r="G213" s="22">
        <v>0</v>
      </c>
      <c r="H213" s="22">
        <v>32</v>
      </c>
      <c r="I213" s="22">
        <v>2.3199999999999998</v>
      </c>
      <c r="J213" s="22">
        <v>135.22999999999999</v>
      </c>
      <c r="K213" s="22">
        <v>0</v>
      </c>
      <c r="L213" s="22">
        <v>0</v>
      </c>
      <c r="M213" s="388">
        <v>1178.55</v>
      </c>
      <c r="N213" s="25">
        <v>0.51739999999999997</v>
      </c>
      <c r="O213" s="24">
        <v>769</v>
      </c>
      <c r="P213" s="24">
        <v>36.25</v>
      </c>
      <c r="Q213" s="24">
        <v>22</v>
      </c>
      <c r="R213" s="22">
        <v>14.25</v>
      </c>
      <c r="S213" s="24">
        <v>2.25</v>
      </c>
      <c r="T213" s="24">
        <f t="shared" si="13"/>
        <v>38.5</v>
      </c>
      <c r="U213" s="376">
        <v>609.78</v>
      </c>
      <c r="V213" s="376">
        <v>58.93</v>
      </c>
      <c r="W213" s="22">
        <f t="shared" si="14"/>
        <v>315.50017199999996</v>
      </c>
      <c r="X213" s="22">
        <f t="shared" si="15"/>
        <v>141.75</v>
      </c>
      <c r="Y213" s="22">
        <v>101.75</v>
      </c>
      <c r="Z213" s="22">
        <v>40</v>
      </c>
      <c r="AA213" s="371">
        <v>1196.08</v>
      </c>
      <c r="AB213" s="22">
        <v>0.1185121396562103</v>
      </c>
      <c r="AC213" s="24">
        <v>0</v>
      </c>
      <c r="AD213" s="384">
        <v>0</v>
      </c>
    </row>
    <row r="214" spans="1:30">
      <c r="A214" s="21" t="s">
        <v>537</v>
      </c>
      <c r="B214" s="21" t="s">
        <v>538</v>
      </c>
      <c r="C214" s="23">
        <v>81</v>
      </c>
      <c r="D214" s="147">
        <v>0</v>
      </c>
      <c r="E214" s="22">
        <v>5.24</v>
      </c>
      <c r="F214" s="22">
        <v>5.24</v>
      </c>
      <c r="G214" s="22">
        <v>0</v>
      </c>
      <c r="H214" s="22">
        <v>3</v>
      </c>
      <c r="I214" s="22">
        <v>0</v>
      </c>
      <c r="J214" s="22">
        <v>0</v>
      </c>
      <c r="K214" s="22">
        <v>1</v>
      </c>
      <c r="L214" s="22">
        <v>0</v>
      </c>
      <c r="M214" s="388">
        <v>259</v>
      </c>
      <c r="N214" s="25">
        <v>0.93959999999999999</v>
      </c>
      <c r="O214" s="24">
        <v>232</v>
      </c>
      <c r="P214" s="24">
        <v>91</v>
      </c>
      <c r="Q214" s="24">
        <v>63.5</v>
      </c>
      <c r="R214" s="22">
        <v>27.5</v>
      </c>
      <c r="S214" s="24">
        <v>11</v>
      </c>
      <c r="T214" s="24">
        <f t="shared" si="13"/>
        <v>102</v>
      </c>
      <c r="U214" s="376">
        <v>243.36</v>
      </c>
      <c r="V214" s="376">
        <v>0</v>
      </c>
      <c r="W214" s="22">
        <f t="shared" si="14"/>
        <v>228.661056</v>
      </c>
      <c r="X214" s="22">
        <f t="shared" si="15"/>
        <v>35</v>
      </c>
      <c r="Y214" s="22">
        <v>25.75</v>
      </c>
      <c r="Z214" s="22">
        <v>9.25</v>
      </c>
      <c r="AA214" s="371">
        <v>248.31</v>
      </c>
      <c r="AB214" s="22">
        <v>0.14095284120655632</v>
      </c>
      <c r="AC214" s="24">
        <v>5.9528412065563141E-3</v>
      </c>
      <c r="AD214" s="384">
        <v>-13468.831493841635</v>
      </c>
    </row>
    <row r="215" spans="1:30">
      <c r="A215" s="21" t="s">
        <v>481</v>
      </c>
      <c r="B215" s="21" t="s">
        <v>482</v>
      </c>
      <c r="C215" s="23">
        <v>0</v>
      </c>
      <c r="D215" s="147">
        <v>0</v>
      </c>
      <c r="E215" s="22">
        <v>12.01</v>
      </c>
      <c r="F215" s="22">
        <v>12.01</v>
      </c>
      <c r="G215" s="22">
        <v>0</v>
      </c>
      <c r="H215" s="22">
        <v>20</v>
      </c>
      <c r="I215" s="22">
        <v>1</v>
      </c>
      <c r="J215" s="22">
        <v>0</v>
      </c>
      <c r="K215" s="22">
        <v>0</v>
      </c>
      <c r="L215" s="22">
        <v>0</v>
      </c>
      <c r="M215" s="388">
        <v>721</v>
      </c>
      <c r="N215" s="25">
        <v>0.58220000000000005</v>
      </c>
      <c r="O215" s="24">
        <v>663</v>
      </c>
      <c r="P215" s="24">
        <v>0</v>
      </c>
      <c r="Q215" s="24">
        <v>0</v>
      </c>
      <c r="R215" s="22">
        <v>0</v>
      </c>
      <c r="S215" s="24">
        <v>0</v>
      </c>
      <c r="T215" s="24">
        <f t="shared" si="13"/>
        <v>0</v>
      </c>
      <c r="U215" s="376">
        <v>419.77</v>
      </c>
      <c r="V215" s="376">
        <v>0</v>
      </c>
      <c r="W215" s="22">
        <f t="shared" si="14"/>
        <v>244.390094</v>
      </c>
      <c r="X215" s="22">
        <f t="shared" si="15"/>
        <v>103.25</v>
      </c>
      <c r="Y215" s="22">
        <v>102.25</v>
      </c>
      <c r="Z215" s="22">
        <v>1</v>
      </c>
      <c r="AA215" s="371">
        <v>648.44000000000005</v>
      </c>
      <c r="AB215" s="22">
        <v>0.15922830177040279</v>
      </c>
      <c r="AC215" s="24">
        <v>2.4228301770402777E-2</v>
      </c>
      <c r="AD215" s="384">
        <v>-134331.84426052432</v>
      </c>
    </row>
    <row r="216" spans="1:30">
      <c r="A216" s="21" t="s">
        <v>25</v>
      </c>
      <c r="B216" s="21" t="s">
        <v>26</v>
      </c>
      <c r="C216" s="23">
        <v>640</v>
      </c>
      <c r="D216" s="147">
        <v>29.81</v>
      </c>
      <c r="E216" s="22">
        <v>229.08</v>
      </c>
      <c r="F216" s="22">
        <v>258.89</v>
      </c>
      <c r="G216" s="22">
        <v>0</v>
      </c>
      <c r="H216" s="22">
        <v>53</v>
      </c>
      <c r="I216" s="22">
        <v>2.69</v>
      </c>
      <c r="J216" s="22">
        <v>0</v>
      </c>
      <c r="K216" s="22">
        <v>12.6</v>
      </c>
      <c r="L216" s="22">
        <v>0</v>
      </c>
      <c r="M216" s="388">
        <v>2379.29</v>
      </c>
      <c r="N216" s="25">
        <v>0.71989999999999998</v>
      </c>
      <c r="O216" s="24">
        <v>2481</v>
      </c>
      <c r="P216" s="24">
        <v>586.75</v>
      </c>
      <c r="Q216" s="24">
        <v>378.25</v>
      </c>
      <c r="R216" s="22">
        <v>208.5</v>
      </c>
      <c r="S216" s="24">
        <v>71</v>
      </c>
      <c r="T216" s="24">
        <f t="shared" si="13"/>
        <v>657.75</v>
      </c>
      <c r="U216" s="376">
        <v>1712.14</v>
      </c>
      <c r="V216" s="376">
        <v>118.96</v>
      </c>
      <c r="W216" s="22">
        <f t="shared" si="14"/>
        <v>1232.5695860000001</v>
      </c>
      <c r="X216" s="22">
        <f t="shared" si="15"/>
        <v>314.75</v>
      </c>
      <c r="Y216" s="22">
        <v>143.75</v>
      </c>
      <c r="Z216" s="22">
        <v>171</v>
      </c>
      <c r="AA216" s="371">
        <v>2475.6799999999998</v>
      </c>
      <c r="AB216" s="22">
        <v>0.12713678666063466</v>
      </c>
      <c r="AC216" s="24">
        <v>0</v>
      </c>
      <c r="AD216" s="384">
        <v>0</v>
      </c>
    </row>
    <row r="217" spans="1:30">
      <c r="A217" s="21" t="s">
        <v>1319</v>
      </c>
      <c r="B217" s="21" t="s">
        <v>1320</v>
      </c>
      <c r="C217" s="23">
        <v>108</v>
      </c>
      <c r="D217" s="147">
        <v>0</v>
      </c>
      <c r="E217" s="22">
        <v>0</v>
      </c>
      <c r="F217" s="22">
        <v>0</v>
      </c>
      <c r="G217" s="22">
        <v>0</v>
      </c>
      <c r="H217" s="22">
        <v>0</v>
      </c>
      <c r="I217" s="22">
        <v>0</v>
      </c>
      <c r="J217" s="22">
        <v>0</v>
      </c>
      <c r="K217" s="22">
        <v>0</v>
      </c>
      <c r="L217" s="22">
        <v>0</v>
      </c>
      <c r="M217" s="388">
        <v>144</v>
      </c>
      <c r="N217" s="25">
        <v>0.2278</v>
      </c>
      <c r="O217" s="24">
        <v>0</v>
      </c>
      <c r="P217" s="24">
        <v>3</v>
      </c>
      <c r="Q217" s="24">
        <v>3</v>
      </c>
      <c r="R217" s="22">
        <v>0</v>
      </c>
      <c r="S217" s="24">
        <v>0</v>
      </c>
      <c r="T217" s="24">
        <f t="shared" si="13"/>
        <v>3</v>
      </c>
      <c r="U217" s="376">
        <v>3.64</v>
      </c>
      <c r="V217" s="376">
        <v>0</v>
      </c>
      <c r="W217" s="22">
        <f t="shared" si="14"/>
        <v>0.82919200000000004</v>
      </c>
      <c r="X217" s="22">
        <f t="shared" si="15"/>
        <v>11.75</v>
      </c>
      <c r="Y217" s="22">
        <v>11.75</v>
      </c>
      <c r="Z217" s="22">
        <v>0</v>
      </c>
      <c r="AA217" s="371">
        <v>77</v>
      </c>
      <c r="AB217" s="22">
        <v>0.15259740259740259</v>
      </c>
      <c r="AC217" s="24">
        <v>1.7597402597402584E-2</v>
      </c>
      <c r="AD217" s="384">
        <v>-13810.932253887959</v>
      </c>
    </row>
    <row r="218" spans="1:30">
      <c r="A218" s="21" t="s">
        <v>561</v>
      </c>
      <c r="B218" s="21" t="s">
        <v>562</v>
      </c>
      <c r="C218" s="23">
        <v>812</v>
      </c>
      <c r="D218" s="147">
        <v>44.01</v>
      </c>
      <c r="E218" s="22">
        <v>131.38</v>
      </c>
      <c r="F218" s="22">
        <v>175.39</v>
      </c>
      <c r="G218" s="22">
        <v>0</v>
      </c>
      <c r="H218" s="22">
        <v>40</v>
      </c>
      <c r="I218" s="22">
        <v>0.6</v>
      </c>
      <c r="J218" s="22">
        <v>7.75</v>
      </c>
      <c r="K218" s="22">
        <v>0.8</v>
      </c>
      <c r="L218" s="22">
        <v>0</v>
      </c>
      <c r="M218" s="388">
        <v>2674.15</v>
      </c>
      <c r="N218" s="25">
        <v>0.3155</v>
      </c>
      <c r="O218" s="24">
        <v>0</v>
      </c>
      <c r="P218" s="24">
        <v>121.25</v>
      </c>
      <c r="Q218" s="24">
        <v>93.5</v>
      </c>
      <c r="R218" s="22">
        <v>27.75</v>
      </c>
      <c r="S218" s="24">
        <v>42.75</v>
      </c>
      <c r="T218" s="24">
        <f t="shared" si="13"/>
        <v>164</v>
      </c>
      <c r="U218" s="376">
        <v>843.69</v>
      </c>
      <c r="V218" s="376">
        <v>133.71</v>
      </c>
      <c r="W218" s="22">
        <f t="shared" si="14"/>
        <v>266.18419500000005</v>
      </c>
      <c r="X218" s="22">
        <f t="shared" si="15"/>
        <v>317</v>
      </c>
      <c r="Y218" s="22">
        <v>236.75</v>
      </c>
      <c r="Z218" s="22">
        <v>80.25</v>
      </c>
      <c r="AA218" s="371">
        <v>2617.1999999999998</v>
      </c>
      <c r="AB218" s="22">
        <v>0.1211218095674767</v>
      </c>
      <c r="AC218" s="24">
        <v>0</v>
      </c>
      <c r="AD218" s="384">
        <v>0</v>
      </c>
    </row>
    <row r="219" spans="1:30">
      <c r="A219" s="21" t="s">
        <v>363</v>
      </c>
      <c r="B219" s="21" t="s">
        <v>364</v>
      </c>
      <c r="C219" s="23">
        <v>6694</v>
      </c>
      <c r="D219" s="147">
        <v>359.2</v>
      </c>
      <c r="E219" s="22">
        <v>1267.8</v>
      </c>
      <c r="F219" s="22">
        <v>1627</v>
      </c>
      <c r="G219" s="22">
        <v>0</v>
      </c>
      <c r="H219" s="22">
        <v>725</v>
      </c>
      <c r="I219" s="22">
        <v>18.7</v>
      </c>
      <c r="J219" s="22">
        <v>740.55</v>
      </c>
      <c r="K219" s="22">
        <v>51.6</v>
      </c>
      <c r="L219" s="22">
        <v>0</v>
      </c>
      <c r="M219" s="388">
        <v>22895.85</v>
      </c>
      <c r="N219" s="25">
        <v>0.39810000000000001</v>
      </c>
      <c r="O219" s="24">
        <v>1992</v>
      </c>
      <c r="P219" s="24">
        <v>1441.25</v>
      </c>
      <c r="Q219" s="24">
        <v>926.25</v>
      </c>
      <c r="R219" s="22">
        <v>515</v>
      </c>
      <c r="S219" s="24">
        <v>339.5</v>
      </c>
      <c r="T219" s="24">
        <f t="shared" si="13"/>
        <v>1780.75</v>
      </c>
      <c r="U219" s="376">
        <v>9114.84</v>
      </c>
      <c r="V219" s="376">
        <v>1144.79</v>
      </c>
      <c r="W219" s="22">
        <f t="shared" si="14"/>
        <v>3628.617804</v>
      </c>
      <c r="X219" s="22">
        <f t="shared" si="15"/>
        <v>2490.5</v>
      </c>
      <c r="Y219" s="22">
        <v>1339.25</v>
      </c>
      <c r="Z219" s="22">
        <v>1151.25</v>
      </c>
      <c r="AA219" s="371">
        <v>22353.34</v>
      </c>
      <c r="AB219" s="22">
        <v>0.11141511738290565</v>
      </c>
      <c r="AC219" s="24">
        <v>0</v>
      </c>
      <c r="AD219" s="384">
        <v>0</v>
      </c>
    </row>
    <row r="220" spans="1:30">
      <c r="A220" s="21" t="s">
        <v>173</v>
      </c>
      <c r="B220" s="21" t="s">
        <v>174</v>
      </c>
      <c r="C220" s="23">
        <v>16</v>
      </c>
      <c r="D220" s="147">
        <v>0</v>
      </c>
      <c r="E220" s="22">
        <v>0</v>
      </c>
      <c r="F220" s="22">
        <v>0</v>
      </c>
      <c r="G220" s="22">
        <v>0</v>
      </c>
      <c r="H220" s="22">
        <v>0</v>
      </c>
      <c r="I220" s="22">
        <v>0</v>
      </c>
      <c r="J220" s="22">
        <v>0</v>
      </c>
      <c r="K220" s="22">
        <v>0</v>
      </c>
      <c r="L220" s="22">
        <v>0</v>
      </c>
      <c r="M220" s="388">
        <v>39</v>
      </c>
      <c r="N220" s="25">
        <v>1</v>
      </c>
      <c r="O220" s="24">
        <v>50</v>
      </c>
      <c r="P220" s="24">
        <v>0</v>
      </c>
      <c r="Q220" s="24">
        <v>0</v>
      </c>
      <c r="R220" s="22">
        <v>0</v>
      </c>
      <c r="S220" s="24">
        <v>0</v>
      </c>
      <c r="T220" s="24">
        <f t="shared" si="13"/>
        <v>0</v>
      </c>
      <c r="U220" s="376">
        <v>39</v>
      </c>
      <c r="V220" s="376">
        <v>0</v>
      </c>
      <c r="W220" s="22">
        <f t="shared" si="14"/>
        <v>39</v>
      </c>
      <c r="X220" s="22">
        <f t="shared" si="15"/>
        <v>8.75</v>
      </c>
      <c r="Y220" s="22">
        <v>0</v>
      </c>
      <c r="Z220" s="22">
        <v>8.75</v>
      </c>
      <c r="AA220" s="371">
        <v>50.8</v>
      </c>
      <c r="AB220" s="22">
        <v>0.17224409448818898</v>
      </c>
      <c r="AC220" s="24">
        <v>3.7244094488188967E-2</v>
      </c>
      <c r="AD220" s="384">
        <v>-17309.967828569788</v>
      </c>
    </row>
    <row r="221" spans="1:30">
      <c r="A221" s="21" t="s">
        <v>177</v>
      </c>
      <c r="B221" s="21" t="s">
        <v>178</v>
      </c>
      <c r="C221" s="23">
        <v>50</v>
      </c>
      <c r="D221" s="147">
        <v>0</v>
      </c>
      <c r="E221" s="22">
        <v>7.66</v>
      </c>
      <c r="F221" s="22">
        <v>7.66</v>
      </c>
      <c r="G221" s="22">
        <v>0</v>
      </c>
      <c r="H221" s="22">
        <v>5</v>
      </c>
      <c r="I221" s="22">
        <v>0</v>
      </c>
      <c r="J221" s="22">
        <v>436.06</v>
      </c>
      <c r="K221" s="22">
        <v>0</v>
      </c>
      <c r="L221" s="22">
        <v>0</v>
      </c>
      <c r="M221" s="388">
        <v>641.05999999999995</v>
      </c>
      <c r="N221" s="25">
        <v>0.31059999999999999</v>
      </c>
      <c r="O221" s="24">
        <v>0</v>
      </c>
      <c r="P221" s="24">
        <v>0</v>
      </c>
      <c r="Q221" s="24">
        <v>0</v>
      </c>
      <c r="R221" s="22">
        <v>0</v>
      </c>
      <c r="S221" s="24">
        <v>0</v>
      </c>
      <c r="T221" s="24">
        <f t="shared" si="13"/>
        <v>0</v>
      </c>
      <c r="U221" s="376">
        <v>199.56</v>
      </c>
      <c r="V221" s="376">
        <v>32.049999999999997</v>
      </c>
      <c r="W221" s="22">
        <f t="shared" si="14"/>
        <v>61.983336000000001</v>
      </c>
      <c r="X221" s="22">
        <f t="shared" si="15"/>
        <v>55.75</v>
      </c>
      <c r="Y221" s="22">
        <v>53</v>
      </c>
      <c r="Z221" s="22">
        <v>2.75</v>
      </c>
      <c r="AA221" s="371">
        <v>653.72</v>
      </c>
      <c r="AB221" s="22">
        <v>8.5281160129719147E-2</v>
      </c>
      <c r="AC221" s="24">
        <v>0</v>
      </c>
      <c r="AD221" s="384">
        <v>0</v>
      </c>
    </row>
    <row r="222" spans="1:30">
      <c r="A222" s="21" t="s">
        <v>53</v>
      </c>
      <c r="B222" s="21" t="s">
        <v>54</v>
      </c>
      <c r="C222" s="23">
        <v>30.4</v>
      </c>
      <c r="D222" s="147">
        <v>1.65</v>
      </c>
      <c r="E222" s="22">
        <v>8.7899999999999991</v>
      </c>
      <c r="F222" s="22">
        <v>10.44</v>
      </c>
      <c r="G222" s="22">
        <v>0</v>
      </c>
      <c r="H222" s="22">
        <v>0.33</v>
      </c>
      <c r="I222" s="22">
        <v>0</v>
      </c>
      <c r="J222" s="22">
        <v>0</v>
      </c>
      <c r="K222" s="22">
        <v>0</v>
      </c>
      <c r="L222" s="22">
        <v>0</v>
      </c>
      <c r="M222" s="388">
        <v>116.49</v>
      </c>
      <c r="N222" s="25">
        <v>0.93910000000000005</v>
      </c>
      <c r="O222" s="24">
        <v>115</v>
      </c>
      <c r="P222" s="24">
        <v>0</v>
      </c>
      <c r="Q222" s="24">
        <v>0</v>
      </c>
      <c r="R222" s="22">
        <v>0</v>
      </c>
      <c r="S222" s="24">
        <v>0</v>
      </c>
      <c r="T222" s="24">
        <f t="shared" si="13"/>
        <v>0</v>
      </c>
      <c r="U222" s="376">
        <v>109.4</v>
      </c>
      <c r="V222" s="376">
        <v>0</v>
      </c>
      <c r="W222" s="22">
        <f t="shared" si="14"/>
        <v>102.73754000000001</v>
      </c>
      <c r="X222" s="22">
        <f t="shared" si="15"/>
        <v>28.25</v>
      </c>
      <c r="Y222" s="22">
        <v>27</v>
      </c>
      <c r="Z222" s="22">
        <v>1.25</v>
      </c>
      <c r="AA222" s="371">
        <v>116.49</v>
      </c>
      <c r="AB222" s="22">
        <v>0.24251008670272128</v>
      </c>
      <c r="AC222" s="24">
        <v>0.10751008670272127</v>
      </c>
      <c r="AD222" s="384">
        <v>-113052.12460353338</v>
      </c>
    </row>
    <row r="223" spans="1:30">
      <c r="A223" s="21" t="s">
        <v>51</v>
      </c>
      <c r="B223" s="21" t="s">
        <v>52</v>
      </c>
      <c r="C223" s="23">
        <v>274</v>
      </c>
      <c r="D223" s="147">
        <v>13.1</v>
      </c>
      <c r="E223" s="22">
        <v>43.4</v>
      </c>
      <c r="F223" s="22">
        <v>56.5</v>
      </c>
      <c r="G223" s="22">
        <v>0</v>
      </c>
      <c r="H223" s="22">
        <v>150</v>
      </c>
      <c r="I223" s="22">
        <v>9.52</v>
      </c>
      <c r="J223" s="22">
        <v>2271.44</v>
      </c>
      <c r="K223" s="22">
        <v>6.8</v>
      </c>
      <c r="L223" s="22">
        <v>0</v>
      </c>
      <c r="M223" s="388">
        <v>3325.76</v>
      </c>
      <c r="N223" s="25">
        <v>0.63009999999999999</v>
      </c>
      <c r="O223" s="24">
        <v>3279</v>
      </c>
      <c r="P223" s="24">
        <v>231</v>
      </c>
      <c r="Q223" s="24">
        <v>119</v>
      </c>
      <c r="R223" s="22">
        <v>112</v>
      </c>
      <c r="S223" s="24">
        <v>31</v>
      </c>
      <c r="T223" s="24">
        <f t="shared" si="13"/>
        <v>262</v>
      </c>
      <c r="U223" s="376">
        <v>1767.97</v>
      </c>
      <c r="V223" s="376">
        <v>0</v>
      </c>
      <c r="W223" s="22">
        <f t="shared" si="14"/>
        <v>1113.997897</v>
      </c>
      <c r="X223" s="22">
        <f t="shared" si="15"/>
        <v>565.75</v>
      </c>
      <c r="Y223" s="22">
        <v>502</v>
      </c>
      <c r="Z223" s="22">
        <v>63.75</v>
      </c>
      <c r="AA223" s="371">
        <v>3270.9</v>
      </c>
      <c r="AB223" s="22">
        <v>0.17296462747256106</v>
      </c>
      <c r="AC223" s="24">
        <v>3.7964627472561047E-2</v>
      </c>
      <c r="AD223" s="384">
        <v>-1082982.1402873022</v>
      </c>
    </row>
    <row r="224" spans="1:30">
      <c r="A224" s="21" t="s">
        <v>123</v>
      </c>
      <c r="B224" s="21" t="s">
        <v>124</v>
      </c>
      <c r="C224" s="23">
        <v>909</v>
      </c>
      <c r="D224" s="147">
        <v>51.71</v>
      </c>
      <c r="E224" s="22">
        <v>223.35</v>
      </c>
      <c r="F224" s="22">
        <v>275.06</v>
      </c>
      <c r="G224" s="22">
        <v>0</v>
      </c>
      <c r="H224" s="22">
        <v>62</v>
      </c>
      <c r="I224" s="22">
        <v>2.91</v>
      </c>
      <c r="J224" s="22">
        <v>58.04</v>
      </c>
      <c r="K224" s="22">
        <v>4.2</v>
      </c>
      <c r="L224" s="22">
        <v>0</v>
      </c>
      <c r="M224" s="388">
        <v>3124.1499999999996</v>
      </c>
      <c r="N224" s="25">
        <v>0.82869999999999999</v>
      </c>
      <c r="O224" s="24">
        <v>3125</v>
      </c>
      <c r="P224" s="24">
        <v>1196</v>
      </c>
      <c r="Q224" s="24">
        <v>762.75</v>
      </c>
      <c r="R224" s="22">
        <v>433.25</v>
      </c>
      <c r="S224" s="24">
        <v>243.25</v>
      </c>
      <c r="T224" s="24">
        <f t="shared" si="13"/>
        <v>1439.25</v>
      </c>
      <c r="U224" s="376">
        <v>2588.98</v>
      </c>
      <c r="V224" s="376">
        <v>156.21</v>
      </c>
      <c r="W224" s="22">
        <f t="shared" si="14"/>
        <v>2145.4877259999998</v>
      </c>
      <c r="X224" s="22">
        <f t="shared" si="15"/>
        <v>427</v>
      </c>
      <c r="Y224" s="22">
        <v>338</v>
      </c>
      <c r="Z224" s="22">
        <v>89</v>
      </c>
      <c r="AA224" s="371">
        <v>3149.58</v>
      </c>
      <c r="AB224" s="22">
        <v>0.13557363203982753</v>
      </c>
      <c r="AC224" s="24">
        <v>5.7363203982752076E-4</v>
      </c>
      <c r="AD224" s="384">
        <v>-16360.495500050125</v>
      </c>
    </row>
    <row r="225" spans="1:30">
      <c r="A225" s="21" t="s">
        <v>225</v>
      </c>
      <c r="B225" s="21" t="s">
        <v>226</v>
      </c>
      <c r="C225" s="23">
        <v>0</v>
      </c>
      <c r="D225" s="147">
        <v>0</v>
      </c>
      <c r="E225" s="22">
        <v>0</v>
      </c>
      <c r="F225" s="22">
        <v>0</v>
      </c>
      <c r="G225" s="22">
        <v>0</v>
      </c>
      <c r="H225" s="22">
        <v>0</v>
      </c>
      <c r="I225" s="22">
        <v>0</v>
      </c>
      <c r="J225" s="22">
        <v>0</v>
      </c>
      <c r="K225" s="22">
        <v>0</v>
      </c>
      <c r="L225" s="22">
        <v>0</v>
      </c>
      <c r="M225" s="388">
        <v>329</v>
      </c>
      <c r="N225" s="25">
        <v>0.76190000000000002</v>
      </c>
      <c r="O225" s="24">
        <v>336</v>
      </c>
      <c r="P225" s="24">
        <v>96.75</v>
      </c>
      <c r="Q225" s="24">
        <v>54.75</v>
      </c>
      <c r="R225" s="22">
        <v>42</v>
      </c>
      <c r="S225" s="24">
        <v>21</v>
      </c>
      <c r="T225" s="24">
        <f t="shared" si="13"/>
        <v>117.75</v>
      </c>
      <c r="U225" s="376">
        <v>250.67</v>
      </c>
      <c r="V225" s="376">
        <v>0</v>
      </c>
      <c r="W225" s="22">
        <f t="shared" si="14"/>
        <v>190.98547299999998</v>
      </c>
      <c r="X225" s="22">
        <f t="shared" si="15"/>
        <v>24.75</v>
      </c>
      <c r="Y225" s="22">
        <v>24.75</v>
      </c>
      <c r="Z225" s="22">
        <v>0</v>
      </c>
      <c r="AA225" s="371">
        <v>329</v>
      </c>
      <c r="AB225" s="22">
        <v>7.522796352583587E-2</v>
      </c>
      <c r="AC225" s="24">
        <v>0</v>
      </c>
      <c r="AD225" s="384">
        <v>0</v>
      </c>
    </row>
    <row r="226" spans="1:30">
      <c r="A226" s="21" t="s">
        <v>515</v>
      </c>
      <c r="B226" s="21" t="s">
        <v>516</v>
      </c>
      <c r="C226" s="23">
        <v>256</v>
      </c>
      <c r="D226" s="147">
        <v>14.94</v>
      </c>
      <c r="E226" s="22">
        <v>63.58</v>
      </c>
      <c r="F226" s="22">
        <v>78.52</v>
      </c>
      <c r="G226" s="22">
        <v>0</v>
      </c>
      <c r="H226" s="22">
        <v>13</v>
      </c>
      <c r="I226" s="22">
        <v>1.35</v>
      </c>
      <c r="J226" s="22">
        <v>0</v>
      </c>
      <c r="K226" s="22">
        <v>4.4000000000000004</v>
      </c>
      <c r="L226" s="22">
        <v>0</v>
      </c>
      <c r="M226" s="388">
        <v>893.75</v>
      </c>
      <c r="N226" s="25">
        <v>0.4415</v>
      </c>
      <c r="O226" s="24">
        <v>0</v>
      </c>
      <c r="P226" s="24">
        <v>0</v>
      </c>
      <c r="Q226" s="24">
        <v>0</v>
      </c>
      <c r="R226" s="22">
        <v>0</v>
      </c>
      <c r="S226" s="24">
        <v>0</v>
      </c>
      <c r="T226" s="24">
        <f t="shared" si="13"/>
        <v>0</v>
      </c>
      <c r="U226" s="376">
        <v>394.59</v>
      </c>
      <c r="V226" s="376">
        <v>44.69</v>
      </c>
      <c r="W226" s="22">
        <f t="shared" si="14"/>
        <v>174.21148499999998</v>
      </c>
      <c r="X226" s="22">
        <f t="shared" si="15"/>
        <v>126.75</v>
      </c>
      <c r="Y226" s="22">
        <v>88</v>
      </c>
      <c r="Z226" s="22">
        <v>38.75</v>
      </c>
      <c r="AA226" s="371">
        <v>886.79</v>
      </c>
      <c r="AB226" s="22">
        <v>0.14293124640557517</v>
      </c>
      <c r="AC226" s="24">
        <v>7.9312464055751597E-3</v>
      </c>
      <c r="AD226" s="384">
        <v>-63538.829480770473</v>
      </c>
    </row>
    <row r="227" spans="1:30">
      <c r="A227" s="21" t="s">
        <v>345</v>
      </c>
      <c r="B227" s="21" t="s">
        <v>346</v>
      </c>
      <c r="C227" s="23">
        <v>132</v>
      </c>
      <c r="D227" s="147">
        <v>0</v>
      </c>
      <c r="E227" s="22">
        <v>38.950000000000003</v>
      </c>
      <c r="F227" s="22">
        <v>38.950000000000003</v>
      </c>
      <c r="G227" s="22">
        <v>0</v>
      </c>
      <c r="H227" s="22">
        <v>14</v>
      </c>
      <c r="I227" s="22">
        <v>0.17</v>
      </c>
      <c r="J227" s="22">
        <v>2</v>
      </c>
      <c r="K227" s="22">
        <v>2</v>
      </c>
      <c r="L227" s="22">
        <v>0</v>
      </c>
      <c r="M227" s="388">
        <v>521.16999999999996</v>
      </c>
      <c r="N227" s="25">
        <v>0.70309999999999995</v>
      </c>
      <c r="O227" s="24">
        <v>522</v>
      </c>
      <c r="P227" s="24">
        <v>61.5</v>
      </c>
      <c r="Q227" s="24">
        <v>37.25</v>
      </c>
      <c r="R227" s="22">
        <v>24.25</v>
      </c>
      <c r="S227" s="24">
        <v>9</v>
      </c>
      <c r="T227" s="24">
        <f t="shared" si="13"/>
        <v>70.5</v>
      </c>
      <c r="U227" s="376">
        <v>366.43</v>
      </c>
      <c r="V227" s="376">
        <v>26.06</v>
      </c>
      <c r="W227" s="22">
        <f t="shared" si="14"/>
        <v>257.636933</v>
      </c>
      <c r="X227" s="22">
        <f t="shared" si="15"/>
        <v>81.5</v>
      </c>
      <c r="Y227" s="22">
        <v>50.5</v>
      </c>
      <c r="Z227" s="22">
        <v>31</v>
      </c>
      <c r="AA227" s="371">
        <v>522.97</v>
      </c>
      <c r="AB227" s="22">
        <v>0.15584067919765951</v>
      </c>
      <c r="AC227" s="24">
        <v>2.0840679197659501E-2</v>
      </c>
      <c r="AD227" s="384">
        <v>-97731.339697773146</v>
      </c>
    </row>
    <row r="228" spans="1:30">
      <c r="A228" s="21" t="s">
        <v>299</v>
      </c>
      <c r="B228" s="21" t="s">
        <v>300</v>
      </c>
      <c r="C228" s="23">
        <v>194</v>
      </c>
      <c r="D228" s="147">
        <v>10.23</v>
      </c>
      <c r="E228" s="22">
        <v>50.04</v>
      </c>
      <c r="F228" s="22">
        <v>60.269999999999996</v>
      </c>
      <c r="G228" s="22">
        <v>0</v>
      </c>
      <c r="H228" s="22">
        <v>17</v>
      </c>
      <c r="I228" s="22">
        <v>0.05</v>
      </c>
      <c r="J228" s="22">
        <v>27.4</v>
      </c>
      <c r="K228" s="22">
        <v>0</v>
      </c>
      <c r="L228" s="22">
        <v>0</v>
      </c>
      <c r="M228" s="388">
        <v>695.44999999999993</v>
      </c>
      <c r="N228" s="25">
        <v>0.46189999999999998</v>
      </c>
      <c r="O228" s="24">
        <v>0</v>
      </c>
      <c r="P228" s="24">
        <v>6</v>
      </c>
      <c r="Q228" s="24">
        <v>5.75</v>
      </c>
      <c r="R228" s="22">
        <v>0.25</v>
      </c>
      <c r="S228" s="24">
        <v>4.75</v>
      </c>
      <c r="T228" s="24">
        <f t="shared" si="13"/>
        <v>10.75</v>
      </c>
      <c r="U228" s="376">
        <v>310.58999999999997</v>
      </c>
      <c r="V228" s="376">
        <v>0</v>
      </c>
      <c r="W228" s="22">
        <f t="shared" si="14"/>
        <v>143.46152099999998</v>
      </c>
      <c r="X228" s="22">
        <f t="shared" si="15"/>
        <v>78.75</v>
      </c>
      <c r="Y228" s="22">
        <v>45.75</v>
      </c>
      <c r="Z228" s="22">
        <v>33</v>
      </c>
      <c r="AA228" s="371">
        <v>720.37</v>
      </c>
      <c r="AB228" s="22">
        <v>0.10931882227188806</v>
      </c>
      <c r="AC228" s="24">
        <v>0</v>
      </c>
      <c r="AD228" s="384">
        <v>0</v>
      </c>
    </row>
    <row r="229" spans="1:30">
      <c r="A229" s="21" t="s">
        <v>195</v>
      </c>
      <c r="B229" s="21" t="s">
        <v>196</v>
      </c>
      <c r="C229" s="23">
        <v>4646</v>
      </c>
      <c r="D229" s="147">
        <v>190.06</v>
      </c>
      <c r="E229" s="22">
        <v>1252.92</v>
      </c>
      <c r="F229" s="22">
        <v>1442.98</v>
      </c>
      <c r="G229" s="22">
        <v>0</v>
      </c>
      <c r="H229" s="22">
        <v>505</v>
      </c>
      <c r="I229" s="22">
        <v>39.92</v>
      </c>
      <c r="J229" s="22">
        <v>540.91000000000008</v>
      </c>
      <c r="K229" s="22">
        <v>12.99</v>
      </c>
      <c r="L229" s="22">
        <v>0</v>
      </c>
      <c r="M229" s="388">
        <v>15505.82</v>
      </c>
      <c r="N229" s="25">
        <v>0.53410000000000002</v>
      </c>
      <c r="O229" s="24">
        <v>7369</v>
      </c>
      <c r="P229" s="24">
        <v>3034</v>
      </c>
      <c r="Q229" s="24">
        <v>2059.25</v>
      </c>
      <c r="R229" s="22">
        <v>974.75</v>
      </c>
      <c r="S229" s="24">
        <v>459</v>
      </c>
      <c r="T229" s="24">
        <f t="shared" si="13"/>
        <v>3493</v>
      </c>
      <c r="U229" s="376">
        <v>8281.66</v>
      </c>
      <c r="V229" s="376">
        <v>775.29</v>
      </c>
      <c r="W229" s="22">
        <f t="shared" si="14"/>
        <v>4423.234606</v>
      </c>
      <c r="X229" s="22">
        <f t="shared" si="15"/>
        <v>1961.75</v>
      </c>
      <c r="Y229" s="22">
        <v>1012.75</v>
      </c>
      <c r="Z229" s="22">
        <v>949</v>
      </c>
      <c r="AA229" s="371">
        <v>14860.81</v>
      </c>
      <c r="AB229" s="22">
        <v>0.13200828218650262</v>
      </c>
      <c r="AC229" s="24">
        <v>0</v>
      </c>
      <c r="AD229" s="384">
        <v>0</v>
      </c>
    </row>
    <row r="230" spans="1:30">
      <c r="A230" s="21" t="s">
        <v>109</v>
      </c>
      <c r="B230" s="21" t="s">
        <v>110</v>
      </c>
      <c r="C230" s="23">
        <v>72</v>
      </c>
      <c r="D230" s="147">
        <v>0</v>
      </c>
      <c r="E230" s="22">
        <v>12.1</v>
      </c>
      <c r="F230" s="22">
        <v>12.1</v>
      </c>
      <c r="G230" s="22">
        <v>0</v>
      </c>
      <c r="H230" s="22">
        <v>5</v>
      </c>
      <c r="I230" s="22">
        <v>0.7</v>
      </c>
      <c r="J230" s="22">
        <v>59.230000000000004</v>
      </c>
      <c r="K230" s="22">
        <v>0</v>
      </c>
      <c r="L230" s="22">
        <v>0</v>
      </c>
      <c r="M230" s="388">
        <v>359.93</v>
      </c>
      <c r="N230" s="25">
        <v>0.7147</v>
      </c>
      <c r="O230" s="24">
        <v>299</v>
      </c>
      <c r="P230" s="24">
        <v>0</v>
      </c>
      <c r="Q230" s="24">
        <v>0</v>
      </c>
      <c r="R230" s="22">
        <v>0</v>
      </c>
      <c r="S230" s="24">
        <v>0</v>
      </c>
      <c r="T230" s="24">
        <f t="shared" si="13"/>
        <v>0</v>
      </c>
      <c r="U230" s="376">
        <v>257.52999999999997</v>
      </c>
      <c r="V230" s="376">
        <v>18</v>
      </c>
      <c r="W230" s="22">
        <f t="shared" si="14"/>
        <v>184.05669099999997</v>
      </c>
      <c r="X230" s="22">
        <f t="shared" si="15"/>
        <v>60.25</v>
      </c>
      <c r="Y230" s="22">
        <v>48.25</v>
      </c>
      <c r="Z230" s="22">
        <v>12</v>
      </c>
      <c r="AA230" s="371">
        <v>364.34</v>
      </c>
      <c r="AB230" s="22">
        <v>0.1653675138606796</v>
      </c>
      <c r="AC230" s="24">
        <v>3.0367513860679596E-2</v>
      </c>
      <c r="AD230" s="384">
        <v>-100263.48689339527</v>
      </c>
    </row>
    <row r="231" spans="1:30">
      <c r="A231" s="21" t="s">
        <v>27</v>
      </c>
      <c r="B231" s="21" t="s">
        <v>28</v>
      </c>
      <c r="C231" s="23">
        <v>3761</v>
      </c>
      <c r="D231" s="147">
        <v>76.97</v>
      </c>
      <c r="E231" s="22">
        <v>667.34</v>
      </c>
      <c r="F231" s="22">
        <v>744.31000000000006</v>
      </c>
      <c r="G231" s="22">
        <v>0</v>
      </c>
      <c r="H231" s="22">
        <v>250</v>
      </c>
      <c r="I231" s="22">
        <v>19.96</v>
      </c>
      <c r="J231" s="22">
        <v>1146.56</v>
      </c>
      <c r="K231" s="22">
        <v>51.29</v>
      </c>
      <c r="L231" s="22">
        <v>0</v>
      </c>
      <c r="M231" s="388">
        <v>14364.81</v>
      </c>
      <c r="N231" s="25">
        <v>0.38919999999999999</v>
      </c>
      <c r="O231" s="24">
        <v>2483</v>
      </c>
      <c r="P231" s="24">
        <v>791.5</v>
      </c>
      <c r="Q231" s="24">
        <v>491.5</v>
      </c>
      <c r="R231" s="22">
        <v>300</v>
      </c>
      <c r="S231" s="24">
        <v>126.5</v>
      </c>
      <c r="T231" s="24">
        <f t="shared" si="13"/>
        <v>918</v>
      </c>
      <c r="U231" s="376">
        <v>5590.78</v>
      </c>
      <c r="V231" s="376">
        <v>718.24</v>
      </c>
      <c r="W231" s="22">
        <f t="shared" si="14"/>
        <v>2175.9315759999999</v>
      </c>
      <c r="X231" s="22">
        <f t="shared" si="15"/>
        <v>1602.75</v>
      </c>
      <c r="Y231" s="22">
        <v>991.75</v>
      </c>
      <c r="Z231" s="22">
        <v>611</v>
      </c>
      <c r="AA231" s="371">
        <v>13504.03</v>
      </c>
      <c r="AB231" s="22">
        <v>0.11868679201690162</v>
      </c>
      <c r="AC231" s="24">
        <v>0</v>
      </c>
      <c r="AD231" s="384">
        <v>0</v>
      </c>
    </row>
    <row r="232" spans="1:30">
      <c r="A232" s="21" t="s">
        <v>71</v>
      </c>
      <c r="B232" s="21" t="s">
        <v>72</v>
      </c>
      <c r="C232" s="23">
        <v>1131</v>
      </c>
      <c r="D232" s="147">
        <v>68.81</v>
      </c>
      <c r="E232" s="22">
        <v>197.23</v>
      </c>
      <c r="F232" s="22">
        <v>266.03999999999996</v>
      </c>
      <c r="G232" s="22">
        <v>0</v>
      </c>
      <c r="H232" s="22">
        <v>76</v>
      </c>
      <c r="I232" s="22">
        <v>0.25</v>
      </c>
      <c r="J232" s="22">
        <v>155.03</v>
      </c>
      <c r="K232" s="22">
        <v>3.4</v>
      </c>
      <c r="L232" s="22">
        <v>0</v>
      </c>
      <c r="M232" s="388">
        <v>3965.6800000000003</v>
      </c>
      <c r="N232" s="25">
        <v>0.2389</v>
      </c>
      <c r="O232" s="24">
        <v>0</v>
      </c>
      <c r="P232" s="24">
        <v>115.25</v>
      </c>
      <c r="Q232" s="24">
        <v>85.5</v>
      </c>
      <c r="R232" s="22">
        <v>29.75</v>
      </c>
      <c r="S232" s="24">
        <v>27.25</v>
      </c>
      <c r="T232" s="24">
        <f t="shared" si="13"/>
        <v>142.5</v>
      </c>
      <c r="U232" s="376">
        <v>947.8</v>
      </c>
      <c r="V232" s="376">
        <v>198.28</v>
      </c>
      <c r="W232" s="22">
        <f t="shared" si="14"/>
        <v>226.42941999999999</v>
      </c>
      <c r="X232" s="22">
        <f t="shared" si="15"/>
        <v>394.25</v>
      </c>
      <c r="Y232" s="22">
        <v>291.25</v>
      </c>
      <c r="Z232" s="22">
        <v>103</v>
      </c>
      <c r="AA232" s="371">
        <v>3755.83</v>
      </c>
      <c r="AB232" s="22">
        <v>0.10497013975605925</v>
      </c>
      <c r="AC232" s="24">
        <v>0</v>
      </c>
      <c r="AD232" s="384">
        <v>0</v>
      </c>
    </row>
    <row r="233" spans="1:30">
      <c r="A233" s="21" t="s">
        <v>11</v>
      </c>
      <c r="B233" s="21" t="s">
        <v>12</v>
      </c>
      <c r="C233" s="23">
        <v>70</v>
      </c>
      <c r="D233" s="147">
        <v>9.07</v>
      </c>
      <c r="E233" s="22">
        <v>21.78</v>
      </c>
      <c r="F233" s="22">
        <v>30.85</v>
      </c>
      <c r="G233" s="22">
        <v>0</v>
      </c>
      <c r="H233" s="22">
        <v>1</v>
      </c>
      <c r="I233" s="22">
        <v>0</v>
      </c>
      <c r="J233" s="22">
        <v>30.200000000000003</v>
      </c>
      <c r="K233" s="22">
        <v>0</v>
      </c>
      <c r="L233" s="22">
        <v>0</v>
      </c>
      <c r="M233" s="388">
        <v>330.2</v>
      </c>
      <c r="N233" s="25">
        <v>0.46010000000000001</v>
      </c>
      <c r="O233" s="24">
        <v>169</v>
      </c>
      <c r="P233" s="24">
        <v>0</v>
      </c>
      <c r="Q233" s="24">
        <v>0</v>
      </c>
      <c r="R233" s="22">
        <v>0</v>
      </c>
      <c r="S233" s="24">
        <v>0</v>
      </c>
      <c r="T233" s="24">
        <f t="shared" si="13"/>
        <v>0</v>
      </c>
      <c r="U233" s="376">
        <v>151.43</v>
      </c>
      <c r="V233" s="376">
        <v>0</v>
      </c>
      <c r="W233" s="22">
        <f t="shared" si="14"/>
        <v>69.672943000000004</v>
      </c>
      <c r="X233" s="22">
        <f t="shared" si="15"/>
        <v>29.5</v>
      </c>
      <c r="Y233" s="22">
        <v>23.75</v>
      </c>
      <c r="Z233" s="22">
        <v>5.75</v>
      </c>
      <c r="AA233" s="371">
        <v>356.94</v>
      </c>
      <c r="AB233" s="22">
        <v>8.2646943463887484E-2</v>
      </c>
      <c r="AC233" s="24">
        <v>0</v>
      </c>
      <c r="AD233" s="384">
        <v>0</v>
      </c>
    </row>
    <row r="234" spans="1:30">
      <c r="A234" s="21" t="s">
        <v>477</v>
      </c>
      <c r="B234" s="21" t="s">
        <v>478</v>
      </c>
      <c r="C234" s="23">
        <v>355</v>
      </c>
      <c r="D234" s="147">
        <v>54.07</v>
      </c>
      <c r="E234" s="22">
        <v>115.25</v>
      </c>
      <c r="F234" s="22">
        <v>169.32</v>
      </c>
      <c r="G234" s="22">
        <v>0</v>
      </c>
      <c r="H234" s="22">
        <v>27</v>
      </c>
      <c r="I234" s="22">
        <v>3.9</v>
      </c>
      <c r="J234" s="22">
        <v>142.76</v>
      </c>
      <c r="K234" s="22">
        <v>4.8</v>
      </c>
      <c r="L234" s="22">
        <v>0</v>
      </c>
      <c r="M234" s="388">
        <v>1383.46</v>
      </c>
      <c r="N234" s="25">
        <v>0.50660000000000005</v>
      </c>
      <c r="O234" s="24">
        <v>378</v>
      </c>
      <c r="P234" s="24">
        <v>18.75</v>
      </c>
      <c r="Q234" s="24">
        <v>16.25</v>
      </c>
      <c r="R234" s="22">
        <v>2.5</v>
      </c>
      <c r="S234" s="24">
        <v>0.75</v>
      </c>
      <c r="T234" s="24">
        <f t="shared" si="13"/>
        <v>19.5</v>
      </c>
      <c r="U234" s="376">
        <v>700.86</v>
      </c>
      <c r="V234" s="376">
        <v>69.17</v>
      </c>
      <c r="W234" s="22">
        <f t="shared" si="14"/>
        <v>355.05567600000006</v>
      </c>
      <c r="X234" s="22">
        <f t="shared" si="15"/>
        <v>192.25</v>
      </c>
      <c r="Y234" s="22">
        <v>134</v>
      </c>
      <c r="Z234" s="22">
        <v>58.25</v>
      </c>
      <c r="AA234" s="371">
        <v>1453.6</v>
      </c>
      <c r="AB234" s="22">
        <v>0.1322578425976885</v>
      </c>
      <c r="AC234" s="24">
        <v>0</v>
      </c>
      <c r="AD234" s="384">
        <v>0</v>
      </c>
    </row>
    <row r="235" spans="1:30">
      <c r="A235" s="21" t="s">
        <v>203</v>
      </c>
      <c r="B235" s="21" t="s">
        <v>204</v>
      </c>
      <c r="C235" s="23">
        <v>875</v>
      </c>
      <c r="D235" s="147">
        <v>31.78</v>
      </c>
      <c r="E235" s="22">
        <v>158.94</v>
      </c>
      <c r="F235" s="22">
        <v>190.72</v>
      </c>
      <c r="G235" s="22">
        <v>0</v>
      </c>
      <c r="H235" s="22">
        <v>106</v>
      </c>
      <c r="I235" s="22">
        <v>5.53</v>
      </c>
      <c r="J235" s="22">
        <v>189.19</v>
      </c>
      <c r="K235" s="22">
        <v>0</v>
      </c>
      <c r="L235" s="22">
        <v>0</v>
      </c>
      <c r="M235" s="388">
        <v>3237.7200000000003</v>
      </c>
      <c r="N235" s="25">
        <v>0.1303</v>
      </c>
      <c r="O235" s="24">
        <v>0</v>
      </c>
      <c r="P235" s="24">
        <v>193.75</v>
      </c>
      <c r="Q235" s="24">
        <v>144</v>
      </c>
      <c r="R235" s="22">
        <v>49.75</v>
      </c>
      <c r="S235" s="24">
        <v>48.25</v>
      </c>
      <c r="T235" s="24">
        <f t="shared" si="13"/>
        <v>242</v>
      </c>
      <c r="U235" s="376">
        <v>421.87</v>
      </c>
      <c r="V235" s="376">
        <v>161.88999999999999</v>
      </c>
      <c r="W235" s="22">
        <f t="shared" si="14"/>
        <v>54.969661000000002</v>
      </c>
      <c r="X235" s="22">
        <f t="shared" si="15"/>
        <v>313.5</v>
      </c>
      <c r="Y235" s="22">
        <v>238</v>
      </c>
      <c r="Z235" s="22">
        <v>75.5</v>
      </c>
      <c r="AA235" s="371">
        <v>3036.45</v>
      </c>
      <c r="AB235" s="22">
        <v>0.10324556636862126</v>
      </c>
      <c r="AC235" s="24">
        <v>0</v>
      </c>
      <c r="AD235" s="384">
        <v>0</v>
      </c>
    </row>
    <row r="236" spans="1:30">
      <c r="A236" s="21" t="s">
        <v>519</v>
      </c>
      <c r="B236" s="21" t="s">
        <v>520</v>
      </c>
      <c r="C236" s="23">
        <v>592</v>
      </c>
      <c r="D236" s="147">
        <v>0</v>
      </c>
      <c r="E236" s="22">
        <v>109.39</v>
      </c>
      <c r="F236" s="22">
        <v>109.39</v>
      </c>
      <c r="G236" s="22">
        <v>0</v>
      </c>
      <c r="H236" s="22">
        <v>70</v>
      </c>
      <c r="I236" s="22">
        <v>5.73</v>
      </c>
      <c r="J236" s="22">
        <v>29</v>
      </c>
      <c r="K236" s="22">
        <v>8.6</v>
      </c>
      <c r="L236" s="22">
        <v>0</v>
      </c>
      <c r="M236" s="388">
        <v>2084.33</v>
      </c>
      <c r="N236" s="25">
        <v>0.51419999999999999</v>
      </c>
      <c r="O236" s="24">
        <v>1457</v>
      </c>
      <c r="P236" s="24">
        <v>203</v>
      </c>
      <c r="Q236" s="24">
        <v>140.5</v>
      </c>
      <c r="R236" s="22">
        <v>62.5</v>
      </c>
      <c r="S236" s="24">
        <v>22.5</v>
      </c>
      <c r="T236" s="24">
        <f t="shared" si="13"/>
        <v>225.5</v>
      </c>
      <c r="U236" s="376">
        <v>1071.76</v>
      </c>
      <c r="V236" s="376">
        <v>104.22</v>
      </c>
      <c r="W236" s="22">
        <f t="shared" si="14"/>
        <v>551.09899199999995</v>
      </c>
      <c r="X236" s="22">
        <f t="shared" si="15"/>
        <v>272.5</v>
      </c>
      <c r="Y236" s="22">
        <v>176.5</v>
      </c>
      <c r="Z236" s="22">
        <v>96</v>
      </c>
      <c r="AA236" s="371">
        <v>2099.4699999999998</v>
      </c>
      <c r="AB236" s="22">
        <v>0.12979466246243102</v>
      </c>
      <c r="AC236" s="24">
        <v>0</v>
      </c>
      <c r="AD236" s="384">
        <v>0</v>
      </c>
    </row>
    <row r="237" spans="1:30">
      <c r="A237" s="21" t="s">
        <v>263</v>
      </c>
      <c r="B237" s="21" t="s">
        <v>264</v>
      </c>
      <c r="C237" s="23">
        <v>12</v>
      </c>
      <c r="D237" s="147">
        <v>0</v>
      </c>
      <c r="E237" s="22">
        <v>0</v>
      </c>
      <c r="F237" s="22">
        <v>0</v>
      </c>
      <c r="G237" s="22">
        <v>0</v>
      </c>
      <c r="H237" s="22">
        <v>0</v>
      </c>
      <c r="I237" s="22">
        <v>0</v>
      </c>
      <c r="J237" s="22">
        <v>0</v>
      </c>
      <c r="K237" s="22">
        <v>0</v>
      </c>
      <c r="L237" s="22">
        <v>0</v>
      </c>
      <c r="M237" s="388">
        <v>28</v>
      </c>
      <c r="N237" s="25">
        <v>0</v>
      </c>
      <c r="O237" s="24">
        <v>0</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-5629.0665134424762</v>
      </c>
    </row>
    <row r="238" spans="1:30">
      <c r="A238" s="21" t="s">
        <v>575</v>
      </c>
      <c r="B238" s="21" t="s">
        <v>576</v>
      </c>
      <c r="C238" s="23">
        <v>53</v>
      </c>
      <c r="D238" s="147">
        <v>2.35</v>
      </c>
      <c r="E238" s="22">
        <v>5.3</v>
      </c>
      <c r="F238" s="22">
        <v>7.65</v>
      </c>
      <c r="G238" s="22">
        <v>0</v>
      </c>
      <c r="H238" s="22">
        <v>2</v>
      </c>
      <c r="I238" s="22">
        <v>0</v>
      </c>
      <c r="J238" s="22">
        <v>0</v>
      </c>
      <c r="K238" s="22">
        <v>0</v>
      </c>
      <c r="L238" s="22">
        <v>0</v>
      </c>
      <c r="M238" s="388">
        <v>154</v>
      </c>
      <c r="N238" s="25">
        <v>0.63690000000000002</v>
      </c>
      <c r="O238" s="24">
        <v>157</v>
      </c>
      <c r="P238" s="24">
        <v>0</v>
      </c>
      <c r="Q238" s="24">
        <v>0</v>
      </c>
      <c r="R238" s="22">
        <v>0</v>
      </c>
      <c r="S238" s="24">
        <v>0</v>
      </c>
      <c r="T238" s="24">
        <f t="shared" si="13"/>
        <v>0</v>
      </c>
      <c r="U238" s="376">
        <v>98.08</v>
      </c>
      <c r="V238" s="376">
        <v>0</v>
      </c>
      <c r="W238" s="22">
        <f t="shared" si="14"/>
        <v>62.467151999999999</v>
      </c>
      <c r="X238" s="22">
        <f t="shared" si="15"/>
        <v>18.25</v>
      </c>
      <c r="Y238" s="22">
        <v>14</v>
      </c>
      <c r="Z238" s="22">
        <v>4.25</v>
      </c>
      <c r="AA238" s="371">
        <v>153.38</v>
      </c>
      <c r="AB238" s="22">
        <v>0.11898552614421698</v>
      </c>
      <c r="AC238" s="24">
        <v>0</v>
      </c>
      <c r="AD238" s="384">
        <v>0</v>
      </c>
    </row>
    <row r="239" spans="1:30">
      <c r="A239" s="21" t="s">
        <v>131</v>
      </c>
      <c r="B239" s="21" t="s">
        <v>132</v>
      </c>
      <c r="C239" s="23">
        <v>490</v>
      </c>
      <c r="D239" s="147">
        <v>29.34</v>
      </c>
      <c r="E239" s="22">
        <v>89.68</v>
      </c>
      <c r="F239" s="22">
        <v>119.02000000000001</v>
      </c>
      <c r="G239" s="22">
        <v>0</v>
      </c>
      <c r="H239" s="22">
        <v>37</v>
      </c>
      <c r="I239" s="22">
        <v>1.98</v>
      </c>
      <c r="J239" s="22">
        <v>0</v>
      </c>
      <c r="K239" s="22">
        <v>6.6</v>
      </c>
      <c r="L239" s="22">
        <v>0</v>
      </c>
      <c r="M239" s="388">
        <v>1748.58</v>
      </c>
      <c r="N239" s="25">
        <v>0.78449999999999998</v>
      </c>
      <c r="O239" s="24">
        <v>1772</v>
      </c>
      <c r="P239" s="24">
        <v>749.75</v>
      </c>
      <c r="Q239" s="24">
        <v>458.25</v>
      </c>
      <c r="R239" s="22">
        <v>291.5</v>
      </c>
      <c r="S239" s="24">
        <v>135</v>
      </c>
      <c r="T239" s="24">
        <f t="shared" si="13"/>
        <v>884.75</v>
      </c>
      <c r="U239" s="376">
        <v>1371.76</v>
      </c>
      <c r="V239" s="376">
        <v>87.43</v>
      </c>
      <c r="W239" s="22">
        <f t="shared" si="14"/>
        <v>1076.14572</v>
      </c>
      <c r="X239" s="22">
        <f t="shared" si="15"/>
        <v>238.25</v>
      </c>
      <c r="Y239" s="22">
        <v>142.75</v>
      </c>
      <c r="Z239" s="22">
        <v>95.5</v>
      </c>
      <c r="AA239" s="371">
        <v>1767.14</v>
      </c>
      <c r="AB239" s="22">
        <v>0.13482236834659392</v>
      </c>
      <c r="AC239" s="24">
        <v>0</v>
      </c>
      <c r="AD239" s="384">
        <v>0</v>
      </c>
    </row>
    <row r="240" spans="1:30">
      <c r="A240" s="21" t="s">
        <v>399</v>
      </c>
      <c r="B240" s="21" t="s">
        <v>400</v>
      </c>
      <c r="C240" s="23">
        <v>203</v>
      </c>
      <c r="D240" s="147">
        <v>0</v>
      </c>
      <c r="E240" s="22">
        <v>23.73</v>
      </c>
      <c r="F240" s="22">
        <v>23.73</v>
      </c>
      <c r="G240" s="22">
        <v>0</v>
      </c>
      <c r="H240" s="22">
        <v>10</v>
      </c>
      <c r="I240" s="22">
        <v>0.62</v>
      </c>
      <c r="J240" s="22">
        <v>37.19</v>
      </c>
      <c r="K240" s="22">
        <v>4.5999999999999996</v>
      </c>
      <c r="L240" s="22">
        <v>0</v>
      </c>
      <c r="M240" s="388">
        <v>775.41</v>
      </c>
      <c r="N240" s="25">
        <v>0.4</v>
      </c>
      <c r="O240" s="24">
        <v>0</v>
      </c>
      <c r="P240" s="24">
        <v>48.5</v>
      </c>
      <c r="Q240" s="24">
        <v>30.5</v>
      </c>
      <c r="R240" s="22">
        <v>18</v>
      </c>
      <c r="S240" s="24">
        <v>12.5</v>
      </c>
      <c r="T240" s="24">
        <f t="shared" si="13"/>
        <v>61</v>
      </c>
      <c r="U240" s="376">
        <v>310.16000000000003</v>
      </c>
      <c r="V240" s="376">
        <v>38.770000000000003</v>
      </c>
      <c r="W240" s="22">
        <f t="shared" si="14"/>
        <v>124.06400000000002</v>
      </c>
      <c r="X240" s="22">
        <f t="shared" si="15"/>
        <v>137.25</v>
      </c>
      <c r="Y240" s="22">
        <v>118</v>
      </c>
      <c r="Z240" s="22">
        <v>19.25</v>
      </c>
      <c r="AA240" s="371">
        <v>777.82</v>
      </c>
      <c r="AB240" s="22">
        <v>0.17645470674449101</v>
      </c>
      <c r="AC240" s="24">
        <v>4.1454706744491004E-2</v>
      </c>
      <c r="AD240" s="384">
        <v>-315790.12536196306</v>
      </c>
    </row>
    <row r="241" spans="1:30">
      <c r="A241" s="21" t="s">
        <v>159</v>
      </c>
      <c r="B241" s="21" t="s">
        <v>160</v>
      </c>
      <c r="C241" s="23">
        <v>33</v>
      </c>
      <c r="D241" s="147">
        <v>0</v>
      </c>
      <c r="E241" s="22">
        <v>0</v>
      </c>
      <c r="F241" s="22">
        <v>0</v>
      </c>
      <c r="G241" s="22">
        <v>0</v>
      </c>
      <c r="H241" s="22">
        <v>0</v>
      </c>
      <c r="I241" s="22">
        <v>0</v>
      </c>
      <c r="J241" s="22">
        <v>0</v>
      </c>
      <c r="K241" s="22">
        <v>0</v>
      </c>
      <c r="L241" s="22">
        <v>0</v>
      </c>
      <c r="M241" s="388">
        <v>51</v>
      </c>
      <c r="N241" s="25">
        <v>0.62960000000000005</v>
      </c>
      <c r="O241" s="24">
        <v>54</v>
      </c>
      <c r="P241" s="24">
        <v>0</v>
      </c>
      <c r="Q241" s="24">
        <v>0</v>
      </c>
      <c r="R241" s="22">
        <v>0</v>
      </c>
      <c r="S241" s="24">
        <v>0</v>
      </c>
      <c r="T241" s="24">
        <f t="shared" si="13"/>
        <v>0</v>
      </c>
      <c r="U241" s="376">
        <v>32.11</v>
      </c>
      <c r="V241" s="376">
        <v>0</v>
      </c>
      <c r="W241" s="22">
        <f t="shared" si="14"/>
        <v>20.216456000000001</v>
      </c>
      <c r="X241" s="22">
        <f t="shared" si="15"/>
        <v>9.5</v>
      </c>
      <c r="Y241" s="22">
        <v>9.5</v>
      </c>
      <c r="Z241" s="22">
        <v>0</v>
      </c>
      <c r="AA241" s="371">
        <v>54</v>
      </c>
      <c r="AB241" s="22">
        <v>0.17592592592592593</v>
      </c>
      <c r="AC241" s="24">
        <v>4.0925925925925921E-2</v>
      </c>
      <c r="AD241" s="384">
        <v>-21902.712781551621</v>
      </c>
    </row>
    <row r="242" spans="1:30">
      <c r="A242" s="21" t="s">
        <v>183</v>
      </c>
      <c r="B242" s="21" t="s">
        <v>184</v>
      </c>
      <c r="C242" s="23">
        <v>17338</v>
      </c>
      <c r="D242" s="147">
        <v>172.69</v>
      </c>
      <c r="E242" s="22">
        <v>1541.82</v>
      </c>
      <c r="F242" s="22">
        <v>1714.51</v>
      </c>
      <c r="G242" s="22">
        <v>102.69</v>
      </c>
      <c r="H242" s="22">
        <v>1380</v>
      </c>
      <c r="I242" s="22">
        <v>26.6</v>
      </c>
      <c r="J242" s="22">
        <v>695.67000000000007</v>
      </c>
      <c r="K242" s="22">
        <v>63.4</v>
      </c>
      <c r="L242" s="22">
        <v>0</v>
      </c>
      <c r="M242" s="388">
        <v>53295.67</v>
      </c>
      <c r="N242" s="25">
        <v>0.40450000000000003</v>
      </c>
      <c r="O242" s="24">
        <v>14234</v>
      </c>
      <c r="P242" s="24">
        <v>6642.5</v>
      </c>
      <c r="Q242" s="24">
        <v>4369.75</v>
      </c>
      <c r="R242" s="22">
        <v>2272.75</v>
      </c>
      <c r="S242" s="24">
        <v>729.5</v>
      </c>
      <c r="T242" s="24">
        <f t="shared" si="13"/>
        <v>7372</v>
      </c>
      <c r="U242" s="376">
        <v>21558.1</v>
      </c>
      <c r="V242" s="376">
        <v>0</v>
      </c>
      <c r="W242" s="22">
        <f t="shared" si="14"/>
        <v>8720.2514499999997</v>
      </c>
      <c r="X242" s="22">
        <f t="shared" si="15"/>
        <v>6762</v>
      </c>
      <c r="Y242" s="22">
        <v>4672.5</v>
      </c>
      <c r="Z242" s="22">
        <v>2089.5</v>
      </c>
      <c r="AA242" s="371">
        <v>50600.91</v>
      </c>
      <c r="AB242" s="22">
        <v>0.13363396033786742</v>
      </c>
      <c r="AC242" s="24">
        <v>0</v>
      </c>
      <c r="AD242" s="384">
        <v>0</v>
      </c>
    </row>
    <row r="243" spans="1:30">
      <c r="A243" s="21" t="s">
        <v>405</v>
      </c>
      <c r="B243" s="21" t="s">
        <v>406</v>
      </c>
      <c r="C243" s="23">
        <v>1216.73</v>
      </c>
      <c r="D243" s="147">
        <v>23.22</v>
      </c>
      <c r="E243" s="22">
        <v>304.77</v>
      </c>
      <c r="F243" s="22">
        <v>327.99</v>
      </c>
      <c r="G243" s="22">
        <v>0</v>
      </c>
      <c r="H243" s="22">
        <v>39</v>
      </c>
      <c r="I243" s="22">
        <v>4.5</v>
      </c>
      <c r="J243" s="22">
        <v>169.23000000000002</v>
      </c>
      <c r="K243" s="22">
        <v>29.6</v>
      </c>
      <c r="L243" s="22">
        <v>0</v>
      </c>
      <c r="M243" s="388">
        <v>4305.9700000000012</v>
      </c>
      <c r="N243" s="25">
        <v>0.51629999999999998</v>
      </c>
      <c r="O243" s="24">
        <v>2163</v>
      </c>
      <c r="P243" s="24">
        <v>338.75</v>
      </c>
      <c r="Q243" s="24">
        <v>221</v>
      </c>
      <c r="R243" s="22">
        <v>117.75</v>
      </c>
      <c r="S243" s="24">
        <v>43.25</v>
      </c>
      <c r="T243" s="24">
        <f t="shared" si="13"/>
        <v>382</v>
      </c>
      <c r="U243" s="376">
        <v>2223.17</v>
      </c>
      <c r="V243" s="376">
        <v>215.3</v>
      </c>
      <c r="W243" s="22">
        <f t="shared" si="14"/>
        <v>1147.8226709999999</v>
      </c>
      <c r="X243" s="22">
        <f t="shared" si="15"/>
        <v>749.25</v>
      </c>
      <c r="Y243" s="22">
        <v>521.5</v>
      </c>
      <c r="Z243" s="22">
        <v>227.75</v>
      </c>
      <c r="AA243" s="371">
        <v>4341.6899999999996</v>
      </c>
      <c r="AB243" s="22">
        <v>0.17257104952219068</v>
      </c>
      <c r="AC243" s="24">
        <v>3.7571049522190675E-2</v>
      </c>
      <c r="AD243" s="384">
        <v>-1599946.7933002522</v>
      </c>
    </row>
    <row r="244" spans="1:30">
      <c r="A244" s="21" t="s">
        <v>589</v>
      </c>
      <c r="B244" s="21" t="s">
        <v>590</v>
      </c>
      <c r="C244" s="23">
        <v>1056</v>
      </c>
      <c r="D244" s="147">
        <v>22.18</v>
      </c>
      <c r="E244" s="22">
        <v>371.88</v>
      </c>
      <c r="F244" s="22">
        <v>394.06</v>
      </c>
      <c r="G244" s="22">
        <v>0</v>
      </c>
      <c r="H244" s="22">
        <v>45</v>
      </c>
      <c r="I244" s="22">
        <v>2.69</v>
      </c>
      <c r="J244" s="22">
        <v>98.5</v>
      </c>
      <c r="K244" s="22">
        <v>11.8</v>
      </c>
      <c r="L244" s="22">
        <v>0</v>
      </c>
      <c r="M244" s="388">
        <v>3662.9900000000002</v>
      </c>
      <c r="N244" s="25">
        <v>0.55589999999999995</v>
      </c>
      <c r="O244" s="24">
        <v>2472</v>
      </c>
      <c r="P244" s="24">
        <v>333.5</v>
      </c>
      <c r="Q244" s="24">
        <v>233.25</v>
      </c>
      <c r="R244" s="22">
        <v>100.25</v>
      </c>
      <c r="S244" s="24">
        <v>48</v>
      </c>
      <c r="T244" s="24">
        <f t="shared" si="13"/>
        <v>381.5</v>
      </c>
      <c r="U244" s="376">
        <v>2034.06</v>
      </c>
      <c r="V244" s="376">
        <v>183.15</v>
      </c>
      <c r="W244" s="22">
        <f t="shared" si="14"/>
        <v>1130.7339539999998</v>
      </c>
      <c r="X244" s="22">
        <f t="shared" si="15"/>
        <v>437.5</v>
      </c>
      <c r="Y244" s="22">
        <v>373.5</v>
      </c>
      <c r="Z244" s="22">
        <v>64</v>
      </c>
      <c r="AA244" s="371">
        <v>3654.15</v>
      </c>
      <c r="AB244" s="22">
        <v>0.11972688586949085</v>
      </c>
      <c r="AC244" s="24">
        <v>0</v>
      </c>
      <c r="AD244" s="384">
        <v>0</v>
      </c>
    </row>
    <row r="245" spans="1:30">
      <c r="A245" s="21" t="s">
        <v>359</v>
      </c>
      <c r="B245" s="21" t="s">
        <v>360</v>
      </c>
      <c r="C245" s="23">
        <v>71</v>
      </c>
      <c r="D245" s="147">
        <v>5.86</v>
      </c>
      <c r="E245" s="22">
        <v>12.2</v>
      </c>
      <c r="F245" s="22">
        <v>18.059999999999999</v>
      </c>
      <c r="G245" s="22">
        <v>0</v>
      </c>
      <c r="H245" s="22">
        <v>4</v>
      </c>
      <c r="I245" s="22">
        <v>0.2</v>
      </c>
      <c r="J245" s="22">
        <v>0</v>
      </c>
      <c r="K245" s="22">
        <v>0</v>
      </c>
      <c r="L245" s="22">
        <v>0</v>
      </c>
      <c r="M245" s="388">
        <v>238.2</v>
      </c>
      <c r="N245" s="25">
        <v>0.58299999999999996</v>
      </c>
      <c r="O245" s="24">
        <v>174</v>
      </c>
      <c r="P245" s="24">
        <v>0</v>
      </c>
      <c r="Q245" s="24">
        <v>0</v>
      </c>
      <c r="R245" s="22">
        <v>0</v>
      </c>
      <c r="S245" s="24">
        <v>0</v>
      </c>
      <c r="T245" s="24">
        <f t="shared" si="13"/>
        <v>0</v>
      </c>
      <c r="U245" s="376">
        <v>138.87</v>
      </c>
      <c r="V245" s="376">
        <v>0</v>
      </c>
      <c r="W245" s="22">
        <f t="shared" si="14"/>
        <v>80.961209999999994</v>
      </c>
      <c r="X245" s="22">
        <f t="shared" si="15"/>
        <v>44.25</v>
      </c>
      <c r="Y245" s="22">
        <v>28.75</v>
      </c>
      <c r="Z245" s="22">
        <v>15.5</v>
      </c>
      <c r="AA245" s="371">
        <v>234.57</v>
      </c>
      <c r="AB245" s="22">
        <v>0.18864304898324594</v>
      </c>
      <c r="AC245" s="24">
        <v>5.3643048983245928E-2</v>
      </c>
      <c r="AD245" s="384">
        <v>-114142.90164938205</v>
      </c>
    </row>
    <row r="246" spans="1:30">
      <c r="A246" s="21" t="s">
        <v>47</v>
      </c>
      <c r="B246" s="21" t="s">
        <v>48</v>
      </c>
      <c r="C246" s="23">
        <v>670</v>
      </c>
      <c r="D246" s="147">
        <v>11.93</v>
      </c>
      <c r="E246" s="22">
        <v>212.51</v>
      </c>
      <c r="F246" s="22">
        <v>224.44</v>
      </c>
      <c r="G246" s="22">
        <v>0</v>
      </c>
      <c r="H246" s="22">
        <v>73</v>
      </c>
      <c r="I246" s="22">
        <v>7.55</v>
      </c>
      <c r="J246" s="22">
        <v>219.85</v>
      </c>
      <c r="K246" s="22">
        <v>0</v>
      </c>
      <c r="L246" s="22">
        <v>0</v>
      </c>
      <c r="M246" s="388">
        <v>2667.4</v>
      </c>
      <c r="N246" s="25">
        <v>0.44390000000000002</v>
      </c>
      <c r="O246" s="24">
        <v>0</v>
      </c>
      <c r="P246" s="24">
        <v>47.5</v>
      </c>
      <c r="Q246" s="24">
        <v>34.75</v>
      </c>
      <c r="R246" s="22">
        <v>12.75</v>
      </c>
      <c r="S246" s="24">
        <v>12</v>
      </c>
      <c r="T246" s="24">
        <f t="shared" si="13"/>
        <v>59.5</v>
      </c>
      <c r="U246" s="376">
        <v>1184.5899999999999</v>
      </c>
      <c r="V246" s="376">
        <v>133.37</v>
      </c>
      <c r="W246" s="22">
        <f t="shared" si="14"/>
        <v>525.83950099999993</v>
      </c>
      <c r="X246" s="22">
        <f t="shared" si="15"/>
        <v>394.25</v>
      </c>
      <c r="Y246" s="22">
        <v>345.25</v>
      </c>
      <c r="Z246" s="22">
        <v>49</v>
      </c>
      <c r="AA246" s="371">
        <v>2549.21</v>
      </c>
      <c r="AB246" s="22">
        <v>0.1546557560969869</v>
      </c>
      <c r="AC246" s="24">
        <v>1.9655756096986887E-2</v>
      </c>
      <c r="AD246" s="384">
        <v>-470324.70263754623</v>
      </c>
    </row>
    <row r="247" spans="1:30">
      <c r="A247" s="21" t="s">
        <v>393</v>
      </c>
      <c r="B247" s="21" t="s">
        <v>394</v>
      </c>
      <c r="C247" s="23">
        <v>6</v>
      </c>
      <c r="D247" s="147">
        <v>0</v>
      </c>
      <c r="E247" s="22">
        <v>0</v>
      </c>
      <c r="F247" s="22">
        <v>0</v>
      </c>
      <c r="G247" s="22">
        <v>0</v>
      </c>
      <c r="H247" s="22">
        <v>0</v>
      </c>
      <c r="I247" s="22">
        <v>0</v>
      </c>
      <c r="J247" s="22">
        <v>0</v>
      </c>
      <c r="K247" s="22">
        <v>0</v>
      </c>
      <c r="L247" s="22">
        <v>0</v>
      </c>
      <c r="M247" s="388">
        <v>10</v>
      </c>
      <c r="N247" s="25">
        <v>0</v>
      </c>
      <c r="O247" s="24">
        <v>0</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1078</v>
      </c>
      <c r="D248" s="147">
        <v>113.39</v>
      </c>
      <c r="E248" s="22">
        <v>674.94</v>
      </c>
      <c r="F248" s="22">
        <v>788.33</v>
      </c>
      <c r="G248" s="22">
        <v>0</v>
      </c>
      <c r="H248" s="22">
        <v>70</v>
      </c>
      <c r="I248" s="22">
        <v>4.6900000000000004</v>
      </c>
      <c r="J248" s="22">
        <v>151.6</v>
      </c>
      <c r="K248" s="22">
        <v>42</v>
      </c>
      <c r="L248" s="22">
        <v>0</v>
      </c>
      <c r="M248" s="388">
        <v>4306.29</v>
      </c>
      <c r="N248" s="25">
        <v>0.6734</v>
      </c>
      <c r="O248" s="24">
        <v>4307</v>
      </c>
      <c r="P248" s="24">
        <v>909.25</v>
      </c>
      <c r="Q248" s="24">
        <v>594.25</v>
      </c>
      <c r="R248" s="22">
        <v>315</v>
      </c>
      <c r="S248" s="24">
        <v>46.75</v>
      </c>
      <c r="T248" s="24">
        <f t="shared" si="13"/>
        <v>956</v>
      </c>
      <c r="U248" s="376">
        <v>2899.86</v>
      </c>
      <c r="V248" s="376">
        <v>215.31</v>
      </c>
      <c r="W248" s="22">
        <f t="shared" si="14"/>
        <v>1952.7657240000001</v>
      </c>
      <c r="X248" s="22">
        <f t="shared" si="15"/>
        <v>554.75</v>
      </c>
      <c r="Y248" s="22">
        <v>424.5</v>
      </c>
      <c r="Z248" s="22">
        <v>130.25</v>
      </c>
      <c r="AA248" s="371">
        <v>4294.49</v>
      </c>
      <c r="AB248" s="22">
        <v>0.1291771549124576</v>
      </c>
      <c r="AC248" s="24">
        <v>0</v>
      </c>
      <c r="AD248" s="384">
        <v>0</v>
      </c>
    </row>
    <row r="249" spans="1:30">
      <c r="A249" s="21" t="s">
        <v>213</v>
      </c>
      <c r="B249" s="21" t="s">
        <v>214</v>
      </c>
      <c r="C249" s="23">
        <v>2600</v>
      </c>
      <c r="D249" s="147">
        <v>34.69</v>
      </c>
      <c r="E249" s="22">
        <v>407.12</v>
      </c>
      <c r="F249" s="22">
        <v>441.81</v>
      </c>
      <c r="G249" s="22">
        <v>0</v>
      </c>
      <c r="H249" s="22">
        <v>257</v>
      </c>
      <c r="I249" s="22">
        <v>7.61</v>
      </c>
      <c r="J249" s="22">
        <v>113.21</v>
      </c>
      <c r="K249" s="22">
        <v>0</v>
      </c>
      <c r="L249" s="22">
        <v>0</v>
      </c>
      <c r="M249" s="388">
        <v>9354.82</v>
      </c>
      <c r="N249" s="25">
        <v>0.2676</v>
      </c>
      <c r="O249" s="24">
        <v>0</v>
      </c>
      <c r="P249" s="24">
        <v>838.5</v>
      </c>
      <c r="Q249" s="24">
        <v>599.5</v>
      </c>
      <c r="R249" s="22">
        <v>239</v>
      </c>
      <c r="S249" s="24">
        <v>201</v>
      </c>
      <c r="T249" s="24">
        <f t="shared" si="13"/>
        <v>1039.5</v>
      </c>
      <c r="U249" s="376">
        <v>2503.35</v>
      </c>
      <c r="V249" s="376">
        <v>467.74</v>
      </c>
      <c r="W249" s="22">
        <f t="shared" si="14"/>
        <v>669.89645999999993</v>
      </c>
      <c r="X249" s="22">
        <f t="shared" si="15"/>
        <v>1033.5</v>
      </c>
      <c r="Y249" s="22">
        <v>713</v>
      </c>
      <c r="Z249" s="22">
        <v>320.5</v>
      </c>
      <c r="AA249" s="371">
        <v>9103.58</v>
      </c>
      <c r="AB249" s="22">
        <v>0.11352676639300144</v>
      </c>
      <c r="AC249" s="24">
        <v>0</v>
      </c>
      <c r="AD249" s="384">
        <v>0</v>
      </c>
    </row>
    <row r="250" spans="1:30">
      <c r="A250" s="21" t="s">
        <v>415</v>
      </c>
      <c r="B250" s="21" t="s">
        <v>416</v>
      </c>
      <c r="C250" s="23">
        <v>38</v>
      </c>
      <c r="D250" s="147">
        <v>0</v>
      </c>
      <c r="E250" s="22">
        <v>0</v>
      </c>
      <c r="F250" s="22">
        <v>0</v>
      </c>
      <c r="G250" s="22">
        <v>0</v>
      </c>
      <c r="H250" s="22">
        <v>0</v>
      </c>
      <c r="I250" s="22">
        <v>0</v>
      </c>
      <c r="J250" s="22">
        <v>0</v>
      </c>
      <c r="K250" s="22">
        <v>0</v>
      </c>
      <c r="L250" s="22">
        <v>0</v>
      </c>
      <c r="M250" s="388">
        <v>67</v>
      </c>
      <c r="N250" s="25">
        <v>0.66269999999999996</v>
      </c>
      <c r="O250" s="24">
        <v>70</v>
      </c>
      <c r="P250" s="24">
        <v>0</v>
      </c>
      <c r="Q250" s="24">
        <v>0</v>
      </c>
      <c r="R250" s="22">
        <v>0</v>
      </c>
      <c r="S250" s="24">
        <v>0</v>
      </c>
      <c r="T250" s="24">
        <f t="shared" si="13"/>
        <v>0</v>
      </c>
      <c r="U250" s="376">
        <v>44.4</v>
      </c>
      <c r="V250" s="376">
        <v>0</v>
      </c>
      <c r="W250" s="22">
        <f t="shared" si="14"/>
        <v>29.423879999999997</v>
      </c>
      <c r="X250" s="22">
        <f t="shared" si="15"/>
        <v>9</v>
      </c>
      <c r="Y250" s="22">
        <v>9</v>
      </c>
      <c r="Z250" s="22">
        <v>0</v>
      </c>
      <c r="AA250" s="371">
        <v>65.2</v>
      </c>
      <c r="AB250" s="22">
        <v>0.1380368098159509</v>
      </c>
      <c r="AC250" s="24">
        <v>3.0368098159508916E-3</v>
      </c>
      <c r="AD250" s="384">
        <v>-1919.2701355327731</v>
      </c>
    </row>
    <row r="251" spans="1:30">
      <c r="A251" s="21" t="s">
        <v>197</v>
      </c>
      <c r="B251" s="21" t="s">
        <v>198</v>
      </c>
      <c r="C251" s="23">
        <v>10</v>
      </c>
      <c r="D251" s="147">
        <v>0</v>
      </c>
      <c r="E251" s="22">
        <v>0</v>
      </c>
      <c r="F251" s="22">
        <v>0</v>
      </c>
      <c r="G251" s="22">
        <v>0</v>
      </c>
      <c r="H251" s="22">
        <v>0</v>
      </c>
      <c r="I251" s="22">
        <v>0</v>
      </c>
      <c r="J251" s="22">
        <v>0</v>
      </c>
      <c r="K251" s="22">
        <v>0</v>
      </c>
      <c r="L251" s="22">
        <v>0</v>
      </c>
      <c r="M251" s="388">
        <v>42</v>
      </c>
      <c r="N251" s="25">
        <v>0.87760000000000005</v>
      </c>
      <c r="O251" s="24">
        <v>38</v>
      </c>
      <c r="P251" s="24">
        <v>1</v>
      </c>
      <c r="Q251" s="24">
        <v>1</v>
      </c>
      <c r="R251" s="22">
        <v>0</v>
      </c>
      <c r="S251" s="24">
        <v>0</v>
      </c>
      <c r="T251" s="24">
        <f t="shared" si="13"/>
        <v>1</v>
      </c>
      <c r="U251" s="376">
        <v>36.86</v>
      </c>
      <c r="V251" s="376">
        <v>0</v>
      </c>
      <c r="W251" s="22">
        <f t="shared" si="14"/>
        <v>32.348336000000003</v>
      </c>
      <c r="X251" s="22">
        <f t="shared" si="15"/>
        <v>12.5</v>
      </c>
      <c r="Y251" s="22">
        <v>12.5</v>
      </c>
      <c r="Z251" s="22">
        <v>0</v>
      </c>
      <c r="AA251" s="371">
        <v>36.19</v>
      </c>
      <c r="AB251" s="22">
        <v>0.34539928156949434</v>
      </c>
      <c r="AC251" s="24">
        <v>0.21039928156949433</v>
      </c>
      <c r="AD251" s="384">
        <v>-76859.493523121972</v>
      </c>
    </row>
    <row r="252" spans="1:30">
      <c r="A252" s="21" t="s">
        <v>439</v>
      </c>
      <c r="B252" s="21" t="s">
        <v>440</v>
      </c>
      <c r="C252" s="23">
        <v>2405</v>
      </c>
      <c r="D252" s="147">
        <v>126.33</v>
      </c>
      <c r="E252" s="22">
        <v>411.38</v>
      </c>
      <c r="F252" s="22">
        <v>537.71</v>
      </c>
      <c r="G252" s="22">
        <v>0</v>
      </c>
      <c r="H252" s="22">
        <v>261</v>
      </c>
      <c r="I252" s="22">
        <v>13.25</v>
      </c>
      <c r="J252" s="22">
        <v>212.76</v>
      </c>
      <c r="K252" s="22">
        <v>0</v>
      </c>
      <c r="L252" s="22">
        <v>0</v>
      </c>
      <c r="M252" s="388">
        <v>9152.01</v>
      </c>
      <c r="N252" s="25">
        <v>0.19320000000000001</v>
      </c>
      <c r="O252" s="24">
        <v>0</v>
      </c>
      <c r="P252" s="24">
        <v>363.75</v>
      </c>
      <c r="Q252" s="24">
        <v>260.75</v>
      </c>
      <c r="R252" s="22">
        <v>103</v>
      </c>
      <c r="S252" s="24">
        <v>150.75</v>
      </c>
      <c r="T252" s="24">
        <f t="shared" si="13"/>
        <v>514.5</v>
      </c>
      <c r="U252" s="376">
        <v>1769.08</v>
      </c>
      <c r="V252" s="376">
        <v>457.6</v>
      </c>
      <c r="W252" s="22">
        <f t="shared" si="14"/>
        <v>341.78625599999998</v>
      </c>
      <c r="X252" s="22">
        <f t="shared" si="15"/>
        <v>1112.25</v>
      </c>
      <c r="Y252" s="22">
        <v>680.25</v>
      </c>
      <c r="Z252" s="22">
        <v>432</v>
      </c>
      <c r="AA252" s="371">
        <v>9338.4500000000007</v>
      </c>
      <c r="AB252" s="22">
        <v>0.11910434815199523</v>
      </c>
      <c r="AC252" s="24">
        <v>0</v>
      </c>
      <c r="AD252" s="384">
        <v>0</v>
      </c>
    </row>
    <row r="253" spans="1:30">
      <c r="A253" s="21" t="s">
        <v>209</v>
      </c>
      <c r="B253" s="21" t="s">
        <v>210</v>
      </c>
      <c r="C253" s="23">
        <v>2068</v>
      </c>
      <c r="D253" s="147">
        <v>71.22</v>
      </c>
      <c r="E253" s="22">
        <v>378.43</v>
      </c>
      <c r="F253" s="22">
        <v>449.65</v>
      </c>
      <c r="G253" s="22">
        <v>0</v>
      </c>
      <c r="H253" s="22">
        <v>271</v>
      </c>
      <c r="I253" s="22">
        <v>21.38</v>
      </c>
      <c r="J253" s="22">
        <v>250.78</v>
      </c>
      <c r="K253" s="22">
        <v>16.399999999999999</v>
      </c>
      <c r="L253" s="22">
        <v>0</v>
      </c>
      <c r="M253" s="388">
        <v>7249.5599999999995</v>
      </c>
      <c r="N253" s="25">
        <v>0.10589999999999999</v>
      </c>
      <c r="O253" s="24">
        <v>0</v>
      </c>
      <c r="P253" s="24">
        <v>255</v>
      </c>
      <c r="Q253" s="24">
        <v>185.75</v>
      </c>
      <c r="R253" s="22">
        <v>69.25</v>
      </c>
      <c r="S253" s="24">
        <v>99.5</v>
      </c>
      <c r="T253" s="24">
        <f t="shared" si="13"/>
        <v>354.5</v>
      </c>
      <c r="U253" s="376">
        <v>768.45</v>
      </c>
      <c r="V253" s="376">
        <v>362.48</v>
      </c>
      <c r="W253" s="22">
        <f t="shared" si="14"/>
        <v>81.378855000000001</v>
      </c>
      <c r="X253" s="22">
        <f t="shared" si="15"/>
        <v>660.25</v>
      </c>
      <c r="Y253" s="22">
        <v>424.5</v>
      </c>
      <c r="Z253" s="22">
        <v>235.75</v>
      </c>
      <c r="AA253" s="371">
        <v>7136.8</v>
      </c>
      <c r="AB253" s="22">
        <v>9.2513451406792957E-2</v>
      </c>
      <c r="AC253" s="24">
        <v>0</v>
      </c>
      <c r="AD253" s="384">
        <v>0</v>
      </c>
    </row>
    <row r="254" spans="1:30">
      <c r="A254" s="21" t="s">
        <v>129</v>
      </c>
      <c r="B254" s="21" t="s">
        <v>130</v>
      </c>
      <c r="C254" s="23">
        <v>151</v>
      </c>
      <c r="D254" s="147">
        <v>1.1399999999999999</v>
      </c>
      <c r="E254" s="22">
        <v>26.59</v>
      </c>
      <c r="F254" s="22">
        <v>27.73</v>
      </c>
      <c r="G254" s="22">
        <v>0</v>
      </c>
      <c r="H254" s="22">
        <v>18</v>
      </c>
      <c r="I254" s="22">
        <v>1.35</v>
      </c>
      <c r="J254" s="22">
        <v>25.42</v>
      </c>
      <c r="K254" s="22">
        <v>0</v>
      </c>
      <c r="L254" s="22">
        <v>0</v>
      </c>
      <c r="M254" s="388">
        <v>537.77</v>
      </c>
      <c r="N254" s="25">
        <v>0.79569999999999996</v>
      </c>
      <c r="O254" s="24">
        <v>553</v>
      </c>
      <c r="P254" s="24">
        <v>92.5</v>
      </c>
      <c r="Q254" s="24">
        <v>54.75</v>
      </c>
      <c r="R254" s="22">
        <v>37.75</v>
      </c>
      <c r="S254" s="24">
        <v>28</v>
      </c>
      <c r="T254" s="24">
        <f t="shared" si="13"/>
        <v>120.5</v>
      </c>
      <c r="U254" s="376">
        <v>427.9</v>
      </c>
      <c r="V254" s="376">
        <v>26.89</v>
      </c>
      <c r="W254" s="22">
        <f t="shared" si="14"/>
        <v>340.48002999999994</v>
      </c>
      <c r="X254" s="22">
        <f t="shared" si="15"/>
        <v>105</v>
      </c>
      <c r="Y254" s="22">
        <v>90</v>
      </c>
      <c r="Z254" s="22">
        <v>15</v>
      </c>
      <c r="AA254" s="371">
        <v>556.11</v>
      </c>
      <c r="AB254" s="22">
        <v>0.18881156605707503</v>
      </c>
      <c r="AC254" s="24">
        <v>5.3811566057075017E-2</v>
      </c>
      <c r="AD254" s="384">
        <v>-271200.63382072776</v>
      </c>
    </row>
    <row r="255" spans="1:30">
      <c r="A255" s="21" t="s">
        <v>347</v>
      </c>
      <c r="B255" s="21" t="s">
        <v>348</v>
      </c>
      <c r="C255" s="23">
        <v>151</v>
      </c>
      <c r="D255" s="147">
        <v>5.98</v>
      </c>
      <c r="E255" s="22">
        <v>36.42</v>
      </c>
      <c r="F255" s="22">
        <v>42.400000000000006</v>
      </c>
      <c r="G255" s="22">
        <v>0</v>
      </c>
      <c r="H255" s="22">
        <v>10</v>
      </c>
      <c r="I255" s="22">
        <v>0.17</v>
      </c>
      <c r="J255" s="22">
        <v>34.730000000000004</v>
      </c>
      <c r="K255" s="22">
        <v>0</v>
      </c>
      <c r="L255" s="22">
        <v>0</v>
      </c>
      <c r="M255" s="388">
        <v>545.9</v>
      </c>
      <c r="N255" s="25">
        <v>0.70199999999999996</v>
      </c>
      <c r="O255" s="24">
        <v>522</v>
      </c>
      <c r="P255" s="24">
        <v>87.25</v>
      </c>
      <c r="Q255" s="24">
        <v>51.5</v>
      </c>
      <c r="R255" s="22">
        <v>35.75</v>
      </c>
      <c r="S255" s="24">
        <v>9.25</v>
      </c>
      <c r="T255" s="24">
        <f t="shared" si="13"/>
        <v>96.5</v>
      </c>
      <c r="U255" s="376">
        <v>383.6</v>
      </c>
      <c r="V255" s="376">
        <v>0</v>
      </c>
      <c r="W255" s="22">
        <f t="shared" si="14"/>
        <v>269.28719999999998</v>
      </c>
      <c r="X255" s="22">
        <f t="shared" si="15"/>
        <v>75.25</v>
      </c>
      <c r="Y255" s="22">
        <v>26</v>
      </c>
      <c r="Z255" s="22">
        <v>49.25</v>
      </c>
      <c r="AA255" s="371">
        <v>552.07000000000005</v>
      </c>
      <c r="AB255" s="22">
        <v>0.136305178691108</v>
      </c>
      <c r="AC255" s="24">
        <v>1.3051786911079943E-3</v>
      </c>
      <c r="AD255" s="384">
        <v>-6489.3100580616583</v>
      </c>
    </row>
    <row r="256" spans="1:30">
      <c r="A256" s="21" t="s">
        <v>235</v>
      </c>
      <c r="B256" s="21" t="s">
        <v>236</v>
      </c>
      <c r="C256" s="23">
        <v>2668.21</v>
      </c>
      <c r="D256" s="147">
        <v>253.12</v>
      </c>
      <c r="E256" s="22">
        <v>627.89</v>
      </c>
      <c r="F256" s="22">
        <v>881.01</v>
      </c>
      <c r="G256" s="22">
        <v>0</v>
      </c>
      <c r="H256" s="22">
        <v>242</v>
      </c>
      <c r="I256" s="22">
        <v>9.8800000000000008</v>
      </c>
      <c r="J256" s="22">
        <v>1336.1599999999999</v>
      </c>
      <c r="K256" s="22">
        <v>0</v>
      </c>
      <c r="L256" s="22">
        <v>0</v>
      </c>
      <c r="M256" s="388">
        <v>9711.2599999999984</v>
      </c>
      <c r="N256" s="25">
        <v>0.37280000000000002</v>
      </c>
      <c r="O256" s="24">
        <v>630</v>
      </c>
      <c r="P256" s="24">
        <v>238.75</v>
      </c>
      <c r="Q256" s="24">
        <v>147.75</v>
      </c>
      <c r="R256" s="22">
        <v>91</v>
      </c>
      <c r="S256" s="24">
        <v>34</v>
      </c>
      <c r="T256" s="24">
        <f t="shared" si="13"/>
        <v>272.75</v>
      </c>
      <c r="U256" s="376">
        <v>3620.36</v>
      </c>
      <c r="V256" s="376">
        <v>485.56</v>
      </c>
      <c r="W256" s="22">
        <f t="shared" si="14"/>
        <v>1349.6702080000002</v>
      </c>
      <c r="X256" s="22">
        <f t="shared" si="15"/>
        <v>1394</v>
      </c>
      <c r="Y256" s="22">
        <v>868</v>
      </c>
      <c r="Z256" s="22">
        <v>526</v>
      </c>
      <c r="AA256" s="371">
        <v>9722.91</v>
      </c>
      <c r="AB256" s="22">
        <v>0.14337271454739373</v>
      </c>
      <c r="AC256" s="24">
        <v>8.372714547393717E-3</v>
      </c>
      <c r="AD256" s="384">
        <v>-829403.82003787823</v>
      </c>
    </row>
    <row r="257" spans="1:30">
      <c r="A257" s="21" t="s">
        <v>171</v>
      </c>
      <c r="B257" s="21" t="s">
        <v>172</v>
      </c>
      <c r="C257" s="23">
        <v>262</v>
      </c>
      <c r="D257" s="147">
        <v>0</v>
      </c>
      <c r="E257" s="22">
        <v>59.42</v>
      </c>
      <c r="F257" s="22">
        <v>59.42</v>
      </c>
      <c r="G257" s="22">
        <v>0</v>
      </c>
      <c r="H257" s="22">
        <v>36</v>
      </c>
      <c r="I257" s="22">
        <v>1.92</v>
      </c>
      <c r="J257" s="22">
        <v>74.14</v>
      </c>
      <c r="K257" s="22">
        <v>0</v>
      </c>
      <c r="L257" s="22">
        <v>0</v>
      </c>
      <c r="M257" s="388">
        <v>1144.0600000000002</v>
      </c>
      <c r="N257" s="25">
        <v>0.29339999999999999</v>
      </c>
      <c r="O257" s="24">
        <v>44</v>
      </c>
      <c r="P257" s="24">
        <v>3.25</v>
      </c>
      <c r="Q257" s="24">
        <v>2.5</v>
      </c>
      <c r="R257" s="22">
        <v>0.75</v>
      </c>
      <c r="S257" s="24">
        <v>3</v>
      </c>
      <c r="T257" s="24">
        <f t="shared" si="13"/>
        <v>6.25</v>
      </c>
      <c r="U257" s="376">
        <v>335.67</v>
      </c>
      <c r="V257" s="376">
        <v>57.2</v>
      </c>
      <c r="W257" s="22">
        <f t="shared" si="14"/>
        <v>98.485578000000004</v>
      </c>
      <c r="X257" s="22">
        <f t="shared" si="15"/>
        <v>176</v>
      </c>
      <c r="Y257" s="22">
        <v>119.5</v>
      </c>
      <c r="Z257" s="22">
        <v>56.5</v>
      </c>
      <c r="AA257" s="371">
        <v>1196.56</v>
      </c>
      <c r="AB257" s="22">
        <v>0.14708831985023735</v>
      </c>
      <c r="AC257" s="24">
        <v>1.2088319850237339E-2</v>
      </c>
      <c r="AD257" s="384">
        <v>-148315.17771869054</v>
      </c>
    </row>
    <row r="258" spans="1:30">
      <c r="A258" s="21" t="s">
        <v>313</v>
      </c>
      <c r="B258" s="21" t="s">
        <v>314</v>
      </c>
      <c r="C258" s="23">
        <v>97</v>
      </c>
      <c r="D258" s="147">
        <v>0</v>
      </c>
      <c r="E258" s="22">
        <v>0</v>
      </c>
      <c r="F258" s="22">
        <v>0</v>
      </c>
      <c r="G258" s="22">
        <v>0</v>
      </c>
      <c r="H258" s="22">
        <v>0</v>
      </c>
      <c r="I258" s="22">
        <v>0</v>
      </c>
      <c r="J258" s="22">
        <v>0</v>
      </c>
      <c r="K258" s="22">
        <v>0</v>
      </c>
      <c r="L258" s="22">
        <v>0</v>
      </c>
      <c r="M258" s="388">
        <v>196</v>
      </c>
      <c r="N258" s="25">
        <v>0.44290000000000002</v>
      </c>
      <c r="O258" s="24">
        <v>0</v>
      </c>
      <c r="P258" s="24">
        <v>0</v>
      </c>
      <c r="Q258" s="24">
        <v>0</v>
      </c>
      <c r="R258" s="22">
        <v>0</v>
      </c>
      <c r="S258" s="24">
        <v>0</v>
      </c>
      <c r="T258" s="24">
        <f t="shared" si="13"/>
        <v>0</v>
      </c>
      <c r="U258" s="376">
        <v>86.81</v>
      </c>
      <c r="V258" s="376">
        <v>9.8000000000000007</v>
      </c>
      <c r="W258" s="22">
        <f t="shared" si="14"/>
        <v>38.448149000000001</v>
      </c>
      <c r="X258" s="22">
        <f t="shared" si="15"/>
        <v>31.75</v>
      </c>
      <c r="Y258" s="22">
        <v>24.25</v>
      </c>
      <c r="Z258" s="22">
        <v>7.5</v>
      </c>
      <c r="AA258" s="371">
        <v>199.8</v>
      </c>
      <c r="AB258" s="22">
        <v>0.15890890890890891</v>
      </c>
      <c r="AC258" s="24">
        <v>2.3908908908908899E-2</v>
      </c>
      <c r="AD258" s="384">
        <v>-45224.346028047868</v>
      </c>
    </row>
    <row r="259" spans="1:30">
      <c r="A259" s="21" t="s">
        <v>479</v>
      </c>
      <c r="B259" s="21" t="s">
        <v>480</v>
      </c>
      <c r="C259" s="23">
        <v>378</v>
      </c>
      <c r="D259" s="147">
        <v>0</v>
      </c>
      <c r="E259" s="22">
        <v>0</v>
      </c>
      <c r="F259" s="22">
        <v>0</v>
      </c>
      <c r="G259" s="22">
        <v>0</v>
      </c>
      <c r="H259" s="22">
        <v>0</v>
      </c>
      <c r="I259" s="22">
        <v>0</v>
      </c>
      <c r="J259" s="22">
        <v>0</v>
      </c>
      <c r="K259" s="22">
        <v>0</v>
      </c>
      <c r="L259" s="22">
        <v>0</v>
      </c>
      <c r="M259" s="388">
        <v>796</v>
      </c>
      <c r="N259" s="25">
        <v>0.50660000000000005</v>
      </c>
      <c r="O259" s="24">
        <v>0</v>
      </c>
      <c r="P259" s="24">
        <v>16.75</v>
      </c>
      <c r="Q259" s="24">
        <v>15.5</v>
      </c>
      <c r="R259" s="22">
        <v>1.25</v>
      </c>
      <c r="S259" s="24">
        <v>2</v>
      </c>
      <c r="T259" s="24">
        <f t="shared" si="13"/>
        <v>18.75</v>
      </c>
      <c r="U259" s="376">
        <v>359</v>
      </c>
      <c r="V259" s="376">
        <v>39.799999999999997</v>
      </c>
      <c r="W259" s="22">
        <f t="shared" si="14"/>
        <v>181.86940000000001</v>
      </c>
      <c r="X259" s="22">
        <f t="shared" si="15"/>
        <v>79.5</v>
      </c>
      <c r="Y259" s="22">
        <v>77</v>
      </c>
      <c r="Z259" s="22">
        <v>2.5</v>
      </c>
      <c r="AA259" s="371">
        <v>678.2</v>
      </c>
      <c r="AB259" s="22">
        <v>0.11722205838985549</v>
      </c>
      <c r="AC259" s="24">
        <v>0</v>
      </c>
      <c r="AD259" s="384">
        <v>0</v>
      </c>
    </row>
    <row r="260" spans="1:30">
      <c r="A260" s="21" t="s">
        <v>451</v>
      </c>
      <c r="B260" s="21" t="s">
        <v>452</v>
      </c>
      <c r="C260" s="23">
        <v>9604</v>
      </c>
      <c r="D260" s="147">
        <v>264.67</v>
      </c>
      <c r="E260" s="22">
        <v>1256.5999999999999</v>
      </c>
      <c r="F260" s="22">
        <v>1521.27</v>
      </c>
      <c r="G260" s="22">
        <v>388.81</v>
      </c>
      <c r="H260" s="22">
        <v>445</v>
      </c>
      <c r="I260" s="22">
        <v>13.65</v>
      </c>
      <c r="J260" s="22">
        <v>1322.87</v>
      </c>
      <c r="K260" s="22">
        <v>84.36</v>
      </c>
      <c r="L260" s="22">
        <v>0.61</v>
      </c>
      <c r="M260" s="388">
        <v>30241.49</v>
      </c>
      <c r="N260" s="25">
        <v>0.59830000000000005</v>
      </c>
      <c r="O260" s="24">
        <v>18111</v>
      </c>
      <c r="P260" s="24">
        <v>1736</v>
      </c>
      <c r="Q260" s="24">
        <v>1104</v>
      </c>
      <c r="R260" s="22">
        <v>632</v>
      </c>
      <c r="S260" s="24">
        <v>313.25</v>
      </c>
      <c r="T260" s="24">
        <f t="shared" si="13"/>
        <v>2049.25</v>
      </c>
      <c r="U260" s="376">
        <v>18093.48</v>
      </c>
      <c r="V260" s="376">
        <v>0</v>
      </c>
      <c r="W260" s="22">
        <f t="shared" si="14"/>
        <v>10825.329084000001</v>
      </c>
      <c r="X260" s="22">
        <f t="shared" si="15"/>
        <v>4414.25</v>
      </c>
      <c r="Y260" s="22">
        <v>2939.5</v>
      </c>
      <c r="Z260" s="22">
        <v>1474.75</v>
      </c>
      <c r="AA260" s="371">
        <v>28158.11</v>
      </c>
      <c r="AB260" s="22">
        <v>0.15676655855098229</v>
      </c>
      <c r="AC260" s="24">
        <v>2.1766558550982279E-2</v>
      </c>
      <c r="AD260" s="384">
        <v>-5709681.5166641865</v>
      </c>
    </row>
    <row r="261" spans="1:30">
      <c r="A261" s="21" t="s">
        <v>297</v>
      </c>
      <c r="B261" s="21" t="s">
        <v>298</v>
      </c>
      <c r="C261" s="23">
        <v>23</v>
      </c>
      <c r="D261" s="147">
        <v>0</v>
      </c>
      <c r="E261" s="22">
        <v>8.51</v>
      </c>
      <c r="F261" s="22">
        <v>8.51</v>
      </c>
      <c r="G261" s="22">
        <v>0</v>
      </c>
      <c r="H261" s="22">
        <v>0</v>
      </c>
      <c r="I261" s="22">
        <v>0</v>
      </c>
      <c r="J261" s="22">
        <v>0</v>
      </c>
      <c r="K261" s="22">
        <v>0</v>
      </c>
      <c r="L261" s="22">
        <v>0</v>
      </c>
      <c r="M261" s="388">
        <v>65</v>
      </c>
      <c r="N261" s="25">
        <v>0.56410000000000005</v>
      </c>
      <c r="O261" s="24">
        <v>35</v>
      </c>
      <c r="P261" s="24">
        <v>0</v>
      </c>
      <c r="Q261" s="24">
        <v>0</v>
      </c>
      <c r="R261" s="22">
        <v>0</v>
      </c>
      <c r="S261" s="24">
        <v>0</v>
      </c>
      <c r="T261" s="24">
        <f t="shared" si="13"/>
        <v>0</v>
      </c>
      <c r="U261" s="376">
        <v>36.67</v>
      </c>
      <c r="V261" s="376">
        <v>3.25</v>
      </c>
      <c r="W261" s="22">
        <f t="shared" si="14"/>
        <v>20.685547000000003</v>
      </c>
      <c r="X261" s="22">
        <f t="shared" si="15"/>
        <v>13.5</v>
      </c>
      <c r="Y261" s="22">
        <v>12</v>
      </c>
      <c r="Z261" s="22">
        <v>1.5</v>
      </c>
      <c r="AA261" s="371">
        <v>71.599999999999994</v>
      </c>
      <c r="AB261" s="22">
        <v>0.18854748603351956</v>
      </c>
      <c r="AC261" s="24">
        <v>5.3547486033519553E-2</v>
      </c>
      <c r="AD261" s="384">
        <v>-35859.772303252415</v>
      </c>
    </row>
    <row r="262" spans="1:30">
      <c r="A262" s="21" t="s">
        <v>577</v>
      </c>
      <c r="B262" s="21" t="s">
        <v>578</v>
      </c>
      <c r="C262" s="23">
        <v>38</v>
      </c>
      <c r="D262" s="147">
        <v>0</v>
      </c>
      <c r="E262" s="22">
        <v>5.54</v>
      </c>
      <c r="F262" s="22">
        <v>5.54</v>
      </c>
      <c r="G262" s="22">
        <v>0</v>
      </c>
      <c r="H262" s="22">
        <v>8</v>
      </c>
      <c r="I262" s="22">
        <v>0</v>
      </c>
      <c r="J262" s="22">
        <v>0</v>
      </c>
      <c r="K262" s="22">
        <v>0</v>
      </c>
      <c r="L262" s="22">
        <v>0</v>
      </c>
      <c r="M262" s="388">
        <v>146</v>
      </c>
      <c r="N262" s="25">
        <v>0.4919</v>
      </c>
      <c r="O262" s="24">
        <v>66</v>
      </c>
      <c r="P262" s="24">
        <v>0</v>
      </c>
      <c r="Q262" s="24">
        <v>0</v>
      </c>
      <c r="R262" s="22">
        <v>0</v>
      </c>
      <c r="S262" s="24">
        <v>0</v>
      </c>
      <c r="T262" s="24">
        <f t="shared" si="13"/>
        <v>0</v>
      </c>
      <c r="U262" s="376">
        <v>71.819999999999993</v>
      </c>
      <c r="V262" s="376">
        <v>7.3</v>
      </c>
      <c r="W262" s="22">
        <f t="shared" si="14"/>
        <v>35.328257999999998</v>
      </c>
      <c r="X262" s="22">
        <f t="shared" si="15"/>
        <v>16.75</v>
      </c>
      <c r="Y262" s="22">
        <v>14.25</v>
      </c>
      <c r="Z262" s="22">
        <v>2.5</v>
      </c>
      <c r="AA262" s="371">
        <v>124.31</v>
      </c>
      <c r="AB262" s="22">
        <v>0.1347437856970477</v>
      </c>
      <c r="AC262" s="24">
        <v>0</v>
      </c>
      <c r="AD262" s="384">
        <v>0</v>
      </c>
    </row>
    <row r="263" spans="1:30">
      <c r="A263" s="21" t="s">
        <v>449</v>
      </c>
      <c r="B263" s="21" t="s">
        <v>450</v>
      </c>
      <c r="C263" s="23">
        <v>1393</v>
      </c>
      <c r="D263" s="147">
        <v>79.180000000000007</v>
      </c>
      <c r="E263" s="22">
        <v>337.19</v>
      </c>
      <c r="F263" s="22">
        <v>416.37</v>
      </c>
      <c r="G263" s="22">
        <v>0</v>
      </c>
      <c r="H263" s="22">
        <v>100</v>
      </c>
      <c r="I263" s="22">
        <v>3.43</v>
      </c>
      <c r="J263" s="22">
        <v>270.32</v>
      </c>
      <c r="K263" s="22">
        <v>6.6</v>
      </c>
      <c r="L263" s="22">
        <v>0</v>
      </c>
      <c r="M263" s="388">
        <v>4709.3500000000004</v>
      </c>
      <c r="N263" s="25">
        <v>0.29210000000000003</v>
      </c>
      <c r="O263" s="24">
        <v>17</v>
      </c>
      <c r="P263" s="24">
        <v>123.75</v>
      </c>
      <c r="Q263" s="24">
        <v>83.75</v>
      </c>
      <c r="R263" s="22">
        <v>40</v>
      </c>
      <c r="S263" s="24">
        <v>23</v>
      </c>
      <c r="T263" s="24">
        <f t="shared" si="13"/>
        <v>146.75</v>
      </c>
      <c r="U263" s="376">
        <v>1375.6</v>
      </c>
      <c r="V263" s="376">
        <v>235.47</v>
      </c>
      <c r="W263" s="22">
        <f t="shared" si="14"/>
        <v>401.81276000000003</v>
      </c>
      <c r="X263" s="22">
        <f t="shared" si="15"/>
        <v>625.5</v>
      </c>
      <c r="Y263" s="22">
        <v>357.75</v>
      </c>
      <c r="Z263" s="22">
        <v>267.75</v>
      </c>
      <c r="AA263" s="371">
        <v>4562.9399999999996</v>
      </c>
      <c r="AB263" s="22">
        <v>0.1370826703835685</v>
      </c>
      <c r="AC263" s="24">
        <v>2.0826703835684912E-3</v>
      </c>
      <c r="AD263" s="384">
        <v>-97289.379596730651</v>
      </c>
    </row>
    <row r="264" spans="1:30">
      <c r="A264" s="21" t="s">
        <v>115</v>
      </c>
      <c r="B264" s="21" t="s">
        <v>116</v>
      </c>
      <c r="C264" s="23">
        <v>12</v>
      </c>
      <c r="D264" s="147">
        <v>0</v>
      </c>
      <c r="E264" s="22">
        <v>0</v>
      </c>
      <c r="F264" s="22">
        <v>0</v>
      </c>
      <c r="G264" s="22">
        <v>0</v>
      </c>
      <c r="H264" s="22">
        <v>0</v>
      </c>
      <c r="I264" s="22">
        <v>0</v>
      </c>
      <c r="J264" s="22">
        <v>0</v>
      </c>
      <c r="K264" s="22">
        <v>0</v>
      </c>
      <c r="L264" s="22">
        <v>0</v>
      </c>
      <c r="M264" s="388">
        <v>15</v>
      </c>
      <c r="N264" s="25">
        <v>0</v>
      </c>
      <c r="O264" s="24">
        <v>0</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22</v>
      </c>
      <c r="D265" s="147">
        <v>0</v>
      </c>
      <c r="E265" s="22">
        <v>0</v>
      </c>
      <c r="F265" s="22">
        <v>0</v>
      </c>
      <c r="G265" s="22">
        <v>0</v>
      </c>
      <c r="H265" s="22">
        <v>0</v>
      </c>
      <c r="I265" s="22">
        <v>0</v>
      </c>
      <c r="J265" s="22">
        <v>235.8</v>
      </c>
      <c r="K265" s="22">
        <v>0</v>
      </c>
      <c r="L265" s="22">
        <v>0</v>
      </c>
      <c r="M265" s="388">
        <v>270.8</v>
      </c>
      <c r="N265" s="25">
        <v>0.79169999999999996</v>
      </c>
      <c r="O265" s="24">
        <v>24</v>
      </c>
      <c r="P265" s="24">
        <v>0</v>
      </c>
      <c r="Q265" s="24">
        <v>0</v>
      </c>
      <c r="R265" s="22">
        <v>0</v>
      </c>
      <c r="S265" s="24">
        <v>0</v>
      </c>
      <c r="T265" s="24">
        <f t="shared" ref="T265:T325" si="16">S265+P265</f>
        <v>0</v>
      </c>
      <c r="U265" s="376">
        <v>243.72</v>
      </c>
      <c r="V265" s="376">
        <v>0</v>
      </c>
      <c r="W265" s="22">
        <f t="shared" ref="W265:W325" si="17">U265*N265</f>
        <v>192.953124</v>
      </c>
      <c r="X265" s="22">
        <f t="shared" ref="X265:X325" si="18">Y265+Z265</f>
        <v>27</v>
      </c>
      <c r="Y265" s="22">
        <v>27</v>
      </c>
      <c r="Z265" s="22">
        <v>0</v>
      </c>
      <c r="AA265" s="371">
        <v>264.2</v>
      </c>
      <c r="AB265" s="22">
        <v>0.10219530658591976</v>
      </c>
      <c r="AC265" s="24">
        <v>0</v>
      </c>
      <c r="AD265" s="384">
        <v>0</v>
      </c>
    </row>
    <row r="266" spans="1:30">
      <c r="A266" s="21" t="s">
        <v>31</v>
      </c>
      <c r="B266" s="21" t="s">
        <v>32</v>
      </c>
      <c r="C266" s="23">
        <v>3</v>
      </c>
      <c r="D266" s="147">
        <v>0</v>
      </c>
      <c r="E266" s="22">
        <v>0</v>
      </c>
      <c r="F266" s="22">
        <v>0</v>
      </c>
      <c r="G266" s="22">
        <v>0</v>
      </c>
      <c r="H266" s="22">
        <v>0</v>
      </c>
      <c r="I266" s="22">
        <v>0</v>
      </c>
      <c r="J266" s="22">
        <v>0</v>
      </c>
      <c r="K266" s="22">
        <v>0</v>
      </c>
      <c r="L266" s="22">
        <v>0</v>
      </c>
      <c r="M266" s="388">
        <v>8</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1029</v>
      </c>
      <c r="D267" s="147">
        <v>22.05</v>
      </c>
      <c r="E267" s="22">
        <v>235.26</v>
      </c>
      <c r="F267" s="22">
        <v>257.31</v>
      </c>
      <c r="G267" s="22">
        <v>0</v>
      </c>
      <c r="H267" s="22">
        <v>200</v>
      </c>
      <c r="I267" s="22">
        <v>3.43</v>
      </c>
      <c r="J267" s="22">
        <v>84.789999999999992</v>
      </c>
      <c r="K267" s="22">
        <v>14.6</v>
      </c>
      <c r="L267" s="22">
        <v>0</v>
      </c>
      <c r="M267" s="388">
        <v>3382.8199999999997</v>
      </c>
      <c r="N267" s="25">
        <v>0.23480000000000001</v>
      </c>
      <c r="O267" s="24">
        <v>39</v>
      </c>
      <c r="P267" s="24">
        <v>104.25</v>
      </c>
      <c r="Q267" s="24">
        <v>70.5</v>
      </c>
      <c r="R267" s="22">
        <v>33.75</v>
      </c>
      <c r="S267" s="24">
        <v>24.25</v>
      </c>
      <c r="T267" s="24">
        <f t="shared" si="16"/>
        <v>128.5</v>
      </c>
      <c r="U267" s="376">
        <v>793.27</v>
      </c>
      <c r="V267" s="376">
        <v>169.14</v>
      </c>
      <c r="W267" s="22">
        <f t="shared" si="17"/>
        <v>186.25979599999999</v>
      </c>
      <c r="X267" s="22">
        <f t="shared" si="18"/>
        <v>397.5</v>
      </c>
      <c r="Y267" s="22">
        <v>252.5</v>
      </c>
      <c r="Z267" s="22">
        <v>145</v>
      </c>
      <c r="AA267" s="371">
        <v>3154.54</v>
      </c>
      <c r="AB267" s="22">
        <v>0.12600886341590217</v>
      </c>
      <c r="AC267" s="24">
        <v>0</v>
      </c>
      <c r="AD267" s="384">
        <v>0</v>
      </c>
    </row>
    <row r="268" spans="1:30">
      <c r="A268" s="21" t="s">
        <v>569</v>
      </c>
      <c r="B268" s="21" t="s">
        <v>570</v>
      </c>
      <c r="C268" s="23">
        <v>19</v>
      </c>
      <c r="D268" s="147">
        <v>0</v>
      </c>
      <c r="E268" s="22">
        <v>0</v>
      </c>
      <c r="F268" s="22">
        <v>0</v>
      </c>
      <c r="G268" s="22">
        <v>0</v>
      </c>
      <c r="H268" s="22">
        <v>0</v>
      </c>
      <c r="I268" s="22">
        <v>0</v>
      </c>
      <c r="J268" s="22">
        <v>0</v>
      </c>
      <c r="K268" s="22">
        <v>0</v>
      </c>
      <c r="L268" s="22">
        <v>0</v>
      </c>
      <c r="M268" s="388">
        <v>43</v>
      </c>
      <c r="N268" s="25">
        <v>0</v>
      </c>
      <c r="O268" s="24">
        <v>0</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-5036.5045271817107</v>
      </c>
    </row>
    <row r="269" spans="1:30">
      <c r="A269" s="21" t="s">
        <v>421</v>
      </c>
      <c r="B269" s="21" t="s">
        <v>422</v>
      </c>
      <c r="C269" s="23">
        <v>244</v>
      </c>
      <c r="D269" s="147">
        <v>8.8800000000000008</v>
      </c>
      <c r="E269" s="22">
        <v>48.98</v>
      </c>
      <c r="F269" s="22">
        <v>57.86</v>
      </c>
      <c r="G269" s="22">
        <v>0</v>
      </c>
      <c r="H269" s="22">
        <v>9</v>
      </c>
      <c r="I269" s="22">
        <v>0.15</v>
      </c>
      <c r="J269" s="22">
        <v>0</v>
      </c>
      <c r="K269" s="22">
        <v>3.2</v>
      </c>
      <c r="L269" s="22">
        <v>0</v>
      </c>
      <c r="M269" s="388">
        <v>862.35</v>
      </c>
      <c r="N269" s="25">
        <v>0.51949999999999996</v>
      </c>
      <c r="O269" s="24">
        <v>793</v>
      </c>
      <c r="P269" s="24">
        <v>18.5</v>
      </c>
      <c r="Q269" s="24">
        <v>15</v>
      </c>
      <c r="R269" s="22">
        <v>3.5</v>
      </c>
      <c r="S269" s="24">
        <v>3</v>
      </c>
      <c r="T269" s="24">
        <f t="shared" si="16"/>
        <v>21.5</v>
      </c>
      <c r="U269" s="376">
        <v>447.47</v>
      </c>
      <c r="V269" s="376">
        <v>43.12</v>
      </c>
      <c r="W269" s="22">
        <f t="shared" si="17"/>
        <v>232.46066500000001</v>
      </c>
      <c r="X269" s="22">
        <f t="shared" si="18"/>
        <v>132.75</v>
      </c>
      <c r="Y269" s="22">
        <v>80.75</v>
      </c>
      <c r="Z269" s="22">
        <v>52</v>
      </c>
      <c r="AA269" s="371">
        <v>784.61</v>
      </c>
      <c r="AB269" s="22">
        <v>0.16919233759447369</v>
      </c>
      <c r="AC269" s="24">
        <v>3.4192337594473682E-2</v>
      </c>
      <c r="AD269" s="384">
        <v>-241783.20227710321</v>
      </c>
    </row>
    <row r="270" spans="1:30">
      <c r="A270" s="21" t="s">
        <v>443</v>
      </c>
      <c r="B270" s="21" t="s">
        <v>444</v>
      </c>
      <c r="C270" s="23">
        <v>653</v>
      </c>
      <c r="D270" s="147">
        <v>0</v>
      </c>
      <c r="E270" s="22">
        <v>145.77000000000001</v>
      </c>
      <c r="F270" s="22">
        <v>145.77000000000001</v>
      </c>
      <c r="G270" s="22">
        <v>0</v>
      </c>
      <c r="H270" s="22">
        <v>29</v>
      </c>
      <c r="I270" s="22">
        <v>0.59</v>
      </c>
      <c r="J270" s="22">
        <v>91.539999999999992</v>
      </c>
      <c r="K270" s="22">
        <v>11</v>
      </c>
      <c r="L270" s="22">
        <v>0</v>
      </c>
      <c r="M270" s="388">
        <v>2064.13</v>
      </c>
      <c r="N270" s="25">
        <v>0.55559999999999998</v>
      </c>
      <c r="O270" s="24">
        <v>1899</v>
      </c>
      <c r="P270" s="24">
        <v>214.75</v>
      </c>
      <c r="Q270" s="24">
        <v>149.25</v>
      </c>
      <c r="R270" s="22">
        <v>65.5</v>
      </c>
      <c r="S270" s="24">
        <v>46.5</v>
      </c>
      <c r="T270" s="24">
        <f t="shared" si="16"/>
        <v>261.25</v>
      </c>
      <c r="U270" s="376">
        <v>1146.83</v>
      </c>
      <c r="V270" s="376">
        <v>103.21</v>
      </c>
      <c r="W270" s="22">
        <f t="shared" si="17"/>
        <v>637.17874799999993</v>
      </c>
      <c r="X270" s="22">
        <f t="shared" si="18"/>
        <v>320.5</v>
      </c>
      <c r="Y270" s="22">
        <v>159.25</v>
      </c>
      <c r="Z270" s="22">
        <v>161.25</v>
      </c>
      <c r="AA270" s="371">
        <v>1943.38</v>
      </c>
      <c r="AB270" s="22">
        <v>0.16491885272051784</v>
      </c>
      <c r="AC270" s="24">
        <v>2.9918852720517836E-2</v>
      </c>
      <c r="AD270" s="384">
        <v>-597406.37061529013</v>
      </c>
    </row>
    <row r="271" spans="1:30">
      <c r="A271" s="21" t="s">
        <v>1022</v>
      </c>
      <c r="B271" s="21" t="s">
        <v>1040</v>
      </c>
      <c r="C271" s="23">
        <v>0</v>
      </c>
      <c r="D271" s="147">
        <v>0</v>
      </c>
      <c r="E271" s="22">
        <v>0</v>
      </c>
      <c r="F271" s="22">
        <v>0</v>
      </c>
      <c r="G271" s="22">
        <v>0</v>
      </c>
      <c r="H271" s="22">
        <v>2</v>
      </c>
      <c r="I271" s="22">
        <v>0.25</v>
      </c>
      <c r="J271" s="22">
        <v>0</v>
      </c>
      <c r="K271" s="22">
        <v>0</v>
      </c>
      <c r="L271" s="22">
        <v>0</v>
      </c>
      <c r="M271" s="388">
        <v>653.25</v>
      </c>
      <c r="N271" s="25">
        <v>0.52980000000000005</v>
      </c>
      <c r="O271" s="24">
        <v>464</v>
      </c>
      <c r="P271" s="24">
        <v>74.25</v>
      </c>
      <c r="Q271" s="24">
        <v>12.5</v>
      </c>
      <c r="R271" s="22">
        <v>61.75</v>
      </c>
      <c r="S271" s="24">
        <v>16.75</v>
      </c>
      <c r="T271" s="24">
        <f t="shared" si="16"/>
        <v>91</v>
      </c>
      <c r="U271" s="376">
        <v>346.09</v>
      </c>
      <c r="V271" s="376">
        <v>32.659999999999997</v>
      </c>
      <c r="W271" s="22">
        <f t="shared" si="17"/>
        <v>183.35848200000001</v>
      </c>
      <c r="X271" s="22">
        <f t="shared" si="18"/>
        <v>84.25</v>
      </c>
      <c r="Y271" s="22">
        <v>82.5</v>
      </c>
      <c r="Z271" s="22">
        <v>1.75</v>
      </c>
      <c r="AA271" s="371">
        <v>467.46</v>
      </c>
      <c r="AB271" s="22">
        <v>0.18022932443417619</v>
      </c>
      <c r="AC271" s="24">
        <v>4.5229324434176182E-2</v>
      </c>
      <c r="AD271" s="384">
        <v>-199682.3867707554</v>
      </c>
    </row>
    <row r="272" spans="1:30">
      <c r="A272" s="21" t="s">
        <v>391</v>
      </c>
      <c r="B272" s="21" t="s">
        <v>392</v>
      </c>
      <c r="C272" s="23">
        <v>0</v>
      </c>
      <c r="D272" s="147">
        <v>0</v>
      </c>
      <c r="E272" s="22">
        <v>0</v>
      </c>
      <c r="F272" s="22">
        <v>0</v>
      </c>
      <c r="G272" s="22">
        <v>0</v>
      </c>
      <c r="H272" s="22">
        <v>1</v>
      </c>
      <c r="I272" s="22">
        <v>0</v>
      </c>
      <c r="J272" s="22">
        <v>0</v>
      </c>
      <c r="K272" s="22">
        <v>0</v>
      </c>
      <c r="L272" s="22">
        <v>0</v>
      </c>
      <c r="M272" s="388">
        <v>239</v>
      </c>
      <c r="N272" s="25">
        <v>0.66490000000000005</v>
      </c>
      <c r="O272" s="24">
        <v>181</v>
      </c>
      <c r="P272" s="24">
        <v>16.75</v>
      </c>
      <c r="Q272" s="24">
        <v>0</v>
      </c>
      <c r="R272" s="22">
        <v>16.75</v>
      </c>
      <c r="S272" s="24">
        <v>0</v>
      </c>
      <c r="T272" s="24">
        <f t="shared" si="16"/>
        <v>16.75</v>
      </c>
      <c r="U272" s="376">
        <v>158.91</v>
      </c>
      <c r="V272" s="376">
        <v>11.95</v>
      </c>
      <c r="W272" s="22">
        <f t="shared" si="17"/>
        <v>105.65925900000001</v>
      </c>
      <c r="X272" s="22">
        <f t="shared" si="18"/>
        <v>27</v>
      </c>
      <c r="Y272" s="22">
        <v>25</v>
      </c>
      <c r="Z272" s="22">
        <v>2</v>
      </c>
      <c r="AA272" s="371">
        <v>178.6</v>
      </c>
      <c r="AB272" s="22">
        <v>0.15117581187010079</v>
      </c>
      <c r="AC272" s="24">
        <v>1.6175811870100781E-2</v>
      </c>
      <c r="AD272" s="384">
        <v>-26876.496081908888</v>
      </c>
    </row>
    <row r="273" spans="1:30">
      <c r="A273" s="21" t="s">
        <v>221</v>
      </c>
      <c r="B273" s="21" t="s">
        <v>222</v>
      </c>
      <c r="C273" s="23">
        <v>0</v>
      </c>
      <c r="D273" s="147">
        <v>0</v>
      </c>
      <c r="E273" s="22">
        <v>0</v>
      </c>
      <c r="F273" s="22">
        <v>0</v>
      </c>
      <c r="G273" s="22">
        <v>0</v>
      </c>
      <c r="H273" s="22">
        <v>13</v>
      </c>
      <c r="I273" s="22">
        <v>0.18</v>
      </c>
      <c r="J273" s="22">
        <v>0</v>
      </c>
      <c r="K273" s="22">
        <v>0</v>
      </c>
      <c r="L273" s="22">
        <v>0</v>
      </c>
      <c r="M273" s="388">
        <v>403.18</v>
      </c>
      <c r="N273" s="25">
        <v>0.37430000000000002</v>
      </c>
      <c r="O273" s="24">
        <v>0</v>
      </c>
      <c r="P273" s="24">
        <v>49.25</v>
      </c>
      <c r="Q273" s="24">
        <v>0</v>
      </c>
      <c r="R273" s="22">
        <v>49.25</v>
      </c>
      <c r="S273" s="24">
        <v>0.25</v>
      </c>
      <c r="T273" s="24">
        <f t="shared" si="16"/>
        <v>49.5</v>
      </c>
      <c r="U273" s="376">
        <v>150.91</v>
      </c>
      <c r="V273" s="376">
        <v>20.16</v>
      </c>
      <c r="W273" s="22">
        <f t="shared" si="17"/>
        <v>56.485613000000001</v>
      </c>
      <c r="X273" s="22">
        <f t="shared" si="18"/>
        <v>59</v>
      </c>
      <c r="Y273" s="22">
        <v>58.5</v>
      </c>
      <c r="Z273" s="22">
        <v>0.5</v>
      </c>
      <c r="AA273" s="371">
        <v>307.62</v>
      </c>
      <c r="AB273" s="22">
        <v>0.19179507184188285</v>
      </c>
      <c r="AC273" s="24">
        <v>5.6795071841882844E-2</v>
      </c>
      <c r="AD273" s="384">
        <v>-168952.50414939225</v>
      </c>
    </row>
    <row r="274" spans="1:30">
      <c r="A274" s="21" t="s">
        <v>495</v>
      </c>
      <c r="B274" s="21" t="s">
        <v>496</v>
      </c>
      <c r="C274" s="23">
        <v>26</v>
      </c>
      <c r="D274" s="147">
        <v>0</v>
      </c>
      <c r="E274" s="22">
        <v>0</v>
      </c>
      <c r="F274" s="22">
        <v>0</v>
      </c>
      <c r="G274" s="22">
        <v>0</v>
      </c>
      <c r="H274" s="22">
        <v>0</v>
      </c>
      <c r="I274" s="22">
        <v>0</v>
      </c>
      <c r="J274" s="22">
        <v>0</v>
      </c>
      <c r="K274" s="22">
        <v>0</v>
      </c>
      <c r="L274" s="22">
        <v>0</v>
      </c>
      <c r="M274" s="388">
        <v>65</v>
      </c>
      <c r="N274" s="25">
        <v>0.84930000000000005</v>
      </c>
      <c r="O274" s="24">
        <v>73</v>
      </c>
      <c r="P274" s="24">
        <v>0</v>
      </c>
      <c r="Q274" s="24">
        <v>0</v>
      </c>
      <c r="R274" s="22">
        <v>0</v>
      </c>
      <c r="S274" s="24">
        <v>0</v>
      </c>
      <c r="T274" s="24">
        <f t="shared" si="16"/>
        <v>0</v>
      </c>
      <c r="U274" s="376">
        <v>55.2</v>
      </c>
      <c r="V274" s="376">
        <v>3.25</v>
      </c>
      <c r="W274" s="22">
        <f t="shared" si="17"/>
        <v>46.881360000000008</v>
      </c>
      <c r="X274" s="22">
        <f t="shared" si="18"/>
        <v>8.5</v>
      </c>
      <c r="Y274" s="22">
        <v>5.25</v>
      </c>
      <c r="Z274" s="22">
        <v>3.25</v>
      </c>
      <c r="AA274" s="371">
        <v>71.69</v>
      </c>
      <c r="AB274" s="22">
        <v>0.11856604826335612</v>
      </c>
      <c r="AC274" s="24">
        <v>0</v>
      </c>
      <c r="AD274" s="384">
        <v>0</v>
      </c>
    </row>
    <row r="275" spans="1:30">
      <c r="A275" s="21" t="s">
        <v>371</v>
      </c>
      <c r="B275" s="21" t="s">
        <v>372</v>
      </c>
      <c r="C275" s="23">
        <v>2724</v>
      </c>
      <c r="D275" s="147">
        <v>111.35</v>
      </c>
      <c r="E275" s="22">
        <v>543.55999999999995</v>
      </c>
      <c r="F275" s="22">
        <v>654.91</v>
      </c>
      <c r="G275" s="22">
        <v>0</v>
      </c>
      <c r="H275" s="22">
        <v>281</v>
      </c>
      <c r="I275" s="22">
        <v>6.67</v>
      </c>
      <c r="J275" s="22">
        <v>153.51999999999998</v>
      </c>
      <c r="K275" s="22">
        <v>0</v>
      </c>
      <c r="L275" s="22">
        <v>0</v>
      </c>
      <c r="M275" s="388">
        <v>9786.19</v>
      </c>
      <c r="N275" s="25">
        <v>0.29110000000000003</v>
      </c>
      <c r="O275" s="24">
        <v>433</v>
      </c>
      <c r="P275" s="24">
        <v>412.25</v>
      </c>
      <c r="Q275" s="24">
        <v>244.25</v>
      </c>
      <c r="R275" s="22">
        <v>168</v>
      </c>
      <c r="S275" s="24">
        <v>73.75</v>
      </c>
      <c r="T275" s="24">
        <f t="shared" si="16"/>
        <v>486</v>
      </c>
      <c r="U275" s="376">
        <v>2848.76</v>
      </c>
      <c r="V275" s="376">
        <v>489.31</v>
      </c>
      <c r="W275" s="22">
        <f t="shared" si="17"/>
        <v>829.27403600000014</v>
      </c>
      <c r="X275" s="22">
        <f t="shared" si="18"/>
        <v>1160.25</v>
      </c>
      <c r="Y275" s="22">
        <v>717</v>
      </c>
      <c r="Z275" s="22">
        <v>443.25</v>
      </c>
      <c r="AA275" s="371">
        <v>9946.02</v>
      </c>
      <c r="AB275" s="22">
        <v>0.11665470208183776</v>
      </c>
      <c r="AC275" s="24">
        <v>0</v>
      </c>
      <c r="AD275" s="384">
        <v>0</v>
      </c>
    </row>
    <row r="276" spans="1:30">
      <c r="A276" s="21" t="s">
        <v>595</v>
      </c>
      <c r="B276" s="21" t="s">
        <v>596</v>
      </c>
      <c r="C276" s="23">
        <v>1758</v>
      </c>
      <c r="D276" s="147">
        <v>0</v>
      </c>
      <c r="E276" s="22">
        <v>264.54000000000002</v>
      </c>
      <c r="F276" s="22">
        <v>264.54000000000002</v>
      </c>
      <c r="G276" s="22">
        <v>0</v>
      </c>
      <c r="H276" s="22">
        <v>84</v>
      </c>
      <c r="I276" s="22">
        <v>7.89</v>
      </c>
      <c r="J276" s="22">
        <v>28.52</v>
      </c>
      <c r="K276" s="22">
        <v>4</v>
      </c>
      <c r="L276" s="22">
        <v>0</v>
      </c>
      <c r="M276" s="388">
        <v>6485.4100000000008</v>
      </c>
      <c r="N276" s="25">
        <v>0.93879999999999997</v>
      </c>
      <c r="O276" s="24">
        <v>6485</v>
      </c>
      <c r="P276" s="24">
        <v>2011.75</v>
      </c>
      <c r="Q276" s="24">
        <v>1235.75</v>
      </c>
      <c r="R276" s="22">
        <v>776</v>
      </c>
      <c r="S276" s="24">
        <v>238.25</v>
      </c>
      <c r="T276" s="24">
        <f t="shared" si="16"/>
        <v>2250</v>
      </c>
      <c r="U276" s="376">
        <v>6088.5</v>
      </c>
      <c r="V276" s="376">
        <v>324.27</v>
      </c>
      <c r="W276" s="22">
        <f t="shared" si="17"/>
        <v>5715.8837999999996</v>
      </c>
      <c r="X276" s="22">
        <f t="shared" si="18"/>
        <v>860.5</v>
      </c>
      <c r="Y276" s="22">
        <v>358.5</v>
      </c>
      <c r="Z276" s="22">
        <v>502</v>
      </c>
      <c r="AA276" s="371">
        <v>6480.05</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-57817.551605941153</v>
      </c>
    </row>
    <row r="278" spans="1:30">
      <c r="A278" s="21" t="s">
        <v>365</v>
      </c>
      <c r="B278" s="21" t="s">
        <v>366</v>
      </c>
      <c r="C278" s="23">
        <v>8353</v>
      </c>
      <c r="D278" s="147">
        <v>288.02</v>
      </c>
      <c r="E278" s="22">
        <v>1665.12</v>
      </c>
      <c r="F278" s="22">
        <v>1953.1399999999999</v>
      </c>
      <c r="G278" s="22">
        <v>0</v>
      </c>
      <c r="H278" s="22">
        <v>423</v>
      </c>
      <c r="I278" s="22">
        <v>22.45</v>
      </c>
      <c r="J278" s="22">
        <v>1571.94</v>
      </c>
      <c r="K278" s="22">
        <v>241.43</v>
      </c>
      <c r="L278" s="22">
        <v>13.44</v>
      </c>
      <c r="M278" s="388">
        <v>27974.26</v>
      </c>
      <c r="N278" s="25">
        <v>0.57699999999999996</v>
      </c>
      <c r="O278" s="24">
        <v>18010</v>
      </c>
      <c r="P278" s="24">
        <v>2957.29</v>
      </c>
      <c r="Q278" s="24">
        <v>1815.75</v>
      </c>
      <c r="R278" s="22">
        <v>1141.54</v>
      </c>
      <c r="S278" s="24">
        <v>476.5</v>
      </c>
      <c r="T278" s="24">
        <f t="shared" si="16"/>
        <v>3433.79</v>
      </c>
      <c r="U278" s="376">
        <v>16141.15</v>
      </c>
      <c r="V278" s="376">
        <v>1398.71</v>
      </c>
      <c r="W278" s="22">
        <f t="shared" si="17"/>
        <v>9313.44355</v>
      </c>
      <c r="X278" s="22">
        <f t="shared" si="18"/>
        <v>3920.25</v>
      </c>
      <c r="Y278" s="22">
        <v>2416.75</v>
      </c>
      <c r="Z278" s="22">
        <v>1503.5</v>
      </c>
      <c r="AA278" s="371">
        <v>27456.87</v>
      </c>
      <c r="AB278" s="22">
        <v>0.14277847402125587</v>
      </c>
      <c r="AC278" s="24">
        <v>7.7784740212558656E-3</v>
      </c>
      <c r="AD278" s="384">
        <v>-2104890.5220847442</v>
      </c>
    </row>
    <row r="279" spans="1:30">
      <c r="A279" s="21" t="s">
        <v>153</v>
      </c>
      <c r="B279" s="21" t="s">
        <v>154</v>
      </c>
      <c r="C279" s="23">
        <v>43</v>
      </c>
      <c r="D279" s="147">
        <v>0</v>
      </c>
      <c r="E279" s="22">
        <v>3.58</v>
      </c>
      <c r="F279" s="22">
        <v>3.58</v>
      </c>
      <c r="G279" s="22">
        <v>0</v>
      </c>
      <c r="H279" s="22">
        <v>1</v>
      </c>
      <c r="I279" s="22">
        <v>0</v>
      </c>
      <c r="J279" s="22">
        <v>0</v>
      </c>
      <c r="K279" s="22">
        <v>0</v>
      </c>
      <c r="L279" s="22">
        <v>0</v>
      </c>
      <c r="M279" s="388">
        <v>164</v>
      </c>
      <c r="N279" s="25">
        <v>0.77329999999999999</v>
      </c>
      <c r="O279" s="24">
        <v>160</v>
      </c>
      <c r="P279" s="24">
        <v>0</v>
      </c>
      <c r="Q279" s="24">
        <v>0</v>
      </c>
      <c r="R279" s="22">
        <v>0</v>
      </c>
      <c r="S279" s="24">
        <v>0</v>
      </c>
      <c r="T279" s="24">
        <f t="shared" si="16"/>
        <v>0</v>
      </c>
      <c r="U279" s="376">
        <v>126.82</v>
      </c>
      <c r="V279" s="376">
        <v>0</v>
      </c>
      <c r="W279" s="22">
        <f t="shared" si="17"/>
        <v>98.069905999999989</v>
      </c>
      <c r="X279" s="22">
        <f t="shared" si="18"/>
        <v>41.75</v>
      </c>
      <c r="Y279" s="22">
        <v>38.75</v>
      </c>
      <c r="Z279" s="22">
        <v>3</v>
      </c>
      <c r="AA279" s="371">
        <v>158.77000000000001</v>
      </c>
      <c r="AB279" s="22">
        <v>0.26295899729167976</v>
      </c>
      <c r="AC279" s="24">
        <v>0.12795899729167975</v>
      </c>
      <c r="AD279" s="384">
        <v>-183380.91884181605</v>
      </c>
    </row>
    <row r="280" spans="1:30">
      <c r="A280" s="21" t="s">
        <v>207</v>
      </c>
      <c r="B280" s="21" t="s">
        <v>208</v>
      </c>
      <c r="C280" s="23">
        <v>2745</v>
      </c>
      <c r="D280" s="147">
        <v>38.25</v>
      </c>
      <c r="E280" s="22">
        <v>528.95000000000005</v>
      </c>
      <c r="F280" s="22">
        <v>567.20000000000005</v>
      </c>
      <c r="G280" s="22">
        <v>0</v>
      </c>
      <c r="H280" s="22">
        <v>275</v>
      </c>
      <c r="I280" s="22">
        <v>17.28</v>
      </c>
      <c r="J280" s="22">
        <v>0</v>
      </c>
      <c r="K280" s="22">
        <v>14.56</v>
      </c>
      <c r="L280" s="22">
        <v>1.24</v>
      </c>
      <c r="M280" s="388">
        <v>9178.08</v>
      </c>
      <c r="N280" s="25">
        <v>0.13159999999999999</v>
      </c>
      <c r="O280" s="24">
        <v>0</v>
      </c>
      <c r="P280" s="24">
        <v>356</v>
      </c>
      <c r="Q280" s="24">
        <v>296.25</v>
      </c>
      <c r="R280" s="22">
        <v>59.75</v>
      </c>
      <c r="S280" s="24">
        <v>123</v>
      </c>
      <c r="T280" s="24">
        <f t="shared" si="16"/>
        <v>479</v>
      </c>
      <c r="U280" s="376">
        <v>1208.75</v>
      </c>
      <c r="V280" s="376">
        <v>458.9</v>
      </c>
      <c r="W280" s="22">
        <f t="shared" si="17"/>
        <v>159.07149999999999</v>
      </c>
      <c r="X280" s="22">
        <f t="shared" si="18"/>
        <v>1009.5</v>
      </c>
      <c r="Y280" s="22">
        <v>514.25</v>
      </c>
      <c r="Z280" s="22">
        <v>495.25</v>
      </c>
      <c r="AA280" s="371">
        <v>8679.9599999999991</v>
      </c>
      <c r="AB280" s="22">
        <v>0.11630237927363722</v>
      </c>
      <c r="AC280" s="24">
        <v>0</v>
      </c>
      <c r="AD280" s="384">
        <v>0</v>
      </c>
    </row>
    <row r="281" spans="1:30">
      <c r="A281" s="21" t="s">
        <v>559</v>
      </c>
      <c r="B281" s="21" t="s">
        <v>560</v>
      </c>
      <c r="C281" s="23">
        <v>51</v>
      </c>
      <c r="D281" s="147">
        <v>3.3</v>
      </c>
      <c r="E281" s="22">
        <v>21.49</v>
      </c>
      <c r="F281" s="22">
        <v>24.79</v>
      </c>
      <c r="G281" s="22">
        <v>0</v>
      </c>
      <c r="H281" s="22">
        <v>2</v>
      </c>
      <c r="I281" s="22">
        <v>0</v>
      </c>
      <c r="J281" s="22">
        <v>6.3100000000000005</v>
      </c>
      <c r="K281" s="22">
        <v>0</v>
      </c>
      <c r="L281" s="22">
        <v>0</v>
      </c>
      <c r="M281" s="388">
        <v>182.31</v>
      </c>
      <c r="N281" s="25">
        <v>0.65629999999999999</v>
      </c>
      <c r="O281" s="24">
        <v>192</v>
      </c>
      <c r="P281" s="24">
        <v>0</v>
      </c>
      <c r="Q281" s="24">
        <v>0</v>
      </c>
      <c r="R281" s="22">
        <v>0</v>
      </c>
      <c r="S281" s="24">
        <v>0</v>
      </c>
      <c r="T281" s="24">
        <f t="shared" si="16"/>
        <v>0</v>
      </c>
      <c r="U281" s="376">
        <v>114.89</v>
      </c>
      <c r="V281" s="376">
        <v>0</v>
      </c>
      <c r="W281" s="22">
        <f t="shared" si="17"/>
        <v>75.402306999999993</v>
      </c>
      <c r="X281" s="22">
        <f t="shared" si="18"/>
        <v>37.25</v>
      </c>
      <c r="Y281" s="22">
        <v>28.25</v>
      </c>
      <c r="Z281" s="22">
        <v>9</v>
      </c>
      <c r="AA281" s="371">
        <v>192.07</v>
      </c>
      <c r="AB281" s="22">
        <v>0.19393970948091843</v>
      </c>
      <c r="AC281" s="24">
        <v>5.8939709480918423E-2</v>
      </c>
      <c r="AD281" s="384">
        <v>-104411.48015028123</v>
      </c>
    </row>
    <row r="282" spans="1:30">
      <c r="A282" s="21" t="s">
        <v>521</v>
      </c>
      <c r="B282" s="21" t="s">
        <v>522</v>
      </c>
      <c r="C282" s="23">
        <v>345</v>
      </c>
      <c r="D282" s="147">
        <v>28.85</v>
      </c>
      <c r="E282" s="22">
        <v>89.12</v>
      </c>
      <c r="F282" s="22">
        <v>117.97</v>
      </c>
      <c r="G282" s="22">
        <v>0</v>
      </c>
      <c r="H282" s="22">
        <v>15</v>
      </c>
      <c r="I282" s="22">
        <v>1.05</v>
      </c>
      <c r="J282" s="22">
        <v>0</v>
      </c>
      <c r="K282" s="22">
        <v>9</v>
      </c>
      <c r="L282" s="22">
        <v>0</v>
      </c>
      <c r="M282" s="388">
        <v>1244.05</v>
      </c>
      <c r="N282" s="25">
        <v>0.47820000000000001</v>
      </c>
      <c r="O282" s="24">
        <v>852</v>
      </c>
      <c r="P282" s="24">
        <v>9</v>
      </c>
      <c r="Q282" s="24">
        <v>2</v>
      </c>
      <c r="R282" s="22">
        <v>7</v>
      </c>
      <c r="S282" s="24">
        <v>1</v>
      </c>
      <c r="T282" s="24">
        <f t="shared" si="16"/>
        <v>10</v>
      </c>
      <c r="U282" s="376">
        <v>594.9</v>
      </c>
      <c r="V282" s="376">
        <v>62.2</v>
      </c>
      <c r="W282" s="22">
        <f t="shared" si="17"/>
        <v>284.48117999999999</v>
      </c>
      <c r="X282" s="22">
        <f t="shared" si="18"/>
        <v>192</v>
      </c>
      <c r="Y282" s="22">
        <v>93.75</v>
      </c>
      <c r="Z282" s="22">
        <v>98.25</v>
      </c>
      <c r="AA282" s="371">
        <v>1242.97</v>
      </c>
      <c r="AB282" s="22">
        <v>0.15446873214960941</v>
      </c>
      <c r="AC282" s="24">
        <v>1.9468732149609397E-2</v>
      </c>
      <c r="AD282" s="384">
        <v>-217454.8497236626</v>
      </c>
    </row>
    <row r="283" spans="1:30">
      <c r="A283" s="21" t="s">
        <v>243</v>
      </c>
      <c r="B283" s="21" t="s">
        <v>244</v>
      </c>
      <c r="C283" s="23">
        <v>73</v>
      </c>
      <c r="D283" s="147">
        <v>3.47</v>
      </c>
      <c r="E283" s="22">
        <v>10.039999999999999</v>
      </c>
      <c r="F283" s="22">
        <v>13.51</v>
      </c>
      <c r="G283" s="22">
        <v>0</v>
      </c>
      <c r="H283" s="22">
        <v>5</v>
      </c>
      <c r="I283" s="22">
        <v>0</v>
      </c>
      <c r="J283" s="22">
        <v>0</v>
      </c>
      <c r="K283" s="22">
        <v>0</v>
      </c>
      <c r="L283" s="22">
        <v>0</v>
      </c>
      <c r="M283" s="388">
        <v>244</v>
      </c>
      <c r="N283" s="25">
        <v>0.47689999999999999</v>
      </c>
      <c r="O283" s="24">
        <v>0</v>
      </c>
      <c r="P283" s="24">
        <v>2</v>
      </c>
      <c r="Q283" s="24">
        <v>1.5</v>
      </c>
      <c r="R283" s="22">
        <v>0.5</v>
      </c>
      <c r="S283" s="24">
        <v>1.5</v>
      </c>
      <c r="T283" s="24">
        <f t="shared" si="16"/>
        <v>3.5</v>
      </c>
      <c r="U283" s="376">
        <v>116.36</v>
      </c>
      <c r="V283" s="376">
        <v>12.2</v>
      </c>
      <c r="W283" s="22">
        <f t="shared" si="17"/>
        <v>55.492083999999998</v>
      </c>
      <c r="X283" s="22">
        <f t="shared" si="18"/>
        <v>31.5</v>
      </c>
      <c r="Y283" s="22">
        <v>26.5</v>
      </c>
      <c r="Z283" s="22">
        <v>5</v>
      </c>
      <c r="AA283" s="371">
        <v>224.18</v>
      </c>
      <c r="AB283" s="22">
        <v>0.14051208850031224</v>
      </c>
      <c r="AC283" s="24">
        <v>5.5120885003122344E-3</v>
      </c>
      <c r="AD283" s="384">
        <v>-11209.42987089509</v>
      </c>
    </row>
    <row r="284" spans="1:30">
      <c r="A284" s="21" t="s">
        <v>285</v>
      </c>
      <c r="B284" s="21" t="s">
        <v>286</v>
      </c>
      <c r="C284" s="23">
        <v>216</v>
      </c>
      <c r="D284" s="147">
        <v>17.43</v>
      </c>
      <c r="E284" s="22">
        <v>49.86</v>
      </c>
      <c r="F284" s="22">
        <v>67.289999999999992</v>
      </c>
      <c r="G284" s="22">
        <v>0</v>
      </c>
      <c r="H284" s="22">
        <v>17</v>
      </c>
      <c r="I284" s="22">
        <v>2.13</v>
      </c>
      <c r="J284" s="22">
        <v>49.8</v>
      </c>
      <c r="K284" s="22">
        <v>0.4</v>
      </c>
      <c r="L284" s="22">
        <v>0</v>
      </c>
      <c r="M284" s="388">
        <v>785.32999999999993</v>
      </c>
      <c r="N284" s="25">
        <v>0.52</v>
      </c>
      <c r="O284" s="24">
        <v>601</v>
      </c>
      <c r="P284" s="24">
        <v>8</v>
      </c>
      <c r="Q284" s="24">
        <v>3</v>
      </c>
      <c r="R284" s="22">
        <v>5</v>
      </c>
      <c r="S284" s="24">
        <v>0.75</v>
      </c>
      <c r="T284" s="24">
        <f t="shared" si="16"/>
        <v>8.75</v>
      </c>
      <c r="U284" s="376">
        <v>408.37</v>
      </c>
      <c r="V284" s="376">
        <v>39.270000000000003</v>
      </c>
      <c r="W284" s="22">
        <f t="shared" si="17"/>
        <v>212.35240000000002</v>
      </c>
      <c r="X284" s="22">
        <f t="shared" si="18"/>
        <v>111.75</v>
      </c>
      <c r="Y284" s="22">
        <v>61</v>
      </c>
      <c r="Z284" s="22">
        <v>50.75</v>
      </c>
      <c r="AA284" s="371">
        <v>798.78</v>
      </c>
      <c r="AB284" s="22">
        <v>0.13990084879441148</v>
      </c>
      <c r="AC284" s="24">
        <v>4.9008487944114665E-3</v>
      </c>
      <c r="AD284" s="384">
        <v>-36007.48321698972</v>
      </c>
    </row>
    <row r="285" spans="1:30">
      <c r="A285" s="21" t="s">
        <v>339</v>
      </c>
      <c r="B285" s="21" t="s">
        <v>340</v>
      </c>
      <c r="C285" s="23">
        <v>252</v>
      </c>
      <c r="D285" s="147">
        <v>12.14</v>
      </c>
      <c r="E285" s="22">
        <v>30.54</v>
      </c>
      <c r="F285" s="22">
        <v>42.68</v>
      </c>
      <c r="G285" s="22">
        <v>0</v>
      </c>
      <c r="H285" s="22">
        <v>30</v>
      </c>
      <c r="I285" s="22">
        <v>4.07</v>
      </c>
      <c r="J285" s="22">
        <v>113.13999999999999</v>
      </c>
      <c r="K285" s="22">
        <v>0</v>
      </c>
      <c r="L285" s="22">
        <v>0</v>
      </c>
      <c r="M285" s="388">
        <v>1057.21</v>
      </c>
      <c r="N285" s="25">
        <v>0.76719999999999999</v>
      </c>
      <c r="O285" s="24">
        <v>1134</v>
      </c>
      <c r="P285" s="24">
        <v>128.75</v>
      </c>
      <c r="Q285" s="24">
        <v>91</v>
      </c>
      <c r="R285" s="22">
        <v>37.75</v>
      </c>
      <c r="S285" s="24">
        <v>30</v>
      </c>
      <c r="T285" s="24">
        <f t="shared" si="16"/>
        <v>158.75</v>
      </c>
      <c r="U285" s="376">
        <v>811.09</v>
      </c>
      <c r="V285" s="376">
        <v>52.86</v>
      </c>
      <c r="W285" s="22">
        <f t="shared" si="17"/>
        <v>622.26824799999997</v>
      </c>
      <c r="X285" s="22">
        <f t="shared" si="18"/>
        <v>123</v>
      </c>
      <c r="Y285" s="22">
        <v>78.75</v>
      </c>
      <c r="Z285" s="22">
        <v>44.25</v>
      </c>
      <c r="AA285" s="371">
        <v>1140.73</v>
      </c>
      <c r="AB285" s="22">
        <v>0.10782569056656702</v>
      </c>
      <c r="AC285" s="24">
        <v>0</v>
      </c>
      <c r="AD285" s="384">
        <v>0</v>
      </c>
    </row>
    <row r="286" spans="1:30">
      <c r="A286" s="21" t="s">
        <v>597</v>
      </c>
      <c r="B286" s="21" t="s">
        <v>598</v>
      </c>
      <c r="C286" s="23">
        <v>1058</v>
      </c>
      <c r="D286" s="147">
        <v>125.49</v>
      </c>
      <c r="E286" s="22">
        <v>480.32</v>
      </c>
      <c r="F286" s="22">
        <v>605.80999999999995</v>
      </c>
      <c r="G286" s="22">
        <v>0</v>
      </c>
      <c r="H286" s="22">
        <v>25</v>
      </c>
      <c r="I286" s="22">
        <v>4.2300000000000004</v>
      </c>
      <c r="J286" s="22">
        <v>827.81</v>
      </c>
      <c r="K286" s="22">
        <v>0</v>
      </c>
      <c r="L286" s="22">
        <v>0</v>
      </c>
      <c r="M286" s="388">
        <v>4408.04</v>
      </c>
      <c r="N286" s="25">
        <v>0.93710000000000004</v>
      </c>
      <c r="O286" s="24">
        <v>3577</v>
      </c>
      <c r="P286" s="24">
        <v>1305.5</v>
      </c>
      <c r="Q286" s="24">
        <v>747.25</v>
      </c>
      <c r="R286" s="22">
        <v>558.25</v>
      </c>
      <c r="S286" s="24">
        <v>186.5</v>
      </c>
      <c r="T286" s="24">
        <f t="shared" si="16"/>
        <v>1492</v>
      </c>
      <c r="U286" s="376">
        <v>4130.7700000000004</v>
      </c>
      <c r="V286" s="376">
        <v>220.4</v>
      </c>
      <c r="W286" s="22">
        <f t="shared" si="17"/>
        <v>3870.9445670000005</v>
      </c>
      <c r="X286" s="22">
        <f t="shared" si="18"/>
        <v>527.5</v>
      </c>
      <c r="Y286" s="22">
        <v>484.5</v>
      </c>
      <c r="Z286" s="22">
        <v>43</v>
      </c>
      <c r="AA286" s="371">
        <v>4303.76</v>
      </c>
      <c r="AB286" s="22">
        <v>0.12256724352659069</v>
      </c>
      <c r="AC286" s="24">
        <v>0</v>
      </c>
      <c r="AD286" s="384">
        <v>0</v>
      </c>
    </row>
    <row r="287" spans="1:30">
      <c r="A287" s="21" t="s">
        <v>531</v>
      </c>
      <c r="B287" s="21" t="s">
        <v>532</v>
      </c>
      <c r="C287" s="23">
        <v>46</v>
      </c>
      <c r="D287" s="147">
        <v>2.99</v>
      </c>
      <c r="E287" s="22">
        <v>11.44</v>
      </c>
      <c r="F287" s="22">
        <v>14.43</v>
      </c>
      <c r="G287" s="22">
        <v>0</v>
      </c>
      <c r="H287" s="22">
        <v>7</v>
      </c>
      <c r="I287" s="22">
        <v>0</v>
      </c>
      <c r="J287" s="22">
        <v>0</v>
      </c>
      <c r="K287" s="22">
        <v>0</v>
      </c>
      <c r="L287" s="22">
        <v>0</v>
      </c>
      <c r="M287" s="388">
        <v>198</v>
      </c>
      <c r="N287" s="25">
        <v>0.55400000000000005</v>
      </c>
      <c r="O287" s="24">
        <v>205</v>
      </c>
      <c r="P287" s="24">
        <v>38</v>
      </c>
      <c r="Q287" s="24">
        <v>24</v>
      </c>
      <c r="R287" s="22">
        <v>14</v>
      </c>
      <c r="S287" s="24">
        <v>9</v>
      </c>
      <c r="T287" s="24">
        <f t="shared" si="16"/>
        <v>47</v>
      </c>
      <c r="U287" s="376">
        <v>109.69</v>
      </c>
      <c r="V287" s="376">
        <v>0</v>
      </c>
      <c r="W287" s="22">
        <f t="shared" si="17"/>
        <v>60.768260000000005</v>
      </c>
      <c r="X287" s="22">
        <f t="shared" si="18"/>
        <v>22.5</v>
      </c>
      <c r="Y287" s="22">
        <v>22</v>
      </c>
      <c r="Z287" s="22">
        <v>0.5</v>
      </c>
      <c r="AA287" s="371">
        <v>209.8</v>
      </c>
      <c r="AB287" s="22">
        <v>0.10724499523355577</v>
      </c>
      <c r="AC287" s="24">
        <v>0</v>
      </c>
      <c r="AD287" s="384">
        <v>0</v>
      </c>
    </row>
    <row r="288" spans="1:30">
      <c r="A288" s="21" t="s">
        <v>79</v>
      </c>
      <c r="B288" s="21" t="s">
        <v>80</v>
      </c>
      <c r="C288" s="23">
        <v>184</v>
      </c>
      <c r="D288" s="147">
        <v>17.79</v>
      </c>
      <c r="E288" s="22">
        <v>41.55</v>
      </c>
      <c r="F288" s="22">
        <v>59.339999999999996</v>
      </c>
      <c r="G288" s="22">
        <v>0</v>
      </c>
      <c r="H288" s="22">
        <v>29</v>
      </c>
      <c r="I288" s="22">
        <v>2.9</v>
      </c>
      <c r="J288" s="22">
        <v>13.799999999999999</v>
      </c>
      <c r="K288" s="22">
        <v>0</v>
      </c>
      <c r="L288" s="22">
        <v>0</v>
      </c>
      <c r="M288" s="388">
        <v>647.69999999999993</v>
      </c>
      <c r="N288" s="25">
        <v>0.41170000000000001</v>
      </c>
      <c r="O288" s="24">
        <v>0</v>
      </c>
      <c r="P288" s="24">
        <v>0</v>
      </c>
      <c r="Q288" s="24">
        <v>0</v>
      </c>
      <c r="R288" s="22">
        <v>0</v>
      </c>
      <c r="S288" s="24">
        <v>0</v>
      </c>
      <c r="T288" s="24">
        <f t="shared" si="16"/>
        <v>0</v>
      </c>
      <c r="U288" s="376">
        <v>266.66000000000003</v>
      </c>
      <c r="V288" s="376">
        <v>32.39</v>
      </c>
      <c r="W288" s="22">
        <f t="shared" si="17"/>
        <v>109.78392200000002</v>
      </c>
      <c r="X288" s="22">
        <f t="shared" si="18"/>
        <v>104</v>
      </c>
      <c r="Y288" s="22">
        <v>42.75</v>
      </c>
      <c r="Z288" s="22">
        <v>61.25</v>
      </c>
      <c r="AA288" s="371">
        <v>696.68</v>
      </c>
      <c r="AB288" s="22">
        <v>0.14927943962794971</v>
      </c>
      <c r="AC288" s="24">
        <v>1.4279439627949697E-2</v>
      </c>
      <c r="AD288" s="384">
        <v>-91501.132870113754</v>
      </c>
    </row>
    <row r="289" spans="1:30">
      <c r="A289" s="21" t="s">
        <v>257</v>
      </c>
      <c r="B289" s="21" t="s">
        <v>258</v>
      </c>
      <c r="C289" s="23">
        <v>61</v>
      </c>
      <c r="D289" s="147">
        <v>0</v>
      </c>
      <c r="E289" s="22">
        <v>0</v>
      </c>
      <c r="F289" s="22">
        <v>0</v>
      </c>
      <c r="G289" s="22">
        <v>0</v>
      </c>
      <c r="H289" s="22">
        <v>0</v>
      </c>
      <c r="I289" s="22">
        <v>0</v>
      </c>
      <c r="J289" s="22">
        <v>2.35</v>
      </c>
      <c r="K289" s="22">
        <v>0</v>
      </c>
      <c r="L289" s="22">
        <v>0</v>
      </c>
      <c r="M289" s="388">
        <v>210.35</v>
      </c>
      <c r="N289" s="25">
        <v>0</v>
      </c>
      <c r="O289" s="24">
        <v>0</v>
      </c>
      <c r="P289" s="24">
        <v>15.5</v>
      </c>
      <c r="Q289" s="24">
        <v>7</v>
      </c>
      <c r="R289" s="22">
        <v>8.5</v>
      </c>
      <c r="S289" s="24">
        <v>0</v>
      </c>
      <c r="T289" s="24">
        <f t="shared" si="16"/>
        <v>15.5</v>
      </c>
      <c r="U289" s="376">
        <v>0</v>
      </c>
      <c r="V289" s="376">
        <v>10.52</v>
      </c>
      <c r="W289" s="22">
        <f t="shared" si="17"/>
        <v>0</v>
      </c>
      <c r="X289" s="22">
        <f t="shared" si="18"/>
        <v>17.25</v>
      </c>
      <c r="Y289" s="22">
        <v>10.5</v>
      </c>
      <c r="Z289" s="22">
        <v>6.75</v>
      </c>
      <c r="AA289" s="371">
        <v>191.13</v>
      </c>
      <c r="AB289" s="22">
        <v>9.0252707581227443E-2</v>
      </c>
      <c r="AC289" s="24">
        <v>0</v>
      </c>
      <c r="AD289" s="384">
        <v>0</v>
      </c>
    </row>
    <row r="290" spans="1:30">
      <c r="A290" s="21" t="s">
        <v>201</v>
      </c>
      <c r="B290" s="21" t="s">
        <v>202</v>
      </c>
      <c r="C290" s="23">
        <v>798</v>
      </c>
      <c r="D290" s="147">
        <v>0</v>
      </c>
      <c r="E290" s="22">
        <v>103.33</v>
      </c>
      <c r="F290" s="22">
        <v>103.33</v>
      </c>
      <c r="G290" s="22">
        <v>0</v>
      </c>
      <c r="H290" s="22">
        <v>81</v>
      </c>
      <c r="I290" s="22">
        <v>3.3</v>
      </c>
      <c r="J290" s="22">
        <v>21</v>
      </c>
      <c r="K290" s="22">
        <v>0.8</v>
      </c>
      <c r="L290" s="22">
        <v>0</v>
      </c>
      <c r="M290" s="388">
        <v>2769.1000000000004</v>
      </c>
      <c r="N290" s="25">
        <v>0.749</v>
      </c>
      <c r="O290" s="24">
        <v>2550</v>
      </c>
      <c r="P290" s="24">
        <v>1026.5</v>
      </c>
      <c r="Q290" s="24">
        <v>620.75</v>
      </c>
      <c r="R290" s="22">
        <v>405.75</v>
      </c>
      <c r="S290" s="24">
        <v>19.5</v>
      </c>
      <c r="T290" s="24">
        <f t="shared" si="16"/>
        <v>1046</v>
      </c>
      <c r="U290" s="376">
        <v>2073.7800000000002</v>
      </c>
      <c r="V290" s="376">
        <v>138.46</v>
      </c>
      <c r="W290" s="22">
        <f t="shared" si="17"/>
        <v>1553.2612200000001</v>
      </c>
      <c r="X290" s="22">
        <f t="shared" si="18"/>
        <v>328.75</v>
      </c>
      <c r="Y290" s="22">
        <v>180.5</v>
      </c>
      <c r="Z290" s="22">
        <v>148.25</v>
      </c>
      <c r="AA290" s="371">
        <v>2564.7600000000002</v>
      </c>
      <c r="AB290" s="22">
        <v>0.12817963474165223</v>
      </c>
      <c r="AC290" s="24">
        <v>0</v>
      </c>
      <c r="AD290" s="384">
        <v>0</v>
      </c>
    </row>
    <row r="291" spans="1:30">
      <c r="A291" s="21" t="s">
        <v>511</v>
      </c>
      <c r="B291" s="21" t="s">
        <v>512</v>
      </c>
      <c r="C291" s="23">
        <v>1671</v>
      </c>
      <c r="D291" s="147">
        <v>205.24</v>
      </c>
      <c r="E291" s="22">
        <v>390.78</v>
      </c>
      <c r="F291" s="22">
        <v>596.02</v>
      </c>
      <c r="G291" s="22">
        <v>298.81</v>
      </c>
      <c r="H291" s="22">
        <v>335</v>
      </c>
      <c r="I291" s="22">
        <v>17.68</v>
      </c>
      <c r="J291" s="22">
        <v>366.95</v>
      </c>
      <c r="K291" s="22">
        <v>17.399999999999999</v>
      </c>
      <c r="L291" s="22">
        <v>0</v>
      </c>
      <c r="M291" s="388">
        <v>6524.0299999999988</v>
      </c>
      <c r="N291" s="25">
        <v>0.3085</v>
      </c>
      <c r="O291" s="24">
        <v>0</v>
      </c>
      <c r="P291" s="24">
        <v>129</v>
      </c>
      <c r="Q291" s="24">
        <v>93.5</v>
      </c>
      <c r="R291" s="22">
        <v>35.5</v>
      </c>
      <c r="S291" s="24">
        <v>51.5</v>
      </c>
      <c r="T291" s="24">
        <f t="shared" si="16"/>
        <v>180.5</v>
      </c>
      <c r="U291" s="376">
        <v>2013.32</v>
      </c>
      <c r="V291" s="376">
        <v>326.2</v>
      </c>
      <c r="W291" s="22">
        <f t="shared" si="17"/>
        <v>621.10921999999994</v>
      </c>
      <c r="X291" s="22">
        <f t="shared" si="18"/>
        <v>831.75</v>
      </c>
      <c r="Y291" s="22">
        <v>470</v>
      </c>
      <c r="Z291" s="22">
        <v>361.75</v>
      </c>
      <c r="AA291" s="371">
        <v>6446.42</v>
      </c>
      <c r="AB291" s="22">
        <v>0.12902510230484518</v>
      </c>
      <c r="AC291" s="24">
        <v>0</v>
      </c>
      <c r="AD291" s="384">
        <v>0</v>
      </c>
    </row>
    <row r="292" spans="1:30">
      <c r="A292" s="21" t="s">
        <v>581</v>
      </c>
      <c r="B292" s="21" t="s">
        <v>582</v>
      </c>
      <c r="C292" s="23">
        <v>246.31</v>
      </c>
      <c r="D292" s="147">
        <v>0</v>
      </c>
      <c r="E292" s="22">
        <v>0</v>
      </c>
      <c r="F292" s="22">
        <v>0</v>
      </c>
      <c r="G292" s="22">
        <v>0</v>
      </c>
      <c r="H292" s="22">
        <v>0</v>
      </c>
      <c r="I292" s="22">
        <v>0</v>
      </c>
      <c r="J292" s="22">
        <v>0</v>
      </c>
      <c r="K292" s="22">
        <v>0</v>
      </c>
      <c r="L292" s="22">
        <v>0</v>
      </c>
      <c r="M292" s="388">
        <v>569.71</v>
      </c>
      <c r="N292" s="25">
        <v>0.93140000000000001</v>
      </c>
      <c r="O292" s="24">
        <v>580</v>
      </c>
      <c r="P292" s="24">
        <v>163.75</v>
      </c>
      <c r="Q292" s="24">
        <v>143.75</v>
      </c>
      <c r="R292" s="22">
        <v>20</v>
      </c>
      <c r="S292" s="24">
        <v>56.75</v>
      </c>
      <c r="T292" s="24">
        <f t="shared" si="16"/>
        <v>220.5</v>
      </c>
      <c r="U292" s="376">
        <v>530.63</v>
      </c>
      <c r="V292" s="376">
        <v>28.49</v>
      </c>
      <c r="W292" s="22">
        <f t="shared" si="17"/>
        <v>494.22878200000002</v>
      </c>
      <c r="X292" s="22">
        <f t="shared" si="18"/>
        <v>69.75</v>
      </c>
      <c r="Y292" s="22">
        <v>53.75</v>
      </c>
      <c r="Z292" s="22">
        <v>16</v>
      </c>
      <c r="AA292" s="371">
        <v>565.45000000000005</v>
      </c>
      <c r="AB292" s="22">
        <v>0.1233530816164117</v>
      </c>
      <c r="AC292" s="24">
        <v>0</v>
      </c>
      <c r="AD292" s="384">
        <v>0</v>
      </c>
    </row>
    <row r="293" spans="1:30">
      <c r="A293" s="21" t="s">
        <v>369</v>
      </c>
      <c r="B293" s="21" t="s">
        <v>370</v>
      </c>
      <c r="C293" s="23">
        <v>1530</v>
      </c>
      <c r="D293" s="147">
        <v>0</v>
      </c>
      <c r="E293" s="22">
        <v>297.42</v>
      </c>
      <c r="F293" s="22">
        <v>297.42</v>
      </c>
      <c r="G293" s="22">
        <v>0</v>
      </c>
      <c r="H293" s="22">
        <v>225</v>
      </c>
      <c r="I293" s="22">
        <v>4.6900000000000004</v>
      </c>
      <c r="J293" s="22">
        <v>52.400000000000006</v>
      </c>
      <c r="K293" s="22">
        <v>0</v>
      </c>
      <c r="L293" s="22">
        <v>0</v>
      </c>
      <c r="M293" s="388">
        <v>5532.0899999999992</v>
      </c>
      <c r="N293" s="25">
        <v>0.36459999999999998</v>
      </c>
      <c r="O293" s="24">
        <v>0</v>
      </c>
      <c r="P293" s="24">
        <v>293</v>
      </c>
      <c r="Q293" s="24">
        <v>221.25</v>
      </c>
      <c r="R293" s="22">
        <v>71.75</v>
      </c>
      <c r="S293" s="24">
        <v>97.25</v>
      </c>
      <c r="T293" s="24">
        <f t="shared" si="16"/>
        <v>390.25</v>
      </c>
      <c r="U293" s="376">
        <v>2017.55</v>
      </c>
      <c r="V293" s="376">
        <v>276.60000000000002</v>
      </c>
      <c r="W293" s="22">
        <f t="shared" si="17"/>
        <v>735.59872999999993</v>
      </c>
      <c r="X293" s="22">
        <f t="shared" si="18"/>
        <v>544.5</v>
      </c>
      <c r="Y293" s="22">
        <v>274.5</v>
      </c>
      <c r="Z293" s="22">
        <v>270</v>
      </c>
      <c r="AA293" s="371">
        <v>5597.44</v>
      </c>
      <c r="AB293" s="22">
        <v>9.727661216556141E-2</v>
      </c>
      <c r="AC293" s="24">
        <v>0</v>
      </c>
      <c r="AD293" s="384">
        <v>0</v>
      </c>
    </row>
    <row r="294" spans="1:30">
      <c r="A294" s="21" t="s">
        <v>489</v>
      </c>
      <c r="B294" s="21" t="s">
        <v>490</v>
      </c>
      <c r="C294" s="23">
        <v>99</v>
      </c>
      <c r="D294" s="147">
        <v>0</v>
      </c>
      <c r="E294" s="22">
        <v>0</v>
      </c>
      <c r="F294" s="22">
        <v>0</v>
      </c>
      <c r="G294" s="22">
        <v>0</v>
      </c>
      <c r="H294" s="22">
        <v>0</v>
      </c>
      <c r="I294" s="22">
        <v>0.25</v>
      </c>
      <c r="J294" s="22">
        <v>900.75</v>
      </c>
      <c r="K294" s="22">
        <v>0</v>
      </c>
      <c r="L294" s="22">
        <v>0</v>
      </c>
      <c r="M294" s="388">
        <v>1172</v>
      </c>
      <c r="N294" s="25">
        <v>0.22850000000000001</v>
      </c>
      <c r="O294" s="24">
        <v>259</v>
      </c>
      <c r="P294" s="24">
        <v>36.75</v>
      </c>
      <c r="Q294" s="24">
        <v>26.5</v>
      </c>
      <c r="R294" s="22">
        <v>10.25</v>
      </c>
      <c r="S294" s="24">
        <v>3</v>
      </c>
      <c r="T294" s="24">
        <f t="shared" si="16"/>
        <v>39.75</v>
      </c>
      <c r="U294" s="376">
        <v>267.57</v>
      </c>
      <c r="V294" s="376">
        <v>58.6</v>
      </c>
      <c r="W294" s="22">
        <f t="shared" si="17"/>
        <v>61.139744999999998</v>
      </c>
      <c r="X294" s="22">
        <f t="shared" si="18"/>
        <v>109.5</v>
      </c>
      <c r="Y294" s="22">
        <v>99</v>
      </c>
      <c r="Z294" s="22">
        <v>10.5</v>
      </c>
      <c r="AA294" s="371">
        <v>1156.2</v>
      </c>
      <c r="AB294" s="22">
        <v>9.4706798131811099E-2</v>
      </c>
      <c r="AC294" s="24">
        <v>0</v>
      </c>
      <c r="AD294" s="384">
        <v>0</v>
      </c>
    </row>
    <row r="295" spans="1:30">
      <c r="A295" s="21" t="s">
        <v>55</v>
      </c>
      <c r="B295" s="21" t="s">
        <v>56</v>
      </c>
      <c r="C295" s="23">
        <v>6683</v>
      </c>
      <c r="D295" s="147">
        <v>264.52</v>
      </c>
      <c r="E295" s="22">
        <v>1367.27</v>
      </c>
      <c r="F295" s="22">
        <v>1631.79</v>
      </c>
      <c r="G295" s="22">
        <v>0</v>
      </c>
      <c r="H295" s="22">
        <v>450</v>
      </c>
      <c r="I295" s="22">
        <v>4.42</v>
      </c>
      <c r="J295" s="22">
        <v>1056.3499999999999</v>
      </c>
      <c r="K295" s="22">
        <v>212.39</v>
      </c>
      <c r="L295" s="22">
        <v>0.37</v>
      </c>
      <c r="M295" s="388">
        <v>22279.529999999995</v>
      </c>
      <c r="N295" s="25">
        <v>0.48480000000000001</v>
      </c>
      <c r="O295" s="24">
        <v>12505</v>
      </c>
      <c r="P295" s="24">
        <v>2930.5</v>
      </c>
      <c r="Q295" s="24">
        <v>1833</v>
      </c>
      <c r="R295" s="22">
        <v>1097.5</v>
      </c>
      <c r="S295" s="24">
        <v>481.75</v>
      </c>
      <c r="T295" s="24">
        <f t="shared" si="16"/>
        <v>3412.25</v>
      </c>
      <c r="U295" s="376">
        <v>10803.34</v>
      </c>
      <c r="V295" s="376">
        <v>1113.98</v>
      </c>
      <c r="W295" s="22">
        <f t="shared" si="17"/>
        <v>5237.4592320000002</v>
      </c>
      <c r="X295" s="22">
        <f t="shared" si="18"/>
        <v>2856.25</v>
      </c>
      <c r="Y295" s="22">
        <v>1787</v>
      </c>
      <c r="Z295" s="22">
        <v>1069.25</v>
      </c>
      <c r="AA295" s="371">
        <v>21527.19</v>
      </c>
      <c r="AB295" s="22">
        <v>0.13268104197528802</v>
      </c>
      <c r="AC295" s="24">
        <v>0</v>
      </c>
      <c r="AD295" s="384">
        <v>0</v>
      </c>
    </row>
    <row r="296" spans="1:30">
      <c r="A296" s="21" t="s">
        <v>193</v>
      </c>
      <c r="B296" s="21" t="s">
        <v>194</v>
      </c>
      <c r="C296" s="23">
        <v>281</v>
      </c>
      <c r="D296" s="147">
        <v>21.13</v>
      </c>
      <c r="E296" s="22">
        <v>96.95</v>
      </c>
      <c r="F296" s="22">
        <v>118.08</v>
      </c>
      <c r="G296" s="22">
        <v>0</v>
      </c>
      <c r="H296" s="22">
        <v>48</v>
      </c>
      <c r="I296" s="22">
        <v>0.68</v>
      </c>
      <c r="J296" s="22">
        <v>129.49</v>
      </c>
      <c r="K296" s="22">
        <v>0</v>
      </c>
      <c r="L296" s="22">
        <v>0</v>
      </c>
      <c r="M296" s="388">
        <v>1477.17</v>
      </c>
      <c r="N296" s="25">
        <v>0.2329</v>
      </c>
      <c r="O296" s="24">
        <v>39</v>
      </c>
      <c r="P296" s="24">
        <v>74.75</v>
      </c>
      <c r="Q296" s="24">
        <v>43.5</v>
      </c>
      <c r="R296" s="22">
        <v>31.25</v>
      </c>
      <c r="S296" s="24">
        <v>6</v>
      </c>
      <c r="T296" s="24">
        <f t="shared" si="16"/>
        <v>80.75</v>
      </c>
      <c r="U296" s="376">
        <v>344.77</v>
      </c>
      <c r="V296" s="376">
        <v>73.86</v>
      </c>
      <c r="W296" s="22">
        <f t="shared" si="17"/>
        <v>80.296932999999996</v>
      </c>
      <c r="X296" s="22">
        <f t="shared" si="18"/>
        <v>165</v>
      </c>
      <c r="Y296" s="22">
        <v>129</v>
      </c>
      <c r="Z296" s="22">
        <v>36</v>
      </c>
      <c r="AA296" s="371">
        <v>1483.22</v>
      </c>
      <c r="AB296" s="22">
        <v>0.11124445463248878</v>
      </c>
      <c r="AC296" s="24">
        <v>0</v>
      </c>
      <c r="AD296" s="384">
        <v>0</v>
      </c>
    </row>
    <row r="297" spans="1:30">
      <c r="A297" s="21" t="s">
        <v>1024</v>
      </c>
      <c r="B297" s="21" t="s">
        <v>1044</v>
      </c>
      <c r="C297" s="23">
        <v>55.2</v>
      </c>
      <c r="D297" s="147">
        <v>0</v>
      </c>
      <c r="E297" s="22">
        <v>0</v>
      </c>
      <c r="F297" s="22">
        <v>0</v>
      </c>
      <c r="G297" s="22">
        <v>0</v>
      </c>
      <c r="H297" s="22">
        <v>0</v>
      </c>
      <c r="I297" s="22">
        <v>0</v>
      </c>
      <c r="J297" s="22">
        <v>0</v>
      </c>
      <c r="K297" s="22">
        <v>0</v>
      </c>
      <c r="L297" s="22">
        <v>0</v>
      </c>
      <c r="M297" s="388">
        <v>125.60000000000001</v>
      </c>
      <c r="N297" s="25">
        <v>0.9919</v>
      </c>
      <c r="O297" s="24">
        <v>124</v>
      </c>
      <c r="P297" s="24">
        <v>0</v>
      </c>
      <c r="Q297" s="24">
        <v>0</v>
      </c>
      <c r="R297" s="22">
        <v>0</v>
      </c>
      <c r="S297" s="24">
        <v>0</v>
      </c>
      <c r="T297" s="24">
        <f t="shared" si="16"/>
        <v>0</v>
      </c>
      <c r="U297" s="376">
        <v>124.58</v>
      </c>
      <c r="V297" s="376">
        <v>0</v>
      </c>
      <c r="W297" s="22">
        <f t="shared" si="17"/>
        <v>123.570902</v>
      </c>
      <c r="X297" s="22">
        <f t="shared" si="18"/>
        <v>16.5</v>
      </c>
      <c r="Y297" s="22">
        <v>15.5</v>
      </c>
      <c r="Z297" s="22">
        <v>1</v>
      </c>
      <c r="AA297" s="371">
        <v>125.6</v>
      </c>
      <c r="AB297" s="22">
        <v>0.13136942675159236</v>
      </c>
      <c r="AC297" s="24">
        <v>0</v>
      </c>
      <c r="AD297" s="384">
        <v>0</v>
      </c>
    </row>
    <row r="298" spans="1:30">
      <c r="A298" s="21" t="s">
        <v>523</v>
      </c>
      <c r="B298" s="21" t="s">
        <v>524</v>
      </c>
      <c r="C298" s="23">
        <v>107</v>
      </c>
      <c r="D298" s="147">
        <v>0</v>
      </c>
      <c r="E298" s="22">
        <v>25.53</v>
      </c>
      <c r="F298" s="22">
        <v>25.53</v>
      </c>
      <c r="G298" s="22">
        <v>0</v>
      </c>
      <c r="H298" s="22">
        <v>9</v>
      </c>
      <c r="I298" s="22">
        <v>0.53</v>
      </c>
      <c r="J298" s="22">
        <v>19.79</v>
      </c>
      <c r="K298" s="22">
        <v>0</v>
      </c>
      <c r="L298" s="22">
        <v>0</v>
      </c>
      <c r="M298" s="388">
        <v>460.32</v>
      </c>
      <c r="N298" s="25">
        <v>0.64859999999999995</v>
      </c>
      <c r="O298" s="24">
        <v>462</v>
      </c>
      <c r="P298" s="24">
        <v>16.25</v>
      </c>
      <c r="Q298" s="24">
        <v>7.75</v>
      </c>
      <c r="R298" s="22">
        <v>8.5</v>
      </c>
      <c r="S298" s="24">
        <v>0</v>
      </c>
      <c r="T298" s="24">
        <f t="shared" si="16"/>
        <v>16.25</v>
      </c>
      <c r="U298" s="376">
        <v>298.56</v>
      </c>
      <c r="V298" s="376">
        <v>0</v>
      </c>
      <c r="W298" s="22">
        <f t="shared" si="17"/>
        <v>193.64601599999997</v>
      </c>
      <c r="X298" s="22">
        <f t="shared" si="18"/>
        <v>76.25</v>
      </c>
      <c r="Y298" s="22">
        <v>43.75</v>
      </c>
      <c r="Z298" s="22">
        <v>32.5</v>
      </c>
      <c r="AA298" s="371">
        <v>451.68</v>
      </c>
      <c r="AB298" s="22">
        <v>0.16881420474672335</v>
      </c>
      <c r="AC298" s="24">
        <v>3.3814204746723336E-2</v>
      </c>
      <c r="AD298" s="384">
        <v>-139081.16707241847</v>
      </c>
    </row>
    <row r="299" spans="1:30">
      <c r="A299" s="21" t="s">
        <v>121</v>
      </c>
      <c r="B299" s="21" t="s">
        <v>122</v>
      </c>
      <c r="C299" s="23">
        <v>677</v>
      </c>
      <c r="D299" s="147">
        <v>65.14</v>
      </c>
      <c r="E299" s="22">
        <v>208.3</v>
      </c>
      <c r="F299" s="22">
        <v>273.44</v>
      </c>
      <c r="G299" s="22">
        <v>0</v>
      </c>
      <c r="H299" s="22">
        <v>0</v>
      </c>
      <c r="I299" s="22">
        <v>1.99</v>
      </c>
      <c r="J299" s="22">
        <v>0</v>
      </c>
      <c r="K299" s="22">
        <v>0</v>
      </c>
      <c r="L299" s="22">
        <v>0</v>
      </c>
      <c r="M299" s="388">
        <v>2421.9899999999998</v>
      </c>
      <c r="N299" s="25">
        <v>0.96860000000000002</v>
      </c>
      <c r="O299" s="24">
        <v>2453</v>
      </c>
      <c r="P299" s="24">
        <v>1197</v>
      </c>
      <c r="Q299" s="24">
        <v>747.75</v>
      </c>
      <c r="R299" s="22">
        <v>449.25</v>
      </c>
      <c r="S299" s="24">
        <v>228.5</v>
      </c>
      <c r="T299" s="24">
        <f t="shared" si="16"/>
        <v>1425.5</v>
      </c>
      <c r="U299" s="376">
        <v>2344.9699999999998</v>
      </c>
      <c r="V299" s="376">
        <v>121.1</v>
      </c>
      <c r="W299" s="22">
        <f t="shared" si="17"/>
        <v>2271.3379419999997</v>
      </c>
      <c r="X299" s="22">
        <f t="shared" si="18"/>
        <v>294.25</v>
      </c>
      <c r="Y299" s="22">
        <v>168.75</v>
      </c>
      <c r="Z299" s="22">
        <v>125.5</v>
      </c>
      <c r="AA299" s="371">
        <v>2428.12</v>
      </c>
      <c r="AB299" s="22">
        <v>0.1211842907269822</v>
      </c>
      <c r="AC299" s="24">
        <v>0</v>
      </c>
      <c r="AD299" s="384">
        <v>0</v>
      </c>
    </row>
    <row r="300" spans="1:30">
      <c r="A300" s="21" t="s">
        <v>535</v>
      </c>
      <c r="B300" s="21" t="s">
        <v>536</v>
      </c>
      <c r="C300" s="23">
        <v>57</v>
      </c>
      <c r="D300" s="147">
        <v>4.5</v>
      </c>
      <c r="E300" s="22">
        <v>10.26</v>
      </c>
      <c r="F300" s="22">
        <v>14.76</v>
      </c>
      <c r="G300" s="22">
        <v>0</v>
      </c>
      <c r="H300" s="22">
        <v>2</v>
      </c>
      <c r="I300" s="22">
        <v>0.67</v>
      </c>
      <c r="J300" s="22">
        <v>0</v>
      </c>
      <c r="K300" s="22">
        <v>0</v>
      </c>
      <c r="L300" s="22">
        <v>0</v>
      </c>
      <c r="M300" s="388">
        <v>230.67</v>
      </c>
      <c r="N300" s="25">
        <v>0.56779999999999997</v>
      </c>
      <c r="O300" s="24">
        <v>267</v>
      </c>
      <c r="P300" s="24">
        <v>1.5</v>
      </c>
      <c r="Q300" s="24">
        <v>0.5</v>
      </c>
      <c r="R300" s="22">
        <v>1</v>
      </c>
      <c r="S300" s="24">
        <v>0</v>
      </c>
      <c r="T300" s="24">
        <f t="shared" si="16"/>
        <v>1.5</v>
      </c>
      <c r="U300" s="376">
        <v>130.97</v>
      </c>
      <c r="V300" s="376">
        <v>0</v>
      </c>
      <c r="W300" s="22">
        <f t="shared" si="17"/>
        <v>74.364765999999989</v>
      </c>
      <c r="X300" s="22">
        <f t="shared" si="18"/>
        <v>21.75</v>
      </c>
      <c r="Y300" s="22">
        <v>20.75</v>
      </c>
      <c r="Z300" s="22">
        <v>1</v>
      </c>
      <c r="AA300" s="371">
        <v>264.05</v>
      </c>
      <c r="AB300" s="22">
        <v>8.2370763113046766E-2</v>
      </c>
      <c r="AC300" s="24">
        <v>0</v>
      </c>
      <c r="AD300" s="384">
        <v>0</v>
      </c>
    </row>
    <row r="301" spans="1:30">
      <c r="A301" s="21" t="s">
        <v>527</v>
      </c>
      <c r="B301" s="21" t="s">
        <v>528</v>
      </c>
      <c r="C301" s="23">
        <v>1587</v>
      </c>
      <c r="D301" s="147">
        <v>64.94</v>
      </c>
      <c r="E301" s="22">
        <v>293.41000000000003</v>
      </c>
      <c r="F301" s="22">
        <v>358.35</v>
      </c>
      <c r="G301" s="22">
        <v>92.35</v>
      </c>
      <c r="H301" s="22">
        <v>99</v>
      </c>
      <c r="I301" s="22">
        <v>9.11</v>
      </c>
      <c r="J301" s="22">
        <v>344.87</v>
      </c>
      <c r="K301" s="22">
        <v>94.2</v>
      </c>
      <c r="L301" s="22">
        <v>0.2</v>
      </c>
      <c r="M301" s="388">
        <v>5612.3799999999992</v>
      </c>
      <c r="N301" s="25">
        <v>0.55479999999999996</v>
      </c>
      <c r="O301" s="24">
        <v>2707</v>
      </c>
      <c r="P301" s="24">
        <v>780.25</v>
      </c>
      <c r="Q301" s="24">
        <v>541</v>
      </c>
      <c r="R301" s="22">
        <v>239.25</v>
      </c>
      <c r="S301" s="24">
        <v>140.5</v>
      </c>
      <c r="T301" s="24">
        <f t="shared" si="16"/>
        <v>920.75</v>
      </c>
      <c r="U301" s="376">
        <v>3113.75</v>
      </c>
      <c r="V301" s="376">
        <v>280.62</v>
      </c>
      <c r="W301" s="22">
        <f t="shared" si="17"/>
        <v>1727.5084999999999</v>
      </c>
      <c r="X301" s="22">
        <f t="shared" si="18"/>
        <v>799</v>
      </c>
      <c r="Y301" s="22">
        <v>459.75</v>
      </c>
      <c r="Z301" s="22">
        <v>339.25</v>
      </c>
      <c r="AA301" s="371">
        <v>5465.81</v>
      </c>
      <c r="AB301" s="22">
        <v>0.14618144428730598</v>
      </c>
      <c r="AC301" s="24">
        <v>1.1181444287305969E-2</v>
      </c>
      <c r="AD301" s="384">
        <v>-564324.44103912136</v>
      </c>
    </row>
    <row r="302" spans="1:30">
      <c r="A302" s="21" t="s">
        <v>605</v>
      </c>
      <c r="B302" s="21" t="s">
        <v>606</v>
      </c>
      <c r="C302" s="23">
        <v>857</v>
      </c>
      <c r="D302" s="147">
        <v>57.4</v>
      </c>
      <c r="E302" s="22">
        <v>256.31</v>
      </c>
      <c r="F302" s="22">
        <v>313.70999999999998</v>
      </c>
      <c r="G302" s="22">
        <v>0</v>
      </c>
      <c r="H302" s="22">
        <v>10</v>
      </c>
      <c r="I302" s="22">
        <v>1.08</v>
      </c>
      <c r="J302" s="22">
        <v>28.75</v>
      </c>
      <c r="K302" s="22">
        <v>4.2</v>
      </c>
      <c r="L302" s="22">
        <v>0</v>
      </c>
      <c r="M302" s="388">
        <v>3141.0299999999997</v>
      </c>
      <c r="N302" s="25">
        <v>0.90939999999999999</v>
      </c>
      <c r="O302" s="24">
        <v>3145</v>
      </c>
      <c r="P302" s="24">
        <v>1045</v>
      </c>
      <c r="Q302" s="24">
        <v>595.5</v>
      </c>
      <c r="R302" s="22">
        <v>449.5</v>
      </c>
      <c r="S302" s="24">
        <v>151.25</v>
      </c>
      <c r="T302" s="24">
        <f t="shared" si="16"/>
        <v>1196.25</v>
      </c>
      <c r="U302" s="376">
        <v>2855.51</v>
      </c>
      <c r="V302" s="376">
        <v>157.05000000000001</v>
      </c>
      <c r="W302" s="22">
        <f t="shared" si="17"/>
        <v>2596.8007940000002</v>
      </c>
      <c r="X302" s="22">
        <f t="shared" si="18"/>
        <v>385.25</v>
      </c>
      <c r="Y302" s="22">
        <v>290</v>
      </c>
      <c r="Z302" s="22">
        <v>95.25</v>
      </c>
      <c r="AA302" s="371">
        <v>3067.73</v>
      </c>
      <c r="AB302" s="22">
        <v>0.1255814559951495</v>
      </c>
      <c r="AC302" s="24">
        <v>0</v>
      </c>
      <c r="AD302" s="384">
        <v>0</v>
      </c>
    </row>
    <row r="303" spans="1:30">
      <c r="A303" s="21" t="s">
        <v>125</v>
      </c>
      <c r="B303" s="21" t="s">
        <v>126</v>
      </c>
      <c r="C303" s="23">
        <v>225</v>
      </c>
      <c r="D303" s="147">
        <v>3.09</v>
      </c>
      <c r="E303" s="22">
        <v>54.3</v>
      </c>
      <c r="F303" s="22">
        <v>57.39</v>
      </c>
      <c r="G303" s="22">
        <v>0</v>
      </c>
      <c r="H303" s="22">
        <v>26</v>
      </c>
      <c r="I303" s="22">
        <v>2.0699999999999998</v>
      </c>
      <c r="J303" s="22">
        <v>0</v>
      </c>
      <c r="K303" s="22">
        <v>0</v>
      </c>
      <c r="L303" s="22">
        <v>0</v>
      </c>
      <c r="M303" s="388">
        <v>877.07</v>
      </c>
      <c r="N303" s="25">
        <v>0.85399999999999998</v>
      </c>
      <c r="O303" s="24">
        <v>902</v>
      </c>
      <c r="P303" s="24">
        <v>236.25</v>
      </c>
      <c r="Q303" s="24">
        <v>158.75</v>
      </c>
      <c r="R303" s="22">
        <v>77.5</v>
      </c>
      <c r="S303" s="24">
        <v>53.25</v>
      </c>
      <c r="T303" s="24">
        <f t="shared" si="16"/>
        <v>289.5</v>
      </c>
      <c r="U303" s="376">
        <v>749.02</v>
      </c>
      <c r="V303" s="376">
        <v>43.85</v>
      </c>
      <c r="W303" s="22">
        <f t="shared" si="17"/>
        <v>639.66307999999992</v>
      </c>
      <c r="X303" s="22">
        <f t="shared" si="18"/>
        <v>123.5</v>
      </c>
      <c r="Y303" s="22">
        <v>43.5</v>
      </c>
      <c r="Z303" s="22">
        <v>80</v>
      </c>
      <c r="AA303" s="371">
        <v>887.16</v>
      </c>
      <c r="AB303" s="22">
        <v>0.13920826006582804</v>
      </c>
      <c r="AC303" s="24">
        <v>4.2082600658280289E-3</v>
      </c>
      <c r="AD303" s="384">
        <v>-33365.813691684256</v>
      </c>
    </row>
    <row r="304" spans="1:30">
      <c r="A304" s="21" t="s">
        <v>63</v>
      </c>
      <c r="B304" s="21" t="s">
        <v>64</v>
      </c>
      <c r="C304" s="23">
        <v>780</v>
      </c>
      <c r="D304" s="147">
        <v>43.91</v>
      </c>
      <c r="E304" s="22">
        <v>224.87</v>
      </c>
      <c r="F304" s="22">
        <v>268.77999999999997</v>
      </c>
      <c r="G304" s="22">
        <v>0</v>
      </c>
      <c r="H304" s="22">
        <v>90</v>
      </c>
      <c r="I304" s="22">
        <v>0.7</v>
      </c>
      <c r="J304" s="22">
        <v>108.76</v>
      </c>
      <c r="K304" s="22">
        <v>5.4</v>
      </c>
      <c r="L304" s="22">
        <v>0</v>
      </c>
      <c r="M304" s="388">
        <v>2972.86</v>
      </c>
      <c r="N304" s="25">
        <v>0.34239999999999998</v>
      </c>
      <c r="O304" s="24">
        <v>0</v>
      </c>
      <c r="P304" s="24">
        <v>77.25</v>
      </c>
      <c r="Q304" s="24">
        <v>43.75</v>
      </c>
      <c r="R304" s="22">
        <v>33.5</v>
      </c>
      <c r="S304" s="24">
        <v>11</v>
      </c>
      <c r="T304" s="24">
        <f t="shared" si="16"/>
        <v>88.25</v>
      </c>
      <c r="U304" s="376">
        <v>1017.91</v>
      </c>
      <c r="V304" s="376">
        <v>148.63999999999999</v>
      </c>
      <c r="W304" s="22">
        <f t="shared" si="17"/>
        <v>348.53238399999998</v>
      </c>
      <c r="X304" s="22">
        <f t="shared" si="18"/>
        <v>440.75</v>
      </c>
      <c r="Y304" s="22">
        <v>316.25</v>
      </c>
      <c r="Z304" s="22">
        <v>124.5</v>
      </c>
      <c r="AA304" s="371">
        <v>2943.94</v>
      </c>
      <c r="AB304" s="22">
        <v>0.14971432841701937</v>
      </c>
      <c r="AC304" s="24">
        <v>1.4714328417019362E-2</v>
      </c>
      <c r="AD304" s="384">
        <v>-406647.50704338576</v>
      </c>
    </row>
    <row r="305" spans="1:30">
      <c r="A305" s="21" t="s">
        <v>3</v>
      </c>
      <c r="B305" s="21" t="s">
        <v>4</v>
      </c>
      <c r="C305" s="23">
        <v>23</v>
      </c>
      <c r="D305" s="147">
        <v>2.9</v>
      </c>
      <c r="E305" s="22">
        <v>2.7</v>
      </c>
      <c r="F305" s="22">
        <v>5.6</v>
      </c>
      <c r="G305" s="22">
        <v>0</v>
      </c>
      <c r="H305" s="22">
        <v>0</v>
      </c>
      <c r="I305" s="22">
        <v>0</v>
      </c>
      <c r="J305" s="22">
        <v>0</v>
      </c>
      <c r="K305" s="22">
        <v>0</v>
      </c>
      <c r="L305" s="22">
        <v>0</v>
      </c>
      <c r="M305" s="388">
        <v>63</v>
      </c>
      <c r="N305" s="25">
        <v>0.74390000000000001</v>
      </c>
      <c r="O305" s="24">
        <v>82</v>
      </c>
      <c r="P305" s="24">
        <v>1</v>
      </c>
      <c r="Q305" s="24">
        <v>1</v>
      </c>
      <c r="R305" s="22">
        <v>0</v>
      </c>
      <c r="S305" s="24">
        <v>0</v>
      </c>
      <c r="T305" s="24">
        <f t="shared" si="16"/>
        <v>1</v>
      </c>
      <c r="U305" s="376">
        <v>46.87</v>
      </c>
      <c r="V305" s="376">
        <v>3.15</v>
      </c>
      <c r="W305" s="22">
        <f t="shared" si="17"/>
        <v>34.866593000000002</v>
      </c>
      <c r="X305" s="22">
        <f t="shared" si="18"/>
        <v>5.5</v>
      </c>
      <c r="Y305" s="22">
        <v>5.5</v>
      </c>
      <c r="Z305" s="22">
        <v>0</v>
      </c>
      <c r="AA305" s="371">
        <v>78.12</v>
      </c>
      <c r="AB305" s="22">
        <v>7.040450588837685E-2</v>
      </c>
      <c r="AC305" s="24">
        <v>0</v>
      </c>
      <c r="AD305" s="384">
        <v>0</v>
      </c>
    </row>
    <row r="306" spans="1:30">
      <c r="A306" s="21" t="s">
        <v>99</v>
      </c>
      <c r="B306" s="21" t="s">
        <v>100</v>
      </c>
      <c r="C306" s="23">
        <v>79</v>
      </c>
      <c r="D306" s="147">
        <v>1.39</v>
      </c>
      <c r="E306" s="22">
        <v>13.83</v>
      </c>
      <c r="F306" s="22">
        <v>15.22</v>
      </c>
      <c r="G306" s="22">
        <v>0</v>
      </c>
      <c r="H306" s="22">
        <v>9</v>
      </c>
      <c r="I306" s="22">
        <v>0.17</v>
      </c>
      <c r="J306" s="22">
        <v>0</v>
      </c>
      <c r="K306" s="22">
        <v>0</v>
      </c>
      <c r="L306" s="22">
        <v>0</v>
      </c>
      <c r="M306" s="388">
        <v>273.17</v>
      </c>
      <c r="N306" s="25">
        <v>0.55989999999999995</v>
      </c>
      <c r="O306" s="24">
        <v>255</v>
      </c>
      <c r="P306" s="24">
        <v>14</v>
      </c>
      <c r="Q306" s="24">
        <v>8</v>
      </c>
      <c r="R306" s="22">
        <v>6</v>
      </c>
      <c r="S306" s="24">
        <v>3</v>
      </c>
      <c r="T306" s="24">
        <f t="shared" si="16"/>
        <v>17</v>
      </c>
      <c r="U306" s="376">
        <v>152.94999999999999</v>
      </c>
      <c r="V306" s="376">
        <v>13.66</v>
      </c>
      <c r="W306" s="22">
        <f t="shared" si="17"/>
        <v>85.636704999999992</v>
      </c>
      <c r="X306" s="22">
        <f t="shared" si="18"/>
        <v>43</v>
      </c>
      <c r="Y306" s="22">
        <v>35</v>
      </c>
      <c r="Z306" s="22">
        <v>8</v>
      </c>
      <c r="AA306" s="371">
        <v>258.76</v>
      </c>
      <c r="AB306" s="22">
        <v>0.16617715257381357</v>
      </c>
      <c r="AC306" s="24">
        <v>3.1177152573813566E-2</v>
      </c>
      <c r="AD306" s="384">
        <v>-73123.59293889915</v>
      </c>
    </row>
    <row r="307" spans="1:30">
      <c r="A307" s="21" t="s">
        <v>487</v>
      </c>
      <c r="B307" s="21" t="s">
        <v>488</v>
      </c>
      <c r="C307" s="23">
        <v>134</v>
      </c>
      <c r="D307" s="147">
        <v>0</v>
      </c>
      <c r="E307" s="22">
        <v>6.6</v>
      </c>
      <c r="F307" s="22">
        <v>6.6</v>
      </c>
      <c r="G307" s="22">
        <v>0</v>
      </c>
      <c r="H307" s="22">
        <v>1</v>
      </c>
      <c r="I307" s="22">
        <v>0.08</v>
      </c>
      <c r="J307" s="22">
        <v>0</v>
      </c>
      <c r="K307" s="22">
        <v>21.6</v>
      </c>
      <c r="L307" s="22">
        <v>0</v>
      </c>
      <c r="M307" s="388">
        <v>453.68</v>
      </c>
      <c r="N307" s="25">
        <v>0.8992</v>
      </c>
      <c r="O307" s="24">
        <v>397</v>
      </c>
      <c r="P307" s="24">
        <v>0</v>
      </c>
      <c r="Q307" s="24">
        <v>0</v>
      </c>
      <c r="R307" s="22">
        <v>0</v>
      </c>
      <c r="S307" s="24">
        <v>0</v>
      </c>
      <c r="T307" s="24">
        <f t="shared" si="16"/>
        <v>0</v>
      </c>
      <c r="U307" s="376">
        <v>407.95</v>
      </c>
      <c r="V307" s="376">
        <v>22.68</v>
      </c>
      <c r="W307" s="22">
        <f t="shared" si="17"/>
        <v>366.82864000000001</v>
      </c>
      <c r="X307" s="22">
        <f t="shared" si="18"/>
        <v>63.25</v>
      </c>
      <c r="Y307" s="22">
        <v>54.75</v>
      </c>
      <c r="Z307" s="22">
        <v>8.5</v>
      </c>
      <c r="AA307" s="371">
        <v>390.86</v>
      </c>
      <c r="AB307" s="22">
        <v>0.16182264749526684</v>
      </c>
      <c r="AC307" s="24">
        <v>2.6822647495266833E-2</v>
      </c>
      <c r="AD307" s="384">
        <v>-95207.707906389012</v>
      </c>
    </row>
    <row r="308" spans="1:30">
      <c r="A308" s="21" t="s">
        <v>41</v>
      </c>
      <c r="B308" s="21" t="s">
        <v>42</v>
      </c>
      <c r="C308" s="23">
        <v>1832</v>
      </c>
      <c r="D308" s="147">
        <v>166.8</v>
      </c>
      <c r="E308" s="22">
        <v>535.94000000000005</v>
      </c>
      <c r="F308" s="22">
        <v>702.74</v>
      </c>
      <c r="G308" s="22">
        <v>198.04</v>
      </c>
      <c r="H308" s="22">
        <v>236</v>
      </c>
      <c r="I308" s="22">
        <v>15</v>
      </c>
      <c r="J308" s="22">
        <v>431.81000000000006</v>
      </c>
      <c r="K308" s="22">
        <v>49.66</v>
      </c>
      <c r="L308" s="22">
        <v>0</v>
      </c>
      <c r="M308" s="388">
        <v>7081.47</v>
      </c>
      <c r="N308" s="25">
        <v>0.58699999999999997</v>
      </c>
      <c r="O308" s="24">
        <v>6253</v>
      </c>
      <c r="P308" s="24">
        <v>1567.5</v>
      </c>
      <c r="Q308" s="24">
        <v>997</v>
      </c>
      <c r="R308" s="22">
        <v>570.5</v>
      </c>
      <c r="S308" s="24">
        <v>366.75</v>
      </c>
      <c r="T308" s="24">
        <f t="shared" si="16"/>
        <v>1934.25</v>
      </c>
      <c r="U308" s="376">
        <v>4156.82</v>
      </c>
      <c r="V308" s="376">
        <v>0</v>
      </c>
      <c r="W308" s="22">
        <f t="shared" si="17"/>
        <v>2440.0533399999995</v>
      </c>
      <c r="X308" s="22">
        <f t="shared" si="18"/>
        <v>947.25</v>
      </c>
      <c r="Y308" s="22">
        <v>754.5</v>
      </c>
      <c r="Z308" s="22">
        <v>192.75</v>
      </c>
      <c r="AA308" s="371">
        <v>7239.14</v>
      </c>
      <c r="AB308" s="22">
        <v>0.13085117845489933</v>
      </c>
      <c r="AC308" s="24">
        <v>0</v>
      </c>
      <c r="AD308" s="384">
        <v>0</v>
      </c>
    </row>
    <row r="309" spans="1:30">
      <c r="A309" s="21" t="s">
        <v>473</v>
      </c>
      <c r="B309" s="21" t="s">
        <v>474</v>
      </c>
      <c r="C309" s="23">
        <v>787</v>
      </c>
      <c r="D309" s="147">
        <v>82.08</v>
      </c>
      <c r="E309" s="22">
        <v>205.38</v>
      </c>
      <c r="F309" s="22">
        <v>287.45999999999998</v>
      </c>
      <c r="G309" s="22">
        <v>0</v>
      </c>
      <c r="H309" s="22">
        <v>78</v>
      </c>
      <c r="I309" s="22">
        <v>1.77</v>
      </c>
      <c r="J309" s="22">
        <v>721.08</v>
      </c>
      <c r="K309" s="22">
        <v>2.2000000000000002</v>
      </c>
      <c r="L309" s="22">
        <v>0</v>
      </c>
      <c r="M309" s="388">
        <v>3513.0499999999997</v>
      </c>
      <c r="N309" s="25">
        <v>0.52390000000000003</v>
      </c>
      <c r="O309" s="24">
        <v>1839</v>
      </c>
      <c r="P309" s="24">
        <v>102.25</v>
      </c>
      <c r="Q309" s="24">
        <v>60.25</v>
      </c>
      <c r="R309" s="22">
        <v>42</v>
      </c>
      <c r="S309" s="24">
        <v>13.75</v>
      </c>
      <c r="T309" s="24">
        <f t="shared" si="16"/>
        <v>116</v>
      </c>
      <c r="U309" s="376">
        <v>1840.49</v>
      </c>
      <c r="V309" s="376">
        <v>175.65</v>
      </c>
      <c r="W309" s="22">
        <f t="shared" si="17"/>
        <v>964.23271100000011</v>
      </c>
      <c r="X309" s="22">
        <f t="shared" si="18"/>
        <v>396.25</v>
      </c>
      <c r="Y309" s="22">
        <v>314.25</v>
      </c>
      <c r="Z309" s="22">
        <v>82</v>
      </c>
      <c r="AA309" s="371">
        <v>3195.2</v>
      </c>
      <c r="AB309" s="22">
        <v>0.12401414621932901</v>
      </c>
      <c r="AC309" s="24">
        <v>0</v>
      </c>
      <c r="AD309" s="384">
        <v>0</v>
      </c>
    </row>
    <row r="310" spans="1:30">
      <c r="A310" s="21" t="s">
        <v>607</v>
      </c>
      <c r="B310" s="21" t="s">
        <v>608</v>
      </c>
      <c r="C310" s="23">
        <v>1575</v>
      </c>
      <c r="D310" s="147">
        <v>281.89999999999998</v>
      </c>
      <c r="E310" s="22">
        <v>310.18</v>
      </c>
      <c r="F310" s="22">
        <v>592.07999999999993</v>
      </c>
      <c r="G310" s="22">
        <v>0</v>
      </c>
      <c r="H310" s="22">
        <v>122</v>
      </c>
      <c r="I310" s="22">
        <v>8.6199999999999992</v>
      </c>
      <c r="J310" s="22">
        <v>174.32</v>
      </c>
      <c r="K310" s="22">
        <v>5.6</v>
      </c>
      <c r="L310" s="22">
        <v>0</v>
      </c>
      <c r="M310" s="388">
        <v>5357.54</v>
      </c>
      <c r="N310" s="25">
        <v>0.46389999999999998</v>
      </c>
      <c r="O310" s="24">
        <v>1540</v>
      </c>
      <c r="P310" s="24">
        <v>422</v>
      </c>
      <c r="Q310" s="24">
        <v>299.75</v>
      </c>
      <c r="R310" s="22">
        <v>122.25</v>
      </c>
      <c r="S310" s="24">
        <v>76</v>
      </c>
      <c r="T310" s="24">
        <f t="shared" si="16"/>
        <v>498</v>
      </c>
      <c r="U310" s="376">
        <v>2477.86</v>
      </c>
      <c r="V310" s="376">
        <v>267.88</v>
      </c>
      <c r="W310" s="22">
        <f t="shared" si="17"/>
        <v>1149.4792540000001</v>
      </c>
      <c r="X310" s="22">
        <f t="shared" si="18"/>
        <v>714.25</v>
      </c>
      <c r="Y310" s="22">
        <v>484.5</v>
      </c>
      <c r="Z310" s="22">
        <v>229.75</v>
      </c>
      <c r="AA310" s="371">
        <v>5262.89</v>
      </c>
      <c r="AB310" s="22">
        <v>0.13571440786336023</v>
      </c>
      <c r="AC310" s="24">
        <v>7.1440786336021689E-4</v>
      </c>
      <c r="AD310" s="384">
        <v>-34794.761772631413</v>
      </c>
    </row>
    <row r="311" spans="1:30">
      <c r="A311" s="21" t="s">
        <v>1253</v>
      </c>
      <c r="B311" s="21" t="s">
        <v>1254</v>
      </c>
      <c r="C311" s="23">
        <v>0</v>
      </c>
      <c r="D311" s="147">
        <v>0</v>
      </c>
      <c r="E311" s="22">
        <v>0</v>
      </c>
      <c r="F311" s="22">
        <v>0</v>
      </c>
      <c r="G311" s="22">
        <v>0</v>
      </c>
      <c r="H311" s="22">
        <v>0</v>
      </c>
      <c r="I311" s="22">
        <v>0</v>
      </c>
      <c r="J311" s="22">
        <v>0</v>
      </c>
      <c r="K311" s="22">
        <v>0</v>
      </c>
      <c r="L311" s="22">
        <v>0</v>
      </c>
      <c r="M311" s="388">
        <v>80</v>
      </c>
      <c r="N311" s="25">
        <v>0.60419999999999996</v>
      </c>
      <c r="O311" s="24">
        <v>48</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78</v>
      </c>
      <c r="D312" s="147">
        <v>0.13</v>
      </c>
      <c r="E312" s="22">
        <v>18.62</v>
      </c>
      <c r="F312" s="22">
        <v>18.75</v>
      </c>
      <c r="G312" s="22">
        <v>0</v>
      </c>
      <c r="H312" s="22">
        <v>9</v>
      </c>
      <c r="I312" s="22">
        <v>0.92</v>
      </c>
      <c r="J312" s="22">
        <v>18.54</v>
      </c>
      <c r="K312" s="22">
        <v>0</v>
      </c>
      <c r="L312" s="22">
        <v>0</v>
      </c>
      <c r="M312" s="388">
        <v>328.46000000000004</v>
      </c>
      <c r="N312" s="25">
        <v>0.69669999999999999</v>
      </c>
      <c r="O312" s="24">
        <v>333</v>
      </c>
      <c r="P312" s="24">
        <v>0</v>
      </c>
      <c r="Q312" s="24">
        <v>0</v>
      </c>
      <c r="R312" s="22">
        <v>0</v>
      </c>
      <c r="S312" s="24">
        <v>0</v>
      </c>
      <c r="T312" s="24">
        <f t="shared" si="16"/>
        <v>0</v>
      </c>
      <c r="U312" s="376">
        <v>228.84</v>
      </c>
      <c r="V312" s="376">
        <v>16.420000000000002</v>
      </c>
      <c r="W312" s="22">
        <f t="shared" si="17"/>
        <v>159.432828</v>
      </c>
      <c r="X312" s="22">
        <f t="shared" si="18"/>
        <v>60.5</v>
      </c>
      <c r="Y312" s="22">
        <v>40</v>
      </c>
      <c r="Z312" s="22">
        <v>20.5</v>
      </c>
      <c r="AA312" s="371">
        <v>324.11</v>
      </c>
      <c r="AB312" s="22">
        <v>0.18666502113479991</v>
      </c>
      <c r="AC312" s="24">
        <v>5.1665021134799899E-2</v>
      </c>
      <c r="AD312" s="384">
        <v>-149665.00026269606</v>
      </c>
    </row>
    <row r="313" spans="1:30">
      <c r="A313" s="21" t="s">
        <v>387</v>
      </c>
      <c r="B313" s="21" t="s">
        <v>388</v>
      </c>
      <c r="C313" s="23">
        <v>1227</v>
      </c>
      <c r="D313" s="147">
        <v>33.08</v>
      </c>
      <c r="E313" s="22">
        <v>290.43</v>
      </c>
      <c r="F313" s="22">
        <v>323.51</v>
      </c>
      <c r="G313" s="22">
        <v>0</v>
      </c>
      <c r="H313" s="22">
        <v>120</v>
      </c>
      <c r="I313" s="22">
        <v>6.32</v>
      </c>
      <c r="J313" s="22">
        <v>46.8</v>
      </c>
      <c r="K313" s="22">
        <v>30.8</v>
      </c>
      <c r="L313" s="22">
        <v>0</v>
      </c>
      <c r="M313" s="388">
        <v>4100.92</v>
      </c>
      <c r="N313" s="25">
        <v>0.29680000000000001</v>
      </c>
      <c r="O313" s="24">
        <v>27</v>
      </c>
      <c r="P313" s="24">
        <v>120.5</v>
      </c>
      <c r="Q313" s="24">
        <v>89.5</v>
      </c>
      <c r="R313" s="22">
        <v>31</v>
      </c>
      <c r="S313" s="24">
        <v>37</v>
      </c>
      <c r="T313" s="24">
        <f t="shared" si="16"/>
        <v>157.5</v>
      </c>
      <c r="U313" s="376">
        <v>1217.1500000000001</v>
      </c>
      <c r="V313" s="376">
        <v>0</v>
      </c>
      <c r="W313" s="22">
        <f t="shared" si="17"/>
        <v>361.25012000000004</v>
      </c>
      <c r="X313" s="22">
        <f t="shared" si="18"/>
        <v>566</v>
      </c>
      <c r="Y313" s="22">
        <v>341</v>
      </c>
      <c r="Z313" s="22">
        <v>225</v>
      </c>
      <c r="AA313" s="371">
        <v>4168.96</v>
      </c>
      <c r="AB313" s="22">
        <v>0.13576527479275408</v>
      </c>
      <c r="AC313" s="24">
        <v>7.6527479275406707E-4</v>
      </c>
      <c r="AD313" s="384">
        <v>-30154.031288297374</v>
      </c>
    </row>
    <row r="314" spans="1:30">
      <c r="A314" s="21" t="s">
        <v>267</v>
      </c>
      <c r="B314" s="21" t="s">
        <v>268</v>
      </c>
      <c r="C314" s="23">
        <v>312</v>
      </c>
      <c r="D314" s="147">
        <v>0</v>
      </c>
      <c r="E314" s="22">
        <v>57.92</v>
      </c>
      <c r="F314" s="22">
        <v>57.92</v>
      </c>
      <c r="G314" s="22">
        <v>0</v>
      </c>
      <c r="H314" s="22">
        <v>26</v>
      </c>
      <c r="I314" s="22">
        <v>0.05</v>
      </c>
      <c r="J314" s="22">
        <v>18.05</v>
      </c>
      <c r="K314" s="22">
        <v>0</v>
      </c>
      <c r="L314" s="22">
        <v>0</v>
      </c>
      <c r="M314" s="388">
        <v>1156.0999999999999</v>
      </c>
      <c r="N314" s="25">
        <v>0.43130000000000002</v>
      </c>
      <c r="O314" s="24">
        <v>18</v>
      </c>
      <c r="P314" s="24">
        <v>181.75</v>
      </c>
      <c r="Q314" s="24">
        <v>107.25</v>
      </c>
      <c r="R314" s="22">
        <v>74.5</v>
      </c>
      <c r="S314" s="24">
        <v>19.75</v>
      </c>
      <c r="T314" s="24">
        <f t="shared" si="16"/>
        <v>201.5</v>
      </c>
      <c r="U314" s="376">
        <v>499.2</v>
      </c>
      <c r="V314" s="376">
        <v>57.81</v>
      </c>
      <c r="W314" s="22">
        <f t="shared" si="17"/>
        <v>215.30495999999999</v>
      </c>
      <c r="X314" s="22">
        <f t="shared" si="18"/>
        <v>144.25</v>
      </c>
      <c r="Y314" s="22">
        <v>101.25</v>
      </c>
      <c r="Z314" s="22">
        <v>43</v>
      </c>
      <c r="AA314" s="371">
        <v>1106.8599999999999</v>
      </c>
      <c r="AB314" s="22">
        <v>0.13032361816309201</v>
      </c>
      <c r="AC314" s="24">
        <v>0</v>
      </c>
      <c r="AD314" s="384">
        <v>0</v>
      </c>
    </row>
    <row r="315" spans="1:30">
      <c r="A315" s="21" t="s">
        <v>307</v>
      </c>
      <c r="B315" s="21" t="s">
        <v>308</v>
      </c>
      <c r="C315" s="23">
        <v>53</v>
      </c>
      <c r="D315" s="147">
        <v>6.11</v>
      </c>
      <c r="E315" s="22">
        <v>15.33</v>
      </c>
      <c r="F315" s="22">
        <v>21.44</v>
      </c>
      <c r="G315" s="22">
        <v>0</v>
      </c>
      <c r="H315" s="22">
        <v>0</v>
      </c>
      <c r="I315" s="22">
        <v>0</v>
      </c>
      <c r="J315" s="22">
        <v>0</v>
      </c>
      <c r="K315" s="22">
        <v>0</v>
      </c>
      <c r="L315" s="22">
        <v>0</v>
      </c>
      <c r="M315" s="388">
        <v>195</v>
      </c>
      <c r="N315" s="25">
        <v>0.44269999999999998</v>
      </c>
      <c r="O315" s="24">
        <v>0</v>
      </c>
      <c r="P315" s="24">
        <v>0</v>
      </c>
      <c r="Q315" s="24">
        <v>0</v>
      </c>
      <c r="R315" s="22">
        <v>0</v>
      </c>
      <c r="S315" s="24">
        <v>0</v>
      </c>
      <c r="T315" s="24">
        <f t="shared" si="16"/>
        <v>0</v>
      </c>
      <c r="U315" s="376">
        <v>86.33</v>
      </c>
      <c r="V315" s="376">
        <v>9.75</v>
      </c>
      <c r="W315" s="22">
        <f t="shared" si="17"/>
        <v>38.218291000000001</v>
      </c>
      <c r="X315" s="22">
        <f t="shared" si="18"/>
        <v>40.25</v>
      </c>
      <c r="Y315" s="22">
        <v>30</v>
      </c>
      <c r="Z315" s="22">
        <v>10.25</v>
      </c>
      <c r="AA315" s="371">
        <v>220.11</v>
      </c>
      <c r="AB315" s="22">
        <v>0.18286311389759666</v>
      </c>
      <c r="AC315" s="24">
        <v>4.7863113897596649E-2</v>
      </c>
      <c r="AD315" s="384">
        <v>-95495.586084906812</v>
      </c>
    </row>
    <row r="316" spans="1:30">
      <c r="A316" s="21" t="s">
        <v>351</v>
      </c>
      <c r="B316" s="21" t="s">
        <v>352</v>
      </c>
      <c r="C316" s="23">
        <v>94</v>
      </c>
      <c r="D316" s="147">
        <v>6.34</v>
      </c>
      <c r="E316" s="22">
        <v>24.41</v>
      </c>
      <c r="F316" s="22">
        <v>30.75</v>
      </c>
      <c r="G316" s="22">
        <v>0</v>
      </c>
      <c r="H316" s="22">
        <v>14</v>
      </c>
      <c r="I316" s="22">
        <v>0</v>
      </c>
      <c r="J316" s="22">
        <v>0</v>
      </c>
      <c r="K316" s="22">
        <v>0</v>
      </c>
      <c r="L316" s="22">
        <v>0</v>
      </c>
      <c r="M316" s="388">
        <v>343</v>
      </c>
      <c r="N316" s="25">
        <v>0.41570000000000001</v>
      </c>
      <c r="O316" s="24">
        <v>0</v>
      </c>
      <c r="P316" s="24">
        <v>8</v>
      </c>
      <c r="Q316" s="24">
        <v>7</v>
      </c>
      <c r="R316" s="22">
        <v>1</v>
      </c>
      <c r="S316" s="24">
        <v>1</v>
      </c>
      <c r="T316" s="24">
        <f t="shared" si="16"/>
        <v>9</v>
      </c>
      <c r="U316" s="376">
        <v>142.59</v>
      </c>
      <c r="V316" s="376">
        <v>17.149999999999999</v>
      </c>
      <c r="W316" s="22">
        <f t="shared" si="17"/>
        <v>59.274663000000004</v>
      </c>
      <c r="X316" s="22">
        <f t="shared" si="18"/>
        <v>41</v>
      </c>
      <c r="Y316" s="22">
        <v>23.25</v>
      </c>
      <c r="Z316" s="22">
        <v>17.75</v>
      </c>
      <c r="AA316" s="371">
        <v>358.75</v>
      </c>
      <c r="AB316" s="22">
        <v>0.11428571428571428</v>
      </c>
      <c r="AC316" s="24">
        <v>0</v>
      </c>
      <c r="AD316" s="384">
        <v>0</v>
      </c>
    </row>
    <row r="317" spans="1:30">
      <c r="A317" s="21" t="s">
        <v>137</v>
      </c>
      <c r="B317" s="21" t="s">
        <v>138</v>
      </c>
      <c r="C317" s="23">
        <v>45</v>
      </c>
      <c r="D317" s="147">
        <v>3.05</v>
      </c>
      <c r="E317" s="22">
        <v>10.56</v>
      </c>
      <c r="F317" s="22">
        <v>13.61</v>
      </c>
      <c r="G317" s="22">
        <v>0</v>
      </c>
      <c r="H317" s="22">
        <v>3</v>
      </c>
      <c r="I317" s="22">
        <v>0.5</v>
      </c>
      <c r="J317" s="22">
        <v>0</v>
      </c>
      <c r="K317" s="22">
        <v>0</v>
      </c>
      <c r="L317" s="22">
        <v>0</v>
      </c>
      <c r="M317" s="388">
        <v>135.5</v>
      </c>
      <c r="N317" s="25">
        <v>0.66439999999999999</v>
      </c>
      <c r="O317" s="24">
        <v>118</v>
      </c>
      <c r="P317" s="24">
        <v>2.25</v>
      </c>
      <c r="Q317" s="24">
        <v>1</v>
      </c>
      <c r="R317" s="22">
        <v>1.25</v>
      </c>
      <c r="S317" s="24">
        <v>0.75</v>
      </c>
      <c r="T317" s="24">
        <f t="shared" si="16"/>
        <v>3</v>
      </c>
      <c r="U317" s="376">
        <v>90.03</v>
      </c>
      <c r="V317" s="376">
        <v>6.78</v>
      </c>
      <c r="W317" s="22">
        <f t="shared" si="17"/>
        <v>59.815931999999997</v>
      </c>
      <c r="X317" s="22">
        <f t="shared" si="18"/>
        <v>15.5</v>
      </c>
      <c r="Y317" s="22">
        <v>14.5</v>
      </c>
      <c r="Z317" s="22">
        <v>1</v>
      </c>
      <c r="AA317" s="371">
        <v>114.57</v>
      </c>
      <c r="AB317" s="22">
        <v>0.13528846993104654</v>
      </c>
      <c r="AC317" s="24">
        <v>2.8846993104653107E-4</v>
      </c>
      <c r="AD317" s="384">
        <v>-310.13796873094452</v>
      </c>
    </row>
    <row r="318" spans="1:30">
      <c r="A318" s="21" t="s">
        <v>281</v>
      </c>
      <c r="B318" s="21" t="s">
        <v>282</v>
      </c>
      <c r="C318" s="23">
        <v>225</v>
      </c>
      <c r="D318" s="147">
        <v>8.86</v>
      </c>
      <c r="E318" s="22">
        <v>48.29</v>
      </c>
      <c r="F318" s="22">
        <v>57.15</v>
      </c>
      <c r="G318" s="22">
        <v>0</v>
      </c>
      <c r="H318" s="22">
        <v>10</v>
      </c>
      <c r="I318" s="22">
        <v>0.33</v>
      </c>
      <c r="J318" s="22">
        <v>0</v>
      </c>
      <c r="K318" s="22">
        <v>2</v>
      </c>
      <c r="L318" s="22">
        <v>0</v>
      </c>
      <c r="M318" s="388">
        <v>748.33</v>
      </c>
      <c r="N318" s="25">
        <v>0.91100000000000003</v>
      </c>
      <c r="O318" s="24">
        <v>736</v>
      </c>
      <c r="P318" s="24">
        <v>41</v>
      </c>
      <c r="Q318" s="24">
        <v>22.25</v>
      </c>
      <c r="R318" s="22">
        <v>18.75</v>
      </c>
      <c r="S318" s="24">
        <v>7.25</v>
      </c>
      <c r="T318" s="24">
        <f t="shared" si="16"/>
        <v>48.25</v>
      </c>
      <c r="U318" s="376">
        <v>681.73</v>
      </c>
      <c r="V318" s="376">
        <v>37.42</v>
      </c>
      <c r="W318" s="22">
        <f t="shared" si="17"/>
        <v>621.05603000000008</v>
      </c>
      <c r="X318" s="22">
        <f t="shared" si="18"/>
        <v>115</v>
      </c>
      <c r="Y318" s="22">
        <v>63</v>
      </c>
      <c r="Z318" s="22">
        <v>52</v>
      </c>
      <c r="AA318" s="371">
        <v>731.32</v>
      </c>
      <c r="AB318" s="22">
        <v>0.15724990428266694</v>
      </c>
      <c r="AC318" s="24">
        <v>2.2249904282666932E-2</v>
      </c>
      <c r="AD318" s="384">
        <v>-150418.66366161659</v>
      </c>
    </row>
    <row r="319" spans="1:30">
      <c r="A319" s="21" t="s">
        <v>161</v>
      </c>
      <c r="B319" s="21" t="s">
        <v>162</v>
      </c>
      <c r="C319" s="23">
        <v>35</v>
      </c>
      <c r="D319" s="147">
        <v>4.26</v>
      </c>
      <c r="E319" s="22">
        <v>6.81</v>
      </c>
      <c r="F319" s="22">
        <v>11.07</v>
      </c>
      <c r="G319" s="22">
        <v>0</v>
      </c>
      <c r="H319" s="22">
        <v>0</v>
      </c>
      <c r="I319" s="22">
        <v>0</v>
      </c>
      <c r="J319" s="22">
        <v>0</v>
      </c>
      <c r="K319" s="22">
        <v>0</v>
      </c>
      <c r="L319" s="22">
        <v>0</v>
      </c>
      <c r="M319" s="388">
        <v>140</v>
      </c>
      <c r="N319" s="25">
        <v>0.6774</v>
      </c>
      <c r="O319" s="24">
        <v>155</v>
      </c>
      <c r="P319" s="24">
        <v>0</v>
      </c>
      <c r="Q319" s="24">
        <v>0</v>
      </c>
      <c r="R319" s="22">
        <v>0</v>
      </c>
      <c r="S319" s="24">
        <v>0</v>
      </c>
      <c r="T319" s="24">
        <f t="shared" si="16"/>
        <v>0</v>
      </c>
      <c r="U319" s="376">
        <v>94.84</v>
      </c>
      <c r="V319" s="376">
        <v>0</v>
      </c>
      <c r="W319" s="22">
        <f t="shared" si="17"/>
        <v>64.244616000000008</v>
      </c>
      <c r="X319" s="22">
        <f t="shared" si="18"/>
        <v>18.5</v>
      </c>
      <c r="Y319" s="22">
        <v>15.5</v>
      </c>
      <c r="Z319" s="22">
        <v>3</v>
      </c>
      <c r="AA319" s="371">
        <v>156.47999999999999</v>
      </c>
      <c r="AB319" s="22">
        <v>0.11822597137014315</v>
      </c>
      <c r="AC319" s="24">
        <v>0</v>
      </c>
      <c r="AD319" s="384">
        <v>0</v>
      </c>
    </row>
    <row r="320" spans="1:30">
      <c r="A320" s="21" t="s">
        <v>251</v>
      </c>
      <c r="B320" s="21" t="s">
        <v>252</v>
      </c>
      <c r="C320" s="23">
        <v>16.399999999999999</v>
      </c>
      <c r="D320" s="147">
        <v>0</v>
      </c>
      <c r="E320" s="22">
        <v>2.59</v>
      </c>
      <c r="F320" s="22">
        <v>2.59</v>
      </c>
      <c r="G320" s="22">
        <v>0</v>
      </c>
      <c r="H320" s="22">
        <v>3</v>
      </c>
      <c r="I320" s="22">
        <v>0.08</v>
      </c>
      <c r="J320" s="22">
        <v>0</v>
      </c>
      <c r="K320" s="22">
        <v>0</v>
      </c>
      <c r="L320" s="22">
        <v>0</v>
      </c>
      <c r="M320" s="388">
        <v>71.77</v>
      </c>
      <c r="N320" s="25">
        <v>0.91379999999999995</v>
      </c>
      <c r="O320" s="24">
        <v>58</v>
      </c>
      <c r="P320" s="24">
        <v>0</v>
      </c>
      <c r="Q320" s="24">
        <v>0</v>
      </c>
      <c r="R320" s="22">
        <v>0</v>
      </c>
      <c r="S320" s="24">
        <v>0</v>
      </c>
      <c r="T320" s="24">
        <f t="shared" si="16"/>
        <v>0</v>
      </c>
      <c r="U320" s="376">
        <v>65.58</v>
      </c>
      <c r="V320" s="376">
        <v>0</v>
      </c>
      <c r="W320" s="22">
        <f t="shared" si="17"/>
        <v>59.927003999999997</v>
      </c>
      <c r="X320" s="22">
        <f t="shared" si="18"/>
        <v>5.5</v>
      </c>
      <c r="Y320" s="22">
        <v>5.5</v>
      </c>
      <c r="Z320" s="22">
        <v>0</v>
      </c>
      <c r="AA320" s="371">
        <v>60.23</v>
      </c>
      <c r="AB320" s="22">
        <v>9.1316619624771708E-2</v>
      </c>
      <c r="AC320" s="24">
        <v>0</v>
      </c>
      <c r="AD320" s="384">
        <v>0</v>
      </c>
    </row>
    <row r="321" spans="1:30">
      <c r="A321" s="21" t="s">
        <v>85</v>
      </c>
      <c r="B321" s="21" t="s">
        <v>86</v>
      </c>
      <c r="C321" s="23">
        <v>695</v>
      </c>
      <c r="D321" s="147">
        <v>3.34</v>
      </c>
      <c r="E321" s="22">
        <v>83.07</v>
      </c>
      <c r="F321" s="22">
        <v>86.41</v>
      </c>
      <c r="G321" s="22">
        <v>0</v>
      </c>
      <c r="H321" s="22">
        <v>61</v>
      </c>
      <c r="I321" s="22">
        <v>1.1200000000000001</v>
      </c>
      <c r="J321" s="22">
        <v>183.03</v>
      </c>
      <c r="K321" s="22">
        <v>1.8</v>
      </c>
      <c r="L321" s="22">
        <v>0</v>
      </c>
      <c r="M321" s="388">
        <v>2492.9500000000003</v>
      </c>
      <c r="N321" s="25">
        <v>0.47249999999999998</v>
      </c>
      <c r="O321" s="24">
        <v>499</v>
      </c>
      <c r="P321" s="24">
        <v>208.75</v>
      </c>
      <c r="Q321" s="24">
        <v>145.5</v>
      </c>
      <c r="R321" s="22">
        <v>63.25</v>
      </c>
      <c r="S321" s="24">
        <v>26</v>
      </c>
      <c r="T321" s="24">
        <f t="shared" si="16"/>
        <v>234.75</v>
      </c>
      <c r="U321" s="376">
        <v>1177.92</v>
      </c>
      <c r="V321" s="376">
        <v>124.65</v>
      </c>
      <c r="W321" s="22">
        <f t="shared" si="17"/>
        <v>556.56719999999996</v>
      </c>
      <c r="X321" s="22">
        <f t="shared" si="18"/>
        <v>318.75</v>
      </c>
      <c r="Y321" s="22">
        <v>186.25</v>
      </c>
      <c r="Z321" s="22">
        <v>132.5</v>
      </c>
      <c r="AA321" s="371">
        <v>2375.35</v>
      </c>
      <c r="AB321" s="22">
        <v>0.1341907508367188</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130.4</v>
      </c>
      <c r="N322" s="25">
        <v>0</v>
      </c>
      <c r="O322" s="24">
        <v>0</v>
      </c>
      <c r="P322" s="24">
        <v>0</v>
      </c>
      <c r="Q322" s="24">
        <v>0</v>
      </c>
      <c r="R322" s="22">
        <v>0</v>
      </c>
      <c r="S322" s="24">
        <v>0</v>
      </c>
      <c r="T322" s="24">
        <f t="shared" si="16"/>
        <v>0</v>
      </c>
      <c r="U322" s="376">
        <v>0</v>
      </c>
      <c r="V322" s="376">
        <v>0</v>
      </c>
      <c r="W322" s="22">
        <f t="shared" si="17"/>
        <v>0</v>
      </c>
      <c r="X322" s="22">
        <f t="shared" si="18"/>
        <v>17.5</v>
      </c>
      <c r="Y322" s="22">
        <v>16.5</v>
      </c>
      <c r="Z322" s="22">
        <v>1</v>
      </c>
      <c r="AA322" s="371">
        <v>130.4</v>
      </c>
      <c r="AB322" s="22">
        <v>0.13420245398773006</v>
      </c>
      <c r="AC322" s="24">
        <v>0</v>
      </c>
      <c r="AD322" s="384">
        <v>0</v>
      </c>
    </row>
    <row r="323" spans="1:30">
      <c r="A323" s="21" t="s">
        <v>585</v>
      </c>
      <c r="B323" s="21" t="s">
        <v>586</v>
      </c>
      <c r="C323" s="23">
        <v>4401</v>
      </c>
      <c r="D323" s="147">
        <v>268.20999999999998</v>
      </c>
      <c r="E323" s="22">
        <v>1066.55</v>
      </c>
      <c r="F323" s="22">
        <v>1334.76</v>
      </c>
      <c r="G323" s="22">
        <v>448.28</v>
      </c>
      <c r="H323" s="22">
        <v>160</v>
      </c>
      <c r="I323" s="22">
        <v>15.38</v>
      </c>
      <c r="J323" s="22">
        <v>355.47</v>
      </c>
      <c r="K323" s="22">
        <v>46.8</v>
      </c>
      <c r="L323" s="22">
        <v>0</v>
      </c>
      <c r="M323" s="388">
        <v>15908.649999999998</v>
      </c>
      <c r="N323" s="25">
        <v>0.8538</v>
      </c>
      <c r="O323" s="24">
        <v>15742</v>
      </c>
      <c r="P323" s="24">
        <v>4603.25</v>
      </c>
      <c r="Q323" s="24">
        <v>2883</v>
      </c>
      <c r="R323" s="22">
        <v>1720.25</v>
      </c>
      <c r="S323" s="24">
        <v>690.5</v>
      </c>
      <c r="T323" s="24">
        <f t="shared" si="16"/>
        <v>5293.75</v>
      </c>
      <c r="U323" s="376">
        <v>13582.81</v>
      </c>
      <c r="V323" s="376">
        <v>795.43</v>
      </c>
      <c r="W323" s="22">
        <f t="shared" si="17"/>
        <v>11597.003177999999</v>
      </c>
      <c r="X323" s="22">
        <f t="shared" si="18"/>
        <v>1933</v>
      </c>
      <c r="Y323" s="22">
        <v>1052.25</v>
      </c>
      <c r="Z323" s="22">
        <v>880.75</v>
      </c>
      <c r="AA323" s="371">
        <v>15340.83</v>
      </c>
      <c r="AB323" s="22">
        <v>0.12600361258158782</v>
      </c>
      <c r="AC323" s="24">
        <v>0</v>
      </c>
      <c r="AD323" s="384">
        <v>0</v>
      </c>
    </row>
    <row r="324" spans="1:30">
      <c r="A324" s="21" t="s">
        <v>507</v>
      </c>
      <c r="B324" s="21" t="s">
        <v>508</v>
      </c>
      <c r="C324" s="23">
        <v>1737</v>
      </c>
      <c r="D324" s="147">
        <v>35.25</v>
      </c>
      <c r="E324" s="22">
        <v>404.5</v>
      </c>
      <c r="F324" s="22">
        <v>439.75</v>
      </c>
      <c r="G324" s="22">
        <v>0</v>
      </c>
      <c r="H324" s="22">
        <v>125</v>
      </c>
      <c r="I324" s="22">
        <v>12.78</v>
      </c>
      <c r="J324" s="22">
        <v>80.69</v>
      </c>
      <c r="K324" s="22">
        <v>17.8</v>
      </c>
      <c r="L324" s="22">
        <v>0</v>
      </c>
      <c r="M324" s="388">
        <v>5649.2699999999995</v>
      </c>
      <c r="N324" s="25">
        <v>0.46560000000000001</v>
      </c>
      <c r="O324" s="24">
        <v>523</v>
      </c>
      <c r="P324" s="24">
        <v>182.25</v>
      </c>
      <c r="Q324" s="24">
        <v>108.5</v>
      </c>
      <c r="R324" s="22">
        <v>73.75</v>
      </c>
      <c r="S324" s="24">
        <v>19.5</v>
      </c>
      <c r="T324" s="24">
        <f t="shared" si="16"/>
        <v>201.75</v>
      </c>
      <c r="U324" s="376">
        <v>2630.3</v>
      </c>
      <c r="V324" s="376">
        <v>282.45999999999998</v>
      </c>
      <c r="W324" s="22">
        <f t="shared" si="17"/>
        <v>1224.66768</v>
      </c>
      <c r="X324" s="22">
        <f t="shared" si="18"/>
        <v>749.5</v>
      </c>
      <c r="Y324" s="22">
        <v>574.25</v>
      </c>
      <c r="Z324" s="22">
        <v>175.25</v>
      </c>
      <c r="AA324" s="371">
        <v>5370.27</v>
      </c>
      <c r="AB324" s="22">
        <v>0.13956467738121173</v>
      </c>
      <c r="AC324" s="24">
        <v>4.5646773812117181E-3</v>
      </c>
      <c r="AD324" s="384">
        <v>-222886.94785226791</v>
      </c>
    </row>
    <row r="325" spans="1:30">
      <c r="A325" s="21" t="s">
        <v>603</v>
      </c>
      <c r="B325" s="21" t="s">
        <v>604</v>
      </c>
      <c r="C325" s="23">
        <v>350</v>
      </c>
      <c r="D325" s="147">
        <v>0</v>
      </c>
      <c r="E325" s="22">
        <v>46.32</v>
      </c>
      <c r="F325" s="22">
        <v>46.32</v>
      </c>
      <c r="G325" s="22">
        <v>0</v>
      </c>
      <c r="H325" s="22">
        <v>10</v>
      </c>
      <c r="I325" s="22">
        <v>1</v>
      </c>
      <c r="J325" s="22">
        <v>0</v>
      </c>
      <c r="K325" s="22">
        <v>0</v>
      </c>
      <c r="L325" s="22">
        <v>0</v>
      </c>
      <c r="M325" s="388">
        <v>1218</v>
      </c>
      <c r="N325" s="25">
        <v>0.58030000000000004</v>
      </c>
      <c r="O325" s="24">
        <v>1260</v>
      </c>
      <c r="P325" s="24">
        <v>142</v>
      </c>
      <c r="Q325" s="24">
        <v>104.25</v>
      </c>
      <c r="R325" s="22">
        <v>37.75</v>
      </c>
      <c r="S325" s="24">
        <v>7</v>
      </c>
      <c r="T325" s="24">
        <f t="shared" si="16"/>
        <v>149</v>
      </c>
      <c r="U325" s="376">
        <v>706.81</v>
      </c>
      <c r="V325" s="376">
        <v>0</v>
      </c>
      <c r="W325" s="22">
        <f t="shared" si="17"/>
        <v>410.16184299999998</v>
      </c>
      <c r="X325" s="22">
        <f t="shared" si="18"/>
        <v>128.25</v>
      </c>
      <c r="Y325" s="22">
        <v>98.5</v>
      </c>
      <c r="Z325" s="22">
        <v>29.75</v>
      </c>
      <c r="AA325" s="371">
        <v>1258.5999999999999</v>
      </c>
      <c r="AB325" s="22">
        <v>0.10189893532496426</v>
      </c>
      <c r="AC325" s="24">
        <v>0</v>
      </c>
      <c r="AD325" s="384">
        <v>0</v>
      </c>
    </row>
  </sheetData>
  <autoFilter ref="A7:AE7" xr:uid="{00000000-0001-0000-2100-000000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theme="7" tint="0.59999389629810485"/>
  </sheetPr>
  <dimension ref="A1:AE325"/>
  <sheetViews>
    <sheetView workbookViewId="0">
      <pane ySplit="7" topLeftCell="A8"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Q1+1</f>
        <v>18</v>
      </c>
      <c r="S1" s="389">
        <f t="shared" ref="S1:AD1" si="1">R1+1</f>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1365</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314888.60000000003</v>
      </c>
      <c r="D6" s="16">
        <f t="shared" si="2"/>
        <v>11894.569999999991</v>
      </c>
      <c r="E6" s="16">
        <f t="shared" si="2"/>
        <v>59932.950000000004</v>
      </c>
      <c r="F6" s="16">
        <f t="shared" si="2"/>
        <v>71827.520000000019</v>
      </c>
      <c r="G6" s="16">
        <f t="shared" si="2"/>
        <v>4696.07</v>
      </c>
      <c r="H6" s="16">
        <f t="shared" si="2"/>
        <v>26148.130000000005</v>
      </c>
      <c r="I6" s="16">
        <f t="shared" si="2"/>
        <v>1355.1900000000012</v>
      </c>
      <c r="J6" s="16">
        <f t="shared" si="2"/>
        <v>49284.890000000021</v>
      </c>
      <c r="K6" s="16">
        <f t="shared" si="2"/>
        <v>3775.5699999999993</v>
      </c>
      <c r="L6" s="16">
        <f t="shared" si="2"/>
        <v>49.53</v>
      </c>
      <c r="M6" s="386">
        <f t="shared" si="2"/>
        <v>1103824.2800000003</v>
      </c>
      <c r="N6" s="385">
        <f>AVERAGE(N7:N325)</f>
        <v>0.53765283018867871</v>
      </c>
      <c r="O6" s="16">
        <f t="shared" ref="O6:AD6" si="3">SUM(O8:O325)</f>
        <v>445332</v>
      </c>
      <c r="P6" s="16">
        <f t="shared" si="3"/>
        <v>128008.26999999999</v>
      </c>
      <c r="Q6" s="16">
        <f t="shared" si="3"/>
        <v>83405.240000000005</v>
      </c>
      <c r="R6" s="16">
        <f t="shared" si="3"/>
        <v>44603.03</v>
      </c>
      <c r="S6" s="28">
        <f t="shared" si="3"/>
        <v>22685.010000000002</v>
      </c>
      <c r="T6" s="28">
        <f t="shared" si="3"/>
        <v>150693.27999999997</v>
      </c>
      <c r="U6" s="16">
        <f t="shared" si="3"/>
        <v>507025.88000000006</v>
      </c>
      <c r="V6" s="16">
        <f t="shared" si="3"/>
        <v>48517.580000000031</v>
      </c>
      <c r="W6" s="28">
        <f t="shared" si="3"/>
        <v>277082.48001599981</v>
      </c>
      <c r="X6" s="28">
        <f t="shared" si="3"/>
        <v>136833.96999999997</v>
      </c>
      <c r="Y6" s="28">
        <f t="shared" si="3"/>
        <v>85540.97</v>
      </c>
      <c r="Z6" s="28">
        <f t="shared" si="3"/>
        <v>51293</v>
      </c>
      <c r="AA6" s="370">
        <f t="shared" si="3"/>
        <v>1063423.909999999</v>
      </c>
      <c r="AB6" s="245">
        <f t="shared" si="3"/>
        <v>42.692500644765786</v>
      </c>
      <c r="AC6" s="245">
        <f t="shared" si="3"/>
        <v>4.3544101765149703</v>
      </c>
      <c r="AD6" s="382">
        <f t="shared" si="3"/>
        <v>-47305997.709450424</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845</v>
      </c>
      <c r="D8" s="147">
        <v>60.32</v>
      </c>
      <c r="E8" s="22">
        <v>264.47000000000003</v>
      </c>
      <c r="F8" s="22">
        <v>324.79000000000002</v>
      </c>
      <c r="G8" s="22">
        <v>21.12</v>
      </c>
      <c r="H8" s="22">
        <v>60</v>
      </c>
      <c r="I8" s="22">
        <v>1.42</v>
      </c>
      <c r="J8" s="22">
        <v>109.48</v>
      </c>
      <c r="K8" s="22">
        <v>10.6</v>
      </c>
      <c r="L8" s="22">
        <v>0</v>
      </c>
      <c r="M8" s="388">
        <v>3146.5</v>
      </c>
      <c r="N8" s="25">
        <v>0.72529999999999994</v>
      </c>
      <c r="O8" s="24">
        <v>3131</v>
      </c>
      <c r="P8" s="24">
        <v>405</v>
      </c>
      <c r="Q8" s="24">
        <v>254</v>
      </c>
      <c r="R8" s="22">
        <v>151</v>
      </c>
      <c r="S8" s="24">
        <v>72</v>
      </c>
      <c r="T8" s="24">
        <f>S8+P8</f>
        <v>477</v>
      </c>
      <c r="U8" s="376">
        <v>2282.4699999999998</v>
      </c>
      <c r="V8" s="376">
        <v>157.33000000000001</v>
      </c>
      <c r="W8" s="22">
        <f>U8*N8</f>
        <v>1655.4754909999997</v>
      </c>
      <c r="X8" s="22">
        <f>Y8+Z8</f>
        <v>480.5</v>
      </c>
      <c r="Y8" s="22">
        <v>268.5</v>
      </c>
      <c r="Z8" s="22">
        <v>212</v>
      </c>
      <c r="AA8" s="371">
        <v>3110.7</v>
      </c>
      <c r="AB8" s="22">
        <v>0.15446684026103449</v>
      </c>
      <c r="AC8" s="24">
        <v>1.9466840261034485E-2</v>
      </c>
      <c r="AD8" s="384">
        <v>-555111.06095192896</v>
      </c>
    </row>
    <row r="9" spans="1:31">
      <c r="A9" s="21" t="s">
        <v>279</v>
      </c>
      <c r="B9" s="21" t="s">
        <v>280</v>
      </c>
      <c r="C9" s="23">
        <v>158</v>
      </c>
      <c r="D9" s="147">
        <v>18.940000000000001</v>
      </c>
      <c r="E9" s="22">
        <v>32.119999999999997</v>
      </c>
      <c r="F9" s="22">
        <v>51.06</v>
      </c>
      <c r="G9" s="22">
        <v>0</v>
      </c>
      <c r="H9" s="22">
        <v>20</v>
      </c>
      <c r="I9" s="22">
        <v>2.15</v>
      </c>
      <c r="J9" s="22">
        <v>0.8</v>
      </c>
      <c r="K9" s="22">
        <v>0.2</v>
      </c>
      <c r="L9" s="22">
        <v>0</v>
      </c>
      <c r="M9" s="388">
        <v>608.15</v>
      </c>
      <c r="N9" s="25">
        <v>0.2676</v>
      </c>
      <c r="O9" s="24">
        <v>0</v>
      </c>
      <c r="P9" s="24">
        <v>0</v>
      </c>
      <c r="Q9" s="24">
        <v>0</v>
      </c>
      <c r="R9" s="22">
        <v>0</v>
      </c>
      <c r="S9" s="24">
        <v>0</v>
      </c>
      <c r="T9" s="24">
        <f t="shared" ref="T9:T72" si="4">S9+P9</f>
        <v>0</v>
      </c>
      <c r="U9" s="376">
        <v>162.74</v>
      </c>
      <c r="V9" s="376">
        <v>30.41</v>
      </c>
      <c r="W9" s="22">
        <f t="shared" ref="W9:W72" si="5">U9*N9</f>
        <v>43.549224000000002</v>
      </c>
      <c r="X9" s="22">
        <f t="shared" ref="X9:X72" si="6">Y9+Z9</f>
        <v>73</v>
      </c>
      <c r="Y9" s="22">
        <v>46</v>
      </c>
      <c r="Z9" s="22">
        <v>27</v>
      </c>
      <c r="AA9" s="371">
        <v>623.91999999999996</v>
      </c>
      <c r="AB9" s="22">
        <v>0.11700217976663675</v>
      </c>
      <c r="AC9" s="24">
        <v>0</v>
      </c>
      <c r="AD9" s="384">
        <v>0</v>
      </c>
    </row>
    <row r="10" spans="1:31">
      <c r="A10" s="21" t="s">
        <v>301</v>
      </c>
      <c r="B10" s="21" t="s">
        <v>302</v>
      </c>
      <c r="C10" s="23">
        <v>23</v>
      </c>
      <c r="D10" s="147">
        <v>0</v>
      </c>
      <c r="E10" s="22">
        <v>3.36</v>
      </c>
      <c r="F10" s="22">
        <v>3.36</v>
      </c>
      <c r="G10" s="22">
        <v>0</v>
      </c>
      <c r="H10" s="22">
        <v>0</v>
      </c>
      <c r="I10" s="22">
        <v>0</v>
      </c>
      <c r="J10" s="22">
        <v>0</v>
      </c>
      <c r="K10" s="22">
        <v>0</v>
      </c>
      <c r="L10" s="22">
        <v>0</v>
      </c>
      <c r="M10" s="388">
        <v>88</v>
      </c>
      <c r="N10" s="25">
        <v>0.37959999999999999</v>
      </c>
      <c r="O10" s="24">
        <v>0</v>
      </c>
      <c r="P10" s="24">
        <v>0</v>
      </c>
      <c r="Q10" s="24">
        <v>0</v>
      </c>
      <c r="R10" s="22">
        <v>0</v>
      </c>
      <c r="S10" s="24">
        <v>0</v>
      </c>
      <c r="T10" s="24">
        <f t="shared" si="4"/>
        <v>0</v>
      </c>
      <c r="U10" s="376">
        <v>33.4</v>
      </c>
      <c r="V10" s="376">
        <v>0</v>
      </c>
      <c r="W10" s="22">
        <f t="shared" si="5"/>
        <v>12.67864</v>
      </c>
      <c r="X10" s="22">
        <f t="shared" si="6"/>
        <v>9</v>
      </c>
      <c r="Y10" s="22">
        <v>9</v>
      </c>
      <c r="Z10" s="22">
        <v>0</v>
      </c>
      <c r="AA10" s="371">
        <v>95.26</v>
      </c>
      <c r="AB10" s="22">
        <v>9.4478269997900474E-2</v>
      </c>
      <c r="AC10" s="24">
        <v>0</v>
      </c>
      <c r="AD10" s="384">
        <v>0</v>
      </c>
    </row>
    <row r="11" spans="1:31">
      <c r="A11" s="21" t="s">
        <v>407</v>
      </c>
      <c r="B11" s="21" t="s">
        <v>408</v>
      </c>
      <c r="C11" s="23">
        <v>655</v>
      </c>
      <c r="D11" s="147">
        <v>7.63</v>
      </c>
      <c r="E11" s="22">
        <v>111.21</v>
      </c>
      <c r="F11" s="22">
        <v>118.83999999999999</v>
      </c>
      <c r="G11" s="22">
        <v>0</v>
      </c>
      <c r="H11" s="22">
        <v>31</v>
      </c>
      <c r="I11" s="22">
        <v>1.78</v>
      </c>
      <c r="J11" s="22">
        <v>106.92</v>
      </c>
      <c r="K11" s="22">
        <v>5.4</v>
      </c>
      <c r="L11" s="22">
        <v>0.2</v>
      </c>
      <c r="M11" s="388">
        <v>2506.3000000000002</v>
      </c>
      <c r="N11" s="25">
        <v>0.28989999999999999</v>
      </c>
      <c r="O11" s="24">
        <v>57</v>
      </c>
      <c r="P11" s="24">
        <v>48</v>
      </c>
      <c r="Q11" s="24">
        <v>29.75</v>
      </c>
      <c r="R11" s="22">
        <v>18.25</v>
      </c>
      <c r="S11" s="24">
        <v>16</v>
      </c>
      <c r="T11" s="24">
        <f t="shared" si="4"/>
        <v>64</v>
      </c>
      <c r="U11" s="376">
        <v>726.08</v>
      </c>
      <c r="V11" s="376">
        <v>125.32</v>
      </c>
      <c r="W11" s="22">
        <f t="shared" si="5"/>
        <v>210.49059199999999</v>
      </c>
      <c r="X11" s="22">
        <f t="shared" si="6"/>
        <v>273.25</v>
      </c>
      <c r="Y11" s="22">
        <v>161.5</v>
      </c>
      <c r="Z11" s="22">
        <v>111.75</v>
      </c>
      <c r="AA11" s="371">
        <v>2534.66</v>
      </c>
      <c r="AB11" s="22">
        <v>0.1078053861267389</v>
      </c>
      <c r="AC11" s="24">
        <v>0</v>
      </c>
      <c r="AD11" s="384">
        <v>0</v>
      </c>
    </row>
    <row r="12" spans="1:31">
      <c r="A12" s="21" t="s">
        <v>431</v>
      </c>
      <c r="B12" s="21" t="s">
        <v>432</v>
      </c>
      <c r="C12" s="23">
        <v>1712</v>
      </c>
      <c r="D12" s="147">
        <v>31.07</v>
      </c>
      <c r="E12" s="22">
        <v>347.91</v>
      </c>
      <c r="F12" s="22">
        <v>378.98</v>
      </c>
      <c r="G12" s="22">
        <v>0</v>
      </c>
      <c r="H12" s="22">
        <v>85</v>
      </c>
      <c r="I12" s="22">
        <v>3.83</v>
      </c>
      <c r="J12" s="22">
        <v>216.67000000000002</v>
      </c>
      <c r="K12" s="22">
        <v>32.6</v>
      </c>
      <c r="L12" s="22">
        <v>0</v>
      </c>
      <c r="M12" s="388">
        <v>5731.1</v>
      </c>
      <c r="N12" s="25">
        <v>0.32919999999999999</v>
      </c>
      <c r="O12" s="24">
        <v>0</v>
      </c>
      <c r="P12" s="24">
        <v>269.75</v>
      </c>
      <c r="Q12" s="24">
        <v>153.75</v>
      </c>
      <c r="R12" s="22">
        <v>116</v>
      </c>
      <c r="S12" s="24">
        <v>59.75</v>
      </c>
      <c r="T12" s="24">
        <f t="shared" si="4"/>
        <v>329.5</v>
      </c>
      <c r="U12" s="376">
        <v>1886.68</v>
      </c>
      <c r="V12" s="376">
        <v>286.56</v>
      </c>
      <c r="W12" s="22">
        <f t="shared" si="5"/>
        <v>621.095056</v>
      </c>
      <c r="X12" s="22">
        <f t="shared" si="6"/>
        <v>784.25</v>
      </c>
      <c r="Y12" s="22">
        <v>474.25</v>
      </c>
      <c r="Z12" s="22">
        <v>310</v>
      </c>
      <c r="AA12" s="371">
        <v>5403.02</v>
      </c>
      <c r="AB12" s="22">
        <v>0.14515030482952127</v>
      </c>
      <c r="AC12" s="24">
        <v>1.0150304829521256E-2</v>
      </c>
      <c r="AD12" s="384">
        <v>-561294.93290940695</v>
      </c>
    </row>
    <row r="13" spans="1:31">
      <c r="A13" s="21" t="s">
        <v>15</v>
      </c>
      <c r="B13" s="21" t="s">
        <v>16</v>
      </c>
      <c r="C13" s="23">
        <v>274</v>
      </c>
      <c r="D13" s="147">
        <v>4.72</v>
      </c>
      <c r="E13" s="22">
        <v>44.03</v>
      </c>
      <c r="F13" s="22">
        <v>48.75</v>
      </c>
      <c r="G13" s="22">
        <v>0</v>
      </c>
      <c r="H13" s="22">
        <v>11</v>
      </c>
      <c r="I13" s="22">
        <v>0.75</v>
      </c>
      <c r="J13" s="22">
        <v>0</v>
      </c>
      <c r="K13" s="22">
        <v>0</v>
      </c>
      <c r="L13" s="22">
        <v>0</v>
      </c>
      <c r="M13" s="388">
        <v>674.75</v>
      </c>
      <c r="N13" s="25">
        <v>0.31240000000000001</v>
      </c>
      <c r="O13" s="24">
        <v>0</v>
      </c>
      <c r="P13" s="24">
        <v>0</v>
      </c>
      <c r="Q13" s="24">
        <v>0</v>
      </c>
      <c r="R13" s="22">
        <v>0</v>
      </c>
      <c r="S13" s="24">
        <v>0</v>
      </c>
      <c r="T13" s="24">
        <f t="shared" si="4"/>
        <v>0</v>
      </c>
      <c r="U13" s="376">
        <v>210.79</v>
      </c>
      <c r="V13" s="376">
        <v>33.74</v>
      </c>
      <c r="W13" s="22">
        <f t="shared" si="5"/>
        <v>65.850796000000003</v>
      </c>
      <c r="X13" s="22">
        <f t="shared" si="6"/>
        <v>83</v>
      </c>
      <c r="Y13" s="22">
        <v>45</v>
      </c>
      <c r="Z13" s="22">
        <v>38</v>
      </c>
      <c r="AA13" s="371">
        <v>607.07000000000005</v>
      </c>
      <c r="AB13" s="22">
        <v>0.13672228902762448</v>
      </c>
      <c r="AC13" s="24">
        <v>1.722289027624474E-3</v>
      </c>
      <c r="AD13" s="384">
        <v>-9931.3943533441416</v>
      </c>
    </row>
    <row r="14" spans="1:31">
      <c r="A14" s="21" t="s">
        <v>205</v>
      </c>
      <c r="B14" s="21" t="s">
        <v>206</v>
      </c>
      <c r="C14" s="23">
        <v>4991</v>
      </c>
      <c r="D14" s="147">
        <v>216.88</v>
      </c>
      <c r="E14" s="22">
        <v>757.96</v>
      </c>
      <c r="F14" s="22">
        <v>974.84</v>
      </c>
      <c r="G14" s="22">
        <v>0</v>
      </c>
      <c r="H14" s="22">
        <v>530</v>
      </c>
      <c r="I14" s="22">
        <v>30.43</v>
      </c>
      <c r="J14" s="22">
        <v>59.2</v>
      </c>
      <c r="K14" s="22">
        <v>47.81</v>
      </c>
      <c r="L14" s="22">
        <v>5.36</v>
      </c>
      <c r="M14" s="388">
        <v>17418.800000000003</v>
      </c>
      <c r="N14" s="25">
        <v>0.56840000000000002</v>
      </c>
      <c r="O14" s="24">
        <v>11010</v>
      </c>
      <c r="P14" s="24">
        <v>4009.75</v>
      </c>
      <c r="Q14" s="24">
        <v>2679</v>
      </c>
      <c r="R14" s="22">
        <v>1330.75</v>
      </c>
      <c r="S14" s="24">
        <v>506.75</v>
      </c>
      <c r="T14" s="24">
        <f t="shared" si="4"/>
        <v>4516.5</v>
      </c>
      <c r="U14" s="376">
        <v>9899.1</v>
      </c>
      <c r="V14" s="376">
        <v>870.94</v>
      </c>
      <c r="W14" s="22">
        <f t="shared" si="5"/>
        <v>5626.6484399999999</v>
      </c>
      <c r="X14" s="22">
        <f t="shared" si="6"/>
        <v>1746.5</v>
      </c>
      <c r="Y14" s="22">
        <v>981.25</v>
      </c>
      <c r="Z14" s="22">
        <v>765.25</v>
      </c>
      <c r="AA14" s="371">
        <v>16806.63</v>
      </c>
      <c r="AB14" s="22">
        <v>0.10391732310403691</v>
      </c>
      <c r="AC14" s="24">
        <v>0</v>
      </c>
      <c r="AD14" s="384">
        <v>0</v>
      </c>
    </row>
    <row r="15" spans="1:31">
      <c r="A15" s="21" t="s">
        <v>229</v>
      </c>
      <c r="B15" s="21" t="s">
        <v>230</v>
      </c>
      <c r="C15" s="23">
        <v>840</v>
      </c>
      <c r="D15" s="147">
        <v>49.6</v>
      </c>
      <c r="E15" s="22">
        <v>275.68</v>
      </c>
      <c r="F15" s="22">
        <v>325.28000000000003</v>
      </c>
      <c r="G15" s="22">
        <v>0</v>
      </c>
      <c r="H15" s="22">
        <v>95</v>
      </c>
      <c r="I15" s="22">
        <v>1.67</v>
      </c>
      <c r="J15" s="22">
        <v>97.78</v>
      </c>
      <c r="K15" s="22">
        <v>0</v>
      </c>
      <c r="L15" s="22">
        <v>0</v>
      </c>
      <c r="M15" s="388">
        <v>3351.4500000000003</v>
      </c>
      <c r="N15" s="25">
        <v>6.9800000000000001E-2</v>
      </c>
      <c r="O15" s="24">
        <v>0</v>
      </c>
      <c r="P15" s="24">
        <v>38.75</v>
      </c>
      <c r="Q15" s="24">
        <v>22.25</v>
      </c>
      <c r="R15" s="22">
        <v>16.5</v>
      </c>
      <c r="S15" s="24">
        <v>8</v>
      </c>
      <c r="T15" s="24">
        <f t="shared" si="4"/>
        <v>46.75</v>
      </c>
      <c r="U15" s="376">
        <v>233.6</v>
      </c>
      <c r="V15" s="376">
        <v>167.57</v>
      </c>
      <c r="W15" s="22">
        <f t="shared" si="5"/>
        <v>16.30528</v>
      </c>
      <c r="X15" s="22">
        <f t="shared" si="6"/>
        <v>422</v>
      </c>
      <c r="Y15" s="22">
        <v>281.25</v>
      </c>
      <c r="Z15" s="22">
        <v>140.75</v>
      </c>
      <c r="AA15" s="371">
        <v>3605.32</v>
      </c>
      <c r="AB15" s="22">
        <v>0.11704924944249054</v>
      </c>
      <c r="AC15" s="24">
        <v>0</v>
      </c>
      <c r="AD15" s="384">
        <v>0</v>
      </c>
    </row>
    <row r="16" spans="1:31">
      <c r="A16" s="21" t="s">
        <v>69</v>
      </c>
      <c r="B16" s="21" t="s">
        <v>70</v>
      </c>
      <c r="C16" s="23">
        <v>3028</v>
      </c>
      <c r="D16" s="147">
        <v>73.3</v>
      </c>
      <c r="E16" s="22">
        <v>889.14</v>
      </c>
      <c r="F16" s="22">
        <v>962.43999999999994</v>
      </c>
      <c r="G16" s="22">
        <v>0</v>
      </c>
      <c r="H16" s="22">
        <v>481</v>
      </c>
      <c r="I16" s="22">
        <v>5.32</v>
      </c>
      <c r="J16" s="22">
        <v>1622.42</v>
      </c>
      <c r="K16" s="22">
        <v>16.8</v>
      </c>
      <c r="L16" s="22">
        <v>0</v>
      </c>
      <c r="M16" s="388">
        <v>12180.539999999999</v>
      </c>
      <c r="N16" s="25">
        <v>0.34350000000000003</v>
      </c>
      <c r="O16" s="24">
        <v>0</v>
      </c>
      <c r="P16" s="24">
        <v>732.75</v>
      </c>
      <c r="Q16" s="24">
        <v>471</v>
      </c>
      <c r="R16" s="22">
        <v>261.75</v>
      </c>
      <c r="S16" s="24">
        <v>184.75</v>
      </c>
      <c r="T16" s="24">
        <f t="shared" si="4"/>
        <v>917.5</v>
      </c>
      <c r="U16" s="376">
        <v>4188.8900000000003</v>
      </c>
      <c r="V16" s="376">
        <v>609.03</v>
      </c>
      <c r="W16" s="22">
        <f t="shared" si="5"/>
        <v>1438.8837150000002</v>
      </c>
      <c r="X16" s="22">
        <f t="shared" si="6"/>
        <v>1568.5</v>
      </c>
      <c r="Y16" s="22">
        <v>1021.25</v>
      </c>
      <c r="Z16" s="22">
        <v>547.25</v>
      </c>
      <c r="AA16" s="371">
        <v>11855.88</v>
      </c>
      <c r="AB16" s="22">
        <v>0.13229722298133922</v>
      </c>
      <c r="AC16" s="24">
        <v>0</v>
      </c>
      <c r="AD16" s="384">
        <v>0</v>
      </c>
    </row>
    <row r="17" spans="1:30">
      <c r="A17" s="21" t="s">
        <v>199</v>
      </c>
      <c r="B17" s="21" t="s">
        <v>200</v>
      </c>
      <c r="C17" s="23">
        <v>5170</v>
      </c>
      <c r="D17" s="147">
        <v>248.93</v>
      </c>
      <c r="E17" s="22">
        <v>765.04</v>
      </c>
      <c r="F17" s="22">
        <v>1013.97</v>
      </c>
      <c r="G17" s="22">
        <v>0</v>
      </c>
      <c r="H17" s="22">
        <v>477</v>
      </c>
      <c r="I17" s="22">
        <v>44.31</v>
      </c>
      <c r="J17" s="22">
        <v>563.48</v>
      </c>
      <c r="K17" s="22">
        <v>29</v>
      </c>
      <c r="L17" s="22">
        <v>0</v>
      </c>
      <c r="M17" s="388">
        <v>20188.79</v>
      </c>
      <c r="N17" s="25">
        <v>0.1741</v>
      </c>
      <c r="O17" s="24">
        <v>434</v>
      </c>
      <c r="P17" s="24">
        <v>2968</v>
      </c>
      <c r="Q17" s="24">
        <v>2086</v>
      </c>
      <c r="R17" s="22">
        <v>882</v>
      </c>
      <c r="S17" s="24">
        <v>914</v>
      </c>
      <c r="T17" s="24">
        <f t="shared" si="4"/>
        <v>3882</v>
      </c>
      <c r="U17" s="376">
        <v>3514.87</v>
      </c>
      <c r="V17" s="376">
        <v>1009.44</v>
      </c>
      <c r="W17" s="22">
        <f t="shared" si="5"/>
        <v>611.93886699999996</v>
      </c>
      <c r="X17" s="22">
        <f t="shared" si="6"/>
        <v>1605.5</v>
      </c>
      <c r="Y17" s="22">
        <v>1069.5</v>
      </c>
      <c r="Z17" s="22">
        <v>536</v>
      </c>
      <c r="AA17" s="371">
        <v>19094.22</v>
      </c>
      <c r="AB17" s="22">
        <v>8.4083036646692033E-2</v>
      </c>
      <c r="AC17" s="24">
        <v>0</v>
      </c>
      <c r="AD17" s="384">
        <v>0</v>
      </c>
    </row>
    <row r="18" spans="1:30">
      <c r="A18" s="21" t="s">
        <v>539</v>
      </c>
      <c r="B18" s="21" t="s">
        <v>540</v>
      </c>
      <c r="C18" s="23">
        <v>3178</v>
      </c>
      <c r="D18" s="147">
        <v>102.15</v>
      </c>
      <c r="E18" s="22">
        <v>661.27</v>
      </c>
      <c r="F18" s="22">
        <v>763.42</v>
      </c>
      <c r="G18" s="22">
        <v>0</v>
      </c>
      <c r="H18" s="22">
        <v>405</v>
      </c>
      <c r="I18" s="22">
        <v>26.74</v>
      </c>
      <c r="J18" s="22">
        <v>478.03</v>
      </c>
      <c r="K18" s="22">
        <v>67.75</v>
      </c>
      <c r="L18" s="22">
        <v>4.45</v>
      </c>
      <c r="M18" s="388">
        <v>11475.970000000001</v>
      </c>
      <c r="N18" s="25">
        <v>0.38069999999999998</v>
      </c>
      <c r="O18" s="24">
        <v>1610</v>
      </c>
      <c r="P18" s="24">
        <v>769</v>
      </c>
      <c r="Q18" s="24">
        <v>476.25</v>
      </c>
      <c r="R18" s="22">
        <v>292.75</v>
      </c>
      <c r="S18" s="24">
        <v>127.75</v>
      </c>
      <c r="T18" s="24">
        <f t="shared" si="4"/>
        <v>896.75</v>
      </c>
      <c r="U18" s="376">
        <v>4368.8999999999996</v>
      </c>
      <c r="V18" s="376">
        <v>573.79999999999995</v>
      </c>
      <c r="W18" s="22">
        <f t="shared" si="5"/>
        <v>1663.2402299999999</v>
      </c>
      <c r="X18" s="22">
        <f t="shared" si="6"/>
        <v>1627</v>
      </c>
      <c r="Y18" s="22">
        <v>1215.75</v>
      </c>
      <c r="Z18" s="22">
        <v>411.25</v>
      </c>
      <c r="AA18" s="371">
        <v>11260.28</v>
      </c>
      <c r="AB18" s="22">
        <v>0.14449019029722174</v>
      </c>
      <c r="AC18" s="24">
        <v>9.4901902972217289E-3</v>
      </c>
      <c r="AD18" s="384">
        <v>-1046625.0092721134</v>
      </c>
    </row>
    <row r="19" spans="1:30">
      <c r="A19" s="21" t="s">
        <v>5</v>
      </c>
      <c r="B19" s="21" t="s">
        <v>6</v>
      </c>
      <c r="C19" s="23">
        <v>6</v>
      </c>
      <c r="D19" s="147">
        <v>0</v>
      </c>
      <c r="E19" s="22">
        <v>0</v>
      </c>
      <c r="F19" s="22">
        <v>0</v>
      </c>
      <c r="G19" s="22">
        <v>0</v>
      </c>
      <c r="H19" s="22">
        <v>0</v>
      </c>
      <c r="I19" s="22">
        <v>0</v>
      </c>
      <c r="J19" s="22">
        <v>0</v>
      </c>
      <c r="K19" s="22">
        <v>0</v>
      </c>
      <c r="L19" s="22">
        <v>0</v>
      </c>
      <c r="M19" s="388">
        <v>12</v>
      </c>
      <c r="N19" s="25">
        <v>0.21429999999999999</v>
      </c>
      <c r="O19" s="24">
        <v>0</v>
      </c>
      <c r="P19" s="24">
        <v>0</v>
      </c>
      <c r="Q19" s="24">
        <v>0</v>
      </c>
      <c r="R19" s="22">
        <v>0</v>
      </c>
      <c r="S19" s="24">
        <v>0</v>
      </c>
      <c r="T19" s="24">
        <f t="shared" si="4"/>
        <v>0</v>
      </c>
      <c r="U19" s="376">
        <v>0</v>
      </c>
      <c r="V19" s="376">
        <v>0.6</v>
      </c>
      <c r="W19" s="22">
        <f t="shared" si="5"/>
        <v>0</v>
      </c>
      <c r="X19" s="22">
        <f t="shared" si="6"/>
        <v>0</v>
      </c>
      <c r="Y19" s="22">
        <v>0</v>
      </c>
      <c r="Z19" s="22">
        <v>0</v>
      </c>
      <c r="AA19" s="371">
        <v>11.8</v>
      </c>
      <c r="AB19" s="22">
        <v>0</v>
      </c>
      <c r="AC19" s="24">
        <v>0</v>
      </c>
      <c r="AD19" s="384">
        <v>0</v>
      </c>
    </row>
    <row r="20" spans="1:30">
      <c r="A20" s="21" t="s">
        <v>383</v>
      </c>
      <c r="B20" s="21" t="s">
        <v>384</v>
      </c>
      <c r="C20" s="23">
        <v>6318</v>
      </c>
      <c r="D20" s="147">
        <v>259.69</v>
      </c>
      <c r="E20" s="22">
        <v>1014.88</v>
      </c>
      <c r="F20" s="22">
        <v>1274.57</v>
      </c>
      <c r="G20" s="22">
        <v>263.58999999999997</v>
      </c>
      <c r="H20" s="22">
        <v>363</v>
      </c>
      <c r="I20" s="22">
        <v>18.350000000000001</v>
      </c>
      <c r="J20" s="22">
        <v>1124.47</v>
      </c>
      <c r="K20" s="22">
        <v>231.6</v>
      </c>
      <c r="L20" s="22">
        <v>0</v>
      </c>
      <c r="M20" s="388">
        <v>21598.42</v>
      </c>
      <c r="N20" s="25">
        <v>0.49569999999999997</v>
      </c>
      <c r="O20" s="24">
        <v>10200</v>
      </c>
      <c r="P20" s="24">
        <v>1233.5</v>
      </c>
      <c r="Q20" s="24">
        <v>791.75</v>
      </c>
      <c r="R20" s="22">
        <v>441.75</v>
      </c>
      <c r="S20" s="24">
        <v>208.75</v>
      </c>
      <c r="T20" s="24">
        <f t="shared" si="4"/>
        <v>1442.25</v>
      </c>
      <c r="U20" s="376">
        <v>10706.34</v>
      </c>
      <c r="V20" s="376">
        <v>1079.92</v>
      </c>
      <c r="W20" s="22">
        <f t="shared" si="5"/>
        <v>5307.1327380000002</v>
      </c>
      <c r="X20" s="22">
        <f t="shared" si="6"/>
        <v>2577.75</v>
      </c>
      <c r="Y20" s="22">
        <v>1412</v>
      </c>
      <c r="Z20" s="22">
        <v>1165.75</v>
      </c>
      <c r="AA20" s="371">
        <v>20090.669999999998</v>
      </c>
      <c r="AB20" s="22">
        <v>0.12830582553991482</v>
      </c>
      <c r="AC20" s="24">
        <v>0</v>
      </c>
      <c r="AD20" s="384">
        <v>0</v>
      </c>
    </row>
    <row r="21" spans="1:30">
      <c r="A21" s="21" t="s">
        <v>253</v>
      </c>
      <c r="B21" s="21" t="s">
        <v>254</v>
      </c>
      <c r="C21" s="23">
        <v>35</v>
      </c>
      <c r="D21" s="147">
        <v>0</v>
      </c>
      <c r="E21" s="22">
        <v>0</v>
      </c>
      <c r="F21" s="22">
        <v>0</v>
      </c>
      <c r="G21" s="22">
        <v>0</v>
      </c>
      <c r="H21" s="22">
        <v>0</v>
      </c>
      <c r="I21" s="22">
        <v>0</v>
      </c>
      <c r="J21" s="22">
        <v>0</v>
      </c>
      <c r="K21" s="22">
        <v>0</v>
      </c>
      <c r="L21" s="22">
        <v>0</v>
      </c>
      <c r="M21" s="388">
        <v>110</v>
      </c>
      <c r="N21" s="25">
        <v>0.47370000000000001</v>
      </c>
      <c r="O21" s="24">
        <v>0</v>
      </c>
      <c r="P21" s="24">
        <v>0</v>
      </c>
      <c r="Q21" s="24">
        <v>0</v>
      </c>
      <c r="R21" s="22">
        <v>0</v>
      </c>
      <c r="S21" s="24">
        <v>0</v>
      </c>
      <c r="T21" s="24">
        <f t="shared" si="4"/>
        <v>0</v>
      </c>
      <c r="U21" s="376">
        <v>0</v>
      </c>
      <c r="V21" s="376">
        <v>5.5</v>
      </c>
      <c r="W21" s="22">
        <f t="shared" si="5"/>
        <v>0</v>
      </c>
      <c r="X21" s="22">
        <f t="shared" si="6"/>
        <v>19.5</v>
      </c>
      <c r="Y21" s="22">
        <v>12.5</v>
      </c>
      <c r="Z21" s="22">
        <v>7</v>
      </c>
      <c r="AA21" s="371">
        <v>113.4</v>
      </c>
      <c r="AB21" s="22">
        <v>0.17195767195767195</v>
      </c>
      <c r="AC21" s="24">
        <v>3.6957671957671939E-2</v>
      </c>
      <c r="AD21" s="384">
        <v>-38940.96399077493</v>
      </c>
    </row>
    <row r="22" spans="1:30">
      <c r="A22" s="21" t="s">
        <v>543</v>
      </c>
      <c r="B22" s="21" t="s">
        <v>544</v>
      </c>
      <c r="C22" s="23">
        <v>623</v>
      </c>
      <c r="D22" s="147">
        <v>16.88</v>
      </c>
      <c r="E22" s="22">
        <v>110.88</v>
      </c>
      <c r="F22" s="22">
        <v>127.75999999999999</v>
      </c>
      <c r="G22" s="22">
        <v>0</v>
      </c>
      <c r="H22" s="22">
        <v>51</v>
      </c>
      <c r="I22" s="22">
        <v>5.46</v>
      </c>
      <c r="J22" s="22">
        <v>76.55</v>
      </c>
      <c r="K22" s="22">
        <v>14.49</v>
      </c>
      <c r="L22" s="22">
        <v>0.31</v>
      </c>
      <c r="M22" s="388">
        <v>2157.81</v>
      </c>
      <c r="N22" s="25">
        <v>0.46639999999999998</v>
      </c>
      <c r="O22" s="24">
        <v>503</v>
      </c>
      <c r="P22" s="24">
        <v>90</v>
      </c>
      <c r="Q22" s="24">
        <v>68.5</v>
      </c>
      <c r="R22" s="22">
        <v>21.5</v>
      </c>
      <c r="S22" s="24">
        <v>17.25</v>
      </c>
      <c r="T22" s="24">
        <f t="shared" si="4"/>
        <v>107.25</v>
      </c>
      <c r="U22" s="376">
        <v>1006.4</v>
      </c>
      <c r="V22" s="376">
        <v>107.89</v>
      </c>
      <c r="W22" s="22">
        <f t="shared" si="5"/>
        <v>469.38495999999998</v>
      </c>
      <c r="X22" s="22">
        <f t="shared" si="6"/>
        <v>293.25</v>
      </c>
      <c r="Y22" s="22">
        <v>236</v>
      </c>
      <c r="Z22" s="22">
        <v>57.25</v>
      </c>
      <c r="AA22" s="371">
        <v>2107.79</v>
      </c>
      <c r="AB22" s="22">
        <v>0.13912676310258612</v>
      </c>
      <c r="AC22" s="24">
        <v>4.1267631025861118E-3</v>
      </c>
      <c r="AD22" s="384">
        <v>-88991.030552092518</v>
      </c>
    </row>
    <row r="23" spans="1:30">
      <c r="A23" s="21" t="s">
        <v>283</v>
      </c>
      <c r="B23" s="21" t="s">
        <v>284</v>
      </c>
      <c r="C23" s="23">
        <v>28</v>
      </c>
      <c r="D23" s="147">
        <v>0</v>
      </c>
      <c r="E23" s="22">
        <v>0</v>
      </c>
      <c r="F23" s="22">
        <v>0</v>
      </c>
      <c r="G23" s="22">
        <v>0</v>
      </c>
      <c r="H23" s="22">
        <v>0</v>
      </c>
      <c r="I23" s="22">
        <v>0</v>
      </c>
      <c r="J23" s="22">
        <v>0</v>
      </c>
      <c r="K23" s="22">
        <v>0</v>
      </c>
      <c r="L23" s="22">
        <v>0</v>
      </c>
      <c r="M23" s="388">
        <v>82</v>
      </c>
      <c r="N23" s="25">
        <v>0.52580000000000005</v>
      </c>
      <c r="O23" s="24">
        <v>88</v>
      </c>
      <c r="P23" s="24">
        <v>7</v>
      </c>
      <c r="Q23" s="24">
        <v>5</v>
      </c>
      <c r="R23" s="22">
        <v>2</v>
      </c>
      <c r="S23" s="24">
        <v>1</v>
      </c>
      <c r="T23" s="24">
        <f t="shared" si="4"/>
        <v>8</v>
      </c>
      <c r="U23" s="376">
        <v>43.12</v>
      </c>
      <c r="V23" s="376">
        <v>0</v>
      </c>
      <c r="W23" s="22">
        <f t="shared" si="5"/>
        <v>22.672495999999999</v>
      </c>
      <c r="X23" s="22">
        <f t="shared" si="6"/>
        <v>19.75</v>
      </c>
      <c r="Y23" s="22">
        <v>14.75</v>
      </c>
      <c r="Z23" s="22">
        <v>5</v>
      </c>
      <c r="AA23" s="371">
        <v>85.68</v>
      </c>
      <c r="AB23" s="22">
        <v>0.23050887021475255</v>
      </c>
      <c r="AC23" s="24">
        <v>9.5508870214752545E-2</v>
      </c>
      <c r="AD23" s="384">
        <v>-75406.893035818852</v>
      </c>
    </row>
    <row r="24" spans="1:30">
      <c r="A24" s="21" t="s">
        <v>227</v>
      </c>
      <c r="B24" s="21" t="s">
        <v>228</v>
      </c>
      <c r="C24" s="23">
        <v>1377</v>
      </c>
      <c r="D24" s="147">
        <v>85.98</v>
      </c>
      <c r="E24" s="22">
        <v>323.31</v>
      </c>
      <c r="F24" s="22">
        <v>409.29</v>
      </c>
      <c r="G24" s="22">
        <v>257.43</v>
      </c>
      <c r="H24" s="22">
        <v>58</v>
      </c>
      <c r="I24" s="22">
        <v>2.67</v>
      </c>
      <c r="J24" s="22">
        <v>311.09000000000003</v>
      </c>
      <c r="K24" s="22">
        <v>31.2</v>
      </c>
      <c r="L24" s="22">
        <v>0</v>
      </c>
      <c r="M24" s="388">
        <v>4585.96</v>
      </c>
      <c r="N24" s="25">
        <v>0.64629999999999999</v>
      </c>
      <c r="O24" s="24">
        <v>3890</v>
      </c>
      <c r="P24" s="24">
        <v>454</v>
      </c>
      <c r="Q24" s="24">
        <v>319.5</v>
      </c>
      <c r="R24" s="22">
        <v>134.5</v>
      </c>
      <c r="S24" s="24">
        <v>39.25</v>
      </c>
      <c r="T24" s="24">
        <f t="shared" si="4"/>
        <v>493.25</v>
      </c>
      <c r="U24" s="376">
        <v>2967.57</v>
      </c>
      <c r="V24" s="376">
        <v>229.3</v>
      </c>
      <c r="W24" s="22">
        <f t="shared" si="5"/>
        <v>1917.9404910000001</v>
      </c>
      <c r="X24" s="22">
        <f t="shared" si="6"/>
        <v>636.25</v>
      </c>
      <c r="Y24" s="22">
        <v>410.75</v>
      </c>
      <c r="Z24" s="22">
        <v>225.5</v>
      </c>
      <c r="AA24" s="371">
        <v>4387.3900000000003</v>
      </c>
      <c r="AB24" s="22">
        <v>0.14501788079017364</v>
      </c>
      <c r="AC24" s="24">
        <v>1.0017880790173628E-2</v>
      </c>
      <c r="AD24" s="384">
        <v>-460398.90611384349</v>
      </c>
    </row>
    <row r="25" spans="1:30">
      <c r="A25" s="21" t="s">
        <v>333</v>
      </c>
      <c r="B25" s="21" t="s">
        <v>334</v>
      </c>
      <c r="C25" s="23">
        <v>347</v>
      </c>
      <c r="D25" s="147">
        <v>0</v>
      </c>
      <c r="E25" s="22">
        <v>91.65</v>
      </c>
      <c r="F25" s="22">
        <v>91.65</v>
      </c>
      <c r="G25" s="22">
        <v>0</v>
      </c>
      <c r="H25" s="22">
        <v>15</v>
      </c>
      <c r="I25" s="22">
        <v>0.97</v>
      </c>
      <c r="J25" s="22">
        <v>10.02</v>
      </c>
      <c r="K25" s="22">
        <v>0</v>
      </c>
      <c r="L25" s="22">
        <v>0</v>
      </c>
      <c r="M25" s="388">
        <v>1005.99</v>
      </c>
      <c r="N25" s="25">
        <v>0.94989999999999997</v>
      </c>
      <c r="O25" s="24">
        <v>961</v>
      </c>
      <c r="P25" s="24">
        <v>324.75</v>
      </c>
      <c r="Q25" s="24">
        <v>219</v>
      </c>
      <c r="R25" s="22">
        <v>105.75</v>
      </c>
      <c r="S25" s="24">
        <v>95.75</v>
      </c>
      <c r="T25" s="24">
        <f t="shared" si="4"/>
        <v>420.5</v>
      </c>
      <c r="U25" s="376">
        <v>955.59</v>
      </c>
      <c r="V25" s="376">
        <v>50.3</v>
      </c>
      <c r="W25" s="22">
        <f t="shared" si="5"/>
        <v>907.71494099999995</v>
      </c>
      <c r="X25" s="22">
        <f t="shared" si="6"/>
        <v>97.75</v>
      </c>
      <c r="Y25" s="22">
        <v>73.75</v>
      </c>
      <c r="Z25" s="22">
        <v>24</v>
      </c>
      <c r="AA25" s="371">
        <v>980.34</v>
      </c>
      <c r="AB25" s="22">
        <v>9.9710304588204096E-2</v>
      </c>
      <c r="AC25" s="24">
        <v>0</v>
      </c>
      <c r="AD25" s="384">
        <v>0</v>
      </c>
    </row>
    <row r="26" spans="1:30">
      <c r="A26" s="21" t="s">
        <v>91</v>
      </c>
      <c r="B26" s="21" t="s">
        <v>92</v>
      </c>
      <c r="C26" s="23">
        <v>205</v>
      </c>
      <c r="D26" s="147">
        <v>0</v>
      </c>
      <c r="E26" s="22">
        <v>28.14</v>
      </c>
      <c r="F26" s="22">
        <v>28.14</v>
      </c>
      <c r="G26" s="22">
        <v>0</v>
      </c>
      <c r="H26" s="22">
        <v>0</v>
      </c>
      <c r="I26" s="22">
        <v>0</v>
      </c>
      <c r="J26" s="22">
        <v>27.8</v>
      </c>
      <c r="K26" s="22">
        <v>0</v>
      </c>
      <c r="L26" s="22">
        <v>0</v>
      </c>
      <c r="M26" s="388">
        <v>754.8</v>
      </c>
      <c r="N26" s="25">
        <v>0.95469999999999999</v>
      </c>
      <c r="O26" s="24">
        <v>751</v>
      </c>
      <c r="P26" s="24">
        <v>352.5</v>
      </c>
      <c r="Q26" s="24">
        <v>215.25</v>
      </c>
      <c r="R26" s="22">
        <v>137.25</v>
      </c>
      <c r="S26" s="24">
        <v>34</v>
      </c>
      <c r="T26" s="24">
        <f t="shared" si="4"/>
        <v>386.5</v>
      </c>
      <c r="U26" s="376">
        <v>720.61</v>
      </c>
      <c r="V26" s="376">
        <v>37.74</v>
      </c>
      <c r="W26" s="22">
        <f t="shared" si="5"/>
        <v>687.96636699999999</v>
      </c>
      <c r="X26" s="22">
        <f t="shared" si="6"/>
        <v>66.25</v>
      </c>
      <c r="Y26" s="22">
        <v>50.5</v>
      </c>
      <c r="Z26" s="22">
        <v>15.75</v>
      </c>
      <c r="AA26" s="371">
        <v>745.77</v>
      </c>
      <c r="AB26" s="22">
        <v>8.8834359118763154E-2</v>
      </c>
      <c r="AC26" s="24">
        <v>0</v>
      </c>
      <c r="AD26" s="384">
        <v>0</v>
      </c>
    </row>
    <row r="27" spans="1:30">
      <c r="A27" s="21" t="s">
        <v>175</v>
      </c>
      <c r="B27" s="21" t="s">
        <v>176</v>
      </c>
      <c r="C27" s="23">
        <v>26</v>
      </c>
      <c r="D27" s="147">
        <v>0</v>
      </c>
      <c r="E27" s="22">
        <v>0</v>
      </c>
      <c r="F27" s="22">
        <v>0</v>
      </c>
      <c r="G27" s="22">
        <v>0</v>
      </c>
      <c r="H27" s="22">
        <v>0</v>
      </c>
      <c r="I27" s="22">
        <v>0</v>
      </c>
      <c r="J27" s="22">
        <v>0.4</v>
      </c>
      <c r="K27" s="22">
        <v>0</v>
      </c>
      <c r="L27" s="22">
        <v>0</v>
      </c>
      <c r="M27" s="388">
        <v>60.4</v>
      </c>
      <c r="N27" s="25">
        <v>0.78210000000000002</v>
      </c>
      <c r="O27" s="24">
        <v>72</v>
      </c>
      <c r="P27" s="24">
        <v>0.5</v>
      </c>
      <c r="Q27" s="24">
        <v>0.5</v>
      </c>
      <c r="R27" s="22">
        <v>0</v>
      </c>
      <c r="S27" s="24">
        <v>0</v>
      </c>
      <c r="T27" s="24">
        <f t="shared" si="4"/>
        <v>0.5</v>
      </c>
      <c r="U27" s="376">
        <v>47.24</v>
      </c>
      <c r="V27" s="376">
        <v>3.02</v>
      </c>
      <c r="W27" s="22">
        <f t="shared" si="5"/>
        <v>36.946404000000001</v>
      </c>
      <c r="X27" s="22">
        <f t="shared" si="6"/>
        <v>7</v>
      </c>
      <c r="Y27" s="22">
        <v>0</v>
      </c>
      <c r="Z27" s="22">
        <v>7</v>
      </c>
      <c r="AA27" s="371">
        <v>72.8</v>
      </c>
      <c r="AB27" s="22">
        <v>9.6153846153846159E-2</v>
      </c>
      <c r="AC27" s="24">
        <v>0</v>
      </c>
      <c r="AD27" s="384">
        <v>0</v>
      </c>
    </row>
    <row r="28" spans="1:30">
      <c r="A28" s="21" t="s">
        <v>403</v>
      </c>
      <c r="B28" s="21" t="s">
        <v>404</v>
      </c>
      <c r="C28" s="23">
        <v>858</v>
      </c>
      <c r="D28" s="147">
        <v>81.25</v>
      </c>
      <c r="E28" s="22">
        <v>316.22000000000003</v>
      </c>
      <c r="F28" s="22">
        <v>397.47</v>
      </c>
      <c r="G28" s="22">
        <v>0</v>
      </c>
      <c r="H28" s="22">
        <v>74</v>
      </c>
      <c r="I28" s="22">
        <v>4.2</v>
      </c>
      <c r="J28" s="22">
        <v>21.84</v>
      </c>
      <c r="K28" s="22">
        <v>10</v>
      </c>
      <c r="L28" s="22">
        <v>0.2</v>
      </c>
      <c r="M28" s="388">
        <v>3205.24</v>
      </c>
      <c r="N28" s="25">
        <v>0.54559999999999997</v>
      </c>
      <c r="O28" s="24">
        <v>1391</v>
      </c>
      <c r="P28" s="24">
        <v>734.75</v>
      </c>
      <c r="Q28" s="24">
        <v>424</v>
      </c>
      <c r="R28" s="22">
        <v>310.75</v>
      </c>
      <c r="S28" s="24">
        <v>73.75</v>
      </c>
      <c r="T28" s="24">
        <f t="shared" si="4"/>
        <v>808.5</v>
      </c>
      <c r="U28" s="376">
        <v>1749.1</v>
      </c>
      <c r="V28" s="376">
        <v>160.26</v>
      </c>
      <c r="W28" s="22">
        <f t="shared" si="5"/>
        <v>954.30895999999996</v>
      </c>
      <c r="X28" s="22">
        <f t="shared" si="6"/>
        <v>487.25</v>
      </c>
      <c r="Y28" s="22">
        <v>350.25</v>
      </c>
      <c r="Z28" s="22">
        <v>137</v>
      </c>
      <c r="AA28" s="371">
        <v>3306.02</v>
      </c>
      <c r="AB28" s="22">
        <v>0.14738265346247148</v>
      </c>
      <c r="AC28" s="24">
        <v>1.2382653462471471E-2</v>
      </c>
      <c r="AD28" s="384">
        <v>-415495.91476028366</v>
      </c>
    </row>
    <row r="29" spans="1:30">
      <c r="A29" s="21" t="s">
        <v>67</v>
      </c>
      <c r="B29" s="21" t="s">
        <v>68</v>
      </c>
      <c r="C29" s="23">
        <v>1835</v>
      </c>
      <c r="D29" s="147">
        <v>34.78</v>
      </c>
      <c r="E29" s="22">
        <v>396.16</v>
      </c>
      <c r="F29" s="22">
        <v>430.94000000000005</v>
      </c>
      <c r="G29" s="22">
        <v>0</v>
      </c>
      <c r="H29" s="22">
        <v>200</v>
      </c>
      <c r="I29" s="22">
        <v>1.91</v>
      </c>
      <c r="J29" s="22">
        <v>120.72</v>
      </c>
      <c r="K29" s="22">
        <v>6.6</v>
      </c>
      <c r="L29" s="22">
        <v>0</v>
      </c>
      <c r="M29" s="388">
        <v>7223.2300000000005</v>
      </c>
      <c r="N29" s="25">
        <v>0.15210000000000001</v>
      </c>
      <c r="O29" s="24">
        <v>0</v>
      </c>
      <c r="P29" s="24">
        <v>187.75</v>
      </c>
      <c r="Q29" s="24">
        <v>139.75</v>
      </c>
      <c r="R29" s="22">
        <v>48</v>
      </c>
      <c r="S29" s="24">
        <v>116.5</v>
      </c>
      <c r="T29" s="24">
        <f t="shared" si="4"/>
        <v>304.25</v>
      </c>
      <c r="U29" s="376">
        <v>1097.93</v>
      </c>
      <c r="V29" s="376">
        <v>361.16</v>
      </c>
      <c r="W29" s="22">
        <f t="shared" si="5"/>
        <v>166.99515300000002</v>
      </c>
      <c r="X29" s="22">
        <f t="shared" si="6"/>
        <v>732.5</v>
      </c>
      <c r="Y29" s="22">
        <v>541.25</v>
      </c>
      <c r="Z29" s="22">
        <v>191.25</v>
      </c>
      <c r="AA29" s="371">
        <v>7095.41</v>
      </c>
      <c r="AB29" s="22">
        <v>0.10323575381831353</v>
      </c>
      <c r="AC29" s="24">
        <v>0</v>
      </c>
      <c r="AD29" s="384">
        <v>0</v>
      </c>
    </row>
    <row r="30" spans="1:30">
      <c r="A30" s="21" t="s">
        <v>49</v>
      </c>
      <c r="B30" s="21" t="s">
        <v>50</v>
      </c>
      <c r="C30" s="23">
        <v>151</v>
      </c>
      <c r="D30" s="147">
        <v>0</v>
      </c>
      <c r="E30" s="22">
        <v>7.62</v>
      </c>
      <c r="F30" s="22">
        <v>7.62</v>
      </c>
      <c r="G30" s="22">
        <v>0</v>
      </c>
      <c r="H30" s="22">
        <v>9</v>
      </c>
      <c r="I30" s="22">
        <v>0.74</v>
      </c>
      <c r="J30" s="22">
        <v>1.96</v>
      </c>
      <c r="K30" s="22">
        <v>0</v>
      </c>
      <c r="L30" s="22">
        <v>0</v>
      </c>
      <c r="M30" s="388">
        <v>494.7</v>
      </c>
      <c r="N30" s="25">
        <v>0.72089999999999999</v>
      </c>
      <c r="O30" s="24">
        <v>496</v>
      </c>
      <c r="P30" s="24">
        <v>0</v>
      </c>
      <c r="Q30" s="24">
        <v>0</v>
      </c>
      <c r="R30" s="22">
        <v>0</v>
      </c>
      <c r="S30" s="24">
        <v>0</v>
      </c>
      <c r="T30" s="24">
        <f t="shared" si="4"/>
        <v>0</v>
      </c>
      <c r="U30" s="376">
        <v>356.63</v>
      </c>
      <c r="V30" s="376">
        <v>0</v>
      </c>
      <c r="W30" s="22">
        <f t="shared" si="5"/>
        <v>257.09456699999998</v>
      </c>
      <c r="X30" s="22">
        <f t="shared" si="6"/>
        <v>72</v>
      </c>
      <c r="Y30" s="22">
        <v>52</v>
      </c>
      <c r="Z30" s="22">
        <v>20</v>
      </c>
      <c r="AA30" s="371">
        <v>483.21</v>
      </c>
      <c r="AB30" s="22">
        <v>0.14900353883404732</v>
      </c>
      <c r="AC30" s="24">
        <v>1.4003538834047313E-2</v>
      </c>
      <c r="AD30" s="384">
        <v>-62490.491466388434</v>
      </c>
    </row>
    <row r="31" spans="1:30">
      <c r="A31" s="21" t="s">
        <v>367</v>
      </c>
      <c r="B31" s="21" t="s">
        <v>368</v>
      </c>
      <c r="C31" s="23">
        <v>77</v>
      </c>
      <c r="D31" s="147">
        <v>0</v>
      </c>
      <c r="E31" s="22">
        <v>0</v>
      </c>
      <c r="F31" s="22">
        <v>0</v>
      </c>
      <c r="G31" s="22">
        <v>0</v>
      </c>
      <c r="H31" s="22">
        <v>0</v>
      </c>
      <c r="I31" s="22">
        <v>0</v>
      </c>
      <c r="J31" s="22">
        <v>0</v>
      </c>
      <c r="K31" s="22">
        <v>0</v>
      </c>
      <c r="L31" s="22">
        <v>0</v>
      </c>
      <c r="M31" s="388">
        <v>186</v>
      </c>
      <c r="N31" s="25">
        <v>0.3034</v>
      </c>
      <c r="O31" s="24">
        <v>0</v>
      </c>
      <c r="P31" s="24">
        <v>0</v>
      </c>
      <c r="Q31" s="24">
        <v>0</v>
      </c>
      <c r="R31" s="22">
        <v>0</v>
      </c>
      <c r="S31" s="24">
        <v>0</v>
      </c>
      <c r="T31" s="24">
        <f t="shared" si="4"/>
        <v>0</v>
      </c>
      <c r="U31" s="376">
        <v>56.43</v>
      </c>
      <c r="V31" s="376">
        <v>9.3000000000000007</v>
      </c>
      <c r="W31" s="22">
        <f t="shared" si="5"/>
        <v>17.120861999999999</v>
      </c>
      <c r="X31" s="22">
        <f t="shared" si="6"/>
        <v>25.5</v>
      </c>
      <c r="Y31" s="22">
        <v>22.75</v>
      </c>
      <c r="Z31" s="22">
        <v>2.75</v>
      </c>
      <c r="AA31" s="371">
        <v>178.76</v>
      </c>
      <c r="AB31" s="22">
        <v>0.14264936227343925</v>
      </c>
      <c r="AC31" s="24">
        <v>7.6493622734392364E-3</v>
      </c>
      <c r="AD31" s="384">
        <v>-13747.350715482969</v>
      </c>
    </row>
    <row r="32" spans="1:30">
      <c r="A32" s="21" t="s">
        <v>1226</v>
      </c>
      <c r="B32" s="21" t="s">
        <v>1227</v>
      </c>
      <c r="C32" s="23">
        <v>0</v>
      </c>
      <c r="D32" s="147">
        <v>0</v>
      </c>
      <c r="E32" s="22">
        <v>0</v>
      </c>
      <c r="F32" s="22">
        <v>0</v>
      </c>
      <c r="G32" s="22">
        <v>0</v>
      </c>
      <c r="H32" s="22">
        <v>0</v>
      </c>
      <c r="I32" s="22">
        <v>0</v>
      </c>
      <c r="J32" s="22">
        <v>0</v>
      </c>
      <c r="K32" s="22">
        <v>0</v>
      </c>
      <c r="L32" s="22">
        <v>0</v>
      </c>
      <c r="M32" s="388">
        <v>312</v>
      </c>
      <c r="N32" s="25">
        <v>0.68630000000000002</v>
      </c>
      <c r="O32" s="24">
        <v>102</v>
      </c>
      <c r="P32" s="24">
        <v>4.99</v>
      </c>
      <c r="Q32" s="24">
        <v>0</v>
      </c>
      <c r="R32" s="22">
        <v>4.99</v>
      </c>
      <c r="S32" s="24">
        <v>6.76</v>
      </c>
      <c r="T32" s="24">
        <f t="shared" si="4"/>
        <v>11.75</v>
      </c>
      <c r="U32" s="376">
        <v>211.07</v>
      </c>
      <c r="V32" s="376">
        <v>0</v>
      </c>
      <c r="W32" s="22">
        <f t="shared" si="5"/>
        <v>144.85734099999999</v>
      </c>
      <c r="X32" s="22">
        <f t="shared" si="6"/>
        <v>19</v>
      </c>
      <c r="Y32" s="22">
        <v>19</v>
      </c>
      <c r="Z32" s="22">
        <v>0</v>
      </c>
      <c r="AA32" s="371">
        <v>104</v>
      </c>
      <c r="AB32" s="22">
        <v>0.18269230769230768</v>
      </c>
      <c r="AC32" s="24">
        <v>4.7692307692307673E-2</v>
      </c>
      <c r="AD32" s="384">
        <v>-48866.439819676852</v>
      </c>
    </row>
    <row r="33" spans="1:30">
      <c r="A33" s="21" t="s">
        <v>39</v>
      </c>
      <c r="B33" s="21" t="s">
        <v>40</v>
      </c>
      <c r="C33" s="23">
        <v>345</v>
      </c>
      <c r="D33" s="147">
        <v>44.46</v>
      </c>
      <c r="E33" s="22">
        <v>130.35</v>
      </c>
      <c r="F33" s="22">
        <v>174.81</v>
      </c>
      <c r="G33" s="22">
        <v>0</v>
      </c>
      <c r="H33" s="22">
        <v>50</v>
      </c>
      <c r="I33" s="22">
        <v>0.75</v>
      </c>
      <c r="J33" s="22">
        <v>61.67</v>
      </c>
      <c r="K33" s="22">
        <v>0</v>
      </c>
      <c r="L33" s="22">
        <v>0</v>
      </c>
      <c r="M33" s="388">
        <v>1207.42</v>
      </c>
      <c r="N33" s="25">
        <v>0.40339999999999998</v>
      </c>
      <c r="O33" s="24">
        <v>18</v>
      </c>
      <c r="P33" s="24">
        <v>135.5</v>
      </c>
      <c r="Q33" s="24">
        <v>89</v>
      </c>
      <c r="R33" s="22">
        <v>46.5</v>
      </c>
      <c r="S33" s="24">
        <v>51</v>
      </c>
      <c r="T33" s="24">
        <f t="shared" si="4"/>
        <v>186.5</v>
      </c>
      <c r="U33" s="376">
        <v>487.07</v>
      </c>
      <c r="V33" s="376">
        <v>0</v>
      </c>
      <c r="W33" s="22">
        <f t="shared" si="5"/>
        <v>196.484038</v>
      </c>
      <c r="X33" s="22">
        <f t="shared" si="6"/>
        <v>110.75</v>
      </c>
      <c r="Y33" s="22">
        <v>71</v>
      </c>
      <c r="Z33" s="22">
        <v>39.75</v>
      </c>
      <c r="AA33" s="371">
        <v>1237.5899999999999</v>
      </c>
      <c r="AB33" s="22">
        <v>8.9488441244677155E-2</v>
      </c>
      <c r="AC33" s="24">
        <v>0</v>
      </c>
      <c r="AD33" s="384">
        <v>0</v>
      </c>
    </row>
    <row r="34" spans="1:30">
      <c r="A34" s="21" t="s">
        <v>37</v>
      </c>
      <c r="B34" s="21" t="s">
        <v>38</v>
      </c>
      <c r="C34" s="23">
        <v>464</v>
      </c>
      <c r="D34" s="147">
        <v>54.57</v>
      </c>
      <c r="E34" s="22">
        <v>124.28</v>
      </c>
      <c r="F34" s="22">
        <v>178.85</v>
      </c>
      <c r="G34" s="22">
        <v>0</v>
      </c>
      <c r="H34" s="22">
        <v>30</v>
      </c>
      <c r="I34" s="22">
        <v>1.3</v>
      </c>
      <c r="J34" s="22">
        <v>0</v>
      </c>
      <c r="K34" s="22">
        <v>0</v>
      </c>
      <c r="L34" s="22">
        <v>0</v>
      </c>
      <c r="M34" s="388">
        <v>1566.3</v>
      </c>
      <c r="N34" s="25">
        <v>0.4365</v>
      </c>
      <c r="O34" s="24">
        <v>0</v>
      </c>
      <c r="P34" s="24">
        <v>186</v>
      </c>
      <c r="Q34" s="24">
        <v>152.25</v>
      </c>
      <c r="R34" s="22">
        <v>33.75</v>
      </c>
      <c r="S34" s="24">
        <v>65.5</v>
      </c>
      <c r="T34" s="24">
        <f t="shared" si="4"/>
        <v>251.5</v>
      </c>
      <c r="U34" s="376">
        <v>683.69</v>
      </c>
      <c r="V34" s="376">
        <v>78.319999999999993</v>
      </c>
      <c r="W34" s="22">
        <f t="shared" si="5"/>
        <v>298.43068500000004</v>
      </c>
      <c r="X34" s="22">
        <f t="shared" si="6"/>
        <v>185</v>
      </c>
      <c r="Y34" s="22">
        <v>159</v>
      </c>
      <c r="Z34" s="22">
        <v>26</v>
      </c>
      <c r="AA34" s="371">
        <v>1578.32</v>
      </c>
      <c r="AB34" s="22">
        <v>0.11721323939378581</v>
      </c>
      <c r="AC34" s="24">
        <v>0</v>
      </c>
      <c r="AD34" s="384">
        <v>0</v>
      </c>
    </row>
    <row r="35" spans="1:30">
      <c r="A35" s="21" t="s">
        <v>81</v>
      </c>
      <c r="B35" s="21" t="s">
        <v>82</v>
      </c>
      <c r="C35" s="23">
        <v>431</v>
      </c>
      <c r="D35" s="147">
        <v>5.44</v>
      </c>
      <c r="E35" s="22">
        <v>70.650000000000006</v>
      </c>
      <c r="F35" s="22">
        <v>76.09</v>
      </c>
      <c r="G35" s="22">
        <v>0</v>
      </c>
      <c r="H35" s="22">
        <v>32</v>
      </c>
      <c r="I35" s="22">
        <v>2.37</v>
      </c>
      <c r="J35" s="22">
        <v>46.43</v>
      </c>
      <c r="K35" s="22">
        <v>0</v>
      </c>
      <c r="L35" s="22">
        <v>0</v>
      </c>
      <c r="M35" s="388">
        <v>1484.8</v>
      </c>
      <c r="N35" s="25">
        <v>0.52590000000000003</v>
      </c>
      <c r="O35" s="24">
        <v>576</v>
      </c>
      <c r="P35" s="24">
        <v>20.25</v>
      </c>
      <c r="Q35" s="24">
        <v>10.25</v>
      </c>
      <c r="R35" s="22">
        <v>10</v>
      </c>
      <c r="S35" s="24">
        <v>3</v>
      </c>
      <c r="T35" s="24">
        <f t="shared" si="4"/>
        <v>23.25</v>
      </c>
      <c r="U35" s="376">
        <v>780.86</v>
      </c>
      <c r="V35" s="376">
        <v>74.239999999999995</v>
      </c>
      <c r="W35" s="22">
        <f t="shared" si="5"/>
        <v>410.65427400000004</v>
      </c>
      <c r="X35" s="22">
        <f t="shared" si="6"/>
        <v>231.75</v>
      </c>
      <c r="Y35" s="22">
        <v>146.5</v>
      </c>
      <c r="Z35" s="22">
        <v>85.25</v>
      </c>
      <c r="AA35" s="371">
        <v>1408.8</v>
      </c>
      <c r="AB35" s="22">
        <v>0.16450170357751279</v>
      </c>
      <c r="AC35" s="24">
        <v>2.9501703577512778E-2</v>
      </c>
      <c r="AD35" s="384">
        <v>-383433.41690944979</v>
      </c>
    </row>
    <row r="36" spans="1:30">
      <c r="A36" s="21" t="s">
        <v>1228</v>
      </c>
      <c r="B36" s="21" t="s">
        <v>1229</v>
      </c>
      <c r="C36" s="23">
        <v>224</v>
      </c>
      <c r="D36" s="147">
        <v>0</v>
      </c>
      <c r="E36" s="22">
        <v>0</v>
      </c>
      <c r="F36" s="22">
        <v>0</v>
      </c>
      <c r="G36" s="22">
        <v>0</v>
      </c>
      <c r="H36" s="22">
        <v>0</v>
      </c>
      <c r="I36" s="22">
        <v>0</v>
      </c>
      <c r="J36" s="22">
        <v>0</v>
      </c>
      <c r="K36" s="22">
        <v>0</v>
      </c>
      <c r="L36" s="22">
        <v>0</v>
      </c>
      <c r="M36" s="388">
        <v>448</v>
      </c>
      <c r="N36" s="25">
        <v>0.51339999999999997</v>
      </c>
      <c r="O36" s="24">
        <v>0</v>
      </c>
      <c r="P36" s="24">
        <v>1</v>
      </c>
      <c r="Q36" s="24">
        <v>0</v>
      </c>
      <c r="R36" s="22">
        <v>1</v>
      </c>
      <c r="S36" s="24">
        <v>0</v>
      </c>
      <c r="T36" s="24">
        <f t="shared" si="4"/>
        <v>1</v>
      </c>
      <c r="U36" s="376">
        <v>230</v>
      </c>
      <c r="V36" s="376">
        <v>22.4</v>
      </c>
      <c r="W36" s="22">
        <f t="shared" si="5"/>
        <v>118.08199999999999</v>
      </c>
      <c r="X36" s="22">
        <f t="shared" si="6"/>
        <v>29.5</v>
      </c>
      <c r="Y36" s="22">
        <v>28.75</v>
      </c>
      <c r="Z36" s="22">
        <v>0.75</v>
      </c>
      <c r="AA36" s="371">
        <v>301.39999999999998</v>
      </c>
      <c r="AB36" s="22">
        <v>9.787657597876577E-2</v>
      </c>
      <c r="AC36" s="24">
        <v>0</v>
      </c>
      <c r="AD36" s="384">
        <v>0</v>
      </c>
    </row>
    <row r="37" spans="1:30">
      <c r="A37" s="21" t="s">
        <v>255</v>
      </c>
      <c r="B37" s="21" t="s">
        <v>256</v>
      </c>
      <c r="C37" s="23">
        <v>40</v>
      </c>
      <c r="D37" s="147">
        <v>0</v>
      </c>
      <c r="E37" s="22">
        <v>0</v>
      </c>
      <c r="F37" s="22">
        <v>0</v>
      </c>
      <c r="G37" s="22">
        <v>0</v>
      </c>
      <c r="H37" s="22">
        <v>0</v>
      </c>
      <c r="I37" s="22">
        <v>0</v>
      </c>
      <c r="J37" s="22">
        <v>0</v>
      </c>
      <c r="K37" s="22">
        <v>0</v>
      </c>
      <c r="L37" s="22">
        <v>0</v>
      </c>
      <c r="M37" s="388">
        <v>86</v>
      </c>
      <c r="N37" s="25">
        <v>0.33329999999999999</v>
      </c>
      <c r="O37" s="24">
        <v>0</v>
      </c>
      <c r="P37" s="24">
        <v>0</v>
      </c>
      <c r="Q37" s="24">
        <v>0</v>
      </c>
      <c r="R37" s="22">
        <v>0</v>
      </c>
      <c r="S37" s="24">
        <v>0</v>
      </c>
      <c r="T37" s="24">
        <f t="shared" si="4"/>
        <v>0</v>
      </c>
      <c r="U37" s="376">
        <v>28.66</v>
      </c>
      <c r="V37" s="376">
        <v>0</v>
      </c>
      <c r="W37" s="22">
        <f t="shared" si="5"/>
        <v>9.5523779999999991</v>
      </c>
      <c r="X37" s="22">
        <f t="shared" si="6"/>
        <v>7.75</v>
      </c>
      <c r="Y37" s="22">
        <v>7</v>
      </c>
      <c r="Z37" s="22">
        <v>0.75</v>
      </c>
      <c r="AA37" s="371">
        <v>86.8</v>
      </c>
      <c r="AB37" s="22">
        <v>8.9285714285714288E-2</v>
      </c>
      <c r="AC37" s="24">
        <v>0</v>
      </c>
      <c r="AD37" s="384">
        <v>0</v>
      </c>
    </row>
    <row r="38" spans="1:30">
      <c r="A38" s="21" t="s">
        <v>233</v>
      </c>
      <c r="B38" s="21" t="s">
        <v>234</v>
      </c>
      <c r="C38" s="23">
        <v>3211</v>
      </c>
      <c r="D38" s="147">
        <v>113.01</v>
      </c>
      <c r="E38" s="22">
        <v>662.91</v>
      </c>
      <c r="F38" s="22">
        <v>775.92</v>
      </c>
      <c r="G38" s="22">
        <v>0</v>
      </c>
      <c r="H38" s="22">
        <v>340</v>
      </c>
      <c r="I38" s="22">
        <v>10.93</v>
      </c>
      <c r="J38" s="22">
        <v>686.12</v>
      </c>
      <c r="K38" s="22">
        <v>0</v>
      </c>
      <c r="L38" s="22">
        <v>0</v>
      </c>
      <c r="M38" s="388">
        <v>10989.050000000001</v>
      </c>
      <c r="N38" s="25">
        <v>0.38040000000000002</v>
      </c>
      <c r="O38" s="24">
        <v>1016</v>
      </c>
      <c r="P38" s="24">
        <v>410.5</v>
      </c>
      <c r="Q38" s="24">
        <v>235</v>
      </c>
      <c r="R38" s="22">
        <v>175.5</v>
      </c>
      <c r="S38" s="24">
        <v>74.25</v>
      </c>
      <c r="T38" s="24">
        <f t="shared" si="4"/>
        <v>484.75</v>
      </c>
      <c r="U38" s="376">
        <v>4180.2299999999996</v>
      </c>
      <c r="V38" s="376">
        <v>549.45000000000005</v>
      </c>
      <c r="W38" s="22">
        <f t="shared" si="5"/>
        <v>1590.159492</v>
      </c>
      <c r="X38" s="22">
        <f t="shared" si="6"/>
        <v>1497.75</v>
      </c>
      <c r="Y38" s="22">
        <v>959</v>
      </c>
      <c r="Z38" s="22">
        <v>538.75</v>
      </c>
      <c r="AA38" s="371">
        <v>11101.92</v>
      </c>
      <c r="AB38" s="22">
        <v>0.134909096804877</v>
      </c>
      <c r="AC38" s="24">
        <v>0</v>
      </c>
      <c r="AD38" s="384">
        <v>0</v>
      </c>
    </row>
    <row r="39" spans="1:30">
      <c r="A39" s="21" t="s">
        <v>463</v>
      </c>
      <c r="B39" s="21" t="s">
        <v>464</v>
      </c>
      <c r="C39" s="23">
        <v>4266</v>
      </c>
      <c r="D39" s="147">
        <v>54.24</v>
      </c>
      <c r="E39" s="22">
        <v>638.70000000000005</v>
      </c>
      <c r="F39" s="22">
        <v>692.94</v>
      </c>
      <c r="G39" s="22">
        <v>52.27</v>
      </c>
      <c r="H39" s="22">
        <v>359</v>
      </c>
      <c r="I39" s="22">
        <v>10.78</v>
      </c>
      <c r="J39" s="22">
        <v>228</v>
      </c>
      <c r="K39" s="22">
        <v>91.8</v>
      </c>
      <c r="L39" s="22">
        <v>0</v>
      </c>
      <c r="M39" s="388">
        <v>14909.58</v>
      </c>
      <c r="N39" s="25">
        <v>0.38200000000000001</v>
      </c>
      <c r="O39" s="24">
        <v>3430</v>
      </c>
      <c r="P39" s="24">
        <v>476</v>
      </c>
      <c r="Q39" s="24">
        <v>288.75</v>
      </c>
      <c r="R39" s="22">
        <v>187.25</v>
      </c>
      <c r="S39" s="24">
        <v>96.25</v>
      </c>
      <c r="T39" s="24">
        <f t="shared" si="4"/>
        <v>572.25</v>
      </c>
      <c r="U39" s="376">
        <v>5695.46</v>
      </c>
      <c r="V39" s="376">
        <v>745.48</v>
      </c>
      <c r="W39" s="22">
        <f t="shared" si="5"/>
        <v>2175.66572</v>
      </c>
      <c r="X39" s="22">
        <f t="shared" si="6"/>
        <v>2012</v>
      </c>
      <c r="Y39" s="22">
        <v>915.25</v>
      </c>
      <c r="Z39" s="22">
        <v>1096.75</v>
      </c>
      <c r="AA39" s="371">
        <v>14268.61</v>
      </c>
      <c r="AB39" s="22">
        <v>0.14100882987200575</v>
      </c>
      <c r="AC39" s="24">
        <v>6.0088298720057387E-3</v>
      </c>
      <c r="AD39" s="384">
        <v>-786862.87844115135</v>
      </c>
    </row>
    <row r="40" spans="1:30">
      <c r="A40" s="21" t="s">
        <v>295</v>
      </c>
      <c r="B40" s="21" t="s">
        <v>296</v>
      </c>
      <c r="C40" s="23">
        <v>1036</v>
      </c>
      <c r="D40" s="147">
        <v>48.87</v>
      </c>
      <c r="E40" s="22">
        <v>228.67</v>
      </c>
      <c r="F40" s="22">
        <v>277.53999999999996</v>
      </c>
      <c r="G40" s="22">
        <v>0</v>
      </c>
      <c r="H40" s="22">
        <v>96</v>
      </c>
      <c r="I40" s="22">
        <v>7.57</v>
      </c>
      <c r="J40" s="22">
        <v>52.77</v>
      </c>
      <c r="K40" s="22">
        <v>8.6</v>
      </c>
      <c r="L40" s="22">
        <v>0</v>
      </c>
      <c r="M40" s="388">
        <v>3368.94</v>
      </c>
      <c r="N40" s="25">
        <v>0.80730000000000002</v>
      </c>
      <c r="O40" s="24">
        <v>3285</v>
      </c>
      <c r="P40" s="24">
        <v>482.5</v>
      </c>
      <c r="Q40" s="24">
        <v>312.5</v>
      </c>
      <c r="R40" s="22">
        <v>170</v>
      </c>
      <c r="S40" s="24">
        <v>67</v>
      </c>
      <c r="T40" s="24">
        <f t="shared" si="4"/>
        <v>549.5</v>
      </c>
      <c r="U40" s="376">
        <v>2719.41</v>
      </c>
      <c r="V40" s="376">
        <v>168.45</v>
      </c>
      <c r="W40" s="22">
        <f t="shared" si="5"/>
        <v>2195.3796929999999</v>
      </c>
      <c r="X40" s="22">
        <f t="shared" si="6"/>
        <v>465.75</v>
      </c>
      <c r="Y40" s="22">
        <v>271.25</v>
      </c>
      <c r="Z40" s="22">
        <v>194.5</v>
      </c>
      <c r="AA40" s="371">
        <v>3390.27</v>
      </c>
      <c r="AB40" s="22">
        <v>0.1373784388853985</v>
      </c>
      <c r="AC40" s="24">
        <v>2.3784388853984872E-3</v>
      </c>
      <c r="AD40" s="384">
        <v>-74477.763775801446</v>
      </c>
    </row>
    <row r="41" spans="1:30">
      <c r="A41" s="21" t="s">
        <v>291</v>
      </c>
      <c r="B41" s="21" t="s">
        <v>292</v>
      </c>
      <c r="C41" s="23">
        <v>835</v>
      </c>
      <c r="D41" s="147">
        <v>0</v>
      </c>
      <c r="E41" s="22">
        <v>171.26</v>
      </c>
      <c r="F41" s="22">
        <v>171.26</v>
      </c>
      <c r="G41" s="22">
        <v>0</v>
      </c>
      <c r="H41" s="22">
        <v>71</v>
      </c>
      <c r="I41" s="22">
        <v>7.15</v>
      </c>
      <c r="J41" s="22">
        <v>25.77</v>
      </c>
      <c r="K41" s="22">
        <v>5.4</v>
      </c>
      <c r="L41" s="22">
        <v>0</v>
      </c>
      <c r="M41" s="388">
        <v>2909.32</v>
      </c>
      <c r="N41" s="25">
        <v>0.46789999999999998</v>
      </c>
      <c r="O41" s="24">
        <v>1251</v>
      </c>
      <c r="P41" s="24">
        <v>108.5</v>
      </c>
      <c r="Q41" s="24">
        <v>56.25</v>
      </c>
      <c r="R41" s="22">
        <v>52.25</v>
      </c>
      <c r="S41" s="24">
        <v>16</v>
      </c>
      <c r="T41" s="24">
        <f t="shared" si="4"/>
        <v>124.5</v>
      </c>
      <c r="U41" s="376">
        <v>1361.27</v>
      </c>
      <c r="V41" s="376">
        <v>145.47</v>
      </c>
      <c r="W41" s="22">
        <f t="shared" si="5"/>
        <v>636.93823299999997</v>
      </c>
      <c r="X41" s="22">
        <f t="shared" si="6"/>
        <v>388.5</v>
      </c>
      <c r="Y41" s="22">
        <v>210.25</v>
      </c>
      <c r="Z41" s="22">
        <v>178.25</v>
      </c>
      <c r="AA41" s="371">
        <v>2850.93</v>
      </c>
      <c r="AB41" s="22">
        <v>0.13627132198966654</v>
      </c>
      <c r="AC41" s="24">
        <v>1.2713219896665351E-3</v>
      </c>
      <c r="AD41" s="384">
        <v>-34058.475313955365</v>
      </c>
    </row>
    <row r="42" spans="1:30">
      <c r="A42" s="21" t="s">
        <v>467</v>
      </c>
      <c r="B42" s="21" t="s">
        <v>468</v>
      </c>
      <c r="C42" s="23">
        <v>1490</v>
      </c>
      <c r="D42" s="147">
        <v>97.13</v>
      </c>
      <c r="E42" s="22">
        <v>400.93</v>
      </c>
      <c r="F42" s="22">
        <v>498.06</v>
      </c>
      <c r="G42" s="22">
        <v>0</v>
      </c>
      <c r="H42" s="22">
        <v>145</v>
      </c>
      <c r="I42" s="22">
        <v>2.41</v>
      </c>
      <c r="J42" s="22">
        <v>311.99</v>
      </c>
      <c r="K42" s="22">
        <v>8.16</v>
      </c>
      <c r="L42" s="22">
        <v>1</v>
      </c>
      <c r="M42" s="388">
        <v>5337.5599999999995</v>
      </c>
      <c r="N42" s="25">
        <v>0.49630000000000002</v>
      </c>
      <c r="O42" s="24">
        <v>1507</v>
      </c>
      <c r="P42" s="24">
        <v>238.25</v>
      </c>
      <c r="Q42" s="24">
        <v>168.75</v>
      </c>
      <c r="R42" s="22">
        <v>69.5</v>
      </c>
      <c r="S42" s="24">
        <v>41.25</v>
      </c>
      <c r="T42" s="24">
        <f t="shared" si="4"/>
        <v>279.5</v>
      </c>
      <c r="U42" s="376">
        <v>2649.03</v>
      </c>
      <c r="V42" s="376">
        <v>266.88</v>
      </c>
      <c r="W42" s="22">
        <f t="shared" si="5"/>
        <v>1314.7135890000002</v>
      </c>
      <c r="X42" s="22">
        <f t="shared" si="6"/>
        <v>804.75</v>
      </c>
      <c r="Y42" s="22">
        <v>600.75</v>
      </c>
      <c r="Z42" s="22">
        <v>204</v>
      </c>
      <c r="AA42" s="371">
        <v>5179.01</v>
      </c>
      <c r="AB42" s="22">
        <v>0.15538684034207309</v>
      </c>
      <c r="AC42" s="24">
        <v>2.0386840342073081E-2</v>
      </c>
      <c r="AD42" s="384">
        <v>-973086.83030466514</v>
      </c>
    </row>
    <row r="43" spans="1:30">
      <c r="A43" s="21" t="s">
        <v>485</v>
      </c>
      <c r="B43" s="21" t="s">
        <v>486</v>
      </c>
      <c r="C43" s="23">
        <v>153</v>
      </c>
      <c r="D43" s="147">
        <v>10.06</v>
      </c>
      <c r="E43" s="22">
        <v>60.72</v>
      </c>
      <c r="F43" s="22">
        <v>70.78</v>
      </c>
      <c r="G43" s="22">
        <v>0</v>
      </c>
      <c r="H43" s="22">
        <v>23</v>
      </c>
      <c r="I43" s="22">
        <v>0.46</v>
      </c>
      <c r="J43" s="22">
        <v>118.30000000000001</v>
      </c>
      <c r="K43" s="22">
        <v>14.4</v>
      </c>
      <c r="L43" s="22">
        <v>0</v>
      </c>
      <c r="M43" s="388">
        <v>705.16</v>
      </c>
      <c r="N43" s="25">
        <v>0.58360000000000001</v>
      </c>
      <c r="O43" s="24">
        <v>754</v>
      </c>
      <c r="P43" s="24">
        <v>1</v>
      </c>
      <c r="Q43" s="24">
        <v>0</v>
      </c>
      <c r="R43" s="22">
        <v>1</v>
      </c>
      <c r="S43" s="24">
        <v>0</v>
      </c>
      <c r="T43" s="24">
        <f t="shared" si="4"/>
        <v>1</v>
      </c>
      <c r="U43" s="376">
        <v>410.69</v>
      </c>
      <c r="V43" s="376">
        <v>35.26</v>
      </c>
      <c r="W43" s="22">
        <f t="shared" si="5"/>
        <v>239.678684</v>
      </c>
      <c r="X43" s="22">
        <f t="shared" si="6"/>
        <v>132.75</v>
      </c>
      <c r="Y43" s="22">
        <v>91.25</v>
      </c>
      <c r="Z43" s="22">
        <v>41.5</v>
      </c>
      <c r="AA43" s="371">
        <v>766.06</v>
      </c>
      <c r="AB43" s="22">
        <v>0.17328929848836908</v>
      </c>
      <c r="AC43" s="24">
        <v>3.8289298488369067E-2</v>
      </c>
      <c r="AD43" s="384">
        <v>-266640.58957461372</v>
      </c>
    </row>
    <row r="44" spans="1:30">
      <c r="A44" s="21" t="s">
        <v>1038</v>
      </c>
      <c r="B44" s="21" t="s">
        <v>1043</v>
      </c>
      <c r="C44" s="23">
        <v>172.2</v>
      </c>
      <c r="D44" s="147">
        <v>0</v>
      </c>
      <c r="E44" s="22">
        <v>28.78</v>
      </c>
      <c r="F44" s="22">
        <v>28.78</v>
      </c>
      <c r="G44" s="22">
        <v>0</v>
      </c>
      <c r="H44" s="22">
        <v>0.85</v>
      </c>
      <c r="I44" s="22">
        <v>0</v>
      </c>
      <c r="J44" s="22">
        <v>0</v>
      </c>
      <c r="K44" s="22">
        <v>0</v>
      </c>
      <c r="L44" s="22">
        <v>0</v>
      </c>
      <c r="M44" s="388">
        <v>580.26</v>
      </c>
      <c r="N44" s="25">
        <v>0.52859999999999996</v>
      </c>
      <c r="O44" s="24">
        <v>594</v>
      </c>
      <c r="P44" s="24">
        <v>0</v>
      </c>
      <c r="Q44" s="24">
        <v>0</v>
      </c>
      <c r="R44" s="22">
        <v>0</v>
      </c>
      <c r="S44" s="24">
        <v>0</v>
      </c>
      <c r="T44" s="24">
        <f t="shared" si="4"/>
        <v>0</v>
      </c>
      <c r="U44" s="376">
        <v>307.70999999999998</v>
      </c>
      <c r="V44" s="376">
        <v>0</v>
      </c>
      <c r="W44" s="22">
        <f t="shared" si="5"/>
        <v>162.65550599999997</v>
      </c>
      <c r="X44" s="22">
        <f t="shared" si="6"/>
        <v>0</v>
      </c>
      <c r="Y44" s="22">
        <v>0</v>
      </c>
      <c r="Z44" s="22">
        <v>0</v>
      </c>
      <c r="AA44" s="371">
        <v>580.25</v>
      </c>
      <c r="AB44" s="22">
        <v>0</v>
      </c>
      <c r="AC44" s="24">
        <v>0</v>
      </c>
      <c r="AD44" s="384">
        <v>0</v>
      </c>
    </row>
    <row r="45" spans="1:30">
      <c r="A45" s="21" t="s">
        <v>179</v>
      </c>
      <c r="B45" s="21" t="s">
        <v>180</v>
      </c>
      <c r="C45" s="23">
        <v>196</v>
      </c>
      <c r="D45" s="147">
        <v>0</v>
      </c>
      <c r="E45" s="22">
        <v>13.75</v>
      </c>
      <c r="F45" s="22">
        <v>13.75</v>
      </c>
      <c r="G45" s="22">
        <v>0</v>
      </c>
      <c r="H45" s="22">
        <v>15</v>
      </c>
      <c r="I45" s="22">
        <v>1.03</v>
      </c>
      <c r="J45" s="22">
        <v>79.349999999999994</v>
      </c>
      <c r="K45" s="22">
        <v>0</v>
      </c>
      <c r="L45" s="22">
        <v>0</v>
      </c>
      <c r="M45" s="388">
        <v>674.38</v>
      </c>
      <c r="N45" s="25">
        <v>0.51580000000000004</v>
      </c>
      <c r="O45" s="24">
        <v>327</v>
      </c>
      <c r="P45" s="24">
        <v>17.25</v>
      </c>
      <c r="Q45" s="24">
        <v>16.75</v>
      </c>
      <c r="R45" s="22">
        <v>0.5</v>
      </c>
      <c r="S45" s="24">
        <v>1.75</v>
      </c>
      <c r="T45" s="24">
        <f t="shared" si="4"/>
        <v>19</v>
      </c>
      <c r="U45" s="376">
        <v>348.32</v>
      </c>
      <c r="V45" s="376">
        <v>0</v>
      </c>
      <c r="W45" s="22">
        <f t="shared" si="5"/>
        <v>179.663456</v>
      </c>
      <c r="X45" s="22">
        <f t="shared" si="6"/>
        <v>110.75</v>
      </c>
      <c r="Y45" s="22">
        <v>77</v>
      </c>
      <c r="Z45" s="22">
        <v>33.75</v>
      </c>
      <c r="AA45" s="371">
        <v>685.95</v>
      </c>
      <c r="AB45" s="22">
        <v>0.16145491653910635</v>
      </c>
      <c r="AC45" s="24">
        <v>2.6454916539106338E-2</v>
      </c>
      <c r="AD45" s="384">
        <v>-182307.15794594263</v>
      </c>
    </row>
    <row r="46" spans="1:30">
      <c r="A46" s="21" t="s">
        <v>13</v>
      </c>
      <c r="B46" s="21" t="s">
        <v>14</v>
      </c>
      <c r="C46" s="23">
        <v>756</v>
      </c>
      <c r="D46" s="147">
        <v>0</v>
      </c>
      <c r="E46" s="22">
        <v>154.96</v>
      </c>
      <c r="F46" s="22">
        <v>154.96</v>
      </c>
      <c r="G46" s="22">
        <v>0</v>
      </c>
      <c r="H46" s="22">
        <v>22</v>
      </c>
      <c r="I46" s="22">
        <v>2.37</v>
      </c>
      <c r="J46" s="22">
        <v>175.07999999999998</v>
      </c>
      <c r="K46" s="22">
        <v>3.8</v>
      </c>
      <c r="L46" s="22">
        <v>0</v>
      </c>
      <c r="M46" s="388">
        <v>2472.25</v>
      </c>
      <c r="N46" s="25">
        <v>0.57350000000000001</v>
      </c>
      <c r="O46" s="24">
        <v>1347</v>
      </c>
      <c r="P46" s="24">
        <v>18.25</v>
      </c>
      <c r="Q46" s="24">
        <v>15.25</v>
      </c>
      <c r="R46" s="22">
        <v>3</v>
      </c>
      <c r="S46" s="24">
        <v>6</v>
      </c>
      <c r="T46" s="24">
        <f t="shared" si="4"/>
        <v>24.25</v>
      </c>
      <c r="U46" s="376">
        <v>1417.84</v>
      </c>
      <c r="V46" s="376">
        <v>123.61</v>
      </c>
      <c r="W46" s="22">
        <f t="shared" si="5"/>
        <v>813.13123999999993</v>
      </c>
      <c r="X46" s="22">
        <f t="shared" si="6"/>
        <v>385.75</v>
      </c>
      <c r="Y46" s="22">
        <v>264.75</v>
      </c>
      <c r="Z46" s="22">
        <v>121</v>
      </c>
      <c r="AA46" s="371">
        <v>2438.7800000000002</v>
      </c>
      <c r="AB46" s="22">
        <v>0.15817334896956672</v>
      </c>
      <c r="AC46" s="24">
        <v>2.3173348969566715E-2</v>
      </c>
      <c r="AD46" s="384">
        <v>-524277.96813362517</v>
      </c>
    </row>
    <row r="47" spans="1:30">
      <c r="A47" s="21" t="s">
        <v>249</v>
      </c>
      <c r="B47" s="21" t="s">
        <v>250</v>
      </c>
      <c r="C47" s="23">
        <v>236</v>
      </c>
      <c r="D47" s="147">
        <v>8.83</v>
      </c>
      <c r="E47" s="22">
        <v>61.15</v>
      </c>
      <c r="F47" s="22">
        <v>69.98</v>
      </c>
      <c r="G47" s="22">
        <v>0</v>
      </c>
      <c r="H47" s="22">
        <v>20</v>
      </c>
      <c r="I47" s="22">
        <v>0</v>
      </c>
      <c r="J47" s="22">
        <v>22.3</v>
      </c>
      <c r="K47" s="22">
        <v>0</v>
      </c>
      <c r="L47" s="22">
        <v>0</v>
      </c>
      <c r="M47" s="388">
        <v>879.3</v>
      </c>
      <c r="N47" s="25">
        <v>0.40670000000000001</v>
      </c>
      <c r="O47" s="24">
        <v>22</v>
      </c>
      <c r="P47" s="24">
        <v>13</v>
      </c>
      <c r="Q47" s="24">
        <v>7.25</v>
      </c>
      <c r="R47" s="22">
        <v>5.75</v>
      </c>
      <c r="S47" s="24">
        <v>1</v>
      </c>
      <c r="T47" s="24">
        <f t="shared" si="4"/>
        <v>14</v>
      </c>
      <c r="U47" s="376">
        <v>357.61</v>
      </c>
      <c r="V47" s="376">
        <v>43.97</v>
      </c>
      <c r="W47" s="22">
        <f t="shared" si="5"/>
        <v>145.439987</v>
      </c>
      <c r="X47" s="22">
        <f t="shared" si="6"/>
        <v>130.75</v>
      </c>
      <c r="Y47" s="22">
        <v>106</v>
      </c>
      <c r="Z47" s="22">
        <v>24.75</v>
      </c>
      <c r="AA47" s="371">
        <v>883.74</v>
      </c>
      <c r="AB47" s="22">
        <v>0.14795075474687125</v>
      </c>
      <c r="AC47" s="24">
        <v>1.295075474687124E-2</v>
      </c>
      <c r="AD47" s="384">
        <v>-105258.95545252202</v>
      </c>
    </row>
    <row r="48" spans="1:30">
      <c r="A48" s="21" t="s">
        <v>377</v>
      </c>
      <c r="B48" s="21" t="s">
        <v>378</v>
      </c>
      <c r="C48" s="23">
        <v>4378</v>
      </c>
      <c r="D48" s="147">
        <v>369.97</v>
      </c>
      <c r="E48" s="22">
        <v>571.04</v>
      </c>
      <c r="F48" s="22">
        <v>941.01</v>
      </c>
      <c r="G48" s="22">
        <v>0</v>
      </c>
      <c r="H48" s="22">
        <v>168</v>
      </c>
      <c r="I48" s="22">
        <v>8.98</v>
      </c>
      <c r="J48" s="22">
        <v>549.36</v>
      </c>
      <c r="K48" s="22">
        <v>193.6</v>
      </c>
      <c r="L48" s="22">
        <v>0</v>
      </c>
      <c r="M48" s="388">
        <v>12455.94</v>
      </c>
      <c r="N48" s="25">
        <v>0.68879999999999997</v>
      </c>
      <c r="O48" s="24">
        <v>9349</v>
      </c>
      <c r="P48" s="24">
        <v>1585.5</v>
      </c>
      <c r="Q48" s="24">
        <v>1102.75</v>
      </c>
      <c r="R48" s="22">
        <v>482.75</v>
      </c>
      <c r="S48" s="24">
        <v>416</v>
      </c>
      <c r="T48" s="24">
        <f t="shared" si="4"/>
        <v>2001.5</v>
      </c>
      <c r="U48" s="376">
        <v>8579.65</v>
      </c>
      <c r="V48" s="376">
        <v>622.79999999999995</v>
      </c>
      <c r="W48" s="22">
        <f t="shared" si="5"/>
        <v>5909.6629199999998</v>
      </c>
      <c r="X48" s="22">
        <f t="shared" si="6"/>
        <v>1759.25</v>
      </c>
      <c r="Y48" s="22">
        <v>888.75</v>
      </c>
      <c r="Z48" s="22">
        <v>870.5</v>
      </c>
      <c r="AA48" s="371">
        <v>12069.44</v>
      </c>
      <c r="AB48" s="22">
        <v>0.14576069809369779</v>
      </c>
      <c r="AC48" s="24">
        <v>1.0760698093697785E-2</v>
      </c>
      <c r="AD48" s="384">
        <v>-1266986.2295037617</v>
      </c>
    </row>
    <row r="49" spans="1:30">
      <c r="A49" s="21" t="s">
        <v>563</v>
      </c>
      <c r="B49" s="21" t="s">
        <v>564</v>
      </c>
      <c r="C49" s="23">
        <v>149</v>
      </c>
      <c r="D49" s="147">
        <v>6.88</v>
      </c>
      <c r="E49" s="22">
        <v>49.3</v>
      </c>
      <c r="F49" s="22">
        <v>56.18</v>
      </c>
      <c r="G49" s="22">
        <v>0</v>
      </c>
      <c r="H49" s="22">
        <v>1</v>
      </c>
      <c r="I49" s="22">
        <v>0.25</v>
      </c>
      <c r="J49" s="22">
        <v>0</v>
      </c>
      <c r="K49" s="22">
        <v>0</v>
      </c>
      <c r="L49" s="22">
        <v>0</v>
      </c>
      <c r="M49" s="388">
        <v>517.25</v>
      </c>
      <c r="N49" s="25">
        <v>0.32319999999999999</v>
      </c>
      <c r="O49" s="24">
        <v>0</v>
      </c>
      <c r="P49" s="24">
        <v>0</v>
      </c>
      <c r="Q49" s="24">
        <v>0</v>
      </c>
      <c r="R49" s="22">
        <v>0</v>
      </c>
      <c r="S49" s="24">
        <v>0</v>
      </c>
      <c r="T49" s="24">
        <f t="shared" si="4"/>
        <v>0</v>
      </c>
      <c r="U49" s="376">
        <v>167.18</v>
      </c>
      <c r="V49" s="376">
        <v>25.86</v>
      </c>
      <c r="W49" s="22">
        <f t="shared" si="5"/>
        <v>54.032575999999999</v>
      </c>
      <c r="X49" s="22">
        <f t="shared" si="6"/>
        <v>77.75</v>
      </c>
      <c r="Y49" s="22">
        <v>50</v>
      </c>
      <c r="Z49" s="22">
        <v>27.75</v>
      </c>
      <c r="AA49" s="371">
        <v>518.04999999999995</v>
      </c>
      <c r="AB49" s="22">
        <v>0.15008203841328058</v>
      </c>
      <c r="AC49" s="24">
        <v>1.5082038413280568E-2</v>
      </c>
      <c r="AD49" s="384">
        <v>-71875.713737588943</v>
      </c>
    </row>
    <row r="50" spans="1:30">
      <c r="A50" s="21" t="s">
        <v>529</v>
      </c>
      <c r="B50" s="21" t="s">
        <v>530</v>
      </c>
      <c r="C50" s="23">
        <v>446</v>
      </c>
      <c r="D50" s="147">
        <v>0</v>
      </c>
      <c r="E50" s="22">
        <v>131.59</v>
      </c>
      <c r="F50" s="22">
        <v>131.59</v>
      </c>
      <c r="G50" s="22">
        <v>0</v>
      </c>
      <c r="H50" s="22">
        <v>50</v>
      </c>
      <c r="I50" s="22">
        <v>3.89</v>
      </c>
      <c r="J50" s="22">
        <v>0</v>
      </c>
      <c r="K50" s="22">
        <v>8.33</v>
      </c>
      <c r="L50" s="22">
        <v>0.87</v>
      </c>
      <c r="M50" s="388">
        <v>1561.09</v>
      </c>
      <c r="N50" s="25">
        <v>0.56679999999999997</v>
      </c>
      <c r="O50" s="24">
        <v>1525</v>
      </c>
      <c r="P50" s="24">
        <v>292.25</v>
      </c>
      <c r="Q50" s="24">
        <v>178.25</v>
      </c>
      <c r="R50" s="22">
        <v>114</v>
      </c>
      <c r="S50" s="24">
        <v>44.25</v>
      </c>
      <c r="T50" s="24">
        <f t="shared" si="4"/>
        <v>336.5</v>
      </c>
      <c r="U50" s="376">
        <v>884.83</v>
      </c>
      <c r="V50" s="376">
        <v>78.05</v>
      </c>
      <c r="W50" s="22">
        <f t="shared" si="5"/>
        <v>501.52164399999998</v>
      </c>
      <c r="X50" s="22">
        <f t="shared" si="6"/>
        <v>210</v>
      </c>
      <c r="Y50" s="22">
        <v>103.5</v>
      </c>
      <c r="Z50" s="22">
        <v>106.5</v>
      </c>
      <c r="AA50" s="371">
        <v>1529.2</v>
      </c>
      <c r="AB50" s="22">
        <v>0.1373267067747842</v>
      </c>
      <c r="AC50" s="24">
        <v>2.326706774784193E-3</v>
      </c>
      <c r="AD50" s="384">
        <v>-32679.539941754483</v>
      </c>
    </row>
    <row r="51" spans="1:30">
      <c r="A51" s="21" t="s">
        <v>571</v>
      </c>
      <c r="B51" s="21" t="s">
        <v>572</v>
      </c>
      <c r="C51" s="23">
        <v>38</v>
      </c>
      <c r="D51" s="147">
        <v>0</v>
      </c>
      <c r="E51" s="22">
        <v>9.4600000000000009</v>
      </c>
      <c r="F51" s="22">
        <v>9.4600000000000009</v>
      </c>
      <c r="G51" s="22">
        <v>0</v>
      </c>
      <c r="H51" s="22">
        <v>1</v>
      </c>
      <c r="I51" s="22">
        <v>0</v>
      </c>
      <c r="J51" s="22">
        <v>0</v>
      </c>
      <c r="K51" s="22">
        <v>0</v>
      </c>
      <c r="L51" s="22">
        <v>0</v>
      </c>
      <c r="M51" s="388">
        <v>143</v>
      </c>
      <c r="N51" s="25">
        <v>0.31009999999999999</v>
      </c>
      <c r="O51" s="24">
        <v>0</v>
      </c>
      <c r="P51" s="24">
        <v>0</v>
      </c>
      <c r="Q51" s="24">
        <v>0</v>
      </c>
      <c r="R51" s="22">
        <v>0</v>
      </c>
      <c r="S51" s="24">
        <v>0</v>
      </c>
      <c r="T51" s="24">
        <f t="shared" si="4"/>
        <v>0</v>
      </c>
      <c r="U51" s="376">
        <v>44.34</v>
      </c>
      <c r="V51" s="376">
        <v>0</v>
      </c>
      <c r="W51" s="22">
        <f t="shared" si="5"/>
        <v>13.749834</v>
      </c>
      <c r="X51" s="22">
        <f t="shared" si="6"/>
        <v>29.25</v>
      </c>
      <c r="Y51" s="22">
        <v>27.75</v>
      </c>
      <c r="Z51" s="22">
        <v>1.5</v>
      </c>
      <c r="AA51" s="371">
        <v>158.57</v>
      </c>
      <c r="AB51" s="22">
        <v>0.18446112127136283</v>
      </c>
      <c r="AC51" s="24">
        <v>4.9461121271362818E-2</v>
      </c>
      <c r="AD51" s="384">
        <v>-73459.96476625248</v>
      </c>
    </row>
    <row r="52" spans="1:30">
      <c r="A52" s="21" t="s">
        <v>499</v>
      </c>
      <c r="B52" s="21" t="s">
        <v>500</v>
      </c>
      <c r="C52" s="23">
        <v>28</v>
      </c>
      <c r="D52" s="147">
        <v>0</v>
      </c>
      <c r="E52" s="22">
        <v>7.42</v>
      </c>
      <c r="F52" s="22">
        <v>7.42</v>
      </c>
      <c r="G52" s="22">
        <v>0</v>
      </c>
      <c r="H52" s="22">
        <v>2</v>
      </c>
      <c r="I52" s="22">
        <v>0</v>
      </c>
      <c r="J52" s="22">
        <v>0</v>
      </c>
      <c r="K52" s="22">
        <v>0</v>
      </c>
      <c r="L52" s="22">
        <v>0</v>
      </c>
      <c r="M52" s="388">
        <v>97</v>
      </c>
      <c r="N52" s="25">
        <v>0.8</v>
      </c>
      <c r="O52" s="24">
        <v>102</v>
      </c>
      <c r="P52" s="24">
        <v>0</v>
      </c>
      <c r="Q52" s="24">
        <v>0</v>
      </c>
      <c r="R52" s="22">
        <v>0</v>
      </c>
      <c r="S52" s="24">
        <v>0</v>
      </c>
      <c r="T52" s="24">
        <f t="shared" si="4"/>
        <v>0</v>
      </c>
      <c r="U52" s="376">
        <v>77.599999999999994</v>
      </c>
      <c r="V52" s="376">
        <v>4.8499999999999996</v>
      </c>
      <c r="W52" s="22">
        <f t="shared" si="5"/>
        <v>62.08</v>
      </c>
      <c r="X52" s="22">
        <f t="shared" si="6"/>
        <v>16.5</v>
      </c>
      <c r="Y52" s="22">
        <v>16</v>
      </c>
      <c r="Z52" s="22">
        <v>0.5</v>
      </c>
      <c r="AA52" s="371">
        <v>104.46</v>
      </c>
      <c r="AB52" s="22">
        <v>0.1579551981619759</v>
      </c>
      <c r="AC52" s="24">
        <v>2.2955198161975887E-2</v>
      </c>
      <c r="AD52" s="384">
        <v>-22237.925902937226</v>
      </c>
    </row>
    <row r="53" spans="1:30">
      <c r="A53" s="21" t="s">
        <v>533</v>
      </c>
      <c r="B53" s="21" t="s">
        <v>534</v>
      </c>
      <c r="C53" s="23">
        <v>195</v>
      </c>
      <c r="D53" s="147">
        <v>0</v>
      </c>
      <c r="E53" s="22">
        <v>54.43</v>
      </c>
      <c r="F53" s="22">
        <v>54.43</v>
      </c>
      <c r="G53" s="22">
        <v>0</v>
      </c>
      <c r="H53" s="22">
        <v>13</v>
      </c>
      <c r="I53" s="22">
        <v>0.5</v>
      </c>
      <c r="J53" s="22">
        <v>0</v>
      </c>
      <c r="K53" s="22">
        <v>2.8</v>
      </c>
      <c r="L53" s="22">
        <v>0</v>
      </c>
      <c r="M53" s="388">
        <v>725.3</v>
      </c>
      <c r="N53" s="25">
        <v>0.56020000000000003</v>
      </c>
      <c r="O53" s="24">
        <v>714</v>
      </c>
      <c r="P53" s="24">
        <v>132.5</v>
      </c>
      <c r="Q53" s="24">
        <v>80.75</v>
      </c>
      <c r="R53" s="22">
        <v>51.75</v>
      </c>
      <c r="S53" s="24">
        <v>22</v>
      </c>
      <c r="T53" s="24">
        <f t="shared" si="4"/>
        <v>154.5</v>
      </c>
      <c r="U53" s="376">
        <v>399.42</v>
      </c>
      <c r="V53" s="376">
        <v>36.270000000000003</v>
      </c>
      <c r="W53" s="22">
        <f t="shared" si="5"/>
        <v>223.75508400000001</v>
      </c>
      <c r="X53" s="22">
        <f t="shared" si="6"/>
        <v>96.25</v>
      </c>
      <c r="Y53" s="22">
        <v>71.75</v>
      </c>
      <c r="Z53" s="22">
        <v>24.5</v>
      </c>
      <c r="AA53" s="371">
        <v>714.02</v>
      </c>
      <c r="AB53" s="22">
        <v>0.13480014565418336</v>
      </c>
      <c r="AC53" s="24">
        <v>0</v>
      </c>
      <c r="AD53" s="384">
        <v>0</v>
      </c>
    </row>
    <row r="54" spans="1:30">
      <c r="A54" s="21" t="s">
        <v>491</v>
      </c>
      <c r="B54" s="21" t="s">
        <v>492</v>
      </c>
      <c r="C54" s="23">
        <v>439</v>
      </c>
      <c r="D54" s="147">
        <v>14.62</v>
      </c>
      <c r="E54" s="22">
        <v>113.13</v>
      </c>
      <c r="F54" s="22">
        <v>127.75</v>
      </c>
      <c r="G54" s="22">
        <v>14.15</v>
      </c>
      <c r="H54" s="22">
        <v>41</v>
      </c>
      <c r="I54" s="22">
        <v>1.56</v>
      </c>
      <c r="J54" s="22">
        <v>65.830000000000013</v>
      </c>
      <c r="K54" s="22">
        <v>8.6</v>
      </c>
      <c r="L54" s="22">
        <v>0</v>
      </c>
      <c r="M54" s="388">
        <v>1701.9899999999998</v>
      </c>
      <c r="N54" s="25">
        <v>0.53720000000000001</v>
      </c>
      <c r="O54" s="24">
        <v>1111</v>
      </c>
      <c r="P54" s="24">
        <v>16.5</v>
      </c>
      <c r="Q54" s="24">
        <v>14.5</v>
      </c>
      <c r="R54" s="22">
        <v>2</v>
      </c>
      <c r="S54" s="24">
        <v>1.75</v>
      </c>
      <c r="T54" s="24">
        <f t="shared" si="4"/>
        <v>18.25</v>
      </c>
      <c r="U54" s="376">
        <v>883.33</v>
      </c>
      <c r="V54" s="376">
        <v>85.1</v>
      </c>
      <c r="W54" s="22">
        <f t="shared" si="5"/>
        <v>474.52487600000001</v>
      </c>
      <c r="X54" s="22">
        <f t="shared" si="6"/>
        <v>238.5</v>
      </c>
      <c r="Y54" s="22">
        <v>153.5</v>
      </c>
      <c r="Z54" s="22">
        <v>85</v>
      </c>
      <c r="AA54" s="371">
        <v>1634.52</v>
      </c>
      <c r="AB54" s="22">
        <v>0.14591439688715954</v>
      </c>
      <c r="AC54" s="24">
        <v>1.0914396887159533E-2</v>
      </c>
      <c r="AD54" s="384">
        <v>-166668.58044526604</v>
      </c>
    </row>
    <row r="55" spans="1:30">
      <c r="A55" s="21" t="s">
        <v>401</v>
      </c>
      <c r="B55" s="21" t="s">
        <v>402</v>
      </c>
      <c r="C55" s="23">
        <v>173</v>
      </c>
      <c r="D55" s="147">
        <v>6.05</v>
      </c>
      <c r="E55" s="22">
        <v>44.06</v>
      </c>
      <c r="F55" s="22">
        <v>50.11</v>
      </c>
      <c r="G55" s="22">
        <v>0</v>
      </c>
      <c r="H55" s="22">
        <v>6</v>
      </c>
      <c r="I55" s="22">
        <v>1.98</v>
      </c>
      <c r="J55" s="22">
        <v>4.05</v>
      </c>
      <c r="K55" s="22">
        <v>0</v>
      </c>
      <c r="L55" s="22">
        <v>0</v>
      </c>
      <c r="M55" s="388">
        <v>501.03000000000003</v>
      </c>
      <c r="N55" s="25">
        <v>0.70440000000000003</v>
      </c>
      <c r="O55" s="24">
        <v>504</v>
      </c>
      <c r="P55" s="24">
        <v>0</v>
      </c>
      <c r="Q55" s="24">
        <v>0</v>
      </c>
      <c r="R55" s="22">
        <v>0</v>
      </c>
      <c r="S55" s="24">
        <v>0</v>
      </c>
      <c r="T55" s="24">
        <f t="shared" si="4"/>
        <v>0</v>
      </c>
      <c r="U55" s="376">
        <v>352.93</v>
      </c>
      <c r="V55" s="376">
        <v>25.05</v>
      </c>
      <c r="W55" s="22">
        <f t="shared" si="5"/>
        <v>248.603892</v>
      </c>
      <c r="X55" s="22">
        <f t="shared" si="6"/>
        <v>85</v>
      </c>
      <c r="Y55" s="22">
        <v>53.5</v>
      </c>
      <c r="Z55" s="22">
        <v>31.5</v>
      </c>
      <c r="AA55" s="371">
        <v>497.53</v>
      </c>
      <c r="AB55" s="22">
        <v>0.17084396920788697</v>
      </c>
      <c r="AC55" s="24">
        <v>3.5843969207886961E-2</v>
      </c>
      <c r="AD55" s="384">
        <v>-180927.76518098268</v>
      </c>
    </row>
    <row r="56" spans="1:30">
      <c r="A56" s="21" t="s">
        <v>411</v>
      </c>
      <c r="B56" s="21" t="s">
        <v>412</v>
      </c>
      <c r="C56" s="23">
        <v>206</v>
      </c>
      <c r="D56" s="147">
        <v>0</v>
      </c>
      <c r="E56" s="22">
        <v>0</v>
      </c>
      <c r="F56" s="22">
        <v>0</v>
      </c>
      <c r="G56" s="22">
        <v>0</v>
      </c>
      <c r="H56" s="22">
        <v>0</v>
      </c>
      <c r="I56" s="22">
        <v>0</v>
      </c>
      <c r="J56" s="22">
        <v>0</v>
      </c>
      <c r="K56" s="22">
        <v>0</v>
      </c>
      <c r="L56" s="22">
        <v>0</v>
      </c>
      <c r="M56" s="388">
        <v>439</v>
      </c>
      <c r="N56" s="25">
        <v>0.19209999999999999</v>
      </c>
      <c r="O56" s="24">
        <v>0</v>
      </c>
      <c r="P56" s="24">
        <v>31.75</v>
      </c>
      <c r="Q56" s="24">
        <v>24.75</v>
      </c>
      <c r="R56" s="22">
        <v>7</v>
      </c>
      <c r="S56" s="24">
        <v>0</v>
      </c>
      <c r="T56" s="24">
        <f t="shared" si="4"/>
        <v>31.75</v>
      </c>
      <c r="U56" s="376">
        <v>84.33</v>
      </c>
      <c r="V56" s="376">
        <v>21.95</v>
      </c>
      <c r="W56" s="22">
        <f t="shared" si="5"/>
        <v>16.199793</v>
      </c>
      <c r="X56" s="22">
        <f t="shared" si="6"/>
        <v>43.25</v>
      </c>
      <c r="Y56" s="22">
        <v>36.25</v>
      </c>
      <c r="Z56" s="22">
        <v>7</v>
      </c>
      <c r="AA56" s="371">
        <v>451.67</v>
      </c>
      <c r="AB56" s="22">
        <v>9.5755750880067297E-2</v>
      </c>
      <c r="AC56" s="24">
        <v>0</v>
      </c>
      <c r="AD56" s="384">
        <v>0</v>
      </c>
    </row>
    <row r="57" spans="1:30">
      <c r="A57" s="21" t="s">
        <v>157</v>
      </c>
      <c r="B57" s="21" t="s">
        <v>158</v>
      </c>
      <c r="C57" s="23">
        <v>105</v>
      </c>
      <c r="D57" s="147">
        <v>0</v>
      </c>
      <c r="E57" s="22">
        <v>0</v>
      </c>
      <c r="F57" s="22">
        <v>0</v>
      </c>
      <c r="G57" s="22">
        <v>0</v>
      </c>
      <c r="H57" s="22">
        <v>0</v>
      </c>
      <c r="I57" s="22">
        <v>0</v>
      </c>
      <c r="J57" s="22">
        <v>0</v>
      </c>
      <c r="K57" s="22">
        <v>0</v>
      </c>
      <c r="L57" s="22">
        <v>0</v>
      </c>
      <c r="M57" s="388">
        <v>172</v>
      </c>
      <c r="N57" s="25">
        <v>0.50329999999999997</v>
      </c>
      <c r="O57" s="24">
        <v>0</v>
      </c>
      <c r="P57" s="24">
        <v>2</v>
      </c>
      <c r="Q57" s="24">
        <v>2</v>
      </c>
      <c r="R57" s="22">
        <v>0</v>
      </c>
      <c r="S57" s="24">
        <v>1</v>
      </c>
      <c r="T57" s="24">
        <f t="shared" si="4"/>
        <v>3</v>
      </c>
      <c r="U57" s="376">
        <v>86.57</v>
      </c>
      <c r="V57" s="376">
        <v>8.6</v>
      </c>
      <c r="W57" s="22">
        <f t="shared" si="5"/>
        <v>43.570680999999993</v>
      </c>
      <c r="X57" s="22">
        <f t="shared" si="6"/>
        <v>23</v>
      </c>
      <c r="Y57" s="22">
        <v>15</v>
      </c>
      <c r="Z57" s="22">
        <v>8</v>
      </c>
      <c r="AA57" s="371">
        <v>163.80000000000001</v>
      </c>
      <c r="AB57" s="22">
        <v>0.14041514041514042</v>
      </c>
      <c r="AC57" s="24">
        <v>5.415140415140407E-3</v>
      </c>
      <c r="AD57" s="384">
        <v>-8824.6532612850096</v>
      </c>
    </row>
    <row r="58" spans="1:30">
      <c r="A58" s="21" t="s">
        <v>127</v>
      </c>
      <c r="B58" s="21" t="s">
        <v>128</v>
      </c>
      <c r="C58" s="23">
        <v>48</v>
      </c>
      <c r="D58" s="147">
        <v>0</v>
      </c>
      <c r="E58" s="22">
        <v>17.09</v>
      </c>
      <c r="F58" s="22">
        <v>17.09</v>
      </c>
      <c r="G58" s="22">
        <v>0</v>
      </c>
      <c r="H58" s="22">
        <v>6</v>
      </c>
      <c r="I58" s="22">
        <v>0.03</v>
      </c>
      <c r="J58" s="22">
        <v>0</v>
      </c>
      <c r="K58" s="22">
        <v>0</v>
      </c>
      <c r="L58" s="22">
        <v>0</v>
      </c>
      <c r="M58" s="388">
        <v>193.03</v>
      </c>
      <c r="N58" s="25">
        <v>0.4098</v>
      </c>
      <c r="O58" s="24">
        <v>0</v>
      </c>
      <c r="P58" s="24">
        <v>0</v>
      </c>
      <c r="Q58" s="24">
        <v>0</v>
      </c>
      <c r="R58" s="22">
        <v>0</v>
      </c>
      <c r="S58" s="24">
        <v>0</v>
      </c>
      <c r="T58" s="24">
        <f t="shared" si="4"/>
        <v>0</v>
      </c>
      <c r="U58" s="376">
        <v>79.099999999999994</v>
      </c>
      <c r="V58" s="376">
        <v>9.65</v>
      </c>
      <c r="W58" s="22">
        <f t="shared" si="5"/>
        <v>32.415179999999999</v>
      </c>
      <c r="X58" s="22">
        <f t="shared" si="6"/>
        <v>21.25</v>
      </c>
      <c r="Y58" s="22">
        <v>9.75</v>
      </c>
      <c r="Z58" s="22">
        <v>11.5</v>
      </c>
      <c r="AA58" s="371">
        <v>217.93</v>
      </c>
      <c r="AB58" s="22">
        <v>9.7508374248611931E-2</v>
      </c>
      <c r="AC58" s="24">
        <v>0</v>
      </c>
      <c r="AD58" s="384">
        <v>0</v>
      </c>
    </row>
    <row r="59" spans="1:30">
      <c r="A59" s="21" t="s">
        <v>169</v>
      </c>
      <c r="B59" s="21" t="s">
        <v>170</v>
      </c>
      <c r="C59" s="23">
        <v>321</v>
      </c>
      <c r="D59" s="147">
        <v>0.81</v>
      </c>
      <c r="E59" s="22">
        <v>14.28</v>
      </c>
      <c r="F59" s="22">
        <v>15.09</v>
      </c>
      <c r="G59" s="22">
        <v>0</v>
      </c>
      <c r="H59" s="22">
        <v>16</v>
      </c>
      <c r="I59" s="22">
        <v>1.1200000000000001</v>
      </c>
      <c r="J59" s="22">
        <v>0</v>
      </c>
      <c r="K59" s="22">
        <v>51.8</v>
      </c>
      <c r="L59" s="22">
        <v>0</v>
      </c>
      <c r="M59" s="388">
        <v>1021.92</v>
      </c>
      <c r="N59" s="25">
        <v>0.3422</v>
      </c>
      <c r="O59" s="24">
        <v>53</v>
      </c>
      <c r="P59" s="24">
        <v>27.75</v>
      </c>
      <c r="Q59" s="24">
        <v>16.75</v>
      </c>
      <c r="R59" s="22">
        <v>11</v>
      </c>
      <c r="S59" s="24">
        <v>3.75</v>
      </c>
      <c r="T59" s="24">
        <f t="shared" si="4"/>
        <v>31.5</v>
      </c>
      <c r="U59" s="376">
        <v>349.7</v>
      </c>
      <c r="V59" s="376">
        <v>51.1</v>
      </c>
      <c r="W59" s="22">
        <f t="shared" si="5"/>
        <v>119.66734</v>
      </c>
      <c r="X59" s="22">
        <f t="shared" si="6"/>
        <v>144</v>
      </c>
      <c r="Y59" s="22">
        <v>99.25</v>
      </c>
      <c r="Z59" s="22">
        <v>44.75</v>
      </c>
      <c r="AA59" s="371">
        <v>967.86</v>
      </c>
      <c r="AB59" s="22">
        <v>0.14878184861446903</v>
      </c>
      <c r="AC59" s="24">
        <v>1.3781848614469017E-2</v>
      </c>
      <c r="AD59" s="384">
        <v>-137318.76264375748</v>
      </c>
    </row>
    <row r="60" spans="1:30">
      <c r="A60" s="21" t="s">
        <v>45</v>
      </c>
      <c r="B60" s="21" t="s">
        <v>46</v>
      </c>
      <c r="C60" s="23">
        <v>42</v>
      </c>
      <c r="D60" s="147">
        <v>0</v>
      </c>
      <c r="E60" s="22">
        <v>3.8</v>
      </c>
      <c r="F60" s="22">
        <v>3.8</v>
      </c>
      <c r="G60" s="22">
        <v>0</v>
      </c>
      <c r="H60" s="22">
        <v>7</v>
      </c>
      <c r="I60" s="22">
        <v>0</v>
      </c>
      <c r="J60" s="22">
        <v>88.58</v>
      </c>
      <c r="K60" s="22">
        <v>0</v>
      </c>
      <c r="L60" s="22">
        <v>0</v>
      </c>
      <c r="M60" s="388">
        <v>277.58</v>
      </c>
      <c r="N60" s="25">
        <v>0.59550000000000003</v>
      </c>
      <c r="O60" s="24">
        <v>216</v>
      </c>
      <c r="P60" s="24">
        <v>0</v>
      </c>
      <c r="Q60" s="24">
        <v>0</v>
      </c>
      <c r="R60" s="22">
        <v>0</v>
      </c>
      <c r="S60" s="24">
        <v>0</v>
      </c>
      <c r="T60" s="24">
        <f t="shared" si="4"/>
        <v>0</v>
      </c>
      <c r="U60" s="376">
        <v>165.3</v>
      </c>
      <c r="V60" s="376">
        <v>13.88</v>
      </c>
      <c r="W60" s="22">
        <f t="shared" si="5"/>
        <v>98.436150000000012</v>
      </c>
      <c r="X60" s="22">
        <f t="shared" si="6"/>
        <v>31.25</v>
      </c>
      <c r="Y60" s="22">
        <v>23.75</v>
      </c>
      <c r="Z60" s="22">
        <v>7.5</v>
      </c>
      <c r="AA60" s="371">
        <v>307.8</v>
      </c>
      <c r="AB60" s="22">
        <v>0.10152696556205328</v>
      </c>
      <c r="AC60" s="24">
        <v>0</v>
      </c>
      <c r="AD60" s="384">
        <v>0</v>
      </c>
    </row>
    <row r="61" spans="1:30">
      <c r="A61" s="21" t="s">
        <v>303</v>
      </c>
      <c r="B61" s="21" t="s">
        <v>304</v>
      </c>
      <c r="C61" s="23">
        <v>22</v>
      </c>
      <c r="D61" s="147">
        <v>2.3199999999999998</v>
      </c>
      <c r="E61" s="22">
        <v>4.71</v>
      </c>
      <c r="F61" s="22">
        <v>7.0299999999999994</v>
      </c>
      <c r="G61" s="22">
        <v>0</v>
      </c>
      <c r="H61" s="22">
        <v>0</v>
      </c>
      <c r="I61" s="22">
        <v>0</v>
      </c>
      <c r="J61" s="22">
        <v>0</v>
      </c>
      <c r="K61" s="22">
        <v>0</v>
      </c>
      <c r="L61" s="22">
        <v>0</v>
      </c>
      <c r="M61" s="388">
        <v>83</v>
      </c>
      <c r="N61" s="25">
        <v>0.4884</v>
      </c>
      <c r="O61" s="24">
        <v>40</v>
      </c>
      <c r="P61" s="24">
        <v>0</v>
      </c>
      <c r="Q61" s="24">
        <v>0</v>
      </c>
      <c r="R61" s="22">
        <v>0</v>
      </c>
      <c r="S61" s="24">
        <v>0</v>
      </c>
      <c r="T61" s="24">
        <f t="shared" si="4"/>
        <v>0</v>
      </c>
      <c r="U61" s="376">
        <v>40.54</v>
      </c>
      <c r="V61" s="376">
        <v>4.1500000000000004</v>
      </c>
      <c r="W61" s="22">
        <f t="shared" si="5"/>
        <v>19.799735999999999</v>
      </c>
      <c r="X61" s="22">
        <f t="shared" si="6"/>
        <v>22</v>
      </c>
      <c r="Y61" s="22">
        <v>17.5</v>
      </c>
      <c r="Z61" s="22">
        <v>4.5</v>
      </c>
      <c r="AA61" s="371">
        <v>86.8</v>
      </c>
      <c r="AB61" s="22">
        <v>0.25345622119815669</v>
      </c>
      <c r="AC61" s="24">
        <v>0.11845622119815669</v>
      </c>
      <c r="AD61" s="384">
        <v>-96532.59821807484</v>
      </c>
    </row>
    <row r="62" spans="1:30">
      <c r="A62" s="21" t="s">
        <v>103</v>
      </c>
      <c r="B62" s="21" t="s">
        <v>104</v>
      </c>
      <c r="C62" s="23">
        <v>41</v>
      </c>
      <c r="D62" s="147">
        <v>0</v>
      </c>
      <c r="E62" s="22">
        <v>8.14</v>
      </c>
      <c r="F62" s="22">
        <v>8.14</v>
      </c>
      <c r="G62" s="22">
        <v>0</v>
      </c>
      <c r="H62" s="22">
        <v>2</v>
      </c>
      <c r="I62" s="22">
        <v>0</v>
      </c>
      <c r="J62" s="22">
        <v>34.090000000000003</v>
      </c>
      <c r="K62" s="22">
        <v>26</v>
      </c>
      <c r="L62" s="22">
        <v>0</v>
      </c>
      <c r="M62" s="388">
        <v>240.09</v>
      </c>
      <c r="N62" s="25">
        <v>0.53210000000000002</v>
      </c>
      <c r="O62" s="24">
        <v>244</v>
      </c>
      <c r="P62" s="24">
        <v>0</v>
      </c>
      <c r="Q62" s="24">
        <v>0</v>
      </c>
      <c r="R62" s="22">
        <v>0</v>
      </c>
      <c r="S62" s="24">
        <v>0</v>
      </c>
      <c r="T62" s="24">
        <f t="shared" si="4"/>
        <v>0</v>
      </c>
      <c r="U62" s="376">
        <v>127.75</v>
      </c>
      <c r="V62" s="376">
        <v>0</v>
      </c>
      <c r="W62" s="22">
        <f t="shared" si="5"/>
        <v>67.975774999999999</v>
      </c>
      <c r="X62" s="22">
        <f t="shared" si="6"/>
        <v>26</v>
      </c>
      <c r="Y62" s="22">
        <v>23</v>
      </c>
      <c r="Z62" s="22">
        <v>3</v>
      </c>
      <c r="AA62" s="371">
        <v>242.11</v>
      </c>
      <c r="AB62" s="22">
        <v>0.10738920325471893</v>
      </c>
      <c r="AC62" s="24">
        <v>0</v>
      </c>
      <c r="AD62" s="384">
        <v>0</v>
      </c>
    </row>
    <row r="63" spans="1:30">
      <c r="A63" s="21" t="s">
        <v>357</v>
      </c>
      <c r="B63" s="21" t="s">
        <v>358</v>
      </c>
      <c r="C63" s="23">
        <v>61</v>
      </c>
      <c r="D63" s="147">
        <v>0</v>
      </c>
      <c r="E63" s="22">
        <v>12.18</v>
      </c>
      <c r="F63" s="22">
        <v>12.18</v>
      </c>
      <c r="G63" s="22">
        <v>0</v>
      </c>
      <c r="H63" s="22">
        <v>5</v>
      </c>
      <c r="I63" s="22">
        <v>0</v>
      </c>
      <c r="J63" s="22">
        <v>104.00999999999999</v>
      </c>
      <c r="K63" s="22">
        <v>0</v>
      </c>
      <c r="L63" s="22">
        <v>0</v>
      </c>
      <c r="M63" s="388">
        <v>326.01</v>
      </c>
      <c r="N63" s="25">
        <v>0.69210000000000005</v>
      </c>
      <c r="O63" s="24">
        <v>227</v>
      </c>
      <c r="P63" s="24">
        <v>0</v>
      </c>
      <c r="Q63" s="24">
        <v>0</v>
      </c>
      <c r="R63" s="22">
        <v>0</v>
      </c>
      <c r="S63" s="24">
        <v>0</v>
      </c>
      <c r="T63" s="24">
        <f t="shared" si="4"/>
        <v>0</v>
      </c>
      <c r="U63" s="376">
        <v>225.63</v>
      </c>
      <c r="V63" s="376">
        <v>16.3</v>
      </c>
      <c r="W63" s="22">
        <f t="shared" si="5"/>
        <v>156.158523</v>
      </c>
      <c r="X63" s="22">
        <f t="shared" si="6"/>
        <v>46.25</v>
      </c>
      <c r="Y63" s="22">
        <v>36</v>
      </c>
      <c r="Z63" s="22">
        <v>10.25</v>
      </c>
      <c r="AA63" s="371">
        <v>321.44</v>
      </c>
      <c r="AB63" s="22">
        <v>0.14388377302140368</v>
      </c>
      <c r="AC63" s="24">
        <v>8.8837730214036681E-3</v>
      </c>
      <c r="AD63" s="384">
        <v>-25817.468112415088</v>
      </c>
    </row>
    <row r="64" spans="1:30">
      <c r="A64" s="21" t="s">
        <v>239</v>
      </c>
      <c r="B64" s="21" t="s">
        <v>240</v>
      </c>
      <c r="C64" s="23">
        <v>32</v>
      </c>
      <c r="D64" s="147">
        <v>0</v>
      </c>
      <c r="E64" s="22">
        <v>0</v>
      </c>
      <c r="F64" s="22">
        <v>0</v>
      </c>
      <c r="G64" s="22">
        <v>0</v>
      </c>
      <c r="H64" s="22">
        <v>0</v>
      </c>
      <c r="I64" s="22">
        <v>0</v>
      </c>
      <c r="J64" s="22">
        <v>0</v>
      </c>
      <c r="K64" s="22">
        <v>0</v>
      </c>
      <c r="L64" s="22">
        <v>0</v>
      </c>
      <c r="M64" s="388">
        <v>40</v>
      </c>
      <c r="N64" s="25">
        <v>0</v>
      </c>
      <c r="O64" s="24">
        <v>0</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136</v>
      </c>
      <c r="D65" s="147">
        <v>0</v>
      </c>
      <c r="E65" s="22">
        <v>24.27</v>
      </c>
      <c r="F65" s="22">
        <v>24.27</v>
      </c>
      <c r="G65" s="22">
        <v>0</v>
      </c>
      <c r="H65" s="22">
        <v>2</v>
      </c>
      <c r="I65" s="22">
        <v>0</v>
      </c>
      <c r="J65" s="22">
        <v>4.88</v>
      </c>
      <c r="K65" s="22">
        <v>0</v>
      </c>
      <c r="L65" s="22">
        <v>0</v>
      </c>
      <c r="M65" s="388">
        <v>411.88</v>
      </c>
      <c r="N65" s="25">
        <v>0.47520000000000001</v>
      </c>
      <c r="O65" s="24">
        <v>284</v>
      </c>
      <c r="P65" s="24">
        <v>5</v>
      </c>
      <c r="Q65" s="24">
        <v>4</v>
      </c>
      <c r="R65" s="22">
        <v>1</v>
      </c>
      <c r="S65" s="24">
        <v>0</v>
      </c>
      <c r="T65" s="24">
        <f t="shared" si="4"/>
        <v>5</v>
      </c>
      <c r="U65" s="376">
        <v>195.73</v>
      </c>
      <c r="V65" s="376">
        <v>20.59</v>
      </c>
      <c r="W65" s="22">
        <f t="shared" si="5"/>
        <v>93.010896000000002</v>
      </c>
      <c r="X65" s="22">
        <f t="shared" si="6"/>
        <v>73.25</v>
      </c>
      <c r="Y65" s="22">
        <v>66.75</v>
      </c>
      <c r="Z65" s="22">
        <v>6.5</v>
      </c>
      <c r="AA65" s="371">
        <v>407.35</v>
      </c>
      <c r="AB65" s="22">
        <v>0.17982079292991285</v>
      </c>
      <c r="AC65" s="24">
        <v>4.4820792929912839E-2</v>
      </c>
      <c r="AD65" s="384">
        <v>-185249.23432481554</v>
      </c>
    </row>
    <row r="66" spans="1:30">
      <c r="A66" s="21" t="s">
        <v>311</v>
      </c>
      <c r="B66" s="21" t="s">
        <v>312</v>
      </c>
      <c r="C66" s="23">
        <v>185</v>
      </c>
      <c r="D66" s="147">
        <v>23.83</v>
      </c>
      <c r="E66" s="22">
        <v>61.61</v>
      </c>
      <c r="F66" s="22">
        <v>85.44</v>
      </c>
      <c r="G66" s="22">
        <v>1.73</v>
      </c>
      <c r="H66" s="22">
        <v>4</v>
      </c>
      <c r="I66" s="22">
        <v>0.5</v>
      </c>
      <c r="J66" s="22">
        <v>14.760000000000002</v>
      </c>
      <c r="K66" s="22">
        <v>0</v>
      </c>
      <c r="L66" s="22">
        <v>0</v>
      </c>
      <c r="M66" s="388">
        <v>548.26</v>
      </c>
      <c r="N66" s="25">
        <v>0.55049999999999999</v>
      </c>
      <c r="O66" s="24">
        <v>250</v>
      </c>
      <c r="P66" s="24">
        <v>0</v>
      </c>
      <c r="Q66" s="24">
        <v>0</v>
      </c>
      <c r="R66" s="22">
        <v>0</v>
      </c>
      <c r="S66" s="24">
        <v>0</v>
      </c>
      <c r="T66" s="24">
        <f t="shared" si="4"/>
        <v>0</v>
      </c>
      <c r="U66" s="376">
        <v>301.82</v>
      </c>
      <c r="V66" s="376">
        <v>0</v>
      </c>
      <c r="W66" s="22">
        <f t="shared" si="5"/>
        <v>166.15190999999999</v>
      </c>
      <c r="X66" s="22">
        <f t="shared" si="6"/>
        <v>71.5</v>
      </c>
      <c r="Y66" s="22">
        <v>51.5</v>
      </c>
      <c r="Z66" s="22">
        <v>20</v>
      </c>
      <c r="AA66" s="371">
        <v>570.98</v>
      </c>
      <c r="AB66" s="22">
        <v>0.12522330029072823</v>
      </c>
      <c r="AC66" s="24">
        <v>0</v>
      </c>
      <c r="AD66" s="384">
        <v>0</v>
      </c>
    </row>
    <row r="67" spans="1:30">
      <c r="A67" s="21" t="s">
        <v>73</v>
      </c>
      <c r="B67" s="21" t="s">
        <v>74</v>
      </c>
      <c r="C67" s="23">
        <v>107</v>
      </c>
      <c r="D67" s="147">
        <v>13.22</v>
      </c>
      <c r="E67" s="22">
        <v>32.86</v>
      </c>
      <c r="F67" s="22">
        <v>46.08</v>
      </c>
      <c r="G67" s="22">
        <v>0</v>
      </c>
      <c r="H67" s="22">
        <v>5</v>
      </c>
      <c r="I67" s="22">
        <v>0.43</v>
      </c>
      <c r="J67" s="22">
        <v>0</v>
      </c>
      <c r="K67" s="22">
        <v>1.93</v>
      </c>
      <c r="L67" s="22">
        <v>7.0000000000000007E-2</v>
      </c>
      <c r="M67" s="388">
        <v>371.43</v>
      </c>
      <c r="N67" s="25">
        <v>0.53320000000000001</v>
      </c>
      <c r="O67" s="24">
        <v>363</v>
      </c>
      <c r="P67" s="24">
        <v>1.75</v>
      </c>
      <c r="Q67" s="24">
        <v>1.75</v>
      </c>
      <c r="R67" s="22">
        <v>0</v>
      </c>
      <c r="S67" s="24">
        <v>1</v>
      </c>
      <c r="T67" s="24">
        <f t="shared" si="4"/>
        <v>2.75</v>
      </c>
      <c r="U67" s="376">
        <v>198.05</v>
      </c>
      <c r="V67" s="376">
        <v>18.57</v>
      </c>
      <c r="W67" s="22">
        <f t="shared" si="5"/>
        <v>105.60026000000001</v>
      </c>
      <c r="X67" s="22">
        <f t="shared" si="6"/>
        <v>47.5</v>
      </c>
      <c r="Y67" s="22">
        <v>35.5</v>
      </c>
      <c r="Z67" s="22">
        <v>12</v>
      </c>
      <c r="AA67" s="371">
        <v>356.89</v>
      </c>
      <c r="AB67" s="22">
        <v>0.13309423071534646</v>
      </c>
      <c r="AC67" s="24">
        <v>0</v>
      </c>
      <c r="AD67" s="384">
        <v>0</v>
      </c>
    </row>
    <row r="68" spans="1:30">
      <c r="A68" s="21" t="s">
        <v>475</v>
      </c>
      <c r="B68" s="21" t="s">
        <v>476</v>
      </c>
      <c r="C68" s="23">
        <v>551</v>
      </c>
      <c r="D68" s="147">
        <v>0</v>
      </c>
      <c r="E68" s="22">
        <v>111.04</v>
      </c>
      <c r="F68" s="22">
        <v>111.04</v>
      </c>
      <c r="G68" s="22">
        <v>0</v>
      </c>
      <c r="H68" s="22">
        <v>93</v>
      </c>
      <c r="I68" s="22">
        <v>6.53</v>
      </c>
      <c r="J68" s="22">
        <v>561.75</v>
      </c>
      <c r="K68" s="22">
        <v>4.5999999999999996</v>
      </c>
      <c r="L68" s="22">
        <v>0</v>
      </c>
      <c r="M68" s="388">
        <v>2546.8799999999997</v>
      </c>
      <c r="N68" s="25">
        <v>0.48470000000000002</v>
      </c>
      <c r="O68" s="24">
        <v>1331</v>
      </c>
      <c r="P68" s="24">
        <v>24.25</v>
      </c>
      <c r="Q68" s="24">
        <v>16.75</v>
      </c>
      <c r="R68" s="22">
        <v>7.5</v>
      </c>
      <c r="S68" s="24">
        <v>4.25</v>
      </c>
      <c r="T68" s="24">
        <f t="shared" si="4"/>
        <v>28.5</v>
      </c>
      <c r="U68" s="376">
        <v>1234.47</v>
      </c>
      <c r="V68" s="376">
        <v>127.34</v>
      </c>
      <c r="W68" s="22">
        <f t="shared" si="5"/>
        <v>598.34760900000003</v>
      </c>
      <c r="X68" s="22">
        <f t="shared" si="6"/>
        <v>285</v>
      </c>
      <c r="Y68" s="22">
        <v>180.75</v>
      </c>
      <c r="Z68" s="22">
        <v>104.25</v>
      </c>
      <c r="AA68" s="371">
        <v>2527.89</v>
      </c>
      <c r="AB68" s="22">
        <v>0.11274224748703465</v>
      </c>
      <c r="AC68" s="24">
        <v>0</v>
      </c>
      <c r="AD68" s="384">
        <v>0</v>
      </c>
    </row>
    <row r="69" spans="1:30">
      <c r="A69" s="21" t="s">
        <v>373</v>
      </c>
      <c r="B69" s="21" t="s">
        <v>374</v>
      </c>
      <c r="C69" s="23">
        <v>542</v>
      </c>
      <c r="D69" s="147">
        <v>29.72</v>
      </c>
      <c r="E69" s="22">
        <v>0</v>
      </c>
      <c r="F69" s="22">
        <v>29.72</v>
      </c>
      <c r="G69" s="22">
        <v>0</v>
      </c>
      <c r="H69" s="22">
        <v>0</v>
      </c>
      <c r="I69" s="22">
        <v>0</v>
      </c>
      <c r="J69" s="22">
        <v>0</v>
      </c>
      <c r="K69" s="22">
        <v>0</v>
      </c>
      <c r="L69" s="22">
        <v>0</v>
      </c>
      <c r="M69" s="388">
        <v>1419</v>
      </c>
      <c r="N69" s="25">
        <v>0.1739</v>
      </c>
      <c r="O69" s="24">
        <v>0</v>
      </c>
      <c r="P69" s="24">
        <v>56.5</v>
      </c>
      <c r="Q69" s="24">
        <v>48.75</v>
      </c>
      <c r="R69" s="22">
        <v>7.75</v>
      </c>
      <c r="S69" s="24">
        <v>37.75</v>
      </c>
      <c r="T69" s="24">
        <f t="shared" si="4"/>
        <v>94.25</v>
      </c>
      <c r="U69" s="376">
        <v>246.76</v>
      </c>
      <c r="V69" s="376">
        <v>70.95</v>
      </c>
      <c r="W69" s="22">
        <f t="shared" si="5"/>
        <v>42.911563999999998</v>
      </c>
      <c r="X69" s="22">
        <f t="shared" si="6"/>
        <v>155.25</v>
      </c>
      <c r="Y69" s="22">
        <v>82.5</v>
      </c>
      <c r="Z69" s="22">
        <v>72.75</v>
      </c>
      <c r="AA69" s="371">
        <v>1367.06</v>
      </c>
      <c r="AB69" s="22">
        <v>0.11356487645019239</v>
      </c>
      <c r="AC69" s="24">
        <v>0</v>
      </c>
      <c r="AD69" s="384">
        <v>0</v>
      </c>
    </row>
    <row r="70" spans="1:30">
      <c r="A70" s="21" t="s">
        <v>525</v>
      </c>
      <c r="B70" s="21" t="s">
        <v>526</v>
      </c>
      <c r="C70" s="23">
        <v>14</v>
      </c>
      <c r="D70" s="147">
        <v>0</v>
      </c>
      <c r="E70" s="22">
        <v>0</v>
      </c>
      <c r="F70" s="22">
        <v>0</v>
      </c>
      <c r="G70" s="22">
        <v>0</v>
      </c>
      <c r="H70" s="22">
        <v>0</v>
      </c>
      <c r="I70" s="22">
        <v>0</v>
      </c>
      <c r="J70" s="22">
        <v>0</v>
      </c>
      <c r="K70" s="22">
        <v>0</v>
      </c>
      <c r="L70" s="22">
        <v>0</v>
      </c>
      <c r="M70" s="388">
        <v>19</v>
      </c>
      <c r="N70" s="25">
        <v>1</v>
      </c>
      <c r="O70" s="24">
        <v>14</v>
      </c>
      <c r="P70" s="24">
        <v>0</v>
      </c>
      <c r="Q70" s="24">
        <v>0</v>
      </c>
      <c r="R70" s="22">
        <v>0</v>
      </c>
      <c r="S70" s="24">
        <v>0</v>
      </c>
      <c r="T70" s="24">
        <f t="shared" si="4"/>
        <v>0</v>
      </c>
      <c r="U70" s="376">
        <v>19</v>
      </c>
      <c r="V70" s="376">
        <v>0</v>
      </c>
      <c r="W70" s="22">
        <f t="shared" si="5"/>
        <v>19</v>
      </c>
      <c r="X70" s="22">
        <f t="shared" si="6"/>
        <v>2</v>
      </c>
      <c r="Y70" s="22">
        <v>2</v>
      </c>
      <c r="Z70" s="22">
        <v>0</v>
      </c>
      <c r="AA70" s="371">
        <v>17.600000000000001</v>
      </c>
      <c r="AB70" s="22">
        <v>0.11363636363636363</v>
      </c>
      <c r="AC70" s="24">
        <v>0</v>
      </c>
      <c r="AD70" s="384">
        <v>0</v>
      </c>
    </row>
    <row r="71" spans="1:30">
      <c r="A71" s="21" t="s">
        <v>469</v>
      </c>
      <c r="B71" s="21" t="s">
        <v>470</v>
      </c>
      <c r="C71" s="23">
        <v>1028</v>
      </c>
      <c r="D71" s="147">
        <v>30.59</v>
      </c>
      <c r="E71" s="22">
        <v>212.13</v>
      </c>
      <c r="F71" s="22">
        <v>242.72</v>
      </c>
      <c r="G71" s="22">
        <v>0</v>
      </c>
      <c r="H71" s="22">
        <v>78</v>
      </c>
      <c r="I71" s="22">
        <v>6.41</v>
      </c>
      <c r="J71" s="22">
        <v>289.70000000000005</v>
      </c>
      <c r="K71" s="22">
        <v>2.8</v>
      </c>
      <c r="L71" s="22">
        <v>0</v>
      </c>
      <c r="M71" s="388">
        <v>3696.91</v>
      </c>
      <c r="N71" s="25">
        <v>0.54749999999999999</v>
      </c>
      <c r="O71" s="24">
        <v>1895</v>
      </c>
      <c r="P71" s="24">
        <v>90.75</v>
      </c>
      <c r="Q71" s="24">
        <v>63</v>
      </c>
      <c r="R71" s="22">
        <v>27.75</v>
      </c>
      <c r="S71" s="24">
        <v>32</v>
      </c>
      <c r="T71" s="24">
        <f t="shared" si="4"/>
        <v>122.75</v>
      </c>
      <c r="U71" s="376">
        <v>2026.28</v>
      </c>
      <c r="V71" s="376">
        <v>184.85</v>
      </c>
      <c r="W71" s="22">
        <f t="shared" si="5"/>
        <v>1109.3882999999998</v>
      </c>
      <c r="X71" s="22">
        <f t="shared" si="6"/>
        <v>536</v>
      </c>
      <c r="Y71" s="22">
        <v>303.25</v>
      </c>
      <c r="Z71" s="22">
        <v>232.75</v>
      </c>
      <c r="AA71" s="371">
        <v>3598.35</v>
      </c>
      <c r="AB71" s="22">
        <v>0.14895716092097766</v>
      </c>
      <c r="AC71" s="24">
        <v>1.3957160920977651E-2</v>
      </c>
      <c r="AD71" s="384">
        <v>-471368.35700289969</v>
      </c>
    </row>
    <row r="72" spans="1:30">
      <c r="A72" s="21" t="s">
        <v>587</v>
      </c>
      <c r="B72" s="21" t="s">
        <v>588</v>
      </c>
      <c r="C72" s="23">
        <v>981</v>
      </c>
      <c r="D72" s="147">
        <v>24.9</v>
      </c>
      <c r="E72" s="22">
        <v>181.58</v>
      </c>
      <c r="F72" s="22">
        <v>206.48000000000002</v>
      </c>
      <c r="G72" s="22">
        <v>0</v>
      </c>
      <c r="H72" s="22">
        <v>41</v>
      </c>
      <c r="I72" s="22">
        <v>3.28</v>
      </c>
      <c r="J72" s="22">
        <v>3.2</v>
      </c>
      <c r="K72" s="22">
        <v>14.2</v>
      </c>
      <c r="L72" s="22">
        <v>0</v>
      </c>
      <c r="M72" s="388">
        <v>3228.68</v>
      </c>
      <c r="N72" s="25">
        <v>0.58460000000000001</v>
      </c>
      <c r="O72" s="24">
        <v>3252</v>
      </c>
      <c r="P72" s="24">
        <v>343.75</v>
      </c>
      <c r="Q72" s="24">
        <v>249</v>
      </c>
      <c r="R72" s="22">
        <v>94.75</v>
      </c>
      <c r="S72" s="24">
        <v>80.5</v>
      </c>
      <c r="T72" s="24">
        <f t="shared" si="4"/>
        <v>424.25</v>
      </c>
      <c r="U72" s="376">
        <v>1887.49</v>
      </c>
      <c r="V72" s="376">
        <v>161.43</v>
      </c>
      <c r="W72" s="22">
        <f t="shared" si="5"/>
        <v>1103.4266540000001</v>
      </c>
      <c r="X72" s="22">
        <f t="shared" si="6"/>
        <v>380</v>
      </c>
      <c r="Y72" s="22">
        <v>206.25</v>
      </c>
      <c r="Z72" s="22">
        <v>173.75</v>
      </c>
      <c r="AA72" s="371">
        <v>3311.05</v>
      </c>
      <c r="AB72" s="22">
        <v>0.11476721885806616</v>
      </c>
      <c r="AC72" s="24">
        <v>0</v>
      </c>
      <c r="AD72" s="384">
        <v>0</v>
      </c>
    </row>
    <row r="73" spans="1:30">
      <c r="A73" s="21" t="s">
        <v>95</v>
      </c>
      <c r="B73" s="21" t="s">
        <v>96</v>
      </c>
      <c r="C73" s="23">
        <v>1452</v>
      </c>
      <c r="D73" s="147">
        <v>131.41999999999999</v>
      </c>
      <c r="E73" s="22">
        <v>344.87</v>
      </c>
      <c r="F73" s="22">
        <v>476.28999999999996</v>
      </c>
      <c r="G73" s="22">
        <v>0</v>
      </c>
      <c r="H73" s="22">
        <v>160</v>
      </c>
      <c r="I73" s="22">
        <v>6.2</v>
      </c>
      <c r="J73" s="22">
        <v>205.97</v>
      </c>
      <c r="K73" s="22">
        <v>0</v>
      </c>
      <c r="L73" s="22">
        <v>0</v>
      </c>
      <c r="M73" s="388">
        <v>5866.17</v>
      </c>
      <c r="N73" s="25">
        <v>0.58520000000000005</v>
      </c>
      <c r="O73" s="24">
        <v>5343</v>
      </c>
      <c r="P73" s="24">
        <v>1040.5</v>
      </c>
      <c r="Q73" s="24">
        <v>680.5</v>
      </c>
      <c r="R73" s="22">
        <v>360</v>
      </c>
      <c r="S73" s="24">
        <v>243.75</v>
      </c>
      <c r="T73" s="24">
        <f t="shared" ref="T73:T136" si="7">S73+P73</f>
        <v>1284.25</v>
      </c>
      <c r="U73" s="376">
        <v>3432.88</v>
      </c>
      <c r="V73" s="376">
        <v>293.31</v>
      </c>
      <c r="W73" s="22">
        <f t="shared" ref="W73:W136" si="8">U73*N73</f>
        <v>2008.9213760000002</v>
      </c>
      <c r="X73" s="22">
        <f t="shared" ref="X73:X136" si="9">Y73+Z73</f>
        <v>658.25</v>
      </c>
      <c r="Y73" s="22">
        <v>460.75</v>
      </c>
      <c r="Z73" s="22">
        <v>197.5</v>
      </c>
      <c r="AA73" s="371">
        <v>5858.31</v>
      </c>
      <c r="AB73" s="22">
        <v>0.11236175620614135</v>
      </c>
      <c r="AC73" s="24">
        <v>0</v>
      </c>
      <c r="AD73" s="384">
        <v>0</v>
      </c>
    </row>
    <row r="74" spans="1:30">
      <c r="A74" s="21" t="s">
        <v>241</v>
      </c>
      <c r="B74" s="21" t="s">
        <v>242</v>
      </c>
      <c r="C74" s="23">
        <v>30</v>
      </c>
      <c r="D74" s="147">
        <v>0</v>
      </c>
      <c r="E74" s="22">
        <v>0</v>
      </c>
      <c r="F74" s="22">
        <v>0</v>
      </c>
      <c r="G74" s="22">
        <v>0</v>
      </c>
      <c r="H74" s="22">
        <v>3</v>
      </c>
      <c r="I74" s="22">
        <v>0</v>
      </c>
      <c r="J74" s="22">
        <v>0</v>
      </c>
      <c r="K74" s="22">
        <v>0</v>
      </c>
      <c r="L74" s="22">
        <v>0</v>
      </c>
      <c r="M74" s="388">
        <v>89</v>
      </c>
      <c r="N74" s="25">
        <v>0.74419999999999997</v>
      </c>
      <c r="O74" s="24">
        <v>86</v>
      </c>
      <c r="P74" s="24">
        <v>6</v>
      </c>
      <c r="Q74" s="24">
        <v>1</v>
      </c>
      <c r="R74" s="22">
        <v>5</v>
      </c>
      <c r="S74" s="24">
        <v>5</v>
      </c>
      <c r="T74" s="24">
        <f t="shared" si="7"/>
        <v>11</v>
      </c>
      <c r="U74" s="376">
        <v>66.23</v>
      </c>
      <c r="V74" s="376">
        <v>0</v>
      </c>
      <c r="W74" s="22">
        <f t="shared" si="8"/>
        <v>49.288366000000003</v>
      </c>
      <c r="X74" s="22">
        <f t="shared" si="9"/>
        <v>7.75</v>
      </c>
      <c r="Y74" s="22">
        <v>5.75</v>
      </c>
      <c r="Z74" s="22">
        <v>2</v>
      </c>
      <c r="AA74" s="371">
        <v>83.26</v>
      </c>
      <c r="AB74" s="22">
        <v>9.3081912082632709E-2</v>
      </c>
      <c r="AC74" s="24">
        <v>0</v>
      </c>
      <c r="AD74" s="384">
        <v>0</v>
      </c>
    </row>
    <row r="75" spans="1:30">
      <c r="A75" s="21" t="s">
        <v>385</v>
      </c>
      <c r="B75" s="21" t="s">
        <v>386</v>
      </c>
      <c r="C75" s="23">
        <v>514</v>
      </c>
      <c r="D75" s="147">
        <v>25.24</v>
      </c>
      <c r="E75" s="22">
        <v>131.85</v>
      </c>
      <c r="F75" s="22">
        <v>157.09</v>
      </c>
      <c r="G75" s="22">
        <v>0</v>
      </c>
      <c r="H75" s="22">
        <v>40</v>
      </c>
      <c r="I75" s="22">
        <v>2.38</v>
      </c>
      <c r="J75" s="22">
        <v>64.600000000000009</v>
      </c>
      <c r="K75" s="22">
        <v>24.4</v>
      </c>
      <c r="L75" s="22">
        <v>0</v>
      </c>
      <c r="M75" s="388">
        <v>1893.38</v>
      </c>
      <c r="N75" s="25">
        <v>0.41880000000000001</v>
      </c>
      <c r="O75" s="24">
        <v>200</v>
      </c>
      <c r="P75" s="24">
        <v>15.25</v>
      </c>
      <c r="Q75" s="24">
        <v>6.25</v>
      </c>
      <c r="R75" s="22">
        <v>9</v>
      </c>
      <c r="S75" s="24">
        <v>1</v>
      </c>
      <c r="T75" s="24">
        <f t="shared" si="7"/>
        <v>16.25</v>
      </c>
      <c r="U75" s="376">
        <v>792.95</v>
      </c>
      <c r="V75" s="376">
        <v>94.67</v>
      </c>
      <c r="W75" s="22">
        <f t="shared" si="8"/>
        <v>332.08746000000002</v>
      </c>
      <c r="X75" s="22">
        <f t="shared" si="9"/>
        <v>211</v>
      </c>
      <c r="Y75" s="22">
        <v>132</v>
      </c>
      <c r="Z75" s="22">
        <v>79</v>
      </c>
      <c r="AA75" s="371">
        <v>1937.62</v>
      </c>
      <c r="AB75" s="22">
        <v>0.10889648125019354</v>
      </c>
      <c r="AC75" s="24">
        <v>0</v>
      </c>
      <c r="AD75" s="384">
        <v>0</v>
      </c>
    </row>
    <row r="76" spans="1:30">
      <c r="A76" s="21" t="s">
        <v>429</v>
      </c>
      <c r="B76" s="21" t="s">
        <v>430</v>
      </c>
      <c r="C76" s="23">
        <v>6203</v>
      </c>
      <c r="D76" s="147">
        <v>113.59</v>
      </c>
      <c r="E76" s="22">
        <v>925.87</v>
      </c>
      <c r="F76" s="22">
        <v>1039.46</v>
      </c>
      <c r="G76" s="22">
        <v>0</v>
      </c>
      <c r="H76" s="22">
        <v>500</v>
      </c>
      <c r="I76" s="22">
        <v>41.34</v>
      </c>
      <c r="J76" s="22">
        <v>884.1400000000001</v>
      </c>
      <c r="K76" s="22">
        <v>115.72</v>
      </c>
      <c r="L76" s="22">
        <v>0</v>
      </c>
      <c r="M76" s="388">
        <v>21119.200000000001</v>
      </c>
      <c r="N76" s="25">
        <v>0.36670000000000003</v>
      </c>
      <c r="O76" s="24">
        <v>2228</v>
      </c>
      <c r="P76" s="24">
        <v>3298</v>
      </c>
      <c r="Q76" s="24">
        <v>2127.25</v>
      </c>
      <c r="R76" s="22">
        <v>1170.75</v>
      </c>
      <c r="S76" s="24">
        <v>488.25</v>
      </c>
      <c r="T76" s="24">
        <f t="shared" si="7"/>
        <v>3786.25</v>
      </c>
      <c r="U76" s="376">
        <v>7744.41</v>
      </c>
      <c r="V76" s="376">
        <v>1055.96</v>
      </c>
      <c r="W76" s="22">
        <f t="shared" si="8"/>
        <v>2839.8751470000002</v>
      </c>
      <c r="X76" s="22">
        <f t="shared" si="9"/>
        <v>2726.75</v>
      </c>
      <c r="Y76" s="22">
        <v>1427</v>
      </c>
      <c r="Z76" s="22">
        <v>1299.75</v>
      </c>
      <c r="AA76" s="371">
        <v>20082.439999999999</v>
      </c>
      <c r="AB76" s="22">
        <v>0.13577782381025413</v>
      </c>
      <c r="AC76" s="24">
        <v>7.7782381025412461E-4</v>
      </c>
      <c r="AD76" s="384">
        <v>-162715.7226532154</v>
      </c>
    </row>
    <row r="77" spans="1:30">
      <c r="A77" s="21" t="s">
        <v>245</v>
      </c>
      <c r="B77" s="21" t="s">
        <v>246</v>
      </c>
      <c r="C77" s="23">
        <v>903</v>
      </c>
      <c r="D77" s="147">
        <v>27.46</v>
      </c>
      <c r="E77" s="22">
        <v>199.46</v>
      </c>
      <c r="F77" s="22">
        <v>226.92000000000002</v>
      </c>
      <c r="G77" s="22">
        <v>0</v>
      </c>
      <c r="H77" s="22">
        <v>130</v>
      </c>
      <c r="I77" s="22">
        <v>0.54</v>
      </c>
      <c r="J77" s="22">
        <v>89.78</v>
      </c>
      <c r="K77" s="22">
        <v>2.2000000000000002</v>
      </c>
      <c r="L77" s="22">
        <v>0</v>
      </c>
      <c r="M77" s="388">
        <v>3199.52</v>
      </c>
      <c r="N77" s="25">
        <v>0.40739999999999998</v>
      </c>
      <c r="O77" s="24">
        <v>533</v>
      </c>
      <c r="P77" s="24">
        <v>218.5</v>
      </c>
      <c r="Q77" s="24">
        <v>148</v>
      </c>
      <c r="R77" s="22">
        <v>70.5</v>
      </c>
      <c r="S77" s="24">
        <v>38</v>
      </c>
      <c r="T77" s="24">
        <f t="shared" si="7"/>
        <v>256.5</v>
      </c>
      <c r="U77" s="376">
        <v>1303.8</v>
      </c>
      <c r="V77" s="376">
        <v>159.97999999999999</v>
      </c>
      <c r="W77" s="22">
        <f t="shared" si="8"/>
        <v>531.16811999999993</v>
      </c>
      <c r="X77" s="22">
        <f t="shared" si="9"/>
        <v>384.25</v>
      </c>
      <c r="Y77" s="22">
        <v>251.75</v>
      </c>
      <c r="Z77" s="22">
        <v>132.5</v>
      </c>
      <c r="AA77" s="371">
        <v>3234.11</v>
      </c>
      <c r="AB77" s="22">
        <v>0.11881166688826292</v>
      </c>
      <c r="AC77" s="24">
        <v>0</v>
      </c>
      <c r="AD77" s="384">
        <v>0</v>
      </c>
    </row>
    <row r="78" spans="1:30">
      <c r="A78" s="21" t="s">
        <v>151</v>
      </c>
      <c r="B78" s="21" t="s">
        <v>152</v>
      </c>
      <c r="C78" s="23">
        <v>403</v>
      </c>
      <c r="D78" s="147">
        <v>69.92</v>
      </c>
      <c r="E78" s="22">
        <v>191.86</v>
      </c>
      <c r="F78" s="22">
        <v>261.78000000000003</v>
      </c>
      <c r="G78" s="22">
        <v>0</v>
      </c>
      <c r="H78" s="22">
        <v>49</v>
      </c>
      <c r="I78" s="22">
        <v>1.02</v>
      </c>
      <c r="J78" s="22">
        <v>69.36</v>
      </c>
      <c r="K78" s="22">
        <v>38.4</v>
      </c>
      <c r="L78" s="22">
        <v>0</v>
      </c>
      <c r="M78" s="388">
        <v>1648.78</v>
      </c>
      <c r="N78" s="25">
        <v>0.77259999999999995</v>
      </c>
      <c r="O78" s="24">
        <v>1561</v>
      </c>
      <c r="P78" s="24">
        <v>121.5</v>
      </c>
      <c r="Q78" s="24">
        <v>81.25</v>
      </c>
      <c r="R78" s="22">
        <v>40.25</v>
      </c>
      <c r="S78" s="24">
        <v>19</v>
      </c>
      <c r="T78" s="24">
        <f t="shared" si="7"/>
        <v>140.5</v>
      </c>
      <c r="U78" s="376">
        <v>1273.02</v>
      </c>
      <c r="V78" s="376">
        <v>82.44</v>
      </c>
      <c r="W78" s="22">
        <f t="shared" si="8"/>
        <v>983.5352519999999</v>
      </c>
      <c r="X78" s="22">
        <f t="shared" si="9"/>
        <v>268.25</v>
      </c>
      <c r="Y78" s="22">
        <v>116</v>
      </c>
      <c r="Z78" s="22">
        <v>152.25</v>
      </c>
      <c r="AA78" s="371">
        <v>1567.5</v>
      </c>
      <c r="AB78" s="22">
        <v>0.1711323763955343</v>
      </c>
      <c r="AC78" s="24">
        <v>3.6132376395534294E-2</v>
      </c>
      <c r="AD78" s="384">
        <v>-525915.62689681957</v>
      </c>
    </row>
    <row r="79" spans="1:30">
      <c r="A79" s="21" t="s">
        <v>573</v>
      </c>
      <c r="B79" s="21" t="s">
        <v>574</v>
      </c>
      <c r="C79" s="23">
        <v>26</v>
      </c>
      <c r="D79" s="147">
        <v>0</v>
      </c>
      <c r="E79" s="22">
        <v>0</v>
      </c>
      <c r="F79" s="22">
        <v>0</v>
      </c>
      <c r="G79" s="22">
        <v>0</v>
      </c>
      <c r="H79" s="22">
        <v>0</v>
      </c>
      <c r="I79" s="22">
        <v>0</v>
      </c>
      <c r="J79" s="22">
        <v>0</v>
      </c>
      <c r="K79" s="22">
        <v>0</v>
      </c>
      <c r="L79" s="22">
        <v>0</v>
      </c>
      <c r="M79" s="388">
        <v>80</v>
      </c>
      <c r="N79" s="25">
        <v>0.59379999999999999</v>
      </c>
      <c r="O79" s="24">
        <v>80</v>
      </c>
      <c r="P79" s="24">
        <v>0</v>
      </c>
      <c r="Q79" s="24">
        <v>0</v>
      </c>
      <c r="R79" s="22">
        <v>0</v>
      </c>
      <c r="S79" s="24">
        <v>0</v>
      </c>
      <c r="T79" s="24">
        <f t="shared" si="7"/>
        <v>0</v>
      </c>
      <c r="U79" s="376">
        <v>47.5</v>
      </c>
      <c r="V79" s="376">
        <v>4</v>
      </c>
      <c r="W79" s="22">
        <f t="shared" si="8"/>
        <v>28.205500000000001</v>
      </c>
      <c r="X79" s="22">
        <f t="shared" si="9"/>
        <v>9.25</v>
      </c>
      <c r="Y79" s="22">
        <v>5.25</v>
      </c>
      <c r="Z79" s="22">
        <v>4</v>
      </c>
      <c r="AA79" s="371">
        <v>74.67</v>
      </c>
      <c r="AB79" s="22">
        <v>0.12387839828579081</v>
      </c>
      <c r="AC79" s="24">
        <v>0</v>
      </c>
      <c r="AD79" s="384">
        <v>0</v>
      </c>
    </row>
    <row r="80" spans="1:30">
      <c r="A80" s="21" t="s">
        <v>33</v>
      </c>
      <c r="B80" s="21" t="s">
        <v>34</v>
      </c>
      <c r="C80" s="23">
        <v>95</v>
      </c>
      <c r="D80" s="147">
        <v>0</v>
      </c>
      <c r="E80" s="22">
        <v>0</v>
      </c>
      <c r="F80" s="22">
        <v>0</v>
      </c>
      <c r="G80" s="22">
        <v>0</v>
      </c>
      <c r="H80" s="22">
        <v>14</v>
      </c>
      <c r="I80" s="22">
        <v>0.65</v>
      </c>
      <c r="J80" s="22">
        <v>0</v>
      </c>
      <c r="K80" s="22">
        <v>0</v>
      </c>
      <c r="L80" s="22">
        <v>0</v>
      </c>
      <c r="M80" s="388">
        <v>304.64999999999998</v>
      </c>
      <c r="N80" s="25">
        <v>0.64759999999999995</v>
      </c>
      <c r="O80" s="24">
        <v>313</v>
      </c>
      <c r="P80" s="24">
        <v>50.75</v>
      </c>
      <c r="Q80" s="24">
        <v>29.5</v>
      </c>
      <c r="R80" s="22">
        <v>21.25</v>
      </c>
      <c r="S80" s="24">
        <v>6</v>
      </c>
      <c r="T80" s="24">
        <f t="shared" si="7"/>
        <v>56.75</v>
      </c>
      <c r="U80" s="376">
        <v>197.29</v>
      </c>
      <c r="V80" s="376">
        <v>15.23</v>
      </c>
      <c r="W80" s="22">
        <f t="shared" si="8"/>
        <v>127.76500399999999</v>
      </c>
      <c r="X80" s="22">
        <f t="shared" si="9"/>
        <v>36.25</v>
      </c>
      <c r="Y80" s="22">
        <v>31.25</v>
      </c>
      <c r="Z80" s="22">
        <v>5</v>
      </c>
      <c r="AA80" s="371">
        <v>316.87</v>
      </c>
      <c r="AB80" s="22">
        <v>0.11440022722252027</v>
      </c>
      <c r="AC80" s="24">
        <v>0</v>
      </c>
      <c r="AD80" s="384">
        <v>0</v>
      </c>
    </row>
    <row r="81" spans="1:30">
      <c r="A81" s="21" t="s">
        <v>187</v>
      </c>
      <c r="B81" s="21" t="s">
        <v>188</v>
      </c>
      <c r="C81" s="23">
        <v>1389</v>
      </c>
      <c r="D81" s="147">
        <v>24.11</v>
      </c>
      <c r="E81" s="22">
        <v>418.76</v>
      </c>
      <c r="F81" s="22">
        <v>442.87</v>
      </c>
      <c r="G81" s="22">
        <v>0</v>
      </c>
      <c r="H81" s="22">
        <v>110</v>
      </c>
      <c r="I81" s="22">
        <v>5.31</v>
      </c>
      <c r="J81" s="22">
        <v>0</v>
      </c>
      <c r="K81" s="22">
        <v>8.1999999999999993</v>
      </c>
      <c r="L81" s="22">
        <v>0</v>
      </c>
      <c r="M81" s="388">
        <v>4622.51</v>
      </c>
      <c r="N81" s="25">
        <v>0.29820000000000002</v>
      </c>
      <c r="O81" s="24">
        <v>10</v>
      </c>
      <c r="P81" s="24">
        <v>277.5</v>
      </c>
      <c r="Q81" s="24">
        <v>191.25</v>
      </c>
      <c r="R81" s="22">
        <v>86.25</v>
      </c>
      <c r="S81" s="24">
        <v>51.25</v>
      </c>
      <c r="T81" s="24">
        <f t="shared" si="7"/>
        <v>328.75</v>
      </c>
      <c r="U81" s="376">
        <v>1378.43</v>
      </c>
      <c r="V81" s="376">
        <v>231.13</v>
      </c>
      <c r="W81" s="22">
        <f t="shared" si="8"/>
        <v>411.04782600000004</v>
      </c>
      <c r="X81" s="22">
        <f t="shared" si="9"/>
        <v>594.5</v>
      </c>
      <c r="Y81" s="22">
        <v>346.75</v>
      </c>
      <c r="Z81" s="22">
        <v>247.75</v>
      </c>
      <c r="AA81" s="371">
        <v>4073.36</v>
      </c>
      <c r="AB81" s="22">
        <v>0.14594830803071665</v>
      </c>
      <c r="AC81" s="24">
        <v>1.0948308030716641E-2</v>
      </c>
      <c r="AD81" s="384">
        <v>-456418.13676013378</v>
      </c>
    </row>
    <row r="82" spans="1:30">
      <c r="A82" s="21" t="s">
        <v>135</v>
      </c>
      <c r="B82" s="21" t="s">
        <v>136</v>
      </c>
      <c r="C82" s="23">
        <v>736</v>
      </c>
      <c r="D82" s="147">
        <v>40.92</v>
      </c>
      <c r="E82" s="22">
        <v>205.02</v>
      </c>
      <c r="F82" s="22">
        <v>245.94</v>
      </c>
      <c r="G82" s="22">
        <v>0</v>
      </c>
      <c r="H82" s="22">
        <v>55</v>
      </c>
      <c r="I82" s="22">
        <v>3.64</v>
      </c>
      <c r="J82" s="22">
        <v>4.9800000000000004</v>
      </c>
      <c r="K82" s="22">
        <v>12.4</v>
      </c>
      <c r="L82" s="22">
        <v>0</v>
      </c>
      <c r="M82" s="388">
        <v>2585.02</v>
      </c>
      <c r="N82" s="25">
        <v>0.56030000000000002</v>
      </c>
      <c r="O82" s="24">
        <v>1779</v>
      </c>
      <c r="P82" s="24">
        <v>359.5</v>
      </c>
      <c r="Q82" s="24">
        <v>224.75</v>
      </c>
      <c r="R82" s="22">
        <v>134.75</v>
      </c>
      <c r="S82" s="24">
        <v>61</v>
      </c>
      <c r="T82" s="24">
        <f t="shared" si="7"/>
        <v>420.5</v>
      </c>
      <c r="U82" s="376">
        <v>1448.39</v>
      </c>
      <c r="V82" s="376">
        <v>0</v>
      </c>
      <c r="W82" s="22">
        <f t="shared" si="8"/>
        <v>811.53291700000011</v>
      </c>
      <c r="X82" s="22">
        <f t="shared" si="9"/>
        <v>332</v>
      </c>
      <c r="Y82" s="22">
        <v>239.5</v>
      </c>
      <c r="Z82" s="22">
        <v>92.5</v>
      </c>
      <c r="AA82" s="371">
        <v>2597.35</v>
      </c>
      <c r="AB82" s="22">
        <v>0.12782258840741526</v>
      </c>
      <c r="AC82" s="24">
        <v>0</v>
      </c>
      <c r="AD82" s="384">
        <v>0</v>
      </c>
    </row>
    <row r="83" spans="1:30">
      <c r="A83" s="21" t="s">
        <v>273</v>
      </c>
      <c r="B83" s="21" t="s">
        <v>274</v>
      </c>
      <c r="C83" s="23">
        <v>31</v>
      </c>
      <c r="D83" s="147">
        <v>0</v>
      </c>
      <c r="E83" s="22">
        <v>0</v>
      </c>
      <c r="F83" s="22">
        <v>0</v>
      </c>
      <c r="G83" s="22">
        <v>0</v>
      </c>
      <c r="H83" s="22">
        <v>0</v>
      </c>
      <c r="I83" s="22">
        <v>0</v>
      </c>
      <c r="J83" s="22">
        <v>0</v>
      </c>
      <c r="K83" s="22">
        <v>0</v>
      </c>
      <c r="L83" s="22">
        <v>0</v>
      </c>
      <c r="M83" s="388">
        <v>57</v>
      </c>
      <c r="N83" s="25">
        <v>0.6038</v>
      </c>
      <c r="O83" s="24">
        <v>47</v>
      </c>
      <c r="P83" s="24">
        <v>2</v>
      </c>
      <c r="Q83" s="24">
        <v>2</v>
      </c>
      <c r="R83" s="22">
        <v>0</v>
      </c>
      <c r="S83" s="24">
        <v>1.75</v>
      </c>
      <c r="T83" s="24">
        <f t="shared" si="7"/>
        <v>3.75</v>
      </c>
      <c r="U83" s="376">
        <v>34.42</v>
      </c>
      <c r="V83" s="376">
        <v>2.85</v>
      </c>
      <c r="W83" s="22">
        <f t="shared" si="8"/>
        <v>20.782796000000001</v>
      </c>
      <c r="X83" s="22">
        <f t="shared" si="9"/>
        <v>6</v>
      </c>
      <c r="Y83" s="22">
        <v>5</v>
      </c>
      <c r="Z83" s="22">
        <v>1</v>
      </c>
      <c r="AA83" s="371">
        <v>46</v>
      </c>
      <c r="AB83" s="22">
        <v>0.13043478260869565</v>
      </c>
      <c r="AC83" s="24">
        <v>0</v>
      </c>
      <c r="AD83" s="384">
        <v>0</v>
      </c>
    </row>
    <row r="84" spans="1:30">
      <c r="A84" s="21" t="s">
        <v>423</v>
      </c>
      <c r="B84" s="21" t="s">
        <v>424</v>
      </c>
      <c r="C84" s="23">
        <v>6562</v>
      </c>
      <c r="D84" s="147">
        <v>416.83</v>
      </c>
      <c r="E84" s="22">
        <v>1098.77</v>
      </c>
      <c r="F84" s="22">
        <v>1515.6</v>
      </c>
      <c r="G84" s="22">
        <v>0</v>
      </c>
      <c r="H84" s="22">
        <v>313</v>
      </c>
      <c r="I84" s="22">
        <v>17.16</v>
      </c>
      <c r="J84" s="22">
        <v>255.17000000000002</v>
      </c>
      <c r="K84" s="22">
        <v>114.4</v>
      </c>
      <c r="L84" s="22">
        <v>0</v>
      </c>
      <c r="M84" s="388">
        <v>19994.73</v>
      </c>
      <c r="N84" s="25">
        <v>0.38479999999999998</v>
      </c>
      <c r="O84" s="24">
        <v>7753</v>
      </c>
      <c r="P84" s="24">
        <v>3154.25</v>
      </c>
      <c r="Q84" s="24">
        <v>2337.5</v>
      </c>
      <c r="R84" s="22">
        <v>816.75</v>
      </c>
      <c r="S84" s="24">
        <v>751.75</v>
      </c>
      <c r="T84" s="24">
        <f t="shared" si="7"/>
        <v>3906</v>
      </c>
      <c r="U84" s="376">
        <v>7625.99</v>
      </c>
      <c r="V84" s="376">
        <v>999.74</v>
      </c>
      <c r="W84" s="22">
        <f t="shared" si="8"/>
        <v>2934.4809519999999</v>
      </c>
      <c r="X84" s="22">
        <f t="shared" si="9"/>
        <v>2405.5</v>
      </c>
      <c r="Y84" s="22">
        <v>1133.25</v>
      </c>
      <c r="Z84" s="22">
        <v>1272.25</v>
      </c>
      <c r="AA84" s="371">
        <v>19847.490000000002</v>
      </c>
      <c r="AB84" s="22">
        <v>0.12119920453417535</v>
      </c>
      <c r="AC84" s="24">
        <v>0</v>
      </c>
      <c r="AD84" s="384">
        <v>0</v>
      </c>
    </row>
    <row r="85" spans="1:30">
      <c r="A85" s="21" t="s">
        <v>65</v>
      </c>
      <c r="B85" s="21" t="s">
        <v>66</v>
      </c>
      <c r="C85" s="23">
        <v>6526</v>
      </c>
      <c r="D85" s="147">
        <v>213.52</v>
      </c>
      <c r="E85" s="22">
        <v>2172.5300000000002</v>
      </c>
      <c r="F85" s="22">
        <v>2386.0500000000002</v>
      </c>
      <c r="G85" s="22">
        <v>561.57000000000005</v>
      </c>
      <c r="H85" s="22">
        <v>450</v>
      </c>
      <c r="I85" s="22">
        <v>4.8099999999999996</v>
      </c>
      <c r="J85" s="22">
        <v>632.16</v>
      </c>
      <c r="K85" s="22">
        <v>72.8</v>
      </c>
      <c r="L85" s="22">
        <v>0</v>
      </c>
      <c r="M85" s="388">
        <v>24309.77</v>
      </c>
      <c r="N85" s="25">
        <v>0.53939999999999999</v>
      </c>
      <c r="O85" s="24">
        <v>13327</v>
      </c>
      <c r="P85" s="24">
        <v>3283.25</v>
      </c>
      <c r="Q85" s="24">
        <v>2124.5</v>
      </c>
      <c r="R85" s="22">
        <v>1158.75</v>
      </c>
      <c r="S85" s="24">
        <v>606.25</v>
      </c>
      <c r="T85" s="24">
        <f t="shared" si="7"/>
        <v>3889.5</v>
      </c>
      <c r="U85" s="376">
        <v>13068.93</v>
      </c>
      <c r="V85" s="376">
        <v>1215.49</v>
      </c>
      <c r="W85" s="22">
        <f t="shared" si="8"/>
        <v>7049.3808420000005</v>
      </c>
      <c r="X85" s="22">
        <f t="shared" si="9"/>
        <v>3096.5</v>
      </c>
      <c r="Y85" s="22">
        <v>2420.75</v>
      </c>
      <c r="Z85" s="22">
        <v>675.75</v>
      </c>
      <c r="AA85" s="371">
        <v>22566.85</v>
      </c>
      <c r="AB85" s="22">
        <v>0.13721454257018592</v>
      </c>
      <c r="AC85" s="24">
        <v>2.2145425701859123E-3</v>
      </c>
      <c r="AD85" s="384">
        <v>-478920.16519771708</v>
      </c>
    </row>
    <row r="86" spans="1:30">
      <c r="A86" s="21" t="s">
        <v>497</v>
      </c>
      <c r="B86" s="21" t="s">
        <v>498</v>
      </c>
      <c r="C86" s="23">
        <v>16</v>
      </c>
      <c r="D86" s="147">
        <v>0</v>
      </c>
      <c r="E86" s="22">
        <v>0</v>
      </c>
      <c r="F86" s="22">
        <v>0</v>
      </c>
      <c r="G86" s="22">
        <v>0</v>
      </c>
      <c r="H86" s="22">
        <v>0</v>
      </c>
      <c r="I86" s="22">
        <v>0</v>
      </c>
      <c r="J86" s="22">
        <v>0</v>
      </c>
      <c r="K86" s="22">
        <v>0</v>
      </c>
      <c r="L86" s="22">
        <v>0</v>
      </c>
      <c r="M86" s="388">
        <v>32</v>
      </c>
      <c r="N86" s="25">
        <v>0.83330000000000004</v>
      </c>
      <c r="O86" s="24">
        <v>24</v>
      </c>
      <c r="P86" s="24">
        <v>0</v>
      </c>
      <c r="Q86" s="24">
        <v>0</v>
      </c>
      <c r="R86" s="22">
        <v>0</v>
      </c>
      <c r="S86" s="24">
        <v>0</v>
      </c>
      <c r="T86" s="24">
        <f t="shared" si="7"/>
        <v>0</v>
      </c>
      <c r="U86" s="376">
        <v>26.67</v>
      </c>
      <c r="V86" s="376">
        <v>1.6</v>
      </c>
      <c r="W86" s="22">
        <f t="shared" si="8"/>
        <v>22.224111000000004</v>
      </c>
      <c r="X86" s="22">
        <f t="shared" si="9"/>
        <v>1</v>
      </c>
      <c r="Y86" s="22">
        <v>1</v>
      </c>
      <c r="Z86" s="22">
        <v>0</v>
      </c>
      <c r="AA86" s="371">
        <v>25.8</v>
      </c>
      <c r="AB86" s="22">
        <v>3.875968992248062E-2</v>
      </c>
      <c r="AC86" s="24">
        <v>0</v>
      </c>
      <c r="AD86" s="384">
        <v>0</v>
      </c>
    </row>
    <row r="87" spans="1:30">
      <c r="A87" s="21" t="s">
        <v>185</v>
      </c>
      <c r="B87" s="21" t="s">
        <v>186</v>
      </c>
      <c r="C87" s="23">
        <v>6510</v>
      </c>
      <c r="D87" s="147">
        <v>89.12</v>
      </c>
      <c r="E87" s="22">
        <v>1275.18</v>
      </c>
      <c r="F87" s="22">
        <v>1364.3000000000002</v>
      </c>
      <c r="G87" s="22">
        <v>0</v>
      </c>
      <c r="H87" s="22">
        <v>675</v>
      </c>
      <c r="I87" s="22">
        <v>47.73</v>
      </c>
      <c r="J87" s="22">
        <v>829.95</v>
      </c>
      <c r="K87" s="22">
        <v>120.12</v>
      </c>
      <c r="L87" s="22">
        <v>0</v>
      </c>
      <c r="M87" s="388">
        <v>22389.8</v>
      </c>
      <c r="N87" s="25">
        <v>0.65649999999999997</v>
      </c>
      <c r="O87" s="24">
        <v>18830</v>
      </c>
      <c r="P87" s="24">
        <v>5052.25</v>
      </c>
      <c r="Q87" s="24">
        <v>3239.75</v>
      </c>
      <c r="R87" s="22">
        <v>1812.5</v>
      </c>
      <c r="S87" s="24">
        <v>656.75</v>
      </c>
      <c r="T87" s="24">
        <f t="shared" si="7"/>
        <v>5709</v>
      </c>
      <c r="U87" s="376">
        <v>13991.39</v>
      </c>
      <c r="V87" s="376">
        <v>1119.49</v>
      </c>
      <c r="W87" s="22">
        <f t="shared" si="8"/>
        <v>9185.347534999999</v>
      </c>
      <c r="X87" s="22">
        <f t="shared" si="9"/>
        <v>2656</v>
      </c>
      <c r="Y87" s="22">
        <v>1323.5</v>
      </c>
      <c r="Z87" s="22">
        <v>1332.5</v>
      </c>
      <c r="AA87" s="371">
        <v>20545.96</v>
      </c>
      <c r="AB87" s="22">
        <v>0.12927115598395014</v>
      </c>
      <c r="AC87" s="24">
        <v>0</v>
      </c>
      <c r="AD87" s="384">
        <v>0</v>
      </c>
    </row>
    <row r="88" spans="1:30">
      <c r="A88" s="21" t="s">
        <v>541</v>
      </c>
      <c r="B88" s="21" t="s">
        <v>542</v>
      </c>
      <c r="C88" s="23">
        <v>1423</v>
      </c>
      <c r="D88" s="147">
        <v>17.98</v>
      </c>
      <c r="E88" s="22">
        <v>252.22</v>
      </c>
      <c r="F88" s="22">
        <v>270.2</v>
      </c>
      <c r="G88" s="22">
        <v>0</v>
      </c>
      <c r="H88" s="22">
        <v>148</v>
      </c>
      <c r="I88" s="22">
        <v>17.37</v>
      </c>
      <c r="J88" s="22">
        <v>97.02000000000001</v>
      </c>
      <c r="K88" s="22">
        <v>36.659999999999997</v>
      </c>
      <c r="L88" s="22">
        <v>3.14</v>
      </c>
      <c r="M88" s="388">
        <v>4797.1900000000005</v>
      </c>
      <c r="N88" s="25">
        <v>0.48709999999999998</v>
      </c>
      <c r="O88" s="24">
        <v>1681</v>
      </c>
      <c r="P88" s="24">
        <v>336</v>
      </c>
      <c r="Q88" s="24">
        <v>223</v>
      </c>
      <c r="R88" s="22">
        <v>113</v>
      </c>
      <c r="S88" s="24">
        <v>57.25</v>
      </c>
      <c r="T88" s="24">
        <f t="shared" si="7"/>
        <v>393.25</v>
      </c>
      <c r="U88" s="376">
        <v>2335.27</v>
      </c>
      <c r="V88" s="376">
        <v>239.86</v>
      </c>
      <c r="W88" s="22">
        <f t="shared" si="8"/>
        <v>1137.5100169999998</v>
      </c>
      <c r="X88" s="22">
        <f t="shared" si="9"/>
        <v>611.5</v>
      </c>
      <c r="Y88" s="22">
        <v>348.75</v>
      </c>
      <c r="Z88" s="22">
        <v>262.75</v>
      </c>
      <c r="AA88" s="371">
        <v>4378.47</v>
      </c>
      <c r="AB88" s="22">
        <v>0.13966065771833538</v>
      </c>
      <c r="AC88" s="24">
        <v>4.6606577183353759E-3</v>
      </c>
      <c r="AD88" s="384">
        <v>-200185.04712157114</v>
      </c>
    </row>
    <row r="89" spans="1:30">
      <c r="A89" s="21" t="s">
        <v>389</v>
      </c>
      <c r="B89" s="21" t="s">
        <v>390</v>
      </c>
      <c r="C89" s="23">
        <v>1115</v>
      </c>
      <c r="D89" s="147">
        <v>47.73</v>
      </c>
      <c r="E89" s="22">
        <v>315.07</v>
      </c>
      <c r="F89" s="22">
        <v>362.8</v>
      </c>
      <c r="G89" s="22">
        <v>0</v>
      </c>
      <c r="H89" s="22">
        <v>54</v>
      </c>
      <c r="I89" s="22">
        <v>2.36</v>
      </c>
      <c r="J89" s="22">
        <v>6.89</v>
      </c>
      <c r="K89" s="22">
        <v>17.760000000000002</v>
      </c>
      <c r="L89" s="22">
        <v>0</v>
      </c>
      <c r="M89" s="388">
        <v>3795.01</v>
      </c>
      <c r="N89" s="25">
        <v>0.45729999999999998</v>
      </c>
      <c r="O89" s="24">
        <v>841</v>
      </c>
      <c r="P89" s="24">
        <v>518</v>
      </c>
      <c r="Q89" s="24">
        <v>355.5</v>
      </c>
      <c r="R89" s="22">
        <v>162.5</v>
      </c>
      <c r="S89" s="24">
        <v>106.5</v>
      </c>
      <c r="T89" s="24">
        <f t="shared" si="7"/>
        <v>624.5</v>
      </c>
      <c r="U89" s="376">
        <v>1735.46</v>
      </c>
      <c r="V89" s="376">
        <v>189.75</v>
      </c>
      <c r="W89" s="22">
        <f t="shared" si="8"/>
        <v>793.62585799999999</v>
      </c>
      <c r="X89" s="22">
        <f t="shared" si="9"/>
        <v>389</v>
      </c>
      <c r="Y89" s="22">
        <v>178.25</v>
      </c>
      <c r="Z89" s="22">
        <v>210.75</v>
      </c>
      <c r="AA89" s="371">
        <v>3719.9</v>
      </c>
      <c r="AB89" s="22">
        <v>0.1045727035673002</v>
      </c>
      <c r="AC89" s="24">
        <v>0</v>
      </c>
      <c r="AD89" s="384">
        <v>0</v>
      </c>
    </row>
    <row r="90" spans="1:30">
      <c r="A90" s="21" t="s">
        <v>23</v>
      </c>
      <c r="B90" s="21" t="s">
        <v>24</v>
      </c>
      <c r="C90" s="23">
        <v>203</v>
      </c>
      <c r="D90" s="147">
        <v>5.68</v>
      </c>
      <c r="E90" s="22">
        <v>64.5</v>
      </c>
      <c r="F90" s="22">
        <v>70.180000000000007</v>
      </c>
      <c r="G90" s="22">
        <v>0</v>
      </c>
      <c r="H90" s="22">
        <v>10</v>
      </c>
      <c r="I90" s="22">
        <v>0.53</v>
      </c>
      <c r="J90" s="22">
        <v>17.07</v>
      </c>
      <c r="K90" s="22">
        <v>0</v>
      </c>
      <c r="L90" s="22">
        <v>0</v>
      </c>
      <c r="M90" s="388">
        <v>824.6</v>
      </c>
      <c r="N90" s="25">
        <v>0.79310000000000003</v>
      </c>
      <c r="O90" s="24">
        <v>870</v>
      </c>
      <c r="P90" s="24">
        <v>167</v>
      </c>
      <c r="Q90" s="24">
        <v>113.25</v>
      </c>
      <c r="R90" s="22">
        <v>53.75</v>
      </c>
      <c r="S90" s="24">
        <v>29</v>
      </c>
      <c r="T90" s="24">
        <f t="shared" si="7"/>
        <v>196</v>
      </c>
      <c r="U90" s="376">
        <v>653.99</v>
      </c>
      <c r="V90" s="376">
        <v>41.23</v>
      </c>
      <c r="W90" s="22">
        <f t="shared" si="8"/>
        <v>518.67946900000004</v>
      </c>
      <c r="X90" s="22">
        <f t="shared" si="9"/>
        <v>100.5</v>
      </c>
      <c r="Y90" s="22">
        <v>61.5</v>
      </c>
      <c r="Z90" s="22">
        <v>39</v>
      </c>
      <c r="AA90" s="371">
        <v>863.49</v>
      </c>
      <c r="AB90" s="22">
        <v>0.11638814578049543</v>
      </c>
      <c r="AC90" s="24">
        <v>0</v>
      </c>
      <c r="AD90" s="384">
        <v>0</v>
      </c>
    </row>
    <row r="91" spans="1:30">
      <c r="A91" s="21" t="s">
        <v>381</v>
      </c>
      <c r="B91" s="21" t="s">
        <v>382</v>
      </c>
      <c r="C91" s="23">
        <v>2318</v>
      </c>
      <c r="D91" s="147">
        <v>107.61</v>
      </c>
      <c r="E91" s="22">
        <v>528.71</v>
      </c>
      <c r="F91" s="22">
        <v>636.32000000000005</v>
      </c>
      <c r="G91" s="22">
        <v>0</v>
      </c>
      <c r="H91" s="22">
        <v>158</v>
      </c>
      <c r="I91" s="22">
        <v>13.05</v>
      </c>
      <c r="J91" s="22">
        <v>97.800000000000011</v>
      </c>
      <c r="K91" s="22">
        <v>0</v>
      </c>
      <c r="L91" s="22">
        <v>0</v>
      </c>
      <c r="M91" s="388">
        <v>7902.85</v>
      </c>
      <c r="N91" s="25">
        <v>0.7823</v>
      </c>
      <c r="O91" s="24">
        <v>7395</v>
      </c>
      <c r="P91" s="24">
        <v>924</v>
      </c>
      <c r="Q91" s="24">
        <v>603</v>
      </c>
      <c r="R91" s="22">
        <v>321</v>
      </c>
      <c r="S91" s="24">
        <v>173.5</v>
      </c>
      <c r="T91" s="24">
        <f t="shared" si="7"/>
        <v>1097.5</v>
      </c>
      <c r="U91" s="376">
        <v>6182.4</v>
      </c>
      <c r="V91" s="376">
        <v>395.14</v>
      </c>
      <c r="W91" s="22">
        <f t="shared" si="8"/>
        <v>4836.4915199999996</v>
      </c>
      <c r="X91" s="22">
        <f t="shared" si="9"/>
        <v>954.5</v>
      </c>
      <c r="Y91" s="22">
        <v>475.5</v>
      </c>
      <c r="Z91" s="22">
        <v>479</v>
      </c>
      <c r="AA91" s="371">
        <v>7378.21</v>
      </c>
      <c r="AB91" s="22">
        <v>0.12936742109536054</v>
      </c>
      <c r="AC91" s="24">
        <v>0</v>
      </c>
      <c r="AD91" s="384">
        <v>0</v>
      </c>
    </row>
    <row r="92" spans="1:30">
      <c r="A92" s="21" t="s">
        <v>465</v>
      </c>
      <c r="B92" s="21" t="s">
        <v>466</v>
      </c>
      <c r="C92" s="23">
        <v>216</v>
      </c>
      <c r="D92" s="147">
        <v>34.31</v>
      </c>
      <c r="E92" s="22">
        <v>88.61</v>
      </c>
      <c r="F92" s="22">
        <v>122.92</v>
      </c>
      <c r="G92" s="22">
        <v>0</v>
      </c>
      <c r="H92" s="22">
        <v>30</v>
      </c>
      <c r="I92" s="22">
        <v>0.33</v>
      </c>
      <c r="J92" s="22">
        <v>1.8</v>
      </c>
      <c r="K92" s="22">
        <v>0.8</v>
      </c>
      <c r="L92" s="22">
        <v>0</v>
      </c>
      <c r="M92" s="388">
        <v>864.93</v>
      </c>
      <c r="N92" s="25">
        <v>0.2266</v>
      </c>
      <c r="O92" s="24">
        <v>0</v>
      </c>
      <c r="P92" s="24">
        <v>0</v>
      </c>
      <c r="Q92" s="24">
        <v>0</v>
      </c>
      <c r="R92" s="22">
        <v>0</v>
      </c>
      <c r="S92" s="24">
        <v>0</v>
      </c>
      <c r="T92" s="24">
        <f t="shared" si="7"/>
        <v>0</v>
      </c>
      <c r="U92" s="376">
        <v>195.99</v>
      </c>
      <c r="V92" s="376">
        <v>0</v>
      </c>
      <c r="W92" s="22">
        <f t="shared" si="8"/>
        <v>44.411334000000004</v>
      </c>
      <c r="X92" s="22">
        <f t="shared" si="9"/>
        <v>102.5</v>
      </c>
      <c r="Y92" s="22">
        <v>75.25</v>
      </c>
      <c r="Z92" s="22">
        <v>27.25</v>
      </c>
      <c r="AA92" s="371">
        <v>862.72</v>
      </c>
      <c r="AB92" s="22">
        <v>0.11881027448071216</v>
      </c>
      <c r="AC92" s="24">
        <v>0</v>
      </c>
      <c r="AD92" s="384">
        <v>0</v>
      </c>
    </row>
    <row r="93" spans="1:30">
      <c r="A93" s="21" t="s">
        <v>567</v>
      </c>
      <c r="B93" s="21" t="s">
        <v>568</v>
      </c>
      <c r="C93" s="23">
        <v>42</v>
      </c>
      <c r="D93" s="147">
        <v>0</v>
      </c>
      <c r="E93" s="22">
        <v>4.87</v>
      </c>
      <c r="F93" s="22">
        <v>4.87</v>
      </c>
      <c r="G93" s="22">
        <v>0</v>
      </c>
      <c r="H93" s="22">
        <v>1</v>
      </c>
      <c r="I93" s="22">
        <v>0</v>
      </c>
      <c r="J93" s="22">
        <v>0</v>
      </c>
      <c r="K93" s="22">
        <v>0</v>
      </c>
      <c r="L93" s="22">
        <v>0</v>
      </c>
      <c r="M93" s="388">
        <v>116</v>
      </c>
      <c r="N93" s="25">
        <v>0.52249999999999996</v>
      </c>
      <c r="O93" s="24">
        <v>82</v>
      </c>
      <c r="P93" s="24">
        <v>0</v>
      </c>
      <c r="Q93" s="24">
        <v>0</v>
      </c>
      <c r="R93" s="22">
        <v>0</v>
      </c>
      <c r="S93" s="24">
        <v>0</v>
      </c>
      <c r="T93" s="24">
        <f t="shared" si="7"/>
        <v>0</v>
      </c>
      <c r="U93" s="376">
        <v>60.61</v>
      </c>
      <c r="V93" s="376">
        <v>0</v>
      </c>
      <c r="W93" s="22">
        <f t="shared" si="8"/>
        <v>31.668724999999998</v>
      </c>
      <c r="X93" s="22">
        <f t="shared" si="9"/>
        <v>13.5</v>
      </c>
      <c r="Y93" s="22">
        <v>11</v>
      </c>
      <c r="Z93" s="22">
        <v>2.5</v>
      </c>
      <c r="AA93" s="371">
        <v>105.26</v>
      </c>
      <c r="AB93" s="22">
        <v>0.12825384761542846</v>
      </c>
      <c r="AC93" s="24">
        <v>0</v>
      </c>
      <c r="AD93" s="384">
        <v>0</v>
      </c>
    </row>
    <row r="94" spans="1:30">
      <c r="A94" s="21" t="s">
        <v>259</v>
      </c>
      <c r="B94" s="21" t="s">
        <v>260</v>
      </c>
      <c r="C94" s="23">
        <v>14</v>
      </c>
      <c r="D94" s="147">
        <v>0</v>
      </c>
      <c r="E94" s="22">
        <v>0</v>
      </c>
      <c r="F94" s="22">
        <v>0</v>
      </c>
      <c r="G94" s="22">
        <v>0</v>
      </c>
      <c r="H94" s="22">
        <v>0</v>
      </c>
      <c r="I94" s="22">
        <v>0</v>
      </c>
      <c r="J94" s="22">
        <v>0</v>
      </c>
      <c r="K94" s="22">
        <v>0</v>
      </c>
      <c r="L94" s="22">
        <v>0</v>
      </c>
      <c r="M94" s="388">
        <v>57</v>
      </c>
      <c r="N94" s="25">
        <v>0.56599999999999995</v>
      </c>
      <c r="O94" s="24">
        <v>16</v>
      </c>
      <c r="P94" s="24">
        <v>0</v>
      </c>
      <c r="Q94" s="24">
        <v>0</v>
      </c>
      <c r="R94" s="22">
        <v>0</v>
      </c>
      <c r="S94" s="24">
        <v>0</v>
      </c>
      <c r="T94" s="24">
        <f t="shared" si="7"/>
        <v>0</v>
      </c>
      <c r="U94" s="376">
        <v>32.26</v>
      </c>
      <c r="V94" s="376">
        <v>0</v>
      </c>
      <c r="W94" s="22">
        <f t="shared" si="8"/>
        <v>18.259159999999998</v>
      </c>
      <c r="X94" s="22">
        <f t="shared" si="9"/>
        <v>12</v>
      </c>
      <c r="Y94" s="22">
        <v>9</v>
      </c>
      <c r="Z94" s="22">
        <v>3</v>
      </c>
      <c r="AA94" s="371">
        <v>51.97</v>
      </c>
      <c r="AB94" s="22">
        <v>0.23090244371752935</v>
      </c>
      <c r="AC94" s="24">
        <v>9.5902443717529345E-2</v>
      </c>
      <c r="AD94" s="384">
        <v>-46581.371626678396</v>
      </c>
    </row>
    <row r="95" spans="1:30">
      <c r="A95" s="21" t="s">
        <v>265</v>
      </c>
      <c r="B95" s="21" t="s">
        <v>266</v>
      </c>
      <c r="C95" s="23">
        <v>242</v>
      </c>
      <c r="D95" s="147">
        <v>27.1</v>
      </c>
      <c r="E95" s="22">
        <v>80.260000000000005</v>
      </c>
      <c r="F95" s="22">
        <v>107.36000000000001</v>
      </c>
      <c r="G95" s="22">
        <v>0</v>
      </c>
      <c r="H95" s="22">
        <v>5</v>
      </c>
      <c r="I95" s="22">
        <v>1.34</v>
      </c>
      <c r="J95" s="22">
        <v>1378.9</v>
      </c>
      <c r="K95" s="22">
        <v>0</v>
      </c>
      <c r="L95" s="22">
        <v>0</v>
      </c>
      <c r="M95" s="388">
        <v>2216.2400000000002</v>
      </c>
      <c r="N95" s="25">
        <v>0.59160000000000001</v>
      </c>
      <c r="O95" s="24">
        <v>545</v>
      </c>
      <c r="P95" s="24">
        <v>71.25</v>
      </c>
      <c r="Q95" s="24">
        <v>39.5</v>
      </c>
      <c r="R95" s="22">
        <v>31.75</v>
      </c>
      <c r="S95" s="24">
        <v>5</v>
      </c>
      <c r="T95" s="24">
        <f t="shared" si="7"/>
        <v>76.25</v>
      </c>
      <c r="U95" s="376">
        <v>1311.13</v>
      </c>
      <c r="V95" s="376">
        <v>0</v>
      </c>
      <c r="W95" s="22">
        <f t="shared" si="8"/>
        <v>775.66450800000007</v>
      </c>
      <c r="X95" s="22">
        <f t="shared" si="9"/>
        <v>304</v>
      </c>
      <c r="Y95" s="22">
        <v>224.25</v>
      </c>
      <c r="Z95" s="22">
        <v>79.75</v>
      </c>
      <c r="AA95" s="371">
        <v>2240.66</v>
      </c>
      <c r="AB95" s="22">
        <v>0.13567431024787341</v>
      </c>
      <c r="AC95" s="24">
        <v>6.7431024787339977E-4</v>
      </c>
      <c r="AD95" s="384">
        <v>-13465.664397162835</v>
      </c>
    </row>
    <row r="96" spans="1:30">
      <c r="A96" s="21" t="s">
        <v>139</v>
      </c>
      <c r="B96" s="21" t="s">
        <v>140</v>
      </c>
      <c r="C96" s="23">
        <v>192</v>
      </c>
      <c r="D96" s="147">
        <v>7.56</v>
      </c>
      <c r="E96" s="22">
        <v>26.32</v>
      </c>
      <c r="F96" s="22">
        <v>33.880000000000003</v>
      </c>
      <c r="G96" s="22">
        <v>0</v>
      </c>
      <c r="H96" s="22">
        <v>11</v>
      </c>
      <c r="I96" s="22">
        <v>1.07</v>
      </c>
      <c r="J96" s="22">
        <v>33.32</v>
      </c>
      <c r="K96" s="22">
        <v>0</v>
      </c>
      <c r="L96" s="22">
        <v>0</v>
      </c>
      <c r="M96" s="388">
        <v>703.3900000000001</v>
      </c>
      <c r="N96" s="25">
        <v>0.73499999999999999</v>
      </c>
      <c r="O96" s="24">
        <v>717</v>
      </c>
      <c r="P96" s="24">
        <v>0</v>
      </c>
      <c r="Q96" s="24">
        <v>0</v>
      </c>
      <c r="R96" s="22">
        <v>0</v>
      </c>
      <c r="S96" s="24">
        <v>0</v>
      </c>
      <c r="T96" s="24">
        <f t="shared" si="7"/>
        <v>0</v>
      </c>
      <c r="U96" s="376">
        <v>516.99</v>
      </c>
      <c r="V96" s="376">
        <v>35.17</v>
      </c>
      <c r="W96" s="22">
        <f t="shared" si="8"/>
        <v>379.98764999999997</v>
      </c>
      <c r="X96" s="22">
        <f t="shared" si="9"/>
        <v>103.25</v>
      </c>
      <c r="Y96" s="22">
        <v>64.5</v>
      </c>
      <c r="Z96" s="22">
        <v>38.75</v>
      </c>
      <c r="AA96" s="371">
        <v>719.06</v>
      </c>
      <c r="AB96" s="22">
        <v>0.1435902428170111</v>
      </c>
      <c r="AC96" s="24">
        <v>8.5902428170110956E-3</v>
      </c>
      <c r="AD96" s="384">
        <v>-56740.81575637377</v>
      </c>
    </row>
    <row r="97" spans="1:30">
      <c r="A97" s="21" t="s">
        <v>593</v>
      </c>
      <c r="B97" s="21" t="s">
        <v>594</v>
      </c>
      <c r="C97" s="23">
        <v>945</v>
      </c>
      <c r="D97" s="147">
        <v>41.76</v>
      </c>
      <c r="E97" s="22">
        <v>277.12</v>
      </c>
      <c r="F97" s="22">
        <v>318.88</v>
      </c>
      <c r="G97" s="22">
        <v>0</v>
      </c>
      <c r="H97" s="22">
        <v>45</v>
      </c>
      <c r="I97" s="22">
        <v>4.17</v>
      </c>
      <c r="J97" s="22">
        <v>44.199999999999996</v>
      </c>
      <c r="K97" s="22">
        <v>7.2</v>
      </c>
      <c r="L97" s="22">
        <v>0</v>
      </c>
      <c r="M97" s="388">
        <v>3322.5699999999997</v>
      </c>
      <c r="N97" s="25">
        <v>0.85250000000000004</v>
      </c>
      <c r="O97" s="24">
        <v>3561</v>
      </c>
      <c r="P97" s="24">
        <v>1094.25</v>
      </c>
      <c r="Q97" s="24">
        <v>679.5</v>
      </c>
      <c r="R97" s="22">
        <v>414.75</v>
      </c>
      <c r="S97" s="24">
        <v>192.75</v>
      </c>
      <c r="T97" s="24">
        <f t="shared" si="7"/>
        <v>1287</v>
      </c>
      <c r="U97" s="376">
        <v>2832.49</v>
      </c>
      <c r="V97" s="376">
        <v>166.13</v>
      </c>
      <c r="W97" s="22">
        <f t="shared" si="8"/>
        <v>2414.697725</v>
      </c>
      <c r="X97" s="22">
        <f t="shared" si="9"/>
        <v>511.5</v>
      </c>
      <c r="Y97" s="22">
        <v>234.5</v>
      </c>
      <c r="Z97" s="22">
        <v>277</v>
      </c>
      <c r="AA97" s="371">
        <v>3518.33</v>
      </c>
      <c r="AB97" s="22">
        <v>0.1453814735968485</v>
      </c>
      <c r="AC97" s="24">
        <v>1.0381473596848489E-2</v>
      </c>
      <c r="AD97" s="384">
        <v>-335179.4529135956</v>
      </c>
    </row>
    <row r="98" spans="1:30">
      <c r="A98" s="21" t="s">
        <v>601</v>
      </c>
      <c r="B98" s="21" t="s">
        <v>602</v>
      </c>
      <c r="C98" s="23">
        <v>416</v>
      </c>
      <c r="D98" s="147">
        <v>21.06</v>
      </c>
      <c r="E98" s="22">
        <v>165.61</v>
      </c>
      <c r="F98" s="22">
        <v>186.67000000000002</v>
      </c>
      <c r="G98" s="22">
        <v>0</v>
      </c>
      <c r="H98" s="22">
        <v>18</v>
      </c>
      <c r="I98" s="22">
        <v>0.8</v>
      </c>
      <c r="J98" s="22">
        <v>0</v>
      </c>
      <c r="K98" s="22">
        <v>0</v>
      </c>
      <c r="L98" s="22">
        <v>0</v>
      </c>
      <c r="M98" s="388">
        <v>1482.8</v>
      </c>
      <c r="N98" s="25">
        <v>0.90959999999999996</v>
      </c>
      <c r="O98" s="24">
        <v>1437</v>
      </c>
      <c r="P98" s="24">
        <v>568.75</v>
      </c>
      <c r="Q98" s="24">
        <v>354.25</v>
      </c>
      <c r="R98" s="22">
        <v>214.5</v>
      </c>
      <c r="S98" s="24">
        <v>107</v>
      </c>
      <c r="T98" s="24">
        <f t="shared" si="7"/>
        <v>675.75</v>
      </c>
      <c r="U98" s="376">
        <v>1348.75</v>
      </c>
      <c r="V98" s="376">
        <v>74.14</v>
      </c>
      <c r="W98" s="22">
        <f t="shared" si="8"/>
        <v>1226.8229999999999</v>
      </c>
      <c r="X98" s="22">
        <f t="shared" si="9"/>
        <v>190.25</v>
      </c>
      <c r="Y98" s="22">
        <v>88.25</v>
      </c>
      <c r="Z98" s="22">
        <v>102</v>
      </c>
      <c r="AA98" s="371">
        <v>1483.52</v>
      </c>
      <c r="AB98" s="22">
        <v>0.12824228861087145</v>
      </c>
      <c r="AC98" s="24">
        <v>0</v>
      </c>
      <c r="AD98" s="384">
        <v>0</v>
      </c>
    </row>
    <row r="99" spans="1:30">
      <c r="A99" s="21" t="s">
        <v>447</v>
      </c>
      <c r="B99" s="21" t="s">
        <v>448</v>
      </c>
      <c r="C99" s="23">
        <v>605</v>
      </c>
      <c r="D99" s="147">
        <v>71.14</v>
      </c>
      <c r="E99" s="22">
        <v>133.44999999999999</v>
      </c>
      <c r="F99" s="22">
        <v>204.58999999999997</v>
      </c>
      <c r="G99" s="22">
        <v>0</v>
      </c>
      <c r="H99" s="22">
        <v>20</v>
      </c>
      <c r="I99" s="22">
        <v>0.08</v>
      </c>
      <c r="J99" s="22">
        <v>139.46</v>
      </c>
      <c r="K99" s="22">
        <v>50.2</v>
      </c>
      <c r="L99" s="22">
        <v>0</v>
      </c>
      <c r="M99" s="388">
        <v>2171.7399999999998</v>
      </c>
      <c r="N99" s="25">
        <v>0.46089999999999998</v>
      </c>
      <c r="O99" s="24">
        <v>197</v>
      </c>
      <c r="P99" s="24">
        <v>83.25</v>
      </c>
      <c r="Q99" s="24">
        <v>51.5</v>
      </c>
      <c r="R99" s="22">
        <v>31.75</v>
      </c>
      <c r="S99" s="24">
        <v>7.75</v>
      </c>
      <c r="T99" s="24">
        <f t="shared" si="7"/>
        <v>91</v>
      </c>
      <c r="U99" s="376">
        <v>1000.95</v>
      </c>
      <c r="V99" s="376">
        <v>108.59</v>
      </c>
      <c r="W99" s="22">
        <f t="shared" si="8"/>
        <v>461.33785499999999</v>
      </c>
      <c r="X99" s="22">
        <f t="shared" si="9"/>
        <v>366</v>
      </c>
      <c r="Y99" s="22">
        <v>182.25</v>
      </c>
      <c r="Z99" s="22">
        <v>183.75</v>
      </c>
      <c r="AA99" s="371">
        <v>2180.04</v>
      </c>
      <c r="AB99" s="22">
        <v>0.16788682776462818</v>
      </c>
      <c r="AC99" s="24">
        <v>3.2886827764628174E-2</v>
      </c>
      <c r="AD99" s="384">
        <v>-715682.90537794714</v>
      </c>
    </row>
    <row r="100" spans="1:30">
      <c r="A100" s="21" t="s">
        <v>315</v>
      </c>
      <c r="B100" s="21" t="s">
        <v>316</v>
      </c>
      <c r="C100" s="23">
        <v>101</v>
      </c>
      <c r="D100" s="147">
        <v>0</v>
      </c>
      <c r="E100" s="22">
        <v>0</v>
      </c>
      <c r="F100" s="22">
        <v>0</v>
      </c>
      <c r="G100" s="22">
        <v>0</v>
      </c>
      <c r="H100" s="22">
        <v>0</v>
      </c>
      <c r="I100" s="22">
        <v>0</v>
      </c>
      <c r="J100" s="22">
        <v>0</v>
      </c>
      <c r="K100" s="22">
        <v>0</v>
      </c>
      <c r="L100" s="22">
        <v>0</v>
      </c>
      <c r="M100" s="388">
        <v>216</v>
      </c>
      <c r="N100" s="25">
        <v>0.45540000000000003</v>
      </c>
      <c r="O100" s="24">
        <v>0</v>
      </c>
      <c r="P100" s="24">
        <v>0</v>
      </c>
      <c r="Q100" s="24">
        <v>0</v>
      </c>
      <c r="R100" s="22">
        <v>0</v>
      </c>
      <c r="S100" s="24">
        <v>0</v>
      </c>
      <c r="T100" s="24">
        <f t="shared" si="7"/>
        <v>0</v>
      </c>
      <c r="U100" s="376">
        <v>98.37</v>
      </c>
      <c r="V100" s="376">
        <v>10.8</v>
      </c>
      <c r="W100" s="22">
        <f t="shared" si="8"/>
        <v>44.797698000000004</v>
      </c>
      <c r="X100" s="22">
        <f t="shared" si="9"/>
        <v>24.5</v>
      </c>
      <c r="Y100" s="22">
        <v>24.5</v>
      </c>
      <c r="Z100" s="22">
        <v>0</v>
      </c>
      <c r="AA100" s="371">
        <v>214.6</v>
      </c>
      <c r="AB100" s="22">
        <v>0.114165890027959</v>
      </c>
      <c r="AC100" s="24">
        <v>0</v>
      </c>
      <c r="AD100" s="384">
        <v>0</v>
      </c>
    </row>
    <row r="101" spans="1:30">
      <c r="A101" s="21" t="s">
        <v>455</v>
      </c>
      <c r="B101" s="21" t="s">
        <v>456</v>
      </c>
      <c r="C101" s="23">
        <v>21</v>
      </c>
      <c r="D101" s="147">
        <v>0</v>
      </c>
      <c r="E101" s="22">
        <v>0</v>
      </c>
      <c r="F101" s="22">
        <v>0</v>
      </c>
      <c r="G101" s="22">
        <v>0</v>
      </c>
      <c r="H101" s="22">
        <v>0</v>
      </c>
      <c r="I101" s="22">
        <v>0</v>
      </c>
      <c r="J101" s="22">
        <v>0</v>
      </c>
      <c r="K101" s="22">
        <v>0</v>
      </c>
      <c r="L101" s="22">
        <v>0</v>
      </c>
      <c r="M101" s="388">
        <v>40</v>
      </c>
      <c r="N101" s="25">
        <v>0.43330000000000002</v>
      </c>
      <c r="O101" s="24">
        <v>0</v>
      </c>
      <c r="P101" s="24">
        <v>0</v>
      </c>
      <c r="Q101" s="24">
        <v>0</v>
      </c>
      <c r="R101" s="22">
        <v>0</v>
      </c>
      <c r="S101" s="24">
        <v>0</v>
      </c>
      <c r="T101" s="24">
        <f t="shared" si="7"/>
        <v>0</v>
      </c>
      <c r="U101" s="376">
        <v>17.329999999999998</v>
      </c>
      <c r="V101" s="376">
        <v>0</v>
      </c>
      <c r="W101" s="22">
        <f t="shared" si="8"/>
        <v>7.5090889999999995</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347</v>
      </c>
      <c r="N102" s="25">
        <v>0.76880000000000004</v>
      </c>
      <c r="O102" s="24">
        <v>160</v>
      </c>
      <c r="P102" s="24">
        <v>22</v>
      </c>
      <c r="Q102" s="24">
        <v>1</v>
      </c>
      <c r="R102" s="22">
        <v>21</v>
      </c>
      <c r="S102" s="24">
        <v>2</v>
      </c>
      <c r="T102" s="24">
        <f t="shared" si="7"/>
        <v>24</v>
      </c>
      <c r="U102" s="376">
        <v>0</v>
      </c>
      <c r="V102" s="376">
        <v>0</v>
      </c>
      <c r="W102" s="22">
        <f t="shared" si="8"/>
        <v>0</v>
      </c>
      <c r="X102" s="22">
        <f t="shared" si="9"/>
        <v>37.25</v>
      </c>
      <c r="Y102" s="22">
        <v>17.75</v>
      </c>
      <c r="Z102" s="22">
        <v>19.5</v>
      </c>
      <c r="AA102" s="371">
        <v>160.80000000000001</v>
      </c>
      <c r="AB102" s="22">
        <v>0.23165422885572137</v>
      </c>
      <c r="AC102" s="24">
        <v>9.6654228855721364E-2</v>
      </c>
      <c r="AD102" s="384">
        <v>-147465.3494863208</v>
      </c>
    </row>
    <row r="103" spans="1:30">
      <c r="A103" s="21" t="s">
        <v>61</v>
      </c>
      <c r="B103" s="21" t="s">
        <v>62</v>
      </c>
      <c r="C103" s="23">
        <v>69</v>
      </c>
      <c r="D103" s="147">
        <v>0</v>
      </c>
      <c r="E103" s="22">
        <v>0</v>
      </c>
      <c r="F103" s="22">
        <v>0</v>
      </c>
      <c r="G103" s="22">
        <v>0</v>
      </c>
      <c r="H103" s="22">
        <v>0</v>
      </c>
      <c r="I103" s="22">
        <v>0</v>
      </c>
      <c r="J103" s="22">
        <v>0</v>
      </c>
      <c r="K103" s="22">
        <v>0</v>
      </c>
      <c r="L103" s="22">
        <v>0</v>
      </c>
      <c r="M103" s="388">
        <v>148</v>
      </c>
      <c r="N103" s="25">
        <v>0.50919999999999999</v>
      </c>
      <c r="O103" s="24">
        <v>0</v>
      </c>
      <c r="P103" s="24">
        <v>3</v>
      </c>
      <c r="Q103" s="24">
        <v>2</v>
      </c>
      <c r="R103" s="22">
        <v>1</v>
      </c>
      <c r="S103" s="24">
        <v>1</v>
      </c>
      <c r="T103" s="24">
        <f t="shared" si="7"/>
        <v>4</v>
      </c>
      <c r="U103" s="376">
        <v>75.36</v>
      </c>
      <c r="V103" s="376">
        <v>7.4</v>
      </c>
      <c r="W103" s="22">
        <f t="shared" si="8"/>
        <v>38.373311999999999</v>
      </c>
      <c r="X103" s="22">
        <f t="shared" si="9"/>
        <v>20.5</v>
      </c>
      <c r="Y103" s="22">
        <v>17.5</v>
      </c>
      <c r="Z103" s="22">
        <v>3</v>
      </c>
      <c r="AA103" s="371">
        <v>153.02000000000001</v>
      </c>
      <c r="AB103" s="22">
        <v>0.1339694157626454</v>
      </c>
      <c r="AC103" s="24">
        <v>0</v>
      </c>
      <c r="AD103" s="384">
        <v>0</v>
      </c>
    </row>
    <row r="104" spans="1:30">
      <c r="A104" s="21" t="s">
        <v>517</v>
      </c>
      <c r="B104" s="21" t="s">
        <v>518</v>
      </c>
      <c r="C104" s="23">
        <v>245</v>
      </c>
      <c r="D104" s="147">
        <v>0</v>
      </c>
      <c r="E104" s="22">
        <v>0</v>
      </c>
      <c r="F104" s="22">
        <v>0</v>
      </c>
      <c r="G104" s="22">
        <v>0</v>
      </c>
      <c r="H104" s="22">
        <v>0</v>
      </c>
      <c r="I104" s="22">
        <v>0</v>
      </c>
      <c r="J104" s="22">
        <v>0</v>
      </c>
      <c r="K104" s="22">
        <v>0</v>
      </c>
      <c r="L104" s="22">
        <v>0</v>
      </c>
      <c r="M104" s="388">
        <v>610</v>
      </c>
      <c r="N104" s="25">
        <v>0.17130000000000001</v>
      </c>
      <c r="O104" s="24">
        <v>0</v>
      </c>
      <c r="P104" s="24">
        <v>1.5</v>
      </c>
      <c r="Q104" s="24">
        <v>0</v>
      </c>
      <c r="R104" s="22">
        <v>1.5</v>
      </c>
      <c r="S104" s="24">
        <v>1</v>
      </c>
      <c r="T104" s="24">
        <f t="shared" si="7"/>
        <v>2.5</v>
      </c>
      <c r="U104" s="376">
        <v>104.49</v>
      </c>
      <c r="V104" s="376">
        <v>30.5</v>
      </c>
      <c r="W104" s="22">
        <f t="shared" si="8"/>
        <v>17.899137</v>
      </c>
      <c r="X104" s="22">
        <f t="shared" si="9"/>
        <v>76.25</v>
      </c>
      <c r="Y104" s="22">
        <v>59.5</v>
      </c>
      <c r="Z104" s="22">
        <v>16.75</v>
      </c>
      <c r="AA104" s="371">
        <v>603.01</v>
      </c>
      <c r="AB104" s="22">
        <v>0.12644898094558962</v>
      </c>
      <c r="AC104" s="24">
        <v>0</v>
      </c>
      <c r="AD104" s="384">
        <v>0</v>
      </c>
    </row>
    <row r="105" spans="1:30">
      <c r="A105" s="21" t="s">
        <v>309</v>
      </c>
      <c r="B105" s="21" t="s">
        <v>310</v>
      </c>
      <c r="C105" s="23">
        <v>37</v>
      </c>
      <c r="D105" s="147">
        <v>1.06</v>
      </c>
      <c r="E105" s="22">
        <v>4.45</v>
      </c>
      <c r="F105" s="22">
        <v>5.51</v>
      </c>
      <c r="G105" s="22">
        <v>0</v>
      </c>
      <c r="H105" s="22">
        <v>0</v>
      </c>
      <c r="I105" s="22">
        <v>0</v>
      </c>
      <c r="J105" s="22">
        <v>0</v>
      </c>
      <c r="K105" s="22">
        <v>0</v>
      </c>
      <c r="L105" s="22">
        <v>0</v>
      </c>
      <c r="M105" s="388">
        <v>112</v>
      </c>
      <c r="N105" s="25">
        <v>0.52</v>
      </c>
      <c r="O105" s="24">
        <v>113</v>
      </c>
      <c r="P105" s="24">
        <v>0</v>
      </c>
      <c r="Q105" s="24">
        <v>0</v>
      </c>
      <c r="R105" s="22">
        <v>0</v>
      </c>
      <c r="S105" s="24">
        <v>0</v>
      </c>
      <c r="T105" s="24">
        <f t="shared" si="7"/>
        <v>0</v>
      </c>
      <c r="U105" s="376">
        <v>58.24</v>
      </c>
      <c r="V105" s="376">
        <v>0</v>
      </c>
      <c r="W105" s="22">
        <f t="shared" si="8"/>
        <v>30.284800000000001</v>
      </c>
      <c r="X105" s="22">
        <f t="shared" si="9"/>
        <v>23.75</v>
      </c>
      <c r="Y105" s="22">
        <v>21.25</v>
      </c>
      <c r="Z105" s="22">
        <v>2.5</v>
      </c>
      <c r="AA105" s="371">
        <v>112.51</v>
      </c>
      <c r="AB105" s="22">
        <v>0.21109234734690249</v>
      </c>
      <c r="AC105" s="24">
        <v>7.6092347346902484E-2</v>
      </c>
      <c r="AD105" s="384">
        <v>-81489.041458602849</v>
      </c>
    </row>
    <row r="106" spans="1:30">
      <c r="A106" s="21" t="s">
        <v>599</v>
      </c>
      <c r="B106" s="21" t="s">
        <v>600</v>
      </c>
      <c r="C106" s="23">
        <v>257</v>
      </c>
      <c r="D106" s="147">
        <v>0</v>
      </c>
      <c r="E106" s="22">
        <v>46.3</v>
      </c>
      <c r="F106" s="22">
        <v>46.3</v>
      </c>
      <c r="G106" s="22">
        <v>0</v>
      </c>
      <c r="H106" s="22">
        <v>5</v>
      </c>
      <c r="I106" s="22">
        <v>0.42</v>
      </c>
      <c r="J106" s="22">
        <v>0</v>
      </c>
      <c r="K106" s="22">
        <v>5.4</v>
      </c>
      <c r="L106" s="22">
        <v>0</v>
      </c>
      <c r="M106" s="388">
        <v>1038.8200000000002</v>
      </c>
      <c r="N106" s="25">
        <v>0.82350000000000001</v>
      </c>
      <c r="O106" s="24">
        <v>1069</v>
      </c>
      <c r="P106" s="24">
        <v>298.5</v>
      </c>
      <c r="Q106" s="24">
        <v>202.5</v>
      </c>
      <c r="R106" s="22">
        <v>96</v>
      </c>
      <c r="S106" s="24">
        <v>81.75</v>
      </c>
      <c r="T106" s="24">
        <f t="shared" si="7"/>
        <v>380.25</v>
      </c>
      <c r="U106" s="376">
        <v>855.47</v>
      </c>
      <c r="V106" s="376">
        <v>51.94</v>
      </c>
      <c r="W106" s="22">
        <f t="shared" si="8"/>
        <v>704.47954500000003</v>
      </c>
      <c r="X106" s="22">
        <f t="shared" si="9"/>
        <v>123.25</v>
      </c>
      <c r="Y106" s="22">
        <v>81.5</v>
      </c>
      <c r="Z106" s="22">
        <v>41.75</v>
      </c>
      <c r="AA106" s="371">
        <v>1054.1099999999999</v>
      </c>
      <c r="AB106" s="22">
        <v>0.11692328125148231</v>
      </c>
      <c r="AC106" s="24">
        <v>0</v>
      </c>
      <c r="AD106" s="384">
        <v>0</v>
      </c>
    </row>
    <row r="107" spans="1:30">
      <c r="A107" s="21" t="s">
        <v>191</v>
      </c>
      <c r="B107" s="21" t="s">
        <v>192</v>
      </c>
      <c r="C107" s="23">
        <v>5570</v>
      </c>
      <c r="D107" s="147">
        <v>125.7</v>
      </c>
      <c r="E107" s="22">
        <v>655.34</v>
      </c>
      <c r="F107" s="22">
        <v>781.04000000000008</v>
      </c>
      <c r="G107" s="22">
        <v>360.64</v>
      </c>
      <c r="H107" s="22">
        <v>420</v>
      </c>
      <c r="I107" s="22">
        <v>31.37</v>
      </c>
      <c r="J107" s="22">
        <v>622.56999999999994</v>
      </c>
      <c r="K107" s="22">
        <v>160.18</v>
      </c>
      <c r="L107" s="22">
        <v>0</v>
      </c>
      <c r="M107" s="388">
        <v>18428.12</v>
      </c>
      <c r="N107" s="25">
        <v>0.70820000000000005</v>
      </c>
      <c r="O107" s="24">
        <v>15829</v>
      </c>
      <c r="P107" s="24">
        <v>5679</v>
      </c>
      <c r="Q107" s="24">
        <v>3443.75</v>
      </c>
      <c r="R107" s="22">
        <v>2235.25</v>
      </c>
      <c r="S107" s="24">
        <v>510.5</v>
      </c>
      <c r="T107" s="24">
        <f t="shared" si="7"/>
        <v>6189.5</v>
      </c>
      <c r="U107" s="376">
        <v>13050.79</v>
      </c>
      <c r="V107" s="376">
        <v>921.41</v>
      </c>
      <c r="W107" s="22">
        <f t="shared" si="8"/>
        <v>9242.5694780000013</v>
      </c>
      <c r="X107" s="22">
        <f t="shared" si="9"/>
        <v>2499.25</v>
      </c>
      <c r="Y107" s="22">
        <v>1760.75</v>
      </c>
      <c r="Z107" s="22">
        <v>738.5</v>
      </c>
      <c r="AA107" s="371">
        <v>17460.7</v>
      </c>
      <c r="AB107" s="22">
        <v>0.14313572766269392</v>
      </c>
      <c r="AC107" s="24">
        <v>8.135727662693909E-3</v>
      </c>
      <c r="AD107" s="384">
        <v>-1486694.938117194</v>
      </c>
    </row>
    <row r="108" spans="1:30">
      <c r="A108" s="21" t="s">
        <v>57</v>
      </c>
      <c r="B108" s="21" t="s">
        <v>58</v>
      </c>
      <c r="C108" s="23">
        <v>603</v>
      </c>
      <c r="D108" s="147">
        <v>9.2200000000000006</v>
      </c>
      <c r="E108" s="22">
        <v>41.28</v>
      </c>
      <c r="F108" s="22">
        <v>50.5</v>
      </c>
      <c r="G108" s="22">
        <v>0</v>
      </c>
      <c r="H108" s="22">
        <v>85</v>
      </c>
      <c r="I108" s="22">
        <v>0.55000000000000004</v>
      </c>
      <c r="J108" s="22">
        <v>0</v>
      </c>
      <c r="K108" s="22">
        <v>3.4</v>
      </c>
      <c r="L108" s="22">
        <v>0</v>
      </c>
      <c r="M108" s="388">
        <v>2025.95</v>
      </c>
      <c r="N108" s="25">
        <v>0.18160000000000001</v>
      </c>
      <c r="O108" s="24">
        <v>0</v>
      </c>
      <c r="P108" s="24">
        <v>71.5</v>
      </c>
      <c r="Q108" s="24">
        <v>49.25</v>
      </c>
      <c r="R108" s="22">
        <v>22.25</v>
      </c>
      <c r="S108" s="24">
        <v>11</v>
      </c>
      <c r="T108" s="24">
        <f t="shared" si="7"/>
        <v>82.5</v>
      </c>
      <c r="U108" s="376">
        <v>367.91</v>
      </c>
      <c r="V108" s="376">
        <v>101.3</v>
      </c>
      <c r="W108" s="22">
        <f t="shared" si="8"/>
        <v>66.812456000000012</v>
      </c>
      <c r="X108" s="22">
        <f t="shared" si="9"/>
        <v>175.75</v>
      </c>
      <c r="Y108" s="22">
        <v>108</v>
      </c>
      <c r="Z108" s="22">
        <v>67.75</v>
      </c>
      <c r="AA108" s="371">
        <v>1934.62</v>
      </c>
      <c r="AB108" s="22">
        <v>9.084471369054388E-2</v>
      </c>
      <c r="AC108" s="24">
        <v>0</v>
      </c>
      <c r="AD108" s="384">
        <v>0</v>
      </c>
    </row>
    <row r="109" spans="1:30">
      <c r="A109" s="21" t="s">
        <v>325</v>
      </c>
      <c r="B109" s="21" t="s">
        <v>326</v>
      </c>
      <c r="C109" s="23">
        <v>124</v>
      </c>
      <c r="D109" s="147">
        <v>0</v>
      </c>
      <c r="E109" s="22">
        <v>0</v>
      </c>
      <c r="F109" s="22">
        <v>0</v>
      </c>
      <c r="G109" s="22">
        <v>0</v>
      </c>
      <c r="H109" s="22">
        <v>0</v>
      </c>
      <c r="I109" s="22">
        <v>0</v>
      </c>
      <c r="J109" s="22">
        <v>0</v>
      </c>
      <c r="K109" s="22">
        <v>0</v>
      </c>
      <c r="L109" s="22">
        <v>0</v>
      </c>
      <c r="M109" s="388">
        <v>290</v>
      </c>
      <c r="N109" s="25">
        <v>0.8034</v>
      </c>
      <c r="O109" s="24">
        <v>298</v>
      </c>
      <c r="P109" s="24">
        <v>7.5</v>
      </c>
      <c r="Q109" s="24">
        <v>7.5</v>
      </c>
      <c r="R109" s="22">
        <v>0</v>
      </c>
      <c r="S109" s="24">
        <v>0</v>
      </c>
      <c r="T109" s="24">
        <f t="shared" si="7"/>
        <v>7.5</v>
      </c>
      <c r="U109" s="376">
        <v>232.99</v>
      </c>
      <c r="V109" s="376">
        <v>14.5</v>
      </c>
      <c r="W109" s="22">
        <f t="shared" si="8"/>
        <v>187.184166</v>
      </c>
      <c r="X109" s="22">
        <f t="shared" si="9"/>
        <v>36.75</v>
      </c>
      <c r="Y109" s="22">
        <v>31</v>
      </c>
      <c r="Z109" s="22">
        <v>5.75</v>
      </c>
      <c r="AA109" s="371">
        <v>300.60000000000002</v>
      </c>
      <c r="AB109" s="22">
        <v>0.12225548902195608</v>
      </c>
      <c r="AC109" s="24">
        <v>0</v>
      </c>
      <c r="AD109" s="384">
        <v>0</v>
      </c>
    </row>
    <row r="110" spans="1:30">
      <c r="A110" s="21" t="s">
        <v>143</v>
      </c>
      <c r="B110" s="21" t="s">
        <v>144</v>
      </c>
      <c r="C110" s="23">
        <v>442</v>
      </c>
      <c r="D110" s="147">
        <v>16.989999999999998</v>
      </c>
      <c r="E110" s="22">
        <v>126.88</v>
      </c>
      <c r="F110" s="22">
        <v>143.87</v>
      </c>
      <c r="G110" s="22">
        <v>0</v>
      </c>
      <c r="H110" s="22">
        <v>30</v>
      </c>
      <c r="I110" s="22">
        <v>0.98</v>
      </c>
      <c r="J110" s="22">
        <v>123.67</v>
      </c>
      <c r="K110" s="22">
        <v>12.08</v>
      </c>
      <c r="L110" s="22">
        <v>0</v>
      </c>
      <c r="M110" s="388">
        <v>1615.73</v>
      </c>
      <c r="N110" s="25">
        <v>0.76549999999999996</v>
      </c>
      <c r="O110" s="24">
        <v>1582</v>
      </c>
      <c r="P110" s="24">
        <v>98.25</v>
      </c>
      <c r="Q110" s="24">
        <v>71</v>
      </c>
      <c r="R110" s="22">
        <v>27.25</v>
      </c>
      <c r="S110" s="24">
        <v>11.75</v>
      </c>
      <c r="T110" s="24">
        <f t="shared" si="7"/>
        <v>110</v>
      </c>
      <c r="U110" s="376">
        <v>1236.8399999999999</v>
      </c>
      <c r="V110" s="376">
        <v>80.790000000000006</v>
      </c>
      <c r="W110" s="22">
        <f t="shared" si="8"/>
        <v>946.80101999999988</v>
      </c>
      <c r="X110" s="22">
        <f t="shared" si="9"/>
        <v>236</v>
      </c>
      <c r="Y110" s="22">
        <v>190.75</v>
      </c>
      <c r="Z110" s="22">
        <v>45.25</v>
      </c>
      <c r="AA110" s="371">
        <v>1573.59</v>
      </c>
      <c r="AB110" s="22">
        <v>0.14997553365234909</v>
      </c>
      <c r="AC110" s="24">
        <v>1.4975533652349077E-2</v>
      </c>
      <c r="AD110" s="384">
        <v>-217035.75840461993</v>
      </c>
    </row>
    <row r="111" spans="1:30">
      <c r="A111" s="21" t="s">
        <v>1315</v>
      </c>
      <c r="B111" s="21" t="s">
        <v>1316</v>
      </c>
      <c r="C111" s="23">
        <v>426</v>
      </c>
      <c r="D111" s="147">
        <v>0</v>
      </c>
      <c r="E111" s="22">
        <v>0</v>
      </c>
      <c r="F111" s="22">
        <v>0</v>
      </c>
      <c r="G111" s="22">
        <v>0</v>
      </c>
      <c r="H111" s="22">
        <v>0</v>
      </c>
      <c r="I111" s="22">
        <v>0</v>
      </c>
      <c r="J111" s="22">
        <v>0</v>
      </c>
      <c r="K111" s="22">
        <v>0</v>
      </c>
      <c r="L111" s="22">
        <v>0</v>
      </c>
      <c r="M111" s="388">
        <v>426</v>
      </c>
      <c r="N111" s="25">
        <v>0.54679999999999995</v>
      </c>
      <c r="O111" s="24">
        <v>267</v>
      </c>
      <c r="P111" s="24">
        <v>30.24</v>
      </c>
      <c r="Q111" s="24">
        <v>30.24</v>
      </c>
      <c r="R111" s="22">
        <v>0</v>
      </c>
      <c r="S111" s="24">
        <v>0</v>
      </c>
      <c r="T111" s="24">
        <f t="shared" si="7"/>
        <v>30.24</v>
      </c>
      <c r="U111" s="376">
        <v>232.94</v>
      </c>
      <c r="V111" s="376">
        <v>0</v>
      </c>
      <c r="W111" s="22">
        <f t="shared" si="8"/>
        <v>127.37159199999999</v>
      </c>
      <c r="X111" s="22">
        <f t="shared" si="9"/>
        <v>2.52</v>
      </c>
      <c r="Y111" s="22">
        <v>2.52</v>
      </c>
      <c r="Z111" s="22">
        <v>0</v>
      </c>
      <c r="AA111" s="371">
        <v>252</v>
      </c>
      <c r="AB111" s="22">
        <v>0.01</v>
      </c>
      <c r="AC111" s="24">
        <v>0</v>
      </c>
      <c r="AD111" s="384">
        <v>0</v>
      </c>
    </row>
    <row r="112" spans="1:30">
      <c r="A112" s="21" t="s">
        <v>1230</v>
      </c>
      <c r="B112" s="21" t="s">
        <v>1231</v>
      </c>
      <c r="C112" s="23">
        <v>426</v>
      </c>
      <c r="D112" s="147">
        <v>0</v>
      </c>
      <c r="E112" s="22">
        <v>0</v>
      </c>
      <c r="F112" s="22">
        <v>0</v>
      </c>
      <c r="G112" s="22">
        <v>0</v>
      </c>
      <c r="H112" s="22">
        <v>0</v>
      </c>
      <c r="I112" s="22">
        <v>0</v>
      </c>
      <c r="J112" s="22">
        <v>0</v>
      </c>
      <c r="K112" s="22">
        <v>0</v>
      </c>
      <c r="L112" s="22">
        <v>0</v>
      </c>
      <c r="M112" s="388">
        <v>426</v>
      </c>
      <c r="N112" s="25">
        <v>0.59</v>
      </c>
      <c r="O112" s="24">
        <v>0</v>
      </c>
      <c r="P112" s="24">
        <v>46</v>
      </c>
      <c r="Q112" s="24">
        <v>46</v>
      </c>
      <c r="R112" s="22">
        <v>0</v>
      </c>
      <c r="S112" s="24">
        <v>0</v>
      </c>
      <c r="T112" s="24">
        <f t="shared" si="7"/>
        <v>46</v>
      </c>
      <c r="U112" s="376">
        <v>251.34</v>
      </c>
      <c r="V112" s="376">
        <v>21.3</v>
      </c>
      <c r="W112" s="22">
        <f t="shared" si="8"/>
        <v>148.29059999999998</v>
      </c>
      <c r="X112" s="22">
        <f t="shared" si="9"/>
        <v>7.75</v>
      </c>
      <c r="Y112" s="22">
        <v>7</v>
      </c>
      <c r="Z112" s="22">
        <v>0.75</v>
      </c>
      <c r="AA112" s="371">
        <v>292.2</v>
      </c>
      <c r="AB112" s="22">
        <v>2.6522929500342234E-2</v>
      </c>
      <c r="AC112" s="24">
        <v>0</v>
      </c>
      <c r="AD112" s="384">
        <v>0</v>
      </c>
    </row>
    <row r="113" spans="1:30">
      <c r="A113" s="21" t="s">
        <v>1032</v>
      </c>
      <c r="B113" s="21" t="s">
        <v>1042</v>
      </c>
      <c r="C113" s="23">
        <v>426</v>
      </c>
      <c r="D113" s="147">
        <v>0</v>
      </c>
      <c r="E113" s="22">
        <v>0</v>
      </c>
      <c r="F113" s="22">
        <v>0</v>
      </c>
      <c r="G113" s="22">
        <v>0</v>
      </c>
      <c r="H113" s="22">
        <v>0</v>
      </c>
      <c r="I113" s="22">
        <v>0</v>
      </c>
      <c r="J113" s="22">
        <v>0</v>
      </c>
      <c r="K113" s="22">
        <v>0</v>
      </c>
      <c r="L113" s="22">
        <v>0</v>
      </c>
      <c r="M113" s="388">
        <v>622</v>
      </c>
      <c r="N113" s="25">
        <v>0.65</v>
      </c>
      <c r="O113" s="24">
        <v>602</v>
      </c>
      <c r="P113" s="24">
        <v>151</v>
      </c>
      <c r="Q113" s="24">
        <v>151</v>
      </c>
      <c r="R113" s="22">
        <v>0</v>
      </c>
      <c r="S113" s="24">
        <v>26.75</v>
      </c>
      <c r="T113" s="24">
        <f t="shared" si="7"/>
        <v>177.75</v>
      </c>
      <c r="U113" s="376">
        <v>404.3</v>
      </c>
      <c r="V113" s="376">
        <v>31.1</v>
      </c>
      <c r="W113" s="22">
        <f t="shared" si="8"/>
        <v>262.79500000000002</v>
      </c>
      <c r="X113" s="22">
        <f t="shared" si="9"/>
        <v>23</v>
      </c>
      <c r="Y113" s="22">
        <v>23</v>
      </c>
      <c r="Z113" s="22">
        <v>0</v>
      </c>
      <c r="AA113" s="371">
        <v>597.79999999999995</v>
      </c>
      <c r="AB113" s="22">
        <v>3.8474406155904986E-2</v>
      </c>
      <c r="AC113" s="24">
        <v>0</v>
      </c>
      <c r="AD113" s="384">
        <v>0</v>
      </c>
    </row>
    <row r="114" spans="1:30">
      <c r="A114" s="21" t="s">
        <v>107</v>
      </c>
      <c r="B114" s="21" t="s">
        <v>108</v>
      </c>
      <c r="C114" s="23">
        <v>62</v>
      </c>
      <c r="D114" s="147">
        <v>0</v>
      </c>
      <c r="E114" s="22">
        <v>0</v>
      </c>
      <c r="F114" s="22">
        <v>0</v>
      </c>
      <c r="G114" s="22">
        <v>0</v>
      </c>
      <c r="H114" s="22">
        <v>5</v>
      </c>
      <c r="I114" s="22">
        <v>0.6</v>
      </c>
      <c r="J114" s="22">
        <v>0</v>
      </c>
      <c r="K114" s="22">
        <v>0</v>
      </c>
      <c r="L114" s="22">
        <v>0</v>
      </c>
      <c r="M114" s="388">
        <v>215.6</v>
      </c>
      <c r="N114" s="25">
        <v>0.82379999999999998</v>
      </c>
      <c r="O114" s="24">
        <v>231</v>
      </c>
      <c r="P114" s="24">
        <v>0</v>
      </c>
      <c r="Q114" s="24">
        <v>0</v>
      </c>
      <c r="R114" s="22">
        <v>0</v>
      </c>
      <c r="S114" s="24">
        <v>0</v>
      </c>
      <c r="T114" s="24">
        <f t="shared" si="7"/>
        <v>0</v>
      </c>
      <c r="U114" s="376">
        <v>177.61</v>
      </c>
      <c r="V114" s="376">
        <v>0</v>
      </c>
      <c r="W114" s="22">
        <f t="shared" si="8"/>
        <v>146.31511800000001</v>
      </c>
      <c r="X114" s="22">
        <f t="shared" si="9"/>
        <v>24.25</v>
      </c>
      <c r="Y114" s="22">
        <v>18.75</v>
      </c>
      <c r="Z114" s="22">
        <v>5.5</v>
      </c>
      <c r="AA114" s="371">
        <v>226.23</v>
      </c>
      <c r="AB114" s="22">
        <v>0.10719179595986386</v>
      </c>
      <c r="AC114" s="24">
        <v>0</v>
      </c>
      <c r="AD114" s="384">
        <v>0</v>
      </c>
    </row>
    <row r="115" spans="1:30">
      <c r="A115" s="21" t="s">
        <v>435</v>
      </c>
      <c r="B115" s="21" t="s">
        <v>436</v>
      </c>
      <c r="C115" s="23">
        <v>9</v>
      </c>
      <c r="D115" s="147">
        <v>0</v>
      </c>
      <c r="E115" s="22">
        <v>0</v>
      </c>
      <c r="F115" s="22">
        <v>0</v>
      </c>
      <c r="G115" s="22">
        <v>0</v>
      </c>
      <c r="H115" s="22">
        <v>0</v>
      </c>
      <c r="I115" s="22">
        <v>0</v>
      </c>
      <c r="J115" s="22">
        <v>0</v>
      </c>
      <c r="K115" s="22">
        <v>0</v>
      </c>
      <c r="L115" s="22">
        <v>0</v>
      </c>
      <c r="M115" s="388">
        <v>25</v>
      </c>
      <c r="N115" s="25">
        <v>0.5</v>
      </c>
      <c r="O115" s="24">
        <v>0</v>
      </c>
      <c r="P115" s="24">
        <v>0</v>
      </c>
      <c r="Q115" s="24">
        <v>0</v>
      </c>
      <c r="R115" s="22">
        <v>0</v>
      </c>
      <c r="S115" s="24">
        <v>0</v>
      </c>
      <c r="T115" s="24">
        <f t="shared" si="7"/>
        <v>0</v>
      </c>
      <c r="U115" s="376">
        <v>12.5</v>
      </c>
      <c r="V115" s="376">
        <v>0</v>
      </c>
      <c r="W115" s="22">
        <f t="shared" si="8"/>
        <v>6.25</v>
      </c>
      <c r="X115" s="22">
        <f t="shared" si="9"/>
        <v>4</v>
      </c>
      <c r="Y115" s="22">
        <v>3</v>
      </c>
      <c r="Z115" s="22">
        <v>1</v>
      </c>
      <c r="AA115" s="371">
        <v>23.68</v>
      </c>
      <c r="AB115" s="22">
        <v>0.16891891891891891</v>
      </c>
      <c r="AC115" s="24">
        <v>3.3918918918918906E-2</v>
      </c>
      <c r="AD115" s="384">
        <v>-8094.1400926696151</v>
      </c>
    </row>
    <row r="116" spans="1:30">
      <c r="A116" s="21" t="s">
        <v>211</v>
      </c>
      <c r="B116" s="21" t="s">
        <v>212</v>
      </c>
      <c r="C116" s="23">
        <v>5930</v>
      </c>
      <c r="D116" s="147">
        <v>100.48</v>
      </c>
      <c r="E116" s="22">
        <v>1053.8399999999999</v>
      </c>
      <c r="F116" s="22">
        <v>1154.32</v>
      </c>
      <c r="G116" s="22">
        <v>0</v>
      </c>
      <c r="H116" s="22">
        <v>577</v>
      </c>
      <c r="I116" s="22">
        <v>59.98</v>
      </c>
      <c r="J116" s="22">
        <v>8.34</v>
      </c>
      <c r="K116" s="22">
        <v>0</v>
      </c>
      <c r="L116" s="22">
        <v>0</v>
      </c>
      <c r="M116" s="388">
        <v>20939.32</v>
      </c>
      <c r="N116" s="25">
        <v>0.10150000000000001</v>
      </c>
      <c r="O116" s="24">
        <v>0</v>
      </c>
      <c r="P116" s="24">
        <v>1265.25</v>
      </c>
      <c r="Q116" s="24">
        <v>1025.75</v>
      </c>
      <c r="R116" s="22">
        <v>239.5</v>
      </c>
      <c r="S116" s="24">
        <v>657</v>
      </c>
      <c r="T116" s="24">
        <f t="shared" si="7"/>
        <v>1922.25</v>
      </c>
      <c r="U116" s="376">
        <v>2125.34</v>
      </c>
      <c r="V116" s="376">
        <v>1046.97</v>
      </c>
      <c r="W116" s="22">
        <f t="shared" si="8"/>
        <v>215.72201000000004</v>
      </c>
      <c r="X116" s="22">
        <f t="shared" si="9"/>
        <v>1567.25</v>
      </c>
      <c r="Y116" s="22">
        <v>1022</v>
      </c>
      <c r="Z116" s="22">
        <v>545.25</v>
      </c>
      <c r="AA116" s="371">
        <v>19348.47</v>
      </c>
      <c r="AB116" s="22">
        <v>8.1001236790299178E-2</v>
      </c>
      <c r="AC116" s="24">
        <v>0</v>
      </c>
      <c r="AD116" s="384">
        <v>0</v>
      </c>
    </row>
    <row r="117" spans="1:30">
      <c r="A117" s="21" t="s">
        <v>117</v>
      </c>
      <c r="B117" s="21" t="s">
        <v>118</v>
      </c>
      <c r="C117" s="23">
        <v>12</v>
      </c>
      <c r="D117" s="147">
        <v>0</v>
      </c>
      <c r="E117" s="22">
        <v>3.68</v>
      </c>
      <c r="F117" s="22">
        <v>3.68</v>
      </c>
      <c r="G117" s="22">
        <v>0</v>
      </c>
      <c r="H117" s="22">
        <v>0</v>
      </c>
      <c r="I117" s="22">
        <v>0</v>
      </c>
      <c r="J117" s="22">
        <v>0</v>
      </c>
      <c r="K117" s="22">
        <v>0</v>
      </c>
      <c r="L117" s="22">
        <v>0</v>
      </c>
      <c r="M117" s="388">
        <v>36</v>
      </c>
      <c r="N117" s="25">
        <v>0.68179999999999996</v>
      </c>
      <c r="O117" s="24">
        <v>34</v>
      </c>
      <c r="P117" s="24">
        <v>0</v>
      </c>
      <c r="Q117" s="24">
        <v>0</v>
      </c>
      <c r="R117" s="22">
        <v>0</v>
      </c>
      <c r="S117" s="24">
        <v>1</v>
      </c>
      <c r="T117" s="24">
        <f t="shared" si="7"/>
        <v>1</v>
      </c>
      <c r="U117" s="376">
        <v>24.54</v>
      </c>
      <c r="V117" s="376">
        <v>0</v>
      </c>
      <c r="W117" s="22">
        <f t="shared" si="8"/>
        <v>16.731371999999997</v>
      </c>
      <c r="X117" s="22">
        <f t="shared" si="9"/>
        <v>4</v>
      </c>
      <c r="Y117" s="22">
        <v>4</v>
      </c>
      <c r="Z117" s="22">
        <v>0</v>
      </c>
      <c r="AA117" s="371">
        <v>36.4</v>
      </c>
      <c r="AB117" s="22">
        <v>0.10989010989010989</v>
      </c>
      <c r="AC117" s="24">
        <v>0</v>
      </c>
      <c r="AD117" s="384">
        <v>0</v>
      </c>
    </row>
    <row r="118" spans="1:30">
      <c r="A118" s="21" t="s">
        <v>83</v>
      </c>
      <c r="B118" s="21" t="s">
        <v>84</v>
      </c>
      <c r="C118" s="23">
        <v>307</v>
      </c>
      <c r="D118" s="147">
        <v>17.07</v>
      </c>
      <c r="E118" s="22">
        <v>37.68</v>
      </c>
      <c r="F118" s="22">
        <v>54.75</v>
      </c>
      <c r="G118" s="22">
        <v>0</v>
      </c>
      <c r="H118" s="22">
        <v>40</v>
      </c>
      <c r="I118" s="22">
        <v>1.45</v>
      </c>
      <c r="J118" s="22">
        <v>37.6</v>
      </c>
      <c r="K118" s="22">
        <v>0</v>
      </c>
      <c r="L118" s="22">
        <v>0</v>
      </c>
      <c r="M118" s="388">
        <v>1047.05</v>
      </c>
      <c r="N118" s="25">
        <v>0.32329999999999998</v>
      </c>
      <c r="O118" s="24">
        <v>0</v>
      </c>
      <c r="P118" s="24">
        <v>28.75</v>
      </c>
      <c r="Q118" s="24">
        <v>20.75</v>
      </c>
      <c r="R118" s="22">
        <v>8</v>
      </c>
      <c r="S118" s="24">
        <v>2</v>
      </c>
      <c r="T118" s="24">
        <f t="shared" si="7"/>
        <v>30.75</v>
      </c>
      <c r="U118" s="376">
        <v>338.51</v>
      </c>
      <c r="V118" s="376">
        <v>0</v>
      </c>
      <c r="W118" s="22">
        <f t="shared" si="8"/>
        <v>109.44028299999999</v>
      </c>
      <c r="X118" s="22">
        <f t="shared" si="9"/>
        <v>183</v>
      </c>
      <c r="Y118" s="22">
        <v>127.25</v>
      </c>
      <c r="Z118" s="22">
        <v>55.75</v>
      </c>
      <c r="AA118" s="371">
        <v>1043.6099999999999</v>
      </c>
      <c r="AB118" s="22">
        <v>0.17535286170121023</v>
      </c>
      <c r="AC118" s="24">
        <v>4.0352861701210219E-2</v>
      </c>
      <c r="AD118" s="384">
        <v>-388625.31157591904</v>
      </c>
    </row>
    <row r="119" spans="1:30">
      <c r="A119" s="21" t="s">
        <v>101</v>
      </c>
      <c r="B119" s="21" t="s">
        <v>102</v>
      </c>
      <c r="C119" s="23">
        <v>16</v>
      </c>
      <c r="D119" s="147">
        <v>0</v>
      </c>
      <c r="E119" s="22">
        <v>0</v>
      </c>
      <c r="F119" s="22">
        <v>0</v>
      </c>
      <c r="G119" s="22">
        <v>0</v>
      </c>
      <c r="H119" s="22">
        <v>0</v>
      </c>
      <c r="I119" s="22">
        <v>0</v>
      </c>
      <c r="J119" s="22">
        <v>0</v>
      </c>
      <c r="K119" s="22">
        <v>0</v>
      </c>
      <c r="L119" s="22">
        <v>0</v>
      </c>
      <c r="M119" s="388">
        <v>30</v>
      </c>
      <c r="N119" s="25">
        <v>0.93940000000000001</v>
      </c>
      <c r="O119" s="24">
        <v>33</v>
      </c>
      <c r="P119" s="24">
        <v>0</v>
      </c>
      <c r="Q119" s="24">
        <v>0</v>
      </c>
      <c r="R119" s="22">
        <v>0</v>
      </c>
      <c r="S119" s="24">
        <v>0</v>
      </c>
      <c r="T119" s="24">
        <f t="shared" si="7"/>
        <v>0</v>
      </c>
      <c r="U119" s="376">
        <v>28.18</v>
      </c>
      <c r="V119" s="376">
        <v>0</v>
      </c>
      <c r="W119" s="22">
        <f t="shared" si="8"/>
        <v>26.472291999999999</v>
      </c>
      <c r="X119" s="22">
        <f t="shared" si="9"/>
        <v>3.5</v>
      </c>
      <c r="Y119" s="22">
        <v>3.5</v>
      </c>
      <c r="Z119" s="22">
        <v>0</v>
      </c>
      <c r="AA119" s="371">
        <v>33.4</v>
      </c>
      <c r="AB119" s="22">
        <v>0.10479041916167665</v>
      </c>
      <c r="AC119" s="24">
        <v>0</v>
      </c>
      <c r="AD119" s="384">
        <v>0</v>
      </c>
    </row>
    <row r="120" spans="1:30">
      <c r="A120" s="21" t="s">
        <v>87</v>
      </c>
      <c r="B120" s="21" t="s">
        <v>88</v>
      </c>
      <c r="C120" s="23">
        <v>1266</v>
      </c>
      <c r="D120" s="147">
        <v>63.76</v>
      </c>
      <c r="E120" s="22">
        <v>357.56</v>
      </c>
      <c r="F120" s="22">
        <v>421.32</v>
      </c>
      <c r="G120" s="22">
        <v>0</v>
      </c>
      <c r="H120" s="22">
        <v>106</v>
      </c>
      <c r="I120" s="22">
        <v>8.16</v>
      </c>
      <c r="J120" s="22">
        <v>234.93</v>
      </c>
      <c r="K120" s="22">
        <v>15.24</v>
      </c>
      <c r="L120" s="22">
        <v>1.22</v>
      </c>
      <c r="M120" s="388">
        <v>4512.55</v>
      </c>
      <c r="N120" s="25">
        <v>0.61299999999999999</v>
      </c>
      <c r="O120" s="24">
        <v>4531</v>
      </c>
      <c r="P120" s="24">
        <v>305.75</v>
      </c>
      <c r="Q120" s="24">
        <v>195.5</v>
      </c>
      <c r="R120" s="22">
        <v>110.25</v>
      </c>
      <c r="S120" s="24">
        <v>23.5</v>
      </c>
      <c r="T120" s="24">
        <f t="shared" si="7"/>
        <v>329.25</v>
      </c>
      <c r="U120" s="376">
        <v>2766.64</v>
      </c>
      <c r="V120" s="376">
        <v>225.63</v>
      </c>
      <c r="W120" s="22">
        <f t="shared" si="8"/>
        <v>1695.9503199999999</v>
      </c>
      <c r="X120" s="22">
        <f t="shared" si="9"/>
        <v>682.25</v>
      </c>
      <c r="Y120" s="22">
        <v>354.5</v>
      </c>
      <c r="Z120" s="22">
        <v>327.75</v>
      </c>
      <c r="AA120" s="371">
        <v>4781.29</v>
      </c>
      <c r="AB120" s="22">
        <v>0.14269161669758579</v>
      </c>
      <c r="AC120" s="24">
        <v>7.6916166975857791E-3</v>
      </c>
      <c r="AD120" s="384">
        <v>-337557.01224177977</v>
      </c>
    </row>
    <row r="121" spans="1:30">
      <c r="A121" s="21" t="s">
        <v>17</v>
      </c>
      <c r="B121" s="21" t="s">
        <v>18</v>
      </c>
      <c r="C121" s="23">
        <v>5486</v>
      </c>
      <c r="D121" s="147">
        <v>161.62</v>
      </c>
      <c r="E121" s="22">
        <v>961.01</v>
      </c>
      <c r="F121" s="22">
        <v>1122.6300000000001</v>
      </c>
      <c r="G121" s="22">
        <v>437.59</v>
      </c>
      <c r="H121" s="22">
        <v>370</v>
      </c>
      <c r="I121" s="22">
        <v>13.25</v>
      </c>
      <c r="J121" s="22">
        <v>791.23</v>
      </c>
      <c r="K121" s="22">
        <v>28.6</v>
      </c>
      <c r="L121" s="22">
        <v>0</v>
      </c>
      <c r="M121" s="388">
        <v>18928.079999999998</v>
      </c>
      <c r="N121" s="25">
        <v>0.58799999999999997</v>
      </c>
      <c r="O121" s="24">
        <v>12661</v>
      </c>
      <c r="P121" s="24">
        <v>2584.25</v>
      </c>
      <c r="Q121" s="24">
        <v>1687.75</v>
      </c>
      <c r="R121" s="22">
        <v>896.5</v>
      </c>
      <c r="S121" s="24">
        <v>492</v>
      </c>
      <c r="T121" s="24">
        <f t="shared" si="7"/>
        <v>3076.25</v>
      </c>
      <c r="U121" s="376">
        <v>11129.71</v>
      </c>
      <c r="V121" s="376">
        <v>946.4</v>
      </c>
      <c r="W121" s="22">
        <f t="shared" si="8"/>
        <v>6544.269479999999</v>
      </c>
      <c r="X121" s="22">
        <f t="shared" si="9"/>
        <v>2171.75</v>
      </c>
      <c r="Y121" s="22">
        <v>1055</v>
      </c>
      <c r="Z121" s="22">
        <v>1116.75</v>
      </c>
      <c r="AA121" s="371">
        <v>18041.61</v>
      </c>
      <c r="AB121" s="22">
        <v>0.12037451203079991</v>
      </c>
      <c r="AC121" s="24">
        <v>0</v>
      </c>
      <c r="AD121" s="384">
        <v>0</v>
      </c>
    </row>
    <row r="122" spans="1:30">
      <c r="A122" s="21" t="s">
        <v>217</v>
      </c>
      <c r="B122" s="21" t="s">
        <v>218</v>
      </c>
      <c r="C122" s="23">
        <v>7625</v>
      </c>
      <c r="D122" s="147">
        <v>189.54</v>
      </c>
      <c r="E122" s="22">
        <v>1439.41</v>
      </c>
      <c r="F122" s="22">
        <v>1628.95</v>
      </c>
      <c r="G122" s="22">
        <v>0</v>
      </c>
      <c r="H122" s="22">
        <v>1020</v>
      </c>
      <c r="I122" s="22">
        <v>52.82</v>
      </c>
      <c r="J122" s="22">
        <v>52.16</v>
      </c>
      <c r="K122" s="22">
        <v>187.09</v>
      </c>
      <c r="L122" s="22">
        <v>6.68</v>
      </c>
      <c r="M122" s="388">
        <v>27568.75</v>
      </c>
      <c r="N122" s="25">
        <v>0.52290000000000003</v>
      </c>
      <c r="O122" s="24">
        <v>11515</v>
      </c>
      <c r="P122" s="24">
        <v>5805.75</v>
      </c>
      <c r="Q122" s="24">
        <v>3871.75</v>
      </c>
      <c r="R122" s="22">
        <v>1934</v>
      </c>
      <c r="S122" s="24">
        <v>734.5</v>
      </c>
      <c r="T122" s="24">
        <f t="shared" si="7"/>
        <v>6540.25</v>
      </c>
      <c r="U122" s="376">
        <v>14368.83</v>
      </c>
      <c r="V122" s="376">
        <v>1378.44</v>
      </c>
      <c r="W122" s="22">
        <f t="shared" si="8"/>
        <v>7513.4612070000003</v>
      </c>
      <c r="X122" s="22">
        <f t="shared" si="9"/>
        <v>2656.5</v>
      </c>
      <c r="Y122" s="22">
        <v>1480.75</v>
      </c>
      <c r="Z122" s="22">
        <v>1175.75</v>
      </c>
      <c r="AA122" s="371">
        <v>24742.76</v>
      </c>
      <c r="AB122" s="22">
        <v>0.10736474023108175</v>
      </c>
      <c r="AC122" s="24">
        <v>0</v>
      </c>
      <c r="AD122" s="384">
        <v>0</v>
      </c>
    </row>
    <row r="123" spans="1:30">
      <c r="A123" s="21" t="s">
        <v>505</v>
      </c>
      <c r="B123" s="21" t="s">
        <v>506</v>
      </c>
      <c r="C123" s="23">
        <v>231</v>
      </c>
      <c r="D123" s="147">
        <v>0</v>
      </c>
      <c r="E123" s="22">
        <v>55.25</v>
      </c>
      <c r="F123" s="22">
        <v>55.25</v>
      </c>
      <c r="G123" s="22">
        <v>0</v>
      </c>
      <c r="H123" s="22">
        <v>21</v>
      </c>
      <c r="I123" s="22">
        <v>1.4</v>
      </c>
      <c r="J123" s="22">
        <v>327.06</v>
      </c>
      <c r="K123" s="22">
        <v>0</v>
      </c>
      <c r="L123" s="22">
        <v>0</v>
      </c>
      <c r="M123" s="388">
        <v>1072.46</v>
      </c>
      <c r="N123" s="25">
        <v>0.53800000000000003</v>
      </c>
      <c r="O123" s="24">
        <v>726</v>
      </c>
      <c r="P123" s="24">
        <v>3</v>
      </c>
      <c r="Q123" s="24">
        <v>0</v>
      </c>
      <c r="R123" s="22">
        <v>3</v>
      </c>
      <c r="S123" s="24">
        <v>0</v>
      </c>
      <c r="T123" s="24">
        <f t="shared" si="7"/>
        <v>3</v>
      </c>
      <c r="U123" s="376">
        <v>525.29</v>
      </c>
      <c r="V123" s="376">
        <v>53.62</v>
      </c>
      <c r="W123" s="22">
        <f t="shared" si="8"/>
        <v>282.60602</v>
      </c>
      <c r="X123" s="22">
        <f t="shared" si="9"/>
        <v>138.5</v>
      </c>
      <c r="Y123" s="22">
        <v>115.75</v>
      </c>
      <c r="Z123" s="22">
        <v>22.75</v>
      </c>
      <c r="AA123" s="371">
        <v>1051.67</v>
      </c>
      <c r="AB123" s="22">
        <v>0.13169530365989329</v>
      </c>
      <c r="AC123" s="24">
        <v>0</v>
      </c>
      <c r="AD123" s="384">
        <v>0</v>
      </c>
    </row>
    <row r="124" spans="1:30">
      <c r="A124" s="21" t="s">
        <v>21</v>
      </c>
      <c r="B124" s="21" t="s">
        <v>22</v>
      </c>
      <c r="C124" s="23">
        <v>394</v>
      </c>
      <c r="D124" s="147">
        <v>0</v>
      </c>
      <c r="E124" s="22">
        <v>85.13</v>
      </c>
      <c r="F124" s="22">
        <v>85.13</v>
      </c>
      <c r="G124" s="22">
        <v>0</v>
      </c>
      <c r="H124" s="22">
        <v>28</v>
      </c>
      <c r="I124" s="22">
        <v>0.3</v>
      </c>
      <c r="J124" s="22">
        <v>0</v>
      </c>
      <c r="K124" s="22">
        <v>2.8</v>
      </c>
      <c r="L124" s="22">
        <v>0</v>
      </c>
      <c r="M124" s="388">
        <v>1343.1</v>
      </c>
      <c r="N124" s="25">
        <v>0.70530000000000004</v>
      </c>
      <c r="O124" s="24">
        <v>1390</v>
      </c>
      <c r="P124" s="24">
        <v>343.5</v>
      </c>
      <c r="Q124" s="24">
        <v>219.5</v>
      </c>
      <c r="R124" s="22">
        <v>124</v>
      </c>
      <c r="S124" s="24">
        <v>68</v>
      </c>
      <c r="T124" s="24">
        <f t="shared" si="7"/>
        <v>411.5</v>
      </c>
      <c r="U124" s="376">
        <v>947.29</v>
      </c>
      <c r="V124" s="376">
        <v>67.16</v>
      </c>
      <c r="W124" s="22">
        <f t="shared" si="8"/>
        <v>668.12363700000003</v>
      </c>
      <c r="X124" s="22">
        <f t="shared" si="9"/>
        <v>177.5</v>
      </c>
      <c r="Y124" s="22">
        <v>129.75</v>
      </c>
      <c r="Z124" s="22">
        <v>47.75</v>
      </c>
      <c r="AA124" s="371">
        <v>1414.66</v>
      </c>
      <c r="AB124" s="22">
        <v>0.12547184482490492</v>
      </c>
      <c r="AC124" s="24">
        <v>0</v>
      </c>
      <c r="AD124" s="384">
        <v>0</v>
      </c>
    </row>
    <row r="125" spans="1:30">
      <c r="A125" s="21" t="s">
        <v>247</v>
      </c>
      <c r="B125" s="21" t="s">
        <v>248</v>
      </c>
      <c r="C125" s="23">
        <v>158</v>
      </c>
      <c r="D125" s="147">
        <v>14.66</v>
      </c>
      <c r="E125" s="22">
        <v>40.69</v>
      </c>
      <c r="F125" s="22">
        <v>55.349999999999994</v>
      </c>
      <c r="G125" s="22">
        <v>0</v>
      </c>
      <c r="H125" s="22">
        <v>15</v>
      </c>
      <c r="I125" s="22">
        <v>0</v>
      </c>
      <c r="J125" s="22">
        <v>0</v>
      </c>
      <c r="K125" s="22">
        <v>0</v>
      </c>
      <c r="L125" s="22">
        <v>0</v>
      </c>
      <c r="M125" s="388">
        <v>559</v>
      </c>
      <c r="N125" s="25">
        <v>0.47520000000000001</v>
      </c>
      <c r="O125" s="24">
        <v>0</v>
      </c>
      <c r="P125" s="24">
        <v>32.25</v>
      </c>
      <c r="Q125" s="24">
        <v>13</v>
      </c>
      <c r="R125" s="22">
        <v>19.25</v>
      </c>
      <c r="S125" s="24">
        <v>5.75</v>
      </c>
      <c r="T125" s="24">
        <f t="shared" si="7"/>
        <v>38</v>
      </c>
      <c r="U125" s="376">
        <v>265.64</v>
      </c>
      <c r="V125" s="376">
        <v>0</v>
      </c>
      <c r="W125" s="22">
        <f t="shared" si="8"/>
        <v>126.232128</v>
      </c>
      <c r="X125" s="22">
        <f t="shared" si="9"/>
        <v>82.75</v>
      </c>
      <c r="Y125" s="22">
        <v>61</v>
      </c>
      <c r="Z125" s="22">
        <v>21.75</v>
      </c>
      <c r="AA125" s="371">
        <v>578.49</v>
      </c>
      <c r="AB125" s="22">
        <v>0.14304482359245621</v>
      </c>
      <c r="AC125" s="24">
        <v>8.0448235924562017E-3</v>
      </c>
      <c r="AD125" s="384">
        <v>-42905.086392507299</v>
      </c>
    </row>
    <row r="126" spans="1:30">
      <c r="A126" s="21" t="s">
        <v>261</v>
      </c>
      <c r="B126" s="21" t="s">
        <v>262</v>
      </c>
      <c r="C126" s="23">
        <v>20</v>
      </c>
      <c r="D126" s="147">
        <v>0</v>
      </c>
      <c r="E126" s="22">
        <v>0</v>
      </c>
      <c r="F126" s="22">
        <v>0</v>
      </c>
      <c r="G126" s="22">
        <v>0</v>
      </c>
      <c r="H126" s="22">
        <v>2</v>
      </c>
      <c r="I126" s="22">
        <v>0</v>
      </c>
      <c r="J126" s="22">
        <v>0</v>
      </c>
      <c r="K126" s="22">
        <v>0</v>
      </c>
      <c r="L126" s="22">
        <v>0</v>
      </c>
      <c r="M126" s="388">
        <v>73</v>
      </c>
      <c r="N126" s="25">
        <v>0.51759999999999995</v>
      </c>
      <c r="O126" s="24">
        <v>91</v>
      </c>
      <c r="P126" s="24">
        <v>0</v>
      </c>
      <c r="Q126" s="24">
        <v>0</v>
      </c>
      <c r="R126" s="22">
        <v>0</v>
      </c>
      <c r="S126" s="24">
        <v>0</v>
      </c>
      <c r="T126" s="24">
        <f t="shared" si="7"/>
        <v>0</v>
      </c>
      <c r="U126" s="376">
        <v>37.78</v>
      </c>
      <c r="V126" s="376">
        <v>3.65</v>
      </c>
      <c r="W126" s="22">
        <f t="shared" si="8"/>
        <v>19.554928</v>
      </c>
      <c r="X126" s="22">
        <f t="shared" si="9"/>
        <v>9.5</v>
      </c>
      <c r="Y126" s="22">
        <v>9.25</v>
      </c>
      <c r="Z126" s="22">
        <v>0.25</v>
      </c>
      <c r="AA126" s="371">
        <v>92.7</v>
      </c>
      <c r="AB126" s="22">
        <v>0.10248112189859762</v>
      </c>
      <c r="AC126" s="24">
        <v>0</v>
      </c>
      <c r="AD126" s="384">
        <v>0</v>
      </c>
    </row>
    <row r="127" spans="1:30">
      <c r="A127" s="21" t="s">
        <v>59</v>
      </c>
      <c r="B127" s="21" t="s">
        <v>60</v>
      </c>
      <c r="C127" s="23">
        <v>458</v>
      </c>
      <c r="D127" s="147">
        <v>0</v>
      </c>
      <c r="E127" s="22">
        <v>44.81</v>
      </c>
      <c r="F127" s="22">
        <v>44.81</v>
      </c>
      <c r="G127" s="22">
        <v>0</v>
      </c>
      <c r="H127" s="22">
        <v>43</v>
      </c>
      <c r="I127" s="22">
        <v>1.4</v>
      </c>
      <c r="J127" s="22">
        <v>85.94</v>
      </c>
      <c r="K127" s="22">
        <v>3</v>
      </c>
      <c r="L127" s="22">
        <v>0</v>
      </c>
      <c r="M127" s="388">
        <v>1722.3400000000001</v>
      </c>
      <c r="N127" s="25">
        <v>0.25490000000000002</v>
      </c>
      <c r="O127" s="24">
        <v>0</v>
      </c>
      <c r="P127" s="24">
        <v>43.25</v>
      </c>
      <c r="Q127" s="24">
        <v>26.5</v>
      </c>
      <c r="R127" s="22">
        <v>16.75</v>
      </c>
      <c r="S127" s="24">
        <v>4.25</v>
      </c>
      <c r="T127" s="24">
        <f t="shared" si="7"/>
        <v>47.5</v>
      </c>
      <c r="U127" s="376">
        <v>439.02</v>
      </c>
      <c r="V127" s="376">
        <v>86.12</v>
      </c>
      <c r="W127" s="22">
        <f t="shared" si="8"/>
        <v>111.906198</v>
      </c>
      <c r="X127" s="22">
        <f t="shared" si="9"/>
        <v>221.25</v>
      </c>
      <c r="Y127" s="22">
        <v>108.5</v>
      </c>
      <c r="Z127" s="22">
        <v>112.75</v>
      </c>
      <c r="AA127" s="371">
        <v>1702.47</v>
      </c>
      <c r="AB127" s="22">
        <v>0.12995823714955329</v>
      </c>
      <c r="AC127" s="24">
        <v>0</v>
      </c>
      <c r="AD127" s="384">
        <v>0</v>
      </c>
    </row>
    <row r="128" spans="1:30">
      <c r="A128" s="21" t="s">
        <v>409</v>
      </c>
      <c r="B128" s="21" t="s">
        <v>410</v>
      </c>
      <c r="C128" s="23">
        <v>180</v>
      </c>
      <c r="D128" s="147">
        <v>0</v>
      </c>
      <c r="E128" s="22">
        <v>15.18</v>
      </c>
      <c r="F128" s="22">
        <v>15.18</v>
      </c>
      <c r="G128" s="22">
        <v>0</v>
      </c>
      <c r="H128" s="22">
        <v>22</v>
      </c>
      <c r="I128" s="22">
        <v>1.27</v>
      </c>
      <c r="J128" s="22">
        <v>0</v>
      </c>
      <c r="K128" s="22">
        <v>0.8</v>
      </c>
      <c r="L128" s="22">
        <v>0</v>
      </c>
      <c r="M128" s="388">
        <v>591.06999999999994</v>
      </c>
      <c r="N128" s="25">
        <v>0.58089999999999997</v>
      </c>
      <c r="O128" s="24">
        <v>580</v>
      </c>
      <c r="P128" s="24">
        <v>11</v>
      </c>
      <c r="Q128" s="24">
        <v>4.25</v>
      </c>
      <c r="R128" s="22">
        <v>6.75</v>
      </c>
      <c r="S128" s="24">
        <v>1</v>
      </c>
      <c r="T128" s="24">
        <f t="shared" si="7"/>
        <v>12</v>
      </c>
      <c r="U128" s="376">
        <v>343.35</v>
      </c>
      <c r="V128" s="376">
        <v>29.55</v>
      </c>
      <c r="W128" s="22">
        <f t="shared" si="8"/>
        <v>199.45201500000002</v>
      </c>
      <c r="X128" s="22">
        <f t="shared" si="9"/>
        <v>86.5</v>
      </c>
      <c r="Y128" s="22">
        <v>74.25</v>
      </c>
      <c r="Z128" s="22">
        <v>12.25</v>
      </c>
      <c r="AA128" s="371">
        <v>590.12</v>
      </c>
      <c r="AB128" s="22">
        <v>0.14658035653765336</v>
      </c>
      <c r="AC128" s="24">
        <v>1.1580356537653352E-2</v>
      </c>
      <c r="AD128" s="384">
        <v>-70312.376701169473</v>
      </c>
    </row>
    <row r="129" spans="1:30">
      <c r="A129" s="21" t="s">
        <v>555</v>
      </c>
      <c r="B129" s="21" t="s">
        <v>556</v>
      </c>
      <c r="C129" s="23">
        <v>24</v>
      </c>
      <c r="D129" s="147">
        <v>0</v>
      </c>
      <c r="E129" s="22">
        <v>3.74</v>
      </c>
      <c r="F129" s="22">
        <v>3.74</v>
      </c>
      <c r="G129" s="22">
        <v>0</v>
      </c>
      <c r="H129" s="22">
        <v>0</v>
      </c>
      <c r="I129" s="22">
        <v>0</v>
      </c>
      <c r="J129" s="22">
        <v>0</v>
      </c>
      <c r="K129" s="22">
        <v>0</v>
      </c>
      <c r="L129" s="22">
        <v>0</v>
      </c>
      <c r="M129" s="388">
        <v>73</v>
      </c>
      <c r="N129" s="25">
        <v>0.42470000000000002</v>
      </c>
      <c r="O129" s="24">
        <v>0</v>
      </c>
      <c r="P129" s="24">
        <v>0</v>
      </c>
      <c r="Q129" s="24">
        <v>0</v>
      </c>
      <c r="R129" s="22">
        <v>0</v>
      </c>
      <c r="S129" s="24">
        <v>0</v>
      </c>
      <c r="T129" s="24">
        <f t="shared" si="7"/>
        <v>0</v>
      </c>
      <c r="U129" s="376">
        <v>31</v>
      </c>
      <c r="V129" s="376">
        <v>3.65</v>
      </c>
      <c r="W129" s="22">
        <f t="shared" si="8"/>
        <v>13.165700000000001</v>
      </c>
      <c r="X129" s="22">
        <f t="shared" si="9"/>
        <v>10.5</v>
      </c>
      <c r="Y129" s="22">
        <v>8.5</v>
      </c>
      <c r="Z129" s="22">
        <v>2</v>
      </c>
      <c r="AA129" s="371">
        <v>79.400000000000006</v>
      </c>
      <c r="AB129" s="22">
        <v>0.13224181360201509</v>
      </c>
      <c r="AC129" s="24">
        <v>0</v>
      </c>
      <c r="AD129" s="384">
        <v>0</v>
      </c>
    </row>
    <row r="130" spans="1:30">
      <c r="A130" s="21" t="s">
        <v>35</v>
      </c>
      <c r="B130" s="21" t="s">
        <v>36</v>
      </c>
      <c r="C130" s="23">
        <v>320</v>
      </c>
      <c r="D130" s="147">
        <v>0</v>
      </c>
      <c r="E130" s="22">
        <v>101.2</v>
      </c>
      <c r="F130" s="22">
        <v>101.2</v>
      </c>
      <c r="G130" s="22">
        <v>0</v>
      </c>
      <c r="H130" s="22">
        <v>30</v>
      </c>
      <c r="I130" s="22">
        <v>0.05</v>
      </c>
      <c r="J130" s="22">
        <v>6.3999999999999995</v>
      </c>
      <c r="K130" s="22">
        <v>0</v>
      </c>
      <c r="L130" s="22">
        <v>0</v>
      </c>
      <c r="M130" s="388">
        <v>1249.45</v>
      </c>
      <c r="N130" s="25">
        <v>0.61150000000000004</v>
      </c>
      <c r="O130" s="24">
        <v>1252</v>
      </c>
      <c r="P130" s="24">
        <v>358</v>
      </c>
      <c r="Q130" s="24">
        <v>230.25</v>
      </c>
      <c r="R130" s="22">
        <v>127.75</v>
      </c>
      <c r="S130" s="24">
        <v>33</v>
      </c>
      <c r="T130" s="24">
        <f t="shared" si="7"/>
        <v>391</v>
      </c>
      <c r="U130" s="376">
        <v>764.04</v>
      </c>
      <c r="V130" s="376">
        <v>62.47</v>
      </c>
      <c r="W130" s="22">
        <f t="shared" si="8"/>
        <v>467.21046000000001</v>
      </c>
      <c r="X130" s="22">
        <f t="shared" si="9"/>
        <v>128</v>
      </c>
      <c r="Y130" s="22">
        <v>108.25</v>
      </c>
      <c r="Z130" s="22">
        <v>19.75</v>
      </c>
      <c r="AA130" s="371">
        <v>1255.95</v>
      </c>
      <c r="AB130" s="22">
        <v>0.1019148851467017</v>
      </c>
      <c r="AC130" s="24">
        <v>0</v>
      </c>
      <c r="AD130" s="384">
        <v>0</v>
      </c>
    </row>
    <row r="131" spans="1:30">
      <c r="A131" s="21" t="s">
        <v>155</v>
      </c>
      <c r="B131" s="21" t="s">
        <v>156</v>
      </c>
      <c r="C131" s="23">
        <v>51</v>
      </c>
      <c r="D131" s="147">
        <v>0</v>
      </c>
      <c r="E131" s="22">
        <v>5</v>
      </c>
      <c r="F131" s="22">
        <v>5</v>
      </c>
      <c r="G131" s="22">
        <v>0</v>
      </c>
      <c r="H131" s="22">
        <v>4</v>
      </c>
      <c r="I131" s="22">
        <v>1.08</v>
      </c>
      <c r="J131" s="22">
        <v>0</v>
      </c>
      <c r="K131" s="22">
        <v>0</v>
      </c>
      <c r="L131" s="22">
        <v>0</v>
      </c>
      <c r="M131" s="388">
        <v>189.08</v>
      </c>
      <c r="N131" s="25">
        <v>1</v>
      </c>
      <c r="O131" s="24">
        <v>173</v>
      </c>
      <c r="P131" s="24">
        <v>48</v>
      </c>
      <c r="Q131" s="24">
        <v>27</v>
      </c>
      <c r="R131" s="22">
        <v>21</v>
      </c>
      <c r="S131" s="24">
        <v>3</v>
      </c>
      <c r="T131" s="24">
        <f t="shared" si="7"/>
        <v>51</v>
      </c>
      <c r="U131" s="376">
        <v>189.08</v>
      </c>
      <c r="V131" s="376">
        <v>0</v>
      </c>
      <c r="W131" s="22">
        <f t="shared" si="8"/>
        <v>189.08</v>
      </c>
      <c r="X131" s="22">
        <f t="shared" si="9"/>
        <v>32.5</v>
      </c>
      <c r="Y131" s="22">
        <v>17</v>
      </c>
      <c r="Z131" s="22">
        <v>15.5</v>
      </c>
      <c r="AA131" s="371">
        <v>174.77</v>
      </c>
      <c r="AB131" s="22">
        <v>0.1859586885621102</v>
      </c>
      <c r="AC131" s="24">
        <v>5.0958688562110194E-2</v>
      </c>
      <c r="AD131" s="384">
        <v>-81447.301625952081</v>
      </c>
    </row>
    <row r="132" spans="1:30">
      <c r="A132" s="21" t="s">
        <v>425</v>
      </c>
      <c r="B132" s="21" t="s">
        <v>426</v>
      </c>
      <c r="C132" s="23">
        <v>2622</v>
      </c>
      <c r="D132" s="147">
        <v>132.18</v>
      </c>
      <c r="E132" s="22">
        <v>482.6</v>
      </c>
      <c r="F132" s="22">
        <v>614.78</v>
      </c>
      <c r="G132" s="22">
        <v>0</v>
      </c>
      <c r="H132" s="22">
        <v>177</v>
      </c>
      <c r="I132" s="22">
        <v>8.15</v>
      </c>
      <c r="J132" s="22">
        <v>70.739999999999995</v>
      </c>
      <c r="K132" s="22">
        <v>0</v>
      </c>
      <c r="L132" s="22">
        <v>0</v>
      </c>
      <c r="M132" s="388">
        <v>9194.89</v>
      </c>
      <c r="N132" s="25">
        <v>0.25</v>
      </c>
      <c r="O132" s="24">
        <v>0</v>
      </c>
      <c r="P132" s="24">
        <v>589.75</v>
      </c>
      <c r="Q132" s="24">
        <v>446</v>
      </c>
      <c r="R132" s="22">
        <v>143.75</v>
      </c>
      <c r="S132" s="24">
        <v>148.75</v>
      </c>
      <c r="T132" s="24">
        <f t="shared" si="7"/>
        <v>738.5</v>
      </c>
      <c r="U132" s="376">
        <v>2298.7199999999998</v>
      </c>
      <c r="V132" s="376">
        <v>459.74</v>
      </c>
      <c r="W132" s="22">
        <f t="shared" si="8"/>
        <v>574.67999999999995</v>
      </c>
      <c r="X132" s="22">
        <f t="shared" si="9"/>
        <v>1274</v>
      </c>
      <c r="Y132" s="22">
        <v>707.75</v>
      </c>
      <c r="Z132" s="22">
        <v>566.25</v>
      </c>
      <c r="AA132" s="371">
        <v>9346.59</v>
      </c>
      <c r="AB132" s="22">
        <v>0.13630639623648838</v>
      </c>
      <c r="AC132" s="24">
        <v>1.3063962364883719E-3</v>
      </c>
      <c r="AD132" s="384">
        <v>-126665.28886080591</v>
      </c>
    </row>
    <row r="133" spans="1:30">
      <c r="A133" s="21" t="s">
        <v>215</v>
      </c>
      <c r="B133" s="21" t="s">
        <v>216</v>
      </c>
      <c r="C133" s="23">
        <v>9381</v>
      </c>
      <c r="D133" s="147">
        <v>317.70999999999998</v>
      </c>
      <c r="E133" s="22">
        <v>1625.12</v>
      </c>
      <c r="F133" s="22">
        <v>1942.83</v>
      </c>
      <c r="G133" s="22">
        <v>312.97000000000003</v>
      </c>
      <c r="H133" s="22">
        <v>610</v>
      </c>
      <c r="I133" s="22">
        <v>41.71</v>
      </c>
      <c r="J133" s="22">
        <v>290.98</v>
      </c>
      <c r="K133" s="22">
        <v>0</v>
      </c>
      <c r="L133" s="22">
        <v>0</v>
      </c>
      <c r="M133" s="388">
        <v>31459.69</v>
      </c>
      <c r="N133" s="25">
        <v>0.10920000000000001</v>
      </c>
      <c r="O133" s="24">
        <v>0</v>
      </c>
      <c r="P133" s="24">
        <v>3466</v>
      </c>
      <c r="Q133" s="24">
        <v>2776.5</v>
      </c>
      <c r="R133" s="22">
        <v>689.5</v>
      </c>
      <c r="S133" s="24">
        <v>1325.5</v>
      </c>
      <c r="T133" s="24">
        <f t="shared" si="7"/>
        <v>4791.5</v>
      </c>
      <c r="U133" s="376">
        <v>3435.4</v>
      </c>
      <c r="V133" s="376">
        <v>1572.98</v>
      </c>
      <c r="W133" s="22">
        <f t="shared" si="8"/>
        <v>375.14568000000003</v>
      </c>
      <c r="X133" s="22">
        <f t="shared" si="9"/>
        <v>2745</v>
      </c>
      <c r="Y133" s="22">
        <v>1818.75</v>
      </c>
      <c r="Z133" s="22">
        <v>926.25</v>
      </c>
      <c r="AA133" s="371">
        <v>30482.65</v>
      </c>
      <c r="AB133" s="22">
        <v>9.0051225861268624E-2</v>
      </c>
      <c r="AC133" s="24">
        <v>0</v>
      </c>
      <c r="AD133" s="384">
        <v>0</v>
      </c>
    </row>
    <row r="134" spans="1:30">
      <c r="A134" s="21" t="s">
        <v>441</v>
      </c>
      <c r="B134" s="21" t="s">
        <v>442</v>
      </c>
      <c r="C134" s="23">
        <v>706</v>
      </c>
      <c r="D134" s="147">
        <v>18.41</v>
      </c>
      <c r="E134" s="22">
        <v>103.32</v>
      </c>
      <c r="F134" s="22">
        <v>121.72999999999999</v>
      </c>
      <c r="G134" s="22">
        <v>0</v>
      </c>
      <c r="H134" s="22">
        <v>38</v>
      </c>
      <c r="I134" s="22">
        <v>1.61</v>
      </c>
      <c r="J134" s="22">
        <v>79.430000000000007</v>
      </c>
      <c r="K134" s="22">
        <v>0</v>
      </c>
      <c r="L134" s="22">
        <v>0</v>
      </c>
      <c r="M134" s="388">
        <v>2593.04</v>
      </c>
      <c r="N134" s="25">
        <v>0.43070000000000003</v>
      </c>
      <c r="O134" s="24">
        <v>0</v>
      </c>
      <c r="P134" s="24">
        <v>207.75</v>
      </c>
      <c r="Q134" s="24">
        <v>124.5</v>
      </c>
      <c r="R134" s="22">
        <v>83.25</v>
      </c>
      <c r="S134" s="24">
        <v>25</v>
      </c>
      <c r="T134" s="24">
        <f t="shared" si="7"/>
        <v>232.75</v>
      </c>
      <c r="U134" s="376">
        <v>1117.8599999999999</v>
      </c>
      <c r="V134" s="376">
        <v>129.65</v>
      </c>
      <c r="W134" s="22">
        <f t="shared" si="8"/>
        <v>481.46230199999997</v>
      </c>
      <c r="X134" s="22">
        <f t="shared" si="9"/>
        <v>403</v>
      </c>
      <c r="Y134" s="22">
        <v>238</v>
      </c>
      <c r="Z134" s="22">
        <v>165</v>
      </c>
      <c r="AA134" s="371">
        <v>2556.42</v>
      </c>
      <c r="AB134" s="22">
        <v>0.15764232794298277</v>
      </c>
      <c r="AC134" s="24">
        <v>2.2642327942982765E-2</v>
      </c>
      <c r="AD134" s="384">
        <v>-587769.50077436701</v>
      </c>
    </row>
    <row r="135" spans="1:30">
      <c r="A135" s="21" t="s">
        <v>557</v>
      </c>
      <c r="B135" s="21" t="s">
        <v>558</v>
      </c>
      <c r="C135" s="23">
        <v>0</v>
      </c>
      <c r="D135" s="147">
        <v>0</v>
      </c>
      <c r="E135" s="22">
        <v>0</v>
      </c>
      <c r="F135" s="22">
        <v>0</v>
      </c>
      <c r="G135" s="22">
        <v>0</v>
      </c>
      <c r="H135" s="22">
        <v>0</v>
      </c>
      <c r="I135" s="22">
        <v>0</v>
      </c>
      <c r="J135" s="22">
        <v>0</v>
      </c>
      <c r="K135" s="22">
        <v>0</v>
      </c>
      <c r="L135" s="22">
        <v>0</v>
      </c>
      <c r="M135" s="388">
        <v>32</v>
      </c>
      <c r="N135" s="25">
        <v>0.73529999999999995</v>
      </c>
      <c r="O135" s="24">
        <v>37</v>
      </c>
      <c r="P135" s="24">
        <v>0</v>
      </c>
      <c r="Q135" s="24">
        <v>0</v>
      </c>
      <c r="R135" s="22">
        <v>0</v>
      </c>
      <c r="S135" s="24">
        <v>0</v>
      </c>
      <c r="T135" s="24">
        <f t="shared" si="7"/>
        <v>0</v>
      </c>
      <c r="U135" s="376">
        <v>23.53</v>
      </c>
      <c r="V135" s="376">
        <v>1.6</v>
      </c>
      <c r="W135" s="22">
        <f t="shared" si="8"/>
        <v>17.301608999999999</v>
      </c>
      <c r="X135" s="22">
        <f t="shared" si="9"/>
        <v>8</v>
      </c>
      <c r="Y135" s="22">
        <v>3.75</v>
      </c>
      <c r="Z135" s="22">
        <v>4.25</v>
      </c>
      <c r="AA135" s="371">
        <v>36.799999999999997</v>
      </c>
      <c r="AB135" s="22">
        <v>0.21739130434782611</v>
      </c>
      <c r="AC135" s="24">
        <v>8.23913043478261E-2</v>
      </c>
      <c r="AD135" s="384">
        <v>-24981.557515434975</v>
      </c>
    </row>
    <row r="136" spans="1:30">
      <c r="A136" s="21" t="s">
        <v>471</v>
      </c>
      <c r="B136" s="21" t="s">
        <v>472</v>
      </c>
      <c r="C136" s="23">
        <v>176</v>
      </c>
      <c r="D136" s="147">
        <v>0</v>
      </c>
      <c r="E136" s="22">
        <v>30.08</v>
      </c>
      <c r="F136" s="22">
        <v>30.08</v>
      </c>
      <c r="G136" s="22">
        <v>0</v>
      </c>
      <c r="H136" s="22">
        <v>17</v>
      </c>
      <c r="I136" s="22">
        <v>0</v>
      </c>
      <c r="J136" s="22">
        <v>4.5999999999999996</v>
      </c>
      <c r="K136" s="22">
        <v>0</v>
      </c>
      <c r="L136" s="22">
        <v>0</v>
      </c>
      <c r="M136" s="388">
        <v>568.6</v>
      </c>
      <c r="N136" s="25">
        <v>0.32419999999999999</v>
      </c>
      <c r="O136" s="24">
        <v>0</v>
      </c>
      <c r="P136" s="24">
        <v>1</v>
      </c>
      <c r="Q136" s="24">
        <v>0</v>
      </c>
      <c r="R136" s="22">
        <v>1</v>
      </c>
      <c r="S136" s="24">
        <v>0</v>
      </c>
      <c r="T136" s="24">
        <f t="shared" si="7"/>
        <v>1</v>
      </c>
      <c r="U136" s="376">
        <v>184.34</v>
      </c>
      <c r="V136" s="376">
        <v>0</v>
      </c>
      <c r="W136" s="22">
        <f t="shared" si="8"/>
        <v>59.763027999999998</v>
      </c>
      <c r="X136" s="22">
        <f t="shared" si="9"/>
        <v>64.5</v>
      </c>
      <c r="Y136" s="22">
        <v>48.75</v>
      </c>
      <c r="Z136" s="22">
        <v>15.75</v>
      </c>
      <c r="AA136" s="371">
        <v>568.51</v>
      </c>
      <c r="AB136" s="22">
        <v>0.11345446869887953</v>
      </c>
      <c r="AC136" s="24">
        <v>0</v>
      </c>
      <c r="AD136" s="384">
        <v>0</v>
      </c>
    </row>
    <row r="137" spans="1:30">
      <c r="A137" s="21" t="s">
        <v>9</v>
      </c>
      <c r="B137" s="21" t="s">
        <v>10</v>
      </c>
      <c r="C137" s="23">
        <v>46</v>
      </c>
      <c r="D137" s="147">
        <v>4.72</v>
      </c>
      <c r="E137" s="22">
        <v>13.05</v>
      </c>
      <c r="F137" s="22">
        <v>17.77</v>
      </c>
      <c r="G137" s="22">
        <v>0</v>
      </c>
      <c r="H137" s="22">
        <v>0</v>
      </c>
      <c r="I137" s="22">
        <v>0</v>
      </c>
      <c r="J137" s="22">
        <v>0</v>
      </c>
      <c r="K137" s="22">
        <v>0</v>
      </c>
      <c r="L137" s="22">
        <v>0</v>
      </c>
      <c r="M137" s="388">
        <v>180</v>
      </c>
      <c r="N137" s="25">
        <v>0.70589999999999997</v>
      </c>
      <c r="O137" s="24">
        <v>185</v>
      </c>
      <c r="P137" s="24">
        <v>29</v>
      </c>
      <c r="Q137" s="24">
        <v>18</v>
      </c>
      <c r="R137" s="22">
        <v>11</v>
      </c>
      <c r="S137" s="24">
        <v>4</v>
      </c>
      <c r="T137" s="24">
        <f t="shared" ref="T137:T200" si="10">S137+P137</f>
        <v>33</v>
      </c>
      <c r="U137" s="376">
        <v>127.06</v>
      </c>
      <c r="V137" s="376">
        <v>0</v>
      </c>
      <c r="W137" s="22">
        <f t="shared" ref="W137:W200" si="11">U137*N137</f>
        <v>89.691654</v>
      </c>
      <c r="X137" s="22">
        <f t="shared" ref="X137:X200" si="12">Y137+Z137</f>
        <v>18.5</v>
      </c>
      <c r="Y137" s="22">
        <v>16</v>
      </c>
      <c r="Z137" s="22">
        <v>2.5</v>
      </c>
      <c r="AA137" s="371">
        <v>188.2</v>
      </c>
      <c r="AB137" s="22">
        <v>9.829968119022317E-2</v>
      </c>
      <c r="AC137" s="24">
        <v>0</v>
      </c>
      <c r="AD137" s="384">
        <v>0</v>
      </c>
    </row>
    <row r="138" spans="1:30">
      <c r="A138" s="21" t="s">
        <v>77</v>
      </c>
      <c r="B138" s="21" t="s">
        <v>78</v>
      </c>
      <c r="C138" s="23">
        <v>1986</v>
      </c>
      <c r="D138" s="147">
        <v>46.14</v>
      </c>
      <c r="E138" s="22">
        <v>376.42</v>
      </c>
      <c r="F138" s="22">
        <v>422.56</v>
      </c>
      <c r="G138" s="22">
        <v>0</v>
      </c>
      <c r="H138" s="22">
        <v>168</v>
      </c>
      <c r="I138" s="22">
        <v>10.94</v>
      </c>
      <c r="J138" s="22">
        <v>108.23</v>
      </c>
      <c r="K138" s="22">
        <v>27.96</v>
      </c>
      <c r="L138" s="22">
        <v>1.44</v>
      </c>
      <c r="M138" s="388">
        <v>6530.5699999999988</v>
      </c>
      <c r="N138" s="25">
        <v>0.63149999999999995</v>
      </c>
      <c r="O138" s="24">
        <v>4537</v>
      </c>
      <c r="P138" s="24">
        <v>402.75</v>
      </c>
      <c r="Q138" s="24">
        <v>267.25</v>
      </c>
      <c r="R138" s="22">
        <v>135.5</v>
      </c>
      <c r="S138" s="24">
        <v>69.25</v>
      </c>
      <c r="T138" s="24">
        <f t="shared" si="10"/>
        <v>472</v>
      </c>
      <c r="U138" s="376">
        <v>4096.63</v>
      </c>
      <c r="V138" s="376">
        <v>326.52999999999997</v>
      </c>
      <c r="W138" s="22">
        <f t="shared" si="11"/>
        <v>2587.0218449999998</v>
      </c>
      <c r="X138" s="22">
        <f t="shared" si="12"/>
        <v>997.25</v>
      </c>
      <c r="Y138" s="22">
        <v>560</v>
      </c>
      <c r="Z138" s="22">
        <v>437.25</v>
      </c>
      <c r="AA138" s="371">
        <v>6173.13</v>
      </c>
      <c r="AB138" s="22">
        <v>0.16154689760299881</v>
      </c>
      <c r="AC138" s="24">
        <v>2.6546897602998804E-2</v>
      </c>
      <c r="AD138" s="384">
        <v>-1513046.2739453085</v>
      </c>
    </row>
    <row r="139" spans="1:30">
      <c r="A139" s="21" t="s">
        <v>493</v>
      </c>
      <c r="B139" s="21" t="s">
        <v>494</v>
      </c>
      <c r="C139" s="23">
        <v>56</v>
      </c>
      <c r="D139" s="147">
        <v>0</v>
      </c>
      <c r="E139" s="22">
        <v>0</v>
      </c>
      <c r="F139" s="22">
        <v>0</v>
      </c>
      <c r="G139" s="22">
        <v>0</v>
      </c>
      <c r="H139" s="22">
        <v>0</v>
      </c>
      <c r="I139" s="22">
        <v>0</v>
      </c>
      <c r="J139" s="22">
        <v>126.3</v>
      </c>
      <c r="K139" s="22">
        <v>0</v>
      </c>
      <c r="L139" s="22">
        <v>0</v>
      </c>
      <c r="M139" s="388">
        <v>222.3</v>
      </c>
      <c r="N139" s="25">
        <v>0.56200000000000006</v>
      </c>
      <c r="O139" s="24">
        <v>106</v>
      </c>
      <c r="P139" s="24">
        <v>0</v>
      </c>
      <c r="Q139" s="24">
        <v>0</v>
      </c>
      <c r="R139" s="22">
        <v>0</v>
      </c>
      <c r="S139" s="24">
        <v>0</v>
      </c>
      <c r="T139" s="24">
        <f t="shared" si="10"/>
        <v>0</v>
      </c>
      <c r="U139" s="376">
        <v>124.02</v>
      </c>
      <c r="V139" s="376">
        <v>0</v>
      </c>
      <c r="W139" s="22">
        <f t="shared" si="11"/>
        <v>69.699240000000003</v>
      </c>
      <c r="X139" s="22">
        <f t="shared" si="12"/>
        <v>17.5</v>
      </c>
      <c r="Y139" s="22">
        <v>10.25</v>
      </c>
      <c r="Z139" s="22">
        <v>7.25</v>
      </c>
      <c r="AA139" s="371">
        <v>231.1</v>
      </c>
      <c r="AB139" s="22">
        <v>7.5724794461272185E-2</v>
      </c>
      <c r="AC139" s="24">
        <v>0</v>
      </c>
      <c r="AD139" s="384">
        <v>0</v>
      </c>
    </row>
    <row r="140" spans="1:30">
      <c r="A140" s="21" t="s">
        <v>397</v>
      </c>
      <c r="B140" s="21" t="s">
        <v>398</v>
      </c>
      <c r="C140" s="23">
        <v>61</v>
      </c>
      <c r="D140" s="147">
        <v>0.7</v>
      </c>
      <c r="E140" s="22">
        <v>12.57</v>
      </c>
      <c r="F140" s="22">
        <v>13.27</v>
      </c>
      <c r="G140" s="22">
        <v>0</v>
      </c>
      <c r="H140" s="22">
        <v>4</v>
      </c>
      <c r="I140" s="22">
        <v>0.1</v>
      </c>
      <c r="J140" s="22">
        <v>19.75</v>
      </c>
      <c r="K140" s="22">
        <v>0</v>
      </c>
      <c r="L140" s="22">
        <v>0</v>
      </c>
      <c r="M140" s="388">
        <v>230.85</v>
      </c>
      <c r="N140" s="25">
        <v>0.44</v>
      </c>
      <c r="O140" s="24">
        <v>0</v>
      </c>
      <c r="P140" s="24">
        <v>18</v>
      </c>
      <c r="Q140" s="24">
        <v>14</v>
      </c>
      <c r="R140" s="22">
        <v>4</v>
      </c>
      <c r="S140" s="24">
        <v>0</v>
      </c>
      <c r="T140" s="24">
        <f t="shared" si="10"/>
        <v>18</v>
      </c>
      <c r="U140" s="376">
        <v>101.57</v>
      </c>
      <c r="V140" s="376">
        <v>11.54</v>
      </c>
      <c r="W140" s="22">
        <f t="shared" si="11"/>
        <v>44.690799999999996</v>
      </c>
      <c r="X140" s="22">
        <f t="shared" si="12"/>
        <v>42.75</v>
      </c>
      <c r="Y140" s="22">
        <v>38</v>
      </c>
      <c r="Z140" s="22">
        <v>4.75</v>
      </c>
      <c r="AA140" s="371">
        <v>241.82</v>
      </c>
      <c r="AB140" s="22">
        <v>0.17678438507981142</v>
      </c>
      <c r="AC140" s="24">
        <v>4.1784385079811415E-2</v>
      </c>
      <c r="AD140" s="384">
        <v>-100956.83371981967</v>
      </c>
    </row>
    <row r="141" spans="1:30">
      <c r="A141" s="21" t="s">
        <v>1232</v>
      </c>
      <c r="B141" s="21" t="s">
        <v>1233</v>
      </c>
      <c r="C141" s="23">
        <v>0</v>
      </c>
      <c r="D141" s="147">
        <v>0</v>
      </c>
      <c r="E141" s="22">
        <v>0</v>
      </c>
      <c r="F141" s="22">
        <v>0</v>
      </c>
      <c r="G141" s="22">
        <v>0</v>
      </c>
      <c r="H141" s="22">
        <v>0</v>
      </c>
      <c r="I141" s="22">
        <v>0</v>
      </c>
      <c r="J141" s="22">
        <v>0</v>
      </c>
      <c r="K141" s="22">
        <v>0.8</v>
      </c>
      <c r="L141" s="22">
        <v>0</v>
      </c>
      <c r="M141" s="388">
        <v>90.8</v>
      </c>
      <c r="N141" s="25">
        <v>0.87180000000000002</v>
      </c>
      <c r="O141" s="24">
        <v>39</v>
      </c>
      <c r="P141" s="24">
        <v>0</v>
      </c>
      <c r="Q141" s="24">
        <v>0</v>
      </c>
      <c r="R141" s="22">
        <v>0</v>
      </c>
      <c r="S141" s="24">
        <v>0</v>
      </c>
      <c r="T141" s="24">
        <f t="shared" si="10"/>
        <v>0</v>
      </c>
      <c r="U141" s="376">
        <v>76.83</v>
      </c>
      <c r="V141" s="376">
        <v>0</v>
      </c>
      <c r="W141" s="22">
        <f t="shared" si="11"/>
        <v>66.980394000000004</v>
      </c>
      <c r="X141" s="22">
        <f t="shared" si="12"/>
        <v>6.75</v>
      </c>
      <c r="Y141" s="22">
        <v>6.5</v>
      </c>
      <c r="Z141" s="22">
        <v>0.25</v>
      </c>
      <c r="AA141" s="371">
        <v>34.6</v>
      </c>
      <c r="AB141" s="22">
        <v>0.19508670520231214</v>
      </c>
      <c r="AC141" s="24">
        <v>6.008670520231213E-2</v>
      </c>
      <c r="AD141" s="384">
        <v>-18567.375178116348</v>
      </c>
    </row>
    <row r="142" spans="1:30">
      <c r="A142" s="21" t="s">
        <v>553</v>
      </c>
      <c r="B142" s="21" t="s">
        <v>554</v>
      </c>
      <c r="C142" s="23">
        <v>122.6</v>
      </c>
      <c r="D142" s="147">
        <v>0</v>
      </c>
      <c r="E142" s="22">
        <v>0</v>
      </c>
      <c r="F142" s="22">
        <v>0</v>
      </c>
      <c r="G142" s="22">
        <v>0</v>
      </c>
      <c r="H142" s="22">
        <v>2.0099999999999998</v>
      </c>
      <c r="I142" s="22">
        <v>0</v>
      </c>
      <c r="J142" s="22">
        <v>0</v>
      </c>
      <c r="K142" s="22">
        <v>0</v>
      </c>
      <c r="L142" s="22">
        <v>0</v>
      </c>
      <c r="M142" s="388">
        <v>399.13</v>
      </c>
      <c r="N142" s="25">
        <v>0.9375</v>
      </c>
      <c r="O142" s="24">
        <v>408</v>
      </c>
      <c r="P142" s="24">
        <v>0</v>
      </c>
      <c r="Q142" s="24">
        <v>0</v>
      </c>
      <c r="R142" s="22">
        <v>0</v>
      </c>
      <c r="S142" s="24">
        <v>0</v>
      </c>
      <c r="T142" s="24">
        <f t="shared" si="10"/>
        <v>0</v>
      </c>
      <c r="U142" s="376">
        <v>374.18</v>
      </c>
      <c r="V142" s="376">
        <v>0</v>
      </c>
      <c r="W142" s="22">
        <f t="shared" si="11"/>
        <v>350.79374999999999</v>
      </c>
      <c r="X142" s="22">
        <f t="shared" si="12"/>
        <v>112</v>
      </c>
      <c r="Y142" s="22">
        <v>88.25</v>
      </c>
      <c r="Z142" s="22">
        <v>23.75</v>
      </c>
      <c r="AA142" s="371">
        <v>399.13</v>
      </c>
      <c r="AB142" s="22">
        <v>0.28061032746223036</v>
      </c>
      <c r="AC142" s="24">
        <v>0.14561032746223035</v>
      </c>
      <c r="AD142" s="384">
        <v>-574108.5429001865</v>
      </c>
    </row>
    <row r="143" spans="1:30">
      <c r="A143" s="21" t="s">
        <v>269</v>
      </c>
      <c r="B143" s="21" t="s">
        <v>270</v>
      </c>
      <c r="C143" s="23">
        <v>92</v>
      </c>
      <c r="D143" s="147">
        <v>0</v>
      </c>
      <c r="E143" s="22">
        <v>0</v>
      </c>
      <c r="F143" s="22">
        <v>0</v>
      </c>
      <c r="G143" s="22">
        <v>0</v>
      </c>
      <c r="H143" s="22">
        <v>8</v>
      </c>
      <c r="I143" s="22">
        <v>0</v>
      </c>
      <c r="J143" s="22">
        <v>0</v>
      </c>
      <c r="K143" s="22">
        <v>0</v>
      </c>
      <c r="L143" s="22">
        <v>0</v>
      </c>
      <c r="M143" s="388">
        <v>240</v>
      </c>
      <c r="N143" s="25">
        <v>0.88739999999999997</v>
      </c>
      <c r="O143" s="24">
        <v>222</v>
      </c>
      <c r="P143" s="24">
        <v>8</v>
      </c>
      <c r="Q143" s="24">
        <v>6</v>
      </c>
      <c r="R143" s="22">
        <v>2</v>
      </c>
      <c r="S143" s="24">
        <v>0</v>
      </c>
      <c r="T143" s="24">
        <f t="shared" si="10"/>
        <v>8</v>
      </c>
      <c r="U143" s="376">
        <v>212.86</v>
      </c>
      <c r="V143" s="376">
        <v>0</v>
      </c>
      <c r="W143" s="22">
        <f t="shared" si="11"/>
        <v>188.891964</v>
      </c>
      <c r="X143" s="22">
        <f t="shared" si="12"/>
        <v>39.5</v>
      </c>
      <c r="Y143" s="22">
        <v>35</v>
      </c>
      <c r="Z143" s="22">
        <v>4.5</v>
      </c>
      <c r="AA143" s="371">
        <v>214.04</v>
      </c>
      <c r="AB143" s="22">
        <v>0.18454494487011774</v>
      </c>
      <c r="AC143" s="24">
        <v>4.9544944870117735E-2</v>
      </c>
      <c r="AD143" s="384">
        <v>-100438.55384778173</v>
      </c>
    </row>
    <row r="144" spans="1:30">
      <c r="A144" s="21" t="s">
        <v>545</v>
      </c>
      <c r="B144" s="21" t="s">
        <v>546</v>
      </c>
      <c r="C144" s="23">
        <v>1027</v>
      </c>
      <c r="D144" s="147">
        <v>14.93</v>
      </c>
      <c r="E144" s="22">
        <v>218.72</v>
      </c>
      <c r="F144" s="22">
        <v>233.65</v>
      </c>
      <c r="G144" s="22">
        <v>0</v>
      </c>
      <c r="H144" s="22">
        <v>145</v>
      </c>
      <c r="I144" s="22">
        <v>6.4</v>
      </c>
      <c r="J144" s="22">
        <v>388.61</v>
      </c>
      <c r="K144" s="22">
        <v>17.260000000000002</v>
      </c>
      <c r="L144" s="22">
        <v>1.54</v>
      </c>
      <c r="M144" s="388">
        <v>3697.8100000000004</v>
      </c>
      <c r="N144" s="25">
        <v>0.32329999999999998</v>
      </c>
      <c r="O144" s="24">
        <v>0</v>
      </c>
      <c r="P144" s="24">
        <v>342.25</v>
      </c>
      <c r="Q144" s="24">
        <v>230</v>
      </c>
      <c r="R144" s="22">
        <v>112.25</v>
      </c>
      <c r="S144" s="24">
        <v>82.25</v>
      </c>
      <c r="T144" s="24">
        <f t="shared" si="10"/>
        <v>424.5</v>
      </c>
      <c r="U144" s="376">
        <v>1195.5</v>
      </c>
      <c r="V144" s="376">
        <v>184.89</v>
      </c>
      <c r="W144" s="22">
        <f t="shared" si="11"/>
        <v>386.50514999999996</v>
      </c>
      <c r="X144" s="22">
        <f t="shared" si="12"/>
        <v>447.5</v>
      </c>
      <c r="Y144" s="22">
        <v>332.25</v>
      </c>
      <c r="Z144" s="22">
        <v>115.25</v>
      </c>
      <c r="AA144" s="371">
        <v>3322.08</v>
      </c>
      <c r="AB144" s="22">
        <v>0.13470476328083611</v>
      </c>
      <c r="AC144" s="24">
        <v>0</v>
      </c>
      <c r="AD144" s="384">
        <v>0</v>
      </c>
    </row>
    <row r="145" spans="1:30">
      <c r="A145" s="21" t="s">
        <v>591</v>
      </c>
      <c r="B145" s="21" t="s">
        <v>592</v>
      </c>
      <c r="C145" s="23">
        <v>256</v>
      </c>
      <c r="D145" s="147">
        <v>0</v>
      </c>
      <c r="E145" s="22">
        <v>77.38</v>
      </c>
      <c r="F145" s="22">
        <v>77.38</v>
      </c>
      <c r="G145" s="22">
        <v>0</v>
      </c>
      <c r="H145" s="22">
        <v>15</v>
      </c>
      <c r="I145" s="22">
        <v>0.92</v>
      </c>
      <c r="J145" s="22">
        <v>0</v>
      </c>
      <c r="K145" s="22">
        <v>3.6</v>
      </c>
      <c r="L145" s="22">
        <v>0</v>
      </c>
      <c r="M145" s="388">
        <v>857.52</v>
      </c>
      <c r="N145" s="25">
        <v>0.99119999999999997</v>
      </c>
      <c r="O145" s="24">
        <v>815</v>
      </c>
      <c r="P145" s="24">
        <v>329.75</v>
      </c>
      <c r="Q145" s="24">
        <v>144.75</v>
      </c>
      <c r="R145" s="22">
        <v>185</v>
      </c>
      <c r="S145" s="24">
        <v>29</v>
      </c>
      <c r="T145" s="24">
        <f t="shared" si="10"/>
        <v>358.75</v>
      </c>
      <c r="U145" s="376">
        <v>849.97</v>
      </c>
      <c r="V145" s="376">
        <v>42.88</v>
      </c>
      <c r="W145" s="22">
        <f t="shared" si="11"/>
        <v>842.49026400000002</v>
      </c>
      <c r="X145" s="22">
        <f t="shared" si="12"/>
        <v>83.5</v>
      </c>
      <c r="Y145" s="22">
        <v>31.5</v>
      </c>
      <c r="Z145" s="22">
        <v>52</v>
      </c>
      <c r="AA145" s="371">
        <v>811.56</v>
      </c>
      <c r="AB145" s="22">
        <v>0.10288826457686431</v>
      </c>
      <c r="AC145" s="24">
        <v>0</v>
      </c>
      <c r="AD145" s="384">
        <v>0</v>
      </c>
    </row>
    <row r="146" spans="1:30">
      <c r="A146" s="21" t="s">
        <v>97</v>
      </c>
      <c r="B146" s="21" t="s">
        <v>98</v>
      </c>
      <c r="C146" s="23">
        <v>26</v>
      </c>
      <c r="D146" s="147">
        <v>0</v>
      </c>
      <c r="E146" s="22">
        <v>3.1</v>
      </c>
      <c r="F146" s="22">
        <v>3.1</v>
      </c>
      <c r="G146" s="22">
        <v>0</v>
      </c>
      <c r="H146" s="22">
        <v>0</v>
      </c>
      <c r="I146" s="22">
        <v>0</v>
      </c>
      <c r="J146" s="22">
        <v>0</v>
      </c>
      <c r="K146" s="22">
        <v>0</v>
      </c>
      <c r="L146" s="22">
        <v>0</v>
      </c>
      <c r="M146" s="388">
        <v>80</v>
      </c>
      <c r="N146" s="25">
        <v>0.73629999999999995</v>
      </c>
      <c r="O146" s="24">
        <v>93</v>
      </c>
      <c r="P146" s="24">
        <v>5</v>
      </c>
      <c r="Q146" s="24">
        <v>2</v>
      </c>
      <c r="R146" s="22">
        <v>3</v>
      </c>
      <c r="S146" s="24">
        <v>1</v>
      </c>
      <c r="T146" s="24">
        <f t="shared" si="10"/>
        <v>6</v>
      </c>
      <c r="U146" s="376">
        <v>58.9</v>
      </c>
      <c r="V146" s="376">
        <v>0</v>
      </c>
      <c r="W146" s="22">
        <f t="shared" si="11"/>
        <v>43.368069999999996</v>
      </c>
      <c r="X146" s="22">
        <f t="shared" si="12"/>
        <v>9.75</v>
      </c>
      <c r="Y146" s="22">
        <v>7.75</v>
      </c>
      <c r="Z146" s="22">
        <v>2</v>
      </c>
      <c r="AA146" s="371">
        <v>91.4</v>
      </c>
      <c r="AB146" s="22">
        <v>0.10667396061269147</v>
      </c>
      <c r="AC146" s="24">
        <v>0</v>
      </c>
      <c r="AD146" s="384">
        <v>0</v>
      </c>
    </row>
    <row r="147" spans="1:30">
      <c r="A147" s="21" t="s">
        <v>29</v>
      </c>
      <c r="B147" s="21" t="s">
        <v>30</v>
      </c>
      <c r="C147" s="23">
        <v>158</v>
      </c>
      <c r="D147" s="147">
        <v>4.6100000000000003</v>
      </c>
      <c r="E147" s="22">
        <v>12.35</v>
      </c>
      <c r="F147" s="22">
        <v>16.96</v>
      </c>
      <c r="G147" s="22">
        <v>0</v>
      </c>
      <c r="H147" s="22">
        <v>2</v>
      </c>
      <c r="I147" s="22">
        <v>0</v>
      </c>
      <c r="J147" s="22">
        <v>0</v>
      </c>
      <c r="K147" s="22">
        <v>0</v>
      </c>
      <c r="L147" s="22">
        <v>0</v>
      </c>
      <c r="M147" s="388">
        <v>571</v>
      </c>
      <c r="N147" s="25">
        <v>0.70520000000000005</v>
      </c>
      <c r="O147" s="24">
        <v>606</v>
      </c>
      <c r="P147" s="24">
        <v>214.25</v>
      </c>
      <c r="Q147" s="24">
        <v>132.5</v>
      </c>
      <c r="R147" s="22">
        <v>81.75</v>
      </c>
      <c r="S147" s="24">
        <v>33</v>
      </c>
      <c r="T147" s="24">
        <f t="shared" si="10"/>
        <v>247.25</v>
      </c>
      <c r="U147" s="376">
        <v>402.67</v>
      </c>
      <c r="V147" s="376">
        <v>28.55</v>
      </c>
      <c r="W147" s="22">
        <f t="shared" si="11"/>
        <v>283.96288400000003</v>
      </c>
      <c r="X147" s="22">
        <f t="shared" si="12"/>
        <v>72</v>
      </c>
      <c r="Y147" s="22">
        <v>57.75</v>
      </c>
      <c r="Z147" s="22">
        <v>14.25</v>
      </c>
      <c r="AA147" s="371">
        <v>598.66</v>
      </c>
      <c r="AB147" s="22">
        <v>0.12026859987304982</v>
      </c>
      <c r="AC147" s="24">
        <v>0</v>
      </c>
      <c r="AD147" s="384">
        <v>0</v>
      </c>
    </row>
    <row r="148" spans="1:30">
      <c r="A148" s="21" t="s">
        <v>319</v>
      </c>
      <c r="B148" s="21" t="s">
        <v>320</v>
      </c>
      <c r="C148" s="23">
        <v>46</v>
      </c>
      <c r="D148" s="147">
        <v>4.8600000000000003</v>
      </c>
      <c r="E148" s="22">
        <v>18.62</v>
      </c>
      <c r="F148" s="22">
        <v>23.48</v>
      </c>
      <c r="G148" s="22">
        <v>0</v>
      </c>
      <c r="H148" s="22">
        <v>3</v>
      </c>
      <c r="I148" s="22">
        <v>0.33</v>
      </c>
      <c r="J148" s="22">
        <v>1274.4000000000001</v>
      </c>
      <c r="K148" s="22">
        <v>0</v>
      </c>
      <c r="L148" s="22">
        <v>0</v>
      </c>
      <c r="M148" s="388">
        <v>1424.73</v>
      </c>
      <c r="N148" s="25">
        <v>0.20680000000000001</v>
      </c>
      <c r="O148" s="24">
        <v>170</v>
      </c>
      <c r="P148" s="24">
        <v>31.25</v>
      </c>
      <c r="Q148" s="24">
        <v>27.75</v>
      </c>
      <c r="R148" s="22">
        <v>3.5</v>
      </c>
      <c r="S148" s="24">
        <v>5.25</v>
      </c>
      <c r="T148" s="24">
        <f t="shared" si="10"/>
        <v>36.5</v>
      </c>
      <c r="U148" s="376">
        <v>294.63</v>
      </c>
      <c r="V148" s="376">
        <v>71.239999999999995</v>
      </c>
      <c r="W148" s="22">
        <f t="shared" si="11"/>
        <v>60.929484000000002</v>
      </c>
      <c r="X148" s="22">
        <f t="shared" si="12"/>
        <v>246.25</v>
      </c>
      <c r="Y148" s="22">
        <v>212</v>
      </c>
      <c r="Z148" s="22">
        <v>34.25</v>
      </c>
      <c r="AA148" s="371">
        <v>1441.96</v>
      </c>
      <c r="AB148" s="22">
        <v>0.17077450137313102</v>
      </c>
      <c r="AC148" s="24">
        <v>3.5774501373131012E-2</v>
      </c>
      <c r="AD148" s="384">
        <v>-453533.70948738692</v>
      </c>
    </row>
    <row r="149" spans="1:30">
      <c r="A149" s="21" t="s">
        <v>501</v>
      </c>
      <c r="B149" s="21" t="s">
        <v>502</v>
      </c>
      <c r="C149" s="23">
        <v>100</v>
      </c>
      <c r="D149" s="147">
        <v>0</v>
      </c>
      <c r="E149" s="22">
        <v>39.33</v>
      </c>
      <c r="F149" s="22">
        <v>39.33</v>
      </c>
      <c r="G149" s="22">
        <v>0</v>
      </c>
      <c r="H149" s="22">
        <v>4</v>
      </c>
      <c r="I149" s="22">
        <v>1.02</v>
      </c>
      <c r="J149" s="22">
        <v>37.78</v>
      </c>
      <c r="K149" s="22">
        <v>0</v>
      </c>
      <c r="L149" s="22">
        <v>0</v>
      </c>
      <c r="M149" s="388">
        <v>406.79999999999995</v>
      </c>
      <c r="N149" s="25">
        <v>0.78349999999999997</v>
      </c>
      <c r="O149" s="24">
        <v>450</v>
      </c>
      <c r="P149" s="24">
        <v>1</v>
      </c>
      <c r="Q149" s="24">
        <v>0</v>
      </c>
      <c r="R149" s="22">
        <v>1</v>
      </c>
      <c r="S149" s="24">
        <v>0</v>
      </c>
      <c r="T149" s="24">
        <f t="shared" si="10"/>
        <v>1</v>
      </c>
      <c r="U149" s="376">
        <v>318.73</v>
      </c>
      <c r="V149" s="376">
        <v>20.34</v>
      </c>
      <c r="W149" s="22">
        <f t="shared" si="11"/>
        <v>249.72495499999999</v>
      </c>
      <c r="X149" s="22">
        <f t="shared" si="12"/>
        <v>71</v>
      </c>
      <c r="Y149" s="22">
        <v>52</v>
      </c>
      <c r="Z149" s="22">
        <v>19</v>
      </c>
      <c r="AA149" s="371">
        <v>450.72</v>
      </c>
      <c r="AB149" s="22">
        <v>0.15752573659921901</v>
      </c>
      <c r="AC149" s="24">
        <v>2.2525736599218998E-2</v>
      </c>
      <c r="AD149" s="384">
        <v>-92805.650787688384</v>
      </c>
    </row>
    <row r="150" spans="1:30">
      <c r="A150" s="21" t="s">
        <v>433</v>
      </c>
      <c r="B150" s="21" t="s">
        <v>434</v>
      </c>
      <c r="C150" s="23">
        <v>2552</v>
      </c>
      <c r="D150" s="147">
        <v>201.04</v>
      </c>
      <c r="E150" s="22">
        <v>586.42999999999995</v>
      </c>
      <c r="F150" s="22">
        <v>787.46999999999991</v>
      </c>
      <c r="G150" s="22">
        <v>0</v>
      </c>
      <c r="H150" s="22">
        <v>233</v>
      </c>
      <c r="I150" s="22">
        <v>8.43</v>
      </c>
      <c r="J150" s="22">
        <v>336.75</v>
      </c>
      <c r="K150" s="22">
        <v>76.52</v>
      </c>
      <c r="L150" s="22">
        <v>0</v>
      </c>
      <c r="M150" s="388">
        <v>9273.7000000000007</v>
      </c>
      <c r="N150" s="25">
        <v>0.50609999999999999</v>
      </c>
      <c r="O150" s="24">
        <v>6381</v>
      </c>
      <c r="P150" s="24">
        <v>1016.5</v>
      </c>
      <c r="Q150" s="24">
        <v>619.75</v>
      </c>
      <c r="R150" s="22">
        <v>396.75</v>
      </c>
      <c r="S150" s="24">
        <v>196.5</v>
      </c>
      <c r="T150" s="24">
        <f t="shared" si="10"/>
        <v>1213</v>
      </c>
      <c r="U150" s="376">
        <v>4696.2</v>
      </c>
      <c r="V150" s="376">
        <v>463.69</v>
      </c>
      <c r="W150" s="22">
        <f t="shared" si="11"/>
        <v>2376.7468199999998</v>
      </c>
      <c r="X150" s="22">
        <f t="shared" si="12"/>
        <v>1503.5</v>
      </c>
      <c r="Y150" s="22">
        <v>730</v>
      </c>
      <c r="Z150" s="22">
        <v>773.5</v>
      </c>
      <c r="AA150" s="371">
        <v>9953.17</v>
      </c>
      <c r="AB150" s="22">
        <v>0.15105740181268881</v>
      </c>
      <c r="AC150" s="24">
        <v>1.6057401812688804E-2</v>
      </c>
      <c r="AD150" s="384">
        <v>-1621317.9747431639</v>
      </c>
    </row>
    <row r="151" spans="1:30">
      <c r="A151" s="21" t="s">
        <v>147</v>
      </c>
      <c r="B151" s="21" t="s">
        <v>148</v>
      </c>
      <c r="C151" s="23">
        <v>132</v>
      </c>
      <c r="D151" s="147">
        <v>0</v>
      </c>
      <c r="E151" s="22">
        <v>0</v>
      </c>
      <c r="F151" s="22">
        <v>0</v>
      </c>
      <c r="G151" s="22">
        <v>0</v>
      </c>
      <c r="H151" s="22">
        <v>0</v>
      </c>
      <c r="I151" s="22">
        <v>0</v>
      </c>
      <c r="J151" s="22">
        <v>0</v>
      </c>
      <c r="K151" s="22">
        <v>0</v>
      </c>
      <c r="L151" s="22">
        <v>0</v>
      </c>
      <c r="M151" s="388">
        <v>290</v>
      </c>
      <c r="N151" s="25">
        <v>0.60860000000000003</v>
      </c>
      <c r="O151" s="24">
        <v>291</v>
      </c>
      <c r="P151" s="24">
        <v>2.25</v>
      </c>
      <c r="Q151" s="24">
        <v>2.25</v>
      </c>
      <c r="R151" s="22">
        <v>0</v>
      </c>
      <c r="S151" s="24">
        <v>0</v>
      </c>
      <c r="T151" s="24">
        <f t="shared" si="10"/>
        <v>2.25</v>
      </c>
      <c r="U151" s="376">
        <v>176.49</v>
      </c>
      <c r="V151" s="376">
        <v>14.5</v>
      </c>
      <c r="W151" s="22">
        <f t="shared" si="11"/>
        <v>107.41181400000001</v>
      </c>
      <c r="X151" s="22">
        <f t="shared" si="12"/>
        <v>61.5</v>
      </c>
      <c r="Y151" s="22">
        <v>51.5</v>
      </c>
      <c r="Z151" s="22">
        <v>10</v>
      </c>
      <c r="AA151" s="371">
        <v>291.75</v>
      </c>
      <c r="AB151" s="22">
        <v>0.21079691516709512</v>
      </c>
      <c r="AC151" s="24">
        <v>7.5796915167095108E-2</v>
      </c>
      <c r="AD151" s="384">
        <v>-210999.33890989001</v>
      </c>
    </row>
    <row r="152" spans="1:30">
      <c r="A152" s="21" t="s">
        <v>461</v>
      </c>
      <c r="B152" s="21" t="s">
        <v>462</v>
      </c>
      <c r="C152" s="23">
        <v>2610</v>
      </c>
      <c r="D152" s="147">
        <v>406.12</v>
      </c>
      <c r="E152" s="22">
        <v>321.83999999999997</v>
      </c>
      <c r="F152" s="22">
        <v>727.96</v>
      </c>
      <c r="G152" s="22">
        <v>0</v>
      </c>
      <c r="H152" s="22">
        <v>384</v>
      </c>
      <c r="I152" s="22">
        <v>12.32</v>
      </c>
      <c r="J152" s="22">
        <v>538.24</v>
      </c>
      <c r="K152" s="22">
        <v>9.93</v>
      </c>
      <c r="L152" s="22">
        <v>1.7</v>
      </c>
      <c r="M152" s="388">
        <v>10896.19</v>
      </c>
      <c r="N152" s="25">
        <v>0.29310000000000003</v>
      </c>
      <c r="O152" s="24">
        <v>352</v>
      </c>
      <c r="P152" s="24">
        <v>283</v>
      </c>
      <c r="Q152" s="24">
        <v>164.5</v>
      </c>
      <c r="R152" s="22">
        <v>118.5</v>
      </c>
      <c r="S152" s="24">
        <v>84</v>
      </c>
      <c r="T152" s="24">
        <f t="shared" si="10"/>
        <v>367</v>
      </c>
      <c r="U152" s="376">
        <v>3193.67</v>
      </c>
      <c r="V152" s="376">
        <v>544.80999999999995</v>
      </c>
      <c r="W152" s="22">
        <f t="shared" si="11"/>
        <v>936.06467700000007</v>
      </c>
      <c r="X152" s="22">
        <f t="shared" si="12"/>
        <v>1347.5</v>
      </c>
      <c r="Y152" s="22">
        <v>626</v>
      </c>
      <c r="Z152" s="22">
        <v>721.5</v>
      </c>
      <c r="AA152" s="371">
        <v>10243.16</v>
      </c>
      <c r="AB152" s="22">
        <v>0.13155120099656747</v>
      </c>
      <c r="AC152" s="24">
        <v>0</v>
      </c>
      <c r="AD152" s="384">
        <v>0</v>
      </c>
    </row>
    <row r="153" spans="1:30">
      <c r="A153" s="21" t="s">
        <v>459</v>
      </c>
      <c r="B153" s="21" t="s">
        <v>460</v>
      </c>
      <c r="C153" s="23">
        <v>572</v>
      </c>
      <c r="D153" s="147">
        <v>1.82</v>
      </c>
      <c r="E153" s="22">
        <v>128.52000000000001</v>
      </c>
      <c r="F153" s="22">
        <v>130.34</v>
      </c>
      <c r="G153" s="22">
        <v>0</v>
      </c>
      <c r="H153" s="22">
        <v>25</v>
      </c>
      <c r="I153" s="22">
        <v>1.3</v>
      </c>
      <c r="J153" s="22">
        <v>83.67</v>
      </c>
      <c r="K153" s="22">
        <v>0</v>
      </c>
      <c r="L153" s="22">
        <v>0</v>
      </c>
      <c r="M153" s="388">
        <v>1837.97</v>
      </c>
      <c r="N153" s="25">
        <v>0.38279999999999997</v>
      </c>
      <c r="O153" s="24">
        <v>22</v>
      </c>
      <c r="P153" s="24">
        <v>21</v>
      </c>
      <c r="Q153" s="24">
        <v>16.5</v>
      </c>
      <c r="R153" s="22">
        <v>4.5</v>
      </c>
      <c r="S153" s="24">
        <v>0</v>
      </c>
      <c r="T153" s="24">
        <f t="shared" si="10"/>
        <v>21</v>
      </c>
      <c r="U153" s="376">
        <v>703.57</v>
      </c>
      <c r="V153" s="376">
        <v>91.9</v>
      </c>
      <c r="W153" s="22">
        <f t="shared" si="11"/>
        <v>269.326596</v>
      </c>
      <c r="X153" s="22">
        <f t="shared" si="12"/>
        <v>230.5</v>
      </c>
      <c r="Y153" s="22">
        <v>185.25</v>
      </c>
      <c r="Z153" s="22">
        <v>45.25</v>
      </c>
      <c r="AA153" s="371">
        <v>1769.29</v>
      </c>
      <c r="AB153" s="22">
        <v>0.13027824720650658</v>
      </c>
      <c r="AC153" s="24">
        <v>0</v>
      </c>
      <c r="AD153" s="384">
        <v>0</v>
      </c>
    </row>
    <row r="154" spans="1:30">
      <c r="A154" s="21" t="s">
        <v>189</v>
      </c>
      <c r="B154" s="21" t="s">
        <v>190</v>
      </c>
      <c r="C154" s="23">
        <v>915</v>
      </c>
      <c r="D154" s="147">
        <v>16.190000000000001</v>
      </c>
      <c r="E154" s="22">
        <v>288.45</v>
      </c>
      <c r="F154" s="22">
        <v>304.64</v>
      </c>
      <c r="G154" s="22">
        <v>0</v>
      </c>
      <c r="H154" s="22">
        <v>54</v>
      </c>
      <c r="I154" s="22">
        <v>3.21</v>
      </c>
      <c r="J154" s="22">
        <v>12.61</v>
      </c>
      <c r="K154" s="22">
        <v>0</v>
      </c>
      <c r="L154" s="22">
        <v>0</v>
      </c>
      <c r="M154" s="388">
        <v>3987.82</v>
      </c>
      <c r="N154" s="25">
        <v>3.4500000000000003E-2</v>
      </c>
      <c r="O154" s="24">
        <v>0</v>
      </c>
      <c r="P154" s="24">
        <v>114.25</v>
      </c>
      <c r="Q154" s="24">
        <v>88.75</v>
      </c>
      <c r="R154" s="22">
        <v>25.5</v>
      </c>
      <c r="S154" s="24">
        <v>112</v>
      </c>
      <c r="T154" s="24">
        <f t="shared" si="10"/>
        <v>226.25</v>
      </c>
      <c r="U154" s="376">
        <v>137.58000000000001</v>
      </c>
      <c r="V154" s="376">
        <v>199.39</v>
      </c>
      <c r="W154" s="22">
        <f t="shared" si="11"/>
        <v>4.7465100000000007</v>
      </c>
      <c r="X154" s="22">
        <f t="shared" si="12"/>
        <v>388.25</v>
      </c>
      <c r="Y154" s="22">
        <v>260.25</v>
      </c>
      <c r="Z154" s="22">
        <v>128</v>
      </c>
      <c r="AA154" s="371">
        <v>4005.48</v>
      </c>
      <c r="AB154" s="22">
        <v>9.6929706302365762E-2</v>
      </c>
      <c r="AC154" s="24">
        <v>0</v>
      </c>
      <c r="AD154" s="384">
        <v>0</v>
      </c>
    </row>
    <row r="155" spans="1:30">
      <c r="A155" s="21" t="s">
        <v>547</v>
      </c>
      <c r="B155" s="21" t="s">
        <v>548</v>
      </c>
      <c r="C155" s="23">
        <v>444</v>
      </c>
      <c r="D155" s="147">
        <v>0</v>
      </c>
      <c r="E155" s="22">
        <v>61.67</v>
      </c>
      <c r="F155" s="22">
        <v>61.67</v>
      </c>
      <c r="G155" s="22">
        <v>0</v>
      </c>
      <c r="H155" s="22">
        <v>62</v>
      </c>
      <c r="I155" s="22">
        <v>2.4500000000000002</v>
      </c>
      <c r="J155" s="22">
        <v>224.32999999999998</v>
      </c>
      <c r="K155" s="22">
        <v>8.6999999999999993</v>
      </c>
      <c r="L155" s="22">
        <v>0.9</v>
      </c>
      <c r="M155" s="388">
        <v>1758.38</v>
      </c>
      <c r="N155" s="25">
        <v>0.37790000000000001</v>
      </c>
      <c r="O155" s="24">
        <v>0</v>
      </c>
      <c r="P155" s="24">
        <v>189.5</v>
      </c>
      <c r="Q155" s="24">
        <v>133.5</v>
      </c>
      <c r="R155" s="22">
        <v>56</v>
      </c>
      <c r="S155" s="24">
        <v>24</v>
      </c>
      <c r="T155" s="24">
        <f t="shared" si="10"/>
        <v>213.5</v>
      </c>
      <c r="U155" s="376">
        <v>664.49</v>
      </c>
      <c r="V155" s="376">
        <v>87.92</v>
      </c>
      <c r="W155" s="22">
        <f t="shared" si="11"/>
        <v>251.110771</v>
      </c>
      <c r="X155" s="22">
        <f t="shared" si="12"/>
        <v>191.25</v>
      </c>
      <c r="Y155" s="22">
        <v>134.25</v>
      </c>
      <c r="Z155" s="22">
        <v>57</v>
      </c>
      <c r="AA155" s="371">
        <v>1745.05</v>
      </c>
      <c r="AB155" s="22">
        <v>0.10959571358986848</v>
      </c>
      <c r="AC155" s="24">
        <v>0</v>
      </c>
      <c r="AD155" s="384">
        <v>0</v>
      </c>
    </row>
    <row r="156" spans="1:30">
      <c r="A156" s="21" t="s">
        <v>337</v>
      </c>
      <c r="B156" s="21" t="s">
        <v>338</v>
      </c>
      <c r="C156" s="23">
        <v>147</v>
      </c>
      <c r="D156" s="147">
        <v>0</v>
      </c>
      <c r="E156" s="22">
        <v>39.130000000000003</v>
      </c>
      <c r="F156" s="22">
        <v>39.130000000000003</v>
      </c>
      <c r="G156" s="22">
        <v>0</v>
      </c>
      <c r="H156" s="22">
        <v>10</v>
      </c>
      <c r="I156" s="22">
        <v>0.28000000000000003</v>
      </c>
      <c r="J156" s="22">
        <v>25.700000000000003</v>
      </c>
      <c r="K156" s="22">
        <v>0</v>
      </c>
      <c r="L156" s="22">
        <v>0</v>
      </c>
      <c r="M156" s="388">
        <v>654.98</v>
      </c>
      <c r="N156" s="25">
        <v>0.39369999999999999</v>
      </c>
      <c r="O156" s="24">
        <v>42</v>
      </c>
      <c r="P156" s="24">
        <v>24</v>
      </c>
      <c r="Q156" s="24">
        <v>16</v>
      </c>
      <c r="R156" s="22">
        <v>8</v>
      </c>
      <c r="S156" s="24">
        <v>3.25</v>
      </c>
      <c r="T156" s="24">
        <f t="shared" si="10"/>
        <v>27.25</v>
      </c>
      <c r="U156" s="376">
        <v>257.87</v>
      </c>
      <c r="V156" s="376">
        <v>32.75</v>
      </c>
      <c r="W156" s="22">
        <f t="shared" si="11"/>
        <v>101.523419</v>
      </c>
      <c r="X156" s="22">
        <f t="shared" si="12"/>
        <v>77.25</v>
      </c>
      <c r="Y156" s="22">
        <v>68.25</v>
      </c>
      <c r="Z156" s="22">
        <v>9</v>
      </c>
      <c r="AA156" s="371">
        <v>716.16</v>
      </c>
      <c r="AB156" s="22">
        <v>0.10786695710455764</v>
      </c>
      <c r="AC156" s="24">
        <v>0</v>
      </c>
      <c r="AD156" s="384">
        <v>0</v>
      </c>
    </row>
    <row r="157" spans="1:30">
      <c r="A157" s="21" t="s">
        <v>419</v>
      </c>
      <c r="B157" s="21" t="s">
        <v>420</v>
      </c>
      <c r="C157" s="23">
        <v>17</v>
      </c>
      <c r="D157" s="147">
        <v>0</v>
      </c>
      <c r="E157" s="22">
        <v>0</v>
      </c>
      <c r="F157" s="22">
        <v>0</v>
      </c>
      <c r="G157" s="22">
        <v>0</v>
      </c>
      <c r="H157" s="22">
        <v>0</v>
      </c>
      <c r="I157" s="22">
        <v>0</v>
      </c>
      <c r="J157" s="22">
        <v>0</v>
      </c>
      <c r="K157" s="22">
        <v>0</v>
      </c>
      <c r="L157" s="22">
        <v>0</v>
      </c>
      <c r="M157" s="388">
        <v>69</v>
      </c>
      <c r="N157" s="25">
        <v>0.51160000000000005</v>
      </c>
      <c r="O157" s="24">
        <v>34</v>
      </c>
      <c r="P157" s="24">
        <v>0</v>
      </c>
      <c r="Q157" s="24">
        <v>0</v>
      </c>
      <c r="R157" s="22">
        <v>0</v>
      </c>
      <c r="S157" s="24">
        <v>0</v>
      </c>
      <c r="T157" s="24">
        <f t="shared" si="10"/>
        <v>0</v>
      </c>
      <c r="U157" s="376">
        <v>35.299999999999997</v>
      </c>
      <c r="V157" s="376">
        <v>0</v>
      </c>
      <c r="W157" s="22">
        <f t="shared" si="11"/>
        <v>18.059480000000001</v>
      </c>
      <c r="X157" s="22">
        <f t="shared" si="12"/>
        <v>5.25</v>
      </c>
      <c r="Y157" s="22">
        <v>4.25</v>
      </c>
      <c r="Z157" s="22">
        <v>1</v>
      </c>
      <c r="AA157" s="371">
        <v>25.99</v>
      </c>
      <c r="AB157" s="22">
        <v>0.20200076952674106</v>
      </c>
      <c r="AC157" s="24">
        <v>6.7000769526741055E-2</v>
      </c>
      <c r="AD157" s="384">
        <v>-15843.349301675898</v>
      </c>
    </row>
    <row r="158" spans="1:30">
      <c r="A158" s="21" t="s">
        <v>437</v>
      </c>
      <c r="B158" s="21" t="s">
        <v>438</v>
      </c>
      <c r="C158" s="23">
        <v>1281</v>
      </c>
      <c r="D158" s="147">
        <v>74.430000000000007</v>
      </c>
      <c r="E158" s="22">
        <v>384.65</v>
      </c>
      <c r="F158" s="22">
        <v>459.08</v>
      </c>
      <c r="G158" s="22">
        <v>0</v>
      </c>
      <c r="H158" s="22">
        <v>195</v>
      </c>
      <c r="I158" s="22">
        <v>13.71</v>
      </c>
      <c r="J158" s="22">
        <v>763.31999999999994</v>
      </c>
      <c r="K158" s="22">
        <v>0</v>
      </c>
      <c r="L158" s="22">
        <v>0</v>
      </c>
      <c r="M158" s="388">
        <v>5827.03</v>
      </c>
      <c r="N158" s="25">
        <v>0.31219999999999998</v>
      </c>
      <c r="O158" s="24">
        <v>595</v>
      </c>
      <c r="P158" s="24">
        <v>661.25</v>
      </c>
      <c r="Q158" s="24">
        <v>432.5</v>
      </c>
      <c r="R158" s="22">
        <v>228.75</v>
      </c>
      <c r="S158" s="24">
        <v>118.5</v>
      </c>
      <c r="T158" s="24">
        <f t="shared" si="10"/>
        <v>779.75</v>
      </c>
      <c r="U158" s="376">
        <v>1814.54</v>
      </c>
      <c r="V158" s="376">
        <v>291.35000000000002</v>
      </c>
      <c r="W158" s="22">
        <f t="shared" si="11"/>
        <v>566.49938799999995</v>
      </c>
      <c r="X158" s="22">
        <f t="shared" si="12"/>
        <v>708</v>
      </c>
      <c r="Y158" s="22">
        <v>546</v>
      </c>
      <c r="Z158" s="22">
        <v>162</v>
      </c>
      <c r="AA158" s="371">
        <v>5847.81</v>
      </c>
      <c r="AB158" s="22">
        <v>0.12107096502793352</v>
      </c>
      <c r="AC158" s="24">
        <v>0</v>
      </c>
      <c r="AD158" s="384">
        <v>0</v>
      </c>
    </row>
    <row r="159" spans="1:30">
      <c r="A159" s="21" t="s">
        <v>149</v>
      </c>
      <c r="B159" s="21" t="s">
        <v>150</v>
      </c>
      <c r="C159" s="23">
        <v>366</v>
      </c>
      <c r="D159" s="147">
        <v>21.92</v>
      </c>
      <c r="E159" s="22">
        <v>146.30000000000001</v>
      </c>
      <c r="F159" s="22">
        <v>168.22000000000003</v>
      </c>
      <c r="G159" s="22">
        <v>0</v>
      </c>
      <c r="H159" s="22">
        <v>40</v>
      </c>
      <c r="I159" s="22">
        <v>2.3199999999999998</v>
      </c>
      <c r="J159" s="22">
        <v>0</v>
      </c>
      <c r="K159" s="22">
        <v>12</v>
      </c>
      <c r="L159" s="22">
        <v>0</v>
      </c>
      <c r="M159" s="388">
        <v>1372.32</v>
      </c>
      <c r="N159" s="25">
        <v>0.3649</v>
      </c>
      <c r="O159" s="24">
        <v>0</v>
      </c>
      <c r="P159" s="24">
        <v>24</v>
      </c>
      <c r="Q159" s="24">
        <v>15</v>
      </c>
      <c r="R159" s="22">
        <v>9</v>
      </c>
      <c r="S159" s="24">
        <v>8</v>
      </c>
      <c r="T159" s="24">
        <f t="shared" si="10"/>
        <v>32</v>
      </c>
      <c r="U159" s="376">
        <v>500.76</v>
      </c>
      <c r="V159" s="376">
        <v>68.62</v>
      </c>
      <c r="W159" s="22">
        <f t="shared" si="11"/>
        <v>182.72732400000001</v>
      </c>
      <c r="X159" s="22">
        <f t="shared" si="12"/>
        <v>190</v>
      </c>
      <c r="Y159" s="22">
        <v>102.25</v>
      </c>
      <c r="Z159" s="22">
        <v>87.75</v>
      </c>
      <c r="AA159" s="371">
        <v>1356.66</v>
      </c>
      <c r="AB159" s="22">
        <v>0.14004982825468429</v>
      </c>
      <c r="AC159" s="24">
        <v>5.0498282546842799E-3</v>
      </c>
      <c r="AD159" s="384">
        <v>-64016.905010085698</v>
      </c>
    </row>
    <row r="160" spans="1:30">
      <c r="A160" s="21" t="s">
        <v>277</v>
      </c>
      <c r="B160" s="21" t="s">
        <v>278</v>
      </c>
      <c r="C160" s="23">
        <v>95</v>
      </c>
      <c r="D160" s="147">
        <v>26.31</v>
      </c>
      <c r="E160" s="22">
        <v>55.96</v>
      </c>
      <c r="F160" s="22">
        <v>82.27</v>
      </c>
      <c r="G160" s="22">
        <v>0</v>
      </c>
      <c r="H160" s="22">
        <v>6</v>
      </c>
      <c r="I160" s="22">
        <v>1.9</v>
      </c>
      <c r="J160" s="22">
        <v>0</v>
      </c>
      <c r="K160" s="22">
        <v>1</v>
      </c>
      <c r="L160" s="22">
        <v>0</v>
      </c>
      <c r="M160" s="388">
        <v>313.89999999999998</v>
      </c>
      <c r="N160" s="25">
        <v>0.59050000000000002</v>
      </c>
      <c r="O160" s="24">
        <v>388</v>
      </c>
      <c r="P160" s="24">
        <v>0</v>
      </c>
      <c r="Q160" s="24">
        <v>0</v>
      </c>
      <c r="R160" s="22">
        <v>0</v>
      </c>
      <c r="S160" s="24">
        <v>0</v>
      </c>
      <c r="T160" s="24">
        <f t="shared" si="10"/>
        <v>0</v>
      </c>
      <c r="U160" s="376">
        <v>185.36</v>
      </c>
      <c r="V160" s="376">
        <v>15.7</v>
      </c>
      <c r="W160" s="22">
        <f t="shared" si="11"/>
        <v>109.45508000000001</v>
      </c>
      <c r="X160" s="22">
        <f t="shared" si="12"/>
        <v>44.5</v>
      </c>
      <c r="Y160" s="22">
        <v>30</v>
      </c>
      <c r="Z160" s="22">
        <v>14.5</v>
      </c>
      <c r="AA160" s="371">
        <v>380.56</v>
      </c>
      <c r="AB160" s="22">
        <v>0.11693294092915703</v>
      </c>
      <c r="AC160" s="24">
        <v>0</v>
      </c>
      <c r="AD160" s="384">
        <v>0</v>
      </c>
    </row>
    <row r="161" spans="1:30">
      <c r="A161" s="21" t="s">
        <v>133</v>
      </c>
      <c r="B161" s="21" t="s">
        <v>134</v>
      </c>
      <c r="C161" s="23">
        <v>2306</v>
      </c>
      <c r="D161" s="147">
        <v>33.65</v>
      </c>
      <c r="E161" s="22">
        <v>416.27</v>
      </c>
      <c r="F161" s="22">
        <v>449.91999999999996</v>
      </c>
      <c r="G161" s="22">
        <v>210</v>
      </c>
      <c r="H161" s="22">
        <v>250</v>
      </c>
      <c r="I161" s="22">
        <v>12.59</v>
      </c>
      <c r="J161" s="22">
        <v>184.47</v>
      </c>
      <c r="K161" s="22">
        <v>103.56</v>
      </c>
      <c r="L161" s="22">
        <v>0</v>
      </c>
      <c r="M161" s="388">
        <v>8642.619999999999</v>
      </c>
      <c r="N161" s="25">
        <v>0.63880000000000003</v>
      </c>
      <c r="O161" s="24">
        <v>7591</v>
      </c>
      <c r="P161" s="24">
        <v>1095.5</v>
      </c>
      <c r="Q161" s="24">
        <v>653.25</v>
      </c>
      <c r="R161" s="22">
        <v>442.25</v>
      </c>
      <c r="S161" s="24">
        <v>303.75</v>
      </c>
      <c r="T161" s="24">
        <f t="shared" si="10"/>
        <v>1399.25</v>
      </c>
      <c r="U161" s="376">
        <v>5520.91</v>
      </c>
      <c r="V161" s="376">
        <v>432.13</v>
      </c>
      <c r="W161" s="22">
        <f t="shared" si="11"/>
        <v>3526.7573080000002</v>
      </c>
      <c r="X161" s="22">
        <f t="shared" si="12"/>
        <v>1115.75</v>
      </c>
      <c r="Y161" s="22">
        <v>750.75</v>
      </c>
      <c r="Z161" s="22">
        <v>365</v>
      </c>
      <c r="AA161" s="371">
        <v>8286.33</v>
      </c>
      <c r="AB161" s="22">
        <v>0.13464947690956069</v>
      </c>
      <c r="AC161" s="24">
        <v>0</v>
      </c>
      <c r="AD161" s="384">
        <v>0</v>
      </c>
    </row>
    <row r="162" spans="1:30">
      <c r="A162" s="21" t="s">
        <v>275</v>
      </c>
      <c r="B162" s="21" t="s">
        <v>276</v>
      </c>
      <c r="C162" s="23">
        <v>150</v>
      </c>
      <c r="D162" s="147">
        <v>14.56</v>
      </c>
      <c r="E162" s="22">
        <v>34.28</v>
      </c>
      <c r="F162" s="22">
        <v>48.84</v>
      </c>
      <c r="G162" s="22">
        <v>0</v>
      </c>
      <c r="H162" s="22">
        <v>8</v>
      </c>
      <c r="I162" s="22">
        <v>0.17</v>
      </c>
      <c r="J162" s="22">
        <v>13.36</v>
      </c>
      <c r="K162" s="22">
        <v>0</v>
      </c>
      <c r="L162" s="22">
        <v>0</v>
      </c>
      <c r="M162" s="388">
        <v>532.53</v>
      </c>
      <c r="N162" s="25">
        <v>0.65010000000000001</v>
      </c>
      <c r="O162" s="24">
        <v>583</v>
      </c>
      <c r="P162" s="24">
        <v>54.75</v>
      </c>
      <c r="Q162" s="24">
        <v>30.25</v>
      </c>
      <c r="R162" s="22">
        <v>24.5</v>
      </c>
      <c r="S162" s="24">
        <v>10</v>
      </c>
      <c r="T162" s="24">
        <f t="shared" si="10"/>
        <v>64.75</v>
      </c>
      <c r="U162" s="376">
        <v>346.2</v>
      </c>
      <c r="V162" s="376">
        <v>26.63</v>
      </c>
      <c r="W162" s="22">
        <f t="shared" si="11"/>
        <v>225.06461999999999</v>
      </c>
      <c r="X162" s="22">
        <f t="shared" si="12"/>
        <v>91.25</v>
      </c>
      <c r="Y162" s="22">
        <v>42.5</v>
      </c>
      <c r="Z162" s="22">
        <v>48.75</v>
      </c>
      <c r="AA162" s="371">
        <v>576.91999999999996</v>
      </c>
      <c r="AB162" s="22">
        <v>0.15816751022672121</v>
      </c>
      <c r="AC162" s="24">
        <v>2.31675102267212E-2</v>
      </c>
      <c r="AD162" s="384">
        <v>-122635.26465630846</v>
      </c>
    </row>
    <row r="163" spans="1:30">
      <c r="A163" s="21" t="s">
        <v>609</v>
      </c>
      <c r="B163" s="21" t="s">
        <v>610</v>
      </c>
      <c r="C163" s="23">
        <v>254</v>
      </c>
      <c r="D163" s="147">
        <v>2.3199999999999998</v>
      </c>
      <c r="E163" s="22">
        <v>22.8</v>
      </c>
      <c r="F163" s="22">
        <v>25.12</v>
      </c>
      <c r="G163" s="22">
        <v>0</v>
      </c>
      <c r="H163" s="22">
        <v>0</v>
      </c>
      <c r="I163" s="22">
        <v>0.38</v>
      </c>
      <c r="J163" s="22">
        <v>21.599999999999998</v>
      </c>
      <c r="K163" s="22">
        <v>1.2</v>
      </c>
      <c r="L163" s="22">
        <v>0</v>
      </c>
      <c r="M163" s="388">
        <v>850.18000000000006</v>
      </c>
      <c r="N163" s="25">
        <v>0.996</v>
      </c>
      <c r="O163" s="24">
        <v>818</v>
      </c>
      <c r="P163" s="24">
        <v>124.5</v>
      </c>
      <c r="Q163" s="24">
        <v>75.5</v>
      </c>
      <c r="R163" s="22">
        <v>49</v>
      </c>
      <c r="S163" s="24">
        <v>17</v>
      </c>
      <c r="T163" s="24">
        <f t="shared" si="10"/>
        <v>141.5</v>
      </c>
      <c r="U163" s="376">
        <v>846.78</v>
      </c>
      <c r="V163" s="376">
        <v>42.51</v>
      </c>
      <c r="W163" s="22">
        <f t="shared" si="11"/>
        <v>843.39287999999999</v>
      </c>
      <c r="X163" s="22">
        <f t="shared" si="12"/>
        <v>122.5</v>
      </c>
      <c r="Y163" s="22">
        <v>71</v>
      </c>
      <c r="Z163" s="22">
        <v>51.5</v>
      </c>
      <c r="AA163" s="371">
        <v>823.08</v>
      </c>
      <c r="AB163" s="22">
        <v>0.14883121932254459</v>
      </c>
      <c r="AC163" s="24">
        <v>1.383121932254458E-2</v>
      </c>
      <c r="AD163" s="384">
        <v>-104952.81957986072</v>
      </c>
    </row>
    <row r="164" spans="1:30">
      <c r="A164" s="21" t="s">
        <v>551</v>
      </c>
      <c r="B164" s="21" t="s">
        <v>552</v>
      </c>
      <c r="C164" s="23">
        <v>487</v>
      </c>
      <c r="D164" s="147">
        <v>7.49</v>
      </c>
      <c r="E164" s="22">
        <v>87.8</v>
      </c>
      <c r="F164" s="22">
        <v>95.289999999999992</v>
      </c>
      <c r="G164" s="22">
        <v>0</v>
      </c>
      <c r="H164" s="22">
        <v>50</v>
      </c>
      <c r="I164" s="22">
        <v>3.7</v>
      </c>
      <c r="J164" s="22">
        <v>80.45</v>
      </c>
      <c r="K164" s="22">
        <v>14.37</v>
      </c>
      <c r="L164" s="22">
        <v>0.43</v>
      </c>
      <c r="M164" s="388">
        <v>1752.95</v>
      </c>
      <c r="N164" s="25">
        <v>0.55310000000000004</v>
      </c>
      <c r="O164" s="24">
        <v>1292</v>
      </c>
      <c r="P164" s="24">
        <v>87.25</v>
      </c>
      <c r="Q164" s="24">
        <v>51.25</v>
      </c>
      <c r="R164" s="22">
        <v>36</v>
      </c>
      <c r="S164" s="24">
        <v>17</v>
      </c>
      <c r="T164" s="24">
        <f t="shared" si="10"/>
        <v>104.25</v>
      </c>
      <c r="U164" s="376">
        <v>969.56</v>
      </c>
      <c r="V164" s="376">
        <v>87.65</v>
      </c>
      <c r="W164" s="22">
        <f t="shared" si="11"/>
        <v>536.26363600000002</v>
      </c>
      <c r="X164" s="22">
        <f t="shared" si="12"/>
        <v>285.75</v>
      </c>
      <c r="Y164" s="22">
        <v>207.75</v>
      </c>
      <c r="Z164" s="22">
        <v>78</v>
      </c>
      <c r="AA164" s="371">
        <v>1642.18</v>
      </c>
      <c r="AB164" s="22">
        <v>0.17400650355015893</v>
      </c>
      <c r="AC164" s="24">
        <v>3.9006503550158916E-2</v>
      </c>
      <c r="AD164" s="384">
        <v>-640056.05178953591</v>
      </c>
    </row>
    <row r="165" spans="1:30">
      <c r="A165" s="21" t="s">
        <v>417</v>
      </c>
      <c r="B165" s="21" t="s">
        <v>418</v>
      </c>
      <c r="C165" s="23">
        <v>31</v>
      </c>
      <c r="D165" s="147">
        <v>0</v>
      </c>
      <c r="E165" s="22">
        <v>0</v>
      </c>
      <c r="F165" s="22">
        <v>0</v>
      </c>
      <c r="G165" s="22">
        <v>0</v>
      </c>
      <c r="H165" s="22">
        <v>0</v>
      </c>
      <c r="I165" s="22">
        <v>0</v>
      </c>
      <c r="J165" s="22">
        <v>0</v>
      </c>
      <c r="K165" s="22">
        <v>0</v>
      </c>
      <c r="L165" s="22">
        <v>0</v>
      </c>
      <c r="M165" s="388">
        <v>63</v>
      </c>
      <c r="N165" s="25">
        <v>0.22409999999999999</v>
      </c>
      <c r="O165" s="24">
        <v>0</v>
      </c>
      <c r="P165" s="24">
        <v>0</v>
      </c>
      <c r="Q165" s="24">
        <v>0</v>
      </c>
      <c r="R165" s="22">
        <v>0</v>
      </c>
      <c r="S165" s="24">
        <v>0</v>
      </c>
      <c r="T165" s="24">
        <f t="shared" si="10"/>
        <v>0</v>
      </c>
      <c r="U165" s="376">
        <v>14.12</v>
      </c>
      <c r="V165" s="376">
        <v>3.15</v>
      </c>
      <c r="W165" s="22">
        <f t="shared" si="11"/>
        <v>3.1642919999999997</v>
      </c>
      <c r="X165" s="22">
        <f t="shared" si="12"/>
        <v>4.5</v>
      </c>
      <c r="Y165" s="22">
        <v>4.5</v>
      </c>
      <c r="Z165" s="22">
        <v>0</v>
      </c>
      <c r="AA165" s="371">
        <v>59.8</v>
      </c>
      <c r="AB165" s="22">
        <v>7.5250836120401343E-2</v>
      </c>
      <c r="AC165" s="24">
        <v>0</v>
      </c>
      <c r="AD165" s="384">
        <v>0</v>
      </c>
    </row>
    <row r="166" spans="1:30">
      <c r="A166" s="21" t="s">
        <v>413</v>
      </c>
      <c r="B166" s="21" t="s">
        <v>414</v>
      </c>
      <c r="C166" s="23">
        <v>1889</v>
      </c>
      <c r="D166" s="147">
        <v>0</v>
      </c>
      <c r="E166" s="22">
        <v>421.29</v>
      </c>
      <c r="F166" s="22">
        <v>421.29</v>
      </c>
      <c r="G166" s="22">
        <v>191.36</v>
      </c>
      <c r="H166" s="22">
        <v>140</v>
      </c>
      <c r="I166" s="22">
        <v>6.42</v>
      </c>
      <c r="J166" s="22">
        <v>403.72</v>
      </c>
      <c r="K166" s="22">
        <v>23.2</v>
      </c>
      <c r="L166" s="22">
        <v>0</v>
      </c>
      <c r="M166" s="388">
        <v>6856.34</v>
      </c>
      <c r="N166" s="25">
        <v>0.63229999999999997</v>
      </c>
      <c r="O166" s="24">
        <v>6111</v>
      </c>
      <c r="P166" s="24">
        <v>1568.5</v>
      </c>
      <c r="Q166" s="24">
        <v>989.25</v>
      </c>
      <c r="R166" s="22">
        <v>579.25</v>
      </c>
      <c r="S166" s="24">
        <v>182.75</v>
      </c>
      <c r="T166" s="24">
        <f t="shared" si="10"/>
        <v>1751.25</v>
      </c>
      <c r="U166" s="376">
        <v>4335.26</v>
      </c>
      <c r="V166" s="376">
        <v>342.82</v>
      </c>
      <c r="W166" s="22">
        <f t="shared" si="11"/>
        <v>2741.184898</v>
      </c>
      <c r="X166" s="22">
        <f t="shared" si="12"/>
        <v>858</v>
      </c>
      <c r="Y166" s="22">
        <v>514</v>
      </c>
      <c r="Z166" s="22">
        <v>344</v>
      </c>
      <c r="AA166" s="371">
        <v>6418.03</v>
      </c>
      <c r="AB166" s="22">
        <v>0.13368588180485289</v>
      </c>
      <c r="AC166" s="24">
        <v>0</v>
      </c>
      <c r="AD166" s="384">
        <v>0</v>
      </c>
    </row>
    <row r="167" spans="1:30">
      <c r="A167" s="21" t="s">
        <v>223</v>
      </c>
      <c r="B167" s="21" t="s">
        <v>224</v>
      </c>
      <c r="C167" s="23">
        <v>160.19999999999999</v>
      </c>
      <c r="D167" s="147">
        <v>0.27</v>
      </c>
      <c r="E167" s="22">
        <v>6.56</v>
      </c>
      <c r="F167" s="22">
        <v>6.83</v>
      </c>
      <c r="G167" s="22">
        <v>0</v>
      </c>
      <c r="H167" s="22">
        <v>2.69</v>
      </c>
      <c r="I167" s="22">
        <v>0.33</v>
      </c>
      <c r="J167" s="22">
        <v>0</v>
      </c>
      <c r="K167" s="22">
        <v>0</v>
      </c>
      <c r="L167" s="22">
        <v>0</v>
      </c>
      <c r="M167" s="388">
        <v>526.33000000000015</v>
      </c>
      <c r="N167" s="25">
        <v>0.82310000000000005</v>
      </c>
      <c r="O167" s="24">
        <v>520</v>
      </c>
      <c r="P167" s="24">
        <v>0</v>
      </c>
      <c r="Q167" s="24">
        <v>0</v>
      </c>
      <c r="R167" s="22">
        <v>0</v>
      </c>
      <c r="S167" s="24">
        <v>0</v>
      </c>
      <c r="T167" s="24">
        <f t="shared" si="10"/>
        <v>0</v>
      </c>
      <c r="U167" s="376">
        <v>433.22</v>
      </c>
      <c r="V167" s="376">
        <v>0</v>
      </c>
      <c r="W167" s="22">
        <f t="shared" si="11"/>
        <v>356.58338200000003</v>
      </c>
      <c r="X167" s="22">
        <f t="shared" si="12"/>
        <v>0</v>
      </c>
      <c r="Y167" s="22">
        <v>0</v>
      </c>
      <c r="Z167" s="22">
        <v>0</v>
      </c>
      <c r="AA167" s="371">
        <v>526.87</v>
      </c>
      <c r="AB167" s="22">
        <v>0</v>
      </c>
      <c r="AC167" s="24">
        <v>0</v>
      </c>
      <c r="AD167" s="384">
        <v>0</v>
      </c>
    </row>
    <row r="168" spans="1:30">
      <c r="A168" s="21" t="s">
        <v>427</v>
      </c>
      <c r="B168" s="21" t="s">
        <v>428</v>
      </c>
      <c r="C168" s="23">
        <v>4675</v>
      </c>
      <c r="D168" s="147">
        <v>166.94</v>
      </c>
      <c r="E168" s="22">
        <v>554.14</v>
      </c>
      <c r="F168" s="22">
        <v>721.07999999999993</v>
      </c>
      <c r="G168" s="22">
        <v>482.67</v>
      </c>
      <c r="H168" s="22">
        <v>337</v>
      </c>
      <c r="I168" s="22">
        <v>26.01</v>
      </c>
      <c r="J168" s="22">
        <v>0</v>
      </c>
      <c r="K168" s="22">
        <v>37.4</v>
      </c>
      <c r="L168" s="22">
        <v>0</v>
      </c>
      <c r="M168" s="388">
        <v>15538.41</v>
      </c>
      <c r="N168" s="25">
        <v>0.49730000000000002</v>
      </c>
      <c r="O168" s="24">
        <v>8691</v>
      </c>
      <c r="P168" s="24">
        <v>3253.75</v>
      </c>
      <c r="Q168" s="24">
        <v>2258.25</v>
      </c>
      <c r="R168" s="22">
        <v>995.5</v>
      </c>
      <c r="S168" s="24">
        <v>546.75</v>
      </c>
      <c r="T168" s="24">
        <f t="shared" si="10"/>
        <v>3800.5</v>
      </c>
      <c r="U168" s="376">
        <v>7728.81</v>
      </c>
      <c r="V168" s="376">
        <v>776.92</v>
      </c>
      <c r="W168" s="22">
        <f t="shared" si="11"/>
        <v>3843.5372130000005</v>
      </c>
      <c r="X168" s="22">
        <f t="shared" si="12"/>
        <v>1979</v>
      </c>
      <c r="Y168" s="22">
        <v>1223.25</v>
      </c>
      <c r="Z168" s="22">
        <v>755.75</v>
      </c>
      <c r="AA168" s="371">
        <v>14647.94</v>
      </c>
      <c r="AB168" s="22">
        <v>0.13510432183638107</v>
      </c>
      <c r="AC168" s="24">
        <v>1.0432183638106607E-4</v>
      </c>
      <c r="AD168" s="384">
        <v>-15949.085751009914</v>
      </c>
    </row>
    <row r="169" spans="1:30">
      <c r="A169" s="21" t="s">
        <v>583</v>
      </c>
      <c r="B169" s="21" t="s">
        <v>584</v>
      </c>
      <c r="C169" s="23">
        <v>368</v>
      </c>
      <c r="D169" s="147">
        <v>20.63</v>
      </c>
      <c r="E169" s="22">
        <v>63.17</v>
      </c>
      <c r="F169" s="22">
        <v>83.8</v>
      </c>
      <c r="G169" s="22">
        <v>0</v>
      </c>
      <c r="H169" s="22">
        <v>21</v>
      </c>
      <c r="I169" s="22">
        <v>2.65</v>
      </c>
      <c r="J169" s="22">
        <v>40.160000000000004</v>
      </c>
      <c r="K169" s="22">
        <v>2.8</v>
      </c>
      <c r="L169" s="22">
        <v>0</v>
      </c>
      <c r="M169" s="388">
        <v>1237.6100000000001</v>
      </c>
      <c r="N169" s="25">
        <v>0.52549999999999997</v>
      </c>
      <c r="O169" s="24">
        <v>841</v>
      </c>
      <c r="P169" s="24">
        <v>72.75</v>
      </c>
      <c r="Q169" s="24">
        <v>41</v>
      </c>
      <c r="R169" s="22">
        <v>31.75</v>
      </c>
      <c r="S169" s="24">
        <v>26.25</v>
      </c>
      <c r="T169" s="24">
        <f t="shared" si="10"/>
        <v>99</v>
      </c>
      <c r="U169" s="376">
        <v>647.89</v>
      </c>
      <c r="V169" s="376">
        <v>61.88</v>
      </c>
      <c r="W169" s="22">
        <f t="shared" si="11"/>
        <v>340.46619499999997</v>
      </c>
      <c r="X169" s="22">
        <f t="shared" si="12"/>
        <v>158.25</v>
      </c>
      <c r="Y169" s="22">
        <v>120.75</v>
      </c>
      <c r="Z169" s="22">
        <v>37.5</v>
      </c>
      <c r="AA169" s="371">
        <v>1237.22</v>
      </c>
      <c r="AB169" s="22">
        <v>0.12790772861738414</v>
      </c>
      <c r="AC169" s="24">
        <v>0</v>
      </c>
      <c r="AD169" s="384">
        <v>0</v>
      </c>
    </row>
    <row r="170" spans="1:30">
      <c r="A170" s="21" t="s">
        <v>271</v>
      </c>
      <c r="B170" s="21" t="s">
        <v>272</v>
      </c>
      <c r="C170" s="23">
        <v>192</v>
      </c>
      <c r="D170" s="147">
        <v>42.48</v>
      </c>
      <c r="E170" s="22">
        <v>77.87</v>
      </c>
      <c r="F170" s="22">
        <v>120.35</v>
      </c>
      <c r="G170" s="22">
        <v>0</v>
      </c>
      <c r="H170" s="22">
        <v>29</v>
      </c>
      <c r="I170" s="22">
        <v>1.45</v>
      </c>
      <c r="J170" s="22">
        <v>0.8</v>
      </c>
      <c r="K170" s="22">
        <v>2.4</v>
      </c>
      <c r="L170" s="22">
        <v>0</v>
      </c>
      <c r="M170" s="388">
        <v>760.65</v>
      </c>
      <c r="N170" s="25">
        <v>0.46410000000000001</v>
      </c>
      <c r="O170" s="24">
        <v>0</v>
      </c>
      <c r="P170" s="24">
        <v>18</v>
      </c>
      <c r="Q170" s="24">
        <v>12</v>
      </c>
      <c r="R170" s="22">
        <v>6</v>
      </c>
      <c r="S170" s="24">
        <v>2.75</v>
      </c>
      <c r="T170" s="24">
        <f t="shared" si="10"/>
        <v>20.75</v>
      </c>
      <c r="U170" s="376">
        <v>353.02</v>
      </c>
      <c r="V170" s="376">
        <v>38.03</v>
      </c>
      <c r="W170" s="22">
        <f t="shared" si="11"/>
        <v>163.83658199999999</v>
      </c>
      <c r="X170" s="22">
        <f t="shared" si="12"/>
        <v>76.75</v>
      </c>
      <c r="Y170" s="22">
        <v>52.75</v>
      </c>
      <c r="Z170" s="22">
        <v>24</v>
      </c>
      <c r="AA170" s="371">
        <v>770.63</v>
      </c>
      <c r="AB170" s="22">
        <v>9.9593838807209692E-2</v>
      </c>
      <c r="AC170" s="24">
        <v>0</v>
      </c>
      <c r="AD170" s="384">
        <v>0</v>
      </c>
    </row>
    <row r="171" spans="1:30">
      <c r="A171" s="21" t="s">
        <v>349</v>
      </c>
      <c r="B171" s="21" t="s">
        <v>350</v>
      </c>
      <c r="C171" s="23">
        <v>66</v>
      </c>
      <c r="D171" s="147">
        <v>2.02</v>
      </c>
      <c r="E171" s="22">
        <v>10.82</v>
      </c>
      <c r="F171" s="22">
        <v>12.84</v>
      </c>
      <c r="G171" s="22">
        <v>0</v>
      </c>
      <c r="H171" s="22">
        <v>9</v>
      </c>
      <c r="I171" s="22">
        <v>0.71</v>
      </c>
      <c r="J171" s="22">
        <v>0</v>
      </c>
      <c r="K171" s="22">
        <v>0</v>
      </c>
      <c r="L171" s="22">
        <v>0</v>
      </c>
      <c r="M171" s="388">
        <v>286.70999999999998</v>
      </c>
      <c r="N171" s="25">
        <v>0.52969999999999995</v>
      </c>
      <c r="O171" s="24">
        <v>319</v>
      </c>
      <c r="P171" s="24">
        <v>13</v>
      </c>
      <c r="Q171" s="24">
        <v>2</v>
      </c>
      <c r="R171" s="22">
        <v>11</v>
      </c>
      <c r="S171" s="24">
        <v>0</v>
      </c>
      <c r="T171" s="24">
        <f t="shared" si="10"/>
        <v>13</v>
      </c>
      <c r="U171" s="376">
        <v>151.87</v>
      </c>
      <c r="V171" s="376">
        <v>14.34</v>
      </c>
      <c r="W171" s="22">
        <f t="shared" si="11"/>
        <v>80.445538999999997</v>
      </c>
      <c r="X171" s="22">
        <f t="shared" si="12"/>
        <v>41.75</v>
      </c>
      <c r="Y171" s="22">
        <v>25.5</v>
      </c>
      <c r="Z171" s="22">
        <v>16.25</v>
      </c>
      <c r="AA171" s="371">
        <v>312.37</v>
      </c>
      <c r="AB171" s="22">
        <v>0.13365560072990365</v>
      </c>
      <c r="AC171" s="24">
        <v>0</v>
      </c>
      <c r="AD171" s="384">
        <v>0</v>
      </c>
    </row>
    <row r="172" spans="1:30">
      <c r="A172" s="21" t="s">
        <v>327</v>
      </c>
      <c r="B172" s="21" t="s">
        <v>328</v>
      </c>
      <c r="C172" s="23">
        <v>47</v>
      </c>
      <c r="D172" s="147">
        <v>0</v>
      </c>
      <c r="E172" s="22">
        <v>0</v>
      </c>
      <c r="F172" s="22">
        <v>0</v>
      </c>
      <c r="G172" s="22">
        <v>0</v>
      </c>
      <c r="H172" s="22">
        <v>0</v>
      </c>
      <c r="I172" s="22">
        <v>0</v>
      </c>
      <c r="J172" s="22">
        <v>0</v>
      </c>
      <c r="K172" s="22">
        <v>0</v>
      </c>
      <c r="L172" s="22">
        <v>0</v>
      </c>
      <c r="M172" s="388">
        <v>115</v>
      </c>
      <c r="N172" s="25">
        <v>1</v>
      </c>
      <c r="O172" s="24">
        <v>130</v>
      </c>
      <c r="P172" s="24">
        <v>0</v>
      </c>
      <c r="Q172" s="24">
        <v>0</v>
      </c>
      <c r="R172" s="22">
        <v>0</v>
      </c>
      <c r="S172" s="24">
        <v>0</v>
      </c>
      <c r="T172" s="24">
        <f t="shared" si="10"/>
        <v>0</v>
      </c>
      <c r="U172" s="376">
        <v>115</v>
      </c>
      <c r="V172" s="376">
        <v>0</v>
      </c>
      <c r="W172" s="22">
        <f t="shared" si="11"/>
        <v>115</v>
      </c>
      <c r="X172" s="22">
        <f t="shared" si="12"/>
        <v>25.5</v>
      </c>
      <c r="Y172" s="22">
        <v>25</v>
      </c>
      <c r="Z172" s="22">
        <v>0.5</v>
      </c>
      <c r="AA172" s="371">
        <v>128.4</v>
      </c>
      <c r="AB172" s="22">
        <v>0.19859813084112149</v>
      </c>
      <c r="AC172" s="24">
        <v>6.3598130841121481E-2</v>
      </c>
      <c r="AD172" s="384">
        <v>-76994.505735782339</v>
      </c>
    </row>
    <row r="173" spans="1:30">
      <c r="A173" s="21" t="s">
        <v>355</v>
      </c>
      <c r="B173" s="21" t="s">
        <v>356</v>
      </c>
      <c r="C173" s="23">
        <v>260</v>
      </c>
      <c r="D173" s="147">
        <v>31.55</v>
      </c>
      <c r="E173" s="22">
        <v>101.91</v>
      </c>
      <c r="F173" s="22">
        <v>133.46</v>
      </c>
      <c r="G173" s="22">
        <v>0</v>
      </c>
      <c r="H173" s="22">
        <v>25</v>
      </c>
      <c r="I173" s="22">
        <v>0.5</v>
      </c>
      <c r="J173" s="22">
        <v>108.42</v>
      </c>
      <c r="K173" s="22">
        <v>0</v>
      </c>
      <c r="L173" s="22">
        <v>0</v>
      </c>
      <c r="M173" s="388">
        <v>1097.92</v>
      </c>
      <c r="N173" s="25">
        <v>0.60260000000000002</v>
      </c>
      <c r="O173" s="24">
        <v>992</v>
      </c>
      <c r="P173" s="24">
        <v>0</v>
      </c>
      <c r="Q173" s="24">
        <v>0</v>
      </c>
      <c r="R173" s="22">
        <v>0</v>
      </c>
      <c r="S173" s="24">
        <v>0</v>
      </c>
      <c r="T173" s="24">
        <f t="shared" si="10"/>
        <v>0</v>
      </c>
      <c r="U173" s="376">
        <v>661.61</v>
      </c>
      <c r="V173" s="376">
        <v>54.9</v>
      </c>
      <c r="W173" s="22">
        <f t="shared" si="11"/>
        <v>398.68618600000002</v>
      </c>
      <c r="X173" s="22">
        <f t="shared" si="12"/>
        <v>168.75</v>
      </c>
      <c r="Y173" s="22">
        <v>59.5</v>
      </c>
      <c r="Z173" s="22">
        <v>109.25</v>
      </c>
      <c r="AA173" s="371">
        <v>1023.4</v>
      </c>
      <c r="AB173" s="22">
        <v>0.16489153801055306</v>
      </c>
      <c r="AC173" s="24">
        <v>2.9891538010553054E-2</v>
      </c>
      <c r="AD173" s="384">
        <v>-277826.04338070762</v>
      </c>
    </row>
    <row r="174" spans="1:30">
      <c r="A174" s="21" t="s">
        <v>457</v>
      </c>
      <c r="B174" s="21" t="s">
        <v>458</v>
      </c>
      <c r="C174" s="23">
        <v>344</v>
      </c>
      <c r="D174" s="147">
        <v>2.48</v>
      </c>
      <c r="E174" s="22">
        <v>96.56</v>
      </c>
      <c r="F174" s="22">
        <v>99.04</v>
      </c>
      <c r="G174" s="22">
        <v>0</v>
      </c>
      <c r="H174" s="22">
        <v>65</v>
      </c>
      <c r="I174" s="22">
        <v>1.7</v>
      </c>
      <c r="J174" s="22">
        <v>53.800000000000004</v>
      </c>
      <c r="K174" s="22">
        <v>0.86</v>
      </c>
      <c r="L174" s="22">
        <v>0</v>
      </c>
      <c r="M174" s="388">
        <v>1335.36</v>
      </c>
      <c r="N174" s="25">
        <v>0.2505</v>
      </c>
      <c r="O174" s="24">
        <v>0</v>
      </c>
      <c r="P174" s="24">
        <v>10.75</v>
      </c>
      <c r="Q174" s="24">
        <v>5.25</v>
      </c>
      <c r="R174" s="22">
        <v>5.5</v>
      </c>
      <c r="S174" s="24">
        <v>0</v>
      </c>
      <c r="T174" s="24">
        <f t="shared" si="10"/>
        <v>10.75</v>
      </c>
      <c r="U174" s="376">
        <v>334.51</v>
      </c>
      <c r="V174" s="376">
        <v>66.77</v>
      </c>
      <c r="W174" s="22">
        <f t="shared" si="11"/>
        <v>83.794754999999995</v>
      </c>
      <c r="X174" s="22">
        <f t="shared" si="12"/>
        <v>183.5</v>
      </c>
      <c r="Y174" s="22">
        <v>111.5</v>
      </c>
      <c r="Z174" s="22">
        <v>72</v>
      </c>
      <c r="AA174" s="371">
        <v>1399.49</v>
      </c>
      <c r="AB174" s="22">
        <v>0.1311191934204603</v>
      </c>
      <c r="AC174" s="24">
        <v>0</v>
      </c>
      <c r="AD174" s="384">
        <v>0</v>
      </c>
    </row>
    <row r="175" spans="1:30">
      <c r="A175" s="21" t="s">
        <v>549</v>
      </c>
      <c r="B175" s="21" t="s">
        <v>550</v>
      </c>
      <c r="C175" s="23">
        <v>671</v>
      </c>
      <c r="D175" s="147">
        <v>12.82</v>
      </c>
      <c r="E175" s="22">
        <v>74.8</v>
      </c>
      <c r="F175" s="22">
        <v>87.62</v>
      </c>
      <c r="G175" s="22">
        <v>0</v>
      </c>
      <c r="H175" s="22">
        <v>30</v>
      </c>
      <c r="I175" s="22">
        <v>2.1800000000000002</v>
      </c>
      <c r="J175" s="22">
        <v>0</v>
      </c>
      <c r="K175" s="22">
        <v>5.71</v>
      </c>
      <c r="L175" s="22">
        <v>0.89</v>
      </c>
      <c r="M175" s="388">
        <v>2049.7799999999997</v>
      </c>
      <c r="N175" s="25">
        <v>0.5454</v>
      </c>
      <c r="O175" s="24">
        <v>1455</v>
      </c>
      <c r="P175" s="24">
        <v>243.5</v>
      </c>
      <c r="Q175" s="24">
        <v>162.25</v>
      </c>
      <c r="R175" s="22">
        <v>81.25</v>
      </c>
      <c r="S175" s="24">
        <v>37</v>
      </c>
      <c r="T175" s="24">
        <f t="shared" si="10"/>
        <v>280.5</v>
      </c>
      <c r="U175" s="376">
        <v>1117.95</v>
      </c>
      <c r="V175" s="376">
        <v>102.49</v>
      </c>
      <c r="W175" s="22">
        <f t="shared" si="11"/>
        <v>609.72992999999997</v>
      </c>
      <c r="X175" s="22">
        <f t="shared" si="12"/>
        <v>275.75</v>
      </c>
      <c r="Y175" s="22">
        <v>187.5</v>
      </c>
      <c r="Z175" s="22">
        <v>88.25</v>
      </c>
      <c r="AA175" s="371">
        <v>1801.72</v>
      </c>
      <c r="AB175" s="22">
        <v>0.15304819838820682</v>
      </c>
      <c r="AC175" s="24">
        <v>1.8048198388206815E-2</v>
      </c>
      <c r="AD175" s="384">
        <v>-315380.75735638512</v>
      </c>
    </row>
    <row r="176" spans="1:30">
      <c r="A176" s="21" t="s">
        <v>145</v>
      </c>
      <c r="B176" s="21" t="s">
        <v>146</v>
      </c>
      <c r="C176" s="23">
        <v>228</v>
      </c>
      <c r="D176" s="147">
        <v>14.74</v>
      </c>
      <c r="E176" s="22">
        <v>24.34</v>
      </c>
      <c r="F176" s="22">
        <v>39.08</v>
      </c>
      <c r="G176" s="22">
        <v>0</v>
      </c>
      <c r="H176" s="22">
        <v>13</v>
      </c>
      <c r="I176" s="22">
        <v>1.08</v>
      </c>
      <c r="J176" s="22">
        <v>0</v>
      </c>
      <c r="K176" s="22">
        <v>3.2</v>
      </c>
      <c r="L176" s="22">
        <v>0</v>
      </c>
      <c r="M176" s="388">
        <v>737.28000000000009</v>
      </c>
      <c r="N176" s="25">
        <v>0.75539999999999996</v>
      </c>
      <c r="O176" s="24">
        <v>736</v>
      </c>
      <c r="P176" s="24">
        <v>17.75</v>
      </c>
      <c r="Q176" s="24">
        <v>13.75</v>
      </c>
      <c r="R176" s="22">
        <v>4</v>
      </c>
      <c r="S176" s="24">
        <v>6</v>
      </c>
      <c r="T176" s="24">
        <f t="shared" si="10"/>
        <v>23.75</v>
      </c>
      <c r="U176" s="376">
        <v>556.94000000000005</v>
      </c>
      <c r="V176" s="376">
        <v>36.86</v>
      </c>
      <c r="W176" s="22">
        <f t="shared" si="11"/>
        <v>420.71247600000004</v>
      </c>
      <c r="X176" s="22">
        <f t="shared" si="12"/>
        <v>123.5</v>
      </c>
      <c r="Y176" s="22">
        <v>90</v>
      </c>
      <c r="Z176" s="22">
        <v>33.5</v>
      </c>
      <c r="AA176" s="371">
        <v>724.35</v>
      </c>
      <c r="AB176" s="22">
        <v>0.17049768758197004</v>
      </c>
      <c r="AC176" s="24">
        <v>3.5497687581970028E-2</v>
      </c>
      <c r="AD176" s="384">
        <v>-238052.62051018357</v>
      </c>
    </row>
    <row r="177" spans="1:30">
      <c r="A177" s="21" t="s">
        <v>113</v>
      </c>
      <c r="B177" s="21" t="s">
        <v>114</v>
      </c>
      <c r="C177" s="23">
        <v>603</v>
      </c>
      <c r="D177" s="147">
        <v>7.41</v>
      </c>
      <c r="E177" s="22">
        <v>104.04</v>
      </c>
      <c r="F177" s="22">
        <v>111.45</v>
      </c>
      <c r="G177" s="22">
        <v>0</v>
      </c>
      <c r="H177" s="22">
        <v>32</v>
      </c>
      <c r="I177" s="22">
        <v>1.1000000000000001</v>
      </c>
      <c r="J177" s="22">
        <v>37.9</v>
      </c>
      <c r="K177" s="22">
        <v>3</v>
      </c>
      <c r="L177" s="22">
        <v>0</v>
      </c>
      <c r="M177" s="388">
        <v>2057</v>
      </c>
      <c r="N177" s="25">
        <v>0.75470000000000004</v>
      </c>
      <c r="O177" s="24">
        <v>2065</v>
      </c>
      <c r="P177" s="24">
        <v>721</v>
      </c>
      <c r="Q177" s="24">
        <v>430.75</v>
      </c>
      <c r="R177" s="22">
        <v>290.25</v>
      </c>
      <c r="S177" s="24">
        <v>105.75</v>
      </c>
      <c r="T177" s="24">
        <f t="shared" si="10"/>
        <v>826.75</v>
      </c>
      <c r="U177" s="376">
        <v>1552.42</v>
      </c>
      <c r="V177" s="376">
        <v>102.85</v>
      </c>
      <c r="W177" s="22">
        <f t="shared" si="11"/>
        <v>1171.6113740000001</v>
      </c>
      <c r="X177" s="22">
        <f t="shared" si="12"/>
        <v>288.25</v>
      </c>
      <c r="Y177" s="22">
        <v>152.25</v>
      </c>
      <c r="Z177" s="22">
        <v>136</v>
      </c>
      <c r="AA177" s="371">
        <v>2060.73</v>
      </c>
      <c r="AB177" s="22">
        <v>0.13987761618455596</v>
      </c>
      <c r="AC177" s="24">
        <v>4.8776161845559551E-3</v>
      </c>
      <c r="AD177" s="384">
        <v>-92554.978125517067</v>
      </c>
    </row>
    <row r="178" spans="1:30">
      <c r="A178" s="21" t="s">
        <v>231</v>
      </c>
      <c r="B178" s="21" t="s">
        <v>232</v>
      </c>
      <c r="C178" s="23">
        <v>1749</v>
      </c>
      <c r="D178" s="147">
        <v>85.33</v>
      </c>
      <c r="E178" s="22">
        <v>262.3</v>
      </c>
      <c r="F178" s="22">
        <v>347.63</v>
      </c>
      <c r="G178" s="22">
        <v>0</v>
      </c>
      <c r="H178" s="22">
        <v>220</v>
      </c>
      <c r="I178" s="22">
        <v>7.82</v>
      </c>
      <c r="J178" s="22">
        <v>222.51</v>
      </c>
      <c r="K178" s="22">
        <v>0</v>
      </c>
      <c r="L178" s="22">
        <v>0</v>
      </c>
      <c r="M178" s="388">
        <v>5637.33</v>
      </c>
      <c r="N178" s="25">
        <v>0.33160000000000001</v>
      </c>
      <c r="O178" s="24">
        <v>335</v>
      </c>
      <c r="P178" s="24">
        <v>238.5</v>
      </c>
      <c r="Q178" s="24">
        <v>164.75</v>
      </c>
      <c r="R178" s="22">
        <v>73.75</v>
      </c>
      <c r="S178" s="24">
        <v>43</v>
      </c>
      <c r="T178" s="24">
        <f t="shared" si="10"/>
        <v>281.5</v>
      </c>
      <c r="U178" s="376">
        <v>1869.34</v>
      </c>
      <c r="V178" s="376">
        <v>281.87</v>
      </c>
      <c r="W178" s="22">
        <f t="shared" si="11"/>
        <v>619.87314400000002</v>
      </c>
      <c r="X178" s="22">
        <f t="shared" si="12"/>
        <v>707.5</v>
      </c>
      <c r="Y178" s="22">
        <v>486.5</v>
      </c>
      <c r="Z178" s="22">
        <v>221</v>
      </c>
      <c r="AA178" s="371">
        <v>5480.32</v>
      </c>
      <c r="AB178" s="22">
        <v>0.12909830082914867</v>
      </c>
      <c r="AC178" s="24">
        <v>0</v>
      </c>
      <c r="AD178" s="384">
        <v>0</v>
      </c>
    </row>
    <row r="179" spans="1:30">
      <c r="A179" s="21" t="s">
        <v>323</v>
      </c>
      <c r="B179" s="21" t="s">
        <v>324</v>
      </c>
      <c r="C179" s="23">
        <v>607</v>
      </c>
      <c r="D179" s="147">
        <v>84.23</v>
      </c>
      <c r="E179" s="22">
        <v>150.52000000000001</v>
      </c>
      <c r="F179" s="22">
        <v>234.75</v>
      </c>
      <c r="G179" s="22">
        <v>0</v>
      </c>
      <c r="H179" s="22">
        <v>63</v>
      </c>
      <c r="I179" s="22">
        <v>3.85</v>
      </c>
      <c r="J179" s="22">
        <v>152.79</v>
      </c>
      <c r="K179" s="22">
        <v>0</v>
      </c>
      <c r="L179" s="22">
        <v>0</v>
      </c>
      <c r="M179" s="388">
        <v>2313.64</v>
      </c>
      <c r="N179" s="25">
        <v>0.56899999999999995</v>
      </c>
      <c r="O179" s="24">
        <v>1439</v>
      </c>
      <c r="P179" s="24">
        <v>301.5</v>
      </c>
      <c r="Q179" s="24">
        <v>185.75</v>
      </c>
      <c r="R179" s="22">
        <v>115.75</v>
      </c>
      <c r="S179" s="24">
        <v>30</v>
      </c>
      <c r="T179" s="24">
        <f t="shared" si="10"/>
        <v>331.5</v>
      </c>
      <c r="U179" s="376">
        <v>1316.46</v>
      </c>
      <c r="V179" s="376">
        <v>115.68</v>
      </c>
      <c r="W179" s="22">
        <f t="shared" si="11"/>
        <v>749.06574000000001</v>
      </c>
      <c r="X179" s="22">
        <f t="shared" si="12"/>
        <v>340.75</v>
      </c>
      <c r="Y179" s="22">
        <v>266</v>
      </c>
      <c r="Z179" s="22">
        <v>74.75</v>
      </c>
      <c r="AA179" s="371">
        <v>2277.7399999999998</v>
      </c>
      <c r="AB179" s="22">
        <v>0.14960004214704051</v>
      </c>
      <c r="AC179" s="24">
        <v>1.4600042147040498E-2</v>
      </c>
      <c r="AD179" s="384">
        <v>-318605.95485394727</v>
      </c>
    </row>
    <row r="180" spans="1:30">
      <c r="A180" s="21" t="s">
        <v>353</v>
      </c>
      <c r="B180" s="21" t="s">
        <v>354</v>
      </c>
      <c r="C180" s="23">
        <v>18</v>
      </c>
      <c r="D180" s="147">
        <v>0</v>
      </c>
      <c r="E180" s="22">
        <v>0</v>
      </c>
      <c r="F180" s="22">
        <v>0</v>
      </c>
      <c r="G180" s="22">
        <v>0</v>
      </c>
      <c r="H180" s="22">
        <v>2</v>
      </c>
      <c r="I180" s="22">
        <v>0</v>
      </c>
      <c r="J180" s="22">
        <v>0</v>
      </c>
      <c r="K180" s="22">
        <v>0</v>
      </c>
      <c r="L180" s="22">
        <v>0</v>
      </c>
      <c r="M180" s="388">
        <v>74</v>
      </c>
      <c r="N180" s="25">
        <v>0.70589999999999997</v>
      </c>
      <c r="O180" s="24">
        <v>88</v>
      </c>
      <c r="P180" s="24">
        <v>0</v>
      </c>
      <c r="Q180" s="24">
        <v>0</v>
      </c>
      <c r="R180" s="22">
        <v>0</v>
      </c>
      <c r="S180" s="24">
        <v>0</v>
      </c>
      <c r="T180" s="24">
        <f t="shared" si="10"/>
        <v>0</v>
      </c>
      <c r="U180" s="376">
        <v>52.24</v>
      </c>
      <c r="V180" s="376">
        <v>0</v>
      </c>
      <c r="W180" s="22">
        <f t="shared" si="11"/>
        <v>36.876215999999999</v>
      </c>
      <c r="X180" s="22">
        <f t="shared" si="12"/>
        <v>8.5</v>
      </c>
      <c r="Y180" s="22">
        <v>8.25</v>
      </c>
      <c r="Z180" s="22">
        <v>0.25</v>
      </c>
      <c r="AA180" s="371">
        <v>86.43</v>
      </c>
      <c r="AB180" s="22">
        <v>9.834548189286127E-2</v>
      </c>
      <c r="AC180" s="24">
        <v>0</v>
      </c>
      <c r="AD180" s="384">
        <v>0</v>
      </c>
    </row>
    <row r="181" spans="1:30">
      <c r="A181" s="21" t="s">
        <v>509</v>
      </c>
      <c r="B181" s="21" t="s">
        <v>510</v>
      </c>
      <c r="C181" s="23">
        <v>4589</v>
      </c>
      <c r="D181" s="147">
        <v>224.06</v>
      </c>
      <c r="E181" s="22">
        <v>799.18</v>
      </c>
      <c r="F181" s="22">
        <v>1023.24</v>
      </c>
      <c r="G181" s="22">
        <v>0</v>
      </c>
      <c r="H181" s="22">
        <v>370</v>
      </c>
      <c r="I181" s="22">
        <v>31.37</v>
      </c>
      <c r="J181" s="22">
        <v>647.01</v>
      </c>
      <c r="K181" s="22">
        <v>72.8</v>
      </c>
      <c r="L181" s="22">
        <v>0</v>
      </c>
      <c r="M181" s="388">
        <v>15495.18</v>
      </c>
      <c r="N181" s="25">
        <v>0.43209999999999998</v>
      </c>
      <c r="O181" s="24">
        <v>3403</v>
      </c>
      <c r="P181" s="24">
        <v>867</v>
      </c>
      <c r="Q181" s="24">
        <v>584.75</v>
      </c>
      <c r="R181" s="22">
        <v>282.25</v>
      </c>
      <c r="S181" s="24">
        <v>155</v>
      </c>
      <c r="T181" s="24">
        <f t="shared" si="10"/>
        <v>1022</v>
      </c>
      <c r="U181" s="376">
        <v>6690.82</v>
      </c>
      <c r="V181" s="376">
        <v>774.76</v>
      </c>
      <c r="W181" s="22">
        <f t="shared" si="11"/>
        <v>2891.1033219999999</v>
      </c>
      <c r="X181" s="22">
        <f t="shared" si="12"/>
        <v>2119.75</v>
      </c>
      <c r="Y181" s="22">
        <v>1235.5</v>
      </c>
      <c r="Z181" s="22">
        <v>884.25</v>
      </c>
      <c r="AA181" s="371">
        <v>14884.12</v>
      </c>
      <c r="AB181" s="22">
        <v>0.14241688457228241</v>
      </c>
      <c r="AC181" s="24">
        <v>7.4168845722824006E-3</v>
      </c>
      <c r="AD181" s="384">
        <v>-1040966.8170474612</v>
      </c>
    </row>
    <row r="182" spans="1:30">
      <c r="A182" s="21" t="s">
        <v>503</v>
      </c>
      <c r="B182" s="21" t="s">
        <v>504</v>
      </c>
      <c r="C182" s="23">
        <v>30</v>
      </c>
      <c r="D182" s="147">
        <v>0</v>
      </c>
      <c r="E182" s="22">
        <v>6.96</v>
      </c>
      <c r="F182" s="22">
        <v>6.96</v>
      </c>
      <c r="G182" s="22">
        <v>0</v>
      </c>
      <c r="H182" s="22">
        <v>2</v>
      </c>
      <c r="I182" s="22">
        <v>0.42</v>
      </c>
      <c r="J182" s="22">
        <v>106.76</v>
      </c>
      <c r="K182" s="22">
        <v>0</v>
      </c>
      <c r="L182" s="22">
        <v>0</v>
      </c>
      <c r="M182" s="388">
        <v>245.18</v>
      </c>
      <c r="N182" s="25">
        <v>0.66810000000000003</v>
      </c>
      <c r="O182" s="24">
        <v>150</v>
      </c>
      <c r="P182" s="24">
        <v>0</v>
      </c>
      <c r="Q182" s="24">
        <v>0</v>
      </c>
      <c r="R182" s="22">
        <v>0</v>
      </c>
      <c r="S182" s="24">
        <v>0</v>
      </c>
      <c r="T182" s="24">
        <f t="shared" si="10"/>
        <v>0</v>
      </c>
      <c r="U182" s="376">
        <v>163.80000000000001</v>
      </c>
      <c r="V182" s="376">
        <v>0</v>
      </c>
      <c r="W182" s="22">
        <f t="shared" si="11"/>
        <v>109.43478000000002</v>
      </c>
      <c r="X182" s="22">
        <f t="shared" si="12"/>
        <v>24.25</v>
      </c>
      <c r="Y182" s="22">
        <v>20.75</v>
      </c>
      <c r="Z182" s="22">
        <v>3.5</v>
      </c>
      <c r="AA182" s="371">
        <v>251.67</v>
      </c>
      <c r="AB182" s="22">
        <v>9.6356339651130454E-2</v>
      </c>
      <c r="AC182" s="24">
        <v>0</v>
      </c>
      <c r="AD182" s="384">
        <v>0</v>
      </c>
    </row>
    <row r="183" spans="1:30">
      <c r="A183" s="21" t="s">
        <v>219</v>
      </c>
      <c r="B183" s="21" t="s">
        <v>220</v>
      </c>
      <c r="C183" s="23">
        <v>7009</v>
      </c>
      <c r="D183" s="147">
        <v>204.85</v>
      </c>
      <c r="E183" s="22">
        <v>874.87</v>
      </c>
      <c r="F183" s="22">
        <v>1079.72</v>
      </c>
      <c r="G183" s="22">
        <v>0</v>
      </c>
      <c r="H183" s="22">
        <v>450</v>
      </c>
      <c r="I183" s="22">
        <v>20.440000000000001</v>
      </c>
      <c r="J183" s="22">
        <v>592.69999999999993</v>
      </c>
      <c r="K183" s="22">
        <v>4.2</v>
      </c>
      <c r="L183" s="22">
        <v>0</v>
      </c>
      <c r="M183" s="388">
        <v>23466.34</v>
      </c>
      <c r="N183" s="25">
        <v>0.14480000000000001</v>
      </c>
      <c r="O183" s="24">
        <v>0</v>
      </c>
      <c r="P183" s="24">
        <v>2078.75</v>
      </c>
      <c r="Q183" s="24">
        <v>1565.5</v>
      </c>
      <c r="R183" s="22">
        <v>513.25</v>
      </c>
      <c r="S183" s="24">
        <v>552.75</v>
      </c>
      <c r="T183" s="24">
        <f t="shared" si="10"/>
        <v>2631.5</v>
      </c>
      <c r="U183" s="376">
        <v>3327.53</v>
      </c>
      <c r="V183" s="376">
        <v>1173.32</v>
      </c>
      <c r="W183" s="22">
        <f t="shared" si="11"/>
        <v>481.82634400000006</v>
      </c>
      <c r="X183" s="22">
        <f t="shared" si="12"/>
        <v>2620.75</v>
      </c>
      <c r="Y183" s="22">
        <v>1695.25</v>
      </c>
      <c r="Z183" s="22">
        <v>925.5</v>
      </c>
      <c r="AA183" s="371">
        <v>22589.87</v>
      </c>
      <c r="AB183" s="22">
        <v>0.11601439052106099</v>
      </c>
      <c r="AC183" s="24">
        <v>0</v>
      </c>
      <c r="AD183" s="384">
        <v>0</v>
      </c>
    </row>
    <row r="184" spans="1:30">
      <c r="A184" s="21" t="s">
        <v>167</v>
      </c>
      <c r="B184" s="21" t="s">
        <v>168</v>
      </c>
      <c r="C184" s="23">
        <v>1582</v>
      </c>
      <c r="D184" s="147">
        <v>46.11</v>
      </c>
      <c r="E184" s="22">
        <v>415.88</v>
      </c>
      <c r="F184" s="22">
        <v>461.99</v>
      </c>
      <c r="G184" s="22">
        <v>0</v>
      </c>
      <c r="H184" s="22">
        <v>110</v>
      </c>
      <c r="I184" s="22">
        <v>3.49</v>
      </c>
      <c r="J184" s="22">
        <v>293.84999999999997</v>
      </c>
      <c r="K184" s="22">
        <v>9.4</v>
      </c>
      <c r="L184" s="22">
        <v>0</v>
      </c>
      <c r="M184" s="388">
        <v>5366.74</v>
      </c>
      <c r="N184" s="25">
        <v>0.3856</v>
      </c>
      <c r="O184" s="24">
        <v>879</v>
      </c>
      <c r="P184" s="24">
        <v>207.5</v>
      </c>
      <c r="Q184" s="24">
        <v>117.25</v>
      </c>
      <c r="R184" s="22">
        <v>90.25</v>
      </c>
      <c r="S184" s="24">
        <v>38</v>
      </c>
      <c r="T184" s="24">
        <f t="shared" si="10"/>
        <v>245.5</v>
      </c>
      <c r="U184" s="376">
        <v>2069.41</v>
      </c>
      <c r="V184" s="376">
        <v>268.33999999999997</v>
      </c>
      <c r="W184" s="22">
        <f t="shared" si="11"/>
        <v>797.96449599999994</v>
      </c>
      <c r="X184" s="22">
        <f t="shared" si="12"/>
        <v>889.5</v>
      </c>
      <c r="Y184" s="22">
        <v>500.5</v>
      </c>
      <c r="Z184" s="22">
        <v>389</v>
      </c>
      <c r="AA184" s="371">
        <v>5501.48</v>
      </c>
      <c r="AB184" s="22">
        <v>0.16168376509593782</v>
      </c>
      <c r="AC184" s="24">
        <v>2.6683765095937811E-2</v>
      </c>
      <c r="AD184" s="384">
        <v>-1471169.4211206755</v>
      </c>
    </row>
    <row r="185" spans="1:30">
      <c r="A185" s="21" t="s">
        <v>579</v>
      </c>
      <c r="B185" s="21" t="s">
        <v>580</v>
      </c>
      <c r="C185" s="23">
        <v>40</v>
      </c>
      <c r="D185" s="147">
        <v>0.61</v>
      </c>
      <c r="E185" s="22">
        <v>5.38</v>
      </c>
      <c r="F185" s="22">
        <v>5.99</v>
      </c>
      <c r="G185" s="22">
        <v>0</v>
      </c>
      <c r="H185" s="22">
        <v>3</v>
      </c>
      <c r="I185" s="22">
        <v>0</v>
      </c>
      <c r="J185" s="22">
        <v>0</v>
      </c>
      <c r="K185" s="22">
        <v>0</v>
      </c>
      <c r="L185" s="22">
        <v>0</v>
      </c>
      <c r="M185" s="388">
        <v>133</v>
      </c>
      <c r="N185" s="25">
        <v>0.3987</v>
      </c>
      <c r="O185" s="24">
        <v>0</v>
      </c>
      <c r="P185" s="24">
        <v>0</v>
      </c>
      <c r="Q185" s="24">
        <v>0</v>
      </c>
      <c r="R185" s="22">
        <v>0</v>
      </c>
      <c r="S185" s="24">
        <v>0</v>
      </c>
      <c r="T185" s="24">
        <f t="shared" si="10"/>
        <v>0</v>
      </c>
      <c r="U185" s="376">
        <v>53.03</v>
      </c>
      <c r="V185" s="376">
        <v>0</v>
      </c>
      <c r="W185" s="22">
        <f t="shared" si="11"/>
        <v>21.143060999999999</v>
      </c>
      <c r="X185" s="22">
        <f t="shared" si="12"/>
        <v>19.25</v>
      </c>
      <c r="Y185" s="22">
        <v>10.5</v>
      </c>
      <c r="Z185" s="22">
        <v>8.75</v>
      </c>
      <c r="AA185" s="371">
        <v>147.47999999999999</v>
      </c>
      <c r="AB185" s="22">
        <v>0.13052617304041228</v>
      </c>
      <c r="AC185" s="24">
        <v>0</v>
      </c>
      <c r="AD185" s="384">
        <v>0</v>
      </c>
    </row>
    <row r="186" spans="1:30">
      <c r="A186" s="21" t="s">
        <v>165</v>
      </c>
      <c r="B186" s="21" t="s">
        <v>166</v>
      </c>
      <c r="C186" s="23">
        <v>107</v>
      </c>
      <c r="D186" s="147">
        <v>8.4</v>
      </c>
      <c r="E186" s="22">
        <v>20.329999999999998</v>
      </c>
      <c r="F186" s="22">
        <v>28.729999999999997</v>
      </c>
      <c r="G186" s="22">
        <v>0</v>
      </c>
      <c r="H186" s="22">
        <v>5</v>
      </c>
      <c r="I186" s="22">
        <v>1.1499999999999999</v>
      </c>
      <c r="J186" s="22">
        <v>24.700000000000003</v>
      </c>
      <c r="K186" s="22">
        <v>2.8</v>
      </c>
      <c r="L186" s="22">
        <v>0</v>
      </c>
      <c r="M186" s="388">
        <v>301.64999999999998</v>
      </c>
      <c r="N186" s="25">
        <v>0.749</v>
      </c>
      <c r="O186" s="24">
        <v>297</v>
      </c>
      <c r="P186" s="24">
        <v>6</v>
      </c>
      <c r="Q186" s="24">
        <v>3</v>
      </c>
      <c r="R186" s="22">
        <v>3</v>
      </c>
      <c r="S186" s="24">
        <v>0</v>
      </c>
      <c r="T186" s="24">
        <f t="shared" si="10"/>
        <v>6</v>
      </c>
      <c r="U186" s="376">
        <v>225.94</v>
      </c>
      <c r="V186" s="376">
        <v>15.08</v>
      </c>
      <c r="W186" s="22">
        <f t="shared" si="11"/>
        <v>169.22906</v>
      </c>
      <c r="X186" s="22">
        <f t="shared" si="12"/>
        <v>58.75</v>
      </c>
      <c r="Y186" s="22">
        <v>51.5</v>
      </c>
      <c r="Z186" s="22">
        <v>7.25</v>
      </c>
      <c r="AA186" s="371">
        <v>332.59</v>
      </c>
      <c r="AB186" s="22">
        <v>0.17664391593252957</v>
      </c>
      <c r="AC186" s="24">
        <v>4.1643915932529557E-2</v>
      </c>
      <c r="AD186" s="384">
        <v>-130697.03413248733</v>
      </c>
    </row>
    <row r="187" spans="1:30">
      <c r="A187" s="21" t="s">
        <v>343</v>
      </c>
      <c r="B187" s="21" t="s">
        <v>344</v>
      </c>
      <c r="C187" s="23">
        <v>265</v>
      </c>
      <c r="D187" s="147">
        <v>0</v>
      </c>
      <c r="E187" s="22">
        <v>83.38</v>
      </c>
      <c r="F187" s="22">
        <v>83.38</v>
      </c>
      <c r="G187" s="22">
        <v>0</v>
      </c>
      <c r="H187" s="22">
        <v>20</v>
      </c>
      <c r="I187" s="22">
        <v>0.44</v>
      </c>
      <c r="J187" s="22">
        <v>91.15</v>
      </c>
      <c r="K187" s="22">
        <v>3.6</v>
      </c>
      <c r="L187" s="22">
        <v>0</v>
      </c>
      <c r="M187" s="388">
        <v>1012.19</v>
      </c>
      <c r="N187" s="25">
        <v>0.64239999999999997</v>
      </c>
      <c r="O187" s="24">
        <v>1021</v>
      </c>
      <c r="P187" s="24">
        <v>45.75</v>
      </c>
      <c r="Q187" s="24">
        <v>26.5</v>
      </c>
      <c r="R187" s="22">
        <v>19.25</v>
      </c>
      <c r="S187" s="24">
        <v>0</v>
      </c>
      <c r="T187" s="24">
        <f t="shared" si="10"/>
        <v>45.75</v>
      </c>
      <c r="U187" s="376">
        <v>650.23</v>
      </c>
      <c r="V187" s="376">
        <v>50.61</v>
      </c>
      <c r="W187" s="22">
        <f t="shared" si="11"/>
        <v>417.70775199999997</v>
      </c>
      <c r="X187" s="22">
        <f t="shared" si="12"/>
        <v>230.5</v>
      </c>
      <c r="Y187" s="22">
        <v>173.75</v>
      </c>
      <c r="Z187" s="22">
        <v>56.75</v>
      </c>
      <c r="AA187" s="371">
        <v>1024.17</v>
      </c>
      <c r="AB187" s="22">
        <v>0.2250602927248406</v>
      </c>
      <c r="AC187" s="24">
        <v>9.006029272484059E-2</v>
      </c>
      <c r="AD187" s="384">
        <v>-846816.99940840458</v>
      </c>
    </row>
    <row r="188" spans="1:30">
      <c r="A188" s="21" t="s">
        <v>163</v>
      </c>
      <c r="B188" s="21" t="s">
        <v>164</v>
      </c>
      <c r="C188" s="23">
        <v>141</v>
      </c>
      <c r="D188" s="147">
        <v>14.69</v>
      </c>
      <c r="E188" s="22">
        <v>29.37</v>
      </c>
      <c r="F188" s="22">
        <v>44.06</v>
      </c>
      <c r="G188" s="22">
        <v>0</v>
      </c>
      <c r="H188" s="22">
        <v>25</v>
      </c>
      <c r="I188" s="22">
        <v>0.97</v>
      </c>
      <c r="J188" s="22">
        <v>21.23</v>
      </c>
      <c r="K188" s="22">
        <v>2.2000000000000002</v>
      </c>
      <c r="L188" s="22">
        <v>0</v>
      </c>
      <c r="M188" s="388">
        <v>610.40000000000009</v>
      </c>
      <c r="N188" s="25">
        <v>0.76590000000000003</v>
      </c>
      <c r="O188" s="24">
        <v>589</v>
      </c>
      <c r="P188" s="24">
        <v>50.5</v>
      </c>
      <c r="Q188" s="24">
        <v>31.5</v>
      </c>
      <c r="R188" s="22">
        <v>19</v>
      </c>
      <c r="S188" s="24">
        <v>2</v>
      </c>
      <c r="T188" s="24">
        <f t="shared" si="10"/>
        <v>52.5</v>
      </c>
      <c r="U188" s="376">
        <v>467.51</v>
      </c>
      <c r="V188" s="376">
        <v>30.52</v>
      </c>
      <c r="W188" s="22">
        <f t="shared" si="11"/>
        <v>358.06590899999998</v>
      </c>
      <c r="X188" s="22">
        <f t="shared" si="12"/>
        <v>67.25</v>
      </c>
      <c r="Y188" s="22">
        <v>57.5</v>
      </c>
      <c r="Z188" s="22">
        <v>9.75</v>
      </c>
      <c r="AA188" s="371">
        <v>568.65</v>
      </c>
      <c r="AB188" s="22">
        <v>0.11826255165743428</v>
      </c>
      <c r="AC188" s="24">
        <v>0</v>
      </c>
      <c r="AD188" s="384">
        <v>0</v>
      </c>
    </row>
    <row r="189" spans="1:30">
      <c r="A189" s="21" t="s">
        <v>305</v>
      </c>
      <c r="B189" s="21" t="s">
        <v>306</v>
      </c>
      <c r="C189" s="23">
        <v>57</v>
      </c>
      <c r="D189" s="147">
        <v>0</v>
      </c>
      <c r="E189" s="22">
        <v>13.98</v>
      </c>
      <c r="F189" s="22">
        <v>13.98</v>
      </c>
      <c r="G189" s="22">
        <v>0</v>
      </c>
      <c r="H189" s="22">
        <v>3</v>
      </c>
      <c r="I189" s="22">
        <v>0</v>
      </c>
      <c r="J189" s="22">
        <v>0</v>
      </c>
      <c r="K189" s="22">
        <v>0</v>
      </c>
      <c r="L189" s="22">
        <v>0</v>
      </c>
      <c r="M189" s="388">
        <v>213</v>
      </c>
      <c r="N189" s="25">
        <v>0.53200000000000003</v>
      </c>
      <c r="O189" s="24">
        <v>107</v>
      </c>
      <c r="P189" s="24">
        <v>0</v>
      </c>
      <c r="Q189" s="24">
        <v>0</v>
      </c>
      <c r="R189" s="22">
        <v>0</v>
      </c>
      <c r="S189" s="24">
        <v>0</v>
      </c>
      <c r="T189" s="24">
        <f t="shared" si="10"/>
        <v>0</v>
      </c>
      <c r="U189" s="376">
        <v>113.32</v>
      </c>
      <c r="V189" s="376">
        <v>10.65</v>
      </c>
      <c r="W189" s="22">
        <f t="shared" si="11"/>
        <v>60.286239999999999</v>
      </c>
      <c r="X189" s="22">
        <f t="shared" si="12"/>
        <v>23</v>
      </c>
      <c r="Y189" s="22">
        <v>13.5</v>
      </c>
      <c r="Z189" s="22">
        <v>9.5</v>
      </c>
      <c r="AA189" s="371">
        <v>218.75</v>
      </c>
      <c r="AB189" s="22">
        <v>0.10514285714285715</v>
      </c>
      <c r="AC189" s="24">
        <v>0</v>
      </c>
      <c r="AD189" s="384">
        <v>0</v>
      </c>
    </row>
    <row r="190" spans="1:30">
      <c r="A190" s="21" t="s">
        <v>331</v>
      </c>
      <c r="B190" s="21" t="s">
        <v>332</v>
      </c>
      <c r="C190" s="23">
        <v>268</v>
      </c>
      <c r="D190" s="147">
        <v>6.22</v>
      </c>
      <c r="E190" s="22">
        <v>70.56</v>
      </c>
      <c r="F190" s="22">
        <v>76.78</v>
      </c>
      <c r="G190" s="22">
        <v>0</v>
      </c>
      <c r="H190" s="22">
        <v>8</v>
      </c>
      <c r="I190" s="22">
        <v>0.35</v>
      </c>
      <c r="J190" s="22">
        <v>89.83</v>
      </c>
      <c r="K190" s="22">
        <v>0</v>
      </c>
      <c r="L190" s="22">
        <v>0</v>
      </c>
      <c r="M190" s="388">
        <v>1070.18</v>
      </c>
      <c r="N190" s="25">
        <v>0.70089999999999997</v>
      </c>
      <c r="O190" s="24">
        <v>1042</v>
      </c>
      <c r="P190" s="24">
        <v>71.5</v>
      </c>
      <c r="Q190" s="24">
        <v>41</v>
      </c>
      <c r="R190" s="22">
        <v>30.5</v>
      </c>
      <c r="S190" s="24">
        <v>28</v>
      </c>
      <c r="T190" s="24">
        <f t="shared" si="10"/>
        <v>99.5</v>
      </c>
      <c r="U190" s="376">
        <v>750.3</v>
      </c>
      <c r="V190" s="376">
        <v>53.51</v>
      </c>
      <c r="W190" s="22">
        <f t="shared" si="11"/>
        <v>525.88526999999999</v>
      </c>
      <c r="X190" s="22">
        <f t="shared" si="12"/>
        <v>152.5</v>
      </c>
      <c r="Y190" s="22">
        <v>124.5</v>
      </c>
      <c r="Z190" s="22">
        <v>28</v>
      </c>
      <c r="AA190" s="371">
        <v>1036.31</v>
      </c>
      <c r="AB190" s="22">
        <v>0.14715673881367544</v>
      </c>
      <c r="AC190" s="24">
        <v>1.2156738813675433E-2</v>
      </c>
      <c r="AD190" s="384">
        <v>-117767.12877318906</v>
      </c>
    </row>
    <row r="191" spans="1:30">
      <c r="A191" s="21" t="s">
        <v>513</v>
      </c>
      <c r="B191" s="21" t="s">
        <v>514</v>
      </c>
      <c r="C191" s="23">
        <v>2654</v>
      </c>
      <c r="D191" s="147">
        <v>138.66999999999999</v>
      </c>
      <c r="E191" s="22">
        <v>585.29</v>
      </c>
      <c r="F191" s="22">
        <v>723.95999999999992</v>
      </c>
      <c r="G191" s="22">
        <v>0</v>
      </c>
      <c r="H191" s="22">
        <v>391</v>
      </c>
      <c r="I191" s="22">
        <v>42.16</v>
      </c>
      <c r="J191" s="22">
        <v>832.66</v>
      </c>
      <c r="K191" s="22">
        <v>36.119999999999997</v>
      </c>
      <c r="L191" s="22">
        <v>0</v>
      </c>
      <c r="M191" s="388">
        <v>10235.94</v>
      </c>
      <c r="N191" s="25">
        <v>0.30070000000000002</v>
      </c>
      <c r="O191" s="24">
        <v>613</v>
      </c>
      <c r="P191" s="24">
        <v>295.75</v>
      </c>
      <c r="Q191" s="24">
        <v>184.25</v>
      </c>
      <c r="R191" s="22">
        <v>111.5</v>
      </c>
      <c r="S191" s="24">
        <v>62</v>
      </c>
      <c r="T191" s="24">
        <f t="shared" si="10"/>
        <v>357.75</v>
      </c>
      <c r="U191" s="376">
        <v>3077.95</v>
      </c>
      <c r="V191" s="376">
        <v>0</v>
      </c>
      <c r="W191" s="22">
        <f t="shared" si="11"/>
        <v>925.53956500000004</v>
      </c>
      <c r="X191" s="22">
        <f t="shared" si="12"/>
        <v>1420.25</v>
      </c>
      <c r="Y191" s="22">
        <v>812.5</v>
      </c>
      <c r="Z191" s="22">
        <v>607.75</v>
      </c>
      <c r="AA191" s="371">
        <v>9700.44</v>
      </c>
      <c r="AB191" s="22">
        <v>0.14641088445472575</v>
      </c>
      <c r="AC191" s="24">
        <v>1.1410884454725739E-2</v>
      </c>
      <c r="AD191" s="384">
        <v>-1035344.0500382738</v>
      </c>
    </row>
    <row r="192" spans="1:30">
      <c r="A192" s="21" t="s">
        <v>329</v>
      </c>
      <c r="B192" s="21" t="s">
        <v>330</v>
      </c>
      <c r="C192" s="23">
        <v>479</v>
      </c>
      <c r="D192" s="147">
        <v>32.74</v>
      </c>
      <c r="E192" s="22">
        <v>138.75</v>
      </c>
      <c r="F192" s="22">
        <v>171.49</v>
      </c>
      <c r="G192" s="22">
        <v>0</v>
      </c>
      <c r="H192" s="22">
        <v>124</v>
      </c>
      <c r="I192" s="22">
        <v>10.95</v>
      </c>
      <c r="J192" s="22">
        <v>4866.97</v>
      </c>
      <c r="K192" s="22">
        <v>0</v>
      </c>
      <c r="L192" s="22">
        <v>0</v>
      </c>
      <c r="M192" s="388">
        <v>6479.92</v>
      </c>
      <c r="N192" s="25">
        <v>0.54259999999999997</v>
      </c>
      <c r="O192" s="24">
        <v>5379</v>
      </c>
      <c r="P192" s="24">
        <v>268.75</v>
      </c>
      <c r="Q192" s="24">
        <v>161.5</v>
      </c>
      <c r="R192" s="22">
        <v>107.25</v>
      </c>
      <c r="S192" s="24">
        <v>78.5</v>
      </c>
      <c r="T192" s="24">
        <f t="shared" si="10"/>
        <v>347.25</v>
      </c>
      <c r="U192" s="376">
        <v>3515.36</v>
      </c>
      <c r="V192" s="376">
        <v>324</v>
      </c>
      <c r="W192" s="22">
        <f t="shared" si="11"/>
        <v>1907.434336</v>
      </c>
      <c r="X192" s="22">
        <f t="shared" si="12"/>
        <v>911</v>
      </c>
      <c r="Y192" s="22">
        <v>756</v>
      </c>
      <c r="Z192" s="22">
        <v>155</v>
      </c>
      <c r="AA192" s="371">
        <v>6592.51</v>
      </c>
      <c r="AB192" s="22">
        <v>0.13818712447914375</v>
      </c>
      <c r="AC192" s="24">
        <v>3.1871244791437381E-3</v>
      </c>
      <c r="AD192" s="384">
        <v>-186224.48111239856</v>
      </c>
    </row>
    <row r="193" spans="1:30">
      <c r="A193" s="21" t="s">
        <v>287</v>
      </c>
      <c r="B193" s="21" t="s">
        <v>288</v>
      </c>
      <c r="C193" s="23">
        <v>207</v>
      </c>
      <c r="D193" s="147">
        <v>9.91</v>
      </c>
      <c r="E193" s="22">
        <v>97.92</v>
      </c>
      <c r="F193" s="22">
        <v>107.83</v>
      </c>
      <c r="G193" s="22">
        <v>0</v>
      </c>
      <c r="H193" s="22">
        <v>12</v>
      </c>
      <c r="I193" s="22">
        <v>1</v>
      </c>
      <c r="J193" s="22">
        <v>0</v>
      </c>
      <c r="K193" s="22">
        <v>0.8</v>
      </c>
      <c r="L193" s="22">
        <v>0</v>
      </c>
      <c r="M193" s="388">
        <v>802.8</v>
      </c>
      <c r="N193" s="25">
        <v>0.57830000000000004</v>
      </c>
      <c r="O193" s="24">
        <v>801</v>
      </c>
      <c r="P193" s="24">
        <v>20</v>
      </c>
      <c r="Q193" s="24">
        <v>7.75</v>
      </c>
      <c r="R193" s="22">
        <v>12.25</v>
      </c>
      <c r="S193" s="24">
        <v>6</v>
      </c>
      <c r="T193" s="24">
        <f t="shared" si="10"/>
        <v>26</v>
      </c>
      <c r="U193" s="376">
        <v>464.26</v>
      </c>
      <c r="V193" s="376">
        <v>40.14</v>
      </c>
      <c r="W193" s="22">
        <f t="shared" si="11"/>
        <v>268.48155800000001</v>
      </c>
      <c r="X193" s="22">
        <f t="shared" si="12"/>
        <v>138.25</v>
      </c>
      <c r="Y193" s="22">
        <v>82</v>
      </c>
      <c r="Z193" s="22">
        <v>56.25</v>
      </c>
      <c r="AA193" s="371">
        <v>794.79</v>
      </c>
      <c r="AB193" s="22">
        <v>0.17394531888926634</v>
      </c>
      <c r="AC193" s="24">
        <v>3.8945318889266334E-2</v>
      </c>
      <c r="AD193" s="384">
        <v>-282458.24830316438</v>
      </c>
    </row>
    <row r="194" spans="1:30">
      <c r="A194" s="21" t="s">
        <v>483</v>
      </c>
      <c r="B194" s="21" t="s">
        <v>484</v>
      </c>
      <c r="C194" s="23">
        <v>13</v>
      </c>
      <c r="D194" s="147">
        <v>0</v>
      </c>
      <c r="E194" s="22">
        <v>0</v>
      </c>
      <c r="F194" s="22">
        <v>0</v>
      </c>
      <c r="G194" s="22">
        <v>0</v>
      </c>
      <c r="H194" s="22">
        <v>0</v>
      </c>
      <c r="I194" s="22">
        <v>0</v>
      </c>
      <c r="J194" s="22">
        <v>0</v>
      </c>
      <c r="K194" s="22">
        <v>0</v>
      </c>
      <c r="L194" s="22">
        <v>0</v>
      </c>
      <c r="M194" s="388">
        <v>38</v>
      </c>
      <c r="N194" s="25">
        <v>0.77080000000000004</v>
      </c>
      <c r="O194" s="24">
        <v>48</v>
      </c>
      <c r="P194" s="24">
        <v>0</v>
      </c>
      <c r="Q194" s="24">
        <v>0</v>
      </c>
      <c r="R194" s="22">
        <v>0</v>
      </c>
      <c r="S194" s="24">
        <v>0</v>
      </c>
      <c r="T194" s="24">
        <f t="shared" si="10"/>
        <v>0</v>
      </c>
      <c r="U194" s="376">
        <v>29.29</v>
      </c>
      <c r="V194" s="376">
        <v>1.9</v>
      </c>
      <c r="W194" s="22">
        <f t="shared" si="11"/>
        <v>22.576732</v>
      </c>
      <c r="X194" s="22">
        <f t="shared" si="12"/>
        <v>5.5</v>
      </c>
      <c r="Y194" s="22">
        <v>5.5</v>
      </c>
      <c r="Z194" s="22">
        <v>0</v>
      </c>
      <c r="AA194" s="371">
        <v>48.8</v>
      </c>
      <c r="AB194" s="22">
        <v>0.11270491803278689</v>
      </c>
      <c r="AC194" s="24">
        <v>0</v>
      </c>
      <c r="AD194" s="384">
        <v>0</v>
      </c>
    </row>
    <row r="195" spans="1:30">
      <c r="A195" s="21" t="s">
        <v>395</v>
      </c>
      <c r="B195" s="21" t="s">
        <v>396</v>
      </c>
      <c r="C195" s="23">
        <v>50</v>
      </c>
      <c r="D195" s="147">
        <v>0</v>
      </c>
      <c r="E195" s="22">
        <v>11.78</v>
      </c>
      <c r="F195" s="22">
        <v>11.78</v>
      </c>
      <c r="G195" s="22">
        <v>0</v>
      </c>
      <c r="H195" s="22">
        <v>2</v>
      </c>
      <c r="I195" s="22">
        <v>0</v>
      </c>
      <c r="J195" s="22">
        <v>313.81</v>
      </c>
      <c r="K195" s="22">
        <v>0</v>
      </c>
      <c r="L195" s="22">
        <v>0</v>
      </c>
      <c r="M195" s="388">
        <v>654.80999999999995</v>
      </c>
      <c r="N195" s="25">
        <v>0.30020000000000002</v>
      </c>
      <c r="O195" s="24">
        <v>0</v>
      </c>
      <c r="P195" s="24">
        <v>35</v>
      </c>
      <c r="Q195" s="24">
        <v>21</v>
      </c>
      <c r="R195" s="22">
        <v>14</v>
      </c>
      <c r="S195" s="24">
        <v>2</v>
      </c>
      <c r="T195" s="24">
        <f t="shared" si="10"/>
        <v>37</v>
      </c>
      <c r="U195" s="376">
        <v>196.57</v>
      </c>
      <c r="V195" s="376">
        <v>32.74</v>
      </c>
      <c r="W195" s="22">
        <f t="shared" si="11"/>
        <v>59.010314000000001</v>
      </c>
      <c r="X195" s="22">
        <f t="shared" si="12"/>
        <v>79.25</v>
      </c>
      <c r="Y195" s="22">
        <v>71</v>
      </c>
      <c r="Z195" s="22">
        <v>8.25</v>
      </c>
      <c r="AA195" s="371">
        <v>723.34</v>
      </c>
      <c r="AB195" s="22">
        <v>0.10956120220090138</v>
      </c>
      <c r="AC195" s="24">
        <v>0</v>
      </c>
      <c r="AD195" s="384">
        <v>0</v>
      </c>
    </row>
    <row r="196" spans="1:30">
      <c r="A196" s="21" t="s">
        <v>453</v>
      </c>
      <c r="B196" s="21" t="s">
        <v>454</v>
      </c>
      <c r="C196" s="23">
        <v>28</v>
      </c>
      <c r="D196" s="147">
        <v>0</v>
      </c>
      <c r="E196" s="22">
        <v>0</v>
      </c>
      <c r="F196" s="22">
        <v>0</v>
      </c>
      <c r="G196" s="22">
        <v>0</v>
      </c>
      <c r="H196" s="22">
        <v>0</v>
      </c>
      <c r="I196" s="22">
        <v>0</v>
      </c>
      <c r="J196" s="22">
        <v>0</v>
      </c>
      <c r="K196" s="22">
        <v>0</v>
      </c>
      <c r="L196" s="22">
        <v>0</v>
      </c>
      <c r="M196" s="388">
        <v>56</v>
      </c>
      <c r="N196" s="25">
        <v>0.15579999999999999</v>
      </c>
      <c r="O196" s="24">
        <v>0</v>
      </c>
      <c r="P196" s="24">
        <v>0</v>
      </c>
      <c r="Q196" s="24">
        <v>0</v>
      </c>
      <c r="R196" s="22">
        <v>0</v>
      </c>
      <c r="S196" s="24">
        <v>0</v>
      </c>
      <c r="T196" s="24">
        <f t="shared" si="10"/>
        <v>0</v>
      </c>
      <c r="U196" s="376">
        <v>8.7200000000000006</v>
      </c>
      <c r="V196" s="376">
        <v>0</v>
      </c>
      <c r="W196" s="22">
        <f t="shared" si="11"/>
        <v>1.358576</v>
      </c>
      <c r="X196" s="22">
        <f t="shared" si="12"/>
        <v>4</v>
      </c>
      <c r="Y196" s="22">
        <v>0</v>
      </c>
      <c r="Z196" s="22">
        <v>4</v>
      </c>
      <c r="AA196" s="371">
        <v>68.400000000000006</v>
      </c>
      <c r="AB196" s="22">
        <v>5.8479532163742687E-2</v>
      </c>
      <c r="AC196" s="24">
        <v>0</v>
      </c>
      <c r="AD196" s="384">
        <v>0</v>
      </c>
    </row>
    <row r="197" spans="1:30">
      <c r="A197" s="21" t="s">
        <v>105</v>
      </c>
      <c r="B197" s="21" t="s">
        <v>106</v>
      </c>
      <c r="C197" s="23">
        <v>15</v>
      </c>
      <c r="D197" s="147">
        <v>0</v>
      </c>
      <c r="E197" s="22">
        <v>0</v>
      </c>
      <c r="F197" s="22">
        <v>0</v>
      </c>
      <c r="G197" s="22">
        <v>0</v>
      </c>
      <c r="H197" s="22">
        <v>0</v>
      </c>
      <c r="I197" s="22">
        <v>0</v>
      </c>
      <c r="J197" s="22">
        <v>0</v>
      </c>
      <c r="K197" s="22">
        <v>0</v>
      </c>
      <c r="L197" s="22">
        <v>0</v>
      </c>
      <c r="M197" s="388">
        <v>38</v>
      </c>
      <c r="N197" s="25">
        <v>0.71879999999999999</v>
      </c>
      <c r="O197" s="24">
        <v>32</v>
      </c>
      <c r="P197" s="24">
        <v>0</v>
      </c>
      <c r="Q197" s="24">
        <v>0</v>
      </c>
      <c r="R197" s="22">
        <v>0</v>
      </c>
      <c r="S197" s="24">
        <v>0</v>
      </c>
      <c r="T197" s="24">
        <f t="shared" si="10"/>
        <v>0</v>
      </c>
      <c r="U197" s="376">
        <v>27.31</v>
      </c>
      <c r="V197" s="376">
        <v>1.9</v>
      </c>
      <c r="W197" s="22">
        <f t="shared" si="11"/>
        <v>19.630427999999998</v>
      </c>
      <c r="X197" s="22">
        <f t="shared" si="12"/>
        <v>6.25</v>
      </c>
      <c r="Y197" s="22">
        <v>6.25</v>
      </c>
      <c r="Z197" s="22">
        <v>0</v>
      </c>
      <c r="AA197" s="371">
        <v>33.4</v>
      </c>
      <c r="AB197" s="22">
        <v>0.18712574850299402</v>
      </c>
      <c r="AC197" s="24">
        <v>5.2125748502994007E-2</v>
      </c>
      <c r="AD197" s="384">
        <v>-16712.575150884579</v>
      </c>
    </row>
    <row r="198" spans="1:30">
      <c r="A198" s="21" t="s">
        <v>89</v>
      </c>
      <c r="B198" s="21" t="s">
        <v>90</v>
      </c>
      <c r="C198" s="23">
        <v>59</v>
      </c>
      <c r="D198" s="147">
        <v>1.44</v>
      </c>
      <c r="E198" s="22">
        <v>0</v>
      </c>
      <c r="F198" s="22">
        <v>1.44</v>
      </c>
      <c r="G198" s="22">
        <v>0</v>
      </c>
      <c r="H198" s="22">
        <v>0</v>
      </c>
      <c r="I198" s="22">
        <v>0</v>
      </c>
      <c r="J198" s="22">
        <v>0</v>
      </c>
      <c r="K198" s="22">
        <v>0</v>
      </c>
      <c r="L198" s="22">
        <v>0</v>
      </c>
      <c r="M198" s="388">
        <v>155</v>
      </c>
      <c r="N198" s="25">
        <v>0.89300000000000002</v>
      </c>
      <c r="O198" s="24">
        <v>139</v>
      </c>
      <c r="P198" s="24">
        <v>59</v>
      </c>
      <c r="Q198" s="24">
        <v>49.75</v>
      </c>
      <c r="R198" s="22">
        <v>9.25</v>
      </c>
      <c r="S198" s="24">
        <v>15</v>
      </c>
      <c r="T198" s="24">
        <f t="shared" si="10"/>
        <v>74</v>
      </c>
      <c r="U198" s="376">
        <v>138.41999999999999</v>
      </c>
      <c r="V198" s="376">
        <v>7.75</v>
      </c>
      <c r="W198" s="22">
        <f t="shared" si="11"/>
        <v>123.60905999999999</v>
      </c>
      <c r="X198" s="22">
        <f t="shared" si="12"/>
        <v>14.75</v>
      </c>
      <c r="Y198" s="22">
        <v>12</v>
      </c>
      <c r="Z198" s="22">
        <v>2.75</v>
      </c>
      <c r="AA198" s="371">
        <v>138.08000000000001</v>
      </c>
      <c r="AB198" s="22">
        <v>0.10682213209733486</v>
      </c>
      <c r="AC198" s="24">
        <v>0</v>
      </c>
      <c r="AD198" s="384">
        <v>0</v>
      </c>
    </row>
    <row r="199" spans="1:30">
      <c r="A199" s="21" t="s">
        <v>341</v>
      </c>
      <c r="B199" s="21" t="s">
        <v>342</v>
      </c>
      <c r="C199" s="23">
        <v>145</v>
      </c>
      <c r="D199" s="147">
        <v>5.17</v>
      </c>
      <c r="E199" s="22">
        <v>23.63</v>
      </c>
      <c r="F199" s="22">
        <v>28.799999999999997</v>
      </c>
      <c r="G199" s="22">
        <v>0</v>
      </c>
      <c r="H199" s="22">
        <v>20</v>
      </c>
      <c r="I199" s="22">
        <v>0.9</v>
      </c>
      <c r="J199" s="22">
        <v>15.4</v>
      </c>
      <c r="K199" s="22">
        <v>0</v>
      </c>
      <c r="L199" s="22">
        <v>0</v>
      </c>
      <c r="M199" s="388">
        <v>518.29999999999995</v>
      </c>
      <c r="N199" s="25">
        <v>0.74</v>
      </c>
      <c r="O199" s="24">
        <v>523</v>
      </c>
      <c r="P199" s="24">
        <v>64.5</v>
      </c>
      <c r="Q199" s="24">
        <v>41.25</v>
      </c>
      <c r="R199" s="22">
        <v>23.25</v>
      </c>
      <c r="S199" s="24">
        <v>12</v>
      </c>
      <c r="T199" s="24">
        <f t="shared" si="10"/>
        <v>76.5</v>
      </c>
      <c r="U199" s="376">
        <v>382.51</v>
      </c>
      <c r="V199" s="376">
        <v>0</v>
      </c>
      <c r="W199" s="22">
        <f t="shared" si="11"/>
        <v>283.05739999999997</v>
      </c>
      <c r="X199" s="22">
        <f t="shared" si="12"/>
        <v>65.25</v>
      </c>
      <c r="Y199" s="22">
        <v>49.75</v>
      </c>
      <c r="Z199" s="22">
        <v>15.5</v>
      </c>
      <c r="AA199" s="371">
        <v>517.82000000000005</v>
      </c>
      <c r="AB199" s="22">
        <v>0.12600903788961415</v>
      </c>
      <c r="AC199" s="24">
        <v>0</v>
      </c>
      <c r="AD199" s="384">
        <v>0</v>
      </c>
    </row>
    <row r="200" spans="1:30">
      <c r="A200" s="21" t="s">
        <v>375</v>
      </c>
      <c r="B200" s="21" t="s">
        <v>376</v>
      </c>
      <c r="C200" s="23">
        <v>828</v>
      </c>
      <c r="D200" s="147">
        <v>54.03</v>
      </c>
      <c r="E200" s="22">
        <v>223.82</v>
      </c>
      <c r="F200" s="22">
        <v>277.85000000000002</v>
      </c>
      <c r="G200" s="22">
        <v>0</v>
      </c>
      <c r="H200" s="22">
        <v>56</v>
      </c>
      <c r="I200" s="22">
        <v>2.33</v>
      </c>
      <c r="J200" s="22">
        <v>21.67</v>
      </c>
      <c r="K200" s="22">
        <v>4.5999999999999996</v>
      </c>
      <c r="L200" s="22">
        <v>0</v>
      </c>
      <c r="M200" s="388">
        <v>2866.6</v>
      </c>
      <c r="N200" s="25">
        <v>0.31490000000000001</v>
      </c>
      <c r="O200" s="24">
        <v>0</v>
      </c>
      <c r="P200" s="24">
        <v>68.5</v>
      </c>
      <c r="Q200" s="24">
        <v>48</v>
      </c>
      <c r="R200" s="22">
        <v>20.5</v>
      </c>
      <c r="S200" s="24">
        <v>7</v>
      </c>
      <c r="T200" s="24">
        <f t="shared" si="10"/>
        <v>75.5</v>
      </c>
      <c r="U200" s="376">
        <v>902.69</v>
      </c>
      <c r="V200" s="376">
        <v>143.33000000000001</v>
      </c>
      <c r="W200" s="22">
        <f t="shared" si="11"/>
        <v>284.25708100000003</v>
      </c>
      <c r="X200" s="22">
        <f t="shared" si="12"/>
        <v>388.75</v>
      </c>
      <c r="Y200" s="22">
        <v>210.5</v>
      </c>
      <c r="Z200" s="22">
        <v>178.25</v>
      </c>
      <c r="AA200" s="371">
        <v>2616.88</v>
      </c>
      <c r="AB200" s="22">
        <v>0.1485547675094005</v>
      </c>
      <c r="AC200" s="24">
        <v>1.3554767509400489E-2</v>
      </c>
      <c r="AD200" s="384">
        <v>-339955.09662910295</v>
      </c>
    </row>
    <row r="201" spans="1:30">
      <c r="A201" s="21" t="s">
        <v>7</v>
      </c>
      <c r="B201" s="21" t="s">
        <v>8</v>
      </c>
      <c r="C201" s="23">
        <v>1273</v>
      </c>
      <c r="D201" s="147">
        <v>20.58</v>
      </c>
      <c r="E201" s="22">
        <v>241.1</v>
      </c>
      <c r="F201" s="22">
        <v>261.68</v>
      </c>
      <c r="G201" s="22">
        <v>0</v>
      </c>
      <c r="H201" s="22">
        <v>65</v>
      </c>
      <c r="I201" s="22">
        <v>6.6</v>
      </c>
      <c r="J201" s="22">
        <v>12.33</v>
      </c>
      <c r="K201" s="22">
        <v>20</v>
      </c>
      <c r="L201" s="22">
        <v>0</v>
      </c>
      <c r="M201" s="388">
        <v>4661.93</v>
      </c>
      <c r="N201" s="25">
        <v>0.81569999999999998</v>
      </c>
      <c r="O201" s="24">
        <v>4500</v>
      </c>
      <c r="P201" s="24">
        <v>1769.25</v>
      </c>
      <c r="Q201" s="24">
        <v>1150.75</v>
      </c>
      <c r="R201" s="22">
        <v>618.5</v>
      </c>
      <c r="S201" s="24">
        <v>274.5</v>
      </c>
      <c r="T201" s="24">
        <f t="shared" ref="T201:T264" si="13">S201+P201</f>
        <v>2043.75</v>
      </c>
      <c r="U201" s="376">
        <v>3802.74</v>
      </c>
      <c r="V201" s="376">
        <v>233.1</v>
      </c>
      <c r="W201" s="22">
        <f t="shared" ref="W201:W264" si="14">U201*N201</f>
        <v>3101.8950179999997</v>
      </c>
      <c r="X201" s="22">
        <f t="shared" ref="X201:X264" si="15">Y201+Z201</f>
        <v>567.75</v>
      </c>
      <c r="Y201" s="22">
        <v>377.25</v>
      </c>
      <c r="Z201" s="22">
        <v>190.5</v>
      </c>
      <c r="AA201" s="371">
        <v>4482.8500000000004</v>
      </c>
      <c r="AB201" s="22">
        <v>0.12664934137881034</v>
      </c>
      <c r="AC201" s="24">
        <v>0</v>
      </c>
      <c r="AD201" s="384">
        <v>0</v>
      </c>
    </row>
    <row r="202" spans="1:30">
      <c r="A202" s="21" t="s">
        <v>93</v>
      </c>
      <c r="B202" s="21" t="s">
        <v>94</v>
      </c>
      <c r="C202" s="23">
        <v>16</v>
      </c>
      <c r="D202" s="147">
        <v>0</v>
      </c>
      <c r="E202" s="22">
        <v>0</v>
      </c>
      <c r="F202" s="22">
        <v>0</v>
      </c>
      <c r="G202" s="22">
        <v>0</v>
      </c>
      <c r="H202" s="22">
        <v>0</v>
      </c>
      <c r="I202" s="22">
        <v>0</v>
      </c>
      <c r="J202" s="22">
        <v>0</v>
      </c>
      <c r="K202" s="22">
        <v>0</v>
      </c>
      <c r="L202" s="22">
        <v>0</v>
      </c>
      <c r="M202" s="388">
        <v>24</v>
      </c>
      <c r="N202" s="25">
        <v>0.91300000000000003</v>
      </c>
      <c r="O202" s="24">
        <v>22</v>
      </c>
      <c r="P202" s="24">
        <v>8.25</v>
      </c>
      <c r="Q202" s="24">
        <v>8.25</v>
      </c>
      <c r="R202" s="22">
        <v>0</v>
      </c>
      <c r="S202" s="24">
        <v>3</v>
      </c>
      <c r="T202" s="24">
        <f t="shared" si="13"/>
        <v>11.25</v>
      </c>
      <c r="U202" s="376">
        <v>21.91</v>
      </c>
      <c r="V202" s="376">
        <v>0</v>
      </c>
      <c r="W202" s="22">
        <f t="shared" si="14"/>
        <v>20.003830000000001</v>
      </c>
      <c r="X202" s="22">
        <f t="shared" si="15"/>
        <v>4</v>
      </c>
      <c r="Y202" s="22">
        <v>4</v>
      </c>
      <c r="Z202" s="22">
        <v>0</v>
      </c>
      <c r="AA202" s="371">
        <v>22</v>
      </c>
      <c r="AB202" s="22">
        <v>0.18181818181818182</v>
      </c>
      <c r="AC202" s="24">
        <v>4.6818181818181814E-2</v>
      </c>
      <c r="AD202" s="384">
        <v>-10452.226823380242</v>
      </c>
    </row>
    <row r="203" spans="1:30">
      <c r="A203" s="21" t="s">
        <v>565</v>
      </c>
      <c r="B203" s="21" t="s">
        <v>566</v>
      </c>
      <c r="C203" s="23">
        <v>45</v>
      </c>
      <c r="D203" s="147">
        <v>0</v>
      </c>
      <c r="E203" s="22">
        <v>9.6</v>
      </c>
      <c r="F203" s="22">
        <v>9.6</v>
      </c>
      <c r="G203" s="22">
        <v>0</v>
      </c>
      <c r="H203" s="22">
        <v>3</v>
      </c>
      <c r="I203" s="22">
        <v>0</v>
      </c>
      <c r="J203" s="22">
        <v>0</v>
      </c>
      <c r="K203" s="22">
        <v>0</v>
      </c>
      <c r="L203" s="22">
        <v>0</v>
      </c>
      <c r="M203" s="388">
        <v>159</v>
      </c>
      <c r="N203" s="25">
        <v>0.36420000000000002</v>
      </c>
      <c r="O203" s="24">
        <v>0</v>
      </c>
      <c r="P203" s="24">
        <v>0</v>
      </c>
      <c r="Q203" s="24">
        <v>0</v>
      </c>
      <c r="R203" s="22">
        <v>0</v>
      </c>
      <c r="S203" s="24">
        <v>0</v>
      </c>
      <c r="T203" s="24">
        <f t="shared" si="13"/>
        <v>0</v>
      </c>
      <c r="U203" s="376">
        <v>57.91</v>
      </c>
      <c r="V203" s="376">
        <v>0</v>
      </c>
      <c r="W203" s="22">
        <f t="shared" si="14"/>
        <v>21.090821999999999</v>
      </c>
      <c r="X203" s="22">
        <f t="shared" si="15"/>
        <v>18.5</v>
      </c>
      <c r="Y203" s="22">
        <v>14.5</v>
      </c>
      <c r="Z203" s="22">
        <v>4</v>
      </c>
      <c r="AA203" s="371">
        <v>152.88999999999999</v>
      </c>
      <c r="AB203" s="22">
        <v>0.1210020276015436</v>
      </c>
      <c r="AC203" s="24">
        <v>0</v>
      </c>
      <c r="AD203" s="384">
        <v>0</v>
      </c>
    </row>
    <row r="204" spans="1:30">
      <c r="A204" s="21" t="s">
        <v>111</v>
      </c>
      <c r="B204" s="21" t="s">
        <v>112</v>
      </c>
      <c r="C204" s="23">
        <v>5822</v>
      </c>
      <c r="D204" s="147">
        <v>159.84</v>
      </c>
      <c r="E204" s="22">
        <v>1031.3499999999999</v>
      </c>
      <c r="F204" s="22">
        <v>1191.1899999999998</v>
      </c>
      <c r="G204" s="22">
        <v>0</v>
      </c>
      <c r="H204" s="22">
        <v>450</v>
      </c>
      <c r="I204" s="22">
        <v>15.35</v>
      </c>
      <c r="J204" s="22">
        <v>223.57999999999998</v>
      </c>
      <c r="K204" s="22">
        <v>21.29</v>
      </c>
      <c r="L204" s="22">
        <v>0</v>
      </c>
      <c r="M204" s="388">
        <v>18912.22</v>
      </c>
      <c r="N204" s="25">
        <v>0.73440000000000005</v>
      </c>
      <c r="O204" s="24">
        <v>16772</v>
      </c>
      <c r="P204" s="24">
        <v>6328.5</v>
      </c>
      <c r="Q204" s="24">
        <v>3441.75</v>
      </c>
      <c r="R204" s="22">
        <v>2886.75</v>
      </c>
      <c r="S204" s="24">
        <v>798.5</v>
      </c>
      <c r="T204" s="24">
        <f t="shared" si="13"/>
        <v>7127</v>
      </c>
      <c r="U204" s="376">
        <v>13889.13</v>
      </c>
      <c r="V204" s="376">
        <v>945.61</v>
      </c>
      <c r="W204" s="22">
        <f t="shared" si="14"/>
        <v>10200.177072</v>
      </c>
      <c r="X204" s="22">
        <f t="shared" si="15"/>
        <v>2257.5</v>
      </c>
      <c r="Y204" s="22">
        <v>1186.5</v>
      </c>
      <c r="Z204" s="22">
        <v>1071</v>
      </c>
      <c r="AA204" s="371">
        <v>18205.89</v>
      </c>
      <c r="AB204" s="22">
        <v>0.12399833240780869</v>
      </c>
      <c r="AC204" s="24">
        <v>0</v>
      </c>
      <c r="AD204" s="384">
        <v>0</v>
      </c>
    </row>
    <row r="205" spans="1:30">
      <c r="A205" s="21" t="s">
        <v>335</v>
      </c>
      <c r="B205" s="21" t="s">
        <v>336</v>
      </c>
      <c r="C205" s="23">
        <v>92</v>
      </c>
      <c r="D205" s="147">
        <v>0</v>
      </c>
      <c r="E205" s="22">
        <v>11.24</v>
      </c>
      <c r="F205" s="22">
        <v>11.24</v>
      </c>
      <c r="G205" s="22">
        <v>0</v>
      </c>
      <c r="H205" s="22">
        <v>6</v>
      </c>
      <c r="I205" s="22">
        <v>0.59</v>
      </c>
      <c r="J205" s="22">
        <v>7.56</v>
      </c>
      <c r="K205" s="22">
        <v>0</v>
      </c>
      <c r="L205" s="22">
        <v>0</v>
      </c>
      <c r="M205" s="388">
        <v>307.14999999999998</v>
      </c>
      <c r="N205" s="25">
        <v>0.72289999999999999</v>
      </c>
      <c r="O205" s="24">
        <v>276</v>
      </c>
      <c r="P205" s="24">
        <v>32</v>
      </c>
      <c r="Q205" s="24">
        <v>20</v>
      </c>
      <c r="R205" s="22">
        <v>12</v>
      </c>
      <c r="S205" s="24">
        <v>12</v>
      </c>
      <c r="T205" s="24">
        <f t="shared" si="13"/>
        <v>44</v>
      </c>
      <c r="U205" s="376">
        <v>222.04</v>
      </c>
      <c r="V205" s="376">
        <v>15.36</v>
      </c>
      <c r="W205" s="22">
        <f t="shared" si="14"/>
        <v>160.51271599999998</v>
      </c>
      <c r="X205" s="22">
        <f t="shared" si="15"/>
        <v>41.5</v>
      </c>
      <c r="Y205" s="22">
        <v>31.25</v>
      </c>
      <c r="Z205" s="22">
        <v>10.25</v>
      </c>
      <c r="AA205" s="371">
        <v>294.99</v>
      </c>
      <c r="AB205" s="22">
        <v>0.14068273500796638</v>
      </c>
      <c r="AC205" s="24">
        <v>5.6827350079663719E-3</v>
      </c>
      <c r="AD205" s="384">
        <v>-15882.911439445332</v>
      </c>
    </row>
    <row r="206" spans="1:30">
      <c r="A206" s="21" t="s">
        <v>19</v>
      </c>
      <c r="B206" s="21" t="s">
        <v>20</v>
      </c>
      <c r="C206" s="23">
        <v>52</v>
      </c>
      <c r="D206" s="147">
        <v>0</v>
      </c>
      <c r="E206" s="22">
        <v>0</v>
      </c>
      <c r="F206" s="22">
        <v>0</v>
      </c>
      <c r="G206" s="22">
        <v>0</v>
      </c>
      <c r="H206" s="22">
        <v>0</v>
      </c>
      <c r="I206" s="22">
        <v>0</v>
      </c>
      <c r="J206" s="22">
        <v>0</v>
      </c>
      <c r="K206" s="22">
        <v>0</v>
      </c>
      <c r="L206" s="22">
        <v>0</v>
      </c>
      <c r="M206" s="388">
        <v>134</v>
      </c>
      <c r="N206" s="25">
        <v>1</v>
      </c>
      <c r="O206" s="24">
        <v>142</v>
      </c>
      <c r="P206" s="24">
        <v>25.5</v>
      </c>
      <c r="Q206" s="24">
        <v>20.25</v>
      </c>
      <c r="R206" s="22">
        <v>5.25</v>
      </c>
      <c r="S206" s="24">
        <v>11</v>
      </c>
      <c r="T206" s="24">
        <f t="shared" si="13"/>
        <v>36.5</v>
      </c>
      <c r="U206" s="376">
        <v>134</v>
      </c>
      <c r="V206" s="376">
        <v>0</v>
      </c>
      <c r="W206" s="22">
        <f t="shared" si="14"/>
        <v>134</v>
      </c>
      <c r="X206" s="22">
        <f t="shared" si="15"/>
        <v>22.75</v>
      </c>
      <c r="Y206" s="22">
        <v>22.75</v>
      </c>
      <c r="Z206" s="22">
        <v>0</v>
      </c>
      <c r="AA206" s="371">
        <v>141.4</v>
      </c>
      <c r="AB206" s="22">
        <v>0.1608910891089109</v>
      </c>
      <c r="AC206" s="24">
        <v>2.5891089108910886E-2</v>
      </c>
      <c r="AD206" s="384">
        <v>-34316.607765781795</v>
      </c>
    </row>
    <row r="207" spans="1:30">
      <c r="A207" s="21" t="s">
        <v>289</v>
      </c>
      <c r="B207" s="21" t="s">
        <v>290</v>
      </c>
      <c r="C207" s="23">
        <v>80</v>
      </c>
      <c r="D207" s="147">
        <v>6.29</v>
      </c>
      <c r="E207" s="22">
        <v>15.14</v>
      </c>
      <c r="F207" s="22">
        <v>21.43</v>
      </c>
      <c r="G207" s="22">
        <v>0</v>
      </c>
      <c r="H207" s="22">
        <v>3</v>
      </c>
      <c r="I207" s="22">
        <v>0.27</v>
      </c>
      <c r="J207" s="22">
        <v>0</v>
      </c>
      <c r="K207" s="22">
        <v>0</v>
      </c>
      <c r="L207" s="22">
        <v>0</v>
      </c>
      <c r="M207" s="388">
        <v>258.27</v>
      </c>
      <c r="N207" s="25">
        <v>0.59130000000000005</v>
      </c>
      <c r="O207" s="24">
        <v>252</v>
      </c>
      <c r="P207" s="24">
        <v>0</v>
      </c>
      <c r="Q207" s="24">
        <v>0</v>
      </c>
      <c r="R207" s="22">
        <v>0</v>
      </c>
      <c r="S207" s="24">
        <v>0</v>
      </c>
      <c r="T207" s="24">
        <f t="shared" si="13"/>
        <v>0</v>
      </c>
      <c r="U207" s="376">
        <v>152.72</v>
      </c>
      <c r="V207" s="376">
        <v>12.91</v>
      </c>
      <c r="W207" s="22">
        <f t="shared" si="14"/>
        <v>90.303336000000002</v>
      </c>
      <c r="X207" s="22">
        <f t="shared" si="15"/>
        <v>47.25</v>
      </c>
      <c r="Y207" s="22">
        <v>29.5</v>
      </c>
      <c r="Z207" s="22">
        <v>17.75</v>
      </c>
      <c r="AA207" s="371">
        <v>247.95</v>
      </c>
      <c r="AB207" s="22">
        <v>0.19056261343012704</v>
      </c>
      <c r="AC207" s="24">
        <v>5.5562613430127028E-2</v>
      </c>
      <c r="AD207" s="384">
        <v>-130320.23636118117</v>
      </c>
    </row>
    <row r="208" spans="1:30">
      <c r="A208" s="21" t="s">
        <v>379</v>
      </c>
      <c r="B208" s="21" t="s">
        <v>380</v>
      </c>
      <c r="C208" s="23">
        <v>2555</v>
      </c>
      <c r="D208" s="147">
        <v>82.41</v>
      </c>
      <c r="E208" s="22">
        <v>472.17</v>
      </c>
      <c r="F208" s="22">
        <v>554.58000000000004</v>
      </c>
      <c r="G208" s="22">
        <v>0</v>
      </c>
      <c r="H208" s="22">
        <v>450</v>
      </c>
      <c r="I208" s="22">
        <v>13.69</v>
      </c>
      <c r="J208" s="22">
        <v>177.01</v>
      </c>
      <c r="K208" s="22">
        <v>10.89</v>
      </c>
      <c r="L208" s="22">
        <v>3.27</v>
      </c>
      <c r="M208" s="388">
        <v>9486.86</v>
      </c>
      <c r="N208" s="25">
        <v>0.2082</v>
      </c>
      <c r="O208" s="24">
        <v>228</v>
      </c>
      <c r="P208" s="24">
        <v>197.75</v>
      </c>
      <c r="Q208" s="24">
        <v>138.5</v>
      </c>
      <c r="R208" s="22">
        <v>59.25</v>
      </c>
      <c r="S208" s="24">
        <v>34.5</v>
      </c>
      <c r="T208" s="24">
        <f t="shared" si="13"/>
        <v>232.25</v>
      </c>
      <c r="U208" s="376">
        <v>1975.16</v>
      </c>
      <c r="V208" s="376">
        <v>474.34</v>
      </c>
      <c r="W208" s="22">
        <f t="shared" si="14"/>
        <v>411.22831200000002</v>
      </c>
      <c r="X208" s="22">
        <f t="shared" si="15"/>
        <v>1107.5</v>
      </c>
      <c r="Y208" s="22">
        <v>722.25</v>
      </c>
      <c r="Z208" s="22">
        <v>385.25</v>
      </c>
      <c r="AA208" s="371">
        <v>8671.06</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240</v>
      </c>
      <c r="N209" s="25">
        <v>0.43359999999999999</v>
      </c>
      <c r="O209" s="24">
        <v>0</v>
      </c>
      <c r="P209" s="24">
        <v>8</v>
      </c>
      <c r="Q209" s="24">
        <v>5</v>
      </c>
      <c r="R209" s="22">
        <v>3</v>
      </c>
      <c r="S209" s="24">
        <v>0</v>
      </c>
      <c r="T209" s="24">
        <f t="shared" si="13"/>
        <v>8</v>
      </c>
      <c r="U209" s="376">
        <v>101.95</v>
      </c>
      <c r="V209" s="376">
        <v>0</v>
      </c>
      <c r="W209" s="22">
        <f t="shared" si="14"/>
        <v>44.20552</v>
      </c>
      <c r="X209" s="22">
        <f t="shared" si="15"/>
        <v>16.2</v>
      </c>
      <c r="Y209" s="22">
        <v>16.2</v>
      </c>
      <c r="Z209" s="22">
        <v>0</v>
      </c>
      <c r="AA209" s="371">
        <v>120</v>
      </c>
      <c r="AB209" s="22">
        <v>0.13499999999999998</v>
      </c>
      <c r="AC209" s="24">
        <v>0</v>
      </c>
      <c r="AD209" s="384">
        <v>0</v>
      </c>
    </row>
    <row r="210" spans="1:30">
      <c r="A210" s="21" t="s">
        <v>321</v>
      </c>
      <c r="B210" s="21" t="s">
        <v>322</v>
      </c>
      <c r="C210" s="23">
        <v>292</v>
      </c>
      <c r="D210" s="147">
        <v>0</v>
      </c>
      <c r="E210" s="22">
        <v>0</v>
      </c>
      <c r="F210" s="22">
        <v>0</v>
      </c>
      <c r="G210" s="22">
        <v>0</v>
      </c>
      <c r="H210" s="22">
        <v>0</v>
      </c>
      <c r="I210" s="22">
        <v>0</v>
      </c>
      <c r="J210" s="22">
        <v>39.799999999999997</v>
      </c>
      <c r="K210" s="22">
        <v>0</v>
      </c>
      <c r="L210" s="22">
        <v>0</v>
      </c>
      <c r="M210" s="388">
        <v>714.8</v>
      </c>
      <c r="N210" s="25">
        <v>0.65090000000000003</v>
      </c>
      <c r="O210" s="24">
        <v>687</v>
      </c>
      <c r="P210" s="24">
        <v>31.75</v>
      </c>
      <c r="Q210" s="24">
        <v>18</v>
      </c>
      <c r="R210" s="22">
        <v>13.75</v>
      </c>
      <c r="S210" s="24">
        <v>4.5</v>
      </c>
      <c r="T210" s="24">
        <f t="shared" si="13"/>
        <v>36.25</v>
      </c>
      <c r="U210" s="376">
        <v>465.26</v>
      </c>
      <c r="V210" s="376">
        <v>35.74</v>
      </c>
      <c r="W210" s="22">
        <f t="shared" si="14"/>
        <v>302.83773400000001</v>
      </c>
      <c r="X210" s="22">
        <f t="shared" si="15"/>
        <v>99.5</v>
      </c>
      <c r="Y210" s="22">
        <v>88.25</v>
      </c>
      <c r="Z210" s="22">
        <v>11.25</v>
      </c>
      <c r="AA210" s="371">
        <v>689.6</v>
      </c>
      <c r="AB210" s="22">
        <v>0.14428654292343387</v>
      </c>
      <c r="AC210" s="24">
        <v>9.2865429234338659E-3</v>
      </c>
      <c r="AD210" s="384">
        <v>-60472.520181734275</v>
      </c>
    </row>
    <row r="211" spans="1:30">
      <c r="A211" s="21" t="s">
        <v>119</v>
      </c>
      <c r="B211" s="21" t="s">
        <v>120</v>
      </c>
      <c r="C211" s="23">
        <v>103</v>
      </c>
      <c r="D211" s="147">
        <v>13.18</v>
      </c>
      <c r="E211" s="22">
        <v>39.29</v>
      </c>
      <c r="F211" s="22">
        <v>52.47</v>
      </c>
      <c r="G211" s="22">
        <v>0</v>
      </c>
      <c r="H211" s="22">
        <v>2</v>
      </c>
      <c r="I211" s="22">
        <v>1.08</v>
      </c>
      <c r="J211" s="22">
        <v>0</v>
      </c>
      <c r="K211" s="22">
        <v>0</v>
      </c>
      <c r="L211" s="22">
        <v>0</v>
      </c>
      <c r="M211" s="388">
        <v>320.08</v>
      </c>
      <c r="N211" s="25">
        <v>0.51839999999999997</v>
      </c>
      <c r="O211" s="24">
        <v>360</v>
      </c>
      <c r="P211" s="24">
        <v>3</v>
      </c>
      <c r="Q211" s="24">
        <v>2</v>
      </c>
      <c r="R211" s="22">
        <v>1</v>
      </c>
      <c r="S211" s="24">
        <v>1</v>
      </c>
      <c r="T211" s="24">
        <f t="shared" si="13"/>
        <v>4</v>
      </c>
      <c r="U211" s="376">
        <v>165.93</v>
      </c>
      <c r="V211" s="376">
        <v>0</v>
      </c>
      <c r="W211" s="22">
        <f t="shared" si="14"/>
        <v>86.018112000000002</v>
      </c>
      <c r="X211" s="22">
        <f t="shared" si="15"/>
        <v>53.5</v>
      </c>
      <c r="Y211" s="22">
        <v>21</v>
      </c>
      <c r="Z211" s="22">
        <v>32.5</v>
      </c>
      <c r="AA211" s="371">
        <v>355.34</v>
      </c>
      <c r="AB211" s="22">
        <v>0.15056002701637869</v>
      </c>
      <c r="AC211" s="24">
        <v>1.556002701637868E-2</v>
      </c>
      <c r="AD211" s="384">
        <v>-52357.17232129864</v>
      </c>
    </row>
    <row r="212" spans="1:30">
      <c r="A212" s="21" t="s">
        <v>43</v>
      </c>
      <c r="B212" s="21" t="s">
        <v>44</v>
      </c>
      <c r="C212" s="23">
        <v>969</v>
      </c>
      <c r="D212" s="147">
        <v>72.28</v>
      </c>
      <c r="E212" s="22">
        <v>229.55</v>
      </c>
      <c r="F212" s="22">
        <v>301.83000000000004</v>
      </c>
      <c r="G212" s="22">
        <v>0</v>
      </c>
      <c r="H212" s="22">
        <v>125</v>
      </c>
      <c r="I212" s="22">
        <v>8.33</v>
      </c>
      <c r="J212" s="22">
        <v>359.36</v>
      </c>
      <c r="K212" s="22">
        <v>0</v>
      </c>
      <c r="L212" s="22">
        <v>0</v>
      </c>
      <c r="M212" s="388">
        <v>3702.69</v>
      </c>
      <c r="N212" s="25">
        <v>0.52559999999999996</v>
      </c>
      <c r="O212" s="24">
        <v>2180</v>
      </c>
      <c r="P212" s="24">
        <v>53.5</v>
      </c>
      <c r="Q212" s="24">
        <v>37</v>
      </c>
      <c r="R212" s="22">
        <v>16.5</v>
      </c>
      <c r="S212" s="24">
        <v>9.5</v>
      </c>
      <c r="T212" s="24">
        <f t="shared" si="13"/>
        <v>63</v>
      </c>
      <c r="U212" s="376">
        <v>1948.36</v>
      </c>
      <c r="V212" s="376">
        <v>185.13</v>
      </c>
      <c r="W212" s="22">
        <f t="shared" si="14"/>
        <v>1024.058016</v>
      </c>
      <c r="X212" s="22">
        <f t="shared" si="15"/>
        <v>550</v>
      </c>
      <c r="Y212" s="22">
        <v>398.75</v>
      </c>
      <c r="Z212" s="22">
        <v>151.25</v>
      </c>
      <c r="AA212" s="371">
        <v>3493.54</v>
      </c>
      <c r="AB212" s="22">
        <v>0.15743343428155968</v>
      </c>
      <c r="AC212" s="24">
        <v>2.2433434281559667E-2</v>
      </c>
      <c r="AD212" s="384">
        <v>-734335.11860132753</v>
      </c>
    </row>
    <row r="213" spans="1:30">
      <c r="A213" s="21" t="s">
        <v>181</v>
      </c>
      <c r="B213" s="21" t="s">
        <v>182</v>
      </c>
      <c r="C213" s="23">
        <v>278</v>
      </c>
      <c r="D213" s="147">
        <v>0</v>
      </c>
      <c r="E213" s="22">
        <v>54.97</v>
      </c>
      <c r="F213" s="22">
        <v>54.97</v>
      </c>
      <c r="G213" s="22">
        <v>0</v>
      </c>
      <c r="H213" s="22">
        <v>32</v>
      </c>
      <c r="I213" s="22">
        <v>2.3199999999999998</v>
      </c>
      <c r="J213" s="22">
        <v>135.22999999999999</v>
      </c>
      <c r="K213" s="22">
        <v>0</v>
      </c>
      <c r="L213" s="22">
        <v>0</v>
      </c>
      <c r="M213" s="388">
        <v>1130.55</v>
      </c>
      <c r="N213" s="25">
        <v>0.51739999999999997</v>
      </c>
      <c r="O213" s="24">
        <v>769</v>
      </c>
      <c r="P213" s="24">
        <v>36.25</v>
      </c>
      <c r="Q213" s="24">
        <v>22</v>
      </c>
      <c r="R213" s="22">
        <v>14.25</v>
      </c>
      <c r="S213" s="24">
        <v>2.25</v>
      </c>
      <c r="T213" s="24">
        <f t="shared" si="13"/>
        <v>38.5</v>
      </c>
      <c r="U213" s="376">
        <v>584.95000000000005</v>
      </c>
      <c r="V213" s="376">
        <v>56.53</v>
      </c>
      <c r="W213" s="22">
        <f t="shared" si="14"/>
        <v>302.65313000000003</v>
      </c>
      <c r="X213" s="22">
        <f t="shared" si="15"/>
        <v>141.75</v>
      </c>
      <c r="Y213" s="22">
        <v>101.75</v>
      </c>
      <c r="Z213" s="22">
        <v>40</v>
      </c>
      <c r="AA213" s="371">
        <v>1196.08</v>
      </c>
      <c r="AB213" s="22">
        <v>0.1185121396562103</v>
      </c>
      <c r="AC213" s="24">
        <v>0</v>
      </c>
      <c r="AD213" s="384">
        <v>0</v>
      </c>
    </row>
    <row r="214" spans="1:30">
      <c r="A214" s="21" t="s">
        <v>537</v>
      </c>
      <c r="B214" s="21" t="s">
        <v>538</v>
      </c>
      <c r="C214" s="23">
        <v>81</v>
      </c>
      <c r="D214" s="147">
        <v>0</v>
      </c>
      <c r="E214" s="22">
        <v>5.24</v>
      </c>
      <c r="F214" s="22">
        <v>5.24</v>
      </c>
      <c r="G214" s="22">
        <v>0</v>
      </c>
      <c r="H214" s="22">
        <v>3</v>
      </c>
      <c r="I214" s="22">
        <v>0</v>
      </c>
      <c r="J214" s="22">
        <v>0</v>
      </c>
      <c r="K214" s="22">
        <v>1</v>
      </c>
      <c r="L214" s="22">
        <v>0</v>
      </c>
      <c r="M214" s="388">
        <v>260</v>
      </c>
      <c r="N214" s="25">
        <v>0.93959999999999999</v>
      </c>
      <c r="O214" s="24">
        <v>232</v>
      </c>
      <c r="P214" s="24">
        <v>91</v>
      </c>
      <c r="Q214" s="24">
        <v>63.5</v>
      </c>
      <c r="R214" s="22">
        <v>27.5</v>
      </c>
      <c r="S214" s="24">
        <v>11</v>
      </c>
      <c r="T214" s="24">
        <f t="shared" si="13"/>
        <v>102</v>
      </c>
      <c r="U214" s="376">
        <v>244.3</v>
      </c>
      <c r="V214" s="376">
        <v>0</v>
      </c>
      <c r="W214" s="22">
        <f t="shared" si="14"/>
        <v>229.54428000000001</v>
      </c>
      <c r="X214" s="22">
        <f t="shared" si="15"/>
        <v>35</v>
      </c>
      <c r="Y214" s="22">
        <v>25.75</v>
      </c>
      <c r="Z214" s="22">
        <v>9.25</v>
      </c>
      <c r="AA214" s="371">
        <v>248.31</v>
      </c>
      <c r="AB214" s="22">
        <v>0.14095284120655632</v>
      </c>
      <c r="AC214" s="24">
        <v>5.9528412065563141E-3</v>
      </c>
      <c r="AD214" s="384">
        <v>-13704.494082317126</v>
      </c>
    </row>
    <row r="215" spans="1:30">
      <c r="A215" s="21" t="s">
        <v>481</v>
      </c>
      <c r="B215" s="21" t="s">
        <v>482</v>
      </c>
      <c r="C215" s="23">
        <v>0</v>
      </c>
      <c r="D215" s="147">
        <v>0</v>
      </c>
      <c r="E215" s="22">
        <v>12.01</v>
      </c>
      <c r="F215" s="22">
        <v>12.01</v>
      </c>
      <c r="G215" s="22">
        <v>0</v>
      </c>
      <c r="H215" s="22">
        <v>20</v>
      </c>
      <c r="I215" s="22">
        <v>1</v>
      </c>
      <c r="J215" s="22">
        <v>0</v>
      </c>
      <c r="K215" s="22">
        <v>0</v>
      </c>
      <c r="L215" s="22">
        <v>0</v>
      </c>
      <c r="M215" s="388">
        <v>721</v>
      </c>
      <c r="N215" s="25">
        <v>0.58220000000000005</v>
      </c>
      <c r="O215" s="24">
        <v>663</v>
      </c>
      <c r="P215" s="24">
        <v>0</v>
      </c>
      <c r="Q215" s="24">
        <v>0</v>
      </c>
      <c r="R215" s="22">
        <v>0</v>
      </c>
      <c r="S215" s="24">
        <v>0</v>
      </c>
      <c r="T215" s="24">
        <f t="shared" si="13"/>
        <v>0</v>
      </c>
      <c r="U215" s="376">
        <v>419.77</v>
      </c>
      <c r="V215" s="376">
        <v>0</v>
      </c>
      <c r="W215" s="22">
        <f t="shared" si="14"/>
        <v>244.390094</v>
      </c>
      <c r="X215" s="22">
        <f t="shared" si="15"/>
        <v>103.25</v>
      </c>
      <c r="Y215" s="22">
        <v>102.25</v>
      </c>
      <c r="Z215" s="22">
        <v>1</v>
      </c>
      <c r="AA215" s="371">
        <v>648.44000000000005</v>
      </c>
      <c r="AB215" s="22">
        <v>0.15922830177040279</v>
      </c>
      <c r="AC215" s="24">
        <v>2.4228301770402777E-2</v>
      </c>
      <c r="AD215" s="384">
        <v>-136825.73926447952</v>
      </c>
    </row>
    <row r="216" spans="1:30">
      <c r="A216" s="21" t="s">
        <v>25</v>
      </c>
      <c r="B216" s="21" t="s">
        <v>26</v>
      </c>
      <c r="C216" s="23">
        <v>642</v>
      </c>
      <c r="D216" s="147">
        <v>29.81</v>
      </c>
      <c r="E216" s="22">
        <v>229.08</v>
      </c>
      <c r="F216" s="22">
        <v>258.89</v>
      </c>
      <c r="G216" s="22">
        <v>0</v>
      </c>
      <c r="H216" s="22">
        <v>53</v>
      </c>
      <c r="I216" s="22">
        <v>2.69</v>
      </c>
      <c r="J216" s="22">
        <v>0</v>
      </c>
      <c r="K216" s="22">
        <v>12.6</v>
      </c>
      <c r="L216" s="22">
        <v>0</v>
      </c>
      <c r="M216" s="388">
        <v>2330.29</v>
      </c>
      <c r="N216" s="25">
        <v>0.71989999999999998</v>
      </c>
      <c r="O216" s="24">
        <v>2481</v>
      </c>
      <c r="P216" s="24">
        <v>586.75</v>
      </c>
      <c r="Q216" s="24">
        <v>378.25</v>
      </c>
      <c r="R216" s="22">
        <v>208.5</v>
      </c>
      <c r="S216" s="24">
        <v>71</v>
      </c>
      <c r="T216" s="24">
        <f t="shared" si="13"/>
        <v>657.75</v>
      </c>
      <c r="U216" s="376">
        <v>1676.88</v>
      </c>
      <c r="V216" s="376">
        <v>116.51</v>
      </c>
      <c r="W216" s="22">
        <f t="shared" si="14"/>
        <v>1207.1859120000001</v>
      </c>
      <c r="X216" s="22">
        <f t="shared" si="15"/>
        <v>314.75</v>
      </c>
      <c r="Y216" s="22">
        <v>143.75</v>
      </c>
      <c r="Z216" s="22">
        <v>171</v>
      </c>
      <c r="AA216" s="371">
        <v>2475.6799999999998</v>
      </c>
      <c r="AB216" s="22">
        <v>0.12713678666063466</v>
      </c>
      <c r="AC216" s="24">
        <v>0</v>
      </c>
      <c r="AD216" s="384">
        <v>0</v>
      </c>
    </row>
    <row r="217" spans="1:30">
      <c r="A217" s="21" t="s">
        <v>1319</v>
      </c>
      <c r="B217" s="21" t="s">
        <v>1320</v>
      </c>
      <c r="C217" s="23">
        <v>118</v>
      </c>
      <c r="D217" s="147">
        <v>0</v>
      </c>
      <c r="E217" s="22">
        <v>0</v>
      </c>
      <c r="F217" s="22">
        <v>0</v>
      </c>
      <c r="G217" s="22">
        <v>0</v>
      </c>
      <c r="H217" s="22">
        <v>0</v>
      </c>
      <c r="I217" s="22">
        <v>0</v>
      </c>
      <c r="J217" s="22">
        <v>0</v>
      </c>
      <c r="K217" s="22">
        <v>0</v>
      </c>
      <c r="L217" s="22">
        <v>0</v>
      </c>
      <c r="M217" s="388">
        <v>192</v>
      </c>
      <c r="N217" s="25">
        <v>0.2278</v>
      </c>
      <c r="O217" s="24">
        <v>0</v>
      </c>
      <c r="P217" s="24">
        <v>3</v>
      </c>
      <c r="Q217" s="24">
        <v>3</v>
      </c>
      <c r="R217" s="22">
        <v>0</v>
      </c>
      <c r="S217" s="24">
        <v>0</v>
      </c>
      <c r="T217" s="24">
        <f t="shared" si="13"/>
        <v>3</v>
      </c>
      <c r="U217" s="376">
        <v>4.8600000000000003</v>
      </c>
      <c r="V217" s="376">
        <v>0</v>
      </c>
      <c r="W217" s="22">
        <f t="shared" si="14"/>
        <v>1.107108</v>
      </c>
      <c r="X217" s="22">
        <f t="shared" si="15"/>
        <v>11.75</v>
      </c>
      <c r="Y217" s="22">
        <v>11.75</v>
      </c>
      <c r="Z217" s="22">
        <v>0</v>
      </c>
      <c r="AA217" s="371">
        <v>77</v>
      </c>
      <c r="AB217" s="22">
        <v>0.15259740259740259</v>
      </c>
      <c r="AC217" s="24">
        <v>1.7597402597402584E-2</v>
      </c>
      <c r="AD217" s="384">
        <v>-13555.791335314831</v>
      </c>
    </row>
    <row r="218" spans="1:30">
      <c r="A218" s="21" t="s">
        <v>561</v>
      </c>
      <c r="B218" s="21" t="s">
        <v>562</v>
      </c>
      <c r="C218" s="23">
        <v>826</v>
      </c>
      <c r="D218" s="147">
        <v>44.01</v>
      </c>
      <c r="E218" s="22">
        <v>131.38</v>
      </c>
      <c r="F218" s="22">
        <v>175.39</v>
      </c>
      <c r="G218" s="22">
        <v>0</v>
      </c>
      <c r="H218" s="22">
        <v>41</v>
      </c>
      <c r="I218" s="22">
        <v>0.6</v>
      </c>
      <c r="J218" s="22">
        <v>7.75</v>
      </c>
      <c r="K218" s="22">
        <v>0.8</v>
      </c>
      <c r="L218" s="22">
        <v>0</v>
      </c>
      <c r="M218" s="388">
        <v>2700.15</v>
      </c>
      <c r="N218" s="25">
        <v>0.3155</v>
      </c>
      <c r="O218" s="24">
        <v>0</v>
      </c>
      <c r="P218" s="24">
        <v>121.25</v>
      </c>
      <c r="Q218" s="24">
        <v>93.5</v>
      </c>
      <c r="R218" s="22">
        <v>27.75</v>
      </c>
      <c r="S218" s="24">
        <v>42.75</v>
      </c>
      <c r="T218" s="24">
        <f t="shared" si="13"/>
        <v>164</v>
      </c>
      <c r="U218" s="376">
        <v>851.9</v>
      </c>
      <c r="V218" s="376">
        <v>135.01</v>
      </c>
      <c r="W218" s="22">
        <f t="shared" si="14"/>
        <v>268.77445</v>
      </c>
      <c r="X218" s="22">
        <f t="shared" si="15"/>
        <v>317</v>
      </c>
      <c r="Y218" s="22">
        <v>236.75</v>
      </c>
      <c r="Z218" s="22">
        <v>80.25</v>
      </c>
      <c r="AA218" s="371">
        <v>2617.1999999999998</v>
      </c>
      <c r="AB218" s="22">
        <v>0.1211218095674767</v>
      </c>
      <c r="AC218" s="24">
        <v>0</v>
      </c>
      <c r="AD218" s="384">
        <v>0</v>
      </c>
    </row>
    <row r="219" spans="1:30">
      <c r="A219" s="21" t="s">
        <v>363</v>
      </c>
      <c r="B219" s="21" t="s">
        <v>364</v>
      </c>
      <c r="C219" s="23">
        <v>6724</v>
      </c>
      <c r="D219" s="147">
        <v>359.2</v>
      </c>
      <c r="E219" s="22">
        <v>1267.8</v>
      </c>
      <c r="F219" s="22">
        <v>1627</v>
      </c>
      <c r="G219" s="22">
        <v>0</v>
      </c>
      <c r="H219" s="22">
        <v>725</v>
      </c>
      <c r="I219" s="22">
        <v>18.7</v>
      </c>
      <c r="J219" s="22">
        <v>740.55</v>
      </c>
      <c r="K219" s="22">
        <v>51.6</v>
      </c>
      <c r="L219" s="22">
        <v>0</v>
      </c>
      <c r="M219" s="388">
        <v>22895.85</v>
      </c>
      <c r="N219" s="25">
        <v>0.39810000000000001</v>
      </c>
      <c r="O219" s="24">
        <v>1992</v>
      </c>
      <c r="P219" s="24">
        <v>1441.25</v>
      </c>
      <c r="Q219" s="24">
        <v>926.25</v>
      </c>
      <c r="R219" s="22">
        <v>515</v>
      </c>
      <c r="S219" s="24">
        <v>339.5</v>
      </c>
      <c r="T219" s="24">
        <f t="shared" si="13"/>
        <v>1780.75</v>
      </c>
      <c r="U219" s="376">
        <v>9114.84</v>
      </c>
      <c r="V219" s="376">
        <v>1144.79</v>
      </c>
      <c r="W219" s="22">
        <f t="shared" si="14"/>
        <v>3628.617804</v>
      </c>
      <c r="X219" s="22">
        <f t="shared" si="15"/>
        <v>2490.5</v>
      </c>
      <c r="Y219" s="22">
        <v>1339.25</v>
      </c>
      <c r="Z219" s="22">
        <v>1151.25</v>
      </c>
      <c r="AA219" s="371">
        <v>22353.34</v>
      </c>
      <c r="AB219" s="22">
        <v>0.11141511738290565</v>
      </c>
      <c r="AC219" s="24">
        <v>0</v>
      </c>
      <c r="AD219" s="384">
        <v>0</v>
      </c>
    </row>
    <row r="220" spans="1:30">
      <c r="A220" s="21" t="s">
        <v>173</v>
      </c>
      <c r="B220" s="21" t="s">
        <v>174</v>
      </c>
      <c r="C220" s="23">
        <v>16</v>
      </c>
      <c r="D220" s="147">
        <v>0</v>
      </c>
      <c r="E220" s="22">
        <v>0</v>
      </c>
      <c r="F220" s="22">
        <v>0</v>
      </c>
      <c r="G220" s="22">
        <v>0</v>
      </c>
      <c r="H220" s="22">
        <v>0</v>
      </c>
      <c r="I220" s="22">
        <v>0</v>
      </c>
      <c r="J220" s="22">
        <v>0</v>
      </c>
      <c r="K220" s="22">
        <v>0</v>
      </c>
      <c r="L220" s="22">
        <v>0</v>
      </c>
      <c r="M220" s="388">
        <v>38</v>
      </c>
      <c r="N220" s="25">
        <v>1</v>
      </c>
      <c r="O220" s="24">
        <v>50</v>
      </c>
      <c r="P220" s="24">
        <v>0</v>
      </c>
      <c r="Q220" s="24">
        <v>0</v>
      </c>
      <c r="R220" s="22">
        <v>0</v>
      </c>
      <c r="S220" s="24">
        <v>0</v>
      </c>
      <c r="T220" s="24">
        <f t="shared" si="13"/>
        <v>0</v>
      </c>
      <c r="U220" s="376">
        <v>38</v>
      </c>
      <c r="V220" s="376">
        <v>0</v>
      </c>
      <c r="W220" s="22">
        <f t="shared" si="14"/>
        <v>38</v>
      </c>
      <c r="X220" s="22">
        <f t="shared" si="15"/>
        <v>8.75</v>
      </c>
      <c r="Y220" s="22">
        <v>0</v>
      </c>
      <c r="Z220" s="22">
        <v>8.75</v>
      </c>
      <c r="AA220" s="371">
        <v>50.8</v>
      </c>
      <c r="AB220" s="22">
        <v>0.17224409448818898</v>
      </c>
      <c r="AC220" s="24">
        <v>3.7244094488188967E-2</v>
      </c>
      <c r="AD220" s="384">
        <v>-17686.315211781894</v>
      </c>
    </row>
    <row r="221" spans="1:30">
      <c r="A221" s="21" t="s">
        <v>177</v>
      </c>
      <c r="B221" s="21" t="s">
        <v>178</v>
      </c>
      <c r="C221" s="23">
        <v>52</v>
      </c>
      <c r="D221" s="147">
        <v>0</v>
      </c>
      <c r="E221" s="22">
        <v>7.66</v>
      </c>
      <c r="F221" s="22">
        <v>7.66</v>
      </c>
      <c r="G221" s="22">
        <v>0</v>
      </c>
      <c r="H221" s="22">
        <v>5</v>
      </c>
      <c r="I221" s="22">
        <v>0</v>
      </c>
      <c r="J221" s="22">
        <v>436.06</v>
      </c>
      <c r="K221" s="22">
        <v>0</v>
      </c>
      <c r="L221" s="22">
        <v>0</v>
      </c>
      <c r="M221" s="388">
        <v>641.05999999999995</v>
      </c>
      <c r="N221" s="25">
        <v>0.31059999999999999</v>
      </c>
      <c r="O221" s="24">
        <v>0</v>
      </c>
      <c r="P221" s="24">
        <v>0</v>
      </c>
      <c r="Q221" s="24">
        <v>0</v>
      </c>
      <c r="R221" s="22">
        <v>0</v>
      </c>
      <c r="S221" s="24">
        <v>0</v>
      </c>
      <c r="T221" s="24">
        <f t="shared" si="13"/>
        <v>0</v>
      </c>
      <c r="U221" s="376">
        <v>199.56</v>
      </c>
      <c r="V221" s="376">
        <v>32.049999999999997</v>
      </c>
      <c r="W221" s="22">
        <f t="shared" si="14"/>
        <v>61.983336000000001</v>
      </c>
      <c r="X221" s="22">
        <f t="shared" si="15"/>
        <v>55.75</v>
      </c>
      <c r="Y221" s="22">
        <v>53</v>
      </c>
      <c r="Z221" s="22">
        <v>2.75</v>
      </c>
      <c r="AA221" s="371">
        <v>653.72</v>
      </c>
      <c r="AB221" s="22">
        <v>8.5281160129719147E-2</v>
      </c>
      <c r="AC221" s="24">
        <v>0</v>
      </c>
      <c r="AD221" s="384">
        <v>0</v>
      </c>
    </row>
    <row r="222" spans="1:30">
      <c r="A222" s="21" t="s">
        <v>53</v>
      </c>
      <c r="B222" s="21" t="s">
        <v>54</v>
      </c>
      <c r="C222" s="23">
        <v>30.4</v>
      </c>
      <c r="D222" s="147">
        <v>1.65</v>
      </c>
      <c r="E222" s="22">
        <v>8.7899999999999991</v>
      </c>
      <c r="F222" s="22">
        <v>10.44</v>
      </c>
      <c r="G222" s="22">
        <v>0</v>
      </c>
      <c r="H222" s="22">
        <v>0.33</v>
      </c>
      <c r="I222" s="22">
        <v>0</v>
      </c>
      <c r="J222" s="22">
        <v>0</v>
      </c>
      <c r="K222" s="22">
        <v>0</v>
      </c>
      <c r="L222" s="22">
        <v>0</v>
      </c>
      <c r="M222" s="388">
        <v>116.49</v>
      </c>
      <c r="N222" s="25">
        <v>0.93910000000000005</v>
      </c>
      <c r="O222" s="24">
        <v>115</v>
      </c>
      <c r="P222" s="24">
        <v>0</v>
      </c>
      <c r="Q222" s="24">
        <v>0</v>
      </c>
      <c r="R222" s="22">
        <v>0</v>
      </c>
      <c r="S222" s="24">
        <v>0</v>
      </c>
      <c r="T222" s="24">
        <f t="shared" si="13"/>
        <v>0</v>
      </c>
      <c r="U222" s="376">
        <v>109.4</v>
      </c>
      <c r="V222" s="376">
        <v>0</v>
      </c>
      <c r="W222" s="22">
        <f t="shared" si="14"/>
        <v>102.73754000000001</v>
      </c>
      <c r="X222" s="22">
        <f t="shared" si="15"/>
        <v>28.25</v>
      </c>
      <c r="Y222" s="22">
        <v>27</v>
      </c>
      <c r="Z222" s="22">
        <v>1.25</v>
      </c>
      <c r="AA222" s="371">
        <v>116.49</v>
      </c>
      <c r="AB222" s="22">
        <v>0.24251008670272128</v>
      </c>
      <c r="AC222" s="24">
        <v>0.10751008670272127</v>
      </c>
      <c r="AD222" s="384">
        <v>-115146.39386800988</v>
      </c>
    </row>
    <row r="223" spans="1:30">
      <c r="A223" s="21" t="s">
        <v>51</v>
      </c>
      <c r="B223" s="21" t="s">
        <v>52</v>
      </c>
      <c r="C223" s="23">
        <v>271</v>
      </c>
      <c r="D223" s="147">
        <v>13.1</v>
      </c>
      <c r="E223" s="22">
        <v>43.4</v>
      </c>
      <c r="F223" s="22">
        <v>56.5</v>
      </c>
      <c r="G223" s="22">
        <v>0</v>
      </c>
      <c r="H223" s="22">
        <v>152</v>
      </c>
      <c r="I223" s="22">
        <v>9.52</v>
      </c>
      <c r="J223" s="22">
        <v>2271.44</v>
      </c>
      <c r="K223" s="22">
        <v>6.8</v>
      </c>
      <c r="L223" s="22">
        <v>0</v>
      </c>
      <c r="M223" s="388">
        <v>3305.76</v>
      </c>
      <c r="N223" s="25">
        <v>0.63009999999999999</v>
      </c>
      <c r="O223" s="24">
        <v>3279</v>
      </c>
      <c r="P223" s="24">
        <v>231</v>
      </c>
      <c r="Q223" s="24">
        <v>119</v>
      </c>
      <c r="R223" s="22">
        <v>112</v>
      </c>
      <c r="S223" s="24">
        <v>31</v>
      </c>
      <c r="T223" s="24">
        <f t="shared" si="13"/>
        <v>262</v>
      </c>
      <c r="U223" s="376">
        <v>1757.34</v>
      </c>
      <c r="V223" s="376">
        <v>0</v>
      </c>
      <c r="W223" s="22">
        <f t="shared" si="14"/>
        <v>1107.2999339999999</v>
      </c>
      <c r="X223" s="22">
        <f t="shared" si="15"/>
        <v>565.75</v>
      </c>
      <c r="Y223" s="22">
        <v>502</v>
      </c>
      <c r="Z223" s="22">
        <v>63.75</v>
      </c>
      <c r="AA223" s="371">
        <v>3270.9</v>
      </c>
      <c r="AB223" s="22">
        <v>0.17296462747256106</v>
      </c>
      <c r="AC223" s="24">
        <v>3.7964627472561047E-2</v>
      </c>
      <c r="AD223" s="384">
        <v>-1103043.6346953514</v>
      </c>
    </row>
    <row r="224" spans="1:30">
      <c r="A224" s="21" t="s">
        <v>123</v>
      </c>
      <c r="B224" s="21" t="s">
        <v>124</v>
      </c>
      <c r="C224" s="23">
        <v>914</v>
      </c>
      <c r="D224" s="147">
        <v>51.71</v>
      </c>
      <c r="E224" s="22">
        <v>223.35</v>
      </c>
      <c r="F224" s="22">
        <v>275.06</v>
      </c>
      <c r="G224" s="22">
        <v>0</v>
      </c>
      <c r="H224" s="22">
        <v>64</v>
      </c>
      <c r="I224" s="22">
        <v>2.91</v>
      </c>
      <c r="J224" s="22">
        <v>58.04</v>
      </c>
      <c r="K224" s="22">
        <v>4.2</v>
      </c>
      <c r="L224" s="22">
        <v>0</v>
      </c>
      <c r="M224" s="388">
        <v>3139.1499999999996</v>
      </c>
      <c r="N224" s="25">
        <v>0.82869999999999999</v>
      </c>
      <c r="O224" s="24">
        <v>3125</v>
      </c>
      <c r="P224" s="24">
        <v>1196</v>
      </c>
      <c r="Q224" s="24">
        <v>762.75</v>
      </c>
      <c r="R224" s="22">
        <v>433.25</v>
      </c>
      <c r="S224" s="24">
        <v>243.25</v>
      </c>
      <c r="T224" s="24">
        <f t="shared" si="13"/>
        <v>1439.25</v>
      </c>
      <c r="U224" s="376">
        <v>2601.41</v>
      </c>
      <c r="V224" s="376">
        <v>156.96</v>
      </c>
      <c r="W224" s="22">
        <f t="shared" si="14"/>
        <v>2155.7884669999999</v>
      </c>
      <c r="X224" s="22">
        <f t="shared" si="15"/>
        <v>427</v>
      </c>
      <c r="Y224" s="22">
        <v>338</v>
      </c>
      <c r="Z224" s="22">
        <v>89</v>
      </c>
      <c r="AA224" s="371">
        <v>3149.58</v>
      </c>
      <c r="AB224" s="22">
        <v>0.13557363203982753</v>
      </c>
      <c r="AC224" s="24">
        <v>5.7363203982752076E-4</v>
      </c>
      <c r="AD224" s="384">
        <v>-16672.606341739291</v>
      </c>
    </row>
    <row r="225" spans="1:30">
      <c r="A225" s="21" t="s">
        <v>225</v>
      </c>
      <c r="B225" s="21" t="s">
        <v>226</v>
      </c>
      <c r="C225" s="23">
        <v>0</v>
      </c>
      <c r="D225" s="147">
        <v>0</v>
      </c>
      <c r="E225" s="22">
        <v>0</v>
      </c>
      <c r="F225" s="22">
        <v>0</v>
      </c>
      <c r="G225" s="22">
        <v>0</v>
      </c>
      <c r="H225" s="22">
        <v>0</v>
      </c>
      <c r="I225" s="22">
        <v>0</v>
      </c>
      <c r="J225" s="22">
        <v>0</v>
      </c>
      <c r="K225" s="22">
        <v>0</v>
      </c>
      <c r="L225" s="22">
        <v>0</v>
      </c>
      <c r="M225" s="388">
        <v>333</v>
      </c>
      <c r="N225" s="25">
        <v>0.76190000000000002</v>
      </c>
      <c r="O225" s="24">
        <v>336</v>
      </c>
      <c r="P225" s="24">
        <v>96.75</v>
      </c>
      <c r="Q225" s="24">
        <v>54.75</v>
      </c>
      <c r="R225" s="22">
        <v>42</v>
      </c>
      <c r="S225" s="24">
        <v>21</v>
      </c>
      <c r="T225" s="24">
        <f t="shared" si="13"/>
        <v>117.75</v>
      </c>
      <c r="U225" s="376">
        <v>253.71</v>
      </c>
      <c r="V225" s="376">
        <v>0</v>
      </c>
      <c r="W225" s="22">
        <f t="shared" si="14"/>
        <v>193.301649</v>
      </c>
      <c r="X225" s="22">
        <f t="shared" si="15"/>
        <v>24.75</v>
      </c>
      <c r="Y225" s="22">
        <v>24.75</v>
      </c>
      <c r="Z225" s="22">
        <v>0</v>
      </c>
      <c r="AA225" s="371">
        <v>329</v>
      </c>
      <c r="AB225" s="22">
        <v>7.522796352583587E-2</v>
      </c>
      <c r="AC225" s="24">
        <v>0</v>
      </c>
      <c r="AD225" s="384">
        <v>0</v>
      </c>
    </row>
    <row r="226" spans="1:30">
      <c r="A226" s="21" t="s">
        <v>515</v>
      </c>
      <c r="B226" s="21" t="s">
        <v>516</v>
      </c>
      <c r="C226" s="23">
        <v>237</v>
      </c>
      <c r="D226" s="147">
        <v>14.94</v>
      </c>
      <c r="E226" s="22">
        <v>63.58</v>
      </c>
      <c r="F226" s="22">
        <v>78.52</v>
      </c>
      <c r="G226" s="22">
        <v>0</v>
      </c>
      <c r="H226" s="22">
        <v>13</v>
      </c>
      <c r="I226" s="22">
        <v>1.35</v>
      </c>
      <c r="J226" s="22">
        <v>0</v>
      </c>
      <c r="K226" s="22">
        <v>4.4000000000000004</v>
      </c>
      <c r="L226" s="22">
        <v>0</v>
      </c>
      <c r="M226" s="388">
        <v>882.75</v>
      </c>
      <c r="N226" s="25">
        <v>0.4415</v>
      </c>
      <c r="O226" s="24">
        <v>0</v>
      </c>
      <c r="P226" s="24">
        <v>0</v>
      </c>
      <c r="Q226" s="24">
        <v>0</v>
      </c>
      <c r="R226" s="22">
        <v>0</v>
      </c>
      <c r="S226" s="24">
        <v>0</v>
      </c>
      <c r="T226" s="24">
        <f t="shared" si="13"/>
        <v>0</v>
      </c>
      <c r="U226" s="376">
        <v>389.73</v>
      </c>
      <c r="V226" s="376">
        <v>44.14</v>
      </c>
      <c r="W226" s="22">
        <f t="shared" si="14"/>
        <v>172.06579500000001</v>
      </c>
      <c r="X226" s="22">
        <f t="shared" si="15"/>
        <v>126.75</v>
      </c>
      <c r="Y226" s="22">
        <v>88</v>
      </c>
      <c r="Z226" s="22">
        <v>38.75</v>
      </c>
      <c r="AA226" s="371">
        <v>886.79</v>
      </c>
      <c r="AB226" s="22">
        <v>0.14293124640557517</v>
      </c>
      <c r="AC226" s="24">
        <v>7.9312464055751597E-3</v>
      </c>
      <c r="AD226" s="384">
        <v>-64433.204694515036</v>
      </c>
    </row>
    <row r="227" spans="1:30">
      <c r="A227" s="21" t="s">
        <v>345</v>
      </c>
      <c r="B227" s="21" t="s">
        <v>346</v>
      </c>
      <c r="C227" s="23">
        <v>137</v>
      </c>
      <c r="D227" s="147">
        <v>0</v>
      </c>
      <c r="E227" s="22">
        <v>38.950000000000003</v>
      </c>
      <c r="F227" s="22">
        <v>38.950000000000003</v>
      </c>
      <c r="G227" s="22">
        <v>0</v>
      </c>
      <c r="H227" s="22">
        <v>14</v>
      </c>
      <c r="I227" s="22">
        <v>0.17</v>
      </c>
      <c r="J227" s="22">
        <v>2</v>
      </c>
      <c r="K227" s="22">
        <v>2</v>
      </c>
      <c r="L227" s="22">
        <v>0</v>
      </c>
      <c r="M227" s="388">
        <v>512.17000000000007</v>
      </c>
      <c r="N227" s="25">
        <v>0.70309999999999995</v>
      </c>
      <c r="O227" s="24">
        <v>522</v>
      </c>
      <c r="P227" s="24">
        <v>61.5</v>
      </c>
      <c r="Q227" s="24">
        <v>37.25</v>
      </c>
      <c r="R227" s="22">
        <v>24.25</v>
      </c>
      <c r="S227" s="24">
        <v>9</v>
      </c>
      <c r="T227" s="24">
        <f t="shared" si="13"/>
        <v>70.5</v>
      </c>
      <c r="U227" s="376">
        <v>360.11</v>
      </c>
      <c r="V227" s="376">
        <v>25.61</v>
      </c>
      <c r="W227" s="22">
        <f t="shared" si="14"/>
        <v>253.193341</v>
      </c>
      <c r="X227" s="22">
        <f t="shared" si="15"/>
        <v>81.5</v>
      </c>
      <c r="Y227" s="22">
        <v>50.5</v>
      </c>
      <c r="Z227" s="22">
        <v>31</v>
      </c>
      <c r="AA227" s="371">
        <v>522.97</v>
      </c>
      <c r="AB227" s="22">
        <v>0.15584067919765951</v>
      </c>
      <c r="AC227" s="24">
        <v>2.0840679197659501E-2</v>
      </c>
      <c r="AD227" s="384">
        <v>-99880.540208240665</v>
      </c>
    </row>
    <row r="228" spans="1:30">
      <c r="A228" s="21" t="s">
        <v>299</v>
      </c>
      <c r="B228" s="21" t="s">
        <v>300</v>
      </c>
      <c r="C228" s="23">
        <v>188</v>
      </c>
      <c r="D228" s="147">
        <v>10.23</v>
      </c>
      <c r="E228" s="22">
        <v>50.04</v>
      </c>
      <c r="F228" s="22">
        <v>60.269999999999996</v>
      </c>
      <c r="G228" s="22">
        <v>0</v>
      </c>
      <c r="H228" s="22">
        <v>18</v>
      </c>
      <c r="I228" s="22">
        <v>0.05</v>
      </c>
      <c r="J228" s="22">
        <v>27.4</v>
      </c>
      <c r="K228" s="22">
        <v>0</v>
      </c>
      <c r="L228" s="22">
        <v>0</v>
      </c>
      <c r="M228" s="388">
        <v>704.44999999999993</v>
      </c>
      <c r="N228" s="25">
        <v>0.46189999999999998</v>
      </c>
      <c r="O228" s="24">
        <v>0</v>
      </c>
      <c r="P228" s="24">
        <v>6</v>
      </c>
      <c r="Q228" s="24">
        <v>5.75</v>
      </c>
      <c r="R228" s="22">
        <v>0.25</v>
      </c>
      <c r="S228" s="24">
        <v>4.75</v>
      </c>
      <c r="T228" s="24">
        <f t="shared" si="13"/>
        <v>10.75</v>
      </c>
      <c r="U228" s="376">
        <v>314.61</v>
      </c>
      <c r="V228" s="376">
        <v>0</v>
      </c>
      <c r="W228" s="22">
        <f t="shared" si="14"/>
        <v>145.31835899999999</v>
      </c>
      <c r="X228" s="22">
        <f t="shared" si="15"/>
        <v>78.75</v>
      </c>
      <c r="Y228" s="22">
        <v>45.75</v>
      </c>
      <c r="Z228" s="22">
        <v>33</v>
      </c>
      <c r="AA228" s="371">
        <v>720.37</v>
      </c>
      <c r="AB228" s="22">
        <v>0.10931882227188806</v>
      </c>
      <c r="AC228" s="24">
        <v>0</v>
      </c>
      <c r="AD228" s="384">
        <v>0</v>
      </c>
    </row>
    <row r="229" spans="1:30">
      <c r="A229" s="21" t="s">
        <v>195</v>
      </c>
      <c r="B229" s="21" t="s">
        <v>196</v>
      </c>
      <c r="C229" s="23">
        <v>4641</v>
      </c>
      <c r="D229" s="147">
        <v>190.06</v>
      </c>
      <c r="E229" s="22">
        <v>1252.92</v>
      </c>
      <c r="F229" s="22">
        <v>1442.98</v>
      </c>
      <c r="G229" s="22">
        <v>0</v>
      </c>
      <c r="H229" s="22">
        <v>505</v>
      </c>
      <c r="I229" s="22">
        <v>39.92</v>
      </c>
      <c r="J229" s="22">
        <v>540.91000000000008</v>
      </c>
      <c r="K229" s="22">
        <v>12.99</v>
      </c>
      <c r="L229" s="22">
        <v>0</v>
      </c>
      <c r="M229" s="388">
        <v>15473.82</v>
      </c>
      <c r="N229" s="25">
        <v>0.53410000000000002</v>
      </c>
      <c r="O229" s="24">
        <v>7369</v>
      </c>
      <c r="P229" s="24">
        <v>3034</v>
      </c>
      <c r="Q229" s="24">
        <v>2059.25</v>
      </c>
      <c r="R229" s="22">
        <v>974.75</v>
      </c>
      <c r="S229" s="24">
        <v>459</v>
      </c>
      <c r="T229" s="24">
        <f t="shared" si="13"/>
        <v>3493</v>
      </c>
      <c r="U229" s="376">
        <v>8264.57</v>
      </c>
      <c r="V229" s="376">
        <v>773.69</v>
      </c>
      <c r="W229" s="22">
        <f t="shared" si="14"/>
        <v>4414.1068370000003</v>
      </c>
      <c r="X229" s="22">
        <f t="shared" si="15"/>
        <v>1961.75</v>
      </c>
      <c r="Y229" s="22">
        <v>1012.75</v>
      </c>
      <c r="Z229" s="22">
        <v>949</v>
      </c>
      <c r="AA229" s="371">
        <v>14860.81</v>
      </c>
      <c r="AB229" s="22">
        <v>0.13200828218650262</v>
      </c>
      <c r="AC229" s="24">
        <v>0</v>
      </c>
      <c r="AD229" s="384">
        <v>0</v>
      </c>
    </row>
    <row r="230" spans="1:30">
      <c r="A230" s="21" t="s">
        <v>109</v>
      </c>
      <c r="B230" s="21" t="s">
        <v>110</v>
      </c>
      <c r="C230" s="23">
        <v>72</v>
      </c>
      <c r="D230" s="147">
        <v>0</v>
      </c>
      <c r="E230" s="22">
        <v>12.1</v>
      </c>
      <c r="F230" s="22">
        <v>12.1</v>
      </c>
      <c r="G230" s="22">
        <v>0</v>
      </c>
      <c r="H230" s="22">
        <v>5</v>
      </c>
      <c r="I230" s="22">
        <v>0.7</v>
      </c>
      <c r="J230" s="22">
        <v>59.230000000000004</v>
      </c>
      <c r="K230" s="22">
        <v>0</v>
      </c>
      <c r="L230" s="22">
        <v>0</v>
      </c>
      <c r="M230" s="388">
        <v>359.93</v>
      </c>
      <c r="N230" s="25">
        <v>0.7147</v>
      </c>
      <c r="O230" s="24">
        <v>299</v>
      </c>
      <c r="P230" s="24">
        <v>0</v>
      </c>
      <c r="Q230" s="24">
        <v>0</v>
      </c>
      <c r="R230" s="22">
        <v>0</v>
      </c>
      <c r="S230" s="24">
        <v>0</v>
      </c>
      <c r="T230" s="24">
        <f t="shared" si="13"/>
        <v>0</v>
      </c>
      <c r="U230" s="376">
        <v>257.52999999999997</v>
      </c>
      <c r="V230" s="376">
        <v>18</v>
      </c>
      <c r="W230" s="22">
        <f t="shared" si="14"/>
        <v>184.05669099999997</v>
      </c>
      <c r="X230" s="22">
        <f t="shared" si="15"/>
        <v>60.25</v>
      </c>
      <c r="Y230" s="22">
        <v>48.25</v>
      </c>
      <c r="Z230" s="22">
        <v>12</v>
      </c>
      <c r="AA230" s="371">
        <v>364.34</v>
      </c>
      <c r="AB230" s="22">
        <v>0.1653675138606796</v>
      </c>
      <c r="AC230" s="24">
        <v>3.0367513860679596E-2</v>
      </c>
      <c r="AD230" s="384">
        <v>-102124.12011566471</v>
      </c>
    </row>
    <row r="231" spans="1:30">
      <c r="A231" s="21" t="s">
        <v>27</v>
      </c>
      <c r="B231" s="21" t="s">
        <v>28</v>
      </c>
      <c r="C231" s="23">
        <v>3760</v>
      </c>
      <c r="D231" s="147">
        <v>76.97</v>
      </c>
      <c r="E231" s="22">
        <v>667.34</v>
      </c>
      <c r="F231" s="22">
        <v>744.31000000000006</v>
      </c>
      <c r="G231" s="22">
        <v>0</v>
      </c>
      <c r="H231" s="22">
        <v>250</v>
      </c>
      <c r="I231" s="22">
        <v>19.96</v>
      </c>
      <c r="J231" s="22">
        <v>1146.56</v>
      </c>
      <c r="K231" s="22">
        <v>51.29</v>
      </c>
      <c r="L231" s="22">
        <v>0</v>
      </c>
      <c r="M231" s="388">
        <v>14325.81</v>
      </c>
      <c r="N231" s="25">
        <v>0.38919999999999999</v>
      </c>
      <c r="O231" s="24">
        <v>2483</v>
      </c>
      <c r="P231" s="24">
        <v>791.5</v>
      </c>
      <c r="Q231" s="24">
        <v>491.5</v>
      </c>
      <c r="R231" s="22">
        <v>300</v>
      </c>
      <c r="S231" s="24">
        <v>126.5</v>
      </c>
      <c r="T231" s="24">
        <f t="shared" si="13"/>
        <v>918</v>
      </c>
      <c r="U231" s="376">
        <v>5575.61</v>
      </c>
      <c r="V231" s="376">
        <v>716.29</v>
      </c>
      <c r="W231" s="22">
        <f t="shared" si="14"/>
        <v>2170.0274119999999</v>
      </c>
      <c r="X231" s="22">
        <f t="shared" si="15"/>
        <v>1602.75</v>
      </c>
      <c r="Y231" s="22">
        <v>991.75</v>
      </c>
      <c r="Z231" s="22">
        <v>611</v>
      </c>
      <c r="AA231" s="371">
        <v>13504.03</v>
      </c>
      <c r="AB231" s="22">
        <v>0.11868679201690162</v>
      </c>
      <c r="AC231" s="24">
        <v>0</v>
      </c>
      <c r="AD231" s="384">
        <v>0</v>
      </c>
    </row>
    <row r="232" spans="1:30">
      <c r="A232" s="21" t="s">
        <v>71</v>
      </c>
      <c r="B232" s="21" t="s">
        <v>72</v>
      </c>
      <c r="C232" s="23">
        <v>1201</v>
      </c>
      <c r="D232" s="147">
        <v>68.81</v>
      </c>
      <c r="E232" s="22">
        <v>197.23</v>
      </c>
      <c r="F232" s="22">
        <v>266.03999999999996</v>
      </c>
      <c r="G232" s="22">
        <v>0</v>
      </c>
      <c r="H232" s="22">
        <v>82</v>
      </c>
      <c r="I232" s="22">
        <v>0.25</v>
      </c>
      <c r="J232" s="22">
        <v>155.03</v>
      </c>
      <c r="K232" s="22">
        <v>3.4</v>
      </c>
      <c r="L232" s="22">
        <v>0</v>
      </c>
      <c r="M232" s="388">
        <v>4270.6799999999994</v>
      </c>
      <c r="N232" s="25">
        <v>0.2389</v>
      </c>
      <c r="O232" s="24">
        <v>0</v>
      </c>
      <c r="P232" s="24">
        <v>115.25</v>
      </c>
      <c r="Q232" s="24">
        <v>85.5</v>
      </c>
      <c r="R232" s="22">
        <v>29.75</v>
      </c>
      <c r="S232" s="24">
        <v>27.25</v>
      </c>
      <c r="T232" s="24">
        <f t="shared" si="13"/>
        <v>142.5</v>
      </c>
      <c r="U232" s="376">
        <v>1020.69</v>
      </c>
      <c r="V232" s="376">
        <v>213.53</v>
      </c>
      <c r="W232" s="22">
        <f t="shared" si="14"/>
        <v>243.84284100000002</v>
      </c>
      <c r="X232" s="22">
        <f t="shared" si="15"/>
        <v>394.25</v>
      </c>
      <c r="Y232" s="22">
        <v>291.25</v>
      </c>
      <c r="Z232" s="22">
        <v>103</v>
      </c>
      <c r="AA232" s="371">
        <v>3755.83</v>
      </c>
      <c r="AB232" s="22">
        <v>0.10497013975605925</v>
      </c>
      <c r="AC232" s="24">
        <v>0</v>
      </c>
      <c r="AD232" s="384">
        <v>0</v>
      </c>
    </row>
    <row r="233" spans="1:30">
      <c r="A233" s="21" t="s">
        <v>11</v>
      </c>
      <c r="B233" s="21" t="s">
        <v>12</v>
      </c>
      <c r="C233" s="23">
        <v>61</v>
      </c>
      <c r="D233" s="147">
        <v>9.07</v>
      </c>
      <c r="E233" s="22">
        <v>21.78</v>
      </c>
      <c r="F233" s="22">
        <v>30.85</v>
      </c>
      <c r="G233" s="22">
        <v>0</v>
      </c>
      <c r="H233" s="22">
        <v>1</v>
      </c>
      <c r="I233" s="22">
        <v>0</v>
      </c>
      <c r="J233" s="22">
        <v>30.200000000000003</v>
      </c>
      <c r="K233" s="22">
        <v>0</v>
      </c>
      <c r="L233" s="22">
        <v>0</v>
      </c>
      <c r="M233" s="388">
        <v>332.2</v>
      </c>
      <c r="N233" s="25">
        <v>0.46010000000000001</v>
      </c>
      <c r="O233" s="24">
        <v>169</v>
      </c>
      <c r="P233" s="24">
        <v>0</v>
      </c>
      <c r="Q233" s="24">
        <v>0</v>
      </c>
      <c r="R233" s="22">
        <v>0</v>
      </c>
      <c r="S233" s="24">
        <v>0</v>
      </c>
      <c r="T233" s="24">
        <f t="shared" si="13"/>
        <v>0</v>
      </c>
      <c r="U233" s="376">
        <v>152.35</v>
      </c>
      <c r="V233" s="376">
        <v>0</v>
      </c>
      <c r="W233" s="22">
        <f t="shared" si="14"/>
        <v>70.096234999999993</v>
      </c>
      <c r="X233" s="22">
        <f t="shared" si="15"/>
        <v>29.5</v>
      </c>
      <c r="Y233" s="22">
        <v>23.75</v>
      </c>
      <c r="Z233" s="22">
        <v>5.75</v>
      </c>
      <c r="AA233" s="371">
        <v>356.94</v>
      </c>
      <c r="AB233" s="22">
        <v>8.2646943463887484E-2</v>
      </c>
      <c r="AC233" s="24">
        <v>0</v>
      </c>
      <c r="AD233" s="384">
        <v>0</v>
      </c>
    </row>
    <row r="234" spans="1:30">
      <c r="A234" s="21" t="s">
        <v>477</v>
      </c>
      <c r="B234" s="21" t="s">
        <v>478</v>
      </c>
      <c r="C234" s="23">
        <v>358</v>
      </c>
      <c r="D234" s="147">
        <v>54.07</v>
      </c>
      <c r="E234" s="22">
        <v>115.25</v>
      </c>
      <c r="F234" s="22">
        <v>169.32</v>
      </c>
      <c r="G234" s="22">
        <v>0</v>
      </c>
      <c r="H234" s="22">
        <v>27</v>
      </c>
      <c r="I234" s="22">
        <v>3.9</v>
      </c>
      <c r="J234" s="22">
        <v>142.76</v>
      </c>
      <c r="K234" s="22">
        <v>4.8</v>
      </c>
      <c r="L234" s="22">
        <v>0</v>
      </c>
      <c r="M234" s="388">
        <v>1379.46</v>
      </c>
      <c r="N234" s="25">
        <v>0.50660000000000005</v>
      </c>
      <c r="O234" s="24">
        <v>378</v>
      </c>
      <c r="P234" s="24">
        <v>18.75</v>
      </c>
      <c r="Q234" s="24">
        <v>16.25</v>
      </c>
      <c r="R234" s="22">
        <v>2.5</v>
      </c>
      <c r="S234" s="24">
        <v>0.75</v>
      </c>
      <c r="T234" s="24">
        <f t="shared" si="13"/>
        <v>19.5</v>
      </c>
      <c r="U234" s="376">
        <v>698.83</v>
      </c>
      <c r="V234" s="376">
        <v>68.97</v>
      </c>
      <c r="W234" s="22">
        <f t="shared" si="14"/>
        <v>354.02727800000008</v>
      </c>
      <c r="X234" s="22">
        <f t="shared" si="15"/>
        <v>192.25</v>
      </c>
      <c r="Y234" s="22">
        <v>134</v>
      </c>
      <c r="Z234" s="22">
        <v>58.25</v>
      </c>
      <c r="AA234" s="371">
        <v>1453.6</v>
      </c>
      <c r="AB234" s="22">
        <v>0.1322578425976885</v>
      </c>
      <c r="AC234" s="24">
        <v>0</v>
      </c>
      <c r="AD234" s="384">
        <v>0</v>
      </c>
    </row>
    <row r="235" spans="1:30">
      <c r="A235" s="21" t="s">
        <v>203</v>
      </c>
      <c r="B235" s="21" t="s">
        <v>204</v>
      </c>
      <c r="C235" s="23">
        <v>884</v>
      </c>
      <c r="D235" s="147">
        <v>31.78</v>
      </c>
      <c r="E235" s="22">
        <v>158.94</v>
      </c>
      <c r="F235" s="22">
        <v>190.72</v>
      </c>
      <c r="G235" s="22">
        <v>0</v>
      </c>
      <c r="H235" s="22">
        <v>107</v>
      </c>
      <c r="I235" s="22">
        <v>5.53</v>
      </c>
      <c r="J235" s="22">
        <v>189.19</v>
      </c>
      <c r="K235" s="22">
        <v>0</v>
      </c>
      <c r="L235" s="22">
        <v>0</v>
      </c>
      <c r="M235" s="388">
        <v>3267.7200000000003</v>
      </c>
      <c r="N235" s="25">
        <v>0.1303</v>
      </c>
      <c r="O235" s="24">
        <v>0</v>
      </c>
      <c r="P235" s="24">
        <v>193.75</v>
      </c>
      <c r="Q235" s="24">
        <v>144</v>
      </c>
      <c r="R235" s="22">
        <v>49.75</v>
      </c>
      <c r="S235" s="24">
        <v>48.25</v>
      </c>
      <c r="T235" s="24">
        <f t="shared" si="13"/>
        <v>242</v>
      </c>
      <c r="U235" s="376">
        <v>425.78</v>
      </c>
      <c r="V235" s="376">
        <v>163.38999999999999</v>
      </c>
      <c r="W235" s="22">
        <f t="shared" si="14"/>
        <v>55.479133999999995</v>
      </c>
      <c r="X235" s="22">
        <f t="shared" si="15"/>
        <v>313.5</v>
      </c>
      <c r="Y235" s="22">
        <v>238</v>
      </c>
      <c r="Z235" s="22">
        <v>75.5</v>
      </c>
      <c r="AA235" s="371">
        <v>3036.45</v>
      </c>
      <c r="AB235" s="22">
        <v>0.10324556636862126</v>
      </c>
      <c r="AC235" s="24">
        <v>0</v>
      </c>
      <c r="AD235" s="384">
        <v>0</v>
      </c>
    </row>
    <row r="236" spans="1:30">
      <c r="A236" s="21" t="s">
        <v>519</v>
      </c>
      <c r="B236" s="21" t="s">
        <v>520</v>
      </c>
      <c r="C236" s="23">
        <v>609</v>
      </c>
      <c r="D236" s="147">
        <v>0</v>
      </c>
      <c r="E236" s="22">
        <v>109.39</v>
      </c>
      <c r="F236" s="22">
        <v>109.39</v>
      </c>
      <c r="G236" s="22">
        <v>0</v>
      </c>
      <c r="H236" s="22">
        <v>70</v>
      </c>
      <c r="I236" s="22">
        <v>5.73</v>
      </c>
      <c r="J236" s="22">
        <v>29</v>
      </c>
      <c r="K236" s="22">
        <v>8.6</v>
      </c>
      <c r="L236" s="22">
        <v>0</v>
      </c>
      <c r="M236" s="388">
        <v>2079.33</v>
      </c>
      <c r="N236" s="25">
        <v>0.51419999999999999</v>
      </c>
      <c r="O236" s="24">
        <v>1457</v>
      </c>
      <c r="P236" s="24">
        <v>203</v>
      </c>
      <c r="Q236" s="24">
        <v>140.5</v>
      </c>
      <c r="R236" s="22">
        <v>62.5</v>
      </c>
      <c r="S236" s="24">
        <v>22.5</v>
      </c>
      <c r="T236" s="24">
        <f t="shared" si="13"/>
        <v>225.5</v>
      </c>
      <c r="U236" s="376">
        <v>1069.19</v>
      </c>
      <c r="V236" s="376">
        <v>103.97</v>
      </c>
      <c r="W236" s="22">
        <f t="shared" si="14"/>
        <v>549.77749800000004</v>
      </c>
      <c r="X236" s="22">
        <f t="shared" si="15"/>
        <v>272.5</v>
      </c>
      <c r="Y236" s="22">
        <v>176.5</v>
      </c>
      <c r="Z236" s="22">
        <v>96</v>
      </c>
      <c r="AA236" s="371">
        <v>2099.4699999999998</v>
      </c>
      <c r="AB236" s="22">
        <v>0.12979466246243102</v>
      </c>
      <c r="AC236" s="24">
        <v>0</v>
      </c>
      <c r="AD236" s="384">
        <v>0</v>
      </c>
    </row>
    <row r="237" spans="1:30">
      <c r="A237" s="21" t="s">
        <v>263</v>
      </c>
      <c r="B237" s="21" t="s">
        <v>264</v>
      </c>
      <c r="C237" s="23">
        <v>12</v>
      </c>
      <c r="D237" s="147">
        <v>0</v>
      </c>
      <c r="E237" s="22">
        <v>0</v>
      </c>
      <c r="F237" s="22">
        <v>0</v>
      </c>
      <c r="G237" s="22">
        <v>0</v>
      </c>
      <c r="H237" s="22">
        <v>0</v>
      </c>
      <c r="I237" s="22">
        <v>0</v>
      </c>
      <c r="J237" s="22">
        <v>0</v>
      </c>
      <c r="K237" s="22">
        <v>0</v>
      </c>
      <c r="L237" s="22">
        <v>0</v>
      </c>
      <c r="M237" s="388">
        <v>29</v>
      </c>
      <c r="N237" s="25">
        <v>0</v>
      </c>
      <c r="O237" s="24">
        <v>0</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-5708.8597179535882</v>
      </c>
    </row>
    <row r="238" spans="1:30">
      <c r="A238" s="21" t="s">
        <v>575</v>
      </c>
      <c r="B238" s="21" t="s">
        <v>576</v>
      </c>
      <c r="C238" s="23">
        <v>50</v>
      </c>
      <c r="D238" s="147">
        <v>2.35</v>
      </c>
      <c r="E238" s="22">
        <v>5.3</v>
      </c>
      <c r="F238" s="22">
        <v>7.65</v>
      </c>
      <c r="G238" s="22">
        <v>0</v>
      </c>
      <c r="H238" s="22">
        <v>2</v>
      </c>
      <c r="I238" s="22">
        <v>0</v>
      </c>
      <c r="J238" s="22">
        <v>0</v>
      </c>
      <c r="K238" s="22">
        <v>0</v>
      </c>
      <c r="L238" s="22">
        <v>0</v>
      </c>
      <c r="M238" s="388">
        <v>155</v>
      </c>
      <c r="N238" s="25">
        <v>0.63690000000000002</v>
      </c>
      <c r="O238" s="24">
        <v>157</v>
      </c>
      <c r="P238" s="24">
        <v>0</v>
      </c>
      <c r="Q238" s="24">
        <v>0</v>
      </c>
      <c r="R238" s="22">
        <v>0</v>
      </c>
      <c r="S238" s="24">
        <v>0</v>
      </c>
      <c r="T238" s="24">
        <f t="shared" si="13"/>
        <v>0</v>
      </c>
      <c r="U238" s="376">
        <v>98.72</v>
      </c>
      <c r="V238" s="376">
        <v>0</v>
      </c>
      <c r="W238" s="22">
        <f t="shared" si="14"/>
        <v>62.874768000000003</v>
      </c>
      <c r="X238" s="22">
        <f t="shared" si="15"/>
        <v>18.25</v>
      </c>
      <c r="Y238" s="22">
        <v>14</v>
      </c>
      <c r="Z238" s="22">
        <v>4.25</v>
      </c>
      <c r="AA238" s="371">
        <v>153.38</v>
      </c>
      <c r="AB238" s="22">
        <v>0.11898552614421698</v>
      </c>
      <c r="AC238" s="24">
        <v>0</v>
      </c>
      <c r="AD238" s="384">
        <v>0</v>
      </c>
    </row>
    <row r="239" spans="1:30">
      <c r="A239" s="21" t="s">
        <v>131</v>
      </c>
      <c r="B239" s="21" t="s">
        <v>132</v>
      </c>
      <c r="C239" s="23">
        <v>504</v>
      </c>
      <c r="D239" s="147">
        <v>29.34</v>
      </c>
      <c r="E239" s="22">
        <v>89.68</v>
      </c>
      <c r="F239" s="22">
        <v>119.02000000000001</v>
      </c>
      <c r="G239" s="22">
        <v>0</v>
      </c>
      <c r="H239" s="22">
        <v>37</v>
      </c>
      <c r="I239" s="22">
        <v>1.98</v>
      </c>
      <c r="J239" s="22">
        <v>0</v>
      </c>
      <c r="K239" s="22">
        <v>6.6</v>
      </c>
      <c r="L239" s="22">
        <v>0</v>
      </c>
      <c r="M239" s="388">
        <v>1776.58</v>
      </c>
      <c r="N239" s="25">
        <v>0.78449999999999998</v>
      </c>
      <c r="O239" s="24">
        <v>1772</v>
      </c>
      <c r="P239" s="24">
        <v>749.75</v>
      </c>
      <c r="Q239" s="24">
        <v>458.25</v>
      </c>
      <c r="R239" s="22">
        <v>291.5</v>
      </c>
      <c r="S239" s="24">
        <v>135</v>
      </c>
      <c r="T239" s="24">
        <f t="shared" si="13"/>
        <v>884.75</v>
      </c>
      <c r="U239" s="376">
        <v>1393.73</v>
      </c>
      <c r="V239" s="376">
        <v>88.83</v>
      </c>
      <c r="W239" s="22">
        <f t="shared" si="14"/>
        <v>1093.381185</v>
      </c>
      <c r="X239" s="22">
        <f t="shared" si="15"/>
        <v>238.25</v>
      </c>
      <c r="Y239" s="22">
        <v>142.75</v>
      </c>
      <c r="Z239" s="22">
        <v>95.5</v>
      </c>
      <c r="AA239" s="371">
        <v>1767.14</v>
      </c>
      <c r="AB239" s="22">
        <v>0.13482236834659392</v>
      </c>
      <c r="AC239" s="24">
        <v>0</v>
      </c>
      <c r="AD239" s="384">
        <v>0</v>
      </c>
    </row>
    <row r="240" spans="1:30">
      <c r="A240" s="21" t="s">
        <v>399</v>
      </c>
      <c r="B240" s="21" t="s">
        <v>400</v>
      </c>
      <c r="C240" s="23">
        <v>197</v>
      </c>
      <c r="D240" s="147">
        <v>0</v>
      </c>
      <c r="E240" s="22">
        <v>23.73</v>
      </c>
      <c r="F240" s="22">
        <v>23.73</v>
      </c>
      <c r="G240" s="22">
        <v>0</v>
      </c>
      <c r="H240" s="22">
        <v>10</v>
      </c>
      <c r="I240" s="22">
        <v>0.62</v>
      </c>
      <c r="J240" s="22">
        <v>37.19</v>
      </c>
      <c r="K240" s="22">
        <v>4.5999999999999996</v>
      </c>
      <c r="L240" s="22">
        <v>0</v>
      </c>
      <c r="M240" s="388">
        <v>752.41</v>
      </c>
      <c r="N240" s="25">
        <v>0.4</v>
      </c>
      <c r="O240" s="24">
        <v>0</v>
      </c>
      <c r="P240" s="24">
        <v>48.5</v>
      </c>
      <c r="Q240" s="24">
        <v>30.5</v>
      </c>
      <c r="R240" s="22">
        <v>18</v>
      </c>
      <c r="S240" s="24">
        <v>12.5</v>
      </c>
      <c r="T240" s="24">
        <f t="shared" si="13"/>
        <v>61</v>
      </c>
      <c r="U240" s="376">
        <v>300.95999999999998</v>
      </c>
      <c r="V240" s="376">
        <v>37.619999999999997</v>
      </c>
      <c r="W240" s="22">
        <f t="shared" si="14"/>
        <v>120.384</v>
      </c>
      <c r="X240" s="22">
        <f t="shared" si="15"/>
        <v>137.25</v>
      </c>
      <c r="Y240" s="22">
        <v>118</v>
      </c>
      <c r="Z240" s="22">
        <v>19.25</v>
      </c>
      <c r="AA240" s="371">
        <v>777.82</v>
      </c>
      <c r="AB240" s="22">
        <v>0.17645470674449101</v>
      </c>
      <c r="AC240" s="24">
        <v>4.1454706744491004E-2</v>
      </c>
      <c r="AD240" s="384">
        <v>-321611.58110858034</v>
      </c>
    </row>
    <row r="241" spans="1:30">
      <c r="A241" s="21" t="s">
        <v>159</v>
      </c>
      <c r="B241" s="21" t="s">
        <v>160</v>
      </c>
      <c r="C241" s="23">
        <v>33</v>
      </c>
      <c r="D241" s="147">
        <v>0</v>
      </c>
      <c r="E241" s="22">
        <v>0</v>
      </c>
      <c r="F241" s="22">
        <v>0</v>
      </c>
      <c r="G241" s="22">
        <v>0</v>
      </c>
      <c r="H241" s="22">
        <v>0</v>
      </c>
      <c r="I241" s="22">
        <v>0</v>
      </c>
      <c r="J241" s="22">
        <v>0</v>
      </c>
      <c r="K241" s="22">
        <v>0</v>
      </c>
      <c r="L241" s="22">
        <v>0</v>
      </c>
      <c r="M241" s="388">
        <v>51</v>
      </c>
      <c r="N241" s="25">
        <v>0.62960000000000005</v>
      </c>
      <c r="O241" s="24">
        <v>54</v>
      </c>
      <c r="P241" s="24">
        <v>0</v>
      </c>
      <c r="Q241" s="24">
        <v>0</v>
      </c>
      <c r="R241" s="22">
        <v>0</v>
      </c>
      <c r="S241" s="24">
        <v>0</v>
      </c>
      <c r="T241" s="24">
        <f t="shared" si="13"/>
        <v>0</v>
      </c>
      <c r="U241" s="376">
        <v>32.11</v>
      </c>
      <c r="V241" s="376">
        <v>0</v>
      </c>
      <c r="W241" s="22">
        <f t="shared" si="14"/>
        <v>20.216456000000001</v>
      </c>
      <c r="X241" s="22">
        <f t="shared" si="15"/>
        <v>9.5</v>
      </c>
      <c r="Y241" s="22">
        <v>9.5</v>
      </c>
      <c r="Z241" s="22">
        <v>0</v>
      </c>
      <c r="AA241" s="371">
        <v>54</v>
      </c>
      <c r="AB241" s="22">
        <v>0.17592592592592593</v>
      </c>
      <c r="AC241" s="24">
        <v>4.0925925925925921E-2</v>
      </c>
      <c r="AD241" s="384">
        <v>-22307.957714382599</v>
      </c>
    </row>
    <row r="242" spans="1:30">
      <c r="A242" s="21" t="s">
        <v>183</v>
      </c>
      <c r="B242" s="21" t="s">
        <v>184</v>
      </c>
      <c r="C242" s="23">
        <v>17456</v>
      </c>
      <c r="D242" s="147">
        <v>172.69</v>
      </c>
      <c r="E242" s="22">
        <v>1541.82</v>
      </c>
      <c r="F242" s="22">
        <v>1714.51</v>
      </c>
      <c r="G242" s="22">
        <v>102.69</v>
      </c>
      <c r="H242" s="22">
        <v>1371</v>
      </c>
      <c r="I242" s="22">
        <v>26.6</v>
      </c>
      <c r="J242" s="22">
        <v>695.67000000000007</v>
      </c>
      <c r="K242" s="22">
        <v>63.4</v>
      </c>
      <c r="L242" s="22">
        <v>0</v>
      </c>
      <c r="M242" s="388">
        <v>53296.67</v>
      </c>
      <c r="N242" s="25">
        <v>0.40450000000000003</v>
      </c>
      <c r="O242" s="24">
        <v>14234</v>
      </c>
      <c r="P242" s="24">
        <v>6642.5</v>
      </c>
      <c r="Q242" s="24">
        <v>4369.75</v>
      </c>
      <c r="R242" s="22">
        <v>2272.75</v>
      </c>
      <c r="S242" s="24">
        <v>729.5</v>
      </c>
      <c r="T242" s="24">
        <f t="shared" si="13"/>
        <v>7372</v>
      </c>
      <c r="U242" s="376">
        <v>21558.5</v>
      </c>
      <c r="V242" s="376">
        <v>0</v>
      </c>
      <c r="W242" s="22">
        <f t="shared" si="14"/>
        <v>8720.4132500000014</v>
      </c>
      <c r="X242" s="22">
        <f t="shared" si="15"/>
        <v>6762</v>
      </c>
      <c r="Y242" s="22">
        <v>4672.5</v>
      </c>
      <c r="Z242" s="22">
        <v>2089.5</v>
      </c>
      <c r="AA242" s="371">
        <v>50600.91</v>
      </c>
      <c r="AB242" s="22">
        <v>0.13363396033786742</v>
      </c>
      <c r="AC242" s="24">
        <v>0</v>
      </c>
      <c r="AD242" s="384">
        <v>0</v>
      </c>
    </row>
    <row r="243" spans="1:30">
      <c r="A243" s="21" t="s">
        <v>405</v>
      </c>
      <c r="B243" s="21" t="s">
        <v>406</v>
      </c>
      <c r="C243" s="23">
        <v>1353</v>
      </c>
      <c r="D243" s="147">
        <v>23.22</v>
      </c>
      <c r="E243" s="22">
        <v>304.77</v>
      </c>
      <c r="F243" s="22">
        <v>327.99</v>
      </c>
      <c r="G243" s="22">
        <v>0</v>
      </c>
      <c r="H243" s="22">
        <v>39</v>
      </c>
      <c r="I243" s="22">
        <v>4.5</v>
      </c>
      <c r="J243" s="22">
        <v>169.23000000000002</v>
      </c>
      <c r="K243" s="22">
        <v>29.6</v>
      </c>
      <c r="L243" s="22">
        <v>0</v>
      </c>
      <c r="M243" s="388">
        <v>4639.33</v>
      </c>
      <c r="N243" s="25">
        <v>0.51629999999999998</v>
      </c>
      <c r="O243" s="24">
        <v>2163</v>
      </c>
      <c r="P243" s="24">
        <v>338.75</v>
      </c>
      <c r="Q243" s="24">
        <v>221</v>
      </c>
      <c r="R243" s="22">
        <v>117.75</v>
      </c>
      <c r="S243" s="24">
        <v>43.25</v>
      </c>
      <c r="T243" s="24">
        <f t="shared" si="13"/>
        <v>382</v>
      </c>
      <c r="U243" s="376">
        <v>2395.29</v>
      </c>
      <c r="V243" s="376">
        <v>231.97</v>
      </c>
      <c r="W243" s="22">
        <f t="shared" si="14"/>
        <v>1236.6882269999999</v>
      </c>
      <c r="X243" s="22">
        <f t="shared" si="15"/>
        <v>749.25</v>
      </c>
      <c r="Y243" s="22">
        <v>521.5</v>
      </c>
      <c r="Z243" s="22">
        <v>227.75</v>
      </c>
      <c r="AA243" s="371">
        <v>4341.6899999999996</v>
      </c>
      <c r="AB243" s="22">
        <v>0.17257104952219068</v>
      </c>
      <c r="AC243" s="24">
        <v>3.7571049522190675E-2</v>
      </c>
      <c r="AD243" s="384">
        <v>-1634083.7578696352</v>
      </c>
    </row>
    <row r="244" spans="1:30">
      <c r="A244" s="21" t="s">
        <v>589</v>
      </c>
      <c r="B244" s="21" t="s">
        <v>590</v>
      </c>
      <c r="C244" s="23">
        <v>1062</v>
      </c>
      <c r="D244" s="147">
        <v>22.18</v>
      </c>
      <c r="E244" s="22">
        <v>371.88</v>
      </c>
      <c r="F244" s="22">
        <v>394.06</v>
      </c>
      <c r="G244" s="22">
        <v>0</v>
      </c>
      <c r="H244" s="22">
        <v>45</v>
      </c>
      <c r="I244" s="22">
        <v>2.69</v>
      </c>
      <c r="J244" s="22">
        <v>98.5</v>
      </c>
      <c r="K244" s="22">
        <v>11.8</v>
      </c>
      <c r="L244" s="22">
        <v>0</v>
      </c>
      <c r="M244" s="388">
        <v>3685.9900000000002</v>
      </c>
      <c r="N244" s="25">
        <v>0.55589999999999995</v>
      </c>
      <c r="O244" s="24">
        <v>2472</v>
      </c>
      <c r="P244" s="24">
        <v>333.5</v>
      </c>
      <c r="Q244" s="24">
        <v>233.25</v>
      </c>
      <c r="R244" s="22">
        <v>100.25</v>
      </c>
      <c r="S244" s="24">
        <v>48</v>
      </c>
      <c r="T244" s="24">
        <f t="shared" si="13"/>
        <v>381.5</v>
      </c>
      <c r="U244" s="376">
        <v>2046.83</v>
      </c>
      <c r="V244" s="376">
        <v>184.3</v>
      </c>
      <c r="W244" s="22">
        <f t="shared" si="14"/>
        <v>1137.8327969999998</v>
      </c>
      <c r="X244" s="22">
        <f t="shared" si="15"/>
        <v>437.5</v>
      </c>
      <c r="Y244" s="22">
        <v>373.5</v>
      </c>
      <c r="Z244" s="22">
        <v>64</v>
      </c>
      <c r="AA244" s="371">
        <v>3654.15</v>
      </c>
      <c r="AB244" s="22">
        <v>0.11972688586949085</v>
      </c>
      <c r="AC244" s="24">
        <v>0</v>
      </c>
      <c r="AD244" s="384">
        <v>0</v>
      </c>
    </row>
    <row r="245" spans="1:30">
      <c r="A245" s="21" t="s">
        <v>359</v>
      </c>
      <c r="B245" s="21" t="s">
        <v>360</v>
      </c>
      <c r="C245" s="23">
        <v>74</v>
      </c>
      <c r="D245" s="147">
        <v>5.86</v>
      </c>
      <c r="E245" s="22">
        <v>12.2</v>
      </c>
      <c r="F245" s="22">
        <v>18.059999999999999</v>
      </c>
      <c r="G245" s="22">
        <v>0</v>
      </c>
      <c r="H245" s="22">
        <v>4</v>
      </c>
      <c r="I245" s="22">
        <v>0.2</v>
      </c>
      <c r="J245" s="22">
        <v>0</v>
      </c>
      <c r="K245" s="22">
        <v>0</v>
      </c>
      <c r="L245" s="22">
        <v>0</v>
      </c>
      <c r="M245" s="388">
        <v>235.2</v>
      </c>
      <c r="N245" s="25">
        <v>0.58299999999999996</v>
      </c>
      <c r="O245" s="24">
        <v>174</v>
      </c>
      <c r="P245" s="24">
        <v>0</v>
      </c>
      <c r="Q245" s="24">
        <v>0</v>
      </c>
      <c r="R245" s="22">
        <v>0</v>
      </c>
      <c r="S245" s="24">
        <v>0</v>
      </c>
      <c r="T245" s="24">
        <f t="shared" si="13"/>
        <v>0</v>
      </c>
      <c r="U245" s="376">
        <v>137.12</v>
      </c>
      <c r="V245" s="376">
        <v>0</v>
      </c>
      <c r="W245" s="22">
        <f t="shared" si="14"/>
        <v>79.940960000000004</v>
      </c>
      <c r="X245" s="22">
        <f t="shared" si="15"/>
        <v>44.25</v>
      </c>
      <c r="Y245" s="22">
        <v>28.75</v>
      </c>
      <c r="Z245" s="22">
        <v>15.5</v>
      </c>
      <c r="AA245" s="371">
        <v>234.57</v>
      </c>
      <c r="AB245" s="22">
        <v>0.18864304898324594</v>
      </c>
      <c r="AC245" s="24">
        <v>5.3643048983245928E-2</v>
      </c>
      <c r="AD245" s="384">
        <v>-116785.80497709612</v>
      </c>
    </row>
    <row r="246" spans="1:30">
      <c r="A246" s="21" t="s">
        <v>47</v>
      </c>
      <c r="B246" s="21" t="s">
        <v>48</v>
      </c>
      <c r="C246" s="23">
        <v>683</v>
      </c>
      <c r="D246" s="147">
        <v>11.93</v>
      </c>
      <c r="E246" s="22">
        <v>212.51</v>
      </c>
      <c r="F246" s="22">
        <v>224.44</v>
      </c>
      <c r="G246" s="22">
        <v>0</v>
      </c>
      <c r="H246" s="22">
        <v>75</v>
      </c>
      <c r="I246" s="22">
        <v>7.55</v>
      </c>
      <c r="J246" s="22">
        <v>219.85</v>
      </c>
      <c r="K246" s="22">
        <v>0</v>
      </c>
      <c r="L246" s="22">
        <v>0</v>
      </c>
      <c r="M246" s="388">
        <v>2690.4</v>
      </c>
      <c r="N246" s="25">
        <v>0.44390000000000002</v>
      </c>
      <c r="O246" s="24">
        <v>0</v>
      </c>
      <c r="P246" s="24">
        <v>47.5</v>
      </c>
      <c r="Q246" s="24">
        <v>34.75</v>
      </c>
      <c r="R246" s="22">
        <v>12.75</v>
      </c>
      <c r="S246" s="24">
        <v>12</v>
      </c>
      <c r="T246" s="24">
        <f t="shared" si="13"/>
        <v>59.5</v>
      </c>
      <c r="U246" s="376">
        <v>1194.81</v>
      </c>
      <c r="V246" s="376">
        <v>134.52000000000001</v>
      </c>
      <c r="W246" s="22">
        <f t="shared" si="14"/>
        <v>530.37615900000003</v>
      </c>
      <c r="X246" s="22">
        <f t="shared" si="15"/>
        <v>394.25</v>
      </c>
      <c r="Y246" s="22">
        <v>345.25</v>
      </c>
      <c r="Z246" s="22">
        <v>49</v>
      </c>
      <c r="AA246" s="371">
        <v>2549.21</v>
      </c>
      <c r="AB246" s="22">
        <v>0.1546557560969869</v>
      </c>
      <c r="AC246" s="24">
        <v>1.9655756096986887E-2</v>
      </c>
      <c r="AD246" s="384">
        <v>-479365.14372236258</v>
      </c>
    </row>
    <row r="247" spans="1:30">
      <c r="A247" s="21" t="s">
        <v>393</v>
      </c>
      <c r="B247" s="21" t="s">
        <v>394</v>
      </c>
      <c r="C247" s="23">
        <v>6</v>
      </c>
      <c r="D247" s="147">
        <v>0</v>
      </c>
      <c r="E247" s="22">
        <v>0</v>
      </c>
      <c r="F247" s="22">
        <v>0</v>
      </c>
      <c r="G247" s="22">
        <v>0</v>
      </c>
      <c r="H247" s="22">
        <v>0</v>
      </c>
      <c r="I247" s="22">
        <v>0</v>
      </c>
      <c r="J247" s="22">
        <v>0</v>
      </c>
      <c r="K247" s="22">
        <v>0</v>
      </c>
      <c r="L247" s="22">
        <v>0</v>
      </c>
      <c r="M247" s="388">
        <v>11</v>
      </c>
      <c r="N247" s="25">
        <v>0</v>
      </c>
      <c r="O247" s="24">
        <v>0</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1078</v>
      </c>
      <c r="D248" s="147">
        <v>113.39</v>
      </c>
      <c r="E248" s="22">
        <v>674.94</v>
      </c>
      <c r="F248" s="22">
        <v>788.33</v>
      </c>
      <c r="G248" s="22">
        <v>0</v>
      </c>
      <c r="H248" s="22">
        <v>70</v>
      </c>
      <c r="I248" s="22">
        <v>4.6900000000000004</v>
      </c>
      <c r="J248" s="22">
        <v>151.6</v>
      </c>
      <c r="K248" s="22">
        <v>42</v>
      </c>
      <c r="L248" s="22">
        <v>0</v>
      </c>
      <c r="M248" s="388">
        <v>4306.29</v>
      </c>
      <c r="N248" s="25">
        <v>0.6734</v>
      </c>
      <c r="O248" s="24">
        <v>4307</v>
      </c>
      <c r="P248" s="24">
        <v>909.25</v>
      </c>
      <c r="Q248" s="24">
        <v>594.25</v>
      </c>
      <c r="R248" s="22">
        <v>315</v>
      </c>
      <c r="S248" s="24">
        <v>46.75</v>
      </c>
      <c r="T248" s="24">
        <f t="shared" si="13"/>
        <v>956</v>
      </c>
      <c r="U248" s="376">
        <v>2899.86</v>
      </c>
      <c r="V248" s="376">
        <v>215.31</v>
      </c>
      <c r="W248" s="22">
        <f t="shared" si="14"/>
        <v>1952.7657240000001</v>
      </c>
      <c r="X248" s="22">
        <f t="shared" si="15"/>
        <v>554.75</v>
      </c>
      <c r="Y248" s="22">
        <v>424.5</v>
      </c>
      <c r="Z248" s="22">
        <v>130.25</v>
      </c>
      <c r="AA248" s="371">
        <v>4294.49</v>
      </c>
      <c r="AB248" s="22">
        <v>0.1291771549124576</v>
      </c>
      <c r="AC248" s="24">
        <v>0</v>
      </c>
      <c r="AD248" s="384">
        <v>0</v>
      </c>
    </row>
    <row r="249" spans="1:30">
      <c r="A249" s="21" t="s">
        <v>213</v>
      </c>
      <c r="B249" s="21" t="s">
        <v>214</v>
      </c>
      <c r="C249" s="23">
        <v>2608</v>
      </c>
      <c r="D249" s="147">
        <v>34.69</v>
      </c>
      <c r="E249" s="22">
        <v>407.12</v>
      </c>
      <c r="F249" s="22">
        <v>441.81</v>
      </c>
      <c r="G249" s="22">
        <v>0</v>
      </c>
      <c r="H249" s="22">
        <v>265</v>
      </c>
      <c r="I249" s="22">
        <v>7.61</v>
      </c>
      <c r="J249" s="22">
        <v>113.21</v>
      </c>
      <c r="K249" s="22">
        <v>0</v>
      </c>
      <c r="L249" s="22">
        <v>0</v>
      </c>
      <c r="M249" s="388">
        <v>9542.82</v>
      </c>
      <c r="N249" s="25">
        <v>0.2676</v>
      </c>
      <c r="O249" s="24">
        <v>0</v>
      </c>
      <c r="P249" s="24">
        <v>838.5</v>
      </c>
      <c r="Q249" s="24">
        <v>599.5</v>
      </c>
      <c r="R249" s="22">
        <v>239</v>
      </c>
      <c r="S249" s="24">
        <v>201</v>
      </c>
      <c r="T249" s="24">
        <f t="shared" si="13"/>
        <v>1039.5</v>
      </c>
      <c r="U249" s="376">
        <v>2553.66</v>
      </c>
      <c r="V249" s="376">
        <v>477.14</v>
      </c>
      <c r="W249" s="22">
        <f t="shared" si="14"/>
        <v>683.35941600000001</v>
      </c>
      <c r="X249" s="22">
        <f t="shared" si="15"/>
        <v>1033.5</v>
      </c>
      <c r="Y249" s="22">
        <v>713</v>
      </c>
      <c r="Z249" s="22">
        <v>320.5</v>
      </c>
      <c r="AA249" s="371">
        <v>9103.58</v>
      </c>
      <c r="AB249" s="22">
        <v>0.11352676639300144</v>
      </c>
      <c r="AC249" s="24">
        <v>0</v>
      </c>
      <c r="AD249" s="384">
        <v>0</v>
      </c>
    </row>
    <row r="250" spans="1:30">
      <c r="A250" s="21" t="s">
        <v>415</v>
      </c>
      <c r="B250" s="21" t="s">
        <v>416</v>
      </c>
      <c r="C250" s="23">
        <v>38</v>
      </c>
      <c r="D250" s="147">
        <v>0</v>
      </c>
      <c r="E250" s="22">
        <v>0</v>
      </c>
      <c r="F250" s="22">
        <v>0</v>
      </c>
      <c r="G250" s="22">
        <v>0</v>
      </c>
      <c r="H250" s="22">
        <v>0</v>
      </c>
      <c r="I250" s="22">
        <v>0</v>
      </c>
      <c r="J250" s="22">
        <v>0</v>
      </c>
      <c r="K250" s="22">
        <v>0</v>
      </c>
      <c r="L250" s="22">
        <v>0</v>
      </c>
      <c r="M250" s="388">
        <v>69</v>
      </c>
      <c r="N250" s="25">
        <v>0.66269999999999996</v>
      </c>
      <c r="O250" s="24">
        <v>70</v>
      </c>
      <c r="P250" s="24">
        <v>0</v>
      </c>
      <c r="Q250" s="24">
        <v>0</v>
      </c>
      <c r="R250" s="22">
        <v>0</v>
      </c>
      <c r="S250" s="24">
        <v>0</v>
      </c>
      <c r="T250" s="24">
        <f t="shared" si="13"/>
        <v>0</v>
      </c>
      <c r="U250" s="376">
        <v>45.73</v>
      </c>
      <c r="V250" s="376">
        <v>0</v>
      </c>
      <c r="W250" s="22">
        <f t="shared" si="14"/>
        <v>30.305270999999998</v>
      </c>
      <c r="X250" s="22">
        <f t="shared" si="15"/>
        <v>9</v>
      </c>
      <c r="Y250" s="22">
        <v>9</v>
      </c>
      <c r="Z250" s="22">
        <v>0</v>
      </c>
      <c r="AA250" s="371">
        <v>65.2</v>
      </c>
      <c r="AB250" s="22">
        <v>0.1380368098159509</v>
      </c>
      <c r="AC250" s="24">
        <v>3.0368098159508916E-3</v>
      </c>
      <c r="AD250" s="384">
        <v>-1945.6518837121023</v>
      </c>
    </row>
    <row r="251" spans="1:30">
      <c r="A251" s="21" t="s">
        <v>197</v>
      </c>
      <c r="B251" s="21" t="s">
        <v>198</v>
      </c>
      <c r="C251" s="23">
        <v>8</v>
      </c>
      <c r="D251" s="147">
        <v>0</v>
      </c>
      <c r="E251" s="22">
        <v>0</v>
      </c>
      <c r="F251" s="22">
        <v>0</v>
      </c>
      <c r="G251" s="22">
        <v>0</v>
      </c>
      <c r="H251" s="22">
        <v>0</v>
      </c>
      <c r="I251" s="22">
        <v>0</v>
      </c>
      <c r="J251" s="22">
        <v>0</v>
      </c>
      <c r="K251" s="22">
        <v>0</v>
      </c>
      <c r="L251" s="22">
        <v>0</v>
      </c>
      <c r="M251" s="388">
        <v>43</v>
      </c>
      <c r="N251" s="25">
        <v>0.87760000000000005</v>
      </c>
      <c r="O251" s="24">
        <v>38</v>
      </c>
      <c r="P251" s="24">
        <v>1</v>
      </c>
      <c r="Q251" s="24">
        <v>1</v>
      </c>
      <c r="R251" s="22">
        <v>0</v>
      </c>
      <c r="S251" s="24">
        <v>0</v>
      </c>
      <c r="T251" s="24">
        <f t="shared" si="13"/>
        <v>1</v>
      </c>
      <c r="U251" s="376">
        <v>37.74</v>
      </c>
      <c r="V251" s="376">
        <v>0</v>
      </c>
      <c r="W251" s="22">
        <f t="shared" si="14"/>
        <v>33.120624000000007</v>
      </c>
      <c r="X251" s="22">
        <f t="shared" si="15"/>
        <v>12.5</v>
      </c>
      <c r="Y251" s="22">
        <v>12.5</v>
      </c>
      <c r="Z251" s="22">
        <v>0</v>
      </c>
      <c r="AA251" s="371">
        <v>36.19</v>
      </c>
      <c r="AB251" s="22">
        <v>0.34539928156949434</v>
      </c>
      <c r="AC251" s="24">
        <v>0.21039928156949433</v>
      </c>
      <c r="AD251" s="384">
        <v>-77269.578061742039</v>
      </c>
    </row>
    <row r="252" spans="1:30">
      <c r="A252" s="21" t="s">
        <v>439</v>
      </c>
      <c r="B252" s="21" t="s">
        <v>440</v>
      </c>
      <c r="C252" s="23">
        <v>2405</v>
      </c>
      <c r="D252" s="147">
        <v>126.33</v>
      </c>
      <c r="E252" s="22">
        <v>411.38</v>
      </c>
      <c r="F252" s="22">
        <v>537.71</v>
      </c>
      <c r="G252" s="22">
        <v>0</v>
      </c>
      <c r="H252" s="22">
        <v>261</v>
      </c>
      <c r="I252" s="22">
        <v>13.25</v>
      </c>
      <c r="J252" s="22">
        <v>212.76</v>
      </c>
      <c r="K252" s="22">
        <v>0</v>
      </c>
      <c r="L252" s="22">
        <v>0</v>
      </c>
      <c r="M252" s="388">
        <v>9152.01</v>
      </c>
      <c r="N252" s="25">
        <v>0.19320000000000001</v>
      </c>
      <c r="O252" s="24">
        <v>0</v>
      </c>
      <c r="P252" s="24">
        <v>363.75</v>
      </c>
      <c r="Q252" s="24">
        <v>260.75</v>
      </c>
      <c r="R252" s="22">
        <v>103</v>
      </c>
      <c r="S252" s="24">
        <v>150.75</v>
      </c>
      <c r="T252" s="24">
        <f t="shared" si="13"/>
        <v>514.5</v>
      </c>
      <c r="U252" s="376">
        <v>1769.08</v>
      </c>
      <c r="V252" s="376">
        <v>457.6</v>
      </c>
      <c r="W252" s="22">
        <f t="shared" si="14"/>
        <v>341.78625599999998</v>
      </c>
      <c r="X252" s="22">
        <f t="shared" si="15"/>
        <v>1112.25</v>
      </c>
      <c r="Y252" s="22">
        <v>680.25</v>
      </c>
      <c r="Z252" s="22">
        <v>432</v>
      </c>
      <c r="AA252" s="371">
        <v>9338.4500000000007</v>
      </c>
      <c r="AB252" s="22">
        <v>0.11910434815199523</v>
      </c>
      <c r="AC252" s="24">
        <v>0</v>
      </c>
      <c r="AD252" s="384">
        <v>0</v>
      </c>
    </row>
    <row r="253" spans="1:30">
      <c r="A253" s="21" t="s">
        <v>209</v>
      </c>
      <c r="B253" s="21" t="s">
        <v>210</v>
      </c>
      <c r="C253" s="23">
        <v>2043</v>
      </c>
      <c r="D253" s="147">
        <v>71.22</v>
      </c>
      <c r="E253" s="22">
        <v>378.43</v>
      </c>
      <c r="F253" s="22">
        <v>449.65</v>
      </c>
      <c r="G253" s="22">
        <v>0</v>
      </c>
      <c r="H253" s="22">
        <v>285</v>
      </c>
      <c r="I253" s="22">
        <v>21.38</v>
      </c>
      <c r="J253" s="22">
        <v>250.78</v>
      </c>
      <c r="K253" s="22">
        <v>16.399999999999999</v>
      </c>
      <c r="L253" s="22">
        <v>0</v>
      </c>
      <c r="M253" s="388">
        <v>7310.5599999999995</v>
      </c>
      <c r="N253" s="25">
        <v>0.10589999999999999</v>
      </c>
      <c r="O253" s="24">
        <v>0</v>
      </c>
      <c r="P253" s="24">
        <v>255</v>
      </c>
      <c r="Q253" s="24">
        <v>185.75</v>
      </c>
      <c r="R253" s="22">
        <v>69.25</v>
      </c>
      <c r="S253" s="24">
        <v>99.5</v>
      </c>
      <c r="T253" s="24">
        <f t="shared" si="13"/>
        <v>354.5</v>
      </c>
      <c r="U253" s="376">
        <v>774.92</v>
      </c>
      <c r="V253" s="376">
        <v>365.53</v>
      </c>
      <c r="W253" s="22">
        <f t="shared" si="14"/>
        <v>82.064027999999993</v>
      </c>
      <c r="X253" s="22">
        <f t="shared" si="15"/>
        <v>660.25</v>
      </c>
      <c r="Y253" s="22">
        <v>424.5</v>
      </c>
      <c r="Z253" s="22">
        <v>235.75</v>
      </c>
      <c r="AA253" s="371">
        <v>7136.8</v>
      </c>
      <c r="AB253" s="22">
        <v>9.2513451406792957E-2</v>
      </c>
      <c r="AC253" s="24">
        <v>0</v>
      </c>
      <c r="AD253" s="384">
        <v>0</v>
      </c>
    </row>
    <row r="254" spans="1:30">
      <c r="A254" s="21" t="s">
        <v>129</v>
      </c>
      <c r="B254" s="21" t="s">
        <v>130</v>
      </c>
      <c r="C254" s="23">
        <v>151</v>
      </c>
      <c r="D254" s="147">
        <v>1.1399999999999999</v>
      </c>
      <c r="E254" s="22">
        <v>26.59</v>
      </c>
      <c r="F254" s="22">
        <v>27.73</v>
      </c>
      <c r="G254" s="22">
        <v>0</v>
      </c>
      <c r="H254" s="22">
        <v>18</v>
      </c>
      <c r="I254" s="22">
        <v>1.35</v>
      </c>
      <c r="J254" s="22">
        <v>25.42</v>
      </c>
      <c r="K254" s="22">
        <v>0</v>
      </c>
      <c r="L254" s="22">
        <v>0</v>
      </c>
      <c r="M254" s="388">
        <v>537.77</v>
      </c>
      <c r="N254" s="25">
        <v>0.79569999999999996</v>
      </c>
      <c r="O254" s="24">
        <v>553</v>
      </c>
      <c r="P254" s="24">
        <v>92.5</v>
      </c>
      <c r="Q254" s="24">
        <v>54.75</v>
      </c>
      <c r="R254" s="22">
        <v>37.75</v>
      </c>
      <c r="S254" s="24">
        <v>28</v>
      </c>
      <c r="T254" s="24">
        <f t="shared" si="13"/>
        <v>120.5</v>
      </c>
      <c r="U254" s="376">
        <v>427.9</v>
      </c>
      <c r="V254" s="376">
        <v>26.89</v>
      </c>
      <c r="W254" s="22">
        <f t="shared" si="14"/>
        <v>340.48002999999994</v>
      </c>
      <c r="X254" s="22">
        <f t="shared" si="15"/>
        <v>105</v>
      </c>
      <c r="Y254" s="22">
        <v>90</v>
      </c>
      <c r="Z254" s="22">
        <v>15</v>
      </c>
      <c r="AA254" s="371">
        <v>556.11</v>
      </c>
      <c r="AB254" s="22">
        <v>0.18881156605707503</v>
      </c>
      <c r="AC254" s="24">
        <v>5.3811566057075017E-2</v>
      </c>
      <c r="AD254" s="384">
        <v>-276224.24218262435</v>
      </c>
    </row>
    <row r="255" spans="1:30">
      <c r="A255" s="21" t="s">
        <v>347</v>
      </c>
      <c r="B255" s="21" t="s">
        <v>348</v>
      </c>
      <c r="C255" s="23">
        <v>151</v>
      </c>
      <c r="D255" s="147">
        <v>5.98</v>
      </c>
      <c r="E255" s="22">
        <v>36.42</v>
      </c>
      <c r="F255" s="22">
        <v>42.400000000000006</v>
      </c>
      <c r="G255" s="22">
        <v>0</v>
      </c>
      <c r="H255" s="22">
        <v>10</v>
      </c>
      <c r="I255" s="22">
        <v>0.17</v>
      </c>
      <c r="J255" s="22">
        <v>34.730000000000004</v>
      </c>
      <c r="K255" s="22">
        <v>0</v>
      </c>
      <c r="L255" s="22">
        <v>0</v>
      </c>
      <c r="M255" s="388">
        <v>530.9</v>
      </c>
      <c r="N255" s="25">
        <v>0.70199999999999996</v>
      </c>
      <c r="O255" s="24">
        <v>522</v>
      </c>
      <c r="P255" s="24">
        <v>87.25</v>
      </c>
      <c r="Q255" s="24">
        <v>51.5</v>
      </c>
      <c r="R255" s="22">
        <v>35.75</v>
      </c>
      <c r="S255" s="24">
        <v>9.25</v>
      </c>
      <c r="T255" s="24">
        <f t="shared" si="13"/>
        <v>96.5</v>
      </c>
      <c r="U255" s="376">
        <v>373.06</v>
      </c>
      <c r="V255" s="376">
        <v>0</v>
      </c>
      <c r="W255" s="22">
        <f t="shared" si="14"/>
        <v>261.88811999999996</v>
      </c>
      <c r="X255" s="22">
        <f t="shared" si="15"/>
        <v>75.25</v>
      </c>
      <c r="Y255" s="22">
        <v>26</v>
      </c>
      <c r="Z255" s="22">
        <v>49.25</v>
      </c>
      <c r="AA255" s="371">
        <v>552.07000000000005</v>
      </c>
      <c r="AB255" s="22">
        <v>0.136305178691108</v>
      </c>
      <c r="AC255" s="24">
        <v>1.3051786911079943E-3</v>
      </c>
      <c r="AD255" s="384">
        <v>-6619.5449911302348</v>
      </c>
    </row>
    <row r="256" spans="1:30">
      <c r="A256" s="21" t="s">
        <v>235</v>
      </c>
      <c r="B256" s="21" t="s">
        <v>236</v>
      </c>
      <c r="C256" s="23">
        <v>2880</v>
      </c>
      <c r="D256" s="147">
        <v>253.12</v>
      </c>
      <c r="E256" s="22">
        <v>627.89</v>
      </c>
      <c r="F256" s="22">
        <v>881.01</v>
      </c>
      <c r="G256" s="22">
        <v>0</v>
      </c>
      <c r="H256" s="22">
        <v>247</v>
      </c>
      <c r="I256" s="22">
        <v>9.8800000000000008</v>
      </c>
      <c r="J256" s="22">
        <v>1336.1599999999999</v>
      </c>
      <c r="K256" s="22">
        <v>0</v>
      </c>
      <c r="L256" s="22">
        <v>0</v>
      </c>
      <c r="M256" s="388">
        <v>10445.039999999999</v>
      </c>
      <c r="N256" s="25">
        <v>0.37280000000000002</v>
      </c>
      <c r="O256" s="24">
        <v>630</v>
      </c>
      <c r="P256" s="24">
        <v>238.75</v>
      </c>
      <c r="Q256" s="24">
        <v>147.75</v>
      </c>
      <c r="R256" s="22">
        <v>91</v>
      </c>
      <c r="S256" s="24">
        <v>34</v>
      </c>
      <c r="T256" s="24">
        <f t="shared" si="13"/>
        <v>272.75</v>
      </c>
      <c r="U256" s="376">
        <v>3893.91</v>
      </c>
      <c r="V256" s="376">
        <v>522.25</v>
      </c>
      <c r="W256" s="22">
        <f t="shared" si="14"/>
        <v>1451.6496480000001</v>
      </c>
      <c r="X256" s="22">
        <f t="shared" si="15"/>
        <v>1394</v>
      </c>
      <c r="Y256" s="22">
        <v>868</v>
      </c>
      <c r="Z256" s="22">
        <v>526</v>
      </c>
      <c r="AA256" s="371">
        <v>9722.91</v>
      </c>
      <c r="AB256" s="22">
        <v>0.14337271454739373</v>
      </c>
      <c r="AC256" s="24">
        <v>8.372714547393717E-3</v>
      </c>
      <c r="AD256" s="384">
        <v>-845212.16938659851</v>
      </c>
    </row>
    <row r="257" spans="1:30">
      <c r="A257" s="21" t="s">
        <v>171</v>
      </c>
      <c r="B257" s="21" t="s">
        <v>172</v>
      </c>
      <c r="C257" s="23">
        <v>249</v>
      </c>
      <c r="D257" s="147">
        <v>0</v>
      </c>
      <c r="E257" s="22">
        <v>59.42</v>
      </c>
      <c r="F257" s="22">
        <v>59.42</v>
      </c>
      <c r="G257" s="22">
        <v>0</v>
      </c>
      <c r="H257" s="22">
        <v>36</v>
      </c>
      <c r="I257" s="22">
        <v>1.92</v>
      </c>
      <c r="J257" s="22">
        <v>74.14</v>
      </c>
      <c r="K257" s="22">
        <v>0</v>
      </c>
      <c r="L257" s="22">
        <v>0</v>
      </c>
      <c r="M257" s="388">
        <v>1090.06</v>
      </c>
      <c r="N257" s="25">
        <v>0.29339999999999999</v>
      </c>
      <c r="O257" s="24">
        <v>44</v>
      </c>
      <c r="P257" s="24">
        <v>3.25</v>
      </c>
      <c r="Q257" s="24">
        <v>2.5</v>
      </c>
      <c r="R257" s="22">
        <v>0.75</v>
      </c>
      <c r="S257" s="24">
        <v>3</v>
      </c>
      <c r="T257" s="24">
        <f t="shared" si="13"/>
        <v>6.25</v>
      </c>
      <c r="U257" s="376">
        <v>319.82</v>
      </c>
      <c r="V257" s="376">
        <v>54.5</v>
      </c>
      <c r="W257" s="22">
        <f t="shared" si="14"/>
        <v>93.835188000000002</v>
      </c>
      <c r="X257" s="22">
        <f t="shared" si="15"/>
        <v>176</v>
      </c>
      <c r="Y257" s="22">
        <v>119.5</v>
      </c>
      <c r="Z257" s="22">
        <v>56.5</v>
      </c>
      <c r="AA257" s="371">
        <v>1196.56</v>
      </c>
      <c r="AB257" s="22">
        <v>0.14708831985023735</v>
      </c>
      <c r="AC257" s="24">
        <v>1.2088319850237339E-2</v>
      </c>
      <c r="AD257" s="384">
        <v>-150985.31248933126</v>
      </c>
    </row>
    <row r="258" spans="1:30">
      <c r="A258" s="21" t="s">
        <v>313</v>
      </c>
      <c r="B258" s="21" t="s">
        <v>314</v>
      </c>
      <c r="C258" s="23">
        <v>97</v>
      </c>
      <c r="D258" s="147">
        <v>0</v>
      </c>
      <c r="E258" s="22">
        <v>0</v>
      </c>
      <c r="F258" s="22">
        <v>0</v>
      </c>
      <c r="G258" s="22">
        <v>0</v>
      </c>
      <c r="H258" s="22">
        <v>0</v>
      </c>
      <c r="I258" s="22">
        <v>0</v>
      </c>
      <c r="J258" s="22">
        <v>0</v>
      </c>
      <c r="K258" s="22">
        <v>0</v>
      </c>
      <c r="L258" s="22">
        <v>0</v>
      </c>
      <c r="M258" s="388">
        <v>196</v>
      </c>
      <c r="N258" s="25">
        <v>0.44290000000000002</v>
      </c>
      <c r="O258" s="24">
        <v>0</v>
      </c>
      <c r="P258" s="24">
        <v>0</v>
      </c>
      <c r="Q258" s="24">
        <v>0</v>
      </c>
      <c r="R258" s="22">
        <v>0</v>
      </c>
      <c r="S258" s="24">
        <v>0</v>
      </c>
      <c r="T258" s="24">
        <f t="shared" si="13"/>
        <v>0</v>
      </c>
      <c r="U258" s="376">
        <v>86.81</v>
      </c>
      <c r="V258" s="376">
        <v>9.8000000000000007</v>
      </c>
      <c r="W258" s="22">
        <f t="shared" si="14"/>
        <v>38.448149000000001</v>
      </c>
      <c r="X258" s="22">
        <f t="shared" si="15"/>
        <v>31.75</v>
      </c>
      <c r="Y258" s="22">
        <v>24.25</v>
      </c>
      <c r="Z258" s="22">
        <v>7.5</v>
      </c>
      <c r="AA258" s="371">
        <v>199.8</v>
      </c>
      <c r="AB258" s="22">
        <v>0.15890890890890891</v>
      </c>
      <c r="AC258" s="24">
        <v>2.3908908908908899E-2</v>
      </c>
      <c r="AD258" s="384">
        <v>-46061.274870142843</v>
      </c>
    </row>
    <row r="259" spans="1:30">
      <c r="A259" s="21" t="s">
        <v>479</v>
      </c>
      <c r="B259" s="21" t="s">
        <v>480</v>
      </c>
      <c r="C259" s="23">
        <v>377</v>
      </c>
      <c r="D259" s="147">
        <v>0</v>
      </c>
      <c r="E259" s="22">
        <v>0</v>
      </c>
      <c r="F259" s="22">
        <v>0</v>
      </c>
      <c r="G259" s="22">
        <v>0</v>
      </c>
      <c r="H259" s="22">
        <v>22</v>
      </c>
      <c r="I259" s="22">
        <v>0</v>
      </c>
      <c r="J259" s="22">
        <v>0</v>
      </c>
      <c r="K259" s="22">
        <v>0</v>
      </c>
      <c r="L259" s="22">
        <v>0</v>
      </c>
      <c r="M259" s="388">
        <v>890</v>
      </c>
      <c r="N259" s="25">
        <v>0.50660000000000005</v>
      </c>
      <c r="O259" s="24">
        <v>0</v>
      </c>
      <c r="P259" s="24">
        <v>16.75</v>
      </c>
      <c r="Q259" s="24">
        <v>15.5</v>
      </c>
      <c r="R259" s="22">
        <v>1.25</v>
      </c>
      <c r="S259" s="24">
        <v>2</v>
      </c>
      <c r="T259" s="24">
        <f t="shared" si="13"/>
        <v>18.75</v>
      </c>
      <c r="U259" s="376">
        <v>401.39</v>
      </c>
      <c r="V259" s="376">
        <v>44.5</v>
      </c>
      <c r="W259" s="22">
        <f t="shared" si="14"/>
        <v>203.34417400000001</v>
      </c>
      <c r="X259" s="22">
        <f t="shared" si="15"/>
        <v>79.5</v>
      </c>
      <c r="Y259" s="22">
        <v>77</v>
      </c>
      <c r="Z259" s="22">
        <v>2.5</v>
      </c>
      <c r="AA259" s="371">
        <v>678.2</v>
      </c>
      <c r="AB259" s="22">
        <v>0.11722205838985549</v>
      </c>
      <c r="AC259" s="24">
        <v>0</v>
      </c>
      <c r="AD259" s="384">
        <v>0</v>
      </c>
    </row>
    <row r="260" spans="1:30">
      <c r="A260" s="21" t="s">
        <v>451</v>
      </c>
      <c r="B260" s="21" t="s">
        <v>452</v>
      </c>
      <c r="C260" s="23">
        <v>9799</v>
      </c>
      <c r="D260" s="147">
        <v>264.67</v>
      </c>
      <c r="E260" s="22">
        <v>1256.5999999999999</v>
      </c>
      <c r="F260" s="22">
        <v>1521.27</v>
      </c>
      <c r="G260" s="22">
        <v>388.81</v>
      </c>
      <c r="H260" s="22">
        <v>460</v>
      </c>
      <c r="I260" s="22">
        <v>13.65</v>
      </c>
      <c r="J260" s="22">
        <v>1322.87</v>
      </c>
      <c r="K260" s="22">
        <v>84.36</v>
      </c>
      <c r="L260" s="22">
        <v>0.61</v>
      </c>
      <c r="M260" s="388">
        <v>30246.49</v>
      </c>
      <c r="N260" s="25">
        <v>0.59830000000000005</v>
      </c>
      <c r="O260" s="24">
        <v>18111</v>
      </c>
      <c r="P260" s="24">
        <v>1736</v>
      </c>
      <c r="Q260" s="24">
        <v>1104</v>
      </c>
      <c r="R260" s="22">
        <v>632</v>
      </c>
      <c r="S260" s="24">
        <v>313.25</v>
      </c>
      <c r="T260" s="24">
        <f t="shared" si="13"/>
        <v>2049.25</v>
      </c>
      <c r="U260" s="376">
        <v>18096.47</v>
      </c>
      <c r="V260" s="376">
        <v>0</v>
      </c>
      <c r="W260" s="22">
        <f t="shared" si="14"/>
        <v>10827.118001000003</v>
      </c>
      <c r="X260" s="22">
        <f t="shared" si="15"/>
        <v>4414.25</v>
      </c>
      <c r="Y260" s="22">
        <v>2939.5</v>
      </c>
      <c r="Z260" s="22">
        <v>1474.75</v>
      </c>
      <c r="AA260" s="371">
        <v>28158.11</v>
      </c>
      <c r="AB260" s="22">
        <v>0.15676655855098229</v>
      </c>
      <c r="AC260" s="24">
        <v>2.1766558550982279E-2</v>
      </c>
      <c r="AD260" s="384">
        <v>-5825391.1905402895</v>
      </c>
    </row>
    <row r="261" spans="1:30">
      <c r="A261" s="21" t="s">
        <v>297</v>
      </c>
      <c r="B261" s="21" t="s">
        <v>298</v>
      </c>
      <c r="C261" s="23">
        <v>22</v>
      </c>
      <c r="D261" s="147">
        <v>0</v>
      </c>
      <c r="E261" s="22">
        <v>8.51</v>
      </c>
      <c r="F261" s="22">
        <v>8.51</v>
      </c>
      <c r="G261" s="22">
        <v>0</v>
      </c>
      <c r="H261" s="22">
        <v>0</v>
      </c>
      <c r="I261" s="22">
        <v>0</v>
      </c>
      <c r="J261" s="22">
        <v>0</v>
      </c>
      <c r="K261" s="22">
        <v>0</v>
      </c>
      <c r="L261" s="22">
        <v>0</v>
      </c>
      <c r="M261" s="388">
        <v>66</v>
      </c>
      <c r="N261" s="25">
        <v>0.56410000000000005</v>
      </c>
      <c r="O261" s="24">
        <v>35</v>
      </c>
      <c r="P261" s="24">
        <v>0</v>
      </c>
      <c r="Q261" s="24">
        <v>0</v>
      </c>
      <c r="R261" s="22">
        <v>0</v>
      </c>
      <c r="S261" s="24">
        <v>0</v>
      </c>
      <c r="T261" s="24">
        <f t="shared" si="13"/>
        <v>0</v>
      </c>
      <c r="U261" s="376">
        <v>37.229999999999997</v>
      </c>
      <c r="V261" s="376">
        <v>3.3</v>
      </c>
      <c r="W261" s="22">
        <f t="shared" si="14"/>
        <v>21.001442999999998</v>
      </c>
      <c r="X261" s="22">
        <f t="shared" si="15"/>
        <v>13.5</v>
      </c>
      <c r="Y261" s="22">
        <v>12</v>
      </c>
      <c r="Z261" s="22">
        <v>1.5</v>
      </c>
      <c r="AA261" s="371">
        <v>71.599999999999994</v>
      </c>
      <c r="AB261" s="22">
        <v>0.18854748603351956</v>
      </c>
      <c r="AC261" s="24">
        <v>5.3547486033519553E-2</v>
      </c>
      <c r="AD261" s="384">
        <v>-36343.455227701197</v>
      </c>
    </row>
    <row r="262" spans="1:30">
      <c r="A262" s="21" t="s">
        <v>577</v>
      </c>
      <c r="B262" s="21" t="s">
        <v>578</v>
      </c>
      <c r="C262" s="23">
        <v>42</v>
      </c>
      <c r="D262" s="147">
        <v>0</v>
      </c>
      <c r="E262" s="22">
        <v>5.54</v>
      </c>
      <c r="F262" s="22">
        <v>5.54</v>
      </c>
      <c r="G262" s="22">
        <v>0</v>
      </c>
      <c r="H262" s="22">
        <v>8</v>
      </c>
      <c r="I262" s="22">
        <v>0</v>
      </c>
      <c r="J262" s="22">
        <v>0</v>
      </c>
      <c r="K262" s="22">
        <v>0</v>
      </c>
      <c r="L262" s="22">
        <v>0</v>
      </c>
      <c r="M262" s="388">
        <v>143</v>
      </c>
      <c r="N262" s="25">
        <v>0.4919</v>
      </c>
      <c r="O262" s="24">
        <v>66</v>
      </c>
      <c r="P262" s="24">
        <v>0</v>
      </c>
      <c r="Q262" s="24">
        <v>0</v>
      </c>
      <c r="R262" s="22">
        <v>0</v>
      </c>
      <c r="S262" s="24">
        <v>0</v>
      </c>
      <c r="T262" s="24">
        <f t="shared" si="13"/>
        <v>0</v>
      </c>
      <c r="U262" s="376">
        <v>70.34</v>
      </c>
      <c r="V262" s="376">
        <v>7.15</v>
      </c>
      <c r="W262" s="22">
        <f t="shared" si="14"/>
        <v>34.600245999999999</v>
      </c>
      <c r="X262" s="22">
        <f t="shared" si="15"/>
        <v>16.75</v>
      </c>
      <c r="Y262" s="22">
        <v>14.25</v>
      </c>
      <c r="Z262" s="22">
        <v>2.5</v>
      </c>
      <c r="AA262" s="371">
        <v>124.31</v>
      </c>
      <c r="AB262" s="22">
        <v>0.1347437856970477</v>
      </c>
      <c r="AC262" s="24">
        <v>0</v>
      </c>
      <c r="AD262" s="384">
        <v>0</v>
      </c>
    </row>
    <row r="263" spans="1:30">
      <c r="A263" s="21" t="s">
        <v>449</v>
      </c>
      <c r="B263" s="21" t="s">
        <v>450</v>
      </c>
      <c r="C263" s="23">
        <v>1414</v>
      </c>
      <c r="D263" s="147">
        <v>79.180000000000007</v>
      </c>
      <c r="E263" s="22">
        <v>337.19</v>
      </c>
      <c r="F263" s="22">
        <v>416.37</v>
      </c>
      <c r="G263" s="22">
        <v>0</v>
      </c>
      <c r="H263" s="22">
        <v>110</v>
      </c>
      <c r="I263" s="22">
        <v>3.43</v>
      </c>
      <c r="J263" s="22">
        <v>270.32</v>
      </c>
      <c r="K263" s="22">
        <v>6.6</v>
      </c>
      <c r="L263" s="22">
        <v>0</v>
      </c>
      <c r="M263" s="388">
        <v>4746.3500000000004</v>
      </c>
      <c r="N263" s="25">
        <v>0.29210000000000003</v>
      </c>
      <c r="O263" s="24">
        <v>17</v>
      </c>
      <c r="P263" s="24">
        <v>123.75</v>
      </c>
      <c r="Q263" s="24">
        <v>83.75</v>
      </c>
      <c r="R263" s="22">
        <v>40</v>
      </c>
      <c r="S263" s="24">
        <v>23</v>
      </c>
      <c r="T263" s="24">
        <f t="shared" si="13"/>
        <v>146.75</v>
      </c>
      <c r="U263" s="376">
        <v>1386.41</v>
      </c>
      <c r="V263" s="376">
        <v>237.32</v>
      </c>
      <c r="W263" s="22">
        <f t="shared" si="14"/>
        <v>404.97036100000008</v>
      </c>
      <c r="X263" s="22">
        <f t="shared" si="15"/>
        <v>625.5</v>
      </c>
      <c r="Y263" s="22">
        <v>357.75</v>
      </c>
      <c r="Z263" s="22">
        <v>267.75</v>
      </c>
      <c r="AA263" s="371">
        <v>4562.9399999999996</v>
      </c>
      <c r="AB263" s="22">
        <v>0.1370826703835685</v>
      </c>
      <c r="AC263" s="24">
        <v>2.0826703835684912E-3</v>
      </c>
      <c r="AD263" s="384">
        <v>-99145.133326394338</v>
      </c>
    </row>
    <row r="264" spans="1:30">
      <c r="A264" s="21" t="s">
        <v>115</v>
      </c>
      <c r="B264" s="21" t="s">
        <v>116</v>
      </c>
      <c r="C264" s="23">
        <v>10</v>
      </c>
      <c r="D264" s="147">
        <v>0</v>
      </c>
      <c r="E264" s="22">
        <v>0</v>
      </c>
      <c r="F264" s="22">
        <v>0</v>
      </c>
      <c r="G264" s="22">
        <v>0</v>
      </c>
      <c r="H264" s="22">
        <v>0</v>
      </c>
      <c r="I264" s="22">
        <v>0</v>
      </c>
      <c r="J264" s="22">
        <v>0</v>
      </c>
      <c r="K264" s="22">
        <v>0</v>
      </c>
      <c r="L264" s="22">
        <v>0</v>
      </c>
      <c r="M264" s="388">
        <v>16</v>
      </c>
      <c r="N264" s="25">
        <v>0</v>
      </c>
      <c r="O264" s="24">
        <v>0</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22</v>
      </c>
      <c r="D265" s="147">
        <v>0</v>
      </c>
      <c r="E265" s="22">
        <v>0</v>
      </c>
      <c r="F265" s="22">
        <v>0</v>
      </c>
      <c r="G265" s="22">
        <v>0</v>
      </c>
      <c r="H265" s="22">
        <v>0</v>
      </c>
      <c r="I265" s="22">
        <v>0</v>
      </c>
      <c r="J265" s="22">
        <v>235.8</v>
      </c>
      <c r="K265" s="22">
        <v>0</v>
      </c>
      <c r="L265" s="22">
        <v>0</v>
      </c>
      <c r="M265" s="388">
        <v>271.8</v>
      </c>
      <c r="N265" s="25">
        <v>0.79169999999999996</v>
      </c>
      <c r="O265" s="24">
        <v>24</v>
      </c>
      <c r="P265" s="24">
        <v>0</v>
      </c>
      <c r="Q265" s="24">
        <v>0</v>
      </c>
      <c r="R265" s="22">
        <v>0</v>
      </c>
      <c r="S265" s="24">
        <v>0</v>
      </c>
      <c r="T265" s="24">
        <f t="shared" ref="T265:T325" si="16">S265+P265</f>
        <v>0</v>
      </c>
      <c r="U265" s="376">
        <v>244.62</v>
      </c>
      <c r="V265" s="376">
        <v>0</v>
      </c>
      <c r="W265" s="22">
        <f t="shared" ref="W265:W325" si="17">U265*N265</f>
        <v>193.66565399999999</v>
      </c>
      <c r="X265" s="22">
        <f t="shared" ref="X265:X325" si="18">Y265+Z265</f>
        <v>27</v>
      </c>
      <c r="Y265" s="22">
        <v>27</v>
      </c>
      <c r="Z265" s="22">
        <v>0</v>
      </c>
      <c r="AA265" s="371">
        <v>264.2</v>
      </c>
      <c r="AB265" s="22">
        <v>0.10219530658591976</v>
      </c>
      <c r="AC265" s="24">
        <v>0</v>
      </c>
      <c r="AD265" s="384">
        <v>0</v>
      </c>
    </row>
    <row r="266" spans="1:30">
      <c r="A266" s="21" t="s">
        <v>31</v>
      </c>
      <c r="B266" s="21" t="s">
        <v>32</v>
      </c>
      <c r="C266" s="23">
        <v>3</v>
      </c>
      <c r="D266" s="147">
        <v>0</v>
      </c>
      <c r="E266" s="22">
        <v>0</v>
      </c>
      <c r="F266" s="22">
        <v>0</v>
      </c>
      <c r="G266" s="22">
        <v>0</v>
      </c>
      <c r="H266" s="22">
        <v>0</v>
      </c>
      <c r="I266" s="22">
        <v>0</v>
      </c>
      <c r="J266" s="22">
        <v>0</v>
      </c>
      <c r="K266" s="22">
        <v>0</v>
      </c>
      <c r="L266" s="22">
        <v>0</v>
      </c>
      <c r="M266" s="388">
        <v>8</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1041</v>
      </c>
      <c r="D267" s="147">
        <v>22.05</v>
      </c>
      <c r="E267" s="22">
        <v>235.26</v>
      </c>
      <c r="F267" s="22">
        <v>257.31</v>
      </c>
      <c r="G267" s="22">
        <v>0</v>
      </c>
      <c r="H267" s="22">
        <v>200</v>
      </c>
      <c r="I267" s="22">
        <v>3.43</v>
      </c>
      <c r="J267" s="22">
        <v>84.789999999999992</v>
      </c>
      <c r="K267" s="22">
        <v>14.6</v>
      </c>
      <c r="L267" s="22">
        <v>0</v>
      </c>
      <c r="M267" s="388">
        <v>3434.8199999999997</v>
      </c>
      <c r="N267" s="25">
        <v>0.23480000000000001</v>
      </c>
      <c r="O267" s="24">
        <v>39</v>
      </c>
      <c r="P267" s="24">
        <v>104.25</v>
      </c>
      <c r="Q267" s="24">
        <v>70.5</v>
      </c>
      <c r="R267" s="22">
        <v>33.75</v>
      </c>
      <c r="S267" s="24">
        <v>24.25</v>
      </c>
      <c r="T267" s="24">
        <f t="shared" si="16"/>
        <v>128.5</v>
      </c>
      <c r="U267" s="376">
        <v>805.47</v>
      </c>
      <c r="V267" s="376">
        <v>171.74</v>
      </c>
      <c r="W267" s="22">
        <f t="shared" si="17"/>
        <v>189.12435600000001</v>
      </c>
      <c r="X267" s="22">
        <f t="shared" si="18"/>
        <v>397.5</v>
      </c>
      <c r="Y267" s="22">
        <v>252.5</v>
      </c>
      <c r="Z267" s="22">
        <v>145</v>
      </c>
      <c r="AA267" s="371">
        <v>3154.54</v>
      </c>
      <c r="AB267" s="22">
        <v>0.12600886341590217</v>
      </c>
      <c r="AC267" s="24">
        <v>0</v>
      </c>
      <c r="AD267" s="384">
        <v>0</v>
      </c>
    </row>
    <row r="268" spans="1:30">
      <c r="A268" s="21" t="s">
        <v>569</v>
      </c>
      <c r="B268" s="21" t="s">
        <v>570</v>
      </c>
      <c r="C268" s="23">
        <v>18</v>
      </c>
      <c r="D268" s="147">
        <v>0</v>
      </c>
      <c r="E268" s="22">
        <v>0</v>
      </c>
      <c r="F268" s="22">
        <v>0</v>
      </c>
      <c r="G268" s="22">
        <v>0</v>
      </c>
      <c r="H268" s="22">
        <v>0</v>
      </c>
      <c r="I268" s="22">
        <v>0</v>
      </c>
      <c r="J268" s="22">
        <v>0</v>
      </c>
      <c r="K268" s="22">
        <v>0</v>
      </c>
      <c r="L268" s="22">
        <v>0</v>
      </c>
      <c r="M268" s="388">
        <v>43</v>
      </c>
      <c r="N268" s="25">
        <v>0</v>
      </c>
      <c r="O268" s="24">
        <v>0</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-5096.2032731065938</v>
      </c>
    </row>
    <row r="269" spans="1:30">
      <c r="A269" s="21" t="s">
        <v>421</v>
      </c>
      <c r="B269" s="21" t="s">
        <v>422</v>
      </c>
      <c r="C269" s="23">
        <v>248</v>
      </c>
      <c r="D269" s="147">
        <v>8.8800000000000008</v>
      </c>
      <c r="E269" s="22">
        <v>48.98</v>
      </c>
      <c r="F269" s="22">
        <v>57.86</v>
      </c>
      <c r="G269" s="22">
        <v>0</v>
      </c>
      <c r="H269" s="22">
        <v>9</v>
      </c>
      <c r="I269" s="22">
        <v>0.15</v>
      </c>
      <c r="J269" s="22">
        <v>0</v>
      </c>
      <c r="K269" s="22">
        <v>3.2</v>
      </c>
      <c r="L269" s="22">
        <v>0</v>
      </c>
      <c r="M269" s="388">
        <v>858.35</v>
      </c>
      <c r="N269" s="25">
        <v>0.51949999999999996</v>
      </c>
      <c r="O269" s="24">
        <v>793</v>
      </c>
      <c r="P269" s="24">
        <v>18.5</v>
      </c>
      <c r="Q269" s="24">
        <v>15</v>
      </c>
      <c r="R269" s="22">
        <v>3.5</v>
      </c>
      <c r="S269" s="24">
        <v>3</v>
      </c>
      <c r="T269" s="24">
        <f t="shared" si="16"/>
        <v>21.5</v>
      </c>
      <c r="U269" s="376">
        <v>445.4</v>
      </c>
      <c r="V269" s="376">
        <v>42.92</v>
      </c>
      <c r="W269" s="22">
        <f t="shared" si="17"/>
        <v>231.38529999999997</v>
      </c>
      <c r="X269" s="22">
        <f t="shared" si="18"/>
        <v>132.75</v>
      </c>
      <c r="Y269" s="22">
        <v>80.75</v>
      </c>
      <c r="Z269" s="22">
        <v>52</v>
      </c>
      <c r="AA269" s="371">
        <v>784.61</v>
      </c>
      <c r="AB269" s="22">
        <v>0.16919233759447369</v>
      </c>
      <c r="AC269" s="24">
        <v>3.4192337594473682E-2</v>
      </c>
      <c r="AD269" s="384">
        <v>-246752.5734046436</v>
      </c>
    </row>
    <row r="270" spans="1:30">
      <c r="A270" s="21" t="s">
        <v>443</v>
      </c>
      <c r="B270" s="21" t="s">
        <v>444</v>
      </c>
      <c r="C270" s="23">
        <v>665</v>
      </c>
      <c r="D270" s="147">
        <v>0</v>
      </c>
      <c r="E270" s="22">
        <v>145.77000000000001</v>
      </c>
      <c r="F270" s="22">
        <v>145.77000000000001</v>
      </c>
      <c r="G270" s="22">
        <v>0</v>
      </c>
      <c r="H270" s="22">
        <v>29</v>
      </c>
      <c r="I270" s="22">
        <v>0.59</v>
      </c>
      <c r="J270" s="22">
        <v>91.539999999999992</v>
      </c>
      <c r="K270" s="22">
        <v>11</v>
      </c>
      <c r="L270" s="22">
        <v>0</v>
      </c>
      <c r="M270" s="388">
        <v>2103.13</v>
      </c>
      <c r="N270" s="25">
        <v>0.55559999999999998</v>
      </c>
      <c r="O270" s="24">
        <v>1899</v>
      </c>
      <c r="P270" s="24">
        <v>214.75</v>
      </c>
      <c r="Q270" s="24">
        <v>149.25</v>
      </c>
      <c r="R270" s="22">
        <v>65.5</v>
      </c>
      <c r="S270" s="24">
        <v>46.5</v>
      </c>
      <c r="T270" s="24">
        <f t="shared" si="16"/>
        <v>261.25</v>
      </c>
      <c r="U270" s="376">
        <v>1168.5</v>
      </c>
      <c r="V270" s="376">
        <v>105.16</v>
      </c>
      <c r="W270" s="22">
        <f t="shared" si="17"/>
        <v>649.21859999999992</v>
      </c>
      <c r="X270" s="22">
        <f t="shared" si="18"/>
        <v>320.5</v>
      </c>
      <c r="Y270" s="22">
        <v>159.25</v>
      </c>
      <c r="Z270" s="22">
        <v>161.25</v>
      </c>
      <c r="AA270" s="371">
        <v>1943.38</v>
      </c>
      <c r="AB270" s="22">
        <v>0.16491885272051784</v>
      </c>
      <c r="AC270" s="24">
        <v>2.9918852720517836E-2</v>
      </c>
      <c r="AD270" s="384">
        <v>-608523.08477974019</v>
      </c>
    </row>
    <row r="271" spans="1:30">
      <c r="A271" s="21" t="s">
        <v>1022</v>
      </c>
      <c r="B271" s="21" t="s">
        <v>1040</v>
      </c>
      <c r="C271" s="23">
        <v>0</v>
      </c>
      <c r="D271" s="147">
        <v>0</v>
      </c>
      <c r="E271" s="22">
        <v>0</v>
      </c>
      <c r="F271" s="22">
        <v>0</v>
      </c>
      <c r="G271" s="22">
        <v>0</v>
      </c>
      <c r="H271" s="22">
        <v>3</v>
      </c>
      <c r="I271" s="22">
        <v>0.25</v>
      </c>
      <c r="J271" s="22">
        <v>0</v>
      </c>
      <c r="K271" s="22">
        <v>0</v>
      </c>
      <c r="L271" s="22">
        <v>0</v>
      </c>
      <c r="M271" s="388">
        <v>730.25</v>
      </c>
      <c r="N271" s="25">
        <v>0.52980000000000005</v>
      </c>
      <c r="O271" s="24">
        <v>464</v>
      </c>
      <c r="P271" s="24">
        <v>74.25</v>
      </c>
      <c r="Q271" s="24">
        <v>12.5</v>
      </c>
      <c r="R271" s="22">
        <v>61.75</v>
      </c>
      <c r="S271" s="24">
        <v>16.75</v>
      </c>
      <c r="T271" s="24">
        <f t="shared" si="16"/>
        <v>91</v>
      </c>
      <c r="U271" s="376">
        <v>386.89</v>
      </c>
      <c r="V271" s="376">
        <v>36.51</v>
      </c>
      <c r="W271" s="22">
        <f t="shared" si="17"/>
        <v>204.974322</v>
      </c>
      <c r="X271" s="22">
        <f t="shared" si="18"/>
        <v>84.25</v>
      </c>
      <c r="Y271" s="22">
        <v>82.5</v>
      </c>
      <c r="Z271" s="22">
        <v>1.75</v>
      </c>
      <c r="AA271" s="371">
        <v>467.46</v>
      </c>
      <c r="AB271" s="22">
        <v>0.18022932443417619</v>
      </c>
      <c r="AC271" s="24">
        <v>4.5229324434176182E-2</v>
      </c>
      <c r="AD271" s="384">
        <v>-203708.03356716174</v>
      </c>
    </row>
    <row r="272" spans="1:30">
      <c r="A272" s="21" t="s">
        <v>391</v>
      </c>
      <c r="B272" s="21" t="s">
        <v>392</v>
      </c>
      <c r="C272" s="23">
        <v>0</v>
      </c>
      <c r="D272" s="147">
        <v>0</v>
      </c>
      <c r="E272" s="22">
        <v>0</v>
      </c>
      <c r="F272" s="22">
        <v>0</v>
      </c>
      <c r="G272" s="22">
        <v>0</v>
      </c>
      <c r="H272" s="22">
        <v>1</v>
      </c>
      <c r="I272" s="22">
        <v>0</v>
      </c>
      <c r="J272" s="22">
        <v>0</v>
      </c>
      <c r="K272" s="22">
        <v>0</v>
      </c>
      <c r="L272" s="22">
        <v>0</v>
      </c>
      <c r="M272" s="388">
        <v>239</v>
      </c>
      <c r="N272" s="25">
        <v>0.66490000000000005</v>
      </c>
      <c r="O272" s="24">
        <v>181</v>
      </c>
      <c r="P272" s="24">
        <v>16.75</v>
      </c>
      <c r="Q272" s="24">
        <v>0</v>
      </c>
      <c r="R272" s="22">
        <v>16.75</v>
      </c>
      <c r="S272" s="24">
        <v>0</v>
      </c>
      <c r="T272" s="24">
        <f t="shared" si="16"/>
        <v>16.75</v>
      </c>
      <c r="U272" s="376">
        <v>158.91</v>
      </c>
      <c r="V272" s="376">
        <v>11.95</v>
      </c>
      <c r="W272" s="22">
        <f t="shared" si="17"/>
        <v>105.65925900000001</v>
      </c>
      <c r="X272" s="22">
        <f t="shared" si="18"/>
        <v>27</v>
      </c>
      <c r="Y272" s="22">
        <v>25</v>
      </c>
      <c r="Z272" s="22">
        <v>2</v>
      </c>
      <c r="AA272" s="371">
        <v>178.6</v>
      </c>
      <c r="AB272" s="22">
        <v>0.15117581187010079</v>
      </c>
      <c r="AC272" s="24">
        <v>1.6175811870100781E-2</v>
      </c>
      <c r="AD272" s="384">
        <v>-27377.76587820952</v>
      </c>
    </row>
    <row r="273" spans="1:30">
      <c r="A273" s="21" t="s">
        <v>221</v>
      </c>
      <c r="B273" s="21" t="s">
        <v>222</v>
      </c>
      <c r="C273" s="23">
        <v>0</v>
      </c>
      <c r="D273" s="147">
        <v>0</v>
      </c>
      <c r="E273" s="22">
        <v>0</v>
      </c>
      <c r="F273" s="22">
        <v>0</v>
      </c>
      <c r="G273" s="22">
        <v>0</v>
      </c>
      <c r="H273" s="22">
        <v>14</v>
      </c>
      <c r="I273" s="22">
        <v>0.18</v>
      </c>
      <c r="J273" s="22">
        <v>0</v>
      </c>
      <c r="K273" s="22">
        <v>0</v>
      </c>
      <c r="L273" s="22">
        <v>0</v>
      </c>
      <c r="M273" s="388">
        <v>416.18</v>
      </c>
      <c r="N273" s="25">
        <v>0.37430000000000002</v>
      </c>
      <c r="O273" s="24">
        <v>0</v>
      </c>
      <c r="P273" s="24">
        <v>49.25</v>
      </c>
      <c r="Q273" s="24">
        <v>0</v>
      </c>
      <c r="R273" s="22">
        <v>49.25</v>
      </c>
      <c r="S273" s="24">
        <v>0.25</v>
      </c>
      <c r="T273" s="24">
        <f t="shared" si="16"/>
        <v>49.5</v>
      </c>
      <c r="U273" s="376">
        <v>155.78</v>
      </c>
      <c r="V273" s="376">
        <v>20.81</v>
      </c>
      <c r="W273" s="22">
        <f t="shared" si="17"/>
        <v>58.308454000000005</v>
      </c>
      <c r="X273" s="22">
        <f t="shared" si="18"/>
        <v>59</v>
      </c>
      <c r="Y273" s="22">
        <v>58.5</v>
      </c>
      <c r="Z273" s="22">
        <v>0.5</v>
      </c>
      <c r="AA273" s="371">
        <v>307.62</v>
      </c>
      <c r="AB273" s="22">
        <v>0.19179507184188285</v>
      </c>
      <c r="AC273" s="24">
        <v>5.6795071841882844E-2</v>
      </c>
      <c r="AD273" s="384">
        <v>-172110.9803578702</v>
      </c>
    </row>
    <row r="274" spans="1:30">
      <c r="A274" s="21" t="s">
        <v>495</v>
      </c>
      <c r="B274" s="21" t="s">
        <v>496</v>
      </c>
      <c r="C274" s="23">
        <v>25</v>
      </c>
      <c r="D274" s="147">
        <v>0</v>
      </c>
      <c r="E274" s="22">
        <v>0</v>
      </c>
      <c r="F274" s="22">
        <v>0</v>
      </c>
      <c r="G274" s="22">
        <v>0</v>
      </c>
      <c r="H274" s="22">
        <v>0</v>
      </c>
      <c r="I274" s="22">
        <v>0</v>
      </c>
      <c r="J274" s="22">
        <v>0</v>
      </c>
      <c r="K274" s="22">
        <v>0</v>
      </c>
      <c r="L274" s="22">
        <v>0</v>
      </c>
      <c r="M274" s="388">
        <v>65</v>
      </c>
      <c r="N274" s="25">
        <v>0.84930000000000005</v>
      </c>
      <c r="O274" s="24">
        <v>73</v>
      </c>
      <c r="P274" s="24">
        <v>0</v>
      </c>
      <c r="Q274" s="24">
        <v>0</v>
      </c>
      <c r="R274" s="22">
        <v>0</v>
      </c>
      <c r="S274" s="24">
        <v>0</v>
      </c>
      <c r="T274" s="24">
        <f t="shared" si="16"/>
        <v>0</v>
      </c>
      <c r="U274" s="376">
        <v>55.2</v>
      </c>
      <c r="V274" s="376">
        <v>3.25</v>
      </c>
      <c r="W274" s="22">
        <f t="shared" si="17"/>
        <v>46.881360000000008</v>
      </c>
      <c r="X274" s="22">
        <f t="shared" si="18"/>
        <v>8.5</v>
      </c>
      <c r="Y274" s="22">
        <v>5.25</v>
      </c>
      <c r="Z274" s="22">
        <v>3.25</v>
      </c>
      <c r="AA274" s="371">
        <v>71.69</v>
      </c>
      <c r="AB274" s="22">
        <v>0.11856604826335612</v>
      </c>
      <c r="AC274" s="24">
        <v>0</v>
      </c>
      <c r="AD274" s="384">
        <v>0</v>
      </c>
    </row>
    <row r="275" spans="1:30">
      <c r="A275" s="21" t="s">
        <v>371</v>
      </c>
      <c r="B275" s="21" t="s">
        <v>372</v>
      </c>
      <c r="C275" s="23">
        <v>2722</v>
      </c>
      <c r="D275" s="147">
        <v>111.35</v>
      </c>
      <c r="E275" s="22">
        <v>543.55999999999995</v>
      </c>
      <c r="F275" s="22">
        <v>654.91</v>
      </c>
      <c r="G275" s="22">
        <v>0</v>
      </c>
      <c r="H275" s="22">
        <v>281</v>
      </c>
      <c r="I275" s="22">
        <v>6.67</v>
      </c>
      <c r="J275" s="22">
        <v>153.51999999999998</v>
      </c>
      <c r="K275" s="22">
        <v>0</v>
      </c>
      <c r="L275" s="22">
        <v>0</v>
      </c>
      <c r="M275" s="388">
        <v>9873.19</v>
      </c>
      <c r="N275" s="25">
        <v>0.29110000000000003</v>
      </c>
      <c r="O275" s="24">
        <v>433</v>
      </c>
      <c r="P275" s="24">
        <v>412.25</v>
      </c>
      <c r="Q275" s="24">
        <v>244.25</v>
      </c>
      <c r="R275" s="22">
        <v>168</v>
      </c>
      <c r="S275" s="24">
        <v>73.75</v>
      </c>
      <c r="T275" s="24">
        <f t="shared" si="16"/>
        <v>486</v>
      </c>
      <c r="U275" s="376">
        <v>2874.09</v>
      </c>
      <c r="V275" s="376">
        <v>493.66</v>
      </c>
      <c r="W275" s="22">
        <f t="shared" si="17"/>
        <v>836.64759900000013</v>
      </c>
      <c r="X275" s="22">
        <f t="shared" si="18"/>
        <v>1160.25</v>
      </c>
      <c r="Y275" s="22">
        <v>717</v>
      </c>
      <c r="Z275" s="22">
        <v>443.25</v>
      </c>
      <c r="AA275" s="371">
        <v>9946.02</v>
      </c>
      <c r="AB275" s="22">
        <v>0.11665470208183776</v>
      </c>
      <c r="AC275" s="24">
        <v>0</v>
      </c>
      <c r="AD275" s="384">
        <v>0</v>
      </c>
    </row>
    <row r="276" spans="1:30">
      <c r="A276" s="21" t="s">
        <v>595</v>
      </c>
      <c r="B276" s="21" t="s">
        <v>596</v>
      </c>
      <c r="C276" s="23">
        <v>1734</v>
      </c>
      <c r="D276" s="147">
        <v>0</v>
      </c>
      <c r="E276" s="22">
        <v>264.54000000000002</v>
      </c>
      <c r="F276" s="22">
        <v>264.54000000000002</v>
      </c>
      <c r="G276" s="22">
        <v>0</v>
      </c>
      <c r="H276" s="22">
        <v>84</v>
      </c>
      <c r="I276" s="22">
        <v>7.89</v>
      </c>
      <c r="J276" s="22">
        <v>28.52</v>
      </c>
      <c r="K276" s="22">
        <v>4</v>
      </c>
      <c r="L276" s="22">
        <v>0</v>
      </c>
      <c r="M276" s="388">
        <v>6442.4100000000008</v>
      </c>
      <c r="N276" s="25">
        <v>0.93879999999999997</v>
      </c>
      <c r="O276" s="24">
        <v>6485</v>
      </c>
      <c r="P276" s="24">
        <v>2011.75</v>
      </c>
      <c r="Q276" s="24">
        <v>1235.75</v>
      </c>
      <c r="R276" s="22">
        <v>776</v>
      </c>
      <c r="S276" s="24">
        <v>238.25</v>
      </c>
      <c r="T276" s="24">
        <f t="shared" si="16"/>
        <v>2250</v>
      </c>
      <c r="U276" s="376">
        <v>6048.13</v>
      </c>
      <c r="V276" s="376">
        <v>322.12</v>
      </c>
      <c r="W276" s="22">
        <f t="shared" si="17"/>
        <v>5677.9844439999997</v>
      </c>
      <c r="X276" s="22">
        <f t="shared" si="18"/>
        <v>860.5</v>
      </c>
      <c r="Y276" s="22">
        <v>358.5</v>
      </c>
      <c r="Z276" s="22">
        <v>502</v>
      </c>
      <c r="AA276" s="371">
        <v>6480.05</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-58897.843084184628</v>
      </c>
    </row>
    <row r="278" spans="1:30">
      <c r="A278" s="21" t="s">
        <v>365</v>
      </c>
      <c r="B278" s="21" t="s">
        <v>366</v>
      </c>
      <c r="C278" s="23">
        <v>8364</v>
      </c>
      <c r="D278" s="147">
        <v>288.02</v>
      </c>
      <c r="E278" s="22">
        <v>1665.12</v>
      </c>
      <c r="F278" s="22">
        <v>1953.1399999999999</v>
      </c>
      <c r="G278" s="22">
        <v>0</v>
      </c>
      <c r="H278" s="22">
        <v>432</v>
      </c>
      <c r="I278" s="22">
        <v>22.45</v>
      </c>
      <c r="J278" s="22">
        <v>1571.94</v>
      </c>
      <c r="K278" s="22">
        <v>241.43</v>
      </c>
      <c r="L278" s="22">
        <v>13.44</v>
      </c>
      <c r="M278" s="388">
        <v>27947.26</v>
      </c>
      <c r="N278" s="25">
        <v>0.57699999999999996</v>
      </c>
      <c r="O278" s="24">
        <v>18010</v>
      </c>
      <c r="P278" s="24">
        <v>2957.29</v>
      </c>
      <c r="Q278" s="24">
        <v>1815.75</v>
      </c>
      <c r="R278" s="22">
        <v>1141.54</v>
      </c>
      <c r="S278" s="24">
        <v>476.5</v>
      </c>
      <c r="T278" s="24">
        <f t="shared" si="16"/>
        <v>3433.79</v>
      </c>
      <c r="U278" s="376">
        <v>16125.57</v>
      </c>
      <c r="V278" s="376">
        <v>1397.36</v>
      </c>
      <c r="W278" s="22">
        <f t="shared" si="17"/>
        <v>9304.4538899999989</v>
      </c>
      <c r="X278" s="22">
        <f t="shared" si="18"/>
        <v>3920.25</v>
      </c>
      <c r="Y278" s="22">
        <v>2416.75</v>
      </c>
      <c r="Z278" s="22">
        <v>1503.5</v>
      </c>
      <c r="AA278" s="371">
        <v>27456.87</v>
      </c>
      <c r="AB278" s="22">
        <v>0.14277847402125587</v>
      </c>
      <c r="AC278" s="24">
        <v>7.7784740212558656E-3</v>
      </c>
      <c r="AD278" s="384">
        <v>-2145227.5511376988</v>
      </c>
    </row>
    <row r="279" spans="1:30">
      <c r="A279" s="21" t="s">
        <v>153</v>
      </c>
      <c r="B279" s="21" t="s">
        <v>154</v>
      </c>
      <c r="C279" s="23">
        <v>51</v>
      </c>
      <c r="D279" s="147">
        <v>0</v>
      </c>
      <c r="E279" s="22">
        <v>3.58</v>
      </c>
      <c r="F279" s="22">
        <v>3.58</v>
      </c>
      <c r="G279" s="22">
        <v>0</v>
      </c>
      <c r="H279" s="22">
        <v>1</v>
      </c>
      <c r="I279" s="22">
        <v>0</v>
      </c>
      <c r="J279" s="22">
        <v>0</v>
      </c>
      <c r="K279" s="22">
        <v>0</v>
      </c>
      <c r="L279" s="22">
        <v>0</v>
      </c>
      <c r="M279" s="388">
        <v>162</v>
      </c>
      <c r="N279" s="25">
        <v>0.77329999999999999</v>
      </c>
      <c r="O279" s="24">
        <v>160</v>
      </c>
      <c r="P279" s="24">
        <v>0</v>
      </c>
      <c r="Q279" s="24">
        <v>0</v>
      </c>
      <c r="R279" s="22">
        <v>0</v>
      </c>
      <c r="S279" s="24">
        <v>0</v>
      </c>
      <c r="T279" s="24">
        <f t="shared" si="16"/>
        <v>0</v>
      </c>
      <c r="U279" s="376">
        <v>125.27</v>
      </c>
      <c r="V279" s="376">
        <v>0</v>
      </c>
      <c r="W279" s="22">
        <f t="shared" si="17"/>
        <v>96.871290999999999</v>
      </c>
      <c r="X279" s="22">
        <f t="shared" si="18"/>
        <v>41.75</v>
      </c>
      <c r="Y279" s="22">
        <v>38.75</v>
      </c>
      <c r="Z279" s="22">
        <v>3</v>
      </c>
      <c r="AA279" s="371">
        <v>158.77000000000001</v>
      </c>
      <c r="AB279" s="22">
        <v>0.26295899729167976</v>
      </c>
      <c r="AC279" s="24">
        <v>0.12795899729167975</v>
      </c>
      <c r="AD279" s="384">
        <v>-189863.41087253901</v>
      </c>
    </row>
    <row r="280" spans="1:30">
      <c r="A280" s="21" t="s">
        <v>207</v>
      </c>
      <c r="B280" s="21" t="s">
        <v>208</v>
      </c>
      <c r="C280" s="23">
        <v>2711</v>
      </c>
      <c r="D280" s="147">
        <v>38.25</v>
      </c>
      <c r="E280" s="22">
        <v>528.95000000000005</v>
      </c>
      <c r="F280" s="22">
        <v>567.20000000000005</v>
      </c>
      <c r="G280" s="22">
        <v>0</v>
      </c>
      <c r="H280" s="22">
        <v>275</v>
      </c>
      <c r="I280" s="22">
        <v>17.28</v>
      </c>
      <c r="J280" s="22">
        <v>0</v>
      </c>
      <c r="K280" s="22">
        <v>14.56</v>
      </c>
      <c r="L280" s="22">
        <v>1.24</v>
      </c>
      <c r="M280" s="388">
        <v>9271.08</v>
      </c>
      <c r="N280" s="25">
        <v>0.13159999999999999</v>
      </c>
      <c r="O280" s="24">
        <v>0</v>
      </c>
      <c r="P280" s="24">
        <v>356</v>
      </c>
      <c r="Q280" s="24">
        <v>296.25</v>
      </c>
      <c r="R280" s="22">
        <v>59.75</v>
      </c>
      <c r="S280" s="24">
        <v>123</v>
      </c>
      <c r="T280" s="24">
        <f t="shared" si="16"/>
        <v>479</v>
      </c>
      <c r="U280" s="376">
        <v>1221</v>
      </c>
      <c r="V280" s="376">
        <v>463.55</v>
      </c>
      <c r="W280" s="22">
        <f t="shared" si="17"/>
        <v>160.68359999999998</v>
      </c>
      <c r="X280" s="22">
        <f t="shared" si="18"/>
        <v>1009.5</v>
      </c>
      <c r="Y280" s="22">
        <v>514.25</v>
      </c>
      <c r="Z280" s="22">
        <v>495.25</v>
      </c>
      <c r="AA280" s="371">
        <v>8679.9599999999991</v>
      </c>
      <c r="AB280" s="22">
        <v>0.11630237927363722</v>
      </c>
      <c r="AC280" s="24">
        <v>0</v>
      </c>
      <c r="AD280" s="384">
        <v>0</v>
      </c>
    </row>
    <row r="281" spans="1:30">
      <c r="A281" s="21" t="s">
        <v>559</v>
      </c>
      <c r="B281" s="21" t="s">
        <v>560</v>
      </c>
      <c r="C281" s="23">
        <v>56</v>
      </c>
      <c r="D281" s="147">
        <v>3.3</v>
      </c>
      <c r="E281" s="22">
        <v>21.49</v>
      </c>
      <c r="F281" s="22">
        <v>24.79</v>
      </c>
      <c r="G281" s="22">
        <v>0</v>
      </c>
      <c r="H281" s="22">
        <v>2</v>
      </c>
      <c r="I281" s="22">
        <v>0</v>
      </c>
      <c r="J281" s="22">
        <v>6.3100000000000005</v>
      </c>
      <c r="K281" s="22">
        <v>0</v>
      </c>
      <c r="L281" s="22">
        <v>0</v>
      </c>
      <c r="M281" s="388">
        <v>184.31</v>
      </c>
      <c r="N281" s="25">
        <v>0.65629999999999999</v>
      </c>
      <c r="O281" s="24">
        <v>192</v>
      </c>
      <c r="P281" s="24">
        <v>0</v>
      </c>
      <c r="Q281" s="24">
        <v>0</v>
      </c>
      <c r="R281" s="22">
        <v>0</v>
      </c>
      <c r="S281" s="24">
        <v>0</v>
      </c>
      <c r="T281" s="24">
        <f t="shared" si="16"/>
        <v>0</v>
      </c>
      <c r="U281" s="376">
        <v>116.15</v>
      </c>
      <c r="V281" s="376">
        <v>0</v>
      </c>
      <c r="W281" s="22">
        <f t="shared" si="17"/>
        <v>76.229245000000006</v>
      </c>
      <c r="X281" s="22">
        <f t="shared" si="18"/>
        <v>37.25</v>
      </c>
      <c r="Y281" s="22">
        <v>28.25</v>
      </c>
      <c r="Z281" s="22">
        <v>9</v>
      </c>
      <c r="AA281" s="371">
        <v>192.07</v>
      </c>
      <c r="AB281" s="22">
        <v>0.19393970948091843</v>
      </c>
      <c r="AC281" s="24">
        <v>5.8939709480918423E-2</v>
      </c>
      <c r="AD281" s="384">
        <v>-106913.77170637973</v>
      </c>
    </row>
    <row r="282" spans="1:30">
      <c r="A282" s="21" t="s">
        <v>521</v>
      </c>
      <c r="B282" s="21" t="s">
        <v>522</v>
      </c>
      <c r="C282" s="23">
        <v>323</v>
      </c>
      <c r="D282" s="147">
        <v>28.85</v>
      </c>
      <c r="E282" s="22">
        <v>89.12</v>
      </c>
      <c r="F282" s="22">
        <v>117.97</v>
      </c>
      <c r="G282" s="22">
        <v>0</v>
      </c>
      <c r="H282" s="22">
        <v>15</v>
      </c>
      <c r="I282" s="22">
        <v>1.05</v>
      </c>
      <c r="J282" s="22">
        <v>0</v>
      </c>
      <c r="K282" s="22">
        <v>9</v>
      </c>
      <c r="L282" s="22">
        <v>0</v>
      </c>
      <c r="M282" s="388">
        <v>1247.05</v>
      </c>
      <c r="N282" s="25">
        <v>0.47820000000000001</v>
      </c>
      <c r="O282" s="24">
        <v>852</v>
      </c>
      <c r="P282" s="24">
        <v>9</v>
      </c>
      <c r="Q282" s="24">
        <v>2</v>
      </c>
      <c r="R282" s="22">
        <v>7</v>
      </c>
      <c r="S282" s="24">
        <v>1</v>
      </c>
      <c r="T282" s="24">
        <f t="shared" si="16"/>
        <v>10</v>
      </c>
      <c r="U282" s="376">
        <v>596.34</v>
      </c>
      <c r="V282" s="376">
        <v>62.35</v>
      </c>
      <c r="W282" s="22">
        <f t="shared" si="17"/>
        <v>285.16978800000004</v>
      </c>
      <c r="X282" s="22">
        <f t="shared" si="18"/>
        <v>192</v>
      </c>
      <c r="Y282" s="22">
        <v>93.75</v>
      </c>
      <c r="Z282" s="22">
        <v>98.25</v>
      </c>
      <c r="AA282" s="371">
        <v>1242.97</v>
      </c>
      <c r="AB282" s="22">
        <v>0.15446873214960941</v>
      </c>
      <c r="AC282" s="24">
        <v>1.9468732149609397E-2</v>
      </c>
      <c r="AD282" s="384">
        <v>-220443.57463018823</v>
      </c>
    </row>
    <row r="283" spans="1:30">
      <c r="A283" s="21" t="s">
        <v>243</v>
      </c>
      <c r="B283" s="21" t="s">
        <v>244</v>
      </c>
      <c r="C283" s="23">
        <v>80</v>
      </c>
      <c r="D283" s="147">
        <v>3.47</v>
      </c>
      <c r="E283" s="22">
        <v>10.039999999999999</v>
      </c>
      <c r="F283" s="22">
        <v>13.51</v>
      </c>
      <c r="G283" s="22">
        <v>0</v>
      </c>
      <c r="H283" s="22">
        <v>5</v>
      </c>
      <c r="I283" s="22">
        <v>0</v>
      </c>
      <c r="J283" s="22">
        <v>0</v>
      </c>
      <c r="K283" s="22">
        <v>0</v>
      </c>
      <c r="L283" s="22">
        <v>0</v>
      </c>
      <c r="M283" s="388">
        <v>245</v>
      </c>
      <c r="N283" s="25">
        <v>0.47689999999999999</v>
      </c>
      <c r="O283" s="24">
        <v>0</v>
      </c>
      <c r="P283" s="24">
        <v>2</v>
      </c>
      <c r="Q283" s="24">
        <v>1.5</v>
      </c>
      <c r="R283" s="22">
        <v>0.5</v>
      </c>
      <c r="S283" s="24">
        <v>1.5</v>
      </c>
      <c r="T283" s="24">
        <f t="shared" si="16"/>
        <v>3.5</v>
      </c>
      <c r="U283" s="376">
        <v>116.84</v>
      </c>
      <c r="V283" s="376">
        <v>12.25</v>
      </c>
      <c r="W283" s="22">
        <f t="shared" si="17"/>
        <v>55.720996</v>
      </c>
      <c r="X283" s="22">
        <f t="shared" si="18"/>
        <v>31.5</v>
      </c>
      <c r="Y283" s="22">
        <v>26.5</v>
      </c>
      <c r="Z283" s="22">
        <v>5</v>
      </c>
      <c r="AA283" s="371">
        <v>224.18</v>
      </c>
      <c r="AB283" s="22">
        <v>0.14051208850031224</v>
      </c>
      <c r="AC283" s="24">
        <v>5.5120885003122344E-3</v>
      </c>
      <c r="AD283" s="384">
        <v>-11503.583130646099</v>
      </c>
    </row>
    <row r="284" spans="1:30">
      <c r="A284" s="21" t="s">
        <v>285</v>
      </c>
      <c r="B284" s="21" t="s">
        <v>286</v>
      </c>
      <c r="C284" s="23">
        <v>227</v>
      </c>
      <c r="D284" s="147">
        <v>17.43</v>
      </c>
      <c r="E284" s="22">
        <v>49.86</v>
      </c>
      <c r="F284" s="22">
        <v>67.289999999999992</v>
      </c>
      <c r="G284" s="22">
        <v>0</v>
      </c>
      <c r="H284" s="22">
        <v>18</v>
      </c>
      <c r="I284" s="22">
        <v>2.13</v>
      </c>
      <c r="J284" s="22">
        <v>49.8</v>
      </c>
      <c r="K284" s="22">
        <v>0.4</v>
      </c>
      <c r="L284" s="22">
        <v>0</v>
      </c>
      <c r="M284" s="388">
        <v>805.32999999999993</v>
      </c>
      <c r="N284" s="25">
        <v>0.52</v>
      </c>
      <c r="O284" s="24">
        <v>601</v>
      </c>
      <c r="P284" s="24">
        <v>8</v>
      </c>
      <c r="Q284" s="24">
        <v>3</v>
      </c>
      <c r="R284" s="22">
        <v>5</v>
      </c>
      <c r="S284" s="24">
        <v>0.75</v>
      </c>
      <c r="T284" s="24">
        <f t="shared" si="16"/>
        <v>8.75</v>
      </c>
      <c r="U284" s="376">
        <v>418.77</v>
      </c>
      <c r="V284" s="376">
        <v>40.270000000000003</v>
      </c>
      <c r="W284" s="22">
        <f t="shared" si="17"/>
        <v>217.7604</v>
      </c>
      <c r="X284" s="22">
        <f t="shared" si="18"/>
        <v>111.75</v>
      </c>
      <c r="Y284" s="22">
        <v>61</v>
      </c>
      <c r="Z284" s="22">
        <v>50.75</v>
      </c>
      <c r="AA284" s="371">
        <v>798.78</v>
      </c>
      <c r="AB284" s="22">
        <v>0.13990084879441148</v>
      </c>
      <c r="AC284" s="24">
        <v>4.9008487944114665E-3</v>
      </c>
      <c r="AD284" s="384">
        <v>-36781.322135967785</v>
      </c>
    </row>
    <row r="285" spans="1:30">
      <c r="A285" s="21" t="s">
        <v>339</v>
      </c>
      <c r="B285" s="21" t="s">
        <v>340</v>
      </c>
      <c r="C285" s="23">
        <v>252</v>
      </c>
      <c r="D285" s="147">
        <v>12.14</v>
      </c>
      <c r="E285" s="22">
        <v>30.54</v>
      </c>
      <c r="F285" s="22">
        <v>42.68</v>
      </c>
      <c r="G285" s="22">
        <v>0</v>
      </c>
      <c r="H285" s="22">
        <v>34</v>
      </c>
      <c r="I285" s="22">
        <v>4.07</v>
      </c>
      <c r="J285" s="22">
        <v>113.13999999999999</v>
      </c>
      <c r="K285" s="22">
        <v>0</v>
      </c>
      <c r="L285" s="22">
        <v>0</v>
      </c>
      <c r="M285" s="388">
        <v>1087.21</v>
      </c>
      <c r="N285" s="25">
        <v>0.76719999999999999</v>
      </c>
      <c r="O285" s="24">
        <v>1134</v>
      </c>
      <c r="P285" s="24">
        <v>128.75</v>
      </c>
      <c r="Q285" s="24">
        <v>91</v>
      </c>
      <c r="R285" s="22">
        <v>37.75</v>
      </c>
      <c r="S285" s="24">
        <v>30</v>
      </c>
      <c r="T285" s="24">
        <f t="shared" si="16"/>
        <v>158.75</v>
      </c>
      <c r="U285" s="376">
        <v>834.11</v>
      </c>
      <c r="V285" s="376">
        <v>54.36</v>
      </c>
      <c r="W285" s="22">
        <f t="shared" si="17"/>
        <v>639.92919200000006</v>
      </c>
      <c r="X285" s="22">
        <f t="shared" si="18"/>
        <v>123</v>
      </c>
      <c r="Y285" s="22">
        <v>78.75</v>
      </c>
      <c r="Z285" s="22">
        <v>44.25</v>
      </c>
      <c r="AA285" s="371">
        <v>1140.73</v>
      </c>
      <c r="AB285" s="22">
        <v>0.10782569056656702</v>
      </c>
      <c r="AC285" s="24">
        <v>0</v>
      </c>
      <c r="AD285" s="384">
        <v>0</v>
      </c>
    </row>
    <row r="286" spans="1:30">
      <c r="A286" s="21" t="s">
        <v>597</v>
      </c>
      <c r="B286" s="21" t="s">
        <v>598</v>
      </c>
      <c r="C286" s="23">
        <v>1070</v>
      </c>
      <c r="D286" s="147">
        <v>125.49</v>
      </c>
      <c r="E286" s="22">
        <v>480.32</v>
      </c>
      <c r="F286" s="22">
        <v>605.80999999999995</v>
      </c>
      <c r="G286" s="22">
        <v>0</v>
      </c>
      <c r="H286" s="22">
        <v>25</v>
      </c>
      <c r="I286" s="22">
        <v>4.2300000000000004</v>
      </c>
      <c r="J286" s="22">
        <v>827.81</v>
      </c>
      <c r="K286" s="22">
        <v>0</v>
      </c>
      <c r="L286" s="22">
        <v>0</v>
      </c>
      <c r="M286" s="388">
        <v>4374.04</v>
      </c>
      <c r="N286" s="25">
        <v>0.93710000000000004</v>
      </c>
      <c r="O286" s="24">
        <v>3577</v>
      </c>
      <c r="P286" s="24">
        <v>1305.5</v>
      </c>
      <c r="Q286" s="24">
        <v>747.25</v>
      </c>
      <c r="R286" s="22">
        <v>558.25</v>
      </c>
      <c r="S286" s="24">
        <v>186.5</v>
      </c>
      <c r="T286" s="24">
        <f t="shared" si="16"/>
        <v>1492</v>
      </c>
      <c r="U286" s="376">
        <v>4098.91</v>
      </c>
      <c r="V286" s="376">
        <v>218.7</v>
      </c>
      <c r="W286" s="22">
        <f t="shared" si="17"/>
        <v>3841.088561</v>
      </c>
      <c r="X286" s="22">
        <f t="shared" si="18"/>
        <v>527.5</v>
      </c>
      <c r="Y286" s="22">
        <v>484.5</v>
      </c>
      <c r="Z286" s="22">
        <v>43</v>
      </c>
      <c r="AA286" s="371">
        <v>4303.76</v>
      </c>
      <c r="AB286" s="22">
        <v>0.12256724352659069</v>
      </c>
      <c r="AC286" s="24">
        <v>0</v>
      </c>
      <c r="AD286" s="384">
        <v>0</v>
      </c>
    </row>
    <row r="287" spans="1:30">
      <c r="A287" s="21" t="s">
        <v>531</v>
      </c>
      <c r="B287" s="21" t="s">
        <v>532</v>
      </c>
      <c r="C287" s="23">
        <v>41</v>
      </c>
      <c r="D287" s="147">
        <v>2.99</v>
      </c>
      <c r="E287" s="22">
        <v>11.44</v>
      </c>
      <c r="F287" s="22">
        <v>14.43</v>
      </c>
      <c r="G287" s="22">
        <v>0</v>
      </c>
      <c r="H287" s="22">
        <v>7</v>
      </c>
      <c r="I287" s="22">
        <v>0</v>
      </c>
      <c r="J287" s="22">
        <v>0</v>
      </c>
      <c r="K287" s="22">
        <v>0</v>
      </c>
      <c r="L287" s="22">
        <v>0</v>
      </c>
      <c r="M287" s="388">
        <v>192</v>
      </c>
      <c r="N287" s="25">
        <v>0.55400000000000005</v>
      </c>
      <c r="O287" s="24">
        <v>205</v>
      </c>
      <c r="P287" s="24">
        <v>38</v>
      </c>
      <c r="Q287" s="24">
        <v>24</v>
      </c>
      <c r="R287" s="22">
        <v>14</v>
      </c>
      <c r="S287" s="24">
        <v>9</v>
      </c>
      <c r="T287" s="24">
        <f t="shared" si="16"/>
        <v>47</v>
      </c>
      <c r="U287" s="376">
        <v>106.37</v>
      </c>
      <c r="V287" s="376">
        <v>0</v>
      </c>
      <c r="W287" s="22">
        <f t="shared" si="17"/>
        <v>58.92898000000001</v>
      </c>
      <c r="X287" s="22">
        <f t="shared" si="18"/>
        <v>22.5</v>
      </c>
      <c r="Y287" s="22">
        <v>22</v>
      </c>
      <c r="Z287" s="22">
        <v>0.5</v>
      </c>
      <c r="AA287" s="371">
        <v>209.8</v>
      </c>
      <c r="AB287" s="22">
        <v>0.10724499523355577</v>
      </c>
      <c r="AC287" s="24">
        <v>0</v>
      </c>
      <c r="AD287" s="384">
        <v>0</v>
      </c>
    </row>
    <row r="288" spans="1:30">
      <c r="A288" s="21" t="s">
        <v>79</v>
      </c>
      <c r="B288" s="21" t="s">
        <v>80</v>
      </c>
      <c r="C288" s="23">
        <v>184</v>
      </c>
      <c r="D288" s="147">
        <v>17.79</v>
      </c>
      <c r="E288" s="22">
        <v>41.55</v>
      </c>
      <c r="F288" s="22">
        <v>59.339999999999996</v>
      </c>
      <c r="G288" s="22">
        <v>0</v>
      </c>
      <c r="H288" s="22">
        <v>29</v>
      </c>
      <c r="I288" s="22">
        <v>2.9</v>
      </c>
      <c r="J288" s="22">
        <v>13.799999999999999</v>
      </c>
      <c r="K288" s="22">
        <v>0</v>
      </c>
      <c r="L288" s="22">
        <v>0</v>
      </c>
      <c r="M288" s="388">
        <v>647.69999999999993</v>
      </c>
      <c r="N288" s="25">
        <v>0.41170000000000001</v>
      </c>
      <c r="O288" s="24">
        <v>0</v>
      </c>
      <c r="P288" s="24">
        <v>0</v>
      </c>
      <c r="Q288" s="24">
        <v>0</v>
      </c>
      <c r="R288" s="22">
        <v>0</v>
      </c>
      <c r="S288" s="24">
        <v>0</v>
      </c>
      <c r="T288" s="24">
        <f t="shared" si="16"/>
        <v>0</v>
      </c>
      <c r="U288" s="376">
        <v>266.66000000000003</v>
      </c>
      <c r="V288" s="376">
        <v>32.39</v>
      </c>
      <c r="W288" s="22">
        <f t="shared" si="17"/>
        <v>109.78392200000002</v>
      </c>
      <c r="X288" s="22">
        <f t="shared" si="18"/>
        <v>104</v>
      </c>
      <c r="Y288" s="22">
        <v>42.75</v>
      </c>
      <c r="Z288" s="22">
        <v>61.25</v>
      </c>
      <c r="AA288" s="371">
        <v>696.68</v>
      </c>
      <c r="AB288" s="22">
        <v>0.14927943962794971</v>
      </c>
      <c r="AC288" s="24">
        <v>1.4279439627949697E-2</v>
      </c>
      <c r="AD288" s="384">
        <v>-93198.618266568752</v>
      </c>
    </row>
    <row r="289" spans="1:30">
      <c r="A289" s="21" t="s">
        <v>257</v>
      </c>
      <c r="B289" s="21" t="s">
        <v>258</v>
      </c>
      <c r="C289" s="23">
        <v>61</v>
      </c>
      <c r="D289" s="147">
        <v>0</v>
      </c>
      <c r="E289" s="22">
        <v>0</v>
      </c>
      <c r="F289" s="22">
        <v>0</v>
      </c>
      <c r="G289" s="22">
        <v>0</v>
      </c>
      <c r="H289" s="22">
        <v>0</v>
      </c>
      <c r="I289" s="22">
        <v>0</v>
      </c>
      <c r="J289" s="22">
        <v>2.35</v>
      </c>
      <c r="K289" s="22">
        <v>0</v>
      </c>
      <c r="L289" s="22">
        <v>0</v>
      </c>
      <c r="M289" s="388">
        <v>213.35</v>
      </c>
      <c r="N289" s="25">
        <v>0</v>
      </c>
      <c r="O289" s="24">
        <v>0</v>
      </c>
      <c r="P289" s="24">
        <v>15.5</v>
      </c>
      <c r="Q289" s="24">
        <v>7</v>
      </c>
      <c r="R289" s="22">
        <v>8.5</v>
      </c>
      <c r="S289" s="24">
        <v>0</v>
      </c>
      <c r="T289" s="24">
        <f t="shared" si="16"/>
        <v>15.5</v>
      </c>
      <c r="U289" s="376">
        <v>0</v>
      </c>
      <c r="V289" s="376">
        <v>10.67</v>
      </c>
      <c r="W289" s="22">
        <f t="shared" si="17"/>
        <v>0</v>
      </c>
      <c r="X289" s="22">
        <f t="shared" si="18"/>
        <v>17.25</v>
      </c>
      <c r="Y289" s="22">
        <v>10.5</v>
      </c>
      <c r="Z289" s="22">
        <v>6.75</v>
      </c>
      <c r="AA289" s="371">
        <v>191.13</v>
      </c>
      <c r="AB289" s="22">
        <v>9.0252707581227443E-2</v>
      </c>
      <c r="AC289" s="24">
        <v>0</v>
      </c>
      <c r="AD289" s="384">
        <v>0</v>
      </c>
    </row>
    <row r="290" spans="1:30">
      <c r="A290" s="21" t="s">
        <v>201</v>
      </c>
      <c r="B290" s="21" t="s">
        <v>202</v>
      </c>
      <c r="C290" s="23">
        <v>790</v>
      </c>
      <c r="D290" s="147">
        <v>0</v>
      </c>
      <c r="E290" s="22">
        <v>103.33</v>
      </c>
      <c r="F290" s="22">
        <v>103.33</v>
      </c>
      <c r="G290" s="22">
        <v>0</v>
      </c>
      <c r="H290" s="22">
        <v>84</v>
      </c>
      <c r="I290" s="22">
        <v>3.3</v>
      </c>
      <c r="J290" s="22">
        <v>21</v>
      </c>
      <c r="K290" s="22">
        <v>0.8</v>
      </c>
      <c r="L290" s="22">
        <v>0</v>
      </c>
      <c r="M290" s="388">
        <v>2746.1000000000004</v>
      </c>
      <c r="N290" s="25">
        <v>0.749</v>
      </c>
      <c r="O290" s="24">
        <v>2550</v>
      </c>
      <c r="P290" s="24">
        <v>1026.5</v>
      </c>
      <c r="Q290" s="24">
        <v>620.75</v>
      </c>
      <c r="R290" s="22">
        <v>405.75</v>
      </c>
      <c r="S290" s="24">
        <v>19.5</v>
      </c>
      <c r="T290" s="24">
        <f t="shared" si="16"/>
        <v>1046</v>
      </c>
      <c r="U290" s="376">
        <v>2056.5500000000002</v>
      </c>
      <c r="V290" s="376">
        <v>137.31</v>
      </c>
      <c r="W290" s="22">
        <f t="shared" si="17"/>
        <v>1540.3559500000001</v>
      </c>
      <c r="X290" s="22">
        <f t="shared" si="18"/>
        <v>328.75</v>
      </c>
      <c r="Y290" s="22">
        <v>180.5</v>
      </c>
      <c r="Z290" s="22">
        <v>148.25</v>
      </c>
      <c r="AA290" s="371">
        <v>2564.7600000000002</v>
      </c>
      <c r="AB290" s="22">
        <v>0.12817963474165223</v>
      </c>
      <c r="AC290" s="24">
        <v>0</v>
      </c>
      <c r="AD290" s="384">
        <v>0</v>
      </c>
    </row>
    <row r="291" spans="1:30">
      <c r="A291" s="21" t="s">
        <v>511</v>
      </c>
      <c r="B291" s="21" t="s">
        <v>512</v>
      </c>
      <c r="C291" s="23">
        <v>1722</v>
      </c>
      <c r="D291" s="147">
        <v>205.24</v>
      </c>
      <c r="E291" s="22">
        <v>390.78</v>
      </c>
      <c r="F291" s="22">
        <v>596.02</v>
      </c>
      <c r="G291" s="22">
        <v>298.81</v>
      </c>
      <c r="H291" s="22">
        <v>340</v>
      </c>
      <c r="I291" s="22">
        <v>17.68</v>
      </c>
      <c r="J291" s="22">
        <v>366.95</v>
      </c>
      <c r="K291" s="22">
        <v>17.399999999999999</v>
      </c>
      <c r="L291" s="22">
        <v>0</v>
      </c>
      <c r="M291" s="388">
        <v>6679.0299999999988</v>
      </c>
      <c r="N291" s="25">
        <v>0.3085</v>
      </c>
      <c r="O291" s="24">
        <v>0</v>
      </c>
      <c r="P291" s="24">
        <v>129</v>
      </c>
      <c r="Q291" s="24">
        <v>93.5</v>
      </c>
      <c r="R291" s="22">
        <v>35.5</v>
      </c>
      <c r="S291" s="24">
        <v>51.5</v>
      </c>
      <c r="T291" s="24">
        <f t="shared" si="16"/>
        <v>180.5</v>
      </c>
      <c r="U291" s="376">
        <v>2061.15</v>
      </c>
      <c r="V291" s="376">
        <v>333.95</v>
      </c>
      <c r="W291" s="22">
        <f t="shared" si="17"/>
        <v>635.86477500000001</v>
      </c>
      <c r="X291" s="22">
        <f t="shared" si="18"/>
        <v>831.75</v>
      </c>
      <c r="Y291" s="22">
        <v>470</v>
      </c>
      <c r="Z291" s="22">
        <v>361.75</v>
      </c>
      <c r="AA291" s="371">
        <v>6446.42</v>
      </c>
      <c r="AB291" s="22">
        <v>0.12902510230484518</v>
      </c>
      <c r="AC291" s="24">
        <v>0</v>
      </c>
      <c r="AD291" s="384">
        <v>0</v>
      </c>
    </row>
    <row r="292" spans="1:30">
      <c r="A292" s="21" t="s">
        <v>581</v>
      </c>
      <c r="B292" s="21" t="s">
        <v>582</v>
      </c>
      <c r="C292" s="23">
        <v>271</v>
      </c>
      <c r="D292" s="147">
        <v>0</v>
      </c>
      <c r="E292" s="22">
        <v>0</v>
      </c>
      <c r="F292" s="22">
        <v>0</v>
      </c>
      <c r="G292" s="22">
        <v>0</v>
      </c>
      <c r="H292" s="22">
        <v>0</v>
      </c>
      <c r="I292" s="22">
        <v>0</v>
      </c>
      <c r="J292" s="22">
        <v>0</v>
      </c>
      <c r="K292" s="22">
        <v>0</v>
      </c>
      <c r="L292" s="22">
        <v>0</v>
      </c>
      <c r="M292" s="388">
        <v>600</v>
      </c>
      <c r="N292" s="25">
        <v>0.93140000000000001</v>
      </c>
      <c r="O292" s="24">
        <v>580</v>
      </c>
      <c r="P292" s="24">
        <v>163.75</v>
      </c>
      <c r="Q292" s="24">
        <v>143.75</v>
      </c>
      <c r="R292" s="22">
        <v>20</v>
      </c>
      <c r="S292" s="24">
        <v>56.75</v>
      </c>
      <c r="T292" s="24">
        <f t="shared" si="16"/>
        <v>220.5</v>
      </c>
      <c r="U292" s="376">
        <v>558.84</v>
      </c>
      <c r="V292" s="376">
        <v>30</v>
      </c>
      <c r="W292" s="22">
        <f t="shared" si="17"/>
        <v>520.50357600000007</v>
      </c>
      <c r="X292" s="22">
        <f t="shared" si="18"/>
        <v>69.75</v>
      </c>
      <c r="Y292" s="22">
        <v>53.75</v>
      </c>
      <c r="Z292" s="22">
        <v>16</v>
      </c>
      <c r="AA292" s="371">
        <v>565.45000000000005</v>
      </c>
      <c r="AB292" s="22">
        <v>0.1233530816164117</v>
      </c>
      <c r="AC292" s="24">
        <v>0</v>
      </c>
      <c r="AD292" s="384">
        <v>0</v>
      </c>
    </row>
    <row r="293" spans="1:30">
      <c r="A293" s="21" t="s">
        <v>369</v>
      </c>
      <c r="B293" s="21" t="s">
        <v>370</v>
      </c>
      <c r="C293" s="23">
        <v>1530</v>
      </c>
      <c r="D293" s="147">
        <v>0</v>
      </c>
      <c r="E293" s="22">
        <v>297.42</v>
      </c>
      <c r="F293" s="22">
        <v>297.42</v>
      </c>
      <c r="G293" s="22">
        <v>0</v>
      </c>
      <c r="H293" s="22">
        <v>225</v>
      </c>
      <c r="I293" s="22">
        <v>4.6900000000000004</v>
      </c>
      <c r="J293" s="22">
        <v>52.400000000000006</v>
      </c>
      <c r="K293" s="22">
        <v>0</v>
      </c>
      <c r="L293" s="22">
        <v>0</v>
      </c>
      <c r="M293" s="388">
        <v>5532.0899999999992</v>
      </c>
      <c r="N293" s="25">
        <v>0.36459999999999998</v>
      </c>
      <c r="O293" s="24">
        <v>0</v>
      </c>
      <c r="P293" s="24">
        <v>293</v>
      </c>
      <c r="Q293" s="24">
        <v>221.25</v>
      </c>
      <c r="R293" s="22">
        <v>71.75</v>
      </c>
      <c r="S293" s="24">
        <v>97.25</v>
      </c>
      <c r="T293" s="24">
        <f t="shared" si="16"/>
        <v>390.25</v>
      </c>
      <c r="U293" s="376">
        <v>2017.55</v>
      </c>
      <c r="V293" s="376">
        <v>276.60000000000002</v>
      </c>
      <c r="W293" s="22">
        <f t="shared" si="17"/>
        <v>735.59872999999993</v>
      </c>
      <c r="X293" s="22">
        <f t="shared" si="18"/>
        <v>544.5</v>
      </c>
      <c r="Y293" s="22">
        <v>274.5</v>
      </c>
      <c r="Z293" s="22">
        <v>270</v>
      </c>
      <c r="AA293" s="371">
        <v>5597.44</v>
      </c>
      <c r="AB293" s="22">
        <v>9.727661216556141E-2</v>
      </c>
      <c r="AC293" s="24">
        <v>0</v>
      </c>
      <c r="AD293" s="384">
        <v>0</v>
      </c>
    </row>
    <row r="294" spans="1:30">
      <c r="A294" s="21" t="s">
        <v>489</v>
      </c>
      <c r="B294" s="21" t="s">
        <v>490</v>
      </c>
      <c r="C294" s="23">
        <v>110</v>
      </c>
      <c r="D294" s="147">
        <v>0</v>
      </c>
      <c r="E294" s="22">
        <v>0</v>
      </c>
      <c r="F294" s="22">
        <v>0</v>
      </c>
      <c r="G294" s="22">
        <v>0</v>
      </c>
      <c r="H294" s="22">
        <v>0</v>
      </c>
      <c r="I294" s="22">
        <v>0.25</v>
      </c>
      <c r="J294" s="22">
        <v>900.75</v>
      </c>
      <c r="K294" s="22">
        <v>0</v>
      </c>
      <c r="L294" s="22">
        <v>0</v>
      </c>
      <c r="M294" s="388">
        <v>1182</v>
      </c>
      <c r="N294" s="25">
        <v>0.22850000000000001</v>
      </c>
      <c r="O294" s="24">
        <v>259</v>
      </c>
      <c r="P294" s="24">
        <v>36.75</v>
      </c>
      <c r="Q294" s="24">
        <v>26.5</v>
      </c>
      <c r="R294" s="22">
        <v>10.25</v>
      </c>
      <c r="S294" s="24">
        <v>3</v>
      </c>
      <c r="T294" s="24">
        <f t="shared" si="16"/>
        <v>39.75</v>
      </c>
      <c r="U294" s="376">
        <v>269.85000000000002</v>
      </c>
      <c r="V294" s="376">
        <v>59.1</v>
      </c>
      <c r="W294" s="22">
        <f t="shared" si="17"/>
        <v>61.660725000000006</v>
      </c>
      <c r="X294" s="22">
        <f t="shared" si="18"/>
        <v>109.5</v>
      </c>
      <c r="Y294" s="22">
        <v>99</v>
      </c>
      <c r="Z294" s="22">
        <v>10.5</v>
      </c>
      <c r="AA294" s="371">
        <v>1156.2</v>
      </c>
      <c r="AB294" s="22">
        <v>9.4706798131811099E-2</v>
      </c>
      <c r="AC294" s="24">
        <v>0</v>
      </c>
      <c r="AD294" s="384">
        <v>0</v>
      </c>
    </row>
    <row r="295" spans="1:30">
      <c r="A295" s="21" t="s">
        <v>55</v>
      </c>
      <c r="B295" s="21" t="s">
        <v>56</v>
      </c>
      <c r="C295" s="23">
        <v>6880</v>
      </c>
      <c r="D295" s="147">
        <v>264.52</v>
      </c>
      <c r="E295" s="22">
        <v>1367.27</v>
      </c>
      <c r="F295" s="22">
        <v>1631.79</v>
      </c>
      <c r="G295" s="22">
        <v>0</v>
      </c>
      <c r="H295" s="22">
        <v>450</v>
      </c>
      <c r="I295" s="22">
        <v>4.42</v>
      </c>
      <c r="J295" s="22">
        <v>1056.3499999999999</v>
      </c>
      <c r="K295" s="22">
        <v>212.39</v>
      </c>
      <c r="L295" s="22">
        <v>0.37</v>
      </c>
      <c r="M295" s="388">
        <v>22319.529999999995</v>
      </c>
      <c r="N295" s="25">
        <v>0.48480000000000001</v>
      </c>
      <c r="O295" s="24">
        <v>12505</v>
      </c>
      <c r="P295" s="24">
        <v>2930.5</v>
      </c>
      <c r="Q295" s="24">
        <v>1833</v>
      </c>
      <c r="R295" s="22">
        <v>1097.5</v>
      </c>
      <c r="S295" s="24">
        <v>481.75</v>
      </c>
      <c r="T295" s="24">
        <f t="shared" si="16"/>
        <v>3412.25</v>
      </c>
      <c r="U295" s="376">
        <v>10822.74</v>
      </c>
      <c r="V295" s="376">
        <v>1115.98</v>
      </c>
      <c r="W295" s="22">
        <f t="shared" si="17"/>
        <v>5246.8643519999996</v>
      </c>
      <c r="X295" s="22">
        <f t="shared" si="18"/>
        <v>2856.25</v>
      </c>
      <c r="Y295" s="22">
        <v>1787</v>
      </c>
      <c r="Z295" s="22">
        <v>1069.25</v>
      </c>
      <c r="AA295" s="371">
        <v>21527.19</v>
      </c>
      <c r="AB295" s="22">
        <v>0.13268104197528802</v>
      </c>
      <c r="AC295" s="24">
        <v>0</v>
      </c>
      <c r="AD295" s="384">
        <v>0</v>
      </c>
    </row>
    <row r="296" spans="1:30">
      <c r="A296" s="21" t="s">
        <v>193</v>
      </c>
      <c r="B296" s="21" t="s">
        <v>194</v>
      </c>
      <c r="C296" s="23">
        <v>273</v>
      </c>
      <c r="D296" s="147">
        <v>21.13</v>
      </c>
      <c r="E296" s="22">
        <v>96.95</v>
      </c>
      <c r="F296" s="22">
        <v>118.08</v>
      </c>
      <c r="G296" s="22">
        <v>0</v>
      </c>
      <c r="H296" s="22">
        <v>48</v>
      </c>
      <c r="I296" s="22">
        <v>0.68</v>
      </c>
      <c r="J296" s="22">
        <v>129.49</v>
      </c>
      <c r="K296" s="22">
        <v>0</v>
      </c>
      <c r="L296" s="22">
        <v>0</v>
      </c>
      <c r="M296" s="388">
        <v>1487.17</v>
      </c>
      <c r="N296" s="25">
        <v>0.2329</v>
      </c>
      <c r="O296" s="24">
        <v>39</v>
      </c>
      <c r="P296" s="24">
        <v>74.75</v>
      </c>
      <c r="Q296" s="24">
        <v>43.5</v>
      </c>
      <c r="R296" s="22">
        <v>31.25</v>
      </c>
      <c r="S296" s="24">
        <v>6</v>
      </c>
      <c r="T296" s="24">
        <f t="shared" si="16"/>
        <v>80.75</v>
      </c>
      <c r="U296" s="376">
        <v>347.11</v>
      </c>
      <c r="V296" s="376">
        <v>74.36</v>
      </c>
      <c r="W296" s="22">
        <f t="shared" si="17"/>
        <v>80.841919000000004</v>
      </c>
      <c r="X296" s="22">
        <f t="shared" si="18"/>
        <v>165</v>
      </c>
      <c r="Y296" s="22">
        <v>129</v>
      </c>
      <c r="Z296" s="22">
        <v>36</v>
      </c>
      <c r="AA296" s="371">
        <v>1483.22</v>
      </c>
      <c r="AB296" s="22">
        <v>0.11124445463248878</v>
      </c>
      <c r="AC296" s="24">
        <v>0</v>
      </c>
      <c r="AD296" s="384">
        <v>0</v>
      </c>
    </row>
    <row r="297" spans="1:30">
      <c r="A297" s="21" t="s">
        <v>1024</v>
      </c>
      <c r="B297" s="21" t="s">
        <v>1044</v>
      </c>
      <c r="C297" s="23">
        <v>55.2</v>
      </c>
      <c r="D297" s="147">
        <v>0</v>
      </c>
      <c r="E297" s="22">
        <v>0</v>
      </c>
      <c r="F297" s="22">
        <v>0</v>
      </c>
      <c r="G297" s="22">
        <v>0</v>
      </c>
      <c r="H297" s="22">
        <v>0</v>
      </c>
      <c r="I297" s="22">
        <v>0</v>
      </c>
      <c r="J297" s="22">
        <v>0</v>
      </c>
      <c r="K297" s="22">
        <v>0</v>
      </c>
      <c r="L297" s="22">
        <v>0</v>
      </c>
      <c r="M297" s="388">
        <v>125.60000000000001</v>
      </c>
      <c r="N297" s="25">
        <v>0.9919</v>
      </c>
      <c r="O297" s="24">
        <v>124</v>
      </c>
      <c r="P297" s="24">
        <v>0</v>
      </c>
      <c r="Q297" s="24">
        <v>0</v>
      </c>
      <c r="R297" s="22">
        <v>0</v>
      </c>
      <c r="S297" s="24">
        <v>0</v>
      </c>
      <c r="T297" s="24">
        <f t="shared" si="16"/>
        <v>0</v>
      </c>
      <c r="U297" s="376">
        <v>124.58</v>
      </c>
      <c r="V297" s="376">
        <v>0</v>
      </c>
      <c r="W297" s="22">
        <f t="shared" si="17"/>
        <v>123.570902</v>
      </c>
      <c r="X297" s="22">
        <f t="shared" si="18"/>
        <v>16.5</v>
      </c>
      <c r="Y297" s="22">
        <v>15.5</v>
      </c>
      <c r="Z297" s="22">
        <v>1</v>
      </c>
      <c r="AA297" s="371">
        <v>125.6</v>
      </c>
      <c r="AB297" s="22">
        <v>0.13136942675159236</v>
      </c>
      <c r="AC297" s="24">
        <v>0</v>
      </c>
      <c r="AD297" s="384">
        <v>0</v>
      </c>
    </row>
    <row r="298" spans="1:30">
      <c r="A298" s="21" t="s">
        <v>523</v>
      </c>
      <c r="B298" s="21" t="s">
        <v>524</v>
      </c>
      <c r="C298" s="23">
        <v>105</v>
      </c>
      <c r="D298" s="147">
        <v>0</v>
      </c>
      <c r="E298" s="22">
        <v>25.53</v>
      </c>
      <c r="F298" s="22">
        <v>25.53</v>
      </c>
      <c r="G298" s="22">
        <v>0</v>
      </c>
      <c r="H298" s="22">
        <v>8</v>
      </c>
      <c r="I298" s="22">
        <v>0.53</v>
      </c>
      <c r="J298" s="22">
        <v>19.79</v>
      </c>
      <c r="K298" s="22">
        <v>0</v>
      </c>
      <c r="L298" s="22">
        <v>0</v>
      </c>
      <c r="M298" s="388">
        <v>434.32</v>
      </c>
      <c r="N298" s="25">
        <v>0.64859999999999995</v>
      </c>
      <c r="O298" s="24">
        <v>462</v>
      </c>
      <c r="P298" s="24">
        <v>16.25</v>
      </c>
      <c r="Q298" s="24">
        <v>7.75</v>
      </c>
      <c r="R298" s="22">
        <v>8.5</v>
      </c>
      <c r="S298" s="24">
        <v>0</v>
      </c>
      <c r="T298" s="24">
        <f t="shared" si="16"/>
        <v>16.25</v>
      </c>
      <c r="U298" s="376">
        <v>281.7</v>
      </c>
      <c r="V298" s="376">
        <v>0</v>
      </c>
      <c r="W298" s="22">
        <f t="shared" si="17"/>
        <v>182.71061999999998</v>
      </c>
      <c r="X298" s="22">
        <f t="shared" si="18"/>
        <v>76.25</v>
      </c>
      <c r="Y298" s="22">
        <v>43.75</v>
      </c>
      <c r="Z298" s="22">
        <v>32.5</v>
      </c>
      <c r="AA298" s="371">
        <v>451.68</v>
      </c>
      <c r="AB298" s="22">
        <v>0.16881420474672335</v>
      </c>
      <c r="AC298" s="24">
        <v>3.3814204746723336E-2</v>
      </c>
      <c r="AD298" s="384">
        <v>-141965.01951458221</v>
      </c>
    </row>
    <row r="299" spans="1:30">
      <c r="A299" s="21" t="s">
        <v>121</v>
      </c>
      <c r="B299" s="21" t="s">
        <v>122</v>
      </c>
      <c r="C299" s="23">
        <v>685</v>
      </c>
      <c r="D299" s="147">
        <v>65.14</v>
      </c>
      <c r="E299" s="22">
        <v>208.3</v>
      </c>
      <c r="F299" s="22">
        <v>273.44</v>
      </c>
      <c r="G299" s="22">
        <v>0</v>
      </c>
      <c r="H299" s="22">
        <v>0</v>
      </c>
      <c r="I299" s="22">
        <v>1.99</v>
      </c>
      <c r="J299" s="22">
        <v>0</v>
      </c>
      <c r="K299" s="22">
        <v>0</v>
      </c>
      <c r="L299" s="22">
        <v>0</v>
      </c>
      <c r="M299" s="388">
        <v>2445.9899999999998</v>
      </c>
      <c r="N299" s="25">
        <v>0.96860000000000002</v>
      </c>
      <c r="O299" s="24">
        <v>2453</v>
      </c>
      <c r="P299" s="24">
        <v>1197</v>
      </c>
      <c r="Q299" s="24">
        <v>747.75</v>
      </c>
      <c r="R299" s="22">
        <v>449.25</v>
      </c>
      <c r="S299" s="24">
        <v>228.5</v>
      </c>
      <c r="T299" s="24">
        <f t="shared" si="16"/>
        <v>1425.5</v>
      </c>
      <c r="U299" s="376">
        <v>2368.21</v>
      </c>
      <c r="V299" s="376">
        <v>122.3</v>
      </c>
      <c r="W299" s="22">
        <f t="shared" si="17"/>
        <v>2293.8482060000001</v>
      </c>
      <c r="X299" s="22">
        <f t="shared" si="18"/>
        <v>294.25</v>
      </c>
      <c r="Y299" s="22">
        <v>168.75</v>
      </c>
      <c r="Z299" s="22">
        <v>125.5</v>
      </c>
      <c r="AA299" s="371">
        <v>2428.12</v>
      </c>
      <c r="AB299" s="22">
        <v>0.1211842907269822</v>
      </c>
      <c r="AC299" s="24">
        <v>0</v>
      </c>
      <c r="AD299" s="384">
        <v>0</v>
      </c>
    </row>
    <row r="300" spans="1:30">
      <c r="A300" s="21" t="s">
        <v>535</v>
      </c>
      <c r="B300" s="21" t="s">
        <v>536</v>
      </c>
      <c r="C300" s="23">
        <v>64</v>
      </c>
      <c r="D300" s="147">
        <v>4.5</v>
      </c>
      <c r="E300" s="22">
        <v>10.26</v>
      </c>
      <c r="F300" s="22">
        <v>14.76</v>
      </c>
      <c r="G300" s="22">
        <v>0</v>
      </c>
      <c r="H300" s="22">
        <v>4</v>
      </c>
      <c r="I300" s="22">
        <v>0.67</v>
      </c>
      <c r="J300" s="22">
        <v>0</v>
      </c>
      <c r="K300" s="22">
        <v>0</v>
      </c>
      <c r="L300" s="22">
        <v>0</v>
      </c>
      <c r="M300" s="388">
        <v>232.67</v>
      </c>
      <c r="N300" s="25">
        <v>0.56779999999999997</v>
      </c>
      <c r="O300" s="24">
        <v>267</v>
      </c>
      <c r="P300" s="24">
        <v>1.5</v>
      </c>
      <c r="Q300" s="24">
        <v>0.5</v>
      </c>
      <c r="R300" s="22">
        <v>1</v>
      </c>
      <c r="S300" s="24">
        <v>0</v>
      </c>
      <c r="T300" s="24">
        <f t="shared" si="16"/>
        <v>1.5</v>
      </c>
      <c r="U300" s="376">
        <v>132.11000000000001</v>
      </c>
      <c r="V300" s="376">
        <v>0</v>
      </c>
      <c r="W300" s="22">
        <f t="shared" si="17"/>
        <v>75.01205800000001</v>
      </c>
      <c r="X300" s="22">
        <f t="shared" si="18"/>
        <v>21.75</v>
      </c>
      <c r="Y300" s="22">
        <v>20.75</v>
      </c>
      <c r="Z300" s="22">
        <v>1</v>
      </c>
      <c r="AA300" s="371">
        <v>264.05</v>
      </c>
      <c r="AB300" s="22">
        <v>8.2370763113046766E-2</v>
      </c>
      <c r="AC300" s="24">
        <v>0</v>
      </c>
      <c r="AD300" s="384">
        <v>0</v>
      </c>
    </row>
    <row r="301" spans="1:30">
      <c r="A301" s="21" t="s">
        <v>527</v>
      </c>
      <c r="B301" s="21" t="s">
        <v>528</v>
      </c>
      <c r="C301" s="23">
        <v>1608</v>
      </c>
      <c r="D301" s="147">
        <v>64.94</v>
      </c>
      <c r="E301" s="22">
        <v>293.41000000000003</v>
      </c>
      <c r="F301" s="22">
        <v>358.35</v>
      </c>
      <c r="G301" s="22">
        <v>92.35</v>
      </c>
      <c r="H301" s="22">
        <v>99</v>
      </c>
      <c r="I301" s="22">
        <v>9.11</v>
      </c>
      <c r="J301" s="22">
        <v>344.87</v>
      </c>
      <c r="K301" s="22">
        <v>94.2</v>
      </c>
      <c r="L301" s="22">
        <v>0.2</v>
      </c>
      <c r="M301" s="388">
        <v>5612.3799999999992</v>
      </c>
      <c r="N301" s="25">
        <v>0.55479999999999996</v>
      </c>
      <c r="O301" s="24">
        <v>2707</v>
      </c>
      <c r="P301" s="24">
        <v>780.25</v>
      </c>
      <c r="Q301" s="24">
        <v>541</v>
      </c>
      <c r="R301" s="22">
        <v>239.25</v>
      </c>
      <c r="S301" s="24">
        <v>140.5</v>
      </c>
      <c r="T301" s="24">
        <f t="shared" si="16"/>
        <v>920.75</v>
      </c>
      <c r="U301" s="376">
        <v>3113.75</v>
      </c>
      <c r="V301" s="376">
        <v>280.62</v>
      </c>
      <c r="W301" s="22">
        <f t="shared" si="17"/>
        <v>1727.5084999999999</v>
      </c>
      <c r="X301" s="22">
        <f t="shared" si="18"/>
        <v>799</v>
      </c>
      <c r="Y301" s="22">
        <v>459.75</v>
      </c>
      <c r="Z301" s="22">
        <v>339.25</v>
      </c>
      <c r="AA301" s="371">
        <v>5465.81</v>
      </c>
      <c r="AB301" s="22">
        <v>0.14618144428730598</v>
      </c>
      <c r="AC301" s="24">
        <v>1.1181444287305969E-2</v>
      </c>
      <c r="AD301" s="384">
        <v>-575469.34894377785</v>
      </c>
    </row>
    <row r="302" spans="1:30">
      <c r="A302" s="21" t="s">
        <v>605</v>
      </c>
      <c r="B302" s="21" t="s">
        <v>606</v>
      </c>
      <c r="C302" s="23">
        <v>850</v>
      </c>
      <c r="D302" s="147">
        <v>57.4</v>
      </c>
      <c r="E302" s="22">
        <v>256.31</v>
      </c>
      <c r="F302" s="22">
        <v>313.70999999999998</v>
      </c>
      <c r="G302" s="22">
        <v>0</v>
      </c>
      <c r="H302" s="22">
        <v>10</v>
      </c>
      <c r="I302" s="22">
        <v>1.08</v>
      </c>
      <c r="J302" s="22">
        <v>28.75</v>
      </c>
      <c r="K302" s="22">
        <v>4.2</v>
      </c>
      <c r="L302" s="22">
        <v>0</v>
      </c>
      <c r="M302" s="388">
        <v>3138.0299999999997</v>
      </c>
      <c r="N302" s="25">
        <v>0.90939999999999999</v>
      </c>
      <c r="O302" s="24">
        <v>3145</v>
      </c>
      <c r="P302" s="24">
        <v>1045</v>
      </c>
      <c r="Q302" s="24">
        <v>595.5</v>
      </c>
      <c r="R302" s="22">
        <v>449.5</v>
      </c>
      <c r="S302" s="24">
        <v>151.25</v>
      </c>
      <c r="T302" s="24">
        <f t="shared" si="16"/>
        <v>1196.25</v>
      </c>
      <c r="U302" s="376">
        <v>2852.78</v>
      </c>
      <c r="V302" s="376">
        <v>156.9</v>
      </c>
      <c r="W302" s="22">
        <f t="shared" si="17"/>
        <v>2594.3181320000003</v>
      </c>
      <c r="X302" s="22">
        <f t="shared" si="18"/>
        <v>385.25</v>
      </c>
      <c r="Y302" s="22">
        <v>290</v>
      </c>
      <c r="Z302" s="22">
        <v>95.25</v>
      </c>
      <c r="AA302" s="371">
        <v>3067.73</v>
      </c>
      <c r="AB302" s="22">
        <v>0.1255814559951495</v>
      </c>
      <c r="AC302" s="24">
        <v>0</v>
      </c>
      <c r="AD302" s="384">
        <v>0</v>
      </c>
    </row>
    <row r="303" spans="1:30">
      <c r="A303" s="21" t="s">
        <v>125</v>
      </c>
      <c r="B303" s="21" t="s">
        <v>126</v>
      </c>
      <c r="C303" s="23">
        <v>231</v>
      </c>
      <c r="D303" s="147">
        <v>3.09</v>
      </c>
      <c r="E303" s="22">
        <v>54.3</v>
      </c>
      <c r="F303" s="22">
        <v>57.39</v>
      </c>
      <c r="G303" s="22">
        <v>0</v>
      </c>
      <c r="H303" s="22">
        <v>24</v>
      </c>
      <c r="I303" s="22">
        <v>2.0699999999999998</v>
      </c>
      <c r="J303" s="22">
        <v>0</v>
      </c>
      <c r="K303" s="22">
        <v>0</v>
      </c>
      <c r="L303" s="22">
        <v>0</v>
      </c>
      <c r="M303" s="388">
        <v>871.07</v>
      </c>
      <c r="N303" s="25">
        <v>0.85399999999999998</v>
      </c>
      <c r="O303" s="24">
        <v>902</v>
      </c>
      <c r="P303" s="24">
        <v>236.25</v>
      </c>
      <c r="Q303" s="24">
        <v>158.75</v>
      </c>
      <c r="R303" s="22">
        <v>77.5</v>
      </c>
      <c r="S303" s="24">
        <v>53.25</v>
      </c>
      <c r="T303" s="24">
        <f t="shared" si="16"/>
        <v>289.5</v>
      </c>
      <c r="U303" s="376">
        <v>743.89</v>
      </c>
      <c r="V303" s="376">
        <v>43.55</v>
      </c>
      <c r="W303" s="22">
        <f t="shared" si="17"/>
        <v>635.28206</v>
      </c>
      <c r="X303" s="22">
        <f t="shared" si="18"/>
        <v>123.5</v>
      </c>
      <c r="Y303" s="22">
        <v>43.5</v>
      </c>
      <c r="Z303" s="22">
        <v>80</v>
      </c>
      <c r="AA303" s="371">
        <v>887.16</v>
      </c>
      <c r="AB303" s="22">
        <v>0.13920826006582804</v>
      </c>
      <c r="AC303" s="24">
        <v>4.2082600658280289E-3</v>
      </c>
      <c r="AD303" s="384">
        <v>-34079.753709986566</v>
      </c>
    </row>
    <row r="304" spans="1:30">
      <c r="A304" s="21" t="s">
        <v>63</v>
      </c>
      <c r="B304" s="21" t="s">
        <v>64</v>
      </c>
      <c r="C304" s="23">
        <v>808</v>
      </c>
      <c r="D304" s="147">
        <v>43.91</v>
      </c>
      <c r="E304" s="22">
        <v>224.87</v>
      </c>
      <c r="F304" s="22">
        <v>268.77999999999997</v>
      </c>
      <c r="G304" s="22">
        <v>0</v>
      </c>
      <c r="H304" s="22">
        <v>90</v>
      </c>
      <c r="I304" s="22">
        <v>0.7</v>
      </c>
      <c r="J304" s="22">
        <v>108.76</v>
      </c>
      <c r="K304" s="22">
        <v>5.4</v>
      </c>
      <c r="L304" s="22">
        <v>0</v>
      </c>
      <c r="M304" s="388">
        <v>2938.86</v>
      </c>
      <c r="N304" s="25">
        <v>0.34239999999999998</v>
      </c>
      <c r="O304" s="24">
        <v>0</v>
      </c>
      <c r="P304" s="24">
        <v>77.25</v>
      </c>
      <c r="Q304" s="24">
        <v>43.75</v>
      </c>
      <c r="R304" s="22">
        <v>33.5</v>
      </c>
      <c r="S304" s="24">
        <v>11</v>
      </c>
      <c r="T304" s="24">
        <f t="shared" si="16"/>
        <v>88.25</v>
      </c>
      <c r="U304" s="376">
        <v>1006.27</v>
      </c>
      <c r="V304" s="376">
        <v>146.94</v>
      </c>
      <c r="W304" s="22">
        <f t="shared" si="17"/>
        <v>344.54684799999995</v>
      </c>
      <c r="X304" s="22">
        <f t="shared" si="18"/>
        <v>440.75</v>
      </c>
      <c r="Y304" s="22">
        <v>316.25</v>
      </c>
      <c r="Z304" s="22">
        <v>124.5</v>
      </c>
      <c r="AA304" s="371">
        <v>2943.94</v>
      </c>
      <c r="AB304" s="22">
        <v>0.14971432841701937</v>
      </c>
      <c r="AC304" s="24">
        <v>1.4714328417019362E-2</v>
      </c>
      <c r="AD304" s="384">
        <v>-415732.87600066105</v>
      </c>
    </row>
    <row r="305" spans="1:30">
      <c r="A305" s="21" t="s">
        <v>3</v>
      </c>
      <c r="B305" s="21" t="s">
        <v>4</v>
      </c>
      <c r="C305" s="23">
        <v>17</v>
      </c>
      <c r="D305" s="147">
        <v>2.9</v>
      </c>
      <c r="E305" s="22">
        <v>2.7</v>
      </c>
      <c r="F305" s="22">
        <v>5.6</v>
      </c>
      <c r="G305" s="22">
        <v>0</v>
      </c>
      <c r="H305" s="22">
        <v>0</v>
      </c>
      <c r="I305" s="22">
        <v>0</v>
      </c>
      <c r="J305" s="22">
        <v>0</v>
      </c>
      <c r="K305" s="22">
        <v>0</v>
      </c>
      <c r="L305" s="22">
        <v>0</v>
      </c>
      <c r="M305" s="388">
        <v>65</v>
      </c>
      <c r="N305" s="25">
        <v>0.74390000000000001</v>
      </c>
      <c r="O305" s="24">
        <v>82</v>
      </c>
      <c r="P305" s="24">
        <v>1</v>
      </c>
      <c r="Q305" s="24">
        <v>1</v>
      </c>
      <c r="R305" s="22">
        <v>0</v>
      </c>
      <c r="S305" s="24">
        <v>0</v>
      </c>
      <c r="T305" s="24">
        <f t="shared" si="16"/>
        <v>1</v>
      </c>
      <c r="U305" s="376">
        <v>48.35</v>
      </c>
      <c r="V305" s="376">
        <v>3.25</v>
      </c>
      <c r="W305" s="22">
        <f t="shared" si="17"/>
        <v>35.967565</v>
      </c>
      <c r="X305" s="22">
        <f t="shared" si="18"/>
        <v>5.5</v>
      </c>
      <c r="Y305" s="22">
        <v>5.5</v>
      </c>
      <c r="Z305" s="22">
        <v>0</v>
      </c>
      <c r="AA305" s="371">
        <v>78.12</v>
      </c>
      <c r="AB305" s="22">
        <v>7.040450588837685E-2</v>
      </c>
      <c r="AC305" s="24">
        <v>0</v>
      </c>
      <c r="AD305" s="384">
        <v>0</v>
      </c>
    </row>
    <row r="306" spans="1:30">
      <c r="A306" s="21" t="s">
        <v>99</v>
      </c>
      <c r="B306" s="21" t="s">
        <v>100</v>
      </c>
      <c r="C306" s="23">
        <v>78</v>
      </c>
      <c r="D306" s="147">
        <v>1.39</v>
      </c>
      <c r="E306" s="22">
        <v>13.83</v>
      </c>
      <c r="F306" s="22">
        <v>15.22</v>
      </c>
      <c r="G306" s="22">
        <v>0</v>
      </c>
      <c r="H306" s="22">
        <v>9</v>
      </c>
      <c r="I306" s="22">
        <v>0.17</v>
      </c>
      <c r="J306" s="22">
        <v>0</v>
      </c>
      <c r="K306" s="22">
        <v>0</v>
      </c>
      <c r="L306" s="22">
        <v>0</v>
      </c>
      <c r="M306" s="388">
        <v>274.17</v>
      </c>
      <c r="N306" s="25">
        <v>0.55989999999999995</v>
      </c>
      <c r="O306" s="24">
        <v>255</v>
      </c>
      <c r="P306" s="24">
        <v>14</v>
      </c>
      <c r="Q306" s="24">
        <v>8</v>
      </c>
      <c r="R306" s="22">
        <v>6</v>
      </c>
      <c r="S306" s="24">
        <v>3</v>
      </c>
      <c r="T306" s="24">
        <f t="shared" si="16"/>
        <v>17</v>
      </c>
      <c r="U306" s="376">
        <v>153.51</v>
      </c>
      <c r="V306" s="376">
        <v>13.71</v>
      </c>
      <c r="W306" s="22">
        <f t="shared" si="17"/>
        <v>85.950248999999985</v>
      </c>
      <c r="X306" s="22">
        <f t="shared" si="18"/>
        <v>43</v>
      </c>
      <c r="Y306" s="22">
        <v>35</v>
      </c>
      <c r="Z306" s="22">
        <v>8</v>
      </c>
      <c r="AA306" s="371">
        <v>258.76</v>
      </c>
      <c r="AB306" s="22">
        <v>0.16617715257381357</v>
      </c>
      <c r="AC306" s="24">
        <v>3.1177152573813566E-2</v>
      </c>
      <c r="AD306" s="384">
        <v>-74436.289548153843</v>
      </c>
    </row>
    <row r="307" spans="1:30">
      <c r="A307" s="21" t="s">
        <v>487</v>
      </c>
      <c r="B307" s="21" t="s">
        <v>488</v>
      </c>
      <c r="C307" s="23">
        <v>141</v>
      </c>
      <c r="D307" s="147">
        <v>0</v>
      </c>
      <c r="E307" s="22">
        <v>6.6</v>
      </c>
      <c r="F307" s="22">
        <v>6.6</v>
      </c>
      <c r="G307" s="22">
        <v>0</v>
      </c>
      <c r="H307" s="22">
        <v>1</v>
      </c>
      <c r="I307" s="22">
        <v>0.08</v>
      </c>
      <c r="J307" s="22">
        <v>0</v>
      </c>
      <c r="K307" s="22">
        <v>21.6</v>
      </c>
      <c r="L307" s="22">
        <v>0</v>
      </c>
      <c r="M307" s="388">
        <v>453.68</v>
      </c>
      <c r="N307" s="25">
        <v>0.8992</v>
      </c>
      <c r="O307" s="24">
        <v>397</v>
      </c>
      <c r="P307" s="24">
        <v>0</v>
      </c>
      <c r="Q307" s="24">
        <v>0</v>
      </c>
      <c r="R307" s="22">
        <v>0</v>
      </c>
      <c r="S307" s="24">
        <v>0</v>
      </c>
      <c r="T307" s="24">
        <f t="shared" si="16"/>
        <v>0</v>
      </c>
      <c r="U307" s="376">
        <v>407.95</v>
      </c>
      <c r="V307" s="376">
        <v>22.68</v>
      </c>
      <c r="W307" s="22">
        <f t="shared" si="17"/>
        <v>366.82864000000001</v>
      </c>
      <c r="X307" s="22">
        <f t="shared" si="18"/>
        <v>63.25</v>
      </c>
      <c r="Y307" s="22">
        <v>54.75</v>
      </c>
      <c r="Z307" s="22">
        <v>8.5</v>
      </c>
      <c r="AA307" s="371">
        <v>390.86</v>
      </c>
      <c r="AB307" s="22">
        <v>0.16182264749526684</v>
      </c>
      <c r="AC307" s="24">
        <v>2.6822647495266833E-2</v>
      </c>
      <c r="AD307" s="384">
        <v>-97526.692714572288</v>
      </c>
    </row>
    <row r="308" spans="1:30">
      <c r="A308" s="21" t="s">
        <v>41</v>
      </c>
      <c r="B308" s="21" t="s">
        <v>42</v>
      </c>
      <c r="C308" s="23">
        <v>1816</v>
      </c>
      <c r="D308" s="147">
        <v>166.8</v>
      </c>
      <c r="E308" s="22">
        <v>535.94000000000005</v>
      </c>
      <c r="F308" s="22">
        <v>702.74</v>
      </c>
      <c r="G308" s="22">
        <v>198.04</v>
      </c>
      <c r="H308" s="22">
        <v>243</v>
      </c>
      <c r="I308" s="22">
        <v>15</v>
      </c>
      <c r="J308" s="22">
        <v>431.81000000000006</v>
      </c>
      <c r="K308" s="22">
        <v>49.66</v>
      </c>
      <c r="L308" s="22">
        <v>0</v>
      </c>
      <c r="M308" s="388">
        <v>7009.47</v>
      </c>
      <c r="N308" s="25">
        <v>0.58699999999999997</v>
      </c>
      <c r="O308" s="24">
        <v>6253</v>
      </c>
      <c r="P308" s="24">
        <v>1567.5</v>
      </c>
      <c r="Q308" s="24">
        <v>997</v>
      </c>
      <c r="R308" s="22">
        <v>570.5</v>
      </c>
      <c r="S308" s="24">
        <v>366.75</v>
      </c>
      <c r="T308" s="24">
        <f t="shared" si="16"/>
        <v>1934.25</v>
      </c>
      <c r="U308" s="376">
        <v>4114.5600000000004</v>
      </c>
      <c r="V308" s="376">
        <v>0</v>
      </c>
      <c r="W308" s="22">
        <f t="shared" si="17"/>
        <v>2415.2467200000001</v>
      </c>
      <c r="X308" s="22">
        <f t="shared" si="18"/>
        <v>947.25</v>
      </c>
      <c r="Y308" s="22">
        <v>754.5</v>
      </c>
      <c r="Z308" s="22">
        <v>192.75</v>
      </c>
      <c r="AA308" s="371">
        <v>7239.14</v>
      </c>
      <c r="AB308" s="22">
        <v>0.13085117845489933</v>
      </c>
      <c r="AC308" s="24">
        <v>0</v>
      </c>
      <c r="AD308" s="384">
        <v>0</v>
      </c>
    </row>
    <row r="309" spans="1:30">
      <c r="A309" s="21" t="s">
        <v>473</v>
      </c>
      <c r="B309" s="21" t="s">
        <v>474</v>
      </c>
      <c r="C309" s="23">
        <v>817</v>
      </c>
      <c r="D309" s="147">
        <v>82.08</v>
      </c>
      <c r="E309" s="22">
        <v>205.38</v>
      </c>
      <c r="F309" s="22">
        <v>287.45999999999998</v>
      </c>
      <c r="G309" s="22">
        <v>0</v>
      </c>
      <c r="H309" s="22">
        <v>78</v>
      </c>
      <c r="I309" s="22">
        <v>1.77</v>
      </c>
      <c r="J309" s="22">
        <v>721.08</v>
      </c>
      <c r="K309" s="22">
        <v>2.2000000000000002</v>
      </c>
      <c r="L309" s="22">
        <v>0</v>
      </c>
      <c r="M309" s="388">
        <v>3567.0499999999997</v>
      </c>
      <c r="N309" s="25">
        <v>0.52390000000000003</v>
      </c>
      <c r="O309" s="24">
        <v>1839</v>
      </c>
      <c r="P309" s="24">
        <v>102.25</v>
      </c>
      <c r="Q309" s="24">
        <v>60.25</v>
      </c>
      <c r="R309" s="22">
        <v>42</v>
      </c>
      <c r="S309" s="24">
        <v>13.75</v>
      </c>
      <c r="T309" s="24">
        <f t="shared" si="16"/>
        <v>116</v>
      </c>
      <c r="U309" s="376">
        <v>1868.78</v>
      </c>
      <c r="V309" s="376">
        <v>178.35</v>
      </c>
      <c r="W309" s="22">
        <f t="shared" si="17"/>
        <v>979.05384200000003</v>
      </c>
      <c r="X309" s="22">
        <f t="shared" si="18"/>
        <v>396.25</v>
      </c>
      <c r="Y309" s="22">
        <v>314.25</v>
      </c>
      <c r="Z309" s="22">
        <v>82</v>
      </c>
      <c r="AA309" s="371">
        <v>3195.2</v>
      </c>
      <c r="AB309" s="22">
        <v>0.12401414621932901</v>
      </c>
      <c r="AC309" s="24">
        <v>0</v>
      </c>
      <c r="AD309" s="384">
        <v>0</v>
      </c>
    </row>
    <row r="310" spans="1:30">
      <c r="A310" s="21" t="s">
        <v>607</v>
      </c>
      <c r="B310" s="21" t="s">
        <v>608</v>
      </c>
      <c r="C310" s="23">
        <v>1605</v>
      </c>
      <c r="D310" s="147">
        <v>281.89999999999998</v>
      </c>
      <c r="E310" s="22">
        <v>310.18</v>
      </c>
      <c r="F310" s="22">
        <v>592.07999999999993</v>
      </c>
      <c r="G310" s="22">
        <v>0</v>
      </c>
      <c r="H310" s="22">
        <v>125</v>
      </c>
      <c r="I310" s="22">
        <v>8.6199999999999992</v>
      </c>
      <c r="J310" s="22">
        <v>174.32</v>
      </c>
      <c r="K310" s="22">
        <v>5.6</v>
      </c>
      <c r="L310" s="22">
        <v>0</v>
      </c>
      <c r="M310" s="388">
        <v>5460.54</v>
      </c>
      <c r="N310" s="25">
        <v>0.46389999999999998</v>
      </c>
      <c r="O310" s="24">
        <v>1540</v>
      </c>
      <c r="P310" s="24">
        <v>422</v>
      </c>
      <c r="Q310" s="24">
        <v>299.75</v>
      </c>
      <c r="R310" s="22">
        <v>122.25</v>
      </c>
      <c r="S310" s="24">
        <v>76</v>
      </c>
      <c r="T310" s="24">
        <f t="shared" si="16"/>
        <v>498</v>
      </c>
      <c r="U310" s="376">
        <v>2525.5</v>
      </c>
      <c r="V310" s="376">
        <v>273.02999999999997</v>
      </c>
      <c r="W310" s="22">
        <f t="shared" si="17"/>
        <v>1171.57945</v>
      </c>
      <c r="X310" s="22">
        <f t="shared" si="18"/>
        <v>714.25</v>
      </c>
      <c r="Y310" s="22">
        <v>484.5</v>
      </c>
      <c r="Z310" s="22">
        <v>229.75</v>
      </c>
      <c r="AA310" s="371">
        <v>5262.89</v>
      </c>
      <c r="AB310" s="22">
        <v>0.13571440786336023</v>
      </c>
      <c r="AC310" s="24">
        <v>7.1440786336021689E-4</v>
      </c>
      <c r="AD310" s="384">
        <v>-35439.241826495301</v>
      </c>
    </row>
    <row r="311" spans="1:30">
      <c r="A311" s="21" t="s">
        <v>1253</v>
      </c>
      <c r="B311" s="21" t="s">
        <v>1254</v>
      </c>
      <c r="C311" s="23">
        <v>0</v>
      </c>
      <c r="D311" s="147">
        <v>0</v>
      </c>
      <c r="E311" s="22">
        <v>0</v>
      </c>
      <c r="F311" s="22">
        <v>0</v>
      </c>
      <c r="G311" s="22">
        <v>0</v>
      </c>
      <c r="H311" s="22">
        <v>0</v>
      </c>
      <c r="I311" s="22">
        <v>0</v>
      </c>
      <c r="J311" s="22">
        <v>0</v>
      </c>
      <c r="K311" s="22">
        <v>0</v>
      </c>
      <c r="L311" s="22">
        <v>0</v>
      </c>
      <c r="M311" s="388">
        <v>108</v>
      </c>
      <c r="N311" s="25">
        <v>0.60419999999999996</v>
      </c>
      <c r="O311" s="24">
        <v>48</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79</v>
      </c>
      <c r="D312" s="147">
        <v>0.13</v>
      </c>
      <c r="E312" s="22">
        <v>18.62</v>
      </c>
      <c r="F312" s="22">
        <v>18.75</v>
      </c>
      <c r="G312" s="22">
        <v>0</v>
      </c>
      <c r="H312" s="22">
        <v>9</v>
      </c>
      <c r="I312" s="22">
        <v>0.92</v>
      </c>
      <c r="J312" s="22">
        <v>18.54</v>
      </c>
      <c r="K312" s="22">
        <v>0</v>
      </c>
      <c r="L312" s="22">
        <v>0</v>
      </c>
      <c r="M312" s="388">
        <v>312.46000000000004</v>
      </c>
      <c r="N312" s="25">
        <v>0.69669999999999999</v>
      </c>
      <c r="O312" s="24">
        <v>333</v>
      </c>
      <c r="P312" s="24">
        <v>0</v>
      </c>
      <c r="Q312" s="24">
        <v>0</v>
      </c>
      <c r="R312" s="22">
        <v>0</v>
      </c>
      <c r="S312" s="24">
        <v>0</v>
      </c>
      <c r="T312" s="24">
        <f t="shared" si="16"/>
        <v>0</v>
      </c>
      <c r="U312" s="376">
        <v>217.69</v>
      </c>
      <c r="V312" s="376">
        <v>15.62</v>
      </c>
      <c r="W312" s="22">
        <f t="shared" si="17"/>
        <v>151.66462300000001</v>
      </c>
      <c r="X312" s="22">
        <f t="shared" si="18"/>
        <v>60.5</v>
      </c>
      <c r="Y312" s="22">
        <v>40</v>
      </c>
      <c r="Z312" s="22">
        <v>20.5</v>
      </c>
      <c r="AA312" s="371">
        <v>324.11</v>
      </c>
      <c r="AB312" s="22">
        <v>0.18666502113479991</v>
      </c>
      <c r="AC312" s="24">
        <v>5.1665021134799899E-2</v>
      </c>
      <c r="AD312" s="384">
        <v>-152971.70966215624</v>
      </c>
    </row>
    <row r="313" spans="1:30">
      <c r="A313" s="21" t="s">
        <v>387</v>
      </c>
      <c r="B313" s="21" t="s">
        <v>388</v>
      </c>
      <c r="C313" s="23">
        <v>1252</v>
      </c>
      <c r="D313" s="147">
        <v>33.08</v>
      </c>
      <c r="E313" s="22">
        <v>290.43</v>
      </c>
      <c r="F313" s="22">
        <v>323.51</v>
      </c>
      <c r="G313" s="22">
        <v>0</v>
      </c>
      <c r="H313" s="22">
        <v>122</v>
      </c>
      <c r="I313" s="22">
        <v>6.32</v>
      </c>
      <c r="J313" s="22">
        <v>46.8</v>
      </c>
      <c r="K313" s="22">
        <v>30.8</v>
      </c>
      <c r="L313" s="22">
        <v>0</v>
      </c>
      <c r="M313" s="388">
        <v>4180.92</v>
      </c>
      <c r="N313" s="25">
        <v>0.29680000000000001</v>
      </c>
      <c r="O313" s="24">
        <v>27</v>
      </c>
      <c r="P313" s="24">
        <v>120.5</v>
      </c>
      <c r="Q313" s="24">
        <v>89.5</v>
      </c>
      <c r="R313" s="22">
        <v>31</v>
      </c>
      <c r="S313" s="24">
        <v>37</v>
      </c>
      <c r="T313" s="24">
        <f t="shared" si="16"/>
        <v>157.5</v>
      </c>
      <c r="U313" s="376">
        <v>1240.9000000000001</v>
      </c>
      <c r="V313" s="376">
        <v>0</v>
      </c>
      <c r="W313" s="22">
        <f t="shared" si="17"/>
        <v>368.29912000000002</v>
      </c>
      <c r="X313" s="22">
        <f t="shared" si="18"/>
        <v>566</v>
      </c>
      <c r="Y313" s="22">
        <v>341</v>
      </c>
      <c r="Z313" s="22">
        <v>225</v>
      </c>
      <c r="AA313" s="371">
        <v>4168.96</v>
      </c>
      <c r="AB313" s="22">
        <v>0.13576527479275408</v>
      </c>
      <c r="AC313" s="24">
        <v>7.6527479275406707E-4</v>
      </c>
      <c r="AD313" s="384">
        <v>-30716.25540322483</v>
      </c>
    </row>
    <row r="314" spans="1:30">
      <c r="A314" s="21" t="s">
        <v>267</v>
      </c>
      <c r="B314" s="21" t="s">
        <v>268</v>
      </c>
      <c r="C314" s="23">
        <v>312</v>
      </c>
      <c r="D314" s="147">
        <v>0</v>
      </c>
      <c r="E314" s="22">
        <v>57.92</v>
      </c>
      <c r="F314" s="22">
        <v>57.92</v>
      </c>
      <c r="G314" s="22">
        <v>0</v>
      </c>
      <c r="H314" s="22">
        <v>26</v>
      </c>
      <c r="I314" s="22">
        <v>0.05</v>
      </c>
      <c r="J314" s="22">
        <v>18.05</v>
      </c>
      <c r="K314" s="22">
        <v>0</v>
      </c>
      <c r="L314" s="22">
        <v>0</v>
      </c>
      <c r="M314" s="388">
        <v>1165.0999999999999</v>
      </c>
      <c r="N314" s="25">
        <v>0.43130000000000002</v>
      </c>
      <c r="O314" s="24">
        <v>18</v>
      </c>
      <c r="P314" s="24">
        <v>181.75</v>
      </c>
      <c r="Q314" s="24">
        <v>107.25</v>
      </c>
      <c r="R314" s="22">
        <v>74.5</v>
      </c>
      <c r="S314" s="24">
        <v>19.75</v>
      </c>
      <c r="T314" s="24">
        <f t="shared" si="16"/>
        <v>201.5</v>
      </c>
      <c r="U314" s="376">
        <v>503.09</v>
      </c>
      <c r="V314" s="376">
        <v>58.26</v>
      </c>
      <c r="W314" s="22">
        <f t="shared" si="17"/>
        <v>216.98271700000001</v>
      </c>
      <c r="X314" s="22">
        <f t="shared" si="18"/>
        <v>144.25</v>
      </c>
      <c r="Y314" s="22">
        <v>101.25</v>
      </c>
      <c r="Z314" s="22">
        <v>43</v>
      </c>
      <c r="AA314" s="371">
        <v>1106.8599999999999</v>
      </c>
      <c r="AB314" s="22">
        <v>0.13032361816309201</v>
      </c>
      <c r="AC314" s="24">
        <v>0</v>
      </c>
      <c r="AD314" s="384">
        <v>0</v>
      </c>
    </row>
    <row r="315" spans="1:30">
      <c r="A315" s="21" t="s">
        <v>307</v>
      </c>
      <c r="B315" s="21" t="s">
        <v>308</v>
      </c>
      <c r="C315" s="23">
        <v>51</v>
      </c>
      <c r="D315" s="147">
        <v>6.11</v>
      </c>
      <c r="E315" s="22">
        <v>15.33</v>
      </c>
      <c r="F315" s="22">
        <v>21.44</v>
      </c>
      <c r="G315" s="22">
        <v>0</v>
      </c>
      <c r="H315" s="22">
        <v>0</v>
      </c>
      <c r="I315" s="22">
        <v>0</v>
      </c>
      <c r="J315" s="22">
        <v>0</v>
      </c>
      <c r="K315" s="22">
        <v>0</v>
      </c>
      <c r="L315" s="22">
        <v>0</v>
      </c>
      <c r="M315" s="388">
        <v>185</v>
      </c>
      <c r="N315" s="25">
        <v>0.44269999999999998</v>
      </c>
      <c r="O315" s="24">
        <v>0</v>
      </c>
      <c r="P315" s="24">
        <v>0</v>
      </c>
      <c r="Q315" s="24">
        <v>0</v>
      </c>
      <c r="R315" s="22">
        <v>0</v>
      </c>
      <c r="S315" s="24">
        <v>0</v>
      </c>
      <c r="T315" s="24">
        <f t="shared" si="16"/>
        <v>0</v>
      </c>
      <c r="U315" s="376">
        <v>81.900000000000006</v>
      </c>
      <c r="V315" s="376">
        <v>9.25</v>
      </c>
      <c r="W315" s="22">
        <f t="shared" si="17"/>
        <v>36.257130000000004</v>
      </c>
      <c r="X315" s="22">
        <f t="shared" si="18"/>
        <v>40.25</v>
      </c>
      <c r="Y315" s="22">
        <v>30</v>
      </c>
      <c r="Z315" s="22">
        <v>10.25</v>
      </c>
      <c r="AA315" s="371">
        <v>220.11</v>
      </c>
      <c r="AB315" s="22">
        <v>0.18286311389759666</v>
      </c>
      <c r="AC315" s="24">
        <v>4.7863113897596649E-2</v>
      </c>
      <c r="AD315" s="384">
        <v>-97157.068316518868</v>
      </c>
    </row>
    <row r="316" spans="1:30">
      <c r="A316" s="21" t="s">
        <v>351</v>
      </c>
      <c r="B316" s="21" t="s">
        <v>352</v>
      </c>
      <c r="C316" s="23">
        <v>99</v>
      </c>
      <c r="D316" s="147">
        <v>6.34</v>
      </c>
      <c r="E316" s="22">
        <v>24.41</v>
      </c>
      <c r="F316" s="22">
        <v>30.75</v>
      </c>
      <c r="G316" s="22">
        <v>0</v>
      </c>
      <c r="H316" s="22">
        <v>10</v>
      </c>
      <c r="I316" s="22">
        <v>0</v>
      </c>
      <c r="J316" s="22">
        <v>0</v>
      </c>
      <c r="K316" s="22">
        <v>0</v>
      </c>
      <c r="L316" s="22">
        <v>0</v>
      </c>
      <c r="M316" s="388">
        <v>333</v>
      </c>
      <c r="N316" s="25">
        <v>0.41570000000000001</v>
      </c>
      <c r="O316" s="24">
        <v>0</v>
      </c>
      <c r="P316" s="24">
        <v>8</v>
      </c>
      <c r="Q316" s="24">
        <v>7</v>
      </c>
      <c r="R316" s="22">
        <v>1</v>
      </c>
      <c r="S316" s="24">
        <v>1</v>
      </c>
      <c r="T316" s="24">
        <f t="shared" si="16"/>
        <v>9</v>
      </c>
      <c r="U316" s="376">
        <v>138.43</v>
      </c>
      <c r="V316" s="376">
        <v>16.649999999999999</v>
      </c>
      <c r="W316" s="22">
        <f t="shared" si="17"/>
        <v>57.545351000000004</v>
      </c>
      <c r="X316" s="22">
        <f t="shared" si="18"/>
        <v>41</v>
      </c>
      <c r="Y316" s="22">
        <v>23.25</v>
      </c>
      <c r="Z316" s="22">
        <v>17.75</v>
      </c>
      <c r="AA316" s="371">
        <v>358.75</v>
      </c>
      <c r="AB316" s="22">
        <v>0.11428571428571428</v>
      </c>
      <c r="AC316" s="24">
        <v>0</v>
      </c>
      <c r="AD316" s="384">
        <v>0</v>
      </c>
    </row>
    <row r="317" spans="1:30">
      <c r="A317" s="21" t="s">
        <v>137</v>
      </c>
      <c r="B317" s="21" t="s">
        <v>138</v>
      </c>
      <c r="C317" s="23">
        <v>45</v>
      </c>
      <c r="D317" s="147">
        <v>3.05</v>
      </c>
      <c r="E317" s="22">
        <v>10.56</v>
      </c>
      <c r="F317" s="22">
        <v>13.61</v>
      </c>
      <c r="G317" s="22">
        <v>0</v>
      </c>
      <c r="H317" s="22">
        <v>3</v>
      </c>
      <c r="I317" s="22">
        <v>0.5</v>
      </c>
      <c r="J317" s="22">
        <v>0</v>
      </c>
      <c r="K317" s="22">
        <v>0</v>
      </c>
      <c r="L317" s="22">
        <v>0</v>
      </c>
      <c r="M317" s="388">
        <v>135.5</v>
      </c>
      <c r="N317" s="25">
        <v>0.66439999999999999</v>
      </c>
      <c r="O317" s="24">
        <v>118</v>
      </c>
      <c r="P317" s="24">
        <v>2.25</v>
      </c>
      <c r="Q317" s="24">
        <v>1</v>
      </c>
      <c r="R317" s="22">
        <v>1.25</v>
      </c>
      <c r="S317" s="24">
        <v>0.75</v>
      </c>
      <c r="T317" s="24">
        <f t="shared" si="16"/>
        <v>3</v>
      </c>
      <c r="U317" s="376">
        <v>90.03</v>
      </c>
      <c r="V317" s="376">
        <v>6.78</v>
      </c>
      <c r="W317" s="22">
        <f t="shared" si="17"/>
        <v>59.815931999999997</v>
      </c>
      <c r="X317" s="22">
        <f t="shared" si="18"/>
        <v>15.5</v>
      </c>
      <c r="Y317" s="22">
        <v>14.5</v>
      </c>
      <c r="Z317" s="22">
        <v>1</v>
      </c>
      <c r="AA317" s="371">
        <v>114.57</v>
      </c>
      <c r="AB317" s="22">
        <v>0.13528846993104654</v>
      </c>
      <c r="AC317" s="24">
        <v>2.8846993104653107E-4</v>
      </c>
      <c r="AD317" s="384">
        <v>-315.89092018729355</v>
      </c>
    </row>
    <row r="318" spans="1:30">
      <c r="A318" s="21" t="s">
        <v>281</v>
      </c>
      <c r="B318" s="21" t="s">
        <v>282</v>
      </c>
      <c r="C318" s="23">
        <v>234</v>
      </c>
      <c r="D318" s="147">
        <v>8.86</v>
      </c>
      <c r="E318" s="22">
        <v>48.29</v>
      </c>
      <c r="F318" s="22">
        <v>57.15</v>
      </c>
      <c r="G318" s="22">
        <v>0</v>
      </c>
      <c r="H318" s="22">
        <v>10</v>
      </c>
      <c r="I318" s="22">
        <v>0.33</v>
      </c>
      <c r="J318" s="22">
        <v>0</v>
      </c>
      <c r="K318" s="22">
        <v>2</v>
      </c>
      <c r="L318" s="22">
        <v>0</v>
      </c>
      <c r="M318" s="388">
        <v>775.33</v>
      </c>
      <c r="N318" s="25">
        <v>0.91100000000000003</v>
      </c>
      <c r="O318" s="24">
        <v>736</v>
      </c>
      <c r="P318" s="24">
        <v>41</v>
      </c>
      <c r="Q318" s="24">
        <v>22.25</v>
      </c>
      <c r="R318" s="22">
        <v>18.75</v>
      </c>
      <c r="S318" s="24">
        <v>7.25</v>
      </c>
      <c r="T318" s="24">
        <f t="shared" si="16"/>
        <v>48.25</v>
      </c>
      <c r="U318" s="376">
        <v>706.33</v>
      </c>
      <c r="V318" s="376">
        <v>38.770000000000003</v>
      </c>
      <c r="W318" s="22">
        <f t="shared" si="17"/>
        <v>643.46663000000001</v>
      </c>
      <c r="X318" s="22">
        <f t="shared" si="18"/>
        <v>115</v>
      </c>
      <c r="Y318" s="22">
        <v>63</v>
      </c>
      <c r="Z318" s="22">
        <v>52</v>
      </c>
      <c r="AA318" s="371">
        <v>731.32</v>
      </c>
      <c r="AB318" s="22">
        <v>0.15724990428266694</v>
      </c>
      <c r="AC318" s="24">
        <v>2.2249904282666932E-2</v>
      </c>
      <c r="AD318" s="384">
        <v>-153261.72379677987</v>
      </c>
    </row>
    <row r="319" spans="1:30">
      <c r="A319" s="21" t="s">
        <v>161</v>
      </c>
      <c r="B319" s="21" t="s">
        <v>162</v>
      </c>
      <c r="C319" s="23">
        <v>35</v>
      </c>
      <c r="D319" s="147">
        <v>4.26</v>
      </c>
      <c r="E319" s="22">
        <v>6.81</v>
      </c>
      <c r="F319" s="22">
        <v>11.07</v>
      </c>
      <c r="G319" s="22">
        <v>0</v>
      </c>
      <c r="H319" s="22">
        <v>0</v>
      </c>
      <c r="I319" s="22">
        <v>0</v>
      </c>
      <c r="J319" s="22">
        <v>0</v>
      </c>
      <c r="K319" s="22">
        <v>0</v>
      </c>
      <c r="L319" s="22">
        <v>0</v>
      </c>
      <c r="M319" s="388">
        <v>139</v>
      </c>
      <c r="N319" s="25">
        <v>0.6774</v>
      </c>
      <c r="O319" s="24">
        <v>155</v>
      </c>
      <c r="P319" s="24">
        <v>0</v>
      </c>
      <c r="Q319" s="24">
        <v>0</v>
      </c>
      <c r="R319" s="22">
        <v>0</v>
      </c>
      <c r="S319" s="24">
        <v>0</v>
      </c>
      <c r="T319" s="24">
        <f t="shared" si="16"/>
        <v>0</v>
      </c>
      <c r="U319" s="376">
        <v>94.16</v>
      </c>
      <c r="V319" s="376">
        <v>0</v>
      </c>
      <c r="W319" s="22">
        <f t="shared" si="17"/>
        <v>63.783983999999997</v>
      </c>
      <c r="X319" s="22">
        <f t="shared" si="18"/>
        <v>18.5</v>
      </c>
      <c r="Y319" s="22">
        <v>15.5</v>
      </c>
      <c r="Z319" s="22">
        <v>3</v>
      </c>
      <c r="AA319" s="371">
        <v>156.47999999999999</v>
      </c>
      <c r="AB319" s="22">
        <v>0.11822597137014315</v>
      </c>
      <c r="AC319" s="24">
        <v>0</v>
      </c>
      <c r="AD319" s="384">
        <v>0</v>
      </c>
    </row>
    <row r="320" spans="1:30">
      <c r="A320" s="21" t="s">
        <v>251</v>
      </c>
      <c r="B320" s="21" t="s">
        <v>252</v>
      </c>
      <c r="C320" s="23">
        <v>46</v>
      </c>
      <c r="D320" s="147">
        <v>0</v>
      </c>
      <c r="E320" s="22">
        <v>2.59</v>
      </c>
      <c r="F320" s="22">
        <v>2.59</v>
      </c>
      <c r="G320" s="22">
        <v>0</v>
      </c>
      <c r="H320" s="22">
        <v>3</v>
      </c>
      <c r="I320" s="22">
        <v>0.08</v>
      </c>
      <c r="J320" s="22">
        <v>0</v>
      </c>
      <c r="K320" s="22">
        <v>0</v>
      </c>
      <c r="L320" s="22">
        <v>0</v>
      </c>
      <c r="M320" s="388">
        <v>159.08000000000001</v>
      </c>
      <c r="N320" s="25">
        <v>0.91379999999999995</v>
      </c>
      <c r="O320" s="24">
        <v>58</v>
      </c>
      <c r="P320" s="24">
        <v>0</v>
      </c>
      <c r="Q320" s="24">
        <v>0</v>
      </c>
      <c r="R320" s="22">
        <v>0</v>
      </c>
      <c r="S320" s="24">
        <v>0</v>
      </c>
      <c r="T320" s="24">
        <f t="shared" si="16"/>
        <v>0</v>
      </c>
      <c r="U320" s="376">
        <v>145.37</v>
      </c>
      <c r="V320" s="376">
        <v>0</v>
      </c>
      <c r="W320" s="22">
        <f t="shared" si="17"/>
        <v>132.83910599999999</v>
      </c>
      <c r="X320" s="22">
        <f t="shared" si="18"/>
        <v>5.5</v>
      </c>
      <c r="Y320" s="22">
        <v>5.5</v>
      </c>
      <c r="Z320" s="22">
        <v>0</v>
      </c>
      <c r="AA320" s="371">
        <v>60.23</v>
      </c>
      <c r="AB320" s="22">
        <v>9.1316619624771708E-2</v>
      </c>
      <c r="AC320" s="24">
        <v>0</v>
      </c>
      <c r="AD320" s="384">
        <v>0</v>
      </c>
    </row>
    <row r="321" spans="1:30">
      <c r="A321" s="21" t="s">
        <v>85</v>
      </c>
      <c r="B321" s="21" t="s">
        <v>86</v>
      </c>
      <c r="C321" s="23">
        <v>702</v>
      </c>
      <c r="D321" s="147">
        <v>3.34</v>
      </c>
      <c r="E321" s="22">
        <v>83.07</v>
      </c>
      <c r="F321" s="22">
        <v>86.41</v>
      </c>
      <c r="G321" s="22">
        <v>0</v>
      </c>
      <c r="H321" s="22">
        <v>61</v>
      </c>
      <c r="I321" s="22">
        <v>1.1200000000000001</v>
      </c>
      <c r="J321" s="22">
        <v>183.03</v>
      </c>
      <c r="K321" s="22">
        <v>1.8</v>
      </c>
      <c r="L321" s="22">
        <v>0</v>
      </c>
      <c r="M321" s="388">
        <v>2522.9500000000003</v>
      </c>
      <c r="N321" s="25">
        <v>0.47249999999999998</v>
      </c>
      <c r="O321" s="24">
        <v>499</v>
      </c>
      <c r="P321" s="24">
        <v>208.75</v>
      </c>
      <c r="Q321" s="24">
        <v>145.5</v>
      </c>
      <c r="R321" s="22">
        <v>63.25</v>
      </c>
      <c r="S321" s="24">
        <v>26</v>
      </c>
      <c r="T321" s="24">
        <f t="shared" si="16"/>
        <v>234.75</v>
      </c>
      <c r="U321" s="376">
        <v>1192.0899999999999</v>
      </c>
      <c r="V321" s="376">
        <v>126.15</v>
      </c>
      <c r="W321" s="22">
        <f t="shared" si="17"/>
        <v>563.26252499999998</v>
      </c>
      <c r="X321" s="22">
        <f t="shared" si="18"/>
        <v>318.75</v>
      </c>
      <c r="Y321" s="22">
        <v>186.25</v>
      </c>
      <c r="Z321" s="22">
        <v>132.5</v>
      </c>
      <c r="AA321" s="371">
        <v>2375.35</v>
      </c>
      <c r="AB321" s="22">
        <v>0.1341907508367188</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130.4</v>
      </c>
      <c r="N322" s="25">
        <v>0</v>
      </c>
      <c r="O322" s="24">
        <v>0</v>
      </c>
      <c r="P322" s="24">
        <v>0</v>
      </c>
      <c r="Q322" s="24">
        <v>0</v>
      </c>
      <c r="R322" s="22">
        <v>0</v>
      </c>
      <c r="S322" s="24">
        <v>0</v>
      </c>
      <c r="T322" s="24">
        <f t="shared" si="16"/>
        <v>0</v>
      </c>
      <c r="U322" s="376">
        <v>0</v>
      </c>
      <c r="V322" s="376">
        <v>0</v>
      </c>
      <c r="W322" s="22">
        <f t="shared" si="17"/>
        <v>0</v>
      </c>
      <c r="X322" s="22">
        <f t="shared" si="18"/>
        <v>17.5</v>
      </c>
      <c r="Y322" s="22">
        <v>16.5</v>
      </c>
      <c r="Z322" s="22">
        <v>1</v>
      </c>
      <c r="AA322" s="371">
        <v>130.4</v>
      </c>
      <c r="AB322" s="22">
        <v>0.13420245398773006</v>
      </c>
      <c r="AC322" s="24">
        <v>0</v>
      </c>
      <c r="AD322" s="384">
        <v>0</v>
      </c>
    </row>
    <row r="323" spans="1:30">
      <c r="A323" s="21" t="s">
        <v>585</v>
      </c>
      <c r="B323" s="21" t="s">
        <v>586</v>
      </c>
      <c r="C323" s="23">
        <v>4401</v>
      </c>
      <c r="D323" s="147">
        <v>268.20999999999998</v>
      </c>
      <c r="E323" s="22">
        <v>1066.55</v>
      </c>
      <c r="F323" s="22">
        <v>1334.76</v>
      </c>
      <c r="G323" s="22">
        <v>448.28</v>
      </c>
      <c r="H323" s="22">
        <v>160</v>
      </c>
      <c r="I323" s="22">
        <v>15.38</v>
      </c>
      <c r="J323" s="22">
        <v>355.47</v>
      </c>
      <c r="K323" s="22">
        <v>46.8</v>
      </c>
      <c r="L323" s="22">
        <v>0</v>
      </c>
      <c r="M323" s="388">
        <v>15908.649999999998</v>
      </c>
      <c r="N323" s="25">
        <v>0.8538</v>
      </c>
      <c r="O323" s="24">
        <v>15742</v>
      </c>
      <c r="P323" s="24">
        <v>4603.25</v>
      </c>
      <c r="Q323" s="24">
        <v>2883</v>
      </c>
      <c r="R323" s="22">
        <v>1720.25</v>
      </c>
      <c r="S323" s="24">
        <v>690.5</v>
      </c>
      <c r="T323" s="24">
        <f t="shared" si="16"/>
        <v>5293.75</v>
      </c>
      <c r="U323" s="376">
        <v>13582.81</v>
      </c>
      <c r="V323" s="376">
        <v>795.43</v>
      </c>
      <c r="W323" s="22">
        <f t="shared" si="17"/>
        <v>11597.003177999999</v>
      </c>
      <c r="X323" s="22">
        <f t="shared" si="18"/>
        <v>1933</v>
      </c>
      <c r="Y323" s="22">
        <v>1052.25</v>
      </c>
      <c r="Z323" s="22">
        <v>880.75</v>
      </c>
      <c r="AA323" s="371">
        <v>15340.83</v>
      </c>
      <c r="AB323" s="22">
        <v>0.12600361258158782</v>
      </c>
      <c r="AC323" s="24">
        <v>0</v>
      </c>
      <c r="AD323" s="384">
        <v>0</v>
      </c>
    </row>
    <row r="324" spans="1:30">
      <c r="A324" s="21" t="s">
        <v>507</v>
      </c>
      <c r="B324" s="21" t="s">
        <v>508</v>
      </c>
      <c r="C324" s="23">
        <v>1749</v>
      </c>
      <c r="D324" s="147">
        <v>35.25</v>
      </c>
      <c r="E324" s="22">
        <v>404.5</v>
      </c>
      <c r="F324" s="22">
        <v>439.75</v>
      </c>
      <c r="G324" s="22">
        <v>0</v>
      </c>
      <c r="H324" s="22">
        <v>130</v>
      </c>
      <c r="I324" s="22">
        <v>12.78</v>
      </c>
      <c r="J324" s="22">
        <v>80.69</v>
      </c>
      <c r="K324" s="22">
        <v>17.8</v>
      </c>
      <c r="L324" s="22">
        <v>0</v>
      </c>
      <c r="M324" s="388">
        <v>5693.2699999999995</v>
      </c>
      <c r="N324" s="25">
        <v>0.46560000000000001</v>
      </c>
      <c r="O324" s="24">
        <v>523</v>
      </c>
      <c r="P324" s="24">
        <v>182.25</v>
      </c>
      <c r="Q324" s="24">
        <v>108.5</v>
      </c>
      <c r="R324" s="22">
        <v>73.75</v>
      </c>
      <c r="S324" s="24">
        <v>19.5</v>
      </c>
      <c r="T324" s="24">
        <f t="shared" si="16"/>
        <v>201.75</v>
      </c>
      <c r="U324" s="376">
        <v>2650.79</v>
      </c>
      <c r="V324" s="376">
        <v>284.66000000000003</v>
      </c>
      <c r="W324" s="22">
        <f t="shared" si="17"/>
        <v>1234.2078240000001</v>
      </c>
      <c r="X324" s="22">
        <f t="shared" si="18"/>
        <v>749.5</v>
      </c>
      <c r="Y324" s="22">
        <v>574.25</v>
      </c>
      <c r="Z324" s="22">
        <v>175.25</v>
      </c>
      <c r="AA324" s="371">
        <v>5370.27</v>
      </c>
      <c r="AB324" s="22">
        <v>0.13956467738121173</v>
      </c>
      <c r="AC324" s="24">
        <v>4.5646773812117181E-3</v>
      </c>
      <c r="AD324" s="384">
        <v>-227004.00141757715</v>
      </c>
    </row>
    <row r="325" spans="1:30">
      <c r="A325" s="21" t="s">
        <v>603</v>
      </c>
      <c r="B325" s="21" t="s">
        <v>604</v>
      </c>
      <c r="C325" s="23">
        <v>358</v>
      </c>
      <c r="D325" s="147">
        <v>0</v>
      </c>
      <c r="E325" s="22">
        <v>46.32</v>
      </c>
      <c r="F325" s="22">
        <v>46.32</v>
      </c>
      <c r="G325" s="22">
        <v>0</v>
      </c>
      <c r="H325" s="22">
        <v>11</v>
      </c>
      <c r="I325" s="22">
        <v>1</v>
      </c>
      <c r="J325" s="22">
        <v>0</v>
      </c>
      <c r="K325" s="22">
        <v>0</v>
      </c>
      <c r="L325" s="22">
        <v>0</v>
      </c>
      <c r="M325" s="388">
        <v>1221</v>
      </c>
      <c r="N325" s="25">
        <v>0.58030000000000004</v>
      </c>
      <c r="O325" s="24">
        <v>1260</v>
      </c>
      <c r="P325" s="24">
        <v>142</v>
      </c>
      <c r="Q325" s="24">
        <v>104.25</v>
      </c>
      <c r="R325" s="22">
        <v>37.75</v>
      </c>
      <c r="S325" s="24">
        <v>7</v>
      </c>
      <c r="T325" s="24">
        <f t="shared" si="16"/>
        <v>149</v>
      </c>
      <c r="U325" s="376">
        <v>708.55</v>
      </c>
      <c r="V325" s="376">
        <v>0</v>
      </c>
      <c r="W325" s="22">
        <f t="shared" si="17"/>
        <v>411.17156499999999</v>
      </c>
      <c r="X325" s="22">
        <f t="shared" si="18"/>
        <v>128.25</v>
      </c>
      <c r="Y325" s="22">
        <v>98.5</v>
      </c>
      <c r="Z325" s="22">
        <v>29.75</v>
      </c>
      <c r="AA325" s="371">
        <v>1258.5999999999999</v>
      </c>
      <c r="AB325" s="22">
        <v>0.10189893532496426</v>
      </c>
      <c r="AC325" s="24">
        <v>0</v>
      </c>
      <c r="AD325" s="384">
        <v>0</v>
      </c>
    </row>
  </sheetData>
  <autoFilter ref="A7:AE7" xr:uid="{00000000-0001-0000-2200-00000000000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C1E5F-1645-4C98-AFD0-03E20282EA0D}">
  <sheetPr codeName="Sheet7">
    <tabColor theme="7" tint="0.59999389629810485"/>
  </sheetPr>
  <dimension ref="A1:AE325"/>
  <sheetViews>
    <sheetView workbookViewId="0">
      <pane ySplit="7" topLeftCell="A8" activePane="bottomLeft" state="frozen"/>
      <selection activeCell="C3" sqref="C3:E3"/>
      <selection pane="bottomLeft" activeCell="C3" sqref="C3:E3"/>
    </sheetView>
  </sheetViews>
  <sheetFormatPr defaultRowHeight="14.4"/>
  <cols>
    <col min="1" max="1" width="7.77734375" style="12" bestFit="1" customWidth="1"/>
    <col min="2" max="2" width="32.77734375" style="12" bestFit="1" customWidth="1"/>
    <col min="3" max="3" width="14" style="12" customWidth="1"/>
    <col min="4" max="4" width="12.5546875" style="12" customWidth="1"/>
    <col min="5" max="6" width="13.21875" style="12" customWidth="1"/>
    <col min="7" max="8" width="14.77734375" style="12" customWidth="1"/>
    <col min="9" max="9" width="11.5546875" style="12" customWidth="1"/>
    <col min="10" max="10" width="13.21875" style="12" customWidth="1"/>
    <col min="11" max="12" width="11.5546875" style="12" customWidth="1"/>
    <col min="13" max="13" width="13.21875" style="12" bestFit="1" customWidth="1"/>
    <col min="14" max="14" width="12.21875" style="12" customWidth="1"/>
    <col min="15" max="16" width="12.44140625" style="12" customWidth="1"/>
    <col min="17" max="17" width="13.77734375" style="12" bestFit="1" customWidth="1"/>
    <col min="18" max="18" width="11.5546875" style="12" customWidth="1"/>
    <col min="19" max="19" width="13.77734375" style="12" customWidth="1"/>
    <col min="20" max="20" width="13.77734375" customWidth="1"/>
    <col min="21" max="21" width="15.21875" style="377" bestFit="1" customWidth="1"/>
    <col min="22" max="22" width="13.77734375" style="377" bestFit="1" customWidth="1"/>
    <col min="23" max="24" width="13.77734375" style="3" customWidth="1"/>
    <col min="25" max="25" width="11" style="3" customWidth="1"/>
    <col min="26" max="26" width="12.77734375" style="3" bestFit="1" customWidth="1"/>
    <col min="27" max="27" width="15.77734375" style="77" customWidth="1"/>
    <col min="28" max="28" width="13.21875" style="12" customWidth="1"/>
    <col min="29" max="29" width="13.77734375" style="12" bestFit="1" customWidth="1"/>
    <col min="30" max="30" width="16" style="30" bestFit="1" customWidth="1"/>
  </cols>
  <sheetData>
    <row r="1" spans="1:31" s="123" customFormat="1">
      <c r="A1" s="389">
        <v>1</v>
      </c>
      <c r="B1" s="389">
        <f>A1+1</f>
        <v>2</v>
      </c>
      <c r="C1" s="389">
        <f t="shared" ref="C1:Q1" si="0">B1+1</f>
        <v>3</v>
      </c>
      <c r="D1" s="389">
        <f>C1+1</f>
        <v>4</v>
      </c>
      <c r="E1" s="389">
        <f t="shared" si="0"/>
        <v>5</v>
      </c>
      <c r="F1" s="389">
        <f t="shared" si="0"/>
        <v>6</v>
      </c>
      <c r="G1" s="389">
        <f t="shared" si="0"/>
        <v>7</v>
      </c>
      <c r="H1" s="389">
        <f t="shared" si="0"/>
        <v>8</v>
      </c>
      <c r="I1" s="389">
        <f t="shared" si="0"/>
        <v>9</v>
      </c>
      <c r="J1" s="389">
        <f t="shared" si="0"/>
        <v>10</v>
      </c>
      <c r="K1" s="389">
        <f t="shared" si="0"/>
        <v>11</v>
      </c>
      <c r="L1" s="389">
        <f t="shared" si="0"/>
        <v>12</v>
      </c>
      <c r="M1" s="389">
        <f t="shared" si="0"/>
        <v>13</v>
      </c>
      <c r="N1" s="389">
        <f t="shared" si="0"/>
        <v>14</v>
      </c>
      <c r="O1" s="389">
        <f>N1+1</f>
        <v>15</v>
      </c>
      <c r="P1" s="389">
        <f t="shared" si="0"/>
        <v>16</v>
      </c>
      <c r="Q1" s="389">
        <f t="shared" si="0"/>
        <v>17</v>
      </c>
      <c r="R1" s="389">
        <f>Q1+1</f>
        <v>18</v>
      </c>
      <c r="S1" s="389">
        <f t="shared" ref="S1:AD1" si="1">R1+1</f>
        <v>19</v>
      </c>
      <c r="T1" s="389">
        <f t="shared" si="1"/>
        <v>20</v>
      </c>
      <c r="U1" s="389">
        <f t="shared" si="1"/>
        <v>21</v>
      </c>
      <c r="V1" s="389">
        <f t="shared" si="1"/>
        <v>22</v>
      </c>
      <c r="W1" s="389">
        <f t="shared" si="1"/>
        <v>23</v>
      </c>
      <c r="X1" s="389">
        <f t="shared" si="1"/>
        <v>24</v>
      </c>
      <c r="Y1" s="389">
        <f t="shared" si="1"/>
        <v>25</v>
      </c>
      <c r="Z1" s="389">
        <f t="shared" si="1"/>
        <v>26</v>
      </c>
      <c r="AA1" s="389">
        <f t="shared" si="1"/>
        <v>27</v>
      </c>
      <c r="AB1" s="389">
        <f t="shared" si="1"/>
        <v>28</v>
      </c>
      <c r="AC1" s="389">
        <f t="shared" si="1"/>
        <v>29</v>
      </c>
      <c r="AD1" s="389">
        <f t="shared" si="1"/>
        <v>30</v>
      </c>
      <c r="AE1" s="389"/>
    </row>
    <row r="2" spans="1:31" ht="21">
      <c r="A2" s="9" t="s">
        <v>1364</v>
      </c>
      <c r="B2" s="8"/>
      <c r="C2" s="10"/>
      <c r="D2" s="10"/>
      <c r="E2" s="10"/>
      <c r="F2" s="10"/>
      <c r="G2" s="10"/>
      <c r="H2" s="10"/>
      <c r="I2" s="10"/>
      <c r="J2" s="10"/>
      <c r="K2" s="10"/>
      <c r="L2" s="10"/>
      <c r="M2" s="10"/>
      <c r="N2" s="10"/>
      <c r="O2" s="10"/>
      <c r="P2" s="10"/>
      <c r="Q2" s="10"/>
      <c r="R2" s="10"/>
      <c r="S2" s="10"/>
      <c r="T2" s="10"/>
      <c r="U2" s="372"/>
      <c r="V2" s="372"/>
      <c r="W2" s="367"/>
      <c r="X2" s="367"/>
      <c r="Y2" s="367"/>
      <c r="Z2" s="378"/>
      <c r="AA2" s="357"/>
      <c r="AB2" s="10"/>
      <c r="AC2" s="10"/>
      <c r="AD2" s="379"/>
    </row>
    <row r="3" spans="1:31">
      <c r="A3" s="11"/>
      <c r="B3" s="365" t="s">
        <v>1332</v>
      </c>
      <c r="C3" s="366" t="s">
        <v>1333</v>
      </c>
      <c r="D3" s="366" t="s">
        <v>1333</v>
      </c>
      <c r="E3" s="366" t="s">
        <v>1333</v>
      </c>
      <c r="F3" s="366" t="s">
        <v>1333</v>
      </c>
      <c r="G3" s="366" t="s">
        <v>1333</v>
      </c>
      <c r="H3" s="366" t="s">
        <v>1333</v>
      </c>
      <c r="I3" s="366" t="s">
        <v>1333</v>
      </c>
      <c r="J3" s="366" t="s">
        <v>1333</v>
      </c>
      <c r="K3" s="366" t="s">
        <v>1333</v>
      </c>
      <c r="L3" s="366" t="s">
        <v>1333</v>
      </c>
      <c r="M3" s="366" t="s">
        <v>1333</v>
      </c>
      <c r="N3" s="366" t="s">
        <v>1333</v>
      </c>
      <c r="O3" s="366" t="s">
        <v>1333</v>
      </c>
      <c r="P3" s="366" t="s">
        <v>1333</v>
      </c>
      <c r="Q3" s="366" t="s">
        <v>1333</v>
      </c>
      <c r="R3" s="366" t="s">
        <v>1333</v>
      </c>
      <c r="S3" s="366" t="s">
        <v>1333</v>
      </c>
      <c r="T3" s="366" t="s">
        <v>1336</v>
      </c>
      <c r="U3" s="373" t="s">
        <v>1334</v>
      </c>
      <c r="V3" s="373" t="s">
        <v>1334</v>
      </c>
      <c r="W3" s="368" t="s">
        <v>1336</v>
      </c>
      <c r="X3" s="368" t="s">
        <v>1336</v>
      </c>
      <c r="Y3" s="368" t="s">
        <v>919</v>
      </c>
      <c r="Z3" s="368" t="s">
        <v>919</v>
      </c>
      <c r="AA3" s="366" t="s">
        <v>919</v>
      </c>
      <c r="AB3" s="366" t="s">
        <v>919</v>
      </c>
      <c r="AC3" s="366" t="s">
        <v>919</v>
      </c>
      <c r="AD3" s="380" t="s">
        <v>919</v>
      </c>
    </row>
    <row r="4" spans="1:31" ht="55.8" thickBot="1">
      <c r="A4" s="390" t="s">
        <v>623</v>
      </c>
      <c r="B4" s="391" t="s">
        <v>624</v>
      </c>
      <c r="C4" s="392" t="s">
        <v>1322</v>
      </c>
      <c r="D4" s="392" t="s">
        <v>619</v>
      </c>
      <c r="E4" s="392" t="s">
        <v>618</v>
      </c>
      <c r="F4" s="392" t="s">
        <v>1323</v>
      </c>
      <c r="G4" s="392" t="s">
        <v>1263</v>
      </c>
      <c r="H4" s="392" t="s">
        <v>1324</v>
      </c>
      <c r="I4" s="392" t="s">
        <v>1325</v>
      </c>
      <c r="J4" s="393" t="s">
        <v>625</v>
      </c>
      <c r="K4" s="392" t="s">
        <v>1326</v>
      </c>
      <c r="L4" s="392" t="s">
        <v>1327</v>
      </c>
      <c r="M4" s="394" t="s">
        <v>1328</v>
      </c>
      <c r="N4" s="392" t="s">
        <v>1329</v>
      </c>
      <c r="O4" s="392" t="s">
        <v>1330</v>
      </c>
      <c r="P4" s="392" t="s">
        <v>1331</v>
      </c>
      <c r="Q4" s="392" t="s">
        <v>1260</v>
      </c>
      <c r="R4" s="392" t="s">
        <v>1261</v>
      </c>
      <c r="S4" s="392" t="s">
        <v>1262</v>
      </c>
      <c r="T4" s="399" t="s">
        <v>952</v>
      </c>
      <c r="U4" s="395" t="s">
        <v>1337</v>
      </c>
      <c r="V4" s="395" t="s">
        <v>616</v>
      </c>
      <c r="W4" s="401" t="s">
        <v>954</v>
      </c>
      <c r="X4" s="401" t="s">
        <v>1338</v>
      </c>
      <c r="Y4" s="397" t="s">
        <v>1242</v>
      </c>
      <c r="Z4" s="397" t="s">
        <v>1243</v>
      </c>
      <c r="AA4" s="396" t="s">
        <v>1269</v>
      </c>
      <c r="AB4" s="396" t="s">
        <v>1270</v>
      </c>
      <c r="AC4" s="396" t="s">
        <v>1271</v>
      </c>
      <c r="AD4" s="398" t="s">
        <v>1335</v>
      </c>
    </row>
    <row r="5" spans="1:31" ht="15" thickBot="1">
      <c r="A5" s="13"/>
      <c r="B5" s="13"/>
      <c r="C5" s="13"/>
      <c r="D5" s="13"/>
      <c r="E5" s="13"/>
      <c r="F5" s="13"/>
      <c r="G5" s="13"/>
      <c r="H5" s="13"/>
      <c r="I5" s="13"/>
      <c r="J5" s="13"/>
      <c r="K5" s="13"/>
      <c r="L5" s="13"/>
      <c r="M5" s="13"/>
      <c r="N5" s="13"/>
      <c r="O5" s="13"/>
      <c r="P5" s="13"/>
      <c r="Q5" s="13"/>
      <c r="R5" s="13"/>
      <c r="S5" s="13"/>
      <c r="T5" s="400"/>
      <c r="U5" s="374"/>
      <c r="V5" s="374"/>
      <c r="W5" s="402"/>
      <c r="X5" s="402"/>
      <c r="Y5" s="369"/>
      <c r="Z5" s="369"/>
      <c r="AA5" s="358"/>
      <c r="AB5" s="13"/>
      <c r="AC5" s="13"/>
      <c r="AD5" s="381"/>
    </row>
    <row r="6" spans="1:31">
      <c r="A6" s="14" t="s">
        <v>627</v>
      </c>
      <c r="B6" s="15" t="s">
        <v>871</v>
      </c>
      <c r="C6" s="17">
        <f t="shared" ref="C6:M6" si="2">SUM(C8:C325)</f>
        <v>319707.60000000003</v>
      </c>
      <c r="D6" s="16">
        <f t="shared" si="2"/>
        <v>11894.569999999991</v>
      </c>
      <c r="E6" s="16">
        <f t="shared" si="2"/>
        <v>59932.950000000004</v>
      </c>
      <c r="F6" s="16">
        <f t="shared" si="2"/>
        <v>71827.520000000019</v>
      </c>
      <c r="G6" s="16">
        <f t="shared" si="2"/>
        <v>4696.07</v>
      </c>
      <c r="H6" s="16">
        <f t="shared" si="2"/>
        <v>26354.130000000005</v>
      </c>
      <c r="I6" s="16">
        <f t="shared" si="2"/>
        <v>1355.1900000000012</v>
      </c>
      <c r="J6" s="16">
        <f t="shared" si="2"/>
        <v>49284.890000000021</v>
      </c>
      <c r="K6" s="16">
        <f t="shared" si="2"/>
        <v>3775.5699999999993</v>
      </c>
      <c r="L6" s="16">
        <f t="shared" si="2"/>
        <v>49.53</v>
      </c>
      <c r="M6" s="386">
        <f t="shared" si="2"/>
        <v>1107186.2800000003</v>
      </c>
      <c r="N6" s="385">
        <f>AVERAGE(N7:N325)</f>
        <v>0.53765283018867871</v>
      </c>
      <c r="O6" s="16">
        <f t="shared" ref="O6:AD6" si="3">SUM(O8:O325)</f>
        <v>445332</v>
      </c>
      <c r="P6" s="16">
        <f t="shared" si="3"/>
        <v>128008.26999999999</v>
      </c>
      <c r="Q6" s="16">
        <f t="shared" si="3"/>
        <v>83405.240000000005</v>
      </c>
      <c r="R6" s="16">
        <f t="shared" si="3"/>
        <v>44603.03</v>
      </c>
      <c r="S6" s="28">
        <f t="shared" si="3"/>
        <v>22685.010000000002</v>
      </c>
      <c r="T6" s="28">
        <f t="shared" si="3"/>
        <v>150693.27999999997</v>
      </c>
      <c r="U6" s="16">
        <f t="shared" si="3"/>
        <v>508101.45000000019</v>
      </c>
      <c r="V6" s="16">
        <f t="shared" si="3"/>
        <v>48676.430000000037</v>
      </c>
      <c r="W6" s="28">
        <f t="shared" si="3"/>
        <v>277434.28051399981</v>
      </c>
      <c r="X6" s="28">
        <f t="shared" si="3"/>
        <v>136833.96999999997</v>
      </c>
      <c r="Y6" s="28">
        <f t="shared" si="3"/>
        <v>85540.97</v>
      </c>
      <c r="Z6" s="28">
        <f t="shared" si="3"/>
        <v>51293</v>
      </c>
      <c r="AA6" s="370">
        <f t="shared" si="3"/>
        <v>1063423.909999999</v>
      </c>
      <c r="AB6" s="245">
        <f t="shared" si="3"/>
        <v>42.692500644765786</v>
      </c>
      <c r="AC6" s="245">
        <f t="shared" si="3"/>
        <v>4.3544101765149703</v>
      </c>
      <c r="AD6" s="382">
        <f t="shared" si="3"/>
        <v>-48232470.232346803</v>
      </c>
    </row>
    <row r="7" spans="1:31" ht="5.25" customHeight="1">
      <c r="A7" s="18"/>
      <c r="B7" s="19"/>
      <c r="C7" s="20"/>
      <c r="D7" s="19"/>
      <c r="E7" s="19"/>
      <c r="F7" s="19"/>
      <c r="G7" s="19"/>
      <c r="H7" s="19"/>
      <c r="I7" s="19"/>
      <c r="J7" s="19"/>
      <c r="K7" s="19"/>
      <c r="L7" s="19"/>
      <c r="M7" s="387"/>
      <c r="N7" s="19"/>
      <c r="O7" s="19"/>
      <c r="P7" s="19"/>
      <c r="Q7" s="19"/>
      <c r="R7" s="19"/>
      <c r="S7" s="19"/>
      <c r="U7" s="375"/>
      <c r="V7" s="375"/>
      <c r="Y7" s="147"/>
      <c r="Z7" s="147"/>
      <c r="AA7" s="144"/>
      <c r="AB7" s="19"/>
      <c r="AC7" s="19"/>
      <c r="AD7" s="383"/>
    </row>
    <row r="8" spans="1:31">
      <c r="A8" s="21" t="s">
        <v>141</v>
      </c>
      <c r="B8" s="21" t="s">
        <v>142</v>
      </c>
      <c r="C8" s="23">
        <v>908</v>
      </c>
      <c r="D8" s="147">
        <v>60.32</v>
      </c>
      <c r="E8" s="22">
        <v>264.47000000000003</v>
      </c>
      <c r="F8" s="22">
        <v>324.79000000000002</v>
      </c>
      <c r="G8" s="22">
        <v>21.12</v>
      </c>
      <c r="H8" s="22">
        <v>60</v>
      </c>
      <c r="I8" s="22">
        <v>1.42</v>
      </c>
      <c r="J8" s="22">
        <v>109.48</v>
      </c>
      <c r="K8" s="22">
        <v>10.6</v>
      </c>
      <c r="L8" s="22">
        <v>0</v>
      </c>
      <c r="M8" s="388">
        <v>3146.5</v>
      </c>
      <c r="N8" s="25">
        <v>0.72529999999999994</v>
      </c>
      <c r="O8" s="24">
        <v>3131</v>
      </c>
      <c r="P8" s="24">
        <v>405</v>
      </c>
      <c r="Q8" s="24">
        <v>254</v>
      </c>
      <c r="R8" s="22">
        <v>151</v>
      </c>
      <c r="S8" s="24">
        <v>72</v>
      </c>
      <c r="T8" s="24">
        <f>S8+P8</f>
        <v>477</v>
      </c>
      <c r="U8" s="376">
        <v>2282.4699999999998</v>
      </c>
      <c r="V8" s="376">
        <v>157.33000000000001</v>
      </c>
      <c r="W8" s="22">
        <f>U8*N8</f>
        <v>1655.4754909999997</v>
      </c>
      <c r="X8" s="22">
        <f>Y8+Z8</f>
        <v>480.5</v>
      </c>
      <c r="Y8" s="22">
        <v>268.5</v>
      </c>
      <c r="Z8" s="22">
        <v>212</v>
      </c>
      <c r="AA8" s="371">
        <v>3110.7</v>
      </c>
      <c r="AB8" s="22">
        <v>0.15446684026103449</v>
      </c>
      <c r="AC8" s="24">
        <v>1.9466840261034485E-2</v>
      </c>
      <c r="AD8" s="384">
        <v>-568494.93722614902</v>
      </c>
    </row>
    <row r="9" spans="1:31">
      <c r="A9" s="21" t="s">
        <v>279</v>
      </c>
      <c r="B9" s="21" t="s">
        <v>280</v>
      </c>
      <c r="C9" s="23">
        <v>154</v>
      </c>
      <c r="D9" s="147">
        <v>18.940000000000001</v>
      </c>
      <c r="E9" s="22">
        <v>32.119999999999997</v>
      </c>
      <c r="F9" s="22">
        <v>51.06</v>
      </c>
      <c r="G9" s="22">
        <v>0</v>
      </c>
      <c r="H9" s="22">
        <v>20</v>
      </c>
      <c r="I9" s="22">
        <v>2.15</v>
      </c>
      <c r="J9" s="22">
        <v>0.8</v>
      </c>
      <c r="K9" s="22">
        <v>0.2</v>
      </c>
      <c r="L9" s="22">
        <v>0</v>
      </c>
      <c r="M9" s="388">
        <v>583.15</v>
      </c>
      <c r="N9" s="25">
        <v>0.2676</v>
      </c>
      <c r="O9" s="24">
        <v>0</v>
      </c>
      <c r="P9" s="24">
        <v>0</v>
      </c>
      <c r="Q9" s="24">
        <v>0</v>
      </c>
      <c r="R9" s="22">
        <v>0</v>
      </c>
      <c r="S9" s="24">
        <v>0</v>
      </c>
      <c r="T9" s="24">
        <f t="shared" ref="T9:T72" si="4">S9+P9</f>
        <v>0</v>
      </c>
      <c r="U9" s="376">
        <v>156.05000000000001</v>
      </c>
      <c r="V9" s="376">
        <v>29.16</v>
      </c>
      <c r="W9" s="22">
        <f t="shared" ref="W9:W72" si="5">U9*N9</f>
        <v>41.758980000000001</v>
      </c>
      <c r="X9" s="22">
        <f t="shared" ref="X9:X72" si="6">Y9+Z9</f>
        <v>73</v>
      </c>
      <c r="Y9" s="22">
        <v>46</v>
      </c>
      <c r="Z9" s="22">
        <v>27</v>
      </c>
      <c r="AA9" s="371">
        <v>623.91999999999996</v>
      </c>
      <c r="AB9" s="22">
        <v>0.11700217976663675</v>
      </c>
      <c r="AC9" s="24">
        <v>0</v>
      </c>
      <c r="AD9" s="384">
        <v>0</v>
      </c>
    </row>
    <row r="10" spans="1:31">
      <c r="A10" s="21" t="s">
        <v>301</v>
      </c>
      <c r="B10" s="21" t="s">
        <v>302</v>
      </c>
      <c r="C10" s="23">
        <v>18</v>
      </c>
      <c r="D10" s="147">
        <v>0</v>
      </c>
      <c r="E10" s="22">
        <v>3.36</v>
      </c>
      <c r="F10" s="22">
        <v>3.36</v>
      </c>
      <c r="G10" s="22">
        <v>0</v>
      </c>
      <c r="H10" s="22">
        <v>0</v>
      </c>
      <c r="I10" s="22">
        <v>0</v>
      </c>
      <c r="J10" s="22">
        <v>0</v>
      </c>
      <c r="K10" s="22">
        <v>0</v>
      </c>
      <c r="L10" s="22">
        <v>0</v>
      </c>
      <c r="M10" s="388">
        <v>89</v>
      </c>
      <c r="N10" s="25">
        <v>0.37959999999999999</v>
      </c>
      <c r="O10" s="24">
        <v>0</v>
      </c>
      <c r="P10" s="24">
        <v>0</v>
      </c>
      <c r="Q10" s="24">
        <v>0</v>
      </c>
      <c r="R10" s="22">
        <v>0</v>
      </c>
      <c r="S10" s="24">
        <v>0</v>
      </c>
      <c r="T10" s="24">
        <f t="shared" si="4"/>
        <v>0</v>
      </c>
      <c r="U10" s="376">
        <v>33.78</v>
      </c>
      <c r="V10" s="376">
        <v>0</v>
      </c>
      <c r="W10" s="22">
        <f t="shared" si="5"/>
        <v>12.822888000000001</v>
      </c>
      <c r="X10" s="22">
        <f t="shared" si="6"/>
        <v>9</v>
      </c>
      <c r="Y10" s="22">
        <v>9</v>
      </c>
      <c r="Z10" s="22">
        <v>0</v>
      </c>
      <c r="AA10" s="371">
        <v>95.26</v>
      </c>
      <c r="AB10" s="22">
        <v>9.4478269997900474E-2</v>
      </c>
      <c r="AC10" s="24">
        <v>0</v>
      </c>
      <c r="AD10" s="384">
        <v>0</v>
      </c>
    </row>
    <row r="11" spans="1:31">
      <c r="A11" s="21" t="s">
        <v>407</v>
      </c>
      <c r="B11" s="21" t="s">
        <v>408</v>
      </c>
      <c r="C11" s="23">
        <v>655</v>
      </c>
      <c r="D11" s="147">
        <v>7.63</v>
      </c>
      <c r="E11" s="22">
        <v>111.21</v>
      </c>
      <c r="F11" s="22">
        <v>118.83999999999999</v>
      </c>
      <c r="G11" s="22">
        <v>0</v>
      </c>
      <c r="H11" s="22">
        <v>31</v>
      </c>
      <c r="I11" s="22">
        <v>1.78</v>
      </c>
      <c r="J11" s="22">
        <v>106.92</v>
      </c>
      <c r="K11" s="22">
        <v>5.4</v>
      </c>
      <c r="L11" s="22">
        <v>0.2</v>
      </c>
      <c r="M11" s="388">
        <v>2491.3000000000002</v>
      </c>
      <c r="N11" s="25">
        <v>0.28989999999999999</v>
      </c>
      <c r="O11" s="24">
        <v>57</v>
      </c>
      <c r="P11" s="24">
        <v>48</v>
      </c>
      <c r="Q11" s="24">
        <v>29.75</v>
      </c>
      <c r="R11" s="22">
        <v>18.25</v>
      </c>
      <c r="S11" s="24">
        <v>16</v>
      </c>
      <c r="T11" s="24">
        <f t="shared" si="4"/>
        <v>64</v>
      </c>
      <c r="U11" s="376">
        <v>721.73</v>
      </c>
      <c r="V11" s="376">
        <v>124.57</v>
      </c>
      <c r="W11" s="22">
        <f t="shared" si="5"/>
        <v>209.22952699999999</v>
      </c>
      <c r="X11" s="22">
        <f t="shared" si="6"/>
        <v>273.25</v>
      </c>
      <c r="Y11" s="22">
        <v>161.5</v>
      </c>
      <c r="Z11" s="22">
        <v>111.75</v>
      </c>
      <c r="AA11" s="371">
        <v>2534.66</v>
      </c>
      <c r="AB11" s="22">
        <v>0.1078053861267389</v>
      </c>
      <c r="AC11" s="24">
        <v>0</v>
      </c>
      <c r="AD11" s="384">
        <v>0</v>
      </c>
    </row>
    <row r="12" spans="1:31">
      <c r="A12" s="21" t="s">
        <v>431</v>
      </c>
      <c r="B12" s="21" t="s">
        <v>432</v>
      </c>
      <c r="C12" s="23">
        <v>1761</v>
      </c>
      <c r="D12" s="147">
        <v>31.07</v>
      </c>
      <c r="E12" s="22">
        <v>347.91</v>
      </c>
      <c r="F12" s="22">
        <v>378.98</v>
      </c>
      <c r="G12" s="22">
        <v>0</v>
      </c>
      <c r="H12" s="22">
        <v>85</v>
      </c>
      <c r="I12" s="22">
        <v>3.83</v>
      </c>
      <c r="J12" s="22">
        <v>216.67000000000002</v>
      </c>
      <c r="K12" s="22">
        <v>32.6</v>
      </c>
      <c r="L12" s="22">
        <v>0</v>
      </c>
      <c r="M12" s="388">
        <v>5787.1</v>
      </c>
      <c r="N12" s="25">
        <v>0.32919999999999999</v>
      </c>
      <c r="O12" s="24">
        <v>0</v>
      </c>
      <c r="P12" s="24">
        <v>269.75</v>
      </c>
      <c r="Q12" s="24">
        <v>153.75</v>
      </c>
      <c r="R12" s="22">
        <v>116</v>
      </c>
      <c r="S12" s="24">
        <v>59.75</v>
      </c>
      <c r="T12" s="24">
        <f t="shared" si="4"/>
        <v>329.5</v>
      </c>
      <c r="U12" s="376">
        <v>1905.11</v>
      </c>
      <c r="V12" s="376">
        <v>289.36</v>
      </c>
      <c r="W12" s="22">
        <f t="shared" si="5"/>
        <v>627.16221199999995</v>
      </c>
      <c r="X12" s="22">
        <f t="shared" si="6"/>
        <v>784.25</v>
      </c>
      <c r="Y12" s="22">
        <v>474.25</v>
      </c>
      <c r="Z12" s="22">
        <v>310</v>
      </c>
      <c r="AA12" s="371">
        <v>5403.02</v>
      </c>
      <c r="AB12" s="22">
        <v>0.14515030482952127</v>
      </c>
      <c r="AC12" s="24">
        <v>1.0150304829521256E-2</v>
      </c>
      <c r="AD12" s="384">
        <v>-572403.95563460875</v>
      </c>
    </row>
    <row r="13" spans="1:31">
      <c r="A13" s="21" t="s">
        <v>15</v>
      </c>
      <c r="B13" s="21" t="s">
        <v>16</v>
      </c>
      <c r="C13" s="23">
        <v>305</v>
      </c>
      <c r="D13" s="147">
        <v>4.72</v>
      </c>
      <c r="E13" s="22">
        <v>44.03</v>
      </c>
      <c r="F13" s="22">
        <v>48.75</v>
      </c>
      <c r="G13" s="22">
        <v>0</v>
      </c>
      <c r="H13" s="22">
        <v>11</v>
      </c>
      <c r="I13" s="22">
        <v>0.75</v>
      </c>
      <c r="J13" s="22">
        <v>0</v>
      </c>
      <c r="K13" s="22">
        <v>0</v>
      </c>
      <c r="L13" s="22">
        <v>0</v>
      </c>
      <c r="M13" s="388">
        <v>715.75</v>
      </c>
      <c r="N13" s="25">
        <v>0.31240000000000001</v>
      </c>
      <c r="O13" s="24">
        <v>0</v>
      </c>
      <c r="P13" s="24">
        <v>0</v>
      </c>
      <c r="Q13" s="24">
        <v>0</v>
      </c>
      <c r="R13" s="22">
        <v>0</v>
      </c>
      <c r="S13" s="24">
        <v>0</v>
      </c>
      <c r="T13" s="24">
        <f t="shared" si="4"/>
        <v>0</v>
      </c>
      <c r="U13" s="376">
        <v>223.6</v>
      </c>
      <c r="V13" s="376">
        <v>35.79</v>
      </c>
      <c r="W13" s="22">
        <f t="shared" si="5"/>
        <v>69.852639999999994</v>
      </c>
      <c r="X13" s="22">
        <f t="shared" si="6"/>
        <v>83</v>
      </c>
      <c r="Y13" s="22">
        <v>45</v>
      </c>
      <c r="Z13" s="22">
        <v>38</v>
      </c>
      <c r="AA13" s="371">
        <v>607.07000000000005</v>
      </c>
      <c r="AB13" s="22">
        <v>0.13672228902762448</v>
      </c>
      <c r="AC13" s="24">
        <v>1.722289027624474E-3</v>
      </c>
      <c r="AD13" s="384">
        <v>-10168.125444066263</v>
      </c>
    </row>
    <row r="14" spans="1:31">
      <c r="A14" s="21" t="s">
        <v>205</v>
      </c>
      <c r="B14" s="21" t="s">
        <v>206</v>
      </c>
      <c r="C14" s="23">
        <v>5035</v>
      </c>
      <c r="D14" s="147">
        <v>216.88</v>
      </c>
      <c r="E14" s="22">
        <v>757.96</v>
      </c>
      <c r="F14" s="22">
        <v>974.84</v>
      </c>
      <c r="G14" s="22">
        <v>0</v>
      </c>
      <c r="H14" s="22">
        <v>535</v>
      </c>
      <c r="I14" s="22">
        <v>30.43</v>
      </c>
      <c r="J14" s="22">
        <v>59.2</v>
      </c>
      <c r="K14" s="22">
        <v>47.81</v>
      </c>
      <c r="L14" s="22">
        <v>5.36</v>
      </c>
      <c r="M14" s="388">
        <v>17583.800000000003</v>
      </c>
      <c r="N14" s="25">
        <v>0.56840000000000002</v>
      </c>
      <c r="O14" s="24">
        <v>11010</v>
      </c>
      <c r="P14" s="24">
        <v>4009.75</v>
      </c>
      <c r="Q14" s="24">
        <v>2679</v>
      </c>
      <c r="R14" s="22">
        <v>1330.75</v>
      </c>
      <c r="S14" s="24">
        <v>506.75</v>
      </c>
      <c r="T14" s="24">
        <f t="shared" si="4"/>
        <v>4516.5</v>
      </c>
      <c r="U14" s="376">
        <v>9992.8700000000008</v>
      </c>
      <c r="V14" s="376">
        <v>879.19</v>
      </c>
      <c r="W14" s="22">
        <f t="shared" si="5"/>
        <v>5679.9473080000007</v>
      </c>
      <c r="X14" s="22">
        <f t="shared" si="6"/>
        <v>1746.5</v>
      </c>
      <c r="Y14" s="22">
        <v>981.25</v>
      </c>
      <c r="Z14" s="22">
        <v>765.25</v>
      </c>
      <c r="AA14" s="371">
        <v>16806.63</v>
      </c>
      <c r="AB14" s="22">
        <v>0.10391732310403691</v>
      </c>
      <c r="AC14" s="24">
        <v>0</v>
      </c>
      <c r="AD14" s="384">
        <v>0</v>
      </c>
    </row>
    <row r="15" spans="1:31">
      <c r="A15" s="21" t="s">
        <v>229</v>
      </c>
      <c r="B15" s="21" t="s">
        <v>230</v>
      </c>
      <c r="C15" s="23">
        <v>862</v>
      </c>
      <c r="D15" s="147">
        <v>49.6</v>
      </c>
      <c r="E15" s="22">
        <v>275.68</v>
      </c>
      <c r="F15" s="22">
        <v>325.28000000000003</v>
      </c>
      <c r="G15" s="22">
        <v>0</v>
      </c>
      <c r="H15" s="22">
        <v>90</v>
      </c>
      <c r="I15" s="22">
        <v>1.67</v>
      </c>
      <c r="J15" s="22">
        <v>97.78</v>
      </c>
      <c r="K15" s="22">
        <v>0</v>
      </c>
      <c r="L15" s="22">
        <v>0</v>
      </c>
      <c r="M15" s="388">
        <v>3293.4500000000003</v>
      </c>
      <c r="N15" s="25">
        <v>6.9800000000000001E-2</v>
      </c>
      <c r="O15" s="24">
        <v>0</v>
      </c>
      <c r="P15" s="24">
        <v>38.75</v>
      </c>
      <c r="Q15" s="24">
        <v>22.25</v>
      </c>
      <c r="R15" s="22">
        <v>16.5</v>
      </c>
      <c r="S15" s="24">
        <v>8</v>
      </c>
      <c r="T15" s="24">
        <f t="shared" si="4"/>
        <v>46.75</v>
      </c>
      <c r="U15" s="376">
        <v>229.55</v>
      </c>
      <c r="V15" s="376">
        <v>164.67</v>
      </c>
      <c r="W15" s="22">
        <f t="shared" si="5"/>
        <v>16.022590000000001</v>
      </c>
      <c r="X15" s="22">
        <f t="shared" si="6"/>
        <v>422</v>
      </c>
      <c r="Y15" s="22">
        <v>281.25</v>
      </c>
      <c r="Z15" s="22">
        <v>140.75</v>
      </c>
      <c r="AA15" s="371">
        <v>3605.32</v>
      </c>
      <c r="AB15" s="22">
        <v>0.11704924944249054</v>
      </c>
      <c r="AC15" s="24">
        <v>0</v>
      </c>
      <c r="AD15" s="384">
        <v>0</v>
      </c>
    </row>
    <row r="16" spans="1:31">
      <c r="A16" s="21" t="s">
        <v>69</v>
      </c>
      <c r="B16" s="21" t="s">
        <v>70</v>
      </c>
      <c r="C16" s="23">
        <v>3157</v>
      </c>
      <c r="D16" s="147">
        <v>73.3</v>
      </c>
      <c r="E16" s="22">
        <v>889.14</v>
      </c>
      <c r="F16" s="22">
        <v>962.43999999999994</v>
      </c>
      <c r="G16" s="22">
        <v>0</v>
      </c>
      <c r="H16" s="22">
        <v>461</v>
      </c>
      <c r="I16" s="22">
        <v>5.32</v>
      </c>
      <c r="J16" s="22">
        <v>1622.42</v>
      </c>
      <c r="K16" s="22">
        <v>16.8</v>
      </c>
      <c r="L16" s="22">
        <v>0</v>
      </c>
      <c r="M16" s="388">
        <v>12493.539999999999</v>
      </c>
      <c r="N16" s="25">
        <v>0.34350000000000003</v>
      </c>
      <c r="O16" s="24">
        <v>0</v>
      </c>
      <c r="P16" s="24">
        <v>732.75</v>
      </c>
      <c r="Q16" s="24">
        <v>471</v>
      </c>
      <c r="R16" s="22">
        <v>261.75</v>
      </c>
      <c r="S16" s="24">
        <v>184.75</v>
      </c>
      <c r="T16" s="24">
        <f t="shared" si="4"/>
        <v>917.5</v>
      </c>
      <c r="U16" s="376">
        <v>4296.53</v>
      </c>
      <c r="V16" s="376">
        <v>624.67999999999995</v>
      </c>
      <c r="W16" s="22">
        <f t="shared" si="5"/>
        <v>1475.8580549999999</v>
      </c>
      <c r="X16" s="22">
        <f t="shared" si="6"/>
        <v>1568.5</v>
      </c>
      <c r="Y16" s="22">
        <v>1021.25</v>
      </c>
      <c r="Z16" s="22">
        <v>547.25</v>
      </c>
      <c r="AA16" s="371">
        <v>11855.88</v>
      </c>
      <c r="AB16" s="22">
        <v>0.13229722298133922</v>
      </c>
      <c r="AC16" s="24">
        <v>0</v>
      </c>
      <c r="AD16" s="384">
        <v>0</v>
      </c>
    </row>
    <row r="17" spans="1:30">
      <c r="A17" s="21" t="s">
        <v>199</v>
      </c>
      <c r="B17" s="21" t="s">
        <v>200</v>
      </c>
      <c r="C17" s="23">
        <v>5170</v>
      </c>
      <c r="D17" s="147">
        <v>248.93</v>
      </c>
      <c r="E17" s="22">
        <v>765.04</v>
      </c>
      <c r="F17" s="22">
        <v>1013.97</v>
      </c>
      <c r="G17" s="22">
        <v>0</v>
      </c>
      <c r="H17" s="22">
        <v>477</v>
      </c>
      <c r="I17" s="22">
        <v>44.31</v>
      </c>
      <c r="J17" s="22">
        <v>563.48</v>
      </c>
      <c r="K17" s="22">
        <v>29</v>
      </c>
      <c r="L17" s="22">
        <v>0</v>
      </c>
      <c r="M17" s="388">
        <v>20188.79</v>
      </c>
      <c r="N17" s="25">
        <v>0.1741</v>
      </c>
      <c r="O17" s="24">
        <v>434</v>
      </c>
      <c r="P17" s="24">
        <v>2968</v>
      </c>
      <c r="Q17" s="24">
        <v>2086</v>
      </c>
      <c r="R17" s="22">
        <v>882</v>
      </c>
      <c r="S17" s="24">
        <v>914</v>
      </c>
      <c r="T17" s="24">
        <f t="shared" si="4"/>
        <v>3882</v>
      </c>
      <c r="U17" s="376">
        <v>3514.87</v>
      </c>
      <c r="V17" s="376">
        <v>1009.44</v>
      </c>
      <c r="W17" s="22">
        <f t="shared" si="5"/>
        <v>611.93886699999996</v>
      </c>
      <c r="X17" s="22">
        <f t="shared" si="6"/>
        <v>1605.5</v>
      </c>
      <c r="Y17" s="22">
        <v>1069.5</v>
      </c>
      <c r="Z17" s="22">
        <v>536</v>
      </c>
      <c r="AA17" s="371">
        <v>19094.22</v>
      </c>
      <c r="AB17" s="22">
        <v>8.4083036646692033E-2</v>
      </c>
      <c r="AC17" s="24">
        <v>0</v>
      </c>
      <c r="AD17" s="384">
        <v>0</v>
      </c>
    </row>
    <row r="18" spans="1:30">
      <c r="A18" s="21" t="s">
        <v>539</v>
      </c>
      <c r="B18" s="21" t="s">
        <v>540</v>
      </c>
      <c r="C18" s="23">
        <v>3178</v>
      </c>
      <c r="D18" s="147">
        <v>102.15</v>
      </c>
      <c r="E18" s="22">
        <v>661.27</v>
      </c>
      <c r="F18" s="22">
        <v>763.42</v>
      </c>
      <c r="G18" s="22">
        <v>0</v>
      </c>
      <c r="H18" s="22">
        <v>405</v>
      </c>
      <c r="I18" s="22">
        <v>26.74</v>
      </c>
      <c r="J18" s="22">
        <v>478.03</v>
      </c>
      <c r="K18" s="22">
        <v>67.75</v>
      </c>
      <c r="L18" s="22">
        <v>4.45</v>
      </c>
      <c r="M18" s="388">
        <v>11475.970000000001</v>
      </c>
      <c r="N18" s="25">
        <v>0.38069999999999998</v>
      </c>
      <c r="O18" s="24">
        <v>1610</v>
      </c>
      <c r="P18" s="24">
        <v>769</v>
      </c>
      <c r="Q18" s="24">
        <v>476.25</v>
      </c>
      <c r="R18" s="22">
        <v>292.75</v>
      </c>
      <c r="S18" s="24">
        <v>127.75</v>
      </c>
      <c r="T18" s="24">
        <f t="shared" si="4"/>
        <v>896.75</v>
      </c>
      <c r="U18" s="376">
        <v>4368.8999999999996</v>
      </c>
      <c r="V18" s="376">
        <v>573.79999999999995</v>
      </c>
      <c r="W18" s="22">
        <f t="shared" si="5"/>
        <v>1663.2402299999999</v>
      </c>
      <c r="X18" s="22">
        <f t="shared" si="6"/>
        <v>1627</v>
      </c>
      <c r="Y18" s="22">
        <v>1215.75</v>
      </c>
      <c r="Z18" s="22">
        <v>411.25</v>
      </c>
      <c r="AA18" s="371">
        <v>11260.28</v>
      </c>
      <c r="AB18" s="22">
        <v>0.14449019029722174</v>
      </c>
      <c r="AC18" s="24">
        <v>9.4901902972217289E-3</v>
      </c>
      <c r="AD18" s="384">
        <v>-1066052.7760374423</v>
      </c>
    </row>
    <row r="19" spans="1:30">
      <c r="A19" s="21" t="s">
        <v>5</v>
      </c>
      <c r="B19" s="21" t="s">
        <v>6</v>
      </c>
      <c r="C19" s="23">
        <v>5</v>
      </c>
      <c r="D19" s="147">
        <v>0</v>
      </c>
      <c r="E19" s="22">
        <v>0</v>
      </c>
      <c r="F19" s="22">
        <v>0</v>
      </c>
      <c r="G19" s="22">
        <v>0</v>
      </c>
      <c r="H19" s="22">
        <v>0</v>
      </c>
      <c r="I19" s="22">
        <v>0</v>
      </c>
      <c r="J19" s="22">
        <v>0</v>
      </c>
      <c r="K19" s="22">
        <v>0</v>
      </c>
      <c r="L19" s="22">
        <v>0</v>
      </c>
      <c r="M19" s="388">
        <v>12</v>
      </c>
      <c r="N19" s="25">
        <v>0.21429999999999999</v>
      </c>
      <c r="O19" s="24">
        <v>0</v>
      </c>
      <c r="P19" s="24">
        <v>0</v>
      </c>
      <c r="Q19" s="24">
        <v>0</v>
      </c>
      <c r="R19" s="22">
        <v>0</v>
      </c>
      <c r="S19" s="24">
        <v>0</v>
      </c>
      <c r="T19" s="24">
        <f t="shared" si="4"/>
        <v>0</v>
      </c>
      <c r="U19" s="376">
        <v>0</v>
      </c>
      <c r="V19" s="376">
        <v>0.6</v>
      </c>
      <c r="W19" s="22">
        <f t="shared" si="5"/>
        <v>0</v>
      </c>
      <c r="X19" s="22">
        <f t="shared" si="6"/>
        <v>0</v>
      </c>
      <c r="Y19" s="22">
        <v>0</v>
      </c>
      <c r="Z19" s="22">
        <v>0</v>
      </c>
      <c r="AA19" s="371">
        <v>11.8</v>
      </c>
      <c r="AB19" s="22">
        <v>0</v>
      </c>
      <c r="AC19" s="24">
        <v>0</v>
      </c>
      <c r="AD19" s="384">
        <v>0</v>
      </c>
    </row>
    <row r="20" spans="1:30">
      <c r="A20" s="21" t="s">
        <v>383</v>
      </c>
      <c r="B20" s="21" t="s">
        <v>384</v>
      </c>
      <c r="C20" s="23">
        <v>6381</v>
      </c>
      <c r="D20" s="147">
        <v>259.69</v>
      </c>
      <c r="E20" s="22">
        <v>1014.88</v>
      </c>
      <c r="F20" s="22">
        <v>1274.57</v>
      </c>
      <c r="G20" s="22">
        <v>263.58999999999997</v>
      </c>
      <c r="H20" s="22">
        <v>366</v>
      </c>
      <c r="I20" s="22">
        <v>18.350000000000001</v>
      </c>
      <c r="J20" s="22">
        <v>1124.47</v>
      </c>
      <c r="K20" s="22">
        <v>231.6</v>
      </c>
      <c r="L20" s="22">
        <v>0</v>
      </c>
      <c r="M20" s="388">
        <v>21799.42</v>
      </c>
      <c r="N20" s="25">
        <v>0.49569999999999997</v>
      </c>
      <c r="O20" s="24">
        <v>10200</v>
      </c>
      <c r="P20" s="24">
        <v>1233.5</v>
      </c>
      <c r="Q20" s="24">
        <v>791.75</v>
      </c>
      <c r="R20" s="22">
        <v>441.75</v>
      </c>
      <c r="S20" s="24">
        <v>208.75</v>
      </c>
      <c r="T20" s="24">
        <f t="shared" si="4"/>
        <v>1442.25</v>
      </c>
      <c r="U20" s="376">
        <v>10805.97</v>
      </c>
      <c r="V20" s="376">
        <v>1089.97</v>
      </c>
      <c r="W20" s="22">
        <f t="shared" si="5"/>
        <v>5356.5193289999997</v>
      </c>
      <c r="X20" s="22">
        <f t="shared" si="6"/>
        <v>2577.75</v>
      </c>
      <c r="Y20" s="22">
        <v>1412</v>
      </c>
      <c r="Z20" s="22">
        <v>1165.75</v>
      </c>
      <c r="AA20" s="371">
        <v>20090.669999999998</v>
      </c>
      <c r="AB20" s="22">
        <v>0.12830582553991482</v>
      </c>
      <c r="AC20" s="24">
        <v>0</v>
      </c>
      <c r="AD20" s="384">
        <v>0</v>
      </c>
    </row>
    <row r="21" spans="1:30">
      <c r="A21" s="21" t="s">
        <v>253</v>
      </c>
      <c r="B21" s="21" t="s">
        <v>254</v>
      </c>
      <c r="C21" s="23">
        <v>40</v>
      </c>
      <c r="D21" s="147">
        <v>0</v>
      </c>
      <c r="E21" s="22">
        <v>0</v>
      </c>
      <c r="F21" s="22">
        <v>0</v>
      </c>
      <c r="G21" s="22">
        <v>0</v>
      </c>
      <c r="H21" s="22">
        <v>0</v>
      </c>
      <c r="I21" s="22">
        <v>0</v>
      </c>
      <c r="J21" s="22">
        <v>0</v>
      </c>
      <c r="K21" s="22">
        <v>0</v>
      </c>
      <c r="L21" s="22">
        <v>0</v>
      </c>
      <c r="M21" s="388">
        <v>110</v>
      </c>
      <c r="N21" s="25">
        <v>0.47370000000000001</v>
      </c>
      <c r="O21" s="24">
        <v>0</v>
      </c>
      <c r="P21" s="24">
        <v>0</v>
      </c>
      <c r="Q21" s="24">
        <v>0</v>
      </c>
      <c r="R21" s="22">
        <v>0</v>
      </c>
      <c r="S21" s="24">
        <v>0</v>
      </c>
      <c r="T21" s="24">
        <f t="shared" si="4"/>
        <v>0</v>
      </c>
      <c r="U21" s="376">
        <v>0</v>
      </c>
      <c r="V21" s="376">
        <v>5.5</v>
      </c>
      <c r="W21" s="22">
        <f t="shared" si="5"/>
        <v>0</v>
      </c>
      <c r="X21" s="22">
        <f t="shared" si="6"/>
        <v>19.5</v>
      </c>
      <c r="Y21" s="22">
        <v>12.5</v>
      </c>
      <c r="Z21" s="22">
        <v>7</v>
      </c>
      <c r="AA21" s="371">
        <v>113.4</v>
      </c>
      <c r="AB21" s="22">
        <v>0.17195767195767195</v>
      </c>
      <c r="AC21" s="24">
        <v>3.6957671957671939E-2</v>
      </c>
      <c r="AD21" s="384">
        <v>-40089.922606839842</v>
      </c>
    </row>
    <row r="22" spans="1:30">
      <c r="A22" s="21" t="s">
        <v>543</v>
      </c>
      <c r="B22" s="21" t="s">
        <v>544</v>
      </c>
      <c r="C22" s="23">
        <v>623</v>
      </c>
      <c r="D22" s="147">
        <v>16.88</v>
      </c>
      <c r="E22" s="22">
        <v>110.88</v>
      </c>
      <c r="F22" s="22">
        <v>127.75999999999999</v>
      </c>
      <c r="G22" s="22">
        <v>0</v>
      </c>
      <c r="H22" s="22">
        <v>51</v>
      </c>
      <c r="I22" s="22">
        <v>5.46</v>
      </c>
      <c r="J22" s="22">
        <v>76.55</v>
      </c>
      <c r="K22" s="22">
        <v>14.49</v>
      </c>
      <c r="L22" s="22">
        <v>0.31</v>
      </c>
      <c r="M22" s="388">
        <v>2157.81</v>
      </c>
      <c r="N22" s="25">
        <v>0.46639999999999998</v>
      </c>
      <c r="O22" s="24">
        <v>503</v>
      </c>
      <c r="P22" s="24">
        <v>90</v>
      </c>
      <c r="Q22" s="24">
        <v>68.5</v>
      </c>
      <c r="R22" s="22">
        <v>21.5</v>
      </c>
      <c r="S22" s="24">
        <v>17.25</v>
      </c>
      <c r="T22" s="24">
        <f t="shared" si="4"/>
        <v>107.25</v>
      </c>
      <c r="U22" s="376">
        <v>1006.4</v>
      </c>
      <c r="V22" s="376">
        <v>107.89</v>
      </c>
      <c r="W22" s="22">
        <f t="shared" si="5"/>
        <v>469.38495999999998</v>
      </c>
      <c r="X22" s="22">
        <f t="shared" si="6"/>
        <v>293.25</v>
      </c>
      <c r="Y22" s="22">
        <v>236</v>
      </c>
      <c r="Z22" s="22">
        <v>57.25</v>
      </c>
      <c r="AA22" s="371">
        <v>2107.79</v>
      </c>
      <c r="AB22" s="22">
        <v>0.13912676310258612</v>
      </c>
      <c r="AC22" s="24">
        <v>4.1267631025861118E-3</v>
      </c>
      <c r="AD22" s="384">
        <v>-90650.439005334876</v>
      </c>
    </row>
    <row r="23" spans="1:30">
      <c r="A23" s="21" t="s">
        <v>283</v>
      </c>
      <c r="B23" s="21" t="s">
        <v>284</v>
      </c>
      <c r="C23" s="23">
        <v>33</v>
      </c>
      <c r="D23" s="147">
        <v>0</v>
      </c>
      <c r="E23" s="22">
        <v>0</v>
      </c>
      <c r="F23" s="22">
        <v>0</v>
      </c>
      <c r="G23" s="22">
        <v>0</v>
      </c>
      <c r="H23" s="22">
        <v>0</v>
      </c>
      <c r="I23" s="22">
        <v>0</v>
      </c>
      <c r="J23" s="22">
        <v>0</v>
      </c>
      <c r="K23" s="22">
        <v>0</v>
      </c>
      <c r="L23" s="22">
        <v>0</v>
      </c>
      <c r="M23" s="388">
        <v>82</v>
      </c>
      <c r="N23" s="25">
        <v>0.52580000000000005</v>
      </c>
      <c r="O23" s="24">
        <v>88</v>
      </c>
      <c r="P23" s="24">
        <v>7</v>
      </c>
      <c r="Q23" s="24">
        <v>5</v>
      </c>
      <c r="R23" s="22">
        <v>2</v>
      </c>
      <c r="S23" s="24">
        <v>1</v>
      </c>
      <c r="T23" s="24">
        <f t="shared" si="4"/>
        <v>8</v>
      </c>
      <c r="U23" s="376">
        <v>43.12</v>
      </c>
      <c r="V23" s="376">
        <v>0</v>
      </c>
      <c r="W23" s="22">
        <f t="shared" si="5"/>
        <v>22.672495999999999</v>
      </c>
      <c r="X23" s="22">
        <f t="shared" si="6"/>
        <v>19.75</v>
      </c>
      <c r="Y23" s="22">
        <v>14.75</v>
      </c>
      <c r="Z23" s="22">
        <v>5</v>
      </c>
      <c r="AA23" s="371">
        <v>85.68</v>
      </c>
      <c r="AB23" s="22">
        <v>0.23050887021475255</v>
      </c>
      <c r="AC23" s="24">
        <v>9.5508870214752545E-2</v>
      </c>
      <c r="AD23" s="384">
        <v>-78205.547230691984</v>
      </c>
    </row>
    <row r="24" spans="1:30">
      <c r="A24" s="21" t="s">
        <v>227</v>
      </c>
      <c r="B24" s="21" t="s">
        <v>228</v>
      </c>
      <c r="C24" s="23">
        <v>1502</v>
      </c>
      <c r="D24" s="147">
        <v>85.98</v>
      </c>
      <c r="E24" s="22">
        <v>323.31</v>
      </c>
      <c r="F24" s="22">
        <v>409.29</v>
      </c>
      <c r="G24" s="22">
        <v>257.43</v>
      </c>
      <c r="H24" s="22">
        <v>58</v>
      </c>
      <c r="I24" s="22">
        <v>2.67</v>
      </c>
      <c r="J24" s="22">
        <v>311.09000000000003</v>
      </c>
      <c r="K24" s="22">
        <v>31.2</v>
      </c>
      <c r="L24" s="22">
        <v>0</v>
      </c>
      <c r="M24" s="388">
        <v>4498.96</v>
      </c>
      <c r="N24" s="25">
        <v>0.64629999999999999</v>
      </c>
      <c r="O24" s="24">
        <v>3890</v>
      </c>
      <c r="P24" s="24">
        <v>454</v>
      </c>
      <c r="Q24" s="24">
        <v>319.5</v>
      </c>
      <c r="R24" s="22">
        <v>134.5</v>
      </c>
      <c r="S24" s="24">
        <v>39.25</v>
      </c>
      <c r="T24" s="24">
        <f t="shared" si="4"/>
        <v>493.25</v>
      </c>
      <c r="U24" s="376">
        <v>2911.28</v>
      </c>
      <c r="V24" s="376">
        <v>224.95</v>
      </c>
      <c r="W24" s="22">
        <f t="shared" si="5"/>
        <v>1881.5602640000002</v>
      </c>
      <c r="X24" s="22">
        <f t="shared" si="6"/>
        <v>636.25</v>
      </c>
      <c r="Y24" s="22">
        <v>410.75</v>
      </c>
      <c r="Z24" s="22">
        <v>225.5</v>
      </c>
      <c r="AA24" s="371">
        <v>4387.3900000000003</v>
      </c>
      <c r="AB24" s="22">
        <v>0.14501788079017364</v>
      </c>
      <c r="AC24" s="24">
        <v>1.0017880790173628E-2</v>
      </c>
      <c r="AD24" s="384">
        <v>-473172.60632667283</v>
      </c>
    </row>
    <row r="25" spans="1:30">
      <c r="A25" s="21" t="s">
        <v>333</v>
      </c>
      <c r="B25" s="21" t="s">
        <v>334</v>
      </c>
      <c r="C25" s="23">
        <v>389</v>
      </c>
      <c r="D25" s="147">
        <v>0</v>
      </c>
      <c r="E25" s="22">
        <v>91.65</v>
      </c>
      <c r="F25" s="22">
        <v>91.65</v>
      </c>
      <c r="G25" s="22">
        <v>0</v>
      </c>
      <c r="H25" s="22">
        <v>15</v>
      </c>
      <c r="I25" s="22">
        <v>0.97</v>
      </c>
      <c r="J25" s="22">
        <v>10.02</v>
      </c>
      <c r="K25" s="22">
        <v>0</v>
      </c>
      <c r="L25" s="22">
        <v>0</v>
      </c>
      <c r="M25" s="388">
        <v>1031.99</v>
      </c>
      <c r="N25" s="25">
        <v>0.94989999999999997</v>
      </c>
      <c r="O25" s="24">
        <v>961</v>
      </c>
      <c r="P25" s="24">
        <v>324.75</v>
      </c>
      <c r="Q25" s="24">
        <v>219</v>
      </c>
      <c r="R25" s="22">
        <v>105.75</v>
      </c>
      <c r="S25" s="24">
        <v>95.75</v>
      </c>
      <c r="T25" s="24">
        <f t="shared" si="4"/>
        <v>420.5</v>
      </c>
      <c r="U25" s="376">
        <v>980.29</v>
      </c>
      <c r="V25" s="376">
        <v>51.6</v>
      </c>
      <c r="W25" s="22">
        <f t="shared" si="5"/>
        <v>931.17747099999997</v>
      </c>
      <c r="X25" s="22">
        <f t="shared" si="6"/>
        <v>97.75</v>
      </c>
      <c r="Y25" s="22">
        <v>73.75</v>
      </c>
      <c r="Z25" s="22">
        <v>24</v>
      </c>
      <c r="AA25" s="371">
        <v>980.34</v>
      </c>
      <c r="AB25" s="22">
        <v>9.9710304588204096E-2</v>
      </c>
      <c r="AC25" s="24">
        <v>0</v>
      </c>
      <c r="AD25" s="384">
        <v>0</v>
      </c>
    </row>
    <row r="26" spans="1:30">
      <c r="A26" s="21" t="s">
        <v>91</v>
      </c>
      <c r="B26" s="21" t="s">
        <v>92</v>
      </c>
      <c r="C26" s="23">
        <v>208</v>
      </c>
      <c r="D26" s="147">
        <v>0</v>
      </c>
      <c r="E26" s="22">
        <v>28.14</v>
      </c>
      <c r="F26" s="22">
        <v>28.14</v>
      </c>
      <c r="G26" s="22">
        <v>0</v>
      </c>
      <c r="H26" s="22">
        <v>0</v>
      </c>
      <c r="I26" s="22">
        <v>0</v>
      </c>
      <c r="J26" s="22">
        <v>27.8</v>
      </c>
      <c r="K26" s="22">
        <v>0</v>
      </c>
      <c r="L26" s="22">
        <v>0</v>
      </c>
      <c r="M26" s="388">
        <v>761.8</v>
      </c>
      <c r="N26" s="25">
        <v>0.95469999999999999</v>
      </c>
      <c r="O26" s="24">
        <v>751</v>
      </c>
      <c r="P26" s="24">
        <v>352.5</v>
      </c>
      <c r="Q26" s="24">
        <v>215.25</v>
      </c>
      <c r="R26" s="22">
        <v>137.25</v>
      </c>
      <c r="S26" s="24">
        <v>34</v>
      </c>
      <c r="T26" s="24">
        <f t="shared" si="4"/>
        <v>386.5</v>
      </c>
      <c r="U26" s="376">
        <v>727.29</v>
      </c>
      <c r="V26" s="376">
        <v>38.090000000000003</v>
      </c>
      <c r="W26" s="22">
        <f t="shared" si="5"/>
        <v>694.34376299999997</v>
      </c>
      <c r="X26" s="22">
        <f t="shared" si="6"/>
        <v>66.25</v>
      </c>
      <c r="Y26" s="22">
        <v>50.5</v>
      </c>
      <c r="Z26" s="22">
        <v>15.75</v>
      </c>
      <c r="AA26" s="371">
        <v>745.77</v>
      </c>
      <c r="AB26" s="22">
        <v>8.8834359118763154E-2</v>
      </c>
      <c r="AC26" s="24">
        <v>0</v>
      </c>
      <c r="AD26" s="384">
        <v>0</v>
      </c>
    </row>
    <row r="27" spans="1:30">
      <c r="A27" s="21" t="s">
        <v>175</v>
      </c>
      <c r="B27" s="21" t="s">
        <v>176</v>
      </c>
      <c r="C27" s="23">
        <v>28</v>
      </c>
      <c r="D27" s="147">
        <v>0</v>
      </c>
      <c r="E27" s="22">
        <v>0</v>
      </c>
      <c r="F27" s="22">
        <v>0</v>
      </c>
      <c r="G27" s="22">
        <v>0</v>
      </c>
      <c r="H27" s="22">
        <v>0</v>
      </c>
      <c r="I27" s="22">
        <v>0</v>
      </c>
      <c r="J27" s="22">
        <v>0.4</v>
      </c>
      <c r="K27" s="22">
        <v>0</v>
      </c>
      <c r="L27" s="22">
        <v>0</v>
      </c>
      <c r="M27" s="388">
        <v>60.4</v>
      </c>
      <c r="N27" s="25">
        <v>0.78210000000000002</v>
      </c>
      <c r="O27" s="24">
        <v>72</v>
      </c>
      <c r="P27" s="24">
        <v>0.5</v>
      </c>
      <c r="Q27" s="24">
        <v>0.5</v>
      </c>
      <c r="R27" s="22">
        <v>0</v>
      </c>
      <c r="S27" s="24">
        <v>0</v>
      </c>
      <c r="T27" s="24">
        <f t="shared" si="4"/>
        <v>0.5</v>
      </c>
      <c r="U27" s="376">
        <v>47.24</v>
      </c>
      <c r="V27" s="376">
        <v>3.02</v>
      </c>
      <c r="W27" s="22">
        <f t="shared" si="5"/>
        <v>36.946404000000001</v>
      </c>
      <c r="X27" s="22">
        <f t="shared" si="6"/>
        <v>7</v>
      </c>
      <c r="Y27" s="22">
        <v>0</v>
      </c>
      <c r="Z27" s="22">
        <v>7</v>
      </c>
      <c r="AA27" s="371">
        <v>72.8</v>
      </c>
      <c r="AB27" s="22">
        <v>9.6153846153846159E-2</v>
      </c>
      <c r="AC27" s="24">
        <v>0</v>
      </c>
      <c r="AD27" s="384">
        <v>0</v>
      </c>
    </row>
    <row r="28" spans="1:30">
      <c r="A28" s="21" t="s">
        <v>403</v>
      </c>
      <c r="B28" s="21" t="s">
        <v>404</v>
      </c>
      <c r="C28" s="23">
        <v>858</v>
      </c>
      <c r="D28" s="147">
        <v>81.25</v>
      </c>
      <c r="E28" s="22">
        <v>316.22000000000003</v>
      </c>
      <c r="F28" s="22">
        <v>397.47</v>
      </c>
      <c r="G28" s="22">
        <v>0</v>
      </c>
      <c r="H28" s="22">
        <v>74</v>
      </c>
      <c r="I28" s="22">
        <v>4.2</v>
      </c>
      <c r="J28" s="22">
        <v>21.84</v>
      </c>
      <c r="K28" s="22">
        <v>10</v>
      </c>
      <c r="L28" s="22">
        <v>0.2</v>
      </c>
      <c r="M28" s="388">
        <v>3205.24</v>
      </c>
      <c r="N28" s="25">
        <v>0.54559999999999997</v>
      </c>
      <c r="O28" s="24">
        <v>1391</v>
      </c>
      <c r="P28" s="24">
        <v>734.75</v>
      </c>
      <c r="Q28" s="24">
        <v>424</v>
      </c>
      <c r="R28" s="22">
        <v>310.75</v>
      </c>
      <c r="S28" s="24">
        <v>73.75</v>
      </c>
      <c r="T28" s="24">
        <f t="shared" si="4"/>
        <v>808.5</v>
      </c>
      <c r="U28" s="376">
        <v>1749.1</v>
      </c>
      <c r="V28" s="376">
        <v>160.26</v>
      </c>
      <c r="W28" s="22">
        <f t="shared" si="5"/>
        <v>954.30895999999996</v>
      </c>
      <c r="X28" s="22">
        <f t="shared" si="6"/>
        <v>487.25</v>
      </c>
      <c r="Y28" s="22">
        <v>350.25</v>
      </c>
      <c r="Z28" s="22">
        <v>137</v>
      </c>
      <c r="AA28" s="371">
        <v>3306.02</v>
      </c>
      <c r="AB28" s="22">
        <v>0.14738265346247148</v>
      </c>
      <c r="AC28" s="24">
        <v>1.2382653462471471E-2</v>
      </c>
      <c r="AD28" s="384">
        <v>-423244.76520674967</v>
      </c>
    </row>
    <row r="29" spans="1:30">
      <c r="A29" s="21" t="s">
        <v>67</v>
      </c>
      <c r="B29" s="21" t="s">
        <v>68</v>
      </c>
      <c r="C29" s="23">
        <v>1822</v>
      </c>
      <c r="D29" s="147">
        <v>34.78</v>
      </c>
      <c r="E29" s="22">
        <v>396.16</v>
      </c>
      <c r="F29" s="22">
        <v>430.94000000000005</v>
      </c>
      <c r="G29" s="22">
        <v>0</v>
      </c>
      <c r="H29" s="22">
        <v>200</v>
      </c>
      <c r="I29" s="22">
        <v>1.91</v>
      </c>
      <c r="J29" s="22">
        <v>120.72</v>
      </c>
      <c r="K29" s="22">
        <v>6.6</v>
      </c>
      <c r="L29" s="22">
        <v>0</v>
      </c>
      <c r="M29" s="388">
        <v>7165.2300000000005</v>
      </c>
      <c r="N29" s="25">
        <v>0.15210000000000001</v>
      </c>
      <c r="O29" s="24">
        <v>0</v>
      </c>
      <c r="P29" s="24">
        <v>187.75</v>
      </c>
      <c r="Q29" s="24">
        <v>139.75</v>
      </c>
      <c r="R29" s="22">
        <v>48</v>
      </c>
      <c r="S29" s="24">
        <v>116.5</v>
      </c>
      <c r="T29" s="24">
        <f t="shared" si="4"/>
        <v>304.25</v>
      </c>
      <c r="U29" s="376">
        <v>1089.1099999999999</v>
      </c>
      <c r="V29" s="376">
        <v>358.26</v>
      </c>
      <c r="W29" s="22">
        <f t="shared" si="5"/>
        <v>165.65363099999999</v>
      </c>
      <c r="X29" s="22">
        <f t="shared" si="6"/>
        <v>732.5</v>
      </c>
      <c r="Y29" s="22">
        <v>541.25</v>
      </c>
      <c r="Z29" s="22">
        <v>191.25</v>
      </c>
      <c r="AA29" s="371">
        <v>7095.41</v>
      </c>
      <c r="AB29" s="22">
        <v>0.10323575381831353</v>
      </c>
      <c r="AC29" s="24">
        <v>0</v>
      </c>
      <c r="AD29" s="384">
        <v>0</v>
      </c>
    </row>
    <row r="30" spans="1:30">
      <c r="A30" s="21" t="s">
        <v>49</v>
      </c>
      <c r="B30" s="21" t="s">
        <v>50</v>
      </c>
      <c r="C30" s="23">
        <v>148</v>
      </c>
      <c r="D30" s="147">
        <v>0</v>
      </c>
      <c r="E30" s="22">
        <v>7.62</v>
      </c>
      <c r="F30" s="22">
        <v>7.62</v>
      </c>
      <c r="G30" s="22">
        <v>0</v>
      </c>
      <c r="H30" s="22">
        <v>8</v>
      </c>
      <c r="I30" s="22">
        <v>0.74</v>
      </c>
      <c r="J30" s="22">
        <v>1.96</v>
      </c>
      <c r="K30" s="22">
        <v>0</v>
      </c>
      <c r="L30" s="22">
        <v>0</v>
      </c>
      <c r="M30" s="388">
        <v>492.7</v>
      </c>
      <c r="N30" s="25">
        <v>0.72089999999999999</v>
      </c>
      <c r="O30" s="24">
        <v>496</v>
      </c>
      <c r="P30" s="24">
        <v>0</v>
      </c>
      <c r="Q30" s="24">
        <v>0</v>
      </c>
      <c r="R30" s="22">
        <v>0</v>
      </c>
      <c r="S30" s="24">
        <v>0</v>
      </c>
      <c r="T30" s="24">
        <f t="shared" si="4"/>
        <v>0</v>
      </c>
      <c r="U30" s="376">
        <v>355.19</v>
      </c>
      <c r="V30" s="376">
        <v>0</v>
      </c>
      <c r="W30" s="22">
        <f t="shared" si="5"/>
        <v>256.05647099999999</v>
      </c>
      <c r="X30" s="22">
        <f t="shared" si="6"/>
        <v>72</v>
      </c>
      <c r="Y30" s="22">
        <v>52</v>
      </c>
      <c r="Z30" s="22">
        <v>20</v>
      </c>
      <c r="AA30" s="371">
        <v>483.21</v>
      </c>
      <c r="AB30" s="22">
        <v>0.14900353883404732</v>
      </c>
      <c r="AC30" s="24">
        <v>1.4003538834047313E-2</v>
      </c>
      <c r="AD30" s="384">
        <v>-63564.350146644698</v>
      </c>
    </row>
    <row r="31" spans="1:30">
      <c r="A31" s="21" t="s">
        <v>367</v>
      </c>
      <c r="B31" s="21" t="s">
        <v>368</v>
      </c>
      <c r="C31" s="23">
        <v>77</v>
      </c>
      <c r="D31" s="147">
        <v>0</v>
      </c>
      <c r="E31" s="22">
        <v>0</v>
      </c>
      <c r="F31" s="22">
        <v>0</v>
      </c>
      <c r="G31" s="22">
        <v>0</v>
      </c>
      <c r="H31" s="22">
        <v>0</v>
      </c>
      <c r="I31" s="22">
        <v>0</v>
      </c>
      <c r="J31" s="22">
        <v>0</v>
      </c>
      <c r="K31" s="22">
        <v>0</v>
      </c>
      <c r="L31" s="22">
        <v>0</v>
      </c>
      <c r="M31" s="388">
        <v>186</v>
      </c>
      <c r="N31" s="25">
        <v>0.3034</v>
      </c>
      <c r="O31" s="24">
        <v>0</v>
      </c>
      <c r="P31" s="24">
        <v>0</v>
      </c>
      <c r="Q31" s="24">
        <v>0</v>
      </c>
      <c r="R31" s="22">
        <v>0</v>
      </c>
      <c r="S31" s="24">
        <v>0</v>
      </c>
      <c r="T31" s="24">
        <f t="shared" si="4"/>
        <v>0</v>
      </c>
      <c r="U31" s="376">
        <v>56.43</v>
      </c>
      <c r="V31" s="376">
        <v>9.3000000000000007</v>
      </c>
      <c r="W31" s="22">
        <f t="shared" si="5"/>
        <v>17.120861999999999</v>
      </c>
      <c r="X31" s="22">
        <f t="shared" si="6"/>
        <v>25.5</v>
      </c>
      <c r="Y31" s="22">
        <v>22.75</v>
      </c>
      <c r="Z31" s="22">
        <v>2.75</v>
      </c>
      <c r="AA31" s="371">
        <v>178.76</v>
      </c>
      <c r="AB31" s="22">
        <v>0.14264936227343925</v>
      </c>
      <c r="AC31" s="24">
        <v>7.6493622734392364E-3</v>
      </c>
      <c r="AD31" s="384">
        <v>-14002.247359070756</v>
      </c>
    </row>
    <row r="32" spans="1:30">
      <c r="A32" s="21" t="s">
        <v>1226</v>
      </c>
      <c r="B32" s="21" t="s">
        <v>1227</v>
      </c>
      <c r="C32" s="23">
        <v>0</v>
      </c>
      <c r="D32" s="147">
        <v>0</v>
      </c>
      <c r="E32" s="22">
        <v>0</v>
      </c>
      <c r="F32" s="22">
        <v>0</v>
      </c>
      <c r="G32" s="22">
        <v>0</v>
      </c>
      <c r="H32" s="22">
        <v>0</v>
      </c>
      <c r="I32" s="22">
        <v>0</v>
      </c>
      <c r="J32" s="22">
        <v>0</v>
      </c>
      <c r="K32" s="22">
        <v>0</v>
      </c>
      <c r="L32" s="22">
        <v>0</v>
      </c>
      <c r="M32" s="388">
        <v>416</v>
      </c>
      <c r="N32" s="25">
        <v>0.68630000000000002</v>
      </c>
      <c r="O32" s="24">
        <v>102</v>
      </c>
      <c r="P32" s="24">
        <v>4.99</v>
      </c>
      <c r="Q32" s="24">
        <v>0</v>
      </c>
      <c r="R32" s="22">
        <v>4.99</v>
      </c>
      <c r="S32" s="24">
        <v>6.76</v>
      </c>
      <c r="T32" s="24">
        <f t="shared" si="4"/>
        <v>11.75</v>
      </c>
      <c r="U32" s="376">
        <v>281.42</v>
      </c>
      <c r="V32" s="376">
        <v>0</v>
      </c>
      <c r="W32" s="22">
        <f t="shared" si="5"/>
        <v>193.13854600000002</v>
      </c>
      <c r="X32" s="22">
        <f t="shared" si="6"/>
        <v>19</v>
      </c>
      <c r="Y32" s="22">
        <v>19</v>
      </c>
      <c r="Z32" s="22">
        <v>0</v>
      </c>
      <c r="AA32" s="371">
        <v>104</v>
      </c>
      <c r="AB32" s="22">
        <v>0.18269230769230768</v>
      </c>
      <c r="AC32" s="24">
        <v>4.7692307692307673E-2</v>
      </c>
      <c r="AD32" s="384">
        <v>-49781.729415944574</v>
      </c>
    </row>
    <row r="33" spans="1:30">
      <c r="A33" s="21" t="s">
        <v>39</v>
      </c>
      <c r="B33" s="21" t="s">
        <v>40</v>
      </c>
      <c r="C33" s="23">
        <v>360</v>
      </c>
      <c r="D33" s="147">
        <v>44.46</v>
      </c>
      <c r="E33" s="22">
        <v>130.35</v>
      </c>
      <c r="F33" s="22">
        <v>174.81</v>
      </c>
      <c r="G33" s="22">
        <v>0</v>
      </c>
      <c r="H33" s="22">
        <v>50</v>
      </c>
      <c r="I33" s="22">
        <v>0.75</v>
      </c>
      <c r="J33" s="22">
        <v>61.67</v>
      </c>
      <c r="K33" s="22">
        <v>0</v>
      </c>
      <c r="L33" s="22">
        <v>0</v>
      </c>
      <c r="M33" s="388">
        <v>1237.42</v>
      </c>
      <c r="N33" s="25">
        <v>0.40339999999999998</v>
      </c>
      <c r="O33" s="24">
        <v>18</v>
      </c>
      <c r="P33" s="24">
        <v>135.5</v>
      </c>
      <c r="Q33" s="24">
        <v>89</v>
      </c>
      <c r="R33" s="22">
        <v>46.5</v>
      </c>
      <c r="S33" s="24">
        <v>51</v>
      </c>
      <c r="T33" s="24">
        <f t="shared" si="4"/>
        <v>186.5</v>
      </c>
      <c r="U33" s="376">
        <v>499.18</v>
      </c>
      <c r="V33" s="376">
        <v>0</v>
      </c>
      <c r="W33" s="22">
        <f t="shared" si="5"/>
        <v>201.369212</v>
      </c>
      <c r="X33" s="22">
        <f t="shared" si="6"/>
        <v>110.75</v>
      </c>
      <c r="Y33" s="22">
        <v>71</v>
      </c>
      <c r="Z33" s="22">
        <v>39.75</v>
      </c>
      <c r="AA33" s="371">
        <v>1237.5899999999999</v>
      </c>
      <c r="AB33" s="22">
        <v>8.9488441244677155E-2</v>
      </c>
      <c r="AC33" s="24">
        <v>0</v>
      </c>
      <c r="AD33" s="384">
        <v>0</v>
      </c>
    </row>
    <row r="34" spans="1:30">
      <c r="A34" s="21" t="s">
        <v>37</v>
      </c>
      <c r="B34" s="21" t="s">
        <v>38</v>
      </c>
      <c r="C34" s="23">
        <v>472</v>
      </c>
      <c r="D34" s="147">
        <v>54.57</v>
      </c>
      <c r="E34" s="22">
        <v>124.28</v>
      </c>
      <c r="F34" s="22">
        <v>178.85</v>
      </c>
      <c r="G34" s="22">
        <v>0</v>
      </c>
      <c r="H34" s="22">
        <v>30</v>
      </c>
      <c r="I34" s="22">
        <v>1.3</v>
      </c>
      <c r="J34" s="22">
        <v>0</v>
      </c>
      <c r="K34" s="22">
        <v>0</v>
      </c>
      <c r="L34" s="22">
        <v>0</v>
      </c>
      <c r="M34" s="388">
        <v>1571.3</v>
      </c>
      <c r="N34" s="25">
        <v>0.4365</v>
      </c>
      <c r="O34" s="24">
        <v>0</v>
      </c>
      <c r="P34" s="24">
        <v>186</v>
      </c>
      <c r="Q34" s="24">
        <v>152.25</v>
      </c>
      <c r="R34" s="22">
        <v>33.75</v>
      </c>
      <c r="S34" s="24">
        <v>65.5</v>
      </c>
      <c r="T34" s="24">
        <f t="shared" si="4"/>
        <v>251.5</v>
      </c>
      <c r="U34" s="376">
        <v>685.87</v>
      </c>
      <c r="V34" s="376">
        <v>78.569999999999993</v>
      </c>
      <c r="W34" s="22">
        <f t="shared" si="5"/>
        <v>299.38225499999999</v>
      </c>
      <c r="X34" s="22">
        <f t="shared" si="6"/>
        <v>185</v>
      </c>
      <c r="Y34" s="22">
        <v>159</v>
      </c>
      <c r="Z34" s="22">
        <v>26</v>
      </c>
      <c r="AA34" s="371">
        <v>1578.32</v>
      </c>
      <c r="AB34" s="22">
        <v>0.11721323939378581</v>
      </c>
      <c r="AC34" s="24">
        <v>0</v>
      </c>
      <c r="AD34" s="384">
        <v>0</v>
      </c>
    </row>
    <row r="35" spans="1:30">
      <c r="A35" s="21" t="s">
        <v>81</v>
      </c>
      <c r="B35" s="21" t="s">
        <v>82</v>
      </c>
      <c r="C35" s="23">
        <v>465</v>
      </c>
      <c r="D35" s="147">
        <v>5.44</v>
      </c>
      <c r="E35" s="22">
        <v>70.650000000000006</v>
      </c>
      <c r="F35" s="22">
        <v>76.09</v>
      </c>
      <c r="G35" s="22">
        <v>0</v>
      </c>
      <c r="H35" s="22">
        <v>32</v>
      </c>
      <c r="I35" s="22">
        <v>2.37</v>
      </c>
      <c r="J35" s="22">
        <v>46.43</v>
      </c>
      <c r="K35" s="22">
        <v>0</v>
      </c>
      <c r="L35" s="22">
        <v>0</v>
      </c>
      <c r="M35" s="388">
        <v>1493.8</v>
      </c>
      <c r="N35" s="25">
        <v>0.52590000000000003</v>
      </c>
      <c r="O35" s="24">
        <v>576</v>
      </c>
      <c r="P35" s="24">
        <v>20.25</v>
      </c>
      <c r="Q35" s="24">
        <v>10.25</v>
      </c>
      <c r="R35" s="22">
        <v>10</v>
      </c>
      <c r="S35" s="24">
        <v>3</v>
      </c>
      <c r="T35" s="24">
        <f t="shared" si="4"/>
        <v>23.25</v>
      </c>
      <c r="U35" s="376">
        <v>785.59</v>
      </c>
      <c r="V35" s="376">
        <v>74.69</v>
      </c>
      <c r="W35" s="22">
        <f t="shared" si="5"/>
        <v>413.14178100000004</v>
      </c>
      <c r="X35" s="22">
        <f t="shared" si="6"/>
        <v>231.75</v>
      </c>
      <c r="Y35" s="22">
        <v>146.5</v>
      </c>
      <c r="Z35" s="22">
        <v>85.25</v>
      </c>
      <c r="AA35" s="371">
        <v>1408.8</v>
      </c>
      <c r="AB35" s="22">
        <v>0.16450170357751279</v>
      </c>
      <c r="AC35" s="24">
        <v>2.9501703577512778E-2</v>
      </c>
      <c r="AD35" s="384">
        <v>-392698.51119300927</v>
      </c>
    </row>
    <row r="36" spans="1:30">
      <c r="A36" s="21" t="s">
        <v>1228</v>
      </c>
      <c r="B36" s="21" t="s">
        <v>1229</v>
      </c>
      <c r="C36" s="23">
        <v>196</v>
      </c>
      <c r="D36" s="147">
        <v>0</v>
      </c>
      <c r="E36" s="22">
        <v>0</v>
      </c>
      <c r="F36" s="22">
        <v>0</v>
      </c>
      <c r="G36" s="22">
        <v>0</v>
      </c>
      <c r="H36" s="22">
        <v>0</v>
      </c>
      <c r="I36" s="22">
        <v>0</v>
      </c>
      <c r="J36" s="22">
        <v>0</v>
      </c>
      <c r="K36" s="22">
        <v>0</v>
      </c>
      <c r="L36" s="22">
        <v>0</v>
      </c>
      <c r="M36" s="388">
        <v>476</v>
      </c>
      <c r="N36" s="25">
        <v>0.51339999999999997</v>
      </c>
      <c r="O36" s="24">
        <v>0</v>
      </c>
      <c r="P36" s="24">
        <v>1</v>
      </c>
      <c r="Q36" s="24">
        <v>0</v>
      </c>
      <c r="R36" s="22">
        <v>1</v>
      </c>
      <c r="S36" s="24">
        <v>0</v>
      </c>
      <c r="T36" s="24">
        <f t="shared" si="4"/>
        <v>1</v>
      </c>
      <c r="U36" s="376">
        <v>244.38</v>
      </c>
      <c r="V36" s="376">
        <v>23.8</v>
      </c>
      <c r="W36" s="22">
        <f t="shared" si="5"/>
        <v>125.46469199999999</v>
      </c>
      <c r="X36" s="22">
        <f t="shared" si="6"/>
        <v>29.5</v>
      </c>
      <c r="Y36" s="22">
        <v>28.75</v>
      </c>
      <c r="Z36" s="22">
        <v>0.75</v>
      </c>
      <c r="AA36" s="371">
        <v>301.39999999999998</v>
      </c>
      <c r="AB36" s="22">
        <v>9.787657597876577E-2</v>
      </c>
      <c r="AC36" s="24">
        <v>0</v>
      </c>
      <c r="AD36" s="384">
        <v>0</v>
      </c>
    </row>
    <row r="37" spans="1:30">
      <c r="A37" s="21" t="s">
        <v>255</v>
      </c>
      <c r="B37" s="21" t="s">
        <v>256</v>
      </c>
      <c r="C37" s="23">
        <v>38</v>
      </c>
      <c r="D37" s="147">
        <v>0</v>
      </c>
      <c r="E37" s="22">
        <v>0</v>
      </c>
      <c r="F37" s="22">
        <v>0</v>
      </c>
      <c r="G37" s="22">
        <v>0</v>
      </c>
      <c r="H37" s="22">
        <v>0</v>
      </c>
      <c r="I37" s="22">
        <v>0</v>
      </c>
      <c r="J37" s="22">
        <v>0</v>
      </c>
      <c r="K37" s="22">
        <v>0</v>
      </c>
      <c r="L37" s="22">
        <v>0</v>
      </c>
      <c r="M37" s="388">
        <v>86</v>
      </c>
      <c r="N37" s="25">
        <v>0.33329999999999999</v>
      </c>
      <c r="O37" s="24">
        <v>0</v>
      </c>
      <c r="P37" s="24">
        <v>0</v>
      </c>
      <c r="Q37" s="24">
        <v>0</v>
      </c>
      <c r="R37" s="22">
        <v>0</v>
      </c>
      <c r="S37" s="24">
        <v>0</v>
      </c>
      <c r="T37" s="24">
        <f t="shared" si="4"/>
        <v>0</v>
      </c>
      <c r="U37" s="376">
        <v>28.66</v>
      </c>
      <c r="V37" s="376">
        <v>0</v>
      </c>
      <c r="W37" s="22">
        <f t="shared" si="5"/>
        <v>9.5523779999999991</v>
      </c>
      <c r="X37" s="22">
        <f t="shared" si="6"/>
        <v>7.75</v>
      </c>
      <c r="Y37" s="22">
        <v>7</v>
      </c>
      <c r="Z37" s="22">
        <v>0.75</v>
      </c>
      <c r="AA37" s="371">
        <v>86.8</v>
      </c>
      <c r="AB37" s="22">
        <v>8.9285714285714288E-2</v>
      </c>
      <c r="AC37" s="24">
        <v>0</v>
      </c>
      <c r="AD37" s="384">
        <v>0</v>
      </c>
    </row>
    <row r="38" spans="1:30">
      <c r="A38" s="21" t="s">
        <v>233</v>
      </c>
      <c r="B38" s="21" t="s">
        <v>234</v>
      </c>
      <c r="C38" s="23">
        <v>3355</v>
      </c>
      <c r="D38" s="147">
        <v>113.01</v>
      </c>
      <c r="E38" s="22">
        <v>662.91</v>
      </c>
      <c r="F38" s="22">
        <v>775.92</v>
      </c>
      <c r="G38" s="22">
        <v>0</v>
      </c>
      <c r="H38" s="22">
        <v>340</v>
      </c>
      <c r="I38" s="22">
        <v>10.93</v>
      </c>
      <c r="J38" s="22">
        <v>686.12</v>
      </c>
      <c r="K38" s="22">
        <v>0</v>
      </c>
      <c r="L38" s="22">
        <v>0</v>
      </c>
      <c r="M38" s="388">
        <v>11155.050000000001</v>
      </c>
      <c r="N38" s="25">
        <v>0.38040000000000002</v>
      </c>
      <c r="O38" s="24">
        <v>1016</v>
      </c>
      <c r="P38" s="24">
        <v>410.5</v>
      </c>
      <c r="Q38" s="24">
        <v>235</v>
      </c>
      <c r="R38" s="22">
        <v>175.5</v>
      </c>
      <c r="S38" s="24">
        <v>74.25</v>
      </c>
      <c r="T38" s="24">
        <f t="shared" si="4"/>
        <v>484.75</v>
      </c>
      <c r="U38" s="376">
        <v>4243.38</v>
      </c>
      <c r="V38" s="376">
        <v>557.75</v>
      </c>
      <c r="W38" s="22">
        <f t="shared" si="5"/>
        <v>1614.1817520000002</v>
      </c>
      <c r="X38" s="22">
        <f t="shared" si="6"/>
        <v>1497.75</v>
      </c>
      <c r="Y38" s="22">
        <v>959</v>
      </c>
      <c r="Z38" s="22">
        <v>538.75</v>
      </c>
      <c r="AA38" s="371">
        <v>11101.92</v>
      </c>
      <c r="AB38" s="22">
        <v>0.134909096804877</v>
      </c>
      <c r="AC38" s="24">
        <v>0</v>
      </c>
      <c r="AD38" s="384">
        <v>0</v>
      </c>
    </row>
    <row r="39" spans="1:30">
      <c r="A39" s="21" t="s">
        <v>463</v>
      </c>
      <c r="B39" s="21" t="s">
        <v>464</v>
      </c>
      <c r="C39" s="23">
        <v>4394</v>
      </c>
      <c r="D39" s="147">
        <v>54.24</v>
      </c>
      <c r="E39" s="22">
        <v>638.70000000000005</v>
      </c>
      <c r="F39" s="22">
        <v>692.94</v>
      </c>
      <c r="G39" s="22">
        <v>52.27</v>
      </c>
      <c r="H39" s="22">
        <v>370</v>
      </c>
      <c r="I39" s="22">
        <v>10.78</v>
      </c>
      <c r="J39" s="22">
        <v>228</v>
      </c>
      <c r="K39" s="22">
        <v>91.8</v>
      </c>
      <c r="L39" s="22">
        <v>0</v>
      </c>
      <c r="M39" s="388">
        <v>15346.58</v>
      </c>
      <c r="N39" s="25">
        <v>0.38200000000000001</v>
      </c>
      <c r="O39" s="24">
        <v>3430</v>
      </c>
      <c r="P39" s="24">
        <v>476</v>
      </c>
      <c r="Q39" s="24">
        <v>288.75</v>
      </c>
      <c r="R39" s="22">
        <v>187.25</v>
      </c>
      <c r="S39" s="24">
        <v>96.25</v>
      </c>
      <c r="T39" s="24">
        <f t="shared" si="4"/>
        <v>572.25</v>
      </c>
      <c r="U39" s="376">
        <v>5862.39</v>
      </c>
      <c r="V39" s="376">
        <v>767.33</v>
      </c>
      <c r="W39" s="22">
        <f t="shared" si="5"/>
        <v>2239.43298</v>
      </c>
      <c r="X39" s="22">
        <f t="shared" si="6"/>
        <v>2012</v>
      </c>
      <c r="Y39" s="22">
        <v>915.25</v>
      </c>
      <c r="Z39" s="22">
        <v>1096.75</v>
      </c>
      <c r="AA39" s="371">
        <v>14268.61</v>
      </c>
      <c r="AB39" s="22">
        <v>0.14100882987200575</v>
      </c>
      <c r="AC39" s="24">
        <v>6.0088298720057387E-3</v>
      </c>
      <c r="AD39" s="384">
        <v>-801382.39434304193</v>
      </c>
    </row>
    <row r="40" spans="1:30">
      <c r="A40" s="21" t="s">
        <v>295</v>
      </c>
      <c r="B40" s="21" t="s">
        <v>296</v>
      </c>
      <c r="C40" s="23">
        <v>1058</v>
      </c>
      <c r="D40" s="147">
        <v>48.87</v>
      </c>
      <c r="E40" s="22">
        <v>228.67</v>
      </c>
      <c r="F40" s="22">
        <v>277.53999999999996</v>
      </c>
      <c r="G40" s="22">
        <v>0</v>
      </c>
      <c r="H40" s="22">
        <v>98</v>
      </c>
      <c r="I40" s="22">
        <v>7.57</v>
      </c>
      <c r="J40" s="22">
        <v>52.77</v>
      </c>
      <c r="K40" s="22">
        <v>8.6</v>
      </c>
      <c r="L40" s="22">
        <v>0</v>
      </c>
      <c r="M40" s="388">
        <v>3434.94</v>
      </c>
      <c r="N40" s="25">
        <v>0.80730000000000002</v>
      </c>
      <c r="O40" s="24">
        <v>3285</v>
      </c>
      <c r="P40" s="24">
        <v>482.5</v>
      </c>
      <c r="Q40" s="24">
        <v>312.5</v>
      </c>
      <c r="R40" s="22">
        <v>170</v>
      </c>
      <c r="S40" s="24">
        <v>67</v>
      </c>
      <c r="T40" s="24">
        <f t="shared" si="4"/>
        <v>549.5</v>
      </c>
      <c r="U40" s="376">
        <v>2772.68</v>
      </c>
      <c r="V40" s="376">
        <v>171.75</v>
      </c>
      <c r="W40" s="22">
        <f t="shared" si="5"/>
        <v>2238.384564</v>
      </c>
      <c r="X40" s="22">
        <f t="shared" si="6"/>
        <v>465.75</v>
      </c>
      <c r="Y40" s="22">
        <v>271.25</v>
      </c>
      <c r="Z40" s="22">
        <v>194.5</v>
      </c>
      <c r="AA40" s="371">
        <v>3390.27</v>
      </c>
      <c r="AB40" s="22">
        <v>0.1373784388853985</v>
      </c>
      <c r="AC40" s="24">
        <v>2.3784388853984872E-3</v>
      </c>
      <c r="AD40" s="384">
        <v>-75857.749189938273</v>
      </c>
    </row>
    <row r="41" spans="1:30">
      <c r="A41" s="21" t="s">
        <v>291</v>
      </c>
      <c r="B41" s="21" t="s">
        <v>292</v>
      </c>
      <c r="C41" s="23">
        <v>845</v>
      </c>
      <c r="D41" s="147">
        <v>0</v>
      </c>
      <c r="E41" s="22">
        <v>171.26</v>
      </c>
      <c r="F41" s="22">
        <v>171.26</v>
      </c>
      <c r="G41" s="22">
        <v>0</v>
      </c>
      <c r="H41" s="22">
        <v>71</v>
      </c>
      <c r="I41" s="22">
        <v>7.15</v>
      </c>
      <c r="J41" s="22">
        <v>25.77</v>
      </c>
      <c r="K41" s="22">
        <v>5.4</v>
      </c>
      <c r="L41" s="22">
        <v>0</v>
      </c>
      <c r="M41" s="388">
        <v>2879.32</v>
      </c>
      <c r="N41" s="25">
        <v>0.46789999999999998</v>
      </c>
      <c r="O41" s="24">
        <v>1251</v>
      </c>
      <c r="P41" s="24">
        <v>108.5</v>
      </c>
      <c r="Q41" s="24">
        <v>56.25</v>
      </c>
      <c r="R41" s="22">
        <v>52.25</v>
      </c>
      <c r="S41" s="24">
        <v>16</v>
      </c>
      <c r="T41" s="24">
        <f t="shared" si="4"/>
        <v>124.5</v>
      </c>
      <c r="U41" s="376">
        <v>1347.23</v>
      </c>
      <c r="V41" s="376">
        <v>143.97</v>
      </c>
      <c r="W41" s="22">
        <f t="shared" si="5"/>
        <v>630.36891700000001</v>
      </c>
      <c r="X41" s="22">
        <f t="shared" si="6"/>
        <v>388.5</v>
      </c>
      <c r="Y41" s="22">
        <v>210.25</v>
      </c>
      <c r="Z41" s="22">
        <v>178.25</v>
      </c>
      <c r="AA41" s="371">
        <v>2850.93</v>
      </c>
      <c r="AB41" s="22">
        <v>0.13627132198966654</v>
      </c>
      <c r="AC41" s="24">
        <v>1.2713219896665351E-3</v>
      </c>
      <c r="AD41" s="384">
        <v>-34752.939810765449</v>
      </c>
    </row>
    <row r="42" spans="1:30">
      <c r="A42" s="21" t="s">
        <v>467</v>
      </c>
      <c r="B42" s="21" t="s">
        <v>468</v>
      </c>
      <c r="C42" s="23">
        <v>1520</v>
      </c>
      <c r="D42" s="147">
        <v>97.13</v>
      </c>
      <c r="E42" s="22">
        <v>400.93</v>
      </c>
      <c r="F42" s="22">
        <v>498.06</v>
      </c>
      <c r="G42" s="22">
        <v>0</v>
      </c>
      <c r="H42" s="22">
        <v>150</v>
      </c>
      <c r="I42" s="22">
        <v>2.41</v>
      </c>
      <c r="J42" s="22">
        <v>311.99</v>
      </c>
      <c r="K42" s="22">
        <v>8.16</v>
      </c>
      <c r="L42" s="22">
        <v>1</v>
      </c>
      <c r="M42" s="388">
        <v>5364.5599999999995</v>
      </c>
      <c r="N42" s="25">
        <v>0.49630000000000002</v>
      </c>
      <c r="O42" s="24">
        <v>1507</v>
      </c>
      <c r="P42" s="24">
        <v>238.25</v>
      </c>
      <c r="Q42" s="24">
        <v>168.75</v>
      </c>
      <c r="R42" s="22">
        <v>69.5</v>
      </c>
      <c r="S42" s="24">
        <v>41.25</v>
      </c>
      <c r="T42" s="24">
        <f t="shared" si="4"/>
        <v>279.5</v>
      </c>
      <c r="U42" s="376">
        <v>2662.43</v>
      </c>
      <c r="V42" s="376">
        <v>268.23</v>
      </c>
      <c r="W42" s="22">
        <f t="shared" si="5"/>
        <v>1321.3640089999999</v>
      </c>
      <c r="X42" s="22">
        <f t="shared" si="6"/>
        <v>804.75</v>
      </c>
      <c r="Y42" s="22">
        <v>600.75</v>
      </c>
      <c r="Z42" s="22">
        <v>204</v>
      </c>
      <c r="AA42" s="371">
        <v>5179.01</v>
      </c>
      <c r="AB42" s="22">
        <v>0.15538684034207309</v>
      </c>
      <c r="AC42" s="24">
        <v>2.0386840342073081E-2</v>
      </c>
      <c r="AD42" s="384">
        <v>-992221.91391561762</v>
      </c>
    </row>
    <row r="43" spans="1:30">
      <c r="A43" s="21" t="s">
        <v>485</v>
      </c>
      <c r="B43" s="21" t="s">
        <v>486</v>
      </c>
      <c r="C43" s="23">
        <v>153</v>
      </c>
      <c r="D43" s="147">
        <v>10.06</v>
      </c>
      <c r="E43" s="22">
        <v>60.72</v>
      </c>
      <c r="F43" s="22">
        <v>70.78</v>
      </c>
      <c r="G43" s="22">
        <v>0</v>
      </c>
      <c r="H43" s="22">
        <v>23</v>
      </c>
      <c r="I43" s="22">
        <v>0.46</v>
      </c>
      <c r="J43" s="22">
        <v>118.30000000000001</v>
      </c>
      <c r="K43" s="22">
        <v>14.4</v>
      </c>
      <c r="L43" s="22">
        <v>0</v>
      </c>
      <c r="M43" s="388">
        <v>700.16</v>
      </c>
      <c r="N43" s="25">
        <v>0.58360000000000001</v>
      </c>
      <c r="O43" s="24">
        <v>754</v>
      </c>
      <c r="P43" s="24">
        <v>1</v>
      </c>
      <c r="Q43" s="24">
        <v>0</v>
      </c>
      <c r="R43" s="22">
        <v>1</v>
      </c>
      <c r="S43" s="24">
        <v>0</v>
      </c>
      <c r="T43" s="24">
        <f t="shared" si="4"/>
        <v>1</v>
      </c>
      <c r="U43" s="376">
        <v>407.77</v>
      </c>
      <c r="V43" s="376">
        <v>35.01</v>
      </c>
      <c r="W43" s="22">
        <f t="shared" si="5"/>
        <v>237.97457199999999</v>
      </c>
      <c r="X43" s="22">
        <f t="shared" si="6"/>
        <v>132.75</v>
      </c>
      <c r="Y43" s="22">
        <v>91.25</v>
      </c>
      <c r="Z43" s="22">
        <v>41.5</v>
      </c>
      <c r="AA43" s="371">
        <v>766.06</v>
      </c>
      <c r="AB43" s="22">
        <v>0.17328929848836908</v>
      </c>
      <c r="AC43" s="24">
        <v>3.8289298488369067E-2</v>
      </c>
      <c r="AD43" s="384">
        <v>-271764.35203422629</v>
      </c>
    </row>
    <row r="44" spans="1:30">
      <c r="A44" s="21" t="s">
        <v>1038</v>
      </c>
      <c r="B44" s="21" t="s">
        <v>1043</v>
      </c>
      <c r="C44" s="23">
        <v>172.2</v>
      </c>
      <c r="D44" s="147">
        <v>0</v>
      </c>
      <c r="E44" s="22">
        <v>28.78</v>
      </c>
      <c r="F44" s="22">
        <v>28.78</v>
      </c>
      <c r="G44" s="22">
        <v>0</v>
      </c>
      <c r="H44" s="22">
        <v>0.85</v>
      </c>
      <c r="I44" s="22">
        <v>0</v>
      </c>
      <c r="J44" s="22">
        <v>0</v>
      </c>
      <c r="K44" s="22">
        <v>0</v>
      </c>
      <c r="L44" s="22">
        <v>0</v>
      </c>
      <c r="M44" s="388">
        <v>580.26</v>
      </c>
      <c r="N44" s="25">
        <v>0.52859999999999996</v>
      </c>
      <c r="O44" s="24">
        <v>594</v>
      </c>
      <c r="P44" s="24">
        <v>0</v>
      </c>
      <c r="Q44" s="24">
        <v>0</v>
      </c>
      <c r="R44" s="22">
        <v>0</v>
      </c>
      <c r="S44" s="24">
        <v>0</v>
      </c>
      <c r="T44" s="24">
        <f t="shared" si="4"/>
        <v>0</v>
      </c>
      <c r="U44" s="376">
        <v>307.70999999999998</v>
      </c>
      <c r="V44" s="376">
        <v>0</v>
      </c>
      <c r="W44" s="22">
        <f t="shared" si="5"/>
        <v>162.65550599999997</v>
      </c>
      <c r="X44" s="22">
        <f t="shared" si="6"/>
        <v>0</v>
      </c>
      <c r="Y44" s="22">
        <v>0</v>
      </c>
      <c r="Z44" s="22">
        <v>0</v>
      </c>
      <c r="AA44" s="371">
        <v>580.25</v>
      </c>
      <c r="AB44" s="22">
        <v>0</v>
      </c>
      <c r="AC44" s="24">
        <v>0</v>
      </c>
      <c r="AD44" s="384">
        <v>0</v>
      </c>
    </row>
    <row r="45" spans="1:30">
      <c r="A45" s="21" t="s">
        <v>179</v>
      </c>
      <c r="B45" s="21" t="s">
        <v>180</v>
      </c>
      <c r="C45" s="23">
        <v>200</v>
      </c>
      <c r="D45" s="147">
        <v>0</v>
      </c>
      <c r="E45" s="22">
        <v>13.75</v>
      </c>
      <c r="F45" s="22">
        <v>13.75</v>
      </c>
      <c r="G45" s="22">
        <v>0</v>
      </c>
      <c r="H45" s="22">
        <v>15</v>
      </c>
      <c r="I45" s="22">
        <v>1.03</v>
      </c>
      <c r="J45" s="22">
        <v>79.349999999999994</v>
      </c>
      <c r="K45" s="22">
        <v>0</v>
      </c>
      <c r="L45" s="22">
        <v>0</v>
      </c>
      <c r="M45" s="388">
        <v>670.38</v>
      </c>
      <c r="N45" s="25">
        <v>0.51580000000000004</v>
      </c>
      <c r="O45" s="24">
        <v>327</v>
      </c>
      <c r="P45" s="24">
        <v>17.25</v>
      </c>
      <c r="Q45" s="24">
        <v>16.75</v>
      </c>
      <c r="R45" s="22">
        <v>0.5</v>
      </c>
      <c r="S45" s="24">
        <v>1.75</v>
      </c>
      <c r="T45" s="24">
        <f t="shared" si="4"/>
        <v>19</v>
      </c>
      <c r="U45" s="376">
        <v>346.25</v>
      </c>
      <c r="V45" s="376">
        <v>0</v>
      </c>
      <c r="W45" s="22">
        <f t="shared" si="5"/>
        <v>178.59575000000001</v>
      </c>
      <c r="X45" s="22">
        <f t="shared" si="6"/>
        <v>110.75</v>
      </c>
      <c r="Y45" s="22">
        <v>77</v>
      </c>
      <c r="Z45" s="22">
        <v>33.75</v>
      </c>
      <c r="AA45" s="371">
        <v>685.95</v>
      </c>
      <c r="AB45" s="22">
        <v>0.16145491653910635</v>
      </c>
      <c r="AC45" s="24">
        <v>2.6454916539106338E-2</v>
      </c>
      <c r="AD45" s="384">
        <v>-185877.40558140972</v>
      </c>
    </row>
    <row r="46" spans="1:30">
      <c r="A46" s="21" t="s">
        <v>13</v>
      </c>
      <c r="B46" s="21" t="s">
        <v>14</v>
      </c>
      <c r="C46" s="23">
        <v>804</v>
      </c>
      <c r="D46" s="147">
        <v>0</v>
      </c>
      <c r="E46" s="22">
        <v>154.96</v>
      </c>
      <c r="F46" s="22">
        <v>154.96</v>
      </c>
      <c r="G46" s="22">
        <v>0</v>
      </c>
      <c r="H46" s="22">
        <v>24</v>
      </c>
      <c r="I46" s="22">
        <v>2.37</v>
      </c>
      <c r="J46" s="22">
        <v>175.07999999999998</v>
      </c>
      <c r="K46" s="22">
        <v>3.8</v>
      </c>
      <c r="L46" s="22">
        <v>0</v>
      </c>
      <c r="M46" s="388">
        <v>2499.25</v>
      </c>
      <c r="N46" s="25">
        <v>0.57350000000000001</v>
      </c>
      <c r="O46" s="24">
        <v>1347</v>
      </c>
      <c r="P46" s="24">
        <v>18.25</v>
      </c>
      <c r="Q46" s="24">
        <v>15.25</v>
      </c>
      <c r="R46" s="22">
        <v>3</v>
      </c>
      <c r="S46" s="24">
        <v>6</v>
      </c>
      <c r="T46" s="24">
        <f t="shared" si="4"/>
        <v>24.25</v>
      </c>
      <c r="U46" s="376">
        <v>1433.32</v>
      </c>
      <c r="V46" s="376">
        <v>124.96</v>
      </c>
      <c r="W46" s="22">
        <f t="shared" si="5"/>
        <v>822.00901999999996</v>
      </c>
      <c r="X46" s="22">
        <f t="shared" si="6"/>
        <v>385.75</v>
      </c>
      <c r="Y46" s="22">
        <v>264.75</v>
      </c>
      <c r="Z46" s="22">
        <v>121</v>
      </c>
      <c r="AA46" s="371">
        <v>2438.7800000000002</v>
      </c>
      <c r="AB46" s="22">
        <v>0.15817334896956672</v>
      </c>
      <c r="AC46" s="24">
        <v>2.3173348969566715E-2</v>
      </c>
      <c r="AD46" s="384">
        <v>-535683.79405756749</v>
      </c>
    </row>
    <row r="47" spans="1:30">
      <c r="A47" s="21" t="s">
        <v>249</v>
      </c>
      <c r="B47" s="21" t="s">
        <v>250</v>
      </c>
      <c r="C47" s="23">
        <v>238</v>
      </c>
      <c r="D47" s="147">
        <v>8.83</v>
      </c>
      <c r="E47" s="22">
        <v>61.15</v>
      </c>
      <c r="F47" s="22">
        <v>69.98</v>
      </c>
      <c r="G47" s="22">
        <v>0</v>
      </c>
      <c r="H47" s="22">
        <v>20</v>
      </c>
      <c r="I47" s="22">
        <v>0</v>
      </c>
      <c r="J47" s="22">
        <v>22.3</v>
      </c>
      <c r="K47" s="22">
        <v>0</v>
      </c>
      <c r="L47" s="22">
        <v>0</v>
      </c>
      <c r="M47" s="388">
        <v>874.3</v>
      </c>
      <c r="N47" s="25">
        <v>0.40670000000000001</v>
      </c>
      <c r="O47" s="24">
        <v>22</v>
      </c>
      <c r="P47" s="24">
        <v>13</v>
      </c>
      <c r="Q47" s="24">
        <v>7.25</v>
      </c>
      <c r="R47" s="22">
        <v>5.75</v>
      </c>
      <c r="S47" s="24">
        <v>1</v>
      </c>
      <c r="T47" s="24">
        <f t="shared" si="4"/>
        <v>14</v>
      </c>
      <c r="U47" s="376">
        <v>355.58</v>
      </c>
      <c r="V47" s="376">
        <v>43.72</v>
      </c>
      <c r="W47" s="22">
        <f t="shared" si="5"/>
        <v>144.614386</v>
      </c>
      <c r="X47" s="22">
        <f t="shared" si="6"/>
        <v>130.75</v>
      </c>
      <c r="Y47" s="22">
        <v>106</v>
      </c>
      <c r="Z47" s="22">
        <v>24.75</v>
      </c>
      <c r="AA47" s="371">
        <v>883.74</v>
      </c>
      <c r="AB47" s="22">
        <v>0.14795075474687125</v>
      </c>
      <c r="AC47" s="24">
        <v>1.295075474687124E-2</v>
      </c>
      <c r="AD47" s="384">
        <v>-107333.35023403967</v>
      </c>
    </row>
    <row r="48" spans="1:30">
      <c r="A48" s="21" t="s">
        <v>377</v>
      </c>
      <c r="B48" s="21" t="s">
        <v>378</v>
      </c>
      <c r="C48" s="23">
        <v>4421</v>
      </c>
      <c r="D48" s="147">
        <v>369.97</v>
      </c>
      <c r="E48" s="22">
        <v>571.04</v>
      </c>
      <c r="F48" s="22">
        <v>941.01</v>
      </c>
      <c r="G48" s="22">
        <v>0</v>
      </c>
      <c r="H48" s="22">
        <v>170</v>
      </c>
      <c r="I48" s="22">
        <v>8.98</v>
      </c>
      <c r="J48" s="22">
        <v>549.36</v>
      </c>
      <c r="K48" s="22">
        <v>193.6</v>
      </c>
      <c r="L48" s="22">
        <v>0</v>
      </c>
      <c r="M48" s="388">
        <v>12572.94</v>
      </c>
      <c r="N48" s="25">
        <v>0.68879999999999997</v>
      </c>
      <c r="O48" s="24">
        <v>9349</v>
      </c>
      <c r="P48" s="24">
        <v>1585.5</v>
      </c>
      <c r="Q48" s="24">
        <v>1102.75</v>
      </c>
      <c r="R48" s="22">
        <v>482.75</v>
      </c>
      <c r="S48" s="24">
        <v>416</v>
      </c>
      <c r="T48" s="24">
        <f t="shared" si="4"/>
        <v>2001.5</v>
      </c>
      <c r="U48" s="376">
        <v>8660.24</v>
      </c>
      <c r="V48" s="376">
        <v>628.65</v>
      </c>
      <c r="W48" s="22">
        <f t="shared" si="5"/>
        <v>5965.1733119999999</v>
      </c>
      <c r="X48" s="22">
        <f t="shared" si="6"/>
        <v>1759.25</v>
      </c>
      <c r="Y48" s="22">
        <v>888.75</v>
      </c>
      <c r="Z48" s="22">
        <v>870.5</v>
      </c>
      <c r="AA48" s="371">
        <v>12069.44</v>
      </c>
      <c r="AB48" s="22">
        <v>0.14576069809369779</v>
      </c>
      <c r="AC48" s="24">
        <v>1.0760698093697785E-2</v>
      </c>
      <c r="AD48" s="384">
        <v>-1290472.2671153215</v>
      </c>
    </row>
    <row r="49" spans="1:30">
      <c r="A49" s="21" t="s">
        <v>563</v>
      </c>
      <c r="B49" s="21" t="s">
        <v>564</v>
      </c>
      <c r="C49" s="23">
        <v>149</v>
      </c>
      <c r="D49" s="147">
        <v>6.88</v>
      </c>
      <c r="E49" s="22">
        <v>49.3</v>
      </c>
      <c r="F49" s="22">
        <v>56.18</v>
      </c>
      <c r="G49" s="22">
        <v>0</v>
      </c>
      <c r="H49" s="22">
        <v>1</v>
      </c>
      <c r="I49" s="22">
        <v>0.25</v>
      </c>
      <c r="J49" s="22">
        <v>0</v>
      </c>
      <c r="K49" s="22">
        <v>0</v>
      </c>
      <c r="L49" s="22">
        <v>0</v>
      </c>
      <c r="M49" s="388">
        <v>512.25</v>
      </c>
      <c r="N49" s="25">
        <v>0.32319999999999999</v>
      </c>
      <c r="O49" s="24">
        <v>0</v>
      </c>
      <c r="P49" s="24">
        <v>0</v>
      </c>
      <c r="Q49" s="24">
        <v>0</v>
      </c>
      <c r="R49" s="22">
        <v>0</v>
      </c>
      <c r="S49" s="24">
        <v>0</v>
      </c>
      <c r="T49" s="24">
        <f t="shared" si="4"/>
        <v>0</v>
      </c>
      <c r="U49" s="376">
        <v>165.56</v>
      </c>
      <c r="V49" s="376">
        <v>25.61</v>
      </c>
      <c r="W49" s="22">
        <f t="shared" si="5"/>
        <v>53.508991999999999</v>
      </c>
      <c r="X49" s="22">
        <f t="shared" si="6"/>
        <v>77.75</v>
      </c>
      <c r="Y49" s="22">
        <v>50</v>
      </c>
      <c r="Z49" s="22">
        <v>27.75</v>
      </c>
      <c r="AA49" s="371">
        <v>518.04999999999995</v>
      </c>
      <c r="AB49" s="22">
        <v>0.15008203841328058</v>
      </c>
      <c r="AC49" s="24">
        <v>1.5082038413280568E-2</v>
      </c>
      <c r="AD49" s="384">
        <v>-73315.273201186792</v>
      </c>
    </row>
    <row r="50" spans="1:30">
      <c r="A50" s="21" t="s">
        <v>529</v>
      </c>
      <c r="B50" s="21" t="s">
        <v>530</v>
      </c>
      <c r="C50" s="23">
        <v>453</v>
      </c>
      <c r="D50" s="147">
        <v>0</v>
      </c>
      <c r="E50" s="22">
        <v>131.59</v>
      </c>
      <c r="F50" s="22">
        <v>131.59</v>
      </c>
      <c r="G50" s="22">
        <v>0</v>
      </c>
      <c r="H50" s="22">
        <v>48</v>
      </c>
      <c r="I50" s="22">
        <v>3.89</v>
      </c>
      <c r="J50" s="22">
        <v>0</v>
      </c>
      <c r="K50" s="22">
        <v>8.33</v>
      </c>
      <c r="L50" s="22">
        <v>0.87</v>
      </c>
      <c r="M50" s="388">
        <v>1566.09</v>
      </c>
      <c r="N50" s="25">
        <v>0.56679999999999997</v>
      </c>
      <c r="O50" s="24">
        <v>1525</v>
      </c>
      <c r="P50" s="24">
        <v>292.25</v>
      </c>
      <c r="Q50" s="24">
        <v>178.25</v>
      </c>
      <c r="R50" s="22">
        <v>114</v>
      </c>
      <c r="S50" s="24">
        <v>44.25</v>
      </c>
      <c r="T50" s="24">
        <f t="shared" si="4"/>
        <v>336.5</v>
      </c>
      <c r="U50" s="376">
        <v>887.66</v>
      </c>
      <c r="V50" s="376">
        <v>78.3</v>
      </c>
      <c r="W50" s="22">
        <f t="shared" si="5"/>
        <v>503.12568799999997</v>
      </c>
      <c r="X50" s="22">
        <f t="shared" si="6"/>
        <v>210</v>
      </c>
      <c r="Y50" s="22">
        <v>103.5</v>
      </c>
      <c r="Z50" s="22">
        <v>106.5</v>
      </c>
      <c r="AA50" s="371">
        <v>1529.2</v>
      </c>
      <c r="AB50" s="22">
        <v>0.1373267067747842</v>
      </c>
      <c r="AC50" s="24">
        <v>2.326706774784193E-3</v>
      </c>
      <c r="AD50" s="384">
        <v>-33310.29316827478</v>
      </c>
    </row>
    <row r="51" spans="1:30">
      <c r="A51" s="21" t="s">
        <v>571</v>
      </c>
      <c r="B51" s="21" t="s">
        <v>572</v>
      </c>
      <c r="C51" s="23">
        <v>37</v>
      </c>
      <c r="D51" s="147">
        <v>0</v>
      </c>
      <c r="E51" s="22">
        <v>9.4600000000000009</v>
      </c>
      <c r="F51" s="22">
        <v>9.4600000000000009</v>
      </c>
      <c r="G51" s="22">
        <v>0</v>
      </c>
      <c r="H51" s="22">
        <v>1</v>
      </c>
      <c r="I51" s="22">
        <v>0</v>
      </c>
      <c r="J51" s="22">
        <v>0</v>
      </c>
      <c r="K51" s="22">
        <v>0</v>
      </c>
      <c r="L51" s="22">
        <v>0</v>
      </c>
      <c r="M51" s="388">
        <v>142</v>
      </c>
      <c r="N51" s="25">
        <v>0.31009999999999999</v>
      </c>
      <c r="O51" s="24">
        <v>0</v>
      </c>
      <c r="P51" s="24">
        <v>0</v>
      </c>
      <c r="Q51" s="24">
        <v>0</v>
      </c>
      <c r="R51" s="22">
        <v>0</v>
      </c>
      <c r="S51" s="24">
        <v>0</v>
      </c>
      <c r="T51" s="24">
        <f t="shared" si="4"/>
        <v>0</v>
      </c>
      <c r="U51" s="376">
        <v>44.03</v>
      </c>
      <c r="V51" s="376">
        <v>0</v>
      </c>
      <c r="W51" s="22">
        <f t="shared" si="5"/>
        <v>13.653703</v>
      </c>
      <c r="X51" s="22">
        <f t="shared" si="6"/>
        <v>29.25</v>
      </c>
      <c r="Y51" s="22">
        <v>27.75</v>
      </c>
      <c r="Z51" s="22">
        <v>1.5</v>
      </c>
      <c r="AA51" s="371">
        <v>158.57</v>
      </c>
      <c r="AB51" s="22">
        <v>0.18446112127136283</v>
      </c>
      <c r="AC51" s="24">
        <v>4.9461121271362818E-2</v>
      </c>
      <c r="AD51" s="384">
        <v>-74706.724751453236</v>
      </c>
    </row>
    <row r="52" spans="1:30">
      <c r="A52" s="21" t="s">
        <v>499</v>
      </c>
      <c r="B52" s="21" t="s">
        <v>500</v>
      </c>
      <c r="C52" s="23">
        <v>28</v>
      </c>
      <c r="D52" s="147">
        <v>0</v>
      </c>
      <c r="E52" s="22">
        <v>7.42</v>
      </c>
      <c r="F52" s="22">
        <v>7.42</v>
      </c>
      <c r="G52" s="22">
        <v>0</v>
      </c>
      <c r="H52" s="22">
        <v>2</v>
      </c>
      <c r="I52" s="22">
        <v>0</v>
      </c>
      <c r="J52" s="22">
        <v>0</v>
      </c>
      <c r="K52" s="22">
        <v>0</v>
      </c>
      <c r="L52" s="22">
        <v>0</v>
      </c>
      <c r="M52" s="388">
        <v>94</v>
      </c>
      <c r="N52" s="25">
        <v>0.8</v>
      </c>
      <c r="O52" s="24">
        <v>102</v>
      </c>
      <c r="P52" s="24">
        <v>0</v>
      </c>
      <c r="Q52" s="24">
        <v>0</v>
      </c>
      <c r="R52" s="22">
        <v>0</v>
      </c>
      <c r="S52" s="24">
        <v>0</v>
      </c>
      <c r="T52" s="24">
        <f t="shared" si="4"/>
        <v>0</v>
      </c>
      <c r="U52" s="376">
        <v>75.2</v>
      </c>
      <c r="V52" s="376">
        <v>4.7</v>
      </c>
      <c r="W52" s="22">
        <f t="shared" si="5"/>
        <v>60.160000000000004</v>
      </c>
      <c r="X52" s="22">
        <f t="shared" si="6"/>
        <v>16.5</v>
      </c>
      <c r="Y52" s="22">
        <v>16</v>
      </c>
      <c r="Z52" s="22">
        <v>0.5</v>
      </c>
      <c r="AA52" s="371">
        <v>104.46</v>
      </c>
      <c r="AB52" s="22">
        <v>0.1579551981619759</v>
      </c>
      <c r="AC52" s="24">
        <v>2.2955198161975887E-2</v>
      </c>
      <c r="AD52" s="384">
        <v>-22636.932890634824</v>
      </c>
    </row>
    <row r="53" spans="1:30">
      <c r="A53" s="21" t="s">
        <v>533</v>
      </c>
      <c r="B53" s="21" t="s">
        <v>534</v>
      </c>
      <c r="C53" s="23">
        <v>209</v>
      </c>
      <c r="D53" s="147">
        <v>0</v>
      </c>
      <c r="E53" s="22">
        <v>54.43</v>
      </c>
      <c r="F53" s="22">
        <v>54.43</v>
      </c>
      <c r="G53" s="22">
        <v>0</v>
      </c>
      <c r="H53" s="22">
        <v>13</v>
      </c>
      <c r="I53" s="22">
        <v>0.5</v>
      </c>
      <c r="J53" s="22">
        <v>0</v>
      </c>
      <c r="K53" s="22">
        <v>2.8</v>
      </c>
      <c r="L53" s="22">
        <v>0</v>
      </c>
      <c r="M53" s="388">
        <v>718.3</v>
      </c>
      <c r="N53" s="25">
        <v>0.56020000000000003</v>
      </c>
      <c r="O53" s="24">
        <v>714</v>
      </c>
      <c r="P53" s="24">
        <v>132.5</v>
      </c>
      <c r="Q53" s="24">
        <v>80.75</v>
      </c>
      <c r="R53" s="22">
        <v>51.75</v>
      </c>
      <c r="S53" s="24">
        <v>22</v>
      </c>
      <c r="T53" s="24">
        <f t="shared" si="4"/>
        <v>154.5</v>
      </c>
      <c r="U53" s="376">
        <v>395.57</v>
      </c>
      <c r="V53" s="376">
        <v>35.92</v>
      </c>
      <c r="W53" s="22">
        <f t="shared" si="5"/>
        <v>221.59831400000002</v>
      </c>
      <c r="X53" s="22">
        <f t="shared" si="6"/>
        <v>96.25</v>
      </c>
      <c r="Y53" s="22">
        <v>71.75</v>
      </c>
      <c r="Z53" s="22">
        <v>24.5</v>
      </c>
      <c r="AA53" s="371">
        <v>714.02</v>
      </c>
      <c r="AB53" s="22">
        <v>0.13480014565418336</v>
      </c>
      <c r="AC53" s="24">
        <v>0</v>
      </c>
      <c r="AD53" s="384">
        <v>0</v>
      </c>
    </row>
    <row r="54" spans="1:30">
      <c r="A54" s="21" t="s">
        <v>491</v>
      </c>
      <c r="B54" s="21" t="s">
        <v>492</v>
      </c>
      <c r="C54" s="23">
        <v>448</v>
      </c>
      <c r="D54" s="147">
        <v>14.62</v>
      </c>
      <c r="E54" s="22">
        <v>113.13</v>
      </c>
      <c r="F54" s="22">
        <v>127.75</v>
      </c>
      <c r="G54" s="22">
        <v>14.15</v>
      </c>
      <c r="H54" s="22">
        <v>42</v>
      </c>
      <c r="I54" s="22">
        <v>1.56</v>
      </c>
      <c r="J54" s="22">
        <v>65.830000000000013</v>
      </c>
      <c r="K54" s="22">
        <v>8.6</v>
      </c>
      <c r="L54" s="22">
        <v>0</v>
      </c>
      <c r="M54" s="388">
        <v>1730.9899999999998</v>
      </c>
      <c r="N54" s="25">
        <v>0.53720000000000001</v>
      </c>
      <c r="O54" s="24">
        <v>1111</v>
      </c>
      <c r="P54" s="24">
        <v>16.5</v>
      </c>
      <c r="Q54" s="24">
        <v>14.5</v>
      </c>
      <c r="R54" s="22">
        <v>2</v>
      </c>
      <c r="S54" s="24">
        <v>1.75</v>
      </c>
      <c r="T54" s="24">
        <f t="shared" si="4"/>
        <v>18.25</v>
      </c>
      <c r="U54" s="376">
        <v>898.38</v>
      </c>
      <c r="V54" s="376">
        <v>86.55</v>
      </c>
      <c r="W54" s="22">
        <f t="shared" si="5"/>
        <v>482.609736</v>
      </c>
      <c r="X54" s="22">
        <f t="shared" si="6"/>
        <v>238.5</v>
      </c>
      <c r="Y54" s="22">
        <v>153.5</v>
      </c>
      <c r="Z54" s="22">
        <v>85</v>
      </c>
      <c r="AA54" s="371">
        <v>1634.52</v>
      </c>
      <c r="AB54" s="22">
        <v>0.14591439688715954</v>
      </c>
      <c r="AC54" s="24">
        <v>1.0914396887159533E-2</v>
      </c>
      <c r="AD54" s="384">
        <v>-169786.70351080349</v>
      </c>
    </row>
    <row r="55" spans="1:30">
      <c r="A55" s="21" t="s">
        <v>401</v>
      </c>
      <c r="B55" s="21" t="s">
        <v>402</v>
      </c>
      <c r="C55" s="23">
        <v>176</v>
      </c>
      <c r="D55" s="147">
        <v>6.05</v>
      </c>
      <c r="E55" s="22">
        <v>44.06</v>
      </c>
      <c r="F55" s="22">
        <v>50.11</v>
      </c>
      <c r="G55" s="22">
        <v>0</v>
      </c>
      <c r="H55" s="22">
        <v>7</v>
      </c>
      <c r="I55" s="22">
        <v>1.98</v>
      </c>
      <c r="J55" s="22">
        <v>4.05</v>
      </c>
      <c r="K55" s="22">
        <v>0</v>
      </c>
      <c r="L55" s="22">
        <v>0</v>
      </c>
      <c r="M55" s="388">
        <v>504.03000000000003</v>
      </c>
      <c r="N55" s="25">
        <v>0.70440000000000003</v>
      </c>
      <c r="O55" s="24">
        <v>504</v>
      </c>
      <c r="P55" s="24">
        <v>0</v>
      </c>
      <c r="Q55" s="24">
        <v>0</v>
      </c>
      <c r="R55" s="22">
        <v>0</v>
      </c>
      <c r="S55" s="24">
        <v>0</v>
      </c>
      <c r="T55" s="24">
        <f t="shared" si="4"/>
        <v>0</v>
      </c>
      <c r="U55" s="376">
        <v>355.04</v>
      </c>
      <c r="V55" s="376">
        <v>25.2</v>
      </c>
      <c r="W55" s="22">
        <f t="shared" si="5"/>
        <v>250.09017600000001</v>
      </c>
      <c r="X55" s="22">
        <f t="shared" si="6"/>
        <v>85</v>
      </c>
      <c r="Y55" s="22">
        <v>53.5</v>
      </c>
      <c r="Z55" s="22">
        <v>31.5</v>
      </c>
      <c r="AA55" s="371">
        <v>497.53</v>
      </c>
      <c r="AB55" s="22">
        <v>0.17084396920788697</v>
      </c>
      <c r="AC55" s="24">
        <v>3.5843969207886961E-2</v>
      </c>
      <c r="AD55" s="384">
        <v>-184462.15328381755</v>
      </c>
    </row>
    <row r="56" spans="1:30">
      <c r="A56" s="21" t="s">
        <v>411</v>
      </c>
      <c r="B56" s="21" t="s">
        <v>412</v>
      </c>
      <c r="C56" s="23">
        <v>209</v>
      </c>
      <c r="D56" s="147">
        <v>0</v>
      </c>
      <c r="E56" s="22">
        <v>0</v>
      </c>
      <c r="F56" s="22">
        <v>0</v>
      </c>
      <c r="G56" s="22">
        <v>0</v>
      </c>
      <c r="H56" s="22">
        <v>0</v>
      </c>
      <c r="I56" s="22">
        <v>0</v>
      </c>
      <c r="J56" s="22">
        <v>0</v>
      </c>
      <c r="K56" s="22">
        <v>0</v>
      </c>
      <c r="L56" s="22">
        <v>0</v>
      </c>
      <c r="M56" s="388">
        <v>442</v>
      </c>
      <c r="N56" s="25">
        <v>0.19209999999999999</v>
      </c>
      <c r="O56" s="24">
        <v>0</v>
      </c>
      <c r="P56" s="24">
        <v>31.75</v>
      </c>
      <c r="Q56" s="24">
        <v>24.75</v>
      </c>
      <c r="R56" s="22">
        <v>7</v>
      </c>
      <c r="S56" s="24">
        <v>0</v>
      </c>
      <c r="T56" s="24">
        <f t="shared" si="4"/>
        <v>31.75</v>
      </c>
      <c r="U56" s="376">
        <v>84.91</v>
      </c>
      <c r="V56" s="376">
        <v>22.1</v>
      </c>
      <c r="W56" s="22">
        <f t="shared" si="5"/>
        <v>16.311211</v>
      </c>
      <c r="X56" s="22">
        <f t="shared" si="6"/>
        <v>43.25</v>
      </c>
      <c r="Y56" s="22">
        <v>36.25</v>
      </c>
      <c r="Z56" s="22">
        <v>7</v>
      </c>
      <c r="AA56" s="371">
        <v>451.67</v>
      </c>
      <c r="AB56" s="22">
        <v>9.5755750880067297E-2</v>
      </c>
      <c r="AC56" s="24">
        <v>0</v>
      </c>
      <c r="AD56" s="384">
        <v>0</v>
      </c>
    </row>
    <row r="57" spans="1:30">
      <c r="A57" s="21" t="s">
        <v>157</v>
      </c>
      <c r="B57" s="21" t="s">
        <v>158</v>
      </c>
      <c r="C57" s="23">
        <v>108</v>
      </c>
      <c r="D57" s="147">
        <v>0</v>
      </c>
      <c r="E57" s="22">
        <v>0</v>
      </c>
      <c r="F57" s="22">
        <v>0</v>
      </c>
      <c r="G57" s="22">
        <v>0</v>
      </c>
      <c r="H57" s="22">
        <v>0</v>
      </c>
      <c r="I57" s="22">
        <v>0</v>
      </c>
      <c r="J57" s="22">
        <v>0</v>
      </c>
      <c r="K57" s="22">
        <v>0</v>
      </c>
      <c r="L57" s="22">
        <v>0</v>
      </c>
      <c r="M57" s="388">
        <v>178</v>
      </c>
      <c r="N57" s="25">
        <v>0.50329999999999997</v>
      </c>
      <c r="O57" s="24">
        <v>0</v>
      </c>
      <c r="P57" s="24">
        <v>2</v>
      </c>
      <c r="Q57" s="24">
        <v>2</v>
      </c>
      <c r="R57" s="22">
        <v>0</v>
      </c>
      <c r="S57" s="24">
        <v>1</v>
      </c>
      <c r="T57" s="24">
        <f t="shared" si="4"/>
        <v>3</v>
      </c>
      <c r="U57" s="376">
        <v>89.59</v>
      </c>
      <c r="V57" s="376">
        <v>8.9</v>
      </c>
      <c r="W57" s="22">
        <f t="shared" si="5"/>
        <v>45.090646999999997</v>
      </c>
      <c r="X57" s="22">
        <f t="shared" si="6"/>
        <v>23</v>
      </c>
      <c r="Y57" s="22">
        <v>15</v>
      </c>
      <c r="Z57" s="22">
        <v>8</v>
      </c>
      <c r="AA57" s="371">
        <v>163.80000000000001</v>
      </c>
      <c r="AB57" s="22">
        <v>0.14041514041514042</v>
      </c>
      <c r="AC57" s="24">
        <v>5.415140415140407E-3</v>
      </c>
      <c r="AD57" s="384">
        <v>-8977.3320028166345</v>
      </c>
    </row>
    <row r="58" spans="1:30">
      <c r="A58" s="21" t="s">
        <v>127</v>
      </c>
      <c r="B58" s="21" t="s">
        <v>128</v>
      </c>
      <c r="C58" s="23">
        <v>55</v>
      </c>
      <c r="D58" s="147">
        <v>0</v>
      </c>
      <c r="E58" s="22">
        <v>17.09</v>
      </c>
      <c r="F58" s="22">
        <v>17.09</v>
      </c>
      <c r="G58" s="22">
        <v>0</v>
      </c>
      <c r="H58" s="22">
        <v>6</v>
      </c>
      <c r="I58" s="22">
        <v>0.03</v>
      </c>
      <c r="J58" s="22">
        <v>0</v>
      </c>
      <c r="K58" s="22">
        <v>0</v>
      </c>
      <c r="L58" s="22">
        <v>0</v>
      </c>
      <c r="M58" s="388">
        <v>188.03</v>
      </c>
      <c r="N58" s="25">
        <v>0.4098</v>
      </c>
      <c r="O58" s="24">
        <v>0</v>
      </c>
      <c r="P58" s="24">
        <v>0</v>
      </c>
      <c r="Q58" s="24">
        <v>0</v>
      </c>
      <c r="R58" s="22">
        <v>0</v>
      </c>
      <c r="S58" s="24">
        <v>0</v>
      </c>
      <c r="T58" s="24">
        <f t="shared" si="4"/>
        <v>0</v>
      </c>
      <c r="U58" s="376">
        <v>77.05</v>
      </c>
      <c r="V58" s="376">
        <v>9.4</v>
      </c>
      <c r="W58" s="22">
        <f t="shared" si="5"/>
        <v>31.575089999999999</v>
      </c>
      <c r="X58" s="22">
        <f t="shared" si="6"/>
        <v>21.25</v>
      </c>
      <c r="Y58" s="22">
        <v>9.75</v>
      </c>
      <c r="Z58" s="22">
        <v>11.5</v>
      </c>
      <c r="AA58" s="371">
        <v>217.93</v>
      </c>
      <c r="AB58" s="22">
        <v>9.7508374248611931E-2</v>
      </c>
      <c r="AC58" s="24">
        <v>0</v>
      </c>
      <c r="AD58" s="384">
        <v>0</v>
      </c>
    </row>
    <row r="59" spans="1:30">
      <c r="A59" s="21" t="s">
        <v>169</v>
      </c>
      <c r="B59" s="21" t="s">
        <v>170</v>
      </c>
      <c r="C59" s="23">
        <v>320</v>
      </c>
      <c r="D59" s="147">
        <v>0.81</v>
      </c>
      <c r="E59" s="22">
        <v>14.28</v>
      </c>
      <c r="F59" s="22">
        <v>15.09</v>
      </c>
      <c r="G59" s="22">
        <v>0</v>
      </c>
      <c r="H59" s="22">
        <v>16</v>
      </c>
      <c r="I59" s="22">
        <v>1.1200000000000001</v>
      </c>
      <c r="J59" s="22">
        <v>0</v>
      </c>
      <c r="K59" s="22">
        <v>51.8</v>
      </c>
      <c r="L59" s="22">
        <v>0</v>
      </c>
      <c r="M59" s="388">
        <v>1027.92</v>
      </c>
      <c r="N59" s="25">
        <v>0.3422</v>
      </c>
      <c r="O59" s="24">
        <v>53</v>
      </c>
      <c r="P59" s="24">
        <v>27.75</v>
      </c>
      <c r="Q59" s="24">
        <v>16.75</v>
      </c>
      <c r="R59" s="22">
        <v>11</v>
      </c>
      <c r="S59" s="24">
        <v>3.75</v>
      </c>
      <c r="T59" s="24">
        <f t="shared" si="4"/>
        <v>31.5</v>
      </c>
      <c r="U59" s="376">
        <v>351.75</v>
      </c>
      <c r="V59" s="376">
        <v>51.4</v>
      </c>
      <c r="W59" s="22">
        <f t="shared" si="5"/>
        <v>120.36884999999999</v>
      </c>
      <c r="X59" s="22">
        <f t="shared" si="6"/>
        <v>144</v>
      </c>
      <c r="Y59" s="22">
        <v>99.25</v>
      </c>
      <c r="Z59" s="22">
        <v>44.75</v>
      </c>
      <c r="AA59" s="371">
        <v>967.86</v>
      </c>
      <c r="AB59" s="22">
        <v>0.14878184861446903</v>
      </c>
      <c r="AC59" s="24">
        <v>1.3781848614469017E-2</v>
      </c>
      <c r="AD59" s="384">
        <v>-139756.8700579289</v>
      </c>
    </row>
    <row r="60" spans="1:30">
      <c r="A60" s="21" t="s">
        <v>45</v>
      </c>
      <c r="B60" s="21" t="s">
        <v>46</v>
      </c>
      <c r="C60" s="23">
        <v>45</v>
      </c>
      <c r="D60" s="147">
        <v>0</v>
      </c>
      <c r="E60" s="22">
        <v>3.8</v>
      </c>
      <c r="F60" s="22">
        <v>3.8</v>
      </c>
      <c r="G60" s="22">
        <v>0</v>
      </c>
      <c r="H60" s="22">
        <v>8</v>
      </c>
      <c r="I60" s="22">
        <v>0</v>
      </c>
      <c r="J60" s="22">
        <v>88.58</v>
      </c>
      <c r="K60" s="22">
        <v>0</v>
      </c>
      <c r="L60" s="22">
        <v>0</v>
      </c>
      <c r="M60" s="388">
        <v>275.58</v>
      </c>
      <c r="N60" s="25">
        <v>0.59550000000000003</v>
      </c>
      <c r="O60" s="24">
        <v>216</v>
      </c>
      <c r="P60" s="24">
        <v>0</v>
      </c>
      <c r="Q60" s="24">
        <v>0</v>
      </c>
      <c r="R60" s="22">
        <v>0</v>
      </c>
      <c r="S60" s="24">
        <v>0</v>
      </c>
      <c r="T60" s="24">
        <f t="shared" si="4"/>
        <v>0</v>
      </c>
      <c r="U60" s="376">
        <v>164.11</v>
      </c>
      <c r="V60" s="376">
        <v>13.78</v>
      </c>
      <c r="W60" s="22">
        <f t="shared" si="5"/>
        <v>97.727505000000008</v>
      </c>
      <c r="X60" s="22">
        <f t="shared" si="6"/>
        <v>31.25</v>
      </c>
      <c r="Y60" s="22">
        <v>23.75</v>
      </c>
      <c r="Z60" s="22">
        <v>7.5</v>
      </c>
      <c r="AA60" s="371">
        <v>307.8</v>
      </c>
      <c r="AB60" s="22">
        <v>0.10152696556205328</v>
      </c>
      <c r="AC60" s="24">
        <v>0</v>
      </c>
      <c r="AD60" s="384">
        <v>0</v>
      </c>
    </row>
    <row r="61" spans="1:30">
      <c r="A61" s="21" t="s">
        <v>303</v>
      </c>
      <c r="B61" s="21" t="s">
        <v>304</v>
      </c>
      <c r="C61" s="23">
        <v>24</v>
      </c>
      <c r="D61" s="147">
        <v>2.3199999999999998</v>
      </c>
      <c r="E61" s="22">
        <v>4.71</v>
      </c>
      <c r="F61" s="22">
        <v>7.0299999999999994</v>
      </c>
      <c r="G61" s="22">
        <v>0</v>
      </c>
      <c r="H61" s="22">
        <v>0</v>
      </c>
      <c r="I61" s="22">
        <v>0</v>
      </c>
      <c r="J61" s="22">
        <v>0</v>
      </c>
      <c r="K61" s="22">
        <v>0</v>
      </c>
      <c r="L61" s="22">
        <v>0</v>
      </c>
      <c r="M61" s="388">
        <v>77</v>
      </c>
      <c r="N61" s="25">
        <v>0.4884</v>
      </c>
      <c r="O61" s="24">
        <v>40</v>
      </c>
      <c r="P61" s="24">
        <v>0</v>
      </c>
      <c r="Q61" s="24">
        <v>0</v>
      </c>
      <c r="R61" s="22">
        <v>0</v>
      </c>
      <c r="S61" s="24">
        <v>0</v>
      </c>
      <c r="T61" s="24">
        <f t="shared" si="4"/>
        <v>0</v>
      </c>
      <c r="U61" s="376">
        <v>37.61</v>
      </c>
      <c r="V61" s="376">
        <v>3.85</v>
      </c>
      <c r="W61" s="22">
        <f t="shared" si="5"/>
        <v>18.368724</v>
      </c>
      <c r="X61" s="22">
        <f t="shared" si="6"/>
        <v>22</v>
      </c>
      <c r="Y61" s="22">
        <v>17.5</v>
      </c>
      <c r="Z61" s="22">
        <v>4.5</v>
      </c>
      <c r="AA61" s="371">
        <v>86.8</v>
      </c>
      <c r="AB61" s="22">
        <v>0.25345622119815669</v>
      </c>
      <c r="AC61" s="24">
        <v>0.11845622119815669</v>
      </c>
      <c r="AD61" s="384">
        <v>-99668.492133565189</v>
      </c>
    </row>
    <row r="62" spans="1:30">
      <c r="A62" s="21" t="s">
        <v>103</v>
      </c>
      <c r="B62" s="21" t="s">
        <v>104</v>
      </c>
      <c r="C62" s="23">
        <v>45</v>
      </c>
      <c r="D62" s="147">
        <v>0</v>
      </c>
      <c r="E62" s="22">
        <v>8.14</v>
      </c>
      <c r="F62" s="22">
        <v>8.14</v>
      </c>
      <c r="G62" s="22">
        <v>0</v>
      </c>
      <c r="H62" s="22">
        <v>1</v>
      </c>
      <c r="I62" s="22">
        <v>0</v>
      </c>
      <c r="J62" s="22">
        <v>34.090000000000003</v>
      </c>
      <c r="K62" s="22">
        <v>26</v>
      </c>
      <c r="L62" s="22">
        <v>0</v>
      </c>
      <c r="M62" s="388">
        <v>238.09</v>
      </c>
      <c r="N62" s="25">
        <v>0.53210000000000002</v>
      </c>
      <c r="O62" s="24">
        <v>244</v>
      </c>
      <c r="P62" s="24">
        <v>0</v>
      </c>
      <c r="Q62" s="24">
        <v>0</v>
      </c>
      <c r="R62" s="22">
        <v>0</v>
      </c>
      <c r="S62" s="24">
        <v>0</v>
      </c>
      <c r="T62" s="24">
        <f t="shared" si="4"/>
        <v>0</v>
      </c>
      <c r="U62" s="376">
        <v>126.69</v>
      </c>
      <c r="V62" s="376">
        <v>0</v>
      </c>
      <c r="W62" s="22">
        <f t="shared" si="5"/>
        <v>67.411749</v>
      </c>
      <c r="X62" s="22">
        <f t="shared" si="6"/>
        <v>26</v>
      </c>
      <c r="Y62" s="22">
        <v>23</v>
      </c>
      <c r="Z62" s="22">
        <v>3</v>
      </c>
      <c r="AA62" s="371">
        <v>242.11</v>
      </c>
      <c r="AB62" s="22">
        <v>0.10738920325471893</v>
      </c>
      <c r="AC62" s="24">
        <v>0</v>
      </c>
      <c r="AD62" s="384">
        <v>0</v>
      </c>
    </row>
    <row r="63" spans="1:30">
      <c r="A63" s="21" t="s">
        <v>357</v>
      </c>
      <c r="B63" s="21" t="s">
        <v>358</v>
      </c>
      <c r="C63" s="23">
        <v>60</v>
      </c>
      <c r="D63" s="147">
        <v>0</v>
      </c>
      <c r="E63" s="22">
        <v>12.18</v>
      </c>
      <c r="F63" s="22">
        <v>12.18</v>
      </c>
      <c r="G63" s="22">
        <v>0</v>
      </c>
      <c r="H63" s="22">
        <v>5</v>
      </c>
      <c r="I63" s="22">
        <v>0</v>
      </c>
      <c r="J63" s="22">
        <v>104.00999999999999</v>
      </c>
      <c r="K63" s="22">
        <v>0</v>
      </c>
      <c r="L63" s="22">
        <v>0</v>
      </c>
      <c r="M63" s="388">
        <v>325.01</v>
      </c>
      <c r="N63" s="25">
        <v>0.69210000000000005</v>
      </c>
      <c r="O63" s="24">
        <v>227</v>
      </c>
      <c r="P63" s="24">
        <v>0</v>
      </c>
      <c r="Q63" s="24">
        <v>0</v>
      </c>
      <c r="R63" s="22">
        <v>0</v>
      </c>
      <c r="S63" s="24">
        <v>0</v>
      </c>
      <c r="T63" s="24">
        <f t="shared" si="4"/>
        <v>0</v>
      </c>
      <c r="U63" s="376">
        <v>224.94</v>
      </c>
      <c r="V63" s="376">
        <v>16.25</v>
      </c>
      <c r="W63" s="22">
        <f t="shared" si="5"/>
        <v>155.68097400000002</v>
      </c>
      <c r="X63" s="22">
        <f t="shared" si="6"/>
        <v>46.25</v>
      </c>
      <c r="Y63" s="22">
        <v>36</v>
      </c>
      <c r="Z63" s="22">
        <v>10.25</v>
      </c>
      <c r="AA63" s="371">
        <v>321.44</v>
      </c>
      <c r="AB63" s="22">
        <v>0.14388377302140368</v>
      </c>
      <c r="AC63" s="24">
        <v>8.8837730214036681E-3</v>
      </c>
      <c r="AD63" s="384">
        <v>-26262.674140548625</v>
      </c>
    </row>
    <row r="64" spans="1:30">
      <c r="A64" s="21" t="s">
        <v>239</v>
      </c>
      <c r="B64" s="21" t="s">
        <v>240</v>
      </c>
      <c r="C64" s="23">
        <v>30</v>
      </c>
      <c r="D64" s="147">
        <v>0</v>
      </c>
      <c r="E64" s="22">
        <v>0</v>
      </c>
      <c r="F64" s="22">
        <v>0</v>
      </c>
      <c r="G64" s="22">
        <v>0</v>
      </c>
      <c r="H64" s="22">
        <v>0</v>
      </c>
      <c r="I64" s="22">
        <v>0</v>
      </c>
      <c r="J64" s="22">
        <v>0</v>
      </c>
      <c r="K64" s="22">
        <v>0</v>
      </c>
      <c r="L64" s="22">
        <v>0</v>
      </c>
      <c r="M64" s="388">
        <v>44</v>
      </c>
      <c r="N64" s="25">
        <v>0</v>
      </c>
      <c r="O64" s="24">
        <v>0</v>
      </c>
      <c r="P64" s="24">
        <v>0</v>
      </c>
      <c r="Q64" s="24">
        <v>0</v>
      </c>
      <c r="R64" s="22">
        <v>0</v>
      </c>
      <c r="S64" s="24">
        <v>0</v>
      </c>
      <c r="T64" s="24">
        <f t="shared" si="4"/>
        <v>0</v>
      </c>
      <c r="U64" s="376">
        <v>0</v>
      </c>
      <c r="V64" s="376">
        <v>0</v>
      </c>
      <c r="W64" s="22">
        <f t="shared" si="5"/>
        <v>0</v>
      </c>
      <c r="X64" s="22">
        <f t="shared" si="6"/>
        <v>4.25</v>
      </c>
      <c r="Y64" s="22">
        <v>3.25</v>
      </c>
      <c r="Z64" s="22">
        <v>1</v>
      </c>
      <c r="AA64" s="371">
        <v>41.4</v>
      </c>
      <c r="AB64" s="22">
        <v>0.10265700483091787</v>
      </c>
      <c r="AC64" s="24">
        <v>0</v>
      </c>
      <c r="AD64" s="384">
        <v>0</v>
      </c>
    </row>
    <row r="65" spans="1:30">
      <c r="A65" s="21" t="s">
        <v>445</v>
      </c>
      <c r="B65" s="21" t="s">
        <v>446</v>
      </c>
      <c r="C65" s="23">
        <v>136</v>
      </c>
      <c r="D65" s="147">
        <v>0</v>
      </c>
      <c r="E65" s="22">
        <v>24.27</v>
      </c>
      <c r="F65" s="22">
        <v>24.27</v>
      </c>
      <c r="G65" s="22">
        <v>0</v>
      </c>
      <c r="H65" s="22">
        <v>2</v>
      </c>
      <c r="I65" s="22">
        <v>0</v>
      </c>
      <c r="J65" s="22">
        <v>4.88</v>
      </c>
      <c r="K65" s="22">
        <v>0</v>
      </c>
      <c r="L65" s="22">
        <v>0</v>
      </c>
      <c r="M65" s="388">
        <v>411.88</v>
      </c>
      <c r="N65" s="25">
        <v>0.47520000000000001</v>
      </c>
      <c r="O65" s="24">
        <v>284</v>
      </c>
      <c r="P65" s="24">
        <v>5</v>
      </c>
      <c r="Q65" s="24">
        <v>4</v>
      </c>
      <c r="R65" s="22">
        <v>1</v>
      </c>
      <c r="S65" s="24">
        <v>0</v>
      </c>
      <c r="T65" s="24">
        <f t="shared" si="4"/>
        <v>5</v>
      </c>
      <c r="U65" s="376">
        <v>195.73</v>
      </c>
      <c r="V65" s="376">
        <v>20.59</v>
      </c>
      <c r="W65" s="22">
        <f t="shared" si="5"/>
        <v>93.010896000000002</v>
      </c>
      <c r="X65" s="22">
        <f t="shared" si="6"/>
        <v>73.25</v>
      </c>
      <c r="Y65" s="22">
        <v>66.75</v>
      </c>
      <c r="Z65" s="22">
        <v>6.5</v>
      </c>
      <c r="AA65" s="371">
        <v>407.35</v>
      </c>
      <c r="AB65" s="22">
        <v>0.17982079292991285</v>
      </c>
      <c r="AC65" s="24">
        <v>4.4820792929912839E-2</v>
      </c>
      <c r="AD65" s="384">
        <v>-188695.19059995314</v>
      </c>
    </row>
    <row r="66" spans="1:30">
      <c r="A66" s="21" t="s">
        <v>311</v>
      </c>
      <c r="B66" s="21" t="s">
        <v>312</v>
      </c>
      <c r="C66" s="23">
        <v>187</v>
      </c>
      <c r="D66" s="147">
        <v>23.83</v>
      </c>
      <c r="E66" s="22">
        <v>61.61</v>
      </c>
      <c r="F66" s="22">
        <v>85.44</v>
      </c>
      <c r="G66" s="22">
        <v>1.73</v>
      </c>
      <c r="H66" s="22">
        <v>4</v>
      </c>
      <c r="I66" s="22">
        <v>0.5</v>
      </c>
      <c r="J66" s="22">
        <v>14.760000000000002</v>
      </c>
      <c r="K66" s="22">
        <v>0</v>
      </c>
      <c r="L66" s="22">
        <v>0</v>
      </c>
      <c r="M66" s="388">
        <v>549.26</v>
      </c>
      <c r="N66" s="25">
        <v>0.55049999999999999</v>
      </c>
      <c r="O66" s="24">
        <v>250</v>
      </c>
      <c r="P66" s="24">
        <v>0</v>
      </c>
      <c r="Q66" s="24">
        <v>0</v>
      </c>
      <c r="R66" s="22">
        <v>0</v>
      </c>
      <c r="S66" s="24">
        <v>0</v>
      </c>
      <c r="T66" s="24">
        <f t="shared" si="4"/>
        <v>0</v>
      </c>
      <c r="U66" s="376">
        <v>302.37</v>
      </c>
      <c r="V66" s="376">
        <v>0</v>
      </c>
      <c r="W66" s="22">
        <f t="shared" si="5"/>
        <v>166.45468500000001</v>
      </c>
      <c r="X66" s="22">
        <f t="shared" si="6"/>
        <v>71.5</v>
      </c>
      <c r="Y66" s="22">
        <v>51.5</v>
      </c>
      <c r="Z66" s="22">
        <v>20</v>
      </c>
      <c r="AA66" s="371">
        <v>570.98</v>
      </c>
      <c r="AB66" s="22">
        <v>0.12522330029072823</v>
      </c>
      <c r="AC66" s="24">
        <v>0</v>
      </c>
      <c r="AD66" s="384">
        <v>0</v>
      </c>
    </row>
    <row r="67" spans="1:30">
      <c r="A67" s="21" t="s">
        <v>73</v>
      </c>
      <c r="B67" s="21" t="s">
        <v>74</v>
      </c>
      <c r="C67" s="23">
        <v>104</v>
      </c>
      <c r="D67" s="147">
        <v>13.22</v>
      </c>
      <c r="E67" s="22">
        <v>32.86</v>
      </c>
      <c r="F67" s="22">
        <v>46.08</v>
      </c>
      <c r="G67" s="22">
        <v>0</v>
      </c>
      <c r="H67" s="22">
        <v>5</v>
      </c>
      <c r="I67" s="22">
        <v>0.43</v>
      </c>
      <c r="J67" s="22">
        <v>0</v>
      </c>
      <c r="K67" s="22">
        <v>1.93</v>
      </c>
      <c r="L67" s="22">
        <v>7.0000000000000007E-2</v>
      </c>
      <c r="M67" s="388">
        <v>366.43</v>
      </c>
      <c r="N67" s="25">
        <v>0.53320000000000001</v>
      </c>
      <c r="O67" s="24">
        <v>363</v>
      </c>
      <c r="P67" s="24">
        <v>1.75</v>
      </c>
      <c r="Q67" s="24">
        <v>1.75</v>
      </c>
      <c r="R67" s="22">
        <v>0</v>
      </c>
      <c r="S67" s="24">
        <v>1</v>
      </c>
      <c r="T67" s="24">
        <f t="shared" si="4"/>
        <v>2.75</v>
      </c>
      <c r="U67" s="376">
        <v>195.38</v>
      </c>
      <c r="V67" s="376">
        <v>18.32</v>
      </c>
      <c r="W67" s="22">
        <f t="shared" si="5"/>
        <v>104.176616</v>
      </c>
      <c r="X67" s="22">
        <f t="shared" si="6"/>
        <v>47.5</v>
      </c>
      <c r="Y67" s="22">
        <v>35.5</v>
      </c>
      <c r="Z67" s="22">
        <v>12</v>
      </c>
      <c r="AA67" s="371">
        <v>356.89</v>
      </c>
      <c r="AB67" s="22">
        <v>0.13309423071534646</v>
      </c>
      <c r="AC67" s="24">
        <v>0</v>
      </c>
      <c r="AD67" s="384">
        <v>0</v>
      </c>
    </row>
    <row r="68" spans="1:30">
      <c r="A68" s="21" t="s">
        <v>475</v>
      </c>
      <c r="B68" s="21" t="s">
        <v>476</v>
      </c>
      <c r="C68" s="23">
        <v>557</v>
      </c>
      <c r="D68" s="147">
        <v>0</v>
      </c>
      <c r="E68" s="22">
        <v>111.04</v>
      </c>
      <c r="F68" s="22">
        <v>111.04</v>
      </c>
      <c r="G68" s="22">
        <v>0</v>
      </c>
      <c r="H68" s="22">
        <v>93</v>
      </c>
      <c r="I68" s="22">
        <v>6.53</v>
      </c>
      <c r="J68" s="22">
        <v>561.75</v>
      </c>
      <c r="K68" s="22">
        <v>4.5999999999999996</v>
      </c>
      <c r="L68" s="22">
        <v>0</v>
      </c>
      <c r="M68" s="388">
        <v>2561.8799999999997</v>
      </c>
      <c r="N68" s="25">
        <v>0.48470000000000002</v>
      </c>
      <c r="O68" s="24">
        <v>1331</v>
      </c>
      <c r="P68" s="24">
        <v>24.25</v>
      </c>
      <c r="Q68" s="24">
        <v>16.75</v>
      </c>
      <c r="R68" s="22">
        <v>7.5</v>
      </c>
      <c r="S68" s="24">
        <v>4.25</v>
      </c>
      <c r="T68" s="24">
        <f t="shared" si="4"/>
        <v>28.5</v>
      </c>
      <c r="U68" s="376">
        <v>1241.74</v>
      </c>
      <c r="V68" s="376">
        <v>128.09</v>
      </c>
      <c r="W68" s="22">
        <f t="shared" si="5"/>
        <v>601.87137800000005</v>
      </c>
      <c r="X68" s="22">
        <f t="shared" si="6"/>
        <v>285</v>
      </c>
      <c r="Y68" s="22">
        <v>180.75</v>
      </c>
      <c r="Z68" s="22">
        <v>104.25</v>
      </c>
      <c r="AA68" s="371">
        <v>2527.89</v>
      </c>
      <c r="AB68" s="22">
        <v>0.11274224748703465</v>
      </c>
      <c r="AC68" s="24">
        <v>0</v>
      </c>
      <c r="AD68" s="384">
        <v>0</v>
      </c>
    </row>
    <row r="69" spans="1:30">
      <c r="A69" s="21" t="s">
        <v>373</v>
      </c>
      <c r="B69" s="21" t="s">
        <v>374</v>
      </c>
      <c r="C69" s="23">
        <v>585</v>
      </c>
      <c r="D69" s="147">
        <v>29.72</v>
      </c>
      <c r="E69" s="22">
        <v>0</v>
      </c>
      <c r="F69" s="22">
        <v>29.72</v>
      </c>
      <c r="G69" s="22">
        <v>0</v>
      </c>
      <c r="H69" s="22">
        <v>0</v>
      </c>
      <c r="I69" s="22">
        <v>0</v>
      </c>
      <c r="J69" s="22">
        <v>0</v>
      </c>
      <c r="K69" s="22">
        <v>0</v>
      </c>
      <c r="L69" s="22">
        <v>0</v>
      </c>
      <c r="M69" s="388">
        <v>1443</v>
      </c>
      <c r="N69" s="25">
        <v>0.1739</v>
      </c>
      <c r="O69" s="24">
        <v>0</v>
      </c>
      <c r="P69" s="24">
        <v>56.5</v>
      </c>
      <c r="Q69" s="24">
        <v>48.75</v>
      </c>
      <c r="R69" s="22">
        <v>7.75</v>
      </c>
      <c r="S69" s="24">
        <v>37.75</v>
      </c>
      <c r="T69" s="24">
        <f t="shared" si="4"/>
        <v>94.25</v>
      </c>
      <c r="U69" s="376">
        <v>250.94</v>
      </c>
      <c r="V69" s="376">
        <v>72.150000000000006</v>
      </c>
      <c r="W69" s="22">
        <f t="shared" si="5"/>
        <v>43.638466000000001</v>
      </c>
      <c r="X69" s="22">
        <f t="shared" si="6"/>
        <v>155.25</v>
      </c>
      <c r="Y69" s="22">
        <v>82.5</v>
      </c>
      <c r="Z69" s="22">
        <v>72.75</v>
      </c>
      <c r="AA69" s="371">
        <v>1367.06</v>
      </c>
      <c r="AB69" s="22">
        <v>0.11356487645019239</v>
      </c>
      <c r="AC69" s="24">
        <v>0</v>
      </c>
      <c r="AD69" s="384">
        <v>0</v>
      </c>
    </row>
    <row r="70" spans="1:30">
      <c r="A70" s="21" t="s">
        <v>525</v>
      </c>
      <c r="B70" s="21" t="s">
        <v>526</v>
      </c>
      <c r="C70" s="23">
        <v>12</v>
      </c>
      <c r="D70" s="147">
        <v>0</v>
      </c>
      <c r="E70" s="22">
        <v>0</v>
      </c>
      <c r="F70" s="22">
        <v>0</v>
      </c>
      <c r="G70" s="22">
        <v>0</v>
      </c>
      <c r="H70" s="22">
        <v>0</v>
      </c>
      <c r="I70" s="22">
        <v>0</v>
      </c>
      <c r="J70" s="22">
        <v>0</v>
      </c>
      <c r="K70" s="22">
        <v>0</v>
      </c>
      <c r="L70" s="22">
        <v>0</v>
      </c>
      <c r="M70" s="388">
        <v>18</v>
      </c>
      <c r="N70" s="25">
        <v>1</v>
      </c>
      <c r="O70" s="24">
        <v>14</v>
      </c>
      <c r="P70" s="24">
        <v>0</v>
      </c>
      <c r="Q70" s="24">
        <v>0</v>
      </c>
      <c r="R70" s="22">
        <v>0</v>
      </c>
      <c r="S70" s="24">
        <v>0</v>
      </c>
      <c r="T70" s="24">
        <f t="shared" si="4"/>
        <v>0</v>
      </c>
      <c r="U70" s="376">
        <v>18</v>
      </c>
      <c r="V70" s="376">
        <v>0</v>
      </c>
      <c r="W70" s="22">
        <f t="shared" si="5"/>
        <v>18</v>
      </c>
      <c r="X70" s="22">
        <f t="shared" si="6"/>
        <v>2</v>
      </c>
      <c r="Y70" s="22">
        <v>2</v>
      </c>
      <c r="Z70" s="22">
        <v>0</v>
      </c>
      <c r="AA70" s="371">
        <v>17.600000000000001</v>
      </c>
      <c r="AB70" s="22">
        <v>0.11363636363636363</v>
      </c>
      <c r="AC70" s="24">
        <v>0</v>
      </c>
      <c r="AD70" s="384">
        <v>0</v>
      </c>
    </row>
    <row r="71" spans="1:30">
      <c r="A71" s="21" t="s">
        <v>469</v>
      </c>
      <c r="B71" s="21" t="s">
        <v>470</v>
      </c>
      <c r="C71" s="23">
        <v>1085</v>
      </c>
      <c r="D71" s="147">
        <v>30.59</v>
      </c>
      <c r="E71" s="22">
        <v>212.13</v>
      </c>
      <c r="F71" s="22">
        <v>242.72</v>
      </c>
      <c r="G71" s="22">
        <v>0</v>
      </c>
      <c r="H71" s="22">
        <v>78</v>
      </c>
      <c r="I71" s="22">
        <v>6.41</v>
      </c>
      <c r="J71" s="22">
        <v>289.70000000000005</v>
      </c>
      <c r="K71" s="22">
        <v>2.8</v>
      </c>
      <c r="L71" s="22">
        <v>0</v>
      </c>
      <c r="M71" s="388">
        <v>3708.91</v>
      </c>
      <c r="N71" s="25">
        <v>0.54749999999999999</v>
      </c>
      <c r="O71" s="24">
        <v>1895</v>
      </c>
      <c r="P71" s="24">
        <v>90.75</v>
      </c>
      <c r="Q71" s="24">
        <v>63</v>
      </c>
      <c r="R71" s="22">
        <v>27.75</v>
      </c>
      <c r="S71" s="24">
        <v>32</v>
      </c>
      <c r="T71" s="24">
        <f t="shared" si="4"/>
        <v>122.75</v>
      </c>
      <c r="U71" s="376">
        <v>2032.85</v>
      </c>
      <c r="V71" s="376">
        <v>185.45</v>
      </c>
      <c r="W71" s="22">
        <f t="shared" si="5"/>
        <v>1112.985375</v>
      </c>
      <c r="X71" s="22">
        <f t="shared" si="6"/>
        <v>536</v>
      </c>
      <c r="Y71" s="22">
        <v>303.25</v>
      </c>
      <c r="Z71" s="22">
        <v>232.75</v>
      </c>
      <c r="AA71" s="371">
        <v>3598.35</v>
      </c>
      <c r="AB71" s="22">
        <v>0.14895716092097766</v>
      </c>
      <c r="AC71" s="24">
        <v>1.3957160920977651E-2</v>
      </c>
      <c r="AD71" s="384">
        <v>-482164.21983431722</v>
      </c>
    </row>
    <row r="72" spans="1:30">
      <c r="A72" s="21" t="s">
        <v>587</v>
      </c>
      <c r="B72" s="21" t="s">
        <v>588</v>
      </c>
      <c r="C72" s="23">
        <v>987</v>
      </c>
      <c r="D72" s="147">
        <v>24.9</v>
      </c>
      <c r="E72" s="22">
        <v>181.58</v>
      </c>
      <c r="F72" s="22">
        <v>206.48000000000002</v>
      </c>
      <c r="G72" s="22">
        <v>0</v>
      </c>
      <c r="H72" s="22">
        <v>41</v>
      </c>
      <c r="I72" s="22">
        <v>3.28</v>
      </c>
      <c r="J72" s="22">
        <v>3.2</v>
      </c>
      <c r="K72" s="22">
        <v>14.2</v>
      </c>
      <c r="L72" s="22">
        <v>0</v>
      </c>
      <c r="M72" s="388">
        <v>3251.68</v>
      </c>
      <c r="N72" s="25">
        <v>0.58460000000000001</v>
      </c>
      <c r="O72" s="24">
        <v>3252</v>
      </c>
      <c r="P72" s="24">
        <v>343.75</v>
      </c>
      <c r="Q72" s="24">
        <v>249</v>
      </c>
      <c r="R72" s="22">
        <v>94.75</v>
      </c>
      <c r="S72" s="24">
        <v>80.5</v>
      </c>
      <c r="T72" s="24">
        <f t="shared" si="4"/>
        <v>424.25</v>
      </c>
      <c r="U72" s="376">
        <v>1900.93</v>
      </c>
      <c r="V72" s="376">
        <v>162.58000000000001</v>
      </c>
      <c r="W72" s="22">
        <f t="shared" si="5"/>
        <v>1111.283678</v>
      </c>
      <c r="X72" s="22">
        <f t="shared" si="6"/>
        <v>380</v>
      </c>
      <c r="Y72" s="22">
        <v>206.25</v>
      </c>
      <c r="Z72" s="22">
        <v>173.75</v>
      </c>
      <c r="AA72" s="371">
        <v>3311.05</v>
      </c>
      <c r="AB72" s="22">
        <v>0.11476721885806616</v>
      </c>
      <c r="AC72" s="24">
        <v>0</v>
      </c>
      <c r="AD72" s="384">
        <v>0</v>
      </c>
    </row>
    <row r="73" spans="1:30">
      <c r="A73" s="21" t="s">
        <v>95</v>
      </c>
      <c r="B73" s="21" t="s">
        <v>96</v>
      </c>
      <c r="C73" s="23">
        <v>1528</v>
      </c>
      <c r="D73" s="147">
        <v>131.41999999999999</v>
      </c>
      <c r="E73" s="22">
        <v>344.87</v>
      </c>
      <c r="F73" s="22">
        <v>476.28999999999996</v>
      </c>
      <c r="G73" s="22">
        <v>0</v>
      </c>
      <c r="H73" s="22">
        <v>160</v>
      </c>
      <c r="I73" s="22">
        <v>6.2</v>
      </c>
      <c r="J73" s="22">
        <v>205.97</v>
      </c>
      <c r="K73" s="22">
        <v>0</v>
      </c>
      <c r="L73" s="22">
        <v>0</v>
      </c>
      <c r="M73" s="388">
        <v>5832.17</v>
      </c>
      <c r="N73" s="25">
        <v>0.58520000000000005</v>
      </c>
      <c r="O73" s="24">
        <v>5343</v>
      </c>
      <c r="P73" s="24">
        <v>1040.5</v>
      </c>
      <c r="Q73" s="24">
        <v>680.5</v>
      </c>
      <c r="R73" s="22">
        <v>360</v>
      </c>
      <c r="S73" s="24">
        <v>243.75</v>
      </c>
      <c r="T73" s="24">
        <f t="shared" ref="T73:T136" si="7">S73+P73</f>
        <v>1284.25</v>
      </c>
      <c r="U73" s="376">
        <v>3412.99</v>
      </c>
      <c r="V73" s="376">
        <v>291.61</v>
      </c>
      <c r="W73" s="22">
        <f t="shared" ref="W73:W136" si="8">U73*N73</f>
        <v>1997.2817480000001</v>
      </c>
      <c r="X73" s="22">
        <f t="shared" ref="X73:X136" si="9">Y73+Z73</f>
        <v>658.25</v>
      </c>
      <c r="Y73" s="22">
        <v>460.75</v>
      </c>
      <c r="Z73" s="22">
        <v>197.5</v>
      </c>
      <c r="AA73" s="371">
        <v>5858.31</v>
      </c>
      <c r="AB73" s="22">
        <v>0.11236175620614135</v>
      </c>
      <c r="AC73" s="24">
        <v>0</v>
      </c>
      <c r="AD73" s="384">
        <v>0</v>
      </c>
    </row>
    <row r="74" spans="1:30">
      <c r="A74" s="21" t="s">
        <v>241</v>
      </c>
      <c r="B74" s="21" t="s">
        <v>242</v>
      </c>
      <c r="C74" s="23">
        <v>29</v>
      </c>
      <c r="D74" s="147">
        <v>0</v>
      </c>
      <c r="E74" s="22">
        <v>0</v>
      </c>
      <c r="F74" s="22">
        <v>0</v>
      </c>
      <c r="G74" s="22">
        <v>0</v>
      </c>
      <c r="H74" s="22">
        <v>3</v>
      </c>
      <c r="I74" s="22">
        <v>0</v>
      </c>
      <c r="J74" s="22">
        <v>0</v>
      </c>
      <c r="K74" s="22">
        <v>0</v>
      </c>
      <c r="L74" s="22">
        <v>0</v>
      </c>
      <c r="M74" s="388">
        <v>89</v>
      </c>
      <c r="N74" s="25">
        <v>0.74419999999999997</v>
      </c>
      <c r="O74" s="24">
        <v>86</v>
      </c>
      <c r="P74" s="24">
        <v>6</v>
      </c>
      <c r="Q74" s="24">
        <v>1</v>
      </c>
      <c r="R74" s="22">
        <v>5</v>
      </c>
      <c r="S74" s="24">
        <v>5</v>
      </c>
      <c r="T74" s="24">
        <f t="shared" si="7"/>
        <v>11</v>
      </c>
      <c r="U74" s="376">
        <v>66.23</v>
      </c>
      <c r="V74" s="376">
        <v>0</v>
      </c>
      <c r="W74" s="22">
        <f t="shared" si="8"/>
        <v>49.288366000000003</v>
      </c>
      <c r="X74" s="22">
        <f t="shared" si="9"/>
        <v>7.75</v>
      </c>
      <c r="Y74" s="22">
        <v>5.75</v>
      </c>
      <c r="Z74" s="22">
        <v>2</v>
      </c>
      <c r="AA74" s="371">
        <v>83.26</v>
      </c>
      <c r="AB74" s="22">
        <v>9.3081912082632709E-2</v>
      </c>
      <c r="AC74" s="24">
        <v>0</v>
      </c>
      <c r="AD74" s="384">
        <v>0</v>
      </c>
    </row>
    <row r="75" spans="1:30">
      <c r="A75" s="21" t="s">
        <v>385</v>
      </c>
      <c r="B75" s="21" t="s">
        <v>386</v>
      </c>
      <c r="C75" s="23">
        <v>536</v>
      </c>
      <c r="D75" s="147">
        <v>25.24</v>
      </c>
      <c r="E75" s="22">
        <v>131.85</v>
      </c>
      <c r="F75" s="22">
        <v>157.09</v>
      </c>
      <c r="G75" s="22">
        <v>0</v>
      </c>
      <c r="H75" s="22">
        <v>40</v>
      </c>
      <c r="I75" s="22">
        <v>2.38</v>
      </c>
      <c r="J75" s="22">
        <v>64.600000000000009</v>
      </c>
      <c r="K75" s="22">
        <v>24.4</v>
      </c>
      <c r="L75" s="22">
        <v>0</v>
      </c>
      <c r="M75" s="388">
        <v>1915.38</v>
      </c>
      <c r="N75" s="25">
        <v>0.41880000000000001</v>
      </c>
      <c r="O75" s="24">
        <v>200</v>
      </c>
      <c r="P75" s="24">
        <v>15.25</v>
      </c>
      <c r="Q75" s="24">
        <v>6.25</v>
      </c>
      <c r="R75" s="22">
        <v>9</v>
      </c>
      <c r="S75" s="24">
        <v>1</v>
      </c>
      <c r="T75" s="24">
        <f t="shared" si="7"/>
        <v>16.25</v>
      </c>
      <c r="U75" s="376">
        <v>802.16</v>
      </c>
      <c r="V75" s="376">
        <v>95.77</v>
      </c>
      <c r="W75" s="22">
        <f t="shared" si="8"/>
        <v>335.94460800000002</v>
      </c>
      <c r="X75" s="22">
        <f t="shared" si="9"/>
        <v>211</v>
      </c>
      <c r="Y75" s="22">
        <v>132</v>
      </c>
      <c r="Z75" s="22">
        <v>79</v>
      </c>
      <c r="AA75" s="371">
        <v>1937.62</v>
      </c>
      <c r="AB75" s="22">
        <v>0.10889648125019354</v>
      </c>
      <c r="AC75" s="24">
        <v>0</v>
      </c>
      <c r="AD75" s="384">
        <v>0</v>
      </c>
    </row>
    <row r="76" spans="1:30">
      <c r="A76" s="21" t="s">
        <v>429</v>
      </c>
      <c r="B76" s="21" t="s">
        <v>430</v>
      </c>
      <c r="C76" s="23">
        <v>6459</v>
      </c>
      <c r="D76" s="147">
        <v>113.59</v>
      </c>
      <c r="E76" s="22">
        <v>925.87</v>
      </c>
      <c r="F76" s="22">
        <v>1039.46</v>
      </c>
      <c r="G76" s="22">
        <v>0</v>
      </c>
      <c r="H76" s="22">
        <v>500</v>
      </c>
      <c r="I76" s="22">
        <v>41.34</v>
      </c>
      <c r="J76" s="22">
        <v>884.1400000000001</v>
      </c>
      <c r="K76" s="22">
        <v>115.72</v>
      </c>
      <c r="L76" s="22">
        <v>0</v>
      </c>
      <c r="M76" s="388">
        <v>21255.200000000001</v>
      </c>
      <c r="N76" s="25">
        <v>0.36670000000000003</v>
      </c>
      <c r="O76" s="24">
        <v>2228</v>
      </c>
      <c r="P76" s="24">
        <v>3298</v>
      </c>
      <c r="Q76" s="24">
        <v>2127.25</v>
      </c>
      <c r="R76" s="22">
        <v>1170.75</v>
      </c>
      <c r="S76" s="24">
        <v>488.25</v>
      </c>
      <c r="T76" s="24">
        <f t="shared" si="7"/>
        <v>3786.25</v>
      </c>
      <c r="U76" s="376">
        <v>7794.28</v>
      </c>
      <c r="V76" s="376">
        <v>1062.76</v>
      </c>
      <c r="W76" s="22">
        <f t="shared" si="8"/>
        <v>2858.162476</v>
      </c>
      <c r="X76" s="22">
        <f t="shared" si="9"/>
        <v>2726.75</v>
      </c>
      <c r="Y76" s="22">
        <v>1427</v>
      </c>
      <c r="Z76" s="22">
        <v>1299.75</v>
      </c>
      <c r="AA76" s="371">
        <v>20082.439999999999</v>
      </c>
      <c r="AB76" s="22">
        <v>0.13577782381025413</v>
      </c>
      <c r="AC76" s="24">
        <v>7.7782381025412461E-4</v>
      </c>
      <c r="AD76" s="384">
        <v>-166262.82759367928</v>
      </c>
    </row>
    <row r="77" spans="1:30">
      <c r="A77" s="21" t="s">
        <v>245</v>
      </c>
      <c r="B77" s="21" t="s">
        <v>246</v>
      </c>
      <c r="C77" s="23">
        <v>908</v>
      </c>
      <c r="D77" s="147">
        <v>27.46</v>
      </c>
      <c r="E77" s="22">
        <v>199.46</v>
      </c>
      <c r="F77" s="22">
        <v>226.92000000000002</v>
      </c>
      <c r="G77" s="22">
        <v>0</v>
      </c>
      <c r="H77" s="22">
        <v>132</v>
      </c>
      <c r="I77" s="22">
        <v>0.54</v>
      </c>
      <c r="J77" s="22">
        <v>89.78</v>
      </c>
      <c r="K77" s="22">
        <v>2.2000000000000002</v>
      </c>
      <c r="L77" s="22">
        <v>0</v>
      </c>
      <c r="M77" s="388">
        <v>3199.52</v>
      </c>
      <c r="N77" s="25">
        <v>0.40739999999999998</v>
      </c>
      <c r="O77" s="24">
        <v>533</v>
      </c>
      <c r="P77" s="24">
        <v>218.5</v>
      </c>
      <c r="Q77" s="24">
        <v>148</v>
      </c>
      <c r="R77" s="22">
        <v>70.5</v>
      </c>
      <c r="S77" s="24">
        <v>38</v>
      </c>
      <c r="T77" s="24">
        <f t="shared" si="7"/>
        <v>256.5</v>
      </c>
      <c r="U77" s="376">
        <v>1303.8</v>
      </c>
      <c r="V77" s="376">
        <v>159.97999999999999</v>
      </c>
      <c r="W77" s="22">
        <f t="shared" si="8"/>
        <v>531.16811999999993</v>
      </c>
      <c r="X77" s="22">
        <f t="shared" si="9"/>
        <v>384.25</v>
      </c>
      <c r="Y77" s="22">
        <v>251.75</v>
      </c>
      <c r="Z77" s="22">
        <v>132.5</v>
      </c>
      <c r="AA77" s="371">
        <v>3234.11</v>
      </c>
      <c r="AB77" s="22">
        <v>0.11881166688826292</v>
      </c>
      <c r="AC77" s="24">
        <v>0</v>
      </c>
      <c r="AD77" s="384">
        <v>0</v>
      </c>
    </row>
    <row r="78" spans="1:30">
      <c r="A78" s="21" t="s">
        <v>151</v>
      </c>
      <c r="B78" s="21" t="s">
        <v>152</v>
      </c>
      <c r="C78" s="23">
        <v>403</v>
      </c>
      <c r="D78" s="147">
        <v>69.92</v>
      </c>
      <c r="E78" s="22">
        <v>191.86</v>
      </c>
      <c r="F78" s="22">
        <v>261.78000000000003</v>
      </c>
      <c r="G78" s="22">
        <v>0</v>
      </c>
      <c r="H78" s="22">
        <v>49</v>
      </c>
      <c r="I78" s="22">
        <v>1.02</v>
      </c>
      <c r="J78" s="22">
        <v>69.36</v>
      </c>
      <c r="K78" s="22">
        <v>38.4</v>
      </c>
      <c r="L78" s="22">
        <v>0</v>
      </c>
      <c r="M78" s="388">
        <v>1662.78</v>
      </c>
      <c r="N78" s="25">
        <v>0.77259999999999995</v>
      </c>
      <c r="O78" s="24">
        <v>1561</v>
      </c>
      <c r="P78" s="24">
        <v>121.5</v>
      </c>
      <c r="Q78" s="24">
        <v>81.25</v>
      </c>
      <c r="R78" s="22">
        <v>40.25</v>
      </c>
      <c r="S78" s="24">
        <v>19</v>
      </c>
      <c r="T78" s="24">
        <f t="shared" si="7"/>
        <v>140.5</v>
      </c>
      <c r="U78" s="376">
        <v>1283.83</v>
      </c>
      <c r="V78" s="376">
        <v>83.14</v>
      </c>
      <c r="W78" s="22">
        <f t="shared" si="8"/>
        <v>991.88705799999991</v>
      </c>
      <c r="X78" s="22">
        <f t="shared" si="9"/>
        <v>268.25</v>
      </c>
      <c r="Y78" s="22">
        <v>116</v>
      </c>
      <c r="Z78" s="22">
        <v>152.25</v>
      </c>
      <c r="AA78" s="371">
        <v>1567.5</v>
      </c>
      <c r="AB78" s="22">
        <v>0.1711323763955343</v>
      </c>
      <c r="AC78" s="24">
        <v>3.6132376395534294E-2</v>
      </c>
      <c r="AD78" s="384">
        <v>-535204.19958886958</v>
      </c>
    </row>
    <row r="79" spans="1:30">
      <c r="A79" s="21" t="s">
        <v>573</v>
      </c>
      <c r="B79" s="21" t="s">
        <v>574</v>
      </c>
      <c r="C79" s="23">
        <v>22</v>
      </c>
      <c r="D79" s="147">
        <v>0</v>
      </c>
      <c r="E79" s="22">
        <v>0</v>
      </c>
      <c r="F79" s="22">
        <v>0</v>
      </c>
      <c r="G79" s="22">
        <v>0</v>
      </c>
      <c r="H79" s="22">
        <v>0</v>
      </c>
      <c r="I79" s="22">
        <v>0</v>
      </c>
      <c r="J79" s="22">
        <v>0</v>
      </c>
      <c r="K79" s="22">
        <v>0</v>
      </c>
      <c r="L79" s="22">
        <v>0</v>
      </c>
      <c r="M79" s="388">
        <v>82</v>
      </c>
      <c r="N79" s="25">
        <v>0.59379999999999999</v>
      </c>
      <c r="O79" s="24">
        <v>80</v>
      </c>
      <c r="P79" s="24">
        <v>0</v>
      </c>
      <c r="Q79" s="24">
        <v>0</v>
      </c>
      <c r="R79" s="22">
        <v>0</v>
      </c>
      <c r="S79" s="24">
        <v>0</v>
      </c>
      <c r="T79" s="24">
        <f t="shared" si="7"/>
        <v>0</v>
      </c>
      <c r="U79" s="376">
        <v>48.69</v>
      </c>
      <c r="V79" s="376">
        <v>4.0999999999999996</v>
      </c>
      <c r="W79" s="22">
        <f t="shared" si="8"/>
        <v>28.912122</v>
      </c>
      <c r="X79" s="22">
        <f t="shared" si="9"/>
        <v>9.25</v>
      </c>
      <c r="Y79" s="22">
        <v>5.25</v>
      </c>
      <c r="Z79" s="22">
        <v>4</v>
      </c>
      <c r="AA79" s="371">
        <v>74.67</v>
      </c>
      <c r="AB79" s="22">
        <v>0.12387839828579081</v>
      </c>
      <c r="AC79" s="24">
        <v>0</v>
      </c>
      <c r="AD79" s="384">
        <v>0</v>
      </c>
    </row>
    <row r="80" spans="1:30">
      <c r="A80" s="21" t="s">
        <v>33</v>
      </c>
      <c r="B80" s="21" t="s">
        <v>34</v>
      </c>
      <c r="C80" s="23">
        <v>86</v>
      </c>
      <c r="D80" s="147">
        <v>0</v>
      </c>
      <c r="E80" s="22">
        <v>0</v>
      </c>
      <c r="F80" s="22">
        <v>0</v>
      </c>
      <c r="G80" s="22">
        <v>0</v>
      </c>
      <c r="H80" s="22">
        <v>15</v>
      </c>
      <c r="I80" s="22">
        <v>0.65</v>
      </c>
      <c r="J80" s="22">
        <v>0</v>
      </c>
      <c r="K80" s="22">
        <v>0</v>
      </c>
      <c r="L80" s="22">
        <v>0</v>
      </c>
      <c r="M80" s="388">
        <v>311.64999999999998</v>
      </c>
      <c r="N80" s="25">
        <v>0.64759999999999995</v>
      </c>
      <c r="O80" s="24">
        <v>313</v>
      </c>
      <c r="P80" s="24">
        <v>50.75</v>
      </c>
      <c r="Q80" s="24">
        <v>29.5</v>
      </c>
      <c r="R80" s="22">
        <v>21.25</v>
      </c>
      <c r="S80" s="24">
        <v>6</v>
      </c>
      <c r="T80" s="24">
        <f t="shared" si="7"/>
        <v>56.75</v>
      </c>
      <c r="U80" s="376">
        <v>201.82</v>
      </c>
      <c r="V80" s="376">
        <v>15.58</v>
      </c>
      <c r="W80" s="22">
        <f t="shared" si="8"/>
        <v>130.69863199999998</v>
      </c>
      <c r="X80" s="22">
        <f t="shared" si="9"/>
        <v>36.25</v>
      </c>
      <c r="Y80" s="22">
        <v>31.25</v>
      </c>
      <c r="Z80" s="22">
        <v>5</v>
      </c>
      <c r="AA80" s="371">
        <v>316.87</v>
      </c>
      <c r="AB80" s="22">
        <v>0.11440022722252027</v>
      </c>
      <c r="AC80" s="24">
        <v>0</v>
      </c>
      <c r="AD80" s="384">
        <v>0</v>
      </c>
    </row>
    <row r="81" spans="1:30">
      <c r="A81" s="21" t="s">
        <v>187</v>
      </c>
      <c r="B81" s="21" t="s">
        <v>188</v>
      </c>
      <c r="C81" s="23">
        <v>1496</v>
      </c>
      <c r="D81" s="147">
        <v>24.11</v>
      </c>
      <c r="E81" s="22">
        <v>418.76</v>
      </c>
      <c r="F81" s="22">
        <v>442.87</v>
      </c>
      <c r="G81" s="22">
        <v>0</v>
      </c>
      <c r="H81" s="22">
        <v>110</v>
      </c>
      <c r="I81" s="22">
        <v>5.31</v>
      </c>
      <c r="J81" s="22">
        <v>0</v>
      </c>
      <c r="K81" s="22">
        <v>8.1999999999999993</v>
      </c>
      <c r="L81" s="22">
        <v>0</v>
      </c>
      <c r="M81" s="388">
        <v>4830.51</v>
      </c>
      <c r="N81" s="25">
        <v>0.29820000000000002</v>
      </c>
      <c r="O81" s="24">
        <v>10</v>
      </c>
      <c r="P81" s="24">
        <v>277.5</v>
      </c>
      <c r="Q81" s="24">
        <v>191.25</v>
      </c>
      <c r="R81" s="22">
        <v>86.25</v>
      </c>
      <c r="S81" s="24">
        <v>51.25</v>
      </c>
      <c r="T81" s="24">
        <f t="shared" si="7"/>
        <v>328.75</v>
      </c>
      <c r="U81" s="376">
        <v>1440.46</v>
      </c>
      <c r="V81" s="376">
        <v>241.53</v>
      </c>
      <c r="W81" s="22">
        <f t="shared" si="8"/>
        <v>429.54517200000004</v>
      </c>
      <c r="X81" s="22">
        <f t="shared" si="9"/>
        <v>594.5</v>
      </c>
      <c r="Y81" s="22">
        <v>346.75</v>
      </c>
      <c r="Z81" s="22">
        <v>247.75</v>
      </c>
      <c r="AA81" s="371">
        <v>4073.36</v>
      </c>
      <c r="AB81" s="22">
        <v>0.14594830803071665</v>
      </c>
      <c r="AC81" s="24">
        <v>1.0948308030716641E-2</v>
      </c>
      <c r="AD81" s="384">
        <v>-466138.49830152676</v>
      </c>
    </row>
    <row r="82" spans="1:30">
      <c r="A82" s="21" t="s">
        <v>135</v>
      </c>
      <c r="B82" s="21" t="s">
        <v>136</v>
      </c>
      <c r="C82" s="23">
        <v>739</v>
      </c>
      <c r="D82" s="147">
        <v>40.92</v>
      </c>
      <c r="E82" s="22">
        <v>205.02</v>
      </c>
      <c r="F82" s="22">
        <v>245.94</v>
      </c>
      <c r="G82" s="22">
        <v>0</v>
      </c>
      <c r="H82" s="22">
        <v>55</v>
      </c>
      <c r="I82" s="22">
        <v>3.64</v>
      </c>
      <c r="J82" s="22">
        <v>4.9800000000000004</v>
      </c>
      <c r="K82" s="22">
        <v>12.4</v>
      </c>
      <c r="L82" s="22">
        <v>0</v>
      </c>
      <c r="M82" s="388">
        <v>2585.02</v>
      </c>
      <c r="N82" s="25">
        <v>0.56030000000000002</v>
      </c>
      <c r="O82" s="24">
        <v>1779</v>
      </c>
      <c r="P82" s="24">
        <v>359.5</v>
      </c>
      <c r="Q82" s="24">
        <v>224.75</v>
      </c>
      <c r="R82" s="22">
        <v>134.75</v>
      </c>
      <c r="S82" s="24">
        <v>61</v>
      </c>
      <c r="T82" s="24">
        <f t="shared" si="7"/>
        <v>420.5</v>
      </c>
      <c r="U82" s="376">
        <v>1448.39</v>
      </c>
      <c r="V82" s="376">
        <v>0</v>
      </c>
      <c r="W82" s="22">
        <f t="shared" si="8"/>
        <v>811.53291700000011</v>
      </c>
      <c r="X82" s="22">
        <f t="shared" si="9"/>
        <v>332</v>
      </c>
      <c r="Y82" s="22">
        <v>239.5</v>
      </c>
      <c r="Z82" s="22">
        <v>92.5</v>
      </c>
      <c r="AA82" s="371">
        <v>2597.35</v>
      </c>
      <c r="AB82" s="22">
        <v>0.12782258840741526</v>
      </c>
      <c r="AC82" s="24">
        <v>0</v>
      </c>
      <c r="AD82" s="384">
        <v>0</v>
      </c>
    </row>
    <row r="83" spans="1:30">
      <c r="A83" s="21" t="s">
        <v>273</v>
      </c>
      <c r="B83" s="21" t="s">
        <v>274</v>
      </c>
      <c r="C83" s="23">
        <v>34</v>
      </c>
      <c r="D83" s="147">
        <v>0</v>
      </c>
      <c r="E83" s="22">
        <v>0</v>
      </c>
      <c r="F83" s="22">
        <v>0</v>
      </c>
      <c r="G83" s="22">
        <v>0</v>
      </c>
      <c r="H83" s="22">
        <v>0</v>
      </c>
      <c r="I83" s="22">
        <v>0</v>
      </c>
      <c r="J83" s="22">
        <v>0</v>
      </c>
      <c r="K83" s="22">
        <v>0</v>
      </c>
      <c r="L83" s="22">
        <v>0</v>
      </c>
      <c r="M83" s="388">
        <v>61</v>
      </c>
      <c r="N83" s="25">
        <v>0.6038</v>
      </c>
      <c r="O83" s="24">
        <v>47</v>
      </c>
      <c r="P83" s="24">
        <v>2</v>
      </c>
      <c r="Q83" s="24">
        <v>2</v>
      </c>
      <c r="R83" s="22">
        <v>0</v>
      </c>
      <c r="S83" s="24">
        <v>1.75</v>
      </c>
      <c r="T83" s="24">
        <f t="shared" si="7"/>
        <v>3.75</v>
      </c>
      <c r="U83" s="376">
        <v>36.83</v>
      </c>
      <c r="V83" s="376">
        <v>3.05</v>
      </c>
      <c r="W83" s="22">
        <f t="shared" si="8"/>
        <v>22.237953999999998</v>
      </c>
      <c r="X83" s="22">
        <f t="shared" si="9"/>
        <v>6</v>
      </c>
      <c r="Y83" s="22">
        <v>5</v>
      </c>
      <c r="Z83" s="22">
        <v>1</v>
      </c>
      <c r="AA83" s="371">
        <v>46</v>
      </c>
      <c r="AB83" s="22">
        <v>0.13043478260869565</v>
      </c>
      <c r="AC83" s="24">
        <v>0</v>
      </c>
      <c r="AD83" s="384">
        <v>0</v>
      </c>
    </row>
    <row r="84" spans="1:30">
      <c r="A84" s="21" t="s">
        <v>423</v>
      </c>
      <c r="B84" s="21" t="s">
        <v>424</v>
      </c>
      <c r="C84" s="23">
        <v>6559</v>
      </c>
      <c r="D84" s="147">
        <v>416.83</v>
      </c>
      <c r="E84" s="22">
        <v>1098.77</v>
      </c>
      <c r="F84" s="22">
        <v>1515.6</v>
      </c>
      <c r="G84" s="22">
        <v>0</v>
      </c>
      <c r="H84" s="22">
        <v>313</v>
      </c>
      <c r="I84" s="22">
        <v>17.16</v>
      </c>
      <c r="J84" s="22">
        <v>255.17000000000002</v>
      </c>
      <c r="K84" s="22">
        <v>114.4</v>
      </c>
      <c r="L84" s="22">
        <v>0</v>
      </c>
      <c r="M84" s="388">
        <v>19939.73</v>
      </c>
      <c r="N84" s="25">
        <v>0.38479999999999998</v>
      </c>
      <c r="O84" s="24">
        <v>7753</v>
      </c>
      <c r="P84" s="24">
        <v>3154.25</v>
      </c>
      <c r="Q84" s="24">
        <v>2337.5</v>
      </c>
      <c r="R84" s="22">
        <v>816.75</v>
      </c>
      <c r="S84" s="24">
        <v>751.75</v>
      </c>
      <c r="T84" s="24">
        <f t="shared" si="7"/>
        <v>3906</v>
      </c>
      <c r="U84" s="376">
        <v>7605.01</v>
      </c>
      <c r="V84" s="376">
        <v>996.99</v>
      </c>
      <c r="W84" s="22">
        <f t="shared" si="8"/>
        <v>2926.4078479999998</v>
      </c>
      <c r="X84" s="22">
        <f t="shared" si="9"/>
        <v>2405.5</v>
      </c>
      <c r="Y84" s="22">
        <v>1133.25</v>
      </c>
      <c r="Z84" s="22">
        <v>1272.25</v>
      </c>
      <c r="AA84" s="371">
        <v>19847.490000000002</v>
      </c>
      <c r="AB84" s="22">
        <v>0.12119920453417535</v>
      </c>
      <c r="AC84" s="24">
        <v>0</v>
      </c>
      <c r="AD84" s="384">
        <v>0</v>
      </c>
    </row>
    <row r="85" spans="1:30">
      <c r="A85" s="21" t="s">
        <v>65</v>
      </c>
      <c r="B85" s="21" t="s">
        <v>66</v>
      </c>
      <c r="C85" s="23">
        <v>6526</v>
      </c>
      <c r="D85" s="147">
        <v>213.52</v>
      </c>
      <c r="E85" s="22">
        <v>2172.5300000000002</v>
      </c>
      <c r="F85" s="22">
        <v>2386.0500000000002</v>
      </c>
      <c r="G85" s="22">
        <v>561.57000000000005</v>
      </c>
      <c r="H85" s="22">
        <v>450</v>
      </c>
      <c r="I85" s="22">
        <v>4.8099999999999996</v>
      </c>
      <c r="J85" s="22">
        <v>632.16</v>
      </c>
      <c r="K85" s="22">
        <v>72.8</v>
      </c>
      <c r="L85" s="22">
        <v>0</v>
      </c>
      <c r="M85" s="388">
        <v>23932.77</v>
      </c>
      <c r="N85" s="25">
        <v>0.53939999999999999</v>
      </c>
      <c r="O85" s="24">
        <v>13327</v>
      </c>
      <c r="P85" s="24">
        <v>3283.25</v>
      </c>
      <c r="Q85" s="24">
        <v>2124.5</v>
      </c>
      <c r="R85" s="22">
        <v>1158.75</v>
      </c>
      <c r="S85" s="24">
        <v>606.25</v>
      </c>
      <c r="T85" s="24">
        <f t="shared" si="7"/>
        <v>3889.5</v>
      </c>
      <c r="U85" s="376">
        <v>12866.26</v>
      </c>
      <c r="V85" s="376">
        <v>1196.6400000000001</v>
      </c>
      <c r="W85" s="22">
        <f t="shared" si="8"/>
        <v>6940.0606440000001</v>
      </c>
      <c r="X85" s="22">
        <f t="shared" si="9"/>
        <v>3096.5</v>
      </c>
      <c r="Y85" s="22">
        <v>2420.75</v>
      </c>
      <c r="Z85" s="22">
        <v>675.75</v>
      </c>
      <c r="AA85" s="371">
        <v>22566.85</v>
      </c>
      <c r="AB85" s="22">
        <v>0.13721454257018592</v>
      </c>
      <c r="AC85" s="24">
        <v>2.2145425701859123E-3</v>
      </c>
      <c r="AD85" s="384">
        <v>-488451.5083511445</v>
      </c>
    </row>
    <row r="86" spans="1:30">
      <c r="A86" s="21" t="s">
        <v>497</v>
      </c>
      <c r="B86" s="21" t="s">
        <v>498</v>
      </c>
      <c r="C86" s="23">
        <v>17</v>
      </c>
      <c r="D86" s="147">
        <v>0</v>
      </c>
      <c r="E86" s="22">
        <v>0</v>
      </c>
      <c r="F86" s="22">
        <v>0</v>
      </c>
      <c r="G86" s="22">
        <v>0</v>
      </c>
      <c r="H86" s="22">
        <v>0</v>
      </c>
      <c r="I86" s="22">
        <v>0</v>
      </c>
      <c r="J86" s="22">
        <v>0</v>
      </c>
      <c r="K86" s="22">
        <v>0</v>
      </c>
      <c r="L86" s="22">
        <v>0</v>
      </c>
      <c r="M86" s="388">
        <v>32</v>
      </c>
      <c r="N86" s="25">
        <v>0.83330000000000004</v>
      </c>
      <c r="O86" s="24">
        <v>24</v>
      </c>
      <c r="P86" s="24">
        <v>0</v>
      </c>
      <c r="Q86" s="24">
        <v>0</v>
      </c>
      <c r="R86" s="22">
        <v>0</v>
      </c>
      <c r="S86" s="24">
        <v>0</v>
      </c>
      <c r="T86" s="24">
        <f t="shared" si="7"/>
        <v>0</v>
      </c>
      <c r="U86" s="376">
        <v>26.67</v>
      </c>
      <c r="V86" s="376">
        <v>1.6</v>
      </c>
      <c r="W86" s="22">
        <f t="shared" si="8"/>
        <v>22.224111000000004</v>
      </c>
      <c r="X86" s="22">
        <f t="shared" si="9"/>
        <v>1</v>
      </c>
      <c r="Y86" s="22">
        <v>1</v>
      </c>
      <c r="Z86" s="22">
        <v>0</v>
      </c>
      <c r="AA86" s="371">
        <v>25.8</v>
      </c>
      <c r="AB86" s="22">
        <v>3.875968992248062E-2</v>
      </c>
      <c r="AC86" s="24">
        <v>0</v>
      </c>
      <c r="AD86" s="384">
        <v>0</v>
      </c>
    </row>
    <row r="87" spans="1:30">
      <c r="A87" s="21" t="s">
        <v>185</v>
      </c>
      <c r="B87" s="21" t="s">
        <v>186</v>
      </c>
      <c r="C87" s="23">
        <v>6510</v>
      </c>
      <c r="D87" s="147">
        <v>89.12</v>
      </c>
      <c r="E87" s="22">
        <v>1275.18</v>
      </c>
      <c r="F87" s="22">
        <v>1364.3000000000002</v>
      </c>
      <c r="G87" s="22">
        <v>0</v>
      </c>
      <c r="H87" s="22">
        <v>675</v>
      </c>
      <c r="I87" s="22">
        <v>47.73</v>
      </c>
      <c r="J87" s="22">
        <v>829.95</v>
      </c>
      <c r="K87" s="22">
        <v>120.12</v>
      </c>
      <c r="L87" s="22">
        <v>0</v>
      </c>
      <c r="M87" s="388">
        <v>22389.8</v>
      </c>
      <c r="N87" s="25">
        <v>0.65649999999999997</v>
      </c>
      <c r="O87" s="24">
        <v>18830</v>
      </c>
      <c r="P87" s="24">
        <v>5052.25</v>
      </c>
      <c r="Q87" s="24">
        <v>3239.75</v>
      </c>
      <c r="R87" s="22">
        <v>1812.5</v>
      </c>
      <c r="S87" s="24">
        <v>656.75</v>
      </c>
      <c r="T87" s="24">
        <f t="shared" si="7"/>
        <v>5709</v>
      </c>
      <c r="U87" s="376">
        <v>13991.39</v>
      </c>
      <c r="V87" s="376">
        <v>1119.49</v>
      </c>
      <c r="W87" s="22">
        <f t="shared" si="8"/>
        <v>9185.347534999999</v>
      </c>
      <c r="X87" s="22">
        <f t="shared" si="9"/>
        <v>2656</v>
      </c>
      <c r="Y87" s="22">
        <v>1323.5</v>
      </c>
      <c r="Z87" s="22">
        <v>1332.5</v>
      </c>
      <c r="AA87" s="371">
        <v>20545.96</v>
      </c>
      <c r="AB87" s="22">
        <v>0.12927115598395014</v>
      </c>
      <c r="AC87" s="24">
        <v>0</v>
      </c>
      <c r="AD87" s="384">
        <v>0</v>
      </c>
    </row>
    <row r="88" spans="1:30">
      <c r="A88" s="21" t="s">
        <v>541</v>
      </c>
      <c r="B88" s="21" t="s">
        <v>542</v>
      </c>
      <c r="C88" s="23">
        <v>1423</v>
      </c>
      <c r="D88" s="147">
        <v>17.98</v>
      </c>
      <c r="E88" s="22">
        <v>252.22</v>
      </c>
      <c r="F88" s="22">
        <v>270.2</v>
      </c>
      <c r="G88" s="22">
        <v>0</v>
      </c>
      <c r="H88" s="22">
        <v>148</v>
      </c>
      <c r="I88" s="22">
        <v>17.37</v>
      </c>
      <c r="J88" s="22">
        <v>97.02000000000001</v>
      </c>
      <c r="K88" s="22">
        <v>36.659999999999997</v>
      </c>
      <c r="L88" s="22">
        <v>3.14</v>
      </c>
      <c r="M88" s="388">
        <v>4797.1900000000005</v>
      </c>
      <c r="N88" s="25">
        <v>0.48709999999999998</v>
      </c>
      <c r="O88" s="24">
        <v>1681</v>
      </c>
      <c r="P88" s="24">
        <v>336</v>
      </c>
      <c r="Q88" s="24">
        <v>223</v>
      </c>
      <c r="R88" s="22">
        <v>113</v>
      </c>
      <c r="S88" s="24">
        <v>57.25</v>
      </c>
      <c r="T88" s="24">
        <f t="shared" si="7"/>
        <v>393.25</v>
      </c>
      <c r="U88" s="376">
        <v>2335.27</v>
      </c>
      <c r="V88" s="376">
        <v>239.86</v>
      </c>
      <c r="W88" s="22">
        <f t="shared" si="8"/>
        <v>1137.5100169999998</v>
      </c>
      <c r="X88" s="22">
        <f t="shared" si="9"/>
        <v>611.5</v>
      </c>
      <c r="Y88" s="22">
        <v>348.75</v>
      </c>
      <c r="Z88" s="22">
        <v>262.75</v>
      </c>
      <c r="AA88" s="371">
        <v>4378.47</v>
      </c>
      <c r="AB88" s="22">
        <v>0.13966065771833538</v>
      </c>
      <c r="AC88" s="24">
        <v>4.6606577183353759E-3</v>
      </c>
      <c r="AD88" s="384">
        <v>-203900.39717679052</v>
      </c>
    </row>
    <row r="89" spans="1:30">
      <c r="A89" s="21" t="s">
        <v>389</v>
      </c>
      <c r="B89" s="21" t="s">
        <v>390</v>
      </c>
      <c r="C89" s="23">
        <v>1152</v>
      </c>
      <c r="D89" s="147">
        <v>47.73</v>
      </c>
      <c r="E89" s="22">
        <v>315.07</v>
      </c>
      <c r="F89" s="22">
        <v>362.8</v>
      </c>
      <c r="G89" s="22">
        <v>0</v>
      </c>
      <c r="H89" s="22">
        <v>54</v>
      </c>
      <c r="I89" s="22">
        <v>2.36</v>
      </c>
      <c r="J89" s="22">
        <v>6.89</v>
      </c>
      <c r="K89" s="22">
        <v>17.760000000000002</v>
      </c>
      <c r="L89" s="22">
        <v>0</v>
      </c>
      <c r="M89" s="388">
        <v>3791.01</v>
      </c>
      <c r="N89" s="25">
        <v>0.45729999999999998</v>
      </c>
      <c r="O89" s="24">
        <v>841</v>
      </c>
      <c r="P89" s="24">
        <v>518</v>
      </c>
      <c r="Q89" s="24">
        <v>355.5</v>
      </c>
      <c r="R89" s="22">
        <v>162.5</v>
      </c>
      <c r="S89" s="24">
        <v>106.5</v>
      </c>
      <c r="T89" s="24">
        <f t="shared" si="7"/>
        <v>624.5</v>
      </c>
      <c r="U89" s="376">
        <v>1733.63</v>
      </c>
      <c r="V89" s="376">
        <v>189.55</v>
      </c>
      <c r="W89" s="22">
        <f t="shared" si="8"/>
        <v>792.78899899999999</v>
      </c>
      <c r="X89" s="22">
        <f t="shared" si="9"/>
        <v>389</v>
      </c>
      <c r="Y89" s="22">
        <v>178.25</v>
      </c>
      <c r="Z89" s="22">
        <v>210.75</v>
      </c>
      <c r="AA89" s="371">
        <v>3719.9</v>
      </c>
      <c r="AB89" s="22">
        <v>0.1045727035673002</v>
      </c>
      <c r="AC89" s="24">
        <v>0</v>
      </c>
      <c r="AD89" s="384">
        <v>0</v>
      </c>
    </row>
    <row r="90" spans="1:30">
      <c r="A90" s="21" t="s">
        <v>23</v>
      </c>
      <c r="B90" s="21" t="s">
        <v>24</v>
      </c>
      <c r="C90" s="23">
        <v>203</v>
      </c>
      <c r="D90" s="147">
        <v>5.68</v>
      </c>
      <c r="E90" s="22">
        <v>64.5</v>
      </c>
      <c r="F90" s="22">
        <v>70.180000000000007</v>
      </c>
      <c r="G90" s="22">
        <v>0</v>
      </c>
      <c r="H90" s="22">
        <v>10</v>
      </c>
      <c r="I90" s="22">
        <v>0.53</v>
      </c>
      <c r="J90" s="22">
        <v>17.07</v>
      </c>
      <c r="K90" s="22">
        <v>0</v>
      </c>
      <c r="L90" s="22">
        <v>0</v>
      </c>
      <c r="M90" s="388">
        <v>802.6</v>
      </c>
      <c r="N90" s="25">
        <v>0.79310000000000003</v>
      </c>
      <c r="O90" s="24">
        <v>870</v>
      </c>
      <c r="P90" s="24">
        <v>167</v>
      </c>
      <c r="Q90" s="24">
        <v>113.25</v>
      </c>
      <c r="R90" s="22">
        <v>53.75</v>
      </c>
      <c r="S90" s="24">
        <v>29</v>
      </c>
      <c r="T90" s="24">
        <f t="shared" si="7"/>
        <v>196</v>
      </c>
      <c r="U90" s="376">
        <v>636.54</v>
      </c>
      <c r="V90" s="376">
        <v>40.130000000000003</v>
      </c>
      <c r="W90" s="22">
        <f t="shared" si="8"/>
        <v>504.83987400000001</v>
      </c>
      <c r="X90" s="22">
        <f t="shared" si="9"/>
        <v>100.5</v>
      </c>
      <c r="Y90" s="22">
        <v>61.5</v>
      </c>
      <c r="Z90" s="22">
        <v>39</v>
      </c>
      <c r="AA90" s="371">
        <v>863.49</v>
      </c>
      <c r="AB90" s="22">
        <v>0.11638814578049543</v>
      </c>
      <c r="AC90" s="24">
        <v>0</v>
      </c>
      <c r="AD90" s="384">
        <v>0</v>
      </c>
    </row>
    <row r="91" spans="1:30">
      <c r="A91" s="21" t="s">
        <v>381</v>
      </c>
      <c r="B91" s="21" t="s">
        <v>382</v>
      </c>
      <c r="C91" s="23">
        <v>2322</v>
      </c>
      <c r="D91" s="147">
        <v>107.61</v>
      </c>
      <c r="E91" s="22">
        <v>528.71</v>
      </c>
      <c r="F91" s="22">
        <v>636.32000000000005</v>
      </c>
      <c r="G91" s="22">
        <v>0</v>
      </c>
      <c r="H91" s="22">
        <v>158</v>
      </c>
      <c r="I91" s="22">
        <v>13.05</v>
      </c>
      <c r="J91" s="22">
        <v>97.800000000000011</v>
      </c>
      <c r="K91" s="22">
        <v>0</v>
      </c>
      <c r="L91" s="22">
        <v>0</v>
      </c>
      <c r="M91" s="388">
        <v>7915.85</v>
      </c>
      <c r="N91" s="25">
        <v>0.7823</v>
      </c>
      <c r="O91" s="24">
        <v>7395</v>
      </c>
      <c r="P91" s="24">
        <v>924</v>
      </c>
      <c r="Q91" s="24">
        <v>603</v>
      </c>
      <c r="R91" s="22">
        <v>321</v>
      </c>
      <c r="S91" s="24">
        <v>173.5</v>
      </c>
      <c r="T91" s="24">
        <f t="shared" si="7"/>
        <v>1097.5</v>
      </c>
      <c r="U91" s="376">
        <v>6192.57</v>
      </c>
      <c r="V91" s="376">
        <v>395.79</v>
      </c>
      <c r="W91" s="22">
        <f t="shared" si="8"/>
        <v>4844.4475109999994</v>
      </c>
      <c r="X91" s="22">
        <f t="shared" si="9"/>
        <v>954.5</v>
      </c>
      <c r="Y91" s="22">
        <v>475.5</v>
      </c>
      <c r="Z91" s="22">
        <v>479</v>
      </c>
      <c r="AA91" s="371">
        <v>7378.21</v>
      </c>
      <c r="AB91" s="22">
        <v>0.12936742109536054</v>
      </c>
      <c r="AC91" s="24">
        <v>0</v>
      </c>
      <c r="AD91" s="384">
        <v>0</v>
      </c>
    </row>
    <row r="92" spans="1:30">
      <c r="A92" s="21" t="s">
        <v>465</v>
      </c>
      <c r="B92" s="21" t="s">
        <v>466</v>
      </c>
      <c r="C92" s="23">
        <v>216</v>
      </c>
      <c r="D92" s="147">
        <v>34.31</v>
      </c>
      <c r="E92" s="22">
        <v>88.61</v>
      </c>
      <c r="F92" s="22">
        <v>122.92</v>
      </c>
      <c r="G92" s="22">
        <v>0</v>
      </c>
      <c r="H92" s="22">
        <v>30</v>
      </c>
      <c r="I92" s="22">
        <v>0.33</v>
      </c>
      <c r="J92" s="22">
        <v>1.8</v>
      </c>
      <c r="K92" s="22">
        <v>0.8</v>
      </c>
      <c r="L92" s="22">
        <v>0</v>
      </c>
      <c r="M92" s="388">
        <v>864.93</v>
      </c>
      <c r="N92" s="25">
        <v>0.2266</v>
      </c>
      <c r="O92" s="24">
        <v>0</v>
      </c>
      <c r="P92" s="24">
        <v>0</v>
      </c>
      <c r="Q92" s="24">
        <v>0</v>
      </c>
      <c r="R92" s="22">
        <v>0</v>
      </c>
      <c r="S92" s="24">
        <v>0</v>
      </c>
      <c r="T92" s="24">
        <f t="shared" si="7"/>
        <v>0</v>
      </c>
      <c r="U92" s="376">
        <v>195.99</v>
      </c>
      <c r="V92" s="376">
        <v>0</v>
      </c>
      <c r="W92" s="22">
        <f t="shared" si="8"/>
        <v>44.411334000000004</v>
      </c>
      <c r="X92" s="22">
        <f t="shared" si="9"/>
        <v>102.5</v>
      </c>
      <c r="Y92" s="22">
        <v>75.25</v>
      </c>
      <c r="Z92" s="22">
        <v>27.25</v>
      </c>
      <c r="AA92" s="371">
        <v>862.72</v>
      </c>
      <c r="AB92" s="22">
        <v>0.11881027448071216</v>
      </c>
      <c r="AC92" s="24">
        <v>0</v>
      </c>
      <c r="AD92" s="384">
        <v>0</v>
      </c>
    </row>
    <row r="93" spans="1:30">
      <c r="A93" s="21" t="s">
        <v>567</v>
      </c>
      <c r="B93" s="21" t="s">
        <v>568</v>
      </c>
      <c r="C93" s="23">
        <v>44</v>
      </c>
      <c r="D93" s="147">
        <v>0</v>
      </c>
      <c r="E93" s="22">
        <v>4.87</v>
      </c>
      <c r="F93" s="22">
        <v>4.87</v>
      </c>
      <c r="G93" s="22">
        <v>0</v>
      </c>
      <c r="H93" s="22">
        <v>3</v>
      </c>
      <c r="I93" s="22">
        <v>0</v>
      </c>
      <c r="J93" s="22">
        <v>0</v>
      </c>
      <c r="K93" s="22">
        <v>0</v>
      </c>
      <c r="L93" s="22">
        <v>0</v>
      </c>
      <c r="M93" s="388">
        <v>119</v>
      </c>
      <c r="N93" s="25">
        <v>0.52249999999999996</v>
      </c>
      <c r="O93" s="24">
        <v>82</v>
      </c>
      <c r="P93" s="24">
        <v>0</v>
      </c>
      <c r="Q93" s="24">
        <v>0</v>
      </c>
      <c r="R93" s="22">
        <v>0</v>
      </c>
      <c r="S93" s="24">
        <v>0</v>
      </c>
      <c r="T93" s="24">
        <f t="shared" si="7"/>
        <v>0</v>
      </c>
      <c r="U93" s="376">
        <v>62.18</v>
      </c>
      <c r="V93" s="376">
        <v>0</v>
      </c>
      <c r="W93" s="22">
        <f t="shared" si="8"/>
        <v>32.489049999999999</v>
      </c>
      <c r="X93" s="22">
        <f t="shared" si="9"/>
        <v>13.5</v>
      </c>
      <c r="Y93" s="22">
        <v>11</v>
      </c>
      <c r="Z93" s="22">
        <v>2.5</v>
      </c>
      <c r="AA93" s="371">
        <v>105.26</v>
      </c>
      <c r="AB93" s="22">
        <v>0.12825384761542846</v>
      </c>
      <c r="AC93" s="24">
        <v>0</v>
      </c>
      <c r="AD93" s="384">
        <v>0</v>
      </c>
    </row>
    <row r="94" spans="1:30">
      <c r="A94" s="21" t="s">
        <v>259</v>
      </c>
      <c r="B94" s="21" t="s">
        <v>260</v>
      </c>
      <c r="C94" s="23">
        <v>12</v>
      </c>
      <c r="D94" s="147">
        <v>0</v>
      </c>
      <c r="E94" s="22">
        <v>0</v>
      </c>
      <c r="F94" s="22">
        <v>0</v>
      </c>
      <c r="G94" s="22">
        <v>0</v>
      </c>
      <c r="H94" s="22">
        <v>0</v>
      </c>
      <c r="I94" s="22">
        <v>0</v>
      </c>
      <c r="J94" s="22">
        <v>0</v>
      </c>
      <c r="K94" s="22">
        <v>0</v>
      </c>
      <c r="L94" s="22">
        <v>0</v>
      </c>
      <c r="M94" s="388">
        <v>54</v>
      </c>
      <c r="N94" s="25">
        <v>0.56599999999999995</v>
      </c>
      <c r="O94" s="24">
        <v>16</v>
      </c>
      <c r="P94" s="24">
        <v>0</v>
      </c>
      <c r="Q94" s="24">
        <v>0</v>
      </c>
      <c r="R94" s="22">
        <v>0</v>
      </c>
      <c r="S94" s="24">
        <v>0</v>
      </c>
      <c r="T94" s="24">
        <f t="shared" si="7"/>
        <v>0</v>
      </c>
      <c r="U94" s="376">
        <v>30.56</v>
      </c>
      <c r="V94" s="376">
        <v>0</v>
      </c>
      <c r="W94" s="22">
        <f t="shared" si="8"/>
        <v>17.296959999999999</v>
      </c>
      <c r="X94" s="22">
        <f t="shared" si="9"/>
        <v>12</v>
      </c>
      <c r="Y94" s="22">
        <v>9</v>
      </c>
      <c r="Z94" s="22">
        <v>3</v>
      </c>
      <c r="AA94" s="371">
        <v>51.97</v>
      </c>
      <c r="AB94" s="22">
        <v>0.23090244371752935</v>
      </c>
      <c r="AC94" s="24">
        <v>9.5902443717529345E-2</v>
      </c>
      <c r="AD94" s="384">
        <v>-47160.079123106239</v>
      </c>
    </row>
    <row r="95" spans="1:30">
      <c r="A95" s="21" t="s">
        <v>265</v>
      </c>
      <c r="B95" s="21" t="s">
        <v>266</v>
      </c>
      <c r="C95" s="23">
        <v>257</v>
      </c>
      <c r="D95" s="147">
        <v>27.1</v>
      </c>
      <c r="E95" s="22">
        <v>80.260000000000005</v>
      </c>
      <c r="F95" s="22">
        <v>107.36000000000001</v>
      </c>
      <c r="G95" s="22">
        <v>0</v>
      </c>
      <c r="H95" s="22">
        <v>5</v>
      </c>
      <c r="I95" s="22">
        <v>1.34</v>
      </c>
      <c r="J95" s="22">
        <v>1378.9</v>
      </c>
      <c r="K95" s="22">
        <v>0</v>
      </c>
      <c r="L95" s="22">
        <v>0</v>
      </c>
      <c r="M95" s="388">
        <v>2211.2400000000002</v>
      </c>
      <c r="N95" s="25">
        <v>0.59160000000000001</v>
      </c>
      <c r="O95" s="24">
        <v>545</v>
      </c>
      <c r="P95" s="24">
        <v>71.25</v>
      </c>
      <c r="Q95" s="24">
        <v>39.5</v>
      </c>
      <c r="R95" s="22">
        <v>31.75</v>
      </c>
      <c r="S95" s="24">
        <v>5</v>
      </c>
      <c r="T95" s="24">
        <f t="shared" si="7"/>
        <v>76.25</v>
      </c>
      <c r="U95" s="376">
        <v>1308.17</v>
      </c>
      <c r="V95" s="376">
        <v>0</v>
      </c>
      <c r="W95" s="22">
        <f t="shared" si="8"/>
        <v>773.91337200000009</v>
      </c>
      <c r="X95" s="22">
        <f t="shared" si="9"/>
        <v>304</v>
      </c>
      <c r="Y95" s="22">
        <v>224.25</v>
      </c>
      <c r="Z95" s="22">
        <v>79.75</v>
      </c>
      <c r="AA95" s="371">
        <v>2240.66</v>
      </c>
      <c r="AB95" s="22">
        <v>0.13567431024787341</v>
      </c>
      <c r="AC95" s="24">
        <v>6.7431024787339977E-4</v>
      </c>
      <c r="AD95" s="384">
        <v>-13737.958991695446</v>
      </c>
    </row>
    <row r="96" spans="1:30">
      <c r="A96" s="21" t="s">
        <v>139</v>
      </c>
      <c r="B96" s="21" t="s">
        <v>140</v>
      </c>
      <c r="C96" s="23">
        <v>198</v>
      </c>
      <c r="D96" s="147">
        <v>7.56</v>
      </c>
      <c r="E96" s="22">
        <v>26.32</v>
      </c>
      <c r="F96" s="22">
        <v>33.880000000000003</v>
      </c>
      <c r="G96" s="22">
        <v>0</v>
      </c>
      <c r="H96" s="22">
        <v>11</v>
      </c>
      <c r="I96" s="22">
        <v>1.07</v>
      </c>
      <c r="J96" s="22">
        <v>33.32</v>
      </c>
      <c r="K96" s="22">
        <v>0</v>
      </c>
      <c r="L96" s="22">
        <v>0</v>
      </c>
      <c r="M96" s="388">
        <v>698.3900000000001</v>
      </c>
      <c r="N96" s="25">
        <v>0.73499999999999999</v>
      </c>
      <c r="O96" s="24">
        <v>717</v>
      </c>
      <c r="P96" s="24">
        <v>0</v>
      </c>
      <c r="Q96" s="24">
        <v>0</v>
      </c>
      <c r="R96" s="22">
        <v>0</v>
      </c>
      <c r="S96" s="24">
        <v>0</v>
      </c>
      <c r="T96" s="24">
        <f t="shared" si="7"/>
        <v>0</v>
      </c>
      <c r="U96" s="376">
        <v>513.32000000000005</v>
      </c>
      <c r="V96" s="376">
        <v>34.92</v>
      </c>
      <c r="W96" s="22">
        <f t="shared" si="8"/>
        <v>377.29020000000003</v>
      </c>
      <c r="X96" s="22">
        <f t="shared" si="9"/>
        <v>103.25</v>
      </c>
      <c r="Y96" s="22">
        <v>64.5</v>
      </c>
      <c r="Z96" s="22">
        <v>38.75</v>
      </c>
      <c r="AA96" s="371">
        <v>719.06</v>
      </c>
      <c r="AB96" s="22">
        <v>0.1435902428170111</v>
      </c>
      <c r="AC96" s="24">
        <v>8.5902428170110956E-3</v>
      </c>
      <c r="AD96" s="384">
        <v>-57931.489134559291</v>
      </c>
    </row>
    <row r="97" spans="1:30">
      <c r="A97" s="21" t="s">
        <v>593</v>
      </c>
      <c r="B97" s="21" t="s">
        <v>594</v>
      </c>
      <c r="C97" s="23">
        <v>937</v>
      </c>
      <c r="D97" s="147">
        <v>41.76</v>
      </c>
      <c r="E97" s="22">
        <v>277.12</v>
      </c>
      <c r="F97" s="22">
        <v>318.88</v>
      </c>
      <c r="G97" s="22">
        <v>0</v>
      </c>
      <c r="H97" s="22">
        <v>45</v>
      </c>
      <c r="I97" s="22">
        <v>4.17</v>
      </c>
      <c r="J97" s="22">
        <v>44.199999999999996</v>
      </c>
      <c r="K97" s="22">
        <v>7.2</v>
      </c>
      <c r="L97" s="22">
        <v>0</v>
      </c>
      <c r="M97" s="388">
        <v>3238.5699999999997</v>
      </c>
      <c r="N97" s="25">
        <v>0.85250000000000004</v>
      </c>
      <c r="O97" s="24">
        <v>3561</v>
      </c>
      <c r="P97" s="24">
        <v>1094.25</v>
      </c>
      <c r="Q97" s="24">
        <v>679.5</v>
      </c>
      <c r="R97" s="22">
        <v>414.75</v>
      </c>
      <c r="S97" s="24">
        <v>192.75</v>
      </c>
      <c r="T97" s="24">
        <f t="shared" si="7"/>
        <v>1287</v>
      </c>
      <c r="U97" s="376">
        <v>2760.88</v>
      </c>
      <c r="V97" s="376">
        <v>161.93</v>
      </c>
      <c r="W97" s="22">
        <f t="shared" si="8"/>
        <v>2353.6502</v>
      </c>
      <c r="X97" s="22">
        <f t="shared" si="9"/>
        <v>511.5</v>
      </c>
      <c r="Y97" s="22">
        <v>234.5</v>
      </c>
      <c r="Z97" s="22">
        <v>277</v>
      </c>
      <c r="AA97" s="371">
        <v>3518.33</v>
      </c>
      <c r="AB97" s="22">
        <v>0.1453814735968485</v>
      </c>
      <c r="AC97" s="24">
        <v>1.0381473596848489E-2</v>
      </c>
      <c r="AD97" s="384">
        <v>-341839.6473496774</v>
      </c>
    </row>
    <row r="98" spans="1:30">
      <c r="A98" s="21" t="s">
        <v>601</v>
      </c>
      <c r="B98" s="21" t="s">
        <v>602</v>
      </c>
      <c r="C98" s="23">
        <v>427</v>
      </c>
      <c r="D98" s="147">
        <v>21.06</v>
      </c>
      <c r="E98" s="22">
        <v>165.61</v>
      </c>
      <c r="F98" s="22">
        <v>186.67000000000002</v>
      </c>
      <c r="G98" s="22">
        <v>0</v>
      </c>
      <c r="H98" s="22">
        <v>22</v>
      </c>
      <c r="I98" s="22">
        <v>0.8</v>
      </c>
      <c r="J98" s="22">
        <v>0</v>
      </c>
      <c r="K98" s="22">
        <v>0</v>
      </c>
      <c r="L98" s="22">
        <v>0</v>
      </c>
      <c r="M98" s="388">
        <v>1498.8</v>
      </c>
      <c r="N98" s="25">
        <v>0.90959999999999996</v>
      </c>
      <c r="O98" s="24">
        <v>1437</v>
      </c>
      <c r="P98" s="24">
        <v>568.75</v>
      </c>
      <c r="Q98" s="24">
        <v>354.25</v>
      </c>
      <c r="R98" s="22">
        <v>214.5</v>
      </c>
      <c r="S98" s="24">
        <v>107</v>
      </c>
      <c r="T98" s="24">
        <f t="shared" si="7"/>
        <v>675.75</v>
      </c>
      <c r="U98" s="376">
        <v>1363.31</v>
      </c>
      <c r="V98" s="376">
        <v>74.94</v>
      </c>
      <c r="W98" s="22">
        <f t="shared" si="8"/>
        <v>1240.0667759999999</v>
      </c>
      <c r="X98" s="22">
        <f t="shared" si="9"/>
        <v>190.25</v>
      </c>
      <c r="Y98" s="22">
        <v>88.25</v>
      </c>
      <c r="Z98" s="22">
        <v>102</v>
      </c>
      <c r="AA98" s="371">
        <v>1483.52</v>
      </c>
      <c r="AB98" s="22">
        <v>0.12824228861087145</v>
      </c>
      <c r="AC98" s="24">
        <v>0</v>
      </c>
      <c r="AD98" s="384">
        <v>0</v>
      </c>
    </row>
    <row r="99" spans="1:30">
      <c r="A99" s="21" t="s">
        <v>447</v>
      </c>
      <c r="B99" s="21" t="s">
        <v>448</v>
      </c>
      <c r="C99" s="23">
        <v>640</v>
      </c>
      <c r="D99" s="147">
        <v>71.14</v>
      </c>
      <c r="E99" s="22">
        <v>133.44999999999999</v>
      </c>
      <c r="F99" s="22">
        <v>204.58999999999997</v>
      </c>
      <c r="G99" s="22">
        <v>0</v>
      </c>
      <c r="H99" s="22">
        <v>20</v>
      </c>
      <c r="I99" s="22">
        <v>0.08</v>
      </c>
      <c r="J99" s="22">
        <v>139.46</v>
      </c>
      <c r="K99" s="22">
        <v>50.2</v>
      </c>
      <c r="L99" s="22">
        <v>0</v>
      </c>
      <c r="M99" s="388">
        <v>2185.7399999999998</v>
      </c>
      <c r="N99" s="25">
        <v>0.46089999999999998</v>
      </c>
      <c r="O99" s="24">
        <v>197</v>
      </c>
      <c r="P99" s="24">
        <v>83.25</v>
      </c>
      <c r="Q99" s="24">
        <v>51.5</v>
      </c>
      <c r="R99" s="22">
        <v>31.75</v>
      </c>
      <c r="S99" s="24">
        <v>7.75</v>
      </c>
      <c r="T99" s="24">
        <f t="shared" si="7"/>
        <v>91</v>
      </c>
      <c r="U99" s="376">
        <v>1007.41</v>
      </c>
      <c r="V99" s="376">
        <v>109.29</v>
      </c>
      <c r="W99" s="22">
        <f t="shared" si="8"/>
        <v>464.31526899999994</v>
      </c>
      <c r="X99" s="22">
        <f t="shared" si="9"/>
        <v>366</v>
      </c>
      <c r="Y99" s="22">
        <v>182.25</v>
      </c>
      <c r="Z99" s="22">
        <v>183.75</v>
      </c>
      <c r="AA99" s="371">
        <v>2180.04</v>
      </c>
      <c r="AB99" s="22">
        <v>0.16788682776462818</v>
      </c>
      <c r="AC99" s="24">
        <v>3.2886827764628174E-2</v>
      </c>
      <c r="AD99" s="384">
        <v>-732302.80702703295</v>
      </c>
    </row>
    <row r="100" spans="1:30">
      <c r="A100" s="21" t="s">
        <v>315</v>
      </c>
      <c r="B100" s="21" t="s">
        <v>316</v>
      </c>
      <c r="C100" s="23">
        <v>101</v>
      </c>
      <c r="D100" s="147">
        <v>0</v>
      </c>
      <c r="E100" s="22">
        <v>0</v>
      </c>
      <c r="F100" s="22">
        <v>0</v>
      </c>
      <c r="G100" s="22">
        <v>0</v>
      </c>
      <c r="H100" s="22">
        <v>0</v>
      </c>
      <c r="I100" s="22">
        <v>0</v>
      </c>
      <c r="J100" s="22">
        <v>0</v>
      </c>
      <c r="K100" s="22">
        <v>0</v>
      </c>
      <c r="L100" s="22">
        <v>0</v>
      </c>
      <c r="M100" s="388">
        <v>215</v>
      </c>
      <c r="N100" s="25">
        <v>0.45540000000000003</v>
      </c>
      <c r="O100" s="24">
        <v>0</v>
      </c>
      <c r="P100" s="24">
        <v>0</v>
      </c>
      <c r="Q100" s="24">
        <v>0</v>
      </c>
      <c r="R100" s="22">
        <v>0</v>
      </c>
      <c r="S100" s="24">
        <v>0</v>
      </c>
      <c r="T100" s="24">
        <f t="shared" si="7"/>
        <v>0</v>
      </c>
      <c r="U100" s="376">
        <v>97.91</v>
      </c>
      <c r="V100" s="376">
        <v>10.75</v>
      </c>
      <c r="W100" s="22">
        <f t="shared" si="8"/>
        <v>44.588214000000001</v>
      </c>
      <c r="X100" s="22">
        <f t="shared" si="9"/>
        <v>24.5</v>
      </c>
      <c r="Y100" s="22">
        <v>24.5</v>
      </c>
      <c r="Z100" s="22">
        <v>0</v>
      </c>
      <c r="AA100" s="371">
        <v>214.6</v>
      </c>
      <c r="AB100" s="22">
        <v>0.114165890027959</v>
      </c>
      <c r="AC100" s="24">
        <v>0</v>
      </c>
      <c r="AD100" s="384">
        <v>0</v>
      </c>
    </row>
    <row r="101" spans="1:30">
      <c r="A101" s="21" t="s">
        <v>455</v>
      </c>
      <c r="B101" s="21" t="s">
        <v>456</v>
      </c>
      <c r="C101" s="23">
        <v>26</v>
      </c>
      <c r="D101" s="147">
        <v>0</v>
      </c>
      <c r="E101" s="22">
        <v>0</v>
      </c>
      <c r="F101" s="22">
        <v>0</v>
      </c>
      <c r="G101" s="22">
        <v>0</v>
      </c>
      <c r="H101" s="22">
        <v>0</v>
      </c>
      <c r="I101" s="22">
        <v>0</v>
      </c>
      <c r="J101" s="22">
        <v>0</v>
      </c>
      <c r="K101" s="22">
        <v>0</v>
      </c>
      <c r="L101" s="22">
        <v>0</v>
      </c>
      <c r="M101" s="388">
        <v>40</v>
      </c>
      <c r="N101" s="25">
        <v>0.43330000000000002</v>
      </c>
      <c r="O101" s="24">
        <v>0</v>
      </c>
      <c r="P101" s="24">
        <v>0</v>
      </c>
      <c r="Q101" s="24">
        <v>0</v>
      </c>
      <c r="R101" s="22">
        <v>0</v>
      </c>
      <c r="S101" s="24">
        <v>0</v>
      </c>
      <c r="T101" s="24">
        <f t="shared" si="7"/>
        <v>0</v>
      </c>
      <c r="U101" s="376">
        <v>17.329999999999998</v>
      </c>
      <c r="V101" s="376">
        <v>0</v>
      </c>
      <c r="W101" s="22">
        <f t="shared" si="8"/>
        <v>7.5090889999999995</v>
      </c>
      <c r="X101" s="22">
        <f t="shared" si="9"/>
        <v>2.75</v>
      </c>
      <c r="Y101" s="22">
        <v>2.75</v>
      </c>
      <c r="Z101" s="22">
        <v>0</v>
      </c>
      <c r="AA101" s="371">
        <v>28</v>
      </c>
      <c r="AB101" s="22">
        <v>9.8214285714285712E-2</v>
      </c>
      <c r="AC101" s="24">
        <v>0</v>
      </c>
      <c r="AD101" s="384">
        <v>0</v>
      </c>
    </row>
    <row r="102" spans="1:30">
      <c r="A102" s="21" t="s">
        <v>1023</v>
      </c>
      <c r="B102" s="21" t="s">
        <v>1041</v>
      </c>
      <c r="C102" s="23">
        <v>0</v>
      </c>
      <c r="D102" s="147">
        <v>0</v>
      </c>
      <c r="E102" s="22">
        <v>0</v>
      </c>
      <c r="F102" s="22">
        <v>0</v>
      </c>
      <c r="G102" s="22">
        <v>0</v>
      </c>
      <c r="H102" s="22">
        <v>0</v>
      </c>
      <c r="I102" s="22">
        <v>0</v>
      </c>
      <c r="J102" s="22">
        <v>0</v>
      </c>
      <c r="K102" s="22">
        <v>0</v>
      </c>
      <c r="L102" s="22">
        <v>0</v>
      </c>
      <c r="M102" s="388">
        <v>440</v>
      </c>
      <c r="N102" s="25">
        <v>0.76880000000000004</v>
      </c>
      <c r="O102" s="24">
        <v>160</v>
      </c>
      <c r="P102" s="24">
        <v>22</v>
      </c>
      <c r="Q102" s="24">
        <v>1</v>
      </c>
      <c r="R102" s="22">
        <v>21</v>
      </c>
      <c r="S102" s="24">
        <v>2</v>
      </c>
      <c r="T102" s="24">
        <f t="shared" si="7"/>
        <v>24</v>
      </c>
      <c r="U102" s="376">
        <v>0</v>
      </c>
      <c r="V102" s="376">
        <v>0</v>
      </c>
      <c r="W102" s="22">
        <f t="shared" si="8"/>
        <v>0</v>
      </c>
      <c r="X102" s="22">
        <f t="shared" si="9"/>
        <v>37.25</v>
      </c>
      <c r="Y102" s="22">
        <v>17.75</v>
      </c>
      <c r="Z102" s="22">
        <v>19.5</v>
      </c>
      <c r="AA102" s="371">
        <v>160.80000000000001</v>
      </c>
      <c r="AB102" s="22">
        <v>0.23165422885572137</v>
      </c>
      <c r="AC102" s="24">
        <v>9.6654228855721364E-2</v>
      </c>
      <c r="AD102" s="384">
        <v>-149631.91184192689</v>
      </c>
    </row>
    <row r="103" spans="1:30">
      <c r="A103" s="21" t="s">
        <v>61</v>
      </c>
      <c r="B103" s="21" t="s">
        <v>62</v>
      </c>
      <c r="C103" s="23">
        <v>72</v>
      </c>
      <c r="D103" s="147">
        <v>0</v>
      </c>
      <c r="E103" s="22">
        <v>0</v>
      </c>
      <c r="F103" s="22">
        <v>0</v>
      </c>
      <c r="G103" s="22">
        <v>0</v>
      </c>
      <c r="H103" s="22">
        <v>0</v>
      </c>
      <c r="I103" s="22">
        <v>0</v>
      </c>
      <c r="J103" s="22">
        <v>0</v>
      </c>
      <c r="K103" s="22">
        <v>0</v>
      </c>
      <c r="L103" s="22">
        <v>0</v>
      </c>
      <c r="M103" s="388">
        <v>152</v>
      </c>
      <c r="N103" s="25">
        <v>0.50919999999999999</v>
      </c>
      <c r="O103" s="24">
        <v>0</v>
      </c>
      <c r="P103" s="24">
        <v>3</v>
      </c>
      <c r="Q103" s="24">
        <v>2</v>
      </c>
      <c r="R103" s="22">
        <v>1</v>
      </c>
      <c r="S103" s="24">
        <v>1</v>
      </c>
      <c r="T103" s="24">
        <f t="shared" si="7"/>
        <v>4</v>
      </c>
      <c r="U103" s="376">
        <v>77.400000000000006</v>
      </c>
      <c r="V103" s="376">
        <v>7.6</v>
      </c>
      <c r="W103" s="22">
        <f t="shared" si="8"/>
        <v>39.412080000000003</v>
      </c>
      <c r="X103" s="22">
        <f t="shared" si="9"/>
        <v>20.5</v>
      </c>
      <c r="Y103" s="22">
        <v>17.5</v>
      </c>
      <c r="Z103" s="22">
        <v>3</v>
      </c>
      <c r="AA103" s="371">
        <v>153.02000000000001</v>
      </c>
      <c r="AB103" s="22">
        <v>0.1339694157626454</v>
      </c>
      <c r="AC103" s="24">
        <v>0</v>
      </c>
      <c r="AD103" s="384">
        <v>0</v>
      </c>
    </row>
    <row r="104" spans="1:30">
      <c r="A104" s="21" t="s">
        <v>517</v>
      </c>
      <c r="B104" s="21" t="s">
        <v>518</v>
      </c>
      <c r="C104" s="23">
        <v>246</v>
      </c>
      <c r="D104" s="147">
        <v>0</v>
      </c>
      <c r="E104" s="22">
        <v>0</v>
      </c>
      <c r="F104" s="22">
        <v>0</v>
      </c>
      <c r="G104" s="22">
        <v>0</v>
      </c>
      <c r="H104" s="22">
        <v>0</v>
      </c>
      <c r="I104" s="22">
        <v>0</v>
      </c>
      <c r="J104" s="22">
        <v>0</v>
      </c>
      <c r="K104" s="22">
        <v>0</v>
      </c>
      <c r="L104" s="22">
        <v>0</v>
      </c>
      <c r="M104" s="388">
        <v>610</v>
      </c>
      <c r="N104" s="25">
        <v>0.17130000000000001</v>
      </c>
      <c r="O104" s="24">
        <v>0</v>
      </c>
      <c r="P104" s="24">
        <v>1.5</v>
      </c>
      <c r="Q104" s="24">
        <v>0</v>
      </c>
      <c r="R104" s="22">
        <v>1.5</v>
      </c>
      <c r="S104" s="24">
        <v>1</v>
      </c>
      <c r="T104" s="24">
        <f t="shared" si="7"/>
        <v>2.5</v>
      </c>
      <c r="U104" s="376">
        <v>104.49</v>
      </c>
      <c r="V104" s="376">
        <v>30.5</v>
      </c>
      <c r="W104" s="22">
        <f t="shared" si="8"/>
        <v>17.899137</v>
      </c>
      <c r="X104" s="22">
        <f t="shared" si="9"/>
        <v>76.25</v>
      </c>
      <c r="Y104" s="22">
        <v>59.5</v>
      </c>
      <c r="Z104" s="22">
        <v>16.75</v>
      </c>
      <c r="AA104" s="371">
        <v>603.01</v>
      </c>
      <c r="AB104" s="22">
        <v>0.12644898094558962</v>
      </c>
      <c r="AC104" s="24">
        <v>0</v>
      </c>
      <c r="AD104" s="384">
        <v>0</v>
      </c>
    </row>
    <row r="105" spans="1:30">
      <c r="A105" s="21" t="s">
        <v>309</v>
      </c>
      <c r="B105" s="21" t="s">
        <v>310</v>
      </c>
      <c r="C105" s="23">
        <v>31</v>
      </c>
      <c r="D105" s="147">
        <v>1.06</v>
      </c>
      <c r="E105" s="22">
        <v>4.45</v>
      </c>
      <c r="F105" s="22">
        <v>5.51</v>
      </c>
      <c r="G105" s="22">
        <v>0</v>
      </c>
      <c r="H105" s="22">
        <v>0</v>
      </c>
      <c r="I105" s="22">
        <v>0</v>
      </c>
      <c r="J105" s="22">
        <v>0</v>
      </c>
      <c r="K105" s="22">
        <v>0</v>
      </c>
      <c r="L105" s="22">
        <v>0</v>
      </c>
      <c r="M105" s="388">
        <v>112</v>
      </c>
      <c r="N105" s="25">
        <v>0.52</v>
      </c>
      <c r="O105" s="24">
        <v>113</v>
      </c>
      <c r="P105" s="24">
        <v>0</v>
      </c>
      <c r="Q105" s="24">
        <v>0</v>
      </c>
      <c r="R105" s="22">
        <v>0</v>
      </c>
      <c r="S105" s="24">
        <v>0</v>
      </c>
      <c r="T105" s="24">
        <f t="shared" si="7"/>
        <v>0</v>
      </c>
      <c r="U105" s="376">
        <v>58.24</v>
      </c>
      <c r="V105" s="376">
        <v>0</v>
      </c>
      <c r="W105" s="22">
        <f t="shared" si="8"/>
        <v>30.284800000000001</v>
      </c>
      <c r="X105" s="22">
        <f t="shared" si="9"/>
        <v>23.75</v>
      </c>
      <c r="Y105" s="22">
        <v>21.25</v>
      </c>
      <c r="Z105" s="22">
        <v>2.5</v>
      </c>
      <c r="AA105" s="371">
        <v>112.51</v>
      </c>
      <c r="AB105" s="22">
        <v>0.21109234734690249</v>
      </c>
      <c r="AC105" s="24">
        <v>7.6092347346902484E-2</v>
      </c>
      <c r="AD105" s="384">
        <v>-81766.404715911835</v>
      </c>
    </row>
    <row r="106" spans="1:30">
      <c r="A106" s="21" t="s">
        <v>599</v>
      </c>
      <c r="B106" s="21" t="s">
        <v>600</v>
      </c>
      <c r="C106" s="23">
        <v>257</v>
      </c>
      <c r="D106" s="147">
        <v>0</v>
      </c>
      <c r="E106" s="22">
        <v>46.3</v>
      </c>
      <c r="F106" s="22">
        <v>46.3</v>
      </c>
      <c r="G106" s="22">
        <v>0</v>
      </c>
      <c r="H106" s="22">
        <v>5</v>
      </c>
      <c r="I106" s="22">
        <v>0.42</v>
      </c>
      <c r="J106" s="22">
        <v>0</v>
      </c>
      <c r="K106" s="22">
        <v>5.4</v>
      </c>
      <c r="L106" s="22">
        <v>0</v>
      </c>
      <c r="M106" s="388">
        <v>1038.8200000000002</v>
      </c>
      <c r="N106" s="25">
        <v>0.82350000000000001</v>
      </c>
      <c r="O106" s="24">
        <v>1069</v>
      </c>
      <c r="P106" s="24">
        <v>298.5</v>
      </c>
      <c r="Q106" s="24">
        <v>202.5</v>
      </c>
      <c r="R106" s="22">
        <v>96</v>
      </c>
      <c r="S106" s="24">
        <v>81.75</v>
      </c>
      <c r="T106" s="24">
        <f t="shared" si="7"/>
        <v>380.25</v>
      </c>
      <c r="U106" s="376">
        <v>855.47</v>
      </c>
      <c r="V106" s="376">
        <v>51.94</v>
      </c>
      <c r="W106" s="22">
        <f t="shared" si="8"/>
        <v>704.47954500000003</v>
      </c>
      <c r="X106" s="22">
        <f t="shared" si="9"/>
        <v>123.25</v>
      </c>
      <c r="Y106" s="22">
        <v>81.5</v>
      </c>
      <c r="Z106" s="22">
        <v>41.75</v>
      </c>
      <c r="AA106" s="371">
        <v>1054.1099999999999</v>
      </c>
      <c r="AB106" s="22">
        <v>0.11692328125148231</v>
      </c>
      <c r="AC106" s="24">
        <v>0</v>
      </c>
      <c r="AD106" s="384">
        <v>0</v>
      </c>
    </row>
    <row r="107" spans="1:30">
      <c r="A107" s="21" t="s">
        <v>191</v>
      </c>
      <c r="B107" s="21" t="s">
        <v>192</v>
      </c>
      <c r="C107" s="23">
        <v>5598</v>
      </c>
      <c r="D107" s="147">
        <v>125.7</v>
      </c>
      <c r="E107" s="22">
        <v>655.34</v>
      </c>
      <c r="F107" s="22">
        <v>781.04000000000008</v>
      </c>
      <c r="G107" s="22">
        <v>360.64</v>
      </c>
      <c r="H107" s="22">
        <v>420</v>
      </c>
      <c r="I107" s="22">
        <v>31.37</v>
      </c>
      <c r="J107" s="22">
        <v>622.56999999999994</v>
      </c>
      <c r="K107" s="22">
        <v>160.18</v>
      </c>
      <c r="L107" s="22">
        <v>0</v>
      </c>
      <c r="M107" s="388">
        <v>18422.12</v>
      </c>
      <c r="N107" s="25">
        <v>0.70820000000000005</v>
      </c>
      <c r="O107" s="24">
        <v>15829</v>
      </c>
      <c r="P107" s="24">
        <v>5679</v>
      </c>
      <c r="Q107" s="24">
        <v>3443.75</v>
      </c>
      <c r="R107" s="22">
        <v>2235.25</v>
      </c>
      <c r="S107" s="24">
        <v>510.5</v>
      </c>
      <c r="T107" s="24">
        <f t="shared" si="7"/>
        <v>6189.5</v>
      </c>
      <c r="U107" s="376">
        <v>13046.55</v>
      </c>
      <c r="V107" s="376">
        <v>921.11</v>
      </c>
      <c r="W107" s="22">
        <f t="shared" si="8"/>
        <v>9239.566710000001</v>
      </c>
      <c r="X107" s="22">
        <f t="shared" si="9"/>
        <v>2499.25</v>
      </c>
      <c r="Y107" s="22">
        <v>1760.75</v>
      </c>
      <c r="Z107" s="22">
        <v>738.5</v>
      </c>
      <c r="AA107" s="371">
        <v>17460.7</v>
      </c>
      <c r="AB107" s="22">
        <v>0.14313572766269392</v>
      </c>
      <c r="AC107" s="24">
        <v>8.135727662693909E-3</v>
      </c>
      <c r="AD107" s="384">
        <v>-1515038.9292881214</v>
      </c>
    </row>
    <row r="108" spans="1:30">
      <c r="A108" s="21" t="s">
        <v>57</v>
      </c>
      <c r="B108" s="21" t="s">
        <v>58</v>
      </c>
      <c r="C108" s="23">
        <v>645</v>
      </c>
      <c r="D108" s="147">
        <v>9.2200000000000006</v>
      </c>
      <c r="E108" s="22">
        <v>41.28</v>
      </c>
      <c r="F108" s="22">
        <v>50.5</v>
      </c>
      <c r="G108" s="22">
        <v>0</v>
      </c>
      <c r="H108" s="22">
        <v>85</v>
      </c>
      <c r="I108" s="22">
        <v>0.55000000000000004</v>
      </c>
      <c r="J108" s="22">
        <v>0</v>
      </c>
      <c r="K108" s="22">
        <v>3.4</v>
      </c>
      <c r="L108" s="22">
        <v>0</v>
      </c>
      <c r="M108" s="388">
        <v>2027.95</v>
      </c>
      <c r="N108" s="25">
        <v>0.18160000000000001</v>
      </c>
      <c r="O108" s="24">
        <v>0</v>
      </c>
      <c r="P108" s="24">
        <v>71.5</v>
      </c>
      <c r="Q108" s="24">
        <v>49.25</v>
      </c>
      <c r="R108" s="22">
        <v>22.25</v>
      </c>
      <c r="S108" s="24">
        <v>11</v>
      </c>
      <c r="T108" s="24">
        <f t="shared" si="7"/>
        <v>82.5</v>
      </c>
      <c r="U108" s="376">
        <v>368.28</v>
      </c>
      <c r="V108" s="376">
        <v>101.4</v>
      </c>
      <c r="W108" s="22">
        <f t="shared" si="8"/>
        <v>66.879648000000003</v>
      </c>
      <c r="X108" s="22">
        <f t="shared" si="9"/>
        <v>175.75</v>
      </c>
      <c r="Y108" s="22">
        <v>108</v>
      </c>
      <c r="Z108" s="22">
        <v>67.75</v>
      </c>
      <c r="AA108" s="371">
        <v>1934.62</v>
      </c>
      <c r="AB108" s="22">
        <v>9.084471369054388E-2</v>
      </c>
      <c r="AC108" s="24">
        <v>0</v>
      </c>
      <c r="AD108" s="384">
        <v>0</v>
      </c>
    </row>
    <row r="109" spans="1:30">
      <c r="A109" s="21" t="s">
        <v>325</v>
      </c>
      <c r="B109" s="21" t="s">
        <v>326</v>
      </c>
      <c r="C109" s="23">
        <v>124</v>
      </c>
      <c r="D109" s="147">
        <v>0</v>
      </c>
      <c r="E109" s="22">
        <v>0</v>
      </c>
      <c r="F109" s="22">
        <v>0</v>
      </c>
      <c r="G109" s="22">
        <v>0</v>
      </c>
      <c r="H109" s="22">
        <v>0</v>
      </c>
      <c r="I109" s="22">
        <v>0</v>
      </c>
      <c r="J109" s="22">
        <v>0</v>
      </c>
      <c r="K109" s="22">
        <v>0</v>
      </c>
      <c r="L109" s="22">
        <v>0</v>
      </c>
      <c r="M109" s="388">
        <v>290</v>
      </c>
      <c r="N109" s="25">
        <v>0.8034</v>
      </c>
      <c r="O109" s="24">
        <v>298</v>
      </c>
      <c r="P109" s="24">
        <v>7.5</v>
      </c>
      <c r="Q109" s="24">
        <v>7.5</v>
      </c>
      <c r="R109" s="22">
        <v>0</v>
      </c>
      <c r="S109" s="24">
        <v>0</v>
      </c>
      <c r="T109" s="24">
        <f t="shared" si="7"/>
        <v>7.5</v>
      </c>
      <c r="U109" s="376">
        <v>232.99</v>
      </c>
      <c r="V109" s="376">
        <v>14.5</v>
      </c>
      <c r="W109" s="22">
        <f t="shared" si="8"/>
        <v>187.184166</v>
      </c>
      <c r="X109" s="22">
        <f t="shared" si="9"/>
        <v>36.75</v>
      </c>
      <c r="Y109" s="22">
        <v>31</v>
      </c>
      <c r="Z109" s="22">
        <v>5.75</v>
      </c>
      <c r="AA109" s="371">
        <v>300.60000000000002</v>
      </c>
      <c r="AB109" s="22">
        <v>0.12225548902195608</v>
      </c>
      <c r="AC109" s="24">
        <v>0</v>
      </c>
      <c r="AD109" s="384">
        <v>0</v>
      </c>
    </row>
    <row r="110" spans="1:30">
      <c r="A110" s="21" t="s">
        <v>143</v>
      </c>
      <c r="B110" s="21" t="s">
        <v>144</v>
      </c>
      <c r="C110" s="23">
        <v>445</v>
      </c>
      <c r="D110" s="147">
        <v>16.989999999999998</v>
      </c>
      <c r="E110" s="22">
        <v>126.88</v>
      </c>
      <c r="F110" s="22">
        <v>143.87</v>
      </c>
      <c r="G110" s="22">
        <v>0</v>
      </c>
      <c r="H110" s="22">
        <v>30</v>
      </c>
      <c r="I110" s="22">
        <v>0.98</v>
      </c>
      <c r="J110" s="22">
        <v>123.67</v>
      </c>
      <c r="K110" s="22">
        <v>12.08</v>
      </c>
      <c r="L110" s="22">
        <v>0</v>
      </c>
      <c r="M110" s="388">
        <v>1600.73</v>
      </c>
      <c r="N110" s="25">
        <v>0.76549999999999996</v>
      </c>
      <c r="O110" s="24">
        <v>1582</v>
      </c>
      <c r="P110" s="24">
        <v>98.25</v>
      </c>
      <c r="Q110" s="24">
        <v>71</v>
      </c>
      <c r="R110" s="22">
        <v>27.25</v>
      </c>
      <c r="S110" s="24">
        <v>11.75</v>
      </c>
      <c r="T110" s="24">
        <f t="shared" si="7"/>
        <v>110</v>
      </c>
      <c r="U110" s="376">
        <v>1225.3599999999999</v>
      </c>
      <c r="V110" s="376">
        <v>80.040000000000006</v>
      </c>
      <c r="W110" s="22">
        <f t="shared" si="8"/>
        <v>938.01307999999983</v>
      </c>
      <c r="X110" s="22">
        <f t="shared" si="9"/>
        <v>236</v>
      </c>
      <c r="Y110" s="22">
        <v>190.75</v>
      </c>
      <c r="Z110" s="22">
        <v>45.25</v>
      </c>
      <c r="AA110" s="371">
        <v>1573.59</v>
      </c>
      <c r="AB110" s="22">
        <v>0.14997553365234909</v>
      </c>
      <c r="AC110" s="24">
        <v>1.4975533652349077E-2</v>
      </c>
      <c r="AD110" s="384">
        <v>-221299.99613784079</v>
      </c>
    </row>
    <row r="111" spans="1:30">
      <c r="A111" s="21" t="s">
        <v>1315</v>
      </c>
      <c r="B111" s="21" t="s">
        <v>1316</v>
      </c>
      <c r="C111" s="23">
        <v>426</v>
      </c>
      <c r="D111" s="147">
        <v>0</v>
      </c>
      <c r="E111" s="22">
        <v>0</v>
      </c>
      <c r="F111" s="22">
        <v>0</v>
      </c>
      <c r="G111" s="22">
        <v>0</v>
      </c>
      <c r="H111" s="22">
        <v>0</v>
      </c>
      <c r="I111" s="22">
        <v>0</v>
      </c>
      <c r="J111" s="22">
        <v>0</v>
      </c>
      <c r="K111" s="22">
        <v>0</v>
      </c>
      <c r="L111" s="22">
        <v>0</v>
      </c>
      <c r="M111" s="388">
        <v>510</v>
      </c>
      <c r="N111" s="25">
        <v>0.54679999999999995</v>
      </c>
      <c r="O111" s="24">
        <v>267</v>
      </c>
      <c r="P111" s="24">
        <v>30.24</v>
      </c>
      <c r="Q111" s="24">
        <v>30.24</v>
      </c>
      <c r="R111" s="22">
        <v>0</v>
      </c>
      <c r="S111" s="24">
        <v>0</v>
      </c>
      <c r="T111" s="24">
        <f t="shared" si="7"/>
        <v>30.24</v>
      </c>
      <c r="U111" s="376">
        <v>278.87</v>
      </c>
      <c r="V111" s="376">
        <v>0</v>
      </c>
      <c r="W111" s="22">
        <f t="shared" si="8"/>
        <v>152.48611599999998</v>
      </c>
      <c r="X111" s="22">
        <f t="shared" si="9"/>
        <v>2.52</v>
      </c>
      <c r="Y111" s="22">
        <v>2.52</v>
      </c>
      <c r="Z111" s="22">
        <v>0</v>
      </c>
      <c r="AA111" s="371">
        <v>252</v>
      </c>
      <c r="AB111" s="22">
        <v>0.01</v>
      </c>
      <c r="AC111" s="24">
        <v>0</v>
      </c>
      <c r="AD111" s="384">
        <v>0</v>
      </c>
    </row>
    <row r="112" spans="1:30">
      <c r="A112" s="21" t="s">
        <v>1230</v>
      </c>
      <c r="B112" s="21" t="s">
        <v>1231</v>
      </c>
      <c r="C112" s="23">
        <v>426</v>
      </c>
      <c r="D112" s="147">
        <v>0</v>
      </c>
      <c r="E112" s="22">
        <v>0</v>
      </c>
      <c r="F112" s="22">
        <v>0</v>
      </c>
      <c r="G112" s="22">
        <v>0</v>
      </c>
      <c r="H112" s="22">
        <v>0</v>
      </c>
      <c r="I112" s="22">
        <v>0</v>
      </c>
      <c r="J112" s="22">
        <v>0</v>
      </c>
      <c r="K112" s="22">
        <v>0</v>
      </c>
      <c r="L112" s="22">
        <v>0</v>
      </c>
      <c r="M112" s="388">
        <v>510</v>
      </c>
      <c r="N112" s="25">
        <v>0.59</v>
      </c>
      <c r="O112" s="24">
        <v>0</v>
      </c>
      <c r="P112" s="24">
        <v>46</v>
      </c>
      <c r="Q112" s="24">
        <v>46</v>
      </c>
      <c r="R112" s="22">
        <v>0</v>
      </c>
      <c r="S112" s="24">
        <v>0</v>
      </c>
      <c r="T112" s="24">
        <f t="shared" si="7"/>
        <v>46</v>
      </c>
      <c r="U112" s="376">
        <v>300.89999999999998</v>
      </c>
      <c r="V112" s="376">
        <v>25.5</v>
      </c>
      <c r="W112" s="22">
        <f t="shared" si="8"/>
        <v>177.53099999999998</v>
      </c>
      <c r="X112" s="22">
        <f t="shared" si="9"/>
        <v>7.75</v>
      </c>
      <c r="Y112" s="22">
        <v>7</v>
      </c>
      <c r="Z112" s="22">
        <v>0.75</v>
      </c>
      <c r="AA112" s="371">
        <v>292.2</v>
      </c>
      <c r="AB112" s="22">
        <v>2.6522929500342234E-2</v>
      </c>
      <c r="AC112" s="24">
        <v>0</v>
      </c>
      <c r="AD112" s="384">
        <v>0</v>
      </c>
    </row>
    <row r="113" spans="1:30">
      <c r="A113" s="21" t="s">
        <v>1032</v>
      </c>
      <c r="B113" s="21" t="s">
        <v>1042</v>
      </c>
      <c r="C113" s="23">
        <v>426</v>
      </c>
      <c r="D113" s="147">
        <v>0</v>
      </c>
      <c r="E113" s="22">
        <v>0</v>
      </c>
      <c r="F113" s="22">
        <v>0</v>
      </c>
      <c r="G113" s="22">
        <v>0</v>
      </c>
      <c r="H113" s="22">
        <v>0</v>
      </c>
      <c r="I113" s="22">
        <v>0</v>
      </c>
      <c r="J113" s="22">
        <v>0</v>
      </c>
      <c r="K113" s="22">
        <v>0</v>
      </c>
      <c r="L113" s="22">
        <v>0</v>
      </c>
      <c r="M113" s="388">
        <v>594</v>
      </c>
      <c r="N113" s="25">
        <v>0.65</v>
      </c>
      <c r="O113" s="24">
        <v>602</v>
      </c>
      <c r="P113" s="24">
        <v>151</v>
      </c>
      <c r="Q113" s="24">
        <v>151</v>
      </c>
      <c r="R113" s="22">
        <v>0</v>
      </c>
      <c r="S113" s="24">
        <v>26.75</v>
      </c>
      <c r="T113" s="24">
        <f t="shared" si="7"/>
        <v>177.75</v>
      </c>
      <c r="U113" s="376">
        <v>386.1</v>
      </c>
      <c r="V113" s="376">
        <v>29.7</v>
      </c>
      <c r="W113" s="22">
        <f t="shared" si="8"/>
        <v>250.96500000000003</v>
      </c>
      <c r="X113" s="22">
        <f t="shared" si="9"/>
        <v>23</v>
      </c>
      <c r="Y113" s="22">
        <v>23</v>
      </c>
      <c r="Z113" s="22">
        <v>0</v>
      </c>
      <c r="AA113" s="371">
        <v>597.79999999999995</v>
      </c>
      <c r="AB113" s="22">
        <v>3.8474406155904986E-2</v>
      </c>
      <c r="AC113" s="24">
        <v>0</v>
      </c>
      <c r="AD113" s="384">
        <v>0</v>
      </c>
    </row>
    <row r="114" spans="1:30">
      <c r="A114" s="21" t="s">
        <v>107</v>
      </c>
      <c r="B114" s="21" t="s">
        <v>108</v>
      </c>
      <c r="C114" s="23">
        <v>62</v>
      </c>
      <c r="D114" s="147">
        <v>0</v>
      </c>
      <c r="E114" s="22">
        <v>0</v>
      </c>
      <c r="F114" s="22">
        <v>0</v>
      </c>
      <c r="G114" s="22">
        <v>0</v>
      </c>
      <c r="H114" s="22">
        <v>5</v>
      </c>
      <c r="I114" s="22">
        <v>0.6</v>
      </c>
      <c r="J114" s="22">
        <v>0</v>
      </c>
      <c r="K114" s="22">
        <v>0</v>
      </c>
      <c r="L114" s="22">
        <v>0</v>
      </c>
      <c r="M114" s="388">
        <v>215.6</v>
      </c>
      <c r="N114" s="25">
        <v>0.82379999999999998</v>
      </c>
      <c r="O114" s="24">
        <v>231</v>
      </c>
      <c r="P114" s="24">
        <v>0</v>
      </c>
      <c r="Q114" s="24">
        <v>0</v>
      </c>
      <c r="R114" s="22">
        <v>0</v>
      </c>
      <c r="S114" s="24">
        <v>0</v>
      </c>
      <c r="T114" s="24">
        <f t="shared" si="7"/>
        <v>0</v>
      </c>
      <c r="U114" s="376">
        <v>177.61</v>
      </c>
      <c r="V114" s="376">
        <v>0</v>
      </c>
      <c r="W114" s="22">
        <f t="shared" si="8"/>
        <v>146.31511800000001</v>
      </c>
      <c r="X114" s="22">
        <f t="shared" si="9"/>
        <v>24.25</v>
      </c>
      <c r="Y114" s="22">
        <v>18.75</v>
      </c>
      <c r="Z114" s="22">
        <v>5.5</v>
      </c>
      <c r="AA114" s="371">
        <v>226.23</v>
      </c>
      <c r="AB114" s="22">
        <v>0.10719179595986386</v>
      </c>
      <c r="AC114" s="24">
        <v>0</v>
      </c>
      <c r="AD114" s="384">
        <v>0</v>
      </c>
    </row>
    <row r="115" spans="1:30">
      <c r="A115" s="21" t="s">
        <v>435</v>
      </c>
      <c r="B115" s="21" t="s">
        <v>436</v>
      </c>
      <c r="C115" s="23">
        <v>6</v>
      </c>
      <c r="D115" s="147">
        <v>0</v>
      </c>
      <c r="E115" s="22">
        <v>0</v>
      </c>
      <c r="F115" s="22">
        <v>0</v>
      </c>
      <c r="G115" s="22">
        <v>0</v>
      </c>
      <c r="H115" s="22">
        <v>0</v>
      </c>
      <c r="I115" s="22">
        <v>0</v>
      </c>
      <c r="J115" s="22">
        <v>0</v>
      </c>
      <c r="K115" s="22">
        <v>0</v>
      </c>
      <c r="L115" s="22">
        <v>0</v>
      </c>
      <c r="M115" s="388">
        <v>25</v>
      </c>
      <c r="N115" s="25">
        <v>0.5</v>
      </c>
      <c r="O115" s="24">
        <v>0</v>
      </c>
      <c r="P115" s="24">
        <v>0</v>
      </c>
      <c r="Q115" s="24">
        <v>0</v>
      </c>
      <c r="R115" s="22">
        <v>0</v>
      </c>
      <c r="S115" s="24">
        <v>0</v>
      </c>
      <c r="T115" s="24">
        <f t="shared" si="7"/>
        <v>0</v>
      </c>
      <c r="U115" s="376">
        <v>12.5</v>
      </c>
      <c r="V115" s="376">
        <v>0</v>
      </c>
      <c r="W115" s="22">
        <f t="shared" si="8"/>
        <v>6.25</v>
      </c>
      <c r="X115" s="22">
        <f t="shared" si="9"/>
        <v>4</v>
      </c>
      <c r="Y115" s="22">
        <v>3</v>
      </c>
      <c r="Z115" s="22">
        <v>1</v>
      </c>
      <c r="AA115" s="371">
        <v>23.68</v>
      </c>
      <c r="AB115" s="22">
        <v>0.16891891891891891</v>
      </c>
      <c r="AC115" s="24">
        <v>3.3918918918918906E-2</v>
      </c>
      <c r="AD115" s="384">
        <v>-7942.4679674031258</v>
      </c>
    </row>
    <row r="116" spans="1:30">
      <c r="A116" s="21" t="s">
        <v>211</v>
      </c>
      <c r="B116" s="21" t="s">
        <v>212</v>
      </c>
      <c r="C116" s="23">
        <v>6067</v>
      </c>
      <c r="D116" s="147">
        <v>100.48</v>
      </c>
      <c r="E116" s="22">
        <v>1053.8399999999999</v>
      </c>
      <c r="F116" s="22">
        <v>1154.32</v>
      </c>
      <c r="G116" s="22">
        <v>0</v>
      </c>
      <c r="H116" s="22">
        <v>583</v>
      </c>
      <c r="I116" s="22">
        <v>59.98</v>
      </c>
      <c r="J116" s="22">
        <v>8.34</v>
      </c>
      <c r="K116" s="22">
        <v>0</v>
      </c>
      <c r="L116" s="22">
        <v>0</v>
      </c>
      <c r="M116" s="388">
        <v>20597.32</v>
      </c>
      <c r="N116" s="25">
        <v>0.10150000000000001</v>
      </c>
      <c r="O116" s="24">
        <v>0</v>
      </c>
      <c r="P116" s="24">
        <v>1265.25</v>
      </c>
      <c r="Q116" s="24">
        <v>1025.75</v>
      </c>
      <c r="R116" s="22">
        <v>239.5</v>
      </c>
      <c r="S116" s="24">
        <v>657</v>
      </c>
      <c r="T116" s="24">
        <f t="shared" si="7"/>
        <v>1922.25</v>
      </c>
      <c r="U116" s="376">
        <v>2090.63</v>
      </c>
      <c r="V116" s="376">
        <v>1029.8699999999999</v>
      </c>
      <c r="W116" s="22">
        <f t="shared" si="8"/>
        <v>212.19894500000004</v>
      </c>
      <c r="X116" s="22">
        <f t="shared" si="9"/>
        <v>1567.25</v>
      </c>
      <c r="Y116" s="22">
        <v>1022</v>
      </c>
      <c r="Z116" s="22">
        <v>545.25</v>
      </c>
      <c r="AA116" s="371">
        <v>19348.47</v>
      </c>
      <c r="AB116" s="22">
        <v>8.1001236790299178E-2</v>
      </c>
      <c r="AC116" s="24">
        <v>0</v>
      </c>
      <c r="AD116" s="384">
        <v>0</v>
      </c>
    </row>
    <row r="117" spans="1:30">
      <c r="A117" s="21" t="s">
        <v>117</v>
      </c>
      <c r="B117" s="21" t="s">
        <v>118</v>
      </c>
      <c r="C117" s="23">
        <v>12</v>
      </c>
      <c r="D117" s="147">
        <v>0</v>
      </c>
      <c r="E117" s="22">
        <v>3.68</v>
      </c>
      <c r="F117" s="22">
        <v>3.68</v>
      </c>
      <c r="G117" s="22">
        <v>0</v>
      </c>
      <c r="H117" s="22">
        <v>0</v>
      </c>
      <c r="I117" s="22">
        <v>0</v>
      </c>
      <c r="J117" s="22">
        <v>0</v>
      </c>
      <c r="K117" s="22">
        <v>0</v>
      </c>
      <c r="L117" s="22">
        <v>0</v>
      </c>
      <c r="M117" s="388">
        <v>36</v>
      </c>
      <c r="N117" s="25">
        <v>0.68179999999999996</v>
      </c>
      <c r="O117" s="24">
        <v>34</v>
      </c>
      <c r="P117" s="24">
        <v>0</v>
      </c>
      <c r="Q117" s="24">
        <v>0</v>
      </c>
      <c r="R117" s="22">
        <v>0</v>
      </c>
      <c r="S117" s="24">
        <v>1</v>
      </c>
      <c r="T117" s="24">
        <f t="shared" si="7"/>
        <v>1</v>
      </c>
      <c r="U117" s="376">
        <v>24.54</v>
      </c>
      <c r="V117" s="376">
        <v>0</v>
      </c>
      <c r="W117" s="22">
        <f t="shared" si="8"/>
        <v>16.731371999999997</v>
      </c>
      <c r="X117" s="22">
        <f t="shared" si="9"/>
        <v>4</v>
      </c>
      <c r="Y117" s="22">
        <v>4</v>
      </c>
      <c r="Z117" s="22">
        <v>0</v>
      </c>
      <c r="AA117" s="371">
        <v>36.4</v>
      </c>
      <c r="AB117" s="22">
        <v>0.10989010989010989</v>
      </c>
      <c r="AC117" s="24">
        <v>0</v>
      </c>
      <c r="AD117" s="384">
        <v>0</v>
      </c>
    </row>
    <row r="118" spans="1:30">
      <c r="A118" s="21" t="s">
        <v>83</v>
      </c>
      <c r="B118" s="21" t="s">
        <v>84</v>
      </c>
      <c r="C118" s="23">
        <v>315</v>
      </c>
      <c r="D118" s="147">
        <v>17.07</v>
      </c>
      <c r="E118" s="22">
        <v>37.68</v>
      </c>
      <c r="F118" s="22">
        <v>54.75</v>
      </c>
      <c r="G118" s="22">
        <v>0</v>
      </c>
      <c r="H118" s="22">
        <v>35</v>
      </c>
      <c r="I118" s="22">
        <v>1.45</v>
      </c>
      <c r="J118" s="22">
        <v>37.6</v>
      </c>
      <c r="K118" s="22">
        <v>0</v>
      </c>
      <c r="L118" s="22">
        <v>0</v>
      </c>
      <c r="M118" s="388">
        <v>1058.05</v>
      </c>
      <c r="N118" s="25">
        <v>0.32329999999999998</v>
      </c>
      <c r="O118" s="24">
        <v>0</v>
      </c>
      <c r="P118" s="24">
        <v>28.75</v>
      </c>
      <c r="Q118" s="24">
        <v>20.75</v>
      </c>
      <c r="R118" s="22">
        <v>8</v>
      </c>
      <c r="S118" s="24">
        <v>2</v>
      </c>
      <c r="T118" s="24">
        <f t="shared" si="7"/>
        <v>30.75</v>
      </c>
      <c r="U118" s="376">
        <v>342.07</v>
      </c>
      <c r="V118" s="376">
        <v>0</v>
      </c>
      <c r="W118" s="22">
        <f t="shared" si="8"/>
        <v>110.59123099999999</v>
      </c>
      <c r="X118" s="22">
        <f t="shared" si="9"/>
        <v>183</v>
      </c>
      <c r="Y118" s="22">
        <v>127.25</v>
      </c>
      <c r="Z118" s="22">
        <v>55.75</v>
      </c>
      <c r="AA118" s="371">
        <v>1043.6099999999999</v>
      </c>
      <c r="AB118" s="22">
        <v>0.17535286170121023</v>
      </c>
      <c r="AC118" s="24">
        <v>4.0352861701210219E-2</v>
      </c>
      <c r="AD118" s="384">
        <v>-396308.81084985804</v>
      </c>
    </row>
    <row r="119" spans="1:30">
      <c r="A119" s="21" t="s">
        <v>101</v>
      </c>
      <c r="B119" s="21" t="s">
        <v>102</v>
      </c>
      <c r="C119" s="23">
        <v>15</v>
      </c>
      <c r="D119" s="147">
        <v>0</v>
      </c>
      <c r="E119" s="22">
        <v>0</v>
      </c>
      <c r="F119" s="22">
        <v>0</v>
      </c>
      <c r="G119" s="22">
        <v>0</v>
      </c>
      <c r="H119" s="22">
        <v>0</v>
      </c>
      <c r="I119" s="22">
        <v>0</v>
      </c>
      <c r="J119" s="22">
        <v>0</v>
      </c>
      <c r="K119" s="22">
        <v>0</v>
      </c>
      <c r="L119" s="22">
        <v>0</v>
      </c>
      <c r="M119" s="388">
        <v>30</v>
      </c>
      <c r="N119" s="25">
        <v>0.93940000000000001</v>
      </c>
      <c r="O119" s="24">
        <v>33</v>
      </c>
      <c r="P119" s="24">
        <v>0</v>
      </c>
      <c r="Q119" s="24">
        <v>0</v>
      </c>
      <c r="R119" s="22">
        <v>0</v>
      </c>
      <c r="S119" s="24">
        <v>0</v>
      </c>
      <c r="T119" s="24">
        <f t="shared" si="7"/>
        <v>0</v>
      </c>
      <c r="U119" s="376">
        <v>28.18</v>
      </c>
      <c r="V119" s="376">
        <v>0</v>
      </c>
      <c r="W119" s="22">
        <f t="shared" si="8"/>
        <v>26.472291999999999</v>
      </c>
      <c r="X119" s="22">
        <f t="shared" si="9"/>
        <v>3.5</v>
      </c>
      <c r="Y119" s="22">
        <v>3.5</v>
      </c>
      <c r="Z119" s="22">
        <v>0</v>
      </c>
      <c r="AA119" s="371">
        <v>33.4</v>
      </c>
      <c r="AB119" s="22">
        <v>0.10479041916167665</v>
      </c>
      <c r="AC119" s="24">
        <v>0</v>
      </c>
      <c r="AD119" s="384">
        <v>0</v>
      </c>
    </row>
    <row r="120" spans="1:30">
      <c r="A120" s="21" t="s">
        <v>87</v>
      </c>
      <c r="B120" s="21" t="s">
        <v>88</v>
      </c>
      <c r="C120" s="23">
        <v>1266</v>
      </c>
      <c r="D120" s="147">
        <v>63.76</v>
      </c>
      <c r="E120" s="22">
        <v>357.56</v>
      </c>
      <c r="F120" s="22">
        <v>421.32</v>
      </c>
      <c r="G120" s="22">
        <v>0</v>
      </c>
      <c r="H120" s="22">
        <v>106</v>
      </c>
      <c r="I120" s="22">
        <v>8.16</v>
      </c>
      <c r="J120" s="22">
        <v>234.93</v>
      </c>
      <c r="K120" s="22">
        <v>15.24</v>
      </c>
      <c r="L120" s="22">
        <v>1.22</v>
      </c>
      <c r="M120" s="388">
        <v>4512.55</v>
      </c>
      <c r="N120" s="25">
        <v>0.61299999999999999</v>
      </c>
      <c r="O120" s="24">
        <v>4531</v>
      </c>
      <c r="P120" s="24">
        <v>305.75</v>
      </c>
      <c r="Q120" s="24">
        <v>195.5</v>
      </c>
      <c r="R120" s="22">
        <v>110.25</v>
      </c>
      <c r="S120" s="24">
        <v>23.5</v>
      </c>
      <c r="T120" s="24">
        <f t="shared" si="7"/>
        <v>329.25</v>
      </c>
      <c r="U120" s="376">
        <v>2766.64</v>
      </c>
      <c r="V120" s="376">
        <v>225.63</v>
      </c>
      <c r="W120" s="22">
        <f t="shared" si="8"/>
        <v>1695.9503199999999</v>
      </c>
      <c r="X120" s="22">
        <f t="shared" si="9"/>
        <v>682.25</v>
      </c>
      <c r="Y120" s="22">
        <v>354.5</v>
      </c>
      <c r="Z120" s="22">
        <v>327.75</v>
      </c>
      <c r="AA120" s="371">
        <v>4781.29</v>
      </c>
      <c r="AB120" s="22">
        <v>0.14269161669758579</v>
      </c>
      <c r="AC120" s="24">
        <v>7.6916166975857791E-3</v>
      </c>
      <c r="AD120" s="384">
        <v>-343773.17906306096</v>
      </c>
    </row>
    <row r="121" spans="1:30">
      <c r="A121" s="21" t="s">
        <v>17</v>
      </c>
      <c r="B121" s="21" t="s">
        <v>18</v>
      </c>
      <c r="C121" s="23">
        <v>5502</v>
      </c>
      <c r="D121" s="147">
        <v>161.62</v>
      </c>
      <c r="E121" s="22">
        <v>961.01</v>
      </c>
      <c r="F121" s="22">
        <v>1122.6300000000001</v>
      </c>
      <c r="G121" s="22">
        <v>437.59</v>
      </c>
      <c r="H121" s="22">
        <v>370</v>
      </c>
      <c r="I121" s="22">
        <v>13.25</v>
      </c>
      <c r="J121" s="22">
        <v>791.23</v>
      </c>
      <c r="K121" s="22">
        <v>28.6</v>
      </c>
      <c r="L121" s="22">
        <v>0</v>
      </c>
      <c r="M121" s="388">
        <v>19007.079999999998</v>
      </c>
      <c r="N121" s="25">
        <v>0.58799999999999997</v>
      </c>
      <c r="O121" s="24">
        <v>12661</v>
      </c>
      <c r="P121" s="24">
        <v>2584.25</v>
      </c>
      <c r="Q121" s="24">
        <v>1687.75</v>
      </c>
      <c r="R121" s="22">
        <v>896.5</v>
      </c>
      <c r="S121" s="24">
        <v>492</v>
      </c>
      <c r="T121" s="24">
        <f t="shared" si="7"/>
        <v>3076.25</v>
      </c>
      <c r="U121" s="376">
        <v>11176.16</v>
      </c>
      <c r="V121" s="376">
        <v>950.35</v>
      </c>
      <c r="W121" s="22">
        <f t="shared" si="8"/>
        <v>6571.5820799999992</v>
      </c>
      <c r="X121" s="22">
        <f t="shared" si="9"/>
        <v>2171.75</v>
      </c>
      <c r="Y121" s="22">
        <v>1055</v>
      </c>
      <c r="Z121" s="22">
        <v>1116.75</v>
      </c>
      <c r="AA121" s="371">
        <v>18041.61</v>
      </c>
      <c r="AB121" s="22">
        <v>0.12037451203079991</v>
      </c>
      <c r="AC121" s="24">
        <v>0</v>
      </c>
      <c r="AD121" s="384">
        <v>0</v>
      </c>
    </row>
    <row r="122" spans="1:30">
      <c r="A122" s="21" t="s">
        <v>217</v>
      </c>
      <c r="B122" s="21" t="s">
        <v>218</v>
      </c>
      <c r="C122" s="23">
        <v>7562</v>
      </c>
      <c r="D122" s="147">
        <v>189.54</v>
      </c>
      <c r="E122" s="22">
        <v>1439.41</v>
      </c>
      <c r="F122" s="22">
        <v>1628.95</v>
      </c>
      <c r="G122" s="22">
        <v>0</v>
      </c>
      <c r="H122" s="22">
        <v>1020</v>
      </c>
      <c r="I122" s="22">
        <v>52.82</v>
      </c>
      <c r="J122" s="22">
        <v>52.16</v>
      </c>
      <c r="K122" s="22">
        <v>187.09</v>
      </c>
      <c r="L122" s="22">
        <v>6.68</v>
      </c>
      <c r="M122" s="388">
        <v>27541.75</v>
      </c>
      <c r="N122" s="25">
        <v>0.52290000000000003</v>
      </c>
      <c r="O122" s="24">
        <v>11515</v>
      </c>
      <c r="P122" s="24">
        <v>5805.75</v>
      </c>
      <c r="Q122" s="24">
        <v>3871.75</v>
      </c>
      <c r="R122" s="22">
        <v>1934</v>
      </c>
      <c r="S122" s="24">
        <v>734.5</v>
      </c>
      <c r="T122" s="24">
        <f t="shared" si="7"/>
        <v>6540.25</v>
      </c>
      <c r="U122" s="376">
        <v>14354.76</v>
      </c>
      <c r="V122" s="376">
        <v>1377.09</v>
      </c>
      <c r="W122" s="22">
        <f t="shared" si="8"/>
        <v>7506.1040040000007</v>
      </c>
      <c r="X122" s="22">
        <f t="shared" si="9"/>
        <v>2656.5</v>
      </c>
      <c r="Y122" s="22">
        <v>1480.75</v>
      </c>
      <c r="Z122" s="22">
        <v>1175.75</v>
      </c>
      <c r="AA122" s="371">
        <v>24742.76</v>
      </c>
      <c r="AB122" s="22">
        <v>0.10736474023108175</v>
      </c>
      <c r="AC122" s="24">
        <v>0</v>
      </c>
      <c r="AD122" s="384">
        <v>0</v>
      </c>
    </row>
    <row r="123" spans="1:30">
      <c r="A123" s="21" t="s">
        <v>505</v>
      </c>
      <c r="B123" s="21" t="s">
        <v>506</v>
      </c>
      <c r="C123" s="23">
        <v>228</v>
      </c>
      <c r="D123" s="147">
        <v>0</v>
      </c>
      <c r="E123" s="22">
        <v>55.25</v>
      </c>
      <c r="F123" s="22">
        <v>55.25</v>
      </c>
      <c r="G123" s="22">
        <v>0</v>
      </c>
      <c r="H123" s="22">
        <v>21</v>
      </c>
      <c r="I123" s="22">
        <v>1.4</v>
      </c>
      <c r="J123" s="22">
        <v>327.06</v>
      </c>
      <c r="K123" s="22">
        <v>0</v>
      </c>
      <c r="L123" s="22">
        <v>0</v>
      </c>
      <c r="M123" s="388">
        <v>1076.46</v>
      </c>
      <c r="N123" s="25">
        <v>0.53800000000000003</v>
      </c>
      <c r="O123" s="24">
        <v>726</v>
      </c>
      <c r="P123" s="24">
        <v>3</v>
      </c>
      <c r="Q123" s="24">
        <v>0</v>
      </c>
      <c r="R123" s="22">
        <v>3</v>
      </c>
      <c r="S123" s="24">
        <v>0</v>
      </c>
      <c r="T123" s="24">
        <f t="shared" si="7"/>
        <v>3</v>
      </c>
      <c r="U123" s="376">
        <v>527.25</v>
      </c>
      <c r="V123" s="376">
        <v>53.82</v>
      </c>
      <c r="W123" s="22">
        <f t="shared" si="8"/>
        <v>283.66050000000001</v>
      </c>
      <c r="X123" s="22">
        <f t="shared" si="9"/>
        <v>138.5</v>
      </c>
      <c r="Y123" s="22">
        <v>115.75</v>
      </c>
      <c r="Z123" s="22">
        <v>22.75</v>
      </c>
      <c r="AA123" s="371">
        <v>1051.67</v>
      </c>
      <c r="AB123" s="22">
        <v>0.13169530365989329</v>
      </c>
      <c r="AC123" s="24">
        <v>0</v>
      </c>
      <c r="AD123" s="384">
        <v>0</v>
      </c>
    </row>
    <row r="124" spans="1:30">
      <c r="A124" s="21" t="s">
        <v>21</v>
      </c>
      <c r="B124" s="21" t="s">
        <v>22</v>
      </c>
      <c r="C124" s="23">
        <v>390</v>
      </c>
      <c r="D124" s="147">
        <v>0</v>
      </c>
      <c r="E124" s="22">
        <v>85.13</v>
      </c>
      <c r="F124" s="22">
        <v>85.13</v>
      </c>
      <c r="G124" s="22">
        <v>0</v>
      </c>
      <c r="H124" s="22">
        <v>28</v>
      </c>
      <c r="I124" s="22">
        <v>0.3</v>
      </c>
      <c r="J124" s="22">
        <v>0</v>
      </c>
      <c r="K124" s="22">
        <v>2.8</v>
      </c>
      <c r="L124" s="22">
        <v>0</v>
      </c>
      <c r="M124" s="388">
        <v>1337.1</v>
      </c>
      <c r="N124" s="25">
        <v>0.70530000000000004</v>
      </c>
      <c r="O124" s="24">
        <v>1390</v>
      </c>
      <c r="P124" s="24">
        <v>343.5</v>
      </c>
      <c r="Q124" s="24">
        <v>219.5</v>
      </c>
      <c r="R124" s="22">
        <v>124</v>
      </c>
      <c r="S124" s="24">
        <v>68</v>
      </c>
      <c r="T124" s="24">
        <f t="shared" si="7"/>
        <v>411.5</v>
      </c>
      <c r="U124" s="376">
        <v>943.06</v>
      </c>
      <c r="V124" s="376">
        <v>66.86</v>
      </c>
      <c r="W124" s="22">
        <f t="shared" si="8"/>
        <v>665.140218</v>
      </c>
      <c r="X124" s="22">
        <f t="shared" si="9"/>
        <v>177.5</v>
      </c>
      <c r="Y124" s="22">
        <v>129.75</v>
      </c>
      <c r="Z124" s="22">
        <v>47.75</v>
      </c>
      <c r="AA124" s="371">
        <v>1414.66</v>
      </c>
      <c r="AB124" s="22">
        <v>0.12547184482490492</v>
      </c>
      <c r="AC124" s="24">
        <v>0</v>
      </c>
      <c r="AD124" s="384">
        <v>0</v>
      </c>
    </row>
    <row r="125" spans="1:30">
      <c r="A125" s="21" t="s">
        <v>247</v>
      </c>
      <c r="B125" s="21" t="s">
        <v>248</v>
      </c>
      <c r="C125" s="23">
        <v>160</v>
      </c>
      <c r="D125" s="147">
        <v>14.66</v>
      </c>
      <c r="E125" s="22">
        <v>40.69</v>
      </c>
      <c r="F125" s="22">
        <v>55.349999999999994</v>
      </c>
      <c r="G125" s="22">
        <v>0</v>
      </c>
      <c r="H125" s="22">
        <v>15</v>
      </c>
      <c r="I125" s="22">
        <v>0</v>
      </c>
      <c r="J125" s="22">
        <v>0</v>
      </c>
      <c r="K125" s="22">
        <v>0</v>
      </c>
      <c r="L125" s="22">
        <v>0</v>
      </c>
      <c r="M125" s="388">
        <v>546</v>
      </c>
      <c r="N125" s="25">
        <v>0.47520000000000001</v>
      </c>
      <c r="O125" s="24">
        <v>0</v>
      </c>
      <c r="P125" s="24">
        <v>32.25</v>
      </c>
      <c r="Q125" s="24">
        <v>13</v>
      </c>
      <c r="R125" s="22">
        <v>19.25</v>
      </c>
      <c r="S125" s="24">
        <v>5.75</v>
      </c>
      <c r="T125" s="24">
        <f t="shared" si="7"/>
        <v>38</v>
      </c>
      <c r="U125" s="376">
        <v>259.45999999999998</v>
      </c>
      <c r="V125" s="376">
        <v>0</v>
      </c>
      <c r="W125" s="22">
        <f t="shared" si="8"/>
        <v>123.29539199999999</v>
      </c>
      <c r="X125" s="22">
        <f t="shared" si="9"/>
        <v>82.75</v>
      </c>
      <c r="Y125" s="22">
        <v>61</v>
      </c>
      <c r="Z125" s="22">
        <v>21.75</v>
      </c>
      <c r="AA125" s="371">
        <v>578.49</v>
      </c>
      <c r="AB125" s="22">
        <v>0.14304482359245621</v>
      </c>
      <c r="AC125" s="24">
        <v>8.0448235924562017E-3</v>
      </c>
      <c r="AD125" s="384">
        <v>-43795.146141967605</v>
      </c>
    </row>
    <row r="126" spans="1:30">
      <c r="A126" s="21" t="s">
        <v>261</v>
      </c>
      <c r="B126" s="21" t="s">
        <v>262</v>
      </c>
      <c r="C126" s="23">
        <v>19</v>
      </c>
      <c r="D126" s="147">
        <v>0</v>
      </c>
      <c r="E126" s="22">
        <v>0</v>
      </c>
      <c r="F126" s="22">
        <v>0</v>
      </c>
      <c r="G126" s="22">
        <v>0</v>
      </c>
      <c r="H126" s="22">
        <v>2</v>
      </c>
      <c r="I126" s="22">
        <v>0</v>
      </c>
      <c r="J126" s="22">
        <v>0</v>
      </c>
      <c r="K126" s="22">
        <v>0</v>
      </c>
      <c r="L126" s="22">
        <v>0</v>
      </c>
      <c r="M126" s="388">
        <v>70</v>
      </c>
      <c r="N126" s="25">
        <v>0.51759999999999995</v>
      </c>
      <c r="O126" s="24">
        <v>91</v>
      </c>
      <c r="P126" s="24">
        <v>0</v>
      </c>
      <c r="Q126" s="24">
        <v>0</v>
      </c>
      <c r="R126" s="22">
        <v>0</v>
      </c>
      <c r="S126" s="24">
        <v>0</v>
      </c>
      <c r="T126" s="24">
        <f t="shared" si="7"/>
        <v>0</v>
      </c>
      <c r="U126" s="376">
        <v>36.229999999999997</v>
      </c>
      <c r="V126" s="376">
        <v>3.5</v>
      </c>
      <c r="W126" s="22">
        <f t="shared" si="8"/>
        <v>18.752647999999997</v>
      </c>
      <c r="X126" s="22">
        <f t="shared" si="9"/>
        <v>9.5</v>
      </c>
      <c r="Y126" s="22">
        <v>9.25</v>
      </c>
      <c r="Z126" s="22">
        <v>0.25</v>
      </c>
      <c r="AA126" s="371">
        <v>92.7</v>
      </c>
      <c r="AB126" s="22">
        <v>0.10248112189859762</v>
      </c>
      <c r="AC126" s="24">
        <v>0</v>
      </c>
      <c r="AD126" s="384">
        <v>0</v>
      </c>
    </row>
    <row r="127" spans="1:30">
      <c r="A127" s="21" t="s">
        <v>59</v>
      </c>
      <c r="B127" s="21" t="s">
        <v>60</v>
      </c>
      <c r="C127" s="23">
        <v>462</v>
      </c>
      <c r="D127" s="147">
        <v>0</v>
      </c>
      <c r="E127" s="22">
        <v>44.81</v>
      </c>
      <c r="F127" s="22">
        <v>44.81</v>
      </c>
      <c r="G127" s="22">
        <v>0</v>
      </c>
      <c r="H127" s="22">
        <v>44</v>
      </c>
      <c r="I127" s="22">
        <v>1.4</v>
      </c>
      <c r="J127" s="22">
        <v>85.94</v>
      </c>
      <c r="K127" s="22">
        <v>3</v>
      </c>
      <c r="L127" s="22">
        <v>0</v>
      </c>
      <c r="M127" s="388">
        <v>1737.3400000000001</v>
      </c>
      <c r="N127" s="25">
        <v>0.25490000000000002</v>
      </c>
      <c r="O127" s="24">
        <v>0</v>
      </c>
      <c r="P127" s="24">
        <v>43.25</v>
      </c>
      <c r="Q127" s="24">
        <v>26.5</v>
      </c>
      <c r="R127" s="22">
        <v>16.75</v>
      </c>
      <c r="S127" s="24">
        <v>4.25</v>
      </c>
      <c r="T127" s="24">
        <f t="shared" si="7"/>
        <v>47.5</v>
      </c>
      <c r="U127" s="376">
        <v>442.85</v>
      </c>
      <c r="V127" s="376">
        <v>86.87</v>
      </c>
      <c r="W127" s="22">
        <f t="shared" si="8"/>
        <v>112.88246500000001</v>
      </c>
      <c r="X127" s="22">
        <f t="shared" si="9"/>
        <v>221.25</v>
      </c>
      <c r="Y127" s="22">
        <v>108.5</v>
      </c>
      <c r="Z127" s="22">
        <v>112.75</v>
      </c>
      <c r="AA127" s="371">
        <v>1702.47</v>
      </c>
      <c r="AB127" s="22">
        <v>0.12995823714955329</v>
      </c>
      <c r="AC127" s="24">
        <v>0</v>
      </c>
      <c r="AD127" s="384">
        <v>0</v>
      </c>
    </row>
    <row r="128" spans="1:30">
      <c r="A128" s="21" t="s">
        <v>409</v>
      </c>
      <c r="B128" s="21" t="s">
        <v>410</v>
      </c>
      <c r="C128" s="23">
        <v>201</v>
      </c>
      <c r="D128" s="147">
        <v>0</v>
      </c>
      <c r="E128" s="22">
        <v>15.18</v>
      </c>
      <c r="F128" s="22">
        <v>15.18</v>
      </c>
      <c r="G128" s="22">
        <v>0</v>
      </c>
      <c r="H128" s="22">
        <v>20</v>
      </c>
      <c r="I128" s="22">
        <v>1.27</v>
      </c>
      <c r="J128" s="22">
        <v>0</v>
      </c>
      <c r="K128" s="22">
        <v>0.8</v>
      </c>
      <c r="L128" s="22">
        <v>0</v>
      </c>
      <c r="M128" s="388">
        <v>594.06999999999994</v>
      </c>
      <c r="N128" s="25">
        <v>0.58089999999999997</v>
      </c>
      <c r="O128" s="24">
        <v>580</v>
      </c>
      <c r="P128" s="24">
        <v>11</v>
      </c>
      <c r="Q128" s="24">
        <v>4.25</v>
      </c>
      <c r="R128" s="22">
        <v>6.75</v>
      </c>
      <c r="S128" s="24">
        <v>1</v>
      </c>
      <c r="T128" s="24">
        <f t="shared" si="7"/>
        <v>12</v>
      </c>
      <c r="U128" s="376">
        <v>345.1</v>
      </c>
      <c r="V128" s="376">
        <v>29.7</v>
      </c>
      <c r="W128" s="22">
        <f t="shared" si="8"/>
        <v>200.46859000000001</v>
      </c>
      <c r="X128" s="22">
        <f t="shared" si="9"/>
        <v>86.5</v>
      </c>
      <c r="Y128" s="22">
        <v>74.25</v>
      </c>
      <c r="Z128" s="22">
        <v>12.25</v>
      </c>
      <c r="AA128" s="371">
        <v>590.12</v>
      </c>
      <c r="AB128" s="22">
        <v>0.14658035653765336</v>
      </c>
      <c r="AC128" s="24">
        <v>1.1580356537653352E-2</v>
      </c>
      <c r="AD128" s="384">
        <v>-72361.63915571697</v>
      </c>
    </row>
    <row r="129" spans="1:30">
      <c r="A129" s="21" t="s">
        <v>555</v>
      </c>
      <c r="B129" s="21" t="s">
        <v>556</v>
      </c>
      <c r="C129" s="23">
        <v>24</v>
      </c>
      <c r="D129" s="147">
        <v>0</v>
      </c>
      <c r="E129" s="22">
        <v>3.74</v>
      </c>
      <c r="F129" s="22">
        <v>3.74</v>
      </c>
      <c r="G129" s="22">
        <v>0</v>
      </c>
      <c r="H129" s="22">
        <v>0</v>
      </c>
      <c r="I129" s="22">
        <v>0</v>
      </c>
      <c r="J129" s="22">
        <v>0</v>
      </c>
      <c r="K129" s="22">
        <v>0</v>
      </c>
      <c r="L129" s="22">
        <v>0</v>
      </c>
      <c r="M129" s="388">
        <v>73</v>
      </c>
      <c r="N129" s="25">
        <v>0.42470000000000002</v>
      </c>
      <c r="O129" s="24">
        <v>0</v>
      </c>
      <c r="P129" s="24">
        <v>0</v>
      </c>
      <c r="Q129" s="24">
        <v>0</v>
      </c>
      <c r="R129" s="22">
        <v>0</v>
      </c>
      <c r="S129" s="24">
        <v>0</v>
      </c>
      <c r="T129" s="24">
        <f t="shared" si="7"/>
        <v>0</v>
      </c>
      <c r="U129" s="376">
        <v>31</v>
      </c>
      <c r="V129" s="376">
        <v>3.65</v>
      </c>
      <c r="W129" s="22">
        <f t="shared" si="8"/>
        <v>13.165700000000001</v>
      </c>
      <c r="X129" s="22">
        <f t="shared" si="9"/>
        <v>10.5</v>
      </c>
      <c r="Y129" s="22">
        <v>8.5</v>
      </c>
      <c r="Z129" s="22">
        <v>2</v>
      </c>
      <c r="AA129" s="371">
        <v>79.400000000000006</v>
      </c>
      <c r="AB129" s="22">
        <v>0.13224181360201509</v>
      </c>
      <c r="AC129" s="24">
        <v>0</v>
      </c>
      <c r="AD129" s="384">
        <v>0</v>
      </c>
    </row>
    <row r="130" spans="1:30">
      <c r="A130" s="21" t="s">
        <v>35</v>
      </c>
      <c r="B130" s="21" t="s">
        <v>36</v>
      </c>
      <c r="C130" s="23">
        <v>334</v>
      </c>
      <c r="D130" s="147">
        <v>0</v>
      </c>
      <c r="E130" s="22">
        <v>101.2</v>
      </c>
      <c r="F130" s="22">
        <v>101.2</v>
      </c>
      <c r="G130" s="22">
        <v>0</v>
      </c>
      <c r="H130" s="22">
        <v>30</v>
      </c>
      <c r="I130" s="22">
        <v>0.05</v>
      </c>
      <c r="J130" s="22">
        <v>6.3999999999999995</v>
      </c>
      <c r="K130" s="22">
        <v>0</v>
      </c>
      <c r="L130" s="22">
        <v>0</v>
      </c>
      <c r="M130" s="388">
        <v>1244.45</v>
      </c>
      <c r="N130" s="25">
        <v>0.61150000000000004</v>
      </c>
      <c r="O130" s="24">
        <v>1252</v>
      </c>
      <c r="P130" s="24">
        <v>358</v>
      </c>
      <c r="Q130" s="24">
        <v>230.25</v>
      </c>
      <c r="R130" s="22">
        <v>127.75</v>
      </c>
      <c r="S130" s="24">
        <v>33</v>
      </c>
      <c r="T130" s="24">
        <f t="shared" si="7"/>
        <v>391</v>
      </c>
      <c r="U130" s="376">
        <v>760.98</v>
      </c>
      <c r="V130" s="376">
        <v>62.22</v>
      </c>
      <c r="W130" s="22">
        <f t="shared" si="8"/>
        <v>465.33927000000006</v>
      </c>
      <c r="X130" s="22">
        <f t="shared" si="9"/>
        <v>128</v>
      </c>
      <c r="Y130" s="22">
        <v>108.25</v>
      </c>
      <c r="Z130" s="22">
        <v>19.75</v>
      </c>
      <c r="AA130" s="371">
        <v>1255.95</v>
      </c>
      <c r="AB130" s="22">
        <v>0.1019148851467017</v>
      </c>
      <c r="AC130" s="24">
        <v>0</v>
      </c>
      <c r="AD130" s="384">
        <v>0</v>
      </c>
    </row>
    <row r="131" spans="1:30">
      <c r="A131" s="21" t="s">
        <v>155</v>
      </c>
      <c r="B131" s="21" t="s">
        <v>156</v>
      </c>
      <c r="C131" s="23">
        <v>51</v>
      </c>
      <c r="D131" s="147">
        <v>0</v>
      </c>
      <c r="E131" s="22">
        <v>5</v>
      </c>
      <c r="F131" s="22">
        <v>5</v>
      </c>
      <c r="G131" s="22">
        <v>0</v>
      </c>
      <c r="H131" s="22">
        <v>4</v>
      </c>
      <c r="I131" s="22">
        <v>1.08</v>
      </c>
      <c r="J131" s="22">
        <v>0</v>
      </c>
      <c r="K131" s="22">
        <v>0</v>
      </c>
      <c r="L131" s="22">
        <v>0</v>
      </c>
      <c r="M131" s="388">
        <v>189.08</v>
      </c>
      <c r="N131" s="25">
        <v>1</v>
      </c>
      <c r="O131" s="24">
        <v>173</v>
      </c>
      <c r="P131" s="24">
        <v>48</v>
      </c>
      <c r="Q131" s="24">
        <v>27</v>
      </c>
      <c r="R131" s="22">
        <v>21</v>
      </c>
      <c r="S131" s="24">
        <v>3</v>
      </c>
      <c r="T131" s="24">
        <f t="shared" si="7"/>
        <v>51</v>
      </c>
      <c r="U131" s="376">
        <v>189.08</v>
      </c>
      <c r="V131" s="376">
        <v>0</v>
      </c>
      <c r="W131" s="22">
        <f t="shared" si="8"/>
        <v>189.08</v>
      </c>
      <c r="X131" s="22">
        <f t="shared" si="9"/>
        <v>32.5</v>
      </c>
      <c r="Y131" s="22">
        <v>17</v>
      </c>
      <c r="Z131" s="22">
        <v>15.5</v>
      </c>
      <c r="AA131" s="371">
        <v>174.77</v>
      </c>
      <c r="AB131" s="22">
        <v>0.1859586885621102</v>
      </c>
      <c r="AC131" s="24">
        <v>5.0958688562110194E-2</v>
      </c>
      <c r="AD131" s="384">
        <v>-82926.235703016733</v>
      </c>
    </row>
    <row r="132" spans="1:30">
      <c r="A132" s="21" t="s">
        <v>425</v>
      </c>
      <c r="B132" s="21" t="s">
        <v>426</v>
      </c>
      <c r="C132" s="23">
        <v>2675</v>
      </c>
      <c r="D132" s="147">
        <v>132.18</v>
      </c>
      <c r="E132" s="22">
        <v>482.6</v>
      </c>
      <c r="F132" s="22">
        <v>614.78</v>
      </c>
      <c r="G132" s="22">
        <v>0</v>
      </c>
      <c r="H132" s="22">
        <v>180</v>
      </c>
      <c r="I132" s="22">
        <v>8.15</v>
      </c>
      <c r="J132" s="22">
        <v>70.739999999999995</v>
      </c>
      <c r="K132" s="22">
        <v>0</v>
      </c>
      <c r="L132" s="22">
        <v>0</v>
      </c>
      <c r="M132" s="388">
        <v>9374.89</v>
      </c>
      <c r="N132" s="25">
        <v>0.25</v>
      </c>
      <c r="O132" s="24">
        <v>0</v>
      </c>
      <c r="P132" s="24">
        <v>589.75</v>
      </c>
      <c r="Q132" s="24">
        <v>446</v>
      </c>
      <c r="R132" s="22">
        <v>143.75</v>
      </c>
      <c r="S132" s="24">
        <v>148.75</v>
      </c>
      <c r="T132" s="24">
        <f t="shared" si="7"/>
        <v>738.5</v>
      </c>
      <c r="U132" s="376">
        <v>2343.7199999999998</v>
      </c>
      <c r="V132" s="376">
        <v>468.74</v>
      </c>
      <c r="W132" s="22">
        <f t="shared" si="8"/>
        <v>585.92999999999995</v>
      </c>
      <c r="X132" s="22">
        <f t="shared" si="9"/>
        <v>1274</v>
      </c>
      <c r="Y132" s="22">
        <v>707.75</v>
      </c>
      <c r="Z132" s="22">
        <v>566.25</v>
      </c>
      <c r="AA132" s="371">
        <v>9346.59</v>
      </c>
      <c r="AB132" s="22">
        <v>0.13630639623648838</v>
      </c>
      <c r="AC132" s="24">
        <v>1.3063962364883719E-3</v>
      </c>
      <c r="AD132" s="384">
        <v>-129037.97424952891</v>
      </c>
    </row>
    <row r="133" spans="1:30">
      <c r="A133" s="21" t="s">
        <v>215</v>
      </c>
      <c r="B133" s="21" t="s">
        <v>216</v>
      </c>
      <c r="C133" s="23">
        <v>9427</v>
      </c>
      <c r="D133" s="147">
        <v>317.70999999999998</v>
      </c>
      <c r="E133" s="22">
        <v>1625.12</v>
      </c>
      <c r="F133" s="22">
        <v>1942.83</v>
      </c>
      <c r="G133" s="22">
        <v>312.97000000000003</v>
      </c>
      <c r="H133" s="22">
        <v>610</v>
      </c>
      <c r="I133" s="22">
        <v>41.71</v>
      </c>
      <c r="J133" s="22">
        <v>290.98</v>
      </c>
      <c r="K133" s="22">
        <v>0</v>
      </c>
      <c r="L133" s="22">
        <v>0</v>
      </c>
      <c r="M133" s="388">
        <v>31609.69</v>
      </c>
      <c r="N133" s="25">
        <v>0.10920000000000001</v>
      </c>
      <c r="O133" s="24">
        <v>0</v>
      </c>
      <c r="P133" s="24">
        <v>3466</v>
      </c>
      <c r="Q133" s="24">
        <v>2776.5</v>
      </c>
      <c r="R133" s="22">
        <v>689.5</v>
      </c>
      <c r="S133" s="24">
        <v>1325.5</v>
      </c>
      <c r="T133" s="24">
        <f t="shared" si="7"/>
        <v>4791.5</v>
      </c>
      <c r="U133" s="376">
        <v>3451.78</v>
      </c>
      <c r="V133" s="376">
        <v>1580.48</v>
      </c>
      <c r="W133" s="22">
        <f t="shared" si="8"/>
        <v>376.93437600000004</v>
      </c>
      <c r="X133" s="22">
        <f t="shared" si="9"/>
        <v>2745</v>
      </c>
      <c r="Y133" s="22">
        <v>1818.75</v>
      </c>
      <c r="Z133" s="22">
        <v>926.25</v>
      </c>
      <c r="AA133" s="371">
        <v>30482.65</v>
      </c>
      <c r="AB133" s="22">
        <v>9.0051225861268624E-2</v>
      </c>
      <c r="AC133" s="24">
        <v>0</v>
      </c>
      <c r="AD133" s="384">
        <v>0</v>
      </c>
    </row>
    <row r="134" spans="1:30">
      <c r="A134" s="21" t="s">
        <v>441</v>
      </c>
      <c r="B134" s="21" t="s">
        <v>442</v>
      </c>
      <c r="C134" s="23">
        <v>771</v>
      </c>
      <c r="D134" s="147">
        <v>18.41</v>
      </c>
      <c r="E134" s="22">
        <v>103.32</v>
      </c>
      <c r="F134" s="22">
        <v>121.72999999999999</v>
      </c>
      <c r="G134" s="22">
        <v>0</v>
      </c>
      <c r="H134" s="22">
        <v>38</v>
      </c>
      <c r="I134" s="22">
        <v>1.61</v>
      </c>
      <c r="J134" s="22">
        <v>79.430000000000007</v>
      </c>
      <c r="K134" s="22">
        <v>0</v>
      </c>
      <c r="L134" s="22">
        <v>0</v>
      </c>
      <c r="M134" s="388">
        <v>2617.04</v>
      </c>
      <c r="N134" s="25">
        <v>0.43070000000000003</v>
      </c>
      <c r="O134" s="24">
        <v>0</v>
      </c>
      <c r="P134" s="24">
        <v>207.75</v>
      </c>
      <c r="Q134" s="24">
        <v>124.5</v>
      </c>
      <c r="R134" s="22">
        <v>83.25</v>
      </c>
      <c r="S134" s="24">
        <v>25</v>
      </c>
      <c r="T134" s="24">
        <f t="shared" si="7"/>
        <v>232.75</v>
      </c>
      <c r="U134" s="376">
        <v>1128.21</v>
      </c>
      <c r="V134" s="376">
        <v>130.85</v>
      </c>
      <c r="W134" s="22">
        <f t="shared" si="8"/>
        <v>485.92004700000007</v>
      </c>
      <c r="X134" s="22">
        <f t="shared" si="9"/>
        <v>403</v>
      </c>
      <c r="Y134" s="22">
        <v>238</v>
      </c>
      <c r="Z134" s="22">
        <v>165</v>
      </c>
      <c r="AA134" s="371">
        <v>2556.42</v>
      </c>
      <c r="AB134" s="22">
        <v>0.15764232794298277</v>
      </c>
      <c r="AC134" s="24">
        <v>2.2642327942982765E-2</v>
      </c>
      <c r="AD134" s="384">
        <v>-602647.62675868615</v>
      </c>
    </row>
    <row r="135" spans="1:30">
      <c r="A135" s="21" t="s">
        <v>557</v>
      </c>
      <c r="B135" s="21" t="s">
        <v>558</v>
      </c>
      <c r="C135" s="23">
        <v>0</v>
      </c>
      <c r="D135" s="147">
        <v>0</v>
      </c>
      <c r="E135" s="22">
        <v>0</v>
      </c>
      <c r="F135" s="22">
        <v>0</v>
      </c>
      <c r="G135" s="22">
        <v>0</v>
      </c>
      <c r="H135" s="22">
        <v>0</v>
      </c>
      <c r="I135" s="22">
        <v>0</v>
      </c>
      <c r="J135" s="22">
        <v>0</v>
      </c>
      <c r="K135" s="22">
        <v>0</v>
      </c>
      <c r="L135" s="22">
        <v>0</v>
      </c>
      <c r="M135" s="388">
        <v>31</v>
      </c>
      <c r="N135" s="25">
        <v>0.73529999999999995</v>
      </c>
      <c r="O135" s="24">
        <v>37</v>
      </c>
      <c r="P135" s="24">
        <v>0</v>
      </c>
      <c r="Q135" s="24">
        <v>0</v>
      </c>
      <c r="R135" s="22">
        <v>0</v>
      </c>
      <c r="S135" s="24">
        <v>0</v>
      </c>
      <c r="T135" s="24">
        <f t="shared" si="7"/>
        <v>0</v>
      </c>
      <c r="U135" s="376">
        <v>22.79</v>
      </c>
      <c r="V135" s="376">
        <v>1.55</v>
      </c>
      <c r="W135" s="22">
        <f t="shared" si="8"/>
        <v>16.757486999999998</v>
      </c>
      <c r="X135" s="22">
        <f t="shared" si="9"/>
        <v>8</v>
      </c>
      <c r="Y135" s="22">
        <v>3.75</v>
      </c>
      <c r="Z135" s="22">
        <v>4.25</v>
      </c>
      <c r="AA135" s="371">
        <v>36.799999999999997</v>
      </c>
      <c r="AB135" s="22">
        <v>0.21739130434782611</v>
      </c>
      <c r="AC135" s="24">
        <v>8.23913043478261E-2</v>
      </c>
      <c r="AD135" s="384">
        <v>-25448.542106890094</v>
      </c>
    </row>
    <row r="136" spans="1:30">
      <c r="A136" s="21" t="s">
        <v>471</v>
      </c>
      <c r="B136" s="21" t="s">
        <v>472</v>
      </c>
      <c r="C136" s="23">
        <v>186</v>
      </c>
      <c r="D136" s="147">
        <v>0</v>
      </c>
      <c r="E136" s="22">
        <v>30.08</v>
      </c>
      <c r="F136" s="22">
        <v>30.08</v>
      </c>
      <c r="G136" s="22">
        <v>0</v>
      </c>
      <c r="H136" s="22">
        <v>17</v>
      </c>
      <c r="I136" s="22">
        <v>0</v>
      </c>
      <c r="J136" s="22">
        <v>4.5999999999999996</v>
      </c>
      <c r="K136" s="22">
        <v>0</v>
      </c>
      <c r="L136" s="22">
        <v>0</v>
      </c>
      <c r="M136" s="388">
        <v>564.6</v>
      </c>
      <c r="N136" s="25">
        <v>0.32419999999999999</v>
      </c>
      <c r="O136" s="24">
        <v>0</v>
      </c>
      <c r="P136" s="24">
        <v>1</v>
      </c>
      <c r="Q136" s="24">
        <v>0</v>
      </c>
      <c r="R136" s="22">
        <v>1</v>
      </c>
      <c r="S136" s="24">
        <v>0</v>
      </c>
      <c r="T136" s="24">
        <f t="shared" si="7"/>
        <v>1</v>
      </c>
      <c r="U136" s="376">
        <v>183.04</v>
      </c>
      <c r="V136" s="376">
        <v>0</v>
      </c>
      <c r="W136" s="22">
        <f t="shared" si="8"/>
        <v>59.341567999999995</v>
      </c>
      <c r="X136" s="22">
        <f t="shared" si="9"/>
        <v>64.5</v>
      </c>
      <c r="Y136" s="22">
        <v>48.75</v>
      </c>
      <c r="Z136" s="22">
        <v>15.75</v>
      </c>
      <c r="AA136" s="371">
        <v>568.51</v>
      </c>
      <c r="AB136" s="22">
        <v>0.11345446869887953</v>
      </c>
      <c r="AC136" s="24">
        <v>0</v>
      </c>
      <c r="AD136" s="384">
        <v>0</v>
      </c>
    </row>
    <row r="137" spans="1:30">
      <c r="A137" s="21" t="s">
        <v>9</v>
      </c>
      <c r="B137" s="21" t="s">
        <v>10</v>
      </c>
      <c r="C137" s="23">
        <v>46</v>
      </c>
      <c r="D137" s="147">
        <v>4.72</v>
      </c>
      <c r="E137" s="22">
        <v>13.05</v>
      </c>
      <c r="F137" s="22">
        <v>17.77</v>
      </c>
      <c r="G137" s="22">
        <v>0</v>
      </c>
      <c r="H137" s="22">
        <v>0</v>
      </c>
      <c r="I137" s="22">
        <v>0</v>
      </c>
      <c r="J137" s="22">
        <v>0</v>
      </c>
      <c r="K137" s="22">
        <v>0</v>
      </c>
      <c r="L137" s="22">
        <v>0</v>
      </c>
      <c r="M137" s="388">
        <v>180</v>
      </c>
      <c r="N137" s="25">
        <v>0.70589999999999997</v>
      </c>
      <c r="O137" s="24">
        <v>185</v>
      </c>
      <c r="P137" s="24">
        <v>29</v>
      </c>
      <c r="Q137" s="24">
        <v>18</v>
      </c>
      <c r="R137" s="22">
        <v>11</v>
      </c>
      <c r="S137" s="24">
        <v>4</v>
      </c>
      <c r="T137" s="24">
        <f t="shared" ref="T137:T200" si="10">S137+P137</f>
        <v>33</v>
      </c>
      <c r="U137" s="376">
        <v>127.06</v>
      </c>
      <c r="V137" s="376">
        <v>0</v>
      </c>
      <c r="W137" s="22">
        <f t="shared" ref="W137:W200" si="11">U137*N137</f>
        <v>89.691654</v>
      </c>
      <c r="X137" s="22">
        <f t="shared" ref="X137:X200" si="12">Y137+Z137</f>
        <v>18.5</v>
      </c>
      <c r="Y137" s="22">
        <v>16</v>
      </c>
      <c r="Z137" s="22">
        <v>2.5</v>
      </c>
      <c r="AA137" s="371">
        <v>188.2</v>
      </c>
      <c r="AB137" s="22">
        <v>9.829968119022317E-2</v>
      </c>
      <c r="AC137" s="24">
        <v>0</v>
      </c>
      <c r="AD137" s="384">
        <v>0</v>
      </c>
    </row>
    <row r="138" spans="1:30">
      <c r="A138" s="21" t="s">
        <v>77</v>
      </c>
      <c r="B138" s="21" t="s">
        <v>78</v>
      </c>
      <c r="C138" s="23">
        <v>1986</v>
      </c>
      <c r="D138" s="147">
        <v>46.14</v>
      </c>
      <c r="E138" s="22">
        <v>376.42</v>
      </c>
      <c r="F138" s="22">
        <v>422.56</v>
      </c>
      <c r="G138" s="22">
        <v>0</v>
      </c>
      <c r="H138" s="22">
        <v>168</v>
      </c>
      <c r="I138" s="22">
        <v>10.94</v>
      </c>
      <c r="J138" s="22">
        <v>108.23</v>
      </c>
      <c r="K138" s="22">
        <v>27.96</v>
      </c>
      <c r="L138" s="22">
        <v>1.44</v>
      </c>
      <c r="M138" s="388">
        <v>6530.5699999999988</v>
      </c>
      <c r="N138" s="25">
        <v>0.63149999999999995</v>
      </c>
      <c r="O138" s="24">
        <v>4537</v>
      </c>
      <c r="P138" s="24">
        <v>402.75</v>
      </c>
      <c r="Q138" s="24">
        <v>267.25</v>
      </c>
      <c r="R138" s="22">
        <v>135.5</v>
      </c>
      <c r="S138" s="24">
        <v>69.25</v>
      </c>
      <c r="T138" s="24">
        <f t="shared" si="10"/>
        <v>472</v>
      </c>
      <c r="U138" s="376">
        <v>4096.63</v>
      </c>
      <c r="V138" s="376">
        <v>326.52999999999997</v>
      </c>
      <c r="W138" s="22">
        <f t="shared" si="11"/>
        <v>2587.0218449999998</v>
      </c>
      <c r="X138" s="22">
        <f t="shared" si="12"/>
        <v>997.25</v>
      </c>
      <c r="Y138" s="22">
        <v>560</v>
      </c>
      <c r="Z138" s="22">
        <v>437.25</v>
      </c>
      <c r="AA138" s="371">
        <v>6173.13</v>
      </c>
      <c r="AB138" s="22">
        <v>0.16154689760299881</v>
      </c>
      <c r="AC138" s="24">
        <v>2.6546897602998804E-2</v>
      </c>
      <c r="AD138" s="384">
        <v>-1540904.3483792448</v>
      </c>
    </row>
    <row r="139" spans="1:30">
      <c r="A139" s="21" t="s">
        <v>493</v>
      </c>
      <c r="B139" s="21" t="s">
        <v>494</v>
      </c>
      <c r="C139" s="23">
        <v>53</v>
      </c>
      <c r="D139" s="147">
        <v>0</v>
      </c>
      <c r="E139" s="22">
        <v>0</v>
      </c>
      <c r="F139" s="22">
        <v>0</v>
      </c>
      <c r="G139" s="22">
        <v>0</v>
      </c>
      <c r="H139" s="22">
        <v>0</v>
      </c>
      <c r="I139" s="22">
        <v>0</v>
      </c>
      <c r="J139" s="22">
        <v>126.3</v>
      </c>
      <c r="K139" s="22">
        <v>0</v>
      </c>
      <c r="L139" s="22">
        <v>0</v>
      </c>
      <c r="M139" s="388">
        <v>223.3</v>
      </c>
      <c r="N139" s="25">
        <v>0.56200000000000006</v>
      </c>
      <c r="O139" s="24">
        <v>106</v>
      </c>
      <c r="P139" s="24">
        <v>0</v>
      </c>
      <c r="Q139" s="24">
        <v>0</v>
      </c>
      <c r="R139" s="22">
        <v>0</v>
      </c>
      <c r="S139" s="24">
        <v>0</v>
      </c>
      <c r="T139" s="24">
        <f t="shared" si="10"/>
        <v>0</v>
      </c>
      <c r="U139" s="376">
        <v>124.58</v>
      </c>
      <c r="V139" s="376">
        <v>0</v>
      </c>
      <c r="W139" s="22">
        <f t="shared" si="11"/>
        <v>70.013960000000012</v>
      </c>
      <c r="X139" s="22">
        <f t="shared" si="12"/>
        <v>17.5</v>
      </c>
      <c r="Y139" s="22">
        <v>10.25</v>
      </c>
      <c r="Z139" s="22">
        <v>7.25</v>
      </c>
      <c r="AA139" s="371">
        <v>231.1</v>
      </c>
      <c r="AB139" s="22">
        <v>7.5724794461272185E-2</v>
      </c>
      <c r="AC139" s="24">
        <v>0</v>
      </c>
      <c r="AD139" s="384">
        <v>0</v>
      </c>
    </row>
    <row r="140" spans="1:30">
      <c r="A140" s="21" t="s">
        <v>397</v>
      </c>
      <c r="B140" s="21" t="s">
        <v>398</v>
      </c>
      <c r="C140" s="23">
        <v>61</v>
      </c>
      <c r="D140" s="147">
        <v>0.7</v>
      </c>
      <c r="E140" s="22">
        <v>12.57</v>
      </c>
      <c r="F140" s="22">
        <v>13.27</v>
      </c>
      <c r="G140" s="22">
        <v>0</v>
      </c>
      <c r="H140" s="22">
        <v>4</v>
      </c>
      <c r="I140" s="22">
        <v>0.1</v>
      </c>
      <c r="J140" s="22">
        <v>19.75</v>
      </c>
      <c r="K140" s="22">
        <v>0</v>
      </c>
      <c r="L140" s="22">
        <v>0</v>
      </c>
      <c r="M140" s="388">
        <v>236.85</v>
      </c>
      <c r="N140" s="25">
        <v>0.44</v>
      </c>
      <c r="O140" s="24">
        <v>0</v>
      </c>
      <c r="P140" s="24">
        <v>18</v>
      </c>
      <c r="Q140" s="24">
        <v>14</v>
      </c>
      <c r="R140" s="22">
        <v>4</v>
      </c>
      <c r="S140" s="24">
        <v>0</v>
      </c>
      <c r="T140" s="24">
        <f t="shared" si="10"/>
        <v>18</v>
      </c>
      <c r="U140" s="376">
        <v>104.21</v>
      </c>
      <c r="V140" s="376">
        <v>11.84</v>
      </c>
      <c r="W140" s="22">
        <f t="shared" si="11"/>
        <v>45.852399999999996</v>
      </c>
      <c r="X140" s="22">
        <f t="shared" si="12"/>
        <v>42.75</v>
      </c>
      <c r="Y140" s="22">
        <v>38</v>
      </c>
      <c r="Z140" s="22">
        <v>4.75</v>
      </c>
      <c r="AA140" s="371">
        <v>241.82</v>
      </c>
      <c r="AB140" s="22">
        <v>0.17678438507981142</v>
      </c>
      <c r="AC140" s="24">
        <v>4.1784385079811415E-2</v>
      </c>
      <c r="AD140" s="384">
        <v>-102699.75781991848</v>
      </c>
    </row>
    <row r="141" spans="1:30">
      <c r="A141" s="21" t="s">
        <v>1232</v>
      </c>
      <c r="B141" s="21" t="s">
        <v>1233</v>
      </c>
      <c r="C141" s="23">
        <v>0</v>
      </c>
      <c r="D141" s="147">
        <v>0</v>
      </c>
      <c r="E141" s="22">
        <v>0</v>
      </c>
      <c r="F141" s="22">
        <v>0</v>
      </c>
      <c r="G141" s="22">
        <v>0</v>
      </c>
      <c r="H141" s="22">
        <v>0</v>
      </c>
      <c r="I141" s="22">
        <v>0</v>
      </c>
      <c r="J141" s="22">
        <v>0</v>
      </c>
      <c r="K141" s="22">
        <v>0.8</v>
      </c>
      <c r="L141" s="22">
        <v>0</v>
      </c>
      <c r="M141" s="388">
        <v>105.8</v>
      </c>
      <c r="N141" s="25">
        <v>0.87180000000000002</v>
      </c>
      <c r="O141" s="24">
        <v>39</v>
      </c>
      <c r="P141" s="24">
        <v>0</v>
      </c>
      <c r="Q141" s="24">
        <v>0</v>
      </c>
      <c r="R141" s="22">
        <v>0</v>
      </c>
      <c r="S141" s="24">
        <v>0</v>
      </c>
      <c r="T141" s="24">
        <f t="shared" si="10"/>
        <v>0</v>
      </c>
      <c r="U141" s="376">
        <v>89.53</v>
      </c>
      <c r="V141" s="376">
        <v>0</v>
      </c>
      <c r="W141" s="22">
        <f t="shared" si="11"/>
        <v>78.052254000000005</v>
      </c>
      <c r="X141" s="22">
        <f t="shared" si="12"/>
        <v>6.75</v>
      </c>
      <c r="Y141" s="22">
        <v>6.5</v>
      </c>
      <c r="Z141" s="22">
        <v>0.25</v>
      </c>
      <c r="AA141" s="371">
        <v>34.6</v>
      </c>
      <c r="AB141" s="22">
        <v>0.19508670520231214</v>
      </c>
      <c r="AC141" s="24">
        <v>6.008670520231213E-2</v>
      </c>
      <c r="AD141" s="384">
        <v>-18911.171941423527</v>
      </c>
    </row>
    <row r="142" spans="1:30">
      <c r="A142" s="21" t="s">
        <v>553</v>
      </c>
      <c r="B142" s="21" t="s">
        <v>554</v>
      </c>
      <c r="C142" s="23">
        <v>122.6</v>
      </c>
      <c r="D142" s="147">
        <v>0</v>
      </c>
      <c r="E142" s="22">
        <v>0</v>
      </c>
      <c r="F142" s="22">
        <v>0</v>
      </c>
      <c r="G142" s="22">
        <v>0</v>
      </c>
      <c r="H142" s="22">
        <v>2.0099999999999998</v>
      </c>
      <c r="I142" s="22">
        <v>0</v>
      </c>
      <c r="J142" s="22">
        <v>0</v>
      </c>
      <c r="K142" s="22">
        <v>0</v>
      </c>
      <c r="L142" s="22">
        <v>0</v>
      </c>
      <c r="M142" s="388">
        <v>399.13</v>
      </c>
      <c r="N142" s="25">
        <v>0.9375</v>
      </c>
      <c r="O142" s="24">
        <v>408</v>
      </c>
      <c r="P142" s="24">
        <v>0</v>
      </c>
      <c r="Q142" s="24">
        <v>0</v>
      </c>
      <c r="R142" s="22">
        <v>0</v>
      </c>
      <c r="S142" s="24">
        <v>0</v>
      </c>
      <c r="T142" s="24">
        <f t="shared" si="10"/>
        <v>0</v>
      </c>
      <c r="U142" s="376">
        <v>374.18</v>
      </c>
      <c r="V142" s="376">
        <v>0</v>
      </c>
      <c r="W142" s="22">
        <f t="shared" si="11"/>
        <v>350.79374999999999</v>
      </c>
      <c r="X142" s="22">
        <f t="shared" si="12"/>
        <v>112</v>
      </c>
      <c r="Y142" s="22">
        <v>88.25</v>
      </c>
      <c r="Z142" s="22">
        <v>23.75</v>
      </c>
      <c r="AA142" s="371">
        <v>399.13</v>
      </c>
      <c r="AB142" s="22">
        <v>0.28061032746223036</v>
      </c>
      <c r="AC142" s="24">
        <v>0.14561032746223035</v>
      </c>
      <c r="AD142" s="384">
        <v>-584763.64308006584</v>
      </c>
    </row>
    <row r="143" spans="1:30">
      <c r="A143" s="21" t="s">
        <v>269</v>
      </c>
      <c r="B143" s="21" t="s">
        <v>270</v>
      </c>
      <c r="C143" s="23">
        <v>93</v>
      </c>
      <c r="D143" s="147">
        <v>0</v>
      </c>
      <c r="E143" s="22">
        <v>0</v>
      </c>
      <c r="F143" s="22">
        <v>0</v>
      </c>
      <c r="G143" s="22">
        <v>0</v>
      </c>
      <c r="H143" s="22">
        <v>9</v>
      </c>
      <c r="I143" s="22">
        <v>0</v>
      </c>
      <c r="J143" s="22">
        <v>0</v>
      </c>
      <c r="K143" s="22">
        <v>0</v>
      </c>
      <c r="L143" s="22">
        <v>0</v>
      </c>
      <c r="M143" s="388">
        <v>252</v>
      </c>
      <c r="N143" s="25">
        <v>0.88739999999999997</v>
      </c>
      <c r="O143" s="24">
        <v>222</v>
      </c>
      <c r="P143" s="24">
        <v>8</v>
      </c>
      <c r="Q143" s="24">
        <v>6</v>
      </c>
      <c r="R143" s="22">
        <v>2</v>
      </c>
      <c r="S143" s="24">
        <v>0</v>
      </c>
      <c r="T143" s="24">
        <f t="shared" si="10"/>
        <v>8</v>
      </c>
      <c r="U143" s="376">
        <v>223.5</v>
      </c>
      <c r="V143" s="376">
        <v>0</v>
      </c>
      <c r="W143" s="22">
        <f t="shared" si="11"/>
        <v>198.3339</v>
      </c>
      <c r="X143" s="22">
        <f t="shared" si="12"/>
        <v>39.5</v>
      </c>
      <c r="Y143" s="22">
        <v>35</v>
      </c>
      <c r="Z143" s="22">
        <v>4.5</v>
      </c>
      <c r="AA143" s="371">
        <v>214.04</v>
      </c>
      <c r="AB143" s="22">
        <v>0.18454494487011774</v>
      </c>
      <c r="AC143" s="24">
        <v>4.9544944870117735E-2</v>
      </c>
      <c r="AD143" s="384">
        <v>-101915.23007123974</v>
      </c>
    </row>
    <row r="144" spans="1:30">
      <c r="A144" s="21" t="s">
        <v>545</v>
      </c>
      <c r="B144" s="21" t="s">
        <v>546</v>
      </c>
      <c r="C144" s="23">
        <v>1061</v>
      </c>
      <c r="D144" s="147">
        <v>14.93</v>
      </c>
      <c r="E144" s="22">
        <v>218.72</v>
      </c>
      <c r="F144" s="22">
        <v>233.65</v>
      </c>
      <c r="G144" s="22">
        <v>0</v>
      </c>
      <c r="H144" s="22">
        <v>145</v>
      </c>
      <c r="I144" s="22">
        <v>6.4</v>
      </c>
      <c r="J144" s="22">
        <v>388.61</v>
      </c>
      <c r="K144" s="22">
        <v>17.260000000000002</v>
      </c>
      <c r="L144" s="22">
        <v>1.54</v>
      </c>
      <c r="M144" s="388">
        <v>3765.8100000000004</v>
      </c>
      <c r="N144" s="25">
        <v>0.32329999999999998</v>
      </c>
      <c r="O144" s="24">
        <v>0</v>
      </c>
      <c r="P144" s="24">
        <v>342.25</v>
      </c>
      <c r="Q144" s="24">
        <v>230</v>
      </c>
      <c r="R144" s="22">
        <v>112.25</v>
      </c>
      <c r="S144" s="24">
        <v>82.25</v>
      </c>
      <c r="T144" s="24">
        <f t="shared" si="10"/>
        <v>424.5</v>
      </c>
      <c r="U144" s="376">
        <v>1217.49</v>
      </c>
      <c r="V144" s="376">
        <v>188.29</v>
      </c>
      <c r="W144" s="22">
        <f t="shared" si="11"/>
        <v>393.61451699999998</v>
      </c>
      <c r="X144" s="22">
        <f t="shared" si="12"/>
        <v>447.5</v>
      </c>
      <c r="Y144" s="22">
        <v>332.25</v>
      </c>
      <c r="Z144" s="22">
        <v>115.25</v>
      </c>
      <c r="AA144" s="371">
        <v>3322.08</v>
      </c>
      <c r="AB144" s="22">
        <v>0.13470476328083611</v>
      </c>
      <c r="AC144" s="24">
        <v>0</v>
      </c>
      <c r="AD144" s="384">
        <v>0</v>
      </c>
    </row>
    <row r="145" spans="1:30">
      <c r="A145" s="21" t="s">
        <v>591</v>
      </c>
      <c r="B145" s="21" t="s">
        <v>592</v>
      </c>
      <c r="C145" s="23">
        <v>268</v>
      </c>
      <c r="D145" s="147">
        <v>0</v>
      </c>
      <c r="E145" s="22">
        <v>77.38</v>
      </c>
      <c r="F145" s="22">
        <v>77.38</v>
      </c>
      <c r="G145" s="22">
        <v>0</v>
      </c>
      <c r="H145" s="22">
        <v>15</v>
      </c>
      <c r="I145" s="22">
        <v>0.92</v>
      </c>
      <c r="J145" s="22">
        <v>0</v>
      </c>
      <c r="K145" s="22">
        <v>3.6</v>
      </c>
      <c r="L145" s="22">
        <v>0</v>
      </c>
      <c r="M145" s="388">
        <v>857.52</v>
      </c>
      <c r="N145" s="25">
        <v>0.99119999999999997</v>
      </c>
      <c r="O145" s="24">
        <v>815</v>
      </c>
      <c r="P145" s="24">
        <v>329.75</v>
      </c>
      <c r="Q145" s="24">
        <v>144.75</v>
      </c>
      <c r="R145" s="22">
        <v>185</v>
      </c>
      <c r="S145" s="24">
        <v>29</v>
      </c>
      <c r="T145" s="24">
        <f t="shared" si="10"/>
        <v>358.75</v>
      </c>
      <c r="U145" s="376">
        <v>849.97</v>
      </c>
      <c r="V145" s="376">
        <v>42.88</v>
      </c>
      <c r="W145" s="22">
        <f t="shared" si="11"/>
        <v>842.49026400000002</v>
      </c>
      <c r="X145" s="22">
        <f t="shared" si="12"/>
        <v>83.5</v>
      </c>
      <c r="Y145" s="22">
        <v>31.5</v>
      </c>
      <c r="Z145" s="22">
        <v>52</v>
      </c>
      <c r="AA145" s="371">
        <v>811.56</v>
      </c>
      <c r="AB145" s="22">
        <v>0.10288826457686431</v>
      </c>
      <c r="AC145" s="24">
        <v>0</v>
      </c>
      <c r="AD145" s="384">
        <v>0</v>
      </c>
    </row>
    <row r="146" spans="1:30">
      <c r="A146" s="21" t="s">
        <v>97</v>
      </c>
      <c r="B146" s="21" t="s">
        <v>98</v>
      </c>
      <c r="C146" s="23">
        <v>28</v>
      </c>
      <c r="D146" s="147">
        <v>0</v>
      </c>
      <c r="E146" s="22">
        <v>3.1</v>
      </c>
      <c r="F146" s="22">
        <v>3.1</v>
      </c>
      <c r="G146" s="22">
        <v>0</v>
      </c>
      <c r="H146" s="22">
        <v>0</v>
      </c>
      <c r="I146" s="22">
        <v>0</v>
      </c>
      <c r="J146" s="22">
        <v>0</v>
      </c>
      <c r="K146" s="22">
        <v>0</v>
      </c>
      <c r="L146" s="22">
        <v>0</v>
      </c>
      <c r="M146" s="388">
        <v>80</v>
      </c>
      <c r="N146" s="25">
        <v>0.73629999999999995</v>
      </c>
      <c r="O146" s="24">
        <v>93</v>
      </c>
      <c r="P146" s="24">
        <v>5</v>
      </c>
      <c r="Q146" s="24">
        <v>2</v>
      </c>
      <c r="R146" s="22">
        <v>3</v>
      </c>
      <c r="S146" s="24">
        <v>1</v>
      </c>
      <c r="T146" s="24">
        <f t="shared" si="10"/>
        <v>6</v>
      </c>
      <c r="U146" s="376">
        <v>58.9</v>
      </c>
      <c r="V146" s="376">
        <v>0</v>
      </c>
      <c r="W146" s="22">
        <f t="shared" si="11"/>
        <v>43.368069999999996</v>
      </c>
      <c r="X146" s="22">
        <f t="shared" si="12"/>
        <v>9.75</v>
      </c>
      <c r="Y146" s="22">
        <v>7.75</v>
      </c>
      <c r="Z146" s="22">
        <v>2</v>
      </c>
      <c r="AA146" s="371">
        <v>91.4</v>
      </c>
      <c r="AB146" s="22">
        <v>0.10667396061269147</v>
      </c>
      <c r="AC146" s="24">
        <v>0</v>
      </c>
      <c r="AD146" s="384">
        <v>0</v>
      </c>
    </row>
    <row r="147" spans="1:30">
      <c r="A147" s="21" t="s">
        <v>29</v>
      </c>
      <c r="B147" s="21" t="s">
        <v>30</v>
      </c>
      <c r="C147" s="23">
        <v>161</v>
      </c>
      <c r="D147" s="147">
        <v>4.6100000000000003</v>
      </c>
      <c r="E147" s="22">
        <v>12.35</v>
      </c>
      <c r="F147" s="22">
        <v>16.96</v>
      </c>
      <c r="G147" s="22">
        <v>0</v>
      </c>
      <c r="H147" s="22">
        <v>2</v>
      </c>
      <c r="I147" s="22">
        <v>0</v>
      </c>
      <c r="J147" s="22">
        <v>0</v>
      </c>
      <c r="K147" s="22">
        <v>0</v>
      </c>
      <c r="L147" s="22">
        <v>0</v>
      </c>
      <c r="M147" s="388">
        <v>549</v>
      </c>
      <c r="N147" s="25">
        <v>0.70520000000000005</v>
      </c>
      <c r="O147" s="24">
        <v>606</v>
      </c>
      <c r="P147" s="24">
        <v>214.25</v>
      </c>
      <c r="Q147" s="24">
        <v>132.5</v>
      </c>
      <c r="R147" s="22">
        <v>81.75</v>
      </c>
      <c r="S147" s="24">
        <v>33</v>
      </c>
      <c r="T147" s="24">
        <f t="shared" si="10"/>
        <v>247.25</v>
      </c>
      <c r="U147" s="376">
        <v>387.15</v>
      </c>
      <c r="V147" s="376">
        <v>27.45</v>
      </c>
      <c r="W147" s="22">
        <f t="shared" si="11"/>
        <v>273.01818000000003</v>
      </c>
      <c r="X147" s="22">
        <f t="shared" si="12"/>
        <v>72</v>
      </c>
      <c r="Y147" s="22">
        <v>57.75</v>
      </c>
      <c r="Z147" s="22">
        <v>14.25</v>
      </c>
      <c r="AA147" s="371">
        <v>598.66</v>
      </c>
      <c r="AB147" s="22">
        <v>0.12026859987304982</v>
      </c>
      <c r="AC147" s="24">
        <v>0</v>
      </c>
      <c r="AD147" s="384">
        <v>0</v>
      </c>
    </row>
    <row r="148" spans="1:30">
      <c r="A148" s="21" t="s">
        <v>319</v>
      </c>
      <c r="B148" s="21" t="s">
        <v>320</v>
      </c>
      <c r="C148" s="23">
        <v>45</v>
      </c>
      <c r="D148" s="147">
        <v>4.8600000000000003</v>
      </c>
      <c r="E148" s="22">
        <v>18.62</v>
      </c>
      <c r="F148" s="22">
        <v>23.48</v>
      </c>
      <c r="G148" s="22">
        <v>0</v>
      </c>
      <c r="H148" s="22">
        <v>3</v>
      </c>
      <c r="I148" s="22">
        <v>0.33</v>
      </c>
      <c r="J148" s="22">
        <v>1274.4000000000001</v>
      </c>
      <c r="K148" s="22">
        <v>0</v>
      </c>
      <c r="L148" s="22">
        <v>0</v>
      </c>
      <c r="M148" s="388">
        <v>1425.73</v>
      </c>
      <c r="N148" s="25">
        <v>0.20680000000000001</v>
      </c>
      <c r="O148" s="24">
        <v>170</v>
      </c>
      <c r="P148" s="24">
        <v>31.25</v>
      </c>
      <c r="Q148" s="24">
        <v>27.75</v>
      </c>
      <c r="R148" s="22">
        <v>3.5</v>
      </c>
      <c r="S148" s="24">
        <v>5.25</v>
      </c>
      <c r="T148" s="24">
        <f t="shared" si="10"/>
        <v>36.5</v>
      </c>
      <c r="U148" s="376">
        <v>294.83999999999997</v>
      </c>
      <c r="V148" s="376">
        <v>71.290000000000006</v>
      </c>
      <c r="W148" s="22">
        <f t="shared" si="11"/>
        <v>60.972912000000001</v>
      </c>
      <c r="X148" s="22">
        <f t="shared" si="12"/>
        <v>246.25</v>
      </c>
      <c r="Y148" s="22">
        <v>212</v>
      </c>
      <c r="Z148" s="22">
        <v>34.25</v>
      </c>
      <c r="AA148" s="371">
        <v>1441.96</v>
      </c>
      <c r="AB148" s="22">
        <v>0.17077450137313102</v>
      </c>
      <c r="AC148" s="24">
        <v>3.5774501373131012E-2</v>
      </c>
      <c r="AD148" s="384">
        <v>-461821.75689125474</v>
      </c>
    </row>
    <row r="149" spans="1:30">
      <c r="A149" s="21" t="s">
        <v>501</v>
      </c>
      <c r="B149" s="21" t="s">
        <v>502</v>
      </c>
      <c r="C149" s="23">
        <v>92</v>
      </c>
      <c r="D149" s="147">
        <v>0</v>
      </c>
      <c r="E149" s="22">
        <v>39.33</v>
      </c>
      <c r="F149" s="22">
        <v>39.33</v>
      </c>
      <c r="G149" s="22">
        <v>0</v>
      </c>
      <c r="H149" s="22">
        <v>4</v>
      </c>
      <c r="I149" s="22">
        <v>1.02</v>
      </c>
      <c r="J149" s="22">
        <v>37.78</v>
      </c>
      <c r="K149" s="22">
        <v>0</v>
      </c>
      <c r="L149" s="22">
        <v>0</v>
      </c>
      <c r="M149" s="388">
        <v>415.79999999999995</v>
      </c>
      <c r="N149" s="25">
        <v>0.78349999999999997</v>
      </c>
      <c r="O149" s="24">
        <v>450</v>
      </c>
      <c r="P149" s="24">
        <v>1</v>
      </c>
      <c r="Q149" s="24">
        <v>0</v>
      </c>
      <c r="R149" s="22">
        <v>1</v>
      </c>
      <c r="S149" s="24">
        <v>0</v>
      </c>
      <c r="T149" s="24">
        <f t="shared" si="10"/>
        <v>1</v>
      </c>
      <c r="U149" s="376">
        <v>325.77999999999997</v>
      </c>
      <c r="V149" s="376">
        <v>20.79</v>
      </c>
      <c r="W149" s="22">
        <f t="shared" si="11"/>
        <v>255.24862999999996</v>
      </c>
      <c r="X149" s="22">
        <f t="shared" si="12"/>
        <v>71</v>
      </c>
      <c r="Y149" s="22">
        <v>52</v>
      </c>
      <c r="Z149" s="22">
        <v>19</v>
      </c>
      <c r="AA149" s="371">
        <v>450.72</v>
      </c>
      <c r="AB149" s="22">
        <v>0.15752573659921901</v>
      </c>
      <c r="AC149" s="24">
        <v>2.2525736599218998E-2</v>
      </c>
      <c r="AD149" s="384">
        <v>-93858.738198951964</v>
      </c>
    </row>
    <row r="150" spans="1:30">
      <c r="A150" s="21" t="s">
        <v>433</v>
      </c>
      <c r="B150" s="21" t="s">
        <v>434</v>
      </c>
      <c r="C150" s="23">
        <v>2490</v>
      </c>
      <c r="D150" s="147">
        <v>201.04</v>
      </c>
      <c r="E150" s="22">
        <v>586.42999999999995</v>
      </c>
      <c r="F150" s="22">
        <v>787.46999999999991</v>
      </c>
      <c r="G150" s="22">
        <v>0</v>
      </c>
      <c r="H150" s="22">
        <v>227</v>
      </c>
      <c r="I150" s="22">
        <v>8.43</v>
      </c>
      <c r="J150" s="22">
        <v>336.75</v>
      </c>
      <c r="K150" s="22">
        <v>76.52</v>
      </c>
      <c r="L150" s="22">
        <v>0</v>
      </c>
      <c r="M150" s="388">
        <v>9055.7000000000007</v>
      </c>
      <c r="N150" s="25">
        <v>0.50609999999999999</v>
      </c>
      <c r="O150" s="24">
        <v>6381</v>
      </c>
      <c r="P150" s="24">
        <v>1016.5</v>
      </c>
      <c r="Q150" s="24">
        <v>619.75</v>
      </c>
      <c r="R150" s="22">
        <v>396.75</v>
      </c>
      <c r="S150" s="24">
        <v>196.5</v>
      </c>
      <c r="T150" s="24">
        <f t="shared" si="10"/>
        <v>1213</v>
      </c>
      <c r="U150" s="376">
        <v>4585.8100000000004</v>
      </c>
      <c r="V150" s="376">
        <v>452.79</v>
      </c>
      <c r="W150" s="22">
        <f t="shared" si="11"/>
        <v>2320.8784410000003</v>
      </c>
      <c r="X150" s="22">
        <f t="shared" si="12"/>
        <v>1503.5</v>
      </c>
      <c r="Y150" s="22">
        <v>730</v>
      </c>
      <c r="Z150" s="22">
        <v>773.5</v>
      </c>
      <c r="AA150" s="371">
        <v>9953.17</v>
      </c>
      <c r="AB150" s="22">
        <v>0.15105740181268881</v>
      </c>
      <c r="AC150" s="24">
        <v>1.6057401812688804E-2</v>
      </c>
      <c r="AD150" s="384">
        <v>-1651504.393254064</v>
      </c>
    </row>
    <row r="151" spans="1:30">
      <c r="A151" s="21" t="s">
        <v>147</v>
      </c>
      <c r="B151" s="21" t="s">
        <v>148</v>
      </c>
      <c r="C151" s="23">
        <v>138</v>
      </c>
      <c r="D151" s="147">
        <v>0</v>
      </c>
      <c r="E151" s="22">
        <v>0</v>
      </c>
      <c r="F151" s="22">
        <v>0</v>
      </c>
      <c r="G151" s="22">
        <v>0</v>
      </c>
      <c r="H151" s="22">
        <v>0</v>
      </c>
      <c r="I151" s="22">
        <v>0</v>
      </c>
      <c r="J151" s="22">
        <v>0</v>
      </c>
      <c r="K151" s="22">
        <v>0</v>
      </c>
      <c r="L151" s="22">
        <v>0</v>
      </c>
      <c r="M151" s="388">
        <v>293</v>
      </c>
      <c r="N151" s="25">
        <v>0.60860000000000003</v>
      </c>
      <c r="O151" s="24">
        <v>291</v>
      </c>
      <c r="P151" s="24">
        <v>2.25</v>
      </c>
      <c r="Q151" s="24">
        <v>2.25</v>
      </c>
      <c r="R151" s="22">
        <v>0</v>
      </c>
      <c r="S151" s="24">
        <v>0</v>
      </c>
      <c r="T151" s="24">
        <f t="shared" si="10"/>
        <v>2.25</v>
      </c>
      <c r="U151" s="376">
        <v>178.32</v>
      </c>
      <c r="V151" s="376">
        <v>14.65</v>
      </c>
      <c r="W151" s="22">
        <f t="shared" si="11"/>
        <v>108.525552</v>
      </c>
      <c r="X151" s="22">
        <f t="shared" si="12"/>
        <v>61.5</v>
      </c>
      <c r="Y151" s="22">
        <v>51.5</v>
      </c>
      <c r="Z151" s="22">
        <v>10</v>
      </c>
      <c r="AA151" s="371">
        <v>291.75</v>
      </c>
      <c r="AB151" s="22">
        <v>0.21079691516709512</v>
      </c>
      <c r="AC151" s="24">
        <v>7.5796915167095108E-2</v>
      </c>
      <c r="AD151" s="384">
        <v>-215872.4168144619</v>
      </c>
    </row>
    <row r="152" spans="1:30">
      <c r="A152" s="21" t="s">
        <v>461</v>
      </c>
      <c r="B152" s="21" t="s">
        <v>462</v>
      </c>
      <c r="C152" s="23">
        <v>2704</v>
      </c>
      <c r="D152" s="147">
        <v>406.12</v>
      </c>
      <c r="E152" s="22">
        <v>321.83999999999997</v>
      </c>
      <c r="F152" s="22">
        <v>727.96</v>
      </c>
      <c r="G152" s="22">
        <v>0</v>
      </c>
      <c r="H152" s="22">
        <v>390</v>
      </c>
      <c r="I152" s="22">
        <v>12.32</v>
      </c>
      <c r="J152" s="22">
        <v>538.24</v>
      </c>
      <c r="K152" s="22">
        <v>9.93</v>
      </c>
      <c r="L152" s="22">
        <v>1.7</v>
      </c>
      <c r="M152" s="388">
        <v>11082.19</v>
      </c>
      <c r="N152" s="25">
        <v>0.29310000000000003</v>
      </c>
      <c r="O152" s="24">
        <v>352</v>
      </c>
      <c r="P152" s="24">
        <v>283</v>
      </c>
      <c r="Q152" s="24">
        <v>164.5</v>
      </c>
      <c r="R152" s="22">
        <v>118.5</v>
      </c>
      <c r="S152" s="24">
        <v>84</v>
      </c>
      <c r="T152" s="24">
        <f t="shared" si="10"/>
        <v>367</v>
      </c>
      <c r="U152" s="376">
        <v>3248.19</v>
      </c>
      <c r="V152" s="376">
        <v>554.11</v>
      </c>
      <c r="W152" s="22">
        <f t="shared" si="11"/>
        <v>952.04448900000011</v>
      </c>
      <c r="X152" s="22">
        <f t="shared" si="12"/>
        <v>1347.5</v>
      </c>
      <c r="Y152" s="22">
        <v>626</v>
      </c>
      <c r="Z152" s="22">
        <v>721.5</v>
      </c>
      <c r="AA152" s="371">
        <v>10243.16</v>
      </c>
      <c r="AB152" s="22">
        <v>0.13155120099656747</v>
      </c>
      <c r="AC152" s="24">
        <v>0</v>
      </c>
      <c r="AD152" s="384">
        <v>0</v>
      </c>
    </row>
    <row r="153" spans="1:30">
      <c r="A153" s="21" t="s">
        <v>459</v>
      </c>
      <c r="B153" s="21" t="s">
        <v>460</v>
      </c>
      <c r="C153" s="23">
        <v>572</v>
      </c>
      <c r="D153" s="147">
        <v>1.82</v>
      </c>
      <c r="E153" s="22">
        <v>128.52000000000001</v>
      </c>
      <c r="F153" s="22">
        <v>130.34</v>
      </c>
      <c r="G153" s="22">
        <v>0</v>
      </c>
      <c r="H153" s="22">
        <v>25</v>
      </c>
      <c r="I153" s="22">
        <v>1.3</v>
      </c>
      <c r="J153" s="22">
        <v>83.67</v>
      </c>
      <c r="K153" s="22">
        <v>0</v>
      </c>
      <c r="L153" s="22">
        <v>0</v>
      </c>
      <c r="M153" s="388">
        <v>1837.97</v>
      </c>
      <c r="N153" s="25">
        <v>0.38279999999999997</v>
      </c>
      <c r="O153" s="24">
        <v>22</v>
      </c>
      <c r="P153" s="24">
        <v>21</v>
      </c>
      <c r="Q153" s="24">
        <v>16.5</v>
      </c>
      <c r="R153" s="22">
        <v>4.5</v>
      </c>
      <c r="S153" s="24">
        <v>0</v>
      </c>
      <c r="T153" s="24">
        <f t="shared" si="10"/>
        <v>21</v>
      </c>
      <c r="U153" s="376">
        <v>703.57</v>
      </c>
      <c r="V153" s="376">
        <v>91.9</v>
      </c>
      <c r="W153" s="22">
        <f t="shared" si="11"/>
        <v>269.326596</v>
      </c>
      <c r="X153" s="22">
        <f t="shared" si="12"/>
        <v>230.5</v>
      </c>
      <c r="Y153" s="22">
        <v>185.25</v>
      </c>
      <c r="Z153" s="22">
        <v>45.25</v>
      </c>
      <c r="AA153" s="371">
        <v>1769.29</v>
      </c>
      <c r="AB153" s="22">
        <v>0.13027824720650658</v>
      </c>
      <c r="AC153" s="24">
        <v>0</v>
      </c>
      <c r="AD153" s="384">
        <v>0</v>
      </c>
    </row>
    <row r="154" spans="1:30">
      <c r="A154" s="21" t="s">
        <v>189</v>
      </c>
      <c r="B154" s="21" t="s">
        <v>190</v>
      </c>
      <c r="C154" s="23">
        <v>916</v>
      </c>
      <c r="D154" s="147">
        <v>16.190000000000001</v>
      </c>
      <c r="E154" s="22">
        <v>288.45</v>
      </c>
      <c r="F154" s="22">
        <v>304.64</v>
      </c>
      <c r="G154" s="22">
        <v>0</v>
      </c>
      <c r="H154" s="22">
        <v>54</v>
      </c>
      <c r="I154" s="22">
        <v>3.21</v>
      </c>
      <c r="J154" s="22">
        <v>12.61</v>
      </c>
      <c r="K154" s="22">
        <v>0</v>
      </c>
      <c r="L154" s="22">
        <v>0</v>
      </c>
      <c r="M154" s="388">
        <v>3855.82</v>
      </c>
      <c r="N154" s="25">
        <v>3.4500000000000003E-2</v>
      </c>
      <c r="O154" s="24">
        <v>0</v>
      </c>
      <c r="P154" s="24">
        <v>114.25</v>
      </c>
      <c r="Q154" s="24">
        <v>88.75</v>
      </c>
      <c r="R154" s="22">
        <v>25.5</v>
      </c>
      <c r="S154" s="24">
        <v>112</v>
      </c>
      <c r="T154" s="24">
        <f t="shared" si="10"/>
        <v>226.25</v>
      </c>
      <c r="U154" s="376">
        <v>133.03</v>
      </c>
      <c r="V154" s="376">
        <v>192.79</v>
      </c>
      <c r="W154" s="22">
        <f t="shared" si="11"/>
        <v>4.5895350000000006</v>
      </c>
      <c r="X154" s="22">
        <f t="shared" si="12"/>
        <v>388.25</v>
      </c>
      <c r="Y154" s="22">
        <v>260.25</v>
      </c>
      <c r="Z154" s="22">
        <v>128</v>
      </c>
      <c r="AA154" s="371">
        <v>4005.48</v>
      </c>
      <c r="AB154" s="22">
        <v>9.6929706302365762E-2</v>
      </c>
      <c r="AC154" s="24">
        <v>0</v>
      </c>
      <c r="AD154" s="384">
        <v>0</v>
      </c>
    </row>
    <row r="155" spans="1:30">
      <c r="A155" s="21" t="s">
        <v>547</v>
      </c>
      <c r="B155" s="21" t="s">
        <v>548</v>
      </c>
      <c r="C155" s="23">
        <v>450</v>
      </c>
      <c r="D155" s="147">
        <v>0</v>
      </c>
      <c r="E155" s="22">
        <v>61.67</v>
      </c>
      <c r="F155" s="22">
        <v>61.67</v>
      </c>
      <c r="G155" s="22">
        <v>0</v>
      </c>
      <c r="H155" s="22">
        <v>62</v>
      </c>
      <c r="I155" s="22">
        <v>2.4500000000000002</v>
      </c>
      <c r="J155" s="22">
        <v>224.32999999999998</v>
      </c>
      <c r="K155" s="22">
        <v>8.6999999999999993</v>
      </c>
      <c r="L155" s="22">
        <v>0.9</v>
      </c>
      <c r="M155" s="388">
        <v>1763.38</v>
      </c>
      <c r="N155" s="25">
        <v>0.37790000000000001</v>
      </c>
      <c r="O155" s="24">
        <v>0</v>
      </c>
      <c r="P155" s="24">
        <v>189.5</v>
      </c>
      <c r="Q155" s="24">
        <v>133.5</v>
      </c>
      <c r="R155" s="22">
        <v>56</v>
      </c>
      <c r="S155" s="24">
        <v>24</v>
      </c>
      <c r="T155" s="24">
        <f t="shared" si="10"/>
        <v>213.5</v>
      </c>
      <c r="U155" s="376">
        <v>666.38</v>
      </c>
      <c r="V155" s="376">
        <v>88.17</v>
      </c>
      <c r="W155" s="22">
        <f t="shared" si="11"/>
        <v>251.82500200000001</v>
      </c>
      <c r="X155" s="22">
        <f t="shared" si="12"/>
        <v>191.25</v>
      </c>
      <c r="Y155" s="22">
        <v>134.25</v>
      </c>
      <c r="Z155" s="22">
        <v>57</v>
      </c>
      <c r="AA155" s="371">
        <v>1745.05</v>
      </c>
      <c r="AB155" s="22">
        <v>0.10959571358986848</v>
      </c>
      <c r="AC155" s="24">
        <v>0</v>
      </c>
      <c r="AD155" s="384">
        <v>0</v>
      </c>
    </row>
    <row r="156" spans="1:30">
      <c r="A156" s="21" t="s">
        <v>337</v>
      </c>
      <c r="B156" s="21" t="s">
        <v>338</v>
      </c>
      <c r="C156" s="23">
        <v>143</v>
      </c>
      <c r="D156" s="147">
        <v>0</v>
      </c>
      <c r="E156" s="22">
        <v>39.130000000000003</v>
      </c>
      <c r="F156" s="22">
        <v>39.130000000000003</v>
      </c>
      <c r="G156" s="22">
        <v>0</v>
      </c>
      <c r="H156" s="22">
        <v>10</v>
      </c>
      <c r="I156" s="22">
        <v>0.28000000000000003</v>
      </c>
      <c r="J156" s="22">
        <v>25.700000000000003</v>
      </c>
      <c r="K156" s="22">
        <v>0</v>
      </c>
      <c r="L156" s="22">
        <v>0</v>
      </c>
      <c r="M156" s="388">
        <v>654.98</v>
      </c>
      <c r="N156" s="25">
        <v>0.39369999999999999</v>
      </c>
      <c r="O156" s="24">
        <v>42</v>
      </c>
      <c r="P156" s="24">
        <v>24</v>
      </c>
      <c r="Q156" s="24">
        <v>16</v>
      </c>
      <c r="R156" s="22">
        <v>8</v>
      </c>
      <c r="S156" s="24">
        <v>3.25</v>
      </c>
      <c r="T156" s="24">
        <f t="shared" si="10"/>
        <v>27.25</v>
      </c>
      <c r="U156" s="376">
        <v>257.87</v>
      </c>
      <c r="V156" s="376">
        <v>32.75</v>
      </c>
      <c r="W156" s="22">
        <f t="shared" si="11"/>
        <v>101.523419</v>
      </c>
      <c r="X156" s="22">
        <f t="shared" si="12"/>
        <v>77.25</v>
      </c>
      <c r="Y156" s="22">
        <v>68.25</v>
      </c>
      <c r="Z156" s="22">
        <v>9</v>
      </c>
      <c r="AA156" s="371">
        <v>716.16</v>
      </c>
      <c r="AB156" s="22">
        <v>0.10786695710455764</v>
      </c>
      <c r="AC156" s="24">
        <v>0</v>
      </c>
      <c r="AD156" s="384">
        <v>0</v>
      </c>
    </row>
    <row r="157" spans="1:30">
      <c r="A157" s="21" t="s">
        <v>419</v>
      </c>
      <c r="B157" s="21" t="s">
        <v>420</v>
      </c>
      <c r="C157" s="23">
        <v>17</v>
      </c>
      <c r="D157" s="147">
        <v>0</v>
      </c>
      <c r="E157" s="22">
        <v>0</v>
      </c>
      <c r="F157" s="22">
        <v>0</v>
      </c>
      <c r="G157" s="22">
        <v>0</v>
      </c>
      <c r="H157" s="22">
        <v>0</v>
      </c>
      <c r="I157" s="22">
        <v>0</v>
      </c>
      <c r="J157" s="22">
        <v>0</v>
      </c>
      <c r="K157" s="22">
        <v>0</v>
      </c>
      <c r="L157" s="22">
        <v>0</v>
      </c>
      <c r="M157" s="388">
        <v>71</v>
      </c>
      <c r="N157" s="25">
        <v>0.51160000000000005</v>
      </c>
      <c r="O157" s="24">
        <v>34</v>
      </c>
      <c r="P157" s="24">
        <v>0</v>
      </c>
      <c r="Q157" s="24">
        <v>0</v>
      </c>
      <c r="R157" s="22">
        <v>0</v>
      </c>
      <c r="S157" s="24">
        <v>0</v>
      </c>
      <c r="T157" s="24">
        <f t="shared" si="10"/>
        <v>0</v>
      </c>
      <c r="U157" s="376">
        <v>36.32</v>
      </c>
      <c r="V157" s="376">
        <v>0</v>
      </c>
      <c r="W157" s="22">
        <f t="shared" si="11"/>
        <v>18.581312</v>
      </c>
      <c r="X157" s="22">
        <f t="shared" si="12"/>
        <v>5.25</v>
      </c>
      <c r="Y157" s="22">
        <v>4.25</v>
      </c>
      <c r="Z157" s="22">
        <v>1</v>
      </c>
      <c r="AA157" s="371">
        <v>25.99</v>
      </c>
      <c r="AB157" s="22">
        <v>0.20200076952674106</v>
      </c>
      <c r="AC157" s="24">
        <v>6.7000769526741055E-2</v>
      </c>
      <c r="AD157" s="384">
        <v>-16173.024166142457</v>
      </c>
    </row>
    <row r="158" spans="1:30">
      <c r="A158" s="21" t="s">
        <v>437</v>
      </c>
      <c r="B158" s="21" t="s">
        <v>438</v>
      </c>
      <c r="C158" s="23">
        <v>1281</v>
      </c>
      <c r="D158" s="147">
        <v>74.430000000000007</v>
      </c>
      <c r="E158" s="22">
        <v>384.65</v>
      </c>
      <c r="F158" s="22">
        <v>459.08</v>
      </c>
      <c r="G158" s="22">
        <v>0</v>
      </c>
      <c r="H158" s="22">
        <v>195</v>
      </c>
      <c r="I158" s="22">
        <v>13.71</v>
      </c>
      <c r="J158" s="22">
        <v>763.31999999999994</v>
      </c>
      <c r="K158" s="22">
        <v>0</v>
      </c>
      <c r="L158" s="22">
        <v>0</v>
      </c>
      <c r="M158" s="388">
        <v>5827.03</v>
      </c>
      <c r="N158" s="25">
        <v>0.31219999999999998</v>
      </c>
      <c r="O158" s="24">
        <v>595</v>
      </c>
      <c r="P158" s="24">
        <v>661.25</v>
      </c>
      <c r="Q158" s="24">
        <v>432.5</v>
      </c>
      <c r="R158" s="22">
        <v>228.75</v>
      </c>
      <c r="S158" s="24">
        <v>118.5</v>
      </c>
      <c r="T158" s="24">
        <f t="shared" si="10"/>
        <v>779.75</v>
      </c>
      <c r="U158" s="376">
        <v>1814.54</v>
      </c>
      <c r="V158" s="376">
        <v>291.35000000000002</v>
      </c>
      <c r="W158" s="22">
        <f t="shared" si="11"/>
        <v>566.49938799999995</v>
      </c>
      <c r="X158" s="22">
        <f t="shared" si="12"/>
        <v>708</v>
      </c>
      <c r="Y158" s="22">
        <v>546</v>
      </c>
      <c r="Z158" s="22">
        <v>162</v>
      </c>
      <c r="AA158" s="371">
        <v>5847.81</v>
      </c>
      <c r="AB158" s="22">
        <v>0.12107096502793352</v>
      </c>
      <c r="AC158" s="24">
        <v>0</v>
      </c>
      <c r="AD158" s="384">
        <v>0</v>
      </c>
    </row>
    <row r="159" spans="1:30">
      <c r="A159" s="21" t="s">
        <v>149</v>
      </c>
      <c r="B159" s="21" t="s">
        <v>150</v>
      </c>
      <c r="C159" s="23">
        <v>366</v>
      </c>
      <c r="D159" s="147">
        <v>21.92</v>
      </c>
      <c r="E159" s="22">
        <v>146.30000000000001</v>
      </c>
      <c r="F159" s="22">
        <v>168.22000000000003</v>
      </c>
      <c r="G159" s="22">
        <v>0</v>
      </c>
      <c r="H159" s="22">
        <v>40</v>
      </c>
      <c r="I159" s="22">
        <v>2.3199999999999998</v>
      </c>
      <c r="J159" s="22">
        <v>0</v>
      </c>
      <c r="K159" s="22">
        <v>12</v>
      </c>
      <c r="L159" s="22">
        <v>0</v>
      </c>
      <c r="M159" s="388">
        <v>1372.32</v>
      </c>
      <c r="N159" s="25">
        <v>0.3649</v>
      </c>
      <c r="O159" s="24">
        <v>0</v>
      </c>
      <c r="P159" s="24">
        <v>24</v>
      </c>
      <c r="Q159" s="24">
        <v>15</v>
      </c>
      <c r="R159" s="22">
        <v>9</v>
      </c>
      <c r="S159" s="24">
        <v>8</v>
      </c>
      <c r="T159" s="24">
        <f t="shared" si="10"/>
        <v>32</v>
      </c>
      <c r="U159" s="376">
        <v>500.76</v>
      </c>
      <c r="V159" s="376">
        <v>68.62</v>
      </c>
      <c r="W159" s="22">
        <f t="shared" si="11"/>
        <v>182.72732400000001</v>
      </c>
      <c r="X159" s="22">
        <f t="shared" si="12"/>
        <v>190</v>
      </c>
      <c r="Y159" s="22">
        <v>102.25</v>
      </c>
      <c r="Z159" s="22">
        <v>87.75</v>
      </c>
      <c r="AA159" s="371">
        <v>1356.66</v>
      </c>
      <c r="AB159" s="22">
        <v>0.14004982825468429</v>
      </c>
      <c r="AC159" s="24">
        <v>5.0498282546842799E-3</v>
      </c>
      <c r="AD159" s="384">
        <v>-65199.208984851582</v>
      </c>
    </row>
    <row r="160" spans="1:30">
      <c r="A160" s="21" t="s">
        <v>277</v>
      </c>
      <c r="B160" s="21" t="s">
        <v>278</v>
      </c>
      <c r="C160" s="23">
        <v>99</v>
      </c>
      <c r="D160" s="147">
        <v>26.31</v>
      </c>
      <c r="E160" s="22">
        <v>55.96</v>
      </c>
      <c r="F160" s="22">
        <v>82.27</v>
      </c>
      <c r="G160" s="22">
        <v>0</v>
      </c>
      <c r="H160" s="22">
        <v>6</v>
      </c>
      <c r="I160" s="22">
        <v>1.9</v>
      </c>
      <c r="J160" s="22">
        <v>0</v>
      </c>
      <c r="K160" s="22">
        <v>1</v>
      </c>
      <c r="L160" s="22">
        <v>0</v>
      </c>
      <c r="M160" s="388">
        <v>316.89999999999998</v>
      </c>
      <c r="N160" s="25">
        <v>0.59050000000000002</v>
      </c>
      <c r="O160" s="24">
        <v>388</v>
      </c>
      <c r="P160" s="24">
        <v>0</v>
      </c>
      <c r="Q160" s="24">
        <v>0</v>
      </c>
      <c r="R160" s="22">
        <v>0</v>
      </c>
      <c r="S160" s="24">
        <v>0</v>
      </c>
      <c r="T160" s="24">
        <f t="shared" si="10"/>
        <v>0</v>
      </c>
      <c r="U160" s="376">
        <v>187.13</v>
      </c>
      <c r="V160" s="376">
        <v>15.85</v>
      </c>
      <c r="W160" s="22">
        <f t="shared" si="11"/>
        <v>110.500265</v>
      </c>
      <c r="X160" s="22">
        <f t="shared" si="12"/>
        <v>44.5</v>
      </c>
      <c r="Y160" s="22">
        <v>30</v>
      </c>
      <c r="Z160" s="22">
        <v>14.5</v>
      </c>
      <c r="AA160" s="371">
        <v>380.56</v>
      </c>
      <c r="AB160" s="22">
        <v>0.11693294092915703</v>
      </c>
      <c r="AC160" s="24">
        <v>0</v>
      </c>
      <c r="AD160" s="384">
        <v>0</v>
      </c>
    </row>
    <row r="161" spans="1:30">
      <c r="A161" s="21" t="s">
        <v>133</v>
      </c>
      <c r="B161" s="21" t="s">
        <v>134</v>
      </c>
      <c r="C161" s="23">
        <v>2345</v>
      </c>
      <c r="D161" s="147">
        <v>33.65</v>
      </c>
      <c r="E161" s="22">
        <v>416.27</v>
      </c>
      <c r="F161" s="22">
        <v>449.91999999999996</v>
      </c>
      <c r="G161" s="22">
        <v>210</v>
      </c>
      <c r="H161" s="22">
        <v>252</v>
      </c>
      <c r="I161" s="22">
        <v>12.59</v>
      </c>
      <c r="J161" s="22">
        <v>184.47</v>
      </c>
      <c r="K161" s="22">
        <v>103.56</v>
      </c>
      <c r="L161" s="22">
        <v>0</v>
      </c>
      <c r="M161" s="388">
        <v>8662.619999999999</v>
      </c>
      <c r="N161" s="25">
        <v>0.63880000000000003</v>
      </c>
      <c r="O161" s="24">
        <v>7591</v>
      </c>
      <c r="P161" s="24">
        <v>1095.5</v>
      </c>
      <c r="Q161" s="24">
        <v>653.25</v>
      </c>
      <c r="R161" s="22">
        <v>442.25</v>
      </c>
      <c r="S161" s="24">
        <v>303.75</v>
      </c>
      <c r="T161" s="24">
        <f t="shared" si="10"/>
        <v>1399.25</v>
      </c>
      <c r="U161" s="376">
        <v>5533.68</v>
      </c>
      <c r="V161" s="376">
        <v>433.13</v>
      </c>
      <c r="W161" s="22">
        <f t="shared" si="11"/>
        <v>3534.9147840000005</v>
      </c>
      <c r="X161" s="22">
        <f t="shared" si="12"/>
        <v>1115.75</v>
      </c>
      <c r="Y161" s="22">
        <v>750.75</v>
      </c>
      <c r="Z161" s="22">
        <v>365</v>
      </c>
      <c r="AA161" s="371">
        <v>8286.33</v>
      </c>
      <c r="AB161" s="22">
        <v>0.13464947690956069</v>
      </c>
      <c r="AC161" s="24">
        <v>0</v>
      </c>
      <c r="AD161" s="384">
        <v>0</v>
      </c>
    </row>
    <row r="162" spans="1:30">
      <c r="A162" s="21" t="s">
        <v>275</v>
      </c>
      <c r="B162" s="21" t="s">
        <v>276</v>
      </c>
      <c r="C162" s="23">
        <v>154</v>
      </c>
      <c r="D162" s="147">
        <v>14.56</v>
      </c>
      <c r="E162" s="22">
        <v>34.28</v>
      </c>
      <c r="F162" s="22">
        <v>48.84</v>
      </c>
      <c r="G162" s="22">
        <v>0</v>
      </c>
      <c r="H162" s="22">
        <v>8</v>
      </c>
      <c r="I162" s="22">
        <v>0.17</v>
      </c>
      <c r="J162" s="22">
        <v>13.36</v>
      </c>
      <c r="K162" s="22">
        <v>0</v>
      </c>
      <c r="L162" s="22">
        <v>0</v>
      </c>
      <c r="M162" s="388">
        <v>536.53</v>
      </c>
      <c r="N162" s="25">
        <v>0.65010000000000001</v>
      </c>
      <c r="O162" s="24">
        <v>583</v>
      </c>
      <c r="P162" s="24">
        <v>54.75</v>
      </c>
      <c r="Q162" s="24">
        <v>30.25</v>
      </c>
      <c r="R162" s="22">
        <v>24.5</v>
      </c>
      <c r="S162" s="24">
        <v>10</v>
      </c>
      <c r="T162" s="24">
        <f t="shared" si="10"/>
        <v>64.75</v>
      </c>
      <c r="U162" s="376">
        <v>348.8</v>
      </c>
      <c r="V162" s="376">
        <v>26.83</v>
      </c>
      <c r="W162" s="22">
        <f t="shared" si="11"/>
        <v>226.75488000000001</v>
      </c>
      <c r="X162" s="22">
        <f t="shared" si="12"/>
        <v>91.25</v>
      </c>
      <c r="Y162" s="22">
        <v>42.5</v>
      </c>
      <c r="Z162" s="22">
        <v>48.75</v>
      </c>
      <c r="AA162" s="371">
        <v>576.91999999999996</v>
      </c>
      <c r="AB162" s="22">
        <v>0.15816751022672121</v>
      </c>
      <c r="AC162" s="24">
        <v>2.31675102267212E-2</v>
      </c>
      <c r="AD162" s="384">
        <v>-125068.10446699119</v>
      </c>
    </row>
    <row r="163" spans="1:30">
      <c r="A163" s="21" t="s">
        <v>609</v>
      </c>
      <c r="B163" s="21" t="s">
        <v>610</v>
      </c>
      <c r="C163" s="23">
        <v>250</v>
      </c>
      <c r="D163" s="147">
        <v>2.3199999999999998</v>
      </c>
      <c r="E163" s="22">
        <v>22.8</v>
      </c>
      <c r="F163" s="22">
        <v>25.12</v>
      </c>
      <c r="G163" s="22">
        <v>0</v>
      </c>
      <c r="H163" s="22">
        <v>0</v>
      </c>
      <c r="I163" s="22">
        <v>0.38</v>
      </c>
      <c r="J163" s="22">
        <v>21.599999999999998</v>
      </c>
      <c r="K163" s="22">
        <v>1.2</v>
      </c>
      <c r="L163" s="22">
        <v>0</v>
      </c>
      <c r="M163" s="388">
        <v>837.18000000000006</v>
      </c>
      <c r="N163" s="25">
        <v>0.996</v>
      </c>
      <c r="O163" s="24">
        <v>818</v>
      </c>
      <c r="P163" s="24">
        <v>124.5</v>
      </c>
      <c r="Q163" s="24">
        <v>75.5</v>
      </c>
      <c r="R163" s="22">
        <v>49</v>
      </c>
      <c r="S163" s="24">
        <v>17</v>
      </c>
      <c r="T163" s="24">
        <f t="shared" si="10"/>
        <v>141.5</v>
      </c>
      <c r="U163" s="376">
        <v>833.83</v>
      </c>
      <c r="V163" s="376">
        <v>41.86</v>
      </c>
      <c r="W163" s="22">
        <f t="shared" si="11"/>
        <v>830.49468000000002</v>
      </c>
      <c r="X163" s="22">
        <f t="shared" si="12"/>
        <v>122.5</v>
      </c>
      <c r="Y163" s="22">
        <v>71</v>
      </c>
      <c r="Z163" s="22">
        <v>51.5</v>
      </c>
      <c r="AA163" s="371">
        <v>823.08</v>
      </c>
      <c r="AB163" s="22">
        <v>0.14883121932254459</v>
      </c>
      <c r="AC163" s="24">
        <v>1.383121932254458E-2</v>
      </c>
      <c r="AD163" s="384">
        <v>-106882.92082637608</v>
      </c>
    </row>
    <row r="164" spans="1:30">
      <c r="A164" s="21" t="s">
        <v>551</v>
      </c>
      <c r="B164" s="21" t="s">
        <v>552</v>
      </c>
      <c r="C164" s="23">
        <v>498</v>
      </c>
      <c r="D164" s="147">
        <v>7.49</v>
      </c>
      <c r="E164" s="22">
        <v>87.8</v>
      </c>
      <c r="F164" s="22">
        <v>95.289999999999992</v>
      </c>
      <c r="G164" s="22">
        <v>0</v>
      </c>
      <c r="H164" s="22">
        <v>50</v>
      </c>
      <c r="I164" s="22">
        <v>3.7</v>
      </c>
      <c r="J164" s="22">
        <v>80.45</v>
      </c>
      <c r="K164" s="22">
        <v>14.37</v>
      </c>
      <c r="L164" s="22">
        <v>0.43</v>
      </c>
      <c r="M164" s="388">
        <v>1740.95</v>
      </c>
      <c r="N164" s="25">
        <v>0.55310000000000004</v>
      </c>
      <c r="O164" s="24">
        <v>1292</v>
      </c>
      <c r="P164" s="24">
        <v>87.25</v>
      </c>
      <c r="Q164" s="24">
        <v>51.25</v>
      </c>
      <c r="R164" s="22">
        <v>36</v>
      </c>
      <c r="S164" s="24">
        <v>17</v>
      </c>
      <c r="T164" s="24">
        <f t="shared" si="10"/>
        <v>104.25</v>
      </c>
      <c r="U164" s="376">
        <v>962.92</v>
      </c>
      <c r="V164" s="376">
        <v>87.05</v>
      </c>
      <c r="W164" s="22">
        <f t="shared" si="11"/>
        <v>532.59105199999999</v>
      </c>
      <c r="X164" s="22">
        <f t="shared" si="12"/>
        <v>285.75</v>
      </c>
      <c r="Y164" s="22">
        <v>207.75</v>
      </c>
      <c r="Z164" s="22">
        <v>78</v>
      </c>
      <c r="AA164" s="371">
        <v>1642.18</v>
      </c>
      <c r="AB164" s="22">
        <v>0.17400650355015893</v>
      </c>
      <c r="AC164" s="24">
        <v>3.9006503550158916E-2</v>
      </c>
      <c r="AD164" s="384">
        <v>-653508.47347233212</v>
      </c>
    </row>
    <row r="165" spans="1:30">
      <c r="A165" s="21" t="s">
        <v>417</v>
      </c>
      <c r="B165" s="21" t="s">
        <v>418</v>
      </c>
      <c r="C165" s="23">
        <v>30</v>
      </c>
      <c r="D165" s="147">
        <v>0</v>
      </c>
      <c r="E165" s="22">
        <v>0</v>
      </c>
      <c r="F165" s="22">
        <v>0</v>
      </c>
      <c r="G165" s="22">
        <v>0</v>
      </c>
      <c r="H165" s="22">
        <v>0</v>
      </c>
      <c r="I165" s="22">
        <v>0</v>
      </c>
      <c r="J165" s="22">
        <v>0</v>
      </c>
      <c r="K165" s="22">
        <v>0</v>
      </c>
      <c r="L165" s="22">
        <v>0</v>
      </c>
      <c r="M165" s="388">
        <v>63</v>
      </c>
      <c r="N165" s="25">
        <v>0.22409999999999999</v>
      </c>
      <c r="O165" s="24">
        <v>0</v>
      </c>
      <c r="P165" s="24">
        <v>0</v>
      </c>
      <c r="Q165" s="24">
        <v>0</v>
      </c>
      <c r="R165" s="22">
        <v>0</v>
      </c>
      <c r="S165" s="24">
        <v>0</v>
      </c>
      <c r="T165" s="24">
        <f t="shared" si="10"/>
        <v>0</v>
      </c>
      <c r="U165" s="376">
        <v>14.12</v>
      </c>
      <c r="V165" s="376">
        <v>3.15</v>
      </c>
      <c r="W165" s="22">
        <f t="shared" si="11"/>
        <v>3.1642919999999997</v>
      </c>
      <c r="X165" s="22">
        <f t="shared" si="12"/>
        <v>4.5</v>
      </c>
      <c r="Y165" s="22">
        <v>4.5</v>
      </c>
      <c r="Z165" s="22">
        <v>0</v>
      </c>
      <c r="AA165" s="371">
        <v>59.8</v>
      </c>
      <c r="AB165" s="22">
        <v>7.5250836120401343E-2</v>
      </c>
      <c r="AC165" s="24">
        <v>0</v>
      </c>
      <c r="AD165" s="384">
        <v>0</v>
      </c>
    </row>
    <row r="166" spans="1:30">
      <c r="A166" s="21" t="s">
        <v>413</v>
      </c>
      <c r="B166" s="21" t="s">
        <v>414</v>
      </c>
      <c r="C166" s="23">
        <v>1889</v>
      </c>
      <c r="D166" s="147">
        <v>0</v>
      </c>
      <c r="E166" s="22">
        <v>421.29</v>
      </c>
      <c r="F166" s="22">
        <v>421.29</v>
      </c>
      <c r="G166" s="22">
        <v>191.36</v>
      </c>
      <c r="H166" s="22">
        <v>140</v>
      </c>
      <c r="I166" s="22">
        <v>6.42</v>
      </c>
      <c r="J166" s="22">
        <v>403.72</v>
      </c>
      <c r="K166" s="22">
        <v>23.2</v>
      </c>
      <c r="L166" s="22">
        <v>0</v>
      </c>
      <c r="M166" s="388">
        <v>6856.34</v>
      </c>
      <c r="N166" s="25">
        <v>0.63229999999999997</v>
      </c>
      <c r="O166" s="24">
        <v>6111</v>
      </c>
      <c r="P166" s="24">
        <v>1568.5</v>
      </c>
      <c r="Q166" s="24">
        <v>989.25</v>
      </c>
      <c r="R166" s="22">
        <v>579.25</v>
      </c>
      <c r="S166" s="24">
        <v>182.75</v>
      </c>
      <c r="T166" s="24">
        <f t="shared" si="10"/>
        <v>1751.25</v>
      </c>
      <c r="U166" s="376">
        <v>4335.26</v>
      </c>
      <c r="V166" s="376">
        <v>342.82</v>
      </c>
      <c r="W166" s="22">
        <f t="shared" si="11"/>
        <v>2741.184898</v>
      </c>
      <c r="X166" s="22">
        <f t="shared" si="12"/>
        <v>858</v>
      </c>
      <c r="Y166" s="22">
        <v>514</v>
      </c>
      <c r="Z166" s="22">
        <v>344</v>
      </c>
      <c r="AA166" s="371">
        <v>6418.03</v>
      </c>
      <c r="AB166" s="22">
        <v>0.13368588180485289</v>
      </c>
      <c r="AC166" s="24">
        <v>0</v>
      </c>
      <c r="AD166" s="384">
        <v>0</v>
      </c>
    </row>
    <row r="167" spans="1:30">
      <c r="A167" s="21" t="s">
        <v>223</v>
      </c>
      <c r="B167" s="21" t="s">
        <v>224</v>
      </c>
      <c r="C167" s="23">
        <v>160.19999999999999</v>
      </c>
      <c r="D167" s="147">
        <v>0.27</v>
      </c>
      <c r="E167" s="22">
        <v>6.56</v>
      </c>
      <c r="F167" s="22">
        <v>6.83</v>
      </c>
      <c r="G167" s="22">
        <v>0</v>
      </c>
      <c r="H167" s="22">
        <v>2.69</v>
      </c>
      <c r="I167" s="22">
        <v>0.33</v>
      </c>
      <c r="J167" s="22">
        <v>0</v>
      </c>
      <c r="K167" s="22">
        <v>0</v>
      </c>
      <c r="L167" s="22">
        <v>0</v>
      </c>
      <c r="M167" s="388">
        <v>526.33000000000015</v>
      </c>
      <c r="N167" s="25">
        <v>0.82310000000000005</v>
      </c>
      <c r="O167" s="24">
        <v>520</v>
      </c>
      <c r="P167" s="24">
        <v>0</v>
      </c>
      <c r="Q167" s="24">
        <v>0</v>
      </c>
      <c r="R167" s="22">
        <v>0</v>
      </c>
      <c r="S167" s="24">
        <v>0</v>
      </c>
      <c r="T167" s="24">
        <f t="shared" si="10"/>
        <v>0</v>
      </c>
      <c r="U167" s="376">
        <v>433.22</v>
      </c>
      <c r="V167" s="376">
        <v>0</v>
      </c>
      <c r="W167" s="22">
        <f t="shared" si="11"/>
        <v>356.58338200000003</v>
      </c>
      <c r="X167" s="22">
        <f t="shared" si="12"/>
        <v>0</v>
      </c>
      <c r="Y167" s="22">
        <v>0</v>
      </c>
      <c r="Z167" s="22">
        <v>0</v>
      </c>
      <c r="AA167" s="371">
        <v>526.87</v>
      </c>
      <c r="AB167" s="22">
        <v>0</v>
      </c>
      <c r="AC167" s="24">
        <v>0</v>
      </c>
      <c r="AD167" s="384">
        <v>0</v>
      </c>
    </row>
    <row r="168" spans="1:30">
      <c r="A168" s="21" t="s">
        <v>427</v>
      </c>
      <c r="B168" s="21" t="s">
        <v>428</v>
      </c>
      <c r="C168" s="23">
        <v>4683</v>
      </c>
      <c r="D168" s="147">
        <v>166.94</v>
      </c>
      <c r="E168" s="22">
        <v>554.14</v>
      </c>
      <c r="F168" s="22">
        <v>721.07999999999993</v>
      </c>
      <c r="G168" s="22">
        <v>482.67</v>
      </c>
      <c r="H168" s="22">
        <v>338</v>
      </c>
      <c r="I168" s="22">
        <v>26.01</v>
      </c>
      <c r="J168" s="22">
        <v>0</v>
      </c>
      <c r="K168" s="22">
        <v>37.4</v>
      </c>
      <c r="L168" s="22">
        <v>0</v>
      </c>
      <c r="M168" s="388">
        <v>15565.41</v>
      </c>
      <c r="N168" s="25">
        <v>0.49730000000000002</v>
      </c>
      <c r="O168" s="24">
        <v>8691</v>
      </c>
      <c r="P168" s="24">
        <v>3253.75</v>
      </c>
      <c r="Q168" s="24">
        <v>2258.25</v>
      </c>
      <c r="R168" s="22">
        <v>995.5</v>
      </c>
      <c r="S168" s="24">
        <v>546.75</v>
      </c>
      <c r="T168" s="24">
        <f t="shared" si="10"/>
        <v>3800.5</v>
      </c>
      <c r="U168" s="376">
        <v>7742.23</v>
      </c>
      <c r="V168" s="376">
        <v>778.27</v>
      </c>
      <c r="W168" s="22">
        <f t="shared" si="11"/>
        <v>3850.210979</v>
      </c>
      <c r="X168" s="22">
        <f t="shared" si="12"/>
        <v>1979</v>
      </c>
      <c r="Y168" s="22">
        <v>1223.25</v>
      </c>
      <c r="Z168" s="22">
        <v>755.75</v>
      </c>
      <c r="AA168" s="371">
        <v>14647.94</v>
      </c>
      <c r="AB168" s="22">
        <v>0.13510432183638107</v>
      </c>
      <c r="AC168" s="24">
        <v>1.0432183638106607E-4</v>
      </c>
      <c r="AD168" s="384">
        <v>-16247.139482622766</v>
      </c>
    </row>
    <row r="169" spans="1:30">
      <c r="A169" s="21" t="s">
        <v>583</v>
      </c>
      <c r="B169" s="21" t="s">
        <v>584</v>
      </c>
      <c r="C169" s="23">
        <v>367</v>
      </c>
      <c r="D169" s="147">
        <v>20.63</v>
      </c>
      <c r="E169" s="22">
        <v>63.17</v>
      </c>
      <c r="F169" s="22">
        <v>83.8</v>
      </c>
      <c r="G169" s="22">
        <v>0</v>
      </c>
      <c r="H169" s="22">
        <v>21</v>
      </c>
      <c r="I169" s="22">
        <v>2.65</v>
      </c>
      <c r="J169" s="22">
        <v>40.160000000000004</v>
      </c>
      <c r="K169" s="22">
        <v>2.8</v>
      </c>
      <c r="L169" s="22">
        <v>0</v>
      </c>
      <c r="M169" s="388">
        <v>1234.6100000000001</v>
      </c>
      <c r="N169" s="25">
        <v>0.52549999999999997</v>
      </c>
      <c r="O169" s="24">
        <v>841</v>
      </c>
      <c r="P169" s="24">
        <v>72.75</v>
      </c>
      <c r="Q169" s="24">
        <v>41</v>
      </c>
      <c r="R169" s="22">
        <v>31.75</v>
      </c>
      <c r="S169" s="24">
        <v>26.25</v>
      </c>
      <c r="T169" s="24">
        <f t="shared" si="10"/>
        <v>99</v>
      </c>
      <c r="U169" s="376">
        <v>646.32000000000005</v>
      </c>
      <c r="V169" s="376">
        <v>61.73</v>
      </c>
      <c r="W169" s="22">
        <f t="shared" si="11"/>
        <v>339.64116000000001</v>
      </c>
      <c r="X169" s="22">
        <f t="shared" si="12"/>
        <v>158.25</v>
      </c>
      <c r="Y169" s="22">
        <v>120.75</v>
      </c>
      <c r="Z169" s="22">
        <v>37.5</v>
      </c>
      <c r="AA169" s="371">
        <v>1237.22</v>
      </c>
      <c r="AB169" s="22">
        <v>0.12790772861738414</v>
      </c>
      <c r="AC169" s="24">
        <v>0</v>
      </c>
      <c r="AD169" s="384">
        <v>0</v>
      </c>
    </row>
    <row r="170" spans="1:30">
      <c r="A170" s="21" t="s">
        <v>271</v>
      </c>
      <c r="B170" s="21" t="s">
        <v>272</v>
      </c>
      <c r="C170" s="23">
        <v>193</v>
      </c>
      <c r="D170" s="147">
        <v>42.48</v>
      </c>
      <c r="E170" s="22">
        <v>77.87</v>
      </c>
      <c r="F170" s="22">
        <v>120.35</v>
      </c>
      <c r="G170" s="22">
        <v>0</v>
      </c>
      <c r="H170" s="22">
        <v>29</v>
      </c>
      <c r="I170" s="22">
        <v>1.45</v>
      </c>
      <c r="J170" s="22">
        <v>0.8</v>
      </c>
      <c r="K170" s="22">
        <v>2.4</v>
      </c>
      <c r="L170" s="22">
        <v>0</v>
      </c>
      <c r="M170" s="388">
        <v>765.65</v>
      </c>
      <c r="N170" s="25">
        <v>0.46410000000000001</v>
      </c>
      <c r="O170" s="24">
        <v>0</v>
      </c>
      <c r="P170" s="24">
        <v>18</v>
      </c>
      <c r="Q170" s="24">
        <v>12</v>
      </c>
      <c r="R170" s="22">
        <v>6</v>
      </c>
      <c r="S170" s="24">
        <v>2.75</v>
      </c>
      <c r="T170" s="24">
        <f t="shared" si="10"/>
        <v>20.75</v>
      </c>
      <c r="U170" s="376">
        <v>355.34</v>
      </c>
      <c r="V170" s="376">
        <v>38.28</v>
      </c>
      <c r="W170" s="22">
        <f t="shared" si="11"/>
        <v>164.91329399999998</v>
      </c>
      <c r="X170" s="22">
        <f t="shared" si="12"/>
        <v>76.75</v>
      </c>
      <c r="Y170" s="22">
        <v>52.75</v>
      </c>
      <c r="Z170" s="22">
        <v>24</v>
      </c>
      <c r="AA170" s="371">
        <v>770.63</v>
      </c>
      <c r="AB170" s="22">
        <v>9.9593838807209692E-2</v>
      </c>
      <c r="AC170" s="24">
        <v>0</v>
      </c>
      <c r="AD170" s="384">
        <v>0</v>
      </c>
    </row>
    <row r="171" spans="1:30">
      <c r="A171" s="21" t="s">
        <v>349</v>
      </c>
      <c r="B171" s="21" t="s">
        <v>350</v>
      </c>
      <c r="C171" s="23">
        <v>76</v>
      </c>
      <c r="D171" s="147">
        <v>2.02</v>
      </c>
      <c r="E171" s="22">
        <v>10.82</v>
      </c>
      <c r="F171" s="22">
        <v>12.84</v>
      </c>
      <c r="G171" s="22">
        <v>0</v>
      </c>
      <c r="H171" s="22">
        <v>9</v>
      </c>
      <c r="I171" s="22">
        <v>0.71</v>
      </c>
      <c r="J171" s="22">
        <v>0</v>
      </c>
      <c r="K171" s="22">
        <v>0</v>
      </c>
      <c r="L171" s="22">
        <v>0</v>
      </c>
      <c r="M171" s="388">
        <v>286.70999999999998</v>
      </c>
      <c r="N171" s="25">
        <v>0.52969999999999995</v>
      </c>
      <c r="O171" s="24">
        <v>319</v>
      </c>
      <c r="P171" s="24">
        <v>13</v>
      </c>
      <c r="Q171" s="24">
        <v>2</v>
      </c>
      <c r="R171" s="22">
        <v>11</v>
      </c>
      <c r="S171" s="24">
        <v>0</v>
      </c>
      <c r="T171" s="24">
        <f t="shared" si="10"/>
        <v>13</v>
      </c>
      <c r="U171" s="376">
        <v>151.87</v>
      </c>
      <c r="V171" s="376">
        <v>14.34</v>
      </c>
      <c r="W171" s="22">
        <f t="shared" si="11"/>
        <v>80.445538999999997</v>
      </c>
      <c r="X171" s="22">
        <f t="shared" si="12"/>
        <v>41.75</v>
      </c>
      <c r="Y171" s="22">
        <v>25.5</v>
      </c>
      <c r="Z171" s="22">
        <v>16.25</v>
      </c>
      <c r="AA171" s="371">
        <v>312.37</v>
      </c>
      <c r="AB171" s="22">
        <v>0.13365560072990365</v>
      </c>
      <c r="AC171" s="24">
        <v>0</v>
      </c>
      <c r="AD171" s="384">
        <v>0</v>
      </c>
    </row>
    <row r="172" spans="1:30">
      <c r="A172" s="21" t="s">
        <v>327</v>
      </c>
      <c r="B172" s="21" t="s">
        <v>328</v>
      </c>
      <c r="C172" s="23">
        <v>56</v>
      </c>
      <c r="D172" s="147">
        <v>0</v>
      </c>
      <c r="E172" s="22">
        <v>0</v>
      </c>
      <c r="F172" s="22">
        <v>0</v>
      </c>
      <c r="G172" s="22">
        <v>0</v>
      </c>
      <c r="H172" s="22">
        <v>0</v>
      </c>
      <c r="I172" s="22">
        <v>0</v>
      </c>
      <c r="J172" s="22">
        <v>0</v>
      </c>
      <c r="K172" s="22">
        <v>0</v>
      </c>
      <c r="L172" s="22">
        <v>0</v>
      </c>
      <c r="M172" s="388">
        <v>115</v>
      </c>
      <c r="N172" s="25">
        <v>1</v>
      </c>
      <c r="O172" s="24">
        <v>130</v>
      </c>
      <c r="P172" s="24">
        <v>0</v>
      </c>
      <c r="Q172" s="24">
        <v>0</v>
      </c>
      <c r="R172" s="22">
        <v>0</v>
      </c>
      <c r="S172" s="24">
        <v>0</v>
      </c>
      <c r="T172" s="24">
        <f t="shared" si="10"/>
        <v>0</v>
      </c>
      <c r="U172" s="376">
        <v>115</v>
      </c>
      <c r="V172" s="376">
        <v>0</v>
      </c>
      <c r="W172" s="22">
        <f t="shared" si="11"/>
        <v>115</v>
      </c>
      <c r="X172" s="22">
        <f t="shared" si="12"/>
        <v>25.5</v>
      </c>
      <c r="Y172" s="22">
        <v>25</v>
      </c>
      <c r="Z172" s="22">
        <v>0.5</v>
      </c>
      <c r="AA172" s="371">
        <v>128.4</v>
      </c>
      <c r="AB172" s="22">
        <v>0.19859813084112149</v>
      </c>
      <c r="AC172" s="24">
        <v>6.3598130841121481E-2</v>
      </c>
      <c r="AD172" s="384">
        <v>-80225.525660704763</v>
      </c>
    </row>
    <row r="173" spans="1:30">
      <c r="A173" s="21" t="s">
        <v>355</v>
      </c>
      <c r="B173" s="21" t="s">
        <v>356</v>
      </c>
      <c r="C173" s="23">
        <v>260</v>
      </c>
      <c r="D173" s="147">
        <v>31.55</v>
      </c>
      <c r="E173" s="22">
        <v>101.91</v>
      </c>
      <c r="F173" s="22">
        <v>133.46</v>
      </c>
      <c r="G173" s="22">
        <v>0</v>
      </c>
      <c r="H173" s="22">
        <v>25</v>
      </c>
      <c r="I173" s="22">
        <v>0.5</v>
      </c>
      <c r="J173" s="22">
        <v>108.42</v>
      </c>
      <c r="K173" s="22">
        <v>0</v>
      </c>
      <c r="L173" s="22">
        <v>0</v>
      </c>
      <c r="M173" s="388">
        <v>1062.92</v>
      </c>
      <c r="N173" s="25">
        <v>0.60260000000000002</v>
      </c>
      <c r="O173" s="24">
        <v>992</v>
      </c>
      <c r="P173" s="24">
        <v>0</v>
      </c>
      <c r="Q173" s="24">
        <v>0</v>
      </c>
      <c r="R173" s="22">
        <v>0</v>
      </c>
      <c r="S173" s="24">
        <v>0</v>
      </c>
      <c r="T173" s="24">
        <f t="shared" si="10"/>
        <v>0</v>
      </c>
      <c r="U173" s="376">
        <v>640.52</v>
      </c>
      <c r="V173" s="376">
        <v>53.15</v>
      </c>
      <c r="W173" s="22">
        <f t="shared" si="11"/>
        <v>385.977352</v>
      </c>
      <c r="X173" s="22">
        <f t="shared" si="12"/>
        <v>168.75</v>
      </c>
      <c r="Y173" s="22">
        <v>59.5</v>
      </c>
      <c r="Z173" s="22">
        <v>109.25</v>
      </c>
      <c r="AA173" s="371">
        <v>1023.4</v>
      </c>
      <c r="AB173" s="22">
        <v>0.16489153801055306</v>
      </c>
      <c r="AC173" s="24">
        <v>2.9891538010553054E-2</v>
      </c>
      <c r="AD173" s="384">
        <v>-283556.52128645673</v>
      </c>
    </row>
    <row r="174" spans="1:30">
      <c r="A174" s="21" t="s">
        <v>457</v>
      </c>
      <c r="B174" s="21" t="s">
        <v>458</v>
      </c>
      <c r="C174" s="23">
        <v>357</v>
      </c>
      <c r="D174" s="147">
        <v>2.48</v>
      </c>
      <c r="E174" s="22">
        <v>96.56</v>
      </c>
      <c r="F174" s="22">
        <v>99.04</v>
      </c>
      <c r="G174" s="22">
        <v>0</v>
      </c>
      <c r="H174" s="22">
        <v>65</v>
      </c>
      <c r="I174" s="22">
        <v>1.7</v>
      </c>
      <c r="J174" s="22">
        <v>53.800000000000004</v>
      </c>
      <c r="K174" s="22">
        <v>0.86</v>
      </c>
      <c r="L174" s="22">
        <v>0</v>
      </c>
      <c r="M174" s="388">
        <v>1346.36</v>
      </c>
      <c r="N174" s="25">
        <v>0.2505</v>
      </c>
      <c r="O174" s="24">
        <v>0</v>
      </c>
      <c r="P174" s="24">
        <v>10.75</v>
      </c>
      <c r="Q174" s="24">
        <v>5.25</v>
      </c>
      <c r="R174" s="22">
        <v>5.5</v>
      </c>
      <c r="S174" s="24">
        <v>0</v>
      </c>
      <c r="T174" s="24">
        <f t="shared" si="10"/>
        <v>10.75</v>
      </c>
      <c r="U174" s="376">
        <v>337.26</v>
      </c>
      <c r="V174" s="376">
        <v>67.319999999999993</v>
      </c>
      <c r="W174" s="22">
        <f t="shared" si="11"/>
        <v>84.483629999999991</v>
      </c>
      <c r="X174" s="22">
        <f t="shared" si="12"/>
        <v>183.5</v>
      </c>
      <c r="Y174" s="22">
        <v>111.5</v>
      </c>
      <c r="Z174" s="22">
        <v>72</v>
      </c>
      <c r="AA174" s="371">
        <v>1399.49</v>
      </c>
      <c r="AB174" s="22">
        <v>0.1311191934204603</v>
      </c>
      <c r="AC174" s="24">
        <v>0</v>
      </c>
      <c r="AD174" s="384">
        <v>0</v>
      </c>
    </row>
    <row r="175" spans="1:30">
      <c r="A175" s="21" t="s">
        <v>549</v>
      </c>
      <c r="B175" s="21" t="s">
        <v>550</v>
      </c>
      <c r="C175" s="23">
        <v>686</v>
      </c>
      <c r="D175" s="147">
        <v>12.82</v>
      </c>
      <c r="E175" s="22">
        <v>74.8</v>
      </c>
      <c r="F175" s="22">
        <v>87.62</v>
      </c>
      <c r="G175" s="22">
        <v>0</v>
      </c>
      <c r="H175" s="22">
        <v>30</v>
      </c>
      <c r="I175" s="22">
        <v>2.1800000000000002</v>
      </c>
      <c r="J175" s="22">
        <v>0</v>
      </c>
      <c r="K175" s="22">
        <v>5.71</v>
      </c>
      <c r="L175" s="22">
        <v>0.89</v>
      </c>
      <c r="M175" s="388">
        <v>2087.7799999999997</v>
      </c>
      <c r="N175" s="25">
        <v>0.5454</v>
      </c>
      <c r="O175" s="24">
        <v>1455</v>
      </c>
      <c r="P175" s="24">
        <v>243.5</v>
      </c>
      <c r="Q175" s="24">
        <v>162.25</v>
      </c>
      <c r="R175" s="22">
        <v>81.25</v>
      </c>
      <c r="S175" s="24">
        <v>37</v>
      </c>
      <c r="T175" s="24">
        <f t="shared" si="10"/>
        <v>280.5</v>
      </c>
      <c r="U175" s="376">
        <v>1138.68</v>
      </c>
      <c r="V175" s="376">
        <v>104.39</v>
      </c>
      <c r="W175" s="22">
        <f t="shared" si="11"/>
        <v>621.03607199999999</v>
      </c>
      <c r="X175" s="22">
        <f t="shared" si="12"/>
        <v>275.75</v>
      </c>
      <c r="Y175" s="22">
        <v>187.5</v>
      </c>
      <c r="Z175" s="22">
        <v>88.25</v>
      </c>
      <c r="AA175" s="371">
        <v>1801.72</v>
      </c>
      <c r="AB175" s="22">
        <v>0.15304819838820682</v>
      </c>
      <c r="AC175" s="24">
        <v>1.8048198388206815E-2</v>
      </c>
      <c r="AD175" s="384">
        <v>-321460.53851252969</v>
      </c>
    </row>
    <row r="176" spans="1:30">
      <c r="A176" s="21" t="s">
        <v>145</v>
      </c>
      <c r="B176" s="21" t="s">
        <v>146</v>
      </c>
      <c r="C176" s="23">
        <v>202</v>
      </c>
      <c r="D176" s="147">
        <v>14.74</v>
      </c>
      <c r="E176" s="22">
        <v>24.34</v>
      </c>
      <c r="F176" s="22">
        <v>39.08</v>
      </c>
      <c r="G176" s="22">
        <v>0</v>
      </c>
      <c r="H176" s="22">
        <v>13</v>
      </c>
      <c r="I176" s="22">
        <v>1.08</v>
      </c>
      <c r="J176" s="22">
        <v>0</v>
      </c>
      <c r="K176" s="22">
        <v>3.2</v>
      </c>
      <c r="L176" s="22">
        <v>0</v>
      </c>
      <c r="M176" s="388">
        <v>737.28000000000009</v>
      </c>
      <c r="N176" s="25">
        <v>0.75539999999999996</v>
      </c>
      <c r="O176" s="24">
        <v>736</v>
      </c>
      <c r="P176" s="24">
        <v>17.75</v>
      </c>
      <c r="Q176" s="24">
        <v>13.75</v>
      </c>
      <c r="R176" s="22">
        <v>4</v>
      </c>
      <c r="S176" s="24">
        <v>6</v>
      </c>
      <c r="T176" s="24">
        <f t="shared" si="10"/>
        <v>23.75</v>
      </c>
      <c r="U176" s="376">
        <v>556.94000000000005</v>
      </c>
      <c r="V176" s="376">
        <v>36.86</v>
      </c>
      <c r="W176" s="22">
        <f t="shared" si="11"/>
        <v>420.71247600000004</v>
      </c>
      <c r="X176" s="22">
        <f t="shared" si="12"/>
        <v>123.5</v>
      </c>
      <c r="Y176" s="22">
        <v>90</v>
      </c>
      <c r="Z176" s="22">
        <v>33.5</v>
      </c>
      <c r="AA176" s="371">
        <v>724.35</v>
      </c>
      <c r="AB176" s="22">
        <v>0.17049768758197004</v>
      </c>
      <c r="AC176" s="24">
        <v>3.5497687581970028E-2</v>
      </c>
      <c r="AD176" s="384">
        <v>-240193.9432431116</v>
      </c>
    </row>
    <row r="177" spans="1:30">
      <c r="A177" s="21" t="s">
        <v>113</v>
      </c>
      <c r="B177" s="21" t="s">
        <v>114</v>
      </c>
      <c r="C177" s="23">
        <v>600</v>
      </c>
      <c r="D177" s="147">
        <v>7.41</v>
      </c>
      <c r="E177" s="22">
        <v>104.04</v>
      </c>
      <c r="F177" s="22">
        <v>111.45</v>
      </c>
      <c r="G177" s="22">
        <v>0</v>
      </c>
      <c r="H177" s="22">
        <v>30</v>
      </c>
      <c r="I177" s="22">
        <v>1.1000000000000001</v>
      </c>
      <c r="J177" s="22">
        <v>37.9</v>
      </c>
      <c r="K177" s="22">
        <v>3</v>
      </c>
      <c r="L177" s="22">
        <v>0</v>
      </c>
      <c r="M177" s="388">
        <v>2058</v>
      </c>
      <c r="N177" s="25">
        <v>0.75470000000000004</v>
      </c>
      <c r="O177" s="24">
        <v>2065</v>
      </c>
      <c r="P177" s="24">
        <v>721</v>
      </c>
      <c r="Q177" s="24">
        <v>430.75</v>
      </c>
      <c r="R177" s="22">
        <v>290.25</v>
      </c>
      <c r="S177" s="24">
        <v>105.75</v>
      </c>
      <c r="T177" s="24">
        <f t="shared" si="10"/>
        <v>826.75</v>
      </c>
      <c r="U177" s="376">
        <v>1553.17</v>
      </c>
      <c r="V177" s="376">
        <v>102.9</v>
      </c>
      <c r="W177" s="22">
        <f t="shared" si="11"/>
        <v>1172.1773990000002</v>
      </c>
      <c r="X177" s="22">
        <f t="shared" si="12"/>
        <v>288.25</v>
      </c>
      <c r="Y177" s="22">
        <v>152.25</v>
      </c>
      <c r="Z177" s="22">
        <v>136</v>
      </c>
      <c r="AA177" s="371">
        <v>2060.73</v>
      </c>
      <c r="AB177" s="22">
        <v>0.13987761618455596</v>
      </c>
      <c r="AC177" s="24">
        <v>4.8776161845559551E-3</v>
      </c>
      <c r="AD177" s="384">
        <v>-94208.584447692003</v>
      </c>
    </row>
    <row r="178" spans="1:30">
      <c r="A178" s="21" t="s">
        <v>231</v>
      </c>
      <c r="B178" s="21" t="s">
        <v>232</v>
      </c>
      <c r="C178" s="23">
        <v>1781</v>
      </c>
      <c r="D178" s="147">
        <v>85.33</v>
      </c>
      <c r="E178" s="22">
        <v>262.3</v>
      </c>
      <c r="F178" s="22">
        <v>347.63</v>
      </c>
      <c r="G178" s="22">
        <v>0</v>
      </c>
      <c r="H178" s="22">
        <v>220</v>
      </c>
      <c r="I178" s="22">
        <v>7.82</v>
      </c>
      <c r="J178" s="22">
        <v>222.51</v>
      </c>
      <c r="K178" s="22">
        <v>0</v>
      </c>
      <c r="L178" s="22">
        <v>0</v>
      </c>
      <c r="M178" s="388">
        <v>5627.33</v>
      </c>
      <c r="N178" s="25">
        <v>0.33160000000000001</v>
      </c>
      <c r="O178" s="24">
        <v>335</v>
      </c>
      <c r="P178" s="24">
        <v>238.5</v>
      </c>
      <c r="Q178" s="24">
        <v>164.75</v>
      </c>
      <c r="R178" s="22">
        <v>73.75</v>
      </c>
      <c r="S178" s="24">
        <v>43</v>
      </c>
      <c r="T178" s="24">
        <f t="shared" si="10"/>
        <v>281.5</v>
      </c>
      <c r="U178" s="376">
        <v>1866.02</v>
      </c>
      <c r="V178" s="376">
        <v>281.37</v>
      </c>
      <c r="W178" s="22">
        <f t="shared" si="11"/>
        <v>618.77223200000003</v>
      </c>
      <c r="X178" s="22">
        <f t="shared" si="12"/>
        <v>707.5</v>
      </c>
      <c r="Y178" s="22">
        <v>486.5</v>
      </c>
      <c r="Z178" s="22">
        <v>221</v>
      </c>
      <c r="AA178" s="371">
        <v>5480.32</v>
      </c>
      <c r="AB178" s="22">
        <v>0.12909830082914867</v>
      </c>
      <c r="AC178" s="24">
        <v>0</v>
      </c>
      <c r="AD178" s="384">
        <v>0</v>
      </c>
    </row>
    <row r="179" spans="1:30">
      <c r="A179" s="21" t="s">
        <v>323</v>
      </c>
      <c r="B179" s="21" t="s">
        <v>324</v>
      </c>
      <c r="C179" s="23">
        <v>607</v>
      </c>
      <c r="D179" s="147">
        <v>84.23</v>
      </c>
      <c r="E179" s="22">
        <v>150.52000000000001</v>
      </c>
      <c r="F179" s="22">
        <v>234.75</v>
      </c>
      <c r="G179" s="22">
        <v>0</v>
      </c>
      <c r="H179" s="22">
        <v>63</v>
      </c>
      <c r="I179" s="22">
        <v>3.85</v>
      </c>
      <c r="J179" s="22">
        <v>152.79</v>
      </c>
      <c r="K179" s="22">
        <v>0</v>
      </c>
      <c r="L179" s="22">
        <v>0</v>
      </c>
      <c r="M179" s="388">
        <v>2313.64</v>
      </c>
      <c r="N179" s="25">
        <v>0.56899999999999995</v>
      </c>
      <c r="O179" s="24">
        <v>1439</v>
      </c>
      <c r="P179" s="24">
        <v>301.5</v>
      </c>
      <c r="Q179" s="24">
        <v>185.75</v>
      </c>
      <c r="R179" s="22">
        <v>115.75</v>
      </c>
      <c r="S179" s="24">
        <v>30</v>
      </c>
      <c r="T179" s="24">
        <f t="shared" si="10"/>
        <v>331.5</v>
      </c>
      <c r="U179" s="376">
        <v>1316.46</v>
      </c>
      <c r="V179" s="376">
        <v>115.68</v>
      </c>
      <c r="W179" s="22">
        <f t="shared" si="11"/>
        <v>749.06574000000001</v>
      </c>
      <c r="X179" s="22">
        <f t="shared" si="12"/>
        <v>340.75</v>
      </c>
      <c r="Y179" s="22">
        <v>266</v>
      </c>
      <c r="Z179" s="22">
        <v>74.75</v>
      </c>
      <c r="AA179" s="371">
        <v>2277.7399999999998</v>
      </c>
      <c r="AB179" s="22">
        <v>0.14960004214704051</v>
      </c>
      <c r="AC179" s="24">
        <v>1.4600042147040498E-2</v>
      </c>
      <c r="AD179" s="384">
        <v>-324505.98120726121</v>
      </c>
    </row>
    <row r="180" spans="1:30">
      <c r="A180" s="21" t="s">
        <v>353</v>
      </c>
      <c r="B180" s="21" t="s">
        <v>354</v>
      </c>
      <c r="C180" s="23">
        <v>17</v>
      </c>
      <c r="D180" s="147">
        <v>0</v>
      </c>
      <c r="E180" s="22">
        <v>0</v>
      </c>
      <c r="F180" s="22">
        <v>0</v>
      </c>
      <c r="G180" s="22">
        <v>0</v>
      </c>
      <c r="H180" s="22">
        <v>2</v>
      </c>
      <c r="I180" s="22">
        <v>0</v>
      </c>
      <c r="J180" s="22">
        <v>0</v>
      </c>
      <c r="K180" s="22">
        <v>0</v>
      </c>
      <c r="L180" s="22">
        <v>0</v>
      </c>
      <c r="M180" s="388">
        <v>74</v>
      </c>
      <c r="N180" s="25">
        <v>0.70589999999999997</v>
      </c>
      <c r="O180" s="24">
        <v>88</v>
      </c>
      <c r="P180" s="24">
        <v>0</v>
      </c>
      <c r="Q180" s="24">
        <v>0</v>
      </c>
      <c r="R180" s="22">
        <v>0</v>
      </c>
      <c r="S180" s="24">
        <v>0</v>
      </c>
      <c r="T180" s="24">
        <f t="shared" si="10"/>
        <v>0</v>
      </c>
      <c r="U180" s="376">
        <v>52.24</v>
      </c>
      <c r="V180" s="376">
        <v>0</v>
      </c>
      <c r="W180" s="22">
        <f t="shared" si="11"/>
        <v>36.876215999999999</v>
      </c>
      <c r="X180" s="22">
        <f t="shared" si="12"/>
        <v>8.5</v>
      </c>
      <c r="Y180" s="22">
        <v>8.25</v>
      </c>
      <c r="Z180" s="22">
        <v>0.25</v>
      </c>
      <c r="AA180" s="371">
        <v>86.43</v>
      </c>
      <c r="AB180" s="22">
        <v>9.834548189286127E-2</v>
      </c>
      <c r="AC180" s="24">
        <v>0</v>
      </c>
      <c r="AD180" s="384">
        <v>0</v>
      </c>
    </row>
    <row r="181" spans="1:30">
      <c r="A181" s="21" t="s">
        <v>509</v>
      </c>
      <c r="B181" s="21" t="s">
        <v>510</v>
      </c>
      <c r="C181" s="23">
        <v>4600</v>
      </c>
      <c r="D181" s="147">
        <v>224.06</v>
      </c>
      <c r="E181" s="22">
        <v>799.18</v>
      </c>
      <c r="F181" s="22">
        <v>1023.24</v>
      </c>
      <c r="G181" s="22">
        <v>0</v>
      </c>
      <c r="H181" s="22">
        <v>370</v>
      </c>
      <c r="I181" s="22">
        <v>31.37</v>
      </c>
      <c r="J181" s="22">
        <v>647.01</v>
      </c>
      <c r="K181" s="22">
        <v>72.8</v>
      </c>
      <c r="L181" s="22">
        <v>0</v>
      </c>
      <c r="M181" s="388">
        <v>15514.18</v>
      </c>
      <c r="N181" s="25">
        <v>0.43209999999999998</v>
      </c>
      <c r="O181" s="24">
        <v>3403</v>
      </c>
      <c r="P181" s="24">
        <v>867</v>
      </c>
      <c r="Q181" s="24">
        <v>584.75</v>
      </c>
      <c r="R181" s="22">
        <v>282.25</v>
      </c>
      <c r="S181" s="24">
        <v>155</v>
      </c>
      <c r="T181" s="24">
        <f t="shared" si="10"/>
        <v>1022</v>
      </c>
      <c r="U181" s="376">
        <v>6699.02</v>
      </c>
      <c r="V181" s="376">
        <v>775.71</v>
      </c>
      <c r="W181" s="22">
        <f t="shared" si="11"/>
        <v>2894.646542</v>
      </c>
      <c r="X181" s="22">
        <f t="shared" si="12"/>
        <v>2119.75</v>
      </c>
      <c r="Y181" s="22">
        <v>1235.5</v>
      </c>
      <c r="Z181" s="22">
        <v>884.25</v>
      </c>
      <c r="AA181" s="371">
        <v>14884.12</v>
      </c>
      <c r="AB181" s="22">
        <v>0.14241688457228241</v>
      </c>
      <c r="AC181" s="24">
        <v>7.4168845722824006E-3</v>
      </c>
      <c r="AD181" s="384">
        <v>-1060134.4889436753</v>
      </c>
    </row>
    <row r="182" spans="1:30">
      <c r="A182" s="21" t="s">
        <v>503</v>
      </c>
      <c r="B182" s="21" t="s">
        <v>504</v>
      </c>
      <c r="C182" s="23">
        <v>30</v>
      </c>
      <c r="D182" s="147">
        <v>0</v>
      </c>
      <c r="E182" s="22">
        <v>6.96</v>
      </c>
      <c r="F182" s="22">
        <v>6.96</v>
      </c>
      <c r="G182" s="22">
        <v>0</v>
      </c>
      <c r="H182" s="22">
        <v>2</v>
      </c>
      <c r="I182" s="22">
        <v>0.42</v>
      </c>
      <c r="J182" s="22">
        <v>106.76</v>
      </c>
      <c r="K182" s="22">
        <v>0</v>
      </c>
      <c r="L182" s="22">
        <v>0</v>
      </c>
      <c r="M182" s="388">
        <v>245.18</v>
      </c>
      <c r="N182" s="25">
        <v>0.66810000000000003</v>
      </c>
      <c r="O182" s="24">
        <v>150</v>
      </c>
      <c r="P182" s="24">
        <v>0</v>
      </c>
      <c r="Q182" s="24">
        <v>0</v>
      </c>
      <c r="R182" s="22">
        <v>0</v>
      </c>
      <c r="S182" s="24">
        <v>0</v>
      </c>
      <c r="T182" s="24">
        <f t="shared" si="10"/>
        <v>0</v>
      </c>
      <c r="U182" s="376">
        <v>163.80000000000001</v>
      </c>
      <c r="V182" s="376">
        <v>0</v>
      </c>
      <c r="W182" s="22">
        <f t="shared" si="11"/>
        <v>109.43478000000002</v>
      </c>
      <c r="X182" s="22">
        <f t="shared" si="12"/>
        <v>24.25</v>
      </c>
      <c r="Y182" s="22">
        <v>20.75</v>
      </c>
      <c r="Z182" s="22">
        <v>3.5</v>
      </c>
      <c r="AA182" s="371">
        <v>251.67</v>
      </c>
      <c r="AB182" s="22">
        <v>9.6356339651130454E-2</v>
      </c>
      <c r="AC182" s="24">
        <v>0</v>
      </c>
      <c r="AD182" s="384">
        <v>0</v>
      </c>
    </row>
    <row r="183" spans="1:30">
      <c r="A183" s="21" t="s">
        <v>219</v>
      </c>
      <c r="B183" s="21" t="s">
        <v>220</v>
      </c>
      <c r="C183" s="23">
        <v>7209</v>
      </c>
      <c r="D183" s="147">
        <v>204.85</v>
      </c>
      <c r="E183" s="22">
        <v>874.87</v>
      </c>
      <c r="F183" s="22">
        <v>1079.72</v>
      </c>
      <c r="G183" s="22">
        <v>0</v>
      </c>
      <c r="H183" s="22">
        <v>450</v>
      </c>
      <c r="I183" s="22">
        <v>20.440000000000001</v>
      </c>
      <c r="J183" s="22">
        <v>592.69999999999993</v>
      </c>
      <c r="K183" s="22">
        <v>4.2</v>
      </c>
      <c r="L183" s="22">
        <v>0</v>
      </c>
      <c r="M183" s="388">
        <v>23766.34</v>
      </c>
      <c r="N183" s="25">
        <v>0.14480000000000001</v>
      </c>
      <c r="O183" s="24">
        <v>0</v>
      </c>
      <c r="P183" s="24">
        <v>2078.75</v>
      </c>
      <c r="Q183" s="24">
        <v>1565.5</v>
      </c>
      <c r="R183" s="22">
        <v>513.25</v>
      </c>
      <c r="S183" s="24">
        <v>552.75</v>
      </c>
      <c r="T183" s="24">
        <f t="shared" si="10"/>
        <v>2631.5</v>
      </c>
      <c r="U183" s="376">
        <v>3370.07</v>
      </c>
      <c r="V183" s="376">
        <v>1188.32</v>
      </c>
      <c r="W183" s="22">
        <f t="shared" si="11"/>
        <v>487.98613600000004</v>
      </c>
      <c r="X183" s="22">
        <f t="shared" si="12"/>
        <v>2620.75</v>
      </c>
      <c r="Y183" s="22">
        <v>1695.25</v>
      </c>
      <c r="Z183" s="22">
        <v>925.5</v>
      </c>
      <c r="AA183" s="371">
        <v>22589.87</v>
      </c>
      <c r="AB183" s="22">
        <v>0.11601439052106099</v>
      </c>
      <c r="AC183" s="24">
        <v>0</v>
      </c>
      <c r="AD183" s="384">
        <v>0</v>
      </c>
    </row>
    <row r="184" spans="1:30">
      <c r="A184" s="21" t="s">
        <v>167</v>
      </c>
      <c r="B184" s="21" t="s">
        <v>168</v>
      </c>
      <c r="C184" s="23">
        <v>1582</v>
      </c>
      <c r="D184" s="147">
        <v>46.11</v>
      </c>
      <c r="E184" s="22">
        <v>415.88</v>
      </c>
      <c r="F184" s="22">
        <v>461.99</v>
      </c>
      <c r="G184" s="22">
        <v>0</v>
      </c>
      <c r="H184" s="22">
        <v>110</v>
      </c>
      <c r="I184" s="22">
        <v>3.49</v>
      </c>
      <c r="J184" s="22">
        <v>293.84999999999997</v>
      </c>
      <c r="K184" s="22">
        <v>9.4</v>
      </c>
      <c r="L184" s="22">
        <v>0</v>
      </c>
      <c r="M184" s="388">
        <v>5366.74</v>
      </c>
      <c r="N184" s="25">
        <v>0.3856</v>
      </c>
      <c r="O184" s="24">
        <v>879</v>
      </c>
      <c r="P184" s="24">
        <v>207.5</v>
      </c>
      <c r="Q184" s="24">
        <v>117.25</v>
      </c>
      <c r="R184" s="22">
        <v>90.25</v>
      </c>
      <c r="S184" s="24">
        <v>38</v>
      </c>
      <c r="T184" s="24">
        <f t="shared" si="10"/>
        <v>245.5</v>
      </c>
      <c r="U184" s="376">
        <v>2069.41</v>
      </c>
      <c r="V184" s="376">
        <v>268.33999999999997</v>
      </c>
      <c r="W184" s="22">
        <f t="shared" si="11"/>
        <v>797.96449599999994</v>
      </c>
      <c r="X184" s="22">
        <f t="shared" si="12"/>
        <v>889.5</v>
      </c>
      <c r="Y184" s="22">
        <v>500.5</v>
      </c>
      <c r="Z184" s="22">
        <v>389</v>
      </c>
      <c r="AA184" s="371">
        <v>5501.48</v>
      </c>
      <c r="AB184" s="22">
        <v>0.16168376509593782</v>
      </c>
      <c r="AC184" s="24">
        <v>2.6683765095937811E-2</v>
      </c>
      <c r="AD184" s="384">
        <v>-1498541.6555256813</v>
      </c>
    </row>
    <row r="185" spans="1:30">
      <c r="A185" s="21" t="s">
        <v>579</v>
      </c>
      <c r="B185" s="21" t="s">
        <v>580</v>
      </c>
      <c r="C185" s="23">
        <v>40</v>
      </c>
      <c r="D185" s="147">
        <v>0.61</v>
      </c>
      <c r="E185" s="22">
        <v>5.38</v>
      </c>
      <c r="F185" s="22">
        <v>5.99</v>
      </c>
      <c r="G185" s="22">
        <v>0</v>
      </c>
      <c r="H185" s="22">
        <v>3</v>
      </c>
      <c r="I185" s="22">
        <v>0</v>
      </c>
      <c r="J185" s="22">
        <v>0</v>
      </c>
      <c r="K185" s="22">
        <v>0</v>
      </c>
      <c r="L185" s="22">
        <v>0</v>
      </c>
      <c r="M185" s="388">
        <v>133</v>
      </c>
      <c r="N185" s="25">
        <v>0.3987</v>
      </c>
      <c r="O185" s="24">
        <v>0</v>
      </c>
      <c r="P185" s="24">
        <v>0</v>
      </c>
      <c r="Q185" s="24">
        <v>0</v>
      </c>
      <c r="R185" s="22">
        <v>0</v>
      </c>
      <c r="S185" s="24">
        <v>0</v>
      </c>
      <c r="T185" s="24">
        <f t="shared" si="10"/>
        <v>0</v>
      </c>
      <c r="U185" s="376">
        <v>53.03</v>
      </c>
      <c r="V185" s="376">
        <v>0</v>
      </c>
      <c r="W185" s="22">
        <f t="shared" si="11"/>
        <v>21.143060999999999</v>
      </c>
      <c r="X185" s="22">
        <f t="shared" si="12"/>
        <v>19.25</v>
      </c>
      <c r="Y185" s="22">
        <v>10.5</v>
      </c>
      <c r="Z185" s="22">
        <v>8.75</v>
      </c>
      <c r="AA185" s="371">
        <v>147.47999999999999</v>
      </c>
      <c r="AB185" s="22">
        <v>0.13052617304041228</v>
      </c>
      <c r="AC185" s="24">
        <v>0</v>
      </c>
      <c r="AD185" s="384">
        <v>0</v>
      </c>
    </row>
    <row r="186" spans="1:30">
      <c r="A186" s="21" t="s">
        <v>165</v>
      </c>
      <c r="B186" s="21" t="s">
        <v>166</v>
      </c>
      <c r="C186" s="23">
        <v>112</v>
      </c>
      <c r="D186" s="147">
        <v>8.4</v>
      </c>
      <c r="E186" s="22">
        <v>20.329999999999998</v>
      </c>
      <c r="F186" s="22">
        <v>28.729999999999997</v>
      </c>
      <c r="G186" s="22">
        <v>0</v>
      </c>
      <c r="H186" s="22">
        <v>5</v>
      </c>
      <c r="I186" s="22">
        <v>1.1499999999999999</v>
      </c>
      <c r="J186" s="22">
        <v>24.700000000000003</v>
      </c>
      <c r="K186" s="22">
        <v>2.8</v>
      </c>
      <c r="L186" s="22">
        <v>0</v>
      </c>
      <c r="M186" s="388">
        <v>303.64999999999998</v>
      </c>
      <c r="N186" s="25">
        <v>0.749</v>
      </c>
      <c r="O186" s="24">
        <v>297</v>
      </c>
      <c r="P186" s="24">
        <v>6</v>
      </c>
      <c r="Q186" s="24">
        <v>3</v>
      </c>
      <c r="R186" s="22">
        <v>3</v>
      </c>
      <c r="S186" s="24">
        <v>0</v>
      </c>
      <c r="T186" s="24">
        <f t="shared" si="10"/>
        <v>6</v>
      </c>
      <c r="U186" s="376">
        <v>227.43</v>
      </c>
      <c r="V186" s="376">
        <v>15.18</v>
      </c>
      <c r="W186" s="22">
        <f t="shared" si="11"/>
        <v>170.34506999999999</v>
      </c>
      <c r="X186" s="22">
        <f t="shared" si="12"/>
        <v>58.75</v>
      </c>
      <c r="Y186" s="22">
        <v>51.5</v>
      </c>
      <c r="Z186" s="22">
        <v>7.25</v>
      </c>
      <c r="AA186" s="371">
        <v>332.59</v>
      </c>
      <c r="AB186" s="22">
        <v>0.17664391593252957</v>
      </c>
      <c r="AC186" s="24">
        <v>4.1643915932529557E-2</v>
      </c>
      <c r="AD186" s="384">
        <v>-133493.52087375737</v>
      </c>
    </row>
    <row r="187" spans="1:30">
      <c r="A187" s="21" t="s">
        <v>343</v>
      </c>
      <c r="B187" s="21" t="s">
        <v>344</v>
      </c>
      <c r="C187" s="23">
        <v>264</v>
      </c>
      <c r="D187" s="147">
        <v>0</v>
      </c>
      <c r="E187" s="22">
        <v>83.38</v>
      </c>
      <c r="F187" s="22">
        <v>83.38</v>
      </c>
      <c r="G187" s="22">
        <v>0</v>
      </c>
      <c r="H187" s="22">
        <v>20</v>
      </c>
      <c r="I187" s="22">
        <v>0.44</v>
      </c>
      <c r="J187" s="22">
        <v>91.15</v>
      </c>
      <c r="K187" s="22">
        <v>3.6</v>
      </c>
      <c r="L187" s="22">
        <v>0</v>
      </c>
      <c r="M187" s="388">
        <v>997.19</v>
      </c>
      <c r="N187" s="25">
        <v>0.64239999999999997</v>
      </c>
      <c r="O187" s="24">
        <v>1021</v>
      </c>
      <c r="P187" s="24">
        <v>45.75</v>
      </c>
      <c r="Q187" s="24">
        <v>26.5</v>
      </c>
      <c r="R187" s="22">
        <v>19.25</v>
      </c>
      <c r="S187" s="24">
        <v>0</v>
      </c>
      <c r="T187" s="24">
        <f t="shared" si="10"/>
        <v>45.75</v>
      </c>
      <c r="U187" s="376">
        <v>640.59</v>
      </c>
      <c r="V187" s="376">
        <v>49.86</v>
      </c>
      <c r="W187" s="22">
        <f t="shared" si="11"/>
        <v>411.515016</v>
      </c>
      <c r="X187" s="22">
        <f t="shared" si="12"/>
        <v>230.5</v>
      </c>
      <c r="Y187" s="22">
        <v>173.75</v>
      </c>
      <c r="Z187" s="22">
        <v>56.75</v>
      </c>
      <c r="AA187" s="371">
        <v>1024.17</v>
      </c>
      <c r="AB187" s="22">
        <v>0.2250602927248406</v>
      </c>
      <c r="AC187" s="24">
        <v>9.006029272484059E-2</v>
      </c>
      <c r="AD187" s="384">
        <v>-863355.34891509905</v>
      </c>
    </row>
    <row r="188" spans="1:30">
      <c r="A188" s="21" t="s">
        <v>163</v>
      </c>
      <c r="B188" s="21" t="s">
        <v>164</v>
      </c>
      <c r="C188" s="23">
        <v>140</v>
      </c>
      <c r="D188" s="147">
        <v>14.69</v>
      </c>
      <c r="E188" s="22">
        <v>29.37</v>
      </c>
      <c r="F188" s="22">
        <v>44.06</v>
      </c>
      <c r="G188" s="22">
        <v>0</v>
      </c>
      <c r="H188" s="22">
        <v>25</v>
      </c>
      <c r="I188" s="22">
        <v>0.97</v>
      </c>
      <c r="J188" s="22">
        <v>21.23</v>
      </c>
      <c r="K188" s="22">
        <v>2.2000000000000002</v>
      </c>
      <c r="L188" s="22">
        <v>0</v>
      </c>
      <c r="M188" s="388">
        <v>595.40000000000009</v>
      </c>
      <c r="N188" s="25">
        <v>0.76590000000000003</v>
      </c>
      <c r="O188" s="24">
        <v>589</v>
      </c>
      <c r="P188" s="24">
        <v>50.5</v>
      </c>
      <c r="Q188" s="24">
        <v>31.5</v>
      </c>
      <c r="R188" s="22">
        <v>19</v>
      </c>
      <c r="S188" s="24">
        <v>2</v>
      </c>
      <c r="T188" s="24">
        <f t="shared" si="10"/>
        <v>52.5</v>
      </c>
      <c r="U188" s="376">
        <v>456.02</v>
      </c>
      <c r="V188" s="376">
        <v>29.77</v>
      </c>
      <c r="W188" s="22">
        <f t="shared" si="11"/>
        <v>349.26571799999999</v>
      </c>
      <c r="X188" s="22">
        <f t="shared" si="12"/>
        <v>67.25</v>
      </c>
      <c r="Y188" s="22">
        <v>57.5</v>
      </c>
      <c r="Z188" s="22">
        <v>9.75</v>
      </c>
      <c r="AA188" s="371">
        <v>568.65</v>
      </c>
      <c r="AB188" s="22">
        <v>0.11826255165743428</v>
      </c>
      <c r="AC188" s="24">
        <v>0</v>
      </c>
      <c r="AD188" s="384">
        <v>0</v>
      </c>
    </row>
    <row r="189" spans="1:30">
      <c r="A189" s="21" t="s">
        <v>305</v>
      </c>
      <c r="B189" s="21" t="s">
        <v>306</v>
      </c>
      <c r="C189" s="23">
        <v>60</v>
      </c>
      <c r="D189" s="147">
        <v>0</v>
      </c>
      <c r="E189" s="22">
        <v>13.98</v>
      </c>
      <c r="F189" s="22">
        <v>13.98</v>
      </c>
      <c r="G189" s="22">
        <v>0</v>
      </c>
      <c r="H189" s="22">
        <v>3</v>
      </c>
      <c r="I189" s="22">
        <v>0</v>
      </c>
      <c r="J189" s="22">
        <v>0</v>
      </c>
      <c r="K189" s="22">
        <v>0</v>
      </c>
      <c r="L189" s="22">
        <v>0</v>
      </c>
      <c r="M189" s="388">
        <v>204</v>
      </c>
      <c r="N189" s="25">
        <v>0.53200000000000003</v>
      </c>
      <c r="O189" s="24">
        <v>107</v>
      </c>
      <c r="P189" s="24">
        <v>0</v>
      </c>
      <c r="Q189" s="24">
        <v>0</v>
      </c>
      <c r="R189" s="22">
        <v>0</v>
      </c>
      <c r="S189" s="24">
        <v>0</v>
      </c>
      <c r="T189" s="24">
        <f t="shared" si="10"/>
        <v>0</v>
      </c>
      <c r="U189" s="376">
        <v>108.53</v>
      </c>
      <c r="V189" s="376">
        <v>10.199999999999999</v>
      </c>
      <c r="W189" s="22">
        <f t="shared" si="11"/>
        <v>57.737960000000001</v>
      </c>
      <c r="X189" s="22">
        <f t="shared" si="12"/>
        <v>23</v>
      </c>
      <c r="Y189" s="22">
        <v>13.5</v>
      </c>
      <c r="Z189" s="22">
        <v>9.5</v>
      </c>
      <c r="AA189" s="371">
        <v>218.75</v>
      </c>
      <c r="AB189" s="22">
        <v>0.10514285714285715</v>
      </c>
      <c r="AC189" s="24">
        <v>0</v>
      </c>
      <c r="AD189" s="384">
        <v>0</v>
      </c>
    </row>
    <row r="190" spans="1:30">
      <c r="A190" s="21" t="s">
        <v>331</v>
      </c>
      <c r="B190" s="21" t="s">
        <v>332</v>
      </c>
      <c r="C190" s="23">
        <v>268</v>
      </c>
      <c r="D190" s="147">
        <v>6.22</v>
      </c>
      <c r="E190" s="22">
        <v>70.56</v>
      </c>
      <c r="F190" s="22">
        <v>76.78</v>
      </c>
      <c r="G190" s="22">
        <v>0</v>
      </c>
      <c r="H190" s="22">
        <v>8</v>
      </c>
      <c r="I190" s="22">
        <v>0.35</v>
      </c>
      <c r="J190" s="22">
        <v>89.83</v>
      </c>
      <c r="K190" s="22">
        <v>0</v>
      </c>
      <c r="L190" s="22">
        <v>0</v>
      </c>
      <c r="M190" s="388">
        <v>1070.18</v>
      </c>
      <c r="N190" s="25">
        <v>0.70089999999999997</v>
      </c>
      <c r="O190" s="24">
        <v>1042</v>
      </c>
      <c r="P190" s="24">
        <v>71.5</v>
      </c>
      <c r="Q190" s="24">
        <v>41</v>
      </c>
      <c r="R190" s="22">
        <v>30.5</v>
      </c>
      <c r="S190" s="24">
        <v>28</v>
      </c>
      <c r="T190" s="24">
        <f t="shared" si="10"/>
        <v>99.5</v>
      </c>
      <c r="U190" s="376">
        <v>750.3</v>
      </c>
      <c r="V190" s="376">
        <v>53.51</v>
      </c>
      <c r="W190" s="22">
        <f t="shared" si="11"/>
        <v>525.88526999999999</v>
      </c>
      <c r="X190" s="22">
        <f t="shared" si="12"/>
        <v>152.5</v>
      </c>
      <c r="Y190" s="22">
        <v>124.5</v>
      </c>
      <c r="Z190" s="22">
        <v>28</v>
      </c>
      <c r="AA190" s="371">
        <v>1036.31</v>
      </c>
      <c r="AB190" s="22">
        <v>0.14715673881367544</v>
      </c>
      <c r="AC190" s="24">
        <v>1.2156738813675433E-2</v>
      </c>
      <c r="AD190" s="384">
        <v>-119942.45150301958</v>
      </c>
    </row>
    <row r="191" spans="1:30">
      <c r="A191" s="21" t="s">
        <v>513</v>
      </c>
      <c r="B191" s="21" t="s">
        <v>514</v>
      </c>
      <c r="C191" s="23">
        <v>2674</v>
      </c>
      <c r="D191" s="147">
        <v>138.66999999999999</v>
      </c>
      <c r="E191" s="22">
        <v>585.29</v>
      </c>
      <c r="F191" s="22">
        <v>723.95999999999992</v>
      </c>
      <c r="G191" s="22">
        <v>0</v>
      </c>
      <c r="H191" s="22">
        <v>391</v>
      </c>
      <c r="I191" s="22">
        <v>42.16</v>
      </c>
      <c r="J191" s="22">
        <v>832.66</v>
      </c>
      <c r="K191" s="22">
        <v>36.119999999999997</v>
      </c>
      <c r="L191" s="22">
        <v>0</v>
      </c>
      <c r="M191" s="388">
        <v>10114.94</v>
      </c>
      <c r="N191" s="25">
        <v>0.30070000000000002</v>
      </c>
      <c r="O191" s="24">
        <v>613</v>
      </c>
      <c r="P191" s="24">
        <v>295.75</v>
      </c>
      <c r="Q191" s="24">
        <v>184.25</v>
      </c>
      <c r="R191" s="22">
        <v>111.5</v>
      </c>
      <c r="S191" s="24">
        <v>62</v>
      </c>
      <c r="T191" s="24">
        <f t="shared" si="10"/>
        <v>357.75</v>
      </c>
      <c r="U191" s="376">
        <v>3041.56</v>
      </c>
      <c r="V191" s="376">
        <v>0</v>
      </c>
      <c r="W191" s="22">
        <f t="shared" si="11"/>
        <v>914.59709200000009</v>
      </c>
      <c r="X191" s="22">
        <f t="shared" si="12"/>
        <v>1420.25</v>
      </c>
      <c r="Y191" s="22">
        <v>812.5</v>
      </c>
      <c r="Z191" s="22">
        <v>607.75</v>
      </c>
      <c r="AA191" s="371">
        <v>9700.44</v>
      </c>
      <c r="AB191" s="22">
        <v>0.14641088445472575</v>
      </c>
      <c r="AC191" s="24">
        <v>1.1410884454725739E-2</v>
      </c>
      <c r="AD191" s="384">
        <v>-1055940.2760256536</v>
      </c>
    </row>
    <row r="192" spans="1:30">
      <c r="A192" s="21" t="s">
        <v>329</v>
      </c>
      <c r="B192" s="21" t="s">
        <v>330</v>
      </c>
      <c r="C192" s="23">
        <v>470</v>
      </c>
      <c r="D192" s="147">
        <v>32.74</v>
      </c>
      <c r="E192" s="22">
        <v>138.75</v>
      </c>
      <c r="F192" s="22">
        <v>171.49</v>
      </c>
      <c r="G192" s="22">
        <v>0</v>
      </c>
      <c r="H192" s="22">
        <v>122</v>
      </c>
      <c r="I192" s="22">
        <v>10.95</v>
      </c>
      <c r="J192" s="22">
        <v>4866.97</v>
      </c>
      <c r="K192" s="22">
        <v>0</v>
      </c>
      <c r="L192" s="22">
        <v>0</v>
      </c>
      <c r="M192" s="388">
        <v>6447.92</v>
      </c>
      <c r="N192" s="25">
        <v>0.54259999999999997</v>
      </c>
      <c r="O192" s="24">
        <v>5379</v>
      </c>
      <c r="P192" s="24">
        <v>268.75</v>
      </c>
      <c r="Q192" s="24">
        <v>161.5</v>
      </c>
      <c r="R192" s="22">
        <v>107.25</v>
      </c>
      <c r="S192" s="24">
        <v>78.5</v>
      </c>
      <c r="T192" s="24">
        <f t="shared" si="10"/>
        <v>347.25</v>
      </c>
      <c r="U192" s="376">
        <v>3498</v>
      </c>
      <c r="V192" s="376">
        <v>322.39999999999998</v>
      </c>
      <c r="W192" s="22">
        <f t="shared" si="11"/>
        <v>1898.0147999999999</v>
      </c>
      <c r="X192" s="22">
        <f t="shared" si="12"/>
        <v>911</v>
      </c>
      <c r="Y192" s="22">
        <v>756</v>
      </c>
      <c r="Z192" s="22">
        <v>155</v>
      </c>
      <c r="AA192" s="371">
        <v>6592.51</v>
      </c>
      <c r="AB192" s="22">
        <v>0.13818712447914375</v>
      </c>
      <c r="AC192" s="24">
        <v>3.1871244791437381E-3</v>
      </c>
      <c r="AD192" s="384">
        <v>-189625.34826414668</v>
      </c>
    </row>
    <row r="193" spans="1:30">
      <c r="A193" s="21" t="s">
        <v>287</v>
      </c>
      <c r="B193" s="21" t="s">
        <v>288</v>
      </c>
      <c r="C193" s="23">
        <v>211</v>
      </c>
      <c r="D193" s="147">
        <v>9.91</v>
      </c>
      <c r="E193" s="22">
        <v>97.92</v>
      </c>
      <c r="F193" s="22">
        <v>107.83</v>
      </c>
      <c r="G193" s="22">
        <v>0</v>
      </c>
      <c r="H193" s="22">
        <v>12</v>
      </c>
      <c r="I193" s="22">
        <v>1</v>
      </c>
      <c r="J193" s="22">
        <v>0</v>
      </c>
      <c r="K193" s="22">
        <v>0.8</v>
      </c>
      <c r="L193" s="22">
        <v>0</v>
      </c>
      <c r="M193" s="388">
        <v>814.8</v>
      </c>
      <c r="N193" s="25">
        <v>0.57830000000000004</v>
      </c>
      <c r="O193" s="24">
        <v>801</v>
      </c>
      <c r="P193" s="24">
        <v>20</v>
      </c>
      <c r="Q193" s="24">
        <v>7.75</v>
      </c>
      <c r="R193" s="22">
        <v>12.25</v>
      </c>
      <c r="S193" s="24">
        <v>6</v>
      </c>
      <c r="T193" s="24">
        <f t="shared" si="10"/>
        <v>26</v>
      </c>
      <c r="U193" s="376">
        <v>471.2</v>
      </c>
      <c r="V193" s="376">
        <v>40.74</v>
      </c>
      <c r="W193" s="22">
        <f t="shared" si="11"/>
        <v>272.49495999999999</v>
      </c>
      <c r="X193" s="22">
        <f t="shared" si="12"/>
        <v>138.25</v>
      </c>
      <c r="Y193" s="22">
        <v>82</v>
      </c>
      <c r="Z193" s="22">
        <v>56.25</v>
      </c>
      <c r="AA193" s="371">
        <v>794.79</v>
      </c>
      <c r="AB193" s="22">
        <v>0.17394531888926634</v>
      </c>
      <c r="AC193" s="24">
        <v>3.8945318889266334E-2</v>
      </c>
      <c r="AD193" s="384">
        <v>-287752.16027562093</v>
      </c>
    </row>
    <row r="194" spans="1:30">
      <c r="A194" s="21" t="s">
        <v>483</v>
      </c>
      <c r="B194" s="21" t="s">
        <v>484</v>
      </c>
      <c r="C194" s="23">
        <v>12</v>
      </c>
      <c r="D194" s="147">
        <v>0</v>
      </c>
      <c r="E194" s="22">
        <v>0</v>
      </c>
      <c r="F194" s="22">
        <v>0</v>
      </c>
      <c r="G194" s="22">
        <v>0</v>
      </c>
      <c r="H194" s="22">
        <v>0</v>
      </c>
      <c r="I194" s="22">
        <v>0</v>
      </c>
      <c r="J194" s="22">
        <v>0</v>
      </c>
      <c r="K194" s="22">
        <v>0</v>
      </c>
      <c r="L194" s="22">
        <v>0</v>
      </c>
      <c r="M194" s="388">
        <v>34</v>
      </c>
      <c r="N194" s="25">
        <v>0.77080000000000004</v>
      </c>
      <c r="O194" s="24">
        <v>48</v>
      </c>
      <c r="P194" s="24">
        <v>0</v>
      </c>
      <c r="Q194" s="24">
        <v>0</v>
      </c>
      <c r="R194" s="22">
        <v>0</v>
      </c>
      <c r="S194" s="24">
        <v>0</v>
      </c>
      <c r="T194" s="24">
        <f t="shared" si="10"/>
        <v>0</v>
      </c>
      <c r="U194" s="376">
        <v>26.21</v>
      </c>
      <c r="V194" s="376">
        <v>1.7</v>
      </c>
      <c r="W194" s="22">
        <f t="shared" si="11"/>
        <v>20.202668000000003</v>
      </c>
      <c r="X194" s="22">
        <f t="shared" si="12"/>
        <v>5.5</v>
      </c>
      <c r="Y194" s="22">
        <v>5.5</v>
      </c>
      <c r="Z194" s="22">
        <v>0</v>
      </c>
      <c r="AA194" s="371">
        <v>48.8</v>
      </c>
      <c r="AB194" s="22">
        <v>0.11270491803278689</v>
      </c>
      <c r="AC194" s="24">
        <v>0</v>
      </c>
      <c r="AD194" s="384">
        <v>0</v>
      </c>
    </row>
    <row r="195" spans="1:30">
      <c r="A195" s="21" t="s">
        <v>395</v>
      </c>
      <c r="B195" s="21" t="s">
        <v>396</v>
      </c>
      <c r="C195" s="23">
        <v>55</v>
      </c>
      <c r="D195" s="147">
        <v>0</v>
      </c>
      <c r="E195" s="22">
        <v>11.78</v>
      </c>
      <c r="F195" s="22">
        <v>11.78</v>
      </c>
      <c r="G195" s="22">
        <v>0</v>
      </c>
      <c r="H195" s="22">
        <v>2</v>
      </c>
      <c r="I195" s="22">
        <v>0</v>
      </c>
      <c r="J195" s="22">
        <v>313.81</v>
      </c>
      <c r="K195" s="22">
        <v>0</v>
      </c>
      <c r="L195" s="22">
        <v>0</v>
      </c>
      <c r="M195" s="388">
        <v>632.80999999999995</v>
      </c>
      <c r="N195" s="25">
        <v>0.30020000000000002</v>
      </c>
      <c r="O195" s="24">
        <v>0</v>
      </c>
      <c r="P195" s="24">
        <v>35</v>
      </c>
      <c r="Q195" s="24">
        <v>21</v>
      </c>
      <c r="R195" s="22">
        <v>14</v>
      </c>
      <c r="S195" s="24">
        <v>2</v>
      </c>
      <c r="T195" s="24">
        <f t="shared" si="10"/>
        <v>37</v>
      </c>
      <c r="U195" s="376">
        <v>189.97</v>
      </c>
      <c r="V195" s="376">
        <v>31.64</v>
      </c>
      <c r="W195" s="22">
        <f t="shared" si="11"/>
        <v>57.028994000000004</v>
      </c>
      <c r="X195" s="22">
        <f t="shared" si="12"/>
        <v>79.25</v>
      </c>
      <c r="Y195" s="22">
        <v>71</v>
      </c>
      <c r="Z195" s="22">
        <v>8.25</v>
      </c>
      <c r="AA195" s="371">
        <v>723.34</v>
      </c>
      <c r="AB195" s="22">
        <v>0.10956120220090138</v>
      </c>
      <c r="AC195" s="24">
        <v>0</v>
      </c>
      <c r="AD195" s="384">
        <v>0</v>
      </c>
    </row>
    <row r="196" spans="1:30">
      <c r="A196" s="21" t="s">
        <v>453</v>
      </c>
      <c r="B196" s="21" t="s">
        <v>454</v>
      </c>
      <c r="C196" s="23">
        <v>24</v>
      </c>
      <c r="D196" s="147">
        <v>0</v>
      </c>
      <c r="E196" s="22">
        <v>0</v>
      </c>
      <c r="F196" s="22">
        <v>0</v>
      </c>
      <c r="G196" s="22">
        <v>0</v>
      </c>
      <c r="H196" s="22">
        <v>0</v>
      </c>
      <c r="I196" s="22">
        <v>0</v>
      </c>
      <c r="J196" s="22">
        <v>0</v>
      </c>
      <c r="K196" s="22">
        <v>0</v>
      </c>
      <c r="L196" s="22">
        <v>0</v>
      </c>
      <c r="M196" s="388">
        <v>56</v>
      </c>
      <c r="N196" s="25">
        <v>0.15579999999999999</v>
      </c>
      <c r="O196" s="24">
        <v>0</v>
      </c>
      <c r="P196" s="24">
        <v>0</v>
      </c>
      <c r="Q196" s="24">
        <v>0</v>
      </c>
      <c r="R196" s="22">
        <v>0</v>
      </c>
      <c r="S196" s="24">
        <v>0</v>
      </c>
      <c r="T196" s="24">
        <f t="shared" si="10"/>
        <v>0</v>
      </c>
      <c r="U196" s="376">
        <v>8.7200000000000006</v>
      </c>
      <c r="V196" s="376">
        <v>0</v>
      </c>
      <c r="W196" s="22">
        <f t="shared" si="11"/>
        <v>1.358576</v>
      </c>
      <c r="X196" s="22">
        <f t="shared" si="12"/>
        <v>4</v>
      </c>
      <c r="Y196" s="22">
        <v>0</v>
      </c>
      <c r="Z196" s="22">
        <v>4</v>
      </c>
      <c r="AA196" s="371">
        <v>68.400000000000006</v>
      </c>
      <c r="AB196" s="22">
        <v>5.8479532163742687E-2</v>
      </c>
      <c r="AC196" s="24">
        <v>0</v>
      </c>
      <c r="AD196" s="384">
        <v>0</v>
      </c>
    </row>
    <row r="197" spans="1:30">
      <c r="A197" s="21" t="s">
        <v>105</v>
      </c>
      <c r="B197" s="21" t="s">
        <v>106</v>
      </c>
      <c r="C197" s="23">
        <v>16</v>
      </c>
      <c r="D197" s="147">
        <v>0</v>
      </c>
      <c r="E197" s="22">
        <v>0</v>
      </c>
      <c r="F197" s="22">
        <v>0</v>
      </c>
      <c r="G197" s="22">
        <v>0</v>
      </c>
      <c r="H197" s="22">
        <v>0</v>
      </c>
      <c r="I197" s="22">
        <v>0</v>
      </c>
      <c r="J197" s="22">
        <v>0</v>
      </c>
      <c r="K197" s="22">
        <v>0</v>
      </c>
      <c r="L197" s="22">
        <v>0</v>
      </c>
      <c r="M197" s="388">
        <v>38</v>
      </c>
      <c r="N197" s="25">
        <v>0.71879999999999999</v>
      </c>
      <c r="O197" s="24">
        <v>32</v>
      </c>
      <c r="P197" s="24">
        <v>0</v>
      </c>
      <c r="Q197" s="24">
        <v>0</v>
      </c>
      <c r="R197" s="22">
        <v>0</v>
      </c>
      <c r="S197" s="24">
        <v>0</v>
      </c>
      <c r="T197" s="24">
        <f t="shared" si="10"/>
        <v>0</v>
      </c>
      <c r="U197" s="376">
        <v>27.31</v>
      </c>
      <c r="V197" s="376">
        <v>1.9</v>
      </c>
      <c r="W197" s="22">
        <f t="shared" si="11"/>
        <v>19.630427999999998</v>
      </c>
      <c r="X197" s="22">
        <f t="shared" si="12"/>
        <v>6.25</v>
      </c>
      <c r="Y197" s="22">
        <v>6.25</v>
      </c>
      <c r="Z197" s="22">
        <v>0</v>
      </c>
      <c r="AA197" s="371">
        <v>33.4</v>
      </c>
      <c r="AB197" s="22">
        <v>0.18712574850299402</v>
      </c>
      <c r="AC197" s="24">
        <v>5.2125748502994007E-2</v>
      </c>
      <c r="AD197" s="384">
        <v>-17154.120585752997</v>
      </c>
    </row>
    <row r="198" spans="1:30">
      <c r="A198" s="21" t="s">
        <v>89</v>
      </c>
      <c r="B198" s="21" t="s">
        <v>90</v>
      </c>
      <c r="C198" s="23">
        <v>68</v>
      </c>
      <c r="D198" s="147">
        <v>1.44</v>
      </c>
      <c r="E198" s="22">
        <v>0</v>
      </c>
      <c r="F198" s="22">
        <v>1.44</v>
      </c>
      <c r="G198" s="22">
        <v>0</v>
      </c>
      <c r="H198" s="22">
        <v>0</v>
      </c>
      <c r="I198" s="22">
        <v>0</v>
      </c>
      <c r="J198" s="22">
        <v>0</v>
      </c>
      <c r="K198" s="22">
        <v>0</v>
      </c>
      <c r="L198" s="22">
        <v>0</v>
      </c>
      <c r="M198" s="388">
        <v>155</v>
      </c>
      <c r="N198" s="25">
        <v>0.89300000000000002</v>
      </c>
      <c r="O198" s="24">
        <v>139</v>
      </c>
      <c r="P198" s="24">
        <v>59</v>
      </c>
      <c r="Q198" s="24">
        <v>49.75</v>
      </c>
      <c r="R198" s="22">
        <v>9.25</v>
      </c>
      <c r="S198" s="24">
        <v>15</v>
      </c>
      <c r="T198" s="24">
        <f t="shared" si="10"/>
        <v>74</v>
      </c>
      <c r="U198" s="376">
        <v>138.41999999999999</v>
      </c>
      <c r="V198" s="376">
        <v>7.75</v>
      </c>
      <c r="W198" s="22">
        <f t="shared" si="11"/>
        <v>123.60905999999999</v>
      </c>
      <c r="X198" s="22">
        <f t="shared" si="12"/>
        <v>14.75</v>
      </c>
      <c r="Y198" s="22">
        <v>12</v>
      </c>
      <c r="Z198" s="22">
        <v>2.75</v>
      </c>
      <c r="AA198" s="371">
        <v>138.08000000000001</v>
      </c>
      <c r="AB198" s="22">
        <v>0.10682213209733486</v>
      </c>
      <c r="AC198" s="24">
        <v>0</v>
      </c>
      <c r="AD198" s="384">
        <v>0</v>
      </c>
    </row>
    <row r="199" spans="1:30">
      <c r="A199" s="21" t="s">
        <v>341</v>
      </c>
      <c r="B199" s="21" t="s">
        <v>342</v>
      </c>
      <c r="C199" s="23">
        <v>148</v>
      </c>
      <c r="D199" s="147">
        <v>5.17</v>
      </c>
      <c r="E199" s="22">
        <v>23.63</v>
      </c>
      <c r="F199" s="22">
        <v>28.799999999999997</v>
      </c>
      <c r="G199" s="22">
        <v>0</v>
      </c>
      <c r="H199" s="22">
        <v>18</v>
      </c>
      <c r="I199" s="22">
        <v>0.9</v>
      </c>
      <c r="J199" s="22">
        <v>15.4</v>
      </c>
      <c r="K199" s="22">
        <v>0</v>
      </c>
      <c r="L199" s="22">
        <v>0</v>
      </c>
      <c r="M199" s="388">
        <v>522.29999999999995</v>
      </c>
      <c r="N199" s="25">
        <v>0.74</v>
      </c>
      <c r="O199" s="24">
        <v>523</v>
      </c>
      <c r="P199" s="24">
        <v>64.5</v>
      </c>
      <c r="Q199" s="24">
        <v>41.25</v>
      </c>
      <c r="R199" s="22">
        <v>23.25</v>
      </c>
      <c r="S199" s="24">
        <v>12</v>
      </c>
      <c r="T199" s="24">
        <f t="shared" si="10"/>
        <v>76.5</v>
      </c>
      <c r="U199" s="376">
        <v>385.46</v>
      </c>
      <c r="V199" s="376">
        <v>0</v>
      </c>
      <c r="W199" s="22">
        <f t="shared" si="11"/>
        <v>285.24039999999997</v>
      </c>
      <c r="X199" s="22">
        <f t="shared" si="12"/>
        <v>65.25</v>
      </c>
      <c r="Y199" s="22">
        <v>49.75</v>
      </c>
      <c r="Z199" s="22">
        <v>15.5</v>
      </c>
      <c r="AA199" s="371">
        <v>517.82000000000005</v>
      </c>
      <c r="AB199" s="22">
        <v>0.12600903788961415</v>
      </c>
      <c r="AC199" s="24">
        <v>0</v>
      </c>
      <c r="AD199" s="384">
        <v>0</v>
      </c>
    </row>
    <row r="200" spans="1:30">
      <c r="A200" s="21" t="s">
        <v>375</v>
      </c>
      <c r="B200" s="21" t="s">
        <v>376</v>
      </c>
      <c r="C200" s="23">
        <v>860</v>
      </c>
      <c r="D200" s="147">
        <v>54.03</v>
      </c>
      <c r="E200" s="22">
        <v>223.82</v>
      </c>
      <c r="F200" s="22">
        <v>277.85000000000002</v>
      </c>
      <c r="G200" s="22">
        <v>0</v>
      </c>
      <c r="H200" s="22">
        <v>56</v>
      </c>
      <c r="I200" s="22">
        <v>2.33</v>
      </c>
      <c r="J200" s="22">
        <v>21.67</v>
      </c>
      <c r="K200" s="22">
        <v>4.5999999999999996</v>
      </c>
      <c r="L200" s="22">
        <v>0</v>
      </c>
      <c r="M200" s="388">
        <v>2974.6</v>
      </c>
      <c r="N200" s="25">
        <v>0.31490000000000001</v>
      </c>
      <c r="O200" s="24">
        <v>0</v>
      </c>
      <c r="P200" s="24">
        <v>68.5</v>
      </c>
      <c r="Q200" s="24">
        <v>48</v>
      </c>
      <c r="R200" s="22">
        <v>20.5</v>
      </c>
      <c r="S200" s="24">
        <v>7</v>
      </c>
      <c r="T200" s="24">
        <f t="shared" si="10"/>
        <v>75.5</v>
      </c>
      <c r="U200" s="376">
        <v>936.7</v>
      </c>
      <c r="V200" s="376">
        <v>148.72999999999999</v>
      </c>
      <c r="W200" s="22">
        <f t="shared" si="11"/>
        <v>294.96683000000002</v>
      </c>
      <c r="X200" s="22">
        <f t="shared" si="12"/>
        <v>388.75</v>
      </c>
      <c r="Y200" s="22">
        <v>210.5</v>
      </c>
      <c r="Z200" s="22">
        <v>178.25</v>
      </c>
      <c r="AA200" s="371">
        <v>2616.88</v>
      </c>
      <c r="AB200" s="22">
        <v>0.1485547675094005</v>
      </c>
      <c r="AC200" s="24">
        <v>1.3554767509400489E-2</v>
      </c>
      <c r="AD200" s="384">
        <v>-346262.94160356285</v>
      </c>
    </row>
    <row r="201" spans="1:30">
      <c r="A201" s="21" t="s">
        <v>7</v>
      </c>
      <c r="B201" s="21" t="s">
        <v>8</v>
      </c>
      <c r="C201" s="23">
        <v>1280</v>
      </c>
      <c r="D201" s="147">
        <v>20.58</v>
      </c>
      <c r="E201" s="22">
        <v>241.1</v>
      </c>
      <c r="F201" s="22">
        <v>261.68</v>
      </c>
      <c r="G201" s="22">
        <v>0</v>
      </c>
      <c r="H201" s="22">
        <v>65</v>
      </c>
      <c r="I201" s="22">
        <v>6.6</v>
      </c>
      <c r="J201" s="22">
        <v>12.33</v>
      </c>
      <c r="K201" s="22">
        <v>20</v>
      </c>
      <c r="L201" s="22">
        <v>0</v>
      </c>
      <c r="M201" s="388">
        <v>4603.93</v>
      </c>
      <c r="N201" s="25">
        <v>0.81569999999999998</v>
      </c>
      <c r="O201" s="24">
        <v>4500</v>
      </c>
      <c r="P201" s="24">
        <v>1769.25</v>
      </c>
      <c r="Q201" s="24">
        <v>1150.75</v>
      </c>
      <c r="R201" s="22">
        <v>618.5</v>
      </c>
      <c r="S201" s="24">
        <v>274.5</v>
      </c>
      <c r="T201" s="24">
        <f t="shared" ref="T201:T264" si="13">S201+P201</f>
        <v>2043.75</v>
      </c>
      <c r="U201" s="376">
        <v>3755.43</v>
      </c>
      <c r="V201" s="376">
        <v>230.2</v>
      </c>
      <c r="W201" s="22">
        <f t="shared" ref="W201:W264" si="14">U201*N201</f>
        <v>3063.3042509999996</v>
      </c>
      <c r="X201" s="22">
        <f t="shared" ref="X201:X264" si="15">Y201+Z201</f>
        <v>567.75</v>
      </c>
      <c r="Y201" s="22">
        <v>377.25</v>
      </c>
      <c r="Z201" s="22">
        <v>190.5</v>
      </c>
      <c r="AA201" s="371">
        <v>4482.8500000000004</v>
      </c>
      <c r="AB201" s="22">
        <v>0.12664934137881034</v>
      </c>
      <c r="AC201" s="24">
        <v>0</v>
      </c>
      <c r="AD201" s="384">
        <v>0</v>
      </c>
    </row>
    <row r="202" spans="1:30">
      <c r="A202" s="21" t="s">
        <v>93</v>
      </c>
      <c r="B202" s="21" t="s">
        <v>94</v>
      </c>
      <c r="C202" s="23">
        <v>16</v>
      </c>
      <c r="D202" s="147">
        <v>0</v>
      </c>
      <c r="E202" s="22">
        <v>0</v>
      </c>
      <c r="F202" s="22">
        <v>0</v>
      </c>
      <c r="G202" s="22">
        <v>0</v>
      </c>
      <c r="H202" s="22">
        <v>0</v>
      </c>
      <c r="I202" s="22">
        <v>0</v>
      </c>
      <c r="J202" s="22">
        <v>0</v>
      </c>
      <c r="K202" s="22">
        <v>0</v>
      </c>
      <c r="L202" s="22">
        <v>0</v>
      </c>
      <c r="M202" s="388">
        <v>24</v>
      </c>
      <c r="N202" s="25">
        <v>0.91300000000000003</v>
      </c>
      <c r="O202" s="24">
        <v>22</v>
      </c>
      <c r="P202" s="24">
        <v>8.25</v>
      </c>
      <c r="Q202" s="24">
        <v>8.25</v>
      </c>
      <c r="R202" s="22">
        <v>0</v>
      </c>
      <c r="S202" s="24">
        <v>3</v>
      </c>
      <c r="T202" s="24">
        <f t="shared" si="13"/>
        <v>11.25</v>
      </c>
      <c r="U202" s="376">
        <v>21.91</v>
      </c>
      <c r="V202" s="376">
        <v>0</v>
      </c>
      <c r="W202" s="22">
        <f t="shared" si="14"/>
        <v>20.003830000000001</v>
      </c>
      <c r="X202" s="22">
        <f t="shared" si="15"/>
        <v>4</v>
      </c>
      <c r="Y202" s="22">
        <v>4</v>
      </c>
      <c r="Z202" s="22">
        <v>0</v>
      </c>
      <c r="AA202" s="371">
        <v>22</v>
      </c>
      <c r="AB202" s="22">
        <v>0.18181818181818182</v>
      </c>
      <c r="AC202" s="24">
        <v>4.6818181818181814E-2</v>
      </c>
      <c r="AD202" s="384">
        <v>-10644.305615251125</v>
      </c>
    </row>
    <row r="203" spans="1:30">
      <c r="A203" s="21" t="s">
        <v>565</v>
      </c>
      <c r="B203" s="21" t="s">
        <v>566</v>
      </c>
      <c r="C203" s="23">
        <v>47</v>
      </c>
      <c r="D203" s="147">
        <v>0</v>
      </c>
      <c r="E203" s="22">
        <v>9.6</v>
      </c>
      <c r="F203" s="22">
        <v>9.6</v>
      </c>
      <c r="G203" s="22">
        <v>0</v>
      </c>
      <c r="H203" s="22">
        <v>3</v>
      </c>
      <c r="I203" s="22">
        <v>0</v>
      </c>
      <c r="J203" s="22">
        <v>0</v>
      </c>
      <c r="K203" s="22">
        <v>0</v>
      </c>
      <c r="L203" s="22">
        <v>0</v>
      </c>
      <c r="M203" s="388">
        <v>161</v>
      </c>
      <c r="N203" s="25">
        <v>0.36420000000000002</v>
      </c>
      <c r="O203" s="24">
        <v>0</v>
      </c>
      <c r="P203" s="24">
        <v>0</v>
      </c>
      <c r="Q203" s="24">
        <v>0</v>
      </c>
      <c r="R203" s="22">
        <v>0</v>
      </c>
      <c r="S203" s="24">
        <v>0</v>
      </c>
      <c r="T203" s="24">
        <f t="shared" si="13"/>
        <v>0</v>
      </c>
      <c r="U203" s="376">
        <v>58.64</v>
      </c>
      <c r="V203" s="376">
        <v>0</v>
      </c>
      <c r="W203" s="22">
        <f t="shared" si="14"/>
        <v>21.356688000000002</v>
      </c>
      <c r="X203" s="22">
        <f t="shared" si="15"/>
        <v>18.5</v>
      </c>
      <c r="Y203" s="22">
        <v>14.5</v>
      </c>
      <c r="Z203" s="22">
        <v>4</v>
      </c>
      <c r="AA203" s="371">
        <v>152.88999999999999</v>
      </c>
      <c r="AB203" s="22">
        <v>0.1210020276015436</v>
      </c>
      <c r="AC203" s="24">
        <v>0</v>
      </c>
      <c r="AD203" s="384">
        <v>0</v>
      </c>
    </row>
    <row r="204" spans="1:30">
      <c r="A204" s="21" t="s">
        <v>111</v>
      </c>
      <c r="B204" s="21" t="s">
        <v>112</v>
      </c>
      <c r="C204" s="23">
        <v>5938</v>
      </c>
      <c r="D204" s="147">
        <v>159.84</v>
      </c>
      <c r="E204" s="22">
        <v>1031.3499999999999</v>
      </c>
      <c r="F204" s="22">
        <v>1191.1899999999998</v>
      </c>
      <c r="G204" s="22">
        <v>0</v>
      </c>
      <c r="H204" s="22">
        <v>459</v>
      </c>
      <c r="I204" s="22">
        <v>15.35</v>
      </c>
      <c r="J204" s="22">
        <v>223.57999999999998</v>
      </c>
      <c r="K204" s="22">
        <v>21.29</v>
      </c>
      <c r="L204" s="22">
        <v>0</v>
      </c>
      <c r="M204" s="388">
        <v>19286.22</v>
      </c>
      <c r="N204" s="25">
        <v>0.73440000000000005</v>
      </c>
      <c r="O204" s="24">
        <v>16772</v>
      </c>
      <c r="P204" s="24">
        <v>6328.5</v>
      </c>
      <c r="Q204" s="24">
        <v>3441.75</v>
      </c>
      <c r="R204" s="22">
        <v>2886.75</v>
      </c>
      <c r="S204" s="24">
        <v>798.5</v>
      </c>
      <c r="T204" s="24">
        <f t="shared" si="13"/>
        <v>7127</v>
      </c>
      <c r="U204" s="376">
        <v>14163.8</v>
      </c>
      <c r="V204" s="376">
        <v>964.31</v>
      </c>
      <c r="W204" s="22">
        <f t="shared" si="14"/>
        <v>10401.89472</v>
      </c>
      <c r="X204" s="22">
        <f t="shared" si="15"/>
        <v>2257.5</v>
      </c>
      <c r="Y204" s="22">
        <v>1186.5</v>
      </c>
      <c r="Z204" s="22">
        <v>1071</v>
      </c>
      <c r="AA204" s="371">
        <v>18205.89</v>
      </c>
      <c r="AB204" s="22">
        <v>0.12399833240780869</v>
      </c>
      <c r="AC204" s="24">
        <v>0</v>
      </c>
      <c r="AD204" s="384">
        <v>0</v>
      </c>
    </row>
    <row r="205" spans="1:30">
      <c r="A205" s="21" t="s">
        <v>335</v>
      </c>
      <c r="B205" s="21" t="s">
        <v>336</v>
      </c>
      <c r="C205" s="23">
        <v>104</v>
      </c>
      <c r="D205" s="147">
        <v>0</v>
      </c>
      <c r="E205" s="22">
        <v>11.24</v>
      </c>
      <c r="F205" s="22">
        <v>11.24</v>
      </c>
      <c r="G205" s="22">
        <v>0</v>
      </c>
      <c r="H205" s="22">
        <v>6</v>
      </c>
      <c r="I205" s="22">
        <v>0.59</v>
      </c>
      <c r="J205" s="22">
        <v>7.56</v>
      </c>
      <c r="K205" s="22">
        <v>0</v>
      </c>
      <c r="L205" s="22">
        <v>0</v>
      </c>
      <c r="M205" s="388">
        <v>309.14999999999998</v>
      </c>
      <c r="N205" s="25">
        <v>0.72289999999999999</v>
      </c>
      <c r="O205" s="24">
        <v>276</v>
      </c>
      <c r="P205" s="24">
        <v>32</v>
      </c>
      <c r="Q205" s="24">
        <v>20</v>
      </c>
      <c r="R205" s="22">
        <v>12</v>
      </c>
      <c r="S205" s="24">
        <v>12</v>
      </c>
      <c r="T205" s="24">
        <f t="shared" si="13"/>
        <v>44</v>
      </c>
      <c r="U205" s="376">
        <v>223.48</v>
      </c>
      <c r="V205" s="376">
        <v>15.46</v>
      </c>
      <c r="W205" s="22">
        <f t="shared" si="14"/>
        <v>161.55369199999998</v>
      </c>
      <c r="X205" s="22">
        <f t="shared" si="15"/>
        <v>41.5</v>
      </c>
      <c r="Y205" s="22">
        <v>31.25</v>
      </c>
      <c r="Z205" s="22">
        <v>10.25</v>
      </c>
      <c r="AA205" s="371">
        <v>294.99</v>
      </c>
      <c r="AB205" s="22">
        <v>0.14068273500796638</v>
      </c>
      <c r="AC205" s="24">
        <v>5.6827350079663719E-3</v>
      </c>
      <c r="AD205" s="384">
        <v>-16336.651369276988</v>
      </c>
    </row>
    <row r="206" spans="1:30">
      <c r="A206" s="21" t="s">
        <v>19</v>
      </c>
      <c r="B206" s="21" t="s">
        <v>20</v>
      </c>
      <c r="C206" s="23">
        <v>55</v>
      </c>
      <c r="D206" s="147">
        <v>0</v>
      </c>
      <c r="E206" s="22">
        <v>0</v>
      </c>
      <c r="F206" s="22">
        <v>0</v>
      </c>
      <c r="G206" s="22">
        <v>0</v>
      </c>
      <c r="H206" s="22">
        <v>0</v>
      </c>
      <c r="I206" s="22">
        <v>0</v>
      </c>
      <c r="J206" s="22">
        <v>0</v>
      </c>
      <c r="K206" s="22">
        <v>0</v>
      </c>
      <c r="L206" s="22">
        <v>0</v>
      </c>
      <c r="M206" s="388">
        <v>131</v>
      </c>
      <c r="N206" s="25">
        <v>1</v>
      </c>
      <c r="O206" s="24">
        <v>142</v>
      </c>
      <c r="P206" s="24">
        <v>25.5</v>
      </c>
      <c r="Q206" s="24">
        <v>20.25</v>
      </c>
      <c r="R206" s="22">
        <v>5.25</v>
      </c>
      <c r="S206" s="24">
        <v>11</v>
      </c>
      <c r="T206" s="24">
        <f t="shared" si="13"/>
        <v>36.5</v>
      </c>
      <c r="U206" s="376">
        <v>131</v>
      </c>
      <c r="V206" s="376">
        <v>0</v>
      </c>
      <c r="W206" s="22">
        <f t="shared" si="14"/>
        <v>131</v>
      </c>
      <c r="X206" s="22">
        <f t="shared" si="15"/>
        <v>22.75</v>
      </c>
      <c r="Y206" s="22">
        <v>22.75</v>
      </c>
      <c r="Z206" s="22">
        <v>0</v>
      </c>
      <c r="AA206" s="371">
        <v>141.4</v>
      </c>
      <c r="AB206" s="22">
        <v>0.1608910891089109</v>
      </c>
      <c r="AC206" s="24">
        <v>2.5891089108910886E-2</v>
      </c>
      <c r="AD206" s="384">
        <v>-35280.718928644696</v>
      </c>
    </row>
    <row r="207" spans="1:30">
      <c r="A207" s="21" t="s">
        <v>289</v>
      </c>
      <c r="B207" s="21" t="s">
        <v>290</v>
      </c>
      <c r="C207" s="23">
        <v>81</v>
      </c>
      <c r="D207" s="147">
        <v>6.29</v>
      </c>
      <c r="E207" s="22">
        <v>15.14</v>
      </c>
      <c r="F207" s="22">
        <v>21.43</v>
      </c>
      <c r="G207" s="22">
        <v>0</v>
      </c>
      <c r="H207" s="22">
        <v>3</v>
      </c>
      <c r="I207" s="22">
        <v>0.27</v>
      </c>
      <c r="J207" s="22">
        <v>0</v>
      </c>
      <c r="K207" s="22">
        <v>0</v>
      </c>
      <c r="L207" s="22">
        <v>0</v>
      </c>
      <c r="M207" s="388">
        <v>259.27</v>
      </c>
      <c r="N207" s="25">
        <v>0.59130000000000005</v>
      </c>
      <c r="O207" s="24">
        <v>252</v>
      </c>
      <c r="P207" s="24">
        <v>0</v>
      </c>
      <c r="Q207" s="24">
        <v>0</v>
      </c>
      <c r="R207" s="22">
        <v>0</v>
      </c>
      <c r="S207" s="24">
        <v>0</v>
      </c>
      <c r="T207" s="24">
        <f t="shared" si="13"/>
        <v>0</v>
      </c>
      <c r="U207" s="376">
        <v>153.31</v>
      </c>
      <c r="V207" s="376">
        <v>12.96</v>
      </c>
      <c r="W207" s="22">
        <f t="shared" si="14"/>
        <v>90.652203000000014</v>
      </c>
      <c r="X207" s="22">
        <f t="shared" si="15"/>
        <v>47.25</v>
      </c>
      <c r="Y207" s="22">
        <v>29.5</v>
      </c>
      <c r="Z207" s="22">
        <v>17.75</v>
      </c>
      <c r="AA207" s="371">
        <v>247.95</v>
      </c>
      <c r="AB207" s="22">
        <v>0.19056261343012704</v>
      </c>
      <c r="AC207" s="24">
        <v>5.5562613430127028E-2</v>
      </c>
      <c r="AD207" s="384">
        <v>-132822.88488312799</v>
      </c>
    </row>
    <row r="208" spans="1:30">
      <c r="A208" s="21" t="s">
        <v>379</v>
      </c>
      <c r="B208" s="21" t="s">
        <v>380</v>
      </c>
      <c r="C208" s="23">
        <v>2599</v>
      </c>
      <c r="D208" s="147">
        <v>82.41</v>
      </c>
      <c r="E208" s="22">
        <v>472.17</v>
      </c>
      <c r="F208" s="22">
        <v>554.58000000000004</v>
      </c>
      <c r="G208" s="22">
        <v>0</v>
      </c>
      <c r="H208" s="22">
        <v>450</v>
      </c>
      <c r="I208" s="22">
        <v>13.69</v>
      </c>
      <c r="J208" s="22">
        <v>177.01</v>
      </c>
      <c r="K208" s="22">
        <v>10.89</v>
      </c>
      <c r="L208" s="22">
        <v>3.27</v>
      </c>
      <c r="M208" s="388">
        <v>9618.86</v>
      </c>
      <c r="N208" s="25">
        <v>0.2082</v>
      </c>
      <c r="O208" s="24">
        <v>228</v>
      </c>
      <c r="P208" s="24">
        <v>197.75</v>
      </c>
      <c r="Q208" s="24">
        <v>138.5</v>
      </c>
      <c r="R208" s="22">
        <v>59.25</v>
      </c>
      <c r="S208" s="24">
        <v>34.5</v>
      </c>
      <c r="T208" s="24">
        <f t="shared" si="13"/>
        <v>232.25</v>
      </c>
      <c r="U208" s="376">
        <v>2002.65</v>
      </c>
      <c r="V208" s="376">
        <v>480.94</v>
      </c>
      <c r="W208" s="22">
        <f t="shared" si="14"/>
        <v>416.95173</v>
      </c>
      <c r="X208" s="22">
        <f t="shared" si="15"/>
        <v>1107.5</v>
      </c>
      <c r="Y208" s="22">
        <v>722.25</v>
      </c>
      <c r="Z208" s="22">
        <v>385.25</v>
      </c>
      <c r="AA208" s="371">
        <v>8671.06</v>
      </c>
      <c r="AB208" s="22">
        <v>0.12772371543963484</v>
      </c>
      <c r="AC208" s="24">
        <v>0</v>
      </c>
      <c r="AD208" s="384">
        <v>0</v>
      </c>
    </row>
    <row r="209" spans="1:30">
      <c r="A209" s="21" t="s">
        <v>1317</v>
      </c>
      <c r="B209" s="21" t="s">
        <v>1318</v>
      </c>
      <c r="C209" s="23">
        <v>0</v>
      </c>
      <c r="D209" s="147">
        <v>0</v>
      </c>
      <c r="E209" s="22">
        <v>0</v>
      </c>
      <c r="F209" s="22">
        <v>0</v>
      </c>
      <c r="G209" s="22">
        <v>0</v>
      </c>
      <c r="H209" s="22">
        <v>0</v>
      </c>
      <c r="I209" s="22">
        <v>0</v>
      </c>
      <c r="J209" s="22">
        <v>0</v>
      </c>
      <c r="K209" s="22">
        <v>0</v>
      </c>
      <c r="L209" s="22">
        <v>0</v>
      </c>
      <c r="M209" s="388">
        <v>300</v>
      </c>
      <c r="N209" s="25">
        <v>0.43359999999999999</v>
      </c>
      <c r="O209" s="24">
        <v>0</v>
      </c>
      <c r="P209" s="24">
        <v>8</v>
      </c>
      <c r="Q209" s="24">
        <v>5</v>
      </c>
      <c r="R209" s="22">
        <v>3</v>
      </c>
      <c r="S209" s="24">
        <v>0</v>
      </c>
      <c r="T209" s="24">
        <f t="shared" si="13"/>
        <v>8</v>
      </c>
      <c r="U209" s="376">
        <v>127.44</v>
      </c>
      <c r="V209" s="376">
        <v>0</v>
      </c>
      <c r="W209" s="22">
        <f t="shared" si="14"/>
        <v>55.257984</v>
      </c>
      <c r="X209" s="22">
        <f t="shared" si="15"/>
        <v>16.2</v>
      </c>
      <c r="Y209" s="22">
        <v>16.2</v>
      </c>
      <c r="Z209" s="22">
        <v>0</v>
      </c>
      <c r="AA209" s="371">
        <v>120</v>
      </c>
      <c r="AB209" s="22">
        <v>0.13499999999999998</v>
      </c>
      <c r="AC209" s="24">
        <v>0</v>
      </c>
      <c r="AD209" s="384">
        <v>0</v>
      </c>
    </row>
    <row r="210" spans="1:30">
      <c r="A210" s="21" t="s">
        <v>321</v>
      </c>
      <c r="B210" s="21" t="s">
        <v>322</v>
      </c>
      <c r="C210" s="23">
        <v>323</v>
      </c>
      <c r="D210" s="147">
        <v>0</v>
      </c>
      <c r="E210" s="22">
        <v>0</v>
      </c>
      <c r="F210" s="22">
        <v>0</v>
      </c>
      <c r="G210" s="22">
        <v>0</v>
      </c>
      <c r="H210" s="22">
        <v>0</v>
      </c>
      <c r="I210" s="22">
        <v>0</v>
      </c>
      <c r="J210" s="22">
        <v>39.799999999999997</v>
      </c>
      <c r="K210" s="22">
        <v>0</v>
      </c>
      <c r="L210" s="22">
        <v>0</v>
      </c>
      <c r="M210" s="388">
        <v>744.8</v>
      </c>
      <c r="N210" s="25">
        <v>0.65090000000000003</v>
      </c>
      <c r="O210" s="24">
        <v>687</v>
      </c>
      <c r="P210" s="24">
        <v>31.75</v>
      </c>
      <c r="Q210" s="24">
        <v>18</v>
      </c>
      <c r="R210" s="22">
        <v>13.75</v>
      </c>
      <c r="S210" s="24">
        <v>4.5</v>
      </c>
      <c r="T210" s="24">
        <f t="shared" si="13"/>
        <v>36.25</v>
      </c>
      <c r="U210" s="376">
        <v>484.79</v>
      </c>
      <c r="V210" s="376">
        <v>37.24</v>
      </c>
      <c r="W210" s="22">
        <f t="shared" si="14"/>
        <v>315.54981100000003</v>
      </c>
      <c r="X210" s="22">
        <f t="shared" si="15"/>
        <v>99.5</v>
      </c>
      <c r="Y210" s="22">
        <v>88.25</v>
      </c>
      <c r="Z210" s="22">
        <v>11.25</v>
      </c>
      <c r="AA210" s="371">
        <v>689.6</v>
      </c>
      <c r="AB210" s="22">
        <v>0.14428654292343387</v>
      </c>
      <c r="AC210" s="24">
        <v>9.2865429234338659E-3</v>
      </c>
      <c r="AD210" s="384">
        <v>-62035.416673546992</v>
      </c>
    </row>
    <row r="211" spans="1:30">
      <c r="A211" s="21" t="s">
        <v>119</v>
      </c>
      <c r="B211" s="21" t="s">
        <v>120</v>
      </c>
      <c r="C211" s="23">
        <v>105</v>
      </c>
      <c r="D211" s="147">
        <v>13.18</v>
      </c>
      <c r="E211" s="22">
        <v>39.29</v>
      </c>
      <c r="F211" s="22">
        <v>52.47</v>
      </c>
      <c r="G211" s="22">
        <v>0</v>
      </c>
      <c r="H211" s="22">
        <v>2</v>
      </c>
      <c r="I211" s="22">
        <v>1.08</v>
      </c>
      <c r="J211" s="22">
        <v>0</v>
      </c>
      <c r="K211" s="22">
        <v>0</v>
      </c>
      <c r="L211" s="22">
        <v>0</v>
      </c>
      <c r="M211" s="388">
        <v>315.08</v>
      </c>
      <c r="N211" s="25">
        <v>0.51839999999999997</v>
      </c>
      <c r="O211" s="24">
        <v>360</v>
      </c>
      <c r="P211" s="24">
        <v>3</v>
      </c>
      <c r="Q211" s="24">
        <v>2</v>
      </c>
      <c r="R211" s="22">
        <v>1</v>
      </c>
      <c r="S211" s="24">
        <v>1</v>
      </c>
      <c r="T211" s="24">
        <f t="shared" si="13"/>
        <v>4</v>
      </c>
      <c r="U211" s="376">
        <v>163.34</v>
      </c>
      <c r="V211" s="376">
        <v>0</v>
      </c>
      <c r="W211" s="22">
        <f t="shared" si="14"/>
        <v>84.675455999999997</v>
      </c>
      <c r="X211" s="22">
        <f t="shared" si="15"/>
        <v>53.5</v>
      </c>
      <c r="Y211" s="22">
        <v>21</v>
      </c>
      <c r="Z211" s="22">
        <v>32.5</v>
      </c>
      <c r="AA211" s="371">
        <v>355.34</v>
      </c>
      <c r="AB211" s="22">
        <v>0.15056002701637869</v>
      </c>
      <c r="AC211" s="24">
        <v>1.556002701637868E-2</v>
      </c>
      <c r="AD211" s="384">
        <v>-53438.750738681425</v>
      </c>
    </row>
    <row r="212" spans="1:30">
      <c r="A212" s="21" t="s">
        <v>43</v>
      </c>
      <c r="B212" s="21" t="s">
        <v>44</v>
      </c>
      <c r="C212" s="23">
        <v>969</v>
      </c>
      <c r="D212" s="147">
        <v>72.28</v>
      </c>
      <c r="E212" s="22">
        <v>229.55</v>
      </c>
      <c r="F212" s="22">
        <v>301.83000000000004</v>
      </c>
      <c r="G212" s="22">
        <v>0</v>
      </c>
      <c r="H212" s="22">
        <v>125</v>
      </c>
      <c r="I212" s="22">
        <v>8.33</v>
      </c>
      <c r="J212" s="22">
        <v>359.36</v>
      </c>
      <c r="K212" s="22">
        <v>0</v>
      </c>
      <c r="L212" s="22">
        <v>0</v>
      </c>
      <c r="M212" s="388">
        <v>3702.69</v>
      </c>
      <c r="N212" s="25">
        <v>0.52559999999999996</v>
      </c>
      <c r="O212" s="24">
        <v>2180</v>
      </c>
      <c r="P212" s="24">
        <v>53.5</v>
      </c>
      <c r="Q212" s="24">
        <v>37</v>
      </c>
      <c r="R212" s="22">
        <v>16.5</v>
      </c>
      <c r="S212" s="24">
        <v>9.5</v>
      </c>
      <c r="T212" s="24">
        <f t="shared" si="13"/>
        <v>63</v>
      </c>
      <c r="U212" s="376">
        <v>1948.36</v>
      </c>
      <c r="V212" s="376">
        <v>185.13</v>
      </c>
      <c r="W212" s="22">
        <f t="shared" si="14"/>
        <v>1024.058016</v>
      </c>
      <c r="X212" s="22">
        <f t="shared" si="15"/>
        <v>550</v>
      </c>
      <c r="Y212" s="22">
        <v>398.75</v>
      </c>
      <c r="Z212" s="22">
        <v>151.25</v>
      </c>
      <c r="AA212" s="371">
        <v>3493.54</v>
      </c>
      <c r="AB212" s="22">
        <v>0.15743343428155968</v>
      </c>
      <c r="AC212" s="24">
        <v>2.2433434281559667E-2</v>
      </c>
      <c r="AD212" s="384">
        <v>-747897.682755257</v>
      </c>
    </row>
    <row r="213" spans="1:30">
      <c r="A213" s="21" t="s">
        <v>181</v>
      </c>
      <c r="B213" s="21" t="s">
        <v>182</v>
      </c>
      <c r="C213" s="23">
        <v>280</v>
      </c>
      <c r="D213" s="147">
        <v>0</v>
      </c>
      <c r="E213" s="22">
        <v>54.97</v>
      </c>
      <c r="F213" s="22">
        <v>54.97</v>
      </c>
      <c r="G213" s="22">
        <v>0</v>
      </c>
      <c r="H213" s="22">
        <v>32</v>
      </c>
      <c r="I213" s="22">
        <v>2.3199999999999998</v>
      </c>
      <c r="J213" s="22">
        <v>135.22999999999999</v>
      </c>
      <c r="K213" s="22">
        <v>0</v>
      </c>
      <c r="L213" s="22">
        <v>0</v>
      </c>
      <c r="M213" s="388">
        <v>1101.55</v>
      </c>
      <c r="N213" s="25">
        <v>0.51739999999999997</v>
      </c>
      <c r="O213" s="24">
        <v>769</v>
      </c>
      <c r="P213" s="24">
        <v>36.25</v>
      </c>
      <c r="Q213" s="24">
        <v>22</v>
      </c>
      <c r="R213" s="22">
        <v>14.25</v>
      </c>
      <c r="S213" s="24">
        <v>2.25</v>
      </c>
      <c r="T213" s="24">
        <f t="shared" si="13"/>
        <v>38.5</v>
      </c>
      <c r="U213" s="376">
        <v>569.94000000000005</v>
      </c>
      <c r="V213" s="376">
        <v>55.08</v>
      </c>
      <c r="W213" s="22">
        <f t="shared" si="14"/>
        <v>294.886956</v>
      </c>
      <c r="X213" s="22">
        <f t="shared" si="15"/>
        <v>141.75</v>
      </c>
      <c r="Y213" s="22">
        <v>101.75</v>
      </c>
      <c r="Z213" s="22">
        <v>40</v>
      </c>
      <c r="AA213" s="371">
        <v>1196.08</v>
      </c>
      <c r="AB213" s="22">
        <v>0.1185121396562103</v>
      </c>
      <c r="AC213" s="24">
        <v>0</v>
      </c>
      <c r="AD213" s="384">
        <v>0</v>
      </c>
    </row>
    <row r="214" spans="1:30">
      <c r="A214" s="21" t="s">
        <v>537</v>
      </c>
      <c r="B214" s="21" t="s">
        <v>538</v>
      </c>
      <c r="C214" s="23">
        <v>75</v>
      </c>
      <c r="D214" s="147">
        <v>0</v>
      </c>
      <c r="E214" s="22">
        <v>5.24</v>
      </c>
      <c r="F214" s="22">
        <v>5.24</v>
      </c>
      <c r="G214" s="22">
        <v>0</v>
      </c>
      <c r="H214" s="22">
        <v>3</v>
      </c>
      <c r="I214" s="22">
        <v>0</v>
      </c>
      <c r="J214" s="22">
        <v>0</v>
      </c>
      <c r="K214" s="22">
        <v>1</v>
      </c>
      <c r="L214" s="22">
        <v>0</v>
      </c>
      <c r="M214" s="388">
        <v>261</v>
      </c>
      <c r="N214" s="25">
        <v>0.93959999999999999</v>
      </c>
      <c r="O214" s="24">
        <v>232</v>
      </c>
      <c r="P214" s="24">
        <v>91</v>
      </c>
      <c r="Q214" s="24">
        <v>63.5</v>
      </c>
      <c r="R214" s="22">
        <v>27.5</v>
      </c>
      <c r="S214" s="24">
        <v>11</v>
      </c>
      <c r="T214" s="24">
        <f t="shared" si="13"/>
        <v>102</v>
      </c>
      <c r="U214" s="376">
        <v>245.24</v>
      </c>
      <c r="V214" s="376">
        <v>0</v>
      </c>
      <c r="W214" s="22">
        <f t="shared" si="14"/>
        <v>230.427504</v>
      </c>
      <c r="X214" s="22">
        <f t="shared" si="15"/>
        <v>35</v>
      </c>
      <c r="Y214" s="22">
        <v>25.75</v>
      </c>
      <c r="Z214" s="22">
        <v>9.25</v>
      </c>
      <c r="AA214" s="371">
        <v>248.31</v>
      </c>
      <c r="AB214" s="22">
        <v>0.14095284120655632</v>
      </c>
      <c r="AC214" s="24">
        <v>5.9528412065563141E-3</v>
      </c>
      <c r="AD214" s="384">
        <v>-13862.311591965299</v>
      </c>
    </row>
    <row r="215" spans="1:30">
      <c r="A215" s="21" t="s">
        <v>481</v>
      </c>
      <c r="B215" s="21" t="s">
        <v>482</v>
      </c>
      <c r="C215" s="23">
        <v>0</v>
      </c>
      <c r="D215" s="147">
        <v>0</v>
      </c>
      <c r="E215" s="22">
        <v>12.01</v>
      </c>
      <c r="F215" s="22">
        <v>12.01</v>
      </c>
      <c r="G215" s="22">
        <v>0</v>
      </c>
      <c r="H215" s="22">
        <v>20</v>
      </c>
      <c r="I215" s="22">
        <v>1</v>
      </c>
      <c r="J215" s="22">
        <v>0</v>
      </c>
      <c r="K215" s="22">
        <v>0</v>
      </c>
      <c r="L215" s="22">
        <v>0</v>
      </c>
      <c r="M215" s="388">
        <v>721</v>
      </c>
      <c r="N215" s="25">
        <v>0.58220000000000005</v>
      </c>
      <c r="O215" s="24">
        <v>663</v>
      </c>
      <c r="P215" s="24">
        <v>0</v>
      </c>
      <c r="Q215" s="24">
        <v>0</v>
      </c>
      <c r="R215" s="22">
        <v>0</v>
      </c>
      <c r="S215" s="24">
        <v>0</v>
      </c>
      <c r="T215" s="24">
        <f t="shared" si="13"/>
        <v>0</v>
      </c>
      <c r="U215" s="376">
        <v>419.77</v>
      </c>
      <c r="V215" s="376">
        <v>0</v>
      </c>
      <c r="W215" s="22">
        <f t="shared" si="14"/>
        <v>244.390094</v>
      </c>
      <c r="X215" s="22">
        <f t="shared" si="15"/>
        <v>103.25</v>
      </c>
      <c r="Y215" s="22">
        <v>102.25</v>
      </c>
      <c r="Z215" s="22">
        <v>1</v>
      </c>
      <c r="AA215" s="371">
        <v>648.44000000000005</v>
      </c>
      <c r="AB215" s="22">
        <v>0.15922830177040279</v>
      </c>
      <c r="AC215" s="24">
        <v>2.4228301770402777E-2</v>
      </c>
      <c r="AD215" s="384">
        <v>-139355.95647583556</v>
      </c>
    </row>
    <row r="216" spans="1:30">
      <c r="A216" s="21" t="s">
        <v>25</v>
      </c>
      <c r="B216" s="21" t="s">
        <v>26</v>
      </c>
      <c r="C216" s="23">
        <v>645</v>
      </c>
      <c r="D216" s="147">
        <v>29.81</v>
      </c>
      <c r="E216" s="22">
        <v>229.08</v>
      </c>
      <c r="F216" s="22">
        <v>258.89</v>
      </c>
      <c r="G216" s="22">
        <v>0</v>
      </c>
      <c r="H216" s="22">
        <v>53</v>
      </c>
      <c r="I216" s="22">
        <v>2.69</v>
      </c>
      <c r="J216" s="22">
        <v>0</v>
      </c>
      <c r="K216" s="22">
        <v>12.6</v>
      </c>
      <c r="L216" s="22">
        <v>0</v>
      </c>
      <c r="M216" s="388">
        <v>2292.29</v>
      </c>
      <c r="N216" s="25">
        <v>0.71989999999999998</v>
      </c>
      <c r="O216" s="24">
        <v>2481</v>
      </c>
      <c r="P216" s="24">
        <v>586.75</v>
      </c>
      <c r="Q216" s="24">
        <v>378.25</v>
      </c>
      <c r="R216" s="22">
        <v>208.5</v>
      </c>
      <c r="S216" s="24">
        <v>71</v>
      </c>
      <c r="T216" s="24">
        <f t="shared" si="13"/>
        <v>657.75</v>
      </c>
      <c r="U216" s="376">
        <v>1649.53</v>
      </c>
      <c r="V216" s="376">
        <v>114.61</v>
      </c>
      <c r="W216" s="22">
        <f t="shared" si="14"/>
        <v>1187.4966469999999</v>
      </c>
      <c r="X216" s="22">
        <f t="shared" si="15"/>
        <v>314.75</v>
      </c>
      <c r="Y216" s="22">
        <v>143.75</v>
      </c>
      <c r="Z216" s="22">
        <v>171</v>
      </c>
      <c r="AA216" s="371">
        <v>2475.6799999999998</v>
      </c>
      <c r="AB216" s="22">
        <v>0.12713678666063466</v>
      </c>
      <c r="AC216" s="24">
        <v>0</v>
      </c>
      <c r="AD216" s="384">
        <v>0</v>
      </c>
    </row>
    <row r="217" spans="1:30">
      <c r="A217" s="21" t="s">
        <v>1319</v>
      </c>
      <c r="B217" s="21" t="s">
        <v>1320</v>
      </c>
      <c r="C217" s="23">
        <v>122</v>
      </c>
      <c r="D217" s="147">
        <v>0</v>
      </c>
      <c r="E217" s="22">
        <v>0</v>
      </c>
      <c r="F217" s="22">
        <v>0</v>
      </c>
      <c r="G217" s="22">
        <v>0</v>
      </c>
      <c r="H217" s="22">
        <v>0</v>
      </c>
      <c r="I217" s="22">
        <v>0</v>
      </c>
      <c r="J217" s="22">
        <v>0</v>
      </c>
      <c r="K217" s="22">
        <v>0</v>
      </c>
      <c r="L217" s="22">
        <v>0</v>
      </c>
      <c r="M217" s="388">
        <v>224</v>
      </c>
      <c r="N217" s="25">
        <v>0.2278</v>
      </c>
      <c r="O217" s="24">
        <v>0</v>
      </c>
      <c r="P217" s="24">
        <v>3</v>
      </c>
      <c r="Q217" s="24">
        <v>3</v>
      </c>
      <c r="R217" s="22">
        <v>0</v>
      </c>
      <c r="S217" s="24">
        <v>0</v>
      </c>
      <c r="T217" s="24">
        <f t="shared" si="13"/>
        <v>3</v>
      </c>
      <c r="U217" s="376">
        <v>5.67</v>
      </c>
      <c r="V217" s="376">
        <v>0</v>
      </c>
      <c r="W217" s="22">
        <f t="shared" si="14"/>
        <v>1.2916259999999999</v>
      </c>
      <c r="X217" s="22">
        <f t="shared" si="15"/>
        <v>11.75</v>
      </c>
      <c r="Y217" s="22">
        <v>11.75</v>
      </c>
      <c r="Z217" s="22">
        <v>0</v>
      </c>
      <c r="AA217" s="371">
        <v>77</v>
      </c>
      <c r="AB217" s="22">
        <v>0.15259740259740259</v>
      </c>
      <c r="AC217" s="24">
        <v>1.7597402597402584E-2</v>
      </c>
      <c r="AD217" s="384">
        <v>-13536.7108602466</v>
      </c>
    </row>
    <row r="218" spans="1:30">
      <c r="A218" s="21" t="s">
        <v>561</v>
      </c>
      <c r="B218" s="21" t="s">
        <v>562</v>
      </c>
      <c r="C218" s="23">
        <v>840</v>
      </c>
      <c r="D218" s="147">
        <v>44.01</v>
      </c>
      <c r="E218" s="22">
        <v>131.38</v>
      </c>
      <c r="F218" s="22">
        <v>175.39</v>
      </c>
      <c r="G218" s="22">
        <v>0</v>
      </c>
      <c r="H218" s="22">
        <v>41</v>
      </c>
      <c r="I218" s="22">
        <v>0.6</v>
      </c>
      <c r="J218" s="22">
        <v>7.75</v>
      </c>
      <c r="K218" s="22">
        <v>0.8</v>
      </c>
      <c r="L218" s="22">
        <v>0</v>
      </c>
      <c r="M218" s="388">
        <v>2725.15</v>
      </c>
      <c r="N218" s="25">
        <v>0.3155</v>
      </c>
      <c r="O218" s="24">
        <v>0</v>
      </c>
      <c r="P218" s="24">
        <v>121.25</v>
      </c>
      <c r="Q218" s="24">
        <v>93.5</v>
      </c>
      <c r="R218" s="22">
        <v>27.75</v>
      </c>
      <c r="S218" s="24">
        <v>42.75</v>
      </c>
      <c r="T218" s="24">
        <f t="shared" si="13"/>
        <v>164</v>
      </c>
      <c r="U218" s="376">
        <v>859.78</v>
      </c>
      <c r="V218" s="376">
        <v>136.26</v>
      </c>
      <c r="W218" s="22">
        <f t="shared" si="14"/>
        <v>271.26058999999998</v>
      </c>
      <c r="X218" s="22">
        <f t="shared" si="15"/>
        <v>317</v>
      </c>
      <c r="Y218" s="22">
        <v>236.75</v>
      </c>
      <c r="Z218" s="22">
        <v>80.25</v>
      </c>
      <c r="AA218" s="371">
        <v>2617.1999999999998</v>
      </c>
      <c r="AB218" s="22">
        <v>0.1211218095674767</v>
      </c>
      <c r="AC218" s="24">
        <v>0</v>
      </c>
      <c r="AD218" s="384">
        <v>0</v>
      </c>
    </row>
    <row r="219" spans="1:30">
      <c r="A219" s="21" t="s">
        <v>363</v>
      </c>
      <c r="B219" s="21" t="s">
        <v>364</v>
      </c>
      <c r="C219" s="23">
        <v>7052</v>
      </c>
      <c r="D219" s="147">
        <v>359.2</v>
      </c>
      <c r="E219" s="22">
        <v>1267.8</v>
      </c>
      <c r="F219" s="22">
        <v>1627</v>
      </c>
      <c r="G219" s="22">
        <v>0</v>
      </c>
      <c r="H219" s="22">
        <v>725</v>
      </c>
      <c r="I219" s="22">
        <v>18.7</v>
      </c>
      <c r="J219" s="22">
        <v>740.55</v>
      </c>
      <c r="K219" s="22">
        <v>51.6</v>
      </c>
      <c r="L219" s="22">
        <v>0</v>
      </c>
      <c r="M219" s="388">
        <v>22895.85</v>
      </c>
      <c r="N219" s="25">
        <v>0.39810000000000001</v>
      </c>
      <c r="O219" s="24">
        <v>1992</v>
      </c>
      <c r="P219" s="24">
        <v>1441.25</v>
      </c>
      <c r="Q219" s="24">
        <v>926.25</v>
      </c>
      <c r="R219" s="22">
        <v>515</v>
      </c>
      <c r="S219" s="24">
        <v>339.5</v>
      </c>
      <c r="T219" s="24">
        <f t="shared" si="13"/>
        <v>1780.75</v>
      </c>
      <c r="U219" s="376">
        <v>9114.84</v>
      </c>
      <c r="V219" s="376">
        <v>1144.79</v>
      </c>
      <c r="W219" s="22">
        <f t="shared" si="14"/>
        <v>3628.617804</v>
      </c>
      <c r="X219" s="22">
        <f t="shared" si="15"/>
        <v>2490.5</v>
      </c>
      <c r="Y219" s="22">
        <v>1339.25</v>
      </c>
      <c r="Z219" s="22">
        <v>1151.25</v>
      </c>
      <c r="AA219" s="371">
        <v>22353.34</v>
      </c>
      <c r="AB219" s="22">
        <v>0.11141511738290565</v>
      </c>
      <c r="AC219" s="24">
        <v>0</v>
      </c>
      <c r="AD219" s="384">
        <v>0</v>
      </c>
    </row>
    <row r="220" spans="1:30">
      <c r="A220" s="21" t="s">
        <v>173</v>
      </c>
      <c r="B220" s="21" t="s">
        <v>174</v>
      </c>
      <c r="C220" s="23">
        <v>14</v>
      </c>
      <c r="D220" s="147">
        <v>0</v>
      </c>
      <c r="E220" s="22">
        <v>0</v>
      </c>
      <c r="F220" s="22">
        <v>0</v>
      </c>
      <c r="G220" s="22">
        <v>0</v>
      </c>
      <c r="H220" s="22">
        <v>0</v>
      </c>
      <c r="I220" s="22">
        <v>0</v>
      </c>
      <c r="J220" s="22">
        <v>0</v>
      </c>
      <c r="K220" s="22">
        <v>0</v>
      </c>
      <c r="L220" s="22">
        <v>0</v>
      </c>
      <c r="M220" s="388">
        <v>37</v>
      </c>
      <c r="N220" s="25">
        <v>1</v>
      </c>
      <c r="O220" s="24">
        <v>50</v>
      </c>
      <c r="P220" s="24">
        <v>0</v>
      </c>
      <c r="Q220" s="24">
        <v>0</v>
      </c>
      <c r="R220" s="22">
        <v>0</v>
      </c>
      <c r="S220" s="24">
        <v>0</v>
      </c>
      <c r="T220" s="24">
        <f t="shared" si="13"/>
        <v>0</v>
      </c>
      <c r="U220" s="376">
        <v>37</v>
      </c>
      <c r="V220" s="376">
        <v>0</v>
      </c>
      <c r="W220" s="22">
        <f t="shared" si="14"/>
        <v>37</v>
      </c>
      <c r="X220" s="22">
        <f t="shared" si="15"/>
        <v>8.75</v>
      </c>
      <c r="Y220" s="22">
        <v>0</v>
      </c>
      <c r="Z220" s="22">
        <v>8.75</v>
      </c>
      <c r="AA220" s="371">
        <v>50.8</v>
      </c>
      <c r="AB220" s="22">
        <v>0.17224409448818898</v>
      </c>
      <c r="AC220" s="24">
        <v>3.7244094488188967E-2</v>
      </c>
      <c r="AD220" s="384">
        <v>-17786.451560838668</v>
      </c>
    </row>
    <row r="221" spans="1:30">
      <c r="A221" s="21" t="s">
        <v>177</v>
      </c>
      <c r="B221" s="21" t="s">
        <v>178</v>
      </c>
      <c r="C221" s="23">
        <v>55</v>
      </c>
      <c r="D221" s="147">
        <v>0</v>
      </c>
      <c r="E221" s="22">
        <v>7.66</v>
      </c>
      <c r="F221" s="22">
        <v>7.66</v>
      </c>
      <c r="G221" s="22">
        <v>0</v>
      </c>
      <c r="H221" s="22">
        <v>5</v>
      </c>
      <c r="I221" s="22">
        <v>0</v>
      </c>
      <c r="J221" s="22">
        <v>436.06</v>
      </c>
      <c r="K221" s="22">
        <v>0</v>
      </c>
      <c r="L221" s="22">
        <v>0</v>
      </c>
      <c r="M221" s="388">
        <v>641.05999999999995</v>
      </c>
      <c r="N221" s="25">
        <v>0.31059999999999999</v>
      </c>
      <c r="O221" s="24">
        <v>0</v>
      </c>
      <c r="P221" s="24">
        <v>0</v>
      </c>
      <c r="Q221" s="24">
        <v>0</v>
      </c>
      <c r="R221" s="22">
        <v>0</v>
      </c>
      <c r="S221" s="24">
        <v>0</v>
      </c>
      <c r="T221" s="24">
        <f t="shared" si="13"/>
        <v>0</v>
      </c>
      <c r="U221" s="376">
        <v>199.56</v>
      </c>
      <c r="V221" s="376">
        <v>32.049999999999997</v>
      </c>
      <c r="W221" s="22">
        <f t="shared" si="14"/>
        <v>61.983336000000001</v>
      </c>
      <c r="X221" s="22">
        <f t="shared" si="15"/>
        <v>55.75</v>
      </c>
      <c r="Y221" s="22">
        <v>53</v>
      </c>
      <c r="Z221" s="22">
        <v>2.75</v>
      </c>
      <c r="AA221" s="371">
        <v>653.72</v>
      </c>
      <c r="AB221" s="22">
        <v>8.5281160129719147E-2</v>
      </c>
      <c r="AC221" s="24">
        <v>0</v>
      </c>
      <c r="AD221" s="384">
        <v>0</v>
      </c>
    </row>
    <row r="222" spans="1:30">
      <c r="A222" s="21" t="s">
        <v>53</v>
      </c>
      <c r="B222" s="21" t="s">
        <v>54</v>
      </c>
      <c r="C222" s="23">
        <v>30.4</v>
      </c>
      <c r="D222" s="147">
        <v>1.65</v>
      </c>
      <c r="E222" s="22">
        <v>8.7899999999999991</v>
      </c>
      <c r="F222" s="22">
        <v>10.44</v>
      </c>
      <c r="G222" s="22">
        <v>0</v>
      </c>
      <c r="H222" s="22">
        <v>0.33</v>
      </c>
      <c r="I222" s="22">
        <v>0</v>
      </c>
      <c r="J222" s="22">
        <v>0</v>
      </c>
      <c r="K222" s="22">
        <v>0</v>
      </c>
      <c r="L222" s="22">
        <v>0</v>
      </c>
      <c r="M222" s="388">
        <v>116.49</v>
      </c>
      <c r="N222" s="25">
        <v>0.93910000000000005</v>
      </c>
      <c r="O222" s="24">
        <v>115</v>
      </c>
      <c r="P222" s="24">
        <v>0</v>
      </c>
      <c r="Q222" s="24">
        <v>0</v>
      </c>
      <c r="R222" s="22">
        <v>0</v>
      </c>
      <c r="S222" s="24">
        <v>0</v>
      </c>
      <c r="T222" s="24">
        <f t="shared" si="13"/>
        <v>0</v>
      </c>
      <c r="U222" s="376">
        <v>109.4</v>
      </c>
      <c r="V222" s="376">
        <v>0</v>
      </c>
      <c r="W222" s="22">
        <f t="shared" si="14"/>
        <v>102.73754000000001</v>
      </c>
      <c r="X222" s="22">
        <f t="shared" si="15"/>
        <v>28.25</v>
      </c>
      <c r="Y222" s="22">
        <v>27</v>
      </c>
      <c r="Z222" s="22">
        <v>1.25</v>
      </c>
      <c r="AA222" s="371">
        <v>116.49</v>
      </c>
      <c r="AB222" s="22">
        <v>0.24251008670272128</v>
      </c>
      <c r="AC222" s="24">
        <v>0.10751008670272127</v>
      </c>
      <c r="AD222" s="384">
        <v>-117267.19834383464</v>
      </c>
    </row>
    <row r="223" spans="1:30">
      <c r="A223" s="21" t="s">
        <v>51</v>
      </c>
      <c r="B223" s="21" t="s">
        <v>52</v>
      </c>
      <c r="C223" s="23">
        <v>270</v>
      </c>
      <c r="D223" s="147">
        <v>13.1</v>
      </c>
      <c r="E223" s="22">
        <v>43.4</v>
      </c>
      <c r="F223" s="22">
        <v>56.5</v>
      </c>
      <c r="G223" s="22">
        <v>0</v>
      </c>
      <c r="H223" s="22">
        <v>154</v>
      </c>
      <c r="I223" s="22">
        <v>9.52</v>
      </c>
      <c r="J223" s="22">
        <v>2271.44</v>
      </c>
      <c r="K223" s="22">
        <v>6.8</v>
      </c>
      <c r="L223" s="22">
        <v>0</v>
      </c>
      <c r="M223" s="388">
        <v>3301.76</v>
      </c>
      <c r="N223" s="25">
        <v>0.63009999999999999</v>
      </c>
      <c r="O223" s="24">
        <v>3279</v>
      </c>
      <c r="P223" s="24">
        <v>231</v>
      </c>
      <c r="Q223" s="24">
        <v>119</v>
      </c>
      <c r="R223" s="22">
        <v>112</v>
      </c>
      <c r="S223" s="24">
        <v>31</v>
      </c>
      <c r="T223" s="24">
        <f t="shared" si="13"/>
        <v>262</v>
      </c>
      <c r="U223" s="376">
        <v>1755.22</v>
      </c>
      <c r="V223" s="376">
        <v>0</v>
      </c>
      <c r="W223" s="22">
        <f t="shared" si="14"/>
        <v>1105.9641220000001</v>
      </c>
      <c r="X223" s="22">
        <f t="shared" si="15"/>
        <v>565.75</v>
      </c>
      <c r="Y223" s="22">
        <v>502</v>
      </c>
      <c r="Z223" s="22">
        <v>63.75</v>
      </c>
      <c r="AA223" s="371">
        <v>3270.9</v>
      </c>
      <c r="AB223" s="22">
        <v>0.17296462747256106</v>
      </c>
      <c r="AC223" s="24">
        <v>3.7964627472561047E-2</v>
      </c>
      <c r="AD223" s="384">
        <v>-1123578.9875083449</v>
      </c>
    </row>
    <row r="224" spans="1:30">
      <c r="A224" s="21" t="s">
        <v>123</v>
      </c>
      <c r="B224" s="21" t="s">
        <v>124</v>
      </c>
      <c r="C224" s="23">
        <v>930</v>
      </c>
      <c r="D224" s="147">
        <v>51.71</v>
      </c>
      <c r="E224" s="22">
        <v>223.35</v>
      </c>
      <c r="F224" s="22">
        <v>275.06</v>
      </c>
      <c r="G224" s="22">
        <v>0</v>
      </c>
      <c r="H224" s="22">
        <v>66</v>
      </c>
      <c r="I224" s="22">
        <v>2.91</v>
      </c>
      <c r="J224" s="22">
        <v>58.04</v>
      </c>
      <c r="K224" s="22">
        <v>4.2</v>
      </c>
      <c r="L224" s="22">
        <v>0</v>
      </c>
      <c r="M224" s="388">
        <v>3131.1499999999996</v>
      </c>
      <c r="N224" s="25">
        <v>0.82869999999999999</v>
      </c>
      <c r="O224" s="24">
        <v>3125</v>
      </c>
      <c r="P224" s="24">
        <v>1196</v>
      </c>
      <c r="Q224" s="24">
        <v>762.75</v>
      </c>
      <c r="R224" s="22">
        <v>433.25</v>
      </c>
      <c r="S224" s="24">
        <v>243.25</v>
      </c>
      <c r="T224" s="24">
        <f t="shared" si="13"/>
        <v>1439.25</v>
      </c>
      <c r="U224" s="376">
        <v>2594.7800000000002</v>
      </c>
      <c r="V224" s="376">
        <v>156.56</v>
      </c>
      <c r="W224" s="22">
        <f t="shared" si="14"/>
        <v>2150.2941860000001</v>
      </c>
      <c r="X224" s="22">
        <f t="shared" si="15"/>
        <v>427</v>
      </c>
      <c r="Y224" s="22">
        <v>338</v>
      </c>
      <c r="Z224" s="22">
        <v>89</v>
      </c>
      <c r="AA224" s="371">
        <v>3149.58</v>
      </c>
      <c r="AB224" s="22">
        <v>0.13557363203982753</v>
      </c>
      <c r="AC224" s="24">
        <v>5.7363203982752076E-4</v>
      </c>
      <c r="AD224" s="384">
        <v>-17012.670840267747</v>
      </c>
    </row>
    <row r="225" spans="1:30">
      <c r="A225" s="21" t="s">
        <v>225</v>
      </c>
      <c r="B225" s="21" t="s">
        <v>226</v>
      </c>
      <c r="C225" s="23">
        <v>0</v>
      </c>
      <c r="D225" s="147">
        <v>0</v>
      </c>
      <c r="E225" s="22">
        <v>0</v>
      </c>
      <c r="F225" s="22">
        <v>0</v>
      </c>
      <c r="G225" s="22">
        <v>0</v>
      </c>
      <c r="H225" s="22">
        <v>0</v>
      </c>
      <c r="I225" s="22">
        <v>0</v>
      </c>
      <c r="J225" s="22">
        <v>0</v>
      </c>
      <c r="K225" s="22">
        <v>0</v>
      </c>
      <c r="L225" s="22">
        <v>0</v>
      </c>
      <c r="M225" s="388">
        <v>333</v>
      </c>
      <c r="N225" s="25">
        <v>0.76190000000000002</v>
      </c>
      <c r="O225" s="24">
        <v>336</v>
      </c>
      <c r="P225" s="24">
        <v>96.75</v>
      </c>
      <c r="Q225" s="24">
        <v>54.75</v>
      </c>
      <c r="R225" s="22">
        <v>42</v>
      </c>
      <c r="S225" s="24">
        <v>21</v>
      </c>
      <c r="T225" s="24">
        <f t="shared" si="13"/>
        <v>117.75</v>
      </c>
      <c r="U225" s="376">
        <v>253.71</v>
      </c>
      <c r="V225" s="376">
        <v>0</v>
      </c>
      <c r="W225" s="22">
        <f t="shared" si="14"/>
        <v>193.301649</v>
      </c>
      <c r="X225" s="22">
        <f t="shared" si="15"/>
        <v>24.75</v>
      </c>
      <c r="Y225" s="22">
        <v>24.75</v>
      </c>
      <c r="Z225" s="22">
        <v>0</v>
      </c>
      <c r="AA225" s="371">
        <v>329</v>
      </c>
      <c r="AB225" s="22">
        <v>7.522796352583587E-2</v>
      </c>
      <c r="AC225" s="24">
        <v>0</v>
      </c>
      <c r="AD225" s="384">
        <v>0</v>
      </c>
    </row>
    <row r="226" spans="1:30">
      <c r="A226" s="21" t="s">
        <v>515</v>
      </c>
      <c r="B226" s="21" t="s">
        <v>516</v>
      </c>
      <c r="C226" s="23">
        <v>224</v>
      </c>
      <c r="D226" s="147">
        <v>14.94</v>
      </c>
      <c r="E226" s="22">
        <v>63.58</v>
      </c>
      <c r="F226" s="22">
        <v>78.52</v>
      </c>
      <c r="G226" s="22">
        <v>0</v>
      </c>
      <c r="H226" s="22">
        <v>13</v>
      </c>
      <c r="I226" s="22">
        <v>1.35</v>
      </c>
      <c r="J226" s="22">
        <v>0</v>
      </c>
      <c r="K226" s="22">
        <v>4.4000000000000004</v>
      </c>
      <c r="L226" s="22">
        <v>0</v>
      </c>
      <c r="M226" s="388">
        <v>878.75</v>
      </c>
      <c r="N226" s="25">
        <v>0.4415</v>
      </c>
      <c r="O226" s="24">
        <v>0</v>
      </c>
      <c r="P226" s="24">
        <v>0</v>
      </c>
      <c r="Q226" s="24">
        <v>0</v>
      </c>
      <c r="R226" s="22">
        <v>0</v>
      </c>
      <c r="S226" s="24">
        <v>0</v>
      </c>
      <c r="T226" s="24">
        <f t="shared" si="13"/>
        <v>0</v>
      </c>
      <c r="U226" s="376">
        <v>387.97</v>
      </c>
      <c r="V226" s="376">
        <v>43.94</v>
      </c>
      <c r="W226" s="22">
        <f t="shared" si="14"/>
        <v>171.28875500000001</v>
      </c>
      <c r="X226" s="22">
        <f t="shared" si="15"/>
        <v>126.75</v>
      </c>
      <c r="Y226" s="22">
        <v>88</v>
      </c>
      <c r="Z226" s="22">
        <v>38.75</v>
      </c>
      <c r="AA226" s="371">
        <v>886.79</v>
      </c>
      <c r="AB226" s="22">
        <v>0.14293124640557517</v>
      </c>
      <c r="AC226" s="24">
        <v>7.9312464055751597E-3</v>
      </c>
      <c r="AD226" s="384">
        <v>-65358.872824723469</v>
      </c>
    </row>
    <row r="227" spans="1:30">
      <c r="A227" s="21" t="s">
        <v>345</v>
      </c>
      <c r="B227" s="21" t="s">
        <v>346</v>
      </c>
      <c r="C227" s="23">
        <v>129</v>
      </c>
      <c r="D227" s="147">
        <v>0</v>
      </c>
      <c r="E227" s="22">
        <v>38.950000000000003</v>
      </c>
      <c r="F227" s="22">
        <v>38.950000000000003</v>
      </c>
      <c r="G227" s="22">
        <v>0</v>
      </c>
      <c r="H227" s="22">
        <v>14</v>
      </c>
      <c r="I227" s="22">
        <v>0.17</v>
      </c>
      <c r="J227" s="22">
        <v>2</v>
      </c>
      <c r="K227" s="22">
        <v>2</v>
      </c>
      <c r="L227" s="22">
        <v>0</v>
      </c>
      <c r="M227" s="388">
        <v>500.17</v>
      </c>
      <c r="N227" s="25">
        <v>0.70309999999999995</v>
      </c>
      <c r="O227" s="24">
        <v>522</v>
      </c>
      <c r="P227" s="24">
        <v>61.5</v>
      </c>
      <c r="Q227" s="24">
        <v>37.25</v>
      </c>
      <c r="R227" s="22">
        <v>24.25</v>
      </c>
      <c r="S227" s="24">
        <v>9</v>
      </c>
      <c r="T227" s="24">
        <f t="shared" si="13"/>
        <v>70.5</v>
      </c>
      <c r="U227" s="376">
        <v>351.67</v>
      </c>
      <c r="V227" s="376">
        <v>25.01</v>
      </c>
      <c r="W227" s="22">
        <f t="shared" si="14"/>
        <v>247.25917699999999</v>
      </c>
      <c r="X227" s="22">
        <f t="shared" si="15"/>
        <v>81.5</v>
      </c>
      <c r="Y227" s="22">
        <v>50.5</v>
      </c>
      <c r="Z227" s="22">
        <v>31</v>
      </c>
      <c r="AA227" s="371">
        <v>522.97</v>
      </c>
      <c r="AB227" s="22">
        <v>0.15584067919765951</v>
      </c>
      <c r="AC227" s="24">
        <v>2.0840679197659501E-2</v>
      </c>
      <c r="AD227" s="384">
        <v>-101536.48991743597</v>
      </c>
    </row>
    <row r="228" spans="1:30">
      <c r="A228" s="21" t="s">
        <v>299</v>
      </c>
      <c r="B228" s="21" t="s">
        <v>300</v>
      </c>
      <c r="C228" s="23">
        <v>188</v>
      </c>
      <c r="D228" s="147">
        <v>10.23</v>
      </c>
      <c r="E228" s="22">
        <v>50.04</v>
      </c>
      <c r="F228" s="22">
        <v>60.269999999999996</v>
      </c>
      <c r="G228" s="22">
        <v>0</v>
      </c>
      <c r="H228" s="22">
        <v>19</v>
      </c>
      <c r="I228" s="22">
        <v>0.05</v>
      </c>
      <c r="J228" s="22">
        <v>27.4</v>
      </c>
      <c r="K228" s="22">
        <v>0</v>
      </c>
      <c r="L228" s="22">
        <v>0</v>
      </c>
      <c r="M228" s="388">
        <v>684.44999999999993</v>
      </c>
      <c r="N228" s="25">
        <v>0.46189999999999998</v>
      </c>
      <c r="O228" s="24">
        <v>0</v>
      </c>
      <c r="P228" s="24">
        <v>6</v>
      </c>
      <c r="Q228" s="24">
        <v>5.75</v>
      </c>
      <c r="R228" s="22">
        <v>0.25</v>
      </c>
      <c r="S228" s="24">
        <v>4.75</v>
      </c>
      <c r="T228" s="24">
        <f t="shared" si="13"/>
        <v>10.75</v>
      </c>
      <c r="U228" s="376">
        <v>305.68</v>
      </c>
      <c r="V228" s="376">
        <v>0</v>
      </c>
      <c r="W228" s="22">
        <f t="shared" si="14"/>
        <v>141.193592</v>
      </c>
      <c r="X228" s="22">
        <f t="shared" si="15"/>
        <v>78.75</v>
      </c>
      <c r="Y228" s="22">
        <v>45.75</v>
      </c>
      <c r="Z228" s="22">
        <v>33</v>
      </c>
      <c r="AA228" s="371">
        <v>720.37</v>
      </c>
      <c r="AB228" s="22">
        <v>0.10931882227188806</v>
      </c>
      <c r="AC228" s="24">
        <v>0</v>
      </c>
      <c r="AD228" s="384">
        <v>0</v>
      </c>
    </row>
    <row r="229" spans="1:30">
      <c r="A229" s="21" t="s">
        <v>195</v>
      </c>
      <c r="B229" s="21" t="s">
        <v>196</v>
      </c>
      <c r="C229" s="23">
        <v>4618</v>
      </c>
      <c r="D229" s="147">
        <v>190.06</v>
      </c>
      <c r="E229" s="22">
        <v>1252.92</v>
      </c>
      <c r="F229" s="22">
        <v>1442.98</v>
      </c>
      <c r="G229" s="22">
        <v>0</v>
      </c>
      <c r="H229" s="22">
        <v>505</v>
      </c>
      <c r="I229" s="22">
        <v>39.92</v>
      </c>
      <c r="J229" s="22">
        <v>540.91000000000008</v>
      </c>
      <c r="K229" s="22">
        <v>12.99</v>
      </c>
      <c r="L229" s="22">
        <v>0</v>
      </c>
      <c r="M229" s="388">
        <v>15343.82</v>
      </c>
      <c r="N229" s="25">
        <v>0.53410000000000002</v>
      </c>
      <c r="O229" s="24">
        <v>7369</v>
      </c>
      <c r="P229" s="24">
        <v>3034</v>
      </c>
      <c r="Q229" s="24">
        <v>2059.25</v>
      </c>
      <c r="R229" s="22">
        <v>974.75</v>
      </c>
      <c r="S229" s="24">
        <v>459</v>
      </c>
      <c r="T229" s="24">
        <f t="shared" si="13"/>
        <v>3493</v>
      </c>
      <c r="U229" s="376">
        <v>8195.1299999999992</v>
      </c>
      <c r="V229" s="376">
        <v>767.19</v>
      </c>
      <c r="W229" s="22">
        <f t="shared" si="14"/>
        <v>4377.0189329999994</v>
      </c>
      <c r="X229" s="22">
        <f t="shared" si="15"/>
        <v>1961.75</v>
      </c>
      <c r="Y229" s="22">
        <v>1012.75</v>
      </c>
      <c r="Z229" s="22">
        <v>949</v>
      </c>
      <c r="AA229" s="371">
        <v>14860.81</v>
      </c>
      <c r="AB229" s="22">
        <v>0.13200828218650262</v>
      </c>
      <c r="AC229" s="24">
        <v>0</v>
      </c>
      <c r="AD229" s="384">
        <v>0</v>
      </c>
    </row>
    <row r="230" spans="1:30">
      <c r="A230" s="21" t="s">
        <v>109</v>
      </c>
      <c r="B230" s="21" t="s">
        <v>110</v>
      </c>
      <c r="C230" s="23">
        <v>72</v>
      </c>
      <c r="D230" s="147">
        <v>0</v>
      </c>
      <c r="E230" s="22">
        <v>12.1</v>
      </c>
      <c r="F230" s="22">
        <v>12.1</v>
      </c>
      <c r="G230" s="22">
        <v>0</v>
      </c>
      <c r="H230" s="22">
        <v>5</v>
      </c>
      <c r="I230" s="22">
        <v>0.7</v>
      </c>
      <c r="J230" s="22">
        <v>59.230000000000004</v>
      </c>
      <c r="K230" s="22">
        <v>0</v>
      </c>
      <c r="L230" s="22">
        <v>0</v>
      </c>
      <c r="M230" s="388">
        <v>359.93</v>
      </c>
      <c r="N230" s="25">
        <v>0.7147</v>
      </c>
      <c r="O230" s="24">
        <v>299</v>
      </c>
      <c r="P230" s="24">
        <v>0</v>
      </c>
      <c r="Q230" s="24">
        <v>0</v>
      </c>
      <c r="R230" s="22">
        <v>0</v>
      </c>
      <c r="S230" s="24">
        <v>0</v>
      </c>
      <c r="T230" s="24">
        <f t="shared" si="13"/>
        <v>0</v>
      </c>
      <c r="U230" s="376">
        <v>257.52999999999997</v>
      </c>
      <c r="V230" s="376">
        <v>18</v>
      </c>
      <c r="W230" s="22">
        <f t="shared" si="14"/>
        <v>184.05669099999997</v>
      </c>
      <c r="X230" s="22">
        <f t="shared" si="15"/>
        <v>60.25</v>
      </c>
      <c r="Y230" s="22">
        <v>48.25</v>
      </c>
      <c r="Z230" s="22">
        <v>12</v>
      </c>
      <c r="AA230" s="371">
        <v>364.34</v>
      </c>
      <c r="AB230" s="22">
        <v>0.1653675138606796</v>
      </c>
      <c r="AC230" s="24">
        <v>3.0367513860679596E-2</v>
      </c>
      <c r="AD230" s="384">
        <v>-104011.07611092045</v>
      </c>
    </row>
    <row r="231" spans="1:30">
      <c r="A231" s="21" t="s">
        <v>27</v>
      </c>
      <c r="B231" s="21" t="s">
        <v>28</v>
      </c>
      <c r="C231" s="23">
        <v>3760</v>
      </c>
      <c r="D231" s="147">
        <v>76.97</v>
      </c>
      <c r="E231" s="22">
        <v>667.34</v>
      </c>
      <c r="F231" s="22">
        <v>744.31000000000006</v>
      </c>
      <c r="G231" s="22">
        <v>0</v>
      </c>
      <c r="H231" s="22">
        <v>250</v>
      </c>
      <c r="I231" s="22">
        <v>19.96</v>
      </c>
      <c r="J231" s="22">
        <v>1146.56</v>
      </c>
      <c r="K231" s="22">
        <v>51.29</v>
      </c>
      <c r="L231" s="22">
        <v>0</v>
      </c>
      <c r="M231" s="388">
        <v>14325.81</v>
      </c>
      <c r="N231" s="25">
        <v>0.38919999999999999</v>
      </c>
      <c r="O231" s="24">
        <v>2483</v>
      </c>
      <c r="P231" s="24">
        <v>791.5</v>
      </c>
      <c r="Q231" s="24">
        <v>491.5</v>
      </c>
      <c r="R231" s="22">
        <v>300</v>
      </c>
      <c r="S231" s="24">
        <v>126.5</v>
      </c>
      <c r="T231" s="24">
        <f t="shared" si="13"/>
        <v>918</v>
      </c>
      <c r="U231" s="376">
        <v>5575.61</v>
      </c>
      <c r="V231" s="376">
        <v>716.29</v>
      </c>
      <c r="W231" s="22">
        <f t="shared" si="14"/>
        <v>2170.0274119999999</v>
      </c>
      <c r="X231" s="22">
        <f t="shared" si="15"/>
        <v>1602.75</v>
      </c>
      <c r="Y231" s="22">
        <v>991.75</v>
      </c>
      <c r="Z231" s="22">
        <v>611</v>
      </c>
      <c r="AA231" s="371">
        <v>13504.03</v>
      </c>
      <c r="AB231" s="22">
        <v>0.11868679201690162</v>
      </c>
      <c r="AC231" s="24">
        <v>0</v>
      </c>
      <c r="AD231" s="384">
        <v>0</v>
      </c>
    </row>
    <row r="232" spans="1:30">
      <c r="A232" s="21" t="s">
        <v>71</v>
      </c>
      <c r="B232" s="21" t="s">
        <v>72</v>
      </c>
      <c r="C232" s="23">
        <v>1235</v>
      </c>
      <c r="D232" s="147">
        <v>68.81</v>
      </c>
      <c r="E232" s="22">
        <v>197.23</v>
      </c>
      <c r="F232" s="22">
        <v>266.03999999999996</v>
      </c>
      <c r="G232" s="22">
        <v>0</v>
      </c>
      <c r="H232" s="22">
        <v>88</v>
      </c>
      <c r="I232" s="22">
        <v>0.25</v>
      </c>
      <c r="J232" s="22">
        <v>155.03</v>
      </c>
      <c r="K232" s="22">
        <v>3.4</v>
      </c>
      <c r="L232" s="22">
        <v>0</v>
      </c>
      <c r="M232" s="388">
        <v>4559.6799999999994</v>
      </c>
      <c r="N232" s="25">
        <v>0.2389</v>
      </c>
      <c r="O232" s="24">
        <v>0</v>
      </c>
      <c r="P232" s="24">
        <v>115.25</v>
      </c>
      <c r="Q232" s="24">
        <v>85.5</v>
      </c>
      <c r="R232" s="22">
        <v>29.75</v>
      </c>
      <c r="S232" s="24">
        <v>27.25</v>
      </c>
      <c r="T232" s="24">
        <f t="shared" si="13"/>
        <v>142.5</v>
      </c>
      <c r="U232" s="376">
        <v>1089.76</v>
      </c>
      <c r="V232" s="376">
        <v>227.98</v>
      </c>
      <c r="W232" s="22">
        <f t="shared" si="14"/>
        <v>260.34366399999999</v>
      </c>
      <c r="X232" s="22">
        <f t="shared" si="15"/>
        <v>394.25</v>
      </c>
      <c r="Y232" s="22">
        <v>291.25</v>
      </c>
      <c r="Z232" s="22">
        <v>103</v>
      </c>
      <c r="AA232" s="371">
        <v>3755.83</v>
      </c>
      <c r="AB232" s="22">
        <v>0.10497013975605925</v>
      </c>
      <c r="AC232" s="24">
        <v>0</v>
      </c>
      <c r="AD232" s="384">
        <v>0</v>
      </c>
    </row>
    <row r="233" spans="1:30">
      <c r="A233" s="21" t="s">
        <v>11</v>
      </c>
      <c r="B233" s="21" t="s">
        <v>12</v>
      </c>
      <c r="C233" s="23">
        <v>65</v>
      </c>
      <c r="D233" s="147">
        <v>9.07</v>
      </c>
      <c r="E233" s="22">
        <v>21.78</v>
      </c>
      <c r="F233" s="22">
        <v>30.85</v>
      </c>
      <c r="G233" s="22">
        <v>0</v>
      </c>
      <c r="H233" s="22">
        <v>1</v>
      </c>
      <c r="I233" s="22">
        <v>0</v>
      </c>
      <c r="J233" s="22">
        <v>30.200000000000003</v>
      </c>
      <c r="K233" s="22">
        <v>0</v>
      </c>
      <c r="L233" s="22">
        <v>0</v>
      </c>
      <c r="M233" s="388">
        <v>322.2</v>
      </c>
      <c r="N233" s="25">
        <v>0.46010000000000001</v>
      </c>
      <c r="O233" s="24">
        <v>169</v>
      </c>
      <c r="P233" s="24">
        <v>0</v>
      </c>
      <c r="Q233" s="24">
        <v>0</v>
      </c>
      <c r="R233" s="22">
        <v>0</v>
      </c>
      <c r="S233" s="24">
        <v>0</v>
      </c>
      <c r="T233" s="24">
        <f t="shared" si="13"/>
        <v>0</v>
      </c>
      <c r="U233" s="376">
        <v>147.76</v>
      </c>
      <c r="V233" s="376">
        <v>0</v>
      </c>
      <c r="W233" s="22">
        <f t="shared" si="14"/>
        <v>67.984375999999997</v>
      </c>
      <c r="X233" s="22">
        <f t="shared" si="15"/>
        <v>29.5</v>
      </c>
      <c r="Y233" s="22">
        <v>23.75</v>
      </c>
      <c r="Z233" s="22">
        <v>5.75</v>
      </c>
      <c r="AA233" s="371">
        <v>356.94</v>
      </c>
      <c r="AB233" s="22">
        <v>8.2646943463887484E-2</v>
      </c>
      <c r="AC233" s="24">
        <v>0</v>
      </c>
      <c r="AD233" s="384">
        <v>0</v>
      </c>
    </row>
    <row r="234" spans="1:30">
      <c r="A234" s="21" t="s">
        <v>477</v>
      </c>
      <c r="B234" s="21" t="s">
        <v>478</v>
      </c>
      <c r="C234" s="23">
        <v>360</v>
      </c>
      <c r="D234" s="147">
        <v>54.07</v>
      </c>
      <c r="E234" s="22">
        <v>115.25</v>
      </c>
      <c r="F234" s="22">
        <v>169.32</v>
      </c>
      <c r="G234" s="22">
        <v>0</v>
      </c>
      <c r="H234" s="22">
        <v>27</v>
      </c>
      <c r="I234" s="22">
        <v>3.9</v>
      </c>
      <c r="J234" s="22">
        <v>142.76</v>
      </c>
      <c r="K234" s="22">
        <v>4.8</v>
      </c>
      <c r="L234" s="22">
        <v>0</v>
      </c>
      <c r="M234" s="388">
        <v>1359.46</v>
      </c>
      <c r="N234" s="25">
        <v>0.50660000000000005</v>
      </c>
      <c r="O234" s="24">
        <v>378</v>
      </c>
      <c r="P234" s="24">
        <v>18.75</v>
      </c>
      <c r="Q234" s="24">
        <v>16.25</v>
      </c>
      <c r="R234" s="22">
        <v>2.5</v>
      </c>
      <c r="S234" s="24">
        <v>0.75</v>
      </c>
      <c r="T234" s="24">
        <f t="shared" si="13"/>
        <v>19.5</v>
      </c>
      <c r="U234" s="376">
        <v>688.7</v>
      </c>
      <c r="V234" s="376">
        <v>67.97</v>
      </c>
      <c r="W234" s="22">
        <f t="shared" si="14"/>
        <v>348.89542000000006</v>
      </c>
      <c r="X234" s="22">
        <f t="shared" si="15"/>
        <v>192.25</v>
      </c>
      <c r="Y234" s="22">
        <v>134</v>
      </c>
      <c r="Z234" s="22">
        <v>58.25</v>
      </c>
      <c r="AA234" s="371">
        <v>1453.6</v>
      </c>
      <c r="AB234" s="22">
        <v>0.1322578425976885</v>
      </c>
      <c r="AC234" s="24">
        <v>0</v>
      </c>
      <c r="AD234" s="384">
        <v>0</v>
      </c>
    </row>
    <row r="235" spans="1:30">
      <c r="A235" s="21" t="s">
        <v>203</v>
      </c>
      <c r="B235" s="21" t="s">
        <v>204</v>
      </c>
      <c r="C235" s="23">
        <v>894</v>
      </c>
      <c r="D235" s="147">
        <v>31.78</v>
      </c>
      <c r="E235" s="22">
        <v>158.94</v>
      </c>
      <c r="F235" s="22">
        <v>190.72</v>
      </c>
      <c r="G235" s="22">
        <v>0</v>
      </c>
      <c r="H235" s="22">
        <v>108</v>
      </c>
      <c r="I235" s="22">
        <v>5.53</v>
      </c>
      <c r="J235" s="22">
        <v>189.19</v>
      </c>
      <c r="K235" s="22">
        <v>0</v>
      </c>
      <c r="L235" s="22">
        <v>0</v>
      </c>
      <c r="M235" s="388">
        <v>3300.7200000000003</v>
      </c>
      <c r="N235" s="25">
        <v>0.1303</v>
      </c>
      <c r="O235" s="24">
        <v>0</v>
      </c>
      <c r="P235" s="24">
        <v>193.75</v>
      </c>
      <c r="Q235" s="24">
        <v>144</v>
      </c>
      <c r="R235" s="22">
        <v>49.75</v>
      </c>
      <c r="S235" s="24">
        <v>48.25</v>
      </c>
      <c r="T235" s="24">
        <f t="shared" si="13"/>
        <v>242</v>
      </c>
      <c r="U235" s="376">
        <v>430.08</v>
      </c>
      <c r="V235" s="376">
        <v>165.04</v>
      </c>
      <c r="W235" s="22">
        <f t="shared" si="14"/>
        <v>56.039423999999997</v>
      </c>
      <c r="X235" s="22">
        <f t="shared" si="15"/>
        <v>313.5</v>
      </c>
      <c r="Y235" s="22">
        <v>238</v>
      </c>
      <c r="Z235" s="22">
        <v>75.5</v>
      </c>
      <c r="AA235" s="371">
        <v>3036.45</v>
      </c>
      <c r="AB235" s="22">
        <v>0.10324556636862126</v>
      </c>
      <c r="AC235" s="24">
        <v>0</v>
      </c>
      <c r="AD235" s="384">
        <v>0</v>
      </c>
    </row>
    <row r="236" spans="1:30">
      <c r="A236" s="21" t="s">
        <v>519</v>
      </c>
      <c r="B236" s="21" t="s">
        <v>520</v>
      </c>
      <c r="C236" s="23">
        <v>607</v>
      </c>
      <c r="D236" s="147">
        <v>0</v>
      </c>
      <c r="E236" s="22">
        <v>109.39</v>
      </c>
      <c r="F236" s="22">
        <v>109.39</v>
      </c>
      <c r="G236" s="22">
        <v>0</v>
      </c>
      <c r="H236" s="22">
        <v>70</v>
      </c>
      <c r="I236" s="22">
        <v>5.73</v>
      </c>
      <c r="J236" s="22">
        <v>29</v>
      </c>
      <c r="K236" s="22">
        <v>8.6</v>
      </c>
      <c r="L236" s="22">
        <v>0</v>
      </c>
      <c r="M236" s="388">
        <v>2073.33</v>
      </c>
      <c r="N236" s="25">
        <v>0.51419999999999999</v>
      </c>
      <c r="O236" s="24">
        <v>1457</v>
      </c>
      <c r="P236" s="24">
        <v>203</v>
      </c>
      <c r="Q236" s="24">
        <v>140.5</v>
      </c>
      <c r="R236" s="22">
        <v>62.5</v>
      </c>
      <c r="S236" s="24">
        <v>22.5</v>
      </c>
      <c r="T236" s="24">
        <f t="shared" si="13"/>
        <v>225.5</v>
      </c>
      <c r="U236" s="376">
        <v>1066.1099999999999</v>
      </c>
      <c r="V236" s="376">
        <v>103.67</v>
      </c>
      <c r="W236" s="22">
        <f t="shared" si="14"/>
        <v>548.19376199999999</v>
      </c>
      <c r="X236" s="22">
        <f t="shared" si="15"/>
        <v>272.5</v>
      </c>
      <c r="Y236" s="22">
        <v>176.5</v>
      </c>
      <c r="Z236" s="22">
        <v>96</v>
      </c>
      <c r="AA236" s="371">
        <v>2099.4699999999998</v>
      </c>
      <c r="AB236" s="22">
        <v>0.12979466246243102</v>
      </c>
      <c r="AC236" s="24">
        <v>0</v>
      </c>
      <c r="AD236" s="384">
        <v>0</v>
      </c>
    </row>
    <row r="237" spans="1:30">
      <c r="A237" s="21" t="s">
        <v>263</v>
      </c>
      <c r="B237" s="21" t="s">
        <v>264</v>
      </c>
      <c r="C237" s="23">
        <v>12</v>
      </c>
      <c r="D237" s="147">
        <v>0</v>
      </c>
      <c r="E237" s="22">
        <v>0</v>
      </c>
      <c r="F237" s="22">
        <v>0</v>
      </c>
      <c r="G237" s="22">
        <v>0</v>
      </c>
      <c r="H237" s="22">
        <v>0</v>
      </c>
      <c r="I237" s="22">
        <v>0</v>
      </c>
      <c r="J237" s="22">
        <v>0</v>
      </c>
      <c r="K237" s="22">
        <v>0</v>
      </c>
      <c r="L237" s="22">
        <v>0</v>
      </c>
      <c r="M237" s="388">
        <v>26</v>
      </c>
      <c r="N237" s="25">
        <v>0</v>
      </c>
      <c r="O237" s="24">
        <v>0</v>
      </c>
      <c r="P237" s="24">
        <v>0</v>
      </c>
      <c r="Q237" s="24">
        <v>0</v>
      </c>
      <c r="R237" s="22">
        <v>0</v>
      </c>
      <c r="S237" s="24">
        <v>0</v>
      </c>
      <c r="T237" s="24">
        <f t="shared" si="13"/>
        <v>0</v>
      </c>
      <c r="U237" s="376">
        <v>0</v>
      </c>
      <c r="V237" s="376">
        <v>0</v>
      </c>
      <c r="W237" s="22">
        <f t="shared" si="14"/>
        <v>0</v>
      </c>
      <c r="X237" s="22">
        <f t="shared" si="15"/>
        <v>5.25</v>
      </c>
      <c r="Y237" s="22">
        <v>4.25</v>
      </c>
      <c r="Z237" s="22">
        <v>1</v>
      </c>
      <c r="AA237" s="371">
        <v>34.4</v>
      </c>
      <c r="AB237" s="22">
        <v>0.15261627906976744</v>
      </c>
      <c r="AC237" s="24">
        <v>1.7616279069767427E-2</v>
      </c>
      <c r="AD237" s="384">
        <v>-5896.5651924878466</v>
      </c>
    </row>
    <row r="238" spans="1:30">
      <c r="A238" s="21" t="s">
        <v>575</v>
      </c>
      <c r="B238" s="21" t="s">
        <v>576</v>
      </c>
      <c r="C238" s="23">
        <v>48</v>
      </c>
      <c r="D238" s="147">
        <v>2.35</v>
      </c>
      <c r="E238" s="22">
        <v>5.3</v>
      </c>
      <c r="F238" s="22">
        <v>7.65</v>
      </c>
      <c r="G238" s="22">
        <v>0</v>
      </c>
      <c r="H238" s="22">
        <v>2</v>
      </c>
      <c r="I238" s="22">
        <v>0</v>
      </c>
      <c r="J238" s="22">
        <v>0</v>
      </c>
      <c r="K238" s="22">
        <v>0</v>
      </c>
      <c r="L238" s="22">
        <v>0</v>
      </c>
      <c r="M238" s="388">
        <v>160</v>
      </c>
      <c r="N238" s="25">
        <v>0.63690000000000002</v>
      </c>
      <c r="O238" s="24">
        <v>157</v>
      </c>
      <c r="P238" s="24">
        <v>0</v>
      </c>
      <c r="Q238" s="24">
        <v>0</v>
      </c>
      <c r="R238" s="22">
        <v>0</v>
      </c>
      <c r="S238" s="24">
        <v>0</v>
      </c>
      <c r="T238" s="24">
        <f t="shared" si="13"/>
        <v>0</v>
      </c>
      <c r="U238" s="376">
        <v>101.9</v>
      </c>
      <c r="V238" s="376">
        <v>0</v>
      </c>
      <c r="W238" s="22">
        <f t="shared" si="14"/>
        <v>64.900110000000012</v>
      </c>
      <c r="X238" s="22">
        <f t="shared" si="15"/>
        <v>18.25</v>
      </c>
      <c r="Y238" s="22">
        <v>14</v>
      </c>
      <c r="Z238" s="22">
        <v>4.25</v>
      </c>
      <c r="AA238" s="371">
        <v>153.38</v>
      </c>
      <c r="AB238" s="22">
        <v>0.11898552614421698</v>
      </c>
      <c r="AC238" s="24">
        <v>0</v>
      </c>
      <c r="AD238" s="384">
        <v>0</v>
      </c>
    </row>
    <row r="239" spans="1:30">
      <c r="A239" s="21" t="s">
        <v>131</v>
      </c>
      <c r="B239" s="21" t="s">
        <v>132</v>
      </c>
      <c r="C239" s="23">
        <v>506</v>
      </c>
      <c r="D239" s="147">
        <v>29.34</v>
      </c>
      <c r="E239" s="22">
        <v>89.68</v>
      </c>
      <c r="F239" s="22">
        <v>119.02000000000001</v>
      </c>
      <c r="G239" s="22">
        <v>0</v>
      </c>
      <c r="H239" s="22">
        <v>40</v>
      </c>
      <c r="I239" s="22">
        <v>1.98</v>
      </c>
      <c r="J239" s="22">
        <v>0</v>
      </c>
      <c r="K239" s="22">
        <v>6.6</v>
      </c>
      <c r="L239" s="22">
        <v>0</v>
      </c>
      <c r="M239" s="388">
        <v>1793.58</v>
      </c>
      <c r="N239" s="25">
        <v>0.78449999999999998</v>
      </c>
      <c r="O239" s="24">
        <v>1772</v>
      </c>
      <c r="P239" s="24">
        <v>749.75</v>
      </c>
      <c r="Q239" s="24">
        <v>458.25</v>
      </c>
      <c r="R239" s="22">
        <v>291.5</v>
      </c>
      <c r="S239" s="24">
        <v>135</v>
      </c>
      <c r="T239" s="24">
        <f t="shared" si="13"/>
        <v>884.75</v>
      </c>
      <c r="U239" s="376">
        <v>1407.06</v>
      </c>
      <c r="V239" s="376">
        <v>89.68</v>
      </c>
      <c r="W239" s="22">
        <f t="shared" si="14"/>
        <v>1103.8385699999999</v>
      </c>
      <c r="X239" s="22">
        <f t="shared" si="15"/>
        <v>238.25</v>
      </c>
      <c r="Y239" s="22">
        <v>142.75</v>
      </c>
      <c r="Z239" s="22">
        <v>95.5</v>
      </c>
      <c r="AA239" s="371">
        <v>1767.14</v>
      </c>
      <c r="AB239" s="22">
        <v>0.13482236834659392</v>
      </c>
      <c r="AC239" s="24">
        <v>0</v>
      </c>
      <c r="AD239" s="384">
        <v>0</v>
      </c>
    </row>
    <row r="240" spans="1:30">
      <c r="A240" s="21" t="s">
        <v>399</v>
      </c>
      <c r="B240" s="21" t="s">
        <v>400</v>
      </c>
      <c r="C240" s="23">
        <v>195</v>
      </c>
      <c r="D240" s="147">
        <v>0</v>
      </c>
      <c r="E240" s="22">
        <v>23.73</v>
      </c>
      <c r="F240" s="22">
        <v>23.73</v>
      </c>
      <c r="G240" s="22">
        <v>0</v>
      </c>
      <c r="H240" s="22">
        <v>10</v>
      </c>
      <c r="I240" s="22">
        <v>0.62</v>
      </c>
      <c r="J240" s="22">
        <v>37.19</v>
      </c>
      <c r="K240" s="22">
        <v>4.5999999999999996</v>
      </c>
      <c r="L240" s="22">
        <v>0</v>
      </c>
      <c r="M240" s="388">
        <v>738.41</v>
      </c>
      <c r="N240" s="25">
        <v>0.4</v>
      </c>
      <c r="O240" s="24">
        <v>0</v>
      </c>
      <c r="P240" s="24">
        <v>48.5</v>
      </c>
      <c r="Q240" s="24">
        <v>30.5</v>
      </c>
      <c r="R240" s="22">
        <v>18</v>
      </c>
      <c r="S240" s="24">
        <v>12.5</v>
      </c>
      <c r="T240" s="24">
        <f t="shared" si="13"/>
        <v>61</v>
      </c>
      <c r="U240" s="376">
        <v>295.36</v>
      </c>
      <c r="V240" s="376">
        <v>36.92</v>
      </c>
      <c r="W240" s="22">
        <f t="shared" si="14"/>
        <v>118.14400000000001</v>
      </c>
      <c r="X240" s="22">
        <f t="shared" si="15"/>
        <v>137.25</v>
      </c>
      <c r="Y240" s="22">
        <v>118</v>
      </c>
      <c r="Z240" s="22">
        <v>19.25</v>
      </c>
      <c r="AA240" s="371">
        <v>777.82</v>
      </c>
      <c r="AB240" s="22">
        <v>0.17645470674449101</v>
      </c>
      <c r="AC240" s="24">
        <v>4.1454706744491004E-2</v>
      </c>
      <c r="AD240" s="384">
        <v>-327769.3617976543</v>
      </c>
    </row>
    <row r="241" spans="1:30">
      <c r="A241" s="21" t="s">
        <v>159</v>
      </c>
      <c r="B241" s="21" t="s">
        <v>160</v>
      </c>
      <c r="C241" s="23">
        <v>33</v>
      </c>
      <c r="D241" s="147">
        <v>0</v>
      </c>
      <c r="E241" s="22">
        <v>0</v>
      </c>
      <c r="F241" s="22">
        <v>0</v>
      </c>
      <c r="G241" s="22">
        <v>0</v>
      </c>
      <c r="H241" s="22">
        <v>0</v>
      </c>
      <c r="I241" s="22">
        <v>0</v>
      </c>
      <c r="J241" s="22">
        <v>0</v>
      </c>
      <c r="K241" s="22">
        <v>0</v>
      </c>
      <c r="L241" s="22">
        <v>0</v>
      </c>
      <c r="M241" s="388">
        <v>51</v>
      </c>
      <c r="N241" s="25">
        <v>0.62960000000000005</v>
      </c>
      <c r="O241" s="24">
        <v>54</v>
      </c>
      <c r="P241" s="24">
        <v>0</v>
      </c>
      <c r="Q241" s="24">
        <v>0</v>
      </c>
      <c r="R241" s="22">
        <v>0</v>
      </c>
      <c r="S241" s="24">
        <v>0</v>
      </c>
      <c r="T241" s="24">
        <f t="shared" si="13"/>
        <v>0</v>
      </c>
      <c r="U241" s="376">
        <v>32.11</v>
      </c>
      <c r="V241" s="376">
        <v>0</v>
      </c>
      <c r="W241" s="22">
        <f t="shared" si="14"/>
        <v>20.216456000000001</v>
      </c>
      <c r="X241" s="22">
        <f t="shared" si="15"/>
        <v>9.5</v>
      </c>
      <c r="Y241" s="22">
        <v>9.5</v>
      </c>
      <c r="Z241" s="22">
        <v>0</v>
      </c>
      <c r="AA241" s="371">
        <v>54</v>
      </c>
      <c r="AB241" s="22">
        <v>0.17592592592592593</v>
      </c>
      <c r="AC241" s="24">
        <v>4.0925925925925921E-2</v>
      </c>
      <c r="AD241" s="384">
        <v>-22717.926146206239</v>
      </c>
    </row>
    <row r="242" spans="1:30">
      <c r="A242" s="21" t="s">
        <v>183</v>
      </c>
      <c r="B242" s="21" t="s">
        <v>184</v>
      </c>
      <c r="C242" s="23">
        <v>18031</v>
      </c>
      <c r="D242" s="147">
        <v>172.69</v>
      </c>
      <c r="E242" s="22">
        <v>1541.82</v>
      </c>
      <c r="F242" s="22">
        <v>1714.51</v>
      </c>
      <c r="G242" s="22">
        <v>102.69</v>
      </c>
      <c r="H242" s="22">
        <v>1461</v>
      </c>
      <c r="I242" s="22">
        <v>26.6</v>
      </c>
      <c r="J242" s="22">
        <v>695.67000000000007</v>
      </c>
      <c r="K242" s="22">
        <v>63.4</v>
      </c>
      <c r="L242" s="22">
        <v>0</v>
      </c>
      <c r="M242" s="388">
        <v>53352.67</v>
      </c>
      <c r="N242" s="25">
        <v>0.40450000000000003</v>
      </c>
      <c r="O242" s="24">
        <v>14234</v>
      </c>
      <c r="P242" s="24">
        <v>6642.5</v>
      </c>
      <c r="Q242" s="24">
        <v>4369.75</v>
      </c>
      <c r="R242" s="22">
        <v>2272.75</v>
      </c>
      <c r="S242" s="24">
        <v>729.5</v>
      </c>
      <c r="T242" s="24">
        <f t="shared" si="13"/>
        <v>7372</v>
      </c>
      <c r="U242" s="376">
        <v>21581.16</v>
      </c>
      <c r="V242" s="376">
        <v>0</v>
      </c>
      <c r="W242" s="22">
        <f t="shared" si="14"/>
        <v>8729.5792199999996</v>
      </c>
      <c r="X242" s="22">
        <f t="shared" si="15"/>
        <v>6762</v>
      </c>
      <c r="Y242" s="22">
        <v>4672.5</v>
      </c>
      <c r="Z242" s="22">
        <v>2089.5</v>
      </c>
      <c r="AA242" s="371">
        <v>50600.91</v>
      </c>
      <c r="AB242" s="22">
        <v>0.13363396033786742</v>
      </c>
      <c r="AC242" s="24">
        <v>0</v>
      </c>
      <c r="AD242" s="384">
        <v>0</v>
      </c>
    </row>
    <row r="243" spans="1:30">
      <c r="A243" s="21" t="s">
        <v>405</v>
      </c>
      <c r="B243" s="21" t="s">
        <v>406</v>
      </c>
      <c r="C243" s="23">
        <v>1368</v>
      </c>
      <c r="D243" s="147">
        <v>23.22</v>
      </c>
      <c r="E243" s="22">
        <v>304.77</v>
      </c>
      <c r="F243" s="22">
        <v>327.99</v>
      </c>
      <c r="G243" s="22">
        <v>0</v>
      </c>
      <c r="H243" s="22">
        <v>39</v>
      </c>
      <c r="I243" s="22">
        <v>4.5</v>
      </c>
      <c r="J243" s="22">
        <v>169.23000000000002</v>
      </c>
      <c r="K243" s="22">
        <v>29.6</v>
      </c>
      <c r="L243" s="22">
        <v>0</v>
      </c>
      <c r="M243" s="388">
        <v>4647.33</v>
      </c>
      <c r="N243" s="25">
        <v>0.51629999999999998</v>
      </c>
      <c r="O243" s="24">
        <v>2163</v>
      </c>
      <c r="P243" s="24">
        <v>338.75</v>
      </c>
      <c r="Q243" s="24">
        <v>221</v>
      </c>
      <c r="R243" s="22">
        <v>117.75</v>
      </c>
      <c r="S243" s="24">
        <v>43.25</v>
      </c>
      <c r="T243" s="24">
        <f t="shared" si="13"/>
        <v>382</v>
      </c>
      <c r="U243" s="376">
        <v>2399.42</v>
      </c>
      <c r="V243" s="376">
        <v>232.37</v>
      </c>
      <c r="W243" s="22">
        <f t="shared" si="14"/>
        <v>1238.8205459999999</v>
      </c>
      <c r="X243" s="22">
        <f t="shared" si="15"/>
        <v>749.25</v>
      </c>
      <c r="Y243" s="22">
        <v>521.5</v>
      </c>
      <c r="Z243" s="22">
        <v>227.75</v>
      </c>
      <c r="AA243" s="371">
        <v>4341.6899999999996</v>
      </c>
      <c r="AB243" s="22">
        <v>0.17257104952219068</v>
      </c>
      <c r="AC243" s="24">
        <v>3.7571049522190675E-2</v>
      </c>
      <c r="AD243" s="384">
        <v>-1666005.7794642239</v>
      </c>
    </row>
    <row r="244" spans="1:30">
      <c r="A244" s="21" t="s">
        <v>589</v>
      </c>
      <c r="B244" s="21" t="s">
        <v>590</v>
      </c>
      <c r="C244" s="23">
        <v>1065</v>
      </c>
      <c r="D244" s="147">
        <v>22.18</v>
      </c>
      <c r="E244" s="22">
        <v>371.88</v>
      </c>
      <c r="F244" s="22">
        <v>394.06</v>
      </c>
      <c r="G244" s="22">
        <v>0</v>
      </c>
      <c r="H244" s="22">
        <v>45</v>
      </c>
      <c r="I244" s="22">
        <v>2.69</v>
      </c>
      <c r="J244" s="22">
        <v>98.5</v>
      </c>
      <c r="K244" s="22">
        <v>11.8</v>
      </c>
      <c r="L244" s="22">
        <v>0</v>
      </c>
      <c r="M244" s="388">
        <v>3698.9900000000002</v>
      </c>
      <c r="N244" s="25">
        <v>0.55589999999999995</v>
      </c>
      <c r="O244" s="24">
        <v>2472</v>
      </c>
      <c r="P244" s="24">
        <v>333.5</v>
      </c>
      <c r="Q244" s="24">
        <v>233.25</v>
      </c>
      <c r="R244" s="22">
        <v>100.25</v>
      </c>
      <c r="S244" s="24">
        <v>48</v>
      </c>
      <c r="T244" s="24">
        <f t="shared" si="13"/>
        <v>381.5</v>
      </c>
      <c r="U244" s="376">
        <v>2054.0500000000002</v>
      </c>
      <c r="V244" s="376">
        <v>184.95</v>
      </c>
      <c r="W244" s="22">
        <f t="shared" si="14"/>
        <v>1141.846395</v>
      </c>
      <c r="X244" s="22">
        <f t="shared" si="15"/>
        <v>437.5</v>
      </c>
      <c r="Y244" s="22">
        <v>373.5</v>
      </c>
      <c r="Z244" s="22">
        <v>64</v>
      </c>
      <c r="AA244" s="371">
        <v>3654.15</v>
      </c>
      <c r="AB244" s="22">
        <v>0.11972688586949085</v>
      </c>
      <c r="AC244" s="24">
        <v>0</v>
      </c>
      <c r="AD244" s="384">
        <v>0</v>
      </c>
    </row>
    <row r="245" spans="1:30">
      <c r="A245" s="21" t="s">
        <v>359</v>
      </c>
      <c r="B245" s="21" t="s">
        <v>360</v>
      </c>
      <c r="C245" s="23">
        <v>72</v>
      </c>
      <c r="D245" s="147">
        <v>5.86</v>
      </c>
      <c r="E245" s="22">
        <v>12.2</v>
      </c>
      <c r="F245" s="22">
        <v>18.059999999999999</v>
      </c>
      <c r="G245" s="22">
        <v>0</v>
      </c>
      <c r="H245" s="22">
        <v>4</v>
      </c>
      <c r="I245" s="22">
        <v>0.2</v>
      </c>
      <c r="J245" s="22">
        <v>0</v>
      </c>
      <c r="K245" s="22">
        <v>0</v>
      </c>
      <c r="L245" s="22">
        <v>0</v>
      </c>
      <c r="M245" s="388">
        <v>239.2</v>
      </c>
      <c r="N245" s="25">
        <v>0.58299999999999996</v>
      </c>
      <c r="O245" s="24">
        <v>174</v>
      </c>
      <c r="P245" s="24">
        <v>0</v>
      </c>
      <c r="Q245" s="24">
        <v>0</v>
      </c>
      <c r="R245" s="22">
        <v>0</v>
      </c>
      <c r="S245" s="24">
        <v>0</v>
      </c>
      <c r="T245" s="24">
        <f t="shared" si="13"/>
        <v>0</v>
      </c>
      <c r="U245" s="376">
        <v>139.44999999999999</v>
      </c>
      <c r="V245" s="376">
        <v>0</v>
      </c>
      <c r="W245" s="22">
        <f t="shared" si="14"/>
        <v>81.29934999999999</v>
      </c>
      <c r="X245" s="22">
        <f t="shared" si="15"/>
        <v>44.25</v>
      </c>
      <c r="Y245" s="22">
        <v>28.75</v>
      </c>
      <c r="Z245" s="22">
        <v>15.5</v>
      </c>
      <c r="AA245" s="371">
        <v>234.57</v>
      </c>
      <c r="AB245" s="22">
        <v>0.18864304898324594</v>
      </c>
      <c r="AC245" s="24">
        <v>5.3643048983245928E-2</v>
      </c>
      <c r="AD245" s="384">
        <v>-118544.73862613279</v>
      </c>
    </row>
    <row r="246" spans="1:30">
      <c r="A246" s="21" t="s">
        <v>47</v>
      </c>
      <c r="B246" s="21" t="s">
        <v>48</v>
      </c>
      <c r="C246" s="23">
        <v>697</v>
      </c>
      <c r="D246" s="147">
        <v>11.93</v>
      </c>
      <c r="E246" s="22">
        <v>212.51</v>
      </c>
      <c r="F246" s="22">
        <v>224.44</v>
      </c>
      <c r="G246" s="22">
        <v>0</v>
      </c>
      <c r="H246" s="22">
        <v>75</v>
      </c>
      <c r="I246" s="22">
        <v>7.55</v>
      </c>
      <c r="J246" s="22">
        <v>219.85</v>
      </c>
      <c r="K246" s="22">
        <v>0</v>
      </c>
      <c r="L246" s="22">
        <v>0</v>
      </c>
      <c r="M246" s="388">
        <v>2692.4</v>
      </c>
      <c r="N246" s="25">
        <v>0.44390000000000002</v>
      </c>
      <c r="O246" s="24">
        <v>0</v>
      </c>
      <c r="P246" s="24">
        <v>47.5</v>
      </c>
      <c r="Q246" s="24">
        <v>34.75</v>
      </c>
      <c r="R246" s="22">
        <v>12.75</v>
      </c>
      <c r="S246" s="24">
        <v>12</v>
      </c>
      <c r="T246" s="24">
        <f t="shared" si="13"/>
        <v>59.5</v>
      </c>
      <c r="U246" s="376">
        <v>1195.69</v>
      </c>
      <c r="V246" s="376">
        <v>134.62</v>
      </c>
      <c r="W246" s="22">
        <f t="shared" si="14"/>
        <v>530.76679100000001</v>
      </c>
      <c r="X246" s="22">
        <f t="shared" si="15"/>
        <v>394.25</v>
      </c>
      <c r="Y246" s="22">
        <v>345.25</v>
      </c>
      <c r="Z246" s="22">
        <v>49</v>
      </c>
      <c r="AA246" s="371">
        <v>2549.21</v>
      </c>
      <c r="AB246" s="22">
        <v>0.1546557560969869</v>
      </c>
      <c r="AC246" s="24">
        <v>1.9655756096986887E-2</v>
      </c>
      <c r="AD246" s="384">
        <v>-488937.47841705865</v>
      </c>
    </row>
    <row r="247" spans="1:30">
      <c r="A247" s="21" t="s">
        <v>393</v>
      </c>
      <c r="B247" s="21" t="s">
        <v>394</v>
      </c>
      <c r="C247" s="23">
        <v>5</v>
      </c>
      <c r="D247" s="147">
        <v>0</v>
      </c>
      <c r="E247" s="22">
        <v>0</v>
      </c>
      <c r="F247" s="22">
        <v>0</v>
      </c>
      <c r="G247" s="22">
        <v>0</v>
      </c>
      <c r="H247" s="22">
        <v>0</v>
      </c>
      <c r="I247" s="22">
        <v>0</v>
      </c>
      <c r="J247" s="22">
        <v>0</v>
      </c>
      <c r="K247" s="22">
        <v>0</v>
      </c>
      <c r="L247" s="22">
        <v>0</v>
      </c>
      <c r="M247" s="388">
        <v>9</v>
      </c>
      <c r="N247" s="25">
        <v>0</v>
      </c>
      <c r="O247" s="24">
        <v>0</v>
      </c>
      <c r="P247" s="24">
        <v>0</v>
      </c>
      <c r="Q247" s="24">
        <v>0</v>
      </c>
      <c r="R247" s="22">
        <v>0</v>
      </c>
      <c r="S247" s="24">
        <v>0</v>
      </c>
      <c r="T247" s="24">
        <f t="shared" si="13"/>
        <v>0</v>
      </c>
      <c r="U247" s="376">
        <v>0</v>
      </c>
      <c r="V247" s="376">
        <v>0</v>
      </c>
      <c r="W247" s="22">
        <f t="shared" si="14"/>
        <v>0</v>
      </c>
      <c r="X247" s="22">
        <f t="shared" si="15"/>
        <v>0</v>
      </c>
      <c r="Y247" s="22">
        <v>0</v>
      </c>
      <c r="Z247" s="22">
        <v>0</v>
      </c>
      <c r="AA247" s="371">
        <v>9.8000000000000007</v>
      </c>
      <c r="AB247" s="22">
        <v>0</v>
      </c>
      <c r="AC247" s="24">
        <v>0</v>
      </c>
      <c r="AD247" s="384">
        <v>0</v>
      </c>
    </row>
    <row r="248" spans="1:30">
      <c r="A248" s="21" t="s">
        <v>317</v>
      </c>
      <c r="B248" s="21" t="s">
        <v>318</v>
      </c>
      <c r="C248" s="23">
        <v>1078</v>
      </c>
      <c r="D248" s="147">
        <v>113.39</v>
      </c>
      <c r="E248" s="22">
        <v>674.94</v>
      </c>
      <c r="F248" s="22">
        <v>788.33</v>
      </c>
      <c r="G248" s="22">
        <v>0</v>
      </c>
      <c r="H248" s="22">
        <v>70</v>
      </c>
      <c r="I248" s="22">
        <v>4.6900000000000004</v>
      </c>
      <c r="J248" s="22">
        <v>151.6</v>
      </c>
      <c r="K248" s="22">
        <v>42</v>
      </c>
      <c r="L248" s="22">
        <v>0</v>
      </c>
      <c r="M248" s="388">
        <v>4306.29</v>
      </c>
      <c r="N248" s="25">
        <v>0.6734</v>
      </c>
      <c r="O248" s="24">
        <v>4307</v>
      </c>
      <c r="P248" s="24">
        <v>909.25</v>
      </c>
      <c r="Q248" s="24">
        <v>594.25</v>
      </c>
      <c r="R248" s="22">
        <v>315</v>
      </c>
      <c r="S248" s="24">
        <v>46.75</v>
      </c>
      <c r="T248" s="24">
        <f t="shared" si="13"/>
        <v>956</v>
      </c>
      <c r="U248" s="376">
        <v>2899.86</v>
      </c>
      <c r="V248" s="376">
        <v>215.31</v>
      </c>
      <c r="W248" s="22">
        <f t="shared" si="14"/>
        <v>1952.7657240000001</v>
      </c>
      <c r="X248" s="22">
        <f t="shared" si="15"/>
        <v>554.75</v>
      </c>
      <c r="Y248" s="22">
        <v>424.5</v>
      </c>
      <c r="Z248" s="22">
        <v>130.25</v>
      </c>
      <c r="AA248" s="371">
        <v>4294.49</v>
      </c>
      <c r="AB248" s="22">
        <v>0.1291771549124576</v>
      </c>
      <c r="AC248" s="24">
        <v>0</v>
      </c>
      <c r="AD248" s="384">
        <v>0</v>
      </c>
    </row>
    <row r="249" spans="1:30">
      <c r="A249" s="21" t="s">
        <v>213</v>
      </c>
      <c r="B249" s="21" t="s">
        <v>214</v>
      </c>
      <c r="C249" s="23">
        <v>2680</v>
      </c>
      <c r="D249" s="147">
        <v>34.69</v>
      </c>
      <c r="E249" s="22">
        <v>407.12</v>
      </c>
      <c r="F249" s="22">
        <v>441.81</v>
      </c>
      <c r="G249" s="22">
        <v>0</v>
      </c>
      <c r="H249" s="22">
        <v>273</v>
      </c>
      <c r="I249" s="22">
        <v>7.61</v>
      </c>
      <c r="J249" s="22">
        <v>113.21</v>
      </c>
      <c r="K249" s="22">
        <v>0</v>
      </c>
      <c r="L249" s="22">
        <v>0</v>
      </c>
      <c r="M249" s="388">
        <v>9731.82</v>
      </c>
      <c r="N249" s="25">
        <v>0.2676</v>
      </c>
      <c r="O249" s="24">
        <v>0</v>
      </c>
      <c r="P249" s="24">
        <v>838.5</v>
      </c>
      <c r="Q249" s="24">
        <v>599.5</v>
      </c>
      <c r="R249" s="22">
        <v>239</v>
      </c>
      <c r="S249" s="24">
        <v>201</v>
      </c>
      <c r="T249" s="24">
        <f t="shared" si="13"/>
        <v>1039.5</v>
      </c>
      <c r="U249" s="376">
        <v>2604.2399999999998</v>
      </c>
      <c r="V249" s="376">
        <v>486.59</v>
      </c>
      <c r="W249" s="22">
        <f t="shared" si="14"/>
        <v>696.89462399999991</v>
      </c>
      <c r="X249" s="22">
        <f t="shared" si="15"/>
        <v>1033.5</v>
      </c>
      <c r="Y249" s="22">
        <v>713</v>
      </c>
      <c r="Z249" s="22">
        <v>320.5</v>
      </c>
      <c r="AA249" s="371">
        <v>9103.58</v>
      </c>
      <c r="AB249" s="22">
        <v>0.11352676639300144</v>
      </c>
      <c r="AC249" s="24">
        <v>0</v>
      </c>
      <c r="AD249" s="384">
        <v>0</v>
      </c>
    </row>
    <row r="250" spans="1:30">
      <c r="A250" s="21" t="s">
        <v>415</v>
      </c>
      <c r="B250" s="21" t="s">
        <v>416</v>
      </c>
      <c r="C250" s="23">
        <v>35</v>
      </c>
      <c r="D250" s="147">
        <v>0</v>
      </c>
      <c r="E250" s="22">
        <v>0</v>
      </c>
      <c r="F250" s="22">
        <v>0</v>
      </c>
      <c r="G250" s="22">
        <v>0</v>
      </c>
      <c r="H250" s="22">
        <v>0</v>
      </c>
      <c r="I250" s="22">
        <v>0</v>
      </c>
      <c r="J250" s="22">
        <v>0</v>
      </c>
      <c r="K250" s="22">
        <v>0</v>
      </c>
      <c r="L250" s="22">
        <v>0</v>
      </c>
      <c r="M250" s="388">
        <v>69</v>
      </c>
      <c r="N250" s="25">
        <v>0.66269999999999996</v>
      </c>
      <c r="O250" s="24">
        <v>70</v>
      </c>
      <c r="P250" s="24">
        <v>0</v>
      </c>
      <c r="Q250" s="24">
        <v>0</v>
      </c>
      <c r="R250" s="22">
        <v>0</v>
      </c>
      <c r="S250" s="24">
        <v>0</v>
      </c>
      <c r="T250" s="24">
        <f t="shared" si="13"/>
        <v>0</v>
      </c>
      <c r="U250" s="376">
        <v>45.73</v>
      </c>
      <c r="V250" s="376">
        <v>0</v>
      </c>
      <c r="W250" s="22">
        <f t="shared" si="14"/>
        <v>30.305270999999998</v>
      </c>
      <c r="X250" s="22">
        <f t="shared" si="15"/>
        <v>9</v>
      </c>
      <c r="Y250" s="22">
        <v>9</v>
      </c>
      <c r="Z250" s="22">
        <v>0</v>
      </c>
      <c r="AA250" s="371">
        <v>65.2</v>
      </c>
      <c r="AB250" s="22">
        <v>0.1380368098159509</v>
      </c>
      <c r="AC250" s="24">
        <v>3.0368098159508916E-3</v>
      </c>
      <c r="AD250" s="384">
        <v>-1956.8557781713312</v>
      </c>
    </row>
    <row r="251" spans="1:30">
      <c r="A251" s="21" t="s">
        <v>197</v>
      </c>
      <c r="B251" s="21" t="s">
        <v>198</v>
      </c>
      <c r="C251" s="23">
        <v>9</v>
      </c>
      <c r="D251" s="147">
        <v>0</v>
      </c>
      <c r="E251" s="22">
        <v>0</v>
      </c>
      <c r="F251" s="22">
        <v>0</v>
      </c>
      <c r="G251" s="22">
        <v>0</v>
      </c>
      <c r="H251" s="22">
        <v>0</v>
      </c>
      <c r="I251" s="22">
        <v>0</v>
      </c>
      <c r="J251" s="22">
        <v>0</v>
      </c>
      <c r="K251" s="22">
        <v>0</v>
      </c>
      <c r="L251" s="22">
        <v>0</v>
      </c>
      <c r="M251" s="388">
        <v>42</v>
      </c>
      <c r="N251" s="25">
        <v>0.87760000000000005</v>
      </c>
      <c r="O251" s="24">
        <v>38</v>
      </c>
      <c r="P251" s="24">
        <v>1</v>
      </c>
      <c r="Q251" s="24">
        <v>1</v>
      </c>
      <c r="R251" s="22">
        <v>0</v>
      </c>
      <c r="S251" s="24">
        <v>0</v>
      </c>
      <c r="T251" s="24">
        <f t="shared" si="13"/>
        <v>1</v>
      </c>
      <c r="U251" s="376">
        <v>36.86</v>
      </c>
      <c r="V251" s="376">
        <v>0</v>
      </c>
      <c r="W251" s="22">
        <f t="shared" si="14"/>
        <v>32.348336000000003</v>
      </c>
      <c r="X251" s="22">
        <f t="shared" si="15"/>
        <v>12.5</v>
      </c>
      <c r="Y251" s="22">
        <v>12.5</v>
      </c>
      <c r="Z251" s="22">
        <v>0</v>
      </c>
      <c r="AA251" s="371">
        <v>36.19</v>
      </c>
      <c r="AB251" s="22">
        <v>0.34539928156949434</v>
      </c>
      <c r="AC251" s="24">
        <v>0.21039928156949433</v>
      </c>
      <c r="AD251" s="384">
        <v>-79114.324566345473</v>
      </c>
    </row>
    <row r="252" spans="1:30">
      <c r="A252" s="21" t="s">
        <v>439</v>
      </c>
      <c r="B252" s="21" t="s">
        <v>440</v>
      </c>
      <c r="C252" s="23">
        <v>2405</v>
      </c>
      <c r="D252" s="147">
        <v>126.33</v>
      </c>
      <c r="E252" s="22">
        <v>411.38</v>
      </c>
      <c r="F252" s="22">
        <v>537.71</v>
      </c>
      <c r="G252" s="22">
        <v>0</v>
      </c>
      <c r="H252" s="22">
        <v>261</v>
      </c>
      <c r="I252" s="22">
        <v>13.25</v>
      </c>
      <c r="J252" s="22">
        <v>212.76</v>
      </c>
      <c r="K252" s="22">
        <v>0</v>
      </c>
      <c r="L252" s="22">
        <v>0</v>
      </c>
      <c r="M252" s="388">
        <v>9152.01</v>
      </c>
      <c r="N252" s="25">
        <v>0.19320000000000001</v>
      </c>
      <c r="O252" s="24">
        <v>0</v>
      </c>
      <c r="P252" s="24">
        <v>363.75</v>
      </c>
      <c r="Q252" s="24">
        <v>260.75</v>
      </c>
      <c r="R252" s="22">
        <v>103</v>
      </c>
      <c r="S252" s="24">
        <v>150.75</v>
      </c>
      <c r="T252" s="24">
        <f t="shared" si="13"/>
        <v>514.5</v>
      </c>
      <c r="U252" s="376">
        <v>1769.08</v>
      </c>
      <c r="V252" s="376">
        <v>457.6</v>
      </c>
      <c r="W252" s="22">
        <f t="shared" si="14"/>
        <v>341.78625599999998</v>
      </c>
      <c r="X252" s="22">
        <f t="shared" si="15"/>
        <v>1112.25</v>
      </c>
      <c r="Y252" s="22">
        <v>680.25</v>
      </c>
      <c r="Z252" s="22">
        <v>432</v>
      </c>
      <c r="AA252" s="371">
        <v>9338.4500000000007</v>
      </c>
      <c r="AB252" s="22">
        <v>0.11910434815199523</v>
      </c>
      <c r="AC252" s="24">
        <v>0</v>
      </c>
      <c r="AD252" s="384">
        <v>0</v>
      </c>
    </row>
    <row r="253" spans="1:30">
      <c r="A253" s="21" t="s">
        <v>209</v>
      </c>
      <c r="B253" s="21" t="s">
        <v>210</v>
      </c>
      <c r="C253" s="23">
        <v>2150</v>
      </c>
      <c r="D253" s="147">
        <v>71.22</v>
      </c>
      <c r="E253" s="22">
        <v>378.43</v>
      </c>
      <c r="F253" s="22">
        <v>449.65</v>
      </c>
      <c r="G253" s="22">
        <v>0</v>
      </c>
      <c r="H253" s="22">
        <v>285</v>
      </c>
      <c r="I253" s="22">
        <v>21.38</v>
      </c>
      <c r="J253" s="22">
        <v>250.78</v>
      </c>
      <c r="K253" s="22">
        <v>16.399999999999999</v>
      </c>
      <c r="L253" s="22">
        <v>0</v>
      </c>
      <c r="M253" s="388">
        <v>7343.5599999999995</v>
      </c>
      <c r="N253" s="25">
        <v>0.10589999999999999</v>
      </c>
      <c r="O253" s="24">
        <v>0</v>
      </c>
      <c r="P253" s="24">
        <v>255</v>
      </c>
      <c r="Q253" s="24">
        <v>185.75</v>
      </c>
      <c r="R253" s="22">
        <v>69.25</v>
      </c>
      <c r="S253" s="24">
        <v>99.5</v>
      </c>
      <c r="T253" s="24">
        <f t="shared" si="13"/>
        <v>354.5</v>
      </c>
      <c r="U253" s="376">
        <v>778.42</v>
      </c>
      <c r="V253" s="376">
        <v>367.18</v>
      </c>
      <c r="W253" s="22">
        <f t="shared" si="14"/>
        <v>82.434677999999991</v>
      </c>
      <c r="X253" s="22">
        <f t="shared" si="15"/>
        <v>660.25</v>
      </c>
      <c r="Y253" s="22">
        <v>424.5</v>
      </c>
      <c r="Z253" s="22">
        <v>235.75</v>
      </c>
      <c r="AA253" s="371">
        <v>7136.8</v>
      </c>
      <c r="AB253" s="22">
        <v>9.2513451406792957E-2</v>
      </c>
      <c r="AC253" s="24">
        <v>0</v>
      </c>
      <c r="AD253" s="384">
        <v>0</v>
      </c>
    </row>
    <row r="254" spans="1:30">
      <c r="A254" s="21" t="s">
        <v>129</v>
      </c>
      <c r="B254" s="21" t="s">
        <v>130</v>
      </c>
      <c r="C254" s="23">
        <v>151</v>
      </c>
      <c r="D254" s="147">
        <v>1.1399999999999999</v>
      </c>
      <c r="E254" s="22">
        <v>26.59</v>
      </c>
      <c r="F254" s="22">
        <v>27.73</v>
      </c>
      <c r="G254" s="22">
        <v>0</v>
      </c>
      <c r="H254" s="22">
        <v>18</v>
      </c>
      <c r="I254" s="22">
        <v>1.35</v>
      </c>
      <c r="J254" s="22">
        <v>25.42</v>
      </c>
      <c r="K254" s="22">
        <v>0</v>
      </c>
      <c r="L254" s="22">
        <v>0</v>
      </c>
      <c r="M254" s="388">
        <v>537.77</v>
      </c>
      <c r="N254" s="25">
        <v>0.79569999999999996</v>
      </c>
      <c r="O254" s="24">
        <v>553</v>
      </c>
      <c r="P254" s="24">
        <v>92.5</v>
      </c>
      <c r="Q254" s="24">
        <v>54.75</v>
      </c>
      <c r="R254" s="22">
        <v>37.75</v>
      </c>
      <c r="S254" s="24">
        <v>28</v>
      </c>
      <c r="T254" s="24">
        <f t="shared" si="13"/>
        <v>120.5</v>
      </c>
      <c r="U254" s="376">
        <v>427.9</v>
      </c>
      <c r="V254" s="376">
        <v>26.89</v>
      </c>
      <c r="W254" s="22">
        <f t="shared" si="14"/>
        <v>340.48002999999994</v>
      </c>
      <c r="X254" s="22">
        <f t="shared" si="15"/>
        <v>105</v>
      </c>
      <c r="Y254" s="22">
        <v>90</v>
      </c>
      <c r="Z254" s="22">
        <v>15</v>
      </c>
      <c r="AA254" s="371">
        <v>556.11</v>
      </c>
      <c r="AB254" s="22">
        <v>0.18881156605707503</v>
      </c>
      <c r="AC254" s="24">
        <v>5.3811566057075017E-2</v>
      </c>
      <c r="AD254" s="384">
        <v>-281311.22790581023</v>
      </c>
    </row>
    <row r="255" spans="1:30">
      <c r="A255" s="21" t="s">
        <v>347</v>
      </c>
      <c r="B255" s="21" t="s">
        <v>348</v>
      </c>
      <c r="C255" s="23">
        <v>146</v>
      </c>
      <c r="D255" s="147">
        <v>5.98</v>
      </c>
      <c r="E255" s="22">
        <v>36.42</v>
      </c>
      <c r="F255" s="22">
        <v>42.400000000000006</v>
      </c>
      <c r="G255" s="22">
        <v>0</v>
      </c>
      <c r="H255" s="22">
        <v>10</v>
      </c>
      <c r="I255" s="22">
        <v>0.17</v>
      </c>
      <c r="J255" s="22">
        <v>34.730000000000004</v>
      </c>
      <c r="K255" s="22">
        <v>0</v>
      </c>
      <c r="L255" s="22">
        <v>0</v>
      </c>
      <c r="M255" s="388">
        <v>525.9</v>
      </c>
      <c r="N255" s="25">
        <v>0.70199999999999996</v>
      </c>
      <c r="O255" s="24">
        <v>522</v>
      </c>
      <c r="P255" s="24">
        <v>87.25</v>
      </c>
      <c r="Q255" s="24">
        <v>51.5</v>
      </c>
      <c r="R255" s="22">
        <v>35.75</v>
      </c>
      <c r="S255" s="24">
        <v>9.25</v>
      </c>
      <c r="T255" s="24">
        <f t="shared" si="13"/>
        <v>96.5</v>
      </c>
      <c r="U255" s="376">
        <v>369.55</v>
      </c>
      <c r="V255" s="376">
        <v>0</v>
      </c>
      <c r="W255" s="22">
        <f t="shared" si="14"/>
        <v>259.42410000000001</v>
      </c>
      <c r="X255" s="22">
        <f t="shared" si="15"/>
        <v>75.25</v>
      </c>
      <c r="Y255" s="22">
        <v>26</v>
      </c>
      <c r="Z255" s="22">
        <v>49.25</v>
      </c>
      <c r="AA255" s="371">
        <v>552.07000000000005</v>
      </c>
      <c r="AB255" s="22">
        <v>0.136305178691108</v>
      </c>
      <c r="AC255" s="24">
        <v>1.3051786911079943E-3</v>
      </c>
      <c r="AD255" s="384">
        <v>-6725.7076553733314</v>
      </c>
    </row>
    <row r="256" spans="1:30">
      <c r="A256" s="21" t="s">
        <v>235</v>
      </c>
      <c r="B256" s="21" t="s">
        <v>236</v>
      </c>
      <c r="C256" s="23">
        <v>2938</v>
      </c>
      <c r="D256" s="147">
        <v>253.12</v>
      </c>
      <c r="E256" s="22">
        <v>627.89</v>
      </c>
      <c r="F256" s="22">
        <v>881.01</v>
      </c>
      <c r="G256" s="22">
        <v>0</v>
      </c>
      <c r="H256" s="22">
        <v>252</v>
      </c>
      <c r="I256" s="22">
        <v>9.8800000000000008</v>
      </c>
      <c r="J256" s="22">
        <v>1336.1599999999999</v>
      </c>
      <c r="K256" s="22">
        <v>0</v>
      </c>
      <c r="L256" s="22">
        <v>0</v>
      </c>
      <c r="M256" s="388">
        <v>10630.039999999999</v>
      </c>
      <c r="N256" s="25">
        <v>0.37280000000000002</v>
      </c>
      <c r="O256" s="24">
        <v>630</v>
      </c>
      <c r="P256" s="24">
        <v>238.75</v>
      </c>
      <c r="Q256" s="24">
        <v>147.75</v>
      </c>
      <c r="R256" s="22">
        <v>91</v>
      </c>
      <c r="S256" s="24">
        <v>34</v>
      </c>
      <c r="T256" s="24">
        <f t="shared" si="13"/>
        <v>272.75</v>
      </c>
      <c r="U256" s="376">
        <v>3962.88</v>
      </c>
      <c r="V256" s="376">
        <v>531.5</v>
      </c>
      <c r="W256" s="22">
        <f t="shared" si="14"/>
        <v>1477.361664</v>
      </c>
      <c r="X256" s="22">
        <f t="shared" si="15"/>
        <v>1394</v>
      </c>
      <c r="Y256" s="22">
        <v>868</v>
      </c>
      <c r="Z256" s="22">
        <v>526</v>
      </c>
      <c r="AA256" s="371">
        <v>9722.91</v>
      </c>
      <c r="AB256" s="22">
        <v>0.14337271454739373</v>
      </c>
      <c r="AC256" s="24">
        <v>8.372714547393717E-3</v>
      </c>
      <c r="AD256" s="384">
        <v>-861121.12462256895</v>
      </c>
    </row>
    <row r="257" spans="1:30">
      <c r="A257" s="21" t="s">
        <v>171</v>
      </c>
      <c r="B257" s="21" t="s">
        <v>172</v>
      </c>
      <c r="C257" s="23">
        <v>255</v>
      </c>
      <c r="D257" s="147">
        <v>0</v>
      </c>
      <c r="E257" s="22">
        <v>59.42</v>
      </c>
      <c r="F257" s="22">
        <v>59.42</v>
      </c>
      <c r="G257" s="22">
        <v>0</v>
      </c>
      <c r="H257" s="22">
        <v>36</v>
      </c>
      <c r="I257" s="22">
        <v>1.92</v>
      </c>
      <c r="J257" s="22">
        <v>74.14</v>
      </c>
      <c r="K257" s="22">
        <v>0</v>
      </c>
      <c r="L257" s="22">
        <v>0</v>
      </c>
      <c r="M257" s="388">
        <v>1047.06</v>
      </c>
      <c r="N257" s="25">
        <v>0.29339999999999999</v>
      </c>
      <c r="O257" s="24">
        <v>44</v>
      </c>
      <c r="P257" s="24">
        <v>3.25</v>
      </c>
      <c r="Q257" s="24">
        <v>2.5</v>
      </c>
      <c r="R257" s="22">
        <v>0.75</v>
      </c>
      <c r="S257" s="24">
        <v>3</v>
      </c>
      <c r="T257" s="24">
        <f t="shared" si="13"/>
        <v>6.25</v>
      </c>
      <c r="U257" s="376">
        <v>307.20999999999998</v>
      </c>
      <c r="V257" s="376">
        <v>52.35</v>
      </c>
      <c r="W257" s="22">
        <f t="shared" si="14"/>
        <v>90.135413999999997</v>
      </c>
      <c r="X257" s="22">
        <f t="shared" si="15"/>
        <v>176</v>
      </c>
      <c r="Y257" s="22">
        <v>119.5</v>
      </c>
      <c r="Z257" s="22">
        <v>56.5</v>
      </c>
      <c r="AA257" s="371">
        <v>1196.56</v>
      </c>
      <c r="AB257" s="22">
        <v>0.14708831985023735</v>
      </c>
      <c r="AC257" s="24">
        <v>1.2088319850237339E-2</v>
      </c>
      <c r="AD257" s="384">
        <v>-154497.36954919589</v>
      </c>
    </row>
    <row r="258" spans="1:30">
      <c r="A258" s="21" t="s">
        <v>313</v>
      </c>
      <c r="B258" s="21" t="s">
        <v>314</v>
      </c>
      <c r="C258" s="23">
        <v>97</v>
      </c>
      <c r="D258" s="147">
        <v>0</v>
      </c>
      <c r="E258" s="22">
        <v>0</v>
      </c>
      <c r="F258" s="22">
        <v>0</v>
      </c>
      <c r="G258" s="22">
        <v>0</v>
      </c>
      <c r="H258" s="22">
        <v>0</v>
      </c>
      <c r="I258" s="22">
        <v>0</v>
      </c>
      <c r="J258" s="22">
        <v>0</v>
      </c>
      <c r="K258" s="22">
        <v>0</v>
      </c>
      <c r="L258" s="22">
        <v>0</v>
      </c>
      <c r="M258" s="388">
        <v>196</v>
      </c>
      <c r="N258" s="25">
        <v>0.44290000000000002</v>
      </c>
      <c r="O258" s="24">
        <v>0</v>
      </c>
      <c r="P258" s="24">
        <v>0</v>
      </c>
      <c r="Q258" s="24">
        <v>0</v>
      </c>
      <c r="R258" s="22">
        <v>0</v>
      </c>
      <c r="S258" s="24">
        <v>0</v>
      </c>
      <c r="T258" s="24">
        <f t="shared" si="13"/>
        <v>0</v>
      </c>
      <c r="U258" s="376">
        <v>86.81</v>
      </c>
      <c r="V258" s="376">
        <v>9.8000000000000007</v>
      </c>
      <c r="W258" s="22">
        <f t="shared" si="14"/>
        <v>38.448149000000001</v>
      </c>
      <c r="X258" s="22">
        <f t="shared" si="15"/>
        <v>31.75</v>
      </c>
      <c r="Y258" s="22">
        <v>24.25</v>
      </c>
      <c r="Z258" s="22">
        <v>7.5</v>
      </c>
      <c r="AA258" s="371">
        <v>199.8</v>
      </c>
      <c r="AB258" s="22">
        <v>0.15890890890890891</v>
      </c>
      <c r="AC258" s="24">
        <v>2.3908908908908899E-2</v>
      </c>
      <c r="AD258" s="384">
        <v>-46908.116678897095</v>
      </c>
    </row>
    <row r="259" spans="1:30">
      <c r="A259" s="21" t="s">
        <v>479</v>
      </c>
      <c r="B259" s="21" t="s">
        <v>480</v>
      </c>
      <c r="C259" s="23">
        <v>376</v>
      </c>
      <c r="D259" s="147">
        <v>0</v>
      </c>
      <c r="E259" s="22">
        <v>0</v>
      </c>
      <c r="F259" s="22">
        <v>0</v>
      </c>
      <c r="G259" s="22">
        <v>0</v>
      </c>
      <c r="H259" s="22">
        <v>70</v>
      </c>
      <c r="I259" s="22">
        <v>0</v>
      </c>
      <c r="J259" s="22">
        <v>0</v>
      </c>
      <c r="K259" s="22">
        <v>0</v>
      </c>
      <c r="L259" s="22">
        <v>0</v>
      </c>
      <c r="M259" s="388">
        <v>984</v>
      </c>
      <c r="N259" s="25">
        <v>0.50660000000000005</v>
      </c>
      <c r="O259" s="24">
        <v>0</v>
      </c>
      <c r="P259" s="24">
        <v>16.75</v>
      </c>
      <c r="Q259" s="24">
        <v>15.5</v>
      </c>
      <c r="R259" s="22">
        <v>1.25</v>
      </c>
      <c r="S259" s="24">
        <v>2</v>
      </c>
      <c r="T259" s="24">
        <f t="shared" si="13"/>
        <v>18.75</v>
      </c>
      <c r="U259" s="376">
        <v>443.78</v>
      </c>
      <c r="V259" s="376">
        <v>49.2</v>
      </c>
      <c r="W259" s="22">
        <f t="shared" si="14"/>
        <v>224.81894800000001</v>
      </c>
      <c r="X259" s="22">
        <f t="shared" si="15"/>
        <v>79.5</v>
      </c>
      <c r="Y259" s="22">
        <v>77</v>
      </c>
      <c r="Z259" s="22">
        <v>2.5</v>
      </c>
      <c r="AA259" s="371">
        <v>678.2</v>
      </c>
      <c r="AB259" s="22">
        <v>0.11722205838985549</v>
      </c>
      <c r="AC259" s="24">
        <v>0</v>
      </c>
      <c r="AD259" s="384">
        <v>0</v>
      </c>
    </row>
    <row r="260" spans="1:30">
      <c r="A260" s="21" t="s">
        <v>451</v>
      </c>
      <c r="B260" s="21" t="s">
        <v>452</v>
      </c>
      <c r="C260" s="23">
        <v>9899</v>
      </c>
      <c r="D260" s="147">
        <v>264.67</v>
      </c>
      <c r="E260" s="22">
        <v>1256.5999999999999</v>
      </c>
      <c r="F260" s="22">
        <v>1521.27</v>
      </c>
      <c r="G260" s="22">
        <v>388.81</v>
      </c>
      <c r="H260" s="22">
        <v>460</v>
      </c>
      <c r="I260" s="22">
        <v>13.65</v>
      </c>
      <c r="J260" s="22">
        <v>1322.87</v>
      </c>
      <c r="K260" s="22">
        <v>84.36</v>
      </c>
      <c r="L260" s="22">
        <v>0.61</v>
      </c>
      <c r="M260" s="388">
        <v>30276.49</v>
      </c>
      <c r="N260" s="25">
        <v>0.59830000000000005</v>
      </c>
      <c r="O260" s="24">
        <v>18111</v>
      </c>
      <c r="P260" s="24">
        <v>1736</v>
      </c>
      <c r="Q260" s="24">
        <v>1104</v>
      </c>
      <c r="R260" s="22">
        <v>632</v>
      </c>
      <c r="S260" s="24">
        <v>313.25</v>
      </c>
      <c r="T260" s="24">
        <f t="shared" si="13"/>
        <v>2049.25</v>
      </c>
      <c r="U260" s="376">
        <v>18114.419999999998</v>
      </c>
      <c r="V260" s="376">
        <v>0</v>
      </c>
      <c r="W260" s="22">
        <f t="shared" si="14"/>
        <v>10837.857486000001</v>
      </c>
      <c r="X260" s="22">
        <f t="shared" si="15"/>
        <v>4414.25</v>
      </c>
      <c r="Y260" s="22">
        <v>2939.5</v>
      </c>
      <c r="Z260" s="22">
        <v>1474.75</v>
      </c>
      <c r="AA260" s="371">
        <v>28158.11</v>
      </c>
      <c r="AB260" s="22">
        <v>0.15676655855098229</v>
      </c>
      <c r="AC260" s="24">
        <v>2.1766558550982279E-2</v>
      </c>
      <c r="AD260" s="384">
        <v>-5938363.7837159308</v>
      </c>
    </row>
    <row r="261" spans="1:30">
      <c r="A261" s="21" t="s">
        <v>297</v>
      </c>
      <c r="B261" s="21" t="s">
        <v>298</v>
      </c>
      <c r="C261" s="23">
        <v>20</v>
      </c>
      <c r="D261" s="147">
        <v>0</v>
      </c>
      <c r="E261" s="22">
        <v>8.51</v>
      </c>
      <c r="F261" s="22">
        <v>8.51</v>
      </c>
      <c r="G261" s="22">
        <v>0</v>
      </c>
      <c r="H261" s="22">
        <v>0</v>
      </c>
      <c r="I261" s="22">
        <v>0</v>
      </c>
      <c r="J261" s="22">
        <v>0</v>
      </c>
      <c r="K261" s="22">
        <v>0</v>
      </c>
      <c r="L261" s="22">
        <v>0</v>
      </c>
      <c r="M261" s="388">
        <v>66</v>
      </c>
      <c r="N261" s="25">
        <v>0.56410000000000005</v>
      </c>
      <c r="O261" s="24">
        <v>35</v>
      </c>
      <c r="P261" s="24">
        <v>0</v>
      </c>
      <c r="Q261" s="24">
        <v>0</v>
      </c>
      <c r="R261" s="22">
        <v>0</v>
      </c>
      <c r="S261" s="24">
        <v>0</v>
      </c>
      <c r="T261" s="24">
        <f t="shared" si="13"/>
        <v>0</v>
      </c>
      <c r="U261" s="376">
        <v>37.229999999999997</v>
      </c>
      <c r="V261" s="376">
        <v>3.3</v>
      </c>
      <c r="W261" s="22">
        <f t="shared" si="14"/>
        <v>21.001442999999998</v>
      </c>
      <c r="X261" s="22">
        <f t="shared" si="15"/>
        <v>13.5</v>
      </c>
      <c r="Y261" s="22">
        <v>12</v>
      </c>
      <c r="Z261" s="22">
        <v>1.5</v>
      </c>
      <c r="AA261" s="371">
        <v>71.599999999999994</v>
      </c>
      <c r="AB261" s="22">
        <v>0.18854748603351956</v>
      </c>
      <c r="AC261" s="24">
        <v>5.3547486033519553E-2</v>
      </c>
      <c r="AD261" s="384">
        <v>-36654.253662662173</v>
      </c>
    </row>
    <row r="262" spans="1:30">
      <c r="A262" s="21" t="s">
        <v>577</v>
      </c>
      <c r="B262" s="21" t="s">
        <v>578</v>
      </c>
      <c r="C262" s="23">
        <v>43</v>
      </c>
      <c r="D262" s="147">
        <v>0</v>
      </c>
      <c r="E262" s="22">
        <v>5.54</v>
      </c>
      <c r="F262" s="22">
        <v>5.54</v>
      </c>
      <c r="G262" s="22">
        <v>0</v>
      </c>
      <c r="H262" s="22">
        <v>8</v>
      </c>
      <c r="I262" s="22">
        <v>0</v>
      </c>
      <c r="J262" s="22">
        <v>0</v>
      </c>
      <c r="K262" s="22">
        <v>0</v>
      </c>
      <c r="L262" s="22">
        <v>0</v>
      </c>
      <c r="M262" s="388">
        <v>141</v>
      </c>
      <c r="N262" s="25">
        <v>0.4919</v>
      </c>
      <c r="O262" s="24">
        <v>66</v>
      </c>
      <c r="P262" s="24">
        <v>0</v>
      </c>
      <c r="Q262" s="24">
        <v>0</v>
      </c>
      <c r="R262" s="22">
        <v>0</v>
      </c>
      <c r="S262" s="24">
        <v>0</v>
      </c>
      <c r="T262" s="24">
        <f t="shared" si="13"/>
        <v>0</v>
      </c>
      <c r="U262" s="376">
        <v>69.36</v>
      </c>
      <c r="V262" s="376">
        <v>7.05</v>
      </c>
      <c r="W262" s="22">
        <f t="shared" si="14"/>
        <v>34.118183999999999</v>
      </c>
      <c r="X262" s="22">
        <f t="shared" si="15"/>
        <v>16.75</v>
      </c>
      <c r="Y262" s="22">
        <v>14.25</v>
      </c>
      <c r="Z262" s="22">
        <v>2.5</v>
      </c>
      <c r="AA262" s="371">
        <v>124.31</v>
      </c>
      <c r="AB262" s="22">
        <v>0.1347437856970477</v>
      </c>
      <c r="AC262" s="24">
        <v>0</v>
      </c>
      <c r="AD262" s="384">
        <v>0</v>
      </c>
    </row>
    <row r="263" spans="1:30">
      <c r="A263" s="21" t="s">
        <v>449</v>
      </c>
      <c r="B263" s="21" t="s">
        <v>450</v>
      </c>
      <c r="C263" s="23">
        <v>1403</v>
      </c>
      <c r="D263" s="147">
        <v>79.180000000000007</v>
      </c>
      <c r="E263" s="22">
        <v>337.19</v>
      </c>
      <c r="F263" s="22">
        <v>416.37</v>
      </c>
      <c r="G263" s="22">
        <v>0</v>
      </c>
      <c r="H263" s="22">
        <v>120</v>
      </c>
      <c r="I263" s="22">
        <v>3.43</v>
      </c>
      <c r="J263" s="22">
        <v>270.32</v>
      </c>
      <c r="K263" s="22">
        <v>6.6</v>
      </c>
      <c r="L263" s="22">
        <v>0</v>
      </c>
      <c r="M263" s="388">
        <v>4804.3500000000004</v>
      </c>
      <c r="N263" s="25">
        <v>0.29210000000000003</v>
      </c>
      <c r="O263" s="24">
        <v>17</v>
      </c>
      <c r="P263" s="24">
        <v>123.75</v>
      </c>
      <c r="Q263" s="24">
        <v>83.75</v>
      </c>
      <c r="R263" s="22">
        <v>40</v>
      </c>
      <c r="S263" s="24">
        <v>23</v>
      </c>
      <c r="T263" s="24">
        <f t="shared" si="13"/>
        <v>146.75</v>
      </c>
      <c r="U263" s="376">
        <v>1403.35</v>
      </c>
      <c r="V263" s="376">
        <v>240.22</v>
      </c>
      <c r="W263" s="22">
        <f t="shared" si="14"/>
        <v>409.91853500000002</v>
      </c>
      <c r="X263" s="22">
        <f t="shared" si="15"/>
        <v>625.5</v>
      </c>
      <c r="Y263" s="22">
        <v>357.75</v>
      </c>
      <c r="Z263" s="22">
        <v>267.75</v>
      </c>
      <c r="AA263" s="371">
        <v>4562.9399999999996</v>
      </c>
      <c r="AB263" s="22">
        <v>0.1370826703835685</v>
      </c>
      <c r="AC263" s="24">
        <v>2.0826703835684912E-3</v>
      </c>
      <c r="AD263" s="384">
        <v>-100799.86536427963</v>
      </c>
    </row>
    <row r="264" spans="1:30">
      <c r="A264" s="21" t="s">
        <v>115</v>
      </c>
      <c r="B264" s="21" t="s">
        <v>116</v>
      </c>
      <c r="C264" s="23">
        <v>11</v>
      </c>
      <c r="D264" s="147">
        <v>0</v>
      </c>
      <c r="E264" s="22">
        <v>0</v>
      </c>
      <c r="F264" s="22">
        <v>0</v>
      </c>
      <c r="G264" s="22">
        <v>0</v>
      </c>
      <c r="H264" s="22">
        <v>0</v>
      </c>
      <c r="I264" s="22">
        <v>0</v>
      </c>
      <c r="J264" s="22">
        <v>0</v>
      </c>
      <c r="K264" s="22">
        <v>0</v>
      </c>
      <c r="L264" s="22">
        <v>0</v>
      </c>
      <c r="M264" s="388">
        <v>17</v>
      </c>
      <c r="N264" s="25">
        <v>0</v>
      </c>
      <c r="O264" s="24">
        <v>0</v>
      </c>
      <c r="P264" s="24">
        <v>0</v>
      </c>
      <c r="Q264" s="24">
        <v>0</v>
      </c>
      <c r="R264" s="22">
        <v>0</v>
      </c>
      <c r="S264" s="24">
        <v>0</v>
      </c>
      <c r="T264" s="24">
        <f t="shared" si="13"/>
        <v>0</v>
      </c>
      <c r="U264" s="376">
        <v>0</v>
      </c>
      <c r="V264" s="376">
        <v>0</v>
      </c>
      <c r="W264" s="22">
        <f t="shared" si="14"/>
        <v>0</v>
      </c>
      <c r="X264" s="22">
        <f t="shared" si="15"/>
        <v>0</v>
      </c>
      <c r="Y264" s="22">
        <v>0</v>
      </c>
      <c r="Z264" s="22">
        <v>0</v>
      </c>
      <c r="AA264" s="371">
        <v>13</v>
      </c>
      <c r="AB264" s="22">
        <v>0</v>
      </c>
      <c r="AC264" s="24">
        <v>0</v>
      </c>
      <c r="AD264" s="384">
        <v>0</v>
      </c>
    </row>
    <row r="265" spans="1:30">
      <c r="A265" s="21" t="s">
        <v>75</v>
      </c>
      <c r="B265" s="21" t="s">
        <v>76</v>
      </c>
      <c r="C265" s="23">
        <v>22</v>
      </c>
      <c r="D265" s="147">
        <v>0</v>
      </c>
      <c r="E265" s="22">
        <v>0</v>
      </c>
      <c r="F265" s="22">
        <v>0</v>
      </c>
      <c r="G265" s="22">
        <v>0</v>
      </c>
      <c r="H265" s="22">
        <v>0</v>
      </c>
      <c r="I265" s="22">
        <v>0</v>
      </c>
      <c r="J265" s="22">
        <v>235.8</v>
      </c>
      <c r="K265" s="22">
        <v>0</v>
      </c>
      <c r="L265" s="22">
        <v>0</v>
      </c>
      <c r="M265" s="388">
        <v>274.8</v>
      </c>
      <c r="N265" s="25">
        <v>0.79169999999999996</v>
      </c>
      <c r="O265" s="24">
        <v>24</v>
      </c>
      <c r="P265" s="24">
        <v>0</v>
      </c>
      <c r="Q265" s="24">
        <v>0</v>
      </c>
      <c r="R265" s="22">
        <v>0</v>
      </c>
      <c r="S265" s="24">
        <v>0</v>
      </c>
      <c r="T265" s="24">
        <f t="shared" ref="T265:T325" si="16">S265+P265</f>
        <v>0</v>
      </c>
      <c r="U265" s="376">
        <v>247.32</v>
      </c>
      <c r="V265" s="376">
        <v>0</v>
      </c>
      <c r="W265" s="22">
        <f t="shared" ref="W265:W325" si="17">U265*N265</f>
        <v>195.80324399999998</v>
      </c>
      <c r="X265" s="22">
        <f t="shared" ref="X265:X325" si="18">Y265+Z265</f>
        <v>27</v>
      </c>
      <c r="Y265" s="22">
        <v>27</v>
      </c>
      <c r="Z265" s="22">
        <v>0</v>
      </c>
      <c r="AA265" s="371">
        <v>264.2</v>
      </c>
      <c r="AB265" s="22">
        <v>0.10219530658591976</v>
      </c>
      <c r="AC265" s="24">
        <v>0</v>
      </c>
      <c r="AD265" s="384">
        <v>0</v>
      </c>
    </row>
    <row r="266" spans="1:30">
      <c r="A266" s="21" t="s">
        <v>31</v>
      </c>
      <c r="B266" s="21" t="s">
        <v>32</v>
      </c>
      <c r="C266" s="23">
        <v>3</v>
      </c>
      <c r="D266" s="147">
        <v>0</v>
      </c>
      <c r="E266" s="22">
        <v>0</v>
      </c>
      <c r="F266" s="22">
        <v>0</v>
      </c>
      <c r="G266" s="22">
        <v>0</v>
      </c>
      <c r="H266" s="22">
        <v>0</v>
      </c>
      <c r="I266" s="22">
        <v>0</v>
      </c>
      <c r="J266" s="22">
        <v>0</v>
      </c>
      <c r="K266" s="22">
        <v>0</v>
      </c>
      <c r="L266" s="22">
        <v>0</v>
      </c>
      <c r="M266" s="388">
        <v>8</v>
      </c>
      <c r="N266" s="25">
        <v>0</v>
      </c>
      <c r="O266" s="24">
        <v>0</v>
      </c>
      <c r="P266" s="24">
        <v>0</v>
      </c>
      <c r="Q266" s="24">
        <v>0</v>
      </c>
      <c r="R266" s="22">
        <v>0</v>
      </c>
      <c r="S266" s="24">
        <v>0</v>
      </c>
      <c r="T266" s="24">
        <f t="shared" si="16"/>
        <v>0</v>
      </c>
      <c r="U266" s="376">
        <v>0</v>
      </c>
      <c r="V266" s="376">
        <v>0</v>
      </c>
      <c r="W266" s="22">
        <f t="shared" si="17"/>
        <v>0</v>
      </c>
      <c r="X266" s="22">
        <f t="shared" si="18"/>
        <v>0</v>
      </c>
      <c r="Y266" s="22">
        <v>0</v>
      </c>
      <c r="Z266" s="22">
        <v>0</v>
      </c>
      <c r="AA266" s="371">
        <v>11</v>
      </c>
      <c r="AB266" s="22">
        <v>0</v>
      </c>
      <c r="AC266" s="24">
        <v>0</v>
      </c>
      <c r="AD266" s="384">
        <v>0</v>
      </c>
    </row>
    <row r="267" spans="1:30">
      <c r="A267" s="21" t="s">
        <v>361</v>
      </c>
      <c r="B267" s="21" t="s">
        <v>362</v>
      </c>
      <c r="C267" s="23">
        <v>1032</v>
      </c>
      <c r="D267" s="147">
        <v>22.05</v>
      </c>
      <c r="E267" s="22">
        <v>235.26</v>
      </c>
      <c r="F267" s="22">
        <v>257.31</v>
      </c>
      <c r="G267" s="22">
        <v>0</v>
      </c>
      <c r="H267" s="22">
        <v>200</v>
      </c>
      <c r="I267" s="22">
        <v>3.43</v>
      </c>
      <c r="J267" s="22">
        <v>84.789999999999992</v>
      </c>
      <c r="K267" s="22">
        <v>14.6</v>
      </c>
      <c r="L267" s="22">
        <v>0</v>
      </c>
      <c r="M267" s="388">
        <v>3455.8199999999997</v>
      </c>
      <c r="N267" s="25">
        <v>0.23480000000000001</v>
      </c>
      <c r="O267" s="24">
        <v>39</v>
      </c>
      <c r="P267" s="24">
        <v>104.25</v>
      </c>
      <c r="Q267" s="24">
        <v>70.5</v>
      </c>
      <c r="R267" s="22">
        <v>33.75</v>
      </c>
      <c r="S267" s="24">
        <v>24.25</v>
      </c>
      <c r="T267" s="24">
        <f t="shared" si="16"/>
        <v>128.5</v>
      </c>
      <c r="U267" s="376">
        <v>810.39</v>
      </c>
      <c r="V267" s="376">
        <v>172.79</v>
      </c>
      <c r="W267" s="22">
        <f t="shared" si="17"/>
        <v>190.279572</v>
      </c>
      <c r="X267" s="22">
        <f t="shared" si="18"/>
        <v>397.5</v>
      </c>
      <c r="Y267" s="22">
        <v>252.5</v>
      </c>
      <c r="Z267" s="22">
        <v>145</v>
      </c>
      <c r="AA267" s="371">
        <v>3154.54</v>
      </c>
      <c r="AB267" s="22">
        <v>0.12600886341590217</v>
      </c>
      <c r="AC267" s="24">
        <v>0</v>
      </c>
      <c r="AD267" s="384">
        <v>0</v>
      </c>
    </row>
    <row r="268" spans="1:30">
      <c r="A268" s="21" t="s">
        <v>569</v>
      </c>
      <c r="B268" s="21" t="s">
        <v>570</v>
      </c>
      <c r="C268" s="23">
        <v>18</v>
      </c>
      <c r="D268" s="147">
        <v>0</v>
      </c>
      <c r="E268" s="22">
        <v>0</v>
      </c>
      <c r="F268" s="22">
        <v>0</v>
      </c>
      <c r="G268" s="22">
        <v>0</v>
      </c>
      <c r="H268" s="22">
        <v>0</v>
      </c>
      <c r="I268" s="22">
        <v>0</v>
      </c>
      <c r="J268" s="22">
        <v>0</v>
      </c>
      <c r="K268" s="22">
        <v>0</v>
      </c>
      <c r="L268" s="22">
        <v>0</v>
      </c>
      <c r="M268" s="388">
        <v>43</v>
      </c>
      <c r="N268" s="25">
        <v>0</v>
      </c>
      <c r="O268" s="24">
        <v>0</v>
      </c>
      <c r="P268" s="24">
        <v>0</v>
      </c>
      <c r="Q268" s="24">
        <v>0</v>
      </c>
      <c r="R268" s="22">
        <v>0</v>
      </c>
      <c r="S268" s="24">
        <v>0</v>
      </c>
      <c r="T268" s="24">
        <f t="shared" si="16"/>
        <v>0</v>
      </c>
      <c r="U268" s="376">
        <v>0</v>
      </c>
      <c r="V268" s="376">
        <v>0</v>
      </c>
      <c r="W268" s="22">
        <f t="shared" si="17"/>
        <v>0</v>
      </c>
      <c r="X268" s="22">
        <f t="shared" si="18"/>
        <v>5.75</v>
      </c>
      <c r="Y268" s="22">
        <v>5.5</v>
      </c>
      <c r="Z268" s="22">
        <v>0.25</v>
      </c>
      <c r="AA268" s="371">
        <v>38.6</v>
      </c>
      <c r="AB268" s="22">
        <v>0.14896373056994819</v>
      </c>
      <c r="AC268" s="24">
        <v>1.396373056994818E-2</v>
      </c>
      <c r="AD268" s="384">
        <v>-5188.5711374739776</v>
      </c>
    </row>
    <row r="269" spans="1:30">
      <c r="A269" s="21" t="s">
        <v>421</v>
      </c>
      <c r="B269" s="21" t="s">
        <v>422</v>
      </c>
      <c r="C269" s="23">
        <v>250</v>
      </c>
      <c r="D269" s="147">
        <v>8.8800000000000008</v>
      </c>
      <c r="E269" s="22">
        <v>48.98</v>
      </c>
      <c r="F269" s="22">
        <v>57.86</v>
      </c>
      <c r="G269" s="22">
        <v>0</v>
      </c>
      <c r="H269" s="22">
        <v>9</v>
      </c>
      <c r="I269" s="22">
        <v>0.15</v>
      </c>
      <c r="J269" s="22">
        <v>0</v>
      </c>
      <c r="K269" s="22">
        <v>3.2</v>
      </c>
      <c r="L269" s="22">
        <v>0</v>
      </c>
      <c r="M269" s="388">
        <v>857.35</v>
      </c>
      <c r="N269" s="25">
        <v>0.51949999999999996</v>
      </c>
      <c r="O269" s="24">
        <v>793</v>
      </c>
      <c r="P269" s="24">
        <v>18.5</v>
      </c>
      <c r="Q269" s="24">
        <v>15</v>
      </c>
      <c r="R269" s="22">
        <v>3.5</v>
      </c>
      <c r="S269" s="24">
        <v>3</v>
      </c>
      <c r="T269" s="24">
        <f t="shared" si="16"/>
        <v>21.5</v>
      </c>
      <c r="U269" s="376">
        <v>444.88</v>
      </c>
      <c r="V269" s="376">
        <v>42.87</v>
      </c>
      <c r="W269" s="22">
        <f t="shared" si="17"/>
        <v>231.11515999999997</v>
      </c>
      <c r="X269" s="22">
        <f t="shared" si="18"/>
        <v>132.75</v>
      </c>
      <c r="Y269" s="22">
        <v>80.75</v>
      </c>
      <c r="Z269" s="22">
        <v>52</v>
      </c>
      <c r="AA269" s="371">
        <v>784.61</v>
      </c>
      <c r="AB269" s="22">
        <v>0.16919233759447369</v>
      </c>
      <c r="AC269" s="24">
        <v>3.4192337594473682E-2</v>
      </c>
      <c r="AD269" s="384">
        <v>-251488.3634039223</v>
      </c>
    </row>
    <row r="270" spans="1:30">
      <c r="A270" s="21" t="s">
        <v>443</v>
      </c>
      <c r="B270" s="21" t="s">
        <v>444</v>
      </c>
      <c r="C270" s="23">
        <v>678</v>
      </c>
      <c r="D270" s="147">
        <v>0</v>
      </c>
      <c r="E270" s="22">
        <v>145.77000000000001</v>
      </c>
      <c r="F270" s="22">
        <v>145.77000000000001</v>
      </c>
      <c r="G270" s="22">
        <v>0</v>
      </c>
      <c r="H270" s="22">
        <v>29</v>
      </c>
      <c r="I270" s="22">
        <v>0.59</v>
      </c>
      <c r="J270" s="22">
        <v>91.539999999999992</v>
      </c>
      <c r="K270" s="22">
        <v>11</v>
      </c>
      <c r="L270" s="22">
        <v>0</v>
      </c>
      <c r="M270" s="388">
        <v>2143.13</v>
      </c>
      <c r="N270" s="25">
        <v>0.55559999999999998</v>
      </c>
      <c r="O270" s="24">
        <v>1899</v>
      </c>
      <c r="P270" s="24">
        <v>214.75</v>
      </c>
      <c r="Q270" s="24">
        <v>149.25</v>
      </c>
      <c r="R270" s="22">
        <v>65.5</v>
      </c>
      <c r="S270" s="24">
        <v>46.5</v>
      </c>
      <c r="T270" s="24">
        <f t="shared" si="16"/>
        <v>261.25</v>
      </c>
      <c r="U270" s="376">
        <v>1190.72</v>
      </c>
      <c r="V270" s="376">
        <v>107.16</v>
      </c>
      <c r="W270" s="22">
        <f t="shared" si="17"/>
        <v>661.564032</v>
      </c>
      <c r="X270" s="22">
        <f t="shared" si="18"/>
        <v>320.5</v>
      </c>
      <c r="Y270" s="22">
        <v>159.25</v>
      </c>
      <c r="Z270" s="22">
        <v>161.25</v>
      </c>
      <c r="AA270" s="371">
        <v>1943.38</v>
      </c>
      <c r="AB270" s="22">
        <v>0.16491885272051784</v>
      </c>
      <c r="AC270" s="24">
        <v>2.9918852720517836E-2</v>
      </c>
      <c r="AD270" s="384">
        <v>-619914.85135575559</v>
      </c>
    </row>
    <row r="271" spans="1:30">
      <c r="A271" s="21" t="s">
        <v>1022</v>
      </c>
      <c r="B271" s="21" t="s">
        <v>1040</v>
      </c>
      <c r="C271" s="23">
        <v>0</v>
      </c>
      <c r="D271" s="147">
        <v>0</v>
      </c>
      <c r="E271" s="22">
        <v>0</v>
      </c>
      <c r="F271" s="22">
        <v>0</v>
      </c>
      <c r="G271" s="22">
        <v>0</v>
      </c>
      <c r="H271" s="22">
        <v>3</v>
      </c>
      <c r="I271" s="22">
        <v>0.25</v>
      </c>
      <c r="J271" s="22">
        <v>0</v>
      </c>
      <c r="K271" s="22">
        <v>0</v>
      </c>
      <c r="L271" s="22">
        <v>0</v>
      </c>
      <c r="M271" s="388">
        <v>739.25</v>
      </c>
      <c r="N271" s="25">
        <v>0.52980000000000005</v>
      </c>
      <c r="O271" s="24">
        <v>464</v>
      </c>
      <c r="P271" s="24">
        <v>74.25</v>
      </c>
      <c r="Q271" s="24">
        <v>12.5</v>
      </c>
      <c r="R271" s="22">
        <v>61.75</v>
      </c>
      <c r="S271" s="24">
        <v>16.75</v>
      </c>
      <c r="T271" s="24">
        <f t="shared" si="16"/>
        <v>91</v>
      </c>
      <c r="U271" s="376">
        <v>391.65</v>
      </c>
      <c r="V271" s="376">
        <v>36.96</v>
      </c>
      <c r="W271" s="22">
        <f t="shared" si="17"/>
        <v>207.49617000000001</v>
      </c>
      <c r="X271" s="22">
        <f t="shared" si="18"/>
        <v>84.25</v>
      </c>
      <c r="Y271" s="22">
        <v>82.5</v>
      </c>
      <c r="Z271" s="22">
        <v>1.75</v>
      </c>
      <c r="AA271" s="371">
        <v>467.46</v>
      </c>
      <c r="AB271" s="22">
        <v>0.18022932443417619</v>
      </c>
      <c r="AC271" s="24">
        <v>4.5229324434176182E-2</v>
      </c>
      <c r="AD271" s="384">
        <v>-207576.22210426629</v>
      </c>
    </row>
    <row r="272" spans="1:30">
      <c r="A272" s="21" t="s">
        <v>391</v>
      </c>
      <c r="B272" s="21" t="s">
        <v>392</v>
      </c>
      <c r="C272" s="23">
        <v>0</v>
      </c>
      <c r="D272" s="147">
        <v>0</v>
      </c>
      <c r="E272" s="22">
        <v>0</v>
      </c>
      <c r="F272" s="22">
        <v>0</v>
      </c>
      <c r="G272" s="22">
        <v>0</v>
      </c>
      <c r="H272" s="22">
        <v>1</v>
      </c>
      <c r="I272" s="22">
        <v>0</v>
      </c>
      <c r="J272" s="22">
        <v>0</v>
      </c>
      <c r="K272" s="22">
        <v>0</v>
      </c>
      <c r="L272" s="22">
        <v>0</v>
      </c>
      <c r="M272" s="388">
        <v>239</v>
      </c>
      <c r="N272" s="25">
        <v>0.66490000000000005</v>
      </c>
      <c r="O272" s="24">
        <v>181</v>
      </c>
      <c r="P272" s="24">
        <v>16.75</v>
      </c>
      <c r="Q272" s="24">
        <v>0</v>
      </c>
      <c r="R272" s="22">
        <v>16.75</v>
      </c>
      <c r="S272" s="24">
        <v>0</v>
      </c>
      <c r="T272" s="24">
        <f t="shared" si="16"/>
        <v>16.75</v>
      </c>
      <c r="U272" s="376">
        <v>158.91</v>
      </c>
      <c r="V272" s="376">
        <v>11.95</v>
      </c>
      <c r="W272" s="22">
        <f t="shared" si="17"/>
        <v>105.65925900000001</v>
      </c>
      <c r="X272" s="22">
        <f t="shared" si="18"/>
        <v>27</v>
      </c>
      <c r="Y272" s="22">
        <v>25</v>
      </c>
      <c r="Z272" s="22">
        <v>2</v>
      </c>
      <c r="AA272" s="371">
        <v>178.6</v>
      </c>
      <c r="AB272" s="22">
        <v>0.15117581187010079</v>
      </c>
      <c r="AC272" s="24">
        <v>1.6175811870100781E-2</v>
      </c>
      <c r="AD272" s="384">
        <v>-27888.353044294232</v>
      </c>
    </row>
    <row r="273" spans="1:30">
      <c r="A273" s="21" t="s">
        <v>221</v>
      </c>
      <c r="B273" s="21" t="s">
        <v>222</v>
      </c>
      <c r="C273" s="23">
        <v>0</v>
      </c>
      <c r="D273" s="147">
        <v>0</v>
      </c>
      <c r="E273" s="22">
        <v>0</v>
      </c>
      <c r="F273" s="22">
        <v>0</v>
      </c>
      <c r="G273" s="22">
        <v>0</v>
      </c>
      <c r="H273" s="22">
        <v>14</v>
      </c>
      <c r="I273" s="22">
        <v>0.18</v>
      </c>
      <c r="J273" s="22">
        <v>0</v>
      </c>
      <c r="K273" s="22">
        <v>0</v>
      </c>
      <c r="L273" s="22">
        <v>0</v>
      </c>
      <c r="M273" s="388">
        <v>425.18</v>
      </c>
      <c r="N273" s="25">
        <v>0.37430000000000002</v>
      </c>
      <c r="O273" s="24">
        <v>0</v>
      </c>
      <c r="P273" s="24">
        <v>49.25</v>
      </c>
      <c r="Q273" s="24">
        <v>0</v>
      </c>
      <c r="R273" s="22">
        <v>49.25</v>
      </c>
      <c r="S273" s="24">
        <v>0.25</v>
      </c>
      <c r="T273" s="24">
        <f t="shared" si="16"/>
        <v>49.5</v>
      </c>
      <c r="U273" s="376">
        <v>159.13999999999999</v>
      </c>
      <c r="V273" s="376">
        <v>21.26</v>
      </c>
      <c r="W273" s="22">
        <f t="shared" si="17"/>
        <v>59.566102000000001</v>
      </c>
      <c r="X273" s="22">
        <f t="shared" si="18"/>
        <v>59</v>
      </c>
      <c r="Y273" s="22">
        <v>58.5</v>
      </c>
      <c r="Z273" s="22">
        <v>0.5</v>
      </c>
      <c r="AA273" s="371">
        <v>307.62</v>
      </c>
      <c r="AB273" s="22">
        <v>0.19179507184188285</v>
      </c>
      <c r="AC273" s="24">
        <v>5.6795071841882844E-2</v>
      </c>
      <c r="AD273" s="384">
        <v>-175334.6936119216</v>
      </c>
    </row>
    <row r="274" spans="1:30">
      <c r="A274" s="21" t="s">
        <v>495</v>
      </c>
      <c r="B274" s="21" t="s">
        <v>496</v>
      </c>
      <c r="C274" s="23">
        <v>27</v>
      </c>
      <c r="D274" s="147">
        <v>0</v>
      </c>
      <c r="E274" s="22">
        <v>0</v>
      </c>
      <c r="F274" s="22">
        <v>0</v>
      </c>
      <c r="G274" s="22">
        <v>0</v>
      </c>
      <c r="H274" s="22">
        <v>0</v>
      </c>
      <c r="I274" s="22">
        <v>0</v>
      </c>
      <c r="J274" s="22">
        <v>0</v>
      </c>
      <c r="K274" s="22">
        <v>0</v>
      </c>
      <c r="L274" s="22">
        <v>0</v>
      </c>
      <c r="M274" s="388">
        <v>68</v>
      </c>
      <c r="N274" s="25">
        <v>0.84930000000000005</v>
      </c>
      <c r="O274" s="24">
        <v>73</v>
      </c>
      <c r="P274" s="24">
        <v>0</v>
      </c>
      <c r="Q274" s="24">
        <v>0</v>
      </c>
      <c r="R274" s="22">
        <v>0</v>
      </c>
      <c r="S274" s="24">
        <v>0</v>
      </c>
      <c r="T274" s="24">
        <f t="shared" si="16"/>
        <v>0</v>
      </c>
      <c r="U274" s="376">
        <v>57.75</v>
      </c>
      <c r="V274" s="376">
        <v>3.4</v>
      </c>
      <c r="W274" s="22">
        <f t="shared" si="17"/>
        <v>49.047075000000007</v>
      </c>
      <c r="X274" s="22">
        <f t="shared" si="18"/>
        <v>8.5</v>
      </c>
      <c r="Y274" s="22">
        <v>5.25</v>
      </c>
      <c r="Z274" s="22">
        <v>3.25</v>
      </c>
      <c r="AA274" s="371">
        <v>71.69</v>
      </c>
      <c r="AB274" s="22">
        <v>0.11856604826335612</v>
      </c>
      <c r="AC274" s="24">
        <v>0</v>
      </c>
      <c r="AD274" s="384">
        <v>0</v>
      </c>
    </row>
    <row r="275" spans="1:30">
      <c r="A275" s="21" t="s">
        <v>371</v>
      </c>
      <c r="B275" s="21" t="s">
        <v>372</v>
      </c>
      <c r="C275" s="23">
        <v>2769</v>
      </c>
      <c r="D275" s="147">
        <v>111.35</v>
      </c>
      <c r="E275" s="22">
        <v>543.55999999999995</v>
      </c>
      <c r="F275" s="22">
        <v>654.91</v>
      </c>
      <c r="G275" s="22">
        <v>0</v>
      </c>
      <c r="H275" s="22">
        <v>281</v>
      </c>
      <c r="I275" s="22">
        <v>6.67</v>
      </c>
      <c r="J275" s="22">
        <v>153.51999999999998</v>
      </c>
      <c r="K275" s="22">
        <v>0</v>
      </c>
      <c r="L275" s="22">
        <v>0</v>
      </c>
      <c r="M275" s="388">
        <v>9934.19</v>
      </c>
      <c r="N275" s="25">
        <v>0.29110000000000003</v>
      </c>
      <c r="O275" s="24">
        <v>433</v>
      </c>
      <c r="P275" s="24">
        <v>412.25</v>
      </c>
      <c r="Q275" s="24">
        <v>244.25</v>
      </c>
      <c r="R275" s="22">
        <v>168</v>
      </c>
      <c r="S275" s="24">
        <v>73.75</v>
      </c>
      <c r="T275" s="24">
        <f t="shared" si="16"/>
        <v>486</v>
      </c>
      <c r="U275" s="376">
        <v>2891.84</v>
      </c>
      <c r="V275" s="376">
        <v>496.71</v>
      </c>
      <c r="W275" s="22">
        <f t="shared" si="17"/>
        <v>841.81462400000009</v>
      </c>
      <c r="X275" s="22">
        <f t="shared" si="18"/>
        <v>1160.25</v>
      </c>
      <c r="Y275" s="22">
        <v>717</v>
      </c>
      <c r="Z275" s="22">
        <v>443.25</v>
      </c>
      <c r="AA275" s="371">
        <v>9946.02</v>
      </c>
      <c r="AB275" s="22">
        <v>0.11665470208183776</v>
      </c>
      <c r="AC275" s="24">
        <v>0</v>
      </c>
      <c r="AD275" s="384">
        <v>0</v>
      </c>
    </row>
    <row r="276" spans="1:30">
      <c r="A276" s="21" t="s">
        <v>595</v>
      </c>
      <c r="B276" s="21" t="s">
        <v>596</v>
      </c>
      <c r="C276" s="23">
        <v>1728</v>
      </c>
      <c r="D276" s="147">
        <v>0</v>
      </c>
      <c r="E276" s="22">
        <v>264.54000000000002</v>
      </c>
      <c r="F276" s="22">
        <v>264.54000000000002</v>
      </c>
      <c r="G276" s="22">
        <v>0</v>
      </c>
      <c r="H276" s="22">
        <v>84</v>
      </c>
      <c r="I276" s="22">
        <v>7.89</v>
      </c>
      <c r="J276" s="22">
        <v>28.52</v>
      </c>
      <c r="K276" s="22">
        <v>4</v>
      </c>
      <c r="L276" s="22">
        <v>0</v>
      </c>
      <c r="M276" s="388">
        <v>6324.4100000000008</v>
      </c>
      <c r="N276" s="25">
        <v>0.93879999999999997</v>
      </c>
      <c r="O276" s="24">
        <v>6485</v>
      </c>
      <c r="P276" s="24">
        <v>2011.75</v>
      </c>
      <c r="Q276" s="24">
        <v>1235.75</v>
      </c>
      <c r="R276" s="22">
        <v>776</v>
      </c>
      <c r="S276" s="24">
        <v>238.25</v>
      </c>
      <c r="T276" s="24">
        <f t="shared" si="16"/>
        <v>2250</v>
      </c>
      <c r="U276" s="376">
        <v>5937.36</v>
      </c>
      <c r="V276" s="376">
        <v>316.22000000000003</v>
      </c>
      <c r="W276" s="22">
        <f t="shared" si="17"/>
        <v>5573.9935679999999</v>
      </c>
      <c r="X276" s="22">
        <f t="shared" si="18"/>
        <v>860.5</v>
      </c>
      <c r="Y276" s="22">
        <v>358.5</v>
      </c>
      <c r="Z276" s="22">
        <v>502</v>
      </c>
      <c r="AA276" s="371">
        <v>6480.05</v>
      </c>
      <c r="AB276" s="22">
        <v>0.13279218524548422</v>
      </c>
      <c r="AC276" s="24">
        <v>0</v>
      </c>
      <c r="AD276" s="384">
        <v>0</v>
      </c>
    </row>
    <row r="277" spans="1:30">
      <c r="A277" s="21" t="s">
        <v>237</v>
      </c>
      <c r="B277" s="21" t="s">
        <v>238</v>
      </c>
      <c r="C277" s="23">
        <v>0</v>
      </c>
      <c r="D277" s="147">
        <v>0</v>
      </c>
      <c r="E277" s="22">
        <v>3.73</v>
      </c>
      <c r="F277" s="22">
        <v>3.73</v>
      </c>
      <c r="G277" s="22">
        <v>0</v>
      </c>
      <c r="H277" s="22">
        <v>3.25</v>
      </c>
      <c r="I277" s="22">
        <v>0</v>
      </c>
      <c r="J277" s="22">
        <v>0</v>
      </c>
      <c r="K277" s="22">
        <v>0</v>
      </c>
      <c r="L277" s="22">
        <v>0</v>
      </c>
      <c r="M277" s="388">
        <v>86.22</v>
      </c>
      <c r="N277" s="25">
        <v>0.63529999999999998</v>
      </c>
      <c r="O277" s="24">
        <v>85</v>
      </c>
      <c r="P277" s="24">
        <v>0</v>
      </c>
      <c r="Q277" s="24">
        <v>0</v>
      </c>
      <c r="R277" s="22">
        <v>0</v>
      </c>
      <c r="S277" s="24">
        <v>0</v>
      </c>
      <c r="T277" s="24">
        <f t="shared" si="16"/>
        <v>0</v>
      </c>
      <c r="U277" s="376">
        <v>54.78</v>
      </c>
      <c r="V277" s="376">
        <v>0</v>
      </c>
      <c r="W277" s="22">
        <f t="shared" si="17"/>
        <v>34.801733999999996</v>
      </c>
      <c r="X277" s="22">
        <f t="shared" si="18"/>
        <v>17.75</v>
      </c>
      <c r="Y277" s="22">
        <v>16.75</v>
      </c>
      <c r="Z277" s="22">
        <v>1</v>
      </c>
      <c r="AA277" s="371">
        <v>86.21</v>
      </c>
      <c r="AB277" s="22">
        <v>0.20589258786683681</v>
      </c>
      <c r="AC277" s="24">
        <v>7.0892587866836804E-2</v>
      </c>
      <c r="AD277" s="384">
        <v>-59999.99854359615</v>
      </c>
    </row>
    <row r="278" spans="1:30">
      <c r="A278" s="21" t="s">
        <v>365</v>
      </c>
      <c r="B278" s="21" t="s">
        <v>366</v>
      </c>
      <c r="C278" s="23">
        <v>8306</v>
      </c>
      <c r="D278" s="147">
        <v>288.02</v>
      </c>
      <c r="E278" s="22">
        <v>1665.12</v>
      </c>
      <c r="F278" s="22">
        <v>1953.1399999999999</v>
      </c>
      <c r="G278" s="22">
        <v>0</v>
      </c>
      <c r="H278" s="22">
        <v>434</v>
      </c>
      <c r="I278" s="22">
        <v>22.45</v>
      </c>
      <c r="J278" s="22">
        <v>1571.94</v>
      </c>
      <c r="K278" s="22">
        <v>241.43</v>
      </c>
      <c r="L278" s="22">
        <v>13.44</v>
      </c>
      <c r="M278" s="388">
        <v>27774.26</v>
      </c>
      <c r="N278" s="25">
        <v>0.57699999999999996</v>
      </c>
      <c r="O278" s="24">
        <v>18010</v>
      </c>
      <c r="P278" s="24">
        <v>2957.29</v>
      </c>
      <c r="Q278" s="24">
        <v>1815.75</v>
      </c>
      <c r="R278" s="22">
        <v>1141.54</v>
      </c>
      <c r="S278" s="24">
        <v>476.5</v>
      </c>
      <c r="T278" s="24">
        <f t="shared" si="16"/>
        <v>3433.79</v>
      </c>
      <c r="U278" s="376">
        <v>16025.75</v>
      </c>
      <c r="V278" s="376">
        <v>1388.71</v>
      </c>
      <c r="W278" s="22">
        <f t="shared" si="17"/>
        <v>9246.8577499999992</v>
      </c>
      <c r="X278" s="22">
        <f t="shared" si="18"/>
        <v>3920.25</v>
      </c>
      <c r="Y278" s="22">
        <v>2416.75</v>
      </c>
      <c r="Z278" s="22">
        <v>1503.5</v>
      </c>
      <c r="AA278" s="371">
        <v>27456.87</v>
      </c>
      <c r="AB278" s="22">
        <v>0.14277847402125587</v>
      </c>
      <c r="AC278" s="24">
        <v>7.7784740212558656E-3</v>
      </c>
      <c r="AD278" s="384">
        <v>-2185402.3834019899</v>
      </c>
    </row>
    <row r="279" spans="1:30">
      <c r="A279" s="21" t="s">
        <v>153</v>
      </c>
      <c r="B279" s="21" t="s">
        <v>154</v>
      </c>
      <c r="C279" s="23">
        <v>58</v>
      </c>
      <c r="D279" s="147">
        <v>0</v>
      </c>
      <c r="E279" s="22">
        <v>3.58</v>
      </c>
      <c r="F279" s="22">
        <v>3.58</v>
      </c>
      <c r="G279" s="22">
        <v>0</v>
      </c>
      <c r="H279" s="22">
        <v>1</v>
      </c>
      <c r="I279" s="22">
        <v>0</v>
      </c>
      <c r="J279" s="22">
        <v>0</v>
      </c>
      <c r="K279" s="22">
        <v>0</v>
      </c>
      <c r="L279" s="22">
        <v>0</v>
      </c>
      <c r="M279" s="388">
        <v>155</v>
      </c>
      <c r="N279" s="25">
        <v>0.77329999999999999</v>
      </c>
      <c r="O279" s="24">
        <v>160</v>
      </c>
      <c r="P279" s="24">
        <v>0</v>
      </c>
      <c r="Q279" s="24">
        <v>0</v>
      </c>
      <c r="R279" s="22">
        <v>0</v>
      </c>
      <c r="S279" s="24">
        <v>0</v>
      </c>
      <c r="T279" s="24">
        <f t="shared" si="16"/>
        <v>0</v>
      </c>
      <c r="U279" s="376">
        <v>119.86</v>
      </c>
      <c r="V279" s="376">
        <v>0</v>
      </c>
      <c r="W279" s="22">
        <f t="shared" si="17"/>
        <v>92.687737999999996</v>
      </c>
      <c r="X279" s="22">
        <f t="shared" si="18"/>
        <v>41.75</v>
      </c>
      <c r="Y279" s="22">
        <v>38.75</v>
      </c>
      <c r="Z279" s="22">
        <v>3</v>
      </c>
      <c r="AA279" s="371">
        <v>158.77000000000001</v>
      </c>
      <c r="AB279" s="22">
        <v>0.26295899729167976</v>
      </c>
      <c r="AC279" s="24">
        <v>0.12795899729167975</v>
      </c>
      <c r="AD279" s="384">
        <v>-195974.85015141856</v>
      </c>
    </row>
    <row r="280" spans="1:30">
      <c r="A280" s="21" t="s">
        <v>207</v>
      </c>
      <c r="B280" s="21" t="s">
        <v>208</v>
      </c>
      <c r="C280" s="23">
        <v>2672</v>
      </c>
      <c r="D280" s="147">
        <v>38.25</v>
      </c>
      <c r="E280" s="22">
        <v>528.95000000000005</v>
      </c>
      <c r="F280" s="22">
        <v>567.20000000000005</v>
      </c>
      <c r="G280" s="22">
        <v>0</v>
      </c>
      <c r="H280" s="22">
        <v>275</v>
      </c>
      <c r="I280" s="22">
        <v>17.28</v>
      </c>
      <c r="J280" s="22">
        <v>0</v>
      </c>
      <c r="K280" s="22">
        <v>14.56</v>
      </c>
      <c r="L280" s="22">
        <v>1.24</v>
      </c>
      <c r="M280" s="388">
        <v>9337.08</v>
      </c>
      <c r="N280" s="25">
        <v>0.13159999999999999</v>
      </c>
      <c r="O280" s="24">
        <v>0</v>
      </c>
      <c r="P280" s="24">
        <v>356</v>
      </c>
      <c r="Q280" s="24">
        <v>296.25</v>
      </c>
      <c r="R280" s="22">
        <v>59.75</v>
      </c>
      <c r="S280" s="24">
        <v>123</v>
      </c>
      <c r="T280" s="24">
        <f t="shared" si="16"/>
        <v>479</v>
      </c>
      <c r="U280" s="376">
        <v>1229.69</v>
      </c>
      <c r="V280" s="376">
        <v>466.85</v>
      </c>
      <c r="W280" s="22">
        <f t="shared" si="17"/>
        <v>161.82720399999999</v>
      </c>
      <c r="X280" s="22">
        <f t="shared" si="18"/>
        <v>1009.5</v>
      </c>
      <c r="Y280" s="22">
        <v>514.25</v>
      </c>
      <c r="Z280" s="22">
        <v>495.25</v>
      </c>
      <c r="AA280" s="371">
        <v>8679.9599999999991</v>
      </c>
      <c r="AB280" s="22">
        <v>0.11630237927363722</v>
      </c>
      <c r="AC280" s="24">
        <v>0</v>
      </c>
      <c r="AD280" s="384">
        <v>0</v>
      </c>
    </row>
    <row r="281" spans="1:30">
      <c r="A281" s="21" t="s">
        <v>559</v>
      </c>
      <c r="B281" s="21" t="s">
        <v>560</v>
      </c>
      <c r="C281" s="23">
        <v>58</v>
      </c>
      <c r="D281" s="147">
        <v>3.3</v>
      </c>
      <c r="E281" s="22">
        <v>21.49</v>
      </c>
      <c r="F281" s="22">
        <v>24.79</v>
      </c>
      <c r="G281" s="22">
        <v>0</v>
      </c>
      <c r="H281" s="22">
        <v>2</v>
      </c>
      <c r="I281" s="22">
        <v>0</v>
      </c>
      <c r="J281" s="22">
        <v>6.3100000000000005</v>
      </c>
      <c r="K281" s="22">
        <v>0</v>
      </c>
      <c r="L281" s="22">
        <v>0</v>
      </c>
      <c r="M281" s="388">
        <v>187.31</v>
      </c>
      <c r="N281" s="25">
        <v>0.65629999999999999</v>
      </c>
      <c r="O281" s="24">
        <v>192</v>
      </c>
      <c r="P281" s="24">
        <v>0</v>
      </c>
      <c r="Q281" s="24">
        <v>0</v>
      </c>
      <c r="R281" s="22">
        <v>0</v>
      </c>
      <c r="S281" s="24">
        <v>0</v>
      </c>
      <c r="T281" s="24">
        <f t="shared" si="16"/>
        <v>0</v>
      </c>
      <c r="U281" s="376">
        <v>118.04</v>
      </c>
      <c r="V281" s="376">
        <v>0</v>
      </c>
      <c r="W281" s="22">
        <f t="shared" si="17"/>
        <v>77.469651999999996</v>
      </c>
      <c r="X281" s="22">
        <f t="shared" si="18"/>
        <v>37.25</v>
      </c>
      <c r="Y281" s="22">
        <v>28.25</v>
      </c>
      <c r="Z281" s="22">
        <v>9</v>
      </c>
      <c r="AA281" s="371">
        <v>192.07</v>
      </c>
      <c r="AB281" s="22">
        <v>0.19393970948091843</v>
      </c>
      <c r="AC281" s="24">
        <v>5.8939709480918423E-2</v>
      </c>
      <c r="AD281" s="384">
        <v>-108969.08341894796</v>
      </c>
    </row>
    <row r="282" spans="1:30">
      <c r="A282" s="21" t="s">
        <v>521</v>
      </c>
      <c r="B282" s="21" t="s">
        <v>522</v>
      </c>
      <c r="C282" s="23">
        <v>352</v>
      </c>
      <c r="D282" s="147">
        <v>28.85</v>
      </c>
      <c r="E282" s="22">
        <v>89.12</v>
      </c>
      <c r="F282" s="22">
        <v>117.97</v>
      </c>
      <c r="G282" s="22">
        <v>0</v>
      </c>
      <c r="H282" s="22">
        <v>15</v>
      </c>
      <c r="I282" s="22">
        <v>1.05</v>
      </c>
      <c r="J282" s="22">
        <v>0</v>
      </c>
      <c r="K282" s="22">
        <v>9</v>
      </c>
      <c r="L282" s="22">
        <v>0</v>
      </c>
      <c r="M282" s="388">
        <v>1257.05</v>
      </c>
      <c r="N282" s="25">
        <v>0.47820000000000001</v>
      </c>
      <c r="O282" s="24">
        <v>852</v>
      </c>
      <c r="P282" s="24">
        <v>9</v>
      </c>
      <c r="Q282" s="24">
        <v>2</v>
      </c>
      <c r="R282" s="22">
        <v>7</v>
      </c>
      <c r="S282" s="24">
        <v>1</v>
      </c>
      <c r="T282" s="24">
        <f t="shared" si="16"/>
        <v>10</v>
      </c>
      <c r="U282" s="376">
        <v>601.12</v>
      </c>
      <c r="V282" s="376">
        <v>62.85</v>
      </c>
      <c r="W282" s="22">
        <f t="shared" si="17"/>
        <v>287.45558399999999</v>
      </c>
      <c r="X282" s="22">
        <f t="shared" si="18"/>
        <v>192</v>
      </c>
      <c r="Y282" s="22">
        <v>93.75</v>
      </c>
      <c r="Z282" s="22">
        <v>98.25</v>
      </c>
      <c r="AA282" s="371">
        <v>1242.97</v>
      </c>
      <c r="AB282" s="22">
        <v>0.15446873214960941</v>
      </c>
      <c r="AC282" s="24">
        <v>1.9468732149609397E-2</v>
      </c>
      <c r="AD282" s="384">
        <v>-225958.79824651766</v>
      </c>
    </row>
    <row r="283" spans="1:30">
      <c r="A283" s="21" t="s">
        <v>243</v>
      </c>
      <c r="B283" s="21" t="s">
        <v>244</v>
      </c>
      <c r="C283" s="23">
        <v>81</v>
      </c>
      <c r="D283" s="147">
        <v>3.47</v>
      </c>
      <c r="E283" s="22">
        <v>10.039999999999999</v>
      </c>
      <c r="F283" s="22">
        <v>13.51</v>
      </c>
      <c r="G283" s="22">
        <v>0</v>
      </c>
      <c r="H283" s="22">
        <v>5</v>
      </c>
      <c r="I283" s="22">
        <v>0</v>
      </c>
      <c r="J283" s="22">
        <v>0</v>
      </c>
      <c r="K283" s="22">
        <v>0</v>
      </c>
      <c r="L283" s="22">
        <v>0</v>
      </c>
      <c r="M283" s="388">
        <v>246</v>
      </c>
      <c r="N283" s="25">
        <v>0.47689999999999999</v>
      </c>
      <c r="O283" s="24">
        <v>0</v>
      </c>
      <c r="P283" s="24">
        <v>2</v>
      </c>
      <c r="Q283" s="24">
        <v>1.5</v>
      </c>
      <c r="R283" s="22">
        <v>0.5</v>
      </c>
      <c r="S283" s="24">
        <v>1.5</v>
      </c>
      <c r="T283" s="24">
        <f t="shared" si="16"/>
        <v>3.5</v>
      </c>
      <c r="U283" s="376">
        <v>117.32</v>
      </c>
      <c r="V283" s="376">
        <v>12.3</v>
      </c>
      <c r="W283" s="22">
        <f t="shared" si="17"/>
        <v>55.949907999999994</v>
      </c>
      <c r="X283" s="22">
        <f t="shared" si="18"/>
        <v>31.5</v>
      </c>
      <c r="Y283" s="22">
        <v>26.5</v>
      </c>
      <c r="Z283" s="22">
        <v>5</v>
      </c>
      <c r="AA283" s="371">
        <v>224.18</v>
      </c>
      <c r="AB283" s="22">
        <v>0.14051208850031224</v>
      </c>
      <c r="AC283" s="24">
        <v>5.5120885003122344E-3</v>
      </c>
      <c r="AD283" s="384">
        <v>-11720.175893086338</v>
      </c>
    </row>
    <row r="284" spans="1:30">
      <c r="A284" s="21" t="s">
        <v>285</v>
      </c>
      <c r="B284" s="21" t="s">
        <v>286</v>
      </c>
      <c r="C284" s="23">
        <v>245</v>
      </c>
      <c r="D284" s="147">
        <v>17.43</v>
      </c>
      <c r="E284" s="22">
        <v>49.86</v>
      </c>
      <c r="F284" s="22">
        <v>67.289999999999992</v>
      </c>
      <c r="G284" s="22">
        <v>0</v>
      </c>
      <c r="H284" s="22">
        <v>19</v>
      </c>
      <c r="I284" s="22">
        <v>2.13</v>
      </c>
      <c r="J284" s="22">
        <v>49.8</v>
      </c>
      <c r="K284" s="22">
        <v>0.4</v>
      </c>
      <c r="L284" s="22">
        <v>0</v>
      </c>
      <c r="M284" s="388">
        <v>821.32999999999993</v>
      </c>
      <c r="N284" s="25">
        <v>0.52</v>
      </c>
      <c r="O284" s="24">
        <v>601</v>
      </c>
      <c r="P284" s="24">
        <v>8</v>
      </c>
      <c r="Q284" s="24">
        <v>3</v>
      </c>
      <c r="R284" s="22">
        <v>5</v>
      </c>
      <c r="S284" s="24">
        <v>0.75</v>
      </c>
      <c r="T284" s="24">
        <f t="shared" si="16"/>
        <v>8.75</v>
      </c>
      <c r="U284" s="376">
        <v>427.09</v>
      </c>
      <c r="V284" s="376">
        <v>41.07</v>
      </c>
      <c r="W284" s="22">
        <f t="shared" si="17"/>
        <v>222.08679999999998</v>
      </c>
      <c r="X284" s="22">
        <f t="shared" si="18"/>
        <v>111.75</v>
      </c>
      <c r="Y284" s="22">
        <v>61</v>
      </c>
      <c r="Z284" s="22">
        <v>50.75</v>
      </c>
      <c r="AA284" s="371">
        <v>798.78</v>
      </c>
      <c r="AB284" s="22">
        <v>0.13990084879441148</v>
      </c>
      <c r="AC284" s="24">
        <v>4.9008487944114665E-3</v>
      </c>
      <c r="AD284" s="384">
        <v>-37662.00346730063</v>
      </c>
    </row>
    <row r="285" spans="1:30">
      <c r="A285" s="21" t="s">
        <v>339</v>
      </c>
      <c r="B285" s="21" t="s">
        <v>340</v>
      </c>
      <c r="C285" s="23">
        <v>259</v>
      </c>
      <c r="D285" s="147">
        <v>12.14</v>
      </c>
      <c r="E285" s="22">
        <v>30.54</v>
      </c>
      <c r="F285" s="22">
        <v>42.68</v>
      </c>
      <c r="G285" s="22">
        <v>0</v>
      </c>
      <c r="H285" s="22">
        <v>35</v>
      </c>
      <c r="I285" s="22">
        <v>4.07</v>
      </c>
      <c r="J285" s="22">
        <v>113.13999999999999</v>
      </c>
      <c r="K285" s="22">
        <v>0</v>
      </c>
      <c r="L285" s="22">
        <v>0</v>
      </c>
      <c r="M285" s="388">
        <v>1087.21</v>
      </c>
      <c r="N285" s="25">
        <v>0.76719999999999999</v>
      </c>
      <c r="O285" s="24">
        <v>1134</v>
      </c>
      <c r="P285" s="24">
        <v>128.75</v>
      </c>
      <c r="Q285" s="24">
        <v>91</v>
      </c>
      <c r="R285" s="22">
        <v>37.75</v>
      </c>
      <c r="S285" s="24">
        <v>30</v>
      </c>
      <c r="T285" s="24">
        <f t="shared" si="16"/>
        <v>158.75</v>
      </c>
      <c r="U285" s="376">
        <v>834.11</v>
      </c>
      <c r="V285" s="376">
        <v>54.36</v>
      </c>
      <c r="W285" s="22">
        <f t="shared" si="17"/>
        <v>639.92919200000006</v>
      </c>
      <c r="X285" s="22">
        <f t="shared" si="18"/>
        <v>123</v>
      </c>
      <c r="Y285" s="22">
        <v>78.75</v>
      </c>
      <c r="Z285" s="22">
        <v>44.25</v>
      </c>
      <c r="AA285" s="371">
        <v>1140.73</v>
      </c>
      <c r="AB285" s="22">
        <v>0.10782569056656702</v>
      </c>
      <c r="AC285" s="24">
        <v>0</v>
      </c>
      <c r="AD285" s="384">
        <v>0</v>
      </c>
    </row>
    <row r="286" spans="1:30">
      <c r="A286" s="21" t="s">
        <v>597</v>
      </c>
      <c r="B286" s="21" t="s">
        <v>598</v>
      </c>
      <c r="C286" s="23">
        <v>1117</v>
      </c>
      <c r="D286" s="147">
        <v>125.49</v>
      </c>
      <c r="E286" s="22">
        <v>480.32</v>
      </c>
      <c r="F286" s="22">
        <v>605.80999999999995</v>
      </c>
      <c r="G286" s="22">
        <v>0</v>
      </c>
      <c r="H286" s="22">
        <v>25</v>
      </c>
      <c r="I286" s="22">
        <v>4.2300000000000004</v>
      </c>
      <c r="J286" s="22">
        <v>827.81</v>
      </c>
      <c r="K286" s="22">
        <v>0</v>
      </c>
      <c r="L286" s="22">
        <v>0</v>
      </c>
      <c r="M286" s="388">
        <v>4343.04</v>
      </c>
      <c r="N286" s="25">
        <v>0.93710000000000004</v>
      </c>
      <c r="O286" s="24">
        <v>3577</v>
      </c>
      <c r="P286" s="24">
        <v>1305.5</v>
      </c>
      <c r="Q286" s="24">
        <v>747.25</v>
      </c>
      <c r="R286" s="22">
        <v>558.25</v>
      </c>
      <c r="S286" s="24">
        <v>186.5</v>
      </c>
      <c r="T286" s="24">
        <f t="shared" si="16"/>
        <v>1492</v>
      </c>
      <c r="U286" s="376">
        <v>4069.86</v>
      </c>
      <c r="V286" s="376">
        <v>217.15</v>
      </c>
      <c r="W286" s="22">
        <f t="shared" si="17"/>
        <v>3813.8658060000002</v>
      </c>
      <c r="X286" s="22">
        <f t="shared" si="18"/>
        <v>527.5</v>
      </c>
      <c r="Y286" s="22">
        <v>484.5</v>
      </c>
      <c r="Z286" s="22">
        <v>43</v>
      </c>
      <c r="AA286" s="371">
        <v>4303.76</v>
      </c>
      <c r="AB286" s="22">
        <v>0.12256724352659069</v>
      </c>
      <c r="AC286" s="24">
        <v>0</v>
      </c>
      <c r="AD286" s="384">
        <v>0</v>
      </c>
    </row>
    <row r="287" spans="1:30">
      <c r="A287" s="21" t="s">
        <v>531</v>
      </c>
      <c r="B287" s="21" t="s">
        <v>532</v>
      </c>
      <c r="C287" s="23">
        <v>41</v>
      </c>
      <c r="D287" s="147">
        <v>2.99</v>
      </c>
      <c r="E287" s="22">
        <v>11.44</v>
      </c>
      <c r="F287" s="22">
        <v>14.43</v>
      </c>
      <c r="G287" s="22">
        <v>0</v>
      </c>
      <c r="H287" s="22">
        <v>7</v>
      </c>
      <c r="I287" s="22">
        <v>0</v>
      </c>
      <c r="J287" s="22">
        <v>0</v>
      </c>
      <c r="K287" s="22">
        <v>0</v>
      </c>
      <c r="L287" s="22">
        <v>0</v>
      </c>
      <c r="M287" s="388">
        <v>182</v>
      </c>
      <c r="N287" s="25">
        <v>0.55400000000000005</v>
      </c>
      <c r="O287" s="24">
        <v>205</v>
      </c>
      <c r="P287" s="24">
        <v>38</v>
      </c>
      <c r="Q287" s="24">
        <v>24</v>
      </c>
      <c r="R287" s="22">
        <v>14</v>
      </c>
      <c r="S287" s="24">
        <v>9</v>
      </c>
      <c r="T287" s="24">
        <f t="shared" si="16"/>
        <v>47</v>
      </c>
      <c r="U287" s="376">
        <v>100.83</v>
      </c>
      <c r="V287" s="376">
        <v>0</v>
      </c>
      <c r="W287" s="22">
        <f t="shared" si="17"/>
        <v>55.859820000000006</v>
      </c>
      <c r="X287" s="22">
        <f t="shared" si="18"/>
        <v>22.5</v>
      </c>
      <c r="Y287" s="22">
        <v>22</v>
      </c>
      <c r="Z287" s="22">
        <v>0.5</v>
      </c>
      <c r="AA287" s="371">
        <v>209.8</v>
      </c>
      <c r="AB287" s="22">
        <v>0.10724499523355577</v>
      </c>
      <c r="AC287" s="24">
        <v>0</v>
      </c>
      <c r="AD287" s="384">
        <v>0</v>
      </c>
    </row>
    <row r="288" spans="1:30">
      <c r="A288" s="21" t="s">
        <v>79</v>
      </c>
      <c r="B288" s="21" t="s">
        <v>80</v>
      </c>
      <c r="C288" s="23">
        <v>184</v>
      </c>
      <c r="D288" s="147">
        <v>17.79</v>
      </c>
      <c r="E288" s="22">
        <v>41.55</v>
      </c>
      <c r="F288" s="22">
        <v>59.339999999999996</v>
      </c>
      <c r="G288" s="22">
        <v>0</v>
      </c>
      <c r="H288" s="22">
        <v>29</v>
      </c>
      <c r="I288" s="22">
        <v>2.9</v>
      </c>
      <c r="J288" s="22">
        <v>13.799999999999999</v>
      </c>
      <c r="K288" s="22">
        <v>0</v>
      </c>
      <c r="L288" s="22">
        <v>0</v>
      </c>
      <c r="M288" s="388">
        <v>647.69999999999993</v>
      </c>
      <c r="N288" s="25">
        <v>0.41170000000000001</v>
      </c>
      <c r="O288" s="24">
        <v>0</v>
      </c>
      <c r="P288" s="24">
        <v>0</v>
      </c>
      <c r="Q288" s="24">
        <v>0</v>
      </c>
      <c r="R288" s="22">
        <v>0</v>
      </c>
      <c r="S288" s="24">
        <v>0</v>
      </c>
      <c r="T288" s="24">
        <f t="shared" si="16"/>
        <v>0</v>
      </c>
      <c r="U288" s="376">
        <v>266.66000000000003</v>
      </c>
      <c r="V288" s="376">
        <v>32.39</v>
      </c>
      <c r="W288" s="22">
        <f t="shared" si="17"/>
        <v>109.78392200000002</v>
      </c>
      <c r="X288" s="22">
        <f t="shared" si="18"/>
        <v>104</v>
      </c>
      <c r="Y288" s="22">
        <v>42.75</v>
      </c>
      <c r="Z288" s="22">
        <v>61.25</v>
      </c>
      <c r="AA288" s="371">
        <v>696.68</v>
      </c>
      <c r="AB288" s="22">
        <v>0.14927943962794971</v>
      </c>
      <c r="AC288" s="24">
        <v>1.4279439627949697E-2</v>
      </c>
      <c r="AD288" s="384">
        <v>-94919.675070547455</v>
      </c>
    </row>
    <row r="289" spans="1:30">
      <c r="A289" s="21" t="s">
        <v>257</v>
      </c>
      <c r="B289" s="21" t="s">
        <v>258</v>
      </c>
      <c r="C289" s="23">
        <v>63</v>
      </c>
      <c r="D289" s="147">
        <v>0</v>
      </c>
      <c r="E289" s="22">
        <v>0</v>
      </c>
      <c r="F289" s="22">
        <v>0</v>
      </c>
      <c r="G289" s="22">
        <v>0</v>
      </c>
      <c r="H289" s="22">
        <v>0</v>
      </c>
      <c r="I289" s="22">
        <v>0</v>
      </c>
      <c r="J289" s="22">
        <v>2.35</v>
      </c>
      <c r="K289" s="22">
        <v>0</v>
      </c>
      <c r="L289" s="22">
        <v>0</v>
      </c>
      <c r="M289" s="388">
        <v>217.35</v>
      </c>
      <c r="N289" s="25">
        <v>0</v>
      </c>
      <c r="O289" s="24">
        <v>0</v>
      </c>
      <c r="P289" s="24">
        <v>15.5</v>
      </c>
      <c r="Q289" s="24">
        <v>7</v>
      </c>
      <c r="R289" s="22">
        <v>8.5</v>
      </c>
      <c r="S289" s="24">
        <v>0</v>
      </c>
      <c r="T289" s="24">
        <f t="shared" si="16"/>
        <v>15.5</v>
      </c>
      <c r="U289" s="376">
        <v>0</v>
      </c>
      <c r="V289" s="376">
        <v>10.87</v>
      </c>
      <c r="W289" s="22">
        <f t="shared" si="17"/>
        <v>0</v>
      </c>
      <c r="X289" s="22">
        <f t="shared" si="18"/>
        <v>17.25</v>
      </c>
      <c r="Y289" s="22">
        <v>10.5</v>
      </c>
      <c r="Z289" s="22">
        <v>6.75</v>
      </c>
      <c r="AA289" s="371">
        <v>191.13</v>
      </c>
      <c r="AB289" s="22">
        <v>9.0252707581227443E-2</v>
      </c>
      <c r="AC289" s="24">
        <v>0</v>
      </c>
      <c r="AD289" s="384">
        <v>0</v>
      </c>
    </row>
    <row r="290" spans="1:30">
      <c r="A290" s="21" t="s">
        <v>201</v>
      </c>
      <c r="B290" s="21" t="s">
        <v>202</v>
      </c>
      <c r="C290" s="23">
        <v>782</v>
      </c>
      <c r="D290" s="147">
        <v>0</v>
      </c>
      <c r="E290" s="22">
        <v>103.33</v>
      </c>
      <c r="F290" s="22">
        <v>103.33</v>
      </c>
      <c r="G290" s="22">
        <v>0</v>
      </c>
      <c r="H290" s="22">
        <v>76</v>
      </c>
      <c r="I290" s="22">
        <v>3.3</v>
      </c>
      <c r="J290" s="22">
        <v>21</v>
      </c>
      <c r="K290" s="22">
        <v>0.8</v>
      </c>
      <c r="L290" s="22">
        <v>0</v>
      </c>
      <c r="M290" s="388">
        <v>2712.1000000000004</v>
      </c>
      <c r="N290" s="25">
        <v>0.749</v>
      </c>
      <c r="O290" s="24">
        <v>2550</v>
      </c>
      <c r="P290" s="24">
        <v>1026.5</v>
      </c>
      <c r="Q290" s="24">
        <v>620.75</v>
      </c>
      <c r="R290" s="22">
        <v>405.75</v>
      </c>
      <c r="S290" s="24">
        <v>19.5</v>
      </c>
      <c r="T290" s="24">
        <f t="shared" si="16"/>
        <v>1046</v>
      </c>
      <c r="U290" s="376">
        <v>2031.09</v>
      </c>
      <c r="V290" s="376">
        <v>135.61000000000001</v>
      </c>
      <c r="W290" s="22">
        <f t="shared" si="17"/>
        <v>1521.2864099999999</v>
      </c>
      <c r="X290" s="22">
        <f t="shared" si="18"/>
        <v>328.75</v>
      </c>
      <c r="Y290" s="22">
        <v>180.5</v>
      </c>
      <c r="Z290" s="22">
        <v>148.25</v>
      </c>
      <c r="AA290" s="371">
        <v>2564.7600000000002</v>
      </c>
      <c r="AB290" s="22">
        <v>0.12817963474165223</v>
      </c>
      <c r="AC290" s="24">
        <v>0</v>
      </c>
      <c r="AD290" s="384">
        <v>0</v>
      </c>
    </row>
    <row r="291" spans="1:30">
      <c r="A291" s="21" t="s">
        <v>511</v>
      </c>
      <c r="B291" s="21" t="s">
        <v>512</v>
      </c>
      <c r="C291" s="23">
        <v>1773</v>
      </c>
      <c r="D291" s="147">
        <v>205.24</v>
      </c>
      <c r="E291" s="22">
        <v>390.78</v>
      </c>
      <c r="F291" s="22">
        <v>596.02</v>
      </c>
      <c r="G291" s="22">
        <v>298.81</v>
      </c>
      <c r="H291" s="22">
        <v>350</v>
      </c>
      <c r="I291" s="22">
        <v>17.68</v>
      </c>
      <c r="J291" s="22">
        <v>366.95</v>
      </c>
      <c r="K291" s="22">
        <v>17.399999999999999</v>
      </c>
      <c r="L291" s="22">
        <v>0</v>
      </c>
      <c r="M291" s="388">
        <v>6839.0299999999988</v>
      </c>
      <c r="N291" s="25">
        <v>0.3085</v>
      </c>
      <c r="O291" s="24">
        <v>0</v>
      </c>
      <c r="P291" s="24">
        <v>129</v>
      </c>
      <c r="Q291" s="24">
        <v>93.5</v>
      </c>
      <c r="R291" s="22">
        <v>35.5</v>
      </c>
      <c r="S291" s="24">
        <v>51.5</v>
      </c>
      <c r="T291" s="24">
        <f t="shared" si="16"/>
        <v>180.5</v>
      </c>
      <c r="U291" s="376">
        <v>2110.52</v>
      </c>
      <c r="V291" s="376">
        <v>341.95</v>
      </c>
      <c r="W291" s="22">
        <f t="shared" si="17"/>
        <v>651.09541999999999</v>
      </c>
      <c r="X291" s="22">
        <f t="shared" si="18"/>
        <v>831.75</v>
      </c>
      <c r="Y291" s="22">
        <v>470</v>
      </c>
      <c r="Z291" s="22">
        <v>361.75</v>
      </c>
      <c r="AA291" s="371">
        <v>6446.42</v>
      </c>
      <c r="AB291" s="22">
        <v>0.12902510230484518</v>
      </c>
      <c r="AC291" s="24">
        <v>0</v>
      </c>
      <c r="AD291" s="384">
        <v>0</v>
      </c>
    </row>
    <row r="292" spans="1:30">
      <c r="A292" s="21" t="s">
        <v>581</v>
      </c>
      <c r="B292" s="21" t="s">
        <v>582</v>
      </c>
      <c r="C292" s="23">
        <v>277</v>
      </c>
      <c r="D292" s="147">
        <v>0</v>
      </c>
      <c r="E292" s="22">
        <v>0</v>
      </c>
      <c r="F292" s="22">
        <v>0</v>
      </c>
      <c r="G292" s="22">
        <v>0</v>
      </c>
      <c r="H292" s="22">
        <v>0</v>
      </c>
      <c r="I292" s="22">
        <v>0</v>
      </c>
      <c r="J292" s="22">
        <v>0</v>
      </c>
      <c r="K292" s="22">
        <v>0</v>
      </c>
      <c r="L292" s="22">
        <v>0</v>
      </c>
      <c r="M292" s="388">
        <v>605</v>
      </c>
      <c r="N292" s="25">
        <v>0.93140000000000001</v>
      </c>
      <c r="O292" s="24">
        <v>580</v>
      </c>
      <c r="P292" s="24">
        <v>163.75</v>
      </c>
      <c r="Q292" s="24">
        <v>143.75</v>
      </c>
      <c r="R292" s="22">
        <v>20</v>
      </c>
      <c r="S292" s="24">
        <v>56.75</v>
      </c>
      <c r="T292" s="24">
        <f t="shared" si="16"/>
        <v>220.5</v>
      </c>
      <c r="U292" s="376">
        <v>563.5</v>
      </c>
      <c r="V292" s="376">
        <v>30.25</v>
      </c>
      <c r="W292" s="22">
        <f t="shared" si="17"/>
        <v>524.84389999999996</v>
      </c>
      <c r="X292" s="22">
        <f t="shared" si="18"/>
        <v>69.75</v>
      </c>
      <c r="Y292" s="22">
        <v>53.75</v>
      </c>
      <c r="Z292" s="22">
        <v>16</v>
      </c>
      <c r="AA292" s="371">
        <v>565.45000000000005</v>
      </c>
      <c r="AB292" s="22">
        <v>0.1233530816164117</v>
      </c>
      <c r="AC292" s="24">
        <v>0</v>
      </c>
      <c r="AD292" s="384">
        <v>0</v>
      </c>
    </row>
    <row r="293" spans="1:30">
      <c r="A293" s="21" t="s">
        <v>369</v>
      </c>
      <c r="B293" s="21" t="s">
        <v>370</v>
      </c>
      <c r="C293" s="23">
        <v>1530</v>
      </c>
      <c r="D293" s="147">
        <v>0</v>
      </c>
      <c r="E293" s="22">
        <v>297.42</v>
      </c>
      <c r="F293" s="22">
        <v>297.42</v>
      </c>
      <c r="G293" s="22">
        <v>0</v>
      </c>
      <c r="H293" s="22">
        <v>225</v>
      </c>
      <c r="I293" s="22">
        <v>4.6900000000000004</v>
      </c>
      <c r="J293" s="22">
        <v>52.400000000000006</v>
      </c>
      <c r="K293" s="22">
        <v>0</v>
      </c>
      <c r="L293" s="22">
        <v>0</v>
      </c>
      <c r="M293" s="388">
        <v>5532.0899999999992</v>
      </c>
      <c r="N293" s="25">
        <v>0.36459999999999998</v>
      </c>
      <c r="O293" s="24">
        <v>0</v>
      </c>
      <c r="P293" s="24">
        <v>293</v>
      </c>
      <c r="Q293" s="24">
        <v>221.25</v>
      </c>
      <c r="R293" s="22">
        <v>71.75</v>
      </c>
      <c r="S293" s="24">
        <v>97.25</v>
      </c>
      <c r="T293" s="24">
        <f t="shared" si="16"/>
        <v>390.25</v>
      </c>
      <c r="U293" s="376">
        <v>2017.55</v>
      </c>
      <c r="V293" s="376">
        <v>276.60000000000002</v>
      </c>
      <c r="W293" s="22">
        <f t="shared" si="17"/>
        <v>735.59872999999993</v>
      </c>
      <c r="X293" s="22">
        <f t="shared" si="18"/>
        <v>544.5</v>
      </c>
      <c r="Y293" s="22">
        <v>274.5</v>
      </c>
      <c r="Z293" s="22">
        <v>270</v>
      </c>
      <c r="AA293" s="371">
        <v>5597.44</v>
      </c>
      <c r="AB293" s="22">
        <v>9.727661216556141E-2</v>
      </c>
      <c r="AC293" s="24">
        <v>0</v>
      </c>
      <c r="AD293" s="384">
        <v>0</v>
      </c>
    </row>
    <row r="294" spans="1:30">
      <c r="A294" s="21" t="s">
        <v>489</v>
      </c>
      <c r="B294" s="21" t="s">
        <v>490</v>
      </c>
      <c r="C294" s="23">
        <v>117</v>
      </c>
      <c r="D294" s="147">
        <v>0</v>
      </c>
      <c r="E294" s="22">
        <v>0</v>
      </c>
      <c r="F294" s="22">
        <v>0</v>
      </c>
      <c r="G294" s="22">
        <v>0</v>
      </c>
      <c r="H294" s="22">
        <v>0</v>
      </c>
      <c r="I294" s="22">
        <v>0.25</v>
      </c>
      <c r="J294" s="22">
        <v>900.75</v>
      </c>
      <c r="K294" s="22">
        <v>0</v>
      </c>
      <c r="L294" s="22">
        <v>0</v>
      </c>
      <c r="M294" s="388">
        <v>1192</v>
      </c>
      <c r="N294" s="25">
        <v>0.22850000000000001</v>
      </c>
      <c r="O294" s="24">
        <v>259</v>
      </c>
      <c r="P294" s="24">
        <v>36.75</v>
      </c>
      <c r="Q294" s="24">
        <v>26.5</v>
      </c>
      <c r="R294" s="22">
        <v>10.25</v>
      </c>
      <c r="S294" s="24">
        <v>3</v>
      </c>
      <c r="T294" s="24">
        <f t="shared" si="16"/>
        <v>39.75</v>
      </c>
      <c r="U294" s="376">
        <v>272.13</v>
      </c>
      <c r="V294" s="376">
        <v>59.6</v>
      </c>
      <c r="W294" s="22">
        <f t="shared" si="17"/>
        <v>62.181705000000001</v>
      </c>
      <c r="X294" s="22">
        <f t="shared" si="18"/>
        <v>109.5</v>
      </c>
      <c r="Y294" s="22">
        <v>99</v>
      </c>
      <c r="Z294" s="22">
        <v>10.5</v>
      </c>
      <c r="AA294" s="371">
        <v>1156.2</v>
      </c>
      <c r="AB294" s="22">
        <v>9.4706798131811099E-2</v>
      </c>
      <c r="AC294" s="24">
        <v>0</v>
      </c>
      <c r="AD294" s="384">
        <v>0</v>
      </c>
    </row>
    <row r="295" spans="1:30">
      <c r="A295" s="21" t="s">
        <v>55</v>
      </c>
      <c r="B295" s="21" t="s">
        <v>56</v>
      </c>
      <c r="C295" s="23">
        <v>7259</v>
      </c>
      <c r="D295" s="147">
        <v>264.52</v>
      </c>
      <c r="E295" s="22">
        <v>1367.27</v>
      </c>
      <c r="F295" s="22">
        <v>1631.79</v>
      </c>
      <c r="G295" s="22">
        <v>0</v>
      </c>
      <c r="H295" s="22">
        <v>450</v>
      </c>
      <c r="I295" s="22">
        <v>4.42</v>
      </c>
      <c r="J295" s="22">
        <v>1056.3499999999999</v>
      </c>
      <c r="K295" s="22">
        <v>212.39</v>
      </c>
      <c r="L295" s="22">
        <v>0.37</v>
      </c>
      <c r="M295" s="388">
        <v>22432.529999999995</v>
      </c>
      <c r="N295" s="25">
        <v>0.48480000000000001</v>
      </c>
      <c r="O295" s="24">
        <v>12505</v>
      </c>
      <c r="P295" s="24">
        <v>2930.5</v>
      </c>
      <c r="Q295" s="24">
        <v>1833</v>
      </c>
      <c r="R295" s="22">
        <v>1097.5</v>
      </c>
      <c r="S295" s="24">
        <v>481.75</v>
      </c>
      <c r="T295" s="24">
        <f t="shared" si="16"/>
        <v>3412.25</v>
      </c>
      <c r="U295" s="376">
        <v>10877.53</v>
      </c>
      <c r="V295" s="376">
        <v>1121.6300000000001</v>
      </c>
      <c r="W295" s="22">
        <f t="shared" si="17"/>
        <v>5273.4265440000008</v>
      </c>
      <c r="X295" s="22">
        <f t="shared" si="18"/>
        <v>2856.25</v>
      </c>
      <c r="Y295" s="22">
        <v>1787</v>
      </c>
      <c r="Z295" s="22">
        <v>1069.25</v>
      </c>
      <c r="AA295" s="371">
        <v>21527.19</v>
      </c>
      <c r="AB295" s="22">
        <v>0.13268104197528802</v>
      </c>
      <c r="AC295" s="24">
        <v>0</v>
      </c>
      <c r="AD295" s="384">
        <v>0</v>
      </c>
    </row>
    <row r="296" spans="1:30">
      <c r="A296" s="21" t="s">
        <v>193</v>
      </c>
      <c r="B296" s="21" t="s">
        <v>194</v>
      </c>
      <c r="C296" s="23">
        <v>273</v>
      </c>
      <c r="D296" s="147">
        <v>21.13</v>
      </c>
      <c r="E296" s="22">
        <v>96.95</v>
      </c>
      <c r="F296" s="22">
        <v>118.08</v>
      </c>
      <c r="G296" s="22">
        <v>0</v>
      </c>
      <c r="H296" s="22">
        <v>45</v>
      </c>
      <c r="I296" s="22">
        <v>0.68</v>
      </c>
      <c r="J296" s="22">
        <v>129.49</v>
      </c>
      <c r="K296" s="22">
        <v>0</v>
      </c>
      <c r="L296" s="22">
        <v>0</v>
      </c>
      <c r="M296" s="388">
        <v>1489.17</v>
      </c>
      <c r="N296" s="25">
        <v>0.2329</v>
      </c>
      <c r="O296" s="24">
        <v>39</v>
      </c>
      <c r="P296" s="24">
        <v>74.75</v>
      </c>
      <c r="Q296" s="24">
        <v>43.5</v>
      </c>
      <c r="R296" s="22">
        <v>31.25</v>
      </c>
      <c r="S296" s="24">
        <v>6</v>
      </c>
      <c r="T296" s="24">
        <f t="shared" si="16"/>
        <v>80.75</v>
      </c>
      <c r="U296" s="376">
        <v>347.57</v>
      </c>
      <c r="V296" s="376">
        <v>74.459999999999994</v>
      </c>
      <c r="W296" s="22">
        <f t="shared" si="17"/>
        <v>80.949052999999992</v>
      </c>
      <c r="X296" s="22">
        <f t="shared" si="18"/>
        <v>165</v>
      </c>
      <c r="Y296" s="22">
        <v>129</v>
      </c>
      <c r="Z296" s="22">
        <v>36</v>
      </c>
      <c r="AA296" s="371">
        <v>1483.22</v>
      </c>
      <c r="AB296" s="22">
        <v>0.11124445463248878</v>
      </c>
      <c r="AC296" s="24">
        <v>0</v>
      </c>
      <c r="AD296" s="384">
        <v>0</v>
      </c>
    </row>
    <row r="297" spans="1:30">
      <c r="A297" s="21" t="s">
        <v>1024</v>
      </c>
      <c r="B297" s="21" t="s">
        <v>1044</v>
      </c>
      <c r="C297" s="23">
        <v>55.2</v>
      </c>
      <c r="D297" s="147">
        <v>0</v>
      </c>
      <c r="E297" s="22">
        <v>0</v>
      </c>
      <c r="F297" s="22">
        <v>0</v>
      </c>
      <c r="G297" s="22">
        <v>0</v>
      </c>
      <c r="H297" s="22">
        <v>0</v>
      </c>
      <c r="I297" s="22">
        <v>0</v>
      </c>
      <c r="J297" s="22">
        <v>0</v>
      </c>
      <c r="K297" s="22">
        <v>0</v>
      </c>
      <c r="L297" s="22">
        <v>0</v>
      </c>
      <c r="M297" s="388">
        <v>125.60000000000001</v>
      </c>
      <c r="N297" s="25">
        <v>0.9919</v>
      </c>
      <c r="O297" s="24">
        <v>124</v>
      </c>
      <c r="P297" s="24">
        <v>0</v>
      </c>
      <c r="Q297" s="24">
        <v>0</v>
      </c>
      <c r="R297" s="22">
        <v>0</v>
      </c>
      <c r="S297" s="24">
        <v>0</v>
      </c>
      <c r="T297" s="24">
        <f t="shared" si="16"/>
        <v>0</v>
      </c>
      <c r="U297" s="376">
        <v>124.58</v>
      </c>
      <c r="V297" s="376">
        <v>0</v>
      </c>
      <c r="W297" s="22">
        <f t="shared" si="17"/>
        <v>123.570902</v>
      </c>
      <c r="X297" s="22">
        <f t="shared" si="18"/>
        <v>16.5</v>
      </c>
      <c r="Y297" s="22">
        <v>15.5</v>
      </c>
      <c r="Z297" s="22">
        <v>1</v>
      </c>
      <c r="AA297" s="371">
        <v>125.6</v>
      </c>
      <c r="AB297" s="22">
        <v>0.13136942675159236</v>
      </c>
      <c r="AC297" s="24">
        <v>0</v>
      </c>
      <c r="AD297" s="384">
        <v>0</v>
      </c>
    </row>
    <row r="298" spans="1:30">
      <c r="A298" s="21" t="s">
        <v>523</v>
      </c>
      <c r="B298" s="21" t="s">
        <v>524</v>
      </c>
      <c r="C298" s="23">
        <v>105</v>
      </c>
      <c r="D298" s="147">
        <v>0</v>
      </c>
      <c r="E298" s="22">
        <v>25.53</v>
      </c>
      <c r="F298" s="22">
        <v>25.53</v>
      </c>
      <c r="G298" s="22">
        <v>0</v>
      </c>
      <c r="H298" s="22">
        <v>7</v>
      </c>
      <c r="I298" s="22">
        <v>0.53</v>
      </c>
      <c r="J298" s="22">
        <v>19.79</v>
      </c>
      <c r="K298" s="22">
        <v>0</v>
      </c>
      <c r="L298" s="22">
        <v>0</v>
      </c>
      <c r="M298" s="388">
        <v>410.32</v>
      </c>
      <c r="N298" s="25">
        <v>0.64859999999999995</v>
      </c>
      <c r="O298" s="24">
        <v>462</v>
      </c>
      <c r="P298" s="24">
        <v>16.25</v>
      </c>
      <c r="Q298" s="24">
        <v>7.75</v>
      </c>
      <c r="R298" s="22">
        <v>8.5</v>
      </c>
      <c r="S298" s="24">
        <v>0</v>
      </c>
      <c r="T298" s="24">
        <f t="shared" si="16"/>
        <v>16.25</v>
      </c>
      <c r="U298" s="376">
        <v>266.13</v>
      </c>
      <c r="V298" s="376">
        <v>0</v>
      </c>
      <c r="W298" s="22">
        <f t="shared" si="17"/>
        <v>172.61191799999997</v>
      </c>
      <c r="X298" s="22">
        <f t="shared" si="18"/>
        <v>76.25</v>
      </c>
      <c r="Y298" s="22">
        <v>43.75</v>
      </c>
      <c r="Z298" s="22">
        <v>32.5</v>
      </c>
      <c r="AA298" s="371">
        <v>451.68</v>
      </c>
      <c r="AB298" s="22">
        <v>0.16881420474672335</v>
      </c>
      <c r="AC298" s="24">
        <v>3.3814204746723336E-2</v>
      </c>
      <c r="AD298" s="384">
        <v>-145065.94337982597</v>
      </c>
    </row>
    <row r="299" spans="1:30">
      <c r="A299" s="21" t="s">
        <v>121</v>
      </c>
      <c r="B299" s="21" t="s">
        <v>122</v>
      </c>
      <c r="C299" s="23">
        <v>692</v>
      </c>
      <c r="D299" s="147">
        <v>65.14</v>
      </c>
      <c r="E299" s="22">
        <v>208.3</v>
      </c>
      <c r="F299" s="22">
        <v>273.44</v>
      </c>
      <c r="G299" s="22">
        <v>0</v>
      </c>
      <c r="H299" s="22">
        <v>0</v>
      </c>
      <c r="I299" s="22">
        <v>1.99</v>
      </c>
      <c r="J299" s="22">
        <v>0</v>
      </c>
      <c r="K299" s="22">
        <v>0</v>
      </c>
      <c r="L299" s="22">
        <v>0</v>
      </c>
      <c r="M299" s="388">
        <v>2470.9899999999998</v>
      </c>
      <c r="N299" s="25">
        <v>0.96860000000000002</v>
      </c>
      <c r="O299" s="24">
        <v>2453</v>
      </c>
      <c r="P299" s="24">
        <v>1197</v>
      </c>
      <c r="Q299" s="24">
        <v>747.75</v>
      </c>
      <c r="R299" s="22">
        <v>449.25</v>
      </c>
      <c r="S299" s="24">
        <v>228.5</v>
      </c>
      <c r="T299" s="24">
        <f t="shared" si="16"/>
        <v>1425.5</v>
      </c>
      <c r="U299" s="376">
        <v>2392.41</v>
      </c>
      <c r="V299" s="376">
        <v>123.55</v>
      </c>
      <c r="W299" s="22">
        <f t="shared" si="17"/>
        <v>2317.2883259999999</v>
      </c>
      <c r="X299" s="22">
        <f t="shared" si="18"/>
        <v>294.25</v>
      </c>
      <c r="Y299" s="22">
        <v>168.75</v>
      </c>
      <c r="Z299" s="22">
        <v>125.5</v>
      </c>
      <c r="AA299" s="371">
        <v>2428.12</v>
      </c>
      <c r="AB299" s="22">
        <v>0.1211842907269822</v>
      </c>
      <c r="AC299" s="24">
        <v>0</v>
      </c>
      <c r="AD299" s="384">
        <v>0</v>
      </c>
    </row>
    <row r="300" spans="1:30">
      <c r="A300" s="21" t="s">
        <v>535</v>
      </c>
      <c r="B300" s="21" t="s">
        <v>536</v>
      </c>
      <c r="C300" s="23">
        <v>67</v>
      </c>
      <c r="D300" s="147">
        <v>4.5</v>
      </c>
      <c r="E300" s="22">
        <v>10.26</v>
      </c>
      <c r="F300" s="22">
        <v>14.76</v>
      </c>
      <c r="G300" s="22">
        <v>0</v>
      </c>
      <c r="H300" s="22">
        <v>3</v>
      </c>
      <c r="I300" s="22">
        <v>0.67</v>
      </c>
      <c r="J300" s="22">
        <v>0</v>
      </c>
      <c r="K300" s="22">
        <v>0</v>
      </c>
      <c r="L300" s="22">
        <v>0</v>
      </c>
      <c r="M300" s="388">
        <v>234.67</v>
      </c>
      <c r="N300" s="25">
        <v>0.56779999999999997</v>
      </c>
      <c r="O300" s="24">
        <v>267</v>
      </c>
      <c r="P300" s="24">
        <v>1.5</v>
      </c>
      <c r="Q300" s="24">
        <v>0.5</v>
      </c>
      <c r="R300" s="22">
        <v>1</v>
      </c>
      <c r="S300" s="24">
        <v>0</v>
      </c>
      <c r="T300" s="24">
        <f t="shared" si="16"/>
        <v>1.5</v>
      </c>
      <c r="U300" s="376">
        <v>133.25</v>
      </c>
      <c r="V300" s="376">
        <v>0</v>
      </c>
      <c r="W300" s="22">
        <f t="shared" si="17"/>
        <v>75.659349999999989</v>
      </c>
      <c r="X300" s="22">
        <f t="shared" si="18"/>
        <v>21.75</v>
      </c>
      <c r="Y300" s="22">
        <v>20.75</v>
      </c>
      <c r="Z300" s="22">
        <v>1</v>
      </c>
      <c r="AA300" s="371">
        <v>264.05</v>
      </c>
      <c r="AB300" s="22">
        <v>8.2370763113046766E-2</v>
      </c>
      <c r="AC300" s="24">
        <v>0</v>
      </c>
      <c r="AD300" s="384">
        <v>0</v>
      </c>
    </row>
    <row r="301" spans="1:30">
      <c r="A301" s="21" t="s">
        <v>527</v>
      </c>
      <c r="B301" s="21" t="s">
        <v>528</v>
      </c>
      <c r="C301" s="23">
        <v>1600</v>
      </c>
      <c r="D301" s="147">
        <v>64.94</v>
      </c>
      <c r="E301" s="22">
        <v>293.41000000000003</v>
      </c>
      <c r="F301" s="22">
        <v>358.35</v>
      </c>
      <c r="G301" s="22">
        <v>92.35</v>
      </c>
      <c r="H301" s="22">
        <v>99</v>
      </c>
      <c r="I301" s="22">
        <v>9.11</v>
      </c>
      <c r="J301" s="22">
        <v>344.87</v>
      </c>
      <c r="K301" s="22">
        <v>94.2</v>
      </c>
      <c r="L301" s="22">
        <v>0.2</v>
      </c>
      <c r="M301" s="388">
        <v>5612.3799999999992</v>
      </c>
      <c r="N301" s="25">
        <v>0.55479999999999996</v>
      </c>
      <c r="O301" s="24">
        <v>2707</v>
      </c>
      <c r="P301" s="24">
        <v>780.25</v>
      </c>
      <c r="Q301" s="24">
        <v>541</v>
      </c>
      <c r="R301" s="22">
        <v>239.25</v>
      </c>
      <c r="S301" s="24">
        <v>140.5</v>
      </c>
      <c r="T301" s="24">
        <f t="shared" si="16"/>
        <v>920.75</v>
      </c>
      <c r="U301" s="376">
        <v>3113.75</v>
      </c>
      <c r="V301" s="376">
        <v>280.62</v>
      </c>
      <c r="W301" s="22">
        <f t="shared" si="17"/>
        <v>1727.5084999999999</v>
      </c>
      <c r="X301" s="22">
        <f t="shared" si="18"/>
        <v>799</v>
      </c>
      <c r="Y301" s="22">
        <v>459.75</v>
      </c>
      <c r="Z301" s="22">
        <v>339.25</v>
      </c>
      <c r="AA301" s="371">
        <v>5465.81</v>
      </c>
      <c r="AB301" s="22">
        <v>0.14618144428730598</v>
      </c>
      <c r="AC301" s="24">
        <v>1.1181444287305969E-2</v>
      </c>
      <c r="AD301" s="384">
        <v>-585756.86932705098</v>
      </c>
    </row>
    <row r="302" spans="1:30">
      <c r="A302" s="21" t="s">
        <v>605</v>
      </c>
      <c r="B302" s="21" t="s">
        <v>606</v>
      </c>
      <c r="C302" s="23">
        <v>880</v>
      </c>
      <c r="D302" s="147">
        <v>57.4</v>
      </c>
      <c r="E302" s="22">
        <v>256.31</v>
      </c>
      <c r="F302" s="22">
        <v>313.70999999999998</v>
      </c>
      <c r="G302" s="22">
        <v>0</v>
      </c>
      <c r="H302" s="22">
        <v>10</v>
      </c>
      <c r="I302" s="22">
        <v>1.08</v>
      </c>
      <c r="J302" s="22">
        <v>28.75</v>
      </c>
      <c r="K302" s="22">
        <v>4.2</v>
      </c>
      <c r="L302" s="22">
        <v>0</v>
      </c>
      <c r="M302" s="388">
        <v>3080.0299999999997</v>
      </c>
      <c r="N302" s="25">
        <v>0.90939999999999999</v>
      </c>
      <c r="O302" s="24">
        <v>3145</v>
      </c>
      <c r="P302" s="24">
        <v>1045</v>
      </c>
      <c r="Q302" s="24">
        <v>595.5</v>
      </c>
      <c r="R302" s="22">
        <v>449.5</v>
      </c>
      <c r="S302" s="24">
        <v>151.25</v>
      </c>
      <c r="T302" s="24">
        <f t="shared" si="16"/>
        <v>1196.25</v>
      </c>
      <c r="U302" s="376">
        <v>2800.06</v>
      </c>
      <c r="V302" s="376">
        <v>154</v>
      </c>
      <c r="W302" s="22">
        <f t="shared" si="17"/>
        <v>2546.3745639999997</v>
      </c>
      <c r="X302" s="22">
        <f t="shared" si="18"/>
        <v>385.25</v>
      </c>
      <c r="Y302" s="22">
        <v>290</v>
      </c>
      <c r="Z302" s="22">
        <v>95.25</v>
      </c>
      <c r="AA302" s="371">
        <v>3067.73</v>
      </c>
      <c r="AB302" s="22">
        <v>0.1255814559951495</v>
      </c>
      <c r="AC302" s="24">
        <v>0</v>
      </c>
      <c r="AD302" s="384">
        <v>0</v>
      </c>
    </row>
    <row r="303" spans="1:30">
      <c r="A303" s="21" t="s">
        <v>125</v>
      </c>
      <c r="B303" s="21" t="s">
        <v>126</v>
      </c>
      <c r="C303" s="23">
        <v>247</v>
      </c>
      <c r="D303" s="147">
        <v>3.09</v>
      </c>
      <c r="E303" s="22">
        <v>54.3</v>
      </c>
      <c r="F303" s="22">
        <v>57.39</v>
      </c>
      <c r="G303" s="22">
        <v>0</v>
      </c>
      <c r="H303" s="22">
        <v>23</v>
      </c>
      <c r="I303" s="22">
        <v>2.0699999999999998</v>
      </c>
      <c r="J303" s="22">
        <v>0</v>
      </c>
      <c r="K303" s="22">
        <v>0</v>
      </c>
      <c r="L303" s="22">
        <v>0</v>
      </c>
      <c r="M303" s="388">
        <v>863.07</v>
      </c>
      <c r="N303" s="25">
        <v>0.85399999999999998</v>
      </c>
      <c r="O303" s="24">
        <v>902</v>
      </c>
      <c r="P303" s="24">
        <v>236.25</v>
      </c>
      <c r="Q303" s="24">
        <v>158.75</v>
      </c>
      <c r="R303" s="22">
        <v>77.5</v>
      </c>
      <c r="S303" s="24">
        <v>53.25</v>
      </c>
      <c r="T303" s="24">
        <f t="shared" si="16"/>
        <v>289.5</v>
      </c>
      <c r="U303" s="376">
        <v>737.06</v>
      </c>
      <c r="V303" s="376">
        <v>43.15</v>
      </c>
      <c r="W303" s="22">
        <f t="shared" si="17"/>
        <v>629.44923999999992</v>
      </c>
      <c r="X303" s="22">
        <f t="shared" si="18"/>
        <v>123.5</v>
      </c>
      <c r="Y303" s="22">
        <v>43.5</v>
      </c>
      <c r="Z303" s="22">
        <v>80</v>
      </c>
      <c r="AA303" s="371">
        <v>887.16</v>
      </c>
      <c r="AB303" s="22">
        <v>0.13920826006582804</v>
      </c>
      <c r="AC303" s="24">
        <v>4.2082600658280289E-3</v>
      </c>
      <c r="AD303" s="384">
        <v>-34906.051557844497</v>
      </c>
    </row>
    <row r="304" spans="1:30">
      <c r="A304" s="21" t="s">
        <v>63</v>
      </c>
      <c r="B304" s="21" t="s">
        <v>64</v>
      </c>
      <c r="C304" s="23">
        <v>865</v>
      </c>
      <c r="D304" s="147">
        <v>43.91</v>
      </c>
      <c r="E304" s="22">
        <v>224.87</v>
      </c>
      <c r="F304" s="22">
        <v>268.77999999999997</v>
      </c>
      <c r="G304" s="22">
        <v>0</v>
      </c>
      <c r="H304" s="22">
        <v>90</v>
      </c>
      <c r="I304" s="22">
        <v>0.7</v>
      </c>
      <c r="J304" s="22">
        <v>108.76</v>
      </c>
      <c r="K304" s="22">
        <v>5.4</v>
      </c>
      <c r="L304" s="22">
        <v>0</v>
      </c>
      <c r="M304" s="388">
        <v>2911.86</v>
      </c>
      <c r="N304" s="25">
        <v>0.34239999999999998</v>
      </c>
      <c r="O304" s="24">
        <v>0</v>
      </c>
      <c r="P304" s="24">
        <v>77.25</v>
      </c>
      <c r="Q304" s="24">
        <v>43.75</v>
      </c>
      <c r="R304" s="22">
        <v>33.5</v>
      </c>
      <c r="S304" s="24">
        <v>11</v>
      </c>
      <c r="T304" s="24">
        <f t="shared" si="16"/>
        <v>88.25</v>
      </c>
      <c r="U304" s="376">
        <v>997.02</v>
      </c>
      <c r="V304" s="376">
        <v>145.59</v>
      </c>
      <c r="W304" s="22">
        <f t="shared" si="17"/>
        <v>341.37964799999997</v>
      </c>
      <c r="X304" s="22">
        <f t="shared" si="18"/>
        <v>440.75</v>
      </c>
      <c r="Y304" s="22">
        <v>316.25</v>
      </c>
      <c r="Z304" s="22">
        <v>124.5</v>
      </c>
      <c r="AA304" s="371">
        <v>2943.94</v>
      </c>
      <c r="AB304" s="22">
        <v>0.14971432841701937</v>
      </c>
      <c r="AC304" s="24">
        <v>1.4714328417019362E-2</v>
      </c>
      <c r="AD304" s="384">
        <v>-426186.03932270949</v>
      </c>
    </row>
    <row r="305" spans="1:30">
      <c r="A305" s="21" t="s">
        <v>3</v>
      </c>
      <c r="B305" s="21" t="s">
        <v>4</v>
      </c>
      <c r="C305" s="23">
        <v>17</v>
      </c>
      <c r="D305" s="147">
        <v>2.9</v>
      </c>
      <c r="E305" s="22">
        <v>2.7</v>
      </c>
      <c r="F305" s="22">
        <v>5.6</v>
      </c>
      <c r="G305" s="22">
        <v>0</v>
      </c>
      <c r="H305" s="22">
        <v>0</v>
      </c>
      <c r="I305" s="22">
        <v>0</v>
      </c>
      <c r="J305" s="22">
        <v>0</v>
      </c>
      <c r="K305" s="22">
        <v>0</v>
      </c>
      <c r="L305" s="22">
        <v>0</v>
      </c>
      <c r="M305" s="388">
        <v>67</v>
      </c>
      <c r="N305" s="25">
        <v>0.74390000000000001</v>
      </c>
      <c r="O305" s="24">
        <v>82</v>
      </c>
      <c r="P305" s="24">
        <v>1</v>
      </c>
      <c r="Q305" s="24">
        <v>1</v>
      </c>
      <c r="R305" s="22">
        <v>0</v>
      </c>
      <c r="S305" s="24">
        <v>0</v>
      </c>
      <c r="T305" s="24">
        <f t="shared" si="16"/>
        <v>1</v>
      </c>
      <c r="U305" s="376">
        <v>49.84</v>
      </c>
      <c r="V305" s="376">
        <v>3.35</v>
      </c>
      <c r="W305" s="22">
        <f t="shared" si="17"/>
        <v>37.075976000000004</v>
      </c>
      <c r="X305" s="22">
        <f t="shared" si="18"/>
        <v>5.5</v>
      </c>
      <c r="Y305" s="22">
        <v>5.5</v>
      </c>
      <c r="Z305" s="22">
        <v>0</v>
      </c>
      <c r="AA305" s="371">
        <v>78.12</v>
      </c>
      <c r="AB305" s="22">
        <v>7.040450588837685E-2</v>
      </c>
      <c r="AC305" s="24">
        <v>0</v>
      </c>
      <c r="AD305" s="384">
        <v>0</v>
      </c>
    </row>
    <row r="306" spans="1:30">
      <c r="A306" s="21" t="s">
        <v>99</v>
      </c>
      <c r="B306" s="21" t="s">
        <v>100</v>
      </c>
      <c r="C306" s="23">
        <v>76</v>
      </c>
      <c r="D306" s="147">
        <v>1.39</v>
      </c>
      <c r="E306" s="22">
        <v>13.83</v>
      </c>
      <c r="F306" s="22">
        <v>15.22</v>
      </c>
      <c r="G306" s="22">
        <v>0</v>
      </c>
      <c r="H306" s="22">
        <v>9</v>
      </c>
      <c r="I306" s="22">
        <v>0.17</v>
      </c>
      <c r="J306" s="22">
        <v>0</v>
      </c>
      <c r="K306" s="22">
        <v>0</v>
      </c>
      <c r="L306" s="22">
        <v>0</v>
      </c>
      <c r="M306" s="388">
        <v>275.17</v>
      </c>
      <c r="N306" s="25">
        <v>0.55989999999999995</v>
      </c>
      <c r="O306" s="24">
        <v>255</v>
      </c>
      <c r="P306" s="24">
        <v>14</v>
      </c>
      <c r="Q306" s="24">
        <v>8</v>
      </c>
      <c r="R306" s="22">
        <v>6</v>
      </c>
      <c r="S306" s="24">
        <v>3</v>
      </c>
      <c r="T306" s="24">
        <f t="shared" si="16"/>
        <v>17</v>
      </c>
      <c r="U306" s="376">
        <v>154.07</v>
      </c>
      <c r="V306" s="376">
        <v>13.76</v>
      </c>
      <c r="W306" s="22">
        <f t="shared" si="17"/>
        <v>86.263792999999993</v>
      </c>
      <c r="X306" s="22">
        <f t="shared" si="18"/>
        <v>43</v>
      </c>
      <c r="Y306" s="22">
        <v>35</v>
      </c>
      <c r="Z306" s="22">
        <v>8</v>
      </c>
      <c r="AA306" s="371">
        <v>258.76</v>
      </c>
      <c r="AB306" s="22">
        <v>0.16617715257381357</v>
      </c>
      <c r="AC306" s="24">
        <v>3.1177152573813566E-2</v>
      </c>
      <c r="AD306" s="384">
        <v>-75654.191975786787</v>
      </c>
    </row>
    <row r="307" spans="1:30">
      <c r="A307" s="21" t="s">
        <v>487</v>
      </c>
      <c r="B307" s="21" t="s">
        <v>488</v>
      </c>
      <c r="C307" s="23">
        <v>140</v>
      </c>
      <c r="D307" s="147">
        <v>0</v>
      </c>
      <c r="E307" s="22">
        <v>6.6</v>
      </c>
      <c r="F307" s="22">
        <v>6.6</v>
      </c>
      <c r="G307" s="22">
        <v>0</v>
      </c>
      <c r="H307" s="22">
        <v>1</v>
      </c>
      <c r="I307" s="22">
        <v>0.08</v>
      </c>
      <c r="J307" s="22">
        <v>0</v>
      </c>
      <c r="K307" s="22">
        <v>21.6</v>
      </c>
      <c r="L307" s="22">
        <v>0</v>
      </c>
      <c r="M307" s="388">
        <v>463.68</v>
      </c>
      <c r="N307" s="25">
        <v>0.8992</v>
      </c>
      <c r="O307" s="24">
        <v>397</v>
      </c>
      <c r="P307" s="24">
        <v>0</v>
      </c>
      <c r="Q307" s="24">
        <v>0</v>
      </c>
      <c r="R307" s="22">
        <v>0</v>
      </c>
      <c r="S307" s="24">
        <v>0</v>
      </c>
      <c r="T307" s="24">
        <f t="shared" si="16"/>
        <v>0</v>
      </c>
      <c r="U307" s="376">
        <v>416.94</v>
      </c>
      <c r="V307" s="376">
        <v>23.18</v>
      </c>
      <c r="W307" s="22">
        <f t="shared" si="17"/>
        <v>374.91244799999998</v>
      </c>
      <c r="X307" s="22">
        <f t="shared" si="18"/>
        <v>63.25</v>
      </c>
      <c r="Y307" s="22">
        <v>54.75</v>
      </c>
      <c r="Z307" s="22">
        <v>8.5</v>
      </c>
      <c r="AA307" s="371">
        <v>390.86</v>
      </c>
      <c r="AB307" s="22">
        <v>0.16182264749526684</v>
      </c>
      <c r="AC307" s="24">
        <v>2.6822647495266833E-2</v>
      </c>
      <c r="AD307" s="384">
        <v>-99117.020916573834</v>
      </c>
    </row>
    <row r="308" spans="1:30">
      <c r="A308" s="21" t="s">
        <v>41</v>
      </c>
      <c r="B308" s="21" t="s">
        <v>42</v>
      </c>
      <c r="C308" s="23">
        <v>1834</v>
      </c>
      <c r="D308" s="147">
        <v>166.8</v>
      </c>
      <c r="E308" s="22">
        <v>535.94000000000005</v>
      </c>
      <c r="F308" s="22">
        <v>702.74</v>
      </c>
      <c r="G308" s="22">
        <v>198.04</v>
      </c>
      <c r="H308" s="22">
        <v>241</v>
      </c>
      <c r="I308" s="22">
        <v>15</v>
      </c>
      <c r="J308" s="22">
        <v>431.81000000000006</v>
      </c>
      <c r="K308" s="22">
        <v>49.66</v>
      </c>
      <c r="L308" s="22">
        <v>0</v>
      </c>
      <c r="M308" s="388">
        <v>6795.47</v>
      </c>
      <c r="N308" s="25">
        <v>0.58699999999999997</v>
      </c>
      <c r="O308" s="24">
        <v>6253</v>
      </c>
      <c r="P308" s="24">
        <v>1567.5</v>
      </c>
      <c r="Q308" s="24">
        <v>997</v>
      </c>
      <c r="R308" s="22">
        <v>570.5</v>
      </c>
      <c r="S308" s="24">
        <v>366.75</v>
      </c>
      <c r="T308" s="24">
        <f t="shared" si="16"/>
        <v>1934.25</v>
      </c>
      <c r="U308" s="376">
        <v>3988.94</v>
      </c>
      <c r="V308" s="376">
        <v>0</v>
      </c>
      <c r="W308" s="22">
        <f t="shared" si="17"/>
        <v>2341.5077799999999</v>
      </c>
      <c r="X308" s="22">
        <f t="shared" si="18"/>
        <v>947.25</v>
      </c>
      <c r="Y308" s="22">
        <v>754.5</v>
      </c>
      <c r="Z308" s="22">
        <v>192.75</v>
      </c>
      <c r="AA308" s="371">
        <v>7239.14</v>
      </c>
      <c r="AB308" s="22">
        <v>0.13085117845489933</v>
      </c>
      <c r="AC308" s="24">
        <v>0</v>
      </c>
      <c r="AD308" s="384">
        <v>0</v>
      </c>
    </row>
    <row r="309" spans="1:30">
      <c r="A309" s="21" t="s">
        <v>473</v>
      </c>
      <c r="B309" s="21" t="s">
        <v>474</v>
      </c>
      <c r="C309" s="23">
        <v>819</v>
      </c>
      <c r="D309" s="147">
        <v>82.08</v>
      </c>
      <c r="E309" s="22">
        <v>205.38</v>
      </c>
      <c r="F309" s="22">
        <v>287.45999999999998</v>
      </c>
      <c r="G309" s="22">
        <v>0</v>
      </c>
      <c r="H309" s="22">
        <v>78</v>
      </c>
      <c r="I309" s="22">
        <v>1.77</v>
      </c>
      <c r="J309" s="22">
        <v>721.08</v>
      </c>
      <c r="K309" s="22">
        <v>2.2000000000000002</v>
      </c>
      <c r="L309" s="22">
        <v>0</v>
      </c>
      <c r="M309" s="388">
        <v>3572.0499999999997</v>
      </c>
      <c r="N309" s="25">
        <v>0.52390000000000003</v>
      </c>
      <c r="O309" s="24">
        <v>1839</v>
      </c>
      <c r="P309" s="24">
        <v>102.25</v>
      </c>
      <c r="Q309" s="24">
        <v>60.25</v>
      </c>
      <c r="R309" s="22">
        <v>42</v>
      </c>
      <c r="S309" s="24">
        <v>13.75</v>
      </c>
      <c r="T309" s="24">
        <f t="shared" si="16"/>
        <v>116</v>
      </c>
      <c r="U309" s="376">
        <v>1871.4</v>
      </c>
      <c r="V309" s="376">
        <v>178.6</v>
      </c>
      <c r="W309" s="22">
        <f t="shared" si="17"/>
        <v>980.42646000000013</v>
      </c>
      <c r="X309" s="22">
        <f t="shared" si="18"/>
        <v>396.25</v>
      </c>
      <c r="Y309" s="22">
        <v>314.25</v>
      </c>
      <c r="Z309" s="22">
        <v>82</v>
      </c>
      <c r="AA309" s="371">
        <v>3195.2</v>
      </c>
      <c r="AB309" s="22">
        <v>0.12401414621932901</v>
      </c>
      <c r="AC309" s="24">
        <v>0</v>
      </c>
      <c r="AD309" s="384">
        <v>0</v>
      </c>
    </row>
    <row r="310" spans="1:30">
      <c r="A310" s="21" t="s">
        <v>607</v>
      </c>
      <c r="B310" s="21" t="s">
        <v>608</v>
      </c>
      <c r="C310" s="23">
        <v>1637</v>
      </c>
      <c r="D310" s="147">
        <v>281.89999999999998</v>
      </c>
      <c r="E310" s="22">
        <v>310.18</v>
      </c>
      <c r="F310" s="22">
        <v>592.07999999999993</v>
      </c>
      <c r="G310" s="22">
        <v>0</v>
      </c>
      <c r="H310" s="22">
        <v>127</v>
      </c>
      <c r="I310" s="22">
        <v>8.6199999999999992</v>
      </c>
      <c r="J310" s="22">
        <v>174.32</v>
      </c>
      <c r="K310" s="22">
        <v>5.6</v>
      </c>
      <c r="L310" s="22">
        <v>0</v>
      </c>
      <c r="M310" s="388">
        <v>5563.54</v>
      </c>
      <c r="N310" s="25">
        <v>0.46389999999999998</v>
      </c>
      <c r="O310" s="24">
        <v>1540</v>
      </c>
      <c r="P310" s="24">
        <v>422</v>
      </c>
      <c r="Q310" s="24">
        <v>299.75</v>
      </c>
      <c r="R310" s="22">
        <v>122.25</v>
      </c>
      <c r="S310" s="24">
        <v>76</v>
      </c>
      <c r="T310" s="24">
        <f t="shared" si="16"/>
        <v>498</v>
      </c>
      <c r="U310" s="376">
        <v>2573.14</v>
      </c>
      <c r="V310" s="376">
        <v>278.18</v>
      </c>
      <c r="W310" s="22">
        <f t="shared" si="17"/>
        <v>1193.6796459999998</v>
      </c>
      <c r="X310" s="22">
        <f t="shared" si="18"/>
        <v>714.25</v>
      </c>
      <c r="Y310" s="22">
        <v>484.5</v>
      </c>
      <c r="Z310" s="22">
        <v>229.75</v>
      </c>
      <c r="AA310" s="371">
        <v>5262.89</v>
      </c>
      <c r="AB310" s="22">
        <v>0.13571440786336023</v>
      </c>
      <c r="AC310" s="24">
        <v>7.1440786336021689E-4</v>
      </c>
      <c r="AD310" s="384">
        <v>-36096.011531147764</v>
      </c>
    </row>
    <row r="311" spans="1:30">
      <c r="A311" s="21" t="s">
        <v>1253</v>
      </c>
      <c r="B311" s="21" t="s">
        <v>1254</v>
      </c>
      <c r="C311" s="23">
        <v>0</v>
      </c>
      <c r="D311" s="147">
        <v>0</v>
      </c>
      <c r="E311" s="22">
        <v>0</v>
      </c>
      <c r="F311" s="22">
        <v>0</v>
      </c>
      <c r="G311" s="22">
        <v>0</v>
      </c>
      <c r="H311" s="22">
        <v>0</v>
      </c>
      <c r="I311" s="22">
        <v>0</v>
      </c>
      <c r="J311" s="22">
        <v>0</v>
      </c>
      <c r="K311" s="22">
        <v>0</v>
      </c>
      <c r="L311" s="22">
        <v>0</v>
      </c>
      <c r="M311" s="388">
        <v>109</v>
      </c>
      <c r="N311" s="25">
        <v>0.60419999999999996</v>
      </c>
      <c r="O311" s="24">
        <v>48</v>
      </c>
      <c r="P311" s="24">
        <v>2.5</v>
      </c>
      <c r="Q311" s="24">
        <v>0</v>
      </c>
      <c r="R311" s="22">
        <v>2.5</v>
      </c>
      <c r="S311" s="24">
        <v>2.5</v>
      </c>
      <c r="T311" s="24">
        <f t="shared" si="16"/>
        <v>5</v>
      </c>
      <c r="U311" s="376">
        <v>0</v>
      </c>
      <c r="V311" s="376">
        <v>0</v>
      </c>
      <c r="W311" s="22">
        <f t="shared" si="17"/>
        <v>0</v>
      </c>
      <c r="X311" s="22">
        <f t="shared" si="18"/>
        <v>6.75</v>
      </c>
      <c r="Y311" s="22">
        <v>6.75</v>
      </c>
      <c r="Z311" s="22">
        <v>0</v>
      </c>
      <c r="AA311" s="371">
        <v>50</v>
      </c>
      <c r="AB311" s="22">
        <v>0.13500000000000001</v>
      </c>
      <c r="AC311" s="24">
        <v>0</v>
      </c>
      <c r="AD311" s="384">
        <v>0</v>
      </c>
    </row>
    <row r="312" spans="1:30">
      <c r="A312" s="21" t="s">
        <v>293</v>
      </c>
      <c r="B312" s="21" t="s">
        <v>294</v>
      </c>
      <c r="C312" s="23">
        <v>78</v>
      </c>
      <c r="D312" s="147">
        <v>0.13</v>
      </c>
      <c r="E312" s="22">
        <v>18.62</v>
      </c>
      <c r="F312" s="22">
        <v>18.75</v>
      </c>
      <c r="G312" s="22">
        <v>0</v>
      </c>
      <c r="H312" s="22">
        <v>9</v>
      </c>
      <c r="I312" s="22">
        <v>0.92</v>
      </c>
      <c r="J312" s="22">
        <v>18.54</v>
      </c>
      <c r="K312" s="22">
        <v>0</v>
      </c>
      <c r="L312" s="22">
        <v>0</v>
      </c>
      <c r="M312" s="388">
        <v>310.46000000000004</v>
      </c>
      <c r="N312" s="25">
        <v>0.69669999999999999</v>
      </c>
      <c r="O312" s="24">
        <v>333</v>
      </c>
      <c r="P312" s="24">
        <v>0</v>
      </c>
      <c r="Q312" s="24">
        <v>0</v>
      </c>
      <c r="R312" s="22">
        <v>0</v>
      </c>
      <c r="S312" s="24">
        <v>0</v>
      </c>
      <c r="T312" s="24">
        <f t="shared" si="16"/>
        <v>0</v>
      </c>
      <c r="U312" s="376">
        <v>216.3</v>
      </c>
      <c r="V312" s="376">
        <v>15.52</v>
      </c>
      <c r="W312" s="22">
        <f t="shared" si="17"/>
        <v>150.69621000000001</v>
      </c>
      <c r="X312" s="22">
        <f t="shared" si="18"/>
        <v>60.5</v>
      </c>
      <c r="Y312" s="22">
        <v>40</v>
      </c>
      <c r="Z312" s="22">
        <v>20.5</v>
      </c>
      <c r="AA312" s="371">
        <v>324.11</v>
      </c>
      <c r="AB312" s="22">
        <v>0.18666502113479991</v>
      </c>
      <c r="AC312" s="24">
        <v>5.1665021134799899E-2</v>
      </c>
      <c r="AD312" s="384">
        <v>-155657.52962918181</v>
      </c>
    </row>
    <row r="313" spans="1:30">
      <c r="A313" s="21" t="s">
        <v>387</v>
      </c>
      <c r="B313" s="21" t="s">
        <v>388</v>
      </c>
      <c r="C313" s="23">
        <v>1276</v>
      </c>
      <c r="D313" s="147">
        <v>33.08</v>
      </c>
      <c r="E313" s="22">
        <v>290.43</v>
      </c>
      <c r="F313" s="22">
        <v>323.51</v>
      </c>
      <c r="G313" s="22">
        <v>0</v>
      </c>
      <c r="H313" s="22">
        <v>125</v>
      </c>
      <c r="I313" s="22">
        <v>6.32</v>
      </c>
      <c r="J313" s="22">
        <v>46.8</v>
      </c>
      <c r="K313" s="22">
        <v>30.8</v>
      </c>
      <c r="L313" s="22">
        <v>0</v>
      </c>
      <c r="M313" s="388">
        <v>4262.92</v>
      </c>
      <c r="N313" s="25">
        <v>0.29680000000000001</v>
      </c>
      <c r="O313" s="24">
        <v>27</v>
      </c>
      <c r="P313" s="24">
        <v>120.5</v>
      </c>
      <c r="Q313" s="24">
        <v>89.5</v>
      </c>
      <c r="R313" s="22">
        <v>31</v>
      </c>
      <c r="S313" s="24">
        <v>37</v>
      </c>
      <c r="T313" s="24">
        <f t="shared" si="16"/>
        <v>157.5</v>
      </c>
      <c r="U313" s="376">
        <v>1265.23</v>
      </c>
      <c r="V313" s="376">
        <v>0</v>
      </c>
      <c r="W313" s="22">
        <f t="shared" si="17"/>
        <v>375.520264</v>
      </c>
      <c r="X313" s="22">
        <f t="shared" si="18"/>
        <v>566</v>
      </c>
      <c r="Y313" s="22">
        <v>341</v>
      </c>
      <c r="Z313" s="22">
        <v>225</v>
      </c>
      <c r="AA313" s="371">
        <v>4168.96</v>
      </c>
      <c r="AB313" s="22">
        <v>0.13576527479275408</v>
      </c>
      <c r="AC313" s="24">
        <v>7.6527479275406707E-4</v>
      </c>
      <c r="AD313" s="384">
        <v>-31283.543428497975</v>
      </c>
    </row>
    <row r="314" spans="1:30">
      <c r="A314" s="21" t="s">
        <v>267</v>
      </c>
      <c r="B314" s="21" t="s">
        <v>268</v>
      </c>
      <c r="C314" s="23">
        <v>325</v>
      </c>
      <c r="D314" s="147">
        <v>0</v>
      </c>
      <c r="E314" s="22">
        <v>57.92</v>
      </c>
      <c r="F314" s="22">
        <v>57.92</v>
      </c>
      <c r="G314" s="22">
        <v>0</v>
      </c>
      <c r="H314" s="22">
        <v>26</v>
      </c>
      <c r="I314" s="22">
        <v>0.05</v>
      </c>
      <c r="J314" s="22">
        <v>18.05</v>
      </c>
      <c r="K314" s="22">
        <v>0</v>
      </c>
      <c r="L314" s="22">
        <v>0</v>
      </c>
      <c r="M314" s="388">
        <v>1160.0999999999999</v>
      </c>
      <c r="N314" s="25">
        <v>0.43130000000000002</v>
      </c>
      <c r="O314" s="24">
        <v>18</v>
      </c>
      <c r="P314" s="24">
        <v>181.75</v>
      </c>
      <c r="Q314" s="24">
        <v>107.25</v>
      </c>
      <c r="R314" s="22">
        <v>74.5</v>
      </c>
      <c r="S314" s="24">
        <v>19.75</v>
      </c>
      <c r="T314" s="24">
        <f t="shared" si="16"/>
        <v>201.5</v>
      </c>
      <c r="U314" s="376">
        <v>500.93</v>
      </c>
      <c r="V314" s="376">
        <v>58.01</v>
      </c>
      <c r="W314" s="22">
        <f t="shared" si="17"/>
        <v>216.05110900000003</v>
      </c>
      <c r="X314" s="22">
        <f t="shared" si="18"/>
        <v>144.25</v>
      </c>
      <c r="Y314" s="22">
        <v>101.25</v>
      </c>
      <c r="Z314" s="22">
        <v>43</v>
      </c>
      <c r="AA314" s="371">
        <v>1106.8599999999999</v>
      </c>
      <c r="AB314" s="22">
        <v>0.13032361816309201</v>
      </c>
      <c r="AC314" s="24">
        <v>0</v>
      </c>
      <c r="AD314" s="384">
        <v>0</v>
      </c>
    </row>
    <row r="315" spans="1:30">
      <c r="A315" s="21" t="s">
        <v>307</v>
      </c>
      <c r="B315" s="21" t="s">
        <v>308</v>
      </c>
      <c r="C315" s="23">
        <v>56</v>
      </c>
      <c r="D315" s="147">
        <v>6.11</v>
      </c>
      <c r="E315" s="22">
        <v>15.33</v>
      </c>
      <c r="F315" s="22">
        <v>21.44</v>
      </c>
      <c r="G315" s="22">
        <v>0</v>
      </c>
      <c r="H315" s="22">
        <v>0</v>
      </c>
      <c r="I315" s="22">
        <v>0</v>
      </c>
      <c r="J315" s="22">
        <v>0</v>
      </c>
      <c r="K315" s="22">
        <v>0</v>
      </c>
      <c r="L315" s="22">
        <v>0</v>
      </c>
      <c r="M315" s="388">
        <v>178</v>
      </c>
      <c r="N315" s="25">
        <v>0.44269999999999998</v>
      </c>
      <c r="O315" s="24">
        <v>0</v>
      </c>
      <c r="P315" s="24">
        <v>0</v>
      </c>
      <c r="Q315" s="24">
        <v>0</v>
      </c>
      <c r="R315" s="22">
        <v>0</v>
      </c>
      <c r="S315" s="24">
        <v>0</v>
      </c>
      <c r="T315" s="24">
        <f t="shared" si="16"/>
        <v>0</v>
      </c>
      <c r="U315" s="376">
        <v>78.8</v>
      </c>
      <c r="V315" s="376">
        <v>8.9</v>
      </c>
      <c r="W315" s="22">
        <f t="shared" si="17"/>
        <v>34.88476</v>
      </c>
      <c r="X315" s="22">
        <f t="shared" si="18"/>
        <v>40.25</v>
      </c>
      <c r="Y315" s="22">
        <v>30</v>
      </c>
      <c r="Z315" s="22">
        <v>10.25</v>
      </c>
      <c r="AA315" s="371">
        <v>220.11</v>
      </c>
      <c r="AB315" s="22">
        <v>0.18286311389759666</v>
      </c>
      <c r="AC315" s="24">
        <v>4.7863113897596649E-2</v>
      </c>
      <c r="AD315" s="384">
        <v>-99855.279137121091</v>
      </c>
    </row>
    <row r="316" spans="1:30">
      <c r="A316" s="21" t="s">
        <v>351</v>
      </c>
      <c r="B316" s="21" t="s">
        <v>352</v>
      </c>
      <c r="C316" s="23">
        <v>100</v>
      </c>
      <c r="D316" s="147">
        <v>6.34</v>
      </c>
      <c r="E316" s="22">
        <v>24.41</v>
      </c>
      <c r="F316" s="22">
        <v>30.75</v>
      </c>
      <c r="G316" s="22">
        <v>0</v>
      </c>
      <c r="H316" s="22">
        <v>10</v>
      </c>
      <c r="I316" s="22">
        <v>0</v>
      </c>
      <c r="J316" s="22">
        <v>0</v>
      </c>
      <c r="K316" s="22">
        <v>0</v>
      </c>
      <c r="L316" s="22">
        <v>0</v>
      </c>
      <c r="M316" s="388">
        <v>335</v>
      </c>
      <c r="N316" s="25">
        <v>0.41570000000000001</v>
      </c>
      <c r="O316" s="24">
        <v>0</v>
      </c>
      <c r="P316" s="24">
        <v>8</v>
      </c>
      <c r="Q316" s="24">
        <v>7</v>
      </c>
      <c r="R316" s="22">
        <v>1</v>
      </c>
      <c r="S316" s="24">
        <v>1</v>
      </c>
      <c r="T316" s="24">
        <f t="shared" si="16"/>
        <v>9</v>
      </c>
      <c r="U316" s="376">
        <v>139.26</v>
      </c>
      <c r="V316" s="376">
        <v>16.75</v>
      </c>
      <c r="W316" s="22">
        <f t="shared" si="17"/>
        <v>57.890381999999995</v>
      </c>
      <c r="X316" s="22">
        <f t="shared" si="18"/>
        <v>41</v>
      </c>
      <c r="Y316" s="22">
        <v>23.25</v>
      </c>
      <c r="Z316" s="22">
        <v>17.75</v>
      </c>
      <c r="AA316" s="371">
        <v>358.75</v>
      </c>
      <c r="AB316" s="22">
        <v>0.11428571428571428</v>
      </c>
      <c r="AC316" s="24">
        <v>0</v>
      </c>
      <c r="AD316" s="384">
        <v>0</v>
      </c>
    </row>
    <row r="317" spans="1:30">
      <c r="A317" s="21" t="s">
        <v>137</v>
      </c>
      <c r="B317" s="21" t="s">
        <v>138</v>
      </c>
      <c r="C317" s="23">
        <v>45</v>
      </c>
      <c r="D317" s="147">
        <v>3.05</v>
      </c>
      <c r="E317" s="22">
        <v>10.56</v>
      </c>
      <c r="F317" s="22">
        <v>13.61</v>
      </c>
      <c r="G317" s="22">
        <v>0</v>
      </c>
      <c r="H317" s="22">
        <v>3</v>
      </c>
      <c r="I317" s="22">
        <v>0.5</v>
      </c>
      <c r="J317" s="22">
        <v>0</v>
      </c>
      <c r="K317" s="22">
        <v>0</v>
      </c>
      <c r="L317" s="22">
        <v>0</v>
      </c>
      <c r="M317" s="388">
        <v>135.5</v>
      </c>
      <c r="N317" s="25">
        <v>0.66439999999999999</v>
      </c>
      <c r="O317" s="24">
        <v>118</v>
      </c>
      <c r="P317" s="24">
        <v>2.25</v>
      </c>
      <c r="Q317" s="24">
        <v>1</v>
      </c>
      <c r="R317" s="22">
        <v>1.25</v>
      </c>
      <c r="S317" s="24">
        <v>0.75</v>
      </c>
      <c r="T317" s="24">
        <f t="shared" si="16"/>
        <v>3</v>
      </c>
      <c r="U317" s="376">
        <v>90.03</v>
      </c>
      <c r="V317" s="376">
        <v>6.78</v>
      </c>
      <c r="W317" s="22">
        <f t="shared" si="17"/>
        <v>59.815931999999997</v>
      </c>
      <c r="X317" s="22">
        <f t="shared" si="18"/>
        <v>15.5</v>
      </c>
      <c r="Y317" s="22">
        <v>14.5</v>
      </c>
      <c r="Z317" s="22">
        <v>1</v>
      </c>
      <c r="AA317" s="371">
        <v>114.57</v>
      </c>
      <c r="AB317" s="22">
        <v>0.13528846993104654</v>
      </c>
      <c r="AC317" s="24">
        <v>2.8846993104653107E-4</v>
      </c>
      <c r="AD317" s="384">
        <v>-321.72327379236464</v>
      </c>
    </row>
    <row r="318" spans="1:30">
      <c r="A318" s="21" t="s">
        <v>281</v>
      </c>
      <c r="B318" s="21" t="s">
        <v>282</v>
      </c>
      <c r="C318" s="23">
        <v>242</v>
      </c>
      <c r="D318" s="147">
        <v>8.86</v>
      </c>
      <c r="E318" s="22">
        <v>48.29</v>
      </c>
      <c r="F318" s="22">
        <v>57.15</v>
      </c>
      <c r="G318" s="22">
        <v>0</v>
      </c>
      <c r="H318" s="22">
        <v>10</v>
      </c>
      <c r="I318" s="22">
        <v>0.33</v>
      </c>
      <c r="J318" s="22">
        <v>0</v>
      </c>
      <c r="K318" s="22">
        <v>2</v>
      </c>
      <c r="L318" s="22">
        <v>0</v>
      </c>
      <c r="M318" s="388">
        <v>801.33</v>
      </c>
      <c r="N318" s="25">
        <v>0.91100000000000003</v>
      </c>
      <c r="O318" s="24">
        <v>736</v>
      </c>
      <c r="P318" s="24">
        <v>41</v>
      </c>
      <c r="Q318" s="24">
        <v>22.25</v>
      </c>
      <c r="R318" s="22">
        <v>18.75</v>
      </c>
      <c r="S318" s="24">
        <v>7.25</v>
      </c>
      <c r="T318" s="24">
        <f t="shared" si="16"/>
        <v>48.25</v>
      </c>
      <c r="U318" s="376">
        <v>730.01</v>
      </c>
      <c r="V318" s="376">
        <v>40.07</v>
      </c>
      <c r="W318" s="22">
        <f t="shared" si="17"/>
        <v>665.03911000000005</v>
      </c>
      <c r="X318" s="22">
        <f t="shared" si="18"/>
        <v>115</v>
      </c>
      <c r="Y318" s="22">
        <v>63</v>
      </c>
      <c r="Z318" s="22">
        <v>52</v>
      </c>
      <c r="AA318" s="371">
        <v>731.32</v>
      </c>
      <c r="AB318" s="22">
        <v>0.15724990428266694</v>
      </c>
      <c r="AC318" s="24">
        <v>2.2249904282666932E-2</v>
      </c>
      <c r="AD318" s="384">
        <v>-156101.05397295507</v>
      </c>
    </row>
    <row r="319" spans="1:30">
      <c r="A319" s="21" t="s">
        <v>161</v>
      </c>
      <c r="B319" s="21" t="s">
        <v>162</v>
      </c>
      <c r="C319" s="23">
        <v>35</v>
      </c>
      <c r="D319" s="147">
        <v>4.26</v>
      </c>
      <c r="E319" s="22">
        <v>6.81</v>
      </c>
      <c r="F319" s="22">
        <v>11.07</v>
      </c>
      <c r="G319" s="22">
        <v>0</v>
      </c>
      <c r="H319" s="22">
        <v>0</v>
      </c>
      <c r="I319" s="22">
        <v>0</v>
      </c>
      <c r="J319" s="22">
        <v>0</v>
      </c>
      <c r="K319" s="22">
        <v>0</v>
      </c>
      <c r="L319" s="22">
        <v>0</v>
      </c>
      <c r="M319" s="388">
        <v>138</v>
      </c>
      <c r="N319" s="25">
        <v>0.6774</v>
      </c>
      <c r="O319" s="24">
        <v>155</v>
      </c>
      <c r="P319" s="24">
        <v>0</v>
      </c>
      <c r="Q319" s="24">
        <v>0</v>
      </c>
      <c r="R319" s="22">
        <v>0</v>
      </c>
      <c r="S319" s="24">
        <v>0</v>
      </c>
      <c r="T319" s="24">
        <f t="shared" si="16"/>
        <v>0</v>
      </c>
      <c r="U319" s="376">
        <v>93.48</v>
      </c>
      <c r="V319" s="376">
        <v>0</v>
      </c>
      <c r="W319" s="22">
        <f t="shared" si="17"/>
        <v>63.323352</v>
      </c>
      <c r="X319" s="22">
        <f t="shared" si="18"/>
        <v>18.5</v>
      </c>
      <c r="Y319" s="22">
        <v>15.5</v>
      </c>
      <c r="Z319" s="22">
        <v>3</v>
      </c>
      <c r="AA319" s="371">
        <v>156.47999999999999</v>
      </c>
      <c r="AB319" s="22">
        <v>0.11822597137014315</v>
      </c>
      <c r="AC319" s="24">
        <v>0</v>
      </c>
      <c r="AD319" s="384">
        <v>0</v>
      </c>
    </row>
    <row r="320" spans="1:30">
      <c r="A320" s="21" t="s">
        <v>251</v>
      </c>
      <c r="B320" s="21" t="s">
        <v>252</v>
      </c>
      <c r="C320" s="23">
        <v>46</v>
      </c>
      <c r="D320" s="147">
        <v>0</v>
      </c>
      <c r="E320" s="22">
        <v>2.59</v>
      </c>
      <c r="F320" s="22">
        <v>2.59</v>
      </c>
      <c r="G320" s="22">
        <v>0</v>
      </c>
      <c r="H320" s="22">
        <v>3</v>
      </c>
      <c r="I320" s="22">
        <v>0.08</v>
      </c>
      <c r="J320" s="22">
        <v>0</v>
      </c>
      <c r="K320" s="22">
        <v>0</v>
      </c>
      <c r="L320" s="22">
        <v>0</v>
      </c>
      <c r="M320" s="388">
        <v>159.08000000000001</v>
      </c>
      <c r="N320" s="25">
        <v>0.91379999999999995</v>
      </c>
      <c r="O320" s="24">
        <v>58</v>
      </c>
      <c r="P320" s="24">
        <v>0</v>
      </c>
      <c r="Q320" s="24">
        <v>0</v>
      </c>
      <c r="R320" s="22">
        <v>0</v>
      </c>
      <c r="S320" s="24">
        <v>0</v>
      </c>
      <c r="T320" s="24">
        <f t="shared" si="16"/>
        <v>0</v>
      </c>
      <c r="U320" s="376">
        <v>145.37</v>
      </c>
      <c r="V320" s="376">
        <v>0</v>
      </c>
      <c r="W320" s="22">
        <f t="shared" si="17"/>
        <v>132.83910599999999</v>
      </c>
      <c r="X320" s="22">
        <f t="shared" si="18"/>
        <v>5.5</v>
      </c>
      <c r="Y320" s="22">
        <v>5.5</v>
      </c>
      <c r="Z320" s="22">
        <v>0</v>
      </c>
      <c r="AA320" s="371">
        <v>60.23</v>
      </c>
      <c r="AB320" s="22">
        <v>9.1316619624771708E-2</v>
      </c>
      <c r="AC320" s="24">
        <v>0</v>
      </c>
      <c r="AD320" s="384">
        <v>0</v>
      </c>
    </row>
    <row r="321" spans="1:30">
      <c r="A321" s="21" t="s">
        <v>85</v>
      </c>
      <c r="B321" s="21" t="s">
        <v>86</v>
      </c>
      <c r="C321" s="23">
        <v>714</v>
      </c>
      <c r="D321" s="147">
        <v>3.34</v>
      </c>
      <c r="E321" s="22">
        <v>83.07</v>
      </c>
      <c r="F321" s="22">
        <v>86.41</v>
      </c>
      <c r="G321" s="22">
        <v>0</v>
      </c>
      <c r="H321" s="22">
        <v>61</v>
      </c>
      <c r="I321" s="22">
        <v>1.1200000000000001</v>
      </c>
      <c r="J321" s="22">
        <v>183.03</v>
      </c>
      <c r="K321" s="22">
        <v>1.8</v>
      </c>
      <c r="L321" s="22">
        <v>0</v>
      </c>
      <c r="M321" s="388">
        <v>2542.9500000000003</v>
      </c>
      <c r="N321" s="25">
        <v>0.47249999999999998</v>
      </c>
      <c r="O321" s="24">
        <v>499</v>
      </c>
      <c r="P321" s="24">
        <v>208.75</v>
      </c>
      <c r="Q321" s="24">
        <v>145.5</v>
      </c>
      <c r="R321" s="22">
        <v>63.25</v>
      </c>
      <c r="S321" s="24">
        <v>26</v>
      </c>
      <c r="T321" s="24">
        <f t="shared" si="16"/>
        <v>234.75</v>
      </c>
      <c r="U321" s="376">
        <v>1201.54</v>
      </c>
      <c r="V321" s="376">
        <v>127.15</v>
      </c>
      <c r="W321" s="22">
        <f t="shared" si="17"/>
        <v>567.72764999999993</v>
      </c>
      <c r="X321" s="22">
        <f t="shared" si="18"/>
        <v>318.75</v>
      </c>
      <c r="Y321" s="22">
        <v>186.25</v>
      </c>
      <c r="Z321" s="22">
        <v>132.5</v>
      </c>
      <c r="AA321" s="371">
        <v>2375.35</v>
      </c>
      <c r="AB321" s="22">
        <v>0.1341907508367188</v>
      </c>
      <c r="AC321" s="24">
        <v>0</v>
      </c>
      <c r="AD321" s="384">
        <v>0</v>
      </c>
    </row>
    <row r="322" spans="1:30">
      <c r="A322" s="21" t="s">
        <v>1039</v>
      </c>
      <c r="B322" s="21" t="s">
        <v>1045</v>
      </c>
      <c r="C322" s="23">
        <v>0</v>
      </c>
      <c r="D322" s="147">
        <v>0</v>
      </c>
      <c r="E322" s="22">
        <v>0</v>
      </c>
      <c r="F322" s="22">
        <v>0</v>
      </c>
      <c r="G322" s="22">
        <v>0</v>
      </c>
      <c r="H322" s="22">
        <v>0</v>
      </c>
      <c r="I322" s="22">
        <v>0</v>
      </c>
      <c r="J322" s="22">
        <v>0</v>
      </c>
      <c r="K322" s="22">
        <v>0</v>
      </c>
      <c r="L322" s="22">
        <v>0</v>
      </c>
      <c r="M322" s="388">
        <v>130.4</v>
      </c>
      <c r="N322" s="25">
        <v>0</v>
      </c>
      <c r="O322" s="24">
        <v>0</v>
      </c>
      <c r="P322" s="24">
        <v>0</v>
      </c>
      <c r="Q322" s="24">
        <v>0</v>
      </c>
      <c r="R322" s="22">
        <v>0</v>
      </c>
      <c r="S322" s="24">
        <v>0</v>
      </c>
      <c r="T322" s="24">
        <f t="shared" si="16"/>
        <v>0</v>
      </c>
      <c r="U322" s="376">
        <v>0</v>
      </c>
      <c r="V322" s="376">
        <v>0</v>
      </c>
      <c r="W322" s="22">
        <f t="shared" si="17"/>
        <v>0</v>
      </c>
      <c r="X322" s="22">
        <f t="shared" si="18"/>
        <v>17.5</v>
      </c>
      <c r="Y322" s="22">
        <v>16.5</v>
      </c>
      <c r="Z322" s="22">
        <v>1</v>
      </c>
      <c r="AA322" s="371">
        <v>130.4</v>
      </c>
      <c r="AB322" s="22">
        <v>0.13420245398773006</v>
      </c>
      <c r="AC322" s="24">
        <v>0</v>
      </c>
      <c r="AD322" s="384">
        <v>0</v>
      </c>
    </row>
    <row r="323" spans="1:30">
      <c r="A323" s="21" t="s">
        <v>585</v>
      </c>
      <c r="B323" s="21" t="s">
        <v>586</v>
      </c>
      <c r="C323" s="23">
        <v>4401</v>
      </c>
      <c r="D323" s="147">
        <v>268.20999999999998</v>
      </c>
      <c r="E323" s="22">
        <v>1066.55</v>
      </c>
      <c r="F323" s="22">
        <v>1334.76</v>
      </c>
      <c r="G323" s="22">
        <v>448.28</v>
      </c>
      <c r="H323" s="22">
        <v>160</v>
      </c>
      <c r="I323" s="22">
        <v>15.38</v>
      </c>
      <c r="J323" s="22">
        <v>355.47</v>
      </c>
      <c r="K323" s="22">
        <v>46.8</v>
      </c>
      <c r="L323" s="22">
        <v>0</v>
      </c>
      <c r="M323" s="388">
        <v>15908.649999999998</v>
      </c>
      <c r="N323" s="25">
        <v>0.8538</v>
      </c>
      <c r="O323" s="24">
        <v>15742</v>
      </c>
      <c r="P323" s="24">
        <v>4603.25</v>
      </c>
      <c r="Q323" s="24">
        <v>2883</v>
      </c>
      <c r="R323" s="22">
        <v>1720.25</v>
      </c>
      <c r="S323" s="24">
        <v>690.5</v>
      </c>
      <c r="T323" s="24">
        <f t="shared" si="16"/>
        <v>5293.75</v>
      </c>
      <c r="U323" s="376">
        <v>13582.81</v>
      </c>
      <c r="V323" s="376">
        <v>795.43</v>
      </c>
      <c r="W323" s="22">
        <f t="shared" si="17"/>
        <v>11597.003177999999</v>
      </c>
      <c r="X323" s="22">
        <f t="shared" si="18"/>
        <v>1933</v>
      </c>
      <c r="Y323" s="22">
        <v>1052.25</v>
      </c>
      <c r="Z323" s="22">
        <v>880.75</v>
      </c>
      <c r="AA323" s="371">
        <v>15340.83</v>
      </c>
      <c r="AB323" s="22">
        <v>0.12600361258158782</v>
      </c>
      <c r="AC323" s="24">
        <v>0</v>
      </c>
      <c r="AD323" s="384">
        <v>0</v>
      </c>
    </row>
    <row r="324" spans="1:30">
      <c r="A324" s="21" t="s">
        <v>507</v>
      </c>
      <c r="B324" s="21" t="s">
        <v>508</v>
      </c>
      <c r="C324" s="23">
        <v>1761</v>
      </c>
      <c r="D324" s="147">
        <v>35.25</v>
      </c>
      <c r="E324" s="22">
        <v>404.5</v>
      </c>
      <c r="F324" s="22">
        <v>439.75</v>
      </c>
      <c r="G324" s="22">
        <v>0</v>
      </c>
      <c r="H324" s="22">
        <v>135</v>
      </c>
      <c r="I324" s="22">
        <v>12.78</v>
      </c>
      <c r="J324" s="22">
        <v>80.69</v>
      </c>
      <c r="K324" s="22">
        <v>17.8</v>
      </c>
      <c r="L324" s="22">
        <v>0</v>
      </c>
      <c r="M324" s="388">
        <v>5737.2699999999995</v>
      </c>
      <c r="N324" s="25">
        <v>0.46560000000000001</v>
      </c>
      <c r="O324" s="24">
        <v>523</v>
      </c>
      <c r="P324" s="24">
        <v>182.25</v>
      </c>
      <c r="Q324" s="24">
        <v>108.5</v>
      </c>
      <c r="R324" s="22">
        <v>73.75</v>
      </c>
      <c r="S324" s="24">
        <v>19.5</v>
      </c>
      <c r="T324" s="24">
        <f t="shared" si="16"/>
        <v>201.75</v>
      </c>
      <c r="U324" s="376">
        <v>2671.27</v>
      </c>
      <c r="V324" s="376">
        <v>286.86</v>
      </c>
      <c r="W324" s="22">
        <f t="shared" si="17"/>
        <v>1243.7433120000001</v>
      </c>
      <c r="X324" s="22">
        <f t="shared" si="18"/>
        <v>749.5</v>
      </c>
      <c r="Y324" s="22">
        <v>574.25</v>
      </c>
      <c r="Z324" s="22">
        <v>175.25</v>
      </c>
      <c r="AA324" s="371">
        <v>5370.27</v>
      </c>
      <c r="AB324" s="22">
        <v>0.13956467738121173</v>
      </c>
      <c r="AC324" s="24">
        <v>4.5646773812117181E-3</v>
      </c>
      <c r="AD324" s="384">
        <v>-231172.38586997506</v>
      </c>
    </row>
    <row r="325" spans="1:30">
      <c r="A325" s="21" t="s">
        <v>603</v>
      </c>
      <c r="B325" s="21" t="s">
        <v>604</v>
      </c>
      <c r="C325" s="23">
        <v>365</v>
      </c>
      <c r="D325" s="147">
        <v>0</v>
      </c>
      <c r="E325" s="22">
        <v>46.32</v>
      </c>
      <c r="F325" s="22">
        <v>46.32</v>
      </c>
      <c r="G325" s="22">
        <v>0</v>
      </c>
      <c r="H325" s="22">
        <v>10</v>
      </c>
      <c r="I325" s="22">
        <v>1</v>
      </c>
      <c r="J325" s="22">
        <v>0</v>
      </c>
      <c r="K325" s="22">
        <v>0</v>
      </c>
      <c r="L325" s="22">
        <v>0</v>
      </c>
      <c r="M325" s="388">
        <v>1225</v>
      </c>
      <c r="N325" s="25">
        <v>0.58030000000000004</v>
      </c>
      <c r="O325" s="24">
        <v>1260</v>
      </c>
      <c r="P325" s="24">
        <v>142</v>
      </c>
      <c r="Q325" s="24">
        <v>104.25</v>
      </c>
      <c r="R325" s="22">
        <v>37.75</v>
      </c>
      <c r="S325" s="24">
        <v>7</v>
      </c>
      <c r="T325" s="24">
        <f t="shared" si="16"/>
        <v>149</v>
      </c>
      <c r="U325" s="376">
        <v>710.87</v>
      </c>
      <c r="V325" s="376">
        <v>0</v>
      </c>
      <c r="W325" s="22">
        <f t="shared" si="17"/>
        <v>412.51786100000004</v>
      </c>
      <c r="X325" s="22">
        <f t="shared" si="18"/>
        <v>128.25</v>
      </c>
      <c r="Y325" s="22">
        <v>98.5</v>
      </c>
      <c r="Z325" s="22">
        <v>29.75</v>
      </c>
      <c r="AA325" s="371">
        <v>1258.5999999999999</v>
      </c>
      <c r="AB325" s="22">
        <v>0.10189893532496426</v>
      </c>
      <c r="AC325" s="24">
        <v>0</v>
      </c>
      <c r="AD325" s="384">
        <v>0</v>
      </c>
    </row>
  </sheetData>
  <autoFilter ref="A7:AE7" xr:uid="{00000000-0001-0000-2200-000000000000}"/>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3"/>
  <dimension ref="A1:AU384"/>
  <sheetViews>
    <sheetView workbookViewId="0">
      <pane xSplit="2" ySplit="4" topLeftCell="F5" activePane="bottomRight" state="frozen"/>
      <selection activeCell="C3" sqref="C3:E3"/>
      <selection pane="topRight" activeCell="C3" sqref="C3:E3"/>
      <selection pane="bottomLeft" activeCell="C3" sqref="C3:E3"/>
      <selection pane="bottomRight" activeCell="C3" sqref="C3:E3"/>
    </sheetView>
  </sheetViews>
  <sheetFormatPr defaultRowHeight="14.4"/>
  <cols>
    <col min="2" max="2" width="24.77734375" customWidth="1"/>
    <col min="3" max="4" width="14.77734375" bestFit="1" customWidth="1"/>
    <col min="5" max="5" width="16.21875" bestFit="1" customWidth="1"/>
    <col min="6" max="6" width="10.5546875" customWidth="1"/>
    <col min="7" max="7" width="10" bestFit="1" customWidth="1"/>
    <col min="8" max="8" width="11" bestFit="1" customWidth="1"/>
    <col min="9" max="9" width="11.5546875" bestFit="1" customWidth="1"/>
    <col min="10" max="10" width="14.77734375" customWidth="1"/>
    <col min="11" max="13" width="15.77734375" customWidth="1"/>
    <col min="14" max="14" width="16.21875" bestFit="1" customWidth="1"/>
    <col min="15" max="15" width="16" bestFit="1" customWidth="1"/>
    <col min="16" max="16" width="16.21875" customWidth="1"/>
    <col min="17" max="20" width="11.5546875" bestFit="1" customWidth="1"/>
    <col min="21" max="21" width="15.21875" bestFit="1" customWidth="1"/>
    <col min="22" max="22" width="11.5546875" bestFit="1" customWidth="1"/>
    <col min="23" max="23" width="14.21875" bestFit="1" customWidth="1"/>
    <col min="24" max="24" width="11.5546875" bestFit="1" customWidth="1"/>
    <col min="25" max="26" width="9.5546875" bestFit="1" customWidth="1"/>
    <col min="27" max="27" width="15.21875" bestFit="1" customWidth="1"/>
    <col min="28" max="29" width="14.21875" bestFit="1" customWidth="1"/>
    <col min="30" max="30" width="14.21875" customWidth="1"/>
    <col min="31" max="33" width="15.21875" bestFit="1" customWidth="1"/>
    <col min="34" max="41" width="16.21875" bestFit="1" customWidth="1"/>
    <col min="42" max="42" width="19.77734375" style="30" bestFit="1" customWidth="1"/>
    <col min="43" max="43" width="17.77734375" style="30" bestFit="1" customWidth="1"/>
    <col min="44" max="44" width="18.5546875" style="152" bestFit="1" customWidth="1"/>
  </cols>
  <sheetData>
    <row r="1" spans="1:47" s="202" customFormat="1" ht="13.8">
      <c r="A1" s="202">
        <v>1</v>
      </c>
      <c r="B1" s="202">
        <f>A1+1</f>
        <v>2</v>
      </c>
      <c r="C1" s="202">
        <f t="shared" ref="C1:J1" si="0">B1+1</f>
        <v>3</v>
      </c>
      <c r="D1" s="202">
        <f t="shared" si="0"/>
        <v>4</v>
      </c>
      <c r="E1" s="202">
        <f t="shared" si="0"/>
        <v>5</v>
      </c>
      <c r="F1" s="202">
        <f t="shared" si="0"/>
        <v>6</v>
      </c>
      <c r="G1" s="202">
        <f t="shared" si="0"/>
        <v>7</v>
      </c>
      <c r="H1" s="202">
        <f t="shared" si="0"/>
        <v>8</v>
      </c>
      <c r="I1" s="202">
        <f t="shared" si="0"/>
        <v>9</v>
      </c>
      <c r="J1" s="202">
        <f t="shared" si="0"/>
        <v>10</v>
      </c>
      <c r="K1" s="202">
        <f t="shared" ref="K1:AU1" si="1">J1+1</f>
        <v>11</v>
      </c>
      <c r="L1" s="202">
        <f t="shared" si="1"/>
        <v>12</v>
      </c>
      <c r="M1" s="202">
        <f t="shared" ref="M1" si="2">L1+1</f>
        <v>13</v>
      </c>
      <c r="N1" s="202">
        <f t="shared" ref="N1" si="3">M1+1</f>
        <v>14</v>
      </c>
      <c r="O1" s="202">
        <f t="shared" si="1"/>
        <v>15</v>
      </c>
      <c r="P1" s="202">
        <f t="shared" si="1"/>
        <v>16</v>
      </c>
      <c r="Q1" s="202">
        <f t="shared" si="1"/>
        <v>17</v>
      </c>
      <c r="R1" s="202">
        <f t="shared" si="1"/>
        <v>18</v>
      </c>
      <c r="S1" s="202">
        <f t="shared" si="1"/>
        <v>19</v>
      </c>
      <c r="T1" s="202">
        <f t="shared" si="1"/>
        <v>20</v>
      </c>
      <c r="U1" s="202">
        <f t="shared" si="1"/>
        <v>21</v>
      </c>
      <c r="V1" s="202">
        <f t="shared" si="1"/>
        <v>22</v>
      </c>
      <c r="W1" s="202">
        <f t="shared" si="1"/>
        <v>23</v>
      </c>
      <c r="X1" s="202">
        <f t="shared" si="1"/>
        <v>24</v>
      </c>
      <c r="Y1" s="202">
        <f t="shared" si="1"/>
        <v>25</v>
      </c>
      <c r="Z1" s="202">
        <f t="shared" si="1"/>
        <v>26</v>
      </c>
      <c r="AA1" s="202">
        <f t="shared" si="1"/>
        <v>27</v>
      </c>
      <c r="AB1" s="202">
        <f t="shared" si="1"/>
        <v>28</v>
      </c>
      <c r="AC1" s="202">
        <f t="shared" si="1"/>
        <v>29</v>
      </c>
      <c r="AD1" s="202">
        <f t="shared" si="1"/>
        <v>30</v>
      </c>
      <c r="AE1" s="202">
        <f t="shared" si="1"/>
        <v>31</v>
      </c>
      <c r="AF1" s="202">
        <f t="shared" si="1"/>
        <v>32</v>
      </c>
      <c r="AG1" s="202">
        <f t="shared" si="1"/>
        <v>33</v>
      </c>
      <c r="AH1" s="202">
        <f t="shared" si="1"/>
        <v>34</v>
      </c>
      <c r="AI1" s="202">
        <f t="shared" si="1"/>
        <v>35</v>
      </c>
      <c r="AJ1" s="202">
        <f t="shared" si="1"/>
        <v>36</v>
      </c>
      <c r="AK1" s="202">
        <f t="shared" si="1"/>
        <v>37</v>
      </c>
      <c r="AL1" s="202">
        <f t="shared" si="1"/>
        <v>38</v>
      </c>
      <c r="AM1" s="202">
        <f t="shared" si="1"/>
        <v>39</v>
      </c>
      <c r="AN1" s="202">
        <f t="shared" si="1"/>
        <v>40</v>
      </c>
      <c r="AO1" s="202">
        <f t="shared" si="1"/>
        <v>41</v>
      </c>
      <c r="AP1" s="202">
        <f t="shared" si="1"/>
        <v>42</v>
      </c>
      <c r="AQ1" s="202">
        <f t="shared" si="1"/>
        <v>43</v>
      </c>
      <c r="AR1" s="202">
        <f t="shared" si="1"/>
        <v>44</v>
      </c>
      <c r="AS1" s="202">
        <f t="shared" si="1"/>
        <v>45</v>
      </c>
      <c r="AT1" s="202">
        <f t="shared" si="1"/>
        <v>46</v>
      </c>
      <c r="AU1" s="202">
        <f t="shared" si="1"/>
        <v>47</v>
      </c>
    </row>
    <row r="2" spans="1:47" s="202" customFormat="1" ht="13.8">
      <c r="C2" s="202" t="s">
        <v>1082</v>
      </c>
      <c r="D2" s="202" t="s">
        <v>1082</v>
      </c>
      <c r="E2" s="202" t="s">
        <v>1082</v>
      </c>
      <c r="F2" s="202" t="s">
        <v>1244</v>
      </c>
      <c r="G2" s="202" t="s">
        <v>1244</v>
      </c>
      <c r="H2" s="202" t="s">
        <v>1244</v>
      </c>
      <c r="I2" s="272" t="s">
        <v>1033</v>
      </c>
      <c r="J2" s="202" t="s">
        <v>1244</v>
      </c>
      <c r="K2" s="202" t="s">
        <v>1244</v>
      </c>
      <c r="L2" s="202" t="s">
        <v>1244</v>
      </c>
      <c r="M2" s="202" t="s">
        <v>1244</v>
      </c>
      <c r="N2" s="202" t="s">
        <v>1244</v>
      </c>
      <c r="O2" s="272" t="s">
        <v>1033</v>
      </c>
      <c r="P2" s="202" t="s">
        <v>1244</v>
      </c>
      <c r="Q2" s="203" t="s">
        <v>1083</v>
      </c>
      <c r="R2" s="202" t="s">
        <v>1083</v>
      </c>
      <c r="S2" s="202" t="s">
        <v>1083</v>
      </c>
      <c r="T2" s="272" t="s">
        <v>1033</v>
      </c>
      <c r="U2" s="202" t="s">
        <v>1083</v>
      </c>
      <c r="V2" s="202" t="s">
        <v>1083</v>
      </c>
      <c r="W2" s="202" t="s">
        <v>1083</v>
      </c>
      <c r="X2" s="202" t="s">
        <v>1084</v>
      </c>
      <c r="Y2" s="202" t="s">
        <v>1084</v>
      </c>
      <c r="Z2" s="202" t="s">
        <v>1084</v>
      </c>
      <c r="AA2" s="202" t="s">
        <v>1082</v>
      </c>
      <c r="AB2" s="202" t="s">
        <v>1082</v>
      </c>
      <c r="AC2" s="202" t="s">
        <v>1082</v>
      </c>
      <c r="AD2" s="202" t="s">
        <v>1083</v>
      </c>
      <c r="AE2" s="202" t="s">
        <v>1083</v>
      </c>
      <c r="AF2" s="202" t="s">
        <v>1083</v>
      </c>
      <c r="AG2" s="202" t="s">
        <v>1083</v>
      </c>
      <c r="AH2" s="203" t="s">
        <v>1082</v>
      </c>
      <c r="AI2" s="203" t="s">
        <v>1082</v>
      </c>
      <c r="AJ2" s="203" t="s">
        <v>1082</v>
      </c>
      <c r="AK2" s="203" t="s">
        <v>1082</v>
      </c>
      <c r="AL2" s="203" t="s">
        <v>1082</v>
      </c>
      <c r="AM2" s="203" t="s">
        <v>1082</v>
      </c>
      <c r="AN2" s="203" t="s">
        <v>1082</v>
      </c>
      <c r="AO2" s="203" t="s">
        <v>1082</v>
      </c>
      <c r="AP2" s="203" t="s">
        <v>1082</v>
      </c>
      <c r="AQ2" s="203" t="s">
        <v>1082</v>
      </c>
      <c r="AR2" s="243" t="s">
        <v>1084</v>
      </c>
      <c r="AS2" s="243" t="s">
        <v>1084</v>
      </c>
      <c r="AT2" s="243" t="s">
        <v>1084</v>
      </c>
      <c r="AU2" s="243" t="s">
        <v>1084</v>
      </c>
    </row>
    <row r="3" spans="1:47" ht="57.6">
      <c r="A3" s="6" t="s">
        <v>1</v>
      </c>
      <c r="B3" s="6" t="s">
        <v>2</v>
      </c>
      <c r="C3" s="6" t="s">
        <v>0</v>
      </c>
      <c r="D3" s="6" t="s">
        <v>611</v>
      </c>
      <c r="E3" s="6" t="s">
        <v>612</v>
      </c>
      <c r="F3" s="6" t="s">
        <v>1241</v>
      </c>
      <c r="G3" s="6" t="s">
        <v>1242</v>
      </c>
      <c r="H3" s="6" t="s">
        <v>1243</v>
      </c>
      <c r="I3" s="273" t="s">
        <v>613</v>
      </c>
      <c r="J3" s="7" t="s">
        <v>1255</v>
      </c>
      <c r="K3" s="7" t="s">
        <v>1256</v>
      </c>
      <c r="L3" s="7" t="s">
        <v>1257</v>
      </c>
      <c r="M3" s="7" t="s">
        <v>1273</v>
      </c>
      <c r="N3" s="7" t="s">
        <v>1259</v>
      </c>
      <c r="O3" s="273" t="s">
        <v>1037</v>
      </c>
      <c r="P3" s="7" t="s">
        <v>1258</v>
      </c>
      <c r="Q3" s="1" t="s">
        <v>1260</v>
      </c>
      <c r="R3" s="1" t="s">
        <v>1261</v>
      </c>
      <c r="S3" s="1" t="s">
        <v>1262</v>
      </c>
      <c r="T3" s="273" t="s">
        <v>615</v>
      </c>
      <c r="U3" s="1" t="s">
        <v>614</v>
      </c>
      <c r="V3" s="1" t="s">
        <v>616</v>
      </c>
      <c r="W3" s="1" t="s">
        <v>617</v>
      </c>
      <c r="X3" s="1" t="s">
        <v>618</v>
      </c>
      <c r="Y3" s="1" t="s">
        <v>619</v>
      </c>
      <c r="Z3" s="1" t="s">
        <v>1263</v>
      </c>
      <c r="AA3" s="1" t="s">
        <v>620</v>
      </c>
      <c r="AB3" s="1" t="s">
        <v>621</v>
      </c>
      <c r="AC3" s="1" t="s">
        <v>622</v>
      </c>
      <c r="AD3" s="1" t="s">
        <v>1001</v>
      </c>
      <c r="AE3" s="404" t="s">
        <v>1002</v>
      </c>
      <c r="AF3" s="1" t="s">
        <v>1003</v>
      </c>
      <c r="AG3" s="1" t="s">
        <v>1004</v>
      </c>
      <c r="AH3" s="275" t="s">
        <v>1266</v>
      </c>
      <c r="AI3" s="275" t="s">
        <v>1035</v>
      </c>
      <c r="AJ3" s="275" t="s">
        <v>1036</v>
      </c>
      <c r="AK3" s="275" t="s">
        <v>1005</v>
      </c>
      <c r="AL3" s="275" t="s">
        <v>1006</v>
      </c>
      <c r="AM3" s="275" t="s">
        <v>1007</v>
      </c>
      <c r="AN3" s="275" t="s">
        <v>1008</v>
      </c>
      <c r="AO3" s="275" t="s">
        <v>1034</v>
      </c>
      <c r="AP3" s="322" t="s">
        <v>1265</v>
      </c>
      <c r="AQ3" s="276" t="s">
        <v>1054</v>
      </c>
      <c r="AR3" s="322" t="s">
        <v>1264</v>
      </c>
      <c r="AS3" s="284" t="s">
        <v>1197</v>
      </c>
      <c r="AT3" s="284" t="s">
        <v>1198</v>
      </c>
      <c r="AU3" s="284" t="s">
        <v>1199</v>
      </c>
    </row>
    <row r="4" spans="1:47">
      <c r="A4" s="131" t="s">
        <v>627</v>
      </c>
      <c r="B4" s="1" t="s">
        <v>871</v>
      </c>
      <c r="C4" s="5">
        <f t="shared" ref="C4:AG4" si="4">SUM(C6:C382)</f>
        <v>3767276.899999998</v>
      </c>
      <c r="D4" s="5">
        <f t="shared" si="4"/>
        <v>1062338.24</v>
      </c>
      <c r="E4" s="5">
        <f t="shared" si="4"/>
        <v>9963825080.2000027</v>
      </c>
      <c r="F4" s="5">
        <f t="shared" si="4"/>
        <v>9973.75</v>
      </c>
      <c r="G4" s="5">
        <f t="shared" si="4"/>
        <v>86712.72</v>
      </c>
      <c r="H4" s="5">
        <f t="shared" si="4"/>
        <v>51795.75</v>
      </c>
      <c r="I4" s="5">
        <f t="shared" si="4"/>
        <v>148482.22</v>
      </c>
      <c r="J4" s="5">
        <f t="shared" si="4"/>
        <v>105451721.37999998</v>
      </c>
      <c r="K4" s="5">
        <f t="shared" si="4"/>
        <v>798127383.53000045</v>
      </c>
      <c r="L4" s="5">
        <f t="shared" si="4"/>
        <v>471708299.18999958</v>
      </c>
      <c r="M4" s="5">
        <f t="shared" si="4"/>
        <v>-45519313.670000002</v>
      </c>
      <c r="N4" s="5">
        <f t="shared" si="4"/>
        <v>1269278558.2099986</v>
      </c>
      <c r="O4" s="5">
        <f t="shared" si="4"/>
        <v>150175897.15999994</v>
      </c>
      <c r="P4" s="5">
        <f t="shared" si="4"/>
        <v>298700164.37999976</v>
      </c>
      <c r="Q4" s="5">
        <f t="shared" si="4"/>
        <v>83405.239999999991</v>
      </c>
      <c r="R4" s="5">
        <f t="shared" si="4"/>
        <v>44603.03</v>
      </c>
      <c r="S4" s="5">
        <f t="shared" si="4"/>
        <v>22685.010000000002</v>
      </c>
      <c r="T4" s="5">
        <f t="shared" si="4"/>
        <v>150693.28</v>
      </c>
      <c r="U4" s="5">
        <f t="shared" si="4"/>
        <v>216750379.05999988</v>
      </c>
      <c r="V4" s="5">
        <f t="shared" si="4"/>
        <v>46734.46</v>
      </c>
      <c r="W4" s="5">
        <f t="shared" si="4"/>
        <v>28556785.780000001</v>
      </c>
      <c r="X4" s="5">
        <f t="shared" si="4"/>
        <v>59932.949999999961</v>
      </c>
      <c r="Y4" s="5">
        <f t="shared" si="4"/>
        <v>11894.569999999996</v>
      </c>
      <c r="Z4" s="5">
        <f t="shared" si="4"/>
        <v>4696.0700000000006</v>
      </c>
      <c r="AA4" s="5">
        <f t="shared" si="4"/>
        <v>568638486.81000006</v>
      </c>
      <c r="AB4" s="5">
        <f t="shared" si="4"/>
        <v>112506649.59000003</v>
      </c>
      <c r="AC4" s="5">
        <f t="shared" si="4"/>
        <v>50274938.150000006</v>
      </c>
      <c r="AD4" s="5">
        <f t="shared" si="4"/>
        <v>61426832.660000019</v>
      </c>
      <c r="AE4" s="5">
        <f t="shared" si="4"/>
        <v>590419869.6700002</v>
      </c>
      <c r="AF4" s="5">
        <f t="shared" si="4"/>
        <v>128361166.38000007</v>
      </c>
      <c r="AG4" s="5">
        <f t="shared" si="4"/>
        <v>316075127.30999988</v>
      </c>
      <c r="AH4" s="241">
        <v>1.0900000000000001</v>
      </c>
      <c r="AI4" s="242">
        <v>69412.61</v>
      </c>
      <c r="AJ4" s="242">
        <v>67852.47</v>
      </c>
      <c r="AK4" s="242">
        <v>100721.60000000001</v>
      </c>
      <c r="AL4" s="242">
        <v>102735.61</v>
      </c>
      <c r="AM4" s="242">
        <v>48642.65</v>
      </c>
      <c r="AN4" s="242">
        <v>49615.85</v>
      </c>
      <c r="AO4" s="241">
        <v>1.0900000000000001</v>
      </c>
      <c r="AP4" s="252">
        <f t="shared" ref="AP4:AU4" si="5">SUM(AP6:AP382)</f>
        <v>1282725858.0700002</v>
      </c>
      <c r="AQ4" s="252">
        <f t="shared" si="5"/>
        <v>77655635.899999991</v>
      </c>
      <c r="AR4" s="277">
        <f t="shared" si="5"/>
        <v>20089.442999999992</v>
      </c>
      <c r="AS4" s="84">
        <f t="shared" si="5"/>
        <v>18.265704000000046</v>
      </c>
      <c r="AT4" s="84">
        <f t="shared" si="5"/>
        <v>1.5141520000000008</v>
      </c>
      <c r="AU4" s="84">
        <f t="shared" si="5"/>
        <v>6.4296000000000237</v>
      </c>
    </row>
    <row r="5" spans="1:47" s="123" customFormat="1" ht="7.5" customHeight="1">
      <c r="A5" s="124"/>
      <c r="B5" s="122"/>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c r="AG5" s="279"/>
      <c r="AH5" s="280"/>
      <c r="AI5" s="279"/>
      <c r="AJ5" s="279"/>
      <c r="AK5" s="279"/>
      <c r="AL5" s="279"/>
      <c r="AM5" s="279"/>
      <c r="AN5" s="279"/>
      <c r="AO5" s="280"/>
      <c r="AP5" s="281"/>
      <c r="AQ5" s="281"/>
      <c r="AR5" s="282"/>
    </row>
    <row r="6" spans="1:47">
      <c r="A6" s="244" t="s">
        <v>3</v>
      </c>
      <c r="B6" s="12" t="s">
        <v>4</v>
      </c>
      <c r="C6">
        <v>24683.32</v>
      </c>
      <c r="D6">
        <v>78.11</v>
      </c>
      <c r="E6">
        <v>1928014.24</v>
      </c>
      <c r="F6">
        <v>0.25</v>
      </c>
      <c r="G6">
        <v>5.5</v>
      </c>
      <c r="H6">
        <v>0</v>
      </c>
      <c r="I6" s="274">
        <v>5.75</v>
      </c>
      <c r="J6">
        <v>2471.39</v>
      </c>
      <c r="K6">
        <v>47520.45</v>
      </c>
      <c r="L6">
        <v>0</v>
      </c>
      <c r="M6">
        <v>0</v>
      </c>
      <c r="N6">
        <v>47278.83</v>
      </c>
      <c r="O6" s="274">
        <v>5113.6900000000005</v>
      </c>
      <c r="P6">
        <v>3823.67</v>
      </c>
      <c r="Q6">
        <v>1</v>
      </c>
      <c r="R6">
        <v>0</v>
      </c>
      <c r="S6">
        <v>0</v>
      </c>
      <c r="T6" s="274">
        <f>S6+R6+Q6</f>
        <v>1</v>
      </c>
      <c r="U6">
        <v>0</v>
      </c>
      <c r="V6">
        <v>3.91</v>
      </c>
      <c r="W6">
        <v>2250.1999999999998</v>
      </c>
      <c r="X6">
        <v>2.7</v>
      </c>
      <c r="Y6">
        <v>2.9</v>
      </c>
      <c r="Z6">
        <v>0</v>
      </c>
      <c r="AA6">
        <v>24147.74</v>
      </c>
      <c r="AB6">
        <v>25778.91</v>
      </c>
      <c r="AC6">
        <v>0</v>
      </c>
      <c r="AD6">
        <v>43723.8</v>
      </c>
      <c r="AE6">
        <v>139450.01999999999</v>
      </c>
      <c r="AF6">
        <v>17512.419999999998</v>
      </c>
      <c r="AG6">
        <v>23382.51</v>
      </c>
      <c r="AH6">
        <v>1</v>
      </c>
      <c r="AI6">
        <v>68937</v>
      </c>
      <c r="AJ6">
        <v>67585</v>
      </c>
      <c r="AK6">
        <v>96805</v>
      </c>
      <c r="AL6">
        <v>100321</v>
      </c>
      <c r="AM6">
        <v>46784.33</v>
      </c>
      <c r="AN6">
        <v>48483</v>
      </c>
      <c r="AO6">
        <v>1</v>
      </c>
      <c r="AP6">
        <v>212893.92</v>
      </c>
      <c r="AQ6">
        <v>17416.53</v>
      </c>
      <c r="AR6">
        <v>1.454</v>
      </c>
      <c r="AS6">
        <v>4.8578999999999997E-2</v>
      </c>
      <c r="AT6">
        <v>4.0270000000000002E-3</v>
      </c>
      <c r="AU6">
        <v>1.7100000000000001E-2</v>
      </c>
    </row>
    <row r="7" spans="1:47">
      <c r="A7" s="244" t="s">
        <v>5</v>
      </c>
      <c r="B7" s="12" t="s">
        <v>6</v>
      </c>
      <c r="C7">
        <v>27973.89</v>
      </c>
      <c r="D7">
        <v>11.8</v>
      </c>
      <c r="E7">
        <v>330091.89</v>
      </c>
      <c r="F7">
        <v>0</v>
      </c>
      <c r="G7">
        <v>0</v>
      </c>
      <c r="H7">
        <v>0</v>
      </c>
      <c r="I7" s="274">
        <v>0</v>
      </c>
      <c r="J7">
        <v>0</v>
      </c>
      <c r="K7">
        <v>0</v>
      </c>
      <c r="L7">
        <v>0</v>
      </c>
      <c r="M7">
        <v>0</v>
      </c>
      <c r="N7">
        <v>0</v>
      </c>
      <c r="O7" s="274">
        <v>903.81999999999994</v>
      </c>
      <c r="P7">
        <v>0</v>
      </c>
      <c r="Q7">
        <v>0</v>
      </c>
      <c r="R7">
        <v>0</v>
      </c>
      <c r="S7">
        <v>0</v>
      </c>
      <c r="T7" s="274">
        <f t="shared" ref="T7:T70" si="6">S7+R7+Q7</f>
        <v>0</v>
      </c>
      <c r="U7">
        <v>0</v>
      </c>
      <c r="V7">
        <v>0.59</v>
      </c>
      <c r="W7">
        <v>293.5</v>
      </c>
      <c r="X7">
        <v>0</v>
      </c>
      <c r="Y7">
        <v>0</v>
      </c>
      <c r="Z7">
        <v>0</v>
      </c>
      <c r="AA7">
        <v>0</v>
      </c>
      <c r="AB7">
        <v>0</v>
      </c>
      <c r="AC7">
        <v>0</v>
      </c>
      <c r="AD7">
        <v>15658.49</v>
      </c>
      <c r="AE7">
        <v>65105.52</v>
      </c>
      <c r="AF7">
        <v>0</v>
      </c>
      <c r="AG7">
        <v>0</v>
      </c>
      <c r="AH7">
        <v>1</v>
      </c>
      <c r="AI7">
        <v>68937</v>
      </c>
      <c r="AJ7">
        <v>67585</v>
      </c>
      <c r="AK7">
        <v>96805</v>
      </c>
      <c r="AL7">
        <v>100321</v>
      </c>
      <c r="AM7">
        <v>46784.33</v>
      </c>
      <c r="AN7">
        <v>48483</v>
      </c>
      <c r="AO7">
        <v>1</v>
      </c>
      <c r="AP7">
        <v>34406.120000000003</v>
      </c>
      <c r="AQ7">
        <v>2948.1</v>
      </c>
      <c r="AR7">
        <v>0.66600000000000004</v>
      </c>
      <c r="AS7">
        <v>4.8578999999999997E-2</v>
      </c>
      <c r="AT7">
        <v>4.0270000000000002E-3</v>
      </c>
      <c r="AU7">
        <v>1.7100000000000001E-2</v>
      </c>
    </row>
    <row r="8" spans="1:47">
      <c r="A8" s="244" t="s">
        <v>7</v>
      </c>
      <c r="B8" s="12" t="s">
        <v>8</v>
      </c>
      <c r="C8">
        <v>8712.3700000000008</v>
      </c>
      <c r="D8">
        <v>4461.37</v>
      </c>
      <c r="E8">
        <v>38869089.32</v>
      </c>
      <c r="F8">
        <v>50.75</v>
      </c>
      <c r="G8">
        <v>377.25</v>
      </c>
      <c r="H8">
        <v>190.5</v>
      </c>
      <c r="I8" s="274">
        <v>618.5</v>
      </c>
      <c r="J8">
        <v>503900.66</v>
      </c>
      <c r="K8">
        <v>3272690.85</v>
      </c>
      <c r="L8">
        <v>1632051.62</v>
      </c>
      <c r="M8">
        <v>0</v>
      </c>
      <c r="N8">
        <v>4893308.17</v>
      </c>
      <c r="O8" s="274">
        <v>605907.99</v>
      </c>
      <c r="P8">
        <v>1118022.92</v>
      </c>
      <c r="Q8">
        <v>1150.75</v>
      </c>
      <c r="R8">
        <v>618.5</v>
      </c>
      <c r="S8">
        <v>274.5</v>
      </c>
      <c r="T8" s="274">
        <f t="shared" si="6"/>
        <v>2043.75</v>
      </c>
      <c r="U8">
        <v>2742993.82</v>
      </c>
      <c r="V8">
        <v>223.07</v>
      </c>
      <c r="W8">
        <v>125619.86</v>
      </c>
      <c r="X8">
        <v>241.1</v>
      </c>
      <c r="Y8">
        <v>20.58</v>
      </c>
      <c r="Z8">
        <v>0</v>
      </c>
      <c r="AA8">
        <v>2151265.52</v>
      </c>
      <c r="AB8">
        <v>183385.81</v>
      </c>
      <c r="AC8">
        <v>0</v>
      </c>
      <c r="AD8">
        <v>287040.48</v>
      </c>
      <c r="AE8">
        <v>2094723.66</v>
      </c>
      <c r="AF8">
        <v>1289755.95</v>
      </c>
      <c r="AG8">
        <v>2258809.48</v>
      </c>
      <c r="AH8">
        <v>1</v>
      </c>
      <c r="AI8">
        <v>68937</v>
      </c>
      <c r="AJ8">
        <v>67585</v>
      </c>
      <c r="AK8">
        <v>100321</v>
      </c>
      <c r="AL8">
        <v>102327</v>
      </c>
      <c r="AM8">
        <v>48483</v>
      </c>
      <c r="AN8">
        <v>49453</v>
      </c>
      <c r="AO8">
        <v>1</v>
      </c>
      <c r="AP8">
        <v>5725411.2000000002</v>
      </c>
      <c r="AQ8">
        <v>314828.59999999998</v>
      </c>
      <c r="AR8">
        <v>88.27</v>
      </c>
      <c r="AS8">
        <v>4.8578999999999997E-2</v>
      </c>
      <c r="AT8">
        <v>4.0270000000000002E-3</v>
      </c>
      <c r="AU8">
        <v>1.7100000000000001E-2</v>
      </c>
    </row>
    <row r="9" spans="1:47">
      <c r="A9" s="244" t="s">
        <v>9</v>
      </c>
      <c r="B9" s="12" t="s">
        <v>10</v>
      </c>
      <c r="C9">
        <v>13694.81</v>
      </c>
      <c r="D9">
        <v>188.2</v>
      </c>
      <c r="E9">
        <v>2577362.42</v>
      </c>
      <c r="F9">
        <v>3</v>
      </c>
      <c r="G9">
        <v>16</v>
      </c>
      <c r="H9">
        <v>2.5</v>
      </c>
      <c r="I9" s="274">
        <v>21.5</v>
      </c>
      <c r="J9">
        <v>29624.29</v>
      </c>
      <c r="K9">
        <v>138086.41</v>
      </c>
      <c r="L9">
        <v>21307.67</v>
      </c>
      <c r="M9">
        <v>0</v>
      </c>
      <c r="N9">
        <v>158854.88</v>
      </c>
      <c r="O9" s="274">
        <v>19020.98</v>
      </c>
      <c r="P9">
        <v>25881.53</v>
      </c>
      <c r="Q9">
        <v>18</v>
      </c>
      <c r="R9">
        <v>11</v>
      </c>
      <c r="S9">
        <v>4</v>
      </c>
      <c r="T9" s="274">
        <f t="shared" si="6"/>
        <v>33</v>
      </c>
      <c r="U9">
        <v>45004</v>
      </c>
      <c r="V9">
        <v>0</v>
      </c>
      <c r="W9">
        <v>0</v>
      </c>
      <c r="X9">
        <v>13.05</v>
      </c>
      <c r="Y9">
        <v>4.72</v>
      </c>
      <c r="Z9">
        <v>0</v>
      </c>
      <c r="AA9">
        <v>116434.61</v>
      </c>
      <c r="AB9">
        <v>42000.72</v>
      </c>
      <c r="AC9">
        <v>0</v>
      </c>
      <c r="AD9">
        <v>175008.83</v>
      </c>
      <c r="AE9">
        <v>903728.94</v>
      </c>
      <c r="AF9">
        <v>56352.84</v>
      </c>
      <c r="AG9">
        <v>84724.92</v>
      </c>
      <c r="AH9">
        <v>1</v>
      </c>
      <c r="AI9">
        <v>68937</v>
      </c>
      <c r="AJ9">
        <v>67585</v>
      </c>
      <c r="AK9">
        <v>100321</v>
      </c>
      <c r="AL9">
        <v>102327</v>
      </c>
      <c r="AM9">
        <v>48483</v>
      </c>
      <c r="AN9">
        <v>49453</v>
      </c>
      <c r="AO9">
        <v>1</v>
      </c>
      <c r="AP9">
        <v>320601.71999999997</v>
      </c>
      <c r="AQ9">
        <v>22049.06</v>
      </c>
      <c r="AR9">
        <v>3.5329999999999999</v>
      </c>
      <c r="AS9">
        <v>4.8578999999999997E-2</v>
      </c>
      <c r="AT9">
        <v>4.0270000000000002E-3</v>
      </c>
      <c r="AU9">
        <v>1.7100000000000001E-2</v>
      </c>
    </row>
    <row r="10" spans="1:47">
      <c r="A10" s="244" t="s">
        <v>11</v>
      </c>
      <c r="B10" s="12" t="s">
        <v>12</v>
      </c>
      <c r="C10">
        <v>10971.19</v>
      </c>
      <c r="D10">
        <v>356.94</v>
      </c>
      <c r="E10">
        <v>3916056.71</v>
      </c>
      <c r="F10">
        <v>1.25</v>
      </c>
      <c r="G10">
        <v>23.75</v>
      </c>
      <c r="H10">
        <v>5.75</v>
      </c>
      <c r="I10" s="274">
        <v>30.75</v>
      </c>
      <c r="J10">
        <v>12612.19</v>
      </c>
      <c r="K10">
        <v>209470.55</v>
      </c>
      <c r="L10">
        <v>50083.31</v>
      </c>
      <c r="M10">
        <v>0</v>
      </c>
      <c r="N10">
        <v>258824.15</v>
      </c>
      <c r="O10" s="274">
        <v>25441.85</v>
      </c>
      <c r="P10">
        <v>39290.83</v>
      </c>
      <c r="Q10">
        <v>0</v>
      </c>
      <c r="R10">
        <v>0</v>
      </c>
      <c r="S10">
        <v>0</v>
      </c>
      <c r="T10" s="274">
        <f t="shared" si="6"/>
        <v>0</v>
      </c>
      <c r="U10">
        <v>0</v>
      </c>
      <c r="V10">
        <v>0</v>
      </c>
      <c r="W10">
        <v>0</v>
      </c>
      <c r="X10">
        <v>21.78</v>
      </c>
      <c r="Y10">
        <v>9.07</v>
      </c>
      <c r="Z10">
        <v>0</v>
      </c>
      <c r="AA10">
        <v>198424.64</v>
      </c>
      <c r="AB10">
        <v>82520.429999999993</v>
      </c>
      <c r="AC10">
        <v>0</v>
      </c>
      <c r="AD10">
        <v>0</v>
      </c>
      <c r="AE10">
        <v>0</v>
      </c>
      <c r="AF10">
        <v>43337.97</v>
      </c>
      <c r="AG10">
        <v>102674.54</v>
      </c>
      <c r="AH10">
        <v>1</v>
      </c>
      <c r="AI10">
        <v>68937</v>
      </c>
      <c r="AJ10">
        <v>67585</v>
      </c>
      <c r="AK10">
        <v>100321</v>
      </c>
      <c r="AL10">
        <v>102327</v>
      </c>
      <c r="AM10">
        <v>48483</v>
      </c>
      <c r="AN10">
        <v>49453</v>
      </c>
      <c r="AO10">
        <v>1</v>
      </c>
      <c r="AP10">
        <v>474642.52</v>
      </c>
      <c r="AQ10">
        <v>30833.86</v>
      </c>
      <c r="AR10">
        <v>6.516</v>
      </c>
      <c r="AS10">
        <v>4.8578999999999997E-2</v>
      </c>
      <c r="AT10">
        <v>4.0270000000000002E-3</v>
      </c>
      <c r="AU10">
        <v>1.7100000000000001E-2</v>
      </c>
    </row>
    <row r="11" spans="1:47">
      <c r="A11" s="244" t="s">
        <v>13</v>
      </c>
      <c r="B11" s="12" t="s">
        <v>14</v>
      </c>
      <c r="C11">
        <v>8649.18</v>
      </c>
      <c r="D11">
        <v>2438.7800000000002</v>
      </c>
      <c r="E11">
        <v>21093458.890000001</v>
      </c>
      <c r="F11">
        <v>24.75</v>
      </c>
      <c r="G11">
        <v>264.75</v>
      </c>
      <c r="H11">
        <v>121</v>
      </c>
      <c r="I11" s="274">
        <v>410.5</v>
      </c>
      <c r="J11">
        <v>242871.37</v>
      </c>
      <c r="K11">
        <v>2270686.02</v>
      </c>
      <c r="L11">
        <v>1024876.64</v>
      </c>
      <c r="M11">
        <v>-483293.64</v>
      </c>
      <c r="N11">
        <v>3291616.32</v>
      </c>
      <c r="O11" s="274">
        <v>335331.13</v>
      </c>
      <c r="P11">
        <v>659337.63</v>
      </c>
      <c r="Q11">
        <v>15.25</v>
      </c>
      <c r="R11">
        <v>3</v>
      </c>
      <c r="S11">
        <v>6</v>
      </c>
      <c r="T11" s="274">
        <f t="shared" si="6"/>
        <v>24.25</v>
      </c>
      <c r="U11">
        <v>28959.09</v>
      </c>
      <c r="V11">
        <v>121.94</v>
      </c>
      <c r="W11">
        <v>68680.009999999995</v>
      </c>
      <c r="X11">
        <v>154.96</v>
      </c>
      <c r="Y11">
        <v>0</v>
      </c>
      <c r="Z11">
        <v>0</v>
      </c>
      <c r="AA11">
        <v>1382825.07</v>
      </c>
      <c r="AB11">
        <v>0</v>
      </c>
      <c r="AC11">
        <v>0</v>
      </c>
      <c r="AD11">
        <v>81195.839999999997</v>
      </c>
      <c r="AE11">
        <v>988141.5</v>
      </c>
      <c r="AF11">
        <v>379696.8</v>
      </c>
      <c r="AG11">
        <v>876599.66</v>
      </c>
      <c r="AH11">
        <v>1</v>
      </c>
      <c r="AI11">
        <v>68937</v>
      </c>
      <c r="AJ11">
        <v>67585</v>
      </c>
      <c r="AK11">
        <v>100321</v>
      </c>
      <c r="AL11">
        <v>102327</v>
      </c>
      <c r="AM11">
        <v>48483</v>
      </c>
      <c r="AN11">
        <v>49453</v>
      </c>
      <c r="AO11">
        <v>1</v>
      </c>
      <c r="AP11">
        <v>2914487.99</v>
      </c>
      <c r="AQ11">
        <v>157119.07</v>
      </c>
      <c r="AR11">
        <v>45.74</v>
      </c>
      <c r="AS11">
        <v>4.8578999999999997E-2</v>
      </c>
      <c r="AT11">
        <v>4.0270000000000002E-3</v>
      </c>
      <c r="AU11">
        <v>1.7100000000000001E-2</v>
      </c>
    </row>
    <row r="12" spans="1:47">
      <c r="A12" s="244" t="s">
        <v>15</v>
      </c>
      <c r="B12" s="12" t="s">
        <v>16</v>
      </c>
      <c r="C12">
        <v>9671.02</v>
      </c>
      <c r="D12">
        <v>607.07000000000005</v>
      </c>
      <c r="E12">
        <v>5870985.5800000001</v>
      </c>
      <c r="F12">
        <v>1.75</v>
      </c>
      <c r="G12">
        <v>45</v>
      </c>
      <c r="H12">
        <v>38</v>
      </c>
      <c r="I12" s="274">
        <v>84.75</v>
      </c>
      <c r="J12">
        <v>17647.73</v>
      </c>
      <c r="K12">
        <v>396661.41</v>
      </c>
      <c r="L12">
        <v>330793.21999999997</v>
      </c>
      <c r="M12">
        <v>-9046.6200000000008</v>
      </c>
      <c r="N12">
        <v>727831.98</v>
      </c>
      <c r="O12" s="274">
        <v>76053.600000000006</v>
      </c>
      <c r="P12">
        <v>140460.87</v>
      </c>
      <c r="Q12">
        <v>0</v>
      </c>
      <c r="R12">
        <v>0</v>
      </c>
      <c r="S12">
        <v>0</v>
      </c>
      <c r="T12" s="274">
        <f t="shared" si="6"/>
        <v>0</v>
      </c>
      <c r="U12">
        <v>0</v>
      </c>
      <c r="V12">
        <v>30.35</v>
      </c>
      <c r="W12">
        <v>17121.11</v>
      </c>
      <c r="X12">
        <v>44.03</v>
      </c>
      <c r="Y12">
        <v>4.72</v>
      </c>
      <c r="Z12">
        <v>0</v>
      </c>
      <c r="AA12">
        <v>392752.62</v>
      </c>
      <c r="AB12">
        <v>42000.72</v>
      </c>
      <c r="AC12">
        <v>0</v>
      </c>
      <c r="AD12">
        <v>86687.27</v>
      </c>
      <c r="AE12">
        <v>280057.31</v>
      </c>
      <c r="AF12">
        <v>0</v>
      </c>
      <c r="AG12">
        <v>121804.31</v>
      </c>
      <c r="AH12">
        <v>1</v>
      </c>
      <c r="AI12">
        <v>68937</v>
      </c>
      <c r="AJ12">
        <v>67585</v>
      </c>
      <c r="AK12">
        <v>100321</v>
      </c>
      <c r="AL12">
        <v>102327</v>
      </c>
      <c r="AM12">
        <v>48483</v>
      </c>
      <c r="AN12">
        <v>49453</v>
      </c>
      <c r="AO12">
        <v>1</v>
      </c>
      <c r="AP12">
        <v>801875.47</v>
      </c>
      <c r="AQ12">
        <v>47792.38</v>
      </c>
      <c r="AR12">
        <v>14.295</v>
      </c>
      <c r="AS12">
        <v>4.8578999999999997E-2</v>
      </c>
      <c r="AT12">
        <v>4.0270000000000002E-3</v>
      </c>
      <c r="AU12">
        <v>1.7100000000000001E-2</v>
      </c>
    </row>
    <row r="13" spans="1:47">
      <c r="A13" s="2" t="s">
        <v>17</v>
      </c>
      <c r="B13" s="2" t="s">
        <v>18</v>
      </c>
      <c r="C13">
        <v>8785.7999999999993</v>
      </c>
      <c r="D13">
        <v>18323.689999999999</v>
      </c>
      <c r="E13">
        <v>160988359.24000001</v>
      </c>
      <c r="F13">
        <v>168</v>
      </c>
      <c r="G13">
        <v>1055</v>
      </c>
      <c r="H13">
        <v>1116.75</v>
      </c>
      <c r="I13" s="274">
        <v>2339.75</v>
      </c>
      <c r="J13">
        <v>1667302.48</v>
      </c>
      <c r="K13">
        <v>9150410.0700000003</v>
      </c>
      <c r="L13">
        <v>9565522.5199999996</v>
      </c>
      <c r="M13">
        <v>0</v>
      </c>
      <c r="N13">
        <v>18673011.039999999</v>
      </c>
      <c r="O13" s="274">
        <v>2370901.94</v>
      </c>
      <c r="P13">
        <v>5319714.16</v>
      </c>
      <c r="Q13">
        <v>1687.75</v>
      </c>
      <c r="R13">
        <v>896.5</v>
      </c>
      <c r="S13">
        <v>492</v>
      </c>
      <c r="T13" s="274">
        <f t="shared" si="6"/>
        <v>3076.25</v>
      </c>
      <c r="U13">
        <v>4074231.7</v>
      </c>
      <c r="V13">
        <v>916.18</v>
      </c>
      <c r="W13">
        <v>516078.49</v>
      </c>
      <c r="X13">
        <v>961.01</v>
      </c>
      <c r="Y13">
        <v>161.62</v>
      </c>
      <c r="Z13">
        <v>437.59</v>
      </c>
      <c r="AA13">
        <v>8575071.3800000008</v>
      </c>
      <c r="AB13">
        <v>1440174.58</v>
      </c>
      <c r="AC13">
        <v>4427604.83</v>
      </c>
      <c r="AD13">
        <v>929829.64</v>
      </c>
      <c r="AE13">
        <v>8171333.0899999999</v>
      </c>
      <c r="AF13">
        <v>3632312.01</v>
      </c>
      <c r="AG13">
        <v>6697964.9100000001</v>
      </c>
      <c r="AH13">
        <v>1</v>
      </c>
      <c r="AI13">
        <v>68937</v>
      </c>
      <c r="AJ13">
        <v>67585</v>
      </c>
      <c r="AK13">
        <v>100321</v>
      </c>
      <c r="AL13">
        <v>102327</v>
      </c>
      <c r="AM13">
        <v>48483</v>
      </c>
      <c r="AN13">
        <v>49453</v>
      </c>
      <c r="AO13">
        <v>1</v>
      </c>
      <c r="AP13">
        <v>21977403.57</v>
      </c>
      <c r="AQ13">
        <v>1210371.96</v>
      </c>
      <c r="AR13">
        <v>349.83699999999999</v>
      </c>
      <c r="AS13">
        <v>4.8578999999999997E-2</v>
      </c>
      <c r="AT13">
        <v>4.0270000000000002E-3</v>
      </c>
      <c r="AU13">
        <v>1.7100000000000001E-2</v>
      </c>
    </row>
    <row r="14" spans="1:47">
      <c r="A14" s="2" t="s">
        <v>19</v>
      </c>
      <c r="B14" s="2" t="s">
        <v>20</v>
      </c>
      <c r="C14">
        <v>9572.2099999999991</v>
      </c>
      <c r="D14">
        <v>141.4</v>
      </c>
      <c r="E14">
        <v>1353510.21</v>
      </c>
      <c r="F14">
        <v>1</v>
      </c>
      <c r="G14">
        <v>22.75</v>
      </c>
      <c r="H14">
        <v>0</v>
      </c>
      <c r="I14" s="274">
        <v>23.75</v>
      </c>
      <c r="J14">
        <v>10135.790000000001</v>
      </c>
      <c r="K14">
        <v>201396.49</v>
      </c>
      <c r="L14">
        <v>0</v>
      </c>
      <c r="M14">
        <v>-32418.7</v>
      </c>
      <c r="N14">
        <v>200512.36</v>
      </c>
      <c r="O14" s="274">
        <v>18310.29</v>
      </c>
      <c r="P14">
        <v>18661.71</v>
      </c>
      <c r="Q14">
        <v>20.25</v>
      </c>
      <c r="R14">
        <v>5.25</v>
      </c>
      <c r="S14">
        <v>11</v>
      </c>
      <c r="T14" s="274">
        <f t="shared" si="6"/>
        <v>36.5</v>
      </c>
      <c r="U14">
        <v>43145.15</v>
      </c>
      <c r="V14">
        <v>0</v>
      </c>
      <c r="W14">
        <v>0</v>
      </c>
      <c r="X14">
        <v>0</v>
      </c>
      <c r="Y14">
        <v>0</v>
      </c>
      <c r="Z14">
        <v>0</v>
      </c>
      <c r="AA14">
        <v>0</v>
      </c>
      <c r="AB14">
        <v>0</v>
      </c>
      <c r="AC14">
        <v>0</v>
      </c>
      <c r="AD14">
        <v>31053.51</v>
      </c>
      <c r="AE14">
        <v>331850.59000000003</v>
      </c>
      <c r="AF14">
        <v>39525.26</v>
      </c>
      <c r="AG14">
        <v>86094.62</v>
      </c>
      <c r="AH14">
        <v>1</v>
      </c>
      <c r="AI14">
        <v>68937</v>
      </c>
      <c r="AJ14">
        <v>67585</v>
      </c>
      <c r="AK14">
        <v>100321</v>
      </c>
      <c r="AL14">
        <v>102327</v>
      </c>
      <c r="AM14">
        <v>48483</v>
      </c>
      <c r="AN14">
        <v>49453</v>
      </c>
      <c r="AO14">
        <v>1</v>
      </c>
      <c r="AP14">
        <v>195687.8</v>
      </c>
      <c r="AQ14">
        <v>11883.58</v>
      </c>
      <c r="AR14">
        <v>3.9409999999999998</v>
      </c>
      <c r="AS14">
        <v>4.8578999999999997E-2</v>
      </c>
      <c r="AT14">
        <v>4.0270000000000002E-3</v>
      </c>
      <c r="AU14">
        <v>1.7100000000000001E-2</v>
      </c>
    </row>
    <row r="15" spans="1:47">
      <c r="A15" s="2" t="s">
        <v>21</v>
      </c>
      <c r="B15" s="2" t="s">
        <v>22</v>
      </c>
      <c r="C15">
        <v>8759.0300000000007</v>
      </c>
      <c r="D15">
        <v>1391.51</v>
      </c>
      <c r="E15">
        <v>12188278.869999999</v>
      </c>
      <c r="F15">
        <v>8.25</v>
      </c>
      <c r="G15">
        <v>129.75</v>
      </c>
      <c r="H15">
        <v>47.75</v>
      </c>
      <c r="I15" s="274">
        <v>185.75</v>
      </c>
      <c r="J15">
        <v>82362.600000000006</v>
      </c>
      <c r="K15">
        <v>1132137.3600000001</v>
      </c>
      <c r="L15">
        <v>411462.43</v>
      </c>
      <c r="M15">
        <v>0</v>
      </c>
      <c r="N15">
        <v>1532226.51</v>
      </c>
      <c r="O15" s="274">
        <v>173347.24</v>
      </c>
      <c r="P15">
        <v>365115.39</v>
      </c>
      <c r="Q15">
        <v>219.5</v>
      </c>
      <c r="R15">
        <v>124</v>
      </c>
      <c r="S15">
        <v>68</v>
      </c>
      <c r="T15" s="274">
        <f t="shared" si="6"/>
        <v>411.5</v>
      </c>
      <c r="U15">
        <v>546113.76</v>
      </c>
      <c r="V15">
        <v>69.58</v>
      </c>
      <c r="W15">
        <v>39231.75</v>
      </c>
      <c r="X15">
        <v>85.13</v>
      </c>
      <c r="Y15">
        <v>0</v>
      </c>
      <c r="Z15">
        <v>0</v>
      </c>
      <c r="AA15">
        <v>759640.43</v>
      </c>
      <c r="AB15">
        <v>0</v>
      </c>
      <c r="AC15">
        <v>0</v>
      </c>
      <c r="AD15">
        <v>109352.64</v>
      </c>
      <c r="AE15">
        <v>731218.04</v>
      </c>
      <c r="AF15">
        <v>387719.24</v>
      </c>
      <c r="AG15">
        <v>596009.5</v>
      </c>
      <c r="AH15">
        <v>1</v>
      </c>
      <c r="AI15">
        <v>68937</v>
      </c>
      <c r="AJ15">
        <v>67585</v>
      </c>
      <c r="AK15">
        <v>100321</v>
      </c>
      <c r="AL15">
        <v>102327</v>
      </c>
      <c r="AM15">
        <v>48483</v>
      </c>
      <c r="AN15">
        <v>49453</v>
      </c>
      <c r="AO15">
        <v>1</v>
      </c>
      <c r="AP15">
        <v>1779916.66</v>
      </c>
      <c r="AQ15">
        <v>99015.33</v>
      </c>
      <c r="AR15">
        <v>29.472999999999999</v>
      </c>
      <c r="AS15">
        <v>4.8578999999999997E-2</v>
      </c>
      <c r="AT15">
        <v>4.0270000000000002E-3</v>
      </c>
      <c r="AU15">
        <v>1.7100000000000001E-2</v>
      </c>
    </row>
    <row r="16" spans="1:47">
      <c r="A16" s="2" t="s">
        <v>23</v>
      </c>
      <c r="B16" s="2" t="s">
        <v>24</v>
      </c>
      <c r="C16">
        <v>8751.66</v>
      </c>
      <c r="D16">
        <v>846</v>
      </c>
      <c r="E16">
        <v>7403904.1699999999</v>
      </c>
      <c r="F16">
        <v>11.75</v>
      </c>
      <c r="G16">
        <v>61.5</v>
      </c>
      <c r="H16">
        <v>39</v>
      </c>
      <c r="I16" s="274">
        <v>112.25</v>
      </c>
      <c r="J16">
        <v>115763.75</v>
      </c>
      <c r="K16">
        <v>529593.94999999995</v>
      </c>
      <c r="L16">
        <v>331663.57</v>
      </c>
      <c r="M16">
        <v>0</v>
      </c>
      <c r="N16">
        <v>860999.58</v>
      </c>
      <c r="O16" s="274">
        <v>115222.2</v>
      </c>
      <c r="P16">
        <v>158696.89000000001</v>
      </c>
      <c r="Q16">
        <v>113.25</v>
      </c>
      <c r="R16">
        <v>53.75</v>
      </c>
      <c r="S16">
        <v>29</v>
      </c>
      <c r="T16" s="274">
        <f t="shared" si="6"/>
        <v>196</v>
      </c>
      <c r="U16">
        <v>258968.67</v>
      </c>
      <c r="V16">
        <v>42.3</v>
      </c>
      <c r="W16">
        <v>23871.69</v>
      </c>
      <c r="X16">
        <v>64.5</v>
      </c>
      <c r="Y16">
        <v>5.68</v>
      </c>
      <c r="Z16">
        <v>0</v>
      </c>
      <c r="AA16">
        <v>575510.81000000006</v>
      </c>
      <c r="AB16">
        <v>50524.56</v>
      </c>
      <c r="AC16">
        <v>0</v>
      </c>
      <c r="AD16">
        <v>74881.19</v>
      </c>
      <c r="AE16">
        <v>621474.28</v>
      </c>
      <c r="AF16">
        <v>249283.02</v>
      </c>
      <c r="AG16">
        <v>416287</v>
      </c>
      <c r="AH16">
        <v>1</v>
      </c>
      <c r="AI16">
        <v>68937</v>
      </c>
      <c r="AJ16">
        <v>67585</v>
      </c>
      <c r="AK16">
        <v>100321</v>
      </c>
      <c r="AL16">
        <v>102327</v>
      </c>
      <c r="AM16">
        <v>48483</v>
      </c>
      <c r="AN16">
        <v>49453</v>
      </c>
      <c r="AO16">
        <v>1</v>
      </c>
      <c r="AP16">
        <v>1049828.8500000001</v>
      </c>
      <c r="AQ16">
        <v>57251</v>
      </c>
      <c r="AR16">
        <v>14.959</v>
      </c>
      <c r="AS16">
        <v>4.8578999999999997E-2</v>
      </c>
      <c r="AT16">
        <v>4.0270000000000002E-3</v>
      </c>
      <c r="AU16">
        <v>1.7100000000000001E-2</v>
      </c>
    </row>
    <row r="17" spans="1:47">
      <c r="A17" s="2" t="s">
        <v>25</v>
      </c>
      <c r="B17" s="2" t="s">
        <v>26</v>
      </c>
      <c r="C17">
        <v>8632.4699999999993</v>
      </c>
      <c r="D17">
        <v>2455.8000000000002</v>
      </c>
      <c r="E17">
        <v>21199615.16</v>
      </c>
      <c r="F17">
        <v>13.25</v>
      </c>
      <c r="G17">
        <v>143.75</v>
      </c>
      <c r="H17">
        <v>171</v>
      </c>
      <c r="I17" s="274">
        <v>328</v>
      </c>
      <c r="J17">
        <v>129574.21</v>
      </c>
      <c r="K17">
        <v>1228534.55</v>
      </c>
      <c r="L17">
        <v>1443245.44</v>
      </c>
      <c r="M17">
        <v>0</v>
      </c>
      <c r="N17">
        <v>2676520.69</v>
      </c>
      <c r="O17" s="274">
        <v>326960.53999999998</v>
      </c>
      <c r="P17">
        <v>673945.73</v>
      </c>
      <c r="Q17">
        <v>378.25</v>
      </c>
      <c r="R17">
        <v>208.5</v>
      </c>
      <c r="S17">
        <v>71</v>
      </c>
      <c r="T17" s="274">
        <f t="shared" si="6"/>
        <v>657.75</v>
      </c>
      <c r="U17">
        <v>895775.29</v>
      </c>
      <c r="V17">
        <v>122.79</v>
      </c>
      <c r="W17">
        <v>69169.2</v>
      </c>
      <c r="X17">
        <v>229.08</v>
      </c>
      <c r="Y17">
        <v>29.81</v>
      </c>
      <c r="Z17">
        <v>0</v>
      </c>
      <c r="AA17">
        <v>2044014.07</v>
      </c>
      <c r="AB17">
        <v>265700.03999999998</v>
      </c>
      <c r="AC17">
        <v>0</v>
      </c>
      <c r="AD17">
        <v>258877.62</v>
      </c>
      <c r="AE17">
        <v>1440600.31</v>
      </c>
      <c r="AF17">
        <v>718596.5</v>
      </c>
      <c r="AG17">
        <v>1123534.6499999999</v>
      </c>
      <c r="AH17">
        <v>1</v>
      </c>
      <c r="AI17">
        <v>68937</v>
      </c>
      <c r="AJ17">
        <v>67585</v>
      </c>
      <c r="AK17">
        <v>100321</v>
      </c>
      <c r="AL17">
        <v>102327</v>
      </c>
      <c r="AM17">
        <v>48483</v>
      </c>
      <c r="AN17">
        <v>49453</v>
      </c>
      <c r="AO17">
        <v>1</v>
      </c>
      <c r="AP17">
        <v>3025582.95</v>
      </c>
      <c r="AQ17">
        <v>161113.45000000001</v>
      </c>
      <c r="AR17">
        <v>41.116999999999997</v>
      </c>
      <c r="AS17">
        <v>4.8578999999999997E-2</v>
      </c>
      <c r="AT17">
        <v>4.0270000000000002E-3</v>
      </c>
      <c r="AU17">
        <v>1.7100000000000001E-2</v>
      </c>
    </row>
    <row r="18" spans="1:47">
      <c r="A18" s="2" t="s">
        <v>27</v>
      </c>
      <c r="B18" s="2" t="s">
        <v>28</v>
      </c>
      <c r="C18">
        <v>8861.36</v>
      </c>
      <c r="D18">
        <v>13424.68</v>
      </c>
      <c r="E18">
        <v>118960899.7</v>
      </c>
      <c r="F18">
        <v>123.75</v>
      </c>
      <c r="G18">
        <v>991.75</v>
      </c>
      <c r="H18">
        <v>611</v>
      </c>
      <c r="I18" s="274">
        <v>1726.5</v>
      </c>
      <c r="J18">
        <v>1247403.22</v>
      </c>
      <c r="K18">
        <v>8736801.0999999996</v>
      </c>
      <c r="L18">
        <v>5315647.33</v>
      </c>
      <c r="M18">
        <v>0</v>
      </c>
      <c r="N18">
        <v>14039723.17</v>
      </c>
      <c r="O18" s="274">
        <v>1699716.3</v>
      </c>
      <c r="P18">
        <v>3653318.33</v>
      </c>
      <c r="Q18">
        <v>491.5</v>
      </c>
      <c r="R18">
        <v>300</v>
      </c>
      <c r="S18">
        <v>126.5</v>
      </c>
      <c r="T18" s="274">
        <f t="shared" si="6"/>
        <v>918</v>
      </c>
      <c r="U18">
        <v>1285777.78</v>
      </c>
      <c r="V18">
        <v>671.23</v>
      </c>
      <c r="W18">
        <v>391323.66</v>
      </c>
      <c r="X18">
        <v>667.34</v>
      </c>
      <c r="Y18">
        <v>76.97</v>
      </c>
      <c r="Z18">
        <v>0</v>
      </c>
      <c r="AA18">
        <v>6123246.3899999997</v>
      </c>
      <c r="AB18">
        <v>705294.4</v>
      </c>
      <c r="AC18">
        <v>0</v>
      </c>
      <c r="AD18">
        <v>480141.64</v>
      </c>
      <c r="AE18">
        <v>4736544.33</v>
      </c>
      <c r="AF18">
        <v>628507.93999999994</v>
      </c>
      <c r="AG18">
        <v>3105777.16</v>
      </c>
      <c r="AH18">
        <v>1.04</v>
      </c>
      <c r="AI18">
        <v>68937</v>
      </c>
      <c r="AJ18">
        <v>67585</v>
      </c>
      <c r="AK18">
        <v>100321</v>
      </c>
      <c r="AL18">
        <v>102327</v>
      </c>
      <c r="AM18">
        <v>48483</v>
      </c>
      <c r="AN18">
        <v>49453</v>
      </c>
      <c r="AO18">
        <v>1</v>
      </c>
      <c r="AP18">
        <v>15811582.09</v>
      </c>
      <c r="AQ18">
        <v>885402.38</v>
      </c>
      <c r="AR18">
        <v>226.72900000000001</v>
      </c>
      <c r="AS18">
        <v>4.8578999999999997E-2</v>
      </c>
      <c r="AT18">
        <v>4.0270000000000002E-3</v>
      </c>
      <c r="AU18">
        <v>1.7100000000000001E-2</v>
      </c>
    </row>
    <row r="19" spans="1:47">
      <c r="A19" s="2" t="s">
        <v>29</v>
      </c>
      <c r="B19" s="2" t="s">
        <v>30</v>
      </c>
      <c r="C19">
        <v>9135.33</v>
      </c>
      <c r="D19">
        <v>598.66</v>
      </c>
      <c r="E19">
        <v>5468958.6100000003</v>
      </c>
      <c r="F19">
        <v>3.75</v>
      </c>
      <c r="G19">
        <v>57.75</v>
      </c>
      <c r="H19">
        <v>14.25</v>
      </c>
      <c r="I19" s="274">
        <v>75.75</v>
      </c>
      <c r="J19">
        <v>37067.19</v>
      </c>
      <c r="K19">
        <v>498895.01</v>
      </c>
      <c r="L19">
        <v>121572.93</v>
      </c>
      <c r="M19">
        <v>0</v>
      </c>
      <c r="N19">
        <v>618860.88</v>
      </c>
      <c r="O19" s="274">
        <v>69162.850000000006</v>
      </c>
      <c r="P19">
        <v>80359.23</v>
      </c>
      <c r="Q19">
        <v>132.5</v>
      </c>
      <c r="R19">
        <v>81.75</v>
      </c>
      <c r="S19">
        <v>33</v>
      </c>
      <c r="T19" s="274">
        <f t="shared" si="6"/>
        <v>247.25</v>
      </c>
      <c r="U19">
        <v>335573.32</v>
      </c>
      <c r="V19">
        <v>29.93</v>
      </c>
      <c r="W19">
        <v>16827.57</v>
      </c>
      <c r="X19">
        <v>12.35</v>
      </c>
      <c r="Y19">
        <v>4.6100000000000003</v>
      </c>
      <c r="Z19">
        <v>0</v>
      </c>
      <c r="AA19">
        <v>110147.07</v>
      </c>
      <c r="AB19">
        <v>41119.410000000003</v>
      </c>
      <c r="AC19">
        <v>0</v>
      </c>
      <c r="AD19">
        <v>65812.94</v>
      </c>
      <c r="AE19">
        <v>369417.32</v>
      </c>
      <c r="AF19">
        <v>175906.94</v>
      </c>
      <c r="AG19">
        <v>256620.64</v>
      </c>
      <c r="AH19">
        <v>1</v>
      </c>
      <c r="AI19">
        <v>68937</v>
      </c>
      <c r="AJ19">
        <v>67585</v>
      </c>
      <c r="AK19">
        <v>100321</v>
      </c>
      <c r="AL19">
        <v>102327</v>
      </c>
      <c r="AM19">
        <v>48483</v>
      </c>
      <c r="AN19">
        <v>49453</v>
      </c>
      <c r="AO19">
        <v>1</v>
      </c>
      <c r="AP19">
        <v>843575.37</v>
      </c>
      <c r="AQ19">
        <v>46920.01</v>
      </c>
      <c r="AR19">
        <v>11.005000000000001</v>
      </c>
      <c r="AS19">
        <v>4.8578999999999997E-2</v>
      </c>
      <c r="AT19">
        <v>4.0270000000000002E-3</v>
      </c>
      <c r="AU19">
        <v>1.7100000000000001E-2</v>
      </c>
    </row>
    <row r="20" spans="1:47">
      <c r="A20" s="2" t="s">
        <v>31</v>
      </c>
      <c r="B20" s="2" t="s">
        <v>32</v>
      </c>
      <c r="C20">
        <v>35153.81</v>
      </c>
      <c r="D20">
        <v>11</v>
      </c>
      <c r="E20">
        <v>386691.91</v>
      </c>
      <c r="F20">
        <v>0</v>
      </c>
      <c r="G20">
        <v>0</v>
      </c>
      <c r="H20">
        <v>0</v>
      </c>
      <c r="I20" s="274">
        <v>0</v>
      </c>
      <c r="J20">
        <v>0</v>
      </c>
      <c r="K20">
        <v>0</v>
      </c>
      <c r="L20">
        <v>0</v>
      </c>
      <c r="M20">
        <v>0</v>
      </c>
      <c r="N20">
        <v>0</v>
      </c>
      <c r="O20" s="274">
        <v>0</v>
      </c>
      <c r="P20">
        <v>0</v>
      </c>
      <c r="Q20">
        <v>0</v>
      </c>
      <c r="R20">
        <v>0</v>
      </c>
      <c r="S20">
        <v>0</v>
      </c>
      <c r="T20" s="274">
        <f t="shared" si="6"/>
        <v>0</v>
      </c>
      <c r="U20">
        <v>0</v>
      </c>
      <c r="V20">
        <v>0</v>
      </c>
      <c r="W20">
        <v>0</v>
      </c>
      <c r="X20">
        <v>0</v>
      </c>
      <c r="Y20">
        <v>0</v>
      </c>
      <c r="Z20">
        <v>0</v>
      </c>
      <c r="AA20">
        <v>0</v>
      </c>
      <c r="AB20">
        <v>0</v>
      </c>
      <c r="AC20">
        <v>0</v>
      </c>
      <c r="AD20">
        <v>0</v>
      </c>
      <c r="AE20">
        <v>0</v>
      </c>
      <c r="AF20">
        <v>0</v>
      </c>
      <c r="AG20">
        <v>0</v>
      </c>
      <c r="AH20">
        <v>1.04</v>
      </c>
      <c r="AI20">
        <v>68937</v>
      </c>
      <c r="AJ20">
        <v>67585</v>
      </c>
      <c r="AK20">
        <v>100321</v>
      </c>
      <c r="AL20">
        <v>102327</v>
      </c>
      <c r="AM20">
        <v>48483</v>
      </c>
      <c r="AN20">
        <v>49453</v>
      </c>
      <c r="AO20">
        <v>1.04</v>
      </c>
      <c r="AP20">
        <v>39490.26</v>
      </c>
      <c r="AQ20">
        <v>3327.13</v>
      </c>
      <c r="AR20">
        <v>0.13600000000000001</v>
      </c>
      <c r="AS20">
        <v>4.8578999999999997E-2</v>
      </c>
      <c r="AT20">
        <v>4.0270000000000002E-3</v>
      </c>
      <c r="AU20">
        <v>1.7100000000000001E-2</v>
      </c>
    </row>
    <row r="21" spans="1:47">
      <c r="A21" s="2" t="s">
        <v>33</v>
      </c>
      <c r="B21" s="2" t="s">
        <v>34</v>
      </c>
      <c r="C21">
        <v>11765.25</v>
      </c>
      <c r="D21">
        <v>312.99</v>
      </c>
      <c r="E21">
        <v>3682406.03</v>
      </c>
      <c r="F21">
        <v>2</v>
      </c>
      <c r="G21">
        <v>31.25</v>
      </c>
      <c r="H21">
        <v>5</v>
      </c>
      <c r="I21" s="274">
        <v>38.25</v>
      </c>
      <c r="J21">
        <v>20711.18</v>
      </c>
      <c r="K21">
        <v>282787.39</v>
      </c>
      <c r="L21">
        <v>44683.18</v>
      </c>
      <c r="M21">
        <v>0</v>
      </c>
      <c r="N21">
        <v>326426.18</v>
      </c>
      <c r="O21" s="274">
        <v>37230.280000000006</v>
      </c>
      <c r="P21">
        <v>42434.34</v>
      </c>
      <c r="Q21">
        <v>29.5</v>
      </c>
      <c r="R21">
        <v>21.25</v>
      </c>
      <c r="S21">
        <v>6</v>
      </c>
      <c r="T21" s="274">
        <f t="shared" si="6"/>
        <v>56.75</v>
      </c>
      <c r="U21">
        <v>81815.61</v>
      </c>
      <c r="V21">
        <v>15.65</v>
      </c>
      <c r="W21">
        <v>9113.1200000000008</v>
      </c>
      <c r="X21">
        <v>0</v>
      </c>
      <c r="Y21">
        <v>0</v>
      </c>
      <c r="Z21">
        <v>0</v>
      </c>
      <c r="AA21">
        <v>0</v>
      </c>
      <c r="AB21">
        <v>0</v>
      </c>
      <c r="AC21">
        <v>0</v>
      </c>
      <c r="AD21">
        <v>45330.64</v>
      </c>
      <c r="AE21">
        <v>260922.19</v>
      </c>
      <c r="AF21">
        <v>90118.68</v>
      </c>
      <c r="AG21">
        <v>127178.72</v>
      </c>
      <c r="AH21">
        <v>1</v>
      </c>
      <c r="AI21">
        <v>68937</v>
      </c>
      <c r="AJ21">
        <v>67585</v>
      </c>
      <c r="AK21">
        <v>100321</v>
      </c>
      <c r="AL21">
        <v>102327</v>
      </c>
      <c r="AM21">
        <v>48483</v>
      </c>
      <c r="AN21">
        <v>49453</v>
      </c>
      <c r="AO21">
        <v>1</v>
      </c>
      <c r="AP21">
        <v>494634.11</v>
      </c>
      <c r="AQ21">
        <v>33349.99</v>
      </c>
      <c r="AR21">
        <v>7.827</v>
      </c>
      <c r="AS21">
        <v>4.8578999999999997E-2</v>
      </c>
      <c r="AT21">
        <v>4.0270000000000002E-3</v>
      </c>
      <c r="AU21">
        <v>1.7100000000000001E-2</v>
      </c>
    </row>
    <row r="22" spans="1:47">
      <c r="A22" s="2" t="s">
        <v>35</v>
      </c>
      <c r="B22" s="2" t="s">
        <v>36</v>
      </c>
      <c r="C22">
        <v>8841.82</v>
      </c>
      <c r="D22">
        <v>1254.82</v>
      </c>
      <c r="E22">
        <v>11094892.07</v>
      </c>
      <c r="F22">
        <v>4.75</v>
      </c>
      <c r="G22">
        <v>108.25</v>
      </c>
      <c r="H22">
        <v>19.75</v>
      </c>
      <c r="I22" s="274">
        <v>132.75</v>
      </c>
      <c r="J22">
        <v>46670.23</v>
      </c>
      <c r="K22">
        <v>929468.94</v>
      </c>
      <c r="L22">
        <v>167470.54</v>
      </c>
      <c r="M22">
        <v>0</v>
      </c>
      <c r="N22">
        <v>1093600</v>
      </c>
      <c r="O22" s="274">
        <v>123976.2</v>
      </c>
      <c r="P22">
        <v>152425.53</v>
      </c>
      <c r="Q22">
        <v>230.25</v>
      </c>
      <c r="R22">
        <v>127.75</v>
      </c>
      <c r="S22">
        <v>33</v>
      </c>
      <c r="T22" s="274">
        <f t="shared" si="6"/>
        <v>391</v>
      </c>
      <c r="U22">
        <v>538776.16</v>
      </c>
      <c r="V22">
        <v>62.74</v>
      </c>
      <c r="W22">
        <v>35318.36</v>
      </c>
      <c r="X22">
        <v>101.2</v>
      </c>
      <c r="Y22">
        <v>0</v>
      </c>
      <c r="Z22">
        <v>0</v>
      </c>
      <c r="AA22">
        <v>903101.93</v>
      </c>
      <c r="AB22">
        <v>0</v>
      </c>
      <c r="AC22">
        <v>0</v>
      </c>
      <c r="AD22">
        <v>140926.01</v>
      </c>
      <c r="AE22">
        <v>784172.17</v>
      </c>
      <c r="AF22">
        <v>366293.43</v>
      </c>
      <c r="AG22">
        <v>485749.71</v>
      </c>
      <c r="AH22">
        <v>1</v>
      </c>
      <c r="AI22">
        <v>68937</v>
      </c>
      <c r="AJ22">
        <v>67585</v>
      </c>
      <c r="AK22">
        <v>100321</v>
      </c>
      <c r="AL22">
        <v>102327</v>
      </c>
      <c r="AM22">
        <v>48483</v>
      </c>
      <c r="AN22">
        <v>49453</v>
      </c>
      <c r="AO22">
        <v>1.04</v>
      </c>
      <c r="AP22">
        <v>1613428.25</v>
      </c>
      <c r="AQ22">
        <v>87323.9</v>
      </c>
      <c r="AR22">
        <v>20.966999999999999</v>
      </c>
      <c r="AS22">
        <v>4.8578999999999997E-2</v>
      </c>
      <c r="AT22">
        <v>4.0270000000000002E-3</v>
      </c>
      <c r="AU22">
        <v>1.7100000000000001E-2</v>
      </c>
    </row>
    <row r="23" spans="1:47">
      <c r="A23" s="2" t="s">
        <v>37</v>
      </c>
      <c r="B23" s="2" t="s">
        <v>38</v>
      </c>
      <c r="C23">
        <v>8977.31</v>
      </c>
      <c r="D23">
        <v>1567.21</v>
      </c>
      <c r="E23">
        <v>14069336.34</v>
      </c>
      <c r="F23">
        <v>18.25</v>
      </c>
      <c r="G23">
        <v>159</v>
      </c>
      <c r="H23">
        <v>26</v>
      </c>
      <c r="I23" s="274">
        <v>203.25</v>
      </c>
      <c r="J23">
        <v>185509.56</v>
      </c>
      <c r="K23">
        <v>1412554.87</v>
      </c>
      <c r="L23">
        <v>228111.12</v>
      </c>
      <c r="M23">
        <v>0</v>
      </c>
      <c r="N23">
        <v>1635224.25</v>
      </c>
      <c r="O23" s="274">
        <v>193094.33000000002</v>
      </c>
      <c r="P23">
        <v>236394.43</v>
      </c>
      <c r="Q23">
        <v>152.25</v>
      </c>
      <c r="R23">
        <v>33.75</v>
      </c>
      <c r="S23">
        <v>65.5</v>
      </c>
      <c r="T23" s="274">
        <f t="shared" si="6"/>
        <v>251.5</v>
      </c>
      <c r="U23">
        <v>311263.83</v>
      </c>
      <c r="V23">
        <v>78.36</v>
      </c>
      <c r="W23">
        <v>45666.879999999997</v>
      </c>
      <c r="X23">
        <v>124.28</v>
      </c>
      <c r="Y23">
        <v>54.57</v>
      </c>
      <c r="Z23">
        <v>0</v>
      </c>
      <c r="AA23">
        <v>1132440.0900000001</v>
      </c>
      <c r="AB23">
        <v>496586.21</v>
      </c>
      <c r="AC23">
        <v>0</v>
      </c>
      <c r="AD23">
        <v>78455.360000000001</v>
      </c>
      <c r="AE23">
        <v>478704.07</v>
      </c>
      <c r="AF23">
        <v>0</v>
      </c>
      <c r="AG23">
        <v>417887.4</v>
      </c>
      <c r="AH23">
        <v>1</v>
      </c>
      <c r="AI23">
        <v>68937</v>
      </c>
      <c r="AJ23">
        <v>67585</v>
      </c>
      <c r="AK23">
        <v>100321</v>
      </c>
      <c r="AL23">
        <v>102327</v>
      </c>
      <c r="AM23">
        <v>48483</v>
      </c>
      <c r="AN23">
        <v>49453</v>
      </c>
      <c r="AO23">
        <v>1</v>
      </c>
      <c r="AP23">
        <v>1894951.98</v>
      </c>
      <c r="AQ23">
        <v>109380.77</v>
      </c>
      <c r="AR23">
        <v>31.786999999999999</v>
      </c>
      <c r="AS23">
        <v>4.8578999999999997E-2</v>
      </c>
      <c r="AT23">
        <v>4.0270000000000002E-3</v>
      </c>
      <c r="AU23">
        <v>1.7100000000000001E-2</v>
      </c>
    </row>
    <row r="24" spans="1:47">
      <c r="A24" s="2" t="s">
        <v>39</v>
      </c>
      <c r="B24" s="2" t="s">
        <v>40</v>
      </c>
      <c r="C24">
        <v>8903.65</v>
      </c>
      <c r="D24">
        <v>1235.76</v>
      </c>
      <c r="E24">
        <v>11002774.25</v>
      </c>
      <c r="F24">
        <v>2</v>
      </c>
      <c r="G24">
        <v>71</v>
      </c>
      <c r="H24">
        <v>39.75</v>
      </c>
      <c r="I24" s="274">
        <v>112.75</v>
      </c>
      <c r="J24">
        <v>19777.47</v>
      </c>
      <c r="K24">
        <v>613575.02</v>
      </c>
      <c r="L24">
        <v>339243.02</v>
      </c>
      <c r="M24">
        <v>0</v>
      </c>
      <c r="N24">
        <v>952328.18</v>
      </c>
      <c r="O24" s="274">
        <v>107989.19</v>
      </c>
      <c r="P24">
        <v>211857.2</v>
      </c>
      <c r="Q24">
        <v>89</v>
      </c>
      <c r="R24">
        <v>46.5</v>
      </c>
      <c r="S24">
        <v>51</v>
      </c>
      <c r="T24" s="274">
        <f t="shared" si="6"/>
        <v>186.5</v>
      </c>
      <c r="U24">
        <v>233042.45</v>
      </c>
      <c r="V24">
        <v>0</v>
      </c>
      <c r="W24">
        <v>0</v>
      </c>
      <c r="X24">
        <v>130.35</v>
      </c>
      <c r="Y24">
        <v>44.46</v>
      </c>
      <c r="Z24">
        <v>0</v>
      </c>
      <c r="AA24">
        <v>1163144.6499999999</v>
      </c>
      <c r="AB24">
        <v>396165.67</v>
      </c>
      <c r="AC24">
        <v>0</v>
      </c>
      <c r="AD24">
        <v>106451.83</v>
      </c>
      <c r="AE24">
        <v>940333.39</v>
      </c>
      <c r="AF24">
        <v>0</v>
      </c>
      <c r="AG24">
        <v>330877.24</v>
      </c>
      <c r="AH24">
        <v>1</v>
      </c>
      <c r="AI24">
        <v>68937</v>
      </c>
      <c r="AJ24">
        <v>67585</v>
      </c>
      <c r="AK24">
        <v>100321</v>
      </c>
      <c r="AL24">
        <v>102327</v>
      </c>
      <c r="AM24">
        <v>48483</v>
      </c>
      <c r="AN24">
        <v>49453</v>
      </c>
      <c r="AO24">
        <v>1</v>
      </c>
      <c r="AP24">
        <v>1376902.05</v>
      </c>
      <c r="AQ24">
        <v>76416.479999999996</v>
      </c>
      <c r="AR24">
        <v>22.338999999999999</v>
      </c>
      <c r="AS24">
        <v>4.8578999999999997E-2</v>
      </c>
      <c r="AT24">
        <v>4.0270000000000002E-3</v>
      </c>
      <c r="AU24">
        <v>1.7100000000000001E-2</v>
      </c>
    </row>
    <row r="25" spans="1:47">
      <c r="A25" s="2" t="s">
        <v>41</v>
      </c>
      <c r="B25" s="2" t="s">
        <v>42</v>
      </c>
      <c r="C25">
        <v>9023.39</v>
      </c>
      <c r="D25">
        <v>7292.5</v>
      </c>
      <c r="E25">
        <v>65803094.020000003</v>
      </c>
      <c r="F25">
        <v>79.75</v>
      </c>
      <c r="G25">
        <v>754.5</v>
      </c>
      <c r="H25">
        <v>192.75</v>
      </c>
      <c r="I25" s="274">
        <v>1027</v>
      </c>
      <c r="J25">
        <v>808491.54</v>
      </c>
      <c r="K25">
        <v>6684897.3499999996</v>
      </c>
      <c r="L25">
        <v>1686532.14</v>
      </c>
      <c r="M25">
        <v>0</v>
      </c>
      <c r="N25">
        <v>8350482.3799999999</v>
      </c>
      <c r="O25" s="274">
        <v>983178.52</v>
      </c>
      <c r="P25">
        <v>1656342.91</v>
      </c>
      <c r="Q25">
        <v>997</v>
      </c>
      <c r="R25">
        <v>570.5</v>
      </c>
      <c r="S25">
        <v>366.75</v>
      </c>
      <c r="T25" s="274">
        <f t="shared" si="6"/>
        <v>1934.25</v>
      </c>
      <c r="U25">
        <v>2627965.2999999998</v>
      </c>
      <c r="V25">
        <v>0</v>
      </c>
      <c r="W25">
        <v>0</v>
      </c>
      <c r="X25">
        <v>535.94000000000005</v>
      </c>
      <c r="Y25">
        <v>166.8</v>
      </c>
      <c r="Z25">
        <v>198.04</v>
      </c>
      <c r="AA25">
        <v>4917484.92</v>
      </c>
      <c r="AB25">
        <v>1528396.86</v>
      </c>
      <c r="AC25">
        <v>2062253.76</v>
      </c>
      <c r="AD25">
        <v>263543.52</v>
      </c>
      <c r="AE25">
        <v>2282438.91</v>
      </c>
      <c r="AF25">
        <v>1723282.48</v>
      </c>
      <c r="AG25">
        <v>2770660.7</v>
      </c>
      <c r="AH25">
        <v>1.04</v>
      </c>
      <c r="AI25">
        <v>68937</v>
      </c>
      <c r="AJ25">
        <v>67585</v>
      </c>
      <c r="AK25">
        <v>100321</v>
      </c>
      <c r="AL25">
        <v>102327</v>
      </c>
      <c r="AM25">
        <v>48483</v>
      </c>
      <c r="AN25">
        <v>49453</v>
      </c>
      <c r="AO25">
        <v>1</v>
      </c>
      <c r="AP25">
        <v>7959439.4100000001</v>
      </c>
      <c r="AQ25">
        <v>453923.85</v>
      </c>
      <c r="AR25">
        <v>125</v>
      </c>
      <c r="AS25">
        <v>4.8578999999999997E-2</v>
      </c>
      <c r="AT25">
        <v>4.0270000000000002E-3</v>
      </c>
      <c r="AU25">
        <v>1.7100000000000001E-2</v>
      </c>
    </row>
    <row r="26" spans="1:47">
      <c r="A26" s="2" t="s">
        <v>1085</v>
      </c>
      <c r="B26" s="2" t="s">
        <v>1086</v>
      </c>
      <c r="C26">
        <v>0</v>
      </c>
      <c r="D26">
        <v>0</v>
      </c>
      <c r="E26">
        <v>0</v>
      </c>
      <c r="F26">
        <v>0</v>
      </c>
      <c r="G26">
        <v>0</v>
      </c>
      <c r="H26">
        <v>0</v>
      </c>
      <c r="I26" s="274">
        <v>0</v>
      </c>
      <c r="J26">
        <v>0</v>
      </c>
      <c r="K26">
        <v>0</v>
      </c>
      <c r="L26">
        <v>0</v>
      </c>
      <c r="M26">
        <v>0</v>
      </c>
      <c r="N26">
        <v>0</v>
      </c>
      <c r="O26" s="274">
        <v>0</v>
      </c>
      <c r="P26">
        <v>0</v>
      </c>
      <c r="Q26">
        <v>0</v>
      </c>
      <c r="R26">
        <v>0</v>
      </c>
      <c r="S26">
        <v>0</v>
      </c>
      <c r="T26" s="274">
        <f t="shared" si="6"/>
        <v>0</v>
      </c>
      <c r="U26">
        <v>0</v>
      </c>
      <c r="V26">
        <v>0</v>
      </c>
      <c r="W26">
        <v>0</v>
      </c>
      <c r="X26">
        <v>0</v>
      </c>
      <c r="Y26">
        <v>0</v>
      </c>
      <c r="Z26">
        <v>0</v>
      </c>
      <c r="AA26">
        <v>0</v>
      </c>
      <c r="AB26">
        <v>0</v>
      </c>
      <c r="AC26">
        <v>0</v>
      </c>
      <c r="AD26">
        <v>0</v>
      </c>
      <c r="AE26">
        <v>0</v>
      </c>
      <c r="AF26">
        <v>0</v>
      </c>
      <c r="AG26">
        <v>0</v>
      </c>
      <c r="AH26">
        <v>0</v>
      </c>
      <c r="AI26">
        <v>0</v>
      </c>
      <c r="AJ26">
        <v>0</v>
      </c>
      <c r="AK26">
        <v>100321</v>
      </c>
      <c r="AL26">
        <v>102327</v>
      </c>
      <c r="AM26">
        <v>48483</v>
      </c>
      <c r="AN26">
        <v>49453</v>
      </c>
      <c r="AO26">
        <v>1</v>
      </c>
      <c r="AP26">
        <v>0</v>
      </c>
      <c r="AQ26">
        <v>0</v>
      </c>
      <c r="AR26">
        <v>0</v>
      </c>
      <c r="AS26">
        <v>4.8578999999999997E-2</v>
      </c>
      <c r="AT26">
        <v>4.0270000000000002E-3</v>
      </c>
      <c r="AU26">
        <v>1.7100000000000001E-2</v>
      </c>
    </row>
    <row r="27" spans="1:47">
      <c r="A27" s="2" t="s">
        <v>1317</v>
      </c>
      <c r="B27" s="2" t="s">
        <v>1339</v>
      </c>
      <c r="C27">
        <v>8890.1200000000008</v>
      </c>
      <c r="D27">
        <v>120</v>
      </c>
      <c r="E27">
        <v>1066813.81</v>
      </c>
      <c r="F27">
        <v>0</v>
      </c>
      <c r="G27">
        <v>16.2</v>
      </c>
      <c r="H27">
        <v>0</v>
      </c>
      <c r="I27" s="274">
        <v>16.2</v>
      </c>
      <c r="J27">
        <v>0</v>
      </c>
      <c r="K27">
        <v>129730.15</v>
      </c>
      <c r="L27">
        <v>0</v>
      </c>
      <c r="M27">
        <v>0</v>
      </c>
      <c r="N27">
        <v>129111.41</v>
      </c>
      <c r="O27" s="274">
        <v>14041.98</v>
      </c>
      <c r="P27">
        <v>26291.78</v>
      </c>
      <c r="Q27">
        <v>5</v>
      </c>
      <c r="R27">
        <v>3</v>
      </c>
      <c r="S27">
        <v>0</v>
      </c>
      <c r="T27" s="274">
        <f t="shared" si="6"/>
        <v>8</v>
      </c>
      <c r="U27">
        <v>11950.36</v>
      </c>
      <c r="V27">
        <v>0</v>
      </c>
      <c r="W27">
        <v>0</v>
      </c>
      <c r="X27">
        <v>0</v>
      </c>
      <c r="Y27">
        <v>0</v>
      </c>
      <c r="Z27">
        <v>0</v>
      </c>
      <c r="AA27">
        <v>0</v>
      </c>
      <c r="AB27">
        <v>0</v>
      </c>
      <c r="AC27">
        <v>0</v>
      </c>
      <c r="AD27">
        <v>0</v>
      </c>
      <c r="AE27">
        <v>0</v>
      </c>
      <c r="AF27">
        <v>0</v>
      </c>
      <c r="AG27">
        <v>45370.879999999997</v>
      </c>
      <c r="AH27">
        <v>1.04</v>
      </c>
      <c r="AI27">
        <v>68937</v>
      </c>
      <c r="AJ27">
        <v>67585</v>
      </c>
      <c r="AK27">
        <v>100321</v>
      </c>
      <c r="AL27">
        <v>102327</v>
      </c>
      <c r="AM27">
        <v>48483</v>
      </c>
      <c r="AN27">
        <v>49453</v>
      </c>
      <c r="AO27">
        <v>1.04</v>
      </c>
      <c r="AP27">
        <v>167009</v>
      </c>
      <c r="AQ27">
        <v>8801.33</v>
      </c>
      <c r="AR27">
        <v>0</v>
      </c>
      <c r="AS27">
        <v>4.8578999999999997E-2</v>
      </c>
      <c r="AT27">
        <v>4.0270000000000002E-3</v>
      </c>
      <c r="AU27">
        <v>1.7100000000000001E-2</v>
      </c>
    </row>
    <row r="28" spans="1:47">
      <c r="A28" s="2" t="s">
        <v>1087</v>
      </c>
      <c r="B28" s="2" t="s">
        <v>1088</v>
      </c>
      <c r="C28">
        <v>0</v>
      </c>
      <c r="D28">
        <v>0</v>
      </c>
      <c r="E28">
        <v>0</v>
      </c>
      <c r="F28">
        <v>0</v>
      </c>
      <c r="G28">
        <v>0</v>
      </c>
      <c r="H28">
        <v>0</v>
      </c>
      <c r="I28" s="274">
        <v>0</v>
      </c>
      <c r="J28">
        <v>0</v>
      </c>
      <c r="K28">
        <v>0</v>
      </c>
      <c r="L28">
        <v>0</v>
      </c>
      <c r="M28">
        <v>0</v>
      </c>
      <c r="N28">
        <v>0</v>
      </c>
      <c r="O28" s="274">
        <v>0</v>
      </c>
      <c r="P28">
        <v>0</v>
      </c>
      <c r="Q28">
        <v>0</v>
      </c>
      <c r="R28">
        <v>0</v>
      </c>
      <c r="S28">
        <v>0</v>
      </c>
      <c r="T28" s="274">
        <f t="shared" si="6"/>
        <v>0</v>
      </c>
      <c r="U28">
        <v>0</v>
      </c>
      <c r="V28">
        <v>0</v>
      </c>
      <c r="W28">
        <v>0</v>
      </c>
      <c r="X28">
        <v>0</v>
      </c>
      <c r="Y28">
        <v>0</v>
      </c>
      <c r="Z28">
        <v>0</v>
      </c>
      <c r="AA28">
        <v>0</v>
      </c>
      <c r="AB28">
        <v>0</v>
      </c>
      <c r="AC28">
        <v>0</v>
      </c>
      <c r="AD28">
        <v>0</v>
      </c>
      <c r="AE28">
        <v>0</v>
      </c>
      <c r="AF28">
        <v>0</v>
      </c>
      <c r="AG28">
        <v>0</v>
      </c>
      <c r="AH28">
        <v>0</v>
      </c>
      <c r="AI28">
        <v>0</v>
      </c>
      <c r="AJ28">
        <v>0</v>
      </c>
      <c r="AK28">
        <v>0</v>
      </c>
      <c r="AL28">
        <v>0</v>
      </c>
      <c r="AM28">
        <v>0</v>
      </c>
      <c r="AN28">
        <v>0</v>
      </c>
      <c r="AO28">
        <v>0</v>
      </c>
      <c r="AP28">
        <v>0</v>
      </c>
      <c r="AQ28">
        <v>0</v>
      </c>
      <c r="AR28">
        <v>0</v>
      </c>
      <c r="AS28">
        <v>4.8578999999999997E-2</v>
      </c>
      <c r="AT28">
        <v>4.0270000000000002E-3</v>
      </c>
      <c r="AU28">
        <v>1.7100000000000001E-2</v>
      </c>
    </row>
    <row r="29" spans="1:47">
      <c r="A29" s="2" t="s">
        <v>43</v>
      </c>
      <c r="B29" s="2" t="s">
        <v>44</v>
      </c>
      <c r="C29">
        <v>9025.98</v>
      </c>
      <c r="D29">
        <v>3493.54</v>
      </c>
      <c r="E29">
        <v>31532631.149999999</v>
      </c>
      <c r="F29">
        <v>21.25</v>
      </c>
      <c r="G29">
        <v>398.75</v>
      </c>
      <c r="H29">
        <v>151.25</v>
      </c>
      <c r="I29" s="274">
        <v>571.25</v>
      </c>
      <c r="J29">
        <v>217081.73</v>
      </c>
      <c r="K29">
        <v>3560468.08</v>
      </c>
      <c r="L29">
        <v>1333727.69</v>
      </c>
      <c r="M29">
        <v>-696505.62</v>
      </c>
      <c r="N29">
        <v>4885727</v>
      </c>
      <c r="O29" s="274">
        <v>491192.43999999994</v>
      </c>
      <c r="P29">
        <v>1031792</v>
      </c>
      <c r="Q29">
        <v>37</v>
      </c>
      <c r="R29">
        <v>16.5</v>
      </c>
      <c r="S29">
        <v>9.5</v>
      </c>
      <c r="T29" s="274">
        <f t="shared" si="6"/>
        <v>63</v>
      </c>
      <c r="U29">
        <v>85576.74</v>
      </c>
      <c r="V29">
        <v>174.68</v>
      </c>
      <c r="W29">
        <v>101881.89</v>
      </c>
      <c r="X29">
        <v>229.55</v>
      </c>
      <c r="Y29">
        <v>72.28</v>
      </c>
      <c r="Z29">
        <v>0</v>
      </c>
      <c r="AA29">
        <v>2106314.8199999998</v>
      </c>
      <c r="AB29">
        <v>662254.27</v>
      </c>
      <c r="AC29">
        <v>0</v>
      </c>
      <c r="AD29">
        <v>229007.15</v>
      </c>
      <c r="AE29">
        <v>1685517.49</v>
      </c>
      <c r="AF29">
        <v>523992.93</v>
      </c>
      <c r="AG29">
        <v>1092647.78</v>
      </c>
      <c r="AH29">
        <v>1.04</v>
      </c>
      <c r="AI29">
        <v>68937</v>
      </c>
      <c r="AJ29">
        <v>67585</v>
      </c>
      <c r="AK29">
        <v>100321</v>
      </c>
      <c r="AL29">
        <v>102327</v>
      </c>
      <c r="AM29">
        <v>48483</v>
      </c>
      <c r="AN29">
        <v>49453</v>
      </c>
      <c r="AO29">
        <v>1.04</v>
      </c>
      <c r="AP29">
        <v>3816876.46</v>
      </c>
      <c r="AQ29">
        <v>221716.72</v>
      </c>
      <c r="AR29">
        <v>65.894999999999996</v>
      </c>
      <c r="AS29">
        <v>4.8578999999999997E-2</v>
      </c>
      <c r="AT29">
        <v>4.0270000000000002E-3</v>
      </c>
      <c r="AU29">
        <v>1.7100000000000001E-2</v>
      </c>
    </row>
    <row r="30" spans="1:47">
      <c r="A30" s="2" t="s">
        <v>45</v>
      </c>
      <c r="B30" s="2" t="s">
        <v>46</v>
      </c>
      <c r="C30">
        <v>11296.64</v>
      </c>
      <c r="D30">
        <v>307.8</v>
      </c>
      <c r="E30">
        <v>3477105.95</v>
      </c>
      <c r="F30">
        <v>1</v>
      </c>
      <c r="G30">
        <v>23.75</v>
      </c>
      <c r="H30">
        <v>7.5</v>
      </c>
      <c r="I30" s="274">
        <v>32.25</v>
      </c>
      <c r="J30">
        <v>9728.76</v>
      </c>
      <c r="K30">
        <v>201947.88</v>
      </c>
      <c r="L30">
        <v>62979.91</v>
      </c>
      <c r="M30">
        <v>0</v>
      </c>
      <c r="N30">
        <v>264368.44</v>
      </c>
      <c r="O30" s="274">
        <v>25243.160000000003</v>
      </c>
      <c r="P30">
        <v>41363.480000000003</v>
      </c>
      <c r="Q30">
        <v>0</v>
      </c>
      <c r="R30">
        <v>0</v>
      </c>
      <c r="S30">
        <v>0</v>
      </c>
      <c r="T30" s="274">
        <f t="shared" si="6"/>
        <v>0</v>
      </c>
      <c r="U30">
        <v>0</v>
      </c>
      <c r="V30">
        <v>15.39</v>
      </c>
      <c r="W30">
        <v>8707.2900000000009</v>
      </c>
      <c r="X30">
        <v>3.8</v>
      </c>
      <c r="Y30">
        <v>0</v>
      </c>
      <c r="Z30">
        <v>0</v>
      </c>
      <c r="AA30">
        <v>33912.32</v>
      </c>
      <c r="AB30">
        <v>0</v>
      </c>
      <c r="AC30">
        <v>0</v>
      </c>
      <c r="AD30">
        <v>32115.8</v>
      </c>
      <c r="AE30">
        <v>114822.6</v>
      </c>
      <c r="AF30">
        <v>58603.02</v>
      </c>
      <c r="AG30">
        <v>102922.19</v>
      </c>
      <c r="AH30">
        <v>1</v>
      </c>
      <c r="AI30">
        <v>68937</v>
      </c>
      <c r="AJ30">
        <v>67585</v>
      </c>
      <c r="AK30">
        <v>0</v>
      </c>
      <c r="AL30">
        <v>0</v>
      </c>
      <c r="AM30">
        <v>0</v>
      </c>
      <c r="AN30">
        <v>0</v>
      </c>
      <c r="AO30">
        <v>0</v>
      </c>
      <c r="AP30">
        <v>369679.42</v>
      </c>
      <c r="AQ30">
        <v>23821.86</v>
      </c>
      <c r="AR30">
        <v>3.8450000000000002</v>
      </c>
      <c r="AS30">
        <v>4.8578999999999997E-2</v>
      </c>
      <c r="AT30">
        <v>4.0270000000000002E-3</v>
      </c>
      <c r="AU30">
        <v>1.7100000000000001E-2</v>
      </c>
    </row>
    <row r="31" spans="1:47">
      <c r="A31" s="2" t="s">
        <v>47</v>
      </c>
      <c r="B31" s="2" t="s">
        <v>48</v>
      </c>
      <c r="C31">
        <v>9079.6299999999992</v>
      </c>
      <c r="D31">
        <v>2549.1999999999998</v>
      </c>
      <c r="E31">
        <v>23145784.77</v>
      </c>
      <c r="F31">
        <v>32.75</v>
      </c>
      <c r="G31">
        <v>345.25</v>
      </c>
      <c r="H31">
        <v>49</v>
      </c>
      <c r="I31" s="274">
        <v>427</v>
      </c>
      <c r="J31">
        <v>337208.18</v>
      </c>
      <c r="K31">
        <v>3107098.31</v>
      </c>
      <c r="L31">
        <v>435494.5</v>
      </c>
      <c r="M31">
        <v>-451125.26</v>
      </c>
      <c r="N31">
        <v>3529885.84</v>
      </c>
      <c r="O31" s="274">
        <v>356921.5</v>
      </c>
      <c r="P31">
        <v>600870.26</v>
      </c>
      <c r="Q31">
        <v>34.75</v>
      </c>
      <c r="R31">
        <v>12.75</v>
      </c>
      <c r="S31">
        <v>12</v>
      </c>
      <c r="T31" s="274">
        <f t="shared" si="6"/>
        <v>59.5</v>
      </c>
      <c r="U31">
        <v>79202.38</v>
      </c>
      <c r="V31">
        <v>127.46</v>
      </c>
      <c r="W31">
        <v>75597.58</v>
      </c>
      <c r="X31">
        <v>212.51</v>
      </c>
      <c r="Y31">
        <v>11.93</v>
      </c>
      <c r="Z31">
        <v>0</v>
      </c>
      <c r="AA31">
        <v>1976652.79</v>
      </c>
      <c r="AB31">
        <v>110840.06</v>
      </c>
      <c r="AC31">
        <v>0</v>
      </c>
      <c r="AD31">
        <v>261768.98</v>
      </c>
      <c r="AE31">
        <v>1312448.6200000001</v>
      </c>
      <c r="AF31">
        <v>0</v>
      </c>
      <c r="AG31">
        <v>677288.34</v>
      </c>
      <c r="AH31">
        <v>1.06</v>
      </c>
      <c r="AI31">
        <v>68937</v>
      </c>
      <c r="AJ31">
        <v>67585</v>
      </c>
      <c r="AK31">
        <v>100321</v>
      </c>
      <c r="AL31">
        <v>102327</v>
      </c>
      <c r="AM31">
        <v>48483</v>
      </c>
      <c r="AN31">
        <v>49453</v>
      </c>
      <c r="AO31">
        <v>1.04</v>
      </c>
      <c r="AP31">
        <v>2864657.63</v>
      </c>
      <c r="AQ31">
        <v>166635.41</v>
      </c>
      <c r="AR31">
        <v>44.600999999999999</v>
      </c>
      <c r="AS31">
        <v>4.8578999999999997E-2</v>
      </c>
      <c r="AT31">
        <v>4.0270000000000002E-3</v>
      </c>
      <c r="AU31">
        <v>1.7100000000000001E-2</v>
      </c>
    </row>
    <row r="32" spans="1:47">
      <c r="A32" s="2" t="s">
        <v>49</v>
      </c>
      <c r="B32" s="2" t="s">
        <v>50</v>
      </c>
      <c r="C32">
        <v>12680.86</v>
      </c>
      <c r="D32">
        <v>483.21</v>
      </c>
      <c r="E32">
        <v>6127520.6799999997</v>
      </c>
      <c r="F32">
        <v>3</v>
      </c>
      <c r="G32">
        <v>52</v>
      </c>
      <c r="H32">
        <v>20</v>
      </c>
      <c r="I32" s="274">
        <v>75</v>
      </c>
      <c r="J32">
        <v>30098.35</v>
      </c>
      <c r="K32">
        <v>455819.58</v>
      </c>
      <c r="L32">
        <v>173134.18</v>
      </c>
      <c r="M32">
        <v>-59096.33</v>
      </c>
      <c r="N32">
        <v>628139.52000000002</v>
      </c>
      <c r="O32" s="274">
        <v>68107.08</v>
      </c>
      <c r="P32">
        <v>105825.68</v>
      </c>
      <c r="Q32">
        <v>0</v>
      </c>
      <c r="R32">
        <v>0</v>
      </c>
      <c r="S32">
        <v>0</v>
      </c>
      <c r="T32" s="274">
        <f t="shared" si="6"/>
        <v>0</v>
      </c>
      <c r="U32">
        <v>0</v>
      </c>
      <c r="V32">
        <v>0</v>
      </c>
      <c r="W32">
        <v>0</v>
      </c>
      <c r="X32">
        <v>7.62</v>
      </c>
      <c r="Y32">
        <v>0</v>
      </c>
      <c r="Z32">
        <v>0</v>
      </c>
      <c r="AA32">
        <v>67955.37</v>
      </c>
      <c r="AB32">
        <v>0</v>
      </c>
      <c r="AC32">
        <v>0</v>
      </c>
      <c r="AD32">
        <v>48210.19</v>
      </c>
      <c r="AE32">
        <v>275921.73</v>
      </c>
      <c r="AF32">
        <v>145578.17000000001</v>
      </c>
      <c r="AG32">
        <v>210931.79</v>
      </c>
      <c r="AH32">
        <v>1</v>
      </c>
      <c r="AI32">
        <v>68937</v>
      </c>
      <c r="AJ32">
        <v>67585</v>
      </c>
      <c r="AK32">
        <v>100321</v>
      </c>
      <c r="AL32">
        <v>102327</v>
      </c>
      <c r="AM32">
        <v>48483</v>
      </c>
      <c r="AN32">
        <v>49453</v>
      </c>
      <c r="AO32">
        <v>1</v>
      </c>
      <c r="AP32">
        <v>810963.67</v>
      </c>
      <c r="AQ32">
        <v>54274.85</v>
      </c>
      <c r="AR32">
        <v>10.923999999999999</v>
      </c>
      <c r="AS32">
        <v>4.8578999999999997E-2</v>
      </c>
      <c r="AT32">
        <v>4.0270000000000002E-3</v>
      </c>
      <c r="AU32">
        <v>1.7100000000000001E-2</v>
      </c>
    </row>
    <row r="33" spans="1:47">
      <c r="A33" s="2" t="s">
        <v>51</v>
      </c>
      <c r="B33" s="2" t="s">
        <v>52</v>
      </c>
      <c r="C33">
        <v>8734.82</v>
      </c>
      <c r="D33">
        <v>3267.08</v>
      </c>
      <c r="E33">
        <v>28537357.609999999</v>
      </c>
      <c r="F33">
        <v>10</v>
      </c>
      <c r="G33">
        <v>502</v>
      </c>
      <c r="H33">
        <v>63.75</v>
      </c>
      <c r="I33" s="274">
        <v>575.75</v>
      </c>
      <c r="J33">
        <v>95636.53</v>
      </c>
      <c r="K33">
        <v>4195144.55</v>
      </c>
      <c r="L33">
        <v>526122.93999999994</v>
      </c>
      <c r="M33">
        <v>-1037041.41</v>
      </c>
      <c r="N33">
        <v>4704901.47</v>
      </c>
      <c r="O33" s="274">
        <v>521359.66</v>
      </c>
      <c r="P33">
        <v>717381.87</v>
      </c>
      <c r="Q33">
        <v>119</v>
      </c>
      <c r="R33">
        <v>112</v>
      </c>
      <c r="S33">
        <v>31</v>
      </c>
      <c r="T33" s="274">
        <f t="shared" si="6"/>
        <v>262</v>
      </c>
      <c r="U33">
        <v>370598.16</v>
      </c>
      <c r="V33">
        <v>0</v>
      </c>
      <c r="W33">
        <v>0</v>
      </c>
      <c r="X33">
        <v>43.4</v>
      </c>
      <c r="Y33">
        <v>13.1</v>
      </c>
      <c r="Z33">
        <v>0</v>
      </c>
      <c r="AA33">
        <v>387184.54</v>
      </c>
      <c r="AB33">
        <v>116710.74</v>
      </c>
      <c r="AC33">
        <v>0</v>
      </c>
      <c r="AD33">
        <v>70972.36</v>
      </c>
      <c r="AE33">
        <v>615681.75</v>
      </c>
      <c r="AF33">
        <v>271687.18</v>
      </c>
      <c r="AG33">
        <v>1306877.04</v>
      </c>
      <c r="AH33">
        <v>1</v>
      </c>
      <c r="AI33">
        <v>68937</v>
      </c>
      <c r="AJ33">
        <v>67585</v>
      </c>
      <c r="AK33">
        <v>100321</v>
      </c>
      <c r="AL33">
        <v>102327</v>
      </c>
      <c r="AM33">
        <v>48483</v>
      </c>
      <c r="AN33">
        <v>49453</v>
      </c>
      <c r="AO33">
        <v>1.06</v>
      </c>
      <c r="AP33">
        <v>1176843.74</v>
      </c>
      <c r="AQ33">
        <v>64886.33</v>
      </c>
      <c r="AR33">
        <v>18.675999999999998</v>
      </c>
      <c r="AS33">
        <v>4.8578999999999997E-2</v>
      </c>
      <c r="AT33">
        <v>4.0270000000000002E-3</v>
      </c>
      <c r="AU33">
        <v>1.7100000000000001E-2</v>
      </c>
    </row>
    <row r="34" spans="1:47">
      <c r="A34" s="2" t="s">
        <v>53</v>
      </c>
      <c r="B34" s="2" t="s">
        <v>54</v>
      </c>
      <c r="C34">
        <v>17380.04</v>
      </c>
      <c r="D34">
        <v>116.49</v>
      </c>
      <c r="E34">
        <v>2024600.42</v>
      </c>
      <c r="F34">
        <v>0</v>
      </c>
      <c r="G34">
        <v>27</v>
      </c>
      <c r="H34">
        <v>1.25</v>
      </c>
      <c r="I34" s="274">
        <v>28.25</v>
      </c>
      <c r="J34">
        <v>0</v>
      </c>
      <c r="K34">
        <v>233254.96</v>
      </c>
      <c r="L34">
        <v>10664.52</v>
      </c>
      <c r="M34">
        <v>-108129.25</v>
      </c>
      <c r="N34">
        <v>242846.32</v>
      </c>
      <c r="O34" s="274">
        <v>12581.45</v>
      </c>
      <c r="P34">
        <v>0</v>
      </c>
      <c r="Q34">
        <v>0</v>
      </c>
      <c r="R34">
        <v>0</v>
      </c>
      <c r="S34">
        <v>0</v>
      </c>
      <c r="T34" s="274">
        <f t="shared" si="6"/>
        <v>0</v>
      </c>
      <c r="U34">
        <v>0</v>
      </c>
      <c r="V34">
        <v>0</v>
      </c>
      <c r="W34">
        <v>0</v>
      </c>
      <c r="X34">
        <v>8.7899999999999991</v>
      </c>
      <c r="Y34">
        <v>1.65</v>
      </c>
      <c r="Z34">
        <v>0</v>
      </c>
      <c r="AA34">
        <v>78439.39</v>
      </c>
      <c r="AB34">
        <v>14697.02</v>
      </c>
      <c r="AC34">
        <v>0</v>
      </c>
      <c r="AD34">
        <v>0</v>
      </c>
      <c r="AE34">
        <v>56343.199999999997</v>
      </c>
      <c r="AF34">
        <v>37275.050000000003</v>
      </c>
      <c r="AG34">
        <v>80615.86</v>
      </c>
      <c r="AH34">
        <v>1</v>
      </c>
      <c r="AI34">
        <v>68937</v>
      </c>
      <c r="AJ34">
        <v>67585</v>
      </c>
      <c r="AK34">
        <v>100321</v>
      </c>
      <c r="AL34">
        <v>102327</v>
      </c>
      <c r="AM34">
        <v>48483</v>
      </c>
      <c r="AN34">
        <v>49453</v>
      </c>
      <c r="AO34">
        <v>1</v>
      </c>
      <c r="AP34">
        <v>240241.91</v>
      </c>
      <c r="AQ34">
        <v>17781.189999999999</v>
      </c>
      <c r="AR34">
        <v>2.0649999999999999</v>
      </c>
      <c r="AS34">
        <v>4.8578999999999997E-2</v>
      </c>
      <c r="AT34">
        <v>4.0270000000000002E-3</v>
      </c>
      <c r="AU34">
        <v>1.7100000000000001E-2</v>
      </c>
    </row>
    <row r="35" spans="1:47">
      <c r="A35" s="2" t="s">
        <v>1089</v>
      </c>
      <c r="B35" s="2" t="s">
        <v>1090</v>
      </c>
      <c r="C35">
        <v>0</v>
      </c>
      <c r="D35">
        <v>0</v>
      </c>
      <c r="E35">
        <v>0</v>
      </c>
      <c r="F35">
        <v>0</v>
      </c>
      <c r="G35">
        <v>0</v>
      </c>
      <c r="H35">
        <v>0</v>
      </c>
      <c r="I35" s="274">
        <v>0</v>
      </c>
      <c r="J35">
        <v>0</v>
      </c>
      <c r="K35">
        <v>0</v>
      </c>
      <c r="L35">
        <v>0</v>
      </c>
      <c r="M35">
        <v>0</v>
      </c>
      <c r="N35">
        <v>0</v>
      </c>
      <c r="O35" s="274">
        <v>0</v>
      </c>
      <c r="P35">
        <v>0</v>
      </c>
      <c r="Q35">
        <v>0</v>
      </c>
      <c r="R35">
        <v>0</v>
      </c>
      <c r="S35">
        <v>0</v>
      </c>
      <c r="T35" s="274">
        <f t="shared" si="6"/>
        <v>0</v>
      </c>
      <c r="U35">
        <v>0</v>
      </c>
      <c r="V35">
        <v>0</v>
      </c>
      <c r="W35">
        <v>0</v>
      </c>
      <c r="X35">
        <v>0</v>
      </c>
      <c r="Y35">
        <v>0</v>
      </c>
      <c r="Z35">
        <v>0</v>
      </c>
      <c r="AA35">
        <v>0</v>
      </c>
      <c r="AB35">
        <v>0</v>
      </c>
      <c r="AC35">
        <v>0</v>
      </c>
      <c r="AD35">
        <v>0</v>
      </c>
      <c r="AE35">
        <v>0</v>
      </c>
      <c r="AF35">
        <v>0</v>
      </c>
      <c r="AG35">
        <v>0</v>
      </c>
      <c r="AH35">
        <v>0</v>
      </c>
      <c r="AI35">
        <v>0</v>
      </c>
      <c r="AJ35">
        <v>0</v>
      </c>
      <c r="AK35">
        <v>100321</v>
      </c>
      <c r="AL35">
        <v>102327</v>
      </c>
      <c r="AM35">
        <v>48483</v>
      </c>
      <c r="AN35">
        <v>49453</v>
      </c>
      <c r="AO35">
        <v>1</v>
      </c>
      <c r="AP35">
        <v>0</v>
      </c>
      <c r="AQ35">
        <v>0</v>
      </c>
      <c r="AR35">
        <v>0</v>
      </c>
      <c r="AS35">
        <v>4.8578999999999997E-2</v>
      </c>
      <c r="AT35">
        <v>4.0270000000000002E-3</v>
      </c>
      <c r="AU35">
        <v>1.7100000000000001E-2</v>
      </c>
    </row>
    <row r="36" spans="1:47">
      <c r="A36" s="2" t="s">
        <v>55</v>
      </c>
      <c r="B36" s="2" t="s">
        <v>56</v>
      </c>
      <c r="C36">
        <v>9095.64</v>
      </c>
      <c r="D36">
        <v>21449.279999999999</v>
      </c>
      <c r="E36">
        <v>195094878.41</v>
      </c>
      <c r="F36">
        <v>179.75</v>
      </c>
      <c r="G36">
        <v>1787</v>
      </c>
      <c r="H36">
        <v>1069.25</v>
      </c>
      <c r="I36" s="274">
        <v>3036</v>
      </c>
      <c r="J36">
        <v>1858990.32</v>
      </c>
      <c r="K36">
        <v>16151671.550000001</v>
      </c>
      <c r="L36">
        <v>9544140.9000000004</v>
      </c>
      <c r="M36">
        <v>0</v>
      </c>
      <c r="N36">
        <v>25852971.719999999</v>
      </c>
      <c r="O36" s="274">
        <v>3140839.67</v>
      </c>
      <c r="P36">
        <v>7136983</v>
      </c>
      <c r="Q36">
        <v>1833</v>
      </c>
      <c r="R36">
        <v>1097.5</v>
      </c>
      <c r="S36">
        <v>481.75</v>
      </c>
      <c r="T36" s="274">
        <f t="shared" si="6"/>
        <v>3412.25</v>
      </c>
      <c r="U36">
        <v>4845454.3499999996</v>
      </c>
      <c r="V36">
        <v>1072.46</v>
      </c>
      <c r="W36">
        <v>635987.77</v>
      </c>
      <c r="X36">
        <v>1367.27</v>
      </c>
      <c r="Y36">
        <v>264.52</v>
      </c>
      <c r="Z36">
        <v>0</v>
      </c>
      <c r="AA36">
        <v>12718369.039999999</v>
      </c>
      <c r="AB36">
        <v>2457122.11</v>
      </c>
      <c r="AC36">
        <v>0</v>
      </c>
      <c r="AD36">
        <v>1585379.27</v>
      </c>
      <c r="AE36">
        <v>10631077.529999999</v>
      </c>
      <c r="AF36">
        <v>3524453.68</v>
      </c>
      <c r="AG36">
        <v>6661753.04</v>
      </c>
      <c r="AH36">
        <v>1.06</v>
      </c>
      <c r="AI36">
        <v>68937</v>
      </c>
      <c r="AJ36">
        <v>67585</v>
      </c>
      <c r="AK36">
        <v>100321</v>
      </c>
      <c r="AL36">
        <v>102327</v>
      </c>
      <c r="AM36">
        <v>48483</v>
      </c>
      <c r="AN36">
        <v>49453</v>
      </c>
      <c r="AO36">
        <v>1</v>
      </c>
      <c r="AP36">
        <v>25452432.57</v>
      </c>
      <c r="AQ36">
        <v>1487807.51</v>
      </c>
      <c r="AR36">
        <v>404.48700000000002</v>
      </c>
      <c r="AS36">
        <v>4.8578999999999997E-2</v>
      </c>
      <c r="AT36">
        <v>4.0270000000000002E-3</v>
      </c>
      <c r="AU36">
        <v>1.7100000000000001E-2</v>
      </c>
    </row>
    <row r="37" spans="1:47">
      <c r="A37" s="2" t="s">
        <v>57</v>
      </c>
      <c r="B37" s="2" t="s">
        <v>58</v>
      </c>
      <c r="C37">
        <v>9033.2800000000007</v>
      </c>
      <c r="D37">
        <v>1919.72</v>
      </c>
      <c r="E37">
        <v>17341362.219999999</v>
      </c>
      <c r="F37">
        <v>12.5</v>
      </c>
      <c r="G37">
        <v>108</v>
      </c>
      <c r="H37">
        <v>67.75</v>
      </c>
      <c r="I37" s="274">
        <v>188.25</v>
      </c>
      <c r="J37">
        <v>129306.14</v>
      </c>
      <c r="K37">
        <v>976315.04</v>
      </c>
      <c r="L37">
        <v>604839.06999999995</v>
      </c>
      <c r="M37">
        <v>0</v>
      </c>
      <c r="N37">
        <v>1580908.16</v>
      </c>
      <c r="O37" s="274">
        <v>172713.00999999998</v>
      </c>
      <c r="P37">
        <v>297751.32</v>
      </c>
      <c r="Q37">
        <v>49.25</v>
      </c>
      <c r="R37">
        <v>22.25</v>
      </c>
      <c r="S37">
        <v>11</v>
      </c>
      <c r="T37" s="274">
        <f t="shared" si="6"/>
        <v>82.5</v>
      </c>
      <c r="U37">
        <v>115147.26</v>
      </c>
      <c r="V37">
        <v>95.99</v>
      </c>
      <c r="W37">
        <v>56955.67</v>
      </c>
      <c r="X37">
        <v>41.28</v>
      </c>
      <c r="Y37">
        <v>9.2200000000000006</v>
      </c>
      <c r="Z37">
        <v>0</v>
      </c>
      <c r="AA37">
        <v>384182.63</v>
      </c>
      <c r="AB37">
        <v>85691.86</v>
      </c>
      <c r="AC37">
        <v>0</v>
      </c>
      <c r="AD37">
        <v>0</v>
      </c>
      <c r="AE37">
        <v>1335740.08</v>
      </c>
      <c r="AF37">
        <v>0</v>
      </c>
      <c r="AG37">
        <v>221025.06</v>
      </c>
      <c r="AH37">
        <v>1.06</v>
      </c>
      <c r="AI37">
        <v>68937</v>
      </c>
      <c r="AJ37">
        <v>67585</v>
      </c>
      <c r="AK37">
        <v>0</v>
      </c>
      <c r="AL37">
        <v>0</v>
      </c>
      <c r="AM37">
        <v>0</v>
      </c>
      <c r="AN37">
        <v>0</v>
      </c>
      <c r="AO37">
        <v>0</v>
      </c>
      <c r="AP37">
        <v>2521398.89</v>
      </c>
      <c r="AQ37">
        <v>145597.48000000001</v>
      </c>
      <c r="AR37">
        <v>36.564</v>
      </c>
      <c r="AS37">
        <v>4.8578999999999997E-2</v>
      </c>
      <c r="AT37">
        <v>4.0270000000000002E-3</v>
      </c>
      <c r="AU37">
        <v>1.7100000000000001E-2</v>
      </c>
    </row>
    <row r="38" spans="1:47">
      <c r="A38" s="2" t="s">
        <v>59</v>
      </c>
      <c r="B38" s="2" t="s">
        <v>60</v>
      </c>
      <c r="C38">
        <v>9196.27</v>
      </c>
      <c r="D38">
        <v>1672.64</v>
      </c>
      <c r="E38">
        <v>15382042.140000001</v>
      </c>
      <c r="F38">
        <v>9.5</v>
      </c>
      <c r="G38">
        <v>108.5</v>
      </c>
      <c r="H38">
        <v>112.75</v>
      </c>
      <c r="I38" s="274">
        <v>230.75</v>
      </c>
      <c r="J38">
        <v>100086.55</v>
      </c>
      <c r="K38">
        <v>999181.85</v>
      </c>
      <c r="L38">
        <v>1025408.69</v>
      </c>
      <c r="M38">
        <v>0</v>
      </c>
      <c r="N38">
        <v>1992569.7</v>
      </c>
      <c r="O38" s="274">
        <v>217398.31</v>
      </c>
      <c r="P38">
        <v>406063.09</v>
      </c>
      <c r="Q38">
        <v>26.5</v>
      </c>
      <c r="R38">
        <v>16.75</v>
      </c>
      <c r="S38">
        <v>4.25</v>
      </c>
      <c r="T38" s="274">
        <f t="shared" si="6"/>
        <v>47.5</v>
      </c>
      <c r="U38">
        <v>71830.89</v>
      </c>
      <c r="V38">
        <v>83.63</v>
      </c>
      <c r="W38">
        <v>51186.16</v>
      </c>
      <c r="X38">
        <v>44.81</v>
      </c>
      <c r="Y38">
        <v>0</v>
      </c>
      <c r="Z38">
        <v>0</v>
      </c>
      <c r="AA38">
        <v>425332.78</v>
      </c>
      <c r="AB38">
        <v>0</v>
      </c>
      <c r="AC38">
        <v>0</v>
      </c>
      <c r="AD38">
        <v>0</v>
      </c>
      <c r="AE38">
        <v>0</v>
      </c>
      <c r="AF38">
        <v>0</v>
      </c>
      <c r="AG38">
        <v>222941.79</v>
      </c>
      <c r="AH38">
        <v>1.06</v>
      </c>
      <c r="AI38">
        <v>68937</v>
      </c>
      <c r="AJ38">
        <v>67585</v>
      </c>
      <c r="AK38">
        <v>100321</v>
      </c>
      <c r="AL38">
        <v>102327</v>
      </c>
      <c r="AM38">
        <v>48483</v>
      </c>
      <c r="AN38">
        <v>49453</v>
      </c>
      <c r="AO38">
        <v>1.06</v>
      </c>
      <c r="AP38">
        <v>2078745.37</v>
      </c>
      <c r="AQ38">
        <v>125350.52</v>
      </c>
      <c r="AR38">
        <v>31.398</v>
      </c>
      <c r="AS38">
        <v>4.8578999999999997E-2</v>
      </c>
      <c r="AT38">
        <v>4.0270000000000002E-3</v>
      </c>
      <c r="AU38">
        <v>1.7100000000000001E-2</v>
      </c>
    </row>
    <row r="39" spans="1:47">
      <c r="A39" s="2" t="s">
        <v>61</v>
      </c>
      <c r="B39" s="2" t="s">
        <v>62</v>
      </c>
      <c r="C39">
        <v>9644.9500000000007</v>
      </c>
      <c r="D39">
        <v>153.02000000000001</v>
      </c>
      <c r="E39">
        <v>1475869.51</v>
      </c>
      <c r="F39">
        <v>0</v>
      </c>
      <c r="G39">
        <v>17.5</v>
      </c>
      <c r="H39">
        <v>3</v>
      </c>
      <c r="I39" s="274">
        <v>20.5</v>
      </c>
      <c r="J39">
        <v>0</v>
      </c>
      <c r="K39">
        <v>151074.87</v>
      </c>
      <c r="L39">
        <v>25576.45</v>
      </c>
      <c r="M39">
        <v>-19550.34</v>
      </c>
      <c r="N39">
        <v>176080.45</v>
      </c>
      <c r="O39" s="274">
        <v>0</v>
      </c>
      <c r="P39">
        <v>31281.56</v>
      </c>
      <c r="Q39">
        <v>2</v>
      </c>
      <c r="R39">
        <v>1</v>
      </c>
      <c r="S39">
        <v>1</v>
      </c>
      <c r="T39" s="274">
        <f t="shared" si="6"/>
        <v>4</v>
      </c>
      <c r="U39">
        <v>0</v>
      </c>
      <c r="V39">
        <v>7.65</v>
      </c>
      <c r="W39">
        <v>4304.74</v>
      </c>
      <c r="X39">
        <v>0</v>
      </c>
      <c r="Y39">
        <v>0</v>
      </c>
      <c r="Z39">
        <v>0</v>
      </c>
      <c r="AA39">
        <v>0</v>
      </c>
      <c r="AB39">
        <v>0</v>
      </c>
      <c r="AC39">
        <v>0</v>
      </c>
      <c r="AD39">
        <v>25882.43</v>
      </c>
      <c r="AE39">
        <v>182049.86</v>
      </c>
      <c r="AF39">
        <v>0</v>
      </c>
      <c r="AG39">
        <v>33557.33</v>
      </c>
      <c r="AH39">
        <v>1</v>
      </c>
      <c r="AI39">
        <v>68937</v>
      </c>
      <c r="AJ39">
        <v>67585</v>
      </c>
      <c r="AK39">
        <v>100321</v>
      </c>
      <c r="AL39">
        <v>102327</v>
      </c>
      <c r="AM39">
        <v>48483</v>
      </c>
      <c r="AN39">
        <v>49453</v>
      </c>
      <c r="AO39">
        <v>1.06</v>
      </c>
      <c r="AP39">
        <v>211260.09</v>
      </c>
      <c r="AQ39">
        <v>13068.72</v>
      </c>
      <c r="AR39">
        <v>4.7830000000000004</v>
      </c>
      <c r="AS39">
        <v>4.8578999999999997E-2</v>
      </c>
      <c r="AT39">
        <v>4.0270000000000002E-3</v>
      </c>
      <c r="AU39">
        <v>1.7100000000000001E-2</v>
      </c>
    </row>
    <row r="40" spans="1:47">
      <c r="A40" s="2" t="s">
        <v>63</v>
      </c>
      <c r="B40" s="2" t="s">
        <v>64</v>
      </c>
      <c r="C40">
        <v>9074.35</v>
      </c>
      <c r="D40">
        <v>2899.58</v>
      </c>
      <c r="E40">
        <v>26311812.420000002</v>
      </c>
      <c r="F40">
        <v>34.25</v>
      </c>
      <c r="G40">
        <v>316.25</v>
      </c>
      <c r="H40">
        <v>124.5</v>
      </c>
      <c r="I40" s="274">
        <v>475</v>
      </c>
      <c r="J40">
        <v>352761.54</v>
      </c>
      <c r="K40">
        <v>2846516.08</v>
      </c>
      <c r="L40">
        <v>1106666.69</v>
      </c>
      <c r="M40">
        <v>-388188.29</v>
      </c>
      <c r="N40">
        <v>3916089.71</v>
      </c>
      <c r="O40" s="274">
        <v>427951.49</v>
      </c>
      <c r="P40">
        <v>727633.42</v>
      </c>
      <c r="Q40">
        <v>43.75</v>
      </c>
      <c r="R40">
        <v>33.5</v>
      </c>
      <c r="S40">
        <v>11</v>
      </c>
      <c r="T40" s="274">
        <f t="shared" si="6"/>
        <v>88.25</v>
      </c>
      <c r="U40">
        <v>128845.46</v>
      </c>
      <c r="V40">
        <v>144.97999999999999</v>
      </c>
      <c r="W40">
        <v>85999.97</v>
      </c>
      <c r="X40">
        <v>224.87</v>
      </c>
      <c r="Y40">
        <v>43.91</v>
      </c>
      <c r="Z40">
        <v>0</v>
      </c>
      <c r="AA40">
        <v>2091597.71</v>
      </c>
      <c r="AB40">
        <v>407992.14</v>
      </c>
      <c r="AC40">
        <v>0</v>
      </c>
      <c r="AD40">
        <v>289689.42</v>
      </c>
      <c r="AE40">
        <v>2059838.34</v>
      </c>
      <c r="AF40">
        <v>0</v>
      </c>
      <c r="AG40">
        <v>666988.96</v>
      </c>
      <c r="AH40">
        <v>1.06</v>
      </c>
      <c r="AI40">
        <v>68937</v>
      </c>
      <c r="AJ40">
        <v>67585</v>
      </c>
      <c r="AK40">
        <v>100321</v>
      </c>
      <c r="AL40">
        <v>102327</v>
      </c>
      <c r="AM40">
        <v>48483</v>
      </c>
      <c r="AN40">
        <v>49453</v>
      </c>
      <c r="AO40">
        <v>1.06</v>
      </c>
      <c r="AP40">
        <v>3450205.76</v>
      </c>
      <c r="AQ40">
        <v>199282.79</v>
      </c>
      <c r="AR40">
        <v>51.47</v>
      </c>
      <c r="AS40">
        <v>4.8578999999999997E-2</v>
      </c>
      <c r="AT40">
        <v>4.0270000000000002E-3</v>
      </c>
      <c r="AU40">
        <v>1.7100000000000001E-2</v>
      </c>
    </row>
    <row r="41" spans="1:47">
      <c r="A41" s="2" t="s">
        <v>65</v>
      </c>
      <c r="B41" s="2" t="s">
        <v>66</v>
      </c>
      <c r="C41">
        <v>9140.2099999999991</v>
      </c>
      <c r="D41">
        <v>22954.33</v>
      </c>
      <c r="E41">
        <v>209807409.25</v>
      </c>
      <c r="F41">
        <v>159</v>
      </c>
      <c r="G41">
        <v>2420.75</v>
      </c>
      <c r="H41">
        <v>675.75</v>
      </c>
      <c r="I41" s="274">
        <v>3255.5</v>
      </c>
      <c r="J41">
        <v>1637397.98</v>
      </c>
      <c r="K41">
        <v>21786463.199999999</v>
      </c>
      <c r="L41">
        <v>6006029.2699999996</v>
      </c>
      <c r="M41">
        <v>-445652.21</v>
      </c>
      <c r="N41">
        <v>27737709.829999998</v>
      </c>
      <c r="O41" s="274">
        <v>3525955.61</v>
      </c>
      <c r="P41">
        <v>6105942.25</v>
      </c>
      <c r="Q41">
        <v>2124.5</v>
      </c>
      <c r="R41">
        <v>1158.75</v>
      </c>
      <c r="S41">
        <v>606.25</v>
      </c>
      <c r="T41" s="274">
        <f t="shared" si="6"/>
        <v>3889.5</v>
      </c>
      <c r="U41">
        <v>5444570.29</v>
      </c>
      <c r="V41">
        <v>1147.72</v>
      </c>
      <c r="W41">
        <v>680584.17</v>
      </c>
      <c r="X41">
        <v>2172.5300000000002</v>
      </c>
      <c r="Y41">
        <v>213.52</v>
      </c>
      <c r="Z41">
        <v>561.57000000000005</v>
      </c>
      <c r="AA41">
        <v>20208829.969999999</v>
      </c>
      <c r="AB41">
        <v>1983334.55</v>
      </c>
      <c r="AC41">
        <v>5930568.7999999998</v>
      </c>
      <c r="AD41">
        <v>1635058.2</v>
      </c>
      <c r="AE41">
        <v>16416460.720000001</v>
      </c>
      <c r="AF41">
        <v>3749804.48</v>
      </c>
      <c r="AG41">
        <v>7769453.1900000004</v>
      </c>
      <c r="AH41">
        <v>1.06</v>
      </c>
      <c r="AI41">
        <v>68937</v>
      </c>
      <c r="AJ41">
        <v>67585</v>
      </c>
      <c r="AK41">
        <v>100321</v>
      </c>
      <c r="AL41">
        <v>102327</v>
      </c>
      <c r="AM41">
        <v>48483</v>
      </c>
      <c r="AN41">
        <v>49453</v>
      </c>
      <c r="AO41">
        <v>1</v>
      </c>
      <c r="AP41">
        <v>26778822.539999999</v>
      </c>
      <c r="AQ41">
        <v>1543733.23</v>
      </c>
      <c r="AR41">
        <v>404.024</v>
      </c>
      <c r="AS41">
        <v>4.8578999999999997E-2</v>
      </c>
      <c r="AT41">
        <v>4.0270000000000002E-3</v>
      </c>
      <c r="AU41">
        <v>1.7100000000000001E-2</v>
      </c>
    </row>
    <row r="42" spans="1:47">
      <c r="A42" s="2" t="s">
        <v>67</v>
      </c>
      <c r="B42" s="2" t="s">
        <v>68</v>
      </c>
      <c r="C42">
        <v>9231.36</v>
      </c>
      <c r="D42">
        <v>7039.41</v>
      </c>
      <c r="E42">
        <v>64983341.060000002</v>
      </c>
      <c r="F42">
        <v>48.25</v>
      </c>
      <c r="G42">
        <v>541.25</v>
      </c>
      <c r="H42">
        <v>191.25</v>
      </c>
      <c r="I42" s="274">
        <v>780.75</v>
      </c>
      <c r="J42">
        <v>508327.65</v>
      </c>
      <c r="K42">
        <v>4983342.01</v>
      </c>
      <c r="L42">
        <v>1738956.77</v>
      </c>
      <c r="M42">
        <v>0</v>
      </c>
      <c r="N42">
        <v>6676166.2000000002</v>
      </c>
      <c r="O42" s="274">
        <v>799264.65</v>
      </c>
      <c r="P42">
        <v>1304219.7</v>
      </c>
      <c r="Q42">
        <v>139.75</v>
      </c>
      <c r="R42">
        <v>48</v>
      </c>
      <c r="S42">
        <v>116.5</v>
      </c>
      <c r="T42" s="274">
        <f t="shared" si="6"/>
        <v>304.25</v>
      </c>
      <c r="U42">
        <v>381138.12</v>
      </c>
      <c r="V42">
        <v>351.97</v>
      </c>
      <c r="W42">
        <v>215634.13</v>
      </c>
      <c r="X42">
        <v>396.16</v>
      </c>
      <c r="Y42">
        <v>34.78</v>
      </c>
      <c r="Z42">
        <v>0</v>
      </c>
      <c r="AA42">
        <v>3785154.72</v>
      </c>
      <c r="AB42">
        <v>332048.27</v>
      </c>
      <c r="AC42">
        <v>0</v>
      </c>
      <c r="AD42">
        <v>898992.48</v>
      </c>
      <c r="AE42">
        <v>3463172.95</v>
      </c>
      <c r="AF42">
        <v>0</v>
      </c>
      <c r="AG42">
        <v>655097.77</v>
      </c>
      <c r="AH42">
        <v>1.1000000000000001</v>
      </c>
      <c r="AI42">
        <v>68937</v>
      </c>
      <c r="AJ42">
        <v>67585</v>
      </c>
      <c r="AK42">
        <v>100321</v>
      </c>
      <c r="AL42">
        <v>102327</v>
      </c>
      <c r="AM42">
        <v>48483</v>
      </c>
      <c r="AN42">
        <v>49453</v>
      </c>
      <c r="AO42">
        <v>1.06</v>
      </c>
      <c r="AP42">
        <v>8858265.3000000007</v>
      </c>
      <c r="AQ42">
        <v>524110.18</v>
      </c>
      <c r="AR42">
        <v>122.65600000000001</v>
      </c>
      <c r="AS42">
        <v>4.8578999999999997E-2</v>
      </c>
      <c r="AT42">
        <v>4.0270000000000002E-3</v>
      </c>
      <c r="AU42">
        <v>1.7100000000000001E-2</v>
      </c>
    </row>
    <row r="43" spans="1:47">
      <c r="A43" s="2" t="s">
        <v>69</v>
      </c>
      <c r="B43" s="2" t="s">
        <v>70</v>
      </c>
      <c r="C43">
        <v>9072.6</v>
      </c>
      <c r="D43">
        <v>11744.86</v>
      </c>
      <c r="E43">
        <v>106556454.43000001</v>
      </c>
      <c r="F43">
        <v>83.5</v>
      </c>
      <c r="G43">
        <v>1021.25</v>
      </c>
      <c r="H43">
        <v>547.25</v>
      </c>
      <c r="I43" s="274">
        <v>1652</v>
      </c>
      <c r="J43">
        <v>858863.92</v>
      </c>
      <c r="K43">
        <v>9180058.4000000004</v>
      </c>
      <c r="L43">
        <v>4858069.12</v>
      </c>
      <c r="M43">
        <v>0</v>
      </c>
      <c r="N43">
        <v>13970793.539999999</v>
      </c>
      <c r="O43" s="274">
        <v>1697710.8</v>
      </c>
      <c r="P43">
        <v>2724787.17</v>
      </c>
      <c r="Q43">
        <v>471</v>
      </c>
      <c r="R43">
        <v>261.75</v>
      </c>
      <c r="S43">
        <v>184.75</v>
      </c>
      <c r="T43" s="274">
        <f t="shared" si="6"/>
        <v>917.5</v>
      </c>
      <c r="U43">
        <v>1257556.3999999999</v>
      </c>
      <c r="V43">
        <v>587.24</v>
      </c>
      <c r="W43">
        <v>348222.63</v>
      </c>
      <c r="X43">
        <v>889.14</v>
      </c>
      <c r="Y43">
        <v>73.3</v>
      </c>
      <c r="Z43">
        <v>0</v>
      </c>
      <c r="AA43">
        <v>8270694.6600000001</v>
      </c>
      <c r="AB43">
        <v>680824.14</v>
      </c>
      <c r="AC43">
        <v>0</v>
      </c>
      <c r="AD43">
        <v>0</v>
      </c>
      <c r="AE43">
        <v>10046398.390000001</v>
      </c>
      <c r="AF43">
        <v>0</v>
      </c>
      <c r="AG43">
        <v>2458260.09</v>
      </c>
      <c r="AH43">
        <v>1.06</v>
      </c>
      <c r="AI43">
        <v>68937</v>
      </c>
      <c r="AJ43">
        <v>67585</v>
      </c>
      <c r="AK43">
        <v>100321</v>
      </c>
      <c r="AL43">
        <v>102327</v>
      </c>
      <c r="AM43">
        <v>48483</v>
      </c>
      <c r="AN43">
        <v>49453</v>
      </c>
      <c r="AO43">
        <v>1.06</v>
      </c>
      <c r="AP43">
        <v>12395657.970000001</v>
      </c>
      <c r="AQ43">
        <v>724508.59</v>
      </c>
      <c r="AR43">
        <v>198.655</v>
      </c>
      <c r="AS43">
        <v>4.8578999999999997E-2</v>
      </c>
      <c r="AT43">
        <v>4.0270000000000002E-3</v>
      </c>
      <c r="AU43">
        <v>1.7100000000000001E-2</v>
      </c>
    </row>
    <row r="44" spans="1:47">
      <c r="A44" s="2" t="s">
        <v>71</v>
      </c>
      <c r="B44" s="2" t="s">
        <v>72</v>
      </c>
      <c r="C44">
        <v>9069.61</v>
      </c>
      <c r="D44">
        <v>3724.74</v>
      </c>
      <c r="E44">
        <v>33781933.789999999</v>
      </c>
      <c r="F44">
        <v>29</v>
      </c>
      <c r="G44">
        <v>291.25</v>
      </c>
      <c r="H44">
        <v>103</v>
      </c>
      <c r="I44" s="274">
        <v>423.25</v>
      </c>
      <c r="J44">
        <v>299350.27</v>
      </c>
      <c r="K44">
        <v>2627631.33</v>
      </c>
      <c r="L44">
        <v>917700.12</v>
      </c>
      <c r="M44">
        <v>0</v>
      </c>
      <c r="N44">
        <v>3538795.89</v>
      </c>
      <c r="O44" s="274">
        <v>374433.69</v>
      </c>
      <c r="P44">
        <v>595865.25</v>
      </c>
      <c r="Q44">
        <v>85.5</v>
      </c>
      <c r="R44">
        <v>29.75</v>
      </c>
      <c r="S44">
        <v>27.25</v>
      </c>
      <c r="T44" s="274">
        <f t="shared" si="6"/>
        <v>142.5</v>
      </c>
      <c r="U44">
        <v>190023.88</v>
      </c>
      <c r="V44">
        <v>186.24</v>
      </c>
      <c r="W44">
        <v>110409.53</v>
      </c>
      <c r="X44">
        <v>197.23</v>
      </c>
      <c r="Y44">
        <v>68.81</v>
      </c>
      <c r="Z44">
        <v>0</v>
      </c>
      <c r="AA44">
        <v>1834473.54</v>
      </c>
      <c r="AB44">
        <v>639261.61</v>
      </c>
      <c r="AC44">
        <v>0</v>
      </c>
      <c r="AD44">
        <v>0</v>
      </c>
      <c r="AE44">
        <v>0</v>
      </c>
      <c r="AF44">
        <v>0</v>
      </c>
      <c r="AG44">
        <v>475008.19</v>
      </c>
      <c r="AH44">
        <v>1.06</v>
      </c>
      <c r="AI44">
        <v>68937</v>
      </c>
      <c r="AJ44">
        <v>67585</v>
      </c>
      <c r="AK44">
        <v>100321</v>
      </c>
      <c r="AL44">
        <v>102327</v>
      </c>
      <c r="AM44">
        <v>48483</v>
      </c>
      <c r="AN44">
        <v>49453</v>
      </c>
      <c r="AO44">
        <v>1.1000000000000001</v>
      </c>
      <c r="AP44">
        <v>4535074.6900000004</v>
      </c>
      <c r="AQ44">
        <v>264604.3</v>
      </c>
      <c r="AR44">
        <v>72.573999999999998</v>
      </c>
      <c r="AS44">
        <v>4.8578999999999997E-2</v>
      </c>
      <c r="AT44">
        <v>4.0270000000000002E-3</v>
      </c>
      <c r="AU44">
        <v>1.7100000000000001E-2</v>
      </c>
    </row>
    <row r="45" spans="1:47">
      <c r="A45" s="2" t="s">
        <v>1011</v>
      </c>
      <c r="B45" s="2" t="s">
        <v>1091</v>
      </c>
      <c r="C45">
        <v>0</v>
      </c>
      <c r="D45">
        <v>0</v>
      </c>
      <c r="E45">
        <v>0</v>
      </c>
      <c r="F45">
        <v>84</v>
      </c>
      <c r="G45">
        <v>1171.75</v>
      </c>
      <c r="H45">
        <v>502.75</v>
      </c>
      <c r="I45" s="274">
        <v>1758.5</v>
      </c>
      <c r="J45">
        <v>829725.37</v>
      </c>
      <c r="K45">
        <v>10115553.32</v>
      </c>
      <c r="L45">
        <v>4286191.88</v>
      </c>
      <c r="M45">
        <v>-1593869.03</v>
      </c>
      <c r="N45">
        <v>14382766.15</v>
      </c>
      <c r="O45" s="274">
        <v>1526779.92</v>
      </c>
      <c r="P45">
        <v>0</v>
      </c>
      <c r="Q45">
        <v>0</v>
      </c>
      <c r="R45">
        <v>0</v>
      </c>
      <c r="S45">
        <v>0</v>
      </c>
      <c r="T45" s="274">
        <f t="shared" si="6"/>
        <v>0</v>
      </c>
      <c r="U45">
        <v>0</v>
      </c>
      <c r="V45">
        <v>0</v>
      </c>
      <c r="W45">
        <v>0</v>
      </c>
      <c r="X45">
        <v>0</v>
      </c>
      <c r="Y45">
        <v>0</v>
      </c>
      <c r="Z45">
        <v>0</v>
      </c>
      <c r="AA45">
        <v>0</v>
      </c>
      <c r="AB45">
        <v>0</v>
      </c>
      <c r="AC45">
        <v>0</v>
      </c>
      <c r="AD45">
        <v>0</v>
      </c>
      <c r="AE45">
        <v>0</v>
      </c>
      <c r="AF45">
        <v>0</v>
      </c>
      <c r="AG45">
        <v>0</v>
      </c>
      <c r="AH45">
        <v>0</v>
      </c>
      <c r="AI45">
        <v>0</v>
      </c>
      <c r="AJ45">
        <v>0</v>
      </c>
      <c r="AK45">
        <v>100321</v>
      </c>
      <c r="AL45">
        <v>102327</v>
      </c>
      <c r="AM45">
        <v>48483</v>
      </c>
      <c r="AN45">
        <v>49453</v>
      </c>
      <c r="AO45">
        <v>1.06</v>
      </c>
      <c r="AP45">
        <v>0</v>
      </c>
      <c r="AQ45">
        <v>0</v>
      </c>
      <c r="AR45">
        <v>0</v>
      </c>
      <c r="AS45">
        <v>4.8578999999999997E-2</v>
      </c>
      <c r="AT45">
        <v>4.0270000000000002E-3</v>
      </c>
      <c r="AU45">
        <v>1.7100000000000001E-2</v>
      </c>
    </row>
    <row r="46" spans="1:47">
      <c r="A46" s="2" t="s">
        <v>1092</v>
      </c>
      <c r="B46" s="2" t="s">
        <v>1093</v>
      </c>
      <c r="C46">
        <v>0</v>
      </c>
      <c r="D46">
        <v>0</v>
      </c>
      <c r="E46">
        <v>0</v>
      </c>
      <c r="F46">
        <v>0</v>
      </c>
      <c r="G46">
        <v>0</v>
      </c>
      <c r="H46">
        <v>0</v>
      </c>
      <c r="I46" s="274">
        <v>0</v>
      </c>
      <c r="J46">
        <v>0</v>
      </c>
      <c r="K46">
        <v>0</v>
      </c>
      <c r="L46">
        <v>0</v>
      </c>
      <c r="M46">
        <v>0</v>
      </c>
      <c r="N46">
        <v>0</v>
      </c>
      <c r="O46" s="274">
        <v>0</v>
      </c>
      <c r="P46">
        <v>0</v>
      </c>
      <c r="Q46">
        <v>0</v>
      </c>
      <c r="R46">
        <v>0</v>
      </c>
      <c r="S46">
        <v>0</v>
      </c>
      <c r="T46" s="274">
        <f t="shared" si="6"/>
        <v>0</v>
      </c>
      <c r="U46">
        <v>0</v>
      </c>
      <c r="V46">
        <v>0</v>
      </c>
      <c r="W46">
        <v>0</v>
      </c>
      <c r="X46">
        <v>0</v>
      </c>
      <c r="Y46">
        <v>0</v>
      </c>
      <c r="Z46">
        <v>0</v>
      </c>
      <c r="AA46">
        <v>0</v>
      </c>
      <c r="AB46">
        <v>0</v>
      </c>
      <c r="AC46">
        <v>0</v>
      </c>
      <c r="AD46">
        <v>0</v>
      </c>
      <c r="AE46">
        <v>4409409.26</v>
      </c>
      <c r="AF46">
        <v>0</v>
      </c>
      <c r="AG46">
        <v>0</v>
      </c>
      <c r="AH46">
        <v>0</v>
      </c>
      <c r="AI46">
        <v>0</v>
      </c>
      <c r="AJ46">
        <v>0</v>
      </c>
      <c r="AK46">
        <v>100321</v>
      </c>
      <c r="AL46">
        <v>102327</v>
      </c>
      <c r="AM46">
        <v>48483</v>
      </c>
      <c r="AN46">
        <v>49453</v>
      </c>
      <c r="AO46">
        <v>1.06</v>
      </c>
      <c r="AP46">
        <v>0</v>
      </c>
      <c r="AQ46">
        <v>0</v>
      </c>
      <c r="AR46">
        <v>0</v>
      </c>
      <c r="AS46">
        <v>4.8578999999999997E-2</v>
      </c>
      <c r="AT46">
        <v>4.0270000000000002E-3</v>
      </c>
      <c r="AU46">
        <v>1.7100000000000001E-2</v>
      </c>
    </row>
    <row r="47" spans="1:47">
      <c r="A47" s="2" t="s">
        <v>1094</v>
      </c>
      <c r="B47" s="2" t="s">
        <v>1095</v>
      </c>
      <c r="C47">
        <v>0</v>
      </c>
      <c r="D47">
        <v>0</v>
      </c>
      <c r="E47">
        <v>0</v>
      </c>
      <c r="F47">
        <v>0</v>
      </c>
      <c r="G47">
        <v>0</v>
      </c>
      <c r="H47">
        <v>0</v>
      </c>
      <c r="I47" s="274">
        <v>0</v>
      </c>
      <c r="J47">
        <v>0</v>
      </c>
      <c r="K47">
        <v>0</v>
      </c>
      <c r="L47">
        <v>0</v>
      </c>
      <c r="M47">
        <v>0</v>
      </c>
      <c r="N47">
        <v>0</v>
      </c>
      <c r="O47" s="274">
        <v>0</v>
      </c>
      <c r="P47">
        <v>0</v>
      </c>
      <c r="Q47">
        <v>0</v>
      </c>
      <c r="R47">
        <v>0</v>
      </c>
      <c r="S47">
        <v>0</v>
      </c>
      <c r="T47" s="274">
        <f t="shared" si="6"/>
        <v>0</v>
      </c>
      <c r="U47">
        <v>0</v>
      </c>
      <c r="V47">
        <v>0</v>
      </c>
      <c r="W47">
        <v>0</v>
      </c>
      <c r="X47">
        <v>0</v>
      </c>
      <c r="Y47">
        <v>0</v>
      </c>
      <c r="Z47">
        <v>0</v>
      </c>
      <c r="AA47">
        <v>0</v>
      </c>
      <c r="AB47">
        <v>0</v>
      </c>
      <c r="AC47">
        <v>0</v>
      </c>
      <c r="AD47">
        <v>0</v>
      </c>
      <c r="AE47">
        <v>0</v>
      </c>
      <c r="AF47">
        <v>0</v>
      </c>
      <c r="AG47">
        <v>0</v>
      </c>
      <c r="AH47">
        <v>0</v>
      </c>
      <c r="AI47">
        <v>0</v>
      </c>
      <c r="AJ47">
        <v>0</v>
      </c>
      <c r="AK47">
        <v>0</v>
      </c>
      <c r="AL47">
        <v>0</v>
      </c>
      <c r="AM47">
        <v>0</v>
      </c>
      <c r="AN47">
        <v>0</v>
      </c>
      <c r="AO47">
        <v>0</v>
      </c>
      <c r="AP47">
        <v>0</v>
      </c>
      <c r="AQ47">
        <v>0</v>
      </c>
      <c r="AR47">
        <v>0</v>
      </c>
      <c r="AS47">
        <v>4.8578999999999997E-2</v>
      </c>
      <c r="AT47">
        <v>4.0270000000000002E-3</v>
      </c>
      <c r="AU47">
        <v>1.7100000000000001E-2</v>
      </c>
    </row>
    <row r="48" spans="1:47">
      <c r="A48" s="2" t="s">
        <v>73</v>
      </c>
      <c r="B48" s="2" t="s">
        <v>74</v>
      </c>
      <c r="C48">
        <v>10984.86</v>
      </c>
      <c r="D48">
        <v>356.25</v>
      </c>
      <c r="E48">
        <v>3913355.24</v>
      </c>
      <c r="F48">
        <v>3</v>
      </c>
      <c r="G48">
        <v>35.5</v>
      </c>
      <c r="H48">
        <v>12</v>
      </c>
      <c r="I48" s="274">
        <v>50.5</v>
      </c>
      <c r="J48">
        <v>29633.05</v>
      </c>
      <c r="K48">
        <v>306466.15999999997</v>
      </c>
      <c r="L48">
        <v>102305.8</v>
      </c>
      <c r="M48">
        <v>-45239.58</v>
      </c>
      <c r="N48">
        <v>407991.28</v>
      </c>
      <c r="O48" s="274">
        <v>0</v>
      </c>
      <c r="P48">
        <v>75386.41</v>
      </c>
      <c r="Q48">
        <v>1.75</v>
      </c>
      <c r="R48">
        <v>0</v>
      </c>
      <c r="S48">
        <v>1</v>
      </c>
      <c r="T48" s="274">
        <f t="shared" si="6"/>
        <v>2.75</v>
      </c>
      <c r="U48">
        <v>2935.05</v>
      </c>
      <c r="V48">
        <v>17.809999999999999</v>
      </c>
      <c r="W48">
        <v>10076.98</v>
      </c>
      <c r="X48">
        <v>32.86</v>
      </c>
      <c r="Y48">
        <v>13.22</v>
      </c>
      <c r="Z48">
        <v>0</v>
      </c>
      <c r="AA48">
        <v>293242.81</v>
      </c>
      <c r="AB48">
        <v>117765.22</v>
      </c>
      <c r="AC48">
        <v>0</v>
      </c>
      <c r="AD48">
        <v>57424.41</v>
      </c>
      <c r="AE48">
        <v>248579.61</v>
      </c>
      <c r="AF48">
        <v>109281.46</v>
      </c>
      <c r="AG48">
        <v>128848.42</v>
      </c>
      <c r="AH48">
        <v>1</v>
      </c>
      <c r="AI48">
        <v>68937</v>
      </c>
      <c r="AJ48">
        <v>67585</v>
      </c>
      <c r="AK48">
        <v>0</v>
      </c>
      <c r="AL48">
        <v>0</v>
      </c>
      <c r="AM48">
        <v>0</v>
      </c>
      <c r="AN48">
        <v>0</v>
      </c>
      <c r="AO48">
        <v>0</v>
      </c>
      <c r="AP48">
        <v>488248.51</v>
      </c>
      <c r="AQ48">
        <v>31229.99</v>
      </c>
      <c r="AR48">
        <v>8.2070000000000007</v>
      </c>
      <c r="AS48">
        <v>4.8578999999999997E-2</v>
      </c>
      <c r="AT48">
        <v>4.0270000000000002E-3</v>
      </c>
      <c r="AU48">
        <v>1.7100000000000001E-2</v>
      </c>
    </row>
    <row r="49" spans="1:47">
      <c r="A49" s="2" t="s">
        <v>75</v>
      </c>
      <c r="B49" s="2" t="s">
        <v>76</v>
      </c>
      <c r="C49">
        <v>12856.67</v>
      </c>
      <c r="D49">
        <v>264.2</v>
      </c>
      <c r="E49">
        <v>3396733.4</v>
      </c>
      <c r="F49">
        <v>0</v>
      </c>
      <c r="G49">
        <v>27</v>
      </c>
      <c r="H49">
        <v>0</v>
      </c>
      <c r="I49" s="274">
        <v>27</v>
      </c>
      <c r="J49">
        <v>0</v>
      </c>
      <c r="K49">
        <v>221140.09</v>
      </c>
      <c r="L49">
        <v>0</v>
      </c>
      <c r="M49">
        <v>0</v>
      </c>
      <c r="N49">
        <v>220009.77</v>
      </c>
      <c r="O49" s="274">
        <v>20795.22</v>
      </c>
      <c r="P49">
        <v>14774.25</v>
      </c>
      <c r="Q49">
        <v>0</v>
      </c>
      <c r="R49">
        <v>0</v>
      </c>
      <c r="S49">
        <v>0</v>
      </c>
      <c r="T49" s="274">
        <f t="shared" si="6"/>
        <v>0</v>
      </c>
      <c r="U49">
        <v>0</v>
      </c>
      <c r="V49">
        <v>0</v>
      </c>
      <c r="W49">
        <v>0</v>
      </c>
      <c r="X49">
        <v>0</v>
      </c>
      <c r="Y49">
        <v>0</v>
      </c>
      <c r="Z49">
        <v>0</v>
      </c>
      <c r="AA49">
        <v>0</v>
      </c>
      <c r="AB49">
        <v>0</v>
      </c>
      <c r="AC49">
        <v>0</v>
      </c>
      <c r="AD49">
        <v>23059</v>
      </c>
      <c r="AE49">
        <v>95827.07</v>
      </c>
      <c r="AF49">
        <v>0</v>
      </c>
      <c r="AG49">
        <v>19077.8</v>
      </c>
      <c r="AH49">
        <v>1</v>
      </c>
      <c r="AI49">
        <v>68937</v>
      </c>
      <c r="AJ49">
        <v>67585</v>
      </c>
      <c r="AK49">
        <v>0</v>
      </c>
      <c r="AL49">
        <v>0</v>
      </c>
      <c r="AM49">
        <v>0</v>
      </c>
      <c r="AN49">
        <v>0</v>
      </c>
      <c r="AO49">
        <v>0</v>
      </c>
      <c r="AP49">
        <v>137488.54999999999</v>
      </c>
      <c r="AQ49">
        <v>12603.07</v>
      </c>
      <c r="AR49">
        <v>0.61299999999999999</v>
      </c>
      <c r="AS49">
        <v>4.8578999999999997E-2</v>
      </c>
      <c r="AT49">
        <v>4.0270000000000002E-3</v>
      </c>
      <c r="AU49">
        <v>1.7100000000000001E-2</v>
      </c>
    </row>
    <row r="50" spans="1:47">
      <c r="A50" s="2" t="s">
        <v>77</v>
      </c>
      <c r="B50" s="2" t="s">
        <v>78</v>
      </c>
      <c r="C50">
        <v>8782.0499999999993</v>
      </c>
      <c r="D50">
        <v>6168.88</v>
      </c>
      <c r="E50">
        <v>54175399.539999999</v>
      </c>
      <c r="F50">
        <v>97.25</v>
      </c>
      <c r="G50">
        <v>560</v>
      </c>
      <c r="H50">
        <v>437.25</v>
      </c>
      <c r="I50" s="274">
        <v>1094.5</v>
      </c>
      <c r="J50">
        <v>969876.05</v>
      </c>
      <c r="K50">
        <v>4880854.4000000004</v>
      </c>
      <c r="L50">
        <v>3763589.61</v>
      </c>
      <c r="M50">
        <v>-1418438.18</v>
      </c>
      <c r="N50">
        <v>8648341.4800000004</v>
      </c>
      <c r="O50" s="274">
        <v>985291.26</v>
      </c>
      <c r="P50">
        <v>2286885.9300000002</v>
      </c>
      <c r="Q50">
        <v>267.25</v>
      </c>
      <c r="R50">
        <v>135.5</v>
      </c>
      <c r="S50">
        <v>69.25</v>
      </c>
      <c r="T50" s="274">
        <f t="shared" si="6"/>
        <v>472</v>
      </c>
      <c r="U50">
        <v>626925.29</v>
      </c>
      <c r="V50">
        <v>308.44</v>
      </c>
      <c r="W50">
        <v>173754.58</v>
      </c>
      <c r="X50">
        <v>376.42</v>
      </c>
      <c r="Y50">
        <v>46.14</v>
      </c>
      <c r="Z50">
        <v>0</v>
      </c>
      <c r="AA50">
        <v>3358806.5</v>
      </c>
      <c r="AB50">
        <v>411106.52</v>
      </c>
      <c r="AC50">
        <v>0</v>
      </c>
      <c r="AD50">
        <v>360190.37</v>
      </c>
      <c r="AE50">
        <v>2687920.83</v>
      </c>
      <c r="AF50">
        <v>1274200.21</v>
      </c>
      <c r="AG50">
        <v>2358503.12</v>
      </c>
      <c r="AH50">
        <v>1</v>
      </c>
      <c r="AI50">
        <v>68937</v>
      </c>
      <c r="AJ50">
        <v>67585</v>
      </c>
      <c r="AK50">
        <v>100321</v>
      </c>
      <c r="AL50">
        <v>102327</v>
      </c>
      <c r="AM50">
        <v>48483</v>
      </c>
      <c r="AN50">
        <v>49453</v>
      </c>
      <c r="AO50">
        <v>1</v>
      </c>
      <c r="AP50">
        <v>7642773.3499999996</v>
      </c>
      <c r="AQ50">
        <v>424900.04</v>
      </c>
      <c r="AR50">
        <v>126.304</v>
      </c>
      <c r="AS50">
        <v>4.8578999999999997E-2</v>
      </c>
      <c r="AT50">
        <v>4.0270000000000002E-3</v>
      </c>
      <c r="AU50">
        <v>1.7100000000000001E-2</v>
      </c>
    </row>
    <row r="51" spans="1:47">
      <c r="A51" s="2" t="s">
        <v>79</v>
      </c>
      <c r="B51" s="2" t="s">
        <v>80</v>
      </c>
      <c r="C51">
        <v>9353.0499999999993</v>
      </c>
      <c r="D51">
        <v>696.68</v>
      </c>
      <c r="E51">
        <v>6516085.7999999998</v>
      </c>
      <c r="F51">
        <v>4.75</v>
      </c>
      <c r="G51">
        <v>42.75</v>
      </c>
      <c r="H51">
        <v>61.25</v>
      </c>
      <c r="I51" s="274">
        <v>108.75</v>
      </c>
      <c r="J51">
        <v>46919</v>
      </c>
      <c r="K51">
        <v>369054.32</v>
      </c>
      <c r="L51">
        <v>522185.87</v>
      </c>
      <c r="M51">
        <v>-98635.28</v>
      </c>
      <c r="N51">
        <v>893286.16</v>
      </c>
      <c r="O51" s="274">
        <v>0</v>
      </c>
      <c r="P51">
        <v>174379.13</v>
      </c>
      <c r="Q51">
        <v>0</v>
      </c>
      <c r="R51">
        <v>0</v>
      </c>
      <c r="S51">
        <v>0</v>
      </c>
      <c r="T51" s="274">
        <f t="shared" si="6"/>
        <v>0</v>
      </c>
      <c r="U51">
        <v>0</v>
      </c>
      <c r="V51">
        <v>34.83</v>
      </c>
      <c r="W51">
        <v>20352.650000000001</v>
      </c>
      <c r="X51">
        <v>41.55</v>
      </c>
      <c r="Y51">
        <v>17.79</v>
      </c>
      <c r="Z51">
        <v>0</v>
      </c>
      <c r="AA51">
        <v>378674.09</v>
      </c>
      <c r="AB51">
        <v>161889.82999999999</v>
      </c>
      <c r="AC51">
        <v>0</v>
      </c>
      <c r="AD51">
        <v>70472.03</v>
      </c>
      <c r="AE51">
        <v>437353.45</v>
      </c>
      <c r="AF51">
        <v>0</v>
      </c>
      <c r="AG51">
        <v>163732.47</v>
      </c>
      <c r="AH51">
        <v>1</v>
      </c>
      <c r="AI51">
        <v>68937</v>
      </c>
      <c r="AJ51">
        <v>67585</v>
      </c>
      <c r="AK51">
        <v>100321</v>
      </c>
      <c r="AL51">
        <v>102327</v>
      </c>
      <c r="AM51">
        <v>48483</v>
      </c>
      <c r="AN51">
        <v>49453</v>
      </c>
      <c r="AO51">
        <v>1</v>
      </c>
      <c r="AP51">
        <v>867488.47</v>
      </c>
      <c r="AQ51">
        <v>50440.68</v>
      </c>
      <c r="AR51">
        <v>12.997999999999999</v>
      </c>
      <c r="AS51">
        <v>4.8578999999999997E-2</v>
      </c>
      <c r="AT51">
        <v>4.0270000000000002E-3</v>
      </c>
      <c r="AU51">
        <v>1.7100000000000001E-2</v>
      </c>
    </row>
    <row r="52" spans="1:47">
      <c r="A52" s="2" t="s">
        <v>81</v>
      </c>
      <c r="B52" s="2" t="s">
        <v>82</v>
      </c>
      <c r="C52">
        <v>8687.43</v>
      </c>
      <c r="D52">
        <v>1405.16</v>
      </c>
      <c r="E52">
        <v>12207224.15</v>
      </c>
      <c r="F52">
        <v>15</v>
      </c>
      <c r="G52">
        <v>146.5</v>
      </c>
      <c r="H52">
        <v>85.25</v>
      </c>
      <c r="I52" s="274">
        <v>246.75</v>
      </c>
      <c r="J52">
        <v>148335.17000000001</v>
      </c>
      <c r="K52">
        <v>1266015.43</v>
      </c>
      <c r="L52">
        <v>727545.18</v>
      </c>
      <c r="M52">
        <v>-357507.83</v>
      </c>
      <c r="N52">
        <v>1992850.7</v>
      </c>
      <c r="O52" s="274">
        <v>182468.18</v>
      </c>
      <c r="P52">
        <v>389199.89</v>
      </c>
      <c r="Q52">
        <v>10.25</v>
      </c>
      <c r="R52">
        <v>10</v>
      </c>
      <c r="S52">
        <v>3</v>
      </c>
      <c r="T52" s="274">
        <f t="shared" si="6"/>
        <v>23.25</v>
      </c>
      <c r="U52">
        <v>32872.49</v>
      </c>
      <c r="V52">
        <v>70.260000000000005</v>
      </c>
      <c r="W52">
        <v>39623.1</v>
      </c>
      <c r="X52">
        <v>70.650000000000006</v>
      </c>
      <c r="Y52">
        <v>5.44</v>
      </c>
      <c r="Z52">
        <v>0</v>
      </c>
      <c r="AA52">
        <v>630407.59</v>
      </c>
      <c r="AB52">
        <v>48456.08</v>
      </c>
      <c r="AC52">
        <v>0</v>
      </c>
      <c r="AD52">
        <v>88226.43</v>
      </c>
      <c r="AE52">
        <v>882879.17</v>
      </c>
      <c r="AF52">
        <v>172091.37</v>
      </c>
      <c r="AG52">
        <v>422059.25</v>
      </c>
      <c r="AH52">
        <v>1</v>
      </c>
      <c r="AI52">
        <v>68937</v>
      </c>
      <c r="AJ52">
        <v>67585</v>
      </c>
      <c r="AK52">
        <v>100321</v>
      </c>
      <c r="AL52">
        <v>102327</v>
      </c>
      <c r="AM52">
        <v>48483</v>
      </c>
      <c r="AN52">
        <v>49453</v>
      </c>
      <c r="AO52">
        <v>1</v>
      </c>
      <c r="AP52">
        <v>1762247.14</v>
      </c>
      <c r="AQ52">
        <v>95948.02</v>
      </c>
      <c r="AR52">
        <v>27.346</v>
      </c>
      <c r="AS52">
        <v>4.8578999999999997E-2</v>
      </c>
      <c r="AT52">
        <v>4.0270000000000002E-3</v>
      </c>
      <c r="AU52">
        <v>1.7100000000000001E-2</v>
      </c>
    </row>
    <row r="53" spans="1:47">
      <c r="A53" s="2" t="s">
        <v>83</v>
      </c>
      <c r="B53" s="2" t="s">
        <v>84</v>
      </c>
      <c r="C53">
        <v>8836.86</v>
      </c>
      <c r="D53">
        <v>1041.82</v>
      </c>
      <c r="E53">
        <v>9206422.1099999994</v>
      </c>
      <c r="F53">
        <v>15</v>
      </c>
      <c r="G53">
        <v>127.25</v>
      </c>
      <c r="H53">
        <v>55.75</v>
      </c>
      <c r="I53" s="274">
        <v>198</v>
      </c>
      <c r="J53">
        <v>148165.25</v>
      </c>
      <c r="K53">
        <v>1098530.1200000001</v>
      </c>
      <c r="L53">
        <v>475295.71</v>
      </c>
      <c r="M53">
        <v>-174178.35</v>
      </c>
      <c r="N53">
        <v>1571840.07</v>
      </c>
      <c r="O53" s="274">
        <v>0</v>
      </c>
      <c r="P53">
        <v>300071.28000000003</v>
      </c>
      <c r="Q53">
        <v>20.75</v>
      </c>
      <c r="R53">
        <v>8</v>
      </c>
      <c r="S53">
        <v>2</v>
      </c>
      <c r="T53" s="274">
        <f t="shared" si="6"/>
        <v>30.75</v>
      </c>
      <c r="U53">
        <v>0</v>
      </c>
      <c r="V53">
        <v>0</v>
      </c>
      <c r="W53">
        <v>0</v>
      </c>
      <c r="X53">
        <v>37.68</v>
      </c>
      <c r="Y53">
        <v>17.07</v>
      </c>
      <c r="Z53">
        <v>0</v>
      </c>
      <c r="AA53">
        <v>336322.44</v>
      </c>
      <c r="AB53">
        <v>152168.99</v>
      </c>
      <c r="AC53">
        <v>0</v>
      </c>
      <c r="AD53">
        <v>0</v>
      </c>
      <c r="AE53">
        <v>0</v>
      </c>
      <c r="AF53">
        <v>0</v>
      </c>
      <c r="AG53">
        <v>201833.15</v>
      </c>
      <c r="AH53">
        <v>1</v>
      </c>
      <c r="AI53">
        <v>68937</v>
      </c>
      <c r="AJ53">
        <v>67585</v>
      </c>
      <c r="AK53">
        <v>100321</v>
      </c>
      <c r="AL53">
        <v>102327</v>
      </c>
      <c r="AM53">
        <v>48483</v>
      </c>
      <c r="AN53">
        <v>49453</v>
      </c>
      <c r="AO53">
        <v>1</v>
      </c>
      <c r="AP53">
        <v>1266643.76</v>
      </c>
      <c r="AQ53">
        <v>71530.09</v>
      </c>
      <c r="AR53">
        <v>22.1</v>
      </c>
      <c r="AS53">
        <v>4.8578999999999997E-2</v>
      </c>
      <c r="AT53">
        <v>4.0270000000000002E-3</v>
      </c>
      <c r="AU53">
        <v>1.7100000000000001E-2</v>
      </c>
    </row>
    <row r="54" spans="1:47">
      <c r="A54" s="2" t="s">
        <v>85</v>
      </c>
      <c r="B54" s="2" t="s">
        <v>86</v>
      </c>
      <c r="C54">
        <v>8752.9699999999993</v>
      </c>
      <c r="D54">
        <v>2349.67</v>
      </c>
      <c r="E54">
        <v>20566595.420000002</v>
      </c>
      <c r="F54">
        <v>21.5</v>
      </c>
      <c r="G54">
        <v>186.25</v>
      </c>
      <c r="H54">
        <v>132.5</v>
      </c>
      <c r="I54" s="274">
        <v>340.25</v>
      </c>
      <c r="J54">
        <v>214010.7</v>
      </c>
      <c r="K54">
        <v>1620065.32</v>
      </c>
      <c r="L54">
        <v>1138193.79</v>
      </c>
      <c r="M54">
        <v>0</v>
      </c>
      <c r="N54">
        <v>2750329.61</v>
      </c>
      <c r="O54" s="274">
        <v>324705.59000000003</v>
      </c>
      <c r="P54">
        <v>614414.89</v>
      </c>
      <c r="Q54">
        <v>145.5</v>
      </c>
      <c r="R54">
        <v>63.25</v>
      </c>
      <c r="S54">
        <v>26</v>
      </c>
      <c r="T54" s="274">
        <f t="shared" si="6"/>
        <v>234.75</v>
      </c>
      <c r="U54">
        <v>313560.49</v>
      </c>
      <c r="V54">
        <v>117.48</v>
      </c>
      <c r="W54">
        <v>66136.31</v>
      </c>
      <c r="X54">
        <v>83.07</v>
      </c>
      <c r="Y54">
        <v>3.34</v>
      </c>
      <c r="Z54">
        <v>0</v>
      </c>
      <c r="AA54">
        <v>741274.13</v>
      </c>
      <c r="AB54">
        <v>29654.36</v>
      </c>
      <c r="AC54">
        <v>0</v>
      </c>
      <c r="AD54">
        <v>933620.68</v>
      </c>
      <c r="AE54">
        <v>5698032.5099999998</v>
      </c>
      <c r="AF54">
        <v>145284.66</v>
      </c>
      <c r="AG54">
        <v>619783.37</v>
      </c>
      <c r="AH54">
        <v>1</v>
      </c>
      <c r="AI54">
        <v>68937</v>
      </c>
      <c r="AJ54">
        <v>67585</v>
      </c>
      <c r="AK54">
        <v>100321</v>
      </c>
      <c r="AL54">
        <v>102327</v>
      </c>
      <c r="AM54">
        <v>48483</v>
      </c>
      <c r="AN54">
        <v>49453</v>
      </c>
      <c r="AO54">
        <v>1</v>
      </c>
      <c r="AP54">
        <v>2834318.13</v>
      </c>
      <c r="AQ54">
        <v>157235.49</v>
      </c>
      <c r="AR54">
        <v>46.277000000000001</v>
      </c>
      <c r="AS54">
        <v>4.8578999999999997E-2</v>
      </c>
      <c r="AT54">
        <v>4.0270000000000002E-3</v>
      </c>
      <c r="AU54">
        <v>1.7100000000000001E-2</v>
      </c>
    </row>
    <row r="55" spans="1:47">
      <c r="A55" s="2" t="s">
        <v>87</v>
      </c>
      <c r="B55" s="2" t="s">
        <v>88</v>
      </c>
      <c r="C55">
        <v>8774.42</v>
      </c>
      <c r="D55">
        <v>4788.51</v>
      </c>
      <c r="E55">
        <v>42016391.5</v>
      </c>
      <c r="F55">
        <v>40.75</v>
      </c>
      <c r="G55">
        <v>354.5</v>
      </c>
      <c r="H55">
        <v>327.75</v>
      </c>
      <c r="I55" s="274">
        <v>723</v>
      </c>
      <c r="J55">
        <v>404710.64</v>
      </c>
      <c r="K55">
        <v>3076737.75</v>
      </c>
      <c r="L55">
        <v>2809190.92</v>
      </c>
      <c r="M55">
        <v>-317600.92</v>
      </c>
      <c r="N55">
        <v>5883363.5599999996</v>
      </c>
      <c r="O55" s="274">
        <v>700654.72000000009</v>
      </c>
      <c r="P55">
        <v>1646127.69</v>
      </c>
      <c r="Q55">
        <v>195.5</v>
      </c>
      <c r="R55">
        <v>110.25</v>
      </c>
      <c r="S55">
        <v>23.5</v>
      </c>
      <c r="T55" s="274">
        <f t="shared" si="6"/>
        <v>329.25</v>
      </c>
      <c r="U55">
        <v>457084.09</v>
      </c>
      <c r="V55">
        <v>239.43</v>
      </c>
      <c r="W55">
        <v>134816.32999999999</v>
      </c>
      <c r="X55">
        <v>357.56</v>
      </c>
      <c r="Y55">
        <v>63.76</v>
      </c>
      <c r="Z55">
        <v>0</v>
      </c>
      <c r="AA55">
        <v>3190485.03</v>
      </c>
      <c r="AB55">
        <v>568322.94999999995</v>
      </c>
      <c r="AC55">
        <v>0</v>
      </c>
      <c r="AD55">
        <v>246435.32</v>
      </c>
      <c r="AE55">
        <v>2337131.98</v>
      </c>
      <c r="AF55">
        <v>1299245.92</v>
      </c>
      <c r="AG55">
        <v>1790670.03</v>
      </c>
      <c r="AH55">
        <v>1</v>
      </c>
      <c r="AI55">
        <v>68937</v>
      </c>
      <c r="AJ55">
        <v>67585</v>
      </c>
      <c r="AK55">
        <v>100321</v>
      </c>
      <c r="AL55">
        <v>102327</v>
      </c>
      <c r="AM55">
        <v>48483</v>
      </c>
      <c r="AN55">
        <v>49453</v>
      </c>
      <c r="AO55">
        <v>1</v>
      </c>
      <c r="AP55">
        <v>5642405.9299999997</v>
      </c>
      <c r="AQ55">
        <v>312353.15999999997</v>
      </c>
      <c r="AR55">
        <v>92.442999999999998</v>
      </c>
      <c r="AS55">
        <v>4.8578999999999997E-2</v>
      </c>
      <c r="AT55">
        <v>4.0270000000000002E-3</v>
      </c>
      <c r="AU55">
        <v>1.7100000000000001E-2</v>
      </c>
    </row>
    <row r="56" spans="1:47">
      <c r="A56" s="2" t="s">
        <v>1096</v>
      </c>
      <c r="B56" s="2" t="s">
        <v>1097</v>
      </c>
      <c r="C56">
        <v>0</v>
      </c>
      <c r="D56">
        <v>0</v>
      </c>
      <c r="E56">
        <v>0</v>
      </c>
      <c r="F56">
        <v>0</v>
      </c>
      <c r="G56">
        <v>0</v>
      </c>
      <c r="H56">
        <v>0</v>
      </c>
      <c r="I56" s="274">
        <v>0</v>
      </c>
      <c r="J56">
        <v>0</v>
      </c>
      <c r="K56">
        <v>0</v>
      </c>
      <c r="L56">
        <v>0</v>
      </c>
      <c r="M56">
        <v>0</v>
      </c>
      <c r="N56">
        <v>0</v>
      </c>
      <c r="O56" s="274">
        <v>0</v>
      </c>
      <c r="P56">
        <v>0</v>
      </c>
      <c r="Q56">
        <v>0</v>
      </c>
      <c r="R56">
        <v>0</v>
      </c>
      <c r="S56">
        <v>0</v>
      </c>
      <c r="T56" s="274">
        <f t="shared" si="6"/>
        <v>0</v>
      </c>
      <c r="U56">
        <v>0</v>
      </c>
      <c r="V56">
        <v>0</v>
      </c>
      <c r="W56">
        <v>0</v>
      </c>
      <c r="X56">
        <v>0</v>
      </c>
      <c r="Y56">
        <v>0</v>
      </c>
      <c r="Z56">
        <v>0</v>
      </c>
      <c r="AA56">
        <v>0</v>
      </c>
      <c r="AB56">
        <v>0</v>
      </c>
      <c r="AC56">
        <v>0</v>
      </c>
      <c r="AD56">
        <v>0</v>
      </c>
      <c r="AE56">
        <v>0</v>
      </c>
      <c r="AF56">
        <v>0</v>
      </c>
      <c r="AG56">
        <v>0</v>
      </c>
      <c r="AH56">
        <v>0</v>
      </c>
      <c r="AI56">
        <v>0</v>
      </c>
      <c r="AJ56">
        <v>0</v>
      </c>
      <c r="AK56">
        <v>100321</v>
      </c>
      <c r="AL56">
        <v>102327</v>
      </c>
      <c r="AM56">
        <v>48483</v>
      </c>
      <c r="AN56">
        <v>49453</v>
      </c>
      <c r="AO56">
        <v>1</v>
      </c>
      <c r="AP56">
        <v>0</v>
      </c>
      <c r="AQ56">
        <v>0</v>
      </c>
      <c r="AR56">
        <v>0</v>
      </c>
      <c r="AS56">
        <v>4.8578999999999997E-2</v>
      </c>
      <c r="AT56">
        <v>4.0270000000000002E-3</v>
      </c>
      <c r="AU56">
        <v>1.7100000000000001E-2</v>
      </c>
    </row>
    <row r="57" spans="1:47">
      <c r="A57" s="2" t="s">
        <v>89</v>
      </c>
      <c r="B57" s="2" t="s">
        <v>90</v>
      </c>
      <c r="C57">
        <v>9616.69</v>
      </c>
      <c r="D57">
        <v>138.08000000000001</v>
      </c>
      <c r="E57">
        <v>1327872.57</v>
      </c>
      <c r="F57">
        <v>1.75</v>
      </c>
      <c r="G57">
        <v>12</v>
      </c>
      <c r="H57">
        <v>2.75</v>
      </c>
      <c r="I57" s="274">
        <v>16.5</v>
      </c>
      <c r="J57">
        <v>17285.95</v>
      </c>
      <c r="K57">
        <v>103594.2</v>
      </c>
      <c r="L57">
        <v>23445.08</v>
      </c>
      <c r="M57">
        <v>-14059.68</v>
      </c>
      <c r="N57">
        <v>126692.03</v>
      </c>
      <c r="O57" s="274">
        <v>0</v>
      </c>
      <c r="P57">
        <v>24049.360000000001</v>
      </c>
      <c r="Q57">
        <v>49.75</v>
      </c>
      <c r="R57">
        <v>9.25</v>
      </c>
      <c r="S57">
        <v>15</v>
      </c>
      <c r="T57" s="274">
        <f t="shared" si="6"/>
        <v>74</v>
      </c>
      <c r="U57">
        <v>90105.83</v>
      </c>
      <c r="V57">
        <v>6.9</v>
      </c>
      <c r="W57">
        <v>3913.39</v>
      </c>
      <c r="X57">
        <v>0</v>
      </c>
      <c r="Y57">
        <v>1.44</v>
      </c>
      <c r="Z57">
        <v>0</v>
      </c>
      <c r="AA57">
        <v>0</v>
      </c>
      <c r="AB57">
        <v>12814.14</v>
      </c>
      <c r="AC57">
        <v>0</v>
      </c>
      <c r="AD57">
        <v>35079.83</v>
      </c>
      <c r="AE57">
        <v>269834.7</v>
      </c>
      <c r="AF57">
        <v>44416.99</v>
      </c>
      <c r="AG57">
        <v>86388.1</v>
      </c>
      <c r="AH57">
        <v>1</v>
      </c>
      <c r="AI57">
        <v>68937</v>
      </c>
      <c r="AJ57">
        <v>67585</v>
      </c>
      <c r="AK57">
        <v>100321</v>
      </c>
      <c r="AL57">
        <v>102327</v>
      </c>
      <c r="AM57">
        <v>48483</v>
      </c>
      <c r="AN57">
        <v>49453</v>
      </c>
      <c r="AO57">
        <v>1</v>
      </c>
      <c r="AP57">
        <v>189308.77</v>
      </c>
      <c r="AQ57">
        <v>11552.58</v>
      </c>
      <c r="AR57">
        <v>3.9</v>
      </c>
      <c r="AS57">
        <v>4.8578999999999997E-2</v>
      </c>
      <c r="AT57">
        <v>4.0270000000000002E-3</v>
      </c>
      <c r="AU57">
        <v>1.7100000000000001E-2</v>
      </c>
    </row>
    <row r="58" spans="1:47">
      <c r="A58" s="2" t="s">
        <v>91</v>
      </c>
      <c r="B58" s="2" t="s">
        <v>92</v>
      </c>
      <c r="C58">
        <v>8884.83</v>
      </c>
      <c r="D58">
        <v>745.77</v>
      </c>
      <c r="E58">
        <v>6626038.3799999999</v>
      </c>
      <c r="F58">
        <v>7</v>
      </c>
      <c r="G58">
        <v>50.5</v>
      </c>
      <c r="H58">
        <v>15.75</v>
      </c>
      <c r="I58" s="274">
        <v>73.25</v>
      </c>
      <c r="J58">
        <v>69264.210000000006</v>
      </c>
      <c r="K58">
        <v>436718.03</v>
      </c>
      <c r="L58">
        <v>134510.18</v>
      </c>
      <c r="M58">
        <v>0</v>
      </c>
      <c r="N58">
        <v>570031.56000000006</v>
      </c>
      <c r="O58" s="274">
        <v>71170.209999999992</v>
      </c>
      <c r="P58">
        <v>84874.880000000005</v>
      </c>
      <c r="Q58">
        <v>215.25</v>
      </c>
      <c r="R58">
        <v>137.25</v>
      </c>
      <c r="S58">
        <v>34</v>
      </c>
      <c r="T58" s="274">
        <f t="shared" si="6"/>
        <v>386.5</v>
      </c>
      <c r="U58">
        <v>537699.97</v>
      </c>
      <c r="V58">
        <v>37.29</v>
      </c>
      <c r="W58">
        <v>21034.48</v>
      </c>
      <c r="X58">
        <v>28.14</v>
      </c>
      <c r="Y58">
        <v>0</v>
      </c>
      <c r="Z58">
        <v>0</v>
      </c>
      <c r="AA58">
        <v>251006.85</v>
      </c>
      <c r="AB58">
        <v>0</v>
      </c>
      <c r="AC58">
        <v>0</v>
      </c>
      <c r="AD58">
        <v>8985.65</v>
      </c>
      <c r="AE58">
        <v>200388.56</v>
      </c>
      <c r="AF58">
        <v>213866.83</v>
      </c>
      <c r="AG58">
        <v>440843.53</v>
      </c>
      <c r="AH58">
        <v>1</v>
      </c>
      <c r="AI58">
        <v>68937</v>
      </c>
      <c r="AJ58">
        <v>67585</v>
      </c>
      <c r="AK58">
        <v>0</v>
      </c>
      <c r="AL58">
        <v>0</v>
      </c>
      <c r="AM58">
        <v>0</v>
      </c>
      <c r="AN58">
        <v>0</v>
      </c>
      <c r="AO58">
        <v>0</v>
      </c>
      <c r="AP58">
        <v>977055.9</v>
      </c>
      <c r="AQ58">
        <v>54119.16</v>
      </c>
      <c r="AR58">
        <v>14.064</v>
      </c>
      <c r="AS58">
        <v>4.8578999999999997E-2</v>
      </c>
      <c r="AT58">
        <v>4.0270000000000002E-3</v>
      </c>
      <c r="AU58">
        <v>1.7100000000000001E-2</v>
      </c>
    </row>
    <row r="59" spans="1:47">
      <c r="A59" s="2" t="s">
        <v>93</v>
      </c>
      <c r="B59" s="2" t="s">
        <v>94</v>
      </c>
      <c r="C59">
        <v>18416.259999999998</v>
      </c>
      <c r="D59">
        <v>22</v>
      </c>
      <c r="E59">
        <v>405157.62</v>
      </c>
      <c r="F59">
        <v>2</v>
      </c>
      <c r="G59">
        <v>4</v>
      </c>
      <c r="H59">
        <v>0</v>
      </c>
      <c r="I59" s="274">
        <v>6</v>
      </c>
      <c r="J59">
        <v>21071.7</v>
      </c>
      <c r="K59">
        <v>36835.089999999997</v>
      </c>
      <c r="L59">
        <v>0</v>
      </c>
      <c r="M59">
        <v>-9482.2999999999993</v>
      </c>
      <c r="N59">
        <v>36646.44</v>
      </c>
      <c r="O59" s="274">
        <v>3033</v>
      </c>
      <c r="P59">
        <v>1908.05</v>
      </c>
      <c r="Q59">
        <v>8.25</v>
      </c>
      <c r="R59">
        <v>0</v>
      </c>
      <c r="S59">
        <v>3</v>
      </c>
      <c r="T59" s="274">
        <f t="shared" si="6"/>
        <v>11.25</v>
      </c>
      <c r="U59">
        <v>12620.67</v>
      </c>
      <c r="V59">
        <v>0</v>
      </c>
      <c r="W59">
        <v>0</v>
      </c>
      <c r="X59">
        <v>0</v>
      </c>
      <c r="Y59">
        <v>0</v>
      </c>
      <c r="Z59">
        <v>0</v>
      </c>
      <c r="AA59">
        <v>0</v>
      </c>
      <c r="AB59">
        <v>0</v>
      </c>
      <c r="AC59">
        <v>0</v>
      </c>
      <c r="AD59">
        <v>37286.620000000003</v>
      </c>
      <c r="AE59">
        <v>92942.23</v>
      </c>
      <c r="AF59">
        <v>8218.1200000000008</v>
      </c>
      <c r="AG59">
        <v>16436.25</v>
      </c>
      <c r="AH59">
        <v>1</v>
      </c>
      <c r="AI59">
        <v>68937</v>
      </c>
      <c r="AJ59">
        <v>67585</v>
      </c>
      <c r="AK59">
        <v>100321</v>
      </c>
      <c r="AL59">
        <v>102327</v>
      </c>
      <c r="AM59">
        <v>48483</v>
      </c>
      <c r="AN59">
        <v>49453</v>
      </c>
      <c r="AO59">
        <v>1</v>
      </c>
      <c r="AP59">
        <v>47369.4</v>
      </c>
      <c r="AQ59">
        <v>3659.18</v>
      </c>
      <c r="AR59">
        <v>0.81499999999999995</v>
      </c>
      <c r="AS59">
        <v>4.8578999999999997E-2</v>
      </c>
      <c r="AT59">
        <v>4.0270000000000002E-3</v>
      </c>
      <c r="AU59">
        <v>1.7100000000000001E-2</v>
      </c>
    </row>
    <row r="60" spans="1:47">
      <c r="A60" s="2" t="s">
        <v>95</v>
      </c>
      <c r="B60" s="2" t="s">
        <v>96</v>
      </c>
      <c r="C60">
        <v>8600.64</v>
      </c>
      <c r="D60">
        <v>5822.79</v>
      </c>
      <c r="E60">
        <v>50079695.93</v>
      </c>
      <c r="F60">
        <v>54</v>
      </c>
      <c r="G60">
        <v>460.75</v>
      </c>
      <c r="H60">
        <v>197.5</v>
      </c>
      <c r="I60" s="274">
        <v>712.25</v>
      </c>
      <c r="J60">
        <v>526386.92000000004</v>
      </c>
      <c r="K60">
        <v>3924960.29</v>
      </c>
      <c r="L60">
        <v>1661503.87</v>
      </c>
      <c r="M60">
        <v>0</v>
      </c>
      <c r="N60">
        <v>5579616.6299999999</v>
      </c>
      <c r="O60" s="274">
        <v>676911.64</v>
      </c>
      <c r="P60">
        <v>1091430.78</v>
      </c>
      <c r="Q60">
        <v>680.5</v>
      </c>
      <c r="R60">
        <v>360</v>
      </c>
      <c r="S60">
        <v>243.75</v>
      </c>
      <c r="T60" s="274">
        <f t="shared" si="6"/>
        <v>1284.25</v>
      </c>
      <c r="U60">
        <v>1675616.34</v>
      </c>
      <c r="V60">
        <v>291.14</v>
      </c>
      <c r="W60">
        <v>163971.1</v>
      </c>
      <c r="X60">
        <v>344.87</v>
      </c>
      <c r="Y60">
        <v>131.41999999999999</v>
      </c>
      <c r="Z60">
        <v>0</v>
      </c>
      <c r="AA60">
        <v>3077190.61</v>
      </c>
      <c r="AB60">
        <v>1170896.46</v>
      </c>
      <c r="AC60">
        <v>0</v>
      </c>
      <c r="AD60">
        <v>311444.77</v>
      </c>
      <c r="AE60">
        <v>1868527.5</v>
      </c>
      <c r="AF60">
        <v>1561149.64</v>
      </c>
      <c r="AG60">
        <v>2137983.52</v>
      </c>
      <c r="AH60">
        <v>1</v>
      </c>
      <c r="AI60">
        <v>68937</v>
      </c>
      <c r="AJ60">
        <v>67585</v>
      </c>
      <c r="AK60">
        <v>100321</v>
      </c>
      <c r="AL60">
        <v>102327</v>
      </c>
      <c r="AM60">
        <v>48483</v>
      </c>
      <c r="AN60">
        <v>49453</v>
      </c>
      <c r="AO60">
        <v>1</v>
      </c>
      <c r="AP60">
        <v>7004570.6399999997</v>
      </c>
      <c r="AQ60">
        <v>374813.13</v>
      </c>
      <c r="AR60">
        <v>100.15900000000001</v>
      </c>
      <c r="AS60">
        <v>4.8578999999999997E-2</v>
      </c>
      <c r="AT60">
        <v>4.0270000000000002E-3</v>
      </c>
      <c r="AU60">
        <v>1.7100000000000001E-2</v>
      </c>
    </row>
    <row r="61" spans="1:47">
      <c r="A61" s="2" t="s">
        <v>97</v>
      </c>
      <c r="B61" s="2" t="s">
        <v>98</v>
      </c>
      <c r="C61">
        <v>21447.25</v>
      </c>
      <c r="D61">
        <v>91.4</v>
      </c>
      <c r="E61">
        <v>1960278.99</v>
      </c>
      <c r="F61">
        <v>0</v>
      </c>
      <c r="G61">
        <v>7.75</v>
      </c>
      <c r="H61">
        <v>2</v>
      </c>
      <c r="I61" s="274">
        <v>9.75</v>
      </c>
      <c r="J61">
        <v>0</v>
      </c>
      <c r="K61">
        <v>67194.05</v>
      </c>
      <c r="L61">
        <v>17124.7</v>
      </c>
      <c r="M61">
        <v>0</v>
      </c>
      <c r="N61">
        <v>84122.9</v>
      </c>
      <c r="O61" s="274">
        <v>9715.0499999999993</v>
      </c>
      <c r="P61">
        <v>11172.57</v>
      </c>
      <c r="Q61">
        <v>2</v>
      </c>
      <c r="R61">
        <v>3</v>
      </c>
      <c r="S61">
        <v>1</v>
      </c>
      <c r="T61" s="274">
        <f t="shared" si="6"/>
        <v>6</v>
      </c>
      <c r="U61">
        <v>8511.6299999999992</v>
      </c>
      <c r="V61">
        <v>0</v>
      </c>
      <c r="W61">
        <v>0</v>
      </c>
      <c r="X61">
        <v>3.1</v>
      </c>
      <c r="Y61">
        <v>0</v>
      </c>
      <c r="Z61">
        <v>0</v>
      </c>
      <c r="AA61">
        <v>27723.279999999999</v>
      </c>
      <c r="AB61">
        <v>0</v>
      </c>
      <c r="AC61">
        <v>0</v>
      </c>
      <c r="AD61">
        <v>59669.84</v>
      </c>
      <c r="AE61">
        <v>110763.28</v>
      </c>
      <c r="AF61">
        <v>25045.7</v>
      </c>
      <c r="AG61">
        <v>33165.980000000003</v>
      </c>
      <c r="AH61">
        <v>1</v>
      </c>
      <c r="AI61">
        <v>68937</v>
      </c>
      <c r="AJ61">
        <v>67585</v>
      </c>
      <c r="AK61">
        <v>100321</v>
      </c>
      <c r="AL61">
        <v>102327</v>
      </c>
      <c r="AM61">
        <v>48483</v>
      </c>
      <c r="AN61">
        <v>49453</v>
      </c>
      <c r="AO61">
        <v>1</v>
      </c>
      <c r="AP61">
        <v>227856.1</v>
      </c>
      <c r="AQ61">
        <v>17875.16</v>
      </c>
      <c r="AR61">
        <v>1.766</v>
      </c>
      <c r="AS61">
        <v>4.8578999999999997E-2</v>
      </c>
      <c r="AT61">
        <v>4.0270000000000002E-3</v>
      </c>
      <c r="AU61">
        <v>1.7100000000000001E-2</v>
      </c>
    </row>
    <row r="62" spans="1:47">
      <c r="A62" s="2" t="s">
        <v>99</v>
      </c>
      <c r="B62" s="2" t="s">
        <v>100</v>
      </c>
      <c r="C62">
        <v>11717.74</v>
      </c>
      <c r="D62">
        <v>258.22000000000003</v>
      </c>
      <c r="E62">
        <v>3025755.01</v>
      </c>
      <c r="F62">
        <v>0.5</v>
      </c>
      <c r="G62">
        <v>35</v>
      </c>
      <c r="H62">
        <v>8</v>
      </c>
      <c r="I62" s="274">
        <v>43.5</v>
      </c>
      <c r="J62">
        <v>4938.84</v>
      </c>
      <c r="K62">
        <v>302149.74</v>
      </c>
      <c r="L62">
        <v>68203.87</v>
      </c>
      <c r="M62">
        <v>-40987.75</v>
      </c>
      <c r="N62">
        <v>369339.47</v>
      </c>
      <c r="O62" s="274">
        <v>0</v>
      </c>
      <c r="P62">
        <v>67397.710000000006</v>
      </c>
      <c r="Q62">
        <v>8</v>
      </c>
      <c r="R62">
        <v>6</v>
      </c>
      <c r="S62">
        <v>3</v>
      </c>
      <c r="T62" s="274">
        <f t="shared" si="6"/>
        <v>17</v>
      </c>
      <c r="U62">
        <v>22893.34</v>
      </c>
      <c r="V62">
        <v>12.91</v>
      </c>
      <c r="W62">
        <v>7239.77</v>
      </c>
      <c r="X62">
        <v>13.83</v>
      </c>
      <c r="Y62">
        <v>1.39</v>
      </c>
      <c r="Z62">
        <v>0</v>
      </c>
      <c r="AA62">
        <v>123319.95</v>
      </c>
      <c r="AB62">
        <v>12323.3</v>
      </c>
      <c r="AC62">
        <v>0</v>
      </c>
      <c r="AD62">
        <v>111150.66</v>
      </c>
      <c r="AE62">
        <v>159310.81</v>
      </c>
      <c r="AF62">
        <v>76408.97</v>
      </c>
      <c r="AG62">
        <v>79539.69</v>
      </c>
      <c r="AH62">
        <v>1</v>
      </c>
      <c r="AI62">
        <v>68937</v>
      </c>
      <c r="AJ62">
        <v>67585</v>
      </c>
      <c r="AK62">
        <v>100321</v>
      </c>
      <c r="AL62">
        <v>102327</v>
      </c>
      <c r="AM62">
        <v>48483</v>
      </c>
      <c r="AN62">
        <v>49453</v>
      </c>
      <c r="AO62">
        <v>1</v>
      </c>
      <c r="AP62">
        <v>404118.12</v>
      </c>
      <c r="AQ62">
        <v>25743.32</v>
      </c>
      <c r="AR62">
        <v>4.8369999999999997</v>
      </c>
      <c r="AS62">
        <v>4.8578999999999997E-2</v>
      </c>
      <c r="AT62">
        <v>4.0270000000000002E-3</v>
      </c>
      <c r="AU62">
        <v>1.7100000000000001E-2</v>
      </c>
    </row>
    <row r="63" spans="1:47">
      <c r="A63" s="2" t="s">
        <v>101</v>
      </c>
      <c r="B63" s="2" t="s">
        <v>102</v>
      </c>
      <c r="C63">
        <v>12158.75</v>
      </c>
      <c r="D63">
        <v>33.4</v>
      </c>
      <c r="E63">
        <v>406102.22</v>
      </c>
      <c r="F63">
        <v>0</v>
      </c>
      <c r="G63">
        <v>3.5</v>
      </c>
      <c r="H63">
        <v>0</v>
      </c>
      <c r="I63" s="274">
        <v>3.5</v>
      </c>
      <c r="J63">
        <v>0</v>
      </c>
      <c r="K63">
        <v>27963.85</v>
      </c>
      <c r="L63">
        <v>0</v>
      </c>
      <c r="M63">
        <v>0</v>
      </c>
      <c r="N63">
        <v>27841.73</v>
      </c>
      <c r="O63" s="274">
        <v>2704.25</v>
      </c>
      <c r="P63">
        <v>1724.75</v>
      </c>
      <c r="Q63">
        <v>0</v>
      </c>
      <c r="R63">
        <v>0</v>
      </c>
      <c r="S63">
        <v>0</v>
      </c>
      <c r="T63" s="274">
        <f t="shared" si="6"/>
        <v>0</v>
      </c>
      <c r="U63">
        <v>0</v>
      </c>
      <c r="V63">
        <v>0</v>
      </c>
      <c r="W63">
        <v>0</v>
      </c>
      <c r="X63">
        <v>0</v>
      </c>
      <c r="Y63">
        <v>0</v>
      </c>
      <c r="Z63">
        <v>0</v>
      </c>
      <c r="AA63">
        <v>0</v>
      </c>
      <c r="AB63">
        <v>0</v>
      </c>
      <c r="AC63">
        <v>0</v>
      </c>
      <c r="AD63">
        <v>42464.93</v>
      </c>
      <c r="AE63">
        <v>92230.62</v>
      </c>
      <c r="AF63">
        <v>10370.49</v>
      </c>
      <c r="AG63">
        <v>19958.3</v>
      </c>
      <c r="AH63">
        <v>1</v>
      </c>
      <c r="AI63">
        <v>68937</v>
      </c>
      <c r="AJ63">
        <v>67585</v>
      </c>
      <c r="AK63">
        <v>100321</v>
      </c>
      <c r="AL63">
        <v>102327</v>
      </c>
      <c r="AM63">
        <v>48483</v>
      </c>
      <c r="AN63">
        <v>49453</v>
      </c>
      <c r="AO63">
        <v>1</v>
      </c>
      <c r="AP63">
        <v>60404.89</v>
      </c>
      <c r="AQ63">
        <v>3367.46</v>
      </c>
      <c r="AR63">
        <v>1.016</v>
      </c>
      <c r="AS63">
        <v>4.8578999999999997E-2</v>
      </c>
      <c r="AT63">
        <v>4.0270000000000002E-3</v>
      </c>
      <c r="AU63">
        <v>1.7100000000000001E-2</v>
      </c>
    </row>
    <row r="64" spans="1:47">
      <c r="A64" s="2" t="s">
        <v>103</v>
      </c>
      <c r="B64" s="2" t="s">
        <v>104</v>
      </c>
      <c r="C64">
        <v>12155.2</v>
      </c>
      <c r="D64">
        <v>242.11</v>
      </c>
      <c r="E64">
        <v>2942895.16</v>
      </c>
      <c r="F64">
        <v>1.25</v>
      </c>
      <c r="G64">
        <v>23</v>
      </c>
      <c r="H64">
        <v>3</v>
      </c>
      <c r="I64" s="274">
        <v>27.25</v>
      </c>
      <c r="J64">
        <v>12407.91</v>
      </c>
      <c r="K64">
        <v>199489.28</v>
      </c>
      <c r="L64">
        <v>25696.66</v>
      </c>
      <c r="M64">
        <v>0</v>
      </c>
      <c r="N64">
        <v>224421.34</v>
      </c>
      <c r="O64" s="274">
        <v>17315.740000000002</v>
      </c>
      <c r="P64">
        <v>26219.97</v>
      </c>
      <c r="Q64">
        <v>0</v>
      </c>
      <c r="R64">
        <v>0</v>
      </c>
      <c r="S64">
        <v>0</v>
      </c>
      <c r="T64" s="274">
        <f t="shared" si="6"/>
        <v>0</v>
      </c>
      <c r="U64">
        <v>0</v>
      </c>
      <c r="V64">
        <v>0</v>
      </c>
      <c r="W64">
        <v>0</v>
      </c>
      <c r="X64">
        <v>8.14</v>
      </c>
      <c r="Y64">
        <v>0</v>
      </c>
      <c r="Z64">
        <v>0</v>
      </c>
      <c r="AA64">
        <v>74143.789999999994</v>
      </c>
      <c r="AB64">
        <v>0</v>
      </c>
      <c r="AC64">
        <v>0</v>
      </c>
      <c r="AD64">
        <v>34993.360000000001</v>
      </c>
      <c r="AE64">
        <v>129412.24</v>
      </c>
      <c r="AF64">
        <v>70474.84</v>
      </c>
      <c r="AG64">
        <v>105104.71</v>
      </c>
      <c r="AH64">
        <v>1</v>
      </c>
      <c r="AI64">
        <v>68937</v>
      </c>
      <c r="AJ64">
        <v>67585</v>
      </c>
      <c r="AK64">
        <v>100321</v>
      </c>
      <c r="AL64">
        <v>102327</v>
      </c>
      <c r="AM64">
        <v>48483</v>
      </c>
      <c r="AN64">
        <v>49453</v>
      </c>
      <c r="AO64">
        <v>1</v>
      </c>
      <c r="AP64">
        <v>315630.11</v>
      </c>
      <c r="AQ64">
        <v>21667.86</v>
      </c>
      <c r="AR64">
        <v>3.125</v>
      </c>
      <c r="AS64">
        <v>4.8578999999999997E-2</v>
      </c>
      <c r="AT64">
        <v>4.0270000000000002E-3</v>
      </c>
      <c r="AU64">
        <v>1.7100000000000001E-2</v>
      </c>
    </row>
    <row r="65" spans="1:47">
      <c r="A65" s="2" t="s">
        <v>105</v>
      </c>
      <c r="B65" s="2" t="s">
        <v>106</v>
      </c>
      <c r="C65">
        <v>17770.63</v>
      </c>
      <c r="D65">
        <v>33.4</v>
      </c>
      <c r="E65">
        <v>593539.18000000005</v>
      </c>
      <c r="F65">
        <v>0</v>
      </c>
      <c r="G65">
        <v>6.25</v>
      </c>
      <c r="H65">
        <v>0</v>
      </c>
      <c r="I65" s="274">
        <v>6.25</v>
      </c>
      <c r="J65">
        <v>0</v>
      </c>
      <c r="K65">
        <v>52008.85</v>
      </c>
      <c r="L65">
        <v>0</v>
      </c>
      <c r="M65">
        <v>-14482.42</v>
      </c>
      <c r="N65">
        <v>51755.5</v>
      </c>
      <c r="O65" s="274">
        <v>4901.2400000000007</v>
      </c>
      <c r="P65">
        <v>4513.5600000000004</v>
      </c>
      <c r="Q65">
        <v>0</v>
      </c>
      <c r="R65">
        <v>0</v>
      </c>
      <c r="S65">
        <v>0</v>
      </c>
      <c r="T65" s="274">
        <f t="shared" si="6"/>
        <v>0</v>
      </c>
      <c r="U65">
        <v>0</v>
      </c>
      <c r="V65">
        <v>1.67</v>
      </c>
      <c r="W65">
        <v>1012.57</v>
      </c>
      <c r="X65">
        <v>0</v>
      </c>
      <c r="Y65">
        <v>0</v>
      </c>
      <c r="Z65">
        <v>0</v>
      </c>
      <c r="AA65">
        <v>0</v>
      </c>
      <c r="AB65">
        <v>0</v>
      </c>
      <c r="AC65">
        <v>0</v>
      </c>
      <c r="AD65">
        <v>57907.71</v>
      </c>
      <c r="AE65">
        <v>332033.89</v>
      </c>
      <c r="AF65">
        <v>13062.14</v>
      </c>
      <c r="AG65">
        <v>16504.89</v>
      </c>
      <c r="AH65">
        <v>1</v>
      </c>
      <c r="AI65">
        <v>68937</v>
      </c>
      <c r="AJ65">
        <v>67585</v>
      </c>
      <c r="AK65">
        <v>100321</v>
      </c>
      <c r="AL65">
        <v>102327</v>
      </c>
      <c r="AM65">
        <v>48483</v>
      </c>
      <c r="AN65">
        <v>49453</v>
      </c>
      <c r="AO65">
        <v>1</v>
      </c>
      <c r="AP65">
        <v>72122.8</v>
      </c>
      <c r="AQ65">
        <v>5366.28</v>
      </c>
      <c r="AR65">
        <v>0.83599999999999997</v>
      </c>
      <c r="AS65">
        <v>4.8578999999999997E-2</v>
      </c>
      <c r="AT65">
        <v>4.0270000000000002E-3</v>
      </c>
      <c r="AU65">
        <v>1.7100000000000001E-2</v>
      </c>
    </row>
    <row r="66" spans="1:47">
      <c r="A66" s="2" t="s">
        <v>107</v>
      </c>
      <c r="B66" s="2" t="s">
        <v>108</v>
      </c>
      <c r="C66">
        <v>12491.15</v>
      </c>
      <c r="D66">
        <v>226.24</v>
      </c>
      <c r="E66">
        <v>2825998.81</v>
      </c>
      <c r="F66">
        <v>0.25</v>
      </c>
      <c r="G66">
        <v>18.75</v>
      </c>
      <c r="H66">
        <v>5.5</v>
      </c>
      <c r="I66" s="274">
        <v>24.5</v>
      </c>
      <c r="J66">
        <v>2485.08</v>
      </c>
      <c r="K66">
        <v>162882.34</v>
      </c>
      <c r="L66">
        <v>47184.56</v>
      </c>
      <c r="M66">
        <v>0</v>
      </c>
      <c r="N66">
        <v>209611.18</v>
      </c>
      <c r="O66" s="274">
        <v>19067.93</v>
      </c>
      <c r="P66">
        <v>34760.36</v>
      </c>
      <c r="Q66">
        <v>0</v>
      </c>
      <c r="R66">
        <v>0</v>
      </c>
      <c r="S66">
        <v>0</v>
      </c>
      <c r="T66" s="274">
        <f t="shared" si="6"/>
        <v>0</v>
      </c>
      <c r="U66">
        <v>0</v>
      </c>
      <c r="V66">
        <v>0</v>
      </c>
      <c r="W66">
        <v>0</v>
      </c>
      <c r="X66">
        <v>0</v>
      </c>
      <c r="Y66">
        <v>0</v>
      </c>
      <c r="Z66">
        <v>0</v>
      </c>
      <c r="AA66">
        <v>0</v>
      </c>
      <c r="AB66">
        <v>0</v>
      </c>
      <c r="AC66">
        <v>0</v>
      </c>
      <c r="AD66">
        <v>0</v>
      </c>
      <c r="AE66">
        <v>0</v>
      </c>
      <c r="AF66">
        <v>62907.76</v>
      </c>
      <c r="AG66">
        <v>112901.34</v>
      </c>
      <c r="AH66">
        <v>1</v>
      </c>
      <c r="AI66">
        <v>68937</v>
      </c>
      <c r="AJ66">
        <v>67585</v>
      </c>
      <c r="AK66">
        <v>100321</v>
      </c>
      <c r="AL66">
        <v>102327</v>
      </c>
      <c r="AM66">
        <v>48483</v>
      </c>
      <c r="AN66">
        <v>49453</v>
      </c>
      <c r="AO66">
        <v>1</v>
      </c>
      <c r="AP66">
        <v>385565.33</v>
      </c>
      <c r="AQ66">
        <v>25281.88</v>
      </c>
      <c r="AR66">
        <v>4.5250000000000004</v>
      </c>
      <c r="AS66">
        <v>4.8578999999999997E-2</v>
      </c>
      <c r="AT66">
        <v>4.0270000000000002E-3</v>
      </c>
      <c r="AU66">
        <v>1.7100000000000001E-2</v>
      </c>
    </row>
    <row r="67" spans="1:47">
      <c r="A67" s="2" t="s">
        <v>109</v>
      </c>
      <c r="B67" s="2" t="s">
        <v>110</v>
      </c>
      <c r="C67">
        <v>10408.64</v>
      </c>
      <c r="D67">
        <v>364.34</v>
      </c>
      <c r="E67">
        <v>3792284.25</v>
      </c>
      <c r="F67">
        <v>2.25</v>
      </c>
      <c r="G67">
        <v>48.25</v>
      </c>
      <c r="H67">
        <v>12</v>
      </c>
      <c r="I67" s="274">
        <v>62.5</v>
      </c>
      <c r="J67">
        <v>21817</v>
      </c>
      <c r="K67">
        <v>408795.6</v>
      </c>
      <c r="L67">
        <v>100404.62</v>
      </c>
      <c r="M67">
        <v>-93589.4</v>
      </c>
      <c r="N67">
        <v>508009.32</v>
      </c>
      <c r="O67" s="274">
        <v>40677.15</v>
      </c>
      <c r="P67">
        <v>84898.63</v>
      </c>
      <c r="Q67">
        <v>0</v>
      </c>
      <c r="R67">
        <v>0</v>
      </c>
      <c r="S67">
        <v>0</v>
      </c>
      <c r="T67" s="274">
        <f t="shared" si="6"/>
        <v>0</v>
      </c>
      <c r="U67">
        <v>0</v>
      </c>
      <c r="V67">
        <v>18.22</v>
      </c>
      <c r="W67">
        <v>10631.98</v>
      </c>
      <c r="X67">
        <v>12.1</v>
      </c>
      <c r="Y67">
        <v>0</v>
      </c>
      <c r="Z67">
        <v>0</v>
      </c>
      <c r="AA67">
        <v>110212.59</v>
      </c>
      <c r="AB67">
        <v>0</v>
      </c>
      <c r="AC67">
        <v>0</v>
      </c>
      <c r="AD67">
        <v>54387.34</v>
      </c>
      <c r="AE67">
        <v>417115.69</v>
      </c>
      <c r="AF67">
        <v>92548.84</v>
      </c>
      <c r="AG67">
        <v>136595.6</v>
      </c>
      <c r="AH67">
        <v>1</v>
      </c>
      <c r="AI67">
        <v>68937</v>
      </c>
      <c r="AJ67">
        <v>67585</v>
      </c>
      <c r="AK67">
        <v>100321</v>
      </c>
      <c r="AL67">
        <v>102327</v>
      </c>
      <c r="AM67">
        <v>48483</v>
      </c>
      <c r="AN67">
        <v>49453</v>
      </c>
      <c r="AO67">
        <v>1</v>
      </c>
      <c r="AP67">
        <v>454420.88</v>
      </c>
      <c r="AQ67">
        <v>27635.1</v>
      </c>
      <c r="AR67">
        <v>4.62</v>
      </c>
      <c r="AS67">
        <v>4.8578999999999997E-2</v>
      </c>
      <c r="AT67">
        <v>4.0270000000000002E-3</v>
      </c>
      <c r="AU67">
        <v>1.7100000000000001E-2</v>
      </c>
    </row>
    <row r="68" spans="1:47">
      <c r="A68" s="2" t="s">
        <v>111</v>
      </c>
      <c r="B68" s="2" t="s">
        <v>112</v>
      </c>
      <c r="C68">
        <v>8207.4500000000007</v>
      </c>
      <c r="D68">
        <v>18091.53</v>
      </c>
      <c r="E68">
        <v>148485395.69999999</v>
      </c>
      <c r="F68">
        <v>125.5</v>
      </c>
      <c r="G68">
        <v>1186.5</v>
      </c>
      <c r="H68">
        <v>1071</v>
      </c>
      <c r="I68" s="274">
        <v>2383</v>
      </c>
      <c r="J68">
        <v>1171165.6200000001</v>
      </c>
      <c r="K68">
        <v>9673357.5299999993</v>
      </c>
      <c r="L68">
        <v>8623066.6400000006</v>
      </c>
      <c r="M68">
        <v>0</v>
      </c>
      <c r="N68">
        <v>18424607.989999998</v>
      </c>
      <c r="O68" s="274">
        <v>2472425.92</v>
      </c>
      <c r="P68">
        <v>5098207.5199999996</v>
      </c>
      <c r="Q68">
        <v>3441.75</v>
      </c>
      <c r="R68">
        <v>2886.75</v>
      </c>
      <c r="S68">
        <v>798.5</v>
      </c>
      <c r="T68" s="274">
        <f t="shared" si="6"/>
        <v>7127</v>
      </c>
      <c r="U68">
        <v>10019944.98</v>
      </c>
      <c r="V68">
        <v>904.58</v>
      </c>
      <c r="W68">
        <v>509523.56</v>
      </c>
      <c r="X68">
        <v>1031.3499999999999</v>
      </c>
      <c r="Y68">
        <v>159.84</v>
      </c>
      <c r="Z68">
        <v>0</v>
      </c>
      <c r="AA68">
        <v>9202653.3200000003</v>
      </c>
      <c r="AB68">
        <v>1424213.07</v>
      </c>
      <c r="AC68">
        <v>0</v>
      </c>
      <c r="AD68">
        <v>1101271.6499999999</v>
      </c>
      <c r="AE68">
        <v>8010039.8899999997</v>
      </c>
      <c r="AF68">
        <v>4464983.84</v>
      </c>
      <c r="AG68">
        <v>8301477.0199999996</v>
      </c>
      <c r="AH68">
        <v>1</v>
      </c>
      <c r="AI68">
        <v>68937</v>
      </c>
      <c r="AJ68">
        <v>67585</v>
      </c>
      <c r="AK68">
        <v>100321</v>
      </c>
      <c r="AL68">
        <v>102327</v>
      </c>
      <c r="AM68">
        <v>48483</v>
      </c>
      <c r="AN68">
        <v>49453</v>
      </c>
      <c r="AO68">
        <v>1</v>
      </c>
      <c r="AP68">
        <v>22769175.25</v>
      </c>
      <c r="AQ68">
        <v>1126163.07</v>
      </c>
      <c r="AR68">
        <v>267.47800000000001</v>
      </c>
      <c r="AS68">
        <v>4.8578999999999997E-2</v>
      </c>
      <c r="AT68">
        <v>4.0270000000000002E-3</v>
      </c>
      <c r="AU68">
        <v>1.7100000000000001E-2</v>
      </c>
    </row>
    <row r="69" spans="1:47">
      <c r="A69" s="2" t="s">
        <v>113</v>
      </c>
      <c r="B69" s="2" t="s">
        <v>114</v>
      </c>
      <c r="C69">
        <v>8729.07</v>
      </c>
      <c r="D69">
        <v>2037.73</v>
      </c>
      <c r="E69">
        <v>17787487.77</v>
      </c>
      <c r="F69">
        <v>26</v>
      </c>
      <c r="G69">
        <v>152.25</v>
      </c>
      <c r="H69">
        <v>136</v>
      </c>
      <c r="I69" s="274">
        <v>314.25</v>
      </c>
      <c r="J69">
        <v>258633.8</v>
      </c>
      <c r="K69">
        <v>1323340.97</v>
      </c>
      <c r="L69">
        <v>1167392.75</v>
      </c>
      <c r="M69">
        <v>-87237.99</v>
      </c>
      <c r="N69">
        <v>2493350.9700000002</v>
      </c>
      <c r="O69" s="274">
        <v>280266.51</v>
      </c>
      <c r="P69">
        <v>552298.91</v>
      </c>
      <c r="Q69">
        <v>430.75</v>
      </c>
      <c r="R69">
        <v>290.25</v>
      </c>
      <c r="S69">
        <v>105.75</v>
      </c>
      <c r="T69" s="274">
        <f t="shared" si="6"/>
        <v>826.75</v>
      </c>
      <c r="U69">
        <v>1132926.79</v>
      </c>
      <c r="V69">
        <v>101.89</v>
      </c>
      <c r="W69">
        <v>57429.01</v>
      </c>
      <c r="X69">
        <v>104.04</v>
      </c>
      <c r="Y69">
        <v>7.41</v>
      </c>
      <c r="Z69">
        <v>0</v>
      </c>
      <c r="AA69">
        <v>928315.31</v>
      </c>
      <c r="AB69">
        <v>66093.05</v>
      </c>
      <c r="AC69">
        <v>0</v>
      </c>
      <c r="AD69">
        <v>217947.24</v>
      </c>
      <c r="AE69">
        <v>1508732.47</v>
      </c>
      <c r="AF69">
        <v>559712.80000000005</v>
      </c>
      <c r="AG69">
        <v>967390.35</v>
      </c>
      <c r="AH69">
        <v>1</v>
      </c>
      <c r="AI69">
        <v>68937</v>
      </c>
      <c r="AJ69">
        <v>67585</v>
      </c>
      <c r="AK69">
        <v>100321</v>
      </c>
      <c r="AL69">
        <v>102327</v>
      </c>
      <c r="AM69">
        <v>48483</v>
      </c>
      <c r="AN69">
        <v>49453</v>
      </c>
      <c r="AO69">
        <v>1</v>
      </c>
      <c r="AP69">
        <v>2598187.15</v>
      </c>
      <c r="AQ69">
        <v>142834.38</v>
      </c>
      <c r="AR69">
        <v>40.401000000000003</v>
      </c>
      <c r="AS69">
        <v>4.8578999999999997E-2</v>
      </c>
      <c r="AT69">
        <v>4.0270000000000002E-3</v>
      </c>
      <c r="AU69">
        <v>1.7100000000000001E-2</v>
      </c>
    </row>
    <row r="70" spans="1:47">
      <c r="A70" s="2" t="s">
        <v>115</v>
      </c>
      <c r="B70" s="2" t="s">
        <v>116</v>
      </c>
      <c r="C70">
        <v>26688.240000000002</v>
      </c>
      <c r="D70">
        <v>13</v>
      </c>
      <c r="E70">
        <v>346947.13</v>
      </c>
      <c r="F70">
        <v>0</v>
      </c>
      <c r="G70">
        <v>0</v>
      </c>
      <c r="H70">
        <v>0</v>
      </c>
      <c r="I70" s="274">
        <v>0</v>
      </c>
      <c r="J70">
        <v>0</v>
      </c>
      <c r="K70">
        <v>0</v>
      </c>
      <c r="L70">
        <v>0</v>
      </c>
      <c r="M70">
        <v>0</v>
      </c>
      <c r="N70">
        <v>0</v>
      </c>
      <c r="O70" s="274">
        <v>0</v>
      </c>
      <c r="P70">
        <v>0</v>
      </c>
      <c r="Q70">
        <v>0</v>
      </c>
      <c r="R70">
        <v>0</v>
      </c>
      <c r="S70">
        <v>0</v>
      </c>
      <c r="T70" s="274">
        <f t="shared" si="6"/>
        <v>0</v>
      </c>
      <c r="U70">
        <v>0</v>
      </c>
      <c r="V70">
        <v>0</v>
      </c>
      <c r="W70">
        <v>0</v>
      </c>
      <c r="X70">
        <v>0</v>
      </c>
      <c r="Y70">
        <v>0</v>
      </c>
      <c r="Z70">
        <v>0</v>
      </c>
      <c r="AA70">
        <v>0</v>
      </c>
      <c r="AB70">
        <v>0</v>
      </c>
      <c r="AC70">
        <v>0</v>
      </c>
      <c r="AD70">
        <v>24116.7</v>
      </c>
      <c r="AE70">
        <v>105862.21</v>
      </c>
      <c r="AF70">
        <v>0</v>
      </c>
      <c r="AG70">
        <v>0</v>
      </c>
      <c r="AH70">
        <v>1</v>
      </c>
      <c r="AI70">
        <v>68937</v>
      </c>
      <c r="AJ70">
        <v>67585</v>
      </c>
      <c r="AK70">
        <v>100321</v>
      </c>
      <c r="AL70">
        <v>102327</v>
      </c>
      <c r="AM70">
        <v>48483</v>
      </c>
      <c r="AN70">
        <v>49453</v>
      </c>
      <c r="AO70">
        <v>1</v>
      </c>
      <c r="AP70">
        <v>38764.15</v>
      </c>
      <c r="AQ70">
        <v>3029.45</v>
      </c>
      <c r="AR70">
        <v>0.41199999999999998</v>
      </c>
      <c r="AS70">
        <v>4.8578999999999997E-2</v>
      </c>
      <c r="AT70">
        <v>4.0270000000000002E-3</v>
      </c>
      <c r="AU70">
        <v>1.7100000000000001E-2</v>
      </c>
    </row>
    <row r="71" spans="1:47">
      <c r="A71" s="2" t="s">
        <v>117</v>
      </c>
      <c r="B71" s="2" t="s">
        <v>118</v>
      </c>
      <c r="C71">
        <v>51688.52</v>
      </c>
      <c r="D71">
        <v>36.4</v>
      </c>
      <c r="E71">
        <v>1881461.98</v>
      </c>
      <c r="F71">
        <v>0.75</v>
      </c>
      <c r="G71">
        <v>4</v>
      </c>
      <c r="H71">
        <v>0</v>
      </c>
      <c r="I71" s="274">
        <v>4.75</v>
      </c>
      <c r="J71">
        <v>7408.26</v>
      </c>
      <c r="K71">
        <v>34531.4</v>
      </c>
      <c r="L71">
        <v>0</v>
      </c>
      <c r="M71">
        <v>-3821.66</v>
      </c>
      <c r="N71">
        <v>34357.160000000003</v>
      </c>
      <c r="O71" s="274">
        <v>0</v>
      </c>
      <c r="P71">
        <v>5753.04</v>
      </c>
      <c r="Q71">
        <v>0</v>
      </c>
      <c r="R71">
        <v>0</v>
      </c>
      <c r="S71">
        <v>1</v>
      </c>
      <c r="T71" s="274">
        <f t="shared" ref="T71:T134" si="7">S71+R71+Q71</f>
        <v>1</v>
      </c>
      <c r="U71">
        <v>0</v>
      </c>
      <c r="V71">
        <v>0</v>
      </c>
      <c r="W71">
        <v>0</v>
      </c>
      <c r="X71">
        <v>3.68</v>
      </c>
      <c r="Y71">
        <v>0</v>
      </c>
      <c r="Z71">
        <v>0</v>
      </c>
      <c r="AA71">
        <v>33573.69</v>
      </c>
      <c r="AB71">
        <v>0</v>
      </c>
      <c r="AC71">
        <v>0</v>
      </c>
      <c r="AD71">
        <v>38307.86</v>
      </c>
      <c r="AE71">
        <v>88715.51</v>
      </c>
      <c r="AF71">
        <v>0</v>
      </c>
      <c r="AG71">
        <v>17011.16</v>
      </c>
      <c r="AH71">
        <v>1</v>
      </c>
      <c r="AI71">
        <v>68937</v>
      </c>
      <c r="AJ71">
        <v>67585</v>
      </c>
      <c r="AK71">
        <v>100321</v>
      </c>
      <c r="AL71">
        <v>102327</v>
      </c>
      <c r="AM71">
        <v>48483</v>
      </c>
      <c r="AN71">
        <v>49453</v>
      </c>
      <c r="AO71">
        <v>1</v>
      </c>
      <c r="AP71">
        <v>181154.1</v>
      </c>
      <c r="AQ71">
        <v>17570.580000000002</v>
      </c>
      <c r="AR71">
        <v>0.88300000000000001</v>
      </c>
      <c r="AS71">
        <v>4.8578999999999997E-2</v>
      </c>
      <c r="AT71">
        <v>4.0270000000000002E-3</v>
      </c>
      <c r="AU71">
        <v>1.7100000000000001E-2</v>
      </c>
    </row>
    <row r="72" spans="1:47">
      <c r="A72" s="2" t="s">
        <v>1098</v>
      </c>
      <c r="B72" s="2" t="s">
        <v>1099</v>
      </c>
      <c r="C72">
        <v>0</v>
      </c>
      <c r="D72">
        <v>0</v>
      </c>
      <c r="E72">
        <v>0</v>
      </c>
      <c r="F72">
        <v>0</v>
      </c>
      <c r="G72">
        <v>0</v>
      </c>
      <c r="H72">
        <v>0</v>
      </c>
      <c r="I72" s="274">
        <v>0</v>
      </c>
      <c r="J72">
        <v>0</v>
      </c>
      <c r="K72">
        <v>0</v>
      </c>
      <c r="L72">
        <v>0</v>
      </c>
      <c r="M72">
        <v>0</v>
      </c>
      <c r="N72">
        <v>0</v>
      </c>
      <c r="O72" s="274">
        <v>0</v>
      </c>
      <c r="P72">
        <v>0</v>
      </c>
      <c r="Q72">
        <v>0</v>
      </c>
      <c r="R72">
        <v>0</v>
      </c>
      <c r="S72">
        <v>0</v>
      </c>
      <c r="T72" s="274">
        <f t="shared" si="7"/>
        <v>0</v>
      </c>
      <c r="U72">
        <v>0</v>
      </c>
      <c r="V72">
        <v>0</v>
      </c>
      <c r="W72">
        <v>0</v>
      </c>
      <c r="X72">
        <v>0</v>
      </c>
      <c r="Y72">
        <v>0</v>
      </c>
      <c r="Z72">
        <v>0</v>
      </c>
      <c r="AA72">
        <v>0</v>
      </c>
      <c r="AB72">
        <v>0</v>
      </c>
      <c r="AC72">
        <v>0</v>
      </c>
      <c r="AD72">
        <v>0</v>
      </c>
      <c r="AE72">
        <v>0</v>
      </c>
      <c r="AF72">
        <v>0</v>
      </c>
      <c r="AG72">
        <v>0</v>
      </c>
      <c r="AH72">
        <v>0</v>
      </c>
      <c r="AI72">
        <v>0</v>
      </c>
      <c r="AJ72">
        <v>0</v>
      </c>
      <c r="AK72">
        <v>100321</v>
      </c>
      <c r="AL72">
        <v>102327</v>
      </c>
      <c r="AM72">
        <v>48483</v>
      </c>
      <c r="AN72">
        <v>49453</v>
      </c>
      <c r="AO72">
        <v>1</v>
      </c>
      <c r="AP72">
        <v>0</v>
      </c>
      <c r="AQ72">
        <v>0</v>
      </c>
      <c r="AR72">
        <v>0</v>
      </c>
      <c r="AS72">
        <v>4.8578999999999997E-2</v>
      </c>
      <c r="AT72">
        <v>4.0270000000000002E-3</v>
      </c>
      <c r="AU72">
        <v>1.7100000000000001E-2</v>
      </c>
    </row>
    <row r="73" spans="1:47">
      <c r="A73" s="2" t="s">
        <v>1100</v>
      </c>
      <c r="B73" s="2" t="s">
        <v>1101</v>
      </c>
      <c r="C73">
        <v>0</v>
      </c>
      <c r="D73">
        <v>0</v>
      </c>
      <c r="E73">
        <v>0</v>
      </c>
      <c r="F73">
        <v>0</v>
      </c>
      <c r="G73">
        <v>0</v>
      </c>
      <c r="H73">
        <v>0</v>
      </c>
      <c r="I73" s="274">
        <v>0</v>
      </c>
      <c r="J73">
        <v>0</v>
      </c>
      <c r="K73">
        <v>0</v>
      </c>
      <c r="L73">
        <v>0</v>
      </c>
      <c r="M73">
        <v>0</v>
      </c>
      <c r="N73">
        <v>0</v>
      </c>
      <c r="O73" s="274">
        <v>0</v>
      </c>
      <c r="P73">
        <v>0</v>
      </c>
      <c r="Q73">
        <v>0</v>
      </c>
      <c r="R73">
        <v>0</v>
      </c>
      <c r="S73">
        <v>0</v>
      </c>
      <c r="T73" s="274">
        <f t="shared" si="7"/>
        <v>0</v>
      </c>
      <c r="U73">
        <v>0</v>
      </c>
      <c r="V73">
        <v>0</v>
      </c>
      <c r="W73">
        <v>0</v>
      </c>
      <c r="X73">
        <v>0</v>
      </c>
      <c r="Y73">
        <v>0</v>
      </c>
      <c r="Z73">
        <v>0</v>
      </c>
      <c r="AA73">
        <v>0</v>
      </c>
      <c r="AB73">
        <v>0</v>
      </c>
      <c r="AC73">
        <v>0</v>
      </c>
      <c r="AD73">
        <v>0</v>
      </c>
      <c r="AE73">
        <v>0</v>
      </c>
      <c r="AF73">
        <v>0</v>
      </c>
      <c r="AG73">
        <v>0</v>
      </c>
      <c r="AH73">
        <v>0</v>
      </c>
      <c r="AI73">
        <v>0</v>
      </c>
      <c r="AJ73">
        <v>0</v>
      </c>
      <c r="AK73">
        <v>100321</v>
      </c>
      <c r="AL73">
        <v>102327</v>
      </c>
      <c r="AM73">
        <v>48483</v>
      </c>
      <c r="AN73">
        <v>49453</v>
      </c>
      <c r="AO73">
        <v>1</v>
      </c>
      <c r="AP73">
        <v>0</v>
      </c>
      <c r="AQ73">
        <v>0</v>
      </c>
      <c r="AR73">
        <v>0</v>
      </c>
      <c r="AS73">
        <v>4.8578999999999997E-2</v>
      </c>
      <c r="AT73">
        <v>4.0270000000000002E-3</v>
      </c>
      <c r="AU73">
        <v>1.7100000000000001E-2</v>
      </c>
    </row>
    <row r="74" spans="1:47">
      <c r="A74" s="2" t="s">
        <v>119</v>
      </c>
      <c r="B74" s="2" t="s">
        <v>120</v>
      </c>
      <c r="C74">
        <v>11302.57</v>
      </c>
      <c r="D74">
        <v>355.34</v>
      </c>
      <c r="E74">
        <v>4016255.59</v>
      </c>
      <c r="F74">
        <v>5</v>
      </c>
      <c r="G74">
        <v>21</v>
      </c>
      <c r="H74">
        <v>32.5</v>
      </c>
      <c r="I74" s="274">
        <v>58.5</v>
      </c>
      <c r="J74">
        <v>51664.79</v>
      </c>
      <c r="K74">
        <v>189682.9</v>
      </c>
      <c r="L74">
        <v>289906.63</v>
      </c>
      <c r="M74">
        <v>-49678.6</v>
      </c>
      <c r="N74">
        <v>480707.13</v>
      </c>
      <c r="O74" s="274">
        <v>47742.92</v>
      </c>
      <c r="P74">
        <v>106752.12</v>
      </c>
      <c r="Q74">
        <v>2</v>
      </c>
      <c r="R74">
        <v>1</v>
      </c>
      <c r="S74">
        <v>1</v>
      </c>
      <c r="T74" s="274">
        <f t="shared" si="7"/>
        <v>4</v>
      </c>
      <c r="U74">
        <v>5164.1000000000004</v>
      </c>
      <c r="V74">
        <v>0</v>
      </c>
      <c r="W74">
        <v>0</v>
      </c>
      <c r="X74">
        <v>39.29</v>
      </c>
      <c r="Y74">
        <v>13.18</v>
      </c>
      <c r="Z74">
        <v>0</v>
      </c>
      <c r="AA74">
        <v>358111.37</v>
      </c>
      <c r="AB74">
        <v>119898.41</v>
      </c>
      <c r="AC74">
        <v>0</v>
      </c>
      <c r="AD74">
        <v>46824.54</v>
      </c>
      <c r="AE74">
        <v>298784.40000000002</v>
      </c>
      <c r="AF74">
        <v>49919.67</v>
      </c>
      <c r="AG74">
        <v>99231.79</v>
      </c>
      <c r="AH74">
        <v>1</v>
      </c>
      <c r="AI74">
        <v>68937</v>
      </c>
      <c r="AJ74">
        <v>67585</v>
      </c>
      <c r="AK74">
        <v>0</v>
      </c>
      <c r="AL74">
        <v>0</v>
      </c>
      <c r="AM74">
        <v>0</v>
      </c>
      <c r="AN74">
        <v>0</v>
      </c>
      <c r="AO74">
        <v>0</v>
      </c>
      <c r="AP74">
        <v>486385.79</v>
      </c>
      <c r="AQ74">
        <v>32652.76</v>
      </c>
      <c r="AR74">
        <v>8.6560000000000006</v>
      </c>
      <c r="AS74">
        <v>4.8578999999999997E-2</v>
      </c>
      <c r="AT74">
        <v>4.0270000000000002E-3</v>
      </c>
      <c r="AU74">
        <v>1.7100000000000001E-2</v>
      </c>
    </row>
    <row r="75" spans="1:47">
      <c r="A75" s="2" t="s">
        <v>121</v>
      </c>
      <c r="B75" s="2" t="s">
        <v>122</v>
      </c>
      <c r="C75">
        <v>8715.5400000000009</v>
      </c>
      <c r="D75">
        <v>2400.69</v>
      </c>
      <c r="E75">
        <v>20923309.57</v>
      </c>
      <c r="F75">
        <v>20.5</v>
      </c>
      <c r="G75">
        <v>168.75</v>
      </c>
      <c r="H75">
        <v>125.5</v>
      </c>
      <c r="I75" s="274">
        <v>314.75</v>
      </c>
      <c r="J75">
        <v>202291.65</v>
      </c>
      <c r="K75">
        <v>1454658.04</v>
      </c>
      <c r="L75">
        <v>1068373.49</v>
      </c>
      <c r="M75">
        <v>0</v>
      </c>
      <c r="N75">
        <v>2516310.7999999998</v>
      </c>
      <c r="O75" s="274">
        <v>297927.71999999997</v>
      </c>
      <c r="P75">
        <v>603731.43999999994</v>
      </c>
      <c r="Q75">
        <v>747.75</v>
      </c>
      <c r="R75">
        <v>449.25</v>
      </c>
      <c r="S75">
        <v>228.5</v>
      </c>
      <c r="T75" s="274">
        <f t="shared" si="7"/>
        <v>1425.5</v>
      </c>
      <c r="U75">
        <v>1905332.41</v>
      </c>
      <c r="V75">
        <v>120.03</v>
      </c>
      <c r="W75">
        <v>67603.83</v>
      </c>
      <c r="X75">
        <v>208.3</v>
      </c>
      <c r="Y75">
        <v>65.14</v>
      </c>
      <c r="Z75">
        <v>0</v>
      </c>
      <c r="AA75">
        <v>1858705.08</v>
      </c>
      <c r="AB75">
        <v>580377.34</v>
      </c>
      <c r="AC75">
        <v>0</v>
      </c>
      <c r="AD75">
        <v>111843.27</v>
      </c>
      <c r="AE75">
        <v>1243409.56</v>
      </c>
      <c r="AF75">
        <v>695703.15</v>
      </c>
      <c r="AG75">
        <v>1456466.43</v>
      </c>
      <c r="AH75">
        <v>1</v>
      </c>
      <c r="AI75">
        <v>68937</v>
      </c>
      <c r="AJ75">
        <v>67585</v>
      </c>
      <c r="AK75">
        <v>0</v>
      </c>
      <c r="AL75">
        <v>0</v>
      </c>
      <c r="AM75">
        <v>0</v>
      </c>
      <c r="AN75">
        <v>0</v>
      </c>
      <c r="AO75">
        <v>0</v>
      </c>
      <c r="AP75">
        <v>2934798.25</v>
      </c>
      <c r="AQ75">
        <v>160041.92000000001</v>
      </c>
      <c r="AR75">
        <v>43.741</v>
      </c>
      <c r="AS75">
        <v>4.8578999999999997E-2</v>
      </c>
      <c r="AT75">
        <v>4.0270000000000002E-3</v>
      </c>
      <c r="AU75">
        <v>1.7100000000000001E-2</v>
      </c>
    </row>
    <row r="76" spans="1:47">
      <c r="A76" s="2" t="s">
        <v>123</v>
      </c>
      <c r="B76" s="2" t="s">
        <v>124</v>
      </c>
      <c r="C76">
        <v>8744.11</v>
      </c>
      <c r="D76">
        <v>3144.2</v>
      </c>
      <c r="E76">
        <v>27493237.559999999</v>
      </c>
      <c r="F76">
        <v>12.5</v>
      </c>
      <c r="G76">
        <v>338</v>
      </c>
      <c r="H76">
        <v>89</v>
      </c>
      <c r="I76" s="274">
        <v>439.5</v>
      </c>
      <c r="J76">
        <v>124001.19</v>
      </c>
      <c r="K76">
        <v>2929806.4</v>
      </c>
      <c r="L76">
        <v>761861.28</v>
      </c>
      <c r="M76">
        <v>-16334.81</v>
      </c>
      <c r="N76">
        <v>3683374.59</v>
      </c>
      <c r="O76" s="274">
        <v>391142.92000000004</v>
      </c>
      <c r="P76">
        <v>704805.98</v>
      </c>
      <c r="Q76">
        <v>762.75</v>
      </c>
      <c r="R76">
        <v>433.25</v>
      </c>
      <c r="S76">
        <v>243.25</v>
      </c>
      <c r="T76" s="274">
        <f t="shared" si="7"/>
        <v>1439.25</v>
      </c>
      <c r="U76">
        <v>1907289.1</v>
      </c>
      <c r="V76">
        <v>157.21</v>
      </c>
      <c r="W76">
        <v>88540.479999999996</v>
      </c>
      <c r="X76">
        <v>223.35</v>
      </c>
      <c r="Y76">
        <v>51.71</v>
      </c>
      <c r="Z76">
        <v>0</v>
      </c>
      <c r="AA76">
        <v>1992960.33</v>
      </c>
      <c r="AB76">
        <v>460749.81</v>
      </c>
      <c r="AC76">
        <v>0</v>
      </c>
      <c r="AD76">
        <v>183780.56</v>
      </c>
      <c r="AE76">
        <v>1636627.09</v>
      </c>
      <c r="AF76">
        <v>864076.80000000005</v>
      </c>
      <c r="AG76">
        <v>1496774.35</v>
      </c>
      <c r="AH76">
        <v>1</v>
      </c>
      <c r="AI76">
        <v>68937</v>
      </c>
      <c r="AJ76">
        <v>67585</v>
      </c>
      <c r="AK76">
        <v>100321</v>
      </c>
      <c r="AL76">
        <v>102327</v>
      </c>
      <c r="AM76">
        <v>48483</v>
      </c>
      <c r="AN76">
        <v>49453</v>
      </c>
      <c r="AO76">
        <v>1</v>
      </c>
      <c r="AP76">
        <v>3847199.03</v>
      </c>
      <c r="AQ76">
        <v>212448.61</v>
      </c>
      <c r="AR76">
        <v>61.359000000000002</v>
      </c>
      <c r="AS76">
        <v>4.8578999999999997E-2</v>
      </c>
      <c r="AT76">
        <v>4.0270000000000002E-3</v>
      </c>
      <c r="AU76">
        <v>1.7100000000000001E-2</v>
      </c>
    </row>
    <row r="77" spans="1:47">
      <c r="A77" s="2" t="s">
        <v>125</v>
      </c>
      <c r="B77" s="2" t="s">
        <v>126</v>
      </c>
      <c r="C77">
        <v>8671.09</v>
      </c>
      <c r="D77">
        <v>886.39</v>
      </c>
      <c r="E77">
        <v>7685967.29</v>
      </c>
      <c r="F77">
        <v>7.25</v>
      </c>
      <c r="G77">
        <v>43.5</v>
      </c>
      <c r="H77">
        <v>80</v>
      </c>
      <c r="I77" s="274">
        <v>130.75</v>
      </c>
      <c r="J77">
        <v>71410.350000000006</v>
      </c>
      <c r="K77">
        <v>374401.77</v>
      </c>
      <c r="L77">
        <v>679990.02</v>
      </c>
      <c r="M77">
        <v>-31813.55</v>
      </c>
      <c r="N77">
        <v>1057772.56</v>
      </c>
      <c r="O77" s="274">
        <v>116844.57</v>
      </c>
      <c r="P77">
        <v>250570.64</v>
      </c>
      <c r="Q77">
        <v>158.75</v>
      </c>
      <c r="R77">
        <v>77.5</v>
      </c>
      <c r="S77">
        <v>53.25</v>
      </c>
      <c r="T77" s="274">
        <f t="shared" si="7"/>
        <v>289.5</v>
      </c>
      <c r="U77">
        <v>376663.92</v>
      </c>
      <c r="V77">
        <v>44.32</v>
      </c>
      <c r="W77">
        <v>24947.87</v>
      </c>
      <c r="X77">
        <v>54.3</v>
      </c>
      <c r="Y77">
        <v>3.09</v>
      </c>
      <c r="Z77">
        <v>0</v>
      </c>
      <c r="AA77">
        <v>484578.97</v>
      </c>
      <c r="AB77">
        <v>27511.13</v>
      </c>
      <c r="AC77">
        <v>0</v>
      </c>
      <c r="AD77">
        <v>59789.08</v>
      </c>
      <c r="AE77">
        <v>394250.92</v>
      </c>
      <c r="AF77">
        <v>250359.2</v>
      </c>
      <c r="AG77">
        <v>456594.94</v>
      </c>
      <c r="AH77">
        <v>1</v>
      </c>
      <c r="AI77">
        <v>68937</v>
      </c>
      <c r="AJ77">
        <v>67585</v>
      </c>
      <c r="AK77">
        <v>100321</v>
      </c>
      <c r="AL77">
        <v>102327</v>
      </c>
      <c r="AM77">
        <v>48483</v>
      </c>
      <c r="AN77">
        <v>49453</v>
      </c>
      <c r="AO77">
        <v>1</v>
      </c>
      <c r="AP77">
        <v>1130357.8899999999</v>
      </c>
      <c r="AQ77">
        <v>61147.21</v>
      </c>
      <c r="AR77">
        <v>15.64</v>
      </c>
      <c r="AS77">
        <v>4.8578999999999997E-2</v>
      </c>
      <c r="AT77">
        <v>4.0270000000000002E-3</v>
      </c>
      <c r="AU77">
        <v>1.7100000000000001E-2</v>
      </c>
    </row>
    <row r="78" spans="1:47">
      <c r="A78" s="2" t="s">
        <v>127</v>
      </c>
      <c r="B78" s="2" t="s">
        <v>128</v>
      </c>
      <c r="C78">
        <v>12443.24</v>
      </c>
      <c r="D78">
        <v>217.93</v>
      </c>
      <c r="E78">
        <v>2711754.52</v>
      </c>
      <c r="F78">
        <v>1</v>
      </c>
      <c r="G78">
        <v>9.75</v>
      </c>
      <c r="H78">
        <v>11.5</v>
      </c>
      <c r="I78" s="274">
        <v>22.25</v>
      </c>
      <c r="J78">
        <v>9846.6</v>
      </c>
      <c r="K78">
        <v>83910.91</v>
      </c>
      <c r="L78">
        <v>97741.02</v>
      </c>
      <c r="M78">
        <v>0</v>
      </c>
      <c r="N78">
        <v>181948.03</v>
      </c>
      <c r="O78" s="274">
        <v>24655</v>
      </c>
      <c r="P78">
        <v>43598.84</v>
      </c>
      <c r="Q78">
        <v>0</v>
      </c>
      <c r="R78">
        <v>0</v>
      </c>
      <c r="S78">
        <v>0</v>
      </c>
      <c r="T78" s="274">
        <f t="shared" si="7"/>
        <v>0</v>
      </c>
      <c r="U78">
        <v>0</v>
      </c>
      <c r="V78">
        <v>10.9</v>
      </c>
      <c r="W78">
        <v>6163.58</v>
      </c>
      <c r="X78">
        <v>17.09</v>
      </c>
      <c r="Y78">
        <v>0</v>
      </c>
      <c r="Z78">
        <v>0</v>
      </c>
      <c r="AA78">
        <v>152530.96</v>
      </c>
      <c r="AB78">
        <v>0</v>
      </c>
      <c r="AC78">
        <v>0</v>
      </c>
      <c r="AD78">
        <v>62828.37</v>
      </c>
      <c r="AE78">
        <v>300543.23</v>
      </c>
      <c r="AF78">
        <v>0</v>
      </c>
      <c r="AG78">
        <v>58603.02</v>
      </c>
      <c r="AH78">
        <v>1</v>
      </c>
      <c r="AI78">
        <v>68937</v>
      </c>
      <c r="AJ78">
        <v>67585</v>
      </c>
      <c r="AK78">
        <v>100321</v>
      </c>
      <c r="AL78">
        <v>102327</v>
      </c>
      <c r="AM78">
        <v>48483</v>
      </c>
      <c r="AN78">
        <v>49453</v>
      </c>
      <c r="AO78">
        <v>1</v>
      </c>
      <c r="AP78">
        <v>350984.61</v>
      </c>
      <c r="AQ78">
        <v>22913.03</v>
      </c>
      <c r="AR78">
        <v>3.7639999999999998</v>
      </c>
      <c r="AS78">
        <v>4.8578999999999997E-2</v>
      </c>
      <c r="AT78">
        <v>4.0270000000000002E-3</v>
      </c>
      <c r="AU78">
        <v>1.7100000000000001E-2</v>
      </c>
    </row>
    <row r="79" spans="1:47">
      <c r="A79" s="2" t="s">
        <v>129</v>
      </c>
      <c r="B79" s="2" t="s">
        <v>130</v>
      </c>
      <c r="C79">
        <v>9390.7000000000007</v>
      </c>
      <c r="D79">
        <v>553.48</v>
      </c>
      <c r="E79">
        <v>5197562.3099999996</v>
      </c>
      <c r="F79">
        <v>3.25</v>
      </c>
      <c r="G79">
        <v>90</v>
      </c>
      <c r="H79">
        <v>15</v>
      </c>
      <c r="I79" s="274">
        <v>108.25</v>
      </c>
      <c r="J79">
        <v>32116.97</v>
      </c>
      <c r="K79">
        <v>777249.79</v>
      </c>
      <c r="L79">
        <v>127930.41</v>
      </c>
      <c r="M79">
        <v>-257938</v>
      </c>
      <c r="N79">
        <v>902282.85</v>
      </c>
      <c r="O79" s="274">
        <v>69594.489999999991</v>
      </c>
      <c r="P79">
        <v>93926.88</v>
      </c>
      <c r="Q79">
        <v>54.75</v>
      </c>
      <c r="R79">
        <v>37.75</v>
      </c>
      <c r="S79">
        <v>28</v>
      </c>
      <c r="T79" s="274">
        <f t="shared" si="7"/>
        <v>120.5</v>
      </c>
      <c r="U79">
        <v>156927</v>
      </c>
      <c r="V79">
        <v>27.67</v>
      </c>
      <c r="W79">
        <v>15555.72</v>
      </c>
      <c r="X79">
        <v>26.59</v>
      </c>
      <c r="Y79">
        <v>1.1399999999999999</v>
      </c>
      <c r="Z79">
        <v>0</v>
      </c>
      <c r="AA79">
        <v>237273.12</v>
      </c>
      <c r="AB79">
        <v>10239.58</v>
      </c>
      <c r="AC79">
        <v>0</v>
      </c>
      <c r="AD79">
        <v>52061.49</v>
      </c>
      <c r="AE79">
        <v>358974.2</v>
      </c>
      <c r="AF79">
        <v>154187.62</v>
      </c>
      <c r="AG79">
        <v>302798.65999999997</v>
      </c>
      <c r="AH79">
        <v>1</v>
      </c>
      <c r="AI79">
        <v>68937</v>
      </c>
      <c r="AJ79">
        <v>67585</v>
      </c>
      <c r="AK79">
        <v>100321</v>
      </c>
      <c r="AL79">
        <v>102327</v>
      </c>
      <c r="AM79">
        <v>48483</v>
      </c>
      <c r="AN79">
        <v>49453</v>
      </c>
      <c r="AO79">
        <v>1</v>
      </c>
      <c r="AP79">
        <v>707164.73</v>
      </c>
      <c r="AQ79">
        <v>40458.589999999997</v>
      </c>
      <c r="AR79">
        <v>10.513999999999999</v>
      </c>
      <c r="AS79">
        <v>4.8578999999999997E-2</v>
      </c>
      <c r="AT79">
        <v>4.0270000000000002E-3</v>
      </c>
      <c r="AU79">
        <v>1.7100000000000001E-2</v>
      </c>
    </row>
    <row r="80" spans="1:47">
      <c r="A80" s="2" t="s">
        <v>131</v>
      </c>
      <c r="B80" s="2" t="s">
        <v>132</v>
      </c>
      <c r="C80">
        <v>8704.9</v>
      </c>
      <c r="D80">
        <v>1756.88</v>
      </c>
      <c r="E80">
        <v>15293467.48</v>
      </c>
      <c r="F80">
        <v>10.75</v>
      </c>
      <c r="G80">
        <v>142.75</v>
      </c>
      <c r="H80">
        <v>95.5</v>
      </c>
      <c r="I80" s="274">
        <v>249</v>
      </c>
      <c r="J80">
        <v>106474.75</v>
      </c>
      <c r="K80">
        <v>1235527.72</v>
      </c>
      <c r="L80">
        <v>816288.77</v>
      </c>
      <c r="M80">
        <v>0</v>
      </c>
      <c r="N80">
        <v>2051980.54</v>
      </c>
      <c r="O80" s="274">
        <v>228991.13</v>
      </c>
      <c r="P80">
        <v>437597.65</v>
      </c>
      <c r="Q80">
        <v>458.25</v>
      </c>
      <c r="R80">
        <v>291.5</v>
      </c>
      <c r="S80">
        <v>135</v>
      </c>
      <c r="T80" s="274">
        <f t="shared" si="7"/>
        <v>884.75</v>
      </c>
      <c r="U80">
        <v>1192410.33</v>
      </c>
      <c r="V80">
        <v>87.84</v>
      </c>
      <c r="W80">
        <v>49504.4</v>
      </c>
      <c r="X80">
        <v>89.68</v>
      </c>
      <c r="Y80">
        <v>29.34</v>
      </c>
      <c r="Z80">
        <v>0</v>
      </c>
      <c r="AA80">
        <v>800193.68</v>
      </c>
      <c r="AB80">
        <v>261366.1</v>
      </c>
      <c r="AC80">
        <v>0</v>
      </c>
      <c r="AD80">
        <v>105110.61</v>
      </c>
      <c r="AE80">
        <v>998654.67</v>
      </c>
      <c r="AF80">
        <v>494652.67</v>
      </c>
      <c r="AG80">
        <v>800973.37</v>
      </c>
      <c r="AH80">
        <v>1</v>
      </c>
      <c r="AI80">
        <v>68937</v>
      </c>
      <c r="AJ80">
        <v>67585</v>
      </c>
      <c r="AK80">
        <v>100321</v>
      </c>
      <c r="AL80">
        <v>102327</v>
      </c>
      <c r="AM80">
        <v>48483</v>
      </c>
      <c r="AN80">
        <v>49453</v>
      </c>
      <c r="AO80">
        <v>1</v>
      </c>
      <c r="AP80">
        <v>2216218.77</v>
      </c>
      <c r="AQ80">
        <v>121667.49</v>
      </c>
      <c r="AR80">
        <v>33.753</v>
      </c>
      <c r="AS80">
        <v>4.8578999999999997E-2</v>
      </c>
      <c r="AT80">
        <v>4.0270000000000002E-3</v>
      </c>
      <c r="AU80">
        <v>1.7100000000000001E-2</v>
      </c>
    </row>
    <row r="81" spans="1:47">
      <c r="A81" s="2" t="s">
        <v>133</v>
      </c>
      <c r="B81" s="2" t="s">
        <v>134</v>
      </c>
      <c r="C81">
        <v>9060.61</v>
      </c>
      <c r="D81">
        <v>8368.84</v>
      </c>
      <c r="E81">
        <v>75826792.230000004</v>
      </c>
      <c r="F81">
        <v>104</v>
      </c>
      <c r="G81">
        <v>750.75</v>
      </c>
      <c r="H81">
        <v>365</v>
      </c>
      <c r="I81" s="274">
        <v>1219.75</v>
      </c>
      <c r="J81">
        <v>1066922.8999999999</v>
      </c>
      <c r="K81">
        <v>6731386.4400000004</v>
      </c>
      <c r="L81">
        <v>3231967.76</v>
      </c>
      <c r="M81">
        <v>0</v>
      </c>
      <c r="N81">
        <v>9953337.9700000007</v>
      </c>
      <c r="O81" s="274">
        <v>1131284.48</v>
      </c>
      <c r="P81">
        <v>2269968.6800000002</v>
      </c>
      <c r="Q81">
        <v>653.25</v>
      </c>
      <c r="R81">
        <v>442.25</v>
      </c>
      <c r="S81">
        <v>303.75</v>
      </c>
      <c r="T81" s="274">
        <f t="shared" si="7"/>
        <v>1399.25</v>
      </c>
      <c r="U81">
        <v>1898588.22</v>
      </c>
      <c r="V81">
        <v>418.44</v>
      </c>
      <c r="W81">
        <v>243969.63</v>
      </c>
      <c r="X81">
        <v>416.27</v>
      </c>
      <c r="Y81">
        <v>33.65</v>
      </c>
      <c r="Z81">
        <v>210</v>
      </c>
      <c r="AA81">
        <v>3819642.66</v>
      </c>
      <c r="AB81">
        <v>308363.44</v>
      </c>
      <c r="AC81">
        <v>2186668.2799999998</v>
      </c>
      <c r="AD81">
        <v>504424.58</v>
      </c>
      <c r="AE81">
        <v>4261555.22</v>
      </c>
      <c r="AF81">
        <v>2237451.8199999998</v>
      </c>
      <c r="AG81">
        <v>3361494.63</v>
      </c>
      <c r="AH81">
        <v>1.04</v>
      </c>
      <c r="AI81">
        <v>68937</v>
      </c>
      <c r="AJ81">
        <v>67585</v>
      </c>
      <c r="AK81">
        <v>100321</v>
      </c>
      <c r="AL81">
        <v>102327</v>
      </c>
      <c r="AM81">
        <v>48483</v>
      </c>
      <c r="AN81">
        <v>49453</v>
      </c>
      <c r="AO81">
        <v>1</v>
      </c>
      <c r="AP81">
        <v>10032385.470000001</v>
      </c>
      <c r="AQ81">
        <v>583351.94999999995</v>
      </c>
      <c r="AR81">
        <v>172.255</v>
      </c>
      <c r="AS81">
        <v>4.8578999999999997E-2</v>
      </c>
      <c r="AT81">
        <v>4.0270000000000002E-3</v>
      </c>
      <c r="AU81">
        <v>1.7100000000000001E-2</v>
      </c>
    </row>
    <row r="82" spans="1:47">
      <c r="A82" s="2" t="s">
        <v>135</v>
      </c>
      <c r="B82" s="2" t="s">
        <v>136</v>
      </c>
      <c r="C82">
        <v>8877.4500000000007</v>
      </c>
      <c r="D82">
        <v>2582.81</v>
      </c>
      <c r="E82">
        <v>22928762.940000001</v>
      </c>
      <c r="F82">
        <v>21</v>
      </c>
      <c r="G82">
        <v>239.5</v>
      </c>
      <c r="H82">
        <v>92.5</v>
      </c>
      <c r="I82" s="274">
        <v>353</v>
      </c>
      <c r="J82">
        <v>211549.89</v>
      </c>
      <c r="K82">
        <v>2108701.39</v>
      </c>
      <c r="L82">
        <v>804296.83</v>
      </c>
      <c r="M82">
        <v>0</v>
      </c>
      <c r="N82">
        <v>2908263.56</v>
      </c>
      <c r="O82" s="274">
        <v>342547.16</v>
      </c>
      <c r="P82">
        <v>573756.29</v>
      </c>
      <c r="Q82">
        <v>224.75</v>
      </c>
      <c r="R82">
        <v>134.75</v>
      </c>
      <c r="S82">
        <v>61</v>
      </c>
      <c r="T82" s="274">
        <f t="shared" si="7"/>
        <v>420.5</v>
      </c>
      <c r="U82">
        <v>586075.18000000005</v>
      </c>
      <c r="V82">
        <v>0</v>
      </c>
      <c r="W82">
        <v>0</v>
      </c>
      <c r="X82">
        <v>205.02</v>
      </c>
      <c r="Y82">
        <v>40.92</v>
      </c>
      <c r="Z82">
        <v>0</v>
      </c>
      <c r="AA82">
        <v>1868063.17</v>
      </c>
      <c r="AB82">
        <v>372402.33</v>
      </c>
      <c r="AC82">
        <v>0</v>
      </c>
      <c r="AD82">
        <v>203596.01</v>
      </c>
      <c r="AE82">
        <v>1477797.17</v>
      </c>
      <c r="AF82">
        <v>520359.42</v>
      </c>
      <c r="AG82">
        <v>922248.21</v>
      </c>
      <c r="AH82">
        <v>1</v>
      </c>
      <c r="AI82">
        <v>68937</v>
      </c>
      <c r="AJ82">
        <v>67585</v>
      </c>
      <c r="AK82">
        <v>100321</v>
      </c>
      <c r="AL82">
        <v>102327</v>
      </c>
      <c r="AM82">
        <v>48483</v>
      </c>
      <c r="AN82">
        <v>49453</v>
      </c>
      <c r="AO82">
        <v>1</v>
      </c>
      <c r="AP82">
        <v>3187784.1</v>
      </c>
      <c r="AQ82">
        <v>180192.59</v>
      </c>
      <c r="AR82">
        <v>48.164999999999999</v>
      </c>
      <c r="AS82">
        <v>4.8578999999999997E-2</v>
      </c>
      <c r="AT82">
        <v>4.0270000000000002E-3</v>
      </c>
      <c r="AU82">
        <v>1.7100000000000001E-2</v>
      </c>
    </row>
    <row r="83" spans="1:47">
      <c r="A83" s="2" t="s">
        <v>137</v>
      </c>
      <c r="B83" s="2" t="s">
        <v>138</v>
      </c>
      <c r="C83">
        <v>18829.509999999998</v>
      </c>
      <c r="D83">
        <v>112.8</v>
      </c>
      <c r="E83">
        <v>2123968.29</v>
      </c>
      <c r="F83">
        <v>0</v>
      </c>
      <c r="G83">
        <v>14.5</v>
      </c>
      <c r="H83">
        <v>1</v>
      </c>
      <c r="I83" s="274">
        <v>15.5</v>
      </c>
      <c r="J83">
        <v>0</v>
      </c>
      <c r="K83">
        <v>129605.7</v>
      </c>
      <c r="L83">
        <v>8827.18</v>
      </c>
      <c r="M83">
        <v>-306.95</v>
      </c>
      <c r="N83">
        <v>137814.53</v>
      </c>
      <c r="O83" s="274">
        <v>15236.64</v>
      </c>
      <c r="P83">
        <v>15026.7</v>
      </c>
      <c r="Q83">
        <v>1</v>
      </c>
      <c r="R83">
        <v>1.25</v>
      </c>
      <c r="S83">
        <v>0.75</v>
      </c>
      <c r="T83" s="274">
        <f t="shared" si="7"/>
        <v>3</v>
      </c>
      <c r="U83">
        <v>0</v>
      </c>
      <c r="V83">
        <v>5.64</v>
      </c>
      <c r="W83">
        <v>3240.22</v>
      </c>
      <c r="X83">
        <v>10.56</v>
      </c>
      <c r="Y83">
        <v>3.05</v>
      </c>
      <c r="Z83">
        <v>0</v>
      </c>
      <c r="AA83">
        <v>96281.71</v>
      </c>
      <c r="AB83">
        <v>27748.47</v>
      </c>
      <c r="AC83">
        <v>0</v>
      </c>
      <c r="AD83">
        <v>24644.93</v>
      </c>
      <c r="AE83">
        <v>257766.02</v>
      </c>
      <c r="AF83">
        <v>39388.959999999999</v>
      </c>
      <c r="AG83">
        <v>49514.64</v>
      </c>
      <c r="AH83">
        <v>1</v>
      </c>
      <c r="AI83">
        <v>68937</v>
      </c>
      <c r="AJ83">
        <v>67585</v>
      </c>
      <c r="AK83">
        <v>100321</v>
      </c>
      <c r="AL83">
        <v>102327</v>
      </c>
      <c r="AM83">
        <v>48483</v>
      </c>
      <c r="AN83">
        <v>49453</v>
      </c>
      <c r="AO83">
        <v>1.04</v>
      </c>
      <c r="AP83">
        <v>230512.73</v>
      </c>
      <c r="AQ83">
        <v>18574.12</v>
      </c>
      <c r="AR83">
        <v>2.3639999999999999</v>
      </c>
      <c r="AS83">
        <v>4.8578999999999997E-2</v>
      </c>
      <c r="AT83">
        <v>4.0270000000000002E-3</v>
      </c>
      <c r="AU83">
        <v>1.7100000000000001E-2</v>
      </c>
    </row>
    <row r="84" spans="1:47">
      <c r="A84" s="2" t="s">
        <v>139</v>
      </c>
      <c r="B84" s="2" t="s">
        <v>140</v>
      </c>
      <c r="C84">
        <v>8628.31</v>
      </c>
      <c r="D84">
        <v>719.05</v>
      </c>
      <c r="E84">
        <v>6204186.0499999998</v>
      </c>
      <c r="F84">
        <v>2.5</v>
      </c>
      <c r="G84">
        <v>64.5</v>
      </c>
      <c r="H84">
        <v>38.75</v>
      </c>
      <c r="I84" s="274">
        <v>105.75</v>
      </c>
      <c r="J84">
        <v>24302.52</v>
      </c>
      <c r="K84">
        <v>547842.22</v>
      </c>
      <c r="L84">
        <v>325035.57</v>
      </c>
      <c r="M84">
        <v>-52275.41</v>
      </c>
      <c r="N84">
        <v>872777.41</v>
      </c>
      <c r="O84" s="274">
        <v>88583.44</v>
      </c>
      <c r="P84">
        <v>134195.5</v>
      </c>
      <c r="Q84">
        <v>0</v>
      </c>
      <c r="R84">
        <v>0</v>
      </c>
      <c r="S84">
        <v>0</v>
      </c>
      <c r="T84" s="274">
        <f t="shared" si="7"/>
        <v>0</v>
      </c>
      <c r="U84">
        <v>0</v>
      </c>
      <c r="V84">
        <v>35.950000000000003</v>
      </c>
      <c r="W84">
        <v>20251.8</v>
      </c>
      <c r="X84">
        <v>26.32</v>
      </c>
      <c r="Y84">
        <v>7.56</v>
      </c>
      <c r="Z84">
        <v>0</v>
      </c>
      <c r="AA84">
        <v>234845.21</v>
      </c>
      <c r="AB84">
        <v>67174.509999999995</v>
      </c>
      <c r="AC84">
        <v>0</v>
      </c>
      <c r="AD84">
        <v>148152.95000000001</v>
      </c>
      <c r="AE84">
        <v>483095.36</v>
      </c>
      <c r="AF84">
        <v>204768.19</v>
      </c>
      <c r="AG84">
        <v>328040.03000000003</v>
      </c>
      <c r="AH84">
        <v>1</v>
      </c>
      <c r="AI84">
        <v>68937</v>
      </c>
      <c r="AJ84">
        <v>67585</v>
      </c>
      <c r="AK84">
        <v>100321</v>
      </c>
      <c r="AL84">
        <v>102327</v>
      </c>
      <c r="AM84">
        <v>48483</v>
      </c>
      <c r="AN84">
        <v>49453</v>
      </c>
      <c r="AO84">
        <v>1</v>
      </c>
      <c r="AP84">
        <v>903728.42</v>
      </c>
      <c r="AQ84">
        <v>47922.81</v>
      </c>
      <c r="AR84">
        <v>12.089</v>
      </c>
      <c r="AS84">
        <v>4.8578999999999997E-2</v>
      </c>
      <c r="AT84">
        <v>4.0270000000000002E-3</v>
      </c>
      <c r="AU84">
        <v>1.7100000000000001E-2</v>
      </c>
    </row>
    <row r="85" spans="1:47">
      <c r="A85" s="2" t="s">
        <v>1102</v>
      </c>
      <c r="B85" s="2" t="s">
        <v>1103</v>
      </c>
      <c r="C85">
        <v>0</v>
      </c>
      <c r="D85">
        <v>0</v>
      </c>
      <c r="E85">
        <v>0</v>
      </c>
      <c r="F85">
        <v>0</v>
      </c>
      <c r="G85">
        <v>0</v>
      </c>
      <c r="H85">
        <v>0</v>
      </c>
      <c r="I85" s="274">
        <v>0</v>
      </c>
      <c r="J85">
        <v>0</v>
      </c>
      <c r="K85">
        <v>0</v>
      </c>
      <c r="L85">
        <v>0</v>
      </c>
      <c r="M85">
        <v>0</v>
      </c>
      <c r="N85">
        <v>0</v>
      </c>
      <c r="O85" s="274">
        <v>0</v>
      </c>
      <c r="P85">
        <v>0</v>
      </c>
      <c r="Q85">
        <v>0</v>
      </c>
      <c r="R85">
        <v>0</v>
      </c>
      <c r="S85">
        <v>0</v>
      </c>
      <c r="T85" s="274">
        <f t="shared" si="7"/>
        <v>0</v>
      </c>
      <c r="U85">
        <v>0</v>
      </c>
      <c r="V85">
        <v>0</v>
      </c>
      <c r="W85">
        <v>0</v>
      </c>
      <c r="X85">
        <v>0</v>
      </c>
      <c r="Y85">
        <v>0</v>
      </c>
      <c r="Z85">
        <v>0</v>
      </c>
      <c r="AA85">
        <v>0</v>
      </c>
      <c r="AB85">
        <v>0</v>
      </c>
      <c r="AC85">
        <v>0</v>
      </c>
      <c r="AD85">
        <v>0</v>
      </c>
      <c r="AE85">
        <v>0</v>
      </c>
      <c r="AF85">
        <v>0</v>
      </c>
      <c r="AG85">
        <v>0</v>
      </c>
      <c r="AH85">
        <v>0</v>
      </c>
      <c r="AI85">
        <v>0</v>
      </c>
      <c r="AJ85">
        <v>0</v>
      </c>
      <c r="AK85">
        <v>100321</v>
      </c>
      <c r="AL85">
        <v>102327</v>
      </c>
      <c r="AM85">
        <v>48483</v>
      </c>
      <c r="AN85">
        <v>49453</v>
      </c>
      <c r="AO85">
        <v>1</v>
      </c>
      <c r="AP85">
        <v>0</v>
      </c>
      <c r="AQ85">
        <v>0</v>
      </c>
      <c r="AR85">
        <v>0</v>
      </c>
      <c r="AS85">
        <v>4.8578999999999997E-2</v>
      </c>
      <c r="AT85">
        <v>4.0270000000000002E-3</v>
      </c>
      <c r="AU85">
        <v>1.7100000000000001E-2</v>
      </c>
    </row>
    <row r="86" spans="1:47">
      <c r="A86" s="2" t="s">
        <v>141</v>
      </c>
      <c r="B86" s="2" t="s">
        <v>142</v>
      </c>
      <c r="C86">
        <v>8761.82</v>
      </c>
      <c r="D86">
        <v>3115.65</v>
      </c>
      <c r="E86">
        <v>27298760.32</v>
      </c>
      <c r="F86">
        <v>40.5</v>
      </c>
      <c r="G86">
        <v>268.5</v>
      </c>
      <c r="H86">
        <v>212</v>
      </c>
      <c r="I86" s="274">
        <v>521</v>
      </c>
      <c r="J86">
        <v>400631.63</v>
      </c>
      <c r="K86">
        <v>2321019.7799999998</v>
      </c>
      <c r="L86">
        <v>1809816.59</v>
      </c>
      <c r="M86">
        <v>-521367.7</v>
      </c>
      <c r="N86">
        <v>4133193.73</v>
      </c>
      <c r="O86" s="274">
        <v>467347.39999999997</v>
      </c>
      <c r="P86">
        <v>941940.28</v>
      </c>
      <c r="Q86">
        <v>254</v>
      </c>
      <c r="R86">
        <v>151</v>
      </c>
      <c r="S86">
        <v>72</v>
      </c>
      <c r="T86" s="274">
        <f t="shared" si="7"/>
        <v>477</v>
      </c>
      <c r="U86">
        <v>639937.31999999995</v>
      </c>
      <c r="V86">
        <v>155.78</v>
      </c>
      <c r="W86">
        <v>87757.8</v>
      </c>
      <c r="X86">
        <v>264.47000000000003</v>
      </c>
      <c r="Y86">
        <v>60.32</v>
      </c>
      <c r="Z86">
        <v>21.12</v>
      </c>
      <c r="AA86">
        <v>2359819.7400000002</v>
      </c>
      <c r="AB86">
        <v>537589.69999999995</v>
      </c>
      <c r="AC86">
        <v>213628.62</v>
      </c>
      <c r="AD86">
        <v>186540.91</v>
      </c>
      <c r="AE86">
        <v>1173628.98</v>
      </c>
      <c r="AF86">
        <v>876501.81</v>
      </c>
      <c r="AG86">
        <v>1395515.35</v>
      </c>
      <c r="AH86">
        <v>1</v>
      </c>
      <c r="AI86">
        <v>68937</v>
      </c>
      <c r="AJ86">
        <v>67585</v>
      </c>
      <c r="AK86">
        <v>100321</v>
      </c>
      <c r="AL86">
        <v>102327</v>
      </c>
      <c r="AM86">
        <v>48483</v>
      </c>
      <c r="AN86">
        <v>49453</v>
      </c>
      <c r="AO86">
        <v>1</v>
      </c>
      <c r="AP86">
        <v>3649862.22</v>
      </c>
      <c r="AQ86">
        <v>200169.52</v>
      </c>
      <c r="AR86">
        <v>57.292999999999999</v>
      </c>
      <c r="AS86">
        <v>4.8578999999999997E-2</v>
      </c>
      <c r="AT86">
        <v>4.0270000000000002E-3</v>
      </c>
      <c r="AU86">
        <v>1.7100000000000001E-2</v>
      </c>
    </row>
    <row r="87" spans="1:47">
      <c r="A87" s="2" t="s">
        <v>143</v>
      </c>
      <c r="B87" s="2" t="s">
        <v>144</v>
      </c>
      <c r="C87">
        <v>8762.6200000000008</v>
      </c>
      <c r="D87">
        <v>1569.03</v>
      </c>
      <c r="E87">
        <v>13748809.6</v>
      </c>
      <c r="F87">
        <v>9.25</v>
      </c>
      <c r="G87">
        <v>190.75</v>
      </c>
      <c r="H87">
        <v>45.25</v>
      </c>
      <c r="I87" s="274">
        <v>245.25</v>
      </c>
      <c r="J87">
        <v>91551.43</v>
      </c>
      <c r="K87">
        <v>1649933.82</v>
      </c>
      <c r="L87">
        <v>386531.73</v>
      </c>
      <c r="M87">
        <v>-203646.56</v>
      </c>
      <c r="N87">
        <v>2031129.28</v>
      </c>
      <c r="O87" s="274">
        <v>216888.5</v>
      </c>
      <c r="P87">
        <v>369107.9</v>
      </c>
      <c r="Q87">
        <v>71</v>
      </c>
      <c r="R87">
        <v>27.25</v>
      </c>
      <c r="S87">
        <v>11.75</v>
      </c>
      <c r="T87" s="274">
        <f t="shared" si="7"/>
        <v>110</v>
      </c>
      <c r="U87">
        <v>145969.48000000001</v>
      </c>
      <c r="V87">
        <v>78.45</v>
      </c>
      <c r="W87">
        <v>44221.33</v>
      </c>
      <c r="X87">
        <v>126.88</v>
      </c>
      <c r="Y87">
        <v>16.989999999999998</v>
      </c>
      <c r="Z87">
        <v>0</v>
      </c>
      <c r="AA87">
        <v>1132225.81</v>
      </c>
      <c r="AB87">
        <v>151335.23000000001</v>
      </c>
      <c r="AC87">
        <v>0</v>
      </c>
      <c r="AD87">
        <v>120440</v>
      </c>
      <c r="AE87">
        <v>1034076.54</v>
      </c>
      <c r="AF87">
        <v>455812.25</v>
      </c>
      <c r="AG87">
        <v>679951.74</v>
      </c>
      <c r="AH87">
        <v>1</v>
      </c>
      <c r="AI87">
        <v>68937</v>
      </c>
      <c r="AJ87">
        <v>67585</v>
      </c>
      <c r="AK87">
        <v>0</v>
      </c>
      <c r="AL87">
        <v>0</v>
      </c>
      <c r="AM87">
        <v>0</v>
      </c>
      <c r="AN87">
        <v>0</v>
      </c>
      <c r="AO87">
        <v>0</v>
      </c>
      <c r="AP87">
        <v>1776483.21</v>
      </c>
      <c r="AQ87">
        <v>98009.72</v>
      </c>
      <c r="AR87">
        <v>28.59</v>
      </c>
      <c r="AS87">
        <v>4.8578999999999997E-2</v>
      </c>
      <c r="AT87">
        <v>4.0270000000000002E-3</v>
      </c>
      <c r="AU87">
        <v>1.7100000000000001E-2</v>
      </c>
    </row>
    <row r="88" spans="1:47">
      <c r="A88" s="2" t="s">
        <v>145</v>
      </c>
      <c r="B88" s="2" t="s">
        <v>146</v>
      </c>
      <c r="C88">
        <v>9340.02</v>
      </c>
      <c r="D88">
        <v>724.34</v>
      </c>
      <c r="E88">
        <v>6765353.1299999999</v>
      </c>
      <c r="F88">
        <v>3.25</v>
      </c>
      <c r="G88">
        <v>90</v>
      </c>
      <c r="H88">
        <v>33.5</v>
      </c>
      <c r="I88" s="274">
        <v>126.75</v>
      </c>
      <c r="J88">
        <v>32641.34</v>
      </c>
      <c r="K88">
        <v>790015.59</v>
      </c>
      <c r="L88">
        <v>290404.21999999997</v>
      </c>
      <c r="M88">
        <v>-224955.44</v>
      </c>
      <c r="N88">
        <v>1078583.55</v>
      </c>
      <c r="O88" s="274">
        <v>96149.98000000001</v>
      </c>
      <c r="P88">
        <v>169099.96</v>
      </c>
      <c r="Q88">
        <v>13.75</v>
      </c>
      <c r="R88">
        <v>4</v>
      </c>
      <c r="S88">
        <v>6</v>
      </c>
      <c r="T88" s="274">
        <f t="shared" si="7"/>
        <v>23.75</v>
      </c>
      <c r="U88">
        <v>28861.25</v>
      </c>
      <c r="V88">
        <v>36.22</v>
      </c>
      <c r="W88">
        <v>20447.47</v>
      </c>
      <c r="X88">
        <v>24.34</v>
      </c>
      <c r="Y88">
        <v>14.74</v>
      </c>
      <c r="Z88">
        <v>0</v>
      </c>
      <c r="AA88">
        <v>217192.39</v>
      </c>
      <c r="AB88">
        <v>131177.23000000001</v>
      </c>
      <c r="AC88">
        <v>0</v>
      </c>
      <c r="AD88">
        <v>72209.33</v>
      </c>
      <c r="AE88">
        <v>593198.63</v>
      </c>
      <c r="AF88">
        <v>211029.64</v>
      </c>
      <c r="AG88">
        <v>336258.15</v>
      </c>
      <c r="AH88">
        <v>1</v>
      </c>
      <c r="AI88">
        <v>68937</v>
      </c>
      <c r="AJ88">
        <v>67585</v>
      </c>
      <c r="AK88">
        <v>100321</v>
      </c>
      <c r="AL88">
        <v>102327</v>
      </c>
      <c r="AM88">
        <v>48483</v>
      </c>
      <c r="AN88">
        <v>49453</v>
      </c>
      <c r="AO88">
        <v>1</v>
      </c>
      <c r="AP88">
        <v>967140.21</v>
      </c>
      <c r="AQ88">
        <v>56242.58</v>
      </c>
      <c r="AR88">
        <v>16.472999999999999</v>
      </c>
      <c r="AS88">
        <v>4.8578999999999997E-2</v>
      </c>
      <c r="AT88">
        <v>4.0270000000000002E-3</v>
      </c>
      <c r="AU88">
        <v>1.7100000000000001E-2</v>
      </c>
    </row>
    <row r="89" spans="1:47">
      <c r="A89" s="2" t="s">
        <v>147</v>
      </c>
      <c r="B89" s="2" t="s">
        <v>148</v>
      </c>
      <c r="C89">
        <v>8865.36</v>
      </c>
      <c r="D89">
        <v>291.75</v>
      </c>
      <c r="E89">
        <v>2586467.87</v>
      </c>
      <c r="F89">
        <v>4</v>
      </c>
      <c r="G89">
        <v>51.5</v>
      </c>
      <c r="H89">
        <v>10</v>
      </c>
      <c r="I89" s="274">
        <v>65.5</v>
      </c>
      <c r="J89">
        <v>40773.85</v>
      </c>
      <c r="K89">
        <v>458778.95</v>
      </c>
      <c r="L89">
        <v>87975.31</v>
      </c>
      <c r="M89">
        <v>-196603.29</v>
      </c>
      <c r="N89">
        <v>545128.62</v>
      </c>
      <c r="O89" s="274">
        <v>46408.86</v>
      </c>
      <c r="P89">
        <v>84864.68</v>
      </c>
      <c r="Q89">
        <v>2.25</v>
      </c>
      <c r="R89">
        <v>0</v>
      </c>
      <c r="S89">
        <v>0</v>
      </c>
      <c r="T89" s="274">
        <f t="shared" si="7"/>
        <v>2.25</v>
      </c>
      <c r="U89">
        <v>2837.2</v>
      </c>
      <c r="V89">
        <v>14.59</v>
      </c>
      <c r="W89">
        <v>8218.1200000000008</v>
      </c>
      <c r="X89">
        <v>0</v>
      </c>
      <c r="Y89">
        <v>0</v>
      </c>
      <c r="Z89">
        <v>0</v>
      </c>
      <c r="AA89">
        <v>0</v>
      </c>
      <c r="AB89">
        <v>0</v>
      </c>
      <c r="AC89">
        <v>0</v>
      </c>
      <c r="AD89">
        <v>25665.49</v>
      </c>
      <c r="AE89">
        <v>213596.03</v>
      </c>
      <c r="AF89">
        <v>82376.89</v>
      </c>
      <c r="AG89">
        <v>91964.69</v>
      </c>
      <c r="AH89">
        <v>1</v>
      </c>
      <c r="AI89">
        <v>68937</v>
      </c>
      <c r="AJ89">
        <v>67585</v>
      </c>
      <c r="AK89">
        <v>100321</v>
      </c>
      <c r="AL89">
        <v>102327</v>
      </c>
      <c r="AM89">
        <v>48483</v>
      </c>
      <c r="AN89">
        <v>49453</v>
      </c>
      <c r="AO89">
        <v>1</v>
      </c>
      <c r="AP89">
        <v>390982.95</v>
      </c>
      <c r="AQ89">
        <v>23270.67</v>
      </c>
      <c r="AR89">
        <v>8.5210000000000008</v>
      </c>
      <c r="AS89">
        <v>4.8578999999999997E-2</v>
      </c>
      <c r="AT89">
        <v>4.0270000000000002E-3</v>
      </c>
      <c r="AU89">
        <v>1.7100000000000001E-2</v>
      </c>
    </row>
    <row r="90" spans="1:47">
      <c r="A90" s="2" t="s">
        <v>149</v>
      </c>
      <c r="B90" s="2" t="s">
        <v>150</v>
      </c>
      <c r="C90">
        <v>8922.34</v>
      </c>
      <c r="D90">
        <v>1355.76</v>
      </c>
      <c r="E90">
        <v>12096551.66</v>
      </c>
      <c r="F90">
        <v>24.25</v>
      </c>
      <c r="G90">
        <v>102.25</v>
      </c>
      <c r="H90">
        <v>87.75</v>
      </c>
      <c r="I90" s="274">
        <v>214.25</v>
      </c>
      <c r="J90">
        <v>244404.66</v>
      </c>
      <c r="K90">
        <v>900697.72</v>
      </c>
      <c r="L90">
        <v>763357.45</v>
      </c>
      <c r="M90">
        <v>-60575.88</v>
      </c>
      <c r="N90">
        <v>1691442.35</v>
      </c>
      <c r="O90" s="274">
        <v>196932.8</v>
      </c>
      <c r="P90">
        <v>400218.05</v>
      </c>
      <c r="Q90">
        <v>15</v>
      </c>
      <c r="R90">
        <v>9</v>
      </c>
      <c r="S90">
        <v>8</v>
      </c>
      <c r="T90" s="274">
        <f t="shared" si="7"/>
        <v>32</v>
      </c>
      <c r="U90">
        <v>42325.4</v>
      </c>
      <c r="V90">
        <v>67.790000000000006</v>
      </c>
      <c r="W90">
        <v>39490.21</v>
      </c>
      <c r="X90">
        <v>146.30000000000001</v>
      </c>
      <c r="Y90">
        <v>21.92</v>
      </c>
      <c r="Z90">
        <v>0</v>
      </c>
      <c r="AA90">
        <v>1333093.32</v>
      </c>
      <c r="AB90">
        <v>199324.17</v>
      </c>
      <c r="AC90">
        <v>0</v>
      </c>
      <c r="AD90">
        <v>102507.7</v>
      </c>
      <c r="AE90">
        <v>596558.30000000005</v>
      </c>
      <c r="AF90">
        <v>0</v>
      </c>
      <c r="AG90">
        <v>297695.40999999997</v>
      </c>
      <c r="AH90">
        <v>1</v>
      </c>
      <c r="AI90">
        <v>68937</v>
      </c>
      <c r="AJ90">
        <v>67585</v>
      </c>
      <c r="AK90">
        <v>100321</v>
      </c>
      <c r="AL90">
        <v>102327</v>
      </c>
      <c r="AM90">
        <v>48483</v>
      </c>
      <c r="AN90">
        <v>49453</v>
      </c>
      <c r="AO90">
        <v>1</v>
      </c>
      <c r="AP90">
        <v>1575986.1</v>
      </c>
      <c r="AQ90">
        <v>89951.89</v>
      </c>
      <c r="AR90">
        <v>24.539000000000001</v>
      </c>
      <c r="AS90">
        <v>4.8578999999999997E-2</v>
      </c>
      <c r="AT90">
        <v>4.0270000000000002E-3</v>
      </c>
      <c r="AU90">
        <v>1.7100000000000001E-2</v>
      </c>
    </row>
    <row r="91" spans="1:47">
      <c r="A91" s="2" t="s">
        <v>151</v>
      </c>
      <c r="B91" s="2" t="s">
        <v>152</v>
      </c>
      <c r="C91">
        <v>9021.25</v>
      </c>
      <c r="D91">
        <v>1559.33</v>
      </c>
      <c r="E91">
        <v>14067103.529999999</v>
      </c>
      <c r="F91">
        <v>15.25</v>
      </c>
      <c r="G91">
        <v>116</v>
      </c>
      <c r="H91">
        <v>152.25</v>
      </c>
      <c r="I91" s="274">
        <v>283.5</v>
      </c>
      <c r="J91">
        <v>154251.07999999999</v>
      </c>
      <c r="K91">
        <v>1025619.37</v>
      </c>
      <c r="L91">
        <v>1329386.48</v>
      </c>
      <c r="M91">
        <v>-496877.33</v>
      </c>
      <c r="N91">
        <v>2359392.88</v>
      </c>
      <c r="O91" s="274">
        <v>234759.38</v>
      </c>
      <c r="P91">
        <v>629871.06000000006</v>
      </c>
      <c r="Q91">
        <v>81.25</v>
      </c>
      <c r="R91">
        <v>40.25</v>
      </c>
      <c r="S91">
        <v>19</v>
      </c>
      <c r="T91" s="274">
        <f t="shared" si="7"/>
        <v>140.5</v>
      </c>
      <c r="U91">
        <v>193907.04</v>
      </c>
      <c r="V91">
        <v>77.97</v>
      </c>
      <c r="W91">
        <v>45464.36</v>
      </c>
      <c r="X91">
        <v>191.86</v>
      </c>
      <c r="Y91">
        <v>69.92</v>
      </c>
      <c r="Z91">
        <v>0</v>
      </c>
      <c r="AA91">
        <v>1748221.02</v>
      </c>
      <c r="AB91">
        <v>636240.76</v>
      </c>
      <c r="AC91">
        <v>0</v>
      </c>
      <c r="AD91">
        <v>126660.74</v>
      </c>
      <c r="AE91">
        <v>958656.68</v>
      </c>
      <c r="AF91">
        <v>445328.02</v>
      </c>
      <c r="AG91">
        <v>693610.04</v>
      </c>
      <c r="AH91">
        <v>1</v>
      </c>
      <c r="AI91">
        <v>68937</v>
      </c>
      <c r="AJ91">
        <v>67585</v>
      </c>
      <c r="AK91">
        <v>100321</v>
      </c>
      <c r="AL91">
        <v>102327</v>
      </c>
      <c r="AM91">
        <v>48483</v>
      </c>
      <c r="AN91">
        <v>49453</v>
      </c>
      <c r="AO91">
        <v>1</v>
      </c>
      <c r="AP91">
        <v>1630872.84</v>
      </c>
      <c r="AQ91">
        <v>94368.61</v>
      </c>
      <c r="AR91">
        <v>28.526</v>
      </c>
      <c r="AS91">
        <v>4.8578999999999997E-2</v>
      </c>
      <c r="AT91">
        <v>4.0270000000000002E-3</v>
      </c>
      <c r="AU91">
        <v>1.7100000000000001E-2</v>
      </c>
    </row>
    <row r="92" spans="1:47">
      <c r="A92" s="2" t="s">
        <v>153</v>
      </c>
      <c r="B92" s="2" t="s">
        <v>154</v>
      </c>
      <c r="C92">
        <v>14086.79</v>
      </c>
      <c r="D92">
        <v>158.77000000000001</v>
      </c>
      <c r="E92">
        <v>2236560.12</v>
      </c>
      <c r="F92">
        <v>1</v>
      </c>
      <c r="G92">
        <v>38.75</v>
      </c>
      <c r="H92">
        <v>3</v>
      </c>
      <c r="I92" s="274">
        <v>42.75</v>
      </c>
      <c r="J92">
        <v>9830.66</v>
      </c>
      <c r="K92">
        <v>332873.84999999998</v>
      </c>
      <c r="L92">
        <v>25450.31</v>
      </c>
      <c r="M92">
        <v>-174393.51</v>
      </c>
      <c r="N92">
        <v>356895.7</v>
      </c>
      <c r="O92" s="274">
        <v>23338.92</v>
      </c>
      <c r="P92">
        <v>43938.16</v>
      </c>
      <c r="Q92">
        <v>0</v>
      </c>
      <c r="R92">
        <v>0</v>
      </c>
      <c r="S92">
        <v>0</v>
      </c>
      <c r="T92" s="274">
        <f t="shared" si="7"/>
        <v>0</v>
      </c>
      <c r="U92">
        <v>0</v>
      </c>
      <c r="V92">
        <v>0</v>
      </c>
      <c r="W92">
        <v>0</v>
      </c>
      <c r="X92">
        <v>3.58</v>
      </c>
      <c r="Y92">
        <v>0</v>
      </c>
      <c r="Z92">
        <v>0</v>
      </c>
      <c r="AA92">
        <v>31936.26</v>
      </c>
      <c r="AB92">
        <v>0</v>
      </c>
      <c r="AC92">
        <v>0</v>
      </c>
      <c r="AD92">
        <v>16884.29</v>
      </c>
      <c r="AE92">
        <v>111787.98</v>
      </c>
      <c r="AF92">
        <v>48036.88</v>
      </c>
      <c r="AG92">
        <v>80909.350000000006</v>
      </c>
      <c r="AH92">
        <v>1</v>
      </c>
      <c r="AI92">
        <v>68937</v>
      </c>
      <c r="AJ92">
        <v>67585</v>
      </c>
      <c r="AK92">
        <v>100321</v>
      </c>
      <c r="AL92">
        <v>102327</v>
      </c>
      <c r="AM92">
        <v>48483</v>
      </c>
      <c r="AN92">
        <v>49453</v>
      </c>
      <c r="AO92">
        <v>1</v>
      </c>
      <c r="AP92">
        <v>297421.37</v>
      </c>
      <c r="AQ92">
        <v>20099.560000000001</v>
      </c>
      <c r="AR92">
        <v>2.6360000000000001</v>
      </c>
      <c r="AS92">
        <v>4.8578999999999997E-2</v>
      </c>
      <c r="AT92">
        <v>4.0270000000000002E-3</v>
      </c>
      <c r="AU92">
        <v>1.7100000000000001E-2</v>
      </c>
    </row>
    <row r="93" spans="1:47">
      <c r="A93" s="2" t="s">
        <v>155</v>
      </c>
      <c r="B93" s="2" t="s">
        <v>156</v>
      </c>
      <c r="C93">
        <v>14171.78</v>
      </c>
      <c r="D93">
        <v>174.77</v>
      </c>
      <c r="E93">
        <v>2476801.54</v>
      </c>
      <c r="F93">
        <v>1</v>
      </c>
      <c r="G93">
        <v>17</v>
      </c>
      <c r="H93">
        <v>15.5</v>
      </c>
      <c r="I93" s="274">
        <v>33.5</v>
      </c>
      <c r="J93">
        <v>9877.68</v>
      </c>
      <c r="K93">
        <v>146758.44</v>
      </c>
      <c r="L93">
        <v>132145</v>
      </c>
      <c r="M93">
        <v>-30866.78</v>
      </c>
      <c r="N93">
        <v>279151.93</v>
      </c>
      <c r="O93" s="274">
        <v>0</v>
      </c>
      <c r="P93">
        <v>49432.7</v>
      </c>
      <c r="Q93">
        <v>27</v>
      </c>
      <c r="R93">
        <v>21</v>
      </c>
      <c r="S93">
        <v>3</v>
      </c>
      <c r="T93" s="274">
        <f t="shared" si="7"/>
        <v>51</v>
      </c>
      <c r="U93">
        <v>73180.41</v>
      </c>
      <c r="V93">
        <v>0</v>
      </c>
      <c r="W93">
        <v>0</v>
      </c>
      <c r="X93">
        <v>5</v>
      </c>
      <c r="Y93">
        <v>0</v>
      </c>
      <c r="Z93">
        <v>0</v>
      </c>
      <c r="AA93">
        <v>44542.95</v>
      </c>
      <c r="AB93">
        <v>0</v>
      </c>
      <c r="AC93">
        <v>0</v>
      </c>
      <c r="AD93">
        <v>42167.93</v>
      </c>
      <c r="AE93">
        <v>210378.84</v>
      </c>
      <c r="AF93">
        <v>51852.42</v>
      </c>
      <c r="AG93">
        <v>112412.15</v>
      </c>
      <c r="AH93">
        <v>1</v>
      </c>
      <c r="AI93">
        <v>68937</v>
      </c>
      <c r="AJ93">
        <v>67585</v>
      </c>
      <c r="AK93">
        <v>100321</v>
      </c>
      <c r="AL93">
        <v>102327</v>
      </c>
      <c r="AM93">
        <v>48483</v>
      </c>
      <c r="AN93">
        <v>49453</v>
      </c>
      <c r="AO93">
        <v>1</v>
      </c>
      <c r="AP93">
        <v>311730.71000000002</v>
      </c>
      <c r="AQ93">
        <v>21659.16</v>
      </c>
      <c r="AR93">
        <v>3.411</v>
      </c>
      <c r="AS93">
        <v>4.8578999999999997E-2</v>
      </c>
      <c r="AT93">
        <v>4.0270000000000002E-3</v>
      </c>
      <c r="AU93">
        <v>1.7100000000000001E-2</v>
      </c>
    </row>
    <row r="94" spans="1:47">
      <c r="A94" s="2" t="s">
        <v>157</v>
      </c>
      <c r="B94" s="2" t="s">
        <v>158</v>
      </c>
      <c r="C94">
        <v>10057.08</v>
      </c>
      <c r="D94">
        <v>163.80000000000001</v>
      </c>
      <c r="E94">
        <v>1647349.9</v>
      </c>
      <c r="F94">
        <v>0</v>
      </c>
      <c r="G94">
        <v>15</v>
      </c>
      <c r="H94">
        <v>8</v>
      </c>
      <c r="I94" s="274">
        <v>23</v>
      </c>
      <c r="J94">
        <v>0</v>
      </c>
      <c r="K94">
        <v>141790.85999999999</v>
      </c>
      <c r="L94">
        <v>74681.47</v>
      </c>
      <c r="M94">
        <v>-8325.86</v>
      </c>
      <c r="N94">
        <v>216274.52</v>
      </c>
      <c r="O94" s="274">
        <v>23113.77</v>
      </c>
      <c r="P94">
        <v>43440.77</v>
      </c>
      <c r="Q94">
        <v>2</v>
      </c>
      <c r="R94">
        <v>0</v>
      </c>
      <c r="S94">
        <v>1</v>
      </c>
      <c r="T94" s="274">
        <f t="shared" si="7"/>
        <v>3</v>
      </c>
      <c r="U94">
        <v>3228.55</v>
      </c>
      <c r="V94">
        <v>8.19</v>
      </c>
      <c r="W94">
        <v>4598.2299999999996</v>
      </c>
      <c r="X94">
        <v>0</v>
      </c>
      <c r="Y94">
        <v>0</v>
      </c>
      <c r="Z94">
        <v>0</v>
      </c>
      <c r="AA94">
        <v>0</v>
      </c>
      <c r="AB94">
        <v>0</v>
      </c>
      <c r="AC94">
        <v>0</v>
      </c>
      <c r="AD94">
        <v>7393.66</v>
      </c>
      <c r="AE94">
        <v>55973.81</v>
      </c>
      <c r="AF94">
        <v>0</v>
      </c>
      <c r="AG94">
        <v>41579.79</v>
      </c>
      <c r="AH94">
        <v>1</v>
      </c>
      <c r="AI94">
        <v>68937</v>
      </c>
      <c r="AJ94">
        <v>67585</v>
      </c>
      <c r="AK94">
        <v>100321</v>
      </c>
      <c r="AL94">
        <v>102327</v>
      </c>
      <c r="AM94">
        <v>48483</v>
      </c>
      <c r="AN94">
        <v>49453</v>
      </c>
      <c r="AO94">
        <v>1</v>
      </c>
      <c r="AP94">
        <v>225706.69</v>
      </c>
      <c r="AQ94">
        <v>14953.7</v>
      </c>
      <c r="AR94">
        <v>7.093</v>
      </c>
      <c r="AS94">
        <v>4.8578999999999997E-2</v>
      </c>
      <c r="AT94">
        <v>4.0270000000000002E-3</v>
      </c>
      <c r="AU94">
        <v>1.7100000000000001E-2</v>
      </c>
    </row>
    <row r="95" spans="1:47">
      <c r="A95" s="2" t="s">
        <v>159</v>
      </c>
      <c r="B95" s="2" t="s">
        <v>160</v>
      </c>
      <c r="C95">
        <v>11222.36</v>
      </c>
      <c r="D95">
        <v>54</v>
      </c>
      <c r="E95">
        <v>606007.63</v>
      </c>
      <c r="F95">
        <v>0</v>
      </c>
      <c r="G95">
        <v>9.5</v>
      </c>
      <c r="H95">
        <v>0</v>
      </c>
      <c r="I95" s="274">
        <v>9.5</v>
      </c>
      <c r="J95">
        <v>0</v>
      </c>
      <c r="K95">
        <v>87773.86</v>
      </c>
      <c r="L95">
        <v>0</v>
      </c>
      <c r="M95">
        <v>-20409.04</v>
      </c>
      <c r="N95">
        <v>87303.96</v>
      </c>
      <c r="O95" s="274">
        <v>7329.35</v>
      </c>
      <c r="P95">
        <v>5486.5</v>
      </c>
      <c r="Q95">
        <v>0</v>
      </c>
      <c r="R95">
        <v>0</v>
      </c>
      <c r="S95">
        <v>0</v>
      </c>
      <c r="T95" s="274">
        <f t="shared" si="7"/>
        <v>0</v>
      </c>
      <c r="U95">
        <v>0</v>
      </c>
      <c r="V95">
        <v>0</v>
      </c>
      <c r="W95">
        <v>0</v>
      </c>
      <c r="X95">
        <v>0</v>
      </c>
      <c r="Y95">
        <v>0</v>
      </c>
      <c r="Z95">
        <v>0</v>
      </c>
      <c r="AA95">
        <v>0</v>
      </c>
      <c r="AB95">
        <v>0</v>
      </c>
      <c r="AC95">
        <v>0</v>
      </c>
      <c r="AD95">
        <v>0</v>
      </c>
      <c r="AE95">
        <v>0</v>
      </c>
      <c r="AF95">
        <v>14479.55</v>
      </c>
      <c r="AG95">
        <v>15751.41</v>
      </c>
      <c r="AH95">
        <v>1</v>
      </c>
      <c r="AI95">
        <v>68937</v>
      </c>
      <c r="AJ95">
        <v>67585</v>
      </c>
      <c r="AK95">
        <v>100321</v>
      </c>
      <c r="AL95">
        <v>102327</v>
      </c>
      <c r="AM95">
        <v>48483</v>
      </c>
      <c r="AN95">
        <v>49453</v>
      </c>
      <c r="AO95">
        <v>1</v>
      </c>
      <c r="AP95">
        <v>78733.84</v>
      </c>
      <c r="AQ95">
        <v>5244.03</v>
      </c>
      <c r="AR95">
        <v>2.0379999999999998</v>
      </c>
      <c r="AS95">
        <v>4.8578999999999997E-2</v>
      </c>
      <c r="AT95">
        <v>4.0270000000000002E-3</v>
      </c>
      <c r="AU95">
        <v>1.7100000000000001E-2</v>
      </c>
    </row>
    <row r="96" spans="1:47">
      <c r="A96" s="2" t="s">
        <v>161</v>
      </c>
      <c r="B96" s="2" t="s">
        <v>162</v>
      </c>
      <c r="C96">
        <v>15144.82</v>
      </c>
      <c r="D96">
        <v>156.47999999999999</v>
      </c>
      <c r="E96">
        <v>2369861.23</v>
      </c>
      <c r="F96">
        <v>0</v>
      </c>
      <c r="G96">
        <v>15.5</v>
      </c>
      <c r="H96">
        <v>3</v>
      </c>
      <c r="I96" s="274">
        <v>18.5</v>
      </c>
      <c r="J96">
        <v>0</v>
      </c>
      <c r="K96">
        <v>135147.66</v>
      </c>
      <c r="L96">
        <v>25832.29</v>
      </c>
      <c r="M96">
        <v>0</v>
      </c>
      <c r="N96">
        <v>160491.01999999999</v>
      </c>
      <c r="O96" s="274">
        <v>15604.55</v>
      </c>
      <c r="P96">
        <v>19351.79</v>
      </c>
      <c r="Q96">
        <v>0</v>
      </c>
      <c r="R96">
        <v>0</v>
      </c>
      <c r="S96">
        <v>0</v>
      </c>
      <c r="T96" s="274">
        <f t="shared" si="7"/>
        <v>0</v>
      </c>
      <c r="U96">
        <v>0</v>
      </c>
      <c r="V96">
        <v>0</v>
      </c>
      <c r="W96">
        <v>0</v>
      </c>
      <c r="X96">
        <v>6.81</v>
      </c>
      <c r="Y96">
        <v>4.26</v>
      </c>
      <c r="Z96">
        <v>0</v>
      </c>
      <c r="AA96">
        <v>60825.56</v>
      </c>
      <c r="AB96">
        <v>37995.15</v>
      </c>
      <c r="AC96">
        <v>0</v>
      </c>
      <c r="AD96">
        <v>14322.46</v>
      </c>
      <c r="AE96">
        <v>87052.23</v>
      </c>
      <c r="AF96">
        <v>42362.46</v>
      </c>
      <c r="AG96">
        <v>56939.839999999997</v>
      </c>
      <c r="AH96">
        <v>1</v>
      </c>
      <c r="AI96">
        <v>68937</v>
      </c>
      <c r="AJ96">
        <v>67585</v>
      </c>
      <c r="AK96">
        <v>100321</v>
      </c>
      <c r="AL96">
        <v>102327</v>
      </c>
      <c r="AM96">
        <v>48483</v>
      </c>
      <c r="AN96">
        <v>49453</v>
      </c>
      <c r="AO96">
        <v>1</v>
      </c>
      <c r="AP96">
        <v>290830.39</v>
      </c>
      <c r="AQ96">
        <v>20827.47</v>
      </c>
      <c r="AR96">
        <v>3.2879999999999998</v>
      </c>
      <c r="AS96">
        <v>4.8578999999999997E-2</v>
      </c>
      <c r="AT96">
        <v>4.0270000000000002E-3</v>
      </c>
      <c r="AU96">
        <v>1.7100000000000001E-2</v>
      </c>
    </row>
    <row r="97" spans="1:47">
      <c r="A97" s="2" t="s">
        <v>163</v>
      </c>
      <c r="B97" s="2" t="s">
        <v>164</v>
      </c>
      <c r="C97">
        <v>9577.9</v>
      </c>
      <c r="D97">
        <v>568.65</v>
      </c>
      <c r="E97">
        <v>5446473.9500000002</v>
      </c>
      <c r="F97">
        <v>4</v>
      </c>
      <c r="G97">
        <v>57.5</v>
      </c>
      <c r="H97">
        <v>9.75</v>
      </c>
      <c r="I97" s="274">
        <v>71.25</v>
      </c>
      <c r="J97">
        <v>39854.17</v>
      </c>
      <c r="K97">
        <v>500665.13</v>
      </c>
      <c r="L97">
        <v>83839.47</v>
      </c>
      <c r="M97">
        <v>0</v>
      </c>
      <c r="N97">
        <v>582650.64</v>
      </c>
      <c r="O97" s="274">
        <v>70291.320000000007</v>
      </c>
      <c r="P97">
        <v>91167.05</v>
      </c>
      <c r="Q97">
        <v>31.5</v>
      </c>
      <c r="R97">
        <v>19</v>
      </c>
      <c r="S97">
        <v>2</v>
      </c>
      <c r="T97" s="274">
        <f t="shared" si="7"/>
        <v>52.5</v>
      </c>
      <c r="U97">
        <v>74354.429999999993</v>
      </c>
      <c r="V97">
        <v>28.43</v>
      </c>
      <c r="W97">
        <v>16044.91</v>
      </c>
      <c r="X97">
        <v>29.37</v>
      </c>
      <c r="Y97">
        <v>14.69</v>
      </c>
      <c r="Z97">
        <v>0</v>
      </c>
      <c r="AA97">
        <v>262018.75</v>
      </c>
      <c r="AB97">
        <v>130802.64</v>
      </c>
      <c r="AC97">
        <v>0</v>
      </c>
      <c r="AD97">
        <v>89185.61</v>
      </c>
      <c r="AE97">
        <v>491107.46</v>
      </c>
      <c r="AF97">
        <v>171700.05</v>
      </c>
      <c r="AG97">
        <v>292134.65000000002</v>
      </c>
      <c r="AH97">
        <v>1</v>
      </c>
      <c r="AI97">
        <v>68937</v>
      </c>
      <c r="AJ97">
        <v>67585</v>
      </c>
      <c r="AK97">
        <v>100321</v>
      </c>
      <c r="AL97">
        <v>102327</v>
      </c>
      <c r="AM97">
        <v>48483</v>
      </c>
      <c r="AN97">
        <v>49453</v>
      </c>
      <c r="AO97">
        <v>1</v>
      </c>
      <c r="AP97">
        <v>717390.83</v>
      </c>
      <c r="AQ97">
        <v>42026.61</v>
      </c>
      <c r="AR97">
        <v>11.42</v>
      </c>
      <c r="AS97">
        <v>4.8578999999999997E-2</v>
      </c>
      <c r="AT97">
        <v>4.0270000000000002E-3</v>
      </c>
      <c r="AU97">
        <v>1.7100000000000001E-2</v>
      </c>
    </row>
    <row r="98" spans="1:47">
      <c r="A98" s="2" t="s">
        <v>165</v>
      </c>
      <c r="B98" s="2" t="s">
        <v>166</v>
      </c>
      <c r="C98">
        <v>10921.51</v>
      </c>
      <c r="D98">
        <v>330.97</v>
      </c>
      <c r="E98">
        <v>3614693.16</v>
      </c>
      <c r="F98">
        <v>4.25</v>
      </c>
      <c r="G98">
        <v>51.5</v>
      </c>
      <c r="H98">
        <v>7.25</v>
      </c>
      <c r="I98" s="274">
        <v>63</v>
      </c>
      <c r="J98">
        <v>42356.98</v>
      </c>
      <c r="K98">
        <v>448560.26</v>
      </c>
      <c r="L98">
        <v>62361.440000000002</v>
      </c>
      <c r="M98">
        <v>-120353.02</v>
      </c>
      <c r="N98">
        <v>509150.41</v>
      </c>
      <c r="O98" s="274">
        <v>40056.57</v>
      </c>
      <c r="P98">
        <v>60260.81</v>
      </c>
      <c r="Q98">
        <v>3</v>
      </c>
      <c r="R98">
        <v>3</v>
      </c>
      <c r="S98">
        <v>0</v>
      </c>
      <c r="T98" s="274">
        <f t="shared" si="7"/>
        <v>6</v>
      </c>
      <c r="U98">
        <v>0</v>
      </c>
      <c r="V98">
        <v>16.55</v>
      </c>
      <c r="W98">
        <v>9294.31</v>
      </c>
      <c r="X98">
        <v>20.329999999999998</v>
      </c>
      <c r="Y98">
        <v>8.4</v>
      </c>
      <c r="Z98">
        <v>0</v>
      </c>
      <c r="AA98">
        <v>181242.58</v>
      </c>
      <c r="AB98">
        <v>74840.14</v>
      </c>
      <c r="AC98">
        <v>0</v>
      </c>
      <c r="AD98">
        <v>30392.76</v>
      </c>
      <c r="AE98">
        <v>156173.59</v>
      </c>
      <c r="AF98">
        <v>77974.320000000007</v>
      </c>
      <c r="AG98">
        <v>134522.82999999999</v>
      </c>
      <c r="AH98">
        <v>1</v>
      </c>
      <c r="AI98">
        <v>68937</v>
      </c>
      <c r="AJ98">
        <v>67585</v>
      </c>
      <c r="AK98">
        <v>100321</v>
      </c>
      <c r="AL98">
        <v>102327</v>
      </c>
      <c r="AM98">
        <v>48483</v>
      </c>
      <c r="AN98">
        <v>49453</v>
      </c>
      <c r="AO98">
        <v>1</v>
      </c>
      <c r="AP98">
        <v>440725.88</v>
      </c>
      <c r="AQ98">
        <v>27907.41</v>
      </c>
      <c r="AR98">
        <v>6.59</v>
      </c>
      <c r="AS98">
        <v>4.8578999999999997E-2</v>
      </c>
      <c r="AT98">
        <v>4.0270000000000002E-3</v>
      </c>
      <c r="AU98">
        <v>1.7100000000000001E-2</v>
      </c>
    </row>
    <row r="99" spans="1:47">
      <c r="A99" s="2" t="s">
        <v>1104</v>
      </c>
      <c r="B99" s="2" t="s">
        <v>1105</v>
      </c>
      <c r="C99">
        <v>0</v>
      </c>
      <c r="D99">
        <v>0</v>
      </c>
      <c r="E99">
        <v>0</v>
      </c>
      <c r="F99">
        <v>0</v>
      </c>
      <c r="G99">
        <v>0</v>
      </c>
      <c r="H99">
        <v>0</v>
      </c>
      <c r="I99" s="274">
        <v>0</v>
      </c>
      <c r="J99">
        <v>0</v>
      </c>
      <c r="K99">
        <v>0</v>
      </c>
      <c r="L99">
        <v>0</v>
      </c>
      <c r="M99">
        <v>0</v>
      </c>
      <c r="N99">
        <v>0</v>
      </c>
      <c r="O99" s="274">
        <v>0</v>
      </c>
      <c r="P99">
        <v>0</v>
      </c>
      <c r="Q99">
        <v>0</v>
      </c>
      <c r="R99">
        <v>0</v>
      </c>
      <c r="S99">
        <v>0</v>
      </c>
      <c r="T99" s="274">
        <f t="shared" si="7"/>
        <v>0</v>
      </c>
      <c r="U99">
        <v>0</v>
      </c>
      <c r="V99">
        <v>0</v>
      </c>
      <c r="W99">
        <v>0</v>
      </c>
      <c r="X99">
        <v>0</v>
      </c>
      <c r="Y99">
        <v>0</v>
      </c>
      <c r="Z99">
        <v>0</v>
      </c>
      <c r="AA99">
        <v>0</v>
      </c>
      <c r="AB99">
        <v>0</v>
      </c>
      <c r="AC99">
        <v>0</v>
      </c>
      <c r="AD99">
        <v>0</v>
      </c>
      <c r="AE99">
        <v>0</v>
      </c>
      <c r="AF99">
        <v>0</v>
      </c>
      <c r="AG99">
        <v>0</v>
      </c>
      <c r="AH99">
        <v>0</v>
      </c>
      <c r="AI99">
        <v>0</v>
      </c>
      <c r="AJ99">
        <v>0</v>
      </c>
      <c r="AK99">
        <v>100321</v>
      </c>
      <c r="AL99">
        <v>102327</v>
      </c>
      <c r="AM99">
        <v>48483</v>
      </c>
      <c r="AN99">
        <v>49453</v>
      </c>
      <c r="AO99">
        <v>1</v>
      </c>
      <c r="AP99">
        <v>0</v>
      </c>
      <c r="AQ99">
        <v>0</v>
      </c>
      <c r="AR99">
        <v>0</v>
      </c>
      <c r="AS99">
        <v>4.8578999999999997E-2</v>
      </c>
      <c r="AT99">
        <v>4.0270000000000002E-3</v>
      </c>
      <c r="AU99">
        <v>1.7100000000000001E-2</v>
      </c>
    </row>
    <row r="100" spans="1:47">
      <c r="A100" s="2" t="s">
        <v>167</v>
      </c>
      <c r="B100" s="2" t="s">
        <v>168</v>
      </c>
      <c r="C100">
        <v>9543.33</v>
      </c>
      <c r="D100">
        <v>5503.49</v>
      </c>
      <c r="E100">
        <v>52521610.939999998</v>
      </c>
      <c r="F100">
        <v>128.5</v>
      </c>
      <c r="G100">
        <v>500.5</v>
      </c>
      <c r="H100">
        <v>389</v>
      </c>
      <c r="I100" s="274">
        <v>1018</v>
      </c>
      <c r="J100">
        <v>1396894.91</v>
      </c>
      <c r="K100">
        <v>4755644.08</v>
      </c>
      <c r="L100">
        <v>3650230.42</v>
      </c>
      <c r="M100">
        <v>-1387982.99</v>
      </c>
      <c r="N100">
        <v>8408310.0800000001</v>
      </c>
      <c r="O100" s="274">
        <v>944700.3</v>
      </c>
      <c r="P100">
        <v>2144939.84</v>
      </c>
      <c r="Q100">
        <v>117.25</v>
      </c>
      <c r="R100">
        <v>90.25</v>
      </c>
      <c r="S100">
        <v>38</v>
      </c>
      <c r="T100" s="274">
        <f t="shared" si="7"/>
        <v>245.5</v>
      </c>
      <c r="U100">
        <v>370857.18</v>
      </c>
      <c r="V100">
        <v>275.17</v>
      </c>
      <c r="W100">
        <v>171314.6</v>
      </c>
      <c r="X100">
        <v>415.88</v>
      </c>
      <c r="Y100">
        <v>46.11</v>
      </c>
      <c r="Z100">
        <v>0</v>
      </c>
      <c r="AA100">
        <v>4026221.83</v>
      </c>
      <c r="AB100">
        <v>445867.35</v>
      </c>
      <c r="AC100">
        <v>0</v>
      </c>
      <c r="AD100">
        <v>412604.02</v>
      </c>
      <c r="AE100">
        <v>2405067.9500000002</v>
      </c>
      <c r="AF100">
        <v>257512.67</v>
      </c>
      <c r="AG100">
        <v>1376789.71</v>
      </c>
      <c r="AH100">
        <v>1.1200000000000001</v>
      </c>
      <c r="AI100">
        <v>68937</v>
      </c>
      <c r="AJ100">
        <v>67585</v>
      </c>
      <c r="AK100">
        <v>100321</v>
      </c>
      <c r="AL100">
        <v>102327</v>
      </c>
      <c r="AM100">
        <v>48483</v>
      </c>
      <c r="AN100">
        <v>49453</v>
      </c>
      <c r="AO100">
        <v>1</v>
      </c>
      <c r="AP100">
        <v>6492979.1100000003</v>
      </c>
      <c r="AQ100">
        <v>408358.22</v>
      </c>
      <c r="AR100">
        <v>115.794</v>
      </c>
      <c r="AS100">
        <v>4.8578999999999997E-2</v>
      </c>
      <c r="AT100">
        <v>4.0270000000000002E-3</v>
      </c>
      <c r="AU100">
        <v>1.7100000000000001E-2</v>
      </c>
    </row>
    <row r="101" spans="1:47">
      <c r="A101" s="2" t="s">
        <v>169</v>
      </c>
      <c r="B101" s="2" t="s">
        <v>170</v>
      </c>
      <c r="C101">
        <v>9665.7999999999993</v>
      </c>
      <c r="D101">
        <v>965.86</v>
      </c>
      <c r="E101">
        <v>9335808.9100000001</v>
      </c>
      <c r="F101">
        <v>9</v>
      </c>
      <c r="G101">
        <v>99.25</v>
      </c>
      <c r="H101">
        <v>44.75</v>
      </c>
      <c r="I101" s="274">
        <v>153</v>
      </c>
      <c r="J101">
        <v>99153.83</v>
      </c>
      <c r="K101">
        <v>955892.69</v>
      </c>
      <c r="L101">
        <v>425635.58</v>
      </c>
      <c r="M101">
        <v>-128125.61</v>
      </c>
      <c r="N101">
        <v>1379531.52</v>
      </c>
      <c r="O101" s="274">
        <v>155795.58000000002</v>
      </c>
      <c r="P101">
        <v>311909.13</v>
      </c>
      <c r="Q101">
        <v>16.75</v>
      </c>
      <c r="R101">
        <v>11</v>
      </c>
      <c r="S101">
        <v>3.75</v>
      </c>
      <c r="T101" s="274">
        <f t="shared" si="7"/>
        <v>31.5</v>
      </c>
      <c r="U101">
        <v>49316.29</v>
      </c>
      <c r="V101">
        <v>48.29</v>
      </c>
      <c r="W101">
        <v>31017.93</v>
      </c>
      <c r="X101">
        <v>14.28</v>
      </c>
      <c r="Y101">
        <v>0.81</v>
      </c>
      <c r="Z101">
        <v>0</v>
      </c>
      <c r="AA101">
        <v>140908</v>
      </c>
      <c r="AB101">
        <v>8012.82</v>
      </c>
      <c r="AC101">
        <v>0</v>
      </c>
      <c r="AD101">
        <v>88776.18</v>
      </c>
      <c r="AE101">
        <v>465392.79</v>
      </c>
      <c r="AF101">
        <v>21980.34</v>
      </c>
      <c r="AG101">
        <v>228952.55</v>
      </c>
      <c r="AH101">
        <v>1.1200000000000001</v>
      </c>
      <c r="AI101">
        <v>68937</v>
      </c>
      <c r="AJ101">
        <v>67585</v>
      </c>
      <c r="AK101">
        <v>0</v>
      </c>
      <c r="AL101">
        <v>0</v>
      </c>
      <c r="AM101">
        <v>0</v>
      </c>
      <c r="AN101">
        <v>0</v>
      </c>
      <c r="AO101">
        <v>0</v>
      </c>
      <c r="AP101">
        <v>1208053</v>
      </c>
      <c r="AQ101">
        <v>77767.11</v>
      </c>
      <c r="AR101">
        <v>19.018000000000001</v>
      </c>
      <c r="AS101">
        <v>4.8578999999999997E-2</v>
      </c>
      <c r="AT101">
        <v>4.0270000000000002E-3</v>
      </c>
      <c r="AU101">
        <v>1.7100000000000001E-2</v>
      </c>
    </row>
    <row r="102" spans="1:47">
      <c r="A102" s="2" t="s">
        <v>171</v>
      </c>
      <c r="B102" s="2" t="s">
        <v>172</v>
      </c>
      <c r="C102">
        <v>9825.2800000000007</v>
      </c>
      <c r="D102">
        <v>1185.58</v>
      </c>
      <c r="E102">
        <v>11648657.439999999</v>
      </c>
      <c r="F102">
        <v>6</v>
      </c>
      <c r="G102">
        <v>119.5</v>
      </c>
      <c r="H102">
        <v>56.5</v>
      </c>
      <c r="I102" s="274">
        <v>182</v>
      </c>
      <c r="J102">
        <v>67802.44</v>
      </c>
      <c r="K102">
        <v>1180721.94</v>
      </c>
      <c r="L102">
        <v>551309.36</v>
      </c>
      <c r="M102">
        <v>-142471.64000000001</v>
      </c>
      <c r="N102">
        <v>1729453.44</v>
      </c>
      <c r="O102" s="274">
        <v>174514.80000000002</v>
      </c>
      <c r="P102">
        <v>235999.09</v>
      </c>
      <c r="Q102">
        <v>2.5</v>
      </c>
      <c r="R102">
        <v>0.75</v>
      </c>
      <c r="S102">
        <v>3</v>
      </c>
      <c r="T102" s="274">
        <f t="shared" si="7"/>
        <v>6.25</v>
      </c>
      <c r="U102">
        <v>8291.7900000000009</v>
      </c>
      <c r="V102">
        <v>59.28</v>
      </c>
      <c r="W102">
        <v>40392.89</v>
      </c>
      <c r="X102">
        <v>59.42</v>
      </c>
      <c r="Y102">
        <v>0</v>
      </c>
      <c r="Z102">
        <v>0</v>
      </c>
      <c r="AA102">
        <v>616498.65</v>
      </c>
      <c r="AB102">
        <v>0</v>
      </c>
      <c r="AC102">
        <v>0</v>
      </c>
      <c r="AD102">
        <v>149724.76</v>
      </c>
      <c r="AE102">
        <v>897956.9</v>
      </c>
      <c r="AF102">
        <v>11845.42</v>
      </c>
      <c r="AG102">
        <v>228853.58</v>
      </c>
      <c r="AH102">
        <v>1.2</v>
      </c>
      <c r="AI102">
        <v>68937</v>
      </c>
      <c r="AJ102">
        <v>67585</v>
      </c>
      <c r="AK102">
        <v>100321</v>
      </c>
      <c r="AL102">
        <v>102327</v>
      </c>
      <c r="AM102">
        <v>48483</v>
      </c>
      <c r="AN102">
        <v>49453</v>
      </c>
      <c r="AO102">
        <v>1.1200000000000001</v>
      </c>
      <c r="AP102">
        <v>1446273.14</v>
      </c>
      <c r="AQ102">
        <v>93872.95</v>
      </c>
      <c r="AR102">
        <v>17.489000000000001</v>
      </c>
      <c r="AS102">
        <v>4.8578999999999997E-2</v>
      </c>
      <c r="AT102">
        <v>4.0270000000000002E-3</v>
      </c>
      <c r="AU102">
        <v>1.7100000000000001E-2</v>
      </c>
    </row>
    <row r="103" spans="1:47">
      <c r="A103" s="2" t="s">
        <v>173</v>
      </c>
      <c r="B103" s="2" t="s">
        <v>174</v>
      </c>
      <c r="C103">
        <v>10790.26</v>
      </c>
      <c r="D103">
        <v>50.8</v>
      </c>
      <c r="E103">
        <v>548145</v>
      </c>
      <c r="F103">
        <v>1</v>
      </c>
      <c r="G103">
        <v>0</v>
      </c>
      <c r="H103">
        <v>8.75</v>
      </c>
      <c r="I103" s="274">
        <v>9.75</v>
      </c>
      <c r="J103">
        <v>9059.65</v>
      </c>
      <c r="K103">
        <v>0</v>
      </c>
      <c r="L103">
        <v>68412.05</v>
      </c>
      <c r="M103">
        <v>-14778.91</v>
      </c>
      <c r="N103">
        <v>68932.149999999994</v>
      </c>
      <c r="O103" s="274">
        <v>4594.4799999999996</v>
      </c>
      <c r="P103">
        <v>3588.14</v>
      </c>
      <c r="Q103">
        <v>0</v>
      </c>
      <c r="R103">
        <v>0</v>
      </c>
      <c r="S103">
        <v>0</v>
      </c>
      <c r="T103" s="274">
        <f t="shared" si="7"/>
        <v>0</v>
      </c>
      <c r="U103">
        <v>0</v>
      </c>
      <c r="V103">
        <v>0</v>
      </c>
      <c r="W103">
        <v>0</v>
      </c>
      <c r="X103">
        <v>0</v>
      </c>
      <c r="Y103">
        <v>0</v>
      </c>
      <c r="Z103">
        <v>0</v>
      </c>
      <c r="AA103">
        <v>0</v>
      </c>
      <c r="AB103">
        <v>0</v>
      </c>
      <c r="AC103">
        <v>0</v>
      </c>
      <c r="AD103">
        <v>8827.25</v>
      </c>
      <c r="AE103">
        <v>62461.59</v>
      </c>
      <c r="AF103">
        <v>11642.35</v>
      </c>
      <c r="AG103">
        <v>25437.040000000001</v>
      </c>
      <c r="AH103">
        <v>1</v>
      </c>
      <c r="AI103">
        <v>68937</v>
      </c>
      <c r="AJ103">
        <v>67585</v>
      </c>
      <c r="AK103">
        <v>100321</v>
      </c>
      <c r="AL103">
        <v>102327</v>
      </c>
      <c r="AM103">
        <v>48483</v>
      </c>
      <c r="AN103">
        <v>49453</v>
      </c>
      <c r="AO103">
        <v>1.1200000000000001</v>
      </c>
      <c r="AP103">
        <v>85333.41</v>
      </c>
      <c r="AQ103">
        <v>3984.57</v>
      </c>
      <c r="AR103">
        <v>0.96099999999999997</v>
      </c>
      <c r="AS103">
        <v>4.8578999999999997E-2</v>
      </c>
      <c r="AT103">
        <v>4.0270000000000002E-3</v>
      </c>
      <c r="AU103">
        <v>1.7100000000000001E-2</v>
      </c>
    </row>
    <row r="104" spans="1:47">
      <c r="A104" s="2" t="s">
        <v>175</v>
      </c>
      <c r="B104" s="2" t="s">
        <v>176</v>
      </c>
      <c r="C104">
        <v>10050.549999999999</v>
      </c>
      <c r="D104">
        <v>72.8</v>
      </c>
      <c r="E104">
        <v>731680.28</v>
      </c>
      <c r="F104">
        <v>1</v>
      </c>
      <c r="G104">
        <v>0</v>
      </c>
      <c r="H104">
        <v>7</v>
      </c>
      <c r="I104" s="274">
        <v>8</v>
      </c>
      <c r="J104">
        <v>10112.719999999999</v>
      </c>
      <c r="K104">
        <v>0</v>
      </c>
      <c r="L104">
        <v>61072</v>
      </c>
      <c r="M104">
        <v>0</v>
      </c>
      <c r="N104">
        <v>61555.69</v>
      </c>
      <c r="O104" s="274">
        <v>7117.72</v>
      </c>
      <c r="P104">
        <v>3914.64</v>
      </c>
      <c r="Q104">
        <v>0.5</v>
      </c>
      <c r="R104">
        <v>0</v>
      </c>
      <c r="S104">
        <v>0</v>
      </c>
      <c r="T104" s="274">
        <f t="shared" si="7"/>
        <v>0.5</v>
      </c>
      <c r="U104">
        <v>0</v>
      </c>
      <c r="V104">
        <v>3.64</v>
      </c>
      <c r="W104">
        <v>2054.54</v>
      </c>
      <c r="X104">
        <v>0</v>
      </c>
      <c r="Y104">
        <v>0</v>
      </c>
      <c r="Z104">
        <v>0</v>
      </c>
      <c r="AA104">
        <v>0</v>
      </c>
      <c r="AB104">
        <v>0</v>
      </c>
      <c r="AC104">
        <v>0</v>
      </c>
      <c r="AD104">
        <v>14026.02</v>
      </c>
      <c r="AE104">
        <v>97584.92</v>
      </c>
      <c r="AF104">
        <v>21817.17</v>
      </c>
      <c r="AG104">
        <v>36590.22</v>
      </c>
      <c r="AH104">
        <v>1</v>
      </c>
      <c r="AI104">
        <v>68937</v>
      </c>
      <c r="AJ104">
        <v>67585</v>
      </c>
      <c r="AK104">
        <v>100321</v>
      </c>
      <c r="AL104">
        <v>102327</v>
      </c>
      <c r="AM104">
        <v>48483</v>
      </c>
      <c r="AN104">
        <v>49453</v>
      </c>
      <c r="AO104">
        <v>1.2</v>
      </c>
      <c r="AP104">
        <v>101695.25</v>
      </c>
      <c r="AQ104">
        <v>6192.14</v>
      </c>
      <c r="AR104">
        <v>1.984</v>
      </c>
      <c r="AS104">
        <v>4.8578999999999997E-2</v>
      </c>
      <c r="AT104">
        <v>4.0270000000000002E-3</v>
      </c>
      <c r="AU104">
        <v>1.7100000000000001E-2</v>
      </c>
    </row>
    <row r="105" spans="1:47">
      <c r="A105" s="2" t="s">
        <v>177</v>
      </c>
      <c r="B105" s="2" t="s">
        <v>178</v>
      </c>
      <c r="C105">
        <v>10059.98</v>
      </c>
      <c r="D105">
        <v>646.78</v>
      </c>
      <c r="E105">
        <v>6506595.21</v>
      </c>
      <c r="F105">
        <v>0</v>
      </c>
      <c r="G105">
        <v>53</v>
      </c>
      <c r="H105">
        <v>2.75</v>
      </c>
      <c r="I105" s="274">
        <v>55.75</v>
      </c>
      <c r="J105">
        <v>0</v>
      </c>
      <c r="K105">
        <v>459557.61</v>
      </c>
      <c r="L105">
        <v>23548.44</v>
      </c>
      <c r="M105">
        <v>0</v>
      </c>
      <c r="N105">
        <v>480924.03</v>
      </c>
      <c r="O105" s="274">
        <v>48151.88</v>
      </c>
      <c r="P105">
        <v>62657.120000000003</v>
      </c>
      <c r="Q105">
        <v>0</v>
      </c>
      <c r="R105">
        <v>0</v>
      </c>
      <c r="S105">
        <v>0</v>
      </c>
      <c r="T105" s="274">
        <f t="shared" si="7"/>
        <v>0</v>
      </c>
      <c r="U105">
        <v>0</v>
      </c>
      <c r="V105">
        <v>32.340000000000003</v>
      </c>
      <c r="W105">
        <v>19156.89</v>
      </c>
      <c r="X105">
        <v>7.66</v>
      </c>
      <c r="Y105">
        <v>0</v>
      </c>
      <c r="Z105">
        <v>0</v>
      </c>
      <c r="AA105">
        <v>71441.17</v>
      </c>
      <c r="AB105">
        <v>0</v>
      </c>
      <c r="AC105">
        <v>0</v>
      </c>
      <c r="AD105">
        <v>33594.550000000003</v>
      </c>
      <c r="AE105">
        <v>394646.57</v>
      </c>
      <c r="AF105">
        <v>0</v>
      </c>
      <c r="AG105">
        <v>126991.56</v>
      </c>
      <c r="AH105">
        <v>1.06</v>
      </c>
      <c r="AI105">
        <v>68937</v>
      </c>
      <c r="AJ105">
        <v>67585</v>
      </c>
      <c r="AK105">
        <v>100321</v>
      </c>
      <c r="AL105">
        <v>102327</v>
      </c>
      <c r="AM105">
        <v>48483</v>
      </c>
      <c r="AN105">
        <v>49453</v>
      </c>
      <c r="AO105">
        <v>1</v>
      </c>
      <c r="AP105">
        <v>352001.75</v>
      </c>
      <c r="AQ105">
        <v>23721.37</v>
      </c>
      <c r="AR105">
        <v>3.0640000000000001</v>
      </c>
      <c r="AS105">
        <v>4.8578999999999997E-2</v>
      </c>
      <c r="AT105">
        <v>4.0270000000000002E-3</v>
      </c>
      <c r="AU105">
        <v>1.7100000000000001E-2</v>
      </c>
    </row>
    <row r="106" spans="1:47">
      <c r="A106" s="2" t="s">
        <v>179</v>
      </c>
      <c r="B106" s="2" t="s">
        <v>180</v>
      </c>
      <c r="C106">
        <v>9890.41</v>
      </c>
      <c r="D106">
        <v>672.94</v>
      </c>
      <c r="E106">
        <v>6655653.0800000001</v>
      </c>
      <c r="F106">
        <v>10.5</v>
      </c>
      <c r="G106">
        <v>77</v>
      </c>
      <c r="H106">
        <v>33.75</v>
      </c>
      <c r="I106" s="274">
        <v>121.25</v>
      </c>
      <c r="J106">
        <v>112726.52</v>
      </c>
      <c r="K106">
        <v>722619.32</v>
      </c>
      <c r="L106">
        <v>312794.07</v>
      </c>
      <c r="M106">
        <v>-169897.55</v>
      </c>
      <c r="N106">
        <v>1033909.95</v>
      </c>
      <c r="O106" s="274">
        <v>109949.94</v>
      </c>
      <c r="P106">
        <v>179232.92</v>
      </c>
      <c r="Q106">
        <v>16.75</v>
      </c>
      <c r="R106">
        <v>0.5</v>
      </c>
      <c r="S106">
        <v>1.75</v>
      </c>
      <c r="T106" s="274">
        <f t="shared" si="7"/>
        <v>19</v>
      </c>
      <c r="U106">
        <v>25524.14</v>
      </c>
      <c r="V106">
        <v>0</v>
      </c>
      <c r="W106">
        <v>0</v>
      </c>
      <c r="X106">
        <v>13.75</v>
      </c>
      <c r="Y106">
        <v>0</v>
      </c>
      <c r="Z106">
        <v>0</v>
      </c>
      <c r="AA106">
        <v>133040.01</v>
      </c>
      <c r="AB106">
        <v>0</v>
      </c>
      <c r="AC106">
        <v>0</v>
      </c>
      <c r="AD106">
        <v>126365</v>
      </c>
      <c r="AE106">
        <v>875331.41</v>
      </c>
      <c r="AF106">
        <v>109450.99</v>
      </c>
      <c r="AG106">
        <v>240316.32</v>
      </c>
      <c r="AH106">
        <v>1.1200000000000001</v>
      </c>
      <c r="AI106">
        <v>68937</v>
      </c>
      <c r="AJ106">
        <v>67585</v>
      </c>
      <c r="AK106">
        <v>100321</v>
      </c>
      <c r="AL106">
        <v>102327</v>
      </c>
      <c r="AM106">
        <v>48483</v>
      </c>
      <c r="AN106">
        <v>49453</v>
      </c>
      <c r="AO106">
        <v>1</v>
      </c>
      <c r="AP106">
        <v>822080.63</v>
      </c>
      <c r="AQ106">
        <v>52512.72</v>
      </c>
      <c r="AR106">
        <v>12.121</v>
      </c>
      <c r="AS106">
        <v>4.8578999999999997E-2</v>
      </c>
      <c r="AT106">
        <v>4.0270000000000002E-3</v>
      </c>
      <c r="AU106">
        <v>1.7100000000000001E-2</v>
      </c>
    </row>
    <row r="107" spans="1:47">
      <c r="A107" s="2" t="s">
        <v>181</v>
      </c>
      <c r="B107" s="2" t="s">
        <v>182</v>
      </c>
      <c r="C107">
        <v>9139.93</v>
      </c>
      <c r="D107">
        <v>1178.02</v>
      </c>
      <c r="E107">
        <v>10767017.49</v>
      </c>
      <c r="F107">
        <v>12</v>
      </c>
      <c r="G107">
        <v>101.75</v>
      </c>
      <c r="H107">
        <v>40</v>
      </c>
      <c r="I107" s="274">
        <v>153.75</v>
      </c>
      <c r="J107">
        <v>125292.82</v>
      </c>
      <c r="K107">
        <v>928629.91</v>
      </c>
      <c r="L107">
        <v>360523.76</v>
      </c>
      <c r="M107">
        <v>0</v>
      </c>
      <c r="N107">
        <v>1286975.18</v>
      </c>
      <c r="O107" s="274">
        <v>151724.07999999999</v>
      </c>
      <c r="P107">
        <v>200350.73</v>
      </c>
      <c r="Q107">
        <v>22</v>
      </c>
      <c r="R107">
        <v>14.25</v>
      </c>
      <c r="S107">
        <v>2.25</v>
      </c>
      <c r="T107" s="274">
        <f t="shared" si="7"/>
        <v>38.5</v>
      </c>
      <c r="U107">
        <v>59167.37</v>
      </c>
      <c r="V107">
        <v>58.9</v>
      </c>
      <c r="W107">
        <v>36075.07</v>
      </c>
      <c r="X107">
        <v>54.97</v>
      </c>
      <c r="Y107">
        <v>0</v>
      </c>
      <c r="Z107">
        <v>0</v>
      </c>
      <c r="AA107">
        <v>521775.75</v>
      </c>
      <c r="AB107">
        <v>0</v>
      </c>
      <c r="AC107">
        <v>0</v>
      </c>
      <c r="AD107">
        <v>90316.89</v>
      </c>
      <c r="AE107">
        <v>610122.44999999995</v>
      </c>
      <c r="AF107">
        <v>226985.60000000001</v>
      </c>
      <c r="AG107">
        <v>348619.24</v>
      </c>
      <c r="AH107">
        <v>1.06</v>
      </c>
      <c r="AI107">
        <v>68937</v>
      </c>
      <c r="AJ107">
        <v>67585</v>
      </c>
      <c r="AK107">
        <v>100321</v>
      </c>
      <c r="AL107">
        <v>102327</v>
      </c>
      <c r="AM107">
        <v>48483</v>
      </c>
      <c r="AN107">
        <v>49453</v>
      </c>
      <c r="AO107">
        <v>1.06</v>
      </c>
      <c r="AP107">
        <v>1348919.5</v>
      </c>
      <c r="AQ107">
        <v>79767.67</v>
      </c>
      <c r="AR107">
        <v>18.225000000000001</v>
      </c>
      <c r="AS107">
        <v>4.8578999999999997E-2</v>
      </c>
      <c r="AT107">
        <v>4.0270000000000002E-3</v>
      </c>
      <c r="AU107">
        <v>1.7100000000000001E-2</v>
      </c>
    </row>
    <row r="108" spans="1:47">
      <c r="A108" s="2" t="s">
        <v>183</v>
      </c>
      <c r="B108" s="2" t="s">
        <v>184</v>
      </c>
      <c r="C108">
        <v>9856.58</v>
      </c>
      <c r="D108">
        <v>50572.71</v>
      </c>
      <c r="E108">
        <v>498473753.12</v>
      </c>
      <c r="F108">
        <v>323.5</v>
      </c>
      <c r="G108">
        <v>4672.5</v>
      </c>
      <c r="H108">
        <v>2089.5</v>
      </c>
      <c r="I108" s="274">
        <v>7085.5</v>
      </c>
      <c r="J108">
        <v>3655074.94</v>
      </c>
      <c r="K108">
        <v>46146432.710000001</v>
      </c>
      <c r="L108">
        <v>20379658.149999999</v>
      </c>
      <c r="M108">
        <v>0</v>
      </c>
      <c r="N108">
        <v>66415715.600000001</v>
      </c>
      <c r="O108" s="274">
        <v>8155261.5100000007</v>
      </c>
      <c r="P108">
        <v>14381809.619999999</v>
      </c>
      <c r="Q108">
        <v>4369.75</v>
      </c>
      <c r="R108">
        <v>2272.75</v>
      </c>
      <c r="S108">
        <v>729.5</v>
      </c>
      <c r="T108" s="274">
        <f t="shared" si="7"/>
        <v>7372</v>
      </c>
      <c r="U108">
        <v>11624826.960000001</v>
      </c>
      <c r="V108">
        <v>0</v>
      </c>
      <c r="W108">
        <v>0</v>
      </c>
      <c r="X108">
        <v>1541.82</v>
      </c>
      <c r="Y108">
        <v>172.69</v>
      </c>
      <c r="Z108">
        <v>102.69</v>
      </c>
      <c r="AA108">
        <v>15510731.939999999</v>
      </c>
      <c r="AB108">
        <v>1734688.14</v>
      </c>
      <c r="AC108">
        <v>1175124.3899999999</v>
      </c>
      <c r="AD108">
        <v>0</v>
      </c>
      <c r="AE108">
        <v>35344928.210000001</v>
      </c>
      <c r="AF108">
        <v>5000020.5999999996</v>
      </c>
      <c r="AG108">
        <v>15377165.300000001</v>
      </c>
      <c r="AH108">
        <v>1.18</v>
      </c>
      <c r="AI108">
        <v>68937</v>
      </c>
      <c r="AJ108">
        <v>67585</v>
      </c>
      <c r="AK108">
        <v>100321</v>
      </c>
      <c r="AL108">
        <v>102327</v>
      </c>
      <c r="AM108">
        <v>48483</v>
      </c>
      <c r="AN108">
        <v>49453</v>
      </c>
      <c r="AO108">
        <v>1.1200000000000001</v>
      </c>
      <c r="AP108">
        <v>65682496.439999998</v>
      </c>
      <c r="AQ108">
        <v>4303249.2</v>
      </c>
      <c r="AR108">
        <v>1074.857</v>
      </c>
      <c r="AS108">
        <v>4.8578999999999997E-2</v>
      </c>
      <c r="AT108">
        <v>4.0270000000000002E-3</v>
      </c>
      <c r="AU108">
        <v>1.7100000000000001E-2</v>
      </c>
    </row>
    <row r="109" spans="1:47">
      <c r="A109" s="2" t="s">
        <v>185</v>
      </c>
      <c r="B109" s="2" t="s">
        <v>186</v>
      </c>
      <c r="C109">
        <v>9445.7199999999993</v>
      </c>
      <c r="D109">
        <v>20447.68</v>
      </c>
      <c r="E109">
        <v>193143074.68000001</v>
      </c>
      <c r="F109">
        <v>226.25</v>
      </c>
      <c r="G109">
        <v>1323.5</v>
      </c>
      <c r="H109">
        <v>1332.5</v>
      </c>
      <c r="I109" s="274">
        <v>2882.25</v>
      </c>
      <c r="J109">
        <v>2438807.69</v>
      </c>
      <c r="K109">
        <v>12469076.689999999</v>
      </c>
      <c r="L109">
        <v>12397744.76</v>
      </c>
      <c r="M109">
        <v>0</v>
      </c>
      <c r="N109">
        <v>25059437.350000001</v>
      </c>
      <c r="O109" s="274">
        <v>3374262.23</v>
      </c>
      <c r="P109">
        <v>6910590.3700000001</v>
      </c>
      <c r="Q109">
        <v>3239.75</v>
      </c>
      <c r="R109">
        <v>1812.5</v>
      </c>
      <c r="S109">
        <v>656.75</v>
      </c>
      <c r="T109" s="274">
        <f t="shared" si="7"/>
        <v>5709</v>
      </c>
      <c r="U109">
        <v>8575788.4299999997</v>
      </c>
      <c r="V109">
        <v>1022.38</v>
      </c>
      <c r="W109">
        <v>636589.5</v>
      </c>
      <c r="X109">
        <v>1275.18</v>
      </c>
      <c r="Y109">
        <v>89.12</v>
      </c>
      <c r="Z109">
        <v>0</v>
      </c>
      <c r="AA109">
        <v>12345135.27</v>
      </c>
      <c r="AB109">
        <v>861587.04</v>
      </c>
      <c r="AC109">
        <v>0</v>
      </c>
      <c r="AD109">
        <v>699749.98</v>
      </c>
      <c r="AE109">
        <v>13445131.84</v>
      </c>
      <c r="AF109">
        <v>6014829.7800000003</v>
      </c>
      <c r="AG109">
        <v>9274349.6699999999</v>
      </c>
      <c r="AH109">
        <v>1.1200000000000001</v>
      </c>
      <c r="AI109">
        <v>68937</v>
      </c>
      <c r="AJ109">
        <v>67585</v>
      </c>
      <c r="AK109">
        <v>100321</v>
      </c>
      <c r="AL109">
        <v>102327</v>
      </c>
      <c r="AM109">
        <v>48483</v>
      </c>
      <c r="AN109">
        <v>49453</v>
      </c>
      <c r="AO109">
        <v>1.06</v>
      </c>
      <c r="AP109">
        <v>24567195.75</v>
      </c>
      <c r="AQ109">
        <v>1517604.9</v>
      </c>
      <c r="AR109">
        <v>389.27800000000002</v>
      </c>
      <c r="AS109">
        <v>4.8578999999999997E-2</v>
      </c>
      <c r="AT109">
        <v>4.0270000000000002E-3</v>
      </c>
      <c r="AU109">
        <v>1.7100000000000001E-2</v>
      </c>
    </row>
    <row r="110" spans="1:47">
      <c r="A110" s="2" t="s">
        <v>187</v>
      </c>
      <c r="B110" s="2" t="s">
        <v>188</v>
      </c>
      <c r="C110">
        <v>9707.85</v>
      </c>
      <c r="D110">
        <v>4086.24</v>
      </c>
      <c r="E110">
        <v>39668606.990000002</v>
      </c>
      <c r="F110">
        <v>62.25</v>
      </c>
      <c r="G110">
        <v>346.75</v>
      </c>
      <c r="H110">
        <v>247.75</v>
      </c>
      <c r="I110" s="274">
        <v>656.75</v>
      </c>
      <c r="J110">
        <v>686050.93</v>
      </c>
      <c r="K110">
        <v>3340515.1</v>
      </c>
      <c r="L110">
        <v>2357091.7799999998</v>
      </c>
      <c r="M110">
        <v>-425660.83</v>
      </c>
      <c r="N110">
        <v>5726075.5300000003</v>
      </c>
      <c r="O110" s="274">
        <v>665868.74</v>
      </c>
      <c r="P110">
        <v>1299389.9099999999</v>
      </c>
      <c r="Q110">
        <v>191.25</v>
      </c>
      <c r="R110">
        <v>86.25</v>
      </c>
      <c r="S110">
        <v>51.25</v>
      </c>
      <c r="T110" s="274">
        <f t="shared" si="7"/>
        <v>328.75</v>
      </c>
      <c r="U110">
        <v>0</v>
      </c>
      <c r="V110">
        <v>204.31</v>
      </c>
      <c r="W110">
        <v>131212.57</v>
      </c>
      <c r="X110">
        <v>418.76</v>
      </c>
      <c r="Y110">
        <v>24.11</v>
      </c>
      <c r="Z110">
        <v>0</v>
      </c>
      <c r="AA110">
        <v>4133216.98</v>
      </c>
      <c r="AB110">
        <v>237526.77</v>
      </c>
      <c r="AC110">
        <v>0</v>
      </c>
      <c r="AD110">
        <v>482383.05</v>
      </c>
      <c r="AE110">
        <v>2370413.77</v>
      </c>
      <c r="AF110">
        <v>0</v>
      </c>
      <c r="AG110">
        <v>852212.25</v>
      </c>
      <c r="AH110">
        <v>1.1200000000000001</v>
      </c>
      <c r="AI110">
        <v>68937</v>
      </c>
      <c r="AJ110">
        <v>67585</v>
      </c>
      <c r="AK110">
        <v>100321</v>
      </c>
      <c r="AL110">
        <v>102327</v>
      </c>
      <c r="AM110">
        <v>48483</v>
      </c>
      <c r="AN110">
        <v>49453</v>
      </c>
      <c r="AO110">
        <v>1.18</v>
      </c>
      <c r="AP110">
        <v>4965541.04</v>
      </c>
      <c r="AQ110">
        <v>318780.08</v>
      </c>
      <c r="AR110">
        <v>81.662999999999997</v>
      </c>
      <c r="AS110">
        <v>4.8578999999999997E-2</v>
      </c>
      <c r="AT110">
        <v>4.0270000000000002E-3</v>
      </c>
      <c r="AU110">
        <v>1.7100000000000001E-2</v>
      </c>
    </row>
    <row r="111" spans="1:47">
      <c r="A111" s="2" t="s">
        <v>189</v>
      </c>
      <c r="B111" s="2" t="s">
        <v>190</v>
      </c>
      <c r="C111">
        <v>9716.5400000000009</v>
      </c>
      <c r="D111">
        <v>3990.68</v>
      </c>
      <c r="E111">
        <v>38775600.909999996</v>
      </c>
      <c r="F111">
        <v>21.25</v>
      </c>
      <c r="G111">
        <v>260.25</v>
      </c>
      <c r="H111">
        <v>128</v>
      </c>
      <c r="I111" s="274">
        <v>409.5</v>
      </c>
      <c r="J111">
        <v>235332.39</v>
      </c>
      <c r="K111">
        <v>2519182.21</v>
      </c>
      <c r="L111">
        <v>1223613.46</v>
      </c>
      <c r="M111">
        <v>0</v>
      </c>
      <c r="N111">
        <v>3738835.85</v>
      </c>
      <c r="O111" s="274">
        <v>449346.09</v>
      </c>
      <c r="P111">
        <v>739624.51</v>
      </c>
      <c r="Q111">
        <v>88.75</v>
      </c>
      <c r="R111">
        <v>25.5</v>
      </c>
      <c r="S111">
        <v>112</v>
      </c>
      <c r="T111" s="274">
        <f t="shared" si="7"/>
        <v>226.25</v>
      </c>
      <c r="U111">
        <v>281921.11</v>
      </c>
      <c r="V111">
        <v>199.53</v>
      </c>
      <c r="W111">
        <v>130195.88</v>
      </c>
      <c r="X111">
        <v>288.45</v>
      </c>
      <c r="Y111">
        <v>16.190000000000001</v>
      </c>
      <c r="Z111">
        <v>0</v>
      </c>
      <c r="AA111">
        <v>2901807.33</v>
      </c>
      <c r="AB111">
        <v>162733.21</v>
      </c>
      <c r="AC111">
        <v>0</v>
      </c>
      <c r="AD111">
        <v>346902.24</v>
      </c>
      <c r="AE111">
        <v>1713307.99</v>
      </c>
      <c r="AF111">
        <v>0</v>
      </c>
      <c r="AG111">
        <v>96542.11</v>
      </c>
      <c r="AH111">
        <v>1.18</v>
      </c>
      <c r="AI111">
        <v>68937</v>
      </c>
      <c r="AJ111">
        <v>67585</v>
      </c>
      <c r="AK111">
        <v>100321</v>
      </c>
      <c r="AL111">
        <v>102327</v>
      </c>
      <c r="AM111">
        <v>48483</v>
      </c>
      <c r="AN111">
        <v>49453</v>
      </c>
      <c r="AO111">
        <v>1.1200000000000001</v>
      </c>
      <c r="AP111">
        <v>5121084.92</v>
      </c>
      <c r="AQ111">
        <v>321231.12</v>
      </c>
      <c r="AR111">
        <v>64.414000000000001</v>
      </c>
      <c r="AS111">
        <v>4.8578999999999997E-2</v>
      </c>
      <c r="AT111">
        <v>4.0270000000000002E-3</v>
      </c>
      <c r="AU111">
        <v>1.7100000000000001E-2</v>
      </c>
    </row>
    <row r="112" spans="1:47">
      <c r="A112" s="2" t="s">
        <v>191</v>
      </c>
      <c r="B112" s="2" t="s">
        <v>192</v>
      </c>
      <c r="C112">
        <v>9869.52</v>
      </c>
      <c r="D112">
        <v>17619.04</v>
      </c>
      <c r="E112">
        <v>173891420.91999999</v>
      </c>
      <c r="F112">
        <v>165</v>
      </c>
      <c r="G112">
        <v>1760.75</v>
      </c>
      <c r="H112">
        <v>738.5</v>
      </c>
      <c r="I112" s="274">
        <v>2664.25</v>
      </c>
      <c r="J112">
        <v>1858364.06</v>
      </c>
      <c r="K112">
        <v>17333585.620000001</v>
      </c>
      <c r="L112">
        <v>7179705.3099999996</v>
      </c>
      <c r="M112">
        <v>-1387544.77</v>
      </c>
      <c r="N112">
        <v>24609245.309999999</v>
      </c>
      <c r="O112" s="274">
        <v>2932614.2</v>
      </c>
      <c r="P112">
        <v>5749965.5700000003</v>
      </c>
      <c r="Q112">
        <v>3443.75</v>
      </c>
      <c r="R112">
        <v>2235.25</v>
      </c>
      <c r="S112">
        <v>510.5</v>
      </c>
      <c r="T112" s="274">
        <f t="shared" si="7"/>
        <v>6189.5</v>
      </c>
      <c r="U112">
        <v>10012618.869999999</v>
      </c>
      <c r="V112">
        <v>880.95</v>
      </c>
      <c r="W112">
        <v>574720.23</v>
      </c>
      <c r="X112">
        <v>655.34</v>
      </c>
      <c r="Y112">
        <v>125.7</v>
      </c>
      <c r="Z112">
        <v>360.64</v>
      </c>
      <c r="AA112">
        <v>6592914.0599999996</v>
      </c>
      <c r="AB112">
        <v>1262862.1599999999</v>
      </c>
      <c r="AC112">
        <v>4127314.32</v>
      </c>
      <c r="AD112">
        <v>694614.82</v>
      </c>
      <c r="AE112">
        <v>6898230.1500000004</v>
      </c>
      <c r="AF112">
        <v>5260412.37</v>
      </c>
      <c r="AG112">
        <v>9348268.5899999999</v>
      </c>
      <c r="AH112">
        <v>1.18</v>
      </c>
      <c r="AI112">
        <v>68937</v>
      </c>
      <c r="AJ112">
        <v>67585</v>
      </c>
      <c r="AK112">
        <v>100321</v>
      </c>
      <c r="AL112">
        <v>102327</v>
      </c>
      <c r="AM112">
        <v>48483</v>
      </c>
      <c r="AN112">
        <v>49453</v>
      </c>
      <c r="AO112">
        <v>1.1200000000000001</v>
      </c>
      <c r="AP112">
        <v>21388484.66</v>
      </c>
      <c r="AQ112">
        <v>1400662.03</v>
      </c>
      <c r="AR112">
        <v>354.28100000000001</v>
      </c>
      <c r="AS112">
        <v>4.8578999999999997E-2</v>
      </c>
      <c r="AT112">
        <v>4.0270000000000002E-3</v>
      </c>
      <c r="AU112">
        <v>1.7100000000000001E-2</v>
      </c>
    </row>
    <row r="113" spans="1:47">
      <c r="A113" s="2" t="s">
        <v>193</v>
      </c>
      <c r="B113" s="2" t="s">
        <v>194</v>
      </c>
      <c r="C113">
        <v>9226.07</v>
      </c>
      <c r="D113">
        <v>1481.53</v>
      </c>
      <c r="E113">
        <v>13668706.779999999</v>
      </c>
      <c r="F113">
        <v>12.5</v>
      </c>
      <c r="G113">
        <v>129</v>
      </c>
      <c r="H113">
        <v>36</v>
      </c>
      <c r="I113" s="274">
        <v>177.5</v>
      </c>
      <c r="J113">
        <v>131478.06</v>
      </c>
      <c r="K113">
        <v>1185980.5</v>
      </c>
      <c r="L113">
        <v>326855.46999999997</v>
      </c>
      <c r="M113">
        <v>0</v>
      </c>
      <c r="N113">
        <v>1509139.5</v>
      </c>
      <c r="O113" s="274">
        <v>175082.16999999998</v>
      </c>
      <c r="P113">
        <v>273097.55</v>
      </c>
      <c r="Q113">
        <v>43.5</v>
      </c>
      <c r="R113">
        <v>31.25</v>
      </c>
      <c r="S113">
        <v>6</v>
      </c>
      <c r="T113" s="274">
        <f t="shared" si="7"/>
        <v>80.75</v>
      </c>
      <c r="U113">
        <v>126214.73</v>
      </c>
      <c r="V113">
        <v>74.08</v>
      </c>
      <c r="W113">
        <v>46181.39</v>
      </c>
      <c r="X113">
        <v>96.95</v>
      </c>
      <c r="Y113">
        <v>21.13</v>
      </c>
      <c r="Z113">
        <v>0</v>
      </c>
      <c r="AA113">
        <v>938620.78</v>
      </c>
      <c r="AB113">
        <v>204161.27</v>
      </c>
      <c r="AC113">
        <v>0</v>
      </c>
      <c r="AD113">
        <v>15277.47</v>
      </c>
      <c r="AE113">
        <v>936769.63</v>
      </c>
      <c r="AF113">
        <v>13411</v>
      </c>
      <c r="AG113">
        <v>225715.63</v>
      </c>
      <c r="AH113">
        <v>1.1200000000000001</v>
      </c>
      <c r="AI113">
        <v>68937</v>
      </c>
      <c r="AJ113">
        <v>67585</v>
      </c>
      <c r="AK113">
        <v>100321</v>
      </c>
      <c r="AL113">
        <v>102327</v>
      </c>
      <c r="AM113">
        <v>48483</v>
      </c>
      <c r="AN113">
        <v>49453</v>
      </c>
      <c r="AO113">
        <v>1.18</v>
      </c>
      <c r="AP113">
        <v>1703488.49</v>
      </c>
      <c r="AQ113">
        <v>99645.35</v>
      </c>
      <c r="AR113">
        <v>18.64</v>
      </c>
      <c r="AS113">
        <v>4.8578999999999997E-2</v>
      </c>
      <c r="AT113">
        <v>4.0270000000000002E-3</v>
      </c>
      <c r="AU113">
        <v>1.7100000000000001E-2</v>
      </c>
    </row>
    <row r="114" spans="1:47">
      <c r="A114" s="2" t="s">
        <v>195</v>
      </c>
      <c r="B114" s="2" t="s">
        <v>196</v>
      </c>
      <c r="C114">
        <v>9820.18</v>
      </c>
      <c r="D114">
        <v>14798.94</v>
      </c>
      <c r="E114">
        <v>145328295.86000001</v>
      </c>
      <c r="F114">
        <v>179.25</v>
      </c>
      <c r="G114">
        <v>1012.75</v>
      </c>
      <c r="H114">
        <v>949</v>
      </c>
      <c r="I114" s="274">
        <v>2141</v>
      </c>
      <c r="J114">
        <v>2005775.59</v>
      </c>
      <c r="K114">
        <v>9905208.5700000003</v>
      </c>
      <c r="L114">
        <v>9166275.7899999991</v>
      </c>
      <c r="M114">
        <v>0</v>
      </c>
      <c r="N114">
        <v>19034860.25</v>
      </c>
      <c r="O114" s="274">
        <v>2552311.75</v>
      </c>
      <c r="P114">
        <v>5644646.0599999996</v>
      </c>
      <c r="Q114">
        <v>2059.25</v>
      </c>
      <c r="R114">
        <v>974.75</v>
      </c>
      <c r="S114">
        <v>459</v>
      </c>
      <c r="T114" s="274">
        <f t="shared" si="7"/>
        <v>3493</v>
      </c>
      <c r="U114">
        <v>5385509.21</v>
      </c>
      <c r="V114">
        <v>739.95</v>
      </c>
      <c r="W114">
        <v>482710.59</v>
      </c>
      <c r="X114">
        <v>1252.92</v>
      </c>
      <c r="Y114">
        <v>190.06</v>
      </c>
      <c r="Z114">
        <v>0</v>
      </c>
      <c r="AA114">
        <v>12604452.01</v>
      </c>
      <c r="AB114">
        <v>1909145.32</v>
      </c>
      <c r="AC114">
        <v>0</v>
      </c>
      <c r="AD114">
        <v>1128192.8999999999</v>
      </c>
      <c r="AE114">
        <v>7438198.8300000001</v>
      </c>
      <c r="AF114">
        <v>2485846.25</v>
      </c>
      <c r="AG114">
        <v>5834679.3399999999</v>
      </c>
      <c r="AH114">
        <v>1.18</v>
      </c>
      <c r="AI114">
        <v>68937</v>
      </c>
      <c r="AJ114">
        <v>67585</v>
      </c>
      <c r="AK114">
        <v>100321</v>
      </c>
      <c r="AL114">
        <v>102327</v>
      </c>
      <c r="AM114">
        <v>48483</v>
      </c>
      <c r="AN114">
        <v>49453</v>
      </c>
      <c r="AO114">
        <v>1.18</v>
      </c>
      <c r="AP114">
        <v>17253608.43</v>
      </c>
      <c r="AQ114">
        <v>1127009.8600000001</v>
      </c>
      <c r="AR114">
        <v>296.44499999999999</v>
      </c>
      <c r="AS114">
        <v>4.8578999999999997E-2</v>
      </c>
      <c r="AT114">
        <v>4.0270000000000002E-3</v>
      </c>
      <c r="AU114">
        <v>1.7100000000000001E-2</v>
      </c>
    </row>
    <row r="115" spans="1:47">
      <c r="A115" s="2" t="s">
        <v>197</v>
      </c>
      <c r="B115" s="2" t="s">
        <v>198</v>
      </c>
      <c r="C115">
        <v>59433.16</v>
      </c>
      <c r="D115">
        <v>36.19</v>
      </c>
      <c r="E115">
        <v>2150886</v>
      </c>
      <c r="F115">
        <v>0.75</v>
      </c>
      <c r="G115">
        <v>12.5</v>
      </c>
      <c r="H115">
        <v>0</v>
      </c>
      <c r="I115" s="274">
        <v>13.25</v>
      </c>
      <c r="J115">
        <v>8368.94</v>
      </c>
      <c r="K115">
        <v>121914.92</v>
      </c>
      <c r="L115">
        <v>0</v>
      </c>
      <c r="M115">
        <v>-74264.33</v>
      </c>
      <c r="N115">
        <v>121289</v>
      </c>
      <c r="O115" s="274">
        <v>8379.7000000000007</v>
      </c>
      <c r="P115">
        <v>9633.42</v>
      </c>
      <c r="Q115">
        <v>1</v>
      </c>
      <c r="R115">
        <v>0</v>
      </c>
      <c r="S115">
        <v>0</v>
      </c>
      <c r="T115" s="274">
        <f t="shared" si="7"/>
        <v>1</v>
      </c>
      <c r="U115">
        <v>0</v>
      </c>
      <c r="V115">
        <v>0</v>
      </c>
      <c r="W115">
        <v>0</v>
      </c>
      <c r="X115">
        <v>0</v>
      </c>
      <c r="Y115">
        <v>0</v>
      </c>
      <c r="Z115">
        <v>0</v>
      </c>
      <c r="AA115">
        <v>0</v>
      </c>
      <c r="AB115">
        <v>0</v>
      </c>
      <c r="AC115">
        <v>0</v>
      </c>
      <c r="AD115">
        <v>15623.49</v>
      </c>
      <c r="AE115">
        <v>51353.85</v>
      </c>
      <c r="AF115">
        <v>14957.24</v>
      </c>
      <c r="AG115">
        <v>24815.4</v>
      </c>
      <c r="AH115">
        <v>1.18</v>
      </c>
      <c r="AI115">
        <v>68937</v>
      </c>
      <c r="AJ115">
        <v>67585</v>
      </c>
      <c r="AK115">
        <v>100321</v>
      </c>
      <c r="AL115">
        <v>102327</v>
      </c>
      <c r="AM115">
        <v>48483</v>
      </c>
      <c r="AN115">
        <v>49453</v>
      </c>
      <c r="AO115">
        <v>1.1200000000000001</v>
      </c>
      <c r="AP115">
        <v>189548.51</v>
      </c>
      <c r="AQ115">
        <v>20753.41</v>
      </c>
      <c r="AR115">
        <v>0.65200000000000002</v>
      </c>
      <c r="AS115">
        <v>4.8578999999999997E-2</v>
      </c>
      <c r="AT115">
        <v>4.0270000000000002E-3</v>
      </c>
      <c r="AU115">
        <v>1.7100000000000001E-2</v>
      </c>
    </row>
    <row r="116" spans="1:47">
      <c r="A116" s="2" t="s">
        <v>199</v>
      </c>
      <c r="B116" s="2" t="s">
        <v>200</v>
      </c>
      <c r="C116">
        <v>9045.89</v>
      </c>
      <c r="D116">
        <v>18956.59</v>
      </c>
      <c r="E116">
        <v>171479158.84</v>
      </c>
      <c r="F116">
        <v>115.75</v>
      </c>
      <c r="G116">
        <v>1069.5</v>
      </c>
      <c r="H116">
        <v>536</v>
      </c>
      <c r="I116" s="274">
        <v>1721.25</v>
      </c>
      <c r="J116">
        <v>1198655.43</v>
      </c>
      <c r="K116">
        <v>9677655.4800000004</v>
      </c>
      <c r="L116">
        <v>4789806.34</v>
      </c>
      <c r="M116">
        <v>0</v>
      </c>
      <c r="N116">
        <v>14439244.91</v>
      </c>
      <c r="O116" s="274">
        <v>1973244.39</v>
      </c>
      <c r="P116">
        <v>3062908.74</v>
      </c>
      <c r="Q116">
        <v>2086</v>
      </c>
      <c r="R116">
        <v>882</v>
      </c>
      <c r="S116">
        <v>914</v>
      </c>
      <c r="T116" s="274">
        <f t="shared" si="7"/>
        <v>3882</v>
      </c>
      <c r="U116">
        <v>5646580.8499999996</v>
      </c>
      <c r="V116">
        <v>947.83</v>
      </c>
      <c r="W116">
        <v>618345.48</v>
      </c>
      <c r="X116">
        <v>765.04</v>
      </c>
      <c r="Y116">
        <v>248.93</v>
      </c>
      <c r="Z116">
        <v>0</v>
      </c>
      <c r="AA116">
        <v>7696543.3899999997</v>
      </c>
      <c r="AB116">
        <v>2500695.3199999998</v>
      </c>
      <c r="AC116">
        <v>0</v>
      </c>
      <c r="AD116">
        <v>1056513.75</v>
      </c>
      <c r="AE116">
        <v>9612128.8499999996</v>
      </c>
      <c r="AF116">
        <v>140960.57</v>
      </c>
      <c r="AG116">
        <v>2263527.4300000002</v>
      </c>
      <c r="AH116">
        <v>1.18</v>
      </c>
      <c r="AI116">
        <v>68937</v>
      </c>
      <c r="AJ116">
        <v>67585</v>
      </c>
      <c r="AK116">
        <v>100321</v>
      </c>
      <c r="AL116">
        <v>102327</v>
      </c>
      <c r="AM116">
        <v>48483</v>
      </c>
      <c r="AN116">
        <v>49453</v>
      </c>
      <c r="AO116">
        <v>1.18</v>
      </c>
      <c r="AP116">
        <v>23773804.620000001</v>
      </c>
      <c r="AQ116">
        <v>1336654.1200000001</v>
      </c>
      <c r="AR116">
        <v>218.28</v>
      </c>
      <c r="AS116">
        <v>4.8578999999999997E-2</v>
      </c>
      <c r="AT116">
        <v>4.0270000000000002E-3</v>
      </c>
      <c r="AU116">
        <v>1.7100000000000001E-2</v>
      </c>
    </row>
    <row r="117" spans="1:47">
      <c r="A117" s="2" t="s">
        <v>201</v>
      </c>
      <c r="B117" s="2" t="s">
        <v>202</v>
      </c>
      <c r="C117">
        <v>9805.65</v>
      </c>
      <c r="D117">
        <v>2532.5300000000002</v>
      </c>
      <c r="E117">
        <v>24833109.82</v>
      </c>
      <c r="F117">
        <v>28</v>
      </c>
      <c r="G117">
        <v>180.5</v>
      </c>
      <c r="H117">
        <v>148.25</v>
      </c>
      <c r="I117" s="274">
        <v>356.75</v>
      </c>
      <c r="J117">
        <v>314557.61</v>
      </c>
      <c r="K117">
        <v>1772139.35</v>
      </c>
      <c r="L117">
        <v>1437407.64</v>
      </c>
      <c r="M117">
        <v>0</v>
      </c>
      <c r="N117">
        <v>3191978.27</v>
      </c>
      <c r="O117" s="274">
        <v>364838.19</v>
      </c>
      <c r="P117">
        <v>674030.89</v>
      </c>
      <c r="Q117">
        <v>620.75</v>
      </c>
      <c r="R117">
        <v>405.75</v>
      </c>
      <c r="S117">
        <v>19.5</v>
      </c>
      <c r="T117" s="274">
        <f t="shared" si="7"/>
        <v>1046</v>
      </c>
      <c r="U117">
        <v>1744896.82</v>
      </c>
      <c r="V117">
        <v>126.63</v>
      </c>
      <c r="W117">
        <v>82604.710000000006</v>
      </c>
      <c r="X117">
        <v>103.33</v>
      </c>
      <c r="Y117">
        <v>0</v>
      </c>
      <c r="Z117">
        <v>0</v>
      </c>
      <c r="AA117">
        <v>1039507.83</v>
      </c>
      <c r="AB117">
        <v>0</v>
      </c>
      <c r="AC117">
        <v>0</v>
      </c>
      <c r="AD117">
        <v>172529.55</v>
      </c>
      <c r="AE117">
        <v>921079.88</v>
      </c>
      <c r="AF117">
        <v>882929.8</v>
      </c>
      <c r="AG117">
        <v>1383543.75</v>
      </c>
      <c r="AH117">
        <v>1.18</v>
      </c>
      <c r="AI117">
        <v>68937</v>
      </c>
      <c r="AJ117">
        <v>67585</v>
      </c>
      <c r="AK117">
        <v>100321</v>
      </c>
      <c r="AL117">
        <v>102327</v>
      </c>
      <c r="AM117">
        <v>48483</v>
      </c>
      <c r="AN117">
        <v>49453</v>
      </c>
      <c r="AO117">
        <v>1.18</v>
      </c>
      <c r="AP117">
        <v>3281704.73</v>
      </c>
      <c r="AQ117">
        <v>212767.22</v>
      </c>
      <c r="AR117">
        <v>50.399000000000001</v>
      </c>
      <c r="AS117">
        <v>4.8578999999999997E-2</v>
      </c>
      <c r="AT117">
        <v>4.0270000000000002E-3</v>
      </c>
      <c r="AU117">
        <v>1.7100000000000001E-2</v>
      </c>
    </row>
    <row r="118" spans="1:47">
      <c r="A118" s="2" t="s">
        <v>203</v>
      </c>
      <c r="B118" s="2" t="s">
        <v>204</v>
      </c>
      <c r="C118">
        <v>9785.24</v>
      </c>
      <c r="D118">
        <v>3012.01</v>
      </c>
      <c r="E118">
        <v>29473245.550000001</v>
      </c>
      <c r="F118">
        <v>19</v>
      </c>
      <c r="G118">
        <v>238</v>
      </c>
      <c r="H118">
        <v>75.5</v>
      </c>
      <c r="I118" s="274">
        <v>332.5</v>
      </c>
      <c r="J118">
        <v>212985.5</v>
      </c>
      <c r="K118">
        <v>2332242.2400000002</v>
      </c>
      <c r="L118">
        <v>730650.64</v>
      </c>
      <c r="M118">
        <v>0</v>
      </c>
      <c r="N118">
        <v>3055878.87</v>
      </c>
      <c r="O118" s="274">
        <v>360994.6</v>
      </c>
      <c r="P118">
        <v>543408.31999999995</v>
      </c>
      <c r="Q118">
        <v>144</v>
      </c>
      <c r="R118">
        <v>49.75</v>
      </c>
      <c r="S118">
        <v>48.25</v>
      </c>
      <c r="T118" s="274">
        <f t="shared" si="7"/>
        <v>242</v>
      </c>
      <c r="U118">
        <v>353534.52</v>
      </c>
      <c r="V118">
        <v>150.6</v>
      </c>
      <c r="W118">
        <v>98241.8</v>
      </c>
      <c r="X118">
        <v>158.94</v>
      </c>
      <c r="Y118">
        <v>31.78</v>
      </c>
      <c r="Z118">
        <v>0</v>
      </c>
      <c r="AA118">
        <v>1598971.18</v>
      </c>
      <c r="AB118">
        <v>319281</v>
      </c>
      <c r="AC118">
        <v>0</v>
      </c>
      <c r="AD118">
        <v>400216.56</v>
      </c>
      <c r="AE118">
        <v>2288875.33</v>
      </c>
      <c r="AF118">
        <v>0</v>
      </c>
      <c r="AG118">
        <v>283280.86</v>
      </c>
      <c r="AH118">
        <v>1.18</v>
      </c>
      <c r="AI118">
        <v>68937</v>
      </c>
      <c r="AJ118">
        <v>67585</v>
      </c>
      <c r="AK118">
        <v>100321</v>
      </c>
      <c r="AL118">
        <v>102327</v>
      </c>
      <c r="AM118">
        <v>48483</v>
      </c>
      <c r="AN118">
        <v>49453</v>
      </c>
      <c r="AO118">
        <v>1.18</v>
      </c>
      <c r="AP118">
        <v>3581456.04</v>
      </c>
      <c r="AQ118">
        <v>232909.94</v>
      </c>
      <c r="AR118">
        <v>56.831000000000003</v>
      </c>
      <c r="AS118">
        <v>4.8578999999999997E-2</v>
      </c>
      <c r="AT118">
        <v>4.0270000000000002E-3</v>
      </c>
      <c r="AU118">
        <v>1.7100000000000001E-2</v>
      </c>
    </row>
    <row r="119" spans="1:47">
      <c r="A119" s="2" t="s">
        <v>205</v>
      </c>
      <c r="B119" s="2" t="s">
        <v>206</v>
      </c>
      <c r="C119">
        <v>9663.8700000000008</v>
      </c>
      <c r="D119">
        <v>16785.93</v>
      </c>
      <c r="E119">
        <v>162216997.87</v>
      </c>
      <c r="F119">
        <v>171.75</v>
      </c>
      <c r="G119">
        <v>981.25</v>
      </c>
      <c r="H119">
        <v>765.25</v>
      </c>
      <c r="I119" s="274">
        <v>1918.25</v>
      </c>
      <c r="J119">
        <v>1895436.61</v>
      </c>
      <c r="K119">
        <v>9465749.8499999996</v>
      </c>
      <c r="L119">
        <v>7290282.1500000004</v>
      </c>
      <c r="M119">
        <v>0</v>
      </c>
      <c r="N119">
        <v>16645198.630000001</v>
      </c>
      <c r="O119" s="274">
        <v>2188945.16</v>
      </c>
      <c r="P119">
        <v>4204289.79</v>
      </c>
      <c r="Q119">
        <v>2679</v>
      </c>
      <c r="R119">
        <v>1330.75</v>
      </c>
      <c r="S119">
        <v>506.75</v>
      </c>
      <c r="T119" s="274">
        <f t="shared" si="7"/>
        <v>4516.5</v>
      </c>
      <c r="U119">
        <v>6945636.0999999996</v>
      </c>
      <c r="V119">
        <v>839.3</v>
      </c>
      <c r="W119">
        <v>539215.53</v>
      </c>
      <c r="X119">
        <v>757.96</v>
      </c>
      <c r="Y119">
        <v>216.88</v>
      </c>
      <c r="Z119">
        <v>0</v>
      </c>
      <c r="AA119">
        <v>7529305.5899999999</v>
      </c>
      <c r="AB119">
        <v>2151234.11</v>
      </c>
      <c r="AC119">
        <v>0</v>
      </c>
      <c r="AD119">
        <v>551165.41</v>
      </c>
      <c r="AE119">
        <v>8942118.1199999992</v>
      </c>
      <c r="AF119">
        <v>3507802.32</v>
      </c>
      <c r="AG119">
        <v>6499712.0099999998</v>
      </c>
      <c r="AH119">
        <v>1.1599999999999999</v>
      </c>
      <c r="AI119">
        <v>68937</v>
      </c>
      <c r="AJ119">
        <v>67585</v>
      </c>
      <c r="AK119">
        <v>100321</v>
      </c>
      <c r="AL119">
        <v>102327</v>
      </c>
      <c r="AM119">
        <v>48483</v>
      </c>
      <c r="AN119">
        <v>49453</v>
      </c>
      <c r="AO119">
        <v>1.18</v>
      </c>
      <c r="AP119">
        <v>21391748.460000001</v>
      </c>
      <c r="AQ119">
        <v>1354434.62</v>
      </c>
      <c r="AR119">
        <v>326.19200000000001</v>
      </c>
      <c r="AS119">
        <v>4.8578999999999997E-2</v>
      </c>
      <c r="AT119">
        <v>4.0270000000000002E-3</v>
      </c>
      <c r="AU119">
        <v>1.7100000000000001E-2</v>
      </c>
    </row>
    <row r="120" spans="1:47">
      <c r="A120" s="2" t="s">
        <v>207</v>
      </c>
      <c r="B120" s="2" t="s">
        <v>208</v>
      </c>
      <c r="C120">
        <v>10034.75</v>
      </c>
      <c r="D120">
        <v>8668.48</v>
      </c>
      <c r="E120">
        <v>86986052.670000002</v>
      </c>
      <c r="F120">
        <v>99</v>
      </c>
      <c r="G120">
        <v>514.25</v>
      </c>
      <c r="H120">
        <v>495.25</v>
      </c>
      <c r="I120" s="274">
        <v>1108.5</v>
      </c>
      <c r="J120">
        <v>1134837.45</v>
      </c>
      <c r="K120">
        <v>5153200.8899999997</v>
      </c>
      <c r="L120">
        <v>4901098.42</v>
      </c>
      <c r="M120">
        <v>0</v>
      </c>
      <c r="N120">
        <v>10062524.390000001</v>
      </c>
      <c r="O120" s="274">
        <v>1231269.1400000001</v>
      </c>
      <c r="P120">
        <v>2429853.4900000002</v>
      </c>
      <c r="Q120">
        <v>296.25</v>
      </c>
      <c r="R120">
        <v>59.75</v>
      </c>
      <c r="S120">
        <v>123</v>
      </c>
      <c r="T120" s="274">
        <f t="shared" si="7"/>
        <v>479</v>
      </c>
      <c r="U120">
        <v>681612.76</v>
      </c>
      <c r="V120">
        <v>433.42</v>
      </c>
      <c r="W120">
        <v>291252.58</v>
      </c>
      <c r="X120">
        <v>528.95000000000005</v>
      </c>
      <c r="Y120">
        <v>38.25</v>
      </c>
      <c r="Z120">
        <v>0</v>
      </c>
      <c r="AA120">
        <v>5421278.2000000002</v>
      </c>
      <c r="AB120">
        <v>391450.47</v>
      </c>
      <c r="AC120">
        <v>0</v>
      </c>
      <c r="AD120">
        <v>600883.73</v>
      </c>
      <c r="AE120">
        <v>4348875.74</v>
      </c>
      <c r="AF120">
        <v>0</v>
      </c>
      <c r="AG120">
        <v>819359.48</v>
      </c>
      <c r="AH120">
        <v>1.18</v>
      </c>
      <c r="AI120">
        <v>68937</v>
      </c>
      <c r="AJ120">
        <v>67585</v>
      </c>
      <c r="AK120">
        <v>100321</v>
      </c>
      <c r="AL120">
        <v>102327</v>
      </c>
      <c r="AM120">
        <v>48483</v>
      </c>
      <c r="AN120">
        <v>49453</v>
      </c>
      <c r="AO120">
        <v>1.18</v>
      </c>
      <c r="AP120">
        <v>11012427.619999999</v>
      </c>
      <c r="AQ120">
        <v>742027.96</v>
      </c>
      <c r="AR120">
        <v>175.739</v>
      </c>
      <c r="AS120">
        <v>4.8578999999999997E-2</v>
      </c>
      <c r="AT120">
        <v>4.0270000000000002E-3</v>
      </c>
      <c r="AU120">
        <v>1.7100000000000001E-2</v>
      </c>
    </row>
    <row r="121" spans="1:47">
      <c r="A121" s="2" t="s">
        <v>209</v>
      </c>
      <c r="B121" s="2" t="s">
        <v>210</v>
      </c>
      <c r="C121">
        <v>9817.43</v>
      </c>
      <c r="D121">
        <v>7096.08</v>
      </c>
      <c r="E121">
        <v>69665266.340000004</v>
      </c>
      <c r="F121">
        <v>59.5</v>
      </c>
      <c r="G121">
        <v>424.5</v>
      </c>
      <c r="H121">
        <v>235.75</v>
      </c>
      <c r="I121" s="274">
        <v>719.75</v>
      </c>
      <c r="J121">
        <v>668433.56000000006</v>
      </c>
      <c r="K121">
        <v>4168278.58</v>
      </c>
      <c r="L121">
        <v>2286104.4700000002</v>
      </c>
      <c r="M121">
        <v>0</v>
      </c>
      <c r="N121">
        <v>6449883.21</v>
      </c>
      <c r="O121" s="274">
        <v>791821.64</v>
      </c>
      <c r="P121">
        <v>1418494.6</v>
      </c>
      <c r="Q121">
        <v>185.75</v>
      </c>
      <c r="R121">
        <v>69.25</v>
      </c>
      <c r="S121">
        <v>99.5</v>
      </c>
      <c r="T121" s="274">
        <f t="shared" si="7"/>
        <v>354.5</v>
      </c>
      <c r="U121">
        <v>500274</v>
      </c>
      <c r="V121">
        <v>354.8</v>
      </c>
      <c r="W121">
        <v>231497.12</v>
      </c>
      <c r="X121">
        <v>378.43</v>
      </c>
      <c r="Y121">
        <v>71.22</v>
      </c>
      <c r="Z121">
        <v>0</v>
      </c>
      <c r="AA121">
        <v>3807118.56</v>
      </c>
      <c r="AB121">
        <v>715643.99</v>
      </c>
      <c r="AC121">
        <v>0</v>
      </c>
      <c r="AD121">
        <v>571018.9</v>
      </c>
      <c r="AE121">
        <v>3796937.43</v>
      </c>
      <c r="AF121">
        <v>0</v>
      </c>
      <c r="AG121">
        <v>445997.41</v>
      </c>
      <c r="AH121">
        <v>1.18</v>
      </c>
      <c r="AI121">
        <v>68937</v>
      </c>
      <c r="AJ121">
        <v>67585</v>
      </c>
      <c r="AK121">
        <v>100321</v>
      </c>
      <c r="AL121">
        <v>102327</v>
      </c>
      <c r="AM121">
        <v>48483</v>
      </c>
      <c r="AN121">
        <v>49453</v>
      </c>
      <c r="AO121">
        <v>1.1599999999999999</v>
      </c>
      <c r="AP121">
        <v>8585227.3100000005</v>
      </c>
      <c r="AQ121">
        <v>561907.88</v>
      </c>
      <c r="AR121">
        <v>140.30500000000001</v>
      </c>
      <c r="AS121">
        <v>4.8578999999999997E-2</v>
      </c>
      <c r="AT121">
        <v>4.0270000000000002E-3</v>
      </c>
      <c r="AU121">
        <v>1.7100000000000001E-2</v>
      </c>
    </row>
    <row r="122" spans="1:47">
      <c r="A122" s="2" t="s">
        <v>211</v>
      </c>
      <c r="B122" s="2" t="s">
        <v>212</v>
      </c>
      <c r="C122">
        <v>9766.33</v>
      </c>
      <c r="D122">
        <v>19237.55</v>
      </c>
      <c r="E122">
        <v>187880335.99000001</v>
      </c>
      <c r="F122">
        <v>124</v>
      </c>
      <c r="G122">
        <v>1022</v>
      </c>
      <c r="H122">
        <v>545.25</v>
      </c>
      <c r="I122" s="274">
        <v>1691.25</v>
      </c>
      <c r="J122">
        <v>1384208.22</v>
      </c>
      <c r="K122">
        <v>9971288.0999999996</v>
      </c>
      <c r="L122">
        <v>5253650.24</v>
      </c>
      <c r="M122">
        <v>0</v>
      </c>
      <c r="N122">
        <v>15213186.039999999</v>
      </c>
      <c r="O122" s="274">
        <v>1745401.13</v>
      </c>
      <c r="P122">
        <v>3652132.1</v>
      </c>
      <c r="Q122">
        <v>1025.75</v>
      </c>
      <c r="R122">
        <v>239.5</v>
      </c>
      <c r="S122">
        <v>657</v>
      </c>
      <c r="T122" s="274">
        <f t="shared" si="7"/>
        <v>1922.25</v>
      </c>
      <c r="U122">
        <v>2566977.9</v>
      </c>
      <c r="V122">
        <v>961.88</v>
      </c>
      <c r="W122">
        <v>627523.78</v>
      </c>
      <c r="X122">
        <v>1053.8399999999999</v>
      </c>
      <c r="Y122">
        <v>100.48</v>
      </c>
      <c r="Z122">
        <v>0</v>
      </c>
      <c r="AA122">
        <v>10601645.449999999</v>
      </c>
      <c r="AB122">
        <v>1009231.28</v>
      </c>
      <c r="AC122">
        <v>0</v>
      </c>
      <c r="AD122">
        <v>1544650.87</v>
      </c>
      <c r="AE122">
        <v>9132093.7300000004</v>
      </c>
      <c r="AF122">
        <v>0</v>
      </c>
      <c r="AG122">
        <v>1234651.32</v>
      </c>
      <c r="AH122">
        <v>1.18</v>
      </c>
      <c r="AI122">
        <v>68937</v>
      </c>
      <c r="AJ122">
        <v>67585</v>
      </c>
      <c r="AK122">
        <v>100321</v>
      </c>
      <c r="AL122">
        <v>102327</v>
      </c>
      <c r="AM122">
        <v>48483</v>
      </c>
      <c r="AN122">
        <v>49453</v>
      </c>
      <c r="AO122">
        <v>1.18</v>
      </c>
      <c r="AP122">
        <v>24408245.77</v>
      </c>
      <c r="AQ122">
        <v>1567607.89</v>
      </c>
      <c r="AR122">
        <v>353.51600000000002</v>
      </c>
      <c r="AS122">
        <v>4.8578999999999997E-2</v>
      </c>
      <c r="AT122">
        <v>4.0270000000000002E-3</v>
      </c>
      <c r="AU122">
        <v>1.7100000000000001E-2</v>
      </c>
    </row>
    <row r="123" spans="1:47">
      <c r="A123" s="2" t="s">
        <v>213</v>
      </c>
      <c r="B123" s="2" t="s">
        <v>214</v>
      </c>
      <c r="C123">
        <v>9771.9</v>
      </c>
      <c r="D123">
        <v>9090.7900000000009</v>
      </c>
      <c r="E123">
        <v>88834296.849999994</v>
      </c>
      <c r="F123">
        <v>75.75</v>
      </c>
      <c r="G123">
        <v>713</v>
      </c>
      <c r="H123">
        <v>320.5</v>
      </c>
      <c r="I123" s="274">
        <v>1109.25</v>
      </c>
      <c r="J123">
        <v>847784.08</v>
      </c>
      <c r="K123">
        <v>6974915.6900000004</v>
      </c>
      <c r="L123">
        <v>3096299.12</v>
      </c>
      <c r="M123">
        <v>0</v>
      </c>
      <c r="N123">
        <v>9980227.5299999993</v>
      </c>
      <c r="O123" s="274">
        <v>1247285.3400000001</v>
      </c>
      <c r="P123">
        <v>2233129.91</v>
      </c>
      <c r="Q123">
        <v>599.5</v>
      </c>
      <c r="R123">
        <v>239</v>
      </c>
      <c r="S123">
        <v>201</v>
      </c>
      <c r="T123" s="274">
        <f t="shared" si="7"/>
        <v>1039.5</v>
      </c>
      <c r="U123">
        <v>1560525.14</v>
      </c>
      <c r="V123">
        <v>454.54</v>
      </c>
      <c r="W123">
        <v>301038.93</v>
      </c>
      <c r="X123">
        <v>407.12</v>
      </c>
      <c r="Y123">
        <v>34.69</v>
      </c>
      <c r="Z123">
        <v>0</v>
      </c>
      <c r="AA123">
        <v>4147133.49</v>
      </c>
      <c r="AB123">
        <v>352732.94</v>
      </c>
      <c r="AC123">
        <v>0</v>
      </c>
      <c r="AD123">
        <v>427673.14</v>
      </c>
      <c r="AE123">
        <v>3717874.88</v>
      </c>
      <c r="AF123">
        <v>0</v>
      </c>
      <c r="AG123">
        <v>1703164.92</v>
      </c>
      <c r="AH123">
        <v>1.2</v>
      </c>
      <c r="AI123">
        <v>68937</v>
      </c>
      <c r="AJ123">
        <v>67585</v>
      </c>
      <c r="AK123">
        <v>100321</v>
      </c>
      <c r="AL123">
        <v>102327</v>
      </c>
      <c r="AM123">
        <v>48483</v>
      </c>
      <c r="AN123">
        <v>49453</v>
      </c>
      <c r="AO123">
        <v>1.18</v>
      </c>
      <c r="AP123">
        <v>11686732.939999999</v>
      </c>
      <c r="AQ123">
        <v>748181.64</v>
      </c>
      <c r="AR123">
        <v>162.84399999999999</v>
      </c>
      <c r="AS123">
        <v>4.8578999999999997E-2</v>
      </c>
      <c r="AT123">
        <v>4.0270000000000002E-3</v>
      </c>
      <c r="AU123">
        <v>1.7100000000000001E-2</v>
      </c>
    </row>
    <row r="124" spans="1:47">
      <c r="A124" s="2" t="s">
        <v>215</v>
      </c>
      <c r="B124" s="2" t="s">
        <v>216</v>
      </c>
      <c r="C124">
        <v>9893.8700000000008</v>
      </c>
      <c r="D124">
        <v>30577.48</v>
      </c>
      <c r="E124">
        <v>302529502.68000001</v>
      </c>
      <c r="F124">
        <v>214.25</v>
      </c>
      <c r="G124">
        <v>1818.75</v>
      </c>
      <c r="H124">
        <v>926.25</v>
      </c>
      <c r="I124" s="274">
        <v>2959.25</v>
      </c>
      <c r="J124">
        <v>2414834.0299999998</v>
      </c>
      <c r="K124">
        <v>17918865.530000001</v>
      </c>
      <c r="L124">
        <v>9012213.5399999991</v>
      </c>
      <c r="M124">
        <v>0</v>
      </c>
      <c r="N124">
        <v>26896284.48</v>
      </c>
      <c r="O124" s="274">
        <v>3328100.9</v>
      </c>
      <c r="P124">
        <v>6138186.3200000003</v>
      </c>
      <c r="Q124">
        <v>2776.5</v>
      </c>
      <c r="R124">
        <v>689.5</v>
      </c>
      <c r="S124">
        <v>1325.5</v>
      </c>
      <c r="T124" s="274">
        <f t="shared" si="7"/>
        <v>4791.5</v>
      </c>
      <c r="U124">
        <v>6622200.1500000004</v>
      </c>
      <c r="V124">
        <v>1528.87</v>
      </c>
      <c r="W124">
        <v>997375.27</v>
      </c>
      <c r="X124">
        <v>1625.12</v>
      </c>
      <c r="Y124">
        <v>317.70999999999998</v>
      </c>
      <c r="Z124">
        <v>312.97000000000003</v>
      </c>
      <c r="AA124">
        <v>16348918.210000001</v>
      </c>
      <c r="AB124">
        <v>3191589.66</v>
      </c>
      <c r="AC124">
        <v>3581750.53</v>
      </c>
      <c r="AD124">
        <v>1152150.52</v>
      </c>
      <c r="AE124">
        <v>11224335.300000001</v>
      </c>
      <c r="AF124">
        <v>0</v>
      </c>
      <c r="AG124">
        <v>2143189.71</v>
      </c>
      <c r="AH124">
        <v>1.18</v>
      </c>
      <c r="AI124">
        <v>68937</v>
      </c>
      <c r="AJ124">
        <v>67585</v>
      </c>
      <c r="AK124">
        <v>100321</v>
      </c>
      <c r="AL124">
        <v>102327</v>
      </c>
      <c r="AM124">
        <v>48483</v>
      </c>
      <c r="AN124">
        <v>49453</v>
      </c>
      <c r="AO124">
        <v>1.18</v>
      </c>
      <c r="AP124">
        <v>38383082.719999999</v>
      </c>
      <c r="AQ124">
        <v>2516082.08</v>
      </c>
      <c r="AR124">
        <v>635.44899999999996</v>
      </c>
      <c r="AS124">
        <v>4.8578999999999997E-2</v>
      </c>
      <c r="AT124">
        <v>4.0270000000000002E-3</v>
      </c>
      <c r="AU124">
        <v>1.7100000000000001E-2</v>
      </c>
    </row>
    <row r="125" spans="1:47">
      <c r="A125" s="2" t="s">
        <v>217</v>
      </c>
      <c r="B125" s="2" t="s">
        <v>218</v>
      </c>
      <c r="C125">
        <v>9843.42</v>
      </c>
      <c r="D125">
        <v>24699.13</v>
      </c>
      <c r="E125">
        <v>243123892.66999999</v>
      </c>
      <c r="F125">
        <v>223.5</v>
      </c>
      <c r="G125">
        <v>1480.75</v>
      </c>
      <c r="H125">
        <v>1175.75</v>
      </c>
      <c r="I125" s="274">
        <v>2880</v>
      </c>
      <c r="J125">
        <v>2513987.23</v>
      </c>
      <c r="K125">
        <v>14558583.33</v>
      </c>
      <c r="L125">
        <v>11416102.76</v>
      </c>
      <c r="M125">
        <v>0</v>
      </c>
      <c r="N125">
        <v>25790315.43</v>
      </c>
      <c r="O125" s="274">
        <v>3386987.28</v>
      </c>
      <c r="P125">
        <v>6996480.3600000003</v>
      </c>
      <c r="Q125">
        <v>3871.75</v>
      </c>
      <c r="R125">
        <v>1934</v>
      </c>
      <c r="S125">
        <v>734.5</v>
      </c>
      <c r="T125" s="274">
        <f t="shared" si="7"/>
        <v>6540.25</v>
      </c>
      <c r="U125">
        <v>10216581.1</v>
      </c>
      <c r="V125">
        <v>1234.96</v>
      </c>
      <c r="W125">
        <v>805650.78</v>
      </c>
      <c r="X125">
        <v>1439.41</v>
      </c>
      <c r="Y125">
        <v>189.54</v>
      </c>
      <c r="Z125">
        <v>0</v>
      </c>
      <c r="AA125">
        <v>14480542.09</v>
      </c>
      <c r="AB125">
        <v>1904017.9</v>
      </c>
      <c r="AC125">
        <v>0</v>
      </c>
      <c r="AD125">
        <v>1309420.6200000001</v>
      </c>
      <c r="AE125">
        <v>12804045.359999999</v>
      </c>
      <c r="AF125">
        <v>3820665.69</v>
      </c>
      <c r="AG125">
        <v>9467926.4399999995</v>
      </c>
      <c r="AH125">
        <v>1.18</v>
      </c>
      <c r="AI125">
        <v>68937</v>
      </c>
      <c r="AJ125">
        <v>67585</v>
      </c>
      <c r="AK125">
        <v>100321</v>
      </c>
      <c r="AL125">
        <v>102327</v>
      </c>
      <c r="AM125">
        <v>48483</v>
      </c>
      <c r="AN125">
        <v>49453</v>
      </c>
      <c r="AO125">
        <v>1.2</v>
      </c>
      <c r="AP125">
        <v>30790048.219999999</v>
      </c>
      <c r="AQ125">
        <v>2011044.19</v>
      </c>
      <c r="AR125">
        <v>497.93799999999999</v>
      </c>
      <c r="AS125">
        <v>4.8578999999999997E-2</v>
      </c>
      <c r="AT125">
        <v>4.0270000000000002E-3</v>
      </c>
      <c r="AU125">
        <v>1.7100000000000001E-2</v>
      </c>
    </row>
    <row r="126" spans="1:47">
      <c r="A126" s="2" t="s">
        <v>219</v>
      </c>
      <c r="B126" s="2" t="s">
        <v>220</v>
      </c>
      <c r="C126">
        <v>9816.18</v>
      </c>
      <c r="D126">
        <v>22467.4</v>
      </c>
      <c r="E126">
        <v>220543939.38</v>
      </c>
      <c r="F126">
        <v>177.75</v>
      </c>
      <c r="G126">
        <v>1695.25</v>
      </c>
      <c r="H126">
        <v>925.5</v>
      </c>
      <c r="I126" s="274">
        <v>2798.5</v>
      </c>
      <c r="J126">
        <v>1998898.73</v>
      </c>
      <c r="K126">
        <v>16665478.279999999</v>
      </c>
      <c r="L126">
        <v>8985176.2599999998</v>
      </c>
      <c r="M126">
        <v>0</v>
      </c>
      <c r="N126">
        <v>25598322.809999999</v>
      </c>
      <c r="O126" s="274">
        <v>3272952.13</v>
      </c>
      <c r="P126">
        <v>6021779.6799999997</v>
      </c>
      <c r="Q126">
        <v>1565.5</v>
      </c>
      <c r="R126">
        <v>513.25</v>
      </c>
      <c r="S126">
        <v>552.75</v>
      </c>
      <c r="T126" s="274">
        <f t="shared" si="7"/>
        <v>2631.5</v>
      </c>
      <c r="U126">
        <v>3812507.21</v>
      </c>
      <c r="V126">
        <v>1123.3699999999999</v>
      </c>
      <c r="W126">
        <v>732904.25</v>
      </c>
      <c r="X126">
        <v>874.87</v>
      </c>
      <c r="Y126">
        <v>204.85</v>
      </c>
      <c r="Z126">
        <v>0</v>
      </c>
      <c r="AA126">
        <v>8801104.4900000002</v>
      </c>
      <c r="AB126">
        <v>2058060.77</v>
      </c>
      <c r="AC126">
        <v>0</v>
      </c>
      <c r="AD126">
        <v>931307.87</v>
      </c>
      <c r="AE126">
        <v>11452715.17</v>
      </c>
      <c r="AF126">
        <v>0</v>
      </c>
      <c r="AG126">
        <v>1833733.71</v>
      </c>
      <c r="AH126">
        <v>1.18</v>
      </c>
      <c r="AI126">
        <v>68937</v>
      </c>
      <c r="AJ126">
        <v>67585</v>
      </c>
      <c r="AK126">
        <v>100321</v>
      </c>
      <c r="AL126">
        <v>102327</v>
      </c>
      <c r="AM126">
        <v>48483</v>
      </c>
      <c r="AN126">
        <v>49453</v>
      </c>
      <c r="AO126">
        <v>1.18</v>
      </c>
      <c r="AP126">
        <v>28502397.23</v>
      </c>
      <c r="AQ126">
        <v>1854213.56</v>
      </c>
      <c r="AR126">
        <v>448.685</v>
      </c>
      <c r="AS126">
        <v>4.8578999999999997E-2</v>
      </c>
      <c r="AT126">
        <v>4.0270000000000002E-3</v>
      </c>
      <c r="AU126">
        <v>1.7100000000000001E-2</v>
      </c>
    </row>
    <row r="127" spans="1:47">
      <c r="A127" s="2" t="s">
        <v>1106</v>
      </c>
      <c r="B127" s="2" t="s">
        <v>1107</v>
      </c>
      <c r="C127">
        <v>0</v>
      </c>
      <c r="D127">
        <v>0</v>
      </c>
      <c r="E127">
        <v>0</v>
      </c>
      <c r="F127">
        <v>0</v>
      </c>
      <c r="G127">
        <v>0</v>
      </c>
      <c r="H127">
        <v>0</v>
      </c>
      <c r="I127" s="274">
        <v>0</v>
      </c>
      <c r="J127">
        <v>0</v>
      </c>
      <c r="K127">
        <v>0</v>
      </c>
      <c r="L127">
        <v>0</v>
      </c>
      <c r="M127">
        <v>0</v>
      </c>
      <c r="N127">
        <v>0</v>
      </c>
      <c r="O127" s="274">
        <v>0</v>
      </c>
      <c r="P127">
        <v>0</v>
      </c>
      <c r="Q127">
        <v>0</v>
      </c>
      <c r="R127">
        <v>0</v>
      </c>
      <c r="S127">
        <v>0</v>
      </c>
      <c r="T127" s="274">
        <f t="shared" si="7"/>
        <v>0</v>
      </c>
      <c r="U127">
        <v>0</v>
      </c>
      <c r="V127">
        <v>0</v>
      </c>
      <c r="W127">
        <v>0</v>
      </c>
      <c r="X127">
        <v>0</v>
      </c>
      <c r="Y127">
        <v>0</v>
      </c>
      <c r="Z127">
        <v>0</v>
      </c>
      <c r="AA127">
        <v>0</v>
      </c>
      <c r="AB127">
        <v>0</v>
      </c>
      <c r="AC127">
        <v>0</v>
      </c>
      <c r="AD127">
        <v>0</v>
      </c>
      <c r="AE127">
        <v>1808902.61</v>
      </c>
      <c r="AF127">
        <v>0</v>
      </c>
      <c r="AG127">
        <v>0</v>
      </c>
      <c r="AH127">
        <v>0</v>
      </c>
      <c r="AI127">
        <v>0</v>
      </c>
      <c r="AJ127">
        <v>0</v>
      </c>
      <c r="AK127">
        <v>100321</v>
      </c>
      <c r="AL127">
        <v>102327</v>
      </c>
      <c r="AM127">
        <v>48483</v>
      </c>
      <c r="AN127">
        <v>49453</v>
      </c>
      <c r="AO127">
        <v>1.18</v>
      </c>
      <c r="AP127">
        <v>0</v>
      </c>
      <c r="AQ127">
        <v>0</v>
      </c>
      <c r="AR127">
        <v>0</v>
      </c>
      <c r="AS127">
        <v>4.8578999999999997E-2</v>
      </c>
      <c r="AT127">
        <v>4.0270000000000002E-3</v>
      </c>
      <c r="AU127">
        <v>1.7100000000000001E-2</v>
      </c>
    </row>
    <row r="128" spans="1:47">
      <c r="A128" s="2" t="s">
        <v>221</v>
      </c>
      <c r="B128" s="2" t="s">
        <v>222</v>
      </c>
      <c r="C128">
        <v>9202.24</v>
      </c>
      <c r="D128">
        <v>307.07</v>
      </c>
      <c r="E128">
        <v>2825733.09</v>
      </c>
      <c r="F128">
        <v>0</v>
      </c>
      <c r="G128">
        <v>58.5</v>
      </c>
      <c r="H128">
        <v>0.5</v>
      </c>
      <c r="I128" s="274">
        <v>59</v>
      </c>
      <c r="J128">
        <v>0</v>
      </c>
      <c r="K128">
        <v>541463.59</v>
      </c>
      <c r="L128">
        <v>4570.34</v>
      </c>
      <c r="M128">
        <v>-161703.48000000001</v>
      </c>
      <c r="N128">
        <v>543333.36</v>
      </c>
      <c r="O128" s="274">
        <v>51399.94</v>
      </c>
      <c r="P128">
        <v>67719.09</v>
      </c>
      <c r="Q128">
        <v>0</v>
      </c>
      <c r="R128">
        <v>49.25</v>
      </c>
      <c r="S128">
        <v>0.25</v>
      </c>
      <c r="T128" s="274">
        <f t="shared" si="7"/>
        <v>49.5</v>
      </c>
      <c r="U128">
        <v>101074.61</v>
      </c>
      <c r="V128">
        <v>15.35</v>
      </c>
      <c r="W128">
        <v>9971.48</v>
      </c>
      <c r="X128">
        <v>0</v>
      </c>
      <c r="Y128">
        <v>0</v>
      </c>
      <c r="Z128">
        <v>0</v>
      </c>
      <c r="AA128">
        <v>0</v>
      </c>
      <c r="AB128">
        <v>0</v>
      </c>
      <c r="AC128">
        <v>0</v>
      </c>
      <c r="AD128">
        <v>0</v>
      </c>
      <c r="AE128">
        <v>285880.48</v>
      </c>
      <c r="AF128">
        <v>0</v>
      </c>
      <c r="AG128">
        <v>89063.51</v>
      </c>
      <c r="AH128">
        <v>1.18</v>
      </c>
      <c r="AI128">
        <v>68937</v>
      </c>
      <c r="AJ128">
        <v>67585</v>
      </c>
      <c r="AK128">
        <v>100321</v>
      </c>
      <c r="AL128">
        <v>102327</v>
      </c>
      <c r="AM128">
        <v>48483</v>
      </c>
      <c r="AN128">
        <v>49453</v>
      </c>
      <c r="AO128">
        <v>1.18</v>
      </c>
      <c r="AP128">
        <v>461610.04</v>
      </c>
      <c r="AQ128">
        <v>24349.68</v>
      </c>
      <c r="AR128">
        <v>0</v>
      </c>
      <c r="AS128">
        <v>4.8578999999999997E-2</v>
      </c>
      <c r="AT128">
        <v>4.0270000000000002E-3</v>
      </c>
      <c r="AU128">
        <v>1.7100000000000001E-2</v>
      </c>
    </row>
    <row r="129" spans="1:47">
      <c r="A129" s="2" t="s">
        <v>223</v>
      </c>
      <c r="B129" s="2" t="s">
        <v>224</v>
      </c>
      <c r="C129">
        <v>11037.56</v>
      </c>
      <c r="D129">
        <v>526.33000000000004</v>
      </c>
      <c r="E129">
        <v>5809399.71</v>
      </c>
      <c r="F129">
        <v>0</v>
      </c>
      <c r="G129">
        <v>0</v>
      </c>
      <c r="H129">
        <v>0</v>
      </c>
      <c r="I129" s="274">
        <v>0</v>
      </c>
      <c r="J129">
        <v>0</v>
      </c>
      <c r="K129">
        <v>0</v>
      </c>
      <c r="L129">
        <v>0</v>
      </c>
      <c r="M129">
        <v>0</v>
      </c>
      <c r="N129">
        <v>0</v>
      </c>
      <c r="O129" s="274">
        <v>0</v>
      </c>
      <c r="P129">
        <v>0</v>
      </c>
      <c r="Q129">
        <v>0</v>
      </c>
      <c r="R129">
        <v>0</v>
      </c>
      <c r="S129">
        <v>0</v>
      </c>
      <c r="T129" s="274">
        <f t="shared" si="7"/>
        <v>0</v>
      </c>
      <c r="U129">
        <v>0</v>
      </c>
      <c r="V129">
        <v>0</v>
      </c>
      <c r="W129">
        <v>0</v>
      </c>
      <c r="X129">
        <v>6.56</v>
      </c>
      <c r="Y129">
        <v>0.27</v>
      </c>
      <c r="Z129">
        <v>0</v>
      </c>
      <c r="AA129">
        <v>65986.539999999994</v>
      </c>
      <c r="AB129">
        <v>2737.27</v>
      </c>
      <c r="AC129">
        <v>0</v>
      </c>
      <c r="AD129">
        <v>0</v>
      </c>
      <c r="AE129">
        <v>413778.88</v>
      </c>
      <c r="AF129">
        <v>185379</v>
      </c>
      <c r="AG129">
        <v>299711.15999999997</v>
      </c>
      <c r="AH129">
        <v>1.18</v>
      </c>
      <c r="AI129">
        <v>68937</v>
      </c>
      <c r="AJ129">
        <v>67585</v>
      </c>
      <c r="AK129">
        <v>0</v>
      </c>
      <c r="AL129">
        <v>0</v>
      </c>
      <c r="AM129">
        <v>0</v>
      </c>
      <c r="AN129">
        <v>0</v>
      </c>
      <c r="AO129">
        <v>0</v>
      </c>
      <c r="AP129">
        <v>768255.27</v>
      </c>
      <c r="AQ129">
        <v>53169.46</v>
      </c>
      <c r="AR129">
        <v>10.884</v>
      </c>
      <c r="AS129">
        <v>4.8578999999999997E-2</v>
      </c>
      <c r="AT129">
        <v>4.0270000000000002E-3</v>
      </c>
      <c r="AU129">
        <v>1.7100000000000001E-2</v>
      </c>
    </row>
    <row r="130" spans="1:47">
      <c r="A130" s="2" t="s">
        <v>1108</v>
      </c>
      <c r="B130" s="2" t="s">
        <v>1109</v>
      </c>
      <c r="C130">
        <v>0</v>
      </c>
      <c r="D130">
        <v>0</v>
      </c>
      <c r="E130">
        <v>0</v>
      </c>
      <c r="F130">
        <v>0</v>
      </c>
      <c r="G130">
        <v>0</v>
      </c>
      <c r="H130">
        <v>0</v>
      </c>
      <c r="I130" s="274">
        <v>0</v>
      </c>
      <c r="J130">
        <v>0</v>
      </c>
      <c r="K130">
        <v>0</v>
      </c>
      <c r="L130">
        <v>0</v>
      </c>
      <c r="M130">
        <v>0</v>
      </c>
      <c r="N130">
        <v>0</v>
      </c>
      <c r="O130" s="274">
        <v>0</v>
      </c>
      <c r="P130">
        <v>0</v>
      </c>
      <c r="Q130">
        <v>0</v>
      </c>
      <c r="R130">
        <v>0</v>
      </c>
      <c r="S130">
        <v>0</v>
      </c>
      <c r="T130" s="274">
        <f t="shared" si="7"/>
        <v>0</v>
      </c>
      <c r="U130">
        <v>0</v>
      </c>
      <c r="V130">
        <v>0</v>
      </c>
      <c r="W130">
        <v>0</v>
      </c>
      <c r="X130">
        <v>0</v>
      </c>
      <c r="Y130">
        <v>0</v>
      </c>
      <c r="Z130">
        <v>0</v>
      </c>
      <c r="AA130">
        <v>0</v>
      </c>
      <c r="AB130">
        <v>0</v>
      </c>
      <c r="AC130">
        <v>0</v>
      </c>
      <c r="AD130">
        <v>0</v>
      </c>
      <c r="AE130">
        <v>0</v>
      </c>
      <c r="AF130">
        <v>0</v>
      </c>
      <c r="AG130">
        <v>0</v>
      </c>
      <c r="AH130">
        <v>0</v>
      </c>
      <c r="AI130">
        <v>0</v>
      </c>
      <c r="AJ130">
        <v>0</v>
      </c>
      <c r="AK130">
        <v>100321</v>
      </c>
      <c r="AL130">
        <v>102327</v>
      </c>
      <c r="AM130">
        <v>48483</v>
      </c>
      <c r="AN130">
        <v>49453</v>
      </c>
      <c r="AO130">
        <v>1.18</v>
      </c>
      <c r="AP130">
        <v>0</v>
      </c>
      <c r="AQ130">
        <v>0</v>
      </c>
      <c r="AR130">
        <v>0</v>
      </c>
      <c r="AS130">
        <v>4.8578999999999997E-2</v>
      </c>
      <c r="AT130">
        <v>4.0270000000000002E-3</v>
      </c>
      <c r="AU130">
        <v>1.7100000000000001E-2</v>
      </c>
    </row>
    <row r="131" spans="1:47">
      <c r="A131" s="2" t="s">
        <v>1022</v>
      </c>
      <c r="B131" s="2" t="s">
        <v>1040</v>
      </c>
      <c r="C131">
        <v>9396.23</v>
      </c>
      <c r="D131">
        <v>467.44</v>
      </c>
      <c r="E131">
        <v>4392176</v>
      </c>
      <c r="F131">
        <v>0</v>
      </c>
      <c r="G131">
        <v>82.5</v>
      </c>
      <c r="H131">
        <v>1.75</v>
      </c>
      <c r="I131" s="274">
        <v>84.25</v>
      </c>
      <c r="J131">
        <v>0</v>
      </c>
      <c r="K131">
        <v>744543.36</v>
      </c>
      <c r="L131">
        <v>15596.91</v>
      </c>
      <c r="M131">
        <v>-190667.81</v>
      </c>
      <c r="N131">
        <v>756543.1</v>
      </c>
      <c r="O131" s="274">
        <v>72145.77</v>
      </c>
      <c r="P131">
        <v>100207.57</v>
      </c>
      <c r="Q131">
        <v>12.5</v>
      </c>
      <c r="R131">
        <v>61.75</v>
      </c>
      <c r="S131">
        <v>16.75</v>
      </c>
      <c r="T131" s="274">
        <f t="shared" si="7"/>
        <v>91</v>
      </c>
      <c r="U131">
        <v>159657.09</v>
      </c>
      <c r="V131">
        <v>23.37</v>
      </c>
      <c r="W131">
        <v>15297.15</v>
      </c>
      <c r="X131">
        <v>0</v>
      </c>
      <c r="Y131">
        <v>0</v>
      </c>
      <c r="Z131">
        <v>0</v>
      </c>
      <c r="AA131">
        <v>0</v>
      </c>
      <c r="AB131">
        <v>0</v>
      </c>
      <c r="AC131">
        <v>0</v>
      </c>
      <c r="AD131">
        <v>0</v>
      </c>
      <c r="AE131">
        <v>393106.76</v>
      </c>
      <c r="AF131">
        <v>154784.67000000001</v>
      </c>
      <c r="AG131">
        <v>149005.74</v>
      </c>
      <c r="AH131">
        <v>1.18</v>
      </c>
      <c r="AI131">
        <v>68937</v>
      </c>
      <c r="AJ131">
        <v>67585</v>
      </c>
      <c r="AK131">
        <v>100321</v>
      </c>
      <c r="AL131">
        <v>102327</v>
      </c>
      <c r="AM131">
        <v>48483</v>
      </c>
      <c r="AN131">
        <v>49453</v>
      </c>
      <c r="AO131">
        <v>1.18</v>
      </c>
      <c r="AP131">
        <v>675294.8</v>
      </c>
      <c r="AQ131">
        <v>38064.480000000003</v>
      </c>
      <c r="AR131">
        <v>0</v>
      </c>
      <c r="AS131">
        <v>4.8578999999999997E-2</v>
      </c>
      <c r="AT131">
        <v>4.0270000000000002E-3</v>
      </c>
      <c r="AU131">
        <v>1.7100000000000001E-2</v>
      </c>
    </row>
    <row r="132" spans="1:47">
      <c r="A132" s="2" t="s">
        <v>225</v>
      </c>
      <c r="B132" s="2" t="s">
        <v>226</v>
      </c>
      <c r="C132">
        <v>8739.7199999999993</v>
      </c>
      <c r="D132">
        <v>329</v>
      </c>
      <c r="E132">
        <v>2875368.5</v>
      </c>
      <c r="F132">
        <v>0</v>
      </c>
      <c r="G132">
        <v>24.75</v>
      </c>
      <c r="H132">
        <v>0</v>
      </c>
      <c r="I132" s="274">
        <v>24.75</v>
      </c>
      <c r="J132">
        <v>0</v>
      </c>
      <c r="K132">
        <v>217363.33</v>
      </c>
      <c r="L132">
        <v>0</v>
      </c>
      <c r="M132">
        <v>0</v>
      </c>
      <c r="N132">
        <v>216304.61</v>
      </c>
      <c r="O132" s="274">
        <v>24888.05</v>
      </c>
      <c r="P132">
        <v>21355.16</v>
      </c>
      <c r="Q132">
        <v>54.75</v>
      </c>
      <c r="R132">
        <v>42</v>
      </c>
      <c r="S132">
        <v>21</v>
      </c>
      <c r="T132" s="274">
        <f t="shared" si="7"/>
        <v>117.75</v>
      </c>
      <c r="U132">
        <v>184132.57</v>
      </c>
      <c r="V132">
        <v>0</v>
      </c>
      <c r="W132">
        <v>0</v>
      </c>
      <c r="X132">
        <v>0</v>
      </c>
      <c r="Y132">
        <v>0</v>
      </c>
      <c r="Z132">
        <v>0</v>
      </c>
      <c r="AA132">
        <v>0</v>
      </c>
      <c r="AB132">
        <v>0</v>
      </c>
      <c r="AC132">
        <v>0</v>
      </c>
      <c r="AD132">
        <v>0</v>
      </c>
      <c r="AE132">
        <v>317130.34000000003</v>
      </c>
      <c r="AF132">
        <v>114218.85</v>
      </c>
      <c r="AG132">
        <v>169062.02</v>
      </c>
      <c r="AH132">
        <v>1.18</v>
      </c>
      <c r="AI132">
        <v>68937</v>
      </c>
      <c r="AJ132">
        <v>67585</v>
      </c>
      <c r="AK132">
        <v>0</v>
      </c>
      <c r="AL132">
        <v>0</v>
      </c>
      <c r="AM132">
        <v>0</v>
      </c>
      <c r="AN132">
        <v>0</v>
      </c>
      <c r="AO132">
        <v>0</v>
      </c>
      <c r="AP132">
        <v>440902.77</v>
      </c>
      <c r="AQ132">
        <v>25114.28</v>
      </c>
      <c r="AR132">
        <v>0</v>
      </c>
      <c r="AS132">
        <v>4.8578999999999997E-2</v>
      </c>
      <c r="AT132">
        <v>4.0270000000000002E-3</v>
      </c>
      <c r="AU132">
        <v>1.7100000000000001E-2</v>
      </c>
    </row>
    <row r="133" spans="1:47">
      <c r="A133" s="2" t="s">
        <v>1023</v>
      </c>
      <c r="B133" s="2" t="s">
        <v>1245</v>
      </c>
      <c r="C133">
        <v>16560.07</v>
      </c>
      <c r="D133">
        <v>160.80000000000001</v>
      </c>
      <c r="E133">
        <v>2662858.9300000002</v>
      </c>
      <c r="F133">
        <v>0</v>
      </c>
      <c r="G133">
        <v>17.75</v>
      </c>
      <c r="H133">
        <v>19.5</v>
      </c>
      <c r="I133" s="274">
        <v>37.25</v>
      </c>
      <c r="J133">
        <v>0</v>
      </c>
      <c r="K133">
        <v>160320</v>
      </c>
      <c r="L133">
        <v>173935.61</v>
      </c>
      <c r="M133">
        <v>-139501.59</v>
      </c>
      <c r="N133">
        <v>334766.87</v>
      </c>
      <c r="O133" s="274">
        <v>25081.32</v>
      </c>
      <c r="P133">
        <v>65370.84</v>
      </c>
      <c r="Q133">
        <v>1</v>
      </c>
      <c r="R133">
        <v>21</v>
      </c>
      <c r="S133">
        <v>2</v>
      </c>
      <c r="T133" s="274">
        <f t="shared" si="7"/>
        <v>24</v>
      </c>
      <c r="U133">
        <v>46344.75</v>
      </c>
      <c r="V133">
        <v>0</v>
      </c>
      <c r="W133">
        <v>0</v>
      </c>
      <c r="X133">
        <v>0</v>
      </c>
      <c r="Y133">
        <v>0</v>
      </c>
      <c r="Z133">
        <v>0</v>
      </c>
      <c r="AA133">
        <v>0</v>
      </c>
      <c r="AB133">
        <v>0</v>
      </c>
      <c r="AC133">
        <v>0</v>
      </c>
      <c r="AD133">
        <v>0</v>
      </c>
      <c r="AE133">
        <v>264647.71000000002</v>
      </c>
      <c r="AF133">
        <v>0</v>
      </c>
      <c r="AG133">
        <v>0</v>
      </c>
      <c r="AH133">
        <v>1.18</v>
      </c>
      <c r="AI133">
        <v>68937</v>
      </c>
      <c r="AJ133">
        <v>67585</v>
      </c>
      <c r="AK133">
        <v>100321</v>
      </c>
      <c r="AL133">
        <v>102327</v>
      </c>
      <c r="AM133">
        <v>48483</v>
      </c>
      <c r="AN133">
        <v>49453</v>
      </c>
      <c r="AO133">
        <v>1.18</v>
      </c>
      <c r="AP133">
        <v>326135.61</v>
      </c>
      <c r="AQ133">
        <v>24672.400000000001</v>
      </c>
      <c r="AR133">
        <v>0</v>
      </c>
      <c r="AS133">
        <v>4.8578999999999997E-2</v>
      </c>
      <c r="AT133">
        <v>4.0270000000000002E-3</v>
      </c>
      <c r="AU133">
        <v>1.7100000000000001E-2</v>
      </c>
    </row>
    <row r="134" spans="1:47">
      <c r="A134" s="2" t="s">
        <v>1032</v>
      </c>
      <c r="B134" s="2" t="s">
        <v>1246</v>
      </c>
      <c r="C134">
        <v>11386.6</v>
      </c>
      <c r="D134">
        <v>597.79999999999995</v>
      </c>
      <c r="E134">
        <v>6806906.5999999996</v>
      </c>
      <c r="F134">
        <v>0.5</v>
      </c>
      <c r="G134">
        <v>23</v>
      </c>
      <c r="H134">
        <v>0</v>
      </c>
      <c r="I134" s="274">
        <v>23.5</v>
      </c>
      <c r="J134">
        <v>6546.12</v>
      </c>
      <c r="K134">
        <v>263252.11</v>
      </c>
      <c r="L134">
        <v>0</v>
      </c>
      <c r="M134">
        <v>0</v>
      </c>
      <c r="N134">
        <v>261844.65</v>
      </c>
      <c r="O134" s="274">
        <v>57384.7</v>
      </c>
      <c r="P134">
        <v>19043.25</v>
      </c>
      <c r="Q134">
        <v>151</v>
      </c>
      <c r="R134">
        <v>0</v>
      </c>
      <c r="S134">
        <v>26.75</v>
      </c>
      <c r="T134" s="274">
        <f t="shared" si="7"/>
        <v>177.75</v>
      </c>
      <c r="U134">
        <v>242261.8</v>
      </c>
      <c r="V134">
        <v>29.89</v>
      </c>
      <c r="W134">
        <v>19489.72</v>
      </c>
      <c r="X134">
        <v>0</v>
      </c>
      <c r="Y134">
        <v>0</v>
      </c>
      <c r="Z134">
        <v>0</v>
      </c>
      <c r="AA134">
        <v>0</v>
      </c>
      <c r="AB134">
        <v>0</v>
      </c>
      <c r="AC134">
        <v>0</v>
      </c>
      <c r="AD134">
        <v>0</v>
      </c>
      <c r="AE134">
        <v>87788.41</v>
      </c>
      <c r="AF134">
        <v>135521.57</v>
      </c>
      <c r="AG134">
        <v>186852.06</v>
      </c>
      <c r="AH134">
        <v>1.18</v>
      </c>
      <c r="AI134">
        <v>68937</v>
      </c>
      <c r="AJ134">
        <v>67585</v>
      </c>
      <c r="AK134">
        <v>100321</v>
      </c>
      <c r="AL134">
        <v>102327</v>
      </c>
      <c r="AM134">
        <v>48483</v>
      </c>
      <c r="AN134">
        <v>49453</v>
      </c>
      <c r="AO134">
        <v>1.18</v>
      </c>
      <c r="AP134">
        <v>801129.71</v>
      </c>
      <c r="AQ134">
        <v>67446.95</v>
      </c>
      <c r="AR134">
        <v>35.777999999999999</v>
      </c>
      <c r="AS134">
        <v>4.8578999999999997E-2</v>
      </c>
      <c r="AT134">
        <v>4.0270000000000002E-3</v>
      </c>
      <c r="AU134">
        <v>1.7100000000000001E-2</v>
      </c>
    </row>
    <row r="135" spans="1:47">
      <c r="A135" s="2" t="s">
        <v>1230</v>
      </c>
      <c r="B135" s="2" t="s">
        <v>1231</v>
      </c>
      <c r="C135">
        <v>11744.58</v>
      </c>
      <c r="D135">
        <v>292.2</v>
      </c>
      <c r="E135">
        <v>3431765.09</v>
      </c>
      <c r="F135">
        <v>0.75</v>
      </c>
      <c r="G135">
        <v>7</v>
      </c>
      <c r="H135">
        <v>0.75</v>
      </c>
      <c r="I135" s="274">
        <v>8.5</v>
      </c>
      <c r="J135">
        <v>10128.48</v>
      </c>
      <c r="K135">
        <v>82649.31</v>
      </c>
      <c r="L135">
        <v>8745.19</v>
      </c>
      <c r="M135">
        <v>0</v>
      </c>
      <c r="N135">
        <v>91009.49</v>
      </c>
      <c r="O135" s="274">
        <v>2678.01</v>
      </c>
      <c r="P135">
        <v>6618.87</v>
      </c>
      <c r="Q135">
        <v>46</v>
      </c>
      <c r="R135">
        <v>0</v>
      </c>
      <c r="S135">
        <v>0</v>
      </c>
      <c r="T135" s="274">
        <f t="shared" ref="T135:T198" si="8">S135+R135+Q135</f>
        <v>46</v>
      </c>
      <c r="U135">
        <v>66401.05</v>
      </c>
      <c r="V135">
        <v>14.61</v>
      </c>
      <c r="W135">
        <v>9518.24</v>
      </c>
      <c r="X135">
        <v>0</v>
      </c>
      <c r="Y135">
        <v>0</v>
      </c>
      <c r="Z135">
        <v>0</v>
      </c>
      <c r="AA135">
        <v>0</v>
      </c>
      <c r="AB135">
        <v>0</v>
      </c>
      <c r="AC135">
        <v>0</v>
      </c>
      <c r="AD135">
        <v>0</v>
      </c>
      <c r="AE135">
        <v>38906.230000000003</v>
      </c>
      <c r="AF135">
        <v>0</v>
      </c>
      <c r="AG135">
        <v>36599.9</v>
      </c>
      <c r="AH135">
        <v>1.18</v>
      </c>
      <c r="AI135">
        <v>68937</v>
      </c>
      <c r="AJ135">
        <v>67585</v>
      </c>
      <c r="AK135">
        <v>100321</v>
      </c>
      <c r="AL135">
        <v>102327</v>
      </c>
      <c r="AM135">
        <v>48483</v>
      </c>
      <c r="AN135">
        <v>49453</v>
      </c>
      <c r="AO135">
        <v>1.18</v>
      </c>
      <c r="AP135">
        <v>391585.99</v>
      </c>
      <c r="AQ135">
        <v>34415.26</v>
      </c>
      <c r="AR135">
        <v>19.852</v>
      </c>
      <c r="AS135">
        <v>4.8578999999999997E-2</v>
      </c>
      <c r="AT135">
        <v>4.0270000000000002E-3</v>
      </c>
      <c r="AU135">
        <v>1.7100000000000001E-2</v>
      </c>
    </row>
    <row r="136" spans="1:47">
      <c r="A136" s="2" t="s">
        <v>1226</v>
      </c>
      <c r="B136" s="2" t="s">
        <v>1340</v>
      </c>
      <c r="C136">
        <v>16874.22</v>
      </c>
      <c r="D136">
        <v>104</v>
      </c>
      <c r="E136">
        <v>1754919.06</v>
      </c>
      <c r="F136">
        <v>0</v>
      </c>
      <c r="G136">
        <v>19</v>
      </c>
      <c r="H136">
        <v>0</v>
      </c>
      <c r="I136" s="274">
        <v>19</v>
      </c>
      <c r="J136">
        <v>0</v>
      </c>
      <c r="K136">
        <v>175851.42</v>
      </c>
      <c r="L136">
        <v>0</v>
      </c>
      <c r="M136">
        <v>-45911.95</v>
      </c>
      <c r="N136">
        <v>174971.76</v>
      </c>
      <c r="O136" s="274">
        <v>11694.56</v>
      </c>
      <c r="P136">
        <v>42168.2</v>
      </c>
      <c r="Q136">
        <v>0</v>
      </c>
      <c r="R136">
        <v>4.99</v>
      </c>
      <c r="S136">
        <v>6.76</v>
      </c>
      <c r="T136" s="274">
        <f t="shared" si="8"/>
        <v>11.75</v>
      </c>
      <c r="U136">
        <v>16316.99</v>
      </c>
      <c r="V136">
        <v>0</v>
      </c>
      <c r="W136">
        <v>0</v>
      </c>
      <c r="X136">
        <v>0</v>
      </c>
      <c r="Y136">
        <v>0</v>
      </c>
      <c r="Z136">
        <v>0</v>
      </c>
      <c r="AA136">
        <v>0</v>
      </c>
      <c r="AB136">
        <v>0</v>
      </c>
      <c r="AC136">
        <v>0</v>
      </c>
      <c r="AD136">
        <v>0</v>
      </c>
      <c r="AE136">
        <v>47195.07</v>
      </c>
      <c r="AF136">
        <v>0</v>
      </c>
      <c r="AG136">
        <v>53370.12</v>
      </c>
      <c r="AH136">
        <v>1.18</v>
      </c>
      <c r="AI136">
        <v>68937</v>
      </c>
      <c r="AJ136">
        <v>67585</v>
      </c>
      <c r="AK136">
        <v>100321</v>
      </c>
      <c r="AL136">
        <v>102327</v>
      </c>
      <c r="AM136">
        <v>48483</v>
      </c>
      <c r="AN136">
        <v>49453</v>
      </c>
      <c r="AO136">
        <v>1.18</v>
      </c>
      <c r="AP136">
        <v>220948.35</v>
      </c>
      <c r="AQ136">
        <v>16357.8</v>
      </c>
      <c r="AR136">
        <v>0</v>
      </c>
      <c r="AS136">
        <v>4.8578999999999997E-2</v>
      </c>
      <c r="AT136">
        <v>4.0270000000000002E-3</v>
      </c>
      <c r="AU136">
        <v>1.7100000000000001E-2</v>
      </c>
    </row>
    <row r="137" spans="1:47">
      <c r="A137" s="2" t="s">
        <v>1247</v>
      </c>
      <c r="B137" s="2" t="s">
        <v>1248</v>
      </c>
      <c r="C137">
        <v>0</v>
      </c>
      <c r="D137">
        <v>0</v>
      </c>
      <c r="E137">
        <v>0</v>
      </c>
      <c r="F137">
        <v>0</v>
      </c>
      <c r="G137">
        <v>0</v>
      </c>
      <c r="H137">
        <v>0</v>
      </c>
      <c r="I137" s="274">
        <v>0</v>
      </c>
      <c r="J137">
        <v>0</v>
      </c>
      <c r="K137">
        <v>0</v>
      </c>
      <c r="L137">
        <v>0</v>
      </c>
      <c r="M137">
        <v>0</v>
      </c>
      <c r="N137">
        <v>0</v>
      </c>
      <c r="O137" s="274">
        <v>0</v>
      </c>
      <c r="P137">
        <v>0</v>
      </c>
      <c r="Q137">
        <v>0</v>
      </c>
      <c r="R137">
        <v>0</v>
      </c>
      <c r="S137">
        <v>0</v>
      </c>
      <c r="T137" s="274">
        <f t="shared" si="8"/>
        <v>0</v>
      </c>
      <c r="U137">
        <v>0</v>
      </c>
      <c r="V137">
        <v>0</v>
      </c>
      <c r="W137">
        <v>0</v>
      </c>
      <c r="X137">
        <v>0</v>
      </c>
      <c r="Y137">
        <v>0</v>
      </c>
      <c r="Z137">
        <v>0</v>
      </c>
      <c r="AA137">
        <v>0</v>
      </c>
      <c r="AB137">
        <v>0</v>
      </c>
      <c r="AC137">
        <v>0</v>
      </c>
      <c r="AD137">
        <v>0</v>
      </c>
      <c r="AE137">
        <v>0</v>
      </c>
      <c r="AF137">
        <v>0</v>
      </c>
      <c r="AG137">
        <v>0</v>
      </c>
      <c r="AH137">
        <v>0</v>
      </c>
      <c r="AI137">
        <v>0</v>
      </c>
      <c r="AJ137">
        <v>0</v>
      </c>
      <c r="AK137">
        <v>100321</v>
      </c>
      <c r="AL137">
        <v>102327</v>
      </c>
      <c r="AM137">
        <v>48483</v>
      </c>
      <c r="AN137">
        <v>49453</v>
      </c>
      <c r="AO137">
        <v>1.18</v>
      </c>
      <c r="AP137">
        <v>0</v>
      </c>
      <c r="AQ137">
        <v>0</v>
      </c>
      <c r="AR137">
        <v>0</v>
      </c>
      <c r="AS137">
        <v>4.8578999999999997E-2</v>
      </c>
      <c r="AT137">
        <v>4.0270000000000002E-3</v>
      </c>
      <c r="AU137">
        <v>1.7100000000000001E-2</v>
      </c>
    </row>
    <row r="138" spans="1:47">
      <c r="A138" s="2" t="s">
        <v>1110</v>
      </c>
      <c r="B138" s="2" t="s">
        <v>1111</v>
      </c>
      <c r="C138">
        <v>0</v>
      </c>
      <c r="D138">
        <v>0</v>
      </c>
      <c r="E138">
        <v>0</v>
      </c>
      <c r="F138">
        <v>0</v>
      </c>
      <c r="G138">
        <v>0</v>
      </c>
      <c r="H138">
        <v>0</v>
      </c>
      <c r="I138" s="274">
        <v>0</v>
      </c>
      <c r="J138">
        <v>0</v>
      </c>
      <c r="K138">
        <v>0</v>
      </c>
      <c r="L138">
        <v>0</v>
      </c>
      <c r="M138">
        <v>0</v>
      </c>
      <c r="N138">
        <v>0</v>
      </c>
      <c r="O138" s="274">
        <v>0</v>
      </c>
      <c r="P138">
        <v>0</v>
      </c>
      <c r="Q138">
        <v>0</v>
      </c>
      <c r="R138">
        <v>0</v>
      </c>
      <c r="S138">
        <v>0</v>
      </c>
      <c r="T138" s="274">
        <f t="shared" si="8"/>
        <v>0</v>
      </c>
      <c r="U138">
        <v>0</v>
      </c>
      <c r="V138">
        <v>0</v>
      </c>
      <c r="W138">
        <v>0</v>
      </c>
      <c r="X138">
        <v>0</v>
      </c>
      <c r="Y138">
        <v>0</v>
      </c>
      <c r="Z138">
        <v>0</v>
      </c>
      <c r="AA138">
        <v>0</v>
      </c>
      <c r="AB138">
        <v>0</v>
      </c>
      <c r="AC138">
        <v>0</v>
      </c>
      <c r="AD138">
        <v>0</v>
      </c>
      <c r="AE138">
        <v>0</v>
      </c>
      <c r="AF138">
        <v>0</v>
      </c>
      <c r="AG138">
        <v>0</v>
      </c>
      <c r="AH138">
        <v>0</v>
      </c>
      <c r="AI138">
        <v>0</v>
      </c>
      <c r="AJ138">
        <v>0</v>
      </c>
      <c r="AK138">
        <v>100321</v>
      </c>
      <c r="AL138">
        <v>102327</v>
      </c>
      <c r="AM138">
        <v>48483</v>
      </c>
      <c r="AN138">
        <v>49453</v>
      </c>
      <c r="AO138">
        <v>1.18</v>
      </c>
      <c r="AP138">
        <v>0</v>
      </c>
      <c r="AQ138">
        <v>0</v>
      </c>
      <c r="AR138">
        <v>0</v>
      </c>
      <c r="AS138">
        <v>4.8578999999999997E-2</v>
      </c>
      <c r="AT138">
        <v>4.0270000000000002E-3</v>
      </c>
      <c r="AU138">
        <v>1.7100000000000001E-2</v>
      </c>
    </row>
    <row r="139" spans="1:47">
      <c r="A139" s="2" t="s">
        <v>1112</v>
      </c>
      <c r="B139" s="2" t="s">
        <v>1249</v>
      </c>
      <c r="C139">
        <v>0</v>
      </c>
      <c r="D139">
        <v>0</v>
      </c>
      <c r="E139">
        <v>0</v>
      </c>
      <c r="F139">
        <v>0</v>
      </c>
      <c r="G139">
        <v>0</v>
      </c>
      <c r="H139">
        <v>0</v>
      </c>
      <c r="I139" s="274">
        <v>0</v>
      </c>
      <c r="J139">
        <v>0</v>
      </c>
      <c r="K139">
        <v>0</v>
      </c>
      <c r="L139">
        <v>0</v>
      </c>
      <c r="M139">
        <v>0</v>
      </c>
      <c r="N139">
        <v>0</v>
      </c>
      <c r="O139" s="274">
        <v>0</v>
      </c>
      <c r="P139">
        <v>0</v>
      </c>
      <c r="Q139">
        <v>0</v>
      </c>
      <c r="R139">
        <v>0</v>
      </c>
      <c r="S139">
        <v>0</v>
      </c>
      <c r="T139" s="274">
        <f t="shared" si="8"/>
        <v>0</v>
      </c>
      <c r="U139">
        <v>0</v>
      </c>
      <c r="V139">
        <v>0</v>
      </c>
      <c r="W139">
        <v>0</v>
      </c>
      <c r="X139">
        <v>0</v>
      </c>
      <c r="Y139">
        <v>0</v>
      </c>
      <c r="Z139">
        <v>0</v>
      </c>
      <c r="AA139">
        <v>0</v>
      </c>
      <c r="AB139">
        <v>0</v>
      </c>
      <c r="AC139">
        <v>0</v>
      </c>
      <c r="AD139">
        <v>0</v>
      </c>
      <c r="AE139">
        <v>0</v>
      </c>
      <c r="AF139">
        <v>0</v>
      </c>
      <c r="AG139">
        <v>0</v>
      </c>
      <c r="AH139">
        <v>0</v>
      </c>
      <c r="AI139">
        <v>0</v>
      </c>
      <c r="AJ139">
        <v>0</v>
      </c>
      <c r="AK139">
        <v>0</v>
      </c>
      <c r="AL139">
        <v>0</v>
      </c>
      <c r="AM139">
        <v>0</v>
      </c>
      <c r="AN139">
        <v>0</v>
      </c>
      <c r="AO139">
        <v>0</v>
      </c>
      <c r="AP139">
        <v>0</v>
      </c>
      <c r="AQ139">
        <v>0</v>
      </c>
      <c r="AR139">
        <v>0</v>
      </c>
      <c r="AS139">
        <v>4.8578999999999997E-2</v>
      </c>
      <c r="AT139">
        <v>4.0270000000000002E-3</v>
      </c>
      <c r="AU139">
        <v>1.7100000000000001E-2</v>
      </c>
    </row>
    <row r="140" spans="1:47">
      <c r="A140" s="2" t="s">
        <v>1113</v>
      </c>
      <c r="B140" s="2" t="s">
        <v>1114</v>
      </c>
      <c r="C140">
        <v>0</v>
      </c>
      <c r="D140">
        <v>0</v>
      </c>
      <c r="E140">
        <v>0</v>
      </c>
      <c r="F140">
        <v>0</v>
      </c>
      <c r="G140">
        <v>0</v>
      </c>
      <c r="H140">
        <v>0</v>
      </c>
      <c r="I140" s="274">
        <v>0</v>
      </c>
      <c r="J140">
        <v>0</v>
      </c>
      <c r="K140">
        <v>0</v>
      </c>
      <c r="L140">
        <v>0</v>
      </c>
      <c r="M140">
        <v>0</v>
      </c>
      <c r="N140">
        <v>0</v>
      </c>
      <c r="O140" s="274">
        <v>0</v>
      </c>
      <c r="P140">
        <v>0</v>
      </c>
      <c r="Q140">
        <v>0</v>
      </c>
      <c r="R140">
        <v>0</v>
      </c>
      <c r="S140">
        <v>0</v>
      </c>
      <c r="T140" s="274">
        <f t="shared" si="8"/>
        <v>0</v>
      </c>
      <c r="U140">
        <v>0</v>
      </c>
      <c r="V140">
        <v>0</v>
      </c>
      <c r="W140">
        <v>0</v>
      </c>
      <c r="X140">
        <v>0</v>
      </c>
      <c r="Y140">
        <v>0</v>
      </c>
      <c r="Z140">
        <v>0</v>
      </c>
      <c r="AA140">
        <v>0</v>
      </c>
      <c r="AB140">
        <v>0</v>
      </c>
      <c r="AC140">
        <v>0</v>
      </c>
      <c r="AD140">
        <v>0</v>
      </c>
      <c r="AE140">
        <v>0</v>
      </c>
      <c r="AF140">
        <v>0</v>
      </c>
      <c r="AG140">
        <v>0</v>
      </c>
      <c r="AH140">
        <v>0</v>
      </c>
      <c r="AI140">
        <v>0</v>
      </c>
      <c r="AJ140">
        <v>0</v>
      </c>
      <c r="AK140">
        <v>0</v>
      </c>
      <c r="AL140">
        <v>0</v>
      </c>
      <c r="AM140">
        <v>0</v>
      </c>
      <c r="AN140">
        <v>0</v>
      </c>
      <c r="AO140">
        <v>0</v>
      </c>
      <c r="AP140">
        <v>0</v>
      </c>
      <c r="AQ140">
        <v>0</v>
      </c>
      <c r="AR140">
        <v>0</v>
      </c>
      <c r="AS140">
        <v>4.8578999999999997E-2</v>
      </c>
      <c r="AT140">
        <v>4.0270000000000002E-3</v>
      </c>
      <c r="AU140">
        <v>1.7100000000000001E-2</v>
      </c>
    </row>
    <row r="141" spans="1:47">
      <c r="A141" s="2" t="s">
        <v>1115</v>
      </c>
      <c r="B141" s="2" t="s">
        <v>1116</v>
      </c>
      <c r="C141">
        <v>0</v>
      </c>
      <c r="D141">
        <v>0</v>
      </c>
      <c r="E141">
        <v>0</v>
      </c>
      <c r="F141">
        <v>0</v>
      </c>
      <c r="G141">
        <v>0</v>
      </c>
      <c r="H141">
        <v>0</v>
      </c>
      <c r="I141" s="274">
        <v>0</v>
      </c>
      <c r="J141">
        <v>0</v>
      </c>
      <c r="K141">
        <v>0</v>
      </c>
      <c r="L141">
        <v>0</v>
      </c>
      <c r="M141">
        <v>0</v>
      </c>
      <c r="N141">
        <v>0</v>
      </c>
      <c r="O141" s="274">
        <v>0</v>
      </c>
      <c r="P141">
        <v>0</v>
      </c>
      <c r="Q141">
        <v>0</v>
      </c>
      <c r="R141">
        <v>0</v>
      </c>
      <c r="S141">
        <v>0</v>
      </c>
      <c r="T141" s="274">
        <f t="shared" si="8"/>
        <v>0</v>
      </c>
      <c r="U141">
        <v>0</v>
      </c>
      <c r="V141">
        <v>0</v>
      </c>
      <c r="W141">
        <v>0</v>
      </c>
      <c r="X141">
        <v>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4.8578999999999997E-2</v>
      </c>
      <c r="AT141">
        <v>4.0270000000000002E-3</v>
      </c>
      <c r="AU141">
        <v>1.7100000000000001E-2</v>
      </c>
    </row>
    <row r="142" spans="1:47">
      <c r="A142" s="2" t="s">
        <v>1117</v>
      </c>
      <c r="B142" s="2" t="s">
        <v>1118</v>
      </c>
      <c r="C142">
        <v>0</v>
      </c>
      <c r="D142">
        <v>0</v>
      </c>
      <c r="E142">
        <v>0</v>
      </c>
      <c r="F142">
        <v>0</v>
      </c>
      <c r="G142">
        <v>0</v>
      </c>
      <c r="H142">
        <v>0</v>
      </c>
      <c r="I142" s="274">
        <v>0</v>
      </c>
      <c r="J142">
        <v>0</v>
      </c>
      <c r="K142">
        <v>0</v>
      </c>
      <c r="L142">
        <v>0</v>
      </c>
      <c r="M142">
        <v>0</v>
      </c>
      <c r="N142">
        <v>0</v>
      </c>
      <c r="O142" s="274">
        <v>0</v>
      </c>
      <c r="P142">
        <v>0</v>
      </c>
      <c r="Q142">
        <v>0</v>
      </c>
      <c r="R142">
        <v>0</v>
      </c>
      <c r="S142">
        <v>0</v>
      </c>
      <c r="T142" s="274">
        <f t="shared" si="8"/>
        <v>0</v>
      </c>
      <c r="U142">
        <v>0</v>
      </c>
      <c r="V142">
        <v>0</v>
      </c>
      <c r="W142">
        <v>0</v>
      </c>
      <c r="X142">
        <v>0</v>
      </c>
      <c r="Y142">
        <v>0</v>
      </c>
      <c r="Z142">
        <v>0</v>
      </c>
      <c r="AA142">
        <v>0</v>
      </c>
      <c r="AB142">
        <v>0</v>
      </c>
      <c r="AC142">
        <v>0</v>
      </c>
      <c r="AD142">
        <v>0</v>
      </c>
      <c r="AE142">
        <v>0</v>
      </c>
      <c r="AF142">
        <v>0</v>
      </c>
      <c r="AG142">
        <v>0</v>
      </c>
      <c r="AH142">
        <v>0</v>
      </c>
      <c r="AI142">
        <v>0</v>
      </c>
      <c r="AJ142">
        <v>0</v>
      </c>
      <c r="AK142">
        <v>0</v>
      </c>
      <c r="AL142">
        <v>0</v>
      </c>
      <c r="AM142">
        <v>0</v>
      </c>
      <c r="AN142">
        <v>0</v>
      </c>
      <c r="AO142">
        <v>0</v>
      </c>
      <c r="AP142">
        <v>0</v>
      </c>
      <c r="AQ142">
        <v>0</v>
      </c>
      <c r="AR142">
        <v>0</v>
      </c>
      <c r="AS142">
        <v>4.8578999999999997E-2</v>
      </c>
      <c r="AT142">
        <v>4.0270000000000002E-3</v>
      </c>
      <c r="AU142">
        <v>1.7100000000000001E-2</v>
      </c>
    </row>
    <row r="143" spans="1:47">
      <c r="A143" s="2" t="s">
        <v>1119</v>
      </c>
      <c r="B143" s="2" t="s">
        <v>1120</v>
      </c>
      <c r="C143">
        <v>0</v>
      </c>
      <c r="D143">
        <v>0</v>
      </c>
      <c r="E143">
        <v>0</v>
      </c>
      <c r="F143">
        <v>0</v>
      </c>
      <c r="G143">
        <v>0</v>
      </c>
      <c r="H143">
        <v>0</v>
      </c>
      <c r="I143" s="274">
        <v>0</v>
      </c>
      <c r="J143">
        <v>0</v>
      </c>
      <c r="K143">
        <v>0</v>
      </c>
      <c r="L143">
        <v>0</v>
      </c>
      <c r="M143">
        <v>0</v>
      </c>
      <c r="N143">
        <v>0</v>
      </c>
      <c r="O143" s="274">
        <v>0</v>
      </c>
      <c r="P143">
        <v>0</v>
      </c>
      <c r="Q143">
        <v>0</v>
      </c>
      <c r="R143">
        <v>0</v>
      </c>
      <c r="S143">
        <v>0</v>
      </c>
      <c r="T143" s="274">
        <f t="shared" si="8"/>
        <v>0</v>
      </c>
      <c r="U143">
        <v>0</v>
      </c>
      <c r="V143">
        <v>0</v>
      </c>
      <c r="W143">
        <v>0</v>
      </c>
      <c r="X143">
        <v>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4.8578999999999997E-2</v>
      </c>
      <c r="AT143">
        <v>4.0270000000000002E-3</v>
      </c>
      <c r="AU143">
        <v>1.7100000000000001E-2</v>
      </c>
    </row>
    <row r="144" spans="1:47">
      <c r="A144" s="2" t="s">
        <v>1121</v>
      </c>
      <c r="B144" s="2" t="s">
        <v>1122</v>
      </c>
      <c r="C144">
        <v>0</v>
      </c>
      <c r="D144">
        <v>0</v>
      </c>
      <c r="E144">
        <v>0</v>
      </c>
      <c r="F144">
        <v>0</v>
      </c>
      <c r="G144">
        <v>0</v>
      </c>
      <c r="H144">
        <v>0</v>
      </c>
      <c r="I144" s="274">
        <v>0</v>
      </c>
      <c r="J144">
        <v>0</v>
      </c>
      <c r="K144">
        <v>0</v>
      </c>
      <c r="L144">
        <v>0</v>
      </c>
      <c r="M144">
        <v>0</v>
      </c>
      <c r="N144">
        <v>0</v>
      </c>
      <c r="O144" s="274">
        <v>0</v>
      </c>
      <c r="P144">
        <v>0</v>
      </c>
      <c r="Q144">
        <v>0</v>
      </c>
      <c r="R144">
        <v>0</v>
      </c>
      <c r="S144">
        <v>0</v>
      </c>
      <c r="T144" s="274">
        <f t="shared" si="8"/>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4.8578999999999997E-2</v>
      </c>
      <c r="AT144">
        <v>4.0270000000000002E-3</v>
      </c>
      <c r="AU144">
        <v>1.7100000000000001E-2</v>
      </c>
    </row>
    <row r="145" spans="1:47">
      <c r="A145" s="2" t="s">
        <v>1123</v>
      </c>
      <c r="B145" s="2" t="s">
        <v>1124</v>
      </c>
      <c r="C145">
        <v>0</v>
      </c>
      <c r="D145">
        <v>0</v>
      </c>
      <c r="E145">
        <v>0</v>
      </c>
      <c r="F145">
        <v>0</v>
      </c>
      <c r="G145">
        <v>0</v>
      </c>
      <c r="H145">
        <v>0</v>
      </c>
      <c r="I145" s="274">
        <v>0</v>
      </c>
      <c r="J145">
        <v>0</v>
      </c>
      <c r="K145">
        <v>0</v>
      </c>
      <c r="L145">
        <v>0</v>
      </c>
      <c r="M145">
        <v>0</v>
      </c>
      <c r="N145">
        <v>0</v>
      </c>
      <c r="O145" s="274">
        <v>0</v>
      </c>
      <c r="P145">
        <v>0</v>
      </c>
      <c r="Q145">
        <v>0</v>
      </c>
      <c r="R145">
        <v>0</v>
      </c>
      <c r="S145">
        <v>0</v>
      </c>
      <c r="T145" s="274">
        <f t="shared" si="8"/>
        <v>0</v>
      </c>
      <c r="U145">
        <v>0</v>
      </c>
      <c r="V145">
        <v>0</v>
      </c>
      <c r="W145">
        <v>0</v>
      </c>
      <c r="X145">
        <v>0</v>
      </c>
      <c r="Y145">
        <v>0</v>
      </c>
      <c r="Z145">
        <v>0</v>
      </c>
      <c r="AA145">
        <v>0</v>
      </c>
      <c r="AB145">
        <v>0</v>
      </c>
      <c r="AC145">
        <v>0</v>
      </c>
      <c r="AD145">
        <v>0</v>
      </c>
      <c r="AE145">
        <v>0</v>
      </c>
      <c r="AF145">
        <v>0</v>
      </c>
      <c r="AG145">
        <v>0</v>
      </c>
      <c r="AH145">
        <v>0</v>
      </c>
      <c r="AI145">
        <v>0</v>
      </c>
      <c r="AJ145">
        <v>0</v>
      </c>
      <c r="AK145">
        <v>0</v>
      </c>
      <c r="AL145">
        <v>0</v>
      </c>
      <c r="AM145">
        <v>0</v>
      </c>
      <c r="AN145">
        <v>0</v>
      </c>
      <c r="AO145">
        <v>0</v>
      </c>
      <c r="AP145">
        <v>0</v>
      </c>
      <c r="AQ145">
        <v>0</v>
      </c>
      <c r="AR145">
        <v>0</v>
      </c>
      <c r="AS145">
        <v>4.8578999999999997E-2</v>
      </c>
      <c r="AT145">
        <v>4.0270000000000002E-3</v>
      </c>
      <c r="AU145">
        <v>1.7100000000000001E-2</v>
      </c>
    </row>
    <row r="146" spans="1:47">
      <c r="A146" s="2" t="s">
        <v>1125</v>
      </c>
      <c r="B146" s="2" t="s">
        <v>1126</v>
      </c>
      <c r="C146">
        <v>0</v>
      </c>
      <c r="D146">
        <v>0</v>
      </c>
      <c r="E146">
        <v>0</v>
      </c>
      <c r="F146">
        <v>0</v>
      </c>
      <c r="G146">
        <v>0</v>
      </c>
      <c r="H146">
        <v>0</v>
      </c>
      <c r="I146" s="274">
        <v>0</v>
      </c>
      <c r="J146">
        <v>0</v>
      </c>
      <c r="K146">
        <v>0</v>
      </c>
      <c r="L146">
        <v>0</v>
      </c>
      <c r="M146">
        <v>0</v>
      </c>
      <c r="N146">
        <v>0</v>
      </c>
      <c r="O146" s="274">
        <v>0</v>
      </c>
      <c r="P146">
        <v>0</v>
      </c>
      <c r="Q146">
        <v>0</v>
      </c>
      <c r="R146">
        <v>0</v>
      </c>
      <c r="S146">
        <v>0</v>
      </c>
      <c r="T146" s="274">
        <f t="shared" si="8"/>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4.8578999999999997E-2</v>
      </c>
      <c r="AT146">
        <v>4.0270000000000002E-3</v>
      </c>
      <c r="AU146">
        <v>1.7100000000000001E-2</v>
      </c>
    </row>
    <row r="147" spans="1:47">
      <c r="A147" s="2" t="s">
        <v>227</v>
      </c>
      <c r="B147" s="2" t="s">
        <v>228</v>
      </c>
      <c r="C147">
        <v>10041.11</v>
      </c>
      <c r="D147">
        <v>4560.8900000000003</v>
      </c>
      <c r="E147">
        <v>45796397.049999997</v>
      </c>
      <c r="F147">
        <v>70.75</v>
      </c>
      <c r="G147">
        <v>410.75</v>
      </c>
      <c r="H147">
        <v>225.5</v>
      </c>
      <c r="I147" s="274">
        <v>707</v>
      </c>
      <c r="J147">
        <v>799215.7</v>
      </c>
      <c r="K147">
        <v>4056526.64</v>
      </c>
      <c r="L147">
        <v>2199327.5499999998</v>
      </c>
      <c r="M147">
        <v>-431438.22</v>
      </c>
      <c r="N147">
        <v>6249820.1299999999</v>
      </c>
      <c r="O147" s="274">
        <v>732511.1</v>
      </c>
      <c r="P147">
        <v>1400206.33</v>
      </c>
      <c r="Q147">
        <v>319.5</v>
      </c>
      <c r="R147">
        <v>134.5</v>
      </c>
      <c r="S147">
        <v>39.25</v>
      </c>
      <c r="T147" s="274">
        <f t="shared" si="8"/>
        <v>493.25</v>
      </c>
      <c r="U147">
        <v>772336.96</v>
      </c>
      <c r="V147">
        <v>228.04</v>
      </c>
      <c r="W147">
        <v>148779.1</v>
      </c>
      <c r="X147">
        <v>323.31</v>
      </c>
      <c r="Y147">
        <v>85.98</v>
      </c>
      <c r="Z147">
        <v>257.43</v>
      </c>
      <c r="AA147">
        <v>3252398.0800000001</v>
      </c>
      <c r="AB147">
        <v>863674.25</v>
      </c>
      <c r="AC147">
        <v>2946059.61</v>
      </c>
      <c r="AD147">
        <v>261666.03</v>
      </c>
      <c r="AE147">
        <v>1973577.49</v>
      </c>
      <c r="AF147">
        <v>1301618.94</v>
      </c>
      <c r="AG147">
        <v>2090386.18</v>
      </c>
      <c r="AH147">
        <v>1.18</v>
      </c>
      <c r="AI147">
        <v>68937</v>
      </c>
      <c r="AJ147">
        <v>67585</v>
      </c>
      <c r="AK147">
        <v>0</v>
      </c>
      <c r="AL147">
        <v>0</v>
      </c>
      <c r="AM147">
        <v>0</v>
      </c>
      <c r="AN147">
        <v>0</v>
      </c>
      <c r="AO147">
        <v>0</v>
      </c>
      <c r="AP147">
        <v>4940376.6100000003</v>
      </c>
      <c r="AQ147">
        <v>329572.21999999997</v>
      </c>
      <c r="AR147">
        <v>94.082999999999998</v>
      </c>
      <c r="AS147">
        <v>4.8578999999999997E-2</v>
      </c>
      <c r="AT147">
        <v>4.0270000000000002E-3</v>
      </c>
      <c r="AU147">
        <v>1.7100000000000001E-2</v>
      </c>
    </row>
    <row r="148" spans="1:47">
      <c r="A148" s="2" t="s">
        <v>229</v>
      </c>
      <c r="B148" s="2" t="s">
        <v>230</v>
      </c>
      <c r="C148">
        <v>9745.4500000000007</v>
      </c>
      <c r="D148">
        <v>3597.84</v>
      </c>
      <c r="E148">
        <v>35062570.329999998</v>
      </c>
      <c r="F148">
        <v>27</v>
      </c>
      <c r="G148">
        <v>281.25</v>
      </c>
      <c r="H148">
        <v>140.75</v>
      </c>
      <c r="I148" s="274">
        <v>449</v>
      </c>
      <c r="J148">
        <v>299832.77</v>
      </c>
      <c r="K148">
        <v>2730333.76</v>
      </c>
      <c r="L148">
        <v>1349391.05</v>
      </c>
      <c r="M148">
        <v>0</v>
      </c>
      <c r="N148">
        <v>4075021.9</v>
      </c>
      <c r="O148" s="274">
        <v>465898.22</v>
      </c>
      <c r="P148">
        <v>765871.68</v>
      </c>
      <c r="Q148">
        <v>22.25</v>
      </c>
      <c r="R148">
        <v>16.5</v>
      </c>
      <c r="S148">
        <v>8</v>
      </c>
      <c r="T148" s="274">
        <f t="shared" si="8"/>
        <v>46.75</v>
      </c>
      <c r="U148">
        <v>73086.47</v>
      </c>
      <c r="V148">
        <v>179.89</v>
      </c>
      <c r="W148">
        <v>117391.59</v>
      </c>
      <c r="X148">
        <v>275.68</v>
      </c>
      <c r="Y148">
        <v>49.6</v>
      </c>
      <c r="Z148">
        <v>0</v>
      </c>
      <c r="AA148">
        <v>2773175.03</v>
      </c>
      <c r="AB148">
        <v>498164.73</v>
      </c>
      <c r="AC148">
        <v>0</v>
      </c>
      <c r="AD148">
        <v>111102.7</v>
      </c>
      <c r="AE148">
        <v>1436881.68</v>
      </c>
      <c r="AF148">
        <v>0</v>
      </c>
      <c r="AG148">
        <v>186285.51</v>
      </c>
      <c r="AH148">
        <v>1.18</v>
      </c>
      <c r="AI148">
        <v>68937</v>
      </c>
      <c r="AJ148">
        <v>67585</v>
      </c>
      <c r="AK148">
        <v>0</v>
      </c>
      <c r="AL148">
        <v>0</v>
      </c>
      <c r="AM148">
        <v>0</v>
      </c>
      <c r="AN148">
        <v>0</v>
      </c>
      <c r="AO148">
        <v>0</v>
      </c>
      <c r="AP148">
        <v>4406480.38</v>
      </c>
      <c r="AQ148">
        <v>278249.7</v>
      </c>
      <c r="AR148">
        <v>59.094999999999999</v>
      </c>
      <c r="AS148">
        <v>4.8578999999999997E-2</v>
      </c>
      <c r="AT148">
        <v>4.0270000000000002E-3</v>
      </c>
      <c r="AU148">
        <v>1.7100000000000001E-2</v>
      </c>
    </row>
    <row r="149" spans="1:47">
      <c r="A149" s="2" t="s">
        <v>231</v>
      </c>
      <c r="B149" s="2" t="s">
        <v>232</v>
      </c>
      <c r="C149">
        <v>9769.7800000000007</v>
      </c>
      <c r="D149">
        <v>5427.17</v>
      </c>
      <c r="E149">
        <v>53022256.490000002</v>
      </c>
      <c r="F149">
        <v>56</v>
      </c>
      <c r="G149">
        <v>486.5</v>
      </c>
      <c r="H149">
        <v>221</v>
      </c>
      <c r="I149" s="274">
        <v>763.5</v>
      </c>
      <c r="J149">
        <v>626291.93000000005</v>
      </c>
      <c r="K149">
        <v>4756397.5</v>
      </c>
      <c r="L149">
        <v>2133800.27</v>
      </c>
      <c r="M149">
        <v>0</v>
      </c>
      <c r="N149">
        <v>6880458.7300000004</v>
      </c>
      <c r="O149" s="274">
        <v>854126.79999999993</v>
      </c>
      <c r="P149">
        <v>1156481.71</v>
      </c>
      <c r="Q149">
        <v>164.75</v>
      </c>
      <c r="R149">
        <v>73.75</v>
      </c>
      <c r="S149">
        <v>43</v>
      </c>
      <c r="T149" s="274">
        <f t="shared" si="8"/>
        <v>281.5</v>
      </c>
      <c r="U149">
        <v>427867.41</v>
      </c>
      <c r="V149">
        <v>271.36</v>
      </c>
      <c r="W149">
        <v>176993.89</v>
      </c>
      <c r="X149">
        <v>262.3</v>
      </c>
      <c r="Y149">
        <v>85.33</v>
      </c>
      <c r="Z149">
        <v>0</v>
      </c>
      <c r="AA149">
        <v>2638640.4900000002</v>
      </c>
      <c r="AB149">
        <v>857253.52</v>
      </c>
      <c r="AC149">
        <v>0</v>
      </c>
      <c r="AD149">
        <v>439108.34</v>
      </c>
      <c r="AE149">
        <v>3258207.09</v>
      </c>
      <c r="AF149">
        <v>96315.49</v>
      </c>
      <c r="AG149">
        <v>1210629.1100000001</v>
      </c>
      <c r="AH149">
        <v>1.18</v>
      </c>
      <c r="AI149">
        <v>68937</v>
      </c>
      <c r="AJ149">
        <v>67585</v>
      </c>
      <c r="AK149">
        <v>100321</v>
      </c>
      <c r="AL149">
        <v>102327</v>
      </c>
      <c r="AM149">
        <v>48483</v>
      </c>
      <c r="AN149">
        <v>49453</v>
      </c>
      <c r="AO149">
        <v>1.18</v>
      </c>
      <c r="AP149">
        <v>6539891.4299999997</v>
      </c>
      <c r="AQ149">
        <v>423386.26</v>
      </c>
      <c r="AR149">
        <v>100.389</v>
      </c>
      <c r="AS149">
        <v>4.8578999999999997E-2</v>
      </c>
      <c r="AT149">
        <v>4.0270000000000002E-3</v>
      </c>
      <c r="AU149">
        <v>1.7100000000000001E-2</v>
      </c>
    </row>
    <row r="150" spans="1:47">
      <c r="A150" s="2" t="s">
        <v>233</v>
      </c>
      <c r="B150" s="2" t="s">
        <v>234</v>
      </c>
      <c r="C150">
        <v>9793.24</v>
      </c>
      <c r="D150">
        <v>11134.29</v>
      </c>
      <c r="E150">
        <v>109040740.45</v>
      </c>
      <c r="F150">
        <v>128.5</v>
      </c>
      <c r="G150">
        <v>959</v>
      </c>
      <c r="H150">
        <v>538.75</v>
      </c>
      <c r="I150" s="274">
        <v>1626.25</v>
      </c>
      <c r="J150">
        <v>1440603.8</v>
      </c>
      <c r="K150">
        <v>9399010.0899999999</v>
      </c>
      <c r="L150">
        <v>5214554.17</v>
      </c>
      <c r="M150">
        <v>0</v>
      </c>
      <c r="N150">
        <v>14591261.949999999</v>
      </c>
      <c r="O150" s="274">
        <v>1810633.01</v>
      </c>
      <c r="P150">
        <v>3766276.14</v>
      </c>
      <c r="Q150">
        <v>235</v>
      </c>
      <c r="R150">
        <v>175.5</v>
      </c>
      <c r="S150">
        <v>74.25</v>
      </c>
      <c r="T150" s="274">
        <f t="shared" si="8"/>
        <v>484.75</v>
      </c>
      <c r="U150">
        <v>765991.45</v>
      </c>
      <c r="V150">
        <v>556.71</v>
      </c>
      <c r="W150">
        <v>363166.07</v>
      </c>
      <c r="X150">
        <v>662.91</v>
      </c>
      <c r="Y150">
        <v>113.01</v>
      </c>
      <c r="Z150">
        <v>0</v>
      </c>
      <c r="AA150">
        <v>6669019.1399999997</v>
      </c>
      <c r="AB150">
        <v>1135376.04</v>
      </c>
      <c r="AC150">
        <v>0</v>
      </c>
      <c r="AD150">
        <v>523292.7</v>
      </c>
      <c r="AE150">
        <v>5550999.21</v>
      </c>
      <c r="AF150">
        <v>321580.44</v>
      </c>
      <c r="AG150">
        <v>2617968.4700000002</v>
      </c>
      <c r="AH150">
        <v>1.18</v>
      </c>
      <c r="AI150">
        <v>68937</v>
      </c>
      <c r="AJ150">
        <v>67585</v>
      </c>
      <c r="AK150">
        <v>100321</v>
      </c>
      <c r="AL150">
        <v>102327</v>
      </c>
      <c r="AM150">
        <v>48483</v>
      </c>
      <c r="AN150">
        <v>49453</v>
      </c>
      <c r="AO150">
        <v>1.18</v>
      </c>
      <c r="AP150">
        <v>13137445.75</v>
      </c>
      <c r="AQ150">
        <v>856929.12</v>
      </c>
      <c r="AR150">
        <v>211.76900000000001</v>
      </c>
      <c r="AS150">
        <v>4.8578999999999997E-2</v>
      </c>
      <c r="AT150">
        <v>4.0270000000000002E-3</v>
      </c>
      <c r="AU150">
        <v>1.7100000000000001E-2</v>
      </c>
    </row>
    <row r="151" spans="1:47">
      <c r="A151" s="2" t="s">
        <v>235</v>
      </c>
      <c r="B151" s="2" t="s">
        <v>236</v>
      </c>
      <c r="C151">
        <v>9784.02</v>
      </c>
      <c r="D151">
        <v>9656.6</v>
      </c>
      <c r="E151">
        <v>94480409.650000006</v>
      </c>
      <c r="F151">
        <v>107</v>
      </c>
      <c r="G151">
        <v>868</v>
      </c>
      <c r="H151">
        <v>526</v>
      </c>
      <c r="I151" s="274">
        <v>1501</v>
      </c>
      <c r="J151">
        <v>1199497.55</v>
      </c>
      <c r="K151">
        <v>8505758.0099999998</v>
      </c>
      <c r="L151">
        <v>5090317.53</v>
      </c>
      <c r="M151">
        <v>-796422.83</v>
      </c>
      <c r="N151">
        <v>13579033.65</v>
      </c>
      <c r="O151" s="274">
        <v>1635414.7</v>
      </c>
      <c r="P151">
        <v>3087905.84</v>
      </c>
      <c r="Q151">
        <v>147.75</v>
      </c>
      <c r="R151">
        <v>91</v>
      </c>
      <c r="S151">
        <v>34</v>
      </c>
      <c r="T151" s="274">
        <f t="shared" si="8"/>
        <v>272.75</v>
      </c>
      <c r="U151">
        <v>430586.92</v>
      </c>
      <c r="V151">
        <v>482.83</v>
      </c>
      <c r="W151">
        <v>315008.32</v>
      </c>
      <c r="X151">
        <v>627.89</v>
      </c>
      <c r="Y151">
        <v>253.12</v>
      </c>
      <c r="Z151">
        <v>0</v>
      </c>
      <c r="AA151">
        <v>6316610.9000000004</v>
      </c>
      <c r="AB151">
        <v>2542860.4500000002</v>
      </c>
      <c r="AC151">
        <v>0</v>
      </c>
      <c r="AD151">
        <v>513836.74</v>
      </c>
      <c r="AE151">
        <v>5778333.7699999996</v>
      </c>
      <c r="AF151">
        <v>187645.24</v>
      </c>
      <c r="AG151">
        <v>2189194.52</v>
      </c>
      <c r="AH151">
        <v>1.18</v>
      </c>
      <c r="AI151">
        <v>68937</v>
      </c>
      <c r="AJ151">
        <v>67585</v>
      </c>
      <c r="AK151">
        <v>100321</v>
      </c>
      <c r="AL151">
        <v>102327</v>
      </c>
      <c r="AM151">
        <v>48483</v>
      </c>
      <c r="AN151">
        <v>49453</v>
      </c>
      <c r="AO151">
        <v>1.18</v>
      </c>
      <c r="AP151">
        <v>10054266.02</v>
      </c>
      <c r="AQ151">
        <v>668609.24</v>
      </c>
      <c r="AR151">
        <v>181.28100000000001</v>
      </c>
      <c r="AS151">
        <v>4.8578999999999997E-2</v>
      </c>
      <c r="AT151">
        <v>4.0270000000000002E-3</v>
      </c>
      <c r="AU151">
        <v>1.7100000000000001E-2</v>
      </c>
    </row>
    <row r="152" spans="1:47">
      <c r="A152" s="2" t="s">
        <v>1127</v>
      </c>
      <c r="B152" s="2" t="s">
        <v>1128</v>
      </c>
      <c r="C152">
        <v>0</v>
      </c>
      <c r="D152">
        <v>0</v>
      </c>
      <c r="E152">
        <v>0</v>
      </c>
      <c r="F152">
        <v>0</v>
      </c>
      <c r="G152">
        <v>0</v>
      </c>
      <c r="H152">
        <v>0</v>
      </c>
      <c r="I152" s="274">
        <v>0</v>
      </c>
      <c r="J152">
        <v>0</v>
      </c>
      <c r="K152">
        <v>0</v>
      </c>
      <c r="L152">
        <v>0</v>
      </c>
      <c r="M152">
        <v>0</v>
      </c>
      <c r="N152">
        <v>0</v>
      </c>
      <c r="O152" s="274">
        <v>0</v>
      </c>
      <c r="P152">
        <v>0</v>
      </c>
      <c r="Q152">
        <v>0</v>
      </c>
      <c r="R152">
        <v>0</v>
      </c>
      <c r="S152">
        <v>0</v>
      </c>
      <c r="T152" s="274">
        <f t="shared" si="8"/>
        <v>0</v>
      </c>
      <c r="U152">
        <v>0</v>
      </c>
      <c r="V152">
        <v>0</v>
      </c>
      <c r="W152">
        <v>0</v>
      </c>
      <c r="X152">
        <v>0</v>
      </c>
      <c r="Y152">
        <v>0</v>
      </c>
      <c r="Z152">
        <v>0</v>
      </c>
      <c r="AA152">
        <v>0</v>
      </c>
      <c r="AB152">
        <v>0</v>
      </c>
      <c r="AC152">
        <v>0</v>
      </c>
      <c r="AD152">
        <v>0</v>
      </c>
      <c r="AE152">
        <v>0</v>
      </c>
      <c r="AF152">
        <v>0</v>
      </c>
      <c r="AG152">
        <v>0</v>
      </c>
      <c r="AH152">
        <v>0</v>
      </c>
      <c r="AI152">
        <v>0</v>
      </c>
      <c r="AJ152">
        <v>0</v>
      </c>
      <c r="AK152">
        <v>100321</v>
      </c>
      <c r="AL152">
        <v>102327</v>
      </c>
      <c r="AM152">
        <v>48483</v>
      </c>
      <c r="AN152">
        <v>49453</v>
      </c>
      <c r="AO152">
        <v>1.18</v>
      </c>
      <c r="AP152">
        <v>0</v>
      </c>
      <c r="AQ152">
        <v>0</v>
      </c>
      <c r="AR152">
        <v>0</v>
      </c>
      <c r="AS152">
        <v>4.8578999999999997E-2</v>
      </c>
      <c r="AT152">
        <v>4.0270000000000002E-3</v>
      </c>
      <c r="AU152">
        <v>1.7100000000000001E-2</v>
      </c>
    </row>
    <row r="153" spans="1:47">
      <c r="A153" s="2" t="s">
        <v>1228</v>
      </c>
      <c r="B153" s="2" t="s">
        <v>1229</v>
      </c>
      <c r="C153">
        <v>10715.51</v>
      </c>
      <c r="D153">
        <v>301.39999999999998</v>
      </c>
      <c r="E153">
        <v>3229654.44</v>
      </c>
      <c r="F153">
        <v>0</v>
      </c>
      <c r="G153">
        <v>28.75</v>
      </c>
      <c r="H153">
        <v>0.75</v>
      </c>
      <c r="I153" s="274">
        <v>29.5</v>
      </c>
      <c r="J153">
        <v>0</v>
      </c>
      <c r="K153">
        <v>309728.08</v>
      </c>
      <c r="L153">
        <v>7979.41</v>
      </c>
      <c r="M153">
        <v>0</v>
      </c>
      <c r="N153">
        <v>316085.71999999997</v>
      </c>
      <c r="O153" s="274">
        <v>39942.26</v>
      </c>
      <c r="P153">
        <v>61234.42</v>
      </c>
      <c r="Q153">
        <v>0</v>
      </c>
      <c r="R153">
        <v>1</v>
      </c>
      <c r="S153">
        <v>0</v>
      </c>
      <c r="T153" s="274">
        <f t="shared" si="8"/>
        <v>1</v>
      </c>
      <c r="U153">
        <v>0</v>
      </c>
      <c r="V153">
        <v>15.07</v>
      </c>
      <c r="W153">
        <v>9858.16</v>
      </c>
      <c r="X153">
        <v>0</v>
      </c>
      <c r="Y153">
        <v>0</v>
      </c>
      <c r="Z153">
        <v>0</v>
      </c>
      <c r="AA153">
        <v>0</v>
      </c>
      <c r="AB153">
        <v>0</v>
      </c>
      <c r="AC153">
        <v>0</v>
      </c>
      <c r="AD153">
        <v>0</v>
      </c>
      <c r="AE153">
        <v>47657.04</v>
      </c>
      <c r="AF153">
        <v>0</v>
      </c>
      <c r="AG153">
        <v>42832.06</v>
      </c>
      <c r="AH153">
        <v>1.18</v>
      </c>
      <c r="AI153">
        <v>68937</v>
      </c>
      <c r="AJ153">
        <v>67585</v>
      </c>
      <c r="AK153">
        <v>100321</v>
      </c>
      <c r="AL153">
        <v>102327</v>
      </c>
      <c r="AM153">
        <v>48483</v>
      </c>
      <c r="AN153">
        <v>49453</v>
      </c>
      <c r="AO153">
        <v>1.18</v>
      </c>
      <c r="AP153">
        <v>403915.2</v>
      </c>
      <c r="AQ153">
        <v>31214.53</v>
      </c>
      <c r="AR153">
        <v>13.465999999999999</v>
      </c>
      <c r="AS153">
        <v>4.8578999999999997E-2</v>
      </c>
      <c r="AT153">
        <v>4.0270000000000002E-3</v>
      </c>
      <c r="AU153">
        <v>1.7100000000000001E-2</v>
      </c>
    </row>
    <row r="154" spans="1:47">
      <c r="A154" s="2" t="s">
        <v>237</v>
      </c>
      <c r="B154" s="2" t="s">
        <v>238</v>
      </c>
      <c r="C154">
        <v>26905.27</v>
      </c>
      <c r="D154">
        <v>86.22</v>
      </c>
      <c r="E154">
        <v>2319772.2200000002</v>
      </c>
      <c r="F154">
        <v>0</v>
      </c>
      <c r="G154">
        <v>16.75</v>
      </c>
      <c r="H154">
        <v>1</v>
      </c>
      <c r="I154" s="274">
        <v>17.75</v>
      </c>
      <c r="J154">
        <v>0</v>
      </c>
      <c r="K154">
        <v>151710.42000000001</v>
      </c>
      <c r="L154">
        <v>8944.7099999999991</v>
      </c>
      <c r="M154">
        <v>-55320.29</v>
      </c>
      <c r="N154">
        <v>159935.13</v>
      </c>
      <c r="O154" s="274">
        <v>11386</v>
      </c>
      <c r="P154">
        <v>25924.03</v>
      </c>
      <c r="Q154">
        <v>0</v>
      </c>
      <c r="R154">
        <v>0</v>
      </c>
      <c r="S154">
        <v>0</v>
      </c>
      <c r="T154" s="274">
        <f t="shared" si="8"/>
        <v>0</v>
      </c>
      <c r="U154">
        <v>0</v>
      </c>
      <c r="V154">
        <v>0</v>
      </c>
      <c r="W154">
        <v>0</v>
      </c>
      <c r="X154">
        <v>3.73</v>
      </c>
      <c r="Y154">
        <v>0</v>
      </c>
      <c r="Z154">
        <v>0</v>
      </c>
      <c r="AA154">
        <v>37579.79</v>
      </c>
      <c r="AB154">
        <v>0</v>
      </c>
      <c r="AC154">
        <v>0</v>
      </c>
      <c r="AD154">
        <v>0</v>
      </c>
      <c r="AE154">
        <v>49122.52</v>
      </c>
      <c r="AF154">
        <v>29347.9</v>
      </c>
      <c r="AG154">
        <v>35466.75</v>
      </c>
      <c r="AH154">
        <v>1.18</v>
      </c>
      <c r="AI154">
        <v>68937</v>
      </c>
      <c r="AJ154">
        <v>67585</v>
      </c>
      <c r="AK154">
        <v>0</v>
      </c>
      <c r="AL154">
        <v>0</v>
      </c>
      <c r="AM154">
        <v>0</v>
      </c>
      <c r="AN154">
        <v>0</v>
      </c>
      <c r="AO154">
        <v>0</v>
      </c>
      <c r="AP154">
        <v>234953.75</v>
      </c>
      <c r="AQ154">
        <v>21420.37</v>
      </c>
      <c r="AR154">
        <v>0</v>
      </c>
      <c r="AS154">
        <v>4.8578999999999997E-2</v>
      </c>
      <c r="AT154">
        <v>4.0270000000000002E-3</v>
      </c>
      <c r="AU154">
        <v>1.7100000000000001E-2</v>
      </c>
    </row>
    <row r="155" spans="1:47">
      <c r="A155" s="2" t="s">
        <v>1129</v>
      </c>
      <c r="B155" s="2" t="s">
        <v>1130</v>
      </c>
      <c r="C155">
        <v>0</v>
      </c>
      <c r="D155">
        <v>0</v>
      </c>
      <c r="E155">
        <v>0</v>
      </c>
      <c r="F155">
        <v>0</v>
      </c>
      <c r="G155">
        <v>0</v>
      </c>
      <c r="H155">
        <v>0</v>
      </c>
      <c r="I155" s="274">
        <v>0</v>
      </c>
      <c r="J155">
        <v>0</v>
      </c>
      <c r="K155">
        <v>0</v>
      </c>
      <c r="L155">
        <v>0</v>
      </c>
      <c r="M155">
        <v>0</v>
      </c>
      <c r="N155">
        <v>0</v>
      </c>
      <c r="O155" s="274">
        <v>0</v>
      </c>
      <c r="P155">
        <v>0</v>
      </c>
      <c r="Q155">
        <v>0</v>
      </c>
      <c r="R155">
        <v>0</v>
      </c>
      <c r="S155">
        <v>0</v>
      </c>
      <c r="T155" s="274">
        <f t="shared" si="8"/>
        <v>0</v>
      </c>
      <c r="U155">
        <v>0</v>
      </c>
      <c r="V155">
        <v>0</v>
      </c>
      <c r="W155">
        <v>0</v>
      </c>
      <c r="X155">
        <v>0</v>
      </c>
      <c r="Y155">
        <v>0</v>
      </c>
      <c r="Z155">
        <v>0</v>
      </c>
      <c r="AA155">
        <v>0</v>
      </c>
      <c r="AB155">
        <v>0</v>
      </c>
      <c r="AC155">
        <v>0</v>
      </c>
      <c r="AD155">
        <v>0</v>
      </c>
      <c r="AE155">
        <v>0</v>
      </c>
      <c r="AF155">
        <v>0</v>
      </c>
      <c r="AG155">
        <v>0</v>
      </c>
      <c r="AH155">
        <v>0</v>
      </c>
      <c r="AI155">
        <v>0</v>
      </c>
      <c r="AJ155">
        <v>0</v>
      </c>
      <c r="AK155">
        <v>100321</v>
      </c>
      <c r="AL155">
        <v>102327</v>
      </c>
      <c r="AM155">
        <v>48483</v>
      </c>
      <c r="AN155">
        <v>49453</v>
      </c>
      <c r="AO155">
        <v>1.18</v>
      </c>
      <c r="AP155">
        <v>0</v>
      </c>
      <c r="AQ155">
        <v>0</v>
      </c>
      <c r="AR155">
        <v>0</v>
      </c>
      <c r="AS155">
        <v>4.8578999999999997E-2</v>
      </c>
      <c r="AT155">
        <v>4.0270000000000002E-3</v>
      </c>
      <c r="AU155">
        <v>1.7100000000000001E-2</v>
      </c>
    </row>
    <row r="156" spans="1:47">
      <c r="A156" s="2" t="s">
        <v>239</v>
      </c>
      <c r="B156" s="2" t="s">
        <v>240</v>
      </c>
      <c r="C156">
        <v>10512.78</v>
      </c>
      <c r="D156">
        <v>41.4</v>
      </c>
      <c r="E156">
        <v>435228.93</v>
      </c>
      <c r="F156">
        <v>1</v>
      </c>
      <c r="G156">
        <v>3.25</v>
      </c>
      <c r="H156">
        <v>1</v>
      </c>
      <c r="I156" s="274">
        <v>5.25</v>
      </c>
      <c r="J156">
        <v>9982.36</v>
      </c>
      <c r="K156">
        <v>28359.67</v>
      </c>
      <c r="L156">
        <v>8617.5499999999993</v>
      </c>
      <c r="M156">
        <v>0</v>
      </c>
      <c r="N156">
        <v>36891.32</v>
      </c>
      <c r="O156" s="274">
        <v>5510.36</v>
      </c>
      <c r="P156">
        <v>2341.19</v>
      </c>
      <c r="Q156">
        <v>0</v>
      </c>
      <c r="R156">
        <v>0</v>
      </c>
      <c r="S156">
        <v>0</v>
      </c>
      <c r="T156" s="274">
        <f t="shared" si="8"/>
        <v>0</v>
      </c>
      <c r="U156">
        <v>0</v>
      </c>
      <c r="V156">
        <v>0</v>
      </c>
      <c r="W156">
        <v>0</v>
      </c>
      <c r="X156">
        <v>0</v>
      </c>
      <c r="Y156">
        <v>0</v>
      </c>
      <c r="Z156">
        <v>0</v>
      </c>
      <c r="AA156">
        <v>0</v>
      </c>
      <c r="AB156">
        <v>0</v>
      </c>
      <c r="AC156">
        <v>0</v>
      </c>
      <c r="AD156">
        <v>0</v>
      </c>
      <c r="AE156">
        <v>0</v>
      </c>
      <c r="AF156">
        <v>0</v>
      </c>
      <c r="AG156">
        <v>0</v>
      </c>
      <c r="AH156">
        <v>1</v>
      </c>
      <c r="AI156">
        <v>68937</v>
      </c>
      <c r="AJ156">
        <v>67585</v>
      </c>
      <c r="AK156">
        <v>100321</v>
      </c>
      <c r="AL156">
        <v>102327</v>
      </c>
      <c r="AM156">
        <v>48483</v>
      </c>
      <c r="AN156">
        <v>49453</v>
      </c>
      <c r="AO156">
        <v>1.18</v>
      </c>
      <c r="AP156">
        <v>62294.14</v>
      </c>
      <c r="AQ156">
        <v>3837.31</v>
      </c>
      <c r="AR156">
        <v>1.47</v>
      </c>
      <c r="AS156">
        <v>4.8578999999999997E-2</v>
      </c>
      <c r="AT156">
        <v>4.0270000000000002E-3</v>
      </c>
      <c r="AU156">
        <v>1.7100000000000001E-2</v>
      </c>
    </row>
    <row r="157" spans="1:47">
      <c r="A157" s="2" t="s">
        <v>241</v>
      </c>
      <c r="B157" s="2" t="s">
        <v>242</v>
      </c>
      <c r="C157">
        <v>23463.47</v>
      </c>
      <c r="D157">
        <v>83.26</v>
      </c>
      <c r="E157">
        <v>1953568.77</v>
      </c>
      <c r="F157">
        <v>3</v>
      </c>
      <c r="G157">
        <v>5.75</v>
      </c>
      <c r="H157">
        <v>2</v>
      </c>
      <c r="I157" s="274">
        <v>10.75</v>
      </c>
      <c r="J157">
        <v>28844.42</v>
      </c>
      <c r="K157">
        <v>48312.68</v>
      </c>
      <c r="L157">
        <v>16595.39</v>
      </c>
      <c r="M157">
        <v>0</v>
      </c>
      <c r="N157">
        <v>64795.43</v>
      </c>
      <c r="O157" s="274">
        <v>11733.19</v>
      </c>
      <c r="P157">
        <v>6494.18</v>
      </c>
      <c r="Q157">
        <v>1</v>
      </c>
      <c r="R157">
        <v>5</v>
      </c>
      <c r="S157">
        <v>5</v>
      </c>
      <c r="T157" s="274">
        <f t="shared" si="8"/>
        <v>11</v>
      </c>
      <c r="U157">
        <v>13990.37</v>
      </c>
      <c r="V157">
        <v>0</v>
      </c>
      <c r="W157">
        <v>0</v>
      </c>
      <c r="X157">
        <v>0</v>
      </c>
      <c r="Y157">
        <v>0</v>
      </c>
      <c r="Z157">
        <v>0</v>
      </c>
      <c r="AA157">
        <v>0</v>
      </c>
      <c r="AB157">
        <v>0</v>
      </c>
      <c r="AC157">
        <v>0</v>
      </c>
      <c r="AD157">
        <v>40032.800000000003</v>
      </c>
      <c r="AE157">
        <v>111591.12</v>
      </c>
      <c r="AF157">
        <v>12425.02</v>
      </c>
      <c r="AG157">
        <v>41286.28</v>
      </c>
      <c r="AH157">
        <v>1</v>
      </c>
      <c r="AI157">
        <v>68937</v>
      </c>
      <c r="AJ157">
        <v>67585</v>
      </c>
      <c r="AK157">
        <v>0</v>
      </c>
      <c r="AL157">
        <v>0</v>
      </c>
      <c r="AM157">
        <v>0</v>
      </c>
      <c r="AN157">
        <v>0</v>
      </c>
      <c r="AO157">
        <v>0</v>
      </c>
      <c r="AP157">
        <v>223751.02</v>
      </c>
      <c r="AQ157">
        <v>17784</v>
      </c>
      <c r="AR157">
        <v>1.155</v>
      </c>
      <c r="AS157">
        <v>4.8578999999999997E-2</v>
      </c>
      <c r="AT157">
        <v>4.0270000000000002E-3</v>
      </c>
      <c r="AU157">
        <v>1.7100000000000001E-2</v>
      </c>
    </row>
    <row r="158" spans="1:47">
      <c r="A158" s="2" t="s">
        <v>243</v>
      </c>
      <c r="B158" s="2" t="s">
        <v>244</v>
      </c>
      <c r="C158">
        <v>13504.91</v>
      </c>
      <c r="D158">
        <v>223.18</v>
      </c>
      <c r="E158">
        <v>3014026.33</v>
      </c>
      <c r="F158">
        <v>3.5</v>
      </c>
      <c r="G158">
        <v>26.5</v>
      </c>
      <c r="H158">
        <v>5</v>
      </c>
      <c r="I158" s="274">
        <v>35</v>
      </c>
      <c r="J158">
        <v>35087.410000000003</v>
      </c>
      <c r="K158">
        <v>232199.37</v>
      </c>
      <c r="L158">
        <v>43266.37</v>
      </c>
      <c r="M158">
        <v>-10783.36</v>
      </c>
      <c r="N158">
        <v>274597.15999999997</v>
      </c>
      <c r="O158" s="274">
        <v>31805.09</v>
      </c>
      <c r="P158">
        <v>33228.39</v>
      </c>
      <c r="Q158">
        <v>1.5</v>
      </c>
      <c r="R158">
        <v>0.5</v>
      </c>
      <c r="S158">
        <v>1.5</v>
      </c>
      <c r="T158" s="274">
        <f t="shared" si="8"/>
        <v>3.5</v>
      </c>
      <c r="U158">
        <v>3913.39</v>
      </c>
      <c r="V158">
        <v>11.16</v>
      </c>
      <c r="W158">
        <v>6261.43</v>
      </c>
      <c r="X158">
        <v>10.039999999999999</v>
      </c>
      <c r="Y158">
        <v>3.47</v>
      </c>
      <c r="Z158">
        <v>0</v>
      </c>
      <c r="AA158">
        <v>89521.33</v>
      </c>
      <c r="AB158">
        <v>30879.23</v>
      </c>
      <c r="AC158">
        <v>0</v>
      </c>
      <c r="AD158">
        <v>40397.449999999997</v>
      </c>
      <c r="AE158">
        <v>137417.76</v>
      </c>
      <c r="AF158">
        <v>0</v>
      </c>
      <c r="AG158">
        <v>49895.73</v>
      </c>
      <c r="AH158">
        <v>1</v>
      </c>
      <c r="AI158">
        <v>68937</v>
      </c>
      <c r="AJ158">
        <v>67585</v>
      </c>
      <c r="AK158">
        <v>100321</v>
      </c>
      <c r="AL158">
        <v>102327</v>
      </c>
      <c r="AM158">
        <v>48483</v>
      </c>
      <c r="AN158">
        <v>49453</v>
      </c>
      <c r="AO158">
        <v>1</v>
      </c>
      <c r="AP158">
        <v>372056.86</v>
      </c>
      <c r="AQ158">
        <v>25997.17</v>
      </c>
      <c r="AR158">
        <v>5.1589999999999998</v>
      </c>
      <c r="AS158">
        <v>4.8578999999999997E-2</v>
      </c>
      <c r="AT158">
        <v>4.0270000000000002E-3</v>
      </c>
      <c r="AU158">
        <v>1.7100000000000001E-2</v>
      </c>
    </row>
    <row r="159" spans="1:47">
      <c r="A159" s="2" t="s">
        <v>245</v>
      </c>
      <c r="B159" s="2" t="s">
        <v>246</v>
      </c>
      <c r="C159">
        <v>8738.42</v>
      </c>
      <c r="D159">
        <v>3232.53</v>
      </c>
      <c r="E159">
        <v>28247197.719999999</v>
      </c>
      <c r="F159">
        <v>30.75</v>
      </c>
      <c r="G159">
        <v>251.75</v>
      </c>
      <c r="H159">
        <v>132.5</v>
      </c>
      <c r="I159" s="274">
        <v>415</v>
      </c>
      <c r="J159">
        <v>305195.7</v>
      </c>
      <c r="K159">
        <v>2183747.14</v>
      </c>
      <c r="L159">
        <v>1135046.3500000001</v>
      </c>
      <c r="M159">
        <v>0</v>
      </c>
      <c r="N159">
        <v>3316265.78</v>
      </c>
      <c r="O159" s="274">
        <v>406805.79</v>
      </c>
      <c r="P159">
        <v>706675.38</v>
      </c>
      <c r="Q159">
        <v>148</v>
      </c>
      <c r="R159">
        <v>70.5</v>
      </c>
      <c r="S159">
        <v>38</v>
      </c>
      <c r="T159" s="274">
        <f t="shared" si="8"/>
        <v>256.5</v>
      </c>
      <c r="U159">
        <v>338899.69</v>
      </c>
      <c r="V159">
        <v>161.63</v>
      </c>
      <c r="W159">
        <v>91084.19</v>
      </c>
      <c r="X159">
        <v>199.46</v>
      </c>
      <c r="Y159">
        <v>27.46</v>
      </c>
      <c r="Z159">
        <v>0</v>
      </c>
      <c r="AA159">
        <v>1779912.23</v>
      </c>
      <c r="AB159">
        <v>244716.13</v>
      </c>
      <c r="AC159">
        <v>0</v>
      </c>
      <c r="AD159">
        <v>218284.21</v>
      </c>
      <c r="AE159">
        <v>1687876.53</v>
      </c>
      <c r="AF159">
        <v>142056.10999999999</v>
      </c>
      <c r="AG159">
        <v>860456.93</v>
      </c>
      <c r="AH159">
        <v>1</v>
      </c>
      <c r="AI159">
        <v>68937</v>
      </c>
      <c r="AJ159">
        <v>67585</v>
      </c>
      <c r="AK159">
        <v>100321</v>
      </c>
      <c r="AL159">
        <v>102327</v>
      </c>
      <c r="AM159">
        <v>48483</v>
      </c>
      <c r="AN159">
        <v>49453</v>
      </c>
      <c r="AO159">
        <v>1</v>
      </c>
      <c r="AP159">
        <v>3940767.82</v>
      </c>
      <c r="AQ159">
        <v>217605.69</v>
      </c>
      <c r="AR159">
        <v>62.712000000000003</v>
      </c>
      <c r="AS159">
        <v>4.8578999999999997E-2</v>
      </c>
      <c r="AT159">
        <v>4.0270000000000002E-3</v>
      </c>
      <c r="AU159">
        <v>1.7100000000000001E-2</v>
      </c>
    </row>
    <row r="160" spans="1:47">
      <c r="A160" s="2" t="s">
        <v>247</v>
      </c>
      <c r="B160" s="2" t="s">
        <v>248</v>
      </c>
      <c r="C160">
        <v>9358.5400000000009</v>
      </c>
      <c r="D160">
        <v>577.95000000000005</v>
      </c>
      <c r="E160">
        <v>5408769.4299999997</v>
      </c>
      <c r="F160">
        <v>4.5</v>
      </c>
      <c r="G160">
        <v>61</v>
      </c>
      <c r="H160">
        <v>21.75</v>
      </c>
      <c r="I160" s="274">
        <v>87.25</v>
      </c>
      <c r="J160">
        <v>44313.06</v>
      </c>
      <c r="K160">
        <v>524975.87</v>
      </c>
      <c r="L160">
        <v>184855.98</v>
      </c>
      <c r="M160">
        <v>-39710.870000000003</v>
      </c>
      <c r="N160">
        <v>708580.8</v>
      </c>
      <c r="O160" s="274">
        <v>81180.58</v>
      </c>
      <c r="P160">
        <v>114236.94</v>
      </c>
      <c r="Q160">
        <v>13</v>
      </c>
      <c r="R160">
        <v>19.25</v>
      </c>
      <c r="S160">
        <v>5.75</v>
      </c>
      <c r="T160" s="274">
        <f t="shared" si="8"/>
        <v>38</v>
      </c>
      <c r="U160">
        <v>54787.48</v>
      </c>
      <c r="V160">
        <v>0</v>
      </c>
      <c r="W160">
        <v>0</v>
      </c>
      <c r="X160">
        <v>40.69</v>
      </c>
      <c r="Y160">
        <v>14.66</v>
      </c>
      <c r="Z160">
        <v>0</v>
      </c>
      <c r="AA160">
        <v>363081.13</v>
      </c>
      <c r="AB160">
        <v>130579.32</v>
      </c>
      <c r="AC160">
        <v>0</v>
      </c>
      <c r="AD160">
        <v>75524.97</v>
      </c>
      <c r="AE160">
        <v>410998.92</v>
      </c>
      <c r="AF160">
        <v>0</v>
      </c>
      <c r="AG160">
        <v>175711.26</v>
      </c>
      <c r="AH160">
        <v>1</v>
      </c>
      <c r="AI160">
        <v>68937</v>
      </c>
      <c r="AJ160">
        <v>67585</v>
      </c>
      <c r="AK160">
        <v>100321</v>
      </c>
      <c r="AL160">
        <v>102327</v>
      </c>
      <c r="AM160">
        <v>48483</v>
      </c>
      <c r="AN160">
        <v>49453</v>
      </c>
      <c r="AO160">
        <v>1</v>
      </c>
      <c r="AP160">
        <v>751303.79</v>
      </c>
      <c r="AQ160">
        <v>42577.8</v>
      </c>
      <c r="AR160">
        <v>10.446</v>
      </c>
      <c r="AS160">
        <v>4.8578999999999997E-2</v>
      </c>
      <c r="AT160">
        <v>4.0270000000000002E-3</v>
      </c>
      <c r="AU160">
        <v>1.7100000000000001E-2</v>
      </c>
    </row>
    <row r="161" spans="1:47">
      <c r="A161" s="2" t="s">
        <v>249</v>
      </c>
      <c r="B161" s="2" t="s">
        <v>250</v>
      </c>
      <c r="C161">
        <v>8713.5</v>
      </c>
      <c r="D161">
        <v>884.75</v>
      </c>
      <c r="E161">
        <v>7709269.8799999999</v>
      </c>
      <c r="F161">
        <v>13</v>
      </c>
      <c r="G161">
        <v>106</v>
      </c>
      <c r="H161">
        <v>24.75</v>
      </c>
      <c r="I161" s="274">
        <v>143.75</v>
      </c>
      <c r="J161">
        <v>127037.33</v>
      </c>
      <c r="K161">
        <v>905177.58</v>
      </c>
      <c r="L161">
        <v>208721.52</v>
      </c>
      <c r="M161">
        <v>-97842.49</v>
      </c>
      <c r="N161">
        <v>1111045.51</v>
      </c>
      <c r="O161" s="274">
        <v>110390.16</v>
      </c>
      <c r="P161">
        <v>117642.28</v>
      </c>
      <c r="Q161">
        <v>7.25</v>
      </c>
      <c r="R161">
        <v>5.75</v>
      </c>
      <c r="S161">
        <v>1</v>
      </c>
      <c r="T161" s="274">
        <f t="shared" si="8"/>
        <v>14</v>
      </c>
      <c r="U161">
        <v>19958.3</v>
      </c>
      <c r="V161">
        <v>44.24</v>
      </c>
      <c r="W161">
        <v>24947.87</v>
      </c>
      <c r="X161">
        <v>61.15</v>
      </c>
      <c r="Y161">
        <v>8.83</v>
      </c>
      <c r="Z161">
        <v>0</v>
      </c>
      <c r="AA161">
        <v>545664.84</v>
      </c>
      <c r="AB161">
        <v>78699.7</v>
      </c>
      <c r="AC161">
        <v>0</v>
      </c>
      <c r="AD161">
        <v>83853.84</v>
      </c>
      <c r="AE161">
        <v>545268.26</v>
      </c>
      <c r="AF161">
        <v>6750.6</v>
      </c>
      <c r="AG161">
        <v>202420.16</v>
      </c>
      <c r="AH161">
        <v>1</v>
      </c>
      <c r="AI161">
        <v>68937</v>
      </c>
      <c r="AJ161">
        <v>67585</v>
      </c>
      <c r="AK161">
        <v>100321</v>
      </c>
      <c r="AL161">
        <v>102327</v>
      </c>
      <c r="AM161">
        <v>48483</v>
      </c>
      <c r="AN161">
        <v>49453</v>
      </c>
      <c r="AO161">
        <v>1</v>
      </c>
      <c r="AP161">
        <v>1093824.3</v>
      </c>
      <c r="AQ161">
        <v>59353.39</v>
      </c>
      <c r="AR161">
        <v>16.757000000000001</v>
      </c>
      <c r="AS161">
        <v>4.8578999999999997E-2</v>
      </c>
      <c r="AT161">
        <v>4.0270000000000002E-3</v>
      </c>
      <c r="AU161">
        <v>1.7100000000000001E-2</v>
      </c>
    </row>
    <row r="162" spans="1:47">
      <c r="A162" s="2" t="s">
        <v>1131</v>
      </c>
      <c r="B162" s="2" t="s">
        <v>1132</v>
      </c>
      <c r="C162">
        <v>0</v>
      </c>
      <c r="D162">
        <v>0</v>
      </c>
      <c r="E162">
        <v>0</v>
      </c>
      <c r="F162">
        <v>0</v>
      </c>
      <c r="G162">
        <v>0</v>
      </c>
      <c r="H162">
        <v>0</v>
      </c>
      <c r="I162" s="274">
        <v>0</v>
      </c>
      <c r="J162">
        <v>0</v>
      </c>
      <c r="K162">
        <v>0</v>
      </c>
      <c r="L162">
        <v>0</v>
      </c>
      <c r="M162">
        <v>0</v>
      </c>
      <c r="N162">
        <v>0</v>
      </c>
      <c r="O162" s="274">
        <v>0</v>
      </c>
      <c r="P162">
        <v>0</v>
      </c>
      <c r="Q162">
        <v>0</v>
      </c>
      <c r="R162">
        <v>0</v>
      </c>
      <c r="S162">
        <v>0</v>
      </c>
      <c r="T162" s="274">
        <f t="shared" si="8"/>
        <v>0</v>
      </c>
      <c r="U162">
        <v>0</v>
      </c>
      <c r="V162">
        <v>0</v>
      </c>
      <c r="W162">
        <v>0</v>
      </c>
      <c r="X162">
        <v>0</v>
      </c>
      <c r="Y162">
        <v>0</v>
      </c>
      <c r="Z162">
        <v>0</v>
      </c>
      <c r="AA162">
        <v>0</v>
      </c>
      <c r="AB162">
        <v>0</v>
      </c>
      <c r="AC162">
        <v>0</v>
      </c>
      <c r="AD162">
        <v>0</v>
      </c>
      <c r="AE162">
        <v>0</v>
      </c>
      <c r="AF162">
        <v>0</v>
      </c>
      <c r="AG162">
        <v>0</v>
      </c>
      <c r="AH162">
        <v>0</v>
      </c>
      <c r="AI162">
        <v>0</v>
      </c>
      <c r="AJ162">
        <v>0</v>
      </c>
      <c r="AK162">
        <v>100321</v>
      </c>
      <c r="AL162">
        <v>102327</v>
      </c>
      <c r="AM162">
        <v>48483</v>
      </c>
      <c r="AN162">
        <v>49453</v>
      </c>
      <c r="AO162">
        <v>1</v>
      </c>
      <c r="AP162">
        <v>0</v>
      </c>
      <c r="AQ162">
        <v>0</v>
      </c>
      <c r="AR162">
        <v>0</v>
      </c>
      <c r="AS162">
        <v>4.8578999999999997E-2</v>
      </c>
      <c r="AT162">
        <v>4.0270000000000002E-3</v>
      </c>
      <c r="AU162">
        <v>1.7100000000000001E-2</v>
      </c>
    </row>
    <row r="163" spans="1:47">
      <c r="A163" s="2" t="s">
        <v>251</v>
      </c>
      <c r="B163" s="2" t="s">
        <v>252</v>
      </c>
      <c r="C163">
        <v>32406.92</v>
      </c>
      <c r="D163">
        <v>60.22</v>
      </c>
      <c r="E163">
        <v>1951544.55</v>
      </c>
      <c r="F163">
        <v>1</v>
      </c>
      <c r="G163">
        <v>5.5</v>
      </c>
      <c r="H163">
        <v>0</v>
      </c>
      <c r="I163" s="274">
        <v>6.5</v>
      </c>
      <c r="J163">
        <v>9877.68</v>
      </c>
      <c r="K163">
        <v>47480.67</v>
      </c>
      <c r="L163">
        <v>0</v>
      </c>
      <c r="M163">
        <v>-5254.78</v>
      </c>
      <c r="N163">
        <v>47241.1</v>
      </c>
      <c r="O163" s="274">
        <v>0</v>
      </c>
      <c r="P163">
        <v>7979.32</v>
      </c>
      <c r="Q163">
        <v>0</v>
      </c>
      <c r="R163">
        <v>0</v>
      </c>
      <c r="S163">
        <v>0</v>
      </c>
      <c r="T163" s="274">
        <f t="shared" si="8"/>
        <v>0</v>
      </c>
      <c r="U163">
        <v>0</v>
      </c>
      <c r="V163">
        <v>0</v>
      </c>
      <c r="W163">
        <v>0</v>
      </c>
      <c r="X163">
        <v>2.59</v>
      </c>
      <c r="Y163">
        <v>0</v>
      </c>
      <c r="Z163">
        <v>0</v>
      </c>
      <c r="AA163">
        <v>23168</v>
      </c>
      <c r="AB163">
        <v>0</v>
      </c>
      <c r="AC163">
        <v>0</v>
      </c>
      <c r="AD163">
        <v>28579.59</v>
      </c>
      <c r="AE163">
        <v>47386.28</v>
      </c>
      <c r="AF163">
        <v>19175.61</v>
      </c>
      <c r="AG163">
        <v>35220.53</v>
      </c>
      <c r="AH163">
        <v>1</v>
      </c>
      <c r="AI163">
        <v>68937</v>
      </c>
      <c r="AJ163">
        <v>67585</v>
      </c>
      <c r="AK163">
        <v>100321</v>
      </c>
      <c r="AL163">
        <v>102327</v>
      </c>
      <c r="AM163">
        <v>48483</v>
      </c>
      <c r="AN163">
        <v>49453</v>
      </c>
      <c r="AO163">
        <v>1</v>
      </c>
      <c r="AP163">
        <v>201318.22</v>
      </c>
      <c r="AQ163">
        <v>17612.88</v>
      </c>
      <c r="AR163">
        <v>1.1140000000000001</v>
      </c>
      <c r="AS163">
        <v>4.8578999999999997E-2</v>
      </c>
      <c r="AT163">
        <v>4.0270000000000002E-3</v>
      </c>
      <c r="AU163">
        <v>1.7100000000000001E-2</v>
      </c>
    </row>
    <row r="164" spans="1:47">
      <c r="A164" s="2" t="s">
        <v>253</v>
      </c>
      <c r="B164" s="2" t="s">
        <v>254</v>
      </c>
      <c r="C164">
        <v>17967.57</v>
      </c>
      <c r="D164">
        <v>113.4</v>
      </c>
      <c r="E164">
        <v>2037522.05</v>
      </c>
      <c r="F164">
        <v>1</v>
      </c>
      <c r="G164">
        <v>12.5</v>
      </c>
      <c r="H164">
        <v>7</v>
      </c>
      <c r="I164" s="274">
        <v>20.5</v>
      </c>
      <c r="J164">
        <v>9877.68</v>
      </c>
      <c r="K164">
        <v>107910.62</v>
      </c>
      <c r="L164">
        <v>59678.38</v>
      </c>
      <c r="M164">
        <v>-18547.400000000001</v>
      </c>
      <c r="N164">
        <v>167491.16</v>
      </c>
      <c r="O164" s="274">
        <v>0</v>
      </c>
      <c r="P164">
        <v>28077.42</v>
      </c>
      <c r="Q164">
        <v>0</v>
      </c>
      <c r="R164">
        <v>0</v>
      </c>
      <c r="S164">
        <v>0</v>
      </c>
      <c r="T164" s="274">
        <f t="shared" si="8"/>
        <v>0</v>
      </c>
      <c r="U164">
        <v>0</v>
      </c>
      <c r="V164">
        <v>5.67</v>
      </c>
      <c r="W164">
        <v>3228.55</v>
      </c>
      <c r="X164">
        <v>0</v>
      </c>
      <c r="Y164">
        <v>0</v>
      </c>
      <c r="Z164">
        <v>0</v>
      </c>
      <c r="AA164">
        <v>0</v>
      </c>
      <c r="AB164">
        <v>0</v>
      </c>
      <c r="AC164">
        <v>0</v>
      </c>
      <c r="AD164">
        <v>32214.51</v>
      </c>
      <c r="AE164">
        <v>204128</v>
      </c>
      <c r="AF164">
        <v>0</v>
      </c>
      <c r="AG164">
        <v>0</v>
      </c>
      <c r="AH164">
        <v>1</v>
      </c>
      <c r="AI164">
        <v>68937</v>
      </c>
      <c r="AJ164">
        <v>67585</v>
      </c>
      <c r="AK164">
        <v>0</v>
      </c>
      <c r="AL164">
        <v>0</v>
      </c>
      <c r="AM164">
        <v>0</v>
      </c>
      <c r="AN164">
        <v>0</v>
      </c>
      <c r="AO164">
        <v>0</v>
      </c>
      <c r="AP164">
        <v>252960.98</v>
      </c>
      <c r="AQ164">
        <v>18799.43</v>
      </c>
      <c r="AR164">
        <v>2.2280000000000002</v>
      </c>
      <c r="AS164">
        <v>4.8578999999999997E-2</v>
      </c>
      <c r="AT164">
        <v>4.0270000000000002E-3</v>
      </c>
      <c r="AU164">
        <v>1.7100000000000001E-2</v>
      </c>
    </row>
    <row r="165" spans="1:47">
      <c r="A165" s="2" t="s">
        <v>255</v>
      </c>
      <c r="B165" s="2" t="s">
        <v>256</v>
      </c>
      <c r="C165">
        <v>10517.22</v>
      </c>
      <c r="D165">
        <v>86.8</v>
      </c>
      <c r="E165">
        <v>912894.34</v>
      </c>
      <c r="F165">
        <v>0</v>
      </c>
      <c r="G165">
        <v>7</v>
      </c>
      <c r="H165">
        <v>0.75</v>
      </c>
      <c r="I165" s="274">
        <v>7.75</v>
      </c>
      <c r="J165">
        <v>0</v>
      </c>
      <c r="K165">
        <v>60429.95</v>
      </c>
      <c r="L165">
        <v>6394.11</v>
      </c>
      <c r="M165">
        <v>-7395.55</v>
      </c>
      <c r="N165">
        <v>66567</v>
      </c>
      <c r="O165" s="274">
        <v>0</v>
      </c>
      <c r="P165">
        <v>11193.17</v>
      </c>
      <c r="Q165">
        <v>0</v>
      </c>
      <c r="R165">
        <v>0</v>
      </c>
      <c r="S165">
        <v>0</v>
      </c>
      <c r="T165" s="274">
        <f t="shared" si="8"/>
        <v>0</v>
      </c>
      <c r="U165">
        <v>0</v>
      </c>
      <c r="V165">
        <v>0</v>
      </c>
      <c r="W165">
        <v>0</v>
      </c>
      <c r="X165">
        <v>0</v>
      </c>
      <c r="Y165">
        <v>0</v>
      </c>
      <c r="Z165">
        <v>0</v>
      </c>
      <c r="AA165">
        <v>0</v>
      </c>
      <c r="AB165">
        <v>0</v>
      </c>
      <c r="AC165">
        <v>0</v>
      </c>
      <c r="AD165">
        <v>24887.8</v>
      </c>
      <c r="AE165">
        <v>106310.57</v>
      </c>
      <c r="AF165">
        <v>0</v>
      </c>
      <c r="AG165">
        <v>13770.95</v>
      </c>
      <c r="AH165">
        <v>1</v>
      </c>
      <c r="AI165">
        <v>68937</v>
      </c>
      <c r="AJ165">
        <v>67585</v>
      </c>
      <c r="AK165">
        <v>100321</v>
      </c>
      <c r="AL165">
        <v>102327</v>
      </c>
      <c r="AM165">
        <v>48483</v>
      </c>
      <c r="AN165">
        <v>49453</v>
      </c>
      <c r="AO165">
        <v>1</v>
      </c>
      <c r="AP165">
        <v>122950.22</v>
      </c>
      <c r="AQ165">
        <v>8149.33</v>
      </c>
      <c r="AR165">
        <v>2.8540000000000001</v>
      </c>
      <c r="AS165">
        <v>4.8578999999999997E-2</v>
      </c>
      <c r="AT165">
        <v>4.0270000000000002E-3</v>
      </c>
      <c r="AU165">
        <v>1.7100000000000001E-2</v>
      </c>
    </row>
    <row r="166" spans="1:47">
      <c r="A166" s="2" t="s">
        <v>257</v>
      </c>
      <c r="B166" s="2" t="s">
        <v>258</v>
      </c>
      <c r="C166">
        <v>13122.7</v>
      </c>
      <c r="D166">
        <v>191.13</v>
      </c>
      <c r="E166">
        <v>2508142.06</v>
      </c>
      <c r="F166">
        <v>0.5</v>
      </c>
      <c r="G166">
        <v>10.5</v>
      </c>
      <c r="H166">
        <v>6.75</v>
      </c>
      <c r="I166" s="274">
        <v>17.75</v>
      </c>
      <c r="J166">
        <v>4938.84</v>
      </c>
      <c r="K166">
        <v>90644.92</v>
      </c>
      <c r="L166">
        <v>57547.01</v>
      </c>
      <c r="M166">
        <v>-16400.689999999999</v>
      </c>
      <c r="N166">
        <v>148165.25</v>
      </c>
      <c r="O166" s="274">
        <v>0</v>
      </c>
      <c r="P166">
        <v>25395.89</v>
      </c>
      <c r="Q166">
        <v>7</v>
      </c>
      <c r="R166">
        <v>8.5</v>
      </c>
      <c r="S166">
        <v>0</v>
      </c>
      <c r="T166" s="274">
        <f t="shared" si="8"/>
        <v>15.5</v>
      </c>
      <c r="U166">
        <v>23773.85</v>
      </c>
      <c r="V166">
        <v>9.56</v>
      </c>
      <c r="W166">
        <v>5380.92</v>
      </c>
      <c r="X166">
        <v>0</v>
      </c>
      <c r="Y166">
        <v>0</v>
      </c>
      <c r="Z166">
        <v>0</v>
      </c>
      <c r="AA166">
        <v>0</v>
      </c>
      <c r="AB166">
        <v>0</v>
      </c>
      <c r="AC166">
        <v>0</v>
      </c>
      <c r="AD166">
        <v>18515.43</v>
      </c>
      <c r="AE166">
        <v>135641.87</v>
      </c>
      <c r="AF166">
        <v>0</v>
      </c>
      <c r="AG166">
        <v>0</v>
      </c>
      <c r="AH166">
        <v>1</v>
      </c>
      <c r="AI166">
        <v>68937</v>
      </c>
      <c r="AJ166">
        <v>67585</v>
      </c>
      <c r="AK166">
        <v>100321</v>
      </c>
      <c r="AL166">
        <v>102327</v>
      </c>
      <c r="AM166">
        <v>48483</v>
      </c>
      <c r="AN166">
        <v>49453</v>
      </c>
      <c r="AO166">
        <v>1</v>
      </c>
      <c r="AP166">
        <v>337558.7</v>
      </c>
      <c r="AQ166">
        <v>22398.29</v>
      </c>
      <c r="AR166">
        <v>3.4649999999999999</v>
      </c>
      <c r="AS166">
        <v>4.8578999999999997E-2</v>
      </c>
      <c r="AT166">
        <v>4.0270000000000002E-3</v>
      </c>
      <c r="AU166">
        <v>1.7100000000000001E-2</v>
      </c>
    </row>
    <row r="167" spans="1:47">
      <c r="A167" s="2" t="s">
        <v>259</v>
      </c>
      <c r="B167" s="2" t="s">
        <v>260</v>
      </c>
      <c r="C167">
        <v>37792.83</v>
      </c>
      <c r="D167">
        <v>51.97</v>
      </c>
      <c r="E167">
        <v>1964093.29</v>
      </c>
      <c r="F167">
        <v>0</v>
      </c>
      <c r="G167">
        <v>9</v>
      </c>
      <c r="H167">
        <v>3</v>
      </c>
      <c r="I167" s="274">
        <v>12</v>
      </c>
      <c r="J167">
        <v>0</v>
      </c>
      <c r="K167">
        <v>77695.649999999994</v>
      </c>
      <c r="L167">
        <v>25576.45</v>
      </c>
      <c r="M167">
        <v>-11429.32</v>
      </c>
      <c r="N167">
        <v>103071.48</v>
      </c>
      <c r="O167" s="274">
        <v>0</v>
      </c>
      <c r="P167">
        <v>17820.099999999999</v>
      </c>
      <c r="Q167">
        <v>0</v>
      </c>
      <c r="R167">
        <v>0</v>
      </c>
      <c r="S167">
        <v>0</v>
      </c>
      <c r="T167" s="274">
        <f t="shared" si="8"/>
        <v>0</v>
      </c>
      <c r="U167">
        <v>0</v>
      </c>
      <c r="V167">
        <v>0</v>
      </c>
      <c r="W167">
        <v>0</v>
      </c>
      <c r="X167">
        <v>0</v>
      </c>
      <c r="Y167">
        <v>0</v>
      </c>
      <c r="Z167">
        <v>0</v>
      </c>
      <c r="AA167">
        <v>0</v>
      </c>
      <c r="AB167">
        <v>0</v>
      </c>
      <c r="AC167">
        <v>0</v>
      </c>
      <c r="AD167">
        <v>9231.7999999999993</v>
      </c>
      <c r="AE167">
        <v>67580.210000000006</v>
      </c>
      <c r="AF167">
        <v>6784.22</v>
      </c>
      <c r="AG167">
        <v>19846.37</v>
      </c>
      <c r="AH167">
        <v>1</v>
      </c>
      <c r="AI167">
        <v>68937</v>
      </c>
      <c r="AJ167">
        <v>67585</v>
      </c>
      <c r="AK167">
        <v>100321</v>
      </c>
      <c r="AL167">
        <v>102327</v>
      </c>
      <c r="AM167">
        <v>48483</v>
      </c>
      <c r="AN167">
        <v>49453</v>
      </c>
      <c r="AO167">
        <v>1</v>
      </c>
      <c r="AP167">
        <v>203978.2</v>
      </c>
      <c r="AQ167">
        <v>18498.27</v>
      </c>
      <c r="AR167">
        <v>0.71799999999999997</v>
      </c>
      <c r="AS167">
        <v>4.8578999999999997E-2</v>
      </c>
      <c r="AT167">
        <v>4.0270000000000002E-3</v>
      </c>
      <c r="AU167">
        <v>1.7100000000000001E-2</v>
      </c>
    </row>
    <row r="168" spans="1:47">
      <c r="A168" s="2" t="s">
        <v>261</v>
      </c>
      <c r="B168" s="2" t="s">
        <v>262</v>
      </c>
      <c r="C168">
        <v>21680.34</v>
      </c>
      <c r="D168">
        <v>92.7</v>
      </c>
      <c r="E168">
        <v>2009767.39</v>
      </c>
      <c r="F168">
        <v>3</v>
      </c>
      <c r="G168">
        <v>9.25</v>
      </c>
      <c r="H168">
        <v>0.25</v>
      </c>
      <c r="I168" s="274">
        <v>12.5</v>
      </c>
      <c r="J168">
        <v>29633.05</v>
      </c>
      <c r="K168">
        <v>79853.86</v>
      </c>
      <c r="L168">
        <v>2131.37</v>
      </c>
      <c r="M168">
        <v>-9073.4599999999991</v>
      </c>
      <c r="N168">
        <v>81598.259999999995</v>
      </c>
      <c r="O168" s="274">
        <v>0</v>
      </c>
      <c r="P168">
        <v>12567.33</v>
      </c>
      <c r="Q168">
        <v>0</v>
      </c>
      <c r="R168">
        <v>0</v>
      </c>
      <c r="S168">
        <v>0</v>
      </c>
      <c r="T168" s="274">
        <f t="shared" si="8"/>
        <v>0</v>
      </c>
      <c r="U168">
        <v>0</v>
      </c>
      <c r="V168">
        <v>4.6399999999999997</v>
      </c>
      <c r="W168">
        <v>2733.93</v>
      </c>
      <c r="X168">
        <v>0</v>
      </c>
      <c r="Y168">
        <v>0</v>
      </c>
      <c r="Z168">
        <v>0</v>
      </c>
      <c r="AA168">
        <v>0</v>
      </c>
      <c r="AB168">
        <v>0</v>
      </c>
      <c r="AC168">
        <v>0</v>
      </c>
      <c r="AD168">
        <v>31815.47</v>
      </c>
      <c r="AE168">
        <v>95438.49</v>
      </c>
      <c r="AF168">
        <v>21972.77</v>
      </c>
      <c r="AG168">
        <v>29263.24</v>
      </c>
      <c r="AH168">
        <v>1</v>
      </c>
      <c r="AI168">
        <v>68937</v>
      </c>
      <c r="AJ168">
        <v>67585</v>
      </c>
      <c r="AK168">
        <v>100321</v>
      </c>
      <c r="AL168">
        <v>102327</v>
      </c>
      <c r="AM168">
        <v>48483</v>
      </c>
      <c r="AN168">
        <v>49453</v>
      </c>
      <c r="AO168">
        <v>1</v>
      </c>
      <c r="AP168">
        <v>231220.67</v>
      </c>
      <c r="AQ168">
        <v>18855.64</v>
      </c>
      <c r="AR168">
        <v>1.9019999999999999</v>
      </c>
      <c r="AS168">
        <v>4.8578999999999997E-2</v>
      </c>
      <c r="AT168">
        <v>4.0270000000000002E-3</v>
      </c>
      <c r="AU168">
        <v>1.7100000000000001E-2</v>
      </c>
    </row>
    <row r="169" spans="1:47">
      <c r="A169" s="2" t="s">
        <v>263</v>
      </c>
      <c r="B169" s="2" t="s">
        <v>264</v>
      </c>
      <c r="C169">
        <v>12541.01</v>
      </c>
      <c r="D169">
        <v>34.4</v>
      </c>
      <c r="E169">
        <v>431410.9</v>
      </c>
      <c r="F169">
        <v>1</v>
      </c>
      <c r="G169">
        <v>4.25</v>
      </c>
      <c r="H169">
        <v>1</v>
      </c>
      <c r="I169" s="274">
        <v>6.25</v>
      </c>
      <c r="J169">
        <v>9877.68</v>
      </c>
      <c r="K169">
        <v>36689.61</v>
      </c>
      <c r="L169">
        <v>8525.48</v>
      </c>
      <c r="M169">
        <v>-5004.04</v>
      </c>
      <c r="N169">
        <v>45093.77</v>
      </c>
      <c r="O169" s="274">
        <v>0</v>
      </c>
      <c r="P169">
        <v>7275.8</v>
      </c>
      <c r="Q169">
        <v>0</v>
      </c>
      <c r="R169">
        <v>0</v>
      </c>
      <c r="S169">
        <v>0</v>
      </c>
      <c r="T169" s="274">
        <f t="shared" si="8"/>
        <v>0</v>
      </c>
      <c r="U169">
        <v>0</v>
      </c>
      <c r="V169">
        <v>0</v>
      </c>
      <c r="W169">
        <v>0</v>
      </c>
      <c r="X169">
        <v>0</v>
      </c>
      <c r="Y169">
        <v>0</v>
      </c>
      <c r="Z169">
        <v>0</v>
      </c>
      <c r="AA169">
        <v>0</v>
      </c>
      <c r="AB169">
        <v>0</v>
      </c>
      <c r="AC169">
        <v>0</v>
      </c>
      <c r="AD169">
        <v>15424.47</v>
      </c>
      <c r="AE169">
        <v>115160.21</v>
      </c>
      <c r="AF169">
        <v>0</v>
      </c>
      <c r="AG169">
        <v>0</v>
      </c>
      <c r="AH169">
        <v>1</v>
      </c>
      <c r="AI169">
        <v>68937</v>
      </c>
      <c r="AJ169">
        <v>67585</v>
      </c>
      <c r="AK169">
        <v>100321</v>
      </c>
      <c r="AL169">
        <v>102327</v>
      </c>
      <c r="AM169">
        <v>48483</v>
      </c>
      <c r="AN169">
        <v>49453</v>
      </c>
      <c r="AO169">
        <v>1</v>
      </c>
      <c r="AP169">
        <v>56901.78</v>
      </c>
      <c r="AQ169">
        <v>3870.96</v>
      </c>
      <c r="AR169">
        <v>1.087</v>
      </c>
      <c r="AS169">
        <v>4.8578999999999997E-2</v>
      </c>
      <c r="AT169">
        <v>4.0270000000000002E-3</v>
      </c>
      <c r="AU169">
        <v>1.7100000000000001E-2</v>
      </c>
    </row>
    <row r="170" spans="1:47">
      <c r="A170" s="2" t="s">
        <v>265</v>
      </c>
      <c r="B170" s="2" t="s">
        <v>266</v>
      </c>
      <c r="C170">
        <v>8718.93</v>
      </c>
      <c r="D170">
        <v>2240.65</v>
      </c>
      <c r="E170">
        <v>19536066.190000001</v>
      </c>
      <c r="F170">
        <v>6.75</v>
      </c>
      <c r="G170">
        <v>224.25</v>
      </c>
      <c r="H170">
        <v>79.75</v>
      </c>
      <c r="I170" s="274">
        <v>310.75</v>
      </c>
      <c r="J170">
        <v>66674.36</v>
      </c>
      <c r="K170">
        <v>1935916.54</v>
      </c>
      <c r="L170">
        <v>679907.31</v>
      </c>
      <c r="M170">
        <v>-289498.28999999998</v>
      </c>
      <c r="N170">
        <v>2611144.16</v>
      </c>
      <c r="O170" s="274">
        <v>0</v>
      </c>
      <c r="P170">
        <v>483943.52</v>
      </c>
      <c r="Q170">
        <v>39.5</v>
      </c>
      <c r="R170">
        <v>31.75</v>
      </c>
      <c r="S170">
        <v>5</v>
      </c>
      <c r="T170" s="274">
        <f t="shared" si="8"/>
        <v>76.25</v>
      </c>
      <c r="U170">
        <v>109281.46</v>
      </c>
      <c r="V170">
        <v>0</v>
      </c>
      <c r="W170">
        <v>0</v>
      </c>
      <c r="X170">
        <v>80.260000000000005</v>
      </c>
      <c r="Y170">
        <v>27.1</v>
      </c>
      <c r="Z170">
        <v>0</v>
      </c>
      <c r="AA170">
        <v>716186.21</v>
      </c>
      <c r="AB170">
        <v>241438.62</v>
      </c>
      <c r="AC170">
        <v>0</v>
      </c>
      <c r="AD170">
        <v>88647.48</v>
      </c>
      <c r="AE170">
        <v>513508.36</v>
      </c>
      <c r="AF170">
        <v>147045.67000000001</v>
      </c>
      <c r="AG170">
        <v>567833.09</v>
      </c>
      <c r="AH170">
        <v>1</v>
      </c>
      <c r="AI170">
        <v>68937</v>
      </c>
      <c r="AJ170">
        <v>67585</v>
      </c>
      <c r="AK170">
        <v>100321</v>
      </c>
      <c r="AL170">
        <v>102327</v>
      </c>
      <c r="AM170">
        <v>48483</v>
      </c>
      <c r="AN170">
        <v>49453</v>
      </c>
      <c r="AO170">
        <v>1</v>
      </c>
      <c r="AP170">
        <v>1058006.0900000001</v>
      </c>
      <c r="AQ170">
        <v>56859.69</v>
      </c>
      <c r="AR170">
        <v>14.743</v>
      </c>
      <c r="AS170">
        <v>4.8578999999999997E-2</v>
      </c>
      <c r="AT170">
        <v>4.0270000000000002E-3</v>
      </c>
      <c r="AU170">
        <v>1.7100000000000001E-2</v>
      </c>
    </row>
    <row r="171" spans="1:47">
      <c r="A171" s="2" t="s">
        <v>267</v>
      </c>
      <c r="B171" s="2" t="s">
        <v>268</v>
      </c>
      <c r="C171">
        <v>8669.7000000000007</v>
      </c>
      <c r="D171">
        <v>1106.8599999999999</v>
      </c>
      <c r="E171">
        <v>9596139.8300000001</v>
      </c>
      <c r="F171">
        <v>3.75</v>
      </c>
      <c r="G171">
        <v>101.25</v>
      </c>
      <c r="H171">
        <v>43</v>
      </c>
      <c r="I171" s="274">
        <v>148</v>
      </c>
      <c r="J171">
        <v>37041.31</v>
      </c>
      <c r="K171">
        <v>874076.03</v>
      </c>
      <c r="L171">
        <v>366595.79</v>
      </c>
      <c r="M171">
        <v>-137307.54999999999</v>
      </c>
      <c r="N171">
        <v>1239005.08</v>
      </c>
      <c r="O171" s="274">
        <v>0</v>
      </c>
      <c r="P171">
        <v>240593.89</v>
      </c>
      <c r="Q171">
        <v>107.25</v>
      </c>
      <c r="R171">
        <v>74.5</v>
      </c>
      <c r="S171">
        <v>19.75</v>
      </c>
      <c r="T171" s="274">
        <f t="shared" si="8"/>
        <v>201.5</v>
      </c>
      <c r="U171">
        <v>280981.49</v>
      </c>
      <c r="V171">
        <v>55.34</v>
      </c>
      <c r="W171">
        <v>31209.29</v>
      </c>
      <c r="X171">
        <v>57.92</v>
      </c>
      <c r="Y171">
        <v>0</v>
      </c>
      <c r="Z171">
        <v>0</v>
      </c>
      <c r="AA171">
        <v>516775.56</v>
      </c>
      <c r="AB171">
        <v>0</v>
      </c>
      <c r="AC171">
        <v>0</v>
      </c>
      <c r="AD171">
        <v>85205</v>
      </c>
      <c r="AE171">
        <v>735269.83</v>
      </c>
      <c r="AF171">
        <v>0</v>
      </c>
      <c r="AG171">
        <v>291156.33</v>
      </c>
      <c r="AH171">
        <v>1</v>
      </c>
      <c r="AI171">
        <v>68937</v>
      </c>
      <c r="AJ171">
        <v>67585</v>
      </c>
      <c r="AK171">
        <v>100321</v>
      </c>
      <c r="AL171">
        <v>102327</v>
      </c>
      <c r="AM171">
        <v>48483</v>
      </c>
      <c r="AN171">
        <v>49453</v>
      </c>
      <c r="AO171">
        <v>1</v>
      </c>
      <c r="AP171">
        <v>1413148.34</v>
      </c>
      <c r="AQ171">
        <v>76904.56</v>
      </c>
      <c r="AR171">
        <v>20.385999999999999</v>
      </c>
      <c r="AS171">
        <v>4.8578999999999997E-2</v>
      </c>
      <c r="AT171">
        <v>4.0270000000000002E-3</v>
      </c>
      <c r="AU171">
        <v>1.7100000000000001E-2</v>
      </c>
    </row>
    <row r="172" spans="1:47">
      <c r="A172" s="2" t="s">
        <v>269</v>
      </c>
      <c r="B172" s="2" t="s">
        <v>270</v>
      </c>
      <c r="C172">
        <v>12994.89</v>
      </c>
      <c r="D172">
        <v>214.04</v>
      </c>
      <c r="E172">
        <v>2781427.24</v>
      </c>
      <c r="F172">
        <v>4.25</v>
      </c>
      <c r="G172">
        <v>35</v>
      </c>
      <c r="H172">
        <v>4.5</v>
      </c>
      <c r="I172" s="274">
        <v>43.75</v>
      </c>
      <c r="J172">
        <v>41980.15</v>
      </c>
      <c r="K172">
        <v>302149.74</v>
      </c>
      <c r="L172">
        <v>38364.68</v>
      </c>
      <c r="M172">
        <v>-37685.39</v>
      </c>
      <c r="N172">
        <v>339276.96</v>
      </c>
      <c r="O172" s="274">
        <v>0</v>
      </c>
      <c r="P172">
        <v>63397.82</v>
      </c>
      <c r="Q172">
        <v>6</v>
      </c>
      <c r="R172">
        <v>2</v>
      </c>
      <c r="S172">
        <v>0</v>
      </c>
      <c r="T172" s="274">
        <f t="shared" si="8"/>
        <v>8</v>
      </c>
      <c r="U172">
        <v>10957.49</v>
      </c>
      <c r="V172">
        <v>0</v>
      </c>
      <c r="W172">
        <v>0</v>
      </c>
      <c r="X172">
        <v>0</v>
      </c>
      <c r="Y172">
        <v>0</v>
      </c>
      <c r="Z172">
        <v>0</v>
      </c>
      <c r="AA172">
        <v>0</v>
      </c>
      <c r="AB172">
        <v>0</v>
      </c>
      <c r="AC172">
        <v>0</v>
      </c>
      <c r="AD172">
        <v>57586.239999999998</v>
      </c>
      <c r="AE172">
        <v>220591.47</v>
      </c>
      <c r="AF172">
        <v>59874.879999999997</v>
      </c>
      <c r="AG172">
        <v>81007.199999999997</v>
      </c>
      <c r="AH172">
        <v>1</v>
      </c>
      <c r="AI172">
        <v>68937</v>
      </c>
      <c r="AJ172">
        <v>67585</v>
      </c>
      <c r="AK172">
        <v>100321</v>
      </c>
      <c r="AL172">
        <v>102327</v>
      </c>
      <c r="AM172">
        <v>48483</v>
      </c>
      <c r="AN172">
        <v>49453</v>
      </c>
      <c r="AO172">
        <v>1</v>
      </c>
      <c r="AP172">
        <v>360929.47</v>
      </c>
      <c r="AQ172">
        <v>24281.88</v>
      </c>
      <c r="AR172">
        <v>4.24</v>
      </c>
      <c r="AS172">
        <v>4.8578999999999997E-2</v>
      </c>
      <c r="AT172">
        <v>4.0270000000000002E-3</v>
      </c>
      <c r="AU172">
        <v>1.7100000000000001E-2</v>
      </c>
    </row>
    <row r="173" spans="1:47">
      <c r="A173" s="2" t="s">
        <v>271</v>
      </c>
      <c r="B173" s="2" t="s">
        <v>272</v>
      </c>
      <c r="C173">
        <v>9013.44</v>
      </c>
      <c r="D173">
        <v>767.13</v>
      </c>
      <c r="E173">
        <v>6914478.3499999996</v>
      </c>
      <c r="F173">
        <v>8.25</v>
      </c>
      <c r="G173">
        <v>52.75</v>
      </c>
      <c r="H173">
        <v>24</v>
      </c>
      <c r="I173" s="274">
        <v>85</v>
      </c>
      <c r="J173">
        <v>81257.69</v>
      </c>
      <c r="K173">
        <v>454109.21</v>
      </c>
      <c r="L173">
        <v>204039.51</v>
      </c>
      <c r="M173">
        <v>0</v>
      </c>
      <c r="N173">
        <v>597388.52</v>
      </c>
      <c r="O173" s="274">
        <v>84476.800000000003</v>
      </c>
      <c r="P173">
        <v>87729.43</v>
      </c>
      <c r="Q173">
        <v>12</v>
      </c>
      <c r="R173">
        <v>6</v>
      </c>
      <c r="S173">
        <v>2.75</v>
      </c>
      <c r="T173" s="274">
        <f t="shared" si="8"/>
        <v>20.75</v>
      </c>
      <c r="U173">
        <v>27687.23</v>
      </c>
      <c r="V173">
        <v>38.36</v>
      </c>
      <c r="W173">
        <v>21621.49</v>
      </c>
      <c r="X173">
        <v>77.87</v>
      </c>
      <c r="Y173">
        <v>42.48</v>
      </c>
      <c r="Z173">
        <v>0</v>
      </c>
      <c r="AA173">
        <v>694825.16</v>
      </c>
      <c r="AB173">
        <v>378337.16</v>
      </c>
      <c r="AC173">
        <v>0</v>
      </c>
      <c r="AD173">
        <v>50519.74</v>
      </c>
      <c r="AE173">
        <v>379220.22</v>
      </c>
      <c r="AF173">
        <v>0</v>
      </c>
      <c r="AG173">
        <v>201343.98</v>
      </c>
      <c r="AH173">
        <v>1</v>
      </c>
      <c r="AI173">
        <v>68937</v>
      </c>
      <c r="AJ173">
        <v>67585</v>
      </c>
      <c r="AK173">
        <v>100321</v>
      </c>
      <c r="AL173">
        <v>102327</v>
      </c>
      <c r="AM173">
        <v>48483</v>
      </c>
      <c r="AN173">
        <v>49453</v>
      </c>
      <c r="AO173">
        <v>1</v>
      </c>
      <c r="AP173">
        <v>901198.89</v>
      </c>
      <c r="AQ173">
        <v>50253.81</v>
      </c>
      <c r="AR173">
        <v>13.629</v>
      </c>
      <c r="AS173">
        <v>4.8578999999999997E-2</v>
      </c>
      <c r="AT173">
        <v>4.0270000000000002E-3</v>
      </c>
      <c r="AU173">
        <v>1.7100000000000001E-2</v>
      </c>
    </row>
    <row r="174" spans="1:47">
      <c r="A174" s="2" t="s">
        <v>1133</v>
      </c>
      <c r="B174" s="2" t="s">
        <v>1134</v>
      </c>
      <c r="C174">
        <v>0</v>
      </c>
      <c r="D174">
        <v>0</v>
      </c>
      <c r="E174">
        <v>0</v>
      </c>
      <c r="F174">
        <v>0</v>
      </c>
      <c r="G174">
        <v>0</v>
      </c>
      <c r="H174">
        <v>0</v>
      </c>
      <c r="I174" s="274">
        <v>0</v>
      </c>
      <c r="J174">
        <v>0</v>
      </c>
      <c r="K174">
        <v>0</v>
      </c>
      <c r="L174">
        <v>0</v>
      </c>
      <c r="M174">
        <v>0</v>
      </c>
      <c r="N174">
        <v>0</v>
      </c>
      <c r="O174" s="274">
        <v>0</v>
      </c>
      <c r="P174">
        <v>0</v>
      </c>
      <c r="Q174">
        <v>0</v>
      </c>
      <c r="R174">
        <v>0</v>
      </c>
      <c r="S174">
        <v>0</v>
      </c>
      <c r="T174" s="274">
        <f t="shared" si="8"/>
        <v>0</v>
      </c>
      <c r="U174">
        <v>0</v>
      </c>
      <c r="V174">
        <v>0</v>
      </c>
      <c r="W174">
        <v>0</v>
      </c>
      <c r="X174">
        <v>0</v>
      </c>
      <c r="Y174">
        <v>0</v>
      </c>
      <c r="Z174">
        <v>0</v>
      </c>
      <c r="AA174">
        <v>0</v>
      </c>
      <c r="AB174">
        <v>0</v>
      </c>
      <c r="AC174">
        <v>0</v>
      </c>
      <c r="AD174">
        <v>0</v>
      </c>
      <c r="AE174">
        <v>0</v>
      </c>
      <c r="AF174">
        <v>0</v>
      </c>
      <c r="AG174">
        <v>0</v>
      </c>
      <c r="AH174">
        <v>0</v>
      </c>
      <c r="AI174">
        <v>0</v>
      </c>
      <c r="AJ174">
        <v>0</v>
      </c>
      <c r="AK174">
        <v>100321</v>
      </c>
      <c r="AL174">
        <v>102327</v>
      </c>
      <c r="AM174">
        <v>48483</v>
      </c>
      <c r="AN174">
        <v>49453</v>
      </c>
      <c r="AO174">
        <v>1</v>
      </c>
      <c r="AP174">
        <v>0</v>
      </c>
      <c r="AQ174">
        <v>0</v>
      </c>
      <c r="AR174">
        <v>0</v>
      </c>
      <c r="AS174">
        <v>0</v>
      </c>
      <c r="AT174">
        <v>0</v>
      </c>
      <c r="AU174">
        <v>0</v>
      </c>
    </row>
    <row r="175" spans="1:47">
      <c r="A175" s="2" t="s">
        <v>273</v>
      </c>
      <c r="B175" s="2" t="s">
        <v>274</v>
      </c>
      <c r="C175">
        <v>9459.15</v>
      </c>
      <c r="D175">
        <v>46</v>
      </c>
      <c r="E175">
        <v>435121.09</v>
      </c>
      <c r="F175">
        <v>1</v>
      </c>
      <c r="G175">
        <v>5</v>
      </c>
      <c r="H175">
        <v>1</v>
      </c>
      <c r="I175" s="274">
        <v>7</v>
      </c>
      <c r="J175">
        <v>10284.120000000001</v>
      </c>
      <c r="K175">
        <v>44950.85</v>
      </c>
      <c r="L175">
        <v>8878.39</v>
      </c>
      <c r="M175">
        <v>0</v>
      </c>
      <c r="N175">
        <v>53656.26</v>
      </c>
      <c r="O175" s="274">
        <v>6903.53</v>
      </c>
      <c r="P175">
        <v>4606.3500000000004</v>
      </c>
      <c r="Q175">
        <v>2</v>
      </c>
      <c r="R175">
        <v>0</v>
      </c>
      <c r="S175">
        <v>1.75</v>
      </c>
      <c r="T175" s="274">
        <f t="shared" si="8"/>
        <v>3.75</v>
      </c>
      <c r="U175">
        <v>3815.55</v>
      </c>
      <c r="V175">
        <v>2.2999999999999998</v>
      </c>
      <c r="W175">
        <v>1271.8599999999999</v>
      </c>
      <c r="X175">
        <v>0</v>
      </c>
      <c r="Y175">
        <v>0</v>
      </c>
      <c r="Z175">
        <v>0</v>
      </c>
      <c r="AA175">
        <v>0</v>
      </c>
      <c r="AB175">
        <v>0</v>
      </c>
      <c r="AC175">
        <v>0</v>
      </c>
      <c r="AD175">
        <v>8791.32</v>
      </c>
      <c r="AE175">
        <v>23186.58</v>
      </c>
      <c r="AF175">
        <v>14675.22</v>
      </c>
      <c r="AG175">
        <v>19860.47</v>
      </c>
      <c r="AH175">
        <v>1</v>
      </c>
      <c r="AI175">
        <v>68937</v>
      </c>
      <c r="AJ175">
        <v>67585</v>
      </c>
      <c r="AK175">
        <v>100321</v>
      </c>
      <c r="AL175">
        <v>102327</v>
      </c>
      <c r="AM175">
        <v>48483</v>
      </c>
      <c r="AN175">
        <v>49453</v>
      </c>
      <c r="AO175">
        <v>1</v>
      </c>
      <c r="AP175">
        <v>63615.48</v>
      </c>
      <c r="AQ175">
        <v>3870.96</v>
      </c>
      <c r="AR175">
        <v>1.44</v>
      </c>
      <c r="AS175">
        <v>4.8578999999999997E-2</v>
      </c>
      <c r="AT175">
        <v>4.0270000000000002E-3</v>
      </c>
      <c r="AU175">
        <v>1.7100000000000001E-2</v>
      </c>
    </row>
    <row r="176" spans="1:47">
      <c r="A176" s="2" t="s">
        <v>275</v>
      </c>
      <c r="B176" s="2" t="s">
        <v>276</v>
      </c>
      <c r="C176">
        <v>9532.5400000000009</v>
      </c>
      <c r="D176">
        <v>576.91999999999996</v>
      </c>
      <c r="E176">
        <v>5499515.2400000002</v>
      </c>
      <c r="F176">
        <v>2</v>
      </c>
      <c r="G176">
        <v>42.5</v>
      </c>
      <c r="H176">
        <v>48.75</v>
      </c>
      <c r="I176" s="274">
        <v>93.25</v>
      </c>
      <c r="J176">
        <v>19921.68</v>
      </c>
      <c r="K176">
        <v>369912.86</v>
      </c>
      <c r="L176">
        <v>419033.65</v>
      </c>
      <c r="M176">
        <v>-115698.86</v>
      </c>
      <c r="N176">
        <v>783874.8</v>
      </c>
      <c r="O176" s="274">
        <v>77209.799999999988</v>
      </c>
      <c r="P176">
        <v>200653.55</v>
      </c>
      <c r="Q176">
        <v>30.25</v>
      </c>
      <c r="R176">
        <v>24.5</v>
      </c>
      <c r="S176">
        <v>10</v>
      </c>
      <c r="T176" s="274">
        <f t="shared" si="8"/>
        <v>64.75</v>
      </c>
      <c r="U176">
        <v>88834</v>
      </c>
      <c r="V176">
        <v>28.85</v>
      </c>
      <c r="W176">
        <v>16240.57</v>
      </c>
      <c r="X176">
        <v>34.28</v>
      </c>
      <c r="Y176">
        <v>14.56</v>
      </c>
      <c r="Z176">
        <v>0</v>
      </c>
      <c r="AA176">
        <v>305887.84999999998</v>
      </c>
      <c r="AB176">
        <v>129851.28</v>
      </c>
      <c r="AC176">
        <v>0</v>
      </c>
      <c r="AD176">
        <v>98957.16</v>
      </c>
      <c r="AE176">
        <v>400275.82</v>
      </c>
      <c r="AF176">
        <v>158883.68</v>
      </c>
      <c r="AG176">
        <v>191560.51</v>
      </c>
      <c r="AH176">
        <v>1</v>
      </c>
      <c r="AI176">
        <v>68937</v>
      </c>
      <c r="AJ176">
        <v>67585</v>
      </c>
      <c r="AK176">
        <v>0</v>
      </c>
      <c r="AL176">
        <v>0</v>
      </c>
      <c r="AM176">
        <v>0</v>
      </c>
      <c r="AN176">
        <v>0</v>
      </c>
      <c r="AO176">
        <v>0</v>
      </c>
      <c r="AP176">
        <v>748936.54</v>
      </c>
      <c r="AQ176">
        <v>43713.84</v>
      </c>
      <c r="AR176">
        <v>11.821999999999999</v>
      </c>
      <c r="AS176">
        <v>4.8578999999999997E-2</v>
      </c>
      <c r="AT176">
        <v>4.0270000000000002E-3</v>
      </c>
      <c r="AU176">
        <v>1.7100000000000001E-2</v>
      </c>
    </row>
    <row r="177" spans="1:47">
      <c r="A177" s="2" t="s">
        <v>277</v>
      </c>
      <c r="B177" s="2" t="s">
        <v>278</v>
      </c>
      <c r="C177">
        <v>10671.14</v>
      </c>
      <c r="D177">
        <v>380.55</v>
      </c>
      <c r="E177">
        <v>4060902.84</v>
      </c>
      <c r="F177">
        <v>4</v>
      </c>
      <c r="G177">
        <v>30</v>
      </c>
      <c r="H177">
        <v>14.5</v>
      </c>
      <c r="I177" s="274">
        <v>48.5</v>
      </c>
      <c r="J177">
        <v>39960.379999999997</v>
      </c>
      <c r="K177">
        <v>261879.38</v>
      </c>
      <c r="L177">
        <v>125000.51</v>
      </c>
      <c r="M177">
        <v>0</v>
      </c>
      <c r="N177">
        <v>386573.28</v>
      </c>
      <c r="O177" s="274">
        <v>42766.7</v>
      </c>
      <c r="P177">
        <v>85118.2</v>
      </c>
      <c r="Q177">
        <v>0</v>
      </c>
      <c r="R177">
        <v>0</v>
      </c>
      <c r="S177">
        <v>0</v>
      </c>
      <c r="T177" s="274">
        <f t="shared" si="8"/>
        <v>0</v>
      </c>
      <c r="U177">
        <v>0</v>
      </c>
      <c r="V177">
        <v>19.03</v>
      </c>
      <c r="W177">
        <v>10761.82</v>
      </c>
      <c r="X177">
        <v>55.96</v>
      </c>
      <c r="Y177">
        <v>26.31</v>
      </c>
      <c r="Z177">
        <v>0</v>
      </c>
      <c r="AA177">
        <v>499390.29</v>
      </c>
      <c r="AB177">
        <v>234460.08</v>
      </c>
      <c r="AC177">
        <v>0</v>
      </c>
      <c r="AD177">
        <v>57979.85</v>
      </c>
      <c r="AE177">
        <v>254220.19</v>
      </c>
      <c r="AF177">
        <v>90692.84</v>
      </c>
      <c r="AG177">
        <v>108694.44</v>
      </c>
      <c r="AH177">
        <v>1</v>
      </c>
      <c r="AI177">
        <v>68937</v>
      </c>
      <c r="AJ177">
        <v>67585</v>
      </c>
      <c r="AK177">
        <v>100321</v>
      </c>
      <c r="AL177">
        <v>102327</v>
      </c>
      <c r="AM177">
        <v>48483</v>
      </c>
      <c r="AN177">
        <v>49453</v>
      </c>
      <c r="AO177">
        <v>1</v>
      </c>
      <c r="AP177">
        <v>467743.22</v>
      </c>
      <c r="AQ177">
        <v>29521.71</v>
      </c>
      <c r="AR177">
        <v>8.4659999999999993</v>
      </c>
      <c r="AS177">
        <v>4.8578999999999997E-2</v>
      </c>
      <c r="AT177">
        <v>4.0270000000000002E-3</v>
      </c>
      <c r="AU177">
        <v>1.7100000000000001E-2</v>
      </c>
    </row>
    <row r="178" spans="1:47">
      <c r="A178" s="2" t="s">
        <v>279</v>
      </c>
      <c r="B178" s="2" t="s">
        <v>280</v>
      </c>
      <c r="C178">
        <v>9168.3700000000008</v>
      </c>
      <c r="D178">
        <v>616.51</v>
      </c>
      <c r="E178">
        <v>5652394.4199999999</v>
      </c>
      <c r="F178">
        <v>3</v>
      </c>
      <c r="G178">
        <v>46</v>
      </c>
      <c r="H178">
        <v>27</v>
      </c>
      <c r="I178" s="274">
        <v>76</v>
      </c>
      <c r="J178">
        <v>29685.42</v>
      </c>
      <c r="K178">
        <v>397735.94</v>
      </c>
      <c r="L178">
        <v>230549.7</v>
      </c>
      <c r="M178">
        <v>0</v>
      </c>
      <c r="N178">
        <v>625975.18999999994</v>
      </c>
      <c r="O178" s="274">
        <v>59131.73</v>
      </c>
      <c r="P178">
        <v>110573.95</v>
      </c>
      <c r="Q178">
        <v>0</v>
      </c>
      <c r="R178">
        <v>0</v>
      </c>
      <c r="S178">
        <v>0</v>
      </c>
      <c r="T178" s="274">
        <f t="shared" si="8"/>
        <v>0</v>
      </c>
      <c r="U178">
        <v>0</v>
      </c>
      <c r="V178">
        <v>30.83</v>
      </c>
      <c r="W178">
        <v>17922.48</v>
      </c>
      <c r="X178">
        <v>32.119999999999997</v>
      </c>
      <c r="Y178">
        <v>18.940000000000001</v>
      </c>
      <c r="Z178">
        <v>0</v>
      </c>
      <c r="AA178">
        <v>292653.15000000002</v>
      </c>
      <c r="AB178">
        <v>172284.24</v>
      </c>
      <c r="AC178">
        <v>0</v>
      </c>
      <c r="AD178">
        <v>15985.56</v>
      </c>
      <c r="AE178">
        <v>349808.37</v>
      </c>
      <c r="AF178">
        <v>0</v>
      </c>
      <c r="AG178">
        <v>106826.08</v>
      </c>
      <c r="AH178">
        <v>1</v>
      </c>
      <c r="AI178">
        <v>68937</v>
      </c>
      <c r="AJ178">
        <v>67585</v>
      </c>
      <c r="AK178">
        <v>100321</v>
      </c>
      <c r="AL178">
        <v>102327</v>
      </c>
      <c r="AM178">
        <v>48483</v>
      </c>
      <c r="AN178">
        <v>49453</v>
      </c>
      <c r="AO178">
        <v>1</v>
      </c>
      <c r="AP178">
        <v>799333.52</v>
      </c>
      <c r="AQ178">
        <v>44947.5</v>
      </c>
      <c r="AR178">
        <v>10.173999999999999</v>
      </c>
      <c r="AS178">
        <v>4.8578999999999997E-2</v>
      </c>
      <c r="AT178">
        <v>4.0270000000000002E-3</v>
      </c>
      <c r="AU178">
        <v>1.7100000000000001E-2</v>
      </c>
    </row>
    <row r="179" spans="1:47">
      <c r="A179" s="2" t="s">
        <v>281</v>
      </c>
      <c r="B179" s="2" t="s">
        <v>282</v>
      </c>
      <c r="C179">
        <v>9429.98</v>
      </c>
      <c r="D179">
        <v>730.72</v>
      </c>
      <c r="E179">
        <v>6890676.7699999996</v>
      </c>
      <c r="F179">
        <v>6.25</v>
      </c>
      <c r="G179">
        <v>63</v>
      </c>
      <c r="H179">
        <v>52</v>
      </c>
      <c r="I179" s="274">
        <v>121.25</v>
      </c>
      <c r="J179">
        <v>63670.11</v>
      </c>
      <c r="K179">
        <v>561006.07999999996</v>
      </c>
      <c r="L179">
        <v>457294.64</v>
      </c>
      <c r="M179">
        <v>-144361.76999999999</v>
      </c>
      <c r="N179">
        <v>954497.99</v>
      </c>
      <c r="O179" s="274">
        <v>99931.43</v>
      </c>
      <c r="P179">
        <v>179738.42</v>
      </c>
      <c r="Q179">
        <v>22.25</v>
      </c>
      <c r="R179">
        <v>18.75</v>
      </c>
      <c r="S179">
        <v>7.25</v>
      </c>
      <c r="T179" s="274">
        <f t="shared" si="8"/>
        <v>48.25</v>
      </c>
      <c r="U179">
        <v>68854.740000000005</v>
      </c>
      <c r="V179">
        <v>36.54</v>
      </c>
      <c r="W179">
        <v>21263.96</v>
      </c>
      <c r="X179">
        <v>48.29</v>
      </c>
      <c r="Y179">
        <v>8.86</v>
      </c>
      <c r="Z179">
        <v>0</v>
      </c>
      <c r="AA179">
        <v>439934.8</v>
      </c>
      <c r="AB179">
        <v>80519.16</v>
      </c>
      <c r="AC179">
        <v>0</v>
      </c>
      <c r="AD179">
        <v>59408.61</v>
      </c>
      <c r="AE179">
        <v>460181.87</v>
      </c>
      <c r="AF179">
        <v>203425.2</v>
      </c>
      <c r="AG179">
        <v>349640.22</v>
      </c>
      <c r="AH179">
        <v>1</v>
      </c>
      <c r="AI179">
        <v>68937</v>
      </c>
      <c r="AJ179">
        <v>67585</v>
      </c>
      <c r="AK179">
        <v>100321</v>
      </c>
      <c r="AL179">
        <v>102327</v>
      </c>
      <c r="AM179">
        <v>48483</v>
      </c>
      <c r="AN179">
        <v>49453</v>
      </c>
      <c r="AO179">
        <v>1</v>
      </c>
      <c r="AP179">
        <v>952908.85</v>
      </c>
      <c r="AQ179">
        <v>56830.92</v>
      </c>
      <c r="AR179">
        <v>15.368</v>
      </c>
      <c r="AS179">
        <v>4.8578999999999997E-2</v>
      </c>
      <c r="AT179">
        <v>4.0270000000000002E-3</v>
      </c>
      <c r="AU179">
        <v>1.7100000000000001E-2</v>
      </c>
    </row>
    <row r="180" spans="1:47">
      <c r="A180" s="2" t="s">
        <v>283</v>
      </c>
      <c r="B180" s="2" t="s">
        <v>284</v>
      </c>
      <c r="C180">
        <v>9467.57</v>
      </c>
      <c r="D180">
        <v>85.68</v>
      </c>
      <c r="E180">
        <v>811181.11</v>
      </c>
      <c r="F180">
        <v>2</v>
      </c>
      <c r="G180">
        <v>14.75</v>
      </c>
      <c r="H180">
        <v>5</v>
      </c>
      <c r="I180" s="274">
        <v>21.75</v>
      </c>
      <c r="J180">
        <v>19309.93</v>
      </c>
      <c r="K180">
        <v>124405.29</v>
      </c>
      <c r="L180">
        <v>41646.559999999998</v>
      </c>
      <c r="M180">
        <v>-68798.05</v>
      </c>
      <c r="N180">
        <v>165813.5</v>
      </c>
      <c r="O180" s="274">
        <v>11829.47</v>
      </c>
      <c r="P180">
        <v>34438.68</v>
      </c>
      <c r="Q180">
        <v>5</v>
      </c>
      <c r="R180">
        <v>2</v>
      </c>
      <c r="S180">
        <v>1</v>
      </c>
      <c r="T180" s="274">
        <f t="shared" si="8"/>
        <v>8</v>
      </c>
      <c r="U180">
        <v>0</v>
      </c>
      <c r="V180">
        <v>0</v>
      </c>
      <c r="W180">
        <v>0</v>
      </c>
      <c r="X180">
        <v>0</v>
      </c>
      <c r="Y180">
        <v>0</v>
      </c>
      <c r="Z180">
        <v>0</v>
      </c>
      <c r="AA180">
        <v>0</v>
      </c>
      <c r="AB180">
        <v>0</v>
      </c>
      <c r="AC180">
        <v>0</v>
      </c>
      <c r="AD180">
        <v>23175.67</v>
      </c>
      <c r="AE180">
        <v>147118.93</v>
      </c>
      <c r="AF180">
        <v>24360.86</v>
      </c>
      <c r="AG180">
        <v>26317.55</v>
      </c>
      <c r="AH180">
        <v>1</v>
      </c>
      <c r="AI180">
        <v>68937</v>
      </c>
      <c r="AJ180">
        <v>67585</v>
      </c>
      <c r="AK180">
        <v>100321</v>
      </c>
      <c r="AL180">
        <v>102327</v>
      </c>
      <c r="AM180">
        <v>48483</v>
      </c>
      <c r="AN180">
        <v>49453</v>
      </c>
      <c r="AO180">
        <v>1</v>
      </c>
      <c r="AP180">
        <v>121585.54</v>
      </c>
      <c r="AQ180">
        <v>6751.75</v>
      </c>
      <c r="AR180">
        <v>1.8129999999999999</v>
      </c>
      <c r="AS180">
        <v>4.8578999999999997E-2</v>
      </c>
      <c r="AT180">
        <v>4.0270000000000002E-3</v>
      </c>
      <c r="AU180">
        <v>1.7100000000000001E-2</v>
      </c>
    </row>
    <row r="181" spans="1:47">
      <c r="A181" s="2" t="s">
        <v>285</v>
      </c>
      <c r="B181" s="2" t="s">
        <v>286</v>
      </c>
      <c r="C181">
        <v>9087.85</v>
      </c>
      <c r="D181">
        <v>800.59</v>
      </c>
      <c r="E181">
        <v>7275639.04</v>
      </c>
      <c r="F181">
        <v>7</v>
      </c>
      <c r="G181">
        <v>61</v>
      </c>
      <c r="H181">
        <v>50.75</v>
      </c>
      <c r="I181" s="274">
        <v>118.75</v>
      </c>
      <c r="J181">
        <v>70420.509999999995</v>
      </c>
      <c r="K181">
        <v>536350.99</v>
      </c>
      <c r="L181">
        <v>440677</v>
      </c>
      <c r="M181">
        <v>-34220.42</v>
      </c>
      <c r="N181">
        <v>1084738.3600000001</v>
      </c>
      <c r="O181" s="274">
        <v>114088.49</v>
      </c>
      <c r="P181">
        <v>312621.27</v>
      </c>
      <c r="Q181">
        <v>3</v>
      </c>
      <c r="R181">
        <v>5</v>
      </c>
      <c r="S181">
        <v>0.75</v>
      </c>
      <c r="T181" s="274">
        <f t="shared" si="8"/>
        <v>8.75</v>
      </c>
      <c r="U181">
        <v>13568.43</v>
      </c>
      <c r="V181">
        <v>40.03</v>
      </c>
      <c r="W181">
        <v>23289.09</v>
      </c>
      <c r="X181">
        <v>49.86</v>
      </c>
      <c r="Y181">
        <v>17.43</v>
      </c>
      <c r="Z181">
        <v>0</v>
      </c>
      <c r="AA181">
        <v>454194.28</v>
      </c>
      <c r="AB181">
        <v>158604.04</v>
      </c>
      <c r="AC181">
        <v>0</v>
      </c>
      <c r="AD181">
        <v>81511.460000000006</v>
      </c>
      <c r="AE181">
        <v>516354.87</v>
      </c>
      <c r="AF181">
        <v>168795.32</v>
      </c>
      <c r="AG181">
        <v>246763.18</v>
      </c>
      <c r="AH181">
        <v>1</v>
      </c>
      <c r="AI181">
        <v>68937</v>
      </c>
      <c r="AJ181">
        <v>67585</v>
      </c>
      <c r="AK181">
        <v>100321</v>
      </c>
      <c r="AL181">
        <v>102327</v>
      </c>
      <c r="AM181">
        <v>48483</v>
      </c>
      <c r="AN181">
        <v>49453</v>
      </c>
      <c r="AO181">
        <v>1</v>
      </c>
      <c r="AP181">
        <v>940139.03</v>
      </c>
      <c r="AQ181">
        <v>54612.35</v>
      </c>
      <c r="AR181">
        <v>16.561</v>
      </c>
      <c r="AS181">
        <v>4.8578999999999997E-2</v>
      </c>
      <c r="AT181">
        <v>4.0270000000000002E-3</v>
      </c>
      <c r="AU181">
        <v>1.7100000000000001E-2</v>
      </c>
    </row>
    <row r="182" spans="1:47">
      <c r="A182" s="2" t="s">
        <v>287</v>
      </c>
      <c r="B182" s="2" t="s">
        <v>288</v>
      </c>
      <c r="C182">
        <v>8584.7099999999991</v>
      </c>
      <c r="D182">
        <v>791.72</v>
      </c>
      <c r="E182">
        <v>6796682.9299999997</v>
      </c>
      <c r="F182">
        <v>7.25</v>
      </c>
      <c r="G182">
        <v>82</v>
      </c>
      <c r="H182">
        <v>56.25</v>
      </c>
      <c r="I182" s="274">
        <v>145.5</v>
      </c>
      <c r="J182">
        <v>69587.61</v>
      </c>
      <c r="K182">
        <v>687779.72</v>
      </c>
      <c r="L182">
        <v>465931.59</v>
      </c>
      <c r="M182">
        <v>-258075.73</v>
      </c>
      <c r="N182">
        <v>1170574.19</v>
      </c>
      <c r="O182" s="274">
        <v>111120.21</v>
      </c>
      <c r="P182">
        <v>266143.45</v>
      </c>
      <c r="Q182">
        <v>7.75</v>
      </c>
      <c r="R182">
        <v>12.25</v>
      </c>
      <c r="S182">
        <v>6</v>
      </c>
      <c r="T182" s="274">
        <f t="shared" si="8"/>
        <v>26</v>
      </c>
      <c r="U182">
        <v>0</v>
      </c>
      <c r="V182">
        <v>39.590000000000003</v>
      </c>
      <c r="W182">
        <v>22306.33</v>
      </c>
      <c r="X182">
        <v>97.92</v>
      </c>
      <c r="Y182">
        <v>9.91</v>
      </c>
      <c r="Z182">
        <v>0</v>
      </c>
      <c r="AA182">
        <v>873760.78</v>
      </c>
      <c r="AB182">
        <v>88373.74</v>
      </c>
      <c r="AC182">
        <v>0</v>
      </c>
      <c r="AD182">
        <v>32763.360000000001</v>
      </c>
      <c r="AE182">
        <v>660325.9</v>
      </c>
      <c r="AF182">
        <v>234901.33</v>
      </c>
      <c r="AG182">
        <v>282057.68</v>
      </c>
      <c r="AH182">
        <v>1</v>
      </c>
      <c r="AI182">
        <v>68937</v>
      </c>
      <c r="AJ182">
        <v>67585</v>
      </c>
      <c r="AK182">
        <v>100321</v>
      </c>
      <c r="AL182">
        <v>102327</v>
      </c>
      <c r="AM182">
        <v>48483</v>
      </c>
      <c r="AN182">
        <v>49453</v>
      </c>
      <c r="AO182">
        <v>1</v>
      </c>
      <c r="AP182">
        <v>949814.8</v>
      </c>
      <c r="AQ182">
        <v>49392.66</v>
      </c>
      <c r="AR182">
        <v>12.763</v>
      </c>
      <c r="AS182">
        <v>4.8578999999999997E-2</v>
      </c>
      <c r="AT182">
        <v>4.0270000000000002E-3</v>
      </c>
      <c r="AU182">
        <v>1.7100000000000001E-2</v>
      </c>
    </row>
    <row r="183" spans="1:47">
      <c r="A183" s="2" t="s">
        <v>289</v>
      </c>
      <c r="B183" s="2" t="s">
        <v>290</v>
      </c>
      <c r="C183">
        <v>12458.89</v>
      </c>
      <c r="D183">
        <v>247.95</v>
      </c>
      <c r="E183">
        <v>3089182.92</v>
      </c>
      <c r="F183">
        <v>5</v>
      </c>
      <c r="G183">
        <v>29.5</v>
      </c>
      <c r="H183">
        <v>17.75</v>
      </c>
      <c r="I183" s="274">
        <v>52.25</v>
      </c>
      <c r="J183">
        <v>50934.77</v>
      </c>
      <c r="K183">
        <v>262638.11</v>
      </c>
      <c r="L183">
        <v>156062.6</v>
      </c>
      <c r="M183">
        <v>-122139.35</v>
      </c>
      <c r="N183">
        <v>418550.9</v>
      </c>
      <c r="O183" s="274">
        <v>34697.880000000005</v>
      </c>
      <c r="P183">
        <v>69421.09</v>
      </c>
      <c r="Q183">
        <v>0</v>
      </c>
      <c r="R183">
        <v>0</v>
      </c>
      <c r="S183">
        <v>0</v>
      </c>
      <c r="T183" s="274">
        <f t="shared" si="8"/>
        <v>0</v>
      </c>
      <c r="U183">
        <v>0</v>
      </c>
      <c r="V183">
        <v>12.4</v>
      </c>
      <c r="W183">
        <v>7189.24</v>
      </c>
      <c r="X183">
        <v>15.14</v>
      </c>
      <c r="Y183">
        <v>6.29</v>
      </c>
      <c r="Z183">
        <v>0</v>
      </c>
      <c r="AA183">
        <v>137945.24</v>
      </c>
      <c r="AB183">
        <v>57149.919999999998</v>
      </c>
      <c r="AC183">
        <v>0</v>
      </c>
      <c r="AD183">
        <v>70231.22</v>
      </c>
      <c r="AE183">
        <v>189956.93</v>
      </c>
      <c r="AF183">
        <v>74930.14</v>
      </c>
      <c r="AG183">
        <v>90827.46</v>
      </c>
      <c r="AH183">
        <v>1</v>
      </c>
      <c r="AI183">
        <v>68937</v>
      </c>
      <c r="AJ183">
        <v>67585</v>
      </c>
      <c r="AK183">
        <v>100321</v>
      </c>
      <c r="AL183">
        <v>102327</v>
      </c>
      <c r="AM183">
        <v>48483</v>
      </c>
      <c r="AN183">
        <v>49453</v>
      </c>
      <c r="AO183">
        <v>1</v>
      </c>
      <c r="AP183">
        <v>387710.5</v>
      </c>
      <c r="AQ183">
        <v>26592.18</v>
      </c>
      <c r="AR183">
        <v>5.1909999999999998</v>
      </c>
      <c r="AS183">
        <v>4.8578999999999997E-2</v>
      </c>
      <c r="AT183">
        <v>4.0270000000000002E-3</v>
      </c>
      <c r="AU183">
        <v>1.7100000000000001E-2</v>
      </c>
    </row>
    <row r="184" spans="1:47">
      <c r="A184" s="2" t="s">
        <v>291</v>
      </c>
      <c r="B184" s="2" t="s">
        <v>292</v>
      </c>
      <c r="C184">
        <v>8902.75</v>
      </c>
      <c r="D184">
        <v>2845.21</v>
      </c>
      <c r="E184">
        <v>25330202.460000001</v>
      </c>
      <c r="F184">
        <v>21.25</v>
      </c>
      <c r="G184">
        <v>210.25</v>
      </c>
      <c r="H184">
        <v>178.25</v>
      </c>
      <c r="I184" s="274">
        <v>409.75</v>
      </c>
      <c r="J184">
        <v>215473.75</v>
      </c>
      <c r="K184">
        <v>1863523.55</v>
      </c>
      <c r="L184">
        <v>1560249.58</v>
      </c>
      <c r="M184">
        <v>-32655.21</v>
      </c>
      <c r="N184">
        <v>3542366.35</v>
      </c>
      <c r="O184" s="274">
        <v>431625.65</v>
      </c>
      <c r="P184">
        <v>951685.14</v>
      </c>
      <c r="Q184">
        <v>56.25</v>
      </c>
      <c r="R184">
        <v>52.25</v>
      </c>
      <c r="S184">
        <v>16</v>
      </c>
      <c r="T184" s="274">
        <f t="shared" si="8"/>
        <v>124.5</v>
      </c>
      <c r="U184">
        <v>181148.65</v>
      </c>
      <c r="V184">
        <v>142.26</v>
      </c>
      <c r="W184">
        <v>82929.429999999993</v>
      </c>
      <c r="X184">
        <v>171.26</v>
      </c>
      <c r="Y184">
        <v>0</v>
      </c>
      <c r="Z184">
        <v>0</v>
      </c>
      <c r="AA184">
        <v>1560518.72</v>
      </c>
      <c r="AB184">
        <v>0</v>
      </c>
      <c r="AC184">
        <v>0</v>
      </c>
      <c r="AD184">
        <v>96508.75</v>
      </c>
      <c r="AE184">
        <v>1279630.94</v>
      </c>
      <c r="AF184">
        <v>388522.87</v>
      </c>
      <c r="AG184">
        <v>838913.75</v>
      </c>
      <c r="AH184">
        <v>1</v>
      </c>
      <c r="AI184">
        <v>68937</v>
      </c>
      <c r="AJ184">
        <v>67585</v>
      </c>
      <c r="AK184">
        <v>100321</v>
      </c>
      <c r="AL184">
        <v>102327</v>
      </c>
      <c r="AM184">
        <v>48483</v>
      </c>
      <c r="AN184">
        <v>49453</v>
      </c>
      <c r="AO184">
        <v>1</v>
      </c>
      <c r="AP184">
        <v>3591411.04</v>
      </c>
      <c r="AQ184">
        <v>204555.99</v>
      </c>
      <c r="AR184">
        <v>54.774999999999999</v>
      </c>
      <c r="AS184">
        <v>4.8578999999999997E-2</v>
      </c>
      <c r="AT184">
        <v>4.0270000000000002E-3</v>
      </c>
      <c r="AU184">
        <v>1.7100000000000001E-2</v>
      </c>
    </row>
    <row r="185" spans="1:47">
      <c r="A185" s="2" t="s">
        <v>293</v>
      </c>
      <c r="B185" s="2" t="s">
        <v>294</v>
      </c>
      <c r="C185">
        <v>10922.93</v>
      </c>
      <c r="D185">
        <v>324.11</v>
      </c>
      <c r="E185">
        <v>3540231.3</v>
      </c>
      <c r="F185">
        <v>1</v>
      </c>
      <c r="G185">
        <v>40</v>
      </c>
      <c r="H185">
        <v>20.5</v>
      </c>
      <c r="I185" s="274">
        <v>61.5</v>
      </c>
      <c r="J185">
        <v>9910.8799999999992</v>
      </c>
      <c r="K185">
        <v>346496.65</v>
      </c>
      <c r="L185">
        <v>175371.13</v>
      </c>
      <c r="M185">
        <v>-144512.93</v>
      </c>
      <c r="N185">
        <v>521398.68</v>
      </c>
      <c r="O185" s="274">
        <v>43312.99</v>
      </c>
      <c r="P185">
        <v>102333</v>
      </c>
      <c r="Q185">
        <v>0</v>
      </c>
      <c r="R185">
        <v>0</v>
      </c>
      <c r="S185">
        <v>0</v>
      </c>
      <c r="T185" s="274">
        <f t="shared" si="8"/>
        <v>0</v>
      </c>
      <c r="U185">
        <v>0</v>
      </c>
      <c r="V185">
        <v>16.21</v>
      </c>
      <c r="W185">
        <v>9098.6299999999992</v>
      </c>
      <c r="X185">
        <v>18.62</v>
      </c>
      <c r="Y185">
        <v>0.13</v>
      </c>
      <c r="Z185">
        <v>0</v>
      </c>
      <c r="AA185">
        <v>166194.07</v>
      </c>
      <c r="AB185">
        <v>1049.77</v>
      </c>
      <c r="AC185">
        <v>0</v>
      </c>
      <c r="AD185">
        <v>99814.42</v>
      </c>
      <c r="AE185">
        <v>447045.62</v>
      </c>
      <c r="AF185">
        <v>96856.44</v>
      </c>
      <c r="AG185">
        <v>152328.76</v>
      </c>
      <c r="AH185">
        <v>1</v>
      </c>
      <c r="AI185">
        <v>68937</v>
      </c>
      <c r="AJ185">
        <v>67585</v>
      </c>
      <c r="AK185">
        <v>100321</v>
      </c>
      <c r="AL185">
        <v>102327</v>
      </c>
      <c r="AM185">
        <v>48483</v>
      </c>
      <c r="AN185">
        <v>49453</v>
      </c>
      <c r="AO185">
        <v>1</v>
      </c>
      <c r="AP185">
        <v>452176.89</v>
      </c>
      <c r="AQ185">
        <v>28293.1</v>
      </c>
      <c r="AR185">
        <v>6.3789999999999996</v>
      </c>
      <c r="AS185">
        <v>4.8578999999999997E-2</v>
      </c>
      <c r="AT185">
        <v>4.0270000000000002E-3</v>
      </c>
      <c r="AU185">
        <v>1.7100000000000001E-2</v>
      </c>
    </row>
    <row r="186" spans="1:47">
      <c r="A186" s="2" t="s">
        <v>295</v>
      </c>
      <c r="B186" s="2" t="s">
        <v>296</v>
      </c>
      <c r="C186">
        <v>8794.7199999999993</v>
      </c>
      <c r="D186">
        <v>3375.91</v>
      </c>
      <c r="E186">
        <v>29690171.960000001</v>
      </c>
      <c r="F186">
        <v>28</v>
      </c>
      <c r="G186">
        <v>271.25</v>
      </c>
      <c r="H186">
        <v>194.5</v>
      </c>
      <c r="I186" s="274">
        <v>493.75</v>
      </c>
      <c r="J186">
        <v>279553.64</v>
      </c>
      <c r="K186">
        <v>2366749.4</v>
      </c>
      <c r="L186">
        <v>1675971.69</v>
      </c>
      <c r="M186">
        <v>-70615.22</v>
      </c>
      <c r="N186">
        <v>3937191.77</v>
      </c>
      <c r="O186" s="274">
        <v>465906.99</v>
      </c>
      <c r="P186">
        <v>934202.53</v>
      </c>
      <c r="Q186">
        <v>312.5</v>
      </c>
      <c r="R186">
        <v>170</v>
      </c>
      <c r="S186">
        <v>67</v>
      </c>
      <c r="T186" s="274">
        <f t="shared" si="8"/>
        <v>549.5</v>
      </c>
      <c r="U186">
        <v>742663.84</v>
      </c>
      <c r="V186">
        <v>168.8</v>
      </c>
      <c r="W186">
        <v>95095.4</v>
      </c>
      <c r="X186">
        <v>228.67</v>
      </c>
      <c r="Y186">
        <v>48.87</v>
      </c>
      <c r="Z186">
        <v>0</v>
      </c>
      <c r="AA186">
        <v>2040383.13</v>
      </c>
      <c r="AB186">
        <v>435438.59</v>
      </c>
      <c r="AC186">
        <v>0</v>
      </c>
      <c r="AD186">
        <v>143463.43</v>
      </c>
      <c r="AE186">
        <v>1993036.84</v>
      </c>
      <c r="AF186">
        <v>953986.98</v>
      </c>
      <c r="AG186">
        <v>1603316.43</v>
      </c>
      <c r="AH186">
        <v>1</v>
      </c>
      <c r="AI186">
        <v>68937</v>
      </c>
      <c r="AJ186">
        <v>67585</v>
      </c>
      <c r="AK186">
        <v>100321</v>
      </c>
      <c r="AL186">
        <v>102327</v>
      </c>
      <c r="AM186">
        <v>48483</v>
      </c>
      <c r="AN186">
        <v>49453</v>
      </c>
      <c r="AO186">
        <v>1</v>
      </c>
      <c r="AP186">
        <v>4153729.78</v>
      </c>
      <c r="AQ186">
        <v>232048.88</v>
      </c>
      <c r="AR186">
        <v>71.088999999999999</v>
      </c>
      <c r="AS186">
        <v>4.8578999999999997E-2</v>
      </c>
      <c r="AT186">
        <v>4.0270000000000002E-3</v>
      </c>
      <c r="AU186">
        <v>1.7100000000000001E-2</v>
      </c>
    </row>
    <row r="187" spans="1:47">
      <c r="A187" s="2" t="s">
        <v>1135</v>
      </c>
      <c r="B187" s="2" t="s">
        <v>1136</v>
      </c>
      <c r="C187">
        <v>0</v>
      </c>
      <c r="D187">
        <v>0</v>
      </c>
      <c r="E187">
        <v>0</v>
      </c>
      <c r="F187">
        <v>0</v>
      </c>
      <c r="G187">
        <v>0</v>
      </c>
      <c r="H187">
        <v>0</v>
      </c>
      <c r="I187" s="274">
        <v>0</v>
      </c>
      <c r="J187">
        <v>0</v>
      </c>
      <c r="K187">
        <v>0</v>
      </c>
      <c r="L187">
        <v>0</v>
      </c>
      <c r="M187">
        <v>0</v>
      </c>
      <c r="N187">
        <v>0</v>
      </c>
      <c r="O187" s="274">
        <v>0</v>
      </c>
      <c r="P187">
        <v>0</v>
      </c>
      <c r="Q187">
        <v>0</v>
      </c>
      <c r="R187">
        <v>0</v>
      </c>
      <c r="S187">
        <v>0</v>
      </c>
      <c r="T187" s="274">
        <f t="shared" si="8"/>
        <v>0</v>
      </c>
      <c r="U187">
        <v>0</v>
      </c>
      <c r="V187">
        <v>0</v>
      </c>
      <c r="W187">
        <v>0</v>
      </c>
      <c r="X187">
        <v>0</v>
      </c>
      <c r="Y187">
        <v>0</v>
      </c>
      <c r="Z187">
        <v>0</v>
      </c>
      <c r="AA187">
        <v>0</v>
      </c>
      <c r="AB187">
        <v>0</v>
      </c>
      <c r="AC187">
        <v>0</v>
      </c>
      <c r="AD187">
        <v>0</v>
      </c>
      <c r="AE187">
        <v>0</v>
      </c>
      <c r="AF187">
        <v>0</v>
      </c>
      <c r="AG187">
        <v>0</v>
      </c>
      <c r="AH187">
        <v>0</v>
      </c>
      <c r="AI187">
        <v>0</v>
      </c>
      <c r="AJ187">
        <v>0</v>
      </c>
      <c r="AK187">
        <v>100321</v>
      </c>
      <c r="AL187">
        <v>102327</v>
      </c>
      <c r="AM187">
        <v>48483</v>
      </c>
      <c r="AN187">
        <v>49453</v>
      </c>
      <c r="AO187">
        <v>1</v>
      </c>
      <c r="AP187">
        <v>0</v>
      </c>
      <c r="AQ187">
        <v>0</v>
      </c>
      <c r="AR187">
        <v>0</v>
      </c>
      <c r="AS187">
        <v>4.8578999999999997E-2</v>
      </c>
      <c r="AT187">
        <v>4.0270000000000002E-3</v>
      </c>
      <c r="AU187">
        <v>1.7100000000000001E-2</v>
      </c>
    </row>
    <row r="188" spans="1:47">
      <c r="A188" s="2" t="s">
        <v>297</v>
      </c>
      <c r="B188" s="2" t="s">
        <v>298</v>
      </c>
      <c r="C188">
        <v>24890.74</v>
      </c>
      <c r="D188">
        <v>71.599999999999994</v>
      </c>
      <c r="E188">
        <v>1782176.9</v>
      </c>
      <c r="F188">
        <v>0</v>
      </c>
      <c r="G188">
        <v>12</v>
      </c>
      <c r="H188">
        <v>1.5</v>
      </c>
      <c r="I188" s="274">
        <v>13.5</v>
      </c>
      <c r="J188">
        <v>0</v>
      </c>
      <c r="K188">
        <v>107980.65</v>
      </c>
      <c r="L188">
        <v>13329.71</v>
      </c>
      <c r="M188">
        <v>-34430.26</v>
      </c>
      <c r="N188">
        <v>120865.23</v>
      </c>
      <c r="O188" s="274">
        <v>7825.18</v>
      </c>
      <c r="P188">
        <v>11606.86</v>
      </c>
      <c r="Q188">
        <v>0</v>
      </c>
      <c r="R188">
        <v>0</v>
      </c>
      <c r="S188">
        <v>0</v>
      </c>
      <c r="T188" s="274">
        <f t="shared" si="8"/>
        <v>0</v>
      </c>
      <c r="U188">
        <v>0</v>
      </c>
      <c r="V188">
        <v>3.58</v>
      </c>
      <c r="W188">
        <v>2054.54</v>
      </c>
      <c r="X188">
        <v>8.51</v>
      </c>
      <c r="Y188">
        <v>0</v>
      </c>
      <c r="Z188">
        <v>0</v>
      </c>
      <c r="AA188">
        <v>75897.2</v>
      </c>
      <c r="AB188">
        <v>0</v>
      </c>
      <c r="AC188">
        <v>0</v>
      </c>
      <c r="AD188">
        <v>41387.42</v>
      </c>
      <c r="AE188">
        <v>121066.92</v>
      </c>
      <c r="AF188">
        <v>12131.51</v>
      </c>
      <c r="AG188">
        <v>23382.51</v>
      </c>
      <c r="AH188">
        <v>1</v>
      </c>
      <c r="AI188">
        <v>68937</v>
      </c>
      <c r="AJ188">
        <v>67585</v>
      </c>
      <c r="AK188">
        <v>100321</v>
      </c>
      <c r="AL188">
        <v>102327</v>
      </c>
      <c r="AM188">
        <v>48483</v>
      </c>
      <c r="AN188">
        <v>49453</v>
      </c>
      <c r="AO188">
        <v>1</v>
      </c>
      <c r="AP188">
        <v>191917.89</v>
      </c>
      <c r="AQ188">
        <v>15932.66</v>
      </c>
      <c r="AR188">
        <v>1.8480000000000001</v>
      </c>
      <c r="AS188">
        <v>4.8578999999999997E-2</v>
      </c>
      <c r="AT188">
        <v>4.0270000000000002E-3</v>
      </c>
      <c r="AU188">
        <v>1.7100000000000001E-2</v>
      </c>
    </row>
    <row r="189" spans="1:47">
      <c r="A189" s="2" t="s">
        <v>299</v>
      </c>
      <c r="B189" s="2" t="s">
        <v>300</v>
      </c>
      <c r="C189">
        <v>8932.09</v>
      </c>
      <c r="D189">
        <v>720.37</v>
      </c>
      <c r="E189">
        <v>6434409.9400000004</v>
      </c>
      <c r="F189">
        <v>0.75</v>
      </c>
      <c r="G189">
        <v>45.75</v>
      </c>
      <c r="H189">
        <v>33</v>
      </c>
      <c r="I189" s="274">
        <v>79.5</v>
      </c>
      <c r="J189">
        <v>7325.99</v>
      </c>
      <c r="K189">
        <v>390506.64</v>
      </c>
      <c r="L189">
        <v>278173.19</v>
      </c>
      <c r="M189">
        <v>0</v>
      </c>
      <c r="N189">
        <v>668894.63</v>
      </c>
      <c r="O189" s="274">
        <v>76968.639999999999</v>
      </c>
      <c r="P189">
        <v>133592.51999999999</v>
      </c>
      <c r="Q189">
        <v>5.75</v>
      </c>
      <c r="R189">
        <v>0.25</v>
      </c>
      <c r="S189">
        <v>4.75</v>
      </c>
      <c r="T189" s="274">
        <f t="shared" si="8"/>
        <v>10.75</v>
      </c>
      <c r="U189">
        <v>11348.83</v>
      </c>
      <c r="V189">
        <v>0</v>
      </c>
      <c r="W189">
        <v>0</v>
      </c>
      <c r="X189">
        <v>50.04</v>
      </c>
      <c r="Y189">
        <v>10.23</v>
      </c>
      <c r="Z189">
        <v>0</v>
      </c>
      <c r="AA189">
        <v>446583.83</v>
      </c>
      <c r="AB189">
        <v>91176.26</v>
      </c>
      <c r="AC189">
        <v>0</v>
      </c>
      <c r="AD189">
        <v>113713.58</v>
      </c>
      <c r="AE189">
        <v>794353.94</v>
      </c>
      <c r="AF189">
        <v>0</v>
      </c>
      <c r="AG189">
        <v>164753.76999999999</v>
      </c>
      <c r="AH189">
        <v>1</v>
      </c>
      <c r="AI189">
        <v>68937</v>
      </c>
      <c r="AJ189">
        <v>67585</v>
      </c>
      <c r="AK189">
        <v>0</v>
      </c>
      <c r="AL189">
        <v>0</v>
      </c>
      <c r="AM189">
        <v>0</v>
      </c>
      <c r="AN189">
        <v>0</v>
      </c>
      <c r="AO189">
        <v>0</v>
      </c>
      <c r="AP189">
        <v>889344.24</v>
      </c>
      <c r="AQ189">
        <v>48646.52</v>
      </c>
      <c r="AR189">
        <v>13.006</v>
      </c>
      <c r="AS189">
        <v>4.8578999999999997E-2</v>
      </c>
      <c r="AT189">
        <v>4.0270000000000002E-3</v>
      </c>
      <c r="AU189">
        <v>1.7100000000000001E-2</v>
      </c>
    </row>
    <row r="190" spans="1:47">
      <c r="A190" s="2" t="s">
        <v>301</v>
      </c>
      <c r="B190" s="2" t="s">
        <v>302</v>
      </c>
      <c r="C190">
        <v>22206.35</v>
      </c>
      <c r="D190">
        <v>95.25</v>
      </c>
      <c r="E190">
        <v>2115154.9300000002</v>
      </c>
      <c r="F190">
        <v>0</v>
      </c>
      <c r="G190">
        <v>9</v>
      </c>
      <c r="H190">
        <v>0</v>
      </c>
      <c r="I190" s="274">
        <v>9</v>
      </c>
      <c r="J190">
        <v>0</v>
      </c>
      <c r="K190">
        <v>81932.789999999994</v>
      </c>
      <c r="L190">
        <v>0</v>
      </c>
      <c r="M190">
        <v>0</v>
      </c>
      <c r="N190">
        <v>81519.570000000007</v>
      </c>
      <c r="O190" s="274">
        <v>8791.41</v>
      </c>
      <c r="P190">
        <v>7307.67</v>
      </c>
      <c r="Q190">
        <v>0</v>
      </c>
      <c r="R190">
        <v>0</v>
      </c>
      <c r="S190">
        <v>0</v>
      </c>
      <c r="T190" s="274">
        <f t="shared" si="8"/>
        <v>0</v>
      </c>
      <c r="U190">
        <v>0</v>
      </c>
      <c r="V190">
        <v>0</v>
      </c>
      <c r="W190">
        <v>0</v>
      </c>
      <c r="X190">
        <v>3.36</v>
      </c>
      <c r="Y190">
        <v>0</v>
      </c>
      <c r="Z190">
        <v>0</v>
      </c>
      <c r="AA190">
        <v>30572.17</v>
      </c>
      <c r="AB190">
        <v>0</v>
      </c>
      <c r="AC190">
        <v>0</v>
      </c>
      <c r="AD190">
        <v>49115.29</v>
      </c>
      <c r="AE190">
        <v>178269.03</v>
      </c>
      <c r="AF190">
        <v>0</v>
      </c>
      <c r="AG190">
        <v>20453.900000000001</v>
      </c>
      <c r="AH190">
        <v>1</v>
      </c>
      <c r="AI190">
        <v>68937</v>
      </c>
      <c r="AJ190">
        <v>67585</v>
      </c>
      <c r="AK190">
        <v>100321</v>
      </c>
      <c r="AL190">
        <v>102327</v>
      </c>
      <c r="AM190">
        <v>48483</v>
      </c>
      <c r="AN190">
        <v>49453</v>
      </c>
      <c r="AO190">
        <v>1</v>
      </c>
      <c r="AP190">
        <v>235299.62</v>
      </c>
      <c r="AQ190">
        <v>19771.650000000001</v>
      </c>
      <c r="AR190">
        <v>2.5680000000000001</v>
      </c>
      <c r="AS190">
        <v>4.8578999999999997E-2</v>
      </c>
      <c r="AT190">
        <v>4.0270000000000002E-3</v>
      </c>
      <c r="AU190">
        <v>1.7100000000000001E-2</v>
      </c>
    </row>
    <row r="191" spans="1:47">
      <c r="A191" s="2" t="s">
        <v>303</v>
      </c>
      <c r="B191" s="2" t="s">
        <v>304</v>
      </c>
      <c r="C191">
        <v>22836.47</v>
      </c>
      <c r="D191">
        <v>86.8</v>
      </c>
      <c r="E191">
        <v>1982205.69</v>
      </c>
      <c r="F191">
        <v>0</v>
      </c>
      <c r="G191">
        <v>17.5</v>
      </c>
      <c r="H191">
        <v>4.5</v>
      </c>
      <c r="I191" s="274">
        <v>22</v>
      </c>
      <c r="J191">
        <v>0</v>
      </c>
      <c r="K191">
        <v>152140.6</v>
      </c>
      <c r="L191">
        <v>38635.279999999999</v>
      </c>
      <c r="M191">
        <v>-89179.26</v>
      </c>
      <c r="N191">
        <v>190310.78</v>
      </c>
      <c r="O191" s="274">
        <v>10598.08</v>
      </c>
      <c r="P191">
        <v>24419.88</v>
      </c>
      <c r="Q191">
        <v>0</v>
      </c>
      <c r="R191">
        <v>0</v>
      </c>
      <c r="S191">
        <v>0</v>
      </c>
      <c r="T191" s="274">
        <f t="shared" si="8"/>
        <v>0</v>
      </c>
      <c r="U191">
        <v>0</v>
      </c>
      <c r="V191">
        <v>4.34</v>
      </c>
      <c r="W191">
        <v>2531.41</v>
      </c>
      <c r="X191">
        <v>4.71</v>
      </c>
      <c r="Y191">
        <v>2.3199999999999998</v>
      </c>
      <c r="Z191">
        <v>0</v>
      </c>
      <c r="AA191">
        <v>42874.64</v>
      </c>
      <c r="AB191">
        <v>21040.7</v>
      </c>
      <c r="AC191">
        <v>0</v>
      </c>
      <c r="AD191">
        <v>137109.39000000001</v>
      </c>
      <c r="AE191">
        <v>528182.63</v>
      </c>
      <c r="AF191">
        <v>0</v>
      </c>
      <c r="AG191">
        <v>22479.040000000001</v>
      </c>
      <c r="AH191">
        <v>1</v>
      </c>
      <c r="AI191">
        <v>68937</v>
      </c>
      <c r="AJ191">
        <v>67585</v>
      </c>
      <c r="AK191">
        <v>100321</v>
      </c>
      <c r="AL191">
        <v>102327</v>
      </c>
      <c r="AM191">
        <v>48483</v>
      </c>
      <c r="AN191">
        <v>49453</v>
      </c>
      <c r="AO191">
        <v>1</v>
      </c>
      <c r="AP191">
        <v>219023.96</v>
      </c>
      <c r="AQ191">
        <v>18015.47</v>
      </c>
      <c r="AR191">
        <v>1.2909999999999999</v>
      </c>
      <c r="AS191">
        <v>4.8578999999999997E-2</v>
      </c>
      <c r="AT191">
        <v>4.0270000000000002E-3</v>
      </c>
      <c r="AU191">
        <v>1.7100000000000001E-2</v>
      </c>
    </row>
    <row r="192" spans="1:47">
      <c r="A192" s="2" t="s">
        <v>305</v>
      </c>
      <c r="B192" s="2" t="s">
        <v>306</v>
      </c>
      <c r="C192">
        <v>13123.29</v>
      </c>
      <c r="D192">
        <v>218.75</v>
      </c>
      <c r="E192">
        <v>2870720.42</v>
      </c>
      <c r="F192">
        <v>4.5</v>
      </c>
      <c r="G192">
        <v>13.5</v>
      </c>
      <c r="H192">
        <v>9.5</v>
      </c>
      <c r="I192" s="274">
        <v>27.5</v>
      </c>
      <c r="J192">
        <v>46655.37</v>
      </c>
      <c r="K192">
        <v>122346.94</v>
      </c>
      <c r="L192">
        <v>85025.4</v>
      </c>
      <c r="M192">
        <v>0</v>
      </c>
      <c r="N192">
        <v>207357.19</v>
      </c>
      <c r="O192" s="274">
        <v>28527.160000000003</v>
      </c>
      <c r="P192">
        <v>45506.53</v>
      </c>
      <c r="Q192">
        <v>0</v>
      </c>
      <c r="R192">
        <v>0</v>
      </c>
      <c r="S192">
        <v>0</v>
      </c>
      <c r="T192" s="274">
        <f t="shared" si="8"/>
        <v>0</v>
      </c>
      <c r="U192">
        <v>0</v>
      </c>
      <c r="V192">
        <v>10.94</v>
      </c>
      <c r="W192">
        <v>6595.86</v>
      </c>
      <c r="X192">
        <v>13.98</v>
      </c>
      <c r="Y192">
        <v>0</v>
      </c>
      <c r="Z192">
        <v>0</v>
      </c>
      <c r="AA192">
        <v>130967.13</v>
      </c>
      <c r="AB192">
        <v>0</v>
      </c>
      <c r="AC192">
        <v>0</v>
      </c>
      <c r="AD192">
        <v>63667.39</v>
      </c>
      <c r="AE192">
        <v>333300.36</v>
      </c>
      <c r="AF192">
        <v>30780.74</v>
      </c>
      <c r="AG192">
        <v>55907.87</v>
      </c>
      <c r="AH192">
        <v>1.04</v>
      </c>
      <c r="AI192">
        <v>68937</v>
      </c>
      <c r="AJ192">
        <v>67585</v>
      </c>
      <c r="AK192">
        <v>100321</v>
      </c>
      <c r="AL192">
        <v>102327</v>
      </c>
      <c r="AM192">
        <v>48483</v>
      </c>
      <c r="AN192">
        <v>49453</v>
      </c>
      <c r="AO192">
        <v>1</v>
      </c>
      <c r="AP192">
        <v>357188.97</v>
      </c>
      <c r="AQ192">
        <v>25255.01</v>
      </c>
      <c r="AR192">
        <v>3.9540000000000002</v>
      </c>
      <c r="AS192">
        <v>4.8578999999999997E-2</v>
      </c>
      <c r="AT192">
        <v>4.0270000000000002E-3</v>
      </c>
      <c r="AU192">
        <v>1.7100000000000001E-2</v>
      </c>
    </row>
    <row r="193" spans="1:47">
      <c r="A193" s="2" t="s">
        <v>307</v>
      </c>
      <c r="B193" s="2" t="s">
        <v>308</v>
      </c>
      <c r="C193">
        <v>12008.85</v>
      </c>
      <c r="D193">
        <v>220.11</v>
      </c>
      <c r="E193">
        <v>2643268.4</v>
      </c>
      <c r="F193">
        <v>0</v>
      </c>
      <c r="G193">
        <v>30</v>
      </c>
      <c r="H193">
        <v>10.25</v>
      </c>
      <c r="I193" s="274">
        <v>40.25</v>
      </c>
      <c r="J193">
        <v>0</v>
      </c>
      <c r="K193">
        <v>258493.48</v>
      </c>
      <c r="L193">
        <v>87220.160000000003</v>
      </c>
      <c r="M193">
        <v>-90539.55</v>
      </c>
      <c r="N193">
        <v>345073.31</v>
      </c>
      <c r="O193" s="274">
        <v>28005.17</v>
      </c>
      <c r="P193">
        <v>61969.440000000002</v>
      </c>
      <c r="Q193">
        <v>0</v>
      </c>
      <c r="R193">
        <v>0</v>
      </c>
      <c r="S193">
        <v>0</v>
      </c>
      <c r="T193" s="274">
        <f t="shared" si="8"/>
        <v>0</v>
      </c>
      <c r="U193">
        <v>0</v>
      </c>
      <c r="V193">
        <v>11.01</v>
      </c>
      <c r="W193">
        <v>6163.58</v>
      </c>
      <c r="X193">
        <v>15.33</v>
      </c>
      <c r="Y193">
        <v>6.11</v>
      </c>
      <c r="Z193">
        <v>0</v>
      </c>
      <c r="AA193">
        <v>136699.64000000001</v>
      </c>
      <c r="AB193">
        <v>54481.97</v>
      </c>
      <c r="AC193">
        <v>0</v>
      </c>
      <c r="AD193">
        <v>0</v>
      </c>
      <c r="AE193">
        <v>0</v>
      </c>
      <c r="AF193">
        <v>0</v>
      </c>
      <c r="AG193">
        <v>61538.07</v>
      </c>
      <c r="AH193">
        <v>1</v>
      </c>
      <c r="AI193">
        <v>68937</v>
      </c>
      <c r="AJ193">
        <v>67585</v>
      </c>
      <c r="AK193">
        <v>100321</v>
      </c>
      <c r="AL193">
        <v>102327</v>
      </c>
      <c r="AM193">
        <v>48483</v>
      </c>
      <c r="AN193">
        <v>49453</v>
      </c>
      <c r="AO193">
        <v>1</v>
      </c>
      <c r="AP193">
        <v>343439.32</v>
      </c>
      <c r="AQ193">
        <v>21835.88</v>
      </c>
      <c r="AR193">
        <v>3.621</v>
      </c>
      <c r="AS193">
        <v>4.8578999999999997E-2</v>
      </c>
      <c r="AT193">
        <v>4.0270000000000002E-3</v>
      </c>
      <c r="AU193">
        <v>1.7100000000000001E-2</v>
      </c>
    </row>
    <row r="194" spans="1:47">
      <c r="A194" s="2" t="s">
        <v>309</v>
      </c>
      <c r="B194" s="2" t="s">
        <v>310</v>
      </c>
      <c r="C194">
        <v>20008.63</v>
      </c>
      <c r="D194">
        <v>112.51</v>
      </c>
      <c r="E194">
        <v>2251170.91</v>
      </c>
      <c r="F194">
        <v>1</v>
      </c>
      <c r="G194">
        <v>21.25</v>
      </c>
      <c r="H194">
        <v>2.5</v>
      </c>
      <c r="I194" s="274">
        <v>24.75</v>
      </c>
      <c r="J194">
        <v>10390.86</v>
      </c>
      <c r="K194">
        <v>193024.51</v>
      </c>
      <c r="L194">
        <v>22426.41</v>
      </c>
      <c r="M194">
        <v>-77668.47</v>
      </c>
      <c r="N194">
        <v>214593.84</v>
      </c>
      <c r="O194" s="274">
        <v>14745.39</v>
      </c>
      <c r="P194">
        <v>24862.47</v>
      </c>
      <c r="Q194">
        <v>0</v>
      </c>
      <c r="R194">
        <v>0</v>
      </c>
      <c r="S194">
        <v>0</v>
      </c>
      <c r="T194" s="274">
        <f t="shared" si="8"/>
        <v>0</v>
      </c>
      <c r="U194">
        <v>0</v>
      </c>
      <c r="V194">
        <v>0</v>
      </c>
      <c r="W194">
        <v>0</v>
      </c>
      <c r="X194">
        <v>4.45</v>
      </c>
      <c r="Y194">
        <v>1.06</v>
      </c>
      <c r="Z194">
        <v>0</v>
      </c>
      <c r="AA194">
        <v>40452.36</v>
      </c>
      <c r="AB194">
        <v>9527.64</v>
      </c>
      <c r="AC194">
        <v>0</v>
      </c>
      <c r="AD194">
        <v>24407.23</v>
      </c>
      <c r="AE194">
        <v>260353.88</v>
      </c>
      <c r="AF194">
        <v>35541.17</v>
      </c>
      <c r="AG194">
        <v>40300.25</v>
      </c>
      <c r="AH194">
        <v>1</v>
      </c>
      <c r="AI194">
        <v>68937</v>
      </c>
      <c r="AJ194">
        <v>67585</v>
      </c>
      <c r="AK194">
        <v>100321</v>
      </c>
      <c r="AL194">
        <v>102327</v>
      </c>
      <c r="AM194">
        <v>48483</v>
      </c>
      <c r="AN194">
        <v>49453</v>
      </c>
      <c r="AO194">
        <v>1.04</v>
      </c>
      <c r="AP194">
        <v>253034.82</v>
      </c>
      <c r="AQ194">
        <v>20750.39</v>
      </c>
      <c r="AR194">
        <v>2.9620000000000002</v>
      </c>
      <c r="AS194">
        <v>4.8578999999999997E-2</v>
      </c>
      <c r="AT194">
        <v>4.0270000000000002E-3</v>
      </c>
      <c r="AU194">
        <v>1.7100000000000001E-2</v>
      </c>
    </row>
    <row r="195" spans="1:47">
      <c r="A195" s="2" t="s">
        <v>311</v>
      </c>
      <c r="B195" s="2" t="s">
        <v>312</v>
      </c>
      <c r="C195">
        <v>9660.41</v>
      </c>
      <c r="D195">
        <v>570.99</v>
      </c>
      <c r="E195">
        <v>5515999.96</v>
      </c>
      <c r="F195">
        <v>5.25</v>
      </c>
      <c r="G195">
        <v>51.5</v>
      </c>
      <c r="H195">
        <v>20</v>
      </c>
      <c r="I195" s="274">
        <v>76.75</v>
      </c>
      <c r="J195">
        <v>52830.36</v>
      </c>
      <c r="K195">
        <v>452930.03</v>
      </c>
      <c r="L195">
        <v>173707.56</v>
      </c>
      <c r="M195">
        <v>0</v>
      </c>
      <c r="N195">
        <v>625651.46</v>
      </c>
      <c r="O195" s="274">
        <v>69643.990000000005</v>
      </c>
      <c r="P195">
        <v>100095.91</v>
      </c>
      <c r="Q195">
        <v>0</v>
      </c>
      <c r="R195">
        <v>0</v>
      </c>
      <c r="S195">
        <v>0</v>
      </c>
      <c r="T195" s="274">
        <f t="shared" si="8"/>
        <v>0</v>
      </c>
      <c r="U195">
        <v>0</v>
      </c>
      <c r="V195">
        <v>0</v>
      </c>
      <c r="W195">
        <v>0</v>
      </c>
      <c r="X195">
        <v>61.61</v>
      </c>
      <c r="Y195">
        <v>23.83</v>
      </c>
      <c r="Z195">
        <v>1.73</v>
      </c>
      <c r="AA195">
        <v>549670.41</v>
      </c>
      <c r="AB195">
        <v>212327.96</v>
      </c>
      <c r="AC195">
        <v>17477.86</v>
      </c>
      <c r="AD195">
        <v>104258.6</v>
      </c>
      <c r="AE195">
        <v>374825.6</v>
      </c>
      <c r="AF195">
        <v>67212.509999999995</v>
      </c>
      <c r="AG195">
        <v>141469.1</v>
      </c>
      <c r="AH195">
        <v>1</v>
      </c>
      <c r="AI195">
        <v>68937</v>
      </c>
      <c r="AJ195">
        <v>67585</v>
      </c>
      <c r="AK195">
        <v>100321</v>
      </c>
      <c r="AL195">
        <v>102327</v>
      </c>
      <c r="AM195">
        <v>48483</v>
      </c>
      <c r="AN195">
        <v>49453</v>
      </c>
      <c r="AO195">
        <v>1</v>
      </c>
      <c r="AP195">
        <v>686090.85</v>
      </c>
      <c r="AQ195">
        <v>40939.65</v>
      </c>
      <c r="AR195">
        <v>12.827</v>
      </c>
      <c r="AS195">
        <v>4.8578999999999997E-2</v>
      </c>
      <c r="AT195">
        <v>4.0270000000000002E-3</v>
      </c>
      <c r="AU195">
        <v>1.7100000000000001E-2</v>
      </c>
    </row>
    <row r="196" spans="1:47">
      <c r="A196" s="2" t="s">
        <v>313</v>
      </c>
      <c r="B196" s="2" t="s">
        <v>314</v>
      </c>
      <c r="C196">
        <v>9112.93</v>
      </c>
      <c r="D196">
        <v>199.8</v>
      </c>
      <c r="E196">
        <v>1820763.73</v>
      </c>
      <c r="F196">
        <v>0</v>
      </c>
      <c r="G196">
        <v>24.25</v>
      </c>
      <c r="H196">
        <v>7.5</v>
      </c>
      <c r="I196" s="274">
        <v>31.75</v>
      </c>
      <c r="J196">
        <v>0</v>
      </c>
      <c r="K196">
        <v>222048.84</v>
      </c>
      <c r="L196">
        <v>67820.61</v>
      </c>
      <c r="M196">
        <v>-43598.99</v>
      </c>
      <c r="N196">
        <v>280207.53000000003</v>
      </c>
      <c r="O196" s="274">
        <v>23990.22</v>
      </c>
      <c r="P196">
        <v>26232.959999999999</v>
      </c>
      <c r="Q196">
        <v>0</v>
      </c>
      <c r="R196">
        <v>0</v>
      </c>
      <c r="S196">
        <v>0</v>
      </c>
      <c r="T196" s="274">
        <f t="shared" si="8"/>
        <v>0</v>
      </c>
      <c r="U196">
        <v>0</v>
      </c>
      <c r="V196">
        <v>9.99</v>
      </c>
      <c r="W196">
        <v>5674.43</v>
      </c>
      <c r="X196">
        <v>0</v>
      </c>
      <c r="Y196">
        <v>0</v>
      </c>
      <c r="Z196">
        <v>0</v>
      </c>
      <c r="AA196">
        <v>0</v>
      </c>
      <c r="AB196">
        <v>0</v>
      </c>
      <c r="AC196">
        <v>0</v>
      </c>
      <c r="AD196">
        <v>16072.44</v>
      </c>
      <c r="AE196">
        <v>94942.62</v>
      </c>
      <c r="AF196">
        <v>0</v>
      </c>
      <c r="AG196">
        <v>44221.33</v>
      </c>
      <c r="AH196">
        <v>1</v>
      </c>
      <c r="AI196">
        <v>68937</v>
      </c>
      <c r="AJ196">
        <v>67585</v>
      </c>
      <c r="AK196">
        <v>100321</v>
      </c>
      <c r="AL196">
        <v>102327</v>
      </c>
      <c r="AM196">
        <v>48483</v>
      </c>
      <c r="AN196">
        <v>49453</v>
      </c>
      <c r="AO196">
        <v>1</v>
      </c>
      <c r="AP196">
        <v>267757.96999999997</v>
      </c>
      <c r="AQ196">
        <v>16605.88</v>
      </c>
      <c r="AR196">
        <v>7.1340000000000003</v>
      </c>
      <c r="AS196">
        <v>4.8578999999999997E-2</v>
      </c>
      <c r="AT196">
        <v>4.0270000000000002E-3</v>
      </c>
      <c r="AU196">
        <v>1.7100000000000001E-2</v>
      </c>
    </row>
    <row r="197" spans="1:47">
      <c r="A197" s="2" t="s">
        <v>315</v>
      </c>
      <c r="B197" s="2" t="s">
        <v>316</v>
      </c>
      <c r="C197">
        <v>8051.12</v>
      </c>
      <c r="D197">
        <v>214.6</v>
      </c>
      <c r="E197">
        <v>1727769.89</v>
      </c>
      <c r="F197">
        <v>0</v>
      </c>
      <c r="G197">
        <v>24.5</v>
      </c>
      <c r="H197">
        <v>0</v>
      </c>
      <c r="I197" s="274">
        <v>24.5</v>
      </c>
      <c r="J197">
        <v>0</v>
      </c>
      <c r="K197">
        <v>198246.13</v>
      </c>
      <c r="L197">
        <v>0</v>
      </c>
      <c r="M197">
        <v>0</v>
      </c>
      <c r="N197">
        <v>189218.24</v>
      </c>
      <c r="O197" s="274">
        <v>21124.05</v>
      </c>
      <c r="P197">
        <v>15133.32</v>
      </c>
      <c r="Q197">
        <v>0</v>
      </c>
      <c r="R197">
        <v>0</v>
      </c>
      <c r="S197">
        <v>0</v>
      </c>
      <c r="T197" s="274">
        <f t="shared" si="8"/>
        <v>0</v>
      </c>
      <c r="U197">
        <v>0</v>
      </c>
      <c r="V197">
        <v>10.73</v>
      </c>
      <c r="W197">
        <v>6065.75</v>
      </c>
      <c r="X197">
        <v>0</v>
      </c>
      <c r="Y197">
        <v>0</v>
      </c>
      <c r="Z197">
        <v>0</v>
      </c>
      <c r="AA197">
        <v>0</v>
      </c>
      <c r="AB197">
        <v>0</v>
      </c>
      <c r="AC197">
        <v>0</v>
      </c>
      <c r="AD197">
        <v>25649.58</v>
      </c>
      <c r="AE197">
        <v>140775.82</v>
      </c>
      <c r="AF197">
        <v>0</v>
      </c>
      <c r="AG197">
        <v>47939.05</v>
      </c>
      <c r="AH197">
        <v>1</v>
      </c>
      <c r="AI197">
        <v>68937</v>
      </c>
      <c r="AJ197">
        <v>67585</v>
      </c>
      <c r="AK197">
        <v>100321</v>
      </c>
      <c r="AL197">
        <v>102327</v>
      </c>
      <c r="AM197">
        <v>48483</v>
      </c>
      <c r="AN197">
        <v>49453</v>
      </c>
      <c r="AO197">
        <v>1</v>
      </c>
      <c r="AP197">
        <v>287591.88</v>
      </c>
      <c r="AQ197">
        <v>14748.94</v>
      </c>
      <c r="AR197">
        <v>4.9009999999999998</v>
      </c>
      <c r="AS197">
        <v>4.8578999999999997E-2</v>
      </c>
      <c r="AT197">
        <v>4.0270000000000002E-3</v>
      </c>
      <c r="AU197">
        <v>1.7100000000000001E-2</v>
      </c>
    </row>
    <row r="198" spans="1:47">
      <c r="A198" s="2" t="s">
        <v>317</v>
      </c>
      <c r="B198" s="2" t="s">
        <v>318</v>
      </c>
      <c r="C198">
        <v>8825.7099999999991</v>
      </c>
      <c r="D198">
        <v>4278.88</v>
      </c>
      <c r="E198">
        <v>37764145.060000002</v>
      </c>
      <c r="F198">
        <v>63.75</v>
      </c>
      <c r="G198">
        <v>424.5</v>
      </c>
      <c r="H198">
        <v>130.25</v>
      </c>
      <c r="I198" s="274">
        <v>618.5</v>
      </c>
      <c r="J198">
        <v>629853.35</v>
      </c>
      <c r="K198">
        <v>3665338.94</v>
      </c>
      <c r="L198">
        <v>1110653.8999999999</v>
      </c>
      <c r="M198">
        <v>0</v>
      </c>
      <c r="N198">
        <v>4774642.76</v>
      </c>
      <c r="O198" s="274">
        <v>584845.89</v>
      </c>
      <c r="P198">
        <v>926486.02</v>
      </c>
      <c r="Q198">
        <v>594.25</v>
      </c>
      <c r="R198">
        <v>315</v>
      </c>
      <c r="S198">
        <v>46.75</v>
      </c>
      <c r="T198" s="274">
        <f t="shared" si="8"/>
        <v>956</v>
      </c>
      <c r="U198">
        <v>1334466.44</v>
      </c>
      <c r="V198">
        <v>213.94</v>
      </c>
      <c r="W198">
        <v>120532.45</v>
      </c>
      <c r="X198">
        <v>674.94</v>
      </c>
      <c r="Y198">
        <v>113.39</v>
      </c>
      <c r="Z198">
        <v>0</v>
      </c>
      <c r="AA198">
        <v>6022423.7199999997</v>
      </c>
      <c r="AB198">
        <v>1010341.06</v>
      </c>
      <c r="AC198">
        <v>0</v>
      </c>
      <c r="AD198">
        <v>191055.35999999999</v>
      </c>
      <c r="AE198">
        <v>3078399.98</v>
      </c>
      <c r="AF198">
        <v>1214521</v>
      </c>
      <c r="AG198">
        <v>1781571.41</v>
      </c>
      <c r="AH198">
        <v>1</v>
      </c>
      <c r="AI198">
        <v>68937</v>
      </c>
      <c r="AJ198">
        <v>67585</v>
      </c>
      <c r="AK198">
        <v>100321</v>
      </c>
      <c r="AL198">
        <v>102327</v>
      </c>
      <c r="AM198">
        <v>48483</v>
      </c>
      <c r="AN198">
        <v>49453</v>
      </c>
      <c r="AO198">
        <v>1</v>
      </c>
      <c r="AP198">
        <v>4626040.18</v>
      </c>
      <c r="AQ198">
        <v>252287.28</v>
      </c>
      <c r="AR198">
        <v>74.099000000000004</v>
      </c>
      <c r="AS198">
        <v>4.8578999999999997E-2</v>
      </c>
      <c r="AT198">
        <v>4.0270000000000002E-3</v>
      </c>
      <c r="AU198">
        <v>1.7100000000000001E-2</v>
      </c>
    </row>
    <row r="199" spans="1:47">
      <c r="A199" s="2" t="s">
        <v>319</v>
      </c>
      <c r="B199" s="2" t="s">
        <v>320</v>
      </c>
      <c r="C199">
        <v>9482.32</v>
      </c>
      <c r="D199">
        <v>1440.42</v>
      </c>
      <c r="E199">
        <v>13658525.439999999</v>
      </c>
      <c r="F199">
        <v>0</v>
      </c>
      <c r="G199">
        <v>212</v>
      </c>
      <c r="H199">
        <v>34.25</v>
      </c>
      <c r="I199" s="274">
        <v>246.25</v>
      </c>
      <c r="J199">
        <v>0</v>
      </c>
      <c r="K199">
        <v>1757686.18</v>
      </c>
      <c r="L199">
        <v>280434.49</v>
      </c>
      <c r="M199">
        <v>-427193.91</v>
      </c>
      <c r="N199">
        <v>1998160.37</v>
      </c>
      <c r="O199" s="274">
        <v>142794.15</v>
      </c>
      <c r="P199">
        <v>245260.18</v>
      </c>
      <c r="Q199">
        <v>27.75</v>
      </c>
      <c r="R199">
        <v>3.5</v>
      </c>
      <c r="S199">
        <v>5.25</v>
      </c>
      <c r="T199" s="274">
        <f t="shared" ref="T199:T262" si="9">S199+R199+Q199</f>
        <v>36.5</v>
      </c>
      <c r="U199">
        <v>0</v>
      </c>
      <c r="V199">
        <v>72.02</v>
      </c>
      <c r="W199">
        <v>40601.43</v>
      </c>
      <c r="X199">
        <v>18.62</v>
      </c>
      <c r="Y199">
        <v>4.8600000000000003</v>
      </c>
      <c r="Z199">
        <v>0</v>
      </c>
      <c r="AA199">
        <v>166194.07</v>
      </c>
      <c r="AB199">
        <v>43400.03</v>
      </c>
      <c r="AC199">
        <v>0</v>
      </c>
      <c r="AD199">
        <v>24231.5</v>
      </c>
      <c r="AE199">
        <v>262188.44</v>
      </c>
      <c r="AF199">
        <v>44906.17</v>
      </c>
      <c r="AG199">
        <v>243999.95</v>
      </c>
      <c r="AH199">
        <v>1</v>
      </c>
      <c r="AI199">
        <v>68937</v>
      </c>
      <c r="AJ199">
        <v>67585</v>
      </c>
      <c r="AK199">
        <v>100321</v>
      </c>
      <c r="AL199">
        <v>102327</v>
      </c>
      <c r="AM199">
        <v>48483</v>
      </c>
      <c r="AN199">
        <v>49453</v>
      </c>
      <c r="AO199">
        <v>1</v>
      </c>
      <c r="AP199">
        <v>285148.5</v>
      </c>
      <c r="AQ199">
        <v>21200.54</v>
      </c>
      <c r="AR199">
        <v>3.9950000000000001</v>
      </c>
      <c r="AS199">
        <v>4.8578999999999997E-2</v>
      </c>
      <c r="AT199">
        <v>4.0270000000000002E-3</v>
      </c>
      <c r="AU199">
        <v>1.7100000000000001E-2</v>
      </c>
    </row>
    <row r="200" spans="1:47">
      <c r="A200" s="2" t="s">
        <v>321</v>
      </c>
      <c r="B200" s="2" t="s">
        <v>322</v>
      </c>
      <c r="C200">
        <v>8538.74</v>
      </c>
      <c r="D200">
        <v>689.61</v>
      </c>
      <c r="E200">
        <v>5888400.1799999997</v>
      </c>
      <c r="F200">
        <v>10</v>
      </c>
      <c r="G200">
        <v>88.25</v>
      </c>
      <c r="H200">
        <v>11.25</v>
      </c>
      <c r="I200" s="274">
        <v>109.5</v>
      </c>
      <c r="J200">
        <v>97824.98</v>
      </c>
      <c r="K200">
        <v>754450.04</v>
      </c>
      <c r="L200">
        <v>94980.12</v>
      </c>
      <c r="M200">
        <v>-54744.98</v>
      </c>
      <c r="N200">
        <v>846398.74</v>
      </c>
      <c r="O200" s="274">
        <v>97867.07</v>
      </c>
      <c r="P200">
        <v>161390.82</v>
      </c>
      <c r="Q200">
        <v>18</v>
      </c>
      <c r="R200">
        <v>13.75</v>
      </c>
      <c r="S200">
        <v>4.5</v>
      </c>
      <c r="T200" s="274">
        <f t="shared" si="9"/>
        <v>36.25</v>
      </c>
      <c r="U200">
        <v>50287.09</v>
      </c>
      <c r="V200">
        <v>34.479999999999997</v>
      </c>
      <c r="W200">
        <v>19469.12</v>
      </c>
      <c r="X200">
        <v>0</v>
      </c>
      <c r="Y200">
        <v>0</v>
      </c>
      <c r="Z200">
        <v>0</v>
      </c>
      <c r="AA200">
        <v>0</v>
      </c>
      <c r="AB200">
        <v>0</v>
      </c>
      <c r="AC200">
        <v>0</v>
      </c>
      <c r="AD200">
        <v>69870.97</v>
      </c>
      <c r="AE200">
        <v>636119.13</v>
      </c>
      <c r="AF200">
        <v>185299.08</v>
      </c>
      <c r="AG200">
        <v>249478.7</v>
      </c>
      <c r="AH200">
        <v>1</v>
      </c>
      <c r="AI200">
        <v>68937</v>
      </c>
      <c r="AJ200">
        <v>67585</v>
      </c>
      <c r="AK200">
        <v>100321</v>
      </c>
      <c r="AL200">
        <v>102327</v>
      </c>
      <c r="AM200">
        <v>48483</v>
      </c>
      <c r="AN200">
        <v>49453</v>
      </c>
      <c r="AO200">
        <v>1</v>
      </c>
      <c r="AP200">
        <v>870829.9</v>
      </c>
      <c r="AQ200">
        <v>48852.69</v>
      </c>
      <c r="AR200">
        <v>17.634</v>
      </c>
      <c r="AS200">
        <v>4.8578999999999997E-2</v>
      </c>
      <c r="AT200">
        <v>4.0270000000000002E-3</v>
      </c>
      <c r="AU200">
        <v>1.7100000000000001E-2</v>
      </c>
    </row>
    <row r="201" spans="1:47">
      <c r="A201" s="2" t="s">
        <v>323</v>
      </c>
      <c r="B201" s="2" t="s">
        <v>324</v>
      </c>
      <c r="C201">
        <v>9160.9500000000007</v>
      </c>
      <c r="D201">
        <v>2261.5100000000002</v>
      </c>
      <c r="E201">
        <v>20717574.010000002</v>
      </c>
      <c r="F201">
        <v>29.75</v>
      </c>
      <c r="G201">
        <v>266</v>
      </c>
      <c r="H201">
        <v>74.75</v>
      </c>
      <c r="I201" s="274">
        <v>370.5</v>
      </c>
      <c r="J201">
        <v>308549.53999999998</v>
      </c>
      <c r="K201">
        <v>2411194.15</v>
      </c>
      <c r="L201">
        <v>669155.04</v>
      </c>
      <c r="M201">
        <v>-300622.31</v>
      </c>
      <c r="N201">
        <v>3073094.77</v>
      </c>
      <c r="O201" s="274">
        <v>321589.16000000003</v>
      </c>
      <c r="P201">
        <v>481453.25</v>
      </c>
      <c r="Q201">
        <v>185.75</v>
      </c>
      <c r="R201">
        <v>115.75</v>
      </c>
      <c r="S201">
        <v>30</v>
      </c>
      <c r="T201" s="274">
        <f t="shared" si="9"/>
        <v>331.5</v>
      </c>
      <c r="U201">
        <v>483968.66</v>
      </c>
      <c r="V201">
        <v>113.08</v>
      </c>
      <c r="W201">
        <v>67049.070000000007</v>
      </c>
      <c r="X201">
        <v>150.52000000000001</v>
      </c>
      <c r="Y201">
        <v>84.23</v>
      </c>
      <c r="Z201">
        <v>0</v>
      </c>
      <c r="AA201">
        <v>1400000.09</v>
      </c>
      <c r="AB201">
        <v>782449.72</v>
      </c>
      <c r="AC201">
        <v>0</v>
      </c>
      <c r="AD201">
        <v>164041.82999999999</v>
      </c>
      <c r="AE201">
        <v>2095470.7</v>
      </c>
      <c r="AF201">
        <v>398998.62</v>
      </c>
      <c r="AG201">
        <v>824569.72</v>
      </c>
      <c r="AH201">
        <v>1.06</v>
      </c>
      <c r="AI201">
        <v>68937</v>
      </c>
      <c r="AJ201">
        <v>67585</v>
      </c>
      <c r="AK201">
        <v>100321</v>
      </c>
      <c r="AL201">
        <v>102327</v>
      </c>
      <c r="AM201">
        <v>48483</v>
      </c>
      <c r="AN201">
        <v>49453</v>
      </c>
      <c r="AO201">
        <v>1</v>
      </c>
      <c r="AP201">
        <v>2545851.7999999998</v>
      </c>
      <c r="AQ201">
        <v>150038.18</v>
      </c>
      <c r="AR201">
        <v>43.359000000000002</v>
      </c>
      <c r="AS201">
        <v>4.8578999999999997E-2</v>
      </c>
      <c r="AT201">
        <v>4.0270000000000002E-3</v>
      </c>
      <c r="AU201">
        <v>1.7100000000000001E-2</v>
      </c>
    </row>
    <row r="202" spans="1:47">
      <c r="A202" s="2" t="s">
        <v>325</v>
      </c>
      <c r="B202" s="2" t="s">
        <v>326</v>
      </c>
      <c r="C202">
        <v>8865.86</v>
      </c>
      <c r="D202">
        <v>300.60000000000002</v>
      </c>
      <c r="E202">
        <v>2665078.09</v>
      </c>
      <c r="F202">
        <v>0</v>
      </c>
      <c r="G202">
        <v>31</v>
      </c>
      <c r="H202">
        <v>5.75</v>
      </c>
      <c r="I202" s="274">
        <v>36.75</v>
      </c>
      <c r="J202">
        <v>0</v>
      </c>
      <c r="K202">
        <v>276235.93</v>
      </c>
      <c r="L202">
        <v>50600.15</v>
      </c>
      <c r="M202">
        <v>0</v>
      </c>
      <c r="N202">
        <v>325783.61</v>
      </c>
      <c r="O202" s="274">
        <v>38811.49</v>
      </c>
      <c r="P202">
        <v>57679.21</v>
      </c>
      <c r="Q202">
        <v>7.5</v>
      </c>
      <c r="R202">
        <v>0</v>
      </c>
      <c r="S202">
        <v>0</v>
      </c>
      <c r="T202" s="274">
        <f t="shared" si="9"/>
        <v>7.5</v>
      </c>
      <c r="U202">
        <v>0</v>
      </c>
      <c r="V202">
        <v>15.03</v>
      </c>
      <c r="W202">
        <v>8511.6299999999992</v>
      </c>
      <c r="X202">
        <v>0</v>
      </c>
      <c r="Y202">
        <v>0</v>
      </c>
      <c r="Z202">
        <v>0</v>
      </c>
      <c r="AA202">
        <v>0</v>
      </c>
      <c r="AB202">
        <v>0</v>
      </c>
      <c r="AC202">
        <v>0</v>
      </c>
      <c r="AD202">
        <v>73443.92</v>
      </c>
      <c r="AE202">
        <v>523417.47</v>
      </c>
      <c r="AF202">
        <v>84137.919999999998</v>
      </c>
      <c r="AG202">
        <v>134522.82999999999</v>
      </c>
      <c r="AH202">
        <v>1</v>
      </c>
      <c r="AI202">
        <v>68937</v>
      </c>
      <c r="AJ202">
        <v>67585</v>
      </c>
      <c r="AK202">
        <v>100321</v>
      </c>
      <c r="AL202">
        <v>102327</v>
      </c>
      <c r="AM202">
        <v>48483</v>
      </c>
      <c r="AN202">
        <v>49453</v>
      </c>
      <c r="AO202">
        <v>1</v>
      </c>
      <c r="AP202">
        <v>402843.06</v>
      </c>
      <c r="AQ202">
        <v>23978.94</v>
      </c>
      <c r="AR202">
        <v>8.7780000000000005</v>
      </c>
      <c r="AS202">
        <v>4.8578999999999997E-2</v>
      </c>
      <c r="AT202">
        <v>4.0270000000000002E-3</v>
      </c>
      <c r="AU202">
        <v>1.7100000000000001E-2</v>
      </c>
    </row>
    <row r="203" spans="1:47">
      <c r="A203" s="2" t="s">
        <v>327</v>
      </c>
      <c r="B203" s="2" t="s">
        <v>1341</v>
      </c>
      <c r="C203">
        <v>9857.17</v>
      </c>
      <c r="D203">
        <v>128.4</v>
      </c>
      <c r="E203">
        <v>1265660.02</v>
      </c>
      <c r="F203">
        <v>1.5</v>
      </c>
      <c r="G203">
        <v>25</v>
      </c>
      <c r="H203">
        <v>0.5</v>
      </c>
      <c r="I203" s="274">
        <v>27</v>
      </c>
      <c r="J203">
        <v>15563.95</v>
      </c>
      <c r="K203">
        <v>226774.48</v>
      </c>
      <c r="L203">
        <v>4479.1000000000004</v>
      </c>
      <c r="M203">
        <v>-74057.039999999994</v>
      </c>
      <c r="N203">
        <v>230075.79</v>
      </c>
      <c r="O203" s="274">
        <v>18132.18</v>
      </c>
      <c r="P203">
        <v>19540.63</v>
      </c>
      <c r="Q203">
        <v>0</v>
      </c>
      <c r="R203">
        <v>0</v>
      </c>
      <c r="S203">
        <v>0</v>
      </c>
      <c r="T203" s="274">
        <f t="shared" si="9"/>
        <v>0</v>
      </c>
      <c r="U203">
        <v>0</v>
      </c>
      <c r="V203">
        <v>0</v>
      </c>
      <c r="W203">
        <v>0</v>
      </c>
      <c r="X203">
        <v>0</v>
      </c>
      <c r="Y203">
        <v>0</v>
      </c>
      <c r="Z203">
        <v>0</v>
      </c>
      <c r="AA203">
        <v>0</v>
      </c>
      <c r="AB203">
        <v>0</v>
      </c>
      <c r="AC203">
        <v>0</v>
      </c>
      <c r="AD203">
        <v>33822.58</v>
      </c>
      <c r="AE203">
        <v>178803.79</v>
      </c>
      <c r="AF203">
        <v>37862.050000000003</v>
      </c>
      <c r="AG203">
        <v>82474.710000000006</v>
      </c>
      <c r="AH203">
        <v>1</v>
      </c>
      <c r="AI203">
        <v>68937</v>
      </c>
      <c r="AJ203">
        <v>67585</v>
      </c>
      <c r="AK203">
        <v>100321</v>
      </c>
      <c r="AL203">
        <v>102327</v>
      </c>
      <c r="AM203">
        <v>48483</v>
      </c>
      <c r="AN203">
        <v>49453</v>
      </c>
      <c r="AO203">
        <v>1.06</v>
      </c>
      <c r="AP203">
        <v>178266.11</v>
      </c>
      <c r="AQ203">
        <v>11217.38</v>
      </c>
      <c r="AR203">
        <v>4.28</v>
      </c>
      <c r="AS203">
        <v>4.8578999999999997E-2</v>
      </c>
      <c r="AT203">
        <v>4.0270000000000002E-3</v>
      </c>
      <c r="AU203">
        <v>1.7100000000000001E-2</v>
      </c>
    </row>
    <row r="204" spans="1:47">
      <c r="A204" s="2" t="s">
        <v>329</v>
      </c>
      <c r="B204" s="2" t="s">
        <v>330</v>
      </c>
      <c r="C204">
        <v>8757.7199999999993</v>
      </c>
      <c r="D204">
        <v>6612.34</v>
      </c>
      <c r="E204">
        <v>57909002.32</v>
      </c>
      <c r="F204">
        <v>30.75</v>
      </c>
      <c r="G204">
        <v>756</v>
      </c>
      <c r="H204">
        <v>155</v>
      </c>
      <c r="I204" s="274">
        <v>941.75</v>
      </c>
      <c r="J204">
        <v>293619.78999999998</v>
      </c>
      <c r="K204">
        <v>6308134.7199999997</v>
      </c>
      <c r="L204">
        <v>1277247.17</v>
      </c>
      <c r="M204">
        <v>-175638.37</v>
      </c>
      <c r="N204">
        <v>7564160.54</v>
      </c>
      <c r="O204" s="274">
        <v>924509.78</v>
      </c>
      <c r="P204">
        <v>1265718.8400000001</v>
      </c>
      <c r="Q204">
        <v>161.5</v>
      </c>
      <c r="R204">
        <v>107.25</v>
      </c>
      <c r="S204">
        <v>78.5</v>
      </c>
      <c r="T204" s="274">
        <f t="shared" si="9"/>
        <v>347.25</v>
      </c>
      <c r="U204">
        <v>452485.88</v>
      </c>
      <c r="V204">
        <v>330.62</v>
      </c>
      <c r="W204">
        <v>186179.59</v>
      </c>
      <c r="X204">
        <v>138.75</v>
      </c>
      <c r="Y204">
        <v>32.74</v>
      </c>
      <c r="Z204">
        <v>0</v>
      </c>
      <c r="AA204">
        <v>1238199.5</v>
      </c>
      <c r="AB204">
        <v>291800.69</v>
      </c>
      <c r="AC204">
        <v>0</v>
      </c>
      <c r="AD204">
        <v>152637.59</v>
      </c>
      <c r="AE204">
        <v>979925.33</v>
      </c>
      <c r="AF204">
        <v>446517.96</v>
      </c>
      <c r="AG204">
        <v>2362612.17</v>
      </c>
      <c r="AH204">
        <v>1</v>
      </c>
      <c r="AI204">
        <v>68937</v>
      </c>
      <c r="AJ204">
        <v>67585</v>
      </c>
      <c r="AK204">
        <v>100321</v>
      </c>
      <c r="AL204">
        <v>102327</v>
      </c>
      <c r="AM204">
        <v>48483</v>
      </c>
      <c r="AN204">
        <v>49453</v>
      </c>
      <c r="AO204">
        <v>1</v>
      </c>
      <c r="AP204">
        <v>1996265.58</v>
      </c>
      <c r="AQ204">
        <v>112552.5</v>
      </c>
      <c r="AR204">
        <v>34.628</v>
      </c>
      <c r="AS204">
        <v>4.8578999999999997E-2</v>
      </c>
      <c r="AT204">
        <v>4.0270000000000002E-3</v>
      </c>
      <c r="AU204">
        <v>1.7100000000000001E-2</v>
      </c>
    </row>
    <row r="205" spans="1:47">
      <c r="A205" s="2" t="s">
        <v>331</v>
      </c>
      <c r="B205" s="2" t="s">
        <v>332</v>
      </c>
      <c r="C205">
        <v>8657.93</v>
      </c>
      <c r="D205">
        <v>1036.31</v>
      </c>
      <c r="E205">
        <v>8972300.6699999999</v>
      </c>
      <c r="F205">
        <v>9</v>
      </c>
      <c r="G205">
        <v>124.5</v>
      </c>
      <c r="H205">
        <v>28</v>
      </c>
      <c r="I205" s="274">
        <v>161.5</v>
      </c>
      <c r="J205">
        <v>88350.39</v>
      </c>
      <c r="K205">
        <v>1068050.8899999999</v>
      </c>
      <c r="L205">
        <v>237216.52</v>
      </c>
      <c r="M205">
        <v>-108181.13</v>
      </c>
      <c r="N205">
        <v>1301781.18</v>
      </c>
      <c r="O205" s="274">
        <v>141015.57</v>
      </c>
      <c r="P205">
        <v>252564.92</v>
      </c>
      <c r="Q205">
        <v>41</v>
      </c>
      <c r="R205">
        <v>30.5</v>
      </c>
      <c r="S205">
        <v>28</v>
      </c>
      <c r="T205" s="274">
        <f t="shared" si="9"/>
        <v>99.5</v>
      </c>
      <c r="U205">
        <v>131330.26</v>
      </c>
      <c r="V205">
        <v>51.82</v>
      </c>
      <c r="W205">
        <v>30174.58</v>
      </c>
      <c r="X205">
        <v>70.56</v>
      </c>
      <c r="Y205">
        <v>6.22</v>
      </c>
      <c r="Z205">
        <v>0</v>
      </c>
      <c r="AA205">
        <v>643034.98</v>
      </c>
      <c r="AB205">
        <v>56656.09</v>
      </c>
      <c r="AC205">
        <v>0</v>
      </c>
      <c r="AD205">
        <v>116066.93</v>
      </c>
      <c r="AE205">
        <v>535092.12</v>
      </c>
      <c r="AF205">
        <v>233498.5</v>
      </c>
      <c r="AG205">
        <v>425987.95</v>
      </c>
      <c r="AH205">
        <v>1</v>
      </c>
      <c r="AI205">
        <v>68937</v>
      </c>
      <c r="AJ205">
        <v>67585</v>
      </c>
      <c r="AK205">
        <v>100321</v>
      </c>
      <c r="AL205">
        <v>102327</v>
      </c>
      <c r="AM205">
        <v>48483</v>
      </c>
      <c r="AN205">
        <v>49453</v>
      </c>
      <c r="AO205">
        <v>1</v>
      </c>
      <c r="AP205">
        <v>1196225.45</v>
      </c>
      <c r="AQ205">
        <v>64694.35</v>
      </c>
      <c r="AR205">
        <v>15.523999999999999</v>
      </c>
      <c r="AS205">
        <v>4.8578999999999997E-2</v>
      </c>
      <c r="AT205">
        <v>4.0270000000000002E-3</v>
      </c>
      <c r="AU205">
        <v>1.7100000000000001E-2</v>
      </c>
    </row>
    <row r="206" spans="1:47">
      <c r="A206" s="2" t="s">
        <v>333</v>
      </c>
      <c r="B206" s="2" t="s">
        <v>334</v>
      </c>
      <c r="C206">
        <v>8769.18</v>
      </c>
      <c r="D206">
        <v>980.34</v>
      </c>
      <c r="E206">
        <v>8596773.2599999998</v>
      </c>
      <c r="F206">
        <v>11.75</v>
      </c>
      <c r="G206">
        <v>73.75</v>
      </c>
      <c r="H206">
        <v>24</v>
      </c>
      <c r="I206" s="274">
        <v>109.5</v>
      </c>
      <c r="J206">
        <v>116907.58</v>
      </c>
      <c r="K206">
        <v>641256.14</v>
      </c>
      <c r="L206">
        <v>206084.42</v>
      </c>
      <c r="M206">
        <v>0</v>
      </c>
      <c r="N206">
        <v>845714.43</v>
      </c>
      <c r="O206" s="274">
        <v>103548.31</v>
      </c>
      <c r="P206">
        <v>144258.01999999999</v>
      </c>
      <c r="Q206">
        <v>219</v>
      </c>
      <c r="R206">
        <v>105.75</v>
      </c>
      <c r="S206">
        <v>95.75</v>
      </c>
      <c r="T206" s="274">
        <f t="shared" si="9"/>
        <v>420.5</v>
      </c>
      <c r="U206">
        <v>534862.77</v>
      </c>
      <c r="V206">
        <v>49.02</v>
      </c>
      <c r="W206">
        <v>27589.4</v>
      </c>
      <c r="X206">
        <v>91.65</v>
      </c>
      <c r="Y206">
        <v>0</v>
      </c>
      <c r="Z206">
        <v>0</v>
      </c>
      <c r="AA206">
        <v>817770.5</v>
      </c>
      <c r="AB206">
        <v>0</v>
      </c>
      <c r="AC206">
        <v>0</v>
      </c>
      <c r="AD206">
        <v>70539.740000000005</v>
      </c>
      <c r="AE206">
        <v>208806.56</v>
      </c>
      <c r="AF206">
        <v>267088.94</v>
      </c>
      <c r="AG206">
        <v>553060.02</v>
      </c>
      <c r="AH206">
        <v>1</v>
      </c>
      <c r="AI206">
        <v>68937</v>
      </c>
      <c r="AJ206">
        <v>67585</v>
      </c>
      <c r="AK206">
        <v>100321</v>
      </c>
      <c r="AL206">
        <v>102327</v>
      </c>
      <c r="AM206">
        <v>48483</v>
      </c>
      <c r="AN206">
        <v>49453</v>
      </c>
      <c r="AO206">
        <v>1</v>
      </c>
      <c r="AP206">
        <v>1209517.5900000001</v>
      </c>
      <c r="AQ206">
        <v>66953.66</v>
      </c>
      <c r="AR206">
        <v>19.757000000000001</v>
      </c>
      <c r="AS206">
        <v>4.8578999999999997E-2</v>
      </c>
      <c r="AT206">
        <v>4.0270000000000002E-3</v>
      </c>
      <c r="AU206">
        <v>1.7100000000000001E-2</v>
      </c>
    </row>
    <row r="207" spans="1:47">
      <c r="A207" s="2" t="s">
        <v>335</v>
      </c>
      <c r="B207" s="2" t="s">
        <v>336</v>
      </c>
      <c r="C207">
        <v>11461.51</v>
      </c>
      <c r="D207">
        <v>295</v>
      </c>
      <c r="E207">
        <v>3381144.94</v>
      </c>
      <c r="F207">
        <v>1.75</v>
      </c>
      <c r="G207">
        <v>31.25</v>
      </c>
      <c r="H207">
        <v>10.25</v>
      </c>
      <c r="I207" s="274">
        <v>43.25</v>
      </c>
      <c r="J207">
        <v>17587.02</v>
      </c>
      <c r="K207">
        <v>274490.68</v>
      </c>
      <c r="L207">
        <v>88913.27</v>
      </c>
      <c r="M207">
        <v>-14722.12</v>
      </c>
      <c r="N207">
        <v>362663.94</v>
      </c>
      <c r="O207" s="274">
        <v>42706.14</v>
      </c>
      <c r="P207">
        <v>55738.71</v>
      </c>
      <c r="Q207">
        <v>20</v>
      </c>
      <c r="R207">
        <v>12</v>
      </c>
      <c r="S207">
        <v>12</v>
      </c>
      <c r="T207" s="274">
        <f t="shared" si="9"/>
        <v>44</v>
      </c>
      <c r="U207">
        <v>57513.94</v>
      </c>
      <c r="V207">
        <v>14.75</v>
      </c>
      <c r="W207">
        <v>8606.85</v>
      </c>
      <c r="X207">
        <v>11.24</v>
      </c>
      <c r="Y207">
        <v>0</v>
      </c>
      <c r="Z207">
        <v>0</v>
      </c>
      <c r="AA207">
        <v>102353.8</v>
      </c>
      <c r="AB207">
        <v>0</v>
      </c>
      <c r="AC207">
        <v>0</v>
      </c>
      <c r="AD207">
        <v>66500.58</v>
      </c>
      <c r="AE207">
        <v>196909.88</v>
      </c>
      <c r="AF207">
        <v>87891.02</v>
      </c>
      <c r="AG207">
        <v>138519.48000000001</v>
      </c>
      <c r="AH207">
        <v>1</v>
      </c>
      <c r="AI207">
        <v>68937</v>
      </c>
      <c r="AJ207">
        <v>67585</v>
      </c>
      <c r="AK207">
        <v>100321</v>
      </c>
      <c r="AL207">
        <v>102327</v>
      </c>
      <c r="AM207">
        <v>48483</v>
      </c>
      <c r="AN207">
        <v>49453</v>
      </c>
      <c r="AO207">
        <v>1</v>
      </c>
      <c r="AP207">
        <v>442388.99</v>
      </c>
      <c r="AQ207">
        <v>28742.19</v>
      </c>
      <c r="AR207">
        <v>5.0970000000000004</v>
      </c>
      <c r="AS207">
        <v>4.8578999999999997E-2</v>
      </c>
      <c r="AT207">
        <v>4.0270000000000002E-3</v>
      </c>
      <c r="AU207">
        <v>1.7100000000000001E-2</v>
      </c>
    </row>
    <row r="208" spans="1:47">
      <c r="A208" s="2" t="s">
        <v>337</v>
      </c>
      <c r="B208" s="2" t="s">
        <v>338</v>
      </c>
      <c r="C208">
        <v>9127.4599999999991</v>
      </c>
      <c r="D208">
        <v>716.15</v>
      </c>
      <c r="E208">
        <v>6536628.2599999998</v>
      </c>
      <c r="F208">
        <v>8</v>
      </c>
      <c r="G208">
        <v>68.25</v>
      </c>
      <c r="H208">
        <v>9</v>
      </c>
      <c r="I208" s="274">
        <v>85.25</v>
      </c>
      <c r="J208">
        <v>79021.47</v>
      </c>
      <c r="K208">
        <v>589191.99</v>
      </c>
      <c r="L208">
        <v>76729.350000000006</v>
      </c>
      <c r="M208">
        <v>-73698.8</v>
      </c>
      <c r="N208">
        <v>663522.65</v>
      </c>
      <c r="O208" s="274">
        <v>0</v>
      </c>
      <c r="P208">
        <v>124028.08</v>
      </c>
      <c r="Q208">
        <v>16</v>
      </c>
      <c r="R208">
        <v>8</v>
      </c>
      <c r="S208">
        <v>3.25</v>
      </c>
      <c r="T208" s="274">
        <f t="shared" si="9"/>
        <v>27.25</v>
      </c>
      <c r="U208">
        <v>36688.050000000003</v>
      </c>
      <c r="V208">
        <v>35.81</v>
      </c>
      <c r="W208">
        <v>20153.96</v>
      </c>
      <c r="X208">
        <v>39.130000000000003</v>
      </c>
      <c r="Y208">
        <v>0</v>
      </c>
      <c r="Z208">
        <v>0</v>
      </c>
      <c r="AA208">
        <v>349173.57</v>
      </c>
      <c r="AB208">
        <v>0</v>
      </c>
      <c r="AC208">
        <v>0</v>
      </c>
      <c r="AD208">
        <v>103206.31</v>
      </c>
      <c r="AE208">
        <v>625297.56999999995</v>
      </c>
      <c r="AF208">
        <v>10174.82</v>
      </c>
      <c r="AG208">
        <v>136381.69</v>
      </c>
      <c r="AH208">
        <v>1</v>
      </c>
      <c r="AI208">
        <v>68937</v>
      </c>
      <c r="AJ208">
        <v>67585</v>
      </c>
      <c r="AK208">
        <v>100321</v>
      </c>
      <c r="AL208">
        <v>102327</v>
      </c>
      <c r="AM208">
        <v>48483</v>
      </c>
      <c r="AN208">
        <v>49453</v>
      </c>
      <c r="AO208">
        <v>1</v>
      </c>
      <c r="AP208">
        <v>925492.34</v>
      </c>
      <c r="AQ208">
        <v>52381.43</v>
      </c>
      <c r="AR208">
        <v>14.448</v>
      </c>
      <c r="AS208">
        <v>4.8578999999999997E-2</v>
      </c>
      <c r="AT208">
        <v>4.0270000000000002E-3</v>
      </c>
      <c r="AU208">
        <v>1.7100000000000001E-2</v>
      </c>
    </row>
    <row r="209" spans="1:47">
      <c r="A209" s="2" t="s">
        <v>339</v>
      </c>
      <c r="B209" s="2" t="s">
        <v>340</v>
      </c>
      <c r="C209">
        <v>8679.52</v>
      </c>
      <c r="D209">
        <v>1140.73</v>
      </c>
      <c r="E209">
        <v>9900993.8599999994</v>
      </c>
      <c r="F209">
        <v>12.25</v>
      </c>
      <c r="G209">
        <v>78.75</v>
      </c>
      <c r="H209">
        <v>44.25</v>
      </c>
      <c r="I209" s="274">
        <v>135.25</v>
      </c>
      <c r="J209">
        <v>120509.26</v>
      </c>
      <c r="K209">
        <v>677066.32</v>
      </c>
      <c r="L209">
        <v>375715.17</v>
      </c>
      <c r="M209">
        <v>0</v>
      </c>
      <c r="N209">
        <v>1052183.82</v>
      </c>
      <c r="O209" s="274">
        <v>115615.26000000001</v>
      </c>
      <c r="P209">
        <v>214652.2</v>
      </c>
      <c r="Q209">
        <v>91</v>
      </c>
      <c r="R209">
        <v>37.75</v>
      </c>
      <c r="S209">
        <v>30</v>
      </c>
      <c r="T209" s="274">
        <f t="shared" si="9"/>
        <v>158.75</v>
      </c>
      <c r="U209">
        <v>203594.17</v>
      </c>
      <c r="V209">
        <v>57.04</v>
      </c>
      <c r="W209">
        <v>32089.82</v>
      </c>
      <c r="X209">
        <v>30.54</v>
      </c>
      <c r="Y209">
        <v>12.14</v>
      </c>
      <c r="Z209">
        <v>0</v>
      </c>
      <c r="AA209">
        <v>272502.77</v>
      </c>
      <c r="AB209">
        <v>108186.91</v>
      </c>
      <c r="AC209">
        <v>0</v>
      </c>
      <c r="AD209">
        <v>212318.71</v>
      </c>
      <c r="AE209">
        <v>960237.1</v>
      </c>
      <c r="AF209">
        <v>317376.03999999998</v>
      </c>
      <c r="AG209">
        <v>501990.27</v>
      </c>
      <c r="AH209">
        <v>1</v>
      </c>
      <c r="AI209">
        <v>68937</v>
      </c>
      <c r="AJ209">
        <v>67585</v>
      </c>
      <c r="AK209">
        <v>100321</v>
      </c>
      <c r="AL209">
        <v>102327</v>
      </c>
      <c r="AM209">
        <v>48483</v>
      </c>
      <c r="AN209">
        <v>49453</v>
      </c>
      <c r="AO209">
        <v>1</v>
      </c>
      <c r="AP209">
        <v>1303798.73</v>
      </c>
      <c r="AQ209">
        <v>70891.94</v>
      </c>
      <c r="AR209">
        <v>18.710999999999999</v>
      </c>
      <c r="AS209">
        <v>4.8578999999999997E-2</v>
      </c>
      <c r="AT209">
        <v>4.0270000000000002E-3</v>
      </c>
      <c r="AU209">
        <v>1.7100000000000001E-2</v>
      </c>
    </row>
    <row r="210" spans="1:47">
      <c r="A210" s="2" t="s">
        <v>341</v>
      </c>
      <c r="B210" s="2" t="s">
        <v>342</v>
      </c>
      <c r="C210">
        <v>9492.36</v>
      </c>
      <c r="D210">
        <v>517.83000000000004</v>
      </c>
      <c r="E210">
        <v>4915428.5</v>
      </c>
      <c r="F210">
        <v>2.75</v>
      </c>
      <c r="G210">
        <v>49.75</v>
      </c>
      <c r="H210">
        <v>15.5</v>
      </c>
      <c r="I210" s="274">
        <v>68</v>
      </c>
      <c r="J210">
        <v>26880.78</v>
      </c>
      <c r="K210">
        <v>425015.69</v>
      </c>
      <c r="L210">
        <v>130770.1</v>
      </c>
      <c r="M210">
        <v>0</v>
      </c>
      <c r="N210">
        <v>554615.21</v>
      </c>
      <c r="O210" s="274">
        <v>66245.02</v>
      </c>
      <c r="P210">
        <v>95047.8</v>
      </c>
      <c r="Q210">
        <v>41.25</v>
      </c>
      <c r="R210">
        <v>23.25</v>
      </c>
      <c r="S210">
        <v>12</v>
      </c>
      <c r="T210" s="274">
        <f t="shared" si="9"/>
        <v>76.5</v>
      </c>
      <c r="U210">
        <v>101943.84</v>
      </c>
      <c r="V210">
        <v>0</v>
      </c>
      <c r="W210">
        <v>0</v>
      </c>
      <c r="X210">
        <v>23.63</v>
      </c>
      <c r="Y210">
        <v>5.17</v>
      </c>
      <c r="Z210">
        <v>0</v>
      </c>
      <c r="AA210">
        <v>210949.16</v>
      </c>
      <c r="AB210">
        <v>46165.56</v>
      </c>
      <c r="AC210">
        <v>0</v>
      </c>
      <c r="AD210">
        <v>71610.73</v>
      </c>
      <c r="AE210">
        <v>251182.53</v>
      </c>
      <c r="AF210">
        <v>151643.92000000001</v>
      </c>
      <c r="AG210">
        <v>249380.86</v>
      </c>
      <c r="AH210">
        <v>1</v>
      </c>
      <c r="AI210">
        <v>68937</v>
      </c>
      <c r="AJ210">
        <v>67585</v>
      </c>
      <c r="AK210">
        <v>100321</v>
      </c>
      <c r="AL210">
        <v>102327</v>
      </c>
      <c r="AM210">
        <v>48483</v>
      </c>
      <c r="AN210">
        <v>49453</v>
      </c>
      <c r="AO210">
        <v>1</v>
      </c>
      <c r="AP210">
        <v>685140.73</v>
      </c>
      <c r="AQ210">
        <v>38898.980000000003</v>
      </c>
      <c r="AR210">
        <v>9.1609999999999996</v>
      </c>
      <c r="AS210">
        <v>4.8578999999999997E-2</v>
      </c>
      <c r="AT210">
        <v>4.0270000000000002E-3</v>
      </c>
      <c r="AU210">
        <v>1.7100000000000001E-2</v>
      </c>
    </row>
    <row r="211" spans="1:47">
      <c r="A211" s="2" t="s">
        <v>343</v>
      </c>
      <c r="B211" s="2" t="s">
        <v>344</v>
      </c>
      <c r="C211">
        <v>8717.57</v>
      </c>
      <c r="D211">
        <v>1024.17</v>
      </c>
      <c r="E211">
        <v>8928276.5999999996</v>
      </c>
      <c r="F211">
        <v>9.75</v>
      </c>
      <c r="G211">
        <v>173.75</v>
      </c>
      <c r="H211">
        <v>56.75</v>
      </c>
      <c r="I211" s="274">
        <v>240.25</v>
      </c>
      <c r="J211">
        <v>96307.41</v>
      </c>
      <c r="K211">
        <v>1499957.63</v>
      </c>
      <c r="L211">
        <v>483821.19</v>
      </c>
      <c r="M211">
        <v>-219548.64</v>
      </c>
      <c r="N211">
        <v>1979831.35</v>
      </c>
      <c r="O211" s="274">
        <v>0</v>
      </c>
      <c r="P211">
        <v>371807.07</v>
      </c>
      <c r="Q211">
        <v>26.5</v>
      </c>
      <c r="R211">
        <v>19.25</v>
      </c>
      <c r="S211">
        <v>0</v>
      </c>
      <c r="T211" s="274">
        <f t="shared" si="9"/>
        <v>45.75</v>
      </c>
      <c r="U211">
        <v>67114.66</v>
      </c>
      <c r="V211">
        <v>51.21</v>
      </c>
      <c r="W211">
        <v>28861.25</v>
      </c>
      <c r="X211">
        <v>83.38</v>
      </c>
      <c r="Y211">
        <v>0</v>
      </c>
      <c r="Z211">
        <v>0</v>
      </c>
      <c r="AA211">
        <v>744039.63</v>
      </c>
      <c r="AB211">
        <v>0</v>
      </c>
      <c r="AC211">
        <v>0</v>
      </c>
      <c r="AD211">
        <v>132237.03</v>
      </c>
      <c r="AE211">
        <v>905144.9</v>
      </c>
      <c r="AF211">
        <v>287340.77</v>
      </c>
      <c r="AG211">
        <v>408068.88</v>
      </c>
      <c r="AH211">
        <v>1</v>
      </c>
      <c r="AI211">
        <v>68937</v>
      </c>
      <c r="AJ211">
        <v>67585</v>
      </c>
      <c r="AK211">
        <v>100321</v>
      </c>
      <c r="AL211">
        <v>102327</v>
      </c>
      <c r="AM211">
        <v>48483</v>
      </c>
      <c r="AN211">
        <v>49453</v>
      </c>
      <c r="AO211">
        <v>1</v>
      </c>
      <c r="AP211">
        <v>1169991.94</v>
      </c>
      <c r="AQ211">
        <v>63856.88</v>
      </c>
      <c r="AR211">
        <v>17.565999999999999</v>
      </c>
      <c r="AS211">
        <v>4.8578999999999997E-2</v>
      </c>
      <c r="AT211">
        <v>4.0270000000000002E-3</v>
      </c>
      <c r="AU211">
        <v>1.7100000000000001E-2</v>
      </c>
    </row>
    <row r="212" spans="1:47">
      <c r="A212" s="2" t="s">
        <v>345</v>
      </c>
      <c r="B212" s="2" t="s">
        <v>346</v>
      </c>
      <c r="C212">
        <v>9618.92</v>
      </c>
      <c r="D212">
        <v>522.98</v>
      </c>
      <c r="E212">
        <v>5030501.28</v>
      </c>
      <c r="F212">
        <v>1.25</v>
      </c>
      <c r="G212">
        <v>50.5</v>
      </c>
      <c r="H212">
        <v>31</v>
      </c>
      <c r="I212" s="274">
        <v>82.75</v>
      </c>
      <c r="J212">
        <v>12347.1</v>
      </c>
      <c r="K212">
        <v>435958.91</v>
      </c>
      <c r="L212">
        <v>264289.99</v>
      </c>
      <c r="M212">
        <v>-77497.899999999994</v>
      </c>
      <c r="N212">
        <v>700027.14</v>
      </c>
      <c r="O212" s="274">
        <v>0</v>
      </c>
      <c r="P212">
        <v>134586.09</v>
      </c>
      <c r="Q212">
        <v>37.25</v>
      </c>
      <c r="R212">
        <v>24.25</v>
      </c>
      <c r="S212">
        <v>9</v>
      </c>
      <c r="T212" s="274">
        <f t="shared" si="9"/>
        <v>70.5</v>
      </c>
      <c r="U212">
        <v>96367.28</v>
      </c>
      <c r="V212">
        <v>26.15</v>
      </c>
      <c r="W212">
        <v>14773.06</v>
      </c>
      <c r="X212">
        <v>38.950000000000003</v>
      </c>
      <c r="Y212">
        <v>0</v>
      </c>
      <c r="Z212">
        <v>0</v>
      </c>
      <c r="AA212">
        <v>347534.49</v>
      </c>
      <c r="AB212">
        <v>0</v>
      </c>
      <c r="AC212">
        <v>0</v>
      </c>
      <c r="AD212">
        <v>94503.48</v>
      </c>
      <c r="AE212">
        <v>482949.37</v>
      </c>
      <c r="AF212">
        <v>153013.60999999999</v>
      </c>
      <c r="AG212">
        <v>203887.7</v>
      </c>
      <c r="AH212">
        <v>1</v>
      </c>
      <c r="AI212">
        <v>68937</v>
      </c>
      <c r="AJ212">
        <v>67585</v>
      </c>
      <c r="AK212">
        <v>100321</v>
      </c>
      <c r="AL212">
        <v>102327</v>
      </c>
      <c r="AM212">
        <v>48483</v>
      </c>
      <c r="AN212">
        <v>49453</v>
      </c>
      <c r="AO212">
        <v>1</v>
      </c>
      <c r="AP212">
        <v>687732.23</v>
      </c>
      <c r="AQ212">
        <v>39872.33</v>
      </c>
      <c r="AR212">
        <v>9.8680000000000003</v>
      </c>
      <c r="AS212">
        <v>4.8578999999999997E-2</v>
      </c>
      <c r="AT212">
        <v>4.0270000000000002E-3</v>
      </c>
      <c r="AU212">
        <v>1.7100000000000001E-2</v>
      </c>
    </row>
    <row r="213" spans="1:47">
      <c r="A213" s="2" t="s">
        <v>347</v>
      </c>
      <c r="B213" s="2" t="s">
        <v>348</v>
      </c>
      <c r="C213">
        <v>9743.6299999999992</v>
      </c>
      <c r="D213">
        <v>551.57000000000005</v>
      </c>
      <c r="E213">
        <v>5374293.5</v>
      </c>
      <c r="F213">
        <v>4.5</v>
      </c>
      <c r="G213">
        <v>26</v>
      </c>
      <c r="H213">
        <v>49.25</v>
      </c>
      <c r="I213" s="274">
        <v>79.75</v>
      </c>
      <c r="J213">
        <v>44836.36</v>
      </c>
      <c r="K213">
        <v>226435.05</v>
      </c>
      <c r="L213">
        <v>423586.44</v>
      </c>
      <c r="M213">
        <v>-6199.76</v>
      </c>
      <c r="N213">
        <v>651968.26</v>
      </c>
      <c r="O213" s="274">
        <v>74683.14</v>
      </c>
      <c r="P213">
        <v>154339.21</v>
      </c>
      <c r="Q213">
        <v>51.5</v>
      </c>
      <c r="R213">
        <v>35.75</v>
      </c>
      <c r="S213">
        <v>9.25</v>
      </c>
      <c r="T213" s="274">
        <f t="shared" si="9"/>
        <v>96.5</v>
      </c>
      <c r="U213">
        <v>134620.67000000001</v>
      </c>
      <c r="V213">
        <v>0</v>
      </c>
      <c r="W213">
        <v>0</v>
      </c>
      <c r="X213">
        <v>36.42</v>
      </c>
      <c r="Y213">
        <v>5.98</v>
      </c>
      <c r="Z213">
        <v>0</v>
      </c>
      <c r="AA213">
        <v>325048.96000000002</v>
      </c>
      <c r="AB213">
        <v>53274.239999999998</v>
      </c>
      <c r="AC213">
        <v>0</v>
      </c>
      <c r="AD213">
        <v>83686.63</v>
      </c>
      <c r="AE213">
        <v>479449.45</v>
      </c>
      <c r="AF213">
        <v>151252.56</v>
      </c>
      <c r="AG213">
        <v>246152.31</v>
      </c>
      <c r="AH213">
        <v>1</v>
      </c>
      <c r="AI213">
        <v>68937</v>
      </c>
      <c r="AJ213">
        <v>67585</v>
      </c>
      <c r="AK213">
        <v>100321</v>
      </c>
      <c r="AL213">
        <v>102327</v>
      </c>
      <c r="AM213">
        <v>48483</v>
      </c>
      <c r="AN213">
        <v>49453</v>
      </c>
      <c r="AO213">
        <v>1</v>
      </c>
      <c r="AP213">
        <v>690043.93</v>
      </c>
      <c r="AQ213">
        <v>40941.06</v>
      </c>
      <c r="AR213">
        <v>11</v>
      </c>
      <c r="AS213">
        <v>4.8578999999999997E-2</v>
      </c>
      <c r="AT213">
        <v>4.0270000000000002E-3</v>
      </c>
      <c r="AU213">
        <v>1.7100000000000001E-2</v>
      </c>
    </row>
    <row r="214" spans="1:47">
      <c r="A214" s="2" t="s">
        <v>349</v>
      </c>
      <c r="B214" s="2" t="s">
        <v>350</v>
      </c>
      <c r="C214">
        <v>11110.53</v>
      </c>
      <c r="D214">
        <v>312.37</v>
      </c>
      <c r="E214">
        <v>3470597.32</v>
      </c>
      <c r="F214">
        <v>1.25</v>
      </c>
      <c r="G214">
        <v>25.5</v>
      </c>
      <c r="H214">
        <v>16.25</v>
      </c>
      <c r="I214" s="274">
        <v>43</v>
      </c>
      <c r="J214">
        <v>12347.1</v>
      </c>
      <c r="K214">
        <v>220137.67</v>
      </c>
      <c r="L214">
        <v>138539.10999999999</v>
      </c>
      <c r="M214">
        <v>-39695.449999999997</v>
      </c>
      <c r="N214">
        <v>358602.86</v>
      </c>
      <c r="O214" s="274">
        <v>0</v>
      </c>
      <c r="P214">
        <v>70430.899999999994</v>
      </c>
      <c r="Q214">
        <v>2</v>
      </c>
      <c r="R214">
        <v>11</v>
      </c>
      <c r="S214">
        <v>0</v>
      </c>
      <c r="T214" s="274">
        <f t="shared" si="9"/>
        <v>13</v>
      </c>
      <c r="U214">
        <v>22681.55</v>
      </c>
      <c r="V214">
        <v>15.62</v>
      </c>
      <c r="W214">
        <v>9113.1200000000008</v>
      </c>
      <c r="X214">
        <v>10.82</v>
      </c>
      <c r="Y214">
        <v>2.02</v>
      </c>
      <c r="Z214">
        <v>0</v>
      </c>
      <c r="AA214">
        <v>98667.82</v>
      </c>
      <c r="AB214">
        <v>18232.849999999999</v>
      </c>
      <c r="AC214">
        <v>0</v>
      </c>
      <c r="AD214">
        <v>54213.23</v>
      </c>
      <c r="AE214">
        <v>229737.67</v>
      </c>
      <c r="AF214">
        <v>92143.82</v>
      </c>
      <c r="AG214">
        <v>101864.48</v>
      </c>
      <c r="AH214">
        <v>1</v>
      </c>
      <c r="AI214">
        <v>68937</v>
      </c>
      <c r="AJ214">
        <v>67585</v>
      </c>
      <c r="AK214">
        <v>100321</v>
      </c>
      <c r="AL214">
        <v>102327</v>
      </c>
      <c r="AM214">
        <v>48483</v>
      </c>
      <c r="AN214">
        <v>49453</v>
      </c>
      <c r="AO214">
        <v>1</v>
      </c>
      <c r="AP214">
        <v>474146.9</v>
      </c>
      <c r="AQ214">
        <v>29750.09</v>
      </c>
      <c r="AR214">
        <v>4.8650000000000002</v>
      </c>
      <c r="AS214">
        <v>4.8578999999999997E-2</v>
      </c>
      <c r="AT214">
        <v>4.0270000000000002E-3</v>
      </c>
      <c r="AU214">
        <v>1.7100000000000001E-2</v>
      </c>
    </row>
    <row r="215" spans="1:47">
      <c r="A215" s="2" t="s">
        <v>351</v>
      </c>
      <c r="B215" s="2" t="s">
        <v>352</v>
      </c>
      <c r="C215">
        <v>10721.1</v>
      </c>
      <c r="D215">
        <v>358.58</v>
      </c>
      <c r="E215">
        <v>3844371.9</v>
      </c>
      <c r="F215">
        <v>1.75</v>
      </c>
      <c r="G215">
        <v>23.25</v>
      </c>
      <c r="H215">
        <v>17.75</v>
      </c>
      <c r="I215" s="274">
        <v>42.75</v>
      </c>
      <c r="J215">
        <v>17304.62</v>
      </c>
      <c r="K215">
        <v>200954.38</v>
      </c>
      <c r="L215">
        <v>151508.98000000001</v>
      </c>
      <c r="M215">
        <v>0</v>
      </c>
      <c r="N215">
        <v>352541.37</v>
      </c>
      <c r="O215" s="274">
        <v>40945.160000000003</v>
      </c>
      <c r="P215">
        <v>73372.009999999995</v>
      </c>
      <c r="Q215">
        <v>7</v>
      </c>
      <c r="R215">
        <v>1</v>
      </c>
      <c r="S215">
        <v>1</v>
      </c>
      <c r="T215" s="274">
        <f t="shared" si="9"/>
        <v>9</v>
      </c>
      <c r="U215">
        <v>11251</v>
      </c>
      <c r="V215">
        <v>17.93</v>
      </c>
      <c r="W215">
        <v>10076.98</v>
      </c>
      <c r="X215">
        <v>24.41</v>
      </c>
      <c r="Y215">
        <v>6.34</v>
      </c>
      <c r="Z215">
        <v>0</v>
      </c>
      <c r="AA215">
        <v>217911.8</v>
      </c>
      <c r="AB215">
        <v>56414.34</v>
      </c>
      <c r="AC215">
        <v>0</v>
      </c>
      <c r="AD215">
        <v>60802.2</v>
      </c>
      <c r="AE215">
        <v>495660.86</v>
      </c>
      <c r="AF215">
        <v>0</v>
      </c>
      <c r="AG215">
        <v>89323.16</v>
      </c>
      <c r="AH215">
        <v>1</v>
      </c>
      <c r="AI215">
        <v>68937</v>
      </c>
      <c r="AJ215">
        <v>67585</v>
      </c>
      <c r="AK215">
        <v>100321</v>
      </c>
      <c r="AL215">
        <v>102327</v>
      </c>
      <c r="AM215">
        <v>48483</v>
      </c>
      <c r="AN215">
        <v>49453</v>
      </c>
      <c r="AO215">
        <v>1</v>
      </c>
      <c r="AP215">
        <v>495835.38</v>
      </c>
      <c r="AQ215">
        <v>30642.33</v>
      </c>
      <c r="AR215">
        <v>6.6310000000000002</v>
      </c>
      <c r="AS215">
        <v>4.8578999999999997E-2</v>
      </c>
      <c r="AT215">
        <v>4.0270000000000002E-3</v>
      </c>
      <c r="AU215">
        <v>1.7100000000000001E-2</v>
      </c>
    </row>
    <row r="216" spans="1:47">
      <c r="A216" s="2" t="s">
        <v>353</v>
      </c>
      <c r="B216" s="2" t="s">
        <v>354</v>
      </c>
      <c r="C216">
        <v>22563.48</v>
      </c>
      <c r="D216">
        <v>86.43</v>
      </c>
      <c r="E216">
        <v>1950161.71</v>
      </c>
      <c r="F216">
        <v>0</v>
      </c>
      <c r="G216">
        <v>8.25</v>
      </c>
      <c r="H216">
        <v>0.25</v>
      </c>
      <c r="I216" s="274">
        <v>8.5</v>
      </c>
      <c r="J216">
        <v>0</v>
      </c>
      <c r="K216">
        <v>71752.820000000007</v>
      </c>
      <c r="L216">
        <v>2147.29</v>
      </c>
      <c r="M216">
        <v>0</v>
      </c>
      <c r="N216">
        <v>73544.039999999994</v>
      </c>
      <c r="O216" s="274">
        <v>9500.33</v>
      </c>
      <c r="P216">
        <v>14079.53</v>
      </c>
      <c r="Q216">
        <v>0</v>
      </c>
      <c r="R216">
        <v>0</v>
      </c>
      <c r="S216">
        <v>0</v>
      </c>
      <c r="T216" s="274">
        <f t="shared" si="9"/>
        <v>0</v>
      </c>
      <c r="U216">
        <v>0</v>
      </c>
      <c r="V216">
        <v>0</v>
      </c>
      <c r="W216">
        <v>0</v>
      </c>
      <c r="X216">
        <v>0</v>
      </c>
      <c r="Y216">
        <v>0</v>
      </c>
      <c r="Z216">
        <v>0</v>
      </c>
      <c r="AA216">
        <v>0</v>
      </c>
      <c r="AB216">
        <v>0</v>
      </c>
      <c r="AC216">
        <v>0</v>
      </c>
      <c r="AD216">
        <v>17799.169999999998</v>
      </c>
      <c r="AE216">
        <v>149249.41</v>
      </c>
      <c r="AF216">
        <v>19860.47</v>
      </c>
      <c r="AG216">
        <v>27002.400000000001</v>
      </c>
      <c r="AH216">
        <v>1</v>
      </c>
      <c r="AI216">
        <v>68937</v>
      </c>
      <c r="AJ216">
        <v>67585</v>
      </c>
      <c r="AK216">
        <v>100321</v>
      </c>
      <c r="AL216">
        <v>102327</v>
      </c>
      <c r="AM216">
        <v>48483</v>
      </c>
      <c r="AN216">
        <v>49453</v>
      </c>
      <c r="AO216">
        <v>1</v>
      </c>
      <c r="AP216">
        <v>221763.57</v>
      </c>
      <c r="AQ216">
        <v>17784</v>
      </c>
      <c r="AR216">
        <v>1.78</v>
      </c>
      <c r="AS216">
        <v>4.8578999999999997E-2</v>
      </c>
      <c r="AT216">
        <v>4.0270000000000002E-3</v>
      </c>
      <c r="AU216">
        <v>1.7100000000000001E-2</v>
      </c>
    </row>
    <row r="217" spans="1:47">
      <c r="A217" s="2" t="s">
        <v>355</v>
      </c>
      <c r="B217" s="2" t="s">
        <v>356</v>
      </c>
      <c r="C217">
        <v>8774.4500000000007</v>
      </c>
      <c r="D217">
        <v>1023.4</v>
      </c>
      <c r="E217">
        <v>8979775.3800000008</v>
      </c>
      <c r="F217">
        <v>6.75</v>
      </c>
      <c r="G217">
        <v>59.5</v>
      </c>
      <c r="H217">
        <v>109.25</v>
      </c>
      <c r="I217" s="274">
        <v>175.5</v>
      </c>
      <c r="J217">
        <v>66467.42</v>
      </c>
      <c r="K217">
        <v>512092.68</v>
      </c>
      <c r="L217">
        <v>928577.68</v>
      </c>
      <c r="M217">
        <v>-261225.25</v>
      </c>
      <c r="N217">
        <v>1444943.81</v>
      </c>
      <c r="O217" s="274">
        <v>150947.29</v>
      </c>
      <c r="P217">
        <v>364871.34</v>
      </c>
      <c r="Q217">
        <v>0</v>
      </c>
      <c r="R217">
        <v>0</v>
      </c>
      <c r="S217">
        <v>0</v>
      </c>
      <c r="T217" s="274">
        <f t="shared" si="9"/>
        <v>0</v>
      </c>
      <c r="U217">
        <v>0</v>
      </c>
      <c r="V217">
        <v>51.17</v>
      </c>
      <c r="W217">
        <v>28861.25</v>
      </c>
      <c r="X217">
        <v>101.91</v>
      </c>
      <c r="Y217">
        <v>31.55</v>
      </c>
      <c r="Z217">
        <v>0</v>
      </c>
      <c r="AA217">
        <v>909328.02</v>
      </c>
      <c r="AB217">
        <v>281186.53999999998</v>
      </c>
      <c r="AC217">
        <v>0</v>
      </c>
      <c r="AD217">
        <v>0</v>
      </c>
      <c r="AE217">
        <v>771491.39</v>
      </c>
      <c r="AF217">
        <v>274622.23</v>
      </c>
      <c r="AG217">
        <v>364825.9</v>
      </c>
      <c r="AH217">
        <v>1</v>
      </c>
      <c r="AI217">
        <v>68937</v>
      </c>
      <c r="AJ217">
        <v>67585</v>
      </c>
      <c r="AK217">
        <v>100321</v>
      </c>
      <c r="AL217">
        <v>102327</v>
      </c>
      <c r="AM217">
        <v>48483</v>
      </c>
      <c r="AN217">
        <v>49453</v>
      </c>
      <c r="AO217">
        <v>1</v>
      </c>
      <c r="AP217">
        <v>1078845.93</v>
      </c>
      <c r="AQ217">
        <v>59057.45</v>
      </c>
      <c r="AR217">
        <v>16.972000000000001</v>
      </c>
      <c r="AS217">
        <v>4.8578999999999997E-2</v>
      </c>
      <c r="AT217">
        <v>4.0270000000000002E-3</v>
      </c>
      <c r="AU217">
        <v>1.7100000000000001E-2</v>
      </c>
    </row>
    <row r="218" spans="1:47">
      <c r="A218" s="2" t="s">
        <v>357</v>
      </c>
      <c r="B218" s="2" t="s">
        <v>358</v>
      </c>
      <c r="C218">
        <v>10984.52</v>
      </c>
      <c r="D218">
        <v>321.44</v>
      </c>
      <c r="E218">
        <v>3530864.66</v>
      </c>
      <c r="F218">
        <v>1.75</v>
      </c>
      <c r="G218">
        <v>36</v>
      </c>
      <c r="H218">
        <v>10.25</v>
      </c>
      <c r="I218" s="274">
        <v>48</v>
      </c>
      <c r="J218">
        <v>17104.080000000002</v>
      </c>
      <c r="K218">
        <v>307522.87</v>
      </c>
      <c r="L218">
        <v>86469.67</v>
      </c>
      <c r="M218">
        <v>-24367.85</v>
      </c>
      <c r="N218">
        <v>393075.05</v>
      </c>
      <c r="O218" s="274">
        <v>36968.43</v>
      </c>
      <c r="P218">
        <v>84774</v>
      </c>
      <c r="Q218">
        <v>0</v>
      </c>
      <c r="R218">
        <v>0</v>
      </c>
      <c r="S218">
        <v>0</v>
      </c>
      <c r="T218" s="274">
        <f t="shared" si="9"/>
        <v>0</v>
      </c>
      <c r="U218">
        <v>0</v>
      </c>
      <c r="V218">
        <v>16.07</v>
      </c>
      <c r="W218">
        <v>9098.6299999999992</v>
      </c>
      <c r="X218">
        <v>12.18</v>
      </c>
      <c r="Y218">
        <v>0</v>
      </c>
      <c r="Z218">
        <v>0</v>
      </c>
      <c r="AA218">
        <v>108524.48</v>
      </c>
      <c r="AB218">
        <v>0</v>
      </c>
      <c r="AC218">
        <v>0</v>
      </c>
      <c r="AD218">
        <v>43290.77</v>
      </c>
      <c r="AE218">
        <v>215486.04</v>
      </c>
      <c r="AF218">
        <v>64766.61</v>
      </c>
      <c r="AG218">
        <v>119945.44</v>
      </c>
      <c r="AH218">
        <v>1</v>
      </c>
      <c r="AI218">
        <v>68937</v>
      </c>
      <c r="AJ218">
        <v>67585</v>
      </c>
      <c r="AK218">
        <v>100321</v>
      </c>
      <c r="AL218">
        <v>102327</v>
      </c>
      <c r="AM218">
        <v>48483</v>
      </c>
      <c r="AN218">
        <v>49453</v>
      </c>
      <c r="AO218">
        <v>1</v>
      </c>
      <c r="AP218">
        <v>355399.67</v>
      </c>
      <c r="AQ218">
        <v>22786.79</v>
      </c>
      <c r="AR218">
        <v>4.2060000000000004</v>
      </c>
      <c r="AS218">
        <v>4.8578999999999997E-2</v>
      </c>
      <c r="AT218">
        <v>4.0270000000000002E-3</v>
      </c>
      <c r="AU218">
        <v>1.7100000000000001E-2</v>
      </c>
    </row>
    <row r="219" spans="1:47">
      <c r="A219" s="2" t="s">
        <v>359</v>
      </c>
      <c r="B219" s="2" t="s">
        <v>360</v>
      </c>
      <c r="C219">
        <v>12660.7</v>
      </c>
      <c r="D219">
        <v>234.57</v>
      </c>
      <c r="E219">
        <v>2969820.85</v>
      </c>
      <c r="F219">
        <v>6</v>
      </c>
      <c r="G219">
        <v>28.75</v>
      </c>
      <c r="H219">
        <v>15.5</v>
      </c>
      <c r="I219" s="274">
        <v>50.25</v>
      </c>
      <c r="J219">
        <v>60063.53</v>
      </c>
      <c r="K219">
        <v>251571.6</v>
      </c>
      <c r="L219">
        <v>133943.34</v>
      </c>
      <c r="M219">
        <v>-109563.1</v>
      </c>
      <c r="N219">
        <v>385190.06</v>
      </c>
      <c r="O219" s="274">
        <v>34674.54</v>
      </c>
      <c r="P219">
        <v>71176.09</v>
      </c>
      <c r="Q219">
        <v>0</v>
      </c>
      <c r="R219">
        <v>0</v>
      </c>
      <c r="S219">
        <v>0</v>
      </c>
      <c r="T219" s="274">
        <f t="shared" si="9"/>
        <v>0</v>
      </c>
      <c r="U219">
        <v>0</v>
      </c>
      <c r="V219">
        <v>0</v>
      </c>
      <c r="W219">
        <v>0</v>
      </c>
      <c r="X219">
        <v>12.2</v>
      </c>
      <c r="Y219">
        <v>5.86</v>
      </c>
      <c r="Z219">
        <v>0</v>
      </c>
      <c r="AA219">
        <v>108830.36</v>
      </c>
      <c r="AB219">
        <v>52338.75</v>
      </c>
      <c r="AC219">
        <v>0</v>
      </c>
      <c r="AD219">
        <v>42271.77</v>
      </c>
      <c r="AE219">
        <v>366871.29</v>
      </c>
      <c r="AF219">
        <v>46960.71</v>
      </c>
      <c r="AG219">
        <v>76800.320000000007</v>
      </c>
      <c r="AH219">
        <v>1</v>
      </c>
      <c r="AI219">
        <v>68937</v>
      </c>
      <c r="AJ219">
        <v>67585</v>
      </c>
      <c r="AK219">
        <v>100321</v>
      </c>
      <c r="AL219">
        <v>102327</v>
      </c>
      <c r="AM219">
        <v>48483</v>
      </c>
      <c r="AN219">
        <v>49453</v>
      </c>
      <c r="AO219">
        <v>1</v>
      </c>
      <c r="AP219">
        <v>374855.27</v>
      </c>
      <c r="AQ219">
        <v>25314.14</v>
      </c>
      <c r="AR219">
        <v>5.181</v>
      </c>
      <c r="AS219">
        <v>4.8578999999999997E-2</v>
      </c>
      <c r="AT219">
        <v>4.0270000000000002E-3</v>
      </c>
      <c r="AU219">
        <v>1.7100000000000001E-2</v>
      </c>
    </row>
    <row r="220" spans="1:47">
      <c r="A220" s="2" t="s">
        <v>361</v>
      </c>
      <c r="B220" s="2" t="s">
        <v>362</v>
      </c>
      <c r="C220">
        <v>9032.44</v>
      </c>
      <c r="D220">
        <v>3127.65</v>
      </c>
      <c r="E220">
        <v>28250306.140000001</v>
      </c>
      <c r="F220">
        <v>23.5</v>
      </c>
      <c r="G220">
        <v>252.5</v>
      </c>
      <c r="H220">
        <v>145</v>
      </c>
      <c r="I220" s="274">
        <v>421</v>
      </c>
      <c r="J220">
        <v>239278.81</v>
      </c>
      <c r="K220">
        <v>2247132.5499999998</v>
      </c>
      <c r="L220">
        <v>1274384.71</v>
      </c>
      <c r="M220">
        <v>0</v>
      </c>
      <c r="N220">
        <v>3510603.07</v>
      </c>
      <c r="O220" s="274">
        <v>417058.93000000005</v>
      </c>
      <c r="P220">
        <v>852920.85</v>
      </c>
      <c r="Q220">
        <v>70.5</v>
      </c>
      <c r="R220">
        <v>33.75</v>
      </c>
      <c r="S220">
        <v>24.25</v>
      </c>
      <c r="T220" s="274">
        <f t="shared" si="9"/>
        <v>128.5</v>
      </c>
      <c r="U220">
        <v>172368.75</v>
      </c>
      <c r="V220">
        <v>156.38</v>
      </c>
      <c r="W220">
        <v>91146.83</v>
      </c>
      <c r="X220">
        <v>235.26</v>
      </c>
      <c r="Y220">
        <v>22.05</v>
      </c>
      <c r="Z220">
        <v>0</v>
      </c>
      <c r="AA220">
        <v>2158578.27</v>
      </c>
      <c r="AB220">
        <v>202005.13</v>
      </c>
      <c r="AC220">
        <v>0</v>
      </c>
      <c r="AD220">
        <v>8104.86</v>
      </c>
      <c r="AE220">
        <v>2180459.5699999998</v>
      </c>
      <c r="AF220">
        <v>4658.62</v>
      </c>
      <c r="AG220">
        <v>467583.17</v>
      </c>
      <c r="AH220">
        <v>1.04</v>
      </c>
      <c r="AI220">
        <v>68937</v>
      </c>
      <c r="AJ220">
        <v>67585</v>
      </c>
      <c r="AK220">
        <v>100321</v>
      </c>
      <c r="AL220">
        <v>102327</v>
      </c>
      <c r="AM220">
        <v>48483</v>
      </c>
      <c r="AN220">
        <v>49453</v>
      </c>
      <c r="AO220">
        <v>1</v>
      </c>
      <c r="AP220">
        <v>3657827</v>
      </c>
      <c r="AQ220">
        <v>211170.86</v>
      </c>
      <c r="AR220">
        <v>61.548000000000002</v>
      </c>
      <c r="AS220">
        <v>4.8578999999999997E-2</v>
      </c>
      <c r="AT220">
        <v>4.0270000000000002E-3</v>
      </c>
      <c r="AU220">
        <v>1.7100000000000001E-2</v>
      </c>
    </row>
    <row r="221" spans="1:47">
      <c r="A221" s="2" t="s">
        <v>363</v>
      </c>
      <c r="B221" s="2" t="s">
        <v>364</v>
      </c>
      <c r="C221">
        <v>9106.19</v>
      </c>
      <c r="D221">
        <v>22317.14</v>
      </c>
      <c r="E221">
        <v>203224214.09</v>
      </c>
      <c r="F221">
        <v>215.5</v>
      </c>
      <c r="G221">
        <v>1339.25</v>
      </c>
      <c r="H221">
        <v>1151.25</v>
      </c>
      <c r="I221" s="274">
        <v>2706</v>
      </c>
      <c r="J221">
        <v>2232439.8199999998</v>
      </c>
      <c r="K221">
        <v>12125302.960000001</v>
      </c>
      <c r="L221">
        <v>10293555.75</v>
      </c>
      <c r="M221">
        <v>0</v>
      </c>
      <c r="N221">
        <v>22574373.780000001</v>
      </c>
      <c r="O221" s="274">
        <v>2953272.73</v>
      </c>
      <c r="P221">
        <v>6249337.2000000002</v>
      </c>
      <c r="Q221">
        <v>926.25</v>
      </c>
      <c r="R221">
        <v>515</v>
      </c>
      <c r="S221">
        <v>339.5</v>
      </c>
      <c r="T221" s="274">
        <f t="shared" si="9"/>
        <v>1780.75</v>
      </c>
      <c r="U221">
        <v>2453934.36</v>
      </c>
      <c r="V221">
        <v>1115.8599999999999</v>
      </c>
      <c r="W221">
        <v>661633.28000000003</v>
      </c>
      <c r="X221">
        <v>1267.8</v>
      </c>
      <c r="Y221">
        <v>359.2</v>
      </c>
      <c r="Z221">
        <v>0</v>
      </c>
      <c r="AA221">
        <v>11792928.529999999</v>
      </c>
      <c r="AB221">
        <v>3336616.37</v>
      </c>
      <c r="AC221">
        <v>0</v>
      </c>
      <c r="AD221">
        <v>1433595.94</v>
      </c>
      <c r="AE221">
        <v>10027385.1</v>
      </c>
      <c r="AF221">
        <v>598394.97</v>
      </c>
      <c r="AG221">
        <v>5237449.41</v>
      </c>
      <c r="AH221">
        <v>1.06</v>
      </c>
      <c r="AI221">
        <v>68937</v>
      </c>
      <c r="AJ221">
        <v>67585</v>
      </c>
      <c r="AK221">
        <v>100321</v>
      </c>
      <c r="AL221">
        <v>102327</v>
      </c>
      <c r="AM221">
        <v>48483</v>
      </c>
      <c r="AN221">
        <v>49453</v>
      </c>
      <c r="AO221">
        <v>1</v>
      </c>
      <c r="AP221">
        <v>26925200.34</v>
      </c>
      <c r="AQ221">
        <v>1577485.21</v>
      </c>
      <c r="AR221">
        <v>432.70400000000001</v>
      </c>
      <c r="AS221">
        <v>4.8578999999999997E-2</v>
      </c>
      <c r="AT221">
        <v>4.0270000000000002E-3</v>
      </c>
      <c r="AU221">
        <v>1.7100000000000001E-2</v>
      </c>
    </row>
    <row r="222" spans="1:47">
      <c r="A222" s="2" t="s">
        <v>365</v>
      </c>
      <c r="B222" s="2" t="s">
        <v>366</v>
      </c>
      <c r="C222">
        <v>9467.7900000000009</v>
      </c>
      <c r="D222">
        <v>27273.63</v>
      </c>
      <c r="E222">
        <v>258220871.28</v>
      </c>
      <c r="F222">
        <v>261</v>
      </c>
      <c r="G222">
        <v>2416.75</v>
      </c>
      <c r="H222">
        <v>1503.5</v>
      </c>
      <c r="I222" s="274">
        <v>4181.25</v>
      </c>
      <c r="J222">
        <v>2819236.91</v>
      </c>
      <c r="K222">
        <v>22818000.579999998</v>
      </c>
      <c r="L222">
        <v>14018928.99</v>
      </c>
      <c r="M222">
        <v>-2012101.2</v>
      </c>
      <c r="N222">
        <v>37146017.609999999</v>
      </c>
      <c r="O222" s="274">
        <v>4396222.58</v>
      </c>
      <c r="P222">
        <v>9099484.5199999996</v>
      </c>
      <c r="Q222">
        <v>1815.75</v>
      </c>
      <c r="R222">
        <v>1141.54</v>
      </c>
      <c r="S222">
        <v>476.5</v>
      </c>
      <c r="T222" s="274">
        <f t="shared" si="9"/>
        <v>3433.79</v>
      </c>
      <c r="U222">
        <v>5145927.3099999996</v>
      </c>
      <c r="V222">
        <v>1363.68</v>
      </c>
      <c r="W222">
        <v>849110.45</v>
      </c>
      <c r="X222">
        <v>1665.12</v>
      </c>
      <c r="Y222">
        <v>288.02</v>
      </c>
      <c r="Z222">
        <v>0</v>
      </c>
      <c r="AA222">
        <v>16120021.67</v>
      </c>
      <c r="AB222">
        <v>2784372.61</v>
      </c>
      <c r="AC222">
        <v>0</v>
      </c>
      <c r="AD222">
        <v>580853.27</v>
      </c>
      <c r="AE222">
        <v>14288376.32</v>
      </c>
      <c r="AF222">
        <v>5375428.2999999998</v>
      </c>
      <c r="AG222">
        <v>10785141.16</v>
      </c>
      <c r="AH222">
        <v>1.1200000000000001</v>
      </c>
      <c r="AI222">
        <v>68937</v>
      </c>
      <c r="AJ222">
        <v>67585</v>
      </c>
      <c r="AK222">
        <v>100321</v>
      </c>
      <c r="AL222">
        <v>102327</v>
      </c>
      <c r="AM222">
        <v>48483</v>
      </c>
      <c r="AN222">
        <v>49453</v>
      </c>
      <c r="AO222">
        <v>1.04</v>
      </c>
      <c r="AP222">
        <v>32295597.68</v>
      </c>
      <c r="AQ222">
        <v>2004355.2</v>
      </c>
      <c r="AR222">
        <v>530.12099999999998</v>
      </c>
      <c r="AS222">
        <v>4.8578999999999997E-2</v>
      </c>
      <c r="AT222">
        <v>4.0270000000000002E-3</v>
      </c>
      <c r="AU222">
        <v>1.7100000000000001E-2</v>
      </c>
    </row>
    <row r="223" spans="1:47">
      <c r="A223" s="2" t="s">
        <v>367</v>
      </c>
      <c r="B223" s="2" t="s">
        <v>368</v>
      </c>
      <c r="C223">
        <v>9648.8799999999992</v>
      </c>
      <c r="D223">
        <v>177.76</v>
      </c>
      <c r="E223">
        <v>1715184.61</v>
      </c>
      <c r="F223">
        <v>2.25</v>
      </c>
      <c r="G223">
        <v>22.75</v>
      </c>
      <c r="H223">
        <v>2.75</v>
      </c>
      <c r="I223" s="274">
        <v>27.75</v>
      </c>
      <c r="J223">
        <v>24375.21</v>
      </c>
      <c r="K223">
        <v>215465.31</v>
      </c>
      <c r="L223">
        <v>25721.43</v>
      </c>
      <c r="M223">
        <v>-12854.27</v>
      </c>
      <c r="N223">
        <v>230799.07</v>
      </c>
      <c r="O223" s="274">
        <v>26383.910000000003</v>
      </c>
      <c r="P223">
        <v>27030.35</v>
      </c>
      <c r="Q223">
        <v>0</v>
      </c>
      <c r="R223">
        <v>0</v>
      </c>
      <c r="S223">
        <v>0</v>
      </c>
      <c r="T223" s="274">
        <f t="shared" si="9"/>
        <v>0</v>
      </c>
      <c r="U223">
        <v>0</v>
      </c>
      <c r="V223">
        <v>8.89</v>
      </c>
      <c r="W223">
        <v>5427.23</v>
      </c>
      <c r="X223">
        <v>0</v>
      </c>
      <c r="Y223">
        <v>0</v>
      </c>
      <c r="Z223">
        <v>0</v>
      </c>
      <c r="AA223">
        <v>0</v>
      </c>
      <c r="AB223">
        <v>0</v>
      </c>
      <c r="AC223">
        <v>0</v>
      </c>
      <c r="AD223">
        <v>37356.1</v>
      </c>
      <c r="AE223">
        <v>111275.13</v>
      </c>
      <c r="AF223">
        <v>0</v>
      </c>
      <c r="AG223">
        <v>27029.71</v>
      </c>
      <c r="AH223">
        <v>1.06</v>
      </c>
      <c r="AI223">
        <v>68937</v>
      </c>
      <c r="AJ223">
        <v>67585</v>
      </c>
      <c r="AK223">
        <v>100321</v>
      </c>
      <c r="AL223">
        <v>102327</v>
      </c>
      <c r="AM223">
        <v>48483</v>
      </c>
      <c r="AN223">
        <v>49453</v>
      </c>
      <c r="AO223">
        <v>1.06</v>
      </c>
      <c r="AP223">
        <v>238221.52</v>
      </c>
      <c r="AQ223">
        <v>15531.12</v>
      </c>
      <c r="AR223">
        <v>5.2240000000000002</v>
      </c>
      <c r="AS223">
        <v>4.8578999999999997E-2</v>
      </c>
      <c r="AT223">
        <v>4.0270000000000002E-3</v>
      </c>
      <c r="AU223">
        <v>1.7100000000000001E-2</v>
      </c>
    </row>
    <row r="224" spans="1:47">
      <c r="A224" s="2" t="s">
        <v>369</v>
      </c>
      <c r="B224" s="2" t="s">
        <v>370</v>
      </c>
      <c r="C224">
        <v>9243.8700000000008</v>
      </c>
      <c r="D224">
        <v>5559.82</v>
      </c>
      <c r="E224">
        <v>51394258.719999999</v>
      </c>
      <c r="F224">
        <v>39</v>
      </c>
      <c r="G224">
        <v>274.5</v>
      </c>
      <c r="H224">
        <v>270</v>
      </c>
      <c r="I224" s="274">
        <v>583.5</v>
      </c>
      <c r="J224">
        <v>411671.87</v>
      </c>
      <c r="K224">
        <v>2532603.2799999998</v>
      </c>
      <c r="L224">
        <v>2460106.54</v>
      </c>
      <c r="M224">
        <v>0</v>
      </c>
      <c r="N224">
        <v>4979531.55</v>
      </c>
      <c r="O224" s="274">
        <v>613750.97</v>
      </c>
      <c r="P224">
        <v>1447417.34</v>
      </c>
      <c r="Q224">
        <v>221.25</v>
      </c>
      <c r="R224">
        <v>71.75</v>
      </c>
      <c r="S224">
        <v>97.25</v>
      </c>
      <c r="T224" s="274">
        <f t="shared" si="9"/>
        <v>390.25</v>
      </c>
      <c r="U224">
        <v>520800.54</v>
      </c>
      <c r="V224">
        <v>277.99</v>
      </c>
      <c r="W224">
        <v>170265.8</v>
      </c>
      <c r="X224">
        <v>297.42</v>
      </c>
      <c r="Y224">
        <v>0</v>
      </c>
      <c r="Z224">
        <v>0</v>
      </c>
      <c r="AA224">
        <v>2822833.81</v>
      </c>
      <c r="AB224">
        <v>0</v>
      </c>
      <c r="AC224">
        <v>0</v>
      </c>
      <c r="AD224">
        <v>334859.69</v>
      </c>
      <c r="AE224">
        <v>2087720.05</v>
      </c>
      <c r="AF224">
        <v>0</v>
      </c>
      <c r="AG224">
        <v>1326796.28</v>
      </c>
      <c r="AH224">
        <v>1.06</v>
      </c>
      <c r="AI224">
        <v>68937</v>
      </c>
      <c r="AJ224">
        <v>67585</v>
      </c>
      <c r="AK224">
        <v>100321</v>
      </c>
      <c r="AL224">
        <v>102327</v>
      </c>
      <c r="AM224">
        <v>48483</v>
      </c>
      <c r="AN224">
        <v>49453</v>
      </c>
      <c r="AO224">
        <v>1.1200000000000001</v>
      </c>
      <c r="AP224">
        <v>6973617.4800000004</v>
      </c>
      <c r="AQ224">
        <v>421017.29</v>
      </c>
      <c r="AR224">
        <v>106.994</v>
      </c>
      <c r="AS224">
        <v>4.8578999999999997E-2</v>
      </c>
      <c r="AT224">
        <v>4.0270000000000002E-3</v>
      </c>
      <c r="AU224">
        <v>1.7100000000000001E-2</v>
      </c>
    </row>
    <row r="225" spans="1:47">
      <c r="A225" s="2" t="s">
        <v>371</v>
      </c>
      <c r="B225" s="2" t="s">
        <v>372</v>
      </c>
      <c r="C225">
        <v>9460.7900000000009</v>
      </c>
      <c r="D225">
        <v>9874.77</v>
      </c>
      <c r="E225">
        <v>93423109.739999995</v>
      </c>
      <c r="F225">
        <v>94</v>
      </c>
      <c r="G225">
        <v>717</v>
      </c>
      <c r="H225">
        <v>443.25</v>
      </c>
      <c r="I225" s="274">
        <v>1254.25</v>
      </c>
      <c r="J225">
        <v>1014655.79</v>
      </c>
      <c r="K225">
        <v>6764376.6299999999</v>
      </c>
      <c r="L225">
        <v>4129737.49</v>
      </c>
      <c r="M225">
        <v>0</v>
      </c>
      <c r="N225">
        <v>10862260.960000001</v>
      </c>
      <c r="O225" s="274">
        <v>1222728.22</v>
      </c>
      <c r="P225">
        <v>2689574.36</v>
      </c>
      <c r="Q225">
        <v>244.25</v>
      </c>
      <c r="R225">
        <v>168</v>
      </c>
      <c r="S225">
        <v>73.75</v>
      </c>
      <c r="T225" s="274">
        <f t="shared" si="9"/>
        <v>486</v>
      </c>
      <c r="U225">
        <v>728844.15</v>
      </c>
      <c r="V225">
        <v>493.74</v>
      </c>
      <c r="W225">
        <v>307479.43</v>
      </c>
      <c r="X225">
        <v>543.55999999999995</v>
      </c>
      <c r="Y225">
        <v>111.35</v>
      </c>
      <c r="Z225">
        <v>0</v>
      </c>
      <c r="AA225">
        <v>5262315.62</v>
      </c>
      <c r="AB225">
        <v>1076493.95</v>
      </c>
      <c r="AC225">
        <v>0</v>
      </c>
      <c r="AD225">
        <v>319499.32</v>
      </c>
      <c r="AE225">
        <v>4517665.7300000004</v>
      </c>
      <c r="AF225">
        <v>134542.51999999999</v>
      </c>
      <c r="AG225">
        <v>1865966.45</v>
      </c>
      <c r="AH225">
        <v>1.1200000000000001</v>
      </c>
      <c r="AI225">
        <v>68937</v>
      </c>
      <c r="AJ225">
        <v>67585</v>
      </c>
      <c r="AK225">
        <v>100321</v>
      </c>
      <c r="AL225">
        <v>102327</v>
      </c>
      <c r="AM225">
        <v>48483</v>
      </c>
      <c r="AN225">
        <v>49453</v>
      </c>
      <c r="AO225">
        <v>1.06</v>
      </c>
      <c r="AP225">
        <v>12417610.75</v>
      </c>
      <c r="AQ225">
        <v>763485.86</v>
      </c>
      <c r="AR225">
        <v>192.28100000000001</v>
      </c>
      <c r="AS225">
        <v>4.8578999999999997E-2</v>
      </c>
      <c r="AT225">
        <v>4.0270000000000002E-3</v>
      </c>
      <c r="AU225">
        <v>1.7100000000000001E-2</v>
      </c>
    </row>
    <row r="226" spans="1:47">
      <c r="A226" s="2" t="s">
        <v>373</v>
      </c>
      <c r="B226" s="2" t="s">
        <v>374</v>
      </c>
      <c r="C226">
        <v>9780.57</v>
      </c>
      <c r="D226">
        <v>1365.56</v>
      </c>
      <c r="E226">
        <v>13355953.810000001</v>
      </c>
      <c r="F226">
        <v>17.75</v>
      </c>
      <c r="G226">
        <v>82.5</v>
      </c>
      <c r="H226">
        <v>72.75</v>
      </c>
      <c r="I226" s="274">
        <v>173</v>
      </c>
      <c r="J226">
        <v>199063.72</v>
      </c>
      <c r="K226">
        <v>808851.48</v>
      </c>
      <c r="L226">
        <v>704391.67</v>
      </c>
      <c r="M226">
        <v>0</v>
      </c>
      <c r="N226">
        <v>1504253.71</v>
      </c>
      <c r="O226" s="274">
        <v>199855.76</v>
      </c>
      <c r="P226">
        <v>344190.37</v>
      </c>
      <c r="Q226">
        <v>48.75</v>
      </c>
      <c r="R226">
        <v>7.75</v>
      </c>
      <c r="S226">
        <v>37.75</v>
      </c>
      <c r="T226" s="274">
        <f t="shared" si="9"/>
        <v>94.25</v>
      </c>
      <c r="U226">
        <v>118604.56</v>
      </c>
      <c r="V226">
        <v>68.28</v>
      </c>
      <c r="W226">
        <v>43849.1</v>
      </c>
      <c r="X226">
        <v>0</v>
      </c>
      <c r="Y226">
        <v>29.72</v>
      </c>
      <c r="Z226">
        <v>0</v>
      </c>
      <c r="AA226">
        <v>0</v>
      </c>
      <c r="AB226">
        <v>292880.5</v>
      </c>
      <c r="AC226">
        <v>0</v>
      </c>
      <c r="AD226">
        <v>91617.75</v>
      </c>
      <c r="AE226">
        <v>1085875.83</v>
      </c>
      <c r="AF226">
        <v>0</v>
      </c>
      <c r="AG226">
        <v>136456.60999999999</v>
      </c>
      <c r="AH226">
        <v>1.1200000000000001</v>
      </c>
      <c r="AI226">
        <v>68937</v>
      </c>
      <c r="AJ226">
        <v>67585</v>
      </c>
      <c r="AK226">
        <v>100321</v>
      </c>
      <c r="AL226">
        <v>102327</v>
      </c>
      <c r="AM226">
        <v>48483</v>
      </c>
      <c r="AN226">
        <v>49453</v>
      </c>
      <c r="AO226">
        <v>1.06</v>
      </c>
      <c r="AP226">
        <v>1790199.26</v>
      </c>
      <c r="AQ226">
        <v>122530.37</v>
      </c>
      <c r="AR226">
        <v>37.228999999999999</v>
      </c>
      <c r="AS226">
        <v>4.8578999999999997E-2</v>
      </c>
      <c r="AT226">
        <v>4.0270000000000002E-3</v>
      </c>
      <c r="AU226">
        <v>1.7100000000000001E-2</v>
      </c>
    </row>
    <row r="227" spans="1:47">
      <c r="A227" s="2" t="s">
        <v>375</v>
      </c>
      <c r="B227" s="2" t="s">
        <v>376</v>
      </c>
      <c r="C227">
        <v>8895.24</v>
      </c>
      <c r="D227">
        <v>2604.17</v>
      </c>
      <c r="E227">
        <v>23164715.059999999</v>
      </c>
      <c r="F227">
        <v>33</v>
      </c>
      <c r="G227">
        <v>210.5</v>
      </c>
      <c r="H227">
        <v>178.25</v>
      </c>
      <c r="I227" s="274">
        <v>421.75</v>
      </c>
      <c r="J227">
        <v>332657.94</v>
      </c>
      <c r="K227">
        <v>1854442.41</v>
      </c>
      <c r="L227">
        <v>1550798.45</v>
      </c>
      <c r="M227">
        <v>-311650.58</v>
      </c>
      <c r="N227">
        <v>3407661.99</v>
      </c>
      <c r="O227" s="274">
        <v>365096.86</v>
      </c>
      <c r="P227">
        <v>741512.25</v>
      </c>
      <c r="Q227">
        <v>48</v>
      </c>
      <c r="R227">
        <v>20.5</v>
      </c>
      <c r="S227">
        <v>7</v>
      </c>
      <c r="T227" s="274">
        <f t="shared" si="9"/>
        <v>75.5</v>
      </c>
      <c r="U227">
        <v>107010.74</v>
      </c>
      <c r="V227">
        <v>130.21</v>
      </c>
      <c r="W227">
        <v>77245.490000000005</v>
      </c>
      <c r="X227">
        <v>223.82</v>
      </c>
      <c r="Y227">
        <v>54.03</v>
      </c>
      <c r="Z227">
        <v>0</v>
      </c>
      <c r="AA227">
        <v>2081993.1</v>
      </c>
      <c r="AB227">
        <v>501792.9</v>
      </c>
      <c r="AC227">
        <v>0</v>
      </c>
      <c r="AD227">
        <v>203440.63</v>
      </c>
      <c r="AE227">
        <v>1511882.72</v>
      </c>
      <c r="AF227">
        <v>0</v>
      </c>
      <c r="AG227">
        <v>488500.4</v>
      </c>
      <c r="AH227">
        <v>1.06</v>
      </c>
      <c r="AI227">
        <v>68937</v>
      </c>
      <c r="AJ227">
        <v>67585</v>
      </c>
      <c r="AK227">
        <v>100321</v>
      </c>
      <c r="AL227">
        <v>102327</v>
      </c>
      <c r="AM227">
        <v>48483</v>
      </c>
      <c r="AN227">
        <v>49453</v>
      </c>
      <c r="AO227">
        <v>1.1200000000000001</v>
      </c>
      <c r="AP227">
        <v>3149726.77</v>
      </c>
      <c r="AQ227">
        <v>175396.39</v>
      </c>
      <c r="AR227">
        <v>43.759</v>
      </c>
      <c r="AS227">
        <v>4.8578999999999997E-2</v>
      </c>
      <c r="AT227">
        <v>4.0270000000000002E-3</v>
      </c>
      <c r="AU227">
        <v>1.7100000000000001E-2</v>
      </c>
    </row>
    <row r="228" spans="1:47">
      <c r="A228" s="2" t="s">
        <v>377</v>
      </c>
      <c r="B228" s="2" t="s">
        <v>378</v>
      </c>
      <c r="C228">
        <v>9037.32</v>
      </c>
      <c r="D228">
        <v>12024.21</v>
      </c>
      <c r="E228">
        <v>108666687.34</v>
      </c>
      <c r="F228">
        <v>165.75</v>
      </c>
      <c r="G228">
        <v>888.75</v>
      </c>
      <c r="H228">
        <v>870.5</v>
      </c>
      <c r="I228" s="274">
        <v>1925</v>
      </c>
      <c r="J228">
        <v>1701672.13</v>
      </c>
      <c r="K228">
        <v>7973567.6500000004</v>
      </c>
      <c r="L228">
        <v>7712693.5899999999</v>
      </c>
      <c r="M228">
        <v>-1161945.28</v>
      </c>
      <c r="N228">
        <v>15698815.32</v>
      </c>
      <c r="O228" s="274">
        <v>1950397.9100000001</v>
      </c>
      <c r="P228">
        <v>4943630.4000000004</v>
      </c>
      <c r="Q228">
        <v>1102.75</v>
      </c>
      <c r="R228">
        <v>482.75</v>
      </c>
      <c r="S228">
        <v>416</v>
      </c>
      <c r="T228" s="274">
        <f t="shared" si="9"/>
        <v>2001.5</v>
      </c>
      <c r="U228">
        <v>2688657.61</v>
      </c>
      <c r="V228">
        <v>601.21</v>
      </c>
      <c r="W228">
        <v>356462.14</v>
      </c>
      <c r="X228">
        <v>571.04</v>
      </c>
      <c r="Y228">
        <v>369.97</v>
      </c>
      <c r="Z228">
        <v>0</v>
      </c>
      <c r="AA228">
        <v>5311749.33</v>
      </c>
      <c r="AB228">
        <v>3436790.98</v>
      </c>
      <c r="AC228">
        <v>0</v>
      </c>
      <c r="AD228">
        <v>1069529.4099999999</v>
      </c>
      <c r="AE228">
        <v>6269929.0099999998</v>
      </c>
      <c r="AF228">
        <v>2792166.55</v>
      </c>
      <c r="AG228">
        <v>5385554.7300000004</v>
      </c>
      <c r="AH228">
        <v>1.06</v>
      </c>
      <c r="AI228">
        <v>68937</v>
      </c>
      <c r="AJ228">
        <v>67585</v>
      </c>
      <c r="AK228">
        <v>100321</v>
      </c>
      <c r="AL228">
        <v>102327</v>
      </c>
      <c r="AM228">
        <v>48483</v>
      </c>
      <c r="AN228">
        <v>49453</v>
      </c>
      <c r="AO228">
        <v>1.1200000000000001</v>
      </c>
      <c r="AP228">
        <v>14128220.25</v>
      </c>
      <c r="AQ228">
        <v>824838.32</v>
      </c>
      <c r="AR228">
        <v>261.93099999999998</v>
      </c>
      <c r="AS228">
        <v>4.8578999999999997E-2</v>
      </c>
      <c r="AT228">
        <v>4.0270000000000002E-3</v>
      </c>
      <c r="AU228">
        <v>1.7100000000000001E-2</v>
      </c>
    </row>
    <row r="229" spans="1:47">
      <c r="A229" s="2" t="s">
        <v>379</v>
      </c>
      <c r="B229" s="2" t="s">
        <v>380</v>
      </c>
      <c r="C229">
        <v>9608.14</v>
      </c>
      <c r="D229">
        <v>8612.32</v>
      </c>
      <c r="E229">
        <v>82748413.849999994</v>
      </c>
      <c r="F229">
        <v>78</v>
      </c>
      <c r="G229">
        <v>722.25</v>
      </c>
      <c r="H229">
        <v>385.25</v>
      </c>
      <c r="I229" s="274">
        <v>1185.5</v>
      </c>
      <c r="J229">
        <v>856437.66</v>
      </c>
      <c r="K229">
        <v>6932479.4299999997</v>
      </c>
      <c r="L229">
        <v>3651823.66</v>
      </c>
      <c r="M229">
        <v>0</v>
      </c>
      <c r="N229">
        <v>10574188.5</v>
      </c>
      <c r="O229" s="274">
        <v>1316869.69</v>
      </c>
      <c r="P229">
        <v>2388431.73</v>
      </c>
      <c r="Q229">
        <v>138.5</v>
      </c>
      <c r="R229">
        <v>59.25</v>
      </c>
      <c r="S229">
        <v>34.5</v>
      </c>
      <c r="T229" s="274">
        <f t="shared" si="9"/>
        <v>232.25</v>
      </c>
      <c r="U229">
        <v>347222.39</v>
      </c>
      <c r="V229">
        <v>430.62</v>
      </c>
      <c r="W229">
        <v>276595.21000000002</v>
      </c>
      <c r="X229">
        <v>472.17</v>
      </c>
      <c r="Y229">
        <v>82.41</v>
      </c>
      <c r="Z229">
        <v>0</v>
      </c>
      <c r="AA229">
        <v>4660362.07</v>
      </c>
      <c r="AB229">
        <v>812435.06</v>
      </c>
      <c r="AC229">
        <v>0</v>
      </c>
      <c r="AD229">
        <v>660864.64</v>
      </c>
      <c r="AE229">
        <v>5951842.4800000004</v>
      </c>
      <c r="AF229">
        <v>69176.69</v>
      </c>
      <c r="AG229">
        <v>1121220.3500000001</v>
      </c>
      <c r="AH229">
        <v>1.1200000000000001</v>
      </c>
      <c r="AI229">
        <v>68937</v>
      </c>
      <c r="AJ229">
        <v>67585</v>
      </c>
      <c r="AK229">
        <v>100321</v>
      </c>
      <c r="AL229">
        <v>102327</v>
      </c>
      <c r="AM229">
        <v>48483</v>
      </c>
      <c r="AN229">
        <v>49453</v>
      </c>
      <c r="AO229">
        <v>1.06</v>
      </c>
      <c r="AP229">
        <v>10516814.34</v>
      </c>
      <c r="AQ229">
        <v>668551.47</v>
      </c>
      <c r="AR229">
        <v>161.08600000000001</v>
      </c>
      <c r="AS229">
        <v>4.8578999999999997E-2</v>
      </c>
      <c r="AT229">
        <v>4.0270000000000002E-3</v>
      </c>
      <c r="AU229">
        <v>1.7100000000000001E-2</v>
      </c>
    </row>
    <row r="230" spans="1:47">
      <c r="A230" s="2" t="s">
        <v>381</v>
      </c>
      <c r="B230" s="2" t="s">
        <v>382</v>
      </c>
      <c r="C230">
        <v>9092.4</v>
      </c>
      <c r="D230">
        <v>7315.38</v>
      </c>
      <c r="E230">
        <v>66514365.369999997</v>
      </c>
      <c r="F230">
        <v>78.25</v>
      </c>
      <c r="G230">
        <v>475.5</v>
      </c>
      <c r="H230">
        <v>479</v>
      </c>
      <c r="I230" s="274">
        <v>1032.75</v>
      </c>
      <c r="J230">
        <v>808431.5</v>
      </c>
      <c r="K230">
        <v>4293003.5599999996</v>
      </c>
      <c r="L230">
        <v>4270812.33</v>
      </c>
      <c r="M230">
        <v>0</v>
      </c>
      <c r="N230">
        <v>8512169.4499999993</v>
      </c>
      <c r="O230" s="274">
        <v>1048901.53</v>
      </c>
      <c r="P230">
        <v>2277658.9900000002</v>
      </c>
      <c r="Q230">
        <v>603</v>
      </c>
      <c r="R230">
        <v>321</v>
      </c>
      <c r="S230">
        <v>173.5</v>
      </c>
      <c r="T230" s="274">
        <f t="shared" si="9"/>
        <v>1097.5</v>
      </c>
      <c r="U230">
        <v>1531829.32</v>
      </c>
      <c r="V230">
        <v>365.77</v>
      </c>
      <c r="W230">
        <v>216905.31</v>
      </c>
      <c r="X230">
        <v>528.71</v>
      </c>
      <c r="Y230">
        <v>107.61</v>
      </c>
      <c r="Z230">
        <v>0</v>
      </c>
      <c r="AA230">
        <v>4918107.05</v>
      </c>
      <c r="AB230">
        <v>999387.58</v>
      </c>
      <c r="AC230">
        <v>0</v>
      </c>
      <c r="AD230">
        <v>429755.35</v>
      </c>
      <c r="AE230">
        <v>4348758.5</v>
      </c>
      <c r="AF230">
        <v>2239191.92</v>
      </c>
      <c r="AG230">
        <v>3525174.65</v>
      </c>
      <c r="AH230">
        <v>1.06</v>
      </c>
      <c r="AI230">
        <v>68937</v>
      </c>
      <c r="AJ230">
        <v>67585</v>
      </c>
      <c r="AK230">
        <v>100321</v>
      </c>
      <c r="AL230">
        <v>102327</v>
      </c>
      <c r="AM230">
        <v>48483</v>
      </c>
      <c r="AN230">
        <v>49453</v>
      </c>
      <c r="AO230">
        <v>1.06</v>
      </c>
      <c r="AP230">
        <v>9003896.1799999997</v>
      </c>
      <c r="AQ230">
        <v>524087.01</v>
      </c>
      <c r="AR230">
        <v>145.065</v>
      </c>
      <c r="AS230">
        <v>4.8578999999999997E-2</v>
      </c>
      <c r="AT230">
        <v>4.0270000000000002E-3</v>
      </c>
      <c r="AU230">
        <v>1.7100000000000001E-2</v>
      </c>
    </row>
    <row r="231" spans="1:47">
      <c r="A231" s="2" t="s">
        <v>383</v>
      </c>
      <c r="B231" s="2" t="s">
        <v>384</v>
      </c>
      <c r="C231">
        <v>8793.09</v>
      </c>
      <c r="D231">
        <v>20151.560000000001</v>
      </c>
      <c r="E231">
        <v>177194564.00999999</v>
      </c>
      <c r="F231">
        <v>168.25</v>
      </c>
      <c r="G231">
        <v>1412</v>
      </c>
      <c r="H231">
        <v>1165.75</v>
      </c>
      <c r="I231" s="274">
        <v>2746</v>
      </c>
      <c r="J231">
        <v>1673111.57</v>
      </c>
      <c r="K231">
        <v>12270256.67</v>
      </c>
      <c r="L231">
        <v>10004343.34</v>
      </c>
      <c r="M231">
        <v>0</v>
      </c>
      <c r="N231">
        <v>22169079.539999999</v>
      </c>
      <c r="O231" s="274">
        <v>2722591.52</v>
      </c>
      <c r="P231">
        <v>6339263.8399999999</v>
      </c>
      <c r="Q231">
        <v>791.75</v>
      </c>
      <c r="R231">
        <v>441.75</v>
      </c>
      <c r="S231">
        <v>208.75</v>
      </c>
      <c r="T231" s="274">
        <f t="shared" si="9"/>
        <v>1442.25</v>
      </c>
      <c r="U231">
        <v>1931454.27</v>
      </c>
      <c r="V231">
        <v>1007.58</v>
      </c>
      <c r="W231">
        <v>567539.57999999996</v>
      </c>
      <c r="X231">
        <v>1014.88</v>
      </c>
      <c r="Y231">
        <v>259.69</v>
      </c>
      <c r="Z231">
        <v>263.58999999999997</v>
      </c>
      <c r="AA231">
        <v>9055790.7599999998</v>
      </c>
      <c r="AB231">
        <v>2314007.5499999998</v>
      </c>
      <c r="AC231">
        <v>2667144.89</v>
      </c>
      <c r="AD231">
        <v>1506009.75</v>
      </c>
      <c r="AE231">
        <v>15083894.57</v>
      </c>
      <c r="AF231">
        <v>2900703.48</v>
      </c>
      <c r="AG231">
        <v>6017915.3499999996</v>
      </c>
      <c r="AH231">
        <v>1</v>
      </c>
      <c r="AI231">
        <v>68937</v>
      </c>
      <c r="AJ231">
        <v>67585</v>
      </c>
      <c r="AK231">
        <v>100321</v>
      </c>
      <c r="AL231">
        <v>102327</v>
      </c>
      <c r="AM231">
        <v>48483</v>
      </c>
      <c r="AN231">
        <v>49453</v>
      </c>
      <c r="AO231">
        <v>1.1200000000000001</v>
      </c>
      <c r="AP231">
        <v>23683819.420000002</v>
      </c>
      <c r="AQ231">
        <v>1317913.24</v>
      </c>
      <c r="AR231">
        <v>396.60899999999998</v>
      </c>
      <c r="AS231">
        <v>4.8578999999999997E-2</v>
      </c>
      <c r="AT231">
        <v>4.0270000000000002E-3</v>
      </c>
      <c r="AU231">
        <v>1.7100000000000001E-2</v>
      </c>
    </row>
    <row r="232" spans="1:47">
      <c r="A232" s="2" t="s">
        <v>385</v>
      </c>
      <c r="B232" s="2" t="s">
        <v>386</v>
      </c>
      <c r="C232">
        <v>8586.5</v>
      </c>
      <c r="D232">
        <v>1907.32</v>
      </c>
      <c r="E232">
        <v>16377202.470000001</v>
      </c>
      <c r="F232">
        <v>22.25</v>
      </c>
      <c r="G232">
        <v>132</v>
      </c>
      <c r="H232">
        <v>79</v>
      </c>
      <c r="I232" s="274">
        <v>233.25</v>
      </c>
      <c r="J232">
        <v>216394.77</v>
      </c>
      <c r="K232">
        <v>1121900.72</v>
      </c>
      <c r="L232">
        <v>663089.25</v>
      </c>
      <c r="M232">
        <v>0</v>
      </c>
      <c r="N232">
        <v>1775980.5</v>
      </c>
      <c r="O232" s="274">
        <v>212703.77000000002</v>
      </c>
      <c r="P232">
        <v>408614.03</v>
      </c>
      <c r="Q232">
        <v>6.25</v>
      </c>
      <c r="R232">
        <v>9</v>
      </c>
      <c r="S232">
        <v>1</v>
      </c>
      <c r="T232" s="274">
        <f t="shared" si="9"/>
        <v>16.25</v>
      </c>
      <c r="U232">
        <v>0</v>
      </c>
      <c r="V232">
        <v>95.37</v>
      </c>
      <c r="W232">
        <v>53711.29</v>
      </c>
      <c r="X232">
        <v>131.85</v>
      </c>
      <c r="Y232">
        <v>25.24</v>
      </c>
      <c r="Z232">
        <v>0</v>
      </c>
      <c r="AA232">
        <v>1176524.3400000001</v>
      </c>
      <c r="AB232">
        <v>224858.68</v>
      </c>
      <c r="AC232">
        <v>0</v>
      </c>
      <c r="AD232">
        <v>168893.41</v>
      </c>
      <c r="AE232">
        <v>1334515.93</v>
      </c>
      <c r="AF232">
        <v>44710.49</v>
      </c>
      <c r="AG232">
        <v>459921.31</v>
      </c>
      <c r="AH232">
        <v>1</v>
      </c>
      <c r="AI232">
        <v>68937</v>
      </c>
      <c r="AJ232">
        <v>67585</v>
      </c>
      <c r="AK232">
        <v>100321</v>
      </c>
      <c r="AL232">
        <v>102327</v>
      </c>
      <c r="AM232">
        <v>48483</v>
      </c>
      <c r="AN232">
        <v>49453</v>
      </c>
      <c r="AO232">
        <v>1.06</v>
      </c>
      <c r="AP232">
        <v>2263975.08</v>
      </c>
      <c r="AQ232">
        <v>120945.19</v>
      </c>
      <c r="AR232">
        <v>34.948999999999998</v>
      </c>
      <c r="AS232">
        <v>4.8578999999999997E-2</v>
      </c>
      <c r="AT232">
        <v>4.0270000000000002E-3</v>
      </c>
      <c r="AU232">
        <v>1.7100000000000001E-2</v>
      </c>
    </row>
    <row r="233" spans="1:47">
      <c r="A233" s="2" t="s">
        <v>387</v>
      </c>
      <c r="B233" s="2" t="s">
        <v>388</v>
      </c>
      <c r="C233">
        <v>9023.76</v>
      </c>
      <c r="D233">
        <v>4141.79</v>
      </c>
      <c r="E233">
        <v>37374532.439999998</v>
      </c>
      <c r="F233">
        <v>41.25</v>
      </c>
      <c r="G233">
        <v>341</v>
      </c>
      <c r="H233">
        <v>225</v>
      </c>
      <c r="I233" s="274">
        <v>607.25</v>
      </c>
      <c r="J233">
        <v>423324.19</v>
      </c>
      <c r="K233">
        <v>3058619.53</v>
      </c>
      <c r="L233">
        <v>1993052.44</v>
      </c>
      <c r="M233">
        <v>-29759.48</v>
      </c>
      <c r="N233">
        <v>5033040.12</v>
      </c>
      <c r="O233" s="274">
        <v>534927.78</v>
      </c>
      <c r="P233">
        <v>1132357.72</v>
      </c>
      <c r="Q233">
        <v>89.5</v>
      </c>
      <c r="R233">
        <v>31</v>
      </c>
      <c r="S233">
        <v>37</v>
      </c>
      <c r="T233" s="274">
        <f t="shared" si="9"/>
        <v>157.5</v>
      </c>
      <c r="U233">
        <v>205575.97</v>
      </c>
      <c r="V233">
        <v>0</v>
      </c>
      <c r="W233">
        <v>0</v>
      </c>
      <c r="X233">
        <v>290.43</v>
      </c>
      <c r="Y233">
        <v>33.08</v>
      </c>
      <c r="Z233">
        <v>0</v>
      </c>
      <c r="AA233">
        <v>2701630.39</v>
      </c>
      <c r="AB233">
        <v>307249.71999999997</v>
      </c>
      <c r="AC233">
        <v>0</v>
      </c>
      <c r="AD233">
        <v>200167.08</v>
      </c>
      <c r="AE233">
        <v>2478559.23</v>
      </c>
      <c r="AF233">
        <v>0</v>
      </c>
      <c r="AG233">
        <v>689956.62</v>
      </c>
      <c r="AH233">
        <v>1.06</v>
      </c>
      <c r="AI233">
        <v>68937</v>
      </c>
      <c r="AJ233">
        <v>67585</v>
      </c>
      <c r="AK233">
        <v>100321</v>
      </c>
      <c r="AL233">
        <v>102327</v>
      </c>
      <c r="AM233">
        <v>48483</v>
      </c>
      <c r="AN233">
        <v>49453</v>
      </c>
      <c r="AO233">
        <v>1</v>
      </c>
      <c r="AP233">
        <v>5078674.4000000004</v>
      </c>
      <c r="AQ233">
        <v>292622.18</v>
      </c>
      <c r="AR233">
        <v>81.915000000000006</v>
      </c>
      <c r="AS233">
        <v>4.8578999999999997E-2</v>
      </c>
      <c r="AT233">
        <v>4.0270000000000002E-3</v>
      </c>
      <c r="AU233">
        <v>1.7100000000000001E-2</v>
      </c>
    </row>
    <row r="234" spans="1:47">
      <c r="A234" s="2" t="s">
        <v>389</v>
      </c>
      <c r="B234" s="2" t="s">
        <v>390</v>
      </c>
      <c r="C234">
        <v>9441.94</v>
      </c>
      <c r="D234">
        <v>3706.14</v>
      </c>
      <c r="E234">
        <v>34993166.479999997</v>
      </c>
      <c r="F234">
        <v>40.5</v>
      </c>
      <c r="G234">
        <v>178.25</v>
      </c>
      <c r="H234">
        <v>210.75</v>
      </c>
      <c r="I234" s="274">
        <v>429.5</v>
      </c>
      <c r="J234">
        <v>434523.33</v>
      </c>
      <c r="K234">
        <v>1671589.56</v>
      </c>
      <c r="L234">
        <v>1951789.95</v>
      </c>
      <c r="M234">
        <v>0</v>
      </c>
      <c r="N234">
        <v>3610531.98</v>
      </c>
      <c r="O234" s="274">
        <v>465303.24</v>
      </c>
      <c r="P234">
        <v>1016751.71</v>
      </c>
      <c r="Q234">
        <v>355.5</v>
      </c>
      <c r="R234">
        <v>162.5</v>
      </c>
      <c r="S234">
        <v>106.5</v>
      </c>
      <c r="T234" s="274">
        <f t="shared" si="9"/>
        <v>624.5</v>
      </c>
      <c r="U234">
        <v>899726.12</v>
      </c>
      <c r="V234">
        <v>185.31</v>
      </c>
      <c r="W234">
        <v>115399.42</v>
      </c>
      <c r="X234">
        <v>315.07</v>
      </c>
      <c r="Y234">
        <v>47.73</v>
      </c>
      <c r="Z234">
        <v>0</v>
      </c>
      <c r="AA234">
        <v>3050192.87</v>
      </c>
      <c r="AB234">
        <v>461310.53</v>
      </c>
      <c r="AC234">
        <v>0</v>
      </c>
      <c r="AD234">
        <v>169502.94</v>
      </c>
      <c r="AE234">
        <v>2037735.95</v>
      </c>
      <c r="AF234">
        <v>193053.38</v>
      </c>
      <c r="AG234">
        <v>1113436.75</v>
      </c>
      <c r="AH234">
        <v>1.1200000000000001</v>
      </c>
      <c r="AI234">
        <v>68937</v>
      </c>
      <c r="AJ234">
        <v>67585</v>
      </c>
      <c r="AK234">
        <v>100321</v>
      </c>
      <c r="AL234">
        <v>102327</v>
      </c>
      <c r="AM234">
        <v>48483</v>
      </c>
      <c r="AN234">
        <v>49453</v>
      </c>
      <c r="AO234">
        <v>1</v>
      </c>
      <c r="AP234">
        <v>4555941.75</v>
      </c>
      <c r="AQ234">
        <v>278928.44</v>
      </c>
      <c r="AR234">
        <v>71.680999999999997</v>
      </c>
      <c r="AS234">
        <v>4.8578999999999997E-2</v>
      </c>
      <c r="AT234">
        <v>4.0270000000000002E-3</v>
      </c>
      <c r="AU234">
        <v>1.7100000000000001E-2</v>
      </c>
    </row>
    <row r="235" spans="1:47">
      <c r="A235" s="2" t="s">
        <v>1038</v>
      </c>
      <c r="B235" s="2" t="s">
        <v>1043</v>
      </c>
      <c r="C235">
        <v>9148.1</v>
      </c>
      <c r="D235">
        <v>580.26</v>
      </c>
      <c r="E235">
        <v>5308277.1100000003</v>
      </c>
      <c r="F235">
        <v>0</v>
      </c>
      <c r="G235">
        <v>0</v>
      </c>
      <c r="H235">
        <v>0</v>
      </c>
      <c r="I235" s="274">
        <v>0</v>
      </c>
      <c r="J235">
        <v>0</v>
      </c>
      <c r="K235">
        <v>0</v>
      </c>
      <c r="L235">
        <v>0</v>
      </c>
      <c r="M235">
        <v>0</v>
      </c>
      <c r="N235">
        <v>0</v>
      </c>
      <c r="O235" s="274">
        <v>0</v>
      </c>
      <c r="P235">
        <v>0</v>
      </c>
      <c r="Q235">
        <v>0</v>
      </c>
      <c r="R235">
        <v>0</v>
      </c>
      <c r="S235">
        <v>0</v>
      </c>
      <c r="T235" s="274">
        <f t="shared" si="9"/>
        <v>0</v>
      </c>
      <c r="U235">
        <v>0</v>
      </c>
      <c r="V235">
        <v>0</v>
      </c>
      <c r="W235">
        <v>0</v>
      </c>
      <c r="X235">
        <v>28.78</v>
      </c>
      <c r="Y235">
        <v>0</v>
      </c>
      <c r="Z235">
        <v>0</v>
      </c>
      <c r="AA235">
        <v>267654.89</v>
      </c>
      <c r="AB235">
        <v>0</v>
      </c>
      <c r="AC235">
        <v>0</v>
      </c>
      <c r="AD235">
        <v>0</v>
      </c>
      <c r="AE235">
        <v>487556.37</v>
      </c>
      <c r="AF235">
        <v>0</v>
      </c>
      <c r="AG235">
        <v>205575.97</v>
      </c>
      <c r="AH235">
        <v>1.06</v>
      </c>
      <c r="AI235">
        <v>68937</v>
      </c>
      <c r="AJ235">
        <v>67585</v>
      </c>
      <c r="AK235">
        <v>100321</v>
      </c>
      <c r="AL235">
        <v>102327</v>
      </c>
      <c r="AM235">
        <v>48483</v>
      </c>
      <c r="AN235">
        <v>49453</v>
      </c>
      <c r="AO235">
        <v>1.06</v>
      </c>
      <c r="AP235">
        <v>805451.11</v>
      </c>
      <c r="AQ235">
        <v>43717.16</v>
      </c>
      <c r="AR235">
        <v>8.343</v>
      </c>
      <c r="AS235">
        <v>4.8578999999999997E-2</v>
      </c>
      <c r="AT235">
        <v>4.0270000000000002E-3</v>
      </c>
      <c r="AU235">
        <v>1.7100000000000001E-2</v>
      </c>
    </row>
    <row r="236" spans="1:47">
      <c r="A236" s="2" t="s">
        <v>1315</v>
      </c>
      <c r="B236" s="2" t="s">
        <v>1316</v>
      </c>
      <c r="C236">
        <v>11109.83</v>
      </c>
      <c r="D236">
        <v>252</v>
      </c>
      <c r="E236">
        <v>2799676.38</v>
      </c>
      <c r="F236">
        <v>0</v>
      </c>
      <c r="G236">
        <v>2.52</v>
      </c>
      <c r="H236">
        <v>0</v>
      </c>
      <c r="I236" s="274">
        <v>2.52</v>
      </c>
      <c r="J236">
        <v>0</v>
      </c>
      <c r="K236">
        <v>28145.03</v>
      </c>
      <c r="L236">
        <v>0</v>
      </c>
      <c r="M236">
        <v>0</v>
      </c>
      <c r="N236">
        <v>27989.54</v>
      </c>
      <c r="O236" s="274">
        <v>3228.08</v>
      </c>
      <c r="P236">
        <v>7180.59</v>
      </c>
      <c r="Q236">
        <v>30.24</v>
      </c>
      <c r="R236">
        <v>0</v>
      </c>
      <c r="S236">
        <v>0</v>
      </c>
      <c r="T236" s="274">
        <f t="shared" si="9"/>
        <v>30.24</v>
      </c>
      <c r="U236">
        <v>41638.959999999999</v>
      </c>
      <c r="V236">
        <v>0</v>
      </c>
      <c r="W236">
        <v>0</v>
      </c>
      <c r="X236">
        <v>0</v>
      </c>
      <c r="Y236">
        <v>0</v>
      </c>
      <c r="Z236">
        <v>0</v>
      </c>
      <c r="AA236">
        <v>0</v>
      </c>
      <c r="AB236">
        <v>0</v>
      </c>
      <c r="AC236">
        <v>0</v>
      </c>
      <c r="AD236">
        <v>0</v>
      </c>
      <c r="AE236">
        <v>78040.08</v>
      </c>
      <c r="AF236">
        <v>0</v>
      </c>
      <c r="AG236">
        <v>100257.98</v>
      </c>
      <c r="AH236">
        <v>1.1200000000000001</v>
      </c>
      <c r="AI236">
        <v>68937</v>
      </c>
      <c r="AJ236">
        <v>67585</v>
      </c>
      <c r="AK236">
        <v>100321</v>
      </c>
      <c r="AL236">
        <v>102327</v>
      </c>
      <c r="AM236">
        <v>48483</v>
      </c>
      <c r="AN236">
        <v>49453</v>
      </c>
      <c r="AO236">
        <v>1.1200000000000001</v>
      </c>
      <c r="AP236">
        <v>337712.76</v>
      </c>
      <c r="AQ236">
        <v>27585.279999999999</v>
      </c>
      <c r="AR236">
        <v>16.747</v>
      </c>
      <c r="AS236">
        <v>4.8578999999999997E-2</v>
      </c>
      <c r="AT236">
        <v>4.0270000000000002E-3</v>
      </c>
      <c r="AU236">
        <v>1.7100000000000001E-2</v>
      </c>
    </row>
    <row r="237" spans="1:47">
      <c r="A237" s="2" t="s">
        <v>391</v>
      </c>
      <c r="B237" s="2" t="s">
        <v>392</v>
      </c>
      <c r="C237">
        <v>11271.3</v>
      </c>
      <c r="D237">
        <v>178.6</v>
      </c>
      <c r="E237">
        <v>2013053.64</v>
      </c>
      <c r="F237">
        <v>0</v>
      </c>
      <c r="G237">
        <v>25</v>
      </c>
      <c r="H237">
        <v>2</v>
      </c>
      <c r="I237" s="274">
        <v>27</v>
      </c>
      <c r="J237">
        <v>0</v>
      </c>
      <c r="K237">
        <v>222766.83</v>
      </c>
      <c r="L237">
        <v>17599.7</v>
      </c>
      <c r="M237">
        <v>-25753.56</v>
      </c>
      <c r="N237">
        <v>239376.06</v>
      </c>
      <c r="O237" s="274">
        <v>29276.739999999998</v>
      </c>
      <c r="P237">
        <v>41564.39</v>
      </c>
      <c r="Q237">
        <v>0</v>
      </c>
      <c r="R237">
        <v>16.75</v>
      </c>
      <c r="S237">
        <v>0</v>
      </c>
      <c r="T237" s="274">
        <f t="shared" si="9"/>
        <v>16.75</v>
      </c>
      <c r="U237">
        <v>32770.410000000003</v>
      </c>
      <c r="V237">
        <v>8.93</v>
      </c>
      <c r="W237">
        <v>5515.8</v>
      </c>
      <c r="X237">
        <v>0</v>
      </c>
      <c r="Y237">
        <v>0</v>
      </c>
      <c r="Z237">
        <v>0</v>
      </c>
      <c r="AA237">
        <v>0</v>
      </c>
      <c r="AB237">
        <v>0</v>
      </c>
      <c r="AC237">
        <v>0</v>
      </c>
      <c r="AD237">
        <v>0</v>
      </c>
      <c r="AE237">
        <v>72536.59</v>
      </c>
      <c r="AF237">
        <v>61971.76</v>
      </c>
      <c r="AG237">
        <v>78302.880000000005</v>
      </c>
      <c r="AH237">
        <v>1.1200000000000001</v>
      </c>
      <c r="AI237">
        <v>68937</v>
      </c>
      <c r="AJ237">
        <v>67585</v>
      </c>
      <c r="AK237">
        <v>100321</v>
      </c>
      <c r="AL237">
        <v>102327</v>
      </c>
      <c r="AM237">
        <v>48483</v>
      </c>
      <c r="AN237">
        <v>49453</v>
      </c>
      <c r="AO237">
        <v>1.06</v>
      </c>
      <c r="AP237">
        <v>307292.71000000002</v>
      </c>
      <c r="AQ237">
        <v>17877.57</v>
      </c>
      <c r="AR237">
        <v>0</v>
      </c>
      <c r="AS237">
        <v>4.8578999999999997E-2</v>
      </c>
      <c r="AT237">
        <v>4.0270000000000002E-3</v>
      </c>
      <c r="AU237">
        <v>1.7100000000000001E-2</v>
      </c>
    </row>
    <row r="238" spans="1:47">
      <c r="A238" s="2" t="s">
        <v>1137</v>
      </c>
      <c r="B238" s="2" t="s">
        <v>1138</v>
      </c>
      <c r="C238">
        <v>0</v>
      </c>
      <c r="D238">
        <v>0</v>
      </c>
      <c r="E238">
        <v>0</v>
      </c>
      <c r="F238">
        <v>0</v>
      </c>
      <c r="G238">
        <v>0</v>
      </c>
      <c r="H238">
        <v>0</v>
      </c>
      <c r="I238" s="274">
        <v>0</v>
      </c>
      <c r="J238">
        <v>0</v>
      </c>
      <c r="K238">
        <v>0</v>
      </c>
      <c r="L238">
        <v>0</v>
      </c>
      <c r="M238">
        <v>0</v>
      </c>
      <c r="N238">
        <v>0</v>
      </c>
      <c r="O238" s="274">
        <v>0</v>
      </c>
      <c r="P238">
        <v>0</v>
      </c>
      <c r="Q238">
        <v>0</v>
      </c>
      <c r="R238">
        <v>0</v>
      </c>
      <c r="S238">
        <v>0</v>
      </c>
      <c r="T238" s="274">
        <f t="shared" si="9"/>
        <v>0</v>
      </c>
      <c r="U238">
        <v>0</v>
      </c>
      <c r="V238">
        <v>0</v>
      </c>
      <c r="W238">
        <v>0</v>
      </c>
      <c r="X238">
        <v>0</v>
      </c>
      <c r="Y238">
        <v>0</v>
      </c>
      <c r="Z238">
        <v>0</v>
      </c>
      <c r="AA238">
        <v>0</v>
      </c>
      <c r="AB238">
        <v>0</v>
      </c>
      <c r="AC238">
        <v>0</v>
      </c>
      <c r="AD238">
        <v>0</v>
      </c>
      <c r="AE238">
        <v>0</v>
      </c>
      <c r="AF238">
        <v>0</v>
      </c>
      <c r="AG238">
        <v>0</v>
      </c>
      <c r="AH238">
        <v>0</v>
      </c>
      <c r="AI238">
        <v>0</v>
      </c>
      <c r="AJ238">
        <v>0</v>
      </c>
      <c r="AK238">
        <v>100321</v>
      </c>
      <c r="AL238">
        <v>102327</v>
      </c>
      <c r="AM238">
        <v>48483</v>
      </c>
      <c r="AN238">
        <v>49453</v>
      </c>
      <c r="AO238">
        <v>1.1200000000000001</v>
      </c>
      <c r="AP238">
        <v>0</v>
      </c>
      <c r="AQ238">
        <v>0</v>
      </c>
      <c r="AR238">
        <v>0</v>
      </c>
      <c r="AS238">
        <v>4.8578999999999997E-2</v>
      </c>
      <c r="AT238">
        <v>4.0270000000000002E-3</v>
      </c>
      <c r="AU238">
        <v>1.7100000000000001E-2</v>
      </c>
    </row>
    <row r="239" spans="1:47">
      <c r="A239" s="2" t="s">
        <v>1139</v>
      </c>
      <c r="B239" s="2" t="s">
        <v>1140</v>
      </c>
      <c r="C239">
        <v>0</v>
      </c>
      <c r="D239">
        <v>0</v>
      </c>
      <c r="E239">
        <v>0</v>
      </c>
      <c r="F239">
        <v>0</v>
      </c>
      <c r="G239">
        <v>0</v>
      </c>
      <c r="H239">
        <v>0</v>
      </c>
      <c r="I239" s="274">
        <v>0</v>
      </c>
      <c r="J239">
        <v>0</v>
      </c>
      <c r="K239">
        <v>0</v>
      </c>
      <c r="L239">
        <v>0</v>
      </c>
      <c r="M239">
        <v>0</v>
      </c>
      <c r="N239">
        <v>0</v>
      </c>
      <c r="O239" s="274">
        <v>0</v>
      </c>
      <c r="P239">
        <v>0</v>
      </c>
      <c r="Q239">
        <v>0</v>
      </c>
      <c r="R239">
        <v>0</v>
      </c>
      <c r="S239">
        <v>0</v>
      </c>
      <c r="T239" s="274">
        <f t="shared" si="9"/>
        <v>0</v>
      </c>
      <c r="U239">
        <v>0</v>
      </c>
      <c r="V239">
        <v>0</v>
      </c>
      <c r="W239">
        <v>0</v>
      </c>
      <c r="X239">
        <v>0</v>
      </c>
      <c r="Y239">
        <v>0</v>
      </c>
      <c r="Z239">
        <v>0</v>
      </c>
      <c r="AA239">
        <v>0</v>
      </c>
      <c r="AB239">
        <v>0</v>
      </c>
      <c r="AC239">
        <v>0</v>
      </c>
      <c r="AD239">
        <v>0</v>
      </c>
      <c r="AE239">
        <v>0</v>
      </c>
      <c r="AF239">
        <v>0</v>
      </c>
      <c r="AG239">
        <v>0</v>
      </c>
      <c r="AH239">
        <v>0</v>
      </c>
      <c r="AI239">
        <v>0</v>
      </c>
      <c r="AJ239">
        <v>0</v>
      </c>
      <c r="AK239">
        <v>100321</v>
      </c>
      <c r="AL239">
        <v>102327</v>
      </c>
      <c r="AM239">
        <v>48483</v>
      </c>
      <c r="AN239">
        <v>49453</v>
      </c>
      <c r="AO239">
        <v>1.1200000000000001</v>
      </c>
      <c r="AP239">
        <v>0</v>
      </c>
      <c r="AQ239">
        <v>0</v>
      </c>
      <c r="AR239">
        <v>0</v>
      </c>
      <c r="AS239">
        <v>4.8578999999999997E-2</v>
      </c>
      <c r="AT239">
        <v>4.0270000000000002E-3</v>
      </c>
      <c r="AU239">
        <v>1.7100000000000001E-2</v>
      </c>
    </row>
    <row r="240" spans="1:47">
      <c r="A240" s="2" t="s">
        <v>1141</v>
      </c>
      <c r="B240" s="2" t="s">
        <v>1142</v>
      </c>
      <c r="C240">
        <v>0</v>
      </c>
      <c r="D240">
        <v>0</v>
      </c>
      <c r="E240">
        <v>0</v>
      </c>
      <c r="F240">
        <v>0</v>
      </c>
      <c r="G240">
        <v>0</v>
      </c>
      <c r="H240">
        <v>0</v>
      </c>
      <c r="I240" s="274">
        <v>0</v>
      </c>
      <c r="J240">
        <v>0</v>
      </c>
      <c r="K240">
        <v>0</v>
      </c>
      <c r="L240">
        <v>0</v>
      </c>
      <c r="M240">
        <v>0</v>
      </c>
      <c r="N240">
        <v>0</v>
      </c>
      <c r="O240" s="274">
        <v>0</v>
      </c>
      <c r="P240">
        <v>0</v>
      </c>
      <c r="Q240">
        <v>0</v>
      </c>
      <c r="R240">
        <v>0</v>
      </c>
      <c r="S240">
        <v>0</v>
      </c>
      <c r="T240" s="274">
        <f t="shared" si="9"/>
        <v>0</v>
      </c>
      <c r="U240">
        <v>0</v>
      </c>
      <c r="V240">
        <v>0</v>
      </c>
      <c r="W240">
        <v>0</v>
      </c>
      <c r="X240">
        <v>0</v>
      </c>
      <c r="Y240">
        <v>0</v>
      </c>
      <c r="Z240">
        <v>0</v>
      </c>
      <c r="AA240">
        <v>0</v>
      </c>
      <c r="AB240">
        <v>0</v>
      </c>
      <c r="AC240">
        <v>0</v>
      </c>
      <c r="AD240">
        <v>0</v>
      </c>
      <c r="AE240">
        <v>0</v>
      </c>
      <c r="AF240">
        <v>0</v>
      </c>
      <c r="AG240">
        <v>0</v>
      </c>
      <c r="AH240">
        <v>0</v>
      </c>
      <c r="AI240">
        <v>0</v>
      </c>
      <c r="AJ240">
        <v>0</v>
      </c>
      <c r="AK240">
        <v>0</v>
      </c>
      <c r="AL240">
        <v>0</v>
      </c>
      <c r="AM240">
        <v>0</v>
      </c>
      <c r="AN240">
        <v>0</v>
      </c>
      <c r="AO240">
        <v>0</v>
      </c>
      <c r="AP240">
        <v>0</v>
      </c>
      <c r="AQ240">
        <v>0</v>
      </c>
      <c r="AR240">
        <v>0</v>
      </c>
      <c r="AS240">
        <v>4.8578999999999997E-2</v>
      </c>
      <c r="AT240">
        <v>4.0270000000000002E-3</v>
      </c>
      <c r="AU240">
        <v>1.7100000000000001E-2</v>
      </c>
    </row>
    <row r="241" spans="1:47">
      <c r="A241" s="2" t="s">
        <v>1143</v>
      </c>
      <c r="B241" s="2" t="s">
        <v>1144</v>
      </c>
      <c r="C241">
        <v>0</v>
      </c>
      <c r="D241">
        <v>0</v>
      </c>
      <c r="E241">
        <v>0</v>
      </c>
      <c r="F241">
        <v>0</v>
      </c>
      <c r="G241">
        <v>0</v>
      </c>
      <c r="H241">
        <v>0</v>
      </c>
      <c r="I241" s="274">
        <v>0</v>
      </c>
      <c r="J241">
        <v>0</v>
      </c>
      <c r="K241">
        <v>0</v>
      </c>
      <c r="L241">
        <v>0</v>
      </c>
      <c r="M241">
        <v>0</v>
      </c>
      <c r="N241">
        <v>0</v>
      </c>
      <c r="O241" s="274">
        <v>0</v>
      </c>
      <c r="P241">
        <v>0</v>
      </c>
      <c r="Q241">
        <v>0</v>
      </c>
      <c r="R241">
        <v>0</v>
      </c>
      <c r="S241">
        <v>0</v>
      </c>
      <c r="T241" s="274">
        <f t="shared" si="9"/>
        <v>0</v>
      </c>
      <c r="U241">
        <v>0</v>
      </c>
      <c r="V241">
        <v>0</v>
      </c>
      <c r="W241">
        <v>0</v>
      </c>
      <c r="X241">
        <v>0</v>
      </c>
      <c r="Y241">
        <v>0</v>
      </c>
      <c r="Z241">
        <v>0</v>
      </c>
      <c r="AA241">
        <v>0</v>
      </c>
      <c r="AB241">
        <v>0</v>
      </c>
      <c r="AC241">
        <v>0</v>
      </c>
      <c r="AD241">
        <v>0</v>
      </c>
      <c r="AE241">
        <v>0</v>
      </c>
      <c r="AF241">
        <v>0</v>
      </c>
      <c r="AG241">
        <v>0</v>
      </c>
      <c r="AH241">
        <v>0</v>
      </c>
      <c r="AI241">
        <v>0</v>
      </c>
      <c r="AJ241">
        <v>0</v>
      </c>
      <c r="AK241">
        <v>0</v>
      </c>
      <c r="AL241">
        <v>0</v>
      </c>
      <c r="AM241">
        <v>0</v>
      </c>
      <c r="AN241">
        <v>0</v>
      </c>
      <c r="AO241">
        <v>0</v>
      </c>
      <c r="AP241">
        <v>0</v>
      </c>
      <c r="AQ241">
        <v>0</v>
      </c>
      <c r="AR241">
        <v>0</v>
      </c>
      <c r="AS241">
        <v>4.8578999999999997E-2</v>
      </c>
      <c r="AT241">
        <v>4.0270000000000002E-3</v>
      </c>
      <c r="AU241">
        <v>1.7100000000000001E-2</v>
      </c>
    </row>
    <row r="242" spans="1:47">
      <c r="A242" s="2" t="s">
        <v>393</v>
      </c>
      <c r="B242" s="2" t="s">
        <v>394</v>
      </c>
      <c r="C242">
        <v>39520.06</v>
      </c>
      <c r="D242">
        <v>9.8000000000000007</v>
      </c>
      <c r="E242">
        <v>387296.54</v>
      </c>
      <c r="F242">
        <v>0</v>
      </c>
      <c r="G242">
        <v>0</v>
      </c>
      <c r="H242">
        <v>0</v>
      </c>
      <c r="I242" s="274">
        <v>0</v>
      </c>
      <c r="J242">
        <v>0</v>
      </c>
      <c r="K242">
        <v>0</v>
      </c>
      <c r="L242">
        <v>0</v>
      </c>
      <c r="M242">
        <v>0</v>
      </c>
      <c r="N242">
        <v>0</v>
      </c>
      <c r="O242" s="274">
        <v>0</v>
      </c>
      <c r="P242">
        <v>0</v>
      </c>
      <c r="Q242">
        <v>0</v>
      </c>
      <c r="R242">
        <v>0</v>
      </c>
      <c r="S242">
        <v>0</v>
      </c>
      <c r="T242" s="274">
        <f t="shared" si="9"/>
        <v>0</v>
      </c>
      <c r="U242">
        <v>0</v>
      </c>
      <c r="V242">
        <v>0</v>
      </c>
      <c r="W242">
        <v>0</v>
      </c>
      <c r="X242">
        <v>0</v>
      </c>
      <c r="Y242">
        <v>0</v>
      </c>
      <c r="Z242">
        <v>0</v>
      </c>
      <c r="AA242">
        <v>0</v>
      </c>
      <c r="AB242">
        <v>0</v>
      </c>
      <c r="AC242">
        <v>0</v>
      </c>
      <c r="AD242">
        <v>0</v>
      </c>
      <c r="AE242">
        <v>0</v>
      </c>
      <c r="AF242">
        <v>0</v>
      </c>
      <c r="AG242">
        <v>0</v>
      </c>
      <c r="AH242">
        <v>1.1200000000000001</v>
      </c>
      <c r="AI242">
        <v>68937</v>
      </c>
      <c r="AJ242">
        <v>67585</v>
      </c>
      <c r="AK242">
        <v>0</v>
      </c>
      <c r="AL242">
        <v>0</v>
      </c>
      <c r="AM242">
        <v>0</v>
      </c>
      <c r="AN242">
        <v>0</v>
      </c>
      <c r="AO242">
        <v>0</v>
      </c>
      <c r="AP242">
        <v>35949.760000000002</v>
      </c>
      <c r="AQ242">
        <v>3392.98</v>
      </c>
      <c r="AR242">
        <v>0.39400000000000002</v>
      </c>
      <c r="AS242">
        <v>4.8578999999999997E-2</v>
      </c>
      <c r="AT242">
        <v>4.0270000000000002E-3</v>
      </c>
      <c r="AU242">
        <v>1.7100000000000001E-2</v>
      </c>
    </row>
    <row r="243" spans="1:47">
      <c r="A243" s="2" t="s">
        <v>395</v>
      </c>
      <c r="B243" s="2" t="s">
        <v>396</v>
      </c>
      <c r="C243">
        <v>9893.3799999999992</v>
      </c>
      <c r="D243">
        <v>723.35</v>
      </c>
      <c r="E243">
        <v>7156376.7999999998</v>
      </c>
      <c r="F243">
        <v>7.5</v>
      </c>
      <c r="G243">
        <v>71</v>
      </c>
      <c r="H243">
        <v>8.25</v>
      </c>
      <c r="I243" s="274">
        <v>86.75</v>
      </c>
      <c r="J243">
        <v>78261.09</v>
      </c>
      <c r="K243">
        <v>647533</v>
      </c>
      <c r="L243">
        <v>74305.78</v>
      </c>
      <c r="M243">
        <v>0</v>
      </c>
      <c r="N243">
        <v>719094.69</v>
      </c>
      <c r="O243" s="274">
        <v>95186.829999999987</v>
      </c>
      <c r="P243">
        <v>89681.55</v>
      </c>
      <c r="Q243">
        <v>21</v>
      </c>
      <c r="R243">
        <v>14</v>
      </c>
      <c r="S243">
        <v>2</v>
      </c>
      <c r="T243" s="274">
        <f t="shared" si="9"/>
        <v>37</v>
      </c>
      <c r="U243">
        <v>58078.239999999998</v>
      </c>
      <c r="V243">
        <v>36.17</v>
      </c>
      <c r="W243">
        <v>22495.85</v>
      </c>
      <c r="X243">
        <v>11.78</v>
      </c>
      <c r="Y243">
        <v>0</v>
      </c>
      <c r="Z243">
        <v>0</v>
      </c>
      <c r="AA243">
        <v>114163.71</v>
      </c>
      <c r="AB243">
        <v>0</v>
      </c>
      <c r="AC243">
        <v>0</v>
      </c>
      <c r="AD243">
        <v>25930.18</v>
      </c>
      <c r="AE243">
        <v>196254.27</v>
      </c>
      <c r="AF243">
        <v>0</v>
      </c>
      <c r="AG243">
        <v>149035.04</v>
      </c>
      <c r="AH243">
        <v>1.1200000000000001</v>
      </c>
      <c r="AI243">
        <v>68937</v>
      </c>
      <c r="AJ243">
        <v>67585</v>
      </c>
      <c r="AK243">
        <v>0</v>
      </c>
      <c r="AL243">
        <v>0</v>
      </c>
      <c r="AM243">
        <v>0</v>
      </c>
      <c r="AN243">
        <v>0</v>
      </c>
      <c r="AO243">
        <v>0</v>
      </c>
      <c r="AP243">
        <v>607108.55000000005</v>
      </c>
      <c r="AQ243">
        <v>38992.61</v>
      </c>
      <c r="AR243">
        <v>7.1390000000000002</v>
      </c>
      <c r="AS243">
        <v>4.8578999999999997E-2</v>
      </c>
      <c r="AT243">
        <v>4.0270000000000002E-3</v>
      </c>
      <c r="AU243">
        <v>1.7100000000000001E-2</v>
      </c>
    </row>
    <row r="244" spans="1:47">
      <c r="A244" s="2" t="s">
        <v>397</v>
      </c>
      <c r="B244" s="2" t="s">
        <v>398</v>
      </c>
      <c r="C244">
        <v>14234.08</v>
      </c>
      <c r="D244">
        <v>241.82</v>
      </c>
      <c r="E244">
        <v>3442086.43</v>
      </c>
      <c r="F244">
        <v>0</v>
      </c>
      <c r="G244">
        <v>38</v>
      </c>
      <c r="H244">
        <v>4.75</v>
      </c>
      <c r="I244" s="274">
        <v>42.75</v>
      </c>
      <c r="J244">
        <v>0</v>
      </c>
      <c r="K244">
        <v>356096.39</v>
      </c>
      <c r="L244">
        <v>43958.61</v>
      </c>
      <c r="M244">
        <v>-94583.14</v>
      </c>
      <c r="N244">
        <v>398473.18</v>
      </c>
      <c r="O244" s="274">
        <v>31354.2</v>
      </c>
      <c r="P244">
        <v>41126.82</v>
      </c>
      <c r="Q244">
        <v>14</v>
      </c>
      <c r="R244">
        <v>4</v>
      </c>
      <c r="S244">
        <v>0</v>
      </c>
      <c r="T244" s="274">
        <f t="shared" si="9"/>
        <v>18</v>
      </c>
      <c r="U244">
        <v>27038.29</v>
      </c>
      <c r="V244">
        <v>12.09</v>
      </c>
      <c r="W244">
        <v>7570.72</v>
      </c>
      <c r="X244">
        <v>12.57</v>
      </c>
      <c r="Y244">
        <v>0.7</v>
      </c>
      <c r="Z244">
        <v>0</v>
      </c>
      <c r="AA244">
        <v>121756.61</v>
      </c>
      <c r="AB244">
        <v>6822.5</v>
      </c>
      <c r="AC244">
        <v>0</v>
      </c>
      <c r="AD244">
        <v>25740.7</v>
      </c>
      <c r="AE244">
        <v>166732.9</v>
      </c>
      <c r="AF244">
        <v>0</v>
      </c>
      <c r="AG244">
        <v>69975.09</v>
      </c>
      <c r="AH244">
        <v>1.1200000000000001</v>
      </c>
      <c r="AI244">
        <v>68937</v>
      </c>
      <c r="AJ244">
        <v>67585</v>
      </c>
      <c r="AK244">
        <v>100321</v>
      </c>
      <c r="AL244">
        <v>102327</v>
      </c>
      <c r="AM244">
        <v>48483</v>
      </c>
      <c r="AN244">
        <v>49453</v>
      </c>
      <c r="AO244">
        <v>1.1200000000000001</v>
      </c>
      <c r="AP244">
        <v>385288.01</v>
      </c>
      <c r="AQ244">
        <v>29132.54</v>
      </c>
      <c r="AR244">
        <v>4.2939999999999996</v>
      </c>
      <c r="AS244">
        <v>4.8578999999999997E-2</v>
      </c>
      <c r="AT244">
        <v>4.0270000000000002E-3</v>
      </c>
      <c r="AU244">
        <v>1.7100000000000001E-2</v>
      </c>
    </row>
    <row r="245" spans="1:47">
      <c r="A245" s="2" t="s">
        <v>399</v>
      </c>
      <c r="B245" s="2" t="s">
        <v>400</v>
      </c>
      <c r="C245">
        <v>9365.35</v>
      </c>
      <c r="D245">
        <v>777.83</v>
      </c>
      <c r="E245">
        <v>7284651.96</v>
      </c>
      <c r="F245">
        <v>4.75</v>
      </c>
      <c r="G245">
        <v>118</v>
      </c>
      <c r="H245">
        <v>19.25</v>
      </c>
      <c r="I245" s="274">
        <v>142</v>
      </c>
      <c r="J245">
        <v>50892.91</v>
      </c>
      <c r="K245">
        <v>1105083.67</v>
      </c>
      <c r="L245">
        <v>178036.63</v>
      </c>
      <c r="M245">
        <v>-301696.84000000003</v>
      </c>
      <c r="N245">
        <v>1278728.06</v>
      </c>
      <c r="O245" s="274">
        <v>113022.17</v>
      </c>
      <c r="P245">
        <v>169880.87</v>
      </c>
      <c r="Q245">
        <v>30.5</v>
      </c>
      <c r="R245">
        <v>18</v>
      </c>
      <c r="S245">
        <v>12.5</v>
      </c>
      <c r="T245" s="274">
        <f t="shared" si="9"/>
        <v>61</v>
      </c>
      <c r="U245">
        <v>88036.66</v>
      </c>
      <c r="V245">
        <v>38.89</v>
      </c>
      <c r="W245">
        <v>24226.3</v>
      </c>
      <c r="X245">
        <v>23.73</v>
      </c>
      <c r="Y245">
        <v>0</v>
      </c>
      <c r="Z245">
        <v>0</v>
      </c>
      <c r="AA245">
        <v>229744.35</v>
      </c>
      <c r="AB245">
        <v>0</v>
      </c>
      <c r="AC245">
        <v>0</v>
      </c>
      <c r="AD245">
        <v>59200.160000000003</v>
      </c>
      <c r="AE245">
        <v>375391.82</v>
      </c>
      <c r="AF245">
        <v>0</v>
      </c>
      <c r="AG245">
        <v>175857.05</v>
      </c>
      <c r="AH245">
        <v>1.1200000000000001</v>
      </c>
      <c r="AI245">
        <v>68937</v>
      </c>
      <c r="AJ245">
        <v>67585</v>
      </c>
      <c r="AK245">
        <v>100321</v>
      </c>
      <c r="AL245">
        <v>102327</v>
      </c>
      <c r="AM245">
        <v>48483</v>
      </c>
      <c r="AN245">
        <v>49453</v>
      </c>
      <c r="AO245">
        <v>1.1200000000000001</v>
      </c>
      <c r="AP245">
        <v>992481.44</v>
      </c>
      <c r="AQ245">
        <v>59947.43</v>
      </c>
      <c r="AR245">
        <v>13.503</v>
      </c>
      <c r="AS245">
        <v>4.8578999999999997E-2</v>
      </c>
      <c r="AT245">
        <v>4.0270000000000002E-3</v>
      </c>
      <c r="AU245">
        <v>1.7100000000000001E-2</v>
      </c>
    </row>
    <row r="246" spans="1:47">
      <c r="A246" s="2" t="s">
        <v>401</v>
      </c>
      <c r="B246" s="2" t="s">
        <v>402</v>
      </c>
      <c r="C246">
        <v>11034.88</v>
      </c>
      <c r="D246">
        <v>487.69</v>
      </c>
      <c r="E246">
        <v>5381602.9199999999</v>
      </c>
      <c r="F246">
        <v>1</v>
      </c>
      <c r="G246">
        <v>53.5</v>
      </c>
      <c r="H246">
        <v>31.5</v>
      </c>
      <c r="I246" s="274">
        <v>86</v>
      </c>
      <c r="J246">
        <v>10951.15</v>
      </c>
      <c r="K246">
        <v>512221.33</v>
      </c>
      <c r="L246">
        <v>297838.68</v>
      </c>
      <c r="M246">
        <v>-169790.1</v>
      </c>
      <c r="N246">
        <v>828478.38</v>
      </c>
      <c r="O246" s="274">
        <v>72288.759999999995</v>
      </c>
      <c r="P246">
        <v>153715.41</v>
      </c>
      <c r="Q246">
        <v>0</v>
      </c>
      <c r="R246">
        <v>0</v>
      </c>
      <c r="S246">
        <v>0</v>
      </c>
      <c r="T246" s="274">
        <f t="shared" si="9"/>
        <v>0</v>
      </c>
      <c r="U246">
        <v>0</v>
      </c>
      <c r="V246">
        <v>24.38</v>
      </c>
      <c r="W246">
        <v>15141.44</v>
      </c>
      <c r="X246">
        <v>44.06</v>
      </c>
      <c r="Y246">
        <v>6.05</v>
      </c>
      <c r="Z246">
        <v>0</v>
      </c>
      <c r="AA246">
        <v>426381.36</v>
      </c>
      <c r="AB246">
        <v>58537.31</v>
      </c>
      <c r="AC246">
        <v>0</v>
      </c>
      <c r="AD246">
        <v>78917.399999999994</v>
      </c>
      <c r="AE246">
        <v>686133.57</v>
      </c>
      <c r="AF246">
        <v>157038.39000000001</v>
      </c>
      <c r="AG246">
        <v>256647.44</v>
      </c>
      <c r="AH246">
        <v>1.1200000000000001</v>
      </c>
      <c r="AI246">
        <v>68937</v>
      </c>
      <c r="AJ246">
        <v>67585</v>
      </c>
      <c r="AK246">
        <v>100321</v>
      </c>
      <c r="AL246">
        <v>102327</v>
      </c>
      <c r="AM246">
        <v>48483</v>
      </c>
      <c r="AN246">
        <v>49453</v>
      </c>
      <c r="AO246">
        <v>1.1200000000000001</v>
      </c>
      <c r="AP246">
        <v>654246.74</v>
      </c>
      <c r="AQ246">
        <v>44950.76</v>
      </c>
      <c r="AR246">
        <v>11.496</v>
      </c>
      <c r="AS246">
        <v>4.8578999999999997E-2</v>
      </c>
      <c r="AT246">
        <v>4.0270000000000002E-3</v>
      </c>
      <c r="AU246">
        <v>1.7100000000000001E-2</v>
      </c>
    </row>
    <row r="247" spans="1:47">
      <c r="A247" s="2" t="s">
        <v>403</v>
      </c>
      <c r="B247" s="2" t="s">
        <v>404</v>
      </c>
      <c r="C247">
        <v>9695.39</v>
      </c>
      <c r="D247">
        <v>3274.74</v>
      </c>
      <c r="E247">
        <v>31749892.329999998</v>
      </c>
      <c r="F247">
        <v>26</v>
      </c>
      <c r="G247">
        <v>350.25</v>
      </c>
      <c r="H247">
        <v>137</v>
      </c>
      <c r="I247" s="274">
        <v>513.25</v>
      </c>
      <c r="J247">
        <v>285330.32</v>
      </c>
      <c r="K247">
        <v>3360081.75</v>
      </c>
      <c r="L247">
        <v>1297951.1399999999</v>
      </c>
      <c r="M247">
        <v>-391856.23</v>
      </c>
      <c r="N247">
        <v>4649739.05</v>
      </c>
      <c r="O247" s="274">
        <v>495537.16000000003</v>
      </c>
      <c r="P247">
        <v>956291.71</v>
      </c>
      <c r="Q247">
        <v>424</v>
      </c>
      <c r="R247">
        <v>310.75</v>
      </c>
      <c r="S247">
        <v>73.75</v>
      </c>
      <c r="T247" s="274">
        <f t="shared" si="9"/>
        <v>808.5</v>
      </c>
      <c r="U247">
        <v>1295478.7</v>
      </c>
      <c r="V247">
        <v>163.74</v>
      </c>
      <c r="W247">
        <v>105231.85</v>
      </c>
      <c r="X247">
        <v>316.22000000000003</v>
      </c>
      <c r="Y247">
        <v>81.25</v>
      </c>
      <c r="Z247">
        <v>0</v>
      </c>
      <c r="AA247">
        <v>3141091.02</v>
      </c>
      <c r="AB247">
        <v>805991.83</v>
      </c>
      <c r="AC247">
        <v>0</v>
      </c>
      <c r="AD247">
        <v>276323.03999999998</v>
      </c>
      <c r="AE247">
        <v>2078284.39</v>
      </c>
      <c r="AF247">
        <v>455521.06</v>
      </c>
      <c r="AG247">
        <v>1201294.52</v>
      </c>
      <c r="AH247">
        <v>1.1599999999999999</v>
      </c>
      <c r="AI247">
        <v>68937</v>
      </c>
      <c r="AJ247">
        <v>67585</v>
      </c>
      <c r="AK247">
        <v>100321</v>
      </c>
      <c r="AL247">
        <v>102327</v>
      </c>
      <c r="AM247">
        <v>48483</v>
      </c>
      <c r="AN247">
        <v>49453</v>
      </c>
      <c r="AO247">
        <v>1.1200000000000001</v>
      </c>
      <c r="AP247">
        <v>3927690.47</v>
      </c>
      <c r="AQ247">
        <v>247558.09</v>
      </c>
      <c r="AR247">
        <v>58.944000000000003</v>
      </c>
      <c r="AS247">
        <v>4.8578999999999997E-2</v>
      </c>
      <c r="AT247">
        <v>4.0270000000000002E-3</v>
      </c>
      <c r="AU247">
        <v>1.7100000000000001E-2</v>
      </c>
    </row>
    <row r="248" spans="1:47">
      <c r="A248" s="2" t="s">
        <v>405</v>
      </c>
      <c r="B248" s="2" t="s">
        <v>406</v>
      </c>
      <c r="C248">
        <v>9459.32</v>
      </c>
      <c r="D248">
        <v>4285.75</v>
      </c>
      <c r="E248">
        <v>40540276.539999999</v>
      </c>
      <c r="F248">
        <v>49.75</v>
      </c>
      <c r="G248">
        <v>521.5</v>
      </c>
      <c r="H248">
        <v>227.75</v>
      </c>
      <c r="I248" s="274">
        <v>799</v>
      </c>
      <c r="J248">
        <v>536408.38</v>
      </c>
      <c r="K248">
        <v>4914953.88</v>
      </c>
      <c r="L248">
        <v>2119772.06</v>
      </c>
      <c r="M248">
        <v>-1532477.96</v>
      </c>
      <c r="N248">
        <v>7006006.7699999996</v>
      </c>
      <c r="O248" s="274">
        <v>674794.21000000008</v>
      </c>
      <c r="P248">
        <v>1608287.24</v>
      </c>
      <c r="Q248">
        <v>221</v>
      </c>
      <c r="R248">
        <v>117.75</v>
      </c>
      <c r="S248">
        <v>43.25</v>
      </c>
      <c r="T248" s="274">
        <f t="shared" si="9"/>
        <v>382</v>
      </c>
      <c r="U248">
        <v>572130.21</v>
      </c>
      <c r="V248">
        <v>214.29</v>
      </c>
      <c r="W248">
        <v>133461</v>
      </c>
      <c r="X248">
        <v>304.77</v>
      </c>
      <c r="Y248">
        <v>23.22</v>
      </c>
      <c r="Z248">
        <v>0</v>
      </c>
      <c r="AA248">
        <v>2950665.7</v>
      </c>
      <c r="AB248">
        <v>224547.77</v>
      </c>
      <c r="AC248">
        <v>0</v>
      </c>
      <c r="AD248">
        <v>346584.94</v>
      </c>
      <c r="AE248">
        <v>3131635.26</v>
      </c>
      <c r="AF248">
        <v>685258.42</v>
      </c>
      <c r="AG248">
        <v>1463528.55</v>
      </c>
      <c r="AH248">
        <v>1.1200000000000001</v>
      </c>
      <c r="AI248">
        <v>68937</v>
      </c>
      <c r="AJ248">
        <v>67585</v>
      </c>
      <c r="AK248">
        <v>100321</v>
      </c>
      <c r="AL248">
        <v>102327</v>
      </c>
      <c r="AM248">
        <v>48483</v>
      </c>
      <c r="AN248">
        <v>49453</v>
      </c>
      <c r="AO248">
        <v>1.1200000000000001</v>
      </c>
      <c r="AP248">
        <v>5178327.17</v>
      </c>
      <c r="AQ248">
        <v>320131.21000000002</v>
      </c>
      <c r="AR248">
        <v>82.665999999999997</v>
      </c>
      <c r="AS248">
        <v>4.8578999999999997E-2</v>
      </c>
      <c r="AT248">
        <v>4.0270000000000002E-3</v>
      </c>
      <c r="AU248">
        <v>1.7100000000000001E-2</v>
      </c>
    </row>
    <row r="249" spans="1:47">
      <c r="A249" s="2" t="s">
        <v>407</v>
      </c>
      <c r="B249" s="2" t="s">
        <v>408</v>
      </c>
      <c r="C249">
        <v>9390.0400000000009</v>
      </c>
      <c r="D249">
        <v>2510.2800000000002</v>
      </c>
      <c r="E249">
        <v>23571638.050000001</v>
      </c>
      <c r="F249">
        <v>39.75</v>
      </c>
      <c r="G249">
        <v>161.5</v>
      </c>
      <c r="H249">
        <v>111.75</v>
      </c>
      <c r="I249" s="274">
        <v>313</v>
      </c>
      <c r="J249">
        <v>427053.95</v>
      </c>
      <c r="K249">
        <v>1516763.79</v>
      </c>
      <c r="L249">
        <v>1036475.57</v>
      </c>
      <c r="M249">
        <v>0</v>
      </c>
      <c r="N249">
        <v>2552747.9500000002</v>
      </c>
      <c r="O249" s="274">
        <v>328699.63</v>
      </c>
      <c r="P249">
        <v>592258.98</v>
      </c>
      <c r="Q249">
        <v>29.75</v>
      </c>
      <c r="R249">
        <v>18.25</v>
      </c>
      <c r="S249">
        <v>16</v>
      </c>
      <c r="T249" s="274">
        <f t="shared" si="9"/>
        <v>64</v>
      </c>
      <c r="U249">
        <v>90524.19</v>
      </c>
      <c r="V249">
        <v>125.51</v>
      </c>
      <c r="W249">
        <v>78194.73</v>
      </c>
      <c r="X249">
        <v>111.21</v>
      </c>
      <c r="Y249">
        <v>7.63</v>
      </c>
      <c r="Z249">
        <v>0</v>
      </c>
      <c r="AA249">
        <v>1076580.1100000001</v>
      </c>
      <c r="AB249">
        <v>73591.360000000001</v>
      </c>
      <c r="AC249">
        <v>0</v>
      </c>
      <c r="AD249">
        <v>119282.26</v>
      </c>
      <c r="AE249">
        <v>1042484.05</v>
      </c>
      <c r="AF249">
        <v>18277.89</v>
      </c>
      <c r="AG249">
        <v>455216.64000000001</v>
      </c>
      <c r="AH249">
        <v>1.1200000000000001</v>
      </c>
      <c r="AI249">
        <v>68937</v>
      </c>
      <c r="AJ249">
        <v>67585</v>
      </c>
      <c r="AK249">
        <v>100321</v>
      </c>
      <c r="AL249">
        <v>102327</v>
      </c>
      <c r="AM249">
        <v>48483</v>
      </c>
      <c r="AN249">
        <v>49453</v>
      </c>
      <c r="AO249">
        <v>1.1599999999999999</v>
      </c>
      <c r="AP249">
        <v>3128856.73</v>
      </c>
      <c r="AQ249">
        <v>191621.93</v>
      </c>
      <c r="AR249">
        <v>48.43</v>
      </c>
      <c r="AS249">
        <v>4.8578999999999997E-2</v>
      </c>
      <c r="AT249">
        <v>4.0270000000000002E-3</v>
      </c>
      <c r="AU249">
        <v>1.7100000000000001E-2</v>
      </c>
    </row>
    <row r="250" spans="1:47">
      <c r="A250" s="2" t="s">
        <v>409</v>
      </c>
      <c r="B250" s="2" t="s">
        <v>410</v>
      </c>
      <c r="C250">
        <v>10050.57</v>
      </c>
      <c r="D250">
        <v>577.57000000000005</v>
      </c>
      <c r="E250">
        <v>5804910.0099999998</v>
      </c>
      <c r="F250">
        <v>3</v>
      </c>
      <c r="G250">
        <v>74.25</v>
      </c>
      <c r="H250">
        <v>12.25</v>
      </c>
      <c r="I250" s="274">
        <v>89.5</v>
      </c>
      <c r="J250">
        <v>32432.83</v>
      </c>
      <c r="K250">
        <v>701605.04</v>
      </c>
      <c r="L250">
        <v>114313.52</v>
      </c>
      <c r="M250">
        <v>-64561.09</v>
      </c>
      <c r="N250">
        <v>813170.93</v>
      </c>
      <c r="O250" s="274">
        <v>85912.459999999992</v>
      </c>
      <c r="P250">
        <v>157413.96</v>
      </c>
      <c r="Q250">
        <v>4.25</v>
      </c>
      <c r="R250">
        <v>6.75</v>
      </c>
      <c r="S250">
        <v>1</v>
      </c>
      <c r="T250" s="274">
        <f t="shared" si="9"/>
        <v>12</v>
      </c>
      <c r="U250">
        <v>20529.849999999999</v>
      </c>
      <c r="V250">
        <v>28.88</v>
      </c>
      <c r="W250">
        <v>18521.5</v>
      </c>
      <c r="X250">
        <v>15.18</v>
      </c>
      <c r="Y250">
        <v>0</v>
      </c>
      <c r="Z250">
        <v>0</v>
      </c>
      <c r="AA250">
        <v>149905.16</v>
      </c>
      <c r="AB250">
        <v>0</v>
      </c>
      <c r="AC250">
        <v>0</v>
      </c>
      <c r="AD250">
        <v>74161.899999999994</v>
      </c>
      <c r="AE250">
        <v>580603.92000000004</v>
      </c>
      <c r="AF250">
        <v>123067.57</v>
      </c>
      <c r="AG250">
        <v>239440.63</v>
      </c>
      <c r="AH250">
        <v>1.1200000000000001</v>
      </c>
      <c r="AI250">
        <v>68937</v>
      </c>
      <c r="AJ250">
        <v>67585</v>
      </c>
      <c r="AK250">
        <v>100321</v>
      </c>
      <c r="AL250">
        <v>102327</v>
      </c>
      <c r="AM250">
        <v>48483</v>
      </c>
      <c r="AN250">
        <v>49453</v>
      </c>
      <c r="AO250">
        <v>1.1200000000000001</v>
      </c>
      <c r="AP250">
        <v>794788</v>
      </c>
      <c r="AQ250">
        <v>50509.58</v>
      </c>
      <c r="AR250">
        <v>9.7919999999999998</v>
      </c>
      <c r="AS250">
        <v>4.8578999999999997E-2</v>
      </c>
      <c r="AT250">
        <v>4.0270000000000002E-3</v>
      </c>
      <c r="AU250">
        <v>1.7100000000000001E-2</v>
      </c>
    </row>
    <row r="251" spans="1:47">
      <c r="A251" s="2" t="s">
        <v>411</v>
      </c>
      <c r="B251" s="2" t="s">
        <v>412</v>
      </c>
      <c r="C251">
        <v>9655.5300000000007</v>
      </c>
      <c r="D251">
        <v>450.67</v>
      </c>
      <c r="E251">
        <v>4351455.7300000004</v>
      </c>
      <c r="F251">
        <v>2</v>
      </c>
      <c r="G251">
        <v>36.25</v>
      </c>
      <c r="H251">
        <v>7</v>
      </c>
      <c r="I251" s="274">
        <v>45.25</v>
      </c>
      <c r="J251">
        <v>22205.17</v>
      </c>
      <c r="K251">
        <v>351834.1</v>
      </c>
      <c r="L251">
        <v>67095.62</v>
      </c>
      <c r="M251">
        <v>0</v>
      </c>
      <c r="N251">
        <v>407899.25</v>
      </c>
      <c r="O251" s="274">
        <v>43712.030000000006</v>
      </c>
      <c r="P251">
        <v>62660.58</v>
      </c>
      <c r="Q251">
        <v>24.75</v>
      </c>
      <c r="R251">
        <v>7</v>
      </c>
      <c r="S251">
        <v>0</v>
      </c>
      <c r="T251" s="274">
        <f t="shared" si="9"/>
        <v>31.75</v>
      </c>
      <c r="U251">
        <v>48556.18</v>
      </c>
      <c r="V251">
        <v>22.53</v>
      </c>
      <c r="W251">
        <v>14281.21</v>
      </c>
      <c r="X251">
        <v>0</v>
      </c>
      <c r="Y251">
        <v>0</v>
      </c>
      <c r="Z251">
        <v>0</v>
      </c>
      <c r="AA251">
        <v>0</v>
      </c>
      <c r="AB251">
        <v>0</v>
      </c>
      <c r="AC251">
        <v>0</v>
      </c>
      <c r="AD251">
        <v>43857.84</v>
      </c>
      <c r="AE251">
        <v>216571</v>
      </c>
      <c r="AF251">
        <v>0</v>
      </c>
      <c r="AG251">
        <v>57124.91</v>
      </c>
      <c r="AH251">
        <v>1.1000000000000001</v>
      </c>
      <c r="AI251">
        <v>68937</v>
      </c>
      <c r="AJ251">
        <v>67585</v>
      </c>
      <c r="AK251">
        <v>100321</v>
      </c>
      <c r="AL251">
        <v>102327</v>
      </c>
      <c r="AM251">
        <v>48483</v>
      </c>
      <c r="AN251">
        <v>49453</v>
      </c>
      <c r="AO251">
        <v>1.1200000000000001</v>
      </c>
      <c r="AP251">
        <v>603956.4</v>
      </c>
      <c r="AQ251">
        <v>40657.83</v>
      </c>
      <c r="AR251">
        <v>13.475</v>
      </c>
      <c r="AS251">
        <v>4.8578999999999997E-2</v>
      </c>
      <c r="AT251">
        <v>4.0270000000000002E-3</v>
      </c>
      <c r="AU251">
        <v>1.7100000000000001E-2</v>
      </c>
    </row>
    <row r="252" spans="1:47">
      <c r="A252" s="2" t="s">
        <v>413</v>
      </c>
      <c r="B252" s="2" t="s">
        <v>414</v>
      </c>
      <c r="C252">
        <v>9506.7999999999993</v>
      </c>
      <c r="D252">
        <v>6582.57</v>
      </c>
      <c r="E252">
        <v>62579177.009999998</v>
      </c>
      <c r="F252">
        <v>81.25</v>
      </c>
      <c r="G252">
        <v>514</v>
      </c>
      <c r="H252">
        <v>344</v>
      </c>
      <c r="I252" s="274">
        <v>939.25</v>
      </c>
      <c r="J252">
        <v>875449.58</v>
      </c>
      <c r="K252">
        <v>4841073.12</v>
      </c>
      <c r="L252">
        <v>3199651.74</v>
      </c>
      <c r="M252">
        <v>0</v>
      </c>
      <c r="N252">
        <v>8038910.8799999999</v>
      </c>
      <c r="O252" s="274">
        <v>1001202.9299999999</v>
      </c>
      <c r="P252">
        <v>1976551.15</v>
      </c>
      <c r="Q252">
        <v>989.25</v>
      </c>
      <c r="R252">
        <v>579.25</v>
      </c>
      <c r="S252">
        <v>182.75</v>
      </c>
      <c r="T252" s="274">
        <f t="shared" si="9"/>
        <v>1751.25</v>
      </c>
      <c r="U252">
        <v>2653645.89</v>
      </c>
      <c r="V252">
        <v>329.13</v>
      </c>
      <c r="W252">
        <v>204950.24</v>
      </c>
      <c r="X252">
        <v>421.29</v>
      </c>
      <c r="Y252">
        <v>0</v>
      </c>
      <c r="Z252">
        <v>191.36</v>
      </c>
      <c r="AA252">
        <v>4078486.97</v>
      </c>
      <c r="AB252">
        <v>0</v>
      </c>
      <c r="AC252">
        <v>2105468.41</v>
      </c>
      <c r="AD252">
        <v>458839.59</v>
      </c>
      <c r="AE252">
        <v>2909420.41</v>
      </c>
      <c r="AF252">
        <v>1922206.09</v>
      </c>
      <c r="AG252">
        <v>2861516.27</v>
      </c>
      <c r="AH252">
        <v>1.1200000000000001</v>
      </c>
      <c r="AI252">
        <v>68937</v>
      </c>
      <c r="AJ252">
        <v>67585</v>
      </c>
      <c r="AK252">
        <v>100321</v>
      </c>
      <c r="AL252">
        <v>102327</v>
      </c>
      <c r="AM252">
        <v>48483</v>
      </c>
      <c r="AN252">
        <v>49453</v>
      </c>
      <c r="AO252">
        <v>1.1200000000000001</v>
      </c>
      <c r="AP252">
        <v>7644306.7800000003</v>
      </c>
      <c r="AQ252">
        <v>470361.87</v>
      </c>
      <c r="AR252">
        <v>121.774</v>
      </c>
      <c r="AS252">
        <v>4.8578999999999997E-2</v>
      </c>
      <c r="AT252">
        <v>4.0270000000000002E-3</v>
      </c>
      <c r="AU252">
        <v>1.7100000000000001E-2</v>
      </c>
    </row>
    <row r="253" spans="1:47">
      <c r="A253" s="2" t="s">
        <v>1145</v>
      </c>
      <c r="B253" s="2" t="s">
        <v>1146</v>
      </c>
      <c r="C253">
        <v>0</v>
      </c>
      <c r="D253">
        <v>0</v>
      </c>
      <c r="E253">
        <v>0</v>
      </c>
      <c r="F253">
        <v>0</v>
      </c>
      <c r="G253">
        <v>0</v>
      </c>
      <c r="H253">
        <v>0</v>
      </c>
      <c r="I253" s="274">
        <v>0</v>
      </c>
      <c r="J253">
        <v>0</v>
      </c>
      <c r="K253">
        <v>0</v>
      </c>
      <c r="L253">
        <v>0</v>
      </c>
      <c r="M253">
        <v>0</v>
      </c>
      <c r="N253">
        <v>0</v>
      </c>
      <c r="O253" s="274">
        <v>0</v>
      </c>
      <c r="P253">
        <v>0</v>
      </c>
      <c r="Q253">
        <v>0</v>
      </c>
      <c r="R253">
        <v>0</v>
      </c>
      <c r="S253">
        <v>0</v>
      </c>
      <c r="T253" s="274">
        <f t="shared" si="9"/>
        <v>0</v>
      </c>
      <c r="U253">
        <v>0</v>
      </c>
      <c r="V253">
        <v>0</v>
      </c>
      <c r="W253">
        <v>0</v>
      </c>
      <c r="X253">
        <v>0</v>
      </c>
      <c r="Y253">
        <v>0</v>
      </c>
      <c r="Z253">
        <v>0</v>
      </c>
      <c r="AA253">
        <v>0</v>
      </c>
      <c r="AB253">
        <v>0</v>
      </c>
      <c r="AC253">
        <v>0</v>
      </c>
      <c r="AD253">
        <v>0</v>
      </c>
      <c r="AE253">
        <v>0</v>
      </c>
      <c r="AF253">
        <v>0</v>
      </c>
      <c r="AG253">
        <v>0</v>
      </c>
      <c r="AH253">
        <v>0</v>
      </c>
      <c r="AI253">
        <v>0</v>
      </c>
      <c r="AJ253">
        <v>0</v>
      </c>
      <c r="AK253">
        <v>100321</v>
      </c>
      <c r="AL253">
        <v>102327</v>
      </c>
      <c r="AM253">
        <v>48483</v>
      </c>
      <c r="AN253">
        <v>49453</v>
      </c>
      <c r="AO253">
        <v>1.1000000000000001</v>
      </c>
      <c r="AP253">
        <v>0</v>
      </c>
      <c r="AQ253">
        <v>0</v>
      </c>
      <c r="AR253">
        <v>0</v>
      </c>
      <c r="AS253">
        <v>4.8578999999999997E-2</v>
      </c>
      <c r="AT253">
        <v>4.0270000000000002E-3</v>
      </c>
      <c r="AU253">
        <v>1.7100000000000001E-2</v>
      </c>
    </row>
    <row r="254" spans="1:47">
      <c r="A254" s="2" t="s">
        <v>1147</v>
      </c>
      <c r="B254" s="2" t="s">
        <v>1148</v>
      </c>
      <c r="C254">
        <v>0</v>
      </c>
      <c r="D254">
        <v>0</v>
      </c>
      <c r="E254">
        <v>0</v>
      </c>
      <c r="F254">
        <v>0</v>
      </c>
      <c r="G254">
        <v>0</v>
      </c>
      <c r="H254">
        <v>0</v>
      </c>
      <c r="I254" s="274">
        <v>0</v>
      </c>
      <c r="J254">
        <v>0</v>
      </c>
      <c r="K254">
        <v>0</v>
      </c>
      <c r="L254">
        <v>0</v>
      </c>
      <c r="M254">
        <v>0</v>
      </c>
      <c r="N254">
        <v>0</v>
      </c>
      <c r="O254" s="274">
        <v>0</v>
      </c>
      <c r="P254">
        <v>0</v>
      </c>
      <c r="Q254">
        <v>0</v>
      </c>
      <c r="R254">
        <v>0</v>
      </c>
      <c r="S254">
        <v>0</v>
      </c>
      <c r="T254" s="274">
        <f t="shared" si="9"/>
        <v>0</v>
      </c>
      <c r="U254">
        <v>0</v>
      </c>
      <c r="V254">
        <v>0</v>
      </c>
      <c r="W254">
        <v>0</v>
      </c>
      <c r="X254">
        <v>0</v>
      </c>
      <c r="Y254">
        <v>0</v>
      </c>
      <c r="Z254">
        <v>0</v>
      </c>
      <c r="AA254">
        <v>0</v>
      </c>
      <c r="AB254">
        <v>0</v>
      </c>
      <c r="AC254">
        <v>0</v>
      </c>
      <c r="AD254">
        <v>0</v>
      </c>
      <c r="AE254">
        <v>0</v>
      </c>
      <c r="AF254">
        <v>0</v>
      </c>
      <c r="AG254">
        <v>0</v>
      </c>
      <c r="AH254">
        <v>0</v>
      </c>
      <c r="AI254">
        <v>0</v>
      </c>
      <c r="AJ254">
        <v>0</v>
      </c>
      <c r="AK254">
        <v>100321</v>
      </c>
      <c r="AL254">
        <v>102327</v>
      </c>
      <c r="AM254">
        <v>48483</v>
      </c>
      <c r="AN254">
        <v>49453</v>
      </c>
      <c r="AO254">
        <v>1.1200000000000001</v>
      </c>
      <c r="AP254">
        <v>0</v>
      </c>
      <c r="AQ254">
        <v>0</v>
      </c>
      <c r="AR254">
        <v>0</v>
      </c>
      <c r="AS254">
        <v>4.8578999999999997E-2</v>
      </c>
      <c r="AT254">
        <v>4.0270000000000002E-3</v>
      </c>
      <c r="AU254">
        <v>1.7100000000000001E-2</v>
      </c>
    </row>
    <row r="255" spans="1:47">
      <c r="A255" s="2" t="s">
        <v>415</v>
      </c>
      <c r="B255" s="2" t="s">
        <v>416</v>
      </c>
      <c r="C255">
        <v>11380.51</v>
      </c>
      <c r="D255">
        <v>65.2</v>
      </c>
      <c r="E255">
        <v>742009.41</v>
      </c>
      <c r="F255">
        <v>0.25</v>
      </c>
      <c r="G255">
        <v>9</v>
      </c>
      <c r="H255">
        <v>0</v>
      </c>
      <c r="I255" s="274">
        <v>9.25</v>
      </c>
      <c r="J255">
        <v>2469.42</v>
      </c>
      <c r="K255">
        <v>77695.649999999994</v>
      </c>
      <c r="L255">
        <v>0</v>
      </c>
      <c r="M255">
        <v>-8598.73</v>
      </c>
      <c r="N255">
        <v>77303.61</v>
      </c>
      <c r="O255" s="274">
        <v>0</v>
      </c>
      <c r="P255">
        <v>13471.7</v>
      </c>
      <c r="Q255">
        <v>0</v>
      </c>
      <c r="R255">
        <v>0</v>
      </c>
      <c r="S255">
        <v>0</v>
      </c>
      <c r="T255" s="274">
        <f t="shared" si="9"/>
        <v>0</v>
      </c>
      <c r="U255">
        <v>0</v>
      </c>
      <c r="V255">
        <v>0</v>
      </c>
      <c r="W255">
        <v>0</v>
      </c>
      <c r="X255">
        <v>0</v>
      </c>
      <c r="Y255">
        <v>0</v>
      </c>
      <c r="Z255">
        <v>0</v>
      </c>
      <c r="AA255">
        <v>0</v>
      </c>
      <c r="AB255">
        <v>0</v>
      </c>
      <c r="AC255">
        <v>0</v>
      </c>
      <c r="AD255">
        <v>27548.77</v>
      </c>
      <c r="AE255">
        <v>86577.14</v>
      </c>
      <c r="AF255">
        <v>18099.439999999999</v>
      </c>
      <c r="AG255">
        <v>13599.03</v>
      </c>
      <c r="AH255">
        <v>1</v>
      </c>
      <c r="AI255">
        <v>68937</v>
      </c>
      <c r="AJ255">
        <v>67585</v>
      </c>
      <c r="AK255">
        <v>0</v>
      </c>
      <c r="AL255">
        <v>0</v>
      </c>
      <c r="AM255">
        <v>0</v>
      </c>
      <c r="AN255">
        <v>0</v>
      </c>
      <c r="AO255">
        <v>0</v>
      </c>
      <c r="AP255">
        <v>95787.12</v>
      </c>
      <c r="AQ255">
        <v>6500.69</v>
      </c>
      <c r="AR255">
        <v>2.7040000000000002</v>
      </c>
      <c r="AS255">
        <v>4.8578999999999997E-2</v>
      </c>
      <c r="AT255">
        <v>4.0270000000000002E-3</v>
      </c>
      <c r="AU255">
        <v>1.7100000000000001E-2</v>
      </c>
    </row>
    <row r="256" spans="1:47">
      <c r="A256" s="2" t="s">
        <v>417</v>
      </c>
      <c r="B256" s="2" t="s">
        <v>418</v>
      </c>
      <c r="C256">
        <v>11325.75</v>
      </c>
      <c r="D256">
        <v>59.8</v>
      </c>
      <c r="E256">
        <v>677279.93</v>
      </c>
      <c r="F256">
        <v>0</v>
      </c>
      <c r="G256">
        <v>4.5</v>
      </c>
      <c r="H256">
        <v>0</v>
      </c>
      <c r="I256" s="274">
        <v>4.5</v>
      </c>
      <c r="J256">
        <v>0</v>
      </c>
      <c r="K256">
        <v>38847.82</v>
      </c>
      <c r="L256">
        <v>0</v>
      </c>
      <c r="M256">
        <v>-4299.3599999999997</v>
      </c>
      <c r="N256">
        <v>38651.81</v>
      </c>
      <c r="O256" s="274">
        <v>0</v>
      </c>
      <c r="P256">
        <v>6534.42</v>
      </c>
      <c r="Q256">
        <v>0</v>
      </c>
      <c r="R256">
        <v>0</v>
      </c>
      <c r="S256">
        <v>0</v>
      </c>
      <c r="T256" s="274">
        <f t="shared" si="9"/>
        <v>0</v>
      </c>
      <c r="U256">
        <v>0</v>
      </c>
      <c r="V256">
        <v>2.99</v>
      </c>
      <c r="W256">
        <v>1750.89</v>
      </c>
      <c r="X256">
        <v>0</v>
      </c>
      <c r="Y256">
        <v>0</v>
      </c>
      <c r="Z256">
        <v>0</v>
      </c>
      <c r="AA256">
        <v>0</v>
      </c>
      <c r="AB256">
        <v>0</v>
      </c>
      <c r="AC256">
        <v>0</v>
      </c>
      <c r="AD256">
        <v>25998.25</v>
      </c>
      <c r="AE256">
        <v>74108.36</v>
      </c>
      <c r="AF256">
        <v>0</v>
      </c>
      <c r="AG256">
        <v>7724.54</v>
      </c>
      <c r="AH256">
        <v>1.06</v>
      </c>
      <c r="AI256">
        <v>68937</v>
      </c>
      <c r="AJ256">
        <v>67585</v>
      </c>
      <c r="AK256">
        <v>0</v>
      </c>
      <c r="AL256">
        <v>0</v>
      </c>
      <c r="AM256">
        <v>0</v>
      </c>
      <c r="AN256">
        <v>0</v>
      </c>
      <c r="AO256">
        <v>0</v>
      </c>
      <c r="AP256">
        <v>86816.26</v>
      </c>
      <c r="AQ256">
        <v>5790.6</v>
      </c>
      <c r="AR256">
        <v>1.821</v>
      </c>
      <c r="AS256">
        <v>4.8578999999999997E-2</v>
      </c>
      <c r="AT256">
        <v>4.0270000000000002E-3</v>
      </c>
      <c r="AU256">
        <v>1.7100000000000001E-2</v>
      </c>
    </row>
    <row r="257" spans="1:47">
      <c r="A257" s="2" t="s">
        <v>419</v>
      </c>
      <c r="B257" s="2" t="s">
        <v>420</v>
      </c>
      <c r="C257">
        <v>71259.960000000006</v>
      </c>
      <c r="D257">
        <v>25.99</v>
      </c>
      <c r="E257">
        <v>1852046.43</v>
      </c>
      <c r="F257">
        <v>0</v>
      </c>
      <c r="G257">
        <v>4.25</v>
      </c>
      <c r="H257">
        <v>1</v>
      </c>
      <c r="I257" s="274">
        <v>5.25</v>
      </c>
      <c r="J257">
        <v>0</v>
      </c>
      <c r="K257">
        <v>36689.61</v>
      </c>
      <c r="L257">
        <v>8525.48</v>
      </c>
      <c r="M257">
        <v>-5004.04</v>
      </c>
      <c r="N257">
        <v>45093.77</v>
      </c>
      <c r="O257" s="274">
        <v>0</v>
      </c>
      <c r="P257">
        <v>7782.54</v>
      </c>
      <c r="Q257">
        <v>0</v>
      </c>
      <c r="R257">
        <v>0</v>
      </c>
      <c r="S257">
        <v>0</v>
      </c>
      <c r="T257" s="274">
        <f t="shared" si="9"/>
        <v>0</v>
      </c>
      <c r="U257">
        <v>0</v>
      </c>
      <c r="V257">
        <v>0</v>
      </c>
      <c r="W257">
        <v>0</v>
      </c>
      <c r="X257">
        <v>0</v>
      </c>
      <c r="Y257">
        <v>0</v>
      </c>
      <c r="Z257">
        <v>0</v>
      </c>
      <c r="AA257">
        <v>0</v>
      </c>
      <c r="AB257">
        <v>0</v>
      </c>
      <c r="AC257">
        <v>0</v>
      </c>
      <c r="AD257">
        <v>9015.39</v>
      </c>
      <c r="AE257">
        <v>97432.8</v>
      </c>
      <c r="AF257">
        <v>9587.82</v>
      </c>
      <c r="AG257">
        <v>13207.7</v>
      </c>
      <c r="AH257">
        <v>1</v>
      </c>
      <c r="AI257">
        <v>68937</v>
      </c>
      <c r="AJ257">
        <v>67585</v>
      </c>
      <c r="AK257">
        <v>100321</v>
      </c>
      <c r="AL257">
        <v>102327</v>
      </c>
      <c r="AM257">
        <v>48483</v>
      </c>
      <c r="AN257">
        <v>49453</v>
      </c>
      <c r="AO257">
        <v>1</v>
      </c>
      <c r="AP257">
        <v>179659.65</v>
      </c>
      <c r="AQ257">
        <v>17374.46</v>
      </c>
      <c r="AR257">
        <v>0.69799999999999995</v>
      </c>
      <c r="AS257">
        <v>4.8578999999999997E-2</v>
      </c>
      <c r="AT257">
        <v>4.0270000000000002E-3</v>
      </c>
      <c r="AU257">
        <v>1.7100000000000001E-2</v>
      </c>
    </row>
    <row r="258" spans="1:47">
      <c r="A258" s="2" t="s">
        <v>421</v>
      </c>
      <c r="B258" s="2" t="s">
        <v>422</v>
      </c>
      <c r="C258">
        <v>8834.57</v>
      </c>
      <c r="D258">
        <v>783.81</v>
      </c>
      <c r="E258">
        <v>6924625.2999999998</v>
      </c>
      <c r="F258">
        <v>12</v>
      </c>
      <c r="G258">
        <v>80.75</v>
      </c>
      <c r="H258">
        <v>52</v>
      </c>
      <c r="I258" s="274">
        <v>144.75</v>
      </c>
      <c r="J258">
        <v>118532.2</v>
      </c>
      <c r="K258">
        <v>697102.61</v>
      </c>
      <c r="L258">
        <v>443325.14</v>
      </c>
      <c r="M258">
        <v>-126213.35</v>
      </c>
      <c r="N258">
        <v>1140228.25</v>
      </c>
      <c r="O258" s="274">
        <v>0</v>
      </c>
      <c r="P258">
        <v>217656.19</v>
      </c>
      <c r="Q258">
        <v>15</v>
      </c>
      <c r="R258">
        <v>3.5</v>
      </c>
      <c r="S258">
        <v>3</v>
      </c>
      <c r="T258" s="274">
        <f t="shared" si="9"/>
        <v>21.5</v>
      </c>
      <c r="U258">
        <v>27198.07</v>
      </c>
      <c r="V258">
        <v>39.19</v>
      </c>
      <c r="W258">
        <v>22110.65</v>
      </c>
      <c r="X258">
        <v>48.98</v>
      </c>
      <c r="Y258">
        <v>8.8800000000000008</v>
      </c>
      <c r="Z258">
        <v>0</v>
      </c>
      <c r="AA258">
        <v>436843.72</v>
      </c>
      <c r="AB258">
        <v>79190.53</v>
      </c>
      <c r="AC258">
        <v>0</v>
      </c>
      <c r="AD258">
        <v>77730.47</v>
      </c>
      <c r="AE258">
        <v>677764.27</v>
      </c>
      <c r="AF258">
        <v>156633.5</v>
      </c>
      <c r="AG258">
        <v>259262.18</v>
      </c>
      <c r="AH258">
        <v>1</v>
      </c>
      <c r="AI258">
        <v>68937</v>
      </c>
      <c r="AJ258">
        <v>67585</v>
      </c>
      <c r="AK258">
        <v>100321</v>
      </c>
      <c r="AL258">
        <v>102327</v>
      </c>
      <c r="AM258">
        <v>48483</v>
      </c>
      <c r="AN258">
        <v>49453</v>
      </c>
      <c r="AO258">
        <v>1.06</v>
      </c>
      <c r="AP258">
        <v>1022090.23</v>
      </c>
      <c r="AQ258">
        <v>55922.81</v>
      </c>
      <c r="AR258">
        <v>13.903</v>
      </c>
      <c r="AS258">
        <v>4.8578999999999997E-2</v>
      </c>
      <c r="AT258">
        <v>4.0270000000000002E-3</v>
      </c>
      <c r="AU258">
        <v>1.7100000000000001E-2</v>
      </c>
    </row>
    <row r="259" spans="1:47">
      <c r="A259" s="2" t="s">
        <v>423</v>
      </c>
      <c r="B259" s="2" t="s">
        <v>424</v>
      </c>
      <c r="C259">
        <v>9980.51</v>
      </c>
      <c r="D259">
        <v>19752.27</v>
      </c>
      <c r="E259">
        <v>197137675.28999999</v>
      </c>
      <c r="F259">
        <v>190</v>
      </c>
      <c r="G259">
        <v>1133.25</v>
      </c>
      <c r="H259">
        <v>1272.25</v>
      </c>
      <c r="I259" s="274">
        <v>2595.5</v>
      </c>
      <c r="J259">
        <v>2164214.1</v>
      </c>
      <c r="K259">
        <v>11284196.949999999</v>
      </c>
      <c r="L259">
        <v>12510753.9</v>
      </c>
      <c r="M259">
        <v>0</v>
      </c>
      <c r="N259">
        <v>23791497.739999998</v>
      </c>
      <c r="O259" s="274">
        <v>3156844.87</v>
      </c>
      <c r="P259">
        <v>6839576.1900000004</v>
      </c>
      <c r="Q259">
        <v>2337.5</v>
      </c>
      <c r="R259">
        <v>816.75</v>
      </c>
      <c r="S259">
        <v>751.75</v>
      </c>
      <c r="T259" s="274">
        <f t="shared" si="9"/>
        <v>3906</v>
      </c>
      <c r="U259">
        <v>5815906.7199999997</v>
      </c>
      <c r="V259">
        <v>987.61</v>
      </c>
      <c r="W259">
        <v>654072.39</v>
      </c>
      <c r="X259">
        <v>1098.77</v>
      </c>
      <c r="Y259">
        <v>416.83</v>
      </c>
      <c r="Z259">
        <v>0</v>
      </c>
      <c r="AA259">
        <v>11192509.949999999</v>
      </c>
      <c r="AB259">
        <v>4239938.3499999996</v>
      </c>
      <c r="AC259">
        <v>0</v>
      </c>
      <c r="AD259">
        <v>178959.62</v>
      </c>
      <c r="AE259">
        <v>10657250.4</v>
      </c>
      <c r="AF259">
        <v>2016397.25</v>
      </c>
      <c r="AG259">
        <v>5586877.8600000003</v>
      </c>
      <c r="AH259">
        <v>1.2</v>
      </c>
      <c r="AI259">
        <v>68937</v>
      </c>
      <c r="AJ259">
        <v>67585</v>
      </c>
      <c r="AK259">
        <v>100321</v>
      </c>
      <c r="AL259">
        <v>102327</v>
      </c>
      <c r="AM259">
        <v>48483</v>
      </c>
      <c r="AN259">
        <v>49453</v>
      </c>
      <c r="AO259">
        <v>1</v>
      </c>
      <c r="AP259">
        <v>24428150.539999999</v>
      </c>
      <c r="AQ259">
        <v>1629746.62</v>
      </c>
      <c r="AR259">
        <v>418.25799999999998</v>
      </c>
      <c r="AS259">
        <v>4.8578999999999997E-2</v>
      </c>
      <c r="AT259">
        <v>4.0270000000000002E-3</v>
      </c>
      <c r="AU259">
        <v>1.7100000000000001E-2</v>
      </c>
    </row>
    <row r="260" spans="1:47">
      <c r="A260" s="2" t="s">
        <v>425</v>
      </c>
      <c r="B260" s="2" t="s">
        <v>426</v>
      </c>
      <c r="C260">
        <v>9861.77</v>
      </c>
      <c r="D260">
        <v>9296.2000000000007</v>
      </c>
      <c r="E260">
        <v>91676951.340000004</v>
      </c>
      <c r="F260">
        <v>113.75</v>
      </c>
      <c r="G260">
        <v>707.75</v>
      </c>
      <c r="H260">
        <v>566.25</v>
      </c>
      <c r="I260" s="274">
        <v>1387.75</v>
      </c>
      <c r="J260">
        <v>1280986.6399999999</v>
      </c>
      <c r="K260">
        <v>6966287.0300000003</v>
      </c>
      <c r="L260">
        <v>5504208.9500000002</v>
      </c>
      <c r="M260">
        <v>-118940.9</v>
      </c>
      <c r="N260">
        <v>12483040.369999999</v>
      </c>
      <c r="O260" s="274">
        <v>1413228.5499999998</v>
      </c>
      <c r="P260">
        <v>3028908.71</v>
      </c>
      <c r="Q260">
        <v>446</v>
      </c>
      <c r="R260">
        <v>143.75</v>
      </c>
      <c r="S260">
        <v>148.75</v>
      </c>
      <c r="T260" s="274">
        <f t="shared" si="9"/>
        <v>738.5</v>
      </c>
      <c r="U260">
        <v>1089468.79</v>
      </c>
      <c r="V260">
        <v>464.81</v>
      </c>
      <c r="W260">
        <v>307825.82</v>
      </c>
      <c r="X260">
        <v>482.6</v>
      </c>
      <c r="Y260">
        <v>132.18</v>
      </c>
      <c r="Z260">
        <v>0</v>
      </c>
      <c r="AA260">
        <v>4915909.91</v>
      </c>
      <c r="AB260">
        <v>1344351.65</v>
      </c>
      <c r="AC260">
        <v>0</v>
      </c>
      <c r="AD260">
        <v>447503.32</v>
      </c>
      <c r="AE260">
        <v>5364075.74</v>
      </c>
      <c r="AF260">
        <v>0</v>
      </c>
      <c r="AG260">
        <v>1503699.3</v>
      </c>
      <c r="AH260">
        <v>1.2</v>
      </c>
      <c r="AI260">
        <v>68937</v>
      </c>
      <c r="AJ260">
        <v>67585</v>
      </c>
      <c r="AK260">
        <v>100321</v>
      </c>
      <c r="AL260">
        <v>102327</v>
      </c>
      <c r="AM260">
        <v>48483</v>
      </c>
      <c r="AN260">
        <v>49453</v>
      </c>
      <c r="AO260">
        <v>1</v>
      </c>
      <c r="AP260">
        <v>11802350.91</v>
      </c>
      <c r="AQ260">
        <v>768282.05</v>
      </c>
      <c r="AR260">
        <v>184.10499999999999</v>
      </c>
      <c r="AS260">
        <v>4.8578999999999997E-2</v>
      </c>
      <c r="AT260">
        <v>4.0270000000000002E-3</v>
      </c>
      <c r="AU260">
        <v>1.7100000000000001E-2</v>
      </c>
    </row>
    <row r="261" spans="1:47">
      <c r="A261" s="2" t="s">
        <v>427</v>
      </c>
      <c r="B261" s="2" t="s">
        <v>428</v>
      </c>
      <c r="C261">
        <v>10032.39</v>
      </c>
      <c r="D261">
        <v>15034.83</v>
      </c>
      <c r="E261">
        <v>150835335.22</v>
      </c>
      <c r="F261">
        <v>156</v>
      </c>
      <c r="G261">
        <v>1223.25</v>
      </c>
      <c r="H261">
        <v>755.75</v>
      </c>
      <c r="I261" s="274">
        <v>2135</v>
      </c>
      <c r="J261">
        <v>1776051.03</v>
      </c>
      <c r="K261">
        <v>12173783.539999999</v>
      </c>
      <c r="L261">
        <v>7427700.1299999999</v>
      </c>
      <c r="M261">
        <v>-14508.87</v>
      </c>
      <c r="N261">
        <v>19572201.149999999</v>
      </c>
      <c r="O261" s="274">
        <v>2363370.81</v>
      </c>
      <c r="P261">
        <v>5231029.72</v>
      </c>
      <c r="Q261">
        <v>2258.25</v>
      </c>
      <c r="R261">
        <v>995.5</v>
      </c>
      <c r="S261">
        <v>546.75</v>
      </c>
      <c r="T261" s="274">
        <f t="shared" si="9"/>
        <v>3800.5</v>
      </c>
      <c r="U261">
        <v>5882740.3499999996</v>
      </c>
      <c r="V261">
        <v>751.74</v>
      </c>
      <c r="W261">
        <v>497858.83</v>
      </c>
      <c r="X261">
        <v>554.14</v>
      </c>
      <c r="Y261">
        <v>166.94</v>
      </c>
      <c r="Z261">
        <v>482.67</v>
      </c>
      <c r="AA261">
        <v>5644736.1699999999</v>
      </c>
      <c r="AB261">
        <v>1698203.89</v>
      </c>
      <c r="AC261">
        <v>5594921.4500000002</v>
      </c>
      <c r="AD261">
        <v>815015.59</v>
      </c>
      <c r="AE261">
        <v>8776624.75</v>
      </c>
      <c r="AF261">
        <v>2877067.26</v>
      </c>
      <c r="AG261">
        <v>5386031.8600000003</v>
      </c>
      <c r="AH261">
        <v>1.2</v>
      </c>
      <c r="AI261">
        <v>68937</v>
      </c>
      <c r="AJ261">
        <v>67585</v>
      </c>
      <c r="AK261">
        <v>100321</v>
      </c>
      <c r="AL261">
        <v>102327</v>
      </c>
      <c r="AM261">
        <v>48483</v>
      </c>
      <c r="AN261">
        <v>49453</v>
      </c>
      <c r="AO261">
        <v>1.2</v>
      </c>
      <c r="AP261">
        <v>18924830.859999999</v>
      </c>
      <c r="AQ261">
        <v>1249224.1100000001</v>
      </c>
      <c r="AR261">
        <v>298.82499999999999</v>
      </c>
      <c r="AS261">
        <v>4.8578999999999997E-2</v>
      </c>
      <c r="AT261">
        <v>4.0270000000000002E-3</v>
      </c>
      <c r="AU261">
        <v>1.7100000000000001E-2</v>
      </c>
    </row>
    <row r="262" spans="1:47">
      <c r="A262" s="2" t="s">
        <v>429</v>
      </c>
      <c r="B262" s="2" t="s">
        <v>430</v>
      </c>
      <c r="C262">
        <v>9819.19</v>
      </c>
      <c r="D262">
        <v>20060.14</v>
      </c>
      <c r="E262">
        <v>196974301.33000001</v>
      </c>
      <c r="F262">
        <v>238</v>
      </c>
      <c r="G262">
        <v>1427</v>
      </c>
      <c r="H262">
        <v>1299.75</v>
      </c>
      <c r="I262" s="274">
        <v>2964.75</v>
      </c>
      <c r="J262">
        <v>2678857.91</v>
      </c>
      <c r="K262">
        <v>14040319.75</v>
      </c>
      <c r="L262">
        <v>12629283.619999999</v>
      </c>
      <c r="M262">
        <v>-157111.07</v>
      </c>
      <c r="N262">
        <v>27003905.629999999</v>
      </c>
      <c r="O262" s="274">
        <v>3357816.38</v>
      </c>
      <c r="P262">
        <v>7647595.1900000004</v>
      </c>
      <c r="Q262">
        <v>2127.25</v>
      </c>
      <c r="R262">
        <v>1170.75</v>
      </c>
      <c r="S262">
        <v>488.25</v>
      </c>
      <c r="T262" s="274">
        <f t="shared" si="9"/>
        <v>3786.25</v>
      </c>
      <c r="U262">
        <v>5911618.4299999997</v>
      </c>
      <c r="V262">
        <v>1003.01</v>
      </c>
      <c r="W262">
        <v>654378.81999999995</v>
      </c>
      <c r="X262">
        <v>925.87</v>
      </c>
      <c r="Y262">
        <v>113.59</v>
      </c>
      <c r="Z262">
        <v>0</v>
      </c>
      <c r="AA262">
        <v>9314096.1999999993</v>
      </c>
      <c r="AB262">
        <v>1141053.6599999999</v>
      </c>
      <c r="AC262">
        <v>0</v>
      </c>
      <c r="AD262">
        <v>1870604.85</v>
      </c>
      <c r="AE262">
        <v>13286193.07</v>
      </c>
      <c r="AF262">
        <v>801798.15</v>
      </c>
      <c r="AG262">
        <v>4925914.33</v>
      </c>
      <c r="AH262">
        <v>1.18</v>
      </c>
      <c r="AI262">
        <v>68937</v>
      </c>
      <c r="AJ262">
        <v>67585</v>
      </c>
      <c r="AK262">
        <v>100321</v>
      </c>
      <c r="AL262">
        <v>102327</v>
      </c>
      <c r="AM262">
        <v>48483</v>
      </c>
      <c r="AN262">
        <v>49453</v>
      </c>
      <c r="AO262">
        <v>1.2</v>
      </c>
      <c r="AP262">
        <v>24616916.32</v>
      </c>
      <c r="AQ262">
        <v>1611142.07</v>
      </c>
      <c r="AR262">
        <v>402.71100000000001</v>
      </c>
      <c r="AS262">
        <v>4.8578999999999997E-2</v>
      </c>
      <c r="AT262">
        <v>4.0270000000000002E-3</v>
      </c>
      <c r="AU262">
        <v>1.7100000000000001E-2</v>
      </c>
    </row>
    <row r="263" spans="1:47">
      <c r="A263" s="2" t="s">
        <v>431</v>
      </c>
      <c r="B263" s="2" t="s">
        <v>432</v>
      </c>
      <c r="C263">
        <v>9661.83</v>
      </c>
      <c r="D263">
        <v>5354.92</v>
      </c>
      <c r="E263">
        <v>51738353.450000003</v>
      </c>
      <c r="F263">
        <v>44.25</v>
      </c>
      <c r="G263">
        <v>474.25</v>
      </c>
      <c r="H263">
        <v>310</v>
      </c>
      <c r="I263" s="274">
        <v>828.5</v>
      </c>
      <c r="J263">
        <v>488389.22</v>
      </c>
      <c r="K263">
        <v>4575455.2699999996</v>
      </c>
      <c r="L263">
        <v>2953618.88</v>
      </c>
      <c r="M263">
        <v>-528901.9</v>
      </c>
      <c r="N263">
        <v>7507589.6200000001</v>
      </c>
      <c r="O263" s="274">
        <v>849570.91</v>
      </c>
      <c r="P263">
        <v>1875889.59</v>
      </c>
      <c r="Q263">
        <v>153.75</v>
      </c>
      <c r="R263">
        <v>116</v>
      </c>
      <c r="S263">
        <v>59.75</v>
      </c>
      <c r="T263" s="274">
        <f t="shared" ref="T263:T326" si="10">S263+R263+Q263</f>
        <v>329.5</v>
      </c>
      <c r="U263">
        <v>505960.93</v>
      </c>
      <c r="V263">
        <v>267.75</v>
      </c>
      <c r="W263">
        <v>172075.81</v>
      </c>
      <c r="X263">
        <v>347.91</v>
      </c>
      <c r="Y263">
        <v>31.07</v>
      </c>
      <c r="Z263">
        <v>0</v>
      </c>
      <c r="AA263">
        <v>3455991.35</v>
      </c>
      <c r="AB263">
        <v>308143.7</v>
      </c>
      <c r="AC263">
        <v>0</v>
      </c>
      <c r="AD263">
        <v>329500.42</v>
      </c>
      <c r="AE263">
        <v>3608030.61</v>
      </c>
      <c r="AF263">
        <v>0</v>
      </c>
      <c r="AG263">
        <v>1299384.44</v>
      </c>
      <c r="AH263">
        <v>1.1599999999999999</v>
      </c>
      <c r="AI263">
        <v>68937</v>
      </c>
      <c r="AJ263">
        <v>67585</v>
      </c>
      <c r="AK263">
        <v>100321</v>
      </c>
      <c r="AL263">
        <v>102327</v>
      </c>
      <c r="AM263">
        <v>48483</v>
      </c>
      <c r="AN263">
        <v>49453</v>
      </c>
      <c r="AO263">
        <v>1.2</v>
      </c>
      <c r="AP263">
        <v>6535173.6200000001</v>
      </c>
      <c r="AQ263">
        <v>414033.4</v>
      </c>
      <c r="AR263">
        <v>98.302999999999997</v>
      </c>
      <c r="AS263">
        <v>4.8578999999999997E-2</v>
      </c>
      <c r="AT263">
        <v>4.0270000000000002E-3</v>
      </c>
      <c r="AU263">
        <v>1.7100000000000001E-2</v>
      </c>
    </row>
    <row r="264" spans="1:47">
      <c r="A264" s="2" t="s">
        <v>433</v>
      </c>
      <c r="B264" s="2" t="s">
        <v>434</v>
      </c>
      <c r="C264">
        <v>9725.67</v>
      </c>
      <c r="D264">
        <v>9923.56</v>
      </c>
      <c r="E264">
        <v>96513241.230000004</v>
      </c>
      <c r="F264">
        <v>134.5</v>
      </c>
      <c r="G264">
        <v>730</v>
      </c>
      <c r="H264">
        <v>773.5</v>
      </c>
      <c r="I264" s="274">
        <v>1638</v>
      </c>
      <c r="J264">
        <v>1490641.64</v>
      </c>
      <c r="K264">
        <v>7072042.4400000004</v>
      </c>
      <c r="L264">
        <v>7400278.5099999998</v>
      </c>
      <c r="M264">
        <v>-1542054.05</v>
      </c>
      <c r="N264">
        <v>14479968.130000001</v>
      </c>
      <c r="O264" s="274">
        <v>1662669.56</v>
      </c>
      <c r="P264">
        <v>3923424.63</v>
      </c>
      <c r="Q264">
        <v>619.75</v>
      </c>
      <c r="R264">
        <v>396.75</v>
      </c>
      <c r="S264">
        <v>196.5</v>
      </c>
      <c r="T264" s="274">
        <f t="shared" si="10"/>
        <v>1213</v>
      </c>
      <c r="U264">
        <v>1856789.57</v>
      </c>
      <c r="V264">
        <v>496.18</v>
      </c>
      <c r="W264">
        <v>318820.11</v>
      </c>
      <c r="X264">
        <v>586.42999999999995</v>
      </c>
      <c r="Y264">
        <v>201.04</v>
      </c>
      <c r="Z264">
        <v>0</v>
      </c>
      <c r="AA264">
        <v>5825336.8499999996</v>
      </c>
      <c r="AB264">
        <v>1994179.78</v>
      </c>
      <c r="AC264">
        <v>0</v>
      </c>
      <c r="AD264">
        <v>587244.9</v>
      </c>
      <c r="AE264">
        <v>7599195.9699999997</v>
      </c>
      <c r="AF264">
        <v>1644875.19</v>
      </c>
      <c r="AG264">
        <v>3411609.49</v>
      </c>
      <c r="AH264">
        <v>1.1599999999999999</v>
      </c>
      <c r="AI264">
        <v>68937</v>
      </c>
      <c r="AJ264">
        <v>67585</v>
      </c>
      <c r="AK264">
        <v>100321</v>
      </c>
      <c r="AL264">
        <v>102327</v>
      </c>
      <c r="AM264">
        <v>48483</v>
      </c>
      <c r="AN264">
        <v>49453</v>
      </c>
      <c r="AO264">
        <v>1.18</v>
      </c>
      <c r="AP264">
        <v>11972362.58</v>
      </c>
      <c r="AQ264">
        <v>770356.44</v>
      </c>
      <c r="AR264">
        <v>194.596</v>
      </c>
      <c r="AS264">
        <v>4.8578999999999997E-2</v>
      </c>
      <c r="AT264">
        <v>4.0270000000000002E-3</v>
      </c>
      <c r="AU264">
        <v>1.7100000000000001E-2</v>
      </c>
    </row>
    <row r="265" spans="1:47">
      <c r="A265" s="2" t="s">
        <v>435</v>
      </c>
      <c r="B265" s="2" t="s">
        <v>436</v>
      </c>
      <c r="C265">
        <v>25085.25</v>
      </c>
      <c r="D265">
        <v>23.68</v>
      </c>
      <c r="E265">
        <v>594018.68000000005</v>
      </c>
      <c r="F265">
        <v>0</v>
      </c>
      <c r="G265">
        <v>3</v>
      </c>
      <c r="H265">
        <v>1</v>
      </c>
      <c r="I265" s="274">
        <v>4</v>
      </c>
      <c r="J265">
        <v>0</v>
      </c>
      <c r="K265">
        <v>31738.22</v>
      </c>
      <c r="L265">
        <v>10447.84</v>
      </c>
      <c r="M265">
        <v>-8467.18</v>
      </c>
      <c r="N265">
        <v>42100.28</v>
      </c>
      <c r="O265" s="274">
        <v>3732.4300000000003</v>
      </c>
      <c r="P265">
        <v>7650.03</v>
      </c>
      <c r="Q265">
        <v>0</v>
      </c>
      <c r="R265">
        <v>0</v>
      </c>
      <c r="S265">
        <v>0</v>
      </c>
      <c r="T265" s="274">
        <f t="shared" si="10"/>
        <v>0</v>
      </c>
      <c r="U265">
        <v>0</v>
      </c>
      <c r="V265">
        <v>0</v>
      </c>
      <c r="W265">
        <v>0</v>
      </c>
      <c r="X265">
        <v>0</v>
      </c>
      <c r="Y265">
        <v>0</v>
      </c>
      <c r="Z265">
        <v>0</v>
      </c>
      <c r="AA265">
        <v>0</v>
      </c>
      <c r="AB265">
        <v>0</v>
      </c>
      <c r="AC265">
        <v>0</v>
      </c>
      <c r="AD265">
        <v>23252.66</v>
      </c>
      <c r="AE265">
        <v>81136.679999999993</v>
      </c>
      <c r="AF265">
        <v>0</v>
      </c>
      <c r="AG265">
        <v>5948.43</v>
      </c>
      <c r="AH265">
        <v>1.1200000000000001</v>
      </c>
      <c r="AI265">
        <v>68937</v>
      </c>
      <c r="AJ265">
        <v>67585</v>
      </c>
      <c r="AK265">
        <v>100321</v>
      </c>
      <c r="AL265">
        <v>102327</v>
      </c>
      <c r="AM265">
        <v>48483</v>
      </c>
      <c r="AN265">
        <v>49453</v>
      </c>
      <c r="AO265">
        <v>1.1599999999999999</v>
      </c>
      <c r="AP265">
        <v>59443.56</v>
      </c>
      <c r="AQ265">
        <v>5573.29</v>
      </c>
      <c r="AR265">
        <v>1.1879999999999999</v>
      </c>
      <c r="AS265">
        <v>4.8578999999999997E-2</v>
      </c>
      <c r="AT265">
        <v>4.0270000000000002E-3</v>
      </c>
      <c r="AU265">
        <v>1.7100000000000001E-2</v>
      </c>
    </row>
    <row r="266" spans="1:47">
      <c r="A266" s="2" t="s">
        <v>437</v>
      </c>
      <c r="B266" s="2" t="s">
        <v>438</v>
      </c>
      <c r="C266">
        <v>9658.01</v>
      </c>
      <c r="D266">
        <v>5792.95</v>
      </c>
      <c r="E266">
        <v>55948367.340000004</v>
      </c>
      <c r="F266">
        <v>29</v>
      </c>
      <c r="G266">
        <v>546</v>
      </c>
      <c r="H266">
        <v>162</v>
      </c>
      <c r="I266" s="274">
        <v>737</v>
      </c>
      <c r="J266">
        <v>321371.61</v>
      </c>
      <c r="K266">
        <v>5288950.47</v>
      </c>
      <c r="L266">
        <v>1549735.47</v>
      </c>
      <c r="M266">
        <v>0</v>
      </c>
      <c r="N266">
        <v>6803248.9800000004</v>
      </c>
      <c r="O266" s="274">
        <v>803844.87</v>
      </c>
      <c r="P266">
        <v>1346261.37</v>
      </c>
      <c r="Q266">
        <v>432.5</v>
      </c>
      <c r="R266">
        <v>228.75</v>
      </c>
      <c r="S266">
        <v>118.5</v>
      </c>
      <c r="T266" s="274">
        <f t="shared" si="10"/>
        <v>779.75</v>
      </c>
      <c r="U266">
        <v>1200430.99</v>
      </c>
      <c r="V266">
        <v>289.64999999999998</v>
      </c>
      <c r="W266">
        <v>189005</v>
      </c>
      <c r="X266">
        <v>384.65</v>
      </c>
      <c r="Y266">
        <v>74.430000000000007</v>
      </c>
      <c r="Z266">
        <v>0</v>
      </c>
      <c r="AA266">
        <v>3869666.85</v>
      </c>
      <c r="AB266">
        <v>747734.17</v>
      </c>
      <c r="AC266">
        <v>0</v>
      </c>
      <c r="AD266">
        <v>451727.07</v>
      </c>
      <c r="AE266">
        <v>3184750.02</v>
      </c>
      <c r="AF266">
        <v>181299.76</v>
      </c>
      <c r="AG266">
        <v>1177428.5900000001</v>
      </c>
      <c r="AH266">
        <v>1.18</v>
      </c>
      <c r="AI266">
        <v>68937</v>
      </c>
      <c r="AJ266">
        <v>67585</v>
      </c>
      <c r="AK266">
        <v>100321</v>
      </c>
      <c r="AL266">
        <v>102327</v>
      </c>
      <c r="AM266">
        <v>48483</v>
      </c>
      <c r="AN266">
        <v>49453</v>
      </c>
      <c r="AO266">
        <v>1.1599999999999999</v>
      </c>
      <c r="AP266">
        <v>6202714.5199999996</v>
      </c>
      <c r="AQ266">
        <v>396421.71</v>
      </c>
      <c r="AR266">
        <v>92.36</v>
      </c>
      <c r="AS266">
        <v>4.8578999999999997E-2</v>
      </c>
      <c r="AT266">
        <v>4.0270000000000002E-3</v>
      </c>
      <c r="AU266">
        <v>1.7100000000000001E-2</v>
      </c>
    </row>
    <row r="267" spans="1:47">
      <c r="A267" s="2" t="s">
        <v>439</v>
      </c>
      <c r="B267" s="2" t="s">
        <v>440</v>
      </c>
      <c r="C267">
        <v>9899.9</v>
      </c>
      <c r="D267">
        <v>9255.7800000000007</v>
      </c>
      <c r="E267">
        <v>91631279.739999995</v>
      </c>
      <c r="F267">
        <v>86.75</v>
      </c>
      <c r="G267">
        <v>680.25</v>
      </c>
      <c r="H267">
        <v>432</v>
      </c>
      <c r="I267" s="274">
        <v>1199</v>
      </c>
      <c r="J267">
        <v>982926.99</v>
      </c>
      <c r="K267">
        <v>6738083.7400000002</v>
      </c>
      <c r="L267">
        <v>4225887.3499999996</v>
      </c>
      <c r="M267">
        <v>0</v>
      </c>
      <c r="N267">
        <v>10938926.869999999</v>
      </c>
      <c r="O267" s="274">
        <v>1287606.52</v>
      </c>
      <c r="P267">
        <v>2358888.5299999998</v>
      </c>
      <c r="Q267">
        <v>260.75</v>
      </c>
      <c r="R267">
        <v>103</v>
      </c>
      <c r="S267">
        <v>150.75</v>
      </c>
      <c r="T267" s="274">
        <f t="shared" si="10"/>
        <v>514.5</v>
      </c>
      <c r="U267">
        <v>735054.97</v>
      </c>
      <c r="V267">
        <v>462.79</v>
      </c>
      <c r="W267">
        <v>306445.44</v>
      </c>
      <c r="X267">
        <v>411.38</v>
      </c>
      <c r="Y267">
        <v>126.33</v>
      </c>
      <c r="Z267">
        <v>0</v>
      </c>
      <c r="AA267">
        <v>4190507.77</v>
      </c>
      <c r="AB267">
        <v>1285235.17</v>
      </c>
      <c r="AC267">
        <v>0</v>
      </c>
      <c r="AD267">
        <v>553276.85</v>
      </c>
      <c r="AE267">
        <v>5930033.6200000001</v>
      </c>
      <c r="AF267">
        <v>0</v>
      </c>
      <c r="AG267">
        <v>1203925.7</v>
      </c>
      <c r="AH267">
        <v>1.2</v>
      </c>
      <c r="AI267">
        <v>68937</v>
      </c>
      <c r="AJ267">
        <v>67585</v>
      </c>
      <c r="AK267">
        <v>100321</v>
      </c>
      <c r="AL267">
        <v>102327</v>
      </c>
      <c r="AM267">
        <v>48483</v>
      </c>
      <c r="AN267">
        <v>49453</v>
      </c>
      <c r="AO267">
        <v>1.1200000000000001</v>
      </c>
      <c r="AP267">
        <v>11687034.5</v>
      </c>
      <c r="AQ267">
        <v>762144.05</v>
      </c>
      <c r="AR267">
        <v>171.483</v>
      </c>
      <c r="AS267">
        <v>4.8578999999999997E-2</v>
      </c>
      <c r="AT267">
        <v>4.0270000000000002E-3</v>
      </c>
      <c r="AU267">
        <v>1.7100000000000001E-2</v>
      </c>
    </row>
    <row r="268" spans="1:47">
      <c r="A268" s="2" t="s">
        <v>441</v>
      </c>
      <c r="B268" s="2" t="s">
        <v>442</v>
      </c>
      <c r="C268">
        <v>9663.44</v>
      </c>
      <c r="D268">
        <v>2541.9699999999998</v>
      </c>
      <c r="E268">
        <v>24564183.640000001</v>
      </c>
      <c r="F268">
        <v>30.25</v>
      </c>
      <c r="G268">
        <v>238</v>
      </c>
      <c r="H268">
        <v>165</v>
      </c>
      <c r="I268" s="274">
        <v>433.25</v>
      </c>
      <c r="J268">
        <v>334671.75</v>
      </c>
      <c r="K268">
        <v>2301582.2000000002</v>
      </c>
      <c r="L268">
        <v>1575792.52</v>
      </c>
      <c r="M268">
        <v>-556019.47</v>
      </c>
      <c r="N268">
        <v>3877045.38</v>
      </c>
      <c r="O268" s="274">
        <v>405499.6</v>
      </c>
      <c r="P268">
        <v>1025027.07</v>
      </c>
      <c r="Q268">
        <v>124.5</v>
      </c>
      <c r="R268">
        <v>83.25</v>
      </c>
      <c r="S268">
        <v>25</v>
      </c>
      <c r="T268" s="274">
        <f t="shared" si="10"/>
        <v>232.75</v>
      </c>
      <c r="U268">
        <v>367251.3</v>
      </c>
      <c r="V268">
        <v>127.1</v>
      </c>
      <c r="W268">
        <v>81685.8</v>
      </c>
      <c r="X268">
        <v>103.32</v>
      </c>
      <c r="Y268">
        <v>18.41</v>
      </c>
      <c r="Z268">
        <v>0</v>
      </c>
      <c r="AA268">
        <v>1026436.88</v>
      </c>
      <c r="AB268">
        <v>182728.82</v>
      </c>
      <c r="AC268">
        <v>0</v>
      </c>
      <c r="AD268">
        <v>229635.62</v>
      </c>
      <c r="AE268">
        <v>1848168.89</v>
      </c>
      <c r="AF268">
        <v>0</v>
      </c>
      <c r="AG268">
        <v>681384.52</v>
      </c>
      <c r="AH268">
        <v>1.1599999999999999</v>
      </c>
      <c r="AI268">
        <v>68937</v>
      </c>
      <c r="AJ268">
        <v>67585</v>
      </c>
      <c r="AK268">
        <v>100321</v>
      </c>
      <c r="AL268">
        <v>102327</v>
      </c>
      <c r="AM268">
        <v>48483</v>
      </c>
      <c r="AN268">
        <v>49453</v>
      </c>
      <c r="AO268">
        <v>1.18</v>
      </c>
      <c r="AP268">
        <v>3229749.75</v>
      </c>
      <c r="AQ268">
        <v>204984.67</v>
      </c>
      <c r="AR268">
        <v>48.567</v>
      </c>
      <c r="AS268">
        <v>4.8578999999999997E-2</v>
      </c>
      <c r="AT268">
        <v>4.0270000000000002E-3</v>
      </c>
      <c r="AU268">
        <v>1.7100000000000001E-2</v>
      </c>
    </row>
    <row r="269" spans="1:47">
      <c r="A269" s="2" t="s">
        <v>443</v>
      </c>
      <c r="B269" s="2" t="s">
        <v>444</v>
      </c>
      <c r="C269">
        <v>9879.09</v>
      </c>
      <c r="D269">
        <v>1932.78</v>
      </c>
      <c r="E269">
        <v>19094111.989999998</v>
      </c>
      <c r="F269">
        <v>17.5</v>
      </c>
      <c r="G269">
        <v>159.25</v>
      </c>
      <c r="H269">
        <v>161.25</v>
      </c>
      <c r="I269" s="274">
        <v>338</v>
      </c>
      <c r="J269">
        <v>197545.19</v>
      </c>
      <c r="K269">
        <v>1571558.52</v>
      </c>
      <c r="L269">
        <v>1571510.32</v>
      </c>
      <c r="M269">
        <v>-569907.56999999995</v>
      </c>
      <c r="N269">
        <v>3145999.16</v>
      </c>
      <c r="O269" s="274">
        <v>332687.31</v>
      </c>
      <c r="P269">
        <v>848113.11</v>
      </c>
      <c r="Q269">
        <v>149.25</v>
      </c>
      <c r="R269">
        <v>65.5</v>
      </c>
      <c r="S269">
        <v>46.5</v>
      </c>
      <c r="T269" s="274">
        <f t="shared" si="10"/>
        <v>261.25</v>
      </c>
      <c r="U269">
        <v>391834.09</v>
      </c>
      <c r="V269">
        <v>96.64</v>
      </c>
      <c r="W269">
        <v>63001.67</v>
      </c>
      <c r="X269">
        <v>145.77000000000001</v>
      </c>
      <c r="Y269">
        <v>0</v>
      </c>
      <c r="Z269">
        <v>0</v>
      </c>
      <c r="AA269">
        <v>1466446.7</v>
      </c>
      <c r="AB269">
        <v>0</v>
      </c>
      <c r="AC269">
        <v>0</v>
      </c>
      <c r="AD269">
        <v>190483.52</v>
      </c>
      <c r="AE269">
        <v>1446164.56</v>
      </c>
      <c r="AF269">
        <v>398292.89</v>
      </c>
      <c r="AG269">
        <v>691885.2</v>
      </c>
      <c r="AH269">
        <v>1.18</v>
      </c>
      <c r="AI269">
        <v>68937</v>
      </c>
      <c r="AJ269">
        <v>67585</v>
      </c>
      <c r="AK269">
        <v>100321</v>
      </c>
      <c r="AL269">
        <v>102327</v>
      </c>
      <c r="AM269">
        <v>48483</v>
      </c>
      <c r="AN269">
        <v>49453</v>
      </c>
      <c r="AO269">
        <v>1.2</v>
      </c>
      <c r="AP269">
        <v>2330297.0499999998</v>
      </c>
      <c r="AQ269">
        <v>153898.01</v>
      </c>
      <c r="AR269">
        <v>40.439</v>
      </c>
      <c r="AS269">
        <v>4.8578999999999997E-2</v>
      </c>
      <c r="AT269">
        <v>4.0270000000000002E-3</v>
      </c>
      <c r="AU269">
        <v>1.7100000000000001E-2</v>
      </c>
    </row>
    <row r="270" spans="1:47">
      <c r="A270" s="2" t="s">
        <v>445</v>
      </c>
      <c r="B270" s="2" t="s">
        <v>446</v>
      </c>
      <c r="C270">
        <v>11452.87</v>
      </c>
      <c r="D270">
        <v>403.39</v>
      </c>
      <c r="E270">
        <v>4619972.74</v>
      </c>
      <c r="F270">
        <v>3.25</v>
      </c>
      <c r="G270">
        <v>66.75</v>
      </c>
      <c r="H270">
        <v>6.5</v>
      </c>
      <c r="I270" s="274">
        <v>76.5</v>
      </c>
      <c r="J270">
        <v>35921.26</v>
      </c>
      <c r="K270">
        <v>644942.02</v>
      </c>
      <c r="L270">
        <v>62022.45</v>
      </c>
      <c r="M270">
        <v>-176151.33</v>
      </c>
      <c r="N270">
        <v>704008.68</v>
      </c>
      <c r="O270" s="274">
        <v>60577.009999999995</v>
      </c>
      <c r="P270">
        <v>123114.54</v>
      </c>
      <c r="Q270">
        <v>4</v>
      </c>
      <c r="R270">
        <v>1</v>
      </c>
      <c r="S270">
        <v>0</v>
      </c>
      <c r="T270" s="274">
        <f t="shared" si="10"/>
        <v>5</v>
      </c>
      <c r="U270">
        <v>7462.57</v>
      </c>
      <c r="V270">
        <v>20.170000000000002</v>
      </c>
      <c r="W270">
        <v>12545.77</v>
      </c>
      <c r="X270">
        <v>24.27</v>
      </c>
      <c r="Y270">
        <v>0</v>
      </c>
      <c r="Z270">
        <v>0</v>
      </c>
      <c r="AA270">
        <v>234928.12</v>
      </c>
      <c r="AB270">
        <v>0</v>
      </c>
      <c r="AC270">
        <v>0</v>
      </c>
      <c r="AD270">
        <v>61531.5</v>
      </c>
      <c r="AE270">
        <v>288795.81</v>
      </c>
      <c r="AF270">
        <v>86955.15</v>
      </c>
      <c r="AG270">
        <v>148818.75</v>
      </c>
      <c r="AH270">
        <v>1.1200000000000001</v>
      </c>
      <c r="AI270">
        <v>68937</v>
      </c>
      <c r="AJ270">
        <v>67585</v>
      </c>
      <c r="AK270">
        <v>100321</v>
      </c>
      <c r="AL270">
        <v>102327</v>
      </c>
      <c r="AM270">
        <v>48483</v>
      </c>
      <c r="AN270">
        <v>49453</v>
      </c>
      <c r="AO270">
        <v>1.1599999999999999</v>
      </c>
      <c r="AP270">
        <v>578767.84</v>
      </c>
      <c r="AQ270">
        <v>40401.64</v>
      </c>
      <c r="AR270">
        <v>10.199</v>
      </c>
      <c r="AS270">
        <v>4.8578999999999997E-2</v>
      </c>
      <c r="AT270">
        <v>4.0270000000000002E-3</v>
      </c>
      <c r="AU270">
        <v>1.7100000000000001E-2</v>
      </c>
    </row>
    <row r="271" spans="1:47">
      <c r="A271" s="2" t="s">
        <v>447</v>
      </c>
      <c r="B271" s="2" t="s">
        <v>448</v>
      </c>
      <c r="C271">
        <v>9511.2800000000007</v>
      </c>
      <c r="D271">
        <v>2169.1799999999998</v>
      </c>
      <c r="E271">
        <v>20631689.059999999</v>
      </c>
      <c r="F271">
        <v>37.5</v>
      </c>
      <c r="G271">
        <v>182.25</v>
      </c>
      <c r="H271">
        <v>183.75</v>
      </c>
      <c r="I271" s="274">
        <v>403.5</v>
      </c>
      <c r="J271">
        <v>405849.38</v>
      </c>
      <c r="K271">
        <v>1723926.9</v>
      </c>
      <c r="L271">
        <v>1716499.71</v>
      </c>
      <c r="M271">
        <v>-674151.49</v>
      </c>
      <c r="N271">
        <v>3418545.75</v>
      </c>
      <c r="O271" s="274">
        <v>356533.11</v>
      </c>
      <c r="P271">
        <v>809810.79</v>
      </c>
      <c r="Q271">
        <v>51.5</v>
      </c>
      <c r="R271">
        <v>31.75</v>
      </c>
      <c r="S271">
        <v>7.75</v>
      </c>
      <c r="T271" s="274">
        <f t="shared" si="10"/>
        <v>91</v>
      </c>
      <c r="U271">
        <v>139733.89000000001</v>
      </c>
      <c r="V271">
        <v>108.46</v>
      </c>
      <c r="W271">
        <v>67487.58</v>
      </c>
      <c r="X271">
        <v>133.44999999999999</v>
      </c>
      <c r="Y271">
        <v>71.14</v>
      </c>
      <c r="Z271">
        <v>0</v>
      </c>
      <c r="AA271">
        <v>1292041.3799999999</v>
      </c>
      <c r="AB271">
        <v>687609.59</v>
      </c>
      <c r="AC271">
        <v>0</v>
      </c>
      <c r="AD271">
        <v>125119.63</v>
      </c>
      <c r="AE271">
        <v>1595233.29</v>
      </c>
      <c r="AF271">
        <v>79384.429999999993</v>
      </c>
      <c r="AG271">
        <v>589759.17000000004</v>
      </c>
      <c r="AH271">
        <v>1.1200000000000001</v>
      </c>
      <c r="AI271">
        <v>68937</v>
      </c>
      <c r="AJ271">
        <v>67585</v>
      </c>
      <c r="AK271">
        <v>100321</v>
      </c>
      <c r="AL271">
        <v>102327</v>
      </c>
      <c r="AM271">
        <v>48483</v>
      </c>
      <c r="AN271">
        <v>49453</v>
      </c>
      <c r="AO271">
        <v>1.18</v>
      </c>
      <c r="AP271">
        <v>2469005.06</v>
      </c>
      <c r="AQ271">
        <v>154636.84</v>
      </c>
      <c r="AR271">
        <v>43.02</v>
      </c>
      <c r="AS271">
        <v>4.8578999999999997E-2</v>
      </c>
      <c r="AT271">
        <v>4.0270000000000002E-3</v>
      </c>
      <c r="AU271">
        <v>1.7100000000000001E-2</v>
      </c>
    </row>
    <row r="272" spans="1:47">
      <c r="A272" s="2" t="s">
        <v>449</v>
      </c>
      <c r="B272" s="2" t="s">
        <v>450</v>
      </c>
      <c r="C272">
        <v>9916.85</v>
      </c>
      <c r="D272">
        <v>4560.88</v>
      </c>
      <c r="E272">
        <v>45229568.159999996</v>
      </c>
      <c r="F272">
        <v>59</v>
      </c>
      <c r="G272">
        <v>357.75</v>
      </c>
      <c r="H272">
        <v>267.75</v>
      </c>
      <c r="I272" s="274">
        <v>684.5</v>
      </c>
      <c r="J272">
        <v>667823.80000000005</v>
      </c>
      <c r="K272">
        <v>3539861.08</v>
      </c>
      <c r="L272">
        <v>2616387.87</v>
      </c>
      <c r="M272">
        <v>-94297.03</v>
      </c>
      <c r="N272">
        <v>6156577.5800000001</v>
      </c>
      <c r="O272" s="274">
        <v>740365.9</v>
      </c>
      <c r="P272">
        <v>1490779.41</v>
      </c>
      <c r="Q272">
        <v>83.75</v>
      </c>
      <c r="R272">
        <v>40</v>
      </c>
      <c r="S272">
        <v>23</v>
      </c>
      <c r="T272" s="274">
        <f t="shared" si="10"/>
        <v>146.75</v>
      </c>
      <c r="U272">
        <v>227039.16</v>
      </c>
      <c r="V272">
        <v>228.04</v>
      </c>
      <c r="W272">
        <v>151014.39999999999</v>
      </c>
      <c r="X272">
        <v>337.19</v>
      </c>
      <c r="Y272">
        <v>79.180000000000007</v>
      </c>
      <c r="Z272">
        <v>0</v>
      </c>
      <c r="AA272">
        <v>3413334.02</v>
      </c>
      <c r="AB272">
        <v>800429.13</v>
      </c>
      <c r="AC272">
        <v>0</v>
      </c>
      <c r="AD272">
        <v>486652.61</v>
      </c>
      <c r="AE272">
        <v>2879257.14</v>
      </c>
      <c r="AF272">
        <v>0</v>
      </c>
      <c r="AG272">
        <v>944156.29</v>
      </c>
      <c r="AH272">
        <v>1.1599999999999999</v>
      </c>
      <c r="AI272">
        <v>68937</v>
      </c>
      <c r="AJ272">
        <v>67585</v>
      </c>
      <c r="AK272">
        <v>100321</v>
      </c>
      <c r="AL272">
        <v>102327</v>
      </c>
      <c r="AM272">
        <v>48483</v>
      </c>
      <c r="AN272">
        <v>49453</v>
      </c>
      <c r="AO272">
        <v>1.1200000000000001</v>
      </c>
      <c r="AP272">
        <v>5331443.05</v>
      </c>
      <c r="AQ272">
        <v>355756.76</v>
      </c>
      <c r="AR272">
        <v>90.173000000000002</v>
      </c>
      <c r="AS272">
        <v>4.8578999999999997E-2</v>
      </c>
      <c r="AT272">
        <v>4.0270000000000002E-3</v>
      </c>
      <c r="AU272">
        <v>1.7100000000000001E-2</v>
      </c>
    </row>
    <row r="273" spans="1:47">
      <c r="A273" s="2" t="s">
        <v>1149</v>
      </c>
      <c r="B273" s="2" t="s">
        <v>1150</v>
      </c>
      <c r="C273">
        <v>0</v>
      </c>
      <c r="D273">
        <v>0</v>
      </c>
      <c r="E273">
        <v>0</v>
      </c>
      <c r="F273">
        <v>0</v>
      </c>
      <c r="G273">
        <v>0</v>
      </c>
      <c r="H273">
        <v>0</v>
      </c>
      <c r="I273" s="274">
        <v>0</v>
      </c>
      <c r="J273">
        <v>0</v>
      </c>
      <c r="K273">
        <v>0</v>
      </c>
      <c r="L273">
        <v>0</v>
      </c>
      <c r="M273">
        <v>0</v>
      </c>
      <c r="N273">
        <v>0</v>
      </c>
      <c r="O273" s="274">
        <v>0</v>
      </c>
      <c r="P273">
        <v>0</v>
      </c>
      <c r="Q273">
        <v>0</v>
      </c>
      <c r="R273">
        <v>0</v>
      </c>
      <c r="S273">
        <v>0</v>
      </c>
      <c r="T273" s="274">
        <f t="shared" si="10"/>
        <v>0</v>
      </c>
      <c r="U273">
        <v>0</v>
      </c>
      <c r="V273">
        <v>0</v>
      </c>
      <c r="W273">
        <v>0</v>
      </c>
      <c r="X273">
        <v>0</v>
      </c>
      <c r="Y273">
        <v>0</v>
      </c>
      <c r="Z273">
        <v>0</v>
      </c>
      <c r="AA273">
        <v>0</v>
      </c>
      <c r="AB273">
        <v>0</v>
      </c>
      <c r="AC273">
        <v>0</v>
      </c>
      <c r="AD273">
        <v>0</v>
      </c>
      <c r="AE273">
        <v>0</v>
      </c>
      <c r="AF273">
        <v>0</v>
      </c>
      <c r="AG273">
        <v>0</v>
      </c>
      <c r="AH273">
        <v>0</v>
      </c>
      <c r="AI273">
        <v>0</v>
      </c>
      <c r="AJ273">
        <v>0</v>
      </c>
      <c r="AK273">
        <v>100321</v>
      </c>
      <c r="AL273">
        <v>102327</v>
      </c>
      <c r="AM273">
        <v>48483</v>
      </c>
      <c r="AN273">
        <v>49453</v>
      </c>
      <c r="AO273">
        <v>1.1200000000000001</v>
      </c>
      <c r="AP273">
        <v>0</v>
      </c>
      <c r="AQ273">
        <v>0</v>
      </c>
      <c r="AR273">
        <v>0</v>
      </c>
      <c r="AS273">
        <v>4.8578999999999997E-2</v>
      </c>
      <c r="AT273">
        <v>4.0270000000000002E-3</v>
      </c>
      <c r="AU273">
        <v>1.7100000000000001E-2</v>
      </c>
    </row>
    <row r="274" spans="1:47">
      <c r="A274" s="2" t="s">
        <v>1151</v>
      </c>
      <c r="B274" s="2" t="s">
        <v>1152</v>
      </c>
      <c r="C274">
        <v>0</v>
      </c>
      <c r="D274">
        <v>0</v>
      </c>
      <c r="E274">
        <v>0</v>
      </c>
      <c r="F274">
        <v>0</v>
      </c>
      <c r="G274">
        <v>0</v>
      </c>
      <c r="H274">
        <v>0</v>
      </c>
      <c r="I274" s="274">
        <v>0</v>
      </c>
      <c r="J274">
        <v>0</v>
      </c>
      <c r="K274">
        <v>0</v>
      </c>
      <c r="L274">
        <v>0</v>
      </c>
      <c r="M274">
        <v>0</v>
      </c>
      <c r="N274">
        <v>0</v>
      </c>
      <c r="O274" s="274">
        <v>0</v>
      </c>
      <c r="P274">
        <v>0</v>
      </c>
      <c r="Q274">
        <v>0</v>
      </c>
      <c r="R274">
        <v>0</v>
      </c>
      <c r="S274">
        <v>0</v>
      </c>
      <c r="T274" s="274">
        <f t="shared" si="10"/>
        <v>0</v>
      </c>
      <c r="U274">
        <v>0</v>
      </c>
      <c r="V274">
        <v>0</v>
      </c>
      <c r="W274">
        <v>0</v>
      </c>
      <c r="X274">
        <v>0</v>
      </c>
      <c r="Y274">
        <v>0</v>
      </c>
      <c r="Z274">
        <v>0</v>
      </c>
      <c r="AA274">
        <v>0</v>
      </c>
      <c r="AB274">
        <v>0</v>
      </c>
      <c r="AC274">
        <v>0</v>
      </c>
      <c r="AD274">
        <v>0</v>
      </c>
      <c r="AE274">
        <v>0</v>
      </c>
      <c r="AF274">
        <v>0</v>
      </c>
      <c r="AG274">
        <v>0</v>
      </c>
      <c r="AH274">
        <v>0</v>
      </c>
      <c r="AI274">
        <v>0</v>
      </c>
      <c r="AJ274">
        <v>0</v>
      </c>
      <c r="AK274">
        <v>100321</v>
      </c>
      <c r="AL274">
        <v>102327</v>
      </c>
      <c r="AM274">
        <v>48483</v>
      </c>
      <c r="AN274">
        <v>49453</v>
      </c>
      <c r="AO274">
        <v>1.1599999999999999</v>
      </c>
      <c r="AP274">
        <v>0</v>
      </c>
      <c r="AQ274">
        <v>0</v>
      </c>
      <c r="AR274">
        <v>0</v>
      </c>
      <c r="AS274">
        <v>4.8578999999999997E-2</v>
      </c>
      <c r="AT274">
        <v>4.0270000000000002E-3</v>
      </c>
      <c r="AU274">
        <v>1.7100000000000001E-2</v>
      </c>
    </row>
    <row r="275" spans="1:47">
      <c r="A275" s="2" t="s">
        <v>451</v>
      </c>
      <c r="B275" s="2" t="s">
        <v>452</v>
      </c>
      <c r="C275">
        <v>9032.75</v>
      </c>
      <c r="D275">
        <v>28363.69</v>
      </c>
      <c r="E275">
        <v>256202037.84999999</v>
      </c>
      <c r="F275">
        <v>255.75</v>
      </c>
      <c r="G275">
        <v>2939.5</v>
      </c>
      <c r="H275">
        <v>1474.75</v>
      </c>
      <c r="I275" s="274">
        <v>4670</v>
      </c>
      <c r="J275">
        <v>2623001.16</v>
      </c>
      <c r="K275">
        <v>26350170.949999999</v>
      </c>
      <c r="L275">
        <v>13055501.92</v>
      </c>
      <c r="M275">
        <v>-5478594.8300000001</v>
      </c>
      <c r="N275">
        <v>39367870.630000003</v>
      </c>
      <c r="O275" s="274">
        <v>4495156.0999999996</v>
      </c>
      <c r="P275">
        <v>9804761.3000000007</v>
      </c>
      <c r="Q275">
        <v>1104</v>
      </c>
      <c r="R275">
        <v>632</v>
      </c>
      <c r="S275">
        <v>313.25</v>
      </c>
      <c r="T275" s="274">
        <f t="shared" si="10"/>
        <v>2049.25</v>
      </c>
      <c r="U275">
        <v>2835172.41</v>
      </c>
      <c r="V275">
        <v>0</v>
      </c>
      <c r="W275">
        <v>0</v>
      </c>
      <c r="X275">
        <v>1256.5999999999999</v>
      </c>
      <c r="Y275">
        <v>264.67</v>
      </c>
      <c r="Z275">
        <v>388.81</v>
      </c>
      <c r="AA275">
        <v>11530134.58</v>
      </c>
      <c r="AB275">
        <v>2425212.6800000002</v>
      </c>
      <c r="AC275">
        <v>4048736.26</v>
      </c>
      <c r="AD275">
        <v>0</v>
      </c>
      <c r="AE275">
        <v>13752409.789999999</v>
      </c>
      <c r="AF275">
        <v>5214711.9800000004</v>
      </c>
      <c r="AG275">
        <v>10966785.09</v>
      </c>
      <c r="AH275">
        <v>1.04</v>
      </c>
      <c r="AI275">
        <v>68937</v>
      </c>
      <c r="AJ275">
        <v>67585</v>
      </c>
      <c r="AK275">
        <v>0</v>
      </c>
      <c r="AL275">
        <v>0</v>
      </c>
      <c r="AM275">
        <v>0</v>
      </c>
      <c r="AN275">
        <v>0</v>
      </c>
      <c r="AO275">
        <v>0</v>
      </c>
      <c r="AP275">
        <v>34457276.020000003</v>
      </c>
      <c r="AQ275">
        <v>1992524.42</v>
      </c>
      <c r="AR275">
        <v>574.42899999999997</v>
      </c>
      <c r="AS275">
        <v>4.8578999999999997E-2</v>
      </c>
      <c r="AT275">
        <v>4.0270000000000002E-3</v>
      </c>
      <c r="AU275">
        <v>1.7100000000000001E-2</v>
      </c>
    </row>
    <row r="276" spans="1:47">
      <c r="A276" s="2" t="s">
        <v>453</v>
      </c>
      <c r="B276" s="2" t="s">
        <v>454</v>
      </c>
      <c r="C276">
        <v>10755.4</v>
      </c>
      <c r="D276">
        <v>68.400000000000006</v>
      </c>
      <c r="E276">
        <v>735669.42</v>
      </c>
      <c r="F276">
        <v>0</v>
      </c>
      <c r="G276">
        <v>0</v>
      </c>
      <c r="H276">
        <v>4</v>
      </c>
      <c r="I276" s="274">
        <v>4</v>
      </c>
      <c r="J276">
        <v>0</v>
      </c>
      <c r="K276">
        <v>0</v>
      </c>
      <c r="L276">
        <v>34771.199999999997</v>
      </c>
      <c r="M276">
        <v>0</v>
      </c>
      <c r="N276">
        <v>35024.32</v>
      </c>
      <c r="O276" s="274">
        <v>5059.9800000000005</v>
      </c>
      <c r="P276">
        <v>7201.99</v>
      </c>
      <c r="Q276">
        <v>0</v>
      </c>
      <c r="R276">
        <v>0</v>
      </c>
      <c r="S276">
        <v>0</v>
      </c>
      <c r="T276" s="274">
        <f t="shared" si="10"/>
        <v>0</v>
      </c>
      <c r="U276">
        <v>0</v>
      </c>
      <c r="V276">
        <v>0</v>
      </c>
      <c r="W276">
        <v>0</v>
      </c>
      <c r="X276">
        <v>0</v>
      </c>
      <c r="Y276">
        <v>0</v>
      </c>
      <c r="Z276">
        <v>0</v>
      </c>
      <c r="AA276">
        <v>0</v>
      </c>
      <c r="AB276">
        <v>0</v>
      </c>
      <c r="AC276">
        <v>0</v>
      </c>
      <c r="AD276">
        <v>7824.95</v>
      </c>
      <c r="AE276">
        <v>30814.53</v>
      </c>
      <c r="AF276">
        <v>0</v>
      </c>
      <c r="AG276">
        <v>3717.74</v>
      </c>
      <c r="AH276">
        <v>1</v>
      </c>
      <c r="AI276">
        <v>68937</v>
      </c>
      <c r="AJ276">
        <v>67585</v>
      </c>
      <c r="AK276">
        <v>0</v>
      </c>
      <c r="AL276">
        <v>0</v>
      </c>
      <c r="AM276">
        <v>0</v>
      </c>
      <c r="AN276">
        <v>0</v>
      </c>
      <c r="AO276">
        <v>0</v>
      </c>
      <c r="AP276">
        <v>100323.28</v>
      </c>
      <c r="AQ276">
        <v>6256.66</v>
      </c>
      <c r="AR276">
        <v>2.637</v>
      </c>
      <c r="AS276">
        <v>4.8578999999999997E-2</v>
      </c>
      <c r="AT276">
        <v>4.0270000000000002E-3</v>
      </c>
      <c r="AU276">
        <v>1.7100000000000001E-2</v>
      </c>
    </row>
    <row r="277" spans="1:47">
      <c r="A277" s="2" t="s">
        <v>455</v>
      </c>
      <c r="B277" s="2" t="s">
        <v>456</v>
      </c>
      <c r="C277">
        <v>15192.97</v>
      </c>
      <c r="D277">
        <v>28</v>
      </c>
      <c r="E277">
        <v>425403.03</v>
      </c>
      <c r="F277">
        <v>0</v>
      </c>
      <c r="G277">
        <v>2.75</v>
      </c>
      <c r="H277">
        <v>0</v>
      </c>
      <c r="I277" s="274">
        <v>2.75</v>
      </c>
      <c r="J277">
        <v>0</v>
      </c>
      <c r="K277">
        <v>25876.01</v>
      </c>
      <c r="L277">
        <v>0</v>
      </c>
      <c r="M277">
        <v>0</v>
      </c>
      <c r="N277">
        <v>25738.79</v>
      </c>
      <c r="O277" s="274">
        <v>3520.6000000000004</v>
      </c>
      <c r="P277">
        <v>1828.89</v>
      </c>
      <c r="Q277">
        <v>0</v>
      </c>
      <c r="R277">
        <v>0</v>
      </c>
      <c r="S277">
        <v>0</v>
      </c>
      <c r="T277" s="274">
        <f t="shared" si="10"/>
        <v>0</v>
      </c>
      <c r="U277">
        <v>0</v>
      </c>
      <c r="V277">
        <v>0</v>
      </c>
      <c r="W277">
        <v>0</v>
      </c>
      <c r="X277">
        <v>0</v>
      </c>
      <c r="Y277">
        <v>0</v>
      </c>
      <c r="Z277">
        <v>0</v>
      </c>
      <c r="AA277">
        <v>0</v>
      </c>
      <c r="AB277">
        <v>0</v>
      </c>
      <c r="AC277">
        <v>0</v>
      </c>
      <c r="AD277">
        <v>16049.09</v>
      </c>
      <c r="AE277">
        <v>155750.54999999999</v>
      </c>
      <c r="AF277">
        <v>0</v>
      </c>
      <c r="AG277">
        <v>2250.1999999999998</v>
      </c>
      <c r="AH277">
        <v>1</v>
      </c>
      <c r="AI277">
        <v>68937</v>
      </c>
      <c r="AJ277">
        <v>67585</v>
      </c>
      <c r="AK277">
        <v>100321</v>
      </c>
      <c r="AL277">
        <v>102327</v>
      </c>
      <c r="AM277">
        <v>48483</v>
      </c>
      <c r="AN277">
        <v>49453</v>
      </c>
      <c r="AO277">
        <v>1.04</v>
      </c>
      <c r="AP277">
        <v>51842.78</v>
      </c>
      <c r="AQ277">
        <v>3869.56</v>
      </c>
      <c r="AR277">
        <v>1.1819999999999999</v>
      </c>
      <c r="AS277">
        <v>4.8578999999999997E-2</v>
      </c>
      <c r="AT277">
        <v>4.0270000000000002E-3</v>
      </c>
      <c r="AU277">
        <v>1.7100000000000001E-2</v>
      </c>
    </row>
    <row r="278" spans="1:47">
      <c r="A278" s="2" t="s">
        <v>457</v>
      </c>
      <c r="B278" s="2" t="s">
        <v>458</v>
      </c>
      <c r="C278">
        <v>8681.67</v>
      </c>
      <c r="D278">
        <v>1390.88</v>
      </c>
      <c r="E278">
        <v>12075154.550000001</v>
      </c>
      <c r="F278">
        <v>8.5</v>
      </c>
      <c r="G278">
        <v>111.5</v>
      </c>
      <c r="H278">
        <v>72</v>
      </c>
      <c r="I278" s="274">
        <v>192</v>
      </c>
      <c r="J278">
        <v>83653.77</v>
      </c>
      <c r="K278">
        <v>959042.1</v>
      </c>
      <c r="L278">
        <v>611589.63</v>
      </c>
      <c r="M278">
        <v>0</v>
      </c>
      <c r="N278">
        <v>1570380.16</v>
      </c>
      <c r="O278" s="274">
        <v>174890.4</v>
      </c>
      <c r="P278">
        <v>300178.63</v>
      </c>
      <c r="Q278">
        <v>5.25</v>
      </c>
      <c r="R278">
        <v>5.5</v>
      </c>
      <c r="S278">
        <v>0</v>
      </c>
      <c r="T278" s="274">
        <f t="shared" si="10"/>
        <v>10.75</v>
      </c>
      <c r="U278">
        <v>0</v>
      </c>
      <c r="V278">
        <v>69.540000000000006</v>
      </c>
      <c r="W278">
        <v>39133.910000000003</v>
      </c>
      <c r="X278">
        <v>96.56</v>
      </c>
      <c r="Y278">
        <v>2.48</v>
      </c>
      <c r="Z278">
        <v>0</v>
      </c>
      <c r="AA278">
        <v>861601.27</v>
      </c>
      <c r="AB278">
        <v>22033.7</v>
      </c>
      <c r="AC278">
        <v>0</v>
      </c>
      <c r="AD278">
        <v>0</v>
      </c>
      <c r="AE278">
        <v>1004936.7</v>
      </c>
      <c r="AF278">
        <v>0</v>
      </c>
      <c r="AG278">
        <v>219639.09</v>
      </c>
      <c r="AH278">
        <v>1</v>
      </c>
      <c r="AI278">
        <v>68937</v>
      </c>
      <c r="AJ278">
        <v>67585</v>
      </c>
      <c r="AK278">
        <v>100321</v>
      </c>
      <c r="AL278">
        <v>102327</v>
      </c>
      <c r="AM278">
        <v>48483</v>
      </c>
      <c r="AN278">
        <v>49453</v>
      </c>
      <c r="AO278">
        <v>1</v>
      </c>
      <c r="AP278">
        <v>1657932.41</v>
      </c>
      <c r="AQ278">
        <v>89670.33</v>
      </c>
      <c r="AR278">
        <v>23.401</v>
      </c>
      <c r="AS278">
        <v>4.8578999999999997E-2</v>
      </c>
      <c r="AT278">
        <v>4.0270000000000002E-3</v>
      </c>
      <c r="AU278">
        <v>1.7100000000000001E-2</v>
      </c>
    </row>
    <row r="279" spans="1:47">
      <c r="A279" s="2" t="s">
        <v>459</v>
      </c>
      <c r="B279" s="2" t="s">
        <v>460</v>
      </c>
      <c r="C279">
        <v>8806.9699999999993</v>
      </c>
      <c r="D279">
        <v>1756.04</v>
      </c>
      <c r="E279">
        <v>15465393.890000001</v>
      </c>
      <c r="F279">
        <v>23.5</v>
      </c>
      <c r="G279">
        <v>185.25</v>
      </c>
      <c r="H279">
        <v>45.25</v>
      </c>
      <c r="I279" s="274">
        <v>254</v>
      </c>
      <c r="J279">
        <v>234897.25</v>
      </c>
      <c r="K279">
        <v>1618128.9</v>
      </c>
      <c r="L279">
        <v>390335.13</v>
      </c>
      <c r="M279">
        <v>0</v>
      </c>
      <c r="N279">
        <v>2003471.43</v>
      </c>
      <c r="O279" s="274">
        <v>245422.54</v>
      </c>
      <c r="P279">
        <v>371786.89</v>
      </c>
      <c r="Q279">
        <v>16.5</v>
      </c>
      <c r="R279">
        <v>4.5</v>
      </c>
      <c r="S279">
        <v>0</v>
      </c>
      <c r="T279" s="274">
        <f t="shared" si="10"/>
        <v>21</v>
      </c>
      <c r="U279">
        <v>28469.919999999998</v>
      </c>
      <c r="V279">
        <v>87.8</v>
      </c>
      <c r="W279">
        <v>49406.57</v>
      </c>
      <c r="X279">
        <v>128.52000000000001</v>
      </c>
      <c r="Y279">
        <v>1.82</v>
      </c>
      <c r="Z279">
        <v>0</v>
      </c>
      <c r="AA279">
        <v>1146808.54</v>
      </c>
      <c r="AB279">
        <v>16319.63</v>
      </c>
      <c r="AC279">
        <v>0</v>
      </c>
      <c r="AD279">
        <v>240820.79</v>
      </c>
      <c r="AE279">
        <v>1152926.8</v>
      </c>
      <c r="AF279">
        <v>7044.1</v>
      </c>
      <c r="AG279">
        <v>376370.42</v>
      </c>
      <c r="AH279">
        <v>1</v>
      </c>
      <c r="AI279">
        <v>68937</v>
      </c>
      <c r="AJ279">
        <v>67585</v>
      </c>
      <c r="AK279">
        <v>100321</v>
      </c>
      <c r="AL279">
        <v>102327</v>
      </c>
      <c r="AM279">
        <v>48483</v>
      </c>
      <c r="AN279">
        <v>49453</v>
      </c>
      <c r="AO279">
        <v>1</v>
      </c>
      <c r="AP279">
        <v>2114629.2200000002</v>
      </c>
      <c r="AQ279">
        <v>118678.71</v>
      </c>
      <c r="AR279">
        <v>37.94</v>
      </c>
      <c r="AS279">
        <v>4.8578999999999997E-2</v>
      </c>
      <c r="AT279">
        <v>4.0270000000000002E-3</v>
      </c>
      <c r="AU279">
        <v>1.7100000000000001E-2</v>
      </c>
    </row>
    <row r="280" spans="1:47">
      <c r="A280" s="2" t="s">
        <v>461</v>
      </c>
      <c r="B280" s="2" t="s">
        <v>462</v>
      </c>
      <c r="C280">
        <v>8940.08</v>
      </c>
      <c r="D280">
        <v>10187.290000000001</v>
      </c>
      <c r="E280">
        <v>91075141.769999996</v>
      </c>
      <c r="F280">
        <v>85.75</v>
      </c>
      <c r="G280">
        <v>626</v>
      </c>
      <c r="H280">
        <v>721.5</v>
      </c>
      <c r="I280" s="274">
        <v>1433.25</v>
      </c>
      <c r="J280">
        <v>870727.67</v>
      </c>
      <c r="K280">
        <v>5555758.4000000004</v>
      </c>
      <c r="L280">
        <v>6323688.5199999996</v>
      </c>
      <c r="M280">
        <v>0</v>
      </c>
      <c r="N280">
        <v>11898142.029999999</v>
      </c>
      <c r="O280" s="274">
        <v>1422704.5</v>
      </c>
      <c r="P280">
        <v>3507623.23</v>
      </c>
      <c r="Q280">
        <v>164.5</v>
      </c>
      <c r="R280">
        <v>118.5</v>
      </c>
      <c r="S280">
        <v>84</v>
      </c>
      <c r="T280" s="274">
        <f t="shared" si="10"/>
        <v>367</v>
      </c>
      <c r="U280">
        <v>497256.53</v>
      </c>
      <c r="V280">
        <v>509.36</v>
      </c>
      <c r="W280">
        <v>297037.34999999998</v>
      </c>
      <c r="X280">
        <v>321.83999999999997</v>
      </c>
      <c r="Y280">
        <v>406.12</v>
      </c>
      <c r="Z280">
        <v>0</v>
      </c>
      <c r="AA280">
        <v>2953268.86</v>
      </c>
      <c r="AB280">
        <v>3721276.28</v>
      </c>
      <c r="AC280">
        <v>0</v>
      </c>
      <c r="AD280">
        <v>597455.46</v>
      </c>
      <c r="AE280">
        <v>5430148.7800000003</v>
      </c>
      <c r="AF280">
        <v>117174.3</v>
      </c>
      <c r="AG280">
        <v>1463716.62</v>
      </c>
      <c r="AH280">
        <v>1.04</v>
      </c>
      <c r="AI280">
        <v>68937</v>
      </c>
      <c r="AJ280">
        <v>67585</v>
      </c>
      <c r="AK280">
        <v>100321</v>
      </c>
      <c r="AL280">
        <v>102327</v>
      </c>
      <c r="AM280">
        <v>48483</v>
      </c>
      <c r="AN280">
        <v>49453</v>
      </c>
      <c r="AO280">
        <v>1</v>
      </c>
      <c r="AP280">
        <v>12068208.710000001</v>
      </c>
      <c r="AQ280">
        <v>684452.11</v>
      </c>
      <c r="AR280">
        <v>178.79499999999999</v>
      </c>
      <c r="AS280">
        <v>4.8578999999999997E-2</v>
      </c>
      <c r="AT280">
        <v>4.0270000000000002E-3</v>
      </c>
      <c r="AU280">
        <v>1.7100000000000001E-2</v>
      </c>
    </row>
    <row r="281" spans="1:47">
      <c r="A281" s="2" t="s">
        <v>463</v>
      </c>
      <c r="B281" s="2" t="s">
        <v>464</v>
      </c>
      <c r="C281">
        <v>8743.31</v>
      </c>
      <c r="D281">
        <v>14077.22</v>
      </c>
      <c r="E281">
        <v>123081499.86</v>
      </c>
      <c r="F281">
        <v>157</v>
      </c>
      <c r="G281">
        <v>915.25</v>
      </c>
      <c r="H281">
        <v>1096.75</v>
      </c>
      <c r="I281" s="274">
        <v>2169</v>
      </c>
      <c r="J281">
        <v>1563194.68</v>
      </c>
      <c r="K281">
        <v>7963777.5999999996</v>
      </c>
      <c r="L281">
        <v>9424351.0299999993</v>
      </c>
      <c r="M281">
        <v>-739920.37</v>
      </c>
      <c r="N281">
        <v>17311591.02</v>
      </c>
      <c r="O281" s="274">
        <v>2066138.0499999998</v>
      </c>
      <c r="P281">
        <v>5212755.25</v>
      </c>
      <c r="Q281">
        <v>288.75</v>
      </c>
      <c r="R281">
        <v>187.25</v>
      </c>
      <c r="S281">
        <v>96.25</v>
      </c>
      <c r="T281" s="274">
        <f t="shared" si="10"/>
        <v>572.25</v>
      </c>
      <c r="U281">
        <v>766339.86</v>
      </c>
      <c r="V281">
        <v>703.86</v>
      </c>
      <c r="W281">
        <v>396426.54</v>
      </c>
      <c r="X281">
        <v>638.70000000000005</v>
      </c>
      <c r="Y281">
        <v>54.24</v>
      </c>
      <c r="Z281">
        <v>52.27</v>
      </c>
      <c r="AA281">
        <v>5699013.2400000002</v>
      </c>
      <c r="AB281">
        <v>483450.02</v>
      </c>
      <c r="AC281">
        <v>528825.44999999995</v>
      </c>
      <c r="AD281">
        <v>414495.07</v>
      </c>
      <c r="AE281">
        <v>6591664.1699999999</v>
      </c>
      <c r="AF281">
        <v>814474.58</v>
      </c>
      <c r="AG281">
        <v>2725774.9</v>
      </c>
      <c r="AH281">
        <v>1</v>
      </c>
      <c r="AI281">
        <v>68937</v>
      </c>
      <c r="AJ281">
        <v>67585</v>
      </c>
      <c r="AK281">
        <v>100321</v>
      </c>
      <c r="AL281">
        <v>102327</v>
      </c>
      <c r="AM281">
        <v>48483</v>
      </c>
      <c r="AN281">
        <v>49453</v>
      </c>
      <c r="AO281">
        <v>1</v>
      </c>
      <c r="AP281">
        <v>17786976.920000002</v>
      </c>
      <c r="AQ281">
        <v>982303.45</v>
      </c>
      <c r="AR281">
        <v>283.10399999999998</v>
      </c>
      <c r="AS281">
        <v>4.8578999999999997E-2</v>
      </c>
      <c r="AT281">
        <v>4.0270000000000002E-3</v>
      </c>
      <c r="AU281">
        <v>1.7100000000000001E-2</v>
      </c>
    </row>
    <row r="282" spans="1:47">
      <c r="A282" s="2" t="s">
        <v>465</v>
      </c>
      <c r="B282" s="2" t="s">
        <v>466</v>
      </c>
      <c r="C282">
        <v>8893.77</v>
      </c>
      <c r="D282">
        <v>857.87</v>
      </c>
      <c r="E282">
        <v>7629695.4100000001</v>
      </c>
      <c r="F282">
        <v>10.75</v>
      </c>
      <c r="G282">
        <v>75.25</v>
      </c>
      <c r="H282">
        <v>27.25</v>
      </c>
      <c r="I282" s="274">
        <v>113.25</v>
      </c>
      <c r="J282">
        <v>107754.64</v>
      </c>
      <c r="K282">
        <v>659225.51</v>
      </c>
      <c r="L282">
        <v>235753.89</v>
      </c>
      <c r="M282">
        <v>0</v>
      </c>
      <c r="N282">
        <v>893415.63</v>
      </c>
      <c r="O282" s="274">
        <v>106426.25</v>
      </c>
      <c r="P282">
        <v>170949.35</v>
      </c>
      <c r="Q282">
        <v>0</v>
      </c>
      <c r="R282">
        <v>0</v>
      </c>
      <c r="S282">
        <v>0</v>
      </c>
      <c r="T282" s="274">
        <f t="shared" si="10"/>
        <v>0</v>
      </c>
      <c r="U282">
        <v>0</v>
      </c>
      <c r="V282">
        <v>0</v>
      </c>
      <c r="W282">
        <v>0</v>
      </c>
      <c r="X282">
        <v>88.61</v>
      </c>
      <c r="Y282">
        <v>34.31</v>
      </c>
      <c r="Z282">
        <v>0</v>
      </c>
      <c r="AA282">
        <v>807501.66</v>
      </c>
      <c r="AB282">
        <v>312149.56</v>
      </c>
      <c r="AC282">
        <v>0</v>
      </c>
      <c r="AD282">
        <v>157923.62</v>
      </c>
      <c r="AE282">
        <v>750398.68</v>
      </c>
      <c r="AF282">
        <v>0</v>
      </c>
      <c r="AG282">
        <v>111281.36</v>
      </c>
      <c r="AH282">
        <v>1</v>
      </c>
      <c r="AI282">
        <v>68937</v>
      </c>
      <c r="AJ282">
        <v>67585</v>
      </c>
      <c r="AK282">
        <v>100321</v>
      </c>
      <c r="AL282">
        <v>102327</v>
      </c>
      <c r="AM282">
        <v>48483</v>
      </c>
      <c r="AN282">
        <v>49453</v>
      </c>
      <c r="AO282">
        <v>1.04</v>
      </c>
      <c r="AP282">
        <v>1002307.37</v>
      </c>
      <c r="AQ282">
        <v>56313.1</v>
      </c>
      <c r="AR282">
        <v>14.281000000000001</v>
      </c>
      <c r="AS282">
        <v>4.8578999999999997E-2</v>
      </c>
      <c r="AT282">
        <v>4.0270000000000002E-3</v>
      </c>
      <c r="AU282">
        <v>1.7100000000000001E-2</v>
      </c>
    </row>
    <row r="283" spans="1:47">
      <c r="A283" s="2" t="s">
        <v>467</v>
      </c>
      <c r="B283" s="2" t="s">
        <v>468</v>
      </c>
      <c r="C283">
        <v>8765.4699999999993</v>
      </c>
      <c r="D283">
        <v>5158.13</v>
      </c>
      <c r="E283">
        <v>45213412.729999997</v>
      </c>
      <c r="F283">
        <v>64.5</v>
      </c>
      <c r="G283">
        <v>600.75</v>
      </c>
      <c r="H283">
        <v>204</v>
      </c>
      <c r="I283" s="274">
        <v>869.25</v>
      </c>
      <c r="J283">
        <v>638950.13</v>
      </c>
      <c r="K283">
        <v>5201489.1500000004</v>
      </c>
      <c r="L283">
        <v>1744332.51</v>
      </c>
      <c r="M283">
        <v>-911806.7</v>
      </c>
      <c r="N283">
        <v>6932188.9299999997</v>
      </c>
      <c r="O283" s="274">
        <v>739724.51</v>
      </c>
      <c r="P283">
        <v>1410981.81</v>
      </c>
      <c r="Q283">
        <v>168.75</v>
      </c>
      <c r="R283">
        <v>69.5</v>
      </c>
      <c r="S283">
        <v>41.25</v>
      </c>
      <c r="T283" s="274">
        <f t="shared" si="10"/>
        <v>279.5</v>
      </c>
      <c r="U283">
        <v>365510.75</v>
      </c>
      <c r="V283">
        <v>257.91000000000003</v>
      </c>
      <c r="W283">
        <v>145284.66</v>
      </c>
      <c r="X283">
        <v>400.93</v>
      </c>
      <c r="Y283">
        <v>97.13</v>
      </c>
      <c r="Z283">
        <v>0</v>
      </c>
      <c r="AA283">
        <v>3577446.33</v>
      </c>
      <c r="AB283">
        <v>865516.59</v>
      </c>
      <c r="AC283">
        <v>0</v>
      </c>
      <c r="AD283">
        <v>472084.27</v>
      </c>
      <c r="AE283">
        <v>2919815.26</v>
      </c>
      <c r="AF283">
        <v>416580.52</v>
      </c>
      <c r="AG283">
        <v>1434551.42</v>
      </c>
      <c r="AH283">
        <v>1</v>
      </c>
      <c r="AI283">
        <v>68937</v>
      </c>
      <c r="AJ283">
        <v>67585</v>
      </c>
      <c r="AK283">
        <v>100321</v>
      </c>
      <c r="AL283">
        <v>102327</v>
      </c>
      <c r="AM283">
        <v>48483</v>
      </c>
      <c r="AN283">
        <v>49453</v>
      </c>
      <c r="AO283">
        <v>1</v>
      </c>
      <c r="AP283">
        <v>5921201.6100000003</v>
      </c>
      <c r="AQ283">
        <v>328285.82</v>
      </c>
      <c r="AR283">
        <v>100.81</v>
      </c>
      <c r="AS283">
        <v>4.8578999999999997E-2</v>
      </c>
      <c r="AT283">
        <v>4.0270000000000002E-3</v>
      </c>
      <c r="AU283">
        <v>1.7100000000000001E-2</v>
      </c>
    </row>
    <row r="284" spans="1:47">
      <c r="A284" s="2" t="s">
        <v>469</v>
      </c>
      <c r="B284" s="2" t="s">
        <v>470</v>
      </c>
      <c r="C284">
        <v>8931.89</v>
      </c>
      <c r="D284">
        <v>3502.74</v>
      </c>
      <c r="E284">
        <v>31286079.690000001</v>
      </c>
      <c r="F284">
        <v>54.5</v>
      </c>
      <c r="G284">
        <v>303.25</v>
      </c>
      <c r="H284">
        <v>232.75</v>
      </c>
      <c r="I284" s="274">
        <v>590.5</v>
      </c>
      <c r="J284">
        <v>552194.32999999996</v>
      </c>
      <c r="K284">
        <v>2685581.48</v>
      </c>
      <c r="L284">
        <v>2035600.73</v>
      </c>
      <c r="M284">
        <v>-443601.01</v>
      </c>
      <c r="N284">
        <v>4656317.54</v>
      </c>
      <c r="O284" s="274">
        <v>505911.97</v>
      </c>
      <c r="P284">
        <v>1175825.5900000001</v>
      </c>
      <c r="Q284">
        <v>63</v>
      </c>
      <c r="R284">
        <v>27.75</v>
      </c>
      <c r="S284">
        <v>32</v>
      </c>
      <c r="T284" s="274">
        <f t="shared" si="10"/>
        <v>122.75</v>
      </c>
      <c r="U284">
        <v>158062.07999999999</v>
      </c>
      <c r="V284">
        <v>175.14</v>
      </c>
      <c r="W284">
        <v>102067.01</v>
      </c>
      <c r="X284">
        <v>212.13</v>
      </c>
      <c r="Y284">
        <v>30.59</v>
      </c>
      <c r="Z284">
        <v>0</v>
      </c>
      <c r="AA284">
        <v>1932906</v>
      </c>
      <c r="AB284">
        <v>278368.87</v>
      </c>
      <c r="AC284">
        <v>0</v>
      </c>
      <c r="AD284">
        <v>285373.21999999997</v>
      </c>
      <c r="AE284">
        <v>2369153.5299999998</v>
      </c>
      <c r="AF284">
        <v>572202.98</v>
      </c>
      <c r="AG284">
        <v>1236954.79</v>
      </c>
      <c r="AH284">
        <v>1</v>
      </c>
      <c r="AI284">
        <v>68937</v>
      </c>
      <c r="AJ284">
        <v>67585</v>
      </c>
      <c r="AK284">
        <v>100321</v>
      </c>
      <c r="AL284">
        <v>102327</v>
      </c>
      <c r="AM284">
        <v>48483</v>
      </c>
      <c r="AN284">
        <v>49453</v>
      </c>
      <c r="AO284">
        <v>1</v>
      </c>
      <c r="AP284">
        <v>4021294.13</v>
      </c>
      <c r="AQ284">
        <v>232250.89</v>
      </c>
      <c r="AR284">
        <v>66.311999999999998</v>
      </c>
      <c r="AS284">
        <v>4.8578999999999997E-2</v>
      </c>
      <c r="AT284">
        <v>4.0270000000000002E-3</v>
      </c>
      <c r="AU284">
        <v>1.7100000000000001E-2</v>
      </c>
    </row>
    <row r="285" spans="1:47">
      <c r="A285" s="2" t="s">
        <v>471</v>
      </c>
      <c r="B285" s="2" t="s">
        <v>472</v>
      </c>
      <c r="C285">
        <v>9563.36</v>
      </c>
      <c r="D285">
        <v>567.97</v>
      </c>
      <c r="E285">
        <v>5431703.9500000002</v>
      </c>
      <c r="F285">
        <v>2.25</v>
      </c>
      <c r="G285">
        <v>48.75</v>
      </c>
      <c r="H285">
        <v>15.75</v>
      </c>
      <c r="I285" s="274">
        <v>66.75</v>
      </c>
      <c r="J285">
        <v>22604.58</v>
      </c>
      <c r="K285">
        <v>428034.78</v>
      </c>
      <c r="L285">
        <v>136568.24</v>
      </c>
      <c r="M285">
        <v>0</v>
      </c>
      <c r="N285">
        <v>563476.52</v>
      </c>
      <c r="O285" s="274">
        <v>59717.560000000005</v>
      </c>
      <c r="P285">
        <v>99675.18</v>
      </c>
      <c r="Q285">
        <v>0</v>
      </c>
      <c r="R285">
        <v>1</v>
      </c>
      <c r="S285">
        <v>0</v>
      </c>
      <c r="T285" s="274">
        <f t="shared" si="10"/>
        <v>1</v>
      </c>
      <c r="U285">
        <v>1761.02</v>
      </c>
      <c r="V285">
        <v>0</v>
      </c>
      <c r="W285">
        <v>0</v>
      </c>
      <c r="X285">
        <v>30.08</v>
      </c>
      <c r="Y285">
        <v>0</v>
      </c>
      <c r="Z285">
        <v>0</v>
      </c>
      <c r="AA285">
        <v>268399.35999999999</v>
      </c>
      <c r="AB285">
        <v>0</v>
      </c>
      <c r="AC285">
        <v>0</v>
      </c>
      <c r="AD285">
        <v>163057.31</v>
      </c>
      <c r="AE285">
        <v>562495.16</v>
      </c>
      <c r="AF285">
        <v>0</v>
      </c>
      <c r="AG285">
        <v>101943.84</v>
      </c>
      <c r="AH285">
        <v>1</v>
      </c>
      <c r="AI285">
        <v>68937</v>
      </c>
      <c r="AJ285">
        <v>67585</v>
      </c>
      <c r="AK285">
        <v>100321</v>
      </c>
      <c r="AL285">
        <v>102327</v>
      </c>
      <c r="AM285">
        <v>48483</v>
      </c>
      <c r="AN285">
        <v>49453</v>
      </c>
      <c r="AO285">
        <v>1</v>
      </c>
      <c r="AP285">
        <v>773245.95</v>
      </c>
      <c r="AQ285">
        <v>45241.19</v>
      </c>
      <c r="AR285">
        <v>12.678000000000001</v>
      </c>
      <c r="AS285">
        <v>4.8578999999999997E-2</v>
      </c>
      <c r="AT285">
        <v>4.0270000000000002E-3</v>
      </c>
      <c r="AU285">
        <v>1.7100000000000001E-2</v>
      </c>
    </row>
    <row r="286" spans="1:47">
      <c r="A286" s="2" t="s">
        <v>473</v>
      </c>
      <c r="B286" s="2" t="s">
        <v>474</v>
      </c>
      <c r="C286">
        <v>8773.73</v>
      </c>
      <c r="D286">
        <v>3410.59</v>
      </c>
      <c r="E286">
        <v>29923579.73</v>
      </c>
      <c r="F286">
        <v>35.75</v>
      </c>
      <c r="G286">
        <v>314.25</v>
      </c>
      <c r="H286">
        <v>82</v>
      </c>
      <c r="I286" s="274">
        <v>432</v>
      </c>
      <c r="J286">
        <v>351610.13</v>
      </c>
      <c r="K286">
        <v>2701055.09</v>
      </c>
      <c r="L286">
        <v>696043.72</v>
      </c>
      <c r="M286">
        <v>0</v>
      </c>
      <c r="N286">
        <v>3559932.34</v>
      </c>
      <c r="O286" s="274">
        <v>433807.57999999996</v>
      </c>
      <c r="P286">
        <v>619092.51</v>
      </c>
      <c r="Q286">
        <v>60.25</v>
      </c>
      <c r="R286">
        <v>42</v>
      </c>
      <c r="S286">
        <v>13.75</v>
      </c>
      <c r="T286" s="274">
        <f t="shared" si="10"/>
        <v>116</v>
      </c>
      <c r="U286">
        <v>160155.54</v>
      </c>
      <c r="V286">
        <v>170.53</v>
      </c>
      <c r="W286">
        <v>96073.75</v>
      </c>
      <c r="X286">
        <v>205.38</v>
      </c>
      <c r="Y286">
        <v>82.08</v>
      </c>
      <c r="Z286">
        <v>0</v>
      </c>
      <c r="AA286">
        <v>1832718.12</v>
      </c>
      <c r="AB286">
        <v>731475.39</v>
      </c>
      <c r="AC286">
        <v>0</v>
      </c>
      <c r="AD286">
        <v>342134.96</v>
      </c>
      <c r="AE286">
        <v>1632214.6</v>
      </c>
      <c r="AF286">
        <v>521557.23</v>
      </c>
      <c r="AG286">
        <v>1097412.77</v>
      </c>
      <c r="AH286">
        <v>1</v>
      </c>
      <c r="AI286">
        <v>68937</v>
      </c>
      <c r="AJ286">
        <v>67585</v>
      </c>
      <c r="AK286">
        <v>100321</v>
      </c>
      <c r="AL286">
        <v>102327</v>
      </c>
      <c r="AM286">
        <v>48483</v>
      </c>
      <c r="AN286">
        <v>49453</v>
      </c>
      <c r="AO286">
        <v>1</v>
      </c>
      <c r="AP286">
        <v>3279636.39</v>
      </c>
      <c r="AQ286">
        <v>181034.9</v>
      </c>
      <c r="AR286">
        <v>53.408999999999999</v>
      </c>
      <c r="AS286">
        <v>4.8578999999999997E-2</v>
      </c>
      <c r="AT286">
        <v>4.0270000000000002E-3</v>
      </c>
      <c r="AU286">
        <v>1.7100000000000001E-2</v>
      </c>
    </row>
    <row r="287" spans="1:47">
      <c r="A287" s="2" t="s">
        <v>475</v>
      </c>
      <c r="B287" s="2" t="s">
        <v>476</v>
      </c>
      <c r="C287">
        <v>8729.1299999999992</v>
      </c>
      <c r="D287">
        <v>2514.6999999999998</v>
      </c>
      <c r="E287">
        <v>21951147.170000002</v>
      </c>
      <c r="F287">
        <v>18.25</v>
      </c>
      <c r="G287">
        <v>180.75</v>
      </c>
      <c r="H287">
        <v>104.25</v>
      </c>
      <c r="I287" s="274">
        <v>303.25</v>
      </c>
      <c r="J287">
        <v>179180.99</v>
      </c>
      <c r="K287">
        <v>1550997.91</v>
      </c>
      <c r="L287">
        <v>883433.52</v>
      </c>
      <c r="M287">
        <v>0</v>
      </c>
      <c r="N287">
        <v>2433190.35</v>
      </c>
      <c r="O287" s="274">
        <v>306927.20999999996</v>
      </c>
      <c r="P287">
        <v>554384.75</v>
      </c>
      <c r="Q287">
        <v>16.75</v>
      </c>
      <c r="R287">
        <v>7.5</v>
      </c>
      <c r="S287">
        <v>4.25</v>
      </c>
      <c r="T287" s="274">
        <f t="shared" si="10"/>
        <v>28.5</v>
      </c>
      <c r="U287">
        <v>37470.730000000003</v>
      </c>
      <c r="V287">
        <v>125.74</v>
      </c>
      <c r="W287">
        <v>70832.38</v>
      </c>
      <c r="X287">
        <v>111.04</v>
      </c>
      <c r="Y287">
        <v>0</v>
      </c>
      <c r="Z287">
        <v>0</v>
      </c>
      <c r="AA287">
        <v>990816.34</v>
      </c>
      <c r="AB287">
        <v>0</v>
      </c>
      <c r="AC287">
        <v>0</v>
      </c>
      <c r="AD287">
        <v>304604.37</v>
      </c>
      <c r="AE287">
        <v>1409262.02</v>
      </c>
      <c r="AF287">
        <v>377055.26</v>
      </c>
      <c r="AG287">
        <v>705780.13</v>
      </c>
      <c r="AH287">
        <v>1</v>
      </c>
      <c r="AI287">
        <v>68937</v>
      </c>
      <c r="AJ287">
        <v>67585</v>
      </c>
      <c r="AK287">
        <v>100321</v>
      </c>
      <c r="AL287">
        <v>102327</v>
      </c>
      <c r="AM287">
        <v>48483</v>
      </c>
      <c r="AN287">
        <v>49453</v>
      </c>
      <c r="AO287">
        <v>1</v>
      </c>
      <c r="AP287">
        <v>2447838.25</v>
      </c>
      <c r="AQ287">
        <v>134973.23000000001</v>
      </c>
      <c r="AR287">
        <v>38.497999999999998</v>
      </c>
      <c r="AS287">
        <v>4.8578999999999997E-2</v>
      </c>
      <c r="AT287">
        <v>4.0270000000000002E-3</v>
      </c>
      <c r="AU287">
        <v>1.7100000000000001E-2</v>
      </c>
    </row>
    <row r="288" spans="1:47">
      <c r="A288" s="2" t="s">
        <v>477</v>
      </c>
      <c r="B288" s="2" t="s">
        <v>478</v>
      </c>
      <c r="C288">
        <v>8788.06</v>
      </c>
      <c r="D288">
        <v>1440.6</v>
      </c>
      <c r="E288">
        <v>12660077.890000001</v>
      </c>
      <c r="F288">
        <v>11.5</v>
      </c>
      <c r="G288">
        <v>134</v>
      </c>
      <c r="H288">
        <v>58.25</v>
      </c>
      <c r="I288" s="274">
        <v>203.75</v>
      </c>
      <c r="J288">
        <v>113617.69</v>
      </c>
      <c r="K288">
        <v>1156941.73</v>
      </c>
      <c r="L288">
        <v>496668.88</v>
      </c>
      <c r="M288">
        <v>0</v>
      </c>
      <c r="N288">
        <v>1651644.74</v>
      </c>
      <c r="O288" s="274">
        <v>190503.94</v>
      </c>
      <c r="P288">
        <v>330164.21000000002</v>
      </c>
      <c r="Q288">
        <v>16.25</v>
      </c>
      <c r="R288">
        <v>2.5</v>
      </c>
      <c r="S288">
        <v>0.75</v>
      </c>
      <c r="T288" s="274">
        <f t="shared" si="10"/>
        <v>19.5</v>
      </c>
      <c r="U288">
        <v>25241.38</v>
      </c>
      <c r="V288">
        <v>72.03</v>
      </c>
      <c r="W288">
        <v>40601.43</v>
      </c>
      <c r="X288">
        <v>115.25</v>
      </c>
      <c r="Y288">
        <v>54.07</v>
      </c>
      <c r="Z288">
        <v>0</v>
      </c>
      <c r="AA288">
        <v>1028320.66</v>
      </c>
      <c r="AB288">
        <v>481750.16</v>
      </c>
      <c r="AC288">
        <v>0</v>
      </c>
      <c r="AD288">
        <v>0</v>
      </c>
      <c r="AE288">
        <v>1495238.7</v>
      </c>
      <c r="AF288">
        <v>95095.4</v>
      </c>
      <c r="AG288">
        <v>388599.75</v>
      </c>
      <c r="AH288">
        <v>1</v>
      </c>
      <c r="AI288">
        <v>68937</v>
      </c>
      <c r="AJ288">
        <v>67585</v>
      </c>
      <c r="AK288">
        <v>100321</v>
      </c>
      <c r="AL288">
        <v>102327</v>
      </c>
      <c r="AM288">
        <v>48483</v>
      </c>
      <c r="AN288">
        <v>49453</v>
      </c>
      <c r="AO288">
        <v>1</v>
      </c>
      <c r="AP288">
        <v>1546491.73</v>
      </c>
      <c r="AQ288">
        <v>85532.89</v>
      </c>
      <c r="AR288">
        <v>25.462</v>
      </c>
      <c r="AS288">
        <v>4.8578999999999997E-2</v>
      </c>
      <c r="AT288">
        <v>4.0270000000000002E-3</v>
      </c>
      <c r="AU288">
        <v>1.7100000000000001E-2</v>
      </c>
    </row>
    <row r="289" spans="1:47">
      <c r="A289" s="2" t="s">
        <v>1153</v>
      </c>
      <c r="B289" s="2" t="s">
        <v>1154</v>
      </c>
      <c r="C289">
        <v>0</v>
      </c>
      <c r="D289">
        <v>0</v>
      </c>
      <c r="E289">
        <v>0</v>
      </c>
      <c r="F289">
        <v>0</v>
      </c>
      <c r="G289">
        <v>0</v>
      </c>
      <c r="H289">
        <v>0</v>
      </c>
      <c r="I289" s="274">
        <v>0</v>
      </c>
      <c r="J289">
        <v>0</v>
      </c>
      <c r="K289">
        <v>0</v>
      </c>
      <c r="L289">
        <v>0</v>
      </c>
      <c r="M289">
        <v>0</v>
      </c>
      <c r="N289">
        <v>0</v>
      </c>
      <c r="O289" s="274">
        <v>0</v>
      </c>
      <c r="P289">
        <v>0</v>
      </c>
      <c r="Q289">
        <v>0</v>
      </c>
      <c r="R289">
        <v>0</v>
      </c>
      <c r="S289">
        <v>0</v>
      </c>
      <c r="T289" s="274">
        <f t="shared" si="10"/>
        <v>0</v>
      </c>
      <c r="U289">
        <v>0</v>
      </c>
      <c r="V289">
        <v>0</v>
      </c>
      <c r="W289">
        <v>0</v>
      </c>
      <c r="X289">
        <v>0</v>
      </c>
      <c r="Y289">
        <v>0</v>
      </c>
      <c r="Z289">
        <v>0</v>
      </c>
      <c r="AA289">
        <v>0</v>
      </c>
      <c r="AB289">
        <v>0</v>
      </c>
      <c r="AC289">
        <v>0</v>
      </c>
      <c r="AD289">
        <v>0</v>
      </c>
      <c r="AE289">
        <v>0</v>
      </c>
      <c r="AF289">
        <v>0</v>
      </c>
      <c r="AG289">
        <v>0</v>
      </c>
      <c r="AH289">
        <v>0</v>
      </c>
      <c r="AI289">
        <v>0</v>
      </c>
      <c r="AJ289">
        <v>0</v>
      </c>
      <c r="AK289">
        <v>100321</v>
      </c>
      <c r="AL289">
        <v>102327</v>
      </c>
      <c r="AM289">
        <v>48483</v>
      </c>
      <c r="AN289">
        <v>49453</v>
      </c>
      <c r="AO289">
        <v>1</v>
      </c>
      <c r="AP289">
        <v>0</v>
      </c>
      <c r="AQ289">
        <v>0</v>
      </c>
      <c r="AR289">
        <v>0</v>
      </c>
      <c r="AS289">
        <v>4.8578999999999997E-2</v>
      </c>
      <c r="AT289">
        <v>4.0270000000000002E-3</v>
      </c>
      <c r="AU289">
        <v>1.7100000000000001E-2</v>
      </c>
    </row>
    <row r="290" spans="1:47">
      <c r="A290" s="2" t="s">
        <v>479</v>
      </c>
      <c r="B290" s="2" t="s">
        <v>480</v>
      </c>
      <c r="C290">
        <v>11209.87</v>
      </c>
      <c r="D290">
        <v>678.2</v>
      </c>
      <c r="E290">
        <v>7602536.5999999996</v>
      </c>
      <c r="F290">
        <v>0</v>
      </c>
      <c r="G290">
        <v>77</v>
      </c>
      <c r="H290">
        <v>2.5</v>
      </c>
      <c r="I290" s="274">
        <v>79.5</v>
      </c>
      <c r="J290">
        <v>0</v>
      </c>
      <c r="K290">
        <v>725400.59</v>
      </c>
      <c r="L290">
        <v>23259.11</v>
      </c>
      <c r="M290">
        <v>0</v>
      </c>
      <c r="N290">
        <v>745040.61</v>
      </c>
      <c r="O290" s="274">
        <v>74748.38</v>
      </c>
      <c r="P290">
        <v>79177.5</v>
      </c>
      <c r="Q290">
        <v>15.5</v>
      </c>
      <c r="R290">
        <v>1.25</v>
      </c>
      <c r="S290">
        <v>2</v>
      </c>
      <c r="T290" s="274">
        <f t="shared" si="10"/>
        <v>18.75</v>
      </c>
      <c r="U290">
        <v>23900.73</v>
      </c>
      <c r="V290">
        <v>33.909999999999997</v>
      </c>
      <c r="W290">
        <v>19748.48</v>
      </c>
      <c r="X290">
        <v>0</v>
      </c>
      <c r="Y290">
        <v>0</v>
      </c>
      <c r="Z290">
        <v>0</v>
      </c>
      <c r="AA290">
        <v>0</v>
      </c>
      <c r="AB290">
        <v>0</v>
      </c>
      <c r="AC290">
        <v>0</v>
      </c>
      <c r="AD290">
        <v>0</v>
      </c>
      <c r="AE290">
        <v>338534.88</v>
      </c>
      <c r="AF290">
        <v>0</v>
      </c>
      <c r="AG290">
        <v>180369.42</v>
      </c>
      <c r="AH290">
        <v>1.04</v>
      </c>
      <c r="AI290">
        <v>68937</v>
      </c>
      <c r="AJ290">
        <v>67585</v>
      </c>
      <c r="AK290">
        <v>100321</v>
      </c>
      <c r="AL290">
        <v>102327</v>
      </c>
      <c r="AM290">
        <v>48483</v>
      </c>
      <c r="AN290">
        <v>49453</v>
      </c>
      <c r="AO290">
        <v>1</v>
      </c>
      <c r="AP290">
        <v>1019352.44</v>
      </c>
      <c r="AQ290">
        <v>70552.2</v>
      </c>
      <c r="AR290">
        <v>23.902000000000001</v>
      </c>
      <c r="AS290">
        <v>4.8578999999999997E-2</v>
      </c>
      <c r="AT290">
        <v>4.0270000000000002E-3</v>
      </c>
      <c r="AU290">
        <v>1.7100000000000001E-2</v>
      </c>
    </row>
    <row r="291" spans="1:47">
      <c r="A291" s="2" t="s">
        <v>1155</v>
      </c>
      <c r="B291" s="2" t="s">
        <v>1156</v>
      </c>
      <c r="C291">
        <v>0</v>
      </c>
      <c r="D291">
        <v>0</v>
      </c>
      <c r="E291">
        <v>0</v>
      </c>
      <c r="F291">
        <v>0</v>
      </c>
      <c r="G291">
        <v>0</v>
      </c>
      <c r="H291">
        <v>0</v>
      </c>
      <c r="I291" s="274">
        <v>0</v>
      </c>
      <c r="J291">
        <v>0</v>
      </c>
      <c r="K291">
        <v>0</v>
      </c>
      <c r="L291">
        <v>0</v>
      </c>
      <c r="M291">
        <v>0</v>
      </c>
      <c r="N291">
        <v>0</v>
      </c>
      <c r="O291" s="274">
        <v>0</v>
      </c>
      <c r="P291">
        <v>0</v>
      </c>
      <c r="Q291">
        <v>0</v>
      </c>
      <c r="R291">
        <v>0</v>
      </c>
      <c r="S291">
        <v>0</v>
      </c>
      <c r="T291" s="274">
        <f t="shared" si="10"/>
        <v>0</v>
      </c>
      <c r="U291">
        <v>0</v>
      </c>
      <c r="V291">
        <v>0</v>
      </c>
      <c r="W291">
        <v>0</v>
      </c>
      <c r="X291">
        <v>0</v>
      </c>
      <c r="Y291">
        <v>0</v>
      </c>
      <c r="Z291">
        <v>0</v>
      </c>
      <c r="AA291">
        <v>0</v>
      </c>
      <c r="AB291">
        <v>0</v>
      </c>
      <c r="AC291">
        <v>0</v>
      </c>
      <c r="AD291">
        <v>0</v>
      </c>
      <c r="AE291">
        <v>0</v>
      </c>
      <c r="AF291">
        <v>0</v>
      </c>
      <c r="AG291">
        <v>0</v>
      </c>
      <c r="AH291">
        <v>0</v>
      </c>
      <c r="AI291">
        <v>0</v>
      </c>
      <c r="AJ291">
        <v>0</v>
      </c>
      <c r="AK291">
        <v>0</v>
      </c>
      <c r="AL291">
        <v>0</v>
      </c>
      <c r="AM291">
        <v>0</v>
      </c>
      <c r="AN291">
        <v>0</v>
      </c>
      <c r="AO291">
        <v>0</v>
      </c>
      <c r="AP291">
        <v>0</v>
      </c>
      <c r="AQ291">
        <v>0</v>
      </c>
      <c r="AR291">
        <v>0</v>
      </c>
      <c r="AS291">
        <v>4.8578999999999997E-2</v>
      </c>
      <c r="AT291">
        <v>4.0270000000000002E-3</v>
      </c>
      <c r="AU291">
        <v>1.7100000000000001E-2</v>
      </c>
    </row>
    <row r="292" spans="1:47">
      <c r="A292" s="2" t="s">
        <v>1232</v>
      </c>
      <c r="B292" s="2" t="s">
        <v>1233</v>
      </c>
      <c r="C292">
        <v>40380.870000000003</v>
      </c>
      <c r="D292">
        <v>34.6</v>
      </c>
      <c r="E292">
        <v>1397177.95</v>
      </c>
      <c r="F292">
        <v>0</v>
      </c>
      <c r="G292">
        <v>6.5</v>
      </c>
      <c r="H292">
        <v>0.25</v>
      </c>
      <c r="I292" s="274">
        <v>6.75</v>
      </c>
      <c r="J292">
        <v>0</v>
      </c>
      <c r="K292">
        <v>54921.73</v>
      </c>
      <c r="L292">
        <v>2086.1</v>
      </c>
      <c r="M292">
        <v>-17561.099999999999</v>
      </c>
      <c r="N292">
        <v>56750.76</v>
      </c>
      <c r="O292" s="274">
        <v>6082.31</v>
      </c>
      <c r="P292">
        <v>6706.91</v>
      </c>
      <c r="Q292">
        <v>0</v>
      </c>
      <c r="R292">
        <v>0</v>
      </c>
      <c r="S292">
        <v>0</v>
      </c>
      <c r="T292" s="274">
        <f t="shared" si="10"/>
        <v>0</v>
      </c>
      <c r="U292">
        <v>0</v>
      </c>
      <c r="V292">
        <v>0</v>
      </c>
      <c r="W292">
        <v>0</v>
      </c>
      <c r="X292">
        <v>0</v>
      </c>
      <c r="Y292">
        <v>0</v>
      </c>
      <c r="Z292">
        <v>0</v>
      </c>
      <c r="AA292">
        <v>0</v>
      </c>
      <c r="AB292">
        <v>0</v>
      </c>
      <c r="AC292">
        <v>0</v>
      </c>
      <c r="AD292">
        <v>0</v>
      </c>
      <c r="AE292">
        <v>11305.43</v>
      </c>
      <c r="AF292">
        <v>10937.61</v>
      </c>
      <c r="AG292">
        <v>21571.41</v>
      </c>
      <c r="AH292">
        <v>1.04</v>
      </c>
      <c r="AI292">
        <v>68937</v>
      </c>
      <c r="AJ292">
        <v>67585</v>
      </c>
      <c r="AK292">
        <v>100321</v>
      </c>
      <c r="AL292">
        <v>102327</v>
      </c>
      <c r="AM292">
        <v>48483</v>
      </c>
      <c r="AN292">
        <v>49453</v>
      </c>
      <c r="AO292">
        <v>1.04</v>
      </c>
      <c r="AP292">
        <v>147169.5</v>
      </c>
      <c r="AQ292">
        <v>13126.16</v>
      </c>
      <c r="AR292">
        <v>0</v>
      </c>
      <c r="AS292">
        <v>4.8578999999999997E-2</v>
      </c>
      <c r="AT292">
        <v>4.0270000000000002E-3</v>
      </c>
      <c r="AU292">
        <v>1.7100000000000001E-2</v>
      </c>
    </row>
    <row r="293" spans="1:47">
      <c r="A293" s="2" t="s">
        <v>481</v>
      </c>
      <c r="B293" s="2" t="s">
        <v>482</v>
      </c>
      <c r="C293">
        <v>8167.92</v>
      </c>
      <c r="D293">
        <v>645.70000000000005</v>
      </c>
      <c r="E293">
        <v>5274025.8</v>
      </c>
      <c r="F293">
        <v>0</v>
      </c>
      <c r="G293">
        <v>102.25</v>
      </c>
      <c r="H293">
        <v>1</v>
      </c>
      <c r="I293" s="274">
        <v>103.25</v>
      </c>
      <c r="J293">
        <v>0</v>
      </c>
      <c r="K293">
        <v>843809.88</v>
      </c>
      <c r="L293">
        <v>8149.77</v>
      </c>
      <c r="M293">
        <v>-129506.43</v>
      </c>
      <c r="N293">
        <v>847879.71</v>
      </c>
      <c r="O293" s="274">
        <v>75628.509999999995</v>
      </c>
      <c r="P293">
        <v>96272.89</v>
      </c>
      <c r="Q293">
        <v>0</v>
      </c>
      <c r="R293">
        <v>0</v>
      </c>
      <c r="S293">
        <v>0</v>
      </c>
      <c r="T293" s="274">
        <f t="shared" si="10"/>
        <v>0</v>
      </c>
      <c r="U293">
        <v>0</v>
      </c>
      <c r="V293">
        <v>0</v>
      </c>
      <c r="W293">
        <v>0</v>
      </c>
      <c r="X293">
        <v>12.01</v>
      </c>
      <c r="Y293">
        <v>0</v>
      </c>
      <c r="Z293">
        <v>0</v>
      </c>
      <c r="AA293">
        <v>110272.98</v>
      </c>
      <c r="AB293">
        <v>0</v>
      </c>
      <c r="AC293">
        <v>0</v>
      </c>
      <c r="AD293">
        <v>0</v>
      </c>
      <c r="AE293">
        <v>568914.47</v>
      </c>
      <c r="AF293">
        <v>213992.47</v>
      </c>
      <c r="AG293">
        <v>269389.5</v>
      </c>
      <c r="AH293">
        <v>1.04</v>
      </c>
      <c r="AI293">
        <v>68937</v>
      </c>
      <c r="AJ293">
        <v>67585</v>
      </c>
      <c r="AK293">
        <v>0</v>
      </c>
      <c r="AL293">
        <v>0</v>
      </c>
      <c r="AM293">
        <v>0</v>
      </c>
      <c r="AN293">
        <v>0</v>
      </c>
      <c r="AO293">
        <v>0</v>
      </c>
      <c r="AP293">
        <v>893847.56</v>
      </c>
      <c r="AQ293">
        <v>42295.73</v>
      </c>
      <c r="AR293">
        <v>0</v>
      </c>
      <c r="AS293">
        <v>4.8578999999999997E-2</v>
      </c>
      <c r="AT293">
        <v>4.0270000000000002E-3</v>
      </c>
      <c r="AU293">
        <v>1.7100000000000001E-2</v>
      </c>
    </row>
    <row r="294" spans="1:47">
      <c r="A294" s="2" t="s">
        <v>1157</v>
      </c>
      <c r="B294" s="2" t="s">
        <v>1158</v>
      </c>
      <c r="C294">
        <v>0</v>
      </c>
      <c r="D294">
        <v>0</v>
      </c>
      <c r="E294">
        <v>0</v>
      </c>
      <c r="F294">
        <v>0</v>
      </c>
      <c r="G294">
        <v>0</v>
      </c>
      <c r="H294">
        <v>0</v>
      </c>
      <c r="I294" s="274">
        <v>0</v>
      </c>
      <c r="J294">
        <v>0</v>
      </c>
      <c r="K294">
        <v>0</v>
      </c>
      <c r="L294">
        <v>0</v>
      </c>
      <c r="M294">
        <v>0</v>
      </c>
      <c r="N294">
        <v>0</v>
      </c>
      <c r="O294" s="274">
        <v>0</v>
      </c>
      <c r="P294">
        <v>0</v>
      </c>
      <c r="Q294">
        <v>0</v>
      </c>
      <c r="R294">
        <v>0</v>
      </c>
      <c r="S294">
        <v>0</v>
      </c>
      <c r="T294" s="274">
        <f t="shared" si="10"/>
        <v>0</v>
      </c>
      <c r="U294">
        <v>0</v>
      </c>
      <c r="V294">
        <v>0</v>
      </c>
      <c r="W294">
        <v>0</v>
      </c>
      <c r="X294">
        <v>0</v>
      </c>
      <c r="Y294">
        <v>0</v>
      </c>
      <c r="Z294">
        <v>0</v>
      </c>
      <c r="AA294">
        <v>0</v>
      </c>
      <c r="AB294">
        <v>0</v>
      </c>
      <c r="AC294">
        <v>0</v>
      </c>
      <c r="AD294">
        <v>0</v>
      </c>
      <c r="AE294">
        <v>0</v>
      </c>
      <c r="AF294">
        <v>0</v>
      </c>
      <c r="AG294">
        <v>0</v>
      </c>
      <c r="AH294">
        <v>0</v>
      </c>
      <c r="AI294">
        <v>0</v>
      </c>
      <c r="AJ294">
        <v>0</v>
      </c>
      <c r="AK294">
        <v>100321</v>
      </c>
      <c r="AL294">
        <v>102327</v>
      </c>
      <c r="AM294">
        <v>48483</v>
      </c>
      <c r="AN294">
        <v>49453</v>
      </c>
      <c r="AO294">
        <v>1.04</v>
      </c>
      <c r="AP294">
        <v>0</v>
      </c>
      <c r="AQ294">
        <v>0</v>
      </c>
      <c r="AR294">
        <v>0</v>
      </c>
      <c r="AS294">
        <v>4.8578999999999997E-2</v>
      </c>
      <c r="AT294">
        <v>4.0270000000000002E-3</v>
      </c>
      <c r="AU294">
        <v>1.7100000000000001E-2</v>
      </c>
    </row>
    <row r="295" spans="1:47">
      <c r="A295" s="2" t="s">
        <v>1159</v>
      </c>
      <c r="B295" s="2" t="s">
        <v>1160</v>
      </c>
      <c r="C295">
        <v>0</v>
      </c>
      <c r="D295">
        <v>0</v>
      </c>
      <c r="E295">
        <v>0</v>
      </c>
      <c r="F295">
        <v>0</v>
      </c>
      <c r="G295">
        <v>0</v>
      </c>
      <c r="H295">
        <v>0</v>
      </c>
      <c r="I295" s="274">
        <v>0</v>
      </c>
      <c r="J295">
        <v>0</v>
      </c>
      <c r="K295">
        <v>0</v>
      </c>
      <c r="L295">
        <v>0</v>
      </c>
      <c r="M295">
        <v>0</v>
      </c>
      <c r="N295">
        <v>0</v>
      </c>
      <c r="O295" s="274">
        <v>0</v>
      </c>
      <c r="P295">
        <v>0</v>
      </c>
      <c r="Q295">
        <v>0</v>
      </c>
      <c r="R295">
        <v>0</v>
      </c>
      <c r="S295">
        <v>0</v>
      </c>
      <c r="T295" s="274">
        <f t="shared" si="10"/>
        <v>0</v>
      </c>
      <c r="U295">
        <v>0</v>
      </c>
      <c r="V295">
        <v>0</v>
      </c>
      <c r="W295">
        <v>0</v>
      </c>
      <c r="X295">
        <v>0</v>
      </c>
      <c r="Y295">
        <v>0</v>
      </c>
      <c r="Z295">
        <v>0</v>
      </c>
      <c r="AA295">
        <v>0</v>
      </c>
      <c r="AB295">
        <v>0</v>
      </c>
      <c r="AC295">
        <v>0</v>
      </c>
      <c r="AD295">
        <v>0</v>
      </c>
      <c r="AE295">
        <v>0</v>
      </c>
      <c r="AF295">
        <v>0</v>
      </c>
      <c r="AG295">
        <v>0</v>
      </c>
      <c r="AH295">
        <v>0</v>
      </c>
      <c r="AI295">
        <v>0</v>
      </c>
      <c r="AJ295">
        <v>0</v>
      </c>
      <c r="AK295">
        <v>100321</v>
      </c>
      <c r="AL295">
        <v>102327</v>
      </c>
      <c r="AM295">
        <v>48483</v>
      </c>
      <c r="AN295">
        <v>49453</v>
      </c>
      <c r="AO295">
        <v>1.04</v>
      </c>
      <c r="AP295">
        <v>0</v>
      </c>
      <c r="AQ295">
        <v>0</v>
      </c>
      <c r="AR295">
        <v>0</v>
      </c>
      <c r="AS295">
        <v>4.8578999999999997E-2</v>
      </c>
      <c r="AT295">
        <v>4.0270000000000002E-3</v>
      </c>
      <c r="AU295">
        <v>1.7100000000000001E-2</v>
      </c>
    </row>
    <row r="296" spans="1:47">
      <c r="A296" s="2" t="s">
        <v>1161</v>
      </c>
      <c r="B296" s="2" t="s">
        <v>1162</v>
      </c>
      <c r="C296">
        <v>0</v>
      </c>
      <c r="D296">
        <v>0</v>
      </c>
      <c r="E296">
        <v>0</v>
      </c>
      <c r="F296">
        <v>0</v>
      </c>
      <c r="G296">
        <v>0</v>
      </c>
      <c r="H296">
        <v>0</v>
      </c>
      <c r="I296" s="274">
        <v>0</v>
      </c>
      <c r="J296">
        <v>0</v>
      </c>
      <c r="K296">
        <v>0</v>
      </c>
      <c r="L296">
        <v>0</v>
      </c>
      <c r="M296">
        <v>0</v>
      </c>
      <c r="N296">
        <v>0</v>
      </c>
      <c r="O296" s="274">
        <v>0</v>
      </c>
      <c r="P296">
        <v>0</v>
      </c>
      <c r="Q296">
        <v>0</v>
      </c>
      <c r="R296">
        <v>0</v>
      </c>
      <c r="S296">
        <v>0</v>
      </c>
      <c r="T296" s="274">
        <f t="shared" si="10"/>
        <v>0</v>
      </c>
      <c r="U296">
        <v>0</v>
      </c>
      <c r="V296">
        <v>0</v>
      </c>
      <c r="W296">
        <v>0</v>
      </c>
      <c r="X296">
        <v>0</v>
      </c>
      <c r="Y296">
        <v>0</v>
      </c>
      <c r="Z296">
        <v>0</v>
      </c>
      <c r="AA296">
        <v>0</v>
      </c>
      <c r="AB296">
        <v>0</v>
      </c>
      <c r="AC296">
        <v>0</v>
      </c>
      <c r="AD296">
        <v>0</v>
      </c>
      <c r="AE296">
        <v>0</v>
      </c>
      <c r="AF296">
        <v>0</v>
      </c>
      <c r="AG296">
        <v>0</v>
      </c>
      <c r="AH296">
        <v>0</v>
      </c>
      <c r="AI296">
        <v>0</v>
      </c>
      <c r="AJ296">
        <v>0</v>
      </c>
      <c r="AK296">
        <v>0</v>
      </c>
      <c r="AL296">
        <v>0</v>
      </c>
      <c r="AM296">
        <v>0</v>
      </c>
      <c r="AN296">
        <v>0</v>
      </c>
      <c r="AO296">
        <v>0</v>
      </c>
      <c r="AP296">
        <v>0</v>
      </c>
      <c r="AQ296">
        <v>0</v>
      </c>
      <c r="AR296">
        <v>0</v>
      </c>
      <c r="AS296">
        <v>4.8578999999999997E-2</v>
      </c>
      <c r="AT296">
        <v>4.0270000000000002E-3</v>
      </c>
      <c r="AU296">
        <v>1.7100000000000001E-2</v>
      </c>
    </row>
    <row r="297" spans="1:47">
      <c r="A297" s="2" t="s">
        <v>483</v>
      </c>
      <c r="B297" s="2" t="s">
        <v>484</v>
      </c>
      <c r="C297">
        <v>12081.67</v>
      </c>
      <c r="D297">
        <v>48.8</v>
      </c>
      <c r="E297">
        <v>589585.52</v>
      </c>
      <c r="F297">
        <v>0</v>
      </c>
      <c r="G297">
        <v>5.5</v>
      </c>
      <c r="H297">
        <v>0</v>
      </c>
      <c r="I297" s="274">
        <v>5.5</v>
      </c>
      <c r="J297">
        <v>0</v>
      </c>
      <c r="K297">
        <v>50217.79</v>
      </c>
      <c r="L297">
        <v>0</v>
      </c>
      <c r="M297">
        <v>0</v>
      </c>
      <c r="N297">
        <v>49953.04</v>
      </c>
      <c r="O297" s="274">
        <v>1707.44</v>
      </c>
      <c r="P297">
        <v>3750.07</v>
      </c>
      <c r="Q297">
        <v>0</v>
      </c>
      <c r="R297">
        <v>0</v>
      </c>
      <c r="S297">
        <v>0</v>
      </c>
      <c r="T297" s="274">
        <f t="shared" si="10"/>
        <v>0</v>
      </c>
      <c r="U297">
        <v>0</v>
      </c>
      <c r="V297">
        <v>2.44</v>
      </c>
      <c r="W297">
        <v>1417.6</v>
      </c>
      <c r="X297">
        <v>0</v>
      </c>
      <c r="Y297">
        <v>0</v>
      </c>
      <c r="Z297">
        <v>0</v>
      </c>
      <c r="AA297">
        <v>0</v>
      </c>
      <c r="AB297">
        <v>0</v>
      </c>
      <c r="AC297">
        <v>0</v>
      </c>
      <c r="AD297">
        <v>34873.300000000003</v>
      </c>
      <c r="AE297">
        <v>126635.86</v>
      </c>
      <c r="AF297">
        <v>12657.11</v>
      </c>
      <c r="AG297">
        <v>19643.84</v>
      </c>
      <c r="AH297">
        <v>1</v>
      </c>
      <c r="AI297">
        <v>68937</v>
      </c>
      <c r="AJ297">
        <v>67585</v>
      </c>
      <c r="AK297">
        <v>0</v>
      </c>
      <c r="AL297">
        <v>0</v>
      </c>
      <c r="AM297">
        <v>0</v>
      </c>
      <c r="AN297">
        <v>0</v>
      </c>
      <c r="AO297">
        <v>0</v>
      </c>
      <c r="AP297">
        <v>77933.78</v>
      </c>
      <c r="AQ297">
        <v>5367.74</v>
      </c>
      <c r="AR297">
        <v>1.454</v>
      </c>
      <c r="AS297">
        <v>4.8578999999999997E-2</v>
      </c>
      <c r="AT297">
        <v>4.0270000000000002E-3</v>
      </c>
      <c r="AU297">
        <v>1.7100000000000001E-2</v>
      </c>
    </row>
    <row r="298" spans="1:47">
      <c r="A298" s="2" t="s">
        <v>485</v>
      </c>
      <c r="B298" s="2" t="s">
        <v>486</v>
      </c>
      <c r="C298">
        <v>8870.82</v>
      </c>
      <c r="D298">
        <v>766.06</v>
      </c>
      <c r="E298">
        <v>6795579.04</v>
      </c>
      <c r="F298">
        <v>4.5</v>
      </c>
      <c r="G298">
        <v>91.25</v>
      </c>
      <c r="H298">
        <v>41.5</v>
      </c>
      <c r="I298" s="274">
        <v>137.25</v>
      </c>
      <c r="J298">
        <v>44392.08</v>
      </c>
      <c r="K298">
        <v>786765.38</v>
      </c>
      <c r="L298">
        <v>353366.65</v>
      </c>
      <c r="M298">
        <v>-251973.78</v>
      </c>
      <c r="N298">
        <v>1138753.3999999999</v>
      </c>
      <c r="O298" s="274">
        <v>103520.28</v>
      </c>
      <c r="P298">
        <v>208573.92</v>
      </c>
      <c r="Q298">
        <v>0</v>
      </c>
      <c r="R298">
        <v>1</v>
      </c>
      <c r="S298">
        <v>0</v>
      </c>
      <c r="T298" s="274">
        <f t="shared" si="10"/>
        <v>1</v>
      </c>
      <c r="U298">
        <v>1761.02</v>
      </c>
      <c r="V298">
        <v>38.299999999999997</v>
      </c>
      <c r="W298">
        <v>21621.49</v>
      </c>
      <c r="X298">
        <v>60.72</v>
      </c>
      <c r="Y298">
        <v>10.06</v>
      </c>
      <c r="Z298">
        <v>0</v>
      </c>
      <c r="AA298">
        <v>541805.9</v>
      </c>
      <c r="AB298">
        <v>89651.48</v>
      </c>
      <c r="AC298">
        <v>0</v>
      </c>
      <c r="AD298">
        <v>152410.07999999999</v>
      </c>
      <c r="AE298">
        <v>567089.12</v>
      </c>
      <c r="AF298">
        <v>77093.820000000007</v>
      </c>
      <c r="AG298">
        <v>234607.81</v>
      </c>
      <c r="AH298">
        <v>1</v>
      </c>
      <c r="AI298">
        <v>68937</v>
      </c>
      <c r="AJ298">
        <v>67585</v>
      </c>
      <c r="AK298">
        <v>0</v>
      </c>
      <c r="AL298">
        <v>0</v>
      </c>
      <c r="AM298">
        <v>0</v>
      </c>
      <c r="AN298">
        <v>0</v>
      </c>
      <c r="AO298">
        <v>0</v>
      </c>
      <c r="AP298">
        <v>764392.32</v>
      </c>
      <c r="AQ298">
        <v>42490.85</v>
      </c>
      <c r="AR298">
        <v>12.569000000000001</v>
      </c>
      <c r="AS298">
        <v>4.8578999999999997E-2</v>
      </c>
      <c r="AT298">
        <v>4.0270000000000002E-3</v>
      </c>
      <c r="AU298">
        <v>1.7100000000000001E-2</v>
      </c>
    </row>
    <row r="299" spans="1:47">
      <c r="A299" s="2" t="s">
        <v>487</v>
      </c>
      <c r="B299" s="2" t="s">
        <v>488</v>
      </c>
      <c r="C299">
        <v>10552.32</v>
      </c>
      <c r="D299">
        <v>390.86</v>
      </c>
      <c r="E299">
        <v>4124478.81</v>
      </c>
      <c r="F299">
        <v>4.25</v>
      </c>
      <c r="G299">
        <v>54.75</v>
      </c>
      <c r="H299">
        <v>8.5</v>
      </c>
      <c r="I299" s="274">
        <v>67.5</v>
      </c>
      <c r="J299">
        <v>42072.19</v>
      </c>
      <c r="K299">
        <v>473624.23</v>
      </c>
      <c r="L299">
        <v>72616.09</v>
      </c>
      <c r="M299">
        <v>-90477.38</v>
      </c>
      <c r="N299">
        <v>544463.59</v>
      </c>
      <c r="O299" s="274">
        <v>57973.950000000004</v>
      </c>
      <c r="P299">
        <v>63130.83</v>
      </c>
      <c r="Q299">
        <v>0</v>
      </c>
      <c r="R299">
        <v>0</v>
      </c>
      <c r="S299">
        <v>0</v>
      </c>
      <c r="T299" s="274">
        <f t="shared" si="10"/>
        <v>0</v>
      </c>
      <c r="U299">
        <v>0</v>
      </c>
      <c r="V299">
        <v>19.54</v>
      </c>
      <c r="W299">
        <v>10957.49</v>
      </c>
      <c r="X299">
        <v>6.6</v>
      </c>
      <c r="Y299">
        <v>0</v>
      </c>
      <c r="Z299">
        <v>0</v>
      </c>
      <c r="AA299">
        <v>58865.42</v>
      </c>
      <c r="AB299">
        <v>0</v>
      </c>
      <c r="AC299">
        <v>0</v>
      </c>
      <c r="AD299">
        <v>81363.94</v>
      </c>
      <c r="AE299">
        <v>279434.31</v>
      </c>
      <c r="AF299">
        <v>112901.34</v>
      </c>
      <c r="AG299">
        <v>229422.58</v>
      </c>
      <c r="AH299">
        <v>1</v>
      </c>
      <c r="AI299">
        <v>68937</v>
      </c>
      <c r="AJ299">
        <v>67585</v>
      </c>
      <c r="AK299">
        <v>100321</v>
      </c>
      <c r="AL299">
        <v>102327</v>
      </c>
      <c r="AM299">
        <v>48483</v>
      </c>
      <c r="AN299">
        <v>49453</v>
      </c>
      <c r="AO299">
        <v>1</v>
      </c>
      <c r="AP299">
        <v>563651.31999999995</v>
      </c>
      <c r="AQ299">
        <v>34589.019999999997</v>
      </c>
      <c r="AR299">
        <v>7.4059999999999997</v>
      </c>
      <c r="AS299">
        <v>4.8578999999999997E-2</v>
      </c>
      <c r="AT299">
        <v>4.0270000000000002E-3</v>
      </c>
      <c r="AU299">
        <v>1.7100000000000001E-2</v>
      </c>
    </row>
    <row r="300" spans="1:47">
      <c r="A300" s="2" t="s">
        <v>489</v>
      </c>
      <c r="B300" s="2" t="s">
        <v>490</v>
      </c>
      <c r="C300">
        <v>9476.34</v>
      </c>
      <c r="D300">
        <v>1158.1500000000001</v>
      </c>
      <c r="E300">
        <v>10975027.6</v>
      </c>
      <c r="F300">
        <v>4</v>
      </c>
      <c r="G300">
        <v>99</v>
      </c>
      <c r="H300">
        <v>10.5</v>
      </c>
      <c r="I300" s="274">
        <v>113.5</v>
      </c>
      <c r="J300">
        <v>38311.97</v>
      </c>
      <c r="K300">
        <v>828358.26</v>
      </c>
      <c r="L300">
        <v>86763.04</v>
      </c>
      <c r="M300">
        <v>0</v>
      </c>
      <c r="N300">
        <v>911991.56</v>
      </c>
      <c r="O300" s="274">
        <v>101621.51</v>
      </c>
      <c r="P300">
        <v>123469.63</v>
      </c>
      <c r="Q300">
        <v>26.5</v>
      </c>
      <c r="R300">
        <v>10.25</v>
      </c>
      <c r="S300">
        <v>3</v>
      </c>
      <c r="T300" s="274">
        <f t="shared" si="10"/>
        <v>39.75</v>
      </c>
      <c r="U300">
        <v>0</v>
      </c>
      <c r="V300">
        <v>57.91</v>
      </c>
      <c r="W300">
        <v>32578.98</v>
      </c>
      <c r="X300">
        <v>0</v>
      </c>
      <c r="Y300">
        <v>0</v>
      </c>
      <c r="Z300">
        <v>0</v>
      </c>
      <c r="AA300">
        <v>0</v>
      </c>
      <c r="AB300">
        <v>0</v>
      </c>
      <c r="AC300">
        <v>0</v>
      </c>
      <c r="AD300">
        <v>81378.97</v>
      </c>
      <c r="AE300">
        <v>988704.9</v>
      </c>
      <c r="AF300">
        <v>67799.509999999995</v>
      </c>
      <c r="AG300">
        <v>160840.38</v>
      </c>
      <c r="AH300">
        <v>1</v>
      </c>
      <c r="AI300">
        <v>68937</v>
      </c>
      <c r="AJ300">
        <v>67585</v>
      </c>
      <c r="AK300">
        <v>100321</v>
      </c>
      <c r="AL300">
        <v>102327</v>
      </c>
      <c r="AM300">
        <v>48483</v>
      </c>
      <c r="AN300">
        <v>49453</v>
      </c>
      <c r="AO300">
        <v>1</v>
      </c>
      <c r="AP300">
        <v>429908.49</v>
      </c>
      <c r="AQ300">
        <v>28279.08</v>
      </c>
      <c r="AR300">
        <v>6.6040000000000001</v>
      </c>
      <c r="AS300">
        <v>4.8578999999999997E-2</v>
      </c>
      <c r="AT300">
        <v>4.0270000000000002E-3</v>
      </c>
      <c r="AU300">
        <v>1.7100000000000001E-2</v>
      </c>
    </row>
    <row r="301" spans="1:47">
      <c r="A301" s="2" t="s">
        <v>491</v>
      </c>
      <c r="B301" s="2" t="s">
        <v>492</v>
      </c>
      <c r="C301">
        <v>8903.98</v>
      </c>
      <c r="D301">
        <v>1634.53</v>
      </c>
      <c r="E301">
        <v>14553823.890000001</v>
      </c>
      <c r="F301">
        <v>18</v>
      </c>
      <c r="G301">
        <v>153.5</v>
      </c>
      <c r="H301">
        <v>85</v>
      </c>
      <c r="I301" s="274">
        <v>256.5</v>
      </c>
      <c r="J301">
        <v>181596.96</v>
      </c>
      <c r="K301">
        <v>1353568.53</v>
      </c>
      <c r="L301">
        <v>740211.96</v>
      </c>
      <c r="M301">
        <v>-156423.63</v>
      </c>
      <c r="N301">
        <v>2092312.8</v>
      </c>
      <c r="O301" s="274">
        <v>223645.6</v>
      </c>
      <c r="P301">
        <v>438981.32</v>
      </c>
      <c r="Q301">
        <v>14.5</v>
      </c>
      <c r="R301">
        <v>2</v>
      </c>
      <c r="S301">
        <v>1.75</v>
      </c>
      <c r="T301" s="274">
        <f t="shared" si="10"/>
        <v>18.25</v>
      </c>
      <c r="U301">
        <v>23795.37</v>
      </c>
      <c r="V301">
        <v>81.73</v>
      </c>
      <c r="W301">
        <v>47692.02</v>
      </c>
      <c r="X301">
        <v>113.13</v>
      </c>
      <c r="Y301">
        <v>14.62</v>
      </c>
      <c r="Z301">
        <v>14.15</v>
      </c>
      <c r="AA301">
        <v>1030791</v>
      </c>
      <c r="AB301">
        <v>133084.13</v>
      </c>
      <c r="AC301">
        <v>146407.75</v>
      </c>
      <c r="AD301">
        <v>0</v>
      </c>
      <c r="AE301">
        <v>1559933.72</v>
      </c>
      <c r="AF301">
        <v>319668.15000000002</v>
      </c>
      <c r="AG301">
        <v>469022.14</v>
      </c>
      <c r="AH301">
        <v>1</v>
      </c>
      <c r="AI301">
        <v>68937</v>
      </c>
      <c r="AJ301">
        <v>67585</v>
      </c>
      <c r="AK301">
        <v>100321</v>
      </c>
      <c r="AL301">
        <v>102327</v>
      </c>
      <c r="AM301">
        <v>48483</v>
      </c>
      <c r="AN301">
        <v>49453</v>
      </c>
      <c r="AO301">
        <v>1</v>
      </c>
      <c r="AP301">
        <v>1962833.77</v>
      </c>
      <c r="AQ301">
        <v>111097.57</v>
      </c>
      <c r="AR301">
        <v>29.085999999999999</v>
      </c>
      <c r="AS301">
        <v>4.8578999999999997E-2</v>
      </c>
      <c r="AT301">
        <v>4.0270000000000002E-3</v>
      </c>
      <c r="AU301">
        <v>1.7100000000000001E-2</v>
      </c>
    </row>
    <row r="302" spans="1:47">
      <c r="A302" s="2" t="s">
        <v>493</v>
      </c>
      <c r="B302" s="2" t="s">
        <v>494</v>
      </c>
      <c r="C302">
        <v>8945.44</v>
      </c>
      <c r="D302">
        <v>231.1</v>
      </c>
      <c r="E302">
        <v>2067291.2</v>
      </c>
      <c r="F302">
        <v>1.75</v>
      </c>
      <c r="G302">
        <v>10.25</v>
      </c>
      <c r="H302">
        <v>7.25</v>
      </c>
      <c r="I302" s="274">
        <v>19.25</v>
      </c>
      <c r="J302">
        <v>17400.439999999999</v>
      </c>
      <c r="K302">
        <v>89087.22</v>
      </c>
      <c r="L302">
        <v>62229.35</v>
      </c>
      <c r="M302">
        <v>0</v>
      </c>
      <c r="N302">
        <v>151308.15</v>
      </c>
      <c r="O302" s="274">
        <v>17094.260000000002</v>
      </c>
      <c r="P302">
        <v>23839.919999999998</v>
      </c>
      <c r="Q302">
        <v>0</v>
      </c>
      <c r="R302">
        <v>0</v>
      </c>
      <c r="S302">
        <v>0</v>
      </c>
      <c r="T302" s="274">
        <f t="shared" si="10"/>
        <v>0</v>
      </c>
      <c r="U302">
        <v>0</v>
      </c>
      <c r="V302">
        <v>0</v>
      </c>
      <c r="W302">
        <v>0</v>
      </c>
      <c r="X302">
        <v>0</v>
      </c>
      <c r="Y302">
        <v>0</v>
      </c>
      <c r="Z302">
        <v>0</v>
      </c>
      <c r="AA302">
        <v>0</v>
      </c>
      <c r="AB302">
        <v>0</v>
      </c>
      <c r="AC302">
        <v>0</v>
      </c>
      <c r="AD302">
        <v>45557.51</v>
      </c>
      <c r="AE302">
        <v>0</v>
      </c>
      <c r="AF302">
        <v>28469.919999999998</v>
      </c>
      <c r="AG302">
        <v>86877.3</v>
      </c>
      <c r="AH302">
        <v>1</v>
      </c>
      <c r="AI302">
        <v>68937</v>
      </c>
      <c r="AJ302">
        <v>67585</v>
      </c>
      <c r="AK302">
        <v>100321</v>
      </c>
      <c r="AL302">
        <v>102327</v>
      </c>
      <c r="AM302">
        <v>48483</v>
      </c>
      <c r="AN302">
        <v>49453</v>
      </c>
      <c r="AO302">
        <v>1</v>
      </c>
      <c r="AP302">
        <v>140445.62</v>
      </c>
      <c r="AQ302">
        <v>8844.31</v>
      </c>
      <c r="AR302">
        <v>4.0090000000000003</v>
      </c>
      <c r="AS302">
        <v>4.8578999999999997E-2</v>
      </c>
      <c r="AT302">
        <v>4.0270000000000002E-3</v>
      </c>
      <c r="AU302">
        <v>1.7100000000000001E-2</v>
      </c>
    </row>
    <row r="303" spans="1:47">
      <c r="A303" s="2" t="s">
        <v>495</v>
      </c>
      <c r="B303" s="2" t="s">
        <v>496</v>
      </c>
      <c r="C303">
        <v>9835.7099999999991</v>
      </c>
      <c r="D303">
        <v>71.69</v>
      </c>
      <c r="E303">
        <v>705122.04</v>
      </c>
      <c r="F303">
        <v>0</v>
      </c>
      <c r="G303">
        <v>5.25</v>
      </c>
      <c r="H303">
        <v>3.25</v>
      </c>
      <c r="I303" s="274">
        <v>8.5</v>
      </c>
      <c r="J303">
        <v>0</v>
      </c>
      <c r="K303">
        <v>47690.94</v>
      </c>
      <c r="L303">
        <v>29155.77</v>
      </c>
      <c r="M303">
        <v>0</v>
      </c>
      <c r="N303">
        <v>76827.509999999995</v>
      </c>
      <c r="O303" s="274">
        <v>6513.64</v>
      </c>
      <c r="P303">
        <v>12878.17</v>
      </c>
      <c r="Q303">
        <v>0</v>
      </c>
      <c r="R303">
        <v>0</v>
      </c>
      <c r="S303">
        <v>0</v>
      </c>
      <c r="T303" s="274">
        <f t="shared" si="10"/>
        <v>0</v>
      </c>
      <c r="U303">
        <v>0</v>
      </c>
      <c r="V303">
        <v>3.58</v>
      </c>
      <c r="W303">
        <v>2054.54</v>
      </c>
      <c r="X303">
        <v>0</v>
      </c>
      <c r="Y303">
        <v>0</v>
      </c>
      <c r="Z303">
        <v>0</v>
      </c>
      <c r="AA303">
        <v>0</v>
      </c>
      <c r="AB303">
        <v>0</v>
      </c>
      <c r="AC303">
        <v>0</v>
      </c>
      <c r="AD303">
        <v>15809.02</v>
      </c>
      <c r="AE303">
        <v>0</v>
      </c>
      <c r="AF303">
        <v>18490.77</v>
      </c>
      <c r="AG303">
        <v>32187.64</v>
      </c>
      <c r="AH303">
        <v>1</v>
      </c>
      <c r="AI303">
        <v>68937</v>
      </c>
      <c r="AJ303">
        <v>67585</v>
      </c>
      <c r="AK303">
        <v>100321</v>
      </c>
      <c r="AL303">
        <v>102327</v>
      </c>
      <c r="AM303">
        <v>48483</v>
      </c>
      <c r="AN303">
        <v>49453</v>
      </c>
      <c r="AO303">
        <v>1</v>
      </c>
      <c r="AP303">
        <v>97659.43</v>
      </c>
      <c r="AQ303">
        <v>6036.46</v>
      </c>
      <c r="AR303">
        <v>2.419</v>
      </c>
      <c r="AS303">
        <v>4.8578999999999997E-2</v>
      </c>
      <c r="AT303">
        <v>4.0270000000000002E-3</v>
      </c>
      <c r="AU303">
        <v>1.7100000000000001E-2</v>
      </c>
    </row>
    <row r="304" spans="1:47">
      <c r="A304" s="2" t="s">
        <v>497</v>
      </c>
      <c r="B304" s="2" t="s">
        <v>498</v>
      </c>
      <c r="C304">
        <v>16575.63</v>
      </c>
      <c r="D304">
        <v>25.8</v>
      </c>
      <c r="E304">
        <v>427651.2</v>
      </c>
      <c r="F304">
        <v>0</v>
      </c>
      <c r="G304">
        <v>1</v>
      </c>
      <c r="H304">
        <v>0</v>
      </c>
      <c r="I304" s="274">
        <v>1</v>
      </c>
      <c r="J304">
        <v>0</v>
      </c>
      <c r="K304">
        <v>9122.19</v>
      </c>
      <c r="L304">
        <v>0</v>
      </c>
      <c r="M304">
        <v>0</v>
      </c>
      <c r="N304">
        <v>9073.85</v>
      </c>
      <c r="O304" s="274">
        <v>879.63</v>
      </c>
      <c r="P304">
        <v>593.5</v>
      </c>
      <c r="Q304">
        <v>0</v>
      </c>
      <c r="R304">
        <v>0</v>
      </c>
      <c r="S304">
        <v>0</v>
      </c>
      <c r="T304" s="274">
        <f t="shared" si="10"/>
        <v>0</v>
      </c>
      <c r="U304">
        <v>0</v>
      </c>
      <c r="V304">
        <v>1.29</v>
      </c>
      <c r="W304">
        <v>684.84</v>
      </c>
      <c r="X304">
        <v>0</v>
      </c>
      <c r="Y304">
        <v>0</v>
      </c>
      <c r="Z304">
        <v>0</v>
      </c>
      <c r="AA304">
        <v>0</v>
      </c>
      <c r="AB304">
        <v>0</v>
      </c>
      <c r="AC304">
        <v>0</v>
      </c>
      <c r="AD304">
        <v>15256.05</v>
      </c>
      <c r="AE304">
        <v>0</v>
      </c>
      <c r="AF304">
        <v>9000.7999999999993</v>
      </c>
      <c r="AG304">
        <v>15555.72</v>
      </c>
      <c r="AH304">
        <v>1</v>
      </c>
      <c r="AI304">
        <v>68937</v>
      </c>
      <c r="AJ304">
        <v>67585</v>
      </c>
      <c r="AK304">
        <v>100321</v>
      </c>
      <c r="AL304">
        <v>102327</v>
      </c>
      <c r="AM304">
        <v>48483</v>
      </c>
      <c r="AN304">
        <v>49453</v>
      </c>
      <c r="AO304">
        <v>1</v>
      </c>
      <c r="AP304">
        <v>51582.43</v>
      </c>
      <c r="AQ304">
        <v>3872.37</v>
      </c>
      <c r="AR304">
        <v>0.89700000000000002</v>
      </c>
      <c r="AS304">
        <v>4.8578999999999997E-2</v>
      </c>
      <c r="AT304">
        <v>4.0270000000000002E-3</v>
      </c>
      <c r="AU304">
        <v>1.7100000000000001E-2</v>
      </c>
    </row>
    <row r="305" spans="1:47">
      <c r="A305" s="2" t="s">
        <v>499</v>
      </c>
      <c r="B305" s="2" t="s">
        <v>500</v>
      </c>
      <c r="C305">
        <v>18804.009999999998</v>
      </c>
      <c r="D305">
        <v>104.46</v>
      </c>
      <c r="E305">
        <v>1964266.39</v>
      </c>
      <c r="F305">
        <v>0.75</v>
      </c>
      <c r="G305">
        <v>16</v>
      </c>
      <c r="H305">
        <v>0.5</v>
      </c>
      <c r="I305" s="274">
        <v>17.25</v>
      </c>
      <c r="J305">
        <v>7428.9</v>
      </c>
      <c r="K305">
        <v>138491.67000000001</v>
      </c>
      <c r="L305">
        <v>4274.03</v>
      </c>
      <c r="M305">
        <v>-20782.349999999999</v>
      </c>
      <c r="N305">
        <v>142118.13</v>
      </c>
      <c r="O305" s="274">
        <v>11747.38</v>
      </c>
      <c r="P305">
        <v>13332.9</v>
      </c>
      <c r="Q305">
        <v>0</v>
      </c>
      <c r="R305">
        <v>0</v>
      </c>
      <c r="S305">
        <v>0</v>
      </c>
      <c r="T305" s="274">
        <f t="shared" si="10"/>
        <v>0</v>
      </c>
      <c r="U305">
        <v>0</v>
      </c>
      <c r="V305">
        <v>5.22</v>
      </c>
      <c r="W305">
        <v>2935.05</v>
      </c>
      <c r="X305">
        <v>7.42</v>
      </c>
      <c r="Y305">
        <v>0</v>
      </c>
      <c r="Z305">
        <v>0</v>
      </c>
      <c r="AA305">
        <v>66108.92</v>
      </c>
      <c r="AB305">
        <v>0</v>
      </c>
      <c r="AC305">
        <v>0</v>
      </c>
      <c r="AD305">
        <v>90326.04</v>
      </c>
      <c r="AE305">
        <v>215031.61</v>
      </c>
      <c r="AF305">
        <v>31502.79</v>
      </c>
      <c r="AG305">
        <v>44123.49</v>
      </c>
      <c r="AH305">
        <v>1</v>
      </c>
      <c r="AI305">
        <v>68937</v>
      </c>
      <c r="AJ305">
        <v>67585</v>
      </c>
      <c r="AK305">
        <v>100321</v>
      </c>
      <c r="AL305">
        <v>102327</v>
      </c>
      <c r="AM305">
        <v>48483</v>
      </c>
      <c r="AN305">
        <v>49453</v>
      </c>
      <c r="AO305">
        <v>1</v>
      </c>
      <c r="AP305">
        <v>230920.58</v>
      </c>
      <c r="AQ305">
        <v>17454.400000000001</v>
      </c>
      <c r="AR305">
        <v>1.9019999999999999</v>
      </c>
      <c r="AS305">
        <v>4.8578999999999997E-2</v>
      </c>
      <c r="AT305">
        <v>4.0270000000000002E-3</v>
      </c>
      <c r="AU305">
        <v>1.7100000000000001E-2</v>
      </c>
    </row>
    <row r="306" spans="1:47">
      <c r="A306" s="2" t="s">
        <v>501</v>
      </c>
      <c r="B306" s="2" t="s">
        <v>502</v>
      </c>
      <c r="C306">
        <v>9271</v>
      </c>
      <c r="D306">
        <v>450.72</v>
      </c>
      <c r="E306">
        <v>4178624.57</v>
      </c>
      <c r="F306">
        <v>2</v>
      </c>
      <c r="G306">
        <v>52</v>
      </c>
      <c r="H306">
        <v>19</v>
      </c>
      <c r="I306" s="274">
        <v>73</v>
      </c>
      <c r="J306">
        <v>18658.7</v>
      </c>
      <c r="K306">
        <v>423908.87</v>
      </c>
      <c r="L306">
        <v>152963.06</v>
      </c>
      <c r="M306">
        <v>-82410.28</v>
      </c>
      <c r="N306">
        <v>575986.07999999996</v>
      </c>
      <c r="O306" s="274">
        <v>51573.9</v>
      </c>
      <c r="P306">
        <v>91906.87</v>
      </c>
      <c r="Q306">
        <v>0</v>
      </c>
      <c r="R306">
        <v>1</v>
      </c>
      <c r="S306">
        <v>0</v>
      </c>
      <c r="T306" s="274">
        <f t="shared" si="10"/>
        <v>1</v>
      </c>
      <c r="U306">
        <v>0</v>
      </c>
      <c r="V306">
        <v>22.54</v>
      </c>
      <c r="W306">
        <v>12718.51</v>
      </c>
      <c r="X306">
        <v>39.33</v>
      </c>
      <c r="Y306">
        <v>0</v>
      </c>
      <c r="Z306">
        <v>0</v>
      </c>
      <c r="AA306">
        <v>351019.45</v>
      </c>
      <c r="AB306">
        <v>0</v>
      </c>
      <c r="AC306">
        <v>0</v>
      </c>
      <c r="AD306">
        <v>60648.89</v>
      </c>
      <c r="AE306">
        <v>408921.96</v>
      </c>
      <c r="AF306">
        <v>120728.13</v>
      </c>
      <c r="AG306">
        <v>206137.89</v>
      </c>
      <c r="AH306">
        <v>1</v>
      </c>
      <c r="AI306">
        <v>68937</v>
      </c>
      <c r="AJ306">
        <v>67585</v>
      </c>
      <c r="AK306">
        <v>100321</v>
      </c>
      <c r="AL306">
        <v>102327</v>
      </c>
      <c r="AM306">
        <v>48483</v>
      </c>
      <c r="AN306">
        <v>49453</v>
      </c>
      <c r="AO306">
        <v>1</v>
      </c>
      <c r="AP306">
        <v>557147.47</v>
      </c>
      <c r="AQ306">
        <v>29673.19</v>
      </c>
      <c r="AR306">
        <v>5.8920000000000003</v>
      </c>
      <c r="AS306">
        <v>4.8578999999999997E-2</v>
      </c>
      <c r="AT306">
        <v>4.0270000000000002E-3</v>
      </c>
      <c r="AU306">
        <v>1.7100000000000001E-2</v>
      </c>
    </row>
    <row r="307" spans="1:47">
      <c r="A307" s="2" t="s">
        <v>503</v>
      </c>
      <c r="B307" s="2" t="s">
        <v>504</v>
      </c>
      <c r="C307">
        <v>12633.02</v>
      </c>
      <c r="D307">
        <v>251.93</v>
      </c>
      <c r="E307">
        <v>3182636.18</v>
      </c>
      <c r="F307">
        <v>0</v>
      </c>
      <c r="G307">
        <v>20.75</v>
      </c>
      <c r="H307">
        <v>3.5</v>
      </c>
      <c r="I307" s="274">
        <v>24.25</v>
      </c>
      <c r="J307">
        <v>0</v>
      </c>
      <c r="K307">
        <v>175794.66</v>
      </c>
      <c r="L307">
        <v>29283.200000000001</v>
      </c>
      <c r="M307">
        <v>0</v>
      </c>
      <c r="N307">
        <v>204481.34</v>
      </c>
      <c r="O307" s="274">
        <v>22898.41</v>
      </c>
      <c r="P307">
        <v>25279.52</v>
      </c>
      <c r="Q307">
        <v>0</v>
      </c>
      <c r="R307">
        <v>0</v>
      </c>
      <c r="S307">
        <v>0</v>
      </c>
      <c r="T307" s="274">
        <f t="shared" si="10"/>
        <v>0</v>
      </c>
      <c r="U307">
        <v>0</v>
      </c>
      <c r="V307">
        <v>0</v>
      </c>
      <c r="W307">
        <v>0</v>
      </c>
      <c r="X307">
        <v>6.96</v>
      </c>
      <c r="Y307">
        <v>0</v>
      </c>
      <c r="Z307">
        <v>0</v>
      </c>
      <c r="AA307">
        <v>62005.5</v>
      </c>
      <c r="AB307">
        <v>0</v>
      </c>
      <c r="AC307">
        <v>0</v>
      </c>
      <c r="AD307">
        <v>38260.29</v>
      </c>
      <c r="AE307">
        <v>281101.93</v>
      </c>
      <c r="AF307">
        <v>42264.62</v>
      </c>
      <c r="AG307">
        <v>105270.21</v>
      </c>
      <c r="AH307">
        <v>1</v>
      </c>
      <c r="AI307">
        <v>68937</v>
      </c>
      <c r="AJ307">
        <v>67585</v>
      </c>
      <c r="AK307">
        <v>100321</v>
      </c>
      <c r="AL307">
        <v>102327</v>
      </c>
      <c r="AM307">
        <v>48483</v>
      </c>
      <c r="AN307">
        <v>49453</v>
      </c>
      <c r="AO307">
        <v>1</v>
      </c>
      <c r="AP307">
        <v>279251.89</v>
      </c>
      <c r="AQ307">
        <v>19991.560000000001</v>
      </c>
      <c r="AR307">
        <v>2.8130000000000002</v>
      </c>
      <c r="AS307">
        <v>4.8578999999999997E-2</v>
      </c>
      <c r="AT307">
        <v>4.0270000000000002E-3</v>
      </c>
      <c r="AU307">
        <v>1.7100000000000001E-2</v>
      </c>
    </row>
    <row r="308" spans="1:47">
      <c r="A308" s="2" t="s">
        <v>505</v>
      </c>
      <c r="B308" s="2" t="s">
        <v>506</v>
      </c>
      <c r="C308">
        <v>8884.2099999999991</v>
      </c>
      <c r="D308">
        <v>1050.5999999999999</v>
      </c>
      <c r="E308">
        <v>9333748.3100000005</v>
      </c>
      <c r="F308">
        <v>9.5</v>
      </c>
      <c r="G308">
        <v>115.75</v>
      </c>
      <c r="H308">
        <v>22.75</v>
      </c>
      <c r="I308" s="274">
        <v>148</v>
      </c>
      <c r="J308">
        <v>95029.91</v>
      </c>
      <c r="K308">
        <v>1011944.13</v>
      </c>
      <c r="L308">
        <v>196418.22</v>
      </c>
      <c r="M308">
        <v>0</v>
      </c>
      <c r="N308">
        <v>1204727.02</v>
      </c>
      <c r="O308" s="274">
        <v>138659.13</v>
      </c>
      <c r="P308">
        <v>210261.42</v>
      </c>
      <c r="Q308">
        <v>0</v>
      </c>
      <c r="R308">
        <v>3</v>
      </c>
      <c r="S308">
        <v>0</v>
      </c>
      <c r="T308" s="274">
        <f t="shared" si="10"/>
        <v>3</v>
      </c>
      <c r="U308">
        <v>0</v>
      </c>
      <c r="V308">
        <v>52.53</v>
      </c>
      <c r="W308">
        <v>30579.58</v>
      </c>
      <c r="X308">
        <v>55.25</v>
      </c>
      <c r="Y308">
        <v>0</v>
      </c>
      <c r="Z308">
        <v>0</v>
      </c>
      <c r="AA308">
        <v>503457.52</v>
      </c>
      <c r="AB308">
        <v>0</v>
      </c>
      <c r="AC308">
        <v>0</v>
      </c>
      <c r="AD308">
        <v>153068.09</v>
      </c>
      <c r="AE308">
        <v>954574</v>
      </c>
      <c r="AF308">
        <v>218006.2</v>
      </c>
      <c r="AG308">
        <v>276431.45</v>
      </c>
      <c r="AH308">
        <v>1</v>
      </c>
      <c r="AI308">
        <v>68937</v>
      </c>
      <c r="AJ308">
        <v>67585</v>
      </c>
      <c r="AK308">
        <v>100321</v>
      </c>
      <c r="AL308">
        <v>102327</v>
      </c>
      <c r="AM308">
        <v>48483</v>
      </c>
      <c r="AN308">
        <v>49453</v>
      </c>
      <c r="AO308">
        <v>1</v>
      </c>
      <c r="AP308">
        <v>912964.12</v>
      </c>
      <c r="AQ308">
        <v>52479.83</v>
      </c>
      <c r="AR308">
        <v>14.824999999999999</v>
      </c>
      <c r="AS308">
        <v>4.8578999999999997E-2</v>
      </c>
      <c r="AT308">
        <v>4.0270000000000002E-3</v>
      </c>
      <c r="AU308">
        <v>1.7100000000000001E-2</v>
      </c>
    </row>
    <row r="309" spans="1:47">
      <c r="A309" s="2" t="s">
        <v>507</v>
      </c>
      <c r="B309" s="2" t="s">
        <v>508</v>
      </c>
      <c r="C309">
        <v>8780.1200000000008</v>
      </c>
      <c r="D309">
        <v>5360.44</v>
      </c>
      <c r="E309">
        <v>47065295.719999999</v>
      </c>
      <c r="F309">
        <v>55.25</v>
      </c>
      <c r="G309">
        <v>574.25</v>
      </c>
      <c r="H309">
        <v>175.25</v>
      </c>
      <c r="I309" s="274">
        <v>804.75</v>
      </c>
      <c r="J309">
        <v>550679.51</v>
      </c>
      <c r="K309">
        <v>5001965.8600000003</v>
      </c>
      <c r="L309">
        <v>1507517.15</v>
      </c>
      <c r="M309">
        <v>-214495.86</v>
      </c>
      <c r="N309">
        <v>6478582.5</v>
      </c>
      <c r="O309" s="274">
        <v>785343.34</v>
      </c>
      <c r="P309">
        <v>1303386.8</v>
      </c>
      <c r="Q309">
        <v>108.5</v>
      </c>
      <c r="R309">
        <v>73.75</v>
      </c>
      <c r="S309">
        <v>19.5</v>
      </c>
      <c r="T309" s="274">
        <f t="shared" si="10"/>
        <v>201.75</v>
      </c>
      <c r="U309">
        <v>280883.68</v>
      </c>
      <c r="V309">
        <v>268.02</v>
      </c>
      <c r="W309">
        <v>150959.07</v>
      </c>
      <c r="X309">
        <v>404.5</v>
      </c>
      <c r="Y309">
        <v>35.25</v>
      </c>
      <c r="Z309">
        <v>0</v>
      </c>
      <c r="AA309">
        <v>3609345.62</v>
      </c>
      <c r="AB309">
        <v>314058.28999999998</v>
      </c>
      <c r="AC309">
        <v>0</v>
      </c>
      <c r="AD309">
        <v>310209.26</v>
      </c>
      <c r="AE309">
        <v>4119981.02</v>
      </c>
      <c r="AF309">
        <v>160840.38</v>
      </c>
      <c r="AG309">
        <v>1522994.06</v>
      </c>
      <c r="AH309">
        <v>1</v>
      </c>
      <c r="AI309">
        <v>68937</v>
      </c>
      <c r="AJ309">
        <v>67585</v>
      </c>
      <c r="AK309">
        <v>100321</v>
      </c>
      <c r="AL309">
        <v>102327</v>
      </c>
      <c r="AM309">
        <v>48483</v>
      </c>
      <c r="AN309">
        <v>49453</v>
      </c>
      <c r="AO309">
        <v>1</v>
      </c>
      <c r="AP309">
        <v>6584560.9900000002</v>
      </c>
      <c r="AQ309">
        <v>365953.38</v>
      </c>
      <c r="AR309">
        <v>109.756</v>
      </c>
      <c r="AS309">
        <v>4.8578999999999997E-2</v>
      </c>
      <c r="AT309">
        <v>4.0270000000000002E-3</v>
      </c>
      <c r="AU309">
        <v>1.7100000000000001E-2</v>
      </c>
    </row>
    <row r="310" spans="1:47">
      <c r="A310" s="2" t="s">
        <v>509</v>
      </c>
      <c r="B310" s="2" t="s">
        <v>510</v>
      </c>
      <c r="C310">
        <v>8945.84</v>
      </c>
      <c r="D310">
        <v>14824.02</v>
      </c>
      <c r="E310">
        <v>132613270.34</v>
      </c>
      <c r="F310">
        <v>200.75</v>
      </c>
      <c r="G310">
        <v>1235.5</v>
      </c>
      <c r="H310">
        <v>884.25</v>
      </c>
      <c r="I310" s="274">
        <v>2320.5</v>
      </c>
      <c r="J310">
        <v>2041574.8</v>
      </c>
      <c r="K310">
        <v>10981957.189999999</v>
      </c>
      <c r="L310">
        <v>7762064.7699999996</v>
      </c>
      <c r="M310">
        <v>-974057.32</v>
      </c>
      <c r="N310">
        <v>18745479.190000001</v>
      </c>
      <c r="O310" s="274">
        <v>2221178.31</v>
      </c>
      <c r="P310">
        <v>4487940.13</v>
      </c>
      <c r="Q310">
        <v>584.75</v>
      </c>
      <c r="R310">
        <v>282.25</v>
      </c>
      <c r="S310">
        <v>155</v>
      </c>
      <c r="T310" s="274">
        <f t="shared" si="10"/>
        <v>1022</v>
      </c>
      <c r="U310">
        <v>1396774.34</v>
      </c>
      <c r="V310">
        <v>741.2</v>
      </c>
      <c r="W310">
        <v>432137.19</v>
      </c>
      <c r="X310">
        <v>799.18</v>
      </c>
      <c r="Y310">
        <v>224.06</v>
      </c>
      <c r="Z310">
        <v>0</v>
      </c>
      <c r="AA310">
        <v>7332869.4400000004</v>
      </c>
      <c r="AB310">
        <v>2052924.53</v>
      </c>
      <c r="AC310">
        <v>0</v>
      </c>
      <c r="AD310">
        <v>742329.2</v>
      </c>
      <c r="AE310">
        <v>7814415.54</v>
      </c>
      <c r="AF310">
        <v>788116.14</v>
      </c>
      <c r="AG310">
        <v>3865030.15</v>
      </c>
      <c r="AH310">
        <v>1.04</v>
      </c>
      <c r="AI310">
        <v>68937</v>
      </c>
      <c r="AJ310">
        <v>67585</v>
      </c>
      <c r="AK310">
        <v>100321</v>
      </c>
      <c r="AL310">
        <v>102327</v>
      </c>
      <c r="AM310">
        <v>48483</v>
      </c>
      <c r="AN310">
        <v>49453</v>
      </c>
      <c r="AO310">
        <v>1</v>
      </c>
      <c r="AP310">
        <v>17822135.640000001</v>
      </c>
      <c r="AQ310">
        <v>1016360.58</v>
      </c>
      <c r="AR310">
        <v>283.7</v>
      </c>
      <c r="AS310">
        <v>4.8578999999999997E-2</v>
      </c>
      <c r="AT310">
        <v>4.0270000000000002E-3</v>
      </c>
      <c r="AU310">
        <v>1.7100000000000001E-2</v>
      </c>
    </row>
    <row r="311" spans="1:47">
      <c r="A311" s="2" t="s">
        <v>511</v>
      </c>
      <c r="B311" s="2" t="s">
        <v>512</v>
      </c>
      <c r="C311">
        <v>8846.9500000000007</v>
      </c>
      <c r="D311">
        <v>6640.67</v>
      </c>
      <c r="E311">
        <v>58749701.5</v>
      </c>
      <c r="F311">
        <v>49.25</v>
      </c>
      <c r="G311">
        <v>470</v>
      </c>
      <c r="H311">
        <v>361.75</v>
      </c>
      <c r="I311" s="274">
        <v>881</v>
      </c>
      <c r="J311">
        <v>486684.9</v>
      </c>
      <c r="K311">
        <v>4059233.65</v>
      </c>
      <c r="L311">
        <v>3085458.03</v>
      </c>
      <c r="M311">
        <v>0</v>
      </c>
      <c r="N311">
        <v>7138618.1399999997</v>
      </c>
      <c r="O311" s="274">
        <v>828402.73</v>
      </c>
      <c r="P311">
        <v>1813459.49</v>
      </c>
      <c r="Q311">
        <v>93.5</v>
      </c>
      <c r="R311">
        <v>35.5</v>
      </c>
      <c r="S311">
        <v>51.5</v>
      </c>
      <c r="T311" s="274">
        <f t="shared" si="10"/>
        <v>180.5</v>
      </c>
      <c r="U311">
        <v>219639.09</v>
      </c>
      <c r="V311">
        <v>332.03</v>
      </c>
      <c r="W311">
        <v>187060.09</v>
      </c>
      <c r="X311">
        <v>390.78</v>
      </c>
      <c r="Y311">
        <v>205.24</v>
      </c>
      <c r="Z311">
        <v>298.81</v>
      </c>
      <c r="AA311">
        <v>3486966.42</v>
      </c>
      <c r="AB311">
        <v>1828849.71</v>
      </c>
      <c r="AC311">
        <v>3023544.66</v>
      </c>
      <c r="AD311">
        <v>468349.56</v>
      </c>
      <c r="AE311">
        <v>3675991.21</v>
      </c>
      <c r="AF311">
        <v>0</v>
      </c>
      <c r="AG311">
        <v>1261481.69</v>
      </c>
      <c r="AH311">
        <v>1</v>
      </c>
      <c r="AI311">
        <v>68937</v>
      </c>
      <c r="AJ311">
        <v>67585</v>
      </c>
      <c r="AK311">
        <v>100321</v>
      </c>
      <c r="AL311">
        <v>102327</v>
      </c>
      <c r="AM311">
        <v>48483</v>
      </c>
      <c r="AN311">
        <v>49453</v>
      </c>
      <c r="AO311">
        <v>1</v>
      </c>
      <c r="AP311">
        <v>7261053.1100000003</v>
      </c>
      <c r="AQ311">
        <v>398887.43</v>
      </c>
      <c r="AR311">
        <v>117.248</v>
      </c>
      <c r="AS311">
        <v>4.8578999999999997E-2</v>
      </c>
      <c r="AT311">
        <v>4.0270000000000002E-3</v>
      </c>
      <c r="AU311">
        <v>1.7100000000000001E-2</v>
      </c>
    </row>
    <row r="312" spans="1:47">
      <c r="A312" s="2" t="s">
        <v>513</v>
      </c>
      <c r="B312" s="2" t="s">
        <v>514</v>
      </c>
      <c r="C312">
        <v>8868.32</v>
      </c>
      <c r="D312">
        <v>9638.36</v>
      </c>
      <c r="E312">
        <v>85476048.930000007</v>
      </c>
      <c r="F312">
        <v>95.75</v>
      </c>
      <c r="G312">
        <v>812.5</v>
      </c>
      <c r="H312">
        <v>607.75</v>
      </c>
      <c r="I312" s="274">
        <v>1516</v>
      </c>
      <c r="J312">
        <v>961223.77</v>
      </c>
      <c r="K312">
        <v>7129225.21</v>
      </c>
      <c r="L312">
        <v>5266343.76</v>
      </c>
      <c r="M312">
        <v>-965228.73</v>
      </c>
      <c r="N312">
        <v>12389300.300000001</v>
      </c>
      <c r="O312" s="274">
        <v>1346298.23</v>
      </c>
      <c r="P312">
        <v>3068135.63</v>
      </c>
      <c r="Q312">
        <v>184.25</v>
      </c>
      <c r="R312">
        <v>111.5</v>
      </c>
      <c r="S312">
        <v>62</v>
      </c>
      <c r="T312" s="274">
        <f t="shared" si="10"/>
        <v>357.75</v>
      </c>
      <c r="U312">
        <v>492007.48</v>
      </c>
      <c r="V312">
        <v>0</v>
      </c>
      <c r="W312">
        <v>0</v>
      </c>
      <c r="X312">
        <v>585.29</v>
      </c>
      <c r="Y312">
        <v>138.66999999999999</v>
      </c>
      <c r="Z312">
        <v>0</v>
      </c>
      <c r="AA312">
        <v>5333341.18</v>
      </c>
      <c r="AB312">
        <v>1261775.01</v>
      </c>
      <c r="AC312">
        <v>0</v>
      </c>
      <c r="AD312">
        <v>477291.74</v>
      </c>
      <c r="AE312">
        <v>4273341.1399999997</v>
      </c>
      <c r="AF312">
        <v>198261.09</v>
      </c>
      <c r="AG312">
        <v>1782324.66</v>
      </c>
      <c r="AH312">
        <v>1</v>
      </c>
      <c r="AI312">
        <v>68937</v>
      </c>
      <c r="AJ312">
        <v>67585</v>
      </c>
      <c r="AK312">
        <v>100321</v>
      </c>
      <c r="AL312">
        <v>102327</v>
      </c>
      <c r="AM312">
        <v>48483</v>
      </c>
      <c r="AN312">
        <v>49453</v>
      </c>
      <c r="AO312">
        <v>1.04</v>
      </c>
      <c r="AP312">
        <v>10783517.380000001</v>
      </c>
      <c r="AQ312">
        <v>608266.69999999995</v>
      </c>
      <c r="AR312">
        <v>155.76900000000001</v>
      </c>
      <c r="AS312">
        <v>4.8578999999999997E-2</v>
      </c>
      <c r="AT312">
        <v>4.0270000000000002E-3</v>
      </c>
      <c r="AU312">
        <v>1.7100000000000001E-2</v>
      </c>
    </row>
    <row r="313" spans="1:47">
      <c r="A313" s="2" t="s">
        <v>515</v>
      </c>
      <c r="B313" s="2" t="s">
        <v>516</v>
      </c>
      <c r="C313">
        <v>9048.14</v>
      </c>
      <c r="D313">
        <v>886.79</v>
      </c>
      <c r="E313">
        <v>8023800.1500000004</v>
      </c>
      <c r="F313">
        <v>6.5</v>
      </c>
      <c r="G313">
        <v>88</v>
      </c>
      <c r="H313">
        <v>38.75</v>
      </c>
      <c r="I313" s="274">
        <v>133.25</v>
      </c>
      <c r="J313">
        <v>65027.79</v>
      </c>
      <c r="K313">
        <v>769338.7</v>
      </c>
      <c r="L313">
        <v>334557.55</v>
      </c>
      <c r="M313">
        <v>-61027.15</v>
      </c>
      <c r="N313">
        <v>1102645.1499999999</v>
      </c>
      <c r="O313" s="274">
        <v>122177.41</v>
      </c>
      <c r="P313">
        <v>221242.72</v>
      </c>
      <c r="Q313">
        <v>0</v>
      </c>
      <c r="R313">
        <v>0</v>
      </c>
      <c r="S313">
        <v>0</v>
      </c>
      <c r="T313" s="274">
        <f t="shared" si="10"/>
        <v>0</v>
      </c>
      <c r="U313">
        <v>0</v>
      </c>
      <c r="V313">
        <v>44.34</v>
      </c>
      <c r="W313">
        <v>24947.87</v>
      </c>
      <c r="X313">
        <v>63.58</v>
      </c>
      <c r="Y313">
        <v>14.94</v>
      </c>
      <c r="Z313">
        <v>0</v>
      </c>
      <c r="AA313">
        <v>567247.24</v>
      </c>
      <c r="AB313">
        <v>133023.13</v>
      </c>
      <c r="AC313">
        <v>0</v>
      </c>
      <c r="AD313">
        <v>41150.449999999997</v>
      </c>
      <c r="AE313">
        <v>432323.67</v>
      </c>
      <c r="AF313">
        <v>0</v>
      </c>
      <c r="AG313">
        <v>219932.59</v>
      </c>
      <c r="AH313">
        <v>1</v>
      </c>
      <c r="AI313">
        <v>68937</v>
      </c>
      <c r="AJ313">
        <v>67585</v>
      </c>
      <c r="AK313">
        <v>100321</v>
      </c>
      <c r="AL313">
        <v>102327</v>
      </c>
      <c r="AM313">
        <v>48483</v>
      </c>
      <c r="AN313">
        <v>49453</v>
      </c>
      <c r="AO313">
        <v>1</v>
      </c>
      <c r="AP313">
        <v>1111200.3799999999</v>
      </c>
      <c r="AQ313">
        <v>63399.67</v>
      </c>
      <c r="AR313">
        <v>19.297000000000001</v>
      </c>
      <c r="AS313">
        <v>4.8578999999999997E-2</v>
      </c>
      <c r="AT313">
        <v>4.0270000000000002E-3</v>
      </c>
      <c r="AU313">
        <v>1.7100000000000001E-2</v>
      </c>
    </row>
    <row r="314" spans="1:47">
      <c r="A314" s="2" t="s">
        <v>517</v>
      </c>
      <c r="B314" s="2" t="s">
        <v>518</v>
      </c>
      <c r="C314">
        <v>8721.2000000000007</v>
      </c>
      <c r="D314">
        <v>603.01</v>
      </c>
      <c r="E314">
        <v>5258969.51</v>
      </c>
      <c r="F314">
        <v>11.5</v>
      </c>
      <c r="G314">
        <v>59.5</v>
      </c>
      <c r="H314">
        <v>16.75</v>
      </c>
      <c r="I314" s="274">
        <v>87.75</v>
      </c>
      <c r="J314">
        <v>115331.39</v>
      </c>
      <c r="K314">
        <v>521519.01</v>
      </c>
      <c r="L314">
        <v>144988.28</v>
      </c>
      <c r="M314">
        <v>0</v>
      </c>
      <c r="N314">
        <v>664954.14</v>
      </c>
      <c r="O314" s="274">
        <v>79170.3</v>
      </c>
      <c r="P314">
        <v>98917.46</v>
      </c>
      <c r="Q314">
        <v>0</v>
      </c>
      <c r="R314">
        <v>1.5</v>
      </c>
      <c r="S314">
        <v>1</v>
      </c>
      <c r="T314" s="274">
        <f t="shared" si="10"/>
        <v>2.5</v>
      </c>
      <c r="U314">
        <v>3424.21</v>
      </c>
      <c r="V314">
        <v>30.15</v>
      </c>
      <c r="W314">
        <v>17023.259999999998</v>
      </c>
      <c r="X314">
        <v>0</v>
      </c>
      <c r="Y314">
        <v>0</v>
      </c>
      <c r="Z314">
        <v>0</v>
      </c>
      <c r="AA314">
        <v>0</v>
      </c>
      <c r="AB314">
        <v>0</v>
      </c>
      <c r="AC314">
        <v>0</v>
      </c>
      <c r="AD314">
        <v>159937.04</v>
      </c>
      <c r="AE314">
        <v>691553.02</v>
      </c>
      <c r="AF314">
        <v>0</v>
      </c>
      <c r="AG314">
        <v>61440.24</v>
      </c>
      <c r="AH314">
        <v>1</v>
      </c>
      <c r="AI314">
        <v>68937</v>
      </c>
      <c r="AJ314">
        <v>67585</v>
      </c>
      <c r="AK314">
        <v>100321</v>
      </c>
      <c r="AL314">
        <v>102327</v>
      </c>
      <c r="AM314">
        <v>48483</v>
      </c>
      <c r="AN314">
        <v>49453</v>
      </c>
      <c r="AO314">
        <v>1</v>
      </c>
      <c r="AP314">
        <v>808111.8</v>
      </c>
      <c r="AQ314">
        <v>46929.84</v>
      </c>
      <c r="AR314">
        <v>15.914999999999999</v>
      </c>
      <c r="AS314">
        <v>4.8578999999999997E-2</v>
      </c>
      <c r="AT314">
        <v>4.0270000000000002E-3</v>
      </c>
      <c r="AU314">
        <v>1.7100000000000001E-2</v>
      </c>
    </row>
    <row r="315" spans="1:47">
      <c r="A315" s="2" t="s">
        <v>519</v>
      </c>
      <c r="B315" s="2" t="s">
        <v>520</v>
      </c>
      <c r="C315">
        <v>8782.9</v>
      </c>
      <c r="D315">
        <v>2084.56</v>
      </c>
      <c r="E315">
        <v>18308483.420000002</v>
      </c>
      <c r="F315">
        <v>17.75</v>
      </c>
      <c r="G315">
        <v>176.5</v>
      </c>
      <c r="H315">
        <v>96</v>
      </c>
      <c r="I315" s="274">
        <v>290.25</v>
      </c>
      <c r="J315">
        <v>177542.41</v>
      </c>
      <c r="K315">
        <v>1543127.67</v>
      </c>
      <c r="L315">
        <v>828884.29</v>
      </c>
      <c r="M315">
        <v>0</v>
      </c>
      <c r="N315">
        <v>2352735.9700000002</v>
      </c>
      <c r="O315" s="274">
        <v>281268.56</v>
      </c>
      <c r="P315">
        <v>443665.89</v>
      </c>
      <c r="Q315">
        <v>140.5</v>
      </c>
      <c r="R315">
        <v>62.5</v>
      </c>
      <c r="S315">
        <v>22.5</v>
      </c>
      <c r="T315" s="274">
        <f t="shared" si="10"/>
        <v>225.5</v>
      </c>
      <c r="U315">
        <v>303287.84000000003</v>
      </c>
      <c r="V315">
        <v>104.23</v>
      </c>
      <c r="W315">
        <v>58700.86</v>
      </c>
      <c r="X315">
        <v>109.39</v>
      </c>
      <c r="Y315">
        <v>0</v>
      </c>
      <c r="Z315">
        <v>0</v>
      </c>
      <c r="AA315">
        <v>976059.2</v>
      </c>
      <c r="AB315">
        <v>0</v>
      </c>
      <c r="AC315">
        <v>0</v>
      </c>
      <c r="AD315">
        <v>9620.4699999999993</v>
      </c>
      <c r="AE315">
        <v>1884475.67</v>
      </c>
      <c r="AF315">
        <v>433408.09</v>
      </c>
      <c r="AG315">
        <v>655297.38</v>
      </c>
      <c r="AH315">
        <v>1</v>
      </c>
      <c r="AI315">
        <v>68937</v>
      </c>
      <c r="AJ315">
        <v>67585</v>
      </c>
      <c r="AK315">
        <v>100321</v>
      </c>
      <c r="AL315">
        <v>102327</v>
      </c>
      <c r="AM315">
        <v>48483</v>
      </c>
      <c r="AN315">
        <v>49453</v>
      </c>
      <c r="AO315">
        <v>1</v>
      </c>
      <c r="AP315">
        <v>2617021.7400000002</v>
      </c>
      <c r="AQ315">
        <v>146095.24</v>
      </c>
      <c r="AR315">
        <v>44.408000000000001</v>
      </c>
      <c r="AS315">
        <v>4.8578999999999997E-2</v>
      </c>
      <c r="AT315">
        <v>4.0270000000000002E-3</v>
      </c>
      <c r="AU315">
        <v>1.7100000000000001E-2</v>
      </c>
    </row>
    <row r="316" spans="1:47">
      <c r="A316" s="2" t="s">
        <v>521</v>
      </c>
      <c r="B316" s="2" t="s">
        <v>522</v>
      </c>
      <c r="C316">
        <v>8737.49</v>
      </c>
      <c r="D316">
        <v>1235.96</v>
      </c>
      <c r="E316">
        <v>10799193.800000001</v>
      </c>
      <c r="F316">
        <v>10.5</v>
      </c>
      <c r="G316">
        <v>93.75</v>
      </c>
      <c r="H316">
        <v>98.25</v>
      </c>
      <c r="I316" s="274">
        <v>202.5</v>
      </c>
      <c r="J316">
        <v>104079.26</v>
      </c>
      <c r="K316">
        <v>812170.83</v>
      </c>
      <c r="L316">
        <v>840569.33</v>
      </c>
      <c r="M316">
        <v>-208598.27</v>
      </c>
      <c r="N316">
        <v>1654924.8</v>
      </c>
      <c r="O316" s="274">
        <v>180980.72</v>
      </c>
      <c r="P316">
        <v>440598.69</v>
      </c>
      <c r="Q316">
        <v>2</v>
      </c>
      <c r="R316">
        <v>7</v>
      </c>
      <c r="S316">
        <v>1</v>
      </c>
      <c r="T316" s="274">
        <f t="shared" si="10"/>
        <v>10</v>
      </c>
      <c r="U316">
        <v>15653.56</v>
      </c>
      <c r="V316">
        <v>61.8</v>
      </c>
      <c r="W316">
        <v>34829.19</v>
      </c>
      <c r="X316">
        <v>89.12</v>
      </c>
      <c r="Y316">
        <v>28.85</v>
      </c>
      <c r="Z316">
        <v>0</v>
      </c>
      <c r="AA316">
        <v>795305.53</v>
      </c>
      <c r="AB316">
        <v>257176.2</v>
      </c>
      <c r="AC316">
        <v>0</v>
      </c>
      <c r="AD316">
        <v>0</v>
      </c>
      <c r="AE316">
        <v>1070121.72</v>
      </c>
      <c r="AF316">
        <v>164166.76999999999</v>
      </c>
      <c r="AG316">
        <v>371674.34</v>
      </c>
      <c r="AH316">
        <v>1</v>
      </c>
      <c r="AI316">
        <v>68937</v>
      </c>
      <c r="AJ316">
        <v>67585</v>
      </c>
      <c r="AK316">
        <v>100321</v>
      </c>
      <c r="AL316">
        <v>102327</v>
      </c>
      <c r="AM316">
        <v>48483</v>
      </c>
      <c r="AN316">
        <v>49453</v>
      </c>
      <c r="AO316">
        <v>1</v>
      </c>
      <c r="AP316">
        <v>1529855.92</v>
      </c>
      <c r="AQ316">
        <v>84043.4</v>
      </c>
      <c r="AR316">
        <v>23.797000000000001</v>
      </c>
      <c r="AS316">
        <v>4.8578999999999997E-2</v>
      </c>
      <c r="AT316">
        <v>4.0270000000000002E-3</v>
      </c>
      <c r="AU316">
        <v>1.7100000000000001E-2</v>
      </c>
    </row>
    <row r="317" spans="1:47">
      <c r="A317" s="2" t="s">
        <v>1163</v>
      </c>
      <c r="B317" s="2" t="s">
        <v>1164</v>
      </c>
      <c r="C317">
        <v>0</v>
      </c>
      <c r="D317">
        <v>0</v>
      </c>
      <c r="E317">
        <v>0</v>
      </c>
      <c r="F317">
        <v>0</v>
      </c>
      <c r="G317">
        <v>0</v>
      </c>
      <c r="H317">
        <v>0</v>
      </c>
      <c r="I317" s="274">
        <v>0</v>
      </c>
      <c r="J317">
        <v>0</v>
      </c>
      <c r="K317">
        <v>0</v>
      </c>
      <c r="L317">
        <v>0</v>
      </c>
      <c r="M317">
        <v>0</v>
      </c>
      <c r="N317">
        <v>0</v>
      </c>
      <c r="O317" s="274">
        <v>0</v>
      </c>
      <c r="P317">
        <v>0</v>
      </c>
      <c r="Q317">
        <v>0</v>
      </c>
      <c r="R317">
        <v>0</v>
      </c>
      <c r="S317">
        <v>0</v>
      </c>
      <c r="T317" s="274">
        <f t="shared" si="10"/>
        <v>0</v>
      </c>
      <c r="U317">
        <v>0</v>
      </c>
      <c r="V317">
        <v>0</v>
      </c>
      <c r="W317">
        <v>0</v>
      </c>
      <c r="X317">
        <v>0</v>
      </c>
      <c r="Y317">
        <v>0</v>
      </c>
      <c r="Z317">
        <v>0</v>
      </c>
      <c r="AA317">
        <v>0</v>
      </c>
      <c r="AB317">
        <v>0</v>
      </c>
      <c r="AC317">
        <v>0</v>
      </c>
      <c r="AD317">
        <v>0</v>
      </c>
      <c r="AE317">
        <v>522290.81</v>
      </c>
      <c r="AF317">
        <v>0</v>
      </c>
      <c r="AG317">
        <v>0</v>
      </c>
      <c r="AH317">
        <v>0</v>
      </c>
      <c r="AI317">
        <v>0</v>
      </c>
      <c r="AJ317">
        <v>0</v>
      </c>
      <c r="AK317">
        <v>100321</v>
      </c>
      <c r="AL317">
        <v>102327</v>
      </c>
      <c r="AM317">
        <v>48483</v>
      </c>
      <c r="AN317">
        <v>49453</v>
      </c>
      <c r="AO317">
        <v>1</v>
      </c>
      <c r="AP317">
        <v>0</v>
      </c>
      <c r="AQ317">
        <v>0</v>
      </c>
      <c r="AR317">
        <v>0</v>
      </c>
      <c r="AS317">
        <v>4.8578999999999997E-2</v>
      </c>
      <c r="AT317">
        <v>4.0270000000000002E-3</v>
      </c>
      <c r="AU317">
        <v>1.7100000000000001E-2</v>
      </c>
    </row>
    <row r="318" spans="1:47">
      <c r="A318" s="2" t="s">
        <v>1024</v>
      </c>
      <c r="B318" s="2" t="s">
        <v>1044</v>
      </c>
      <c r="C318">
        <v>10028.52</v>
      </c>
      <c r="D318">
        <v>125.6</v>
      </c>
      <c r="E318">
        <v>1259581.78</v>
      </c>
      <c r="F318">
        <v>0</v>
      </c>
      <c r="G318">
        <v>15.5</v>
      </c>
      <c r="H318">
        <v>1</v>
      </c>
      <c r="I318" s="274">
        <v>16.5</v>
      </c>
      <c r="J318">
        <v>0</v>
      </c>
      <c r="K318">
        <v>142587.22</v>
      </c>
      <c r="L318">
        <v>9084.7800000000007</v>
      </c>
      <c r="M318">
        <v>0</v>
      </c>
      <c r="N318">
        <v>150998.76</v>
      </c>
      <c r="O318" s="274">
        <v>15897.69</v>
      </c>
      <c r="P318">
        <v>11956.36</v>
      </c>
      <c r="Q318">
        <v>0</v>
      </c>
      <c r="R318">
        <v>0</v>
      </c>
      <c r="S318">
        <v>0</v>
      </c>
      <c r="T318" s="274">
        <f t="shared" si="10"/>
        <v>0</v>
      </c>
      <c r="U318">
        <v>0</v>
      </c>
      <c r="V318">
        <v>0</v>
      </c>
      <c r="W318">
        <v>0</v>
      </c>
      <c r="X318">
        <v>0</v>
      </c>
      <c r="Y318">
        <v>0</v>
      </c>
      <c r="Z318">
        <v>0</v>
      </c>
      <c r="AA318">
        <v>0</v>
      </c>
      <c r="AB318">
        <v>0</v>
      </c>
      <c r="AC318">
        <v>0</v>
      </c>
      <c r="AD318">
        <v>0</v>
      </c>
      <c r="AE318">
        <v>146487.5</v>
      </c>
      <c r="AF318">
        <v>41421.160000000003</v>
      </c>
      <c r="AG318">
        <v>89020.05</v>
      </c>
      <c r="AH318">
        <v>1.04</v>
      </c>
      <c r="AI318">
        <v>68937</v>
      </c>
      <c r="AJ318">
        <v>67585</v>
      </c>
      <c r="AK318">
        <v>100321</v>
      </c>
      <c r="AL318">
        <v>102327</v>
      </c>
      <c r="AM318">
        <v>48483</v>
      </c>
      <c r="AN318">
        <v>49453</v>
      </c>
      <c r="AO318">
        <v>1</v>
      </c>
      <c r="AP318">
        <v>174513.71</v>
      </c>
      <c r="AQ318">
        <v>11192.02</v>
      </c>
      <c r="AR318">
        <v>3.75</v>
      </c>
      <c r="AS318">
        <v>4.8578999999999997E-2</v>
      </c>
      <c r="AT318">
        <v>4.0270000000000002E-3</v>
      </c>
      <c r="AU318">
        <v>1.7100000000000001E-2</v>
      </c>
    </row>
    <row r="319" spans="1:47">
      <c r="A319" s="2" t="s">
        <v>1165</v>
      </c>
      <c r="B319" s="2" t="s">
        <v>1166</v>
      </c>
      <c r="C319">
        <v>0</v>
      </c>
      <c r="D319">
        <v>0</v>
      </c>
      <c r="E319">
        <v>0</v>
      </c>
      <c r="F319">
        <v>0</v>
      </c>
      <c r="G319">
        <v>0</v>
      </c>
      <c r="H319">
        <v>0</v>
      </c>
      <c r="I319" s="274">
        <v>0</v>
      </c>
      <c r="J319">
        <v>0</v>
      </c>
      <c r="K319">
        <v>0</v>
      </c>
      <c r="L319">
        <v>0</v>
      </c>
      <c r="M319">
        <v>0</v>
      </c>
      <c r="N319">
        <v>0</v>
      </c>
      <c r="O319" s="274">
        <v>0</v>
      </c>
      <c r="P319">
        <v>0</v>
      </c>
      <c r="Q319">
        <v>0</v>
      </c>
      <c r="R319">
        <v>0</v>
      </c>
      <c r="S319">
        <v>0</v>
      </c>
      <c r="T319" s="274">
        <f t="shared" si="10"/>
        <v>0</v>
      </c>
      <c r="U319">
        <v>0</v>
      </c>
      <c r="V319">
        <v>0</v>
      </c>
      <c r="W319">
        <v>0</v>
      </c>
      <c r="X319">
        <v>0</v>
      </c>
      <c r="Y319">
        <v>0</v>
      </c>
      <c r="Z319">
        <v>0</v>
      </c>
      <c r="AA319">
        <v>0</v>
      </c>
      <c r="AB319">
        <v>0</v>
      </c>
      <c r="AC319">
        <v>0</v>
      </c>
      <c r="AD319">
        <v>0</v>
      </c>
      <c r="AE319">
        <v>0</v>
      </c>
      <c r="AF319">
        <v>0</v>
      </c>
      <c r="AG319">
        <v>0</v>
      </c>
      <c r="AH319">
        <v>0</v>
      </c>
      <c r="AI319">
        <v>0</v>
      </c>
      <c r="AJ319">
        <v>0</v>
      </c>
      <c r="AK319">
        <v>0</v>
      </c>
      <c r="AL319">
        <v>0</v>
      </c>
      <c r="AM319">
        <v>0</v>
      </c>
      <c r="AN319">
        <v>0</v>
      </c>
      <c r="AO319">
        <v>0</v>
      </c>
      <c r="AP319">
        <v>0</v>
      </c>
      <c r="AQ319">
        <v>0</v>
      </c>
      <c r="AR319">
        <v>0</v>
      </c>
      <c r="AS319">
        <v>4.8578999999999997E-2</v>
      </c>
      <c r="AT319">
        <v>4.0270000000000002E-3</v>
      </c>
      <c r="AU319">
        <v>1.7100000000000001E-2</v>
      </c>
    </row>
    <row r="320" spans="1:47">
      <c r="A320" s="2" t="s">
        <v>1167</v>
      </c>
      <c r="B320" s="2" t="s">
        <v>1168</v>
      </c>
      <c r="C320">
        <v>0</v>
      </c>
      <c r="D320">
        <v>0</v>
      </c>
      <c r="E320">
        <v>0</v>
      </c>
      <c r="F320">
        <v>0</v>
      </c>
      <c r="G320">
        <v>0</v>
      </c>
      <c r="H320">
        <v>0</v>
      </c>
      <c r="I320" s="274">
        <v>0</v>
      </c>
      <c r="J320">
        <v>0</v>
      </c>
      <c r="K320">
        <v>0</v>
      </c>
      <c r="L320">
        <v>0</v>
      </c>
      <c r="M320">
        <v>0</v>
      </c>
      <c r="N320">
        <v>0</v>
      </c>
      <c r="O320" s="274">
        <v>0</v>
      </c>
      <c r="P320">
        <v>0</v>
      </c>
      <c r="Q320">
        <v>0</v>
      </c>
      <c r="R320">
        <v>0</v>
      </c>
      <c r="S320">
        <v>0</v>
      </c>
      <c r="T320" s="274">
        <f t="shared" si="10"/>
        <v>0</v>
      </c>
      <c r="U320">
        <v>0</v>
      </c>
      <c r="V320">
        <v>0</v>
      </c>
      <c r="W320">
        <v>0</v>
      </c>
      <c r="X320">
        <v>0</v>
      </c>
      <c r="Y320">
        <v>0</v>
      </c>
      <c r="Z320">
        <v>0</v>
      </c>
      <c r="AA320">
        <v>0</v>
      </c>
      <c r="AB320">
        <v>0</v>
      </c>
      <c r="AC320">
        <v>0</v>
      </c>
      <c r="AD320">
        <v>0</v>
      </c>
      <c r="AE320">
        <v>0</v>
      </c>
      <c r="AF320">
        <v>0</v>
      </c>
      <c r="AG320">
        <v>0</v>
      </c>
      <c r="AH320">
        <v>0</v>
      </c>
      <c r="AI320">
        <v>0</v>
      </c>
      <c r="AJ320">
        <v>0</v>
      </c>
      <c r="AK320">
        <v>100321</v>
      </c>
      <c r="AL320">
        <v>102327</v>
      </c>
      <c r="AM320">
        <v>48483</v>
      </c>
      <c r="AN320">
        <v>49453</v>
      </c>
      <c r="AO320">
        <v>1.04</v>
      </c>
      <c r="AP320">
        <v>0</v>
      </c>
      <c r="AQ320">
        <v>0</v>
      </c>
      <c r="AR320">
        <v>0</v>
      </c>
      <c r="AS320">
        <v>4.8578999999999997E-2</v>
      </c>
      <c r="AT320">
        <v>4.0270000000000002E-3</v>
      </c>
      <c r="AU320">
        <v>1.7100000000000001E-2</v>
      </c>
    </row>
    <row r="321" spans="1:47">
      <c r="A321" s="2" t="s">
        <v>1169</v>
      </c>
      <c r="B321" s="2" t="s">
        <v>1170</v>
      </c>
      <c r="C321">
        <v>0</v>
      </c>
      <c r="D321">
        <v>0</v>
      </c>
      <c r="E321">
        <v>0</v>
      </c>
      <c r="F321">
        <v>0</v>
      </c>
      <c r="G321">
        <v>0</v>
      </c>
      <c r="H321">
        <v>0</v>
      </c>
      <c r="I321" s="274">
        <v>0</v>
      </c>
      <c r="J321">
        <v>0</v>
      </c>
      <c r="K321">
        <v>0</v>
      </c>
      <c r="L321">
        <v>0</v>
      </c>
      <c r="M321">
        <v>0</v>
      </c>
      <c r="N321">
        <v>0</v>
      </c>
      <c r="O321" s="274">
        <v>0</v>
      </c>
      <c r="P321">
        <v>0</v>
      </c>
      <c r="Q321">
        <v>0</v>
      </c>
      <c r="R321">
        <v>0</v>
      </c>
      <c r="S321">
        <v>0</v>
      </c>
      <c r="T321" s="274">
        <f t="shared" si="10"/>
        <v>0</v>
      </c>
      <c r="U321">
        <v>0</v>
      </c>
      <c r="V321">
        <v>0</v>
      </c>
      <c r="W321">
        <v>0</v>
      </c>
      <c r="X321">
        <v>0</v>
      </c>
      <c r="Y321">
        <v>0</v>
      </c>
      <c r="Z321">
        <v>0</v>
      </c>
      <c r="AA321">
        <v>0</v>
      </c>
      <c r="AB321">
        <v>0</v>
      </c>
      <c r="AC321">
        <v>0</v>
      </c>
      <c r="AD321">
        <v>0</v>
      </c>
      <c r="AE321">
        <v>0</v>
      </c>
      <c r="AF321">
        <v>0</v>
      </c>
      <c r="AG321">
        <v>0</v>
      </c>
      <c r="AH321">
        <v>0</v>
      </c>
      <c r="AI321">
        <v>0</v>
      </c>
      <c r="AJ321">
        <v>0</v>
      </c>
      <c r="AK321">
        <v>0</v>
      </c>
      <c r="AL321">
        <v>0</v>
      </c>
      <c r="AM321">
        <v>0</v>
      </c>
      <c r="AN321">
        <v>0</v>
      </c>
      <c r="AO321">
        <v>0</v>
      </c>
      <c r="AP321">
        <v>0</v>
      </c>
      <c r="AQ321">
        <v>0</v>
      </c>
      <c r="AR321">
        <v>0</v>
      </c>
      <c r="AS321">
        <v>4.8578999999999997E-2</v>
      </c>
      <c r="AT321">
        <v>4.0270000000000002E-3</v>
      </c>
      <c r="AU321">
        <v>1.7100000000000001E-2</v>
      </c>
    </row>
    <row r="322" spans="1:47">
      <c r="A322" s="2" t="s">
        <v>1171</v>
      </c>
      <c r="B322" s="2" t="s">
        <v>1172</v>
      </c>
      <c r="C322">
        <v>0</v>
      </c>
      <c r="D322">
        <v>0</v>
      </c>
      <c r="E322">
        <v>0</v>
      </c>
      <c r="F322">
        <v>0</v>
      </c>
      <c r="G322">
        <v>0</v>
      </c>
      <c r="H322">
        <v>0</v>
      </c>
      <c r="I322" s="274">
        <v>0</v>
      </c>
      <c r="J322">
        <v>0</v>
      </c>
      <c r="K322">
        <v>0</v>
      </c>
      <c r="L322">
        <v>0</v>
      </c>
      <c r="M322">
        <v>0</v>
      </c>
      <c r="N322">
        <v>0</v>
      </c>
      <c r="O322" s="274">
        <v>0</v>
      </c>
      <c r="P322">
        <v>0</v>
      </c>
      <c r="Q322">
        <v>0</v>
      </c>
      <c r="R322">
        <v>0</v>
      </c>
      <c r="S322">
        <v>0</v>
      </c>
      <c r="T322" s="274">
        <f t="shared" si="10"/>
        <v>0</v>
      </c>
      <c r="U322">
        <v>0</v>
      </c>
      <c r="V322">
        <v>0</v>
      </c>
      <c r="W322">
        <v>0</v>
      </c>
      <c r="X322">
        <v>0</v>
      </c>
      <c r="Y322">
        <v>0</v>
      </c>
      <c r="Z322">
        <v>0</v>
      </c>
      <c r="AA322">
        <v>0</v>
      </c>
      <c r="AB322">
        <v>0</v>
      </c>
      <c r="AC322">
        <v>0</v>
      </c>
      <c r="AD322">
        <v>0</v>
      </c>
      <c r="AE322">
        <v>0</v>
      </c>
      <c r="AF322">
        <v>0</v>
      </c>
      <c r="AG322">
        <v>0</v>
      </c>
      <c r="AH322">
        <v>0</v>
      </c>
      <c r="AI322">
        <v>0</v>
      </c>
      <c r="AJ322">
        <v>0</v>
      </c>
      <c r="AK322">
        <v>0</v>
      </c>
      <c r="AL322">
        <v>0</v>
      </c>
      <c r="AM322">
        <v>0</v>
      </c>
      <c r="AN322">
        <v>0</v>
      </c>
      <c r="AO322">
        <v>0</v>
      </c>
      <c r="AP322">
        <v>0</v>
      </c>
      <c r="AQ322">
        <v>0</v>
      </c>
      <c r="AR322">
        <v>0</v>
      </c>
      <c r="AS322">
        <v>4.8578999999999997E-2</v>
      </c>
      <c r="AT322">
        <v>4.0270000000000002E-3</v>
      </c>
      <c r="AU322">
        <v>1.7100000000000001E-2</v>
      </c>
    </row>
    <row r="323" spans="1:47">
      <c r="A323" s="2" t="s">
        <v>1173</v>
      </c>
      <c r="B323" s="2" t="s">
        <v>1174</v>
      </c>
      <c r="C323">
        <v>0</v>
      </c>
      <c r="D323">
        <v>0</v>
      </c>
      <c r="E323">
        <v>0</v>
      </c>
      <c r="F323">
        <v>0</v>
      </c>
      <c r="G323">
        <v>0</v>
      </c>
      <c r="H323">
        <v>0</v>
      </c>
      <c r="I323" s="274">
        <v>0</v>
      </c>
      <c r="J323">
        <v>0</v>
      </c>
      <c r="K323">
        <v>0</v>
      </c>
      <c r="L323">
        <v>0</v>
      </c>
      <c r="M323">
        <v>0</v>
      </c>
      <c r="N323">
        <v>0</v>
      </c>
      <c r="O323" s="274">
        <v>0</v>
      </c>
      <c r="P323">
        <v>0</v>
      </c>
      <c r="Q323">
        <v>0</v>
      </c>
      <c r="R323">
        <v>0</v>
      </c>
      <c r="S323">
        <v>0</v>
      </c>
      <c r="T323" s="274">
        <f t="shared" si="10"/>
        <v>0</v>
      </c>
      <c r="U323">
        <v>0</v>
      </c>
      <c r="V323">
        <v>0</v>
      </c>
      <c r="W323">
        <v>0</v>
      </c>
      <c r="X323">
        <v>0</v>
      </c>
      <c r="Y323">
        <v>0</v>
      </c>
      <c r="Z323">
        <v>0</v>
      </c>
      <c r="AA323">
        <v>0</v>
      </c>
      <c r="AB323">
        <v>0</v>
      </c>
      <c r="AC323">
        <v>0</v>
      </c>
      <c r="AD323">
        <v>0</v>
      </c>
      <c r="AE323">
        <v>0</v>
      </c>
      <c r="AF323">
        <v>0</v>
      </c>
      <c r="AG323">
        <v>0</v>
      </c>
      <c r="AH323">
        <v>0</v>
      </c>
      <c r="AI323">
        <v>0</v>
      </c>
      <c r="AJ323">
        <v>0</v>
      </c>
      <c r="AK323">
        <v>0</v>
      </c>
      <c r="AL323">
        <v>0</v>
      </c>
      <c r="AM323">
        <v>0</v>
      </c>
      <c r="AN323">
        <v>0</v>
      </c>
      <c r="AO323">
        <v>0</v>
      </c>
      <c r="AP323">
        <v>0</v>
      </c>
      <c r="AQ323">
        <v>0</v>
      </c>
      <c r="AR323">
        <v>0</v>
      </c>
      <c r="AS323">
        <v>4.8578999999999997E-2</v>
      </c>
      <c r="AT323">
        <v>4.0270000000000002E-3</v>
      </c>
      <c r="AU323">
        <v>1.7100000000000001E-2</v>
      </c>
    </row>
    <row r="324" spans="1:47">
      <c r="A324" s="2" t="s">
        <v>1175</v>
      </c>
      <c r="B324" s="2" t="s">
        <v>1176</v>
      </c>
      <c r="C324">
        <v>0</v>
      </c>
      <c r="D324">
        <v>0</v>
      </c>
      <c r="E324">
        <v>0</v>
      </c>
      <c r="F324">
        <v>0</v>
      </c>
      <c r="G324">
        <v>0</v>
      </c>
      <c r="H324">
        <v>0</v>
      </c>
      <c r="I324" s="274">
        <v>0</v>
      </c>
      <c r="J324">
        <v>0</v>
      </c>
      <c r="K324">
        <v>0</v>
      </c>
      <c r="L324">
        <v>0</v>
      </c>
      <c r="M324">
        <v>0</v>
      </c>
      <c r="N324">
        <v>0</v>
      </c>
      <c r="O324" s="274">
        <v>0</v>
      </c>
      <c r="P324">
        <v>0</v>
      </c>
      <c r="Q324">
        <v>0</v>
      </c>
      <c r="R324">
        <v>0</v>
      </c>
      <c r="S324">
        <v>0</v>
      </c>
      <c r="T324" s="274">
        <f t="shared" si="10"/>
        <v>0</v>
      </c>
      <c r="U324">
        <v>0</v>
      </c>
      <c r="V324">
        <v>0</v>
      </c>
      <c r="W324">
        <v>0</v>
      </c>
      <c r="X324">
        <v>0</v>
      </c>
      <c r="Y324">
        <v>0</v>
      </c>
      <c r="Z324">
        <v>0</v>
      </c>
      <c r="AA324">
        <v>0</v>
      </c>
      <c r="AB324">
        <v>0</v>
      </c>
      <c r="AC324">
        <v>0</v>
      </c>
      <c r="AD324">
        <v>0</v>
      </c>
      <c r="AE324">
        <v>0</v>
      </c>
      <c r="AF324">
        <v>0</v>
      </c>
      <c r="AG324">
        <v>0</v>
      </c>
      <c r="AH324">
        <v>0</v>
      </c>
      <c r="AI324">
        <v>0</v>
      </c>
      <c r="AJ324">
        <v>0</v>
      </c>
      <c r="AK324">
        <v>0</v>
      </c>
      <c r="AL324">
        <v>0</v>
      </c>
      <c r="AM324">
        <v>0</v>
      </c>
      <c r="AN324">
        <v>0</v>
      </c>
      <c r="AO324">
        <v>0</v>
      </c>
      <c r="AP324">
        <v>0</v>
      </c>
      <c r="AQ324">
        <v>0</v>
      </c>
      <c r="AR324">
        <v>0</v>
      </c>
      <c r="AS324">
        <v>4.8578999999999997E-2</v>
      </c>
      <c r="AT324">
        <v>4.0270000000000002E-3</v>
      </c>
      <c r="AU324">
        <v>1.7100000000000001E-2</v>
      </c>
    </row>
    <row r="325" spans="1:47">
      <c r="A325" s="2" t="s">
        <v>1177</v>
      </c>
      <c r="B325" s="2" t="s">
        <v>1250</v>
      </c>
      <c r="C325">
        <v>0</v>
      </c>
      <c r="D325">
        <v>0</v>
      </c>
      <c r="E325">
        <v>0</v>
      </c>
      <c r="F325">
        <v>0</v>
      </c>
      <c r="G325">
        <v>0</v>
      </c>
      <c r="H325">
        <v>0</v>
      </c>
      <c r="I325" s="274">
        <v>0</v>
      </c>
      <c r="J325">
        <v>0</v>
      </c>
      <c r="K325">
        <v>0</v>
      </c>
      <c r="L325">
        <v>0</v>
      </c>
      <c r="M325">
        <v>0</v>
      </c>
      <c r="N325">
        <v>0</v>
      </c>
      <c r="O325" s="274">
        <v>0</v>
      </c>
      <c r="P325">
        <v>0</v>
      </c>
      <c r="Q325">
        <v>0</v>
      </c>
      <c r="R325">
        <v>0</v>
      </c>
      <c r="S325">
        <v>0</v>
      </c>
      <c r="T325" s="274">
        <f t="shared" si="10"/>
        <v>0</v>
      </c>
      <c r="U325">
        <v>0</v>
      </c>
      <c r="V325">
        <v>0</v>
      </c>
      <c r="W325">
        <v>0</v>
      </c>
      <c r="X325">
        <v>0</v>
      </c>
      <c r="Y325">
        <v>0</v>
      </c>
      <c r="Z325">
        <v>0</v>
      </c>
      <c r="AA325">
        <v>0</v>
      </c>
      <c r="AB325">
        <v>0</v>
      </c>
      <c r="AC325">
        <v>0</v>
      </c>
      <c r="AD325">
        <v>0</v>
      </c>
      <c r="AE325">
        <v>0</v>
      </c>
      <c r="AF325">
        <v>0</v>
      </c>
      <c r="AG325">
        <v>0</v>
      </c>
      <c r="AH325">
        <v>0</v>
      </c>
      <c r="AI325">
        <v>0</v>
      </c>
      <c r="AJ325">
        <v>0</v>
      </c>
      <c r="AK325">
        <v>0</v>
      </c>
      <c r="AL325">
        <v>0</v>
      </c>
      <c r="AM325">
        <v>0</v>
      </c>
      <c r="AN325">
        <v>0</v>
      </c>
      <c r="AO325">
        <v>0</v>
      </c>
      <c r="AP325">
        <v>0</v>
      </c>
      <c r="AQ325">
        <v>0</v>
      </c>
      <c r="AR325">
        <v>0</v>
      </c>
      <c r="AS325">
        <v>4.8578999999999997E-2</v>
      </c>
      <c r="AT325">
        <v>4.0270000000000002E-3</v>
      </c>
      <c r="AU325">
        <v>1.7100000000000001E-2</v>
      </c>
    </row>
    <row r="326" spans="1:47">
      <c r="A326" s="2" t="s">
        <v>1178</v>
      </c>
      <c r="B326" s="2" t="s">
        <v>1179</v>
      </c>
      <c r="C326">
        <v>0</v>
      </c>
      <c r="D326">
        <v>0</v>
      </c>
      <c r="E326">
        <v>0</v>
      </c>
      <c r="F326">
        <v>0</v>
      </c>
      <c r="G326">
        <v>0</v>
      </c>
      <c r="H326">
        <v>0</v>
      </c>
      <c r="I326" s="274">
        <v>0</v>
      </c>
      <c r="J326">
        <v>0</v>
      </c>
      <c r="K326">
        <v>0</v>
      </c>
      <c r="L326">
        <v>0</v>
      </c>
      <c r="M326">
        <v>0</v>
      </c>
      <c r="N326">
        <v>0</v>
      </c>
      <c r="O326" s="274">
        <v>0</v>
      </c>
      <c r="P326">
        <v>0</v>
      </c>
      <c r="Q326">
        <v>0</v>
      </c>
      <c r="R326">
        <v>0</v>
      </c>
      <c r="S326">
        <v>0</v>
      </c>
      <c r="T326" s="274">
        <f t="shared" si="10"/>
        <v>0</v>
      </c>
      <c r="U326">
        <v>0</v>
      </c>
      <c r="V326">
        <v>0</v>
      </c>
      <c r="W326">
        <v>0</v>
      </c>
      <c r="X326">
        <v>0</v>
      </c>
      <c r="Y326">
        <v>0</v>
      </c>
      <c r="Z326">
        <v>0</v>
      </c>
      <c r="AA326">
        <v>0</v>
      </c>
      <c r="AB326">
        <v>0</v>
      </c>
      <c r="AC326">
        <v>0</v>
      </c>
      <c r="AD326">
        <v>0</v>
      </c>
      <c r="AE326">
        <v>0</v>
      </c>
      <c r="AF326">
        <v>0</v>
      </c>
      <c r="AG326">
        <v>0</v>
      </c>
      <c r="AH326">
        <v>0</v>
      </c>
      <c r="AI326">
        <v>0</v>
      </c>
      <c r="AJ326">
        <v>0</v>
      </c>
      <c r="AK326">
        <v>0</v>
      </c>
      <c r="AL326">
        <v>0</v>
      </c>
      <c r="AM326">
        <v>0</v>
      </c>
      <c r="AN326">
        <v>0</v>
      </c>
      <c r="AO326">
        <v>0</v>
      </c>
      <c r="AP326">
        <v>0</v>
      </c>
      <c r="AQ326">
        <v>0</v>
      </c>
      <c r="AR326">
        <v>0</v>
      </c>
      <c r="AS326">
        <v>4.8578999999999997E-2</v>
      </c>
      <c r="AT326">
        <v>4.0270000000000002E-3</v>
      </c>
      <c r="AU326">
        <v>1.7100000000000001E-2</v>
      </c>
    </row>
    <row r="327" spans="1:47">
      <c r="A327" s="2" t="s">
        <v>1251</v>
      </c>
      <c r="B327" s="2" t="s">
        <v>1252</v>
      </c>
      <c r="C327">
        <v>0</v>
      </c>
      <c r="D327">
        <v>0</v>
      </c>
      <c r="E327">
        <v>0</v>
      </c>
      <c r="F327">
        <v>0</v>
      </c>
      <c r="G327">
        <v>0</v>
      </c>
      <c r="H327">
        <v>0</v>
      </c>
      <c r="I327" s="274">
        <v>0</v>
      </c>
      <c r="J327">
        <v>0</v>
      </c>
      <c r="K327">
        <v>0</v>
      </c>
      <c r="L327">
        <v>0</v>
      </c>
      <c r="M327">
        <v>0</v>
      </c>
      <c r="N327">
        <v>0</v>
      </c>
      <c r="O327" s="274">
        <v>0</v>
      </c>
      <c r="P327">
        <v>0</v>
      </c>
      <c r="Q327">
        <v>0</v>
      </c>
      <c r="R327">
        <v>0</v>
      </c>
      <c r="S327">
        <v>0</v>
      </c>
      <c r="T327" s="274">
        <f t="shared" ref="T327:T382" si="11">S327+R327+Q327</f>
        <v>0</v>
      </c>
      <c r="U327">
        <v>0</v>
      </c>
      <c r="V327">
        <v>0</v>
      </c>
      <c r="W327">
        <v>0</v>
      </c>
      <c r="X327">
        <v>0</v>
      </c>
      <c r="Y327">
        <v>0</v>
      </c>
      <c r="Z327">
        <v>0</v>
      </c>
      <c r="AA327">
        <v>0</v>
      </c>
      <c r="AB327">
        <v>0</v>
      </c>
      <c r="AC327">
        <v>0</v>
      </c>
      <c r="AD327">
        <v>0</v>
      </c>
      <c r="AE327">
        <v>0</v>
      </c>
      <c r="AF327">
        <v>0</v>
      </c>
      <c r="AG327">
        <v>0</v>
      </c>
      <c r="AH327">
        <v>0</v>
      </c>
      <c r="AI327">
        <v>0</v>
      </c>
      <c r="AJ327">
        <v>0</v>
      </c>
      <c r="AK327">
        <v>0</v>
      </c>
      <c r="AL327">
        <v>0</v>
      </c>
      <c r="AM327">
        <v>0</v>
      </c>
      <c r="AN327">
        <v>0</v>
      </c>
      <c r="AO327">
        <v>0</v>
      </c>
      <c r="AP327">
        <v>0</v>
      </c>
      <c r="AQ327">
        <v>0</v>
      </c>
      <c r="AR327">
        <v>0</v>
      </c>
      <c r="AS327">
        <v>4.8578999999999997E-2</v>
      </c>
      <c r="AT327">
        <v>4.0270000000000002E-3</v>
      </c>
      <c r="AU327">
        <v>1.7100000000000001E-2</v>
      </c>
    </row>
    <row r="328" spans="1:47">
      <c r="A328" s="2" t="s">
        <v>1180</v>
      </c>
      <c r="B328" s="2" t="s">
        <v>1181</v>
      </c>
      <c r="C328">
        <v>0</v>
      </c>
      <c r="D328">
        <v>0</v>
      </c>
      <c r="E328">
        <v>0</v>
      </c>
      <c r="F328">
        <v>0</v>
      </c>
      <c r="G328">
        <v>0</v>
      </c>
      <c r="H328">
        <v>0</v>
      </c>
      <c r="I328" s="274">
        <v>0</v>
      </c>
      <c r="J328">
        <v>0</v>
      </c>
      <c r="K328">
        <v>0</v>
      </c>
      <c r="L328">
        <v>0</v>
      </c>
      <c r="M328">
        <v>0</v>
      </c>
      <c r="N328">
        <v>0</v>
      </c>
      <c r="O328" s="274">
        <v>0</v>
      </c>
      <c r="P328">
        <v>0</v>
      </c>
      <c r="Q328">
        <v>0</v>
      </c>
      <c r="R328">
        <v>0</v>
      </c>
      <c r="S328">
        <v>0</v>
      </c>
      <c r="T328" s="274">
        <f t="shared" si="11"/>
        <v>0</v>
      </c>
      <c r="U328">
        <v>0</v>
      </c>
      <c r="V328">
        <v>0</v>
      </c>
      <c r="W328">
        <v>0</v>
      </c>
      <c r="X328">
        <v>0</v>
      </c>
      <c r="Y328">
        <v>0</v>
      </c>
      <c r="Z328">
        <v>0</v>
      </c>
      <c r="AA328">
        <v>0</v>
      </c>
      <c r="AB328">
        <v>0</v>
      </c>
      <c r="AC328">
        <v>0</v>
      </c>
      <c r="AD328">
        <v>0</v>
      </c>
      <c r="AE328">
        <v>0</v>
      </c>
      <c r="AF328">
        <v>0</v>
      </c>
      <c r="AG328">
        <v>0</v>
      </c>
      <c r="AH328">
        <v>0</v>
      </c>
      <c r="AI328">
        <v>0</v>
      </c>
      <c r="AJ328">
        <v>0</v>
      </c>
      <c r="AK328">
        <v>0</v>
      </c>
      <c r="AL328">
        <v>0</v>
      </c>
      <c r="AM328">
        <v>0</v>
      </c>
      <c r="AN328">
        <v>0</v>
      </c>
      <c r="AO328">
        <v>0</v>
      </c>
      <c r="AP328">
        <v>0</v>
      </c>
      <c r="AQ328">
        <v>0</v>
      </c>
      <c r="AR328">
        <v>0</v>
      </c>
      <c r="AS328">
        <v>4.8578999999999997E-2</v>
      </c>
      <c r="AT328">
        <v>4.0270000000000002E-3</v>
      </c>
      <c r="AU328">
        <v>1.7100000000000001E-2</v>
      </c>
    </row>
    <row r="329" spans="1:47">
      <c r="A329" s="2" t="s">
        <v>523</v>
      </c>
      <c r="B329" s="2" t="s">
        <v>524</v>
      </c>
      <c r="C329">
        <v>9814.8700000000008</v>
      </c>
      <c r="D329">
        <v>451.68</v>
      </c>
      <c r="E329">
        <v>4433180.68</v>
      </c>
      <c r="F329">
        <v>3.5</v>
      </c>
      <c r="G329">
        <v>43.75</v>
      </c>
      <c r="H329">
        <v>32.5</v>
      </c>
      <c r="I329" s="274">
        <v>79.75</v>
      </c>
      <c r="J329">
        <v>34571.89</v>
      </c>
      <c r="K329">
        <v>377687.17</v>
      </c>
      <c r="L329">
        <v>277078.21999999997</v>
      </c>
      <c r="M329">
        <v>-72464.149999999994</v>
      </c>
      <c r="N329">
        <v>654933.36</v>
      </c>
      <c r="O329" s="274">
        <v>0</v>
      </c>
      <c r="P329">
        <v>121333.89</v>
      </c>
      <c r="Q329">
        <v>7.75</v>
      </c>
      <c r="R329">
        <v>8.5</v>
      </c>
      <c r="S329">
        <v>0</v>
      </c>
      <c r="T329" s="274">
        <f t="shared" si="11"/>
        <v>16.25</v>
      </c>
      <c r="U329">
        <v>0</v>
      </c>
      <c r="V329">
        <v>0</v>
      </c>
      <c r="W329">
        <v>0</v>
      </c>
      <c r="X329">
        <v>25.53</v>
      </c>
      <c r="Y329">
        <v>0</v>
      </c>
      <c r="Z329">
        <v>0</v>
      </c>
      <c r="AA329">
        <v>232671.38</v>
      </c>
      <c r="AB329">
        <v>0</v>
      </c>
      <c r="AC329">
        <v>0</v>
      </c>
      <c r="AD329">
        <v>62474.27</v>
      </c>
      <c r="AE329">
        <v>342152.09</v>
      </c>
      <c r="AF329">
        <v>141759.71</v>
      </c>
      <c r="AG329">
        <v>170212.92</v>
      </c>
      <c r="AH329">
        <v>1</v>
      </c>
      <c r="AI329">
        <v>68937</v>
      </c>
      <c r="AJ329">
        <v>67585</v>
      </c>
      <c r="AK329">
        <v>0</v>
      </c>
      <c r="AL329">
        <v>0</v>
      </c>
      <c r="AM329">
        <v>0</v>
      </c>
      <c r="AN329">
        <v>0</v>
      </c>
      <c r="AO329">
        <v>0</v>
      </c>
      <c r="AP329">
        <v>604451.52</v>
      </c>
      <c r="AQ329">
        <v>35632.730000000003</v>
      </c>
      <c r="AR329">
        <v>7.5439999999999996</v>
      </c>
      <c r="AS329">
        <v>4.8578999999999997E-2</v>
      </c>
      <c r="AT329">
        <v>4.0270000000000002E-3</v>
      </c>
      <c r="AU329">
        <v>1.7100000000000001E-2</v>
      </c>
    </row>
    <row r="330" spans="1:47">
      <c r="A330" s="2" t="s">
        <v>525</v>
      </c>
      <c r="B330" s="2" t="s">
        <v>526</v>
      </c>
      <c r="C330">
        <v>21094.94</v>
      </c>
      <c r="D330">
        <v>17.600000000000001</v>
      </c>
      <c r="E330">
        <v>371271.01</v>
      </c>
      <c r="F330">
        <v>0</v>
      </c>
      <c r="G330">
        <v>2</v>
      </c>
      <c r="H330">
        <v>0</v>
      </c>
      <c r="I330" s="274">
        <v>2</v>
      </c>
      <c r="J330">
        <v>0</v>
      </c>
      <c r="K330">
        <v>17265.7</v>
      </c>
      <c r="L330">
        <v>0</v>
      </c>
      <c r="M330">
        <v>-1910.83</v>
      </c>
      <c r="N330">
        <v>17178.580000000002</v>
      </c>
      <c r="O330" s="274">
        <v>0</v>
      </c>
      <c r="P330">
        <v>2670.25</v>
      </c>
      <c r="Q330">
        <v>0</v>
      </c>
      <c r="R330">
        <v>0</v>
      </c>
      <c r="S330">
        <v>0</v>
      </c>
      <c r="T330" s="274">
        <f t="shared" si="11"/>
        <v>0</v>
      </c>
      <c r="U330">
        <v>0</v>
      </c>
      <c r="V330">
        <v>0</v>
      </c>
      <c r="W330">
        <v>0</v>
      </c>
      <c r="X330">
        <v>0</v>
      </c>
      <c r="Y330">
        <v>0</v>
      </c>
      <c r="Z330">
        <v>0</v>
      </c>
      <c r="AA330">
        <v>0</v>
      </c>
      <c r="AB330">
        <v>0</v>
      </c>
      <c r="AC330">
        <v>0</v>
      </c>
      <c r="AD330">
        <v>16137.71</v>
      </c>
      <c r="AE330">
        <v>93165.88</v>
      </c>
      <c r="AF330">
        <v>8120.28</v>
      </c>
      <c r="AG330">
        <v>17805.93</v>
      </c>
      <c r="AH330">
        <v>1</v>
      </c>
      <c r="AI330">
        <v>68937</v>
      </c>
      <c r="AJ330">
        <v>67585</v>
      </c>
      <c r="AK330">
        <v>0</v>
      </c>
      <c r="AL330">
        <v>0</v>
      </c>
      <c r="AM330">
        <v>0</v>
      </c>
      <c r="AN330">
        <v>0</v>
      </c>
      <c r="AO330">
        <v>0</v>
      </c>
      <c r="AP330">
        <v>41274.620000000003</v>
      </c>
      <c r="AQ330">
        <v>3352.03</v>
      </c>
      <c r="AR330">
        <v>0.85599999999999998</v>
      </c>
      <c r="AS330">
        <v>4.8578999999999997E-2</v>
      </c>
      <c r="AT330">
        <v>4.0270000000000002E-3</v>
      </c>
      <c r="AU330">
        <v>1.7100000000000001E-2</v>
      </c>
    </row>
    <row r="331" spans="1:47">
      <c r="A331" s="2" t="s">
        <v>527</v>
      </c>
      <c r="B331" s="2" t="s">
        <v>528</v>
      </c>
      <c r="C331">
        <v>8962.17</v>
      </c>
      <c r="D331">
        <v>5480.46</v>
      </c>
      <c r="E331">
        <v>49116788.759999998</v>
      </c>
      <c r="F331">
        <v>35.25</v>
      </c>
      <c r="G331">
        <v>459.75</v>
      </c>
      <c r="H331">
        <v>339.25</v>
      </c>
      <c r="I331" s="274">
        <v>834.25</v>
      </c>
      <c r="J331">
        <v>357098.08</v>
      </c>
      <c r="K331">
        <v>4070579.65</v>
      </c>
      <c r="L331">
        <v>2966328.93</v>
      </c>
      <c r="M331">
        <v>-539079.18000000005</v>
      </c>
      <c r="N331">
        <v>7029645.8399999999</v>
      </c>
      <c r="O331" s="274">
        <v>765070.89999999991</v>
      </c>
      <c r="P331">
        <v>1656854.32</v>
      </c>
      <c r="Q331">
        <v>541</v>
      </c>
      <c r="R331">
        <v>239.25</v>
      </c>
      <c r="S331">
        <v>140.5</v>
      </c>
      <c r="T331" s="274">
        <f t="shared" si="11"/>
        <v>920.75</v>
      </c>
      <c r="U331">
        <v>1249611.8999999999</v>
      </c>
      <c r="V331">
        <v>274.02</v>
      </c>
      <c r="W331">
        <v>159783.45000000001</v>
      </c>
      <c r="X331">
        <v>293.41000000000003</v>
      </c>
      <c r="Y331">
        <v>64.94</v>
      </c>
      <c r="Z331">
        <v>92.35</v>
      </c>
      <c r="AA331">
        <v>2673469.81</v>
      </c>
      <c r="AB331">
        <v>590862.88</v>
      </c>
      <c r="AC331">
        <v>955528.32</v>
      </c>
      <c r="AD331">
        <v>268119.44</v>
      </c>
      <c r="AE331">
        <v>1683101.66</v>
      </c>
      <c r="AF331">
        <v>778969.64</v>
      </c>
      <c r="AG331">
        <v>1920034.1</v>
      </c>
      <c r="AH331">
        <v>1</v>
      </c>
      <c r="AI331">
        <v>68937</v>
      </c>
      <c r="AJ331">
        <v>67585</v>
      </c>
      <c r="AK331">
        <v>100321</v>
      </c>
      <c r="AL331">
        <v>102327</v>
      </c>
      <c r="AM331">
        <v>48483</v>
      </c>
      <c r="AN331">
        <v>49453</v>
      </c>
      <c r="AO331">
        <v>1</v>
      </c>
      <c r="AP331">
        <v>6299871.7999999998</v>
      </c>
      <c r="AQ331">
        <v>362131.17</v>
      </c>
      <c r="AR331">
        <v>102.47</v>
      </c>
      <c r="AS331">
        <v>4.8578999999999997E-2</v>
      </c>
      <c r="AT331">
        <v>4.0270000000000002E-3</v>
      </c>
      <c r="AU331">
        <v>1.7100000000000001E-2</v>
      </c>
    </row>
    <row r="332" spans="1:47">
      <c r="A332" s="2" t="s">
        <v>529</v>
      </c>
      <c r="B332" s="2" t="s">
        <v>530</v>
      </c>
      <c r="C332">
        <v>8734.5499999999993</v>
      </c>
      <c r="D332">
        <v>1523.44</v>
      </c>
      <c r="E332">
        <v>13306561.26</v>
      </c>
      <c r="F332">
        <v>28.25</v>
      </c>
      <c r="G332">
        <v>103.5</v>
      </c>
      <c r="H332">
        <v>106.5</v>
      </c>
      <c r="I332" s="274">
        <v>238.25</v>
      </c>
      <c r="J332">
        <v>280015.28999999998</v>
      </c>
      <c r="K332">
        <v>896401.47</v>
      </c>
      <c r="L332">
        <v>910909.85</v>
      </c>
      <c r="M332">
        <v>-30275.43</v>
      </c>
      <c r="N332">
        <v>1810025.7</v>
      </c>
      <c r="O332" s="274">
        <v>225032.75</v>
      </c>
      <c r="P332">
        <v>554469.61</v>
      </c>
      <c r="Q332">
        <v>178.25</v>
      </c>
      <c r="R332">
        <v>114</v>
      </c>
      <c r="S332">
        <v>44.25</v>
      </c>
      <c r="T332" s="274">
        <f t="shared" si="11"/>
        <v>336.5</v>
      </c>
      <c r="U332">
        <v>458453.79</v>
      </c>
      <c r="V332">
        <v>76.17</v>
      </c>
      <c r="W332">
        <v>42949.47</v>
      </c>
      <c r="X332">
        <v>131.59</v>
      </c>
      <c r="Y332">
        <v>0</v>
      </c>
      <c r="Z332">
        <v>0</v>
      </c>
      <c r="AA332">
        <v>1174210.71</v>
      </c>
      <c r="AB332">
        <v>0</v>
      </c>
      <c r="AC332">
        <v>0</v>
      </c>
      <c r="AD332">
        <v>100222.83</v>
      </c>
      <c r="AE332">
        <v>458702.02</v>
      </c>
      <c r="AF332">
        <v>452877.21</v>
      </c>
      <c r="AG332">
        <v>512262.92</v>
      </c>
      <c r="AH332">
        <v>1</v>
      </c>
      <c r="AI332">
        <v>68937</v>
      </c>
      <c r="AJ332">
        <v>67585</v>
      </c>
      <c r="AK332">
        <v>100321</v>
      </c>
      <c r="AL332">
        <v>102327</v>
      </c>
      <c r="AM332">
        <v>48483</v>
      </c>
      <c r="AN332">
        <v>49453</v>
      </c>
      <c r="AO332">
        <v>1</v>
      </c>
      <c r="AP332">
        <v>1880999.69</v>
      </c>
      <c r="AQ332">
        <v>103211.69</v>
      </c>
      <c r="AR332">
        <v>29.100999999999999</v>
      </c>
      <c r="AS332">
        <v>4.8578999999999997E-2</v>
      </c>
      <c r="AT332">
        <v>4.0270000000000002E-3</v>
      </c>
      <c r="AU332">
        <v>1.7100000000000001E-2</v>
      </c>
    </row>
    <row r="333" spans="1:47">
      <c r="A333" s="2" t="s">
        <v>531</v>
      </c>
      <c r="B333" s="2" t="s">
        <v>532</v>
      </c>
      <c r="C333">
        <v>12842.35</v>
      </c>
      <c r="D333">
        <v>203.44</v>
      </c>
      <c r="E333">
        <v>2612647.4700000002</v>
      </c>
      <c r="F333">
        <v>0</v>
      </c>
      <c r="G333">
        <v>22</v>
      </c>
      <c r="H333">
        <v>0.5</v>
      </c>
      <c r="I333" s="274">
        <v>22.5</v>
      </c>
      <c r="J333">
        <v>0</v>
      </c>
      <c r="K333">
        <v>188739.20000000001</v>
      </c>
      <c r="L333">
        <v>4236.18</v>
      </c>
      <c r="M333">
        <v>0</v>
      </c>
      <c r="N333">
        <v>192043.58</v>
      </c>
      <c r="O333" s="274">
        <v>20939.559999999998</v>
      </c>
      <c r="P333">
        <v>16769.2</v>
      </c>
      <c r="Q333">
        <v>24</v>
      </c>
      <c r="R333">
        <v>14</v>
      </c>
      <c r="S333">
        <v>9</v>
      </c>
      <c r="T333" s="274">
        <f t="shared" si="11"/>
        <v>47</v>
      </c>
      <c r="U333">
        <v>61733.760000000002</v>
      </c>
      <c r="V333">
        <v>0</v>
      </c>
      <c r="W333">
        <v>0</v>
      </c>
      <c r="X333">
        <v>11.44</v>
      </c>
      <c r="Y333">
        <v>2.99</v>
      </c>
      <c r="Z333">
        <v>0</v>
      </c>
      <c r="AA333">
        <v>102212.55</v>
      </c>
      <c r="AB333">
        <v>26705.79</v>
      </c>
      <c r="AC333">
        <v>0</v>
      </c>
      <c r="AD333">
        <v>42018</v>
      </c>
      <c r="AE333">
        <v>140694.75</v>
      </c>
      <c r="AF333">
        <v>61048.9</v>
      </c>
      <c r="AG333">
        <v>67799.509999999995</v>
      </c>
      <c r="AH333">
        <v>1</v>
      </c>
      <c r="AI333">
        <v>68937</v>
      </c>
      <c r="AJ333">
        <v>67585</v>
      </c>
      <c r="AK333">
        <v>100321</v>
      </c>
      <c r="AL333">
        <v>102327</v>
      </c>
      <c r="AM333">
        <v>48483</v>
      </c>
      <c r="AN333">
        <v>49453</v>
      </c>
      <c r="AO333">
        <v>1</v>
      </c>
      <c r="AP333">
        <v>333943.07</v>
      </c>
      <c r="AQ333">
        <v>22112.19</v>
      </c>
      <c r="AR333">
        <v>3.383</v>
      </c>
      <c r="AS333">
        <v>4.8578999999999997E-2</v>
      </c>
      <c r="AT333">
        <v>4.0270000000000002E-3</v>
      </c>
      <c r="AU333">
        <v>1.7100000000000001E-2</v>
      </c>
    </row>
    <row r="334" spans="1:47">
      <c r="A334" s="2" t="s">
        <v>533</v>
      </c>
      <c r="B334" s="2" t="s">
        <v>534</v>
      </c>
      <c r="C334">
        <v>9469.1</v>
      </c>
      <c r="D334">
        <v>708.86</v>
      </c>
      <c r="E334">
        <v>6712266.9000000004</v>
      </c>
      <c r="F334">
        <v>10</v>
      </c>
      <c r="G334">
        <v>71.75</v>
      </c>
      <c r="H334">
        <v>24.5</v>
      </c>
      <c r="I334" s="274">
        <v>106.25</v>
      </c>
      <c r="J334">
        <v>101431.15</v>
      </c>
      <c r="K334">
        <v>635992.05000000005</v>
      </c>
      <c r="L334">
        <v>214466.86</v>
      </c>
      <c r="M334">
        <v>0</v>
      </c>
      <c r="N334">
        <v>848934.63</v>
      </c>
      <c r="O334" s="274">
        <v>113642.75</v>
      </c>
      <c r="P334">
        <v>180426.35</v>
      </c>
      <c r="Q334">
        <v>80.75</v>
      </c>
      <c r="R334">
        <v>51.75</v>
      </c>
      <c r="S334">
        <v>22</v>
      </c>
      <c r="T334" s="274">
        <f t="shared" si="11"/>
        <v>154.5</v>
      </c>
      <c r="U334">
        <v>216689.84</v>
      </c>
      <c r="V334">
        <v>35.44</v>
      </c>
      <c r="W334">
        <v>20656.41</v>
      </c>
      <c r="X334">
        <v>54.43</v>
      </c>
      <c r="Y334">
        <v>0</v>
      </c>
      <c r="Z334">
        <v>0</v>
      </c>
      <c r="AA334">
        <v>495979.31</v>
      </c>
      <c r="AB334">
        <v>0</v>
      </c>
      <c r="AC334">
        <v>0</v>
      </c>
      <c r="AD334">
        <v>66671.92</v>
      </c>
      <c r="AE334">
        <v>439765.47</v>
      </c>
      <c r="AF334">
        <v>205855.35999999999</v>
      </c>
      <c r="AG334">
        <v>247066.94</v>
      </c>
      <c r="AH334">
        <v>1</v>
      </c>
      <c r="AI334">
        <v>68937</v>
      </c>
      <c r="AJ334">
        <v>67585</v>
      </c>
      <c r="AK334">
        <v>100321</v>
      </c>
      <c r="AL334">
        <v>102327</v>
      </c>
      <c r="AM334">
        <v>48483</v>
      </c>
      <c r="AN334">
        <v>49453</v>
      </c>
      <c r="AO334">
        <v>1</v>
      </c>
      <c r="AP334">
        <v>921213.92</v>
      </c>
      <c r="AQ334">
        <v>54904.07</v>
      </c>
      <c r="AR334">
        <v>14.212999999999999</v>
      </c>
      <c r="AS334">
        <v>4.8578999999999997E-2</v>
      </c>
      <c r="AT334">
        <v>4.0270000000000002E-3</v>
      </c>
      <c r="AU334">
        <v>1.7100000000000001E-2</v>
      </c>
    </row>
    <row r="335" spans="1:47">
      <c r="A335" s="2" t="s">
        <v>535</v>
      </c>
      <c r="B335" s="2" t="s">
        <v>536</v>
      </c>
      <c r="C335">
        <v>11788.96</v>
      </c>
      <c r="D335">
        <v>262.04000000000002</v>
      </c>
      <c r="E335">
        <v>3089177.9</v>
      </c>
      <c r="F335">
        <v>3.25</v>
      </c>
      <c r="G335">
        <v>20.75</v>
      </c>
      <c r="H335">
        <v>1</v>
      </c>
      <c r="I335" s="274">
        <v>25</v>
      </c>
      <c r="J335">
        <v>32087.26</v>
      </c>
      <c r="K335">
        <v>179041.56</v>
      </c>
      <c r="L335">
        <v>8521.19</v>
      </c>
      <c r="M335">
        <v>0</v>
      </c>
      <c r="N335">
        <v>186728.54</v>
      </c>
      <c r="O335" s="274">
        <v>19431.510000000002</v>
      </c>
      <c r="P335">
        <v>15839.49</v>
      </c>
      <c r="Q335">
        <v>0.5</v>
      </c>
      <c r="R335">
        <v>1</v>
      </c>
      <c r="S335">
        <v>0</v>
      </c>
      <c r="T335" s="274">
        <f t="shared" si="11"/>
        <v>1.5</v>
      </c>
      <c r="U335">
        <v>0</v>
      </c>
      <c r="V335">
        <v>0</v>
      </c>
      <c r="W335">
        <v>0</v>
      </c>
      <c r="X335">
        <v>10.26</v>
      </c>
      <c r="Y335">
        <v>4.5</v>
      </c>
      <c r="Z335">
        <v>0</v>
      </c>
      <c r="AA335">
        <v>91476.81</v>
      </c>
      <c r="AB335">
        <v>39985.15</v>
      </c>
      <c r="AC335">
        <v>0</v>
      </c>
      <c r="AD335">
        <v>45780.56</v>
      </c>
      <c r="AE335">
        <v>146047.09</v>
      </c>
      <c r="AF335">
        <v>69071.350000000006</v>
      </c>
      <c r="AG335">
        <v>85507.6</v>
      </c>
      <c r="AH335">
        <v>1</v>
      </c>
      <c r="AI335">
        <v>68937</v>
      </c>
      <c r="AJ335">
        <v>67585</v>
      </c>
      <c r="AK335">
        <v>100321</v>
      </c>
      <c r="AL335">
        <v>102327</v>
      </c>
      <c r="AM335">
        <v>48483</v>
      </c>
      <c r="AN335">
        <v>49453</v>
      </c>
      <c r="AO335">
        <v>1</v>
      </c>
      <c r="AP335">
        <v>413754.56</v>
      </c>
      <c r="AQ335">
        <v>26488.05</v>
      </c>
      <c r="AR335">
        <v>4.8579999999999997</v>
      </c>
      <c r="AS335">
        <v>4.8578999999999997E-2</v>
      </c>
      <c r="AT335">
        <v>4.0270000000000002E-3</v>
      </c>
      <c r="AU335">
        <v>1.7100000000000001E-2</v>
      </c>
    </row>
    <row r="336" spans="1:47">
      <c r="A336" s="2" t="s">
        <v>537</v>
      </c>
      <c r="B336" s="2" t="s">
        <v>538</v>
      </c>
      <c r="C336">
        <v>12141.53</v>
      </c>
      <c r="D336">
        <v>248.31</v>
      </c>
      <c r="E336">
        <v>3014862.4</v>
      </c>
      <c r="F336">
        <v>0</v>
      </c>
      <c r="G336">
        <v>25.75</v>
      </c>
      <c r="H336">
        <v>9.25</v>
      </c>
      <c r="I336" s="274">
        <v>35</v>
      </c>
      <c r="J336">
        <v>0</v>
      </c>
      <c r="K336">
        <v>226271.28</v>
      </c>
      <c r="L336">
        <v>80271.13</v>
      </c>
      <c r="M336">
        <v>-13044.36</v>
      </c>
      <c r="N336">
        <v>305966.5</v>
      </c>
      <c r="O336" s="274">
        <v>32958.03</v>
      </c>
      <c r="P336">
        <v>55564.67</v>
      </c>
      <c r="Q336">
        <v>63.5</v>
      </c>
      <c r="R336">
        <v>27.5</v>
      </c>
      <c r="S336">
        <v>11</v>
      </c>
      <c r="T336" s="274">
        <f t="shared" si="11"/>
        <v>102</v>
      </c>
      <c r="U336">
        <v>0</v>
      </c>
      <c r="V336">
        <v>0</v>
      </c>
      <c r="W336">
        <v>0</v>
      </c>
      <c r="X336">
        <v>5.24</v>
      </c>
      <c r="Y336">
        <v>0</v>
      </c>
      <c r="Z336">
        <v>0</v>
      </c>
      <c r="AA336">
        <v>46726.42</v>
      </c>
      <c r="AB336">
        <v>0</v>
      </c>
      <c r="AC336">
        <v>0</v>
      </c>
      <c r="AD336">
        <v>82791.42</v>
      </c>
      <c r="AE336">
        <v>323129.2</v>
      </c>
      <c r="AF336">
        <v>71028.05</v>
      </c>
      <c r="AG336">
        <v>126598.21</v>
      </c>
      <c r="AH336">
        <v>1</v>
      </c>
      <c r="AI336">
        <v>68937</v>
      </c>
      <c r="AJ336">
        <v>67585</v>
      </c>
      <c r="AK336">
        <v>100321</v>
      </c>
      <c r="AL336">
        <v>102327</v>
      </c>
      <c r="AM336">
        <v>48483</v>
      </c>
      <c r="AN336">
        <v>49453</v>
      </c>
      <c r="AO336">
        <v>1</v>
      </c>
      <c r="AP336">
        <v>410806.89</v>
      </c>
      <c r="AQ336">
        <v>26866.74</v>
      </c>
      <c r="AR336">
        <v>5.641</v>
      </c>
      <c r="AS336">
        <v>4.8578999999999997E-2</v>
      </c>
      <c r="AT336">
        <v>4.0270000000000002E-3</v>
      </c>
      <c r="AU336">
        <v>1.7100000000000001E-2</v>
      </c>
    </row>
    <row r="337" spans="1:47">
      <c r="A337" s="2" t="s">
        <v>1182</v>
      </c>
      <c r="B337" s="2" t="s">
        <v>1183</v>
      </c>
      <c r="C337">
        <v>0</v>
      </c>
      <c r="D337">
        <v>0</v>
      </c>
      <c r="E337">
        <v>0</v>
      </c>
      <c r="F337">
        <v>0</v>
      </c>
      <c r="G337">
        <v>0</v>
      </c>
      <c r="H337">
        <v>0</v>
      </c>
      <c r="I337" s="274">
        <v>0</v>
      </c>
      <c r="J337">
        <v>0</v>
      </c>
      <c r="K337">
        <v>0</v>
      </c>
      <c r="L337">
        <v>0</v>
      </c>
      <c r="M337">
        <v>0</v>
      </c>
      <c r="N337">
        <v>0</v>
      </c>
      <c r="O337" s="274">
        <v>0</v>
      </c>
      <c r="P337">
        <v>0</v>
      </c>
      <c r="Q337">
        <v>0</v>
      </c>
      <c r="R337">
        <v>0</v>
      </c>
      <c r="S337">
        <v>0</v>
      </c>
      <c r="T337" s="274">
        <f t="shared" si="11"/>
        <v>0</v>
      </c>
      <c r="U337">
        <v>0</v>
      </c>
      <c r="V337">
        <v>0</v>
      </c>
      <c r="W337">
        <v>0</v>
      </c>
      <c r="X337">
        <v>0</v>
      </c>
      <c r="Y337">
        <v>0</v>
      </c>
      <c r="Z337">
        <v>0</v>
      </c>
      <c r="AA337">
        <v>0</v>
      </c>
      <c r="AB337">
        <v>0</v>
      </c>
      <c r="AC337">
        <v>0</v>
      </c>
      <c r="AD337">
        <v>0</v>
      </c>
      <c r="AE337">
        <v>0</v>
      </c>
      <c r="AF337">
        <v>0</v>
      </c>
      <c r="AG337">
        <v>0</v>
      </c>
      <c r="AH337">
        <v>0</v>
      </c>
      <c r="AI337">
        <v>0</v>
      </c>
      <c r="AJ337">
        <v>0</v>
      </c>
      <c r="AK337">
        <v>100321</v>
      </c>
      <c r="AL337">
        <v>102327</v>
      </c>
      <c r="AM337">
        <v>48483</v>
      </c>
      <c r="AN337">
        <v>49453</v>
      </c>
      <c r="AO337">
        <v>1</v>
      </c>
      <c r="AP337">
        <v>0</v>
      </c>
      <c r="AQ337">
        <v>0</v>
      </c>
      <c r="AR337">
        <v>0</v>
      </c>
      <c r="AS337">
        <v>4.8578999999999997E-2</v>
      </c>
      <c r="AT337">
        <v>4.0270000000000002E-3</v>
      </c>
      <c r="AU337">
        <v>1.7100000000000001E-2</v>
      </c>
    </row>
    <row r="338" spans="1:47">
      <c r="A338" s="2" t="s">
        <v>539</v>
      </c>
      <c r="B338" s="2" t="s">
        <v>540</v>
      </c>
      <c r="C338">
        <v>9317.09</v>
      </c>
      <c r="D338">
        <v>11238.42</v>
      </c>
      <c r="E338">
        <v>104709395.17</v>
      </c>
      <c r="F338">
        <v>100.75</v>
      </c>
      <c r="G338">
        <v>1215.75</v>
      </c>
      <c r="H338">
        <v>411.25</v>
      </c>
      <c r="I338" s="274">
        <v>1727.75</v>
      </c>
      <c r="J338">
        <v>1070188.31</v>
      </c>
      <c r="K338">
        <v>11287175.359999999</v>
      </c>
      <c r="L338">
        <v>3770614.08</v>
      </c>
      <c r="M338">
        <v>-989958.48</v>
      </c>
      <c r="N338">
        <v>15018890.460000001</v>
      </c>
      <c r="O338" s="274">
        <v>1653984.4100000001</v>
      </c>
      <c r="P338">
        <v>3383244.74</v>
      </c>
      <c r="Q338">
        <v>476.25</v>
      </c>
      <c r="R338">
        <v>292.75</v>
      </c>
      <c r="S338">
        <v>127.75</v>
      </c>
      <c r="T338" s="274">
        <f t="shared" si="11"/>
        <v>896.75</v>
      </c>
      <c r="U338">
        <v>1317752.29</v>
      </c>
      <c r="V338">
        <v>561.91999999999996</v>
      </c>
      <c r="W338">
        <v>344312.15</v>
      </c>
      <c r="X338">
        <v>661.27</v>
      </c>
      <c r="Y338">
        <v>102.15</v>
      </c>
      <c r="Z338">
        <v>0</v>
      </c>
      <c r="AA338">
        <v>6318190.9900000002</v>
      </c>
      <c r="AB338">
        <v>974801.03</v>
      </c>
      <c r="AC338">
        <v>0</v>
      </c>
      <c r="AD338">
        <v>612944.82999999996</v>
      </c>
      <c r="AE338">
        <v>4175996.65</v>
      </c>
      <c r="AF338">
        <v>539085.31999999995</v>
      </c>
      <c r="AG338">
        <v>2916595.25</v>
      </c>
      <c r="AH338">
        <v>1.1000000000000001</v>
      </c>
      <c r="AI338">
        <v>68937</v>
      </c>
      <c r="AJ338">
        <v>67585</v>
      </c>
      <c r="AK338">
        <v>100321</v>
      </c>
      <c r="AL338">
        <v>102327</v>
      </c>
      <c r="AM338">
        <v>48483</v>
      </c>
      <c r="AN338">
        <v>49453</v>
      </c>
      <c r="AO338">
        <v>1</v>
      </c>
      <c r="AP338">
        <v>13504738.17</v>
      </c>
      <c r="AQ338">
        <v>814619.45</v>
      </c>
      <c r="AR338">
        <v>208.33099999999999</v>
      </c>
      <c r="AS338">
        <v>4.8578999999999997E-2</v>
      </c>
      <c r="AT338">
        <v>4.0270000000000002E-3</v>
      </c>
      <c r="AU338">
        <v>1.7100000000000001E-2</v>
      </c>
    </row>
    <row r="339" spans="1:47">
      <c r="A339" s="2" t="s">
        <v>541</v>
      </c>
      <c r="B339" s="2" t="s">
        <v>542</v>
      </c>
      <c r="C339">
        <v>9406.69</v>
      </c>
      <c r="D339">
        <v>4375.38</v>
      </c>
      <c r="E339">
        <v>41157832.560000002</v>
      </c>
      <c r="F339">
        <v>43.25</v>
      </c>
      <c r="G339">
        <v>348.75</v>
      </c>
      <c r="H339">
        <v>262.75</v>
      </c>
      <c r="I339" s="274">
        <v>654.75</v>
      </c>
      <c r="J339">
        <v>463318.74</v>
      </c>
      <c r="K339">
        <v>3265421.09</v>
      </c>
      <c r="L339">
        <v>2429589.7599999998</v>
      </c>
      <c r="M339">
        <v>-191600.22</v>
      </c>
      <c r="N339">
        <v>5696293.7199999997</v>
      </c>
      <c r="O339" s="274">
        <v>696888.76</v>
      </c>
      <c r="P339">
        <v>1323987.2</v>
      </c>
      <c r="Q339">
        <v>223</v>
      </c>
      <c r="R339">
        <v>113</v>
      </c>
      <c r="S339">
        <v>57.25</v>
      </c>
      <c r="T339" s="274">
        <f t="shared" si="11"/>
        <v>393.25</v>
      </c>
      <c r="U339">
        <v>568460.96</v>
      </c>
      <c r="V339">
        <v>218.77</v>
      </c>
      <c r="W339">
        <v>134106.10999999999</v>
      </c>
      <c r="X339">
        <v>252.22</v>
      </c>
      <c r="Y339">
        <v>17.98</v>
      </c>
      <c r="Z339">
        <v>0</v>
      </c>
      <c r="AA339">
        <v>2409868.65</v>
      </c>
      <c r="AB339">
        <v>171434.07</v>
      </c>
      <c r="AC339">
        <v>0</v>
      </c>
      <c r="AD339">
        <v>483506.38</v>
      </c>
      <c r="AE339">
        <v>2663942.5</v>
      </c>
      <c r="AF339">
        <v>377945.11</v>
      </c>
      <c r="AG339">
        <v>1351491.68</v>
      </c>
      <c r="AH339">
        <v>1.1000000000000001</v>
      </c>
      <c r="AI339">
        <v>68937</v>
      </c>
      <c r="AJ339">
        <v>67585</v>
      </c>
      <c r="AK339">
        <v>0</v>
      </c>
      <c r="AL339">
        <v>0</v>
      </c>
      <c r="AM339">
        <v>0</v>
      </c>
      <c r="AN339">
        <v>0</v>
      </c>
      <c r="AO339">
        <v>0</v>
      </c>
      <c r="AP339">
        <v>5394023.8099999996</v>
      </c>
      <c r="AQ339">
        <v>331053.40999999997</v>
      </c>
      <c r="AR339">
        <v>91.28</v>
      </c>
      <c r="AS339">
        <v>4.8578999999999997E-2</v>
      </c>
      <c r="AT339">
        <v>4.0270000000000002E-3</v>
      </c>
      <c r="AU339">
        <v>1.7100000000000001E-2</v>
      </c>
    </row>
    <row r="340" spans="1:47">
      <c r="A340" s="2" t="s">
        <v>543</v>
      </c>
      <c r="B340" s="2" t="s">
        <v>544</v>
      </c>
      <c r="C340">
        <v>9752.7800000000007</v>
      </c>
      <c r="D340">
        <v>2105</v>
      </c>
      <c r="E340">
        <v>20529592.940000001</v>
      </c>
      <c r="F340">
        <v>24.75</v>
      </c>
      <c r="G340">
        <v>236</v>
      </c>
      <c r="H340">
        <v>57.25</v>
      </c>
      <c r="I340" s="274">
        <v>318</v>
      </c>
      <c r="J340">
        <v>273076.34000000003</v>
      </c>
      <c r="K340">
        <v>2276124.86</v>
      </c>
      <c r="L340">
        <v>545287.29</v>
      </c>
      <c r="M340">
        <v>-83161.679999999993</v>
      </c>
      <c r="N340">
        <v>2813513.81</v>
      </c>
      <c r="O340" s="274">
        <v>334702.87</v>
      </c>
      <c r="P340">
        <v>512275.28</v>
      </c>
      <c r="Q340">
        <v>68.5</v>
      </c>
      <c r="R340">
        <v>21.5</v>
      </c>
      <c r="S340">
        <v>17.25</v>
      </c>
      <c r="T340" s="274">
        <f t="shared" si="11"/>
        <v>107.25</v>
      </c>
      <c r="U340">
        <v>156205.44</v>
      </c>
      <c r="V340">
        <v>105.25</v>
      </c>
      <c r="W340">
        <v>67614.64</v>
      </c>
      <c r="X340">
        <v>110.88</v>
      </c>
      <c r="Y340">
        <v>16.88</v>
      </c>
      <c r="Z340">
        <v>0</v>
      </c>
      <c r="AA340">
        <v>1094400.6399999999</v>
      </c>
      <c r="AB340">
        <v>166340.65</v>
      </c>
      <c r="AC340">
        <v>0</v>
      </c>
      <c r="AD340">
        <v>146661.47</v>
      </c>
      <c r="AE340">
        <v>1277837.05</v>
      </c>
      <c r="AF340">
        <v>152746.6</v>
      </c>
      <c r="AG340">
        <v>670009.76</v>
      </c>
      <c r="AH340">
        <v>1.1200000000000001</v>
      </c>
      <c r="AI340">
        <v>68937</v>
      </c>
      <c r="AJ340">
        <v>67585</v>
      </c>
      <c r="AK340">
        <v>100321</v>
      </c>
      <c r="AL340">
        <v>102327</v>
      </c>
      <c r="AM340">
        <v>48483</v>
      </c>
      <c r="AN340">
        <v>49453</v>
      </c>
      <c r="AO340">
        <v>1.1000000000000001</v>
      </c>
      <c r="AP340">
        <v>2581695.77</v>
      </c>
      <c r="AQ340">
        <v>167078.89000000001</v>
      </c>
      <c r="AR340">
        <v>42.189</v>
      </c>
      <c r="AS340">
        <v>4.8578999999999997E-2</v>
      </c>
      <c r="AT340">
        <v>4.0270000000000002E-3</v>
      </c>
      <c r="AU340">
        <v>1.7100000000000001E-2</v>
      </c>
    </row>
    <row r="341" spans="1:47">
      <c r="A341" s="2" t="s">
        <v>545</v>
      </c>
      <c r="B341" s="2" t="s">
        <v>546</v>
      </c>
      <c r="C341">
        <v>9092.85</v>
      </c>
      <c r="D341">
        <v>3319.44</v>
      </c>
      <c r="E341">
        <v>30183153.559999999</v>
      </c>
      <c r="F341">
        <v>52</v>
      </c>
      <c r="G341">
        <v>332.25</v>
      </c>
      <c r="H341">
        <v>115.25</v>
      </c>
      <c r="I341" s="274">
        <v>499.5</v>
      </c>
      <c r="J341">
        <v>536949.57999999996</v>
      </c>
      <c r="K341">
        <v>2998590.53</v>
      </c>
      <c r="L341">
        <v>1027207.64</v>
      </c>
      <c r="M341">
        <v>0</v>
      </c>
      <c r="N341">
        <v>4018142.78</v>
      </c>
      <c r="O341" s="274">
        <v>485849.45</v>
      </c>
      <c r="P341">
        <v>806664.58</v>
      </c>
      <c r="Q341">
        <v>230</v>
      </c>
      <c r="R341">
        <v>112.25</v>
      </c>
      <c r="S341">
        <v>82.25</v>
      </c>
      <c r="T341" s="274">
        <f t="shared" si="11"/>
        <v>424.5</v>
      </c>
      <c r="U341">
        <v>578620.13</v>
      </c>
      <c r="V341">
        <v>165.97</v>
      </c>
      <c r="W341">
        <v>98462.23</v>
      </c>
      <c r="X341">
        <v>218.72</v>
      </c>
      <c r="Y341">
        <v>14.93</v>
      </c>
      <c r="Z341">
        <v>0</v>
      </c>
      <c r="AA341">
        <v>2034368.65</v>
      </c>
      <c r="AB341">
        <v>138655.25</v>
      </c>
      <c r="AC341">
        <v>0</v>
      </c>
      <c r="AD341">
        <v>276207.09999999998</v>
      </c>
      <c r="AE341">
        <v>1460281.94</v>
      </c>
      <c r="AF341">
        <v>0</v>
      </c>
      <c r="AG341">
        <v>624658.43999999994</v>
      </c>
      <c r="AH341">
        <v>1.06</v>
      </c>
      <c r="AI341">
        <v>68937</v>
      </c>
      <c r="AJ341">
        <v>67585</v>
      </c>
      <c r="AK341">
        <v>100321</v>
      </c>
      <c r="AL341">
        <v>102327</v>
      </c>
      <c r="AM341">
        <v>48483</v>
      </c>
      <c r="AN341">
        <v>49453</v>
      </c>
      <c r="AO341">
        <v>1.1000000000000001</v>
      </c>
      <c r="AP341">
        <v>3591686.34</v>
      </c>
      <c r="AQ341">
        <v>211155.38</v>
      </c>
      <c r="AR341">
        <v>59.37</v>
      </c>
      <c r="AS341">
        <v>4.8578999999999997E-2</v>
      </c>
      <c r="AT341">
        <v>4.0270000000000002E-3</v>
      </c>
      <c r="AU341">
        <v>1.7100000000000001E-2</v>
      </c>
    </row>
    <row r="342" spans="1:47">
      <c r="A342" s="2" t="s">
        <v>547</v>
      </c>
      <c r="B342" s="2" t="s">
        <v>548</v>
      </c>
      <c r="C342">
        <v>9034.91</v>
      </c>
      <c r="D342">
        <v>1741.69</v>
      </c>
      <c r="E342">
        <v>15736016.76</v>
      </c>
      <c r="F342">
        <v>13.75</v>
      </c>
      <c r="G342">
        <v>134.25</v>
      </c>
      <c r="H342">
        <v>57</v>
      </c>
      <c r="I342" s="274">
        <v>205</v>
      </c>
      <c r="J342">
        <v>141672.25</v>
      </c>
      <c r="K342">
        <v>1208950.29</v>
      </c>
      <c r="L342">
        <v>506913.68</v>
      </c>
      <c r="M342">
        <v>0</v>
      </c>
      <c r="N342">
        <v>1713506.29</v>
      </c>
      <c r="O342" s="274">
        <v>207145.77000000002</v>
      </c>
      <c r="P342">
        <v>389631.95</v>
      </c>
      <c r="Q342">
        <v>133.5</v>
      </c>
      <c r="R342">
        <v>56</v>
      </c>
      <c r="S342">
        <v>24</v>
      </c>
      <c r="T342" s="274">
        <f t="shared" si="11"/>
        <v>213.5</v>
      </c>
      <c r="U342">
        <v>299197.48</v>
      </c>
      <c r="V342">
        <v>87.08</v>
      </c>
      <c r="W342">
        <v>51599.97</v>
      </c>
      <c r="X342">
        <v>61.67</v>
      </c>
      <c r="Y342">
        <v>0</v>
      </c>
      <c r="Z342">
        <v>0</v>
      </c>
      <c r="AA342">
        <v>573609.32999999996</v>
      </c>
      <c r="AB342">
        <v>0</v>
      </c>
      <c r="AC342">
        <v>0</v>
      </c>
      <c r="AD342">
        <v>288608.74</v>
      </c>
      <c r="AE342">
        <v>1004290.18</v>
      </c>
      <c r="AF342">
        <v>0</v>
      </c>
      <c r="AG342">
        <v>376854.93</v>
      </c>
      <c r="AH342">
        <v>1.06</v>
      </c>
      <c r="AI342">
        <v>68937</v>
      </c>
      <c r="AJ342">
        <v>67585</v>
      </c>
      <c r="AK342">
        <v>100321</v>
      </c>
      <c r="AL342">
        <v>102327</v>
      </c>
      <c r="AM342">
        <v>48483</v>
      </c>
      <c r="AN342">
        <v>49453</v>
      </c>
      <c r="AO342">
        <v>1.1200000000000001</v>
      </c>
      <c r="AP342">
        <v>1957045.97</v>
      </c>
      <c r="AQ342">
        <v>114039.84</v>
      </c>
      <c r="AR342">
        <v>30.218</v>
      </c>
      <c r="AS342">
        <v>4.8578999999999997E-2</v>
      </c>
      <c r="AT342">
        <v>4.0270000000000002E-3</v>
      </c>
      <c r="AU342">
        <v>1.7100000000000001E-2</v>
      </c>
    </row>
    <row r="343" spans="1:47">
      <c r="A343" s="2" t="s">
        <v>549</v>
      </c>
      <c r="B343" s="2" t="s">
        <v>550</v>
      </c>
      <c r="C343">
        <v>9161.92</v>
      </c>
      <c r="D343">
        <v>1801.72</v>
      </c>
      <c r="E343">
        <v>16507212.16</v>
      </c>
      <c r="F343">
        <v>26</v>
      </c>
      <c r="G343">
        <v>187.5</v>
      </c>
      <c r="H343">
        <v>88.25</v>
      </c>
      <c r="I343" s="274">
        <v>301.75</v>
      </c>
      <c r="J343">
        <v>272138.14</v>
      </c>
      <c r="K343">
        <v>1715332.89</v>
      </c>
      <c r="L343">
        <v>797309.8</v>
      </c>
      <c r="M343">
        <v>-295605.02</v>
      </c>
      <c r="N343">
        <v>2509768.96</v>
      </c>
      <c r="O343" s="274">
        <v>295336.73</v>
      </c>
      <c r="P343">
        <v>550903.5</v>
      </c>
      <c r="Q343">
        <v>162.25</v>
      </c>
      <c r="R343">
        <v>81.25</v>
      </c>
      <c r="S343">
        <v>37</v>
      </c>
      <c r="T343" s="274">
        <f t="shared" si="11"/>
        <v>280.5</v>
      </c>
      <c r="U343">
        <v>394672.89</v>
      </c>
      <c r="V343">
        <v>90.09</v>
      </c>
      <c r="W343">
        <v>53453.86</v>
      </c>
      <c r="X343">
        <v>74.8</v>
      </c>
      <c r="Y343">
        <v>12.82</v>
      </c>
      <c r="Z343">
        <v>0</v>
      </c>
      <c r="AA343">
        <v>695795.85</v>
      </c>
      <c r="AB343">
        <v>118975.05</v>
      </c>
      <c r="AC343">
        <v>0</v>
      </c>
      <c r="AD343">
        <v>189162.88</v>
      </c>
      <c r="AE343">
        <v>1292236.75</v>
      </c>
      <c r="AF343">
        <v>444933.95</v>
      </c>
      <c r="AG343">
        <v>633515.92000000004</v>
      </c>
      <c r="AH343">
        <v>1.06</v>
      </c>
      <c r="AI343">
        <v>68937</v>
      </c>
      <c r="AJ343">
        <v>67585</v>
      </c>
      <c r="AK343">
        <v>100321</v>
      </c>
      <c r="AL343">
        <v>102327</v>
      </c>
      <c r="AM343">
        <v>48483</v>
      </c>
      <c r="AN343">
        <v>49453</v>
      </c>
      <c r="AO343">
        <v>1.06</v>
      </c>
      <c r="AP343">
        <v>2339887.5699999998</v>
      </c>
      <c r="AQ343">
        <v>139387.64000000001</v>
      </c>
      <c r="AR343">
        <v>40.718000000000004</v>
      </c>
      <c r="AS343">
        <v>4.8578999999999997E-2</v>
      </c>
      <c r="AT343">
        <v>4.0270000000000002E-3</v>
      </c>
      <c r="AU343">
        <v>1.7100000000000001E-2</v>
      </c>
    </row>
    <row r="344" spans="1:47">
      <c r="A344" s="2" t="s">
        <v>551</v>
      </c>
      <c r="B344" s="2" t="s">
        <v>552</v>
      </c>
      <c r="C344">
        <v>9396.94</v>
      </c>
      <c r="D344">
        <v>1642.07</v>
      </c>
      <c r="E344">
        <v>15430428.49</v>
      </c>
      <c r="F344">
        <v>22.75</v>
      </c>
      <c r="G344">
        <v>207.75</v>
      </c>
      <c r="H344">
        <v>78</v>
      </c>
      <c r="I344" s="274">
        <v>308.5</v>
      </c>
      <c r="J344">
        <v>244299.67</v>
      </c>
      <c r="K344">
        <v>1949935.96</v>
      </c>
      <c r="L344">
        <v>723001.59</v>
      </c>
      <c r="M344">
        <v>-599106.68999999994</v>
      </c>
      <c r="N344">
        <v>2668270.64</v>
      </c>
      <c r="O344" s="274">
        <v>224042.54</v>
      </c>
      <c r="P344">
        <v>592141.75</v>
      </c>
      <c r="Q344">
        <v>51.25</v>
      </c>
      <c r="R344">
        <v>36</v>
      </c>
      <c r="S344">
        <v>17</v>
      </c>
      <c r="T344" s="274">
        <f t="shared" si="11"/>
        <v>104.25</v>
      </c>
      <c r="U344">
        <v>155740.54999999999</v>
      </c>
      <c r="V344">
        <v>82.1</v>
      </c>
      <c r="W344">
        <v>51156.45</v>
      </c>
      <c r="X344">
        <v>87.8</v>
      </c>
      <c r="Y344">
        <v>7.49</v>
      </c>
      <c r="Z344">
        <v>0</v>
      </c>
      <c r="AA344">
        <v>850068.21</v>
      </c>
      <c r="AB344">
        <v>72354.399999999994</v>
      </c>
      <c r="AC344">
        <v>0</v>
      </c>
      <c r="AD344">
        <v>238293.25</v>
      </c>
      <c r="AE344">
        <v>1708527.15</v>
      </c>
      <c r="AF344">
        <v>243344.59</v>
      </c>
      <c r="AG344">
        <v>624043.72</v>
      </c>
      <c r="AH344">
        <v>1.1200000000000001</v>
      </c>
      <c r="AI344">
        <v>68937</v>
      </c>
      <c r="AJ344">
        <v>67585</v>
      </c>
      <c r="AK344">
        <v>100321</v>
      </c>
      <c r="AL344">
        <v>102327</v>
      </c>
      <c r="AM344">
        <v>48483</v>
      </c>
      <c r="AN344">
        <v>49453</v>
      </c>
      <c r="AO344">
        <v>1.06</v>
      </c>
      <c r="AP344">
        <v>1965780.14</v>
      </c>
      <c r="AQ344">
        <v>120785.53</v>
      </c>
      <c r="AR344">
        <v>29.896000000000001</v>
      </c>
      <c r="AS344">
        <v>4.8578999999999997E-2</v>
      </c>
      <c r="AT344">
        <v>4.0270000000000002E-3</v>
      </c>
      <c r="AU344">
        <v>1.7100000000000001E-2</v>
      </c>
    </row>
    <row r="345" spans="1:47">
      <c r="A345" s="2" t="s">
        <v>1184</v>
      </c>
      <c r="B345" s="2" t="s">
        <v>1185</v>
      </c>
      <c r="C345">
        <v>0</v>
      </c>
      <c r="D345">
        <v>0</v>
      </c>
      <c r="E345">
        <v>0</v>
      </c>
      <c r="F345">
        <v>0</v>
      </c>
      <c r="G345">
        <v>0</v>
      </c>
      <c r="H345">
        <v>0</v>
      </c>
      <c r="I345" s="274">
        <v>0</v>
      </c>
      <c r="J345">
        <v>0</v>
      </c>
      <c r="K345">
        <v>0</v>
      </c>
      <c r="L345">
        <v>0</v>
      </c>
      <c r="M345">
        <v>0</v>
      </c>
      <c r="N345">
        <v>0</v>
      </c>
      <c r="O345" s="274">
        <v>0</v>
      </c>
      <c r="P345">
        <v>0</v>
      </c>
      <c r="Q345">
        <v>0</v>
      </c>
      <c r="R345">
        <v>0</v>
      </c>
      <c r="S345">
        <v>0</v>
      </c>
      <c r="T345" s="274">
        <f t="shared" si="11"/>
        <v>0</v>
      </c>
      <c r="U345">
        <v>0</v>
      </c>
      <c r="V345">
        <v>0</v>
      </c>
      <c r="W345">
        <v>0</v>
      </c>
      <c r="X345">
        <v>0</v>
      </c>
      <c r="Y345">
        <v>0</v>
      </c>
      <c r="Z345">
        <v>0</v>
      </c>
      <c r="AA345">
        <v>0</v>
      </c>
      <c r="AB345">
        <v>0</v>
      </c>
      <c r="AC345">
        <v>0</v>
      </c>
      <c r="AD345">
        <v>0</v>
      </c>
      <c r="AE345">
        <v>0</v>
      </c>
      <c r="AF345">
        <v>0</v>
      </c>
      <c r="AG345">
        <v>0</v>
      </c>
      <c r="AH345">
        <v>0</v>
      </c>
      <c r="AI345">
        <v>0</v>
      </c>
      <c r="AJ345">
        <v>0</v>
      </c>
      <c r="AK345">
        <v>100321</v>
      </c>
      <c r="AL345">
        <v>102327</v>
      </c>
      <c r="AM345">
        <v>48483</v>
      </c>
      <c r="AN345">
        <v>49453</v>
      </c>
      <c r="AO345">
        <v>1.06</v>
      </c>
      <c r="AP345">
        <v>0</v>
      </c>
      <c r="AQ345">
        <v>0</v>
      </c>
      <c r="AR345">
        <v>0</v>
      </c>
      <c r="AS345">
        <v>4.8578999999999997E-2</v>
      </c>
      <c r="AT345">
        <v>4.0270000000000002E-3</v>
      </c>
      <c r="AU345">
        <v>1.7100000000000001E-2</v>
      </c>
    </row>
    <row r="346" spans="1:47">
      <c r="A346" s="2" t="s">
        <v>1253</v>
      </c>
      <c r="B346" s="2" t="s">
        <v>1254</v>
      </c>
      <c r="C346">
        <v>29307.599999999999</v>
      </c>
      <c r="D346">
        <v>50</v>
      </c>
      <c r="E346">
        <v>1465380.08</v>
      </c>
      <c r="F346">
        <v>0</v>
      </c>
      <c r="G346">
        <v>6.75</v>
      </c>
      <c r="H346">
        <v>0</v>
      </c>
      <c r="I346" s="274">
        <v>6.75</v>
      </c>
      <c r="J346">
        <v>0</v>
      </c>
      <c r="K346">
        <v>59357.1</v>
      </c>
      <c r="L346">
        <v>0</v>
      </c>
      <c r="M346">
        <v>0</v>
      </c>
      <c r="N346">
        <v>59061.69</v>
      </c>
      <c r="O346" s="274">
        <v>5342.14</v>
      </c>
      <c r="P346">
        <v>13643.25</v>
      </c>
      <c r="Q346">
        <v>0</v>
      </c>
      <c r="R346">
        <v>2.5</v>
      </c>
      <c r="S346">
        <v>2.5</v>
      </c>
      <c r="T346" s="274">
        <f t="shared" si="11"/>
        <v>5</v>
      </c>
      <c r="U346">
        <v>0</v>
      </c>
      <c r="V346">
        <v>0</v>
      </c>
      <c r="W346">
        <v>0</v>
      </c>
      <c r="X346">
        <v>0</v>
      </c>
      <c r="Y346">
        <v>0</v>
      </c>
      <c r="Z346">
        <v>0</v>
      </c>
      <c r="AA346">
        <v>0</v>
      </c>
      <c r="AB346">
        <v>0</v>
      </c>
      <c r="AC346">
        <v>0</v>
      </c>
      <c r="AD346">
        <v>0</v>
      </c>
      <c r="AE346">
        <v>0</v>
      </c>
      <c r="AF346">
        <v>0</v>
      </c>
      <c r="AG346">
        <v>12984.89</v>
      </c>
      <c r="AH346">
        <v>1.1000000000000001</v>
      </c>
      <c r="AI346">
        <v>68937</v>
      </c>
      <c r="AJ346">
        <v>67585</v>
      </c>
      <c r="AK346">
        <v>100321</v>
      </c>
      <c r="AL346">
        <v>102327</v>
      </c>
      <c r="AM346">
        <v>48483</v>
      </c>
      <c r="AN346">
        <v>49453</v>
      </c>
      <c r="AO346">
        <v>1.1200000000000001</v>
      </c>
      <c r="AP346">
        <v>161308.32</v>
      </c>
      <c r="AQ346">
        <v>13886.52</v>
      </c>
      <c r="AR346">
        <v>0</v>
      </c>
      <c r="AS346">
        <v>4.8578999999999997E-2</v>
      </c>
      <c r="AT346">
        <v>4.0270000000000002E-3</v>
      </c>
      <c r="AU346">
        <v>1.7100000000000001E-2</v>
      </c>
    </row>
    <row r="347" spans="1:47">
      <c r="A347" s="2" t="s">
        <v>553</v>
      </c>
      <c r="B347" s="2" t="s">
        <v>554</v>
      </c>
      <c r="C347">
        <v>10908.2</v>
      </c>
      <c r="D347">
        <v>399.13</v>
      </c>
      <c r="E347">
        <v>4353788.8600000003</v>
      </c>
      <c r="F347">
        <v>14.25</v>
      </c>
      <c r="G347">
        <v>88.25</v>
      </c>
      <c r="H347">
        <v>23.75</v>
      </c>
      <c r="I347" s="274">
        <v>126.25</v>
      </c>
      <c r="J347">
        <v>152681.68</v>
      </c>
      <c r="K347">
        <v>826459.24</v>
      </c>
      <c r="L347">
        <v>219652.24</v>
      </c>
      <c r="M347">
        <v>-542814.80000000005</v>
      </c>
      <c r="N347">
        <v>1043499.52</v>
      </c>
      <c r="O347" s="274">
        <v>66650.42</v>
      </c>
      <c r="P347">
        <v>0</v>
      </c>
      <c r="Q347">
        <v>0</v>
      </c>
      <c r="R347">
        <v>0</v>
      </c>
      <c r="S347">
        <v>0</v>
      </c>
      <c r="T347" s="274">
        <f t="shared" si="11"/>
        <v>0</v>
      </c>
      <c r="U347">
        <v>0</v>
      </c>
      <c r="V347">
        <v>0</v>
      </c>
      <c r="W347">
        <v>0</v>
      </c>
      <c r="X347">
        <v>0</v>
      </c>
      <c r="Y347">
        <v>0</v>
      </c>
      <c r="Z347">
        <v>0</v>
      </c>
      <c r="AA347">
        <v>0</v>
      </c>
      <c r="AB347">
        <v>0</v>
      </c>
      <c r="AC347">
        <v>0</v>
      </c>
      <c r="AD347">
        <v>0</v>
      </c>
      <c r="AE347">
        <v>283188.21999999997</v>
      </c>
      <c r="AF347">
        <v>123888.51</v>
      </c>
      <c r="AG347">
        <v>250863.59</v>
      </c>
      <c r="AH347">
        <v>1.1000000000000001</v>
      </c>
      <c r="AI347">
        <v>68937</v>
      </c>
      <c r="AJ347">
        <v>67585</v>
      </c>
      <c r="AK347">
        <v>0</v>
      </c>
      <c r="AL347">
        <v>0</v>
      </c>
      <c r="AM347">
        <v>0</v>
      </c>
      <c r="AN347">
        <v>0</v>
      </c>
      <c r="AO347">
        <v>0</v>
      </c>
      <c r="AP347">
        <v>608888.17000000004</v>
      </c>
      <c r="AQ347">
        <v>39763.5</v>
      </c>
      <c r="AR347">
        <v>8.33</v>
      </c>
      <c r="AS347">
        <v>4.8578999999999997E-2</v>
      </c>
      <c r="AT347">
        <v>4.0270000000000002E-3</v>
      </c>
      <c r="AU347">
        <v>1.7100000000000001E-2</v>
      </c>
    </row>
    <row r="348" spans="1:47">
      <c r="A348" s="2" t="s">
        <v>1186</v>
      </c>
      <c r="B348" s="2" t="s">
        <v>1187</v>
      </c>
      <c r="C348">
        <v>0</v>
      </c>
      <c r="D348">
        <v>0</v>
      </c>
      <c r="E348">
        <v>0</v>
      </c>
      <c r="F348">
        <v>0</v>
      </c>
      <c r="G348">
        <v>0</v>
      </c>
      <c r="H348">
        <v>0</v>
      </c>
      <c r="I348" s="274">
        <v>0</v>
      </c>
      <c r="J348">
        <v>0</v>
      </c>
      <c r="K348">
        <v>0</v>
      </c>
      <c r="L348">
        <v>0</v>
      </c>
      <c r="M348">
        <v>0</v>
      </c>
      <c r="N348">
        <v>0</v>
      </c>
      <c r="O348" s="274">
        <v>0</v>
      </c>
      <c r="P348">
        <v>0</v>
      </c>
      <c r="Q348">
        <v>0</v>
      </c>
      <c r="R348">
        <v>0</v>
      </c>
      <c r="S348">
        <v>0</v>
      </c>
      <c r="T348" s="274">
        <f t="shared" si="11"/>
        <v>0</v>
      </c>
      <c r="U348">
        <v>0</v>
      </c>
      <c r="V348">
        <v>0</v>
      </c>
      <c r="W348">
        <v>0</v>
      </c>
      <c r="X348">
        <v>0</v>
      </c>
      <c r="Y348">
        <v>0</v>
      </c>
      <c r="Z348">
        <v>0</v>
      </c>
      <c r="AA348">
        <v>0</v>
      </c>
      <c r="AB348">
        <v>0</v>
      </c>
      <c r="AC348">
        <v>0</v>
      </c>
      <c r="AD348">
        <v>0</v>
      </c>
      <c r="AE348">
        <v>0</v>
      </c>
      <c r="AF348">
        <v>0</v>
      </c>
      <c r="AG348">
        <v>0</v>
      </c>
      <c r="AH348">
        <v>0</v>
      </c>
      <c r="AI348">
        <v>0</v>
      </c>
      <c r="AJ348">
        <v>0</v>
      </c>
      <c r="AK348">
        <v>100321</v>
      </c>
      <c r="AL348">
        <v>102327</v>
      </c>
      <c r="AM348">
        <v>48483</v>
      </c>
      <c r="AN348">
        <v>49453</v>
      </c>
      <c r="AO348">
        <v>1.1000000000000001</v>
      </c>
      <c r="AP348">
        <v>0</v>
      </c>
      <c r="AQ348">
        <v>0</v>
      </c>
      <c r="AR348">
        <v>0</v>
      </c>
      <c r="AS348">
        <v>4.8578999999999997E-2</v>
      </c>
      <c r="AT348">
        <v>4.0270000000000002E-3</v>
      </c>
      <c r="AU348">
        <v>1.7100000000000001E-2</v>
      </c>
    </row>
    <row r="349" spans="1:47">
      <c r="A349" s="2" t="s">
        <v>1188</v>
      </c>
      <c r="B349" s="2" t="s">
        <v>1189</v>
      </c>
      <c r="C349">
        <v>0</v>
      </c>
      <c r="D349">
        <v>0</v>
      </c>
      <c r="E349">
        <v>0</v>
      </c>
      <c r="F349">
        <v>0</v>
      </c>
      <c r="G349">
        <v>0</v>
      </c>
      <c r="H349">
        <v>0</v>
      </c>
      <c r="I349" s="274">
        <v>0</v>
      </c>
      <c r="J349">
        <v>0</v>
      </c>
      <c r="K349">
        <v>0</v>
      </c>
      <c r="L349">
        <v>0</v>
      </c>
      <c r="M349">
        <v>0</v>
      </c>
      <c r="N349">
        <v>0</v>
      </c>
      <c r="O349" s="274">
        <v>0</v>
      </c>
      <c r="P349">
        <v>0</v>
      </c>
      <c r="Q349">
        <v>0</v>
      </c>
      <c r="R349">
        <v>0</v>
      </c>
      <c r="S349">
        <v>0</v>
      </c>
      <c r="T349" s="274">
        <f t="shared" si="11"/>
        <v>0</v>
      </c>
      <c r="U349">
        <v>0</v>
      </c>
      <c r="V349">
        <v>0</v>
      </c>
      <c r="W349">
        <v>0</v>
      </c>
      <c r="X349">
        <v>0</v>
      </c>
      <c r="Y349">
        <v>0</v>
      </c>
      <c r="Z349">
        <v>0</v>
      </c>
      <c r="AA349">
        <v>0</v>
      </c>
      <c r="AB349">
        <v>0</v>
      </c>
      <c r="AC349">
        <v>0</v>
      </c>
      <c r="AD349">
        <v>0</v>
      </c>
      <c r="AE349">
        <v>0</v>
      </c>
      <c r="AF349">
        <v>0</v>
      </c>
      <c r="AG349">
        <v>0</v>
      </c>
      <c r="AH349">
        <v>0</v>
      </c>
      <c r="AI349">
        <v>0</v>
      </c>
      <c r="AJ349">
        <v>0</v>
      </c>
      <c r="AK349">
        <v>100321</v>
      </c>
      <c r="AL349">
        <v>102327</v>
      </c>
      <c r="AM349">
        <v>48483</v>
      </c>
      <c r="AN349">
        <v>49453</v>
      </c>
      <c r="AO349">
        <v>1.1000000000000001</v>
      </c>
      <c r="AP349">
        <v>0</v>
      </c>
      <c r="AQ349">
        <v>0</v>
      </c>
      <c r="AR349">
        <v>0</v>
      </c>
      <c r="AS349">
        <v>4.8578999999999997E-2</v>
      </c>
      <c r="AT349">
        <v>4.0270000000000002E-3</v>
      </c>
      <c r="AU349">
        <v>1.7100000000000001E-2</v>
      </c>
    </row>
    <row r="350" spans="1:47">
      <c r="A350" s="2" t="s">
        <v>555</v>
      </c>
      <c r="B350" s="2" t="s">
        <v>556</v>
      </c>
      <c r="C350">
        <v>24766.9</v>
      </c>
      <c r="D350">
        <v>79.400000000000006</v>
      </c>
      <c r="E350">
        <v>1966491.9</v>
      </c>
      <c r="F350">
        <v>2</v>
      </c>
      <c r="G350">
        <v>8.5</v>
      </c>
      <c r="H350">
        <v>2</v>
      </c>
      <c r="I350" s="274">
        <v>12.5</v>
      </c>
      <c r="J350">
        <v>20543.55</v>
      </c>
      <c r="K350">
        <v>76318.61</v>
      </c>
      <c r="L350">
        <v>17734.02</v>
      </c>
      <c r="M350">
        <v>0</v>
      </c>
      <c r="N350">
        <v>93785.79</v>
      </c>
      <c r="O350" s="274">
        <v>8195.26</v>
      </c>
      <c r="P350">
        <v>11979.55</v>
      </c>
      <c r="Q350">
        <v>0</v>
      </c>
      <c r="R350">
        <v>0</v>
      </c>
      <c r="S350">
        <v>0</v>
      </c>
      <c r="T350" s="274">
        <f t="shared" si="11"/>
        <v>0</v>
      </c>
      <c r="U350">
        <v>0</v>
      </c>
      <c r="V350">
        <v>3.97</v>
      </c>
      <c r="W350">
        <v>2328.9</v>
      </c>
      <c r="X350">
        <v>3.74</v>
      </c>
      <c r="Y350">
        <v>0</v>
      </c>
      <c r="Z350">
        <v>0</v>
      </c>
      <c r="AA350">
        <v>34051.71</v>
      </c>
      <c r="AB350">
        <v>0</v>
      </c>
      <c r="AC350">
        <v>0</v>
      </c>
      <c r="AD350">
        <v>59697.2</v>
      </c>
      <c r="AE350">
        <v>236759.56</v>
      </c>
      <c r="AF350">
        <v>0</v>
      </c>
      <c r="AG350">
        <v>20048.88</v>
      </c>
      <c r="AH350">
        <v>1</v>
      </c>
      <c r="AI350">
        <v>68937</v>
      </c>
      <c r="AJ350">
        <v>67585</v>
      </c>
      <c r="AK350">
        <v>0</v>
      </c>
      <c r="AL350">
        <v>0</v>
      </c>
      <c r="AM350">
        <v>0</v>
      </c>
      <c r="AN350">
        <v>0</v>
      </c>
      <c r="AO350">
        <v>0</v>
      </c>
      <c r="AP350">
        <v>215232.95</v>
      </c>
      <c r="AQ350">
        <v>18240.09</v>
      </c>
      <c r="AR350">
        <v>1.766</v>
      </c>
      <c r="AS350">
        <v>4.8578999999999997E-2</v>
      </c>
      <c r="AT350">
        <v>4.0270000000000002E-3</v>
      </c>
      <c r="AU350">
        <v>1.7100000000000001E-2</v>
      </c>
    </row>
    <row r="351" spans="1:47">
      <c r="A351" s="2" t="s">
        <v>557</v>
      </c>
      <c r="B351" s="2" t="s">
        <v>558</v>
      </c>
      <c r="C351">
        <v>15957.48</v>
      </c>
      <c r="D351">
        <v>36.799999999999997</v>
      </c>
      <c r="E351">
        <v>587235.23</v>
      </c>
      <c r="F351">
        <v>0</v>
      </c>
      <c r="G351">
        <v>3.75</v>
      </c>
      <c r="H351">
        <v>4.25</v>
      </c>
      <c r="I351" s="274">
        <v>8</v>
      </c>
      <c r="J351">
        <v>0</v>
      </c>
      <c r="K351">
        <v>29198.93</v>
      </c>
      <c r="L351">
        <v>32680.43</v>
      </c>
      <c r="M351">
        <v>-23453.81</v>
      </c>
      <c r="N351">
        <v>61997.04</v>
      </c>
      <c r="O351" s="274">
        <v>4229.6000000000004</v>
      </c>
      <c r="P351">
        <v>11075.21</v>
      </c>
      <c r="Q351">
        <v>0</v>
      </c>
      <c r="R351">
        <v>0</v>
      </c>
      <c r="S351">
        <v>0</v>
      </c>
      <c r="T351" s="274">
        <f t="shared" si="11"/>
        <v>0</v>
      </c>
      <c r="U351">
        <v>0</v>
      </c>
      <c r="V351">
        <v>1.84</v>
      </c>
      <c r="W351">
        <v>1076.19</v>
      </c>
      <c r="X351">
        <v>0</v>
      </c>
      <c r="Y351">
        <v>0</v>
      </c>
      <c r="Z351">
        <v>0</v>
      </c>
      <c r="AA351">
        <v>0</v>
      </c>
      <c r="AB351">
        <v>0</v>
      </c>
      <c r="AC351">
        <v>0</v>
      </c>
      <c r="AD351">
        <v>30846.7</v>
      </c>
      <c r="AE351">
        <v>83035.460000000006</v>
      </c>
      <c r="AF351">
        <v>11838.01</v>
      </c>
      <c r="AG351">
        <v>13305.53</v>
      </c>
      <c r="AH351">
        <v>1</v>
      </c>
      <c r="AI351">
        <v>68937</v>
      </c>
      <c r="AJ351">
        <v>67585</v>
      </c>
      <c r="AK351">
        <v>0</v>
      </c>
      <c r="AL351">
        <v>0</v>
      </c>
      <c r="AM351">
        <v>0</v>
      </c>
      <c r="AN351">
        <v>0</v>
      </c>
      <c r="AO351">
        <v>0</v>
      </c>
      <c r="AP351">
        <v>76022.720000000001</v>
      </c>
      <c r="AQ351">
        <v>5159.8900000000003</v>
      </c>
      <c r="AR351">
        <v>0</v>
      </c>
      <c r="AS351">
        <v>4.8578999999999997E-2</v>
      </c>
      <c r="AT351">
        <v>4.0270000000000002E-3</v>
      </c>
      <c r="AU351">
        <v>1.7100000000000001E-2</v>
      </c>
    </row>
    <row r="352" spans="1:47">
      <c r="A352" s="2" t="s">
        <v>559</v>
      </c>
      <c r="B352" s="2" t="s">
        <v>560</v>
      </c>
      <c r="C352">
        <v>13650.45</v>
      </c>
      <c r="D352">
        <v>192.06</v>
      </c>
      <c r="E352">
        <v>2621706.2799999998</v>
      </c>
      <c r="F352">
        <v>3</v>
      </c>
      <c r="G352">
        <v>28.25</v>
      </c>
      <c r="H352">
        <v>9</v>
      </c>
      <c r="I352" s="274">
        <v>40.25</v>
      </c>
      <c r="J352">
        <v>30500.1</v>
      </c>
      <c r="K352">
        <v>251064.94</v>
      </c>
      <c r="L352">
        <v>78990.720000000001</v>
      </c>
      <c r="M352">
        <v>-100259.3</v>
      </c>
      <c r="N352">
        <v>329312.71999999997</v>
      </c>
      <c r="O352" s="274">
        <v>26103.78</v>
      </c>
      <c r="P352">
        <v>63328.3</v>
      </c>
      <c r="Q352">
        <v>0</v>
      </c>
      <c r="R352">
        <v>0</v>
      </c>
      <c r="S352">
        <v>0</v>
      </c>
      <c r="T352" s="274">
        <f t="shared" si="11"/>
        <v>0</v>
      </c>
      <c r="U352">
        <v>0</v>
      </c>
      <c r="V352">
        <v>0</v>
      </c>
      <c r="W352">
        <v>0</v>
      </c>
      <c r="X352">
        <v>21.49</v>
      </c>
      <c r="Y352">
        <v>3.3</v>
      </c>
      <c r="Z352">
        <v>0</v>
      </c>
      <c r="AA352">
        <v>195811.83</v>
      </c>
      <c r="AB352">
        <v>30016.880000000001</v>
      </c>
      <c r="AC352">
        <v>0</v>
      </c>
      <c r="AD352">
        <v>40301.47</v>
      </c>
      <c r="AE352">
        <v>143962.63</v>
      </c>
      <c r="AF352">
        <v>50425.95</v>
      </c>
      <c r="AG352">
        <v>70576.08</v>
      </c>
      <c r="AH352">
        <v>1</v>
      </c>
      <c r="AI352">
        <v>68937</v>
      </c>
      <c r="AJ352">
        <v>67585</v>
      </c>
      <c r="AK352">
        <v>100321</v>
      </c>
      <c r="AL352">
        <v>102327</v>
      </c>
      <c r="AM352">
        <v>48483</v>
      </c>
      <c r="AN352">
        <v>49453</v>
      </c>
      <c r="AO352">
        <v>1</v>
      </c>
      <c r="AP352">
        <v>297284.2</v>
      </c>
      <c r="AQ352">
        <v>21459.279999999999</v>
      </c>
      <c r="AR352">
        <v>3.7679999999999998</v>
      </c>
      <c r="AS352">
        <v>4.8578999999999997E-2</v>
      </c>
      <c r="AT352">
        <v>4.0270000000000002E-3</v>
      </c>
      <c r="AU352">
        <v>1.7100000000000001E-2</v>
      </c>
    </row>
    <row r="353" spans="1:47">
      <c r="A353" s="2" t="s">
        <v>561</v>
      </c>
      <c r="B353" s="2" t="s">
        <v>562</v>
      </c>
      <c r="C353">
        <v>8748.1</v>
      </c>
      <c r="D353">
        <v>2617.0100000000002</v>
      </c>
      <c r="E353">
        <v>22893854.210000001</v>
      </c>
      <c r="F353">
        <v>40</v>
      </c>
      <c r="G353">
        <v>236.75</v>
      </c>
      <c r="H353">
        <v>80.25</v>
      </c>
      <c r="I353" s="274">
        <v>357</v>
      </c>
      <c r="J353">
        <v>398554.12</v>
      </c>
      <c r="K353">
        <v>2061574.41</v>
      </c>
      <c r="L353">
        <v>690110.59</v>
      </c>
      <c r="M353">
        <v>0</v>
      </c>
      <c r="N353">
        <v>2746557.74</v>
      </c>
      <c r="O353" s="274">
        <v>321764.46999999997</v>
      </c>
      <c r="P353">
        <v>491496.46</v>
      </c>
      <c r="Q353">
        <v>93.5</v>
      </c>
      <c r="R353">
        <v>27.75</v>
      </c>
      <c r="S353">
        <v>42.75</v>
      </c>
      <c r="T353" s="274">
        <f t="shared" si="11"/>
        <v>164</v>
      </c>
      <c r="U353">
        <v>199093.79</v>
      </c>
      <c r="V353">
        <v>130.85</v>
      </c>
      <c r="W353">
        <v>73669.58</v>
      </c>
      <c r="X353">
        <v>131.38</v>
      </c>
      <c r="Y353">
        <v>44.01</v>
      </c>
      <c r="Z353">
        <v>0</v>
      </c>
      <c r="AA353">
        <v>1172327.81</v>
      </c>
      <c r="AB353">
        <v>392098.7</v>
      </c>
      <c r="AC353">
        <v>0</v>
      </c>
      <c r="AD353">
        <v>159788.74</v>
      </c>
      <c r="AE353">
        <v>1129589.51</v>
      </c>
      <c r="AF353">
        <v>0</v>
      </c>
      <c r="AG353">
        <v>441234.86</v>
      </c>
      <c r="AH353">
        <v>1</v>
      </c>
      <c r="AI353">
        <v>68937</v>
      </c>
      <c r="AJ353">
        <v>67585</v>
      </c>
      <c r="AK353">
        <v>100321</v>
      </c>
      <c r="AL353">
        <v>102327</v>
      </c>
      <c r="AM353">
        <v>48483</v>
      </c>
      <c r="AN353">
        <v>49453</v>
      </c>
      <c r="AO353">
        <v>1</v>
      </c>
      <c r="AP353">
        <v>3362704.01</v>
      </c>
      <c r="AQ353">
        <v>184997.02</v>
      </c>
      <c r="AR353">
        <v>52.927</v>
      </c>
      <c r="AS353">
        <v>4.8578999999999997E-2</v>
      </c>
      <c r="AT353">
        <v>4.0270000000000002E-3</v>
      </c>
      <c r="AU353">
        <v>1.7100000000000001E-2</v>
      </c>
    </row>
    <row r="354" spans="1:47">
      <c r="A354" s="2" t="s">
        <v>563</v>
      </c>
      <c r="B354" s="2" t="s">
        <v>564</v>
      </c>
      <c r="C354">
        <v>9497.2900000000009</v>
      </c>
      <c r="D354">
        <v>518.04999999999995</v>
      </c>
      <c r="E354">
        <v>4920072.24</v>
      </c>
      <c r="F354">
        <v>6</v>
      </c>
      <c r="G354">
        <v>50</v>
      </c>
      <c r="H354">
        <v>27.75</v>
      </c>
      <c r="I354" s="274">
        <v>83.75</v>
      </c>
      <c r="J354">
        <v>59173.78</v>
      </c>
      <c r="K354">
        <v>430995.47</v>
      </c>
      <c r="L354">
        <v>236227.71</v>
      </c>
      <c r="M354">
        <v>-67122.39</v>
      </c>
      <c r="N354">
        <v>666777</v>
      </c>
      <c r="O354" s="274">
        <v>69351.790000000008</v>
      </c>
      <c r="P354">
        <v>130873.59</v>
      </c>
      <c r="Q354">
        <v>0</v>
      </c>
      <c r="R354">
        <v>0</v>
      </c>
      <c r="S354">
        <v>0</v>
      </c>
      <c r="T354" s="274">
        <f t="shared" si="11"/>
        <v>0</v>
      </c>
      <c r="U354">
        <v>0</v>
      </c>
      <c r="V354">
        <v>25.9</v>
      </c>
      <c r="W354">
        <v>14577.38</v>
      </c>
      <c r="X354">
        <v>49.3</v>
      </c>
      <c r="Y354">
        <v>6.88</v>
      </c>
      <c r="Z354">
        <v>0</v>
      </c>
      <c r="AA354">
        <v>439860.91</v>
      </c>
      <c r="AB354">
        <v>61330.28</v>
      </c>
      <c r="AC354">
        <v>0</v>
      </c>
      <c r="AD354">
        <v>120164.11</v>
      </c>
      <c r="AE354">
        <v>514909.19</v>
      </c>
      <c r="AF354">
        <v>0</v>
      </c>
      <c r="AG354">
        <v>93138.7</v>
      </c>
      <c r="AH354">
        <v>1</v>
      </c>
      <c r="AI354">
        <v>68937</v>
      </c>
      <c r="AJ354">
        <v>67585</v>
      </c>
      <c r="AK354">
        <v>100321</v>
      </c>
      <c r="AL354">
        <v>102327</v>
      </c>
      <c r="AM354">
        <v>48483</v>
      </c>
      <c r="AN354">
        <v>49453</v>
      </c>
      <c r="AO354">
        <v>1</v>
      </c>
      <c r="AP354">
        <v>684815.86</v>
      </c>
      <c r="AQ354">
        <v>39029.42</v>
      </c>
      <c r="AR354">
        <v>9.24</v>
      </c>
      <c r="AS354">
        <v>4.8578999999999997E-2</v>
      </c>
      <c r="AT354">
        <v>4.0270000000000002E-3</v>
      </c>
      <c r="AU354">
        <v>1.7100000000000001E-2</v>
      </c>
    </row>
    <row r="355" spans="1:47">
      <c r="A355" s="2" t="s">
        <v>565</v>
      </c>
      <c r="B355" s="2" t="s">
        <v>566</v>
      </c>
      <c r="C355">
        <v>15089.73</v>
      </c>
      <c r="D355">
        <v>152.88999999999999</v>
      </c>
      <c r="E355">
        <v>2307068.06</v>
      </c>
      <c r="F355">
        <v>0</v>
      </c>
      <c r="G355">
        <v>14.5</v>
      </c>
      <c r="H355">
        <v>4</v>
      </c>
      <c r="I355" s="274">
        <v>18.5</v>
      </c>
      <c r="J355">
        <v>0</v>
      </c>
      <c r="K355">
        <v>127152.14</v>
      </c>
      <c r="L355">
        <v>34640.230000000003</v>
      </c>
      <c r="M355">
        <v>0</v>
      </c>
      <c r="N355">
        <v>161402.14000000001</v>
      </c>
      <c r="O355" s="274">
        <v>17041.3</v>
      </c>
      <c r="P355">
        <v>23360.51</v>
      </c>
      <c r="Q355">
        <v>0</v>
      </c>
      <c r="R355">
        <v>0</v>
      </c>
      <c r="S355">
        <v>0</v>
      </c>
      <c r="T355" s="274">
        <f t="shared" si="11"/>
        <v>0</v>
      </c>
      <c r="U355">
        <v>0</v>
      </c>
      <c r="V355">
        <v>0</v>
      </c>
      <c r="W355">
        <v>0</v>
      </c>
      <c r="X355">
        <v>9.6</v>
      </c>
      <c r="Y355">
        <v>0</v>
      </c>
      <c r="Z355">
        <v>0</v>
      </c>
      <c r="AA355">
        <v>85685.5</v>
      </c>
      <c r="AB355">
        <v>0</v>
      </c>
      <c r="AC355">
        <v>0</v>
      </c>
      <c r="AD355">
        <v>0</v>
      </c>
      <c r="AE355">
        <v>0</v>
      </c>
      <c r="AF355">
        <v>0</v>
      </c>
      <c r="AG355">
        <v>29350.45</v>
      </c>
      <c r="AH355">
        <v>1</v>
      </c>
      <c r="AI355">
        <v>68937</v>
      </c>
      <c r="AJ355">
        <v>67585</v>
      </c>
      <c r="AK355">
        <v>100321</v>
      </c>
      <c r="AL355">
        <v>102327</v>
      </c>
      <c r="AM355">
        <v>48483</v>
      </c>
      <c r="AN355">
        <v>49453</v>
      </c>
      <c r="AO355">
        <v>1</v>
      </c>
      <c r="AP355">
        <v>284513.46999999997</v>
      </c>
      <c r="AQ355">
        <v>20328.169999999998</v>
      </c>
      <c r="AR355">
        <v>3.3359999999999999</v>
      </c>
      <c r="AS355">
        <v>4.8578999999999997E-2</v>
      </c>
      <c r="AT355">
        <v>4.0270000000000002E-3</v>
      </c>
      <c r="AU355">
        <v>1.7100000000000001E-2</v>
      </c>
    </row>
    <row r="356" spans="1:47">
      <c r="A356" s="2" t="s">
        <v>567</v>
      </c>
      <c r="B356" s="2" t="s">
        <v>568</v>
      </c>
      <c r="C356">
        <v>19791.72</v>
      </c>
      <c r="D356">
        <v>105.26</v>
      </c>
      <c r="E356">
        <v>2083276.09</v>
      </c>
      <c r="F356">
        <v>1</v>
      </c>
      <c r="G356">
        <v>11</v>
      </c>
      <c r="H356">
        <v>2.5</v>
      </c>
      <c r="I356" s="274">
        <v>14.5</v>
      </c>
      <c r="J356">
        <v>10084.89</v>
      </c>
      <c r="K356">
        <v>96947.08</v>
      </c>
      <c r="L356">
        <v>21759.38</v>
      </c>
      <c r="M356">
        <v>0</v>
      </c>
      <c r="N356">
        <v>118387.85</v>
      </c>
      <c r="O356" s="274">
        <v>13411.68</v>
      </c>
      <c r="P356">
        <v>14925.11</v>
      </c>
      <c r="Q356">
        <v>0</v>
      </c>
      <c r="R356">
        <v>0</v>
      </c>
      <c r="S356">
        <v>0</v>
      </c>
      <c r="T356" s="274">
        <f t="shared" si="11"/>
        <v>0</v>
      </c>
      <c r="U356">
        <v>0</v>
      </c>
      <c r="V356">
        <v>0</v>
      </c>
      <c r="W356">
        <v>0</v>
      </c>
      <c r="X356">
        <v>4.87</v>
      </c>
      <c r="Y356">
        <v>0</v>
      </c>
      <c r="Z356">
        <v>0</v>
      </c>
      <c r="AA356">
        <v>43570.44</v>
      </c>
      <c r="AB356">
        <v>0</v>
      </c>
      <c r="AC356">
        <v>0</v>
      </c>
      <c r="AD356">
        <v>88119.1</v>
      </c>
      <c r="AE356">
        <v>246132.92</v>
      </c>
      <c r="AF356">
        <v>8511.6299999999992</v>
      </c>
      <c r="AG356">
        <v>29448.26</v>
      </c>
      <c r="AH356">
        <v>1</v>
      </c>
      <c r="AI356">
        <v>68937</v>
      </c>
      <c r="AJ356">
        <v>67585</v>
      </c>
      <c r="AK356">
        <v>100321</v>
      </c>
      <c r="AL356">
        <v>102327</v>
      </c>
      <c r="AM356">
        <v>48483</v>
      </c>
      <c r="AN356">
        <v>49453</v>
      </c>
      <c r="AO356">
        <v>1</v>
      </c>
      <c r="AP356">
        <v>237841.76</v>
      </c>
      <c r="AQ356">
        <v>18781.189999999999</v>
      </c>
      <c r="AR356">
        <v>2.5270000000000001</v>
      </c>
      <c r="AS356">
        <v>4.8578999999999997E-2</v>
      </c>
      <c r="AT356">
        <v>4.0270000000000002E-3</v>
      </c>
      <c r="AU356">
        <v>1.7100000000000001E-2</v>
      </c>
    </row>
    <row r="357" spans="1:47">
      <c r="A357" s="2" t="s">
        <v>569</v>
      </c>
      <c r="B357" s="2" t="s">
        <v>570</v>
      </c>
      <c r="C357">
        <v>14805.53</v>
      </c>
      <c r="D357">
        <v>38.6</v>
      </c>
      <c r="E357">
        <v>571493.38</v>
      </c>
      <c r="F357">
        <v>1</v>
      </c>
      <c r="G357">
        <v>5.5</v>
      </c>
      <c r="H357">
        <v>0.25</v>
      </c>
      <c r="I357" s="274">
        <v>6.75</v>
      </c>
      <c r="J357">
        <v>10381.43</v>
      </c>
      <c r="K357">
        <v>49911.87</v>
      </c>
      <c r="L357">
        <v>2240.5100000000002</v>
      </c>
      <c r="M357">
        <v>-4900.22</v>
      </c>
      <c r="N357">
        <v>51907.15</v>
      </c>
      <c r="O357" s="274">
        <v>5219.5</v>
      </c>
      <c r="P357">
        <v>3859.02</v>
      </c>
      <c r="Q357">
        <v>0</v>
      </c>
      <c r="R357">
        <v>0</v>
      </c>
      <c r="S357">
        <v>0</v>
      </c>
      <c r="T357" s="274">
        <f t="shared" si="11"/>
        <v>0</v>
      </c>
      <c r="U357">
        <v>0</v>
      </c>
      <c r="V357">
        <v>0</v>
      </c>
      <c r="W357">
        <v>0</v>
      </c>
      <c r="X357">
        <v>0</v>
      </c>
      <c r="Y357">
        <v>0</v>
      </c>
      <c r="Z357">
        <v>0</v>
      </c>
      <c r="AA357">
        <v>0</v>
      </c>
      <c r="AB357">
        <v>0</v>
      </c>
      <c r="AC357">
        <v>0</v>
      </c>
      <c r="AD357">
        <v>15097.11</v>
      </c>
      <c r="AE357">
        <v>86848.92</v>
      </c>
      <c r="AF357">
        <v>0</v>
      </c>
      <c r="AG357">
        <v>0</v>
      </c>
      <c r="AH357">
        <v>1</v>
      </c>
      <c r="AI357">
        <v>68937</v>
      </c>
      <c r="AJ357">
        <v>67585</v>
      </c>
      <c r="AK357">
        <v>100321</v>
      </c>
      <c r="AL357">
        <v>102327</v>
      </c>
      <c r="AM357">
        <v>48483</v>
      </c>
      <c r="AN357">
        <v>49453</v>
      </c>
      <c r="AO357">
        <v>1</v>
      </c>
      <c r="AP357">
        <v>71324.92</v>
      </c>
      <c r="AQ357">
        <v>5158.4799999999996</v>
      </c>
      <c r="AR357">
        <v>1.2909999999999999</v>
      </c>
      <c r="AS357">
        <v>4.8578999999999997E-2</v>
      </c>
      <c r="AT357">
        <v>4.0270000000000002E-3</v>
      </c>
      <c r="AU357">
        <v>1.7100000000000001E-2</v>
      </c>
    </row>
    <row r="358" spans="1:47">
      <c r="A358" s="2" t="s">
        <v>571</v>
      </c>
      <c r="B358" s="2" t="s">
        <v>572</v>
      </c>
      <c r="C358">
        <v>15977.27</v>
      </c>
      <c r="D358">
        <v>158.57</v>
      </c>
      <c r="E358">
        <v>2533515.0299999998</v>
      </c>
      <c r="F358">
        <v>0.5</v>
      </c>
      <c r="G358">
        <v>27.75</v>
      </c>
      <c r="H358">
        <v>1.5</v>
      </c>
      <c r="I358" s="274">
        <v>29.75</v>
      </c>
      <c r="J358">
        <v>5232.26</v>
      </c>
      <c r="K358">
        <v>253805.58</v>
      </c>
      <c r="L358">
        <v>13548.6</v>
      </c>
      <c r="M358">
        <v>-71729.17</v>
      </c>
      <c r="N358">
        <v>266163.01</v>
      </c>
      <c r="O358" s="274">
        <v>18010.350000000002</v>
      </c>
      <c r="P358">
        <v>22124.05</v>
      </c>
      <c r="Q358">
        <v>0</v>
      </c>
      <c r="R358">
        <v>0</v>
      </c>
      <c r="S358">
        <v>0</v>
      </c>
      <c r="T358" s="274">
        <f t="shared" si="11"/>
        <v>0</v>
      </c>
      <c r="U358">
        <v>0</v>
      </c>
      <c r="V358">
        <v>0</v>
      </c>
      <c r="W358">
        <v>0</v>
      </c>
      <c r="X358">
        <v>9.4600000000000009</v>
      </c>
      <c r="Y358">
        <v>0</v>
      </c>
      <c r="Z358">
        <v>0</v>
      </c>
      <c r="AA358">
        <v>86272.24</v>
      </c>
      <c r="AB358">
        <v>0</v>
      </c>
      <c r="AC358">
        <v>0</v>
      </c>
      <c r="AD358">
        <v>32839.980000000003</v>
      </c>
      <c r="AE358">
        <v>161692.19</v>
      </c>
      <c r="AF358">
        <v>0</v>
      </c>
      <c r="AG358">
        <v>31389.65</v>
      </c>
      <c r="AH358">
        <v>1</v>
      </c>
      <c r="AI358">
        <v>68937</v>
      </c>
      <c r="AJ358">
        <v>67585</v>
      </c>
      <c r="AK358">
        <v>100321</v>
      </c>
      <c r="AL358">
        <v>102327</v>
      </c>
      <c r="AM358">
        <v>48483</v>
      </c>
      <c r="AN358">
        <v>49453</v>
      </c>
      <c r="AO358">
        <v>1</v>
      </c>
      <c r="AP358">
        <v>298939.49</v>
      </c>
      <c r="AQ358">
        <v>22976.25</v>
      </c>
      <c r="AR358">
        <v>4.375</v>
      </c>
      <c r="AS358">
        <v>4.8578999999999997E-2</v>
      </c>
      <c r="AT358">
        <v>4.0270000000000002E-3</v>
      </c>
      <c r="AU358">
        <v>1.7100000000000001E-2</v>
      </c>
    </row>
    <row r="359" spans="1:47">
      <c r="A359" s="2" t="s">
        <v>573</v>
      </c>
      <c r="B359" s="2" t="s">
        <v>574</v>
      </c>
      <c r="C359">
        <v>25842.38</v>
      </c>
      <c r="D359">
        <v>74.680000000000007</v>
      </c>
      <c r="E359">
        <v>1929908.57</v>
      </c>
      <c r="F359">
        <v>1</v>
      </c>
      <c r="G359">
        <v>5.25</v>
      </c>
      <c r="H359">
        <v>4</v>
      </c>
      <c r="I359" s="274">
        <v>10.25</v>
      </c>
      <c r="J359">
        <v>9870.59</v>
      </c>
      <c r="K359">
        <v>45280.85</v>
      </c>
      <c r="L359">
        <v>34070.54</v>
      </c>
      <c r="M359">
        <v>0</v>
      </c>
      <c r="N359">
        <v>79393.86</v>
      </c>
      <c r="O359" s="274">
        <v>10096.960000000001</v>
      </c>
      <c r="P359">
        <v>8341.01</v>
      </c>
      <c r="Q359">
        <v>0</v>
      </c>
      <c r="R359">
        <v>0</v>
      </c>
      <c r="S359">
        <v>0</v>
      </c>
      <c r="T359" s="274">
        <f t="shared" si="11"/>
        <v>0</v>
      </c>
      <c r="U359">
        <v>0</v>
      </c>
      <c r="V359">
        <v>3.73</v>
      </c>
      <c r="W359">
        <v>2054.54</v>
      </c>
      <c r="X359">
        <v>0</v>
      </c>
      <c r="Y359">
        <v>0</v>
      </c>
      <c r="Z359">
        <v>0</v>
      </c>
      <c r="AA359">
        <v>0</v>
      </c>
      <c r="AB359">
        <v>0</v>
      </c>
      <c r="AC359">
        <v>0</v>
      </c>
      <c r="AD359">
        <v>56621.94</v>
      </c>
      <c r="AE359">
        <v>230632</v>
      </c>
      <c r="AF359">
        <v>22893.34</v>
      </c>
      <c r="AG359">
        <v>30230.95</v>
      </c>
      <c r="AH359">
        <v>1</v>
      </c>
      <c r="AI359">
        <v>68937</v>
      </c>
      <c r="AJ359">
        <v>67585</v>
      </c>
      <c r="AK359">
        <v>100321</v>
      </c>
      <c r="AL359">
        <v>102327</v>
      </c>
      <c r="AM359">
        <v>48483</v>
      </c>
      <c r="AN359">
        <v>49453</v>
      </c>
      <c r="AO359">
        <v>1</v>
      </c>
      <c r="AP359">
        <v>215889.77</v>
      </c>
      <c r="AQ359">
        <v>17781.189999999999</v>
      </c>
      <c r="AR359">
        <v>1.427</v>
      </c>
      <c r="AS359">
        <v>4.8578999999999997E-2</v>
      </c>
      <c r="AT359">
        <v>4.0270000000000002E-3</v>
      </c>
      <c r="AU359">
        <v>1.7100000000000001E-2</v>
      </c>
    </row>
    <row r="360" spans="1:47">
      <c r="A360" s="2" t="s">
        <v>575</v>
      </c>
      <c r="B360" s="2" t="s">
        <v>576</v>
      </c>
      <c r="C360">
        <v>15722.8</v>
      </c>
      <c r="D360">
        <v>153.38</v>
      </c>
      <c r="E360">
        <v>2411563.2799999998</v>
      </c>
      <c r="F360">
        <v>1</v>
      </c>
      <c r="G360">
        <v>14</v>
      </c>
      <c r="H360">
        <v>4.25</v>
      </c>
      <c r="I360" s="274">
        <v>19.25</v>
      </c>
      <c r="J360">
        <v>10175.83</v>
      </c>
      <c r="K360">
        <v>124518.02</v>
      </c>
      <c r="L360">
        <v>37330.03</v>
      </c>
      <c r="M360">
        <v>0</v>
      </c>
      <c r="N360">
        <v>161486.04</v>
      </c>
      <c r="O360" s="274">
        <v>19472.12</v>
      </c>
      <c r="P360">
        <v>17740.759999999998</v>
      </c>
      <c r="Q360">
        <v>0</v>
      </c>
      <c r="R360">
        <v>0</v>
      </c>
      <c r="S360">
        <v>0</v>
      </c>
      <c r="T360" s="274">
        <f t="shared" si="11"/>
        <v>0</v>
      </c>
      <c r="U360">
        <v>0</v>
      </c>
      <c r="V360">
        <v>0</v>
      </c>
      <c r="W360">
        <v>0</v>
      </c>
      <c r="X360">
        <v>5.3</v>
      </c>
      <c r="Y360">
        <v>2.35</v>
      </c>
      <c r="Z360">
        <v>0</v>
      </c>
      <c r="AA360">
        <v>48295.28</v>
      </c>
      <c r="AB360">
        <v>21429.39</v>
      </c>
      <c r="AC360">
        <v>0</v>
      </c>
      <c r="AD360">
        <v>59271.02</v>
      </c>
      <c r="AE360">
        <v>208674.5</v>
      </c>
      <c r="AF360">
        <v>50223.43</v>
      </c>
      <c r="AG360">
        <v>68955.98</v>
      </c>
      <c r="AH360">
        <v>1</v>
      </c>
      <c r="AI360">
        <v>68937</v>
      </c>
      <c r="AJ360">
        <v>67585</v>
      </c>
      <c r="AK360">
        <v>100321</v>
      </c>
      <c r="AL360">
        <v>102327</v>
      </c>
      <c r="AM360">
        <v>48483</v>
      </c>
      <c r="AN360">
        <v>49453</v>
      </c>
      <c r="AO360">
        <v>1</v>
      </c>
      <c r="AP360">
        <v>288659.03000000003</v>
      </c>
      <c r="AQ360">
        <v>21610.98</v>
      </c>
      <c r="AR360">
        <v>3.1659999999999999</v>
      </c>
      <c r="AS360">
        <v>4.8578999999999997E-2</v>
      </c>
      <c r="AT360">
        <v>4.0270000000000002E-3</v>
      </c>
      <c r="AU360">
        <v>1.7100000000000001E-2</v>
      </c>
    </row>
    <row r="361" spans="1:47">
      <c r="A361" s="2" t="s">
        <v>577</v>
      </c>
      <c r="B361" s="2" t="s">
        <v>578</v>
      </c>
      <c r="C361">
        <v>17093.91</v>
      </c>
      <c r="D361">
        <v>124.31</v>
      </c>
      <c r="E361">
        <v>2124943.54</v>
      </c>
      <c r="F361">
        <v>0</v>
      </c>
      <c r="G361">
        <v>14.25</v>
      </c>
      <c r="H361">
        <v>2.5</v>
      </c>
      <c r="I361" s="274">
        <v>16.75</v>
      </c>
      <c r="J361">
        <v>0</v>
      </c>
      <c r="K361">
        <v>123510.78</v>
      </c>
      <c r="L361">
        <v>21399</v>
      </c>
      <c r="M361">
        <v>0</v>
      </c>
      <c r="N361">
        <v>144480.64000000001</v>
      </c>
      <c r="O361" s="274">
        <v>16052.52</v>
      </c>
      <c r="P361">
        <v>21984.87</v>
      </c>
      <c r="Q361">
        <v>0</v>
      </c>
      <c r="R361">
        <v>0</v>
      </c>
      <c r="S361">
        <v>0</v>
      </c>
      <c r="T361" s="274">
        <f t="shared" si="11"/>
        <v>0</v>
      </c>
      <c r="U361">
        <v>0</v>
      </c>
      <c r="V361">
        <v>6.22</v>
      </c>
      <c r="W361">
        <v>3522.05</v>
      </c>
      <c r="X361">
        <v>5.54</v>
      </c>
      <c r="Y361">
        <v>0</v>
      </c>
      <c r="Z361">
        <v>0</v>
      </c>
      <c r="AA361">
        <v>49458.92</v>
      </c>
      <c r="AB361">
        <v>0</v>
      </c>
      <c r="AC361">
        <v>0</v>
      </c>
      <c r="AD361">
        <v>112722.63</v>
      </c>
      <c r="AE361">
        <v>362113</v>
      </c>
      <c r="AF361">
        <v>0</v>
      </c>
      <c r="AG361">
        <v>36883.72</v>
      </c>
      <c r="AH361">
        <v>1</v>
      </c>
      <c r="AI361">
        <v>68937</v>
      </c>
      <c r="AJ361">
        <v>67585</v>
      </c>
      <c r="AK361">
        <v>100321</v>
      </c>
      <c r="AL361">
        <v>102327</v>
      </c>
      <c r="AM361">
        <v>48483</v>
      </c>
      <c r="AN361">
        <v>49453</v>
      </c>
      <c r="AO361">
        <v>1</v>
      </c>
      <c r="AP361">
        <v>255477.94</v>
      </c>
      <c r="AQ361">
        <v>18873.759999999998</v>
      </c>
      <c r="AR361">
        <v>2.351</v>
      </c>
      <c r="AS361">
        <v>4.8578999999999997E-2</v>
      </c>
      <c r="AT361">
        <v>4.0270000000000002E-3</v>
      </c>
      <c r="AU361">
        <v>1.7100000000000001E-2</v>
      </c>
    </row>
    <row r="362" spans="1:47">
      <c r="A362" s="2" t="s">
        <v>579</v>
      </c>
      <c r="B362" s="2" t="s">
        <v>580</v>
      </c>
      <c r="C362">
        <v>16227.7</v>
      </c>
      <c r="D362">
        <v>147.49</v>
      </c>
      <c r="E362">
        <v>2393423.7200000002</v>
      </c>
      <c r="F362">
        <v>0</v>
      </c>
      <c r="G362">
        <v>10.5</v>
      </c>
      <c r="H362">
        <v>8.75</v>
      </c>
      <c r="I362" s="274">
        <v>19.25</v>
      </c>
      <c r="J362">
        <v>0</v>
      </c>
      <c r="K362">
        <v>94922.16</v>
      </c>
      <c r="L362">
        <v>78118.210000000006</v>
      </c>
      <c r="M362">
        <v>0</v>
      </c>
      <c r="N362">
        <v>173111.79</v>
      </c>
      <c r="O362" s="274">
        <v>17197.650000000001</v>
      </c>
      <c r="P362">
        <v>16899.259999999998</v>
      </c>
      <c r="Q362">
        <v>0</v>
      </c>
      <c r="R362">
        <v>0</v>
      </c>
      <c r="S362">
        <v>0</v>
      </c>
      <c r="T362" s="274">
        <f t="shared" si="11"/>
        <v>0</v>
      </c>
      <c r="U362">
        <v>0</v>
      </c>
      <c r="V362">
        <v>0</v>
      </c>
      <c r="W362">
        <v>0</v>
      </c>
      <c r="X362">
        <v>5.38</v>
      </c>
      <c r="Y362">
        <v>0.61</v>
      </c>
      <c r="Z362">
        <v>0</v>
      </c>
      <c r="AA362">
        <v>49008.15</v>
      </c>
      <c r="AB362">
        <v>5691.63</v>
      </c>
      <c r="AC362">
        <v>0</v>
      </c>
      <c r="AD362">
        <v>47983.4</v>
      </c>
      <c r="AE362">
        <v>356975.27</v>
      </c>
      <c r="AF362">
        <v>0</v>
      </c>
      <c r="AG362">
        <v>30984.63</v>
      </c>
      <c r="AH362">
        <v>1</v>
      </c>
      <c r="AI362">
        <v>68937</v>
      </c>
      <c r="AJ362">
        <v>67585</v>
      </c>
      <c r="AK362">
        <v>100321</v>
      </c>
      <c r="AL362">
        <v>102327</v>
      </c>
      <c r="AM362">
        <v>48483</v>
      </c>
      <c r="AN362">
        <v>49453</v>
      </c>
      <c r="AO362">
        <v>1</v>
      </c>
      <c r="AP362">
        <v>284182.03000000003</v>
      </c>
      <c r="AQ362">
        <v>21697.040000000001</v>
      </c>
      <c r="AR362">
        <v>3.589</v>
      </c>
      <c r="AS362">
        <v>4.8578999999999997E-2</v>
      </c>
      <c r="AT362">
        <v>4.0270000000000002E-3</v>
      </c>
      <c r="AU362">
        <v>1.7100000000000001E-2</v>
      </c>
    </row>
    <row r="363" spans="1:47">
      <c r="A363" s="2" t="s">
        <v>1319</v>
      </c>
      <c r="B363" s="2" t="s">
        <v>1320</v>
      </c>
      <c r="C363">
        <v>10900.16</v>
      </c>
      <c r="D363">
        <v>77</v>
      </c>
      <c r="E363">
        <v>839311.97</v>
      </c>
      <c r="F363">
        <v>0</v>
      </c>
      <c r="G363">
        <v>11.75</v>
      </c>
      <c r="H363">
        <v>0</v>
      </c>
      <c r="I363" s="274">
        <v>11.75</v>
      </c>
      <c r="J363">
        <v>0</v>
      </c>
      <c r="K363">
        <v>112288.28</v>
      </c>
      <c r="L363">
        <v>0</v>
      </c>
      <c r="M363">
        <v>-12950.68</v>
      </c>
      <c r="N363">
        <v>111701.85</v>
      </c>
      <c r="O363" s="274">
        <v>13213.41</v>
      </c>
      <c r="P363">
        <v>21944.34</v>
      </c>
      <c r="Q363">
        <v>3</v>
      </c>
      <c r="R363">
        <v>0</v>
      </c>
      <c r="S363">
        <v>0</v>
      </c>
      <c r="T363" s="274">
        <f t="shared" si="11"/>
        <v>3</v>
      </c>
      <c r="U363">
        <v>0</v>
      </c>
      <c r="V363">
        <v>0</v>
      </c>
      <c r="W363">
        <v>0</v>
      </c>
      <c r="X363">
        <v>0</v>
      </c>
      <c r="Y363">
        <v>0</v>
      </c>
      <c r="Z363">
        <v>0</v>
      </c>
      <c r="AA363">
        <v>0</v>
      </c>
      <c r="AB363">
        <v>0</v>
      </c>
      <c r="AC363">
        <v>0</v>
      </c>
      <c r="AD363">
        <v>0</v>
      </c>
      <c r="AE363">
        <v>0</v>
      </c>
      <c r="AF363">
        <v>0</v>
      </c>
      <c r="AG363">
        <v>16240.57</v>
      </c>
      <c r="AH363">
        <v>1</v>
      </c>
      <c r="AI363">
        <v>68937</v>
      </c>
      <c r="AJ363">
        <v>67585</v>
      </c>
      <c r="AK363">
        <v>100321</v>
      </c>
      <c r="AL363">
        <v>102327</v>
      </c>
      <c r="AM363">
        <v>48483</v>
      </c>
      <c r="AN363">
        <v>49453</v>
      </c>
      <c r="AO363">
        <v>1</v>
      </c>
      <c r="AP363">
        <v>109383.41</v>
      </c>
      <c r="AQ363">
        <v>7511.92</v>
      </c>
      <c r="AR363">
        <v>3.5470000000000002</v>
      </c>
      <c r="AS363">
        <v>4.8578999999999997E-2</v>
      </c>
      <c r="AT363">
        <v>4.0270000000000002E-3</v>
      </c>
      <c r="AU363">
        <v>1.7100000000000001E-2</v>
      </c>
    </row>
    <row r="364" spans="1:47">
      <c r="A364" s="2" t="s">
        <v>1190</v>
      </c>
      <c r="B364" s="2" t="s">
        <v>1191</v>
      </c>
      <c r="C364">
        <v>0</v>
      </c>
      <c r="D364">
        <v>0</v>
      </c>
      <c r="E364">
        <v>0</v>
      </c>
      <c r="F364">
        <v>0</v>
      </c>
      <c r="G364">
        <v>0</v>
      </c>
      <c r="H364">
        <v>0</v>
      </c>
      <c r="I364" s="274">
        <v>0</v>
      </c>
      <c r="J364">
        <v>0</v>
      </c>
      <c r="K364">
        <v>0</v>
      </c>
      <c r="L364">
        <v>0</v>
      </c>
      <c r="M364">
        <v>0</v>
      </c>
      <c r="N364">
        <v>0</v>
      </c>
      <c r="O364" s="274">
        <v>0</v>
      </c>
      <c r="P364">
        <v>0</v>
      </c>
      <c r="Q364">
        <v>0</v>
      </c>
      <c r="R364">
        <v>0</v>
      </c>
      <c r="S364">
        <v>0</v>
      </c>
      <c r="T364" s="274">
        <f t="shared" si="11"/>
        <v>0</v>
      </c>
      <c r="U364">
        <v>0</v>
      </c>
      <c r="V364">
        <v>0</v>
      </c>
      <c r="W364">
        <v>0</v>
      </c>
      <c r="X364">
        <v>0</v>
      </c>
      <c r="Y364">
        <v>0</v>
      </c>
      <c r="Z364">
        <v>0</v>
      </c>
      <c r="AA364">
        <v>0</v>
      </c>
      <c r="AB364">
        <v>0</v>
      </c>
      <c r="AC364">
        <v>0</v>
      </c>
      <c r="AD364">
        <v>0</v>
      </c>
      <c r="AE364">
        <v>0</v>
      </c>
      <c r="AF364">
        <v>0</v>
      </c>
      <c r="AG364">
        <v>0</v>
      </c>
      <c r="AH364">
        <v>0</v>
      </c>
      <c r="AI364">
        <v>0</v>
      </c>
      <c r="AJ364">
        <v>0</v>
      </c>
      <c r="AK364">
        <v>100321</v>
      </c>
      <c r="AL364">
        <v>102327</v>
      </c>
      <c r="AM364">
        <v>48483</v>
      </c>
      <c r="AN364">
        <v>49453</v>
      </c>
      <c r="AO364">
        <v>1</v>
      </c>
      <c r="AP364">
        <v>0</v>
      </c>
      <c r="AQ364">
        <v>0</v>
      </c>
      <c r="AR364">
        <v>0</v>
      </c>
      <c r="AS364">
        <v>4.8578999999999997E-2</v>
      </c>
      <c r="AT364">
        <v>4.0270000000000002E-3</v>
      </c>
      <c r="AU364">
        <v>1.7100000000000001E-2</v>
      </c>
    </row>
    <row r="365" spans="1:47">
      <c r="A365" s="2" t="s">
        <v>581</v>
      </c>
      <c r="B365" s="2" t="s">
        <v>582</v>
      </c>
      <c r="C365">
        <v>8880.5300000000007</v>
      </c>
      <c r="D365">
        <v>565.30999999999995</v>
      </c>
      <c r="E365">
        <v>5020250.1100000003</v>
      </c>
      <c r="F365">
        <v>5.75</v>
      </c>
      <c r="G365">
        <v>53.75</v>
      </c>
      <c r="H365">
        <v>16</v>
      </c>
      <c r="I365" s="274">
        <v>75.5</v>
      </c>
      <c r="J365">
        <v>58716.49</v>
      </c>
      <c r="K365">
        <v>479661.08</v>
      </c>
      <c r="L365">
        <v>141006.91</v>
      </c>
      <c r="M365">
        <v>0</v>
      </c>
      <c r="N365">
        <v>619353.5</v>
      </c>
      <c r="O365" s="274">
        <v>62523.17</v>
      </c>
      <c r="P365">
        <v>107391.56</v>
      </c>
      <c r="Q365">
        <v>143.75</v>
      </c>
      <c r="R365">
        <v>20</v>
      </c>
      <c r="S365">
        <v>56.75</v>
      </c>
      <c r="T365" s="274">
        <f t="shared" si="11"/>
        <v>220.5</v>
      </c>
      <c r="U365">
        <v>258968.67</v>
      </c>
      <c r="V365">
        <v>28.27</v>
      </c>
      <c r="W365">
        <v>15947.08</v>
      </c>
      <c r="X365">
        <v>0</v>
      </c>
      <c r="Y365">
        <v>0</v>
      </c>
      <c r="Z365">
        <v>0</v>
      </c>
      <c r="AA365">
        <v>0</v>
      </c>
      <c r="AB365">
        <v>0</v>
      </c>
      <c r="AC365">
        <v>0</v>
      </c>
      <c r="AD365">
        <v>8376.75</v>
      </c>
      <c r="AE365">
        <v>136816.99</v>
      </c>
      <c r="AF365">
        <v>165145.12</v>
      </c>
      <c r="AG365">
        <v>328529.2</v>
      </c>
      <c r="AH365">
        <v>1</v>
      </c>
      <c r="AI365">
        <v>68937</v>
      </c>
      <c r="AJ365">
        <v>67585</v>
      </c>
      <c r="AK365">
        <v>100321</v>
      </c>
      <c r="AL365">
        <v>102327</v>
      </c>
      <c r="AM365">
        <v>48483</v>
      </c>
      <c r="AN365">
        <v>49453</v>
      </c>
      <c r="AO365">
        <v>1</v>
      </c>
      <c r="AP365">
        <v>757588.9</v>
      </c>
      <c r="AQ365">
        <v>45214.54</v>
      </c>
      <c r="AR365">
        <v>16.734999999999999</v>
      </c>
      <c r="AS365">
        <v>4.8578999999999997E-2</v>
      </c>
      <c r="AT365">
        <v>4.0270000000000002E-3</v>
      </c>
      <c r="AU365">
        <v>1.7100000000000001E-2</v>
      </c>
    </row>
    <row r="366" spans="1:47">
      <c r="A366" s="2" t="s">
        <v>583</v>
      </c>
      <c r="B366" s="2" t="s">
        <v>584</v>
      </c>
      <c r="C366">
        <v>8756.74</v>
      </c>
      <c r="D366">
        <v>1223.79</v>
      </c>
      <c r="E366">
        <v>10716414.189999999</v>
      </c>
      <c r="F366">
        <v>12.25</v>
      </c>
      <c r="G366">
        <v>120.75</v>
      </c>
      <c r="H366">
        <v>37.5</v>
      </c>
      <c r="I366" s="274">
        <v>170.5</v>
      </c>
      <c r="J366">
        <v>121848</v>
      </c>
      <c r="K366">
        <v>1049655.6299999999</v>
      </c>
      <c r="L366">
        <v>321925.62</v>
      </c>
      <c r="M366">
        <v>0</v>
      </c>
      <c r="N366">
        <v>1368762.8</v>
      </c>
      <c r="O366" s="274">
        <v>151348.74</v>
      </c>
      <c r="P366">
        <v>245854.07</v>
      </c>
      <c r="Q366">
        <v>41</v>
      </c>
      <c r="R366">
        <v>31.75</v>
      </c>
      <c r="S366">
        <v>26.25</v>
      </c>
      <c r="T366" s="274">
        <f t="shared" si="11"/>
        <v>99</v>
      </c>
      <c r="U366">
        <v>127772.23</v>
      </c>
      <c r="V366">
        <v>61.19</v>
      </c>
      <c r="W366">
        <v>34437.839999999997</v>
      </c>
      <c r="X366">
        <v>63.17</v>
      </c>
      <c r="Y366">
        <v>20.63</v>
      </c>
      <c r="Z366">
        <v>0</v>
      </c>
      <c r="AA366">
        <v>563753.71</v>
      </c>
      <c r="AB366">
        <v>183739.24</v>
      </c>
      <c r="AC366">
        <v>0</v>
      </c>
      <c r="AD366">
        <v>113353.83</v>
      </c>
      <c r="AE366">
        <v>921992.58</v>
      </c>
      <c r="AF366">
        <v>241162.75</v>
      </c>
      <c r="AG366">
        <v>386251.73</v>
      </c>
      <c r="AH366">
        <v>1</v>
      </c>
      <c r="AI366">
        <v>68937</v>
      </c>
      <c r="AJ366">
        <v>67585</v>
      </c>
      <c r="AK366">
        <v>0</v>
      </c>
      <c r="AL366">
        <v>0</v>
      </c>
      <c r="AM366">
        <v>0</v>
      </c>
      <c r="AN366">
        <v>0</v>
      </c>
      <c r="AO366">
        <v>0</v>
      </c>
      <c r="AP366">
        <v>1498592.14</v>
      </c>
      <c r="AQ366">
        <v>83137.37</v>
      </c>
      <c r="AR366">
        <v>24.484999999999999</v>
      </c>
      <c r="AS366">
        <v>4.8578999999999997E-2</v>
      </c>
      <c r="AT366">
        <v>4.0270000000000002E-3</v>
      </c>
      <c r="AU366">
        <v>1.7100000000000001E-2</v>
      </c>
    </row>
    <row r="367" spans="1:47">
      <c r="A367" s="2" t="s">
        <v>585</v>
      </c>
      <c r="B367" s="2" t="s">
        <v>586</v>
      </c>
      <c r="C367">
        <v>8754.4500000000007</v>
      </c>
      <c r="D367">
        <v>15635.35</v>
      </c>
      <c r="E367">
        <v>136878813.41</v>
      </c>
      <c r="F367">
        <v>181.75</v>
      </c>
      <c r="G367">
        <v>1052.25</v>
      </c>
      <c r="H367">
        <v>880.75</v>
      </c>
      <c r="I367" s="274">
        <v>2114.75</v>
      </c>
      <c r="J367">
        <v>1792062.72</v>
      </c>
      <c r="K367">
        <v>9067001.0999999996</v>
      </c>
      <c r="L367">
        <v>7494830.4199999999</v>
      </c>
      <c r="M367">
        <v>0</v>
      </c>
      <c r="N367">
        <v>16573445.35</v>
      </c>
      <c r="O367" s="274">
        <v>2212588.9699999997</v>
      </c>
      <c r="P367">
        <v>4973938.7699999996</v>
      </c>
      <c r="Q367">
        <v>2883</v>
      </c>
      <c r="R367">
        <v>1720.25</v>
      </c>
      <c r="S367">
        <v>690.5</v>
      </c>
      <c r="T367" s="274">
        <f t="shared" si="11"/>
        <v>5293.75</v>
      </c>
      <c r="U367">
        <v>7176181.3399999999</v>
      </c>
      <c r="V367">
        <v>781.77</v>
      </c>
      <c r="W367">
        <v>440354.36</v>
      </c>
      <c r="X367">
        <v>1066.55</v>
      </c>
      <c r="Y367">
        <v>268.20999999999998</v>
      </c>
      <c r="Z367">
        <v>448.28</v>
      </c>
      <c r="AA367">
        <v>9516766.3800000008</v>
      </c>
      <c r="AB367">
        <v>2389881.63</v>
      </c>
      <c r="AC367">
        <v>4535909.96</v>
      </c>
      <c r="AD367">
        <v>575953.09</v>
      </c>
      <c r="AE367">
        <v>3658089.27</v>
      </c>
      <c r="AF367">
        <v>4379476.24</v>
      </c>
      <c r="AG367">
        <v>8381310.21</v>
      </c>
      <c r="AH367">
        <v>1</v>
      </c>
      <c r="AI367">
        <v>68937</v>
      </c>
      <c r="AJ367">
        <v>67585</v>
      </c>
      <c r="AK367">
        <v>100321</v>
      </c>
      <c r="AL367">
        <v>102327</v>
      </c>
      <c r="AM367">
        <v>48483</v>
      </c>
      <c r="AN367">
        <v>49453</v>
      </c>
      <c r="AO367">
        <v>1</v>
      </c>
      <c r="AP367">
        <v>18728553.239999998</v>
      </c>
      <c r="AQ367">
        <v>1017170.17</v>
      </c>
      <c r="AR367">
        <v>289.15699999999998</v>
      </c>
      <c r="AS367">
        <v>4.8578999999999997E-2</v>
      </c>
      <c r="AT367">
        <v>4.0270000000000002E-3</v>
      </c>
      <c r="AU367">
        <v>1.7100000000000001E-2</v>
      </c>
    </row>
    <row r="368" spans="1:47">
      <c r="A368" s="2" t="s">
        <v>587</v>
      </c>
      <c r="B368" s="2" t="s">
        <v>588</v>
      </c>
      <c r="C368">
        <v>8718.41</v>
      </c>
      <c r="D368">
        <v>3259.06</v>
      </c>
      <c r="E368">
        <v>28413829.440000001</v>
      </c>
      <c r="F368">
        <v>35</v>
      </c>
      <c r="G368">
        <v>206.25</v>
      </c>
      <c r="H368">
        <v>173.75</v>
      </c>
      <c r="I368" s="274">
        <v>415</v>
      </c>
      <c r="J368">
        <v>347573.64</v>
      </c>
      <c r="K368">
        <v>1789982.96</v>
      </c>
      <c r="L368">
        <v>1489170.1</v>
      </c>
      <c r="M368">
        <v>0</v>
      </c>
      <c r="N368">
        <v>3281440.6</v>
      </c>
      <c r="O368" s="274">
        <v>406042.43</v>
      </c>
      <c r="P368">
        <v>766707.75</v>
      </c>
      <c r="Q368">
        <v>249</v>
      </c>
      <c r="R368">
        <v>94.75</v>
      </c>
      <c r="S368">
        <v>80.5</v>
      </c>
      <c r="T368" s="274">
        <f t="shared" si="11"/>
        <v>424.25</v>
      </c>
      <c r="U368">
        <v>541026.35</v>
      </c>
      <c r="V368">
        <v>162.94999999999999</v>
      </c>
      <c r="W368">
        <v>91769.03</v>
      </c>
      <c r="X368">
        <v>181.58</v>
      </c>
      <c r="Y368">
        <v>24.9</v>
      </c>
      <c r="Z368">
        <v>0</v>
      </c>
      <c r="AA368">
        <v>1620244.8</v>
      </c>
      <c r="AB368">
        <v>221848.71</v>
      </c>
      <c r="AC368">
        <v>0</v>
      </c>
      <c r="AD368">
        <v>161354.32</v>
      </c>
      <c r="AE368">
        <v>1741929.14</v>
      </c>
      <c r="AF368">
        <v>899003.81</v>
      </c>
      <c r="AG368">
        <v>1088020.6200000001</v>
      </c>
      <c r="AH368">
        <v>1</v>
      </c>
      <c r="AI368">
        <v>68937</v>
      </c>
      <c r="AJ368">
        <v>67585</v>
      </c>
      <c r="AK368">
        <v>100321</v>
      </c>
      <c r="AL368">
        <v>102327</v>
      </c>
      <c r="AM368">
        <v>48483</v>
      </c>
      <c r="AN368">
        <v>49453</v>
      </c>
      <c r="AO368">
        <v>1</v>
      </c>
      <c r="AP368">
        <v>4162909.62</v>
      </c>
      <c r="AQ368">
        <v>229208.76</v>
      </c>
      <c r="AR368">
        <v>66.049000000000007</v>
      </c>
      <c r="AS368">
        <v>4.8578999999999997E-2</v>
      </c>
      <c r="AT368">
        <v>4.0270000000000002E-3</v>
      </c>
      <c r="AU368">
        <v>1.7100000000000001E-2</v>
      </c>
    </row>
    <row r="369" spans="1:47">
      <c r="A369" s="2" t="s">
        <v>589</v>
      </c>
      <c r="B369" s="2" t="s">
        <v>590</v>
      </c>
      <c r="C369">
        <v>8783.1200000000008</v>
      </c>
      <c r="D369">
        <v>3618.74</v>
      </c>
      <c r="E369">
        <v>31783820.350000001</v>
      </c>
      <c r="F369">
        <v>32.75</v>
      </c>
      <c r="G369">
        <v>373.5</v>
      </c>
      <c r="H369">
        <v>64</v>
      </c>
      <c r="I369" s="274">
        <v>470.25</v>
      </c>
      <c r="J369">
        <v>325446.94</v>
      </c>
      <c r="K369">
        <v>3243914.19</v>
      </c>
      <c r="L369">
        <v>548938.52</v>
      </c>
      <c r="M369">
        <v>0</v>
      </c>
      <c r="N369">
        <v>3780498.75</v>
      </c>
      <c r="O369" s="274">
        <v>456363.58</v>
      </c>
      <c r="P369">
        <v>683906.03</v>
      </c>
      <c r="Q369">
        <v>233.25</v>
      </c>
      <c r="R369">
        <v>100.25</v>
      </c>
      <c r="S369">
        <v>48</v>
      </c>
      <c r="T369" s="274">
        <f t="shared" si="11"/>
        <v>381.5</v>
      </c>
      <c r="U369">
        <v>505610.16</v>
      </c>
      <c r="V369">
        <v>180.94</v>
      </c>
      <c r="W369">
        <v>101943.84</v>
      </c>
      <c r="X369">
        <v>371.88</v>
      </c>
      <c r="Y369">
        <v>22.18</v>
      </c>
      <c r="Z369">
        <v>0</v>
      </c>
      <c r="AA369">
        <v>3318208.95</v>
      </c>
      <c r="AB369">
        <v>197630.98</v>
      </c>
      <c r="AC369">
        <v>0</v>
      </c>
      <c r="AD369">
        <v>192737.68</v>
      </c>
      <c r="AE369">
        <v>1465852.32</v>
      </c>
      <c r="AF369">
        <v>693257.28</v>
      </c>
      <c r="AG369">
        <v>1176463.28</v>
      </c>
      <c r="AH369">
        <v>1</v>
      </c>
      <c r="AI369">
        <v>68937</v>
      </c>
      <c r="AJ369">
        <v>67585</v>
      </c>
      <c r="AK369">
        <v>100321</v>
      </c>
      <c r="AL369">
        <v>102327</v>
      </c>
      <c r="AM369">
        <v>48483</v>
      </c>
      <c r="AN369">
        <v>49453</v>
      </c>
      <c r="AO369">
        <v>1</v>
      </c>
      <c r="AP369">
        <v>4316515.91</v>
      </c>
      <c r="AQ369">
        <v>238870.75</v>
      </c>
      <c r="AR369">
        <v>71.081999999999994</v>
      </c>
      <c r="AS369">
        <v>4.8578999999999997E-2</v>
      </c>
      <c r="AT369">
        <v>4.0270000000000002E-3</v>
      </c>
      <c r="AU369">
        <v>1.7100000000000001E-2</v>
      </c>
    </row>
    <row r="370" spans="1:47">
      <c r="A370" s="2" t="s">
        <v>591</v>
      </c>
      <c r="B370" s="2" t="s">
        <v>592</v>
      </c>
      <c r="C370">
        <v>9006.4699999999993</v>
      </c>
      <c r="D370">
        <v>808.32</v>
      </c>
      <c r="E370">
        <v>7280112.4699999997</v>
      </c>
      <c r="F370">
        <v>2</v>
      </c>
      <c r="G370">
        <v>31.5</v>
      </c>
      <c r="H370">
        <v>52</v>
      </c>
      <c r="I370" s="274">
        <v>85.5</v>
      </c>
      <c r="J370">
        <v>19883.34</v>
      </c>
      <c r="K370">
        <v>273675.05</v>
      </c>
      <c r="L370">
        <v>446161.84</v>
      </c>
      <c r="M370">
        <v>0</v>
      </c>
      <c r="N370">
        <v>721851.66</v>
      </c>
      <c r="O370" s="274">
        <v>90388.26</v>
      </c>
      <c r="P370">
        <v>153209.81</v>
      </c>
      <c r="Q370">
        <v>144.75</v>
      </c>
      <c r="R370">
        <v>185</v>
      </c>
      <c r="S370">
        <v>29</v>
      </c>
      <c r="T370" s="274">
        <f t="shared" si="11"/>
        <v>358.75</v>
      </c>
      <c r="U370">
        <v>530264.52</v>
      </c>
      <c r="V370">
        <v>40.42</v>
      </c>
      <c r="W370">
        <v>22795.5</v>
      </c>
      <c r="X370">
        <v>77.38</v>
      </c>
      <c r="Y370">
        <v>0</v>
      </c>
      <c r="Z370">
        <v>0</v>
      </c>
      <c r="AA370">
        <v>690420.59</v>
      </c>
      <c r="AB370">
        <v>0</v>
      </c>
      <c r="AC370">
        <v>0</v>
      </c>
      <c r="AD370">
        <v>43743.64</v>
      </c>
      <c r="AE370">
        <v>203810.49</v>
      </c>
      <c r="AF370">
        <v>240575.73</v>
      </c>
      <c r="AG370">
        <v>521948.57</v>
      </c>
      <c r="AH370">
        <v>1</v>
      </c>
      <c r="AI370">
        <v>68937</v>
      </c>
      <c r="AJ370">
        <v>67585</v>
      </c>
      <c r="AK370">
        <v>100321</v>
      </c>
      <c r="AL370">
        <v>102327</v>
      </c>
      <c r="AM370">
        <v>48483</v>
      </c>
      <c r="AN370">
        <v>49453</v>
      </c>
      <c r="AO370">
        <v>1</v>
      </c>
      <c r="AP370">
        <v>1016989.69</v>
      </c>
      <c r="AQ370">
        <v>57395.46</v>
      </c>
      <c r="AR370">
        <v>16.143000000000001</v>
      </c>
      <c r="AS370">
        <v>4.8578999999999997E-2</v>
      </c>
      <c r="AT370">
        <v>4.0270000000000002E-3</v>
      </c>
      <c r="AU370">
        <v>1.7100000000000001E-2</v>
      </c>
    </row>
    <row r="371" spans="1:47">
      <c r="A371" s="2" t="s">
        <v>593</v>
      </c>
      <c r="B371" s="2" t="s">
        <v>594</v>
      </c>
      <c r="C371">
        <v>8719.9</v>
      </c>
      <c r="D371">
        <v>3508.06</v>
      </c>
      <c r="E371">
        <v>30589921.469999999</v>
      </c>
      <c r="F371">
        <v>24.5</v>
      </c>
      <c r="G371">
        <v>234.5</v>
      </c>
      <c r="H371">
        <v>277</v>
      </c>
      <c r="I371" s="274">
        <v>536</v>
      </c>
      <c r="J371">
        <v>242440.8</v>
      </c>
      <c r="K371">
        <v>2027842.54</v>
      </c>
      <c r="L371">
        <v>2365567.7799999998</v>
      </c>
      <c r="M371">
        <v>-314246.68</v>
      </c>
      <c r="N371">
        <v>4392760.6100000003</v>
      </c>
      <c r="O371" s="274">
        <v>491355.42</v>
      </c>
      <c r="P371">
        <v>1147146.8600000001</v>
      </c>
      <c r="Q371">
        <v>679.5</v>
      </c>
      <c r="R371">
        <v>414.75</v>
      </c>
      <c r="S371">
        <v>192.75</v>
      </c>
      <c r="T371" s="274">
        <f t="shared" si="11"/>
        <v>1287</v>
      </c>
      <c r="U371">
        <v>1731284.32</v>
      </c>
      <c r="V371">
        <v>175.4</v>
      </c>
      <c r="W371">
        <v>98813.13</v>
      </c>
      <c r="X371">
        <v>277.12</v>
      </c>
      <c r="Y371">
        <v>41.76</v>
      </c>
      <c r="Z371">
        <v>0</v>
      </c>
      <c r="AA371">
        <v>2472776.64</v>
      </c>
      <c r="AB371">
        <v>372155.34</v>
      </c>
      <c r="AC371">
        <v>0</v>
      </c>
      <c r="AD371">
        <v>174601.29</v>
      </c>
      <c r="AE371">
        <v>1176279.6599999999</v>
      </c>
      <c r="AF371">
        <v>1007698.28</v>
      </c>
      <c r="AG371">
        <v>1840076.6</v>
      </c>
      <c r="AH371">
        <v>1</v>
      </c>
      <c r="AI371">
        <v>68937</v>
      </c>
      <c r="AJ371">
        <v>67585</v>
      </c>
      <c r="AK371">
        <v>100321</v>
      </c>
      <c r="AL371">
        <v>102327</v>
      </c>
      <c r="AM371">
        <v>48483</v>
      </c>
      <c r="AN371">
        <v>49453</v>
      </c>
      <c r="AO371">
        <v>1</v>
      </c>
      <c r="AP371">
        <v>4341777.3899999997</v>
      </c>
      <c r="AQ371">
        <v>237698.24</v>
      </c>
      <c r="AR371">
        <v>65.998999999999995</v>
      </c>
      <c r="AS371">
        <v>4.8578999999999997E-2</v>
      </c>
      <c r="AT371">
        <v>4.0270000000000002E-3</v>
      </c>
      <c r="AU371">
        <v>1.7100000000000001E-2</v>
      </c>
    </row>
    <row r="372" spans="1:47">
      <c r="A372" s="2" t="s">
        <v>595</v>
      </c>
      <c r="B372" s="2" t="s">
        <v>596</v>
      </c>
      <c r="C372">
        <v>8668.75</v>
      </c>
      <c r="D372">
        <v>6442.13</v>
      </c>
      <c r="E372">
        <v>55845188.640000001</v>
      </c>
      <c r="F372">
        <v>37.25</v>
      </c>
      <c r="G372">
        <v>358.5</v>
      </c>
      <c r="H372">
        <v>502</v>
      </c>
      <c r="I372" s="274">
        <v>897.75</v>
      </c>
      <c r="J372">
        <v>368934.54</v>
      </c>
      <c r="K372">
        <v>3102495.98</v>
      </c>
      <c r="L372">
        <v>4290316.8499999996</v>
      </c>
      <c r="M372">
        <v>0</v>
      </c>
      <c r="N372">
        <v>7436824.6699999999</v>
      </c>
      <c r="O372" s="274">
        <v>903447.74</v>
      </c>
      <c r="P372">
        <v>2180631.5099999998</v>
      </c>
      <c r="Q372">
        <v>1235.75</v>
      </c>
      <c r="R372">
        <v>776</v>
      </c>
      <c r="S372">
        <v>238.25</v>
      </c>
      <c r="T372" s="274">
        <f t="shared" si="11"/>
        <v>2250</v>
      </c>
      <c r="U372">
        <v>3099112.43</v>
      </c>
      <c r="V372">
        <v>322.11</v>
      </c>
      <c r="W372">
        <v>181385.69</v>
      </c>
      <c r="X372">
        <v>264.54000000000002</v>
      </c>
      <c r="Y372">
        <v>0</v>
      </c>
      <c r="Z372">
        <v>0</v>
      </c>
      <c r="AA372">
        <v>2360539.1800000002</v>
      </c>
      <c r="AB372">
        <v>0</v>
      </c>
      <c r="AC372">
        <v>0</v>
      </c>
      <c r="AD372">
        <v>424948.06</v>
      </c>
      <c r="AE372">
        <v>3062737.13</v>
      </c>
      <c r="AF372">
        <v>1891439.86</v>
      </c>
      <c r="AG372">
        <v>3878170.8</v>
      </c>
      <c r="AH372">
        <v>1</v>
      </c>
      <c r="AI372">
        <v>68937</v>
      </c>
      <c r="AJ372">
        <v>67585</v>
      </c>
      <c r="AK372">
        <v>100321</v>
      </c>
      <c r="AL372">
        <v>102327</v>
      </c>
      <c r="AM372">
        <v>48483</v>
      </c>
      <c r="AN372">
        <v>49453</v>
      </c>
      <c r="AO372">
        <v>1</v>
      </c>
      <c r="AP372">
        <v>8483590.5</v>
      </c>
      <c r="AQ372">
        <v>460856.52</v>
      </c>
      <c r="AR372">
        <v>121.4</v>
      </c>
      <c r="AS372">
        <v>4.8578999999999997E-2</v>
      </c>
      <c r="AT372">
        <v>4.0270000000000002E-3</v>
      </c>
      <c r="AU372">
        <v>1.7100000000000001E-2</v>
      </c>
    </row>
    <row r="373" spans="1:47">
      <c r="A373" s="2" t="s">
        <v>597</v>
      </c>
      <c r="B373" s="2" t="s">
        <v>598</v>
      </c>
      <c r="C373">
        <v>8832.83</v>
      </c>
      <c r="D373">
        <v>4265.32</v>
      </c>
      <c r="E373">
        <v>37674847.829999998</v>
      </c>
      <c r="F373">
        <v>28</v>
      </c>
      <c r="G373">
        <v>484.5</v>
      </c>
      <c r="H373">
        <v>43</v>
      </c>
      <c r="I373" s="274">
        <v>555.5</v>
      </c>
      <c r="J373">
        <v>275215.33</v>
      </c>
      <c r="K373">
        <v>4161076.38</v>
      </c>
      <c r="L373">
        <v>364706.85</v>
      </c>
      <c r="M373">
        <v>0</v>
      </c>
      <c r="N373">
        <v>4500027.09</v>
      </c>
      <c r="O373" s="274">
        <v>495998.42</v>
      </c>
      <c r="P373">
        <v>594123.68000000005</v>
      </c>
      <c r="Q373">
        <v>747.25</v>
      </c>
      <c r="R373">
        <v>558.25</v>
      </c>
      <c r="S373">
        <v>186.5</v>
      </c>
      <c r="T373" s="274">
        <f t="shared" si="11"/>
        <v>1492</v>
      </c>
      <c r="U373">
        <v>2064607.44</v>
      </c>
      <c r="V373">
        <v>213.27</v>
      </c>
      <c r="W373">
        <v>120141.12</v>
      </c>
      <c r="X373">
        <v>480.32</v>
      </c>
      <c r="Y373">
        <v>125.49</v>
      </c>
      <c r="Z373">
        <v>0</v>
      </c>
      <c r="AA373">
        <v>4285781.38</v>
      </c>
      <c r="AB373">
        <v>1118190.3500000001</v>
      </c>
      <c r="AC373">
        <v>0</v>
      </c>
      <c r="AD373">
        <v>162437.1</v>
      </c>
      <c r="AE373">
        <v>1460288.22</v>
      </c>
      <c r="AF373">
        <v>1058670.2</v>
      </c>
      <c r="AG373">
        <v>2649952.94</v>
      </c>
      <c r="AH373">
        <v>1</v>
      </c>
      <c r="AI373">
        <v>68937</v>
      </c>
      <c r="AJ373">
        <v>67585</v>
      </c>
      <c r="AK373">
        <v>100321</v>
      </c>
      <c r="AL373">
        <v>102327</v>
      </c>
      <c r="AM373">
        <v>48483</v>
      </c>
      <c r="AN373">
        <v>49453</v>
      </c>
      <c r="AO373">
        <v>1</v>
      </c>
      <c r="AP373">
        <v>3878374.79</v>
      </c>
      <c r="AQ373">
        <v>217381.29</v>
      </c>
      <c r="AR373">
        <v>68.171999999999997</v>
      </c>
      <c r="AS373">
        <v>4.8578999999999997E-2</v>
      </c>
      <c r="AT373">
        <v>4.0270000000000002E-3</v>
      </c>
      <c r="AU373">
        <v>1.7100000000000001E-2</v>
      </c>
    </row>
    <row r="374" spans="1:47">
      <c r="A374" s="2" t="s">
        <v>599</v>
      </c>
      <c r="B374" s="2" t="s">
        <v>600</v>
      </c>
      <c r="C374">
        <v>8597.27</v>
      </c>
      <c r="D374">
        <v>1032.94</v>
      </c>
      <c r="E374">
        <v>8880468.4900000002</v>
      </c>
      <c r="F374">
        <v>9.25</v>
      </c>
      <c r="G374">
        <v>81.5</v>
      </c>
      <c r="H374">
        <v>41.75</v>
      </c>
      <c r="I374" s="274">
        <v>132.5</v>
      </c>
      <c r="J374">
        <v>90834.25</v>
      </c>
      <c r="K374">
        <v>699419.39</v>
      </c>
      <c r="L374">
        <v>353835.2</v>
      </c>
      <c r="M374">
        <v>0</v>
      </c>
      <c r="N374">
        <v>1052439.1499999999</v>
      </c>
      <c r="O374" s="274">
        <v>116222.48000000001</v>
      </c>
      <c r="P374">
        <v>136079.99</v>
      </c>
      <c r="Q374">
        <v>202.5</v>
      </c>
      <c r="R374">
        <v>96</v>
      </c>
      <c r="S374">
        <v>81.75</v>
      </c>
      <c r="T374" s="274">
        <f t="shared" si="11"/>
        <v>380.25</v>
      </c>
      <c r="U374">
        <v>486141.02</v>
      </c>
      <c r="V374">
        <v>51.65</v>
      </c>
      <c r="W374">
        <v>29056.93</v>
      </c>
      <c r="X374">
        <v>46.3</v>
      </c>
      <c r="Y374">
        <v>0</v>
      </c>
      <c r="Z374">
        <v>0</v>
      </c>
      <c r="AA374">
        <v>413276.65</v>
      </c>
      <c r="AB374">
        <v>0</v>
      </c>
      <c r="AC374">
        <v>0</v>
      </c>
      <c r="AD374">
        <v>76363.86</v>
      </c>
      <c r="AE374">
        <v>779069.69</v>
      </c>
      <c r="AF374">
        <v>301624.63</v>
      </c>
      <c r="AG374">
        <v>529384.02</v>
      </c>
      <c r="AH374">
        <v>1</v>
      </c>
      <c r="AI374">
        <v>68937</v>
      </c>
      <c r="AJ374">
        <v>67585</v>
      </c>
      <c r="AK374">
        <v>100321</v>
      </c>
      <c r="AL374">
        <v>102327</v>
      </c>
      <c r="AM374">
        <v>48483</v>
      </c>
      <c r="AN374">
        <v>49453</v>
      </c>
      <c r="AO374">
        <v>1</v>
      </c>
      <c r="AP374">
        <v>1362618.29</v>
      </c>
      <c r="AQ374">
        <v>72904.56</v>
      </c>
      <c r="AR374">
        <v>17.446999999999999</v>
      </c>
      <c r="AS374">
        <v>4.8578999999999997E-2</v>
      </c>
      <c r="AT374">
        <v>4.0270000000000002E-3</v>
      </c>
      <c r="AU374">
        <v>1.7100000000000001E-2</v>
      </c>
    </row>
    <row r="375" spans="1:47">
      <c r="A375" s="2" t="s">
        <v>601</v>
      </c>
      <c r="B375" s="2" t="s">
        <v>602</v>
      </c>
      <c r="C375">
        <v>8799.19</v>
      </c>
      <c r="D375">
        <v>1457.05</v>
      </c>
      <c r="E375">
        <v>12820859.220000001</v>
      </c>
      <c r="F375">
        <v>18</v>
      </c>
      <c r="G375">
        <v>88.25</v>
      </c>
      <c r="H375">
        <v>102</v>
      </c>
      <c r="I375" s="274">
        <v>208.25</v>
      </c>
      <c r="J375">
        <v>179100.33</v>
      </c>
      <c r="K375">
        <v>767374.47</v>
      </c>
      <c r="L375">
        <v>875905.52</v>
      </c>
      <c r="M375">
        <v>0</v>
      </c>
      <c r="N375">
        <v>1637426.96</v>
      </c>
      <c r="O375" s="274">
        <v>211724.77000000002</v>
      </c>
      <c r="P375">
        <v>421772.15</v>
      </c>
      <c r="Q375">
        <v>354.25</v>
      </c>
      <c r="R375">
        <v>214.5</v>
      </c>
      <c r="S375">
        <v>107</v>
      </c>
      <c r="T375" s="274">
        <f t="shared" si="11"/>
        <v>675.75</v>
      </c>
      <c r="U375">
        <v>904678.25</v>
      </c>
      <c r="V375">
        <v>72.849999999999994</v>
      </c>
      <c r="W375">
        <v>40992.78</v>
      </c>
      <c r="X375">
        <v>165.61</v>
      </c>
      <c r="Y375">
        <v>21.06</v>
      </c>
      <c r="Z375">
        <v>0</v>
      </c>
      <c r="AA375">
        <v>1477823.84</v>
      </c>
      <c r="AB375">
        <v>187696.65</v>
      </c>
      <c r="AC375">
        <v>0</v>
      </c>
      <c r="AD375">
        <v>96203.839999999997</v>
      </c>
      <c r="AE375">
        <v>533670.44999999995</v>
      </c>
      <c r="AF375">
        <v>410710.43</v>
      </c>
      <c r="AG375">
        <v>814278.9</v>
      </c>
      <c r="AH375">
        <v>1</v>
      </c>
      <c r="AI375">
        <v>68937</v>
      </c>
      <c r="AJ375">
        <v>67585</v>
      </c>
      <c r="AK375">
        <v>100321</v>
      </c>
      <c r="AL375">
        <v>102327</v>
      </c>
      <c r="AM375">
        <v>48483</v>
      </c>
      <c r="AN375">
        <v>49453</v>
      </c>
      <c r="AO375">
        <v>1</v>
      </c>
      <c r="AP375">
        <v>1757154.35</v>
      </c>
      <c r="AQ375">
        <v>97225.72</v>
      </c>
      <c r="AR375">
        <v>29.146999999999998</v>
      </c>
      <c r="AS375">
        <v>4.8578999999999997E-2</v>
      </c>
      <c r="AT375">
        <v>4.0270000000000002E-3</v>
      </c>
      <c r="AU375">
        <v>1.7100000000000001E-2</v>
      </c>
    </row>
    <row r="376" spans="1:47">
      <c r="A376" t="s">
        <v>603</v>
      </c>
      <c r="B376" t="s">
        <v>604</v>
      </c>
      <c r="C376">
        <v>8672.2999999999993</v>
      </c>
      <c r="D376">
        <v>1251.9000000000001</v>
      </c>
      <c r="E376">
        <v>10856850.51</v>
      </c>
      <c r="F376">
        <v>5.75</v>
      </c>
      <c r="G376">
        <v>98.5</v>
      </c>
      <c r="H376">
        <v>29.75</v>
      </c>
      <c r="I376" s="274">
        <v>134</v>
      </c>
      <c r="J376">
        <v>57032.55</v>
      </c>
      <c r="K376">
        <v>853805.6</v>
      </c>
      <c r="L376">
        <v>254667.89</v>
      </c>
      <c r="M376">
        <v>0</v>
      </c>
      <c r="N376">
        <v>1106151.1200000001</v>
      </c>
      <c r="O376" s="274">
        <v>159156.04</v>
      </c>
      <c r="P376">
        <v>183838.17</v>
      </c>
      <c r="Q376">
        <v>104.25</v>
      </c>
      <c r="R376">
        <v>37.75</v>
      </c>
      <c r="S376">
        <v>7</v>
      </c>
      <c r="T376" s="274">
        <f t="shared" si="11"/>
        <v>149</v>
      </c>
      <c r="U376">
        <v>202126.66</v>
      </c>
      <c r="V376">
        <v>0</v>
      </c>
      <c r="W376">
        <v>0</v>
      </c>
      <c r="X376">
        <v>46.32</v>
      </c>
      <c r="Y376">
        <v>0</v>
      </c>
      <c r="Z376">
        <v>0</v>
      </c>
      <c r="AA376">
        <v>413406.8</v>
      </c>
      <c r="AB376">
        <v>0</v>
      </c>
      <c r="AC376">
        <v>0</v>
      </c>
      <c r="AD376">
        <v>44550.47</v>
      </c>
      <c r="AE376">
        <v>455773.38</v>
      </c>
      <c r="AF376">
        <v>351324.72</v>
      </c>
      <c r="AG376">
        <v>434973.45</v>
      </c>
      <c r="AH376">
        <v>1</v>
      </c>
      <c r="AI376">
        <v>68937</v>
      </c>
      <c r="AJ376">
        <v>67585</v>
      </c>
      <c r="AK376">
        <v>100321</v>
      </c>
      <c r="AL376">
        <v>102327</v>
      </c>
      <c r="AM376">
        <v>48483</v>
      </c>
      <c r="AN376">
        <v>49453</v>
      </c>
      <c r="AO376">
        <v>1</v>
      </c>
      <c r="AP376">
        <v>1671295.34</v>
      </c>
      <c r="AQ376">
        <v>90685.75</v>
      </c>
      <c r="AR376">
        <v>23.87</v>
      </c>
      <c r="AS376">
        <v>4.8578999999999997E-2</v>
      </c>
      <c r="AT376">
        <v>4.0270000000000002E-3</v>
      </c>
      <c r="AU376">
        <v>1.7100000000000001E-2</v>
      </c>
    </row>
    <row r="377" spans="1:47">
      <c r="A377" t="s">
        <v>605</v>
      </c>
      <c r="B377" t="s">
        <v>606</v>
      </c>
      <c r="C377">
        <v>8749.15</v>
      </c>
      <c r="D377">
        <v>3058.33</v>
      </c>
      <c r="E377">
        <v>26757778.140000001</v>
      </c>
      <c r="F377">
        <v>20.75</v>
      </c>
      <c r="G377">
        <v>290</v>
      </c>
      <c r="H377">
        <v>95.25</v>
      </c>
      <c r="I377" s="274">
        <v>406</v>
      </c>
      <c r="J377">
        <v>205867.04</v>
      </c>
      <c r="K377">
        <v>2513950.2999999998</v>
      </c>
      <c r="L377">
        <v>815430.86</v>
      </c>
      <c r="M377">
        <v>0</v>
      </c>
      <c r="N377">
        <v>3323636.51</v>
      </c>
      <c r="O377" s="274">
        <v>387470.21</v>
      </c>
      <c r="P377">
        <v>672680.73</v>
      </c>
      <c r="Q377">
        <v>595.5</v>
      </c>
      <c r="R377">
        <v>449.5</v>
      </c>
      <c r="S377">
        <v>151.25</v>
      </c>
      <c r="T377" s="274">
        <f t="shared" si="11"/>
        <v>1196.25</v>
      </c>
      <c r="U377">
        <v>1655560.19</v>
      </c>
      <c r="V377">
        <v>152.91999999999999</v>
      </c>
      <c r="W377">
        <v>86094.62</v>
      </c>
      <c r="X377">
        <v>256.31</v>
      </c>
      <c r="Y377">
        <v>57.4</v>
      </c>
      <c r="Z377">
        <v>0</v>
      </c>
      <c r="AA377">
        <v>2287106.96</v>
      </c>
      <c r="AB377">
        <v>511465.91</v>
      </c>
      <c r="AC377">
        <v>0</v>
      </c>
      <c r="AD377">
        <v>330004.59999999998</v>
      </c>
      <c r="AE377">
        <v>1703632.5</v>
      </c>
      <c r="AF377">
        <v>902525.87</v>
      </c>
      <c r="AG377">
        <v>1728936.28</v>
      </c>
      <c r="AH377">
        <v>1</v>
      </c>
      <c r="AI377">
        <v>68937</v>
      </c>
      <c r="AJ377">
        <v>67585</v>
      </c>
      <c r="AK377">
        <v>100321</v>
      </c>
      <c r="AL377">
        <v>102327</v>
      </c>
      <c r="AM377">
        <v>48483</v>
      </c>
      <c r="AN377">
        <v>49453</v>
      </c>
      <c r="AO377">
        <v>1</v>
      </c>
      <c r="AP377">
        <v>3776099.64</v>
      </c>
      <c r="AQ377">
        <v>207898.83</v>
      </c>
      <c r="AR377">
        <v>59.694000000000003</v>
      </c>
      <c r="AS377">
        <v>4.8578999999999997E-2</v>
      </c>
      <c r="AT377">
        <v>4.0270000000000002E-3</v>
      </c>
      <c r="AU377">
        <v>1.7100000000000001E-2</v>
      </c>
    </row>
    <row r="378" spans="1:47">
      <c r="A378" t="s">
        <v>607</v>
      </c>
      <c r="B378" t="s">
        <v>608</v>
      </c>
      <c r="C378">
        <v>9020.9500000000007</v>
      </c>
      <c r="D378">
        <v>5225.18</v>
      </c>
      <c r="E378">
        <v>47136074.68</v>
      </c>
      <c r="F378">
        <v>58.75</v>
      </c>
      <c r="G378">
        <v>484.5</v>
      </c>
      <c r="H378">
        <v>229.75</v>
      </c>
      <c r="I378" s="274">
        <v>773</v>
      </c>
      <c r="J378">
        <v>599404.37</v>
      </c>
      <c r="K378">
        <v>4320533.05</v>
      </c>
      <c r="L378">
        <v>2023318.82</v>
      </c>
      <c r="M378">
        <v>-32724.36</v>
      </c>
      <c r="N378">
        <v>6336718.8600000003</v>
      </c>
      <c r="O378" s="274">
        <v>752521.83</v>
      </c>
      <c r="P378">
        <v>1408999.51</v>
      </c>
      <c r="Q378">
        <v>299.75</v>
      </c>
      <c r="R378">
        <v>122.25</v>
      </c>
      <c r="S378">
        <v>76</v>
      </c>
      <c r="T378" s="274">
        <f t="shared" si="11"/>
        <v>498</v>
      </c>
      <c r="U378">
        <v>672157.13</v>
      </c>
      <c r="V378">
        <v>261.26</v>
      </c>
      <c r="W378">
        <v>152316.46</v>
      </c>
      <c r="X378">
        <v>310.18</v>
      </c>
      <c r="Y378">
        <v>281.89999999999998</v>
      </c>
      <c r="Z378">
        <v>0</v>
      </c>
      <c r="AA378">
        <v>2846026.95</v>
      </c>
      <c r="AB378">
        <v>2582935.5499999998</v>
      </c>
      <c r="AC378">
        <v>0</v>
      </c>
      <c r="AD378">
        <v>363341.42</v>
      </c>
      <c r="AE378">
        <v>2267940.2799999998</v>
      </c>
      <c r="AF378">
        <v>334610.09000000003</v>
      </c>
      <c r="AG378">
        <v>1522354.4</v>
      </c>
      <c r="AH378">
        <v>1.04</v>
      </c>
      <c r="AI378">
        <v>68937</v>
      </c>
      <c r="AJ378">
        <v>67585</v>
      </c>
      <c r="AK378">
        <v>100321</v>
      </c>
      <c r="AL378">
        <v>102327</v>
      </c>
      <c r="AM378">
        <v>48483</v>
      </c>
      <c r="AN378">
        <v>49453</v>
      </c>
      <c r="AO378">
        <v>1</v>
      </c>
      <c r="AP378">
        <v>6109804.5499999998</v>
      </c>
      <c r="AQ378">
        <v>352304.42</v>
      </c>
      <c r="AR378">
        <v>100.676</v>
      </c>
      <c r="AS378">
        <v>4.8578999999999997E-2</v>
      </c>
      <c r="AT378">
        <v>4.0270000000000002E-3</v>
      </c>
      <c r="AU378">
        <v>1.7100000000000001E-2</v>
      </c>
    </row>
    <row r="379" spans="1:47">
      <c r="A379" t="s">
        <v>609</v>
      </c>
      <c r="B379" t="s">
        <v>610</v>
      </c>
      <c r="C379">
        <v>8657.44</v>
      </c>
      <c r="D379">
        <v>822.54</v>
      </c>
      <c r="E379">
        <v>7121088.7400000002</v>
      </c>
      <c r="F379">
        <v>6.25</v>
      </c>
      <c r="G379">
        <v>71</v>
      </c>
      <c r="H379">
        <v>51.5</v>
      </c>
      <c r="I379" s="274">
        <v>128.75</v>
      </c>
      <c r="J379">
        <v>60640.87</v>
      </c>
      <c r="K379">
        <v>601904.44999999995</v>
      </c>
      <c r="L379">
        <v>431161.35</v>
      </c>
      <c r="M379">
        <v>-95808.52</v>
      </c>
      <c r="N379">
        <v>1033531.28</v>
      </c>
      <c r="O379" s="274">
        <v>106389.15</v>
      </c>
      <c r="P379">
        <v>188870.38</v>
      </c>
      <c r="Q379">
        <v>75.5</v>
      </c>
      <c r="R379">
        <v>49</v>
      </c>
      <c r="S379">
        <v>17</v>
      </c>
      <c r="T379" s="274">
        <f t="shared" si="11"/>
        <v>141.5</v>
      </c>
      <c r="U379">
        <v>194104.22</v>
      </c>
      <c r="V379">
        <v>41.13</v>
      </c>
      <c r="W379">
        <v>23186.85</v>
      </c>
      <c r="X379">
        <v>22.8</v>
      </c>
      <c r="Y379">
        <v>2.3199999999999998</v>
      </c>
      <c r="Z379">
        <v>0</v>
      </c>
      <c r="AA379">
        <v>203475.1</v>
      </c>
      <c r="AB379">
        <v>20602.68</v>
      </c>
      <c r="AC379">
        <v>0</v>
      </c>
      <c r="AD379">
        <v>103179.5</v>
      </c>
      <c r="AE379">
        <v>761719.26</v>
      </c>
      <c r="AF379">
        <v>245663.14</v>
      </c>
      <c r="AG379">
        <v>533297.41</v>
      </c>
      <c r="AH379">
        <v>1</v>
      </c>
      <c r="AI379">
        <v>68937</v>
      </c>
      <c r="AJ379">
        <v>67585</v>
      </c>
      <c r="AK379">
        <v>100321</v>
      </c>
      <c r="AL379">
        <v>102327</v>
      </c>
      <c r="AM379">
        <v>48483</v>
      </c>
      <c r="AN379">
        <v>49453</v>
      </c>
      <c r="AO379">
        <v>1</v>
      </c>
      <c r="AP379">
        <v>1088389.5</v>
      </c>
      <c r="AQ379">
        <v>58280.45</v>
      </c>
      <c r="AR379">
        <v>14.606999999999999</v>
      </c>
      <c r="AS379">
        <v>4.8578999999999997E-2</v>
      </c>
      <c r="AT379">
        <v>4.0270000000000002E-3</v>
      </c>
      <c r="AU379">
        <v>1.7100000000000001E-2</v>
      </c>
    </row>
    <row r="380" spans="1:47">
      <c r="A380" t="s">
        <v>1192</v>
      </c>
      <c r="B380" t="s">
        <v>1193</v>
      </c>
      <c r="C380">
        <v>0</v>
      </c>
      <c r="D380">
        <v>0</v>
      </c>
      <c r="E380">
        <v>0</v>
      </c>
      <c r="F380">
        <v>0</v>
      </c>
      <c r="G380">
        <v>0</v>
      </c>
      <c r="H380">
        <v>0</v>
      </c>
      <c r="I380" s="274">
        <v>0</v>
      </c>
      <c r="J380">
        <v>0</v>
      </c>
      <c r="K380">
        <v>0</v>
      </c>
      <c r="L380">
        <v>0</v>
      </c>
      <c r="M380">
        <v>0</v>
      </c>
      <c r="N380">
        <v>0</v>
      </c>
      <c r="O380" s="274">
        <v>0</v>
      </c>
      <c r="P380">
        <v>0</v>
      </c>
      <c r="Q380">
        <v>0</v>
      </c>
      <c r="R380">
        <v>0</v>
      </c>
      <c r="S380">
        <v>0</v>
      </c>
      <c r="T380" s="274">
        <f t="shared" si="11"/>
        <v>0</v>
      </c>
      <c r="U380">
        <v>0</v>
      </c>
      <c r="V380">
        <v>0</v>
      </c>
      <c r="W380">
        <v>0</v>
      </c>
      <c r="X380">
        <v>0</v>
      </c>
      <c r="Y380">
        <v>0</v>
      </c>
      <c r="Z380">
        <v>0</v>
      </c>
      <c r="AA380">
        <v>0</v>
      </c>
      <c r="AB380">
        <v>0</v>
      </c>
      <c r="AC380">
        <v>0</v>
      </c>
      <c r="AD380">
        <v>0</v>
      </c>
      <c r="AE380">
        <v>748211.97</v>
      </c>
      <c r="AF380">
        <v>0</v>
      </c>
      <c r="AG380">
        <v>0</v>
      </c>
      <c r="AH380">
        <v>0</v>
      </c>
      <c r="AI380">
        <v>0</v>
      </c>
      <c r="AJ380">
        <v>0</v>
      </c>
      <c r="AK380">
        <v>100321</v>
      </c>
      <c r="AL380">
        <v>102327</v>
      </c>
      <c r="AM380">
        <v>48483</v>
      </c>
      <c r="AN380">
        <v>49453</v>
      </c>
      <c r="AO380">
        <v>1.04</v>
      </c>
      <c r="AP380">
        <v>0</v>
      </c>
      <c r="AQ380">
        <v>0</v>
      </c>
      <c r="AR380">
        <v>0</v>
      </c>
      <c r="AS380">
        <v>4.8578999999999997E-2</v>
      </c>
      <c r="AT380">
        <v>4.0270000000000002E-3</v>
      </c>
      <c r="AU380">
        <v>1.7100000000000001E-2</v>
      </c>
    </row>
    <row r="381" spans="1:47">
      <c r="A381" t="s">
        <v>1039</v>
      </c>
      <c r="B381" t="s">
        <v>1045</v>
      </c>
      <c r="C381">
        <v>10927.74</v>
      </c>
      <c r="D381">
        <v>130.4</v>
      </c>
      <c r="E381">
        <v>1424977.35</v>
      </c>
      <c r="F381">
        <v>0</v>
      </c>
      <c r="G381">
        <v>16.5</v>
      </c>
      <c r="H381">
        <v>1</v>
      </c>
      <c r="I381" s="274">
        <v>17.5</v>
      </c>
      <c r="J381">
        <v>0</v>
      </c>
      <c r="K381">
        <v>134674.31</v>
      </c>
      <c r="L381">
        <v>8060.53</v>
      </c>
      <c r="M381">
        <v>0</v>
      </c>
      <c r="N381">
        <v>142168.6</v>
      </c>
      <c r="O381" s="274">
        <v>13448.34</v>
      </c>
      <c r="P381">
        <v>20459.349999999999</v>
      </c>
      <c r="Q381">
        <v>0</v>
      </c>
      <c r="R381">
        <v>0</v>
      </c>
      <c r="S381">
        <v>0</v>
      </c>
      <c r="T381" s="274">
        <f t="shared" si="11"/>
        <v>0</v>
      </c>
      <c r="U381">
        <v>0</v>
      </c>
      <c r="V381">
        <v>0</v>
      </c>
      <c r="W381">
        <v>0</v>
      </c>
      <c r="X381">
        <v>0</v>
      </c>
      <c r="Y381">
        <v>0</v>
      </c>
      <c r="Z381">
        <v>0</v>
      </c>
      <c r="AA381">
        <v>0</v>
      </c>
      <c r="AB381">
        <v>0</v>
      </c>
      <c r="AC381">
        <v>0</v>
      </c>
      <c r="AD381">
        <v>0</v>
      </c>
      <c r="AE381">
        <v>0</v>
      </c>
      <c r="AF381">
        <v>0</v>
      </c>
      <c r="AG381">
        <v>0</v>
      </c>
      <c r="AH381">
        <v>1</v>
      </c>
      <c r="AI381">
        <v>68937</v>
      </c>
      <c r="AJ381">
        <v>67585</v>
      </c>
      <c r="AK381">
        <v>100321</v>
      </c>
      <c r="AL381">
        <v>102327</v>
      </c>
      <c r="AM381">
        <v>48483</v>
      </c>
      <c r="AN381">
        <v>49453</v>
      </c>
      <c r="AO381">
        <v>1</v>
      </c>
      <c r="AP381">
        <v>283512.78999999998</v>
      </c>
      <c r="AQ381">
        <v>9624.11</v>
      </c>
      <c r="AR381">
        <v>0</v>
      </c>
      <c r="AS381">
        <v>4.8578999999999997E-2</v>
      </c>
      <c r="AT381">
        <v>4.0270000000000002E-3</v>
      </c>
      <c r="AU381">
        <v>1.7100000000000001E-2</v>
      </c>
    </row>
    <row r="382" spans="1:47">
      <c r="A382" t="s">
        <v>1194</v>
      </c>
      <c r="B382" t="s">
        <v>1195</v>
      </c>
      <c r="C382">
        <v>0</v>
      </c>
      <c r="D382">
        <v>0</v>
      </c>
      <c r="E382">
        <v>0</v>
      </c>
      <c r="F382">
        <v>0</v>
      </c>
      <c r="G382">
        <v>0</v>
      </c>
      <c r="H382">
        <v>0</v>
      </c>
      <c r="I382" s="274">
        <v>0</v>
      </c>
      <c r="J382">
        <v>0</v>
      </c>
      <c r="K382">
        <v>0</v>
      </c>
      <c r="L382">
        <v>0</v>
      </c>
      <c r="M382">
        <v>0</v>
      </c>
      <c r="N382">
        <v>0</v>
      </c>
      <c r="O382" s="274">
        <v>0</v>
      </c>
      <c r="P382">
        <v>0</v>
      </c>
      <c r="Q382">
        <v>0</v>
      </c>
      <c r="R382">
        <v>0</v>
      </c>
      <c r="S382">
        <v>0</v>
      </c>
      <c r="T382" s="274">
        <f t="shared" si="11"/>
        <v>0</v>
      </c>
      <c r="U382">
        <v>0</v>
      </c>
      <c r="V382">
        <v>0</v>
      </c>
      <c r="W382">
        <v>0</v>
      </c>
      <c r="X382">
        <v>0</v>
      </c>
      <c r="Y382">
        <v>0</v>
      </c>
      <c r="Z382">
        <v>0</v>
      </c>
      <c r="AA382">
        <v>0</v>
      </c>
      <c r="AB382">
        <v>0</v>
      </c>
      <c r="AC382">
        <v>0</v>
      </c>
      <c r="AD382">
        <v>0</v>
      </c>
      <c r="AE382">
        <v>0</v>
      </c>
      <c r="AF382">
        <v>0</v>
      </c>
      <c r="AG382">
        <v>0</v>
      </c>
      <c r="AH382">
        <v>0</v>
      </c>
      <c r="AI382">
        <v>0</v>
      </c>
      <c r="AJ382">
        <v>0</v>
      </c>
      <c r="AK382">
        <v>0</v>
      </c>
      <c r="AL382">
        <v>0</v>
      </c>
      <c r="AM382">
        <v>0</v>
      </c>
      <c r="AN382">
        <v>0</v>
      </c>
      <c r="AO382">
        <v>0</v>
      </c>
      <c r="AP382">
        <v>0</v>
      </c>
      <c r="AQ382">
        <v>0</v>
      </c>
      <c r="AR382">
        <v>0</v>
      </c>
      <c r="AS382">
        <v>4.8578999999999997E-2</v>
      </c>
      <c r="AT382">
        <v>4.0270000000000002E-3</v>
      </c>
      <c r="AU382">
        <v>1.7100000000000001E-2</v>
      </c>
    </row>
    <row r="383" spans="1:47">
      <c r="AK383">
        <v>100321</v>
      </c>
      <c r="AL383">
        <v>102327</v>
      </c>
      <c r="AM383">
        <v>48483</v>
      </c>
      <c r="AN383">
        <v>49453</v>
      </c>
      <c r="AO383">
        <v>1</v>
      </c>
    </row>
    <row r="384" spans="1:47">
      <c r="AK384">
        <v>0</v>
      </c>
      <c r="AL384">
        <v>0</v>
      </c>
      <c r="AM384">
        <v>0</v>
      </c>
      <c r="AN384">
        <v>0</v>
      </c>
      <c r="AO384">
        <v>0</v>
      </c>
    </row>
  </sheetData>
  <autoFilter ref="A5:AR384" xr:uid="{00000000-0009-0000-0000-000023000000}"/>
  <sortState xmlns:xlrd2="http://schemas.microsoft.com/office/spreadsheetml/2017/richdata2" ref="A2:J297">
    <sortCondition ref="A299:A310"/>
  </sortState>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AQ1048270"/>
  <sheetViews>
    <sheetView zoomScaleNormal="100" workbookViewId="0">
      <pane xSplit="1" ySplit="6" topLeftCell="B7" activePane="bottomRight" state="frozen"/>
      <selection activeCell="C3" sqref="C3:E3"/>
      <selection pane="topRight" activeCell="C3" sqref="C3:E3"/>
      <selection pane="bottomLeft" activeCell="C3" sqref="C3:E3"/>
      <selection pane="bottomRight" activeCell="C3" sqref="C3:E3"/>
    </sheetView>
  </sheetViews>
  <sheetFormatPr defaultRowHeight="14.4"/>
  <cols>
    <col min="1" max="1" width="16.21875" style="2" customWidth="1"/>
    <col min="2" max="2" width="53.21875" style="2" customWidth="1"/>
    <col min="3" max="3" width="16" style="2" customWidth="1"/>
    <col min="4" max="4" width="27.77734375" style="2" customWidth="1"/>
    <col min="5" max="5" width="23.21875" customWidth="1"/>
    <col min="6" max="6" width="29.44140625" customWidth="1"/>
    <col min="7" max="7" width="18.21875" customWidth="1"/>
    <col min="8" max="8" width="21.44140625" customWidth="1"/>
    <col min="9" max="9" width="18.21875" customWidth="1"/>
    <col min="10" max="10" width="24.77734375" bestFit="1" customWidth="1"/>
    <col min="11" max="11" width="26.5546875" bestFit="1" customWidth="1"/>
    <col min="12" max="12" width="26.44140625" customWidth="1"/>
    <col min="13" max="13" width="19.44140625" bestFit="1" customWidth="1"/>
    <col min="14" max="14" width="17.21875" customWidth="1"/>
    <col min="15" max="15" width="17" customWidth="1"/>
    <col min="16" max="17" width="26.44140625" customWidth="1"/>
    <col min="18" max="18" width="15.44140625" customWidth="1"/>
    <col min="19" max="19" width="15.5546875" customWidth="1"/>
    <col min="20" max="20" width="13.5546875" customWidth="1"/>
    <col min="21" max="22" width="13.21875" customWidth="1"/>
    <col min="23" max="23" width="16.21875" bestFit="1" customWidth="1"/>
    <col min="24" max="26" width="11.77734375" customWidth="1"/>
    <col min="27" max="28" width="10.5546875" style="77" bestFit="1" customWidth="1"/>
    <col min="29" max="29" width="10.77734375" style="77" customWidth="1"/>
    <col min="30" max="31" width="10.5546875" style="77" bestFit="1" customWidth="1"/>
    <col min="32" max="32" width="10.5546875" style="77" customWidth="1"/>
    <col min="33" max="33" width="10.77734375" style="77" bestFit="1" customWidth="1"/>
    <col min="34" max="34" width="12.5546875" style="77" customWidth="1"/>
    <col min="35" max="35" width="12.44140625" style="77" customWidth="1"/>
    <col min="36" max="36" width="16.77734375" style="3" bestFit="1" customWidth="1"/>
    <col min="37" max="37" width="10.5546875" style="3" bestFit="1" customWidth="1"/>
    <col min="38" max="38" width="17.5546875" bestFit="1" customWidth="1"/>
    <col min="39" max="39" width="19.44140625" bestFit="1" customWidth="1"/>
    <col min="40" max="40" width="19.44140625" customWidth="1"/>
    <col min="43" max="43" width="24.21875" customWidth="1"/>
  </cols>
  <sheetData>
    <row r="1" spans="1:40">
      <c r="A1" s="2">
        <v>1</v>
      </c>
      <c r="B1" s="2">
        <f>A1+1</f>
        <v>2</v>
      </c>
      <c r="C1" s="2">
        <f t="shared" ref="C1:V1" si="0">B1+1</f>
        <v>3</v>
      </c>
      <c r="D1" s="2">
        <f t="shared" si="0"/>
        <v>4</v>
      </c>
      <c r="E1" s="2">
        <f t="shared" si="0"/>
        <v>5</v>
      </c>
      <c r="F1" s="2">
        <f t="shared" si="0"/>
        <v>6</v>
      </c>
      <c r="G1" s="2">
        <f t="shared" si="0"/>
        <v>7</v>
      </c>
      <c r="H1" s="2">
        <f t="shared" si="0"/>
        <v>8</v>
      </c>
      <c r="I1" s="2">
        <f t="shared" si="0"/>
        <v>9</v>
      </c>
      <c r="J1" s="2">
        <f t="shared" si="0"/>
        <v>10</v>
      </c>
      <c r="K1" s="2">
        <f t="shared" si="0"/>
        <v>11</v>
      </c>
      <c r="L1" s="2">
        <f t="shared" si="0"/>
        <v>12</v>
      </c>
      <c r="M1" s="2">
        <f t="shared" si="0"/>
        <v>13</v>
      </c>
      <c r="N1" s="2">
        <f t="shared" si="0"/>
        <v>14</v>
      </c>
      <c r="O1" s="2">
        <f t="shared" si="0"/>
        <v>15</v>
      </c>
      <c r="P1" s="2">
        <f t="shared" si="0"/>
        <v>16</v>
      </c>
      <c r="Q1" s="2">
        <f t="shared" si="0"/>
        <v>17</v>
      </c>
      <c r="R1" s="2">
        <f t="shared" si="0"/>
        <v>18</v>
      </c>
      <c r="S1" s="2">
        <f t="shared" si="0"/>
        <v>19</v>
      </c>
      <c r="T1" s="2">
        <f t="shared" si="0"/>
        <v>20</v>
      </c>
      <c r="U1" s="2">
        <f t="shared" si="0"/>
        <v>21</v>
      </c>
      <c r="V1" s="2">
        <f t="shared" si="0"/>
        <v>22</v>
      </c>
      <c r="W1" s="2">
        <f t="shared" ref="W1:AN1" si="1">V1+1</f>
        <v>23</v>
      </c>
      <c r="X1" s="2">
        <f t="shared" si="1"/>
        <v>24</v>
      </c>
      <c r="Y1" s="2">
        <f t="shared" si="1"/>
        <v>25</v>
      </c>
      <c r="Z1" s="2">
        <f t="shared" si="1"/>
        <v>26</v>
      </c>
      <c r="AA1" s="2">
        <f t="shared" si="1"/>
        <v>27</v>
      </c>
      <c r="AB1" s="2">
        <f t="shared" si="1"/>
        <v>28</v>
      </c>
      <c r="AC1" s="2">
        <f t="shared" si="1"/>
        <v>29</v>
      </c>
      <c r="AD1" s="2">
        <f t="shared" si="1"/>
        <v>30</v>
      </c>
      <c r="AE1" s="2">
        <f t="shared" si="1"/>
        <v>31</v>
      </c>
      <c r="AF1" s="2">
        <f t="shared" si="1"/>
        <v>32</v>
      </c>
      <c r="AG1" s="2">
        <f t="shared" si="1"/>
        <v>33</v>
      </c>
      <c r="AH1" s="2">
        <f t="shared" si="1"/>
        <v>34</v>
      </c>
      <c r="AI1" s="2">
        <f t="shared" si="1"/>
        <v>35</v>
      </c>
      <c r="AJ1" s="2">
        <f t="shared" si="1"/>
        <v>36</v>
      </c>
      <c r="AK1" s="2">
        <f t="shared" si="1"/>
        <v>37</v>
      </c>
      <c r="AL1" s="2">
        <f t="shared" si="1"/>
        <v>38</v>
      </c>
      <c r="AM1" s="2">
        <f t="shared" si="1"/>
        <v>39</v>
      </c>
      <c r="AN1" s="2">
        <f t="shared" si="1"/>
        <v>40</v>
      </c>
    </row>
    <row r="2" spans="1:40" s="270" customFormat="1" ht="18.75" customHeight="1">
      <c r="A2" s="285"/>
      <c r="B2" s="285"/>
      <c r="C2" s="285"/>
      <c r="D2" s="285"/>
      <c r="E2" s="1" t="s">
        <v>620</v>
      </c>
      <c r="F2" s="120"/>
      <c r="G2" s="184"/>
      <c r="H2" s="286" t="s">
        <v>1273</v>
      </c>
      <c r="I2" s="119"/>
      <c r="J2" s="184"/>
      <c r="K2" s="116"/>
      <c r="L2" s="119"/>
      <c r="M2" s="294"/>
      <c r="N2" s="294"/>
      <c r="O2" s="294"/>
      <c r="P2" s="184"/>
      <c r="Q2" s="184"/>
      <c r="R2" s="287"/>
      <c r="S2" s="287"/>
      <c r="T2" s="287"/>
      <c r="U2" s="287"/>
      <c r="V2" s="287" t="s">
        <v>1200</v>
      </c>
      <c r="W2" s="288"/>
      <c r="X2" s="295" t="s">
        <v>1207</v>
      </c>
      <c r="Y2" s="295" t="s">
        <v>1208</v>
      </c>
      <c r="Z2" s="295" t="s">
        <v>1209</v>
      </c>
      <c r="AA2" s="289" t="s">
        <v>1201</v>
      </c>
      <c r="AB2" s="289" t="s">
        <v>1202</v>
      </c>
      <c r="AC2" s="289" t="s">
        <v>1203</v>
      </c>
      <c r="AD2" s="289" t="s">
        <v>1204</v>
      </c>
      <c r="AE2" s="289" t="s">
        <v>1205</v>
      </c>
      <c r="AF2" s="289" t="s">
        <v>1206</v>
      </c>
      <c r="AG2" s="290"/>
      <c r="AH2" s="290"/>
      <c r="AI2" s="290"/>
      <c r="AJ2" s="291"/>
      <c r="AK2" s="291"/>
      <c r="AL2" s="292"/>
      <c r="AM2" s="294"/>
      <c r="AN2" s="291"/>
    </row>
    <row r="3" spans="1:40" s="270" customFormat="1" ht="18.75" customHeight="1">
      <c r="A3" s="285"/>
      <c r="B3" s="285"/>
      <c r="C3" s="285"/>
      <c r="D3" s="285"/>
      <c r="E3" s="1" t="s">
        <v>621</v>
      </c>
      <c r="F3" s="120"/>
      <c r="G3" s="293"/>
      <c r="H3" s="323" t="s">
        <v>1256</v>
      </c>
      <c r="I3" s="119"/>
      <c r="J3" s="184"/>
      <c r="K3" s="116"/>
      <c r="L3" s="119"/>
      <c r="M3" s="294"/>
      <c r="N3" s="294"/>
      <c r="O3" s="294"/>
      <c r="P3" s="184"/>
      <c r="Q3" s="184"/>
      <c r="R3" s="287"/>
      <c r="S3" s="287"/>
      <c r="T3" s="287"/>
      <c r="U3" s="287" t="s">
        <v>1200</v>
      </c>
      <c r="V3" s="1" t="s">
        <v>621</v>
      </c>
      <c r="W3" s="288"/>
      <c r="X3" s="295"/>
      <c r="Y3" s="295"/>
      <c r="Z3" s="295"/>
      <c r="AA3" s="275" t="s">
        <v>1266</v>
      </c>
      <c r="AB3" s="275" t="s">
        <v>1034</v>
      </c>
      <c r="AC3" s="289"/>
      <c r="AD3" s="297" t="s">
        <v>1034</v>
      </c>
      <c r="AE3" s="289"/>
      <c r="AF3" s="297" t="s">
        <v>1034</v>
      </c>
      <c r="AG3" s="290"/>
      <c r="AH3" s="290"/>
      <c r="AI3" s="290"/>
      <c r="AJ3" s="291"/>
      <c r="AK3" s="291"/>
      <c r="AL3" s="292"/>
      <c r="AM3" s="294"/>
      <c r="AN3" s="291"/>
    </row>
    <row r="4" spans="1:40" s="270" customFormat="1" ht="17.25" customHeight="1">
      <c r="A4" s="285" t="s">
        <v>1</v>
      </c>
      <c r="B4" s="285" t="s">
        <v>2</v>
      </c>
      <c r="C4" s="285" t="s">
        <v>961</v>
      </c>
      <c r="D4" s="322" t="s">
        <v>612</v>
      </c>
      <c r="E4" s="1" t="s">
        <v>622</v>
      </c>
      <c r="F4" s="120" t="s">
        <v>960</v>
      </c>
      <c r="G4" s="293" t="s">
        <v>1255</v>
      </c>
      <c r="H4" s="323" t="s">
        <v>1257</v>
      </c>
      <c r="I4" s="119" t="s">
        <v>1268</v>
      </c>
      <c r="J4" s="285" t="s">
        <v>1002</v>
      </c>
      <c r="K4" s="285" t="s">
        <v>1001</v>
      </c>
      <c r="L4" s="119" t="s">
        <v>959</v>
      </c>
      <c r="M4" s="1" t="s">
        <v>1004</v>
      </c>
      <c r="N4" s="1" t="s">
        <v>614</v>
      </c>
      <c r="O4" s="1" t="s">
        <v>617</v>
      </c>
      <c r="P4" s="184" t="s">
        <v>1345</v>
      </c>
      <c r="Q4" s="184" t="s">
        <v>1344</v>
      </c>
      <c r="R4" s="1" t="s">
        <v>1263</v>
      </c>
      <c r="S4" s="1" t="s">
        <v>619</v>
      </c>
      <c r="T4" s="1" t="s">
        <v>618</v>
      </c>
      <c r="U4" s="1" t="s">
        <v>622</v>
      </c>
      <c r="V4" s="1" t="s">
        <v>620</v>
      </c>
      <c r="W4" s="288" t="s">
        <v>963</v>
      </c>
      <c r="X4" s="296" t="s">
        <v>1197</v>
      </c>
      <c r="Y4" s="296" t="s">
        <v>1198</v>
      </c>
      <c r="Z4" s="296" t="s">
        <v>1199</v>
      </c>
      <c r="AA4" s="297" t="s">
        <v>1036</v>
      </c>
      <c r="AB4" s="297" t="s">
        <v>1035</v>
      </c>
      <c r="AC4" s="297" t="s">
        <v>1005</v>
      </c>
      <c r="AD4" s="297" t="s">
        <v>1006</v>
      </c>
      <c r="AE4" s="297" t="s">
        <v>1007</v>
      </c>
      <c r="AF4" s="297" t="s">
        <v>1008</v>
      </c>
      <c r="AG4" s="290" t="s">
        <v>1210</v>
      </c>
      <c r="AH4" s="290" t="s">
        <v>1211</v>
      </c>
      <c r="AI4" s="290" t="s">
        <v>1212</v>
      </c>
      <c r="AJ4" s="291" t="s">
        <v>1265</v>
      </c>
      <c r="AK4" s="291" t="s">
        <v>1264</v>
      </c>
      <c r="AL4" s="292" t="s">
        <v>1025</v>
      </c>
      <c r="AM4" s="1" t="s">
        <v>1003</v>
      </c>
      <c r="AN4" s="276" t="s">
        <v>1054</v>
      </c>
    </row>
    <row r="5" spans="1:40" s="123" customFormat="1" ht="19.5" customHeight="1">
      <c r="A5" s="124" t="s">
        <v>627</v>
      </c>
      <c r="B5" s="122" t="s">
        <v>871</v>
      </c>
      <c r="C5" s="122" t="s">
        <v>1267</v>
      </c>
      <c r="D5" s="125">
        <f>SUM(D14:D320)</f>
        <v>9489134858.5900021</v>
      </c>
      <c r="E5" s="126">
        <f t="shared" ref="E5:Q5" si="2">SUM(E14:E320)</f>
        <v>692004558.68999946</v>
      </c>
      <c r="F5" s="126">
        <f t="shared" si="2"/>
        <v>8797130299.8999996</v>
      </c>
      <c r="G5" s="101">
        <f t="shared" si="2"/>
        <v>98963376.669999972</v>
      </c>
      <c r="H5" s="101">
        <f t="shared" si="2"/>
        <v>1156052927.1600001</v>
      </c>
      <c r="I5" s="195">
        <f>SUM(I14:I320)</f>
        <v>1255016303.8300004</v>
      </c>
      <c r="J5" s="127">
        <f t="shared" si="2"/>
        <v>559122814.87999964</v>
      </c>
      <c r="K5" s="127">
        <f t="shared" si="2"/>
        <v>59157842.720000014</v>
      </c>
      <c r="L5" s="101">
        <f t="shared" si="2"/>
        <v>618280657.60000014</v>
      </c>
      <c r="M5" s="238">
        <f>SUM(M14:M320)</f>
        <v>295836936.8599999</v>
      </c>
      <c r="N5" s="128">
        <f t="shared" si="2"/>
        <v>200909128.83999991</v>
      </c>
      <c r="O5" s="128">
        <f t="shared" si="2"/>
        <v>27053184.889999993</v>
      </c>
      <c r="P5" s="101">
        <f t="shared" si="2"/>
        <v>230961019.29120004</v>
      </c>
      <c r="Q5" s="101">
        <f t="shared" si="2"/>
        <v>2213136800.3556376</v>
      </c>
      <c r="R5" s="129">
        <f>SUM(R14:R320)</f>
        <v>4226.67</v>
      </c>
      <c r="S5" s="129">
        <f>SUM(S14:S320)</f>
        <v>11251.549999999992</v>
      </c>
      <c r="T5" s="129">
        <f>SUM(T14:T320)</f>
        <v>56854.52</v>
      </c>
      <c r="U5" s="130">
        <f>IFERROR(VLOOKUP(A5,JanApport,MATCH($U$4,'Jan 2022 Apport'!$3:$3,0),FALSE)/R5,0)</f>
        <v>11894.692074375336</v>
      </c>
      <c r="V5" s="130">
        <f>IFERROR(((VLOOKUP(A5,JanApport,MATCH($V$4,'Jan 2022 Apport'!$3:$3,0),FALSE)+VLOOKUP(A5,JanApport,MATCH($V$3,'Jan 2022 Apport'!$3:$3,0),FALSE))/(S5+T5)),0)</f>
        <v>10001.239777893516</v>
      </c>
      <c r="W5" s="130">
        <f>(AG5*X5)+(AH5*Y5)+(AI5*Z5)+(MSOC+MSOC912ehc)</f>
        <v>8626.2142302419998</v>
      </c>
      <c r="X5" s="137">
        <f>X7</f>
        <v>4.8578999999999997E-2</v>
      </c>
      <c r="Y5" s="137">
        <f>Y7</f>
        <v>4.0270000000000002E-3</v>
      </c>
      <c r="Z5" s="137">
        <f>Z7</f>
        <v>1.7100000000000001E-2</v>
      </c>
      <c r="AA5" s="175">
        <f>VLOOKUP(A5,JanApport,MATCH($AA$4,'Jan 2022 Apport'!$3:$3,0),FALSE)*VLOOKUP(A5,JanApport,MATCH($AA$3,'Jan 2022 Apport'!$3:$3,0),FALSE)</f>
        <v>73959.19230000001</v>
      </c>
      <c r="AB5" s="175">
        <f>VLOOKUP(A5,JanApport,MATCH($AB$4,'Jan 2022 Apport'!$3:$3,0),FALSE)*VLOOKUP(A5,JanApport,MATCH($AB$3,'Jan 2022 Apport'!$3:$3,0),FALSE)</f>
        <v>75659.744900000005</v>
      </c>
      <c r="AC5" s="175">
        <f>VLOOKUP(A5,JanApport,MATCH($AC$4,'Jan 2022 Apport'!$3:$3,0),FALSE)</f>
        <v>100721.60000000001</v>
      </c>
      <c r="AD5" s="175">
        <f>VLOOKUP(A5,JanApport,MATCH($AD$4,'Jan 2022 Apport'!$3:$3,0),FALSE)*VLOOKUP(A5,JanApport,MATCH($AD$3,'Jan 2022 Apport'!$3:$3,0),FALSE)</f>
        <v>111981.81490000001</v>
      </c>
      <c r="AE5" s="175">
        <f>VLOOKUP(A5,JanApport,MATCH($AE$4,'Jan 2022 Apport'!$3:$3,0),FALSE)</f>
        <v>48642.65</v>
      </c>
      <c r="AF5" s="175">
        <f>VLOOKUP(A5,JanApport,MATCH($AF$4,'Jan 2022 Apport'!$3:$3,0),FALSE)*VLOOKUP(A5,JanApport,MATCH($AF$3,'Jan 2022 Apport'!$3:$3,0),FALSE)</f>
        <v>54081.2765</v>
      </c>
      <c r="AG5" s="175">
        <f>(AA5*(1+CertMaint))+((AB5-AA5)*(1+CertInc))+(Insrate*Certinsfactor*12)</f>
        <v>104679.50943015001</v>
      </c>
      <c r="AH5" s="175">
        <f>(AC5*(1+CertMaint))+((AD5-AC5)*(1+CertInc))+(Insrate*Certinsfactor*12)</f>
        <v>149189.13968843003</v>
      </c>
      <c r="AI5" s="175">
        <f>(AE5*(1+ClassMaint))+((AF5-AE5)*(1+ClassInc))++(Insrate*Classinsfactor*12)</f>
        <v>82806.062930376298</v>
      </c>
      <c r="AJ5" s="174">
        <f>SUM(AJ14:AJ320)</f>
        <v>1218915786.0699999</v>
      </c>
      <c r="AK5" s="174">
        <f>SUM(AK14:AK320)</f>
        <v>19109.405000000013</v>
      </c>
      <c r="AL5" s="197">
        <f>SUM(F5+J5+M5+N5+O5+E5+AM5)+VLOOKUP(A5,SpEd_Apport,4,FALSE)+SpED!$G$4</f>
        <v>12007254355.969997</v>
      </c>
      <c r="AM5" s="238">
        <f>SUM(AM14:AM320)</f>
        <v>119066943.02000003</v>
      </c>
      <c r="AN5" s="238">
        <f>SUM(AN14:AN320)</f>
        <v>73899431.490000024</v>
      </c>
    </row>
    <row r="6" spans="1:40" s="123" customFormat="1" ht="8.25" customHeight="1">
      <c r="A6" s="124"/>
      <c r="B6" s="122"/>
      <c r="C6" s="122"/>
      <c r="D6" s="125"/>
      <c r="E6" s="126"/>
      <c r="F6" s="126"/>
      <c r="G6" s="101"/>
      <c r="H6" s="101"/>
      <c r="I6" s="195"/>
      <c r="J6" s="127"/>
      <c r="K6" s="127"/>
      <c r="L6" s="101"/>
      <c r="M6" s="238"/>
      <c r="N6" s="128"/>
      <c r="O6" s="128"/>
      <c r="P6" s="101"/>
      <c r="Q6" s="101"/>
      <c r="R6" s="129"/>
      <c r="S6" s="129"/>
      <c r="T6" s="129"/>
      <c r="U6" s="130"/>
      <c r="V6" s="130"/>
      <c r="W6" s="130"/>
      <c r="X6" s="137"/>
      <c r="Y6" s="137"/>
      <c r="Z6" s="137"/>
      <c r="AA6" s="175"/>
      <c r="AB6" s="175"/>
      <c r="AC6" s="175"/>
      <c r="AD6" s="175"/>
      <c r="AE6" s="175"/>
      <c r="AF6" s="175"/>
      <c r="AG6" s="175"/>
      <c r="AH6" s="175"/>
      <c r="AI6" s="175"/>
      <c r="AJ6" s="174"/>
      <c r="AK6" s="174"/>
      <c r="AL6" s="197"/>
      <c r="AM6" s="238"/>
      <c r="AN6" s="238"/>
    </row>
    <row r="7" spans="1:40">
      <c r="A7" s="244" t="s">
        <v>141</v>
      </c>
      <c r="B7" s="12" t="s">
        <v>142</v>
      </c>
      <c r="C7" s="2" t="s">
        <v>1267</v>
      </c>
      <c r="D7" s="118">
        <f>VLOOKUP(A7,JanApport,MATCH($D$4,'Jan 2022 Apport'!$3:$3,FALSE),FALSE)</f>
        <v>27298760.32</v>
      </c>
      <c r="E7" s="30">
        <f>VLOOKUP(A7,JanApport,MATCH($E$2,'Jan 2022 Apport'!$3:$3,0),FALSE)+VLOOKUP(A7,JanApport,MATCH($E$3,'Jan 2022 Apport'!$3:$3,0),FALSE)+VLOOKUP(A7,JanApport,MATCH($E$4,'Jan 2022 Apport'!$3:$3,0),FALSE)</f>
        <v>3111038.0600000005</v>
      </c>
      <c r="F7" s="118">
        <f>D7-E7</f>
        <v>24187722.259999998</v>
      </c>
      <c r="G7" s="117">
        <f>VLOOKUP(A7,JanApport,MATCH($G$4,'Jan 2022 Apport'!$3:$3,0),FALSE)</f>
        <v>400631.63</v>
      </c>
      <c r="H7" s="117">
        <f>VLOOKUP(A7,JanApport,MATCH($H$3,'Jan 2022 Apport'!$3:$3,0),FALSE)+VLOOKUP(A7,JanApport,MATCH($H$2,'Jan 2022 Apport'!$3:$3,0),FALSE)+VLOOKUP(A7,JanApport,MATCH($H$4,'Jan 2022 Apport'!$3:$3,0),FALSE)</f>
        <v>3609468.67</v>
      </c>
      <c r="I7" s="117">
        <f>SUM(G7:H7)</f>
        <v>4010100.3</v>
      </c>
      <c r="J7" s="117">
        <f>VLOOKUP(A7,JanApport,MATCH($J$4,'Jan 2022 Apport'!$3:$3,0),FALSE)</f>
        <v>1173628.98</v>
      </c>
      <c r="K7" s="117">
        <f>VLOOKUP(A7,JanApport,MATCH($K$4,'Jan 2022 Apport'!$3:$3,0),FALSE)</f>
        <v>186540.91</v>
      </c>
      <c r="L7" s="117">
        <f t="shared" ref="L7:L13" si="3">K7+J7</f>
        <v>1360169.89</v>
      </c>
      <c r="M7" s="117">
        <f>VLOOKUP(A7,JanApport,MATCH($M$4,'Jan 2022 Apport'!$3:$3,0),FALSE)</f>
        <v>1395515.35</v>
      </c>
      <c r="N7" s="117">
        <f>VLOOKUP(A7,JanApport,MATCH($N$4,'Jan 2022 Apport'!$3:$3,0),FALSE)</f>
        <v>639937.31999999995</v>
      </c>
      <c r="O7" s="117">
        <f>VLOOKUP(A7,JanApport,MATCH($O$4,'Jan 2022 Apport'!$3:$3,0),FALSE)</f>
        <v>87757.8</v>
      </c>
      <c r="P7" s="121">
        <f>IFERROR((VLOOKUP(A7,ExcessLevy!A:G,3,FALSE)*0.28),0)+IFERROR((VLOOKUP(A7,ExcessLevy!A:G,6,FALSE)*0.72),0)</f>
        <v>2574053.1264</v>
      </c>
      <c r="Q7" s="121">
        <f>IFERROR((VLOOKUP(A7,ExcessLevy!A:G,4,FALSE)*0.4738),0)+IFERROR((VLOOKUP(A7,ExcessLevy!A:G,7,FALSE)*0.5262),0)</f>
        <v>4777148.8372</v>
      </c>
      <c r="R7">
        <f>VLOOKUP(A7,JanApport,MATCH($R$4,'Jan 2022 Apport'!$3:$3,0),FALSE)</f>
        <v>21.12</v>
      </c>
      <c r="S7">
        <f>VLOOKUP(A7,JanApport,MATCH($S$4,'Jan 2022 Apport'!$3:$3,0),FALSE)</f>
        <v>60.32</v>
      </c>
      <c r="T7">
        <f>VLOOKUP(A7,JanApport,MATCH($T$4,'Jan 2022 Apport'!$3:$3,0),FALSE)</f>
        <v>264.47000000000003</v>
      </c>
      <c r="U7" s="132">
        <f>IFERROR(VLOOKUP(A7,JanApport,MATCH($U$4,'Jan 2022 Apport'!$3:$3,0),FALSE)/R7,0)</f>
        <v>10114.991477272726</v>
      </c>
      <c r="V7" s="30">
        <f>IFERROR(((VLOOKUP(A7,JanApport,MATCH($V$4,'Jan 2022 Apport'!$3:$3,0),FALSE)+VLOOKUP(A7,JanApport,MATCH($V$3,'Jan 2022 Apport'!$3:$3,0),FALSE))/(S7+T7)),0)</f>
        <v>8920.8702238369424</v>
      </c>
      <c r="W7" s="30">
        <f>(AG7*X7)+(AH7*Y7)+(AI7*Z7)+(MSOC+MSOC912ehc)</f>
        <v>8083.6246967786601</v>
      </c>
      <c r="X7">
        <f>VLOOKUP(A7,JanApport,MATCH($X$4,'Jan 2022 Apport'!$3:$3,0),FALSE)</f>
        <v>4.8578999999999997E-2</v>
      </c>
      <c r="Y7">
        <f>VLOOKUP(A7,JanApport,MATCH($Y$4,'Jan 2022 Apport'!$3:$3,0),FALSE)</f>
        <v>4.0270000000000002E-3</v>
      </c>
      <c r="Z7">
        <f>VLOOKUP(A7,JanApport,MATCH($Z$4,'Jan 2022 Apport'!$3:$3,0),FALSE)</f>
        <v>1.7100000000000001E-2</v>
      </c>
      <c r="AA7" s="77">
        <f>VLOOKUP(A7,JanApport,MATCH($AA$4,'Jan 2022 Apport'!$3:$3,0),FALSE)*VLOOKUP(A7,JanApport,MATCH($AA$3,'Jan 2022 Apport'!$3:$3,0),FALSE)</f>
        <v>67585</v>
      </c>
      <c r="AB7" s="77">
        <f>VLOOKUP(A7,JanApport,MATCH($AB$4,'Jan 2022 Apport'!$3:$3,0),FALSE)*VLOOKUP(A7,JanApport,MATCH($AB$3,'Jan 2022 Apport'!$3:$3,0),FALSE)</f>
        <v>68937</v>
      </c>
      <c r="AC7" s="77">
        <f>VLOOKUP(A7,JanApport,MATCH($AC$4,'Jan 2022 Apport'!$3:$3,0),FALSE)</f>
        <v>100321</v>
      </c>
      <c r="AD7" s="77">
        <f>VLOOKUP(A7,JanApport,MATCH($AD$4,'Jan 2022 Apport'!$3:$3,0),FALSE)*VLOOKUP(A7,JanApport,MATCH($AD$3,'Jan 2022 Apport'!$3:$3,0),FALSE)</f>
        <v>102327</v>
      </c>
      <c r="AE7" s="77">
        <f>VLOOKUP(A7,JanApport,MATCH($AE$4,'Jan 2022 Apport'!$3:$3,0),FALSE)</f>
        <v>48483</v>
      </c>
      <c r="AF7" s="77">
        <f>VLOOKUP(A7,JanApport,MATCH($AF$4,'Jan 2022 Apport'!$3:$3,0),FALSE)*VLOOKUP(A7,JanApport,MATCH($AF$3,'Jan 2022 Apport'!$3:$3,0),FALSE)</f>
        <v>49453</v>
      </c>
      <c r="AG7" s="77">
        <f>(AA7*(1+CertMaint))+((AB7-AA7)*(1+CertInc))+(Insrate*Certinsfactor*12)</f>
        <v>96432.259900000005</v>
      </c>
      <c r="AH7" s="77">
        <f t="shared" ref="AH7:AH70" si="4">(AC7*(1+CertMaint))+((AD7-AC7)*(1+CertInc))+(Insrate*Certinsfactor*12)</f>
        <v>137400.94330000001</v>
      </c>
      <c r="AI7" s="77">
        <f t="shared" ref="AI7:AI70" si="5">(AE7*(1+ClassMaint))+((AF7-AE7)*(1+ClassInc))+(Insrate*Classinsfactor*12)</f>
        <v>77281.189732599989</v>
      </c>
      <c r="AJ7" s="3">
        <f>VLOOKUP(A7,JanApport,MATCH($AJ$4,'Jan 2022 Apport'!$3:$3,0),FALSE)</f>
        <v>3649862.22</v>
      </c>
      <c r="AK7" s="3">
        <f>VLOOKUP(A7,JanApport,MATCH($AK$4,'Jan 2022 Apport'!$3:$3,0),FALSE)</f>
        <v>57.292999999999999</v>
      </c>
      <c r="AL7" s="117">
        <f>SUM(F7+J7+M7+N7+O7+E7+AM7)+VLOOKUP(A7,SpEd_Apport,4,FALSE)</f>
        <v>35482201.880000003</v>
      </c>
      <c r="AM7" s="117">
        <f>VLOOKUP(A7,JanApport,MATCH($AM$4,'Jan 2022 Apport'!$3:$3,0),FALSE)</f>
        <v>876501.81</v>
      </c>
      <c r="AN7" s="117">
        <f>VLOOKUP(A7,JanApport,MATCH($AN$4,'Jan 2022 Apport'!$3:$3,0),FALSE)</f>
        <v>200169.52</v>
      </c>
    </row>
    <row r="8" spans="1:40">
      <c r="A8" s="244" t="s">
        <v>279</v>
      </c>
      <c r="B8" s="12" t="s">
        <v>280</v>
      </c>
      <c r="C8" s="2" t="s">
        <v>1267</v>
      </c>
      <c r="D8" s="118">
        <f>VLOOKUP(A8,JanApport,MATCH($D$4,'Jan 2022 Apport'!$3:$3,FALSE),FALSE)</f>
        <v>5652394.4199999999</v>
      </c>
      <c r="E8" s="30">
        <f>VLOOKUP(A8,JanApport,MATCH($E$2,'Jan 2022 Apport'!$3:$3,0),FALSE)+VLOOKUP(A8,JanApport,MATCH($E$3,'Jan 2022 Apport'!$3:$3,0),FALSE)+VLOOKUP(A8,JanApport,MATCH($E$4,'Jan 2022 Apport'!$3:$3,0),FALSE)</f>
        <v>464937.39</v>
      </c>
      <c r="F8" s="118">
        <f t="shared" ref="F8:F13" si="6">D8-E8</f>
        <v>5187457.03</v>
      </c>
      <c r="G8" s="117">
        <f>VLOOKUP(A8,JanApport,MATCH($G$4,'Jan 2022 Apport'!$3:$3,0),FALSE)</f>
        <v>29685.42</v>
      </c>
      <c r="H8" s="117">
        <f>VLOOKUP(A8,JanApport,MATCH($H$3,'Jan 2022 Apport'!$3:$3,0),FALSE)+VLOOKUP(A8,JanApport,MATCH($H$2,'Jan 2022 Apport'!$3:$3,0),FALSE)+VLOOKUP(A8,JanApport,MATCH($H$4,'Jan 2022 Apport'!$3:$3,0),FALSE)</f>
        <v>628285.64</v>
      </c>
      <c r="I8" s="117">
        <f t="shared" ref="I8:I13" si="7">SUM(G8:H8)</f>
        <v>657971.06000000006</v>
      </c>
      <c r="J8" s="117">
        <f>VLOOKUP(A8,JanApport,MATCH($J$4,'Jan 2022 Apport'!$3:$3,0),FALSE)</f>
        <v>349808.37</v>
      </c>
      <c r="K8" s="117">
        <f>VLOOKUP(A8,JanApport,MATCH($K$4,'Jan 2022 Apport'!$3:$3,0),FALSE)</f>
        <v>15985.56</v>
      </c>
      <c r="L8" s="117">
        <f t="shared" si="3"/>
        <v>365793.93</v>
      </c>
      <c r="M8" s="117">
        <f>VLOOKUP(A8,JanApport,MATCH($M$4,'Jan 2022 Apport'!$3:$3,0),FALSE)</f>
        <v>106826.08</v>
      </c>
      <c r="N8" s="117">
        <f>VLOOKUP(A8,JanApport,MATCH($N$4,'Jan 2022 Apport'!$3:$3,0),FALSE)</f>
        <v>0</v>
      </c>
      <c r="O8" s="117">
        <f>VLOOKUP(A8,JanApport,MATCH($O$4,'Jan 2022 Apport'!$3:$3,0),FALSE)</f>
        <v>17922.48</v>
      </c>
      <c r="P8" s="121">
        <f>IFERROR((VLOOKUP(A8,ExcessLevy!A:G,3,FALSE)*0.28),0)+IFERROR((VLOOKUP(A8,ExcessLevy!A:G,6,FALSE)*0.72),0)</f>
        <v>82840.905199999994</v>
      </c>
      <c r="Q8" s="121">
        <f>IFERROR((VLOOKUP(A8,ExcessLevy!A:G,4,FALSE)*0.4738),0)+IFERROR((VLOOKUP(A8,ExcessLevy!A:G,7,FALSE)*0.5262),0)</f>
        <v>963938.61239999998</v>
      </c>
      <c r="R8">
        <f>VLOOKUP(A8,JanApport,MATCH($R$4,'Jan 2022 Apport'!$3:$3,0),FALSE)</f>
        <v>0</v>
      </c>
      <c r="S8">
        <f>VLOOKUP(A8,JanApport,MATCH($S$4,'Jan 2022 Apport'!$3:$3,0),FALSE)</f>
        <v>18.940000000000001</v>
      </c>
      <c r="T8">
        <f>VLOOKUP(A8,JanApport,MATCH($T$4,'Jan 2022 Apport'!$3:$3,0),FALSE)</f>
        <v>32.119999999999997</v>
      </c>
      <c r="U8" s="132">
        <f>IFERROR(VLOOKUP(A8,JanApport,MATCH($U$4,'Jan 2022 Apport'!$3:$3,0),FALSE)/R8,0)</f>
        <v>0</v>
      </c>
      <c r="V8" s="30">
        <f>IFERROR(((VLOOKUP(A8,JanApport,MATCH($V$4,'Jan 2022 Apport'!$3:$3,0),FALSE)+VLOOKUP(A8,JanApport,MATCH($V$3,'Jan 2022 Apport'!$3:$3,0),FALSE))/(S8+T8)),0)</f>
        <v>9105.7068155111629</v>
      </c>
      <c r="W8" s="30">
        <f t="shared" ref="W8:W70" si="8">(AG8*X8)+(AH8*Y8)+(AI8*Z8)+(MSOC+MSOC912ehc)</f>
        <v>8083.6246967786601</v>
      </c>
      <c r="X8">
        <f>VLOOKUP(A8,JanApport,MATCH($X$4,'Jan 2022 Apport'!$3:$3,0),FALSE)</f>
        <v>4.8578999999999997E-2</v>
      </c>
      <c r="Y8">
        <f>VLOOKUP(A8,JanApport,MATCH($Y$4,'Jan 2022 Apport'!$3:$3,0),FALSE)</f>
        <v>4.0270000000000002E-3</v>
      </c>
      <c r="Z8">
        <f>VLOOKUP(A8,JanApport,MATCH($Z$4,'Jan 2022 Apport'!$3:$3,0),FALSE)</f>
        <v>1.7100000000000001E-2</v>
      </c>
      <c r="AA8" s="77">
        <f>VLOOKUP(A8,JanApport,MATCH($AA$4,'Jan 2022 Apport'!$3:$3,0),FALSE)*VLOOKUP(A8,JanApport,MATCH($AA$3,'Jan 2022 Apport'!$3:$3,0),FALSE)</f>
        <v>67585</v>
      </c>
      <c r="AB8" s="77">
        <f>VLOOKUP(A8,JanApport,MATCH($AB$4,'Jan 2022 Apport'!$3:$3,0),FALSE)*VLOOKUP(A8,JanApport,MATCH($AB$3,'Jan 2022 Apport'!$3:$3,0),FALSE)</f>
        <v>68937</v>
      </c>
      <c r="AC8" s="77">
        <f>VLOOKUP(A8,JanApport,MATCH($AC$4,'Jan 2022 Apport'!$3:$3,0),FALSE)</f>
        <v>100321</v>
      </c>
      <c r="AD8" s="77">
        <f>VLOOKUP(A8,JanApport,MATCH($AD$4,'Jan 2022 Apport'!$3:$3,0),FALSE)*VLOOKUP(A8,JanApport,MATCH($AD$3,'Jan 2022 Apport'!$3:$3,0),FALSE)</f>
        <v>102327</v>
      </c>
      <c r="AE8" s="77">
        <f>VLOOKUP(A8,JanApport,MATCH($AE$4,'Jan 2022 Apport'!$3:$3,0),FALSE)</f>
        <v>48483</v>
      </c>
      <c r="AF8" s="77">
        <f>VLOOKUP(A8,JanApport,MATCH($AF$4,'Jan 2022 Apport'!$3:$3,0),FALSE)*VLOOKUP(A8,JanApport,MATCH($AF$3,'Jan 2022 Apport'!$3:$3,0),FALSE)</f>
        <v>49453</v>
      </c>
      <c r="AG8" s="77">
        <f t="shared" ref="AG8:AG70" si="9">(AA8*(1+CertMaint))+((AB8-AA8)*(1+CertInc))+(Insrate*Certinsfactor*12)</f>
        <v>96432.259900000005</v>
      </c>
      <c r="AH8" s="77">
        <f t="shared" si="4"/>
        <v>137400.94330000001</v>
      </c>
      <c r="AI8" s="77">
        <f t="shared" si="5"/>
        <v>77281.189732599989</v>
      </c>
      <c r="AJ8" s="3">
        <f>VLOOKUP(A8,JanApport,MATCH($AJ$4,'Jan 2022 Apport'!$3:$3,0),FALSE)</f>
        <v>799333.52</v>
      </c>
      <c r="AK8" s="3">
        <f>VLOOKUP(A8,JanApport,MATCH($AK$4,'Jan 2022 Apport'!$3:$3,0),FALSE)</f>
        <v>10.173999999999999</v>
      </c>
      <c r="AL8" s="117">
        <f t="shared" ref="AL8:AL70" si="10">SUM(F8+J8+M8+N8+O8+E8+AM8)+VLOOKUP(A8,SpEd_Apport,4,FALSE)</f>
        <v>6784922.4100000001</v>
      </c>
      <c r="AM8" s="117">
        <f>VLOOKUP(A8,JanApport,MATCH($AM$4,'Jan 2022 Apport'!$3:$3,0),FALSE)</f>
        <v>0</v>
      </c>
      <c r="AN8" s="117">
        <f>VLOOKUP(A8,JanApport,MATCH($AN$4,'Jan 2022 Apport'!$3:$3,0),FALSE)</f>
        <v>44947.5</v>
      </c>
    </row>
    <row r="9" spans="1:40">
      <c r="A9" s="244" t="s">
        <v>301</v>
      </c>
      <c r="B9" s="12" t="s">
        <v>302</v>
      </c>
      <c r="C9" s="2" t="s">
        <v>1267</v>
      </c>
      <c r="D9" s="118">
        <f>VLOOKUP(A9,JanApport,MATCH($D$4,'Jan 2022 Apport'!$3:$3,FALSE),FALSE)</f>
        <v>2115154.9300000002</v>
      </c>
      <c r="E9" s="30">
        <f>VLOOKUP(A9,JanApport,MATCH($E$2,'Jan 2022 Apport'!$3:$3,0),FALSE)+VLOOKUP(A9,JanApport,MATCH($E$3,'Jan 2022 Apport'!$3:$3,0),FALSE)+VLOOKUP(A9,JanApport,MATCH($E$4,'Jan 2022 Apport'!$3:$3,0),FALSE)</f>
        <v>30572.17</v>
      </c>
      <c r="F9" s="118">
        <f t="shared" si="6"/>
        <v>2084582.7600000002</v>
      </c>
      <c r="G9" s="117">
        <f>VLOOKUP(A9,JanApport,MATCH($G$4,'Jan 2022 Apport'!$3:$3,0),FALSE)</f>
        <v>0</v>
      </c>
      <c r="H9" s="117">
        <f>VLOOKUP(A9,JanApport,MATCH($H$3,'Jan 2022 Apport'!$3:$3,0),FALSE)+VLOOKUP(A9,JanApport,MATCH($H$2,'Jan 2022 Apport'!$3:$3,0),FALSE)+VLOOKUP(A9,JanApport,MATCH($H$4,'Jan 2022 Apport'!$3:$3,0),FALSE)</f>
        <v>81932.789999999994</v>
      </c>
      <c r="I9" s="117">
        <f t="shared" si="7"/>
        <v>81932.789999999994</v>
      </c>
      <c r="J9" s="117">
        <f>VLOOKUP(A9,JanApport,MATCH($J$4,'Jan 2022 Apport'!$3:$3,0),FALSE)</f>
        <v>178269.03</v>
      </c>
      <c r="K9" s="117">
        <f>VLOOKUP(A9,JanApport,MATCH($K$4,'Jan 2022 Apport'!$3:$3,0),FALSE)</f>
        <v>49115.29</v>
      </c>
      <c r="L9" s="117">
        <f t="shared" si="3"/>
        <v>227384.32000000001</v>
      </c>
      <c r="M9" s="117">
        <f>VLOOKUP(A9,JanApport,MATCH($M$4,'Jan 2022 Apport'!$3:$3,0),FALSE)</f>
        <v>20453.900000000001</v>
      </c>
      <c r="N9" s="117">
        <f>VLOOKUP(A9,JanApport,MATCH($N$4,'Jan 2022 Apport'!$3:$3,0),FALSE)</f>
        <v>0</v>
      </c>
      <c r="O9" s="117">
        <f>VLOOKUP(A9,JanApport,MATCH($O$4,'Jan 2022 Apport'!$3:$3,0),FALSE)</f>
        <v>0</v>
      </c>
      <c r="P9" s="121">
        <f>IFERROR((VLOOKUP(A9,ExcessLevy!A:G,3,FALSE)*0.28),0)+IFERROR((VLOOKUP(A9,ExcessLevy!A:G,6,FALSE)*0.72),0)</f>
        <v>26455.7752</v>
      </c>
      <c r="Q9" s="121">
        <f>IFERROR((VLOOKUP(A9,ExcessLevy!A:G,4,FALSE)*0.4738),0)+IFERROR((VLOOKUP(A9,ExcessLevy!A:G,7,FALSE)*0.5262),0)</f>
        <v>205883.1404</v>
      </c>
      <c r="R9">
        <f>VLOOKUP(A9,JanApport,MATCH($R$4,'Jan 2022 Apport'!$3:$3,0),FALSE)</f>
        <v>0</v>
      </c>
      <c r="S9">
        <f>VLOOKUP(A9,JanApport,MATCH($S$4,'Jan 2022 Apport'!$3:$3,0),FALSE)</f>
        <v>0</v>
      </c>
      <c r="T9">
        <f>VLOOKUP(A9,JanApport,MATCH($T$4,'Jan 2022 Apport'!$3:$3,0),FALSE)</f>
        <v>3.36</v>
      </c>
      <c r="U9" s="132">
        <f>IFERROR(VLOOKUP(A9,JanApport,MATCH($U$4,'Jan 2022 Apport'!$3:$3,0),FALSE)/R9,0)</f>
        <v>0</v>
      </c>
      <c r="V9" s="30">
        <f>IFERROR(((VLOOKUP(A9,JanApport,MATCH($V$4,'Jan 2022 Apport'!$3:$3,0),FALSE)+VLOOKUP(A9,JanApport,MATCH($V$3,'Jan 2022 Apport'!$3:$3,0),FALSE))/(S9+T9)),0)</f>
        <v>9098.8601190476184</v>
      </c>
      <c r="W9" s="30">
        <f t="shared" si="8"/>
        <v>8083.6246967786601</v>
      </c>
      <c r="X9">
        <f>VLOOKUP(A9,JanApport,MATCH($X$4,'Jan 2022 Apport'!$3:$3,0),FALSE)</f>
        <v>4.8578999999999997E-2</v>
      </c>
      <c r="Y9">
        <f>VLOOKUP(A9,JanApport,MATCH($Y$4,'Jan 2022 Apport'!$3:$3,0),FALSE)</f>
        <v>4.0270000000000002E-3</v>
      </c>
      <c r="Z9">
        <f>VLOOKUP(A9,JanApport,MATCH($Z$4,'Jan 2022 Apport'!$3:$3,0),FALSE)</f>
        <v>1.7100000000000001E-2</v>
      </c>
      <c r="AA9" s="77">
        <f>VLOOKUP(A9,JanApport,MATCH($AA$4,'Jan 2022 Apport'!$3:$3,0),FALSE)*VLOOKUP(A9,JanApport,MATCH($AA$3,'Jan 2022 Apport'!$3:$3,0),FALSE)</f>
        <v>67585</v>
      </c>
      <c r="AB9" s="77">
        <f>VLOOKUP(A9,JanApport,MATCH($AB$4,'Jan 2022 Apport'!$3:$3,0),FALSE)*VLOOKUP(A9,JanApport,MATCH($AB$3,'Jan 2022 Apport'!$3:$3,0),FALSE)</f>
        <v>68937</v>
      </c>
      <c r="AC9" s="77">
        <f>VLOOKUP(A9,JanApport,MATCH($AC$4,'Jan 2022 Apport'!$3:$3,0),FALSE)</f>
        <v>100321</v>
      </c>
      <c r="AD9" s="77">
        <f>VLOOKUP(A9,JanApport,MATCH($AD$4,'Jan 2022 Apport'!$3:$3,0),FALSE)*VLOOKUP(A9,JanApport,MATCH($AD$3,'Jan 2022 Apport'!$3:$3,0),FALSE)</f>
        <v>102327</v>
      </c>
      <c r="AE9" s="77">
        <f>VLOOKUP(A9,JanApport,MATCH($AE$4,'Jan 2022 Apport'!$3:$3,0),FALSE)</f>
        <v>48483</v>
      </c>
      <c r="AF9" s="77">
        <f>VLOOKUP(A9,JanApport,MATCH($AF$4,'Jan 2022 Apport'!$3:$3,0),FALSE)*VLOOKUP(A9,JanApport,MATCH($AF$3,'Jan 2022 Apport'!$3:$3,0),FALSE)</f>
        <v>49453</v>
      </c>
      <c r="AG9" s="77">
        <f t="shared" si="9"/>
        <v>96432.259900000005</v>
      </c>
      <c r="AH9" s="77">
        <f t="shared" si="4"/>
        <v>137400.94330000001</v>
      </c>
      <c r="AI9" s="77">
        <f t="shared" si="5"/>
        <v>77281.189732599989</v>
      </c>
      <c r="AJ9" s="3">
        <f>VLOOKUP(A9,JanApport,MATCH($AJ$4,'Jan 2022 Apport'!$3:$3,0),FALSE)</f>
        <v>235299.62</v>
      </c>
      <c r="AK9" s="3">
        <f>VLOOKUP(A9,JanApport,MATCH($AK$4,'Jan 2022 Apport'!$3:$3,0),FALSE)</f>
        <v>2.5680000000000001</v>
      </c>
      <c r="AL9" s="117">
        <f t="shared" si="10"/>
        <v>2395810.65</v>
      </c>
      <c r="AM9" s="117">
        <f>VLOOKUP(A9,JanApport,MATCH($AM$4,'Jan 2022 Apport'!$3:$3,0),FALSE)</f>
        <v>0</v>
      </c>
      <c r="AN9" s="117">
        <f>VLOOKUP(A9,JanApport,MATCH($AN$4,'Jan 2022 Apport'!$3:$3,0),FALSE)</f>
        <v>19771.650000000001</v>
      </c>
    </row>
    <row r="10" spans="1:40">
      <c r="A10" s="244" t="s">
        <v>407</v>
      </c>
      <c r="B10" s="12" t="s">
        <v>408</v>
      </c>
      <c r="C10" s="2" t="s">
        <v>1267</v>
      </c>
      <c r="D10" s="118">
        <f>VLOOKUP(A10,JanApport,MATCH($D$4,'Jan 2022 Apport'!$3:$3,FALSE),FALSE)</f>
        <v>23571638.050000001</v>
      </c>
      <c r="E10" s="30">
        <f>VLOOKUP(A10,JanApport,MATCH($E$2,'Jan 2022 Apport'!$3:$3,0),FALSE)+VLOOKUP(A10,JanApport,MATCH($E$3,'Jan 2022 Apport'!$3:$3,0),FALSE)+VLOOKUP(A10,JanApport,MATCH($E$4,'Jan 2022 Apport'!$3:$3,0),FALSE)</f>
        <v>1150171.4700000002</v>
      </c>
      <c r="F10" s="118">
        <f t="shared" si="6"/>
        <v>22421466.580000002</v>
      </c>
      <c r="G10" s="117">
        <f>VLOOKUP(A10,JanApport,MATCH($G$4,'Jan 2022 Apport'!$3:$3,0),FALSE)</f>
        <v>427053.95</v>
      </c>
      <c r="H10" s="117">
        <f>VLOOKUP(A10,JanApport,MATCH($H$3,'Jan 2022 Apport'!$3:$3,0),FALSE)+VLOOKUP(A10,JanApport,MATCH($H$2,'Jan 2022 Apport'!$3:$3,0),FALSE)+VLOOKUP(A10,JanApport,MATCH($H$4,'Jan 2022 Apport'!$3:$3,0),FALSE)</f>
        <v>2553239.36</v>
      </c>
      <c r="I10" s="117">
        <f t="shared" si="7"/>
        <v>2980293.31</v>
      </c>
      <c r="J10" s="117">
        <f>VLOOKUP(A10,JanApport,MATCH($J$4,'Jan 2022 Apport'!$3:$3,0),FALSE)</f>
        <v>1042484.05</v>
      </c>
      <c r="K10" s="117">
        <f>VLOOKUP(A10,JanApport,MATCH($K$4,'Jan 2022 Apport'!$3:$3,0),FALSE)</f>
        <v>119282.26</v>
      </c>
      <c r="L10" s="117">
        <f t="shared" si="3"/>
        <v>1161766.31</v>
      </c>
      <c r="M10" s="117">
        <f>VLOOKUP(A10,JanApport,MATCH($M$4,'Jan 2022 Apport'!$3:$3,0),FALSE)</f>
        <v>455216.64000000001</v>
      </c>
      <c r="N10" s="117">
        <f>VLOOKUP(A10,JanApport,MATCH($N$4,'Jan 2022 Apport'!$3:$3,0),FALSE)</f>
        <v>90524.19</v>
      </c>
      <c r="O10" s="117">
        <f>VLOOKUP(A10,JanApport,MATCH($O$4,'Jan 2022 Apport'!$3:$3,0),FALSE)</f>
        <v>78194.73</v>
      </c>
      <c r="P10" s="121">
        <f>IFERROR((VLOOKUP(A10,ExcessLevy!A:G,3,FALSE)*0.28),0)+IFERROR((VLOOKUP(A10,ExcessLevy!A:G,6,FALSE)*0.72),0)</f>
        <v>0</v>
      </c>
      <c r="Q10" s="121">
        <f>IFERROR((VLOOKUP(A10,ExcessLevy!A:G,4,FALSE)*0.4738),0)+IFERROR((VLOOKUP(A10,ExcessLevy!A:G,7,FALSE)*0.5262),0)</f>
        <v>7160193.3279999997</v>
      </c>
      <c r="R10">
        <f>VLOOKUP(A10,JanApport,MATCH($R$4,'Jan 2022 Apport'!$3:$3,0),FALSE)</f>
        <v>0</v>
      </c>
      <c r="S10">
        <f>VLOOKUP(A10,JanApport,MATCH($S$4,'Jan 2022 Apport'!$3:$3,0),FALSE)</f>
        <v>7.63</v>
      </c>
      <c r="T10">
        <f>VLOOKUP(A10,JanApport,MATCH($T$4,'Jan 2022 Apport'!$3:$3,0),FALSE)</f>
        <v>111.21</v>
      </c>
      <c r="U10" s="132">
        <f>IFERROR(VLOOKUP(A10,JanApport,MATCH($U$4,'Jan 2022 Apport'!$3:$3,0),FALSE)/R10,0)</f>
        <v>0</v>
      </c>
      <c r="V10" s="30">
        <f>IFERROR(((VLOOKUP(A10,JanApport,MATCH($V$4,'Jan 2022 Apport'!$3:$3,0),FALSE)+VLOOKUP(A10,JanApport,MATCH($V$3,'Jan 2022 Apport'!$3:$3,0),FALSE))/(S10+T10)),0)</f>
        <v>9678.3193369235978</v>
      </c>
      <c r="W10" s="30">
        <f t="shared" si="8"/>
        <v>8982.0583223059966</v>
      </c>
      <c r="X10">
        <f>VLOOKUP(A10,JanApport,MATCH($X$4,'Jan 2022 Apport'!$3:$3,0),FALSE)</f>
        <v>4.8578999999999997E-2</v>
      </c>
      <c r="Y10">
        <f>VLOOKUP(A10,JanApport,MATCH($Y$4,'Jan 2022 Apport'!$3:$3,0),FALSE)</f>
        <v>4.0270000000000002E-3</v>
      </c>
      <c r="Z10">
        <f>VLOOKUP(A10,JanApport,MATCH($Z$4,'Jan 2022 Apport'!$3:$3,0),FALSE)</f>
        <v>1.7100000000000001E-2</v>
      </c>
      <c r="AA10" s="77">
        <f>VLOOKUP(A10,JanApport,MATCH($AA$4,'Jan 2022 Apport'!$3:$3,0),FALSE)*VLOOKUP(A10,JanApport,MATCH($AA$3,'Jan 2022 Apport'!$3:$3,0),FALSE)</f>
        <v>75695.200000000012</v>
      </c>
      <c r="AB10" s="77">
        <f>VLOOKUP(A10,JanApport,MATCH($AB$4,'Jan 2022 Apport'!$3:$3,0),FALSE)*VLOOKUP(A10,JanApport,MATCH($AB$3,'Jan 2022 Apport'!$3:$3,0),FALSE)</f>
        <v>79966.92</v>
      </c>
      <c r="AC10" s="77">
        <f>VLOOKUP(A10,JanApport,MATCH($AC$4,'Jan 2022 Apport'!$3:$3,0),FALSE)</f>
        <v>100321</v>
      </c>
      <c r="AD10" s="77">
        <f>VLOOKUP(A10,JanApport,MATCH($AD$4,'Jan 2022 Apport'!$3:$3,0),FALSE)*VLOOKUP(A10,JanApport,MATCH($AD$3,'Jan 2022 Apport'!$3:$3,0),FALSE)</f>
        <v>118699.31999999999</v>
      </c>
      <c r="AE10" s="77">
        <f>VLOOKUP(A10,JanApport,MATCH($AE$4,'Jan 2022 Apport'!$3:$3,0),FALSE)</f>
        <v>48483</v>
      </c>
      <c r="AF10" s="77">
        <f>VLOOKUP(A10,JanApport,MATCH($AF$4,'Jan 2022 Apport'!$3:$3,0),FALSE)*VLOOKUP(A10,JanApport,MATCH($AF$3,'Jan 2022 Apport'!$3:$3,0),FALSE)</f>
        <v>57365.479999999996</v>
      </c>
      <c r="AG10" s="77">
        <f t="shared" si="9"/>
        <v>109948.38852400001</v>
      </c>
      <c r="AH10" s="77">
        <f t="shared" si="4"/>
        <v>157386.63432400001</v>
      </c>
      <c r="AI10" s="77">
        <f t="shared" si="5"/>
        <v>86716.934489815991</v>
      </c>
      <c r="AJ10" s="3">
        <f>VLOOKUP(A10,JanApport,MATCH($AJ$4,'Jan 2022 Apport'!$3:$3,0),FALSE)</f>
        <v>3128856.73</v>
      </c>
      <c r="AK10" s="3">
        <f>VLOOKUP(A10,JanApport,MATCH($AK$4,'Jan 2022 Apport'!$3:$3,0),FALSE)</f>
        <v>48.43</v>
      </c>
      <c r="AL10" s="117">
        <f t="shared" si="10"/>
        <v>28236628.860000003</v>
      </c>
      <c r="AM10" s="117">
        <f>VLOOKUP(A10,JanApport,MATCH($AM$4,'Jan 2022 Apport'!$3:$3,0),FALSE)</f>
        <v>18277.89</v>
      </c>
      <c r="AN10" s="117">
        <f>VLOOKUP(A10,JanApport,MATCH($AN$4,'Jan 2022 Apport'!$3:$3,0),FALSE)</f>
        <v>191621.93</v>
      </c>
    </row>
    <row r="11" spans="1:40">
      <c r="A11" s="244" t="s">
        <v>431</v>
      </c>
      <c r="B11" s="12" t="s">
        <v>432</v>
      </c>
      <c r="C11" s="2" t="s">
        <v>1267</v>
      </c>
      <c r="D11" s="118">
        <f>VLOOKUP(A11,JanApport,MATCH($D$4,'Jan 2022 Apport'!$3:$3,FALSE),FALSE)</f>
        <v>51738353.450000003</v>
      </c>
      <c r="E11" s="30">
        <f>VLOOKUP(A11,JanApport,MATCH($E$2,'Jan 2022 Apport'!$3:$3,0),FALSE)+VLOOKUP(A11,JanApport,MATCH($E$3,'Jan 2022 Apport'!$3:$3,0),FALSE)+VLOOKUP(A11,JanApport,MATCH($E$4,'Jan 2022 Apport'!$3:$3,0),FALSE)</f>
        <v>3764135.0500000003</v>
      </c>
      <c r="F11" s="118">
        <f t="shared" si="6"/>
        <v>47974218.400000006</v>
      </c>
      <c r="G11" s="117">
        <f>VLOOKUP(A11,JanApport,MATCH($G$4,'Jan 2022 Apport'!$3:$3,0),FALSE)</f>
        <v>488389.22</v>
      </c>
      <c r="H11" s="117">
        <f>VLOOKUP(A11,JanApport,MATCH($H$3,'Jan 2022 Apport'!$3:$3,0),FALSE)+VLOOKUP(A11,JanApport,MATCH($H$2,'Jan 2022 Apport'!$3:$3,0),FALSE)+VLOOKUP(A11,JanApport,MATCH($H$4,'Jan 2022 Apport'!$3:$3,0),FALSE)</f>
        <v>7000172.25</v>
      </c>
      <c r="I11" s="117">
        <f t="shared" si="7"/>
        <v>7488561.4699999997</v>
      </c>
      <c r="J11" s="117">
        <f>VLOOKUP(A11,JanApport,MATCH($J$4,'Jan 2022 Apport'!$3:$3,0),FALSE)</f>
        <v>3608030.61</v>
      </c>
      <c r="K11" s="117">
        <f>VLOOKUP(A11,JanApport,MATCH($K$4,'Jan 2022 Apport'!$3:$3,0),FALSE)</f>
        <v>329500.42</v>
      </c>
      <c r="L11" s="117">
        <f t="shared" si="3"/>
        <v>3937531.03</v>
      </c>
      <c r="M11" s="117">
        <f>VLOOKUP(A11,JanApport,MATCH($M$4,'Jan 2022 Apport'!$3:$3,0),FALSE)</f>
        <v>1299384.44</v>
      </c>
      <c r="N11" s="117">
        <f>VLOOKUP(A11,JanApport,MATCH($N$4,'Jan 2022 Apport'!$3:$3,0),FALSE)</f>
        <v>505960.93</v>
      </c>
      <c r="O11" s="117">
        <f>VLOOKUP(A11,JanApport,MATCH($O$4,'Jan 2022 Apport'!$3:$3,0),FALSE)</f>
        <v>172075.81</v>
      </c>
      <c r="P11" s="121">
        <f>IFERROR((VLOOKUP(A11,ExcessLevy!A:G,3,FALSE)*0.28),0)+IFERROR((VLOOKUP(A11,ExcessLevy!A:G,6,FALSE)*0.72),0)</f>
        <v>232366.01640000002</v>
      </c>
      <c r="Q11" s="121">
        <f>IFERROR((VLOOKUP(A11,ExcessLevy!A:G,4,FALSE)*0.4738),0)+IFERROR((VLOOKUP(A11,ExcessLevy!A:G,7,FALSE)*0.5262),0)</f>
        <v>9081550</v>
      </c>
      <c r="R11">
        <f>VLOOKUP(A11,JanApport,MATCH($R$4,'Jan 2022 Apport'!$3:$3,0),FALSE)</f>
        <v>0</v>
      </c>
      <c r="S11">
        <f>VLOOKUP(A11,JanApport,MATCH($S$4,'Jan 2022 Apport'!$3:$3,0),FALSE)</f>
        <v>31.07</v>
      </c>
      <c r="T11">
        <f>VLOOKUP(A11,JanApport,MATCH($T$4,'Jan 2022 Apport'!$3:$3,0),FALSE)</f>
        <v>347.91</v>
      </c>
      <c r="U11" s="132">
        <f>IFERROR(VLOOKUP(A11,JanApport,MATCH($U$4,'Jan 2022 Apport'!$3:$3,0),FALSE)/R11,0)</f>
        <v>0</v>
      </c>
      <c r="V11" s="30">
        <f>IFERROR(((VLOOKUP(A11,JanApport,MATCH($V$4,'Jan 2022 Apport'!$3:$3,0),FALSE)+VLOOKUP(A11,JanApport,MATCH($V$3,'Jan 2022 Apport'!$3:$3,0),FALSE))/(S11+T11)),0)</f>
        <v>9932.2788801519873</v>
      </c>
      <c r="W11" s="30">
        <f t="shared" si="8"/>
        <v>9206.876854237591</v>
      </c>
      <c r="X11">
        <f>VLOOKUP(A11,JanApport,MATCH($X$4,'Jan 2022 Apport'!$3:$3,0),FALSE)</f>
        <v>4.8578999999999997E-2</v>
      </c>
      <c r="Y11">
        <f>VLOOKUP(A11,JanApport,MATCH($Y$4,'Jan 2022 Apport'!$3:$3,0),FALSE)</f>
        <v>4.0270000000000002E-3</v>
      </c>
      <c r="Z11">
        <f>VLOOKUP(A11,JanApport,MATCH($Z$4,'Jan 2022 Apport'!$3:$3,0),FALSE)</f>
        <v>1.7100000000000001E-2</v>
      </c>
      <c r="AA11" s="77">
        <f>VLOOKUP(A11,JanApport,MATCH($AA$4,'Jan 2022 Apport'!$3:$3,0),FALSE)*VLOOKUP(A11,JanApport,MATCH($AA$3,'Jan 2022 Apport'!$3:$3,0),FALSE)</f>
        <v>78398.599999999991</v>
      </c>
      <c r="AB11" s="77">
        <f>VLOOKUP(A11,JanApport,MATCH($AB$4,'Jan 2022 Apport'!$3:$3,0),FALSE)*VLOOKUP(A11,JanApport,MATCH($AB$3,'Jan 2022 Apport'!$3:$3,0),FALSE)</f>
        <v>82724.399999999994</v>
      </c>
      <c r="AC11" s="77">
        <f>VLOOKUP(A11,JanApport,MATCH($AC$4,'Jan 2022 Apport'!$3:$3,0),FALSE)</f>
        <v>100321</v>
      </c>
      <c r="AD11" s="77">
        <f>VLOOKUP(A11,JanApport,MATCH($AD$4,'Jan 2022 Apport'!$3:$3,0),FALSE)*VLOOKUP(A11,JanApport,MATCH($AD$3,'Jan 2022 Apport'!$3:$3,0),FALSE)</f>
        <v>122792.4</v>
      </c>
      <c r="AE11" s="77">
        <f>VLOOKUP(A11,JanApport,MATCH($AE$4,'Jan 2022 Apport'!$3:$3,0),FALSE)</f>
        <v>48483</v>
      </c>
      <c r="AF11" s="77">
        <f>VLOOKUP(A11,JanApport,MATCH($AF$4,'Jan 2022 Apport'!$3:$3,0),FALSE)*VLOOKUP(A11,JanApport,MATCH($AF$3,'Jan 2022 Apport'!$3:$3,0),FALSE)</f>
        <v>59343.6</v>
      </c>
      <c r="AG11" s="77">
        <f t="shared" si="9"/>
        <v>113331.74612</v>
      </c>
      <c r="AH11" s="77">
        <f t="shared" si="4"/>
        <v>162383.05708</v>
      </c>
      <c r="AI11" s="77">
        <f t="shared" si="5"/>
        <v>89075.870679119995</v>
      </c>
      <c r="AJ11" s="3">
        <f>VLOOKUP(A11,JanApport,MATCH($AJ$4,'Jan 2022 Apport'!$3:$3,0),FALSE)</f>
        <v>6535173.6200000001</v>
      </c>
      <c r="AK11" s="3">
        <f>VLOOKUP(A11,JanApport,MATCH($AK$4,'Jan 2022 Apport'!$3:$3,0),FALSE)</f>
        <v>98.302999999999997</v>
      </c>
      <c r="AL11" s="117">
        <f t="shared" si="10"/>
        <v>64812366.710000001</v>
      </c>
      <c r="AM11" s="117">
        <f>VLOOKUP(A11,JanApport,MATCH($AM$4,'Jan 2022 Apport'!$3:$3,0),FALSE)</f>
        <v>0</v>
      </c>
      <c r="AN11" s="117">
        <f>VLOOKUP(A11,JanApport,MATCH($AN$4,'Jan 2022 Apport'!$3:$3,0),FALSE)</f>
        <v>414033.4</v>
      </c>
    </row>
    <row r="12" spans="1:40">
      <c r="A12" s="244" t="s">
        <v>15</v>
      </c>
      <c r="B12" s="12" t="s">
        <v>16</v>
      </c>
      <c r="C12" s="2" t="s">
        <v>1267</v>
      </c>
      <c r="D12" s="118">
        <f>VLOOKUP(A12,JanApport,MATCH($D$4,'Jan 2022 Apport'!$3:$3,FALSE),FALSE)</f>
        <v>5870985.5800000001</v>
      </c>
      <c r="E12" s="30">
        <f>VLOOKUP(A12,JanApport,MATCH($E$2,'Jan 2022 Apport'!$3:$3,0),FALSE)+VLOOKUP(A12,JanApport,MATCH($E$3,'Jan 2022 Apport'!$3:$3,0),FALSE)+VLOOKUP(A12,JanApport,MATCH($E$4,'Jan 2022 Apport'!$3:$3,0),FALSE)</f>
        <v>434753.33999999997</v>
      </c>
      <c r="F12" s="118">
        <f t="shared" si="6"/>
        <v>5436232.2400000002</v>
      </c>
      <c r="G12" s="117">
        <f>VLOOKUP(A12,JanApport,MATCH($G$4,'Jan 2022 Apport'!$3:$3,0),FALSE)</f>
        <v>17647.73</v>
      </c>
      <c r="H12" s="117">
        <f>VLOOKUP(A12,JanApport,MATCH($H$3,'Jan 2022 Apport'!$3:$3,0),FALSE)+VLOOKUP(A12,JanApport,MATCH($H$2,'Jan 2022 Apport'!$3:$3,0),FALSE)+VLOOKUP(A12,JanApport,MATCH($H$4,'Jan 2022 Apport'!$3:$3,0),FALSE)</f>
        <v>718408.01</v>
      </c>
      <c r="I12" s="117">
        <f t="shared" si="7"/>
        <v>736055.74</v>
      </c>
      <c r="J12" s="117">
        <f>VLOOKUP(A12,JanApport,MATCH($J$4,'Jan 2022 Apport'!$3:$3,0),FALSE)</f>
        <v>280057.31</v>
      </c>
      <c r="K12" s="117">
        <f>VLOOKUP(A12,JanApport,MATCH($K$4,'Jan 2022 Apport'!$3:$3,0),FALSE)</f>
        <v>86687.27</v>
      </c>
      <c r="L12" s="117">
        <f t="shared" si="3"/>
        <v>366744.58</v>
      </c>
      <c r="M12" s="117">
        <f>VLOOKUP(A12,JanApport,MATCH($M$4,'Jan 2022 Apport'!$3:$3,0),FALSE)</f>
        <v>121804.31</v>
      </c>
      <c r="N12" s="117">
        <f>VLOOKUP(A12,JanApport,MATCH($N$4,'Jan 2022 Apport'!$3:$3,0),FALSE)</f>
        <v>0</v>
      </c>
      <c r="O12" s="117">
        <f>VLOOKUP(A12,JanApport,MATCH($O$4,'Jan 2022 Apport'!$3:$3,0),FALSE)</f>
        <v>17121.11</v>
      </c>
      <c r="P12" s="121">
        <f>IFERROR((VLOOKUP(A12,ExcessLevy!A:G,3,FALSE)*0.28),0)+IFERROR((VLOOKUP(A12,ExcessLevy!A:G,6,FALSE)*0.72),0)</f>
        <v>380202.75959999999</v>
      </c>
      <c r="Q12" s="121">
        <f>IFERROR((VLOOKUP(A12,ExcessLevy!A:G,4,FALSE)*0.4738),0)+IFERROR((VLOOKUP(A12,ExcessLevy!A:G,7,FALSE)*0.5262),0)</f>
        <v>843129.16740000003</v>
      </c>
      <c r="R12">
        <f>VLOOKUP(A12,JanApport,MATCH($R$4,'Jan 2022 Apport'!$3:$3,0),FALSE)</f>
        <v>0</v>
      </c>
      <c r="S12">
        <f>VLOOKUP(A12,JanApport,MATCH($S$4,'Jan 2022 Apport'!$3:$3,0),FALSE)</f>
        <v>4.72</v>
      </c>
      <c r="T12">
        <f>VLOOKUP(A12,JanApport,MATCH($T$4,'Jan 2022 Apport'!$3:$3,0),FALSE)</f>
        <v>44.03</v>
      </c>
      <c r="U12" s="132">
        <f>IFERROR(VLOOKUP(A12,JanApport,MATCH($U$4,'Jan 2022 Apport'!$3:$3,0),FALSE)/R12,0)</f>
        <v>0</v>
      </c>
      <c r="V12" s="30">
        <f>IFERROR(((VLOOKUP(A12,JanApport,MATCH($V$4,'Jan 2022 Apport'!$3:$3,0),FALSE)+VLOOKUP(A12,JanApport,MATCH($V$3,'Jan 2022 Apport'!$3:$3,0),FALSE))/(S12+T12)),0)</f>
        <v>8918.0172307692301</v>
      </c>
      <c r="W12" s="30">
        <f t="shared" si="8"/>
        <v>8083.6246967786601</v>
      </c>
      <c r="X12">
        <f>VLOOKUP(A12,JanApport,MATCH($X$4,'Jan 2022 Apport'!$3:$3,0),FALSE)</f>
        <v>4.8578999999999997E-2</v>
      </c>
      <c r="Y12">
        <f>VLOOKUP(A12,JanApport,MATCH($Y$4,'Jan 2022 Apport'!$3:$3,0),FALSE)</f>
        <v>4.0270000000000002E-3</v>
      </c>
      <c r="Z12">
        <f>VLOOKUP(A12,JanApport,MATCH($Z$4,'Jan 2022 Apport'!$3:$3,0),FALSE)</f>
        <v>1.7100000000000001E-2</v>
      </c>
      <c r="AA12" s="77">
        <f>VLOOKUP(A12,JanApport,MATCH($AA$4,'Jan 2022 Apport'!$3:$3,0),FALSE)*VLOOKUP(A12,JanApport,MATCH($AA$3,'Jan 2022 Apport'!$3:$3,0),FALSE)</f>
        <v>67585</v>
      </c>
      <c r="AB12" s="77">
        <f>VLOOKUP(A12,JanApport,MATCH($AB$4,'Jan 2022 Apport'!$3:$3,0),FALSE)*VLOOKUP(A12,JanApport,MATCH($AB$3,'Jan 2022 Apport'!$3:$3,0),FALSE)</f>
        <v>68937</v>
      </c>
      <c r="AC12" s="77">
        <f>VLOOKUP(A12,JanApport,MATCH($AC$4,'Jan 2022 Apport'!$3:$3,0),FALSE)</f>
        <v>100321</v>
      </c>
      <c r="AD12" s="77">
        <f>VLOOKUP(A12,JanApport,MATCH($AD$4,'Jan 2022 Apport'!$3:$3,0),FALSE)*VLOOKUP(A12,JanApport,MATCH($AD$3,'Jan 2022 Apport'!$3:$3,0),FALSE)</f>
        <v>102327</v>
      </c>
      <c r="AE12" s="77">
        <f>VLOOKUP(A12,JanApport,MATCH($AE$4,'Jan 2022 Apport'!$3:$3,0),FALSE)</f>
        <v>48483</v>
      </c>
      <c r="AF12" s="77">
        <f>VLOOKUP(A12,JanApport,MATCH($AF$4,'Jan 2022 Apport'!$3:$3,0),FALSE)*VLOOKUP(A12,JanApport,MATCH($AF$3,'Jan 2022 Apport'!$3:$3,0),FALSE)</f>
        <v>49453</v>
      </c>
      <c r="AG12" s="77">
        <f t="shared" si="9"/>
        <v>96432.259900000005</v>
      </c>
      <c r="AH12" s="77">
        <f t="shared" si="4"/>
        <v>137400.94330000001</v>
      </c>
      <c r="AI12" s="77">
        <f t="shared" si="5"/>
        <v>77281.189732599989</v>
      </c>
      <c r="AJ12" s="3">
        <f>VLOOKUP(A12,JanApport,MATCH($AJ$4,'Jan 2022 Apport'!$3:$3,0),FALSE)</f>
        <v>801875.47</v>
      </c>
      <c r="AK12" s="3">
        <f>VLOOKUP(A12,JanApport,MATCH($AK$4,'Jan 2022 Apport'!$3:$3,0),FALSE)</f>
        <v>14.295</v>
      </c>
      <c r="AL12" s="117">
        <f t="shared" si="10"/>
        <v>7026024.0499999998</v>
      </c>
      <c r="AM12" s="117">
        <f>VLOOKUP(A12,JanApport,MATCH($AM$4,'Jan 2022 Apport'!$3:$3,0),FALSE)</f>
        <v>0</v>
      </c>
      <c r="AN12" s="117">
        <f>VLOOKUP(A12,JanApport,MATCH($AN$4,'Jan 2022 Apport'!$3:$3,0),FALSE)</f>
        <v>47792.38</v>
      </c>
    </row>
    <row r="13" spans="1:40">
      <c r="A13" s="244" t="s">
        <v>205</v>
      </c>
      <c r="B13" s="12" t="s">
        <v>206</v>
      </c>
      <c r="C13" s="2" t="s">
        <v>1267</v>
      </c>
      <c r="D13" s="118">
        <f>VLOOKUP(A13,JanApport,MATCH($D$4,'Jan 2022 Apport'!$3:$3,FALSE),FALSE)</f>
        <v>162216997.87</v>
      </c>
      <c r="E13" s="30">
        <f>VLOOKUP(A13,JanApport,MATCH($E$2,'Jan 2022 Apport'!$3:$3,0),FALSE)+VLOOKUP(A13,JanApport,MATCH($E$3,'Jan 2022 Apport'!$3:$3,0),FALSE)+VLOOKUP(A13,JanApport,MATCH($E$4,'Jan 2022 Apport'!$3:$3,0),FALSE)</f>
        <v>9680539.6999999993</v>
      </c>
      <c r="F13" s="118">
        <f t="shared" si="6"/>
        <v>152536458.17000002</v>
      </c>
      <c r="G13" s="117">
        <f>VLOOKUP(A13,JanApport,MATCH($G$4,'Jan 2022 Apport'!$3:$3,0),FALSE)</f>
        <v>1895436.61</v>
      </c>
      <c r="H13" s="117">
        <f>VLOOKUP(A13,JanApport,MATCH($H$3,'Jan 2022 Apport'!$3:$3,0),FALSE)+VLOOKUP(A13,JanApport,MATCH($H$2,'Jan 2022 Apport'!$3:$3,0),FALSE)+VLOOKUP(A13,JanApport,MATCH($H$4,'Jan 2022 Apport'!$3:$3,0),FALSE)</f>
        <v>16756032</v>
      </c>
      <c r="I13" s="117">
        <f t="shared" si="7"/>
        <v>18651468.609999999</v>
      </c>
      <c r="J13" s="117">
        <f>VLOOKUP(A13,JanApport,MATCH($J$4,'Jan 2022 Apport'!$3:$3,0),FALSE)</f>
        <v>8942118.1199999992</v>
      </c>
      <c r="K13" s="117">
        <f>VLOOKUP(A13,JanApport,MATCH($K$4,'Jan 2022 Apport'!$3:$3,0),FALSE)</f>
        <v>551165.41</v>
      </c>
      <c r="L13" s="117">
        <f t="shared" si="3"/>
        <v>9493283.5299999993</v>
      </c>
      <c r="M13" s="117">
        <f>VLOOKUP(A13,JanApport,MATCH($M$4,'Jan 2022 Apport'!$3:$3,0),FALSE)</f>
        <v>6499712.0099999998</v>
      </c>
      <c r="N13" s="117">
        <f>VLOOKUP(A13,JanApport,MATCH($N$4,'Jan 2022 Apport'!$3:$3,0),FALSE)</f>
        <v>6945636.0999999996</v>
      </c>
      <c r="O13" s="117">
        <f>VLOOKUP(A13,JanApport,MATCH($O$4,'Jan 2022 Apport'!$3:$3,0),FALSE)</f>
        <v>539215.53</v>
      </c>
      <c r="P13" s="121">
        <f>IFERROR((VLOOKUP(A13,ExcessLevy!A:G,3,FALSE)*0.28),0)+IFERROR((VLOOKUP(A13,ExcessLevy!A:G,6,FALSE)*0.72),0)</f>
        <v>3676120.0279999999</v>
      </c>
      <c r="Q13" s="121">
        <f>IFERROR((VLOOKUP(A13,ExcessLevy!A:G,4,FALSE)*0.4738),0)+IFERROR((VLOOKUP(A13,ExcessLevy!A:G,7,FALSE)*0.5262),0)</f>
        <v>39512531.043200001</v>
      </c>
      <c r="R13">
        <f>VLOOKUP(A13,JanApport,MATCH($R$4,'Jan 2022 Apport'!$3:$3,0),FALSE)</f>
        <v>0</v>
      </c>
      <c r="S13">
        <f>VLOOKUP(A13,JanApport,MATCH($S$4,'Jan 2022 Apport'!$3:$3,0),FALSE)</f>
        <v>216.88</v>
      </c>
      <c r="T13">
        <f>VLOOKUP(A13,JanApport,MATCH($T$4,'Jan 2022 Apport'!$3:$3,0),FALSE)</f>
        <v>757.96</v>
      </c>
      <c r="U13" s="132">
        <f>IFERROR(VLOOKUP(A13,JanApport,MATCH($U$4,'Jan 2022 Apport'!$3:$3,0),FALSE)/R13,0)</f>
        <v>0</v>
      </c>
      <c r="V13" s="30">
        <f>IFERROR(((VLOOKUP(A13,JanApport,MATCH($V$4,'Jan 2022 Apport'!$3:$3,0),FALSE)+VLOOKUP(A13,JanApport,MATCH($V$3,'Jan 2022 Apport'!$3:$3,0),FALSE))/(S13+T13)),0)</f>
        <v>9930.3882688441172</v>
      </c>
      <c r="W13" s="30">
        <f t="shared" si="8"/>
        <v>9094.887839371313</v>
      </c>
      <c r="X13">
        <f>VLOOKUP(A13,JanApport,MATCH($X$4,'Jan 2022 Apport'!$3:$3,0),FALSE)</f>
        <v>4.8578999999999997E-2</v>
      </c>
      <c r="Y13">
        <f>VLOOKUP(A13,JanApport,MATCH($Y$4,'Jan 2022 Apport'!$3:$3,0),FALSE)</f>
        <v>4.0270000000000002E-3</v>
      </c>
      <c r="Z13">
        <f>VLOOKUP(A13,JanApport,MATCH($Z$4,'Jan 2022 Apport'!$3:$3,0),FALSE)</f>
        <v>1.7100000000000001E-2</v>
      </c>
      <c r="AA13" s="77">
        <f>VLOOKUP(A13,JanApport,MATCH($AA$4,'Jan 2022 Apport'!$3:$3,0),FALSE)*VLOOKUP(A13,JanApport,MATCH($AA$3,'Jan 2022 Apport'!$3:$3,0),FALSE)</f>
        <v>78398.599999999991</v>
      </c>
      <c r="AB13" s="77">
        <f>VLOOKUP(A13,JanApport,MATCH($AB$4,'Jan 2022 Apport'!$3:$3,0),FALSE)*VLOOKUP(A13,JanApport,MATCH($AB$3,'Jan 2022 Apport'!$3:$3,0),FALSE)</f>
        <v>81345.659999999989</v>
      </c>
      <c r="AC13" s="77">
        <f>VLOOKUP(A13,JanApport,MATCH($AC$4,'Jan 2022 Apport'!$3:$3,0),FALSE)</f>
        <v>100321</v>
      </c>
      <c r="AD13" s="77">
        <f>VLOOKUP(A13,JanApport,MATCH($AD$4,'Jan 2022 Apport'!$3:$3,0),FALSE)*VLOOKUP(A13,JanApport,MATCH($AD$3,'Jan 2022 Apport'!$3:$3,0),FALSE)</f>
        <v>120745.86</v>
      </c>
      <c r="AE13" s="77">
        <f>VLOOKUP(A13,JanApport,MATCH($AE$4,'Jan 2022 Apport'!$3:$3,0),FALSE)</f>
        <v>48483</v>
      </c>
      <c r="AF13" s="77">
        <f>VLOOKUP(A13,JanApport,MATCH($AF$4,'Jan 2022 Apport'!$3:$3,0),FALSE)*VLOOKUP(A13,JanApport,MATCH($AF$3,'Jan 2022 Apport'!$3:$3,0),FALSE)</f>
        <v>58354.539999999994</v>
      </c>
      <c r="AG13" s="77">
        <f t="shared" si="9"/>
        <v>111648.71820199999</v>
      </c>
      <c r="AH13" s="77">
        <f t="shared" si="4"/>
        <v>159884.84570200002</v>
      </c>
      <c r="AI13" s="77">
        <f t="shared" si="5"/>
        <v>87896.402584467985</v>
      </c>
      <c r="AJ13" s="3">
        <f>VLOOKUP(A13,JanApport,MATCH($AJ$4,'Jan 2022 Apport'!$3:$3,0),FALSE)</f>
        <v>21391748.460000001</v>
      </c>
      <c r="AK13" s="3">
        <f>VLOOKUP(A13,JanApport,MATCH($AK$4,'Jan 2022 Apport'!$3:$3,0),FALSE)</f>
        <v>326.19200000000001</v>
      </c>
      <c r="AL13" s="117">
        <f t="shared" si="10"/>
        <v>207302950.56</v>
      </c>
      <c r="AM13" s="117">
        <f>VLOOKUP(A13,JanApport,MATCH($AM$4,'Jan 2022 Apport'!$3:$3,0),FALSE)</f>
        <v>3507802.32</v>
      </c>
      <c r="AN13" s="117">
        <f>VLOOKUP(A13,JanApport,MATCH($AN$4,'Jan 2022 Apport'!$3:$3,0),FALSE)</f>
        <v>1354434.62</v>
      </c>
    </row>
    <row r="14" spans="1:40">
      <c r="A14" s="2" t="s">
        <v>229</v>
      </c>
      <c r="B14" s="2" t="s">
        <v>230</v>
      </c>
      <c r="C14" s="2" t="s">
        <v>1267</v>
      </c>
      <c r="D14" s="118">
        <f>VLOOKUP(A14,JanApport,MATCH($D$4,'Jan 2022 Apport'!$3:$3,FALSE),FALSE)</f>
        <v>35062570.329999998</v>
      </c>
      <c r="E14" s="30">
        <f>VLOOKUP(A14,JanApport,MATCH($E$2,'Jan 2022 Apport'!$3:$3,0),FALSE)+VLOOKUP(A14,JanApport,MATCH($E$3,'Jan 2022 Apport'!$3:$3,0),FALSE)+VLOOKUP(A14,JanApport,MATCH($E$4,'Jan 2022 Apport'!$3:$3,0),FALSE)</f>
        <v>3271339.76</v>
      </c>
      <c r="F14" s="118">
        <f t="shared" ref="F14:F77" si="11">D14-E14</f>
        <v>31791230.57</v>
      </c>
      <c r="G14" s="117">
        <f>VLOOKUP(A14,JanApport,MATCH($G$4,'Jan 2022 Apport'!$3:$3,0),FALSE)</f>
        <v>299832.77</v>
      </c>
      <c r="H14" s="117">
        <f>VLOOKUP(A14,JanApport,MATCH($H$3,'Jan 2022 Apport'!$3:$3,0),FALSE)+VLOOKUP(A14,JanApport,MATCH($H$2,'Jan 2022 Apport'!$3:$3,0),FALSE)+VLOOKUP(A14,JanApport,MATCH($H$4,'Jan 2022 Apport'!$3:$3,0),FALSE)</f>
        <v>4079724.8099999996</v>
      </c>
      <c r="I14" s="117">
        <f>SUM(G14:H14)</f>
        <v>4379557.58</v>
      </c>
      <c r="J14" s="117">
        <f>VLOOKUP(A14,JanApport,MATCH($J$4,'Jan 2022 Apport'!$3:$3,0),FALSE)</f>
        <v>1436881.68</v>
      </c>
      <c r="K14" s="117">
        <f>VLOOKUP(A14,JanApport,MATCH($K$4,'Jan 2022 Apport'!$3:$3,0),FALSE)</f>
        <v>111102.7</v>
      </c>
      <c r="L14" s="117">
        <f t="shared" ref="L14:L77" si="12">K14+J14</f>
        <v>1547984.38</v>
      </c>
      <c r="M14" s="117">
        <f>VLOOKUP(A14,JanApport,MATCH($M$4,'Jan 2022 Apport'!$3:$3,0),FALSE)</f>
        <v>186285.51</v>
      </c>
      <c r="N14" s="117">
        <f>VLOOKUP(A14,JanApport,MATCH($N$4,'Jan 2022 Apport'!$3:$3,0),FALSE)</f>
        <v>73086.47</v>
      </c>
      <c r="O14" s="117">
        <f>VLOOKUP(A14,JanApport,MATCH($O$4,'Jan 2022 Apport'!$3:$3,0),FALSE)</f>
        <v>117391.59</v>
      </c>
      <c r="P14" s="121">
        <f>IFERROR((VLOOKUP(A14,ExcessLevy!A:G,3,FALSE)*0.28),0)+IFERROR((VLOOKUP(A14,ExcessLevy!A:G,6,FALSE)*0.72),0)</f>
        <v>0</v>
      </c>
      <c r="Q14" s="121">
        <f>IFERROR((VLOOKUP(A14,ExcessLevy!A:G,4,FALSE)*0.4738),0)+IFERROR((VLOOKUP(A14,ExcessLevy!A:G,7,FALSE)*0.5262),0)</f>
        <v>9915942.6682000011</v>
      </c>
      <c r="R14">
        <f>VLOOKUP(A14,JanApport,MATCH($R$4,'Jan 2022 Apport'!$3:$3,0),FALSE)</f>
        <v>0</v>
      </c>
      <c r="S14">
        <f>VLOOKUP(A14,JanApport,MATCH($S$4,'Jan 2022 Apport'!$3:$3,0),FALSE)</f>
        <v>49.6</v>
      </c>
      <c r="T14">
        <f>VLOOKUP(A14,JanApport,MATCH($T$4,'Jan 2022 Apport'!$3:$3,0),FALSE)</f>
        <v>275.68</v>
      </c>
      <c r="U14" s="132">
        <f>IFERROR(VLOOKUP(A14,JanApport,MATCH($U$4,'Jan 2022 Apport'!$3:$3,0),FALSE)/R14,0)</f>
        <v>0</v>
      </c>
      <c r="V14" s="30">
        <f>IFERROR(((VLOOKUP(A14,JanApport,MATCH($V$4,'Jan 2022 Apport'!$3:$3,0),FALSE)+VLOOKUP(A14,JanApport,MATCH($V$3,'Jan 2022 Apport'!$3:$3,0),FALSE))/(S14+T14)),0)</f>
        <v>10056.996310870632</v>
      </c>
      <c r="W14" s="30">
        <f t="shared" si="8"/>
        <v>2456.353584791681</v>
      </c>
      <c r="X14">
        <f>VLOOKUP(A14,JanApport,MATCH($X$4,'Jan 2022 Apport'!$3:$3,0),FALSE)</f>
        <v>4.8578999999999997E-2</v>
      </c>
      <c r="Y14">
        <f>VLOOKUP(A14,JanApport,MATCH($Y$4,'Jan 2022 Apport'!$3:$3,0),FALSE)</f>
        <v>4.0270000000000002E-3</v>
      </c>
      <c r="Z14">
        <f>VLOOKUP(A14,JanApport,MATCH($Z$4,'Jan 2022 Apport'!$3:$3,0),FALSE)</f>
        <v>1.7100000000000001E-2</v>
      </c>
      <c r="AA14" s="77">
        <f>VLOOKUP(A14,JanApport,MATCH($AA$4,'Jan 2022 Apport'!$3:$3,0),FALSE)*VLOOKUP(A14,JanApport,MATCH($AA$3,'Jan 2022 Apport'!$3:$3,0),FALSE)</f>
        <v>79750.3</v>
      </c>
      <c r="AB14" s="77">
        <f>VLOOKUP(A14,JanApport,MATCH($AB$4,'Jan 2022 Apport'!$3:$3,0),FALSE)*VLOOKUP(A14,JanApport,MATCH($AB$3,'Jan 2022 Apport'!$3:$3,0),FALSE)</f>
        <v>0</v>
      </c>
      <c r="AC14" s="77">
        <f>VLOOKUP(A14,JanApport,MATCH($AC$4,'Jan 2022 Apport'!$3:$3,0),FALSE)</f>
        <v>0</v>
      </c>
      <c r="AD14" s="77">
        <f>VLOOKUP(A14,JanApport,MATCH($AD$4,'Jan 2022 Apport'!$3:$3,0),FALSE)*VLOOKUP(A14,JanApport,MATCH($AD$3,'Jan 2022 Apport'!$3:$3,0),FALSE)</f>
        <v>0</v>
      </c>
      <c r="AE14" s="77">
        <f>VLOOKUP(A14,JanApport,MATCH($AE$4,'Jan 2022 Apport'!$3:$3,0),FALSE)</f>
        <v>0</v>
      </c>
      <c r="AF14" s="77">
        <f>VLOOKUP(A14,JanApport,MATCH($AF$4,'Jan 2022 Apport'!$3:$3,0),FALSE)*VLOOKUP(A14,JanApport,MATCH($AF$3,'Jan 2022 Apport'!$3:$3,0),FALSE)</f>
        <v>0</v>
      </c>
      <c r="AG14" s="77">
        <f t="shared" si="9"/>
        <v>12358.721920000018</v>
      </c>
      <c r="AH14" s="77">
        <f t="shared" si="4"/>
        <v>11848.32</v>
      </c>
      <c r="AI14" s="77">
        <f t="shared" si="5"/>
        <v>16610.88</v>
      </c>
      <c r="AJ14" s="3">
        <f>VLOOKUP(A14,JanApport,MATCH($AJ$4,'Jan 2022 Apport'!$3:$3,0),FALSE)</f>
        <v>4406480.38</v>
      </c>
      <c r="AK14" s="3">
        <f>VLOOKUP(A14,JanApport,MATCH($AK$4,'Jan 2022 Apport'!$3:$3,0),FALSE)</f>
        <v>59.094999999999999</v>
      </c>
      <c r="AL14" s="117">
        <f t="shared" si="10"/>
        <v>41255773.159999996</v>
      </c>
      <c r="AM14" s="117">
        <f>VLOOKUP(A14,JanApport,MATCH($AM$4,'Jan 2022 Apport'!$3:$3,0),FALSE)</f>
        <v>0</v>
      </c>
      <c r="AN14" s="117">
        <f>VLOOKUP(A14,JanApport,MATCH($AN$4,'Jan 2022 Apport'!$3:$3,0),FALSE)</f>
        <v>278249.7</v>
      </c>
    </row>
    <row r="15" spans="1:40">
      <c r="A15" s="2" t="s">
        <v>69</v>
      </c>
      <c r="B15" s="2" t="s">
        <v>70</v>
      </c>
      <c r="C15" s="2" t="s">
        <v>1267</v>
      </c>
      <c r="D15" s="118">
        <f>VLOOKUP(A15,JanApport,MATCH($D$4,'Jan 2022 Apport'!$3:$3,FALSE),FALSE)</f>
        <v>106556454.43000001</v>
      </c>
      <c r="E15" s="30">
        <f>VLOOKUP(A15,JanApport,MATCH($E$2,'Jan 2022 Apport'!$3:$3,0),FALSE)+VLOOKUP(A15,JanApport,MATCH($E$3,'Jan 2022 Apport'!$3:$3,0),FALSE)+VLOOKUP(A15,JanApport,MATCH($E$4,'Jan 2022 Apport'!$3:$3,0),FALSE)</f>
        <v>8951518.8000000007</v>
      </c>
      <c r="F15" s="118">
        <f t="shared" si="11"/>
        <v>97604935.63000001</v>
      </c>
      <c r="G15" s="117">
        <f>VLOOKUP(A15,JanApport,MATCH($G$4,'Jan 2022 Apport'!$3:$3,0),FALSE)</f>
        <v>858863.92</v>
      </c>
      <c r="H15" s="117">
        <f>VLOOKUP(A15,JanApport,MATCH($H$3,'Jan 2022 Apport'!$3:$3,0),FALSE)+VLOOKUP(A15,JanApport,MATCH($H$2,'Jan 2022 Apport'!$3:$3,0),FALSE)+VLOOKUP(A15,JanApport,MATCH($H$4,'Jan 2022 Apport'!$3:$3,0),FALSE)</f>
        <v>14038127.52</v>
      </c>
      <c r="I15" s="117">
        <f t="shared" ref="I15:I77" si="13">SUM(G15:H15)</f>
        <v>14896991.439999999</v>
      </c>
      <c r="J15" s="117">
        <f>VLOOKUP(A15,JanApport,MATCH($J$4,'Jan 2022 Apport'!$3:$3,0),FALSE)</f>
        <v>10046398.390000001</v>
      </c>
      <c r="K15" s="117">
        <f>VLOOKUP(A15,JanApport,MATCH($K$4,'Jan 2022 Apport'!$3:$3,0),FALSE)</f>
        <v>0</v>
      </c>
      <c r="L15" s="117">
        <f t="shared" si="12"/>
        <v>10046398.390000001</v>
      </c>
      <c r="M15" s="117">
        <f>VLOOKUP(A15,JanApport,MATCH($M$4,'Jan 2022 Apport'!$3:$3,0),FALSE)</f>
        <v>2458260.09</v>
      </c>
      <c r="N15" s="117">
        <f>VLOOKUP(A15,JanApport,MATCH($N$4,'Jan 2022 Apport'!$3:$3,0),FALSE)</f>
        <v>1257556.3999999999</v>
      </c>
      <c r="O15" s="117">
        <f>VLOOKUP(A15,JanApport,MATCH($O$4,'Jan 2022 Apport'!$3:$3,0),FALSE)</f>
        <v>348222.63</v>
      </c>
      <c r="P15" s="121">
        <f>IFERROR((VLOOKUP(A15,ExcessLevy!A:G,3,FALSE)*0.28),0)+IFERROR((VLOOKUP(A15,ExcessLevy!A:G,6,FALSE)*0.72),0)</f>
        <v>693841.35800000012</v>
      </c>
      <c r="Q15" s="121">
        <f>IFERROR((VLOOKUP(A15,ExcessLevy!A:G,4,FALSE)*0.4738),0)+IFERROR((VLOOKUP(A15,ExcessLevy!A:G,7,FALSE)*0.5262),0)</f>
        <v>27488322.539999999</v>
      </c>
      <c r="R15">
        <f>VLOOKUP(A15,JanApport,MATCH($R$4,'Jan 2022 Apport'!$3:$3,0),FALSE)</f>
        <v>0</v>
      </c>
      <c r="S15">
        <f>VLOOKUP(A15,JanApport,MATCH($S$4,'Jan 2022 Apport'!$3:$3,0),FALSE)</f>
        <v>73.3</v>
      </c>
      <c r="T15">
        <f>VLOOKUP(A15,JanApport,MATCH($T$4,'Jan 2022 Apport'!$3:$3,0),FALSE)</f>
        <v>889.14</v>
      </c>
      <c r="U15" s="132">
        <f>IFERROR(VLOOKUP(A15,JanApport,MATCH($U$4,'Jan 2022 Apport'!$3:$3,0),FALSE)/R15,0)</f>
        <v>0</v>
      </c>
      <c r="V15" s="30">
        <f>IFERROR(((VLOOKUP(A15,JanApport,MATCH($V$4,'Jan 2022 Apport'!$3:$3,0),FALSE)+VLOOKUP(A15,JanApport,MATCH($V$3,'Jan 2022 Apport'!$3:$3,0),FALSE))/(S15+T15)),0)</f>
        <v>9300.8590665392148</v>
      </c>
      <c r="W15" s="30">
        <f t="shared" si="8"/>
        <v>8420.8524946760499</v>
      </c>
      <c r="X15">
        <f>VLOOKUP(A15,JanApport,MATCH($X$4,'Jan 2022 Apport'!$3:$3,0),FALSE)</f>
        <v>4.8578999999999997E-2</v>
      </c>
      <c r="Y15">
        <f>VLOOKUP(A15,JanApport,MATCH($Y$4,'Jan 2022 Apport'!$3:$3,0),FALSE)</f>
        <v>4.0270000000000002E-3</v>
      </c>
      <c r="Z15">
        <f>VLOOKUP(A15,JanApport,MATCH($Z$4,'Jan 2022 Apport'!$3:$3,0),FALSE)</f>
        <v>1.7100000000000001E-2</v>
      </c>
      <c r="AA15" s="77">
        <f>VLOOKUP(A15,JanApport,MATCH($AA$4,'Jan 2022 Apport'!$3:$3,0),FALSE)*VLOOKUP(A15,JanApport,MATCH($AA$3,'Jan 2022 Apport'!$3:$3,0),FALSE)</f>
        <v>71640.100000000006</v>
      </c>
      <c r="AB15" s="77">
        <f>VLOOKUP(A15,JanApport,MATCH($AB$4,'Jan 2022 Apport'!$3:$3,0),FALSE)*VLOOKUP(A15,JanApport,MATCH($AB$3,'Jan 2022 Apport'!$3:$3,0),FALSE)</f>
        <v>73073.22</v>
      </c>
      <c r="AC15" s="77">
        <f>VLOOKUP(A15,JanApport,MATCH($AC$4,'Jan 2022 Apport'!$3:$3,0),FALSE)</f>
        <v>100321</v>
      </c>
      <c r="AD15" s="77">
        <f>VLOOKUP(A15,JanApport,MATCH($AD$4,'Jan 2022 Apport'!$3:$3,0),FALSE)*VLOOKUP(A15,JanApport,MATCH($AD$3,'Jan 2022 Apport'!$3:$3,0),FALSE)</f>
        <v>108466.62000000001</v>
      </c>
      <c r="AE15" s="77">
        <f>VLOOKUP(A15,JanApport,MATCH($AE$4,'Jan 2022 Apport'!$3:$3,0),FALSE)</f>
        <v>48483</v>
      </c>
      <c r="AF15" s="77">
        <f>VLOOKUP(A15,JanApport,MATCH($AF$4,'Jan 2022 Apport'!$3:$3,0),FALSE)*VLOOKUP(A15,JanApport,MATCH($AF$3,'Jan 2022 Apport'!$3:$3,0),FALSE)</f>
        <v>52420.18</v>
      </c>
      <c r="AG15" s="77">
        <f t="shared" si="9"/>
        <v>101507.296294</v>
      </c>
      <c r="AH15" s="77">
        <f t="shared" si="4"/>
        <v>144895.57743400004</v>
      </c>
      <c r="AI15" s="77">
        <f t="shared" si="5"/>
        <v>80819.594016556002</v>
      </c>
      <c r="AJ15" s="3">
        <f>VLOOKUP(A15,JanApport,MATCH($AJ$4,'Jan 2022 Apport'!$3:$3,0),FALSE)</f>
        <v>12395657.970000001</v>
      </c>
      <c r="AK15" s="3">
        <f>VLOOKUP(A15,JanApport,MATCH($AK$4,'Jan 2022 Apport'!$3:$3,0),FALSE)</f>
        <v>198.655</v>
      </c>
      <c r="AL15" s="117">
        <f t="shared" si="10"/>
        <v>135563883.38000003</v>
      </c>
      <c r="AM15" s="117">
        <f>VLOOKUP(A15,JanApport,MATCH($AM$4,'Jan 2022 Apport'!$3:$3,0),FALSE)</f>
        <v>0</v>
      </c>
      <c r="AN15" s="117">
        <f>VLOOKUP(A15,JanApport,MATCH($AN$4,'Jan 2022 Apport'!$3:$3,0),FALSE)</f>
        <v>724508.59</v>
      </c>
    </row>
    <row r="16" spans="1:40">
      <c r="A16" s="2" t="s">
        <v>199</v>
      </c>
      <c r="B16" s="2" t="s">
        <v>200</v>
      </c>
      <c r="C16" s="2" t="s">
        <v>1267</v>
      </c>
      <c r="D16" s="118">
        <f>VLOOKUP(A16,JanApport,MATCH($D$4,'Jan 2022 Apport'!$3:$3,FALSE),FALSE)</f>
        <v>171479158.84</v>
      </c>
      <c r="E16" s="30">
        <f>VLOOKUP(A16,JanApport,MATCH($E$2,'Jan 2022 Apport'!$3:$3,0),FALSE)+VLOOKUP(A16,JanApport,MATCH($E$3,'Jan 2022 Apport'!$3:$3,0),FALSE)+VLOOKUP(A16,JanApport,MATCH($E$4,'Jan 2022 Apport'!$3:$3,0),FALSE)</f>
        <v>10197238.709999999</v>
      </c>
      <c r="F16" s="118">
        <f t="shared" si="11"/>
        <v>161281920.13</v>
      </c>
      <c r="G16" s="117">
        <f>VLOOKUP(A16,JanApport,MATCH($G$4,'Jan 2022 Apport'!$3:$3,0),FALSE)</f>
        <v>1198655.43</v>
      </c>
      <c r="H16" s="117">
        <f>VLOOKUP(A16,JanApport,MATCH($H$3,'Jan 2022 Apport'!$3:$3,0),FALSE)+VLOOKUP(A16,JanApport,MATCH($H$2,'Jan 2022 Apport'!$3:$3,0),FALSE)+VLOOKUP(A16,JanApport,MATCH($H$4,'Jan 2022 Apport'!$3:$3,0),FALSE)</f>
        <v>14467461.82</v>
      </c>
      <c r="I16" s="117">
        <f t="shared" si="13"/>
        <v>15666117.25</v>
      </c>
      <c r="J16" s="117">
        <f>VLOOKUP(A16,JanApport,MATCH($J$4,'Jan 2022 Apport'!$3:$3,0),FALSE)</f>
        <v>9612128.8499999996</v>
      </c>
      <c r="K16" s="117">
        <f>VLOOKUP(A16,JanApport,MATCH($K$4,'Jan 2022 Apport'!$3:$3,0),FALSE)</f>
        <v>1056513.75</v>
      </c>
      <c r="L16" s="117">
        <f t="shared" si="12"/>
        <v>10668642.6</v>
      </c>
      <c r="M16" s="117">
        <f>VLOOKUP(A16,JanApport,MATCH($M$4,'Jan 2022 Apport'!$3:$3,0),FALSE)</f>
        <v>2263527.4300000002</v>
      </c>
      <c r="N16" s="117">
        <f>VLOOKUP(A16,JanApport,MATCH($N$4,'Jan 2022 Apport'!$3:$3,0),FALSE)</f>
        <v>5646580.8499999996</v>
      </c>
      <c r="O16" s="117">
        <f>VLOOKUP(A16,JanApport,MATCH($O$4,'Jan 2022 Apport'!$3:$3,0),FALSE)</f>
        <v>618345.48</v>
      </c>
      <c r="P16" s="121">
        <f>IFERROR((VLOOKUP(A16,ExcessLevy!A:G,3,FALSE)*0.28),0)+IFERROR((VLOOKUP(A16,ExcessLevy!A:G,6,FALSE)*0.72),0)</f>
        <v>0</v>
      </c>
      <c r="Q16" s="121">
        <f>IFERROR((VLOOKUP(A16,ExcessLevy!A:G,4,FALSE)*0.4738),0)+IFERROR((VLOOKUP(A16,ExcessLevy!A:G,7,FALSE)*0.5262),0)</f>
        <v>69052400</v>
      </c>
      <c r="R16">
        <f>VLOOKUP(A16,JanApport,MATCH($R$4,'Jan 2022 Apport'!$3:$3,0),FALSE)</f>
        <v>0</v>
      </c>
      <c r="S16">
        <f>VLOOKUP(A16,JanApport,MATCH($S$4,'Jan 2022 Apport'!$3:$3,0),FALSE)</f>
        <v>248.93</v>
      </c>
      <c r="T16">
        <f>VLOOKUP(A16,JanApport,MATCH($T$4,'Jan 2022 Apport'!$3:$3,0),FALSE)</f>
        <v>765.04</v>
      </c>
      <c r="U16" s="132">
        <f>IFERROR(VLOOKUP(A16,JanApport,MATCH($U$4,'Jan 2022 Apport'!$3:$3,0),FALSE)/R16,0)</f>
        <v>0</v>
      </c>
      <c r="V16" s="30">
        <f>IFERROR(((VLOOKUP(A16,JanApport,MATCH($V$4,'Jan 2022 Apport'!$3:$3,0),FALSE)+VLOOKUP(A16,JanApport,MATCH($V$3,'Jan 2022 Apport'!$3:$3,0),FALSE))/(S16+T16)),0)</f>
        <v>10056.745968815645</v>
      </c>
      <c r="W16" s="30">
        <f t="shared" si="8"/>
        <v>9095.3080904708331</v>
      </c>
      <c r="X16">
        <f>VLOOKUP(A16,JanApport,MATCH($X$4,'Jan 2022 Apport'!$3:$3,0),FALSE)</f>
        <v>4.8578999999999997E-2</v>
      </c>
      <c r="Y16">
        <f>VLOOKUP(A16,JanApport,MATCH($Y$4,'Jan 2022 Apport'!$3:$3,0),FALSE)</f>
        <v>4.0270000000000002E-3</v>
      </c>
      <c r="Z16">
        <f>VLOOKUP(A16,JanApport,MATCH($Z$4,'Jan 2022 Apport'!$3:$3,0),FALSE)</f>
        <v>1.7100000000000001E-2</v>
      </c>
      <c r="AA16" s="77">
        <f>VLOOKUP(A16,JanApport,MATCH($AA$4,'Jan 2022 Apport'!$3:$3,0),FALSE)*VLOOKUP(A16,JanApport,MATCH($AA$3,'Jan 2022 Apport'!$3:$3,0),FALSE)</f>
        <v>79750.3</v>
      </c>
      <c r="AB16" s="77">
        <f>VLOOKUP(A16,JanApport,MATCH($AB$4,'Jan 2022 Apport'!$3:$3,0),FALSE)*VLOOKUP(A16,JanApport,MATCH($AB$3,'Jan 2022 Apport'!$3:$3,0),FALSE)</f>
        <v>81345.659999999989</v>
      </c>
      <c r="AC16" s="77">
        <f>VLOOKUP(A16,JanApport,MATCH($AC$4,'Jan 2022 Apport'!$3:$3,0),FALSE)</f>
        <v>100321</v>
      </c>
      <c r="AD16" s="77">
        <f>VLOOKUP(A16,JanApport,MATCH($AD$4,'Jan 2022 Apport'!$3:$3,0),FALSE)*VLOOKUP(A16,JanApport,MATCH($AD$3,'Jan 2022 Apport'!$3:$3,0),FALSE)</f>
        <v>120745.86</v>
      </c>
      <c r="AE16" s="77">
        <f>VLOOKUP(A16,JanApport,MATCH($AE$4,'Jan 2022 Apport'!$3:$3,0),FALSE)</f>
        <v>48483</v>
      </c>
      <c r="AF16" s="77">
        <f>VLOOKUP(A16,JanApport,MATCH($AF$4,'Jan 2022 Apport'!$3:$3,0),FALSE)*VLOOKUP(A16,JanApport,MATCH($AF$3,'Jan 2022 Apport'!$3:$3,0),FALSE)</f>
        <v>58354.539999999994</v>
      </c>
      <c r="AG16" s="77">
        <f t="shared" si="9"/>
        <v>111657.36908199999</v>
      </c>
      <c r="AH16" s="77">
        <f t="shared" si="4"/>
        <v>159884.84570200002</v>
      </c>
      <c r="AI16" s="77">
        <f t="shared" si="5"/>
        <v>87896.402584467985</v>
      </c>
      <c r="AJ16" s="3">
        <f>VLOOKUP(A16,JanApport,MATCH($AJ$4,'Jan 2022 Apport'!$3:$3,0),FALSE)</f>
        <v>23773804.620000001</v>
      </c>
      <c r="AK16" s="3">
        <f>VLOOKUP(A16,JanApport,MATCH($AK$4,'Jan 2022 Apport'!$3:$3,0),FALSE)</f>
        <v>218.28</v>
      </c>
      <c r="AL16" s="117">
        <f t="shared" si="10"/>
        <v>205426819.26999998</v>
      </c>
      <c r="AM16" s="117">
        <f>VLOOKUP(A16,JanApport,MATCH($AM$4,'Jan 2022 Apport'!$3:$3,0),FALSE)</f>
        <v>140960.57</v>
      </c>
      <c r="AN16" s="117">
        <f>VLOOKUP(A16,JanApport,MATCH($AN$4,'Jan 2022 Apport'!$3:$3,0),FALSE)</f>
        <v>1336654.1200000001</v>
      </c>
    </row>
    <row r="17" spans="1:43">
      <c r="A17" s="2" t="s">
        <v>539</v>
      </c>
      <c r="B17" s="2" t="s">
        <v>540</v>
      </c>
      <c r="C17" s="2" t="s">
        <v>1267</v>
      </c>
      <c r="D17" s="118">
        <f>VLOOKUP(A17,JanApport,MATCH($D$4,'Jan 2022 Apport'!$3:$3,FALSE),FALSE)</f>
        <v>104709395.17</v>
      </c>
      <c r="E17" s="30">
        <f>VLOOKUP(A17,JanApport,MATCH($E$2,'Jan 2022 Apport'!$3:$3,0),FALSE)+VLOOKUP(A17,JanApport,MATCH($E$3,'Jan 2022 Apport'!$3:$3,0),FALSE)+VLOOKUP(A17,JanApport,MATCH($E$4,'Jan 2022 Apport'!$3:$3,0),FALSE)</f>
        <v>7292992.0200000005</v>
      </c>
      <c r="F17" s="118">
        <f t="shared" si="11"/>
        <v>97416403.150000006</v>
      </c>
      <c r="G17" s="117">
        <f>VLOOKUP(A17,JanApport,MATCH($G$4,'Jan 2022 Apport'!$3:$3,0),FALSE)</f>
        <v>1070188.31</v>
      </c>
      <c r="H17" s="117">
        <f>VLOOKUP(A17,JanApport,MATCH($H$3,'Jan 2022 Apport'!$3:$3,0),FALSE)+VLOOKUP(A17,JanApport,MATCH($H$2,'Jan 2022 Apport'!$3:$3,0),FALSE)+VLOOKUP(A17,JanApport,MATCH($H$4,'Jan 2022 Apport'!$3:$3,0),FALSE)</f>
        <v>14067830.959999999</v>
      </c>
      <c r="I17" s="117">
        <f t="shared" si="13"/>
        <v>15138019.27</v>
      </c>
      <c r="J17" s="117">
        <f>VLOOKUP(A17,JanApport,MATCH($J$4,'Jan 2022 Apport'!$3:$3,0),FALSE)</f>
        <v>4175996.65</v>
      </c>
      <c r="K17" s="117">
        <f>VLOOKUP(A17,JanApport,MATCH($K$4,'Jan 2022 Apport'!$3:$3,0),FALSE)</f>
        <v>612944.82999999996</v>
      </c>
      <c r="L17" s="117">
        <f t="shared" si="12"/>
        <v>4788941.4799999995</v>
      </c>
      <c r="M17" s="117">
        <f>VLOOKUP(A17,JanApport,MATCH($M$4,'Jan 2022 Apport'!$3:$3,0),FALSE)</f>
        <v>2916595.25</v>
      </c>
      <c r="N17" s="117">
        <f>VLOOKUP(A17,JanApport,MATCH($N$4,'Jan 2022 Apport'!$3:$3,0),FALSE)</f>
        <v>1317752.29</v>
      </c>
      <c r="O17" s="117">
        <f>VLOOKUP(A17,JanApport,MATCH($O$4,'Jan 2022 Apport'!$3:$3,0),FALSE)</f>
        <v>344312.15</v>
      </c>
      <c r="P17" s="121">
        <f>IFERROR((VLOOKUP(A17,ExcessLevy!A:G,3,FALSE)*0.28),0)+IFERROR((VLOOKUP(A17,ExcessLevy!A:G,6,FALSE)*0.72),0)</f>
        <v>0</v>
      </c>
      <c r="Q17" s="121">
        <f>IFERROR((VLOOKUP(A17,ExcessLevy!A:G,4,FALSE)*0.4738),0)+IFERROR((VLOOKUP(A17,ExcessLevy!A:G,7,FALSE)*0.5262),0)</f>
        <v>31526200</v>
      </c>
      <c r="R17">
        <f>VLOOKUP(A17,JanApport,MATCH($R$4,'Jan 2022 Apport'!$3:$3,0),FALSE)</f>
        <v>0</v>
      </c>
      <c r="S17">
        <f>VLOOKUP(A17,JanApport,MATCH($S$4,'Jan 2022 Apport'!$3:$3,0),FALSE)</f>
        <v>102.15</v>
      </c>
      <c r="T17">
        <f>VLOOKUP(A17,JanApport,MATCH($T$4,'Jan 2022 Apport'!$3:$3,0),FALSE)</f>
        <v>661.27</v>
      </c>
      <c r="U17" s="132">
        <f>IFERROR(VLOOKUP(A17,JanApport,MATCH($U$4,'Jan 2022 Apport'!$3:$3,0),FALSE)/R17,0)</f>
        <v>0</v>
      </c>
      <c r="V17" s="30">
        <f>IFERROR(((VLOOKUP(A17,JanApport,MATCH($V$4,'Jan 2022 Apport'!$3:$3,0),FALSE)+VLOOKUP(A17,JanApport,MATCH($V$3,'Jan 2022 Apport'!$3:$3,0),FALSE))/(S17+T17)),0)</f>
        <v>9553.053391318017</v>
      </c>
      <c r="W17" s="30">
        <f t="shared" si="8"/>
        <v>8085.7259522762606</v>
      </c>
      <c r="X17">
        <f>VLOOKUP(A17,JanApport,MATCH($X$4,'Jan 2022 Apport'!$3:$3,0),FALSE)</f>
        <v>4.8578999999999997E-2</v>
      </c>
      <c r="Y17">
        <f>VLOOKUP(A17,JanApport,MATCH($Y$4,'Jan 2022 Apport'!$3:$3,0),FALSE)</f>
        <v>4.0270000000000002E-3</v>
      </c>
      <c r="Z17">
        <f>VLOOKUP(A17,JanApport,MATCH($Z$4,'Jan 2022 Apport'!$3:$3,0),FALSE)</f>
        <v>1.7100000000000001E-2</v>
      </c>
      <c r="AA17" s="77">
        <f>VLOOKUP(A17,JanApport,MATCH($AA$4,'Jan 2022 Apport'!$3:$3,0),FALSE)*VLOOKUP(A17,JanApport,MATCH($AA$3,'Jan 2022 Apport'!$3:$3,0),FALSE)</f>
        <v>74343.5</v>
      </c>
      <c r="AB17" s="77">
        <f>VLOOKUP(A17,JanApport,MATCH($AB$4,'Jan 2022 Apport'!$3:$3,0),FALSE)*VLOOKUP(A17,JanApport,MATCH($AB$3,'Jan 2022 Apport'!$3:$3,0),FALSE)</f>
        <v>68937</v>
      </c>
      <c r="AC17" s="77">
        <f>VLOOKUP(A17,JanApport,MATCH($AC$4,'Jan 2022 Apport'!$3:$3,0),FALSE)</f>
        <v>100321</v>
      </c>
      <c r="AD17" s="77">
        <f>VLOOKUP(A17,JanApport,MATCH($AD$4,'Jan 2022 Apport'!$3:$3,0),FALSE)*VLOOKUP(A17,JanApport,MATCH($AD$3,'Jan 2022 Apport'!$3:$3,0),FALSE)</f>
        <v>102327</v>
      </c>
      <c r="AE17" s="77">
        <f>VLOOKUP(A17,JanApport,MATCH($AE$4,'Jan 2022 Apport'!$3:$3,0),FALSE)</f>
        <v>48483</v>
      </c>
      <c r="AF17" s="77">
        <f>VLOOKUP(A17,JanApport,MATCH($AF$4,'Jan 2022 Apport'!$3:$3,0),FALSE)*VLOOKUP(A17,JanApport,MATCH($AF$3,'Jan 2022 Apport'!$3:$3,0),FALSE)</f>
        <v>49453</v>
      </c>
      <c r="AG17" s="77">
        <f t="shared" si="9"/>
        <v>96475.51430000001</v>
      </c>
      <c r="AH17" s="77">
        <f t="shared" si="4"/>
        <v>137400.94330000001</v>
      </c>
      <c r="AI17" s="77">
        <f t="shared" si="5"/>
        <v>77281.189732599989</v>
      </c>
      <c r="AJ17" s="3">
        <f>VLOOKUP(A17,JanApport,MATCH($AJ$4,'Jan 2022 Apport'!$3:$3,0),FALSE)</f>
        <v>13504738.17</v>
      </c>
      <c r="AK17" s="3">
        <f>VLOOKUP(A17,JanApport,MATCH($AK$4,'Jan 2022 Apport'!$3:$3,0),FALSE)</f>
        <v>208.33099999999999</v>
      </c>
      <c r="AL17" s="117">
        <f t="shared" si="10"/>
        <v>129141156.10000001</v>
      </c>
      <c r="AM17" s="117">
        <f>VLOOKUP(A17,JanApport,MATCH($AM$4,'Jan 2022 Apport'!$3:$3,0),FALSE)</f>
        <v>539085.31999999995</v>
      </c>
      <c r="AN17" s="117">
        <f>VLOOKUP(A17,JanApport,MATCH($AN$4,'Jan 2022 Apport'!$3:$3,0),FALSE)</f>
        <v>814619.45</v>
      </c>
      <c r="AQ17" s="3"/>
    </row>
    <row r="18" spans="1:43">
      <c r="A18" s="2" t="s">
        <v>5</v>
      </c>
      <c r="B18" s="2" t="s">
        <v>6</v>
      </c>
      <c r="C18" s="2" t="s">
        <v>1267</v>
      </c>
      <c r="D18" s="118">
        <f>VLOOKUP(A18,JanApport,MATCH($D$4,'Jan 2022 Apport'!$3:$3,FALSE),FALSE)</f>
        <v>330091.89</v>
      </c>
      <c r="E18" s="30">
        <f>VLOOKUP(A18,JanApport,MATCH($E$2,'Jan 2022 Apport'!$3:$3,0),FALSE)+VLOOKUP(A18,JanApport,MATCH($E$3,'Jan 2022 Apport'!$3:$3,0),FALSE)+VLOOKUP(A18,JanApport,MATCH($E$4,'Jan 2022 Apport'!$3:$3,0),FALSE)</f>
        <v>0</v>
      </c>
      <c r="F18" s="118">
        <f t="shared" si="11"/>
        <v>330091.89</v>
      </c>
      <c r="G18" s="117">
        <f>VLOOKUP(A18,JanApport,MATCH($G$4,'Jan 2022 Apport'!$3:$3,0),FALSE)</f>
        <v>0</v>
      </c>
      <c r="H18" s="117">
        <f>VLOOKUP(A18,JanApport,MATCH($H$3,'Jan 2022 Apport'!$3:$3,0),FALSE)+VLOOKUP(A18,JanApport,MATCH($H$2,'Jan 2022 Apport'!$3:$3,0),FALSE)+VLOOKUP(A18,JanApport,MATCH($H$4,'Jan 2022 Apport'!$3:$3,0),FALSE)</f>
        <v>0</v>
      </c>
      <c r="I18" s="117">
        <f t="shared" si="13"/>
        <v>0</v>
      </c>
      <c r="J18" s="117">
        <f>VLOOKUP(A18,JanApport,MATCH($J$4,'Jan 2022 Apport'!$3:$3,0),FALSE)</f>
        <v>65105.52</v>
      </c>
      <c r="K18" s="117">
        <f>VLOOKUP(A18,JanApport,MATCH($K$4,'Jan 2022 Apport'!$3:$3,0),FALSE)</f>
        <v>15658.49</v>
      </c>
      <c r="L18" s="117">
        <f t="shared" si="12"/>
        <v>80764.009999999995</v>
      </c>
      <c r="M18" s="117">
        <f>VLOOKUP(A18,JanApport,MATCH($M$4,'Jan 2022 Apport'!$3:$3,0),FALSE)</f>
        <v>0</v>
      </c>
      <c r="N18" s="117">
        <f>VLOOKUP(A18,JanApport,MATCH($N$4,'Jan 2022 Apport'!$3:$3,0),FALSE)</f>
        <v>0</v>
      </c>
      <c r="O18" s="117">
        <f>VLOOKUP(A18,JanApport,MATCH($O$4,'Jan 2022 Apport'!$3:$3,0),FALSE)</f>
        <v>293.5</v>
      </c>
      <c r="P18" s="121">
        <f>IFERROR((VLOOKUP(A18,ExcessLevy!A:G,3,FALSE)*0.28),0)+IFERROR((VLOOKUP(A18,ExcessLevy!A:G,6,FALSE)*0.72),0)</f>
        <v>0</v>
      </c>
      <c r="Q18" s="121">
        <f>IFERROR((VLOOKUP(A18,ExcessLevy!A:G,4,FALSE)*0.4738),0)+IFERROR((VLOOKUP(A18,ExcessLevy!A:G,7,FALSE)*0.5262),0)</f>
        <v>50000</v>
      </c>
      <c r="R18">
        <f>VLOOKUP(A18,JanApport,MATCH($R$4,'Jan 2022 Apport'!$3:$3,0),FALSE)</f>
        <v>0</v>
      </c>
      <c r="S18">
        <f>VLOOKUP(A18,JanApport,MATCH($S$4,'Jan 2022 Apport'!$3:$3,0),FALSE)</f>
        <v>0</v>
      </c>
      <c r="T18">
        <f>VLOOKUP(A18,JanApport,MATCH($T$4,'Jan 2022 Apport'!$3:$3,0),FALSE)</f>
        <v>0</v>
      </c>
      <c r="U18" s="132">
        <f>IFERROR(VLOOKUP(A18,JanApport,MATCH($U$4,'Jan 2022 Apport'!$3:$3,0),FALSE)/R18,0)</f>
        <v>0</v>
      </c>
      <c r="V18" s="30">
        <f>IFERROR(((VLOOKUP(A18,JanApport,MATCH($V$4,'Jan 2022 Apport'!$3:$3,0),FALSE)+VLOOKUP(A18,JanApport,MATCH($V$3,'Jan 2022 Apport'!$3:$3,0),FALSE))/(S18+T18)),0)</f>
        <v>0</v>
      </c>
      <c r="W18" s="30">
        <f t="shared" si="8"/>
        <v>8052.8761802300605</v>
      </c>
      <c r="X18">
        <f>VLOOKUP(A18,JanApport,MATCH($X$4,'Jan 2022 Apport'!$3:$3,0),FALSE)</f>
        <v>4.8578999999999997E-2</v>
      </c>
      <c r="Y18">
        <f>VLOOKUP(A18,JanApport,MATCH($Y$4,'Jan 2022 Apport'!$3:$3,0),FALSE)</f>
        <v>4.0270000000000002E-3</v>
      </c>
      <c r="Z18">
        <f>VLOOKUP(A18,JanApport,MATCH($Z$4,'Jan 2022 Apport'!$3:$3,0),FALSE)</f>
        <v>1.7100000000000001E-2</v>
      </c>
      <c r="AA18" s="77">
        <f>VLOOKUP(A18,JanApport,MATCH($AA$4,'Jan 2022 Apport'!$3:$3,0),FALSE)*VLOOKUP(A18,JanApport,MATCH($AA$3,'Jan 2022 Apport'!$3:$3,0),FALSE)</f>
        <v>67585</v>
      </c>
      <c r="AB18" s="77">
        <f>VLOOKUP(A18,JanApport,MATCH($AB$4,'Jan 2022 Apport'!$3:$3,0),FALSE)*VLOOKUP(A18,JanApport,MATCH($AB$3,'Jan 2022 Apport'!$3:$3,0),FALSE)</f>
        <v>68937</v>
      </c>
      <c r="AC18" s="77">
        <f>VLOOKUP(A18,JanApport,MATCH($AC$4,'Jan 2022 Apport'!$3:$3,0),FALSE)</f>
        <v>96805</v>
      </c>
      <c r="AD18" s="77">
        <f>VLOOKUP(A18,JanApport,MATCH($AD$4,'Jan 2022 Apport'!$3:$3,0),FALSE)*VLOOKUP(A18,JanApport,MATCH($AD$3,'Jan 2022 Apport'!$3:$3,0),FALSE)</f>
        <v>100321</v>
      </c>
      <c r="AE18" s="77">
        <f>VLOOKUP(A18,JanApport,MATCH($AE$4,'Jan 2022 Apport'!$3:$3,0),FALSE)</f>
        <v>46784.33</v>
      </c>
      <c r="AF18" s="77">
        <f>VLOOKUP(A18,JanApport,MATCH($AF$4,'Jan 2022 Apport'!$3:$3,0),FALSE)*VLOOKUP(A18,JanApport,MATCH($AF$3,'Jan 2022 Apport'!$3:$3,0),FALSE)</f>
        <v>48483</v>
      </c>
      <c r="AG18" s="77">
        <f t="shared" si="9"/>
        <v>96432.259900000005</v>
      </c>
      <c r="AH18" s="77">
        <f t="shared" si="4"/>
        <v>134929.71669999999</v>
      </c>
      <c r="AI18" s="77">
        <f t="shared" si="5"/>
        <v>76064.99750859999</v>
      </c>
      <c r="AJ18" s="3">
        <f>VLOOKUP(A18,JanApport,MATCH($AJ$4,'Jan 2022 Apport'!$3:$3,0),FALSE)</f>
        <v>34406.120000000003</v>
      </c>
      <c r="AK18" s="3">
        <f>VLOOKUP(A18,JanApport,MATCH($AK$4,'Jan 2022 Apport'!$3:$3,0),FALSE)</f>
        <v>0.66600000000000004</v>
      </c>
      <c r="AL18" s="117">
        <f t="shared" si="10"/>
        <v>395490.91000000003</v>
      </c>
      <c r="AM18" s="117">
        <f>VLOOKUP(A18,JanApport,MATCH($AM$4,'Jan 2022 Apport'!$3:$3,0),FALSE)</f>
        <v>0</v>
      </c>
      <c r="AN18" s="117">
        <f>VLOOKUP(A18,JanApport,MATCH($AN$4,'Jan 2022 Apport'!$3:$3,0),FALSE)</f>
        <v>2948.1</v>
      </c>
      <c r="AQ18" s="3"/>
    </row>
    <row r="19" spans="1:43">
      <c r="A19" s="2" t="s">
        <v>383</v>
      </c>
      <c r="B19" s="2" t="s">
        <v>384</v>
      </c>
      <c r="C19" s="2" t="s">
        <v>1267</v>
      </c>
      <c r="D19" s="118">
        <f>VLOOKUP(A19,JanApport,MATCH($D$4,'Jan 2022 Apport'!$3:$3,FALSE),FALSE)</f>
        <v>177194564.00999999</v>
      </c>
      <c r="E19" s="30">
        <f>VLOOKUP(A19,JanApport,MATCH($E$2,'Jan 2022 Apport'!$3:$3,0),FALSE)+VLOOKUP(A19,JanApport,MATCH($E$3,'Jan 2022 Apport'!$3:$3,0),FALSE)+VLOOKUP(A19,JanApport,MATCH($E$4,'Jan 2022 Apport'!$3:$3,0),FALSE)</f>
        <v>14036943.199999999</v>
      </c>
      <c r="F19" s="118">
        <f t="shared" si="11"/>
        <v>163157620.81</v>
      </c>
      <c r="G19" s="117">
        <f>VLOOKUP(A19,JanApport,MATCH($G$4,'Jan 2022 Apport'!$3:$3,0),FALSE)</f>
        <v>1673111.57</v>
      </c>
      <c r="H19" s="117">
        <f>VLOOKUP(A19,JanApport,MATCH($H$3,'Jan 2022 Apport'!$3:$3,0),FALSE)+VLOOKUP(A19,JanApport,MATCH($H$2,'Jan 2022 Apport'!$3:$3,0),FALSE)+VLOOKUP(A19,JanApport,MATCH($H$4,'Jan 2022 Apport'!$3:$3,0),FALSE)</f>
        <v>22274600.009999998</v>
      </c>
      <c r="I19" s="117">
        <f t="shared" si="13"/>
        <v>23947711.579999998</v>
      </c>
      <c r="J19" s="117">
        <f>VLOOKUP(A19,JanApport,MATCH($J$4,'Jan 2022 Apport'!$3:$3,0),FALSE)</f>
        <v>15083894.57</v>
      </c>
      <c r="K19" s="117">
        <f>VLOOKUP(A19,JanApport,MATCH($K$4,'Jan 2022 Apport'!$3:$3,0),FALSE)</f>
        <v>1506009.75</v>
      </c>
      <c r="L19" s="117">
        <f t="shared" si="12"/>
        <v>16589904.32</v>
      </c>
      <c r="M19" s="117">
        <f>VLOOKUP(A19,JanApport,MATCH($M$4,'Jan 2022 Apport'!$3:$3,0),FALSE)</f>
        <v>6017915.3499999996</v>
      </c>
      <c r="N19" s="117">
        <f>VLOOKUP(A19,JanApport,MATCH($N$4,'Jan 2022 Apport'!$3:$3,0),FALSE)</f>
        <v>1931454.27</v>
      </c>
      <c r="O19" s="117">
        <f>VLOOKUP(A19,JanApport,MATCH($O$4,'Jan 2022 Apport'!$3:$3,0),FALSE)</f>
        <v>567539.57999999996</v>
      </c>
      <c r="P19" s="121">
        <f>IFERROR((VLOOKUP(A19,ExcessLevy!A:G,3,FALSE)*0.28),0)+IFERROR((VLOOKUP(A19,ExcessLevy!A:G,6,FALSE)*0.72),0)</f>
        <v>7388494.0099999998</v>
      </c>
      <c r="Q19" s="121">
        <f>IFERROR((VLOOKUP(A19,ExcessLevy!A:G,4,FALSE)*0.4738),0)+IFERROR((VLOOKUP(A19,ExcessLevy!A:G,7,FALSE)*0.5262),0)</f>
        <v>36631000</v>
      </c>
      <c r="R19">
        <f>VLOOKUP(A19,JanApport,MATCH($R$4,'Jan 2022 Apport'!$3:$3,0),FALSE)</f>
        <v>263.58999999999997</v>
      </c>
      <c r="S19">
        <f>VLOOKUP(A19,JanApport,MATCH($S$4,'Jan 2022 Apport'!$3:$3,0),FALSE)</f>
        <v>259.69</v>
      </c>
      <c r="T19">
        <f>VLOOKUP(A19,JanApport,MATCH($T$4,'Jan 2022 Apport'!$3:$3,0),FALSE)</f>
        <v>1014.88</v>
      </c>
      <c r="U19" s="132">
        <f>IFERROR(VLOOKUP(A19,JanApport,MATCH($U$4,'Jan 2022 Apport'!$3:$3,0),FALSE)/R19,0)</f>
        <v>10118.535945976708</v>
      </c>
      <c r="V19" s="30">
        <f>IFERROR(((VLOOKUP(A19,JanApport,MATCH($V$4,'Jan 2022 Apport'!$3:$3,0),FALSE)+VLOOKUP(A19,JanApport,MATCH($V$3,'Jan 2022 Apport'!$3:$3,0),FALSE))/(S19+T19)),0)</f>
        <v>8920.4973520481417</v>
      </c>
      <c r="W19" s="30">
        <f t="shared" si="8"/>
        <v>8755.5587859763236</v>
      </c>
      <c r="X19">
        <f>VLOOKUP(A19,JanApport,MATCH($X$4,'Jan 2022 Apport'!$3:$3,0),FALSE)</f>
        <v>4.8578999999999997E-2</v>
      </c>
      <c r="Y19">
        <f>VLOOKUP(A19,JanApport,MATCH($Y$4,'Jan 2022 Apport'!$3:$3,0),FALSE)</f>
        <v>4.0270000000000002E-3</v>
      </c>
      <c r="Z19">
        <f>VLOOKUP(A19,JanApport,MATCH($Z$4,'Jan 2022 Apport'!$3:$3,0),FALSE)</f>
        <v>1.7100000000000001E-2</v>
      </c>
      <c r="AA19" s="77">
        <f>VLOOKUP(A19,JanApport,MATCH($AA$4,'Jan 2022 Apport'!$3:$3,0),FALSE)*VLOOKUP(A19,JanApport,MATCH($AA$3,'Jan 2022 Apport'!$3:$3,0),FALSE)</f>
        <v>67585</v>
      </c>
      <c r="AB19" s="77">
        <f>VLOOKUP(A19,JanApport,MATCH($AB$4,'Jan 2022 Apport'!$3:$3,0),FALSE)*VLOOKUP(A19,JanApport,MATCH($AB$3,'Jan 2022 Apport'!$3:$3,0),FALSE)</f>
        <v>77209.440000000002</v>
      </c>
      <c r="AC19" s="77">
        <f>VLOOKUP(A19,JanApport,MATCH($AC$4,'Jan 2022 Apport'!$3:$3,0),FALSE)</f>
        <v>100321</v>
      </c>
      <c r="AD19" s="77">
        <f>VLOOKUP(A19,JanApport,MATCH($AD$4,'Jan 2022 Apport'!$3:$3,0),FALSE)*VLOOKUP(A19,JanApport,MATCH($AD$3,'Jan 2022 Apport'!$3:$3,0),FALSE)</f>
        <v>114606.24</v>
      </c>
      <c r="AE19" s="77">
        <f>VLOOKUP(A19,JanApport,MATCH($AE$4,'Jan 2022 Apport'!$3:$3,0),FALSE)</f>
        <v>48483</v>
      </c>
      <c r="AF19" s="77">
        <f>VLOOKUP(A19,JanApport,MATCH($AF$4,'Jan 2022 Apport'!$3:$3,0),FALSE)*VLOOKUP(A19,JanApport,MATCH($AF$3,'Jan 2022 Apport'!$3:$3,0),FALSE)</f>
        <v>55387.360000000008</v>
      </c>
      <c r="AG19" s="77">
        <f t="shared" si="9"/>
        <v>106530.42740800002</v>
      </c>
      <c r="AH19" s="77">
        <f t="shared" si="4"/>
        <v>152390.21156800003</v>
      </c>
      <c r="AI19" s="77">
        <f t="shared" si="5"/>
        <v>84357.998300512001</v>
      </c>
      <c r="AJ19" s="3">
        <f>VLOOKUP(A19,JanApport,MATCH($AJ$4,'Jan 2022 Apport'!$3:$3,0),FALSE)</f>
        <v>23683819.420000002</v>
      </c>
      <c r="AK19" s="3">
        <f>VLOOKUP(A19,JanApport,MATCH($AK$4,'Jan 2022 Apport'!$3:$3,0),FALSE)</f>
        <v>396.60899999999998</v>
      </c>
      <c r="AL19" s="117">
        <f t="shared" si="10"/>
        <v>227643782.83999997</v>
      </c>
      <c r="AM19" s="117">
        <f>VLOOKUP(A19,JanApport,MATCH($AM$4,'Jan 2022 Apport'!$3:$3,0),FALSE)</f>
        <v>2900703.48</v>
      </c>
      <c r="AN19" s="117">
        <f>VLOOKUP(A19,JanApport,MATCH($AN$4,'Jan 2022 Apport'!$3:$3,0),FALSE)</f>
        <v>1317913.24</v>
      </c>
      <c r="AQ19" s="3"/>
    </row>
    <row r="20" spans="1:43">
      <c r="A20" s="2" t="s">
        <v>253</v>
      </c>
      <c r="B20" s="2" t="s">
        <v>254</v>
      </c>
      <c r="C20" s="2" t="s">
        <v>1267</v>
      </c>
      <c r="D20" s="118">
        <f>VLOOKUP(A20,JanApport,MATCH($D$4,'Jan 2022 Apport'!$3:$3,FALSE),FALSE)</f>
        <v>2037522.05</v>
      </c>
      <c r="E20" s="30">
        <f>VLOOKUP(A20,JanApport,MATCH($E$2,'Jan 2022 Apport'!$3:$3,0),FALSE)+VLOOKUP(A20,JanApport,MATCH($E$3,'Jan 2022 Apport'!$3:$3,0),FALSE)+VLOOKUP(A20,JanApport,MATCH($E$4,'Jan 2022 Apport'!$3:$3,0),FALSE)</f>
        <v>0</v>
      </c>
      <c r="F20" s="118">
        <f t="shared" si="11"/>
        <v>2037522.05</v>
      </c>
      <c r="G20" s="117">
        <f>VLOOKUP(A20,JanApport,MATCH($G$4,'Jan 2022 Apport'!$3:$3,0),FALSE)</f>
        <v>9877.68</v>
      </c>
      <c r="H20" s="117">
        <f>VLOOKUP(A20,JanApport,MATCH($H$3,'Jan 2022 Apport'!$3:$3,0),FALSE)+VLOOKUP(A20,JanApport,MATCH($H$2,'Jan 2022 Apport'!$3:$3,0),FALSE)+VLOOKUP(A20,JanApport,MATCH($H$4,'Jan 2022 Apport'!$3:$3,0),FALSE)</f>
        <v>149041.60000000001</v>
      </c>
      <c r="I20" s="117">
        <f t="shared" si="13"/>
        <v>158919.28</v>
      </c>
      <c r="J20" s="117">
        <f>VLOOKUP(A20,JanApport,MATCH($J$4,'Jan 2022 Apport'!$3:$3,0),FALSE)</f>
        <v>204128</v>
      </c>
      <c r="K20" s="117">
        <f>VLOOKUP(A20,JanApport,MATCH($K$4,'Jan 2022 Apport'!$3:$3,0),FALSE)</f>
        <v>32214.51</v>
      </c>
      <c r="L20" s="117">
        <f t="shared" si="12"/>
        <v>236342.51</v>
      </c>
      <c r="M20" s="117">
        <f>VLOOKUP(A20,JanApport,MATCH($M$4,'Jan 2022 Apport'!$3:$3,0),FALSE)</f>
        <v>0</v>
      </c>
      <c r="N20" s="117">
        <f>VLOOKUP(A20,JanApport,MATCH($N$4,'Jan 2022 Apport'!$3:$3,0),FALSE)</f>
        <v>0</v>
      </c>
      <c r="O20" s="117">
        <f>VLOOKUP(A20,JanApport,MATCH($O$4,'Jan 2022 Apport'!$3:$3,0),FALSE)</f>
        <v>3228.55</v>
      </c>
      <c r="P20" s="121">
        <f>IFERROR((VLOOKUP(A20,ExcessLevy!A:G,3,FALSE)*0.28),0)+IFERROR((VLOOKUP(A20,ExcessLevy!A:G,6,FALSE)*0.72),0)</f>
        <v>0</v>
      </c>
      <c r="Q20" s="121">
        <f>IFERROR((VLOOKUP(A20,ExcessLevy!A:G,4,FALSE)*0.4738),0)+IFERROR((VLOOKUP(A20,ExcessLevy!A:G,7,FALSE)*0.5262),0)</f>
        <v>300000</v>
      </c>
      <c r="R20">
        <f>VLOOKUP(A20,JanApport,MATCH($R$4,'Jan 2022 Apport'!$3:$3,0),FALSE)</f>
        <v>0</v>
      </c>
      <c r="S20">
        <f>VLOOKUP(A20,JanApport,MATCH($S$4,'Jan 2022 Apport'!$3:$3,0),FALSE)</f>
        <v>0</v>
      </c>
      <c r="T20">
        <f>VLOOKUP(A20,JanApport,MATCH($T$4,'Jan 2022 Apport'!$3:$3,0),FALSE)</f>
        <v>0</v>
      </c>
      <c r="U20" s="132">
        <f>IFERROR(VLOOKUP(A20,JanApport,MATCH($U$4,'Jan 2022 Apport'!$3:$3,0),FALSE)/R20,0)</f>
        <v>0</v>
      </c>
      <c r="V20" s="30">
        <f>IFERROR(((VLOOKUP(A20,JanApport,MATCH($V$4,'Jan 2022 Apport'!$3:$3,0),FALSE)+VLOOKUP(A20,JanApport,MATCH($V$3,'Jan 2022 Apport'!$3:$3,0),FALSE))/(S20+T20)),0)</f>
        <v>0</v>
      </c>
      <c r="W20" s="30">
        <f t="shared" si="8"/>
        <v>2452.5713248960005</v>
      </c>
      <c r="X20">
        <f>VLOOKUP(A20,JanApport,MATCH($X$4,'Jan 2022 Apport'!$3:$3,0),FALSE)</f>
        <v>4.8578999999999997E-2</v>
      </c>
      <c r="Y20">
        <f>VLOOKUP(A20,JanApport,MATCH($Y$4,'Jan 2022 Apport'!$3:$3,0),FALSE)</f>
        <v>4.0270000000000002E-3</v>
      </c>
      <c r="Z20">
        <f>VLOOKUP(A20,JanApport,MATCH($Z$4,'Jan 2022 Apport'!$3:$3,0),FALSE)</f>
        <v>1.7100000000000001E-2</v>
      </c>
      <c r="AA20" s="77">
        <f>VLOOKUP(A20,JanApport,MATCH($AA$4,'Jan 2022 Apport'!$3:$3,0),FALSE)*VLOOKUP(A20,JanApport,MATCH($AA$3,'Jan 2022 Apport'!$3:$3,0),FALSE)</f>
        <v>67585</v>
      </c>
      <c r="AB20" s="77">
        <f>VLOOKUP(A20,JanApport,MATCH($AB$4,'Jan 2022 Apport'!$3:$3,0),FALSE)*VLOOKUP(A20,JanApport,MATCH($AB$3,'Jan 2022 Apport'!$3:$3,0),FALSE)</f>
        <v>0</v>
      </c>
      <c r="AC20" s="77">
        <f>VLOOKUP(A20,JanApport,MATCH($AC$4,'Jan 2022 Apport'!$3:$3,0),FALSE)</f>
        <v>0</v>
      </c>
      <c r="AD20" s="77">
        <f>VLOOKUP(A20,JanApport,MATCH($AD$4,'Jan 2022 Apport'!$3:$3,0),FALSE)*VLOOKUP(A20,JanApport,MATCH($AD$3,'Jan 2022 Apport'!$3:$3,0),FALSE)</f>
        <v>0</v>
      </c>
      <c r="AE20" s="77">
        <f>VLOOKUP(A20,JanApport,MATCH($AE$4,'Jan 2022 Apport'!$3:$3,0),FALSE)</f>
        <v>0</v>
      </c>
      <c r="AF20" s="77">
        <f>VLOOKUP(A20,JanApport,MATCH($AF$4,'Jan 2022 Apport'!$3:$3,0),FALSE)*VLOOKUP(A20,JanApport,MATCH($AF$3,'Jan 2022 Apport'!$3:$3,0),FALSE)</f>
        <v>0</v>
      </c>
      <c r="AG20" s="77">
        <f t="shared" si="9"/>
        <v>12280.864000000009</v>
      </c>
      <c r="AH20" s="77">
        <f t="shared" si="4"/>
        <v>11848.32</v>
      </c>
      <c r="AI20" s="77">
        <f t="shared" si="5"/>
        <v>16610.88</v>
      </c>
      <c r="AJ20" s="3">
        <f>VLOOKUP(A20,JanApport,MATCH($AJ$4,'Jan 2022 Apport'!$3:$3,0),FALSE)</f>
        <v>252960.98</v>
      </c>
      <c r="AK20" s="3">
        <f>VLOOKUP(A20,JanApport,MATCH($AK$4,'Jan 2022 Apport'!$3:$3,0),FALSE)</f>
        <v>2.2280000000000002</v>
      </c>
      <c r="AL20" s="117">
        <f t="shared" si="10"/>
        <v>2244878.5999999996</v>
      </c>
      <c r="AM20" s="117">
        <f>VLOOKUP(A20,JanApport,MATCH($AM$4,'Jan 2022 Apport'!$3:$3,0),FALSE)</f>
        <v>0</v>
      </c>
      <c r="AN20" s="117">
        <f>VLOOKUP(A20,JanApport,MATCH($AN$4,'Jan 2022 Apport'!$3:$3,0),FALSE)</f>
        <v>18799.43</v>
      </c>
      <c r="AQ20" s="3"/>
    </row>
    <row r="21" spans="1:43">
      <c r="A21" s="2" t="s">
        <v>543</v>
      </c>
      <c r="B21" s="2" t="s">
        <v>544</v>
      </c>
      <c r="C21" s="2" t="s">
        <v>1267</v>
      </c>
      <c r="D21" s="118">
        <f>VLOOKUP(A21,JanApport,MATCH($D$4,'Jan 2022 Apport'!$3:$3,FALSE),FALSE)</f>
        <v>20529592.940000001</v>
      </c>
      <c r="E21" s="30">
        <f>VLOOKUP(A21,JanApport,MATCH($E$2,'Jan 2022 Apport'!$3:$3,0),FALSE)+VLOOKUP(A21,JanApport,MATCH($E$3,'Jan 2022 Apport'!$3:$3,0),FALSE)+VLOOKUP(A21,JanApport,MATCH($E$4,'Jan 2022 Apport'!$3:$3,0),FALSE)</f>
        <v>1260741.2899999998</v>
      </c>
      <c r="F21" s="118">
        <f t="shared" si="11"/>
        <v>19268851.650000002</v>
      </c>
      <c r="G21" s="117">
        <f>VLOOKUP(A21,JanApport,MATCH($G$4,'Jan 2022 Apport'!$3:$3,0),FALSE)</f>
        <v>273076.34000000003</v>
      </c>
      <c r="H21" s="117">
        <f>VLOOKUP(A21,JanApport,MATCH($H$3,'Jan 2022 Apport'!$3:$3,0),FALSE)+VLOOKUP(A21,JanApport,MATCH($H$2,'Jan 2022 Apport'!$3:$3,0),FALSE)+VLOOKUP(A21,JanApport,MATCH($H$4,'Jan 2022 Apport'!$3:$3,0),FALSE)</f>
        <v>2738250.4699999997</v>
      </c>
      <c r="I21" s="117">
        <f t="shared" si="13"/>
        <v>3011326.8099999996</v>
      </c>
      <c r="J21" s="117">
        <f>VLOOKUP(A21,JanApport,MATCH($J$4,'Jan 2022 Apport'!$3:$3,0),FALSE)</f>
        <v>1277837.05</v>
      </c>
      <c r="K21" s="117">
        <f>VLOOKUP(A21,JanApport,MATCH($K$4,'Jan 2022 Apport'!$3:$3,0),FALSE)</f>
        <v>146661.47</v>
      </c>
      <c r="L21" s="117">
        <f t="shared" si="12"/>
        <v>1424498.52</v>
      </c>
      <c r="M21" s="117">
        <f>VLOOKUP(A21,JanApport,MATCH($M$4,'Jan 2022 Apport'!$3:$3,0),FALSE)</f>
        <v>670009.76</v>
      </c>
      <c r="N21" s="117">
        <f>VLOOKUP(A21,JanApport,MATCH($N$4,'Jan 2022 Apport'!$3:$3,0),FALSE)</f>
        <v>156205.44</v>
      </c>
      <c r="O21" s="117">
        <f>VLOOKUP(A21,JanApport,MATCH($O$4,'Jan 2022 Apport'!$3:$3,0),FALSE)</f>
        <v>67614.64</v>
      </c>
      <c r="P21" s="121">
        <f>IFERROR((VLOOKUP(A21,ExcessLevy!A:G,3,FALSE)*0.28),0)+IFERROR((VLOOKUP(A21,ExcessLevy!A:G,6,FALSE)*0.72),0)</f>
        <v>0</v>
      </c>
      <c r="Q21" s="121">
        <f>IFERROR((VLOOKUP(A21,ExcessLevy!A:G,4,FALSE)*0.4738),0)+IFERROR((VLOOKUP(A21,ExcessLevy!A:G,7,FALSE)*0.5262),0)</f>
        <v>5940936.2315999996</v>
      </c>
      <c r="R21">
        <f>VLOOKUP(A21,JanApport,MATCH($R$4,'Jan 2022 Apport'!$3:$3,0),FALSE)</f>
        <v>0</v>
      </c>
      <c r="S21">
        <f>VLOOKUP(A21,JanApport,MATCH($S$4,'Jan 2022 Apport'!$3:$3,0),FALSE)</f>
        <v>16.88</v>
      </c>
      <c r="T21">
        <f>VLOOKUP(A21,JanApport,MATCH($T$4,'Jan 2022 Apport'!$3:$3,0),FALSE)</f>
        <v>110.88</v>
      </c>
      <c r="U21" s="132">
        <f>IFERROR(VLOOKUP(A21,JanApport,MATCH($U$4,'Jan 2022 Apport'!$3:$3,0),FALSE)/R21,0)</f>
        <v>0</v>
      </c>
      <c r="V21" s="30">
        <f>IFERROR(((VLOOKUP(A21,JanApport,MATCH($V$4,'Jan 2022 Apport'!$3:$3,0),FALSE)+VLOOKUP(A21,JanApport,MATCH($V$3,'Jan 2022 Apport'!$3:$3,0),FALSE))/(S21+T21)),0)</f>
        <v>9868.0439104571069</v>
      </c>
      <c r="W21" s="30">
        <f t="shared" si="8"/>
        <v>8646.0912777071662</v>
      </c>
      <c r="X21">
        <f>VLOOKUP(A21,JanApport,MATCH($X$4,'Jan 2022 Apport'!$3:$3,0),FALSE)</f>
        <v>4.8578999999999997E-2</v>
      </c>
      <c r="Y21">
        <f>VLOOKUP(A21,JanApport,MATCH($Y$4,'Jan 2022 Apport'!$3:$3,0),FALSE)</f>
        <v>4.0270000000000002E-3</v>
      </c>
      <c r="Z21">
        <f>VLOOKUP(A21,JanApport,MATCH($Z$4,'Jan 2022 Apport'!$3:$3,0),FALSE)</f>
        <v>1.7100000000000001E-2</v>
      </c>
      <c r="AA21" s="77">
        <f>VLOOKUP(A21,JanApport,MATCH($AA$4,'Jan 2022 Apport'!$3:$3,0),FALSE)*VLOOKUP(A21,JanApport,MATCH($AA$3,'Jan 2022 Apport'!$3:$3,0),FALSE)</f>
        <v>75695.200000000012</v>
      </c>
      <c r="AB21" s="77">
        <f>VLOOKUP(A21,JanApport,MATCH($AB$4,'Jan 2022 Apport'!$3:$3,0),FALSE)*VLOOKUP(A21,JanApport,MATCH($AB$3,'Jan 2022 Apport'!$3:$3,0),FALSE)</f>
        <v>75830.700000000012</v>
      </c>
      <c r="AC21" s="77">
        <f>VLOOKUP(A21,JanApport,MATCH($AC$4,'Jan 2022 Apport'!$3:$3,0),FALSE)</f>
        <v>100321</v>
      </c>
      <c r="AD21" s="77">
        <f>VLOOKUP(A21,JanApport,MATCH($AD$4,'Jan 2022 Apport'!$3:$3,0),FALSE)*VLOOKUP(A21,JanApport,MATCH($AD$3,'Jan 2022 Apport'!$3:$3,0),FALSE)</f>
        <v>112559.70000000001</v>
      </c>
      <c r="AE21" s="77">
        <f>VLOOKUP(A21,JanApport,MATCH($AE$4,'Jan 2022 Apport'!$3:$3,0),FALSE)</f>
        <v>48483</v>
      </c>
      <c r="AF21" s="77">
        <f>VLOOKUP(A21,JanApport,MATCH($AF$4,'Jan 2022 Apport'!$3:$3,0),FALSE)*VLOOKUP(A21,JanApport,MATCH($AF$3,'Jan 2022 Apport'!$3:$3,0),FALSE)</f>
        <v>54398.3</v>
      </c>
      <c r="AG21" s="77">
        <f t="shared" si="9"/>
        <v>104899.30477000002</v>
      </c>
      <c r="AH21" s="77">
        <f t="shared" si="4"/>
        <v>149892.00019000002</v>
      </c>
      <c r="AI21" s="77">
        <f t="shared" si="5"/>
        <v>83178.530205860006</v>
      </c>
      <c r="AJ21" s="3">
        <f>VLOOKUP(A21,JanApport,MATCH($AJ$4,'Jan 2022 Apport'!$3:$3,0),FALSE)</f>
        <v>2581695.77</v>
      </c>
      <c r="AK21" s="3">
        <f>VLOOKUP(A21,JanApport,MATCH($AK$4,'Jan 2022 Apport'!$3:$3,0),FALSE)</f>
        <v>42.189</v>
      </c>
      <c r="AL21" s="117">
        <f t="shared" si="10"/>
        <v>25865333.240000006</v>
      </c>
      <c r="AM21" s="117">
        <f>VLOOKUP(A21,JanApport,MATCH($AM$4,'Jan 2022 Apport'!$3:$3,0),FALSE)</f>
        <v>152746.6</v>
      </c>
      <c r="AN21" s="117">
        <f>VLOOKUP(A21,JanApport,MATCH($AN$4,'Jan 2022 Apport'!$3:$3,0),FALSE)</f>
        <v>167078.89000000001</v>
      </c>
      <c r="AQ21" s="3"/>
    </row>
    <row r="22" spans="1:43">
      <c r="A22" s="2" t="s">
        <v>283</v>
      </c>
      <c r="B22" s="2" t="s">
        <v>284</v>
      </c>
      <c r="C22" s="2" t="s">
        <v>1267</v>
      </c>
      <c r="D22" s="118">
        <f>VLOOKUP(A22,JanApport,MATCH($D$4,'Jan 2022 Apport'!$3:$3,FALSE),FALSE)</f>
        <v>811181.11</v>
      </c>
      <c r="E22" s="30">
        <f>VLOOKUP(A22,JanApport,MATCH($E$2,'Jan 2022 Apport'!$3:$3,0),FALSE)+VLOOKUP(A22,JanApport,MATCH($E$3,'Jan 2022 Apport'!$3:$3,0),FALSE)+VLOOKUP(A22,JanApport,MATCH($E$4,'Jan 2022 Apport'!$3:$3,0),FALSE)</f>
        <v>0</v>
      </c>
      <c r="F22" s="118">
        <f t="shared" si="11"/>
        <v>811181.11</v>
      </c>
      <c r="G22" s="117">
        <f>VLOOKUP(A22,JanApport,MATCH($G$4,'Jan 2022 Apport'!$3:$3,0),FALSE)</f>
        <v>19309.93</v>
      </c>
      <c r="H22" s="117">
        <f>VLOOKUP(A22,JanApport,MATCH($H$3,'Jan 2022 Apport'!$3:$3,0),FALSE)+VLOOKUP(A22,JanApport,MATCH($H$2,'Jan 2022 Apport'!$3:$3,0),FALSE)+VLOOKUP(A22,JanApport,MATCH($H$4,'Jan 2022 Apport'!$3:$3,0),FALSE)</f>
        <v>97253.799999999988</v>
      </c>
      <c r="I22" s="117">
        <f t="shared" si="13"/>
        <v>116563.72999999998</v>
      </c>
      <c r="J22" s="117">
        <f>VLOOKUP(A22,JanApport,MATCH($J$4,'Jan 2022 Apport'!$3:$3,0),FALSE)</f>
        <v>147118.93</v>
      </c>
      <c r="K22" s="117">
        <f>VLOOKUP(A22,JanApport,MATCH($K$4,'Jan 2022 Apport'!$3:$3,0),FALSE)</f>
        <v>23175.67</v>
      </c>
      <c r="L22" s="117">
        <f t="shared" si="12"/>
        <v>170294.59999999998</v>
      </c>
      <c r="M22" s="117">
        <f>VLOOKUP(A22,JanApport,MATCH($M$4,'Jan 2022 Apport'!$3:$3,0),FALSE)</f>
        <v>26317.55</v>
      </c>
      <c r="N22" s="117">
        <f>VLOOKUP(A22,JanApport,MATCH($N$4,'Jan 2022 Apport'!$3:$3,0),FALSE)</f>
        <v>0</v>
      </c>
      <c r="O22" s="117">
        <f>VLOOKUP(A22,JanApport,MATCH($O$4,'Jan 2022 Apport'!$3:$3,0),FALSE)</f>
        <v>0</v>
      </c>
      <c r="P22" s="121">
        <f>IFERROR((VLOOKUP(A22,ExcessLevy!A:G,3,FALSE)*0.28),0)+IFERROR((VLOOKUP(A22,ExcessLevy!A:G,6,FALSE)*0.72),0)</f>
        <v>0</v>
      </c>
      <c r="Q22" s="121">
        <f>IFERROR((VLOOKUP(A22,ExcessLevy!A:G,4,FALSE)*0.4738),0)+IFERROR((VLOOKUP(A22,ExcessLevy!A:G,7,FALSE)*0.5262),0)</f>
        <v>250445.69140000001</v>
      </c>
      <c r="R22">
        <f>VLOOKUP(A22,JanApport,MATCH($R$4,'Jan 2022 Apport'!$3:$3,0),FALSE)</f>
        <v>0</v>
      </c>
      <c r="S22">
        <f>VLOOKUP(A22,JanApport,MATCH($S$4,'Jan 2022 Apport'!$3:$3,0),FALSE)</f>
        <v>0</v>
      </c>
      <c r="T22">
        <f>VLOOKUP(A22,JanApport,MATCH($T$4,'Jan 2022 Apport'!$3:$3,0),FALSE)</f>
        <v>0</v>
      </c>
      <c r="U22" s="132">
        <f>IFERROR(VLOOKUP(A22,JanApport,MATCH($U$4,'Jan 2022 Apport'!$3:$3,0),FALSE)/R22,0)</f>
        <v>0</v>
      </c>
      <c r="V22" s="30">
        <f>IFERROR(((VLOOKUP(A22,JanApport,MATCH($V$4,'Jan 2022 Apport'!$3:$3,0),FALSE)+VLOOKUP(A22,JanApport,MATCH($V$3,'Jan 2022 Apport'!$3:$3,0),FALSE))/(S22+T22)),0)</f>
        <v>0</v>
      </c>
      <c r="W22" s="30">
        <f t="shared" si="8"/>
        <v>8083.6246967786601</v>
      </c>
      <c r="X22">
        <f>VLOOKUP(A22,JanApport,MATCH($X$4,'Jan 2022 Apport'!$3:$3,0),FALSE)</f>
        <v>4.8578999999999997E-2</v>
      </c>
      <c r="Y22">
        <f>VLOOKUP(A22,JanApport,MATCH($Y$4,'Jan 2022 Apport'!$3:$3,0),FALSE)</f>
        <v>4.0270000000000002E-3</v>
      </c>
      <c r="Z22">
        <f>VLOOKUP(A22,JanApport,MATCH($Z$4,'Jan 2022 Apport'!$3:$3,0),FALSE)</f>
        <v>1.7100000000000001E-2</v>
      </c>
      <c r="AA22" s="77">
        <f>VLOOKUP(A22,JanApport,MATCH($AA$4,'Jan 2022 Apport'!$3:$3,0),FALSE)*VLOOKUP(A22,JanApport,MATCH($AA$3,'Jan 2022 Apport'!$3:$3,0),FALSE)</f>
        <v>67585</v>
      </c>
      <c r="AB22" s="77">
        <f>VLOOKUP(A22,JanApport,MATCH($AB$4,'Jan 2022 Apport'!$3:$3,0),FALSE)*VLOOKUP(A22,JanApport,MATCH($AB$3,'Jan 2022 Apport'!$3:$3,0),FALSE)</f>
        <v>68937</v>
      </c>
      <c r="AC22" s="77">
        <f>VLOOKUP(A22,JanApport,MATCH($AC$4,'Jan 2022 Apport'!$3:$3,0),FALSE)</f>
        <v>100321</v>
      </c>
      <c r="AD22" s="77">
        <f>VLOOKUP(A22,JanApport,MATCH($AD$4,'Jan 2022 Apport'!$3:$3,0),FALSE)*VLOOKUP(A22,JanApport,MATCH($AD$3,'Jan 2022 Apport'!$3:$3,0),FALSE)</f>
        <v>102327</v>
      </c>
      <c r="AE22" s="77">
        <f>VLOOKUP(A22,JanApport,MATCH($AE$4,'Jan 2022 Apport'!$3:$3,0),FALSE)</f>
        <v>48483</v>
      </c>
      <c r="AF22" s="77">
        <f>VLOOKUP(A22,JanApport,MATCH($AF$4,'Jan 2022 Apport'!$3:$3,0),FALSE)*VLOOKUP(A22,JanApport,MATCH($AF$3,'Jan 2022 Apport'!$3:$3,0),FALSE)</f>
        <v>49453</v>
      </c>
      <c r="AG22" s="77">
        <f t="shared" si="9"/>
        <v>96432.259900000005</v>
      </c>
      <c r="AH22" s="77">
        <f t="shared" si="4"/>
        <v>137400.94330000001</v>
      </c>
      <c r="AI22" s="77">
        <f t="shared" si="5"/>
        <v>77281.189732599989</v>
      </c>
      <c r="AJ22" s="3">
        <f>VLOOKUP(A22,JanApport,MATCH($AJ$4,'Jan 2022 Apport'!$3:$3,0),FALSE)</f>
        <v>121585.54</v>
      </c>
      <c r="AK22" s="3">
        <f>VLOOKUP(A22,JanApport,MATCH($AK$4,'Jan 2022 Apport'!$3:$3,0),FALSE)</f>
        <v>1.8129999999999999</v>
      </c>
      <c r="AL22" s="117">
        <f t="shared" si="10"/>
        <v>1125542.1800000002</v>
      </c>
      <c r="AM22" s="117">
        <f>VLOOKUP(A22,JanApport,MATCH($AM$4,'Jan 2022 Apport'!$3:$3,0),FALSE)</f>
        <v>24360.86</v>
      </c>
      <c r="AN22" s="117">
        <f>VLOOKUP(A22,JanApport,MATCH($AN$4,'Jan 2022 Apport'!$3:$3,0),FALSE)</f>
        <v>6751.75</v>
      </c>
      <c r="AQ22" s="4"/>
    </row>
    <row r="23" spans="1:43">
      <c r="A23" s="2" t="s">
        <v>227</v>
      </c>
      <c r="B23" s="2" t="s">
        <v>228</v>
      </c>
      <c r="C23" s="2" t="s">
        <v>1267</v>
      </c>
      <c r="D23" s="118">
        <f>VLOOKUP(A23,JanApport,MATCH($D$4,'Jan 2022 Apport'!$3:$3,FALSE),FALSE)</f>
        <v>45796397.049999997</v>
      </c>
      <c r="E23" s="30">
        <f>VLOOKUP(A23,JanApport,MATCH($E$2,'Jan 2022 Apport'!$3:$3,0),FALSE)+VLOOKUP(A23,JanApport,MATCH($E$3,'Jan 2022 Apport'!$3:$3,0),FALSE)+VLOOKUP(A23,JanApport,MATCH($E$4,'Jan 2022 Apport'!$3:$3,0),FALSE)</f>
        <v>7062131.9399999995</v>
      </c>
      <c r="F23" s="118">
        <f t="shared" si="11"/>
        <v>38734265.109999999</v>
      </c>
      <c r="G23" s="117">
        <f>VLOOKUP(A23,JanApport,MATCH($G$4,'Jan 2022 Apport'!$3:$3,0),FALSE)</f>
        <v>799215.7</v>
      </c>
      <c r="H23" s="117">
        <f>VLOOKUP(A23,JanApport,MATCH($H$3,'Jan 2022 Apport'!$3:$3,0),FALSE)+VLOOKUP(A23,JanApport,MATCH($H$2,'Jan 2022 Apport'!$3:$3,0),FALSE)+VLOOKUP(A23,JanApport,MATCH($H$4,'Jan 2022 Apport'!$3:$3,0),FALSE)</f>
        <v>5824415.9699999997</v>
      </c>
      <c r="I23" s="117">
        <f t="shared" si="13"/>
        <v>6623631.6699999999</v>
      </c>
      <c r="J23" s="117">
        <f>VLOOKUP(A23,JanApport,MATCH($J$4,'Jan 2022 Apport'!$3:$3,0),FALSE)</f>
        <v>1973577.49</v>
      </c>
      <c r="K23" s="117">
        <f>VLOOKUP(A23,JanApport,MATCH($K$4,'Jan 2022 Apport'!$3:$3,0),FALSE)</f>
        <v>261666.03</v>
      </c>
      <c r="L23" s="117">
        <f t="shared" si="12"/>
        <v>2235243.52</v>
      </c>
      <c r="M23" s="117">
        <f>VLOOKUP(A23,JanApport,MATCH($M$4,'Jan 2022 Apport'!$3:$3,0),FALSE)</f>
        <v>2090386.18</v>
      </c>
      <c r="N23" s="117">
        <f>VLOOKUP(A23,JanApport,MATCH($N$4,'Jan 2022 Apport'!$3:$3,0),FALSE)</f>
        <v>772336.96</v>
      </c>
      <c r="O23" s="117">
        <f>VLOOKUP(A23,JanApport,MATCH($O$4,'Jan 2022 Apport'!$3:$3,0),FALSE)</f>
        <v>148779.1</v>
      </c>
      <c r="P23" s="121">
        <f>IFERROR((VLOOKUP(A23,ExcessLevy!A:G,3,FALSE)*0.28),0)+IFERROR((VLOOKUP(A23,ExcessLevy!A:G,6,FALSE)*0.72),0)</f>
        <v>0</v>
      </c>
      <c r="Q23" s="121">
        <f>IFERROR((VLOOKUP(A23,ExcessLevy!A:G,4,FALSE)*0.4738),0)+IFERROR((VLOOKUP(A23,ExcessLevy!A:G,7,FALSE)*0.5262),0)</f>
        <v>13167173.8772</v>
      </c>
      <c r="R23">
        <f>VLOOKUP(A23,JanApport,MATCH($R$4,'Jan 2022 Apport'!$3:$3,0),FALSE)</f>
        <v>257.43</v>
      </c>
      <c r="S23">
        <f>VLOOKUP(A23,JanApport,MATCH($S$4,'Jan 2022 Apport'!$3:$3,0),FALSE)</f>
        <v>85.98</v>
      </c>
      <c r="T23">
        <f>VLOOKUP(A23,JanApport,MATCH($T$4,'Jan 2022 Apport'!$3:$3,0),FALSE)</f>
        <v>323.31</v>
      </c>
      <c r="U23" s="132">
        <f>IFERROR(VLOOKUP(A23,JanApport,MATCH($U$4,'Jan 2022 Apport'!$3:$3,0),FALSE)/R23,0)</f>
        <v>11444.119216874489</v>
      </c>
      <c r="V23" s="30">
        <f>IFERROR(((VLOOKUP(A23,JanApport,MATCH($V$4,'Jan 2022 Apport'!$3:$3,0),FALSE)+VLOOKUP(A23,JanApport,MATCH($V$3,'Jan 2022 Apport'!$3:$3,0),FALSE))/(S23+T23)),0)</f>
        <v>10056.615920252143</v>
      </c>
      <c r="W23" s="30">
        <f t="shared" si="8"/>
        <v>2456.353584791681</v>
      </c>
      <c r="X23">
        <f>VLOOKUP(A23,JanApport,MATCH($X$4,'Jan 2022 Apport'!$3:$3,0),FALSE)</f>
        <v>4.8578999999999997E-2</v>
      </c>
      <c r="Y23">
        <f>VLOOKUP(A23,JanApport,MATCH($Y$4,'Jan 2022 Apport'!$3:$3,0),FALSE)</f>
        <v>4.0270000000000002E-3</v>
      </c>
      <c r="Z23">
        <f>VLOOKUP(A23,JanApport,MATCH($Z$4,'Jan 2022 Apport'!$3:$3,0),FALSE)</f>
        <v>1.7100000000000001E-2</v>
      </c>
      <c r="AA23" s="77">
        <f>VLOOKUP(A23,JanApport,MATCH($AA$4,'Jan 2022 Apport'!$3:$3,0),FALSE)*VLOOKUP(A23,JanApport,MATCH($AA$3,'Jan 2022 Apport'!$3:$3,0),FALSE)</f>
        <v>79750.3</v>
      </c>
      <c r="AB23" s="77">
        <f>VLOOKUP(A23,JanApport,MATCH($AB$4,'Jan 2022 Apport'!$3:$3,0),FALSE)*VLOOKUP(A23,JanApport,MATCH($AB$3,'Jan 2022 Apport'!$3:$3,0),FALSE)</f>
        <v>0</v>
      </c>
      <c r="AC23" s="77">
        <f>VLOOKUP(A23,JanApport,MATCH($AC$4,'Jan 2022 Apport'!$3:$3,0),FALSE)</f>
        <v>0</v>
      </c>
      <c r="AD23" s="77">
        <f>VLOOKUP(A23,JanApport,MATCH($AD$4,'Jan 2022 Apport'!$3:$3,0),FALSE)*VLOOKUP(A23,JanApport,MATCH($AD$3,'Jan 2022 Apport'!$3:$3,0),FALSE)</f>
        <v>0</v>
      </c>
      <c r="AE23" s="77">
        <f>VLOOKUP(A23,JanApport,MATCH($AE$4,'Jan 2022 Apport'!$3:$3,0),FALSE)</f>
        <v>0</v>
      </c>
      <c r="AF23" s="77">
        <f>VLOOKUP(A23,JanApport,MATCH($AF$4,'Jan 2022 Apport'!$3:$3,0),FALSE)*VLOOKUP(A23,JanApport,MATCH($AF$3,'Jan 2022 Apport'!$3:$3,0),FALSE)</f>
        <v>0</v>
      </c>
      <c r="AG23" s="77">
        <f t="shared" si="9"/>
        <v>12358.721920000018</v>
      </c>
      <c r="AH23" s="77">
        <f t="shared" si="4"/>
        <v>11848.32</v>
      </c>
      <c r="AI23" s="77">
        <f t="shared" si="5"/>
        <v>16610.88</v>
      </c>
      <c r="AJ23" s="3">
        <f>VLOOKUP(A23,JanApport,MATCH($AJ$4,'Jan 2022 Apport'!$3:$3,0),FALSE)</f>
        <v>4940376.6100000003</v>
      </c>
      <c r="AK23" s="3">
        <f>VLOOKUP(A23,JanApport,MATCH($AK$4,'Jan 2022 Apport'!$3:$3,0),FALSE)</f>
        <v>94.082999999999998</v>
      </c>
      <c r="AL23" s="117">
        <f t="shared" si="10"/>
        <v>58706727.390000001</v>
      </c>
      <c r="AM23" s="117">
        <f>VLOOKUP(A23,JanApport,MATCH($AM$4,'Jan 2022 Apport'!$3:$3,0),FALSE)</f>
        <v>1301618.94</v>
      </c>
      <c r="AN23" s="117">
        <f>VLOOKUP(A23,JanApport,MATCH($AN$4,'Jan 2022 Apport'!$3:$3,0),FALSE)</f>
        <v>329572.21999999997</v>
      </c>
    </row>
    <row r="24" spans="1:43">
      <c r="A24" s="2" t="s">
        <v>333</v>
      </c>
      <c r="B24" s="2" t="s">
        <v>334</v>
      </c>
      <c r="C24" s="2" t="s">
        <v>1267</v>
      </c>
      <c r="D24" s="118">
        <f>VLOOKUP(A24,JanApport,MATCH($D$4,'Jan 2022 Apport'!$3:$3,FALSE),FALSE)</f>
        <v>8596773.2599999998</v>
      </c>
      <c r="E24" s="30">
        <f>VLOOKUP(A24,JanApport,MATCH($E$2,'Jan 2022 Apport'!$3:$3,0),FALSE)+VLOOKUP(A24,JanApport,MATCH($E$3,'Jan 2022 Apport'!$3:$3,0),FALSE)+VLOOKUP(A24,JanApport,MATCH($E$4,'Jan 2022 Apport'!$3:$3,0),FALSE)</f>
        <v>817770.5</v>
      </c>
      <c r="F24" s="118">
        <f t="shared" si="11"/>
        <v>7779002.7599999998</v>
      </c>
      <c r="G24" s="117">
        <f>VLOOKUP(A24,JanApport,MATCH($G$4,'Jan 2022 Apport'!$3:$3,0),FALSE)</f>
        <v>116907.58</v>
      </c>
      <c r="H24" s="117">
        <f>VLOOKUP(A24,JanApport,MATCH($H$3,'Jan 2022 Apport'!$3:$3,0),FALSE)+VLOOKUP(A24,JanApport,MATCH($H$2,'Jan 2022 Apport'!$3:$3,0),FALSE)+VLOOKUP(A24,JanApport,MATCH($H$4,'Jan 2022 Apport'!$3:$3,0),FALSE)</f>
        <v>847340.56</v>
      </c>
      <c r="I24" s="117">
        <f t="shared" si="13"/>
        <v>964248.14</v>
      </c>
      <c r="J24" s="117">
        <f>VLOOKUP(A24,JanApport,MATCH($J$4,'Jan 2022 Apport'!$3:$3,0),FALSE)</f>
        <v>208806.56</v>
      </c>
      <c r="K24" s="117">
        <f>VLOOKUP(A24,JanApport,MATCH($K$4,'Jan 2022 Apport'!$3:$3,0),FALSE)</f>
        <v>70539.740000000005</v>
      </c>
      <c r="L24" s="117">
        <f t="shared" si="12"/>
        <v>279346.3</v>
      </c>
      <c r="M24" s="117">
        <f>VLOOKUP(A24,JanApport,MATCH($M$4,'Jan 2022 Apport'!$3:$3,0),FALSE)</f>
        <v>553060.02</v>
      </c>
      <c r="N24" s="117">
        <f>VLOOKUP(A24,JanApport,MATCH($N$4,'Jan 2022 Apport'!$3:$3,0),FALSE)</f>
        <v>534862.77</v>
      </c>
      <c r="O24" s="117">
        <f>VLOOKUP(A24,JanApport,MATCH($O$4,'Jan 2022 Apport'!$3:$3,0),FALSE)</f>
        <v>27589.4</v>
      </c>
      <c r="P24" s="121">
        <f>IFERROR((VLOOKUP(A24,ExcessLevy!A:G,3,FALSE)*0.28),0)+IFERROR((VLOOKUP(A24,ExcessLevy!A:G,6,FALSE)*0.72),0)</f>
        <v>809186.65919999999</v>
      </c>
      <c r="Q24" s="121">
        <f>IFERROR((VLOOKUP(A24,ExcessLevy!A:G,4,FALSE)*0.4738),0)+IFERROR((VLOOKUP(A24,ExcessLevy!A:G,7,FALSE)*0.5262),0)</f>
        <v>1044028.493</v>
      </c>
      <c r="R24">
        <f>VLOOKUP(A24,JanApport,MATCH($R$4,'Jan 2022 Apport'!$3:$3,0),FALSE)</f>
        <v>0</v>
      </c>
      <c r="S24">
        <f>VLOOKUP(A24,JanApport,MATCH($S$4,'Jan 2022 Apport'!$3:$3,0),FALSE)</f>
        <v>0</v>
      </c>
      <c r="T24">
        <f>VLOOKUP(A24,JanApport,MATCH($T$4,'Jan 2022 Apport'!$3:$3,0),FALSE)</f>
        <v>91.65</v>
      </c>
      <c r="U24" s="132">
        <f>IFERROR(VLOOKUP(A24,JanApport,MATCH($U$4,'Jan 2022 Apport'!$3:$3,0),FALSE)/R24,0)</f>
        <v>0</v>
      </c>
      <c r="V24" s="30">
        <f>IFERROR(((VLOOKUP(A24,JanApport,MATCH($V$4,'Jan 2022 Apport'!$3:$3,0),FALSE)+VLOOKUP(A24,JanApport,MATCH($V$3,'Jan 2022 Apport'!$3:$3,0),FALSE))/(S24+T24)),0)</f>
        <v>8922.7550463720672</v>
      </c>
      <c r="W24" s="30">
        <f t="shared" si="8"/>
        <v>8083.6246967786601</v>
      </c>
      <c r="X24">
        <f>VLOOKUP(A24,JanApport,MATCH($X$4,'Jan 2022 Apport'!$3:$3,0),FALSE)</f>
        <v>4.8578999999999997E-2</v>
      </c>
      <c r="Y24">
        <f>VLOOKUP(A24,JanApport,MATCH($Y$4,'Jan 2022 Apport'!$3:$3,0),FALSE)</f>
        <v>4.0270000000000002E-3</v>
      </c>
      <c r="Z24">
        <f>VLOOKUP(A24,JanApport,MATCH($Z$4,'Jan 2022 Apport'!$3:$3,0),FALSE)</f>
        <v>1.7100000000000001E-2</v>
      </c>
      <c r="AA24" s="77">
        <f>VLOOKUP(A24,JanApport,MATCH($AA$4,'Jan 2022 Apport'!$3:$3,0),FALSE)*VLOOKUP(A24,JanApport,MATCH($AA$3,'Jan 2022 Apport'!$3:$3,0),FALSE)</f>
        <v>67585</v>
      </c>
      <c r="AB24" s="77">
        <f>VLOOKUP(A24,JanApport,MATCH($AB$4,'Jan 2022 Apport'!$3:$3,0),FALSE)*VLOOKUP(A24,JanApport,MATCH($AB$3,'Jan 2022 Apport'!$3:$3,0),FALSE)</f>
        <v>68937</v>
      </c>
      <c r="AC24" s="77">
        <f>VLOOKUP(A24,JanApport,MATCH($AC$4,'Jan 2022 Apport'!$3:$3,0),FALSE)</f>
        <v>100321</v>
      </c>
      <c r="AD24" s="77">
        <f>VLOOKUP(A24,JanApport,MATCH($AD$4,'Jan 2022 Apport'!$3:$3,0),FALSE)*VLOOKUP(A24,JanApport,MATCH($AD$3,'Jan 2022 Apport'!$3:$3,0),FALSE)</f>
        <v>102327</v>
      </c>
      <c r="AE24" s="77">
        <f>VLOOKUP(A24,JanApport,MATCH($AE$4,'Jan 2022 Apport'!$3:$3,0),FALSE)</f>
        <v>48483</v>
      </c>
      <c r="AF24" s="77">
        <f>VLOOKUP(A24,JanApport,MATCH($AF$4,'Jan 2022 Apport'!$3:$3,0),FALSE)*VLOOKUP(A24,JanApport,MATCH($AF$3,'Jan 2022 Apport'!$3:$3,0),FALSE)</f>
        <v>49453</v>
      </c>
      <c r="AG24" s="77">
        <f t="shared" si="9"/>
        <v>96432.259900000005</v>
      </c>
      <c r="AH24" s="77">
        <f t="shared" si="4"/>
        <v>137400.94330000001</v>
      </c>
      <c r="AI24" s="77">
        <f t="shared" si="5"/>
        <v>77281.189732599989</v>
      </c>
      <c r="AJ24" s="3">
        <f>VLOOKUP(A24,JanApport,MATCH($AJ$4,'Jan 2022 Apport'!$3:$3,0),FALSE)</f>
        <v>1209517.5900000001</v>
      </c>
      <c r="AK24" s="3">
        <f>VLOOKUP(A24,JanApport,MATCH($AK$4,'Jan 2022 Apport'!$3:$3,0),FALSE)</f>
        <v>19.757000000000001</v>
      </c>
      <c r="AL24" s="117">
        <f t="shared" si="10"/>
        <v>11152429.09</v>
      </c>
      <c r="AM24" s="117">
        <f>VLOOKUP(A24,JanApport,MATCH($AM$4,'Jan 2022 Apport'!$3:$3,0),FALSE)</f>
        <v>267088.94</v>
      </c>
      <c r="AN24" s="117">
        <f>VLOOKUP(A24,JanApport,MATCH($AN$4,'Jan 2022 Apport'!$3:$3,0),FALSE)</f>
        <v>66953.66</v>
      </c>
    </row>
    <row r="25" spans="1:43">
      <c r="A25" s="2" t="s">
        <v>91</v>
      </c>
      <c r="B25" s="2" t="s">
        <v>92</v>
      </c>
      <c r="C25" s="2" t="s">
        <v>1267</v>
      </c>
      <c r="D25" s="118">
        <f>VLOOKUP(A25,JanApport,MATCH($D$4,'Jan 2022 Apport'!$3:$3,FALSE),FALSE)</f>
        <v>6626038.3799999999</v>
      </c>
      <c r="E25" s="30">
        <f>VLOOKUP(A25,JanApport,MATCH($E$2,'Jan 2022 Apport'!$3:$3,0),FALSE)+VLOOKUP(A25,JanApport,MATCH($E$3,'Jan 2022 Apport'!$3:$3,0),FALSE)+VLOOKUP(A25,JanApport,MATCH($E$4,'Jan 2022 Apport'!$3:$3,0),FALSE)</f>
        <v>251006.85</v>
      </c>
      <c r="F25" s="118">
        <f t="shared" si="11"/>
        <v>6375031.5300000003</v>
      </c>
      <c r="G25" s="117">
        <f>VLOOKUP(A25,JanApport,MATCH($G$4,'Jan 2022 Apport'!$3:$3,0),FALSE)</f>
        <v>69264.210000000006</v>
      </c>
      <c r="H25" s="117">
        <f>VLOOKUP(A25,JanApport,MATCH($H$3,'Jan 2022 Apport'!$3:$3,0),FALSE)+VLOOKUP(A25,JanApport,MATCH($H$2,'Jan 2022 Apport'!$3:$3,0),FALSE)+VLOOKUP(A25,JanApport,MATCH($H$4,'Jan 2022 Apport'!$3:$3,0),FALSE)</f>
        <v>571228.21</v>
      </c>
      <c r="I25" s="117">
        <f t="shared" si="13"/>
        <v>640492.41999999993</v>
      </c>
      <c r="J25" s="117">
        <f>VLOOKUP(A25,JanApport,MATCH($J$4,'Jan 2022 Apport'!$3:$3,0),FALSE)</f>
        <v>200388.56</v>
      </c>
      <c r="K25" s="117">
        <f>VLOOKUP(A25,JanApport,MATCH($K$4,'Jan 2022 Apport'!$3:$3,0),FALSE)</f>
        <v>8985.65</v>
      </c>
      <c r="L25" s="117">
        <f t="shared" si="12"/>
        <v>209374.21</v>
      </c>
      <c r="M25" s="117">
        <f>VLOOKUP(A25,JanApport,MATCH($M$4,'Jan 2022 Apport'!$3:$3,0),FALSE)</f>
        <v>440843.53</v>
      </c>
      <c r="N25" s="117">
        <f>VLOOKUP(A25,JanApport,MATCH($N$4,'Jan 2022 Apport'!$3:$3,0),FALSE)</f>
        <v>537699.97</v>
      </c>
      <c r="O25" s="117">
        <f>VLOOKUP(A25,JanApport,MATCH($O$4,'Jan 2022 Apport'!$3:$3,0),FALSE)</f>
        <v>21034.48</v>
      </c>
      <c r="P25" s="121">
        <f>IFERROR((VLOOKUP(A25,ExcessLevy!A:G,3,FALSE)*0.28),0)+IFERROR((VLOOKUP(A25,ExcessLevy!A:G,6,FALSE)*0.72),0)</f>
        <v>998049.75599999994</v>
      </c>
      <c r="Q25" s="121">
        <f>IFERROR((VLOOKUP(A25,ExcessLevy!A:G,4,FALSE)*0.4738),0)+IFERROR((VLOOKUP(A25,ExcessLevy!A:G,7,FALSE)*0.5262),0)</f>
        <v>289653.40304400004</v>
      </c>
      <c r="R25">
        <f>VLOOKUP(A25,JanApport,MATCH($R$4,'Jan 2022 Apport'!$3:$3,0),FALSE)</f>
        <v>0</v>
      </c>
      <c r="S25">
        <f>VLOOKUP(A25,JanApport,MATCH($S$4,'Jan 2022 Apport'!$3:$3,0),FALSE)</f>
        <v>0</v>
      </c>
      <c r="T25">
        <f>VLOOKUP(A25,JanApport,MATCH($T$4,'Jan 2022 Apport'!$3:$3,0),FALSE)</f>
        <v>28.14</v>
      </c>
      <c r="U25" s="132">
        <f>IFERROR(VLOOKUP(A25,JanApport,MATCH($U$4,'Jan 2022 Apport'!$3:$3,0),FALSE)/R25,0)</f>
        <v>0</v>
      </c>
      <c r="V25" s="30">
        <f>IFERROR(((VLOOKUP(A25,JanApport,MATCH($V$4,'Jan 2022 Apport'!$3:$3,0),FALSE)+VLOOKUP(A25,JanApport,MATCH($V$3,'Jan 2022 Apport'!$3:$3,0),FALSE))/(S25+T25)),0)</f>
        <v>8919.9307036247337</v>
      </c>
      <c r="W25" s="30">
        <f t="shared" si="8"/>
        <v>2452.5713248960005</v>
      </c>
      <c r="X25">
        <f>VLOOKUP(A25,JanApport,MATCH($X$4,'Jan 2022 Apport'!$3:$3,0),FALSE)</f>
        <v>4.8578999999999997E-2</v>
      </c>
      <c r="Y25">
        <f>VLOOKUP(A25,JanApport,MATCH($Y$4,'Jan 2022 Apport'!$3:$3,0),FALSE)</f>
        <v>4.0270000000000002E-3</v>
      </c>
      <c r="Z25">
        <f>VLOOKUP(A25,JanApport,MATCH($Z$4,'Jan 2022 Apport'!$3:$3,0),FALSE)</f>
        <v>1.7100000000000001E-2</v>
      </c>
      <c r="AA25" s="77">
        <f>VLOOKUP(A25,JanApport,MATCH($AA$4,'Jan 2022 Apport'!$3:$3,0),FALSE)*VLOOKUP(A25,JanApport,MATCH($AA$3,'Jan 2022 Apport'!$3:$3,0),FALSE)</f>
        <v>67585</v>
      </c>
      <c r="AB25" s="77">
        <f>VLOOKUP(A25,JanApport,MATCH($AB$4,'Jan 2022 Apport'!$3:$3,0),FALSE)*VLOOKUP(A25,JanApport,MATCH($AB$3,'Jan 2022 Apport'!$3:$3,0),FALSE)</f>
        <v>0</v>
      </c>
      <c r="AC25" s="77">
        <f>VLOOKUP(A25,JanApport,MATCH($AC$4,'Jan 2022 Apport'!$3:$3,0),FALSE)</f>
        <v>0</v>
      </c>
      <c r="AD25" s="77">
        <f>VLOOKUP(A25,JanApport,MATCH($AD$4,'Jan 2022 Apport'!$3:$3,0),FALSE)*VLOOKUP(A25,JanApport,MATCH($AD$3,'Jan 2022 Apport'!$3:$3,0),FALSE)</f>
        <v>0</v>
      </c>
      <c r="AE25" s="77">
        <f>VLOOKUP(A25,JanApport,MATCH($AE$4,'Jan 2022 Apport'!$3:$3,0),FALSE)</f>
        <v>0</v>
      </c>
      <c r="AF25" s="77">
        <f>VLOOKUP(A25,JanApport,MATCH($AF$4,'Jan 2022 Apport'!$3:$3,0),FALSE)*VLOOKUP(A25,JanApport,MATCH($AF$3,'Jan 2022 Apport'!$3:$3,0),FALSE)</f>
        <v>0</v>
      </c>
      <c r="AG25" s="77">
        <f t="shared" si="9"/>
        <v>12280.864000000009</v>
      </c>
      <c r="AH25" s="77">
        <f t="shared" si="4"/>
        <v>11848.32</v>
      </c>
      <c r="AI25" s="77">
        <f t="shared" si="5"/>
        <v>16610.88</v>
      </c>
      <c r="AJ25" s="3">
        <f>VLOOKUP(A25,JanApport,MATCH($AJ$4,'Jan 2022 Apport'!$3:$3,0),FALSE)</f>
        <v>977055.9</v>
      </c>
      <c r="AK25" s="3">
        <f>VLOOKUP(A25,JanApport,MATCH($AK$4,'Jan 2022 Apport'!$3:$3,0),FALSE)</f>
        <v>14.064</v>
      </c>
      <c r="AL25" s="117">
        <f t="shared" si="10"/>
        <v>8680364.1699999999</v>
      </c>
      <c r="AM25" s="117">
        <f>VLOOKUP(A25,JanApport,MATCH($AM$4,'Jan 2022 Apport'!$3:$3,0),FALSE)</f>
        <v>213866.83</v>
      </c>
      <c r="AN25" s="117">
        <f>VLOOKUP(A25,JanApport,MATCH($AN$4,'Jan 2022 Apport'!$3:$3,0),FALSE)</f>
        <v>54119.16</v>
      </c>
    </row>
    <row r="26" spans="1:43">
      <c r="A26" s="2" t="s">
        <v>175</v>
      </c>
      <c r="B26" s="2" t="s">
        <v>176</v>
      </c>
      <c r="C26" s="2" t="s">
        <v>1267</v>
      </c>
      <c r="D26" s="118">
        <f>VLOOKUP(A26,JanApport,MATCH($D$4,'Jan 2022 Apport'!$3:$3,FALSE),FALSE)</f>
        <v>731680.28</v>
      </c>
      <c r="E26" s="30">
        <f>VLOOKUP(A26,JanApport,MATCH($E$2,'Jan 2022 Apport'!$3:$3,0),FALSE)+VLOOKUP(A26,JanApport,MATCH($E$3,'Jan 2022 Apport'!$3:$3,0),FALSE)+VLOOKUP(A26,JanApport,MATCH($E$4,'Jan 2022 Apport'!$3:$3,0),FALSE)</f>
        <v>0</v>
      </c>
      <c r="F26" s="118">
        <f t="shared" si="11"/>
        <v>731680.28</v>
      </c>
      <c r="G26" s="117">
        <f>VLOOKUP(A26,JanApport,MATCH($G$4,'Jan 2022 Apport'!$3:$3,0),FALSE)</f>
        <v>10112.719999999999</v>
      </c>
      <c r="H26" s="117">
        <f>VLOOKUP(A26,JanApport,MATCH($H$3,'Jan 2022 Apport'!$3:$3,0),FALSE)+VLOOKUP(A26,JanApport,MATCH($H$2,'Jan 2022 Apport'!$3:$3,0),FALSE)+VLOOKUP(A26,JanApport,MATCH($H$4,'Jan 2022 Apport'!$3:$3,0),FALSE)</f>
        <v>61072</v>
      </c>
      <c r="I26" s="117">
        <f t="shared" si="13"/>
        <v>71184.72</v>
      </c>
      <c r="J26" s="117">
        <f>VLOOKUP(A26,JanApport,MATCH($J$4,'Jan 2022 Apport'!$3:$3,0),FALSE)</f>
        <v>97584.92</v>
      </c>
      <c r="K26" s="117">
        <f>VLOOKUP(A26,JanApport,MATCH($K$4,'Jan 2022 Apport'!$3:$3,0),FALSE)</f>
        <v>14026.02</v>
      </c>
      <c r="L26" s="117">
        <f t="shared" si="12"/>
        <v>111610.94</v>
      </c>
      <c r="M26" s="117">
        <f>VLOOKUP(A26,JanApport,MATCH($M$4,'Jan 2022 Apport'!$3:$3,0),FALSE)</f>
        <v>36590.22</v>
      </c>
      <c r="N26" s="117">
        <f>VLOOKUP(A26,JanApport,MATCH($N$4,'Jan 2022 Apport'!$3:$3,0),FALSE)</f>
        <v>0</v>
      </c>
      <c r="O26" s="117">
        <f>VLOOKUP(A26,JanApport,MATCH($O$4,'Jan 2022 Apport'!$3:$3,0),FALSE)</f>
        <v>2054.54</v>
      </c>
      <c r="P26" s="121">
        <f>IFERROR((VLOOKUP(A26,ExcessLevy!A:G,3,FALSE)*0.28),0)+IFERROR((VLOOKUP(A26,ExcessLevy!A:G,6,FALSE)*0.72),0)</f>
        <v>0</v>
      </c>
      <c r="Q26" s="121">
        <f>IFERROR((VLOOKUP(A26,ExcessLevy!A:G,4,FALSE)*0.4738),0)+IFERROR((VLOOKUP(A26,ExcessLevy!A:G,7,FALSE)*0.5262),0)</f>
        <v>289400.44245199999</v>
      </c>
      <c r="R26">
        <f>VLOOKUP(A26,JanApport,MATCH($R$4,'Jan 2022 Apport'!$3:$3,0),FALSE)</f>
        <v>0</v>
      </c>
      <c r="S26">
        <f>VLOOKUP(A26,JanApport,MATCH($S$4,'Jan 2022 Apport'!$3:$3,0),FALSE)</f>
        <v>0</v>
      </c>
      <c r="T26">
        <f>VLOOKUP(A26,JanApport,MATCH($T$4,'Jan 2022 Apport'!$3:$3,0),FALSE)</f>
        <v>0</v>
      </c>
      <c r="U26" s="132">
        <f>IFERROR(VLOOKUP(A26,JanApport,MATCH($U$4,'Jan 2022 Apport'!$3:$3,0),FALSE)/R26,0)</f>
        <v>0</v>
      </c>
      <c r="V26" s="30">
        <f>IFERROR(((VLOOKUP(A26,JanApport,MATCH($V$4,'Jan 2022 Apport'!$3:$3,0),FALSE)+VLOOKUP(A26,JanApport,MATCH($V$3,'Jan 2022 Apport'!$3:$3,0),FALSE))/(S26+T26)),0)</f>
        <v>0</v>
      </c>
      <c r="W26" s="30">
        <f t="shared" si="8"/>
        <v>9203.5148454414302</v>
      </c>
      <c r="X26">
        <f>VLOOKUP(A26,JanApport,MATCH($X$4,'Jan 2022 Apport'!$3:$3,0),FALSE)</f>
        <v>4.8578999999999997E-2</v>
      </c>
      <c r="Y26">
        <f>VLOOKUP(A26,JanApport,MATCH($Y$4,'Jan 2022 Apport'!$3:$3,0),FALSE)</f>
        <v>4.0270000000000002E-3</v>
      </c>
      <c r="Z26">
        <f>VLOOKUP(A26,JanApport,MATCH($Z$4,'Jan 2022 Apport'!$3:$3,0),FALSE)</f>
        <v>1.7100000000000001E-2</v>
      </c>
      <c r="AA26" s="77">
        <f>VLOOKUP(A26,JanApport,MATCH($AA$4,'Jan 2022 Apport'!$3:$3,0),FALSE)*VLOOKUP(A26,JanApport,MATCH($AA$3,'Jan 2022 Apport'!$3:$3,0),FALSE)</f>
        <v>67585</v>
      </c>
      <c r="AB26" s="77">
        <f>VLOOKUP(A26,JanApport,MATCH($AB$4,'Jan 2022 Apport'!$3:$3,0),FALSE)*VLOOKUP(A26,JanApport,MATCH($AB$3,'Jan 2022 Apport'!$3:$3,0),FALSE)</f>
        <v>82724.399999999994</v>
      </c>
      <c r="AC26" s="77">
        <f>VLOOKUP(A26,JanApport,MATCH($AC$4,'Jan 2022 Apport'!$3:$3,0),FALSE)</f>
        <v>100321</v>
      </c>
      <c r="AD26" s="77">
        <f>VLOOKUP(A26,JanApport,MATCH($AD$4,'Jan 2022 Apport'!$3:$3,0),FALSE)*VLOOKUP(A26,JanApport,MATCH($AD$3,'Jan 2022 Apport'!$3:$3,0),FALSE)</f>
        <v>122792.4</v>
      </c>
      <c r="AE26" s="77">
        <f>VLOOKUP(A26,JanApport,MATCH($AE$4,'Jan 2022 Apport'!$3:$3,0),FALSE)</f>
        <v>48483</v>
      </c>
      <c r="AF26" s="77">
        <f>VLOOKUP(A26,JanApport,MATCH($AF$4,'Jan 2022 Apport'!$3:$3,0),FALSE)*VLOOKUP(A26,JanApport,MATCH($AF$3,'Jan 2022 Apport'!$3:$3,0),FALSE)</f>
        <v>59343.6</v>
      </c>
      <c r="AG26" s="77">
        <f t="shared" si="9"/>
        <v>113262.53907999999</v>
      </c>
      <c r="AH26" s="77">
        <f t="shared" si="4"/>
        <v>162383.05708</v>
      </c>
      <c r="AI26" s="77">
        <f t="shared" si="5"/>
        <v>89075.870679119995</v>
      </c>
      <c r="AJ26" s="3">
        <f>VLOOKUP(A26,JanApport,MATCH($AJ$4,'Jan 2022 Apport'!$3:$3,0),FALSE)</f>
        <v>101695.25</v>
      </c>
      <c r="AK26" s="3">
        <f>VLOOKUP(A26,JanApport,MATCH($AK$4,'Jan 2022 Apport'!$3:$3,0),FALSE)</f>
        <v>1.984</v>
      </c>
      <c r="AL26" s="117">
        <f t="shared" si="10"/>
        <v>960911.85000000009</v>
      </c>
      <c r="AM26" s="117">
        <f>VLOOKUP(A26,JanApport,MATCH($AM$4,'Jan 2022 Apport'!$3:$3,0),FALSE)</f>
        <v>21817.17</v>
      </c>
      <c r="AN26" s="117">
        <f>VLOOKUP(A26,JanApport,MATCH($AN$4,'Jan 2022 Apport'!$3:$3,0),FALSE)</f>
        <v>6192.14</v>
      </c>
    </row>
    <row r="27" spans="1:43">
      <c r="A27" s="2" t="s">
        <v>403</v>
      </c>
      <c r="B27" s="2" t="s">
        <v>404</v>
      </c>
      <c r="C27" s="2" t="s">
        <v>1267</v>
      </c>
      <c r="D27" s="118">
        <f>VLOOKUP(A27,JanApport,MATCH($D$4,'Jan 2022 Apport'!$3:$3,FALSE),FALSE)</f>
        <v>31749892.329999998</v>
      </c>
      <c r="E27" s="30">
        <f>VLOOKUP(A27,JanApport,MATCH($E$2,'Jan 2022 Apport'!$3:$3,0),FALSE)+VLOOKUP(A27,JanApport,MATCH($E$3,'Jan 2022 Apport'!$3:$3,0),FALSE)+VLOOKUP(A27,JanApport,MATCH($E$4,'Jan 2022 Apport'!$3:$3,0),FALSE)</f>
        <v>3947082.85</v>
      </c>
      <c r="F27" s="118">
        <f t="shared" si="11"/>
        <v>27802809.479999997</v>
      </c>
      <c r="G27" s="117">
        <f>VLOOKUP(A27,JanApport,MATCH($G$4,'Jan 2022 Apport'!$3:$3,0),FALSE)</f>
        <v>285330.32</v>
      </c>
      <c r="H27" s="117">
        <f>VLOOKUP(A27,JanApport,MATCH($H$3,'Jan 2022 Apport'!$3:$3,0),FALSE)+VLOOKUP(A27,JanApport,MATCH($H$2,'Jan 2022 Apport'!$3:$3,0),FALSE)+VLOOKUP(A27,JanApport,MATCH($H$4,'Jan 2022 Apport'!$3:$3,0),FALSE)</f>
        <v>4266176.66</v>
      </c>
      <c r="I27" s="117">
        <f t="shared" si="13"/>
        <v>4551506.9800000004</v>
      </c>
      <c r="J27" s="117">
        <f>VLOOKUP(A27,JanApport,MATCH($J$4,'Jan 2022 Apport'!$3:$3,0),FALSE)</f>
        <v>2078284.39</v>
      </c>
      <c r="K27" s="117">
        <f>VLOOKUP(A27,JanApport,MATCH($K$4,'Jan 2022 Apport'!$3:$3,0),FALSE)</f>
        <v>276323.03999999998</v>
      </c>
      <c r="L27" s="117">
        <f t="shared" si="12"/>
        <v>2354607.4299999997</v>
      </c>
      <c r="M27" s="117">
        <f>VLOOKUP(A27,JanApport,MATCH($M$4,'Jan 2022 Apport'!$3:$3,0),FALSE)</f>
        <v>1201294.52</v>
      </c>
      <c r="N27" s="117">
        <f>VLOOKUP(A27,JanApport,MATCH($N$4,'Jan 2022 Apport'!$3:$3,0),FALSE)</f>
        <v>1295478.7</v>
      </c>
      <c r="O27" s="117">
        <f>VLOOKUP(A27,JanApport,MATCH($O$4,'Jan 2022 Apport'!$3:$3,0),FALSE)</f>
        <v>105231.85</v>
      </c>
      <c r="P27" s="121">
        <f>IFERROR((VLOOKUP(A27,ExcessLevy!A:G,3,FALSE)*0.28),0)+IFERROR((VLOOKUP(A27,ExcessLevy!A:G,6,FALSE)*0.72),0)</f>
        <v>0</v>
      </c>
      <c r="Q27" s="121">
        <f>IFERROR((VLOOKUP(A27,ExcessLevy!A:G,4,FALSE)*0.4738),0)+IFERROR((VLOOKUP(A27,ExcessLevy!A:G,7,FALSE)*0.5262),0)</f>
        <v>10420069.600000001</v>
      </c>
      <c r="R27">
        <f>VLOOKUP(A27,JanApport,MATCH($R$4,'Jan 2022 Apport'!$3:$3,0),FALSE)</f>
        <v>0</v>
      </c>
      <c r="S27">
        <f>VLOOKUP(A27,JanApport,MATCH($S$4,'Jan 2022 Apport'!$3:$3,0),FALSE)</f>
        <v>81.25</v>
      </c>
      <c r="T27">
        <f>VLOOKUP(A27,JanApport,MATCH($T$4,'Jan 2022 Apport'!$3:$3,0),FALSE)</f>
        <v>316.22000000000003</v>
      </c>
      <c r="U27" s="132">
        <f>IFERROR(VLOOKUP(A27,JanApport,MATCH($U$4,'Jan 2022 Apport'!$3:$3,0),FALSE)/R27,0)</f>
        <v>0</v>
      </c>
      <c r="V27" s="30">
        <f>IFERROR(((VLOOKUP(A27,JanApport,MATCH($V$4,'Jan 2022 Apport'!$3:$3,0),FALSE)+VLOOKUP(A27,JanApport,MATCH($V$3,'Jan 2022 Apport'!$3:$3,0),FALSE))/(S27+T27)),0)</f>
        <v>9930.517649130752</v>
      </c>
      <c r="W27" s="30">
        <f t="shared" si="8"/>
        <v>8758.9207947724826</v>
      </c>
      <c r="X27">
        <f>VLOOKUP(A27,JanApport,MATCH($X$4,'Jan 2022 Apport'!$3:$3,0),FALSE)</f>
        <v>4.8578999999999997E-2</v>
      </c>
      <c r="Y27">
        <f>VLOOKUP(A27,JanApport,MATCH($Y$4,'Jan 2022 Apport'!$3:$3,0),FALSE)</f>
        <v>4.0270000000000002E-3</v>
      </c>
      <c r="Z27">
        <f>VLOOKUP(A27,JanApport,MATCH($Z$4,'Jan 2022 Apport'!$3:$3,0),FALSE)</f>
        <v>1.7100000000000001E-2</v>
      </c>
      <c r="AA27" s="77">
        <f>VLOOKUP(A27,JanApport,MATCH($AA$4,'Jan 2022 Apport'!$3:$3,0),FALSE)*VLOOKUP(A27,JanApport,MATCH($AA$3,'Jan 2022 Apport'!$3:$3,0),FALSE)</f>
        <v>78398.599999999991</v>
      </c>
      <c r="AB27" s="77">
        <f>VLOOKUP(A27,JanApport,MATCH($AB$4,'Jan 2022 Apport'!$3:$3,0),FALSE)*VLOOKUP(A27,JanApport,MATCH($AB$3,'Jan 2022 Apport'!$3:$3,0),FALSE)</f>
        <v>77209.440000000002</v>
      </c>
      <c r="AC27" s="77">
        <f>VLOOKUP(A27,JanApport,MATCH($AC$4,'Jan 2022 Apport'!$3:$3,0),FALSE)</f>
        <v>100321</v>
      </c>
      <c r="AD27" s="77">
        <f>VLOOKUP(A27,JanApport,MATCH($AD$4,'Jan 2022 Apport'!$3:$3,0),FALSE)*VLOOKUP(A27,JanApport,MATCH($AD$3,'Jan 2022 Apport'!$3:$3,0),FALSE)</f>
        <v>114606.24</v>
      </c>
      <c r="AE27" s="77">
        <f>VLOOKUP(A27,JanApport,MATCH($AE$4,'Jan 2022 Apport'!$3:$3,0),FALSE)</f>
        <v>48483</v>
      </c>
      <c r="AF27" s="77">
        <f>VLOOKUP(A27,JanApport,MATCH($AF$4,'Jan 2022 Apport'!$3:$3,0),FALSE)*VLOOKUP(A27,JanApport,MATCH($AF$3,'Jan 2022 Apport'!$3:$3,0),FALSE)</f>
        <v>55387.360000000008</v>
      </c>
      <c r="AG27" s="77">
        <f t="shared" si="9"/>
        <v>106599.634448</v>
      </c>
      <c r="AH27" s="77">
        <f t="shared" si="4"/>
        <v>152390.21156800003</v>
      </c>
      <c r="AI27" s="77">
        <f t="shared" si="5"/>
        <v>84357.998300512001</v>
      </c>
      <c r="AJ27" s="3">
        <f>VLOOKUP(A27,JanApport,MATCH($AJ$4,'Jan 2022 Apport'!$3:$3,0),FALSE)</f>
        <v>3927690.47</v>
      </c>
      <c r="AK27" s="3">
        <f>VLOOKUP(A27,JanApport,MATCH($AK$4,'Jan 2022 Apport'!$3:$3,0),FALSE)</f>
        <v>58.944000000000003</v>
      </c>
      <c r="AL27" s="117">
        <f t="shared" si="10"/>
        <v>41437209.829999998</v>
      </c>
      <c r="AM27" s="117">
        <f>VLOOKUP(A27,JanApport,MATCH($AM$4,'Jan 2022 Apport'!$3:$3,0),FALSE)</f>
        <v>455521.06</v>
      </c>
      <c r="AN27" s="117">
        <f>VLOOKUP(A27,JanApport,MATCH($AN$4,'Jan 2022 Apport'!$3:$3,0),FALSE)</f>
        <v>247558.09</v>
      </c>
    </row>
    <row r="28" spans="1:43" ht="15.75" customHeight="1">
      <c r="A28" s="2" t="s">
        <v>67</v>
      </c>
      <c r="B28" s="2" t="s">
        <v>68</v>
      </c>
      <c r="C28" s="2" t="s">
        <v>1267</v>
      </c>
      <c r="D28" s="118">
        <f>VLOOKUP(A28,JanApport,MATCH($D$4,'Jan 2022 Apport'!$3:$3,FALSE),FALSE)</f>
        <v>64983341.060000002</v>
      </c>
      <c r="E28" s="30">
        <f>VLOOKUP(A28,JanApport,MATCH($E$2,'Jan 2022 Apport'!$3:$3,0),FALSE)+VLOOKUP(A28,JanApport,MATCH($E$3,'Jan 2022 Apport'!$3:$3,0),FALSE)+VLOOKUP(A28,JanApport,MATCH($E$4,'Jan 2022 Apport'!$3:$3,0),FALSE)</f>
        <v>4117202.99</v>
      </c>
      <c r="F28" s="118">
        <f t="shared" si="11"/>
        <v>60866138.07</v>
      </c>
      <c r="G28" s="117">
        <f>VLOOKUP(A28,JanApport,MATCH($G$4,'Jan 2022 Apport'!$3:$3,0),FALSE)</f>
        <v>508327.65</v>
      </c>
      <c r="H28" s="117">
        <f>VLOOKUP(A28,JanApport,MATCH($H$3,'Jan 2022 Apport'!$3:$3,0),FALSE)+VLOOKUP(A28,JanApport,MATCH($H$2,'Jan 2022 Apport'!$3:$3,0),FALSE)+VLOOKUP(A28,JanApport,MATCH($H$4,'Jan 2022 Apport'!$3:$3,0),FALSE)</f>
        <v>6722298.7799999993</v>
      </c>
      <c r="I28" s="117">
        <f t="shared" si="13"/>
        <v>7230626.4299999997</v>
      </c>
      <c r="J28" s="117">
        <f>VLOOKUP(A28,JanApport,MATCH($J$4,'Jan 2022 Apport'!$3:$3,0),FALSE)</f>
        <v>3463172.95</v>
      </c>
      <c r="K28" s="117">
        <f>VLOOKUP(A28,JanApport,MATCH($K$4,'Jan 2022 Apport'!$3:$3,0),FALSE)</f>
        <v>898992.48</v>
      </c>
      <c r="L28" s="117">
        <f t="shared" si="12"/>
        <v>4362165.43</v>
      </c>
      <c r="M28" s="117">
        <f>VLOOKUP(A28,JanApport,MATCH($M$4,'Jan 2022 Apport'!$3:$3,0),FALSE)</f>
        <v>655097.77</v>
      </c>
      <c r="N28" s="117">
        <f>VLOOKUP(A28,JanApport,MATCH($N$4,'Jan 2022 Apport'!$3:$3,0),FALSE)</f>
        <v>381138.12</v>
      </c>
      <c r="O28" s="117">
        <f>VLOOKUP(A28,JanApport,MATCH($O$4,'Jan 2022 Apport'!$3:$3,0),FALSE)</f>
        <v>215634.13</v>
      </c>
      <c r="P28" s="121">
        <f>IFERROR((VLOOKUP(A28,ExcessLevy!A:G,3,FALSE)*0.28),0)+IFERROR((VLOOKUP(A28,ExcessLevy!A:G,6,FALSE)*0.72),0)</f>
        <v>989801.08</v>
      </c>
      <c r="Q28" s="121">
        <f>IFERROR((VLOOKUP(A28,ExcessLevy!A:G,4,FALSE)*0.4738),0)+IFERROR((VLOOKUP(A28,ExcessLevy!A:G,7,FALSE)*0.5262),0)</f>
        <v>17047336</v>
      </c>
      <c r="R28">
        <f>VLOOKUP(A28,JanApport,MATCH($R$4,'Jan 2022 Apport'!$3:$3,0),FALSE)</f>
        <v>0</v>
      </c>
      <c r="S28">
        <f>VLOOKUP(A28,JanApport,MATCH($S$4,'Jan 2022 Apport'!$3:$3,0),FALSE)</f>
        <v>34.78</v>
      </c>
      <c r="T28">
        <f>VLOOKUP(A28,JanApport,MATCH($T$4,'Jan 2022 Apport'!$3:$3,0),FALSE)</f>
        <v>396.16</v>
      </c>
      <c r="U28" s="132">
        <f>IFERROR(VLOOKUP(A28,JanApport,MATCH($U$4,'Jan 2022 Apport'!$3:$3,0),FALSE)/R28,0)</f>
        <v>0</v>
      </c>
      <c r="V28" s="30">
        <f>IFERROR(((VLOOKUP(A28,JanApport,MATCH($V$4,'Jan 2022 Apport'!$3:$3,0),FALSE)+VLOOKUP(A28,JanApport,MATCH($V$3,'Jan 2022 Apport'!$3:$3,0),FALSE))/(S28+T28)),0)</f>
        <v>9554.0051747343005</v>
      </c>
      <c r="W28" s="30">
        <f t="shared" si="8"/>
        <v>8421.6929968750901</v>
      </c>
      <c r="X28">
        <f>VLOOKUP(A28,JanApport,MATCH($X$4,'Jan 2022 Apport'!$3:$3,0),FALSE)</f>
        <v>4.8578999999999997E-2</v>
      </c>
      <c r="Y28">
        <f>VLOOKUP(A28,JanApport,MATCH($Y$4,'Jan 2022 Apport'!$3:$3,0),FALSE)</f>
        <v>4.0270000000000002E-3</v>
      </c>
      <c r="Z28">
        <f>VLOOKUP(A28,JanApport,MATCH($Z$4,'Jan 2022 Apport'!$3:$3,0),FALSE)</f>
        <v>1.7100000000000001E-2</v>
      </c>
      <c r="AA28" s="77">
        <f>VLOOKUP(A28,JanApport,MATCH($AA$4,'Jan 2022 Apport'!$3:$3,0),FALSE)*VLOOKUP(A28,JanApport,MATCH($AA$3,'Jan 2022 Apport'!$3:$3,0),FALSE)</f>
        <v>74343.5</v>
      </c>
      <c r="AB28" s="77">
        <f>VLOOKUP(A28,JanApport,MATCH($AB$4,'Jan 2022 Apport'!$3:$3,0),FALSE)*VLOOKUP(A28,JanApport,MATCH($AB$3,'Jan 2022 Apport'!$3:$3,0),FALSE)</f>
        <v>73073.22</v>
      </c>
      <c r="AC28" s="77">
        <f>VLOOKUP(A28,JanApport,MATCH($AC$4,'Jan 2022 Apport'!$3:$3,0),FALSE)</f>
        <v>100321</v>
      </c>
      <c r="AD28" s="77">
        <f>VLOOKUP(A28,JanApport,MATCH($AD$4,'Jan 2022 Apport'!$3:$3,0),FALSE)*VLOOKUP(A28,JanApport,MATCH($AD$3,'Jan 2022 Apport'!$3:$3,0),FALSE)</f>
        <v>108466.62000000001</v>
      </c>
      <c r="AE28" s="77">
        <f>VLOOKUP(A28,JanApport,MATCH($AE$4,'Jan 2022 Apport'!$3:$3,0),FALSE)</f>
        <v>48483</v>
      </c>
      <c r="AF28" s="77">
        <f>VLOOKUP(A28,JanApport,MATCH($AF$4,'Jan 2022 Apport'!$3:$3,0),FALSE)*VLOOKUP(A28,JanApport,MATCH($AF$3,'Jan 2022 Apport'!$3:$3,0),FALSE)</f>
        <v>52420.18</v>
      </c>
      <c r="AG28" s="77">
        <f t="shared" si="9"/>
        <v>101524.598054</v>
      </c>
      <c r="AH28" s="77">
        <f t="shared" si="4"/>
        <v>144895.57743400004</v>
      </c>
      <c r="AI28" s="77">
        <f t="shared" si="5"/>
        <v>80819.594016556002</v>
      </c>
      <c r="AJ28" s="3">
        <f>VLOOKUP(A28,JanApport,MATCH($AJ$4,'Jan 2022 Apport'!$3:$3,0),FALSE)</f>
        <v>8858265.3000000007</v>
      </c>
      <c r="AK28" s="3">
        <f>VLOOKUP(A28,JanApport,MATCH($AK$4,'Jan 2022 Apport'!$3:$3,0),FALSE)</f>
        <v>122.65600000000001</v>
      </c>
      <c r="AL28" s="117">
        <f t="shared" si="10"/>
        <v>76929010.460000008</v>
      </c>
      <c r="AM28" s="117">
        <f>VLOOKUP(A28,JanApport,MATCH($AM$4,'Jan 2022 Apport'!$3:$3,0),FALSE)</f>
        <v>0</v>
      </c>
      <c r="AN28" s="117">
        <f>VLOOKUP(A28,JanApport,MATCH($AN$4,'Jan 2022 Apport'!$3:$3,0),FALSE)</f>
        <v>524110.18</v>
      </c>
    </row>
    <row r="29" spans="1:43">
      <c r="A29" s="2" t="s">
        <v>49</v>
      </c>
      <c r="B29" s="2" t="s">
        <v>50</v>
      </c>
      <c r="C29" s="2" t="s">
        <v>1267</v>
      </c>
      <c r="D29" s="118">
        <f>VLOOKUP(A29,JanApport,MATCH($D$4,'Jan 2022 Apport'!$3:$3,FALSE),FALSE)</f>
        <v>6127520.6799999997</v>
      </c>
      <c r="E29" s="30">
        <f>VLOOKUP(A29,JanApport,MATCH($E$2,'Jan 2022 Apport'!$3:$3,0),FALSE)+VLOOKUP(A29,JanApport,MATCH($E$3,'Jan 2022 Apport'!$3:$3,0),FALSE)+VLOOKUP(A29,JanApport,MATCH($E$4,'Jan 2022 Apport'!$3:$3,0),FALSE)</f>
        <v>67955.37</v>
      </c>
      <c r="F29" s="118">
        <f t="shared" si="11"/>
        <v>6059565.3099999996</v>
      </c>
      <c r="G29" s="117">
        <f>VLOOKUP(A29,JanApport,MATCH($G$4,'Jan 2022 Apport'!$3:$3,0),FALSE)</f>
        <v>30098.35</v>
      </c>
      <c r="H29" s="117">
        <f>VLOOKUP(A29,JanApport,MATCH($H$3,'Jan 2022 Apport'!$3:$3,0),FALSE)+VLOOKUP(A29,JanApport,MATCH($H$2,'Jan 2022 Apport'!$3:$3,0),FALSE)+VLOOKUP(A29,JanApport,MATCH($H$4,'Jan 2022 Apport'!$3:$3,0),FALSE)</f>
        <v>569857.42999999993</v>
      </c>
      <c r="I29" s="117">
        <f t="shared" si="13"/>
        <v>599955.77999999991</v>
      </c>
      <c r="J29" s="117">
        <f>VLOOKUP(A29,JanApport,MATCH($J$4,'Jan 2022 Apport'!$3:$3,0),FALSE)</f>
        <v>275921.73</v>
      </c>
      <c r="K29" s="117">
        <f>VLOOKUP(A29,JanApport,MATCH($K$4,'Jan 2022 Apport'!$3:$3,0),FALSE)</f>
        <v>48210.19</v>
      </c>
      <c r="L29" s="117">
        <f t="shared" si="12"/>
        <v>324131.92</v>
      </c>
      <c r="M29" s="117">
        <f>VLOOKUP(A29,JanApport,MATCH($M$4,'Jan 2022 Apport'!$3:$3,0),FALSE)</f>
        <v>210931.79</v>
      </c>
      <c r="N29" s="117">
        <f>VLOOKUP(A29,JanApport,MATCH($N$4,'Jan 2022 Apport'!$3:$3,0),FALSE)</f>
        <v>0</v>
      </c>
      <c r="O29" s="117">
        <f>VLOOKUP(A29,JanApport,MATCH($O$4,'Jan 2022 Apport'!$3:$3,0),FALSE)</f>
        <v>0</v>
      </c>
      <c r="P29" s="121">
        <f>IFERROR((VLOOKUP(A29,ExcessLevy!A:G,3,FALSE)*0.28),0)+IFERROR((VLOOKUP(A29,ExcessLevy!A:G,6,FALSE)*0.72),0)</f>
        <v>609115.11239999998</v>
      </c>
      <c r="Q29" s="121">
        <f>IFERROR((VLOOKUP(A29,ExcessLevy!A:G,4,FALSE)*0.4738),0)+IFERROR((VLOOKUP(A29,ExcessLevy!A:G,7,FALSE)*0.5262),0)</f>
        <v>361296.68835000001</v>
      </c>
      <c r="R29">
        <f>VLOOKUP(A29,JanApport,MATCH($R$4,'Jan 2022 Apport'!$3:$3,0),FALSE)</f>
        <v>0</v>
      </c>
      <c r="S29">
        <f>VLOOKUP(A29,JanApport,MATCH($S$4,'Jan 2022 Apport'!$3:$3,0),FALSE)</f>
        <v>0</v>
      </c>
      <c r="T29">
        <f>VLOOKUP(A29,JanApport,MATCH($T$4,'Jan 2022 Apport'!$3:$3,0),FALSE)</f>
        <v>7.62</v>
      </c>
      <c r="U29" s="132">
        <f>IFERROR(VLOOKUP(A29,JanApport,MATCH($U$4,'Jan 2022 Apport'!$3:$3,0),FALSE)/R29,0)</f>
        <v>0</v>
      </c>
      <c r="V29" s="30">
        <f>IFERROR(((VLOOKUP(A29,JanApport,MATCH($V$4,'Jan 2022 Apport'!$3:$3,0),FALSE)+VLOOKUP(A29,JanApport,MATCH($V$3,'Jan 2022 Apport'!$3:$3,0),FALSE))/(S29+T29)),0)</f>
        <v>8918.0275590551173</v>
      </c>
      <c r="W29" s="30">
        <f t="shared" si="8"/>
        <v>8083.6246967786601</v>
      </c>
      <c r="X29">
        <f>VLOOKUP(A29,JanApport,MATCH($X$4,'Jan 2022 Apport'!$3:$3,0),FALSE)</f>
        <v>4.8578999999999997E-2</v>
      </c>
      <c r="Y29">
        <f>VLOOKUP(A29,JanApport,MATCH($Y$4,'Jan 2022 Apport'!$3:$3,0),FALSE)</f>
        <v>4.0270000000000002E-3</v>
      </c>
      <c r="Z29">
        <f>VLOOKUP(A29,JanApport,MATCH($Z$4,'Jan 2022 Apport'!$3:$3,0),FALSE)</f>
        <v>1.7100000000000001E-2</v>
      </c>
      <c r="AA29" s="77">
        <f>VLOOKUP(A29,JanApport,MATCH($AA$4,'Jan 2022 Apport'!$3:$3,0),FALSE)*VLOOKUP(A29,JanApport,MATCH($AA$3,'Jan 2022 Apport'!$3:$3,0),FALSE)</f>
        <v>67585</v>
      </c>
      <c r="AB29" s="77">
        <f>VLOOKUP(A29,JanApport,MATCH($AB$4,'Jan 2022 Apport'!$3:$3,0),FALSE)*VLOOKUP(A29,JanApport,MATCH($AB$3,'Jan 2022 Apport'!$3:$3,0),FALSE)</f>
        <v>68937</v>
      </c>
      <c r="AC29" s="77">
        <f>VLOOKUP(A29,JanApport,MATCH($AC$4,'Jan 2022 Apport'!$3:$3,0),FALSE)</f>
        <v>100321</v>
      </c>
      <c r="AD29" s="77">
        <f>VLOOKUP(A29,JanApport,MATCH($AD$4,'Jan 2022 Apport'!$3:$3,0),FALSE)*VLOOKUP(A29,JanApport,MATCH($AD$3,'Jan 2022 Apport'!$3:$3,0),FALSE)</f>
        <v>102327</v>
      </c>
      <c r="AE29" s="77">
        <f>VLOOKUP(A29,JanApport,MATCH($AE$4,'Jan 2022 Apport'!$3:$3,0),FALSE)</f>
        <v>48483</v>
      </c>
      <c r="AF29" s="77">
        <f>VLOOKUP(A29,JanApport,MATCH($AF$4,'Jan 2022 Apport'!$3:$3,0),FALSE)*VLOOKUP(A29,JanApport,MATCH($AF$3,'Jan 2022 Apport'!$3:$3,0),FALSE)</f>
        <v>49453</v>
      </c>
      <c r="AG29" s="77">
        <f t="shared" si="9"/>
        <v>96432.259900000005</v>
      </c>
      <c r="AH29" s="77">
        <f t="shared" si="4"/>
        <v>137400.94330000001</v>
      </c>
      <c r="AI29" s="77">
        <f t="shared" si="5"/>
        <v>77281.189732599989</v>
      </c>
      <c r="AJ29" s="3">
        <f>VLOOKUP(A29,JanApport,MATCH($AJ$4,'Jan 2022 Apport'!$3:$3,0),FALSE)</f>
        <v>810963.67</v>
      </c>
      <c r="AK29" s="3">
        <f>VLOOKUP(A29,JanApport,MATCH($AK$4,'Jan 2022 Apport'!$3:$3,0),FALSE)</f>
        <v>10.923999999999999</v>
      </c>
      <c r="AL29" s="117">
        <f t="shared" si="10"/>
        <v>7359908.1499999994</v>
      </c>
      <c r="AM29" s="117">
        <f>VLOOKUP(A29,JanApport,MATCH($AM$4,'Jan 2022 Apport'!$3:$3,0),FALSE)</f>
        <v>145578.17000000001</v>
      </c>
      <c r="AN29" s="117">
        <f>VLOOKUP(A29,JanApport,MATCH($AN$4,'Jan 2022 Apport'!$3:$3,0),FALSE)</f>
        <v>54274.85</v>
      </c>
    </row>
    <row r="30" spans="1:43">
      <c r="A30" s="2" t="s">
        <v>367</v>
      </c>
      <c r="B30" s="2" t="s">
        <v>368</v>
      </c>
      <c r="C30" s="2" t="s">
        <v>1267</v>
      </c>
      <c r="D30" s="118">
        <f>VLOOKUP(A30,JanApport,MATCH($D$4,'Jan 2022 Apport'!$3:$3,FALSE),FALSE)</f>
        <v>1715184.61</v>
      </c>
      <c r="E30" s="30">
        <f>VLOOKUP(A30,JanApport,MATCH($E$2,'Jan 2022 Apport'!$3:$3,0),FALSE)+VLOOKUP(A30,JanApport,MATCH($E$3,'Jan 2022 Apport'!$3:$3,0),FALSE)+VLOOKUP(A30,JanApport,MATCH($E$4,'Jan 2022 Apport'!$3:$3,0),FALSE)</f>
        <v>0</v>
      </c>
      <c r="F30" s="118">
        <f t="shared" si="11"/>
        <v>1715184.61</v>
      </c>
      <c r="G30" s="117">
        <f>VLOOKUP(A30,JanApport,MATCH($G$4,'Jan 2022 Apport'!$3:$3,0),FALSE)</f>
        <v>24375.21</v>
      </c>
      <c r="H30" s="117">
        <f>VLOOKUP(A30,JanApport,MATCH($H$3,'Jan 2022 Apport'!$3:$3,0),FALSE)+VLOOKUP(A30,JanApport,MATCH($H$2,'Jan 2022 Apport'!$3:$3,0),FALSE)+VLOOKUP(A30,JanApport,MATCH($H$4,'Jan 2022 Apport'!$3:$3,0),FALSE)</f>
        <v>228332.47</v>
      </c>
      <c r="I30" s="117">
        <f t="shared" si="13"/>
        <v>252707.68</v>
      </c>
      <c r="J30" s="117">
        <f>VLOOKUP(A30,JanApport,MATCH($J$4,'Jan 2022 Apport'!$3:$3,0),FALSE)</f>
        <v>111275.13</v>
      </c>
      <c r="K30" s="117">
        <f>VLOOKUP(A30,JanApport,MATCH($K$4,'Jan 2022 Apport'!$3:$3,0),FALSE)</f>
        <v>37356.1</v>
      </c>
      <c r="L30" s="117">
        <f t="shared" si="12"/>
        <v>148631.23000000001</v>
      </c>
      <c r="M30" s="117">
        <f>VLOOKUP(A30,JanApport,MATCH($M$4,'Jan 2022 Apport'!$3:$3,0),FALSE)</f>
        <v>27029.71</v>
      </c>
      <c r="N30" s="117">
        <f>VLOOKUP(A30,JanApport,MATCH($N$4,'Jan 2022 Apport'!$3:$3,0),FALSE)</f>
        <v>0</v>
      </c>
      <c r="O30" s="117">
        <f>VLOOKUP(A30,JanApport,MATCH($O$4,'Jan 2022 Apport'!$3:$3,0),FALSE)</f>
        <v>5427.23</v>
      </c>
      <c r="P30" s="121">
        <f>IFERROR((VLOOKUP(A30,ExcessLevy!A:G,3,FALSE)*0.28),0)+IFERROR((VLOOKUP(A30,ExcessLevy!A:G,6,FALSE)*0.72),0)</f>
        <v>137642.6672</v>
      </c>
      <c r="Q30" s="121">
        <f>IFERROR((VLOOKUP(A30,ExcessLevy!A:G,4,FALSE)*0.4738),0)+IFERROR((VLOOKUP(A30,ExcessLevy!A:G,7,FALSE)*0.5262),0)</f>
        <v>397775.99100000004</v>
      </c>
      <c r="R30">
        <f>VLOOKUP(A30,JanApport,MATCH($R$4,'Jan 2022 Apport'!$3:$3,0),FALSE)</f>
        <v>0</v>
      </c>
      <c r="S30">
        <f>VLOOKUP(A30,JanApport,MATCH($S$4,'Jan 2022 Apport'!$3:$3,0),FALSE)</f>
        <v>0</v>
      </c>
      <c r="T30">
        <f>VLOOKUP(A30,JanApport,MATCH($T$4,'Jan 2022 Apport'!$3:$3,0),FALSE)</f>
        <v>0</v>
      </c>
      <c r="U30" s="132">
        <f>IFERROR(VLOOKUP(A30,JanApport,MATCH($U$4,'Jan 2022 Apport'!$3:$3,0),FALSE)/R30,0)</f>
        <v>0</v>
      </c>
      <c r="V30" s="30">
        <f>IFERROR(((VLOOKUP(A30,JanApport,MATCH($V$4,'Jan 2022 Apport'!$3:$3,0),FALSE)+VLOOKUP(A30,JanApport,MATCH($V$3,'Jan 2022 Apport'!$3:$3,0),FALSE))/(S30+T30)),0)</f>
        <v>0</v>
      </c>
      <c r="W30" s="30">
        <f t="shared" si="8"/>
        <v>8420.8524946760499</v>
      </c>
      <c r="X30">
        <f>VLOOKUP(A30,JanApport,MATCH($X$4,'Jan 2022 Apport'!$3:$3,0),FALSE)</f>
        <v>4.8578999999999997E-2</v>
      </c>
      <c r="Y30">
        <f>VLOOKUP(A30,JanApport,MATCH($Y$4,'Jan 2022 Apport'!$3:$3,0),FALSE)</f>
        <v>4.0270000000000002E-3</v>
      </c>
      <c r="Z30">
        <f>VLOOKUP(A30,JanApport,MATCH($Z$4,'Jan 2022 Apport'!$3:$3,0),FALSE)</f>
        <v>1.7100000000000001E-2</v>
      </c>
      <c r="AA30" s="77">
        <f>VLOOKUP(A30,JanApport,MATCH($AA$4,'Jan 2022 Apport'!$3:$3,0),FALSE)*VLOOKUP(A30,JanApport,MATCH($AA$3,'Jan 2022 Apport'!$3:$3,0),FALSE)</f>
        <v>71640.100000000006</v>
      </c>
      <c r="AB30" s="77">
        <f>VLOOKUP(A30,JanApport,MATCH($AB$4,'Jan 2022 Apport'!$3:$3,0),FALSE)*VLOOKUP(A30,JanApport,MATCH($AB$3,'Jan 2022 Apport'!$3:$3,0),FALSE)</f>
        <v>73073.22</v>
      </c>
      <c r="AC30" s="77">
        <f>VLOOKUP(A30,JanApport,MATCH($AC$4,'Jan 2022 Apport'!$3:$3,0),FALSE)</f>
        <v>100321</v>
      </c>
      <c r="AD30" s="77">
        <f>VLOOKUP(A30,JanApport,MATCH($AD$4,'Jan 2022 Apport'!$3:$3,0),FALSE)*VLOOKUP(A30,JanApport,MATCH($AD$3,'Jan 2022 Apport'!$3:$3,0),FALSE)</f>
        <v>108466.62000000001</v>
      </c>
      <c r="AE30" s="77">
        <f>VLOOKUP(A30,JanApport,MATCH($AE$4,'Jan 2022 Apport'!$3:$3,0),FALSE)</f>
        <v>48483</v>
      </c>
      <c r="AF30" s="77">
        <f>VLOOKUP(A30,JanApport,MATCH($AF$4,'Jan 2022 Apport'!$3:$3,0),FALSE)*VLOOKUP(A30,JanApport,MATCH($AF$3,'Jan 2022 Apport'!$3:$3,0),FALSE)</f>
        <v>52420.18</v>
      </c>
      <c r="AG30" s="77">
        <f t="shared" si="9"/>
        <v>101507.296294</v>
      </c>
      <c r="AH30" s="77">
        <f t="shared" si="4"/>
        <v>144895.57743400004</v>
      </c>
      <c r="AI30" s="77">
        <f t="shared" si="5"/>
        <v>80819.594016556002</v>
      </c>
      <c r="AJ30" s="3">
        <f>VLOOKUP(A30,JanApport,MATCH($AJ$4,'Jan 2022 Apport'!$3:$3,0),FALSE)</f>
        <v>238221.52</v>
      </c>
      <c r="AK30" s="3">
        <f>VLOOKUP(A30,JanApport,MATCH($AK$4,'Jan 2022 Apport'!$3:$3,0),FALSE)</f>
        <v>5.2240000000000002</v>
      </c>
      <c r="AL30" s="117">
        <f t="shared" si="10"/>
        <v>2111624.3600000003</v>
      </c>
      <c r="AM30" s="117">
        <f>VLOOKUP(A30,JanApport,MATCH($AM$4,'Jan 2022 Apport'!$3:$3,0),FALSE)</f>
        <v>0</v>
      </c>
      <c r="AN30" s="117">
        <f>VLOOKUP(A30,JanApport,MATCH($AN$4,'Jan 2022 Apport'!$3:$3,0),FALSE)</f>
        <v>15531.12</v>
      </c>
    </row>
    <row r="31" spans="1:43">
      <c r="A31" s="2" t="s">
        <v>1226</v>
      </c>
      <c r="B31" s="2" t="s">
        <v>1227</v>
      </c>
      <c r="C31" s="2" t="s">
        <v>1267</v>
      </c>
      <c r="D31" s="118">
        <f>VLOOKUP(A31,JanApport,MATCH($D$4,'Jan 2022 Apport'!$3:$3,FALSE),FALSE)</f>
        <v>1754919.06</v>
      </c>
      <c r="E31" s="30">
        <f>VLOOKUP(A31,JanApport,MATCH($E$2,'Jan 2022 Apport'!$3:$3,0),FALSE)+VLOOKUP(A31,JanApport,MATCH($E$3,'Jan 2022 Apport'!$3:$3,0),FALSE)+VLOOKUP(A31,JanApport,MATCH($E$4,'Jan 2022 Apport'!$3:$3,0),FALSE)</f>
        <v>0</v>
      </c>
      <c r="F31" s="118">
        <f t="shared" si="11"/>
        <v>1754919.06</v>
      </c>
      <c r="G31" s="117">
        <f>VLOOKUP(A31,JanApport,MATCH($G$4,'Jan 2022 Apport'!$3:$3,0),FALSE)</f>
        <v>0</v>
      </c>
      <c r="H31" s="117">
        <f>VLOOKUP(A31,JanApport,MATCH($H$3,'Jan 2022 Apport'!$3:$3,0),FALSE)+VLOOKUP(A31,JanApport,MATCH($H$2,'Jan 2022 Apport'!$3:$3,0),FALSE)+VLOOKUP(A31,JanApport,MATCH($H$4,'Jan 2022 Apport'!$3:$3,0),FALSE)</f>
        <v>129939.47000000002</v>
      </c>
      <c r="I31" s="117">
        <f t="shared" si="13"/>
        <v>129939.47000000002</v>
      </c>
      <c r="J31" s="117">
        <f>VLOOKUP(A31,JanApport,MATCH($J$4,'Jan 2022 Apport'!$3:$3,0),FALSE)</f>
        <v>47195.07</v>
      </c>
      <c r="K31" s="117">
        <f>VLOOKUP(A31,JanApport,MATCH($K$4,'Jan 2022 Apport'!$3:$3,0),FALSE)</f>
        <v>0</v>
      </c>
      <c r="L31" s="117">
        <f t="shared" si="12"/>
        <v>47195.07</v>
      </c>
      <c r="M31" s="117">
        <f>VLOOKUP(A31,JanApport,MATCH($M$4,'Jan 2022 Apport'!$3:$3,0),FALSE)</f>
        <v>53370.12</v>
      </c>
      <c r="N31" s="117">
        <f>VLOOKUP(A31,JanApport,MATCH($N$4,'Jan 2022 Apport'!$3:$3,0),FALSE)</f>
        <v>16316.99</v>
      </c>
      <c r="O31" s="117">
        <f>VLOOKUP(A31,JanApport,MATCH($O$4,'Jan 2022 Apport'!$3:$3,0),FALSE)</f>
        <v>0</v>
      </c>
      <c r="P31" s="121">
        <f>IFERROR((VLOOKUP(A31,ExcessLevy!A:G,3,FALSE)*0.28),0)+IFERROR((VLOOKUP(A31,ExcessLevy!A:G,6,FALSE)*0.72),0)</f>
        <v>0</v>
      </c>
      <c r="Q31" s="121">
        <f>IFERROR((VLOOKUP(A31,ExcessLevy!A:G,4,FALSE)*0.4738),0)+IFERROR((VLOOKUP(A31,ExcessLevy!A:G,7,FALSE)*0.5262),0)</f>
        <v>0</v>
      </c>
      <c r="R31">
        <f>VLOOKUP(A31,JanApport,MATCH($R$4,'Jan 2022 Apport'!$3:$3,0),FALSE)</f>
        <v>0</v>
      </c>
      <c r="S31">
        <f>VLOOKUP(A31,JanApport,MATCH($S$4,'Jan 2022 Apport'!$3:$3,0),FALSE)</f>
        <v>0</v>
      </c>
      <c r="T31">
        <f>VLOOKUP(A31,JanApport,MATCH($T$4,'Jan 2022 Apport'!$3:$3,0),FALSE)</f>
        <v>0</v>
      </c>
      <c r="U31" s="132">
        <f>IFERROR(VLOOKUP(A31,JanApport,MATCH($U$4,'Jan 2022 Apport'!$3:$3,0),FALSE)/R31,0)</f>
        <v>0</v>
      </c>
      <c r="V31" s="30">
        <f>IFERROR(((VLOOKUP(A31,JanApport,MATCH($V$4,'Jan 2022 Apport'!$3:$3,0),FALSE)+VLOOKUP(A31,JanApport,MATCH($V$3,'Jan 2022 Apport'!$3:$3,0),FALSE))/(S31+T31)),0)</f>
        <v>0</v>
      </c>
      <c r="W31" s="30">
        <f t="shared" si="8"/>
        <v>9095.3080904708331</v>
      </c>
      <c r="X31">
        <f>VLOOKUP(A31,JanApport,MATCH($X$4,'Jan 2022 Apport'!$3:$3,0),FALSE)</f>
        <v>4.8578999999999997E-2</v>
      </c>
      <c r="Y31">
        <f>VLOOKUP(A31,JanApport,MATCH($Y$4,'Jan 2022 Apport'!$3:$3,0),FALSE)</f>
        <v>4.0270000000000002E-3</v>
      </c>
      <c r="Z31">
        <f>VLOOKUP(A31,JanApport,MATCH($Z$4,'Jan 2022 Apport'!$3:$3,0),FALSE)</f>
        <v>1.7100000000000001E-2</v>
      </c>
      <c r="AA31" s="77">
        <f>VLOOKUP(A31,JanApport,MATCH($AA$4,'Jan 2022 Apport'!$3:$3,0),FALSE)*VLOOKUP(A31,JanApport,MATCH($AA$3,'Jan 2022 Apport'!$3:$3,0),FALSE)</f>
        <v>79750.3</v>
      </c>
      <c r="AB31" s="77">
        <f>VLOOKUP(A31,JanApport,MATCH($AB$4,'Jan 2022 Apport'!$3:$3,0),FALSE)*VLOOKUP(A31,JanApport,MATCH($AB$3,'Jan 2022 Apport'!$3:$3,0),FALSE)</f>
        <v>81345.659999999989</v>
      </c>
      <c r="AC31" s="77">
        <f>VLOOKUP(A31,JanApport,MATCH($AC$4,'Jan 2022 Apport'!$3:$3,0),FALSE)</f>
        <v>100321</v>
      </c>
      <c r="AD31" s="77">
        <f>VLOOKUP(A31,JanApport,MATCH($AD$4,'Jan 2022 Apport'!$3:$3,0),FALSE)*VLOOKUP(A31,JanApport,MATCH($AD$3,'Jan 2022 Apport'!$3:$3,0),FALSE)</f>
        <v>120745.86</v>
      </c>
      <c r="AE31" s="77">
        <f>VLOOKUP(A31,JanApport,MATCH($AE$4,'Jan 2022 Apport'!$3:$3,0),FALSE)</f>
        <v>48483</v>
      </c>
      <c r="AF31" s="77">
        <f>VLOOKUP(A31,JanApport,MATCH($AF$4,'Jan 2022 Apport'!$3:$3,0),FALSE)*VLOOKUP(A31,JanApport,MATCH($AF$3,'Jan 2022 Apport'!$3:$3,0),FALSE)</f>
        <v>58354.539999999994</v>
      </c>
      <c r="AG31" s="77">
        <f t="shared" si="9"/>
        <v>111657.36908199999</v>
      </c>
      <c r="AH31" s="77">
        <f t="shared" si="4"/>
        <v>159884.84570200002</v>
      </c>
      <c r="AI31" s="77">
        <f t="shared" si="5"/>
        <v>87896.402584467985</v>
      </c>
      <c r="AJ31" s="3">
        <f>VLOOKUP(A31,JanApport,MATCH($AJ$4,'Jan 2022 Apport'!$3:$3,0),FALSE)</f>
        <v>220948.35</v>
      </c>
      <c r="AK31" s="3">
        <f>VLOOKUP(A31,JanApport,MATCH($AK$4,'Jan 2022 Apport'!$3:$3,0),FALSE)</f>
        <v>0</v>
      </c>
      <c r="AL31" s="117">
        <f t="shared" si="10"/>
        <v>2001740.7100000002</v>
      </c>
      <c r="AM31" s="117">
        <f>VLOOKUP(A31,JanApport,MATCH($AM$4,'Jan 2022 Apport'!$3:$3,0),FALSE)</f>
        <v>0</v>
      </c>
      <c r="AN31" s="117">
        <f>VLOOKUP(A31,JanApport,MATCH($AN$4,'Jan 2022 Apport'!$3:$3,0),FALSE)</f>
        <v>16357.8</v>
      </c>
    </row>
    <row r="32" spans="1:43">
      <c r="A32" s="2" t="s">
        <v>39</v>
      </c>
      <c r="B32" s="2" t="s">
        <v>40</v>
      </c>
      <c r="C32" s="2" t="s">
        <v>1267</v>
      </c>
      <c r="D32" s="118">
        <f>VLOOKUP(A32,JanApport,MATCH($D$4,'Jan 2022 Apport'!$3:$3,FALSE),FALSE)</f>
        <v>11002774.25</v>
      </c>
      <c r="E32" s="30">
        <f>VLOOKUP(A32,JanApport,MATCH($E$2,'Jan 2022 Apport'!$3:$3,0),FALSE)+VLOOKUP(A32,JanApport,MATCH($E$3,'Jan 2022 Apport'!$3:$3,0),FALSE)+VLOOKUP(A32,JanApport,MATCH($E$4,'Jan 2022 Apport'!$3:$3,0),FALSE)</f>
        <v>1559310.3199999998</v>
      </c>
      <c r="F32" s="118">
        <f t="shared" si="11"/>
        <v>9443463.9299999997</v>
      </c>
      <c r="G32" s="117">
        <f>VLOOKUP(A32,JanApport,MATCH($G$4,'Jan 2022 Apport'!$3:$3,0),FALSE)</f>
        <v>19777.47</v>
      </c>
      <c r="H32" s="117">
        <f>VLOOKUP(A32,JanApport,MATCH($H$3,'Jan 2022 Apport'!$3:$3,0),FALSE)+VLOOKUP(A32,JanApport,MATCH($H$2,'Jan 2022 Apport'!$3:$3,0),FALSE)+VLOOKUP(A32,JanApport,MATCH($H$4,'Jan 2022 Apport'!$3:$3,0),FALSE)</f>
        <v>952818.04</v>
      </c>
      <c r="I32" s="117">
        <f t="shared" si="13"/>
        <v>972595.51</v>
      </c>
      <c r="J32" s="117">
        <f>VLOOKUP(A32,JanApport,MATCH($J$4,'Jan 2022 Apport'!$3:$3,0),FALSE)</f>
        <v>940333.39</v>
      </c>
      <c r="K32" s="117">
        <f>VLOOKUP(A32,JanApport,MATCH($K$4,'Jan 2022 Apport'!$3:$3,0),FALSE)</f>
        <v>106451.83</v>
      </c>
      <c r="L32" s="117">
        <f t="shared" si="12"/>
        <v>1046785.22</v>
      </c>
      <c r="M32" s="117">
        <f>VLOOKUP(A32,JanApport,MATCH($M$4,'Jan 2022 Apport'!$3:$3,0),FALSE)</f>
        <v>330877.24</v>
      </c>
      <c r="N32" s="117">
        <f>VLOOKUP(A32,JanApport,MATCH($N$4,'Jan 2022 Apport'!$3:$3,0),FALSE)</f>
        <v>233042.45</v>
      </c>
      <c r="O32" s="117">
        <f>VLOOKUP(A32,JanApport,MATCH($O$4,'Jan 2022 Apport'!$3:$3,0),FALSE)</f>
        <v>0</v>
      </c>
      <c r="P32" s="121">
        <f>IFERROR((VLOOKUP(A32,ExcessLevy!A:G,3,FALSE)*0.28),0)+IFERROR((VLOOKUP(A32,ExcessLevy!A:G,6,FALSE)*0.72),0)</f>
        <v>0</v>
      </c>
      <c r="Q32" s="121">
        <f>IFERROR((VLOOKUP(A32,ExcessLevy!A:G,4,FALSE)*0.4738),0)+IFERROR((VLOOKUP(A32,ExcessLevy!A:G,7,FALSE)*0.5262),0)</f>
        <v>3380011.4650459997</v>
      </c>
      <c r="R32">
        <f>VLOOKUP(A32,JanApport,MATCH($R$4,'Jan 2022 Apport'!$3:$3,0),FALSE)</f>
        <v>0</v>
      </c>
      <c r="S32">
        <f>VLOOKUP(A32,JanApport,MATCH($S$4,'Jan 2022 Apport'!$3:$3,0),FALSE)</f>
        <v>44.46</v>
      </c>
      <c r="T32">
        <f>VLOOKUP(A32,JanApport,MATCH($T$4,'Jan 2022 Apport'!$3:$3,0),FALSE)</f>
        <v>130.35</v>
      </c>
      <c r="U32" s="132">
        <f>IFERROR(VLOOKUP(A32,JanApport,MATCH($U$4,'Jan 2022 Apport'!$3:$3,0),FALSE)/R32,0)</f>
        <v>0</v>
      </c>
      <c r="V32" s="30">
        <f>IFERROR(((VLOOKUP(A32,JanApport,MATCH($V$4,'Jan 2022 Apport'!$3:$3,0),FALSE)+VLOOKUP(A32,JanApport,MATCH($V$3,'Jan 2022 Apport'!$3:$3,0),FALSE))/(S32+T32)),0)</f>
        <v>8920.0292889422799</v>
      </c>
      <c r="W32" s="30">
        <f t="shared" si="8"/>
        <v>8083.6246967786601</v>
      </c>
      <c r="X32">
        <f>VLOOKUP(A32,JanApport,MATCH($X$4,'Jan 2022 Apport'!$3:$3,0),FALSE)</f>
        <v>4.8578999999999997E-2</v>
      </c>
      <c r="Y32">
        <f>VLOOKUP(A32,JanApport,MATCH($Y$4,'Jan 2022 Apport'!$3:$3,0),FALSE)</f>
        <v>4.0270000000000002E-3</v>
      </c>
      <c r="Z32">
        <f>VLOOKUP(A32,JanApport,MATCH($Z$4,'Jan 2022 Apport'!$3:$3,0),FALSE)</f>
        <v>1.7100000000000001E-2</v>
      </c>
      <c r="AA32" s="77">
        <f>VLOOKUP(A32,JanApport,MATCH($AA$4,'Jan 2022 Apport'!$3:$3,0),FALSE)*VLOOKUP(A32,JanApport,MATCH($AA$3,'Jan 2022 Apport'!$3:$3,0),FALSE)</f>
        <v>67585</v>
      </c>
      <c r="AB32" s="77">
        <f>VLOOKUP(A32,JanApport,MATCH($AB$4,'Jan 2022 Apport'!$3:$3,0),FALSE)*VLOOKUP(A32,JanApport,MATCH($AB$3,'Jan 2022 Apport'!$3:$3,0),FALSE)</f>
        <v>68937</v>
      </c>
      <c r="AC32" s="77">
        <f>VLOOKUP(A32,JanApport,MATCH($AC$4,'Jan 2022 Apport'!$3:$3,0),FALSE)</f>
        <v>100321</v>
      </c>
      <c r="AD32" s="77">
        <f>VLOOKUP(A32,JanApport,MATCH($AD$4,'Jan 2022 Apport'!$3:$3,0),FALSE)*VLOOKUP(A32,JanApport,MATCH($AD$3,'Jan 2022 Apport'!$3:$3,0),FALSE)</f>
        <v>102327</v>
      </c>
      <c r="AE32" s="77">
        <f>VLOOKUP(A32,JanApport,MATCH($AE$4,'Jan 2022 Apport'!$3:$3,0),FALSE)</f>
        <v>48483</v>
      </c>
      <c r="AF32" s="77">
        <f>VLOOKUP(A32,JanApport,MATCH($AF$4,'Jan 2022 Apport'!$3:$3,0),FALSE)*VLOOKUP(A32,JanApport,MATCH($AF$3,'Jan 2022 Apport'!$3:$3,0),FALSE)</f>
        <v>49453</v>
      </c>
      <c r="AG32" s="77">
        <f t="shared" si="9"/>
        <v>96432.259900000005</v>
      </c>
      <c r="AH32" s="77">
        <f t="shared" si="4"/>
        <v>137400.94330000001</v>
      </c>
      <c r="AI32" s="77">
        <f t="shared" si="5"/>
        <v>77281.189732599989</v>
      </c>
      <c r="AJ32" s="3">
        <f>VLOOKUP(A32,JanApport,MATCH($AJ$4,'Jan 2022 Apport'!$3:$3,0),FALSE)</f>
        <v>1376902.05</v>
      </c>
      <c r="AK32" s="3">
        <f>VLOOKUP(A32,JanApport,MATCH($AK$4,'Jan 2022 Apport'!$3:$3,0),FALSE)</f>
        <v>22.338999999999999</v>
      </c>
      <c r="AL32" s="117">
        <f t="shared" si="10"/>
        <v>13479622.84</v>
      </c>
      <c r="AM32" s="117">
        <f>VLOOKUP(A32,JanApport,MATCH($AM$4,'Jan 2022 Apport'!$3:$3,0),FALSE)</f>
        <v>0</v>
      </c>
      <c r="AN32" s="117">
        <f>VLOOKUP(A32,JanApport,MATCH($AN$4,'Jan 2022 Apport'!$3:$3,0),FALSE)</f>
        <v>76416.479999999996</v>
      </c>
    </row>
    <row r="33" spans="1:40">
      <c r="A33" s="2" t="s">
        <v>37</v>
      </c>
      <c r="B33" s="2" t="s">
        <v>38</v>
      </c>
      <c r="C33" s="2" t="s">
        <v>1267</v>
      </c>
      <c r="D33" s="118">
        <f>VLOOKUP(A33,JanApport,MATCH($D$4,'Jan 2022 Apport'!$3:$3,FALSE),FALSE)</f>
        <v>14069336.34</v>
      </c>
      <c r="E33" s="30">
        <f>VLOOKUP(A33,JanApport,MATCH($E$2,'Jan 2022 Apport'!$3:$3,0),FALSE)+VLOOKUP(A33,JanApport,MATCH($E$3,'Jan 2022 Apport'!$3:$3,0),FALSE)+VLOOKUP(A33,JanApport,MATCH($E$4,'Jan 2022 Apport'!$3:$3,0),FALSE)</f>
        <v>1629026.3</v>
      </c>
      <c r="F33" s="118">
        <f t="shared" si="11"/>
        <v>12440310.039999999</v>
      </c>
      <c r="G33" s="117">
        <f>VLOOKUP(A33,JanApport,MATCH($G$4,'Jan 2022 Apport'!$3:$3,0),FALSE)</f>
        <v>185509.56</v>
      </c>
      <c r="H33" s="117">
        <f>VLOOKUP(A33,JanApport,MATCH($H$3,'Jan 2022 Apport'!$3:$3,0),FALSE)+VLOOKUP(A33,JanApport,MATCH($H$2,'Jan 2022 Apport'!$3:$3,0),FALSE)+VLOOKUP(A33,JanApport,MATCH($H$4,'Jan 2022 Apport'!$3:$3,0),FALSE)</f>
        <v>1640665.9900000002</v>
      </c>
      <c r="I33" s="117">
        <f t="shared" si="13"/>
        <v>1826175.5500000003</v>
      </c>
      <c r="J33" s="117">
        <f>VLOOKUP(A33,JanApport,MATCH($J$4,'Jan 2022 Apport'!$3:$3,0),FALSE)</f>
        <v>478704.07</v>
      </c>
      <c r="K33" s="117">
        <f>VLOOKUP(A33,JanApport,MATCH($K$4,'Jan 2022 Apport'!$3:$3,0),FALSE)</f>
        <v>78455.360000000001</v>
      </c>
      <c r="L33" s="117">
        <f t="shared" si="12"/>
        <v>557159.43000000005</v>
      </c>
      <c r="M33" s="117">
        <f>VLOOKUP(A33,JanApport,MATCH($M$4,'Jan 2022 Apport'!$3:$3,0),FALSE)</f>
        <v>417887.4</v>
      </c>
      <c r="N33" s="117">
        <f>VLOOKUP(A33,JanApport,MATCH($N$4,'Jan 2022 Apport'!$3:$3,0),FALSE)</f>
        <v>311263.83</v>
      </c>
      <c r="O33" s="117">
        <f>VLOOKUP(A33,JanApport,MATCH($O$4,'Jan 2022 Apport'!$3:$3,0),FALSE)</f>
        <v>45666.879999999997</v>
      </c>
      <c r="P33" s="121">
        <f>IFERROR((VLOOKUP(A33,ExcessLevy!A:G,3,FALSE)*0.28),0)+IFERROR((VLOOKUP(A33,ExcessLevy!A:G,6,FALSE)*0.72),0)</f>
        <v>1014061.3160000001</v>
      </c>
      <c r="Q33" s="121">
        <f>IFERROR((VLOOKUP(A33,ExcessLevy!A:G,4,FALSE)*0.4738),0)+IFERROR((VLOOKUP(A33,ExcessLevy!A:G,7,FALSE)*0.5262),0)</f>
        <v>1879853.9922000002</v>
      </c>
      <c r="R33">
        <f>VLOOKUP(A33,JanApport,MATCH($R$4,'Jan 2022 Apport'!$3:$3,0),FALSE)</f>
        <v>0</v>
      </c>
      <c r="S33">
        <f>VLOOKUP(A33,JanApport,MATCH($S$4,'Jan 2022 Apport'!$3:$3,0),FALSE)</f>
        <v>54.57</v>
      </c>
      <c r="T33">
        <f>VLOOKUP(A33,JanApport,MATCH($T$4,'Jan 2022 Apport'!$3:$3,0),FALSE)</f>
        <v>124.28</v>
      </c>
      <c r="U33" s="132">
        <f>IFERROR(VLOOKUP(A33,JanApport,MATCH($U$4,'Jan 2022 Apport'!$3:$3,0),FALSE)/R33,0)</f>
        <v>0</v>
      </c>
      <c r="V33" s="30">
        <f>IFERROR(((VLOOKUP(A33,JanApport,MATCH($V$4,'Jan 2022 Apport'!$3:$3,0),FALSE)+VLOOKUP(A33,JanApport,MATCH($V$3,'Jan 2022 Apport'!$3:$3,0),FALSE))/(S33+T33)),0)</f>
        <v>9108.3382722952192</v>
      </c>
      <c r="W33" s="30">
        <f t="shared" si="8"/>
        <v>8083.6246967786601</v>
      </c>
      <c r="X33">
        <f>VLOOKUP(A33,JanApport,MATCH($X$4,'Jan 2022 Apport'!$3:$3,0),FALSE)</f>
        <v>4.8578999999999997E-2</v>
      </c>
      <c r="Y33">
        <f>VLOOKUP(A33,JanApport,MATCH($Y$4,'Jan 2022 Apport'!$3:$3,0),FALSE)</f>
        <v>4.0270000000000002E-3</v>
      </c>
      <c r="Z33">
        <f>VLOOKUP(A33,JanApport,MATCH($Z$4,'Jan 2022 Apport'!$3:$3,0),FALSE)</f>
        <v>1.7100000000000001E-2</v>
      </c>
      <c r="AA33" s="77">
        <f>VLOOKUP(A33,JanApport,MATCH($AA$4,'Jan 2022 Apport'!$3:$3,0),FALSE)*VLOOKUP(A33,JanApport,MATCH($AA$3,'Jan 2022 Apport'!$3:$3,0),FALSE)</f>
        <v>67585</v>
      </c>
      <c r="AB33" s="77">
        <f>VLOOKUP(A33,JanApport,MATCH($AB$4,'Jan 2022 Apport'!$3:$3,0),FALSE)*VLOOKUP(A33,JanApport,MATCH($AB$3,'Jan 2022 Apport'!$3:$3,0),FALSE)</f>
        <v>68937</v>
      </c>
      <c r="AC33" s="77">
        <f>VLOOKUP(A33,JanApport,MATCH($AC$4,'Jan 2022 Apport'!$3:$3,0),FALSE)</f>
        <v>100321</v>
      </c>
      <c r="AD33" s="77">
        <f>VLOOKUP(A33,JanApport,MATCH($AD$4,'Jan 2022 Apport'!$3:$3,0),FALSE)*VLOOKUP(A33,JanApport,MATCH($AD$3,'Jan 2022 Apport'!$3:$3,0),FALSE)</f>
        <v>102327</v>
      </c>
      <c r="AE33" s="77">
        <f>VLOOKUP(A33,JanApport,MATCH($AE$4,'Jan 2022 Apport'!$3:$3,0),FALSE)</f>
        <v>48483</v>
      </c>
      <c r="AF33" s="77">
        <f>VLOOKUP(A33,JanApport,MATCH($AF$4,'Jan 2022 Apport'!$3:$3,0),FALSE)*VLOOKUP(A33,JanApport,MATCH($AF$3,'Jan 2022 Apport'!$3:$3,0),FALSE)</f>
        <v>49453</v>
      </c>
      <c r="AG33" s="77">
        <f t="shared" si="9"/>
        <v>96432.259900000005</v>
      </c>
      <c r="AH33" s="77">
        <f t="shared" si="4"/>
        <v>137400.94330000001</v>
      </c>
      <c r="AI33" s="77">
        <f t="shared" si="5"/>
        <v>77281.189732599989</v>
      </c>
      <c r="AJ33" s="3">
        <f>VLOOKUP(A33,JanApport,MATCH($AJ$4,'Jan 2022 Apport'!$3:$3,0),FALSE)</f>
        <v>1894951.98</v>
      </c>
      <c r="AK33" s="3">
        <f>VLOOKUP(A33,JanApport,MATCH($AK$4,'Jan 2022 Apport'!$3:$3,0),FALSE)</f>
        <v>31.786999999999999</v>
      </c>
      <c r="AL33" s="117">
        <f t="shared" si="10"/>
        <v>17149034.07</v>
      </c>
      <c r="AM33" s="117">
        <f>VLOOKUP(A33,JanApport,MATCH($AM$4,'Jan 2022 Apport'!$3:$3,0),FALSE)</f>
        <v>0</v>
      </c>
      <c r="AN33" s="117">
        <f>VLOOKUP(A33,JanApport,MATCH($AN$4,'Jan 2022 Apport'!$3:$3,0),FALSE)</f>
        <v>109380.77</v>
      </c>
    </row>
    <row r="34" spans="1:40">
      <c r="A34" s="2" t="s">
        <v>81</v>
      </c>
      <c r="B34" s="2" t="s">
        <v>82</v>
      </c>
      <c r="C34" s="2" t="s">
        <v>1267</v>
      </c>
      <c r="D34" s="118">
        <f>VLOOKUP(A34,JanApport,MATCH($D$4,'Jan 2022 Apport'!$3:$3,FALSE),FALSE)</f>
        <v>12207224.15</v>
      </c>
      <c r="E34" s="30">
        <f>VLOOKUP(A34,JanApport,MATCH($E$2,'Jan 2022 Apport'!$3:$3,0),FALSE)+VLOOKUP(A34,JanApport,MATCH($E$3,'Jan 2022 Apport'!$3:$3,0),FALSE)+VLOOKUP(A34,JanApport,MATCH($E$4,'Jan 2022 Apport'!$3:$3,0),FALSE)</f>
        <v>678863.66999999993</v>
      </c>
      <c r="F34" s="118">
        <f t="shared" si="11"/>
        <v>11528360.48</v>
      </c>
      <c r="G34" s="117">
        <f>VLOOKUP(A34,JanApport,MATCH($G$4,'Jan 2022 Apport'!$3:$3,0),FALSE)</f>
        <v>148335.17000000001</v>
      </c>
      <c r="H34" s="117">
        <f>VLOOKUP(A34,JanApport,MATCH($H$3,'Jan 2022 Apport'!$3:$3,0),FALSE)+VLOOKUP(A34,JanApport,MATCH($H$2,'Jan 2022 Apport'!$3:$3,0),FALSE)+VLOOKUP(A34,JanApport,MATCH($H$4,'Jan 2022 Apport'!$3:$3,0),FALSE)</f>
        <v>1636052.7799999998</v>
      </c>
      <c r="I34" s="117">
        <f t="shared" si="13"/>
        <v>1784387.9499999997</v>
      </c>
      <c r="J34" s="117">
        <f>VLOOKUP(A34,JanApport,MATCH($J$4,'Jan 2022 Apport'!$3:$3,0),FALSE)</f>
        <v>882879.17</v>
      </c>
      <c r="K34" s="117">
        <f>VLOOKUP(A34,JanApport,MATCH($K$4,'Jan 2022 Apport'!$3:$3,0),FALSE)</f>
        <v>88226.43</v>
      </c>
      <c r="L34" s="117">
        <f t="shared" si="12"/>
        <v>971105.60000000009</v>
      </c>
      <c r="M34" s="117">
        <f>VLOOKUP(A34,JanApport,MATCH($M$4,'Jan 2022 Apport'!$3:$3,0),FALSE)</f>
        <v>422059.25</v>
      </c>
      <c r="N34" s="117">
        <f>VLOOKUP(A34,JanApport,MATCH($N$4,'Jan 2022 Apport'!$3:$3,0),FALSE)</f>
        <v>32872.49</v>
      </c>
      <c r="O34" s="117">
        <f>VLOOKUP(A34,JanApport,MATCH($O$4,'Jan 2022 Apport'!$3:$3,0),FALSE)</f>
        <v>39623.1</v>
      </c>
      <c r="P34" s="121">
        <f>IFERROR((VLOOKUP(A34,ExcessLevy!A:G,3,FALSE)*0.28),0)+IFERROR((VLOOKUP(A34,ExcessLevy!A:G,6,FALSE)*0.72),0)</f>
        <v>329638.30680000002</v>
      </c>
      <c r="Q34" s="121">
        <f>IFERROR((VLOOKUP(A34,ExcessLevy!A:G,4,FALSE)*0.4738),0)+IFERROR((VLOOKUP(A34,ExcessLevy!A:G,7,FALSE)*0.5262),0)</f>
        <v>2480240</v>
      </c>
      <c r="R34">
        <f>VLOOKUP(A34,JanApport,MATCH($R$4,'Jan 2022 Apport'!$3:$3,0),FALSE)</f>
        <v>0</v>
      </c>
      <c r="S34">
        <f>VLOOKUP(A34,JanApport,MATCH($S$4,'Jan 2022 Apport'!$3:$3,0),FALSE)</f>
        <v>5.44</v>
      </c>
      <c r="T34">
        <f>VLOOKUP(A34,JanApport,MATCH($T$4,'Jan 2022 Apport'!$3:$3,0),FALSE)</f>
        <v>70.650000000000006</v>
      </c>
      <c r="U34" s="132">
        <f>IFERROR(VLOOKUP(A34,JanApport,MATCH($U$4,'Jan 2022 Apport'!$3:$3,0),FALSE)/R34,0)</f>
        <v>0</v>
      </c>
      <c r="V34" s="30">
        <f>IFERROR(((VLOOKUP(A34,JanApport,MATCH($V$4,'Jan 2022 Apport'!$3:$3,0),FALSE)+VLOOKUP(A34,JanApport,MATCH($V$3,'Jan 2022 Apport'!$3:$3,0),FALSE))/(S34+T34)),0)</f>
        <v>8921.8513602313033</v>
      </c>
      <c r="W34" s="30">
        <f t="shared" si="8"/>
        <v>8083.6246967786601</v>
      </c>
      <c r="X34">
        <f>VLOOKUP(A34,JanApport,MATCH($X$4,'Jan 2022 Apport'!$3:$3,0),FALSE)</f>
        <v>4.8578999999999997E-2</v>
      </c>
      <c r="Y34">
        <f>VLOOKUP(A34,JanApport,MATCH($Y$4,'Jan 2022 Apport'!$3:$3,0),FALSE)</f>
        <v>4.0270000000000002E-3</v>
      </c>
      <c r="Z34">
        <f>VLOOKUP(A34,JanApport,MATCH($Z$4,'Jan 2022 Apport'!$3:$3,0),FALSE)</f>
        <v>1.7100000000000001E-2</v>
      </c>
      <c r="AA34" s="77">
        <f>VLOOKUP(A34,JanApport,MATCH($AA$4,'Jan 2022 Apport'!$3:$3,0),FALSE)*VLOOKUP(A34,JanApport,MATCH($AA$3,'Jan 2022 Apport'!$3:$3,0),FALSE)</f>
        <v>67585</v>
      </c>
      <c r="AB34" s="77">
        <f>VLOOKUP(A34,JanApport,MATCH($AB$4,'Jan 2022 Apport'!$3:$3,0),FALSE)*VLOOKUP(A34,JanApport,MATCH($AB$3,'Jan 2022 Apport'!$3:$3,0),FALSE)</f>
        <v>68937</v>
      </c>
      <c r="AC34" s="77">
        <f>VLOOKUP(A34,JanApport,MATCH($AC$4,'Jan 2022 Apport'!$3:$3,0),FALSE)</f>
        <v>100321</v>
      </c>
      <c r="AD34" s="77">
        <f>VLOOKUP(A34,JanApport,MATCH($AD$4,'Jan 2022 Apport'!$3:$3,0),FALSE)*VLOOKUP(A34,JanApport,MATCH($AD$3,'Jan 2022 Apport'!$3:$3,0),FALSE)</f>
        <v>102327</v>
      </c>
      <c r="AE34" s="77">
        <f>VLOOKUP(A34,JanApport,MATCH($AE$4,'Jan 2022 Apport'!$3:$3,0),FALSE)</f>
        <v>48483</v>
      </c>
      <c r="AF34" s="77">
        <f>VLOOKUP(A34,JanApport,MATCH($AF$4,'Jan 2022 Apport'!$3:$3,0),FALSE)*VLOOKUP(A34,JanApport,MATCH($AF$3,'Jan 2022 Apport'!$3:$3,0),FALSE)</f>
        <v>49453</v>
      </c>
      <c r="AG34" s="77">
        <f t="shared" si="9"/>
        <v>96432.259900000005</v>
      </c>
      <c r="AH34" s="77">
        <f t="shared" si="4"/>
        <v>137400.94330000001</v>
      </c>
      <c r="AI34" s="77">
        <f t="shared" si="5"/>
        <v>77281.189732599989</v>
      </c>
      <c r="AJ34" s="3">
        <f>VLOOKUP(A34,JanApport,MATCH($AJ$4,'Jan 2022 Apport'!$3:$3,0),FALSE)</f>
        <v>1762247.14</v>
      </c>
      <c r="AK34" s="3">
        <f>VLOOKUP(A34,JanApport,MATCH($AK$4,'Jan 2022 Apport'!$3:$3,0),FALSE)</f>
        <v>27.346</v>
      </c>
      <c r="AL34" s="117">
        <f t="shared" si="10"/>
        <v>15541137.479999999</v>
      </c>
      <c r="AM34" s="117">
        <f>VLOOKUP(A34,JanApport,MATCH($AM$4,'Jan 2022 Apport'!$3:$3,0),FALSE)</f>
        <v>172091.37</v>
      </c>
      <c r="AN34" s="117">
        <f>VLOOKUP(A34,JanApport,MATCH($AN$4,'Jan 2022 Apport'!$3:$3,0),FALSE)</f>
        <v>95948.02</v>
      </c>
    </row>
    <row r="35" spans="1:40">
      <c r="A35" s="2" t="s">
        <v>1228</v>
      </c>
      <c r="B35" s="2" t="s">
        <v>1229</v>
      </c>
      <c r="C35" s="2" t="s">
        <v>1267</v>
      </c>
      <c r="D35" s="118">
        <f>VLOOKUP(A35,JanApport,MATCH($D$4,'Jan 2022 Apport'!$3:$3,FALSE),FALSE)</f>
        <v>3229654.44</v>
      </c>
      <c r="E35" s="30">
        <f>VLOOKUP(A35,JanApport,MATCH($E$2,'Jan 2022 Apport'!$3:$3,0),FALSE)+VLOOKUP(A35,JanApport,MATCH($E$3,'Jan 2022 Apport'!$3:$3,0),FALSE)+VLOOKUP(A35,JanApport,MATCH($E$4,'Jan 2022 Apport'!$3:$3,0),FALSE)</f>
        <v>0</v>
      </c>
      <c r="F35" s="118">
        <f t="shared" si="11"/>
        <v>3229654.44</v>
      </c>
      <c r="G35" s="117">
        <f>VLOOKUP(A35,JanApport,MATCH($G$4,'Jan 2022 Apport'!$3:$3,0),FALSE)</f>
        <v>0</v>
      </c>
      <c r="H35" s="117">
        <f>VLOOKUP(A35,JanApport,MATCH($H$3,'Jan 2022 Apport'!$3:$3,0),FALSE)+VLOOKUP(A35,JanApport,MATCH($H$2,'Jan 2022 Apport'!$3:$3,0),FALSE)+VLOOKUP(A35,JanApport,MATCH($H$4,'Jan 2022 Apport'!$3:$3,0),FALSE)</f>
        <v>317707.49</v>
      </c>
      <c r="I35" s="117">
        <f t="shared" si="13"/>
        <v>317707.49</v>
      </c>
      <c r="J35" s="117">
        <f>VLOOKUP(A35,JanApport,MATCH($J$4,'Jan 2022 Apport'!$3:$3,0),FALSE)</f>
        <v>47657.04</v>
      </c>
      <c r="K35" s="117">
        <f>VLOOKUP(A35,JanApport,MATCH($K$4,'Jan 2022 Apport'!$3:$3,0),FALSE)</f>
        <v>0</v>
      </c>
      <c r="L35" s="117">
        <f t="shared" si="12"/>
        <v>47657.04</v>
      </c>
      <c r="M35" s="117">
        <f>VLOOKUP(A35,JanApport,MATCH($M$4,'Jan 2022 Apport'!$3:$3,0),FALSE)</f>
        <v>42832.06</v>
      </c>
      <c r="N35" s="117">
        <f>VLOOKUP(A35,JanApport,MATCH($N$4,'Jan 2022 Apport'!$3:$3,0),FALSE)</f>
        <v>0</v>
      </c>
      <c r="O35" s="117">
        <f>VLOOKUP(A35,JanApport,MATCH($O$4,'Jan 2022 Apport'!$3:$3,0),FALSE)</f>
        <v>9858.16</v>
      </c>
      <c r="P35" s="121">
        <f>IFERROR((VLOOKUP(A35,ExcessLevy!A:G,3,FALSE)*0.28),0)+IFERROR((VLOOKUP(A35,ExcessLevy!A:G,6,FALSE)*0.72),0)</f>
        <v>0</v>
      </c>
      <c r="Q35" s="121">
        <f>IFERROR((VLOOKUP(A35,ExcessLevy!A:G,4,FALSE)*0.4738),0)+IFERROR((VLOOKUP(A35,ExcessLevy!A:G,7,FALSE)*0.5262),0)</f>
        <v>0</v>
      </c>
      <c r="R35">
        <f>VLOOKUP(A35,JanApport,MATCH($R$4,'Jan 2022 Apport'!$3:$3,0),FALSE)</f>
        <v>0</v>
      </c>
      <c r="S35">
        <f>VLOOKUP(A35,JanApport,MATCH($S$4,'Jan 2022 Apport'!$3:$3,0),FALSE)</f>
        <v>0</v>
      </c>
      <c r="T35">
        <f>VLOOKUP(A35,JanApport,MATCH($T$4,'Jan 2022 Apport'!$3:$3,0),FALSE)</f>
        <v>0</v>
      </c>
      <c r="U35" s="132">
        <f>IFERROR(VLOOKUP(A35,JanApport,MATCH($U$4,'Jan 2022 Apport'!$3:$3,0),FALSE)/R35,0)</f>
        <v>0</v>
      </c>
      <c r="V35" s="30">
        <f>IFERROR(((VLOOKUP(A35,JanApport,MATCH($V$4,'Jan 2022 Apport'!$3:$3,0),FALSE)+VLOOKUP(A35,JanApport,MATCH($V$3,'Jan 2022 Apport'!$3:$3,0),FALSE))/(S35+T35)),0)</f>
        <v>0</v>
      </c>
      <c r="W35" s="30">
        <f t="shared" si="8"/>
        <v>9095.3080904708331</v>
      </c>
      <c r="X35">
        <f>VLOOKUP(A35,JanApport,MATCH($X$4,'Jan 2022 Apport'!$3:$3,0),FALSE)</f>
        <v>4.8578999999999997E-2</v>
      </c>
      <c r="Y35">
        <f>VLOOKUP(A35,JanApport,MATCH($Y$4,'Jan 2022 Apport'!$3:$3,0),FALSE)</f>
        <v>4.0270000000000002E-3</v>
      </c>
      <c r="Z35">
        <f>VLOOKUP(A35,JanApport,MATCH($Z$4,'Jan 2022 Apport'!$3:$3,0),FALSE)</f>
        <v>1.7100000000000001E-2</v>
      </c>
      <c r="AA35" s="77">
        <f>VLOOKUP(A35,JanApport,MATCH($AA$4,'Jan 2022 Apport'!$3:$3,0),FALSE)*VLOOKUP(A35,JanApport,MATCH($AA$3,'Jan 2022 Apport'!$3:$3,0),FALSE)</f>
        <v>79750.3</v>
      </c>
      <c r="AB35" s="77">
        <f>VLOOKUP(A35,JanApport,MATCH($AB$4,'Jan 2022 Apport'!$3:$3,0),FALSE)*VLOOKUP(A35,JanApport,MATCH($AB$3,'Jan 2022 Apport'!$3:$3,0),FALSE)</f>
        <v>81345.659999999989</v>
      </c>
      <c r="AC35" s="77">
        <f>VLOOKUP(A35,JanApport,MATCH($AC$4,'Jan 2022 Apport'!$3:$3,0),FALSE)</f>
        <v>100321</v>
      </c>
      <c r="AD35" s="77">
        <f>VLOOKUP(A35,JanApport,MATCH($AD$4,'Jan 2022 Apport'!$3:$3,0),FALSE)*VLOOKUP(A35,JanApport,MATCH($AD$3,'Jan 2022 Apport'!$3:$3,0),FALSE)</f>
        <v>120745.86</v>
      </c>
      <c r="AE35" s="77">
        <f>VLOOKUP(A35,JanApport,MATCH($AE$4,'Jan 2022 Apport'!$3:$3,0),FALSE)</f>
        <v>48483</v>
      </c>
      <c r="AF35" s="77">
        <f>VLOOKUP(A35,JanApport,MATCH($AF$4,'Jan 2022 Apport'!$3:$3,0),FALSE)*VLOOKUP(A35,JanApport,MATCH($AF$3,'Jan 2022 Apport'!$3:$3,0),FALSE)</f>
        <v>58354.539999999994</v>
      </c>
      <c r="AG35" s="77">
        <f t="shared" si="9"/>
        <v>111657.36908199999</v>
      </c>
      <c r="AH35" s="77">
        <f t="shared" si="4"/>
        <v>159884.84570200002</v>
      </c>
      <c r="AI35" s="77">
        <f t="shared" si="5"/>
        <v>87896.402584467985</v>
      </c>
      <c r="AJ35" s="3">
        <f>VLOOKUP(A35,JanApport,MATCH($AJ$4,'Jan 2022 Apport'!$3:$3,0),FALSE)</f>
        <v>403915.2</v>
      </c>
      <c r="AK35" s="3">
        <f>VLOOKUP(A35,JanApport,MATCH($AK$4,'Jan 2022 Apport'!$3:$3,0),FALSE)</f>
        <v>13.465999999999999</v>
      </c>
      <c r="AL35" s="117">
        <f t="shared" si="10"/>
        <v>3647709.1900000004</v>
      </c>
      <c r="AM35" s="117">
        <f>VLOOKUP(A35,JanApport,MATCH($AM$4,'Jan 2022 Apport'!$3:$3,0),FALSE)</f>
        <v>0</v>
      </c>
      <c r="AN35" s="117">
        <f>VLOOKUP(A35,JanApport,MATCH($AN$4,'Jan 2022 Apport'!$3:$3,0),FALSE)</f>
        <v>31214.53</v>
      </c>
    </row>
    <row r="36" spans="1:40">
      <c r="A36" s="2" t="s">
        <v>255</v>
      </c>
      <c r="B36" s="2" t="s">
        <v>256</v>
      </c>
      <c r="C36" s="2" t="s">
        <v>1267</v>
      </c>
      <c r="D36" s="118">
        <f>VLOOKUP(A36,JanApport,MATCH($D$4,'Jan 2022 Apport'!$3:$3,FALSE),FALSE)</f>
        <v>912894.34</v>
      </c>
      <c r="E36" s="30">
        <f>VLOOKUP(A36,JanApport,MATCH($E$2,'Jan 2022 Apport'!$3:$3,0),FALSE)+VLOOKUP(A36,JanApport,MATCH($E$3,'Jan 2022 Apport'!$3:$3,0),FALSE)+VLOOKUP(A36,JanApport,MATCH($E$4,'Jan 2022 Apport'!$3:$3,0),FALSE)</f>
        <v>0</v>
      </c>
      <c r="F36" s="118">
        <f t="shared" si="11"/>
        <v>912894.34</v>
      </c>
      <c r="G36" s="117">
        <f>VLOOKUP(A36,JanApport,MATCH($G$4,'Jan 2022 Apport'!$3:$3,0),FALSE)</f>
        <v>0</v>
      </c>
      <c r="H36" s="117">
        <f>VLOOKUP(A36,JanApport,MATCH($H$3,'Jan 2022 Apport'!$3:$3,0),FALSE)+VLOOKUP(A36,JanApport,MATCH($H$2,'Jan 2022 Apport'!$3:$3,0),FALSE)+VLOOKUP(A36,JanApport,MATCH($H$4,'Jan 2022 Apport'!$3:$3,0),FALSE)</f>
        <v>59428.509999999995</v>
      </c>
      <c r="I36" s="117">
        <f t="shared" si="13"/>
        <v>59428.509999999995</v>
      </c>
      <c r="J36" s="117">
        <f>VLOOKUP(A36,JanApport,MATCH($J$4,'Jan 2022 Apport'!$3:$3,0),FALSE)</f>
        <v>106310.57</v>
      </c>
      <c r="K36" s="117">
        <f>VLOOKUP(A36,JanApport,MATCH($K$4,'Jan 2022 Apport'!$3:$3,0),FALSE)</f>
        <v>24887.8</v>
      </c>
      <c r="L36" s="117">
        <f t="shared" si="12"/>
        <v>131198.37</v>
      </c>
      <c r="M36" s="117">
        <f>VLOOKUP(A36,JanApport,MATCH($M$4,'Jan 2022 Apport'!$3:$3,0),FALSE)</f>
        <v>13770.95</v>
      </c>
      <c r="N36" s="117">
        <f>VLOOKUP(A36,JanApport,MATCH($N$4,'Jan 2022 Apport'!$3:$3,0),FALSE)</f>
        <v>0</v>
      </c>
      <c r="O36" s="117">
        <f>VLOOKUP(A36,JanApport,MATCH($O$4,'Jan 2022 Apport'!$3:$3,0),FALSE)</f>
        <v>0</v>
      </c>
      <c r="P36" s="121">
        <f>IFERROR((VLOOKUP(A36,ExcessLevy!A:G,3,FALSE)*0.28),0)+IFERROR((VLOOKUP(A36,ExcessLevy!A:G,6,FALSE)*0.72),0)</f>
        <v>0</v>
      </c>
      <c r="Q36" s="121">
        <f>IFERROR((VLOOKUP(A36,ExcessLevy!A:G,4,FALSE)*0.4738),0)+IFERROR((VLOOKUP(A36,ExcessLevy!A:G,7,FALSE)*0.5262),0)</f>
        <v>266305.86979999999</v>
      </c>
      <c r="R36">
        <f>VLOOKUP(A36,JanApport,MATCH($R$4,'Jan 2022 Apport'!$3:$3,0),FALSE)</f>
        <v>0</v>
      </c>
      <c r="S36">
        <f>VLOOKUP(A36,JanApport,MATCH($S$4,'Jan 2022 Apport'!$3:$3,0),FALSE)</f>
        <v>0</v>
      </c>
      <c r="T36">
        <f>VLOOKUP(A36,JanApport,MATCH($T$4,'Jan 2022 Apport'!$3:$3,0),FALSE)</f>
        <v>0</v>
      </c>
      <c r="U36" s="132">
        <f>IFERROR(VLOOKUP(A36,JanApport,MATCH($U$4,'Jan 2022 Apport'!$3:$3,0),FALSE)/R36,0)</f>
        <v>0</v>
      </c>
      <c r="V36" s="30">
        <f>IFERROR(((VLOOKUP(A36,JanApport,MATCH($V$4,'Jan 2022 Apport'!$3:$3,0),FALSE)+VLOOKUP(A36,JanApport,MATCH($V$3,'Jan 2022 Apport'!$3:$3,0),FALSE))/(S36+T36)),0)</f>
        <v>0</v>
      </c>
      <c r="W36" s="30">
        <f t="shared" si="8"/>
        <v>8083.6246967786601</v>
      </c>
      <c r="X36">
        <f>VLOOKUP(A36,JanApport,MATCH($X$4,'Jan 2022 Apport'!$3:$3,0),FALSE)</f>
        <v>4.8578999999999997E-2</v>
      </c>
      <c r="Y36">
        <f>VLOOKUP(A36,JanApport,MATCH($Y$4,'Jan 2022 Apport'!$3:$3,0),FALSE)</f>
        <v>4.0270000000000002E-3</v>
      </c>
      <c r="Z36">
        <f>VLOOKUP(A36,JanApport,MATCH($Z$4,'Jan 2022 Apport'!$3:$3,0),FALSE)</f>
        <v>1.7100000000000001E-2</v>
      </c>
      <c r="AA36" s="77">
        <f>VLOOKUP(A36,JanApport,MATCH($AA$4,'Jan 2022 Apport'!$3:$3,0),FALSE)*VLOOKUP(A36,JanApport,MATCH($AA$3,'Jan 2022 Apport'!$3:$3,0),FALSE)</f>
        <v>67585</v>
      </c>
      <c r="AB36" s="77">
        <f>VLOOKUP(A36,JanApport,MATCH($AB$4,'Jan 2022 Apport'!$3:$3,0),FALSE)*VLOOKUP(A36,JanApport,MATCH($AB$3,'Jan 2022 Apport'!$3:$3,0),FALSE)</f>
        <v>68937</v>
      </c>
      <c r="AC36" s="77">
        <f>VLOOKUP(A36,JanApport,MATCH($AC$4,'Jan 2022 Apport'!$3:$3,0),FALSE)</f>
        <v>100321</v>
      </c>
      <c r="AD36" s="77">
        <f>VLOOKUP(A36,JanApport,MATCH($AD$4,'Jan 2022 Apport'!$3:$3,0),FALSE)*VLOOKUP(A36,JanApport,MATCH($AD$3,'Jan 2022 Apport'!$3:$3,0),FALSE)</f>
        <v>102327</v>
      </c>
      <c r="AE36" s="77">
        <f>VLOOKUP(A36,JanApport,MATCH($AE$4,'Jan 2022 Apport'!$3:$3,0),FALSE)</f>
        <v>48483</v>
      </c>
      <c r="AF36" s="77">
        <f>VLOOKUP(A36,JanApport,MATCH($AF$4,'Jan 2022 Apport'!$3:$3,0),FALSE)*VLOOKUP(A36,JanApport,MATCH($AF$3,'Jan 2022 Apport'!$3:$3,0),FALSE)</f>
        <v>49453</v>
      </c>
      <c r="AG36" s="77">
        <f t="shared" si="9"/>
        <v>96432.259900000005</v>
      </c>
      <c r="AH36" s="77">
        <f t="shared" si="4"/>
        <v>137400.94330000001</v>
      </c>
      <c r="AI36" s="77">
        <f t="shared" si="5"/>
        <v>77281.189732599989</v>
      </c>
      <c r="AJ36" s="3">
        <f>VLOOKUP(A36,JanApport,MATCH($AJ$4,'Jan 2022 Apport'!$3:$3,0),FALSE)</f>
        <v>122950.22</v>
      </c>
      <c r="AK36" s="3">
        <f>VLOOKUP(A36,JanApport,MATCH($AK$4,'Jan 2022 Apport'!$3:$3,0),FALSE)</f>
        <v>2.8540000000000001</v>
      </c>
      <c r="AL36" s="117">
        <f t="shared" si="10"/>
        <v>1032975.8599999999</v>
      </c>
      <c r="AM36" s="117">
        <f>VLOOKUP(A36,JanApport,MATCH($AM$4,'Jan 2022 Apport'!$3:$3,0),FALSE)</f>
        <v>0</v>
      </c>
      <c r="AN36" s="117">
        <f>VLOOKUP(A36,JanApport,MATCH($AN$4,'Jan 2022 Apport'!$3:$3,0),FALSE)</f>
        <v>8149.33</v>
      </c>
    </row>
    <row r="37" spans="1:40">
      <c r="A37" s="2" t="s">
        <v>233</v>
      </c>
      <c r="B37" s="2" t="s">
        <v>234</v>
      </c>
      <c r="C37" s="2" t="s">
        <v>1267</v>
      </c>
      <c r="D37" s="118">
        <f>VLOOKUP(A37,JanApport,MATCH($D$4,'Jan 2022 Apport'!$3:$3,FALSE),FALSE)</f>
        <v>109040740.45</v>
      </c>
      <c r="E37" s="30">
        <f>VLOOKUP(A37,JanApport,MATCH($E$2,'Jan 2022 Apport'!$3:$3,0),FALSE)+VLOOKUP(A37,JanApport,MATCH($E$3,'Jan 2022 Apport'!$3:$3,0),FALSE)+VLOOKUP(A37,JanApport,MATCH($E$4,'Jan 2022 Apport'!$3:$3,0),FALSE)</f>
        <v>7804395.1799999997</v>
      </c>
      <c r="F37" s="118">
        <f t="shared" si="11"/>
        <v>101236345.27000001</v>
      </c>
      <c r="G37" s="117">
        <f>VLOOKUP(A37,JanApport,MATCH($G$4,'Jan 2022 Apport'!$3:$3,0),FALSE)</f>
        <v>1440603.8</v>
      </c>
      <c r="H37" s="117">
        <f>VLOOKUP(A37,JanApport,MATCH($H$3,'Jan 2022 Apport'!$3:$3,0),FALSE)+VLOOKUP(A37,JanApport,MATCH($H$2,'Jan 2022 Apport'!$3:$3,0),FALSE)+VLOOKUP(A37,JanApport,MATCH($H$4,'Jan 2022 Apport'!$3:$3,0),FALSE)</f>
        <v>14613564.26</v>
      </c>
      <c r="I37" s="117">
        <f t="shared" si="13"/>
        <v>16054168.060000001</v>
      </c>
      <c r="J37" s="117">
        <f>VLOOKUP(A37,JanApport,MATCH($J$4,'Jan 2022 Apport'!$3:$3,0),FALSE)</f>
        <v>5550999.21</v>
      </c>
      <c r="K37" s="117">
        <f>VLOOKUP(A37,JanApport,MATCH($K$4,'Jan 2022 Apport'!$3:$3,0),FALSE)</f>
        <v>523292.7</v>
      </c>
      <c r="L37" s="117">
        <f t="shared" si="12"/>
        <v>6074291.9100000001</v>
      </c>
      <c r="M37" s="117">
        <f>VLOOKUP(A37,JanApport,MATCH($M$4,'Jan 2022 Apport'!$3:$3,0),FALSE)</f>
        <v>2617968.4700000002</v>
      </c>
      <c r="N37" s="117">
        <f>VLOOKUP(A37,JanApport,MATCH($N$4,'Jan 2022 Apport'!$3:$3,0),FALSE)</f>
        <v>765991.45</v>
      </c>
      <c r="O37" s="117">
        <f>VLOOKUP(A37,JanApport,MATCH($O$4,'Jan 2022 Apport'!$3:$3,0),FALSE)</f>
        <v>363166.07</v>
      </c>
      <c r="P37" s="121">
        <f>IFERROR((VLOOKUP(A37,ExcessLevy!A:G,3,FALSE)*0.28),0)+IFERROR((VLOOKUP(A37,ExcessLevy!A:G,6,FALSE)*0.72),0)</f>
        <v>2423807.58</v>
      </c>
      <c r="Q37" s="121">
        <f>IFERROR((VLOOKUP(A37,ExcessLevy!A:G,4,FALSE)*0.4738),0)+IFERROR((VLOOKUP(A37,ExcessLevy!A:G,7,FALSE)*0.5262),0)</f>
        <v>16552400</v>
      </c>
      <c r="R37">
        <f>VLOOKUP(A37,JanApport,MATCH($R$4,'Jan 2022 Apport'!$3:$3,0),FALSE)</f>
        <v>0</v>
      </c>
      <c r="S37">
        <f>VLOOKUP(A37,JanApport,MATCH($S$4,'Jan 2022 Apport'!$3:$3,0),FALSE)</f>
        <v>113.01</v>
      </c>
      <c r="T37">
        <f>VLOOKUP(A37,JanApport,MATCH($T$4,'Jan 2022 Apport'!$3:$3,0),FALSE)</f>
        <v>662.91</v>
      </c>
      <c r="U37" s="132">
        <f>IFERROR(VLOOKUP(A37,JanApport,MATCH($U$4,'Jan 2022 Apport'!$3:$3,0),FALSE)/R37,0)</f>
        <v>0</v>
      </c>
      <c r="V37" s="30">
        <f>IFERROR(((VLOOKUP(A37,JanApport,MATCH($V$4,'Jan 2022 Apport'!$3:$3,0),FALSE)+VLOOKUP(A37,JanApport,MATCH($V$3,'Jan 2022 Apport'!$3:$3,0),FALSE))/(S37+T37)),0)</f>
        <v>10058.247216207857</v>
      </c>
      <c r="W37" s="30">
        <f t="shared" si="8"/>
        <v>9095.3080904708331</v>
      </c>
      <c r="X37">
        <f>VLOOKUP(A37,JanApport,MATCH($X$4,'Jan 2022 Apport'!$3:$3,0),FALSE)</f>
        <v>4.8578999999999997E-2</v>
      </c>
      <c r="Y37">
        <f>VLOOKUP(A37,JanApport,MATCH($Y$4,'Jan 2022 Apport'!$3:$3,0),FALSE)</f>
        <v>4.0270000000000002E-3</v>
      </c>
      <c r="Z37">
        <f>VLOOKUP(A37,JanApport,MATCH($Z$4,'Jan 2022 Apport'!$3:$3,0),FALSE)</f>
        <v>1.7100000000000001E-2</v>
      </c>
      <c r="AA37" s="77">
        <f>VLOOKUP(A37,JanApport,MATCH($AA$4,'Jan 2022 Apport'!$3:$3,0),FALSE)*VLOOKUP(A37,JanApport,MATCH($AA$3,'Jan 2022 Apport'!$3:$3,0),FALSE)</f>
        <v>79750.3</v>
      </c>
      <c r="AB37" s="77">
        <f>VLOOKUP(A37,JanApport,MATCH($AB$4,'Jan 2022 Apport'!$3:$3,0),FALSE)*VLOOKUP(A37,JanApport,MATCH($AB$3,'Jan 2022 Apport'!$3:$3,0),FALSE)</f>
        <v>81345.659999999989</v>
      </c>
      <c r="AC37" s="77">
        <f>VLOOKUP(A37,JanApport,MATCH($AC$4,'Jan 2022 Apport'!$3:$3,0),FALSE)</f>
        <v>100321</v>
      </c>
      <c r="AD37" s="77">
        <f>VLOOKUP(A37,JanApport,MATCH($AD$4,'Jan 2022 Apport'!$3:$3,0),FALSE)*VLOOKUP(A37,JanApport,MATCH($AD$3,'Jan 2022 Apport'!$3:$3,0),FALSE)</f>
        <v>120745.86</v>
      </c>
      <c r="AE37" s="77">
        <f>VLOOKUP(A37,JanApport,MATCH($AE$4,'Jan 2022 Apport'!$3:$3,0),FALSE)</f>
        <v>48483</v>
      </c>
      <c r="AF37" s="77">
        <f>VLOOKUP(A37,JanApport,MATCH($AF$4,'Jan 2022 Apport'!$3:$3,0),FALSE)*VLOOKUP(A37,JanApport,MATCH($AF$3,'Jan 2022 Apport'!$3:$3,0),FALSE)</f>
        <v>58354.539999999994</v>
      </c>
      <c r="AG37" s="77">
        <f t="shared" si="9"/>
        <v>111657.36908199999</v>
      </c>
      <c r="AH37" s="77">
        <f t="shared" si="4"/>
        <v>159884.84570200002</v>
      </c>
      <c r="AI37" s="77">
        <f t="shared" si="5"/>
        <v>87896.402584467985</v>
      </c>
      <c r="AJ37" s="3">
        <f>VLOOKUP(A37,JanApport,MATCH($AJ$4,'Jan 2022 Apport'!$3:$3,0),FALSE)</f>
        <v>13137445.75</v>
      </c>
      <c r="AK37" s="3">
        <f>VLOOKUP(A37,JanApport,MATCH($AK$4,'Jan 2022 Apport'!$3:$3,0),FALSE)</f>
        <v>211.76900000000001</v>
      </c>
      <c r="AL37" s="117">
        <f t="shared" si="10"/>
        <v>134714614.15000001</v>
      </c>
      <c r="AM37" s="117">
        <f>VLOOKUP(A37,JanApport,MATCH($AM$4,'Jan 2022 Apport'!$3:$3,0),FALSE)</f>
        <v>321580.44</v>
      </c>
      <c r="AN37" s="117">
        <f>VLOOKUP(A37,JanApport,MATCH($AN$4,'Jan 2022 Apport'!$3:$3,0),FALSE)</f>
        <v>856929.12</v>
      </c>
    </row>
    <row r="38" spans="1:40">
      <c r="A38" s="2" t="s">
        <v>463</v>
      </c>
      <c r="B38" s="2" t="s">
        <v>464</v>
      </c>
      <c r="C38" s="2" t="s">
        <v>1267</v>
      </c>
      <c r="D38" s="118">
        <f>VLOOKUP(A38,JanApport,MATCH($D$4,'Jan 2022 Apport'!$3:$3,FALSE),FALSE)</f>
        <v>123081499.86</v>
      </c>
      <c r="E38" s="30">
        <f>VLOOKUP(A38,JanApport,MATCH($E$2,'Jan 2022 Apport'!$3:$3,0),FALSE)+VLOOKUP(A38,JanApport,MATCH($E$3,'Jan 2022 Apport'!$3:$3,0),FALSE)+VLOOKUP(A38,JanApport,MATCH($E$4,'Jan 2022 Apport'!$3:$3,0),FALSE)</f>
        <v>6711288.71</v>
      </c>
      <c r="F38" s="118">
        <f t="shared" si="11"/>
        <v>116370211.15000001</v>
      </c>
      <c r="G38" s="117">
        <f>VLOOKUP(A38,JanApport,MATCH($G$4,'Jan 2022 Apport'!$3:$3,0),FALSE)</f>
        <v>1563194.68</v>
      </c>
      <c r="H38" s="117">
        <f>VLOOKUP(A38,JanApport,MATCH($H$3,'Jan 2022 Apport'!$3:$3,0),FALSE)+VLOOKUP(A38,JanApport,MATCH($H$2,'Jan 2022 Apport'!$3:$3,0),FALSE)+VLOOKUP(A38,JanApport,MATCH($H$4,'Jan 2022 Apport'!$3:$3,0),FALSE)</f>
        <v>16648208.259999998</v>
      </c>
      <c r="I38" s="117">
        <f t="shared" si="13"/>
        <v>18211402.939999998</v>
      </c>
      <c r="J38" s="117">
        <f>VLOOKUP(A38,JanApport,MATCH($J$4,'Jan 2022 Apport'!$3:$3,0),FALSE)</f>
        <v>6591664.1699999999</v>
      </c>
      <c r="K38" s="117">
        <f>VLOOKUP(A38,JanApport,MATCH($K$4,'Jan 2022 Apport'!$3:$3,0),FALSE)</f>
        <v>414495.07</v>
      </c>
      <c r="L38" s="117">
        <f t="shared" si="12"/>
        <v>7006159.2400000002</v>
      </c>
      <c r="M38" s="117">
        <f>VLOOKUP(A38,JanApport,MATCH($M$4,'Jan 2022 Apport'!$3:$3,0),FALSE)</f>
        <v>2725774.9</v>
      </c>
      <c r="N38" s="117">
        <f>VLOOKUP(A38,JanApport,MATCH($N$4,'Jan 2022 Apport'!$3:$3,0),FALSE)</f>
        <v>766339.86</v>
      </c>
      <c r="O38" s="117">
        <f>VLOOKUP(A38,JanApport,MATCH($O$4,'Jan 2022 Apport'!$3:$3,0),FALSE)</f>
        <v>396426.54</v>
      </c>
      <c r="P38" s="121">
        <f>IFERROR((VLOOKUP(A38,ExcessLevy!A:G,3,FALSE)*0.28),0)+IFERROR((VLOOKUP(A38,ExcessLevy!A:G,6,FALSE)*0.72),0)</f>
        <v>4914569.3783999998</v>
      </c>
      <c r="Q38" s="121">
        <f>IFERROR((VLOOKUP(A38,ExcessLevy!A:G,4,FALSE)*0.4738),0)+IFERROR((VLOOKUP(A38,ExcessLevy!A:G,7,FALSE)*0.5262),0)</f>
        <v>28478742.100000001</v>
      </c>
      <c r="R38">
        <f>VLOOKUP(A38,JanApport,MATCH($R$4,'Jan 2022 Apport'!$3:$3,0),FALSE)</f>
        <v>52.27</v>
      </c>
      <c r="S38">
        <f>VLOOKUP(A38,JanApport,MATCH($S$4,'Jan 2022 Apport'!$3:$3,0),FALSE)</f>
        <v>54.24</v>
      </c>
      <c r="T38">
        <f>VLOOKUP(A38,JanApport,MATCH($T$4,'Jan 2022 Apport'!$3:$3,0),FALSE)</f>
        <v>638.70000000000005</v>
      </c>
      <c r="U38" s="132">
        <f>IFERROR(VLOOKUP(A38,JanApport,MATCH($U$4,'Jan 2022 Apport'!$3:$3,0),FALSE)/R38,0)</f>
        <v>10117.188635928829</v>
      </c>
      <c r="V38" s="30">
        <f>IFERROR(((VLOOKUP(A38,JanApport,MATCH($V$4,'Jan 2022 Apport'!$3:$3,0),FALSE)+VLOOKUP(A38,JanApport,MATCH($V$3,'Jan 2022 Apport'!$3:$3,0),FALSE))/(S38+T38)),0)</f>
        <v>8922.0758795855327</v>
      </c>
      <c r="W38" s="30">
        <f t="shared" si="8"/>
        <v>8083.6246967786601</v>
      </c>
      <c r="X38">
        <f>VLOOKUP(A38,JanApport,MATCH($X$4,'Jan 2022 Apport'!$3:$3,0),FALSE)</f>
        <v>4.8578999999999997E-2</v>
      </c>
      <c r="Y38">
        <f>VLOOKUP(A38,JanApport,MATCH($Y$4,'Jan 2022 Apport'!$3:$3,0),FALSE)</f>
        <v>4.0270000000000002E-3</v>
      </c>
      <c r="Z38">
        <f>VLOOKUP(A38,JanApport,MATCH($Z$4,'Jan 2022 Apport'!$3:$3,0),FALSE)</f>
        <v>1.7100000000000001E-2</v>
      </c>
      <c r="AA38" s="77">
        <f>VLOOKUP(A38,JanApport,MATCH($AA$4,'Jan 2022 Apport'!$3:$3,0),FALSE)*VLOOKUP(A38,JanApport,MATCH($AA$3,'Jan 2022 Apport'!$3:$3,0),FALSE)</f>
        <v>67585</v>
      </c>
      <c r="AB38" s="77">
        <f>VLOOKUP(A38,JanApport,MATCH($AB$4,'Jan 2022 Apport'!$3:$3,0),FALSE)*VLOOKUP(A38,JanApport,MATCH($AB$3,'Jan 2022 Apport'!$3:$3,0),FALSE)</f>
        <v>68937</v>
      </c>
      <c r="AC38" s="77">
        <f>VLOOKUP(A38,JanApport,MATCH($AC$4,'Jan 2022 Apport'!$3:$3,0),FALSE)</f>
        <v>100321</v>
      </c>
      <c r="AD38" s="77">
        <f>VLOOKUP(A38,JanApport,MATCH($AD$4,'Jan 2022 Apport'!$3:$3,0),FALSE)*VLOOKUP(A38,JanApport,MATCH($AD$3,'Jan 2022 Apport'!$3:$3,0),FALSE)</f>
        <v>102327</v>
      </c>
      <c r="AE38" s="77">
        <f>VLOOKUP(A38,JanApport,MATCH($AE$4,'Jan 2022 Apport'!$3:$3,0),FALSE)</f>
        <v>48483</v>
      </c>
      <c r="AF38" s="77">
        <f>VLOOKUP(A38,JanApport,MATCH($AF$4,'Jan 2022 Apport'!$3:$3,0),FALSE)*VLOOKUP(A38,JanApport,MATCH($AF$3,'Jan 2022 Apport'!$3:$3,0),FALSE)</f>
        <v>49453</v>
      </c>
      <c r="AG38" s="77">
        <f t="shared" si="9"/>
        <v>96432.259900000005</v>
      </c>
      <c r="AH38" s="77">
        <f t="shared" si="4"/>
        <v>137400.94330000001</v>
      </c>
      <c r="AI38" s="77">
        <f t="shared" si="5"/>
        <v>77281.189732599989</v>
      </c>
      <c r="AJ38" s="3">
        <f>VLOOKUP(A38,JanApport,MATCH($AJ$4,'Jan 2022 Apport'!$3:$3,0),FALSE)</f>
        <v>17786976.920000002</v>
      </c>
      <c r="AK38" s="3">
        <f>VLOOKUP(A38,JanApport,MATCH($AK$4,'Jan 2022 Apport'!$3:$3,0),FALSE)</f>
        <v>283.10399999999998</v>
      </c>
      <c r="AL38" s="117">
        <f t="shared" si="10"/>
        <v>152587582.85000002</v>
      </c>
      <c r="AM38" s="117">
        <f>VLOOKUP(A38,JanApport,MATCH($AM$4,'Jan 2022 Apport'!$3:$3,0),FALSE)</f>
        <v>814474.58</v>
      </c>
      <c r="AN38" s="117">
        <f>VLOOKUP(A38,JanApport,MATCH($AN$4,'Jan 2022 Apport'!$3:$3,0),FALSE)</f>
        <v>982303.45</v>
      </c>
    </row>
    <row r="39" spans="1:40">
      <c r="A39" s="2" t="s">
        <v>295</v>
      </c>
      <c r="B39" s="2" t="s">
        <v>296</v>
      </c>
      <c r="C39" s="2" t="s">
        <v>1267</v>
      </c>
      <c r="D39" s="118">
        <f>VLOOKUP(A39,JanApport,MATCH($D$4,'Jan 2022 Apport'!$3:$3,FALSE),FALSE)</f>
        <v>29690171.960000001</v>
      </c>
      <c r="E39" s="30">
        <f>VLOOKUP(A39,JanApport,MATCH($E$2,'Jan 2022 Apport'!$3:$3,0),FALSE)+VLOOKUP(A39,JanApport,MATCH($E$3,'Jan 2022 Apport'!$3:$3,0),FALSE)+VLOOKUP(A39,JanApport,MATCH($E$4,'Jan 2022 Apport'!$3:$3,0),FALSE)</f>
        <v>2475821.7199999997</v>
      </c>
      <c r="F39" s="118">
        <f t="shared" si="11"/>
        <v>27214350.240000002</v>
      </c>
      <c r="G39" s="117">
        <f>VLOOKUP(A39,JanApport,MATCH($G$4,'Jan 2022 Apport'!$3:$3,0),FALSE)</f>
        <v>279553.64</v>
      </c>
      <c r="H39" s="117">
        <f>VLOOKUP(A39,JanApport,MATCH($H$3,'Jan 2022 Apport'!$3:$3,0),FALSE)+VLOOKUP(A39,JanApport,MATCH($H$2,'Jan 2022 Apport'!$3:$3,0),FALSE)+VLOOKUP(A39,JanApport,MATCH($H$4,'Jan 2022 Apport'!$3:$3,0),FALSE)</f>
        <v>3972105.8699999996</v>
      </c>
      <c r="I39" s="117">
        <f t="shared" si="13"/>
        <v>4251659.51</v>
      </c>
      <c r="J39" s="117">
        <f>VLOOKUP(A39,JanApport,MATCH($J$4,'Jan 2022 Apport'!$3:$3,0),FALSE)</f>
        <v>1993036.84</v>
      </c>
      <c r="K39" s="117">
        <f>VLOOKUP(A39,JanApport,MATCH($K$4,'Jan 2022 Apport'!$3:$3,0),FALSE)</f>
        <v>143463.43</v>
      </c>
      <c r="L39" s="117">
        <f t="shared" si="12"/>
        <v>2136500.27</v>
      </c>
      <c r="M39" s="117">
        <f>VLOOKUP(A39,JanApport,MATCH($M$4,'Jan 2022 Apport'!$3:$3,0),FALSE)</f>
        <v>1603316.43</v>
      </c>
      <c r="N39" s="117">
        <f>VLOOKUP(A39,JanApport,MATCH($N$4,'Jan 2022 Apport'!$3:$3,0),FALSE)</f>
        <v>742663.84</v>
      </c>
      <c r="O39" s="117">
        <f>VLOOKUP(A39,JanApport,MATCH($O$4,'Jan 2022 Apport'!$3:$3,0),FALSE)</f>
        <v>95095.4</v>
      </c>
      <c r="P39" s="121">
        <f>IFERROR((VLOOKUP(A39,ExcessLevy!A:G,3,FALSE)*0.28),0)+IFERROR((VLOOKUP(A39,ExcessLevy!A:G,6,FALSE)*0.72),0)</f>
        <v>577288.65599999996</v>
      </c>
      <c r="Q39" s="121">
        <f>IFERROR((VLOOKUP(A39,ExcessLevy!A:G,4,FALSE)*0.4738),0)+IFERROR((VLOOKUP(A39,ExcessLevy!A:G,7,FALSE)*0.5262),0)</f>
        <v>2367900</v>
      </c>
      <c r="R39">
        <f>VLOOKUP(A39,JanApport,MATCH($R$4,'Jan 2022 Apport'!$3:$3,0),FALSE)</f>
        <v>0</v>
      </c>
      <c r="S39">
        <f>VLOOKUP(A39,JanApport,MATCH($S$4,'Jan 2022 Apport'!$3:$3,0),FALSE)</f>
        <v>48.87</v>
      </c>
      <c r="T39">
        <f>VLOOKUP(A39,JanApport,MATCH($T$4,'Jan 2022 Apport'!$3:$3,0),FALSE)</f>
        <v>228.67</v>
      </c>
      <c r="U39" s="132">
        <f>IFERROR(VLOOKUP(A39,JanApport,MATCH($U$4,'Jan 2022 Apport'!$3:$3,0),FALSE)/R39,0)</f>
        <v>0</v>
      </c>
      <c r="V39" s="30">
        <f>IFERROR(((VLOOKUP(A39,JanApport,MATCH($V$4,'Jan 2022 Apport'!$3:$3,0),FALSE)+VLOOKUP(A39,JanApport,MATCH($V$3,'Jan 2022 Apport'!$3:$3,0),FALSE))/(S39+T39)),0)</f>
        <v>8920.5942206528798</v>
      </c>
      <c r="W39" s="30">
        <f t="shared" si="8"/>
        <v>8083.6246967786601</v>
      </c>
      <c r="X39">
        <f>VLOOKUP(A39,JanApport,MATCH($X$4,'Jan 2022 Apport'!$3:$3,0),FALSE)</f>
        <v>4.8578999999999997E-2</v>
      </c>
      <c r="Y39">
        <f>VLOOKUP(A39,JanApport,MATCH($Y$4,'Jan 2022 Apport'!$3:$3,0),FALSE)</f>
        <v>4.0270000000000002E-3</v>
      </c>
      <c r="Z39">
        <f>VLOOKUP(A39,JanApport,MATCH($Z$4,'Jan 2022 Apport'!$3:$3,0),FALSE)</f>
        <v>1.7100000000000001E-2</v>
      </c>
      <c r="AA39" s="77">
        <f>VLOOKUP(A39,JanApport,MATCH($AA$4,'Jan 2022 Apport'!$3:$3,0),FALSE)*VLOOKUP(A39,JanApport,MATCH($AA$3,'Jan 2022 Apport'!$3:$3,0),FALSE)</f>
        <v>67585</v>
      </c>
      <c r="AB39" s="77">
        <f>VLOOKUP(A39,JanApport,MATCH($AB$4,'Jan 2022 Apport'!$3:$3,0),FALSE)*VLOOKUP(A39,JanApport,MATCH($AB$3,'Jan 2022 Apport'!$3:$3,0),FALSE)</f>
        <v>68937</v>
      </c>
      <c r="AC39" s="77">
        <f>VLOOKUP(A39,JanApport,MATCH($AC$4,'Jan 2022 Apport'!$3:$3,0),FALSE)</f>
        <v>100321</v>
      </c>
      <c r="AD39" s="77">
        <f>VLOOKUP(A39,JanApport,MATCH($AD$4,'Jan 2022 Apport'!$3:$3,0),FALSE)*VLOOKUP(A39,JanApport,MATCH($AD$3,'Jan 2022 Apport'!$3:$3,0),FALSE)</f>
        <v>102327</v>
      </c>
      <c r="AE39" s="77">
        <f>VLOOKUP(A39,JanApport,MATCH($AE$4,'Jan 2022 Apport'!$3:$3,0),FALSE)</f>
        <v>48483</v>
      </c>
      <c r="AF39" s="77">
        <f>VLOOKUP(A39,JanApport,MATCH($AF$4,'Jan 2022 Apport'!$3:$3,0),FALSE)*VLOOKUP(A39,JanApport,MATCH($AF$3,'Jan 2022 Apport'!$3:$3,0),FALSE)</f>
        <v>49453</v>
      </c>
      <c r="AG39" s="77">
        <f t="shared" si="9"/>
        <v>96432.259900000005</v>
      </c>
      <c r="AH39" s="77">
        <f t="shared" si="4"/>
        <v>137400.94330000001</v>
      </c>
      <c r="AI39" s="77">
        <f t="shared" si="5"/>
        <v>77281.189732599989</v>
      </c>
      <c r="AJ39" s="3">
        <f>VLOOKUP(A39,JanApport,MATCH($AJ$4,'Jan 2022 Apport'!$3:$3,0),FALSE)</f>
        <v>4153729.78</v>
      </c>
      <c r="AK39" s="3">
        <f>VLOOKUP(A39,JanApport,MATCH($AK$4,'Jan 2022 Apport'!$3:$3,0),FALSE)</f>
        <v>71.088999999999999</v>
      </c>
      <c r="AL39" s="117">
        <f t="shared" si="10"/>
        <v>39329930.959999993</v>
      </c>
      <c r="AM39" s="117">
        <f>VLOOKUP(A39,JanApport,MATCH($AM$4,'Jan 2022 Apport'!$3:$3,0),FALSE)</f>
        <v>953986.98</v>
      </c>
      <c r="AN39" s="117">
        <f>VLOOKUP(A39,JanApport,MATCH($AN$4,'Jan 2022 Apport'!$3:$3,0),FALSE)</f>
        <v>232048.88</v>
      </c>
    </row>
    <row r="40" spans="1:40">
      <c r="A40" s="2" t="s">
        <v>291</v>
      </c>
      <c r="B40" s="2" t="s">
        <v>292</v>
      </c>
      <c r="C40" s="2" t="s">
        <v>1267</v>
      </c>
      <c r="D40" s="118">
        <f>VLOOKUP(A40,JanApport,MATCH($D$4,'Jan 2022 Apport'!$3:$3,FALSE),FALSE)</f>
        <v>25330202.460000001</v>
      </c>
      <c r="E40" s="30">
        <f>VLOOKUP(A40,JanApport,MATCH($E$2,'Jan 2022 Apport'!$3:$3,0),FALSE)+VLOOKUP(A40,JanApport,MATCH($E$3,'Jan 2022 Apport'!$3:$3,0),FALSE)+VLOOKUP(A40,JanApport,MATCH($E$4,'Jan 2022 Apport'!$3:$3,0),FALSE)</f>
        <v>1560518.72</v>
      </c>
      <c r="F40" s="118">
        <f t="shared" si="11"/>
        <v>23769683.740000002</v>
      </c>
      <c r="G40" s="117">
        <f>VLOOKUP(A40,JanApport,MATCH($G$4,'Jan 2022 Apport'!$3:$3,0),FALSE)</f>
        <v>215473.75</v>
      </c>
      <c r="H40" s="117">
        <f>VLOOKUP(A40,JanApport,MATCH($H$3,'Jan 2022 Apport'!$3:$3,0),FALSE)+VLOOKUP(A40,JanApport,MATCH($H$2,'Jan 2022 Apport'!$3:$3,0),FALSE)+VLOOKUP(A40,JanApport,MATCH($H$4,'Jan 2022 Apport'!$3:$3,0),FALSE)</f>
        <v>3391117.92</v>
      </c>
      <c r="I40" s="117">
        <f t="shared" si="13"/>
        <v>3606591.67</v>
      </c>
      <c r="J40" s="117">
        <f>VLOOKUP(A40,JanApport,MATCH($J$4,'Jan 2022 Apport'!$3:$3,0),FALSE)</f>
        <v>1279630.94</v>
      </c>
      <c r="K40" s="117">
        <f>VLOOKUP(A40,JanApport,MATCH($K$4,'Jan 2022 Apport'!$3:$3,0),FALSE)</f>
        <v>96508.75</v>
      </c>
      <c r="L40" s="117">
        <f t="shared" si="12"/>
        <v>1376139.69</v>
      </c>
      <c r="M40" s="117">
        <f>VLOOKUP(A40,JanApport,MATCH($M$4,'Jan 2022 Apport'!$3:$3,0),FALSE)</f>
        <v>838913.75</v>
      </c>
      <c r="N40" s="117">
        <f>VLOOKUP(A40,JanApport,MATCH($N$4,'Jan 2022 Apport'!$3:$3,0),FALSE)</f>
        <v>181148.65</v>
      </c>
      <c r="O40" s="117">
        <f>VLOOKUP(A40,JanApport,MATCH($O$4,'Jan 2022 Apport'!$3:$3,0),FALSE)</f>
        <v>82929.429999999993</v>
      </c>
      <c r="P40" s="121">
        <f>IFERROR((VLOOKUP(A40,ExcessLevy!A:G,3,FALSE)*0.28),0)+IFERROR((VLOOKUP(A40,ExcessLevy!A:G,6,FALSE)*0.72),0)</f>
        <v>1060163.72</v>
      </c>
      <c r="Q40" s="121">
        <f>IFERROR((VLOOKUP(A40,ExcessLevy!A:G,4,FALSE)*0.4738),0)+IFERROR((VLOOKUP(A40,ExcessLevy!A:G,7,FALSE)*0.5262),0)</f>
        <v>5320240</v>
      </c>
      <c r="R40">
        <f>VLOOKUP(A40,JanApport,MATCH($R$4,'Jan 2022 Apport'!$3:$3,0),FALSE)</f>
        <v>0</v>
      </c>
      <c r="S40">
        <f>VLOOKUP(A40,JanApport,MATCH($S$4,'Jan 2022 Apport'!$3:$3,0),FALSE)</f>
        <v>0</v>
      </c>
      <c r="T40">
        <f>VLOOKUP(A40,JanApport,MATCH($T$4,'Jan 2022 Apport'!$3:$3,0),FALSE)</f>
        <v>171.26</v>
      </c>
      <c r="U40" s="132">
        <f>IFERROR(VLOOKUP(A40,JanApport,MATCH($U$4,'Jan 2022 Apport'!$3:$3,0),FALSE)/R40,0)</f>
        <v>0</v>
      </c>
      <c r="V40" s="30">
        <f>IFERROR(((VLOOKUP(A40,JanApport,MATCH($V$4,'Jan 2022 Apport'!$3:$3,0),FALSE)+VLOOKUP(A40,JanApport,MATCH($V$3,'Jan 2022 Apport'!$3:$3,0),FALSE))/(S40+T40)),0)</f>
        <v>9111.9859862197827</v>
      </c>
      <c r="W40" s="30">
        <f t="shared" si="8"/>
        <v>8083.6246967786601</v>
      </c>
      <c r="X40">
        <f>VLOOKUP(A40,JanApport,MATCH($X$4,'Jan 2022 Apport'!$3:$3,0),FALSE)</f>
        <v>4.8578999999999997E-2</v>
      </c>
      <c r="Y40">
        <f>VLOOKUP(A40,JanApport,MATCH($Y$4,'Jan 2022 Apport'!$3:$3,0),FALSE)</f>
        <v>4.0270000000000002E-3</v>
      </c>
      <c r="Z40">
        <f>VLOOKUP(A40,JanApport,MATCH($Z$4,'Jan 2022 Apport'!$3:$3,0),FALSE)</f>
        <v>1.7100000000000001E-2</v>
      </c>
      <c r="AA40" s="77">
        <f>VLOOKUP(A40,JanApport,MATCH($AA$4,'Jan 2022 Apport'!$3:$3,0),FALSE)*VLOOKUP(A40,JanApport,MATCH($AA$3,'Jan 2022 Apport'!$3:$3,0),FALSE)</f>
        <v>67585</v>
      </c>
      <c r="AB40" s="77">
        <f>VLOOKUP(A40,JanApport,MATCH($AB$4,'Jan 2022 Apport'!$3:$3,0),FALSE)*VLOOKUP(A40,JanApport,MATCH($AB$3,'Jan 2022 Apport'!$3:$3,0),FALSE)</f>
        <v>68937</v>
      </c>
      <c r="AC40" s="77">
        <f>VLOOKUP(A40,JanApport,MATCH($AC$4,'Jan 2022 Apport'!$3:$3,0),FALSE)</f>
        <v>100321</v>
      </c>
      <c r="AD40" s="77">
        <f>VLOOKUP(A40,JanApport,MATCH($AD$4,'Jan 2022 Apport'!$3:$3,0),FALSE)*VLOOKUP(A40,JanApport,MATCH($AD$3,'Jan 2022 Apport'!$3:$3,0),FALSE)</f>
        <v>102327</v>
      </c>
      <c r="AE40" s="77">
        <f>VLOOKUP(A40,JanApport,MATCH($AE$4,'Jan 2022 Apport'!$3:$3,0),FALSE)</f>
        <v>48483</v>
      </c>
      <c r="AF40" s="77">
        <f>VLOOKUP(A40,JanApport,MATCH($AF$4,'Jan 2022 Apport'!$3:$3,0),FALSE)*VLOOKUP(A40,JanApport,MATCH($AF$3,'Jan 2022 Apport'!$3:$3,0),FALSE)</f>
        <v>49453</v>
      </c>
      <c r="AG40" s="77">
        <f t="shared" si="9"/>
        <v>96432.259900000005</v>
      </c>
      <c r="AH40" s="77">
        <f t="shared" si="4"/>
        <v>137400.94330000001</v>
      </c>
      <c r="AI40" s="77">
        <f t="shared" si="5"/>
        <v>77281.189732599989</v>
      </c>
      <c r="AJ40" s="3">
        <f>VLOOKUP(A40,JanApport,MATCH($AJ$4,'Jan 2022 Apport'!$3:$3,0),FALSE)</f>
        <v>3591411.04</v>
      </c>
      <c r="AK40" s="3">
        <f>VLOOKUP(A40,JanApport,MATCH($AK$4,'Jan 2022 Apport'!$3:$3,0),FALSE)</f>
        <v>54.774999999999999</v>
      </c>
      <c r="AL40" s="117">
        <f t="shared" si="10"/>
        <v>31707939.770000003</v>
      </c>
      <c r="AM40" s="117">
        <f>VLOOKUP(A40,JanApport,MATCH($AM$4,'Jan 2022 Apport'!$3:$3,0),FALSE)</f>
        <v>388522.87</v>
      </c>
      <c r="AN40" s="117">
        <f>VLOOKUP(A40,JanApport,MATCH($AN$4,'Jan 2022 Apport'!$3:$3,0),FALSE)</f>
        <v>204555.99</v>
      </c>
    </row>
    <row r="41" spans="1:40">
      <c r="A41" s="2" t="s">
        <v>467</v>
      </c>
      <c r="B41" s="2" t="s">
        <v>468</v>
      </c>
      <c r="C41" s="2" t="s">
        <v>1267</v>
      </c>
      <c r="D41" s="118">
        <f>VLOOKUP(A41,JanApport,MATCH($D$4,'Jan 2022 Apport'!$3:$3,FALSE),FALSE)</f>
        <v>45213412.729999997</v>
      </c>
      <c r="E41" s="30">
        <f>VLOOKUP(A41,JanApport,MATCH($E$2,'Jan 2022 Apport'!$3:$3,0),FALSE)+VLOOKUP(A41,JanApport,MATCH($E$3,'Jan 2022 Apport'!$3:$3,0),FALSE)+VLOOKUP(A41,JanApport,MATCH($E$4,'Jan 2022 Apport'!$3:$3,0),FALSE)</f>
        <v>4442962.92</v>
      </c>
      <c r="F41" s="118">
        <f t="shared" si="11"/>
        <v>40770449.809999995</v>
      </c>
      <c r="G41" s="117">
        <f>VLOOKUP(A41,JanApport,MATCH($G$4,'Jan 2022 Apport'!$3:$3,0),FALSE)</f>
        <v>638950.13</v>
      </c>
      <c r="H41" s="117">
        <f>VLOOKUP(A41,JanApport,MATCH($H$3,'Jan 2022 Apport'!$3:$3,0),FALSE)+VLOOKUP(A41,JanApport,MATCH($H$2,'Jan 2022 Apport'!$3:$3,0),FALSE)+VLOOKUP(A41,JanApport,MATCH($H$4,'Jan 2022 Apport'!$3:$3,0),FALSE)</f>
        <v>6034014.96</v>
      </c>
      <c r="I41" s="117">
        <f t="shared" si="13"/>
        <v>6672965.0899999999</v>
      </c>
      <c r="J41" s="117">
        <f>VLOOKUP(A41,JanApport,MATCH($J$4,'Jan 2022 Apport'!$3:$3,0),FALSE)</f>
        <v>2919815.26</v>
      </c>
      <c r="K41" s="117">
        <f>VLOOKUP(A41,JanApport,MATCH($K$4,'Jan 2022 Apport'!$3:$3,0),FALSE)</f>
        <v>472084.27</v>
      </c>
      <c r="L41" s="117">
        <f t="shared" si="12"/>
        <v>3391899.53</v>
      </c>
      <c r="M41" s="117">
        <f>VLOOKUP(A41,JanApport,MATCH($M$4,'Jan 2022 Apport'!$3:$3,0),FALSE)</f>
        <v>1434551.42</v>
      </c>
      <c r="N41" s="117">
        <f>VLOOKUP(A41,JanApport,MATCH($N$4,'Jan 2022 Apport'!$3:$3,0),FALSE)</f>
        <v>365510.75</v>
      </c>
      <c r="O41" s="117">
        <f>VLOOKUP(A41,JanApport,MATCH($O$4,'Jan 2022 Apport'!$3:$3,0),FALSE)</f>
        <v>145284.66</v>
      </c>
      <c r="P41" s="121">
        <f>IFERROR((VLOOKUP(A41,ExcessLevy!A:G,3,FALSE)*0.28),0)+IFERROR((VLOOKUP(A41,ExcessLevy!A:G,6,FALSE)*0.72),0)</f>
        <v>199159.28560000003</v>
      </c>
      <c r="Q41" s="121">
        <f>IFERROR((VLOOKUP(A41,ExcessLevy!A:G,4,FALSE)*0.4738),0)+IFERROR((VLOOKUP(A41,ExcessLevy!A:G,7,FALSE)*0.5262),0)</f>
        <v>7894540</v>
      </c>
      <c r="R41">
        <f>VLOOKUP(A41,JanApport,MATCH($R$4,'Jan 2022 Apport'!$3:$3,0),FALSE)</f>
        <v>0</v>
      </c>
      <c r="S41">
        <f>VLOOKUP(A41,JanApport,MATCH($S$4,'Jan 2022 Apport'!$3:$3,0),FALSE)</f>
        <v>97.13</v>
      </c>
      <c r="T41">
        <f>VLOOKUP(A41,JanApport,MATCH($T$4,'Jan 2022 Apport'!$3:$3,0),FALSE)</f>
        <v>400.93</v>
      </c>
      <c r="U41" s="132">
        <f>IFERROR(VLOOKUP(A41,JanApport,MATCH($U$4,'Jan 2022 Apport'!$3:$3,0),FALSE)/R41,0)</f>
        <v>0</v>
      </c>
      <c r="V41" s="30">
        <f>IFERROR(((VLOOKUP(A41,JanApport,MATCH($V$4,'Jan 2022 Apport'!$3:$3,0),FALSE)+VLOOKUP(A41,JanApport,MATCH($V$3,'Jan 2022 Apport'!$3:$3,0),FALSE))/(S41+T41)),0)</f>
        <v>8920.5375255993258</v>
      </c>
      <c r="W41" s="30">
        <f t="shared" si="8"/>
        <v>8083.6246967786601</v>
      </c>
      <c r="X41">
        <f>VLOOKUP(A41,JanApport,MATCH($X$4,'Jan 2022 Apport'!$3:$3,0),FALSE)</f>
        <v>4.8578999999999997E-2</v>
      </c>
      <c r="Y41">
        <f>VLOOKUP(A41,JanApport,MATCH($Y$4,'Jan 2022 Apport'!$3:$3,0),FALSE)</f>
        <v>4.0270000000000002E-3</v>
      </c>
      <c r="Z41">
        <f>VLOOKUP(A41,JanApport,MATCH($Z$4,'Jan 2022 Apport'!$3:$3,0),FALSE)</f>
        <v>1.7100000000000001E-2</v>
      </c>
      <c r="AA41" s="77">
        <f>VLOOKUP(A41,JanApport,MATCH($AA$4,'Jan 2022 Apport'!$3:$3,0),FALSE)*VLOOKUP(A41,JanApport,MATCH($AA$3,'Jan 2022 Apport'!$3:$3,0),FALSE)</f>
        <v>67585</v>
      </c>
      <c r="AB41" s="77">
        <f>VLOOKUP(A41,JanApport,MATCH($AB$4,'Jan 2022 Apport'!$3:$3,0),FALSE)*VLOOKUP(A41,JanApport,MATCH($AB$3,'Jan 2022 Apport'!$3:$3,0),FALSE)</f>
        <v>68937</v>
      </c>
      <c r="AC41" s="77">
        <f>VLOOKUP(A41,JanApport,MATCH($AC$4,'Jan 2022 Apport'!$3:$3,0),FALSE)</f>
        <v>100321</v>
      </c>
      <c r="AD41" s="77">
        <f>VLOOKUP(A41,JanApport,MATCH($AD$4,'Jan 2022 Apport'!$3:$3,0),FALSE)*VLOOKUP(A41,JanApport,MATCH($AD$3,'Jan 2022 Apport'!$3:$3,0),FALSE)</f>
        <v>102327</v>
      </c>
      <c r="AE41" s="77">
        <f>VLOOKUP(A41,JanApport,MATCH($AE$4,'Jan 2022 Apport'!$3:$3,0),FALSE)</f>
        <v>48483</v>
      </c>
      <c r="AF41" s="77">
        <f>VLOOKUP(A41,JanApport,MATCH($AF$4,'Jan 2022 Apport'!$3:$3,0),FALSE)*VLOOKUP(A41,JanApport,MATCH($AF$3,'Jan 2022 Apport'!$3:$3,0),FALSE)</f>
        <v>49453</v>
      </c>
      <c r="AG41" s="77">
        <f t="shared" si="9"/>
        <v>96432.259900000005</v>
      </c>
      <c r="AH41" s="77">
        <f t="shared" si="4"/>
        <v>137400.94330000001</v>
      </c>
      <c r="AI41" s="77">
        <f t="shared" si="5"/>
        <v>77281.189732599989</v>
      </c>
      <c r="AJ41" s="3">
        <f>VLOOKUP(A41,JanApport,MATCH($AJ$4,'Jan 2022 Apport'!$3:$3,0),FALSE)</f>
        <v>5921201.6100000003</v>
      </c>
      <c r="AK41" s="3">
        <f>VLOOKUP(A41,JanApport,MATCH($AK$4,'Jan 2022 Apport'!$3:$3,0),FALSE)</f>
        <v>100.81</v>
      </c>
      <c r="AL41" s="117">
        <f t="shared" si="10"/>
        <v>57168120.429999992</v>
      </c>
      <c r="AM41" s="117">
        <f>VLOOKUP(A41,JanApport,MATCH($AM$4,'Jan 2022 Apport'!$3:$3,0),FALSE)</f>
        <v>416580.52</v>
      </c>
      <c r="AN41" s="117">
        <f>VLOOKUP(A41,JanApport,MATCH($AN$4,'Jan 2022 Apport'!$3:$3,0),FALSE)</f>
        <v>328285.82</v>
      </c>
    </row>
    <row r="42" spans="1:40">
      <c r="A42" s="2" t="s">
        <v>485</v>
      </c>
      <c r="B42" s="2" t="s">
        <v>486</v>
      </c>
      <c r="C42" s="2" t="s">
        <v>1267</v>
      </c>
      <c r="D42" s="118">
        <f>VLOOKUP(A42,JanApport,MATCH($D$4,'Jan 2022 Apport'!$3:$3,FALSE),FALSE)</f>
        <v>6795579.04</v>
      </c>
      <c r="E42" s="30">
        <f>VLOOKUP(A42,JanApport,MATCH($E$2,'Jan 2022 Apport'!$3:$3,0),FALSE)+VLOOKUP(A42,JanApport,MATCH($E$3,'Jan 2022 Apport'!$3:$3,0),FALSE)+VLOOKUP(A42,JanApport,MATCH($E$4,'Jan 2022 Apport'!$3:$3,0),FALSE)</f>
        <v>631457.38</v>
      </c>
      <c r="F42" s="118">
        <f t="shared" si="11"/>
        <v>6164121.6600000001</v>
      </c>
      <c r="G42" s="117">
        <f>VLOOKUP(A42,JanApport,MATCH($G$4,'Jan 2022 Apport'!$3:$3,0),FALSE)</f>
        <v>44392.08</v>
      </c>
      <c r="H42" s="117">
        <f>VLOOKUP(A42,JanApport,MATCH($H$3,'Jan 2022 Apport'!$3:$3,0),FALSE)+VLOOKUP(A42,JanApport,MATCH($H$2,'Jan 2022 Apport'!$3:$3,0),FALSE)+VLOOKUP(A42,JanApport,MATCH($H$4,'Jan 2022 Apport'!$3:$3,0),FALSE)</f>
        <v>888158.25</v>
      </c>
      <c r="I42" s="117">
        <f t="shared" si="13"/>
        <v>932550.33</v>
      </c>
      <c r="J42" s="117">
        <f>VLOOKUP(A42,JanApport,MATCH($J$4,'Jan 2022 Apport'!$3:$3,0),FALSE)</f>
        <v>567089.12</v>
      </c>
      <c r="K42" s="117">
        <f>VLOOKUP(A42,JanApport,MATCH($K$4,'Jan 2022 Apport'!$3:$3,0),FALSE)</f>
        <v>152410.07999999999</v>
      </c>
      <c r="L42" s="117">
        <f t="shared" si="12"/>
        <v>719499.2</v>
      </c>
      <c r="M42" s="117">
        <f>VLOOKUP(A42,JanApport,MATCH($M$4,'Jan 2022 Apport'!$3:$3,0),FALSE)</f>
        <v>234607.81</v>
      </c>
      <c r="N42" s="117">
        <f>VLOOKUP(A42,JanApport,MATCH($N$4,'Jan 2022 Apport'!$3:$3,0),FALSE)</f>
        <v>1761.02</v>
      </c>
      <c r="O42" s="117">
        <f>VLOOKUP(A42,JanApport,MATCH($O$4,'Jan 2022 Apport'!$3:$3,0),FALSE)</f>
        <v>21621.49</v>
      </c>
      <c r="P42" s="121">
        <f>IFERROR((VLOOKUP(A42,ExcessLevy!A:G,3,FALSE)*0.28),0)+IFERROR((VLOOKUP(A42,ExcessLevy!A:G,6,FALSE)*0.72),0)</f>
        <v>193185.79600000003</v>
      </c>
      <c r="Q42" s="121">
        <f>IFERROR((VLOOKUP(A42,ExcessLevy!A:G,4,FALSE)*0.4738),0)+IFERROR((VLOOKUP(A42,ExcessLevy!A:G,7,FALSE)*0.5262),0)</f>
        <v>1000000</v>
      </c>
      <c r="R42">
        <f>VLOOKUP(A42,JanApport,MATCH($R$4,'Jan 2022 Apport'!$3:$3,0),FALSE)</f>
        <v>0</v>
      </c>
      <c r="S42">
        <f>VLOOKUP(A42,JanApport,MATCH($S$4,'Jan 2022 Apport'!$3:$3,0),FALSE)</f>
        <v>10.06</v>
      </c>
      <c r="T42">
        <f>VLOOKUP(A42,JanApport,MATCH($T$4,'Jan 2022 Apport'!$3:$3,0),FALSE)</f>
        <v>60.72</v>
      </c>
      <c r="U42" s="132">
        <f>IFERROR(VLOOKUP(A42,JanApport,MATCH($U$4,'Jan 2022 Apport'!$3:$3,0),FALSE)/R42,0)</f>
        <v>0</v>
      </c>
      <c r="V42" s="30">
        <f>IFERROR(((VLOOKUP(A42,JanApport,MATCH($V$4,'Jan 2022 Apport'!$3:$3,0),FALSE)+VLOOKUP(A42,JanApport,MATCH($V$3,'Jan 2022 Apport'!$3:$3,0),FALSE))/(S42+T42)),0)</f>
        <v>8921.4097202599605</v>
      </c>
      <c r="W42" s="30">
        <f t="shared" si="8"/>
        <v>2452.5713248960005</v>
      </c>
      <c r="X42">
        <f>VLOOKUP(A42,JanApport,MATCH($X$4,'Jan 2022 Apport'!$3:$3,0),FALSE)</f>
        <v>4.8578999999999997E-2</v>
      </c>
      <c r="Y42">
        <f>VLOOKUP(A42,JanApport,MATCH($Y$4,'Jan 2022 Apport'!$3:$3,0),FALSE)</f>
        <v>4.0270000000000002E-3</v>
      </c>
      <c r="Z42">
        <f>VLOOKUP(A42,JanApport,MATCH($Z$4,'Jan 2022 Apport'!$3:$3,0),FALSE)</f>
        <v>1.7100000000000001E-2</v>
      </c>
      <c r="AA42" s="77">
        <f>VLOOKUP(A42,JanApport,MATCH($AA$4,'Jan 2022 Apport'!$3:$3,0),FALSE)*VLOOKUP(A42,JanApport,MATCH($AA$3,'Jan 2022 Apport'!$3:$3,0),FALSE)</f>
        <v>67585</v>
      </c>
      <c r="AB42" s="77">
        <f>VLOOKUP(A42,JanApport,MATCH($AB$4,'Jan 2022 Apport'!$3:$3,0),FALSE)*VLOOKUP(A42,JanApport,MATCH($AB$3,'Jan 2022 Apport'!$3:$3,0),FALSE)</f>
        <v>0</v>
      </c>
      <c r="AC42" s="77">
        <f>VLOOKUP(A42,JanApport,MATCH($AC$4,'Jan 2022 Apport'!$3:$3,0),FALSE)</f>
        <v>0</v>
      </c>
      <c r="AD42" s="77">
        <f>VLOOKUP(A42,JanApport,MATCH($AD$4,'Jan 2022 Apport'!$3:$3,0),FALSE)*VLOOKUP(A42,JanApport,MATCH($AD$3,'Jan 2022 Apport'!$3:$3,0),FALSE)</f>
        <v>0</v>
      </c>
      <c r="AE42" s="77">
        <f>VLOOKUP(A42,JanApport,MATCH($AE$4,'Jan 2022 Apport'!$3:$3,0),FALSE)</f>
        <v>0</v>
      </c>
      <c r="AF42" s="77">
        <f>VLOOKUP(A42,JanApport,MATCH($AF$4,'Jan 2022 Apport'!$3:$3,0),FALSE)*VLOOKUP(A42,JanApport,MATCH($AF$3,'Jan 2022 Apport'!$3:$3,0),FALSE)</f>
        <v>0</v>
      </c>
      <c r="AG42" s="77">
        <f t="shared" si="9"/>
        <v>12280.864000000009</v>
      </c>
      <c r="AH42" s="77">
        <f t="shared" si="4"/>
        <v>11848.32</v>
      </c>
      <c r="AI42" s="77">
        <f t="shared" si="5"/>
        <v>16610.88</v>
      </c>
      <c r="AJ42" s="3">
        <f>VLOOKUP(A42,JanApport,MATCH($AJ$4,'Jan 2022 Apport'!$3:$3,0),FALSE)</f>
        <v>764392.32</v>
      </c>
      <c r="AK42" s="3">
        <f>VLOOKUP(A42,JanApport,MATCH($AK$4,'Jan 2022 Apport'!$3:$3,0),FALSE)</f>
        <v>12.569000000000001</v>
      </c>
      <c r="AL42" s="117">
        <f t="shared" si="10"/>
        <v>8630302.629999999</v>
      </c>
      <c r="AM42" s="117">
        <f>VLOOKUP(A42,JanApport,MATCH($AM$4,'Jan 2022 Apport'!$3:$3,0),FALSE)</f>
        <v>77093.820000000007</v>
      </c>
      <c r="AN42" s="117">
        <f>VLOOKUP(A42,JanApport,MATCH($AN$4,'Jan 2022 Apport'!$3:$3,0),FALSE)</f>
        <v>42490.85</v>
      </c>
    </row>
    <row r="43" spans="1:40">
      <c r="A43" s="2" t="s">
        <v>1038</v>
      </c>
      <c r="B43" s="2" t="s">
        <v>1043</v>
      </c>
      <c r="C43" s="2" t="s">
        <v>1267</v>
      </c>
      <c r="D43" s="118">
        <f>VLOOKUP(A43,JanApport,MATCH($D$4,'Jan 2022 Apport'!$3:$3,FALSE),FALSE)</f>
        <v>5308277.1100000003</v>
      </c>
      <c r="E43" s="30">
        <f>VLOOKUP(A43,JanApport,MATCH($E$2,'Jan 2022 Apport'!$3:$3,0),FALSE)+VLOOKUP(A43,JanApport,MATCH($E$3,'Jan 2022 Apport'!$3:$3,0),FALSE)+VLOOKUP(A43,JanApport,MATCH($E$4,'Jan 2022 Apport'!$3:$3,0),FALSE)</f>
        <v>267654.89</v>
      </c>
      <c r="F43" s="118">
        <f t="shared" si="11"/>
        <v>5040622.2200000007</v>
      </c>
      <c r="G43" s="117">
        <f>VLOOKUP(A43,JanApport,MATCH($G$4,'Jan 2022 Apport'!$3:$3,0),FALSE)</f>
        <v>0</v>
      </c>
      <c r="H43" s="117">
        <f>VLOOKUP(A43,JanApport,MATCH($H$3,'Jan 2022 Apport'!$3:$3,0),FALSE)+VLOOKUP(A43,JanApport,MATCH($H$2,'Jan 2022 Apport'!$3:$3,0),FALSE)+VLOOKUP(A43,JanApport,MATCH($H$4,'Jan 2022 Apport'!$3:$3,0),FALSE)</f>
        <v>0</v>
      </c>
      <c r="I43" s="117">
        <f t="shared" si="13"/>
        <v>0</v>
      </c>
      <c r="J43" s="117">
        <f>VLOOKUP(A43,JanApport,MATCH($J$4,'Jan 2022 Apport'!$3:$3,0),FALSE)</f>
        <v>487556.37</v>
      </c>
      <c r="K43" s="117">
        <f>VLOOKUP(A43,JanApport,MATCH($K$4,'Jan 2022 Apport'!$3:$3,0),FALSE)</f>
        <v>0</v>
      </c>
      <c r="L43" s="117">
        <f t="shared" si="12"/>
        <v>487556.37</v>
      </c>
      <c r="M43" s="117">
        <f>VLOOKUP(A43,JanApport,MATCH($M$4,'Jan 2022 Apport'!$3:$3,0),FALSE)</f>
        <v>205575.97</v>
      </c>
      <c r="N43" s="117">
        <f>VLOOKUP(A43,JanApport,MATCH($N$4,'Jan 2022 Apport'!$3:$3,0),FALSE)</f>
        <v>0</v>
      </c>
      <c r="O43" s="117">
        <f>VLOOKUP(A43,JanApport,MATCH($O$4,'Jan 2022 Apport'!$3:$3,0),FALSE)</f>
        <v>0</v>
      </c>
      <c r="P43" s="121">
        <f>IFERROR((VLOOKUP(A43,ExcessLevy!A:G,3,FALSE)*0.28),0)+IFERROR((VLOOKUP(A43,ExcessLevy!A:G,6,FALSE)*0.72),0)</f>
        <v>611195.57999999996</v>
      </c>
      <c r="Q43" s="121">
        <f>IFERROR((VLOOKUP(A43,ExcessLevy!A:G,4,FALSE)*0.4738),0)+IFERROR((VLOOKUP(A43,ExcessLevy!A:G,7,FALSE)*0.5262),0)</f>
        <v>0</v>
      </c>
      <c r="R43">
        <f>VLOOKUP(A43,JanApport,MATCH($R$4,'Jan 2022 Apport'!$3:$3,0),FALSE)</f>
        <v>0</v>
      </c>
      <c r="S43">
        <f>VLOOKUP(A43,JanApport,MATCH($S$4,'Jan 2022 Apport'!$3:$3,0),FALSE)</f>
        <v>0</v>
      </c>
      <c r="T43">
        <f>VLOOKUP(A43,JanApport,MATCH($T$4,'Jan 2022 Apport'!$3:$3,0),FALSE)</f>
        <v>28.78</v>
      </c>
      <c r="U43" s="132">
        <f>IFERROR(VLOOKUP(A43,JanApport,MATCH($U$4,'Jan 2022 Apport'!$3:$3,0),FALSE)/R43,0)</f>
        <v>0</v>
      </c>
      <c r="V43" s="30">
        <f>IFERROR(((VLOOKUP(A43,JanApport,MATCH($V$4,'Jan 2022 Apport'!$3:$3,0),FALSE)+VLOOKUP(A43,JanApport,MATCH($V$3,'Jan 2022 Apport'!$3:$3,0),FALSE))/(S43+T43)),0)</f>
        <v>9300.0309242529529</v>
      </c>
      <c r="W43" s="30">
        <f t="shared" si="8"/>
        <v>8420.8524946760499</v>
      </c>
      <c r="X43">
        <f>VLOOKUP(A43,JanApport,MATCH($X$4,'Jan 2022 Apport'!$3:$3,0),FALSE)</f>
        <v>4.8578999999999997E-2</v>
      </c>
      <c r="Y43">
        <f>VLOOKUP(A43,JanApport,MATCH($Y$4,'Jan 2022 Apport'!$3:$3,0),FALSE)</f>
        <v>4.0270000000000002E-3</v>
      </c>
      <c r="Z43">
        <f>VLOOKUP(A43,JanApport,MATCH($Z$4,'Jan 2022 Apport'!$3:$3,0),FALSE)</f>
        <v>1.7100000000000001E-2</v>
      </c>
      <c r="AA43" s="77">
        <f>VLOOKUP(A43,JanApport,MATCH($AA$4,'Jan 2022 Apport'!$3:$3,0),FALSE)*VLOOKUP(A43,JanApport,MATCH($AA$3,'Jan 2022 Apport'!$3:$3,0),FALSE)</f>
        <v>71640.100000000006</v>
      </c>
      <c r="AB43" s="77">
        <f>VLOOKUP(A43,JanApport,MATCH($AB$4,'Jan 2022 Apport'!$3:$3,0),FALSE)*VLOOKUP(A43,JanApport,MATCH($AB$3,'Jan 2022 Apport'!$3:$3,0),FALSE)</f>
        <v>73073.22</v>
      </c>
      <c r="AC43" s="77">
        <f>VLOOKUP(A43,JanApport,MATCH($AC$4,'Jan 2022 Apport'!$3:$3,0),FALSE)</f>
        <v>100321</v>
      </c>
      <c r="AD43" s="77">
        <f>VLOOKUP(A43,JanApport,MATCH($AD$4,'Jan 2022 Apport'!$3:$3,0),FALSE)*VLOOKUP(A43,JanApport,MATCH($AD$3,'Jan 2022 Apport'!$3:$3,0),FALSE)</f>
        <v>108466.62000000001</v>
      </c>
      <c r="AE43" s="77">
        <f>VLOOKUP(A43,JanApport,MATCH($AE$4,'Jan 2022 Apport'!$3:$3,0),FALSE)</f>
        <v>48483</v>
      </c>
      <c r="AF43" s="77">
        <f>VLOOKUP(A43,JanApport,MATCH($AF$4,'Jan 2022 Apport'!$3:$3,0),FALSE)*VLOOKUP(A43,JanApport,MATCH($AF$3,'Jan 2022 Apport'!$3:$3,0),FALSE)</f>
        <v>52420.18</v>
      </c>
      <c r="AG43" s="77">
        <f t="shared" si="9"/>
        <v>101507.296294</v>
      </c>
      <c r="AH43" s="77">
        <f t="shared" si="4"/>
        <v>144895.57743400004</v>
      </c>
      <c r="AI43" s="77">
        <f t="shared" si="5"/>
        <v>80819.594016556002</v>
      </c>
      <c r="AJ43" s="3">
        <f>VLOOKUP(A43,JanApport,MATCH($AJ$4,'Jan 2022 Apport'!$3:$3,0),FALSE)</f>
        <v>805451.11</v>
      </c>
      <c r="AK43" s="3">
        <f>VLOOKUP(A43,JanApport,MATCH($AK$4,'Jan 2022 Apport'!$3:$3,0),FALSE)</f>
        <v>8.343</v>
      </c>
      <c r="AL43" s="117">
        <f t="shared" si="10"/>
        <v>6001409.4500000002</v>
      </c>
      <c r="AM43" s="117">
        <f>VLOOKUP(A43,JanApport,MATCH($AM$4,'Jan 2022 Apport'!$3:$3,0),FALSE)</f>
        <v>0</v>
      </c>
      <c r="AN43" s="117">
        <f>VLOOKUP(A43,JanApport,MATCH($AN$4,'Jan 2022 Apport'!$3:$3,0),FALSE)</f>
        <v>43717.16</v>
      </c>
    </row>
    <row r="44" spans="1:40">
      <c r="A44" s="2" t="s">
        <v>179</v>
      </c>
      <c r="B44" s="2" t="s">
        <v>180</v>
      </c>
      <c r="C44" s="2" t="s">
        <v>1267</v>
      </c>
      <c r="D44" s="118">
        <f>VLOOKUP(A44,JanApport,MATCH($D$4,'Jan 2022 Apport'!$3:$3,FALSE),FALSE)</f>
        <v>6655653.0800000001</v>
      </c>
      <c r="E44" s="30">
        <f>VLOOKUP(A44,JanApport,MATCH($E$2,'Jan 2022 Apport'!$3:$3,0),FALSE)+VLOOKUP(A44,JanApport,MATCH($E$3,'Jan 2022 Apport'!$3:$3,0),FALSE)+VLOOKUP(A44,JanApport,MATCH($E$4,'Jan 2022 Apport'!$3:$3,0),FALSE)</f>
        <v>133040.01</v>
      </c>
      <c r="F44" s="118">
        <f t="shared" si="11"/>
        <v>6522613.0700000003</v>
      </c>
      <c r="G44" s="117">
        <f>VLOOKUP(A44,JanApport,MATCH($G$4,'Jan 2022 Apport'!$3:$3,0),FALSE)</f>
        <v>112726.52</v>
      </c>
      <c r="H44" s="117">
        <f>VLOOKUP(A44,JanApport,MATCH($H$3,'Jan 2022 Apport'!$3:$3,0),FALSE)+VLOOKUP(A44,JanApport,MATCH($H$2,'Jan 2022 Apport'!$3:$3,0),FALSE)+VLOOKUP(A44,JanApport,MATCH($H$4,'Jan 2022 Apport'!$3:$3,0),FALSE)</f>
        <v>865515.84000000008</v>
      </c>
      <c r="I44" s="117">
        <f t="shared" si="13"/>
        <v>978242.3600000001</v>
      </c>
      <c r="J44" s="117">
        <f>VLOOKUP(A44,JanApport,MATCH($J$4,'Jan 2022 Apport'!$3:$3,0),FALSE)</f>
        <v>875331.41</v>
      </c>
      <c r="K44" s="117">
        <f>VLOOKUP(A44,JanApport,MATCH($K$4,'Jan 2022 Apport'!$3:$3,0),FALSE)</f>
        <v>126365</v>
      </c>
      <c r="L44" s="117">
        <f t="shared" si="12"/>
        <v>1001696.41</v>
      </c>
      <c r="M44" s="117">
        <f>VLOOKUP(A44,JanApport,MATCH($M$4,'Jan 2022 Apport'!$3:$3,0),FALSE)</f>
        <v>240316.32</v>
      </c>
      <c r="N44" s="117">
        <f>VLOOKUP(A44,JanApport,MATCH($N$4,'Jan 2022 Apport'!$3:$3,0),FALSE)</f>
        <v>25524.14</v>
      </c>
      <c r="O44" s="117">
        <f>VLOOKUP(A44,JanApport,MATCH($O$4,'Jan 2022 Apport'!$3:$3,0),FALSE)</f>
        <v>0</v>
      </c>
      <c r="P44" s="121">
        <f>IFERROR((VLOOKUP(A44,ExcessLevy!A:G,3,FALSE)*0.28),0)+IFERROR((VLOOKUP(A44,ExcessLevy!A:G,6,FALSE)*0.72),0)</f>
        <v>0</v>
      </c>
      <c r="Q44" s="121">
        <f>IFERROR((VLOOKUP(A44,ExcessLevy!A:G,4,FALSE)*0.4738),0)+IFERROR((VLOOKUP(A44,ExcessLevy!A:G,7,FALSE)*0.5262),0)</f>
        <v>2088691.754372</v>
      </c>
      <c r="R44">
        <f>VLOOKUP(A44,JanApport,MATCH($R$4,'Jan 2022 Apport'!$3:$3,0),FALSE)</f>
        <v>0</v>
      </c>
      <c r="S44">
        <f>VLOOKUP(A44,JanApport,MATCH($S$4,'Jan 2022 Apport'!$3:$3,0),FALSE)</f>
        <v>0</v>
      </c>
      <c r="T44">
        <f>VLOOKUP(A44,JanApport,MATCH($T$4,'Jan 2022 Apport'!$3:$3,0),FALSE)</f>
        <v>13.75</v>
      </c>
      <c r="U44" s="132">
        <f>IFERROR(VLOOKUP(A44,JanApport,MATCH($U$4,'Jan 2022 Apport'!$3:$3,0),FALSE)/R44,0)</f>
        <v>0</v>
      </c>
      <c r="V44" s="30">
        <f>IFERROR(((VLOOKUP(A44,JanApport,MATCH($V$4,'Jan 2022 Apport'!$3:$3,0),FALSE)+VLOOKUP(A44,JanApport,MATCH($V$3,'Jan 2022 Apport'!$3:$3,0),FALSE))/(S44+T44)),0)</f>
        <v>9675.6370909090911</v>
      </c>
      <c r="W44" s="30">
        <f t="shared" si="8"/>
        <v>8086.1462033757807</v>
      </c>
      <c r="X44">
        <f>VLOOKUP(A44,JanApport,MATCH($X$4,'Jan 2022 Apport'!$3:$3,0),FALSE)</f>
        <v>4.8578999999999997E-2</v>
      </c>
      <c r="Y44">
        <f>VLOOKUP(A44,JanApport,MATCH($Y$4,'Jan 2022 Apport'!$3:$3,0),FALSE)</f>
        <v>4.0270000000000002E-3</v>
      </c>
      <c r="Z44">
        <f>VLOOKUP(A44,JanApport,MATCH($Z$4,'Jan 2022 Apport'!$3:$3,0),FALSE)</f>
        <v>1.7100000000000001E-2</v>
      </c>
      <c r="AA44" s="77">
        <f>VLOOKUP(A44,JanApport,MATCH($AA$4,'Jan 2022 Apport'!$3:$3,0),FALSE)*VLOOKUP(A44,JanApport,MATCH($AA$3,'Jan 2022 Apport'!$3:$3,0),FALSE)</f>
        <v>75695.200000000012</v>
      </c>
      <c r="AB44" s="77">
        <f>VLOOKUP(A44,JanApport,MATCH($AB$4,'Jan 2022 Apport'!$3:$3,0),FALSE)*VLOOKUP(A44,JanApport,MATCH($AB$3,'Jan 2022 Apport'!$3:$3,0),FALSE)</f>
        <v>68937</v>
      </c>
      <c r="AC44" s="77">
        <f>VLOOKUP(A44,JanApport,MATCH($AC$4,'Jan 2022 Apport'!$3:$3,0),FALSE)</f>
        <v>100321</v>
      </c>
      <c r="AD44" s="77">
        <f>VLOOKUP(A44,JanApport,MATCH($AD$4,'Jan 2022 Apport'!$3:$3,0),FALSE)*VLOOKUP(A44,JanApport,MATCH($AD$3,'Jan 2022 Apport'!$3:$3,0),FALSE)</f>
        <v>102327</v>
      </c>
      <c r="AE44" s="77">
        <f>VLOOKUP(A44,JanApport,MATCH($AE$4,'Jan 2022 Apport'!$3:$3,0),FALSE)</f>
        <v>48483</v>
      </c>
      <c r="AF44" s="77">
        <f>VLOOKUP(A44,JanApport,MATCH($AF$4,'Jan 2022 Apport'!$3:$3,0),FALSE)*VLOOKUP(A44,JanApport,MATCH($AF$3,'Jan 2022 Apport'!$3:$3,0),FALSE)</f>
        <v>49453</v>
      </c>
      <c r="AG44" s="77">
        <f t="shared" si="9"/>
        <v>96484.165180000011</v>
      </c>
      <c r="AH44" s="77">
        <f t="shared" si="4"/>
        <v>137400.94330000001</v>
      </c>
      <c r="AI44" s="77">
        <f t="shared" si="5"/>
        <v>77281.189732599989</v>
      </c>
      <c r="AJ44" s="3">
        <f>VLOOKUP(A44,JanApport,MATCH($AJ$4,'Jan 2022 Apport'!$3:$3,0),FALSE)</f>
        <v>822080.63</v>
      </c>
      <c r="AK44" s="3">
        <f>VLOOKUP(A44,JanApport,MATCH($AK$4,'Jan 2022 Apport'!$3:$3,0),FALSE)</f>
        <v>12.121</v>
      </c>
      <c r="AL44" s="117">
        <f t="shared" si="10"/>
        <v>8884518.3000000007</v>
      </c>
      <c r="AM44" s="117">
        <f>VLOOKUP(A44,JanApport,MATCH($AM$4,'Jan 2022 Apport'!$3:$3,0),FALSE)</f>
        <v>109450.99</v>
      </c>
      <c r="AN44" s="117">
        <f>VLOOKUP(A44,JanApport,MATCH($AN$4,'Jan 2022 Apport'!$3:$3,0),FALSE)</f>
        <v>52512.72</v>
      </c>
    </row>
    <row r="45" spans="1:40">
      <c r="A45" s="2" t="s">
        <v>13</v>
      </c>
      <c r="B45" s="2" t="s">
        <v>14</v>
      </c>
      <c r="C45" s="2" t="s">
        <v>1267</v>
      </c>
      <c r="D45" s="118">
        <f>VLOOKUP(A45,JanApport,MATCH($D$4,'Jan 2022 Apport'!$3:$3,FALSE),FALSE)</f>
        <v>21093458.890000001</v>
      </c>
      <c r="E45" s="30">
        <f>VLOOKUP(A45,JanApport,MATCH($E$2,'Jan 2022 Apport'!$3:$3,0),FALSE)+VLOOKUP(A45,JanApport,MATCH($E$3,'Jan 2022 Apport'!$3:$3,0),FALSE)+VLOOKUP(A45,JanApport,MATCH($E$4,'Jan 2022 Apport'!$3:$3,0),FALSE)</f>
        <v>1382825.07</v>
      </c>
      <c r="F45" s="118">
        <f t="shared" si="11"/>
        <v>19710633.82</v>
      </c>
      <c r="G45" s="117">
        <f>VLOOKUP(A45,JanApport,MATCH($G$4,'Jan 2022 Apport'!$3:$3,0),FALSE)</f>
        <v>242871.37</v>
      </c>
      <c r="H45" s="117">
        <f>VLOOKUP(A45,JanApport,MATCH($H$3,'Jan 2022 Apport'!$3:$3,0),FALSE)+VLOOKUP(A45,JanApport,MATCH($H$2,'Jan 2022 Apport'!$3:$3,0),FALSE)+VLOOKUP(A45,JanApport,MATCH($H$4,'Jan 2022 Apport'!$3:$3,0),FALSE)</f>
        <v>2812269.02</v>
      </c>
      <c r="I45" s="117">
        <f t="shared" si="13"/>
        <v>3055140.39</v>
      </c>
      <c r="J45" s="117">
        <f>VLOOKUP(A45,JanApport,MATCH($J$4,'Jan 2022 Apport'!$3:$3,0),FALSE)</f>
        <v>988141.5</v>
      </c>
      <c r="K45" s="117">
        <f>VLOOKUP(A45,JanApport,MATCH($K$4,'Jan 2022 Apport'!$3:$3,0),FALSE)</f>
        <v>81195.839999999997</v>
      </c>
      <c r="L45" s="117">
        <f t="shared" si="12"/>
        <v>1069337.3400000001</v>
      </c>
      <c r="M45" s="117">
        <f>VLOOKUP(A45,JanApport,MATCH($M$4,'Jan 2022 Apport'!$3:$3,0),FALSE)</f>
        <v>876599.66</v>
      </c>
      <c r="N45" s="117">
        <f>VLOOKUP(A45,JanApport,MATCH($N$4,'Jan 2022 Apport'!$3:$3,0),FALSE)</f>
        <v>28959.09</v>
      </c>
      <c r="O45" s="117">
        <f>VLOOKUP(A45,JanApport,MATCH($O$4,'Jan 2022 Apport'!$3:$3,0),FALSE)</f>
        <v>68680.009999999995</v>
      </c>
      <c r="P45" s="121">
        <f>IFERROR((VLOOKUP(A45,ExcessLevy!A:G,3,FALSE)*0.28),0)+IFERROR((VLOOKUP(A45,ExcessLevy!A:G,6,FALSE)*0.72),0)</f>
        <v>1807512.2420000001</v>
      </c>
      <c r="Q45" s="121">
        <f>IFERROR((VLOOKUP(A45,ExcessLevy!A:G,4,FALSE)*0.4738),0)+IFERROR((VLOOKUP(A45,ExcessLevy!A:G,7,FALSE)*0.5262),0)</f>
        <v>2976722.1503999997</v>
      </c>
      <c r="R45">
        <f>VLOOKUP(A45,JanApport,MATCH($R$4,'Jan 2022 Apport'!$3:$3,0),FALSE)</f>
        <v>0</v>
      </c>
      <c r="S45">
        <f>VLOOKUP(A45,JanApport,MATCH($S$4,'Jan 2022 Apport'!$3:$3,0),FALSE)</f>
        <v>0</v>
      </c>
      <c r="T45">
        <f>VLOOKUP(A45,JanApport,MATCH($T$4,'Jan 2022 Apport'!$3:$3,0),FALSE)</f>
        <v>154.96</v>
      </c>
      <c r="U45" s="132">
        <f>IFERROR(VLOOKUP(A45,JanApport,MATCH($U$4,'Jan 2022 Apport'!$3:$3,0),FALSE)/R45,0)</f>
        <v>0</v>
      </c>
      <c r="V45" s="30">
        <f>IFERROR(((VLOOKUP(A45,JanApport,MATCH($V$4,'Jan 2022 Apport'!$3:$3,0),FALSE)+VLOOKUP(A45,JanApport,MATCH($V$3,'Jan 2022 Apport'!$3:$3,0),FALSE))/(S45+T45)),0)</f>
        <v>8923.7549690242649</v>
      </c>
      <c r="W45" s="30">
        <f t="shared" si="8"/>
        <v>8083.6246967786601</v>
      </c>
      <c r="X45">
        <f>VLOOKUP(A45,JanApport,MATCH($X$4,'Jan 2022 Apport'!$3:$3,0),FALSE)</f>
        <v>4.8578999999999997E-2</v>
      </c>
      <c r="Y45">
        <f>VLOOKUP(A45,JanApport,MATCH($Y$4,'Jan 2022 Apport'!$3:$3,0),FALSE)</f>
        <v>4.0270000000000002E-3</v>
      </c>
      <c r="Z45">
        <f>VLOOKUP(A45,JanApport,MATCH($Z$4,'Jan 2022 Apport'!$3:$3,0),FALSE)</f>
        <v>1.7100000000000001E-2</v>
      </c>
      <c r="AA45" s="77">
        <f>VLOOKUP(A45,JanApport,MATCH($AA$4,'Jan 2022 Apport'!$3:$3,0),FALSE)*VLOOKUP(A45,JanApport,MATCH($AA$3,'Jan 2022 Apport'!$3:$3,0),FALSE)</f>
        <v>67585</v>
      </c>
      <c r="AB45" s="77">
        <f>VLOOKUP(A45,JanApport,MATCH($AB$4,'Jan 2022 Apport'!$3:$3,0),FALSE)*VLOOKUP(A45,JanApport,MATCH($AB$3,'Jan 2022 Apport'!$3:$3,0),FALSE)</f>
        <v>68937</v>
      </c>
      <c r="AC45" s="77">
        <f>VLOOKUP(A45,JanApport,MATCH($AC$4,'Jan 2022 Apport'!$3:$3,0),FALSE)</f>
        <v>100321</v>
      </c>
      <c r="AD45" s="77">
        <f>VLOOKUP(A45,JanApport,MATCH($AD$4,'Jan 2022 Apport'!$3:$3,0),FALSE)*VLOOKUP(A45,JanApport,MATCH($AD$3,'Jan 2022 Apport'!$3:$3,0),FALSE)</f>
        <v>102327</v>
      </c>
      <c r="AE45" s="77">
        <f>VLOOKUP(A45,JanApport,MATCH($AE$4,'Jan 2022 Apport'!$3:$3,0),FALSE)</f>
        <v>48483</v>
      </c>
      <c r="AF45" s="77">
        <f>VLOOKUP(A45,JanApport,MATCH($AF$4,'Jan 2022 Apport'!$3:$3,0),FALSE)*VLOOKUP(A45,JanApport,MATCH($AF$3,'Jan 2022 Apport'!$3:$3,0),FALSE)</f>
        <v>49453</v>
      </c>
      <c r="AG45" s="77">
        <f t="shared" si="9"/>
        <v>96432.259900000005</v>
      </c>
      <c r="AH45" s="77">
        <f t="shared" si="4"/>
        <v>137400.94330000001</v>
      </c>
      <c r="AI45" s="77">
        <f t="shared" si="5"/>
        <v>77281.189732599989</v>
      </c>
      <c r="AJ45" s="3">
        <f>VLOOKUP(A45,JanApport,MATCH($AJ$4,'Jan 2022 Apport'!$3:$3,0),FALSE)</f>
        <v>2914487.99</v>
      </c>
      <c r="AK45" s="3">
        <f>VLOOKUP(A45,JanApport,MATCH($AK$4,'Jan 2022 Apport'!$3:$3,0),FALSE)</f>
        <v>45.74</v>
      </c>
      <c r="AL45" s="117">
        <f t="shared" si="10"/>
        <v>26490676.340000004</v>
      </c>
      <c r="AM45" s="117">
        <f>VLOOKUP(A45,JanApport,MATCH($AM$4,'Jan 2022 Apport'!$3:$3,0),FALSE)</f>
        <v>379696.8</v>
      </c>
      <c r="AN45" s="117">
        <f>VLOOKUP(A45,JanApport,MATCH($AN$4,'Jan 2022 Apport'!$3:$3,0),FALSE)</f>
        <v>157119.07</v>
      </c>
    </row>
    <row r="46" spans="1:40">
      <c r="A46" s="2" t="s">
        <v>249</v>
      </c>
      <c r="B46" s="2" t="s">
        <v>250</v>
      </c>
      <c r="C46" s="2" t="s">
        <v>1267</v>
      </c>
      <c r="D46" s="118">
        <f>VLOOKUP(A46,JanApport,MATCH($D$4,'Jan 2022 Apport'!$3:$3,FALSE),FALSE)</f>
        <v>7709269.8799999999</v>
      </c>
      <c r="E46" s="30">
        <f>VLOOKUP(A46,JanApport,MATCH($E$2,'Jan 2022 Apport'!$3:$3,0),FALSE)+VLOOKUP(A46,JanApport,MATCH($E$3,'Jan 2022 Apport'!$3:$3,0),FALSE)+VLOOKUP(A46,JanApport,MATCH($E$4,'Jan 2022 Apport'!$3:$3,0),FALSE)</f>
        <v>624364.53999999992</v>
      </c>
      <c r="F46" s="118">
        <f t="shared" si="11"/>
        <v>7084905.3399999999</v>
      </c>
      <c r="G46" s="117">
        <f>VLOOKUP(A46,JanApport,MATCH($G$4,'Jan 2022 Apport'!$3:$3,0),FALSE)</f>
        <v>127037.33</v>
      </c>
      <c r="H46" s="117">
        <f>VLOOKUP(A46,JanApport,MATCH($H$3,'Jan 2022 Apport'!$3:$3,0),FALSE)+VLOOKUP(A46,JanApport,MATCH($H$2,'Jan 2022 Apport'!$3:$3,0),FALSE)+VLOOKUP(A46,JanApport,MATCH($H$4,'Jan 2022 Apport'!$3:$3,0),FALSE)</f>
        <v>1016056.61</v>
      </c>
      <c r="I46" s="117">
        <f t="shared" si="13"/>
        <v>1143093.94</v>
      </c>
      <c r="J46" s="117">
        <f>VLOOKUP(A46,JanApport,MATCH($J$4,'Jan 2022 Apport'!$3:$3,0),FALSE)</f>
        <v>545268.26</v>
      </c>
      <c r="K46" s="117">
        <f>VLOOKUP(A46,JanApport,MATCH($K$4,'Jan 2022 Apport'!$3:$3,0),FALSE)</f>
        <v>83853.84</v>
      </c>
      <c r="L46" s="117">
        <f t="shared" si="12"/>
        <v>629122.1</v>
      </c>
      <c r="M46" s="117">
        <f>VLOOKUP(A46,JanApport,MATCH($M$4,'Jan 2022 Apport'!$3:$3,0),FALSE)</f>
        <v>202420.16</v>
      </c>
      <c r="N46" s="117">
        <f>VLOOKUP(A46,JanApport,MATCH($N$4,'Jan 2022 Apport'!$3:$3,0),FALSE)</f>
        <v>19958.3</v>
      </c>
      <c r="O46" s="117">
        <f>VLOOKUP(A46,JanApport,MATCH($O$4,'Jan 2022 Apport'!$3:$3,0),FALSE)</f>
        <v>24947.87</v>
      </c>
      <c r="P46" s="121">
        <f>IFERROR((VLOOKUP(A46,ExcessLevy!A:G,3,FALSE)*0.28),0)+IFERROR((VLOOKUP(A46,ExcessLevy!A:G,6,FALSE)*0.72),0)</f>
        <v>0</v>
      </c>
      <c r="Q46" s="121">
        <f>IFERROR((VLOOKUP(A46,ExcessLevy!A:G,4,FALSE)*0.4738),0)+IFERROR((VLOOKUP(A46,ExcessLevy!A:G,7,FALSE)*0.5262),0)</f>
        <v>2533564.0098000001</v>
      </c>
      <c r="R46">
        <f>VLOOKUP(A46,JanApport,MATCH($R$4,'Jan 2022 Apport'!$3:$3,0),FALSE)</f>
        <v>0</v>
      </c>
      <c r="S46">
        <f>VLOOKUP(A46,JanApport,MATCH($S$4,'Jan 2022 Apport'!$3:$3,0),FALSE)</f>
        <v>8.83</v>
      </c>
      <c r="T46">
        <f>VLOOKUP(A46,JanApport,MATCH($T$4,'Jan 2022 Apport'!$3:$3,0),FALSE)</f>
        <v>61.15</v>
      </c>
      <c r="U46" s="132">
        <f>IFERROR(VLOOKUP(A46,JanApport,MATCH($U$4,'Jan 2022 Apport'!$3:$3,0),FALSE)/R46,0)</f>
        <v>0</v>
      </c>
      <c r="V46" s="30">
        <f>IFERROR(((VLOOKUP(A46,JanApport,MATCH($V$4,'Jan 2022 Apport'!$3:$3,0),FALSE)+VLOOKUP(A46,JanApport,MATCH($V$3,'Jan 2022 Apport'!$3:$3,0),FALSE))/(S46+T46)),0)</f>
        <v>8922.042583595312</v>
      </c>
      <c r="W46" s="30">
        <f t="shared" si="8"/>
        <v>8083.6246967786601</v>
      </c>
      <c r="X46">
        <f>VLOOKUP(A46,JanApport,MATCH($X$4,'Jan 2022 Apport'!$3:$3,0),FALSE)</f>
        <v>4.8578999999999997E-2</v>
      </c>
      <c r="Y46">
        <f>VLOOKUP(A46,JanApport,MATCH($Y$4,'Jan 2022 Apport'!$3:$3,0),FALSE)</f>
        <v>4.0270000000000002E-3</v>
      </c>
      <c r="Z46">
        <f>VLOOKUP(A46,JanApport,MATCH($Z$4,'Jan 2022 Apport'!$3:$3,0),FALSE)</f>
        <v>1.7100000000000001E-2</v>
      </c>
      <c r="AA46" s="77">
        <f>VLOOKUP(A46,JanApport,MATCH($AA$4,'Jan 2022 Apport'!$3:$3,0),FALSE)*VLOOKUP(A46,JanApport,MATCH($AA$3,'Jan 2022 Apport'!$3:$3,0),FALSE)</f>
        <v>67585</v>
      </c>
      <c r="AB46" s="77">
        <f>VLOOKUP(A46,JanApport,MATCH($AB$4,'Jan 2022 Apport'!$3:$3,0),FALSE)*VLOOKUP(A46,JanApport,MATCH($AB$3,'Jan 2022 Apport'!$3:$3,0),FALSE)</f>
        <v>68937</v>
      </c>
      <c r="AC46" s="77">
        <f>VLOOKUP(A46,JanApport,MATCH($AC$4,'Jan 2022 Apport'!$3:$3,0),FALSE)</f>
        <v>100321</v>
      </c>
      <c r="AD46" s="77">
        <f>VLOOKUP(A46,JanApport,MATCH($AD$4,'Jan 2022 Apport'!$3:$3,0),FALSE)*VLOOKUP(A46,JanApport,MATCH($AD$3,'Jan 2022 Apport'!$3:$3,0),FALSE)</f>
        <v>102327</v>
      </c>
      <c r="AE46" s="77">
        <f>VLOOKUP(A46,JanApport,MATCH($AE$4,'Jan 2022 Apport'!$3:$3,0),FALSE)</f>
        <v>48483</v>
      </c>
      <c r="AF46" s="77">
        <f>VLOOKUP(A46,JanApport,MATCH($AF$4,'Jan 2022 Apport'!$3:$3,0),FALSE)*VLOOKUP(A46,JanApport,MATCH($AF$3,'Jan 2022 Apport'!$3:$3,0),FALSE)</f>
        <v>49453</v>
      </c>
      <c r="AG46" s="77">
        <f t="shared" si="9"/>
        <v>96432.259900000005</v>
      </c>
      <c r="AH46" s="77">
        <f t="shared" si="4"/>
        <v>137400.94330000001</v>
      </c>
      <c r="AI46" s="77">
        <f t="shared" si="5"/>
        <v>77281.189732599989</v>
      </c>
      <c r="AJ46" s="3">
        <f>VLOOKUP(A46,JanApport,MATCH($AJ$4,'Jan 2022 Apport'!$3:$3,0),FALSE)</f>
        <v>1093824.3</v>
      </c>
      <c r="AK46" s="3">
        <f>VLOOKUP(A46,JanApport,MATCH($AK$4,'Jan 2022 Apport'!$3:$3,0),FALSE)</f>
        <v>16.757000000000001</v>
      </c>
      <c r="AL46" s="117">
        <f t="shared" si="10"/>
        <v>9651709.0099999979</v>
      </c>
      <c r="AM46" s="117">
        <f>VLOOKUP(A46,JanApport,MATCH($AM$4,'Jan 2022 Apport'!$3:$3,0),FALSE)</f>
        <v>6750.6</v>
      </c>
      <c r="AN46" s="117">
        <f>VLOOKUP(A46,JanApport,MATCH($AN$4,'Jan 2022 Apport'!$3:$3,0),FALSE)</f>
        <v>59353.39</v>
      </c>
    </row>
    <row r="47" spans="1:40">
      <c r="A47" s="2" t="s">
        <v>377</v>
      </c>
      <c r="B47" s="2" t="s">
        <v>378</v>
      </c>
      <c r="C47" s="2" t="s">
        <v>1267</v>
      </c>
      <c r="D47" s="118">
        <f>VLOOKUP(A47,JanApport,MATCH($D$4,'Jan 2022 Apport'!$3:$3,FALSE),FALSE)</f>
        <v>108666687.34</v>
      </c>
      <c r="E47" s="30">
        <f>VLOOKUP(A47,JanApport,MATCH($E$2,'Jan 2022 Apport'!$3:$3,0),FALSE)+VLOOKUP(A47,JanApport,MATCH($E$3,'Jan 2022 Apport'!$3:$3,0),FALSE)+VLOOKUP(A47,JanApport,MATCH($E$4,'Jan 2022 Apport'!$3:$3,0),FALSE)</f>
        <v>8748540.3100000005</v>
      </c>
      <c r="F47" s="118">
        <f t="shared" si="11"/>
        <v>99918147.030000001</v>
      </c>
      <c r="G47" s="117">
        <f>VLOOKUP(A47,JanApport,MATCH($G$4,'Jan 2022 Apport'!$3:$3,0),FALSE)</f>
        <v>1701672.13</v>
      </c>
      <c r="H47" s="117">
        <f>VLOOKUP(A47,JanApport,MATCH($H$3,'Jan 2022 Apport'!$3:$3,0),FALSE)+VLOOKUP(A47,JanApport,MATCH($H$2,'Jan 2022 Apport'!$3:$3,0),FALSE)+VLOOKUP(A47,JanApport,MATCH($H$4,'Jan 2022 Apport'!$3:$3,0),FALSE)</f>
        <v>14524315.960000001</v>
      </c>
      <c r="I47" s="117">
        <f t="shared" si="13"/>
        <v>16225988.09</v>
      </c>
      <c r="J47" s="117">
        <f>VLOOKUP(A47,JanApport,MATCH($J$4,'Jan 2022 Apport'!$3:$3,0),FALSE)</f>
        <v>6269929.0099999998</v>
      </c>
      <c r="K47" s="117">
        <f>VLOOKUP(A47,JanApport,MATCH($K$4,'Jan 2022 Apport'!$3:$3,0),FALSE)</f>
        <v>1069529.4099999999</v>
      </c>
      <c r="L47" s="117">
        <f t="shared" si="12"/>
        <v>7339458.4199999999</v>
      </c>
      <c r="M47" s="117">
        <f>VLOOKUP(A47,JanApport,MATCH($M$4,'Jan 2022 Apport'!$3:$3,0),FALSE)</f>
        <v>5385554.7300000004</v>
      </c>
      <c r="N47" s="117">
        <f>VLOOKUP(A47,JanApport,MATCH($N$4,'Jan 2022 Apport'!$3:$3,0),FALSE)</f>
        <v>2688657.61</v>
      </c>
      <c r="O47" s="117">
        <f>VLOOKUP(A47,JanApport,MATCH($O$4,'Jan 2022 Apport'!$3:$3,0),FALSE)</f>
        <v>356462.14</v>
      </c>
      <c r="P47" s="121">
        <f>IFERROR((VLOOKUP(A47,ExcessLevy!A:G,3,FALSE)*0.28),0)+IFERROR((VLOOKUP(A47,ExcessLevy!A:G,6,FALSE)*0.72),0)</f>
        <v>6627777.2088000011</v>
      </c>
      <c r="Q47" s="121">
        <f>IFERROR((VLOOKUP(A47,ExcessLevy!A:G,4,FALSE)*0.4738),0)+IFERROR((VLOOKUP(A47,ExcessLevy!A:G,7,FALSE)*0.5262),0)</f>
        <v>21329306.773000002</v>
      </c>
      <c r="R47">
        <f>VLOOKUP(A47,JanApport,MATCH($R$4,'Jan 2022 Apport'!$3:$3,0),FALSE)</f>
        <v>0</v>
      </c>
      <c r="S47">
        <f>VLOOKUP(A47,JanApport,MATCH($S$4,'Jan 2022 Apport'!$3:$3,0),FALSE)</f>
        <v>369.97</v>
      </c>
      <c r="T47">
        <f>VLOOKUP(A47,JanApport,MATCH($T$4,'Jan 2022 Apport'!$3:$3,0),FALSE)</f>
        <v>571.04</v>
      </c>
      <c r="U47" s="132">
        <f>IFERROR(VLOOKUP(A47,JanApport,MATCH($U$4,'Jan 2022 Apport'!$3:$3,0),FALSE)/R47,0)</f>
        <v>0</v>
      </c>
      <c r="V47" s="30">
        <f>IFERROR(((VLOOKUP(A47,JanApport,MATCH($V$4,'Jan 2022 Apport'!$3:$3,0),FALSE)+VLOOKUP(A47,JanApport,MATCH($V$3,'Jan 2022 Apport'!$3:$3,0),FALSE))/(S47+T47)),0)</f>
        <v>9296.9684806750192</v>
      </c>
      <c r="W47" s="30">
        <f t="shared" si="8"/>
        <v>8756.8195392748839</v>
      </c>
      <c r="X47">
        <f>VLOOKUP(A47,JanApport,MATCH($X$4,'Jan 2022 Apport'!$3:$3,0),FALSE)</f>
        <v>4.8578999999999997E-2</v>
      </c>
      <c r="Y47">
        <f>VLOOKUP(A47,JanApport,MATCH($Y$4,'Jan 2022 Apport'!$3:$3,0),FALSE)</f>
        <v>4.0270000000000002E-3</v>
      </c>
      <c r="Z47">
        <f>VLOOKUP(A47,JanApport,MATCH($Z$4,'Jan 2022 Apport'!$3:$3,0),FALSE)</f>
        <v>1.7100000000000001E-2</v>
      </c>
      <c r="AA47" s="77">
        <f>VLOOKUP(A47,JanApport,MATCH($AA$4,'Jan 2022 Apport'!$3:$3,0),FALSE)*VLOOKUP(A47,JanApport,MATCH($AA$3,'Jan 2022 Apport'!$3:$3,0),FALSE)</f>
        <v>71640.100000000006</v>
      </c>
      <c r="AB47" s="77">
        <f>VLOOKUP(A47,JanApport,MATCH($AB$4,'Jan 2022 Apport'!$3:$3,0),FALSE)*VLOOKUP(A47,JanApport,MATCH($AB$3,'Jan 2022 Apport'!$3:$3,0),FALSE)</f>
        <v>77209.440000000002</v>
      </c>
      <c r="AC47" s="77">
        <f>VLOOKUP(A47,JanApport,MATCH($AC$4,'Jan 2022 Apport'!$3:$3,0),FALSE)</f>
        <v>100321</v>
      </c>
      <c r="AD47" s="77">
        <f>VLOOKUP(A47,JanApport,MATCH($AD$4,'Jan 2022 Apport'!$3:$3,0),FALSE)*VLOOKUP(A47,JanApport,MATCH($AD$3,'Jan 2022 Apport'!$3:$3,0),FALSE)</f>
        <v>114606.24</v>
      </c>
      <c r="AE47" s="77">
        <f>VLOOKUP(A47,JanApport,MATCH($AE$4,'Jan 2022 Apport'!$3:$3,0),FALSE)</f>
        <v>48483</v>
      </c>
      <c r="AF47" s="77">
        <f>VLOOKUP(A47,JanApport,MATCH($AF$4,'Jan 2022 Apport'!$3:$3,0),FALSE)*VLOOKUP(A47,JanApport,MATCH($AF$3,'Jan 2022 Apport'!$3:$3,0),FALSE)</f>
        <v>55387.360000000008</v>
      </c>
      <c r="AG47" s="77">
        <f t="shared" si="9"/>
        <v>106556.38004800002</v>
      </c>
      <c r="AH47" s="77">
        <f t="shared" si="4"/>
        <v>152390.21156800003</v>
      </c>
      <c r="AI47" s="77">
        <f t="shared" si="5"/>
        <v>84357.998300512001</v>
      </c>
      <c r="AJ47" s="3">
        <f>VLOOKUP(A47,JanApport,MATCH($AJ$4,'Jan 2022 Apport'!$3:$3,0),FALSE)</f>
        <v>14128220.25</v>
      </c>
      <c r="AK47" s="3">
        <f>VLOOKUP(A47,JanApport,MATCH($AK$4,'Jan 2022 Apport'!$3:$3,0),FALSE)</f>
        <v>261.93099999999998</v>
      </c>
      <c r="AL47" s="117">
        <f t="shared" si="10"/>
        <v>142385445.47</v>
      </c>
      <c r="AM47" s="117">
        <f>VLOOKUP(A47,JanApport,MATCH($AM$4,'Jan 2022 Apport'!$3:$3,0),FALSE)</f>
        <v>2792166.55</v>
      </c>
      <c r="AN47" s="117">
        <f>VLOOKUP(A47,JanApport,MATCH($AN$4,'Jan 2022 Apport'!$3:$3,0),FALSE)</f>
        <v>824838.32</v>
      </c>
    </row>
    <row r="48" spans="1:40">
      <c r="A48" s="2" t="s">
        <v>563</v>
      </c>
      <c r="B48" s="2" t="s">
        <v>564</v>
      </c>
      <c r="C48" s="2" t="s">
        <v>1267</v>
      </c>
      <c r="D48" s="118">
        <f>VLOOKUP(A48,JanApport,MATCH($D$4,'Jan 2022 Apport'!$3:$3,FALSE),FALSE)</f>
        <v>4920072.24</v>
      </c>
      <c r="E48" s="30">
        <f>VLOOKUP(A48,JanApport,MATCH($E$2,'Jan 2022 Apport'!$3:$3,0),FALSE)+VLOOKUP(A48,JanApport,MATCH($E$3,'Jan 2022 Apport'!$3:$3,0),FALSE)+VLOOKUP(A48,JanApport,MATCH($E$4,'Jan 2022 Apport'!$3:$3,0),FALSE)</f>
        <v>501191.18999999994</v>
      </c>
      <c r="F48" s="118">
        <f t="shared" si="11"/>
        <v>4418881.0500000007</v>
      </c>
      <c r="G48" s="117">
        <f>VLOOKUP(A48,JanApport,MATCH($G$4,'Jan 2022 Apport'!$3:$3,0),FALSE)</f>
        <v>59173.78</v>
      </c>
      <c r="H48" s="117">
        <f>VLOOKUP(A48,JanApport,MATCH($H$3,'Jan 2022 Apport'!$3:$3,0),FALSE)+VLOOKUP(A48,JanApport,MATCH($H$2,'Jan 2022 Apport'!$3:$3,0),FALSE)+VLOOKUP(A48,JanApport,MATCH($H$4,'Jan 2022 Apport'!$3:$3,0),FALSE)</f>
        <v>600100.78999999992</v>
      </c>
      <c r="I48" s="117">
        <f t="shared" si="13"/>
        <v>659274.56999999995</v>
      </c>
      <c r="J48" s="117">
        <f>VLOOKUP(A48,JanApport,MATCH($J$4,'Jan 2022 Apport'!$3:$3,0),FALSE)</f>
        <v>514909.19</v>
      </c>
      <c r="K48" s="117">
        <f>VLOOKUP(A48,JanApport,MATCH($K$4,'Jan 2022 Apport'!$3:$3,0),FALSE)</f>
        <v>120164.11</v>
      </c>
      <c r="L48" s="117">
        <f t="shared" si="12"/>
        <v>635073.30000000005</v>
      </c>
      <c r="M48" s="117">
        <f>VLOOKUP(A48,JanApport,MATCH($M$4,'Jan 2022 Apport'!$3:$3,0),FALSE)</f>
        <v>93138.7</v>
      </c>
      <c r="N48" s="117">
        <f>VLOOKUP(A48,JanApport,MATCH($N$4,'Jan 2022 Apport'!$3:$3,0),FALSE)</f>
        <v>0</v>
      </c>
      <c r="O48" s="117">
        <f>VLOOKUP(A48,JanApport,MATCH($O$4,'Jan 2022 Apport'!$3:$3,0),FALSE)</f>
        <v>14577.38</v>
      </c>
      <c r="P48" s="121">
        <f>IFERROR((VLOOKUP(A48,ExcessLevy!A:G,3,FALSE)*0.28),0)+IFERROR((VLOOKUP(A48,ExcessLevy!A:G,6,FALSE)*0.72),0)</f>
        <v>178773.35080000001</v>
      </c>
      <c r="Q48" s="121">
        <f>IFERROR((VLOOKUP(A48,ExcessLevy!A:G,4,FALSE)*0.4738),0)+IFERROR((VLOOKUP(A48,ExcessLevy!A:G,7,FALSE)*0.5262),0)</f>
        <v>900000</v>
      </c>
      <c r="R48">
        <f>VLOOKUP(A48,JanApport,MATCH($R$4,'Jan 2022 Apport'!$3:$3,0),FALSE)</f>
        <v>0</v>
      </c>
      <c r="S48">
        <f>VLOOKUP(A48,JanApport,MATCH($S$4,'Jan 2022 Apport'!$3:$3,0),FALSE)</f>
        <v>6.88</v>
      </c>
      <c r="T48">
        <f>VLOOKUP(A48,JanApport,MATCH($T$4,'Jan 2022 Apport'!$3:$3,0),FALSE)</f>
        <v>49.3</v>
      </c>
      <c r="U48" s="132">
        <f>IFERROR(VLOOKUP(A48,JanApport,MATCH($U$4,'Jan 2022 Apport'!$3:$3,0),FALSE)/R48,0)</f>
        <v>0</v>
      </c>
      <c r="V48" s="30">
        <f>IFERROR(((VLOOKUP(A48,JanApport,MATCH($V$4,'Jan 2022 Apport'!$3:$3,0),FALSE)+VLOOKUP(A48,JanApport,MATCH($V$3,'Jan 2022 Apport'!$3:$3,0),FALSE))/(S48+T48)),0)</f>
        <v>8921.1674973300105</v>
      </c>
      <c r="W48" s="30">
        <f t="shared" si="8"/>
        <v>8083.6246967786601</v>
      </c>
      <c r="X48">
        <f>VLOOKUP(A48,JanApport,MATCH($X$4,'Jan 2022 Apport'!$3:$3,0),FALSE)</f>
        <v>4.8578999999999997E-2</v>
      </c>
      <c r="Y48">
        <f>VLOOKUP(A48,JanApport,MATCH($Y$4,'Jan 2022 Apport'!$3:$3,0),FALSE)</f>
        <v>4.0270000000000002E-3</v>
      </c>
      <c r="Z48">
        <f>VLOOKUP(A48,JanApport,MATCH($Z$4,'Jan 2022 Apport'!$3:$3,0),FALSE)</f>
        <v>1.7100000000000001E-2</v>
      </c>
      <c r="AA48" s="77">
        <f>VLOOKUP(A48,JanApport,MATCH($AA$4,'Jan 2022 Apport'!$3:$3,0),FALSE)*VLOOKUP(A48,JanApport,MATCH($AA$3,'Jan 2022 Apport'!$3:$3,0),FALSE)</f>
        <v>67585</v>
      </c>
      <c r="AB48" s="77">
        <f>VLOOKUP(A48,JanApport,MATCH($AB$4,'Jan 2022 Apport'!$3:$3,0),FALSE)*VLOOKUP(A48,JanApport,MATCH($AB$3,'Jan 2022 Apport'!$3:$3,0),FALSE)</f>
        <v>68937</v>
      </c>
      <c r="AC48" s="77">
        <f>VLOOKUP(A48,JanApport,MATCH($AC$4,'Jan 2022 Apport'!$3:$3,0),FALSE)</f>
        <v>100321</v>
      </c>
      <c r="AD48" s="77">
        <f>VLOOKUP(A48,JanApport,MATCH($AD$4,'Jan 2022 Apport'!$3:$3,0),FALSE)*VLOOKUP(A48,JanApport,MATCH($AD$3,'Jan 2022 Apport'!$3:$3,0),FALSE)</f>
        <v>102327</v>
      </c>
      <c r="AE48" s="77">
        <f>VLOOKUP(A48,JanApport,MATCH($AE$4,'Jan 2022 Apport'!$3:$3,0),FALSE)</f>
        <v>48483</v>
      </c>
      <c r="AF48" s="77">
        <f>VLOOKUP(A48,JanApport,MATCH($AF$4,'Jan 2022 Apport'!$3:$3,0),FALSE)*VLOOKUP(A48,JanApport,MATCH($AF$3,'Jan 2022 Apport'!$3:$3,0),FALSE)</f>
        <v>49453</v>
      </c>
      <c r="AG48" s="77">
        <f t="shared" si="9"/>
        <v>96432.259900000005</v>
      </c>
      <c r="AH48" s="77">
        <f t="shared" si="4"/>
        <v>137400.94330000001</v>
      </c>
      <c r="AI48" s="77">
        <f t="shared" si="5"/>
        <v>77281.189732599989</v>
      </c>
      <c r="AJ48" s="3">
        <f>VLOOKUP(A48,JanApport,MATCH($AJ$4,'Jan 2022 Apport'!$3:$3,0),FALSE)</f>
        <v>684815.86</v>
      </c>
      <c r="AK48" s="3">
        <f>VLOOKUP(A48,JanApport,MATCH($AK$4,'Jan 2022 Apport'!$3:$3,0),FALSE)</f>
        <v>9.24</v>
      </c>
      <c r="AL48" s="117">
        <f t="shared" si="10"/>
        <v>6201972.0800000019</v>
      </c>
      <c r="AM48" s="117">
        <f>VLOOKUP(A48,JanApport,MATCH($AM$4,'Jan 2022 Apport'!$3:$3,0),FALSE)</f>
        <v>0</v>
      </c>
      <c r="AN48" s="117">
        <f>VLOOKUP(A48,JanApport,MATCH($AN$4,'Jan 2022 Apport'!$3:$3,0),FALSE)</f>
        <v>39029.42</v>
      </c>
    </row>
    <row r="49" spans="1:40">
      <c r="A49" s="2" t="s">
        <v>529</v>
      </c>
      <c r="B49" s="2" t="s">
        <v>530</v>
      </c>
      <c r="C49" s="2" t="s">
        <v>1267</v>
      </c>
      <c r="D49" s="118">
        <f>VLOOKUP(A49,JanApport,MATCH($D$4,'Jan 2022 Apport'!$3:$3,FALSE),FALSE)</f>
        <v>13306561.26</v>
      </c>
      <c r="E49" s="30">
        <f>VLOOKUP(A49,JanApport,MATCH($E$2,'Jan 2022 Apport'!$3:$3,0),FALSE)+VLOOKUP(A49,JanApport,MATCH($E$3,'Jan 2022 Apport'!$3:$3,0),FALSE)+VLOOKUP(A49,JanApport,MATCH($E$4,'Jan 2022 Apport'!$3:$3,0),FALSE)</f>
        <v>1174210.71</v>
      </c>
      <c r="F49" s="118">
        <f t="shared" si="11"/>
        <v>12132350.550000001</v>
      </c>
      <c r="G49" s="117">
        <f>VLOOKUP(A49,JanApport,MATCH($G$4,'Jan 2022 Apport'!$3:$3,0),FALSE)</f>
        <v>280015.28999999998</v>
      </c>
      <c r="H49" s="117">
        <f>VLOOKUP(A49,JanApport,MATCH($H$3,'Jan 2022 Apport'!$3:$3,0),FALSE)+VLOOKUP(A49,JanApport,MATCH($H$2,'Jan 2022 Apport'!$3:$3,0),FALSE)+VLOOKUP(A49,JanApport,MATCH($H$4,'Jan 2022 Apport'!$3:$3,0),FALSE)</f>
        <v>1777035.89</v>
      </c>
      <c r="I49" s="117">
        <f t="shared" si="13"/>
        <v>2057051.18</v>
      </c>
      <c r="J49" s="117">
        <f>VLOOKUP(A49,JanApport,MATCH($J$4,'Jan 2022 Apport'!$3:$3,0),FALSE)</f>
        <v>458702.02</v>
      </c>
      <c r="K49" s="117">
        <f>VLOOKUP(A49,JanApport,MATCH($K$4,'Jan 2022 Apport'!$3:$3,0),FALSE)</f>
        <v>100222.83</v>
      </c>
      <c r="L49" s="117">
        <f t="shared" si="12"/>
        <v>558924.85</v>
      </c>
      <c r="M49" s="117">
        <f>VLOOKUP(A49,JanApport,MATCH($M$4,'Jan 2022 Apport'!$3:$3,0),FALSE)</f>
        <v>512262.92</v>
      </c>
      <c r="N49" s="117">
        <f>VLOOKUP(A49,JanApport,MATCH($N$4,'Jan 2022 Apport'!$3:$3,0),FALSE)</f>
        <v>458453.79</v>
      </c>
      <c r="O49" s="117">
        <f>VLOOKUP(A49,JanApport,MATCH($O$4,'Jan 2022 Apport'!$3:$3,0),FALSE)</f>
        <v>42949.47</v>
      </c>
      <c r="P49" s="121">
        <f>IFERROR((VLOOKUP(A49,ExcessLevy!A:G,3,FALSE)*0.28),0)+IFERROR((VLOOKUP(A49,ExcessLevy!A:G,6,FALSE)*0.72),0)</f>
        <v>526110.99680000008</v>
      </c>
      <c r="Q49" s="121">
        <f>IFERROR((VLOOKUP(A49,ExcessLevy!A:G,4,FALSE)*0.4738),0)+IFERROR((VLOOKUP(A49,ExcessLevy!A:G,7,FALSE)*0.5262),0)</f>
        <v>2678930</v>
      </c>
      <c r="R49">
        <f>VLOOKUP(A49,JanApport,MATCH($R$4,'Jan 2022 Apport'!$3:$3,0),FALSE)</f>
        <v>0</v>
      </c>
      <c r="S49">
        <f>VLOOKUP(A49,JanApport,MATCH($S$4,'Jan 2022 Apport'!$3:$3,0),FALSE)</f>
        <v>0</v>
      </c>
      <c r="T49">
        <f>VLOOKUP(A49,JanApport,MATCH($T$4,'Jan 2022 Apport'!$3:$3,0),FALSE)</f>
        <v>131.59</v>
      </c>
      <c r="U49" s="132">
        <f>IFERROR(VLOOKUP(A49,JanApport,MATCH($U$4,'Jan 2022 Apport'!$3:$3,0),FALSE)/R49,0)</f>
        <v>0</v>
      </c>
      <c r="V49" s="30">
        <f>IFERROR(((VLOOKUP(A49,JanApport,MATCH($V$4,'Jan 2022 Apport'!$3:$3,0),FALSE)+VLOOKUP(A49,JanApport,MATCH($V$3,'Jan 2022 Apport'!$3:$3,0),FALSE))/(S49+T49)),0)</f>
        <v>8923.2518428452004</v>
      </c>
      <c r="W49" s="30">
        <f t="shared" si="8"/>
        <v>8083.6246967786601</v>
      </c>
      <c r="X49">
        <f>VLOOKUP(A49,JanApport,MATCH($X$4,'Jan 2022 Apport'!$3:$3,0),FALSE)</f>
        <v>4.8578999999999997E-2</v>
      </c>
      <c r="Y49">
        <f>VLOOKUP(A49,JanApport,MATCH($Y$4,'Jan 2022 Apport'!$3:$3,0),FALSE)</f>
        <v>4.0270000000000002E-3</v>
      </c>
      <c r="Z49">
        <f>VLOOKUP(A49,JanApport,MATCH($Z$4,'Jan 2022 Apport'!$3:$3,0),FALSE)</f>
        <v>1.7100000000000001E-2</v>
      </c>
      <c r="AA49" s="77">
        <f>VLOOKUP(A49,JanApport,MATCH($AA$4,'Jan 2022 Apport'!$3:$3,0),FALSE)*VLOOKUP(A49,JanApport,MATCH($AA$3,'Jan 2022 Apport'!$3:$3,0),FALSE)</f>
        <v>67585</v>
      </c>
      <c r="AB49" s="77">
        <f>VLOOKUP(A49,JanApport,MATCH($AB$4,'Jan 2022 Apport'!$3:$3,0),FALSE)*VLOOKUP(A49,JanApport,MATCH($AB$3,'Jan 2022 Apport'!$3:$3,0),FALSE)</f>
        <v>68937</v>
      </c>
      <c r="AC49" s="77">
        <f>VLOOKUP(A49,JanApport,MATCH($AC$4,'Jan 2022 Apport'!$3:$3,0),FALSE)</f>
        <v>100321</v>
      </c>
      <c r="AD49" s="77">
        <f>VLOOKUP(A49,JanApport,MATCH($AD$4,'Jan 2022 Apport'!$3:$3,0),FALSE)*VLOOKUP(A49,JanApport,MATCH($AD$3,'Jan 2022 Apport'!$3:$3,0),FALSE)</f>
        <v>102327</v>
      </c>
      <c r="AE49" s="77">
        <f>VLOOKUP(A49,JanApport,MATCH($AE$4,'Jan 2022 Apport'!$3:$3,0),FALSE)</f>
        <v>48483</v>
      </c>
      <c r="AF49" s="77">
        <f>VLOOKUP(A49,JanApport,MATCH($AF$4,'Jan 2022 Apport'!$3:$3,0),FALSE)*VLOOKUP(A49,JanApport,MATCH($AF$3,'Jan 2022 Apport'!$3:$3,0),FALSE)</f>
        <v>49453</v>
      </c>
      <c r="AG49" s="77">
        <f t="shared" si="9"/>
        <v>96432.259900000005</v>
      </c>
      <c r="AH49" s="77">
        <f t="shared" si="4"/>
        <v>137400.94330000001</v>
      </c>
      <c r="AI49" s="77">
        <f t="shared" si="5"/>
        <v>77281.189732599989</v>
      </c>
      <c r="AJ49" s="3">
        <f>VLOOKUP(A49,JanApport,MATCH($AJ$4,'Jan 2022 Apport'!$3:$3,0),FALSE)</f>
        <v>1880999.69</v>
      </c>
      <c r="AK49" s="3">
        <f>VLOOKUP(A49,JanApport,MATCH($AK$4,'Jan 2022 Apport'!$3:$3,0),FALSE)</f>
        <v>29.100999999999999</v>
      </c>
      <c r="AL49" s="117">
        <f t="shared" si="10"/>
        <v>17288857.850000001</v>
      </c>
      <c r="AM49" s="117">
        <f>VLOOKUP(A49,JanApport,MATCH($AM$4,'Jan 2022 Apport'!$3:$3,0),FALSE)</f>
        <v>452877.21</v>
      </c>
      <c r="AN49" s="117">
        <f>VLOOKUP(A49,JanApport,MATCH($AN$4,'Jan 2022 Apport'!$3:$3,0),FALSE)</f>
        <v>103211.69</v>
      </c>
    </row>
    <row r="50" spans="1:40">
      <c r="A50" s="2" t="s">
        <v>571</v>
      </c>
      <c r="B50" s="2" t="s">
        <v>572</v>
      </c>
      <c r="C50" s="2" t="s">
        <v>1267</v>
      </c>
      <c r="D50" s="118">
        <f>VLOOKUP(A50,JanApport,MATCH($D$4,'Jan 2022 Apport'!$3:$3,FALSE),FALSE)</f>
        <v>2533515.0299999998</v>
      </c>
      <c r="E50" s="30">
        <f>VLOOKUP(A50,JanApport,MATCH($E$2,'Jan 2022 Apport'!$3:$3,0),FALSE)+VLOOKUP(A50,JanApport,MATCH($E$3,'Jan 2022 Apport'!$3:$3,0),FALSE)+VLOOKUP(A50,JanApport,MATCH($E$4,'Jan 2022 Apport'!$3:$3,0),FALSE)</f>
        <v>86272.24</v>
      </c>
      <c r="F50" s="118">
        <f t="shared" si="11"/>
        <v>2447242.7899999996</v>
      </c>
      <c r="G50" s="117">
        <f>VLOOKUP(A50,JanApport,MATCH($G$4,'Jan 2022 Apport'!$3:$3,0),FALSE)</f>
        <v>5232.26</v>
      </c>
      <c r="H50" s="117">
        <f>VLOOKUP(A50,JanApport,MATCH($H$3,'Jan 2022 Apport'!$3:$3,0),FALSE)+VLOOKUP(A50,JanApport,MATCH($H$2,'Jan 2022 Apport'!$3:$3,0),FALSE)+VLOOKUP(A50,JanApport,MATCH($H$4,'Jan 2022 Apport'!$3:$3,0),FALSE)</f>
        <v>195625.00999999998</v>
      </c>
      <c r="I50" s="117">
        <f t="shared" si="13"/>
        <v>200857.27</v>
      </c>
      <c r="J50" s="117">
        <f>VLOOKUP(A50,JanApport,MATCH($J$4,'Jan 2022 Apport'!$3:$3,0),FALSE)</f>
        <v>161692.19</v>
      </c>
      <c r="K50" s="117">
        <f>VLOOKUP(A50,JanApport,MATCH($K$4,'Jan 2022 Apport'!$3:$3,0),FALSE)</f>
        <v>32839.980000000003</v>
      </c>
      <c r="L50" s="117">
        <f t="shared" si="12"/>
        <v>194532.17</v>
      </c>
      <c r="M50" s="117">
        <f>VLOOKUP(A50,JanApport,MATCH($M$4,'Jan 2022 Apport'!$3:$3,0),FALSE)</f>
        <v>31389.65</v>
      </c>
      <c r="N50" s="117">
        <f>VLOOKUP(A50,JanApport,MATCH($N$4,'Jan 2022 Apport'!$3:$3,0),FALSE)</f>
        <v>0</v>
      </c>
      <c r="O50" s="117">
        <f>VLOOKUP(A50,JanApport,MATCH($O$4,'Jan 2022 Apport'!$3:$3,0),FALSE)</f>
        <v>0</v>
      </c>
      <c r="P50" s="121">
        <f>IFERROR((VLOOKUP(A50,ExcessLevy!A:G,3,FALSE)*0.28),0)+IFERROR((VLOOKUP(A50,ExcessLevy!A:G,6,FALSE)*0.72),0)</f>
        <v>6041.8064000000013</v>
      </c>
      <c r="Q50" s="121">
        <f>IFERROR((VLOOKUP(A50,ExcessLevy!A:G,4,FALSE)*0.4738),0)+IFERROR((VLOOKUP(A50,ExcessLevy!A:G,7,FALSE)*0.5262),0)</f>
        <v>398947</v>
      </c>
      <c r="R50">
        <f>VLOOKUP(A50,JanApport,MATCH($R$4,'Jan 2022 Apport'!$3:$3,0),FALSE)</f>
        <v>0</v>
      </c>
      <c r="S50">
        <f>VLOOKUP(A50,JanApport,MATCH($S$4,'Jan 2022 Apport'!$3:$3,0),FALSE)</f>
        <v>0</v>
      </c>
      <c r="T50">
        <f>VLOOKUP(A50,JanApport,MATCH($T$4,'Jan 2022 Apport'!$3:$3,0),FALSE)</f>
        <v>9.4600000000000009</v>
      </c>
      <c r="U50" s="132">
        <f>IFERROR(VLOOKUP(A50,JanApport,MATCH($U$4,'Jan 2022 Apport'!$3:$3,0),FALSE)/R50,0)</f>
        <v>0</v>
      </c>
      <c r="V50" s="30">
        <f>IFERROR(((VLOOKUP(A50,JanApport,MATCH($V$4,'Jan 2022 Apport'!$3:$3,0),FALSE)+VLOOKUP(A50,JanApport,MATCH($V$3,'Jan 2022 Apport'!$3:$3,0),FALSE))/(S50+T50)),0)</f>
        <v>9119.6871035940803</v>
      </c>
      <c r="W50" s="30">
        <f t="shared" si="8"/>
        <v>8083.6246967786601</v>
      </c>
      <c r="X50">
        <f>VLOOKUP(A50,JanApport,MATCH($X$4,'Jan 2022 Apport'!$3:$3,0),FALSE)</f>
        <v>4.8578999999999997E-2</v>
      </c>
      <c r="Y50">
        <f>VLOOKUP(A50,JanApport,MATCH($Y$4,'Jan 2022 Apport'!$3:$3,0),FALSE)</f>
        <v>4.0270000000000002E-3</v>
      </c>
      <c r="Z50">
        <f>VLOOKUP(A50,JanApport,MATCH($Z$4,'Jan 2022 Apport'!$3:$3,0),FALSE)</f>
        <v>1.7100000000000001E-2</v>
      </c>
      <c r="AA50" s="77">
        <f>VLOOKUP(A50,JanApport,MATCH($AA$4,'Jan 2022 Apport'!$3:$3,0),FALSE)*VLOOKUP(A50,JanApport,MATCH($AA$3,'Jan 2022 Apport'!$3:$3,0),FALSE)</f>
        <v>67585</v>
      </c>
      <c r="AB50" s="77">
        <f>VLOOKUP(A50,JanApport,MATCH($AB$4,'Jan 2022 Apport'!$3:$3,0),FALSE)*VLOOKUP(A50,JanApport,MATCH($AB$3,'Jan 2022 Apport'!$3:$3,0),FALSE)</f>
        <v>68937</v>
      </c>
      <c r="AC50" s="77">
        <f>VLOOKUP(A50,JanApport,MATCH($AC$4,'Jan 2022 Apport'!$3:$3,0),FALSE)</f>
        <v>100321</v>
      </c>
      <c r="AD50" s="77">
        <f>VLOOKUP(A50,JanApport,MATCH($AD$4,'Jan 2022 Apport'!$3:$3,0),FALSE)*VLOOKUP(A50,JanApport,MATCH($AD$3,'Jan 2022 Apport'!$3:$3,0),FALSE)</f>
        <v>102327</v>
      </c>
      <c r="AE50" s="77">
        <f>VLOOKUP(A50,JanApport,MATCH($AE$4,'Jan 2022 Apport'!$3:$3,0),FALSE)</f>
        <v>48483</v>
      </c>
      <c r="AF50" s="77">
        <f>VLOOKUP(A50,JanApport,MATCH($AF$4,'Jan 2022 Apport'!$3:$3,0),FALSE)*VLOOKUP(A50,JanApport,MATCH($AF$3,'Jan 2022 Apport'!$3:$3,0),FALSE)</f>
        <v>49453</v>
      </c>
      <c r="AG50" s="77">
        <f t="shared" si="9"/>
        <v>96432.259900000005</v>
      </c>
      <c r="AH50" s="77">
        <f t="shared" si="4"/>
        <v>137400.94330000001</v>
      </c>
      <c r="AI50" s="77">
        <f t="shared" si="5"/>
        <v>77281.189732599989</v>
      </c>
      <c r="AJ50" s="3">
        <f>VLOOKUP(A50,JanApport,MATCH($AJ$4,'Jan 2022 Apport'!$3:$3,0),FALSE)</f>
        <v>298939.49</v>
      </c>
      <c r="AK50" s="3">
        <f>VLOOKUP(A50,JanApport,MATCH($AK$4,'Jan 2022 Apport'!$3:$3,0),FALSE)</f>
        <v>4.375</v>
      </c>
      <c r="AL50" s="117">
        <f t="shared" si="10"/>
        <v>2927454.1399999997</v>
      </c>
      <c r="AM50" s="117">
        <f>VLOOKUP(A50,JanApport,MATCH($AM$4,'Jan 2022 Apport'!$3:$3,0),FALSE)</f>
        <v>0</v>
      </c>
      <c r="AN50" s="117">
        <f>VLOOKUP(A50,JanApport,MATCH($AN$4,'Jan 2022 Apport'!$3:$3,0),FALSE)</f>
        <v>22976.25</v>
      </c>
    </row>
    <row r="51" spans="1:40">
      <c r="A51" s="2" t="s">
        <v>499</v>
      </c>
      <c r="B51" s="2" t="s">
        <v>500</v>
      </c>
      <c r="C51" s="2" t="s">
        <v>1267</v>
      </c>
      <c r="D51" s="118">
        <f>VLOOKUP(A51,JanApport,MATCH($D$4,'Jan 2022 Apport'!$3:$3,FALSE),FALSE)</f>
        <v>1964266.39</v>
      </c>
      <c r="E51" s="30">
        <f>VLOOKUP(A51,JanApport,MATCH($E$2,'Jan 2022 Apport'!$3:$3,0),FALSE)+VLOOKUP(A51,JanApport,MATCH($E$3,'Jan 2022 Apport'!$3:$3,0),FALSE)+VLOOKUP(A51,JanApport,MATCH($E$4,'Jan 2022 Apport'!$3:$3,0),FALSE)</f>
        <v>66108.92</v>
      </c>
      <c r="F51" s="118">
        <f t="shared" si="11"/>
        <v>1898157.47</v>
      </c>
      <c r="G51" s="117">
        <f>VLOOKUP(A51,JanApport,MATCH($G$4,'Jan 2022 Apport'!$3:$3,0),FALSE)</f>
        <v>7428.9</v>
      </c>
      <c r="H51" s="117">
        <f>VLOOKUP(A51,JanApport,MATCH($H$3,'Jan 2022 Apport'!$3:$3,0),FALSE)+VLOOKUP(A51,JanApport,MATCH($H$2,'Jan 2022 Apport'!$3:$3,0),FALSE)+VLOOKUP(A51,JanApport,MATCH($H$4,'Jan 2022 Apport'!$3:$3,0),FALSE)</f>
        <v>121983.35</v>
      </c>
      <c r="I51" s="117">
        <f t="shared" si="13"/>
        <v>129412.25</v>
      </c>
      <c r="J51" s="117">
        <f>VLOOKUP(A51,JanApport,MATCH($J$4,'Jan 2022 Apport'!$3:$3,0),FALSE)</f>
        <v>215031.61</v>
      </c>
      <c r="K51" s="117">
        <f>VLOOKUP(A51,JanApport,MATCH($K$4,'Jan 2022 Apport'!$3:$3,0),FALSE)</f>
        <v>90326.04</v>
      </c>
      <c r="L51" s="117">
        <f t="shared" si="12"/>
        <v>305357.64999999997</v>
      </c>
      <c r="M51" s="117">
        <f>VLOOKUP(A51,JanApport,MATCH($M$4,'Jan 2022 Apport'!$3:$3,0),FALSE)</f>
        <v>44123.49</v>
      </c>
      <c r="N51" s="117">
        <f>VLOOKUP(A51,JanApport,MATCH($N$4,'Jan 2022 Apport'!$3:$3,0),FALSE)</f>
        <v>0</v>
      </c>
      <c r="O51" s="117">
        <f>VLOOKUP(A51,JanApport,MATCH($O$4,'Jan 2022 Apport'!$3:$3,0),FALSE)</f>
        <v>2935.05</v>
      </c>
      <c r="P51" s="121">
        <f>IFERROR((VLOOKUP(A51,ExcessLevy!A:G,3,FALSE)*0.28),0)+IFERROR((VLOOKUP(A51,ExcessLevy!A:G,6,FALSE)*0.72),0)</f>
        <v>0</v>
      </c>
      <c r="Q51" s="121">
        <f>IFERROR((VLOOKUP(A51,ExcessLevy!A:G,4,FALSE)*0.4738),0)+IFERROR((VLOOKUP(A51,ExcessLevy!A:G,7,FALSE)*0.5262),0)</f>
        <v>175000</v>
      </c>
      <c r="R51">
        <f>VLOOKUP(A51,JanApport,MATCH($R$4,'Jan 2022 Apport'!$3:$3,0),FALSE)</f>
        <v>0</v>
      </c>
      <c r="S51">
        <f>VLOOKUP(A51,JanApport,MATCH($S$4,'Jan 2022 Apport'!$3:$3,0),FALSE)</f>
        <v>0</v>
      </c>
      <c r="T51">
        <f>VLOOKUP(A51,JanApport,MATCH($T$4,'Jan 2022 Apport'!$3:$3,0),FALSE)</f>
        <v>7.42</v>
      </c>
      <c r="U51" s="132">
        <f>IFERROR(VLOOKUP(A51,JanApport,MATCH($U$4,'Jan 2022 Apport'!$3:$3,0),FALSE)/R51,0)</f>
        <v>0</v>
      </c>
      <c r="V51" s="30">
        <f>IFERROR(((VLOOKUP(A51,JanApport,MATCH($V$4,'Jan 2022 Apport'!$3:$3,0),FALSE)+VLOOKUP(A51,JanApport,MATCH($V$3,'Jan 2022 Apport'!$3:$3,0),FALSE))/(S51+T51)),0)</f>
        <v>8909.5579514824803</v>
      </c>
      <c r="W51" s="30">
        <f t="shared" si="8"/>
        <v>8083.6246967786601</v>
      </c>
      <c r="X51">
        <f>VLOOKUP(A51,JanApport,MATCH($X$4,'Jan 2022 Apport'!$3:$3,0),FALSE)</f>
        <v>4.8578999999999997E-2</v>
      </c>
      <c r="Y51">
        <f>VLOOKUP(A51,JanApport,MATCH($Y$4,'Jan 2022 Apport'!$3:$3,0),FALSE)</f>
        <v>4.0270000000000002E-3</v>
      </c>
      <c r="Z51">
        <f>VLOOKUP(A51,JanApport,MATCH($Z$4,'Jan 2022 Apport'!$3:$3,0),FALSE)</f>
        <v>1.7100000000000001E-2</v>
      </c>
      <c r="AA51" s="77">
        <f>VLOOKUP(A51,JanApport,MATCH($AA$4,'Jan 2022 Apport'!$3:$3,0),FALSE)*VLOOKUP(A51,JanApport,MATCH($AA$3,'Jan 2022 Apport'!$3:$3,0),FALSE)</f>
        <v>67585</v>
      </c>
      <c r="AB51" s="77">
        <f>VLOOKUP(A51,JanApport,MATCH($AB$4,'Jan 2022 Apport'!$3:$3,0),FALSE)*VLOOKUP(A51,JanApport,MATCH($AB$3,'Jan 2022 Apport'!$3:$3,0),FALSE)</f>
        <v>68937</v>
      </c>
      <c r="AC51" s="77">
        <f>VLOOKUP(A51,JanApport,MATCH($AC$4,'Jan 2022 Apport'!$3:$3,0),FALSE)</f>
        <v>100321</v>
      </c>
      <c r="AD51" s="77">
        <f>VLOOKUP(A51,JanApport,MATCH($AD$4,'Jan 2022 Apport'!$3:$3,0),FALSE)*VLOOKUP(A51,JanApport,MATCH($AD$3,'Jan 2022 Apport'!$3:$3,0),FALSE)</f>
        <v>102327</v>
      </c>
      <c r="AE51" s="77">
        <f>VLOOKUP(A51,JanApport,MATCH($AE$4,'Jan 2022 Apport'!$3:$3,0),FALSE)</f>
        <v>48483</v>
      </c>
      <c r="AF51" s="77">
        <f>VLOOKUP(A51,JanApport,MATCH($AF$4,'Jan 2022 Apport'!$3:$3,0),FALSE)*VLOOKUP(A51,JanApport,MATCH($AF$3,'Jan 2022 Apport'!$3:$3,0),FALSE)</f>
        <v>49453</v>
      </c>
      <c r="AG51" s="77">
        <f t="shared" si="9"/>
        <v>96432.259900000005</v>
      </c>
      <c r="AH51" s="77">
        <f t="shared" si="4"/>
        <v>137400.94330000001</v>
      </c>
      <c r="AI51" s="77">
        <f t="shared" si="5"/>
        <v>77281.189732599989</v>
      </c>
      <c r="AJ51" s="3">
        <f>VLOOKUP(A51,JanApport,MATCH($AJ$4,'Jan 2022 Apport'!$3:$3,0),FALSE)</f>
        <v>230920.58</v>
      </c>
      <c r="AK51" s="3">
        <f>VLOOKUP(A51,JanApport,MATCH($AK$4,'Jan 2022 Apport'!$3:$3,0),FALSE)</f>
        <v>1.9019999999999999</v>
      </c>
      <c r="AL51" s="117">
        <f t="shared" si="10"/>
        <v>2387271.58</v>
      </c>
      <c r="AM51" s="117">
        <f>VLOOKUP(A51,JanApport,MATCH($AM$4,'Jan 2022 Apport'!$3:$3,0),FALSE)</f>
        <v>31502.79</v>
      </c>
      <c r="AN51" s="117">
        <f>VLOOKUP(A51,JanApport,MATCH($AN$4,'Jan 2022 Apport'!$3:$3,0),FALSE)</f>
        <v>17454.400000000001</v>
      </c>
    </row>
    <row r="52" spans="1:40">
      <c r="A52" s="2" t="s">
        <v>533</v>
      </c>
      <c r="B52" s="2" t="s">
        <v>534</v>
      </c>
      <c r="C52" s="2" t="s">
        <v>1267</v>
      </c>
      <c r="D52" s="118">
        <f>VLOOKUP(A52,JanApport,MATCH($D$4,'Jan 2022 Apport'!$3:$3,FALSE),FALSE)</f>
        <v>6712266.9000000004</v>
      </c>
      <c r="E52" s="30">
        <f>VLOOKUP(A52,JanApport,MATCH($E$2,'Jan 2022 Apport'!$3:$3,0),FALSE)+VLOOKUP(A52,JanApport,MATCH($E$3,'Jan 2022 Apport'!$3:$3,0),FALSE)+VLOOKUP(A52,JanApport,MATCH($E$4,'Jan 2022 Apport'!$3:$3,0),FALSE)</f>
        <v>495979.31</v>
      </c>
      <c r="F52" s="118">
        <f t="shared" si="11"/>
        <v>6216287.5900000008</v>
      </c>
      <c r="G52" s="117">
        <f>VLOOKUP(A52,JanApport,MATCH($G$4,'Jan 2022 Apport'!$3:$3,0),FALSE)</f>
        <v>101431.15</v>
      </c>
      <c r="H52" s="117">
        <f>VLOOKUP(A52,JanApport,MATCH($H$3,'Jan 2022 Apport'!$3:$3,0),FALSE)+VLOOKUP(A52,JanApport,MATCH($H$2,'Jan 2022 Apport'!$3:$3,0),FALSE)+VLOOKUP(A52,JanApport,MATCH($H$4,'Jan 2022 Apport'!$3:$3,0),FALSE)</f>
        <v>850458.91</v>
      </c>
      <c r="I52" s="117">
        <f t="shared" si="13"/>
        <v>951890.06</v>
      </c>
      <c r="J52" s="117">
        <f>VLOOKUP(A52,JanApport,MATCH($J$4,'Jan 2022 Apport'!$3:$3,0),FALSE)</f>
        <v>439765.47</v>
      </c>
      <c r="K52" s="117">
        <f>VLOOKUP(A52,JanApport,MATCH($K$4,'Jan 2022 Apport'!$3:$3,0),FALSE)</f>
        <v>66671.92</v>
      </c>
      <c r="L52" s="117">
        <f t="shared" si="12"/>
        <v>506437.38999999996</v>
      </c>
      <c r="M52" s="117">
        <f>VLOOKUP(A52,JanApport,MATCH($M$4,'Jan 2022 Apport'!$3:$3,0),FALSE)</f>
        <v>247066.94</v>
      </c>
      <c r="N52" s="117">
        <f>VLOOKUP(A52,JanApport,MATCH($N$4,'Jan 2022 Apport'!$3:$3,0),FALSE)</f>
        <v>216689.84</v>
      </c>
      <c r="O52" s="117">
        <f>VLOOKUP(A52,JanApport,MATCH($O$4,'Jan 2022 Apport'!$3:$3,0),FALSE)</f>
        <v>20656.41</v>
      </c>
      <c r="P52" s="121">
        <f>IFERROR((VLOOKUP(A52,ExcessLevy!A:G,3,FALSE)*0.28),0)+IFERROR((VLOOKUP(A52,ExcessLevy!A:G,6,FALSE)*0.72),0)</f>
        <v>0</v>
      </c>
      <c r="Q52" s="121">
        <f>IFERROR((VLOOKUP(A52,ExcessLevy!A:G,4,FALSE)*0.4738),0)+IFERROR((VLOOKUP(A52,ExcessLevy!A:G,7,FALSE)*0.5262),0)</f>
        <v>2240357.6601999998</v>
      </c>
      <c r="R52">
        <f>VLOOKUP(A52,JanApport,MATCH($R$4,'Jan 2022 Apport'!$3:$3,0),FALSE)</f>
        <v>0</v>
      </c>
      <c r="S52">
        <f>VLOOKUP(A52,JanApport,MATCH($S$4,'Jan 2022 Apport'!$3:$3,0),FALSE)</f>
        <v>0</v>
      </c>
      <c r="T52">
        <f>VLOOKUP(A52,JanApport,MATCH($T$4,'Jan 2022 Apport'!$3:$3,0),FALSE)</f>
        <v>54.43</v>
      </c>
      <c r="U52" s="132">
        <f>IFERROR(VLOOKUP(A52,JanApport,MATCH($U$4,'Jan 2022 Apport'!$3:$3,0),FALSE)/R52,0)</f>
        <v>0</v>
      </c>
      <c r="V52" s="30">
        <f>IFERROR(((VLOOKUP(A52,JanApport,MATCH($V$4,'Jan 2022 Apport'!$3:$3,0),FALSE)+VLOOKUP(A52,JanApport,MATCH($V$3,'Jan 2022 Apport'!$3:$3,0),FALSE))/(S52+T52)),0)</f>
        <v>9112.2415947088011</v>
      </c>
      <c r="W52" s="30">
        <f t="shared" si="8"/>
        <v>8083.6246967786601</v>
      </c>
      <c r="X52">
        <f>VLOOKUP(A52,JanApport,MATCH($X$4,'Jan 2022 Apport'!$3:$3,0),FALSE)</f>
        <v>4.8578999999999997E-2</v>
      </c>
      <c r="Y52">
        <f>VLOOKUP(A52,JanApport,MATCH($Y$4,'Jan 2022 Apport'!$3:$3,0),FALSE)</f>
        <v>4.0270000000000002E-3</v>
      </c>
      <c r="Z52">
        <f>VLOOKUP(A52,JanApport,MATCH($Z$4,'Jan 2022 Apport'!$3:$3,0),FALSE)</f>
        <v>1.7100000000000001E-2</v>
      </c>
      <c r="AA52" s="77">
        <f>VLOOKUP(A52,JanApport,MATCH($AA$4,'Jan 2022 Apport'!$3:$3,0),FALSE)*VLOOKUP(A52,JanApport,MATCH($AA$3,'Jan 2022 Apport'!$3:$3,0),FALSE)</f>
        <v>67585</v>
      </c>
      <c r="AB52" s="77">
        <f>VLOOKUP(A52,JanApport,MATCH($AB$4,'Jan 2022 Apport'!$3:$3,0),FALSE)*VLOOKUP(A52,JanApport,MATCH($AB$3,'Jan 2022 Apport'!$3:$3,0),FALSE)</f>
        <v>68937</v>
      </c>
      <c r="AC52" s="77">
        <f>VLOOKUP(A52,JanApport,MATCH($AC$4,'Jan 2022 Apport'!$3:$3,0),FALSE)</f>
        <v>100321</v>
      </c>
      <c r="AD52" s="77">
        <f>VLOOKUP(A52,JanApport,MATCH($AD$4,'Jan 2022 Apport'!$3:$3,0),FALSE)*VLOOKUP(A52,JanApport,MATCH($AD$3,'Jan 2022 Apport'!$3:$3,0),FALSE)</f>
        <v>102327</v>
      </c>
      <c r="AE52" s="77">
        <f>VLOOKUP(A52,JanApport,MATCH($AE$4,'Jan 2022 Apport'!$3:$3,0),FALSE)</f>
        <v>48483</v>
      </c>
      <c r="AF52" s="77">
        <f>VLOOKUP(A52,JanApport,MATCH($AF$4,'Jan 2022 Apport'!$3:$3,0),FALSE)*VLOOKUP(A52,JanApport,MATCH($AF$3,'Jan 2022 Apport'!$3:$3,0),FALSE)</f>
        <v>49453</v>
      </c>
      <c r="AG52" s="77">
        <f t="shared" si="9"/>
        <v>96432.259900000005</v>
      </c>
      <c r="AH52" s="77">
        <f t="shared" si="4"/>
        <v>137400.94330000001</v>
      </c>
      <c r="AI52" s="77">
        <f t="shared" si="5"/>
        <v>77281.189732599989</v>
      </c>
      <c r="AJ52" s="3">
        <f>VLOOKUP(A52,JanApport,MATCH($AJ$4,'Jan 2022 Apport'!$3:$3,0),FALSE)</f>
        <v>921213.92</v>
      </c>
      <c r="AK52" s="3">
        <f>VLOOKUP(A52,JanApport,MATCH($AK$4,'Jan 2022 Apport'!$3:$3,0),FALSE)</f>
        <v>14.212999999999999</v>
      </c>
      <c r="AL52" s="117">
        <f t="shared" si="10"/>
        <v>8794190.9800000004</v>
      </c>
      <c r="AM52" s="117">
        <f>VLOOKUP(A52,JanApport,MATCH($AM$4,'Jan 2022 Apport'!$3:$3,0),FALSE)</f>
        <v>205855.35999999999</v>
      </c>
      <c r="AN52" s="117">
        <f>VLOOKUP(A52,JanApport,MATCH($AN$4,'Jan 2022 Apport'!$3:$3,0),FALSE)</f>
        <v>54904.07</v>
      </c>
    </row>
    <row r="53" spans="1:40">
      <c r="A53" s="2" t="s">
        <v>491</v>
      </c>
      <c r="B53" s="2" t="s">
        <v>492</v>
      </c>
      <c r="C53" s="2" t="s">
        <v>1267</v>
      </c>
      <c r="D53" s="118">
        <f>VLOOKUP(A53,JanApport,MATCH($D$4,'Jan 2022 Apport'!$3:$3,FALSE),FALSE)</f>
        <v>14553823.890000001</v>
      </c>
      <c r="E53" s="30">
        <f>VLOOKUP(A53,JanApport,MATCH($E$2,'Jan 2022 Apport'!$3:$3,0),FALSE)+VLOOKUP(A53,JanApport,MATCH($E$3,'Jan 2022 Apport'!$3:$3,0),FALSE)+VLOOKUP(A53,JanApport,MATCH($E$4,'Jan 2022 Apport'!$3:$3,0),FALSE)</f>
        <v>1310282.8799999999</v>
      </c>
      <c r="F53" s="118">
        <f t="shared" si="11"/>
        <v>13243541.010000002</v>
      </c>
      <c r="G53" s="117">
        <f>VLOOKUP(A53,JanApport,MATCH($G$4,'Jan 2022 Apport'!$3:$3,0),FALSE)</f>
        <v>181596.96</v>
      </c>
      <c r="H53" s="117">
        <f>VLOOKUP(A53,JanApport,MATCH($H$3,'Jan 2022 Apport'!$3:$3,0),FALSE)+VLOOKUP(A53,JanApport,MATCH($H$2,'Jan 2022 Apport'!$3:$3,0),FALSE)+VLOOKUP(A53,JanApport,MATCH($H$4,'Jan 2022 Apport'!$3:$3,0),FALSE)</f>
        <v>1937356.8599999999</v>
      </c>
      <c r="I53" s="117">
        <f t="shared" si="13"/>
        <v>2118953.8199999998</v>
      </c>
      <c r="J53" s="117">
        <f>VLOOKUP(A53,JanApport,MATCH($J$4,'Jan 2022 Apport'!$3:$3,0),FALSE)</f>
        <v>1559933.72</v>
      </c>
      <c r="K53" s="117">
        <f>VLOOKUP(A53,JanApport,MATCH($K$4,'Jan 2022 Apport'!$3:$3,0),FALSE)</f>
        <v>0</v>
      </c>
      <c r="L53" s="117">
        <f t="shared" si="12"/>
        <v>1559933.72</v>
      </c>
      <c r="M53" s="117">
        <f>VLOOKUP(A53,JanApport,MATCH($M$4,'Jan 2022 Apport'!$3:$3,0),FALSE)</f>
        <v>469022.14</v>
      </c>
      <c r="N53" s="117">
        <f>VLOOKUP(A53,JanApport,MATCH($N$4,'Jan 2022 Apport'!$3:$3,0),FALSE)</f>
        <v>23795.37</v>
      </c>
      <c r="O53" s="117">
        <f>VLOOKUP(A53,JanApport,MATCH($O$4,'Jan 2022 Apport'!$3:$3,0),FALSE)</f>
        <v>47692.02</v>
      </c>
      <c r="P53" s="121">
        <f>IFERROR((VLOOKUP(A53,ExcessLevy!A:G,3,FALSE)*0.28),0)+IFERROR((VLOOKUP(A53,ExcessLevy!A:G,6,FALSE)*0.72),0)</f>
        <v>685575.37000000011</v>
      </c>
      <c r="Q53" s="121">
        <f>IFERROR((VLOOKUP(A53,ExcessLevy!A:G,4,FALSE)*0.4738),0)+IFERROR((VLOOKUP(A53,ExcessLevy!A:G,7,FALSE)*0.5262),0)</f>
        <v>1714039.2963999999</v>
      </c>
      <c r="R53">
        <f>VLOOKUP(A53,JanApport,MATCH($R$4,'Jan 2022 Apport'!$3:$3,0),FALSE)</f>
        <v>14.15</v>
      </c>
      <c r="S53">
        <f>VLOOKUP(A53,JanApport,MATCH($S$4,'Jan 2022 Apport'!$3:$3,0),FALSE)</f>
        <v>14.62</v>
      </c>
      <c r="T53">
        <f>VLOOKUP(A53,JanApport,MATCH($T$4,'Jan 2022 Apport'!$3:$3,0),FALSE)</f>
        <v>113.13</v>
      </c>
      <c r="U53" s="132">
        <f>IFERROR(VLOOKUP(A53,JanApport,MATCH($U$4,'Jan 2022 Apport'!$3:$3,0),FALSE)/R53,0)</f>
        <v>10346.837455830388</v>
      </c>
      <c r="V53" s="30">
        <f>IFERROR(((VLOOKUP(A53,JanApport,MATCH($V$4,'Jan 2022 Apport'!$3:$3,0),FALSE)+VLOOKUP(A53,JanApport,MATCH($V$3,'Jan 2022 Apport'!$3:$3,0),FALSE))/(S53+T53)),0)</f>
        <v>9110.5685322896279</v>
      </c>
      <c r="W53" s="30">
        <f t="shared" si="8"/>
        <v>8083.6246967786601</v>
      </c>
      <c r="X53">
        <f>VLOOKUP(A53,JanApport,MATCH($X$4,'Jan 2022 Apport'!$3:$3,0),FALSE)</f>
        <v>4.8578999999999997E-2</v>
      </c>
      <c r="Y53">
        <f>VLOOKUP(A53,JanApport,MATCH($Y$4,'Jan 2022 Apport'!$3:$3,0),FALSE)</f>
        <v>4.0270000000000002E-3</v>
      </c>
      <c r="Z53">
        <f>VLOOKUP(A53,JanApport,MATCH($Z$4,'Jan 2022 Apport'!$3:$3,0),FALSE)</f>
        <v>1.7100000000000001E-2</v>
      </c>
      <c r="AA53" s="77">
        <f>VLOOKUP(A53,JanApport,MATCH($AA$4,'Jan 2022 Apport'!$3:$3,0),FALSE)*VLOOKUP(A53,JanApport,MATCH($AA$3,'Jan 2022 Apport'!$3:$3,0),FALSE)</f>
        <v>67585</v>
      </c>
      <c r="AB53" s="77">
        <f>VLOOKUP(A53,JanApport,MATCH($AB$4,'Jan 2022 Apport'!$3:$3,0),FALSE)*VLOOKUP(A53,JanApport,MATCH($AB$3,'Jan 2022 Apport'!$3:$3,0),FALSE)</f>
        <v>68937</v>
      </c>
      <c r="AC53" s="77">
        <f>VLOOKUP(A53,JanApport,MATCH($AC$4,'Jan 2022 Apport'!$3:$3,0),FALSE)</f>
        <v>100321</v>
      </c>
      <c r="AD53" s="77">
        <f>VLOOKUP(A53,JanApport,MATCH($AD$4,'Jan 2022 Apport'!$3:$3,0),FALSE)*VLOOKUP(A53,JanApport,MATCH($AD$3,'Jan 2022 Apport'!$3:$3,0),FALSE)</f>
        <v>102327</v>
      </c>
      <c r="AE53" s="77">
        <f>VLOOKUP(A53,JanApport,MATCH($AE$4,'Jan 2022 Apport'!$3:$3,0),FALSE)</f>
        <v>48483</v>
      </c>
      <c r="AF53" s="77">
        <f>VLOOKUP(A53,JanApport,MATCH($AF$4,'Jan 2022 Apport'!$3:$3,0),FALSE)*VLOOKUP(A53,JanApport,MATCH($AF$3,'Jan 2022 Apport'!$3:$3,0),FALSE)</f>
        <v>49453</v>
      </c>
      <c r="AG53" s="77">
        <f t="shared" si="9"/>
        <v>96432.259900000005</v>
      </c>
      <c r="AH53" s="77">
        <f t="shared" si="4"/>
        <v>137400.94330000001</v>
      </c>
      <c r="AI53" s="77">
        <f t="shared" si="5"/>
        <v>77281.189732599989</v>
      </c>
      <c r="AJ53" s="3">
        <f>VLOOKUP(A53,JanApport,MATCH($AJ$4,'Jan 2022 Apport'!$3:$3,0),FALSE)</f>
        <v>1962833.77</v>
      </c>
      <c r="AK53" s="3">
        <f>VLOOKUP(A53,JanApport,MATCH($AK$4,'Jan 2022 Apport'!$3:$3,0),FALSE)</f>
        <v>29.085999999999999</v>
      </c>
      <c r="AL53" s="117">
        <f t="shared" si="10"/>
        <v>19092889.109999999</v>
      </c>
      <c r="AM53" s="117">
        <f>VLOOKUP(A53,JanApport,MATCH($AM$4,'Jan 2022 Apport'!$3:$3,0),FALSE)</f>
        <v>319668.15000000002</v>
      </c>
      <c r="AN53" s="117">
        <f>VLOOKUP(A53,JanApport,MATCH($AN$4,'Jan 2022 Apport'!$3:$3,0),FALSE)</f>
        <v>111097.57</v>
      </c>
    </row>
    <row r="54" spans="1:40">
      <c r="A54" s="2" t="s">
        <v>401</v>
      </c>
      <c r="B54" s="2" t="s">
        <v>402</v>
      </c>
      <c r="C54" s="2" t="s">
        <v>1267</v>
      </c>
      <c r="D54" s="118">
        <f>VLOOKUP(A54,JanApport,MATCH($D$4,'Jan 2022 Apport'!$3:$3,FALSE),FALSE)</f>
        <v>5381602.9199999999</v>
      </c>
      <c r="E54" s="30">
        <f>VLOOKUP(A54,JanApport,MATCH($E$2,'Jan 2022 Apport'!$3:$3,0),FALSE)+VLOOKUP(A54,JanApport,MATCH($E$3,'Jan 2022 Apport'!$3:$3,0),FALSE)+VLOOKUP(A54,JanApport,MATCH($E$4,'Jan 2022 Apport'!$3:$3,0),FALSE)</f>
        <v>484918.67</v>
      </c>
      <c r="F54" s="118">
        <f t="shared" si="11"/>
        <v>4896684.25</v>
      </c>
      <c r="G54" s="117">
        <f>VLOOKUP(A54,JanApport,MATCH($G$4,'Jan 2022 Apport'!$3:$3,0),FALSE)</f>
        <v>10951.15</v>
      </c>
      <c r="H54" s="117">
        <f>VLOOKUP(A54,JanApport,MATCH($H$3,'Jan 2022 Apport'!$3:$3,0),FALSE)+VLOOKUP(A54,JanApport,MATCH($H$2,'Jan 2022 Apport'!$3:$3,0),FALSE)+VLOOKUP(A54,JanApport,MATCH($H$4,'Jan 2022 Apport'!$3:$3,0),FALSE)</f>
        <v>640269.90999999992</v>
      </c>
      <c r="I54" s="117">
        <f t="shared" si="13"/>
        <v>651221.05999999994</v>
      </c>
      <c r="J54" s="117">
        <f>VLOOKUP(A54,JanApport,MATCH($J$4,'Jan 2022 Apport'!$3:$3,0),FALSE)</f>
        <v>686133.57</v>
      </c>
      <c r="K54" s="117">
        <f>VLOOKUP(A54,JanApport,MATCH($K$4,'Jan 2022 Apport'!$3:$3,0),FALSE)</f>
        <v>78917.399999999994</v>
      </c>
      <c r="L54" s="117">
        <f t="shared" si="12"/>
        <v>765050.97</v>
      </c>
      <c r="M54" s="117">
        <f>VLOOKUP(A54,JanApport,MATCH($M$4,'Jan 2022 Apport'!$3:$3,0),FALSE)</f>
        <v>256647.44</v>
      </c>
      <c r="N54" s="117">
        <f>VLOOKUP(A54,JanApport,MATCH($N$4,'Jan 2022 Apport'!$3:$3,0),FALSE)</f>
        <v>0</v>
      </c>
      <c r="O54" s="117">
        <f>VLOOKUP(A54,JanApport,MATCH($O$4,'Jan 2022 Apport'!$3:$3,0),FALSE)</f>
        <v>15141.44</v>
      </c>
      <c r="P54" s="121">
        <f>IFERROR((VLOOKUP(A54,ExcessLevy!A:G,3,FALSE)*0.28),0)+IFERROR((VLOOKUP(A54,ExcessLevy!A:G,6,FALSE)*0.72),0)</f>
        <v>0</v>
      </c>
      <c r="Q54" s="121">
        <f>IFERROR((VLOOKUP(A54,ExcessLevy!A:G,4,FALSE)*0.4738),0)+IFERROR((VLOOKUP(A54,ExcessLevy!A:G,7,FALSE)*0.5262),0)</f>
        <v>1364024.4619999998</v>
      </c>
      <c r="R54">
        <f>VLOOKUP(A54,JanApport,MATCH($R$4,'Jan 2022 Apport'!$3:$3,0),FALSE)</f>
        <v>0</v>
      </c>
      <c r="S54">
        <f>VLOOKUP(A54,JanApport,MATCH($S$4,'Jan 2022 Apport'!$3:$3,0),FALSE)</f>
        <v>6.05</v>
      </c>
      <c r="T54">
        <f>VLOOKUP(A54,JanApport,MATCH($T$4,'Jan 2022 Apport'!$3:$3,0),FALSE)</f>
        <v>44.06</v>
      </c>
      <c r="U54" s="132">
        <f>IFERROR(VLOOKUP(A54,JanApport,MATCH($U$4,'Jan 2022 Apport'!$3:$3,0),FALSE)/R54,0)</f>
        <v>0</v>
      </c>
      <c r="V54" s="30">
        <f>IFERROR(((VLOOKUP(A54,JanApport,MATCH($V$4,'Jan 2022 Apport'!$3:$3,0),FALSE)+VLOOKUP(A54,JanApport,MATCH($V$3,'Jan 2022 Apport'!$3:$3,0),FALSE))/(S54+T54)),0)</f>
        <v>9677.083815605667</v>
      </c>
      <c r="W54" s="30">
        <f t="shared" si="8"/>
        <v>8758.0802925734424</v>
      </c>
      <c r="X54">
        <f>VLOOKUP(A54,JanApport,MATCH($X$4,'Jan 2022 Apport'!$3:$3,0),FALSE)</f>
        <v>4.8578999999999997E-2</v>
      </c>
      <c r="Y54">
        <f>VLOOKUP(A54,JanApport,MATCH($Y$4,'Jan 2022 Apport'!$3:$3,0),FALSE)</f>
        <v>4.0270000000000002E-3</v>
      </c>
      <c r="Z54">
        <f>VLOOKUP(A54,JanApport,MATCH($Z$4,'Jan 2022 Apport'!$3:$3,0),FALSE)</f>
        <v>1.7100000000000001E-2</v>
      </c>
      <c r="AA54" s="77">
        <f>VLOOKUP(A54,JanApport,MATCH($AA$4,'Jan 2022 Apport'!$3:$3,0),FALSE)*VLOOKUP(A54,JanApport,MATCH($AA$3,'Jan 2022 Apport'!$3:$3,0),FALSE)</f>
        <v>75695.200000000012</v>
      </c>
      <c r="AB54" s="77">
        <f>VLOOKUP(A54,JanApport,MATCH($AB$4,'Jan 2022 Apport'!$3:$3,0),FALSE)*VLOOKUP(A54,JanApport,MATCH($AB$3,'Jan 2022 Apport'!$3:$3,0),FALSE)</f>
        <v>77209.440000000002</v>
      </c>
      <c r="AC54" s="77">
        <f>VLOOKUP(A54,JanApport,MATCH($AC$4,'Jan 2022 Apport'!$3:$3,0),FALSE)</f>
        <v>100321</v>
      </c>
      <c r="AD54" s="77">
        <f>VLOOKUP(A54,JanApport,MATCH($AD$4,'Jan 2022 Apport'!$3:$3,0),FALSE)*VLOOKUP(A54,JanApport,MATCH($AD$3,'Jan 2022 Apport'!$3:$3,0),FALSE)</f>
        <v>114606.24</v>
      </c>
      <c r="AE54" s="77">
        <f>VLOOKUP(A54,JanApport,MATCH($AE$4,'Jan 2022 Apport'!$3:$3,0),FALSE)</f>
        <v>48483</v>
      </c>
      <c r="AF54" s="77">
        <f>VLOOKUP(A54,JanApport,MATCH($AF$4,'Jan 2022 Apport'!$3:$3,0),FALSE)*VLOOKUP(A54,JanApport,MATCH($AF$3,'Jan 2022 Apport'!$3:$3,0),FALSE)</f>
        <v>55387.360000000008</v>
      </c>
      <c r="AG54" s="77">
        <f t="shared" si="9"/>
        <v>106582.33268799999</v>
      </c>
      <c r="AH54" s="77">
        <f t="shared" si="4"/>
        <v>152390.21156800003</v>
      </c>
      <c r="AI54" s="77">
        <f t="shared" si="5"/>
        <v>84357.998300512001</v>
      </c>
      <c r="AJ54" s="3">
        <f>VLOOKUP(A54,JanApport,MATCH($AJ$4,'Jan 2022 Apport'!$3:$3,0),FALSE)</f>
        <v>654246.74</v>
      </c>
      <c r="AK54" s="3">
        <f>VLOOKUP(A54,JanApport,MATCH($AK$4,'Jan 2022 Apport'!$3:$3,0),FALSE)</f>
        <v>11.496</v>
      </c>
      <c r="AL54" s="117">
        <f t="shared" si="10"/>
        <v>7147784.8200000003</v>
      </c>
      <c r="AM54" s="117">
        <f>VLOOKUP(A54,JanApport,MATCH($AM$4,'Jan 2022 Apport'!$3:$3,0),FALSE)</f>
        <v>157038.39000000001</v>
      </c>
      <c r="AN54" s="117">
        <f>VLOOKUP(A54,JanApport,MATCH($AN$4,'Jan 2022 Apport'!$3:$3,0),FALSE)</f>
        <v>44950.76</v>
      </c>
    </row>
    <row r="55" spans="1:40">
      <c r="A55" s="2" t="s">
        <v>411</v>
      </c>
      <c r="B55" s="2" t="s">
        <v>412</v>
      </c>
      <c r="C55" s="2" t="s">
        <v>1267</v>
      </c>
      <c r="D55" s="118">
        <f>VLOOKUP(A55,JanApport,MATCH($D$4,'Jan 2022 Apport'!$3:$3,FALSE),FALSE)</f>
        <v>4351455.7300000004</v>
      </c>
      <c r="E55" s="30">
        <f>VLOOKUP(A55,JanApport,MATCH($E$2,'Jan 2022 Apport'!$3:$3,0),FALSE)+VLOOKUP(A55,JanApport,MATCH($E$3,'Jan 2022 Apport'!$3:$3,0),FALSE)+VLOOKUP(A55,JanApport,MATCH($E$4,'Jan 2022 Apport'!$3:$3,0),FALSE)</f>
        <v>0</v>
      </c>
      <c r="F55" s="118">
        <f t="shared" si="11"/>
        <v>4351455.7300000004</v>
      </c>
      <c r="G55" s="117">
        <f>VLOOKUP(A55,JanApport,MATCH($G$4,'Jan 2022 Apport'!$3:$3,0),FALSE)</f>
        <v>22205.17</v>
      </c>
      <c r="H55" s="117">
        <f>VLOOKUP(A55,JanApport,MATCH($H$3,'Jan 2022 Apport'!$3:$3,0),FALSE)+VLOOKUP(A55,JanApport,MATCH($H$2,'Jan 2022 Apport'!$3:$3,0),FALSE)+VLOOKUP(A55,JanApport,MATCH($H$4,'Jan 2022 Apport'!$3:$3,0),FALSE)</f>
        <v>418929.72</v>
      </c>
      <c r="I55" s="117">
        <f t="shared" si="13"/>
        <v>441134.88999999996</v>
      </c>
      <c r="J55" s="117">
        <f>VLOOKUP(A55,JanApport,MATCH($J$4,'Jan 2022 Apport'!$3:$3,0),FALSE)</f>
        <v>216571</v>
      </c>
      <c r="K55" s="117">
        <f>VLOOKUP(A55,JanApport,MATCH($K$4,'Jan 2022 Apport'!$3:$3,0),FALSE)</f>
        <v>43857.84</v>
      </c>
      <c r="L55" s="117">
        <f t="shared" si="12"/>
        <v>260428.84</v>
      </c>
      <c r="M55" s="117">
        <f>VLOOKUP(A55,JanApport,MATCH($M$4,'Jan 2022 Apport'!$3:$3,0),FALSE)</f>
        <v>57124.91</v>
      </c>
      <c r="N55" s="117">
        <f>VLOOKUP(A55,JanApport,MATCH($N$4,'Jan 2022 Apport'!$3:$3,0),FALSE)</f>
        <v>48556.18</v>
      </c>
      <c r="O55" s="117">
        <f>VLOOKUP(A55,JanApport,MATCH($O$4,'Jan 2022 Apport'!$3:$3,0),FALSE)</f>
        <v>14281.21</v>
      </c>
      <c r="P55" s="121">
        <f>IFERROR((VLOOKUP(A55,ExcessLevy!A:G,3,FALSE)*0.28),0)+IFERROR((VLOOKUP(A55,ExcessLevy!A:G,6,FALSE)*0.72),0)</f>
        <v>0</v>
      </c>
      <c r="Q55" s="121">
        <f>IFERROR((VLOOKUP(A55,ExcessLevy!A:G,4,FALSE)*0.4738),0)+IFERROR((VLOOKUP(A55,ExcessLevy!A:G,7,FALSE)*0.5262),0)</f>
        <v>1042901.8</v>
      </c>
      <c r="R55">
        <f>VLOOKUP(A55,JanApport,MATCH($R$4,'Jan 2022 Apport'!$3:$3,0),FALSE)</f>
        <v>0</v>
      </c>
      <c r="S55">
        <f>VLOOKUP(A55,JanApport,MATCH($S$4,'Jan 2022 Apport'!$3:$3,0),FALSE)</f>
        <v>0</v>
      </c>
      <c r="T55">
        <f>VLOOKUP(A55,JanApport,MATCH($T$4,'Jan 2022 Apport'!$3:$3,0),FALSE)</f>
        <v>0</v>
      </c>
      <c r="U55" s="132">
        <f>IFERROR(VLOOKUP(A55,JanApport,MATCH($U$4,'Jan 2022 Apport'!$3:$3,0),FALSE)/R55,0)</f>
        <v>0</v>
      </c>
      <c r="V55" s="30">
        <f>IFERROR(((VLOOKUP(A55,JanApport,MATCH($V$4,'Jan 2022 Apport'!$3:$3,0),FALSE)+VLOOKUP(A55,JanApport,MATCH($V$3,'Jan 2022 Apport'!$3:$3,0),FALSE))/(S55+T55)),0)</f>
        <v>0</v>
      </c>
      <c r="W55" s="30">
        <f t="shared" si="8"/>
        <v>8757.6600414739241</v>
      </c>
      <c r="X55">
        <f>VLOOKUP(A55,JanApport,MATCH($X$4,'Jan 2022 Apport'!$3:$3,0),FALSE)</f>
        <v>4.8578999999999997E-2</v>
      </c>
      <c r="Y55">
        <f>VLOOKUP(A55,JanApport,MATCH($Y$4,'Jan 2022 Apport'!$3:$3,0),FALSE)</f>
        <v>4.0270000000000002E-3</v>
      </c>
      <c r="Z55">
        <f>VLOOKUP(A55,JanApport,MATCH($Z$4,'Jan 2022 Apport'!$3:$3,0),FALSE)</f>
        <v>1.7100000000000001E-2</v>
      </c>
      <c r="AA55" s="77">
        <f>VLOOKUP(A55,JanApport,MATCH($AA$4,'Jan 2022 Apport'!$3:$3,0),FALSE)*VLOOKUP(A55,JanApport,MATCH($AA$3,'Jan 2022 Apport'!$3:$3,0),FALSE)</f>
        <v>74343.5</v>
      </c>
      <c r="AB55" s="77">
        <f>VLOOKUP(A55,JanApport,MATCH($AB$4,'Jan 2022 Apport'!$3:$3,0),FALSE)*VLOOKUP(A55,JanApport,MATCH($AB$3,'Jan 2022 Apport'!$3:$3,0),FALSE)</f>
        <v>77209.440000000002</v>
      </c>
      <c r="AC55" s="77">
        <f>VLOOKUP(A55,JanApport,MATCH($AC$4,'Jan 2022 Apport'!$3:$3,0),FALSE)</f>
        <v>100321</v>
      </c>
      <c r="AD55" s="77">
        <f>VLOOKUP(A55,JanApport,MATCH($AD$4,'Jan 2022 Apport'!$3:$3,0),FALSE)*VLOOKUP(A55,JanApport,MATCH($AD$3,'Jan 2022 Apport'!$3:$3,0),FALSE)</f>
        <v>114606.24</v>
      </c>
      <c r="AE55" s="77">
        <f>VLOOKUP(A55,JanApport,MATCH($AE$4,'Jan 2022 Apport'!$3:$3,0),FALSE)</f>
        <v>48483</v>
      </c>
      <c r="AF55" s="77">
        <f>VLOOKUP(A55,JanApport,MATCH($AF$4,'Jan 2022 Apport'!$3:$3,0),FALSE)*VLOOKUP(A55,JanApport,MATCH($AF$3,'Jan 2022 Apport'!$3:$3,0),FALSE)</f>
        <v>55387.360000000008</v>
      </c>
      <c r="AG55" s="77">
        <f t="shared" si="9"/>
        <v>106573.68180800002</v>
      </c>
      <c r="AH55" s="77">
        <f t="shared" si="4"/>
        <v>152390.21156800003</v>
      </c>
      <c r="AI55" s="77">
        <f t="shared" si="5"/>
        <v>84357.998300512001</v>
      </c>
      <c r="AJ55" s="3">
        <f>VLOOKUP(A55,JanApport,MATCH($AJ$4,'Jan 2022 Apport'!$3:$3,0),FALSE)</f>
        <v>603956.4</v>
      </c>
      <c r="AK55" s="3">
        <f>VLOOKUP(A55,JanApport,MATCH($AK$4,'Jan 2022 Apport'!$3:$3,0),FALSE)</f>
        <v>13.475</v>
      </c>
      <c r="AL55" s="117">
        <f t="shared" si="10"/>
        <v>5129123.92</v>
      </c>
      <c r="AM55" s="117">
        <f>VLOOKUP(A55,JanApport,MATCH($AM$4,'Jan 2022 Apport'!$3:$3,0),FALSE)</f>
        <v>0</v>
      </c>
      <c r="AN55" s="117">
        <f>VLOOKUP(A55,JanApport,MATCH($AN$4,'Jan 2022 Apport'!$3:$3,0),FALSE)</f>
        <v>40657.83</v>
      </c>
    </row>
    <row r="56" spans="1:40">
      <c r="A56" s="2" t="s">
        <v>157</v>
      </c>
      <c r="B56" s="2" t="s">
        <v>158</v>
      </c>
      <c r="C56" s="2" t="s">
        <v>1267</v>
      </c>
      <c r="D56" s="118">
        <f>VLOOKUP(A56,JanApport,MATCH($D$4,'Jan 2022 Apport'!$3:$3,FALSE),FALSE)</f>
        <v>1647349.9</v>
      </c>
      <c r="E56" s="30">
        <f>VLOOKUP(A56,JanApport,MATCH($E$2,'Jan 2022 Apport'!$3:$3,0),FALSE)+VLOOKUP(A56,JanApport,MATCH($E$3,'Jan 2022 Apport'!$3:$3,0),FALSE)+VLOOKUP(A56,JanApport,MATCH($E$4,'Jan 2022 Apport'!$3:$3,0),FALSE)</f>
        <v>0</v>
      </c>
      <c r="F56" s="118">
        <f t="shared" si="11"/>
        <v>1647349.9</v>
      </c>
      <c r="G56" s="117">
        <f>VLOOKUP(A56,JanApport,MATCH($G$4,'Jan 2022 Apport'!$3:$3,0),FALSE)</f>
        <v>0</v>
      </c>
      <c r="H56" s="117">
        <f>VLOOKUP(A56,JanApport,MATCH($H$3,'Jan 2022 Apport'!$3:$3,0),FALSE)+VLOOKUP(A56,JanApport,MATCH($H$2,'Jan 2022 Apport'!$3:$3,0),FALSE)+VLOOKUP(A56,JanApport,MATCH($H$4,'Jan 2022 Apport'!$3:$3,0),FALSE)</f>
        <v>208146.47</v>
      </c>
      <c r="I56" s="117">
        <f t="shared" si="13"/>
        <v>208146.47</v>
      </c>
      <c r="J56" s="117">
        <f>VLOOKUP(A56,JanApport,MATCH($J$4,'Jan 2022 Apport'!$3:$3,0),FALSE)</f>
        <v>55973.81</v>
      </c>
      <c r="K56" s="117">
        <f>VLOOKUP(A56,JanApport,MATCH($K$4,'Jan 2022 Apport'!$3:$3,0),FALSE)</f>
        <v>7393.66</v>
      </c>
      <c r="L56" s="117">
        <f t="shared" si="12"/>
        <v>63367.47</v>
      </c>
      <c r="M56" s="117">
        <f>VLOOKUP(A56,JanApport,MATCH($M$4,'Jan 2022 Apport'!$3:$3,0),FALSE)</f>
        <v>41579.79</v>
      </c>
      <c r="N56" s="117">
        <f>VLOOKUP(A56,JanApport,MATCH($N$4,'Jan 2022 Apport'!$3:$3,0),FALSE)</f>
        <v>3228.55</v>
      </c>
      <c r="O56" s="117">
        <f>VLOOKUP(A56,JanApport,MATCH($O$4,'Jan 2022 Apport'!$3:$3,0),FALSE)</f>
        <v>4598.2299999999996</v>
      </c>
      <c r="P56" s="121">
        <f>IFERROR((VLOOKUP(A56,ExcessLevy!A:G,3,FALSE)*0.28),0)+IFERROR((VLOOKUP(A56,ExcessLevy!A:G,6,FALSE)*0.72),0)</f>
        <v>99517.642800000001</v>
      </c>
      <c r="Q56" s="121">
        <f>IFERROR((VLOOKUP(A56,ExcessLevy!A:G,4,FALSE)*0.4738),0)+IFERROR((VLOOKUP(A56,ExcessLevy!A:G,7,FALSE)*0.5262),0)</f>
        <v>609750.27040000004</v>
      </c>
      <c r="R56">
        <f>VLOOKUP(A56,JanApport,MATCH($R$4,'Jan 2022 Apport'!$3:$3,0),FALSE)</f>
        <v>0</v>
      </c>
      <c r="S56">
        <f>VLOOKUP(A56,JanApport,MATCH($S$4,'Jan 2022 Apport'!$3:$3,0),FALSE)</f>
        <v>0</v>
      </c>
      <c r="T56">
        <f>VLOOKUP(A56,JanApport,MATCH($T$4,'Jan 2022 Apport'!$3:$3,0),FALSE)</f>
        <v>0</v>
      </c>
      <c r="U56" s="132">
        <f>IFERROR(VLOOKUP(A56,JanApport,MATCH($U$4,'Jan 2022 Apport'!$3:$3,0),FALSE)/R56,0)</f>
        <v>0</v>
      </c>
      <c r="V56" s="30">
        <f>IFERROR(((VLOOKUP(A56,JanApport,MATCH($V$4,'Jan 2022 Apport'!$3:$3,0),FALSE)+VLOOKUP(A56,JanApport,MATCH($V$3,'Jan 2022 Apport'!$3:$3,0),FALSE))/(S56+T56)),0)</f>
        <v>0</v>
      </c>
      <c r="W56" s="30">
        <f t="shared" si="8"/>
        <v>8083.6246967786601</v>
      </c>
      <c r="X56">
        <f>VLOOKUP(A56,JanApport,MATCH($X$4,'Jan 2022 Apport'!$3:$3,0),FALSE)</f>
        <v>4.8578999999999997E-2</v>
      </c>
      <c r="Y56">
        <f>VLOOKUP(A56,JanApport,MATCH($Y$4,'Jan 2022 Apport'!$3:$3,0),FALSE)</f>
        <v>4.0270000000000002E-3</v>
      </c>
      <c r="Z56">
        <f>VLOOKUP(A56,JanApport,MATCH($Z$4,'Jan 2022 Apport'!$3:$3,0),FALSE)</f>
        <v>1.7100000000000001E-2</v>
      </c>
      <c r="AA56" s="77">
        <f>VLOOKUP(A56,JanApport,MATCH($AA$4,'Jan 2022 Apport'!$3:$3,0),FALSE)*VLOOKUP(A56,JanApport,MATCH($AA$3,'Jan 2022 Apport'!$3:$3,0),FALSE)</f>
        <v>67585</v>
      </c>
      <c r="AB56" s="77">
        <f>VLOOKUP(A56,JanApport,MATCH($AB$4,'Jan 2022 Apport'!$3:$3,0),FALSE)*VLOOKUP(A56,JanApport,MATCH($AB$3,'Jan 2022 Apport'!$3:$3,0),FALSE)</f>
        <v>68937</v>
      </c>
      <c r="AC56" s="77">
        <f>VLOOKUP(A56,JanApport,MATCH($AC$4,'Jan 2022 Apport'!$3:$3,0),FALSE)</f>
        <v>100321</v>
      </c>
      <c r="AD56" s="77">
        <f>VLOOKUP(A56,JanApport,MATCH($AD$4,'Jan 2022 Apport'!$3:$3,0),FALSE)*VLOOKUP(A56,JanApport,MATCH($AD$3,'Jan 2022 Apport'!$3:$3,0),FALSE)</f>
        <v>102327</v>
      </c>
      <c r="AE56" s="77">
        <f>VLOOKUP(A56,JanApport,MATCH($AE$4,'Jan 2022 Apport'!$3:$3,0),FALSE)</f>
        <v>48483</v>
      </c>
      <c r="AF56" s="77">
        <f>VLOOKUP(A56,JanApport,MATCH($AF$4,'Jan 2022 Apport'!$3:$3,0),FALSE)*VLOOKUP(A56,JanApport,MATCH($AF$3,'Jan 2022 Apport'!$3:$3,0),FALSE)</f>
        <v>49453</v>
      </c>
      <c r="AG56" s="77">
        <f t="shared" si="9"/>
        <v>96432.259900000005</v>
      </c>
      <c r="AH56" s="77">
        <f t="shared" si="4"/>
        <v>137400.94330000001</v>
      </c>
      <c r="AI56" s="77">
        <f t="shared" si="5"/>
        <v>77281.189732599989</v>
      </c>
      <c r="AJ56" s="3">
        <f>VLOOKUP(A56,JanApport,MATCH($AJ$4,'Jan 2022 Apport'!$3:$3,0),FALSE)</f>
        <v>225706.69</v>
      </c>
      <c r="AK56" s="3">
        <f>VLOOKUP(A56,JanApport,MATCH($AK$4,'Jan 2022 Apport'!$3:$3,0),FALSE)</f>
        <v>7.093</v>
      </c>
      <c r="AL56" s="117">
        <f t="shared" si="10"/>
        <v>1960876.75</v>
      </c>
      <c r="AM56" s="117">
        <f>VLOOKUP(A56,JanApport,MATCH($AM$4,'Jan 2022 Apport'!$3:$3,0),FALSE)</f>
        <v>0</v>
      </c>
      <c r="AN56" s="117">
        <f>VLOOKUP(A56,JanApport,MATCH($AN$4,'Jan 2022 Apport'!$3:$3,0),FALSE)</f>
        <v>14953.7</v>
      </c>
    </row>
    <row r="57" spans="1:40">
      <c r="A57" s="2" t="s">
        <v>127</v>
      </c>
      <c r="B57" s="2" t="s">
        <v>128</v>
      </c>
      <c r="C57" s="2" t="s">
        <v>1267</v>
      </c>
      <c r="D57" s="118">
        <f>VLOOKUP(A57,JanApport,MATCH($D$4,'Jan 2022 Apport'!$3:$3,FALSE),FALSE)</f>
        <v>2711754.52</v>
      </c>
      <c r="E57" s="30">
        <f>VLOOKUP(A57,JanApport,MATCH($E$2,'Jan 2022 Apport'!$3:$3,0),FALSE)+VLOOKUP(A57,JanApport,MATCH($E$3,'Jan 2022 Apport'!$3:$3,0),FALSE)+VLOOKUP(A57,JanApport,MATCH($E$4,'Jan 2022 Apport'!$3:$3,0),FALSE)</f>
        <v>152530.96</v>
      </c>
      <c r="F57" s="118">
        <f t="shared" si="11"/>
        <v>2559223.56</v>
      </c>
      <c r="G57" s="117">
        <f>VLOOKUP(A57,JanApport,MATCH($G$4,'Jan 2022 Apport'!$3:$3,0),FALSE)</f>
        <v>9846.6</v>
      </c>
      <c r="H57" s="117">
        <f>VLOOKUP(A57,JanApport,MATCH($H$3,'Jan 2022 Apport'!$3:$3,0),FALSE)+VLOOKUP(A57,JanApport,MATCH($H$2,'Jan 2022 Apport'!$3:$3,0),FALSE)+VLOOKUP(A57,JanApport,MATCH($H$4,'Jan 2022 Apport'!$3:$3,0),FALSE)</f>
        <v>181651.93</v>
      </c>
      <c r="I57" s="117">
        <f t="shared" si="13"/>
        <v>191498.53</v>
      </c>
      <c r="J57" s="117">
        <f>VLOOKUP(A57,JanApport,MATCH($J$4,'Jan 2022 Apport'!$3:$3,0),FALSE)</f>
        <v>300543.23</v>
      </c>
      <c r="K57" s="117">
        <f>VLOOKUP(A57,JanApport,MATCH($K$4,'Jan 2022 Apport'!$3:$3,0),FALSE)</f>
        <v>62828.37</v>
      </c>
      <c r="L57" s="117">
        <f t="shared" si="12"/>
        <v>363371.6</v>
      </c>
      <c r="M57" s="117">
        <f>VLOOKUP(A57,JanApport,MATCH($M$4,'Jan 2022 Apport'!$3:$3,0),FALSE)</f>
        <v>58603.02</v>
      </c>
      <c r="N57" s="117">
        <f>VLOOKUP(A57,JanApport,MATCH($N$4,'Jan 2022 Apport'!$3:$3,0),FALSE)</f>
        <v>0</v>
      </c>
      <c r="O57" s="117">
        <f>VLOOKUP(A57,JanApport,MATCH($O$4,'Jan 2022 Apport'!$3:$3,0),FALSE)</f>
        <v>6163.58</v>
      </c>
      <c r="P57" s="121">
        <f>IFERROR((VLOOKUP(A57,ExcessLevy!A:G,3,FALSE)*0.28),0)+IFERROR((VLOOKUP(A57,ExcessLevy!A:G,6,FALSE)*0.72),0)</f>
        <v>3210.3624000000004</v>
      </c>
      <c r="Q57" s="121">
        <f>IFERROR((VLOOKUP(A57,ExcessLevy!A:G,4,FALSE)*0.4738),0)+IFERROR((VLOOKUP(A57,ExcessLevy!A:G,7,FALSE)*0.5262),0)</f>
        <v>366318</v>
      </c>
      <c r="R57">
        <f>VLOOKUP(A57,JanApport,MATCH($R$4,'Jan 2022 Apport'!$3:$3,0),FALSE)</f>
        <v>0</v>
      </c>
      <c r="S57">
        <f>VLOOKUP(A57,JanApport,MATCH($S$4,'Jan 2022 Apport'!$3:$3,0),FALSE)</f>
        <v>0</v>
      </c>
      <c r="T57">
        <f>VLOOKUP(A57,JanApport,MATCH($T$4,'Jan 2022 Apport'!$3:$3,0),FALSE)</f>
        <v>17.09</v>
      </c>
      <c r="U57" s="132">
        <f>IFERROR(VLOOKUP(A57,JanApport,MATCH($U$4,'Jan 2022 Apport'!$3:$3,0),FALSE)/R57,0)</f>
        <v>0</v>
      </c>
      <c r="V57" s="30">
        <f>IFERROR(((VLOOKUP(A57,JanApport,MATCH($V$4,'Jan 2022 Apport'!$3:$3,0),FALSE)+VLOOKUP(A57,JanApport,MATCH($V$3,'Jan 2022 Apport'!$3:$3,0),FALSE))/(S57+T57)),0)</f>
        <v>8925.1585722644813</v>
      </c>
      <c r="W57" s="30">
        <f t="shared" si="8"/>
        <v>8083.6246967786601</v>
      </c>
      <c r="X57">
        <f>VLOOKUP(A57,JanApport,MATCH($X$4,'Jan 2022 Apport'!$3:$3,0),FALSE)</f>
        <v>4.8578999999999997E-2</v>
      </c>
      <c r="Y57">
        <f>VLOOKUP(A57,JanApport,MATCH($Y$4,'Jan 2022 Apport'!$3:$3,0),FALSE)</f>
        <v>4.0270000000000002E-3</v>
      </c>
      <c r="Z57">
        <f>VLOOKUP(A57,JanApport,MATCH($Z$4,'Jan 2022 Apport'!$3:$3,0),FALSE)</f>
        <v>1.7100000000000001E-2</v>
      </c>
      <c r="AA57" s="77">
        <f>VLOOKUP(A57,JanApport,MATCH($AA$4,'Jan 2022 Apport'!$3:$3,0),FALSE)*VLOOKUP(A57,JanApport,MATCH($AA$3,'Jan 2022 Apport'!$3:$3,0),FALSE)</f>
        <v>67585</v>
      </c>
      <c r="AB57" s="77">
        <f>VLOOKUP(A57,JanApport,MATCH($AB$4,'Jan 2022 Apport'!$3:$3,0),FALSE)*VLOOKUP(A57,JanApport,MATCH($AB$3,'Jan 2022 Apport'!$3:$3,0),FALSE)</f>
        <v>68937</v>
      </c>
      <c r="AC57" s="77">
        <f>VLOOKUP(A57,JanApport,MATCH($AC$4,'Jan 2022 Apport'!$3:$3,0),FALSE)</f>
        <v>100321</v>
      </c>
      <c r="AD57" s="77">
        <f>VLOOKUP(A57,JanApport,MATCH($AD$4,'Jan 2022 Apport'!$3:$3,0),FALSE)*VLOOKUP(A57,JanApport,MATCH($AD$3,'Jan 2022 Apport'!$3:$3,0),FALSE)</f>
        <v>102327</v>
      </c>
      <c r="AE57" s="77">
        <f>VLOOKUP(A57,JanApport,MATCH($AE$4,'Jan 2022 Apport'!$3:$3,0),FALSE)</f>
        <v>48483</v>
      </c>
      <c r="AF57" s="77">
        <f>VLOOKUP(A57,JanApport,MATCH($AF$4,'Jan 2022 Apport'!$3:$3,0),FALSE)*VLOOKUP(A57,JanApport,MATCH($AF$3,'Jan 2022 Apport'!$3:$3,0),FALSE)</f>
        <v>49453</v>
      </c>
      <c r="AG57" s="77">
        <f t="shared" si="9"/>
        <v>96432.259900000005</v>
      </c>
      <c r="AH57" s="77">
        <f t="shared" si="4"/>
        <v>137400.94330000001</v>
      </c>
      <c r="AI57" s="77">
        <f t="shared" si="5"/>
        <v>77281.189732599989</v>
      </c>
      <c r="AJ57" s="3">
        <f>VLOOKUP(A57,JanApport,MATCH($AJ$4,'Jan 2022 Apport'!$3:$3,0),FALSE)</f>
        <v>350984.61</v>
      </c>
      <c r="AK57" s="3">
        <f>VLOOKUP(A57,JanApport,MATCH($AK$4,'Jan 2022 Apport'!$3:$3,0),FALSE)</f>
        <v>3.7639999999999998</v>
      </c>
      <c r="AL57" s="117">
        <f t="shared" si="10"/>
        <v>3268562.88</v>
      </c>
      <c r="AM57" s="117">
        <f>VLOOKUP(A57,JanApport,MATCH($AM$4,'Jan 2022 Apport'!$3:$3,0),FALSE)</f>
        <v>0</v>
      </c>
      <c r="AN57" s="117">
        <f>VLOOKUP(A57,JanApport,MATCH($AN$4,'Jan 2022 Apport'!$3:$3,0),FALSE)</f>
        <v>22913.03</v>
      </c>
    </row>
    <row r="58" spans="1:40">
      <c r="A58" s="2" t="s">
        <v>169</v>
      </c>
      <c r="B58" s="2" t="s">
        <v>170</v>
      </c>
      <c r="C58" s="2" t="s">
        <v>1267</v>
      </c>
      <c r="D58" s="118">
        <f>VLOOKUP(A58,JanApport,MATCH($D$4,'Jan 2022 Apport'!$3:$3,FALSE),FALSE)</f>
        <v>9335808.9100000001</v>
      </c>
      <c r="E58" s="30">
        <f>VLOOKUP(A58,JanApport,MATCH($E$2,'Jan 2022 Apport'!$3:$3,0),FALSE)+VLOOKUP(A58,JanApport,MATCH($E$3,'Jan 2022 Apport'!$3:$3,0),FALSE)+VLOOKUP(A58,JanApport,MATCH($E$4,'Jan 2022 Apport'!$3:$3,0),FALSE)</f>
        <v>148920.82</v>
      </c>
      <c r="F58" s="118">
        <f t="shared" si="11"/>
        <v>9186888.0899999999</v>
      </c>
      <c r="G58" s="117">
        <f>VLOOKUP(A58,JanApport,MATCH($G$4,'Jan 2022 Apport'!$3:$3,0),FALSE)</f>
        <v>99153.83</v>
      </c>
      <c r="H58" s="117">
        <f>VLOOKUP(A58,JanApport,MATCH($H$3,'Jan 2022 Apport'!$3:$3,0),FALSE)+VLOOKUP(A58,JanApport,MATCH($H$2,'Jan 2022 Apport'!$3:$3,0),FALSE)+VLOOKUP(A58,JanApport,MATCH($H$4,'Jan 2022 Apport'!$3:$3,0),FALSE)</f>
        <v>1253402.6599999999</v>
      </c>
      <c r="I58" s="117">
        <f t="shared" si="13"/>
        <v>1352556.49</v>
      </c>
      <c r="J58" s="117">
        <f>VLOOKUP(A58,JanApport,MATCH($J$4,'Jan 2022 Apport'!$3:$3,0),FALSE)</f>
        <v>465392.79</v>
      </c>
      <c r="K58" s="117">
        <f>VLOOKUP(A58,JanApport,MATCH($K$4,'Jan 2022 Apport'!$3:$3,0),FALSE)</f>
        <v>88776.18</v>
      </c>
      <c r="L58" s="117">
        <f t="shared" si="12"/>
        <v>554168.97</v>
      </c>
      <c r="M58" s="117">
        <f>VLOOKUP(A58,JanApport,MATCH($M$4,'Jan 2022 Apport'!$3:$3,0),FALSE)</f>
        <v>228952.55</v>
      </c>
      <c r="N58" s="117">
        <f>VLOOKUP(A58,JanApport,MATCH($N$4,'Jan 2022 Apport'!$3:$3,0),FALSE)</f>
        <v>49316.29</v>
      </c>
      <c r="O58" s="117">
        <f>VLOOKUP(A58,JanApport,MATCH($O$4,'Jan 2022 Apport'!$3:$3,0),FALSE)</f>
        <v>31017.93</v>
      </c>
      <c r="P58" s="121">
        <f>IFERROR((VLOOKUP(A58,ExcessLevy!A:G,3,FALSE)*0.28),0)+IFERROR((VLOOKUP(A58,ExcessLevy!A:G,6,FALSE)*0.72),0)</f>
        <v>0</v>
      </c>
      <c r="Q58" s="121">
        <f>IFERROR((VLOOKUP(A58,ExcessLevy!A:G,4,FALSE)*0.4738),0)+IFERROR((VLOOKUP(A58,ExcessLevy!A:G,7,FALSE)*0.5262),0)</f>
        <v>2440000</v>
      </c>
      <c r="R58">
        <f>VLOOKUP(A58,JanApport,MATCH($R$4,'Jan 2022 Apport'!$3:$3,0),FALSE)</f>
        <v>0</v>
      </c>
      <c r="S58">
        <f>VLOOKUP(A58,JanApport,MATCH($S$4,'Jan 2022 Apport'!$3:$3,0),FALSE)</f>
        <v>0.81</v>
      </c>
      <c r="T58">
        <f>VLOOKUP(A58,JanApport,MATCH($T$4,'Jan 2022 Apport'!$3:$3,0),FALSE)</f>
        <v>14.28</v>
      </c>
      <c r="U58" s="132">
        <f>IFERROR(VLOOKUP(A58,JanApport,MATCH($U$4,'Jan 2022 Apport'!$3:$3,0),FALSE)/R58,0)</f>
        <v>0</v>
      </c>
      <c r="V58" s="30">
        <f>IFERROR(((VLOOKUP(A58,JanApport,MATCH($V$4,'Jan 2022 Apport'!$3:$3,0),FALSE)+VLOOKUP(A58,JanApport,MATCH($V$3,'Jan 2022 Apport'!$3:$3,0),FALSE))/(S58+T58)),0)</f>
        <v>9868.8416169648772</v>
      </c>
      <c r="W58" s="30">
        <f t="shared" si="8"/>
        <v>2455.0928314931207</v>
      </c>
      <c r="X58">
        <f>VLOOKUP(A58,JanApport,MATCH($X$4,'Jan 2022 Apport'!$3:$3,0),FALSE)</f>
        <v>4.8578999999999997E-2</v>
      </c>
      <c r="Y58">
        <f>VLOOKUP(A58,JanApport,MATCH($Y$4,'Jan 2022 Apport'!$3:$3,0),FALSE)</f>
        <v>4.0270000000000002E-3</v>
      </c>
      <c r="Z58">
        <f>VLOOKUP(A58,JanApport,MATCH($Z$4,'Jan 2022 Apport'!$3:$3,0),FALSE)</f>
        <v>1.7100000000000001E-2</v>
      </c>
      <c r="AA58" s="77">
        <f>VLOOKUP(A58,JanApport,MATCH($AA$4,'Jan 2022 Apport'!$3:$3,0),FALSE)*VLOOKUP(A58,JanApport,MATCH($AA$3,'Jan 2022 Apport'!$3:$3,0),FALSE)</f>
        <v>75695.200000000012</v>
      </c>
      <c r="AB58" s="77">
        <f>VLOOKUP(A58,JanApport,MATCH($AB$4,'Jan 2022 Apport'!$3:$3,0),FALSE)*VLOOKUP(A58,JanApport,MATCH($AB$3,'Jan 2022 Apport'!$3:$3,0),FALSE)</f>
        <v>0</v>
      </c>
      <c r="AC58" s="77">
        <f>VLOOKUP(A58,JanApport,MATCH($AC$4,'Jan 2022 Apport'!$3:$3,0),FALSE)</f>
        <v>0</v>
      </c>
      <c r="AD58" s="77">
        <f>VLOOKUP(A58,JanApport,MATCH($AD$4,'Jan 2022 Apport'!$3:$3,0),FALSE)*VLOOKUP(A58,JanApport,MATCH($AD$3,'Jan 2022 Apport'!$3:$3,0),FALSE)</f>
        <v>0</v>
      </c>
      <c r="AE58" s="77">
        <f>VLOOKUP(A58,JanApport,MATCH($AE$4,'Jan 2022 Apport'!$3:$3,0),FALSE)</f>
        <v>0</v>
      </c>
      <c r="AF58" s="77">
        <f>VLOOKUP(A58,JanApport,MATCH($AF$4,'Jan 2022 Apport'!$3:$3,0),FALSE)*VLOOKUP(A58,JanApport,MATCH($AF$3,'Jan 2022 Apport'!$3:$3,0),FALSE)</f>
        <v>0</v>
      </c>
      <c r="AG58" s="77">
        <f t="shared" si="9"/>
        <v>12332.769280000015</v>
      </c>
      <c r="AH58" s="77">
        <f t="shared" si="4"/>
        <v>11848.32</v>
      </c>
      <c r="AI58" s="77">
        <f t="shared" si="5"/>
        <v>16610.88</v>
      </c>
      <c r="AJ58" s="3">
        <f>VLOOKUP(A58,JanApport,MATCH($AJ$4,'Jan 2022 Apport'!$3:$3,0),FALSE)</f>
        <v>1208053</v>
      </c>
      <c r="AK58" s="3">
        <f>VLOOKUP(A58,JanApport,MATCH($AK$4,'Jan 2022 Apport'!$3:$3,0),FALSE)</f>
        <v>19.018000000000001</v>
      </c>
      <c r="AL58" s="117">
        <f t="shared" si="10"/>
        <v>11485025.299999999</v>
      </c>
      <c r="AM58" s="117">
        <f>VLOOKUP(A58,JanApport,MATCH($AM$4,'Jan 2022 Apport'!$3:$3,0),FALSE)</f>
        <v>21980.34</v>
      </c>
      <c r="AN58" s="117">
        <f>VLOOKUP(A58,JanApport,MATCH($AN$4,'Jan 2022 Apport'!$3:$3,0),FALSE)</f>
        <v>77767.11</v>
      </c>
    </row>
    <row r="59" spans="1:40">
      <c r="A59" s="2" t="s">
        <v>45</v>
      </c>
      <c r="B59" s="2" t="s">
        <v>46</v>
      </c>
      <c r="C59" s="2" t="s">
        <v>1267</v>
      </c>
      <c r="D59" s="118">
        <f>VLOOKUP(A59,JanApport,MATCH($D$4,'Jan 2022 Apport'!$3:$3,FALSE),FALSE)</f>
        <v>3477105.95</v>
      </c>
      <c r="E59" s="30">
        <f>VLOOKUP(A59,JanApport,MATCH($E$2,'Jan 2022 Apport'!$3:$3,0),FALSE)+VLOOKUP(A59,JanApport,MATCH($E$3,'Jan 2022 Apport'!$3:$3,0),FALSE)+VLOOKUP(A59,JanApport,MATCH($E$4,'Jan 2022 Apport'!$3:$3,0),FALSE)</f>
        <v>33912.32</v>
      </c>
      <c r="F59" s="118">
        <f t="shared" si="11"/>
        <v>3443193.6300000004</v>
      </c>
      <c r="G59" s="117">
        <f>VLOOKUP(A59,JanApport,MATCH($G$4,'Jan 2022 Apport'!$3:$3,0),FALSE)</f>
        <v>9728.76</v>
      </c>
      <c r="H59" s="117">
        <f>VLOOKUP(A59,JanApport,MATCH($H$3,'Jan 2022 Apport'!$3:$3,0),FALSE)+VLOOKUP(A59,JanApport,MATCH($H$2,'Jan 2022 Apport'!$3:$3,0),FALSE)+VLOOKUP(A59,JanApport,MATCH($H$4,'Jan 2022 Apport'!$3:$3,0),FALSE)</f>
        <v>264927.79000000004</v>
      </c>
      <c r="I59" s="117">
        <f t="shared" si="13"/>
        <v>274656.55000000005</v>
      </c>
      <c r="J59" s="117">
        <f>VLOOKUP(A59,JanApport,MATCH($J$4,'Jan 2022 Apport'!$3:$3,0),FALSE)</f>
        <v>114822.6</v>
      </c>
      <c r="K59" s="117">
        <f>VLOOKUP(A59,JanApport,MATCH($K$4,'Jan 2022 Apport'!$3:$3,0),FALSE)</f>
        <v>32115.8</v>
      </c>
      <c r="L59" s="117">
        <f t="shared" si="12"/>
        <v>146938.4</v>
      </c>
      <c r="M59" s="117">
        <f>VLOOKUP(A59,JanApport,MATCH($M$4,'Jan 2022 Apport'!$3:$3,0),FALSE)</f>
        <v>102922.19</v>
      </c>
      <c r="N59" s="117">
        <f>VLOOKUP(A59,JanApport,MATCH($N$4,'Jan 2022 Apport'!$3:$3,0),FALSE)</f>
        <v>0</v>
      </c>
      <c r="O59" s="117">
        <f>VLOOKUP(A59,JanApport,MATCH($O$4,'Jan 2022 Apport'!$3:$3,0),FALSE)</f>
        <v>8707.2900000000009</v>
      </c>
      <c r="P59" s="121">
        <f>IFERROR((VLOOKUP(A59,ExcessLevy!A:G,3,FALSE)*0.28),0)+IFERROR((VLOOKUP(A59,ExcessLevy!A:G,6,FALSE)*0.72),0)</f>
        <v>0</v>
      </c>
      <c r="Q59" s="121">
        <f>IFERROR((VLOOKUP(A59,ExcessLevy!A:G,4,FALSE)*0.4738),0)+IFERROR((VLOOKUP(A59,ExcessLevy!A:G,7,FALSE)*0.5262),0)</f>
        <v>520719.58902399999</v>
      </c>
      <c r="R59">
        <f>VLOOKUP(A59,JanApport,MATCH($R$4,'Jan 2022 Apport'!$3:$3,0),FALSE)</f>
        <v>0</v>
      </c>
      <c r="S59">
        <f>VLOOKUP(A59,JanApport,MATCH($S$4,'Jan 2022 Apport'!$3:$3,0),FALSE)</f>
        <v>0</v>
      </c>
      <c r="T59">
        <f>VLOOKUP(A59,JanApport,MATCH($T$4,'Jan 2022 Apport'!$3:$3,0),FALSE)</f>
        <v>3.8</v>
      </c>
      <c r="U59" s="132">
        <f>IFERROR(VLOOKUP(A59,JanApport,MATCH($U$4,'Jan 2022 Apport'!$3:$3,0),FALSE)/R59,0)</f>
        <v>0</v>
      </c>
      <c r="V59" s="30">
        <f>IFERROR(((VLOOKUP(A59,JanApport,MATCH($V$4,'Jan 2022 Apport'!$3:$3,0),FALSE)+VLOOKUP(A59,JanApport,MATCH($V$3,'Jan 2022 Apport'!$3:$3,0),FALSE))/(S59+T59)),0)</f>
        <v>8924.2947368421064</v>
      </c>
      <c r="W59" s="30">
        <f t="shared" si="8"/>
        <v>2452.5713248960005</v>
      </c>
      <c r="X59">
        <f>VLOOKUP(A59,JanApport,MATCH($X$4,'Jan 2022 Apport'!$3:$3,0),FALSE)</f>
        <v>4.8578999999999997E-2</v>
      </c>
      <c r="Y59">
        <f>VLOOKUP(A59,JanApport,MATCH($Y$4,'Jan 2022 Apport'!$3:$3,0),FALSE)</f>
        <v>4.0270000000000002E-3</v>
      </c>
      <c r="Z59">
        <f>VLOOKUP(A59,JanApport,MATCH($Z$4,'Jan 2022 Apport'!$3:$3,0),FALSE)</f>
        <v>1.7100000000000001E-2</v>
      </c>
      <c r="AA59" s="77">
        <f>VLOOKUP(A59,JanApport,MATCH($AA$4,'Jan 2022 Apport'!$3:$3,0),FALSE)*VLOOKUP(A59,JanApport,MATCH($AA$3,'Jan 2022 Apport'!$3:$3,0),FALSE)</f>
        <v>67585</v>
      </c>
      <c r="AB59" s="77">
        <f>VLOOKUP(A59,JanApport,MATCH($AB$4,'Jan 2022 Apport'!$3:$3,0),FALSE)*VLOOKUP(A59,JanApport,MATCH($AB$3,'Jan 2022 Apport'!$3:$3,0),FALSE)</f>
        <v>0</v>
      </c>
      <c r="AC59" s="77">
        <f>VLOOKUP(A59,JanApport,MATCH($AC$4,'Jan 2022 Apport'!$3:$3,0),FALSE)</f>
        <v>0</v>
      </c>
      <c r="AD59" s="77">
        <f>VLOOKUP(A59,JanApport,MATCH($AD$4,'Jan 2022 Apport'!$3:$3,0),FALSE)*VLOOKUP(A59,JanApport,MATCH($AD$3,'Jan 2022 Apport'!$3:$3,0),FALSE)</f>
        <v>0</v>
      </c>
      <c r="AE59" s="77">
        <f>VLOOKUP(A59,JanApport,MATCH($AE$4,'Jan 2022 Apport'!$3:$3,0),FALSE)</f>
        <v>0</v>
      </c>
      <c r="AF59" s="77">
        <f>VLOOKUP(A59,JanApport,MATCH($AF$4,'Jan 2022 Apport'!$3:$3,0),FALSE)*VLOOKUP(A59,JanApport,MATCH($AF$3,'Jan 2022 Apport'!$3:$3,0),FALSE)</f>
        <v>0</v>
      </c>
      <c r="AG59" s="77">
        <f t="shared" si="9"/>
        <v>12280.864000000009</v>
      </c>
      <c r="AH59" s="77">
        <f t="shared" si="4"/>
        <v>11848.32</v>
      </c>
      <c r="AI59" s="77">
        <f t="shared" si="5"/>
        <v>16610.88</v>
      </c>
      <c r="AJ59" s="3">
        <f>VLOOKUP(A59,JanApport,MATCH($AJ$4,'Jan 2022 Apport'!$3:$3,0),FALSE)</f>
        <v>369679.42</v>
      </c>
      <c r="AK59" s="3">
        <f>VLOOKUP(A59,JanApport,MATCH($AK$4,'Jan 2022 Apport'!$3:$3,0),FALSE)</f>
        <v>3.8450000000000002</v>
      </c>
      <c r="AL59" s="117">
        <f t="shared" si="10"/>
        <v>4036817.6000000006</v>
      </c>
      <c r="AM59" s="117">
        <f>VLOOKUP(A59,JanApport,MATCH($AM$4,'Jan 2022 Apport'!$3:$3,0),FALSE)</f>
        <v>58603.02</v>
      </c>
      <c r="AN59" s="117">
        <f>VLOOKUP(A59,JanApport,MATCH($AN$4,'Jan 2022 Apport'!$3:$3,0),FALSE)</f>
        <v>23821.86</v>
      </c>
    </row>
    <row r="60" spans="1:40">
      <c r="A60" s="2" t="s">
        <v>303</v>
      </c>
      <c r="B60" s="2" t="s">
        <v>304</v>
      </c>
      <c r="C60" s="2" t="s">
        <v>1267</v>
      </c>
      <c r="D60" s="118">
        <f>VLOOKUP(A60,JanApport,MATCH($D$4,'Jan 2022 Apport'!$3:$3,FALSE),FALSE)</f>
        <v>1982205.69</v>
      </c>
      <c r="E60" s="30">
        <f>VLOOKUP(A60,JanApport,MATCH($E$2,'Jan 2022 Apport'!$3:$3,0),FALSE)+VLOOKUP(A60,JanApport,MATCH($E$3,'Jan 2022 Apport'!$3:$3,0),FALSE)+VLOOKUP(A60,JanApport,MATCH($E$4,'Jan 2022 Apport'!$3:$3,0),FALSE)</f>
        <v>63915.34</v>
      </c>
      <c r="F60" s="118">
        <f t="shared" si="11"/>
        <v>1918290.3499999999</v>
      </c>
      <c r="G60" s="117">
        <f>VLOOKUP(A60,JanApport,MATCH($G$4,'Jan 2022 Apport'!$3:$3,0),FALSE)</f>
        <v>0</v>
      </c>
      <c r="H60" s="117">
        <f>VLOOKUP(A60,JanApport,MATCH($H$3,'Jan 2022 Apport'!$3:$3,0),FALSE)+VLOOKUP(A60,JanApport,MATCH($H$2,'Jan 2022 Apport'!$3:$3,0),FALSE)+VLOOKUP(A60,JanApport,MATCH($H$4,'Jan 2022 Apport'!$3:$3,0),FALSE)</f>
        <v>101596.62000000001</v>
      </c>
      <c r="I60" s="117">
        <f t="shared" si="13"/>
        <v>101596.62000000001</v>
      </c>
      <c r="J60" s="117">
        <f>VLOOKUP(A60,JanApport,MATCH($J$4,'Jan 2022 Apport'!$3:$3,0),FALSE)</f>
        <v>528182.63</v>
      </c>
      <c r="K60" s="117">
        <f>VLOOKUP(A60,JanApport,MATCH($K$4,'Jan 2022 Apport'!$3:$3,0),FALSE)</f>
        <v>137109.39000000001</v>
      </c>
      <c r="L60" s="117">
        <f t="shared" si="12"/>
        <v>665292.02</v>
      </c>
      <c r="M60" s="117">
        <f>VLOOKUP(A60,JanApport,MATCH($M$4,'Jan 2022 Apport'!$3:$3,0),FALSE)</f>
        <v>22479.040000000001</v>
      </c>
      <c r="N60" s="117">
        <f>VLOOKUP(A60,JanApport,MATCH($N$4,'Jan 2022 Apport'!$3:$3,0),FALSE)</f>
        <v>0</v>
      </c>
      <c r="O60" s="117">
        <f>VLOOKUP(A60,JanApport,MATCH($O$4,'Jan 2022 Apport'!$3:$3,0),FALSE)</f>
        <v>2531.41</v>
      </c>
      <c r="P60" s="121">
        <f>IFERROR((VLOOKUP(A60,ExcessLevy!A:G,3,FALSE)*0.28),0)+IFERROR((VLOOKUP(A60,ExcessLevy!A:G,6,FALSE)*0.72),0)</f>
        <v>0</v>
      </c>
      <c r="Q60" s="121">
        <f>IFERROR((VLOOKUP(A60,ExcessLevy!A:G,4,FALSE)*0.4738),0)+IFERROR((VLOOKUP(A60,ExcessLevy!A:G,7,FALSE)*0.5262),0)</f>
        <v>240000</v>
      </c>
      <c r="R60">
        <f>VLOOKUP(A60,JanApport,MATCH($R$4,'Jan 2022 Apport'!$3:$3,0),FALSE)</f>
        <v>0</v>
      </c>
      <c r="S60">
        <f>VLOOKUP(A60,JanApport,MATCH($S$4,'Jan 2022 Apport'!$3:$3,0),FALSE)</f>
        <v>2.3199999999999998</v>
      </c>
      <c r="T60">
        <f>VLOOKUP(A60,JanApport,MATCH($T$4,'Jan 2022 Apport'!$3:$3,0),FALSE)</f>
        <v>4.71</v>
      </c>
      <c r="U60" s="132">
        <f>IFERROR(VLOOKUP(A60,JanApport,MATCH($U$4,'Jan 2022 Apport'!$3:$3,0),FALSE)/R60,0)</f>
        <v>0</v>
      </c>
      <c r="V60" s="30">
        <f>IFERROR(((VLOOKUP(A60,JanApport,MATCH($V$4,'Jan 2022 Apport'!$3:$3,0),FALSE)+VLOOKUP(A60,JanApport,MATCH($V$3,'Jan 2022 Apport'!$3:$3,0),FALSE))/(S60+T60)),0)</f>
        <v>9091.7980085348518</v>
      </c>
      <c r="W60" s="30">
        <f t="shared" si="8"/>
        <v>8083.6246967786601</v>
      </c>
      <c r="X60">
        <f>VLOOKUP(A60,JanApport,MATCH($X$4,'Jan 2022 Apport'!$3:$3,0),FALSE)</f>
        <v>4.8578999999999997E-2</v>
      </c>
      <c r="Y60">
        <f>VLOOKUP(A60,JanApport,MATCH($Y$4,'Jan 2022 Apport'!$3:$3,0),FALSE)</f>
        <v>4.0270000000000002E-3</v>
      </c>
      <c r="Z60">
        <f>VLOOKUP(A60,JanApport,MATCH($Z$4,'Jan 2022 Apport'!$3:$3,0),FALSE)</f>
        <v>1.7100000000000001E-2</v>
      </c>
      <c r="AA60" s="77">
        <f>VLOOKUP(A60,JanApport,MATCH($AA$4,'Jan 2022 Apport'!$3:$3,0),FALSE)*VLOOKUP(A60,JanApport,MATCH($AA$3,'Jan 2022 Apport'!$3:$3,0),FALSE)</f>
        <v>67585</v>
      </c>
      <c r="AB60" s="77">
        <f>VLOOKUP(A60,JanApport,MATCH($AB$4,'Jan 2022 Apport'!$3:$3,0),FALSE)*VLOOKUP(A60,JanApport,MATCH($AB$3,'Jan 2022 Apport'!$3:$3,0),FALSE)</f>
        <v>68937</v>
      </c>
      <c r="AC60" s="77">
        <f>VLOOKUP(A60,JanApport,MATCH($AC$4,'Jan 2022 Apport'!$3:$3,0),FALSE)</f>
        <v>100321</v>
      </c>
      <c r="AD60" s="77">
        <f>VLOOKUP(A60,JanApport,MATCH($AD$4,'Jan 2022 Apport'!$3:$3,0),FALSE)*VLOOKUP(A60,JanApport,MATCH($AD$3,'Jan 2022 Apport'!$3:$3,0),FALSE)</f>
        <v>102327</v>
      </c>
      <c r="AE60" s="77">
        <f>VLOOKUP(A60,JanApport,MATCH($AE$4,'Jan 2022 Apport'!$3:$3,0),FALSE)</f>
        <v>48483</v>
      </c>
      <c r="AF60" s="77">
        <f>VLOOKUP(A60,JanApport,MATCH($AF$4,'Jan 2022 Apport'!$3:$3,0),FALSE)*VLOOKUP(A60,JanApport,MATCH($AF$3,'Jan 2022 Apport'!$3:$3,0),FALSE)</f>
        <v>49453</v>
      </c>
      <c r="AG60" s="77">
        <f t="shared" si="9"/>
        <v>96432.259900000005</v>
      </c>
      <c r="AH60" s="77">
        <f t="shared" si="4"/>
        <v>137400.94330000001</v>
      </c>
      <c r="AI60" s="77">
        <f t="shared" si="5"/>
        <v>77281.189732599989</v>
      </c>
      <c r="AJ60" s="3">
        <f>VLOOKUP(A60,JanApport,MATCH($AJ$4,'Jan 2022 Apport'!$3:$3,0),FALSE)</f>
        <v>219023.96</v>
      </c>
      <c r="AK60" s="3">
        <f>VLOOKUP(A60,JanApport,MATCH($AK$4,'Jan 2022 Apport'!$3:$3,0),FALSE)</f>
        <v>1.2909999999999999</v>
      </c>
      <c r="AL60" s="117">
        <f t="shared" si="10"/>
        <v>2636995.39</v>
      </c>
      <c r="AM60" s="117">
        <f>VLOOKUP(A60,JanApport,MATCH($AM$4,'Jan 2022 Apport'!$3:$3,0),FALSE)</f>
        <v>0</v>
      </c>
      <c r="AN60" s="117">
        <f>VLOOKUP(A60,JanApport,MATCH($AN$4,'Jan 2022 Apport'!$3:$3,0),FALSE)</f>
        <v>18015.47</v>
      </c>
    </row>
    <row r="61" spans="1:40">
      <c r="A61" s="2" t="s">
        <v>103</v>
      </c>
      <c r="B61" s="2" t="s">
        <v>104</v>
      </c>
      <c r="C61" s="2" t="s">
        <v>1267</v>
      </c>
      <c r="D61" s="118">
        <f>VLOOKUP(A61,JanApport,MATCH($D$4,'Jan 2022 Apport'!$3:$3,FALSE),FALSE)</f>
        <v>2942895.16</v>
      </c>
      <c r="E61" s="30">
        <f>VLOOKUP(A61,JanApport,MATCH($E$2,'Jan 2022 Apport'!$3:$3,0),FALSE)+VLOOKUP(A61,JanApport,MATCH($E$3,'Jan 2022 Apport'!$3:$3,0),FALSE)+VLOOKUP(A61,JanApport,MATCH($E$4,'Jan 2022 Apport'!$3:$3,0),FALSE)</f>
        <v>74143.789999999994</v>
      </c>
      <c r="F61" s="118">
        <f t="shared" si="11"/>
        <v>2868751.37</v>
      </c>
      <c r="G61" s="117">
        <f>VLOOKUP(A61,JanApport,MATCH($G$4,'Jan 2022 Apport'!$3:$3,0),FALSE)</f>
        <v>12407.91</v>
      </c>
      <c r="H61" s="117">
        <f>VLOOKUP(A61,JanApport,MATCH($H$3,'Jan 2022 Apport'!$3:$3,0),FALSE)+VLOOKUP(A61,JanApport,MATCH($H$2,'Jan 2022 Apport'!$3:$3,0),FALSE)+VLOOKUP(A61,JanApport,MATCH($H$4,'Jan 2022 Apport'!$3:$3,0),FALSE)</f>
        <v>225185.94</v>
      </c>
      <c r="I61" s="117">
        <f t="shared" si="13"/>
        <v>237593.85</v>
      </c>
      <c r="J61" s="117">
        <f>VLOOKUP(A61,JanApport,MATCH($J$4,'Jan 2022 Apport'!$3:$3,0),FALSE)</f>
        <v>129412.24</v>
      </c>
      <c r="K61" s="117">
        <f>VLOOKUP(A61,JanApport,MATCH($K$4,'Jan 2022 Apport'!$3:$3,0),FALSE)</f>
        <v>34993.360000000001</v>
      </c>
      <c r="L61" s="117">
        <f t="shared" si="12"/>
        <v>164405.6</v>
      </c>
      <c r="M61" s="117">
        <f>VLOOKUP(A61,JanApport,MATCH($M$4,'Jan 2022 Apport'!$3:$3,0),FALSE)</f>
        <v>105104.71</v>
      </c>
      <c r="N61" s="117">
        <f>VLOOKUP(A61,JanApport,MATCH($N$4,'Jan 2022 Apport'!$3:$3,0),FALSE)</f>
        <v>0</v>
      </c>
      <c r="O61" s="117">
        <f>VLOOKUP(A61,JanApport,MATCH($O$4,'Jan 2022 Apport'!$3:$3,0),FALSE)</f>
        <v>0</v>
      </c>
      <c r="P61" s="121">
        <f>IFERROR((VLOOKUP(A61,ExcessLevy!A:G,3,FALSE)*0.28),0)+IFERROR((VLOOKUP(A61,ExcessLevy!A:G,6,FALSE)*0.72),0)</f>
        <v>251534.10679999998</v>
      </c>
      <c r="Q61" s="121">
        <f>IFERROR((VLOOKUP(A61,ExcessLevy!A:G,4,FALSE)*0.4738),0)+IFERROR((VLOOKUP(A61,ExcessLevy!A:G,7,FALSE)*0.5262),0)</f>
        <v>197631</v>
      </c>
      <c r="R61">
        <f>VLOOKUP(A61,JanApport,MATCH($R$4,'Jan 2022 Apport'!$3:$3,0),FALSE)</f>
        <v>0</v>
      </c>
      <c r="S61">
        <f>VLOOKUP(A61,JanApport,MATCH($S$4,'Jan 2022 Apport'!$3:$3,0),FALSE)</f>
        <v>0</v>
      </c>
      <c r="T61">
        <f>VLOOKUP(A61,JanApport,MATCH($T$4,'Jan 2022 Apport'!$3:$3,0),FALSE)</f>
        <v>8.14</v>
      </c>
      <c r="U61" s="132">
        <f>IFERROR(VLOOKUP(A61,JanApport,MATCH($U$4,'Jan 2022 Apport'!$3:$3,0),FALSE)/R61,0)</f>
        <v>0</v>
      </c>
      <c r="V61" s="30">
        <f>IFERROR(((VLOOKUP(A61,JanApport,MATCH($V$4,'Jan 2022 Apport'!$3:$3,0),FALSE)+VLOOKUP(A61,JanApport,MATCH($V$3,'Jan 2022 Apport'!$3:$3,0),FALSE))/(S61+T61)),0)</f>
        <v>9108.5737100737078</v>
      </c>
      <c r="W61" s="30">
        <f t="shared" si="8"/>
        <v>8083.6246967786601</v>
      </c>
      <c r="X61">
        <f>VLOOKUP(A61,JanApport,MATCH($X$4,'Jan 2022 Apport'!$3:$3,0),FALSE)</f>
        <v>4.8578999999999997E-2</v>
      </c>
      <c r="Y61">
        <f>VLOOKUP(A61,JanApport,MATCH($Y$4,'Jan 2022 Apport'!$3:$3,0),FALSE)</f>
        <v>4.0270000000000002E-3</v>
      </c>
      <c r="Z61">
        <f>VLOOKUP(A61,JanApport,MATCH($Z$4,'Jan 2022 Apport'!$3:$3,0),FALSE)</f>
        <v>1.7100000000000001E-2</v>
      </c>
      <c r="AA61" s="77">
        <f>VLOOKUP(A61,JanApport,MATCH($AA$4,'Jan 2022 Apport'!$3:$3,0),FALSE)*VLOOKUP(A61,JanApport,MATCH($AA$3,'Jan 2022 Apport'!$3:$3,0),FALSE)</f>
        <v>67585</v>
      </c>
      <c r="AB61" s="77">
        <f>VLOOKUP(A61,JanApport,MATCH($AB$4,'Jan 2022 Apport'!$3:$3,0),FALSE)*VLOOKUP(A61,JanApport,MATCH($AB$3,'Jan 2022 Apport'!$3:$3,0),FALSE)</f>
        <v>68937</v>
      </c>
      <c r="AC61" s="77">
        <f>VLOOKUP(A61,JanApport,MATCH($AC$4,'Jan 2022 Apport'!$3:$3,0),FALSE)</f>
        <v>100321</v>
      </c>
      <c r="AD61" s="77">
        <f>VLOOKUP(A61,JanApport,MATCH($AD$4,'Jan 2022 Apport'!$3:$3,0),FALSE)*VLOOKUP(A61,JanApport,MATCH($AD$3,'Jan 2022 Apport'!$3:$3,0),FALSE)</f>
        <v>102327</v>
      </c>
      <c r="AE61" s="77">
        <f>VLOOKUP(A61,JanApport,MATCH($AE$4,'Jan 2022 Apport'!$3:$3,0),FALSE)</f>
        <v>48483</v>
      </c>
      <c r="AF61" s="77">
        <f>VLOOKUP(A61,JanApport,MATCH($AF$4,'Jan 2022 Apport'!$3:$3,0),FALSE)*VLOOKUP(A61,JanApport,MATCH($AF$3,'Jan 2022 Apport'!$3:$3,0),FALSE)</f>
        <v>49453</v>
      </c>
      <c r="AG61" s="77">
        <f t="shared" si="9"/>
        <v>96432.259900000005</v>
      </c>
      <c r="AH61" s="77">
        <f t="shared" si="4"/>
        <v>137400.94330000001</v>
      </c>
      <c r="AI61" s="77">
        <f t="shared" si="5"/>
        <v>77281.189732599989</v>
      </c>
      <c r="AJ61" s="3">
        <f>VLOOKUP(A61,JanApport,MATCH($AJ$4,'Jan 2022 Apport'!$3:$3,0),FALSE)</f>
        <v>315630.11</v>
      </c>
      <c r="AK61" s="3">
        <f>VLOOKUP(A61,JanApport,MATCH($AK$4,'Jan 2022 Apport'!$3:$3,0),FALSE)</f>
        <v>3.125</v>
      </c>
      <c r="AL61" s="117">
        <f t="shared" si="10"/>
        <v>3485480.8000000003</v>
      </c>
      <c r="AM61" s="117">
        <f>VLOOKUP(A61,JanApport,MATCH($AM$4,'Jan 2022 Apport'!$3:$3,0),FALSE)</f>
        <v>70474.84</v>
      </c>
      <c r="AN61" s="117">
        <f>VLOOKUP(A61,JanApport,MATCH($AN$4,'Jan 2022 Apport'!$3:$3,0),FALSE)</f>
        <v>21667.86</v>
      </c>
    </row>
    <row r="62" spans="1:40">
      <c r="A62" s="2" t="s">
        <v>357</v>
      </c>
      <c r="B62" s="2" t="s">
        <v>358</v>
      </c>
      <c r="C62" s="2" t="s">
        <v>1267</v>
      </c>
      <c r="D62" s="118">
        <f>VLOOKUP(A62,JanApport,MATCH($D$4,'Jan 2022 Apport'!$3:$3,FALSE),FALSE)</f>
        <v>3530864.66</v>
      </c>
      <c r="E62" s="30">
        <f>VLOOKUP(A62,JanApport,MATCH($E$2,'Jan 2022 Apport'!$3:$3,0),FALSE)+VLOOKUP(A62,JanApport,MATCH($E$3,'Jan 2022 Apport'!$3:$3,0),FALSE)+VLOOKUP(A62,JanApport,MATCH($E$4,'Jan 2022 Apport'!$3:$3,0),FALSE)</f>
        <v>108524.48</v>
      </c>
      <c r="F62" s="118">
        <f t="shared" si="11"/>
        <v>3422340.18</v>
      </c>
      <c r="G62" s="117">
        <f>VLOOKUP(A62,JanApport,MATCH($G$4,'Jan 2022 Apport'!$3:$3,0),FALSE)</f>
        <v>17104.080000000002</v>
      </c>
      <c r="H62" s="117">
        <f>VLOOKUP(A62,JanApport,MATCH($H$3,'Jan 2022 Apport'!$3:$3,0),FALSE)+VLOOKUP(A62,JanApport,MATCH($H$2,'Jan 2022 Apport'!$3:$3,0),FALSE)+VLOOKUP(A62,JanApport,MATCH($H$4,'Jan 2022 Apport'!$3:$3,0),FALSE)</f>
        <v>369624.69</v>
      </c>
      <c r="I62" s="117">
        <f t="shared" si="13"/>
        <v>386728.77</v>
      </c>
      <c r="J62" s="117">
        <f>VLOOKUP(A62,JanApport,MATCH($J$4,'Jan 2022 Apport'!$3:$3,0),FALSE)</f>
        <v>215486.04</v>
      </c>
      <c r="K62" s="117">
        <f>VLOOKUP(A62,JanApport,MATCH($K$4,'Jan 2022 Apport'!$3:$3,0),FALSE)</f>
        <v>43290.77</v>
      </c>
      <c r="L62" s="117">
        <f t="shared" si="12"/>
        <v>258776.81</v>
      </c>
      <c r="M62" s="117">
        <f>VLOOKUP(A62,JanApport,MATCH($M$4,'Jan 2022 Apport'!$3:$3,0),FALSE)</f>
        <v>119945.44</v>
      </c>
      <c r="N62" s="117">
        <f>VLOOKUP(A62,JanApport,MATCH($N$4,'Jan 2022 Apport'!$3:$3,0),FALSE)</f>
        <v>0</v>
      </c>
      <c r="O62" s="117">
        <f>VLOOKUP(A62,JanApport,MATCH($O$4,'Jan 2022 Apport'!$3:$3,0),FALSE)</f>
        <v>9098.6299999999992</v>
      </c>
      <c r="P62" s="121">
        <f>IFERROR((VLOOKUP(A62,ExcessLevy!A:G,3,FALSE)*0.28),0)+IFERROR((VLOOKUP(A62,ExcessLevy!A:G,6,FALSE)*0.72),0)</f>
        <v>0</v>
      </c>
      <c r="Q62" s="121">
        <f>IFERROR((VLOOKUP(A62,ExcessLevy!A:G,4,FALSE)*0.4738),0)+IFERROR((VLOOKUP(A62,ExcessLevy!A:G,7,FALSE)*0.5262),0)</f>
        <v>495000</v>
      </c>
      <c r="R62">
        <f>VLOOKUP(A62,JanApport,MATCH($R$4,'Jan 2022 Apport'!$3:$3,0),FALSE)</f>
        <v>0</v>
      </c>
      <c r="S62">
        <f>VLOOKUP(A62,JanApport,MATCH($S$4,'Jan 2022 Apport'!$3:$3,0),FALSE)</f>
        <v>0</v>
      </c>
      <c r="T62">
        <f>VLOOKUP(A62,JanApport,MATCH($T$4,'Jan 2022 Apport'!$3:$3,0),FALSE)</f>
        <v>12.18</v>
      </c>
      <c r="U62" s="132">
        <f>IFERROR(VLOOKUP(A62,JanApport,MATCH($U$4,'Jan 2022 Apport'!$3:$3,0),FALSE)/R62,0)</f>
        <v>0</v>
      </c>
      <c r="V62" s="30">
        <f>IFERROR(((VLOOKUP(A62,JanApport,MATCH($V$4,'Jan 2022 Apport'!$3:$3,0),FALSE)+VLOOKUP(A62,JanApport,MATCH($V$3,'Jan 2022 Apport'!$3:$3,0),FALSE))/(S62+T62)),0)</f>
        <v>8910.0558292282421</v>
      </c>
      <c r="W62" s="30">
        <f t="shared" si="8"/>
        <v>8083.6246967786601</v>
      </c>
      <c r="X62">
        <f>VLOOKUP(A62,JanApport,MATCH($X$4,'Jan 2022 Apport'!$3:$3,0),FALSE)</f>
        <v>4.8578999999999997E-2</v>
      </c>
      <c r="Y62">
        <f>VLOOKUP(A62,JanApport,MATCH($Y$4,'Jan 2022 Apport'!$3:$3,0),FALSE)</f>
        <v>4.0270000000000002E-3</v>
      </c>
      <c r="Z62">
        <f>VLOOKUP(A62,JanApport,MATCH($Z$4,'Jan 2022 Apport'!$3:$3,0),FALSE)</f>
        <v>1.7100000000000001E-2</v>
      </c>
      <c r="AA62" s="77">
        <f>VLOOKUP(A62,JanApport,MATCH($AA$4,'Jan 2022 Apport'!$3:$3,0),FALSE)*VLOOKUP(A62,JanApport,MATCH($AA$3,'Jan 2022 Apport'!$3:$3,0),FALSE)</f>
        <v>67585</v>
      </c>
      <c r="AB62" s="77">
        <f>VLOOKUP(A62,JanApport,MATCH($AB$4,'Jan 2022 Apport'!$3:$3,0),FALSE)*VLOOKUP(A62,JanApport,MATCH($AB$3,'Jan 2022 Apport'!$3:$3,0),FALSE)</f>
        <v>68937</v>
      </c>
      <c r="AC62" s="77">
        <f>VLOOKUP(A62,JanApport,MATCH($AC$4,'Jan 2022 Apport'!$3:$3,0),FALSE)</f>
        <v>100321</v>
      </c>
      <c r="AD62" s="77">
        <f>VLOOKUP(A62,JanApport,MATCH($AD$4,'Jan 2022 Apport'!$3:$3,0),FALSE)*VLOOKUP(A62,JanApport,MATCH($AD$3,'Jan 2022 Apport'!$3:$3,0),FALSE)</f>
        <v>102327</v>
      </c>
      <c r="AE62" s="77">
        <f>VLOOKUP(A62,JanApport,MATCH($AE$4,'Jan 2022 Apport'!$3:$3,0),FALSE)</f>
        <v>48483</v>
      </c>
      <c r="AF62" s="77">
        <f>VLOOKUP(A62,JanApport,MATCH($AF$4,'Jan 2022 Apport'!$3:$3,0),FALSE)*VLOOKUP(A62,JanApport,MATCH($AF$3,'Jan 2022 Apport'!$3:$3,0),FALSE)</f>
        <v>49453</v>
      </c>
      <c r="AG62" s="77">
        <f t="shared" si="9"/>
        <v>96432.259900000005</v>
      </c>
      <c r="AH62" s="77">
        <f t="shared" si="4"/>
        <v>137400.94330000001</v>
      </c>
      <c r="AI62" s="77">
        <f t="shared" si="5"/>
        <v>77281.189732599989</v>
      </c>
      <c r="AJ62" s="3">
        <f>VLOOKUP(A62,JanApport,MATCH($AJ$4,'Jan 2022 Apport'!$3:$3,0),FALSE)</f>
        <v>355399.67</v>
      </c>
      <c r="AK62" s="3">
        <f>VLOOKUP(A62,JanApport,MATCH($AK$4,'Jan 2022 Apport'!$3:$3,0),FALSE)</f>
        <v>4.2060000000000004</v>
      </c>
      <c r="AL62" s="117">
        <f t="shared" si="10"/>
        <v>4326890.1500000004</v>
      </c>
      <c r="AM62" s="117">
        <f>VLOOKUP(A62,JanApport,MATCH($AM$4,'Jan 2022 Apport'!$3:$3,0),FALSE)</f>
        <v>64766.61</v>
      </c>
      <c r="AN62" s="117">
        <f>VLOOKUP(A62,JanApport,MATCH($AN$4,'Jan 2022 Apport'!$3:$3,0),FALSE)</f>
        <v>22786.79</v>
      </c>
    </row>
    <row r="63" spans="1:40">
      <c r="A63" s="2" t="s">
        <v>239</v>
      </c>
      <c r="B63" s="2" t="s">
        <v>240</v>
      </c>
      <c r="C63" s="2" t="s">
        <v>1267</v>
      </c>
      <c r="D63" s="118">
        <f>VLOOKUP(A63,JanApport,MATCH($D$4,'Jan 2022 Apport'!$3:$3,FALSE),FALSE)</f>
        <v>435228.93</v>
      </c>
      <c r="E63" s="30">
        <f>VLOOKUP(A63,JanApport,MATCH($E$2,'Jan 2022 Apport'!$3:$3,0),FALSE)+VLOOKUP(A63,JanApport,MATCH($E$3,'Jan 2022 Apport'!$3:$3,0),FALSE)+VLOOKUP(A63,JanApport,MATCH($E$4,'Jan 2022 Apport'!$3:$3,0),FALSE)</f>
        <v>0</v>
      </c>
      <c r="F63" s="118">
        <f t="shared" si="11"/>
        <v>435228.93</v>
      </c>
      <c r="G63" s="117">
        <f>VLOOKUP(A63,JanApport,MATCH($G$4,'Jan 2022 Apport'!$3:$3,0),FALSE)</f>
        <v>9982.36</v>
      </c>
      <c r="H63" s="117">
        <f>VLOOKUP(A63,JanApport,MATCH($H$3,'Jan 2022 Apport'!$3:$3,0),FALSE)+VLOOKUP(A63,JanApport,MATCH($H$2,'Jan 2022 Apport'!$3:$3,0),FALSE)+VLOOKUP(A63,JanApport,MATCH($H$4,'Jan 2022 Apport'!$3:$3,0),FALSE)</f>
        <v>36977.22</v>
      </c>
      <c r="I63" s="117">
        <f t="shared" si="13"/>
        <v>46959.58</v>
      </c>
      <c r="J63" s="117">
        <f>VLOOKUP(A63,JanApport,MATCH($J$4,'Jan 2022 Apport'!$3:$3,0),FALSE)</f>
        <v>0</v>
      </c>
      <c r="K63" s="117">
        <f>VLOOKUP(A63,JanApport,MATCH($K$4,'Jan 2022 Apport'!$3:$3,0),FALSE)</f>
        <v>0</v>
      </c>
      <c r="L63" s="117">
        <f t="shared" si="12"/>
        <v>0</v>
      </c>
      <c r="M63" s="117">
        <f>VLOOKUP(A63,JanApport,MATCH($M$4,'Jan 2022 Apport'!$3:$3,0),FALSE)</f>
        <v>0</v>
      </c>
      <c r="N63" s="117">
        <f>VLOOKUP(A63,JanApport,MATCH($N$4,'Jan 2022 Apport'!$3:$3,0),FALSE)</f>
        <v>0</v>
      </c>
      <c r="O63" s="117">
        <f>VLOOKUP(A63,JanApport,MATCH($O$4,'Jan 2022 Apport'!$3:$3,0),FALSE)</f>
        <v>0</v>
      </c>
      <c r="P63" s="121">
        <f>IFERROR((VLOOKUP(A63,ExcessLevy!A:G,3,FALSE)*0.28),0)+IFERROR((VLOOKUP(A63,ExcessLevy!A:G,6,FALSE)*0.72),0)</f>
        <v>0</v>
      </c>
      <c r="Q63" s="121">
        <f>IFERROR((VLOOKUP(A63,ExcessLevy!A:G,4,FALSE)*0.4738),0)+IFERROR((VLOOKUP(A63,ExcessLevy!A:G,7,FALSE)*0.5262),0)</f>
        <v>85000</v>
      </c>
      <c r="R63">
        <f>VLOOKUP(A63,JanApport,MATCH($R$4,'Jan 2022 Apport'!$3:$3,0),FALSE)</f>
        <v>0</v>
      </c>
      <c r="S63">
        <f>VLOOKUP(A63,JanApport,MATCH($S$4,'Jan 2022 Apport'!$3:$3,0),FALSE)</f>
        <v>0</v>
      </c>
      <c r="T63">
        <f>VLOOKUP(A63,JanApport,MATCH($T$4,'Jan 2022 Apport'!$3:$3,0),FALSE)</f>
        <v>0</v>
      </c>
      <c r="U63" s="132">
        <f>IFERROR(VLOOKUP(A63,JanApport,MATCH($U$4,'Jan 2022 Apport'!$3:$3,0),FALSE)/R63,0)</f>
        <v>0</v>
      </c>
      <c r="V63" s="30">
        <f>IFERROR(((VLOOKUP(A63,JanApport,MATCH($V$4,'Jan 2022 Apport'!$3:$3,0),FALSE)+VLOOKUP(A63,JanApport,MATCH($V$3,'Jan 2022 Apport'!$3:$3,0),FALSE))/(S63+T63)),0)</f>
        <v>0</v>
      </c>
      <c r="W63" s="30">
        <f t="shared" si="8"/>
        <v>9091.525830575154</v>
      </c>
      <c r="X63">
        <f>VLOOKUP(A63,JanApport,MATCH($X$4,'Jan 2022 Apport'!$3:$3,0),FALSE)</f>
        <v>4.8578999999999997E-2</v>
      </c>
      <c r="Y63">
        <f>VLOOKUP(A63,JanApport,MATCH($Y$4,'Jan 2022 Apport'!$3:$3,0),FALSE)</f>
        <v>4.0270000000000002E-3</v>
      </c>
      <c r="Z63">
        <f>VLOOKUP(A63,JanApport,MATCH($Z$4,'Jan 2022 Apport'!$3:$3,0),FALSE)</f>
        <v>1.7100000000000001E-2</v>
      </c>
      <c r="AA63" s="77">
        <f>VLOOKUP(A63,JanApport,MATCH($AA$4,'Jan 2022 Apport'!$3:$3,0),FALSE)*VLOOKUP(A63,JanApport,MATCH($AA$3,'Jan 2022 Apport'!$3:$3,0),FALSE)</f>
        <v>67585</v>
      </c>
      <c r="AB63" s="77">
        <f>VLOOKUP(A63,JanApport,MATCH($AB$4,'Jan 2022 Apport'!$3:$3,0),FALSE)*VLOOKUP(A63,JanApport,MATCH($AB$3,'Jan 2022 Apport'!$3:$3,0),FALSE)</f>
        <v>81345.659999999989</v>
      </c>
      <c r="AC63" s="77">
        <f>VLOOKUP(A63,JanApport,MATCH($AC$4,'Jan 2022 Apport'!$3:$3,0),FALSE)</f>
        <v>100321</v>
      </c>
      <c r="AD63" s="77">
        <f>VLOOKUP(A63,JanApport,MATCH($AD$4,'Jan 2022 Apport'!$3:$3,0),FALSE)*VLOOKUP(A63,JanApport,MATCH($AD$3,'Jan 2022 Apport'!$3:$3,0),FALSE)</f>
        <v>120745.86</v>
      </c>
      <c r="AE63" s="77">
        <f>VLOOKUP(A63,JanApport,MATCH($AE$4,'Jan 2022 Apport'!$3:$3,0),FALSE)</f>
        <v>48483</v>
      </c>
      <c r="AF63" s="77">
        <f>VLOOKUP(A63,JanApport,MATCH($AF$4,'Jan 2022 Apport'!$3:$3,0),FALSE)*VLOOKUP(A63,JanApport,MATCH($AF$3,'Jan 2022 Apport'!$3:$3,0),FALSE)</f>
        <v>58354.539999999994</v>
      </c>
      <c r="AG63" s="77">
        <f t="shared" si="9"/>
        <v>111579.51116200001</v>
      </c>
      <c r="AH63" s="77">
        <f t="shared" si="4"/>
        <v>159884.84570200002</v>
      </c>
      <c r="AI63" s="77">
        <f t="shared" si="5"/>
        <v>87896.402584467985</v>
      </c>
      <c r="AJ63" s="3">
        <f>VLOOKUP(A63,JanApport,MATCH($AJ$4,'Jan 2022 Apport'!$3:$3,0),FALSE)</f>
        <v>62294.14</v>
      </c>
      <c r="AK63" s="3">
        <f>VLOOKUP(A63,JanApport,MATCH($AK$4,'Jan 2022 Apport'!$3:$3,0),FALSE)</f>
        <v>1.47</v>
      </c>
      <c r="AL63" s="117">
        <f t="shared" si="10"/>
        <v>482188.51</v>
      </c>
      <c r="AM63" s="117">
        <f>VLOOKUP(A63,JanApport,MATCH($AM$4,'Jan 2022 Apport'!$3:$3,0),FALSE)</f>
        <v>0</v>
      </c>
      <c r="AN63" s="117">
        <f>VLOOKUP(A63,JanApport,MATCH($AN$4,'Jan 2022 Apport'!$3:$3,0),FALSE)</f>
        <v>3837.31</v>
      </c>
    </row>
    <row r="64" spans="1:40">
      <c r="A64" s="2" t="s">
        <v>445</v>
      </c>
      <c r="B64" s="2" t="s">
        <v>446</v>
      </c>
      <c r="C64" s="2" t="s">
        <v>1267</v>
      </c>
      <c r="D64" s="118">
        <f>VLOOKUP(A64,JanApport,MATCH($D$4,'Jan 2022 Apport'!$3:$3,FALSE),FALSE)</f>
        <v>4619972.74</v>
      </c>
      <c r="E64" s="30">
        <f>VLOOKUP(A64,JanApport,MATCH($E$2,'Jan 2022 Apport'!$3:$3,0),FALSE)+VLOOKUP(A64,JanApport,MATCH($E$3,'Jan 2022 Apport'!$3:$3,0),FALSE)+VLOOKUP(A64,JanApport,MATCH($E$4,'Jan 2022 Apport'!$3:$3,0),FALSE)</f>
        <v>234928.12</v>
      </c>
      <c r="F64" s="118">
        <f t="shared" si="11"/>
        <v>4385044.62</v>
      </c>
      <c r="G64" s="117">
        <f>VLOOKUP(A64,JanApport,MATCH($G$4,'Jan 2022 Apport'!$3:$3,0),FALSE)</f>
        <v>35921.26</v>
      </c>
      <c r="H64" s="117">
        <f>VLOOKUP(A64,JanApport,MATCH($H$3,'Jan 2022 Apport'!$3:$3,0),FALSE)+VLOOKUP(A64,JanApport,MATCH($H$2,'Jan 2022 Apport'!$3:$3,0),FALSE)+VLOOKUP(A64,JanApport,MATCH($H$4,'Jan 2022 Apport'!$3:$3,0),FALSE)</f>
        <v>530813.14</v>
      </c>
      <c r="I64" s="117">
        <f t="shared" si="13"/>
        <v>566734.4</v>
      </c>
      <c r="J64" s="117">
        <f>VLOOKUP(A64,JanApport,MATCH($J$4,'Jan 2022 Apport'!$3:$3,0),FALSE)</f>
        <v>288795.81</v>
      </c>
      <c r="K64" s="117">
        <f>VLOOKUP(A64,JanApport,MATCH($K$4,'Jan 2022 Apport'!$3:$3,0),FALSE)</f>
        <v>61531.5</v>
      </c>
      <c r="L64" s="117">
        <f t="shared" si="12"/>
        <v>350327.31</v>
      </c>
      <c r="M64" s="117">
        <f>VLOOKUP(A64,JanApport,MATCH($M$4,'Jan 2022 Apport'!$3:$3,0),FALSE)</f>
        <v>148818.75</v>
      </c>
      <c r="N64" s="117">
        <f>VLOOKUP(A64,JanApport,MATCH($N$4,'Jan 2022 Apport'!$3:$3,0),FALSE)</f>
        <v>7462.57</v>
      </c>
      <c r="O64" s="117">
        <f>VLOOKUP(A64,JanApport,MATCH($O$4,'Jan 2022 Apport'!$3:$3,0),FALSE)</f>
        <v>12545.77</v>
      </c>
      <c r="P64" s="121">
        <f>IFERROR((VLOOKUP(A64,ExcessLevy!A:G,3,FALSE)*0.28),0)+IFERROR((VLOOKUP(A64,ExcessLevy!A:G,6,FALSE)*0.72),0)</f>
        <v>0</v>
      </c>
      <c r="Q64" s="121">
        <f>IFERROR((VLOOKUP(A64,ExcessLevy!A:G,4,FALSE)*0.4738),0)+IFERROR((VLOOKUP(A64,ExcessLevy!A:G,7,FALSE)*0.5262),0)</f>
        <v>520596</v>
      </c>
      <c r="R64">
        <f>VLOOKUP(A64,JanApport,MATCH($R$4,'Jan 2022 Apport'!$3:$3,0),FALSE)</f>
        <v>0</v>
      </c>
      <c r="S64">
        <f>VLOOKUP(A64,JanApport,MATCH($S$4,'Jan 2022 Apport'!$3:$3,0),FALSE)</f>
        <v>0</v>
      </c>
      <c r="T64">
        <f>VLOOKUP(A64,JanApport,MATCH($T$4,'Jan 2022 Apport'!$3:$3,0),FALSE)</f>
        <v>24.27</v>
      </c>
      <c r="U64" s="132">
        <f>IFERROR(VLOOKUP(A64,JanApport,MATCH($U$4,'Jan 2022 Apport'!$3:$3,0),FALSE)/R64,0)</f>
        <v>0</v>
      </c>
      <c r="V64" s="30">
        <f>IFERROR(((VLOOKUP(A64,JanApport,MATCH($V$4,'Jan 2022 Apport'!$3:$3,0),FALSE)+VLOOKUP(A64,JanApport,MATCH($V$3,'Jan 2022 Apport'!$3:$3,0),FALSE))/(S64+T64)),0)</f>
        <v>9679.7742068397201</v>
      </c>
      <c r="W64" s="30">
        <f t="shared" si="8"/>
        <v>8982.0583223059966</v>
      </c>
      <c r="X64">
        <f>VLOOKUP(A64,JanApport,MATCH($X$4,'Jan 2022 Apport'!$3:$3,0),FALSE)</f>
        <v>4.8578999999999997E-2</v>
      </c>
      <c r="Y64">
        <f>VLOOKUP(A64,JanApport,MATCH($Y$4,'Jan 2022 Apport'!$3:$3,0),FALSE)</f>
        <v>4.0270000000000002E-3</v>
      </c>
      <c r="Z64">
        <f>VLOOKUP(A64,JanApport,MATCH($Z$4,'Jan 2022 Apport'!$3:$3,0),FALSE)</f>
        <v>1.7100000000000001E-2</v>
      </c>
      <c r="AA64" s="77">
        <f>VLOOKUP(A64,JanApport,MATCH($AA$4,'Jan 2022 Apport'!$3:$3,0),FALSE)*VLOOKUP(A64,JanApport,MATCH($AA$3,'Jan 2022 Apport'!$3:$3,0),FALSE)</f>
        <v>75695.200000000012</v>
      </c>
      <c r="AB64" s="77">
        <f>VLOOKUP(A64,JanApport,MATCH($AB$4,'Jan 2022 Apport'!$3:$3,0),FALSE)*VLOOKUP(A64,JanApport,MATCH($AB$3,'Jan 2022 Apport'!$3:$3,0),FALSE)</f>
        <v>79966.92</v>
      </c>
      <c r="AC64" s="77">
        <f>VLOOKUP(A64,JanApport,MATCH($AC$4,'Jan 2022 Apport'!$3:$3,0),FALSE)</f>
        <v>100321</v>
      </c>
      <c r="AD64" s="77">
        <f>VLOOKUP(A64,JanApport,MATCH($AD$4,'Jan 2022 Apport'!$3:$3,0),FALSE)*VLOOKUP(A64,JanApport,MATCH($AD$3,'Jan 2022 Apport'!$3:$3,0),FALSE)</f>
        <v>118699.31999999999</v>
      </c>
      <c r="AE64" s="77">
        <f>VLOOKUP(A64,JanApport,MATCH($AE$4,'Jan 2022 Apport'!$3:$3,0),FALSE)</f>
        <v>48483</v>
      </c>
      <c r="AF64" s="77">
        <f>VLOOKUP(A64,JanApport,MATCH($AF$4,'Jan 2022 Apport'!$3:$3,0),FALSE)*VLOOKUP(A64,JanApport,MATCH($AF$3,'Jan 2022 Apport'!$3:$3,0),FALSE)</f>
        <v>57365.479999999996</v>
      </c>
      <c r="AG64" s="77">
        <f t="shared" si="9"/>
        <v>109948.38852400001</v>
      </c>
      <c r="AH64" s="77">
        <f t="shared" si="4"/>
        <v>157386.63432400001</v>
      </c>
      <c r="AI64" s="77">
        <f t="shared" si="5"/>
        <v>86716.934489815991</v>
      </c>
      <c r="AJ64" s="3">
        <f>VLOOKUP(A64,JanApport,MATCH($AJ$4,'Jan 2022 Apport'!$3:$3,0),FALSE)</f>
        <v>578767.84</v>
      </c>
      <c r="AK64" s="3">
        <f>VLOOKUP(A64,JanApport,MATCH($AK$4,'Jan 2022 Apport'!$3:$3,0),FALSE)</f>
        <v>10.199</v>
      </c>
      <c r="AL64" s="117">
        <f t="shared" si="10"/>
        <v>5731285.1900000004</v>
      </c>
      <c r="AM64" s="117">
        <f>VLOOKUP(A64,JanApport,MATCH($AM$4,'Jan 2022 Apport'!$3:$3,0),FALSE)</f>
        <v>86955.15</v>
      </c>
      <c r="AN64" s="117">
        <f>VLOOKUP(A64,JanApport,MATCH($AN$4,'Jan 2022 Apport'!$3:$3,0),FALSE)</f>
        <v>40401.64</v>
      </c>
    </row>
    <row r="65" spans="1:40">
      <c r="A65" s="2" t="s">
        <v>311</v>
      </c>
      <c r="B65" s="2" t="s">
        <v>312</v>
      </c>
      <c r="C65" s="2" t="s">
        <v>1267</v>
      </c>
      <c r="D65" s="118">
        <f>VLOOKUP(A65,JanApport,MATCH($D$4,'Jan 2022 Apport'!$3:$3,FALSE),FALSE)</f>
        <v>5515999.96</v>
      </c>
      <c r="E65" s="30">
        <f>VLOOKUP(A65,JanApport,MATCH($E$2,'Jan 2022 Apport'!$3:$3,0),FALSE)+VLOOKUP(A65,JanApport,MATCH($E$3,'Jan 2022 Apport'!$3:$3,0),FALSE)+VLOOKUP(A65,JanApport,MATCH($E$4,'Jan 2022 Apport'!$3:$3,0),FALSE)</f>
        <v>779476.23</v>
      </c>
      <c r="F65" s="118">
        <f t="shared" si="11"/>
        <v>4736523.7300000004</v>
      </c>
      <c r="G65" s="117">
        <f>VLOOKUP(A65,JanApport,MATCH($G$4,'Jan 2022 Apport'!$3:$3,0),FALSE)</f>
        <v>52830.36</v>
      </c>
      <c r="H65" s="117">
        <f>VLOOKUP(A65,JanApport,MATCH($H$3,'Jan 2022 Apport'!$3:$3,0),FALSE)+VLOOKUP(A65,JanApport,MATCH($H$2,'Jan 2022 Apport'!$3:$3,0),FALSE)+VLOOKUP(A65,JanApport,MATCH($H$4,'Jan 2022 Apport'!$3:$3,0),FALSE)</f>
        <v>626637.59000000008</v>
      </c>
      <c r="I65" s="117">
        <f t="shared" si="13"/>
        <v>679467.95000000007</v>
      </c>
      <c r="J65" s="117">
        <f>VLOOKUP(A65,JanApport,MATCH($J$4,'Jan 2022 Apport'!$3:$3,0),FALSE)</f>
        <v>374825.6</v>
      </c>
      <c r="K65" s="117">
        <f>VLOOKUP(A65,JanApport,MATCH($K$4,'Jan 2022 Apport'!$3:$3,0),FALSE)</f>
        <v>104258.6</v>
      </c>
      <c r="L65" s="117">
        <f t="shared" si="12"/>
        <v>479084.19999999995</v>
      </c>
      <c r="M65" s="117">
        <f>VLOOKUP(A65,JanApport,MATCH($M$4,'Jan 2022 Apport'!$3:$3,0),FALSE)</f>
        <v>141469.1</v>
      </c>
      <c r="N65" s="117">
        <f>VLOOKUP(A65,JanApport,MATCH($N$4,'Jan 2022 Apport'!$3:$3,0),FALSE)</f>
        <v>0</v>
      </c>
      <c r="O65" s="117">
        <f>VLOOKUP(A65,JanApport,MATCH($O$4,'Jan 2022 Apport'!$3:$3,0),FALSE)</f>
        <v>0</v>
      </c>
      <c r="P65" s="121">
        <f>IFERROR((VLOOKUP(A65,ExcessLevy!A:G,3,FALSE)*0.28),0)+IFERROR((VLOOKUP(A65,ExcessLevy!A:G,6,FALSE)*0.72),0)</f>
        <v>394750.54200000002</v>
      </c>
      <c r="Q65" s="121">
        <f>IFERROR((VLOOKUP(A65,ExcessLevy!A:G,4,FALSE)*0.4738),0)+IFERROR((VLOOKUP(A65,ExcessLevy!A:G,7,FALSE)*0.5262),0)</f>
        <v>749576.4</v>
      </c>
      <c r="R65">
        <f>VLOOKUP(A65,JanApport,MATCH($R$4,'Jan 2022 Apport'!$3:$3,0),FALSE)</f>
        <v>1.73</v>
      </c>
      <c r="S65">
        <f>VLOOKUP(A65,JanApport,MATCH($S$4,'Jan 2022 Apport'!$3:$3,0),FALSE)</f>
        <v>23.83</v>
      </c>
      <c r="T65">
        <f>VLOOKUP(A65,JanApport,MATCH($T$4,'Jan 2022 Apport'!$3:$3,0),FALSE)</f>
        <v>61.61</v>
      </c>
      <c r="U65" s="132">
        <f>IFERROR(VLOOKUP(A65,JanApport,MATCH($U$4,'Jan 2022 Apport'!$3:$3,0),FALSE)/R65,0)</f>
        <v>10102.809248554913</v>
      </c>
      <c r="V65" s="30">
        <f>IFERROR(((VLOOKUP(A65,JanApport,MATCH($V$4,'Jan 2022 Apport'!$3:$3,0),FALSE)+VLOOKUP(A65,JanApport,MATCH($V$3,'Jan 2022 Apport'!$3:$3,0),FALSE))/(S65+T65)),0)</f>
        <v>8918.5202481273409</v>
      </c>
      <c r="W65" s="30">
        <f t="shared" si="8"/>
        <v>8083.6246967786601</v>
      </c>
      <c r="X65">
        <f>VLOOKUP(A65,JanApport,MATCH($X$4,'Jan 2022 Apport'!$3:$3,0),FALSE)</f>
        <v>4.8578999999999997E-2</v>
      </c>
      <c r="Y65">
        <f>VLOOKUP(A65,JanApport,MATCH($Y$4,'Jan 2022 Apport'!$3:$3,0),FALSE)</f>
        <v>4.0270000000000002E-3</v>
      </c>
      <c r="Z65">
        <f>VLOOKUP(A65,JanApport,MATCH($Z$4,'Jan 2022 Apport'!$3:$3,0),FALSE)</f>
        <v>1.7100000000000001E-2</v>
      </c>
      <c r="AA65" s="77">
        <f>VLOOKUP(A65,JanApport,MATCH($AA$4,'Jan 2022 Apport'!$3:$3,0),FALSE)*VLOOKUP(A65,JanApport,MATCH($AA$3,'Jan 2022 Apport'!$3:$3,0),FALSE)</f>
        <v>67585</v>
      </c>
      <c r="AB65" s="77">
        <f>VLOOKUP(A65,JanApport,MATCH($AB$4,'Jan 2022 Apport'!$3:$3,0),FALSE)*VLOOKUP(A65,JanApport,MATCH($AB$3,'Jan 2022 Apport'!$3:$3,0),FALSE)</f>
        <v>68937</v>
      </c>
      <c r="AC65" s="77">
        <f>VLOOKUP(A65,JanApport,MATCH($AC$4,'Jan 2022 Apport'!$3:$3,0),FALSE)</f>
        <v>100321</v>
      </c>
      <c r="AD65" s="77">
        <f>VLOOKUP(A65,JanApport,MATCH($AD$4,'Jan 2022 Apport'!$3:$3,0),FALSE)*VLOOKUP(A65,JanApport,MATCH($AD$3,'Jan 2022 Apport'!$3:$3,0),FALSE)</f>
        <v>102327</v>
      </c>
      <c r="AE65" s="77">
        <f>VLOOKUP(A65,JanApport,MATCH($AE$4,'Jan 2022 Apport'!$3:$3,0),FALSE)</f>
        <v>48483</v>
      </c>
      <c r="AF65" s="77">
        <f>VLOOKUP(A65,JanApport,MATCH($AF$4,'Jan 2022 Apport'!$3:$3,0),FALSE)*VLOOKUP(A65,JanApport,MATCH($AF$3,'Jan 2022 Apport'!$3:$3,0),FALSE)</f>
        <v>49453</v>
      </c>
      <c r="AG65" s="77">
        <f t="shared" si="9"/>
        <v>96432.259900000005</v>
      </c>
      <c r="AH65" s="77">
        <f t="shared" si="4"/>
        <v>137400.94330000001</v>
      </c>
      <c r="AI65" s="77">
        <f t="shared" si="5"/>
        <v>77281.189732599989</v>
      </c>
      <c r="AJ65" s="3">
        <f>VLOOKUP(A65,JanApport,MATCH($AJ$4,'Jan 2022 Apport'!$3:$3,0),FALSE)</f>
        <v>686090.85</v>
      </c>
      <c r="AK65" s="3">
        <f>VLOOKUP(A65,JanApport,MATCH($AK$4,'Jan 2022 Apport'!$3:$3,0),FALSE)</f>
        <v>12.827</v>
      </c>
      <c r="AL65" s="117">
        <f t="shared" si="10"/>
        <v>6778975.1200000001</v>
      </c>
      <c r="AM65" s="117">
        <f>VLOOKUP(A65,JanApport,MATCH($AM$4,'Jan 2022 Apport'!$3:$3,0),FALSE)</f>
        <v>67212.509999999995</v>
      </c>
      <c r="AN65" s="117">
        <f>VLOOKUP(A65,JanApport,MATCH($AN$4,'Jan 2022 Apport'!$3:$3,0),FALSE)</f>
        <v>40939.65</v>
      </c>
    </row>
    <row r="66" spans="1:40">
      <c r="A66" s="2" t="s">
        <v>73</v>
      </c>
      <c r="B66" s="2" t="s">
        <v>74</v>
      </c>
      <c r="C66" s="2" t="s">
        <v>1267</v>
      </c>
      <c r="D66" s="118">
        <f>VLOOKUP(A66,JanApport,MATCH($D$4,'Jan 2022 Apport'!$3:$3,FALSE),FALSE)</f>
        <v>3913355.24</v>
      </c>
      <c r="E66" s="30">
        <f>VLOOKUP(A66,JanApport,MATCH($E$2,'Jan 2022 Apport'!$3:$3,0),FALSE)+VLOOKUP(A66,JanApport,MATCH($E$3,'Jan 2022 Apport'!$3:$3,0),FALSE)+VLOOKUP(A66,JanApport,MATCH($E$4,'Jan 2022 Apport'!$3:$3,0),FALSE)</f>
        <v>411008.03</v>
      </c>
      <c r="F66" s="118">
        <f t="shared" si="11"/>
        <v>3502347.21</v>
      </c>
      <c r="G66" s="117">
        <f>VLOOKUP(A66,JanApport,MATCH($G$4,'Jan 2022 Apport'!$3:$3,0),FALSE)</f>
        <v>29633.05</v>
      </c>
      <c r="H66" s="117">
        <f>VLOOKUP(A66,JanApport,MATCH($H$3,'Jan 2022 Apport'!$3:$3,0),FALSE)+VLOOKUP(A66,JanApport,MATCH($H$2,'Jan 2022 Apport'!$3:$3,0),FALSE)+VLOOKUP(A66,JanApport,MATCH($H$4,'Jan 2022 Apport'!$3:$3,0),FALSE)</f>
        <v>363532.37999999995</v>
      </c>
      <c r="I66" s="117">
        <f t="shared" si="13"/>
        <v>393165.42999999993</v>
      </c>
      <c r="J66" s="117">
        <f>VLOOKUP(A66,JanApport,MATCH($J$4,'Jan 2022 Apport'!$3:$3,0),FALSE)</f>
        <v>248579.61</v>
      </c>
      <c r="K66" s="117">
        <f>VLOOKUP(A66,JanApport,MATCH($K$4,'Jan 2022 Apport'!$3:$3,0),FALSE)</f>
        <v>57424.41</v>
      </c>
      <c r="L66" s="117">
        <f t="shared" si="12"/>
        <v>306004.02</v>
      </c>
      <c r="M66" s="117">
        <f>VLOOKUP(A66,JanApport,MATCH($M$4,'Jan 2022 Apport'!$3:$3,0),FALSE)</f>
        <v>128848.42</v>
      </c>
      <c r="N66" s="117">
        <f>VLOOKUP(A66,JanApport,MATCH($N$4,'Jan 2022 Apport'!$3:$3,0),FALSE)</f>
        <v>2935.05</v>
      </c>
      <c r="O66" s="117">
        <f>VLOOKUP(A66,JanApport,MATCH($O$4,'Jan 2022 Apport'!$3:$3,0),FALSE)</f>
        <v>10076.98</v>
      </c>
      <c r="P66" s="121">
        <f>IFERROR((VLOOKUP(A66,ExcessLevy!A:G,3,FALSE)*0.28),0)+IFERROR((VLOOKUP(A66,ExcessLevy!A:G,6,FALSE)*0.72),0)</f>
        <v>0</v>
      </c>
      <c r="Q66" s="121">
        <f>IFERROR((VLOOKUP(A66,ExcessLevy!A:G,4,FALSE)*0.4738),0)+IFERROR((VLOOKUP(A66,ExcessLevy!A:G,7,FALSE)*0.5262),0)</f>
        <v>1063807.8400000001</v>
      </c>
      <c r="R66">
        <f>VLOOKUP(A66,JanApport,MATCH($R$4,'Jan 2022 Apport'!$3:$3,0),FALSE)</f>
        <v>0</v>
      </c>
      <c r="S66">
        <f>VLOOKUP(A66,JanApport,MATCH($S$4,'Jan 2022 Apport'!$3:$3,0),FALSE)</f>
        <v>13.22</v>
      </c>
      <c r="T66">
        <f>VLOOKUP(A66,JanApport,MATCH($T$4,'Jan 2022 Apport'!$3:$3,0),FALSE)</f>
        <v>32.86</v>
      </c>
      <c r="U66" s="132">
        <f>IFERROR(VLOOKUP(A66,JanApport,MATCH($U$4,'Jan 2022 Apport'!$3:$3,0),FALSE)/R66,0)</f>
        <v>0</v>
      </c>
      <c r="V66" s="30">
        <f>IFERROR(((VLOOKUP(A66,JanApport,MATCH($V$4,'Jan 2022 Apport'!$3:$3,0),FALSE)+VLOOKUP(A66,JanApport,MATCH($V$3,'Jan 2022 Apport'!$3:$3,0),FALSE))/(S66+T66)),0)</f>
        <v>8919.4450954861113</v>
      </c>
      <c r="W66" s="30">
        <f t="shared" si="8"/>
        <v>2452.5713248960005</v>
      </c>
      <c r="X66">
        <f>VLOOKUP(A66,JanApport,MATCH($X$4,'Jan 2022 Apport'!$3:$3,0),FALSE)</f>
        <v>4.8578999999999997E-2</v>
      </c>
      <c r="Y66">
        <f>VLOOKUP(A66,JanApport,MATCH($Y$4,'Jan 2022 Apport'!$3:$3,0),FALSE)</f>
        <v>4.0270000000000002E-3</v>
      </c>
      <c r="Z66">
        <f>VLOOKUP(A66,JanApport,MATCH($Z$4,'Jan 2022 Apport'!$3:$3,0),FALSE)</f>
        <v>1.7100000000000001E-2</v>
      </c>
      <c r="AA66" s="77">
        <f>VLOOKUP(A66,JanApport,MATCH($AA$4,'Jan 2022 Apport'!$3:$3,0),FALSE)*VLOOKUP(A66,JanApport,MATCH($AA$3,'Jan 2022 Apport'!$3:$3,0),FALSE)</f>
        <v>67585</v>
      </c>
      <c r="AB66" s="77">
        <f>VLOOKUP(A66,JanApport,MATCH($AB$4,'Jan 2022 Apport'!$3:$3,0),FALSE)*VLOOKUP(A66,JanApport,MATCH($AB$3,'Jan 2022 Apport'!$3:$3,0),FALSE)</f>
        <v>0</v>
      </c>
      <c r="AC66" s="77">
        <f>VLOOKUP(A66,JanApport,MATCH($AC$4,'Jan 2022 Apport'!$3:$3,0),FALSE)</f>
        <v>0</v>
      </c>
      <c r="AD66" s="77">
        <f>VLOOKUP(A66,JanApport,MATCH($AD$4,'Jan 2022 Apport'!$3:$3,0),FALSE)*VLOOKUP(A66,JanApport,MATCH($AD$3,'Jan 2022 Apport'!$3:$3,0),FALSE)</f>
        <v>0</v>
      </c>
      <c r="AE66" s="77">
        <f>VLOOKUP(A66,JanApport,MATCH($AE$4,'Jan 2022 Apport'!$3:$3,0),FALSE)</f>
        <v>0</v>
      </c>
      <c r="AF66" s="77">
        <f>VLOOKUP(A66,JanApport,MATCH($AF$4,'Jan 2022 Apport'!$3:$3,0),FALSE)*VLOOKUP(A66,JanApport,MATCH($AF$3,'Jan 2022 Apport'!$3:$3,0),FALSE)</f>
        <v>0</v>
      </c>
      <c r="AG66" s="77">
        <f t="shared" si="9"/>
        <v>12280.864000000009</v>
      </c>
      <c r="AH66" s="77">
        <f t="shared" si="4"/>
        <v>11848.32</v>
      </c>
      <c r="AI66" s="77">
        <f t="shared" si="5"/>
        <v>16610.88</v>
      </c>
      <c r="AJ66" s="3">
        <f>VLOOKUP(A66,JanApport,MATCH($AJ$4,'Jan 2022 Apport'!$3:$3,0),FALSE)</f>
        <v>488248.51</v>
      </c>
      <c r="AK66" s="3">
        <f>VLOOKUP(A66,JanApport,MATCH($AK$4,'Jan 2022 Apport'!$3:$3,0),FALSE)</f>
        <v>8.2070000000000007</v>
      </c>
      <c r="AL66" s="117">
        <f t="shared" si="10"/>
        <v>4413076.76</v>
      </c>
      <c r="AM66" s="117">
        <f>VLOOKUP(A66,JanApport,MATCH($AM$4,'Jan 2022 Apport'!$3:$3,0),FALSE)</f>
        <v>109281.46</v>
      </c>
      <c r="AN66" s="117">
        <f>VLOOKUP(A66,JanApport,MATCH($AN$4,'Jan 2022 Apport'!$3:$3,0),FALSE)</f>
        <v>31229.99</v>
      </c>
    </row>
    <row r="67" spans="1:40">
      <c r="A67" s="2" t="s">
        <v>475</v>
      </c>
      <c r="B67" s="2" t="s">
        <v>476</v>
      </c>
      <c r="C67" s="2" t="s">
        <v>1267</v>
      </c>
      <c r="D67" s="118">
        <f>VLOOKUP(A67,JanApport,MATCH($D$4,'Jan 2022 Apport'!$3:$3,FALSE),FALSE)</f>
        <v>21951147.170000002</v>
      </c>
      <c r="E67" s="30">
        <f>VLOOKUP(A67,JanApport,MATCH($E$2,'Jan 2022 Apport'!$3:$3,0),FALSE)+VLOOKUP(A67,JanApport,MATCH($E$3,'Jan 2022 Apport'!$3:$3,0),FALSE)+VLOOKUP(A67,JanApport,MATCH($E$4,'Jan 2022 Apport'!$3:$3,0),FALSE)</f>
        <v>990816.34</v>
      </c>
      <c r="F67" s="118">
        <f t="shared" si="11"/>
        <v>20960330.830000002</v>
      </c>
      <c r="G67" s="117">
        <f>VLOOKUP(A67,JanApport,MATCH($G$4,'Jan 2022 Apport'!$3:$3,0),FALSE)</f>
        <v>179180.99</v>
      </c>
      <c r="H67" s="117">
        <f>VLOOKUP(A67,JanApport,MATCH($H$3,'Jan 2022 Apport'!$3:$3,0),FALSE)+VLOOKUP(A67,JanApport,MATCH($H$2,'Jan 2022 Apport'!$3:$3,0),FALSE)+VLOOKUP(A67,JanApport,MATCH($H$4,'Jan 2022 Apport'!$3:$3,0),FALSE)</f>
        <v>2434431.4299999997</v>
      </c>
      <c r="I67" s="117">
        <f t="shared" si="13"/>
        <v>2613612.42</v>
      </c>
      <c r="J67" s="117">
        <f>VLOOKUP(A67,JanApport,MATCH($J$4,'Jan 2022 Apport'!$3:$3,0),FALSE)</f>
        <v>1409262.02</v>
      </c>
      <c r="K67" s="117">
        <f>VLOOKUP(A67,JanApport,MATCH($K$4,'Jan 2022 Apport'!$3:$3,0),FALSE)</f>
        <v>304604.37</v>
      </c>
      <c r="L67" s="117">
        <f t="shared" si="12"/>
        <v>1713866.3900000001</v>
      </c>
      <c r="M67" s="117">
        <f>VLOOKUP(A67,JanApport,MATCH($M$4,'Jan 2022 Apport'!$3:$3,0),FALSE)</f>
        <v>705780.13</v>
      </c>
      <c r="N67" s="117">
        <f>VLOOKUP(A67,JanApport,MATCH($N$4,'Jan 2022 Apport'!$3:$3,0),FALSE)</f>
        <v>37470.730000000003</v>
      </c>
      <c r="O67" s="117">
        <f>VLOOKUP(A67,JanApport,MATCH($O$4,'Jan 2022 Apport'!$3:$3,0),FALSE)</f>
        <v>70832.38</v>
      </c>
      <c r="P67" s="121">
        <f>IFERROR((VLOOKUP(A67,ExcessLevy!A:G,3,FALSE)*0.28),0)+IFERROR((VLOOKUP(A67,ExcessLevy!A:G,6,FALSE)*0.72),0)</f>
        <v>1939016.4172</v>
      </c>
      <c r="Q67" s="121">
        <f>IFERROR((VLOOKUP(A67,ExcessLevy!A:G,4,FALSE)*0.4738),0)+IFERROR((VLOOKUP(A67,ExcessLevy!A:G,7,FALSE)*0.5262),0)</f>
        <v>2107871</v>
      </c>
      <c r="R67">
        <f>VLOOKUP(A67,JanApport,MATCH($R$4,'Jan 2022 Apport'!$3:$3,0),FALSE)</f>
        <v>0</v>
      </c>
      <c r="S67">
        <f>VLOOKUP(A67,JanApport,MATCH($S$4,'Jan 2022 Apport'!$3:$3,0),FALSE)</f>
        <v>0</v>
      </c>
      <c r="T67">
        <f>VLOOKUP(A67,JanApport,MATCH($T$4,'Jan 2022 Apport'!$3:$3,0),FALSE)</f>
        <v>111.04</v>
      </c>
      <c r="U67" s="132">
        <f>IFERROR(VLOOKUP(A67,JanApport,MATCH($U$4,'Jan 2022 Apport'!$3:$3,0),FALSE)/R67,0)</f>
        <v>0</v>
      </c>
      <c r="V67" s="30">
        <f>IFERROR(((VLOOKUP(A67,JanApport,MATCH($V$4,'Jan 2022 Apport'!$3:$3,0),FALSE)+VLOOKUP(A67,JanApport,MATCH($V$3,'Jan 2022 Apport'!$3:$3,0),FALSE))/(S67+T67)),0)</f>
        <v>8923.0578170028803</v>
      </c>
      <c r="W67" s="30">
        <f t="shared" si="8"/>
        <v>8083.6246967786601</v>
      </c>
      <c r="X67">
        <f>VLOOKUP(A67,JanApport,MATCH($X$4,'Jan 2022 Apport'!$3:$3,0),FALSE)</f>
        <v>4.8578999999999997E-2</v>
      </c>
      <c r="Y67">
        <f>VLOOKUP(A67,JanApport,MATCH($Y$4,'Jan 2022 Apport'!$3:$3,0),FALSE)</f>
        <v>4.0270000000000002E-3</v>
      </c>
      <c r="Z67">
        <f>VLOOKUP(A67,JanApport,MATCH($Z$4,'Jan 2022 Apport'!$3:$3,0),FALSE)</f>
        <v>1.7100000000000001E-2</v>
      </c>
      <c r="AA67" s="77">
        <f>VLOOKUP(A67,JanApport,MATCH($AA$4,'Jan 2022 Apport'!$3:$3,0),FALSE)*VLOOKUP(A67,JanApport,MATCH($AA$3,'Jan 2022 Apport'!$3:$3,0),FALSE)</f>
        <v>67585</v>
      </c>
      <c r="AB67" s="77">
        <f>VLOOKUP(A67,JanApport,MATCH($AB$4,'Jan 2022 Apport'!$3:$3,0),FALSE)*VLOOKUP(A67,JanApport,MATCH($AB$3,'Jan 2022 Apport'!$3:$3,0),FALSE)</f>
        <v>68937</v>
      </c>
      <c r="AC67" s="77">
        <f>VLOOKUP(A67,JanApport,MATCH($AC$4,'Jan 2022 Apport'!$3:$3,0),FALSE)</f>
        <v>100321</v>
      </c>
      <c r="AD67" s="77">
        <f>VLOOKUP(A67,JanApport,MATCH($AD$4,'Jan 2022 Apport'!$3:$3,0),FALSE)*VLOOKUP(A67,JanApport,MATCH($AD$3,'Jan 2022 Apport'!$3:$3,0),FALSE)</f>
        <v>102327</v>
      </c>
      <c r="AE67" s="77">
        <f>VLOOKUP(A67,JanApport,MATCH($AE$4,'Jan 2022 Apport'!$3:$3,0),FALSE)</f>
        <v>48483</v>
      </c>
      <c r="AF67" s="77">
        <f>VLOOKUP(A67,JanApport,MATCH($AF$4,'Jan 2022 Apport'!$3:$3,0),FALSE)*VLOOKUP(A67,JanApport,MATCH($AF$3,'Jan 2022 Apport'!$3:$3,0),FALSE)</f>
        <v>49453</v>
      </c>
      <c r="AG67" s="77">
        <f t="shared" si="9"/>
        <v>96432.259900000005</v>
      </c>
      <c r="AH67" s="77">
        <f t="shared" si="4"/>
        <v>137400.94330000001</v>
      </c>
      <c r="AI67" s="77">
        <f t="shared" si="5"/>
        <v>77281.189732599989</v>
      </c>
      <c r="AJ67" s="3">
        <f>VLOOKUP(A67,JanApport,MATCH($AJ$4,'Jan 2022 Apport'!$3:$3,0),FALSE)</f>
        <v>2447838.25</v>
      </c>
      <c r="AK67" s="3">
        <f>VLOOKUP(A67,JanApport,MATCH($AK$4,'Jan 2022 Apport'!$3:$3,0),FALSE)</f>
        <v>38.497999999999998</v>
      </c>
      <c r="AL67" s="117">
        <f t="shared" si="10"/>
        <v>27165160.109999999</v>
      </c>
      <c r="AM67" s="117">
        <f>VLOOKUP(A67,JanApport,MATCH($AM$4,'Jan 2022 Apport'!$3:$3,0),FALSE)</f>
        <v>377055.26</v>
      </c>
      <c r="AN67" s="117">
        <f>VLOOKUP(A67,JanApport,MATCH($AN$4,'Jan 2022 Apport'!$3:$3,0),FALSE)</f>
        <v>134973.23000000001</v>
      </c>
    </row>
    <row r="68" spans="1:40">
      <c r="A68" s="2" t="s">
        <v>373</v>
      </c>
      <c r="B68" s="2" t="s">
        <v>374</v>
      </c>
      <c r="C68" s="2" t="s">
        <v>1267</v>
      </c>
      <c r="D68" s="118">
        <f>VLOOKUP(A68,JanApport,MATCH($D$4,'Jan 2022 Apport'!$3:$3,FALSE),FALSE)</f>
        <v>13355953.810000001</v>
      </c>
      <c r="E68" s="30">
        <f>VLOOKUP(A68,JanApport,MATCH($E$2,'Jan 2022 Apport'!$3:$3,0),FALSE)+VLOOKUP(A68,JanApport,MATCH($E$3,'Jan 2022 Apport'!$3:$3,0),FALSE)+VLOOKUP(A68,JanApport,MATCH($E$4,'Jan 2022 Apport'!$3:$3,0),FALSE)</f>
        <v>292880.5</v>
      </c>
      <c r="F68" s="118">
        <f t="shared" si="11"/>
        <v>13063073.310000001</v>
      </c>
      <c r="G68" s="117">
        <f>VLOOKUP(A68,JanApport,MATCH($G$4,'Jan 2022 Apport'!$3:$3,0),FALSE)</f>
        <v>199063.72</v>
      </c>
      <c r="H68" s="117">
        <f>VLOOKUP(A68,JanApport,MATCH($H$3,'Jan 2022 Apport'!$3:$3,0),FALSE)+VLOOKUP(A68,JanApport,MATCH($H$2,'Jan 2022 Apport'!$3:$3,0),FALSE)+VLOOKUP(A68,JanApport,MATCH($H$4,'Jan 2022 Apport'!$3:$3,0),FALSE)</f>
        <v>1513243.15</v>
      </c>
      <c r="I68" s="117">
        <f t="shared" si="13"/>
        <v>1712306.8699999999</v>
      </c>
      <c r="J68" s="117">
        <f>VLOOKUP(A68,JanApport,MATCH($J$4,'Jan 2022 Apport'!$3:$3,0),FALSE)</f>
        <v>1085875.83</v>
      </c>
      <c r="K68" s="117">
        <f>VLOOKUP(A68,JanApport,MATCH($K$4,'Jan 2022 Apport'!$3:$3,0),FALSE)</f>
        <v>91617.75</v>
      </c>
      <c r="L68" s="117">
        <f t="shared" si="12"/>
        <v>1177493.58</v>
      </c>
      <c r="M68" s="117">
        <f>VLOOKUP(A68,JanApport,MATCH($M$4,'Jan 2022 Apport'!$3:$3,0),FALSE)</f>
        <v>136456.60999999999</v>
      </c>
      <c r="N68" s="117">
        <f>VLOOKUP(A68,JanApport,MATCH($N$4,'Jan 2022 Apport'!$3:$3,0),FALSE)</f>
        <v>118604.56</v>
      </c>
      <c r="O68" s="117">
        <f>VLOOKUP(A68,JanApport,MATCH($O$4,'Jan 2022 Apport'!$3:$3,0),FALSE)</f>
        <v>43849.1</v>
      </c>
      <c r="P68" s="121">
        <f>IFERROR((VLOOKUP(A68,ExcessLevy!A:G,3,FALSE)*0.28),0)+IFERROR((VLOOKUP(A68,ExcessLevy!A:G,6,FALSE)*0.72),0)</f>
        <v>0</v>
      </c>
      <c r="Q68" s="121">
        <f>IFERROR((VLOOKUP(A68,ExcessLevy!A:G,4,FALSE)*0.4738),0)+IFERROR((VLOOKUP(A68,ExcessLevy!A:G,7,FALSE)*0.5262),0)</f>
        <v>5723225.1143999994</v>
      </c>
      <c r="R68">
        <f>VLOOKUP(A68,JanApport,MATCH($R$4,'Jan 2022 Apport'!$3:$3,0),FALSE)</f>
        <v>0</v>
      </c>
      <c r="S68">
        <f>VLOOKUP(A68,JanApport,MATCH($S$4,'Jan 2022 Apport'!$3:$3,0),FALSE)</f>
        <v>29.72</v>
      </c>
      <c r="T68">
        <f>VLOOKUP(A68,JanApport,MATCH($T$4,'Jan 2022 Apport'!$3:$3,0),FALSE)</f>
        <v>0</v>
      </c>
      <c r="U68" s="132">
        <f>IFERROR(VLOOKUP(A68,JanApport,MATCH($U$4,'Jan 2022 Apport'!$3:$3,0),FALSE)/R68,0)</f>
        <v>0</v>
      </c>
      <c r="V68" s="30">
        <f>IFERROR(((VLOOKUP(A68,JanApport,MATCH($V$4,'Jan 2022 Apport'!$3:$3,0),FALSE)+VLOOKUP(A68,JanApport,MATCH($V$3,'Jan 2022 Apport'!$3:$3,0),FALSE))/(S68+T68)),0)</f>
        <v>9854.6601615074032</v>
      </c>
      <c r="W68" s="30">
        <f t="shared" si="8"/>
        <v>8422.1132479746102</v>
      </c>
      <c r="X68">
        <f>VLOOKUP(A68,JanApport,MATCH($X$4,'Jan 2022 Apport'!$3:$3,0),FALSE)</f>
        <v>4.8578999999999997E-2</v>
      </c>
      <c r="Y68">
        <f>VLOOKUP(A68,JanApport,MATCH($Y$4,'Jan 2022 Apport'!$3:$3,0),FALSE)</f>
        <v>4.0270000000000002E-3</v>
      </c>
      <c r="Z68">
        <f>VLOOKUP(A68,JanApport,MATCH($Z$4,'Jan 2022 Apport'!$3:$3,0),FALSE)</f>
        <v>1.7100000000000001E-2</v>
      </c>
      <c r="AA68" s="77">
        <f>VLOOKUP(A68,JanApport,MATCH($AA$4,'Jan 2022 Apport'!$3:$3,0),FALSE)*VLOOKUP(A68,JanApport,MATCH($AA$3,'Jan 2022 Apport'!$3:$3,0),FALSE)</f>
        <v>75695.200000000012</v>
      </c>
      <c r="AB68" s="77">
        <f>VLOOKUP(A68,JanApport,MATCH($AB$4,'Jan 2022 Apport'!$3:$3,0),FALSE)*VLOOKUP(A68,JanApport,MATCH($AB$3,'Jan 2022 Apport'!$3:$3,0),FALSE)</f>
        <v>73073.22</v>
      </c>
      <c r="AC68" s="77">
        <f>VLOOKUP(A68,JanApport,MATCH($AC$4,'Jan 2022 Apport'!$3:$3,0),FALSE)</f>
        <v>100321</v>
      </c>
      <c r="AD68" s="77">
        <f>VLOOKUP(A68,JanApport,MATCH($AD$4,'Jan 2022 Apport'!$3:$3,0),FALSE)*VLOOKUP(A68,JanApport,MATCH($AD$3,'Jan 2022 Apport'!$3:$3,0),FALSE)</f>
        <v>108466.62000000001</v>
      </c>
      <c r="AE68" s="77">
        <f>VLOOKUP(A68,JanApport,MATCH($AE$4,'Jan 2022 Apport'!$3:$3,0),FALSE)</f>
        <v>48483</v>
      </c>
      <c r="AF68" s="77">
        <f>VLOOKUP(A68,JanApport,MATCH($AF$4,'Jan 2022 Apport'!$3:$3,0),FALSE)*VLOOKUP(A68,JanApport,MATCH($AF$3,'Jan 2022 Apport'!$3:$3,0),FALSE)</f>
        <v>52420.18</v>
      </c>
      <c r="AG68" s="77">
        <f t="shared" si="9"/>
        <v>101533.248934</v>
      </c>
      <c r="AH68" s="77">
        <f t="shared" si="4"/>
        <v>144895.57743400004</v>
      </c>
      <c r="AI68" s="77">
        <f t="shared" si="5"/>
        <v>80819.594016556002</v>
      </c>
      <c r="AJ68" s="3">
        <f>VLOOKUP(A68,JanApport,MATCH($AJ$4,'Jan 2022 Apport'!$3:$3,0),FALSE)</f>
        <v>1790199.26</v>
      </c>
      <c r="AK68" s="3">
        <f>VLOOKUP(A68,JanApport,MATCH($AK$4,'Jan 2022 Apport'!$3:$3,0),FALSE)</f>
        <v>37.228999999999999</v>
      </c>
      <c r="AL68" s="117">
        <f t="shared" si="10"/>
        <v>16453046.779999999</v>
      </c>
      <c r="AM68" s="117">
        <f>VLOOKUP(A68,JanApport,MATCH($AM$4,'Jan 2022 Apport'!$3:$3,0),FALSE)</f>
        <v>0</v>
      </c>
      <c r="AN68" s="117">
        <f>VLOOKUP(A68,JanApport,MATCH($AN$4,'Jan 2022 Apport'!$3:$3,0),FALSE)</f>
        <v>122530.37</v>
      </c>
    </row>
    <row r="69" spans="1:40">
      <c r="A69" s="2" t="s">
        <v>525</v>
      </c>
      <c r="B69" s="2" t="s">
        <v>526</v>
      </c>
      <c r="C69" s="2" t="s">
        <v>1267</v>
      </c>
      <c r="D69" s="118">
        <f>VLOOKUP(A69,JanApport,MATCH($D$4,'Jan 2022 Apport'!$3:$3,FALSE),FALSE)</f>
        <v>371271.01</v>
      </c>
      <c r="E69" s="30">
        <f>VLOOKUP(A69,JanApport,MATCH($E$2,'Jan 2022 Apport'!$3:$3,0),FALSE)+VLOOKUP(A69,JanApport,MATCH($E$3,'Jan 2022 Apport'!$3:$3,0),FALSE)+VLOOKUP(A69,JanApport,MATCH($E$4,'Jan 2022 Apport'!$3:$3,0),FALSE)</f>
        <v>0</v>
      </c>
      <c r="F69" s="118">
        <f t="shared" si="11"/>
        <v>371271.01</v>
      </c>
      <c r="G69" s="117">
        <f>VLOOKUP(A69,JanApport,MATCH($G$4,'Jan 2022 Apport'!$3:$3,0),FALSE)</f>
        <v>0</v>
      </c>
      <c r="H69" s="117">
        <f>VLOOKUP(A69,JanApport,MATCH($H$3,'Jan 2022 Apport'!$3:$3,0),FALSE)+VLOOKUP(A69,JanApport,MATCH($H$2,'Jan 2022 Apport'!$3:$3,0),FALSE)+VLOOKUP(A69,JanApport,MATCH($H$4,'Jan 2022 Apport'!$3:$3,0),FALSE)</f>
        <v>15354.87</v>
      </c>
      <c r="I69" s="117">
        <f t="shared" si="13"/>
        <v>15354.87</v>
      </c>
      <c r="J69" s="117">
        <f>VLOOKUP(A69,JanApport,MATCH($J$4,'Jan 2022 Apport'!$3:$3,0),FALSE)</f>
        <v>93165.88</v>
      </c>
      <c r="K69" s="117">
        <f>VLOOKUP(A69,JanApport,MATCH($K$4,'Jan 2022 Apport'!$3:$3,0),FALSE)</f>
        <v>16137.71</v>
      </c>
      <c r="L69" s="117">
        <f t="shared" si="12"/>
        <v>109303.59</v>
      </c>
      <c r="M69" s="117">
        <f>VLOOKUP(A69,JanApport,MATCH($M$4,'Jan 2022 Apport'!$3:$3,0),FALSE)</f>
        <v>17805.93</v>
      </c>
      <c r="N69" s="117">
        <f>VLOOKUP(A69,JanApport,MATCH($N$4,'Jan 2022 Apport'!$3:$3,0),FALSE)</f>
        <v>0</v>
      </c>
      <c r="O69" s="117">
        <f>VLOOKUP(A69,JanApport,MATCH($O$4,'Jan 2022 Apport'!$3:$3,0),FALSE)</f>
        <v>0</v>
      </c>
      <c r="P69" s="121">
        <f>IFERROR((VLOOKUP(A69,ExcessLevy!A:G,3,FALSE)*0.28),0)+IFERROR((VLOOKUP(A69,ExcessLevy!A:G,6,FALSE)*0.72),0)</f>
        <v>0</v>
      </c>
      <c r="Q69" s="121">
        <f>IFERROR((VLOOKUP(A69,ExcessLevy!A:G,4,FALSE)*0.4738),0)+IFERROR((VLOOKUP(A69,ExcessLevy!A:G,7,FALSE)*0.5262),0)</f>
        <v>107046.67980000001</v>
      </c>
      <c r="R69">
        <f>VLOOKUP(A69,JanApport,MATCH($R$4,'Jan 2022 Apport'!$3:$3,0),FALSE)</f>
        <v>0</v>
      </c>
      <c r="S69">
        <f>VLOOKUP(A69,JanApport,MATCH($S$4,'Jan 2022 Apport'!$3:$3,0),FALSE)</f>
        <v>0</v>
      </c>
      <c r="T69">
        <f>VLOOKUP(A69,JanApport,MATCH($T$4,'Jan 2022 Apport'!$3:$3,0),FALSE)</f>
        <v>0</v>
      </c>
      <c r="U69" s="132">
        <f>IFERROR(VLOOKUP(A69,JanApport,MATCH($U$4,'Jan 2022 Apport'!$3:$3,0),FALSE)/R69,0)</f>
        <v>0</v>
      </c>
      <c r="V69" s="30">
        <f>IFERROR(((VLOOKUP(A69,JanApport,MATCH($V$4,'Jan 2022 Apport'!$3:$3,0),FALSE)+VLOOKUP(A69,JanApport,MATCH($V$3,'Jan 2022 Apport'!$3:$3,0),FALSE))/(S69+T69)),0)</f>
        <v>0</v>
      </c>
      <c r="W69" s="30">
        <f t="shared" si="8"/>
        <v>2452.5713248960005</v>
      </c>
      <c r="X69">
        <f>VLOOKUP(A69,JanApport,MATCH($X$4,'Jan 2022 Apport'!$3:$3,0),FALSE)</f>
        <v>4.8578999999999997E-2</v>
      </c>
      <c r="Y69">
        <f>VLOOKUP(A69,JanApport,MATCH($Y$4,'Jan 2022 Apport'!$3:$3,0),FALSE)</f>
        <v>4.0270000000000002E-3</v>
      </c>
      <c r="Z69">
        <f>VLOOKUP(A69,JanApport,MATCH($Z$4,'Jan 2022 Apport'!$3:$3,0),FALSE)</f>
        <v>1.7100000000000001E-2</v>
      </c>
      <c r="AA69" s="77">
        <f>VLOOKUP(A69,JanApport,MATCH($AA$4,'Jan 2022 Apport'!$3:$3,0),FALSE)*VLOOKUP(A69,JanApport,MATCH($AA$3,'Jan 2022 Apport'!$3:$3,0),FALSE)</f>
        <v>67585</v>
      </c>
      <c r="AB69" s="77">
        <f>VLOOKUP(A69,JanApport,MATCH($AB$4,'Jan 2022 Apport'!$3:$3,0),FALSE)*VLOOKUP(A69,JanApport,MATCH($AB$3,'Jan 2022 Apport'!$3:$3,0),FALSE)</f>
        <v>0</v>
      </c>
      <c r="AC69" s="77">
        <f>VLOOKUP(A69,JanApport,MATCH($AC$4,'Jan 2022 Apport'!$3:$3,0),FALSE)</f>
        <v>0</v>
      </c>
      <c r="AD69" s="77">
        <f>VLOOKUP(A69,JanApport,MATCH($AD$4,'Jan 2022 Apport'!$3:$3,0),FALSE)*VLOOKUP(A69,JanApport,MATCH($AD$3,'Jan 2022 Apport'!$3:$3,0),FALSE)</f>
        <v>0</v>
      </c>
      <c r="AE69" s="77">
        <f>VLOOKUP(A69,JanApport,MATCH($AE$4,'Jan 2022 Apport'!$3:$3,0),FALSE)</f>
        <v>0</v>
      </c>
      <c r="AF69" s="77">
        <f>VLOOKUP(A69,JanApport,MATCH($AF$4,'Jan 2022 Apport'!$3:$3,0),FALSE)*VLOOKUP(A69,JanApport,MATCH($AF$3,'Jan 2022 Apport'!$3:$3,0),FALSE)</f>
        <v>0</v>
      </c>
      <c r="AG69" s="77">
        <f t="shared" si="9"/>
        <v>12280.864000000009</v>
      </c>
      <c r="AH69" s="77">
        <f t="shared" si="4"/>
        <v>11848.32</v>
      </c>
      <c r="AI69" s="77">
        <f t="shared" si="5"/>
        <v>16610.88</v>
      </c>
      <c r="AJ69" s="3">
        <f>VLOOKUP(A69,JanApport,MATCH($AJ$4,'Jan 2022 Apport'!$3:$3,0),FALSE)</f>
        <v>41274.620000000003</v>
      </c>
      <c r="AK69" s="3">
        <f>VLOOKUP(A69,JanApport,MATCH($AK$4,'Jan 2022 Apport'!$3:$3,0),FALSE)</f>
        <v>0.85599999999999998</v>
      </c>
      <c r="AL69" s="117">
        <f t="shared" si="10"/>
        <v>490363.10000000003</v>
      </c>
      <c r="AM69" s="117">
        <f>VLOOKUP(A69,JanApport,MATCH($AM$4,'Jan 2022 Apport'!$3:$3,0),FALSE)</f>
        <v>8120.28</v>
      </c>
      <c r="AN69" s="117">
        <f>VLOOKUP(A69,JanApport,MATCH($AN$4,'Jan 2022 Apport'!$3:$3,0),FALSE)</f>
        <v>3352.03</v>
      </c>
    </row>
    <row r="70" spans="1:40">
      <c r="A70" s="2" t="s">
        <v>469</v>
      </c>
      <c r="B70" s="2" t="s">
        <v>470</v>
      </c>
      <c r="C70" s="2" t="s">
        <v>1267</v>
      </c>
      <c r="D70" s="118">
        <f>VLOOKUP(A70,JanApport,MATCH($D$4,'Jan 2022 Apport'!$3:$3,FALSE),FALSE)</f>
        <v>31286079.690000001</v>
      </c>
      <c r="E70" s="30">
        <f>VLOOKUP(A70,JanApport,MATCH($E$2,'Jan 2022 Apport'!$3:$3,0),FALSE)+VLOOKUP(A70,JanApport,MATCH($E$3,'Jan 2022 Apport'!$3:$3,0),FALSE)+VLOOKUP(A70,JanApport,MATCH($E$4,'Jan 2022 Apport'!$3:$3,0),FALSE)</f>
        <v>2211274.87</v>
      </c>
      <c r="F70" s="118">
        <f t="shared" si="11"/>
        <v>29074804.82</v>
      </c>
      <c r="G70" s="117">
        <f>VLOOKUP(A70,JanApport,MATCH($G$4,'Jan 2022 Apport'!$3:$3,0),FALSE)</f>
        <v>552194.32999999996</v>
      </c>
      <c r="H70" s="117">
        <f>VLOOKUP(A70,JanApport,MATCH($H$3,'Jan 2022 Apport'!$3:$3,0),FALSE)+VLOOKUP(A70,JanApport,MATCH($H$2,'Jan 2022 Apport'!$3:$3,0),FALSE)+VLOOKUP(A70,JanApport,MATCH($H$4,'Jan 2022 Apport'!$3:$3,0),FALSE)</f>
        <v>4277581.1999999993</v>
      </c>
      <c r="I70" s="117">
        <f t="shared" si="13"/>
        <v>4829775.5299999993</v>
      </c>
      <c r="J70" s="117">
        <f>VLOOKUP(A70,JanApport,MATCH($J$4,'Jan 2022 Apport'!$3:$3,0),FALSE)</f>
        <v>2369153.5299999998</v>
      </c>
      <c r="K70" s="117">
        <f>VLOOKUP(A70,JanApport,MATCH($K$4,'Jan 2022 Apport'!$3:$3,0),FALSE)</f>
        <v>285373.21999999997</v>
      </c>
      <c r="L70" s="117">
        <f t="shared" si="12"/>
        <v>2654526.75</v>
      </c>
      <c r="M70" s="117">
        <f>VLOOKUP(A70,JanApport,MATCH($M$4,'Jan 2022 Apport'!$3:$3,0),FALSE)</f>
        <v>1236954.79</v>
      </c>
      <c r="N70" s="117">
        <f>VLOOKUP(A70,JanApport,MATCH($N$4,'Jan 2022 Apport'!$3:$3,0),FALSE)</f>
        <v>158062.07999999999</v>
      </c>
      <c r="O70" s="117">
        <f>VLOOKUP(A70,JanApport,MATCH($O$4,'Jan 2022 Apport'!$3:$3,0),FALSE)</f>
        <v>102067.01</v>
      </c>
      <c r="P70" s="121">
        <f>IFERROR((VLOOKUP(A70,ExcessLevy!A:G,3,FALSE)*0.28),0)+IFERROR((VLOOKUP(A70,ExcessLevy!A:G,6,FALSE)*0.72),0)</f>
        <v>58975.691600000006</v>
      </c>
      <c r="Q70" s="121">
        <f>IFERROR((VLOOKUP(A70,ExcessLevy!A:G,4,FALSE)*0.4738),0)+IFERROR((VLOOKUP(A70,ExcessLevy!A:G,7,FALSE)*0.5262),0)</f>
        <v>10468593.1074</v>
      </c>
      <c r="R70">
        <f>VLOOKUP(A70,JanApport,MATCH($R$4,'Jan 2022 Apport'!$3:$3,0),FALSE)</f>
        <v>0</v>
      </c>
      <c r="S70">
        <f>VLOOKUP(A70,JanApport,MATCH($S$4,'Jan 2022 Apport'!$3:$3,0),FALSE)</f>
        <v>30.59</v>
      </c>
      <c r="T70">
        <f>VLOOKUP(A70,JanApport,MATCH($T$4,'Jan 2022 Apport'!$3:$3,0),FALSE)</f>
        <v>212.13</v>
      </c>
      <c r="U70" s="132">
        <f>IFERROR(VLOOKUP(A70,JanApport,MATCH($U$4,'Jan 2022 Apport'!$3:$3,0),FALSE)/R70,0)</f>
        <v>0</v>
      </c>
      <c r="V70" s="30">
        <f>IFERROR(((VLOOKUP(A70,JanApport,MATCH($V$4,'Jan 2022 Apport'!$3:$3,0),FALSE)+VLOOKUP(A70,JanApport,MATCH($V$3,'Jan 2022 Apport'!$3:$3,0),FALSE))/(S70+T70)),0)</f>
        <v>9110.3941578773902</v>
      </c>
      <c r="W70" s="30">
        <f t="shared" si="8"/>
        <v>8083.6246967786601</v>
      </c>
      <c r="X70">
        <f>VLOOKUP(A70,JanApport,MATCH($X$4,'Jan 2022 Apport'!$3:$3,0),FALSE)</f>
        <v>4.8578999999999997E-2</v>
      </c>
      <c r="Y70">
        <f>VLOOKUP(A70,JanApport,MATCH($Y$4,'Jan 2022 Apport'!$3:$3,0),FALSE)</f>
        <v>4.0270000000000002E-3</v>
      </c>
      <c r="Z70">
        <f>VLOOKUP(A70,JanApport,MATCH($Z$4,'Jan 2022 Apport'!$3:$3,0),FALSE)</f>
        <v>1.7100000000000001E-2</v>
      </c>
      <c r="AA70" s="77">
        <f>VLOOKUP(A70,JanApport,MATCH($AA$4,'Jan 2022 Apport'!$3:$3,0),FALSE)*VLOOKUP(A70,JanApport,MATCH($AA$3,'Jan 2022 Apport'!$3:$3,0),FALSE)</f>
        <v>67585</v>
      </c>
      <c r="AB70" s="77">
        <f>VLOOKUP(A70,JanApport,MATCH($AB$4,'Jan 2022 Apport'!$3:$3,0),FALSE)*VLOOKUP(A70,JanApport,MATCH($AB$3,'Jan 2022 Apport'!$3:$3,0),FALSE)</f>
        <v>68937</v>
      </c>
      <c r="AC70" s="77">
        <f>VLOOKUP(A70,JanApport,MATCH($AC$4,'Jan 2022 Apport'!$3:$3,0),FALSE)</f>
        <v>100321</v>
      </c>
      <c r="AD70" s="77">
        <f>VLOOKUP(A70,JanApport,MATCH($AD$4,'Jan 2022 Apport'!$3:$3,0),FALSE)*VLOOKUP(A70,JanApport,MATCH($AD$3,'Jan 2022 Apport'!$3:$3,0),FALSE)</f>
        <v>102327</v>
      </c>
      <c r="AE70" s="77">
        <f>VLOOKUP(A70,JanApport,MATCH($AE$4,'Jan 2022 Apport'!$3:$3,0),FALSE)</f>
        <v>48483</v>
      </c>
      <c r="AF70" s="77">
        <f>VLOOKUP(A70,JanApport,MATCH($AF$4,'Jan 2022 Apport'!$3:$3,0),FALSE)*VLOOKUP(A70,JanApport,MATCH($AF$3,'Jan 2022 Apport'!$3:$3,0),FALSE)</f>
        <v>49453</v>
      </c>
      <c r="AG70" s="77">
        <f t="shared" si="9"/>
        <v>96432.259900000005</v>
      </c>
      <c r="AH70" s="77">
        <f t="shared" si="4"/>
        <v>137400.94330000001</v>
      </c>
      <c r="AI70" s="77">
        <f t="shared" si="5"/>
        <v>77281.189732599989</v>
      </c>
      <c r="AJ70" s="3">
        <f>VLOOKUP(A70,JanApport,MATCH($AJ$4,'Jan 2022 Apport'!$3:$3,0),FALSE)</f>
        <v>4021294.13</v>
      </c>
      <c r="AK70" s="3">
        <f>VLOOKUP(A70,JanApport,MATCH($AK$4,'Jan 2022 Apport'!$3:$3,0),FALSE)</f>
        <v>66.311999999999998</v>
      </c>
      <c r="AL70" s="117">
        <f t="shared" si="10"/>
        <v>40554295.609999999</v>
      </c>
      <c r="AM70" s="117">
        <f>VLOOKUP(A70,JanApport,MATCH($AM$4,'Jan 2022 Apport'!$3:$3,0),FALSE)</f>
        <v>572202.98</v>
      </c>
      <c r="AN70" s="117">
        <f>VLOOKUP(A70,JanApport,MATCH($AN$4,'Jan 2022 Apport'!$3:$3,0),FALSE)</f>
        <v>232250.89</v>
      </c>
    </row>
    <row r="71" spans="1:40">
      <c r="A71" s="2" t="s">
        <v>587</v>
      </c>
      <c r="B71" s="2" t="s">
        <v>588</v>
      </c>
      <c r="C71" s="2" t="s">
        <v>1267</v>
      </c>
      <c r="D71" s="118">
        <f>VLOOKUP(A71,JanApport,MATCH($D$4,'Jan 2022 Apport'!$3:$3,FALSE),FALSE)</f>
        <v>28413829.440000001</v>
      </c>
      <c r="E71" s="30">
        <f>VLOOKUP(A71,JanApport,MATCH($E$2,'Jan 2022 Apport'!$3:$3,0),FALSE)+VLOOKUP(A71,JanApport,MATCH($E$3,'Jan 2022 Apport'!$3:$3,0),FALSE)+VLOOKUP(A71,JanApport,MATCH($E$4,'Jan 2022 Apport'!$3:$3,0),FALSE)</f>
        <v>1842093.51</v>
      </c>
      <c r="F71" s="118">
        <f t="shared" si="11"/>
        <v>26571735.93</v>
      </c>
      <c r="G71" s="117">
        <f>VLOOKUP(A71,JanApport,MATCH($G$4,'Jan 2022 Apport'!$3:$3,0),FALSE)</f>
        <v>347573.64</v>
      </c>
      <c r="H71" s="117">
        <f>VLOOKUP(A71,JanApport,MATCH($H$3,'Jan 2022 Apport'!$3:$3,0),FALSE)+VLOOKUP(A71,JanApport,MATCH($H$2,'Jan 2022 Apport'!$3:$3,0),FALSE)+VLOOKUP(A71,JanApport,MATCH($H$4,'Jan 2022 Apport'!$3:$3,0),FALSE)</f>
        <v>3279153.06</v>
      </c>
      <c r="I71" s="117">
        <f t="shared" si="13"/>
        <v>3626726.7</v>
      </c>
      <c r="J71" s="117">
        <f>VLOOKUP(A71,JanApport,MATCH($J$4,'Jan 2022 Apport'!$3:$3,0),FALSE)</f>
        <v>1741929.14</v>
      </c>
      <c r="K71" s="117">
        <f>VLOOKUP(A71,JanApport,MATCH($K$4,'Jan 2022 Apport'!$3:$3,0),FALSE)</f>
        <v>161354.32</v>
      </c>
      <c r="L71" s="117">
        <f t="shared" si="12"/>
        <v>1903283.46</v>
      </c>
      <c r="M71" s="117">
        <f>VLOOKUP(A71,JanApport,MATCH($M$4,'Jan 2022 Apport'!$3:$3,0),FALSE)</f>
        <v>1088020.6200000001</v>
      </c>
      <c r="N71" s="117">
        <f>VLOOKUP(A71,JanApport,MATCH($N$4,'Jan 2022 Apport'!$3:$3,0),FALSE)</f>
        <v>541026.35</v>
      </c>
      <c r="O71" s="117">
        <f>VLOOKUP(A71,JanApport,MATCH($O$4,'Jan 2022 Apport'!$3:$3,0),FALSE)</f>
        <v>91769.03</v>
      </c>
      <c r="P71" s="121">
        <f>IFERROR((VLOOKUP(A71,ExcessLevy!A:G,3,FALSE)*0.28),0)+IFERROR((VLOOKUP(A71,ExcessLevy!A:G,6,FALSE)*0.72),0)</f>
        <v>2019231.4164</v>
      </c>
      <c r="Q71" s="121">
        <f>IFERROR((VLOOKUP(A71,ExcessLevy!A:G,4,FALSE)*0.4738),0)+IFERROR((VLOOKUP(A71,ExcessLevy!A:G,7,FALSE)*0.5262),0)</f>
        <v>3961401.0224000001</v>
      </c>
      <c r="R71">
        <f>VLOOKUP(A71,JanApport,MATCH($R$4,'Jan 2022 Apport'!$3:$3,0),FALSE)</f>
        <v>0</v>
      </c>
      <c r="S71">
        <f>VLOOKUP(A71,JanApport,MATCH($S$4,'Jan 2022 Apport'!$3:$3,0),FALSE)</f>
        <v>24.9</v>
      </c>
      <c r="T71">
        <f>VLOOKUP(A71,JanApport,MATCH($T$4,'Jan 2022 Apport'!$3:$3,0),FALSE)</f>
        <v>181.58</v>
      </c>
      <c r="U71" s="132">
        <f>IFERROR(VLOOKUP(A71,JanApport,MATCH($U$4,'Jan 2022 Apport'!$3:$3,0),FALSE)/R71,0)</f>
        <v>0</v>
      </c>
      <c r="V71" s="30">
        <f>IFERROR(((VLOOKUP(A71,JanApport,MATCH($V$4,'Jan 2022 Apport'!$3:$3,0),FALSE)+VLOOKUP(A71,JanApport,MATCH($V$3,'Jan 2022 Apport'!$3:$3,0),FALSE))/(S71+T71)),0)</f>
        <v>8921.4137446726072</v>
      </c>
      <c r="W71" s="30">
        <f t="shared" ref="W71:W134" si="14">(AG71*X71)+(AH71*Y71)+(AI71*Z71)+(MSOC+MSOC912ehc)</f>
        <v>8083.6246967786601</v>
      </c>
      <c r="X71">
        <f>VLOOKUP(A71,JanApport,MATCH($X$4,'Jan 2022 Apport'!$3:$3,0),FALSE)</f>
        <v>4.8578999999999997E-2</v>
      </c>
      <c r="Y71">
        <f>VLOOKUP(A71,JanApport,MATCH($Y$4,'Jan 2022 Apport'!$3:$3,0),FALSE)</f>
        <v>4.0270000000000002E-3</v>
      </c>
      <c r="Z71">
        <f>VLOOKUP(A71,JanApport,MATCH($Z$4,'Jan 2022 Apport'!$3:$3,0),FALSE)</f>
        <v>1.7100000000000001E-2</v>
      </c>
      <c r="AA71" s="77">
        <f>VLOOKUP(A71,JanApport,MATCH($AA$4,'Jan 2022 Apport'!$3:$3,0),FALSE)*VLOOKUP(A71,JanApport,MATCH($AA$3,'Jan 2022 Apport'!$3:$3,0),FALSE)</f>
        <v>67585</v>
      </c>
      <c r="AB71" s="77">
        <f>VLOOKUP(A71,JanApport,MATCH($AB$4,'Jan 2022 Apport'!$3:$3,0),FALSE)*VLOOKUP(A71,JanApport,MATCH($AB$3,'Jan 2022 Apport'!$3:$3,0),FALSE)</f>
        <v>68937</v>
      </c>
      <c r="AC71" s="77">
        <f>VLOOKUP(A71,JanApport,MATCH($AC$4,'Jan 2022 Apport'!$3:$3,0),FALSE)</f>
        <v>100321</v>
      </c>
      <c r="AD71" s="77">
        <f>VLOOKUP(A71,JanApport,MATCH($AD$4,'Jan 2022 Apport'!$3:$3,0),FALSE)*VLOOKUP(A71,JanApport,MATCH($AD$3,'Jan 2022 Apport'!$3:$3,0),FALSE)</f>
        <v>102327</v>
      </c>
      <c r="AE71" s="77">
        <f>VLOOKUP(A71,JanApport,MATCH($AE$4,'Jan 2022 Apport'!$3:$3,0),FALSE)</f>
        <v>48483</v>
      </c>
      <c r="AF71" s="77">
        <f>VLOOKUP(A71,JanApport,MATCH($AF$4,'Jan 2022 Apport'!$3:$3,0),FALSE)*VLOOKUP(A71,JanApport,MATCH($AF$3,'Jan 2022 Apport'!$3:$3,0),FALSE)</f>
        <v>49453</v>
      </c>
      <c r="AG71" s="77">
        <f t="shared" ref="AG71:AG134" si="15">(AA71*(1+CertMaint))+((AB71-AA71)*(1+CertInc))+(Insrate*Certinsfactor*12)</f>
        <v>96432.259900000005</v>
      </c>
      <c r="AH71" s="77">
        <f t="shared" ref="AH71:AH134" si="16">(AC71*(1+CertMaint))+((AD71-AC71)*(1+CertInc))+(Insrate*Certinsfactor*12)</f>
        <v>137400.94330000001</v>
      </c>
      <c r="AI71" s="77">
        <f t="shared" ref="AI71:AI134" si="17">(AE71*(1+ClassMaint))+((AF71-AE71)*(1+ClassInc))+(Insrate*Classinsfactor*12)</f>
        <v>77281.189732599989</v>
      </c>
      <c r="AJ71" s="3">
        <f>VLOOKUP(A71,JanApport,MATCH($AJ$4,'Jan 2022 Apport'!$3:$3,0),FALSE)</f>
        <v>4162909.62</v>
      </c>
      <c r="AK71" s="3">
        <f>VLOOKUP(A71,JanApport,MATCH($AK$4,'Jan 2022 Apport'!$3:$3,0),FALSE)</f>
        <v>66.049000000000007</v>
      </c>
      <c r="AL71" s="117">
        <f t="shared" ref="AL71:AL134" si="18">SUM(F71+J71+M71+N71+O71+E71+AM71)+VLOOKUP(A71,SpEd_Apport,4,FALSE)</f>
        <v>36402305.090000004</v>
      </c>
      <c r="AM71" s="117">
        <f>VLOOKUP(A71,JanApport,MATCH($AM$4,'Jan 2022 Apport'!$3:$3,0),FALSE)</f>
        <v>899003.81</v>
      </c>
      <c r="AN71" s="117">
        <f>VLOOKUP(A71,JanApport,MATCH($AN$4,'Jan 2022 Apport'!$3:$3,0),FALSE)</f>
        <v>229208.76</v>
      </c>
    </row>
    <row r="72" spans="1:40">
      <c r="A72" s="2" t="s">
        <v>95</v>
      </c>
      <c r="B72" s="2" t="s">
        <v>96</v>
      </c>
      <c r="C72" s="2" t="s">
        <v>1267</v>
      </c>
      <c r="D72" s="118">
        <f>VLOOKUP(A72,JanApport,MATCH($D$4,'Jan 2022 Apport'!$3:$3,FALSE),FALSE)</f>
        <v>50079695.93</v>
      </c>
      <c r="E72" s="30">
        <f>VLOOKUP(A72,JanApport,MATCH($E$2,'Jan 2022 Apport'!$3:$3,0),FALSE)+VLOOKUP(A72,JanApport,MATCH($E$3,'Jan 2022 Apport'!$3:$3,0),FALSE)+VLOOKUP(A72,JanApport,MATCH($E$4,'Jan 2022 Apport'!$3:$3,0),FALSE)</f>
        <v>4248087.07</v>
      </c>
      <c r="F72" s="118">
        <f t="shared" si="11"/>
        <v>45831608.859999999</v>
      </c>
      <c r="G72" s="117">
        <f>VLOOKUP(A72,JanApport,MATCH($G$4,'Jan 2022 Apport'!$3:$3,0),FALSE)</f>
        <v>526386.92000000004</v>
      </c>
      <c r="H72" s="117">
        <f>VLOOKUP(A72,JanApport,MATCH($H$3,'Jan 2022 Apport'!$3:$3,0),FALSE)+VLOOKUP(A72,JanApport,MATCH($H$2,'Jan 2022 Apport'!$3:$3,0),FALSE)+VLOOKUP(A72,JanApport,MATCH($H$4,'Jan 2022 Apport'!$3:$3,0),FALSE)</f>
        <v>5586464.1600000001</v>
      </c>
      <c r="I72" s="117">
        <f t="shared" si="13"/>
        <v>6112851.0800000001</v>
      </c>
      <c r="J72" s="117">
        <f>VLOOKUP(A72,JanApport,MATCH($J$4,'Jan 2022 Apport'!$3:$3,0),FALSE)</f>
        <v>1868527.5</v>
      </c>
      <c r="K72" s="117">
        <f>VLOOKUP(A72,JanApport,MATCH($K$4,'Jan 2022 Apport'!$3:$3,0),FALSE)</f>
        <v>311444.77</v>
      </c>
      <c r="L72" s="117">
        <f t="shared" si="12"/>
        <v>2179972.27</v>
      </c>
      <c r="M72" s="117">
        <f>VLOOKUP(A72,JanApport,MATCH($M$4,'Jan 2022 Apport'!$3:$3,0),FALSE)</f>
        <v>2137983.52</v>
      </c>
      <c r="N72" s="117">
        <f>VLOOKUP(A72,JanApport,MATCH($N$4,'Jan 2022 Apport'!$3:$3,0),FALSE)</f>
        <v>1675616.34</v>
      </c>
      <c r="O72" s="117">
        <f>VLOOKUP(A72,JanApport,MATCH($O$4,'Jan 2022 Apport'!$3:$3,0),FALSE)</f>
        <v>163971.1</v>
      </c>
      <c r="P72" s="121">
        <f>IFERROR((VLOOKUP(A72,ExcessLevy!A:G,3,FALSE)*0.28),0)+IFERROR((VLOOKUP(A72,ExcessLevy!A:G,6,FALSE)*0.72),0)</f>
        <v>1596681.7464000001</v>
      </c>
      <c r="Q72" s="121">
        <f>IFERROR((VLOOKUP(A72,ExcessLevy!A:G,4,FALSE)*0.4738),0)+IFERROR((VLOOKUP(A72,ExcessLevy!A:G,7,FALSE)*0.5262),0)</f>
        <v>10799830.001399999</v>
      </c>
      <c r="R72">
        <f>VLOOKUP(A72,JanApport,MATCH($R$4,'Jan 2022 Apport'!$3:$3,0),FALSE)</f>
        <v>0</v>
      </c>
      <c r="S72">
        <f>VLOOKUP(A72,JanApport,MATCH($S$4,'Jan 2022 Apport'!$3:$3,0),FALSE)</f>
        <v>131.41999999999999</v>
      </c>
      <c r="T72">
        <f>VLOOKUP(A72,JanApport,MATCH($T$4,'Jan 2022 Apport'!$3:$3,0),FALSE)</f>
        <v>344.87</v>
      </c>
      <c r="U72" s="132">
        <f>IFERROR(VLOOKUP(A72,JanApport,MATCH($U$4,'Jan 2022 Apport'!$3:$3,0),FALSE)/R72,0)</f>
        <v>0</v>
      </c>
      <c r="V72" s="30">
        <f>IFERROR(((VLOOKUP(A72,JanApport,MATCH($V$4,'Jan 2022 Apport'!$3:$3,0),FALSE)+VLOOKUP(A72,JanApport,MATCH($V$3,'Jan 2022 Apport'!$3:$3,0),FALSE))/(S72+T72)),0)</f>
        <v>8919.118751181004</v>
      </c>
      <c r="W72" s="30">
        <f t="shared" si="14"/>
        <v>8083.6246967786601</v>
      </c>
      <c r="X72">
        <f>VLOOKUP(A72,JanApport,MATCH($X$4,'Jan 2022 Apport'!$3:$3,0),FALSE)</f>
        <v>4.8578999999999997E-2</v>
      </c>
      <c r="Y72">
        <f>VLOOKUP(A72,JanApport,MATCH($Y$4,'Jan 2022 Apport'!$3:$3,0),FALSE)</f>
        <v>4.0270000000000002E-3</v>
      </c>
      <c r="Z72">
        <f>VLOOKUP(A72,JanApport,MATCH($Z$4,'Jan 2022 Apport'!$3:$3,0),FALSE)</f>
        <v>1.7100000000000001E-2</v>
      </c>
      <c r="AA72" s="77">
        <f>VLOOKUP(A72,JanApport,MATCH($AA$4,'Jan 2022 Apport'!$3:$3,0),FALSE)*VLOOKUP(A72,JanApport,MATCH($AA$3,'Jan 2022 Apport'!$3:$3,0),FALSE)</f>
        <v>67585</v>
      </c>
      <c r="AB72" s="77">
        <f>VLOOKUP(A72,JanApport,MATCH($AB$4,'Jan 2022 Apport'!$3:$3,0),FALSE)*VLOOKUP(A72,JanApport,MATCH($AB$3,'Jan 2022 Apport'!$3:$3,0),FALSE)</f>
        <v>68937</v>
      </c>
      <c r="AC72" s="77">
        <f>VLOOKUP(A72,JanApport,MATCH($AC$4,'Jan 2022 Apport'!$3:$3,0),FALSE)</f>
        <v>100321</v>
      </c>
      <c r="AD72" s="77">
        <f>VLOOKUP(A72,JanApport,MATCH($AD$4,'Jan 2022 Apport'!$3:$3,0),FALSE)*VLOOKUP(A72,JanApport,MATCH($AD$3,'Jan 2022 Apport'!$3:$3,0),FALSE)</f>
        <v>102327</v>
      </c>
      <c r="AE72" s="77">
        <f>VLOOKUP(A72,JanApport,MATCH($AE$4,'Jan 2022 Apport'!$3:$3,0),FALSE)</f>
        <v>48483</v>
      </c>
      <c r="AF72" s="77">
        <f>VLOOKUP(A72,JanApport,MATCH($AF$4,'Jan 2022 Apport'!$3:$3,0),FALSE)*VLOOKUP(A72,JanApport,MATCH($AF$3,'Jan 2022 Apport'!$3:$3,0),FALSE)</f>
        <v>49453</v>
      </c>
      <c r="AG72" s="77">
        <f t="shared" si="15"/>
        <v>96432.259900000005</v>
      </c>
      <c r="AH72" s="77">
        <f t="shared" si="16"/>
        <v>137400.94330000001</v>
      </c>
      <c r="AI72" s="77">
        <f t="shared" si="17"/>
        <v>77281.189732599989</v>
      </c>
      <c r="AJ72" s="3">
        <f>VLOOKUP(A72,JanApport,MATCH($AJ$4,'Jan 2022 Apport'!$3:$3,0),FALSE)</f>
        <v>7004570.6399999997</v>
      </c>
      <c r="AK72" s="3">
        <f>VLOOKUP(A72,JanApport,MATCH($AK$4,'Jan 2022 Apport'!$3:$3,0),FALSE)</f>
        <v>100.15900000000001</v>
      </c>
      <c r="AL72" s="117">
        <f t="shared" si="18"/>
        <v>63599795.110000007</v>
      </c>
      <c r="AM72" s="117">
        <f>VLOOKUP(A72,JanApport,MATCH($AM$4,'Jan 2022 Apport'!$3:$3,0),FALSE)</f>
        <v>1561149.64</v>
      </c>
      <c r="AN72" s="117">
        <f>VLOOKUP(A72,JanApport,MATCH($AN$4,'Jan 2022 Apport'!$3:$3,0),FALSE)</f>
        <v>374813.13</v>
      </c>
    </row>
    <row r="73" spans="1:40">
      <c r="A73" s="2" t="s">
        <v>241</v>
      </c>
      <c r="B73" s="2" t="s">
        <v>242</v>
      </c>
      <c r="C73" s="2" t="s">
        <v>1267</v>
      </c>
      <c r="D73" s="118">
        <f>VLOOKUP(A73,JanApport,MATCH($D$4,'Jan 2022 Apport'!$3:$3,FALSE),FALSE)</f>
        <v>1953568.77</v>
      </c>
      <c r="E73" s="30">
        <f>VLOOKUP(A73,JanApport,MATCH($E$2,'Jan 2022 Apport'!$3:$3,0),FALSE)+VLOOKUP(A73,JanApport,MATCH($E$3,'Jan 2022 Apport'!$3:$3,0),FALSE)+VLOOKUP(A73,JanApport,MATCH($E$4,'Jan 2022 Apport'!$3:$3,0),FALSE)</f>
        <v>0</v>
      </c>
      <c r="F73" s="118">
        <f t="shared" si="11"/>
        <v>1953568.77</v>
      </c>
      <c r="G73" s="117">
        <f>VLOOKUP(A73,JanApport,MATCH($G$4,'Jan 2022 Apport'!$3:$3,0),FALSE)</f>
        <v>28844.42</v>
      </c>
      <c r="H73" s="117">
        <f>VLOOKUP(A73,JanApport,MATCH($H$3,'Jan 2022 Apport'!$3:$3,0),FALSE)+VLOOKUP(A73,JanApport,MATCH($H$2,'Jan 2022 Apport'!$3:$3,0),FALSE)+VLOOKUP(A73,JanApport,MATCH($H$4,'Jan 2022 Apport'!$3:$3,0),FALSE)</f>
        <v>64908.07</v>
      </c>
      <c r="I73" s="117">
        <f t="shared" si="13"/>
        <v>93752.489999999991</v>
      </c>
      <c r="J73" s="117">
        <f>VLOOKUP(A73,JanApport,MATCH($J$4,'Jan 2022 Apport'!$3:$3,0),FALSE)</f>
        <v>111591.12</v>
      </c>
      <c r="K73" s="117">
        <f>VLOOKUP(A73,JanApport,MATCH($K$4,'Jan 2022 Apport'!$3:$3,0),FALSE)</f>
        <v>40032.800000000003</v>
      </c>
      <c r="L73" s="117">
        <f t="shared" si="12"/>
        <v>151623.91999999998</v>
      </c>
      <c r="M73" s="117">
        <f>VLOOKUP(A73,JanApport,MATCH($M$4,'Jan 2022 Apport'!$3:$3,0),FALSE)</f>
        <v>41286.28</v>
      </c>
      <c r="N73" s="117">
        <f>VLOOKUP(A73,JanApport,MATCH($N$4,'Jan 2022 Apport'!$3:$3,0),FALSE)</f>
        <v>13990.37</v>
      </c>
      <c r="O73" s="117">
        <f>VLOOKUP(A73,JanApport,MATCH($O$4,'Jan 2022 Apport'!$3:$3,0),FALSE)</f>
        <v>0</v>
      </c>
      <c r="P73" s="121">
        <f>IFERROR((VLOOKUP(A73,ExcessLevy!A:G,3,FALSE)*0.28),0)+IFERROR((VLOOKUP(A73,ExcessLevy!A:G,6,FALSE)*0.72),0)</f>
        <v>0</v>
      </c>
      <c r="Q73" s="121">
        <f>IFERROR((VLOOKUP(A73,ExcessLevy!A:G,4,FALSE)*0.4738),0)+IFERROR((VLOOKUP(A73,ExcessLevy!A:G,7,FALSE)*0.5262),0)</f>
        <v>251923.133</v>
      </c>
      <c r="R73">
        <f>VLOOKUP(A73,JanApport,MATCH($R$4,'Jan 2022 Apport'!$3:$3,0),FALSE)</f>
        <v>0</v>
      </c>
      <c r="S73">
        <f>VLOOKUP(A73,JanApport,MATCH($S$4,'Jan 2022 Apport'!$3:$3,0),FALSE)</f>
        <v>0</v>
      </c>
      <c r="T73">
        <f>VLOOKUP(A73,JanApport,MATCH($T$4,'Jan 2022 Apport'!$3:$3,0),FALSE)</f>
        <v>0</v>
      </c>
      <c r="U73" s="132">
        <f>IFERROR(VLOOKUP(A73,JanApport,MATCH($U$4,'Jan 2022 Apport'!$3:$3,0),FALSE)/R73,0)</f>
        <v>0</v>
      </c>
      <c r="V73" s="30">
        <f>IFERROR(((VLOOKUP(A73,JanApport,MATCH($V$4,'Jan 2022 Apport'!$3:$3,0),FALSE)+VLOOKUP(A73,JanApport,MATCH($V$3,'Jan 2022 Apport'!$3:$3,0),FALSE))/(S73+T73)),0)</f>
        <v>0</v>
      </c>
      <c r="W73" s="30">
        <f t="shared" si="14"/>
        <v>2452.5713248960005</v>
      </c>
      <c r="X73">
        <f>VLOOKUP(A73,JanApport,MATCH($X$4,'Jan 2022 Apport'!$3:$3,0),FALSE)</f>
        <v>4.8578999999999997E-2</v>
      </c>
      <c r="Y73">
        <f>VLOOKUP(A73,JanApport,MATCH($Y$4,'Jan 2022 Apport'!$3:$3,0),FALSE)</f>
        <v>4.0270000000000002E-3</v>
      </c>
      <c r="Z73">
        <f>VLOOKUP(A73,JanApport,MATCH($Z$4,'Jan 2022 Apport'!$3:$3,0),FALSE)</f>
        <v>1.7100000000000001E-2</v>
      </c>
      <c r="AA73" s="77">
        <f>VLOOKUP(A73,JanApport,MATCH($AA$4,'Jan 2022 Apport'!$3:$3,0),FALSE)*VLOOKUP(A73,JanApport,MATCH($AA$3,'Jan 2022 Apport'!$3:$3,0),FALSE)</f>
        <v>67585</v>
      </c>
      <c r="AB73" s="77">
        <f>VLOOKUP(A73,JanApport,MATCH($AB$4,'Jan 2022 Apport'!$3:$3,0),FALSE)*VLOOKUP(A73,JanApport,MATCH($AB$3,'Jan 2022 Apport'!$3:$3,0),FALSE)</f>
        <v>0</v>
      </c>
      <c r="AC73" s="77">
        <f>VLOOKUP(A73,JanApport,MATCH($AC$4,'Jan 2022 Apport'!$3:$3,0),FALSE)</f>
        <v>0</v>
      </c>
      <c r="AD73" s="77">
        <f>VLOOKUP(A73,JanApport,MATCH($AD$4,'Jan 2022 Apport'!$3:$3,0),FALSE)*VLOOKUP(A73,JanApport,MATCH($AD$3,'Jan 2022 Apport'!$3:$3,0),FALSE)</f>
        <v>0</v>
      </c>
      <c r="AE73" s="77">
        <f>VLOOKUP(A73,JanApport,MATCH($AE$4,'Jan 2022 Apport'!$3:$3,0),FALSE)</f>
        <v>0</v>
      </c>
      <c r="AF73" s="77">
        <f>VLOOKUP(A73,JanApport,MATCH($AF$4,'Jan 2022 Apport'!$3:$3,0),FALSE)*VLOOKUP(A73,JanApport,MATCH($AF$3,'Jan 2022 Apport'!$3:$3,0),FALSE)</f>
        <v>0</v>
      </c>
      <c r="AG73" s="77">
        <f t="shared" si="15"/>
        <v>12280.864000000009</v>
      </c>
      <c r="AH73" s="77">
        <f t="shared" si="16"/>
        <v>11848.32</v>
      </c>
      <c r="AI73" s="77">
        <f t="shared" si="17"/>
        <v>16610.88</v>
      </c>
      <c r="AJ73" s="3">
        <f>VLOOKUP(A73,JanApport,MATCH($AJ$4,'Jan 2022 Apport'!$3:$3,0),FALSE)</f>
        <v>223751.02</v>
      </c>
      <c r="AK73" s="3">
        <f>VLOOKUP(A73,JanApport,MATCH($AK$4,'Jan 2022 Apport'!$3:$3,0),FALSE)</f>
        <v>1.155</v>
      </c>
      <c r="AL73" s="117">
        <f t="shared" si="18"/>
        <v>2226614.0499999998</v>
      </c>
      <c r="AM73" s="117">
        <f>VLOOKUP(A73,JanApport,MATCH($AM$4,'Jan 2022 Apport'!$3:$3,0),FALSE)</f>
        <v>12425.02</v>
      </c>
      <c r="AN73" s="117">
        <f>VLOOKUP(A73,JanApport,MATCH($AN$4,'Jan 2022 Apport'!$3:$3,0),FALSE)</f>
        <v>17784</v>
      </c>
    </row>
    <row r="74" spans="1:40">
      <c r="A74" s="2" t="s">
        <v>385</v>
      </c>
      <c r="B74" s="2" t="s">
        <v>386</v>
      </c>
      <c r="C74" s="2" t="s">
        <v>1267</v>
      </c>
      <c r="D74" s="118">
        <f>VLOOKUP(A74,JanApport,MATCH($D$4,'Jan 2022 Apport'!$3:$3,FALSE),FALSE)</f>
        <v>16377202.470000001</v>
      </c>
      <c r="E74" s="30">
        <f>VLOOKUP(A74,JanApport,MATCH($E$2,'Jan 2022 Apport'!$3:$3,0),FALSE)+VLOOKUP(A74,JanApport,MATCH($E$3,'Jan 2022 Apport'!$3:$3,0),FALSE)+VLOOKUP(A74,JanApport,MATCH($E$4,'Jan 2022 Apport'!$3:$3,0),FALSE)</f>
        <v>1401383.02</v>
      </c>
      <c r="F74" s="118">
        <f t="shared" si="11"/>
        <v>14975819.450000001</v>
      </c>
      <c r="G74" s="117">
        <f>VLOOKUP(A74,JanApport,MATCH($G$4,'Jan 2022 Apport'!$3:$3,0),FALSE)</f>
        <v>216394.77</v>
      </c>
      <c r="H74" s="117">
        <f>VLOOKUP(A74,JanApport,MATCH($H$3,'Jan 2022 Apport'!$3:$3,0),FALSE)+VLOOKUP(A74,JanApport,MATCH($H$2,'Jan 2022 Apport'!$3:$3,0),FALSE)+VLOOKUP(A74,JanApport,MATCH($H$4,'Jan 2022 Apport'!$3:$3,0),FALSE)</f>
        <v>1784989.97</v>
      </c>
      <c r="I74" s="117">
        <f t="shared" si="13"/>
        <v>2001384.74</v>
      </c>
      <c r="J74" s="117">
        <f>VLOOKUP(A74,JanApport,MATCH($J$4,'Jan 2022 Apport'!$3:$3,0),FALSE)</f>
        <v>1334515.93</v>
      </c>
      <c r="K74" s="117">
        <f>VLOOKUP(A74,JanApport,MATCH($K$4,'Jan 2022 Apport'!$3:$3,0),FALSE)</f>
        <v>168893.41</v>
      </c>
      <c r="L74" s="117">
        <f t="shared" si="12"/>
        <v>1503409.3399999999</v>
      </c>
      <c r="M74" s="117">
        <f>VLOOKUP(A74,JanApport,MATCH($M$4,'Jan 2022 Apport'!$3:$3,0),FALSE)</f>
        <v>459921.31</v>
      </c>
      <c r="N74" s="117">
        <f>VLOOKUP(A74,JanApport,MATCH($N$4,'Jan 2022 Apport'!$3:$3,0),FALSE)</f>
        <v>0</v>
      </c>
      <c r="O74" s="117">
        <f>VLOOKUP(A74,JanApport,MATCH($O$4,'Jan 2022 Apport'!$3:$3,0),FALSE)</f>
        <v>53711.29</v>
      </c>
      <c r="P74" s="121">
        <f>IFERROR((VLOOKUP(A74,ExcessLevy!A:G,3,FALSE)*0.28),0)+IFERROR((VLOOKUP(A74,ExcessLevy!A:G,6,FALSE)*0.72),0)</f>
        <v>50656.785200000006</v>
      </c>
      <c r="Q74" s="121">
        <f>IFERROR((VLOOKUP(A74,ExcessLevy!A:G,4,FALSE)*0.4738),0)+IFERROR((VLOOKUP(A74,ExcessLevy!A:G,7,FALSE)*0.5262),0)</f>
        <v>5485526.0441999994</v>
      </c>
      <c r="R74">
        <f>VLOOKUP(A74,JanApport,MATCH($R$4,'Jan 2022 Apport'!$3:$3,0),FALSE)</f>
        <v>0</v>
      </c>
      <c r="S74">
        <f>VLOOKUP(A74,JanApport,MATCH($S$4,'Jan 2022 Apport'!$3:$3,0),FALSE)</f>
        <v>25.24</v>
      </c>
      <c r="T74">
        <f>VLOOKUP(A74,JanApport,MATCH($T$4,'Jan 2022 Apport'!$3:$3,0),FALSE)</f>
        <v>131.85</v>
      </c>
      <c r="U74" s="132">
        <f>IFERROR(VLOOKUP(A74,JanApport,MATCH($U$4,'Jan 2022 Apport'!$3:$3,0),FALSE)/R74,0)</f>
        <v>0</v>
      </c>
      <c r="V74" s="30">
        <f>IFERROR(((VLOOKUP(A74,JanApport,MATCH($V$4,'Jan 2022 Apport'!$3:$3,0),FALSE)+VLOOKUP(A74,JanApport,MATCH($V$3,'Jan 2022 Apport'!$3:$3,0),FALSE))/(S74+T74)),0)</f>
        <v>8920.8926093322298</v>
      </c>
      <c r="W74" s="30">
        <f t="shared" si="14"/>
        <v>8419.5917413774914</v>
      </c>
      <c r="X74">
        <f>VLOOKUP(A74,JanApport,MATCH($X$4,'Jan 2022 Apport'!$3:$3,0),FALSE)</f>
        <v>4.8578999999999997E-2</v>
      </c>
      <c r="Y74">
        <f>VLOOKUP(A74,JanApport,MATCH($Y$4,'Jan 2022 Apport'!$3:$3,0),FALSE)</f>
        <v>4.0270000000000002E-3</v>
      </c>
      <c r="Z74">
        <f>VLOOKUP(A74,JanApport,MATCH($Z$4,'Jan 2022 Apport'!$3:$3,0),FALSE)</f>
        <v>1.7100000000000001E-2</v>
      </c>
      <c r="AA74" s="77">
        <f>VLOOKUP(A74,JanApport,MATCH($AA$4,'Jan 2022 Apport'!$3:$3,0),FALSE)*VLOOKUP(A74,JanApport,MATCH($AA$3,'Jan 2022 Apport'!$3:$3,0),FALSE)</f>
        <v>67585</v>
      </c>
      <c r="AB74" s="77">
        <f>VLOOKUP(A74,JanApport,MATCH($AB$4,'Jan 2022 Apport'!$3:$3,0),FALSE)*VLOOKUP(A74,JanApport,MATCH($AB$3,'Jan 2022 Apport'!$3:$3,0),FALSE)</f>
        <v>73073.22</v>
      </c>
      <c r="AC74" s="77">
        <f>VLOOKUP(A74,JanApport,MATCH($AC$4,'Jan 2022 Apport'!$3:$3,0),FALSE)</f>
        <v>100321</v>
      </c>
      <c r="AD74" s="77">
        <f>VLOOKUP(A74,JanApport,MATCH($AD$4,'Jan 2022 Apport'!$3:$3,0),FALSE)*VLOOKUP(A74,JanApport,MATCH($AD$3,'Jan 2022 Apport'!$3:$3,0),FALSE)</f>
        <v>108466.62000000001</v>
      </c>
      <c r="AE74" s="77">
        <f>VLOOKUP(A74,JanApport,MATCH($AE$4,'Jan 2022 Apport'!$3:$3,0),FALSE)</f>
        <v>48483</v>
      </c>
      <c r="AF74" s="77">
        <f>VLOOKUP(A74,JanApport,MATCH($AF$4,'Jan 2022 Apport'!$3:$3,0),FALSE)*VLOOKUP(A74,JanApport,MATCH($AF$3,'Jan 2022 Apport'!$3:$3,0),FALSE)</f>
        <v>52420.18</v>
      </c>
      <c r="AG74" s="77">
        <f t="shared" si="15"/>
        <v>101481.343654</v>
      </c>
      <c r="AH74" s="77">
        <f t="shared" si="16"/>
        <v>144895.57743400004</v>
      </c>
      <c r="AI74" s="77">
        <f t="shared" si="17"/>
        <v>80819.594016556002</v>
      </c>
      <c r="AJ74" s="3">
        <f>VLOOKUP(A74,JanApport,MATCH($AJ$4,'Jan 2022 Apport'!$3:$3,0),FALSE)</f>
        <v>2263975.08</v>
      </c>
      <c r="AK74" s="3">
        <f>VLOOKUP(A74,JanApport,MATCH($AK$4,'Jan 2022 Apport'!$3:$3,0),FALSE)</f>
        <v>34.948999999999998</v>
      </c>
      <c r="AL74" s="117">
        <f t="shared" si="18"/>
        <v>20271446.229999997</v>
      </c>
      <c r="AM74" s="117">
        <f>VLOOKUP(A74,JanApport,MATCH($AM$4,'Jan 2022 Apport'!$3:$3,0),FALSE)</f>
        <v>44710.49</v>
      </c>
      <c r="AN74" s="117">
        <f>VLOOKUP(A74,JanApport,MATCH($AN$4,'Jan 2022 Apport'!$3:$3,0),FALSE)</f>
        <v>120945.19</v>
      </c>
    </row>
    <row r="75" spans="1:40">
      <c r="A75" s="2" t="s">
        <v>429</v>
      </c>
      <c r="B75" s="2" t="s">
        <v>430</v>
      </c>
      <c r="C75" s="2" t="s">
        <v>1267</v>
      </c>
      <c r="D75" s="118">
        <f>VLOOKUP(A75,JanApport,MATCH($D$4,'Jan 2022 Apport'!$3:$3,FALSE),FALSE)</f>
        <v>196974301.33000001</v>
      </c>
      <c r="E75" s="30">
        <f>VLOOKUP(A75,JanApport,MATCH($E$2,'Jan 2022 Apport'!$3:$3,0),FALSE)+VLOOKUP(A75,JanApport,MATCH($E$3,'Jan 2022 Apport'!$3:$3,0),FALSE)+VLOOKUP(A75,JanApport,MATCH($E$4,'Jan 2022 Apport'!$3:$3,0),FALSE)</f>
        <v>10455149.859999999</v>
      </c>
      <c r="F75" s="118">
        <f t="shared" si="11"/>
        <v>186519151.47000003</v>
      </c>
      <c r="G75" s="117">
        <f>VLOOKUP(A75,JanApport,MATCH($G$4,'Jan 2022 Apport'!$3:$3,0),FALSE)</f>
        <v>2678857.91</v>
      </c>
      <c r="H75" s="117">
        <f>VLOOKUP(A75,JanApport,MATCH($H$3,'Jan 2022 Apport'!$3:$3,0),FALSE)+VLOOKUP(A75,JanApport,MATCH($H$2,'Jan 2022 Apport'!$3:$3,0),FALSE)+VLOOKUP(A75,JanApport,MATCH($H$4,'Jan 2022 Apport'!$3:$3,0),FALSE)</f>
        <v>26512492.299999997</v>
      </c>
      <c r="I75" s="117">
        <f t="shared" si="13"/>
        <v>29191350.209999997</v>
      </c>
      <c r="J75" s="117">
        <f>VLOOKUP(A75,JanApport,MATCH($J$4,'Jan 2022 Apport'!$3:$3,0),FALSE)</f>
        <v>13286193.07</v>
      </c>
      <c r="K75" s="117">
        <f>VLOOKUP(A75,JanApport,MATCH($K$4,'Jan 2022 Apport'!$3:$3,0),FALSE)</f>
        <v>1870604.85</v>
      </c>
      <c r="L75" s="117">
        <f t="shared" si="12"/>
        <v>15156797.92</v>
      </c>
      <c r="M75" s="117">
        <f>VLOOKUP(A75,JanApport,MATCH($M$4,'Jan 2022 Apport'!$3:$3,0),FALSE)</f>
        <v>4925914.33</v>
      </c>
      <c r="N75" s="117">
        <f>VLOOKUP(A75,JanApport,MATCH($N$4,'Jan 2022 Apport'!$3:$3,0),FALSE)</f>
        <v>5911618.4299999997</v>
      </c>
      <c r="O75" s="117">
        <f>VLOOKUP(A75,JanApport,MATCH($O$4,'Jan 2022 Apport'!$3:$3,0),FALSE)</f>
        <v>654378.81999999995</v>
      </c>
      <c r="P75" s="121">
        <f>IFERROR((VLOOKUP(A75,ExcessLevy!A:G,3,FALSE)*0.28),0)+IFERROR((VLOOKUP(A75,ExcessLevy!A:G,6,FALSE)*0.72),0)</f>
        <v>0</v>
      </c>
      <c r="Q75" s="121">
        <f>IFERROR((VLOOKUP(A75,ExcessLevy!A:G,4,FALSE)*0.4738),0)+IFERROR((VLOOKUP(A75,ExcessLevy!A:G,7,FALSE)*0.5262),0)</f>
        <v>55707139.293200001</v>
      </c>
      <c r="R75">
        <f>VLOOKUP(A75,JanApport,MATCH($R$4,'Jan 2022 Apport'!$3:$3,0),FALSE)</f>
        <v>0</v>
      </c>
      <c r="S75">
        <f>VLOOKUP(A75,JanApport,MATCH($S$4,'Jan 2022 Apport'!$3:$3,0),FALSE)</f>
        <v>113.59</v>
      </c>
      <c r="T75">
        <f>VLOOKUP(A75,JanApport,MATCH($T$4,'Jan 2022 Apport'!$3:$3,0),FALSE)</f>
        <v>925.87</v>
      </c>
      <c r="U75" s="132">
        <f>IFERROR(VLOOKUP(A75,JanApport,MATCH($U$4,'Jan 2022 Apport'!$3:$3,0),FALSE)/R75,0)</f>
        <v>0</v>
      </c>
      <c r="V75" s="30">
        <f>IFERROR(((VLOOKUP(A75,JanApport,MATCH($V$4,'Jan 2022 Apport'!$3:$3,0),FALSE)+VLOOKUP(A75,JanApport,MATCH($V$3,'Jan 2022 Apport'!$3:$3,0),FALSE))/(S75+T75)),0)</f>
        <v>10058.251265079944</v>
      </c>
      <c r="W75" s="30">
        <f t="shared" si="14"/>
        <v>9207.2971053371111</v>
      </c>
      <c r="X75">
        <f>VLOOKUP(A75,JanApport,MATCH($X$4,'Jan 2022 Apport'!$3:$3,0),FALSE)</f>
        <v>4.8578999999999997E-2</v>
      </c>
      <c r="Y75">
        <f>VLOOKUP(A75,JanApport,MATCH($Y$4,'Jan 2022 Apport'!$3:$3,0),FALSE)</f>
        <v>4.0270000000000002E-3</v>
      </c>
      <c r="Z75">
        <f>VLOOKUP(A75,JanApport,MATCH($Z$4,'Jan 2022 Apport'!$3:$3,0),FALSE)</f>
        <v>1.7100000000000001E-2</v>
      </c>
      <c r="AA75" s="77">
        <f>VLOOKUP(A75,JanApport,MATCH($AA$4,'Jan 2022 Apport'!$3:$3,0),FALSE)*VLOOKUP(A75,JanApport,MATCH($AA$3,'Jan 2022 Apport'!$3:$3,0),FALSE)</f>
        <v>79750.3</v>
      </c>
      <c r="AB75" s="77">
        <f>VLOOKUP(A75,JanApport,MATCH($AB$4,'Jan 2022 Apport'!$3:$3,0),FALSE)*VLOOKUP(A75,JanApport,MATCH($AB$3,'Jan 2022 Apport'!$3:$3,0),FALSE)</f>
        <v>82724.399999999994</v>
      </c>
      <c r="AC75" s="77">
        <f>VLOOKUP(A75,JanApport,MATCH($AC$4,'Jan 2022 Apport'!$3:$3,0),FALSE)</f>
        <v>100321</v>
      </c>
      <c r="AD75" s="77">
        <f>VLOOKUP(A75,JanApport,MATCH($AD$4,'Jan 2022 Apport'!$3:$3,0),FALSE)*VLOOKUP(A75,JanApport,MATCH($AD$3,'Jan 2022 Apport'!$3:$3,0),FALSE)</f>
        <v>122792.4</v>
      </c>
      <c r="AE75" s="77">
        <f>VLOOKUP(A75,JanApport,MATCH($AE$4,'Jan 2022 Apport'!$3:$3,0),FALSE)</f>
        <v>48483</v>
      </c>
      <c r="AF75" s="77">
        <f>VLOOKUP(A75,JanApport,MATCH($AF$4,'Jan 2022 Apport'!$3:$3,0),FALSE)*VLOOKUP(A75,JanApport,MATCH($AF$3,'Jan 2022 Apport'!$3:$3,0),FALSE)</f>
        <v>59343.6</v>
      </c>
      <c r="AG75" s="77">
        <f t="shared" si="15"/>
        <v>113340.397</v>
      </c>
      <c r="AH75" s="77">
        <f t="shared" si="16"/>
        <v>162383.05708</v>
      </c>
      <c r="AI75" s="77">
        <f t="shared" si="17"/>
        <v>89075.870679119995</v>
      </c>
      <c r="AJ75" s="3">
        <f>VLOOKUP(A75,JanApport,MATCH($AJ$4,'Jan 2022 Apport'!$3:$3,0),FALSE)</f>
        <v>24616916.32</v>
      </c>
      <c r="AK75" s="3">
        <f>VLOOKUP(A75,JanApport,MATCH($AK$4,'Jan 2022 Apport'!$3:$3,0),FALSE)</f>
        <v>402.71100000000001</v>
      </c>
      <c r="AL75" s="117">
        <f t="shared" si="18"/>
        <v>251745554.34000003</v>
      </c>
      <c r="AM75" s="117">
        <f>VLOOKUP(A75,JanApport,MATCH($AM$4,'Jan 2022 Apport'!$3:$3,0),FALSE)</f>
        <v>801798.15</v>
      </c>
      <c r="AN75" s="117">
        <f>VLOOKUP(A75,JanApport,MATCH($AN$4,'Jan 2022 Apport'!$3:$3,0),FALSE)</f>
        <v>1611142.07</v>
      </c>
    </row>
    <row r="76" spans="1:40">
      <c r="A76" s="2" t="s">
        <v>245</v>
      </c>
      <c r="B76" s="2" t="s">
        <v>246</v>
      </c>
      <c r="C76" s="2" t="s">
        <v>1267</v>
      </c>
      <c r="D76" s="118">
        <f>VLOOKUP(A76,JanApport,MATCH($D$4,'Jan 2022 Apport'!$3:$3,FALSE),FALSE)</f>
        <v>28247197.719999999</v>
      </c>
      <c r="E76" s="30">
        <f>VLOOKUP(A76,JanApport,MATCH($E$2,'Jan 2022 Apport'!$3:$3,0),FALSE)+VLOOKUP(A76,JanApport,MATCH($E$3,'Jan 2022 Apport'!$3:$3,0),FALSE)+VLOOKUP(A76,JanApport,MATCH($E$4,'Jan 2022 Apport'!$3:$3,0),FALSE)</f>
        <v>2024628.3599999999</v>
      </c>
      <c r="F76" s="118">
        <f t="shared" si="11"/>
        <v>26222569.359999999</v>
      </c>
      <c r="G76" s="117">
        <f>VLOOKUP(A76,JanApport,MATCH($G$4,'Jan 2022 Apport'!$3:$3,0),FALSE)</f>
        <v>305195.7</v>
      </c>
      <c r="H76" s="117">
        <f>VLOOKUP(A76,JanApport,MATCH($H$3,'Jan 2022 Apport'!$3:$3,0),FALSE)+VLOOKUP(A76,JanApport,MATCH($H$2,'Jan 2022 Apport'!$3:$3,0),FALSE)+VLOOKUP(A76,JanApport,MATCH($H$4,'Jan 2022 Apport'!$3:$3,0),FALSE)</f>
        <v>3318793.49</v>
      </c>
      <c r="I76" s="117">
        <f t="shared" si="13"/>
        <v>3623989.1900000004</v>
      </c>
      <c r="J76" s="117">
        <f>VLOOKUP(A76,JanApport,MATCH($J$4,'Jan 2022 Apport'!$3:$3,0),FALSE)</f>
        <v>1687876.53</v>
      </c>
      <c r="K76" s="117">
        <f>VLOOKUP(A76,JanApport,MATCH($K$4,'Jan 2022 Apport'!$3:$3,0),FALSE)</f>
        <v>218284.21</v>
      </c>
      <c r="L76" s="117">
        <f t="shared" si="12"/>
        <v>1906160.74</v>
      </c>
      <c r="M76" s="117">
        <f>VLOOKUP(A76,JanApport,MATCH($M$4,'Jan 2022 Apport'!$3:$3,0),FALSE)</f>
        <v>860456.93</v>
      </c>
      <c r="N76" s="117">
        <f>VLOOKUP(A76,JanApport,MATCH($N$4,'Jan 2022 Apport'!$3:$3,0),FALSE)</f>
        <v>338899.69</v>
      </c>
      <c r="O76" s="117">
        <f>VLOOKUP(A76,JanApport,MATCH($O$4,'Jan 2022 Apport'!$3:$3,0),FALSE)</f>
        <v>91084.19</v>
      </c>
      <c r="P76" s="121">
        <f>IFERROR((VLOOKUP(A76,ExcessLevy!A:G,3,FALSE)*0.28),0)+IFERROR((VLOOKUP(A76,ExcessLevy!A:G,6,FALSE)*0.72),0)</f>
        <v>59349.108000000007</v>
      </c>
      <c r="Q76" s="121">
        <f>IFERROR((VLOOKUP(A76,ExcessLevy!A:G,4,FALSE)*0.4738),0)+IFERROR((VLOOKUP(A76,ExcessLevy!A:G,7,FALSE)*0.5262),0)</f>
        <v>4803394.8550000004</v>
      </c>
      <c r="R76">
        <f>VLOOKUP(A76,JanApport,MATCH($R$4,'Jan 2022 Apport'!$3:$3,0),FALSE)</f>
        <v>0</v>
      </c>
      <c r="S76">
        <f>VLOOKUP(A76,JanApport,MATCH($S$4,'Jan 2022 Apport'!$3:$3,0),FALSE)</f>
        <v>27.46</v>
      </c>
      <c r="T76">
        <f>VLOOKUP(A76,JanApport,MATCH($T$4,'Jan 2022 Apport'!$3:$3,0),FALSE)</f>
        <v>199.46</v>
      </c>
      <c r="U76" s="132">
        <f>IFERROR(VLOOKUP(A76,JanApport,MATCH($U$4,'Jan 2022 Apport'!$3:$3,0),FALSE)/R76,0)</f>
        <v>0</v>
      </c>
      <c r="V76" s="30">
        <f>IFERROR(((VLOOKUP(A76,JanApport,MATCH($V$4,'Jan 2022 Apport'!$3:$3,0),FALSE)+VLOOKUP(A76,JanApport,MATCH($V$3,'Jan 2022 Apport'!$3:$3,0),FALSE))/(S76+T76)),0)</f>
        <v>8922.2120571126379</v>
      </c>
      <c r="W76" s="30">
        <f t="shared" si="14"/>
        <v>8083.6246967786601</v>
      </c>
      <c r="X76">
        <f>VLOOKUP(A76,JanApport,MATCH($X$4,'Jan 2022 Apport'!$3:$3,0),FALSE)</f>
        <v>4.8578999999999997E-2</v>
      </c>
      <c r="Y76">
        <f>VLOOKUP(A76,JanApport,MATCH($Y$4,'Jan 2022 Apport'!$3:$3,0),FALSE)</f>
        <v>4.0270000000000002E-3</v>
      </c>
      <c r="Z76">
        <f>VLOOKUP(A76,JanApport,MATCH($Z$4,'Jan 2022 Apport'!$3:$3,0),FALSE)</f>
        <v>1.7100000000000001E-2</v>
      </c>
      <c r="AA76" s="77">
        <f>VLOOKUP(A76,JanApport,MATCH($AA$4,'Jan 2022 Apport'!$3:$3,0),FALSE)*VLOOKUP(A76,JanApport,MATCH($AA$3,'Jan 2022 Apport'!$3:$3,0),FALSE)</f>
        <v>67585</v>
      </c>
      <c r="AB76" s="77">
        <f>VLOOKUP(A76,JanApport,MATCH($AB$4,'Jan 2022 Apport'!$3:$3,0),FALSE)*VLOOKUP(A76,JanApport,MATCH($AB$3,'Jan 2022 Apport'!$3:$3,0),FALSE)</f>
        <v>68937</v>
      </c>
      <c r="AC76" s="77">
        <f>VLOOKUP(A76,JanApport,MATCH($AC$4,'Jan 2022 Apport'!$3:$3,0),FALSE)</f>
        <v>100321</v>
      </c>
      <c r="AD76" s="77">
        <f>VLOOKUP(A76,JanApport,MATCH($AD$4,'Jan 2022 Apport'!$3:$3,0),FALSE)*VLOOKUP(A76,JanApport,MATCH($AD$3,'Jan 2022 Apport'!$3:$3,0),FALSE)</f>
        <v>102327</v>
      </c>
      <c r="AE76" s="77">
        <f>VLOOKUP(A76,JanApport,MATCH($AE$4,'Jan 2022 Apport'!$3:$3,0),FALSE)</f>
        <v>48483</v>
      </c>
      <c r="AF76" s="77">
        <f>VLOOKUP(A76,JanApport,MATCH($AF$4,'Jan 2022 Apport'!$3:$3,0),FALSE)*VLOOKUP(A76,JanApport,MATCH($AF$3,'Jan 2022 Apport'!$3:$3,0),FALSE)</f>
        <v>49453</v>
      </c>
      <c r="AG76" s="77">
        <f t="shared" si="15"/>
        <v>96432.259900000005</v>
      </c>
      <c r="AH76" s="77">
        <f t="shared" si="16"/>
        <v>137400.94330000001</v>
      </c>
      <c r="AI76" s="77">
        <f t="shared" si="17"/>
        <v>77281.189732599989</v>
      </c>
      <c r="AJ76" s="3">
        <f>VLOOKUP(A76,JanApport,MATCH($AJ$4,'Jan 2022 Apport'!$3:$3,0),FALSE)</f>
        <v>3940767.82</v>
      </c>
      <c r="AK76" s="3">
        <f>VLOOKUP(A76,JanApport,MATCH($AK$4,'Jan 2022 Apport'!$3:$3,0),FALSE)</f>
        <v>62.712000000000003</v>
      </c>
      <c r="AL76" s="117">
        <f t="shared" si="18"/>
        <v>34991560.359999999</v>
      </c>
      <c r="AM76" s="117">
        <f>VLOOKUP(A76,JanApport,MATCH($AM$4,'Jan 2022 Apport'!$3:$3,0),FALSE)</f>
        <v>142056.10999999999</v>
      </c>
      <c r="AN76" s="117">
        <f>VLOOKUP(A76,JanApport,MATCH($AN$4,'Jan 2022 Apport'!$3:$3,0),FALSE)</f>
        <v>217605.69</v>
      </c>
    </row>
    <row r="77" spans="1:40">
      <c r="A77" s="2" t="s">
        <v>151</v>
      </c>
      <c r="B77" s="2" t="s">
        <v>152</v>
      </c>
      <c r="C77" s="2" t="s">
        <v>1267</v>
      </c>
      <c r="D77" s="118">
        <f>VLOOKUP(A77,JanApport,MATCH($D$4,'Jan 2022 Apport'!$3:$3,FALSE),FALSE)</f>
        <v>14067103.529999999</v>
      </c>
      <c r="E77" s="30">
        <f>VLOOKUP(A77,JanApport,MATCH($E$2,'Jan 2022 Apport'!$3:$3,0),FALSE)+VLOOKUP(A77,JanApport,MATCH($E$3,'Jan 2022 Apport'!$3:$3,0),FALSE)+VLOOKUP(A77,JanApport,MATCH($E$4,'Jan 2022 Apport'!$3:$3,0),FALSE)</f>
        <v>2384461.7800000003</v>
      </c>
      <c r="F77" s="118">
        <f t="shared" si="11"/>
        <v>11682641.75</v>
      </c>
      <c r="G77" s="117">
        <f>VLOOKUP(A77,JanApport,MATCH($G$4,'Jan 2022 Apport'!$3:$3,0),FALSE)</f>
        <v>154251.07999999999</v>
      </c>
      <c r="H77" s="117">
        <f>VLOOKUP(A77,JanApport,MATCH($H$3,'Jan 2022 Apport'!$3:$3,0),FALSE)+VLOOKUP(A77,JanApport,MATCH($H$2,'Jan 2022 Apport'!$3:$3,0),FALSE)+VLOOKUP(A77,JanApport,MATCH($H$4,'Jan 2022 Apport'!$3:$3,0),FALSE)</f>
        <v>1858128.52</v>
      </c>
      <c r="I77" s="117">
        <f t="shared" si="13"/>
        <v>2012379.6</v>
      </c>
      <c r="J77" s="117">
        <f>VLOOKUP(A77,JanApport,MATCH($J$4,'Jan 2022 Apport'!$3:$3,0),FALSE)</f>
        <v>958656.68</v>
      </c>
      <c r="K77" s="117">
        <f>VLOOKUP(A77,JanApport,MATCH($K$4,'Jan 2022 Apport'!$3:$3,0),FALSE)</f>
        <v>126660.74</v>
      </c>
      <c r="L77" s="117">
        <f t="shared" si="12"/>
        <v>1085317.4200000002</v>
      </c>
      <c r="M77" s="117">
        <f>VLOOKUP(A77,JanApport,MATCH($M$4,'Jan 2022 Apport'!$3:$3,0),FALSE)</f>
        <v>693610.04</v>
      </c>
      <c r="N77" s="117">
        <f>VLOOKUP(A77,JanApport,MATCH($N$4,'Jan 2022 Apport'!$3:$3,0),FALSE)</f>
        <v>193907.04</v>
      </c>
      <c r="O77" s="117">
        <f>VLOOKUP(A77,JanApport,MATCH($O$4,'Jan 2022 Apport'!$3:$3,0),FALSE)</f>
        <v>45464.36</v>
      </c>
      <c r="P77" s="121">
        <f>IFERROR((VLOOKUP(A77,ExcessLevy!A:G,3,FALSE)*0.28),0)+IFERROR((VLOOKUP(A77,ExcessLevy!A:G,6,FALSE)*0.72),0)</f>
        <v>614863.04639999999</v>
      </c>
      <c r="Q77" s="121">
        <f>IFERROR((VLOOKUP(A77,ExcessLevy!A:G,4,FALSE)*0.4738),0)+IFERROR((VLOOKUP(A77,ExcessLevy!A:G,7,FALSE)*0.5262),0)</f>
        <v>2713122.5898000002</v>
      </c>
      <c r="R77">
        <f>VLOOKUP(A77,JanApport,MATCH($R$4,'Jan 2022 Apport'!$3:$3,0),FALSE)</f>
        <v>0</v>
      </c>
      <c r="S77">
        <f>VLOOKUP(A77,JanApport,MATCH($S$4,'Jan 2022 Apport'!$3:$3,0),FALSE)</f>
        <v>69.92</v>
      </c>
      <c r="T77">
        <f>VLOOKUP(A77,JanApport,MATCH($T$4,'Jan 2022 Apport'!$3:$3,0),FALSE)</f>
        <v>191.86</v>
      </c>
      <c r="U77" s="132">
        <f>IFERROR(VLOOKUP(A77,JanApport,MATCH($U$4,'Jan 2022 Apport'!$3:$3,0),FALSE)/R77,0)</f>
        <v>0</v>
      </c>
      <c r="V77" s="30">
        <f>IFERROR(((VLOOKUP(A77,JanApport,MATCH($V$4,'Jan 2022 Apport'!$3:$3,0),FALSE)+VLOOKUP(A77,JanApport,MATCH($V$3,'Jan 2022 Apport'!$3:$3,0),FALSE))/(S77+T77)),0)</f>
        <v>9108.6476430590574</v>
      </c>
      <c r="W77" s="30">
        <f t="shared" si="14"/>
        <v>8083.6246967786601</v>
      </c>
      <c r="X77">
        <f>VLOOKUP(A77,JanApport,MATCH($X$4,'Jan 2022 Apport'!$3:$3,0),FALSE)</f>
        <v>4.8578999999999997E-2</v>
      </c>
      <c r="Y77">
        <f>VLOOKUP(A77,JanApport,MATCH($Y$4,'Jan 2022 Apport'!$3:$3,0),FALSE)</f>
        <v>4.0270000000000002E-3</v>
      </c>
      <c r="Z77">
        <f>VLOOKUP(A77,JanApport,MATCH($Z$4,'Jan 2022 Apport'!$3:$3,0),FALSE)</f>
        <v>1.7100000000000001E-2</v>
      </c>
      <c r="AA77" s="77">
        <f>VLOOKUP(A77,JanApport,MATCH($AA$4,'Jan 2022 Apport'!$3:$3,0),FALSE)*VLOOKUP(A77,JanApport,MATCH($AA$3,'Jan 2022 Apport'!$3:$3,0),FALSE)</f>
        <v>67585</v>
      </c>
      <c r="AB77" s="77">
        <f>VLOOKUP(A77,JanApport,MATCH($AB$4,'Jan 2022 Apport'!$3:$3,0),FALSE)*VLOOKUP(A77,JanApport,MATCH($AB$3,'Jan 2022 Apport'!$3:$3,0),FALSE)</f>
        <v>68937</v>
      </c>
      <c r="AC77" s="77">
        <f>VLOOKUP(A77,JanApport,MATCH($AC$4,'Jan 2022 Apport'!$3:$3,0),FALSE)</f>
        <v>100321</v>
      </c>
      <c r="AD77" s="77">
        <f>VLOOKUP(A77,JanApport,MATCH($AD$4,'Jan 2022 Apport'!$3:$3,0),FALSE)*VLOOKUP(A77,JanApport,MATCH($AD$3,'Jan 2022 Apport'!$3:$3,0),FALSE)</f>
        <v>102327</v>
      </c>
      <c r="AE77" s="77">
        <f>VLOOKUP(A77,JanApport,MATCH($AE$4,'Jan 2022 Apport'!$3:$3,0),FALSE)</f>
        <v>48483</v>
      </c>
      <c r="AF77" s="77">
        <f>VLOOKUP(A77,JanApport,MATCH($AF$4,'Jan 2022 Apport'!$3:$3,0),FALSE)*VLOOKUP(A77,JanApport,MATCH($AF$3,'Jan 2022 Apport'!$3:$3,0),FALSE)</f>
        <v>49453</v>
      </c>
      <c r="AG77" s="77">
        <f t="shared" si="15"/>
        <v>96432.259900000005</v>
      </c>
      <c r="AH77" s="77">
        <f t="shared" si="16"/>
        <v>137400.94330000001</v>
      </c>
      <c r="AI77" s="77">
        <f t="shared" si="17"/>
        <v>77281.189732599989</v>
      </c>
      <c r="AJ77" s="3">
        <f>VLOOKUP(A77,JanApport,MATCH($AJ$4,'Jan 2022 Apport'!$3:$3,0),FALSE)</f>
        <v>1630872.84</v>
      </c>
      <c r="AK77" s="3">
        <f>VLOOKUP(A77,JanApport,MATCH($AK$4,'Jan 2022 Apport'!$3:$3,0),FALSE)</f>
        <v>28.526</v>
      </c>
      <c r="AL77" s="117">
        <f t="shared" si="18"/>
        <v>18416449.27</v>
      </c>
      <c r="AM77" s="117">
        <f>VLOOKUP(A77,JanApport,MATCH($AM$4,'Jan 2022 Apport'!$3:$3,0),FALSE)</f>
        <v>445328.02</v>
      </c>
      <c r="AN77" s="117">
        <f>VLOOKUP(A77,JanApport,MATCH($AN$4,'Jan 2022 Apport'!$3:$3,0),FALSE)</f>
        <v>94368.61</v>
      </c>
    </row>
    <row r="78" spans="1:40">
      <c r="A78" s="2" t="s">
        <v>573</v>
      </c>
      <c r="B78" s="2" t="s">
        <v>574</v>
      </c>
      <c r="C78" s="2" t="s">
        <v>1267</v>
      </c>
      <c r="D78" s="118">
        <f>VLOOKUP(A78,JanApport,MATCH($D$4,'Jan 2022 Apport'!$3:$3,FALSE),FALSE)</f>
        <v>1929908.57</v>
      </c>
      <c r="E78" s="30">
        <f>VLOOKUP(A78,JanApport,MATCH($E$2,'Jan 2022 Apport'!$3:$3,0),FALSE)+VLOOKUP(A78,JanApport,MATCH($E$3,'Jan 2022 Apport'!$3:$3,0),FALSE)+VLOOKUP(A78,JanApport,MATCH($E$4,'Jan 2022 Apport'!$3:$3,0),FALSE)</f>
        <v>0</v>
      </c>
      <c r="F78" s="118">
        <f t="shared" ref="F78:F141" si="19">D78-E78</f>
        <v>1929908.57</v>
      </c>
      <c r="G78" s="117">
        <f>VLOOKUP(A78,JanApport,MATCH($G$4,'Jan 2022 Apport'!$3:$3,0),FALSE)</f>
        <v>9870.59</v>
      </c>
      <c r="H78" s="117">
        <f>VLOOKUP(A78,JanApport,MATCH($H$3,'Jan 2022 Apport'!$3:$3,0),FALSE)+VLOOKUP(A78,JanApport,MATCH($H$2,'Jan 2022 Apport'!$3:$3,0),FALSE)+VLOOKUP(A78,JanApport,MATCH($H$4,'Jan 2022 Apport'!$3:$3,0),FALSE)</f>
        <v>79351.39</v>
      </c>
      <c r="I78" s="117">
        <f t="shared" ref="I78:I141" si="20">SUM(G78:H78)</f>
        <v>89221.98</v>
      </c>
      <c r="J78" s="117">
        <f>VLOOKUP(A78,JanApport,MATCH($J$4,'Jan 2022 Apport'!$3:$3,0),FALSE)</f>
        <v>230632</v>
      </c>
      <c r="K78" s="117">
        <f>VLOOKUP(A78,JanApport,MATCH($K$4,'Jan 2022 Apport'!$3:$3,0),FALSE)</f>
        <v>56621.94</v>
      </c>
      <c r="L78" s="117">
        <f t="shared" ref="L78:L141" si="21">K78+J78</f>
        <v>287253.94</v>
      </c>
      <c r="M78" s="117">
        <f>VLOOKUP(A78,JanApport,MATCH($M$4,'Jan 2022 Apport'!$3:$3,0),FALSE)</f>
        <v>30230.95</v>
      </c>
      <c r="N78" s="117">
        <f>VLOOKUP(A78,JanApport,MATCH($N$4,'Jan 2022 Apport'!$3:$3,0),FALSE)</f>
        <v>0</v>
      </c>
      <c r="O78" s="117">
        <f>VLOOKUP(A78,JanApport,MATCH($O$4,'Jan 2022 Apport'!$3:$3,0),FALSE)</f>
        <v>2054.54</v>
      </c>
      <c r="P78" s="121">
        <f>IFERROR((VLOOKUP(A78,ExcessLevy!A:G,3,FALSE)*0.28),0)+IFERROR((VLOOKUP(A78,ExcessLevy!A:G,6,FALSE)*0.72),0)</f>
        <v>0</v>
      </c>
      <c r="Q78" s="121">
        <f>IFERROR((VLOOKUP(A78,ExcessLevy!A:G,4,FALSE)*0.4738),0)+IFERROR((VLOOKUP(A78,ExcessLevy!A:G,7,FALSE)*0.5262),0)</f>
        <v>215994.02100000001</v>
      </c>
      <c r="R78">
        <f>VLOOKUP(A78,JanApport,MATCH($R$4,'Jan 2022 Apport'!$3:$3,0),FALSE)</f>
        <v>0</v>
      </c>
      <c r="S78">
        <f>VLOOKUP(A78,JanApport,MATCH($S$4,'Jan 2022 Apport'!$3:$3,0),FALSE)</f>
        <v>0</v>
      </c>
      <c r="T78">
        <f>VLOOKUP(A78,JanApport,MATCH($T$4,'Jan 2022 Apport'!$3:$3,0),FALSE)</f>
        <v>0</v>
      </c>
      <c r="U78" s="132">
        <f>IFERROR(VLOOKUP(A78,JanApport,MATCH($U$4,'Jan 2022 Apport'!$3:$3,0),FALSE)/R78,0)</f>
        <v>0</v>
      </c>
      <c r="V78" s="30">
        <f>IFERROR(((VLOOKUP(A78,JanApport,MATCH($V$4,'Jan 2022 Apport'!$3:$3,0),FALSE)+VLOOKUP(A78,JanApport,MATCH($V$3,'Jan 2022 Apport'!$3:$3,0),FALSE))/(S78+T78)),0)</f>
        <v>0</v>
      </c>
      <c r="W78" s="30">
        <f t="shared" si="14"/>
        <v>8083.6246967786601</v>
      </c>
      <c r="X78">
        <f>VLOOKUP(A78,JanApport,MATCH($X$4,'Jan 2022 Apport'!$3:$3,0),FALSE)</f>
        <v>4.8578999999999997E-2</v>
      </c>
      <c r="Y78">
        <f>VLOOKUP(A78,JanApport,MATCH($Y$4,'Jan 2022 Apport'!$3:$3,0),FALSE)</f>
        <v>4.0270000000000002E-3</v>
      </c>
      <c r="Z78">
        <f>VLOOKUP(A78,JanApport,MATCH($Z$4,'Jan 2022 Apport'!$3:$3,0),FALSE)</f>
        <v>1.7100000000000001E-2</v>
      </c>
      <c r="AA78" s="77">
        <f>VLOOKUP(A78,JanApport,MATCH($AA$4,'Jan 2022 Apport'!$3:$3,0),FALSE)*VLOOKUP(A78,JanApport,MATCH($AA$3,'Jan 2022 Apport'!$3:$3,0),FALSE)</f>
        <v>67585</v>
      </c>
      <c r="AB78" s="77">
        <f>VLOOKUP(A78,JanApport,MATCH($AB$4,'Jan 2022 Apport'!$3:$3,0),FALSE)*VLOOKUP(A78,JanApport,MATCH($AB$3,'Jan 2022 Apport'!$3:$3,0),FALSE)</f>
        <v>68937</v>
      </c>
      <c r="AC78" s="77">
        <f>VLOOKUP(A78,JanApport,MATCH($AC$4,'Jan 2022 Apport'!$3:$3,0),FALSE)</f>
        <v>100321</v>
      </c>
      <c r="AD78" s="77">
        <f>VLOOKUP(A78,JanApport,MATCH($AD$4,'Jan 2022 Apport'!$3:$3,0),FALSE)*VLOOKUP(A78,JanApport,MATCH($AD$3,'Jan 2022 Apport'!$3:$3,0),FALSE)</f>
        <v>102327</v>
      </c>
      <c r="AE78" s="77">
        <f>VLOOKUP(A78,JanApport,MATCH($AE$4,'Jan 2022 Apport'!$3:$3,0),FALSE)</f>
        <v>48483</v>
      </c>
      <c r="AF78" s="77">
        <f>VLOOKUP(A78,JanApport,MATCH($AF$4,'Jan 2022 Apport'!$3:$3,0),FALSE)*VLOOKUP(A78,JanApport,MATCH($AF$3,'Jan 2022 Apport'!$3:$3,0),FALSE)</f>
        <v>49453</v>
      </c>
      <c r="AG78" s="77">
        <f t="shared" si="15"/>
        <v>96432.259900000005</v>
      </c>
      <c r="AH78" s="77">
        <f t="shared" si="16"/>
        <v>137400.94330000001</v>
      </c>
      <c r="AI78" s="77">
        <f t="shared" si="17"/>
        <v>77281.189732599989</v>
      </c>
      <c r="AJ78" s="3">
        <f>VLOOKUP(A78,JanApport,MATCH($AJ$4,'Jan 2022 Apport'!$3:$3,0),FALSE)</f>
        <v>215889.77</v>
      </c>
      <c r="AK78" s="3">
        <f>VLOOKUP(A78,JanApport,MATCH($AK$4,'Jan 2022 Apport'!$3:$3,0),FALSE)</f>
        <v>1.427</v>
      </c>
      <c r="AL78" s="117">
        <f t="shared" si="18"/>
        <v>2304941.3800000004</v>
      </c>
      <c r="AM78" s="117">
        <f>VLOOKUP(A78,JanApport,MATCH($AM$4,'Jan 2022 Apport'!$3:$3,0),FALSE)</f>
        <v>22893.34</v>
      </c>
      <c r="AN78" s="117">
        <f>VLOOKUP(A78,JanApport,MATCH($AN$4,'Jan 2022 Apport'!$3:$3,0),FALSE)</f>
        <v>17781.189999999999</v>
      </c>
    </row>
    <row r="79" spans="1:40">
      <c r="A79" s="2" t="s">
        <v>33</v>
      </c>
      <c r="B79" s="2" t="s">
        <v>34</v>
      </c>
      <c r="C79" s="2" t="s">
        <v>1267</v>
      </c>
      <c r="D79" s="118">
        <f>VLOOKUP(A79,JanApport,MATCH($D$4,'Jan 2022 Apport'!$3:$3,FALSE),FALSE)</f>
        <v>3682406.03</v>
      </c>
      <c r="E79" s="30">
        <f>VLOOKUP(A79,JanApport,MATCH($E$2,'Jan 2022 Apport'!$3:$3,0),FALSE)+VLOOKUP(A79,JanApport,MATCH($E$3,'Jan 2022 Apport'!$3:$3,0),FALSE)+VLOOKUP(A79,JanApport,MATCH($E$4,'Jan 2022 Apport'!$3:$3,0),FALSE)</f>
        <v>0</v>
      </c>
      <c r="F79" s="118">
        <f t="shared" si="19"/>
        <v>3682406.03</v>
      </c>
      <c r="G79" s="117">
        <f>VLOOKUP(A79,JanApport,MATCH($G$4,'Jan 2022 Apport'!$3:$3,0),FALSE)</f>
        <v>20711.18</v>
      </c>
      <c r="H79" s="117">
        <f>VLOOKUP(A79,JanApport,MATCH($H$3,'Jan 2022 Apport'!$3:$3,0),FALSE)+VLOOKUP(A79,JanApport,MATCH($H$2,'Jan 2022 Apport'!$3:$3,0),FALSE)+VLOOKUP(A79,JanApport,MATCH($H$4,'Jan 2022 Apport'!$3:$3,0),FALSE)</f>
        <v>327470.57</v>
      </c>
      <c r="I79" s="117">
        <f t="shared" si="20"/>
        <v>348181.75</v>
      </c>
      <c r="J79" s="117">
        <f>VLOOKUP(A79,JanApport,MATCH($J$4,'Jan 2022 Apport'!$3:$3,0),FALSE)</f>
        <v>260922.19</v>
      </c>
      <c r="K79" s="117">
        <f>VLOOKUP(A79,JanApport,MATCH($K$4,'Jan 2022 Apport'!$3:$3,0),FALSE)</f>
        <v>45330.64</v>
      </c>
      <c r="L79" s="117">
        <f t="shared" si="21"/>
        <v>306252.83</v>
      </c>
      <c r="M79" s="117">
        <f>VLOOKUP(A79,JanApport,MATCH($M$4,'Jan 2022 Apport'!$3:$3,0),FALSE)</f>
        <v>127178.72</v>
      </c>
      <c r="N79" s="117">
        <f>VLOOKUP(A79,JanApport,MATCH($N$4,'Jan 2022 Apport'!$3:$3,0),FALSE)</f>
        <v>81815.61</v>
      </c>
      <c r="O79" s="117">
        <f>VLOOKUP(A79,JanApport,MATCH($O$4,'Jan 2022 Apport'!$3:$3,0),FALSE)</f>
        <v>9113.1200000000008</v>
      </c>
      <c r="P79" s="121">
        <f>IFERROR((VLOOKUP(A79,ExcessLevy!A:G,3,FALSE)*0.28),0)+IFERROR((VLOOKUP(A79,ExcessLevy!A:G,6,FALSE)*0.72),0)</f>
        <v>0</v>
      </c>
      <c r="Q79" s="121">
        <f>IFERROR((VLOOKUP(A79,ExcessLevy!A:G,4,FALSE)*0.4738),0)+IFERROR((VLOOKUP(A79,ExcessLevy!A:G,7,FALSE)*0.5262),0)</f>
        <v>492893</v>
      </c>
      <c r="R79">
        <f>VLOOKUP(A79,JanApport,MATCH($R$4,'Jan 2022 Apport'!$3:$3,0),FALSE)</f>
        <v>0</v>
      </c>
      <c r="S79">
        <f>VLOOKUP(A79,JanApport,MATCH($S$4,'Jan 2022 Apport'!$3:$3,0),FALSE)</f>
        <v>0</v>
      </c>
      <c r="T79">
        <f>VLOOKUP(A79,JanApport,MATCH($T$4,'Jan 2022 Apport'!$3:$3,0),FALSE)</f>
        <v>0</v>
      </c>
      <c r="U79" s="132">
        <f>IFERROR(VLOOKUP(A79,JanApport,MATCH($U$4,'Jan 2022 Apport'!$3:$3,0),FALSE)/R79,0)</f>
        <v>0</v>
      </c>
      <c r="V79" s="30">
        <f>IFERROR(((VLOOKUP(A79,JanApport,MATCH($V$4,'Jan 2022 Apport'!$3:$3,0),FALSE)+VLOOKUP(A79,JanApport,MATCH($V$3,'Jan 2022 Apport'!$3:$3,0),FALSE))/(S79+T79)),0)</f>
        <v>0</v>
      </c>
      <c r="W79" s="30">
        <f t="shared" si="14"/>
        <v>8083.6246967786601</v>
      </c>
      <c r="X79">
        <f>VLOOKUP(A79,JanApport,MATCH($X$4,'Jan 2022 Apport'!$3:$3,0),FALSE)</f>
        <v>4.8578999999999997E-2</v>
      </c>
      <c r="Y79">
        <f>VLOOKUP(A79,JanApport,MATCH($Y$4,'Jan 2022 Apport'!$3:$3,0),FALSE)</f>
        <v>4.0270000000000002E-3</v>
      </c>
      <c r="Z79">
        <f>VLOOKUP(A79,JanApport,MATCH($Z$4,'Jan 2022 Apport'!$3:$3,0),FALSE)</f>
        <v>1.7100000000000001E-2</v>
      </c>
      <c r="AA79" s="77">
        <f>VLOOKUP(A79,JanApport,MATCH($AA$4,'Jan 2022 Apport'!$3:$3,0),FALSE)*VLOOKUP(A79,JanApport,MATCH($AA$3,'Jan 2022 Apport'!$3:$3,0),FALSE)</f>
        <v>67585</v>
      </c>
      <c r="AB79" s="77">
        <f>VLOOKUP(A79,JanApport,MATCH($AB$4,'Jan 2022 Apport'!$3:$3,0),FALSE)*VLOOKUP(A79,JanApport,MATCH($AB$3,'Jan 2022 Apport'!$3:$3,0),FALSE)</f>
        <v>68937</v>
      </c>
      <c r="AC79" s="77">
        <f>VLOOKUP(A79,JanApport,MATCH($AC$4,'Jan 2022 Apport'!$3:$3,0),FALSE)</f>
        <v>100321</v>
      </c>
      <c r="AD79" s="77">
        <f>VLOOKUP(A79,JanApport,MATCH($AD$4,'Jan 2022 Apport'!$3:$3,0),FALSE)*VLOOKUP(A79,JanApport,MATCH($AD$3,'Jan 2022 Apport'!$3:$3,0),FALSE)</f>
        <v>102327</v>
      </c>
      <c r="AE79" s="77">
        <f>VLOOKUP(A79,JanApport,MATCH($AE$4,'Jan 2022 Apport'!$3:$3,0),FALSE)</f>
        <v>48483</v>
      </c>
      <c r="AF79" s="77">
        <f>VLOOKUP(A79,JanApport,MATCH($AF$4,'Jan 2022 Apport'!$3:$3,0),FALSE)*VLOOKUP(A79,JanApport,MATCH($AF$3,'Jan 2022 Apport'!$3:$3,0),FALSE)</f>
        <v>49453</v>
      </c>
      <c r="AG79" s="77">
        <f t="shared" si="15"/>
        <v>96432.259900000005</v>
      </c>
      <c r="AH79" s="77">
        <f t="shared" si="16"/>
        <v>137400.94330000001</v>
      </c>
      <c r="AI79" s="77">
        <f t="shared" si="17"/>
        <v>77281.189732599989</v>
      </c>
      <c r="AJ79" s="3">
        <f>VLOOKUP(A79,JanApport,MATCH($AJ$4,'Jan 2022 Apport'!$3:$3,0),FALSE)</f>
        <v>494634.11</v>
      </c>
      <c r="AK79" s="3">
        <f>VLOOKUP(A79,JanApport,MATCH($AK$4,'Jan 2022 Apport'!$3:$3,0),FALSE)</f>
        <v>7.827</v>
      </c>
      <c r="AL79" s="117">
        <f t="shared" si="18"/>
        <v>4599736.0999999996</v>
      </c>
      <c r="AM79" s="117">
        <f>VLOOKUP(A79,JanApport,MATCH($AM$4,'Jan 2022 Apport'!$3:$3,0),FALSE)</f>
        <v>90118.68</v>
      </c>
      <c r="AN79" s="117">
        <f>VLOOKUP(A79,JanApport,MATCH($AN$4,'Jan 2022 Apport'!$3:$3,0),FALSE)</f>
        <v>33349.99</v>
      </c>
    </row>
    <row r="80" spans="1:40">
      <c r="A80" s="2" t="s">
        <v>187</v>
      </c>
      <c r="B80" s="2" t="s">
        <v>188</v>
      </c>
      <c r="C80" s="2" t="s">
        <v>1267</v>
      </c>
      <c r="D80" s="118">
        <f>VLOOKUP(A80,JanApport,MATCH($D$4,'Jan 2022 Apport'!$3:$3,FALSE),FALSE)</f>
        <v>39668606.990000002</v>
      </c>
      <c r="E80" s="30">
        <f>VLOOKUP(A80,JanApport,MATCH($E$2,'Jan 2022 Apport'!$3:$3,0),FALSE)+VLOOKUP(A80,JanApport,MATCH($E$3,'Jan 2022 Apport'!$3:$3,0),FALSE)+VLOOKUP(A80,JanApport,MATCH($E$4,'Jan 2022 Apport'!$3:$3,0),FALSE)</f>
        <v>4370743.75</v>
      </c>
      <c r="F80" s="118">
        <f t="shared" si="19"/>
        <v>35297863.240000002</v>
      </c>
      <c r="G80" s="117">
        <f>VLOOKUP(A80,JanApport,MATCH($G$4,'Jan 2022 Apport'!$3:$3,0),FALSE)</f>
        <v>686050.93</v>
      </c>
      <c r="H80" s="117">
        <f>VLOOKUP(A80,JanApport,MATCH($H$3,'Jan 2022 Apport'!$3:$3,0),FALSE)+VLOOKUP(A80,JanApport,MATCH($H$2,'Jan 2022 Apport'!$3:$3,0),FALSE)+VLOOKUP(A80,JanApport,MATCH($H$4,'Jan 2022 Apport'!$3:$3,0),FALSE)</f>
        <v>5271946.05</v>
      </c>
      <c r="I80" s="117">
        <f t="shared" si="20"/>
        <v>5957996.9799999995</v>
      </c>
      <c r="J80" s="117">
        <f>VLOOKUP(A80,JanApport,MATCH($J$4,'Jan 2022 Apport'!$3:$3,0),FALSE)</f>
        <v>2370413.77</v>
      </c>
      <c r="K80" s="117">
        <f>VLOOKUP(A80,JanApport,MATCH($K$4,'Jan 2022 Apport'!$3:$3,0),FALSE)</f>
        <v>482383.05</v>
      </c>
      <c r="L80" s="117">
        <f t="shared" si="21"/>
        <v>2852796.82</v>
      </c>
      <c r="M80" s="117">
        <f>VLOOKUP(A80,JanApport,MATCH($M$4,'Jan 2022 Apport'!$3:$3,0),FALSE)</f>
        <v>852212.25</v>
      </c>
      <c r="N80" s="117">
        <f>VLOOKUP(A80,JanApport,MATCH($N$4,'Jan 2022 Apport'!$3:$3,0),FALSE)</f>
        <v>0</v>
      </c>
      <c r="O80" s="117">
        <f>VLOOKUP(A80,JanApport,MATCH($O$4,'Jan 2022 Apport'!$3:$3,0),FALSE)</f>
        <v>131212.57</v>
      </c>
      <c r="P80" s="121">
        <f>IFERROR((VLOOKUP(A80,ExcessLevy!A:G,3,FALSE)*0.28),0)+IFERROR((VLOOKUP(A80,ExcessLevy!A:G,6,FALSE)*0.72),0)</f>
        <v>104439.91600000001</v>
      </c>
      <c r="Q80" s="121">
        <f>IFERROR((VLOOKUP(A80,ExcessLevy!A:G,4,FALSE)*0.4738),0)+IFERROR((VLOOKUP(A80,ExcessLevy!A:G,7,FALSE)*0.5262),0)</f>
        <v>9018140.5644000005</v>
      </c>
      <c r="R80">
        <f>VLOOKUP(A80,JanApport,MATCH($R$4,'Jan 2022 Apport'!$3:$3,0),FALSE)</f>
        <v>0</v>
      </c>
      <c r="S80">
        <f>VLOOKUP(A80,JanApport,MATCH($S$4,'Jan 2022 Apport'!$3:$3,0),FALSE)</f>
        <v>24.11</v>
      </c>
      <c r="T80">
        <f>VLOOKUP(A80,JanApport,MATCH($T$4,'Jan 2022 Apport'!$3:$3,0),FALSE)</f>
        <v>418.76</v>
      </c>
      <c r="U80" s="132">
        <f>IFERROR(VLOOKUP(A80,JanApport,MATCH($U$4,'Jan 2022 Apport'!$3:$3,0),FALSE)/R80,0)</f>
        <v>0</v>
      </c>
      <c r="V80" s="30">
        <f>IFERROR(((VLOOKUP(A80,JanApport,MATCH($V$4,'Jan 2022 Apport'!$3:$3,0),FALSE)+VLOOKUP(A80,JanApport,MATCH($V$3,'Jan 2022 Apport'!$3:$3,0),FALSE))/(S80+T80)),0)</f>
        <v>9869.1348476979692</v>
      </c>
      <c r="W80" s="30">
        <f t="shared" si="14"/>
        <v>9094.0473371722728</v>
      </c>
      <c r="X80">
        <f>VLOOKUP(A80,JanApport,MATCH($X$4,'Jan 2022 Apport'!$3:$3,0),FALSE)</f>
        <v>4.8578999999999997E-2</v>
      </c>
      <c r="Y80">
        <f>VLOOKUP(A80,JanApport,MATCH($Y$4,'Jan 2022 Apport'!$3:$3,0),FALSE)</f>
        <v>4.0270000000000002E-3</v>
      </c>
      <c r="Z80">
        <f>VLOOKUP(A80,JanApport,MATCH($Z$4,'Jan 2022 Apport'!$3:$3,0),FALSE)</f>
        <v>1.7100000000000001E-2</v>
      </c>
      <c r="AA80" s="77">
        <f>VLOOKUP(A80,JanApport,MATCH($AA$4,'Jan 2022 Apport'!$3:$3,0),FALSE)*VLOOKUP(A80,JanApport,MATCH($AA$3,'Jan 2022 Apport'!$3:$3,0),FALSE)</f>
        <v>75695.200000000012</v>
      </c>
      <c r="AB80" s="77">
        <f>VLOOKUP(A80,JanApport,MATCH($AB$4,'Jan 2022 Apport'!$3:$3,0),FALSE)*VLOOKUP(A80,JanApport,MATCH($AB$3,'Jan 2022 Apport'!$3:$3,0),FALSE)</f>
        <v>81345.659999999989</v>
      </c>
      <c r="AC80" s="77">
        <f>VLOOKUP(A80,JanApport,MATCH($AC$4,'Jan 2022 Apport'!$3:$3,0),FALSE)</f>
        <v>100321</v>
      </c>
      <c r="AD80" s="77">
        <f>VLOOKUP(A80,JanApport,MATCH($AD$4,'Jan 2022 Apport'!$3:$3,0),FALSE)*VLOOKUP(A80,JanApport,MATCH($AD$3,'Jan 2022 Apport'!$3:$3,0),FALSE)</f>
        <v>120745.86</v>
      </c>
      <c r="AE80" s="77">
        <f>VLOOKUP(A80,JanApport,MATCH($AE$4,'Jan 2022 Apport'!$3:$3,0),FALSE)</f>
        <v>48483</v>
      </c>
      <c r="AF80" s="77">
        <f>VLOOKUP(A80,JanApport,MATCH($AF$4,'Jan 2022 Apport'!$3:$3,0),FALSE)*VLOOKUP(A80,JanApport,MATCH($AF$3,'Jan 2022 Apport'!$3:$3,0),FALSE)</f>
        <v>58354.539999999994</v>
      </c>
      <c r="AG80" s="77">
        <f t="shared" si="15"/>
        <v>111631.41644199999</v>
      </c>
      <c r="AH80" s="77">
        <f t="shared" si="16"/>
        <v>159884.84570200002</v>
      </c>
      <c r="AI80" s="77">
        <f t="shared" si="17"/>
        <v>87896.402584467985</v>
      </c>
      <c r="AJ80" s="3">
        <f>VLOOKUP(A80,JanApport,MATCH($AJ$4,'Jan 2022 Apport'!$3:$3,0),FALSE)</f>
        <v>4965541.04</v>
      </c>
      <c r="AK80" s="3">
        <f>VLOOKUP(A80,JanApport,MATCH($AK$4,'Jan 2022 Apport'!$3:$3,0),FALSE)</f>
        <v>81.662999999999997</v>
      </c>
      <c r="AL80" s="117">
        <f t="shared" si="18"/>
        <v>48980442.560000002</v>
      </c>
      <c r="AM80" s="117">
        <f>VLOOKUP(A80,JanApport,MATCH($AM$4,'Jan 2022 Apport'!$3:$3,0),FALSE)</f>
        <v>0</v>
      </c>
      <c r="AN80" s="117">
        <f>VLOOKUP(A80,JanApport,MATCH($AN$4,'Jan 2022 Apport'!$3:$3,0),FALSE)</f>
        <v>318780.08</v>
      </c>
    </row>
    <row r="81" spans="1:40">
      <c r="A81" s="2" t="s">
        <v>135</v>
      </c>
      <c r="B81" s="2" t="s">
        <v>136</v>
      </c>
      <c r="C81" s="2" t="s">
        <v>1267</v>
      </c>
      <c r="D81" s="118">
        <f>VLOOKUP(A81,JanApport,MATCH($D$4,'Jan 2022 Apport'!$3:$3,FALSE),FALSE)</f>
        <v>22928762.940000001</v>
      </c>
      <c r="E81" s="30">
        <f>VLOOKUP(A81,JanApport,MATCH($E$2,'Jan 2022 Apport'!$3:$3,0),FALSE)+VLOOKUP(A81,JanApport,MATCH($E$3,'Jan 2022 Apport'!$3:$3,0),FALSE)+VLOOKUP(A81,JanApport,MATCH($E$4,'Jan 2022 Apport'!$3:$3,0),FALSE)</f>
        <v>2240465.5</v>
      </c>
      <c r="F81" s="118">
        <f t="shared" si="19"/>
        <v>20688297.440000001</v>
      </c>
      <c r="G81" s="117">
        <f>VLOOKUP(A81,JanApport,MATCH($G$4,'Jan 2022 Apport'!$3:$3,0),FALSE)</f>
        <v>211549.89</v>
      </c>
      <c r="H81" s="117">
        <f>VLOOKUP(A81,JanApport,MATCH($H$3,'Jan 2022 Apport'!$3:$3,0),FALSE)+VLOOKUP(A81,JanApport,MATCH($H$2,'Jan 2022 Apport'!$3:$3,0),FALSE)+VLOOKUP(A81,JanApport,MATCH($H$4,'Jan 2022 Apport'!$3:$3,0),FALSE)</f>
        <v>2912998.22</v>
      </c>
      <c r="I81" s="117">
        <f t="shared" si="20"/>
        <v>3124548.1100000003</v>
      </c>
      <c r="J81" s="117">
        <f>VLOOKUP(A81,JanApport,MATCH($J$4,'Jan 2022 Apport'!$3:$3,0),FALSE)</f>
        <v>1477797.17</v>
      </c>
      <c r="K81" s="117">
        <f>VLOOKUP(A81,JanApport,MATCH($K$4,'Jan 2022 Apport'!$3:$3,0),FALSE)</f>
        <v>203596.01</v>
      </c>
      <c r="L81" s="117">
        <f t="shared" si="21"/>
        <v>1681393.18</v>
      </c>
      <c r="M81" s="117">
        <f>VLOOKUP(A81,JanApport,MATCH($M$4,'Jan 2022 Apport'!$3:$3,0),FALSE)</f>
        <v>922248.21</v>
      </c>
      <c r="N81" s="117">
        <f>VLOOKUP(A81,JanApport,MATCH($N$4,'Jan 2022 Apport'!$3:$3,0),FALSE)</f>
        <v>586075.18000000005</v>
      </c>
      <c r="O81" s="117">
        <f>VLOOKUP(A81,JanApport,MATCH($O$4,'Jan 2022 Apport'!$3:$3,0),FALSE)</f>
        <v>0</v>
      </c>
      <c r="P81" s="121">
        <f>IFERROR((VLOOKUP(A81,ExcessLevy!A:G,3,FALSE)*0.28),0)+IFERROR((VLOOKUP(A81,ExcessLevy!A:G,6,FALSE)*0.72),0)</f>
        <v>2678788.6587999999</v>
      </c>
      <c r="Q81" s="121">
        <f>IFERROR((VLOOKUP(A81,ExcessLevy!A:G,4,FALSE)*0.4738),0)+IFERROR((VLOOKUP(A81,ExcessLevy!A:G,7,FALSE)*0.5262),0)</f>
        <v>1793397.7908319999</v>
      </c>
      <c r="R81">
        <f>VLOOKUP(A81,JanApport,MATCH($R$4,'Jan 2022 Apport'!$3:$3,0),FALSE)</f>
        <v>0</v>
      </c>
      <c r="S81">
        <f>VLOOKUP(A81,JanApport,MATCH($S$4,'Jan 2022 Apport'!$3:$3,0),FALSE)</f>
        <v>40.92</v>
      </c>
      <c r="T81">
        <f>VLOOKUP(A81,JanApport,MATCH($T$4,'Jan 2022 Apport'!$3:$3,0),FALSE)</f>
        <v>205.02</v>
      </c>
      <c r="U81" s="132">
        <f>IFERROR(VLOOKUP(A81,JanApport,MATCH($U$4,'Jan 2022 Apport'!$3:$3,0),FALSE)/R81,0)</f>
        <v>0</v>
      </c>
      <c r="V81" s="30">
        <f>IFERROR(((VLOOKUP(A81,JanApport,MATCH($V$4,'Jan 2022 Apport'!$3:$3,0),FALSE)+VLOOKUP(A81,JanApport,MATCH($V$3,'Jan 2022 Apport'!$3:$3,0),FALSE))/(S81+T81)),0)</f>
        <v>9109.8052370496862</v>
      </c>
      <c r="W81" s="30">
        <f t="shared" si="14"/>
        <v>8083.6246967786601</v>
      </c>
      <c r="X81">
        <f>VLOOKUP(A81,JanApport,MATCH($X$4,'Jan 2022 Apport'!$3:$3,0),FALSE)</f>
        <v>4.8578999999999997E-2</v>
      </c>
      <c r="Y81">
        <f>VLOOKUP(A81,JanApport,MATCH($Y$4,'Jan 2022 Apport'!$3:$3,0),FALSE)</f>
        <v>4.0270000000000002E-3</v>
      </c>
      <c r="Z81">
        <f>VLOOKUP(A81,JanApport,MATCH($Z$4,'Jan 2022 Apport'!$3:$3,0),FALSE)</f>
        <v>1.7100000000000001E-2</v>
      </c>
      <c r="AA81" s="77">
        <f>VLOOKUP(A81,JanApport,MATCH($AA$4,'Jan 2022 Apport'!$3:$3,0),FALSE)*VLOOKUP(A81,JanApport,MATCH($AA$3,'Jan 2022 Apport'!$3:$3,0),FALSE)</f>
        <v>67585</v>
      </c>
      <c r="AB81" s="77">
        <f>VLOOKUP(A81,JanApport,MATCH($AB$4,'Jan 2022 Apport'!$3:$3,0),FALSE)*VLOOKUP(A81,JanApport,MATCH($AB$3,'Jan 2022 Apport'!$3:$3,0),FALSE)</f>
        <v>68937</v>
      </c>
      <c r="AC81" s="77">
        <f>VLOOKUP(A81,JanApport,MATCH($AC$4,'Jan 2022 Apport'!$3:$3,0),FALSE)</f>
        <v>100321</v>
      </c>
      <c r="AD81" s="77">
        <f>VLOOKUP(A81,JanApport,MATCH($AD$4,'Jan 2022 Apport'!$3:$3,0),FALSE)*VLOOKUP(A81,JanApport,MATCH($AD$3,'Jan 2022 Apport'!$3:$3,0),FALSE)</f>
        <v>102327</v>
      </c>
      <c r="AE81" s="77">
        <f>VLOOKUP(A81,JanApport,MATCH($AE$4,'Jan 2022 Apport'!$3:$3,0),FALSE)</f>
        <v>48483</v>
      </c>
      <c r="AF81" s="77">
        <f>VLOOKUP(A81,JanApport,MATCH($AF$4,'Jan 2022 Apport'!$3:$3,0),FALSE)*VLOOKUP(A81,JanApport,MATCH($AF$3,'Jan 2022 Apport'!$3:$3,0),FALSE)</f>
        <v>49453</v>
      </c>
      <c r="AG81" s="77">
        <f t="shared" si="15"/>
        <v>96432.259900000005</v>
      </c>
      <c r="AH81" s="77">
        <f t="shared" si="16"/>
        <v>137400.94330000001</v>
      </c>
      <c r="AI81" s="77">
        <f t="shared" si="17"/>
        <v>77281.189732599989</v>
      </c>
      <c r="AJ81" s="3">
        <f>VLOOKUP(A81,JanApport,MATCH($AJ$4,'Jan 2022 Apport'!$3:$3,0),FALSE)</f>
        <v>3187784.1</v>
      </c>
      <c r="AK81" s="3">
        <f>VLOOKUP(A81,JanApport,MATCH($AK$4,'Jan 2022 Apport'!$3:$3,0),FALSE)</f>
        <v>48.164999999999999</v>
      </c>
      <c r="AL81" s="117">
        <f t="shared" si="18"/>
        <v>29559791.030000001</v>
      </c>
      <c r="AM81" s="117">
        <f>VLOOKUP(A81,JanApport,MATCH($AM$4,'Jan 2022 Apport'!$3:$3,0),FALSE)</f>
        <v>520359.42</v>
      </c>
      <c r="AN81" s="117">
        <f>VLOOKUP(A81,JanApport,MATCH($AN$4,'Jan 2022 Apport'!$3:$3,0),FALSE)</f>
        <v>180192.59</v>
      </c>
    </row>
    <row r="82" spans="1:40">
      <c r="A82" s="2" t="s">
        <v>273</v>
      </c>
      <c r="B82" s="2" t="s">
        <v>274</v>
      </c>
      <c r="C82" s="2" t="s">
        <v>1267</v>
      </c>
      <c r="D82" s="118">
        <f>VLOOKUP(A82,JanApport,MATCH($D$4,'Jan 2022 Apport'!$3:$3,FALSE),FALSE)</f>
        <v>435121.09</v>
      </c>
      <c r="E82" s="30">
        <f>VLOOKUP(A82,JanApport,MATCH($E$2,'Jan 2022 Apport'!$3:$3,0),FALSE)+VLOOKUP(A82,JanApport,MATCH($E$3,'Jan 2022 Apport'!$3:$3,0),FALSE)+VLOOKUP(A82,JanApport,MATCH($E$4,'Jan 2022 Apport'!$3:$3,0),FALSE)</f>
        <v>0</v>
      </c>
      <c r="F82" s="118">
        <f t="shared" si="19"/>
        <v>435121.09</v>
      </c>
      <c r="G82" s="117">
        <f>VLOOKUP(A82,JanApport,MATCH($G$4,'Jan 2022 Apport'!$3:$3,0),FALSE)</f>
        <v>10284.120000000001</v>
      </c>
      <c r="H82" s="117">
        <f>VLOOKUP(A82,JanApport,MATCH($H$3,'Jan 2022 Apport'!$3:$3,0),FALSE)+VLOOKUP(A82,JanApport,MATCH($H$2,'Jan 2022 Apport'!$3:$3,0),FALSE)+VLOOKUP(A82,JanApport,MATCH($H$4,'Jan 2022 Apport'!$3:$3,0),FALSE)</f>
        <v>53829.24</v>
      </c>
      <c r="I82" s="117">
        <f t="shared" si="20"/>
        <v>64113.36</v>
      </c>
      <c r="J82" s="117">
        <f>VLOOKUP(A82,JanApport,MATCH($J$4,'Jan 2022 Apport'!$3:$3,0),FALSE)</f>
        <v>23186.58</v>
      </c>
      <c r="K82" s="117">
        <f>VLOOKUP(A82,JanApport,MATCH($K$4,'Jan 2022 Apport'!$3:$3,0),FALSE)</f>
        <v>8791.32</v>
      </c>
      <c r="L82" s="117">
        <f t="shared" si="21"/>
        <v>31977.9</v>
      </c>
      <c r="M82" s="117">
        <f>VLOOKUP(A82,JanApport,MATCH($M$4,'Jan 2022 Apport'!$3:$3,0),FALSE)</f>
        <v>19860.47</v>
      </c>
      <c r="N82" s="117">
        <f>VLOOKUP(A82,JanApport,MATCH($N$4,'Jan 2022 Apport'!$3:$3,0),FALSE)</f>
        <v>3815.55</v>
      </c>
      <c r="O82" s="117">
        <f>VLOOKUP(A82,JanApport,MATCH($O$4,'Jan 2022 Apport'!$3:$3,0),FALSE)</f>
        <v>1271.8599999999999</v>
      </c>
      <c r="P82" s="121">
        <f>IFERROR((VLOOKUP(A82,ExcessLevy!A:G,3,FALSE)*0.28),0)+IFERROR((VLOOKUP(A82,ExcessLevy!A:G,6,FALSE)*0.72),0)</f>
        <v>0</v>
      </c>
      <c r="Q82" s="121">
        <f>IFERROR((VLOOKUP(A82,ExcessLevy!A:G,4,FALSE)*0.4738),0)+IFERROR((VLOOKUP(A82,ExcessLevy!A:G,7,FALSE)*0.5262),0)</f>
        <v>190475.68479999999</v>
      </c>
      <c r="R82">
        <f>VLOOKUP(A82,JanApport,MATCH($R$4,'Jan 2022 Apport'!$3:$3,0),FALSE)</f>
        <v>0</v>
      </c>
      <c r="S82">
        <f>VLOOKUP(A82,JanApport,MATCH($S$4,'Jan 2022 Apport'!$3:$3,0),FALSE)</f>
        <v>0</v>
      </c>
      <c r="T82">
        <f>VLOOKUP(A82,JanApport,MATCH($T$4,'Jan 2022 Apport'!$3:$3,0),FALSE)</f>
        <v>0</v>
      </c>
      <c r="U82" s="132">
        <f>IFERROR(VLOOKUP(A82,JanApport,MATCH($U$4,'Jan 2022 Apport'!$3:$3,0),FALSE)/R82,0)</f>
        <v>0</v>
      </c>
      <c r="V82" s="30">
        <f>IFERROR(((VLOOKUP(A82,JanApport,MATCH($V$4,'Jan 2022 Apport'!$3:$3,0),FALSE)+VLOOKUP(A82,JanApport,MATCH($V$3,'Jan 2022 Apport'!$3:$3,0),FALSE))/(S82+T82)),0)</f>
        <v>0</v>
      </c>
      <c r="W82" s="30">
        <f t="shared" si="14"/>
        <v>8083.6246967786601</v>
      </c>
      <c r="X82">
        <f>VLOOKUP(A82,JanApport,MATCH($X$4,'Jan 2022 Apport'!$3:$3,0),FALSE)</f>
        <v>4.8578999999999997E-2</v>
      </c>
      <c r="Y82">
        <f>VLOOKUP(A82,JanApport,MATCH($Y$4,'Jan 2022 Apport'!$3:$3,0),FALSE)</f>
        <v>4.0270000000000002E-3</v>
      </c>
      <c r="Z82">
        <f>VLOOKUP(A82,JanApport,MATCH($Z$4,'Jan 2022 Apport'!$3:$3,0),FALSE)</f>
        <v>1.7100000000000001E-2</v>
      </c>
      <c r="AA82" s="77">
        <f>VLOOKUP(A82,JanApport,MATCH($AA$4,'Jan 2022 Apport'!$3:$3,0),FALSE)*VLOOKUP(A82,JanApport,MATCH($AA$3,'Jan 2022 Apport'!$3:$3,0),FALSE)</f>
        <v>67585</v>
      </c>
      <c r="AB82" s="77">
        <f>VLOOKUP(A82,JanApport,MATCH($AB$4,'Jan 2022 Apport'!$3:$3,0),FALSE)*VLOOKUP(A82,JanApport,MATCH($AB$3,'Jan 2022 Apport'!$3:$3,0),FALSE)</f>
        <v>68937</v>
      </c>
      <c r="AC82" s="77">
        <f>VLOOKUP(A82,JanApport,MATCH($AC$4,'Jan 2022 Apport'!$3:$3,0),FALSE)</f>
        <v>100321</v>
      </c>
      <c r="AD82" s="77">
        <f>VLOOKUP(A82,JanApport,MATCH($AD$4,'Jan 2022 Apport'!$3:$3,0),FALSE)*VLOOKUP(A82,JanApport,MATCH($AD$3,'Jan 2022 Apport'!$3:$3,0),FALSE)</f>
        <v>102327</v>
      </c>
      <c r="AE82" s="77">
        <f>VLOOKUP(A82,JanApport,MATCH($AE$4,'Jan 2022 Apport'!$3:$3,0),FALSE)</f>
        <v>48483</v>
      </c>
      <c r="AF82" s="77">
        <f>VLOOKUP(A82,JanApport,MATCH($AF$4,'Jan 2022 Apport'!$3:$3,0),FALSE)*VLOOKUP(A82,JanApport,MATCH($AF$3,'Jan 2022 Apport'!$3:$3,0),FALSE)</f>
        <v>49453</v>
      </c>
      <c r="AG82" s="77">
        <f t="shared" si="15"/>
        <v>96432.259900000005</v>
      </c>
      <c r="AH82" s="77">
        <f t="shared" si="16"/>
        <v>137400.94330000001</v>
      </c>
      <c r="AI82" s="77">
        <f t="shared" si="17"/>
        <v>77281.189732599989</v>
      </c>
      <c r="AJ82" s="3">
        <f>VLOOKUP(A82,JanApport,MATCH($AJ$4,'Jan 2022 Apport'!$3:$3,0),FALSE)</f>
        <v>63615.48</v>
      </c>
      <c r="AK82" s="3">
        <f>VLOOKUP(A82,JanApport,MATCH($AK$4,'Jan 2022 Apport'!$3:$3,0),FALSE)</f>
        <v>1.44</v>
      </c>
      <c r="AL82" s="117">
        <f t="shared" si="18"/>
        <v>562044.13</v>
      </c>
      <c r="AM82" s="117">
        <f>VLOOKUP(A82,JanApport,MATCH($AM$4,'Jan 2022 Apport'!$3:$3,0),FALSE)</f>
        <v>14675.22</v>
      </c>
      <c r="AN82" s="117">
        <f>VLOOKUP(A82,JanApport,MATCH($AN$4,'Jan 2022 Apport'!$3:$3,0),FALSE)</f>
        <v>3870.96</v>
      </c>
    </row>
    <row r="83" spans="1:40">
      <c r="A83" s="2" t="s">
        <v>423</v>
      </c>
      <c r="B83" s="2" t="s">
        <v>424</v>
      </c>
      <c r="C83" s="2" t="s">
        <v>1267</v>
      </c>
      <c r="D83" s="118">
        <f>VLOOKUP(A83,JanApport,MATCH($D$4,'Jan 2022 Apport'!$3:$3,FALSE),FALSE)</f>
        <v>197137675.28999999</v>
      </c>
      <c r="E83" s="30">
        <f>VLOOKUP(A83,JanApport,MATCH($E$2,'Jan 2022 Apport'!$3:$3,0),FALSE)+VLOOKUP(A83,JanApport,MATCH($E$3,'Jan 2022 Apport'!$3:$3,0),FALSE)+VLOOKUP(A83,JanApport,MATCH($E$4,'Jan 2022 Apport'!$3:$3,0),FALSE)</f>
        <v>15432448.299999999</v>
      </c>
      <c r="F83" s="118">
        <f t="shared" si="19"/>
        <v>181705226.98999998</v>
      </c>
      <c r="G83" s="117">
        <f>VLOOKUP(A83,JanApport,MATCH($G$4,'Jan 2022 Apport'!$3:$3,0),FALSE)</f>
        <v>2164214.1</v>
      </c>
      <c r="H83" s="117">
        <f>VLOOKUP(A83,JanApport,MATCH($H$3,'Jan 2022 Apport'!$3:$3,0),FALSE)+VLOOKUP(A83,JanApport,MATCH($H$2,'Jan 2022 Apport'!$3:$3,0),FALSE)+VLOOKUP(A83,JanApport,MATCH($H$4,'Jan 2022 Apport'!$3:$3,0),FALSE)</f>
        <v>23794950.850000001</v>
      </c>
      <c r="I83" s="117">
        <f t="shared" si="20"/>
        <v>25959164.950000003</v>
      </c>
      <c r="J83" s="117">
        <f>VLOOKUP(A83,JanApport,MATCH($J$4,'Jan 2022 Apport'!$3:$3,0),FALSE)</f>
        <v>10657250.4</v>
      </c>
      <c r="K83" s="117">
        <f>VLOOKUP(A83,JanApport,MATCH($K$4,'Jan 2022 Apport'!$3:$3,0),FALSE)</f>
        <v>178959.62</v>
      </c>
      <c r="L83" s="117">
        <f t="shared" si="21"/>
        <v>10836210.02</v>
      </c>
      <c r="M83" s="117">
        <f>VLOOKUP(A83,JanApport,MATCH($M$4,'Jan 2022 Apport'!$3:$3,0),FALSE)</f>
        <v>5586877.8600000003</v>
      </c>
      <c r="N83" s="117">
        <f>VLOOKUP(A83,JanApport,MATCH($N$4,'Jan 2022 Apport'!$3:$3,0),FALSE)</f>
        <v>5815906.7199999997</v>
      </c>
      <c r="O83" s="117">
        <f>VLOOKUP(A83,JanApport,MATCH($O$4,'Jan 2022 Apport'!$3:$3,0),FALSE)</f>
        <v>654072.39</v>
      </c>
      <c r="P83" s="121">
        <f>IFERROR((VLOOKUP(A83,ExcessLevy!A:G,3,FALSE)*0.28),0)+IFERROR((VLOOKUP(A83,ExcessLevy!A:G,6,FALSE)*0.72),0)</f>
        <v>0</v>
      </c>
      <c r="Q83" s="121">
        <f>IFERROR((VLOOKUP(A83,ExcessLevy!A:G,4,FALSE)*0.4738),0)+IFERROR((VLOOKUP(A83,ExcessLevy!A:G,7,FALSE)*0.5262),0)</f>
        <v>51179494</v>
      </c>
      <c r="R83">
        <f>VLOOKUP(A83,JanApport,MATCH($R$4,'Jan 2022 Apport'!$3:$3,0),FALSE)</f>
        <v>0</v>
      </c>
      <c r="S83">
        <f>VLOOKUP(A83,JanApport,MATCH($S$4,'Jan 2022 Apport'!$3:$3,0),FALSE)</f>
        <v>416.83</v>
      </c>
      <c r="T83">
        <f>VLOOKUP(A83,JanApport,MATCH($T$4,'Jan 2022 Apport'!$3:$3,0),FALSE)</f>
        <v>1098.77</v>
      </c>
      <c r="U83" s="132">
        <f>IFERROR(VLOOKUP(A83,JanApport,MATCH($U$4,'Jan 2022 Apport'!$3:$3,0),FALSE)/R83,0)</f>
        <v>0</v>
      </c>
      <c r="V83" s="30">
        <f>IFERROR(((VLOOKUP(A83,JanApport,MATCH($V$4,'Jan 2022 Apport'!$3:$3,0),FALSE)+VLOOKUP(A83,JanApport,MATCH($V$3,'Jan 2022 Apport'!$3:$3,0),FALSE))/(S83+T83)),0)</f>
        <v>10182.401887041435</v>
      </c>
      <c r="W83" s="30">
        <f t="shared" si="14"/>
        <v>8087.8272077738611</v>
      </c>
      <c r="X83">
        <f>VLOOKUP(A83,JanApport,MATCH($X$4,'Jan 2022 Apport'!$3:$3,0),FALSE)</f>
        <v>4.8578999999999997E-2</v>
      </c>
      <c r="Y83">
        <f>VLOOKUP(A83,JanApport,MATCH($Y$4,'Jan 2022 Apport'!$3:$3,0),FALSE)</f>
        <v>4.0270000000000002E-3</v>
      </c>
      <c r="Z83">
        <f>VLOOKUP(A83,JanApport,MATCH($Z$4,'Jan 2022 Apport'!$3:$3,0),FALSE)</f>
        <v>1.7100000000000001E-2</v>
      </c>
      <c r="AA83" s="77">
        <f>VLOOKUP(A83,JanApport,MATCH($AA$4,'Jan 2022 Apport'!$3:$3,0),FALSE)*VLOOKUP(A83,JanApport,MATCH($AA$3,'Jan 2022 Apport'!$3:$3,0),FALSE)</f>
        <v>81102</v>
      </c>
      <c r="AB83" s="77">
        <f>VLOOKUP(A83,JanApport,MATCH($AB$4,'Jan 2022 Apport'!$3:$3,0),FALSE)*VLOOKUP(A83,JanApport,MATCH($AB$3,'Jan 2022 Apport'!$3:$3,0),FALSE)</f>
        <v>68937</v>
      </c>
      <c r="AC83" s="77">
        <f>VLOOKUP(A83,JanApport,MATCH($AC$4,'Jan 2022 Apport'!$3:$3,0),FALSE)</f>
        <v>100321</v>
      </c>
      <c r="AD83" s="77">
        <f>VLOOKUP(A83,JanApport,MATCH($AD$4,'Jan 2022 Apport'!$3:$3,0),FALSE)*VLOOKUP(A83,JanApport,MATCH($AD$3,'Jan 2022 Apport'!$3:$3,0),FALSE)</f>
        <v>102327</v>
      </c>
      <c r="AE83" s="77">
        <f>VLOOKUP(A83,JanApport,MATCH($AE$4,'Jan 2022 Apport'!$3:$3,0),FALSE)</f>
        <v>48483</v>
      </c>
      <c r="AF83" s="77">
        <f>VLOOKUP(A83,JanApport,MATCH($AF$4,'Jan 2022 Apport'!$3:$3,0),FALSE)*VLOOKUP(A83,JanApport,MATCH($AF$3,'Jan 2022 Apport'!$3:$3,0),FALSE)</f>
        <v>49453</v>
      </c>
      <c r="AG83" s="77">
        <f t="shared" si="15"/>
        <v>96518.768700000015</v>
      </c>
      <c r="AH83" s="77">
        <f t="shared" si="16"/>
        <v>137400.94330000001</v>
      </c>
      <c r="AI83" s="77">
        <f t="shared" si="17"/>
        <v>77281.189732599989</v>
      </c>
      <c r="AJ83" s="3">
        <f>VLOOKUP(A83,JanApport,MATCH($AJ$4,'Jan 2022 Apport'!$3:$3,0),FALSE)</f>
        <v>24428150.539999999</v>
      </c>
      <c r="AK83" s="3">
        <f>VLOOKUP(A83,JanApport,MATCH($AK$4,'Jan 2022 Apport'!$3:$3,0),FALSE)</f>
        <v>418.25799999999998</v>
      </c>
      <c r="AL83" s="117">
        <f t="shared" si="18"/>
        <v>247827344.86000001</v>
      </c>
      <c r="AM83" s="117">
        <f>VLOOKUP(A83,JanApport,MATCH($AM$4,'Jan 2022 Apport'!$3:$3,0),FALSE)</f>
        <v>2016397.25</v>
      </c>
      <c r="AN83" s="117">
        <f>VLOOKUP(A83,JanApport,MATCH($AN$4,'Jan 2022 Apport'!$3:$3,0),FALSE)</f>
        <v>1629746.62</v>
      </c>
    </row>
    <row r="84" spans="1:40">
      <c r="A84" s="2" t="s">
        <v>65</v>
      </c>
      <c r="B84" s="2" t="s">
        <v>66</v>
      </c>
      <c r="C84" s="2" t="s">
        <v>1267</v>
      </c>
      <c r="D84" s="118">
        <f>VLOOKUP(A84,JanApport,MATCH($D$4,'Jan 2022 Apport'!$3:$3,FALSE),FALSE)</f>
        <v>209807409.25</v>
      </c>
      <c r="E84" s="30">
        <f>VLOOKUP(A84,JanApport,MATCH($E$2,'Jan 2022 Apport'!$3:$3,0),FALSE)+VLOOKUP(A84,JanApport,MATCH($E$3,'Jan 2022 Apport'!$3:$3,0),FALSE)+VLOOKUP(A84,JanApport,MATCH($E$4,'Jan 2022 Apport'!$3:$3,0),FALSE)</f>
        <v>28122733.32</v>
      </c>
      <c r="F84" s="118">
        <f t="shared" si="19"/>
        <v>181684675.93000001</v>
      </c>
      <c r="G84" s="117">
        <f>VLOOKUP(A84,JanApport,MATCH($G$4,'Jan 2022 Apport'!$3:$3,0),FALSE)</f>
        <v>1637397.98</v>
      </c>
      <c r="H84" s="117">
        <f>VLOOKUP(A84,JanApport,MATCH($H$3,'Jan 2022 Apport'!$3:$3,0),FALSE)+VLOOKUP(A84,JanApport,MATCH($H$2,'Jan 2022 Apport'!$3:$3,0),FALSE)+VLOOKUP(A84,JanApport,MATCH($H$4,'Jan 2022 Apport'!$3:$3,0),FALSE)</f>
        <v>27346840.259999998</v>
      </c>
      <c r="I84" s="117">
        <f t="shared" si="20"/>
        <v>28984238.239999998</v>
      </c>
      <c r="J84" s="117">
        <f>VLOOKUP(A84,JanApport,MATCH($J$4,'Jan 2022 Apport'!$3:$3,0),FALSE)</f>
        <v>16416460.720000001</v>
      </c>
      <c r="K84" s="117">
        <f>VLOOKUP(A84,JanApport,MATCH($K$4,'Jan 2022 Apport'!$3:$3,0),FALSE)</f>
        <v>1635058.2</v>
      </c>
      <c r="L84" s="117">
        <f t="shared" si="21"/>
        <v>18051518.920000002</v>
      </c>
      <c r="M84" s="117">
        <f>VLOOKUP(A84,JanApport,MATCH($M$4,'Jan 2022 Apport'!$3:$3,0),FALSE)</f>
        <v>7769453.1900000004</v>
      </c>
      <c r="N84" s="117">
        <f>VLOOKUP(A84,JanApport,MATCH($N$4,'Jan 2022 Apport'!$3:$3,0),FALSE)</f>
        <v>5444570.29</v>
      </c>
      <c r="O84" s="117">
        <f>VLOOKUP(A84,JanApport,MATCH($O$4,'Jan 2022 Apport'!$3:$3,0),FALSE)</f>
        <v>680584.17</v>
      </c>
      <c r="P84" s="121">
        <f>IFERROR((VLOOKUP(A84,ExcessLevy!A:G,3,FALSE)*0.28),0)+IFERROR((VLOOKUP(A84,ExcessLevy!A:G,6,FALSE)*0.72),0)</f>
        <v>7071773.2800000012</v>
      </c>
      <c r="Q84" s="121">
        <f>IFERROR((VLOOKUP(A84,ExcessLevy!A:G,4,FALSE)*0.4738),0)+IFERROR((VLOOKUP(A84,ExcessLevy!A:G,7,FALSE)*0.5262),0)</f>
        <v>37062770</v>
      </c>
      <c r="R84">
        <f>VLOOKUP(A84,JanApport,MATCH($R$4,'Jan 2022 Apport'!$3:$3,0),FALSE)</f>
        <v>561.57000000000005</v>
      </c>
      <c r="S84">
        <f>VLOOKUP(A84,JanApport,MATCH($S$4,'Jan 2022 Apport'!$3:$3,0),FALSE)</f>
        <v>213.52</v>
      </c>
      <c r="T84">
        <f>VLOOKUP(A84,JanApport,MATCH($T$4,'Jan 2022 Apport'!$3:$3,0),FALSE)</f>
        <v>2172.5300000000002</v>
      </c>
      <c r="U84" s="132">
        <f>IFERROR(VLOOKUP(A84,JanApport,MATCH($U$4,'Jan 2022 Apport'!$3:$3,0),FALSE)/R84,0)</f>
        <v>10560.693769254054</v>
      </c>
      <c r="V84" s="30">
        <f>IFERROR(((VLOOKUP(A84,JanApport,MATCH($V$4,'Jan 2022 Apport'!$3:$3,0),FALSE)+VLOOKUP(A84,JanApport,MATCH($V$3,'Jan 2022 Apport'!$3:$3,0),FALSE))/(S84+T84)),0)</f>
        <v>9300.7960939628247</v>
      </c>
      <c r="W84" s="30">
        <f t="shared" si="14"/>
        <v>8084.8854500772204</v>
      </c>
      <c r="X84">
        <f>VLOOKUP(A84,JanApport,MATCH($X$4,'Jan 2022 Apport'!$3:$3,0),FALSE)</f>
        <v>4.8578999999999997E-2</v>
      </c>
      <c r="Y84">
        <f>VLOOKUP(A84,JanApport,MATCH($Y$4,'Jan 2022 Apport'!$3:$3,0),FALSE)</f>
        <v>4.0270000000000002E-3</v>
      </c>
      <c r="Z84">
        <f>VLOOKUP(A84,JanApport,MATCH($Z$4,'Jan 2022 Apport'!$3:$3,0),FALSE)</f>
        <v>1.7100000000000001E-2</v>
      </c>
      <c r="AA84" s="77">
        <f>VLOOKUP(A84,JanApport,MATCH($AA$4,'Jan 2022 Apport'!$3:$3,0),FALSE)*VLOOKUP(A84,JanApport,MATCH($AA$3,'Jan 2022 Apport'!$3:$3,0),FALSE)</f>
        <v>71640.100000000006</v>
      </c>
      <c r="AB84" s="77">
        <f>VLOOKUP(A84,JanApport,MATCH($AB$4,'Jan 2022 Apport'!$3:$3,0),FALSE)*VLOOKUP(A84,JanApport,MATCH($AB$3,'Jan 2022 Apport'!$3:$3,0),FALSE)</f>
        <v>68937</v>
      </c>
      <c r="AC84" s="77">
        <f>VLOOKUP(A84,JanApport,MATCH($AC$4,'Jan 2022 Apport'!$3:$3,0),FALSE)</f>
        <v>100321</v>
      </c>
      <c r="AD84" s="77">
        <f>VLOOKUP(A84,JanApport,MATCH($AD$4,'Jan 2022 Apport'!$3:$3,0),FALSE)*VLOOKUP(A84,JanApport,MATCH($AD$3,'Jan 2022 Apport'!$3:$3,0),FALSE)</f>
        <v>102327</v>
      </c>
      <c r="AE84" s="77">
        <f>VLOOKUP(A84,JanApport,MATCH($AE$4,'Jan 2022 Apport'!$3:$3,0),FALSE)</f>
        <v>48483</v>
      </c>
      <c r="AF84" s="77">
        <f>VLOOKUP(A84,JanApport,MATCH($AF$4,'Jan 2022 Apport'!$3:$3,0),FALSE)*VLOOKUP(A84,JanApport,MATCH($AF$3,'Jan 2022 Apport'!$3:$3,0),FALSE)</f>
        <v>49453</v>
      </c>
      <c r="AG84" s="77">
        <f t="shared" si="15"/>
        <v>96458.212540000008</v>
      </c>
      <c r="AH84" s="77">
        <f t="shared" si="16"/>
        <v>137400.94330000001</v>
      </c>
      <c r="AI84" s="77">
        <f t="shared" si="17"/>
        <v>77281.189732599989</v>
      </c>
      <c r="AJ84" s="3">
        <f>VLOOKUP(A84,JanApport,MATCH($AJ$4,'Jan 2022 Apport'!$3:$3,0),FALSE)</f>
        <v>26778822.539999999</v>
      </c>
      <c r="AK84" s="3">
        <f>VLOOKUP(A84,JanApport,MATCH($AK$4,'Jan 2022 Apport'!$3:$3,0),FALSE)</f>
        <v>404.024</v>
      </c>
      <c r="AL84" s="117">
        <f t="shared" si="18"/>
        <v>272852520.33999997</v>
      </c>
      <c r="AM84" s="117">
        <f>VLOOKUP(A84,JanApport,MATCH($AM$4,'Jan 2022 Apport'!$3:$3,0),FALSE)</f>
        <v>3749804.48</v>
      </c>
      <c r="AN84" s="117">
        <f>VLOOKUP(A84,JanApport,MATCH($AN$4,'Jan 2022 Apport'!$3:$3,0),FALSE)</f>
        <v>1543733.23</v>
      </c>
    </row>
    <row r="85" spans="1:40">
      <c r="A85" s="2" t="s">
        <v>497</v>
      </c>
      <c r="B85" s="2" t="s">
        <v>498</v>
      </c>
      <c r="C85" s="2" t="s">
        <v>1267</v>
      </c>
      <c r="D85" s="118">
        <f>VLOOKUP(A85,JanApport,MATCH($D$4,'Jan 2022 Apport'!$3:$3,FALSE),FALSE)</f>
        <v>427651.2</v>
      </c>
      <c r="E85" s="30">
        <f>VLOOKUP(A85,JanApport,MATCH($E$2,'Jan 2022 Apport'!$3:$3,0),FALSE)+VLOOKUP(A85,JanApport,MATCH($E$3,'Jan 2022 Apport'!$3:$3,0),FALSE)+VLOOKUP(A85,JanApport,MATCH($E$4,'Jan 2022 Apport'!$3:$3,0),FALSE)</f>
        <v>0</v>
      </c>
      <c r="F85" s="118">
        <f t="shared" si="19"/>
        <v>427651.2</v>
      </c>
      <c r="G85" s="117">
        <f>VLOOKUP(A85,JanApport,MATCH($G$4,'Jan 2022 Apport'!$3:$3,0),FALSE)</f>
        <v>0</v>
      </c>
      <c r="H85" s="117">
        <f>VLOOKUP(A85,JanApport,MATCH($H$3,'Jan 2022 Apport'!$3:$3,0),FALSE)+VLOOKUP(A85,JanApport,MATCH($H$2,'Jan 2022 Apport'!$3:$3,0),FALSE)+VLOOKUP(A85,JanApport,MATCH($H$4,'Jan 2022 Apport'!$3:$3,0),FALSE)</f>
        <v>9122.19</v>
      </c>
      <c r="I85" s="117">
        <f t="shared" si="20"/>
        <v>9122.19</v>
      </c>
      <c r="J85" s="117">
        <f>VLOOKUP(A85,JanApport,MATCH($J$4,'Jan 2022 Apport'!$3:$3,0),FALSE)</f>
        <v>0</v>
      </c>
      <c r="K85" s="117">
        <f>VLOOKUP(A85,JanApport,MATCH($K$4,'Jan 2022 Apport'!$3:$3,0),FALSE)</f>
        <v>15256.05</v>
      </c>
      <c r="L85" s="117">
        <f t="shared" si="21"/>
        <v>15256.05</v>
      </c>
      <c r="M85" s="117">
        <f>VLOOKUP(A85,JanApport,MATCH($M$4,'Jan 2022 Apport'!$3:$3,0),FALSE)</f>
        <v>15555.72</v>
      </c>
      <c r="N85" s="117">
        <f>VLOOKUP(A85,JanApport,MATCH($N$4,'Jan 2022 Apport'!$3:$3,0),FALSE)</f>
        <v>0</v>
      </c>
      <c r="O85" s="117">
        <f>VLOOKUP(A85,JanApport,MATCH($O$4,'Jan 2022 Apport'!$3:$3,0),FALSE)</f>
        <v>684.84</v>
      </c>
      <c r="P85" s="121">
        <f>IFERROR((VLOOKUP(A85,ExcessLevy!A:G,3,FALSE)*0.28),0)+IFERROR((VLOOKUP(A85,ExcessLevy!A:G,6,FALSE)*0.72),0)</f>
        <v>0</v>
      </c>
      <c r="Q85" s="121">
        <f>IFERROR((VLOOKUP(A85,ExcessLevy!A:G,4,FALSE)*0.4738),0)+IFERROR((VLOOKUP(A85,ExcessLevy!A:G,7,FALSE)*0.5262),0)</f>
        <v>30000</v>
      </c>
      <c r="R85">
        <f>VLOOKUP(A85,JanApport,MATCH($R$4,'Jan 2022 Apport'!$3:$3,0),FALSE)</f>
        <v>0</v>
      </c>
      <c r="S85">
        <f>VLOOKUP(A85,JanApport,MATCH($S$4,'Jan 2022 Apport'!$3:$3,0),FALSE)</f>
        <v>0</v>
      </c>
      <c r="T85">
        <f>VLOOKUP(A85,JanApport,MATCH($T$4,'Jan 2022 Apport'!$3:$3,0),FALSE)</f>
        <v>0</v>
      </c>
      <c r="U85" s="132">
        <f>IFERROR(VLOOKUP(A85,JanApport,MATCH($U$4,'Jan 2022 Apport'!$3:$3,0),FALSE)/R85,0)</f>
        <v>0</v>
      </c>
      <c r="V85" s="30">
        <f>IFERROR(((VLOOKUP(A85,JanApport,MATCH($V$4,'Jan 2022 Apport'!$3:$3,0),FALSE)+VLOOKUP(A85,JanApport,MATCH($V$3,'Jan 2022 Apport'!$3:$3,0),FALSE))/(S85+T85)),0)</f>
        <v>0</v>
      </c>
      <c r="W85" s="30">
        <f t="shared" si="14"/>
        <v>8083.6246967786601</v>
      </c>
      <c r="X85">
        <f>VLOOKUP(A85,JanApport,MATCH($X$4,'Jan 2022 Apport'!$3:$3,0),FALSE)</f>
        <v>4.8578999999999997E-2</v>
      </c>
      <c r="Y85">
        <f>VLOOKUP(A85,JanApport,MATCH($Y$4,'Jan 2022 Apport'!$3:$3,0),FALSE)</f>
        <v>4.0270000000000002E-3</v>
      </c>
      <c r="Z85">
        <f>VLOOKUP(A85,JanApport,MATCH($Z$4,'Jan 2022 Apport'!$3:$3,0),FALSE)</f>
        <v>1.7100000000000001E-2</v>
      </c>
      <c r="AA85" s="77">
        <f>VLOOKUP(A85,JanApport,MATCH($AA$4,'Jan 2022 Apport'!$3:$3,0),FALSE)*VLOOKUP(A85,JanApport,MATCH($AA$3,'Jan 2022 Apport'!$3:$3,0),FALSE)</f>
        <v>67585</v>
      </c>
      <c r="AB85" s="77">
        <f>VLOOKUP(A85,JanApport,MATCH($AB$4,'Jan 2022 Apport'!$3:$3,0),FALSE)*VLOOKUP(A85,JanApport,MATCH($AB$3,'Jan 2022 Apport'!$3:$3,0),FALSE)</f>
        <v>68937</v>
      </c>
      <c r="AC85" s="77">
        <f>VLOOKUP(A85,JanApport,MATCH($AC$4,'Jan 2022 Apport'!$3:$3,0),FALSE)</f>
        <v>100321</v>
      </c>
      <c r="AD85" s="77">
        <f>VLOOKUP(A85,JanApport,MATCH($AD$4,'Jan 2022 Apport'!$3:$3,0),FALSE)*VLOOKUP(A85,JanApport,MATCH($AD$3,'Jan 2022 Apport'!$3:$3,0),FALSE)</f>
        <v>102327</v>
      </c>
      <c r="AE85" s="77">
        <f>VLOOKUP(A85,JanApport,MATCH($AE$4,'Jan 2022 Apport'!$3:$3,0),FALSE)</f>
        <v>48483</v>
      </c>
      <c r="AF85" s="77">
        <f>VLOOKUP(A85,JanApport,MATCH($AF$4,'Jan 2022 Apport'!$3:$3,0),FALSE)*VLOOKUP(A85,JanApport,MATCH($AF$3,'Jan 2022 Apport'!$3:$3,0),FALSE)</f>
        <v>49453</v>
      </c>
      <c r="AG85" s="77">
        <f t="shared" si="15"/>
        <v>96432.259900000005</v>
      </c>
      <c r="AH85" s="77">
        <f t="shared" si="16"/>
        <v>137400.94330000001</v>
      </c>
      <c r="AI85" s="77">
        <f t="shared" si="17"/>
        <v>77281.189732599989</v>
      </c>
      <c r="AJ85" s="3">
        <f>VLOOKUP(A85,JanApport,MATCH($AJ$4,'Jan 2022 Apport'!$3:$3,0),FALSE)</f>
        <v>51582.43</v>
      </c>
      <c r="AK85" s="3">
        <f>VLOOKUP(A85,JanApport,MATCH($AK$4,'Jan 2022 Apport'!$3:$3,0),FALSE)</f>
        <v>0.89700000000000002</v>
      </c>
      <c r="AL85" s="117">
        <f t="shared" si="18"/>
        <v>462014.75</v>
      </c>
      <c r="AM85" s="117">
        <f>VLOOKUP(A85,JanApport,MATCH($AM$4,'Jan 2022 Apport'!$3:$3,0),FALSE)</f>
        <v>9000.7999999999993</v>
      </c>
      <c r="AN85" s="117">
        <f>VLOOKUP(A85,JanApport,MATCH($AN$4,'Jan 2022 Apport'!$3:$3,0),FALSE)</f>
        <v>3872.37</v>
      </c>
    </row>
    <row r="86" spans="1:40">
      <c r="A86" s="2" t="s">
        <v>185</v>
      </c>
      <c r="B86" s="2" t="s">
        <v>186</v>
      </c>
      <c r="C86" s="2" t="s">
        <v>1267</v>
      </c>
      <c r="D86" s="118">
        <f>VLOOKUP(A86,JanApport,MATCH($D$4,'Jan 2022 Apport'!$3:$3,FALSE),FALSE)</f>
        <v>193143074.68000001</v>
      </c>
      <c r="E86" s="30">
        <f>VLOOKUP(A86,JanApport,MATCH($E$2,'Jan 2022 Apport'!$3:$3,0),FALSE)+VLOOKUP(A86,JanApport,MATCH($E$3,'Jan 2022 Apport'!$3:$3,0),FALSE)+VLOOKUP(A86,JanApport,MATCH($E$4,'Jan 2022 Apport'!$3:$3,0),FALSE)</f>
        <v>13206722.309999999</v>
      </c>
      <c r="F86" s="118">
        <f t="shared" si="19"/>
        <v>179936352.37</v>
      </c>
      <c r="G86" s="117">
        <f>VLOOKUP(A86,JanApport,MATCH($G$4,'Jan 2022 Apport'!$3:$3,0),FALSE)</f>
        <v>2438807.69</v>
      </c>
      <c r="H86" s="117">
        <f>VLOOKUP(A86,JanApport,MATCH($H$3,'Jan 2022 Apport'!$3:$3,0),FALSE)+VLOOKUP(A86,JanApport,MATCH($H$2,'Jan 2022 Apport'!$3:$3,0),FALSE)+VLOOKUP(A86,JanApport,MATCH($H$4,'Jan 2022 Apport'!$3:$3,0),FALSE)</f>
        <v>24866821.449999999</v>
      </c>
      <c r="I86" s="117">
        <f t="shared" si="20"/>
        <v>27305629.140000001</v>
      </c>
      <c r="J86" s="117">
        <f>VLOOKUP(A86,JanApport,MATCH($J$4,'Jan 2022 Apport'!$3:$3,0),FALSE)</f>
        <v>13445131.84</v>
      </c>
      <c r="K86" s="117">
        <f>VLOOKUP(A86,JanApport,MATCH($K$4,'Jan 2022 Apport'!$3:$3,0),FALSE)</f>
        <v>699749.98</v>
      </c>
      <c r="L86" s="117">
        <f t="shared" si="21"/>
        <v>14144881.82</v>
      </c>
      <c r="M86" s="117">
        <f>VLOOKUP(A86,JanApport,MATCH($M$4,'Jan 2022 Apport'!$3:$3,0),FALSE)</f>
        <v>9274349.6699999999</v>
      </c>
      <c r="N86" s="117">
        <f>VLOOKUP(A86,JanApport,MATCH($N$4,'Jan 2022 Apport'!$3:$3,0),FALSE)</f>
        <v>8575788.4299999997</v>
      </c>
      <c r="O86" s="117">
        <f>VLOOKUP(A86,JanApport,MATCH($O$4,'Jan 2022 Apport'!$3:$3,0),FALSE)</f>
        <v>636589.5</v>
      </c>
      <c r="P86" s="121">
        <f>IFERROR((VLOOKUP(A86,ExcessLevy!A:G,3,FALSE)*0.28),0)+IFERROR((VLOOKUP(A86,ExcessLevy!A:G,6,FALSE)*0.72),0)</f>
        <v>5200815.2884</v>
      </c>
      <c r="Q86" s="121">
        <f>IFERROR((VLOOKUP(A86,ExcessLevy!A:G,4,FALSE)*0.4738),0)+IFERROR((VLOOKUP(A86,ExcessLevy!A:G,7,FALSE)*0.5262),0)</f>
        <v>30557420</v>
      </c>
      <c r="R86">
        <f>VLOOKUP(A86,JanApport,MATCH($R$4,'Jan 2022 Apport'!$3:$3,0),FALSE)</f>
        <v>0</v>
      </c>
      <c r="S86">
        <f>VLOOKUP(A86,JanApport,MATCH($S$4,'Jan 2022 Apport'!$3:$3,0),FALSE)</f>
        <v>89.12</v>
      </c>
      <c r="T86">
        <f>VLOOKUP(A86,JanApport,MATCH($T$4,'Jan 2022 Apport'!$3:$3,0),FALSE)</f>
        <v>1275.18</v>
      </c>
      <c r="U86" s="132">
        <f>IFERROR(VLOOKUP(A86,JanApport,MATCH($U$4,'Jan 2022 Apport'!$3:$3,0),FALSE)/R86,0)</f>
        <v>0</v>
      </c>
      <c r="V86" s="30">
        <f>IFERROR(((VLOOKUP(A86,JanApport,MATCH($V$4,'Jan 2022 Apport'!$3:$3,0),FALSE)+VLOOKUP(A86,JanApport,MATCH($V$3,'Jan 2022 Apport'!$3:$3,0),FALSE))/(S86+T86)),0)</f>
        <v>9680.2186542549262</v>
      </c>
      <c r="W86" s="30">
        <f t="shared" si="14"/>
        <v>8422.1132479746102</v>
      </c>
      <c r="X86">
        <f>VLOOKUP(A86,JanApport,MATCH($X$4,'Jan 2022 Apport'!$3:$3,0),FALSE)</f>
        <v>4.8578999999999997E-2</v>
      </c>
      <c r="Y86">
        <f>VLOOKUP(A86,JanApport,MATCH($Y$4,'Jan 2022 Apport'!$3:$3,0),FALSE)</f>
        <v>4.0270000000000002E-3</v>
      </c>
      <c r="Z86">
        <f>VLOOKUP(A86,JanApport,MATCH($Z$4,'Jan 2022 Apport'!$3:$3,0),FALSE)</f>
        <v>1.7100000000000001E-2</v>
      </c>
      <c r="AA86" s="77">
        <f>VLOOKUP(A86,JanApport,MATCH($AA$4,'Jan 2022 Apport'!$3:$3,0),FALSE)*VLOOKUP(A86,JanApport,MATCH($AA$3,'Jan 2022 Apport'!$3:$3,0),FALSE)</f>
        <v>75695.200000000012</v>
      </c>
      <c r="AB86" s="77">
        <f>VLOOKUP(A86,JanApport,MATCH($AB$4,'Jan 2022 Apport'!$3:$3,0),FALSE)*VLOOKUP(A86,JanApport,MATCH($AB$3,'Jan 2022 Apport'!$3:$3,0),FALSE)</f>
        <v>73073.22</v>
      </c>
      <c r="AC86" s="77">
        <f>VLOOKUP(A86,JanApport,MATCH($AC$4,'Jan 2022 Apport'!$3:$3,0),FALSE)</f>
        <v>100321</v>
      </c>
      <c r="AD86" s="77">
        <f>VLOOKUP(A86,JanApport,MATCH($AD$4,'Jan 2022 Apport'!$3:$3,0),FALSE)*VLOOKUP(A86,JanApport,MATCH($AD$3,'Jan 2022 Apport'!$3:$3,0),FALSE)</f>
        <v>108466.62000000001</v>
      </c>
      <c r="AE86" s="77">
        <f>VLOOKUP(A86,JanApport,MATCH($AE$4,'Jan 2022 Apport'!$3:$3,0),FALSE)</f>
        <v>48483</v>
      </c>
      <c r="AF86" s="77">
        <f>VLOOKUP(A86,JanApport,MATCH($AF$4,'Jan 2022 Apport'!$3:$3,0),FALSE)*VLOOKUP(A86,JanApport,MATCH($AF$3,'Jan 2022 Apport'!$3:$3,0),FALSE)</f>
        <v>52420.18</v>
      </c>
      <c r="AG86" s="77">
        <f t="shared" si="15"/>
        <v>101533.248934</v>
      </c>
      <c r="AH86" s="77">
        <f t="shared" si="16"/>
        <v>144895.57743400004</v>
      </c>
      <c r="AI86" s="77">
        <f t="shared" si="17"/>
        <v>80819.594016556002</v>
      </c>
      <c r="AJ86" s="3">
        <f>VLOOKUP(A86,JanApport,MATCH($AJ$4,'Jan 2022 Apport'!$3:$3,0),FALSE)</f>
        <v>24567195.75</v>
      </c>
      <c r="AK86" s="3">
        <f>VLOOKUP(A86,JanApport,MATCH($AK$4,'Jan 2022 Apport'!$3:$3,0),FALSE)</f>
        <v>389.27800000000002</v>
      </c>
      <c r="AL86" s="117">
        <f t="shared" si="18"/>
        <v>258395393.04000002</v>
      </c>
      <c r="AM86" s="117">
        <f>VLOOKUP(A86,JanApport,MATCH($AM$4,'Jan 2022 Apport'!$3:$3,0),FALSE)</f>
        <v>6014829.7800000003</v>
      </c>
      <c r="AN86" s="117">
        <f>VLOOKUP(A86,JanApport,MATCH($AN$4,'Jan 2022 Apport'!$3:$3,0),FALSE)</f>
        <v>1517604.9</v>
      </c>
    </row>
    <row r="87" spans="1:40">
      <c r="A87" s="2" t="s">
        <v>541</v>
      </c>
      <c r="B87" s="2" t="s">
        <v>542</v>
      </c>
      <c r="C87" s="2" t="s">
        <v>1267</v>
      </c>
      <c r="D87" s="118">
        <f>VLOOKUP(A87,JanApport,MATCH($D$4,'Jan 2022 Apport'!$3:$3,FALSE),FALSE)</f>
        <v>41157832.560000002</v>
      </c>
      <c r="E87" s="30">
        <f>VLOOKUP(A87,JanApport,MATCH($E$2,'Jan 2022 Apport'!$3:$3,0),FALSE)+VLOOKUP(A87,JanApport,MATCH($E$3,'Jan 2022 Apport'!$3:$3,0),FALSE)+VLOOKUP(A87,JanApport,MATCH($E$4,'Jan 2022 Apport'!$3:$3,0),FALSE)</f>
        <v>2581302.7199999997</v>
      </c>
      <c r="F87" s="118">
        <f t="shared" si="19"/>
        <v>38576529.840000004</v>
      </c>
      <c r="G87" s="117">
        <f>VLOOKUP(A87,JanApport,MATCH($G$4,'Jan 2022 Apport'!$3:$3,0),FALSE)</f>
        <v>463318.74</v>
      </c>
      <c r="H87" s="117">
        <f>VLOOKUP(A87,JanApport,MATCH($H$3,'Jan 2022 Apport'!$3:$3,0),FALSE)+VLOOKUP(A87,JanApport,MATCH($H$2,'Jan 2022 Apport'!$3:$3,0),FALSE)+VLOOKUP(A87,JanApport,MATCH($H$4,'Jan 2022 Apport'!$3:$3,0),FALSE)</f>
        <v>5503410.629999999</v>
      </c>
      <c r="I87" s="117">
        <f t="shared" si="20"/>
        <v>5966729.3699999992</v>
      </c>
      <c r="J87" s="117">
        <f>VLOOKUP(A87,JanApport,MATCH($J$4,'Jan 2022 Apport'!$3:$3,0),FALSE)</f>
        <v>2663942.5</v>
      </c>
      <c r="K87" s="117">
        <f>VLOOKUP(A87,JanApport,MATCH($K$4,'Jan 2022 Apport'!$3:$3,0),FALSE)</f>
        <v>483506.38</v>
      </c>
      <c r="L87" s="117">
        <f t="shared" si="21"/>
        <v>3147448.88</v>
      </c>
      <c r="M87" s="117">
        <f>VLOOKUP(A87,JanApport,MATCH($M$4,'Jan 2022 Apport'!$3:$3,0),FALSE)</f>
        <v>1351491.68</v>
      </c>
      <c r="N87" s="117">
        <f>VLOOKUP(A87,JanApport,MATCH($N$4,'Jan 2022 Apport'!$3:$3,0),FALSE)</f>
        <v>568460.96</v>
      </c>
      <c r="O87" s="117">
        <f>VLOOKUP(A87,JanApport,MATCH($O$4,'Jan 2022 Apport'!$3:$3,0),FALSE)</f>
        <v>134106.10999999999</v>
      </c>
      <c r="P87" s="121">
        <f>IFERROR((VLOOKUP(A87,ExcessLevy!A:G,3,FALSE)*0.28),0)+IFERROR((VLOOKUP(A87,ExcessLevy!A:G,6,FALSE)*0.72),0)</f>
        <v>0</v>
      </c>
      <c r="Q87" s="121">
        <f>IFERROR((VLOOKUP(A87,ExcessLevy!A:G,4,FALSE)*0.4738),0)+IFERROR((VLOOKUP(A87,ExcessLevy!A:G,7,FALSE)*0.5262),0)</f>
        <v>8454368.5111999996</v>
      </c>
      <c r="R87">
        <f>VLOOKUP(A87,JanApport,MATCH($R$4,'Jan 2022 Apport'!$3:$3,0),FALSE)</f>
        <v>0</v>
      </c>
      <c r="S87">
        <f>VLOOKUP(A87,JanApport,MATCH($S$4,'Jan 2022 Apport'!$3:$3,0),FALSE)</f>
        <v>17.98</v>
      </c>
      <c r="T87">
        <f>VLOOKUP(A87,JanApport,MATCH($T$4,'Jan 2022 Apport'!$3:$3,0),FALSE)</f>
        <v>252.22</v>
      </c>
      <c r="U87" s="132">
        <f>IFERROR(VLOOKUP(A87,JanApport,MATCH($U$4,'Jan 2022 Apport'!$3:$3,0),FALSE)/R87,0)</f>
        <v>0</v>
      </c>
      <c r="V87" s="30">
        <f>IFERROR(((VLOOKUP(A87,JanApport,MATCH($V$4,'Jan 2022 Apport'!$3:$3,0),FALSE)+VLOOKUP(A87,JanApport,MATCH($V$3,'Jan 2022 Apport'!$3:$3,0),FALSE))/(S87+T87)),0)</f>
        <v>9553.3039230199847</v>
      </c>
      <c r="W87" s="30">
        <f t="shared" si="14"/>
        <v>2454.6725803936006</v>
      </c>
      <c r="X87">
        <f>VLOOKUP(A87,JanApport,MATCH($X$4,'Jan 2022 Apport'!$3:$3,0),FALSE)</f>
        <v>4.8578999999999997E-2</v>
      </c>
      <c r="Y87">
        <f>VLOOKUP(A87,JanApport,MATCH($Y$4,'Jan 2022 Apport'!$3:$3,0),FALSE)</f>
        <v>4.0270000000000002E-3</v>
      </c>
      <c r="Z87">
        <f>VLOOKUP(A87,JanApport,MATCH($Z$4,'Jan 2022 Apport'!$3:$3,0),FALSE)</f>
        <v>1.7100000000000001E-2</v>
      </c>
      <c r="AA87" s="77">
        <f>VLOOKUP(A87,JanApport,MATCH($AA$4,'Jan 2022 Apport'!$3:$3,0),FALSE)*VLOOKUP(A87,JanApport,MATCH($AA$3,'Jan 2022 Apport'!$3:$3,0),FALSE)</f>
        <v>74343.5</v>
      </c>
      <c r="AB87" s="77">
        <f>VLOOKUP(A87,JanApport,MATCH($AB$4,'Jan 2022 Apport'!$3:$3,0),FALSE)*VLOOKUP(A87,JanApport,MATCH($AB$3,'Jan 2022 Apport'!$3:$3,0),FALSE)</f>
        <v>0</v>
      </c>
      <c r="AC87" s="77">
        <f>VLOOKUP(A87,JanApport,MATCH($AC$4,'Jan 2022 Apport'!$3:$3,0),FALSE)</f>
        <v>0</v>
      </c>
      <c r="AD87" s="77">
        <f>VLOOKUP(A87,JanApport,MATCH($AD$4,'Jan 2022 Apport'!$3:$3,0),FALSE)*VLOOKUP(A87,JanApport,MATCH($AD$3,'Jan 2022 Apport'!$3:$3,0),FALSE)</f>
        <v>0</v>
      </c>
      <c r="AE87" s="77">
        <f>VLOOKUP(A87,JanApport,MATCH($AE$4,'Jan 2022 Apport'!$3:$3,0),FALSE)</f>
        <v>0</v>
      </c>
      <c r="AF87" s="77">
        <f>VLOOKUP(A87,JanApport,MATCH($AF$4,'Jan 2022 Apport'!$3:$3,0),FALSE)*VLOOKUP(A87,JanApport,MATCH($AF$3,'Jan 2022 Apport'!$3:$3,0),FALSE)</f>
        <v>0</v>
      </c>
      <c r="AG87" s="77">
        <f t="shared" si="15"/>
        <v>12324.118400000014</v>
      </c>
      <c r="AH87" s="77">
        <f t="shared" si="16"/>
        <v>11848.32</v>
      </c>
      <c r="AI87" s="77">
        <f t="shared" si="17"/>
        <v>16610.88</v>
      </c>
      <c r="AJ87" s="3">
        <f>VLOOKUP(A87,JanApport,MATCH($AJ$4,'Jan 2022 Apport'!$3:$3,0),FALSE)</f>
        <v>5394023.8099999996</v>
      </c>
      <c r="AK87" s="3">
        <f>VLOOKUP(A87,JanApport,MATCH($AK$4,'Jan 2022 Apport'!$3:$3,0),FALSE)</f>
        <v>91.28</v>
      </c>
      <c r="AL87" s="117">
        <f t="shared" si="18"/>
        <v>52220508.289999999</v>
      </c>
      <c r="AM87" s="117">
        <f>VLOOKUP(A87,JanApport,MATCH($AM$4,'Jan 2022 Apport'!$3:$3,0),FALSE)</f>
        <v>377945.11</v>
      </c>
      <c r="AN87" s="117">
        <f>VLOOKUP(A87,JanApport,MATCH($AN$4,'Jan 2022 Apport'!$3:$3,0),FALSE)</f>
        <v>331053.40999999997</v>
      </c>
    </row>
    <row r="88" spans="1:40">
      <c r="A88" s="2" t="s">
        <v>389</v>
      </c>
      <c r="B88" s="2" t="s">
        <v>390</v>
      </c>
      <c r="C88" s="2" t="s">
        <v>1267</v>
      </c>
      <c r="D88" s="118">
        <f>VLOOKUP(A88,JanApport,MATCH($D$4,'Jan 2022 Apport'!$3:$3,FALSE),FALSE)</f>
        <v>34993166.479999997</v>
      </c>
      <c r="E88" s="30">
        <f>VLOOKUP(A88,JanApport,MATCH($E$2,'Jan 2022 Apport'!$3:$3,0),FALSE)+VLOOKUP(A88,JanApport,MATCH($E$3,'Jan 2022 Apport'!$3:$3,0),FALSE)+VLOOKUP(A88,JanApport,MATCH($E$4,'Jan 2022 Apport'!$3:$3,0),FALSE)</f>
        <v>3511503.4000000004</v>
      </c>
      <c r="F88" s="118">
        <f t="shared" si="19"/>
        <v>31481663.079999998</v>
      </c>
      <c r="G88" s="117">
        <f>VLOOKUP(A88,JanApport,MATCH($G$4,'Jan 2022 Apport'!$3:$3,0),FALSE)</f>
        <v>434523.33</v>
      </c>
      <c r="H88" s="117">
        <f>VLOOKUP(A88,JanApport,MATCH($H$3,'Jan 2022 Apport'!$3:$3,0),FALSE)+VLOOKUP(A88,JanApport,MATCH($H$2,'Jan 2022 Apport'!$3:$3,0),FALSE)+VLOOKUP(A88,JanApport,MATCH($H$4,'Jan 2022 Apport'!$3:$3,0),FALSE)</f>
        <v>3623379.51</v>
      </c>
      <c r="I88" s="117">
        <f t="shared" si="20"/>
        <v>4057902.84</v>
      </c>
      <c r="J88" s="117">
        <f>VLOOKUP(A88,JanApport,MATCH($J$4,'Jan 2022 Apport'!$3:$3,0),FALSE)</f>
        <v>2037735.95</v>
      </c>
      <c r="K88" s="117">
        <f>VLOOKUP(A88,JanApport,MATCH($K$4,'Jan 2022 Apport'!$3:$3,0),FALSE)</f>
        <v>169502.94</v>
      </c>
      <c r="L88" s="117">
        <f t="shared" si="21"/>
        <v>2207238.89</v>
      </c>
      <c r="M88" s="117">
        <f>VLOOKUP(A88,JanApport,MATCH($M$4,'Jan 2022 Apport'!$3:$3,0),FALSE)</f>
        <v>1113436.75</v>
      </c>
      <c r="N88" s="117">
        <f>VLOOKUP(A88,JanApport,MATCH($N$4,'Jan 2022 Apport'!$3:$3,0),FALSE)</f>
        <v>899726.12</v>
      </c>
      <c r="O88" s="117">
        <f>VLOOKUP(A88,JanApport,MATCH($O$4,'Jan 2022 Apport'!$3:$3,0),FALSE)</f>
        <v>115399.42</v>
      </c>
      <c r="P88" s="121">
        <f>IFERROR((VLOOKUP(A88,ExcessLevy!A:G,3,FALSE)*0.28),0)+IFERROR((VLOOKUP(A88,ExcessLevy!A:G,6,FALSE)*0.72),0)</f>
        <v>0</v>
      </c>
      <c r="Q88" s="121">
        <f>IFERROR((VLOOKUP(A88,ExcessLevy!A:G,4,FALSE)*0.4738),0)+IFERROR((VLOOKUP(A88,ExcessLevy!A:G,7,FALSE)*0.5262),0)</f>
        <v>9852620</v>
      </c>
      <c r="R88">
        <f>VLOOKUP(A88,JanApport,MATCH($R$4,'Jan 2022 Apport'!$3:$3,0),FALSE)</f>
        <v>0</v>
      </c>
      <c r="S88">
        <f>VLOOKUP(A88,JanApport,MATCH($S$4,'Jan 2022 Apport'!$3:$3,0),FALSE)</f>
        <v>47.73</v>
      </c>
      <c r="T88">
        <f>VLOOKUP(A88,JanApport,MATCH($T$4,'Jan 2022 Apport'!$3:$3,0),FALSE)</f>
        <v>315.07</v>
      </c>
      <c r="U88" s="132">
        <f>IFERROR(VLOOKUP(A88,JanApport,MATCH($U$4,'Jan 2022 Apport'!$3:$3,0),FALSE)/R88,0)</f>
        <v>0</v>
      </c>
      <c r="V88" s="30">
        <f>IFERROR(((VLOOKUP(A88,JanApport,MATCH($V$4,'Jan 2022 Apport'!$3:$3,0),FALSE)+VLOOKUP(A88,JanApport,MATCH($V$3,'Jan 2022 Apport'!$3:$3,0),FALSE))/(S88+T88)),0)</f>
        <v>9678.8958103638379</v>
      </c>
      <c r="W88" s="30">
        <f t="shared" si="14"/>
        <v>8086.1462033757807</v>
      </c>
      <c r="X88">
        <f>VLOOKUP(A88,JanApport,MATCH($X$4,'Jan 2022 Apport'!$3:$3,0),FALSE)</f>
        <v>4.8578999999999997E-2</v>
      </c>
      <c r="Y88">
        <f>VLOOKUP(A88,JanApport,MATCH($Y$4,'Jan 2022 Apport'!$3:$3,0),FALSE)</f>
        <v>4.0270000000000002E-3</v>
      </c>
      <c r="Z88">
        <f>VLOOKUP(A88,JanApport,MATCH($Z$4,'Jan 2022 Apport'!$3:$3,0),FALSE)</f>
        <v>1.7100000000000001E-2</v>
      </c>
      <c r="AA88" s="77">
        <f>VLOOKUP(A88,JanApport,MATCH($AA$4,'Jan 2022 Apport'!$3:$3,0),FALSE)*VLOOKUP(A88,JanApport,MATCH($AA$3,'Jan 2022 Apport'!$3:$3,0),FALSE)</f>
        <v>75695.200000000012</v>
      </c>
      <c r="AB88" s="77">
        <f>VLOOKUP(A88,JanApport,MATCH($AB$4,'Jan 2022 Apport'!$3:$3,0),FALSE)*VLOOKUP(A88,JanApport,MATCH($AB$3,'Jan 2022 Apport'!$3:$3,0),FALSE)</f>
        <v>68937</v>
      </c>
      <c r="AC88" s="77">
        <f>VLOOKUP(A88,JanApport,MATCH($AC$4,'Jan 2022 Apport'!$3:$3,0),FALSE)</f>
        <v>100321</v>
      </c>
      <c r="AD88" s="77">
        <f>VLOOKUP(A88,JanApport,MATCH($AD$4,'Jan 2022 Apport'!$3:$3,0),FALSE)*VLOOKUP(A88,JanApport,MATCH($AD$3,'Jan 2022 Apport'!$3:$3,0),FALSE)</f>
        <v>102327</v>
      </c>
      <c r="AE88" s="77">
        <f>VLOOKUP(A88,JanApport,MATCH($AE$4,'Jan 2022 Apport'!$3:$3,0),FALSE)</f>
        <v>48483</v>
      </c>
      <c r="AF88" s="77">
        <f>VLOOKUP(A88,JanApport,MATCH($AF$4,'Jan 2022 Apport'!$3:$3,0),FALSE)*VLOOKUP(A88,JanApport,MATCH($AF$3,'Jan 2022 Apport'!$3:$3,0),FALSE)</f>
        <v>49453</v>
      </c>
      <c r="AG88" s="77">
        <f t="shared" si="15"/>
        <v>96484.165180000011</v>
      </c>
      <c r="AH88" s="77">
        <f t="shared" si="16"/>
        <v>137400.94330000001</v>
      </c>
      <c r="AI88" s="77">
        <f t="shared" si="17"/>
        <v>77281.189732599989</v>
      </c>
      <c r="AJ88" s="3">
        <f>VLOOKUP(A88,JanApport,MATCH($AJ$4,'Jan 2022 Apport'!$3:$3,0),FALSE)</f>
        <v>4555941.75</v>
      </c>
      <c r="AK88" s="3">
        <f>VLOOKUP(A88,JanApport,MATCH($AK$4,'Jan 2022 Apport'!$3:$3,0),FALSE)</f>
        <v>71.680999999999997</v>
      </c>
      <c r="AL88" s="117">
        <f t="shared" si="18"/>
        <v>43410420.939999998</v>
      </c>
      <c r="AM88" s="117">
        <f>VLOOKUP(A88,JanApport,MATCH($AM$4,'Jan 2022 Apport'!$3:$3,0),FALSE)</f>
        <v>193053.38</v>
      </c>
      <c r="AN88" s="117">
        <f>VLOOKUP(A88,JanApport,MATCH($AN$4,'Jan 2022 Apport'!$3:$3,0),FALSE)</f>
        <v>278928.44</v>
      </c>
    </row>
    <row r="89" spans="1:40">
      <c r="A89" s="2" t="s">
        <v>23</v>
      </c>
      <c r="B89" s="2" t="s">
        <v>24</v>
      </c>
      <c r="C89" s="2" t="s">
        <v>1267</v>
      </c>
      <c r="D89" s="118">
        <f>VLOOKUP(A89,JanApport,MATCH($D$4,'Jan 2022 Apport'!$3:$3,FALSE),FALSE)</f>
        <v>7403904.1699999999</v>
      </c>
      <c r="E89" s="30">
        <f>VLOOKUP(A89,JanApport,MATCH($E$2,'Jan 2022 Apport'!$3:$3,0),FALSE)+VLOOKUP(A89,JanApport,MATCH($E$3,'Jan 2022 Apport'!$3:$3,0),FALSE)+VLOOKUP(A89,JanApport,MATCH($E$4,'Jan 2022 Apport'!$3:$3,0),FALSE)</f>
        <v>626035.37000000011</v>
      </c>
      <c r="F89" s="118">
        <f t="shared" si="19"/>
        <v>6777868.7999999998</v>
      </c>
      <c r="G89" s="117">
        <f>VLOOKUP(A89,JanApport,MATCH($G$4,'Jan 2022 Apport'!$3:$3,0),FALSE)</f>
        <v>115763.75</v>
      </c>
      <c r="H89" s="117">
        <f>VLOOKUP(A89,JanApport,MATCH($H$3,'Jan 2022 Apport'!$3:$3,0),FALSE)+VLOOKUP(A89,JanApport,MATCH($H$2,'Jan 2022 Apport'!$3:$3,0),FALSE)+VLOOKUP(A89,JanApport,MATCH($H$4,'Jan 2022 Apport'!$3:$3,0),FALSE)</f>
        <v>861257.52</v>
      </c>
      <c r="I89" s="117">
        <f t="shared" si="20"/>
        <v>977021.27</v>
      </c>
      <c r="J89" s="117">
        <f>VLOOKUP(A89,JanApport,MATCH($J$4,'Jan 2022 Apport'!$3:$3,0),FALSE)</f>
        <v>621474.28</v>
      </c>
      <c r="K89" s="117">
        <f>VLOOKUP(A89,JanApport,MATCH($K$4,'Jan 2022 Apport'!$3:$3,0),FALSE)</f>
        <v>74881.19</v>
      </c>
      <c r="L89" s="117">
        <f t="shared" si="21"/>
        <v>696355.47</v>
      </c>
      <c r="M89" s="117">
        <f>VLOOKUP(A89,JanApport,MATCH($M$4,'Jan 2022 Apport'!$3:$3,0),FALSE)</f>
        <v>416287</v>
      </c>
      <c r="N89" s="117">
        <f>VLOOKUP(A89,JanApport,MATCH($N$4,'Jan 2022 Apport'!$3:$3,0),FALSE)</f>
        <v>258968.67</v>
      </c>
      <c r="O89" s="117">
        <f>VLOOKUP(A89,JanApport,MATCH($O$4,'Jan 2022 Apport'!$3:$3,0),FALSE)</f>
        <v>23871.69</v>
      </c>
      <c r="P89" s="121">
        <f>IFERROR((VLOOKUP(A89,ExcessLevy!A:G,3,FALSE)*0.28),0)+IFERROR((VLOOKUP(A89,ExcessLevy!A:G,6,FALSE)*0.72),0)</f>
        <v>524029.5588</v>
      </c>
      <c r="Q89" s="121">
        <f>IFERROR((VLOOKUP(A89,ExcessLevy!A:G,4,FALSE)*0.4738),0)+IFERROR((VLOOKUP(A89,ExcessLevy!A:G,7,FALSE)*0.5262),0)</f>
        <v>1152414.4938000001</v>
      </c>
      <c r="R89">
        <f>VLOOKUP(A89,JanApport,MATCH($R$4,'Jan 2022 Apport'!$3:$3,0),FALSE)</f>
        <v>0</v>
      </c>
      <c r="S89">
        <f>VLOOKUP(A89,JanApport,MATCH($S$4,'Jan 2022 Apport'!$3:$3,0),FALSE)</f>
        <v>5.68</v>
      </c>
      <c r="T89">
        <f>VLOOKUP(A89,JanApport,MATCH($T$4,'Jan 2022 Apport'!$3:$3,0),FALSE)</f>
        <v>64.5</v>
      </c>
      <c r="U89" s="132">
        <f>IFERROR(VLOOKUP(A89,JanApport,MATCH($U$4,'Jan 2022 Apport'!$3:$3,0),FALSE)/R89,0)</f>
        <v>0</v>
      </c>
      <c r="V89" s="30">
        <f>IFERROR(((VLOOKUP(A89,JanApport,MATCH($V$4,'Jan 2022 Apport'!$3:$3,0),FALSE)+VLOOKUP(A89,JanApport,MATCH($V$3,'Jan 2022 Apport'!$3:$3,0),FALSE))/(S89+T89)),0)</f>
        <v>8920.424194927331</v>
      </c>
      <c r="W89" s="30">
        <f t="shared" si="14"/>
        <v>8083.6246967786601</v>
      </c>
      <c r="X89">
        <f>VLOOKUP(A89,JanApport,MATCH($X$4,'Jan 2022 Apport'!$3:$3,0),FALSE)</f>
        <v>4.8578999999999997E-2</v>
      </c>
      <c r="Y89">
        <f>VLOOKUP(A89,JanApport,MATCH($Y$4,'Jan 2022 Apport'!$3:$3,0),FALSE)</f>
        <v>4.0270000000000002E-3</v>
      </c>
      <c r="Z89">
        <f>VLOOKUP(A89,JanApport,MATCH($Z$4,'Jan 2022 Apport'!$3:$3,0),FALSE)</f>
        <v>1.7100000000000001E-2</v>
      </c>
      <c r="AA89" s="77">
        <f>VLOOKUP(A89,JanApport,MATCH($AA$4,'Jan 2022 Apport'!$3:$3,0),FALSE)*VLOOKUP(A89,JanApport,MATCH($AA$3,'Jan 2022 Apport'!$3:$3,0),FALSE)</f>
        <v>67585</v>
      </c>
      <c r="AB89" s="77">
        <f>VLOOKUP(A89,JanApport,MATCH($AB$4,'Jan 2022 Apport'!$3:$3,0),FALSE)*VLOOKUP(A89,JanApport,MATCH($AB$3,'Jan 2022 Apport'!$3:$3,0),FALSE)</f>
        <v>68937</v>
      </c>
      <c r="AC89" s="77">
        <f>VLOOKUP(A89,JanApport,MATCH($AC$4,'Jan 2022 Apport'!$3:$3,0),FALSE)</f>
        <v>100321</v>
      </c>
      <c r="AD89" s="77">
        <f>VLOOKUP(A89,JanApport,MATCH($AD$4,'Jan 2022 Apport'!$3:$3,0),FALSE)*VLOOKUP(A89,JanApport,MATCH($AD$3,'Jan 2022 Apport'!$3:$3,0),FALSE)</f>
        <v>102327</v>
      </c>
      <c r="AE89" s="77">
        <f>VLOOKUP(A89,JanApport,MATCH($AE$4,'Jan 2022 Apport'!$3:$3,0),FALSE)</f>
        <v>48483</v>
      </c>
      <c r="AF89" s="77">
        <f>VLOOKUP(A89,JanApport,MATCH($AF$4,'Jan 2022 Apport'!$3:$3,0),FALSE)*VLOOKUP(A89,JanApport,MATCH($AF$3,'Jan 2022 Apport'!$3:$3,0),FALSE)</f>
        <v>49453</v>
      </c>
      <c r="AG89" s="77">
        <f t="shared" si="15"/>
        <v>96432.259900000005</v>
      </c>
      <c r="AH89" s="77">
        <f t="shared" si="16"/>
        <v>137400.94330000001</v>
      </c>
      <c r="AI89" s="77">
        <f t="shared" si="17"/>
        <v>77281.189732599989</v>
      </c>
      <c r="AJ89" s="3">
        <f>VLOOKUP(A89,JanApport,MATCH($AJ$4,'Jan 2022 Apport'!$3:$3,0),FALSE)</f>
        <v>1049828.8500000001</v>
      </c>
      <c r="AK89" s="3">
        <f>VLOOKUP(A89,JanApport,MATCH($AK$4,'Jan 2022 Apport'!$3:$3,0),FALSE)</f>
        <v>14.959</v>
      </c>
      <c r="AL89" s="117">
        <f t="shared" si="18"/>
        <v>9950810.0999999996</v>
      </c>
      <c r="AM89" s="117">
        <f>VLOOKUP(A89,JanApport,MATCH($AM$4,'Jan 2022 Apport'!$3:$3,0),FALSE)</f>
        <v>249283.02</v>
      </c>
      <c r="AN89" s="117">
        <f>VLOOKUP(A89,JanApport,MATCH($AN$4,'Jan 2022 Apport'!$3:$3,0),FALSE)</f>
        <v>57251</v>
      </c>
    </row>
    <row r="90" spans="1:40">
      <c r="A90" s="2" t="s">
        <v>381</v>
      </c>
      <c r="B90" s="2" t="s">
        <v>382</v>
      </c>
      <c r="C90" s="2" t="s">
        <v>1267</v>
      </c>
      <c r="D90" s="118">
        <f>VLOOKUP(A90,JanApport,MATCH($D$4,'Jan 2022 Apport'!$3:$3,FALSE),FALSE)</f>
        <v>66514365.369999997</v>
      </c>
      <c r="E90" s="30">
        <f>VLOOKUP(A90,JanApport,MATCH($E$2,'Jan 2022 Apport'!$3:$3,0),FALSE)+VLOOKUP(A90,JanApport,MATCH($E$3,'Jan 2022 Apport'!$3:$3,0),FALSE)+VLOOKUP(A90,JanApport,MATCH($E$4,'Jan 2022 Apport'!$3:$3,0),FALSE)</f>
        <v>5917494.6299999999</v>
      </c>
      <c r="F90" s="118">
        <f t="shared" si="19"/>
        <v>60596870.739999995</v>
      </c>
      <c r="G90" s="117">
        <f>VLOOKUP(A90,JanApport,MATCH($G$4,'Jan 2022 Apport'!$3:$3,0),FALSE)</f>
        <v>808431.5</v>
      </c>
      <c r="H90" s="117">
        <f>VLOOKUP(A90,JanApport,MATCH($H$3,'Jan 2022 Apport'!$3:$3,0),FALSE)+VLOOKUP(A90,JanApport,MATCH($H$2,'Jan 2022 Apport'!$3:$3,0),FALSE)+VLOOKUP(A90,JanApport,MATCH($H$4,'Jan 2022 Apport'!$3:$3,0),FALSE)</f>
        <v>8563815.8900000006</v>
      </c>
      <c r="I90" s="117">
        <f t="shared" si="20"/>
        <v>9372247.3900000006</v>
      </c>
      <c r="J90" s="117">
        <f>VLOOKUP(A90,JanApport,MATCH($J$4,'Jan 2022 Apport'!$3:$3,0),FALSE)</f>
        <v>4348758.5</v>
      </c>
      <c r="K90" s="117">
        <f>VLOOKUP(A90,JanApport,MATCH($K$4,'Jan 2022 Apport'!$3:$3,0),FALSE)</f>
        <v>429755.35</v>
      </c>
      <c r="L90" s="117">
        <f t="shared" si="21"/>
        <v>4778513.8499999996</v>
      </c>
      <c r="M90" s="117">
        <f>VLOOKUP(A90,JanApport,MATCH($M$4,'Jan 2022 Apport'!$3:$3,0),FALSE)</f>
        <v>3525174.65</v>
      </c>
      <c r="N90" s="117">
        <f>VLOOKUP(A90,JanApport,MATCH($N$4,'Jan 2022 Apport'!$3:$3,0),FALSE)</f>
        <v>1531829.32</v>
      </c>
      <c r="O90" s="117">
        <f>VLOOKUP(A90,JanApport,MATCH($O$4,'Jan 2022 Apport'!$3:$3,0),FALSE)</f>
        <v>216905.31</v>
      </c>
      <c r="P90" s="121">
        <f>IFERROR((VLOOKUP(A90,ExcessLevy!A:G,3,FALSE)*0.28),0)+IFERROR((VLOOKUP(A90,ExcessLevy!A:G,6,FALSE)*0.72),0)</f>
        <v>2906834.608</v>
      </c>
      <c r="Q90" s="121">
        <f>IFERROR((VLOOKUP(A90,ExcessLevy!A:G,4,FALSE)*0.4738),0)+IFERROR((VLOOKUP(A90,ExcessLevy!A:G,7,FALSE)*0.5262),0)</f>
        <v>21526200</v>
      </c>
      <c r="R90">
        <f>VLOOKUP(A90,JanApport,MATCH($R$4,'Jan 2022 Apport'!$3:$3,0),FALSE)</f>
        <v>0</v>
      </c>
      <c r="S90">
        <f>VLOOKUP(A90,JanApport,MATCH($S$4,'Jan 2022 Apport'!$3:$3,0),FALSE)</f>
        <v>107.61</v>
      </c>
      <c r="T90">
        <f>VLOOKUP(A90,JanApport,MATCH($T$4,'Jan 2022 Apport'!$3:$3,0),FALSE)</f>
        <v>528.71</v>
      </c>
      <c r="U90" s="132">
        <f>IFERROR(VLOOKUP(A90,JanApport,MATCH($U$4,'Jan 2022 Apport'!$3:$3,0),FALSE)/R90,0)</f>
        <v>0</v>
      </c>
      <c r="V90" s="30">
        <f>IFERROR(((VLOOKUP(A90,JanApport,MATCH($V$4,'Jan 2022 Apport'!$3:$3,0),FALSE)+VLOOKUP(A90,JanApport,MATCH($V$3,'Jan 2022 Apport'!$3:$3,0),FALSE))/(S90+T90)),0)</f>
        <v>9299.5578168217235</v>
      </c>
      <c r="W90" s="30">
        <f t="shared" si="14"/>
        <v>8420.8524946760499</v>
      </c>
      <c r="X90">
        <f>VLOOKUP(A90,JanApport,MATCH($X$4,'Jan 2022 Apport'!$3:$3,0),FALSE)</f>
        <v>4.8578999999999997E-2</v>
      </c>
      <c r="Y90">
        <f>VLOOKUP(A90,JanApport,MATCH($Y$4,'Jan 2022 Apport'!$3:$3,0),FALSE)</f>
        <v>4.0270000000000002E-3</v>
      </c>
      <c r="Z90">
        <f>VLOOKUP(A90,JanApport,MATCH($Z$4,'Jan 2022 Apport'!$3:$3,0),FALSE)</f>
        <v>1.7100000000000001E-2</v>
      </c>
      <c r="AA90" s="77">
        <f>VLOOKUP(A90,JanApport,MATCH($AA$4,'Jan 2022 Apport'!$3:$3,0),FALSE)*VLOOKUP(A90,JanApport,MATCH($AA$3,'Jan 2022 Apport'!$3:$3,0),FALSE)</f>
        <v>71640.100000000006</v>
      </c>
      <c r="AB90" s="77">
        <f>VLOOKUP(A90,JanApport,MATCH($AB$4,'Jan 2022 Apport'!$3:$3,0),FALSE)*VLOOKUP(A90,JanApport,MATCH($AB$3,'Jan 2022 Apport'!$3:$3,0),FALSE)</f>
        <v>73073.22</v>
      </c>
      <c r="AC90" s="77">
        <f>VLOOKUP(A90,JanApport,MATCH($AC$4,'Jan 2022 Apport'!$3:$3,0),FALSE)</f>
        <v>100321</v>
      </c>
      <c r="AD90" s="77">
        <f>VLOOKUP(A90,JanApport,MATCH($AD$4,'Jan 2022 Apport'!$3:$3,0),FALSE)*VLOOKUP(A90,JanApport,MATCH($AD$3,'Jan 2022 Apport'!$3:$3,0),FALSE)</f>
        <v>108466.62000000001</v>
      </c>
      <c r="AE90" s="77">
        <f>VLOOKUP(A90,JanApport,MATCH($AE$4,'Jan 2022 Apport'!$3:$3,0),FALSE)</f>
        <v>48483</v>
      </c>
      <c r="AF90" s="77">
        <f>VLOOKUP(A90,JanApport,MATCH($AF$4,'Jan 2022 Apport'!$3:$3,0),FALSE)*VLOOKUP(A90,JanApport,MATCH($AF$3,'Jan 2022 Apport'!$3:$3,0),FALSE)</f>
        <v>52420.18</v>
      </c>
      <c r="AG90" s="77">
        <f t="shared" si="15"/>
        <v>101507.296294</v>
      </c>
      <c r="AH90" s="77">
        <f t="shared" si="16"/>
        <v>144895.57743400004</v>
      </c>
      <c r="AI90" s="77">
        <f t="shared" si="17"/>
        <v>80819.594016556002</v>
      </c>
      <c r="AJ90" s="3">
        <f>VLOOKUP(A90,JanApport,MATCH($AJ$4,'Jan 2022 Apport'!$3:$3,0),FALSE)</f>
        <v>9003896.1799999997</v>
      </c>
      <c r="AK90" s="3">
        <f>VLOOKUP(A90,JanApport,MATCH($AK$4,'Jan 2022 Apport'!$3:$3,0),FALSE)</f>
        <v>145.065</v>
      </c>
      <c r="AL90" s="117">
        <f t="shared" si="18"/>
        <v>87748472.459999993</v>
      </c>
      <c r="AM90" s="117">
        <f>VLOOKUP(A90,JanApport,MATCH($AM$4,'Jan 2022 Apport'!$3:$3,0),FALSE)</f>
        <v>2239191.92</v>
      </c>
      <c r="AN90" s="117">
        <f>VLOOKUP(A90,JanApport,MATCH($AN$4,'Jan 2022 Apport'!$3:$3,0),FALSE)</f>
        <v>524087.01</v>
      </c>
    </row>
    <row r="91" spans="1:40">
      <c r="A91" s="2" t="s">
        <v>465</v>
      </c>
      <c r="B91" s="2" t="s">
        <v>466</v>
      </c>
      <c r="C91" s="2" t="s">
        <v>1267</v>
      </c>
      <c r="D91" s="118">
        <f>VLOOKUP(A91,JanApport,MATCH($D$4,'Jan 2022 Apport'!$3:$3,FALSE),FALSE)</f>
        <v>7629695.4100000001</v>
      </c>
      <c r="E91" s="30">
        <f>VLOOKUP(A91,JanApport,MATCH($E$2,'Jan 2022 Apport'!$3:$3,0),FALSE)+VLOOKUP(A91,JanApport,MATCH($E$3,'Jan 2022 Apport'!$3:$3,0),FALSE)+VLOOKUP(A91,JanApport,MATCH($E$4,'Jan 2022 Apport'!$3:$3,0),FALSE)</f>
        <v>1119651.22</v>
      </c>
      <c r="F91" s="118">
        <f t="shared" si="19"/>
        <v>6510044.1900000004</v>
      </c>
      <c r="G91" s="117">
        <f>VLOOKUP(A91,JanApport,MATCH($G$4,'Jan 2022 Apport'!$3:$3,0),FALSE)</f>
        <v>107754.64</v>
      </c>
      <c r="H91" s="117">
        <f>VLOOKUP(A91,JanApport,MATCH($H$3,'Jan 2022 Apport'!$3:$3,0),FALSE)+VLOOKUP(A91,JanApport,MATCH($H$2,'Jan 2022 Apport'!$3:$3,0),FALSE)+VLOOKUP(A91,JanApport,MATCH($H$4,'Jan 2022 Apport'!$3:$3,0),FALSE)</f>
        <v>894979.4</v>
      </c>
      <c r="I91" s="117">
        <f t="shared" si="20"/>
        <v>1002734.04</v>
      </c>
      <c r="J91" s="117">
        <f>VLOOKUP(A91,JanApport,MATCH($J$4,'Jan 2022 Apport'!$3:$3,0),FALSE)</f>
        <v>750398.68</v>
      </c>
      <c r="K91" s="117">
        <f>VLOOKUP(A91,JanApport,MATCH($K$4,'Jan 2022 Apport'!$3:$3,0),FALSE)</f>
        <v>157923.62</v>
      </c>
      <c r="L91" s="117">
        <f t="shared" si="21"/>
        <v>908322.3</v>
      </c>
      <c r="M91" s="117">
        <f>VLOOKUP(A91,JanApport,MATCH($M$4,'Jan 2022 Apport'!$3:$3,0),FALSE)</f>
        <v>111281.36</v>
      </c>
      <c r="N91" s="117">
        <f>VLOOKUP(A91,JanApport,MATCH($N$4,'Jan 2022 Apport'!$3:$3,0),FALSE)</f>
        <v>0</v>
      </c>
      <c r="O91" s="117">
        <f>VLOOKUP(A91,JanApport,MATCH($O$4,'Jan 2022 Apport'!$3:$3,0),FALSE)</f>
        <v>0</v>
      </c>
      <c r="P91" s="121">
        <f>IFERROR((VLOOKUP(A91,ExcessLevy!A:G,3,FALSE)*0.28),0)+IFERROR((VLOOKUP(A91,ExcessLevy!A:G,6,FALSE)*0.72),0)</f>
        <v>128831.35080000001</v>
      </c>
      <c r="Q91" s="121">
        <f>IFERROR((VLOOKUP(A91,ExcessLevy!A:G,4,FALSE)*0.4738),0)+IFERROR((VLOOKUP(A91,ExcessLevy!A:G,7,FALSE)*0.5262),0)</f>
        <v>1265296.1669999999</v>
      </c>
      <c r="R91">
        <f>VLOOKUP(A91,JanApport,MATCH($R$4,'Jan 2022 Apport'!$3:$3,0),FALSE)</f>
        <v>0</v>
      </c>
      <c r="S91">
        <f>VLOOKUP(A91,JanApport,MATCH($S$4,'Jan 2022 Apport'!$3:$3,0),FALSE)</f>
        <v>34.31</v>
      </c>
      <c r="T91">
        <f>VLOOKUP(A91,JanApport,MATCH($T$4,'Jan 2022 Apport'!$3:$3,0),FALSE)</f>
        <v>88.61</v>
      </c>
      <c r="U91" s="132">
        <f>IFERROR(VLOOKUP(A91,JanApport,MATCH($U$4,'Jan 2022 Apport'!$3:$3,0),FALSE)/R91,0)</f>
        <v>0</v>
      </c>
      <c r="V91" s="30">
        <f>IFERROR(((VLOOKUP(A91,JanApport,MATCH($V$4,'Jan 2022 Apport'!$3:$3,0),FALSE)+VLOOKUP(A91,JanApport,MATCH($V$3,'Jan 2022 Apport'!$3:$3,0),FALSE))/(S91+T91)),0)</f>
        <v>9108.7798568174421</v>
      </c>
      <c r="W91" s="30">
        <f t="shared" si="14"/>
        <v>8307.6027265112134</v>
      </c>
      <c r="X91">
        <f>VLOOKUP(A91,JanApport,MATCH($X$4,'Jan 2022 Apport'!$3:$3,0),FALSE)</f>
        <v>4.8578999999999997E-2</v>
      </c>
      <c r="Y91">
        <f>VLOOKUP(A91,JanApport,MATCH($Y$4,'Jan 2022 Apport'!$3:$3,0),FALSE)</f>
        <v>4.0270000000000002E-3</v>
      </c>
      <c r="Z91">
        <f>VLOOKUP(A91,JanApport,MATCH($Z$4,'Jan 2022 Apport'!$3:$3,0),FALSE)</f>
        <v>1.7100000000000001E-2</v>
      </c>
      <c r="AA91" s="77">
        <f>VLOOKUP(A91,JanApport,MATCH($AA$4,'Jan 2022 Apport'!$3:$3,0),FALSE)*VLOOKUP(A91,JanApport,MATCH($AA$3,'Jan 2022 Apport'!$3:$3,0),FALSE)</f>
        <v>67585</v>
      </c>
      <c r="AB91" s="77">
        <f>VLOOKUP(A91,JanApport,MATCH($AB$4,'Jan 2022 Apport'!$3:$3,0),FALSE)*VLOOKUP(A91,JanApport,MATCH($AB$3,'Jan 2022 Apport'!$3:$3,0),FALSE)</f>
        <v>71694.48</v>
      </c>
      <c r="AC91" s="77">
        <f>VLOOKUP(A91,JanApport,MATCH($AC$4,'Jan 2022 Apport'!$3:$3,0),FALSE)</f>
        <v>100321</v>
      </c>
      <c r="AD91" s="77">
        <f>VLOOKUP(A91,JanApport,MATCH($AD$4,'Jan 2022 Apport'!$3:$3,0),FALSE)*VLOOKUP(A91,JanApport,MATCH($AD$3,'Jan 2022 Apport'!$3:$3,0),FALSE)</f>
        <v>106420.08</v>
      </c>
      <c r="AE91" s="77">
        <f>VLOOKUP(A91,JanApport,MATCH($AE$4,'Jan 2022 Apport'!$3:$3,0),FALSE)</f>
        <v>48483</v>
      </c>
      <c r="AF91" s="77">
        <f>VLOOKUP(A91,JanApport,MATCH($AF$4,'Jan 2022 Apport'!$3:$3,0),FALSE)*VLOOKUP(A91,JanApport,MATCH($AF$3,'Jan 2022 Apport'!$3:$3,0),FALSE)</f>
        <v>51431.12</v>
      </c>
      <c r="AG91" s="77">
        <f t="shared" si="15"/>
        <v>99798.31573599999</v>
      </c>
      <c r="AH91" s="77">
        <f t="shared" si="16"/>
        <v>142397.366056</v>
      </c>
      <c r="AI91" s="77">
        <f t="shared" si="17"/>
        <v>79640.125921903993</v>
      </c>
      <c r="AJ91" s="3">
        <f>VLOOKUP(A91,JanApport,MATCH($AJ$4,'Jan 2022 Apport'!$3:$3,0),FALSE)</f>
        <v>1002307.37</v>
      </c>
      <c r="AK91" s="3">
        <f>VLOOKUP(A91,JanApport,MATCH($AK$4,'Jan 2022 Apport'!$3:$3,0),FALSE)</f>
        <v>14.281000000000001</v>
      </c>
      <c r="AL91" s="117">
        <f t="shared" si="18"/>
        <v>9494109.4900000021</v>
      </c>
      <c r="AM91" s="117">
        <f>VLOOKUP(A91,JanApport,MATCH($AM$4,'Jan 2022 Apport'!$3:$3,0),FALSE)</f>
        <v>0</v>
      </c>
      <c r="AN91" s="117">
        <f>VLOOKUP(A91,JanApport,MATCH($AN$4,'Jan 2022 Apport'!$3:$3,0),FALSE)</f>
        <v>56313.1</v>
      </c>
    </row>
    <row r="92" spans="1:40">
      <c r="A92" s="2" t="s">
        <v>567</v>
      </c>
      <c r="B92" s="2" t="s">
        <v>568</v>
      </c>
      <c r="C92" s="2" t="s">
        <v>1267</v>
      </c>
      <c r="D92" s="118">
        <f>VLOOKUP(A92,JanApport,MATCH($D$4,'Jan 2022 Apport'!$3:$3,FALSE),FALSE)</f>
        <v>2083276.09</v>
      </c>
      <c r="E92" s="30">
        <f>VLOOKUP(A92,JanApport,MATCH($E$2,'Jan 2022 Apport'!$3:$3,0),FALSE)+VLOOKUP(A92,JanApport,MATCH($E$3,'Jan 2022 Apport'!$3:$3,0),FALSE)+VLOOKUP(A92,JanApport,MATCH($E$4,'Jan 2022 Apport'!$3:$3,0),FALSE)</f>
        <v>43570.44</v>
      </c>
      <c r="F92" s="118">
        <f t="shared" si="19"/>
        <v>2039705.6500000001</v>
      </c>
      <c r="G92" s="117">
        <f>VLOOKUP(A92,JanApport,MATCH($G$4,'Jan 2022 Apport'!$3:$3,0),FALSE)</f>
        <v>10084.89</v>
      </c>
      <c r="H92" s="117">
        <f>VLOOKUP(A92,JanApport,MATCH($H$3,'Jan 2022 Apport'!$3:$3,0),FALSE)+VLOOKUP(A92,JanApport,MATCH($H$2,'Jan 2022 Apport'!$3:$3,0),FALSE)+VLOOKUP(A92,JanApport,MATCH($H$4,'Jan 2022 Apport'!$3:$3,0),FALSE)</f>
        <v>118706.46</v>
      </c>
      <c r="I92" s="117">
        <f t="shared" si="20"/>
        <v>128791.35</v>
      </c>
      <c r="J92" s="117">
        <f>VLOOKUP(A92,JanApport,MATCH($J$4,'Jan 2022 Apport'!$3:$3,0),FALSE)</f>
        <v>246132.92</v>
      </c>
      <c r="K92" s="117">
        <f>VLOOKUP(A92,JanApport,MATCH($K$4,'Jan 2022 Apport'!$3:$3,0),FALSE)</f>
        <v>88119.1</v>
      </c>
      <c r="L92" s="117">
        <f t="shared" si="21"/>
        <v>334252.02</v>
      </c>
      <c r="M92" s="117">
        <f>VLOOKUP(A92,JanApport,MATCH($M$4,'Jan 2022 Apport'!$3:$3,0),FALSE)</f>
        <v>29448.26</v>
      </c>
      <c r="N92" s="117">
        <f>VLOOKUP(A92,JanApport,MATCH($N$4,'Jan 2022 Apport'!$3:$3,0),FALSE)</f>
        <v>0</v>
      </c>
      <c r="O92" s="117">
        <f>VLOOKUP(A92,JanApport,MATCH($O$4,'Jan 2022 Apport'!$3:$3,0),FALSE)</f>
        <v>0</v>
      </c>
      <c r="P92" s="121">
        <f>IFERROR((VLOOKUP(A92,ExcessLevy!A:G,3,FALSE)*0.28),0)+IFERROR((VLOOKUP(A92,ExcessLevy!A:G,6,FALSE)*0.72),0)</f>
        <v>44115.124000000003</v>
      </c>
      <c r="Q92" s="121">
        <f>IFERROR((VLOOKUP(A92,ExcessLevy!A:G,4,FALSE)*0.4738),0)+IFERROR((VLOOKUP(A92,ExcessLevy!A:G,7,FALSE)*0.5262),0)</f>
        <v>176040</v>
      </c>
      <c r="R92">
        <f>VLOOKUP(A92,JanApport,MATCH($R$4,'Jan 2022 Apport'!$3:$3,0),FALSE)</f>
        <v>0</v>
      </c>
      <c r="S92">
        <f>VLOOKUP(A92,JanApport,MATCH($S$4,'Jan 2022 Apport'!$3:$3,0),FALSE)</f>
        <v>0</v>
      </c>
      <c r="T92">
        <f>VLOOKUP(A92,JanApport,MATCH($T$4,'Jan 2022 Apport'!$3:$3,0),FALSE)</f>
        <v>4.87</v>
      </c>
      <c r="U92" s="132">
        <f>IFERROR(VLOOKUP(A92,JanApport,MATCH($U$4,'Jan 2022 Apport'!$3:$3,0),FALSE)/R92,0)</f>
        <v>0</v>
      </c>
      <c r="V92" s="30">
        <f>IFERROR(((VLOOKUP(A92,JanApport,MATCH($V$4,'Jan 2022 Apport'!$3:$3,0),FALSE)+VLOOKUP(A92,JanApport,MATCH($V$3,'Jan 2022 Apport'!$3:$3,0),FALSE))/(S92+T92)),0)</f>
        <v>8946.7022587269003</v>
      </c>
      <c r="W92" s="30">
        <f t="shared" si="14"/>
        <v>8083.6246967786601</v>
      </c>
      <c r="X92">
        <f>VLOOKUP(A92,JanApport,MATCH($X$4,'Jan 2022 Apport'!$3:$3,0),FALSE)</f>
        <v>4.8578999999999997E-2</v>
      </c>
      <c r="Y92">
        <f>VLOOKUP(A92,JanApport,MATCH($Y$4,'Jan 2022 Apport'!$3:$3,0),FALSE)</f>
        <v>4.0270000000000002E-3</v>
      </c>
      <c r="Z92">
        <f>VLOOKUP(A92,JanApport,MATCH($Z$4,'Jan 2022 Apport'!$3:$3,0),FALSE)</f>
        <v>1.7100000000000001E-2</v>
      </c>
      <c r="AA92" s="77">
        <f>VLOOKUP(A92,JanApport,MATCH($AA$4,'Jan 2022 Apport'!$3:$3,0),FALSE)*VLOOKUP(A92,JanApport,MATCH($AA$3,'Jan 2022 Apport'!$3:$3,0),FALSE)</f>
        <v>67585</v>
      </c>
      <c r="AB92" s="77">
        <f>VLOOKUP(A92,JanApport,MATCH($AB$4,'Jan 2022 Apport'!$3:$3,0),FALSE)*VLOOKUP(A92,JanApport,MATCH($AB$3,'Jan 2022 Apport'!$3:$3,0),FALSE)</f>
        <v>68937</v>
      </c>
      <c r="AC92" s="77">
        <f>VLOOKUP(A92,JanApport,MATCH($AC$4,'Jan 2022 Apport'!$3:$3,0),FALSE)</f>
        <v>100321</v>
      </c>
      <c r="AD92" s="77">
        <f>VLOOKUP(A92,JanApport,MATCH($AD$4,'Jan 2022 Apport'!$3:$3,0),FALSE)*VLOOKUP(A92,JanApport,MATCH($AD$3,'Jan 2022 Apport'!$3:$3,0),FALSE)</f>
        <v>102327</v>
      </c>
      <c r="AE92" s="77">
        <f>VLOOKUP(A92,JanApport,MATCH($AE$4,'Jan 2022 Apport'!$3:$3,0),FALSE)</f>
        <v>48483</v>
      </c>
      <c r="AF92" s="77">
        <f>VLOOKUP(A92,JanApport,MATCH($AF$4,'Jan 2022 Apport'!$3:$3,0),FALSE)*VLOOKUP(A92,JanApport,MATCH($AF$3,'Jan 2022 Apport'!$3:$3,0),FALSE)</f>
        <v>49453</v>
      </c>
      <c r="AG92" s="77">
        <f t="shared" si="15"/>
        <v>96432.259900000005</v>
      </c>
      <c r="AH92" s="77">
        <f t="shared" si="16"/>
        <v>137400.94330000001</v>
      </c>
      <c r="AI92" s="77">
        <f t="shared" si="17"/>
        <v>77281.189732599989</v>
      </c>
      <c r="AJ92" s="3">
        <f>VLOOKUP(A92,JanApport,MATCH($AJ$4,'Jan 2022 Apport'!$3:$3,0),FALSE)</f>
        <v>237841.76</v>
      </c>
      <c r="AK92" s="3">
        <f>VLOOKUP(A92,JanApport,MATCH($AK$4,'Jan 2022 Apport'!$3:$3,0),FALSE)</f>
        <v>2.5270000000000001</v>
      </c>
      <c r="AL92" s="117">
        <f t="shared" si="18"/>
        <v>2496160.25</v>
      </c>
      <c r="AM92" s="117">
        <f>VLOOKUP(A92,JanApport,MATCH($AM$4,'Jan 2022 Apport'!$3:$3,0),FALSE)</f>
        <v>8511.6299999999992</v>
      </c>
      <c r="AN92" s="117">
        <f>VLOOKUP(A92,JanApport,MATCH($AN$4,'Jan 2022 Apport'!$3:$3,0),FALSE)</f>
        <v>18781.189999999999</v>
      </c>
    </row>
    <row r="93" spans="1:40">
      <c r="A93" s="2" t="s">
        <v>259</v>
      </c>
      <c r="B93" s="2" t="s">
        <v>260</v>
      </c>
      <c r="C93" s="2" t="s">
        <v>1267</v>
      </c>
      <c r="D93" s="118">
        <f>VLOOKUP(A93,JanApport,MATCH($D$4,'Jan 2022 Apport'!$3:$3,FALSE),FALSE)</f>
        <v>1964093.29</v>
      </c>
      <c r="E93" s="30">
        <f>VLOOKUP(A93,JanApport,MATCH($E$2,'Jan 2022 Apport'!$3:$3,0),FALSE)+VLOOKUP(A93,JanApport,MATCH($E$3,'Jan 2022 Apport'!$3:$3,0),FALSE)+VLOOKUP(A93,JanApport,MATCH($E$4,'Jan 2022 Apport'!$3:$3,0),FALSE)</f>
        <v>0</v>
      </c>
      <c r="F93" s="118">
        <f t="shared" si="19"/>
        <v>1964093.29</v>
      </c>
      <c r="G93" s="117">
        <f>VLOOKUP(A93,JanApport,MATCH($G$4,'Jan 2022 Apport'!$3:$3,0),FALSE)</f>
        <v>0</v>
      </c>
      <c r="H93" s="117">
        <f>VLOOKUP(A93,JanApport,MATCH($H$3,'Jan 2022 Apport'!$3:$3,0),FALSE)+VLOOKUP(A93,JanApport,MATCH($H$2,'Jan 2022 Apport'!$3:$3,0),FALSE)+VLOOKUP(A93,JanApport,MATCH($H$4,'Jan 2022 Apport'!$3:$3,0),FALSE)</f>
        <v>91842.779999999984</v>
      </c>
      <c r="I93" s="117">
        <f t="shared" si="20"/>
        <v>91842.779999999984</v>
      </c>
      <c r="J93" s="117">
        <f>VLOOKUP(A93,JanApport,MATCH($J$4,'Jan 2022 Apport'!$3:$3,0),FALSE)</f>
        <v>67580.210000000006</v>
      </c>
      <c r="K93" s="117">
        <f>VLOOKUP(A93,JanApport,MATCH($K$4,'Jan 2022 Apport'!$3:$3,0),FALSE)</f>
        <v>9231.7999999999993</v>
      </c>
      <c r="L93" s="117">
        <f t="shared" si="21"/>
        <v>76812.010000000009</v>
      </c>
      <c r="M93" s="117">
        <f>VLOOKUP(A93,JanApport,MATCH($M$4,'Jan 2022 Apport'!$3:$3,0),FALSE)</f>
        <v>19846.37</v>
      </c>
      <c r="N93" s="117">
        <f>VLOOKUP(A93,JanApport,MATCH($N$4,'Jan 2022 Apport'!$3:$3,0),FALSE)</f>
        <v>0</v>
      </c>
      <c r="O93" s="117">
        <f>VLOOKUP(A93,JanApport,MATCH($O$4,'Jan 2022 Apport'!$3:$3,0),FALSE)</f>
        <v>0</v>
      </c>
      <c r="P93" s="121">
        <f>IFERROR((VLOOKUP(A93,ExcessLevy!A:G,3,FALSE)*0.28),0)+IFERROR((VLOOKUP(A93,ExcessLevy!A:G,6,FALSE)*0.72),0)</f>
        <v>6103.9628000000012</v>
      </c>
      <c r="Q93" s="121">
        <f>IFERROR((VLOOKUP(A93,ExcessLevy!A:G,4,FALSE)*0.4738),0)+IFERROR((VLOOKUP(A93,ExcessLevy!A:G,7,FALSE)*0.5262),0)</f>
        <v>110000</v>
      </c>
      <c r="R93">
        <f>VLOOKUP(A93,JanApport,MATCH($R$4,'Jan 2022 Apport'!$3:$3,0),FALSE)</f>
        <v>0</v>
      </c>
      <c r="S93">
        <f>VLOOKUP(A93,JanApport,MATCH($S$4,'Jan 2022 Apport'!$3:$3,0),FALSE)</f>
        <v>0</v>
      </c>
      <c r="T93">
        <f>VLOOKUP(A93,JanApport,MATCH($T$4,'Jan 2022 Apport'!$3:$3,0),FALSE)</f>
        <v>0</v>
      </c>
      <c r="U93" s="132">
        <f>IFERROR(VLOOKUP(A93,JanApport,MATCH($U$4,'Jan 2022 Apport'!$3:$3,0),FALSE)/R93,0)</f>
        <v>0</v>
      </c>
      <c r="V93" s="30">
        <f>IFERROR(((VLOOKUP(A93,JanApport,MATCH($V$4,'Jan 2022 Apport'!$3:$3,0),FALSE)+VLOOKUP(A93,JanApport,MATCH($V$3,'Jan 2022 Apport'!$3:$3,0),FALSE))/(S93+T93)),0)</f>
        <v>0</v>
      </c>
      <c r="W93" s="30">
        <f t="shared" si="14"/>
        <v>8083.6246967786601</v>
      </c>
      <c r="X93">
        <f>VLOOKUP(A93,JanApport,MATCH($X$4,'Jan 2022 Apport'!$3:$3,0),FALSE)</f>
        <v>4.8578999999999997E-2</v>
      </c>
      <c r="Y93">
        <f>VLOOKUP(A93,JanApport,MATCH($Y$4,'Jan 2022 Apport'!$3:$3,0),FALSE)</f>
        <v>4.0270000000000002E-3</v>
      </c>
      <c r="Z93">
        <f>VLOOKUP(A93,JanApport,MATCH($Z$4,'Jan 2022 Apport'!$3:$3,0),FALSE)</f>
        <v>1.7100000000000001E-2</v>
      </c>
      <c r="AA93" s="77">
        <f>VLOOKUP(A93,JanApport,MATCH($AA$4,'Jan 2022 Apport'!$3:$3,0),FALSE)*VLOOKUP(A93,JanApport,MATCH($AA$3,'Jan 2022 Apport'!$3:$3,0),FALSE)</f>
        <v>67585</v>
      </c>
      <c r="AB93" s="77">
        <f>VLOOKUP(A93,JanApport,MATCH($AB$4,'Jan 2022 Apport'!$3:$3,0),FALSE)*VLOOKUP(A93,JanApport,MATCH($AB$3,'Jan 2022 Apport'!$3:$3,0),FALSE)</f>
        <v>68937</v>
      </c>
      <c r="AC93" s="77">
        <f>VLOOKUP(A93,JanApport,MATCH($AC$4,'Jan 2022 Apport'!$3:$3,0),FALSE)</f>
        <v>100321</v>
      </c>
      <c r="AD93" s="77">
        <f>VLOOKUP(A93,JanApport,MATCH($AD$4,'Jan 2022 Apport'!$3:$3,0),FALSE)*VLOOKUP(A93,JanApport,MATCH($AD$3,'Jan 2022 Apport'!$3:$3,0),FALSE)</f>
        <v>102327</v>
      </c>
      <c r="AE93" s="77">
        <f>VLOOKUP(A93,JanApport,MATCH($AE$4,'Jan 2022 Apport'!$3:$3,0),FALSE)</f>
        <v>48483</v>
      </c>
      <c r="AF93" s="77">
        <f>VLOOKUP(A93,JanApport,MATCH($AF$4,'Jan 2022 Apport'!$3:$3,0),FALSE)*VLOOKUP(A93,JanApport,MATCH($AF$3,'Jan 2022 Apport'!$3:$3,0),FALSE)</f>
        <v>49453</v>
      </c>
      <c r="AG93" s="77">
        <f t="shared" si="15"/>
        <v>96432.259900000005</v>
      </c>
      <c r="AH93" s="77">
        <f t="shared" si="16"/>
        <v>137400.94330000001</v>
      </c>
      <c r="AI93" s="77">
        <f t="shared" si="17"/>
        <v>77281.189732599989</v>
      </c>
      <c r="AJ93" s="3">
        <f>VLOOKUP(A93,JanApport,MATCH($AJ$4,'Jan 2022 Apport'!$3:$3,0),FALSE)</f>
        <v>203978.2</v>
      </c>
      <c r="AK93" s="3">
        <f>VLOOKUP(A93,JanApport,MATCH($AK$4,'Jan 2022 Apport'!$3:$3,0),FALSE)</f>
        <v>0.71799999999999997</v>
      </c>
      <c r="AL93" s="117">
        <f t="shared" si="18"/>
        <v>2058304.09</v>
      </c>
      <c r="AM93" s="117">
        <f>VLOOKUP(A93,JanApport,MATCH($AM$4,'Jan 2022 Apport'!$3:$3,0),FALSE)</f>
        <v>6784.22</v>
      </c>
      <c r="AN93" s="117">
        <f>VLOOKUP(A93,JanApport,MATCH($AN$4,'Jan 2022 Apport'!$3:$3,0),FALSE)</f>
        <v>18498.27</v>
      </c>
    </row>
    <row r="94" spans="1:40">
      <c r="A94" s="2" t="s">
        <v>265</v>
      </c>
      <c r="B94" s="2" t="s">
        <v>266</v>
      </c>
      <c r="C94" s="2" t="s">
        <v>1267</v>
      </c>
      <c r="D94" s="118">
        <f>VLOOKUP(A94,JanApport,MATCH($D$4,'Jan 2022 Apport'!$3:$3,FALSE),FALSE)</f>
        <v>19536066.190000001</v>
      </c>
      <c r="E94" s="30">
        <f>VLOOKUP(A94,JanApport,MATCH($E$2,'Jan 2022 Apport'!$3:$3,0),FALSE)+VLOOKUP(A94,JanApport,MATCH($E$3,'Jan 2022 Apport'!$3:$3,0),FALSE)+VLOOKUP(A94,JanApport,MATCH($E$4,'Jan 2022 Apport'!$3:$3,0),FALSE)</f>
        <v>957624.83</v>
      </c>
      <c r="F94" s="118">
        <f t="shared" si="19"/>
        <v>18578441.360000003</v>
      </c>
      <c r="G94" s="117">
        <f>VLOOKUP(A94,JanApport,MATCH($G$4,'Jan 2022 Apport'!$3:$3,0),FALSE)</f>
        <v>66674.36</v>
      </c>
      <c r="H94" s="117">
        <f>VLOOKUP(A94,JanApport,MATCH($H$3,'Jan 2022 Apport'!$3:$3,0),FALSE)+VLOOKUP(A94,JanApport,MATCH($H$2,'Jan 2022 Apport'!$3:$3,0),FALSE)+VLOOKUP(A94,JanApport,MATCH($H$4,'Jan 2022 Apport'!$3:$3,0),FALSE)</f>
        <v>2326325.56</v>
      </c>
      <c r="I94" s="117">
        <f t="shared" si="20"/>
        <v>2392999.92</v>
      </c>
      <c r="J94" s="117">
        <f>VLOOKUP(A94,JanApport,MATCH($J$4,'Jan 2022 Apport'!$3:$3,0),FALSE)</f>
        <v>513508.36</v>
      </c>
      <c r="K94" s="117">
        <f>VLOOKUP(A94,JanApport,MATCH($K$4,'Jan 2022 Apport'!$3:$3,0),FALSE)</f>
        <v>88647.48</v>
      </c>
      <c r="L94" s="117">
        <f t="shared" si="21"/>
        <v>602155.84</v>
      </c>
      <c r="M94" s="117">
        <f>VLOOKUP(A94,JanApport,MATCH($M$4,'Jan 2022 Apport'!$3:$3,0),FALSE)</f>
        <v>567833.09</v>
      </c>
      <c r="N94" s="117">
        <f>VLOOKUP(A94,JanApport,MATCH($N$4,'Jan 2022 Apport'!$3:$3,0),FALSE)</f>
        <v>109281.46</v>
      </c>
      <c r="O94" s="117">
        <f>VLOOKUP(A94,JanApport,MATCH($O$4,'Jan 2022 Apport'!$3:$3,0),FALSE)</f>
        <v>0</v>
      </c>
      <c r="P94" s="121">
        <f>IFERROR((VLOOKUP(A94,ExcessLevy!A:G,3,FALSE)*0.28),0)+IFERROR((VLOOKUP(A94,ExcessLevy!A:G,6,FALSE)*0.72),0)</f>
        <v>1343413.0367999999</v>
      </c>
      <c r="Q94" s="121">
        <f>IFERROR((VLOOKUP(A94,ExcessLevy!A:G,4,FALSE)*0.4738),0)+IFERROR((VLOOKUP(A94,ExcessLevy!A:G,7,FALSE)*0.5262),0)</f>
        <v>2424230.3149999999</v>
      </c>
      <c r="R94">
        <f>VLOOKUP(A94,JanApport,MATCH($R$4,'Jan 2022 Apport'!$3:$3,0),FALSE)</f>
        <v>0</v>
      </c>
      <c r="S94">
        <f>VLOOKUP(A94,JanApport,MATCH($S$4,'Jan 2022 Apport'!$3:$3,0),FALSE)</f>
        <v>27.1</v>
      </c>
      <c r="T94">
        <f>VLOOKUP(A94,JanApport,MATCH($T$4,'Jan 2022 Apport'!$3:$3,0),FALSE)</f>
        <v>80.260000000000005</v>
      </c>
      <c r="U94" s="132">
        <f>IFERROR(VLOOKUP(A94,JanApport,MATCH($U$4,'Jan 2022 Apport'!$3:$3,0),FALSE)/R94,0)</f>
        <v>0</v>
      </c>
      <c r="V94" s="30">
        <f>IFERROR(((VLOOKUP(A94,JanApport,MATCH($V$4,'Jan 2022 Apport'!$3:$3,0),FALSE)+VLOOKUP(A94,JanApport,MATCH($V$3,'Jan 2022 Apport'!$3:$3,0),FALSE))/(S94+T94)),0)</f>
        <v>8919.7543777943356</v>
      </c>
      <c r="W94" s="30">
        <f t="shared" si="14"/>
        <v>8083.6246967786601</v>
      </c>
      <c r="X94">
        <f>VLOOKUP(A94,JanApport,MATCH($X$4,'Jan 2022 Apport'!$3:$3,0),FALSE)</f>
        <v>4.8578999999999997E-2</v>
      </c>
      <c r="Y94">
        <f>VLOOKUP(A94,JanApport,MATCH($Y$4,'Jan 2022 Apport'!$3:$3,0),FALSE)</f>
        <v>4.0270000000000002E-3</v>
      </c>
      <c r="Z94">
        <f>VLOOKUP(A94,JanApport,MATCH($Z$4,'Jan 2022 Apport'!$3:$3,0),FALSE)</f>
        <v>1.7100000000000001E-2</v>
      </c>
      <c r="AA94" s="77">
        <f>VLOOKUP(A94,JanApport,MATCH($AA$4,'Jan 2022 Apport'!$3:$3,0),FALSE)*VLOOKUP(A94,JanApport,MATCH($AA$3,'Jan 2022 Apport'!$3:$3,0),FALSE)</f>
        <v>67585</v>
      </c>
      <c r="AB94" s="77">
        <f>VLOOKUP(A94,JanApport,MATCH($AB$4,'Jan 2022 Apport'!$3:$3,0),FALSE)*VLOOKUP(A94,JanApport,MATCH($AB$3,'Jan 2022 Apport'!$3:$3,0),FALSE)</f>
        <v>68937</v>
      </c>
      <c r="AC94" s="77">
        <f>VLOOKUP(A94,JanApport,MATCH($AC$4,'Jan 2022 Apport'!$3:$3,0),FALSE)</f>
        <v>100321</v>
      </c>
      <c r="AD94" s="77">
        <f>VLOOKUP(A94,JanApport,MATCH($AD$4,'Jan 2022 Apport'!$3:$3,0),FALSE)*VLOOKUP(A94,JanApport,MATCH($AD$3,'Jan 2022 Apport'!$3:$3,0),FALSE)</f>
        <v>102327</v>
      </c>
      <c r="AE94" s="77">
        <f>VLOOKUP(A94,JanApport,MATCH($AE$4,'Jan 2022 Apport'!$3:$3,0),FALSE)</f>
        <v>48483</v>
      </c>
      <c r="AF94" s="77">
        <f>VLOOKUP(A94,JanApport,MATCH($AF$4,'Jan 2022 Apport'!$3:$3,0),FALSE)*VLOOKUP(A94,JanApport,MATCH($AF$3,'Jan 2022 Apport'!$3:$3,0),FALSE)</f>
        <v>49453</v>
      </c>
      <c r="AG94" s="77">
        <f t="shared" si="15"/>
        <v>96432.259900000005</v>
      </c>
      <c r="AH94" s="77">
        <f t="shared" si="16"/>
        <v>137400.94330000001</v>
      </c>
      <c r="AI94" s="77">
        <f t="shared" si="17"/>
        <v>77281.189732599989</v>
      </c>
      <c r="AJ94" s="3">
        <f>VLOOKUP(A94,JanApport,MATCH($AJ$4,'Jan 2022 Apport'!$3:$3,0),FALSE)</f>
        <v>1058006.0900000001</v>
      </c>
      <c r="AK94" s="3">
        <f>VLOOKUP(A94,JanApport,MATCH($AK$4,'Jan 2022 Apport'!$3:$3,0),FALSE)</f>
        <v>14.743</v>
      </c>
      <c r="AL94" s="117">
        <f t="shared" si="18"/>
        <v>20873734.770000003</v>
      </c>
      <c r="AM94" s="117">
        <f>VLOOKUP(A94,JanApport,MATCH($AM$4,'Jan 2022 Apport'!$3:$3,0),FALSE)</f>
        <v>147045.67000000001</v>
      </c>
      <c r="AN94" s="117">
        <f>VLOOKUP(A94,JanApport,MATCH($AN$4,'Jan 2022 Apport'!$3:$3,0),FALSE)</f>
        <v>56859.69</v>
      </c>
    </row>
    <row r="95" spans="1:40">
      <c r="A95" s="2" t="s">
        <v>139</v>
      </c>
      <c r="B95" s="2" t="s">
        <v>140</v>
      </c>
      <c r="C95" s="2" t="s">
        <v>1267</v>
      </c>
      <c r="D95" s="118">
        <f>VLOOKUP(A95,JanApport,MATCH($D$4,'Jan 2022 Apport'!$3:$3,FALSE),FALSE)</f>
        <v>6204186.0499999998</v>
      </c>
      <c r="E95" s="30">
        <f>VLOOKUP(A95,JanApport,MATCH($E$2,'Jan 2022 Apport'!$3:$3,0),FALSE)+VLOOKUP(A95,JanApport,MATCH($E$3,'Jan 2022 Apport'!$3:$3,0),FALSE)+VLOOKUP(A95,JanApport,MATCH($E$4,'Jan 2022 Apport'!$3:$3,0),FALSE)</f>
        <v>302019.71999999997</v>
      </c>
      <c r="F95" s="118">
        <f t="shared" si="19"/>
        <v>5902166.3300000001</v>
      </c>
      <c r="G95" s="117">
        <f>VLOOKUP(A95,JanApport,MATCH($G$4,'Jan 2022 Apport'!$3:$3,0),FALSE)</f>
        <v>24302.52</v>
      </c>
      <c r="H95" s="117">
        <f>VLOOKUP(A95,JanApport,MATCH($H$3,'Jan 2022 Apport'!$3:$3,0),FALSE)+VLOOKUP(A95,JanApport,MATCH($H$2,'Jan 2022 Apport'!$3:$3,0),FALSE)+VLOOKUP(A95,JanApport,MATCH($H$4,'Jan 2022 Apport'!$3:$3,0),FALSE)</f>
        <v>820602.37999999989</v>
      </c>
      <c r="I95" s="117">
        <f t="shared" si="20"/>
        <v>844904.89999999991</v>
      </c>
      <c r="J95" s="117">
        <f>VLOOKUP(A95,JanApport,MATCH($J$4,'Jan 2022 Apport'!$3:$3,0),FALSE)</f>
        <v>483095.36</v>
      </c>
      <c r="K95" s="117">
        <f>VLOOKUP(A95,JanApport,MATCH($K$4,'Jan 2022 Apport'!$3:$3,0),FALSE)</f>
        <v>148152.95000000001</v>
      </c>
      <c r="L95" s="117">
        <f t="shared" si="21"/>
        <v>631248.31000000006</v>
      </c>
      <c r="M95" s="117">
        <f>VLOOKUP(A95,JanApport,MATCH($M$4,'Jan 2022 Apport'!$3:$3,0),FALSE)</f>
        <v>328040.03000000003</v>
      </c>
      <c r="N95" s="117">
        <f>VLOOKUP(A95,JanApport,MATCH($N$4,'Jan 2022 Apport'!$3:$3,0),FALSE)</f>
        <v>0</v>
      </c>
      <c r="O95" s="117">
        <f>VLOOKUP(A95,JanApport,MATCH($O$4,'Jan 2022 Apport'!$3:$3,0),FALSE)</f>
        <v>20251.8</v>
      </c>
      <c r="P95" s="121">
        <f>IFERROR((VLOOKUP(A95,ExcessLevy!A:G,3,FALSE)*0.28),0)+IFERROR((VLOOKUP(A95,ExcessLevy!A:G,6,FALSE)*0.72),0)</f>
        <v>628252.48720000009</v>
      </c>
      <c r="Q95" s="121">
        <f>IFERROR((VLOOKUP(A95,ExcessLevy!A:G,4,FALSE)*0.4738),0)+IFERROR((VLOOKUP(A95,ExcessLevy!A:G,7,FALSE)*0.5262),0)</f>
        <v>826693.76699999999</v>
      </c>
      <c r="R95">
        <f>VLOOKUP(A95,JanApport,MATCH($R$4,'Jan 2022 Apport'!$3:$3,0),FALSE)</f>
        <v>0</v>
      </c>
      <c r="S95">
        <f>VLOOKUP(A95,JanApport,MATCH($S$4,'Jan 2022 Apport'!$3:$3,0),FALSE)</f>
        <v>7.56</v>
      </c>
      <c r="T95">
        <f>VLOOKUP(A95,JanApport,MATCH($T$4,'Jan 2022 Apport'!$3:$3,0),FALSE)</f>
        <v>26.32</v>
      </c>
      <c r="U95" s="132">
        <f>IFERROR(VLOOKUP(A95,JanApport,MATCH($U$4,'Jan 2022 Apport'!$3:$3,0),FALSE)/R95,0)</f>
        <v>0</v>
      </c>
      <c r="V95" s="30">
        <f>IFERROR(((VLOOKUP(A95,JanApport,MATCH($V$4,'Jan 2022 Apport'!$3:$3,0),FALSE)+VLOOKUP(A95,JanApport,MATCH($V$3,'Jan 2022 Apport'!$3:$3,0),FALSE))/(S95+T95)),0)</f>
        <v>8914.3955135773303</v>
      </c>
      <c r="W95" s="30">
        <f t="shared" si="14"/>
        <v>8083.6246967786601</v>
      </c>
      <c r="X95">
        <f>VLOOKUP(A95,JanApport,MATCH($X$4,'Jan 2022 Apport'!$3:$3,0),FALSE)</f>
        <v>4.8578999999999997E-2</v>
      </c>
      <c r="Y95">
        <f>VLOOKUP(A95,JanApport,MATCH($Y$4,'Jan 2022 Apport'!$3:$3,0),FALSE)</f>
        <v>4.0270000000000002E-3</v>
      </c>
      <c r="Z95">
        <f>VLOOKUP(A95,JanApport,MATCH($Z$4,'Jan 2022 Apport'!$3:$3,0),FALSE)</f>
        <v>1.7100000000000001E-2</v>
      </c>
      <c r="AA95" s="77">
        <f>VLOOKUP(A95,JanApport,MATCH($AA$4,'Jan 2022 Apport'!$3:$3,0),FALSE)*VLOOKUP(A95,JanApport,MATCH($AA$3,'Jan 2022 Apport'!$3:$3,0),FALSE)</f>
        <v>67585</v>
      </c>
      <c r="AB95" s="77">
        <f>VLOOKUP(A95,JanApport,MATCH($AB$4,'Jan 2022 Apport'!$3:$3,0),FALSE)*VLOOKUP(A95,JanApport,MATCH($AB$3,'Jan 2022 Apport'!$3:$3,0),FALSE)</f>
        <v>68937</v>
      </c>
      <c r="AC95" s="77">
        <f>VLOOKUP(A95,JanApport,MATCH($AC$4,'Jan 2022 Apport'!$3:$3,0),FALSE)</f>
        <v>100321</v>
      </c>
      <c r="AD95" s="77">
        <f>VLOOKUP(A95,JanApport,MATCH($AD$4,'Jan 2022 Apport'!$3:$3,0),FALSE)*VLOOKUP(A95,JanApport,MATCH($AD$3,'Jan 2022 Apport'!$3:$3,0),FALSE)</f>
        <v>102327</v>
      </c>
      <c r="AE95" s="77">
        <f>VLOOKUP(A95,JanApport,MATCH($AE$4,'Jan 2022 Apport'!$3:$3,0),FALSE)</f>
        <v>48483</v>
      </c>
      <c r="AF95" s="77">
        <f>VLOOKUP(A95,JanApport,MATCH($AF$4,'Jan 2022 Apport'!$3:$3,0),FALSE)*VLOOKUP(A95,JanApport,MATCH($AF$3,'Jan 2022 Apport'!$3:$3,0),FALSE)</f>
        <v>49453</v>
      </c>
      <c r="AG95" s="77">
        <f t="shared" si="15"/>
        <v>96432.259900000005</v>
      </c>
      <c r="AH95" s="77">
        <f t="shared" si="16"/>
        <v>137400.94330000001</v>
      </c>
      <c r="AI95" s="77">
        <f t="shared" si="17"/>
        <v>77281.189732599989</v>
      </c>
      <c r="AJ95" s="3">
        <f>VLOOKUP(A95,JanApport,MATCH($AJ$4,'Jan 2022 Apport'!$3:$3,0),FALSE)</f>
        <v>903728.42</v>
      </c>
      <c r="AK95" s="3">
        <f>VLOOKUP(A95,JanApport,MATCH($AK$4,'Jan 2022 Apport'!$3:$3,0),FALSE)</f>
        <v>12.089</v>
      </c>
      <c r="AL95" s="117">
        <f t="shared" si="18"/>
        <v>8085246.3300000001</v>
      </c>
      <c r="AM95" s="117">
        <f>VLOOKUP(A95,JanApport,MATCH($AM$4,'Jan 2022 Apport'!$3:$3,0),FALSE)</f>
        <v>204768.19</v>
      </c>
      <c r="AN95" s="117">
        <f>VLOOKUP(A95,JanApport,MATCH($AN$4,'Jan 2022 Apport'!$3:$3,0),FALSE)</f>
        <v>47922.81</v>
      </c>
    </row>
    <row r="96" spans="1:40">
      <c r="A96" s="2" t="s">
        <v>593</v>
      </c>
      <c r="B96" s="2" t="s">
        <v>594</v>
      </c>
      <c r="C96" s="2" t="s">
        <v>1267</v>
      </c>
      <c r="D96" s="118">
        <f>VLOOKUP(A96,JanApport,MATCH($D$4,'Jan 2022 Apport'!$3:$3,FALSE),FALSE)</f>
        <v>30589921.469999999</v>
      </c>
      <c r="E96" s="30">
        <f>VLOOKUP(A96,JanApport,MATCH($E$2,'Jan 2022 Apport'!$3:$3,0),FALSE)+VLOOKUP(A96,JanApport,MATCH($E$3,'Jan 2022 Apport'!$3:$3,0),FALSE)+VLOOKUP(A96,JanApport,MATCH($E$4,'Jan 2022 Apport'!$3:$3,0),FALSE)</f>
        <v>2844931.98</v>
      </c>
      <c r="F96" s="118">
        <f t="shared" si="19"/>
        <v>27744989.489999998</v>
      </c>
      <c r="G96" s="117">
        <f>VLOOKUP(A96,JanApport,MATCH($G$4,'Jan 2022 Apport'!$3:$3,0),FALSE)</f>
        <v>242440.8</v>
      </c>
      <c r="H96" s="117">
        <f>VLOOKUP(A96,JanApport,MATCH($H$3,'Jan 2022 Apport'!$3:$3,0),FALSE)+VLOOKUP(A96,JanApport,MATCH($H$2,'Jan 2022 Apport'!$3:$3,0),FALSE)+VLOOKUP(A96,JanApport,MATCH($H$4,'Jan 2022 Apport'!$3:$3,0),FALSE)</f>
        <v>4079163.6399999997</v>
      </c>
      <c r="I96" s="117">
        <f t="shared" si="20"/>
        <v>4321604.4399999995</v>
      </c>
      <c r="J96" s="117">
        <f>VLOOKUP(A96,JanApport,MATCH($J$4,'Jan 2022 Apport'!$3:$3,0),FALSE)</f>
        <v>1176279.6599999999</v>
      </c>
      <c r="K96" s="117">
        <f>VLOOKUP(A96,JanApport,MATCH($K$4,'Jan 2022 Apport'!$3:$3,0),FALSE)</f>
        <v>174601.29</v>
      </c>
      <c r="L96" s="117">
        <f t="shared" si="21"/>
        <v>1350880.95</v>
      </c>
      <c r="M96" s="117">
        <f>VLOOKUP(A96,JanApport,MATCH($M$4,'Jan 2022 Apport'!$3:$3,0),FALSE)</f>
        <v>1840076.6</v>
      </c>
      <c r="N96" s="117">
        <f>VLOOKUP(A96,JanApport,MATCH($N$4,'Jan 2022 Apport'!$3:$3,0),FALSE)</f>
        <v>1731284.32</v>
      </c>
      <c r="O96" s="117">
        <f>VLOOKUP(A96,JanApport,MATCH($O$4,'Jan 2022 Apport'!$3:$3,0),FALSE)</f>
        <v>98813.13</v>
      </c>
      <c r="P96" s="121">
        <f>IFERROR((VLOOKUP(A96,ExcessLevy!A:G,3,FALSE)*0.28),0)+IFERROR((VLOOKUP(A96,ExcessLevy!A:G,6,FALSE)*0.72),0)</f>
        <v>4273483.7456</v>
      </c>
      <c r="Q96" s="121">
        <f>IFERROR((VLOOKUP(A96,ExcessLevy!A:G,4,FALSE)*0.4738),0)+IFERROR((VLOOKUP(A96,ExcessLevy!A:G,7,FALSE)*0.5262),0)</f>
        <v>1826310</v>
      </c>
      <c r="R96">
        <f>VLOOKUP(A96,JanApport,MATCH($R$4,'Jan 2022 Apport'!$3:$3,0),FALSE)</f>
        <v>0</v>
      </c>
      <c r="S96">
        <f>VLOOKUP(A96,JanApport,MATCH($S$4,'Jan 2022 Apport'!$3:$3,0),FALSE)</f>
        <v>41.76</v>
      </c>
      <c r="T96">
        <f>VLOOKUP(A96,JanApport,MATCH($T$4,'Jan 2022 Apport'!$3:$3,0),FALSE)</f>
        <v>277.12</v>
      </c>
      <c r="U96" s="132">
        <f>IFERROR(VLOOKUP(A96,JanApport,MATCH($U$4,'Jan 2022 Apport'!$3:$3,0),FALSE)/R96,0)</f>
        <v>0</v>
      </c>
      <c r="V96" s="30">
        <f>IFERROR(((VLOOKUP(A96,JanApport,MATCH($V$4,'Jan 2022 Apport'!$3:$3,0),FALSE)+VLOOKUP(A96,JanApport,MATCH($V$3,'Jan 2022 Apport'!$3:$3,0),FALSE))/(S96+T96)),0)</f>
        <v>8921.6381710988462</v>
      </c>
      <c r="W96" s="30">
        <f t="shared" si="14"/>
        <v>8083.6246967786601</v>
      </c>
      <c r="X96">
        <f>VLOOKUP(A96,JanApport,MATCH($X$4,'Jan 2022 Apport'!$3:$3,0),FALSE)</f>
        <v>4.8578999999999997E-2</v>
      </c>
      <c r="Y96">
        <f>VLOOKUP(A96,JanApport,MATCH($Y$4,'Jan 2022 Apport'!$3:$3,0),FALSE)</f>
        <v>4.0270000000000002E-3</v>
      </c>
      <c r="Z96">
        <f>VLOOKUP(A96,JanApport,MATCH($Z$4,'Jan 2022 Apport'!$3:$3,0),FALSE)</f>
        <v>1.7100000000000001E-2</v>
      </c>
      <c r="AA96" s="77">
        <f>VLOOKUP(A96,JanApport,MATCH($AA$4,'Jan 2022 Apport'!$3:$3,0),FALSE)*VLOOKUP(A96,JanApport,MATCH($AA$3,'Jan 2022 Apport'!$3:$3,0),FALSE)</f>
        <v>67585</v>
      </c>
      <c r="AB96" s="77">
        <f>VLOOKUP(A96,JanApport,MATCH($AB$4,'Jan 2022 Apport'!$3:$3,0),FALSE)*VLOOKUP(A96,JanApport,MATCH($AB$3,'Jan 2022 Apport'!$3:$3,0),FALSE)</f>
        <v>68937</v>
      </c>
      <c r="AC96" s="77">
        <f>VLOOKUP(A96,JanApport,MATCH($AC$4,'Jan 2022 Apport'!$3:$3,0),FALSE)</f>
        <v>100321</v>
      </c>
      <c r="AD96" s="77">
        <f>VLOOKUP(A96,JanApport,MATCH($AD$4,'Jan 2022 Apport'!$3:$3,0),FALSE)*VLOOKUP(A96,JanApport,MATCH($AD$3,'Jan 2022 Apport'!$3:$3,0),FALSE)</f>
        <v>102327</v>
      </c>
      <c r="AE96" s="77">
        <f>VLOOKUP(A96,JanApport,MATCH($AE$4,'Jan 2022 Apport'!$3:$3,0),FALSE)</f>
        <v>48483</v>
      </c>
      <c r="AF96" s="77">
        <f>VLOOKUP(A96,JanApport,MATCH($AF$4,'Jan 2022 Apport'!$3:$3,0),FALSE)*VLOOKUP(A96,JanApport,MATCH($AF$3,'Jan 2022 Apport'!$3:$3,0),FALSE)</f>
        <v>49453</v>
      </c>
      <c r="AG96" s="77">
        <f t="shared" si="15"/>
        <v>96432.259900000005</v>
      </c>
      <c r="AH96" s="77">
        <f t="shared" si="16"/>
        <v>137400.94330000001</v>
      </c>
      <c r="AI96" s="77">
        <f t="shared" si="17"/>
        <v>77281.189732599989</v>
      </c>
      <c r="AJ96" s="3">
        <f>VLOOKUP(A96,JanApport,MATCH($AJ$4,'Jan 2022 Apport'!$3:$3,0),FALSE)</f>
        <v>4341777.3899999997</v>
      </c>
      <c r="AK96" s="3">
        <f>VLOOKUP(A96,JanApport,MATCH($AK$4,'Jan 2022 Apport'!$3:$3,0),FALSE)</f>
        <v>65.998999999999995</v>
      </c>
      <c r="AL96" s="117">
        <f t="shared" si="18"/>
        <v>40765677.899999999</v>
      </c>
      <c r="AM96" s="117">
        <f>VLOOKUP(A96,JanApport,MATCH($AM$4,'Jan 2022 Apport'!$3:$3,0),FALSE)</f>
        <v>1007698.28</v>
      </c>
      <c r="AN96" s="117">
        <f>VLOOKUP(A96,JanApport,MATCH($AN$4,'Jan 2022 Apport'!$3:$3,0),FALSE)</f>
        <v>237698.24</v>
      </c>
    </row>
    <row r="97" spans="1:40">
      <c r="A97" s="2" t="s">
        <v>601</v>
      </c>
      <c r="B97" s="2" t="s">
        <v>602</v>
      </c>
      <c r="C97" s="2" t="s">
        <v>1267</v>
      </c>
      <c r="D97" s="118">
        <f>VLOOKUP(A97,JanApport,MATCH($D$4,'Jan 2022 Apport'!$3:$3,FALSE),FALSE)</f>
        <v>12820859.220000001</v>
      </c>
      <c r="E97" s="30">
        <f>VLOOKUP(A97,JanApport,MATCH($E$2,'Jan 2022 Apport'!$3:$3,0),FALSE)+VLOOKUP(A97,JanApport,MATCH($E$3,'Jan 2022 Apport'!$3:$3,0),FALSE)+VLOOKUP(A97,JanApport,MATCH($E$4,'Jan 2022 Apport'!$3:$3,0),FALSE)</f>
        <v>1665520.49</v>
      </c>
      <c r="F97" s="118">
        <f t="shared" si="19"/>
        <v>11155338.73</v>
      </c>
      <c r="G97" s="117">
        <f>VLOOKUP(A97,JanApport,MATCH($G$4,'Jan 2022 Apport'!$3:$3,0),FALSE)</f>
        <v>179100.33</v>
      </c>
      <c r="H97" s="117">
        <f>VLOOKUP(A97,JanApport,MATCH($H$3,'Jan 2022 Apport'!$3:$3,0),FALSE)+VLOOKUP(A97,JanApport,MATCH($H$2,'Jan 2022 Apport'!$3:$3,0),FALSE)+VLOOKUP(A97,JanApport,MATCH($H$4,'Jan 2022 Apport'!$3:$3,0),FALSE)</f>
        <v>1643279.99</v>
      </c>
      <c r="I97" s="117">
        <f t="shared" si="20"/>
        <v>1822380.32</v>
      </c>
      <c r="J97" s="117">
        <f>VLOOKUP(A97,JanApport,MATCH($J$4,'Jan 2022 Apport'!$3:$3,0),FALSE)</f>
        <v>533670.44999999995</v>
      </c>
      <c r="K97" s="117">
        <f>VLOOKUP(A97,JanApport,MATCH($K$4,'Jan 2022 Apport'!$3:$3,0),FALSE)</f>
        <v>96203.839999999997</v>
      </c>
      <c r="L97" s="117">
        <f t="shared" si="21"/>
        <v>629874.28999999992</v>
      </c>
      <c r="M97" s="117">
        <f>VLOOKUP(A97,JanApport,MATCH($M$4,'Jan 2022 Apport'!$3:$3,0),FALSE)</f>
        <v>814278.9</v>
      </c>
      <c r="N97" s="117">
        <f>VLOOKUP(A97,JanApport,MATCH($N$4,'Jan 2022 Apport'!$3:$3,0),FALSE)</f>
        <v>904678.25</v>
      </c>
      <c r="O97" s="117">
        <f>VLOOKUP(A97,JanApport,MATCH($O$4,'Jan 2022 Apport'!$3:$3,0),FALSE)</f>
        <v>40992.78</v>
      </c>
      <c r="P97" s="121">
        <f>IFERROR((VLOOKUP(A97,ExcessLevy!A:G,3,FALSE)*0.28),0)+IFERROR((VLOOKUP(A97,ExcessLevy!A:G,6,FALSE)*0.72),0)</f>
        <v>1744085.7096000002</v>
      </c>
      <c r="Q97" s="121">
        <f>IFERROR((VLOOKUP(A97,ExcessLevy!A:G,4,FALSE)*0.4738),0)+IFERROR((VLOOKUP(A97,ExcessLevy!A:G,7,FALSE)*0.5262),0)</f>
        <v>672831.8</v>
      </c>
      <c r="R97">
        <f>VLOOKUP(A97,JanApport,MATCH($R$4,'Jan 2022 Apport'!$3:$3,0),FALSE)</f>
        <v>0</v>
      </c>
      <c r="S97">
        <f>VLOOKUP(A97,JanApport,MATCH($S$4,'Jan 2022 Apport'!$3:$3,0),FALSE)</f>
        <v>21.06</v>
      </c>
      <c r="T97">
        <f>VLOOKUP(A97,JanApport,MATCH($T$4,'Jan 2022 Apport'!$3:$3,0),FALSE)</f>
        <v>165.61</v>
      </c>
      <c r="U97" s="132">
        <f>IFERROR(VLOOKUP(A97,JanApport,MATCH($U$4,'Jan 2022 Apport'!$3:$3,0),FALSE)/R97,0)</f>
        <v>0</v>
      </c>
      <c r="V97" s="30">
        <f>IFERROR(((VLOOKUP(A97,JanApport,MATCH($V$4,'Jan 2022 Apport'!$3:$3,0),FALSE)+VLOOKUP(A97,JanApport,MATCH($V$3,'Jan 2022 Apport'!$3:$3,0),FALSE))/(S97+T97)),0)</f>
        <v>8922.2718701451759</v>
      </c>
      <c r="W97" s="30">
        <f t="shared" si="14"/>
        <v>8083.6246967786601</v>
      </c>
      <c r="X97">
        <f>VLOOKUP(A97,JanApport,MATCH($X$4,'Jan 2022 Apport'!$3:$3,0),FALSE)</f>
        <v>4.8578999999999997E-2</v>
      </c>
      <c r="Y97">
        <f>VLOOKUP(A97,JanApport,MATCH($Y$4,'Jan 2022 Apport'!$3:$3,0),FALSE)</f>
        <v>4.0270000000000002E-3</v>
      </c>
      <c r="Z97">
        <f>VLOOKUP(A97,JanApport,MATCH($Z$4,'Jan 2022 Apport'!$3:$3,0),FALSE)</f>
        <v>1.7100000000000001E-2</v>
      </c>
      <c r="AA97" s="77">
        <f>VLOOKUP(A97,JanApport,MATCH($AA$4,'Jan 2022 Apport'!$3:$3,0),FALSE)*VLOOKUP(A97,JanApport,MATCH($AA$3,'Jan 2022 Apport'!$3:$3,0),FALSE)</f>
        <v>67585</v>
      </c>
      <c r="AB97" s="77">
        <f>VLOOKUP(A97,JanApport,MATCH($AB$4,'Jan 2022 Apport'!$3:$3,0),FALSE)*VLOOKUP(A97,JanApport,MATCH($AB$3,'Jan 2022 Apport'!$3:$3,0),FALSE)</f>
        <v>68937</v>
      </c>
      <c r="AC97" s="77">
        <f>VLOOKUP(A97,JanApport,MATCH($AC$4,'Jan 2022 Apport'!$3:$3,0),FALSE)</f>
        <v>100321</v>
      </c>
      <c r="AD97" s="77">
        <f>VLOOKUP(A97,JanApport,MATCH($AD$4,'Jan 2022 Apport'!$3:$3,0),FALSE)*VLOOKUP(A97,JanApport,MATCH($AD$3,'Jan 2022 Apport'!$3:$3,0),FALSE)</f>
        <v>102327</v>
      </c>
      <c r="AE97" s="77">
        <f>VLOOKUP(A97,JanApport,MATCH($AE$4,'Jan 2022 Apport'!$3:$3,0),FALSE)</f>
        <v>48483</v>
      </c>
      <c r="AF97" s="77">
        <f>VLOOKUP(A97,JanApport,MATCH($AF$4,'Jan 2022 Apport'!$3:$3,0),FALSE)*VLOOKUP(A97,JanApport,MATCH($AF$3,'Jan 2022 Apport'!$3:$3,0),FALSE)</f>
        <v>49453</v>
      </c>
      <c r="AG97" s="77">
        <f t="shared" si="15"/>
        <v>96432.259900000005</v>
      </c>
      <c r="AH97" s="77">
        <f t="shared" si="16"/>
        <v>137400.94330000001</v>
      </c>
      <c r="AI97" s="77">
        <f t="shared" si="17"/>
        <v>77281.189732599989</v>
      </c>
      <c r="AJ97" s="3">
        <f>VLOOKUP(A97,JanApport,MATCH($AJ$4,'Jan 2022 Apport'!$3:$3,0),FALSE)</f>
        <v>1757154.35</v>
      </c>
      <c r="AK97" s="3">
        <f>VLOOKUP(A97,JanApport,MATCH($AK$4,'Jan 2022 Apport'!$3:$3,0),FALSE)</f>
        <v>29.146999999999998</v>
      </c>
      <c r="AL97" s="117">
        <f t="shared" si="18"/>
        <v>17347570.349999998</v>
      </c>
      <c r="AM97" s="117">
        <f>VLOOKUP(A97,JanApport,MATCH($AM$4,'Jan 2022 Apport'!$3:$3,0),FALSE)</f>
        <v>410710.43</v>
      </c>
      <c r="AN97" s="117">
        <f>VLOOKUP(A97,JanApport,MATCH($AN$4,'Jan 2022 Apport'!$3:$3,0),FALSE)</f>
        <v>97225.72</v>
      </c>
    </row>
    <row r="98" spans="1:40">
      <c r="A98" s="2" t="s">
        <v>447</v>
      </c>
      <c r="B98" s="2" t="s">
        <v>448</v>
      </c>
      <c r="C98" s="2" t="s">
        <v>1267</v>
      </c>
      <c r="D98" s="118">
        <f>VLOOKUP(A98,JanApport,MATCH($D$4,'Jan 2022 Apport'!$3:$3,FALSE),FALSE)</f>
        <v>20631689.059999999</v>
      </c>
      <c r="E98" s="30">
        <f>VLOOKUP(A98,JanApport,MATCH($E$2,'Jan 2022 Apport'!$3:$3,0),FALSE)+VLOOKUP(A98,JanApport,MATCH($E$3,'Jan 2022 Apport'!$3:$3,0),FALSE)+VLOOKUP(A98,JanApport,MATCH($E$4,'Jan 2022 Apport'!$3:$3,0),FALSE)</f>
        <v>1979650.9699999997</v>
      </c>
      <c r="F98" s="118">
        <f t="shared" si="19"/>
        <v>18652038.09</v>
      </c>
      <c r="G98" s="117">
        <f>VLOOKUP(A98,JanApport,MATCH($G$4,'Jan 2022 Apport'!$3:$3,0),FALSE)</f>
        <v>405849.38</v>
      </c>
      <c r="H98" s="117">
        <f>VLOOKUP(A98,JanApport,MATCH($H$3,'Jan 2022 Apport'!$3:$3,0),FALSE)+VLOOKUP(A98,JanApport,MATCH($H$2,'Jan 2022 Apport'!$3:$3,0),FALSE)+VLOOKUP(A98,JanApport,MATCH($H$4,'Jan 2022 Apport'!$3:$3,0),FALSE)</f>
        <v>2766275.12</v>
      </c>
      <c r="I98" s="117">
        <f t="shared" si="20"/>
        <v>3172124.5</v>
      </c>
      <c r="J98" s="117">
        <f>VLOOKUP(A98,JanApport,MATCH($J$4,'Jan 2022 Apport'!$3:$3,0),FALSE)</f>
        <v>1595233.29</v>
      </c>
      <c r="K98" s="117">
        <f>VLOOKUP(A98,JanApport,MATCH($K$4,'Jan 2022 Apport'!$3:$3,0),FALSE)</f>
        <v>125119.63</v>
      </c>
      <c r="L98" s="117">
        <f t="shared" si="21"/>
        <v>1720352.92</v>
      </c>
      <c r="M98" s="117">
        <f>VLOOKUP(A98,JanApport,MATCH($M$4,'Jan 2022 Apport'!$3:$3,0),FALSE)</f>
        <v>589759.17000000004</v>
      </c>
      <c r="N98" s="117">
        <f>VLOOKUP(A98,JanApport,MATCH($N$4,'Jan 2022 Apport'!$3:$3,0),FALSE)</f>
        <v>139733.89000000001</v>
      </c>
      <c r="O98" s="117">
        <f>VLOOKUP(A98,JanApport,MATCH($O$4,'Jan 2022 Apport'!$3:$3,0),FALSE)</f>
        <v>67487.58</v>
      </c>
      <c r="P98" s="121">
        <f>IFERROR((VLOOKUP(A98,ExcessLevy!A:G,3,FALSE)*0.28),0)+IFERROR((VLOOKUP(A98,ExcessLevy!A:G,6,FALSE)*0.72),0)</f>
        <v>0</v>
      </c>
      <c r="Q98" s="121">
        <f>IFERROR((VLOOKUP(A98,ExcessLevy!A:G,4,FALSE)*0.4738),0)+IFERROR((VLOOKUP(A98,ExcessLevy!A:G,7,FALSE)*0.5262),0)</f>
        <v>4449366</v>
      </c>
      <c r="R98">
        <f>VLOOKUP(A98,JanApport,MATCH($R$4,'Jan 2022 Apport'!$3:$3,0),FALSE)</f>
        <v>0</v>
      </c>
      <c r="S98">
        <f>VLOOKUP(A98,JanApport,MATCH($S$4,'Jan 2022 Apport'!$3:$3,0),FALSE)</f>
        <v>71.14</v>
      </c>
      <c r="T98">
        <f>VLOOKUP(A98,JanApport,MATCH($T$4,'Jan 2022 Apport'!$3:$3,0),FALSE)</f>
        <v>133.44999999999999</v>
      </c>
      <c r="U98" s="132">
        <f>IFERROR(VLOOKUP(A98,JanApport,MATCH($U$4,'Jan 2022 Apport'!$3:$3,0),FALSE)/R98,0)</f>
        <v>0</v>
      </c>
      <c r="V98" s="30">
        <f>IFERROR(((VLOOKUP(A98,JanApport,MATCH($V$4,'Jan 2022 Apport'!$3:$3,0),FALSE)+VLOOKUP(A98,JanApport,MATCH($V$3,'Jan 2022 Apport'!$3:$3,0),FALSE))/(S98+T98)),0)</f>
        <v>9676.1863727454911</v>
      </c>
      <c r="W98" s="30">
        <f t="shared" si="14"/>
        <v>9094.0473371722728</v>
      </c>
      <c r="X98">
        <f>VLOOKUP(A98,JanApport,MATCH($X$4,'Jan 2022 Apport'!$3:$3,0),FALSE)</f>
        <v>4.8578999999999997E-2</v>
      </c>
      <c r="Y98">
        <f>VLOOKUP(A98,JanApport,MATCH($Y$4,'Jan 2022 Apport'!$3:$3,0),FALSE)</f>
        <v>4.0270000000000002E-3</v>
      </c>
      <c r="Z98">
        <f>VLOOKUP(A98,JanApport,MATCH($Z$4,'Jan 2022 Apport'!$3:$3,0),FALSE)</f>
        <v>1.7100000000000001E-2</v>
      </c>
      <c r="AA98" s="77">
        <f>VLOOKUP(A98,JanApport,MATCH($AA$4,'Jan 2022 Apport'!$3:$3,0),FALSE)*VLOOKUP(A98,JanApport,MATCH($AA$3,'Jan 2022 Apport'!$3:$3,0),FALSE)</f>
        <v>75695.200000000012</v>
      </c>
      <c r="AB98" s="77">
        <f>VLOOKUP(A98,JanApport,MATCH($AB$4,'Jan 2022 Apport'!$3:$3,0),FALSE)*VLOOKUP(A98,JanApport,MATCH($AB$3,'Jan 2022 Apport'!$3:$3,0),FALSE)</f>
        <v>81345.659999999989</v>
      </c>
      <c r="AC98" s="77">
        <f>VLOOKUP(A98,JanApport,MATCH($AC$4,'Jan 2022 Apport'!$3:$3,0),FALSE)</f>
        <v>100321</v>
      </c>
      <c r="AD98" s="77">
        <f>VLOOKUP(A98,JanApport,MATCH($AD$4,'Jan 2022 Apport'!$3:$3,0),FALSE)*VLOOKUP(A98,JanApport,MATCH($AD$3,'Jan 2022 Apport'!$3:$3,0),FALSE)</f>
        <v>120745.86</v>
      </c>
      <c r="AE98" s="77">
        <f>VLOOKUP(A98,JanApport,MATCH($AE$4,'Jan 2022 Apport'!$3:$3,0),FALSE)</f>
        <v>48483</v>
      </c>
      <c r="AF98" s="77">
        <f>VLOOKUP(A98,JanApport,MATCH($AF$4,'Jan 2022 Apport'!$3:$3,0),FALSE)*VLOOKUP(A98,JanApport,MATCH($AF$3,'Jan 2022 Apport'!$3:$3,0),FALSE)</f>
        <v>58354.539999999994</v>
      </c>
      <c r="AG98" s="77">
        <f t="shared" si="15"/>
        <v>111631.41644199999</v>
      </c>
      <c r="AH98" s="77">
        <f t="shared" si="16"/>
        <v>159884.84570200002</v>
      </c>
      <c r="AI98" s="77">
        <f t="shared" si="17"/>
        <v>87896.402584467985</v>
      </c>
      <c r="AJ98" s="3">
        <f>VLOOKUP(A98,JanApport,MATCH($AJ$4,'Jan 2022 Apport'!$3:$3,0),FALSE)</f>
        <v>2469005.06</v>
      </c>
      <c r="AK98" s="3">
        <f>VLOOKUP(A98,JanApport,MATCH($AK$4,'Jan 2022 Apport'!$3:$3,0),FALSE)</f>
        <v>43.02</v>
      </c>
      <c r="AL98" s="117">
        <f t="shared" si="18"/>
        <v>26275411.919999998</v>
      </c>
      <c r="AM98" s="117">
        <f>VLOOKUP(A98,JanApport,MATCH($AM$4,'Jan 2022 Apport'!$3:$3,0),FALSE)</f>
        <v>79384.429999999993</v>
      </c>
      <c r="AN98" s="117">
        <f>VLOOKUP(A98,JanApport,MATCH($AN$4,'Jan 2022 Apport'!$3:$3,0),FALSE)</f>
        <v>154636.84</v>
      </c>
    </row>
    <row r="99" spans="1:40">
      <c r="A99" s="2" t="s">
        <v>315</v>
      </c>
      <c r="B99" s="2" t="s">
        <v>316</v>
      </c>
      <c r="C99" s="2" t="s">
        <v>1267</v>
      </c>
      <c r="D99" s="118">
        <f>VLOOKUP(A99,JanApport,MATCH($D$4,'Jan 2022 Apport'!$3:$3,FALSE),FALSE)</f>
        <v>1727769.89</v>
      </c>
      <c r="E99" s="30">
        <f>VLOOKUP(A99,JanApport,MATCH($E$2,'Jan 2022 Apport'!$3:$3,0),FALSE)+VLOOKUP(A99,JanApport,MATCH($E$3,'Jan 2022 Apport'!$3:$3,0),FALSE)+VLOOKUP(A99,JanApport,MATCH($E$4,'Jan 2022 Apport'!$3:$3,0),FALSE)</f>
        <v>0</v>
      </c>
      <c r="F99" s="118">
        <f t="shared" si="19"/>
        <v>1727769.89</v>
      </c>
      <c r="G99" s="117">
        <f>VLOOKUP(A99,JanApport,MATCH($G$4,'Jan 2022 Apport'!$3:$3,0),FALSE)</f>
        <v>0</v>
      </c>
      <c r="H99" s="117">
        <f>VLOOKUP(A99,JanApport,MATCH($H$3,'Jan 2022 Apport'!$3:$3,0),FALSE)+VLOOKUP(A99,JanApport,MATCH($H$2,'Jan 2022 Apport'!$3:$3,0),FALSE)+VLOOKUP(A99,JanApport,MATCH($H$4,'Jan 2022 Apport'!$3:$3,0),FALSE)</f>
        <v>198246.13</v>
      </c>
      <c r="I99" s="117">
        <f t="shared" si="20"/>
        <v>198246.13</v>
      </c>
      <c r="J99" s="117">
        <f>VLOOKUP(A99,JanApport,MATCH($J$4,'Jan 2022 Apport'!$3:$3,0),FALSE)</f>
        <v>140775.82</v>
      </c>
      <c r="K99" s="117">
        <f>VLOOKUP(A99,JanApport,MATCH($K$4,'Jan 2022 Apport'!$3:$3,0),FALSE)</f>
        <v>25649.58</v>
      </c>
      <c r="L99" s="117">
        <f t="shared" si="21"/>
        <v>166425.40000000002</v>
      </c>
      <c r="M99" s="117">
        <f>VLOOKUP(A99,JanApport,MATCH($M$4,'Jan 2022 Apport'!$3:$3,0),FALSE)</f>
        <v>47939.05</v>
      </c>
      <c r="N99" s="117">
        <f>VLOOKUP(A99,JanApport,MATCH($N$4,'Jan 2022 Apport'!$3:$3,0),FALSE)</f>
        <v>0</v>
      </c>
      <c r="O99" s="117">
        <f>VLOOKUP(A99,JanApport,MATCH($O$4,'Jan 2022 Apport'!$3:$3,0),FALSE)</f>
        <v>6065.75</v>
      </c>
      <c r="P99" s="121">
        <f>IFERROR((VLOOKUP(A99,ExcessLevy!A:G,3,FALSE)*0.28),0)+IFERROR((VLOOKUP(A99,ExcessLevy!A:G,6,FALSE)*0.72),0)</f>
        <v>0</v>
      </c>
      <c r="Q99" s="121">
        <f>IFERROR((VLOOKUP(A99,ExcessLevy!A:G,4,FALSE)*0.4738),0)+IFERROR((VLOOKUP(A99,ExcessLevy!A:G,7,FALSE)*0.5262),0)</f>
        <v>717986.07900000003</v>
      </c>
      <c r="R99">
        <f>VLOOKUP(A99,JanApport,MATCH($R$4,'Jan 2022 Apport'!$3:$3,0),FALSE)</f>
        <v>0</v>
      </c>
      <c r="S99">
        <f>VLOOKUP(A99,JanApport,MATCH($S$4,'Jan 2022 Apport'!$3:$3,0),FALSE)</f>
        <v>0</v>
      </c>
      <c r="T99">
        <f>VLOOKUP(A99,JanApport,MATCH($T$4,'Jan 2022 Apport'!$3:$3,0),FALSE)</f>
        <v>0</v>
      </c>
      <c r="U99" s="132">
        <f>IFERROR(VLOOKUP(A99,JanApport,MATCH($U$4,'Jan 2022 Apport'!$3:$3,0),FALSE)/R99,0)</f>
        <v>0</v>
      </c>
      <c r="V99" s="30">
        <f>IFERROR(((VLOOKUP(A99,JanApport,MATCH($V$4,'Jan 2022 Apport'!$3:$3,0),FALSE)+VLOOKUP(A99,JanApport,MATCH($V$3,'Jan 2022 Apport'!$3:$3,0),FALSE))/(S99+T99)),0)</f>
        <v>0</v>
      </c>
      <c r="W99" s="30">
        <f t="shared" si="14"/>
        <v>8083.6246967786601</v>
      </c>
      <c r="X99">
        <f>VLOOKUP(A99,JanApport,MATCH($X$4,'Jan 2022 Apport'!$3:$3,0),FALSE)</f>
        <v>4.8578999999999997E-2</v>
      </c>
      <c r="Y99">
        <f>VLOOKUP(A99,JanApport,MATCH($Y$4,'Jan 2022 Apport'!$3:$3,0),FALSE)</f>
        <v>4.0270000000000002E-3</v>
      </c>
      <c r="Z99">
        <f>VLOOKUP(A99,JanApport,MATCH($Z$4,'Jan 2022 Apport'!$3:$3,0),FALSE)</f>
        <v>1.7100000000000001E-2</v>
      </c>
      <c r="AA99" s="77">
        <f>VLOOKUP(A99,JanApport,MATCH($AA$4,'Jan 2022 Apport'!$3:$3,0),FALSE)*VLOOKUP(A99,JanApport,MATCH($AA$3,'Jan 2022 Apport'!$3:$3,0),FALSE)</f>
        <v>67585</v>
      </c>
      <c r="AB99" s="77">
        <f>VLOOKUP(A99,JanApport,MATCH($AB$4,'Jan 2022 Apport'!$3:$3,0),FALSE)*VLOOKUP(A99,JanApport,MATCH($AB$3,'Jan 2022 Apport'!$3:$3,0),FALSE)</f>
        <v>68937</v>
      </c>
      <c r="AC99" s="77">
        <f>VLOOKUP(A99,JanApport,MATCH($AC$4,'Jan 2022 Apport'!$3:$3,0),FALSE)</f>
        <v>100321</v>
      </c>
      <c r="AD99" s="77">
        <f>VLOOKUP(A99,JanApport,MATCH($AD$4,'Jan 2022 Apport'!$3:$3,0),FALSE)*VLOOKUP(A99,JanApport,MATCH($AD$3,'Jan 2022 Apport'!$3:$3,0),FALSE)</f>
        <v>102327</v>
      </c>
      <c r="AE99" s="77">
        <f>VLOOKUP(A99,JanApport,MATCH($AE$4,'Jan 2022 Apport'!$3:$3,0),FALSE)</f>
        <v>48483</v>
      </c>
      <c r="AF99" s="77">
        <f>VLOOKUP(A99,JanApport,MATCH($AF$4,'Jan 2022 Apport'!$3:$3,0),FALSE)*VLOOKUP(A99,JanApport,MATCH($AF$3,'Jan 2022 Apport'!$3:$3,0),FALSE)</f>
        <v>49453</v>
      </c>
      <c r="AG99" s="77">
        <f t="shared" si="15"/>
        <v>96432.259900000005</v>
      </c>
      <c r="AH99" s="77">
        <f t="shared" si="16"/>
        <v>137400.94330000001</v>
      </c>
      <c r="AI99" s="77">
        <f t="shared" si="17"/>
        <v>77281.189732599989</v>
      </c>
      <c r="AJ99" s="3">
        <f>VLOOKUP(A99,JanApport,MATCH($AJ$4,'Jan 2022 Apport'!$3:$3,0),FALSE)</f>
        <v>287591.88</v>
      </c>
      <c r="AK99" s="3">
        <f>VLOOKUP(A99,JanApport,MATCH($AK$4,'Jan 2022 Apport'!$3:$3,0),FALSE)</f>
        <v>4.9009999999999998</v>
      </c>
      <c r="AL99" s="117">
        <f t="shared" si="18"/>
        <v>2120796.64</v>
      </c>
      <c r="AM99" s="117">
        <f>VLOOKUP(A99,JanApport,MATCH($AM$4,'Jan 2022 Apport'!$3:$3,0),FALSE)</f>
        <v>0</v>
      </c>
      <c r="AN99" s="117">
        <f>VLOOKUP(A99,JanApport,MATCH($AN$4,'Jan 2022 Apport'!$3:$3,0),FALSE)</f>
        <v>14748.94</v>
      </c>
    </row>
    <row r="100" spans="1:40">
      <c r="A100" s="2" t="s">
        <v>455</v>
      </c>
      <c r="B100" s="2" t="s">
        <v>456</v>
      </c>
      <c r="C100" s="2" t="s">
        <v>1267</v>
      </c>
      <c r="D100" s="118">
        <f>VLOOKUP(A100,JanApport,MATCH($D$4,'Jan 2022 Apport'!$3:$3,FALSE),FALSE)</f>
        <v>425403.03</v>
      </c>
      <c r="E100" s="30">
        <f>VLOOKUP(A100,JanApport,MATCH($E$2,'Jan 2022 Apport'!$3:$3,0),FALSE)+VLOOKUP(A100,JanApport,MATCH($E$3,'Jan 2022 Apport'!$3:$3,0),FALSE)+VLOOKUP(A100,JanApport,MATCH($E$4,'Jan 2022 Apport'!$3:$3,0),FALSE)</f>
        <v>0</v>
      </c>
      <c r="F100" s="118">
        <f t="shared" si="19"/>
        <v>425403.03</v>
      </c>
      <c r="G100" s="117">
        <f>VLOOKUP(A100,JanApport,MATCH($G$4,'Jan 2022 Apport'!$3:$3,0),FALSE)</f>
        <v>0</v>
      </c>
      <c r="H100" s="117">
        <f>VLOOKUP(A100,JanApport,MATCH($H$3,'Jan 2022 Apport'!$3:$3,0),FALSE)+VLOOKUP(A100,JanApport,MATCH($H$2,'Jan 2022 Apport'!$3:$3,0),FALSE)+VLOOKUP(A100,JanApport,MATCH($H$4,'Jan 2022 Apport'!$3:$3,0),FALSE)</f>
        <v>25876.01</v>
      </c>
      <c r="I100" s="117">
        <f t="shared" si="20"/>
        <v>25876.01</v>
      </c>
      <c r="J100" s="117">
        <f>VLOOKUP(A100,JanApport,MATCH($J$4,'Jan 2022 Apport'!$3:$3,0),FALSE)</f>
        <v>155750.54999999999</v>
      </c>
      <c r="K100" s="117">
        <f>VLOOKUP(A100,JanApport,MATCH($K$4,'Jan 2022 Apport'!$3:$3,0),FALSE)</f>
        <v>16049.09</v>
      </c>
      <c r="L100" s="117">
        <f t="shared" si="21"/>
        <v>171799.63999999998</v>
      </c>
      <c r="M100" s="117">
        <f>VLOOKUP(A100,JanApport,MATCH($M$4,'Jan 2022 Apport'!$3:$3,0),FALSE)</f>
        <v>2250.1999999999998</v>
      </c>
      <c r="N100" s="117">
        <f>VLOOKUP(A100,JanApport,MATCH($N$4,'Jan 2022 Apport'!$3:$3,0),FALSE)</f>
        <v>0</v>
      </c>
      <c r="O100" s="117">
        <f>VLOOKUP(A100,JanApport,MATCH($O$4,'Jan 2022 Apport'!$3:$3,0),FALSE)</f>
        <v>0</v>
      </c>
      <c r="P100" s="121">
        <f>IFERROR((VLOOKUP(A100,ExcessLevy!A:G,3,FALSE)*0.28),0)+IFERROR((VLOOKUP(A100,ExcessLevy!A:G,6,FALSE)*0.72),0)</f>
        <v>0</v>
      </c>
      <c r="Q100" s="121">
        <f>IFERROR((VLOOKUP(A100,ExcessLevy!A:G,4,FALSE)*0.4738),0)+IFERROR((VLOOKUP(A100,ExcessLevy!A:G,7,FALSE)*0.5262),0)</f>
        <v>213228.28460000001</v>
      </c>
      <c r="R100">
        <f>VLOOKUP(A100,JanApport,MATCH($R$4,'Jan 2022 Apport'!$3:$3,0),FALSE)</f>
        <v>0</v>
      </c>
      <c r="S100">
        <f>VLOOKUP(A100,JanApport,MATCH($S$4,'Jan 2022 Apport'!$3:$3,0),FALSE)</f>
        <v>0</v>
      </c>
      <c r="T100">
        <f>VLOOKUP(A100,JanApport,MATCH($T$4,'Jan 2022 Apport'!$3:$3,0),FALSE)</f>
        <v>0</v>
      </c>
      <c r="U100" s="132">
        <f>IFERROR(VLOOKUP(A100,JanApport,MATCH($U$4,'Jan 2022 Apport'!$3:$3,0),FALSE)/R100,0)</f>
        <v>0</v>
      </c>
      <c r="V100" s="30">
        <f>IFERROR(((VLOOKUP(A100,JanApport,MATCH($V$4,'Jan 2022 Apport'!$3:$3,0),FALSE)+VLOOKUP(A100,JanApport,MATCH($V$3,'Jan 2022 Apport'!$3:$3,0),FALSE))/(S100+T100)),0)</f>
        <v>0</v>
      </c>
      <c r="W100" s="30">
        <f t="shared" si="14"/>
        <v>8307.6027265112134</v>
      </c>
      <c r="X100">
        <f>VLOOKUP(A100,JanApport,MATCH($X$4,'Jan 2022 Apport'!$3:$3,0),FALSE)</f>
        <v>4.8578999999999997E-2</v>
      </c>
      <c r="Y100">
        <f>VLOOKUP(A100,JanApport,MATCH($Y$4,'Jan 2022 Apport'!$3:$3,0),FALSE)</f>
        <v>4.0270000000000002E-3</v>
      </c>
      <c r="Z100">
        <f>VLOOKUP(A100,JanApport,MATCH($Z$4,'Jan 2022 Apport'!$3:$3,0),FALSE)</f>
        <v>1.7100000000000001E-2</v>
      </c>
      <c r="AA100" s="77">
        <f>VLOOKUP(A100,JanApport,MATCH($AA$4,'Jan 2022 Apport'!$3:$3,0),FALSE)*VLOOKUP(A100,JanApport,MATCH($AA$3,'Jan 2022 Apport'!$3:$3,0),FALSE)</f>
        <v>67585</v>
      </c>
      <c r="AB100" s="77">
        <f>VLOOKUP(A100,JanApport,MATCH($AB$4,'Jan 2022 Apport'!$3:$3,0),FALSE)*VLOOKUP(A100,JanApport,MATCH($AB$3,'Jan 2022 Apport'!$3:$3,0),FALSE)</f>
        <v>71694.48</v>
      </c>
      <c r="AC100" s="77">
        <f>VLOOKUP(A100,JanApport,MATCH($AC$4,'Jan 2022 Apport'!$3:$3,0),FALSE)</f>
        <v>100321</v>
      </c>
      <c r="AD100" s="77">
        <f>VLOOKUP(A100,JanApport,MATCH($AD$4,'Jan 2022 Apport'!$3:$3,0),FALSE)*VLOOKUP(A100,JanApport,MATCH($AD$3,'Jan 2022 Apport'!$3:$3,0),FALSE)</f>
        <v>106420.08</v>
      </c>
      <c r="AE100" s="77">
        <f>VLOOKUP(A100,JanApport,MATCH($AE$4,'Jan 2022 Apport'!$3:$3,0),FALSE)</f>
        <v>48483</v>
      </c>
      <c r="AF100" s="77">
        <f>VLOOKUP(A100,JanApport,MATCH($AF$4,'Jan 2022 Apport'!$3:$3,0),FALSE)*VLOOKUP(A100,JanApport,MATCH($AF$3,'Jan 2022 Apport'!$3:$3,0),FALSE)</f>
        <v>51431.12</v>
      </c>
      <c r="AG100" s="77">
        <f t="shared" si="15"/>
        <v>99798.31573599999</v>
      </c>
      <c r="AH100" s="77">
        <f t="shared" si="16"/>
        <v>142397.366056</v>
      </c>
      <c r="AI100" s="77">
        <f t="shared" si="17"/>
        <v>79640.125921903993</v>
      </c>
      <c r="AJ100" s="3">
        <f>VLOOKUP(A100,JanApport,MATCH($AJ$4,'Jan 2022 Apport'!$3:$3,0),FALSE)</f>
        <v>51842.78</v>
      </c>
      <c r="AK100" s="3">
        <f>VLOOKUP(A100,JanApport,MATCH($AK$4,'Jan 2022 Apport'!$3:$3,0),FALSE)</f>
        <v>1.1819999999999999</v>
      </c>
      <c r="AL100" s="117">
        <f t="shared" si="18"/>
        <v>609279.79</v>
      </c>
      <c r="AM100" s="117">
        <f>VLOOKUP(A100,JanApport,MATCH($AM$4,'Jan 2022 Apport'!$3:$3,0),FALSE)</f>
        <v>0</v>
      </c>
      <c r="AN100" s="117">
        <f>VLOOKUP(A100,JanApport,MATCH($AN$4,'Jan 2022 Apport'!$3:$3,0),FALSE)</f>
        <v>3869.56</v>
      </c>
    </row>
    <row r="101" spans="1:40">
      <c r="A101" s="2" t="s">
        <v>1023</v>
      </c>
      <c r="B101" s="2" t="s">
        <v>1041</v>
      </c>
      <c r="C101" s="2" t="s">
        <v>1267</v>
      </c>
      <c r="D101" s="118">
        <f>VLOOKUP(A101,JanApport,MATCH($D$4,'Jan 2022 Apport'!$3:$3,FALSE),FALSE)</f>
        <v>2662858.9300000002</v>
      </c>
      <c r="E101" s="30">
        <f>VLOOKUP(A101,JanApport,MATCH($E$2,'Jan 2022 Apport'!$3:$3,0),FALSE)+VLOOKUP(A101,JanApport,MATCH($E$3,'Jan 2022 Apport'!$3:$3,0),FALSE)+VLOOKUP(A101,JanApport,MATCH($E$4,'Jan 2022 Apport'!$3:$3,0),FALSE)</f>
        <v>0</v>
      </c>
      <c r="F101" s="118">
        <f t="shared" si="19"/>
        <v>2662858.9300000002</v>
      </c>
      <c r="G101" s="117">
        <f>VLOOKUP(A101,JanApport,MATCH($G$4,'Jan 2022 Apport'!$3:$3,0),FALSE)</f>
        <v>0</v>
      </c>
      <c r="H101" s="117">
        <f>VLOOKUP(A101,JanApport,MATCH($H$3,'Jan 2022 Apport'!$3:$3,0),FALSE)+VLOOKUP(A101,JanApport,MATCH($H$2,'Jan 2022 Apport'!$3:$3,0),FALSE)+VLOOKUP(A101,JanApport,MATCH($H$4,'Jan 2022 Apport'!$3:$3,0),FALSE)</f>
        <v>194754.02</v>
      </c>
      <c r="I101" s="117">
        <f t="shared" si="20"/>
        <v>194754.02</v>
      </c>
      <c r="J101" s="117">
        <f>VLOOKUP(A101,JanApport,MATCH($J$4,'Jan 2022 Apport'!$3:$3,0),FALSE)</f>
        <v>264647.71000000002</v>
      </c>
      <c r="K101" s="117">
        <f>VLOOKUP(A101,JanApport,MATCH($K$4,'Jan 2022 Apport'!$3:$3,0),FALSE)</f>
        <v>0</v>
      </c>
      <c r="L101" s="117">
        <f t="shared" si="21"/>
        <v>264647.71000000002</v>
      </c>
      <c r="M101" s="117">
        <f>VLOOKUP(A101,JanApport,MATCH($M$4,'Jan 2022 Apport'!$3:$3,0),FALSE)</f>
        <v>0</v>
      </c>
      <c r="N101" s="117">
        <f>VLOOKUP(A101,JanApport,MATCH($N$4,'Jan 2022 Apport'!$3:$3,0),FALSE)</f>
        <v>46344.75</v>
      </c>
      <c r="O101" s="117">
        <f>VLOOKUP(A101,JanApport,MATCH($O$4,'Jan 2022 Apport'!$3:$3,0),FALSE)</f>
        <v>0</v>
      </c>
      <c r="P101" s="121">
        <f>IFERROR((VLOOKUP(A101,ExcessLevy!A:G,3,FALSE)*0.28),0)+IFERROR((VLOOKUP(A101,ExcessLevy!A:G,6,FALSE)*0.72),0)</f>
        <v>0</v>
      </c>
      <c r="Q101" s="121">
        <f>IFERROR((VLOOKUP(A101,ExcessLevy!A:G,4,FALSE)*0.4738),0)+IFERROR((VLOOKUP(A101,ExcessLevy!A:G,7,FALSE)*0.5262),0)</f>
        <v>0</v>
      </c>
      <c r="R101">
        <f>VLOOKUP(A101,JanApport,MATCH($R$4,'Jan 2022 Apport'!$3:$3,0),FALSE)</f>
        <v>0</v>
      </c>
      <c r="S101">
        <f>VLOOKUP(A101,JanApport,MATCH($S$4,'Jan 2022 Apport'!$3:$3,0),FALSE)</f>
        <v>0</v>
      </c>
      <c r="T101">
        <f>VLOOKUP(A101,JanApport,MATCH($T$4,'Jan 2022 Apport'!$3:$3,0),FALSE)</f>
        <v>0</v>
      </c>
      <c r="U101" s="132">
        <f>IFERROR(VLOOKUP(A101,JanApport,MATCH($U$4,'Jan 2022 Apport'!$3:$3,0),FALSE)/R101,0)</f>
        <v>0</v>
      </c>
      <c r="V101" s="30">
        <f>IFERROR(((VLOOKUP(A101,JanApport,MATCH($V$4,'Jan 2022 Apport'!$3:$3,0),FALSE)+VLOOKUP(A101,JanApport,MATCH($V$3,'Jan 2022 Apport'!$3:$3,0),FALSE))/(S101+T101)),0)</f>
        <v>0</v>
      </c>
      <c r="W101" s="30">
        <f t="shared" si="14"/>
        <v>9095.3080904708331</v>
      </c>
      <c r="X101">
        <f>VLOOKUP(A101,JanApport,MATCH($X$4,'Jan 2022 Apport'!$3:$3,0),FALSE)</f>
        <v>4.8578999999999997E-2</v>
      </c>
      <c r="Y101">
        <f>VLOOKUP(A101,JanApport,MATCH($Y$4,'Jan 2022 Apport'!$3:$3,0),FALSE)</f>
        <v>4.0270000000000002E-3</v>
      </c>
      <c r="Z101">
        <f>VLOOKUP(A101,JanApport,MATCH($Z$4,'Jan 2022 Apport'!$3:$3,0),FALSE)</f>
        <v>1.7100000000000001E-2</v>
      </c>
      <c r="AA101" s="77">
        <f>VLOOKUP(A101,JanApport,MATCH($AA$4,'Jan 2022 Apport'!$3:$3,0),FALSE)*VLOOKUP(A101,JanApport,MATCH($AA$3,'Jan 2022 Apport'!$3:$3,0),FALSE)</f>
        <v>79750.3</v>
      </c>
      <c r="AB101" s="77">
        <f>VLOOKUP(A101,JanApport,MATCH($AB$4,'Jan 2022 Apport'!$3:$3,0),FALSE)*VLOOKUP(A101,JanApport,MATCH($AB$3,'Jan 2022 Apport'!$3:$3,0),FALSE)</f>
        <v>81345.659999999989</v>
      </c>
      <c r="AC101" s="77">
        <f>VLOOKUP(A101,JanApport,MATCH($AC$4,'Jan 2022 Apport'!$3:$3,0),FALSE)</f>
        <v>100321</v>
      </c>
      <c r="AD101" s="77">
        <f>VLOOKUP(A101,JanApport,MATCH($AD$4,'Jan 2022 Apport'!$3:$3,0),FALSE)*VLOOKUP(A101,JanApport,MATCH($AD$3,'Jan 2022 Apport'!$3:$3,0),FALSE)</f>
        <v>120745.86</v>
      </c>
      <c r="AE101" s="77">
        <f>VLOOKUP(A101,JanApport,MATCH($AE$4,'Jan 2022 Apport'!$3:$3,0),FALSE)</f>
        <v>48483</v>
      </c>
      <c r="AF101" s="77">
        <f>VLOOKUP(A101,JanApport,MATCH($AF$4,'Jan 2022 Apport'!$3:$3,0),FALSE)*VLOOKUP(A101,JanApport,MATCH($AF$3,'Jan 2022 Apport'!$3:$3,0),FALSE)</f>
        <v>58354.539999999994</v>
      </c>
      <c r="AG101" s="77">
        <f t="shared" si="15"/>
        <v>111657.36908199999</v>
      </c>
      <c r="AH101" s="77">
        <f t="shared" si="16"/>
        <v>159884.84570200002</v>
      </c>
      <c r="AI101" s="77">
        <f t="shared" si="17"/>
        <v>87896.402584467985</v>
      </c>
      <c r="AJ101" s="3">
        <f>VLOOKUP(A101,JanApport,MATCH($AJ$4,'Jan 2022 Apport'!$3:$3,0),FALSE)</f>
        <v>326135.61</v>
      </c>
      <c r="AK101" s="3">
        <f>VLOOKUP(A101,JanApport,MATCH($AK$4,'Jan 2022 Apport'!$3:$3,0),FALSE)</f>
        <v>0</v>
      </c>
      <c r="AL101" s="117">
        <f t="shared" si="18"/>
        <v>3168605.41</v>
      </c>
      <c r="AM101" s="117">
        <f>VLOOKUP(A101,JanApport,MATCH($AM$4,'Jan 2022 Apport'!$3:$3,0),FALSE)</f>
        <v>0</v>
      </c>
      <c r="AN101" s="117">
        <f>VLOOKUP(A101,JanApport,MATCH($AN$4,'Jan 2022 Apport'!$3:$3,0),FALSE)</f>
        <v>24672.400000000001</v>
      </c>
    </row>
    <row r="102" spans="1:40">
      <c r="A102" s="2" t="s">
        <v>61</v>
      </c>
      <c r="B102" s="2" t="s">
        <v>62</v>
      </c>
      <c r="C102" s="2" t="s">
        <v>1267</v>
      </c>
      <c r="D102" s="118">
        <f>VLOOKUP(A102,JanApport,MATCH($D$4,'Jan 2022 Apport'!$3:$3,FALSE),FALSE)</f>
        <v>1475869.51</v>
      </c>
      <c r="E102" s="30">
        <f>VLOOKUP(A102,JanApport,MATCH($E$2,'Jan 2022 Apport'!$3:$3,0),FALSE)+VLOOKUP(A102,JanApport,MATCH($E$3,'Jan 2022 Apport'!$3:$3,0),FALSE)+VLOOKUP(A102,JanApport,MATCH($E$4,'Jan 2022 Apport'!$3:$3,0),FALSE)</f>
        <v>0</v>
      </c>
      <c r="F102" s="118">
        <f t="shared" si="19"/>
        <v>1475869.51</v>
      </c>
      <c r="G102" s="117">
        <f>VLOOKUP(A102,JanApport,MATCH($G$4,'Jan 2022 Apport'!$3:$3,0),FALSE)</f>
        <v>0</v>
      </c>
      <c r="H102" s="117">
        <f>VLOOKUP(A102,JanApport,MATCH($H$3,'Jan 2022 Apport'!$3:$3,0),FALSE)+VLOOKUP(A102,JanApport,MATCH($H$2,'Jan 2022 Apport'!$3:$3,0),FALSE)+VLOOKUP(A102,JanApport,MATCH($H$4,'Jan 2022 Apport'!$3:$3,0),FALSE)</f>
        <v>157100.98000000001</v>
      </c>
      <c r="I102" s="117">
        <f t="shared" si="20"/>
        <v>157100.98000000001</v>
      </c>
      <c r="J102" s="117">
        <f>VLOOKUP(A102,JanApport,MATCH($J$4,'Jan 2022 Apport'!$3:$3,0),FALSE)</f>
        <v>182049.86</v>
      </c>
      <c r="K102" s="117">
        <f>VLOOKUP(A102,JanApport,MATCH($K$4,'Jan 2022 Apport'!$3:$3,0),FALSE)</f>
        <v>25882.43</v>
      </c>
      <c r="L102" s="117">
        <f t="shared" si="21"/>
        <v>207932.28999999998</v>
      </c>
      <c r="M102" s="117">
        <f>VLOOKUP(A102,JanApport,MATCH($M$4,'Jan 2022 Apport'!$3:$3,0),FALSE)</f>
        <v>33557.33</v>
      </c>
      <c r="N102" s="117">
        <f>VLOOKUP(A102,JanApport,MATCH($N$4,'Jan 2022 Apport'!$3:$3,0),FALSE)</f>
        <v>0</v>
      </c>
      <c r="O102" s="117">
        <f>VLOOKUP(A102,JanApport,MATCH($O$4,'Jan 2022 Apport'!$3:$3,0),FALSE)</f>
        <v>4304.74</v>
      </c>
      <c r="P102" s="121">
        <f>IFERROR((VLOOKUP(A102,ExcessLevy!A:G,3,FALSE)*0.28),0)+IFERROR((VLOOKUP(A102,ExcessLevy!A:G,6,FALSE)*0.72),0)</f>
        <v>27266.8724</v>
      </c>
      <c r="Q102" s="121">
        <f>IFERROR((VLOOKUP(A102,ExcessLevy!A:G,4,FALSE)*0.4738),0)+IFERROR((VLOOKUP(A102,ExcessLevy!A:G,7,FALSE)*0.5262),0)</f>
        <v>371829.01500000001</v>
      </c>
      <c r="R102">
        <f>VLOOKUP(A102,JanApport,MATCH($R$4,'Jan 2022 Apport'!$3:$3,0),FALSE)</f>
        <v>0</v>
      </c>
      <c r="S102">
        <f>VLOOKUP(A102,JanApport,MATCH($S$4,'Jan 2022 Apport'!$3:$3,0),FALSE)</f>
        <v>0</v>
      </c>
      <c r="T102">
        <f>VLOOKUP(A102,JanApport,MATCH($T$4,'Jan 2022 Apport'!$3:$3,0),FALSE)</f>
        <v>0</v>
      </c>
      <c r="U102" s="132">
        <f>IFERROR(VLOOKUP(A102,JanApport,MATCH($U$4,'Jan 2022 Apport'!$3:$3,0),FALSE)/R102,0)</f>
        <v>0</v>
      </c>
      <c r="V102" s="30">
        <f>IFERROR(((VLOOKUP(A102,JanApport,MATCH($V$4,'Jan 2022 Apport'!$3:$3,0),FALSE)+VLOOKUP(A102,JanApport,MATCH($V$3,'Jan 2022 Apport'!$3:$3,0),FALSE))/(S102+T102)),0)</f>
        <v>0</v>
      </c>
      <c r="W102" s="30">
        <f t="shared" si="14"/>
        <v>8419.5917413774914</v>
      </c>
      <c r="X102">
        <f>VLOOKUP(A102,JanApport,MATCH($X$4,'Jan 2022 Apport'!$3:$3,0),FALSE)</f>
        <v>4.8578999999999997E-2</v>
      </c>
      <c r="Y102">
        <f>VLOOKUP(A102,JanApport,MATCH($Y$4,'Jan 2022 Apport'!$3:$3,0),FALSE)</f>
        <v>4.0270000000000002E-3</v>
      </c>
      <c r="Z102">
        <f>VLOOKUP(A102,JanApport,MATCH($Z$4,'Jan 2022 Apport'!$3:$3,0),FALSE)</f>
        <v>1.7100000000000001E-2</v>
      </c>
      <c r="AA102" s="77">
        <f>VLOOKUP(A102,JanApport,MATCH($AA$4,'Jan 2022 Apport'!$3:$3,0),FALSE)*VLOOKUP(A102,JanApport,MATCH($AA$3,'Jan 2022 Apport'!$3:$3,0),FALSE)</f>
        <v>67585</v>
      </c>
      <c r="AB102" s="77">
        <f>VLOOKUP(A102,JanApport,MATCH($AB$4,'Jan 2022 Apport'!$3:$3,0),FALSE)*VLOOKUP(A102,JanApport,MATCH($AB$3,'Jan 2022 Apport'!$3:$3,0),FALSE)</f>
        <v>73073.22</v>
      </c>
      <c r="AC102" s="77">
        <f>VLOOKUP(A102,JanApport,MATCH($AC$4,'Jan 2022 Apport'!$3:$3,0),FALSE)</f>
        <v>100321</v>
      </c>
      <c r="AD102" s="77">
        <f>VLOOKUP(A102,JanApport,MATCH($AD$4,'Jan 2022 Apport'!$3:$3,0),FALSE)*VLOOKUP(A102,JanApport,MATCH($AD$3,'Jan 2022 Apport'!$3:$3,0),FALSE)</f>
        <v>108466.62000000001</v>
      </c>
      <c r="AE102" s="77">
        <f>VLOOKUP(A102,JanApport,MATCH($AE$4,'Jan 2022 Apport'!$3:$3,0),FALSE)</f>
        <v>48483</v>
      </c>
      <c r="AF102" s="77">
        <f>VLOOKUP(A102,JanApport,MATCH($AF$4,'Jan 2022 Apport'!$3:$3,0),FALSE)*VLOOKUP(A102,JanApport,MATCH($AF$3,'Jan 2022 Apport'!$3:$3,0),FALSE)</f>
        <v>52420.18</v>
      </c>
      <c r="AG102" s="77">
        <f t="shared" si="15"/>
        <v>101481.343654</v>
      </c>
      <c r="AH102" s="77">
        <f t="shared" si="16"/>
        <v>144895.57743400004</v>
      </c>
      <c r="AI102" s="77">
        <f t="shared" si="17"/>
        <v>80819.594016556002</v>
      </c>
      <c r="AJ102" s="3">
        <f>VLOOKUP(A102,JanApport,MATCH($AJ$4,'Jan 2022 Apport'!$3:$3,0),FALSE)</f>
        <v>211260.09</v>
      </c>
      <c r="AK102" s="3">
        <f>VLOOKUP(A102,JanApport,MATCH($AK$4,'Jan 2022 Apport'!$3:$3,0),FALSE)</f>
        <v>4.7830000000000004</v>
      </c>
      <c r="AL102" s="117">
        <f t="shared" si="18"/>
        <v>1695781.4400000002</v>
      </c>
      <c r="AM102" s="117">
        <f>VLOOKUP(A102,JanApport,MATCH($AM$4,'Jan 2022 Apport'!$3:$3,0),FALSE)</f>
        <v>0</v>
      </c>
      <c r="AN102" s="117">
        <f>VLOOKUP(A102,JanApport,MATCH($AN$4,'Jan 2022 Apport'!$3:$3,0),FALSE)</f>
        <v>13068.72</v>
      </c>
    </row>
    <row r="103" spans="1:40">
      <c r="A103" s="2" t="s">
        <v>517</v>
      </c>
      <c r="B103" s="2" t="s">
        <v>518</v>
      </c>
      <c r="C103" s="2" t="s">
        <v>1267</v>
      </c>
      <c r="D103" s="118">
        <f>VLOOKUP(A103,JanApport,MATCH($D$4,'Jan 2022 Apport'!$3:$3,FALSE),FALSE)</f>
        <v>5258969.51</v>
      </c>
      <c r="E103" s="30">
        <f>VLOOKUP(A103,JanApport,MATCH($E$2,'Jan 2022 Apport'!$3:$3,0),FALSE)+VLOOKUP(A103,JanApport,MATCH($E$3,'Jan 2022 Apport'!$3:$3,0),FALSE)+VLOOKUP(A103,JanApport,MATCH($E$4,'Jan 2022 Apport'!$3:$3,0),FALSE)</f>
        <v>0</v>
      </c>
      <c r="F103" s="118">
        <f t="shared" si="19"/>
        <v>5258969.51</v>
      </c>
      <c r="G103" s="117">
        <f>VLOOKUP(A103,JanApport,MATCH($G$4,'Jan 2022 Apport'!$3:$3,0),FALSE)</f>
        <v>115331.39</v>
      </c>
      <c r="H103" s="117">
        <f>VLOOKUP(A103,JanApport,MATCH($H$3,'Jan 2022 Apport'!$3:$3,0),FALSE)+VLOOKUP(A103,JanApport,MATCH($H$2,'Jan 2022 Apport'!$3:$3,0),FALSE)+VLOOKUP(A103,JanApport,MATCH($H$4,'Jan 2022 Apport'!$3:$3,0),FALSE)</f>
        <v>666507.29</v>
      </c>
      <c r="I103" s="117">
        <f t="shared" si="20"/>
        <v>781838.68</v>
      </c>
      <c r="J103" s="117">
        <f>VLOOKUP(A103,JanApport,MATCH($J$4,'Jan 2022 Apport'!$3:$3,0),FALSE)</f>
        <v>691553.02</v>
      </c>
      <c r="K103" s="117">
        <f>VLOOKUP(A103,JanApport,MATCH($K$4,'Jan 2022 Apport'!$3:$3,0),FALSE)</f>
        <v>159937.04</v>
      </c>
      <c r="L103" s="117">
        <f t="shared" si="21"/>
        <v>851490.06</v>
      </c>
      <c r="M103" s="117">
        <f>VLOOKUP(A103,JanApport,MATCH($M$4,'Jan 2022 Apport'!$3:$3,0),FALSE)</f>
        <v>61440.24</v>
      </c>
      <c r="N103" s="117">
        <f>VLOOKUP(A103,JanApport,MATCH($N$4,'Jan 2022 Apport'!$3:$3,0),FALSE)</f>
        <v>3424.21</v>
      </c>
      <c r="O103" s="117">
        <f>VLOOKUP(A103,JanApport,MATCH($O$4,'Jan 2022 Apport'!$3:$3,0),FALSE)</f>
        <v>17023.259999999998</v>
      </c>
      <c r="P103" s="121">
        <f>IFERROR((VLOOKUP(A103,ExcessLevy!A:G,3,FALSE)*0.28),0)+IFERROR((VLOOKUP(A103,ExcessLevy!A:G,6,FALSE)*0.72),0)</f>
        <v>0</v>
      </c>
      <c r="Q103" s="121">
        <f>IFERROR((VLOOKUP(A103,ExcessLevy!A:G,4,FALSE)*0.4738),0)+IFERROR((VLOOKUP(A103,ExcessLevy!A:G,7,FALSE)*0.5262),0)</f>
        <v>2399848.8802</v>
      </c>
      <c r="R103">
        <f>VLOOKUP(A103,JanApport,MATCH($R$4,'Jan 2022 Apport'!$3:$3,0),FALSE)</f>
        <v>0</v>
      </c>
      <c r="S103">
        <f>VLOOKUP(A103,JanApport,MATCH($S$4,'Jan 2022 Apport'!$3:$3,0),FALSE)</f>
        <v>0</v>
      </c>
      <c r="T103">
        <f>VLOOKUP(A103,JanApport,MATCH($T$4,'Jan 2022 Apport'!$3:$3,0),FALSE)</f>
        <v>0</v>
      </c>
      <c r="U103" s="132">
        <f>IFERROR(VLOOKUP(A103,JanApport,MATCH($U$4,'Jan 2022 Apport'!$3:$3,0),FALSE)/R103,0)</f>
        <v>0</v>
      </c>
      <c r="V103" s="30">
        <f>IFERROR(((VLOOKUP(A103,JanApport,MATCH($V$4,'Jan 2022 Apport'!$3:$3,0),FALSE)+VLOOKUP(A103,JanApport,MATCH($V$3,'Jan 2022 Apport'!$3:$3,0),FALSE))/(S103+T103)),0)</f>
        <v>0</v>
      </c>
      <c r="W103" s="30">
        <f t="shared" si="14"/>
        <v>8083.6246967786601</v>
      </c>
      <c r="X103">
        <f>VLOOKUP(A103,JanApport,MATCH($X$4,'Jan 2022 Apport'!$3:$3,0),FALSE)</f>
        <v>4.8578999999999997E-2</v>
      </c>
      <c r="Y103">
        <f>VLOOKUP(A103,JanApport,MATCH($Y$4,'Jan 2022 Apport'!$3:$3,0),FALSE)</f>
        <v>4.0270000000000002E-3</v>
      </c>
      <c r="Z103">
        <f>VLOOKUP(A103,JanApport,MATCH($Z$4,'Jan 2022 Apport'!$3:$3,0),FALSE)</f>
        <v>1.7100000000000001E-2</v>
      </c>
      <c r="AA103" s="77">
        <f>VLOOKUP(A103,JanApport,MATCH($AA$4,'Jan 2022 Apport'!$3:$3,0),FALSE)*VLOOKUP(A103,JanApport,MATCH($AA$3,'Jan 2022 Apport'!$3:$3,0),FALSE)</f>
        <v>67585</v>
      </c>
      <c r="AB103" s="77">
        <f>VLOOKUP(A103,JanApport,MATCH($AB$4,'Jan 2022 Apport'!$3:$3,0),FALSE)*VLOOKUP(A103,JanApport,MATCH($AB$3,'Jan 2022 Apport'!$3:$3,0),FALSE)</f>
        <v>68937</v>
      </c>
      <c r="AC103" s="77">
        <f>VLOOKUP(A103,JanApport,MATCH($AC$4,'Jan 2022 Apport'!$3:$3,0),FALSE)</f>
        <v>100321</v>
      </c>
      <c r="AD103" s="77">
        <f>VLOOKUP(A103,JanApport,MATCH($AD$4,'Jan 2022 Apport'!$3:$3,0),FALSE)*VLOOKUP(A103,JanApport,MATCH($AD$3,'Jan 2022 Apport'!$3:$3,0),FALSE)</f>
        <v>102327</v>
      </c>
      <c r="AE103" s="77">
        <f>VLOOKUP(A103,JanApport,MATCH($AE$4,'Jan 2022 Apport'!$3:$3,0),FALSE)</f>
        <v>48483</v>
      </c>
      <c r="AF103" s="77">
        <f>VLOOKUP(A103,JanApport,MATCH($AF$4,'Jan 2022 Apport'!$3:$3,0),FALSE)*VLOOKUP(A103,JanApport,MATCH($AF$3,'Jan 2022 Apport'!$3:$3,0),FALSE)</f>
        <v>49453</v>
      </c>
      <c r="AG103" s="77">
        <f t="shared" si="15"/>
        <v>96432.259900000005</v>
      </c>
      <c r="AH103" s="77">
        <f t="shared" si="16"/>
        <v>137400.94330000001</v>
      </c>
      <c r="AI103" s="77">
        <f t="shared" si="17"/>
        <v>77281.189732599989</v>
      </c>
      <c r="AJ103" s="3">
        <f>VLOOKUP(A103,JanApport,MATCH($AJ$4,'Jan 2022 Apport'!$3:$3,0),FALSE)</f>
        <v>808111.8</v>
      </c>
      <c r="AK103" s="3">
        <f>VLOOKUP(A103,JanApport,MATCH($AK$4,'Jan 2022 Apport'!$3:$3,0),FALSE)</f>
        <v>15.914999999999999</v>
      </c>
      <c r="AL103" s="117">
        <f t="shared" si="18"/>
        <v>6814248.919999999</v>
      </c>
      <c r="AM103" s="117">
        <f>VLOOKUP(A103,JanApport,MATCH($AM$4,'Jan 2022 Apport'!$3:$3,0),FALSE)</f>
        <v>0</v>
      </c>
      <c r="AN103" s="117">
        <f>VLOOKUP(A103,JanApport,MATCH($AN$4,'Jan 2022 Apport'!$3:$3,0),FALSE)</f>
        <v>46929.84</v>
      </c>
    </row>
    <row r="104" spans="1:40">
      <c r="A104" s="2" t="s">
        <v>309</v>
      </c>
      <c r="B104" s="2" t="s">
        <v>310</v>
      </c>
      <c r="C104" s="2" t="s">
        <v>1267</v>
      </c>
      <c r="D104" s="118">
        <f>VLOOKUP(A104,JanApport,MATCH($D$4,'Jan 2022 Apport'!$3:$3,FALSE),FALSE)</f>
        <v>2251170.91</v>
      </c>
      <c r="E104" s="30">
        <f>VLOOKUP(A104,JanApport,MATCH($E$2,'Jan 2022 Apport'!$3:$3,0),FALSE)+VLOOKUP(A104,JanApport,MATCH($E$3,'Jan 2022 Apport'!$3:$3,0),FALSE)+VLOOKUP(A104,JanApport,MATCH($E$4,'Jan 2022 Apport'!$3:$3,0),FALSE)</f>
        <v>49980</v>
      </c>
      <c r="F104" s="118">
        <f t="shared" si="19"/>
        <v>2201190.91</v>
      </c>
      <c r="G104" s="117">
        <f>VLOOKUP(A104,JanApport,MATCH($G$4,'Jan 2022 Apport'!$3:$3,0),FALSE)</f>
        <v>10390.86</v>
      </c>
      <c r="H104" s="117">
        <f>VLOOKUP(A104,JanApport,MATCH($H$3,'Jan 2022 Apport'!$3:$3,0),FALSE)+VLOOKUP(A104,JanApport,MATCH($H$2,'Jan 2022 Apport'!$3:$3,0),FALSE)+VLOOKUP(A104,JanApport,MATCH($H$4,'Jan 2022 Apport'!$3:$3,0),FALSE)</f>
        <v>137782.45000000001</v>
      </c>
      <c r="I104" s="117">
        <f t="shared" si="20"/>
        <v>148173.31</v>
      </c>
      <c r="J104" s="117">
        <f>VLOOKUP(A104,JanApport,MATCH($J$4,'Jan 2022 Apport'!$3:$3,0),FALSE)</f>
        <v>260353.88</v>
      </c>
      <c r="K104" s="117">
        <f>VLOOKUP(A104,JanApport,MATCH($K$4,'Jan 2022 Apport'!$3:$3,0),FALSE)</f>
        <v>24407.23</v>
      </c>
      <c r="L104" s="117">
        <f t="shared" si="21"/>
        <v>284761.11</v>
      </c>
      <c r="M104" s="117">
        <f>VLOOKUP(A104,JanApport,MATCH($M$4,'Jan 2022 Apport'!$3:$3,0),FALSE)</f>
        <v>40300.25</v>
      </c>
      <c r="N104" s="117">
        <f>VLOOKUP(A104,JanApport,MATCH($N$4,'Jan 2022 Apport'!$3:$3,0),FALSE)</f>
        <v>0</v>
      </c>
      <c r="O104" s="117">
        <f>VLOOKUP(A104,JanApport,MATCH($O$4,'Jan 2022 Apport'!$3:$3,0),FALSE)</f>
        <v>0</v>
      </c>
      <c r="P104" s="121">
        <f>IFERROR((VLOOKUP(A104,ExcessLevy!A:G,3,FALSE)*0.28),0)+IFERROR((VLOOKUP(A104,ExcessLevy!A:G,6,FALSE)*0.72),0)</f>
        <v>0</v>
      </c>
      <c r="Q104" s="121">
        <f>IFERROR((VLOOKUP(A104,ExcessLevy!A:G,4,FALSE)*0.4738),0)+IFERROR((VLOOKUP(A104,ExcessLevy!A:G,7,FALSE)*0.5262),0)</f>
        <v>351310</v>
      </c>
      <c r="R104">
        <f>VLOOKUP(A104,JanApport,MATCH($R$4,'Jan 2022 Apport'!$3:$3,0),FALSE)</f>
        <v>0</v>
      </c>
      <c r="S104">
        <f>VLOOKUP(A104,JanApport,MATCH($S$4,'Jan 2022 Apport'!$3:$3,0),FALSE)</f>
        <v>1.06</v>
      </c>
      <c r="T104">
        <f>VLOOKUP(A104,JanApport,MATCH($T$4,'Jan 2022 Apport'!$3:$3,0),FALSE)</f>
        <v>4.45</v>
      </c>
      <c r="U104" s="132">
        <f>IFERROR(VLOOKUP(A104,JanApport,MATCH($U$4,'Jan 2022 Apport'!$3:$3,0),FALSE)/R104,0)</f>
        <v>0</v>
      </c>
      <c r="V104" s="30">
        <f>IFERROR(((VLOOKUP(A104,JanApport,MATCH($V$4,'Jan 2022 Apport'!$3:$3,0),FALSE)+VLOOKUP(A104,JanApport,MATCH($V$3,'Jan 2022 Apport'!$3:$3,0),FALSE))/(S104+T104)),0)</f>
        <v>9070.7803992740482</v>
      </c>
      <c r="W104" s="30">
        <f t="shared" si="14"/>
        <v>8307.6027265112134</v>
      </c>
      <c r="X104">
        <f>VLOOKUP(A104,JanApport,MATCH($X$4,'Jan 2022 Apport'!$3:$3,0),FALSE)</f>
        <v>4.8578999999999997E-2</v>
      </c>
      <c r="Y104">
        <f>VLOOKUP(A104,JanApport,MATCH($Y$4,'Jan 2022 Apport'!$3:$3,0),FALSE)</f>
        <v>4.0270000000000002E-3</v>
      </c>
      <c r="Z104">
        <f>VLOOKUP(A104,JanApport,MATCH($Z$4,'Jan 2022 Apport'!$3:$3,0),FALSE)</f>
        <v>1.7100000000000001E-2</v>
      </c>
      <c r="AA104" s="77">
        <f>VLOOKUP(A104,JanApport,MATCH($AA$4,'Jan 2022 Apport'!$3:$3,0),FALSE)*VLOOKUP(A104,JanApport,MATCH($AA$3,'Jan 2022 Apport'!$3:$3,0),FALSE)</f>
        <v>67585</v>
      </c>
      <c r="AB104" s="77">
        <f>VLOOKUP(A104,JanApport,MATCH($AB$4,'Jan 2022 Apport'!$3:$3,0),FALSE)*VLOOKUP(A104,JanApport,MATCH($AB$3,'Jan 2022 Apport'!$3:$3,0),FALSE)</f>
        <v>71694.48</v>
      </c>
      <c r="AC104" s="77">
        <f>VLOOKUP(A104,JanApport,MATCH($AC$4,'Jan 2022 Apport'!$3:$3,0),FALSE)</f>
        <v>100321</v>
      </c>
      <c r="AD104" s="77">
        <f>VLOOKUP(A104,JanApport,MATCH($AD$4,'Jan 2022 Apport'!$3:$3,0),FALSE)*VLOOKUP(A104,JanApport,MATCH($AD$3,'Jan 2022 Apport'!$3:$3,0),FALSE)</f>
        <v>106420.08</v>
      </c>
      <c r="AE104" s="77">
        <f>VLOOKUP(A104,JanApport,MATCH($AE$4,'Jan 2022 Apport'!$3:$3,0),FALSE)</f>
        <v>48483</v>
      </c>
      <c r="AF104" s="77">
        <f>VLOOKUP(A104,JanApport,MATCH($AF$4,'Jan 2022 Apport'!$3:$3,0),FALSE)*VLOOKUP(A104,JanApport,MATCH($AF$3,'Jan 2022 Apport'!$3:$3,0),FALSE)</f>
        <v>51431.12</v>
      </c>
      <c r="AG104" s="77">
        <f t="shared" si="15"/>
        <v>99798.31573599999</v>
      </c>
      <c r="AH104" s="77">
        <f t="shared" si="16"/>
        <v>142397.366056</v>
      </c>
      <c r="AI104" s="77">
        <f t="shared" si="17"/>
        <v>79640.125921903993</v>
      </c>
      <c r="AJ104" s="3">
        <f>VLOOKUP(A104,JanApport,MATCH($AJ$4,'Jan 2022 Apport'!$3:$3,0),FALSE)</f>
        <v>253034.82</v>
      </c>
      <c r="AK104" s="3">
        <f>VLOOKUP(A104,JanApport,MATCH($AK$4,'Jan 2022 Apport'!$3:$3,0),FALSE)</f>
        <v>2.9620000000000002</v>
      </c>
      <c r="AL104" s="117">
        <f t="shared" si="18"/>
        <v>2735539.52</v>
      </c>
      <c r="AM104" s="117">
        <f>VLOOKUP(A104,JanApport,MATCH($AM$4,'Jan 2022 Apport'!$3:$3,0),FALSE)</f>
        <v>35541.17</v>
      </c>
      <c r="AN104" s="117">
        <f>VLOOKUP(A104,JanApport,MATCH($AN$4,'Jan 2022 Apport'!$3:$3,0),FALSE)</f>
        <v>20750.39</v>
      </c>
    </row>
    <row r="105" spans="1:40">
      <c r="A105" s="2" t="s">
        <v>599</v>
      </c>
      <c r="B105" s="2" t="s">
        <v>600</v>
      </c>
      <c r="C105" s="2" t="s">
        <v>1267</v>
      </c>
      <c r="D105" s="118">
        <f>VLOOKUP(A105,JanApport,MATCH($D$4,'Jan 2022 Apport'!$3:$3,FALSE),FALSE)</f>
        <v>8880468.4900000002</v>
      </c>
      <c r="E105" s="30">
        <f>VLOOKUP(A105,JanApport,MATCH($E$2,'Jan 2022 Apport'!$3:$3,0),FALSE)+VLOOKUP(A105,JanApport,MATCH($E$3,'Jan 2022 Apport'!$3:$3,0),FALSE)+VLOOKUP(A105,JanApport,MATCH($E$4,'Jan 2022 Apport'!$3:$3,0),FALSE)</f>
        <v>413276.65</v>
      </c>
      <c r="F105" s="118">
        <f t="shared" si="19"/>
        <v>8467191.8399999999</v>
      </c>
      <c r="G105" s="117">
        <f>VLOOKUP(A105,JanApport,MATCH($G$4,'Jan 2022 Apport'!$3:$3,0),FALSE)</f>
        <v>90834.25</v>
      </c>
      <c r="H105" s="117">
        <f>VLOOKUP(A105,JanApport,MATCH($H$3,'Jan 2022 Apport'!$3:$3,0),FALSE)+VLOOKUP(A105,JanApport,MATCH($H$2,'Jan 2022 Apport'!$3:$3,0),FALSE)+VLOOKUP(A105,JanApport,MATCH($H$4,'Jan 2022 Apport'!$3:$3,0),FALSE)</f>
        <v>1053254.5900000001</v>
      </c>
      <c r="I105" s="117">
        <f t="shared" si="20"/>
        <v>1144088.8400000001</v>
      </c>
      <c r="J105" s="117">
        <f>VLOOKUP(A105,JanApport,MATCH($J$4,'Jan 2022 Apport'!$3:$3,0),FALSE)</f>
        <v>779069.69</v>
      </c>
      <c r="K105" s="117">
        <f>VLOOKUP(A105,JanApport,MATCH($K$4,'Jan 2022 Apport'!$3:$3,0),FALSE)</f>
        <v>76363.86</v>
      </c>
      <c r="L105" s="117">
        <f t="shared" si="21"/>
        <v>855433.54999999993</v>
      </c>
      <c r="M105" s="117">
        <f>VLOOKUP(A105,JanApport,MATCH($M$4,'Jan 2022 Apport'!$3:$3,0),FALSE)</f>
        <v>529384.02</v>
      </c>
      <c r="N105" s="117">
        <f>VLOOKUP(A105,JanApport,MATCH($N$4,'Jan 2022 Apport'!$3:$3,0),FALSE)</f>
        <v>486141.02</v>
      </c>
      <c r="O105" s="117">
        <f>VLOOKUP(A105,JanApport,MATCH($O$4,'Jan 2022 Apport'!$3:$3,0),FALSE)</f>
        <v>29056.93</v>
      </c>
      <c r="P105" s="121">
        <f>IFERROR((VLOOKUP(A105,ExcessLevy!A:G,3,FALSE)*0.28),0)+IFERROR((VLOOKUP(A105,ExcessLevy!A:G,6,FALSE)*0.72),0)</f>
        <v>735695.54639999999</v>
      </c>
      <c r="Q105" s="121">
        <f>IFERROR((VLOOKUP(A105,ExcessLevy!A:G,4,FALSE)*0.4738),0)+IFERROR((VLOOKUP(A105,ExcessLevy!A:G,7,FALSE)*0.5262),0)</f>
        <v>1226310</v>
      </c>
      <c r="R105">
        <f>VLOOKUP(A105,JanApport,MATCH($R$4,'Jan 2022 Apport'!$3:$3,0),FALSE)</f>
        <v>0</v>
      </c>
      <c r="S105">
        <f>VLOOKUP(A105,JanApport,MATCH($S$4,'Jan 2022 Apport'!$3:$3,0),FALSE)</f>
        <v>0</v>
      </c>
      <c r="T105">
        <f>VLOOKUP(A105,JanApport,MATCH($T$4,'Jan 2022 Apport'!$3:$3,0),FALSE)</f>
        <v>46.3</v>
      </c>
      <c r="U105" s="132">
        <f>IFERROR(VLOOKUP(A105,JanApport,MATCH($U$4,'Jan 2022 Apport'!$3:$3,0),FALSE)/R105,0)</f>
        <v>0</v>
      </c>
      <c r="V105" s="30">
        <f>IFERROR(((VLOOKUP(A105,JanApport,MATCH($V$4,'Jan 2022 Apport'!$3:$3,0),FALSE)+VLOOKUP(A105,JanApport,MATCH($V$3,'Jan 2022 Apport'!$3:$3,0),FALSE))/(S105+T105)),0)</f>
        <v>8926.0615550755956</v>
      </c>
      <c r="W105" s="30">
        <f t="shared" si="14"/>
        <v>8083.6246967786601</v>
      </c>
      <c r="X105">
        <f>VLOOKUP(A105,JanApport,MATCH($X$4,'Jan 2022 Apport'!$3:$3,0),FALSE)</f>
        <v>4.8578999999999997E-2</v>
      </c>
      <c r="Y105">
        <f>VLOOKUP(A105,JanApport,MATCH($Y$4,'Jan 2022 Apport'!$3:$3,0),FALSE)</f>
        <v>4.0270000000000002E-3</v>
      </c>
      <c r="Z105">
        <f>VLOOKUP(A105,JanApport,MATCH($Z$4,'Jan 2022 Apport'!$3:$3,0),FALSE)</f>
        <v>1.7100000000000001E-2</v>
      </c>
      <c r="AA105" s="77">
        <f>VLOOKUP(A105,JanApport,MATCH($AA$4,'Jan 2022 Apport'!$3:$3,0),FALSE)*VLOOKUP(A105,JanApport,MATCH($AA$3,'Jan 2022 Apport'!$3:$3,0),FALSE)</f>
        <v>67585</v>
      </c>
      <c r="AB105" s="77">
        <f>VLOOKUP(A105,JanApport,MATCH($AB$4,'Jan 2022 Apport'!$3:$3,0),FALSE)*VLOOKUP(A105,JanApport,MATCH($AB$3,'Jan 2022 Apport'!$3:$3,0),FALSE)</f>
        <v>68937</v>
      </c>
      <c r="AC105" s="77">
        <f>VLOOKUP(A105,JanApport,MATCH($AC$4,'Jan 2022 Apport'!$3:$3,0),FALSE)</f>
        <v>100321</v>
      </c>
      <c r="AD105" s="77">
        <f>VLOOKUP(A105,JanApport,MATCH($AD$4,'Jan 2022 Apport'!$3:$3,0),FALSE)*VLOOKUP(A105,JanApport,MATCH($AD$3,'Jan 2022 Apport'!$3:$3,0),FALSE)</f>
        <v>102327</v>
      </c>
      <c r="AE105" s="77">
        <f>VLOOKUP(A105,JanApport,MATCH($AE$4,'Jan 2022 Apport'!$3:$3,0),FALSE)</f>
        <v>48483</v>
      </c>
      <c r="AF105" s="77">
        <f>VLOOKUP(A105,JanApport,MATCH($AF$4,'Jan 2022 Apport'!$3:$3,0),FALSE)*VLOOKUP(A105,JanApport,MATCH($AF$3,'Jan 2022 Apport'!$3:$3,0),FALSE)</f>
        <v>49453</v>
      </c>
      <c r="AG105" s="77">
        <f t="shared" si="15"/>
        <v>96432.259900000005</v>
      </c>
      <c r="AH105" s="77">
        <f t="shared" si="16"/>
        <v>137400.94330000001</v>
      </c>
      <c r="AI105" s="77">
        <f t="shared" si="17"/>
        <v>77281.189732599989</v>
      </c>
      <c r="AJ105" s="3">
        <f>VLOOKUP(A105,JanApport,MATCH($AJ$4,'Jan 2022 Apport'!$3:$3,0),FALSE)</f>
        <v>1362618.29</v>
      </c>
      <c r="AK105" s="3">
        <f>VLOOKUP(A105,JanApport,MATCH($AK$4,'Jan 2022 Apport'!$3:$3,0),FALSE)</f>
        <v>17.446999999999999</v>
      </c>
      <c r="AL105" s="117">
        <f t="shared" si="18"/>
        <v>12149833.619999999</v>
      </c>
      <c r="AM105" s="117">
        <f>VLOOKUP(A105,JanApport,MATCH($AM$4,'Jan 2022 Apport'!$3:$3,0),FALSE)</f>
        <v>301624.63</v>
      </c>
      <c r="AN105" s="117">
        <f>VLOOKUP(A105,JanApport,MATCH($AN$4,'Jan 2022 Apport'!$3:$3,0),FALSE)</f>
        <v>72904.56</v>
      </c>
    </row>
    <row r="106" spans="1:40">
      <c r="A106" s="2" t="s">
        <v>191</v>
      </c>
      <c r="B106" s="2" t="s">
        <v>192</v>
      </c>
      <c r="C106" s="2" t="s">
        <v>1267</v>
      </c>
      <c r="D106" s="118">
        <f>VLOOKUP(A106,JanApport,MATCH($D$4,'Jan 2022 Apport'!$3:$3,FALSE),FALSE)</f>
        <v>173891420.91999999</v>
      </c>
      <c r="E106" s="30">
        <f>VLOOKUP(A106,JanApport,MATCH($E$2,'Jan 2022 Apport'!$3:$3,0),FALSE)+VLOOKUP(A106,JanApport,MATCH($E$3,'Jan 2022 Apport'!$3:$3,0),FALSE)+VLOOKUP(A106,JanApport,MATCH($E$4,'Jan 2022 Apport'!$3:$3,0),FALSE)</f>
        <v>11983090.539999999</v>
      </c>
      <c r="F106" s="118">
        <f t="shared" si="19"/>
        <v>161908330.38</v>
      </c>
      <c r="G106" s="117">
        <f>VLOOKUP(A106,JanApport,MATCH($G$4,'Jan 2022 Apport'!$3:$3,0),FALSE)</f>
        <v>1858364.06</v>
      </c>
      <c r="H106" s="117">
        <f>VLOOKUP(A106,JanApport,MATCH($H$3,'Jan 2022 Apport'!$3:$3,0),FALSE)+VLOOKUP(A106,JanApport,MATCH($H$2,'Jan 2022 Apport'!$3:$3,0),FALSE)+VLOOKUP(A106,JanApport,MATCH($H$4,'Jan 2022 Apport'!$3:$3,0),FALSE)</f>
        <v>23125746.16</v>
      </c>
      <c r="I106" s="117">
        <f t="shared" si="20"/>
        <v>24984110.219999999</v>
      </c>
      <c r="J106" s="117">
        <f>VLOOKUP(A106,JanApport,MATCH($J$4,'Jan 2022 Apport'!$3:$3,0),FALSE)</f>
        <v>6898230.1500000004</v>
      </c>
      <c r="K106" s="117">
        <f>VLOOKUP(A106,JanApport,MATCH($K$4,'Jan 2022 Apport'!$3:$3,0),FALSE)</f>
        <v>694614.82</v>
      </c>
      <c r="L106" s="117">
        <f t="shared" si="21"/>
        <v>7592844.9700000007</v>
      </c>
      <c r="M106" s="117">
        <f>VLOOKUP(A106,JanApport,MATCH($M$4,'Jan 2022 Apport'!$3:$3,0),FALSE)</f>
        <v>9348268.5899999999</v>
      </c>
      <c r="N106" s="117">
        <f>VLOOKUP(A106,JanApport,MATCH($N$4,'Jan 2022 Apport'!$3:$3,0),FALSE)</f>
        <v>10012618.869999999</v>
      </c>
      <c r="O106" s="117">
        <f>VLOOKUP(A106,JanApport,MATCH($O$4,'Jan 2022 Apport'!$3:$3,0),FALSE)</f>
        <v>574720.23</v>
      </c>
      <c r="P106" s="121">
        <f>IFERROR((VLOOKUP(A106,ExcessLevy!A:G,3,FALSE)*0.28),0)+IFERROR((VLOOKUP(A106,ExcessLevy!A:G,6,FALSE)*0.72),0)</f>
        <v>0</v>
      </c>
      <c r="Q106" s="121">
        <f>IFERROR((VLOOKUP(A106,ExcessLevy!A:G,4,FALSE)*0.4738),0)+IFERROR((VLOOKUP(A106,ExcessLevy!A:G,7,FALSE)*0.5262),0)</f>
        <v>51004554.053400002</v>
      </c>
      <c r="R106">
        <f>VLOOKUP(A106,JanApport,MATCH($R$4,'Jan 2022 Apport'!$3:$3,0),FALSE)</f>
        <v>360.64</v>
      </c>
      <c r="S106">
        <f>VLOOKUP(A106,JanApport,MATCH($S$4,'Jan 2022 Apport'!$3:$3,0),FALSE)</f>
        <v>125.7</v>
      </c>
      <c r="T106">
        <f>VLOOKUP(A106,JanApport,MATCH($T$4,'Jan 2022 Apport'!$3:$3,0),FALSE)</f>
        <v>655.34</v>
      </c>
      <c r="U106" s="132">
        <f>IFERROR(VLOOKUP(A106,JanApport,MATCH($U$4,'Jan 2022 Apport'!$3:$3,0),FALSE)/R106,0)</f>
        <v>11444.416370896184</v>
      </c>
      <c r="V106" s="30">
        <f>IFERROR(((VLOOKUP(A106,JanApport,MATCH($V$4,'Jan 2022 Apport'!$3:$3,0),FALSE)+VLOOKUP(A106,JanApport,MATCH($V$3,'Jan 2022 Apport'!$3:$3,0),FALSE))/(S106+T106)),0)</f>
        <v>10058.097178121478</v>
      </c>
      <c r="W106" s="30">
        <f t="shared" si="14"/>
        <v>8759.3410458720027</v>
      </c>
      <c r="X106">
        <f>VLOOKUP(A106,JanApport,MATCH($X$4,'Jan 2022 Apport'!$3:$3,0),FALSE)</f>
        <v>4.8578999999999997E-2</v>
      </c>
      <c r="Y106">
        <f>VLOOKUP(A106,JanApport,MATCH($Y$4,'Jan 2022 Apport'!$3:$3,0),FALSE)</f>
        <v>4.0270000000000002E-3</v>
      </c>
      <c r="Z106">
        <f>VLOOKUP(A106,JanApport,MATCH($Z$4,'Jan 2022 Apport'!$3:$3,0),FALSE)</f>
        <v>1.7100000000000001E-2</v>
      </c>
      <c r="AA106" s="77">
        <f>VLOOKUP(A106,JanApport,MATCH($AA$4,'Jan 2022 Apport'!$3:$3,0),FALSE)*VLOOKUP(A106,JanApport,MATCH($AA$3,'Jan 2022 Apport'!$3:$3,0),FALSE)</f>
        <v>79750.3</v>
      </c>
      <c r="AB106" s="77">
        <f>VLOOKUP(A106,JanApport,MATCH($AB$4,'Jan 2022 Apport'!$3:$3,0),FALSE)*VLOOKUP(A106,JanApport,MATCH($AB$3,'Jan 2022 Apport'!$3:$3,0),FALSE)</f>
        <v>77209.440000000002</v>
      </c>
      <c r="AC106" s="77">
        <f>VLOOKUP(A106,JanApport,MATCH($AC$4,'Jan 2022 Apport'!$3:$3,0),FALSE)</f>
        <v>100321</v>
      </c>
      <c r="AD106" s="77">
        <f>VLOOKUP(A106,JanApport,MATCH($AD$4,'Jan 2022 Apport'!$3:$3,0),FALSE)*VLOOKUP(A106,JanApport,MATCH($AD$3,'Jan 2022 Apport'!$3:$3,0),FALSE)</f>
        <v>114606.24</v>
      </c>
      <c r="AE106" s="77">
        <f>VLOOKUP(A106,JanApport,MATCH($AE$4,'Jan 2022 Apport'!$3:$3,0),FALSE)</f>
        <v>48483</v>
      </c>
      <c r="AF106" s="77">
        <f>VLOOKUP(A106,JanApport,MATCH($AF$4,'Jan 2022 Apport'!$3:$3,0),FALSE)*VLOOKUP(A106,JanApport,MATCH($AF$3,'Jan 2022 Apport'!$3:$3,0),FALSE)</f>
        <v>55387.360000000008</v>
      </c>
      <c r="AG106" s="77">
        <f t="shared" si="15"/>
        <v>106608.285328</v>
      </c>
      <c r="AH106" s="77">
        <f t="shared" si="16"/>
        <v>152390.21156800003</v>
      </c>
      <c r="AI106" s="77">
        <f t="shared" si="17"/>
        <v>84357.998300512001</v>
      </c>
      <c r="AJ106" s="3">
        <f>VLOOKUP(A106,JanApport,MATCH($AJ$4,'Jan 2022 Apport'!$3:$3,0),FALSE)</f>
        <v>21388484.66</v>
      </c>
      <c r="AK106" s="3">
        <f>VLOOKUP(A106,JanApport,MATCH($AK$4,'Jan 2022 Apport'!$3:$3,0),FALSE)</f>
        <v>354.28100000000001</v>
      </c>
      <c r="AL106" s="117">
        <f t="shared" si="18"/>
        <v>230969781.34999999</v>
      </c>
      <c r="AM106" s="117">
        <f>VLOOKUP(A106,JanApport,MATCH($AM$4,'Jan 2022 Apport'!$3:$3,0),FALSE)</f>
        <v>5260412.37</v>
      </c>
      <c r="AN106" s="117">
        <f>VLOOKUP(A106,JanApport,MATCH($AN$4,'Jan 2022 Apport'!$3:$3,0),FALSE)</f>
        <v>1400662.03</v>
      </c>
    </row>
    <row r="107" spans="1:40">
      <c r="A107" s="2" t="s">
        <v>57</v>
      </c>
      <c r="B107" s="2" t="s">
        <v>58</v>
      </c>
      <c r="C107" s="2" t="s">
        <v>1267</v>
      </c>
      <c r="D107" s="118">
        <f>VLOOKUP(A107,JanApport,MATCH($D$4,'Jan 2022 Apport'!$3:$3,FALSE),FALSE)</f>
        <v>17341362.219999999</v>
      </c>
      <c r="E107" s="30">
        <f>VLOOKUP(A107,JanApport,MATCH($E$2,'Jan 2022 Apport'!$3:$3,0),FALSE)+VLOOKUP(A107,JanApport,MATCH($E$3,'Jan 2022 Apport'!$3:$3,0),FALSE)+VLOOKUP(A107,JanApport,MATCH($E$4,'Jan 2022 Apport'!$3:$3,0),FALSE)</f>
        <v>469874.49</v>
      </c>
      <c r="F107" s="118">
        <f t="shared" si="19"/>
        <v>16871487.73</v>
      </c>
      <c r="G107" s="117">
        <f>VLOOKUP(A107,JanApport,MATCH($G$4,'Jan 2022 Apport'!$3:$3,0),FALSE)</f>
        <v>129306.14</v>
      </c>
      <c r="H107" s="117">
        <f>VLOOKUP(A107,JanApport,MATCH($H$3,'Jan 2022 Apport'!$3:$3,0),FALSE)+VLOOKUP(A107,JanApport,MATCH($H$2,'Jan 2022 Apport'!$3:$3,0),FALSE)+VLOOKUP(A107,JanApport,MATCH($H$4,'Jan 2022 Apport'!$3:$3,0),FALSE)</f>
        <v>1581154.1099999999</v>
      </c>
      <c r="I107" s="117">
        <f t="shared" si="20"/>
        <v>1710460.2499999998</v>
      </c>
      <c r="J107" s="117">
        <f>VLOOKUP(A107,JanApport,MATCH($J$4,'Jan 2022 Apport'!$3:$3,0),FALSE)</f>
        <v>1335740.08</v>
      </c>
      <c r="K107" s="117">
        <f>VLOOKUP(A107,JanApport,MATCH($K$4,'Jan 2022 Apport'!$3:$3,0),FALSE)</f>
        <v>0</v>
      </c>
      <c r="L107" s="117">
        <f t="shared" si="21"/>
        <v>1335740.08</v>
      </c>
      <c r="M107" s="117">
        <f>VLOOKUP(A107,JanApport,MATCH($M$4,'Jan 2022 Apport'!$3:$3,0),FALSE)</f>
        <v>221025.06</v>
      </c>
      <c r="N107" s="117">
        <f>VLOOKUP(A107,JanApport,MATCH($N$4,'Jan 2022 Apport'!$3:$3,0),FALSE)</f>
        <v>115147.26</v>
      </c>
      <c r="O107" s="117">
        <f>VLOOKUP(A107,JanApport,MATCH($O$4,'Jan 2022 Apport'!$3:$3,0),FALSE)</f>
        <v>56955.67</v>
      </c>
      <c r="P107" s="121">
        <f>IFERROR((VLOOKUP(A107,ExcessLevy!A:G,3,FALSE)*0.28),0)+IFERROR((VLOOKUP(A107,ExcessLevy!A:G,6,FALSE)*0.72),0)</f>
        <v>124518.35200000001</v>
      </c>
      <c r="Q107" s="121">
        <f>IFERROR((VLOOKUP(A107,ExcessLevy!A:G,4,FALSE)*0.4738),0)+IFERROR((VLOOKUP(A107,ExcessLevy!A:G,7,FALSE)*0.5262),0)</f>
        <v>2945815.6100000003</v>
      </c>
      <c r="R107">
        <f>VLOOKUP(A107,JanApport,MATCH($R$4,'Jan 2022 Apport'!$3:$3,0),FALSE)</f>
        <v>0</v>
      </c>
      <c r="S107">
        <f>VLOOKUP(A107,JanApport,MATCH($S$4,'Jan 2022 Apport'!$3:$3,0),FALSE)</f>
        <v>9.2200000000000006</v>
      </c>
      <c r="T107">
        <f>VLOOKUP(A107,JanApport,MATCH($T$4,'Jan 2022 Apport'!$3:$3,0),FALSE)</f>
        <v>41.28</v>
      </c>
      <c r="U107" s="132">
        <f>IFERROR(VLOOKUP(A107,JanApport,MATCH($U$4,'Jan 2022 Apport'!$3:$3,0),FALSE)/R107,0)</f>
        <v>0</v>
      </c>
      <c r="V107" s="30">
        <f>IFERROR(((VLOOKUP(A107,JanApport,MATCH($V$4,'Jan 2022 Apport'!$3:$3,0),FALSE)+VLOOKUP(A107,JanApport,MATCH($V$3,'Jan 2022 Apport'!$3:$3,0),FALSE))/(S107+T107)),0)</f>
        <v>9304.4453465346542</v>
      </c>
      <c r="W107" s="30">
        <f t="shared" si="14"/>
        <v>2453.8320781945604</v>
      </c>
      <c r="X107">
        <f>VLOOKUP(A107,JanApport,MATCH($X$4,'Jan 2022 Apport'!$3:$3,0),FALSE)</f>
        <v>4.8578999999999997E-2</v>
      </c>
      <c r="Y107">
        <f>VLOOKUP(A107,JanApport,MATCH($Y$4,'Jan 2022 Apport'!$3:$3,0),FALSE)</f>
        <v>4.0270000000000002E-3</v>
      </c>
      <c r="Z107">
        <f>VLOOKUP(A107,JanApport,MATCH($Z$4,'Jan 2022 Apport'!$3:$3,0),FALSE)</f>
        <v>1.7100000000000001E-2</v>
      </c>
      <c r="AA107" s="77">
        <f>VLOOKUP(A107,JanApport,MATCH($AA$4,'Jan 2022 Apport'!$3:$3,0),FALSE)*VLOOKUP(A107,JanApport,MATCH($AA$3,'Jan 2022 Apport'!$3:$3,0),FALSE)</f>
        <v>71640.100000000006</v>
      </c>
      <c r="AB107" s="77">
        <f>VLOOKUP(A107,JanApport,MATCH($AB$4,'Jan 2022 Apport'!$3:$3,0),FALSE)*VLOOKUP(A107,JanApport,MATCH($AB$3,'Jan 2022 Apport'!$3:$3,0),FALSE)</f>
        <v>0</v>
      </c>
      <c r="AC107" s="77">
        <f>VLOOKUP(A107,JanApport,MATCH($AC$4,'Jan 2022 Apport'!$3:$3,0),FALSE)</f>
        <v>0</v>
      </c>
      <c r="AD107" s="77">
        <f>VLOOKUP(A107,JanApport,MATCH($AD$4,'Jan 2022 Apport'!$3:$3,0),FALSE)*VLOOKUP(A107,JanApport,MATCH($AD$3,'Jan 2022 Apport'!$3:$3,0),FALSE)</f>
        <v>0</v>
      </c>
      <c r="AE107" s="77">
        <f>VLOOKUP(A107,JanApport,MATCH($AE$4,'Jan 2022 Apport'!$3:$3,0),FALSE)</f>
        <v>0</v>
      </c>
      <c r="AF107" s="77">
        <f>VLOOKUP(A107,JanApport,MATCH($AF$4,'Jan 2022 Apport'!$3:$3,0),FALSE)*VLOOKUP(A107,JanApport,MATCH($AF$3,'Jan 2022 Apport'!$3:$3,0),FALSE)</f>
        <v>0</v>
      </c>
      <c r="AG107" s="77">
        <f t="shared" si="15"/>
        <v>12306.816640000012</v>
      </c>
      <c r="AH107" s="77">
        <f t="shared" si="16"/>
        <v>11848.32</v>
      </c>
      <c r="AI107" s="77">
        <f t="shared" si="17"/>
        <v>16610.88</v>
      </c>
      <c r="AJ107" s="3">
        <f>VLOOKUP(A107,JanApport,MATCH($AJ$4,'Jan 2022 Apport'!$3:$3,0),FALSE)</f>
        <v>2521398.89</v>
      </c>
      <c r="AK107" s="3">
        <f>VLOOKUP(A107,JanApport,MATCH($AK$4,'Jan 2022 Apport'!$3:$3,0),FALSE)</f>
        <v>36.564</v>
      </c>
      <c r="AL107" s="117">
        <f t="shared" si="18"/>
        <v>20780690.540000003</v>
      </c>
      <c r="AM107" s="117">
        <f>VLOOKUP(A107,JanApport,MATCH($AM$4,'Jan 2022 Apport'!$3:$3,0),FALSE)</f>
        <v>0</v>
      </c>
      <c r="AN107" s="117">
        <f>VLOOKUP(A107,JanApport,MATCH($AN$4,'Jan 2022 Apport'!$3:$3,0),FALSE)</f>
        <v>145597.48000000001</v>
      </c>
    </row>
    <row r="108" spans="1:40">
      <c r="A108" s="2" t="s">
        <v>325</v>
      </c>
      <c r="B108" s="2" t="s">
        <v>326</v>
      </c>
      <c r="C108" s="2" t="s">
        <v>1267</v>
      </c>
      <c r="D108" s="118">
        <f>VLOOKUP(A108,JanApport,MATCH($D$4,'Jan 2022 Apport'!$3:$3,FALSE),FALSE)</f>
        <v>2665078.09</v>
      </c>
      <c r="E108" s="30">
        <f>VLOOKUP(A108,JanApport,MATCH($E$2,'Jan 2022 Apport'!$3:$3,0),FALSE)+VLOOKUP(A108,JanApport,MATCH($E$3,'Jan 2022 Apport'!$3:$3,0),FALSE)+VLOOKUP(A108,JanApport,MATCH($E$4,'Jan 2022 Apport'!$3:$3,0),FALSE)</f>
        <v>0</v>
      </c>
      <c r="F108" s="118">
        <f t="shared" si="19"/>
        <v>2665078.09</v>
      </c>
      <c r="G108" s="117">
        <f>VLOOKUP(A108,JanApport,MATCH($G$4,'Jan 2022 Apport'!$3:$3,0),FALSE)</f>
        <v>0</v>
      </c>
      <c r="H108" s="117">
        <f>VLOOKUP(A108,JanApport,MATCH($H$3,'Jan 2022 Apport'!$3:$3,0),FALSE)+VLOOKUP(A108,JanApport,MATCH($H$2,'Jan 2022 Apport'!$3:$3,0),FALSE)+VLOOKUP(A108,JanApport,MATCH($H$4,'Jan 2022 Apport'!$3:$3,0),FALSE)</f>
        <v>326836.08</v>
      </c>
      <c r="I108" s="117">
        <f t="shared" si="20"/>
        <v>326836.08</v>
      </c>
      <c r="J108" s="117">
        <f>VLOOKUP(A108,JanApport,MATCH($J$4,'Jan 2022 Apport'!$3:$3,0),FALSE)</f>
        <v>523417.47</v>
      </c>
      <c r="K108" s="117">
        <f>VLOOKUP(A108,JanApport,MATCH($K$4,'Jan 2022 Apport'!$3:$3,0),FALSE)</f>
        <v>73443.92</v>
      </c>
      <c r="L108" s="117">
        <f t="shared" si="21"/>
        <v>596861.39</v>
      </c>
      <c r="M108" s="117">
        <f>VLOOKUP(A108,JanApport,MATCH($M$4,'Jan 2022 Apport'!$3:$3,0),FALSE)</f>
        <v>134522.82999999999</v>
      </c>
      <c r="N108" s="117">
        <f>VLOOKUP(A108,JanApport,MATCH($N$4,'Jan 2022 Apport'!$3:$3,0),FALSE)</f>
        <v>0</v>
      </c>
      <c r="O108" s="117">
        <f>VLOOKUP(A108,JanApport,MATCH($O$4,'Jan 2022 Apport'!$3:$3,0),FALSE)</f>
        <v>8511.6299999999992</v>
      </c>
      <c r="P108" s="121">
        <f>IFERROR((VLOOKUP(A108,ExcessLevy!A:G,3,FALSE)*0.28),0)+IFERROR((VLOOKUP(A108,ExcessLevy!A:G,6,FALSE)*0.72),0)</f>
        <v>0</v>
      </c>
      <c r="Q108" s="121">
        <f>IFERROR((VLOOKUP(A108,ExcessLevy!A:G,4,FALSE)*0.4738),0)+IFERROR((VLOOKUP(A108,ExcessLevy!A:G,7,FALSE)*0.5262),0)</f>
        <v>1317338.6876000001</v>
      </c>
      <c r="R108">
        <f>VLOOKUP(A108,JanApport,MATCH($R$4,'Jan 2022 Apport'!$3:$3,0),FALSE)</f>
        <v>0</v>
      </c>
      <c r="S108">
        <f>VLOOKUP(A108,JanApport,MATCH($S$4,'Jan 2022 Apport'!$3:$3,0),FALSE)</f>
        <v>0</v>
      </c>
      <c r="T108">
        <f>VLOOKUP(A108,JanApport,MATCH($T$4,'Jan 2022 Apport'!$3:$3,0),FALSE)</f>
        <v>0</v>
      </c>
      <c r="U108" s="132">
        <f>IFERROR(VLOOKUP(A108,JanApport,MATCH($U$4,'Jan 2022 Apport'!$3:$3,0),FALSE)/R108,0)</f>
        <v>0</v>
      </c>
      <c r="V108" s="30">
        <f>IFERROR(((VLOOKUP(A108,JanApport,MATCH($V$4,'Jan 2022 Apport'!$3:$3,0),FALSE)+VLOOKUP(A108,JanApport,MATCH($V$3,'Jan 2022 Apport'!$3:$3,0),FALSE))/(S108+T108)),0)</f>
        <v>0</v>
      </c>
      <c r="W108" s="30">
        <f t="shared" si="14"/>
        <v>8083.6246967786601</v>
      </c>
      <c r="X108">
        <f>VLOOKUP(A108,JanApport,MATCH($X$4,'Jan 2022 Apport'!$3:$3,0),FALSE)</f>
        <v>4.8578999999999997E-2</v>
      </c>
      <c r="Y108">
        <f>VLOOKUP(A108,JanApport,MATCH($Y$4,'Jan 2022 Apport'!$3:$3,0),FALSE)</f>
        <v>4.0270000000000002E-3</v>
      </c>
      <c r="Z108">
        <f>VLOOKUP(A108,JanApport,MATCH($Z$4,'Jan 2022 Apport'!$3:$3,0),FALSE)</f>
        <v>1.7100000000000001E-2</v>
      </c>
      <c r="AA108" s="77">
        <f>VLOOKUP(A108,JanApport,MATCH($AA$4,'Jan 2022 Apport'!$3:$3,0),FALSE)*VLOOKUP(A108,JanApport,MATCH($AA$3,'Jan 2022 Apport'!$3:$3,0),FALSE)</f>
        <v>67585</v>
      </c>
      <c r="AB108" s="77">
        <f>VLOOKUP(A108,JanApport,MATCH($AB$4,'Jan 2022 Apport'!$3:$3,0),FALSE)*VLOOKUP(A108,JanApport,MATCH($AB$3,'Jan 2022 Apport'!$3:$3,0),FALSE)</f>
        <v>68937</v>
      </c>
      <c r="AC108" s="77">
        <f>VLOOKUP(A108,JanApport,MATCH($AC$4,'Jan 2022 Apport'!$3:$3,0),FALSE)</f>
        <v>100321</v>
      </c>
      <c r="AD108" s="77">
        <f>VLOOKUP(A108,JanApport,MATCH($AD$4,'Jan 2022 Apport'!$3:$3,0),FALSE)*VLOOKUP(A108,JanApport,MATCH($AD$3,'Jan 2022 Apport'!$3:$3,0),FALSE)</f>
        <v>102327</v>
      </c>
      <c r="AE108" s="77">
        <f>VLOOKUP(A108,JanApport,MATCH($AE$4,'Jan 2022 Apport'!$3:$3,0),FALSE)</f>
        <v>48483</v>
      </c>
      <c r="AF108" s="77">
        <f>VLOOKUP(A108,JanApport,MATCH($AF$4,'Jan 2022 Apport'!$3:$3,0),FALSE)*VLOOKUP(A108,JanApport,MATCH($AF$3,'Jan 2022 Apport'!$3:$3,0),FALSE)</f>
        <v>49453</v>
      </c>
      <c r="AG108" s="77">
        <f t="shared" si="15"/>
        <v>96432.259900000005</v>
      </c>
      <c r="AH108" s="77">
        <f t="shared" si="16"/>
        <v>137400.94330000001</v>
      </c>
      <c r="AI108" s="77">
        <f t="shared" si="17"/>
        <v>77281.189732599989</v>
      </c>
      <c r="AJ108" s="3">
        <f>VLOOKUP(A108,JanApport,MATCH($AJ$4,'Jan 2022 Apport'!$3:$3,0),FALSE)</f>
        <v>402843.06</v>
      </c>
      <c r="AK108" s="3">
        <f>VLOOKUP(A108,JanApport,MATCH($AK$4,'Jan 2022 Apport'!$3:$3,0),FALSE)</f>
        <v>8.7780000000000005</v>
      </c>
      <c r="AL108" s="117">
        <f t="shared" si="18"/>
        <v>3742504.0199999996</v>
      </c>
      <c r="AM108" s="117">
        <f>VLOOKUP(A108,JanApport,MATCH($AM$4,'Jan 2022 Apport'!$3:$3,0),FALSE)</f>
        <v>84137.919999999998</v>
      </c>
      <c r="AN108" s="117">
        <f>VLOOKUP(A108,JanApport,MATCH($AN$4,'Jan 2022 Apport'!$3:$3,0),FALSE)</f>
        <v>23978.94</v>
      </c>
    </row>
    <row r="109" spans="1:40">
      <c r="A109" s="2" t="s">
        <v>143</v>
      </c>
      <c r="B109" s="2" t="s">
        <v>144</v>
      </c>
      <c r="C109" s="2" t="s">
        <v>1267</v>
      </c>
      <c r="D109" s="118">
        <f>VLOOKUP(A109,JanApport,MATCH($D$4,'Jan 2022 Apport'!$3:$3,FALSE),FALSE)</f>
        <v>13748809.6</v>
      </c>
      <c r="E109" s="30">
        <f>VLOOKUP(A109,JanApport,MATCH($E$2,'Jan 2022 Apport'!$3:$3,0),FALSE)+VLOOKUP(A109,JanApport,MATCH($E$3,'Jan 2022 Apport'!$3:$3,0),FALSE)+VLOOKUP(A109,JanApport,MATCH($E$4,'Jan 2022 Apport'!$3:$3,0),FALSE)</f>
        <v>1283561.04</v>
      </c>
      <c r="F109" s="118">
        <f t="shared" si="19"/>
        <v>12465248.559999999</v>
      </c>
      <c r="G109" s="117">
        <f>VLOOKUP(A109,JanApport,MATCH($G$4,'Jan 2022 Apport'!$3:$3,0),FALSE)</f>
        <v>91551.43</v>
      </c>
      <c r="H109" s="117">
        <f>VLOOKUP(A109,JanApport,MATCH($H$3,'Jan 2022 Apport'!$3:$3,0),FALSE)+VLOOKUP(A109,JanApport,MATCH($H$2,'Jan 2022 Apport'!$3:$3,0),FALSE)+VLOOKUP(A109,JanApport,MATCH($H$4,'Jan 2022 Apport'!$3:$3,0),FALSE)</f>
        <v>1832818.99</v>
      </c>
      <c r="I109" s="117">
        <f t="shared" si="20"/>
        <v>1924370.42</v>
      </c>
      <c r="J109" s="117">
        <f>VLOOKUP(A109,JanApport,MATCH($J$4,'Jan 2022 Apport'!$3:$3,0),FALSE)</f>
        <v>1034076.54</v>
      </c>
      <c r="K109" s="117">
        <f>VLOOKUP(A109,JanApport,MATCH($K$4,'Jan 2022 Apport'!$3:$3,0),FALSE)</f>
        <v>120440</v>
      </c>
      <c r="L109" s="117">
        <f t="shared" si="21"/>
        <v>1154516.54</v>
      </c>
      <c r="M109" s="117">
        <f>VLOOKUP(A109,JanApport,MATCH($M$4,'Jan 2022 Apport'!$3:$3,0),FALSE)</f>
        <v>679951.74</v>
      </c>
      <c r="N109" s="117">
        <f>VLOOKUP(A109,JanApport,MATCH($N$4,'Jan 2022 Apport'!$3:$3,0),FALSE)</f>
        <v>145969.48000000001</v>
      </c>
      <c r="O109" s="117">
        <f>VLOOKUP(A109,JanApport,MATCH($O$4,'Jan 2022 Apport'!$3:$3,0),FALSE)</f>
        <v>44221.33</v>
      </c>
      <c r="P109" s="121">
        <f>IFERROR((VLOOKUP(A109,ExcessLevy!A:G,3,FALSE)*0.28),0)+IFERROR((VLOOKUP(A109,ExcessLevy!A:G,6,FALSE)*0.72),0)</f>
        <v>1428768.7624000001</v>
      </c>
      <c r="Q109" s="121">
        <f>IFERROR((VLOOKUP(A109,ExcessLevy!A:G,4,FALSE)*0.4738),0)+IFERROR((VLOOKUP(A109,ExcessLevy!A:G,7,FALSE)*0.5262),0)</f>
        <v>2058025.7082000002</v>
      </c>
      <c r="R109">
        <f>VLOOKUP(A109,JanApport,MATCH($R$4,'Jan 2022 Apport'!$3:$3,0),FALSE)</f>
        <v>0</v>
      </c>
      <c r="S109">
        <f>VLOOKUP(A109,JanApport,MATCH($S$4,'Jan 2022 Apport'!$3:$3,0),FALSE)</f>
        <v>16.989999999999998</v>
      </c>
      <c r="T109">
        <f>VLOOKUP(A109,JanApport,MATCH($T$4,'Jan 2022 Apport'!$3:$3,0),FALSE)</f>
        <v>126.88</v>
      </c>
      <c r="U109" s="132">
        <f>IFERROR(VLOOKUP(A109,JanApport,MATCH($U$4,'Jan 2022 Apport'!$3:$3,0),FALSE)/R109,0)</f>
        <v>0</v>
      </c>
      <c r="V109" s="30">
        <f>IFERROR(((VLOOKUP(A109,JanApport,MATCH($V$4,'Jan 2022 Apport'!$3:$3,0),FALSE)+VLOOKUP(A109,JanApport,MATCH($V$3,'Jan 2022 Apport'!$3:$3,0),FALSE))/(S109+T109)),0)</f>
        <v>8921.6726211162859</v>
      </c>
      <c r="W109" s="30">
        <f t="shared" si="14"/>
        <v>2452.5713248960005</v>
      </c>
      <c r="X109">
        <f>VLOOKUP(A109,JanApport,MATCH($X$4,'Jan 2022 Apport'!$3:$3,0),FALSE)</f>
        <v>4.8578999999999997E-2</v>
      </c>
      <c r="Y109">
        <f>VLOOKUP(A109,JanApport,MATCH($Y$4,'Jan 2022 Apport'!$3:$3,0),FALSE)</f>
        <v>4.0270000000000002E-3</v>
      </c>
      <c r="Z109">
        <f>VLOOKUP(A109,JanApport,MATCH($Z$4,'Jan 2022 Apport'!$3:$3,0),FALSE)</f>
        <v>1.7100000000000001E-2</v>
      </c>
      <c r="AA109" s="77">
        <f>VLOOKUP(A109,JanApport,MATCH($AA$4,'Jan 2022 Apport'!$3:$3,0),FALSE)*VLOOKUP(A109,JanApport,MATCH($AA$3,'Jan 2022 Apport'!$3:$3,0),FALSE)</f>
        <v>67585</v>
      </c>
      <c r="AB109" s="77">
        <f>VLOOKUP(A109,JanApport,MATCH($AB$4,'Jan 2022 Apport'!$3:$3,0),FALSE)*VLOOKUP(A109,JanApport,MATCH($AB$3,'Jan 2022 Apport'!$3:$3,0),FALSE)</f>
        <v>0</v>
      </c>
      <c r="AC109" s="77">
        <f>VLOOKUP(A109,JanApport,MATCH($AC$4,'Jan 2022 Apport'!$3:$3,0),FALSE)</f>
        <v>0</v>
      </c>
      <c r="AD109" s="77">
        <f>VLOOKUP(A109,JanApport,MATCH($AD$4,'Jan 2022 Apport'!$3:$3,0),FALSE)*VLOOKUP(A109,JanApport,MATCH($AD$3,'Jan 2022 Apport'!$3:$3,0),FALSE)</f>
        <v>0</v>
      </c>
      <c r="AE109" s="77">
        <f>VLOOKUP(A109,JanApport,MATCH($AE$4,'Jan 2022 Apport'!$3:$3,0),FALSE)</f>
        <v>0</v>
      </c>
      <c r="AF109" s="77">
        <f>VLOOKUP(A109,JanApport,MATCH($AF$4,'Jan 2022 Apport'!$3:$3,0),FALSE)*VLOOKUP(A109,JanApport,MATCH($AF$3,'Jan 2022 Apport'!$3:$3,0),FALSE)</f>
        <v>0</v>
      </c>
      <c r="AG109" s="77">
        <f t="shared" si="15"/>
        <v>12280.864000000009</v>
      </c>
      <c r="AH109" s="77">
        <f t="shared" si="16"/>
        <v>11848.32</v>
      </c>
      <c r="AI109" s="77">
        <f t="shared" si="17"/>
        <v>16610.88</v>
      </c>
      <c r="AJ109" s="3">
        <f>VLOOKUP(A109,JanApport,MATCH($AJ$4,'Jan 2022 Apport'!$3:$3,0),FALSE)</f>
        <v>1776483.21</v>
      </c>
      <c r="AK109" s="3">
        <f>VLOOKUP(A109,JanApport,MATCH($AK$4,'Jan 2022 Apport'!$3:$3,0),FALSE)</f>
        <v>28.59</v>
      </c>
      <c r="AL109" s="117">
        <f t="shared" si="18"/>
        <v>18033211.359999999</v>
      </c>
      <c r="AM109" s="117">
        <f>VLOOKUP(A109,JanApport,MATCH($AM$4,'Jan 2022 Apport'!$3:$3,0),FALSE)</f>
        <v>455812.25</v>
      </c>
      <c r="AN109" s="117">
        <f>VLOOKUP(A109,JanApport,MATCH($AN$4,'Jan 2022 Apport'!$3:$3,0),FALSE)</f>
        <v>98009.72</v>
      </c>
    </row>
    <row r="110" spans="1:40">
      <c r="A110" s="2" t="s">
        <v>1315</v>
      </c>
      <c r="B110" s="2" t="s">
        <v>1316</v>
      </c>
      <c r="C110" s="2" t="s">
        <v>1267</v>
      </c>
      <c r="D110" s="118">
        <f>VLOOKUP(A110,JanApport,MATCH($D$4,'Jan 2022 Apport'!$3:$3,FALSE),FALSE)</f>
        <v>2799676.38</v>
      </c>
      <c r="E110" s="30">
        <f>VLOOKUP(A110,JanApport,MATCH($E$2,'Jan 2022 Apport'!$3:$3,0),FALSE)+VLOOKUP(A110,JanApport,MATCH($E$3,'Jan 2022 Apport'!$3:$3,0),FALSE)+VLOOKUP(A110,JanApport,MATCH($E$4,'Jan 2022 Apport'!$3:$3,0),FALSE)</f>
        <v>0</v>
      </c>
      <c r="F110" s="118">
        <f t="shared" si="19"/>
        <v>2799676.38</v>
      </c>
      <c r="G110" s="117">
        <f>VLOOKUP(A110,JanApport,MATCH($G$4,'Jan 2022 Apport'!$3:$3,0),FALSE)</f>
        <v>0</v>
      </c>
      <c r="H110" s="117">
        <f>VLOOKUP(A110,JanApport,MATCH($H$3,'Jan 2022 Apport'!$3:$3,0),FALSE)+VLOOKUP(A110,JanApport,MATCH($H$2,'Jan 2022 Apport'!$3:$3,0),FALSE)+VLOOKUP(A110,JanApport,MATCH($H$4,'Jan 2022 Apport'!$3:$3,0),FALSE)</f>
        <v>28145.03</v>
      </c>
      <c r="I110" s="117">
        <f t="shared" si="20"/>
        <v>28145.03</v>
      </c>
      <c r="J110" s="117">
        <f>VLOOKUP(A110,JanApport,MATCH($J$4,'Jan 2022 Apport'!$3:$3,0),FALSE)</f>
        <v>78040.08</v>
      </c>
      <c r="K110" s="117">
        <f>VLOOKUP(A110,JanApport,MATCH($K$4,'Jan 2022 Apport'!$3:$3,0),FALSE)</f>
        <v>0</v>
      </c>
      <c r="L110" s="117">
        <f t="shared" si="21"/>
        <v>78040.08</v>
      </c>
      <c r="M110" s="117">
        <f>VLOOKUP(A110,JanApport,MATCH($M$4,'Jan 2022 Apport'!$3:$3,0),FALSE)</f>
        <v>100257.98</v>
      </c>
      <c r="N110" s="117">
        <f>VLOOKUP(A110,JanApport,MATCH($N$4,'Jan 2022 Apport'!$3:$3,0),FALSE)</f>
        <v>41638.959999999999</v>
      </c>
      <c r="O110" s="117">
        <f>VLOOKUP(A110,JanApport,MATCH($O$4,'Jan 2022 Apport'!$3:$3,0),FALSE)</f>
        <v>0</v>
      </c>
      <c r="P110" s="121">
        <f>IFERROR((VLOOKUP(A110,ExcessLevy!A:G,3,FALSE)*0.28),0)+IFERROR((VLOOKUP(A110,ExcessLevy!A:G,6,FALSE)*0.72),0)</f>
        <v>0</v>
      </c>
      <c r="Q110" s="121">
        <f>IFERROR((VLOOKUP(A110,ExcessLevy!A:G,4,FALSE)*0.4738),0)+IFERROR((VLOOKUP(A110,ExcessLevy!A:G,7,FALSE)*0.5262),0)</f>
        <v>0</v>
      </c>
      <c r="R110">
        <f>VLOOKUP(A110,JanApport,MATCH($R$4,'Jan 2022 Apport'!$3:$3,0),FALSE)</f>
        <v>0</v>
      </c>
      <c r="S110">
        <f>VLOOKUP(A110,JanApport,MATCH($S$4,'Jan 2022 Apport'!$3:$3,0),FALSE)</f>
        <v>0</v>
      </c>
      <c r="T110">
        <f>VLOOKUP(A110,JanApport,MATCH($T$4,'Jan 2022 Apport'!$3:$3,0),FALSE)</f>
        <v>0</v>
      </c>
      <c r="U110" s="132">
        <f>IFERROR(VLOOKUP(A110,JanApport,MATCH($U$4,'Jan 2022 Apport'!$3:$3,0),FALSE)/R110,0)</f>
        <v>0</v>
      </c>
      <c r="V110" s="30">
        <f>IFERROR(((VLOOKUP(A110,JanApport,MATCH($V$4,'Jan 2022 Apport'!$3:$3,0),FALSE)+VLOOKUP(A110,JanApport,MATCH($V$3,'Jan 2022 Apport'!$3:$3,0),FALSE))/(S110+T110)),0)</f>
        <v>0</v>
      </c>
      <c r="W110" s="30">
        <f t="shared" si="14"/>
        <v>8758.0802925734424</v>
      </c>
      <c r="X110">
        <f>VLOOKUP(A110,JanApport,MATCH($X$4,'Jan 2022 Apport'!$3:$3,0),FALSE)</f>
        <v>4.8578999999999997E-2</v>
      </c>
      <c r="Y110">
        <f>VLOOKUP(A110,JanApport,MATCH($Y$4,'Jan 2022 Apport'!$3:$3,0),FALSE)</f>
        <v>4.0270000000000002E-3</v>
      </c>
      <c r="Z110">
        <f>VLOOKUP(A110,JanApport,MATCH($Z$4,'Jan 2022 Apport'!$3:$3,0),FALSE)</f>
        <v>1.7100000000000001E-2</v>
      </c>
      <c r="AA110" s="77">
        <f>VLOOKUP(A110,JanApport,MATCH($AA$4,'Jan 2022 Apport'!$3:$3,0),FALSE)*VLOOKUP(A110,JanApport,MATCH($AA$3,'Jan 2022 Apport'!$3:$3,0),FALSE)</f>
        <v>75695.200000000012</v>
      </c>
      <c r="AB110" s="77">
        <f>VLOOKUP(A110,JanApport,MATCH($AB$4,'Jan 2022 Apport'!$3:$3,0),FALSE)*VLOOKUP(A110,JanApport,MATCH($AB$3,'Jan 2022 Apport'!$3:$3,0),FALSE)</f>
        <v>77209.440000000002</v>
      </c>
      <c r="AC110" s="77">
        <f>VLOOKUP(A110,JanApport,MATCH($AC$4,'Jan 2022 Apport'!$3:$3,0),FALSE)</f>
        <v>100321</v>
      </c>
      <c r="AD110" s="77">
        <f>VLOOKUP(A110,JanApport,MATCH($AD$4,'Jan 2022 Apport'!$3:$3,0),FALSE)*VLOOKUP(A110,JanApport,MATCH($AD$3,'Jan 2022 Apport'!$3:$3,0),FALSE)</f>
        <v>114606.24</v>
      </c>
      <c r="AE110" s="77">
        <f>VLOOKUP(A110,JanApport,MATCH($AE$4,'Jan 2022 Apport'!$3:$3,0),FALSE)</f>
        <v>48483</v>
      </c>
      <c r="AF110" s="77">
        <f>VLOOKUP(A110,JanApport,MATCH($AF$4,'Jan 2022 Apport'!$3:$3,0),FALSE)*VLOOKUP(A110,JanApport,MATCH($AF$3,'Jan 2022 Apport'!$3:$3,0),FALSE)</f>
        <v>55387.360000000008</v>
      </c>
      <c r="AG110" s="77">
        <f t="shared" si="15"/>
        <v>106582.33268799999</v>
      </c>
      <c r="AH110" s="77">
        <f t="shared" si="16"/>
        <v>152390.21156800003</v>
      </c>
      <c r="AI110" s="77">
        <f t="shared" si="17"/>
        <v>84357.998300512001</v>
      </c>
      <c r="AJ110" s="3">
        <f>VLOOKUP(A110,JanApport,MATCH($AJ$4,'Jan 2022 Apport'!$3:$3,0),FALSE)</f>
        <v>337712.76</v>
      </c>
      <c r="AK110" s="3">
        <f>VLOOKUP(A110,JanApport,MATCH($AK$4,'Jan 2022 Apport'!$3:$3,0),FALSE)</f>
        <v>16.747</v>
      </c>
      <c r="AL110" s="117">
        <f t="shared" si="18"/>
        <v>3047758.4299999997</v>
      </c>
      <c r="AM110" s="117">
        <f>VLOOKUP(A110,JanApport,MATCH($AM$4,'Jan 2022 Apport'!$3:$3,0),FALSE)</f>
        <v>0</v>
      </c>
      <c r="AN110" s="117">
        <f>VLOOKUP(A110,JanApport,MATCH($AN$4,'Jan 2022 Apport'!$3:$3,0),FALSE)</f>
        <v>27585.279999999999</v>
      </c>
    </row>
    <row r="111" spans="1:40">
      <c r="A111" s="2" t="s">
        <v>1230</v>
      </c>
      <c r="B111" s="2" t="s">
        <v>1231</v>
      </c>
      <c r="C111" s="2" t="s">
        <v>1267</v>
      </c>
      <c r="D111" s="118">
        <f>VLOOKUP(A111,JanApport,MATCH($D$4,'Jan 2022 Apport'!$3:$3,FALSE),FALSE)</f>
        <v>3431765.09</v>
      </c>
      <c r="E111" s="30">
        <f>VLOOKUP(A111,JanApport,MATCH($E$2,'Jan 2022 Apport'!$3:$3,0),FALSE)+VLOOKUP(A111,JanApport,MATCH($E$3,'Jan 2022 Apport'!$3:$3,0),FALSE)+VLOOKUP(A111,JanApport,MATCH($E$4,'Jan 2022 Apport'!$3:$3,0),FALSE)</f>
        <v>0</v>
      </c>
      <c r="F111" s="118">
        <f t="shared" si="19"/>
        <v>3431765.09</v>
      </c>
      <c r="G111" s="117">
        <f>VLOOKUP(A111,JanApport,MATCH($G$4,'Jan 2022 Apport'!$3:$3,0),FALSE)</f>
        <v>10128.48</v>
      </c>
      <c r="H111" s="117">
        <f>VLOOKUP(A111,JanApport,MATCH($H$3,'Jan 2022 Apport'!$3:$3,0),FALSE)+VLOOKUP(A111,JanApport,MATCH($H$2,'Jan 2022 Apport'!$3:$3,0),FALSE)+VLOOKUP(A111,JanApport,MATCH($H$4,'Jan 2022 Apport'!$3:$3,0),FALSE)</f>
        <v>91394.5</v>
      </c>
      <c r="I111" s="117">
        <f t="shared" si="20"/>
        <v>101522.98</v>
      </c>
      <c r="J111" s="117">
        <f>VLOOKUP(A111,JanApport,MATCH($J$4,'Jan 2022 Apport'!$3:$3,0),FALSE)</f>
        <v>38906.230000000003</v>
      </c>
      <c r="K111" s="117">
        <f>VLOOKUP(A111,JanApport,MATCH($K$4,'Jan 2022 Apport'!$3:$3,0),FALSE)</f>
        <v>0</v>
      </c>
      <c r="L111" s="117">
        <f t="shared" si="21"/>
        <v>38906.230000000003</v>
      </c>
      <c r="M111" s="117">
        <f>VLOOKUP(A111,JanApport,MATCH($M$4,'Jan 2022 Apport'!$3:$3,0),FALSE)</f>
        <v>36599.9</v>
      </c>
      <c r="N111" s="117">
        <f>VLOOKUP(A111,JanApport,MATCH($N$4,'Jan 2022 Apport'!$3:$3,0),FALSE)</f>
        <v>66401.05</v>
      </c>
      <c r="O111" s="117">
        <f>VLOOKUP(A111,JanApport,MATCH($O$4,'Jan 2022 Apport'!$3:$3,0),FALSE)</f>
        <v>9518.24</v>
      </c>
      <c r="P111" s="121">
        <f>IFERROR((VLOOKUP(A111,ExcessLevy!A:G,3,FALSE)*0.28),0)+IFERROR((VLOOKUP(A111,ExcessLevy!A:G,6,FALSE)*0.72),0)</f>
        <v>0</v>
      </c>
      <c r="Q111" s="121">
        <f>IFERROR((VLOOKUP(A111,ExcessLevy!A:G,4,FALSE)*0.4738),0)+IFERROR((VLOOKUP(A111,ExcessLevy!A:G,7,FALSE)*0.5262),0)</f>
        <v>0</v>
      </c>
      <c r="R111">
        <f>VLOOKUP(A111,JanApport,MATCH($R$4,'Jan 2022 Apport'!$3:$3,0),FALSE)</f>
        <v>0</v>
      </c>
      <c r="S111">
        <f>VLOOKUP(A111,JanApport,MATCH($S$4,'Jan 2022 Apport'!$3:$3,0),FALSE)</f>
        <v>0</v>
      </c>
      <c r="T111">
        <f>VLOOKUP(A111,JanApport,MATCH($T$4,'Jan 2022 Apport'!$3:$3,0),FALSE)</f>
        <v>0</v>
      </c>
      <c r="U111" s="132">
        <f>IFERROR(VLOOKUP(A111,JanApport,MATCH($U$4,'Jan 2022 Apport'!$3:$3,0),FALSE)/R111,0)</f>
        <v>0</v>
      </c>
      <c r="V111" s="30">
        <f>IFERROR(((VLOOKUP(A111,JanApport,MATCH($V$4,'Jan 2022 Apport'!$3:$3,0),FALSE)+VLOOKUP(A111,JanApport,MATCH($V$3,'Jan 2022 Apport'!$3:$3,0),FALSE))/(S111+T111)),0)</f>
        <v>0</v>
      </c>
      <c r="W111" s="30">
        <f t="shared" si="14"/>
        <v>9095.3080904708331</v>
      </c>
      <c r="X111">
        <f>VLOOKUP(A111,JanApport,MATCH($X$4,'Jan 2022 Apport'!$3:$3,0),FALSE)</f>
        <v>4.8578999999999997E-2</v>
      </c>
      <c r="Y111">
        <f>VLOOKUP(A111,JanApport,MATCH($Y$4,'Jan 2022 Apport'!$3:$3,0),FALSE)</f>
        <v>4.0270000000000002E-3</v>
      </c>
      <c r="Z111">
        <f>VLOOKUP(A111,JanApport,MATCH($Z$4,'Jan 2022 Apport'!$3:$3,0),FALSE)</f>
        <v>1.7100000000000001E-2</v>
      </c>
      <c r="AA111" s="77">
        <f>VLOOKUP(A111,JanApport,MATCH($AA$4,'Jan 2022 Apport'!$3:$3,0),FALSE)*VLOOKUP(A111,JanApport,MATCH($AA$3,'Jan 2022 Apport'!$3:$3,0),FALSE)</f>
        <v>79750.3</v>
      </c>
      <c r="AB111" s="77">
        <f>VLOOKUP(A111,JanApport,MATCH($AB$4,'Jan 2022 Apport'!$3:$3,0),FALSE)*VLOOKUP(A111,JanApport,MATCH($AB$3,'Jan 2022 Apport'!$3:$3,0),FALSE)</f>
        <v>81345.659999999989</v>
      </c>
      <c r="AC111" s="77">
        <f>VLOOKUP(A111,JanApport,MATCH($AC$4,'Jan 2022 Apport'!$3:$3,0),FALSE)</f>
        <v>100321</v>
      </c>
      <c r="AD111" s="77">
        <f>VLOOKUP(A111,JanApport,MATCH($AD$4,'Jan 2022 Apport'!$3:$3,0),FALSE)*VLOOKUP(A111,JanApport,MATCH($AD$3,'Jan 2022 Apport'!$3:$3,0),FALSE)</f>
        <v>120745.86</v>
      </c>
      <c r="AE111" s="77">
        <f>VLOOKUP(A111,JanApport,MATCH($AE$4,'Jan 2022 Apport'!$3:$3,0),FALSE)</f>
        <v>48483</v>
      </c>
      <c r="AF111" s="77">
        <f>VLOOKUP(A111,JanApport,MATCH($AF$4,'Jan 2022 Apport'!$3:$3,0),FALSE)*VLOOKUP(A111,JanApport,MATCH($AF$3,'Jan 2022 Apport'!$3:$3,0),FALSE)</f>
        <v>58354.539999999994</v>
      </c>
      <c r="AG111" s="77">
        <f t="shared" si="15"/>
        <v>111657.36908199999</v>
      </c>
      <c r="AH111" s="77">
        <f t="shared" si="16"/>
        <v>159884.84570200002</v>
      </c>
      <c r="AI111" s="77">
        <f t="shared" si="17"/>
        <v>87896.402584467985</v>
      </c>
      <c r="AJ111" s="3">
        <f>VLOOKUP(A111,JanApport,MATCH($AJ$4,'Jan 2022 Apport'!$3:$3,0),FALSE)</f>
        <v>391585.99</v>
      </c>
      <c r="AK111" s="3">
        <f>VLOOKUP(A111,JanApport,MATCH($AK$4,'Jan 2022 Apport'!$3:$3,0),FALSE)</f>
        <v>19.852</v>
      </c>
      <c r="AL111" s="117">
        <f t="shared" si="18"/>
        <v>3684713.4899999998</v>
      </c>
      <c r="AM111" s="117">
        <f>VLOOKUP(A111,JanApport,MATCH($AM$4,'Jan 2022 Apport'!$3:$3,0),FALSE)</f>
        <v>0</v>
      </c>
      <c r="AN111" s="117">
        <f>VLOOKUP(A111,JanApport,MATCH($AN$4,'Jan 2022 Apport'!$3:$3,0),FALSE)</f>
        <v>34415.26</v>
      </c>
    </row>
    <row r="112" spans="1:40">
      <c r="A112" s="2" t="s">
        <v>1032</v>
      </c>
      <c r="B112" s="2" t="s">
        <v>1042</v>
      </c>
      <c r="C112" s="2" t="s">
        <v>1267</v>
      </c>
      <c r="D112" s="118">
        <f>VLOOKUP(A112,JanApport,MATCH($D$4,'Jan 2022 Apport'!$3:$3,FALSE),FALSE)</f>
        <v>6806906.5999999996</v>
      </c>
      <c r="E112" s="30">
        <f>VLOOKUP(A112,JanApport,MATCH($E$2,'Jan 2022 Apport'!$3:$3,0),FALSE)+VLOOKUP(A112,JanApport,MATCH($E$3,'Jan 2022 Apport'!$3:$3,0),FALSE)+VLOOKUP(A112,JanApport,MATCH($E$4,'Jan 2022 Apport'!$3:$3,0),FALSE)</f>
        <v>0</v>
      </c>
      <c r="F112" s="118">
        <f t="shared" si="19"/>
        <v>6806906.5999999996</v>
      </c>
      <c r="G112" s="117">
        <f>VLOOKUP(A112,JanApport,MATCH($G$4,'Jan 2022 Apport'!$3:$3,0),FALSE)</f>
        <v>6546.12</v>
      </c>
      <c r="H112" s="117">
        <f>VLOOKUP(A112,JanApport,MATCH($H$3,'Jan 2022 Apport'!$3:$3,0),FALSE)+VLOOKUP(A112,JanApport,MATCH($H$2,'Jan 2022 Apport'!$3:$3,0),FALSE)+VLOOKUP(A112,JanApport,MATCH($H$4,'Jan 2022 Apport'!$3:$3,0),FALSE)</f>
        <v>263252.11</v>
      </c>
      <c r="I112" s="117">
        <f t="shared" si="20"/>
        <v>269798.23</v>
      </c>
      <c r="J112" s="117">
        <f>VLOOKUP(A112,JanApport,MATCH($J$4,'Jan 2022 Apport'!$3:$3,0),FALSE)</f>
        <v>87788.41</v>
      </c>
      <c r="K112" s="117">
        <f>VLOOKUP(A112,JanApport,MATCH($K$4,'Jan 2022 Apport'!$3:$3,0),FALSE)</f>
        <v>0</v>
      </c>
      <c r="L112" s="117">
        <f t="shared" si="21"/>
        <v>87788.41</v>
      </c>
      <c r="M112" s="117">
        <f>VLOOKUP(A112,JanApport,MATCH($M$4,'Jan 2022 Apport'!$3:$3,0),FALSE)</f>
        <v>186852.06</v>
      </c>
      <c r="N112" s="117">
        <f>VLOOKUP(A112,JanApport,MATCH($N$4,'Jan 2022 Apport'!$3:$3,0),FALSE)</f>
        <v>242261.8</v>
      </c>
      <c r="O112" s="117">
        <f>VLOOKUP(A112,JanApport,MATCH($O$4,'Jan 2022 Apport'!$3:$3,0),FALSE)</f>
        <v>19489.72</v>
      </c>
      <c r="P112" s="121">
        <f>IFERROR((VLOOKUP(A112,ExcessLevy!A:G,3,FALSE)*0.28),0)+IFERROR((VLOOKUP(A112,ExcessLevy!A:G,6,FALSE)*0.72),0)</f>
        <v>0</v>
      </c>
      <c r="Q112" s="121">
        <f>IFERROR((VLOOKUP(A112,ExcessLevy!A:G,4,FALSE)*0.4738),0)+IFERROR((VLOOKUP(A112,ExcessLevy!A:G,7,FALSE)*0.5262),0)</f>
        <v>0</v>
      </c>
      <c r="R112">
        <f>VLOOKUP(A112,JanApport,MATCH($R$4,'Jan 2022 Apport'!$3:$3,0),FALSE)</f>
        <v>0</v>
      </c>
      <c r="S112">
        <f>VLOOKUP(A112,JanApport,MATCH($S$4,'Jan 2022 Apport'!$3:$3,0),FALSE)</f>
        <v>0</v>
      </c>
      <c r="T112">
        <f>VLOOKUP(A112,JanApport,MATCH($T$4,'Jan 2022 Apport'!$3:$3,0),FALSE)</f>
        <v>0</v>
      </c>
      <c r="U112" s="132">
        <f>IFERROR(VLOOKUP(A112,JanApport,MATCH($U$4,'Jan 2022 Apport'!$3:$3,0),FALSE)/R112,0)</f>
        <v>0</v>
      </c>
      <c r="V112" s="30">
        <f>IFERROR(((VLOOKUP(A112,JanApport,MATCH($V$4,'Jan 2022 Apport'!$3:$3,0),FALSE)+VLOOKUP(A112,JanApport,MATCH($V$3,'Jan 2022 Apport'!$3:$3,0),FALSE))/(S112+T112)),0)</f>
        <v>0</v>
      </c>
      <c r="W112" s="30">
        <f t="shared" si="14"/>
        <v>9095.3080904708331</v>
      </c>
      <c r="X112">
        <f>VLOOKUP(A112,JanApport,MATCH($X$4,'Jan 2022 Apport'!$3:$3,0),FALSE)</f>
        <v>4.8578999999999997E-2</v>
      </c>
      <c r="Y112">
        <f>VLOOKUP(A112,JanApport,MATCH($Y$4,'Jan 2022 Apport'!$3:$3,0),FALSE)</f>
        <v>4.0270000000000002E-3</v>
      </c>
      <c r="Z112">
        <f>VLOOKUP(A112,JanApport,MATCH($Z$4,'Jan 2022 Apport'!$3:$3,0),FALSE)</f>
        <v>1.7100000000000001E-2</v>
      </c>
      <c r="AA112" s="77">
        <f>VLOOKUP(A112,JanApport,MATCH($AA$4,'Jan 2022 Apport'!$3:$3,0),FALSE)*VLOOKUP(A112,JanApport,MATCH($AA$3,'Jan 2022 Apport'!$3:$3,0),FALSE)</f>
        <v>79750.3</v>
      </c>
      <c r="AB112" s="77">
        <f>VLOOKUP(A112,JanApport,MATCH($AB$4,'Jan 2022 Apport'!$3:$3,0),FALSE)*VLOOKUP(A112,JanApport,MATCH($AB$3,'Jan 2022 Apport'!$3:$3,0),FALSE)</f>
        <v>81345.659999999989</v>
      </c>
      <c r="AC112" s="77">
        <f>VLOOKUP(A112,JanApport,MATCH($AC$4,'Jan 2022 Apport'!$3:$3,0),FALSE)</f>
        <v>100321</v>
      </c>
      <c r="AD112" s="77">
        <f>VLOOKUP(A112,JanApport,MATCH($AD$4,'Jan 2022 Apport'!$3:$3,0),FALSE)*VLOOKUP(A112,JanApport,MATCH($AD$3,'Jan 2022 Apport'!$3:$3,0),FALSE)</f>
        <v>120745.86</v>
      </c>
      <c r="AE112" s="77">
        <f>VLOOKUP(A112,JanApport,MATCH($AE$4,'Jan 2022 Apport'!$3:$3,0),FALSE)</f>
        <v>48483</v>
      </c>
      <c r="AF112" s="77">
        <f>VLOOKUP(A112,JanApport,MATCH($AF$4,'Jan 2022 Apport'!$3:$3,0),FALSE)*VLOOKUP(A112,JanApport,MATCH($AF$3,'Jan 2022 Apport'!$3:$3,0),FALSE)</f>
        <v>58354.539999999994</v>
      </c>
      <c r="AG112" s="77">
        <f t="shared" si="15"/>
        <v>111657.36908199999</v>
      </c>
      <c r="AH112" s="77">
        <f t="shared" si="16"/>
        <v>159884.84570200002</v>
      </c>
      <c r="AI112" s="77">
        <f t="shared" si="17"/>
        <v>87896.402584467985</v>
      </c>
      <c r="AJ112" s="3">
        <f>VLOOKUP(A112,JanApport,MATCH($AJ$4,'Jan 2022 Apport'!$3:$3,0),FALSE)</f>
        <v>801129.71</v>
      </c>
      <c r="AK112" s="3">
        <f>VLOOKUP(A112,JanApport,MATCH($AK$4,'Jan 2022 Apport'!$3:$3,0),FALSE)</f>
        <v>35.777999999999999</v>
      </c>
      <c r="AL112" s="117">
        <f t="shared" si="18"/>
        <v>7748618.3899999987</v>
      </c>
      <c r="AM112" s="117">
        <f>VLOOKUP(A112,JanApport,MATCH($AM$4,'Jan 2022 Apport'!$3:$3,0),FALSE)</f>
        <v>135521.57</v>
      </c>
      <c r="AN112" s="117">
        <f>VLOOKUP(A112,JanApport,MATCH($AN$4,'Jan 2022 Apport'!$3:$3,0),FALSE)</f>
        <v>67446.95</v>
      </c>
    </row>
    <row r="113" spans="1:40">
      <c r="A113" s="2" t="s">
        <v>107</v>
      </c>
      <c r="B113" s="2" t="s">
        <v>108</v>
      </c>
      <c r="C113" s="2" t="s">
        <v>1267</v>
      </c>
      <c r="D113" s="118">
        <f>VLOOKUP(A113,JanApport,MATCH($D$4,'Jan 2022 Apport'!$3:$3,FALSE),FALSE)</f>
        <v>2825998.81</v>
      </c>
      <c r="E113" s="30">
        <f>VLOOKUP(A113,JanApport,MATCH($E$2,'Jan 2022 Apport'!$3:$3,0),FALSE)+VLOOKUP(A113,JanApport,MATCH($E$3,'Jan 2022 Apport'!$3:$3,0),FALSE)+VLOOKUP(A113,JanApport,MATCH($E$4,'Jan 2022 Apport'!$3:$3,0),FALSE)</f>
        <v>0</v>
      </c>
      <c r="F113" s="118">
        <f t="shared" si="19"/>
        <v>2825998.81</v>
      </c>
      <c r="G113" s="117">
        <f>VLOOKUP(A113,JanApport,MATCH($G$4,'Jan 2022 Apport'!$3:$3,0),FALSE)</f>
        <v>2485.08</v>
      </c>
      <c r="H113" s="117">
        <f>VLOOKUP(A113,JanApport,MATCH($H$3,'Jan 2022 Apport'!$3:$3,0),FALSE)+VLOOKUP(A113,JanApport,MATCH($H$2,'Jan 2022 Apport'!$3:$3,0),FALSE)+VLOOKUP(A113,JanApport,MATCH($H$4,'Jan 2022 Apport'!$3:$3,0),FALSE)</f>
        <v>210066.9</v>
      </c>
      <c r="I113" s="117">
        <f t="shared" si="20"/>
        <v>212551.97999999998</v>
      </c>
      <c r="J113" s="117">
        <f>VLOOKUP(A113,JanApport,MATCH($J$4,'Jan 2022 Apport'!$3:$3,0),FALSE)</f>
        <v>0</v>
      </c>
      <c r="K113" s="117">
        <f>VLOOKUP(A113,JanApport,MATCH($K$4,'Jan 2022 Apport'!$3:$3,0),FALSE)</f>
        <v>0</v>
      </c>
      <c r="L113" s="117">
        <f t="shared" si="21"/>
        <v>0</v>
      </c>
      <c r="M113" s="117">
        <f>VLOOKUP(A113,JanApport,MATCH($M$4,'Jan 2022 Apport'!$3:$3,0),FALSE)</f>
        <v>112901.34</v>
      </c>
      <c r="N113" s="117">
        <f>VLOOKUP(A113,JanApport,MATCH($N$4,'Jan 2022 Apport'!$3:$3,0),FALSE)</f>
        <v>0</v>
      </c>
      <c r="O113" s="117">
        <f>VLOOKUP(A113,JanApport,MATCH($O$4,'Jan 2022 Apport'!$3:$3,0),FALSE)</f>
        <v>0</v>
      </c>
      <c r="P113" s="121">
        <f>IFERROR((VLOOKUP(A113,ExcessLevy!A:G,3,FALSE)*0.28),0)+IFERROR((VLOOKUP(A113,ExcessLevy!A:G,6,FALSE)*0.72),0)</f>
        <v>231946.83999999997</v>
      </c>
      <c r="Q113" s="121">
        <f>IFERROR((VLOOKUP(A113,ExcessLevy!A:G,4,FALSE)*0.4738),0)+IFERROR((VLOOKUP(A113,ExcessLevy!A:G,7,FALSE)*0.5262),0)</f>
        <v>106880.3554</v>
      </c>
      <c r="R113">
        <f>VLOOKUP(A113,JanApport,MATCH($R$4,'Jan 2022 Apport'!$3:$3,0),FALSE)</f>
        <v>0</v>
      </c>
      <c r="S113">
        <f>VLOOKUP(A113,JanApport,MATCH($S$4,'Jan 2022 Apport'!$3:$3,0),FALSE)</f>
        <v>0</v>
      </c>
      <c r="T113">
        <f>VLOOKUP(A113,JanApport,MATCH($T$4,'Jan 2022 Apport'!$3:$3,0),FALSE)</f>
        <v>0</v>
      </c>
      <c r="U113" s="132">
        <f>IFERROR(VLOOKUP(A113,JanApport,MATCH($U$4,'Jan 2022 Apport'!$3:$3,0),FALSE)/R113,0)</f>
        <v>0</v>
      </c>
      <c r="V113" s="30">
        <f>IFERROR(((VLOOKUP(A113,JanApport,MATCH($V$4,'Jan 2022 Apport'!$3:$3,0),FALSE)+VLOOKUP(A113,JanApport,MATCH($V$3,'Jan 2022 Apport'!$3:$3,0),FALSE))/(S113+T113)),0)</f>
        <v>0</v>
      </c>
      <c r="W113" s="30">
        <f t="shared" si="14"/>
        <v>8083.6246967786601</v>
      </c>
      <c r="X113">
        <f>VLOOKUP(A113,JanApport,MATCH($X$4,'Jan 2022 Apport'!$3:$3,0),FALSE)</f>
        <v>4.8578999999999997E-2</v>
      </c>
      <c r="Y113">
        <f>VLOOKUP(A113,JanApport,MATCH($Y$4,'Jan 2022 Apport'!$3:$3,0),FALSE)</f>
        <v>4.0270000000000002E-3</v>
      </c>
      <c r="Z113">
        <f>VLOOKUP(A113,JanApport,MATCH($Z$4,'Jan 2022 Apport'!$3:$3,0),FALSE)</f>
        <v>1.7100000000000001E-2</v>
      </c>
      <c r="AA113" s="77">
        <f>VLOOKUP(A113,JanApport,MATCH($AA$4,'Jan 2022 Apport'!$3:$3,0),FALSE)*VLOOKUP(A113,JanApport,MATCH($AA$3,'Jan 2022 Apport'!$3:$3,0),FALSE)</f>
        <v>67585</v>
      </c>
      <c r="AB113" s="77">
        <f>VLOOKUP(A113,JanApport,MATCH($AB$4,'Jan 2022 Apport'!$3:$3,0),FALSE)*VLOOKUP(A113,JanApport,MATCH($AB$3,'Jan 2022 Apport'!$3:$3,0),FALSE)</f>
        <v>68937</v>
      </c>
      <c r="AC113" s="77">
        <f>VLOOKUP(A113,JanApport,MATCH($AC$4,'Jan 2022 Apport'!$3:$3,0),FALSE)</f>
        <v>100321</v>
      </c>
      <c r="AD113" s="77">
        <f>VLOOKUP(A113,JanApport,MATCH($AD$4,'Jan 2022 Apport'!$3:$3,0),FALSE)*VLOOKUP(A113,JanApport,MATCH($AD$3,'Jan 2022 Apport'!$3:$3,0),FALSE)</f>
        <v>102327</v>
      </c>
      <c r="AE113" s="77">
        <f>VLOOKUP(A113,JanApport,MATCH($AE$4,'Jan 2022 Apport'!$3:$3,0),FALSE)</f>
        <v>48483</v>
      </c>
      <c r="AF113" s="77">
        <f>VLOOKUP(A113,JanApport,MATCH($AF$4,'Jan 2022 Apport'!$3:$3,0),FALSE)*VLOOKUP(A113,JanApport,MATCH($AF$3,'Jan 2022 Apport'!$3:$3,0),FALSE)</f>
        <v>49453</v>
      </c>
      <c r="AG113" s="77">
        <f t="shared" si="15"/>
        <v>96432.259900000005</v>
      </c>
      <c r="AH113" s="77">
        <f t="shared" si="16"/>
        <v>137400.94330000001</v>
      </c>
      <c r="AI113" s="77">
        <f t="shared" si="17"/>
        <v>77281.189732599989</v>
      </c>
      <c r="AJ113" s="3">
        <f>VLOOKUP(A113,JanApport,MATCH($AJ$4,'Jan 2022 Apport'!$3:$3,0),FALSE)</f>
        <v>385565.33</v>
      </c>
      <c r="AK113" s="3">
        <f>VLOOKUP(A113,JanApport,MATCH($AK$4,'Jan 2022 Apport'!$3:$3,0),FALSE)</f>
        <v>4.5250000000000004</v>
      </c>
      <c r="AL113" s="117">
        <f t="shared" si="18"/>
        <v>3214359.8899999997</v>
      </c>
      <c r="AM113" s="117">
        <f>VLOOKUP(A113,JanApport,MATCH($AM$4,'Jan 2022 Apport'!$3:$3,0),FALSE)</f>
        <v>62907.76</v>
      </c>
      <c r="AN113" s="117">
        <f>VLOOKUP(A113,JanApport,MATCH($AN$4,'Jan 2022 Apport'!$3:$3,0),FALSE)</f>
        <v>25281.88</v>
      </c>
    </row>
    <row r="114" spans="1:40">
      <c r="A114" s="2" t="s">
        <v>435</v>
      </c>
      <c r="B114" s="2" t="s">
        <v>436</v>
      </c>
      <c r="C114" s="2" t="s">
        <v>1267</v>
      </c>
      <c r="D114" s="118">
        <f>VLOOKUP(A114,JanApport,MATCH($D$4,'Jan 2022 Apport'!$3:$3,FALSE),FALSE)</f>
        <v>594018.68000000005</v>
      </c>
      <c r="E114" s="30">
        <f>VLOOKUP(A114,JanApport,MATCH($E$2,'Jan 2022 Apport'!$3:$3,0),FALSE)+VLOOKUP(A114,JanApport,MATCH($E$3,'Jan 2022 Apport'!$3:$3,0),FALSE)+VLOOKUP(A114,JanApport,MATCH($E$4,'Jan 2022 Apport'!$3:$3,0),FALSE)</f>
        <v>0</v>
      </c>
      <c r="F114" s="118">
        <f t="shared" si="19"/>
        <v>594018.68000000005</v>
      </c>
      <c r="G114" s="117">
        <f>VLOOKUP(A114,JanApport,MATCH($G$4,'Jan 2022 Apport'!$3:$3,0),FALSE)</f>
        <v>0</v>
      </c>
      <c r="H114" s="117">
        <f>VLOOKUP(A114,JanApport,MATCH($H$3,'Jan 2022 Apport'!$3:$3,0),FALSE)+VLOOKUP(A114,JanApport,MATCH($H$2,'Jan 2022 Apport'!$3:$3,0),FALSE)+VLOOKUP(A114,JanApport,MATCH($H$4,'Jan 2022 Apport'!$3:$3,0),FALSE)</f>
        <v>33718.880000000005</v>
      </c>
      <c r="I114" s="117">
        <f t="shared" si="20"/>
        <v>33718.880000000005</v>
      </c>
      <c r="J114" s="117">
        <f>VLOOKUP(A114,JanApport,MATCH($J$4,'Jan 2022 Apport'!$3:$3,0),FALSE)</f>
        <v>81136.679999999993</v>
      </c>
      <c r="K114" s="117">
        <f>VLOOKUP(A114,JanApport,MATCH($K$4,'Jan 2022 Apport'!$3:$3,0),FALSE)</f>
        <v>23252.66</v>
      </c>
      <c r="L114" s="117">
        <f t="shared" si="21"/>
        <v>104389.34</v>
      </c>
      <c r="M114" s="117">
        <f>VLOOKUP(A114,JanApport,MATCH($M$4,'Jan 2022 Apport'!$3:$3,0),FALSE)</f>
        <v>5948.43</v>
      </c>
      <c r="N114" s="117">
        <f>VLOOKUP(A114,JanApport,MATCH($N$4,'Jan 2022 Apport'!$3:$3,0),FALSE)</f>
        <v>0</v>
      </c>
      <c r="O114" s="117">
        <f>VLOOKUP(A114,JanApport,MATCH($O$4,'Jan 2022 Apport'!$3:$3,0),FALSE)</f>
        <v>0</v>
      </c>
      <c r="P114" s="121">
        <f>IFERROR((VLOOKUP(A114,ExcessLevy!A:G,3,FALSE)*0.28),0)+IFERROR((VLOOKUP(A114,ExcessLevy!A:G,6,FALSE)*0.72),0)</f>
        <v>0</v>
      </c>
      <c r="Q114" s="121">
        <f>IFERROR((VLOOKUP(A114,ExcessLevy!A:G,4,FALSE)*0.4738),0)+IFERROR((VLOOKUP(A114,ExcessLevy!A:G,7,FALSE)*0.5262),0)</f>
        <v>99265.375200000009</v>
      </c>
      <c r="R114">
        <f>VLOOKUP(A114,JanApport,MATCH($R$4,'Jan 2022 Apport'!$3:$3,0),FALSE)</f>
        <v>0</v>
      </c>
      <c r="S114">
        <f>VLOOKUP(A114,JanApport,MATCH($S$4,'Jan 2022 Apport'!$3:$3,0),FALSE)</f>
        <v>0</v>
      </c>
      <c r="T114">
        <f>VLOOKUP(A114,JanApport,MATCH($T$4,'Jan 2022 Apport'!$3:$3,0),FALSE)</f>
        <v>0</v>
      </c>
      <c r="U114" s="132">
        <f>IFERROR(VLOOKUP(A114,JanApport,MATCH($U$4,'Jan 2022 Apport'!$3:$3,0),FALSE)/R114,0)</f>
        <v>0</v>
      </c>
      <c r="V114" s="30">
        <f>IFERROR(((VLOOKUP(A114,JanApport,MATCH($V$4,'Jan 2022 Apport'!$3:$3,0),FALSE)+VLOOKUP(A114,JanApport,MATCH($V$3,'Jan 2022 Apport'!$3:$3,0),FALSE))/(S114+T114)),0)</f>
        <v>0</v>
      </c>
      <c r="W114" s="30">
        <f t="shared" si="14"/>
        <v>8982.0583223059966</v>
      </c>
      <c r="X114">
        <f>VLOOKUP(A114,JanApport,MATCH($X$4,'Jan 2022 Apport'!$3:$3,0),FALSE)</f>
        <v>4.8578999999999997E-2</v>
      </c>
      <c r="Y114">
        <f>VLOOKUP(A114,JanApport,MATCH($Y$4,'Jan 2022 Apport'!$3:$3,0),FALSE)</f>
        <v>4.0270000000000002E-3</v>
      </c>
      <c r="Z114">
        <f>VLOOKUP(A114,JanApport,MATCH($Z$4,'Jan 2022 Apport'!$3:$3,0),FALSE)</f>
        <v>1.7100000000000001E-2</v>
      </c>
      <c r="AA114" s="77">
        <f>VLOOKUP(A114,JanApport,MATCH($AA$4,'Jan 2022 Apport'!$3:$3,0),FALSE)*VLOOKUP(A114,JanApport,MATCH($AA$3,'Jan 2022 Apport'!$3:$3,0),FALSE)</f>
        <v>75695.200000000012</v>
      </c>
      <c r="AB114" s="77">
        <f>VLOOKUP(A114,JanApport,MATCH($AB$4,'Jan 2022 Apport'!$3:$3,0),FALSE)*VLOOKUP(A114,JanApport,MATCH($AB$3,'Jan 2022 Apport'!$3:$3,0),FALSE)</f>
        <v>79966.92</v>
      </c>
      <c r="AC114" s="77">
        <f>VLOOKUP(A114,JanApport,MATCH($AC$4,'Jan 2022 Apport'!$3:$3,0),FALSE)</f>
        <v>100321</v>
      </c>
      <c r="AD114" s="77">
        <f>VLOOKUP(A114,JanApport,MATCH($AD$4,'Jan 2022 Apport'!$3:$3,0),FALSE)*VLOOKUP(A114,JanApport,MATCH($AD$3,'Jan 2022 Apport'!$3:$3,0),FALSE)</f>
        <v>118699.31999999999</v>
      </c>
      <c r="AE114" s="77">
        <f>VLOOKUP(A114,JanApport,MATCH($AE$4,'Jan 2022 Apport'!$3:$3,0),FALSE)</f>
        <v>48483</v>
      </c>
      <c r="AF114" s="77">
        <f>VLOOKUP(A114,JanApport,MATCH($AF$4,'Jan 2022 Apport'!$3:$3,0),FALSE)*VLOOKUP(A114,JanApport,MATCH($AF$3,'Jan 2022 Apport'!$3:$3,0),FALSE)</f>
        <v>57365.479999999996</v>
      </c>
      <c r="AG114" s="77">
        <f t="shared" si="15"/>
        <v>109948.38852400001</v>
      </c>
      <c r="AH114" s="77">
        <f t="shared" si="16"/>
        <v>157386.63432400001</v>
      </c>
      <c r="AI114" s="77">
        <f t="shared" si="17"/>
        <v>86716.934489815991</v>
      </c>
      <c r="AJ114" s="3">
        <f>VLOOKUP(A114,JanApport,MATCH($AJ$4,'Jan 2022 Apport'!$3:$3,0),FALSE)</f>
        <v>59443.56</v>
      </c>
      <c r="AK114" s="3">
        <f>VLOOKUP(A114,JanApport,MATCH($AK$4,'Jan 2022 Apport'!$3:$3,0),FALSE)</f>
        <v>1.1879999999999999</v>
      </c>
      <c r="AL114" s="117">
        <f t="shared" si="18"/>
        <v>714822.67000000016</v>
      </c>
      <c r="AM114" s="117">
        <f>VLOOKUP(A114,JanApport,MATCH($AM$4,'Jan 2022 Apport'!$3:$3,0),FALSE)</f>
        <v>0</v>
      </c>
      <c r="AN114" s="117">
        <f>VLOOKUP(A114,JanApport,MATCH($AN$4,'Jan 2022 Apport'!$3:$3,0),FALSE)</f>
        <v>5573.29</v>
      </c>
    </row>
    <row r="115" spans="1:40">
      <c r="A115" s="2" t="s">
        <v>211</v>
      </c>
      <c r="B115" s="2" t="s">
        <v>212</v>
      </c>
      <c r="C115" s="2" t="s">
        <v>1267</v>
      </c>
      <c r="D115" s="118">
        <f>VLOOKUP(A115,JanApport,MATCH($D$4,'Jan 2022 Apport'!$3:$3,FALSE),FALSE)</f>
        <v>187880335.99000001</v>
      </c>
      <c r="E115" s="30">
        <f>VLOOKUP(A115,JanApport,MATCH($E$2,'Jan 2022 Apport'!$3:$3,0),FALSE)+VLOOKUP(A115,JanApport,MATCH($E$3,'Jan 2022 Apport'!$3:$3,0),FALSE)+VLOOKUP(A115,JanApport,MATCH($E$4,'Jan 2022 Apport'!$3:$3,0),FALSE)</f>
        <v>11610876.729999999</v>
      </c>
      <c r="F115" s="118">
        <f t="shared" si="19"/>
        <v>176269459.26000002</v>
      </c>
      <c r="G115" s="117">
        <f>VLOOKUP(A115,JanApport,MATCH($G$4,'Jan 2022 Apport'!$3:$3,0),FALSE)</f>
        <v>1384208.22</v>
      </c>
      <c r="H115" s="117">
        <f>VLOOKUP(A115,JanApport,MATCH($H$3,'Jan 2022 Apport'!$3:$3,0),FALSE)+VLOOKUP(A115,JanApport,MATCH($H$2,'Jan 2022 Apport'!$3:$3,0),FALSE)+VLOOKUP(A115,JanApport,MATCH($H$4,'Jan 2022 Apport'!$3:$3,0),FALSE)</f>
        <v>15224938.34</v>
      </c>
      <c r="I115" s="117">
        <f t="shared" si="20"/>
        <v>16609146.560000001</v>
      </c>
      <c r="J115" s="117">
        <f>VLOOKUP(A115,JanApport,MATCH($J$4,'Jan 2022 Apport'!$3:$3,0),FALSE)</f>
        <v>9132093.7300000004</v>
      </c>
      <c r="K115" s="117">
        <f>VLOOKUP(A115,JanApport,MATCH($K$4,'Jan 2022 Apport'!$3:$3,0),FALSE)</f>
        <v>1544650.87</v>
      </c>
      <c r="L115" s="117">
        <f t="shared" si="21"/>
        <v>10676744.600000001</v>
      </c>
      <c r="M115" s="117">
        <f>VLOOKUP(A115,JanApport,MATCH($M$4,'Jan 2022 Apport'!$3:$3,0),FALSE)</f>
        <v>1234651.32</v>
      </c>
      <c r="N115" s="117">
        <f>VLOOKUP(A115,JanApport,MATCH($N$4,'Jan 2022 Apport'!$3:$3,0),FALSE)</f>
        <v>2566977.9</v>
      </c>
      <c r="O115" s="117">
        <f>VLOOKUP(A115,JanApport,MATCH($O$4,'Jan 2022 Apport'!$3:$3,0),FALSE)</f>
        <v>627523.78</v>
      </c>
      <c r="P115" s="121">
        <f>IFERROR((VLOOKUP(A115,ExcessLevy!A:G,3,FALSE)*0.28),0)+IFERROR((VLOOKUP(A115,ExcessLevy!A:G,6,FALSE)*0.72),0)</f>
        <v>0</v>
      </c>
      <c r="Q115" s="121">
        <f>IFERROR((VLOOKUP(A115,ExcessLevy!A:G,4,FALSE)*0.4738),0)+IFERROR((VLOOKUP(A115,ExcessLevy!A:G,7,FALSE)*0.5262),0)</f>
        <v>52033730</v>
      </c>
      <c r="R115">
        <f>VLOOKUP(A115,JanApport,MATCH($R$4,'Jan 2022 Apport'!$3:$3,0),FALSE)</f>
        <v>0</v>
      </c>
      <c r="S115">
        <f>VLOOKUP(A115,JanApport,MATCH($S$4,'Jan 2022 Apport'!$3:$3,0),FALSE)</f>
        <v>100.48</v>
      </c>
      <c r="T115">
        <f>VLOOKUP(A115,JanApport,MATCH($T$4,'Jan 2022 Apport'!$3:$3,0),FALSE)</f>
        <v>1053.8399999999999</v>
      </c>
      <c r="U115" s="132">
        <f>IFERROR(VLOOKUP(A115,JanApport,MATCH($U$4,'Jan 2022 Apport'!$3:$3,0),FALSE)/R115,0)</f>
        <v>0</v>
      </c>
      <c r="V115" s="30">
        <f>IFERROR(((VLOOKUP(A115,JanApport,MATCH($V$4,'Jan 2022 Apport'!$3:$3,0),FALSE)+VLOOKUP(A115,JanApport,MATCH($V$3,'Jan 2022 Apport'!$3:$3,0),FALSE))/(S115+T115)),0)</f>
        <v>10058.629088987454</v>
      </c>
      <c r="W115" s="30">
        <f t="shared" si="14"/>
        <v>9095.3080904708331</v>
      </c>
      <c r="X115">
        <f>VLOOKUP(A115,JanApport,MATCH($X$4,'Jan 2022 Apport'!$3:$3,0),FALSE)</f>
        <v>4.8578999999999997E-2</v>
      </c>
      <c r="Y115">
        <f>VLOOKUP(A115,JanApport,MATCH($Y$4,'Jan 2022 Apport'!$3:$3,0),FALSE)</f>
        <v>4.0270000000000002E-3</v>
      </c>
      <c r="Z115">
        <f>VLOOKUP(A115,JanApport,MATCH($Z$4,'Jan 2022 Apport'!$3:$3,0),FALSE)</f>
        <v>1.7100000000000001E-2</v>
      </c>
      <c r="AA115" s="77">
        <f>VLOOKUP(A115,JanApport,MATCH($AA$4,'Jan 2022 Apport'!$3:$3,0),FALSE)*VLOOKUP(A115,JanApport,MATCH($AA$3,'Jan 2022 Apport'!$3:$3,0),FALSE)</f>
        <v>79750.3</v>
      </c>
      <c r="AB115" s="77">
        <f>VLOOKUP(A115,JanApport,MATCH($AB$4,'Jan 2022 Apport'!$3:$3,0),FALSE)*VLOOKUP(A115,JanApport,MATCH($AB$3,'Jan 2022 Apport'!$3:$3,0),FALSE)</f>
        <v>81345.659999999989</v>
      </c>
      <c r="AC115" s="77">
        <f>VLOOKUP(A115,JanApport,MATCH($AC$4,'Jan 2022 Apport'!$3:$3,0),FALSE)</f>
        <v>100321</v>
      </c>
      <c r="AD115" s="77">
        <f>VLOOKUP(A115,JanApport,MATCH($AD$4,'Jan 2022 Apport'!$3:$3,0),FALSE)*VLOOKUP(A115,JanApport,MATCH($AD$3,'Jan 2022 Apport'!$3:$3,0),FALSE)</f>
        <v>120745.86</v>
      </c>
      <c r="AE115" s="77">
        <f>VLOOKUP(A115,JanApport,MATCH($AE$4,'Jan 2022 Apport'!$3:$3,0),FALSE)</f>
        <v>48483</v>
      </c>
      <c r="AF115" s="77">
        <f>VLOOKUP(A115,JanApport,MATCH($AF$4,'Jan 2022 Apport'!$3:$3,0),FALSE)*VLOOKUP(A115,JanApport,MATCH($AF$3,'Jan 2022 Apport'!$3:$3,0),FALSE)</f>
        <v>58354.539999999994</v>
      </c>
      <c r="AG115" s="77">
        <f t="shared" si="15"/>
        <v>111657.36908199999</v>
      </c>
      <c r="AH115" s="77">
        <f t="shared" si="16"/>
        <v>159884.84570200002</v>
      </c>
      <c r="AI115" s="77">
        <f t="shared" si="17"/>
        <v>87896.402584467985</v>
      </c>
      <c r="AJ115" s="3">
        <f>VLOOKUP(A115,JanApport,MATCH($AJ$4,'Jan 2022 Apport'!$3:$3,0),FALSE)</f>
        <v>24408245.77</v>
      </c>
      <c r="AK115" s="3">
        <f>VLOOKUP(A115,JanApport,MATCH($AK$4,'Jan 2022 Apport'!$3:$3,0),FALSE)</f>
        <v>353.51600000000002</v>
      </c>
      <c r="AL115" s="117">
        <f t="shared" si="18"/>
        <v>218050729.28</v>
      </c>
      <c r="AM115" s="117">
        <f>VLOOKUP(A115,JanApport,MATCH($AM$4,'Jan 2022 Apport'!$3:$3,0),FALSE)</f>
        <v>0</v>
      </c>
      <c r="AN115" s="117">
        <f>VLOOKUP(A115,JanApport,MATCH($AN$4,'Jan 2022 Apport'!$3:$3,0),FALSE)</f>
        <v>1567607.89</v>
      </c>
    </row>
    <row r="116" spans="1:40">
      <c r="A116" s="2" t="s">
        <v>117</v>
      </c>
      <c r="B116" s="2" t="s">
        <v>118</v>
      </c>
      <c r="C116" s="2" t="s">
        <v>1267</v>
      </c>
      <c r="D116" s="118">
        <f>VLOOKUP(A116,JanApport,MATCH($D$4,'Jan 2022 Apport'!$3:$3,FALSE),FALSE)</f>
        <v>1881461.98</v>
      </c>
      <c r="E116" s="30">
        <f>VLOOKUP(A116,JanApport,MATCH($E$2,'Jan 2022 Apport'!$3:$3,0),FALSE)+VLOOKUP(A116,JanApport,MATCH($E$3,'Jan 2022 Apport'!$3:$3,0),FALSE)+VLOOKUP(A116,JanApport,MATCH($E$4,'Jan 2022 Apport'!$3:$3,0),FALSE)</f>
        <v>33573.69</v>
      </c>
      <c r="F116" s="118">
        <f t="shared" si="19"/>
        <v>1847888.29</v>
      </c>
      <c r="G116" s="117">
        <f>VLOOKUP(A116,JanApport,MATCH($G$4,'Jan 2022 Apport'!$3:$3,0),FALSE)</f>
        <v>7408.26</v>
      </c>
      <c r="H116" s="117">
        <f>VLOOKUP(A116,JanApport,MATCH($H$3,'Jan 2022 Apport'!$3:$3,0),FALSE)+VLOOKUP(A116,JanApport,MATCH($H$2,'Jan 2022 Apport'!$3:$3,0),FALSE)+VLOOKUP(A116,JanApport,MATCH($H$4,'Jan 2022 Apport'!$3:$3,0),FALSE)</f>
        <v>30709.74</v>
      </c>
      <c r="I116" s="117">
        <f t="shared" si="20"/>
        <v>38118</v>
      </c>
      <c r="J116" s="117">
        <f>VLOOKUP(A116,JanApport,MATCH($J$4,'Jan 2022 Apport'!$3:$3,0),FALSE)</f>
        <v>88715.51</v>
      </c>
      <c r="K116" s="117">
        <f>VLOOKUP(A116,JanApport,MATCH($K$4,'Jan 2022 Apport'!$3:$3,0),FALSE)</f>
        <v>38307.86</v>
      </c>
      <c r="L116" s="117">
        <f t="shared" si="21"/>
        <v>127023.37</v>
      </c>
      <c r="M116" s="117">
        <f>VLOOKUP(A116,JanApport,MATCH($M$4,'Jan 2022 Apport'!$3:$3,0),FALSE)</f>
        <v>17011.16</v>
      </c>
      <c r="N116" s="117">
        <f>VLOOKUP(A116,JanApport,MATCH($N$4,'Jan 2022 Apport'!$3:$3,0),FALSE)</f>
        <v>0</v>
      </c>
      <c r="O116" s="117">
        <f>VLOOKUP(A116,JanApport,MATCH($O$4,'Jan 2022 Apport'!$3:$3,0),FALSE)</f>
        <v>0</v>
      </c>
      <c r="P116" s="121">
        <f>IFERROR((VLOOKUP(A116,ExcessLevy!A:G,3,FALSE)*0.28),0)+IFERROR((VLOOKUP(A116,ExcessLevy!A:G,6,FALSE)*0.72),0)</f>
        <v>0</v>
      </c>
      <c r="Q116" s="121">
        <f>IFERROR((VLOOKUP(A116,ExcessLevy!A:G,4,FALSE)*0.4738),0)+IFERROR((VLOOKUP(A116,ExcessLevy!A:G,7,FALSE)*0.5262),0)</f>
        <v>75000</v>
      </c>
      <c r="R116">
        <f>VLOOKUP(A116,JanApport,MATCH($R$4,'Jan 2022 Apport'!$3:$3,0),FALSE)</f>
        <v>0</v>
      </c>
      <c r="S116">
        <f>VLOOKUP(A116,JanApport,MATCH($S$4,'Jan 2022 Apport'!$3:$3,0),FALSE)</f>
        <v>0</v>
      </c>
      <c r="T116">
        <f>VLOOKUP(A116,JanApport,MATCH($T$4,'Jan 2022 Apport'!$3:$3,0),FALSE)</f>
        <v>3.68</v>
      </c>
      <c r="U116" s="132">
        <f>IFERROR(VLOOKUP(A116,JanApport,MATCH($U$4,'Jan 2022 Apport'!$3:$3,0),FALSE)/R116,0)</f>
        <v>0</v>
      </c>
      <c r="V116" s="30">
        <f>IFERROR(((VLOOKUP(A116,JanApport,MATCH($V$4,'Jan 2022 Apport'!$3:$3,0),FALSE)+VLOOKUP(A116,JanApport,MATCH($V$3,'Jan 2022 Apport'!$3:$3,0),FALSE))/(S116+T116)),0)</f>
        <v>9123.285326086956</v>
      </c>
      <c r="W116" s="30">
        <f t="shared" si="14"/>
        <v>8083.6246967786601</v>
      </c>
      <c r="X116">
        <f>VLOOKUP(A116,JanApport,MATCH($X$4,'Jan 2022 Apport'!$3:$3,0),FALSE)</f>
        <v>4.8578999999999997E-2</v>
      </c>
      <c r="Y116">
        <f>VLOOKUP(A116,JanApport,MATCH($Y$4,'Jan 2022 Apport'!$3:$3,0),FALSE)</f>
        <v>4.0270000000000002E-3</v>
      </c>
      <c r="Z116">
        <f>VLOOKUP(A116,JanApport,MATCH($Z$4,'Jan 2022 Apport'!$3:$3,0),FALSE)</f>
        <v>1.7100000000000001E-2</v>
      </c>
      <c r="AA116" s="77">
        <f>VLOOKUP(A116,JanApport,MATCH($AA$4,'Jan 2022 Apport'!$3:$3,0),FALSE)*VLOOKUP(A116,JanApport,MATCH($AA$3,'Jan 2022 Apport'!$3:$3,0),FALSE)</f>
        <v>67585</v>
      </c>
      <c r="AB116" s="77">
        <f>VLOOKUP(A116,JanApport,MATCH($AB$4,'Jan 2022 Apport'!$3:$3,0),FALSE)*VLOOKUP(A116,JanApport,MATCH($AB$3,'Jan 2022 Apport'!$3:$3,0),FALSE)</f>
        <v>68937</v>
      </c>
      <c r="AC116" s="77">
        <f>VLOOKUP(A116,JanApport,MATCH($AC$4,'Jan 2022 Apport'!$3:$3,0),FALSE)</f>
        <v>100321</v>
      </c>
      <c r="AD116" s="77">
        <f>VLOOKUP(A116,JanApport,MATCH($AD$4,'Jan 2022 Apport'!$3:$3,0),FALSE)*VLOOKUP(A116,JanApport,MATCH($AD$3,'Jan 2022 Apport'!$3:$3,0),FALSE)</f>
        <v>102327</v>
      </c>
      <c r="AE116" s="77">
        <f>VLOOKUP(A116,JanApport,MATCH($AE$4,'Jan 2022 Apport'!$3:$3,0),FALSE)</f>
        <v>48483</v>
      </c>
      <c r="AF116" s="77">
        <f>VLOOKUP(A116,JanApport,MATCH($AF$4,'Jan 2022 Apport'!$3:$3,0),FALSE)*VLOOKUP(A116,JanApport,MATCH($AF$3,'Jan 2022 Apport'!$3:$3,0),FALSE)</f>
        <v>49453</v>
      </c>
      <c r="AG116" s="77">
        <f t="shared" si="15"/>
        <v>96432.259900000005</v>
      </c>
      <c r="AH116" s="77">
        <f t="shared" si="16"/>
        <v>137400.94330000001</v>
      </c>
      <c r="AI116" s="77">
        <f t="shared" si="17"/>
        <v>77281.189732599989</v>
      </c>
      <c r="AJ116" s="3">
        <f>VLOOKUP(A116,JanApport,MATCH($AJ$4,'Jan 2022 Apport'!$3:$3,0),FALSE)</f>
        <v>181154.1</v>
      </c>
      <c r="AK116" s="3">
        <f>VLOOKUP(A116,JanApport,MATCH($AK$4,'Jan 2022 Apport'!$3:$3,0),FALSE)</f>
        <v>0.88300000000000001</v>
      </c>
      <c r="AL116" s="117">
        <f t="shared" si="18"/>
        <v>1987188.65</v>
      </c>
      <c r="AM116" s="117">
        <f>VLOOKUP(A116,JanApport,MATCH($AM$4,'Jan 2022 Apport'!$3:$3,0),FALSE)</f>
        <v>0</v>
      </c>
      <c r="AN116" s="117">
        <f>VLOOKUP(A116,JanApport,MATCH($AN$4,'Jan 2022 Apport'!$3:$3,0),FALSE)</f>
        <v>17570.580000000002</v>
      </c>
    </row>
    <row r="117" spans="1:40">
      <c r="A117" s="2" t="s">
        <v>83</v>
      </c>
      <c r="B117" s="2" t="s">
        <v>84</v>
      </c>
      <c r="C117" s="2" t="s">
        <v>1267</v>
      </c>
      <c r="D117" s="118">
        <f>VLOOKUP(A117,JanApport,MATCH($D$4,'Jan 2022 Apport'!$3:$3,FALSE),FALSE)</f>
        <v>9206422.1099999994</v>
      </c>
      <c r="E117" s="30">
        <f>VLOOKUP(A117,JanApport,MATCH($E$2,'Jan 2022 Apport'!$3:$3,0),FALSE)+VLOOKUP(A117,JanApport,MATCH($E$3,'Jan 2022 Apport'!$3:$3,0),FALSE)+VLOOKUP(A117,JanApport,MATCH($E$4,'Jan 2022 Apport'!$3:$3,0),FALSE)</f>
        <v>488491.43</v>
      </c>
      <c r="F117" s="118">
        <f t="shared" si="19"/>
        <v>8717930.6799999997</v>
      </c>
      <c r="G117" s="117">
        <f>VLOOKUP(A117,JanApport,MATCH($G$4,'Jan 2022 Apport'!$3:$3,0),FALSE)</f>
        <v>148165.25</v>
      </c>
      <c r="H117" s="117">
        <f>VLOOKUP(A117,JanApport,MATCH($H$3,'Jan 2022 Apport'!$3:$3,0),FALSE)+VLOOKUP(A117,JanApport,MATCH($H$2,'Jan 2022 Apport'!$3:$3,0),FALSE)+VLOOKUP(A117,JanApport,MATCH($H$4,'Jan 2022 Apport'!$3:$3,0),FALSE)</f>
        <v>1399647.4800000002</v>
      </c>
      <c r="I117" s="117">
        <f t="shared" si="20"/>
        <v>1547812.7300000002</v>
      </c>
      <c r="J117" s="117">
        <f>VLOOKUP(A117,JanApport,MATCH($J$4,'Jan 2022 Apport'!$3:$3,0),FALSE)</f>
        <v>0</v>
      </c>
      <c r="K117" s="117">
        <f>VLOOKUP(A117,JanApport,MATCH($K$4,'Jan 2022 Apport'!$3:$3,0),FALSE)</f>
        <v>0</v>
      </c>
      <c r="L117" s="117">
        <f t="shared" si="21"/>
        <v>0</v>
      </c>
      <c r="M117" s="117">
        <f>VLOOKUP(A117,JanApport,MATCH($M$4,'Jan 2022 Apport'!$3:$3,0),FALSE)</f>
        <v>201833.15</v>
      </c>
      <c r="N117" s="117">
        <f>VLOOKUP(A117,JanApport,MATCH($N$4,'Jan 2022 Apport'!$3:$3,0),FALSE)</f>
        <v>0</v>
      </c>
      <c r="O117" s="117">
        <f>VLOOKUP(A117,JanApport,MATCH($O$4,'Jan 2022 Apport'!$3:$3,0),FALSE)</f>
        <v>0</v>
      </c>
      <c r="P117" s="121">
        <f>IFERROR((VLOOKUP(A117,ExcessLevy!A:G,3,FALSE)*0.28),0)+IFERROR((VLOOKUP(A117,ExcessLevy!A:G,6,FALSE)*0.72),0)</f>
        <v>0</v>
      </c>
      <c r="Q117" s="121">
        <f>IFERROR((VLOOKUP(A117,ExcessLevy!A:G,4,FALSE)*0.4738),0)+IFERROR((VLOOKUP(A117,ExcessLevy!A:G,7,FALSE)*0.5262),0)</f>
        <v>2415279.2768000001</v>
      </c>
      <c r="R117">
        <f>VLOOKUP(A117,JanApport,MATCH($R$4,'Jan 2022 Apport'!$3:$3,0),FALSE)</f>
        <v>0</v>
      </c>
      <c r="S117">
        <f>VLOOKUP(A117,JanApport,MATCH($S$4,'Jan 2022 Apport'!$3:$3,0),FALSE)</f>
        <v>17.07</v>
      </c>
      <c r="T117">
        <f>VLOOKUP(A117,JanApport,MATCH($T$4,'Jan 2022 Apport'!$3:$3,0),FALSE)</f>
        <v>37.68</v>
      </c>
      <c r="U117" s="132">
        <f>IFERROR(VLOOKUP(A117,JanApport,MATCH($U$4,'Jan 2022 Apport'!$3:$3,0),FALSE)/R117,0)</f>
        <v>0</v>
      </c>
      <c r="V117" s="30">
        <f>IFERROR(((VLOOKUP(A117,JanApport,MATCH($V$4,'Jan 2022 Apport'!$3:$3,0),FALSE)+VLOOKUP(A117,JanApport,MATCH($V$3,'Jan 2022 Apport'!$3:$3,0),FALSE))/(S117+T117)),0)</f>
        <v>8922.2178995433787</v>
      </c>
      <c r="W117" s="30">
        <f t="shared" si="14"/>
        <v>8083.6246967786601</v>
      </c>
      <c r="X117">
        <f>VLOOKUP(A117,JanApport,MATCH($X$4,'Jan 2022 Apport'!$3:$3,0),FALSE)</f>
        <v>4.8578999999999997E-2</v>
      </c>
      <c r="Y117">
        <f>VLOOKUP(A117,JanApport,MATCH($Y$4,'Jan 2022 Apport'!$3:$3,0),FALSE)</f>
        <v>4.0270000000000002E-3</v>
      </c>
      <c r="Z117">
        <f>VLOOKUP(A117,JanApport,MATCH($Z$4,'Jan 2022 Apport'!$3:$3,0),FALSE)</f>
        <v>1.7100000000000001E-2</v>
      </c>
      <c r="AA117" s="77">
        <f>VLOOKUP(A117,JanApport,MATCH($AA$4,'Jan 2022 Apport'!$3:$3,0),FALSE)*VLOOKUP(A117,JanApport,MATCH($AA$3,'Jan 2022 Apport'!$3:$3,0),FALSE)</f>
        <v>67585</v>
      </c>
      <c r="AB117" s="77">
        <f>VLOOKUP(A117,JanApport,MATCH($AB$4,'Jan 2022 Apport'!$3:$3,0),FALSE)*VLOOKUP(A117,JanApport,MATCH($AB$3,'Jan 2022 Apport'!$3:$3,0),FALSE)</f>
        <v>68937</v>
      </c>
      <c r="AC117" s="77">
        <f>VLOOKUP(A117,JanApport,MATCH($AC$4,'Jan 2022 Apport'!$3:$3,0),FALSE)</f>
        <v>100321</v>
      </c>
      <c r="AD117" s="77">
        <f>VLOOKUP(A117,JanApport,MATCH($AD$4,'Jan 2022 Apport'!$3:$3,0),FALSE)*VLOOKUP(A117,JanApport,MATCH($AD$3,'Jan 2022 Apport'!$3:$3,0),FALSE)</f>
        <v>102327</v>
      </c>
      <c r="AE117" s="77">
        <f>VLOOKUP(A117,JanApport,MATCH($AE$4,'Jan 2022 Apport'!$3:$3,0),FALSE)</f>
        <v>48483</v>
      </c>
      <c r="AF117" s="77">
        <f>VLOOKUP(A117,JanApport,MATCH($AF$4,'Jan 2022 Apport'!$3:$3,0),FALSE)*VLOOKUP(A117,JanApport,MATCH($AF$3,'Jan 2022 Apport'!$3:$3,0),FALSE)</f>
        <v>49453</v>
      </c>
      <c r="AG117" s="77">
        <f t="shared" si="15"/>
        <v>96432.259900000005</v>
      </c>
      <c r="AH117" s="77">
        <f t="shared" si="16"/>
        <v>137400.94330000001</v>
      </c>
      <c r="AI117" s="77">
        <f t="shared" si="17"/>
        <v>77281.189732599989</v>
      </c>
      <c r="AJ117" s="3">
        <f>VLOOKUP(A117,JanApport,MATCH($AJ$4,'Jan 2022 Apport'!$3:$3,0),FALSE)</f>
        <v>1266643.76</v>
      </c>
      <c r="AK117" s="3">
        <f>VLOOKUP(A117,JanApport,MATCH($AK$4,'Jan 2022 Apport'!$3:$3,0),FALSE)</f>
        <v>22.1</v>
      </c>
      <c r="AL117" s="117">
        <f t="shared" si="18"/>
        <v>9408255.2599999998</v>
      </c>
      <c r="AM117" s="117">
        <f>VLOOKUP(A117,JanApport,MATCH($AM$4,'Jan 2022 Apport'!$3:$3,0),FALSE)</f>
        <v>0</v>
      </c>
      <c r="AN117" s="117">
        <f>VLOOKUP(A117,JanApport,MATCH($AN$4,'Jan 2022 Apport'!$3:$3,0),FALSE)</f>
        <v>71530.09</v>
      </c>
    </row>
    <row r="118" spans="1:40">
      <c r="A118" s="2" t="s">
        <v>101</v>
      </c>
      <c r="B118" s="2" t="s">
        <v>102</v>
      </c>
      <c r="C118" s="2" t="s">
        <v>1267</v>
      </c>
      <c r="D118" s="118">
        <f>VLOOKUP(A118,JanApport,MATCH($D$4,'Jan 2022 Apport'!$3:$3,FALSE),FALSE)</f>
        <v>406102.22</v>
      </c>
      <c r="E118" s="30">
        <f>VLOOKUP(A118,JanApport,MATCH($E$2,'Jan 2022 Apport'!$3:$3,0),FALSE)+VLOOKUP(A118,JanApport,MATCH($E$3,'Jan 2022 Apport'!$3:$3,0),FALSE)+VLOOKUP(A118,JanApport,MATCH($E$4,'Jan 2022 Apport'!$3:$3,0),FALSE)</f>
        <v>0</v>
      </c>
      <c r="F118" s="118">
        <f t="shared" si="19"/>
        <v>406102.22</v>
      </c>
      <c r="G118" s="117">
        <f>VLOOKUP(A118,JanApport,MATCH($G$4,'Jan 2022 Apport'!$3:$3,0),FALSE)</f>
        <v>0</v>
      </c>
      <c r="H118" s="117">
        <f>VLOOKUP(A118,JanApport,MATCH($H$3,'Jan 2022 Apport'!$3:$3,0),FALSE)+VLOOKUP(A118,JanApport,MATCH($H$2,'Jan 2022 Apport'!$3:$3,0),FALSE)+VLOOKUP(A118,JanApport,MATCH($H$4,'Jan 2022 Apport'!$3:$3,0),FALSE)</f>
        <v>27963.85</v>
      </c>
      <c r="I118" s="117">
        <f t="shared" si="20"/>
        <v>27963.85</v>
      </c>
      <c r="J118" s="117">
        <f>VLOOKUP(A118,JanApport,MATCH($J$4,'Jan 2022 Apport'!$3:$3,0),FALSE)</f>
        <v>92230.62</v>
      </c>
      <c r="K118" s="117">
        <f>VLOOKUP(A118,JanApport,MATCH($K$4,'Jan 2022 Apport'!$3:$3,0),FALSE)</f>
        <v>42464.93</v>
      </c>
      <c r="L118" s="117">
        <f t="shared" si="21"/>
        <v>134695.54999999999</v>
      </c>
      <c r="M118" s="117">
        <f>VLOOKUP(A118,JanApport,MATCH($M$4,'Jan 2022 Apport'!$3:$3,0),FALSE)</f>
        <v>19958.3</v>
      </c>
      <c r="N118" s="117">
        <f>VLOOKUP(A118,JanApport,MATCH($N$4,'Jan 2022 Apport'!$3:$3,0),FALSE)</f>
        <v>0</v>
      </c>
      <c r="O118" s="117">
        <f>VLOOKUP(A118,JanApport,MATCH($O$4,'Jan 2022 Apport'!$3:$3,0),FALSE)</f>
        <v>0</v>
      </c>
      <c r="P118" s="121">
        <f>IFERROR((VLOOKUP(A118,ExcessLevy!A:G,3,FALSE)*0.28),0)+IFERROR((VLOOKUP(A118,ExcessLevy!A:G,6,FALSE)*0.72),0)</f>
        <v>48502.855599999995</v>
      </c>
      <c r="Q118" s="121">
        <f>IFERROR((VLOOKUP(A118,ExcessLevy!A:G,4,FALSE)*0.4738),0)+IFERROR((VLOOKUP(A118,ExcessLevy!A:G,7,FALSE)*0.5262),0)</f>
        <v>18325</v>
      </c>
      <c r="R118">
        <f>VLOOKUP(A118,JanApport,MATCH($R$4,'Jan 2022 Apport'!$3:$3,0),FALSE)</f>
        <v>0</v>
      </c>
      <c r="S118">
        <f>VLOOKUP(A118,JanApport,MATCH($S$4,'Jan 2022 Apport'!$3:$3,0),FALSE)</f>
        <v>0</v>
      </c>
      <c r="T118">
        <f>VLOOKUP(A118,JanApport,MATCH($T$4,'Jan 2022 Apport'!$3:$3,0),FALSE)</f>
        <v>0</v>
      </c>
      <c r="U118" s="132">
        <f>IFERROR(VLOOKUP(A118,JanApport,MATCH($U$4,'Jan 2022 Apport'!$3:$3,0),FALSE)/R118,0)</f>
        <v>0</v>
      </c>
      <c r="V118" s="30">
        <f>IFERROR(((VLOOKUP(A118,JanApport,MATCH($V$4,'Jan 2022 Apport'!$3:$3,0),FALSE)+VLOOKUP(A118,JanApport,MATCH($V$3,'Jan 2022 Apport'!$3:$3,0),FALSE))/(S118+T118)),0)</f>
        <v>0</v>
      </c>
      <c r="W118" s="30">
        <f t="shared" si="14"/>
        <v>8083.6246967786601</v>
      </c>
      <c r="X118">
        <f>VLOOKUP(A118,JanApport,MATCH($X$4,'Jan 2022 Apport'!$3:$3,0),FALSE)</f>
        <v>4.8578999999999997E-2</v>
      </c>
      <c r="Y118">
        <f>VLOOKUP(A118,JanApport,MATCH($Y$4,'Jan 2022 Apport'!$3:$3,0),FALSE)</f>
        <v>4.0270000000000002E-3</v>
      </c>
      <c r="Z118">
        <f>VLOOKUP(A118,JanApport,MATCH($Z$4,'Jan 2022 Apport'!$3:$3,0),FALSE)</f>
        <v>1.7100000000000001E-2</v>
      </c>
      <c r="AA118" s="77">
        <f>VLOOKUP(A118,JanApport,MATCH($AA$4,'Jan 2022 Apport'!$3:$3,0),FALSE)*VLOOKUP(A118,JanApport,MATCH($AA$3,'Jan 2022 Apport'!$3:$3,0),FALSE)</f>
        <v>67585</v>
      </c>
      <c r="AB118" s="77">
        <f>VLOOKUP(A118,JanApport,MATCH($AB$4,'Jan 2022 Apport'!$3:$3,0),FALSE)*VLOOKUP(A118,JanApport,MATCH($AB$3,'Jan 2022 Apport'!$3:$3,0),FALSE)</f>
        <v>68937</v>
      </c>
      <c r="AC118" s="77">
        <f>VLOOKUP(A118,JanApport,MATCH($AC$4,'Jan 2022 Apport'!$3:$3,0),FALSE)</f>
        <v>100321</v>
      </c>
      <c r="AD118" s="77">
        <f>VLOOKUP(A118,JanApport,MATCH($AD$4,'Jan 2022 Apport'!$3:$3,0),FALSE)*VLOOKUP(A118,JanApport,MATCH($AD$3,'Jan 2022 Apport'!$3:$3,0),FALSE)</f>
        <v>102327</v>
      </c>
      <c r="AE118" s="77">
        <f>VLOOKUP(A118,JanApport,MATCH($AE$4,'Jan 2022 Apport'!$3:$3,0),FALSE)</f>
        <v>48483</v>
      </c>
      <c r="AF118" s="77">
        <f>VLOOKUP(A118,JanApport,MATCH($AF$4,'Jan 2022 Apport'!$3:$3,0),FALSE)*VLOOKUP(A118,JanApport,MATCH($AF$3,'Jan 2022 Apport'!$3:$3,0),FALSE)</f>
        <v>49453</v>
      </c>
      <c r="AG118" s="77">
        <f t="shared" si="15"/>
        <v>96432.259900000005</v>
      </c>
      <c r="AH118" s="77">
        <f t="shared" si="16"/>
        <v>137400.94330000001</v>
      </c>
      <c r="AI118" s="77">
        <f t="shared" si="17"/>
        <v>77281.189732599989</v>
      </c>
      <c r="AJ118" s="3">
        <f>VLOOKUP(A118,JanApport,MATCH($AJ$4,'Jan 2022 Apport'!$3:$3,0),FALSE)</f>
        <v>60404.89</v>
      </c>
      <c r="AK118" s="3">
        <f>VLOOKUP(A118,JanApport,MATCH($AK$4,'Jan 2022 Apport'!$3:$3,0),FALSE)</f>
        <v>1.016</v>
      </c>
      <c r="AL118" s="117">
        <f t="shared" si="18"/>
        <v>556625.48</v>
      </c>
      <c r="AM118" s="117">
        <f>VLOOKUP(A118,JanApport,MATCH($AM$4,'Jan 2022 Apport'!$3:$3,0),FALSE)</f>
        <v>10370.49</v>
      </c>
      <c r="AN118" s="117">
        <f>VLOOKUP(A118,JanApport,MATCH($AN$4,'Jan 2022 Apport'!$3:$3,0),FALSE)</f>
        <v>3367.46</v>
      </c>
    </row>
    <row r="119" spans="1:40">
      <c r="A119" s="2" t="s">
        <v>87</v>
      </c>
      <c r="B119" s="2" t="s">
        <v>88</v>
      </c>
      <c r="C119" s="2" t="s">
        <v>1267</v>
      </c>
      <c r="D119" s="118">
        <f>VLOOKUP(A119,JanApport,MATCH($D$4,'Jan 2022 Apport'!$3:$3,FALSE),FALSE)</f>
        <v>42016391.5</v>
      </c>
      <c r="E119" s="30">
        <f>VLOOKUP(A119,JanApport,MATCH($E$2,'Jan 2022 Apport'!$3:$3,0),FALSE)+VLOOKUP(A119,JanApport,MATCH($E$3,'Jan 2022 Apport'!$3:$3,0),FALSE)+VLOOKUP(A119,JanApport,MATCH($E$4,'Jan 2022 Apport'!$3:$3,0),FALSE)</f>
        <v>3758807.9799999995</v>
      </c>
      <c r="F119" s="118">
        <f t="shared" si="19"/>
        <v>38257583.520000003</v>
      </c>
      <c r="G119" s="117">
        <f>VLOOKUP(A119,JanApport,MATCH($G$4,'Jan 2022 Apport'!$3:$3,0),FALSE)</f>
        <v>404710.64</v>
      </c>
      <c r="H119" s="117">
        <f>VLOOKUP(A119,JanApport,MATCH($H$3,'Jan 2022 Apport'!$3:$3,0),FALSE)+VLOOKUP(A119,JanApport,MATCH($H$2,'Jan 2022 Apport'!$3:$3,0),FALSE)+VLOOKUP(A119,JanApport,MATCH($H$4,'Jan 2022 Apport'!$3:$3,0),FALSE)</f>
        <v>5568327.75</v>
      </c>
      <c r="I119" s="117">
        <f t="shared" si="20"/>
        <v>5973038.3899999997</v>
      </c>
      <c r="J119" s="117">
        <f>VLOOKUP(A119,JanApport,MATCH($J$4,'Jan 2022 Apport'!$3:$3,0),FALSE)</f>
        <v>2337131.98</v>
      </c>
      <c r="K119" s="117">
        <f>VLOOKUP(A119,JanApport,MATCH($K$4,'Jan 2022 Apport'!$3:$3,0),FALSE)</f>
        <v>246435.32</v>
      </c>
      <c r="L119" s="117">
        <f t="shared" si="21"/>
        <v>2583567.2999999998</v>
      </c>
      <c r="M119" s="117">
        <f>VLOOKUP(A119,JanApport,MATCH($M$4,'Jan 2022 Apport'!$3:$3,0),FALSE)</f>
        <v>1790670.03</v>
      </c>
      <c r="N119" s="117">
        <f>VLOOKUP(A119,JanApport,MATCH($N$4,'Jan 2022 Apport'!$3:$3,0),FALSE)</f>
        <v>457084.09</v>
      </c>
      <c r="O119" s="117">
        <f>VLOOKUP(A119,JanApport,MATCH($O$4,'Jan 2022 Apport'!$3:$3,0),FALSE)</f>
        <v>134816.32999999999</v>
      </c>
      <c r="P119" s="121">
        <f>IFERROR((VLOOKUP(A119,ExcessLevy!A:G,3,FALSE)*0.28),0)+IFERROR((VLOOKUP(A119,ExcessLevy!A:G,6,FALSE)*0.72),0)</f>
        <v>3206622.6300000004</v>
      </c>
      <c r="Q119" s="121">
        <f>IFERROR((VLOOKUP(A119,ExcessLevy!A:G,4,FALSE)*0.4738),0)+IFERROR((VLOOKUP(A119,ExcessLevy!A:G,7,FALSE)*0.5262),0)</f>
        <v>6263100</v>
      </c>
      <c r="R119">
        <f>VLOOKUP(A119,JanApport,MATCH($R$4,'Jan 2022 Apport'!$3:$3,0),FALSE)</f>
        <v>0</v>
      </c>
      <c r="S119">
        <f>VLOOKUP(A119,JanApport,MATCH($S$4,'Jan 2022 Apport'!$3:$3,0),FALSE)</f>
        <v>63.76</v>
      </c>
      <c r="T119">
        <f>VLOOKUP(A119,JanApport,MATCH($T$4,'Jan 2022 Apport'!$3:$3,0),FALSE)</f>
        <v>357.56</v>
      </c>
      <c r="U119" s="132">
        <f>IFERROR(VLOOKUP(A119,JanApport,MATCH($U$4,'Jan 2022 Apport'!$3:$3,0),FALSE)/R119,0)</f>
        <v>0</v>
      </c>
      <c r="V119" s="30">
        <f>IFERROR(((VLOOKUP(A119,JanApport,MATCH($V$4,'Jan 2022 Apport'!$3:$3,0),FALSE)+VLOOKUP(A119,JanApport,MATCH($V$3,'Jan 2022 Apport'!$3:$3,0),FALSE))/(S119+T119)),0)</f>
        <v>8921.5037975885298</v>
      </c>
      <c r="W119" s="30">
        <f t="shared" si="14"/>
        <v>8083.6246967786601</v>
      </c>
      <c r="X119">
        <f>VLOOKUP(A119,JanApport,MATCH($X$4,'Jan 2022 Apport'!$3:$3,0),FALSE)</f>
        <v>4.8578999999999997E-2</v>
      </c>
      <c r="Y119">
        <f>VLOOKUP(A119,JanApport,MATCH($Y$4,'Jan 2022 Apport'!$3:$3,0),FALSE)</f>
        <v>4.0270000000000002E-3</v>
      </c>
      <c r="Z119">
        <f>VLOOKUP(A119,JanApport,MATCH($Z$4,'Jan 2022 Apport'!$3:$3,0),FALSE)</f>
        <v>1.7100000000000001E-2</v>
      </c>
      <c r="AA119" s="77">
        <f>VLOOKUP(A119,JanApport,MATCH($AA$4,'Jan 2022 Apport'!$3:$3,0),FALSE)*VLOOKUP(A119,JanApport,MATCH($AA$3,'Jan 2022 Apport'!$3:$3,0),FALSE)</f>
        <v>67585</v>
      </c>
      <c r="AB119" s="77">
        <f>VLOOKUP(A119,JanApport,MATCH($AB$4,'Jan 2022 Apport'!$3:$3,0),FALSE)*VLOOKUP(A119,JanApport,MATCH($AB$3,'Jan 2022 Apport'!$3:$3,0),FALSE)</f>
        <v>68937</v>
      </c>
      <c r="AC119" s="77">
        <f>VLOOKUP(A119,JanApport,MATCH($AC$4,'Jan 2022 Apport'!$3:$3,0),FALSE)</f>
        <v>100321</v>
      </c>
      <c r="AD119" s="77">
        <f>VLOOKUP(A119,JanApport,MATCH($AD$4,'Jan 2022 Apport'!$3:$3,0),FALSE)*VLOOKUP(A119,JanApport,MATCH($AD$3,'Jan 2022 Apport'!$3:$3,0),FALSE)</f>
        <v>102327</v>
      </c>
      <c r="AE119" s="77">
        <f>VLOOKUP(A119,JanApport,MATCH($AE$4,'Jan 2022 Apport'!$3:$3,0),FALSE)</f>
        <v>48483</v>
      </c>
      <c r="AF119" s="77">
        <f>VLOOKUP(A119,JanApport,MATCH($AF$4,'Jan 2022 Apport'!$3:$3,0),FALSE)*VLOOKUP(A119,JanApport,MATCH($AF$3,'Jan 2022 Apport'!$3:$3,0),FALSE)</f>
        <v>49453</v>
      </c>
      <c r="AG119" s="77">
        <f t="shared" si="15"/>
        <v>96432.259900000005</v>
      </c>
      <c r="AH119" s="77">
        <f t="shared" si="16"/>
        <v>137400.94330000001</v>
      </c>
      <c r="AI119" s="77">
        <f t="shared" si="17"/>
        <v>77281.189732599989</v>
      </c>
      <c r="AJ119" s="3">
        <f>VLOOKUP(A119,JanApport,MATCH($AJ$4,'Jan 2022 Apport'!$3:$3,0),FALSE)</f>
        <v>5642405.9299999997</v>
      </c>
      <c r="AK119" s="3">
        <f>VLOOKUP(A119,JanApport,MATCH($AK$4,'Jan 2022 Apport'!$3:$3,0),FALSE)</f>
        <v>92.442999999999998</v>
      </c>
      <c r="AL119" s="117">
        <f t="shared" si="18"/>
        <v>54008378.240000002</v>
      </c>
      <c r="AM119" s="117">
        <f>VLOOKUP(A119,JanApport,MATCH($AM$4,'Jan 2022 Apport'!$3:$3,0),FALSE)</f>
        <v>1299245.92</v>
      </c>
      <c r="AN119" s="117">
        <f>VLOOKUP(A119,JanApport,MATCH($AN$4,'Jan 2022 Apport'!$3:$3,0),FALSE)</f>
        <v>312353.15999999997</v>
      </c>
    </row>
    <row r="120" spans="1:40">
      <c r="A120" s="2" t="s">
        <v>17</v>
      </c>
      <c r="B120" s="2" t="s">
        <v>18</v>
      </c>
      <c r="C120" s="2" t="s">
        <v>1267</v>
      </c>
      <c r="D120" s="118">
        <f>VLOOKUP(A120,JanApport,MATCH($D$4,'Jan 2022 Apport'!$3:$3,FALSE),FALSE)</f>
        <v>160988359.24000001</v>
      </c>
      <c r="E120" s="30">
        <f>VLOOKUP(A120,JanApport,MATCH($E$2,'Jan 2022 Apport'!$3:$3,0),FALSE)+VLOOKUP(A120,JanApport,MATCH($E$3,'Jan 2022 Apport'!$3:$3,0),FALSE)+VLOOKUP(A120,JanApport,MATCH($E$4,'Jan 2022 Apport'!$3:$3,0),FALSE)</f>
        <v>14442850.790000001</v>
      </c>
      <c r="F120" s="118">
        <f t="shared" si="19"/>
        <v>146545508.45000002</v>
      </c>
      <c r="G120" s="117">
        <f>VLOOKUP(A120,JanApport,MATCH($G$4,'Jan 2022 Apport'!$3:$3,0),FALSE)</f>
        <v>1667302.48</v>
      </c>
      <c r="H120" s="117">
        <f>VLOOKUP(A120,JanApport,MATCH($H$3,'Jan 2022 Apport'!$3:$3,0),FALSE)+VLOOKUP(A120,JanApport,MATCH($H$2,'Jan 2022 Apport'!$3:$3,0),FALSE)+VLOOKUP(A120,JanApport,MATCH($H$4,'Jan 2022 Apport'!$3:$3,0),FALSE)</f>
        <v>18715932.59</v>
      </c>
      <c r="I120" s="117">
        <f t="shared" si="20"/>
        <v>20383235.07</v>
      </c>
      <c r="J120" s="117">
        <f>VLOOKUP(A120,JanApport,MATCH($J$4,'Jan 2022 Apport'!$3:$3,0),FALSE)</f>
        <v>8171333.0899999999</v>
      </c>
      <c r="K120" s="117">
        <f>VLOOKUP(A120,JanApport,MATCH($K$4,'Jan 2022 Apport'!$3:$3,0),FALSE)</f>
        <v>929829.64</v>
      </c>
      <c r="L120" s="117">
        <f t="shared" si="21"/>
        <v>9101162.7300000004</v>
      </c>
      <c r="M120" s="117">
        <f>VLOOKUP(A120,JanApport,MATCH($M$4,'Jan 2022 Apport'!$3:$3,0),FALSE)</f>
        <v>6697964.9100000001</v>
      </c>
      <c r="N120" s="117">
        <f>VLOOKUP(A120,JanApport,MATCH($N$4,'Jan 2022 Apport'!$3:$3,0),FALSE)</f>
        <v>4074231.7</v>
      </c>
      <c r="O120" s="117">
        <f>VLOOKUP(A120,JanApport,MATCH($O$4,'Jan 2022 Apport'!$3:$3,0),FALSE)</f>
        <v>516078.49</v>
      </c>
      <c r="P120" s="121">
        <f>IFERROR((VLOOKUP(A120,ExcessLevy!A:G,3,FALSE)*0.28),0)+IFERROR((VLOOKUP(A120,ExcessLevy!A:G,6,FALSE)*0.72),0)</f>
        <v>14735211.0296</v>
      </c>
      <c r="Q120" s="121">
        <f>IFERROR((VLOOKUP(A120,ExcessLevy!A:G,4,FALSE)*0.4738),0)+IFERROR((VLOOKUP(A120,ExcessLevy!A:G,7,FALSE)*0.5262),0)</f>
        <v>17368230</v>
      </c>
      <c r="R120">
        <f>VLOOKUP(A120,JanApport,MATCH($R$4,'Jan 2022 Apport'!$3:$3,0),FALSE)</f>
        <v>437.59</v>
      </c>
      <c r="S120">
        <f>VLOOKUP(A120,JanApport,MATCH($S$4,'Jan 2022 Apport'!$3:$3,0),FALSE)</f>
        <v>161.62</v>
      </c>
      <c r="T120">
        <f>VLOOKUP(A120,JanApport,MATCH($T$4,'Jan 2022 Apport'!$3:$3,0),FALSE)</f>
        <v>961.01</v>
      </c>
      <c r="U120" s="132">
        <f>IFERROR(VLOOKUP(A120,JanApport,MATCH($U$4,'Jan 2022 Apport'!$3:$3,0),FALSE)/R120,0)</f>
        <v>10118.158161749583</v>
      </c>
      <c r="V120" s="30">
        <f>IFERROR(((VLOOKUP(A120,JanApport,MATCH($V$4,'Jan 2022 Apport'!$3:$3,0),FALSE)+VLOOKUP(A120,JanApport,MATCH($V$3,'Jan 2022 Apport'!$3:$3,0),FALSE))/(S120+T120)),0)</f>
        <v>8921.2349215681043</v>
      </c>
      <c r="W120" s="30">
        <f t="shared" si="14"/>
        <v>8083.6246967786601</v>
      </c>
      <c r="X120">
        <f>VLOOKUP(A120,JanApport,MATCH($X$4,'Jan 2022 Apport'!$3:$3,0),FALSE)</f>
        <v>4.8578999999999997E-2</v>
      </c>
      <c r="Y120">
        <f>VLOOKUP(A120,JanApport,MATCH($Y$4,'Jan 2022 Apport'!$3:$3,0),FALSE)</f>
        <v>4.0270000000000002E-3</v>
      </c>
      <c r="Z120">
        <f>VLOOKUP(A120,JanApport,MATCH($Z$4,'Jan 2022 Apport'!$3:$3,0),FALSE)</f>
        <v>1.7100000000000001E-2</v>
      </c>
      <c r="AA120" s="77">
        <f>VLOOKUP(A120,JanApport,MATCH($AA$4,'Jan 2022 Apport'!$3:$3,0),FALSE)*VLOOKUP(A120,JanApport,MATCH($AA$3,'Jan 2022 Apport'!$3:$3,0),FALSE)</f>
        <v>67585</v>
      </c>
      <c r="AB120" s="77">
        <f>VLOOKUP(A120,JanApport,MATCH($AB$4,'Jan 2022 Apport'!$3:$3,0),FALSE)*VLOOKUP(A120,JanApport,MATCH($AB$3,'Jan 2022 Apport'!$3:$3,0),FALSE)</f>
        <v>68937</v>
      </c>
      <c r="AC120" s="77">
        <f>VLOOKUP(A120,JanApport,MATCH($AC$4,'Jan 2022 Apport'!$3:$3,0),FALSE)</f>
        <v>100321</v>
      </c>
      <c r="AD120" s="77">
        <f>VLOOKUP(A120,JanApport,MATCH($AD$4,'Jan 2022 Apport'!$3:$3,0),FALSE)*VLOOKUP(A120,JanApport,MATCH($AD$3,'Jan 2022 Apport'!$3:$3,0),FALSE)</f>
        <v>102327</v>
      </c>
      <c r="AE120" s="77">
        <f>VLOOKUP(A120,JanApport,MATCH($AE$4,'Jan 2022 Apport'!$3:$3,0),FALSE)</f>
        <v>48483</v>
      </c>
      <c r="AF120" s="77">
        <f>VLOOKUP(A120,JanApport,MATCH($AF$4,'Jan 2022 Apport'!$3:$3,0),FALSE)*VLOOKUP(A120,JanApport,MATCH($AF$3,'Jan 2022 Apport'!$3:$3,0),FALSE)</f>
        <v>49453</v>
      </c>
      <c r="AG120" s="77">
        <f t="shared" si="15"/>
        <v>96432.259900000005</v>
      </c>
      <c r="AH120" s="77">
        <f t="shared" si="16"/>
        <v>137400.94330000001</v>
      </c>
      <c r="AI120" s="77">
        <f t="shared" si="17"/>
        <v>77281.189732599989</v>
      </c>
      <c r="AJ120" s="3">
        <f>VLOOKUP(A120,JanApport,MATCH($AJ$4,'Jan 2022 Apport'!$3:$3,0),FALSE)</f>
        <v>21977403.57</v>
      </c>
      <c r="AK120" s="3">
        <f>VLOOKUP(A120,JanApport,MATCH($AK$4,'Jan 2022 Apport'!$3:$3,0),FALSE)</f>
        <v>349.83699999999999</v>
      </c>
      <c r="AL120" s="117">
        <f t="shared" si="18"/>
        <v>204463514.50999999</v>
      </c>
      <c r="AM120" s="117">
        <f>VLOOKUP(A120,JanApport,MATCH($AM$4,'Jan 2022 Apport'!$3:$3,0),FALSE)</f>
        <v>3632312.01</v>
      </c>
      <c r="AN120" s="117">
        <f>VLOOKUP(A120,JanApport,MATCH($AN$4,'Jan 2022 Apport'!$3:$3,0),FALSE)</f>
        <v>1210371.96</v>
      </c>
    </row>
    <row r="121" spans="1:40">
      <c r="A121" s="2" t="s">
        <v>217</v>
      </c>
      <c r="B121" s="2" t="s">
        <v>218</v>
      </c>
      <c r="C121" s="2" t="s">
        <v>1267</v>
      </c>
      <c r="D121" s="118">
        <f>VLOOKUP(A121,JanApport,MATCH($D$4,'Jan 2022 Apport'!$3:$3,FALSE),FALSE)</f>
        <v>243123892.66999999</v>
      </c>
      <c r="E121" s="30">
        <f>VLOOKUP(A121,JanApport,MATCH($E$2,'Jan 2022 Apport'!$3:$3,0),FALSE)+VLOOKUP(A121,JanApport,MATCH($E$3,'Jan 2022 Apport'!$3:$3,0),FALSE)+VLOOKUP(A121,JanApport,MATCH($E$4,'Jan 2022 Apport'!$3:$3,0),FALSE)</f>
        <v>16384559.99</v>
      </c>
      <c r="F121" s="118">
        <f t="shared" si="19"/>
        <v>226739332.67999998</v>
      </c>
      <c r="G121" s="117">
        <f>VLOOKUP(A121,JanApport,MATCH($G$4,'Jan 2022 Apport'!$3:$3,0),FALSE)</f>
        <v>2513987.23</v>
      </c>
      <c r="H121" s="117">
        <f>VLOOKUP(A121,JanApport,MATCH($H$3,'Jan 2022 Apport'!$3:$3,0),FALSE)+VLOOKUP(A121,JanApport,MATCH($H$2,'Jan 2022 Apport'!$3:$3,0),FALSE)+VLOOKUP(A121,JanApport,MATCH($H$4,'Jan 2022 Apport'!$3:$3,0),FALSE)</f>
        <v>25974686.09</v>
      </c>
      <c r="I121" s="117">
        <f t="shared" si="20"/>
        <v>28488673.32</v>
      </c>
      <c r="J121" s="117">
        <f>VLOOKUP(A121,JanApport,MATCH($J$4,'Jan 2022 Apport'!$3:$3,0),FALSE)</f>
        <v>12804045.359999999</v>
      </c>
      <c r="K121" s="117">
        <f>VLOOKUP(A121,JanApport,MATCH($K$4,'Jan 2022 Apport'!$3:$3,0),FALSE)</f>
        <v>1309420.6200000001</v>
      </c>
      <c r="L121" s="117">
        <f t="shared" si="21"/>
        <v>14113465.98</v>
      </c>
      <c r="M121" s="117">
        <f>VLOOKUP(A121,JanApport,MATCH($M$4,'Jan 2022 Apport'!$3:$3,0),FALSE)</f>
        <v>9467926.4399999995</v>
      </c>
      <c r="N121" s="117">
        <f>VLOOKUP(A121,JanApport,MATCH($N$4,'Jan 2022 Apport'!$3:$3,0),FALSE)</f>
        <v>10216581.1</v>
      </c>
      <c r="O121" s="117">
        <f>VLOOKUP(A121,JanApport,MATCH($O$4,'Jan 2022 Apport'!$3:$3,0),FALSE)</f>
        <v>805650.78</v>
      </c>
      <c r="P121" s="121">
        <f>IFERROR((VLOOKUP(A121,ExcessLevy!A:G,3,FALSE)*0.28),0)+IFERROR((VLOOKUP(A121,ExcessLevy!A:G,6,FALSE)*0.72),0)</f>
        <v>0</v>
      </c>
      <c r="Q121" s="121">
        <f>IFERROR((VLOOKUP(A121,ExcessLevy!A:G,4,FALSE)*0.4738),0)+IFERROR((VLOOKUP(A121,ExcessLevy!A:G,7,FALSE)*0.5262),0)</f>
        <v>72246390</v>
      </c>
      <c r="R121">
        <f>VLOOKUP(A121,JanApport,MATCH($R$4,'Jan 2022 Apport'!$3:$3,0),FALSE)</f>
        <v>0</v>
      </c>
      <c r="S121">
        <f>VLOOKUP(A121,JanApport,MATCH($S$4,'Jan 2022 Apport'!$3:$3,0),FALSE)</f>
        <v>189.54</v>
      </c>
      <c r="T121">
        <f>VLOOKUP(A121,JanApport,MATCH($T$4,'Jan 2022 Apport'!$3:$3,0),FALSE)</f>
        <v>1439.41</v>
      </c>
      <c r="U121" s="132">
        <f>IFERROR(VLOOKUP(A121,JanApport,MATCH($U$4,'Jan 2022 Apport'!$3:$3,0),FALSE)/R121,0)</f>
        <v>0</v>
      </c>
      <c r="V121" s="30">
        <f>IFERROR(((VLOOKUP(A121,JanApport,MATCH($V$4,'Jan 2022 Apport'!$3:$3,0),FALSE)+VLOOKUP(A121,JanApport,MATCH($V$3,'Jan 2022 Apport'!$3:$3,0),FALSE))/(S121+T121)),0)</f>
        <v>10058.356603947328</v>
      </c>
      <c r="W121" s="30">
        <f t="shared" si="14"/>
        <v>9207.2971053371111</v>
      </c>
      <c r="X121">
        <f>VLOOKUP(A121,JanApport,MATCH($X$4,'Jan 2022 Apport'!$3:$3,0),FALSE)</f>
        <v>4.8578999999999997E-2</v>
      </c>
      <c r="Y121">
        <f>VLOOKUP(A121,JanApport,MATCH($Y$4,'Jan 2022 Apport'!$3:$3,0),FALSE)</f>
        <v>4.0270000000000002E-3</v>
      </c>
      <c r="Z121">
        <f>VLOOKUP(A121,JanApport,MATCH($Z$4,'Jan 2022 Apport'!$3:$3,0),FALSE)</f>
        <v>1.7100000000000001E-2</v>
      </c>
      <c r="AA121" s="77">
        <f>VLOOKUP(A121,JanApport,MATCH($AA$4,'Jan 2022 Apport'!$3:$3,0),FALSE)*VLOOKUP(A121,JanApport,MATCH($AA$3,'Jan 2022 Apport'!$3:$3,0),FALSE)</f>
        <v>79750.3</v>
      </c>
      <c r="AB121" s="77">
        <f>VLOOKUP(A121,JanApport,MATCH($AB$4,'Jan 2022 Apport'!$3:$3,0),FALSE)*VLOOKUP(A121,JanApport,MATCH($AB$3,'Jan 2022 Apport'!$3:$3,0),FALSE)</f>
        <v>82724.399999999994</v>
      </c>
      <c r="AC121" s="77">
        <f>VLOOKUP(A121,JanApport,MATCH($AC$4,'Jan 2022 Apport'!$3:$3,0),FALSE)</f>
        <v>100321</v>
      </c>
      <c r="AD121" s="77">
        <f>VLOOKUP(A121,JanApport,MATCH($AD$4,'Jan 2022 Apport'!$3:$3,0),FALSE)*VLOOKUP(A121,JanApport,MATCH($AD$3,'Jan 2022 Apport'!$3:$3,0),FALSE)</f>
        <v>122792.4</v>
      </c>
      <c r="AE121" s="77">
        <f>VLOOKUP(A121,JanApport,MATCH($AE$4,'Jan 2022 Apport'!$3:$3,0),FALSE)</f>
        <v>48483</v>
      </c>
      <c r="AF121" s="77">
        <f>VLOOKUP(A121,JanApport,MATCH($AF$4,'Jan 2022 Apport'!$3:$3,0),FALSE)*VLOOKUP(A121,JanApport,MATCH($AF$3,'Jan 2022 Apport'!$3:$3,0),FALSE)</f>
        <v>59343.6</v>
      </c>
      <c r="AG121" s="77">
        <f t="shared" si="15"/>
        <v>113340.397</v>
      </c>
      <c r="AH121" s="77">
        <f t="shared" si="16"/>
        <v>162383.05708</v>
      </c>
      <c r="AI121" s="77">
        <f t="shared" si="17"/>
        <v>89075.870679119995</v>
      </c>
      <c r="AJ121" s="3">
        <f>VLOOKUP(A121,JanApport,MATCH($AJ$4,'Jan 2022 Apport'!$3:$3,0),FALSE)</f>
        <v>30790048.219999999</v>
      </c>
      <c r="AK121" s="3">
        <f>VLOOKUP(A121,JanApport,MATCH($AK$4,'Jan 2022 Apport'!$3:$3,0),FALSE)</f>
        <v>497.93799999999999</v>
      </c>
      <c r="AL121" s="117">
        <f t="shared" si="18"/>
        <v>308727435.35999995</v>
      </c>
      <c r="AM121" s="117">
        <f>VLOOKUP(A121,JanApport,MATCH($AM$4,'Jan 2022 Apport'!$3:$3,0),FALSE)</f>
        <v>3820665.69</v>
      </c>
      <c r="AN121" s="117">
        <f>VLOOKUP(A121,JanApport,MATCH($AN$4,'Jan 2022 Apport'!$3:$3,0),FALSE)</f>
        <v>2011044.19</v>
      </c>
    </row>
    <row r="122" spans="1:40">
      <c r="A122" s="2" t="s">
        <v>505</v>
      </c>
      <c r="B122" s="2" t="s">
        <v>506</v>
      </c>
      <c r="C122" s="2" t="s">
        <v>1267</v>
      </c>
      <c r="D122" s="118">
        <f>VLOOKUP(A122,JanApport,MATCH($D$4,'Jan 2022 Apport'!$3:$3,FALSE),FALSE)</f>
        <v>9333748.3100000005</v>
      </c>
      <c r="E122" s="30">
        <f>VLOOKUP(A122,JanApport,MATCH($E$2,'Jan 2022 Apport'!$3:$3,0),FALSE)+VLOOKUP(A122,JanApport,MATCH($E$3,'Jan 2022 Apport'!$3:$3,0),FALSE)+VLOOKUP(A122,JanApport,MATCH($E$4,'Jan 2022 Apport'!$3:$3,0),FALSE)</f>
        <v>503457.52</v>
      </c>
      <c r="F122" s="118">
        <f t="shared" si="19"/>
        <v>8830290.790000001</v>
      </c>
      <c r="G122" s="117">
        <f>VLOOKUP(A122,JanApport,MATCH($G$4,'Jan 2022 Apport'!$3:$3,0),FALSE)</f>
        <v>95029.91</v>
      </c>
      <c r="H122" s="117">
        <f>VLOOKUP(A122,JanApport,MATCH($H$3,'Jan 2022 Apport'!$3:$3,0),FALSE)+VLOOKUP(A122,JanApport,MATCH($H$2,'Jan 2022 Apport'!$3:$3,0),FALSE)+VLOOKUP(A122,JanApport,MATCH($H$4,'Jan 2022 Apport'!$3:$3,0),FALSE)</f>
        <v>1208362.3500000001</v>
      </c>
      <c r="I122" s="117">
        <f t="shared" si="20"/>
        <v>1303392.26</v>
      </c>
      <c r="J122" s="117">
        <f>VLOOKUP(A122,JanApport,MATCH($J$4,'Jan 2022 Apport'!$3:$3,0),FALSE)</f>
        <v>954574</v>
      </c>
      <c r="K122" s="117">
        <f>VLOOKUP(A122,JanApport,MATCH($K$4,'Jan 2022 Apport'!$3:$3,0),FALSE)</f>
        <v>153068.09</v>
      </c>
      <c r="L122" s="117">
        <f t="shared" si="21"/>
        <v>1107642.0900000001</v>
      </c>
      <c r="M122" s="117">
        <f>VLOOKUP(A122,JanApport,MATCH($M$4,'Jan 2022 Apport'!$3:$3,0),FALSE)</f>
        <v>276431.45</v>
      </c>
      <c r="N122" s="117">
        <f>VLOOKUP(A122,JanApport,MATCH($N$4,'Jan 2022 Apport'!$3:$3,0),FALSE)</f>
        <v>0</v>
      </c>
      <c r="O122" s="117">
        <f>VLOOKUP(A122,JanApport,MATCH($O$4,'Jan 2022 Apport'!$3:$3,0),FALSE)</f>
        <v>30579.58</v>
      </c>
      <c r="P122" s="121">
        <f>IFERROR((VLOOKUP(A122,ExcessLevy!A:G,3,FALSE)*0.28),0)+IFERROR((VLOOKUP(A122,ExcessLevy!A:G,6,FALSE)*0.72),0)</f>
        <v>672912.01520000002</v>
      </c>
      <c r="Q122" s="121">
        <f>IFERROR((VLOOKUP(A122,ExcessLevy!A:G,4,FALSE)*0.4738),0)+IFERROR((VLOOKUP(A122,ExcessLevy!A:G,7,FALSE)*0.5262),0)</f>
        <v>939355.4632</v>
      </c>
      <c r="R122">
        <f>VLOOKUP(A122,JanApport,MATCH($R$4,'Jan 2022 Apport'!$3:$3,0),FALSE)</f>
        <v>0</v>
      </c>
      <c r="S122">
        <f>VLOOKUP(A122,JanApport,MATCH($S$4,'Jan 2022 Apport'!$3:$3,0),FALSE)</f>
        <v>0</v>
      </c>
      <c r="T122">
        <f>VLOOKUP(A122,JanApport,MATCH($T$4,'Jan 2022 Apport'!$3:$3,0),FALSE)</f>
        <v>55.25</v>
      </c>
      <c r="U122" s="132">
        <f>IFERROR(VLOOKUP(A122,JanApport,MATCH($U$4,'Jan 2022 Apport'!$3:$3,0),FALSE)/R122,0)</f>
        <v>0</v>
      </c>
      <c r="V122" s="30">
        <f>IFERROR(((VLOOKUP(A122,JanApport,MATCH($V$4,'Jan 2022 Apport'!$3:$3,0),FALSE)+VLOOKUP(A122,JanApport,MATCH($V$3,'Jan 2022 Apport'!$3:$3,0),FALSE))/(S122+T122)),0)</f>
        <v>9112.3533031674215</v>
      </c>
      <c r="W122" s="30">
        <f t="shared" si="14"/>
        <v>8083.6246967786601</v>
      </c>
      <c r="X122">
        <f>VLOOKUP(A122,JanApport,MATCH($X$4,'Jan 2022 Apport'!$3:$3,0),FALSE)</f>
        <v>4.8578999999999997E-2</v>
      </c>
      <c r="Y122">
        <f>VLOOKUP(A122,JanApport,MATCH($Y$4,'Jan 2022 Apport'!$3:$3,0),FALSE)</f>
        <v>4.0270000000000002E-3</v>
      </c>
      <c r="Z122">
        <f>VLOOKUP(A122,JanApport,MATCH($Z$4,'Jan 2022 Apport'!$3:$3,0),FALSE)</f>
        <v>1.7100000000000001E-2</v>
      </c>
      <c r="AA122" s="77">
        <f>VLOOKUP(A122,JanApport,MATCH($AA$4,'Jan 2022 Apport'!$3:$3,0),FALSE)*VLOOKUP(A122,JanApport,MATCH($AA$3,'Jan 2022 Apport'!$3:$3,0),FALSE)</f>
        <v>67585</v>
      </c>
      <c r="AB122" s="77">
        <f>VLOOKUP(A122,JanApport,MATCH($AB$4,'Jan 2022 Apport'!$3:$3,0),FALSE)*VLOOKUP(A122,JanApport,MATCH($AB$3,'Jan 2022 Apport'!$3:$3,0),FALSE)</f>
        <v>68937</v>
      </c>
      <c r="AC122" s="77">
        <f>VLOOKUP(A122,JanApport,MATCH($AC$4,'Jan 2022 Apport'!$3:$3,0),FALSE)</f>
        <v>100321</v>
      </c>
      <c r="AD122" s="77">
        <f>VLOOKUP(A122,JanApport,MATCH($AD$4,'Jan 2022 Apport'!$3:$3,0),FALSE)*VLOOKUP(A122,JanApport,MATCH($AD$3,'Jan 2022 Apport'!$3:$3,0),FALSE)</f>
        <v>102327</v>
      </c>
      <c r="AE122" s="77">
        <f>VLOOKUP(A122,JanApport,MATCH($AE$4,'Jan 2022 Apport'!$3:$3,0),FALSE)</f>
        <v>48483</v>
      </c>
      <c r="AF122" s="77">
        <f>VLOOKUP(A122,JanApport,MATCH($AF$4,'Jan 2022 Apport'!$3:$3,0),FALSE)*VLOOKUP(A122,JanApport,MATCH($AF$3,'Jan 2022 Apport'!$3:$3,0),FALSE)</f>
        <v>49453</v>
      </c>
      <c r="AG122" s="77">
        <f t="shared" si="15"/>
        <v>96432.259900000005</v>
      </c>
      <c r="AH122" s="77">
        <f t="shared" si="16"/>
        <v>137400.94330000001</v>
      </c>
      <c r="AI122" s="77">
        <f t="shared" si="17"/>
        <v>77281.189732599989</v>
      </c>
      <c r="AJ122" s="3">
        <f>VLOOKUP(A122,JanApport,MATCH($AJ$4,'Jan 2022 Apport'!$3:$3,0),FALSE)</f>
        <v>912964.12</v>
      </c>
      <c r="AK122" s="3">
        <f>VLOOKUP(A122,JanApport,MATCH($AK$4,'Jan 2022 Apport'!$3:$3,0),FALSE)</f>
        <v>14.824999999999999</v>
      </c>
      <c r="AL122" s="117">
        <f t="shared" si="18"/>
        <v>12116731.799999999</v>
      </c>
      <c r="AM122" s="117">
        <f>VLOOKUP(A122,JanApport,MATCH($AM$4,'Jan 2022 Apport'!$3:$3,0),FALSE)</f>
        <v>218006.2</v>
      </c>
      <c r="AN122" s="117">
        <f>VLOOKUP(A122,JanApport,MATCH($AN$4,'Jan 2022 Apport'!$3:$3,0),FALSE)</f>
        <v>52479.83</v>
      </c>
    </row>
    <row r="123" spans="1:40">
      <c r="A123" s="2" t="s">
        <v>21</v>
      </c>
      <c r="B123" s="2" t="s">
        <v>22</v>
      </c>
      <c r="C123" s="2" t="s">
        <v>1267</v>
      </c>
      <c r="D123" s="118">
        <f>VLOOKUP(A123,JanApport,MATCH($D$4,'Jan 2022 Apport'!$3:$3,FALSE),FALSE)</f>
        <v>12188278.869999999</v>
      </c>
      <c r="E123" s="30">
        <f>VLOOKUP(A123,JanApport,MATCH($E$2,'Jan 2022 Apport'!$3:$3,0),FALSE)+VLOOKUP(A123,JanApport,MATCH($E$3,'Jan 2022 Apport'!$3:$3,0),FALSE)+VLOOKUP(A123,JanApport,MATCH($E$4,'Jan 2022 Apport'!$3:$3,0),FALSE)</f>
        <v>759640.43</v>
      </c>
      <c r="F123" s="118">
        <f t="shared" si="19"/>
        <v>11428638.439999999</v>
      </c>
      <c r="G123" s="117">
        <f>VLOOKUP(A123,JanApport,MATCH($G$4,'Jan 2022 Apport'!$3:$3,0),FALSE)</f>
        <v>82362.600000000006</v>
      </c>
      <c r="H123" s="117">
        <f>VLOOKUP(A123,JanApport,MATCH($H$3,'Jan 2022 Apport'!$3:$3,0),FALSE)+VLOOKUP(A123,JanApport,MATCH($H$2,'Jan 2022 Apport'!$3:$3,0),FALSE)+VLOOKUP(A123,JanApport,MATCH($H$4,'Jan 2022 Apport'!$3:$3,0),FALSE)</f>
        <v>1543599.79</v>
      </c>
      <c r="I123" s="117">
        <f t="shared" si="20"/>
        <v>1625962.3900000001</v>
      </c>
      <c r="J123" s="117">
        <f>VLOOKUP(A123,JanApport,MATCH($J$4,'Jan 2022 Apport'!$3:$3,0),FALSE)</f>
        <v>731218.04</v>
      </c>
      <c r="K123" s="117">
        <f>VLOOKUP(A123,JanApport,MATCH($K$4,'Jan 2022 Apport'!$3:$3,0),FALSE)</f>
        <v>109352.64</v>
      </c>
      <c r="L123" s="117">
        <f t="shared" si="21"/>
        <v>840570.68</v>
      </c>
      <c r="M123" s="117">
        <f>VLOOKUP(A123,JanApport,MATCH($M$4,'Jan 2022 Apport'!$3:$3,0),FALSE)</f>
        <v>596009.5</v>
      </c>
      <c r="N123" s="117">
        <f>VLOOKUP(A123,JanApport,MATCH($N$4,'Jan 2022 Apport'!$3:$3,0),FALSE)</f>
        <v>546113.76</v>
      </c>
      <c r="O123" s="117">
        <f>VLOOKUP(A123,JanApport,MATCH($O$4,'Jan 2022 Apport'!$3:$3,0),FALSE)</f>
        <v>39231.75</v>
      </c>
      <c r="P123" s="121">
        <f>IFERROR((VLOOKUP(A123,ExcessLevy!A:G,3,FALSE)*0.28),0)+IFERROR((VLOOKUP(A123,ExcessLevy!A:G,6,FALSE)*0.72),0)</f>
        <v>594484.24320000003</v>
      </c>
      <c r="Q123" s="121">
        <f>IFERROR((VLOOKUP(A123,ExcessLevy!A:G,4,FALSE)*0.4738),0)+IFERROR((VLOOKUP(A123,ExcessLevy!A:G,7,FALSE)*0.5262),0)</f>
        <v>761977.59120000002</v>
      </c>
      <c r="R123">
        <f>VLOOKUP(A123,JanApport,MATCH($R$4,'Jan 2022 Apport'!$3:$3,0),FALSE)</f>
        <v>0</v>
      </c>
      <c r="S123">
        <f>VLOOKUP(A123,JanApport,MATCH($S$4,'Jan 2022 Apport'!$3:$3,0),FALSE)</f>
        <v>0</v>
      </c>
      <c r="T123">
        <f>VLOOKUP(A123,JanApport,MATCH($T$4,'Jan 2022 Apport'!$3:$3,0),FALSE)</f>
        <v>85.13</v>
      </c>
      <c r="U123" s="132">
        <f>IFERROR(VLOOKUP(A123,JanApport,MATCH($U$4,'Jan 2022 Apport'!$3:$3,0),FALSE)/R123,0)</f>
        <v>0</v>
      </c>
      <c r="V123" s="30">
        <f>IFERROR(((VLOOKUP(A123,JanApport,MATCH($V$4,'Jan 2022 Apport'!$3:$3,0),FALSE)+VLOOKUP(A123,JanApport,MATCH($V$3,'Jan 2022 Apport'!$3:$3,0),FALSE))/(S123+T123)),0)</f>
        <v>8923.2988370727126</v>
      </c>
      <c r="W123" s="30">
        <f t="shared" si="14"/>
        <v>8083.6246967786601</v>
      </c>
      <c r="X123">
        <f>VLOOKUP(A123,JanApport,MATCH($X$4,'Jan 2022 Apport'!$3:$3,0),FALSE)</f>
        <v>4.8578999999999997E-2</v>
      </c>
      <c r="Y123">
        <f>VLOOKUP(A123,JanApport,MATCH($Y$4,'Jan 2022 Apport'!$3:$3,0),FALSE)</f>
        <v>4.0270000000000002E-3</v>
      </c>
      <c r="Z123">
        <f>VLOOKUP(A123,JanApport,MATCH($Z$4,'Jan 2022 Apport'!$3:$3,0),FALSE)</f>
        <v>1.7100000000000001E-2</v>
      </c>
      <c r="AA123" s="77">
        <f>VLOOKUP(A123,JanApport,MATCH($AA$4,'Jan 2022 Apport'!$3:$3,0),FALSE)*VLOOKUP(A123,JanApport,MATCH($AA$3,'Jan 2022 Apport'!$3:$3,0),FALSE)</f>
        <v>67585</v>
      </c>
      <c r="AB123" s="77">
        <f>VLOOKUP(A123,JanApport,MATCH($AB$4,'Jan 2022 Apport'!$3:$3,0),FALSE)*VLOOKUP(A123,JanApport,MATCH($AB$3,'Jan 2022 Apport'!$3:$3,0),FALSE)</f>
        <v>68937</v>
      </c>
      <c r="AC123" s="77">
        <f>VLOOKUP(A123,JanApport,MATCH($AC$4,'Jan 2022 Apport'!$3:$3,0),FALSE)</f>
        <v>100321</v>
      </c>
      <c r="AD123" s="77">
        <f>VLOOKUP(A123,JanApport,MATCH($AD$4,'Jan 2022 Apport'!$3:$3,0),FALSE)*VLOOKUP(A123,JanApport,MATCH($AD$3,'Jan 2022 Apport'!$3:$3,0),FALSE)</f>
        <v>102327</v>
      </c>
      <c r="AE123" s="77">
        <f>VLOOKUP(A123,JanApport,MATCH($AE$4,'Jan 2022 Apport'!$3:$3,0),FALSE)</f>
        <v>48483</v>
      </c>
      <c r="AF123" s="77">
        <f>VLOOKUP(A123,JanApport,MATCH($AF$4,'Jan 2022 Apport'!$3:$3,0),FALSE)*VLOOKUP(A123,JanApport,MATCH($AF$3,'Jan 2022 Apport'!$3:$3,0),FALSE)</f>
        <v>49453</v>
      </c>
      <c r="AG123" s="77">
        <f t="shared" si="15"/>
        <v>96432.259900000005</v>
      </c>
      <c r="AH123" s="77">
        <f t="shared" si="16"/>
        <v>137400.94330000001</v>
      </c>
      <c r="AI123" s="77">
        <f t="shared" si="17"/>
        <v>77281.189732599989</v>
      </c>
      <c r="AJ123" s="3">
        <f>VLOOKUP(A123,JanApport,MATCH($AJ$4,'Jan 2022 Apport'!$3:$3,0),FALSE)</f>
        <v>1779916.66</v>
      </c>
      <c r="AK123" s="3">
        <f>VLOOKUP(A123,JanApport,MATCH($AK$4,'Jan 2022 Apport'!$3:$3,0),FALSE)</f>
        <v>29.472999999999999</v>
      </c>
      <c r="AL123" s="117">
        <f t="shared" si="18"/>
        <v>16114533.550000001</v>
      </c>
      <c r="AM123" s="117">
        <f>VLOOKUP(A123,JanApport,MATCH($AM$4,'Jan 2022 Apport'!$3:$3,0),FALSE)</f>
        <v>387719.24</v>
      </c>
      <c r="AN123" s="117">
        <f>VLOOKUP(A123,JanApport,MATCH($AN$4,'Jan 2022 Apport'!$3:$3,0),FALSE)</f>
        <v>99015.33</v>
      </c>
    </row>
    <row r="124" spans="1:40">
      <c r="A124" s="2" t="s">
        <v>247</v>
      </c>
      <c r="B124" s="2" t="s">
        <v>248</v>
      </c>
      <c r="C124" s="2" t="s">
        <v>1267</v>
      </c>
      <c r="D124" s="118">
        <f>VLOOKUP(A124,JanApport,MATCH($D$4,'Jan 2022 Apport'!$3:$3,FALSE),FALSE)</f>
        <v>5408769.4299999997</v>
      </c>
      <c r="E124" s="30">
        <f>VLOOKUP(A124,JanApport,MATCH($E$2,'Jan 2022 Apport'!$3:$3,0),FALSE)+VLOOKUP(A124,JanApport,MATCH($E$3,'Jan 2022 Apport'!$3:$3,0),FALSE)+VLOOKUP(A124,JanApport,MATCH($E$4,'Jan 2022 Apport'!$3:$3,0),FALSE)</f>
        <v>493660.45</v>
      </c>
      <c r="F124" s="118">
        <f t="shared" si="19"/>
        <v>4915108.9799999995</v>
      </c>
      <c r="G124" s="117">
        <f>VLOOKUP(A124,JanApport,MATCH($G$4,'Jan 2022 Apport'!$3:$3,0),FALSE)</f>
        <v>44313.06</v>
      </c>
      <c r="H124" s="117">
        <f>VLOOKUP(A124,JanApport,MATCH($H$3,'Jan 2022 Apport'!$3:$3,0),FALSE)+VLOOKUP(A124,JanApport,MATCH($H$2,'Jan 2022 Apport'!$3:$3,0),FALSE)+VLOOKUP(A124,JanApport,MATCH($H$4,'Jan 2022 Apport'!$3:$3,0),FALSE)</f>
        <v>670120.98</v>
      </c>
      <c r="I124" s="117">
        <f t="shared" si="20"/>
        <v>714434.04</v>
      </c>
      <c r="J124" s="117">
        <f>VLOOKUP(A124,JanApport,MATCH($J$4,'Jan 2022 Apport'!$3:$3,0),FALSE)</f>
        <v>410998.92</v>
      </c>
      <c r="K124" s="117">
        <f>VLOOKUP(A124,JanApport,MATCH($K$4,'Jan 2022 Apport'!$3:$3,0),FALSE)</f>
        <v>75524.97</v>
      </c>
      <c r="L124" s="117">
        <f t="shared" si="21"/>
        <v>486523.89</v>
      </c>
      <c r="M124" s="117">
        <f>VLOOKUP(A124,JanApport,MATCH($M$4,'Jan 2022 Apport'!$3:$3,0),FALSE)</f>
        <v>175711.26</v>
      </c>
      <c r="N124" s="117">
        <f>VLOOKUP(A124,JanApport,MATCH($N$4,'Jan 2022 Apport'!$3:$3,0),FALSE)</f>
        <v>54787.48</v>
      </c>
      <c r="O124" s="117">
        <f>VLOOKUP(A124,JanApport,MATCH($O$4,'Jan 2022 Apport'!$3:$3,0),FALSE)</f>
        <v>0</v>
      </c>
      <c r="P124" s="121">
        <f>IFERROR((VLOOKUP(A124,ExcessLevy!A:G,3,FALSE)*0.28),0)+IFERROR((VLOOKUP(A124,ExcessLevy!A:G,6,FALSE)*0.72),0)</f>
        <v>0</v>
      </c>
      <c r="Q124" s="121">
        <f>IFERROR((VLOOKUP(A124,ExcessLevy!A:G,4,FALSE)*0.4738),0)+IFERROR((VLOOKUP(A124,ExcessLevy!A:G,7,FALSE)*0.5262),0)</f>
        <v>1692123.4198</v>
      </c>
      <c r="R124">
        <f>VLOOKUP(A124,JanApport,MATCH($R$4,'Jan 2022 Apport'!$3:$3,0),FALSE)</f>
        <v>0</v>
      </c>
      <c r="S124">
        <f>VLOOKUP(A124,JanApport,MATCH($S$4,'Jan 2022 Apport'!$3:$3,0),FALSE)</f>
        <v>14.66</v>
      </c>
      <c r="T124">
        <f>VLOOKUP(A124,JanApport,MATCH($T$4,'Jan 2022 Apport'!$3:$3,0),FALSE)</f>
        <v>40.69</v>
      </c>
      <c r="U124" s="132">
        <f>IFERROR(VLOOKUP(A124,JanApport,MATCH($U$4,'Jan 2022 Apport'!$3:$3,0),FALSE)/R124,0)</f>
        <v>0</v>
      </c>
      <c r="V124" s="30">
        <f>IFERROR(((VLOOKUP(A124,JanApport,MATCH($V$4,'Jan 2022 Apport'!$3:$3,0),FALSE)+VLOOKUP(A124,JanApport,MATCH($V$3,'Jan 2022 Apport'!$3:$3,0),FALSE))/(S124+T124)),0)</f>
        <v>8918.8879855465239</v>
      </c>
      <c r="W124" s="30">
        <f t="shared" si="14"/>
        <v>8083.6246967786601</v>
      </c>
      <c r="X124">
        <f>VLOOKUP(A124,JanApport,MATCH($X$4,'Jan 2022 Apport'!$3:$3,0),FALSE)</f>
        <v>4.8578999999999997E-2</v>
      </c>
      <c r="Y124">
        <f>VLOOKUP(A124,JanApport,MATCH($Y$4,'Jan 2022 Apport'!$3:$3,0),FALSE)</f>
        <v>4.0270000000000002E-3</v>
      </c>
      <c r="Z124">
        <f>VLOOKUP(A124,JanApport,MATCH($Z$4,'Jan 2022 Apport'!$3:$3,0),FALSE)</f>
        <v>1.7100000000000001E-2</v>
      </c>
      <c r="AA124" s="77">
        <f>VLOOKUP(A124,JanApport,MATCH($AA$4,'Jan 2022 Apport'!$3:$3,0),FALSE)*VLOOKUP(A124,JanApport,MATCH($AA$3,'Jan 2022 Apport'!$3:$3,0),FALSE)</f>
        <v>67585</v>
      </c>
      <c r="AB124" s="77">
        <f>VLOOKUP(A124,JanApport,MATCH($AB$4,'Jan 2022 Apport'!$3:$3,0),FALSE)*VLOOKUP(A124,JanApport,MATCH($AB$3,'Jan 2022 Apport'!$3:$3,0),FALSE)</f>
        <v>68937</v>
      </c>
      <c r="AC124" s="77">
        <f>VLOOKUP(A124,JanApport,MATCH($AC$4,'Jan 2022 Apport'!$3:$3,0),FALSE)</f>
        <v>100321</v>
      </c>
      <c r="AD124" s="77">
        <f>VLOOKUP(A124,JanApport,MATCH($AD$4,'Jan 2022 Apport'!$3:$3,0),FALSE)*VLOOKUP(A124,JanApport,MATCH($AD$3,'Jan 2022 Apport'!$3:$3,0),FALSE)</f>
        <v>102327</v>
      </c>
      <c r="AE124" s="77">
        <f>VLOOKUP(A124,JanApport,MATCH($AE$4,'Jan 2022 Apport'!$3:$3,0),FALSE)</f>
        <v>48483</v>
      </c>
      <c r="AF124" s="77">
        <f>VLOOKUP(A124,JanApport,MATCH($AF$4,'Jan 2022 Apport'!$3:$3,0),FALSE)*VLOOKUP(A124,JanApport,MATCH($AF$3,'Jan 2022 Apport'!$3:$3,0),FALSE)</f>
        <v>49453</v>
      </c>
      <c r="AG124" s="77">
        <f t="shared" si="15"/>
        <v>96432.259900000005</v>
      </c>
      <c r="AH124" s="77">
        <f t="shared" si="16"/>
        <v>137400.94330000001</v>
      </c>
      <c r="AI124" s="77">
        <f t="shared" si="17"/>
        <v>77281.189732599989</v>
      </c>
      <c r="AJ124" s="3">
        <f>VLOOKUP(A124,JanApport,MATCH($AJ$4,'Jan 2022 Apport'!$3:$3,0),FALSE)</f>
        <v>751303.79</v>
      </c>
      <c r="AK124" s="3">
        <f>VLOOKUP(A124,JanApport,MATCH($AK$4,'Jan 2022 Apport'!$3:$3,0),FALSE)</f>
        <v>10.446</v>
      </c>
      <c r="AL124" s="117">
        <f t="shared" si="18"/>
        <v>6764701.1299999999</v>
      </c>
      <c r="AM124" s="117">
        <f>VLOOKUP(A124,JanApport,MATCH($AM$4,'Jan 2022 Apport'!$3:$3,0),FALSE)</f>
        <v>0</v>
      </c>
      <c r="AN124" s="117">
        <f>VLOOKUP(A124,JanApport,MATCH($AN$4,'Jan 2022 Apport'!$3:$3,0),FALSE)</f>
        <v>42577.8</v>
      </c>
    </row>
    <row r="125" spans="1:40">
      <c r="A125" s="2" t="s">
        <v>261</v>
      </c>
      <c r="B125" s="2" t="s">
        <v>262</v>
      </c>
      <c r="C125" s="2" t="s">
        <v>1267</v>
      </c>
      <c r="D125" s="118">
        <f>VLOOKUP(A125,JanApport,MATCH($D$4,'Jan 2022 Apport'!$3:$3,FALSE),FALSE)</f>
        <v>2009767.39</v>
      </c>
      <c r="E125" s="30">
        <f>VLOOKUP(A125,JanApport,MATCH($E$2,'Jan 2022 Apport'!$3:$3,0),FALSE)+VLOOKUP(A125,JanApport,MATCH($E$3,'Jan 2022 Apport'!$3:$3,0),FALSE)+VLOOKUP(A125,JanApport,MATCH($E$4,'Jan 2022 Apport'!$3:$3,0),FALSE)</f>
        <v>0</v>
      </c>
      <c r="F125" s="118">
        <f t="shared" si="19"/>
        <v>2009767.39</v>
      </c>
      <c r="G125" s="117">
        <f>VLOOKUP(A125,JanApport,MATCH($G$4,'Jan 2022 Apport'!$3:$3,0),FALSE)</f>
        <v>29633.05</v>
      </c>
      <c r="H125" s="117">
        <f>VLOOKUP(A125,JanApport,MATCH($H$3,'Jan 2022 Apport'!$3:$3,0),FALSE)+VLOOKUP(A125,JanApport,MATCH($H$2,'Jan 2022 Apport'!$3:$3,0),FALSE)+VLOOKUP(A125,JanApport,MATCH($H$4,'Jan 2022 Apport'!$3:$3,0),FALSE)</f>
        <v>72911.76999999999</v>
      </c>
      <c r="I125" s="117">
        <f t="shared" si="20"/>
        <v>102544.81999999999</v>
      </c>
      <c r="J125" s="117">
        <f>VLOOKUP(A125,JanApport,MATCH($J$4,'Jan 2022 Apport'!$3:$3,0),FALSE)</f>
        <v>95438.49</v>
      </c>
      <c r="K125" s="117">
        <f>VLOOKUP(A125,JanApport,MATCH($K$4,'Jan 2022 Apport'!$3:$3,0),FALSE)</f>
        <v>31815.47</v>
      </c>
      <c r="L125" s="117">
        <f t="shared" si="21"/>
        <v>127253.96</v>
      </c>
      <c r="M125" s="117">
        <f>VLOOKUP(A125,JanApport,MATCH($M$4,'Jan 2022 Apport'!$3:$3,0),FALSE)</f>
        <v>29263.24</v>
      </c>
      <c r="N125" s="117">
        <f>VLOOKUP(A125,JanApport,MATCH($N$4,'Jan 2022 Apport'!$3:$3,0),FALSE)</f>
        <v>0</v>
      </c>
      <c r="O125" s="117">
        <f>VLOOKUP(A125,JanApport,MATCH($O$4,'Jan 2022 Apport'!$3:$3,0),FALSE)</f>
        <v>2733.93</v>
      </c>
      <c r="P125" s="121">
        <f>IFERROR((VLOOKUP(A125,ExcessLevy!A:G,3,FALSE)*0.28),0)+IFERROR((VLOOKUP(A125,ExcessLevy!A:G,6,FALSE)*0.72),0)</f>
        <v>48308.035600000003</v>
      </c>
      <c r="Q125" s="121">
        <f>IFERROR((VLOOKUP(A125,ExcessLevy!A:G,4,FALSE)*0.4738),0)+IFERROR((VLOOKUP(A125,ExcessLevy!A:G,7,FALSE)*0.5262),0)</f>
        <v>90000</v>
      </c>
      <c r="R125">
        <f>VLOOKUP(A125,JanApport,MATCH($R$4,'Jan 2022 Apport'!$3:$3,0),FALSE)</f>
        <v>0</v>
      </c>
      <c r="S125">
        <f>VLOOKUP(A125,JanApport,MATCH($S$4,'Jan 2022 Apport'!$3:$3,0),FALSE)</f>
        <v>0</v>
      </c>
      <c r="T125">
        <f>VLOOKUP(A125,JanApport,MATCH($T$4,'Jan 2022 Apport'!$3:$3,0),FALSE)</f>
        <v>0</v>
      </c>
      <c r="U125" s="132">
        <f>IFERROR(VLOOKUP(A125,JanApport,MATCH($U$4,'Jan 2022 Apport'!$3:$3,0),FALSE)/R125,0)</f>
        <v>0</v>
      </c>
      <c r="V125" s="30">
        <f>IFERROR(((VLOOKUP(A125,JanApport,MATCH($V$4,'Jan 2022 Apport'!$3:$3,0),FALSE)+VLOOKUP(A125,JanApport,MATCH($V$3,'Jan 2022 Apport'!$3:$3,0),FALSE))/(S125+T125)),0)</f>
        <v>0</v>
      </c>
      <c r="W125" s="30">
        <f t="shared" si="14"/>
        <v>8083.6246967786601</v>
      </c>
      <c r="X125">
        <f>VLOOKUP(A125,JanApport,MATCH($X$4,'Jan 2022 Apport'!$3:$3,0),FALSE)</f>
        <v>4.8578999999999997E-2</v>
      </c>
      <c r="Y125">
        <f>VLOOKUP(A125,JanApport,MATCH($Y$4,'Jan 2022 Apport'!$3:$3,0),FALSE)</f>
        <v>4.0270000000000002E-3</v>
      </c>
      <c r="Z125">
        <f>VLOOKUP(A125,JanApport,MATCH($Z$4,'Jan 2022 Apport'!$3:$3,0),FALSE)</f>
        <v>1.7100000000000001E-2</v>
      </c>
      <c r="AA125" s="77">
        <f>VLOOKUP(A125,JanApport,MATCH($AA$4,'Jan 2022 Apport'!$3:$3,0),FALSE)*VLOOKUP(A125,JanApport,MATCH($AA$3,'Jan 2022 Apport'!$3:$3,0),FALSE)</f>
        <v>67585</v>
      </c>
      <c r="AB125" s="77">
        <f>VLOOKUP(A125,JanApport,MATCH($AB$4,'Jan 2022 Apport'!$3:$3,0),FALSE)*VLOOKUP(A125,JanApport,MATCH($AB$3,'Jan 2022 Apport'!$3:$3,0),FALSE)</f>
        <v>68937</v>
      </c>
      <c r="AC125" s="77">
        <f>VLOOKUP(A125,JanApport,MATCH($AC$4,'Jan 2022 Apport'!$3:$3,0),FALSE)</f>
        <v>100321</v>
      </c>
      <c r="AD125" s="77">
        <f>VLOOKUP(A125,JanApport,MATCH($AD$4,'Jan 2022 Apport'!$3:$3,0),FALSE)*VLOOKUP(A125,JanApport,MATCH($AD$3,'Jan 2022 Apport'!$3:$3,0),FALSE)</f>
        <v>102327</v>
      </c>
      <c r="AE125" s="77">
        <f>VLOOKUP(A125,JanApport,MATCH($AE$4,'Jan 2022 Apport'!$3:$3,0),FALSE)</f>
        <v>48483</v>
      </c>
      <c r="AF125" s="77">
        <f>VLOOKUP(A125,JanApport,MATCH($AF$4,'Jan 2022 Apport'!$3:$3,0),FALSE)*VLOOKUP(A125,JanApport,MATCH($AF$3,'Jan 2022 Apport'!$3:$3,0),FALSE)</f>
        <v>49453</v>
      </c>
      <c r="AG125" s="77">
        <f t="shared" si="15"/>
        <v>96432.259900000005</v>
      </c>
      <c r="AH125" s="77">
        <f t="shared" si="16"/>
        <v>137400.94330000001</v>
      </c>
      <c r="AI125" s="77">
        <f t="shared" si="17"/>
        <v>77281.189732599989</v>
      </c>
      <c r="AJ125" s="3">
        <f>VLOOKUP(A125,JanApport,MATCH($AJ$4,'Jan 2022 Apport'!$3:$3,0),FALSE)</f>
        <v>231220.67</v>
      </c>
      <c r="AK125" s="3">
        <f>VLOOKUP(A125,JanApport,MATCH($AK$4,'Jan 2022 Apport'!$3:$3,0),FALSE)</f>
        <v>1.9019999999999999</v>
      </c>
      <c r="AL125" s="117">
        <f t="shared" si="18"/>
        <v>2159175.8200000003</v>
      </c>
      <c r="AM125" s="117">
        <f>VLOOKUP(A125,JanApport,MATCH($AM$4,'Jan 2022 Apport'!$3:$3,0),FALSE)</f>
        <v>21972.77</v>
      </c>
      <c r="AN125" s="117">
        <f>VLOOKUP(A125,JanApport,MATCH($AN$4,'Jan 2022 Apport'!$3:$3,0),FALSE)</f>
        <v>18855.64</v>
      </c>
    </row>
    <row r="126" spans="1:40">
      <c r="A126" s="2" t="s">
        <v>59</v>
      </c>
      <c r="B126" s="2" t="s">
        <v>60</v>
      </c>
      <c r="C126" s="2" t="s">
        <v>1267</v>
      </c>
      <c r="D126" s="118">
        <f>VLOOKUP(A126,JanApport,MATCH($D$4,'Jan 2022 Apport'!$3:$3,FALSE),FALSE)</f>
        <v>15382042.140000001</v>
      </c>
      <c r="E126" s="30">
        <f>VLOOKUP(A126,JanApport,MATCH($E$2,'Jan 2022 Apport'!$3:$3,0),FALSE)+VLOOKUP(A126,JanApport,MATCH($E$3,'Jan 2022 Apport'!$3:$3,0),FALSE)+VLOOKUP(A126,JanApport,MATCH($E$4,'Jan 2022 Apport'!$3:$3,0),FALSE)</f>
        <v>425332.78</v>
      </c>
      <c r="F126" s="118">
        <f t="shared" si="19"/>
        <v>14956709.360000001</v>
      </c>
      <c r="G126" s="117">
        <f>VLOOKUP(A126,JanApport,MATCH($G$4,'Jan 2022 Apport'!$3:$3,0),FALSE)</f>
        <v>100086.55</v>
      </c>
      <c r="H126" s="117">
        <f>VLOOKUP(A126,JanApport,MATCH($H$3,'Jan 2022 Apport'!$3:$3,0),FALSE)+VLOOKUP(A126,JanApport,MATCH($H$2,'Jan 2022 Apport'!$3:$3,0),FALSE)+VLOOKUP(A126,JanApport,MATCH($H$4,'Jan 2022 Apport'!$3:$3,0),FALSE)</f>
        <v>2024590.54</v>
      </c>
      <c r="I126" s="117">
        <f t="shared" si="20"/>
        <v>2124677.09</v>
      </c>
      <c r="J126" s="117">
        <f>VLOOKUP(A126,JanApport,MATCH($J$4,'Jan 2022 Apport'!$3:$3,0),FALSE)</f>
        <v>0</v>
      </c>
      <c r="K126" s="117">
        <f>VLOOKUP(A126,JanApport,MATCH($K$4,'Jan 2022 Apport'!$3:$3,0),FALSE)</f>
        <v>0</v>
      </c>
      <c r="L126" s="117">
        <f t="shared" si="21"/>
        <v>0</v>
      </c>
      <c r="M126" s="117">
        <f>VLOOKUP(A126,JanApport,MATCH($M$4,'Jan 2022 Apport'!$3:$3,0),FALSE)</f>
        <v>222941.79</v>
      </c>
      <c r="N126" s="117">
        <f>VLOOKUP(A126,JanApport,MATCH($N$4,'Jan 2022 Apport'!$3:$3,0),FALSE)</f>
        <v>71830.89</v>
      </c>
      <c r="O126" s="117">
        <f>VLOOKUP(A126,JanApport,MATCH($O$4,'Jan 2022 Apport'!$3:$3,0),FALSE)</f>
        <v>51186.16</v>
      </c>
      <c r="P126" s="121">
        <f>IFERROR((VLOOKUP(A126,ExcessLevy!A:G,3,FALSE)*0.28),0)+IFERROR((VLOOKUP(A126,ExcessLevy!A:G,6,FALSE)*0.72),0)</f>
        <v>229818.36040000001</v>
      </c>
      <c r="Q126" s="121">
        <f>IFERROR((VLOOKUP(A126,ExcessLevy!A:G,4,FALSE)*0.4738),0)+IFERROR((VLOOKUP(A126,ExcessLevy!A:G,7,FALSE)*0.5262),0)</f>
        <v>2340365.8309999998</v>
      </c>
      <c r="R126">
        <f>VLOOKUP(A126,JanApport,MATCH($R$4,'Jan 2022 Apport'!$3:$3,0),FALSE)</f>
        <v>0</v>
      </c>
      <c r="S126">
        <f>VLOOKUP(A126,JanApport,MATCH($S$4,'Jan 2022 Apport'!$3:$3,0),FALSE)</f>
        <v>0</v>
      </c>
      <c r="T126">
        <f>VLOOKUP(A126,JanApport,MATCH($T$4,'Jan 2022 Apport'!$3:$3,0),FALSE)</f>
        <v>44.81</v>
      </c>
      <c r="U126" s="132">
        <f>IFERROR(VLOOKUP(A126,JanApport,MATCH($U$4,'Jan 2022 Apport'!$3:$3,0),FALSE)/R126,0)</f>
        <v>0</v>
      </c>
      <c r="V126" s="30">
        <f>IFERROR(((VLOOKUP(A126,JanApport,MATCH($V$4,'Jan 2022 Apport'!$3:$3,0),FALSE)+VLOOKUP(A126,JanApport,MATCH($V$3,'Jan 2022 Apport'!$3:$3,0),FALSE))/(S126+T126)),0)</f>
        <v>9491.9165364873916</v>
      </c>
      <c r="W126" s="30">
        <f t="shared" si="14"/>
        <v>8420.8524946760499</v>
      </c>
      <c r="X126">
        <f>VLOOKUP(A126,JanApport,MATCH($X$4,'Jan 2022 Apport'!$3:$3,0),FALSE)</f>
        <v>4.8578999999999997E-2</v>
      </c>
      <c r="Y126">
        <f>VLOOKUP(A126,JanApport,MATCH($Y$4,'Jan 2022 Apport'!$3:$3,0),FALSE)</f>
        <v>4.0270000000000002E-3</v>
      </c>
      <c r="Z126">
        <f>VLOOKUP(A126,JanApport,MATCH($Z$4,'Jan 2022 Apport'!$3:$3,0),FALSE)</f>
        <v>1.7100000000000001E-2</v>
      </c>
      <c r="AA126" s="77">
        <f>VLOOKUP(A126,JanApport,MATCH($AA$4,'Jan 2022 Apport'!$3:$3,0),FALSE)*VLOOKUP(A126,JanApport,MATCH($AA$3,'Jan 2022 Apport'!$3:$3,0),FALSE)</f>
        <v>71640.100000000006</v>
      </c>
      <c r="AB126" s="77">
        <f>VLOOKUP(A126,JanApport,MATCH($AB$4,'Jan 2022 Apport'!$3:$3,0),FALSE)*VLOOKUP(A126,JanApport,MATCH($AB$3,'Jan 2022 Apport'!$3:$3,0),FALSE)</f>
        <v>73073.22</v>
      </c>
      <c r="AC126" s="77">
        <f>VLOOKUP(A126,JanApport,MATCH($AC$4,'Jan 2022 Apport'!$3:$3,0),FALSE)</f>
        <v>100321</v>
      </c>
      <c r="AD126" s="77">
        <f>VLOOKUP(A126,JanApport,MATCH($AD$4,'Jan 2022 Apport'!$3:$3,0),FALSE)*VLOOKUP(A126,JanApport,MATCH($AD$3,'Jan 2022 Apport'!$3:$3,0),FALSE)</f>
        <v>108466.62000000001</v>
      </c>
      <c r="AE126" s="77">
        <f>VLOOKUP(A126,JanApport,MATCH($AE$4,'Jan 2022 Apport'!$3:$3,0),FALSE)</f>
        <v>48483</v>
      </c>
      <c r="AF126" s="77">
        <f>VLOOKUP(A126,JanApport,MATCH($AF$4,'Jan 2022 Apport'!$3:$3,0),FALSE)*VLOOKUP(A126,JanApport,MATCH($AF$3,'Jan 2022 Apport'!$3:$3,0),FALSE)</f>
        <v>52420.18</v>
      </c>
      <c r="AG126" s="77">
        <f t="shared" si="15"/>
        <v>101507.296294</v>
      </c>
      <c r="AH126" s="77">
        <f t="shared" si="16"/>
        <v>144895.57743400004</v>
      </c>
      <c r="AI126" s="77">
        <f t="shared" si="17"/>
        <v>80819.594016556002</v>
      </c>
      <c r="AJ126" s="3">
        <f>VLOOKUP(A126,JanApport,MATCH($AJ$4,'Jan 2022 Apport'!$3:$3,0),FALSE)</f>
        <v>2078745.37</v>
      </c>
      <c r="AK126" s="3">
        <f>VLOOKUP(A126,JanApport,MATCH($AK$4,'Jan 2022 Apport'!$3:$3,0),FALSE)</f>
        <v>31.398</v>
      </c>
      <c r="AL126" s="117">
        <f t="shared" si="18"/>
        <v>17852678.07</v>
      </c>
      <c r="AM126" s="117">
        <f>VLOOKUP(A126,JanApport,MATCH($AM$4,'Jan 2022 Apport'!$3:$3,0),FALSE)</f>
        <v>0</v>
      </c>
      <c r="AN126" s="117">
        <f>VLOOKUP(A126,JanApport,MATCH($AN$4,'Jan 2022 Apport'!$3:$3,0),FALSE)</f>
        <v>125350.52</v>
      </c>
    </row>
    <row r="127" spans="1:40">
      <c r="A127" s="2" t="s">
        <v>409</v>
      </c>
      <c r="B127" s="2" t="s">
        <v>410</v>
      </c>
      <c r="C127" s="2" t="s">
        <v>1267</v>
      </c>
      <c r="D127" s="118">
        <f>VLOOKUP(A127,JanApport,MATCH($D$4,'Jan 2022 Apport'!$3:$3,FALSE),FALSE)</f>
        <v>5804910.0099999998</v>
      </c>
      <c r="E127" s="30">
        <f>VLOOKUP(A127,JanApport,MATCH($E$2,'Jan 2022 Apport'!$3:$3,0),FALSE)+VLOOKUP(A127,JanApport,MATCH($E$3,'Jan 2022 Apport'!$3:$3,0),FALSE)+VLOOKUP(A127,JanApport,MATCH($E$4,'Jan 2022 Apport'!$3:$3,0),FALSE)</f>
        <v>149905.16</v>
      </c>
      <c r="F127" s="118">
        <f>D127-E127</f>
        <v>5655004.8499999996</v>
      </c>
      <c r="G127" s="117">
        <f>VLOOKUP(A127,JanApport,MATCH($G$4,'Jan 2022 Apport'!$3:$3,0),FALSE)</f>
        <v>32432.83</v>
      </c>
      <c r="H127" s="117">
        <f>VLOOKUP(A127,JanApport,MATCH($H$3,'Jan 2022 Apport'!$3:$3,0),FALSE)+VLOOKUP(A127,JanApport,MATCH($H$2,'Jan 2022 Apport'!$3:$3,0),FALSE)+VLOOKUP(A127,JanApport,MATCH($H$4,'Jan 2022 Apport'!$3:$3,0),FALSE)</f>
        <v>751357.47000000009</v>
      </c>
      <c r="I127" s="117">
        <f t="shared" si="20"/>
        <v>783790.3</v>
      </c>
      <c r="J127" s="117">
        <f>VLOOKUP(A127,JanApport,MATCH($J$4,'Jan 2022 Apport'!$3:$3,0),FALSE)</f>
        <v>580603.92000000004</v>
      </c>
      <c r="K127" s="117">
        <f>VLOOKUP(A127,JanApport,MATCH($K$4,'Jan 2022 Apport'!$3:$3,0),FALSE)</f>
        <v>74161.899999999994</v>
      </c>
      <c r="L127" s="117">
        <f t="shared" si="21"/>
        <v>654765.82000000007</v>
      </c>
      <c r="M127" s="117">
        <f>VLOOKUP(A127,JanApport,MATCH($M$4,'Jan 2022 Apport'!$3:$3,0),FALSE)</f>
        <v>239440.63</v>
      </c>
      <c r="N127" s="117">
        <f>VLOOKUP(A127,JanApport,MATCH($N$4,'Jan 2022 Apport'!$3:$3,0),FALSE)</f>
        <v>20529.849999999999</v>
      </c>
      <c r="O127" s="117">
        <f>VLOOKUP(A127,JanApport,MATCH($O$4,'Jan 2022 Apport'!$3:$3,0),FALSE)</f>
        <v>18521.5</v>
      </c>
      <c r="P127" s="121">
        <f>IFERROR((VLOOKUP(A127,ExcessLevy!A:G,3,FALSE)*0.28),0)+IFERROR((VLOOKUP(A127,ExcessLevy!A:G,6,FALSE)*0.72),0)</f>
        <v>0</v>
      </c>
      <c r="Q127" s="121">
        <f>IFERROR((VLOOKUP(A127,ExcessLevy!A:G,4,FALSE)*0.4738),0)+IFERROR((VLOOKUP(A127,ExcessLevy!A:G,7,FALSE)*0.5262),0)</f>
        <v>922056.66359999997</v>
      </c>
      <c r="R127">
        <f>VLOOKUP(A127,JanApport,MATCH($R$4,'Jan 2022 Apport'!$3:$3,0),FALSE)</f>
        <v>0</v>
      </c>
      <c r="S127">
        <f>VLOOKUP(A127,JanApport,MATCH($S$4,'Jan 2022 Apport'!$3:$3,0),FALSE)</f>
        <v>0</v>
      </c>
      <c r="T127">
        <f>VLOOKUP(A127,JanApport,MATCH($T$4,'Jan 2022 Apport'!$3:$3,0),FALSE)</f>
        <v>15.18</v>
      </c>
      <c r="U127" s="132">
        <f>IFERROR(VLOOKUP(A127,JanApport,MATCH($U$4,'Jan 2022 Apport'!$3:$3,0),FALSE)/R127,0)</f>
        <v>0</v>
      </c>
      <c r="V127" s="30">
        <f>IFERROR(((VLOOKUP(A127,JanApport,MATCH($V$4,'Jan 2022 Apport'!$3:$3,0),FALSE)+VLOOKUP(A127,JanApport,MATCH($V$3,'Jan 2022 Apport'!$3:$3,0),FALSE))/(S127+T127)),0)</f>
        <v>9875.1752305665359</v>
      </c>
      <c r="W127" s="30">
        <f t="shared" si="14"/>
        <v>8758.0802925734424</v>
      </c>
      <c r="X127">
        <f>VLOOKUP(A127,JanApport,MATCH($X$4,'Jan 2022 Apport'!$3:$3,0),FALSE)</f>
        <v>4.8578999999999997E-2</v>
      </c>
      <c r="Y127">
        <f>VLOOKUP(A127,JanApport,MATCH($Y$4,'Jan 2022 Apport'!$3:$3,0),FALSE)</f>
        <v>4.0270000000000002E-3</v>
      </c>
      <c r="Z127">
        <f>VLOOKUP(A127,JanApport,MATCH($Z$4,'Jan 2022 Apport'!$3:$3,0),FALSE)</f>
        <v>1.7100000000000001E-2</v>
      </c>
      <c r="AA127" s="77">
        <f>VLOOKUP(A127,JanApport,MATCH($AA$4,'Jan 2022 Apport'!$3:$3,0),FALSE)*VLOOKUP(A127,JanApport,MATCH($AA$3,'Jan 2022 Apport'!$3:$3,0),FALSE)</f>
        <v>75695.200000000012</v>
      </c>
      <c r="AB127" s="77">
        <f>VLOOKUP(A127,JanApport,MATCH($AB$4,'Jan 2022 Apport'!$3:$3,0),FALSE)*VLOOKUP(A127,JanApport,MATCH($AB$3,'Jan 2022 Apport'!$3:$3,0),FALSE)</f>
        <v>77209.440000000002</v>
      </c>
      <c r="AC127" s="77">
        <f>VLOOKUP(A127,JanApport,MATCH($AC$4,'Jan 2022 Apport'!$3:$3,0),FALSE)</f>
        <v>100321</v>
      </c>
      <c r="AD127" s="77">
        <f>VLOOKUP(A127,JanApport,MATCH($AD$4,'Jan 2022 Apport'!$3:$3,0),FALSE)*VLOOKUP(A127,JanApport,MATCH($AD$3,'Jan 2022 Apport'!$3:$3,0),FALSE)</f>
        <v>114606.24</v>
      </c>
      <c r="AE127" s="77">
        <f>VLOOKUP(A127,JanApport,MATCH($AE$4,'Jan 2022 Apport'!$3:$3,0),FALSE)</f>
        <v>48483</v>
      </c>
      <c r="AF127" s="77">
        <f>VLOOKUP(A127,JanApport,MATCH($AF$4,'Jan 2022 Apport'!$3:$3,0),FALSE)*VLOOKUP(A127,JanApport,MATCH($AF$3,'Jan 2022 Apport'!$3:$3,0),FALSE)</f>
        <v>55387.360000000008</v>
      </c>
      <c r="AG127" s="77">
        <f t="shared" si="15"/>
        <v>106582.33268799999</v>
      </c>
      <c r="AH127" s="77">
        <f t="shared" si="16"/>
        <v>152390.21156800003</v>
      </c>
      <c r="AI127" s="77">
        <f t="shared" si="17"/>
        <v>84357.998300512001</v>
      </c>
      <c r="AJ127" s="3">
        <f>VLOOKUP(A127,JanApport,MATCH($AJ$4,'Jan 2022 Apport'!$3:$3,0),FALSE)</f>
        <v>794788</v>
      </c>
      <c r="AK127" s="3">
        <f>VLOOKUP(A127,JanApport,MATCH($AK$4,'Jan 2022 Apport'!$3:$3,0),FALSE)</f>
        <v>9.7919999999999998</v>
      </c>
      <c r="AL127" s="117">
        <f t="shared" si="18"/>
        <v>7570863.7799999993</v>
      </c>
      <c r="AM127" s="117">
        <f>VLOOKUP(A127,JanApport,MATCH($AM$4,'Jan 2022 Apport'!$3:$3,0),FALSE)</f>
        <v>123067.57</v>
      </c>
      <c r="AN127" s="117">
        <f>VLOOKUP(A127,JanApport,MATCH($AN$4,'Jan 2022 Apport'!$3:$3,0),FALSE)</f>
        <v>50509.58</v>
      </c>
    </row>
    <row r="128" spans="1:40">
      <c r="A128" s="2" t="s">
        <v>555</v>
      </c>
      <c r="B128" s="2" t="s">
        <v>556</v>
      </c>
      <c r="C128" s="2" t="s">
        <v>1267</v>
      </c>
      <c r="D128" s="118">
        <f>VLOOKUP(A128,JanApport,MATCH($D$4,'Jan 2022 Apport'!$3:$3,FALSE),FALSE)</f>
        <v>1966491.9</v>
      </c>
      <c r="E128" s="30">
        <f>VLOOKUP(A128,JanApport,MATCH($E$2,'Jan 2022 Apport'!$3:$3,0),FALSE)+VLOOKUP(A128,JanApport,MATCH($E$3,'Jan 2022 Apport'!$3:$3,0),FALSE)+VLOOKUP(A128,JanApport,MATCH($E$4,'Jan 2022 Apport'!$3:$3,0),FALSE)</f>
        <v>34051.71</v>
      </c>
      <c r="F128" s="118">
        <f t="shared" si="19"/>
        <v>1932440.19</v>
      </c>
      <c r="G128" s="117">
        <f>VLOOKUP(A128,JanApport,MATCH($G$4,'Jan 2022 Apport'!$3:$3,0),FALSE)</f>
        <v>20543.55</v>
      </c>
      <c r="H128" s="117">
        <f>VLOOKUP(A128,JanApport,MATCH($H$3,'Jan 2022 Apport'!$3:$3,0),FALSE)+VLOOKUP(A128,JanApport,MATCH($H$2,'Jan 2022 Apport'!$3:$3,0),FALSE)+VLOOKUP(A128,JanApport,MATCH($H$4,'Jan 2022 Apport'!$3:$3,0),FALSE)</f>
        <v>94052.63</v>
      </c>
      <c r="I128" s="117">
        <f t="shared" si="20"/>
        <v>114596.18000000001</v>
      </c>
      <c r="J128" s="117">
        <f>VLOOKUP(A128,JanApport,MATCH($J$4,'Jan 2022 Apport'!$3:$3,0),FALSE)</f>
        <v>236759.56</v>
      </c>
      <c r="K128" s="117">
        <f>VLOOKUP(A128,JanApport,MATCH($K$4,'Jan 2022 Apport'!$3:$3,0),FALSE)</f>
        <v>59697.2</v>
      </c>
      <c r="L128" s="117">
        <f t="shared" si="21"/>
        <v>296456.76</v>
      </c>
      <c r="M128" s="117">
        <f>VLOOKUP(A128,JanApport,MATCH($M$4,'Jan 2022 Apport'!$3:$3,0),FALSE)</f>
        <v>20048.88</v>
      </c>
      <c r="N128" s="117">
        <f>VLOOKUP(A128,JanApport,MATCH($N$4,'Jan 2022 Apport'!$3:$3,0),FALSE)</f>
        <v>0</v>
      </c>
      <c r="O128" s="117">
        <f>VLOOKUP(A128,JanApport,MATCH($O$4,'Jan 2022 Apport'!$3:$3,0),FALSE)</f>
        <v>2328.9</v>
      </c>
      <c r="P128" s="121">
        <f>IFERROR((VLOOKUP(A128,ExcessLevy!A:G,3,FALSE)*0.28),0)+IFERROR((VLOOKUP(A128,ExcessLevy!A:G,6,FALSE)*0.72),0)</f>
        <v>0</v>
      </c>
      <c r="Q128" s="121">
        <f>IFERROR((VLOOKUP(A128,ExcessLevy!A:G,4,FALSE)*0.4738),0)+IFERROR((VLOOKUP(A128,ExcessLevy!A:G,7,FALSE)*0.5262),0)</f>
        <v>214258.01680000001</v>
      </c>
      <c r="R128">
        <f>VLOOKUP(A128,JanApport,MATCH($R$4,'Jan 2022 Apport'!$3:$3,0),FALSE)</f>
        <v>0</v>
      </c>
      <c r="S128">
        <f>VLOOKUP(A128,JanApport,MATCH($S$4,'Jan 2022 Apport'!$3:$3,0),FALSE)</f>
        <v>0</v>
      </c>
      <c r="T128">
        <f>VLOOKUP(A128,JanApport,MATCH($T$4,'Jan 2022 Apport'!$3:$3,0),FALSE)</f>
        <v>3.74</v>
      </c>
      <c r="U128" s="132">
        <f>IFERROR(VLOOKUP(A128,JanApport,MATCH($U$4,'Jan 2022 Apport'!$3:$3,0),FALSE)/R128,0)</f>
        <v>0</v>
      </c>
      <c r="V128" s="30">
        <f>IFERROR(((VLOOKUP(A128,JanApport,MATCH($V$4,'Jan 2022 Apport'!$3:$3,0),FALSE)+VLOOKUP(A128,JanApport,MATCH($V$3,'Jan 2022 Apport'!$3:$3,0),FALSE))/(S128+T128)),0)</f>
        <v>9104.7352941176468</v>
      </c>
      <c r="W128" s="30">
        <f t="shared" si="14"/>
        <v>2452.5713248960005</v>
      </c>
      <c r="X128">
        <f>VLOOKUP(A128,JanApport,MATCH($X$4,'Jan 2022 Apport'!$3:$3,0),FALSE)</f>
        <v>4.8578999999999997E-2</v>
      </c>
      <c r="Y128">
        <f>VLOOKUP(A128,JanApport,MATCH($Y$4,'Jan 2022 Apport'!$3:$3,0),FALSE)</f>
        <v>4.0270000000000002E-3</v>
      </c>
      <c r="Z128">
        <f>VLOOKUP(A128,JanApport,MATCH($Z$4,'Jan 2022 Apport'!$3:$3,0),FALSE)</f>
        <v>1.7100000000000001E-2</v>
      </c>
      <c r="AA128" s="77">
        <f>VLOOKUP(A128,JanApport,MATCH($AA$4,'Jan 2022 Apport'!$3:$3,0),FALSE)*VLOOKUP(A128,JanApport,MATCH($AA$3,'Jan 2022 Apport'!$3:$3,0),FALSE)</f>
        <v>67585</v>
      </c>
      <c r="AB128" s="77">
        <f>VLOOKUP(A128,JanApport,MATCH($AB$4,'Jan 2022 Apport'!$3:$3,0),FALSE)*VLOOKUP(A128,JanApport,MATCH($AB$3,'Jan 2022 Apport'!$3:$3,0),FALSE)</f>
        <v>0</v>
      </c>
      <c r="AC128" s="77">
        <f>VLOOKUP(A128,JanApport,MATCH($AC$4,'Jan 2022 Apport'!$3:$3,0),FALSE)</f>
        <v>0</v>
      </c>
      <c r="AD128" s="77">
        <f>VLOOKUP(A128,JanApport,MATCH($AD$4,'Jan 2022 Apport'!$3:$3,0),FALSE)*VLOOKUP(A128,JanApport,MATCH($AD$3,'Jan 2022 Apport'!$3:$3,0),FALSE)</f>
        <v>0</v>
      </c>
      <c r="AE128" s="77">
        <f>VLOOKUP(A128,JanApport,MATCH($AE$4,'Jan 2022 Apport'!$3:$3,0),FALSE)</f>
        <v>0</v>
      </c>
      <c r="AF128" s="77">
        <f>VLOOKUP(A128,JanApport,MATCH($AF$4,'Jan 2022 Apport'!$3:$3,0),FALSE)*VLOOKUP(A128,JanApport,MATCH($AF$3,'Jan 2022 Apport'!$3:$3,0),FALSE)</f>
        <v>0</v>
      </c>
      <c r="AG128" s="77">
        <f t="shared" si="15"/>
        <v>12280.864000000009</v>
      </c>
      <c r="AH128" s="77">
        <f t="shared" si="16"/>
        <v>11848.32</v>
      </c>
      <c r="AI128" s="77">
        <f t="shared" si="17"/>
        <v>16610.88</v>
      </c>
      <c r="AJ128" s="3">
        <f>VLOOKUP(A128,JanApport,MATCH($AJ$4,'Jan 2022 Apport'!$3:$3,0),FALSE)</f>
        <v>215232.95</v>
      </c>
      <c r="AK128" s="3">
        <f>VLOOKUP(A128,JanApport,MATCH($AK$4,'Jan 2022 Apport'!$3:$3,0),FALSE)</f>
        <v>1.766</v>
      </c>
      <c r="AL128" s="117">
        <f t="shared" si="18"/>
        <v>2340225.42</v>
      </c>
      <c r="AM128" s="117">
        <f>VLOOKUP(A128,JanApport,MATCH($AM$4,'Jan 2022 Apport'!$3:$3,0),FALSE)</f>
        <v>0</v>
      </c>
      <c r="AN128" s="117">
        <f>VLOOKUP(A128,JanApport,MATCH($AN$4,'Jan 2022 Apport'!$3:$3,0),FALSE)</f>
        <v>18240.09</v>
      </c>
    </row>
    <row r="129" spans="1:40">
      <c r="A129" s="2" t="s">
        <v>35</v>
      </c>
      <c r="B129" s="2" t="s">
        <v>36</v>
      </c>
      <c r="C129" s="2" t="s">
        <v>1267</v>
      </c>
      <c r="D129" s="118">
        <f>VLOOKUP(A129,JanApport,MATCH($D$4,'Jan 2022 Apport'!$3:$3,FALSE),FALSE)</f>
        <v>11094892.07</v>
      </c>
      <c r="E129" s="30">
        <f>VLOOKUP(A129,JanApport,MATCH($E$2,'Jan 2022 Apport'!$3:$3,0),FALSE)+VLOOKUP(A129,JanApport,MATCH($E$3,'Jan 2022 Apport'!$3:$3,0),FALSE)+VLOOKUP(A129,JanApport,MATCH($E$4,'Jan 2022 Apport'!$3:$3,0),FALSE)</f>
        <v>903101.93</v>
      </c>
      <c r="F129" s="118">
        <f t="shared" si="19"/>
        <v>10191790.140000001</v>
      </c>
      <c r="G129" s="117">
        <f>VLOOKUP(A129,JanApport,MATCH($G$4,'Jan 2022 Apport'!$3:$3,0),FALSE)</f>
        <v>46670.23</v>
      </c>
      <c r="H129" s="117">
        <f>VLOOKUP(A129,JanApport,MATCH($H$3,'Jan 2022 Apport'!$3:$3,0),FALSE)+VLOOKUP(A129,JanApport,MATCH($H$2,'Jan 2022 Apport'!$3:$3,0),FALSE)+VLOOKUP(A129,JanApport,MATCH($H$4,'Jan 2022 Apport'!$3:$3,0),FALSE)</f>
        <v>1096939.48</v>
      </c>
      <c r="I129" s="117">
        <f t="shared" si="20"/>
        <v>1143609.71</v>
      </c>
      <c r="J129" s="117">
        <f>VLOOKUP(A129,JanApport,MATCH($J$4,'Jan 2022 Apport'!$3:$3,0),FALSE)</f>
        <v>784172.17</v>
      </c>
      <c r="K129" s="117">
        <f>VLOOKUP(A129,JanApport,MATCH($K$4,'Jan 2022 Apport'!$3:$3,0),FALSE)</f>
        <v>140926.01</v>
      </c>
      <c r="L129" s="117">
        <f t="shared" si="21"/>
        <v>925098.18</v>
      </c>
      <c r="M129" s="117">
        <f>VLOOKUP(A129,JanApport,MATCH($M$4,'Jan 2022 Apport'!$3:$3,0),FALSE)</f>
        <v>485749.71</v>
      </c>
      <c r="N129" s="117">
        <f>VLOOKUP(A129,JanApport,MATCH($N$4,'Jan 2022 Apport'!$3:$3,0),FALSE)</f>
        <v>538776.16</v>
      </c>
      <c r="O129" s="117">
        <f>VLOOKUP(A129,JanApport,MATCH($O$4,'Jan 2022 Apport'!$3:$3,0),FALSE)</f>
        <v>35318.36</v>
      </c>
      <c r="P129" s="121">
        <f>IFERROR((VLOOKUP(A129,ExcessLevy!A:G,3,FALSE)*0.28),0)+IFERROR((VLOOKUP(A129,ExcessLevy!A:G,6,FALSE)*0.72),0)</f>
        <v>0</v>
      </c>
      <c r="Q129" s="121">
        <f>IFERROR((VLOOKUP(A129,ExcessLevy!A:G,4,FALSE)*0.4738),0)+IFERROR((VLOOKUP(A129,ExcessLevy!A:G,7,FALSE)*0.5262),0)</f>
        <v>3584631.1181159997</v>
      </c>
      <c r="R129">
        <f>VLOOKUP(A129,JanApport,MATCH($R$4,'Jan 2022 Apport'!$3:$3,0),FALSE)</f>
        <v>0</v>
      </c>
      <c r="S129">
        <f>VLOOKUP(A129,JanApport,MATCH($S$4,'Jan 2022 Apport'!$3:$3,0),FALSE)</f>
        <v>0</v>
      </c>
      <c r="T129">
        <f>VLOOKUP(A129,JanApport,MATCH($T$4,'Jan 2022 Apport'!$3:$3,0),FALSE)</f>
        <v>101.2</v>
      </c>
      <c r="U129" s="132">
        <f>IFERROR(VLOOKUP(A129,JanApport,MATCH($U$4,'Jan 2022 Apport'!$3:$3,0),FALSE)/R129,0)</f>
        <v>0</v>
      </c>
      <c r="V129" s="30">
        <f>IFERROR(((VLOOKUP(A129,JanApport,MATCH($V$4,'Jan 2022 Apport'!$3:$3,0),FALSE)+VLOOKUP(A129,JanApport,MATCH($V$3,'Jan 2022 Apport'!$3:$3,0),FALSE))/(S129+T129)),0)</f>
        <v>8923.9321146245056</v>
      </c>
      <c r="W129" s="30">
        <f t="shared" si="14"/>
        <v>8307.6027265112134</v>
      </c>
      <c r="X129">
        <f>VLOOKUP(A129,JanApport,MATCH($X$4,'Jan 2022 Apport'!$3:$3,0),FALSE)</f>
        <v>4.8578999999999997E-2</v>
      </c>
      <c r="Y129">
        <f>VLOOKUP(A129,JanApport,MATCH($Y$4,'Jan 2022 Apport'!$3:$3,0),FALSE)</f>
        <v>4.0270000000000002E-3</v>
      </c>
      <c r="Z129">
        <f>VLOOKUP(A129,JanApport,MATCH($Z$4,'Jan 2022 Apport'!$3:$3,0),FALSE)</f>
        <v>1.7100000000000001E-2</v>
      </c>
      <c r="AA129" s="77">
        <f>VLOOKUP(A129,JanApport,MATCH($AA$4,'Jan 2022 Apport'!$3:$3,0),FALSE)*VLOOKUP(A129,JanApport,MATCH($AA$3,'Jan 2022 Apport'!$3:$3,0),FALSE)</f>
        <v>67585</v>
      </c>
      <c r="AB129" s="77">
        <f>VLOOKUP(A129,JanApport,MATCH($AB$4,'Jan 2022 Apport'!$3:$3,0),FALSE)*VLOOKUP(A129,JanApport,MATCH($AB$3,'Jan 2022 Apport'!$3:$3,0),FALSE)</f>
        <v>71694.48</v>
      </c>
      <c r="AC129" s="77">
        <f>VLOOKUP(A129,JanApport,MATCH($AC$4,'Jan 2022 Apport'!$3:$3,0),FALSE)</f>
        <v>100321</v>
      </c>
      <c r="AD129" s="77">
        <f>VLOOKUP(A129,JanApport,MATCH($AD$4,'Jan 2022 Apport'!$3:$3,0),FALSE)*VLOOKUP(A129,JanApport,MATCH($AD$3,'Jan 2022 Apport'!$3:$3,0),FALSE)</f>
        <v>106420.08</v>
      </c>
      <c r="AE129" s="77">
        <f>VLOOKUP(A129,JanApport,MATCH($AE$4,'Jan 2022 Apport'!$3:$3,0),FALSE)</f>
        <v>48483</v>
      </c>
      <c r="AF129" s="77">
        <f>VLOOKUP(A129,JanApport,MATCH($AF$4,'Jan 2022 Apport'!$3:$3,0),FALSE)*VLOOKUP(A129,JanApport,MATCH($AF$3,'Jan 2022 Apport'!$3:$3,0),FALSE)</f>
        <v>51431.12</v>
      </c>
      <c r="AG129" s="77">
        <f t="shared" si="15"/>
        <v>99798.31573599999</v>
      </c>
      <c r="AH129" s="77">
        <f t="shared" si="16"/>
        <v>142397.366056</v>
      </c>
      <c r="AI129" s="77">
        <f t="shared" si="17"/>
        <v>79640.125921903993</v>
      </c>
      <c r="AJ129" s="3">
        <f>VLOOKUP(A129,JanApport,MATCH($AJ$4,'Jan 2022 Apport'!$3:$3,0),FALSE)</f>
        <v>1613428.25</v>
      </c>
      <c r="AK129" s="3">
        <f>VLOOKUP(A129,JanApport,MATCH($AK$4,'Jan 2022 Apport'!$3:$3,0),FALSE)</f>
        <v>20.966999999999999</v>
      </c>
      <c r="AL129" s="117">
        <f t="shared" si="18"/>
        <v>14448811.609999999</v>
      </c>
      <c r="AM129" s="117">
        <f>VLOOKUP(A129,JanApport,MATCH($AM$4,'Jan 2022 Apport'!$3:$3,0),FALSE)</f>
        <v>366293.43</v>
      </c>
      <c r="AN129" s="117">
        <f>VLOOKUP(A129,JanApport,MATCH($AN$4,'Jan 2022 Apport'!$3:$3,0),FALSE)</f>
        <v>87323.9</v>
      </c>
    </row>
    <row r="130" spans="1:40">
      <c r="A130" s="2" t="s">
        <v>155</v>
      </c>
      <c r="B130" s="2" t="s">
        <v>156</v>
      </c>
      <c r="C130" s="2" t="s">
        <v>1267</v>
      </c>
      <c r="D130" s="118">
        <f>VLOOKUP(A130,JanApport,MATCH($D$4,'Jan 2022 Apport'!$3:$3,FALSE),FALSE)</f>
        <v>2476801.54</v>
      </c>
      <c r="E130" s="30">
        <f>VLOOKUP(A130,JanApport,MATCH($E$2,'Jan 2022 Apport'!$3:$3,0),FALSE)+VLOOKUP(A130,JanApport,MATCH($E$3,'Jan 2022 Apport'!$3:$3,0),FALSE)+VLOOKUP(A130,JanApport,MATCH($E$4,'Jan 2022 Apport'!$3:$3,0),FALSE)</f>
        <v>44542.95</v>
      </c>
      <c r="F130" s="118">
        <f t="shared" si="19"/>
        <v>2432258.59</v>
      </c>
      <c r="G130" s="117">
        <f>VLOOKUP(A130,JanApport,MATCH($G$4,'Jan 2022 Apport'!$3:$3,0),FALSE)</f>
        <v>9877.68</v>
      </c>
      <c r="H130" s="117">
        <f>VLOOKUP(A130,JanApport,MATCH($H$3,'Jan 2022 Apport'!$3:$3,0),FALSE)+VLOOKUP(A130,JanApport,MATCH($H$2,'Jan 2022 Apport'!$3:$3,0),FALSE)+VLOOKUP(A130,JanApport,MATCH($H$4,'Jan 2022 Apport'!$3:$3,0),FALSE)</f>
        <v>248036.66</v>
      </c>
      <c r="I130" s="117">
        <f t="shared" si="20"/>
        <v>257914.34</v>
      </c>
      <c r="J130" s="117">
        <f>VLOOKUP(A130,JanApport,MATCH($J$4,'Jan 2022 Apport'!$3:$3,0),FALSE)</f>
        <v>210378.84</v>
      </c>
      <c r="K130" s="117">
        <f>VLOOKUP(A130,JanApport,MATCH($K$4,'Jan 2022 Apport'!$3:$3,0),FALSE)</f>
        <v>42167.93</v>
      </c>
      <c r="L130" s="117">
        <f t="shared" si="21"/>
        <v>252546.77</v>
      </c>
      <c r="M130" s="117">
        <f>VLOOKUP(A130,JanApport,MATCH($M$4,'Jan 2022 Apport'!$3:$3,0),FALSE)</f>
        <v>112412.15</v>
      </c>
      <c r="N130" s="117">
        <f>VLOOKUP(A130,JanApport,MATCH($N$4,'Jan 2022 Apport'!$3:$3,0),FALSE)</f>
        <v>73180.41</v>
      </c>
      <c r="O130" s="117">
        <f>VLOOKUP(A130,JanApport,MATCH($O$4,'Jan 2022 Apport'!$3:$3,0),FALSE)</f>
        <v>0</v>
      </c>
      <c r="P130" s="121">
        <f>IFERROR((VLOOKUP(A130,ExcessLevy!A:G,3,FALSE)*0.28),0)+IFERROR((VLOOKUP(A130,ExcessLevy!A:G,6,FALSE)*0.72),0)</f>
        <v>41754.297600000005</v>
      </c>
      <c r="Q130" s="121">
        <f>IFERROR((VLOOKUP(A130,ExcessLevy!A:G,4,FALSE)*0.4738),0)+IFERROR((VLOOKUP(A130,ExcessLevy!A:G,7,FALSE)*0.5262),0)</f>
        <v>331448</v>
      </c>
      <c r="R130">
        <f>VLOOKUP(A130,JanApport,MATCH($R$4,'Jan 2022 Apport'!$3:$3,0),FALSE)</f>
        <v>0</v>
      </c>
      <c r="S130">
        <f>VLOOKUP(A130,JanApport,MATCH($S$4,'Jan 2022 Apport'!$3:$3,0),FALSE)</f>
        <v>0</v>
      </c>
      <c r="T130">
        <f>VLOOKUP(A130,JanApport,MATCH($T$4,'Jan 2022 Apport'!$3:$3,0),FALSE)</f>
        <v>5</v>
      </c>
      <c r="U130" s="132">
        <f>IFERROR(VLOOKUP(A130,JanApport,MATCH($U$4,'Jan 2022 Apport'!$3:$3,0),FALSE)/R130,0)</f>
        <v>0</v>
      </c>
      <c r="V130" s="30">
        <f>IFERROR(((VLOOKUP(A130,JanApport,MATCH($V$4,'Jan 2022 Apport'!$3:$3,0),FALSE)+VLOOKUP(A130,JanApport,MATCH($V$3,'Jan 2022 Apport'!$3:$3,0),FALSE))/(S130+T130)),0)</f>
        <v>8908.59</v>
      </c>
      <c r="W130" s="30">
        <f t="shared" si="14"/>
        <v>8083.6246967786601</v>
      </c>
      <c r="X130">
        <f>VLOOKUP(A130,JanApport,MATCH($X$4,'Jan 2022 Apport'!$3:$3,0),FALSE)</f>
        <v>4.8578999999999997E-2</v>
      </c>
      <c r="Y130">
        <f>VLOOKUP(A130,JanApport,MATCH($Y$4,'Jan 2022 Apport'!$3:$3,0),FALSE)</f>
        <v>4.0270000000000002E-3</v>
      </c>
      <c r="Z130">
        <f>VLOOKUP(A130,JanApport,MATCH($Z$4,'Jan 2022 Apport'!$3:$3,0),FALSE)</f>
        <v>1.7100000000000001E-2</v>
      </c>
      <c r="AA130" s="77">
        <f>VLOOKUP(A130,JanApport,MATCH($AA$4,'Jan 2022 Apport'!$3:$3,0),FALSE)*VLOOKUP(A130,JanApport,MATCH($AA$3,'Jan 2022 Apport'!$3:$3,0),FALSE)</f>
        <v>67585</v>
      </c>
      <c r="AB130" s="77">
        <f>VLOOKUP(A130,JanApport,MATCH($AB$4,'Jan 2022 Apport'!$3:$3,0),FALSE)*VLOOKUP(A130,JanApport,MATCH($AB$3,'Jan 2022 Apport'!$3:$3,0),FALSE)</f>
        <v>68937</v>
      </c>
      <c r="AC130" s="77">
        <f>VLOOKUP(A130,JanApport,MATCH($AC$4,'Jan 2022 Apport'!$3:$3,0),FALSE)</f>
        <v>100321</v>
      </c>
      <c r="AD130" s="77">
        <f>VLOOKUP(A130,JanApport,MATCH($AD$4,'Jan 2022 Apport'!$3:$3,0),FALSE)*VLOOKUP(A130,JanApport,MATCH($AD$3,'Jan 2022 Apport'!$3:$3,0),FALSE)</f>
        <v>102327</v>
      </c>
      <c r="AE130" s="77">
        <f>VLOOKUP(A130,JanApport,MATCH($AE$4,'Jan 2022 Apport'!$3:$3,0),FALSE)</f>
        <v>48483</v>
      </c>
      <c r="AF130" s="77">
        <f>VLOOKUP(A130,JanApport,MATCH($AF$4,'Jan 2022 Apport'!$3:$3,0),FALSE)*VLOOKUP(A130,JanApport,MATCH($AF$3,'Jan 2022 Apport'!$3:$3,0),FALSE)</f>
        <v>49453</v>
      </c>
      <c r="AG130" s="77">
        <f t="shared" si="15"/>
        <v>96432.259900000005</v>
      </c>
      <c r="AH130" s="77">
        <f t="shared" si="16"/>
        <v>137400.94330000001</v>
      </c>
      <c r="AI130" s="77">
        <f t="shared" si="17"/>
        <v>77281.189732599989</v>
      </c>
      <c r="AJ130" s="3">
        <f>VLOOKUP(A130,JanApport,MATCH($AJ$4,'Jan 2022 Apport'!$3:$3,0),FALSE)</f>
        <v>311730.71000000002</v>
      </c>
      <c r="AK130" s="3">
        <f>VLOOKUP(A130,JanApport,MATCH($AK$4,'Jan 2022 Apport'!$3:$3,0),FALSE)</f>
        <v>3.411</v>
      </c>
      <c r="AL130" s="117">
        <f t="shared" si="18"/>
        <v>2924625.36</v>
      </c>
      <c r="AM130" s="117">
        <f>VLOOKUP(A130,JanApport,MATCH($AM$4,'Jan 2022 Apport'!$3:$3,0),FALSE)</f>
        <v>51852.42</v>
      </c>
      <c r="AN130" s="117">
        <f>VLOOKUP(A130,JanApport,MATCH($AN$4,'Jan 2022 Apport'!$3:$3,0),FALSE)</f>
        <v>21659.16</v>
      </c>
    </row>
    <row r="131" spans="1:40">
      <c r="A131" s="2" t="s">
        <v>425</v>
      </c>
      <c r="B131" s="2" t="s">
        <v>426</v>
      </c>
      <c r="C131" s="2" t="s">
        <v>1267</v>
      </c>
      <c r="D131" s="118">
        <f>VLOOKUP(A131,JanApport,MATCH($D$4,'Jan 2022 Apport'!$3:$3,FALSE),FALSE)</f>
        <v>91676951.340000004</v>
      </c>
      <c r="E131" s="30">
        <f>VLOOKUP(A131,JanApport,MATCH($E$2,'Jan 2022 Apport'!$3:$3,0),FALSE)+VLOOKUP(A131,JanApport,MATCH($E$3,'Jan 2022 Apport'!$3:$3,0),FALSE)+VLOOKUP(A131,JanApport,MATCH($E$4,'Jan 2022 Apport'!$3:$3,0),FALSE)</f>
        <v>6260261.5600000005</v>
      </c>
      <c r="F131" s="118">
        <f t="shared" si="19"/>
        <v>85416689.780000001</v>
      </c>
      <c r="G131" s="117">
        <f>VLOOKUP(A131,JanApport,MATCH($G$4,'Jan 2022 Apport'!$3:$3,0),FALSE)</f>
        <v>1280986.6399999999</v>
      </c>
      <c r="H131" s="117">
        <f>VLOOKUP(A131,JanApport,MATCH($H$3,'Jan 2022 Apport'!$3:$3,0),FALSE)+VLOOKUP(A131,JanApport,MATCH($H$2,'Jan 2022 Apport'!$3:$3,0),FALSE)+VLOOKUP(A131,JanApport,MATCH($H$4,'Jan 2022 Apport'!$3:$3,0),FALSE)</f>
        <v>12351555.08</v>
      </c>
      <c r="I131" s="117">
        <f t="shared" si="20"/>
        <v>13632541.720000001</v>
      </c>
      <c r="J131" s="117">
        <f>VLOOKUP(A131,JanApport,MATCH($J$4,'Jan 2022 Apport'!$3:$3,0),FALSE)</f>
        <v>5364075.74</v>
      </c>
      <c r="K131" s="117">
        <f>VLOOKUP(A131,JanApport,MATCH($K$4,'Jan 2022 Apport'!$3:$3,0),FALSE)</f>
        <v>447503.32</v>
      </c>
      <c r="L131" s="117">
        <f t="shared" si="21"/>
        <v>5811579.0600000005</v>
      </c>
      <c r="M131" s="117">
        <f>VLOOKUP(A131,JanApport,MATCH($M$4,'Jan 2022 Apport'!$3:$3,0),FALSE)</f>
        <v>1503699.3</v>
      </c>
      <c r="N131" s="117">
        <f>VLOOKUP(A131,JanApport,MATCH($N$4,'Jan 2022 Apport'!$3:$3,0),FALSE)</f>
        <v>1089468.79</v>
      </c>
      <c r="O131" s="117">
        <f>VLOOKUP(A131,JanApport,MATCH($O$4,'Jan 2022 Apport'!$3:$3,0),FALSE)</f>
        <v>307825.82</v>
      </c>
      <c r="P131" s="121">
        <f>IFERROR((VLOOKUP(A131,ExcessLevy!A:G,3,FALSE)*0.28),0)+IFERROR((VLOOKUP(A131,ExcessLevy!A:G,6,FALSE)*0.72),0)</f>
        <v>2238390.6403999999</v>
      </c>
      <c r="Q131" s="121">
        <f>IFERROR((VLOOKUP(A131,ExcessLevy!A:G,4,FALSE)*0.4738),0)+IFERROR((VLOOKUP(A131,ExcessLevy!A:G,7,FALSE)*0.5262),0)</f>
        <v>13624328.039999999</v>
      </c>
      <c r="R131">
        <f>VLOOKUP(A131,JanApport,MATCH($R$4,'Jan 2022 Apport'!$3:$3,0),FALSE)</f>
        <v>0</v>
      </c>
      <c r="S131">
        <f>VLOOKUP(A131,JanApport,MATCH($S$4,'Jan 2022 Apport'!$3:$3,0),FALSE)</f>
        <v>132.18</v>
      </c>
      <c r="T131">
        <f>VLOOKUP(A131,JanApport,MATCH($T$4,'Jan 2022 Apport'!$3:$3,0),FALSE)</f>
        <v>482.6</v>
      </c>
      <c r="U131" s="132">
        <f>IFERROR(VLOOKUP(A131,JanApport,MATCH($U$4,'Jan 2022 Apport'!$3:$3,0),FALSE)/R131,0)</f>
        <v>0</v>
      </c>
      <c r="V131" s="30">
        <f>IFERROR(((VLOOKUP(A131,JanApport,MATCH($V$4,'Jan 2022 Apport'!$3:$3,0),FALSE)+VLOOKUP(A131,JanApport,MATCH($V$3,'Jan 2022 Apport'!$3:$3,0),FALSE))/(S131+T131)),0)</f>
        <v>10182.929763492633</v>
      </c>
      <c r="W131" s="30">
        <f t="shared" si="14"/>
        <v>8087.8272077738611</v>
      </c>
      <c r="X131">
        <f>VLOOKUP(A131,JanApport,MATCH($X$4,'Jan 2022 Apport'!$3:$3,0),FALSE)</f>
        <v>4.8578999999999997E-2</v>
      </c>
      <c r="Y131">
        <f>VLOOKUP(A131,JanApport,MATCH($Y$4,'Jan 2022 Apport'!$3:$3,0),FALSE)</f>
        <v>4.0270000000000002E-3</v>
      </c>
      <c r="Z131">
        <f>VLOOKUP(A131,JanApport,MATCH($Z$4,'Jan 2022 Apport'!$3:$3,0),FALSE)</f>
        <v>1.7100000000000001E-2</v>
      </c>
      <c r="AA131" s="77">
        <f>VLOOKUP(A131,JanApport,MATCH($AA$4,'Jan 2022 Apport'!$3:$3,0),FALSE)*VLOOKUP(A131,JanApport,MATCH($AA$3,'Jan 2022 Apport'!$3:$3,0),FALSE)</f>
        <v>81102</v>
      </c>
      <c r="AB131" s="77">
        <f>VLOOKUP(A131,JanApport,MATCH($AB$4,'Jan 2022 Apport'!$3:$3,0),FALSE)*VLOOKUP(A131,JanApport,MATCH($AB$3,'Jan 2022 Apport'!$3:$3,0),FALSE)</f>
        <v>68937</v>
      </c>
      <c r="AC131" s="77">
        <f>VLOOKUP(A131,JanApport,MATCH($AC$4,'Jan 2022 Apport'!$3:$3,0),FALSE)</f>
        <v>100321</v>
      </c>
      <c r="AD131" s="77">
        <f>VLOOKUP(A131,JanApport,MATCH($AD$4,'Jan 2022 Apport'!$3:$3,0),FALSE)*VLOOKUP(A131,JanApport,MATCH($AD$3,'Jan 2022 Apport'!$3:$3,0),FALSE)</f>
        <v>102327</v>
      </c>
      <c r="AE131" s="77">
        <f>VLOOKUP(A131,JanApport,MATCH($AE$4,'Jan 2022 Apport'!$3:$3,0),FALSE)</f>
        <v>48483</v>
      </c>
      <c r="AF131" s="77">
        <f>VLOOKUP(A131,JanApport,MATCH($AF$4,'Jan 2022 Apport'!$3:$3,0),FALSE)*VLOOKUP(A131,JanApport,MATCH($AF$3,'Jan 2022 Apport'!$3:$3,0),FALSE)</f>
        <v>49453</v>
      </c>
      <c r="AG131" s="77">
        <f t="shared" si="15"/>
        <v>96518.768700000015</v>
      </c>
      <c r="AH131" s="77">
        <f t="shared" si="16"/>
        <v>137400.94330000001</v>
      </c>
      <c r="AI131" s="77">
        <f t="shared" si="17"/>
        <v>77281.189732599989</v>
      </c>
      <c r="AJ131" s="3">
        <f>VLOOKUP(A131,JanApport,MATCH($AJ$4,'Jan 2022 Apport'!$3:$3,0),FALSE)</f>
        <v>11802350.91</v>
      </c>
      <c r="AK131" s="3">
        <f>VLOOKUP(A131,JanApport,MATCH($AK$4,'Jan 2022 Apport'!$3:$3,0),FALSE)</f>
        <v>184.10499999999999</v>
      </c>
      <c r="AL131" s="117">
        <f t="shared" si="18"/>
        <v>113574562.70999999</v>
      </c>
      <c r="AM131" s="117">
        <f>VLOOKUP(A131,JanApport,MATCH($AM$4,'Jan 2022 Apport'!$3:$3,0),FALSE)</f>
        <v>0</v>
      </c>
      <c r="AN131" s="117">
        <f>VLOOKUP(A131,JanApport,MATCH($AN$4,'Jan 2022 Apport'!$3:$3,0),FALSE)</f>
        <v>768282.05</v>
      </c>
    </row>
    <row r="132" spans="1:40">
      <c r="A132" s="2" t="s">
        <v>215</v>
      </c>
      <c r="B132" s="2" t="s">
        <v>216</v>
      </c>
      <c r="C132" s="2" t="s">
        <v>1267</v>
      </c>
      <c r="D132" s="118">
        <f>VLOOKUP(A132,JanApport,MATCH($D$4,'Jan 2022 Apport'!$3:$3,FALSE),FALSE)</f>
        <v>302529502.68000001</v>
      </c>
      <c r="E132" s="30">
        <f>VLOOKUP(A132,JanApport,MATCH($E$2,'Jan 2022 Apport'!$3:$3,0),FALSE)+VLOOKUP(A132,JanApport,MATCH($E$3,'Jan 2022 Apport'!$3:$3,0),FALSE)+VLOOKUP(A132,JanApport,MATCH($E$4,'Jan 2022 Apport'!$3:$3,0),FALSE)</f>
        <v>23122258.400000002</v>
      </c>
      <c r="F132" s="118">
        <f t="shared" si="19"/>
        <v>279407244.28000003</v>
      </c>
      <c r="G132" s="117">
        <f>VLOOKUP(A132,JanApport,MATCH($G$4,'Jan 2022 Apport'!$3:$3,0),FALSE)</f>
        <v>2414834.0299999998</v>
      </c>
      <c r="H132" s="117">
        <f>VLOOKUP(A132,JanApport,MATCH($H$3,'Jan 2022 Apport'!$3:$3,0),FALSE)+VLOOKUP(A132,JanApport,MATCH($H$2,'Jan 2022 Apport'!$3:$3,0),FALSE)+VLOOKUP(A132,JanApport,MATCH($H$4,'Jan 2022 Apport'!$3:$3,0),FALSE)</f>
        <v>26931079.07</v>
      </c>
      <c r="I132" s="117">
        <f t="shared" si="20"/>
        <v>29345913.100000001</v>
      </c>
      <c r="J132" s="117">
        <f>VLOOKUP(A132,JanApport,MATCH($J$4,'Jan 2022 Apport'!$3:$3,0),FALSE)</f>
        <v>11224335.300000001</v>
      </c>
      <c r="K132" s="117">
        <f>VLOOKUP(A132,JanApport,MATCH($K$4,'Jan 2022 Apport'!$3:$3,0),FALSE)</f>
        <v>1152150.52</v>
      </c>
      <c r="L132" s="117">
        <f t="shared" si="21"/>
        <v>12376485.82</v>
      </c>
      <c r="M132" s="117">
        <f>VLOOKUP(A132,JanApport,MATCH($M$4,'Jan 2022 Apport'!$3:$3,0),FALSE)</f>
        <v>2143189.71</v>
      </c>
      <c r="N132" s="117">
        <f>VLOOKUP(A132,JanApport,MATCH($N$4,'Jan 2022 Apport'!$3:$3,0),FALSE)</f>
        <v>6622200.1500000004</v>
      </c>
      <c r="O132" s="117">
        <f>VLOOKUP(A132,JanApport,MATCH($O$4,'Jan 2022 Apport'!$3:$3,0),FALSE)</f>
        <v>997375.27</v>
      </c>
      <c r="P132" s="121">
        <f>IFERROR((VLOOKUP(A132,ExcessLevy!A:G,3,FALSE)*0.28),0)+IFERROR((VLOOKUP(A132,ExcessLevy!A:G,6,FALSE)*0.72),0)</f>
        <v>0</v>
      </c>
      <c r="Q132" s="121">
        <f>IFERROR((VLOOKUP(A132,ExcessLevy!A:G,4,FALSE)*0.4738),0)+IFERROR((VLOOKUP(A132,ExcessLevy!A:G,7,FALSE)*0.5262),0)</f>
        <v>66468120</v>
      </c>
      <c r="R132">
        <f>VLOOKUP(A132,JanApport,MATCH($R$4,'Jan 2022 Apport'!$3:$3,0),FALSE)</f>
        <v>312.97000000000003</v>
      </c>
      <c r="S132">
        <f>VLOOKUP(A132,JanApport,MATCH($S$4,'Jan 2022 Apport'!$3:$3,0),FALSE)</f>
        <v>317.70999999999998</v>
      </c>
      <c r="T132">
        <f>VLOOKUP(A132,JanApport,MATCH($T$4,'Jan 2022 Apport'!$3:$3,0),FALSE)</f>
        <v>1625.12</v>
      </c>
      <c r="U132" s="132">
        <f>IFERROR(VLOOKUP(A132,JanApport,MATCH($U$4,'Jan 2022 Apport'!$3:$3,0),FALSE)/R132,0)</f>
        <v>11444.389334440999</v>
      </c>
      <c r="V132" s="30">
        <f>IFERROR(((VLOOKUP(A132,JanApport,MATCH($V$4,'Jan 2022 Apport'!$3:$3,0),FALSE)+VLOOKUP(A132,JanApport,MATCH($V$3,'Jan 2022 Apport'!$3:$3,0),FALSE))/(S132+T132)),0)</f>
        <v>10057.754857604628</v>
      </c>
      <c r="W132" s="30">
        <f t="shared" si="14"/>
        <v>9095.3080904708331</v>
      </c>
      <c r="X132">
        <f>VLOOKUP(A132,JanApport,MATCH($X$4,'Jan 2022 Apport'!$3:$3,0),FALSE)</f>
        <v>4.8578999999999997E-2</v>
      </c>
      <c r="Y132">
        <f>VLOOKUP(A132,JanApport,MATCH($Y$4,'Jan 2022 Apport'!$3:$3,0),FALSE)</f>
        <v>4.0270000000000002E-3</v>
      </c>
      <c r="Z132">
        <f>VLOOKUP(A132,JanApport,MATCH($Z$4,'Jan 2022 Apport'!$3:$3,0),FALSE)</f>
        <v>1.7100000000000001E-2</v>
      </c>
      <c r="AA132" s="77">
        <f>VLOOKUP(A132,JanApport,MATCH($AA$4,'Jan 2022 Apport'!$3:$3,0),FALSE)*VLOOKUP(A132,JanApport,MATCH($AA$3,'Jan 2022 Apport'!$3:$3,0),FALSE)</f>
        <v>79750.3</v>
      </c>
      <c r="AB132" s="77">
        <f>VLOOKUP(A132,JanApport,MATCH($AB$4,'Jan 2022 Apport'!$3:$3,0),FALSE)*VLOOKUP(A132,JanApport,MATCH($AB$3,'Jan 2022 Apport'!$3:$3,0),FALSE)</f>
        <v>81345.659999999989</v>
      </c>
      <c r="AC132" s="77">
        <f>VLOOKUP(A132,JanApport,MATCH($AC$4,'Jan 2022 Apport'!$3:$3,0),FALSE)</f>
        <v>100321</v>
      </c>
      <c r="AD132" s="77">
        <f>VLOOKUP(A132,JanApport,MATCH($AD$4,'Jan 2022 Apport'!$3:$3,0),FALSE)*VLOOKUP(A132,JanApport,MATCH($AD$3,'Jan 2022 Apport'!$3:$3,0),FALSE)</f>
        <v>120745.86</v>
      </c>
      <c r="AE132" s="77">
        <f>VLOOKUP(A132,JanApport,MATCH($AE$4,'Jan 2022 Apport'!$3:$3,0),FALSE)</f>
        <v>48483</v>
      </c>
      <c r="AF132" s="77">
        <f>VLOOKUP(A132,JanApport,MATCH($AF$4,'Jan 2022 Apport'!$3:$3,0),FALSE)*VLOOKUP(A132,JanApport,MATCH($AF$3,'Jan 2022 Apport'!$3:$3,0),FALSE)</f>
        <v>58354.539999999994</v>
      </c>
      <c r="AG132" s="77">
        <f t="shared" si="15"/>
        <v>111657.36908199999</v>
      </c>
      <c r="AH132" s="77">
        <f t="shared" si="16"/>
        <v>159884.84570200002</v>
      </c>
      <c r="AI132" s="77">
        <f t="shared" si="17"/>
        <v>87896.402584467985</v>
      </c>
      <c r="AJ132" s="3">
        <f>VLOOKUP(A132,JanApport,MATCH($AJ$4,'Jan 2022 Apport'!$3:$3,0),FALSE)</f>
        <v>38383082.719999999</v>
      </c>
      <c r="AK132" s="3">
        <f>VLOOKUP(A132,JanApport,MATCH($AK$4,'Jan 2022 Apport'!$3:$3,0),FALSE)</f>
        <v>635.44899999999996</v>
      </c>
      <c r="AL132" s="117">
        <f t="shared" si="18"/>
        <v>352862516.20999998</v>
      </c>
      <c r="AM132" s="117">
        <f>VLOOKUP(A132,JanApport,MATCH($AM$4,'Jan 2022 Apport'!$3:$3,0),FALSE)</f>
        <v>0</v>
      </c>
      <c r="AN132" s="117">
        <f>VLOOKUP(A132,JanApport,MATCH($AN$4,'Jan 2022 Apport'!$3:$3,0),FALSE)</f>
        <v>2516082.08</v>
      </c>
    </row>
    <row r="133" spans="1:40">
      <c r="A133" s="2" t="s">
        <v>441</v>
      </c>
      <c r="B133" s="2" t="s">
        <v>442</v>
      </c>
      <c r="C133" s="2" t="s">
        <v>1267</v>
      </c>
      <c r="D133" s="118">
        <f>VLOOKUP(A133,JanApport,MATCH($D$4,'Jan 2022 Apport'!$3:$3,FALSE),FALSE)</f>
        <v>24564183.640000001</v>
      </c>
      <c r="E133" s="30">
        <f>VLOOKUP(A133,JanApport,MATCH($E$2,'Jan 2022 Apport'!$3:$3,0),FALSE)+VLOOKUP(A133,JanApport,MATCH($E$3,'Jan 2022 Apport'!$3:$3,0),FALSE)+VLOOKUP(A133,JanApport,MATCH($E$4,'Jan 2022 Apport'!$3:$3,0),FALSE)</f>
        <v>1209165.7</v>
      </c>
      <c r="F133" s="118">
        <f t="shared" si="19"/>
        <v>23355017.940000001</v>
      </c>
      <c r="G133" s="117">
        <f>VLOOKUP(A133,JanApport,MATCH($G$4,'Jan 2022 Apport'!$3:$3,0),FALSE)</f>
        <v>334671.75</v>
      </c>
      <c r="H133" s="117">
        <f>VLOOKUP(A133,JanApport,MATCH($H$3,'Jan 2022 Apport'!$3:$3,0),FALSE)+VLOOKUP(A133,JanApport,MATCH($H$2,'Jan 2022 Apport'!$3:$3,0),FALSE)+VLOOKUP(A133,JanApport,MATCH($H$4,'Jan 2022 Apport'!$3:$3,0),FALSE)</f>
        <v>3321355.25</v>
      </c>
      <c r="I133" s="117">
        <f t="shared" si="20"/>
        <v>3656027</v>
      </c>
      <c r="J133" s="117">
        <f>VLOOKUP(A133,JanApport,MATCH($J$4,'Jan 2022 Apport'!$3:$3,0),FALSE)</f>
        <v>1848168.89</v>
      </c>
      <c r="K133" s="117">
        <f>VLOOKUP(A133,JanApport,MATCH($K$4,'Jan 2022 Apport'!$3:$3,0),FALSE)</f>
        <v>229635.62</v>
      </c>
      <c r="L133" s="117">
        <f t="shared" si="21"/>
        <v>2077804.5099999998</v>
      </c>
      <c r="M133" s="117">
        <f>VLOOKUP(A133,JanApport,MATCH($M$4,'Jan 2022 Apport'!$3:$3,0),FALSE)</f>
        <v>681384.52</v>
      </c>
      <c r="N133" s="117">
        <f>VLOOKUP(A133,JanApport,MATCH($N$4,'Jan 2022 Apport'!$3:$3,0),FALSE)</f>
        <v>367251.3</v>
      </c>
      <c r="O133" s="117">
        <f>VLOOKUP(A133,JanApport,MATCH($O$4,'Jan 2022 Apport'!$3:$3,0),FALSE)</f>
        <v>81685.8</v>
      </c>
      <c r="P133" s="121">
        <f>IFERROR((VLOOKUP(A133,ExcessLevy!A:G,3,FALSE)*0.28),0)+IFERROR((VLOOKUP(A133,ExcessLevy!A:G,6,FALSE)*0.72),0)</f>
        <v>0</v>
      </c>
      <c r="Q133" s="121">
        <f>IFERROR((VLOOKUP(A133,ExcessLevy!A:G,4,FALSE)*0.4738),0)+IFERROR((VLOOKUP(A133,ExcessLevy!A:G,7,FALSE)*0.5262),0)</f>
        <v>3200280.5202000001</v>
      </c>
      <c r="R133">
        <f>VLOOKUP(A133,JanApport,MATCH($R$4,'Jan 2022 Apport'!$3:$3,0),FALSE)</f>
        <v>0</v>
      </c>
      <c r="S133">
        <f>VLOOKUP(A133,JanApport,MATCH($S$4,'Jan 2022 Apport'!$3:$3,0),FALSE)</f>
        <v>18.41</v>
      </c>
      <c r="T133">
        <f>VLOOKUP(A133,JanApport,MATCH($T$4,'Jan 2022 Apport'!$3:$3,0),FALSE)</f>
        <v>103.32</v>
      </c>
      <c r="U133" s="132">
        <f>IFERROR(VLOOKUP(A133,JanApport,MATCH($U$4,'Jan 2022 Apport'!$3:$3,0),FALSE)/R133,0)</f>
        <v>0</v>
      </c>
      <c r="V133" s="30">
        <f>IFERROR(((VLOOKUP(A133,JanApport,MATCH($V$4,'Jan 2022 Apport'!$3:$3,0),FALSE)+VLOOKUP(A133,JanApport,MATCH($V$3,'Jan 2022 Apport'!$3:$3,0),FALSE))/(S133+T133)),0)</f>
        <v>9933.1775240285879</v>
      </c>
      <c r="W133" s="30">
        <f t="shared" si="14"/>
        <v>9094.887839371313</v>
      </c>
      <c r="X133">
        <f>VLOOKUP(A133,JanApport,MATCH($X$4,'Jan 2022 Apport'!$3:$3,0),FALSE)</f>
        <v>4.8578999999999997E-2</v>
      </c>
      <c r="Y133">
        <f>VLOOKUP(A133,JanApport,MATCH($Y$4,'Jan 2022 Apport'!$3:$3,0),FALSE)</f>
        <v>4.0270000000000002E-3</v>
      </c>
      <c r="Z133">
        <f>VLOOKUP(A133,JanApport,MATCH($Z$4,'Jan 2022 Apport'!$3:$3,0),FALSE)</f>
        <v>1.7100000000000001E-2</v>
      </c>
      <c r="AA133" s="77">
        <f>VLOOKUP(A133,JanApport,MATCH($AA$4,'Jan 2022 Apport'!$3:$3,0),FALSE)*VLOOKUP(A133,JanApport,MATCH($AA$3,'Jan 2022 Apport'!$3:$3,0),FALSE)</f>
        <v>78398.599999999991</v>
      </c>
      <c r="AB133" s="77">
        <f>VLOOKUP(A133,JanApport,MATCH($AB$4,'Jan 2022 Apport'!$3:$3,0),FALSE)*VLOOKUP(A133,JanApport,MATCH($AB$3,'Jan 2022 Apport'!$3:$3,0),FALSE)</f>
        <v>81345.659999999989</v>
      </c>
      <c r="AC133" s="77">
        <f>VLOOKUP(A133,JanApport,MATCH($AC$4,'Jan 2022 Apport'!$3:$3,0),FALSE)</f>
        <v>100321</v>
      </c>
      <c r="AD133" s="77">
        <f>VLOOKUP(A133,JanApport,MATCH($AD$4,'Jan 2022 Apport'!$3:$3,0),FALSE)*VLOOKUP(A133,JanApport,MATCH($AD$3,'Jan 2022 Apport'!$3:$3,0),FALSE)</f>
        <v>120745.86</v>
      </c>
      <c r="AE133" s="77">
        <f>VLOOKUP(A133,JanApport,MATCH($AE$4,'Jan 2022 Apport'!$3:$3,0),FALSE)</f>
        <v>48483</v>
      </c>
      <c r="AF133" s="77">
        <f>VLOOKUP(A133,JanApport,MATCH($AF$4,'Jan 2022 Apport'!$3:$3,0),FALSE)*VLOOKUP(A133,JanApport,MATCH($AF$3,'Jan 2022 Apport'!$3:$3,0),FALSE)</f>
        <v>58354.539999999994</v>
      </c>
      <c r="AG133" s="77">
        <f t="shared" si="15"/>
        <v>111648.71820199999</v>
      </c>
      <c r="AH133" s="77">
        <f t="shared" si="16"/>
        <v>159884.84570200002</v>
      </c>
      <c r="AI133" s="77">
        <f t="shared" si="17"/>
        <v>87896.402584467985</v>
      </c>
      <c r="AJ133" s="3">
        <f>VLOOKUP(A133,JanApport,MATCH($AJ$4,'Jan 2022 Apport'!$3:$3,0),FALSE)</f>
        <v>3229749.75</v>
      </c>
      <c r="AK133" s="3">
        <f>VLOOKUP(A133,JanApport,MATCH($AK$4,'Jan 2022 Apport'!$3:$3,0),FALSE)</f>
        <v>48.567</v>
      </c>
      <c r="AL133" s="117">
        <f t="shared" si="18"/>
        <v>31198701.150000002</v>
      </c>
      <c r="AM133" s="117">
        <f>VLOOKUP(A133,JanApport,MATCH($AM$4,'Jan 2022 Apport'!$3:$3,0),FALSE)</f>
        <v>0</v>
      </c>
      <c r="AN133" s="117">
        <f>VLOOKUP(A133,JanApport,MATCH($AN$4,'Jan 2022 Apport'!$3:$3,0),FALSE)</f>
        <v>204984.67</v>
      </c>
    </row>
    <row r="134" spans="1:40">
      <c r="A134" s="2" t="s">
        <v>557</v>
      </c>
      <c r="B134" s="2" t="s">
        <v>558</v>
      </c>
      <c r="C134" s="2" t="s">
        <v>1267</v>
      </c>
      <c r="D134" s="118">
        <f>VLOOKUP(A134,JanApport,MATCH($D$4,'Jan 2022 Apport'!$3:$3,FALSE),FALSE)</f>
        <v>587235.23</v>
      </c>
      <c r="E134" s="30">
        <f>VLOOKUP(A134,JanApport,MATCH($E$2,'Jan 2022 Apport'!$3:$3,0),FALSE)+VLOOKUP(A134,JanApport,MATCH($E$3,'Jan 2022 Apport'!$3:$3,0),FALSE)+VLOOKUP(A134,JanApport,MATCH($E$4,'Jan 2022 Apport'!$3:$3,0),FALSE)</f>
        <v>0</v>
      </c>
      <c r="F134" s="118">
        <f t="shared" si="19"/>
        <v>587235.23</v>
      </c>
      <c r="G134" s="117">
        <f>VLOOKUP(A134,JanApport,MATCH($G$4,'Jan 2022 Apport'!$3:$3,0),FALSE)</f>
        <v>0</v>
      </c>
      <c r="H134" s="117">
        <f>VLOOKUP(A134,JanApport,MATCH($H$3,'Jan 2022 Apport'!$3:$3,0),FALSE)+VLOOKUP(A134,JanApport,MATCH($H$2,'Jan 2022 Apport'!$3:$3,0),FALSE)+VLOOKUP(A134,JanApport,MATCH($H$4,'Jan 2022 Apport'!$3:$3,0),FALSE)</f>
        <v>38425.550000000003</v>
      </c>
      <c r="I134" s="117">
        <f t="shared" si="20"/>
        <v>38425.550000000003</v>
      </c>
      <c r="J134" s="117">
        <f>VLOOKUP(A134,JanApport,MATCH($J$4,'Jan 2022 Apport'!$3:$3,0),FALSE)</f>
        <v>83035.460000000006</v>
      </c>
      <c r="K134" s="117">
        <f>VLOOKUP(A134,JanApport,MATCH($K$4,'Jan 2022 Apport'!$3:$3,0),FALSE)</f>
        <v>30846.7</v>
      </c>
      <c r="L134" s="117">
        <f t="shared" si="21"/>
        <v>113882.16</v>
      </c>
      <c r="M134" s="117">
        <f>VLOOKUP(A134,JanApport,MATCH($M$4,'Jan 2022 Apport'!$3:$3,0),FALSE)</f>
        <v>13305.53</v>
      </c>
      <c r="N134" s="117">
        <f>VLOOKUP(A134,JanApport,MATCH($N$4,'Jan 2022 Apport'!$3:$3,0),FALSE)</f>
        <v>0</v>
      </c>
      <c r="O134" s="117">
        <f>VLOOKUP(A134,JanApport,MATCH($O$4,'Jan 2022 Apport'!$3:$3,0),FALSE)</f>
        <v>1076.19</v>
      </c>
      <c r="P134" s="121">
        <f>IFERROR((VLOOKUP(A134,ExcessLevy!A:G,3,FALSE)*0.28),0)+IFERROR((VLOOKUP(A134,ExcessLevy!A:G,6,FALSE)*0.72),0)</f>
        <v>3018.8676000000005</v>
      </c>
      <c r="Q134" s="121">
        <f>IFERROR((VLOOKUP(A134,ExcessLevy!A:G,4,FALSE)*0.4738),0)+IFERROR((VLOOKUP(A134,ExcessLevy!A:G,7,FALSE)*0.5262),0)</f>
        <v>111048</v>
      </c>
      <c r="R134">
        <f>VLOOKUP(A134,JanApport,MATCH($R$4,'Jan 2022 Apport'!$3:$3,0),FALSE)</f>
        <v>0</v>
      </c>
      <c r="S134">
        <f>VLOOKUP(A134,JanApport,MATCH($S$4,'Jan 2022 Apport'!$3:$3,0),FALSE)</f>
        <v>0</v>
      </c>
      <c r="T134">
        <f>VLOOKUP(A134,JanApport,MATCH($T$4,'Jan 2022 Apport'!$3:$3,0),FALSE)</f>
        <v>0</v>
      </c>
      <c r="U134" s="132">
        <f>IFERROR(VLOOKUP(A134,JanApport,MATCH($U$4,'Jan 2022 Apport'!$3:$3,0),FALSE)/R134,0)</f>
        <v>0</v>
      </c>
      <c r="V134" s="30">
        <f>IFERROR(((VLOOKUP(A134,JanApport,MATCH($V$4,'Jan 2022 Apport'!$3:$3,0),FALSE)+VLOOKUP(A134,JanApport,MATCH($V$3,'Jan 2022 Apport'!$3:$3,0),FALSE))/(S134+T134)),0)</f>
        <v>0</v>
      </c>
      <c r="W134" s="30">
        <f t="shared" si="14"/>
        <v>2452.5713248960005</v>
      </c>
      <c r="X134">
        <f>VLOOKUP(A134,JanApport,MATCH($X$4,'Jan 2022 Apport'!$3:$3,0),FALSE)</f>
        <v>4.8578999999999997E-2</v>
      </c>
      <c r="Y134">
        <f>VLOOKUP(A134,JanApport,MATCH($Y$4,'Jan 2022 Apport'!$3:$3,0),FALSE)</f>
        <v>4.0270000000000002E-3</v>
      </c>
      <c r="Z134">
        <f>VLOOKUP(A134,JanApport,MATCH($Z$4,'Jan 2022 Apport'!$3:$3,0),FALSE)</f>
        <v>1.7100000000000001E-2</v>
      </c>
      <c r="AA134" s="77">
        <f>VLOOKUP(A134,JanApport,MATCH($AA$4,'Jan 2022 Apport'!$3:$3,0),FALSE)*VLOOKUP(A134,JanApport,MATCH($AA$3,'Jan 2022 Apport'!$3:$3,0),FALSE)</f>
        <v>67585</v>
      </c>
      <c r="AB134" s="77">
        <f>VLOOKUP(A134,JanApport,MATCH($AB$4,'Jan 2022 Apport'!$3:$3,0),FALSE)*VLOOKUP(A134,JanApport,MATCH($AB$3,'Jan 2022 Apport'!$3:$3,0),FALSE)</f>
        <v>0</v>
      </c>
      <c r="AC134" s="77">
        <f>VLOOKUP(A134,JanApport,MATCH($AC$4,'Jan 2022 Apport'!$3:$3,0),FALSE)</f>
        <v>0</v>
      </c>
      <c r="AD134" s="77">
        <f>VLOOKUP(A134,JanApport,MATCH($AD$4,'Jan 2022 Apport'!$3:$3,0),FALSE)*VLOOKUP(A134,JanApport,MATCH($AD$3,'Jan 2022 Apport'!$3:$3,0),FALSE)</f>
        <v>0</v>
      </c>
      <c r="AE134" s="77">
        <f>VLOOKUP(A134,JanApport,MATCH($AE$4,'Jan 2022 Apport'!$3:$3,0),FALSE)</f>
        <v>0</v>
      </c>
      <c r="AF134" s="77">
        <f>VLOOKUP(A134,JanApport,MATCH($AF$4,'Jan 2022 Apport'!$3:$3,0),FALSE)*VLOOKUP(A134,JanApport,MATCH($AF$3,'Jan 2022 Apport'!$3:$3,0),FALSE)</f>
        <v>0</v>
      </c>
      <c r="AG134" s="77">
        <f t="shared" si="15"/>
        <v>12280.864000000009</v>
      </c>
      <c r="AH134" s="77">
        <f t="shared" si="16"/>
        <v>11848.32</v>
      </c>
      <c r="AI134" s="77">
        <f t="shared" si="17"/>
        <v>16610.88</v>
      </c>
      <c r="AJ134" s="3">
        <f>VLOOKUP(A134,JanApport,MATCH($AJ$4,'Jan 2022 Apport'!$3:$3,0),FALSE)</f>
        <v>76022.720000000001</v>
      </c>
      <c r="AK134" s="3">
        <f>VLOOKUP(A134,JanApport,MATCH($AK$4,'Jan 2022 Apport'!$3:$3,0),FALSE)</f>
        <v>0</v>
      </c>
      <c r="AL134" s="117">
        <f t="shared" si="18"/>
        <v>734915.97</v>
      </c>
      <c r="AM134" s="117">
        <f>VLOOKUP(A134,JanApport,MATCH($AM$4,'Jan 2022 Apport'!$3:$3,0),FALSE)</f>
        <v>11838.01</v>
      </c>
      <c r="AN134" s="117">
        <f>VLOOKUP(A134,JanApport,MATCH($AN$4,'Jan 2022 Apport'!$3:$3,0),FALSE)</f>
        <v>5159.8900000000003</v>
      </c>
    </row>
    <row r="135" spans="1:40">
      <c r="A135" s="2" t="s">
        <v>471</v>
      </c>
      <c r="B135" s="2" t="s">
        <v>472</v>
      </c>
      <c r="C135" s="2" t="s">
        <v>1267</v>
      </c>
      <c r="D135" s="118">
        <f>VLOOKUP(A135,JanApport,MATCH($D$4,'Jan 2022 Apport'!$3:$3,FALSE),FALSE)</f>
        <v>5431703.9500000002</v>
      </c>
      <c r="E135" s="30">
        <f>VLOOKUP(A135,JanApport,MATCH($E$2,'Jan 2022 Apport'!$3:$3,0),FALSE)+VLOOKUP(A135,JanApport,MATCH($E$3,'Jan 2022 Apport'!$3:$3,0),FALSE)+VLOOKUP(A135,JanApport,MATCH($E$4,'Jan 2022 Apport'!$3:$3,0),FALSE)</f>
        <v>268399.35999999999</v>
      </c>
      <c r="F135" s="118">
        <f t="shared" si="19"/>
        <v>5163304.59</v>
      </c>
      <c r="G135" s="117">
        <f>VLOOKUP(A135,JanApport,MATCH($G$4,'Jan 2022 Apport'!$3:$3,0),FALSE)</f>
        <v>22604.58</v>
      </c>
      <c r="H135" s="117">
        <f>VLOOKUP(A135,JanApport,MATCH($H$3,'Jan 2022 Apport'!$3:$3,0),FALSE)+VLOOKUP(A135,JanApport,MATCH($H$2,'Jan 2022 Apport'!$3:$3,0),FALSE)+VLOOKUP(A135,JanApport,MATCH($H$4,'Jan 2022 Apport'!$3:$3,0),FALSE)</f>
        <v>564603.02</v>
      </c>
      <c r="I135" s="117">
        <f t="shared" si="20"/>
        <v>587207.6</v>
      </c>
      <c r="J135" s="117">
        <f>VLOOKUP(A135,JanApport,MATCH($J$4,'Jan 2022 Apport'!$3:$3,0),FALSE)</f>
        <v>562495.16</v>
      </c>
      <c r="K135" s="117">
        <f>VLOOKUP(A135,JanApport,MATCH($K$4,'Jan 2022 Apport'!$3:$3,0),FALSE)</f>
        <v>163057.31</v>
      </c>
      <c r="L135" s="117">
        <f t="shared" si="21"/>
        <v>725552.47</v>
      </c>
      <c r="M135" s="117">
        <f>VLOOKUP(A135,JanApport,MATCH($M$4,'Jan 2022 Apport'!$3:$3,0),FALSE)</f>
        <v>101943.84</v>
      </c>
      <c r="N135" s="117">
        <f>VLOOKUP(A135,JanApport,MATCH($N$4,'Jan 2022 Apport'!$3:$3,0),FALSE)</f>
        <v>1761.02</v>
      </c>
      <c r="O135" s="117">
        <f>VLOOKUP(A135,JanApport,MATCH($O$4,'Jan 2022 Apport'!$3:$3,0),FALSE)</f>
        <v>0</v>
      </c>
      <c r="P135" s="121">
        <f>IFERROR((VLOOKUP(A135,ExcessLevy!A:G,3,FALSE)*0.28),0)+IFERROR((VLOOKUP(A135,ExcessLevy!A:G,6,FALSE)*0.72),0)</f>
        <v>0</v>
      </c>
      <c r="Q135" s="121">
        <f>IFERROR((VLOOKUP(A135,ExcessLevy!A:G,4,FALSE)*0.4738),0)+IFERROR((VLOOKUP(A135,ExcessLevy!A:G,7,FALSE)*0.5262),0)</f>
        <v>1453499.76</v>
      </c>
      <c r="R135">
        <f>VLOOKUP(A135,JanApport,MATCH($R$4,'Jan 2022 Apport'!$3:$3,0),FALSE)</f>
        <v>0</v>
      </c>
      <c r="S135">
        <f>VLOOKUP(A135,JanApport,MATCH($S$4,'Jan 2022 Apport'!$3:$3,0),FALSE)</f>
        <v>0</v>
      </c>
      <c r="T135">
        <f>VLOOKUP(A135,JanApport,MATCH($T$4,'Jan 2022 Apport'!$3:$3,0),FALSE)</f>
        <v>30.08</v>
      </c>
      <c r="U135" s="132">
        <f>IFERROR(VLOOKUP(A135,JanApport,MATCH($U$4,'Jan 2022 Apport'!$3:$3,0),FALSE)/R135,0)</f>
        <v>0</v>
      </c>
      <c r="V135" s="30">
        <f>IFERROR(((VLOOKUP(A135,JanApport,MATCH($V$4,'Jan 2022 Apport'!$3:$3,0),FALSE)+VLOOKUP(A135,JanApport,MATCH($V$3,'Jan 2022 Apport'!$3:$3,0),FALSE))/(S135+T135)),0)</f>
        <v>8922.8510638297867</v>
      </c>
      <c r="W135" s="30">
        <f t="shared" ref="W135:W198" si="22">(AG135*X135)+(AH135*Y135)+(AI135*Z135)+(MSOC+MSOC912ehc)</f>
        <v>8083.6246967786601</v>
      </c>
      <c r="X135">
        <f>VLOOKUP(A135,JanApport,MATCH($X$4,'Jan 2022 Apport'!$3:$3,0),FALSE)</f>
        <v>4.8578999999999997E-2</v>
      </c>
      <c r="Y135">
        <f>VLOOKUP(A135,JanApport,MATCH($Y$4,'Jan 2022 Apport'!$3:$3,0),FALSE)</f>
        <v>4.0270000000000002E-3</v>
      </c>
      <c r="Z135">
        <f>VLOOKUP(A135,JanApport,MATCH($Z$4,'Jan 2022 Apport'!$3:$3,0),FALSE)</f>
        <v>1.7100000000000001E-2</v>
      </c>
      <c r="AA135" s="77">
        <f>VLOOKUP(A135,JanApport,MATCH($AA$4,'Jan 2022 Apport'!$3:$3,0),FALSE)*VLOOKUP(A135,JanApport,MATCH($AA$3,'Jan 2022 Apport'!$3:$3,0),FALSE)</f>
        <v>67585</v>
      </c>
      <c r="AB135" s="77">
        <f>VLOOKUP(A135,JanApport,MATCH($AB$4,'Jan 2022 Apport'!$3:$3,0),FALSE)*VLOOKUP(A135,JanApport,MATCH($AB$3,'Jan 2022 Apport'!$3:$3,0),FALSE)</f>
        <v>68937</v>
      </c>
      <c r="AC135" s="77">
        <f>VLOOKUP(A135,JanApport,MATCH($AC$4,'Jan 2022 Apport'!$3:$3,0),FALSE)</f>
        <v>100321</v>
      </c>
      <c r="AD135" s="77">
        <f>VLOOKUP(A135,JanApport,MATCH($AD$4,'Jan 2022 Apport'!$3:$3,0),FALSE)*VLOOKUP(A135,JanApport,MATCH($AD$3,'Jan 2022 Apport'!$3:$3,0),FALSE)</f>
        <v>102327</v>
      </c>
      <c r="AE135" s="77">
        <f>VLOOKUP(A135,JanApport,MATCH($AE$4,'Jan 2022 Apport'!$3:$3,0),FALSE)</f>
        <v>48483</v>
      </c>
      <c r="AF135" s="77">
        <f>VLOOKUP(A135,JanApport,MATCH($AF$4,'Jan 2022 Apport'!$3:$3,0),FALSE)*VLOOKUP(A135,JanApport,MATCH($AF$3,'Jan 2022 Apport'!$3:$3,0),FALSE)</f>
        <v>49453</v>
      </c>
      <c r="AG135" s="77">
        <f t="shared" ref="AG135:AG198" si="23">(AA135*(1+CertMaint))+((AB135-AA135)*(1+CertInc))+(Insrate*Certinsfactor*12)</f>
        <v>96432.259900000005</v>
      </c>
      <c r="AH135" s="77">
        <f t="shared" ref="AH135:AH198" si="24">(AC135*(1+CertMaint))+((AD135-AC135)*(1+CertInc))+(Insrate*Certinsfactor*12)</f>
        <v>137400.94330000001</v>
      </c>
      <c r="AI135" s="77">
        <f t="shared" ref="AI135:AI198" si="25">(AE135*(1+ClassMaint))+((AF135-AE135)*(1+ClassInc))+(Insrate*Classinsfactor*12)</f>
        <v>77281.189732599989</v>
      </c>
      <c r="AJ135" s="3">
        <f>VLOOKUP(A135,JanApport,MATCH($AJ$4,'Jan 2022 Apport'!$3:$3,0),FALSE)</f>
        <v>773245.95</v>
      </c>
      <c r="AK135" s="3">
        <f>VLOOKUP(A135,JanApport,MATCH($AK$4,'Jan 2022 Apport'!$3:$3,0),FALSE)</f>
        <v>12.678000000000001</v>
      </c>
      <c r="AL135" s="117">
        <f t="shared" ref="AL135:AL198" si="26">SUM(F135+J135+M135+N135+O135+E135+AM135)+VLOOKUP(A135,SpEd_Apport,4,FALSE)</f>
        <v>6685111.5699999994</v>
      </c>
      <c r="AM135" s="117">
        <f>VLOOKUP(A135,JanApport,MATCH($AM$4,'Jan 2022 Apport'!$3:$3,0),FALSE)</f>
        <v>0</v>
      </c>
      <c r="AN135" s="117">
        <f>VLOOKUP(A135,JanApport,MATCH($AN$4,'Jan 2022 Apport'!$3:$3,0),FALSE)</f>
        <v>45241.19</v>
      </c>
    </row>
    <row r="136" spans="1:40">
      <c r="A136" s="2" t="s">
        <v>9</v>
      </c>
      <c r="B136" s="2" t="s">
        <v>10</v>
      </c>
      <c r="C136" s="2" t="s">
        <v>1267</v>
      </c>
      <c r="D136" s="118">
        <f>VLOOKUP(A136,JanApport,MATCH($D$4,'Jan 2022 Apport'!$3:$3,FALSE),FALSE)</f>
        <v>2577362.42</v>
      </c>
      <c r="E136" s="30">
        <f>VLOOKUP(A136,JanApport,MATCH($E$2,'Jan 2022 Apport'!$3:$3,0),FALSE)+VLOOKUP(A136,JanApport,MATCH($E$3,'Jan 2022 Apport'!$3:$3,0),FALSE)+VLOOKUP(A136,JanApport,MATCH($E$4,'Jan 2022 Apport'!$3:$3,0),FALSE)</f>
        <v>158435.33000000002</v>
      </c>
      <c r="F136" s="118">
        <f t="shared" si="19"/>
        <v>2418927.09</v>
      </c>
      <c r="G136" s="117">
        <f>VLOOKUP(A136,JanApport,MATCH($G$4,'Jan 2022 Apport'!$3:$3,0),FALSE)</f>
        <v>29624.29</v>
      </c>
      <c r="H136" s="117">
        <f>VLOOKUP(A136,JanApport,MATCH($H$3,'Jan 2022 Apport'!$3:$3,0),FALSE)+VLOOKUP(A136,JanApport,MATCH($H$2,'Jan 2022 Apport'!$3:$3,0),FALSE)+VLOOKUP(A136,JanApport,MATCH($H$4,'Jan 2022 Apport'!$3:$3,0),FALSE)</f>
        <v>159394.08000000002</v>
      </c>
      <c r="I136" s="117">
        <f t="shared" si="20"/>
        <v>189018.37000000002</v>
      </c>
      <c r="J136" s="117">
        <f>VLOOKUP(A136,JanApport,MATCH($J$4,'Jan 2022 Apport'!$3:$3,0),FALSE)</f>
        <v>903728.94</v>
      </c>
      <c r="K136" s="117">
        <f>VLOOKUP(A136,JanApport,MATCH($K$4,'Jan 2022 Apport'!$3:$3,0),FALSE)</f>
        <v>175008.83</v>
      </c>
      <c r="L136" s="117">
        <f t="shared" si="21"/>
        <v>1078737.77</v>
      </c>
      <c r="M136" s="117">
        <f>VLOOKUP(A136,JanApport,MATCH($M$4,'Jan 2022 Apport'!$3:$3,0),FALSE)</f>
        <v>84724.92</v>
      </c>
      <c r="N136" s="117">
        <f>VLOOKUP(A136,JanApport,MATCH($N$4,'Jan 2022 Apport'!$3:$3,0),FALSE)</f>
        <v>45004</v>
      </c>
      <c r="O136" s="117">
        <f>VLOOKUP(A136,JanApport,MATCH($O$4,'Jan 2022 Apport'!$3:$3,0),FALSE)</f>
        <v>0</v>
      </c>
      <c r="P136" s="121">
        <f>IFERROR((VLOOKUP(A136,ExcessLevy!A:G,3,FALSE)*0.28),0)+IFERROR((VLOOKUP(A136,ExcessLevy!A:G,6,FALSE)*0.72),0)</f>
        <v>0</v>
      </c>
      <c r="Q136" s="121">
        <f>IFERROR((VLOOKUP(A136,ExcessLevy!A:G,4,FALSE)*0.4738),0)+IFERROR((VLOOKUP(A136,ExcessLevy!A:G,7,FALSE)*0.5262),0)</f>
        <v>525000</v>
      </c>
      <c r="R136">
        <f>VLOOKUP(A136,JanApport,MATCH($R$4,'Jan 2022 Apport'!$3:$3,0),FALSE)</f>
        <v>0</v>
      </c>
      <c r="S136">
        <f>VLOOKUP(A136,JanApport,MATCH($S$4,'Jan 2022 Apport'!$3:$3,0),FALSE)</f>
        <v>4.72</v>
      </c>
      <c r="T136">
        <f>VLOOKUP(A136,JanApport,MATCH($T$4,'Jan 2022 Apport'!$3:$3,0),FALSE)</f>
        <v>13.05</v>
      </c>
      <c r="U136" s="132">
        <f>IFERROR(VLOOKUP(A136,JanApport,MATCH($U$4,'Jan 2022 Apport'!$3:$3,0),FALSE)/R136,0)</f>
        <v>0</v>
      </c>
      <c r="V136" s="30">
        <f>IFERROR(((VLOOKUP(A136,JanApport,MATCH($V$4,'Jan 2022 Apport'!$3:$3,0),FALSE)+VLOOKUP(A136,JanApport,MATCH($V$3,'Jan 2022 Apport'!$3:$3,0),FALSE))/(S136+T136)),0)</f>
        <v>8915.8880135059098</v>
      </c>
      <c r="W136" s="30">
        <f t="shared" si="22"/>
        <v>8083.6246967786601</v>
      </c>
      <c r="X136">
        <f>VLOOKUP(A136,JanApport,MATCH($X$4,'Jan 2022 Apport'!$3:$3,0),FALSE)</f>
        <v>4.8578999999999997E-2</v>
      </c>
      <c r="Y136">
        <f>VLOOKUP(A136,JanApport,MATCH($Y$4,'Jan 2022 Apport'!$3:$3,0),FALSE)</f>
        <v>4.0270000000000002E-3</v>
      </c>
      <c r="Z136">
        <f>VLOOKUP(A136,JanApport,MATCH($Z$4,'Jan 2022 Apport'!$3:$3,0),FALSE)</f>
        <v>1.7100000000000001E-2</v>
      </c>
      <c r="AA136" s="77">
        <f>VLOOKUP(A136,JanApport,MATCH($AA$4,'Jan 2022 Apport'!$3:$3,0),FALSE)*VLOOKUP(A136,JanApport,MATCH($AA$3,'Jan 2022 Apport'!$3:$3,0),FALSE)</f>
        <v>67585</v>
      </c>
      <c r="AB136" s="77">
        <f>VLOOKUP(A136,JanApport,MATCH($AB$4,'Jan 2022 Apport'!$3:$3,0),FALSE)*VLOOKUP(A136,JanApport,MATCH($AB$3,'Jan 2022 Apport'!$3:$3,0),FALSE)</f>
        <v>68937</v>
      </c>
      <c r="AC136" s="77">
        <f>VLOOKUP(A136,JanApport,MATCH($AC$4,'Jan 2022 Apport'!$3:$3,0),FALSE)</f>
        <v>100321</v>
      </c>
      <c r="AD136" s="77">
        <f>VLOOKUP(A136,JanApport,MATCH($AD$4,'Jan 2022 Apport'!$3:$3,0),FALSE)*VLOOKUP(A136,JanApport,MATCH($AD$3,'Jan 2022 Apport'!$3:$3,0),FALSE)</f>
        <v>102327</v>
      </c>
      <c r="AE136" s="77">
        <f>VLOOKUP(A136,JanApport,MATCH($AE$4,'Jan 2022 Apport'!$3:$3,0),FALSE)</f>
        <v>48483</v>
      </c>
      <c r="AF136" s="77">
        <f>VLOOKUP(A136,JanApport,MATCH($AF$4,'Jan 2022 Apport'!$3:$3,0),FALSE)*VLOOKUP(A136,JanApport,MATCH($AF$3,'Jan 2022 Apport'!$3:$3,0),FALSE)</f>
        <v>49453</v>
      </c>
      <c r="AG136" s="77">
        <f t="shared" si="23"/>
        <v>96432.259900000005</v>
      </c>
      <c r="AH136" s="77">
        <f t="shared" si="24"/>
        <v>137400.94330000001</v>
      </c>
      <c r="AI136" s="77">
        <f t="shared" si="25"/>
        <v>77281.189732599989</v>
      </c>
      <c r="AJ136" s="3">
        <f>VLOOKUP(A136,JanApport,MATCH($AJ$4,'Jan 2022 Apport'!$3:$3,0),FALSE)</f>
        <v>320601.71999999997</v>
      </c>
      <c r="AK136" s="3">
        <f>VLOOKUP(A136,JanApport,MATCH($AK$4,'Jan 2022 Apport'!$3:$3,0),FALSE)</f>
        <v>3.5329999999999999</v>
      </c>
      <c r="AL136" s="117">
        <f t="shared" si="26"/>
        <v>3856191.4899999998</v>
      </c>
      <c r="AM136" s="117">
        <f>VLOOKUP(A136,JanApport,MATCH($AM$4,'Jan 2022 Apport'!$3:$3,0),FALSE)</f>
        <v>56352.84</v>
      </c>
      <c r="AN136" s="117">
        <f>VLOOKUP(A136,JanApport,MATCH($AN$4,'Jan 2022 Apport'!$3:$3,0),FALSE)</f>
        <v>22049.06</v>
      </c>
    </row>
    <row r="137" spans="1:40">
      <c r="A137" s="2" t="s">
        <v>77</v>
      </c>
      <c r="B137" s="2" t="s">
        <v>78</v>
      </c>
      <c r="C137" s="2" t="s">
        <v>1267</v>
      </c>
      <c r="D137" s="118">
        <f>VLOOKUP(A137,JanApport,MATCH($D$4,'Jan 2022 Apport'!$3:$3,FALSE),FALSE)</f>
        <v>54175399.539999999</v>
      </c>
      <c r="E137" s="30">
        <f>VLOOKUP(A137,JanApport,MATCH($E$2,'Jan 2022 Apport'!$3:$3,0),FALSE)+VLOOKUP(A137,JanApport,MATCH($E$3,'Jan 2022 Apport'!$3:$3,0),FALSE)+VLOOKUP(A137,JanApport,MATCH($E$4,'Jan 2022 Apport'!$3:$3,0),FALSE)</f>
        <v>3769913.02</v>
      </c>
      <c r="F137" s="118">
        <f t="shared" si="19"/>
        <v>50405486.519999996</v>
      </c>
      <c r="G137" s="117">
        <f>VLOOKUP(A137,JanApport,MATCH($G$4,'Jan 2022 Apport'!$3:$3,0),FALSE)</f>
        <v>969876.05</v>
      </c>
      <c r="H137" s="117">
        <f>VLOOKUP(A137,JanApport,MATCH($H$3,'Jan 2022 Apport'!$3:$3,0),FALSE)+VLOOKUP(A137,JanApport,MATCH($H$2,'Jan 2022 Apport'!$3:$3,0),FALSE)+VLOOKUP(A137,JanApport,MATCH($H$4,'Jan 2022 Apport'!$3:$3,0),FALSE)</f>
        <v>7226005.8300000001</v>
      </c>
      <c r="I137" s="117">
        <f t="shared" si="20"/>
        <v>8195881.8799999999</v>
      </c>
      <c r="J137" s="117">
        <f>VLOOKUP(A137,JanApport,MATCH($J$4,'Jan 2022 Apport'!$3:$3,0),FALSE)</f>
        <v>2687920.83</v>
      </c>
      <c r="K137" s="117">
        <f>VLOOKUP(A137,JanApport,MATCH($K$4,'Jan 2022 Apport'!$3:$3,0),FALSE)</f>
        <v>360190.37</v>
      </c>
      <c r="L137" s="117">
        <f t="shared" si="21"/>
        <v>3048111.2</v>
      </c>
      <c r="M137" s="117">
        <f>VLOOKUP(A137,JanApport,MATCH($M$4,'Jan 2022 Apport'!$3:$3,0),FALSE)</f>
        <v>2358503.12</v>
      </c>
      <c r="N137" s="117">
        <f>VLOOKUP(A137,JanApport,MATCH($N$4,'Jan 2022 Apport'!$3:$3,0),FALSE)</f>
        <v>626925.29</v>
      </c>
      <c r="O137" s="117">
        <f>VLOOKUP(A137,JanApport,MATCH($O$4,'Jan 2022 Apport'!$3:$3,0),FALSE)</f>
        <v>173754.58</v>
      </c>
      <c r="P137" s="121">
        <f>IFERROR((VLOOKUP(A137,ExcessLevy!A:G,3,FALSE)*0.28),0)+IFERROR((VLOOKUP(A137,ExcessLevy!A:G,6,FALSE)*0.72),0)</f>
        <v>522762.66639999999</v>
      </c>
      <c r="Q137" s="121">
        <f>IFERROR((VLOOKUP(A137,ExcessLevy!A:G,4,FALSE)*0.4738),0)+IFERROR((VLOOKUP(A137,ExcessLevy!A:G,7,FALSE)*0.5262),0)</f>
        <v>14162125.3748</v>
      </c>
      <c r="R137">
        <f>VLOOKUP(A137,JanApport,MATCH($R$4,'Jan 2022 Apport'!$3:$3,0),FALSE)</f>
        <v>0</v>
      </c>
      <c r="S137">
        <f>VLOOKUP(A137,JanApport,MATCH($S$4,'Jan 2022 Apport'!$3:$3,0),FALSE)</f>
        <v>46.14</v>
      </c>
      <c r="T137">
        <f>VLOOKUP(A137,JanApport,MATCH($T$4,'Jan 2022 Apport'!$3:$3,0),FALSE)</f>
        <v>376.42</v>
      </c>
      <c r="U137" s="132">
        <f>IFERROR(VLOOKUP(A137,JanApport,MATCH($U$4,'Jan 2022 Apport'!$3:$3,0),FALSE)/R137,0)</f>
        <v>0</v>
      </c>
      <c r="V137" s="30">
        <f>IFERROR(((VLOOKUP(A137,JanApport,MATCH($V$4,'Jan 2022 Apport'!$3:$3,0),FALSE)+VLOOKUP(A137,JanApport,MATCH($V$3,'Jan 2022 Apport'!$3:$3,0),FALSE))/(S137+T137)),0)</f>
        <v>8921.6040798939794</v>
      </c>
      <c r="W137" s="30">
        <f t="shared" si="22"/>
        <v>8083.6246967786601</v>
      </c>
      <c r="X137">
        <f>VLOOKUP(A137,JanApport,MATCH($X$4,'Jan 2022 Apport'!$3:$3,0),FALSE)</f>
        <v>4.8578999999999997E-2</v>
      </c>
      <c r="Y137">
        <f>VLOOKUP(A137,JanApport,MATCH($Y$4,'Jan 2022 Apport'!$3:$3,0),FALSE)</f>
        <v>4.0270000000000002E-3</v>
      </c>
      <c r="Z137">
        <f>VLOOKUP(A137,JanApport,MATCH($Z$4,'Jan 2022 Apport'!$3:$3,0),FALSE)</f>
        <v>1.7100000000000001E-2</v>
      </c>
      <c r="AA137" s="77">
        <f>VLOOKUP(A137,JanApport,MATCH($AA$4,'Jan 2022 Apport'!$3:$3,0),FALSE)*VLOOKUP(A137,JanApport,MATCH($AA$3,'Jan 2022 Apport'!$3:$3,0),FALSE)</f>
        <v>67585</v>
      </c>
      <c r="AB137" s="77">
        <f>VLOOKUP(A137,JanApport,MATCH($AB$4,'Jan 2022 Apport'!$3:$3,0),FALSE)*VLOOKUP(A137,JanApport,MATCH($AB$3,'Jan 2022 Apport'!$3:$3,0),FALSE)</f>
        <v>68937</v>
      </c>
      <c r="AC137" s="77">
        <f>VLOOKUP(A137,JanApport,MATCH($AC$4,'Jan 2022 Apport'!$3:$3,0),FALSE)</f>
        <v>100321</v>
      </c>
      <c r="AD137" s="77">
        <f>VLOOKUP(A137,JanApport,MATCH($AD$4,'Jan 2022 Apport'!$3:$3,0),FALSE)*VLOOKUP(A137,JanApport,MATCH($AD$3,'Jan 2022 Apport'!$3:$3,0),FALSE)</f>
        <v>102327</v>
      </c>
      <c r="AE137" s="77">
        <f>VLOOKUP(A137,JanApport,MATCH($AE$4,'Jan 2022 Apport'!$3:$3,0),FALSE)</f>
        <v>48483</v>
      </c>
      <c r="AF137" s="77">
        <f>VLOOKUP(A137,JanApport,MATCH($AF$4,'Jan 2022 Apport'!$3:$3,0),FALSE)*VLOOKUP(A137,JanApport,MATCH($AF$3,'Jan 2022 Apport'!$3:$3,0),FALSE)</f>
        <v>49453</v>
      </c>
      <c r="AG137" s="77">
        <f t="shared" si="23"/>
        <v>96432.259900000005</v>
      </c>
      <c r="AH137" s="77">
        <f t="shared" si="24"/>
        <v>137400.94330000001</v>
      </c>
      <c r="AI137" s="77">
        <f t="shared" si="25"/>
        <v>77281.189732599989</v>
      </c>
      <c r="AJ137" s="3">
        <f>VLOOKUP(A137,JanApport,MATCH($AJ$4,'Jan 2022 Apport'!$3:$3,0),FALSE)</f>
        <v>7642773.3499999996</v>
      </c>
      <c r="AK137" s="3">
        <f>VLOOKUP(A137,JanApport,MATCH($AK$4,'Jan 2022 Apport'!$3:$3,0),FALSE)</f>
        <v>126.304</v>
      </c>
      <c r="AL137" s="117">
        <f t="shared" si="26"/>
        <v>69492585.449999988</v>
      </c>
      <c r="AM137" s="117">
        <f>VLOOKUP(A137,JanApport,MATCH($AM$4,'Jan 2022 Apport'!$3:$3,0),FALSE)</f>
        <v>1274200.21</v>
      </c>
      <c r="AN137" s="117">
        <f>VLOOKUP(A137,JanApport,MATCH($AN$4,'Jan 2022 Apport'!$3:$3,0),FALSE)</f>
        <v>424900.04</v>
      </c>
    </row>
    <row r="138" spans="1:40">
      <c r="A138" s="2" t="s">
        <v>493</v>
      </c>
      <c r="B138" s="2" t="s">
        <v>494</v>
      </c>
      <c r="C138" s="2" t="s">
        <v>1267</v>
      </c>
      <c r="D138" s="118">
        <f>VLOOKUP(A138,JanApport,MATCH($D$4,'Jan 2022 Apport'!$3:$3,FALSE),FALSE)</f>
        <v>2067291.2</v>
      </c>
      <c r="E138" s="30">
        <f>VLOOKUP(A138,JanApport,MATCH($E$2,'Jan 2022 Apport'!$3:$3,0),FALSE)+VLOOKUP(A138,JanApport,MATCH($E$3,'Jan 2022 Apport'!$3:$3,0),FALSE)+VLOOKUP(A138,JanApport,MATCH($E$4,'Jan 2022 Apport'!$3:$3,0),FALSE)</f>
        <v>0</v>
      </c>
      <c r="F138" s="118">
        <f t="shared" si="19"/>
        <v>2067291.2</v>
      </c>
      <c r="G138" s="117">
        <f>VLOOKUP(A138,JanApport,MATCH($G$4,'Jan 2022 Apport'!$3:$3,0),FALSE)</f>
        <v>17400.439999999999</v>
      </c>
      <c r="H138" s="117">
        <f>VLOOKUP(A138,JanApport,MATCH($H$3,'Jan 2022 Apport'!$3:$3,0),FALSE)+VLOOKUP(A138,JanApport,MATCH($H$2,'Jan 2022 Apport'!$3:$3,0),FALSE)+VLOOKUP(A138,JanApport,MATCH($H$4,'Jan 2022 Apport'!$3:$3,0),FALSE)</f>
        <v>151316.57</v>
      </c>
      <c r="I138" s="117">
        <f t="shared" si="20"/>
        <v>168717.01</v>
      </c>
      <c r="J138" s="117">
        <f>VLOOKUP(A138,JanApport,MATCH($J$4,'Jan 2022 Apport'!$3:$3,0),FALSE)</f>
        <v>0</v>
      </c>
      <c r="K138" s="117">
        <f>VLOOKUP(A138,JanApport,MATCH($K$4,'Jan 2022 Apport'!$3:$3,0),FALSE)</f>
        <v>45557.51</v>
      </c>
      <c r="L138" s="117">
        <f t="shared" si="21"/>
        <v>45557.51</v>
      </c>
      <c r="M138" s="117">
        <f>VLOOKUP(A138,JanApport,MATCH($M$4,'Jan 2022 Apport'!$3:$3,0),FALSE)</f>
        <v>86877.3</v>
      </c>
      <c r="N138" s="117">
        <f>VLOOKUP(A138,JanApport,MATCH($N$4,'Jan 2022 Apport'!$3:$3,0),FALSE)</f>
        <v>0</v>
      </c>
      <c r="O138" s="117">
        <f>VLOOKUP(A138,JanApport,MATCH($O$4,'Jan 2022 Apport'!$3:$3,0),FALSE)</f>
        <v>0</v>
      </c>
      <c r="P138" s="121">
        <f>IFERROR((VLOOKUP(A138,ExcessLevy!A:G,3,FALSE)*0.28),0)+IFERROR((VLOOKUP(A138,ExcessLevy!A:G,6,FALSE)*0.72),0)</f>
        <v>0</v>
      </c>
      <c r="Q138" s="121">
        <f>IFERROR((VLOOKUP(A138,ExcessLevy!A:G,4,FALSE)*0.4738),0)+IFERROR((VLOOKUP(A138,ExcessLevy!A:G,7,FALSE)*0.5262),0)</f>
        <v>250000</v>
      </c>
      <c r="R138">
        <f>VLOOKUP(A138,JanApport,MATCH($R$4,'Jan 2022 Apport'!$3:$3,0),FALSE)</f>
        <v>0</v>
      </c>
      <c r="S138">
        <f>VLOOKUP(A138,JanApport,MATCH($S$4,'Jan 2022 Apport'!$3:$3,0),FALSE)</f>
        <v>0</v>
      </c>
      <c r="T138">
        <f>VLOOKUP(A138,JanApport,MATCH($T$4,'Jan 2022 Apport'!$3:$3,0),FALSE)</f>
        <v>0</v>
      </c>
      <c r="U138" s="132">
        <f>IFERROR(VLOOKUP(A138,JanApport,MATCH($U$4,'Jan 2022 Apport'!$3:$3,0),FALSE)/R138,0)</f>
        <v>0</v>
      </c>
      <c r="V138" s="30">
        <f>IFERROR(((VLOOKUP(A138,JanApport,MATCH($V$4,'Jan 2022 Apport'!$3:$3,0),FALSE)+VLOOKUP(A138,JanApport,MATCH($V$3,'Jan 2022 Apport'!$3:$3,0),FALSE))/(S138+T138)),0)</f>
        <v>0</v>
      </c>
      <c r="W138" s="30">
        <f t="shared" si="22"/>
        <v>8083.6246967786601</v>
      </c>
      <c r="X138">
        <f>VLOOKUP(A138,JanApport,MATCH($X$4,'Jan 2022 Apport'!$3:$3,0),FALSE)</f>
        <v>4.8578999999999997E-2</v>
      </c>
      <c r="Y138">
        <f>VLOOKUP(A138,JanApport,MATCH($Y$4,'Jan 2022 Apport'!$3:$3,0),FALSE)</f>
        <v>4.0270000000000002E-3</v>
      </c>
      <c r="Z138">
        <f>VLOOKUP(A138,JanApport,MATCH($Z$4,'Jan 2022 Apport'!$3:$3,0),FALSE)</f>
        <v>1.7100000000000001E-2</v>
      </c>
      <c r="AA138" s="77">
        <f>VLOOKUP(A138,JanApport,MATCH($AA$4,'Jan 2022 Apport'!$3:$3,0),FALSE)*VLOOKUP(A138,JanApport,MATCH($AA$3,'Jan 2022 Apport'!$3:$3,0),FALSE)</f>
        <v>67585</v>
      </c>
      <c r="AB138" s="77">
        <f>VLOOKUP(A138,JanApport,MATCH($AB$4,'Jan 2022 Apport'!$3:$3,0),FALSE)*VLOOKUP(A138,JanApport,MATCH($AB$3,'Jan 2022 Apport'!$3:$3,0),FALSE)</f>
        <v>68937</v>
      </c>
      <c r="AC138" s="77">
        <f>VLOOKUP(A138,JanApport,MATCH($AC$4,'Jan 2022 Apport'!$3:$3,0),FALSE)</f>
        <v>100321</v>
      </c>
      <c r="AD138" s="77">
        <f>VLOOKUP(A138,JanApport,MATCH($AD$4,'Jan 2022 Apport'!$3:$3,0),FALSE)*VLOOKUP(A138,JanApport,MATCH($AD$3,'Jan 2022 Apport'!$3:$3,0),FALSE)</f>
        <v>102327</v>
      </c>
      <c r="AE138" s="77">
        <f>VLOOKUP(A138,JanApport,MATCH($AE$4,'Jan 2022 Apport'!$3:$3,0),FALSE)</f>
        <v>48483</v>
      </c>
      <c r="AF138" s="77">
        <f>VLOOKUP(A138,JanApport,MATCH($AF$4,'Jan 2022 Apport'!$3:$3,0),FALSE)*VLOOKUP(A138,JanApport,MATCH($AF$3,'Jan 2022 Apport'!$3:$3,0),FALSE)</f>
        <v>49453</v>
      </c>
      <c r="AG138" s="77">
        <f t="shared" si="23"/>
        <v>96432.259900000005</v>
      </c>
      <c r="AH138" s="77">
        <f t="shared" si="24"/>
        <v>137400.94330000001</v>
      </c>
      <c r="AI138" s="77">
        <f t="shared" si="25"/>
        <v>77281.189732599989</v>
      </c>
      <c r="AJ138" s="3">
        <f>VLOOKUP(A138,JanApport,MATCH($AJ$4,'Jan 2022 Apport'!$3:$3,0),FALSE)</f>
        <v>140445.62</v>
      </c>
      <c r="AK138" s="3">
        <f>VLOOKUP(A138,JanApport,MATCH($AK$4,'Jan 2022 Apport'!$3:$3,0),FALSE)</f>
        <v>4.0090000000000003</v>
      </c>
      <c r="AL138" s="117">
        <f t="shared" si="26"/>
        <v>2351355.4299999997</v>
      </c>
      <c r="AM138" s="117">
        <f>VLOOKUP(A138,JanApport,MATCH($AM$4,'Jan 2022 Apport'!$3:$3,0),FALSE)</f>
        <v>28469.919999999998</v>
      </c>
      <c r="AN138" s="117">
        <f>VLOOKUP(A138,JanApport,MATCH($AN$4,'Jan 2022 Apport'!$3:$3,0),FALSE)</f>
        <v>8844.31</v>
      </c>
    </row>
    <row r="139" spans="1:40">
      <c r="A139" s="2" t="s">
        <v>397</v>
      </c>
      <c r="B139" s="2" t="s">
        <v>398</v>
      </c>
      <c r="C139" s="2" t="s">
        <v>1267</v>
      </c>
      <c r="D139" s="118">
        <f>VLOOKUP(A139,JanApport,MATCH($D$4,'Jan 2022 Apport'!$3:$3,FALSE),FALSE)</f>
        <v>3442086.43</v>
      </c>
      <c r="E139" s="30">
        <f>VLOOKUP(A139,JanApport,MATCH($E$2,'Jan 2022 Apport'!$3:$3,0),FALSE)+VLOOKUP(A139,JanApport,MATCH($E$3,'Jan 2022 Apport'!$3:$3,0),FALSE)+VLOOKUP(A139,JanApport,MATCH($E$4,'Jan 2022 Apport'!$3:$3,0),FALSE)</f>
        <v>128579.11</v>
      </c>
      <c r="F139" s="118">
        <f t="shared" si="19"/>
        <v>3313507.3200000003</v>
      </c>
      <c r="G139" s="117">
        <f>VLOOKUP(A139,JanApport,MATCH($G$4,'Jan 2022 Apport'!$3:$3,0),FALSE)</f>
        <v>0</v>
      </c>
      <c r="H139" s="117">
        <f>VLOOKUP(A139,JanApport,MATCH($H$3,'Jan 2022 Apport'!$3:$3,0),FALSE)+VLOOKUP(A139,JanApport,MATCH($H$2,'Jan 2022 Apport'!$3:$3,0),FALSE)+VLOOKUP(A139,JanApport,MATCH($H$4,'Jan 2022 Apport'!$3:$3,0),FALSE)</f>
        <v>305471.86</v>
      </c>
      <c r="I139" s="117">
        <f t="shared" si="20"/>
        <v>305471.86</v>
      </c>
      <c r="J139" s="117">
        <f>VLOOKUP(A139,JanApport,MATCH($J$4,'Jan 2022 Apport'!$3:$3,0),FALSE)</f>
        <v>166732.9</v>
      </c>
      <c r="K139" s="117">
        <f>VLOOKUP(A139,JanApport,MATCH($K$4,'Jan 2022 Apport'!$3:$3,0),FALSE)</f>
        <v>25740.7</v>
      </c>
      <c r="L139" s="117">
        <f t="shared" si="21"/>
        <v>192473.60000000001</v>
      </c>
      <c r="M139" s="117">
        <f>VLOOKUP(A139,JanApport,MATCH($M$4,'Jan 2022 Apport'!$3:$3,0),FALSE)</f>
        <v>69975.09</v>
      </c>
      <c r="N139" s="117">
        <f>VLOOKUP(A139,JanApport,MATCH($N$4,'Jan 2022 Apport'!$3:$3,0),FALSE)</f>
        <v>27038.29</v>
      </c>
      <c r="O139" s="117">
        <f>VLOOKUP(A139,JanApport,MATCH($O$4,'Jan 2022 Apport'!$3:$3,0),FALSE)</f>
        <v>7570.72</v>
      </c>
      <c r="P139" s="121">
        <f>IFERROR((VLOOKUP(A139,ExcessLevy!A:G,3,FALSE)*0.28),0)+IFERROR((VLOOKUP(A139,ExcessLevy!A:G,6,FALSE)*0.72),0)</f>
        <v>0</v>
      </c>
      <c r="Q139" s="121">
        <f>IFERROR((VLOOKUP(A139,ExcessLevy!A:G,4,FALSE)*0.4738),0)+IFERROR((VLOOKUP(A139,ExcessLevy!A:G,7,FALSE)*0.5262),0)</f>
        <v>997711.62419999996</v>
      </c>
      <c r="R139">
        <f>VLOOKUP(A139,JanApport,MATCH($R$4,'Jan 2022 Apport'!$3:$3,0),FALSE)</f>
        <v>0</v>
      </c>
      <c r="S139">
        <f>VLOOKUP(A139,JanApport,MATCH($S$4,'Jan 2022 Apport'!$3:$3,0),FALSE)</f>
        <v>0.7</v>
      </c>
      <c r="T139">
        <f>VLOOKUP(A139,JanApport,MATCH($T$4,'Jan 2022 Apport'!$3:$3,0),FALSE)</f>
        <v>12.57</v>
      </c>
      <c r="U139" s="132">
        <f>IFERROR(VLOOKUP(A139,JanApport,MATCH($U$4,'Jan 2022 Apport'!$3:$3,0),FALSE)/R139,0)</f>
        <v>0</v>
      </c>
      <c r="V139" s="30">
        <f>IFERROR(((VLOOKUP(A139,JanApport,MATCH($V$4,'Jan 2022 Apport'!$3:$3,0),FALSE)+VLOOKUP(A139,JanApport,MATCH($V$3,'Jan 2022 Apport'!$3:$3,0),FALSE))/(S139+T139)),0)</f>
        <v>9689.4581763376045</v>
      </c>
      <c r="W139" s="30">
        <f t="shared" si="22"/>
        <v>8758.0802925734424</v>
      </c>
      <c r="X139">
        <f>VLOOKUP(A139,JanApport,MATCH($X$4,'Jan 2022 Apport'!$3:$3,0),FALSE)</f>
        <v>4.8578999999999997E-2</v>
      </c>
      <c r="Y139">
        <f>VLOOKUP(A139,JanApport,MATCH($Y$4,'Jan 2022 Apport'!$3:$3,0),FALSE)</f>
        <v>4.0270000000000002E-3</v>
      </c>
      <c r="Z139">
        <f>VLOOKUP(A139,JanApport,MATCH($Z$4,'Jan 2022 Apport'!$3:$3,0),FALSE)</f>
        <v>1.7100000000000001E-2</v>
      </c>
      <c r="AA139" s="77">
        <f>VLOOKUP(A139,JanApport,MATCH($AA$4,'Jan 2022 Apport'!$3:$3,0),FALSE)*VLOOKUP(A139,JanApport,MATCH($AA$3,'Jan 2022 Apport'!$3:$3,0),FALSE)</f>
        <v>75695.200000000012</v>
      </c>
      <c r="AB139" s="77">
        <f>VLOOKUP(A139,JanApport,MATCH($AB$4,'Jan 2022 Apport'!$3:$3,0),FALSE)*VLOOKUP(A139,JanApport,MATCH($AB$3,'Jan 2022 Apport'!$3:$3,0),FALSE)</f>
        <v>77209.440000000002</v>
      </c>
      <c r="AC139" s="77">
        <f>VLOOKUP(A139,JanApport,MATCH($AC$4,'Jan 2022 Apport'!$3:$3,0),FALSE)</f>
        <v>100321</v>
      </c>
      <c r="AD139" s="77">
        <f>VLOOKUP(A139,JanApport,MATCH($AD$4,'Jan 2022 Apport'!$3:$3,0),FALSE)*VLOOKUP(A139,JanApport,MATCH($AD$3,'Jan 2022 Apport'!$3:$3,0),FALSE)</f>
        <v>114606.24</v>
      </c>
      <c r="AE139" s="77">
        <f>VLOOKUP(A139,JanApport,MATCH($AE$4,'Jan 2022 Apport'!$3:$3,0),FALSE)</f>
        <v>48483</v>
      </c>
      <c r="AF139" s="77">
        <f>VLOOKUP(A139,JanApport,MATCH($AF$4,'Jan 2022 Apport'!$3:$3,0),FALSE)*VLOOKUP(A139,JanApport,MATCH($AF$3,'Jan 2022 Apport'!$3:$3,0),FALSE)</f>
        <v>55387.360000000008</v>
      </c>
      <c r="AG139" s="77">
        <f t="shared" si="23"/>
        <v>106582.33268799999</v>
      </c>
      <c r="AH139" s="77">
        <f t="shared" si="24"/>
        <v>152390.21156800003</v>
      </c>
      <c r="AI139" s="77">
        <f t="shared" si="25"/>
        <v>84357.998300512001</v>
      </c>
      <c r="AJ139" s="3">
        <f>VLOOKUP(A139,JanApport,MATCH($AJ$4,'Jan 2022 Apport'!$3:$3,0),FALSE)</f>
        <v>385288.01</v>
      </c>
      <c r="AK139" s="3">
        <f>VLOOKUP(A139,JanApport,MATCH($AK$4,'Jan 2022 Apport'!$3:$3,0),FALSE)</f>
        <v>4.2939999999999996</v>
      </c>
      <c r="AL139" s="117">
        <f t="shared" si="26"/>
        <v>4018875.29</v>
      </c>
      <c r="AM139" s="117">
        <f>VLOOKUP(A139,JanApport,MATCH($AM$4,'Jan 2022 Apport'!$3:$3,0),FALSE)</f>
        <v>0</v>
      </c>
      <c r="AN139" s="117">
        <f>VLOOKUP(A139,JanApport,MATCH($AN$4,'Jan 2022 Apport'!$3:$3,0),FALSE)</f>
        <v>29132.54</v>
      </c>
    </row>
    <row r="140" spans="1:40">
      <c r="A140" s="2" t="s">
        <v>1232</v>
      </c>
      <c r="B140" s="2" t="s">
        <v>1233</v>
      </c>
      <c r="C140" s="2" t="s">
        <v>1267</v>
      </c>
      <c r="D140" s="118">
        <f>VLOOKUP(A140,JanApport,MATCH($D$4,'Jan 2022 Apport'!$3:$3,FALSE),FALSE)</f>
        <v>1397177.95</v>
      </c>
      <c r="E140" s="30">
        <f>VLOOKUP(A140,JanApport,MATCH($E$2,'Jan 2022 Apport'!$3:$3,0),FALSE)+VLOOKUP(A140,JanApport,MATCH($E$3,'Jan 2022 Apport'!$3:$3,0),FALSE)+VLOOKUP(A140,JanApport,MATCH($E$4,'Jan 2022 Apport'!$3:$3,0),FALSE)</f>
        <v>0</v>
      </c>
      <c r="F140" s="118">
        <f t="shared" si="19"/>
        <v>1397177.95</v>
      </c>
      <c r="G140" s="117">
        <f>VLOOKUP(A140,JanApport,MATCH($G$4,'Jan 2022 Apport'!$3:$3,0),FALSE)</f>
        <v>0</v>
      </c>
      <c r="H140" s="117">
        <f>VLOOKUP(A140,JanApport,MATCH($H$3,'Jan 2022 Apport'!$3:$3,0),FALSE)+VLOOKUP(A140,JanApport,MATCH($H$2,'Jan 2022 Apport'!$3:$3,0),FALSE)+VLOOKUP(A140,JanApport,MATCH($H$4,'Jan 2022 Apport'!$3:$3,0),FALSE)</f>
        <v>39446.730000000003</v>
      </c>
      <c r="I140" s="117">
        <f t="shared" si="20"/>
        <v>39446.730000000003</v>
      </c>
      <c r="J140" s="117">
        <f>VLOOKUP(A140,JanApport,MATCH($J$4,'Jan 2022 Apport'!$3:$3,0),FALSE)</f>
        <v>11305.43</v>
      </c>
      <c r="K140" s="117">
        <f>VLOOKUP(A140,JanApport,MATCH($K$4,'Jan 2022 Apport'!$3:$3,0),FALSE)</f>
        <v>0</v>
      </c>
      <c r="L140" s="117">
        <f t="shared" si="21"/>
        <v>11305.43</v>
      </c>
      <c r="M140" s="117">
        <f>VLOOKUP(A140,JanApport,MATCH($M$4,'Jan 2022 Apport'!$3:$3,0),FALSE)</f>
        <v>21571.41</v>
      </c>
      <c r="N140" s="117">
        <f>VLOOKUP(A140,JanApport,MATCH($N$4,'Jan 2022 Apport'!$3:$3,0),FALSE)</f>
        <v>0</v>
      </c>
      <c r="O140" s="117">
        <f>VLOOKUP(A140,JanApport,MATCH($O$4,'Jan 2022 Apport'!$3:$3,0),FALSE)</f>
        <v>0</v>
      </c>
      <c r="P140" s="121">
        <f>IFERROR((VLOOKUP(A140,ExcessLevy!A:G,3,FALSE)*0.28),0)+IFERROR((VLOOKUP(A140,ExcessLevy!A:G,6,FALSE)*0.72),0)</f>
        <v>0</v>
      </c>
      <c r="Q140" s="121">
        <f>IFERROR((VLOOKUP(A140,ExcessLevy!A:G,4,FALSE)*0.4738),0)+IFERROR((VLOOKUP(A140,ExcessLevy!A:G,7,FALSE)*0.5262),0)</f>
        <v>0</v>
      </c>
      <c r="R140">
        <f>VLOOKUP(A140,JanApport,MATCH($R$4,'Jan 2022 Apport'!$3:$3,0),FALSE)</f>
        <v>0</v>
      </c>
      <c r="S140">
        <f>VLOOKUP(A140,JanApport,MATCH($S$4,'Jan 2022 Apport'!$3:$3,0),FALSE)</f>
        <v>0</v>
      </c>
      <c r="T140">
        <f>VLOOKUP(A140,JanApport,MATCH($T$4,'Jan 2022 Apport'!$3:$3,0),FALSE)</f>
        <v>0</v>
      </c>
      <c r="U140" s="132">
        <f>IFERROR(VLOOKUP(A140,JanApport,MATCH($U$4,'Jan 2022 Apport'!$3:$3,0),FALSE)/R140,0)</f>
        <v>0</v>
      </c>
      <c r="V140" s="30">
        <f>IFERROR(((VLOOKUP(A140,JanApport,MATCH($V$4,'Jan 2022 Apport'!$3:$3,0),FALSE)+VLOOKUP(A140,JanApport,MATCH($V$3,'Jan 2022 Apport'!$3:$3,0),FALSE))/(S140+T140)),0)</f>
        <v>0</v>
      </c>
      <c r="W140" s="30">
        <f t="shared" si="22"/>
        <v>8308.4432287102536</v>
      </c>
      <c r="X140">
        <f>VLOOKUP(A140,JanApport,MATCH($X$4,'Jan 2022 Apport'!$3:$3,0),FALSE)</f>
        <v>4.8578999999999997E-2</v>
      </c>
      <c r="Y140">
        <f>VLOOKUP(A140,JanApport,MATCH($Y$4,'Jan 2022 Apport'!$3:$3,0),FALSE)</f>
        <v>4.0270000000000002E-3</v>
      </c>
      <c r="Z140">
        <f>VLOOKUP(A140,JanApport,MATCH($Z$4,'Jan 2022 Apport'!$3:$3,0),FALSE)</f>
        <v>1.7100000000000001E-2</v>
      </c>
      <c r="AA140" s="77">
        <f>VLOOKUP(A140,JanApport,MATCH($AA$4,'Jan 2022 Apport'!$3:$3,0),FALSE)*VLOOKUP(A140,JanApport,MATCH($AA$3,'Jan 2022 Apport'!$3:$3,0),FALSE)</f>
        <v>70288.400000000009</v>
      </c>
      <c r="AB140" s="77">
        <f>VLOOKUP(A140,JanApport,MATCH($AB$4,'Jan 2022 Apport'!$3:$3,0),FALSE)*VLOOKUP(A140,JanApport,MATCH($AB$3,'Jan 2022 Apport'!$3:$3,0),FALSE)</f>
        <v>71694.48</v>
      </c>
      <c r="AC140" s="77">
        <f>VLOOKUP(A140,JanApport,MATCH($AC$4,'Jan 2022 Apport'!$3:$3,0),FALSE)</f>
        <v>100321</v>
      </c>
      <c r="AD140" s="77">
        <f>VLOOKUP(A140,JanApport,MATCH($AD$4,'Jan 2022 Apport'!$3:$3,0),FALSE)*VLOOKUP(A140,JanApport,MATCH($AD$3,'Jan 2022 Apport'!$3:$3,0),FALSE)</f>
        <v>106420.08</v>
      </c>
      <c r="AE140" s="77">
        <f>VLOOKUP(A140,JanApport,MATCH($AE$4,'Jan 2022 Apport'!$3:$3,0),FALSE)</f>
        <v>48483</v>
      </c>
      <c r="AF140" s="77">
        <f>VLOOKUP(A140,JanApport,MATCH($AF$4,'Jan 2022 Apport'!$3:$3,0),FALSE)*VLOOKUP(A140,JanApport,MATCH($AF$3,'Jan 2022 Apport'!$3:$3,0),FALSE)</f>
        <v>51431.12</v>
      </c>
      <c r="AG140" s="77">
        <f t="shared" si="23"/>
        <v>99815.617495999992</v>
      </c>
      <c r="AH140" s="77">
        <f t="shared" si="24"/>
        <v>142397.366056</v>
      </c>
      <c r="AI140" s="77">
        <f t="shared" si="25"/>
        <v>79640.125921903993</v>
      </c>
      <c r="AJ140" s="3">
        <f>VLOOKUP(A140,JanApport,MATCH($AJ$4,'Jan 2022 Apport'!$3:$3,0),FALSE)</f>
        <v>147169.5</v>
      </c>
      <c r="AK140" s="3">
        <f>VLOOKUP(A140,JanApport,MATCH($AK$4,'Jan 2022 Apport'!$3:$3,0),FALSE)</f>
        <v>0</v>
      </c>
      <c r="AL140" s="117">
        <f t="shared" si="26"/>
        <v>1480439.13</v>
      </c>
      <c r="AM140" s="117">
        <f>VLOOKUP(A140,JanApport,MATCH($AM$4,'Jan 2022 Apport'!$3:$3,0),FALSE)</f>
        <v>10937.61</v>
      </c>
      <c r="AN140" s="117">
        <f>VLOOKUP(A140,JanApport,MATCH($AN$4,'Jan 2022 Apport'!$3:$3,0),FALSE)</f>
        <v>13126.16</v>
      </c>
    </row>
    <row r="141" spans="1:40">
      <c r="A141" s="2" t="s">
        <v>553</v>
      </c>
      <c r="B141" s="2" t="s">
        <v>554</v>
      </c>
      <c r="C141" s="2" t="s">
        <v>1267</v>
      </c>
      <c r="D141" s="118">
        <f>VLOOKUP(A141,JanApport,MATCH($D$4,'Jan 2022 Apport'!$3:$3,FALSE),FALSE)</f>
        <v>4353788.8600000003</v>
      </c>
      <c r="E141" s="30">
        <f>VLOOKUP(A141,JanApport,MATCH($E$2,'Jan 2022 Apport'!$3:$3,0),FALSE)+VLOOKUP(A141,JanApport,MATCH($E$3,'Jan 2022 Apport'!$3:$3,0),FALSE)+VLOOKUP(A141,JanApport,MATCH($E$4,'Jan 2022 Apport'!$3:$3,0),FALSE)</f>
        <v>0</v>
      </c>
      <c r="F141" s="118">
        <f t="shared" si="19"/>
        <v>4353788.8600000003</v>
      </c>
      <c r="G141" s="117">
        <f>VLOOKUP(A141,JanApport,MATCH($G$4,'Jan 2022 Apport'!$3:$3,0),FALSE)</f>
        <v>152681.68</v>
      </c>
      <c r="H141" s="117">
        <f>VLOOKUP(A141,JanApport,MATCH($H$3,'Jan 2022 Apport'!$3:$3,0),FALSE)+VLOOKUP(A141,JanApport,MATCH($H$2,'Jan 2022 Apport'!$3:$3,0),FALSE)+VLOOKUP(A141,JanApport,MATCH($H$4,'Jan 2022 Apport'!$3:$3,0),FALSE)</f>
        <v>503296.67999999993</v>
      </c>
      <c r="I141" s="117">
        <f t="shared" si="20"/>
        <v>655978.35999999987</v>
      </c>
      <c r="J141" s="117">
        <f>VLOOKUP(A141,JanApport,MATCH($J$4,'Jan 2022 Apport'!$3:$3,0),FALSE)</f>
        <v>283188.21999999997</v>
      </c>
      <c r="K141" s="117">
        <f>VLOOKUP(A141,JanApport,MATCH($K$4,'Jan 2022 Apport'!$3:$3,0),FALSE)</f>
        <v>0</v>
      </c>
      <c r="L141" s="117">
        <f t="shared" si="21"/>
        <v>283188.21999999997</v>
      </c>
      <c r="M141" s="117">
        <f>VLOOKUP(A141,JanApport,MATCH($M$4,'Jan 2022 Apport'!$3:$3,0),FALSE)</f>
        <v>250863.59</v>
      </c>
      <c r="N141" s="117">
        <f>VLOOKUP(A141,JanApport,MATCH($N$4,'Jan 2022 Apport'!$3:$3,0),FALSE)</f>
        <v>0</v>
      </c>
      <c r="O141" s="117">
        <f>VLOOKUP(A141,JanApport,MATCH($O$4,'Jan 2022 Apport'!$3:$3,0),FALSE)</f>
        <v>0</v>
      </c>
      <c r="P141" s="121">
        <f>IFERROR((VLOOKUP(A141,ExcessLevy!A:G,3,FALSE)*0.28),0)+IFERROR((VLOOKUP(A141,ExcessLevy!A:G,6,FALSE)*0.72),0)</f>
        <v>483518.98800000001</v>
      </c>
      <c r="Q141" s="121">
        <f>IFERROR((VLOOKUP(A141,ExcessLevy!A:G,4,FALSE)*0.4738),0)+IFERROR((VLOOKUP(A141,ExcessLevy!A:G,7,FALSE)*0.5262),0)</f>
        <v>0</v>
      </c>
      <c r="R141">
        <f>VLOOKUP(A141,JanApport,MATCH($R$4,'Jan 2022 Apport'!$3:$3,0),FALSE)</f>
        <v>0</v>
      </c>
      <c r="S141">
        <f>VLOOKUP(A141,JanApport,MATCH($S$4,'Jan 2022 Apport'!$3:$3,0),FALSE)</f>
        <v>0</v>
      </c>
      <c r="T141">
        <f>VLOOKUP(A141,JanApport,MATCH($T$4,'Jan 2022 Apport'!$3:$3,0),FALSE)</f>
        <v>0</v>
      </c>
      <c r="U141" s="132">
        <f>IFERROR(VLOOKUP(A141,JanApport,MATCH($U$4,'Jan 2022 Apport'!$3:$3,0),FALSE)/R141,0)</f>
        <v>0</v>
      </c>
      <c r="V141" s="30">
        <f>IFERROR(((VLOOKUP(A141,JanApport,MATCH($V$4,'Jan 2022 Apport'!$3:$3,0),FALSE)+VLOOKUP(A141,JanApport,MATCH($V$3,'Jan 2022 Apport'!$3:$3,0),FALSE))/(S141+T141)),0)</f>
        <v>0</v>
      </c>
      <c r="W141" s="30">
        <f t="shared" si="22"/>
        <v>2454.6725803936006</v>
      </c>
      <c r="X141">
        <f>VLOOKUP(A141,JanApport,MATCH($X$4,'Jan 2022 Apport'!$3:$3,0),FALSE)</f>
        <v>4.8578999999999997E-2</v>
      </c>
      <c r="Y141">
        <f>VLOOKUP(A141,JanApport,MATCH($Y$4,'Jan 2022 Apport'!$3:$3,0),FALSE)</f>
        <v>4.0270000000000002E-3</v>
      </c>
      <c r="Z141">
        <f>VLOOKUP(A141,JanApport,MATCH($Z$4,'Jan 2022 Apport'!$3:$3,0),FALSE)</f>
        <v>1.7100000000000001E-2</v>
      </c>
      <c r="AA141" s="77">
        <f>VLOOKUP(A141,JanApport,MATCH($AA$4,'Jan 2022 Apport'!$3:$3,0),FALSE)*VLOOKUP(A141,JanApport,MATCH($AA$3,'Jan 2022 Apport'!$3:$3,0),FALSE)</f>
        <v>74343.5</v>
      </c>
      <c r="AB141" s="77">
        <f>VLOOKUP(A141,JanApport,MATCH($AB$4,'Jan 2022 Apport'!$3:$3,0),FALSE)*VLOOKUP(A141,JanApport,MATCH($AB$3,'Jan 2022 Apport'!$3:$3,0),FALSE)</f>
        <v>0</v>
      </c>
      <c r="AC141" s="77">
        <f>VLOOKUP(A141,JanApport,MATCH($AC$4,'Jan 2022 Apport'!$3:$3,0),FALSE)</f>
        <v>0</v>
      </c>
      <c r="AD141" s="77">
        <f>VLOOKUP(A141,JanApport,MATCH($AD$4,'Jan 2022 Apport'!$3:$3,0),FALSE)*VLOOKUP(A141,JanApport,MATCH($AD$3,'Jan 2022 Apport'!$3:$3,0),FALSE)</f>
        <v>0</v>
      </c>
      <c r="AE141" s="77">
        <f>VLOOKUP(A141,JanApport,MATCH($AE$4,'Jan 2022 Apport'!$3:$3,0),FALSE)</f>
        <v>0</v>
      </c>
      <c r="AF141" s="77">
        <f>VLOOKUP(A141,JanApport,MATCH($AF$4,'Jan 2022 Apport'!$3:$3,0),FALSE)*VLOOKUP(A141,JanApport,MATCH($AF$3,'Jan 2022 Apport'!$3:$3,0),FALSE)</f>
        <v>0</v>
      </c>
      <c r="AG141" s="77">
        <f t="shared" si="23"/>
        <v>12324.118400000014</v>
      </c>
      <c r="AH141" s="77">
        <f t="shared" si="24"/>
        <v>11848.32</v>
      </c>
      <c r="AI141" s="77">
        <f t="shared" si="25"/>
        <v>16610.88</v>
      </c>
      <c r="AJ141" s="3">
        <f>VLOOKUP(A141,JanApport,MATCH($AJ$4,'Jan 2022 Apport'!$3:$3,0),FALSE)</f>
        <v>608888.17000000004</v>
      </c>
      <c r="AK141" s="3">
        <f>VLOOKUP(A141,JanApport,MATCH($AK$4,'Jan 2022 Apport'!$3:$3,0),FALSE)</f>
        <v>8.33</v>
      </c>
      <c r="AL141" s="117">
        <f t="shared" si="26"/>
        <v>5667707.5399999991</v>
      </c>
      <c r="AM141" s="117">
        <f>VLOOKUP(A141,JanApport,MATCH($AM$4,'Jan 2022 Apport'!$3:$3,0),FALSE)</f>
        <v>123888.51</v>
      </c>
      <c r="AN141" s="117">
        <f>VLOOKUP(A141,JanApport,MATCH($AN$4,'Jan 2022 Apport'!$3:$3,0),FALSE)</f>
        <v>39763.5</v>
      </c>
    </row>
    <row r="142" spans="1:40">
      <c r="A142" s="2" t="s">
        <v>269</v>
      </c>
      <c r="B142" s="2" t="s">
        <v>270</v>
      </c>
      <c r="C142" s="2" t="s">
        <v>1267</v>
      </c>
      <c r="D142" s="118">
        <f>VLOOKUP(A142,JanApport,MATCH($D$4,'Jan 2022 Apport'!$3:$3,FALSE),FALSE)</f>
        <v>2781427.24</v>
      </c>
      <c r="E142" s="30">
        <f>VLOOKUP(A142,JanApport,MATCH($E$2,'Jan 2022 Apport'!$3:$3,0),FALSE)+VLOOKUP(A142,JanApport,MATCH($E$3,'Jan 2022 Apport'!$3:$3,0),FALSE)+VLOOKUP(A142,JanApport,MATCH($E$4,'Jan 2022 Apport'!$3:$3,0),FALSE)</f>
        <v>0</v>
      </c>
      <c r="F142" s="118">
        <f t="shared" ref="F142:F205" si="27">D142-E142</f>
        <v>2781427.24</v>
      </c>
      <c r="G142" s="117">
        <f>VLOOKUP(A142,JanApport,MATCH($G$4,'Jan 2022 Apport'!$3:$3,0),FALSE)</f>
        <v>41980.15</v>
      </c>
      <c r="H142" s="117">
        <f>VLOOKUP(A142,JanApport,MATCH($H$3,'Jan 2022 Apport'!$3:$3,0),FALSE)+VLOOKUP(A142,JanApport,MATCH($H$2,'Jan 2022 Apport'!$3:$3,0),FALSE)+VLOOKUP(A142,JanApport,MATCH($H$4,'Jan 2022 Apport'!$3:$3,0),FALSE)</f>
        <v>302829.02999999997</v>
      </c>
      <c r="I142" s="117">
        <f t="shared" ref="I142:I205" si="28">SUM(G142:H142)</f>
        <v>344809.18</v>
      </c>
      <c r="J142" s="117">
        <f>VLOOKUP(A142,JanApport,MATCH($J$4,'Jan 2022 Apport'!$3:$3,0),FALSE)</f>
        <v>220591.47</v>
      </c>
      <c r="K142" s="117">
        <f>VLOOKUP(A142,JanApport,MATCH($K$4,'Jan 2022 Apport'!$3:$3,0),FALSE)</f>
        <v>57586.239999999998</v>
      </c>
      <c r="L142" s="117">
        <f t="shared" ref="L142:L205" si="29">K142+J142</f>
        <v>278177.71000000002</v>
      </c>
      <c r="M142" s="117">
        <f>VLOOKUP(A142,JanApport,MATCH($M$4,'Jan 2022 Apport'!$3:$3,0),FALSE)</f>
        <v>81007.199999999997</v>
      </c>
      <c r="N142" s="117">
        <f>VLOOKUP(A142,JanApport,MATCH($N$4,'Jan 2022 Apport'!$3:$3,0),FALSE)</f>
        <v>10957.49</v>
      </c>
      <c r="O142" s="117">
        <f>VLOOKUP(A142,JanApport,MATCH($O$4,'Jan 2022 Apport'!$3:$3,0),FALSE)</f>
        <v>0</v>
      </c>
      <c r="P142" s="121">
        <f>IFERROR((VLOOKUP(A142,ExcessLevy!A:G,3,FALSE)*0.28),0)+IFERROR((VLOOKUP(A142,ExcessLevy!A:G,6,FALSE)*0.72),0)</f>
        <v>0</v>
      </c>
      <c r="Q142" s="121">
        <f>IFERROR((VLOOKUP(A142,ExcessLevy!A:G,4,FALSE)*0.4738),0)+IFERROR((VLOOKUP(A142,ExcessLevy!A:G,7,FALSE)*0.5262),0)</f>
        <v>637491.07679999992</v>
      </c>
      <c r="R142">
        <f>VLOOKUP(A142,JanApport,MATCH($R$4,'Jan 2022 Apport'!$3:$3,0),FALSE)</f>
        <v>0</v>
      </c>
      <c r="S142">
        <f>VLOOKUP(A142,JanApport,MATCH($S$4,'Jan 2022 Apport'!$3:$3,0),FALSE)</f>
        <v>0</v>
      </c>
      <c r="T142">
        <f>VLOOKUP(A142,JanApport,MATCH($T$4,'Jan 2022 Apport'!$3:$3,0),FALSE)</f>
        <v>0</v>
      </c>
      <c r="U142" s="132">
        <f>IFERROR(VLOOKUP(A142,JanApport,MATCH($U$4,'Jan 2022 Apport'!$3:$3,0),FALSE)/R142,0)</f>
        <v>0</v>
      </c>
      <c r="V142" s="30">
        <f>IFERROR(((VLOOKUP(A142,JanApport,MATCH($V$4,'Jan 2022 Apport'!$3:$3,0),FALSE)+VLOOKUP(A142,JanApport,MATCH($V$3,'Jan 2022 Apport'!$3:$3,0),FALSE))/(S142+T142)),0)</f>
        <v>0</v>
      </c>
      <c r="W142" s="30">
        <f t="shared" si="22"/>
        <v>8083.6246967786601</v>
      </c>
      <c r="X142">
        <f>VLOOKUP(A142,JanApport,MATCH($X$4,'Jan 2022 Apport'!$3:$3,0),FALSE)</f>
        <v>4.8578999999999997E-2</v>
      </c>
      <c r="Y142">
        <f>VLOOKUP(A142,JanApport,MATCH($Y$4,'Jan 2022 Apport'!$3:$3,0),FALSE)</f>
        <v>4.0270000000000002E-3</v>
      </c>
      <c r="Z142">
        <f>VLOOKUP(A142,JanApport,MATCH($Z$4,'Jan 2022 Apport'!$3:$3,0),FALSE)</f>
        <v>1.7100000000000001E-2</v>
      </c>
      <c r="AA142" s="77">
        <f>VLOOKUP(A142,JanApport,MATCH($AA$4,'Jan 2022 Apport'!$3:$3,0),FALSE)*VLOOKUP(A142,JanApport,MATCH($AA$3,'Jan 2022 Apport'!$3:$3,0),FALSE)</f>
        <v>67585</v>
      </c>
      <c r="AB142" s="77">
        <f>VLOOKUP(A142,JanApport,MATCH($AB$4,'Jan 2022 Apport'!$3:$3,0),FALSE)*VLOOKUP(A142,JanApport,MATCH($AB$3,'Jan 2022 Apport'!$3:$3,0),FALSE)</f>
        <v>68937</v>
      </c>
      <c r="AC142" s="77">
        <f>VLOOKUP(A142,JanApport,MATCH($AC$4,'Jan 2022 Apport'!$3:$3,0),FALSE)</f>
        <v>100321</v>
      </c>
      <c r="AD142" s="77">
        <f>VLOOKUP(A142,JanApport,MATCH($AD$4,'Jan 2022 Apport'!$3:$3,0),FALSE)*VLOOKUP(A142,JanApport,MATCH($AD$3,'Jan 2022 Apport'!$3:$3,0),FALSE)</f>
        <v>102327</v>
      </c>
      <c r="AE142" s="77">
        <f>VLOOKUP(A142,JanApport,MATCH($AE$4,'Jan 2022 Apport'!$3:$3,0),FALSE)</f>
        <v>48483</v>
      </c>
      <c r="AF142" s="77">
        <f>VLOOKUP(A142,JanApport,MATCH($AF$4,'Jan 2022 Apport'!$3:$3,0),FALSE)*VLOOKUP(A142,JanApport,MATCH($AF$3,'Jan 2022 Apport'!$3:$3,0),FALSE)</f>
        <v>49453</v>
      </c>
      <c r="AG142" s="77">
        <f t="shared" si="23"/>
        <v>96432.259900000005</v>
      </c>
      <c r="AH142" s="77">
        <f t="shared" si="24"/>
        <v>137400.94330000001</v>
      </c>
      <c r="AI142" s="77">
        <f t="shared" si="25"/>
        <v>77281.189732599989</v>
      </c>
      <c r="AJ142" s="3">
        <f>VLOOKUP(A142,JanApport,MATCH($AJ$4,'Jan 2022 Apport'!$3:$3,0),FALSE)</f>
        <v>360929.47</v>
      </c>
      <c r="AK142" s="3">
        <f>VLOOKUP(A142,JanApport,MATCH($AK$4,'Jan 2022 Apport'!$3:$3,0),FALSE)</f>
        <v>4.24</v>
      </c>
      <c r="AL142" s="117">
        <f t="shared" si="26"/>
        <v>3153858.2800000007</v>
      </c>
      <c r="AM142" s="117">
        <f>VLOOKUP(A142,JanApport,MATCH($AM$4,'Jan 2022 Apport'!$3:$3,0),FALSE)</f>
        <v>59874.879999999997</v>
      </c>
      <c r="AN142" s="117">
        <f>VLOOKUP(A142,JanApport,MATCH($AN$4,'Jan 2022 Apport'!$3:$3,0),FALSE)</f>
        <v>24281.88</v>
      </c>
    </row>
    <row r="143" spans="1:40">
      <c r="A143" s="2" t="s">
        <v>545</v>
      </c>
      <c r="B143" s="2" t="s">
        <v>546</v>
      </c>
      <c r="C143" s="2" t="s">
        <v>1267</v>
      </c>
      <c r="D143" s="118">
        <f>VLOOKUP(A143,JanApport,MATCH($D$4,'Jan 2022 Apport'!$3:$3,FALSE),FALSE)</f>
        <v>30183153.559999999</v>
      </c>
      <c r="E143" s="30">
        <f>VLOOKUP(A143,JanApport,MATCH($E$2,'Jan 2022 Apport'!$3:$3,0),FALSE)+VLOOKUP(A143,JanApport,MATCH($E$3,'Jan 2022 Apport'!$3:$3,0),FALSE)+VLOOKUP(A143,JanApport,MATCH($E$4,'Jan 2022 Apport'!$3:$3,0),FALSE)</f>
        <v>2173023.9</v>
      </c>
      <c r="F143" s="118">
        <f t="shared" si="27"/>
        <v>28010129.66</v>
      </c>
      <c r="G143" s="117">
        <f>VLOOKUP(A143,JanApport,MATCH($G$4,'Jan 2022 Apport'!$3:$3,0),FALSE)</f>
        <v>536949.57999999996</v>
      </c>
      <c r="H143" s="117">
        <f>VLOOKUP(A143,JanApport,MATCH($H$3,'Jan 2022 Apport'!$3:$3,0),FALSE)+VLOOKUP(A143,JanApport,MATCH($H$2,'Jan 2022 Apport'!$3:$3,0),FALSE)+VLOOKUP(A143,JanApport,MATCH($H$4,'Jan 2022 Apport'!$3:$3,0),FALSE)</f>
        <v>4025798.17</v>
      </c>
      <c r="I143" s="117">
        <f t="shared" si="28"/>
        <v>4562747.75</v>
      </c>
      <c r="J143" s="117">
        <f>VLOOKUP(A143,JanApport,MATCH($J$4,'Jan 2022 Apport'!$3:$3,0),FALSE)</f>
        <v>1460281.94</v>
      </c>
      <c r="K143" s="117">
        <f>VLOOKUP(A143,JanApport,MATCH($K$4,'Jan 2022 Apport'!$3:$3,0),FALSE)</f>
        <v>276207.09999999998</v>
      </c>
      <c r="L143" s="117">
        <f t="shared" si="29"/>
        <v>1736489.04</v>
      </c>
      <c r="M143" s="117">
        <f>VLOOKUP(A143,JanApport,MATCH($M$4,'Jan 2022 Apport'!$3:$3,0),FALSE)</f>
        <v>624658.43999999994</v>
      </c>
      <c r="N143" s="117">
        <f>VLOOKUP(A143,JanApport,MATCH($N$4,'Jan 2022 Apport'!$3:$3,0),FALSE)</f>
        <v>578620.13</v>
      </c>
      <c r="O143" s="117">
        <f>VLOOKUP(A143,JanApport,MATCH($O$4,'Jan 2022 Apport'!$3:$3,0),FALSE)</f>
        <v>98462.23</v>
      </c>
      <c r="P143" s="121">
        <f>IFERROR((VLOOKUP(A143,ExcessLevy!A:G,3,FALSE)*0.28),0)+IFERROR((VLOOKUP(A143,ExcessLevy!A:G,6,FALSE)*0.72),0)</f>
        <v>316779.93840000004</v>
      </c>
      <c r="Q143" s="121">
        <f>IFERROR((VLOOKUP(A143,ExcessLevy!A:G,4,FALSE)*0.4738),0)+IFERROR((VLOOKUP(A143,ExcessLevy!A:G,7,FALSE)*0.5262),0)</f>
        <v>6963100</v>
      </c>
      <c r="R143">
        <f>VLOOKUP(A143,JanApport,MATCH($R$4,'Jan 2022 Apport'!$3:$3,0),FALSE)</f>
        <v>0</v>
      </c>
      <c r="S143">
        <f>VLOOKUP(A143,JanApport,MATCH($S$4,'Jan 2022 Apport'!$3:$3,0),FALSE)</f>
        <v>14.93</v>
      </c>
      <c r="T143">
        <f>VLOOKUP(A143,JanApport,MATCH($T$4,'Jan 2022 Apport'!$3:$3,0),FALSE)</f>
        <v>218.72</v>
      </c>
      <c r="U143" s="132">
        <f>IFERROR(VLOOKUP(A143,JanApport,MATCH($U$4,'Jan 2022 Apport'!$3:$3,0),FALSE)/R143,0)</f>
        <v>0</v>
      </c>
      <c r="V143" s="30">
        <f>IFERROR(((VLOOKUP(A143,JanApport,MATCH($V$4,'Jan 2022 Apport'!$3:$3,0),FALSE)+VLOOKUP(A143,JanApport,MATCH($V$3,'Jan 2022 Apport'!$3:$3,0),FALSE))/(S143+T143)),0)</f>
        <v>9300.337684570939</v>
      </c>
      <c r="W143" s="30">
        <f t="shared" si="22"/>
        <v>8644.8305244086059</v>
      </c>
      <c r="X143">
        <f>VLOOKUP(A143,JanApport,MATCH($X$4,'Jan 2022 Apport'!$3:$3,0),FALSE)</f>
        <v>4.8578999999999997E-2</v>
      </c>
      <c r="Y143">
        <f>VLOOKUP(A143,JanApport,MATCH($Y$4,'Jan 2022 Apport'!$3:$3,0),FALSE)</f>
        <v>4.0270000000000002E-3</v>
      </c>
      <c r="Z143">
        <f>VLOOKUP(A143,JanApport,MATCH($Z$4,'Jan 2022 Apport'!$3:$3,0),FALSE)</f>
        <v>1.7100000000000001E-2</v>
      </c>
      <c r="AA143" s="77">
        <f>VLOOKUP(A143,JanApport,MATCH($AA$4,'Jan 2022 Apport'!$3:$3,0),FALSE)*VLOOKUP(A143,JanApport,MATCH($AA$3,'Jan 2022 Apport'!$3:$3,0),FALSE)</f>
        <v>71640.100000000006</v>
      </c>
      <c r="AB143" s="77">
        <f>VLOOKUP(A143,JanApport,MATCH($AB$4,'Jan 2022 Apport'!$3:$3,0),FALSE)*VLOOKUP(A143,JanApport,MATCH($AB$3,'Jan 2022 Apport'!$3:$3,0),FALSE)</f>
        <v>75830.700000000012</v>
      </c>
      <c r="AC143" s="77">
        <f>VLOOKUP(A143,JanApport,MATCH($AC$4,'Jan 2022 Apport'!$3:$3,0),FALSE)</f>
        <v>100321</v>
      </c>
      <c r="AD143" s="77">
        <f>VLOOKUP(A143,JanApport,MATCH($AD$4,'Jan 2022 Apport'!$3:$3,0),FALSE)*VLOOKUP(A143,JanApport,MATCH($AD$3,'Jan 2022 Apport'!$3:$3,0),FALSE)</f>
        <v>112559.70000000001</v>
      </c>
      <c r="AE143" s="77">
        <f>VLOOKUP(A143,JanApport,MATCH($AE$4,'Jan 2022 Apport'!$3:$3,0),FALSE)</f>
        <v>48483</v>
      </c>
      <c r="AF143" s="77">
        <f>VLOOKUP(A143,JanApport,MATCH($AF$4,'Jan 2022 Apport'!$3:$3,0),FALSE)*VLOOKUP(A143,JanApport,MATCH($AF$3,'Jan 2022 Apport'!$3:$3,0),FALSE)</f>
        <v>54398.3</v>
      </c>
      <c r="AG143" s="77">
        <f t="shared" si="23"/>
        <v>104873.35213000001</v>
      </c>
      <c r="AH143" s="77">
        <f t="shared" si="24"/>
        <v>149892.00019000002</v>
      </c>
      <c r="AI143" s="77">
        <f t="shared" si="25"/>
        <v>83178.530205860006</v>
      </c>
      <c r="AJ143" s="3">
        <f>VLOOKUP(A143,JanApport,MATCH($AJ$4,'Jan 2022 Apport'!$3:$3,0),FALSE)</f>
        <v>3591686.34</v>
      </c>
      <c r="AK143" s="3">
        <f>VLOOKUP(A143,JanApport,MATCH($AK$4,'Jan 2022 Apport'!$3:$3,0),FALSE)</f>
        <v>59.37</v>
      </c>
      <c r="AL143" s="117">
        <f t="shared" si="26"/>
        <v>37507924.049999997</v>
      </c>
      <c r="AM143" s="117">
        <f>VLOOKUP(A143,JanApport,MATCH($AM$4,'Jan 2022 Apport'!$3:$3,0),FALSE)</f>
        <v>0</v>
      </c>
      <c r="AN143" s="117">
        <f>VLOOKUP(A143,JanApport,MATCH($AN$4,'Jan 2022 Apport'!$3:$3,0),FALSE)</f>
        <v>211155.38</v>
      </c>
    </row>
    <row r="144" spans="1:40">
      <c r="A144" s="2" t="s">
        <v>591</v>
      </c>
      <c r="B144" s="2" t="s">
        <v>592</v>
      </c>
      <c r="C144" s="2" t="s">
        <v>1267</v>
      </c>
      <c r="D144" s="118">
        <f>VLOOKUP(A144,JanApport,MATCH($D$4,'Jan 2022 Apport'!$3:$3,FALSE),FALSE)</f>
        <v>7280112.4699999997</v>
      </c>
      <c r="E144" s="30">
        <f>VLOOKUP(A144,JanApport,MATCH($E$2,'Jan 2022 Apport'!$3:$3,0),FALSE)+VLOOKUP(A144,JanApport,MATCH($E$3,'Jan 2022 Apport'!$3:$3,0),FALSE)+VLOOKUP(A144,JanApport,MATCH($E$4,'Jan 2022 Apport'!$3:$3,0),FALSE)</f>
        <v>690420.59</v>
      </c>
      <c r="F144" s="118">
        <f t="shared" si="27"/>
        <v>6589691.8799999999</v>
      </c>
      <c r="G144" s="117">
        <f>VLOOKUP(A144,JanApport,MATCH($G$4,'Jan 2022 Apport'!$3:$3,0),FALSE)</f>
        <v>19883.34</v>
      </c>
      <c r="H144" s="117">
        <f>VLOOKUP(A144,JanApport,MATCH($H$3,'Jan 2022 Apport'!$3:$3,0),FALSE)+VLOOKUP(A144,JanApport,MATCH($H$2,'Jan 2022 Apport'!$3:$3,0),FALSE)+VLOOKUP(A144,JanApport,MATCH($H$4,'Jan 2022 Apport'!$3:$3,0),FALSE)</f>
        <v>719836.89</v>
      </c>
      <c r="I144" s="117">
        <f t="shared" si="28"/>
        <v>739720.23</v>
      </c>
      <c r="J144" s="117">
        <f>VLOOKUP(A144,JanApport,MATCH($J$4,'Jan 2022 Apport'!$3:$3,0),FALSE)</f>
        <v>203810.49</v>
      </c>
      <c r="K144" s="117">
        <f>VLOOKUP(A144,JanApport,MATCH($K$4,'Jan 2022 Apport'!$3:$3,0),FALSE)</f>
        <v>43743.64</v>
      </c>
      <c r="L144" s="117">
        <f t="shared" si="29"/>
        <v>247554.13</v>
      </c>
      <c r="M144" s="117">
        <f>VLOOKUP(A144,JanApport,MATCH($M$4,'Jan 2022 Apport'!$3:$3,0),FALSE)</f>
        <v>521948.57</v>
      </c>
      <c r="N144" s="117">
        <f>VLOOKUP(A144,JanApport,MATCH($N$4,'Jan 2022 Apport'!$3:$3,0),FALSE)</f>
        <v>530264.52</v>
      </c>
      <c r="O144" s="117">
        <f>VLOOKUP(A144,JanApport,MATCH($O$4,'Jan 2022 Apport'!$3:$3,0),FALSE)</f>
        <v>22795.5</v>
      </c>
      <c r="P144" s="121">
        <f>IFERROR((VLOOKUP(A144,ExcessLevy!A:G,3,FALSE)*0.28),0)+IFERROR((VLOOKUP(A144,ExcessLevy!A:G,6,FALSE)*0.72),0)</f>
        <v>1045782.9587999999</v>
      </c>
      <c r="Q144" s="121">
        <f>IFERROR((VLOOKUP(A144,ExcessLevy!A:G,4,FALSE)*0.4738),0)+IFERROR((VLOOKUP(A144,ExcessLevy!A:G,7,FALSE)*0.5262),0)</f>
        <v>392893</v>
      </c>
      <c r="R144">
        <f>VLOOKUP(A144,JanApport,MATCH($R$4,'Jan 2022 Apport'!$3:$3,0),FALSE)</f>
        <v>0</v>
      </c>
      <c r="S144">
        <f>VLOOKUP(A144,JanApport,MATCH($S$4,'Jan 2022 Apport'!$3:$3,0),FALSE)</f>
        <v>0</v>
      </c>
      <c r="T144">
        <f>VLOOKUP(A144,JanApport,MATCH($T$4,'Jan 2022 Apport'!$3:$3,0),FALSE)</f>
        <v>77.38</v>
      </c>
      <c r="U144" s="132">
        <f>IFERROR(VLOOKUP(A144,JanApport,MATCH($U$4,'Jan 2022 Apport'!$3:$3,0),FALSE)/R144,0)</f>
        <v>0</v>
      </c>
      <c r="V144" s="30">
        <f>IFERROR(((VLOOKUP(A144,JanApport,MATCH($V$4,'Jan 2022 Apport'!$3:$3,0),FALSE)+VLOOKUP(A144,JanApport,MATCH($V$3,'Jan 2022 Apport'!$3:$3,0),FALSE))/(S144+T144)),0)</f>
        <v>8922.4682088394929</v>
      </c>
      <c r="W144" s="30">
        <f t="shared" si="22"/>
        <v>8083.6246967786601</v>
      </c>
      <c r="X144">
        <f>VLOOKUP(A144,JanApport,MATCH($X$4,'Jan 2022 Apport'!$3:$3,0),FALSE)</f>
        <v>4.8578999999999997E-2</v>
      </c>
      <c r="Y144">
        <f>VLOOKUP(A144,JanApport,MATCH($Y$4,'Jan 2022 Apport'!$3:$3,0),FALSE)</f>
        <v>4.0270000000000002E-3</v>
      </c>
      <c r="Z144">
        <f>VLOOKUP(A144,JanApport,MATCH($Z$4,'Jan 2022 Apport'!$3:$3,0),FALSE)</f>
        <v>1.7100000000000001E-2</v>
      </c>
      <c r="AA144" s="77">
        <f>VLOOKUP(A144,JanApport,MATCH($AA$4,'Jan 2022 Apport'!$3:$3,0),FALSE)*VLOOKUP(A144,JanApport,MATCH($AA$3,'Jan 2022 Apport'!$3:$3,0),FALSE)</f>
        <v>67585</v>
      </c>
      <c r="AB144" s="77">
        <f>VLOOKUP(A144,JanApport,MATCH($AB$4,'Jan 2022 Apport'!$3:$3,0),FALSE)*VLOOKUP(A144,JanApport,MATCH($AB$3,'Jan 2022 Apport'!$3:$3,0),FALSE)</f>
        <v>68937</v>
      </c>
      <c r="AC144" s="77">
        <f>VLOOKUP(A144,JanApport,MATCH($AC$4,'Jan 2022 Apport'!$3:$3,0),FALSE)</f>
        <v>100321</v>
      </c>
      <c r="AD144" s="77">
        <f>VLOOKUP(A144,JanApport,MATCH($AD$4,'Jan 2022 Apport'!$3:$3,0),FALSE)*VLOOKUP(A144,JanApport,MATCH($AD$3,'Jan 2022 Apport'!$3:$3,0),FALSE)</f>
        <v>102327</v>
      </c>
      <c r="AE144" s="77">
        <f>VLOOKUP(A144,JanApport,MATCH($AE$4,'Jan 2022 Apport'!$3:$3,0),FALSE)</f>
        <v>48483</v>
      </c>
      <c r="AF144" s="77">
        <f>VLOOKUP(A144,JanApport,MATCH($AF$4,'Jan 2022 Apport'!$3:$3,0),FALSE)*VLOOKUP(A144,JanApport,MATCH($AF$3,'Jan 2022 Apport'!$3:$3,0),FALSE)</f>
        <v>49453</v>
      </c>
      <c r="AG144" s="77">
        <f t="shared" si="23"/>
        <v>96432.259900000005</v>
      </c>
      <c r="AH144" s="77">
        <f t="shared" si="24"/>
        <v>137400.94330000001</v>
      </c>
      <c r="AI144" s="77">
        <f t="shared" si="25"/>
        <v>77281.189732599989</v>
      </c>
      <c r="AJ144" s="3">
        <f>VLOOKUP(A144,JanApport,MATCH($AJ$4,'Jan 2022 Apport'!$3:$3,0),FALSE)</f>
        <v>1016989.69</v>
      </c>
      <c r="AK144" s="3">
        <f>VLOOKUP(A144,JanApport,MATCH($AK$4,'Jan 2022 Apport'!$3:$3,0),FALSE)</f>
        <v>16.143000000000001</v>
      </c>
      <c r="AL144" s="117">
        <f t="shared" si="26"/>
        <v>9539227.5100000016</v>
      </c>
      <c r="AM144" s="117">
        <f>VLOOKUP(A144,JanApport,MATCH($AM$4,'Jan 2022 Apport'!$3:$3,0),FALSE)</f>
        <v>240575.73</v>
      </c>
      <c r="AN144" s="117">
        <f>VLOOKUP(A144,JanApport,MATCH($AN$4,'Jan 2022 Apport'!$3:$3,0),FALSE)</f>
        <v>57395.46</v>
      </c>
    </row>
    <row r="145" spans="1:40">
      <c r="A145" s="2" t="s">
        <v>97</v>
      </c>
      <c r="B145" s="2" t="s">
        <v>98</v>
      </c>
      <c r="C145" s="2" t="s">
        <v>1267</v>
      </c>
      <c r="D145" s="118">
        <f>VLOOKUP(A145,JanApport,MATCH($D$4,'Jan 2022 Apport'!$3:$3,FALSE),FALSE)</f>
        <v>1960278.99</v>
      </c>
      <c r="E145" s="30">
        <f>VLOOKUP(A145,JanApport,MATCH($E$2,'Jan 2022 Apport'!$3:$3,0),FALSE)+VLOOKUP(A145,JanApport,MATCH($E$3,'Jan 2022 Apport'!$3:$3,0),FALSE)+VLOOKUP(A145,JanApport,MATCH($E$4,'Jan 2022 Apport'!$3:$3,0),FALSE)</f>
        <v>27723.279999999999</v>
      </c>
      <c r="F145" s="118">
        <f t="shared" si="27"/>
        <v>1932555.71</v>
      </c>
      <c r="G145" s="117">
        <f>VLOOKUP(A145,JanApport,MATCH($G$4,'Jan 2022 Apport'!$3:$3,0),FALSE)</f>
        <v>0</v>
      </c>
      <c r="H145" s="117">
        <f>VLOOKUP(A145,JanApport,MATCH($H$3,'Jan 2022 Apport'!$3:$3,0),FALSE)+VLOOKUP(A145,JanApport,MATCH($H$2,'Jan 2022 Apport'!$3:$3,0),FALSE)+VLOOKUP(A145,JanApport,MATCH($H$4,'Jan 2022 Apport'!$3:$3,0),FALSE)</f>
        <v>84318.75</v>
      </c>
      <c r="I145" s="117">
        <f t="shared" si="28"/>
        <v>84318.75</v>
      </c>
      <c r="J145" s="117">
        <f>VLOOKUP(A145,JanApport,MATCH($J$4,'Jan 2022 Apport'!$3:$3,0),FALSE)</f>
        <v>110763.28</v>
      </c>
      <c r="K145" s="117">
        <f>VLOOKUP(A145,JanApport,MATCH($K$4,'Jan 2022 Apport'!$3:$3,0),FALSE)</f>
        <v>59669.84</v>
      </c>
      <c r="L145" s="117">
        <f t="shared" si="29"/>
        <v>170433.12</v>
      </c>
      <c r="M145" s="117">
        <f>VLOOKUP(A145,JanApport,MATCH($M$4,'Jan 2022 Apport'!$3:$3,0),FALSE)</f>
        <v>33165.980000000003</v>
      </c>
      <c r="N145" s="117">
        <f>VLOOKUP(A145,JanApport,MATCH($N$4,'Jan 2022 Apport'!$3:$3,0),FALSE)</f>
        <v>8511.6299999999992</v>
      </c>
      <c r="O145" s="117">
        <f>VLOOKUP(A145,JanApport,MATCH($O$4,'Jan 2022 Apport'!$3:$3,0),FALSE)</f>
        <v>0</v>
      </c>
      <c r="P145" s="121">
        <f>IFERROR((VLOOKUP(A145,ExcessLevy!A:G,3,FALSE)*0.28),0)+IFERROR((VLOOKUP(A145,ExcessLevy!A:G,6,FALSE)*0.72),0)</f>
        <v>32947.430800000002</v>
      </c>
      <c r="Q145" s="121">
        <f>IFERROR((VLOOKUP(A145,ExcessLevy!A:G,4,FALSE)*0.4738),0)+IFERROR((VLOOKUP(A145,ExcessLevy!A:G,7,FALSE)*0.5262),0)</f>
        <v>175184.391004</v>
      </c>
      <c r="R145">
        <f>VLOOKUP(A145,JanApport,MATCH($R$4,'Jan 2022 Apport'!$3:$3,0),FALSE)</f>
        <v>0</v>
      </c>
      <c r="S145">
        <f>VLOOKUP(A145,JanApport,MATCH($S$4,'Jan 2022 Apport'!$3:$3,0),FALSE)</f>
        <v>0</v>
      </c>
      <c r="T145">
        <f>VLOOKUP(A145,JanApport,MATCH($T$4,'Jan 2022 Apport'!$3:$3,0),FALSE)</f>
        <v>3.1</v>
      </c>
      <c r="U145" s="132">
        <f>IFERROR(VLOOKUP(A145,JanApport,MATCH($U$4,'Jan 2022 Apport'!$3:$3,0),FALSE)/R145,0)</f>
        <v>0</v>
      </c>
      <c r="V145" s="30">
        <f>IFERROR(((VLOOKUP(A145,JanApport,MATCH($V$4,'Jan 2022 Apport'!$3:$3,0),FALSE)+VLOOKUP(A145,JanApport,MATCH($V$3,'Jan 2022 Apport'!$3:$3,0),FALSE))/(S145+T145)),0)</f>
        <v>8942.9935483870959</v>
      </c>
      <c r="W145" s="30">
        <f t="shared" si="22"/>
        <v>8083.6246967786601</v>
      </c>
      <c r="X145">
        <f>VLOOKUP(A145,JanApport,MATCH($X$4,'Jan 2022 Apport'!$3:$3,0),FALSE)</f>
        <v>4.8578999999999997E-2</v>
      </c>
      <c r="Y145">
        <f>VLOOKUP(A145,JanApport,MATCH($Y$4,'Jan 2022 Apport'!$3:$3,0),FALSE)</f>
        <v>4.0270000000000002E-3</v>
      </c>
      <c r="Z145">
        <f>VLOOKUP(A145,JanApport,MATCH($Z$4,'Jan 2022 Apport'!$3:$3,0),FALSE)</f>
        <v>1.7100000000000001E-2</v>
      </c>
      <c r="AA145" s="77">
        <f>VLOOKUP(A145,JanApport,MATCH($AA$4,'Jan 2022 Apport'!$3:$3,0),FALSE)*VLOOKUP(A145,JanApport,MATCH($AA$3,'Jan 2022 Apport'!$3:$3,0),FALSE)</f>
        <v>67585</v>
      </c>
      <c r="AB145" s="77">
        <f>VLOOKUP(A145,JanApport,MATCH($AB$4,'Jan 2022 Apport'!$3:$3,0),FALSE)*VLOOKUP(A145,JanApport,MATCH($AB$3,'Jan 2022 Apport'!$3:$3,0),FALSE)</f>
        <v>68937</v>
      </c>
      <c r="AC145" s="77">
        <f>VLOOKUP(A145,JanApport,MATCH($AC$4,'Jan 2022 Apport'!$3:$3,0),FALSE)</f>
        <v>100321</v>
      </c>
      <c r="AD145" s="77">
        <f>VLOOKUP(A145,JanApport,MATCH($AD$4,'Jan 2022 Apport'!$3:$3,0),FALSE)*VLOOKUP(A145,JanApport,MATCH($AD$3,'Jan 2022 Apport'!$3:$3,0),FALSE)</f>
        <v>102327</v>
      </c>
      <c r="AE145" s="77">
        <f>VLOOKUP(A145,JanApport,MATCH($AE$4,'Jan 2022 Apport'!$3:$3,0),FALSE)</f>
        <v>48483</v>
      </c>
      <c r="AF145" s="77">
        <f>VLOOKUP(A145,JanApport,MATCH($AF$4,'Jan 2022 Apport'!$3:$3,0),FALSE)*VLOOKUP(A145,JanApport,MATCH($AF$3,'Jan 2022 Apport'!$3:$3,0),FALSE)</f>
        <v>49453</v>
      </c>
      <c r="AG145" s="77">
        <f t="shared" si="23"/>
        <v>96432.259900000005</v>
      </c>
      <c r="AH145" s="77">
        <f t="shared" si="24"/>
        <v>137400.94330000001</v>
      </c>
      <c r="AI145" s="77">
        <f t="shared" si="25"/>
        <v>77281.189732599989</v>
      </c>
      <c r="AJ145" s="3">
        <f>VLOOKUP(A145,JanApport,MATCH($AJ$4,'Jan 2022 Apport'!$3:$3,0),FALSE)</f>
        <v>227856.1</v>
      </c>
      <c r="AK145" s="3">
        <f>VLOOKUP(A145,JanApport,MATCH($AK$4,'Jan 2022 Apport'!$3:$3,0),FALSE)</f>
        <v>1.766</v>
      </c>
      <c r="AL145" s="117">
        <f t="shared" si="26"/>
        <v>2222084.33</v>
      </c>
      <c r="AM145" s="117">
        <f>VLOOKUP(A145,JanApport,MATCH($AM$4,'Jan 2022 Apport'!$3:$3,0),FALSE)</f>
        <v>25045.7</v>
      </c>
      <c r="AN145" s="117">
        <f>VLOOKUP(A145,JanApport,MATCH($AN$4,'Jan 2022 Apport'!$3:$3,0),FALSE)</f>
        <v>17875.16</v>
      </c>
    </row>
    <row r="146" spans="1:40">
      <c r="A146" s="2" t="s">
        <v>29</v>
      </c>
      <c r="B146" s="2" t="s">
        <v>30</v>
      </c>
      <c r="C146" s="2" t="s">
        <v>1267</v>
      </c>
      <c r="D146" s="118">
        <f>VLOOKUP(A146,JanApport,MATCH($D$4,'Jan 2022 Apport'!$3:$3,FALSE),FALSE)</f>
        <v>5468958.6100000003</v>
      </c>
      <c r="E146" s="30">
        <f>VLOOKUP(A146,JanApport,MATCH($E$2,'Jan 2022 Apport'!$3:$3,0),FALSE)+VLOOKUP(A146,JanApport,MATCH($E$3,'Jan 2022 Apport'!$3:$3,0),FALSE)+VLOOKUP(A146,JanApport,MATCH($E$4,'Jan 2022 Apport'!$3:$3,0),FALSE)</f>
        <v>151266.48000000001</v>
      </c>
      <c r="F146" s="118">
        <f t="shared" si="27"/>
        <v>5317692.13</v>
      </c>
      <c r="G146" s="117">
        <f>VLOOKUP(A146,JanApport,MATCH($G$4,'Jan 2022 Apport'!$3:$3,0),FALSE)</f>
        <v>37067.19</v>
      </c>
      <c r="H146" s="117">
        <f>VLOOKUP(A146,JanApport,MATCH($H$3,'Jan 2022 Apport'!$3:$3,0),FALSE)+VLOOKUP(A146,JanApport,MATCH($H$2,'Jan 2022 Apport'!$3:$3,0),FALSE)+VLOOKUP(A146,JanApport,MATCH($H$4,'Jan 2022 Apport'!$3:$3,0),FALSE)</f>
        <v>620467.93999999994</v>
      </c>
      <c r="I146" s="117">
        <f t="shared" si="28"/>
        <v>657535.12999999989</v>
      </c>
      <c r="J146" s="117">
        <f>VLOOKUP(A146,JanApport,MATCH($J$4,'Jan 2022 Apport'!$3:$3,0),FALSE)</f>
        <v>369417.32</v>
      </c>
      <c r="K146" s="117">
        <f>VLOOKUP(A146,JanApport,MATCH($K$4,'Jan 2022 Apport'!$3:$3,0),FALSE)</f>
        <v>65812.94</v>
      </c>
      <c r="L146" s="117">
        <f t="shared" si="29"/>
        <v>435230.26</v>
      </c>
      <c r="M146" s="117">
        <f>VLOOKUP(A146,JanApport,MATCH($M$4,'Jan 2022 Apport'!$3:$3,0),FALSE)</f>
        <v>256620.64</v>
      </c>
      <c r="N146" s="117">
        <f>VLOOKUP(A146,JanApport,MATCH($N$4,'Jan 2022 Apport'!$3:$3,0),FALSE)</f>
        <v>335573.32</v>
      </c>
      <c r="O146" s="117">
        <f>VLOOKUP(A146,JanApport,MATCH($O$4,'Jan 2022 Apport'!$3:$3,0),FALSE)</f>
        <v>16827.57</v>
      </c>
      <c r="P146" s="121">
        <f>IFERROR((VLOOKUP(A146,ExcessLevy!A:G,3,FALSE)*0.28),0)+IFERROR((VLOOKUP(A146,ExcessLevy!A:G,6,FALSE)*0.72),0)</f>
        <v>0</v>
      </c>
      <c r="Q146" s="121">
        <f>IFERROR((VLOOKUP(A146,ExcessLevy!A:G,4,FALSE)*0.4738),0)+IFERROR((VLOOKUP(A146,ExcessLevy!A:G,7,FALSE)*0.5262),0)</f>
        <v>1612524.16842</v>
      </c>
      <c r="R146">
        <f>VLOOKUP(A146,JanApport,MATCH($R$4,'Jan 2022 Apport'!$3:$3,0),FALSE)</f>
        <v>0</v>
      </c>
      <c r="S146">
        <f>VLOOKUP(A146,JanApport,MATCH($S$4,'Jan 2022 Apport'!$3:$3,0),FALSE)</f>
        <v>4.6100000000000003</v>
      </c>
      <c r="T146">
        <f>VLOOKUP(A146,JanApport,MATCH($T$4,'Jan 2022 Apport'!$3:$3,0),FALSE)</f>
        <v>12.35</v>
      </c>
      <c r="U146" s="132">
        <f>IFERROR(VLOOKUP(A146,JanApport,MATCH($U$4,'Jan 2022 Apport'!$3:$3,0),FALSE)/R146,0)</f>
        <v>0</v>
      </c>
      <c r="V146" s="30">
        <f>IFERROR(((VLOOKUP(A146,JanApport,MATCH($V$4,'Jan 2022 Apport'!$3:$3,0),FALSE)+VLOOKUP(A146,JanApport,MATCH($V$3,'Jan 2022 Apport'!$3:$3,0),FALSE))/(S146+T146)),0)</f>
        <v>8919.0141509433961</v>
      </c>
      <c r="W146" s="30">
        <f t="shared" si="22"/>
        <v>8083.6246967786601</v>
      </c>
      <c r="X146">
        <f>VLOOKUP(A146,JanApport,MATCH($X$4,'Jan 2022 Apport'!$3:$3,0),FALSE)</f>
        <v>4.8578999999999997E-2</v>
      </c>
      <c r="Y146">
        <f>VLOOKUP(A146,JanApport,MATCH($Y$4,'Jan 2022 Apport'!$3:$3,0),FALSE)</f>
        <v>4.0270000000000002E-3</v>
      </c>
      <c r="Z146">
        <f>VLOOKUP(A146,JanApport,MATCH($Z$4,'Jan 2022 Apport'!$3:$3,0),FALSE)</f>
        <v>1.7100000000000001E-2</v>
      </c>
      <c r="AA146" s="77">
        <f>VLOOKUP(A146,JanApport,MATCH($AA$4,'Jan 2022 Apport'!$3:$3,0),FALSE)*VLOOKUP(A146,JanApport,MATCH($AA$3,'Jan 2022 Apport'!$3:$3,0),FALSE)</f>
        <v>67585</v>
      </c>
      <c r="AB146" s="77">
        <f>VLOOKUP(A146,JanApport,MATCH($AB$4,'Jan 2022 Apport'!$3:$3,0),FALSE)*VLOOKUP(A146,JanApport,MATCH($AB$3,'Jan 2022 Apport'!$3:$3,0),FALSE)</f>
        <v>68937</v>
      </c>
      <c r="AC146" s="77">
        <f>VLOOKUP(A146,JanApport,MATCH($AC$4,'Jan 2022 Apport'!$3:$3,0),FALSE)</f>
        <v>100321</v>
      </c>
      <c r="AD146" s="77">
        <f>VLOOKUP(A146,JanApport,MATCH($AD$4,'Jan 2022 Apport'!$3:$3,0),FALSE)*VLOOKUP(A146,JanApport,MATCH($AD$3,'Jan 2022 Apport'!$3:$3,0),FALSE)</f>
        <v>102327</v>
      </c>
      <c r="AE146" s="77">
        <f>VLOOKUP(A146,JanApport,MATCH($AE$4,'Jan 2022 Apport'!$3:$3,0),FALSE)</f>
        <v>48483</v>
      </c>
      <c r="AF146" s="77">
        <f>VLOOKUP(A146,JanApport,MATCH($AF$4,'Jan 2022 Apport'!$3:$3,0),FALSE)*VLOOKUP(A146,JanApport,MATCH($AF$3,'Jan 2022 Apport'!$3:$3,0),FALSE)</f>
        <v>49453</v>
      </c>
      <c r="AG146" s="77">
        <f t="shared" si="23"/>
        <v>96432.259900000005</v>
      </c>
      <c r="AH146" s="77">
        <f t="shared" si="24"/>
        <v>137400.94330000001</v>
      </c>
      <c r="AI146" s="77">
        <f t="shared" si="25"/>
        <v>77281.189732599989</v>
      </c>
      <c r="AJ146" s="3">
        <f>VLOOKUP(A146,JanApport,MATCH($AJ$4,'Jan 2022 Apport'!$3:$3,0),FALSE)</f>
        <v>843575.37</v>
      </c>
      <c r="AK146" s="3">
        <f>VLOOKUP(A146,JanApport,MATCH($AK$4,'Jan 2022 Apport'!$3:$3,0),FALSE)</f>
        <v>11.005000000000001</v>
      </c>
      <c r="AL146" s="117">
        <f t="shared" si="26"/>
        <v>7280839.5300000012</v>
      </c>
      <c r="AM146" s="117">
        <f>VLOOKUP(A146,JanApport,MATCH($AM$4,'Jan 2022 Apport'!$3:$3,0),FALSE)</f>
        <v>175906.94</v>
      </c>
      <c r="AN146" s="117">
        <f>VLOOKUP(A146,JanApport,MATCH($AN$4,'Jan 2022 Apport'!$3:$3,0),FALSE)</f>
        <v>46920.01</v>
      </c>
    </row>
    <row r="147" spans="1:40">
      <c r="A147" s="2" t="s">
        <v>319</v>
      </c>
      <c r="B147" s="2" t="s">
        <v>320</v>
      </c>
      <c r="C147" s="2" t="s">
        <v>1267</v>
      </c>
      <c r="D147" s="118">
        <f>VLOOKUP(A147,JanApport,MATCH($D$4,'Jan 2022 Apport'!$3:$3,FALSE),FALSE)</f>
        <v>13658525.439999999</v>
      </c>
      <c r="E147" s="30">
        <f>VLOOKUP(A147,JanApport,MATCH($E$2,'Jan 2022 Apport'!$3:$3,0),FALSE)+VLOOKUP(A147,JanApport,MATCH($E$3,'Jan 2022 Apport'!$3:$3,0),FALSE)+VLOOKUP(A147,JanApport,MATCH($E$4,'Jan 2022 Apport'!$3:$3,0),FALSE)</f>
        <v>209594.1</v>
      </c>
      <c r="F147" s="118">
        <f t="shared" si="27"/>
        <v>13448931.34</v>
      </c>
      <c r="G147" s="117">
        <f>VLOOKUP(A147,JanApport,MATCH($G$4,'Jan 2022 Apport'!$3:$3,0),FALSE)</f>
        <v>0</v>
      </c>
      <c r="H147" s="117">
        <f>VLOOKUP(A147,JanApport,MATCH($H$3,'Jan 2022 Apport'!$3:$3,0),FALSE)+VLOOKUP(A147,JanApport,MATCH($H$2,'Jan 2022 Apport'!$3:$3,0),FALSE)+VLOOKUP(A147,JanApport,MATCH($H$4,'Jan 2022 Apport'!$3:$3,0),FALSE)</f>
        <v>1610926.76</v>
      </c>
      <c r="I147" s="117">
        <f t="shared" si="28"/>
        <v>1610926.76</v>
      </c>
      <c r="J147" s="117">
        <f>VLOOKUP(A147,JanApport,MATCH($J$4,'Jan 2022 Apport'!$3:$3,0),FALSE)</f>
        <v>262188.44</v>
      </c>
      <c r="K147" s="117">
        <f>VLOOKUP(A147,JanApport,MATCH($K$4,'Jan 2022 Apport'!$3:$3,0),FALSE)</f>
        <v>24231.5</v>
      </c>
      <c r="L147" s="117">
        <f t="shared" si="29"/>
        <v>286419.94</v>
      </c>
      <c r="M147" s="117">
        <f>VLOOKUP(A147,JanApport,MATCH($M$4,'Jan 2022 Apport'!$3:$3,0),FALSE)</f>
        <v>243999.95</v>
      </c>
      <c r="N147" s="117">
        <f>VLOOKUP(A147,JanApport,MATCH($N$4,'Jan 2022 Apport'!$3:$3,0),FALSE)</f>
        <v>0</v>
      </c>
      <c r="O147" s="117">
        <f>VLOOKUP(A147,JanApport,MATCH($O$4,'Jan 2022 Apport'!$3:$3,0),FALSE)</f>
        <v>40601.43</v>
      </c>
      <c r="P147" s="121">
        <f>IFERROR((VLOOKUP(A147,ExcessLevy!A:G,3,FALSE)*0.28),0)+IFERROR((VLOOKUP(A147,ExcessLevy!A:G,6,FALSE)*0.72),0)</f>
        <v>2947685.0056000003</v>
      </c>
      <c r="Q147" s="121">
        <f>IFERROR((VLOOKUP(A147,ExcessLevy!A:G,4,FALSE)*0.4738),0)+IFERROR((VLOOKUP(A147,ExcessLevy!A:G,7,FALSE)*0.5262),0)</f>
        <v>568558.62899999996</v>
      </c>
      <c r="R147">
        <f>VLOOKUP(A147,JanApport,MATCH($R$4,'Jan 2022 Apport'!$3:$3,0),FALSE)</f>
        <v>0</v>
      </c>
      <c r="S147">
        <f>VLOOKUP(A147,JanApport,MATCH($S$4,'Jan 2022 Apport'!$3:$3,0),FALSE)</f>
        <v>4.8600000000000003</v>
      </c>
      <c r="T147">
        <f>VLOOKUP(A147,JanApport,MATCH($T$4,'Jan 2022 Apport'!$3:$3,0),FALSE)</f>
        <v>18.62</v>
      </c>
      <c r="U147" s="132">
        <f>IFERROR(VLOOKUP(A147,JanApport,MATCH($U$4,'Jan 2022 Apport'!$3:$3,0),FALSE)/R147,0)</f>
        <v>0</v>
      </c>
      <c r="V147" s="30">
        <f>IFERROR(((VLOOKUP(A147,JanApport,MATCH($V$4,'Jan 2022 Apport'!$3:$3,0),FALSE)+VLOOKUP(A147,JanApport,MATCH($V$3,'Jan 2022 Apport'!$3:$3,0),FALSE))/(S147+T147)),0)</f>
        <v>8926.494889267462</v>
      </c>
      <c r="W147" s="30">
        <f t="shared" si="22"/>
        <v>8083.6246967786601</v>
      </c>
      <c r="X147">
        <f>VLOOKUP(A147,JanApport,MATCH($X$4,'Jan 2022 Apport'!$3:$3,0),FALSE)</f>
        <v>4.8578999999999997E-2</v>
      </c>
      <c r="Y147">
        <f>VLOOKUP(A147,JanApport,MATCH($Y$4,'Jan 2022 Apport'!$3:$3,0),FALSE)</f>
        <v>4.0270000000000002E-3</v>
      </c>
      <c r="Z147">
        <f>VLOOKUP(A147,JanApport,MATCH($Z$4,'Jan 2022 Apport'!$3:$3,0),FALSE)</f>
        <v>1.7100000000000001E-2</v>
      </c>
      <c r="AA147" s="77">
        <f>VLOOKUP(A147,JanApport,MATCH($AA$4,'Jan 2022 Apport'!$3:$3,0),FALSE)*VLOOKUP(A147,JanApport,MATCH($AA$3,'Jan 2022 Apport'!$3:$3,0),FALSE)</f>
        <v>67585</v>
      </c>
      <c r="AB147" s="77">
        <f>VLOOKUP(A147,JanApport,MATCH($AB$4,'Jan 2022 Apport'!$3:$3,0),FALSE)*VLOOKUP(A147,JanApport,MATCH($AB$3,'Jan 2022 Apport'!$3:$3,0),FALSE)</f>
        <v>68937</v>
      </c>
      <c r="AC147" s="77">
        <f>VLOOKUP(A147,JanApport,MATCH($AC$4,'Jan 2022 Apport'!$3:$3,0),FALSE)</f>
        <v>100321</v>
      </c>
      <c r="AD147" s="77">
        <f>VLOOKUP(A147,JanApport,MATCH($AD$4,'Jan 2022 Apport'!$3:$3,0),FALSE)*VLOOKUP(A147,JanApport,MATCH($AD$3,'Jan 2022 Apport'!$3:$3,0),FALSE)</f>
        <v>102327</v>
      </c>
      <c r="AE147" s="77">
        <f>VLOOKUP(A147,JanApport,MATCH($AE$4,'Jan 2022 Apport'!$3:$3,0),FALSE)</f>
        <v>48483</v>
      </c>
      <c r="AF147" s="77">
        <f>VLOOKUP(A147,JanApport,MATCH($AF$4,'Jan 2022 Apport'!$3:$3,0),FALSE)*VLOOKUP(A147,JanApport,MATCH($AF$3,'Jan 2022 Apport'!$3:$3,0),FALSE)</f>
        <v>49453</v>
      </c>
      <c r="AG147" s="77">
        <f t="shared" si="23"/>
        <v>96432.259900000005</v>
      </c>
      <c r="AH147" s="77">
        <f t="shared" si="24"/>
        <v>137400.94330000001</v>
      </c>
      <c r="AI147" s="77">
        <f t="shared" si="25"/>
        <v>77281.189732599989</v>
      </c>
      <c r="AJ147" s="3">
        <f>VLOOKUP(A147,JanApport,MATCH($AJ$4,'Jan 2022 Apport'!$3:$3,0),FALSE)</f>
        <v>285148.5</v>
      </c>
      <c r="AK147" s="3">
        <f>VLOOKUP(A147,JanApport,MATCH($AK$4,'Jan 2022 Apport'!$3:$3,0),FALSE)</f>
        <v>3.9950000000000001</v>
      </c>
      <c r="AL147" s="117">
        <f t="shared" si="26"/>
        <v>15861148.189999998</v>
      </c>
      <c r="AM147" s="117">
        <f>VLOOKUP(A147,JanApport,MATCH($AM$4,'Jan 2022 Apport'!$3:$3,0),FALSE)</f>
        <v>44906.17</v>
      </c>
      <c r="AN147" s="117">
        <f>VLOOKUP(A147,JanApport,MATCH($AN$4,'Jan 2022 Apport'!$3:$3,0),FALSE)</f>
        <v>21200.54</v>
      </c>
    </row>
    <row r="148" spans="1:40">
      <c r="A148" s="2" t="s">
        <v>501</v>
      </c>
      <c r="B148" s="2" t="s">
        <v>502</v>
      </c>
      <c r="C148" s="2" t="s">
        <v>1267</v>
      </c>
      <c r="D148" s="118">
        <f>VLOOKUP(A148,JanApport,MATCH($D$4,'Jan 2022 Apport'!$3:$3,FALSE),FALSE)</f>
        <v>4178624.57</v>
      </c>
      <c r="E148" s="30">
        <f>VLOOKUP(A148,JanApport,MATCH($E$2,'Jan 2022 Apport'!$3:$3,0),FALSE)+VLOOKUP(A148,JanApport,MATCH($E$3,'Jan 2022 Apport'!$3:$3,0),FALSE)+VLOOKUP(A148,JanApport,MATCH($E$4,'Jan 2022 Apport'!$3:$3,0),FALSE)</f>
        <v>351019.45</v>
      </c>
      <c r="F148" s="118">
        <f t="shared" si="27"/>
        <v>3827605.1199999996</v>
      </c>
      <c r="G148" s="117">
        <f>VLOOKUP(A148,JanApport,MATCH($G$4,'Jan 2022 Apport'!$3:$3,0),FALSE)</f>
        <v>18658.7</v>
      </c>
      <c r="H148" s="117">
        <f>VLOOKUP(A148,JanApport,MATCH($H$3,'Jan 2022 Apport'!$3:$3,0),FALSE)+VLOOKUP(A148,JanApport,MATCH($H$2,'Jan 2022 Apport'!$3:$3,0),FALSE)+VLOOKUP(A148,JanApport,MATCH($H$4,'Jan 2022 Apport'!$3:$3,0),FALSE)</f>
        <v>494461.64999999997</v>
      </c>
      <c r="I148" s="117">
        <f t="shared" si="28"/>
        <v>513120.35</v>
      </c>
      <c r="J148" s="117">
        <f>VLOOKUP(A148,JanApport,MATCH($J$4,'Jan 2022 Apport'!$3:$3,0),FALSE)</f>
        <v>408921.96</v>
      </c>
      <c r="K148" s="117">
        <f>VLOOKUP(A148,JanApport,MATCH($K$4,'Jan 2022 Apport'!$3:$3,0),FALSE)</f>
        <v>60648.89</v>
      </c>
      <c r="L148" s="117">
        <f t="shared" si="29"/>
        <v>469570.85000000003</v>
      </c>
      <c r="M148" s="117">
        <f>VLOOKUP(A148,JanApport,MATCH($M$4,'Jan 2022 Apport'!$3:$3,0),FALSE)</f>
        <v>206137.89</v>
      </c>
      <c r="N148" s="117">
        <f>VLOOKUP(A148,JanApport,MATCH($N$4,'Jan 2022 Apport'!$3:$3,0),FALSE)</f>
        <v>0</v>
      </c>
      <c r="O148" s="117">
        <f>VLOOKUP(A148,JanApport,MATCH($O$4,'Jan 2022 Apport'!$3:$3,0),FALSE)</f>
        <v>12718.51</v>
      </c>
      <c r="P148" s="121">
        <f>IFERROR((VLOOKUP(A148,ExcessLevy!A:G,3,FALSE)*0.28),0)+IFERROR((VLOOKUP(A148,ExcessLevy!A:G,6,FALSE)*0.72),0)</f>
        <v>317316.46120000002</v>
      </c>
      <c r="Q148" s="121">
        <f>IFERROR((VLOOKUP(A148,ExcessLevy!A:G,4,FALSE)*0.4738),0)+IFERROR((VLOOKUP(A148,ExcessLevy!A:G,7,FALSE)*0.5262),0)</f>
        <v>316084.65260000003</v>
      </c>
      <c r="R148">
        <f>VLOOKUP(A148,JanApport,MATCH($R$4,'Jan 2022 Apport'!$3:$3,0),FALSE)</f>
        <v>0</v>
      </c>
      <c r="S148">
        <f>VLOOKUP(A148,JanApport,MATCH($S$4,'Jan 2022 Apport'!$3:$3,0),FALSE)</f>
        <v>0</v>
      </c>
      <c r="T148">
        <f>VLOOKUP(A148,JanApport,MATCH($T$4,'Jan 2022 Apport'!$3:$3,0),FALSE)</f>
        <v>39.33</v>
      </c>
      <c r="U148" s="132">
        <f>IFERROR(VLOOKUP(A148,JanApport,MATCH($U$4,'Jan 2022 Apport'!$3:$3,0),FALSE)/R148,0)</f>
        <v>0</v>
      </c>
      <c r="V148" s="30">
        <f>IFERROR(((VLOOKUP(A148,JanApport,MATCH($V$4,'Jan 2022 Apport'!$3:$3,0),FALSE)+VLOOKUP(A148,JanApport,MATCH($V$3,'Jan 2022 Apport'!$3:$3,0),FALSE))/(S148+T148)),0)</f>
        <v>8924.9796592931616</v>
      </c>
      <c r="W148" s="30">
        <f t="shared" si="22"/>
        <v>8083.6246967786601</v>
      </c>
      <c r="X148">
        <f>VLOOKUP(A148,JanApport,MATCH($X$4,'Jan 2022 Apport'!$3:$3,0),FALSE)</f>
        <v>4.8578999999999997E-2</v>
      </c>
      <c r="Y148">
        <f>VLOOKUP(A148,JanApport,MATCH($Y$4,'Jan 2022 Apport'!$3:$3,0),FALSE)</f>
        <v>4.0270000000000002E-3</v>
      </c>
      <c r="Z148">
        <f>VLOOKUP(A148,JanApport,MATCH($Z$4,'Jan 2022 Apport'!$3:$3,0),FALSE)</f>
        <v>1.7100000000000001E-2</v>
      </c>
      <c r="AA148" s="77">
        <f>VLOOKUP(A148,JanApport,MATCH($AA$4,'Jan 2022 Apport'!$3:$3,0),FALSE)*VLOOKUP(A148,JanApport,MATCH($AA$3,'Jan 2022 Apport'!$3:$3,0),FALSE)</f>
        <v>67585</v>
      </c>
      <c r="AB148" s="77">
        <f>VLOOKUP(A148,JanApport,MATCH($AB$4,'Jan 2022 Apport'!$3:$3,0),FALSE)*VLOOKUP(A148,JanApport,MATCH($AB$3,'Jan 2022 Apport'!$3:$3,0),FALSE)</f>
        <v>68937</v>
      </c>
      <c r="AC148" s="77">
        <f>VLOOKUP(A148,JanApport,MATCH($AC$4,'Jan 2022 Apport'!$3:$3,0),FALSE)</f>
        <v>100321</v>
      </c>
      <c r="AD148" s="77">
        <f>VLOOKUP(A148,JanApport,MATCH($AD$4,'Jan 2022 Apport'!$3:$3,0),FALSE)*VLOOKUP(A148,JanApport,MATCH($AD$3,'Jan 2022 Apport'!$3:$3,0),FALSE)</f>
        <v>102327</v>
      </c>
      <c r="AE148" s="77">
        <f>VLOOKUP(A148,JanApport,MATCH($AE$4,'Jan 2022 Apport'!$3:$3,0),FALSE)</f>
        <v>48483</v>
      </c>
      <c r="AF148" s="77">
        <f>VLOOKUP(A148,JanApport,MATCH($AF$4,'Jan 2022 Apport'!$3:$3,0),FALSE)*VLOOKUP(A148,JanApport,MATCH($AF$3,'Jan 2022 Apport'!$3:$3,0),FALSE)</f>
        <v>49453</v>
      </c>
      <c r="AG148" s="77">
        <f t="shared" si="23"/>
        <v>96432.259900000005</v>
      </c>
      <c r="AH148" s="77">
        <f t="shared" si="24"/>
        <v>137400.94330000001</v>
      </c>
      <c r="AI148" s="77">
        <f t="shared" si="25"/>
        <v>77281.189732599989</v>
      </c>
      <c r="AJ148" s="3">
        <f>VLOOKUP(A148,JanApport,MATCH($AJ$4,'Jan 2022 Apport'!$3:$3,0),FALSE)</f>
        <v>557147.47</v>
      </c>
      <c r="AK148" s="3">
        <f>VLOOKUP(A148,JanApport,MATCH($AK$4,'Jan 2022 Apport'!$3:$3,0),FALSE)</f>
        <v>5.8920000000000003</v>
      </c>
      <c r="AL148" s="117">
        <f t="shared" si="26"/>
        <v>5440251.4099999992</v>
      </c>
      <c r="AM148" s="117">
        <f>VLOOKUP(A148,JanApport,MATCH($AM$4,'Jan 2022 Apport'!$3:$3,0),FALSE)</f>
        <v>120728.13</v>
      </c>
      <c r="AN148" s="117">
        <f>VLOOKUP(A148,JanApport,MATCH($AN$4,'Jan 2022 Apport'!$3:$3,0),FALSE)</f>
        <v>29673.19</v>
      </c>
    </row>
    <row r="149" spans="1:40">
      <c r="A149" s="2" t="s">
        <v>433</v>
      </c>
      <c r="B149" s="2" t="s">
        <v>434</v>
      </c>
      <c r="C149" s="2" t="s">
        <v>1267</v>
      </c>
      <c r="D149" s="118">
        <f>VLOOKUP(A149,JanApport,MATCH($D$4,'Jan 2022 Apport'!$3:$3,FALSE),FALSE)</f>
        <v>96513241.230000004</v>
      </c>
      <c r="E149" s="30">
        <f>VLOOKUP(A149,JanApport,MATCH($E$2,'Jan 2022 Apport'!$3:$3,0),FALSE)+VLOOKUP(A149,JanApport,MATCH($E$3,'Jan 2022 Apport'!$3:$3,0),FALSE)+VLOOKUP(A149,JanApport,MATCH($E$4,'Jan 2022 Apport'!$3:$3,0),FALSE)</f>
        <v>7819516.6299999999</v>
      </c>
      <c r="F149" s="118">
        <f t="shared" si="27"/>
        <v>88693724.600000009</v>
      </c>
      <c r="G149" s="117">
        <f>VLOOKUP(A149,JanApport,MATCH($G$4,'Jan 2022 Apport'!$3:$3,0),FALSE)</f>
        <v>1490641.64</v>
      </c>
      <c r="H149" s="117">
        <f>VLOOKUP(A149,JanApport,MATCH($H$3,'Jan 2022 Apport'!$3:$3,0),FALSE)+VLOOKUP(A149,JanApport,MATCH($H$2,'Jan 2022 Apport'!$3:$3,0),FALSE)+VLOOKUP(A149,JanApport,MATCH($H$4,'Jan 2022 Apport'!$3:$3,0),FALSE)</f>
        <v>12930266.9</v>
      </c>
      <c r="I149" s="117">
        <f t="shared" si="28"/>
        <v>14420908.540000001</v>
      </c>
      <c r="J149" s="117">
        <f>VLOOKUP(A149,JanApport,MATCH($J$4,'Jan 2022 Apport'!$3:$3,0),FALSE)</f>
        <v>7599195.9699999997</v>
      </c>
      <c r="K149" s="117">
        <f>VLOOKUP(A149,JanApport,MATCH($K$4,'Jan 2022 Apport'!$3:$3,0),FALSE)</f>
        <v>587244.9</v>
      </c>
      <c r="L149" s="117">
        <f t="shared" si="29"/>
        <v>8186440.8700000001</v>
      </c>
      <c r="M149" s="117">
        <f>VLOOKUP(A149,JanApport,MATCH($M$4,'Jan 2022 Apport'!$3:$3,0),FALSE)</f>
        <v>3411609.49</v>
      </c>
      <c r="N149" s="117">
        <f>VLOOKUP(A149,JanApport,MATCH($N$4,'Jan 2022 Apport'!$3:$3,0),FALSE)</f>
        <v>1856789.57</v>
      </c>
      <c r="O149" s="117">
        <f>VLOOKUP(A149,JanApport,MATCH($O$4,'Jan 2022 Apport'!$3:$3,0),FALSE)</f>
        <v>318820.11</v>
      </c>
      <c r="P149" s="121">
        <f>IFERROR((VLOOKUP(A149,ExcessLevy!A:G,3,FALSE)*0.28),0)+IFERROR((VLOOKUP(A149,ExcessLevy!A:G,6,FALSE)*0.72),0)</f>
        <v>432984.58280000003</v>
      </c>
      <c r="Q149" s="121">
        <f>IFERROR((VLOOKUP(A149,ExcessLevy!A:G,4,FALSE)*0.4738),0)+IFERROR((VLOOKUP(A149,ExcessLevy!A:G,7,FALSE)*0.5262),0)</f>
        <v>26500000</v>
      </c>
      <c r="R149">
        <f>VLOOKUP(A149,JanApport,MATCH($R$4,'Jan 2022 Apport'!$3:$3,0),FALSE)</f>
        <v>0</v>
      </c>
      <c r="S149">
        <f>VLOOKUP(A149,JanApport,MATCH($S$4,'Jan 2022 Apport'!$3:$3,0),FALSE)</f>
        <v>201.04</v>
      </c>
      <c r="T149">
        <f>VLOOKUP(A149,JanApport,MATCH($T$4,'Jan 2022 Apport'!$3:$3,0),FALSE)</f>
        <v>586.42999999999995</v>
      </c>
      <c r="U149" s="132">
        <f>IFERROR(VLOOKUP(A149,JanApport,MATCH($U$4,'Jan 2022 Apport'!$3:$3,0),FALSE)/R149,0)</f>
        <v>0</v>
      </c>
      <c r="V149" s="30">
        <f>IFERROR(((VLOOKUP(A149,JanApport,MATCH($V$4,'Jan 2022 Apport'!$3:$3,0),FALSE)+VLOOKUP(A149,JanApport,MATCH($V$3,'Jan 2022 Apport'!$3:$3,0),FALSE))/(S149+T149)),0)</f>
        <v>9929.923209773071</v>
      </c>
      <c r="W149" s="30">
        <f t="shared" si="22"/>
        <v>9094.887839371313</v>
      </c>
      <c r="X149">
        <f>VLOOKUP(A149,JanApport,MATCH($X$4,'Jan 2022 Apport'!$3:$3,0),FALSE)</f>
        <v>4.8578999999999997E-2</v>
      </c>
      <c r="Y149">
        <f>VLOOKUP(A149,JanApport,MATCH($Y$4,'Jan 2022 Apport'!$3:$3,0),FALSE)</f>
        <v>4.0270000000000002E-3</v>
      </c>
      <c r="Z149">
        <f>VLOOKUP(A149,JanApport,MATCH($Z$4,'Jan 2022 Apport'!$3:$3,0),FALSE)</f>
        <v>1.7100000000000001E-2</v>
      </c>
      <c r="AA149" s="77">
        <f>VLOOKUP(A149,JanApport,MATCH($AA$4,'Jan 2022 Apport'!$3:$3,0),FALSE)*VLOOKUP(A149,JanApport,MATCH($AA$3,'Jan 2022 Apport'!$3:$3,0),FALSE)</f>
        <v>78398.599999999991</v>
      </c>
      <c r="AB149" s="77">
        <f>VLOOKUP(A149,JanApport,MATCH($AB$4,'Jan 2022 Apport'!$3:$3,0),FALSE)*VLOOKUP(A149,JanApport,MATCH($AB$3,'Jan 2022 Apport'!$3:$3,0),FALSE)</f>
        <v>81345.659999999989</v>
      </c>
      <c r="AC149" s="77">
        <f>VLOOKUP(A149,JanApport,MATCH($AC$4,'Jan 2022 Apport'!$3:$3,0),FALSE)</f>
        <v>100321</v>
      </c>
      <c r="AD149" s="77">
        <f>VLOOKUP(A149,JanApport,MATCH($AD$4,'Jan 2022 Apport'!$3:$3,0),FALSE)*VLOOKUP(A149,JanApport,MATCH($AD$3,'Jan 2022 Apport'!$3:$3,0),FALSE)</f>
        <v>120745.86</v>
      </c>
      <c r="AE149" s="77">
        <f>VLOOKUP(A149,JanApport,MATCH($AE$4,'Jan 2022 Apport'!$3:$3,0),FALSE)</f>
        <v>48483</v>
      </c>
      <c r="AF149" s="77">
        <f>VLOOKUP(A149,JanApport,MATCH($AF$4,'Jan 2022 Apport'!$3:$3,0),FALSE)*VLOOKUP(A149,JanApport,MATCH($AF$3,'Jan 2022 Apport'!$3:$3,0),FALSE)</f>
        <v>58354.539999999994</v>
      </c>
      <c r="AG149" s="77">
        <f t="shared" si="23"/>
        <v>111648.71820199999</v>
      </c>
      <c r="AH149" s="77">
        <f t="shared" si="24"/>
        <v>159884.84570200002</v>
      </c>
      <c r="AI149" s="77">
        <f t="shared" si="25"/>
        <v>87896.402584467985</v>
      </c>
      <c r="AJ149" s="3">
        <f>VLOOKUP(A149,JanApport,MATCH($AJ$4,'Jan 2022 Apport'!$3:$3,0),FALSE)</f>
        <v>11972362.58</v>
      </c>
      <c r="AK149" s="3">
        <f>VLOOKUP(A149,JanApport,MATCH($AK$4,'Jan 2022 Apport'!$3:$3,0),FALSE)</f>
        <v>194.596</v>
      </c>
      <c r="AL149" s="117">
        <f t="shared" si="26"/>
        <v>125765440.09999999</v>
      </c>
      <c r="AM149" s="117">
        <f>VLOOKUP(A149,JanApport,MATCH($AM$4,'Jan 2022 Apport'!$3:$3,0),FALSE)</f>
        <v>1644875.19</v>
      </c>
      <c r="AN149" s="117">
        <f>VLOOKUP(A149,JanApport,MATCH($AN$4,'Jan 2022 Apport'!$3:$3,0),FALSE)</f>
        <v>770356.44</v>
      </c>
    </row>
    <row r="150" spans="1:40">
      <c r="A150" s="2" t="s">
        <v>147</v>
      </c>
      <c r="B150" s="2" t="s">
        <v>148</v>
      </c>
      <c r="C150" s="2" t="s">
        <v>1267</v>
      </c>
      <c r="D150" s="118">
        <f>VLOOKUP(A150,JanApport,MATCH($D$4,'Jan 2022 Apport'!$3:$3,FALSE),FALSE)</f>
        <v>2586467.87</v>
      </c>
      <c r="E150" s="30">
        <f>VLOOKUP(A150,JanApport,MATCH($E$2,'Jan 2022 Apport'!$3:$3,0),FALSE)+VLOOKUP(A150,JanApport,MATCH($E$3,'Jan 2022 Apport'!$3:$3,0),FALSE)+VLOOKUP(A150,JanApport,MATCH($E$4,'Jan 2022 Apport'!$3:$3,0),FALSE)</f>
        <v>0</v>
      </c>
      <c r="F150" s="118">
        <f t="shared" si="27"/>
        <v>2586467.87</v>
      </c>
      <c r="G150" s="117">
        <f>VLOOKUP(A150,JanApport,MATCH($G$4,'Jan 2022 Apport'!$3:$3,0),FALSE)</f>
        <v>40773.85</v>
      </c>
      <c r="H150" s="117">
        <f>VLOOKUP(A150,JanApport,MATCH($H$3,'Jan 2022 Apport'!$3:$3,0),FALSE)+VLOOKUP(A150,JanApport,MATCH($H$2,'Jan 2022 Apport'!$3:$3,0),FALSE)+VLOOKUP(A150,JanApport,MATCH($H$4,'Jan 2022 Apport'!$3:$3,0),FALSE)</f>
        <v>350150.97000000003</v>
      </c>
      <c r="I150" s="117">
        <f t="shared" si="28"/>
        <v>390924.82</v>
      </c>
      <c r="J150" s="117">
        <f>VLOOKUP(A150,JanApport,MATCH($J$4,'Jan 2022 Apport'!$3:$3,0),FALSE)</f>
        <v>213596.03</v>
      </c>
      <c r="K150" s="117">
        <f>VLOOKUP(A150,JanApport,MATCH($K$4,'Jan 2022 Apport'!$3:$3,0),FALSE)</f>
        <v>25665.49</v>
      </c>
      <c r="L150" s="117">
        <f t="shared" si="29"/>
        <v>239261.52</v>
      </c>
      <c r="M150" s="117">
        <f>VLOOKUP(A150,JanApport,MATCH($M$4,'Jan 2022 Apport'!$3:$3,0),FALSE)</f>
        <v>91964.69</v>
      </c>
      <c r="N150" s="117">
        <f>VLOOKUP(A150,JanApport,MATCH($N$4,'Jan 2022 Apport'!$3:$3,0),FALSE)</f>
        <v>2837.2</v>
      </c>
      <c r="O150" s="117">
        <f>VLOOKUP(A150,JanApport,MATCH($O$4,'Jan 2022 Apport'!$3:$3,0),FALSE)</f>
        <v>8218.1200000000008</v>
      </c>
      <c r="P150" s="121">
        <f>IFERROR((VLOOKUP(A150,ExcessLevy!A:G,3,FALSE)*0.28),0)+IFERROR((VLOOKUP(A150,ExcessLevy!A:G,6,FALSE)*0.72),0)</f>
        <v>145196.18560000003</v>
      </c>
      <c r="Q150" s="121">
        <f>IFERROR((VLOOKUP(A150,ExcessLevy!A:G,4,FALSE)*0.4738),0)+IFERROR((VLOOKUP(A150,ExcessLevy!A:G,7,FALSE)*0.5262),0)</f>
        <v>879965.7818</v>
      </c>
      <c r="R150">
        <f>VLOOKUP(A150,JanApport,MATCH($R$4,'Jan 2022 Apport'!$3:$3,0),FALSE)</f>
        <v>0</v>
      </c>
      <c r="S150">
        <f>VLOOKUP(A150,JanApport,MATCH($S$4,'Jan 2022 Apport'!$3:$3,0),FALSE)</f>
        <v>0</v>
      </c>
      <c r="T150">
        <f>VLOOKUP(A150,JanApport,MATCH($T$4,'Jan 2022 Apport'!$3:$3,0),FALSE)</f>
        <v>0</v>
      </c>
      <c r="U150" s="132">
        <f>IFERROR(VLOOKUP(A150,JanApport,MATCH($U$4,'Jan 2022 Apport'!$3:$3,0),FALSE)/R150,0)</f>
        <v>0</v>
      </c>
      <c r="V150" s="30">
        <f>IFERROR(((VLOOKUP(A150,JanApport,MATCH($V$4,'Jan 2022 Apport'!$3:$3,0),FALSE)+VLOOKUP(A150,JanApport,MATCH($V$3,'Jan 2022 Apport'!$3:$3,0),FALSE))/(S150+T150)),0)</f>
        <v>0</v>
      </c>
      <c r="W150" s="30">
        <f t="shared" si="22"/>
        <v>8083.6246967786601</v>
      </c>
      <c r="X150">
        <f>VLOOKUP(A150,JanApport,MATCH($X$4,'Jan 2022 Apport'!$3:$3,0),FALSE)</f>
        <v>4.8578999999999997E-2</v>
      </c>
      <c r="Y150">
        <f>VLOOKUP(A150,JanApport,MATCH($Y$4,'Jan 2022 Apport'!$3:$3,0),FALSE)</f>
        <v>4.0270000000000002E-3</v>
      </c>
      <c r="Z150">
        <f>VLOOKUP(A150,JanApport,MATCH($Z$4,'Jan 2022 Apport'!$3:$3,0),FALSE)</f>
        <v>1.7100000000000001E-2</v>
      </c>
      <c r="AA150" s="77">
        <f>VLOOKUP(A150,JanApport,MATCH($AA$4,'Jan 2022 Apport'!$3:$3,0),FALSE)*VLOOKUP(A150,JanApport,MATCH($AA$3,'Jan 2022 Apport'!$3:$3,0),FALSE)</f>
        <v>67585</v>
      </c>
      <c r="AB150" s="77">
        <f>VLOOKUP(A150,JanApport,MATCH($AB$4,'Jan 2022 Apport'!$3:$3,0),FALSE)*VLOOKUP(A150,JanApport,MATCH($AB$3,'Jan 2022 Apport'!$3:$3,0),FALSE)</f>
        <v>68937</v>
      </c>
      <c r="AC150" s="77">
        <f>VLOOKUP(A150,JanApport,MATCH($AC$4,'Jan 2022 Apport'!$3:$3,0),FALSE)</f>
        <v>100321</v>
      </c>
      <c r="AD150" s="77">
        <f>VLOOKUP(A150,JanApport,MATCH($AD$4,'Jan 2022 Apport'!$3:$3,0),FALSE)*VLOOKUP(A150,JanApport,MATCH($AD$3,'Jan 2022 Apport'!$3:$3,0),FALSE)</f>
        <v>102327</v>
      </c>
      <c r="AE150" s="77">
        <f>VLOOKUP(A150,JanApport,MATCH($AE$4,'Jan 2022 Apport'!$3:$3,0),FALSE)</f>
        <v>48483</v>
      </c>
      <c r="AF150" s="77">
        <f>VLOOKUP(A150,JanApport,MATCH($AF$4,'Jan 2022 Apport'!$3:$3,0),FALSE)*VLOOKUP(A150,JanApport,MATCH($AF$3,'Jan 2022 Apport'!$3:$3,0),FALSE)</f>
        <v>49453</v>
      </c>
      <c r="AG150" s="77">
        <f t="shared" si="23"/>
        <v>96432.259900000005</v>
      </c>
      <c r="AH150" s="77">
        <f t="shared" si="24"/>
        <v>137400.94330000001</v>
      </c>
      <c r="AI150" s="77">
        <f t="shared" si="25"/>
        <v>77281.189732599989</v>
      </c>
      <c r="AJ150" s="3">
        <f>VLOOKUP(A150,JanApport,MATCH($AJ$4,'Jan 2022 Apport'!$3:$3,0),FALSE)</f>
        <v>390982.95</v>
      </c>
      <c r="AK150" s="3">
        <f>VLOOKUP(A150,JanApport,MATCH($AK$4,'Jan 2022 Apport'!$3:$3,0),FALSE)</f>
        <v>8.5210000000000008</v>
      </c>
      <c r="AL150" s="117">
        <f t="shared" si="26"/>
        <v>3376385.62</v>
      </c>
      <c r="AM150" s="117">
        <f>VLOOKUP(A150,JanApport,MATCH($AM$4,'Jan 2022 Apport'!$3:$3,0),FALSE)</f>
        <v>82376.89</v>
      </c>
      <c r="AN150" s="117">
        <f>VLOOKUP(A150,JanApport,MATCH($AN$4,'Jan 2022 Apport'!$3:$3,0),FALSE)</f>
        <v>23270.67</v>
      </c>
    </row>
    <row r="151" spans="1:40">
      <c r="A151" s="2" t="s">
        <v>461</v>
      </c>
      <c r="B151" s="2" t="s">
        <v>462</v>
      </c>
      <c r="C151" s="2" t="s">
        <v>1267</v>
      </c>
      <c r="D151" s="118">
        <f>VLOOKUP(A151,JanApport,MATCH($D$4,'Jan 2022 Apport'!$3:$3,FALSE),FALSE)</f>
        <v>91075141.769999996</v>
      </c>
      <c r="E151" s="30">
        <f>VLOOKUP(A151,JanApport,MATCH($E$2,'Jan 2022 Apport'!$3:$3,0),FALSE)+VLOOKUP(A151,JanApport,MATCH($E$3,'Jan 2022 Apport'!$3:$3,0),FALSE)+VLOOKUP(A151,JanApport,MATCH($E$4,'Jan 2022 Apport'!$3:$3,0),FALSE)</f>
        <v>6674545.1399999997</v>
      </c>
      <c r="F151" s="118">
        <f t="shared" si="27"/>
        <v>84400596.629999995</v>
      </c>
      <c r="G151" s="117">
        <f>VLOOKUP(A151,JanApport,MATCH($G$4,'Jan 2022 Apport'!$3:$3,0),FALSE)</f>
        <v>870727.67</v>
      </c>
      <c r="H151" s="117">
        <f>VLOOKUP(A151,JanApport,MATCH($H$3,'Jan 2022 Apport'!$3:$3,0),FALSE)+VLOOKUP(A151,JanApport,MATCH($H$2,'Jan 2022 Apport'!$3:$3,0),FALSE)+VLOOKUP(A151,JanApport,MATCH($H$4,'Jan 2022 Apport'!$3:$3,0),FALSE)</f>
        <v>11879446.92</v>
      </c>
      <c r="I151" s="117">
        <f t="shared" si="28"/>
        <v>12750174.59</v>
      </c>
      <c r="J151" s="117">
        <f>VLOOKUP(A151,JanApport,MATCH($J$4,'Jan 2022 Apport'!$3:$3,0),FALSE)</f>
        <v>5430148.7800000003</v>
      </c>
      <c r="K151" s="117">
        <f>VLOOKUP(A151,JanApport,MATCH($K$4,'Jan 2022 Apport'!$3:$3,0),FALSE)</f>
        <v>597455.46</v>
      </c>
      <c r="L151" s="117">
        <f t="shared" si="29"/>
        <v>6027604.2400000002</v>
      </c>
      <c r="M151" s="117">
        <f>VLOOKUP(A151,JanApport,MATCH($M$4,'Jan 2022 Apport'!$3:$3,0),FALSE)</f>
        <v>1463716.62</v>
      </c>
      <c r="N151" s="117">
        <f>VLOOKUP(A151,JanApport,MATCH($N$4,'Jan 2022 Apport'!$3:$3,0),FALSE)</f>
        <v>497256.53</v>
      </c>
      <c r="O151" s="117">
        <f>VLOOKUP(A151,JanApport,MATCH($O$4,'Jan 2022 Apport'!$3:$3,0),FALSE)</f>
        <v>297037.34999999998</v>
      </c>
      <c r="P151" s="121">
        <f>IFERROR((VLOOKUP(A151,ExcessLevy!A:G,3,FALSE)*0.28),0)+IFERROR((VLOOKUP(A151,ExcessLevy!A:G,6,FALSE)*0.72),0)</f>
        <v>4683073.8424000004</v>
      </c>
      <c r="Q151" s="121">
        <f>IFERROR((VLOOKUP(A151,ExcessLevy!A:G,4,FALSE)*0.4738),0)+IFERROR((VLOOKUP(A151,ExcessLevy!A:G,7,FALSE)*0.5262),0)</f>
        <v>13630890</v>
      </c>
      <c r="R151">
        <f>VLOOKUP(A151,JanApport,MATCH($R$4,'Jan 2022 Apport'!$3:$3,0),FALSE)</f>
        <v>0</v>
      </c>
      <c r="S151">
        <f>VLOOKUP(A151,JanApport,MATCH($S$4,'Jan 2022 Apport'!$3:$3,0),FALSE)</f>
        <v>406.12</v>
      </c>
      <c r="T151">
        <f>VLOOKUP(A151,JanApport,MATCH($T$4,'Jan 2022 Apport'!$3:$3,0),FALSE)</f>
        <v>321.83999999999997</v>
      </c>
      <c r="U151" s="132">
        <f>IFERROR(VLOOKUP(A151,JanApport,MATCH($U$4,'Jan 2022 Apport'!$3:$3,0),FALSE)/R151,0)</f>
        <v>0</v>
      </c>
      <c r="V151" s="30">
        <f>IFERROR(((VLOOKUP(A151,JanApport,MATCH($V$4,'Jan 2022 Apport'!$3:$3,0),FALSE)+VLOOKUP(A151,JanApport,MATCH($V$3,'Jan 2022 Apport'!$3:$3,0),FALSE))/(S151+T151)),0)</f>
        <v>9168.8350184076044</v>
      </c>
      <c r="W151" s="30">
        <f t="shared" si="22"/>
        <v>8084.4651989777003</v>
      </c>
      <c r="X151">
        <f>VLOOKUP(A151,JanApport,MATCH($X$4,'Jan 2022 Apport'!$3:$3,0),FALSE)</f>
        <v>4.8578999999999997E-2</v>
      </c>
      <c r="Y151">
        <f>VLOOKUP(A151,JanApport,MATCH($Y$4,'Jan 2022 Apport'!$3:$3,0),FALSE)</f>
        <v>4.0270000000000002E-3</v>
      </c>
      <c r="Z151">
        <f>VLOOKUP(A151,JanApport,MATCH($Z$4,'Jan 2022 Apport'!$3:$3,0),FALSE)</f>
        <v>1.7100000000000001E-2</v>
      </c>
      <c r="AA151" s="77">
        <f>VLOOKUP(A151,JanApport,MATCH($AA$4,'Jan 2022 Apport'!$3:$3,0),FALSE)*VLOOKUP(A151,JanApport,MATCH($AA$3,'Jan 2022 Apport'!$3:$3,0),FALSE)</f>
        <v>70288.400000000009</v>
      </c>
      <c r="AB151" s="77">
        <f>VLOOKUP(A151,JanApport,MATCH($AB$4,'Jan 2022 Apport'!$3:$3,0),FALSE)*VLOOKUP(A151,JanApport,MATCH($AB$3,'Jan 2022 Apport'!$3:$3,0),FALSE)</f>
        <v>68937</v>
      </c>
      <c r="AC151" s="77">
        <f>VLOOKUP(A151,JanApport,MATCH($AC$4,'Jan 2022 Apport'!$3:$3,0),FALSE)</f>
        <v>100321</v>
      </c>
      <c r="AD151" s="77">
        <f>VLOOKUP(A151,JanApport,MATCH($AD$4,'Jan 2022 Apport'!$3:$3,0),FALSE)*VLOOKUP(A151,JanApport,MATCH($AD$3,'Jan 2022 Apport'!$3:$3,0),FALSE)</f>
        <v>102327</v>
      </c>
      <c r="AE151" s="77">
        <f>VLOOKUP(A151,JanApport,MATCH($AE$4,'Jan 2022 Apport'!$3:$3,0),FALSE)</f>
        <v>48483</v>
      </c>
      <c r="AF151" s="77">
        <f>VLOOKUP(A151,JanApport,MATCH($AF$4,'Jan 2022 Apport'!$3:$3,0),FALSE)*VLOOKUP(A151,JanApport,MATCH($AF$3,'Jan 2022 Apport'!$3:$3,0),FALSE)</f>
        <v>49453</v>
      </c>
      <c r="AG151" s="77">
        <f t="shared" si="23"/>
        <v>96449.561660000007</v>
      </c>
      <c r="AH151" s="77">
        <f t="shared" si="24"/>
        <v>137400.94330000001</v>
      </c>
      <c r="AI151" s="77">
        <f t="shared" si="25"/>
        <v>77281.189732599989</v>
      </c>
      <c r="AJ151" s="3">
        <f>VLOOKUP(A151,JanApport,MATCH($AJ$4,'Jan 2022 Apport'!$3:$3,0),FALSE)</f>
        <v>12068208.710000001</v>
      </c>
      <c r="AK151" s="3">
        <f>VLOOKUP(A151,JanApport,MATCH($AK$4,'Jan 2022 Apport'!$3:$3,0),FALSE)</f>
        <v>178.79499999999999</v>
      </c>
      <c r="AL151" s="117">
        <f t="shared" si="26"/>
        <v>111630649.94</v>
      </c>
      <c r="AM151" s="117">
        <f>VLOOKUP(A151,JanApport,MATCH($AM$4,'Jan 2022 Apport'!$3:$3,0),FALSE)</f>
        <v>117174.3</v>
      </c>
      <c r="AN151" s="117">
        <f>VLOOKUP(A151,JanApport,MATCH($AN$4,'Jan 2022 Apport'!$3:$3,0),FALSE)</f>
        <v>684452.11</v>
      </c>
    </row>
    <row r="152" spans="1:40">
      <c r="A152" s="2" t="s">
        <v>459</v>
      </c>
      <c r="B152" s="2" t="s">
        <v>460</v>
      </c>
      <c r="C152" s="2" t="s">
        <v>1267</v>
      </c>
      <c r="D152" s="118">
        <f>VLOOKUP(A152,JanApport,MATCH($D$4,'Jan 2022 Apport'!$3:$3,FALSE),FALSE)</f>
        <v>15465393.890000001</v>
      </c>
      <c r="E152" s="30">
        <f>VLOOKUP(A152,JanApport,MATCH($E$2,'Jan 2022 Apport'!$3:$3,0),FALSE)+VLOOKUP(A152,JanApport,MATCH($E$3,'Jan 2022 Apport'!$3:$3,0),FALSE)+VLOOKUP(A152,JanApport,MATCH($E$4,'Jan 2022 Apport'!$3:$3,0),FALSE)</f>
        <v>1163128.17</v>
      </c>
      <c r="F152" s="118">
        <f t="shared" si="27"/>
        <v>14302265.720000001</v>
      </c>
      <c r="G152" s="117">
        <f>VLOOKUP(A152,JanApport,MATCH($G$4,'Jan 2022 Apport'!$3:$3,0),FALSE)</f>
        <v>234897.25</v>
      </c>
      <c r="H152" s="117">
        <f>VLOOKUP(A152,JanApport,MATCH($H$3,'Jan 2022 Apport'!$3:$3,0),FALSE)+VLOOKUP(A152,JanApport,MATCH($H$2,'Jan 2022 Apport'!$3:$3,0),FALSE)+VLOOKUP(A152,JanApport,MATCH($H$4,'Jan 2022 Apport'!$3:$3,0),FALSE)</f>
        <v>2008464.0299999998</v>
      </c>
      <c r="I152" s="117">
        <f t="shared" si="28"/>
        <v>2243361.2799999998</v>
      </c>
      <c r="J152" s="117">
        <f>VLOOKUP(A152,JanApport,MATCH($J$4,'Jan 2022 Apport'!$3:$3,0),FALSE)</f>
        <v>1152926.8</v>
      </c>
      <c r="K152" s="117">
        <f>VLOOKUP(A152,JanApport,MATCH($K$4,'Jan 2022 Apport'!$3:$3,0),FALSE)</f>
        <v>240820.79</v>
      </c>
      <c r="L152" s="117">
        <f t="shared" si="29"/>
        <v>1393747.59</v>
      </c>
      <c r="M152" s="117">
        <f>VLOOKUP(A152,JanApport,MATCH($M$4,'Jan 2022 Apport'!$3:$3,0),FALSE)</f>
        <v>376370.42</v>
      </c>
      <c r="N152" s="117">
        <f>VLOOKUP(A152,JanApport,MATCH($N$4,'Jan 2022 Apport'!$3:$3,0),FALSE)</f>
        <v>28469.919999999998</v>
      </c>
      <c r="O152" s="117">
        <f>VLOOKUP(A152,JanApport,MATCH($O$4,'Jan 2022 Apport'!$3:$3,0),FALSE)</f>
        <v>49406.57</v>
      </c>
      <c r="P152" s="121">
        <f>IFERROR((VLOOKUP(A152,ExcessLevy!A:G,3,FALSE)*0.28),0)+IFERROR((VLOOKUP(A152,ExcessLevy!A:G,6,FALSE)*0.72),0)</f>
        <v>1507750.3559999999</v>
      </c>
      <c r="Q152" s="121">
        <f>IFERROR((VLOOKUP(A152,ExcessLevy!A:G,4,FALSE)*0.4738),0)+IFERROR((VLOOKUP(A152,ExcessLevy!A:G,7,FALSE)*0.5262),0)</f>
        <v>1248878.6528</v>
      </c>
      <c r="R152">
        <f>VLOOKUP(A152,JanApport,MATCH($R$4,'Jan 2022 Apport'!$3:$3,0),FALSE)</f>
        <v>0</v>
      </c>
      <c r="S152">
        <f>VLOOKUP(A152,JanApport,MATCH($S$4,'Jan 2022 Apport'!$3:$3,0),FALSE)</f>
        <v>1.82</v>
      </c>
      <c r="T152">
        <f>VLOOKUP(A152,JanApport,MATCH($T$4,'Jan 2022 Apport'!$3:$3,0),FALSE)</f>
        <v>128.52000000000001</v>
      </c>
      <c r="U152" s="132">
        <f>IFERROR(VLOOKUP(A152,JanApport,MATCH($U$4,'Jan 2022 Apport'!$3:$3,0),FALSE)/R152,0)</f>
        <v>0</v>
      </c>
      <c r="V152" s="30">
        <f>IFERROR(((VLOOKUP(A152,JanApport,MATCH($V$4,'Jan 2022 Apport'!$3:$3,0),FALSE)+VLOOKUP(A152,JanApport,MATCH($V$3,'Jan 2022 Apport'!$3:$3,0),FALSE))/(S152+T152)),0)</f>
        <v>8923.800598434862</v>
      </c>
      <c r="W152" s="30">
        <f t="shared" si="22"/>
        <v>8083.6246967786601</v>
      </c>
      <c r="X152">
        <f>VLOOKUP(A152,JanApport,MATCH($X$4,'Jan 2022 Apport'!$3:$3,0),FALSE)</f>
        <v>4.8578999999999997E-2</v>
      </c>
      <c r="Y152">
        <f>VLOOKUP(A152,JanApport,MATCH($Y$4,'Jan 2022 Apport'!$3:$3,0),FALSE)</f>
        <v>4.0270000000000002E-3</v>
      </c>
      <c r="Z152">
        <f>VLOOKUP(A152,JanApport,MATCH($Z$4,'Jan 2022 Apport'!$3:$3,0),FALSE)</f>
        <v>1.7100000000000001E-2</v>
      </c>
      <c r="AA152" s="77">
        <f>VLOOKUP(A152,JanApport,MATCH($AA$4,'Jan 2022 Apport'!$3:$3,0),FALSE)*VLOOKUP(A152,JanApport,MATCH($AA$3,'Jan 2022 Apport'!$3:$3,0),FALSE)</f>
        <v>67585</v>
      </c>
      <c r="AB152" s="77">
        <f>VLOOKUP(A152,JanApport,MATCH($AB$4,'Jan 2022 Apport'!$3:$3,0),FALSE)*VLOOKUP(A152,JanApport,MATCH($AB$3,'Jan 2022 Apport'!$3:$3,0),FALSE)</f>
        <v>68937</v>
      </c>
      <c r="AC152" s="77">
        <f>VLOOKUP(A152,JanApport,MATCH($AC$4,'Jan 2022 Apport'!$3:$3,0),FALSE)</f>
        <v>100321</v>
      </c>
      <c r="AD152" s="77">
        <f>VLOOKUP(A152,JanApport,MATCH($AD$4,'Jan 2022 Apport'!$3:$3,0),FALSE)*VLOOKUP(A152,JanApport,MATCH($AD$3,'Jan 2022 Apport'!$3:$3,0),FALSE)</f>
        <v>102327</v>
      </c>
      <c r="AE152" s="77">
        <f>VLOOKUP(A152,JanApport,MATCH($AE$4,'Jan 2022 Apport'!$3:$3,0),FALSE)</f>
        <v>48483</v>
      </c>
      <c r="AF152" s="77">
        <f>VLOOKUP(A152,JanApport,MATCH($AF$4,'Jan 2022 Apport'!$3:$3,0),FALSE)*VLOOKUP(A152,JanApport,MATCH($AF$3,'Jan 2022 Apport'!$3:$3,0),FALSE)</f>
        <v>49453</v>
      </c>
      <c r="AG152" s="77">
        <f t="shared" si="23"/>
        <v>96432.259900000005</v>
      </c>
      <c r="AH152" s="77">
        <f t="shared" si="24"/>
        <v>137400.94330000001</v>
      </c>
      <c r="AI152" s="77">
        <f t="shared" si="25"/>
        <v>77281.189732599989</v>
      </c>
      <c r="AJ152" s="3">
        <f>VLOOKUP(A152,JanApport,MATCH($AJ$4,'Jan 2022 Apport'!$3:$3,0),FALSE)</f>
        <v>2114629.2200000002</v>
      </c>
      <c r="AK152" s="3">
        <f>VLOOKUP(A152,JanApport,MATCH($AK$4,'Jan 2022 Apport'!$3:$3,0),FALSE)</f>
        <v>37.94</v>
      </c>
      <c r="AL152" s="117">
        <f t="shared" si="26"/>
        <v>19322972.980000004</v>
      </c>
      <c r="AM152" s="117">
        <f>VLOOKUP(A152,JanApport,MATCH($AM$4,'Jan 2022 Apport'!$3:$3,0),FALSE)</f>
        <v>7044.1</v>
      </c>
      <c r="AN152" s="117">
        <f>VLOOKUP(A152,JanApport,MATCH($AN$4,'Jan 2022 Apport'!$3:$3,0),FALSE)</f>
        <v>118678.71</v>
      </c>
    </row>
    <row r="153" spans="1:40">
      <c r="A153" s="2" t="s">
        <v>189</v>
      </c>
      <c r="B153" s="2" t="s">
        <v>190</v>
      </c>
      <c r="C153" s="2" t="s">
        <v>1267</v>
      </c>
      <c r="D153" s="118">
        <f>VLOOKUP(A153,JanApport,MATCH($D$4,'Jan 2022 Apport'!$3:$3,FALSE),FALSE)</f>
        <v>38775600.909999996</v>
      </c>
      <c r="E153" s="30">
        <f>VLOOKUP(A153,JanApport,MATCH($E$2,'Jan 2022 Apport'!$3:$3,0),FALSE)+VLOOKUP(A153,JanApport,MATCH($E$3,'Jan 2022 Apport'!$3:$3,0),FALSE)+VLOOKUP(A153,JanApport,MATCH($E$4,'Jan 2022 Apport'!$3:$3,0),FALSE)</f>
        <v>3064540.54</v>
      </c>
      <c r="F153" s="118">
        <f t="shared" si="27"/>
        <v>35711060.369999997</v>
      </c>
      <c r="G153" s="117">
        <f>VLOOKUP(A153,JanApport,MATCH($G$4,'Jan 2022 Apport'!$3:$3,0),FALSE)</f>
        <v>235332.39</v>
      </c>
      <c r="H153" s="117">
        <f>VLOOKUP(A153,JanApport,MATCH($H$3,'Jan 2022 Apport'!$3:$3,0),FALSE)+VLOOKUP(A153,JanApport,MATCH($H$2,'Jan 2022 Apport'!$3:$3,0),FALSE)+VLOOKUP(A153,JanApport,MATCH($H$4,'Jan 2022 Apport'!$3:$3,0),FALSE)</f>
        <v>3742795.67</v>
      </c>
      <c r="I153" s="117">
        <f t="shared" si="28"/>
        <v>3978128.06</v>
      </c>
      <c r="J153" s="117">
        <f>VLOOKUP(A153,JanApport,MATCH($J$4,'Jan 2022 Apport'!$3:$3,0),FALSE)</f>
        <v>1713307.99</v>
      </c>
      <c r="K153" s="117">
        <f>VLOOKUP(A153,JanApport,MATCH($K$4,'Jan 2022 Apport'!$3:$3,0),FALSE)</f>
        <v>346902.24</v>
      </c>
      <c r="L153" s="117">
        <f t="shared" si="29"/>
        <v>2060210.23</v>
      </c>
      <c r="M153" s="117">
        <f>VLOOKUP(A153,JanApport,MATCH($M$4,'Jan 2022 Apport'!$3:$3,0),FALSE)</f>
        <v>96542.11</v>
      </c>
      <c r="N153" s="117">
        <f>VLOOKUP(A153,JanApport,MATCH($N$4,'Jan 2022 Apport'!$3:$3,0),FALSE)</f>
        <v>281921.11</v>
      </c>
      <c r="O153" s="117">
        <f>VLOOKUP(A153,JanApport,MATCH($O$4,'Jan 2022 Apport'!$3:$3,0),FALSE)</f>
        <v>130195.88</v>
      </c>
      <c r="P153" s="121">
        <f>IFERROR((VLOOKUP(A153,ExcessLevy!A:G,3,FALSE)*0.28),0)+IFERROR((VLOOKUP(A153,ExcessLevy!A:G,6,FALSE)*0.72),0)</f>
        <v>0</v>
      </c>
      <c r="Q153" s="121">
        <f>IFERROR((VLOOKUP(A153,ExcessLevy!A:G,4,FALSE)*0.4738),0)+IFERROR((VLOOKUP(A153,ExcessLevy!A:G,7,FALSE)*0.5262),0)</f>
        <v>11429473.783799998</v>
      </c>
      <c r="R153">
        <f>VLOOKUP(A153,JanApport,MATCH($R$4,'Jan 2022 Apport'!$3:$3,0),FALSE)</f>
        <v>0</v>
      </c>
      <c r="S153">
        <f>VLOOKUP(A153,JanApport,MATCH($S$4,'Jan 2022 Apport'!$3:$3,0),FALSE)</f>
        <v>16.190000000000001</v>
      </c>
      <c r="T153">
        <f>VLOOKUP(A153,JanApport,MATCH($T$4,'Jan 2022 Apport'!$3:$3,0),FALSE)</f>
        <v>288.45</v>
      </c>
      <c r="U153" s="132">
        <f>IFERROR(VLOOKUP(A153,JanApport,MATCH($U$4,'Jan 2022 Apport'!$3:$3,0),FALSE)/R153,0)</f>
        <v>0</v>
      </c>
      <c r="V153" s="30">
        <f>IFERROR(((VLOOKUP(A153,JanApport,MATCH($V$4,'Jan 2022 Apport'!$3:$3,0),FALSE)+VLOOKUP(A153,JanApport,MATCH($V$3,'Jan 2022 Apport'!$3:$3,0),FALSE))/(S153+T153)),0)</f>
        <v>10059.547465861346</v>
      </c>
      <c r="W153" s="30">
        <f t="shared" si="22"/>
        <v>8759.3410458720027</v>
      </c>
      <c r="X153">
        <f>VLOOKUP(A153,JanApport,MATCH($X$4,'Jan 2022 Apport'!$3:$3,0),FALSE)</f>
        <v>4.8578999999999997E-2</v>
      </c>
      <c r="Y153">
        <f>VLOOKUP(A153,JanApport,MATCH($Y$4,'Jan 2022 Apport'!$3:$3,0),FALSE)</f>
        <v>4.0270000000000002E-3</v>
      </c>
      <c r="Z153">
        <f>VLOOKUP(A153,JanApport,MATCH($Z$4,'Jan 2022 Apport'!$3:$3,0),FALSE)</f>
        <v>1.7100000000000001E-2</v>
      </c>
      <c r="AA153" s="77">
        <f>VLOOKUP(A153,JanApport,MATCH($AA$4,'Jan 2022 Apport'!$3:$3,0),FALSE)*VLOOKUP(A153,JanApport,MATCH($AA$3,'Jan 2022 Apport'!$3:$3,0),FALSE)</f>
        <v>79750.3</v>
      </c>
      <c r="AB153" s="77">
        <f>VLOOKUP(A153,JanApport,MATCH($AB$4,'Jan 2022 Apport'!$3:$3,0),FALSE)*VLOOKUP(A153,JanApport,MATCH($AB$3,'Jan 2022 Apport'!$3:$3,0),FALSE)</f>
        <v>77209.440000000002</v>
      </c>
      <c r="AC153" s="77">
        <f>VLOOKUP(A153,JanApport,MATCH($AC$4,'Jan 2022 Apport'!$3:$3,0),FALSE)</f>
        <v>100321</v>
      </c>
      <c r="AD153" s="77">
        <f>VLOOKUP(A153,JanApport,MATCH($AD$4,'Jan 2022 Apport'!$3:$3,0),FALSE)*VLOOKUP(A153,JanApport,MATCH($AD$3,'Jan 2022 Apport'!$3:$3,0),FALSE)</f>
        <v>114606.24</v>
      </c>
      <c r="AE153" s="77">
        <f>VLOOKUP(A153,JanApport,MATCH($AE$4,'Jan 2022 Apport'!$3:$3,0),FALSE)</f>
        <v>48483</v>
      </c>
      <c r="AF153" s="77">
        <f>VLOOKUP(A153,JanApport,MATCH($AF$4,'Jan 2022 Apport'!$3:$3,0),FALSE)*VLOOKUP(A153,JanApport,MATCH($AF$3,'Jan 2022 Apport'!$3:$3,0),FALSE)</f>
        <v>55387.360000000008</v>
      </c>
      <c r="AG153" s="77">
        <f t="shared" si="23"/>
        <v>106608.285328</v>
      </c>
      <c r="AH153" s="77">
        <f t="shared" si="24"/>
        <v>152390.21156800003</v>
      </c>
      <c r="AI153" s="77">
        <f t="shared" si="25"/>
        <v>84357.998300512001</v>
      </c>
      <c r="AJ153" s="3">
        <f>VLOOKUP(A153,JanApport,MATCH($AJ$4,'Jan 2022 Apport'!$3:$3,0),FALSE)</f>
        <v>5121084.92</v>
      </c>
      <c r="AK153" s="3">
        <f>VLOOKUP(A153,JanApport,MATCH($AK$4,'Jan 2022 Apport'!$3:$3,0),FALSE)</f>
        <v>64.414000000000001</v>
      </c>
      <c r="AL153" s="117">
        <f t="shared" si="26"/>
        <v>44975696.060000002</v>
      </c>
      <c r="AM153" s="117">
        <f>VLOOKUP(A153,JanApport,MATCH($AM$4,'Jan 2022 Apport'!$3:$3,0),FALSE)</f>
        <v>0</v>
      </c>
      <c r="AN153" s="117">
        <f>VLOOKUP(A153,JanApport,MATCH($AN$4,'Jan 2022 Apport'!$3:$3,0),FALSE)</f>
        <v>321231.12</v>
      </c>
    </row>
    <row r="154" spans="1:40">
      <c r="A154" s="2" t="s">
        <v>547</v>
      </c>
      <c r="B154" s="2" t="s">
        <v>548</v>
      </c>
      <c r="C154" s="2" t="s">
        <v>1267</v>
      </c>
      <c r="D154" s="118">
        <f>VLOOKUP(A154,JanApport,MATCH($D$4,'Jan 2022 Apport'!$3:$3,FALSE),FALSE)</f>
        <v>15736016.76</v>
      </c>
      <c r="E154" s="30">
        <f>VLOOKUP(A154,JanApport,MATCH($E$2,'Jan 2022 Apport'!$3:$3,0),FALSE)+VLOOKUP(A154,JanApport,MATCH($E$3,'Jan 2022 Apport'!$3:$3,0),FALSE)+VLOOKUP(A154,JanApport,MATCH($E$4,'Jan 2022 Apport'!$3:$3,0),FALSE)</f>
        <v>573609.32999999996</v>
      </c>
      <c r="F154" s="118">
        <f t="shared" si="27"/>
        <v>15162407.43</v>
      </c>
      <c r="G154" s="117">
        <f>VLOOKUP(A154,JanApport,MATCH($G$4,'Jan 2022 Apport'!$3:$3,0),FALSE)</f>
        <v>141672.25</v>
      </c>
      <c r="H154" s="117">
        <f>VLOOKUP(A154,JanApport,MATCH($H$3,'Jan 2022 Apport'!$3:$3,0),FALSE)+VLOOKUP(A154,JanApport,MATCH($H$2,'Jan 2022 Apport'!$3:$3,0),FALSE)+VLOOKUP(A154,JanApport,MATCH($H$4,'Jan 2022 Apport'!$3:$3,0),FALSE)</f>
        <v>1715863.97</v>
      </c>
      <c r="I154" s="117">
        <f t="shared" si="28"/>
        <v>1857536.22</v>
      </c>
      <c r="J154" s="117">
        <f>VLOOKUP(A154,JanApport,MATCH($J$4,'Jan 2022 Apport'!$3:$3,0),FALSE)</f>
        <v>1004290.18</v>
      </c>
      <c r="K154" s="117">
        <f>VLOOKUP(A154,JanApport,MATCH($K$4,'Jan 2022 Apport'!$3:$3,0),FALSE)</f>
        <v>288608.74</v>
      </c>
      <c r="L154" s="117">
        <f t="shared" si="29"/>
        <v>1292898.92</v>
      </c>
      <c r="M154" s="117">
        <f>VLOOKUP(A154,JanApport,MATCH($M$4,'Jan 2022 Apport'!$3:$3,0),FALSE)</f>
        <v>376854.93</v>
      </c>
      <c r="N154" s="117">
        <f>VLOOKUP(A154,JanApport,MATCH($N$4,'Jan 2022 Apport'!$3:$3,0),FALSE)</f>
        <v>299197.48</v>
      </c>
      <c r="O154" s="117">
        <f>VLOOKUP(A154,JanApport,MATCH($O$4,'Jan 2022 Apport'!$3:$3,0),FALSE)</f>
        <v>51599.97</v>
      </c>
      <c r="P154" s="121">
        <f>IFERROR((VLOOKUP(A154,ExcessLevy!A:G,3,FALSE)*0.28),0)+IFERROR((VLOOKUP(A154,ExcessLevy!A:G,6,FALSE)*0.72),0)</f>
        <v>337377.13400000008</v>
      </c>
      <c r="Q154" s="121">
        <f>IFERROR((VLOOKUP(A154,ExcessLevy!A:G,4,FALSE)*0.4738),0)+IFERROR((VLOOKUP(A154,ExcessLevy!A:G,7,FALSE)*0.5262),0)</f>
        <v>4154672.7561999997</v>
      </c>
      <c r="R154">
        <f>VLOOKUP(A154,JanApport,MATCH($R$4,'Jan 2022 Apport'!$3:$3,0),FALSE)</f>
        <v>0</v>
      </c>
      <c r="S154">
        <f>VLOOKUP(A154,JanApport,MATCH($S$4,'Jan 2022 Apport'!$3:$3,0),FALSE)</f>
        <v>0</v>
      </c>
      <c r="T154">
        <f>VLOOKUP(A154,JanApport,MATCH($T$4,'Jan 2022 Apport'!$3:$3,0),FALSE)</f>
        <v>61.67</v>
      </c>
      <c r="U154" s="132">
        <f>IFERROR(VLOOKUP(A154,JanApport,MATCH($U$4,'Jan 2022 Apport'!$3:$3,0),FALSE)/R154,0)</f>
        <v>0</v>
      </c>
      <c r="V154" s="30">
        <f>IFERROR(((VLOOKUP(A154,JanApport,MATCH($V$4,'Jan 2022 Apport'!$3:$3,0),FALSE)+VLOOKUP(A154,JanApport,MATCH($V$3,'Jan 2022 Apport'!$3:$3,0),FALSE))/(S154+T154)),0)</f>
        <v>9301.2701475595895</v>
      </c>
      <c r="W154" s="30">
        <f t="shared" si="22"/>
        <v>8756.8195392748839</v>
      </c>
      <c r="X154">
        <f>VLOOKUP(A154,JanApport,MATCH($X$4,'Jan 2022 Apport'!$3:$3,0),FALSE)</f>
        <v>4.8578999999999997E-2</v>
      </c>
      <c r="Y154">
        <f>VLOOKUP(A154,JanApport,MATCH($Y$4,'Jan 2022 Apport'!$3:$3,0),FALSE)</f>
        <v>4.0270000000000002E-3</v>
      </c>
      <c r="Z154">
        <f>VLOOKUP(A154,JanApport,MATCH($Z$4,'Jan 2022 Apport'!$3:$3,0),FALSE)</f>
        <v>1.7100000000000001E-2</v>
      </c>
      <c r="AA154" s="77">
        <f>VLOOKUP(A154,JanApport,MATCH($AA$4,'Jan 2022 Apport'!$3:$3,0),FALSE)*VLOOKUP(A154,JanApport,MATCH($AA$3,'Jan 2022 Apport'!$3:$3,0),FALSE)</f>
        <v>71640.100000000006</v>
      </c>
      <c r="AB154" s="77">
        <f>VLOOKUP(A154,JanApport,MATCH($AB$4,'Jan 2022 Apport'!$3:$3,0),FALSE)*VLOOKUP(A154,JanApport,MATCH($AB$3,'Jan 2022 Apport'!$3:$3,0),FALSE)</f>
        <v>77209.440000000002</v>
      </c>
      <c r="AC154" s="77">
        <f>VLOOKUP(A154,JanApport,MATCH($AC$4,'Jan 2022 Apport'!$3:$3,0),FALSE)</f>
        <v>100321</v>
      </c>
      <c r="AD154" s="77">
        <f>VLOOKUP(A154,JanApport,MATCH($AD$4,'Jan 2022 Apport'!$3:$3,0),FALSE)*VLOOKUP(A154,JanApport,MATCH($AD$3,'Jan 2022 Apport'!$3:$3,0),FALSE)</f>
        <v>114606.24</v>
      </c>
      <c r="AE154" s="77">
        <f>VLOOKUP(A154,JanApport,MATCH($AE$4,'Jan 2022 Apport'!$3:$3,0),FALSE)</f>
        <v>48483</v>
      </c>
      <c r="AF154" s="77">
        <f>VLOOKUP(A154,JanApport,MATCH($AF$4,'Jan 2022 Apport'!$3:$3,0),FALSE)*VLOOKUP(A154,JanApport,MATCH($AF$3,'Jan 2022 Apport'!$3:$3,0),FALSE)</f>
        <v>55387.360000000008</v>
      </c>
      <c r="AG154" s="77">
        <f t="shared" si="23"/>
        <v>106556.38004800002</v>
      </c>
      <c r="AH154" s="77">
        <f t="shared" si="24"/>
        <v>152390.21156800003</v>
      </c>
      <c r="AI154" s="77">
        <f t="shared" si="25"/>
        <v>84357.998300512001</v>
      </c>
      <c r="AJ154" s="3">
        <f>VLOOKUP(A154,JanApport,MATCH($AJ$4,'Jan 2022 Apport'!$3:$3,0),FALSE)</f>
        <v>1957045.97</v>
      </c>
      <c r="AK154" s="3">
        <f>VLOOKUP(A154,JanApport,MATCH($AK$4,'Jan 2022 Apport'!$3:$3,0),FALSE)</f>
        <v>30.218</v>
      </c>
      <c r="AL154" s="117">
        <f t="shared" si="26"/>
        <v>19325495.539999995</v>
      </c>
      <c r="AM154" s="117">
        <f>VLOOKUP(A154,JanApport,MATCH($AM$4,'Jan 2022 Apport'!$3:$3,0),FALSE)</f>
        <v>0</v>
      </c>
      <c r="AN154" s="117">
        <f>VLOOKUP(A154,JanApport,MATCH($AN$4,'Jan 2022 Apport'!$3:$3,0),FALSE)</f>
        <v>114039.84</v>
      </c>
    </row>
    <row r="155" spans="1:40">
      <c r="A155" s="2" t="s">
        <v>337</v>
      </c>
      <c r="B155" s="2" t="s">
        <v>338</v>
      </c>
      <c r="C155" s="2" t="s">
        <v>1267</v>
      </c>
      <c r="D155" s="118">
        <f>VLOOKUP(A155,JanApport,MATCH($D$4,'Jan 2022 Apport'!$3:$3,FALSE),FALSE)</f>
        <v>6536628.2599999998</v>
      </c>
      <c r="E155" s="30">
        <f>VLOOKUP(A155,JanApport,MATCH($E$2,'Jan 2022 Apport'!$3:$3,0),FALSE)+VLOOKUP(A155,JanApport,MATCH($E$3,'Jan 2022 Apport'!$3:$3,0),FALSE)+VLOOKUP(A155,JanApport,MATCH($E$4,'Jan 2022 Apport'!$3:$3,0),FALSE)</f>
        <v>349173.57</v>
      </c>
      <c r="F155" s="118">
        <f t="shared" si="27"/>
        <v>6187454.6899999995</v>
      </c>
      <c r="G155" s="117">
        <f>VLOOKUP(A155,JanApport,MATCH($G$4,'Jan 2022 Apport'!$3:$3,0),FALSE)</f>
        <v>79021.47</v>
      </c>
      <c r="H155" s="117">
        <f>VLOOKUP(A155,JanApport,MATCH($H$3,'Jan 2022 Apport'!$3:$3,0),FALSE)+VLOOKUP(A155,JanApport,MATCH($H$2,'Jan 2022 Apport'!$3:$3,0),FALSE)+VLOOKUP(A155,JanApport,MATCH($H$4,'Jan 2022 Apport'!$3:$3,0),FALSE)</f>
        <v>592222.54</v>
      </c>
      <c r="I155" s="117">
        <f t="shared" si="28"/>
        <v>671244.01</v>
      </c>
      <c r="J155" s="117">
        <f>VLOOKUP(A155,JanApport,MATCH($J$4,'Jan 2022 Apport'!$3:$3,0),FALSE)</f>
        <v>625297.56999999995</v>
      </c>
      <c r="K155" s="117">
        <f>VLOOKUP(A155,JanApport,MATCH($K$4,'Jan 2022 Apport'!$3:$3,0),FALSE)</f>
        <v>103206.31</v>
      </c>
      <c r="L155" s="117">
        <f t="shared" si="29"/>
        <v>728503.87999999989</v>
      </c>
      <c r="M155" s="117">
        <f>VLOOKUP(A155,JanApport,MATCH($M$4,'Jan 2022 Apport'!$3:$3,0),FALSE)</f>
        <v>136381.69</v>
      </c>
      <c r="N155" s="117">
        <f>VLOOKUP(A155,JanApport,MATCH($N$4,'Jan 2022 Apport'!$3:$3,0),FALSE)</f>
        <v>36688.050000000003</v>
      </c>
      <c r="O155" s="117">
        <f>VLOOKUP(A155,JanApport,MATCH($O$4,'Jan 2022 Apport'!$3:$3,0),FALSE)</f>
        <v>20153.96</v>
      </c>
      <c r="P155" s="121">
        <f>IFERROR((VLOOKUP(A155,ExcessLevy!A:G,3,FALSE)*0.28),0)+IFERROR((VLOOKUP(A155,ExcessLevy!A:G,6,FALSE)*0.72),0)</f>
        <v>0</v>
      </c>
      <c r="Q155" s="121">
        <f>IFERROR((VLOOKUP(A155,ExcessLevy!A:G,4,FALSE)*0.4738),0)+IFERROR((VLOOKUP(A155,ExcessLevy!A:G,7,FALSE)*0.5262),0)</f>
        <v>2026310</v>
      </c>
      <c r="R155">
        <f>VLOOKUP(A155,JanApport,MATCH($R$4,'Jan 2022 Apport'!$3:$3,0),FALSE)</f>
        <v>0</v>
      </c>
      <c r="S155">
        <f>VLOOKUP(A155,JanApport,MATCH($S$4,'Jan 2022 Apport'!$3:$3,0),FALSE)</f>
        <v>0</v>
      </c>
      <c r="T155">
        <f>VLOOKUP(A155,JanApport,MATCH($T$4,'Jan 2022 Apport'!$3:$3,0),FALSE)</f>
        <v>39.130000000000003</v>
      </c>
      <c r="U155" s="132">
        <f>IFERROR(VLOOKUP(A155,JanApport,MATCH($U$4,'Jan 2022 Apport'!$3:$3,0),FALSE)/R155,0)</f>
        <v>0</v>
      </c>
      <c r="V155" s="30">
        <f>IFERROR(((VLOOKUP(A155,JanApport,MATCH($V$4,'Jan 2022 Apport'!$3:$3,0),FALSE)+VLOOKUP(A155,JanApport,MATCH($V$3,'Jan 2022 Apport'!$3:$3,0),FALSE))/(S155+T155)),0)</f>
        <v>8923.4237158190645</v>
      </c>
      <c r="W155" s="30">
        <f t="shared" si="22"/>
        <v>8083.6246967786601</v>
      </c>
      <c r="X155">
        <f>VLOOKUP(A155,JanApport,MATCH($X$4,'Jan 2022 Apport'!$3:$3,0),FALSE)</f>
        <v>4.8578999999999997E-2</v>
      </c>
      <c r="Y155">
        <f>VLOOKUP(A155,JanApport,MATCH($Y$4,'Jan 2022 Apport'!$3:$3,0),FALSE)</f>
        <v>4.0270000000000002E-3</v>
      </c>
      <c r="Z155">
        <f>VLOOKUP(A155,JanApport,MATCH($Z$4,'Jan 2022 Apport'!$3:$3,0),FALSE)</f>
        <v>1.7100000000000001E-2</v>
      </c>
      <c r="AA155" s="77">
        <f>VLOOKUP(A155,JanApport,MATCH($AA$4,'Jan 2022 Apport'!$3:$3,0),FALSE)*VLOOKUP(A155,JanApport,MATCH($AA$3,'Jan 2022 Apport'!$3:$3,0),FALSE)</f>
        <v>67585</v>
      </c>
      <c r="AB155" s="77">
        <f>VLOOKUP(A155,JanApport,MATCH($AB$4,'Jan 2022 Apport'!$3:$3,0),FALSE)*VLOOKUP(A155,JanApport,MATCH($AB$3,'Jan 2022 Apport'!$3:$3,0),FALSE)</f>
        <v>68937</v>
      </c>
      <c r="AC155" s="77">
        <f>VLOOKUP(A155,JanApport,MATCH($AC$4,'Jan 2022 Apport'!$3:$3,0),FALSE)</f>
        <v>100321</v>
      </c>
      <c r="AD155" s="77">
        <f>VLOOKUP(A155,JanApport,MATCH($AD$4,'Jan 2022 Apport'!$3:$3,0),FALSE)*VLOOKUP(A155,JanApport,MATCH($AD$3,'Jan 2022 Apport'!$3:$3,0),FALSE)</f>
        <v>102327</v>
      </c>
      <c r="AE155" s="77">
        <f>VLOOKUP(A155,JanApport,MATCH($AE$4,'Jan 2022 Apport'!$3:$3,0),FALSE)</f>
        <v>48483</v>
      </c>
      <c r="AF155" s="77">
        <f>VLOOKUP(A155,JanApport,MATCH($AF$4,'Jan 2022 Apport'!$3:$3,0),FALSE)*VLOOKUP(A155,JanApport,MATCH($AF$3,'Jan 2022 Apport'!$3:$3,0),FALSE)</f>
        <v>49453</v>
      </c>
      <c r="AG155" s="77">
        <f t="shared" si="23"/>
        <v>96432.259900000005</v>
      </c>
      <c r="AH155" s="77">
        <f t="shared" si="24"/>
        <v>137400.94330000001</v>
      </c>
      <c r="AI155" s="77">
        <f t="shared" si="25"/>
        <v>77281.189732599989</v>
      </c>
      <c r="AJ155" s="3">
        <f>VLOOKUP(A155,JanApport,MATCH($AJ$4,'Jan 2022 Apport'!$3:$3,0),FALSE)</f>
        <v>925492.34</v>
      </c>
      <c r="AK155" s="3">
        <f>VLOOKUP(A155,JanApport,MATCH($AK$4,'Jan 2022 Apport'!$3:$3,0),FALSE)</f>
        <v>14.448</v>
      </c>
      <c r="AL155" s="117">
        <f t="shared" si="26"/>
        <v>7365324.3500000006</v>
      </c>
      <c r="AM155" s="117">
        <f>VLOOKUP(A155,JanApport,MATCH($AM$4,'Jan 2022 Apport'!$3:$3,0),FALSE)</f>
        <v>10174.82</v>
      </c>
      <c r="AN155" s="117">
        <f>VLOOKUP(A155,JanApport,MATCH($AN$4,'Jan 2022 Apport'!$3:$3,0),FALSE)</f>
        <v>52381.43</v>
      </c>
    </row>
    <row r="156" spans="1:40">
      <c r="A156" s="2" t="s">
        <v>419</v>
      </c>
      <c r="B156" s="2" t="s">
        <v>420</v>
      </c>
      <c r="C156" s="2" t="s">
        <v>1267</v>
      </c>
      <c r="D156" s="118">
        <f>VLOOKUP(A156,JanApport,MATCH($D$4,'Jan 2022 Apport'!$3:$3,FALSE),FALSE)</f>
        <v>1852046.43</v>
      </c>
      <c r="E156" s="30">
        <f>VLOOKUP(A156,JanApport,MATCH($E$2,'Jan 2022 Apport'!$3:$3,0),FALSE)+VLOOKUP(A156,JanApport,MATCH($E$3,'Jan 2022 Apport'!$3:$3,0),FALSE)+VLOOKUP(A156,JanApport,MATCH($E$4,'Jan 2022 Apport'!$3:$3,0),FALSE)</f>
        <v>0</v>
      </c>
      <c r="F156" s="118">
        <f t="shared" si="27"/>
        <v>1852046.43</v>
      </c>
      <c r="G156" s="117">
        <f>VLOOKUP(A156,JanApport,MATCH($G$4,'Jan 2022 Apport'!$3:$3,0),FALSE)</f>
        <v>0</v>
      </c>
      <c r="H156" s="117">
        <f>VLOOKUP(A156,JanApport,MATCH($H$3,'Jan 2022 Apport'!$3:$3,0),FALSE)+VLOOKUP(A156,JanApport,MATCH($H$2,'Jan 2022 Apport'!$3:$3,0),FALSE)+VLOOKUP(A156,JanApport,MATCH($H$4,'Jan 2022 Apport'!$3:$3,0),FALSE)</f>
        <v>40211.050000000003</v>
      </c>
      <c r="I156" s="117">
        <f t="shared" si="28"/>
        <v>40211.050000000003</v>
      </c>
      <c r="J156" s="117">
        <f>VLOOKUP(A156,JanApport,MATCH($J$4,'Jan 2022 Apport'!$3:$3,0),FALSE)</f>
        <v>97432.8</v>
      </c>
      <c r="K156" s="117">
        <f>VLOOKUP(A156,JanApport,MATCH($K$4,'Jan 2022 Apport'!$3:$3,0),FALSE)</f>
        <v>9015.39</v>
      </c>
      <c r="L156" s="117">
        <f t="shared" si="29"/>
        <v>106448.19</v>
      </c>
      <c r="M156" s="117">
        <f>VLOOKUP(A156,JanApport,MATCH($M$4,'Jan 2022 Apport'!$3:$3,0),FALSE)</f>
        <v>13207.7</v>
      </c>
      <c r="N156" s="117">
        <f>VLOOKUP(A156,JanApport,MATCH($N$4,'Jan 2022 Apport'!$3:$3,0),FALSE)</f>
        <v>0</v>
      </c>
      <c r="O156" s="117">
        <f>VLOOKUP(A156,JanApport,MATCH($O$4,'Jan 2022 Apport'!$3:$3,0),FALSE)</f>
        <v>0</v>
      </c>
      <c r="P156" s="121">
        <f>IFERROR((VLOOKUP(A156,ExcessLevy!A:G,3,FALSE)*0.28),0)+IFERROR((VLOOKUP(A156,ExcessLevy!A:G,6,FALSE)*0.72),0)</f>
        <v>0</v>
      </c>
      <c r="Q156" s="121">
        <f>IFERROR((VLOOKUP(A156,ExcessLevy!A:G,4,FALSE)*0.4738),0)+IFERROR((VLOOKUP(A156,ExcessLevy!A:G,7,FALSE)*0.5262),0)</f>
        <v>0</v>
      </c>
      <c r="R156">
        <f>VLOOKUP(A156,JanApport,MATCH($R$4,'Jan 2022 Apport'!$3:$3,0),FALSE)</f>
        <v>0</v>
      </c>
      <c r="S156">
        <f>VLOOKUP(A156,JanApport,MATCH($S$4,'Jan 2022 Apport'!$3:$3,0),FALSE)</f>
        <v>0</v>
      </c>
      <c r="T156">
        <f>VLOOKUP(A156,JanApport,MATCH($T$4,'Jan 2022 Apport'!$3:$3,0),FALSE)</f>
        <v>0</v>
      </c>
      <c r="U156" s="132">
        <f>IFERROR(VLOOKUP(A156,JanApport,MATCH($U$4,'Jan 2022 Apport'!$3:$3,0),FALSE)/R156,0)</f>
        <v>0</v>
      </c>
      <c r="V156" s="30">
        <f>IFERROR(((VLOOKUP(A156,JanApport,MATCH($V$4,'Jan 2022 Apport'!$3:$3,0),FALSE)+VLOOKUP(A156,JanApport,MATCH($V$3,'Jan 2022 Apport'!$3:$3,0),FALSE))/(S156+T156)),0)</f>
        <v>0</v>
      </c>
      <c r="W156" s="30">
        <f t="shared" si="22"/>
        <v>8083.6246967786601</v>
      </c>
      <c r="X156">
        <f>VLOOKUP(A156,JanApport,MATCH($X$4,'Jan 2022 Apport'!$3:$3,0),FALSE)</f>
        <v>4.8578999999999997E-2</v>
      </c>
      <c r="Y156">
        <f>VLOOKUP(A156,JanApport,MATCH($Y$4,'Jan 2022 Apport'!$3:$3,0),FALSE)</f>
        <v>4.0270000000000002E-3</v>
      </c>
      <c r="Z156">
        <f>VLOOKUP(A156,JanApport,MATCH($Z$4,'Jan 2022 Apport'!$3:$3,0),FALSE)</f>
        <v>1.7100000000000001E-2</v>
      </c>
      <c r="AA156" s="77">
        <f>VLOOKUP(A156,JanApport,MATCH($AA$4,'Jan 2022 Apport'!$3:$3,0),FALSE)*VLOOKUP(A156,JanApport,MATCH($AA$3,'Jan 2022 Apport'!$3:$3,0),FALSE)</f>
        <v>67585</v>
      </c>
      <c r="AB156" s="77">
        <f>VLOOKUP(A156,JanApport,MATCH($AB$4,'Jan 2022 Apport'!$3:$3,0),FALSE)*VLOOKUP(A156,JanApport,MATCH($AB$3,'Jan 2022 Apport'!$3:$3,0),FALSE)</f>
        <v>68937</v>
      </c>
      <c r="AC156" s="77">
        <f>VLOOKUP(A156,JanApport,MATCH($AC$4,'Jan 2022 Apport'!$3:$3,0),FALSE)</f>
        <v>100321</v>
      </c>
      <c r="AD156" s="77">
        <f>VLOOKUP(A156,JanApport,MATCH($AD$4,'Jan 2022 Apport'!$3:$3,0),FALSE)*VLOOKUP(A156,JanApport,MATCH($AD$3,'Jan 2022 Apport'!$3:$3,0),FALSE)</f>
        <v>102327</v>
      </c>
      <c r="AE156" s="77">
        <f>VLOOKUP(A156,JanApport,MATCH($AE$4,'Jan 2022 Apport'!$3:$3,0),FALSE)</f>
        <v>48483</v>
      </c>
      <c r="AF156" s="77">
        <f>VLOOKUP(A156,JanApport,MATCH($AF$4,'Jan 2022 Apport'!$3:$3,0),FALSE)*VLOOKUP(A156,JanApport,MATCH($AF$3,'Jan 2022 Apport'!$3:$3,0),FALSE)</f>
        <v>49453</v>
      </c>
      <c r="AG156" s="77">
        <f t="shared" si="23"/>
        <v>96432.259900000005</v>
      </c>
      <c r="AH156" s="77">
        <f t="shared" si="24"/>
        <v>137400.94330000001</v>
      </c>
      <c r="AI156" s="77">
        <f t="shared" si="25"/>
        <v>77281.189732599989</v>
      </c>
      <c r="AJ156" s="3">
        <f>VLOOKUP(A156,JanApport,MATCH($AJ$4,'Jan 2022 Apport'!$3:$3,0),FALSE)</f>
        <v>179659.65</v>
      </c>
      <c r="AK156" s="3">
        <f>VLOOKUP(A156,JanApport,MATCH($AK$4,'Jan 2022 Apport'!$3:$3,0),FALSE)</f>
        <v>0.69799999999999995</v>
      </c>
      <c r="AL156" s="117">
        <f t="shared" si="26"/>
        <v>1972274.75</v>
      </c>
      <c r="AM156" s="117">
        <f>VLOOKUP(A156,JanApport,MATCH($AM$4,'Jan 2022 Apport'!$3:$3,0),FALSE)</f>
        <v>9587.82</v>
      </c>
      <c r="AN156" s="117">
        <f>VLOOKUP(A156,JanApport,MATCH($AN$4,'Jan 2022 Apport'!$3:$3,0),FALSE)</f>
        <v>17374.46</v>
      </c>
    </row>
    <row r="157" spans="1:40">
      <c r="A157" s="2" t="s">
        <v>437</v>
      </c>
      <c r="B157" s="2" t="s">
        <v>438</v>
      </c>
      <c r="C157" s="2" t="s">
        <v>1267</v>
      </c>
      <c r="D157" s="118">
        <f>VLOOKUP(A157,JanApport,MATCH($D$4,'Jan 2022 Apport'!$3:$3,FALSE),FALSE)</f>
        <v>55948367.340000004</v>
      </c>
      <c r="E157" s="30">
        <f>VLOOKUP(A157,JanApport,MATCH($E$2,'Jan 2022 Apport'!$3:$3,0),FALSE)+VLOOKUP(A157,JanApport,MATCH($E$3,'Jan 2022 Apport'!$3:$3,0),FALSE)+VLOOKUP(A157,JanApport,MATCH($E$4,'Jan 2022 Apport'!$3:$3,0),FALSE)</f>
        <v>4617401.0200000005</v>
      </c>
      <c r="F157" s="118">
        <f t="shared" si="27"/>
        <v>51330966.32</v>
      </c>
      <c r="G157" s="117">
        <f>VLOOKUP(A157,JanApport,MATCH($G$4,'Jan 2022 Apport'!$3:$3,0),FALSE)</f>
        <v>321371.61</v>
      </c>
      <c r="H157" s="117">
        <f>VLOOKUP(A157,JanApport,MATCH($H$3,'Jan 2022 Apport'!$3:$3,0),FALSE)+VLOOKUP(A157,JanApport,MATCH($H$2,'Jan 2022 Apport'!$3:$3,0),FALSE)+VLOOKUP(A157,JanApport,MATCH($H$4,'Jan 2022 Apport'!$3:$3,0),FALSE)</f>
        <v>6838685.9399999995</v>
      </c>
      <c r="I157" s="117">
        <f t="shared" si="28"/>
        <v>7160057.5499999998</v>
      </c>
      <c r="J157" s="117">
        <f>VLOOKUP(A157,JanApport,MATCH($J$4,'Jan 2022 Apport'!$3:$3,0),FALSE)</f>
        <v>3184750.02</v>
      </c>
      <c r="K157" s="117">
        <f>VLOOKUP(A157,JanApport,MATCH($K$4,'Jan 2022 Apport'!$3:$3,0),FALSE)</f>
        <v>451727.07</v>
      </c>
      <c r="L157" s="117">
        <f t="shared" si="29"/>
        <v>3636477.09</v>
      </c>
      <c r="M157" s="117">
        <f>VLOOKUP(A157,JanApport,MATCH($M$4,'Jan 2022 Apport'!$3:$3,0),FALSE)</f>
        <v>1177428.5900000001</v>
      </c>
      <c r="N157" s="117">
        <f>VLOOKUP(A157,JanApport,MATCH($N$4,'Jan 2022 Apport'!$3:$3,0),FALSE)</f>
        <v>1200430.99</v>
      </c>
      <c r="O157" s="117">
        <f>VLOOKUP(A157,JanApport,MATCH($O$4,'Jan 2022 Apport'!$3:$3,0),FALSE)</f>
        <v>189005</v>
      </c>
      <c r="P157" s="121">
        <f>IFERROR((VLOOKUP(A157,ExcessLevy!A:G,3,FALSE)*0.28),0)+IFERROR((VLOOKUP(A157,ExcessLevy!A:G,6,FALSE)*0.72),0)</f>
        <v>0</v>
      </c>
      <c r="Q157" s="121">
        <f>IFERROR((VLOOKUP(A157,ExcessLevy!A:G,4,FALSE)*0.4738),0)+IFERROR((VLOOKUP(A157,ExcessLevy!A:G,7,FALSE)*0.5262),0)</f>
        <v>14768347.1566</v>
      </c>
      <c r="R157">
        <f>VLOOKUP(A157,JanApport,MATCH($R$4,'Jan 2022 Apport'!$3:$3,0),FALSE)</f>
        <v>0</v>
      </c>
      <c r="S157">
        <f>VLOOKUP(A157,JanApport,MATCH($S$4,'Jan 2022 Apport'!$3:$3,0),FALSE)</f>
        <v>74.430000000000007</v>
      </c>
      <c r="T157">
        <f>VLOOKUP(A157,JanApport,MATCH($T$4,'Jan 2022 Apport'!$3:$3,0),FALSE)</f>
        <v>384.65</v>
      </c>
      <c r="U157" s="132">
        <f>IFERROR(VLOOKUP(A157,JanApport,MATCH($U$4,'Jan 2022 Apport'!$3:$3,0),FALSE)/R157,0)</f>
        <v>0</v>
      </c>
      <c r="V157" s="30">
        <f>IFERROR(((VLOOKUP(A157,JanApport,MATCH($V$4,'Jan 2022 Apport'!$3:$3,0),FALSE)+VLOOKUP(A157,JanApport,MATCH($V$3,'Jan 2022 Apport'!$3:$3,0),FALSE))/(S157+T157)),0)</f>
        <v>10057.944192733294</v>
      </c>
      <c r="W157" s="30">
        <f t="shared" si="22"/>
        <v>8983.3190756045569</v>
      </c>
      <c r="X157">
        <f>VLOOKUP(A157,JanApport,MATCH($X$4,'Jan 2022 Apport'!$3:$3,0),FALSE)</f>
        <v>4.8578999999999997E-2</v>
      </c>
      <c r="Y157">
        <f>VLOOKUP(A157,JanApport,MATCH($Y$4,'Jan 2022 Apport'!$3:$3,0),FALSE)</f>
        <v>4.0270000000000002E-3</v>
      </c>
      <c r="Z157">
        <f>VLOOKUP(A157,JanApport,MATCH($Z$4,'Jan 2022 Apport'!$3:$3,0),FALSE)</f>
        <v>1.7100000000000001E-2</v>
      </c>
      <c r="AA157" s="77">
        <f>VLOOKUP(A157,JanApport,MATCH($AA$4,'Jan 2022 Apport'!$3:$3,0),FALSE)*VLOOKUP(A157,JanApport,MATCH($AA$3,'Jan 2022 Apport'!$3:$3,0),FALSE)</f>
        <v>79750.3</v>
      </c>
      <c r="AB157" s="77">
        <f>VLOOKUP(A157,JanApport,MATCH($AB$4,'Jan 2022 Apport'!$3:$3,0),FALSE)*VLOOKUP(A157,JanApport,MATCH($AB$3,'Jan 2022 Apport'!$3:$3,0),FALSE)</f>
        <v>79966.92</v>
      </c>
      <c r="AC157" s="77">
        <f>VLOOKUP(A157,JanApport,MATCH($AC$4,'Jan 2022 Apport'!$3:$3,0),FALSE)</f>
        <v>100321</v>
      </c>
      <c r="AD157" s="77">
        <f>VLOOKUP(A157,JanApport,MATCH($AD$4,'Jan 2022 Apport'!$3:$3,0),FALSE)*VLOOKUP(A157,JanApport,MATCH($AD$3,'Jan 2022 Apport'!$3:$3,0),FALSE)</f>
        <v>118699.31999999999</v>
      </c>
      <c r="AE157" s="77">
        <f>VLOOKUP(A157,JanApport,MATCH($AE$4,'Jan 2022 Apport'!$3:$3,0),FALSE)</f>
        <v>48483</v>
      </c>
      <c r="AF157" s="77">
        <f>VLOOKUP(A157,JanApport,MATCH($AF$4,'Jan 2022 Apport'!$3:$3,0),FALSE)*VLOOKUP(A157,JanApport,MATCH($AF$3,'Jan 2022 Apport'!$3:$3,0),FALSE)</f>
        <v>57365.479999999996</v>
      </c>
      <c r="AG157" s="77">
        <f t="shared" si="23"/>
        <v>109974.34116400001</v>
      </c>
      <c r="AH157" s="77">
        <f t="shared" si="24"/>
        <v>157386.63432400001</v>
      </c>
      <c r="AI157" s="77">
        <f t="shared" si="25"/>
        <v>86716.934489815991</v>
      </c>
      <c r="AJ157" s="3">
        <f>VLOOKUP(A157,JanApport,MATCH($AJ$4,'Jan 2022 Apport'!$3:$3,0),FALSE)</f>
        <v>6202714.5199999996</v>
      </c>
      <c r="AK157" s="3">
        <f>VLOOKUP(A157,JanApport,MATCH($AK$4,'Jan 2022 Apport'!$3:$3,0),FALSE)</f>
        <v>92.36</v>
      </c>
      <c r="AL157" s="117">
        <f t="shared" si="26"/>
        <v>69041339.250000015</v>
      </c>
      <c r="AM157" s="117">
        <f>VLOOKUP(A157,JanApport,MATCH($AM$4,'Jan 2022 Apport'!$3:$3,0),FALSE)</f>
        <v>181299.76</v>
      </c>
      <c r="AN157" s="117">
        <f>VLOOKUP(A157,JanApport,MATCH($AN$4,'Jan 2022 Apport'!$3:$3,0),FALSE)</f>
        <v>396421.71</v>
      </c>
    </row>
    <row r="158" spans="1:40">
      <c r="A158" s="2" t="s">
        <v>149</v>
      </c>
      <c r="B158" s="2" t="s">
        <v>150</v>
      </c>
      <c r="C158" s="2" t="s">
        <v>1267</v>
      </c>
      <c r="D158" s="118">
        <f>VLOOKUP(A158,JanApport,MATCH($D$4,'Jan 2022 Apport'!$3:$3,FALSE),FALSE)</f>
        <v>12096551.66</v>
      </c>
      <c r="E158" s="30">
        <f>VLOOKUP(A158,JanApport,MATCH($E$2,'Jan 2022 Apport'!$3:$3,0),FALSE)+VLOOKUP(A158,JanApport,MATCH($E$3,'Jan 2022 Apport'!$3:$3,0),FALSE)+VLOOKUP(A158,JanApport,MATCH($E$4,'Jan 2022 Apport'!$3:$3,0),FALSE)</f>
        <v>1532417.49</v>
      </c>
      <c r="F158" s="118">
        <f t="shared" si="27"/>
        <v>10564134.17</v>
      </c>
      <c r="G158" s="117">
        <f>VLOOKUP(A158,JanApport,MATCH($G$4,'Jan 2022 Apport'!$3:$3,0),FALSE)</f>
        <v>244404.66</v>
      </c>
      <c r="H158" s="117">
        <f>VLOOKUP(A158,JanApport,MATCH($H$3,'Jan 2022 Apport'!$3:$3,0),FALSE)+VLOOKUP(A158,JanApport,MATCH($H$2,'Jan 2022 Apport'!$3:$3,0),FALSE)+VLOOKUP(A158,JanApport,MATCH($H$4,'Jan 2022 Apport'!$3:$3,0),FALSE)</f>
        <v>1603479.29</v>
      </c>
      <c r="I158" s="117">
        <f t="shared" si="28"/>
        <v>1847883.95</v>
      </c>
      <c r="J158" s="117">
        <f>VLOOKUP(A158,JanApport,MATCH($J$4,'Jan 2022 Apport'!$3:$3,0),FALSE)</f>
        <v>596558.30000000005</v>
      </c>
      <c r="K158" s="117">
        <f>VLOOKUP(A158,JanApport,MATCH($K$4,'Jan 2022 Apport'!$3:$3,0),FALSE)</f>
        <v>102507.7</v>
      </c>
      <c r="L158" s="117">
        <f t="shared" si="29"/>
        <v>699066</v>
      </c>
      <c r="M158" s="117">
        <f>VLOOKUP(A158,JanApport,MATCH($M$4,'Jan 2022 Apport'!$3:$3,0),FALSE)</f>
        <v>297695.40999999997</v>
      </c>
      <c r="N158" s="117">
        <f>VLOOKUP(A158,JanApport,MATCH($N$4,'Jan 2022 Apport'!$3:$3,0),FALSE)</f>
        <v>42325.4</v>
      </c>
      <c r="O158" s="117">
        <f>VLOOKUP(A158,JanApport,MATCH($O$4,'Jan 2022 Apport'!$3:$3,0),FALSE)</f>
        <v>39490.21</v>
      </c>
      <c r="P158" s="121">
        <f>IFERROR((VLOOKUP(A158,ExcessLevy!A:G,3,FALSE)*0.28),0)+IFERROR((VLOOKUP(A158,ExcessLevy!A:G,6,FALSE)*0.72),0)</f>
        <v>841361.72</v>
      </c>
      <c r="Q158" s="121">
        <f>IFERROR((VLOOKUP(A158,ExcessLevy!A:G,4,FALSE)*0.4738),0)+IFERROR((VLOOKUP(A158,ExcessLevy!A:G,7,FALSE)*0.5262),0)</f>
        <v>2237008.9715999998</v>
      </c>
      <c r="R158">
        <f>VLOOKUP(A158,JanApport,MATCH($R$4,'Jan 2022 Apport'!$3:$3,0),FALSE)</f>
        <v>0</v>
      </c>
      <c r="S158">
        <f>VLOOKUP(A158,JanApport,MATCH($S$4,'Jan 2022 Apport'!$3:$3,0),FALSE)</f>
        <v>21.92</v>
      </c>
      <c r="T158">
        <f>VLOOKUP(A158,JanApport,MATCH($T$4,'Jan 2022 Apport'!$3:$3,0),FALSE)</f>
        <v>146.30000000000001</v>
      </c>
      <c r="U158" s="132">
        <f>IFERROR(VLOOKUP(A158,JanApport,MATCH($U$4,'Jan 2022 Apport'!$3:$3,0),FALSE)/R158,0)</f>
        <v>0</v>
      </c>
      <c r="V158" s="30">
        <f>IFERROR(((VLOOKUP(A158,JanApport,MATCH($V$4,'Jan 2022 Apport'!$3:$3,0),FALSE)+VLOOKUP(A158,JanApport,MATCH($V$3,'Jan 2022 Apport'!$3:$3,0),FALSE))/(S158+T158)),0)</f>
        <v>9109.6034359766963</v>
      </c>
      <c r="W158" s="30">
        <f t="shared" si="22"/>
        <v>8083.6246967786601</v>
      </c>
      <c r="X158">
        <f>VLOOKUP(A158,JanApport,MATCH($X$4,'Jan 2022 Apport'!$3:$3,0),FALSE)</f>
        <v>4.8578999999999997E-2</v>
      </c>
      <c r="Y158">
        <f>VLOOKUP(A158,JanApport,MATCH($Y$4,'Jan 2022 Apport'!$3:$3,0),FALSE)</f>
        <v>4.0270000000000002E-3</v>
      </c>
      <c r="Z158">
        <f>VLOOKUP(A158,JanApport,MATCH($Z$4,'Jan 2022 Apport'!$3:$3,0),FALSE)</f>
        <v>1.7100000000000001E-2</v>
      </c>
      <c r="AA158" s="77">
        <f>VLOOKUP(A158,JanApport,MATCH($AA$4,'Jan 2022 Apport'!$3:$3,0),FALSE)*VLOOKUP(A158,JanApport,MATCH($AA$3,'Jan 2022 Apport'!$3:$3,0),FALSE)</f>
        <v>67585</v>
      </c>
      <c r="AB158" s="77">
        <f>VLOOKUP(A158,JanApport,MATCH($AB$4,'Jan 2022 Apport'!$3:$3,0),FALSE)*VLOOKUP(A158,JanApport,MATCH($AB$3,'Jan 2022 Apport'!$3:$3,0),FALSE)</f>
        <v>68937</v>
      </c>
      <c r="AC158" s="77">
        <f>VLOOKUP(A158,JanApport,MATCH($AC$4,'Jan 2022 Apport'!$3:$3,0),FALSE)</f>
        <v>100321</v>
      </c>
      <c r="AD158" s="77">
        <f>VLOOKUP(A158,JanApport,MATCH($AD$4,'Jan 2022 Apport'!$3:$3,0),FALSE)*VLOOKUP(A158,JanApport,MATCH($AD$3,'Jan 2022 Apport'!$3:$3,0),FALSE)</f>
        <v>102327</v>
      </c>
      <c r="AE158" s="77">
        <f>VLOOKUP(A158,JanApport,MATCH($AE$4,'Jan 2022 Apport'!$3:$3,0),FALSE)</f>
        <v>48483</v>
      </c>
      <c r="AF158" s="77">
        <f>VLOOKUP(A158,JanApport,MATCH($AF$4,'Jan 2022 Apport'!$3:$3,0),FALSE)*VLOOKUP(A158,JanApport,MATCH($AF$3,'Jan 2022 Apport'!$3:$3,0),FALSE)</f>
        <v>49453</v>
      </c>
      <c r="AG158" s="77">
        <f t="shared" si="23"/>
        <v>96432.259900000005</v>
      </c>
      <c r="AH158" s="77">
        <f t="shared" si="24"/>
        <v>137400.94330000001</v>
      </c>
      <c r="AI158" s="77">
        <f t="shared" si="25"/>
        <v>77281.189732599989</v>
      </c>
      <c r="AJ158" s="3">
        <f>VLOOKUP(A158,JanApport,MATCH($AJ$4,'Jan 2022 Apport'!$3:$3,0),FALSE)</f>
        <v>1575986.1</v>
      </c>
      <c r="AK158" s="3">
        <f>VLOOKUP(A158,JanApport,MATCH($AK$4,'Jan 2022 Apport'!$3:$3,0),FALSE)</f>
        <v>24.539000000000001</v>
      </c>
      <c r="AL158" s="117">
        <f t="shared" si="26"/>
        <v>14920504.930000002</v>
      </c>
      <c r="AM158" s="117">
        <f>VLOOKUP(A158,JanApport,MATCH($AM$4,'Jan 2022 Apport'!$3:$3,0),FALSE)</f>
        <v>0</v>
      </c>
      <c r="AN158" s="117">
        <f>VLOOKUP(A158,JanApport,MATCH($AN$4,'Jan 2022 Apport'!$3:$3,0),FALSE)</f>
        <v>89951.89</v>
      </c>
    </row>
    <row r="159" spans="1:40">
      <c r="A159" s="2" t="s">
        <v>277</v>
      </c>
      <c r="B159" s="2" t="s">
        <v>278</v>
      </c>
      <c r="C159" s="2" t="s">
        <v>1267</v>
      </c>
      <c r="D159" s="118">
        <f>VLOOKUP(A159,JanApport,MATCH($D$4,'Jan 2022 Apport'!$3:$3,FALSE),FALSE)</f>
        <v>4060902.84</v>
      </c>
      <c r="E159" s="30">
        <f>VLOOKUP(A159,JanApport,MATCH($E$2,'Jan 2022 Apport'!$3:$3,0),FALSE)+VLOOKUP(A159,JanApport,MATCH($E$3,'Jan 2022 Apport'!$3:$3,0),FALSE)+VLOOKUP(A159,JanApport,MATCH($E$4,'Jan 2022 Apport'!$3:$3,0),FALSE)</f>
        <v>733850.37</v>
      </c>
      <c r="F159" s="118">
        <f t="shared" si="27"/>
        <v>3327052.4699999997</v>
      </c>
      <c r="G159" s="117">
        <f>VLOOKUP(A159,JanApport,MATCH($G$4,'Jan 2022 Apport'!$3:$3,0),FALSE)</f>
        <v>39960.379999999997</v>
      </c>
      <c r="H159" s="117">
        <f>VLOOKUP(A159,JanApport,MATCH($H$3,'Jan 2022 Apport'!$3:$3,0),FALSE)+VLOOKUP(A159,JanApport,MATCH($H$2,'Jan 2022 Apport'!$3:$3,0),FALSE)+VLOOKUP(A159,JanApport,MATCH($H$4,'Jan 2022 Apport'!$3:$3,0),FALSE)</f>
        <v>386879.89</v>
      </c>
      <c r="I159" s="117">
        <f t="shared" si="28"/>
        <v>426840.27</v>
      </c>
      <c r="J159" s="117">
        <f>VLOOKUP(A159,JanApport,MATCH($J$4,'Jan 2022 Apport'!$3:$3,0),FALSE)</f>
        <v>254220.19</v>
      </c>
      <c r="K159" s="117">
        <f>VLOOKUP(A159,JanApport,MATCH($K$4,'Jan 2022 Apport'!$3:$3,0),FALSE)</f>
        <v>57979.85</v>
      </c>
      <c r="L159" s="117">
        <f t="shared" si="29"/>
        <v>312200.03999999998</v>
      </c>
      <c r="M159" s="117">
        <f>VLOOKUP(A159,JanApport,MATCH($M$4,'Jan 2022 Apport'!$3:$3,0),FALSE)</f>
        <v>108694.44</v>
      </c>
      <c r="N159" s="117">
        <f>VLOOKUP(A159,JanApport,MATCH($N$4,'Jan 2022 Apport'!$3:$3,0),FALSE)</f>
        <v>0</v>
      </c>
      <c r="O159" s="117">
        <f>VLOOKUP(A159,JanApport,MATCH($O$4,'Jan 2022 Apport'!$3:$3,0),FALSE)</f>
        <v>10761.82</v>
      </c>
      <c r="P159" s="121">
        <f>IFERROR((VLOOKUP(A159,ExcessLevy!A:G,3,FALSE)*0.28),0)+IFERROR((VLOOKUP(A159,ExcessLevy!A:G,6,FALSE)*0.72),0)</f>
        <v>0</v>
      </c>
      <c r="Q159" s="121">
        <f>IFERROR((VLOOKUP(A159,ExcessLevy!A:G,4,FALSE)*0.4738),0)+IFERROR((VLOOKUP(A159,ExcessLevy!A:G,7,FALSE)*0.5262),0)</f>
        <v>920733.33239999996</v>
      </c>
      <c r="R159">
        <f>VLOOKUP(A159,JanApport,MATCH($R$4,'Jan 2022 Apport'!$3:$3,0),FALSE)</f>
        <v>0</v>
      </c>
      <c r="S159">
        <f>VLOOKUP(A159,JanApport,MATCH($S$4,'Jan 2022 Apport'!$3:$3,0),FALSE)</f>
        <v>26.31</v>
      </c>
      <c r="T159">
        <f>VLOOKUP(A159,JanApport,MATCH($T$4,'Jan 2022 Apport'!$3:$3,0),FALSE)</f>
        <v>55.96</v>
      </c>
      <c r="U159" s="132">
        <f>IFERROR(VLOOKUP(A159,JanApport,MATCH($U$4,'Jan 2022 Apport'!$3:$3,0),FALSE)/R159,0)</f>
        <v>0</v>
      </c>
      <c r="V159" s="30">
        <f>IFERROR(((VLOOKUP(A159,JanApport,MATCH($V$4,'Jan 2022 Apport'!$3:$3,0),FALSE)+VLOOKUP(A159,JanApport,MATCH($V$3,'Jan 2022 Apport'!$3:$3,0),FALSE))/(S159+T159)),0)</f>
        <v>8920.0239455451574</v>
      </c>
      <c r="W159" s="30">
        <f t="shared" si="22"/>
        <v>8083.6246967786601</v>
      </c>
      <c r="X159">
        <f>VLOOKUP(A159,JanApport,MATCH($X$4,'Jan 2022 Apport'!$3:$3,0),FALSE)</f>
        <v>4.8578999999999997E-2</v>
      </c>
      <c r="Y159">
        <f>VLOOKUP(A159,JanApport,MATCH($Y$4,'Jan 2022 Apport'!$3:$3,0),FALSE)</f>
        <v>4.0270000000000002E-3</v>
      </c>
      <c r="Z159">
        <f>VLOOKUP(A159,JanApport,MATCH($Z$4,'Jan 2022 Apport'!$3:$3,0),FALSE)</f>
        <v>1.7100000000000001E-2</v>
      </c>
      <c r="AA159" s="77">
        <f>VLOOKUP(A159,JanApport,MATCH($AA$4,'Jan 2022 Apport'!$3:$3,0),FALSE)*VLOOKUP(A159,JanApport,MATCH($AA$3,'Jan 2022 Apport'!$3:$3,0),FALSE)</f>
        <v>67585</v>
      </c>
      <c r="AB159" s="77">
        <f>VLOOKUP(A159,JanApport,MATCH($AB$4,'Jan 2022 Apport'!$3:$3,0),FALSE)*VLOOKUP(A159,JanApport,MATCH($AB$3,'Jan 2022 Apport'!$3:$3,0),FALSE)</f>
        <v>68937</v>
      </c>
      <c r="AC159" s="77">
        <f>VLOOKUP(A159,JanApport,MATCH($AC$4,'Jan 2022 Apport'!$3:$3,0),FALSE)</f>
        <v>100321</v>
      </c>
      <c r="AD159" s="77">
        <f>VLOOKUP(A159,JanApport,MATCH($AD$4,'Jan 2022 Apport'!$3:$3,0),FALSE)*VLOOKUP(A159,JanApport,MATCH($AD$3,'Jan 2022 Apport'!$3:$3,0),FALSE)</f>
        <v>102327</v>
      </c>
      <c r="AE159" s="77">
        <f>VLOOKUP(A159,JanApport,MATCH($AE$4,'Jan 2022 Apport'!$3:$3,0),FALSE)</f>
        <v>48483</v>
      </c>
      <c r="AF159" s="77">
        <f>VLOOKUP(A159,JanApport,MATCH($AF$4,'Jan 2022 Apport'!$3:$3,0),FALSE)*VLOOKUP(A159,JanApport,MATCH($AF$3,'Jan 2022 Apport'!$3:$3,0),FALSE)</f>
        <v>49453</v>
      </c>
      <c r="AG159" s="77">
        <f t="shared" si="23"/>
        <v>96432.259900000005</v>
      </c>
      <c r="AH159" s="77">
        <f t="shared" si="24"/>
        <v>137400.94330000001</v>
      </c>
      <c r="AI159" s="77">
        <f t="shared" si="25"/>
        <v>77281.189732599989</v>
      </c>
      <c r="AJ159" s="3">
        <f>VLOOKUP(A159,JanApport,MATCH($AJ$4,'Jan 2022 Apport'!$3:$3,0),FALSE)</f>
        <v>467743.22</v>
      </c>
      <c r="AK159" s="3">
        <f>VLOOKUP(A159,JanApport,MATCH($AK$4,'Jan 2022 Apport'!$3:$3,0),FALSE)</f>
        <v>8.4659999999999993</v>
      </c>
      <c r="AL159" s="117">
        <f t="shared" si="26"/>
        <v>4952112.3999999985</v>
      </c>
      <c r="AM159" s="117">
        <f>VLOOKUP(A159,JanApport,MATCH($AM$4,'Jan 2022 Apport'!$3:$3,0),FALSE)</f>
        <v>90692.84</v>
      </c>
      <c r="AN159" s="117">
        <f>VLOOKUP(A159,JanApport,MATCH($AN$4,'Jan 2022 Apport'!$3:$3,0),FALSE)</f>
        <v>29521.71</v>
      </c>
    </row>
    <row r="160" spans="1:40">
      <c r="A160" s="2" t="s">
        <v>133</v>
      </c>
      <c r="B160" s="2" t="s">
        <v>134</v>
      </c>
      <c r="C160" s="2" t="s">
        <v>1267</v>
      </c>
      <c r="D160" s="118">
        <f>VLOOKUP(A160,JanApport,MATCH($D$4,'Jan 2022 Apport'!$3:$3,FALSE),FALSE)</f>
        <v>75826792.230000004</v>
      </c>
      <c r="E160" s="30">
        <f>VLOOKUP(A160,JanApport,MATCH($E$2,'Jan 2022 Apport'!$3:$3,0),FALSE)+VLOOKUP(A160,JanApport,MATCH($E$3,'Jan 2022 Apport'!$3:$3,0),FALSE)+VLOOKUP(A160,JanApport,MATCH($E$4,'Jan 2022 Apport'!$3:$3,0),FALSE)</f>
        <v>6314674.3799999999</v>
      </c>
      <c r="F160" s="118">
        <f t="shared" si="27"/>
        <v>69512117.850000009</v>
      </c>
      <c r="G160" s="117">
        <f>VLOOKUP(A160,JanApport,MATCH($G$4,'Jan 2022 Apport'!$3:$3,0),FALSE)</f>
        <v>1066922.8999999999</v>
      </c>
      <c r="H160" s="117">
        <f>VLOOKUP(A160,JanApport,MATCH($H$3,'Jan 2022 Apport'!$3:$3,0),FALSE)+VLOOKUP(A160,JanApport,MATCH($H$2,'Jan 2022 Apport'!$3:$3,0),FALSE)+VLOOKUP(A160,JanApport,MATCH($H$4,'Jan 2022 Apport'!$3:$3,0),FALSE)</f>
        <v>9963354.1999999993</v>
      </c>
      <c r="I160" s="117">
        <f t="shared" si="28"/>
        <v>11030277.1</v>
      </c>
      <c r="J160" s="117">
        <f>VLOOKUP(A160,JanApport,MATCH($J$4,'Jan 2022 Apport'!$3:$3,0),FALSE)</f>
        <v>4261555.22</v>
      </c>
      <c r="K160" s="117">
        <f>VLOOKUP(A160,JanApport,MATCH($K$4,'Jan 2022 Apport'!$3:$3,0),FALSE)</f>
        <v>504424.58</v>
      </c>
      <c r="L160" s="117">
        <f t="shared" si="29"/>
        <v>4765979.8</v>
      </c>
      <c r="M160" s="117">
        <f>VLOOKUP(A160,JanApport,MATCH($M$4,'Jan 2022 Apport'!$3:$3,0),FALSE)</f>
        <v>3361494.63</v>
      </c>
      <c r="N160" s="117">
        <f>VLOOKUP(A160,JanApport,MATCH($N$4,'Jan 2022 Apport'!$3:$3,0),FALSE)</f>
        <v>1898588.22</v>
      </c>
      <c r="O160" s="117">
        <f>VLOOKUP(A160,JanApport,MATCH($O$4,'Jan 2022 Apport'!$3:$3,0),FALSE)</f>
        <v>243969.63</v>
      </c>
      <c r="P160" s="121">
        <f>IFERROR((VLOOKUP(A160,ExcessLevy!A:G,3,FALSE)*0.28),0)+IFERROR((VLOOKUP(A160,ExcessLevy!A:G,6,FALSE)*0.72),0)</f>
        <v>6221980.1336000003</v>
      </c>
      <c r="Q160" s="121">
        <f>IFERROR((VLOOKUP(A160,ExcessLevy!A:G,4,FALSE)*0.4738),0)+IFERROR((VLOOKUP(A160,ExcessLevy!A:G,7,FALSE)*0.5262),0)</f>
        <v>7026942.8437999999</v>
      </c>
      <c r="R160">
        <f>VLOOKUP(A160,JanApport,MATCH($R$4,'Jan 2022 Apport'!$3:$3,0),FALSE)</f>
        <v>210</v>
      </c>
      <c r="S160">
        <f>VLOOKUP(A160,JanApport,MATCH($S$4,'Jan 2022 Apport'!$3:$3,0),FALSE)</f>
        <v>33.65</v>
      </c>
      <c r="T160">
        <f>VLOOKUP(A160,JanApport,MATCH($T$4,'Jan 2022 Apport'!$3:$3,0),FALSE)</f>
        <v>416.27</v>
      </c>
      <c r="U160" s="132">
        <f>IFERROR(VLOOKUP(A160,JanApport,MATCH($U$4,'Jan 2022 Apport'!$3:$3,0),FALSE)/R160,0)</f>
        <v>10412.706095238094</v>
      </c>
      <c r="V160" s="30">
        <f>IFERROR(((VLOOKUP(A160,JanApport,MATCH($V$4,'Jan 2022 Apport'!$3:$3,0),FALSE)+VLOOKUP(A160,JanApport,MATCH($V$3,'Jan 2022 Apport'!$3:$3,0),FALSE))/(S160+T160)),0)</f>
        <v>9174.9779960881951</v>
      </c>
      <c r="W160" s="30">
        <f t="shared" si="22"/>
        <v>8084.4651989777003</v>
      </c>
      <c r="X160">
        <f>VLOOKUP(A160,JanApport,MATCH($X$4,'Jan 2022 Apport'!$3:$3,0),FALSE)</f>
        <v>4.8578999999999997E-2</v>
      </c>
      <c r="Y160">
        <f>VLOOKUP(A160,JanApport,MATCH($Y$4,'Jan 2022 Apport'!$3:$3,0),FALSE)</f>
        <v>4.0270000000000002E-3</v>
      </c>
      <c r="Z160">
        <f>VLOOKUP(A160,JanApport,MATCH($Z$4,'Jan 2022 Apport'!$3:$3,0),FALSE)</f>
        <v>1.7100000000000001E-2</v>
      </c>
      <c r="AA160" s="77">
        <f>VLOOKUP(A160,JanApport,MATCH($AA$4,'Jan 2022 Apport'!$3:$3,0),FALSE)*VLOOKUP(A160,JanApport,MATCH($AA$3,'Jan 2022 Apport'!$3:$3,0),FALSE)</f>
        <v>70288.400000000009</v>
      </c>
      <c r="AB160" s="77">
        <f>VLOOKUP(A160,JanApport,MATCH($AB$4,'Jan 2022 Apport'!$3:$3,0),FALSE)*VLOOKUP(A160,JanApport,MATCH($AB$3,'Jan 2022 Apport'!$3:$3,0),FALSE)</f>
        <v>68937</v>
      </c>
      <c r="AC160" s="77">
        <f>VLOOKUP(A160,JanApport,MATCH($AC$4,'Jan 2022 Apport'!$3:$3,0),FALSE)</f>
        <v>100321</v>
      </c>
      <c r="AD160" s="77">
        <f>VLOOKUP(A160,JanApport,MATCH($AD$4,'Jan 2022 Apport'!$3:$3,0),FALSE)*VLOOKUP(A160,JanApport,MATCH($AD$3,'Jan 2022 Apport'!$3:$3,0),FALSE)</f>
        <v>102327</v>
      </c>
      <c r="AE160" s="77">
        <f>VLOOKUP(A160,JanApport,MATCH($AE$4,'Jan 2022 Apport'!$3:$3,0),FALSE)</f>
        <v>48483</v>
      </c>
      <c r="AF160" s="77">
        <f>VLOOKUP(A160,JanApport,MATCH($AF$4,'Jan 2022 Apport'!$3:$3,0),FALSE)*VLOOKUP(A160,JanApport,MATCH($AF$3,'Jan 2022 Apport'!$3:$3,0),FALSE)</f>
        <v>49453</v>
      </c>
      <c r="AG160" s="77">
        <f t="shared" si="23"/>
        <v>96449.561660000007</v>
      </c>
      <c r="AH160" s="77">
        <f t="shared" si="24"/>
        <v>137400.94330000001</v>
      </c>
      <c r="AI160" s="77">
        <f t="shared" si="25"/>
        <v>77281.189732599989</v>
      </c>
      <c r="AJ160" s="3">
        <f>VLOOKUP(A160,JanApport,MATCH($AJ$4,'Jan 2022 Apport'!$3:$3,0),FALSE)</f>
        <v>10032385.470000001</v>
      </c>
      <c r="AK160" s="3">
        <f>VLOOKUP(A160,JanApport,MATCH($AK$4,'Jan 2022 Apport'!$3:$3,0),FALSE)</f>
        <v>172.255</v>
      </c>
      <c r="AL160" s="117">
        <f t="shared" si="26"/>
        <v>98860128.849999979</v>
      </c>
      <c r="AM160" s="117">
        <f>VLOOKUP(A160,JanApport,MATCH($AM$4,'Jan 2022 Apport'!$3:$3,0),FALSE)</f>
        <v>2237451.8199999998</v>
      </c>
      <c r="AN160" s="117">
        <f>VLOOKUP(A160,JanApport,MATCH($AN$4,'Jan 2022 Apport'!$3:$3,0),FALSE)</f>
        <v>583351.94999999995</v>
      </c>
    </row>
    <row r="161" spans="1:40">
      <c r="A161" s="2" t="s">
        <v>275</v>
      </c>
      <c r="B161" s="2" t="s">
        <v>276</v>
      </c>
      <c r="C161" s="2" t="s">
        <v>1267</v>
      </c>
      <c r="D161" s="118">
        <f>VLOOKUP(A161,JanApport,MATCH($D$4,'Jan 2022 Apport'!$3:$3,FALSE),FALSE)</f>
        <v>5499515.2400000002</v>
      </c>
      <c r="E161" s="30">
        <f>VLOOKUP(A161,JanApport,MATCH($E$2,'Jan 2022 Apport'!$3:$3,0),FALSE)+VLOOKUP(A161,JanApport,MATCH($E$3,'Jan 2022 Apport'!$3:$3,0),FALSE)+VLOOKUP(A161,JanApport,MATCH($E$4,'Jan 2022 Apport'!$3:$3,0),FALSE)</f>
        <v>435739.13</v>
      </c>
      <c r="F161" s="118">
        <f t="shared" si="27"/>
        <v>5063776.1100000003</v>
      </c>
      <c r="G161" s="117">
        <f>VLOOKUP(A161,JanApport,MATCH($G$4,'Jan 2022 Apport'!$3:$3,0),FALSE)</f>
        <v>19921.68</v>
      </c>
      <c r="H161" s="117">
        <f>VLOOKUP(A161,JanApport,MATCH($H$3,'Jan 2022 Apport'!$3:$3,0),FALSE)+VLOOKUP(A161,JanApport,MATCH($H$2,'Jan 2022 Apport'!$3:$3,0),FALSE)+VLOOKUP(A161,JanApport,MATCH($H$4,'Jan 2022 Apport'!$3:$3,0),FALSE)</f>
        <v>673247.65</v>
      </c>
      <c r="I161" s="117">
        <f t="shared" si="28"/>
        <v>693169.33000000007</v>
      </c>
      <c r="J161" s="117">
        <f>VLOOKUP(A161,JanApport,MATCH($J$4,'Jan 2022 Apport'!$3:$3,0),FALSE)</f>
        <v>400275.82</v>
      </c>
      <c r="K161" s="117">
        <f>VLOOKUP(A161,JanApport,MATCH($K$4,'Jan 2022 Apport'!$3:$3,0),FALSE)</f>
        <v>98957.16</v>
      </c>
      <c r="L161" s="117">
        <f t="shared" si="29"/>
        <v>499232.98</v>
      </c>
      <c r="M161" s="117">
        <f>VLOOKUP(A161,JanApport,MATCH($M$4,'Jan 2022 Apport'!$3:$3,0),FALSE)</f>
        <v>191560.51</v>
      </c>
      <c r="N161" s="117">
        <f>VLOOKUP(A161,JanApport,MATCH($N$4,'Jan 2022 Apport'!$3:$3,0),FALSE)</f>
        <v>88834</v>
      </c>
      <c r="O161" s="117">
        <f>VLOOKUP(A161,JanApport,MATCH($O$4,'Jan 2022 Apport'!$3:$3,0),FALSE)</f>
        <v>16240.57</v>
      </c>
      <c r="P161" s="121">
        <f>IFERROR((VLOOKUP(A161,ExcessLevy!A:G,3,FALSE)*0.28),0)+IFERROR((VLOOKUP(A161,ExcessLevy!A:G,6,FALSE)*0.72),0)</f>
        <v>0</v>
      </c>
      <c r="Q161" s="121">
        <f>IFERROR((VLOOKUP(A161,ExcessLevy!A:G,4,FALSE)*0.4738),0)+IFERROR((VLOOKUP(A161,ExcessLevy!A:G,7,FALSE)*0.5262),0)</f>
        <v>740650.87459999998</v>
      </c>
      <c r="R161">
        <f>VLOOKUP(A161,JanApport,MATCH($R$4,'Jan 2022 Apport'!$3:$3,0),FALSE)</f>
        <v>0</v>
      </c>
      <c r="S161">
        <f>VLOOKUP(A161,JanApport,MATCH($S$4,'Jan 2022 Apport'!$3:$3,0),FALSE)</f>
        <v>14.56</v>
      </c>
      <c r="T161">
        <f>VLOOKUP(A161,JanApport,MATCH($T$4,'Jan 2022 Apport'!$3:$3,0),FALSE)</f>
        <v>34.28</v>
      </c>
      <c r="U161" s="132">
        <f>IFERROR(VLOOKUP(A161,JanApport,MATCH($U$4,'Jan 2022 Apport'!$3:$3,0),FALSE)/R161,0)</f>
        <v>0</v>
      </c>
      <c r="V161" s="30">
        <f>IFERROR(((VLOOKUP(A161,JanApport,MATCH($V$4,'Jan 2022 Apport'!$3:$3,0),FALSE)+VLOOKUP(A161,JanApport,MATCH($V$3,'Jan 2022 Apport'!$3:$3,0),FALSE))/(S161+T161)),0)</f>
        <v>8921.7676085176081</v>
      </c>
      <c r="W161" s="30">
        <f t="shared" si="22"/>
        <v>2452.5713248960005</v>
      </c>
      <c r="X161">
        <f>VLOOKUP(A161,JanApport,MATCH($X$4,'Jan 2022 Apport'!$3:$3,0),FALSE)</f>
        <v>4.8578999999999997E-2</v>
      </c>
      <c r="Y161">
        <f>VLOOKUP(A161,JanApport,MATCH($Y$4,'Jan 2022 Apport'!$3:$3,0),FALSE)</f>
        <v>4.0270000000000002E-3</v>
      </c>
      <c r="Z161">
        <f>VLOOKUP(A161,JanApport,MATCH($Z$4,'Jan 2022 Apport'!$3:$3,0),FALSE)</f>
        <v>1.7100000000000001E-2</v>
      </c>
      <c r="AA161" s="77">
        <f>VLOOKUP(A161,JanApport,MATCH($AA$4,'Jan 2022 Apport'!$3:$3,0),FALSE)*VLOOKUP(A161,JanApport,MATCH($AA$3,'Jan 2022 Apport'!$3:$3,0),FALSE)</f>
        <v>67585</v>
      </c>
      <c r="AB161" s="77">
        <f>VLOOKUP(A161,JanApport,MATCH($AB$4,'Jan 2022 Apport'!$3:$3,0),FALSE)*VLOOKUP(A161,JanApport,MATCH($AB$3,'Jan 2022 Apport'!$3:$3,0),FALSE)</f>
        <v>0</v>
      </c>
      <c r="AC161" s="77">
        <f>VLOOKUP(A161,JanApport,MATCH($AC$4,'Jan 2022 Apport'!$3:$3,0),FALSE)</f>
        <v>0</v>
      </c>
      <c r="AD161" s="77">
        <f>VLOOKUP(A161,JanApport,MATCH($AD$4,'Jan 2022 Apport'!$3:$3,0),FALSE)*VLOOKUP(A161,JanApport,MATCH($AD$3,'Jan 2022 Apport'!$3:$3,0),FALSE)</f>
        <v>0</v>
      </c>
      <c r="AE161" s="77">
        <f>VLOOKUP(A161,JanApport,MATCH($AE$4,'Jan 2022 Apport'!$3:$3,0),FALSE)</f>
        <v>0</v>
      </c>
      <c r="AF161" s="77">
        <f>VLOOKUP(A161,JanApport,MATCH($AF$4,'Jan 2022 Apport'!$3:$3,0),FALSE)*VLOOKUP(A161,JanApport,MATCH($AF$3,'Jan 2022 Apport'!$3:$3,0),FALSE)</f>
        <v>0</v>
      </c>
      <c r="AG161" s="77">
        <f t="shared" si="23"/>
        <v>12280.864000000009</v>
      </c>
      <c r="AH161" s="77">
        <f t="shared" si="24"/>
        <v>11848.32</v>
      </c>
      <c r="AI161" s="77">
        <f t="shared" si="25"/>
        <v>16610.88</v>
      </c>
      <c r="AJ161" s="3">
        <f>VLOOKUP(A161,JanApport,MATCH($AJ$4,'Jan 2022 Apport'!$3:$3,0),FALSE)</f>
        <v>748936.54</v>
      </c>
      <c r="AK161" s="3">
        <f>VLOOKUP(A161,JanApport,MATCH($AK$4,'Jan 2022 Apport'!$3:$3,0),FALSE)</f>
        <v>11.821999999999999</v>
      </c>
      <c r="AL161" s="117">
        <f t="shared" si="26"/>
        <v>7048479.1500000004</v>
      </c>
      <c r="AM161" s="117">
        <f>VLOOKUP(A161,JanApport,MATCH($AM$4,'Jan 2022 Apport'!$3:$3,0),FALSE)</f>
        <v>158883.68</v>
      </c>
      <c r="AN161" s="117">
        <f>VLOOKUP(A161,JanApport,MATCH($AN$4,'Jan 2022 Apport'!$3:$3,0),FALSE)</f>
        <v>43713.84</v>
      </c>
    </row>
    <row r="162" spans="1:40">
      <c r="A162" s="2" t="s">
        <v>609</v>
      </c>
      <c r="B162" s="2" t="s">
        <v>610</v>
      </c>
      <c r="C162" s="2" t="s">
        <v>1267</v>
      </c>
      <c r="D162" s="118">
        <f>VLOOKUP(A162,JanApport,MATCH($D$4,'Jan 2022 Apport'!$3:$3,FALSE),FALSE)</f>
        <v>7121088.7400000002</v>
      </c>
      <c r="E162" s="30">
        <f>VLOOKUP(A162,JanApport,MATCH($E$2,'Jan 2022 Apport'!$3:$3,0),FALSE)+VLOOKUP(A162,JanApport,MATCH($E$3,'Jan 2022 Apport'!$3:$3,0),FALSE)+VLOOKUP(A162,JanApport,MATCH($E$4,'Jan 2022 Apport'!$3:$3,0),FALSE)</f>
        <v>224077.78</v>
      </c>
      <c r="F162" s="118">
        <f t="shared" si="27"/>
        <v>6897010.96</v>
      </c>
      <c r="G162" s="117">
        <f>VLOOKUP(A162,JanApport,MATCH($G$4,'Jan 2022 Apport'!$3:$3,0),FALSE)</f>
        <v>60640.87</v>
      </c>
      <c r="H162" s="117">
        <f>VLOOKUP(A162,JanApport,MATCH($H$3,'Jan 2022 Apport'!$3:$3,0),FALSE)+VLOOKUP(A162,JanApport,MATCH($H$2,'Jan 2022 Apport'!$3:$3,0),FALSE)+VLOOKUP(A162,JanApport,MATCH($H$4,'Jan 2022 Apport'!$3:$3,0),FALSE)</f>
        <v>937257.27999999991</v>
      </c>
      <c r="I162" s="117">
        <f t="shared" si="28"/>
        <v>997898.14999999991</v>
      </c>
      <c r="J162" s="117">
        <f>VLOOKUP(A162,JanApport,MATCH($J$4,'Jan 2022 Apport'!$3:$3,0),FALSE)</f>
        <v>761719.26</v>
      </c>
      <c r="K162" s="117">
        <f>VLOOKUP(A162,JanApport,MATCH($K$4,'Jan 2022 Apport'!$3:$3,0),FALSE)</f>
        <v>103179.5</v>
      </c>
      <c r="L162" s="117">
        <f t="shared" si="29"/>
        <v>864898.76</v>
      </c>
      <c r="M162" s="117">
        <f>VLOOKUP(A162,JanApport,MATCH($M$4,'Jan 2022 Apport'!$3:$3,0),FALSE)</f>
        <v>533297.41</v>
      </c>
      <c r="N162" s="117">
        <f>VLOOKUP(A162,JanApport,MATCH($N$4,'Jan 2022 Apport'!$3:$3,0),FALSE)</f>
        <v>194104.22</v>
      </c>
      <c r="O162" s="117">
        <f>VLOOKUP(A162,JanApport,MATCH($O$4,'Jan 2022 Apport'!$3:$3,0),FALSE)</f>
        <v>23186.85</v>
      </c>
      <c r="P162" s="121">
        <f>IFERROR((VLOOKUP(A162,ExcessLevy!A:G,3,FALSE)*0.28),0)+IFERROR((VLOOKUP(A162,ExcessLevy!A:G,6,FALSE)*0.72),0)</f>
        <v>939628.3456</v>
      </c>
      <c r="Q162" s="121">
        <f>IFERROR((VLOOKUP(A162,ExcessLevy!A:G,4,FALSE)*0.4738),0)+IFERROR((VLOOKUP(A162,ExcessLevy!A:G,7,FALSE)*0.5262),0)</f>
        <v>259631</v>
      </c>
      <c r="R162">
        <f>VLOOKUP(A162,JanApport,MATCH($R$4,'Jan 2022 Apport'!$3:$3,0),FALSE)</f>
        <v>0</v>
      </c>
      <c r="S162">
        <f>VLOOKUP(A162,JanApport,MATCH($S$4,'Jan 2022 Apport'!$3:$3,0),FALSE)</f>
        <v>2.3199999999999998</v>
      </c>
      <c r="T162">
        <f>VLOOKUP(A162,JanApport,MATCH($T$4,'Jan 2022 Apport'!$3:$3,0),FALSE)</f>
        <v>22.8</v>
      </c>
      <c r="U162" s="132">
        <f>IFERROR(VLOOKUP(A162,JanApport,MATCH($U$4,'Jan 2022 Apport'!$3:$3,0),FALSE)/R162,0)</f>
        <v>0</v>
      </c>
      <c r="V162" s="30">
        <f>IFERROR(((VLOOKUP(A162,JanApport,MATCH($V$4,'Jan 2022 Apport'!$3:$3,0),FALSE)+VLOOKUP(A162,JanApport,MATCH($V$3,'Jan 2022 Apport'!$3:$3,0),FALSE))/(S162+T162)),0)</f>
        <v>8920.2937898089167</v>
      </c>
      <c r="W162" s="30">
        <f t="shared" si="22"/>
        <v>8083.6246967786601</v>
      </c>
      <c r="X162">
        <f>VLOOKUP(A162,JanApport,MATCH($X$4,'Jan 2022 Apport'!$3:$3,0),FALSE)</f>
        <v>4.8578999999999997E-2</v>
      </c>
      <c r="Y162">
        <f>VLOOKUP(A162,JanApport,MATCH($Y$4,'Jan 2022 Apport'!$3:$3,0),FALSE)</f>
        <v>4.0270000000000002E-3</v>
      </c>
      <c r="Z162">
        <f>VLOOKUP(A162,JanApport,MATCH($Z$4,'Jan 2022 Apport'!$3:$3,0),FALSE)</f>
        <v>1.7100000000000001E-2</v>
      </c>
      <c r="AA162" s="77">
        <f>VLOOKUP(A162,JanApport,MATCH($AA$4,'Jan 2022 Apport'!$3:$3,0),FALSE)*VLOOKUP(A162,JanApport,MATCH($AA$3,'Jan 2022 Apport'!$3:$3,0),FALSE)</f>
        <v>67585</v>
      </c>
      <c r="AB162" s="77">
        <f>VLOOKUP(A162,JanApport,MATCH($AB$4,'Jan 2022 Apport'!$3:$3,0),FALSE)*VLOOKUP(A162,JanApport,MATCH($AB$3,'Jan 2022 Apport'!$3:$3,0),FALSE)</f>
        <v>68937</v>
      </c>
      <c r="AC162" s="77">
        <f>VLOOKUP(A162,JanApport,MATCH($AC$4,'Jan 2022 Apport'!$3:$3,0),FALSE)</f>
        <v>100321</v>
      </c>
      <c r="AD162" s="77">
        <f>VLOOKUP(A162,JanApport,MATCH($AD$4,'Jan 2022 Apport'!$3:$3,0),FALSE)*VLOOKUP(A162,JanApport,MATCH($AD$3,'Jan 2022 Apport'!$3:$3,0),FALSE)</f>
        <v>102327</v>
      </c>
      <c r="AE162" s="77">
        <f>VLOOKUP(A162,JanApport,MATCH($AE$4,'Jan 2022 Apport'!$3:$3,0),FALSE)</f>
        <v>48483</v>
      </c>
      <c r="AF162" s="77">
        <f>VLOOKUP(A162,JanApport,MATCH($AF$4,'Jan 2022 Apport'!$3:$3,0),FALSE)*VLOOKUP(A162,JanApport,MATCH($AF$3,'Jan 2022 Apport'!$3:$3,0),FALSE)</f>
        <v>49453</v>
      </c>
      <c r="AG162" s="77">
        <f t="shared" si="23"/>
        <v>96432.259900000005</v>
      </c>
      <c r="AH162" s="77">
        <f t="shared" si="24"/>
        <v>137400.94330000001</v>
      </c>
      <c r="AI162" s="77">
        <f t="shared" si="25"/>
        <v>77281.189732599989</v>
      </c>
      <c r="AJ162" s="3">
        <f>VLOOKUP(A162,JanApport,MATCH($AJ$4,'Jan 2022 Apport'!$3:$3,0),FALSE)</f>
        <v>1088389.5</v>
      </c>
      <c r="AK162" s="3">
        <f>VLOOKUP(A162,JanApport,MATCH($AK$4,'Jan 2022 Apport'!$3:$3,0),FALSE)</f>
        <v>14.606999999999999</v>
      </c>
      <c r="AL162" s="117">
        <f t="shared" si="26"/>
        <v>9876957.7699999996</v>
      </c>
      <c r="AM162" s="117">
        <f>VLOOKUP(A162,JanApport,MATCH($AM$4,'Jan 2022 Apport'!$3:$3,0),FALSE)</f>
        <v>245663.14</v>
      </c>
      <c r="AN162" s="117">
        <f>VLOOKUP(A162,JanApport,MATCH($AN$4,'Jan 2022 Apport'!$3:$3,0),FALSE)</f>
        <v>58280.45</v>
      </c>
    </row>
    <row r="163" spans="1:40">
      <c r="A163" s="2" t="s">
        <v>551</v>
      </c>
      <c r="B163" s="2" t="s">
        <v>552</v>
      </c>
      <c r="C163" s="2" t="s">
        <v>1267</v>
      </c>
      <c r="D163" s="118">
        <f>VLOOKUP(A163,JanApport,MATCH($D$4,'Jan 2022 Apport'!$3:$3,FALSE),FALSE)</f>
        <v>15430428.49</v>
      </c>
      <c r="E163" s="30">
        <f>VLOOKUP(A163,JanApport,MATCH($E$2,'Jan 2022 Apport'!$3:$3,0),FALSE)+VLOOKUP(A163,JanApport,MATCH($E$3,'Jan 2022 Apport'!$3:$3,0),FALSE)+VLOOKUP(A163,JanApport,MATCH($E$4,'Jan 2022 Apport'!$3:$3,0),FALSE)</f>
        <v>922422.61</v>
      </c>
      <c r="F163" s="118">
        <f t="shared" si="27"/>
        <v>14508005.880000001</v>
      </c>
      <c r="G163" s="117">
        <f>VLOOKUP(A163,JanApport,MATCH($G$4,'Jan 2022 Apport'!$3:$3,0),FALSE)</f>
        <v>244299.67</v>
      </c>
      <c r="H163" s="117">
        <f>VLOOKUP(A163,JanApport,MATCH($H$3,'Jan 2022 Apport'!$3:$3,0),FALSE)+VLOOKUP(A163,JanApport,MATCH($H$2,'Jan 2022 Apport'!$3:$3,0),FALSE)+VLOOKUP(A163,JanApport,MATCH($H$4,'Jan 2022 Apport'!$3:$3,0),FALSE)</f>
        <v>2073830.8599999999</v>
      </c>
      <c r="I163" s="117">
        <f t="shared" si="28"/>
        <v>2318130.5299999998</v>
      </c>
      <c r="J163" s="117">
        <f>VLOOKUP(A163,JanApport,MATCH($J$4,'Jan 2022 Apport'!$3:$3,0),FALSE)</f>
        <v>1708527.15</v>
      </c>
      <c r="K163" s="117">
        <f>VLOOKUP(A163,JanApport,MATCH($K$4,'Jan 2022 Apport'!$3:$3,0),FALSE)</f>
        <v>238293.25</v>
      </c>
      <c r="L163" s="117">
        <f t="shared" si="29"/>
        <v>1946820.4</v>
      </c>
      <c r="M163" s="117">
        <f>VLOOKUP(A163,JanApport,MATCH($M$4,'Jan 2022 Apport'!$3:$3,0),FALSE)</f>
        <v>624043.72</v>
      </c>
      <c r="N163" s="117">
        <f>VLOOKUP(A163,JanApport,MATCH($N$4,'Jan 2022 Apport'!$3:$3,0),FALSE)</f>
        <v>155740.54999999999</v>
      </c>
      <c r="O163" s="117">
        <f>VLOOKUP(A163,JanApport,MATCH($O$4,'Jan 2022 Apport'!$3:$3,0),FALSE)</f>
        <v>51156.45</v>
      </c>
      <c r="P163" s="121">
        <f>IFERROR((VLOOKUP(A163,ExcessLevy!A:G,3,FALSE)*0.28),0)+IFERROR((VLOOKUP(A163,ExcessLevy!A:G,6,FALSE)*0.72),0)</f>
        <v>0</v>
      </c>
      <c r="Q163" s="121">
        <f>IFERROR((VLOOKUP(A163,ExcessLevy!A:G,4,FALSE)*0.4738),0)+IFERROR((VLOOKUP(A163,ExcessLevy!A:G,7,FALSE)*0.5262),0)</f>
        <v>4947047.4416000005</v>
      </c>
      <c r="R163">
        <f>VLOOKUP(A163,JanApport,MATCH($R$4,'Jan 2022 Apport'!$3:$3,0),FALSE)</f>
        <v>0</v>
      </c>
      <c r="S163">
        <f>VLOOKUP(A163,JanApport,MATCH($S$4,'Jan 2022 Apport'!$3:$3,0),FALSE)</f>
        <v>7.49</v>
      </c>
      <c r="T163">
        <f>VLOOKUP(A163,JanApport,MATCH($T$4,'Jan 2022 Apport'!$3:$3,0),FALSE)</f>
        <v>87.8</v>
      </c>
      <c r="U163" s="132">
        <f>IFERROR(VLOOKUP(A163,JanApport,MATCH($U$4,'Jan 2022 Apport'!$3:$3,0),FALSE)/R163,0)</f>
        <v>0</v>
      </c>
      <c r="V163" s="30">
        <f>IFERROR(((VLOOKUP(A163,JanApport,MATCH($V$4,'Jan 2022 Apport'!$3:$3,0),FALSE)+VLOOKUP(A163,JanApport,MATCH($V$3,'Jan 2022 Apport'!$3:$3,0),FALSE))/(S163+T163)),0)</f>
        <v>9680.1617168643097</v>
      </c>
      <c r="W163" s="30">
        <f t="shared" si="22"/>
        <v>8422.1132479746102</v>
      </c>
      <c r="X163">
        <f>VLOOKUP(A163,JanApport,MATCH($X$4,'Jan 2022 Apport'!$3:$3,0),FALSE)</f>
        <v>4.8578999999999997E-2</v>
      </c>
      <c r="Y163">
        <f>VLOOKUP(A163,JanApport,MATCH($Y$4,'Jan 2022 Apport'!$3:$3,0),FALSE)</f>
        <v>4.0270000000000002E-3</v>
      </c>
      <c r="Z163">
        <f>VLOOKUP(A163,JanApport,MATCH($Z$4,'Jan 2022 Apport'!$3:$3,0),FALSE)</f>
        <v>1.7100000000000001E-2</v>
      </c>
      <c r="AA163" s="77">
        <f>VLOOKUP(A163,JanApport,MATCH($AA$4,'Jan 2022 Apport'!$3:$3,0),FALSE)*VLOOKUP(A163,JanApport,MATCH($AA$3,'Jan 2022 Apport'!$3:$3,0),FALSE)</f>
        <v>75695.200000000012</v>
      </c>
      <c r="AB163" s="77">
        <f>VLOOKUP(A163,JanApport,MATCH($AB$4,'Jan 2022 Apport'!$3:$3,0),FALSE)*VLOOKUP(A163,JanApport,MATCH($AB$3,'Jan 2022 Apport'!$3:$3,0),FALSE)</f>
        <v>73073.22</v>
      </c>
      <c r="AC163" s="77">
        <f>VLOOKUP(A163,JanApport,MATCH($AC$4,'Jan 2022 Apport'!$3:$3,0),FALSE)</f>
        <v>100321</v>
      </c>
      <c r="AD163" s="77">
        <f>VLOOKUP(A163,JanApport,MATCH($AD$4,'Jan 2022 Apport'!$3:$3,0),FALSE)*VLOOKUP(A163,JanApport,MATCH($AD$3,'Jan 2022 Apport'!$3:$3,0),FALSE)</f>
        <v>108466.62000000001</v>
      </c>
      <c r="AE163" s="77">
        <f>VLOOKUP(A163,JanApport,MATCH($AE$4,'Jan 2022 Apport'!$3:$3,0),FALSE)</f>
        <v>48483</v>
      </c>
      <c r="AF163" s="77">
        <f>VLOOKUP(A163,JanApport,MATCH($AF$4,'Jan 2022 Apport'!$3:$3,0),FALSE)*VLOOKUP(A163,JanApport,MATCH($AF$3,'Jan 2022 Apport'!$3:$3,0),FALSE)</f>
        <v>52420.18</v>
      </c>
      <c r="AG163" s="77">
        <f t="shared" si="23"/>
        <v>101533.248934</v>
      </c>
      <c r="AH163" s="77">
        <f t="shared" si="24"/>
        <v>144895.57743400004</v>
      </c>
      <c r="AI163" s="77">
        <f t="shared" si="25"/>
        <v>80819.594016556002</v>
      </c>
      <c r="AJ163" s="3">
        <f>VLOOKUP(A163,JanApport,MATCH($AJ$4,'Jan 2022 Apport'!$3:$3,0),FALSE)</f>
        <v>1965780.14</v>
      </c>
      <c r="AK163" s="3">
        <f>VLOOKUP(A163,JanApport,MATCH($AK$4,'Jan 2022 Apport'!$3:$3,0),FALSE)</f>
        <v>29.896000000000001</v>
      </c>
      <c r="AL163" s="117">
        <f t="shared" si="26"/>
        <v>20531371.48</v>
      </c>
      <c r="AM163" s="117">
        <f>VLOOKUP(A163,JanApport,MATCH($AM$4,'Jan 2022 Apport'!$3:$3,0),FALSE)</f>
        <v>243344.59</v>
      </c>
      <c r="AN163" s="117">
        <f>VLOOKUP(A163,JanApport,MATCH($AN$4,'Jan 2022 Apport'!$3:$3,0),FALSE)</f>
        <v>120785.53</v>
      </c>
    </row>
    <row r="164" spans="1:40">
      <c r="A164" s="2" t="s">
        <v>417</v>
      </c>
      <c r="B164" s="2" t="s">
        <v>418</v>
      </c>
      <c r="C164" s="2" t="s">
        <v>1267</v>
      </c>
      <c r="D164" s="118">
        <f>VLOOKUP(A164,JanApport,MATCH($D$4,'Jan 2022 Apport'!$3:$3,FALSE),FALSE)</f>
        <v>677279.93</v>
      </c>
      <c r="E164" s="30">
        <f>VLOOKUP(A164,JanApport,MATCH($E$2,'Jan 2022 Apport'!$3:$3,0),FALSE)+VLOOKUP(A164,JanApport,MATCH($E$3,'Jan 2022 Apport'!$3:$3,0),FALSE)+VLOOKUP(A164,JanApport,MATCH($E$4,'Jan 2022 Apport'!$3:$3,0),FALSE)</f>
        <v>0</v>
      </c>
      <c r="F164" s="118">
        <f t="shared" si="27"/>
        <v>677279.93</v>
      </c>
      <c r="G164" s="117">
        <f>VLOOKUP(A164,JanApport,MATCH($G$4,'Jan 2022 Apport'!$3:$3,0),FALSE)</f>
        <v>0</v>
      </c>
      <c r="H164" s="117">
        <f>VLOOKUP(A164,JanApport,MATCH($H$3,'Jan 2022 Apport'!$3:$3,0),FALSE)+VLOOKUP(A164,JanApport,MATCH($H$2,'Jan 2022 Apport'!$3:$3,0),FALSE)+VLOOKUP(A164,JanApport,MATCH($H$4,'Jan 2022 Apport'!$3:$3,0),FALSE)</f>
        <v>34548.46</v>
      </c>
      <c r="I164" s="117">
        <f t="shared" si="28"/>
        <v>34548.46</v>
      </c>
      <c r="J164" s="117">
        <f>VLOOKUP(A164,JanApport,MATCH($J$4,'Jan 2022 Apport'!$3:$3,0),FALSE)</f>
        <v>74108.36</v>
      </c>
      <c r="K164" s="117">
        <f>VLOOKUP(A164,JanApport,MATCH($K$4,'Jan 2022 Apport'!$3:$3,0),FALSE)</f>
        <v>25998.25</v>
      </c>
      <c r="L164" s="117">
        <f t="shared" si="29"/>
        <v>100106.61</v>
      </c>
      <c r="M164" s="117">
        <f>VLOOKUP(A164,JanApport,MATCH($M$4,'Jan 2022 Apport'!$3:$3,0),FALSE)</f>
        <v>7724.54</v>
      </c>
      <c r="N164" s="117">
        <f>VLOOKUP(A164,JanApport,MATCH($N$4,'Jan 2022 Apport'!$3:$3,0),FALSE)</f>
        <v>0</v>
      </c>
      <c r="O164" s="117">
        <f>VLOOKUP(A164,JanApport,MATCH($O$4,'Jan 2022 Apport'!$3:$3,0),FALSE)</f>
        <v>1750.89</v>
      </c>
      <c r="P164" s="121">
        <f>IFERROR((VLOOKUP(A164,ExcessLevy!A:G,3,FALSE)*0.28),0)+IFERROR((VLOOKUP(A164,ExcessLevy!A:G,6,FALSE)*0.72),0)</f>
        <v>29539.324399999998</v>
      </c>
      <c r="Q164" s="121">
        <f>IFERROR((VLOOKUP(A164,ExcessLevy!A:G,4,FALSE)*0.4738),0)+IFERROR((VLOOKUP(A164,ExcessLevy!A:G,7,FALSE)*0.5262),0)</f>
        <v>155000</v>
      </c>
      <c r="R164">
        <f>VLOOKUP(A164,JanApport,MATCH($R$4,'Jan 2022 Apport'!$3:$3,0),FALSE)</f>
        <v>0</v>
      </c>
      <c r="S164">
        <f>VLOOKUP(A164,JanApport,MATCH($S$4,'Jan 2022 Apport'!$3:$3,0),FALSE)</f>
        <v>0</v>
      </c>
      <c r="T164">
        <f>VLOOKUP(A164,JanApport,MATCH($T$4,'Jan 2022 Apport'!$3:$3,0),FALSE)</f>
        <v>0</v>
      </c>
      <c r="U164" s="132">
        <f>IFERROR(VLOOKUP(A164,JanApport,MATCH($U$4,'Jan 2022 Apport'!$3:$3,0),FALSE)/R164,0)</f>
        <v>0</v>
      </c>
      <c r="V164" s="30">
        <f>IFERROR(((VLOOKUP(A164,JanApport,MATCH($V$4,'Jan 2022 Apport'!$3:$3,0),FALSE)+VLOOKUP(A164,JanApport,MATCH($V$3,'Jan 2022 Apport'!$3:$3,0),FALSE))/(S164+T164)),0)</f>
        <v>0</v>
      </c>
      <c r="W164" s="30">
        <f t="shared" si="22"/>
        <v>2453.8320781945604</v>
      </c>
      <c r="X164">
        <f>VLOOKUP(A164,JanApport,MATCH($X$4,'Jan 2022 Apport'!$3:$3,0),FALSE)</f>
        <v>4.8578999999999997E-2</v>
      </c>
      <c r="Y164">
        <f>VLOOKUP(A164,JanApport,MATCH($Y$4,'Jan 2022 Apport'!$3:$3,0),FALSE)</f>
        <v>4.0270000000000002E-3</v>
      </c>
      <c r="Z164">
        <f>VLOOKUP(A164,JanApport,MATCH($Z$4,'Jan 2022 Apport'!$3:$3,0),FALSE)</f>
        <v>1.7100000000000001E-2</v>
      </c>
      <c r="AA164" s="77">
        <f>VLOOKUP(A164,JanApport,MATCH($AA$4,'Jan 2022 Apport'!$3:$3,0),FALSE)*VLOOKUP(A164,JanApport,MATCH($AA$3,'Jan 2022 Apport'!$3:$3,0),FALSE)</f>
        <v>71640.100000000006</v>
      </c>
      <c r="AB164" s="77">
        <f>VLOOKUP(A164,JanApport,MATCH($AB$4,'Jan 2022 Apport'!$3:$3,0),FALSE)*VLOOKUP(A164,JanApport,MATCH($AB$3,'Jan 2022 Apport'!$3:$3,0),FALSE)</f>
        <v>0</v>
      </c>
      <c r="AC164" s="77">
        <f>VLOOKUP(A164,JanApport,MATCH($AC$4,'Jan 2022 Apport'!$3:$3,0),FALSE)</f>
        <v>0</v>
      </c>
      <c r="AD164" s="77">
        <f>VLOOKUP(A164,JanApport,MATCH($AD$4,'Jan 2022 Apport'!$3:$3,0),FALSE)*VLOOKUP(A164,JanApport,MATCH($AD$3,'Jan 2022 Apport'!$3:$3,0),FALSE)</f>
        <v>0</v>
      </c>
      <c r="AE164" s="77">
        <f>VLOOKUP(A164,JanApport,MATCH($AE$4,'Jan 2022 Apport'!$3:$3,0),FALSE)</f>
        <v>0</v>
      </c>
      <c r="AF164" s="77">
        <f>VLOOKUP(A164,JanApport,MATCH($AF$4,'Jan 2022 Apport'!$3:$3,0),FALSE)*VLOOKUP(A164,JanApport,MATCH($AF$3,'Jan 2022 Apport'!$3:$3,0),FALSE)</f>
        <v>0</v>
      </c>
      <c r="AG164" s="77">
        <f t="shared" si="23"/>
        <v>12306.816640000012</v>
      </c>
      <c r="AH164" s="77">
        <f t="shared" si="24"/>
        <v>11848.32</v>
      </c>
      <c r="AI164" s="77">
        <f t="shared" si="25"/>
        <v>16610.88</v>
      </c>
      <c r="AJ164" s="3">
        <f>VLOOKUP(A164,JanApport,MATCH($AJ$4,'Jan 2022 Apport'!$3:$3,0),FALSE)</f>
        <v>86816.26</v>
      </c>
      <c r="AK164" s="3">
        <f>VLOOKUP(A164,JanApport,MATCH($AK$4,'Jan 2022 Apport'!$3:$3,0),FALSE)</f>
        <v>1.821</v>
      </c>
      <c r="AL164" s="117">
        <f t="shared" si="26"/>
        <v>760863.72000000009</v>
      </c>
      <c r="AM164" s="117">
        <f>VLOOKUP(A164,JanApport,MATCH($AM$4,'Jan 2022 Apport'!$3:$3,0),FALSE)</f>
        <v>0</v>
      </c>
      <c r="AN164" s="117">
        <f>VLOOKUP(A164,JanApport,MATCH($AN$4,'Jan 2022 Apport'!$3:$3,0),FALSE)</f>
        <v>5790.6</v>
      </c>
    </row>
    <row r="165" spans="1:40">
      <c r="A165" s="2" t="s">
        <v>413</v>
      </c>
      <c r="B165" s="2" t="s">
        <v>414</v>
      </c>
      <c r="C165" s="2" t="s">
        <v>1267</v>
      </c>
      <c r="D165" s="118">
        <f>VLOOKUP(A165,JanApport,MATCH($D$4,'Jan 2022 Apport'!$3:$3,FALSE),FALSE)</f>
        <v>62579177.009999998</v>
      </c>
      <c r="E165" s="30">
        <f>VLOOKUP(A165,JanApport,MATCH($E$2,'Jan 2022 Apport'!$3:$3,0),FALSE)+VLOOKUP(A165,JanApport,MATCH($E$3,'Jan 2022 Apport'!$3:$3,0),FALSE)+VLOOKUP(A165,JanApport,MATCH($E$4,'Jan 2022 Apport'!$3:$3,0),FALSE)</f>
        <v>6183955.3800000008</v>
      </c>
      <c r="F165" s="118">
        <f t="shared" si="27"/>
        <v>56395221.629999995</v>
      </c>
      <c r="G165" s="117">
        <f>VLOOKUP(A165,JanApport,MATCH($G$4,'Jan 2022 Apport'!$3:$3,0),FALSE)</f>
        <v>875449.58</v>
      </c>
      <c r="H165" s="117">
        <f>VLOOKUP(A165,JanApport,MATCH($H$3,'Jan 2022 Apport'!$3:$3,0),FALSE)+VLOOKUP(A165,JanApport,MATCH($H$2,'Jan 2022 Apport'!$3:$3,0),FALSE)+VLOOKUP(A165,JanApport,MATCH($H$4,'Jan 2022 Apport'!$3:$3,0),FALSE)</f>
        <v>8040724.8600000003</v>
      </c>
      <c r="I165" s="117">
        <f t="shared" si="28"/>
        <v>8916174.4399999995</v>
      </c>
      <c r="J165" s="117">
        <f>VLOOKUP(A165,JanApport,MATCH($J$4,'Jan 2022 Apport'!$3:$3,0),FALSE)</f>
        <v>2909420.41</v>
      </c>
      <c r="K165" s="117">
        <f>VLOOKUP(A165,JanApport,MATCH($K$4,'Jan 2022 Apport'!$3:$3,0),FALSE)</f>
        <v>458839.59</v>
      </c>
      <c r="L165" s="117">
        <f t="shared" si="29"/>
        <v>3368260</v>
      </c>
      <c r="M165" s="117">
        <f>VLOOKUP(A165,JanApport,MATCH($M$4,'Jan 2022 Apport'!$3:$3,0),FALSE)</f>
        <v>2861516.27</v>
      </c>
      <c r="N165" s="117">
        <f>VLOOKUP(A165,JanApport,MATCH($N$4,'Jan 2022 Apport'!$3:$3,0),FALSE)</f>
        <v>2653645.89</v>
      </c>
      <c r="O165" s="117">
        <f>VLOOKUP(A165,JanApport,MATCH($O$4,'Jan 2022 Apport'!$3:$3,0),FALSE)</f>
        <v>204950.24</v>
      </c>
      <c r="P165" s="121">
        <f>IFERROR((VLOOKUP(A165,ExcessLevy!A:G,3,FALSE)*0.28),0)+IFERROR((VLOOKUP(A165,ExcessLevy!A:G,6,FALSE)*0.72),0)</f>
        <v>2766966.1824000003</v>
      </c>
      <c r="Q165" s="121">
        <f>IFERROR((VLOOKUP(A165,ExcessLevy!A:G,4,FALSE)*0.4738),0)+IFERROR((VLOOKUP(A165,ExcessLevy!A:G,7,FALSE)*0.5262),0)</f>
        <v>12782811.376600001</v>
      </c>
      <c r="R165">
        <f>VLOOKUP(A165,JanApport,MATCH($R$4,'Jan 2022 Apport'!$3:$3,0),FALSE)</f>
        <v>191.36</v>
      </c>
      <c r="S165">
        <f>VLOOKUP(A165,JanApport,MATCH($S$4,'Jan 2022 Apport'!$3:$3,0),FALSE)</f>
        <v>0</v>
      </c>
      <c r="T165">
        <f>VLOOKUP(A165,JanApport,MATCH($T$4,'Jan 2022 Apport'!$3:$3,0),FALSE)</f>
        <v>421.29</v>
      </c>
      <c r="U165" s="132">
        <f>IFERROR(VLOOKUP(A165,JanApport,MATCH($U$4,'Jan 2022 Apport'!$3:$3,0),FALSE)/R165,0)</f>
        <v>11002.656824832777</v>
      </c>
      <c r="V165" s="30">
        <f>IFERROR(((VLOOKUP(A165,JanApport,MATCH($V$4,'Jan 2022 Apport'!$3:$3,0),FALSE)+VLOOKUP(A165,JanApport,MATCH($V$3,'Jan 2022 Apport'!$3:$3,0),FALSE))/(S165+T165)),0)</f>
        <v>9680.9489187970285</v>
      </c>
      <c r="W165" s="30">
        <f t="shared" si="22"/>
        <v>8758.0802925734424</v>
      </c>
      <c r="X165">
        <f>VLOOKUP(A165,JanApport,MATCH($X$4,'Jan 2022 Apport'!$3:$3,0),FALSE)</f>
        <v>4.8578999999999997E-2</v>
      </c>
      <c r="Y165">
        <f>VLOOKUP(A165,JanApport,MATCH($Y$4,'Jan 2022 Apport'!$3:$3,0),FALSE)</f>
        <v>4.0270000000000002E-3</v>
      </c>
      <c r="Z165">
        <f>VLOOKUP(A165,JanApport,MATCH($Z$4,'Jan 2022 Apport'!$3:$3,0),FALSE)</f>
        <v>1.7100000000000001E-2</v>
      </c>
      <c r="AA165" s="77">
        <f>VLOOKUP(A165,JanApport,MATCH($AA$4,'Jan 2022 Apport'!$3:$3,0),FALSE)*VLOOKUP(A165,JanApport,MATCH($AA$3,'Jan 2022 Apport'!$3:$3,0),FALSE)</f>
        <v>75695.200000000012</v>
      </c>
      <c r="AB165" s="77">
        <f>VLOOKUP(A165,JanApport,MATCH($AB$4,'Jan 2022 Apport'!$3:$3,0),FALSE)*VLOOKUP(A165,JanApport,MATCH($AB$3,'Jan 2022 Apport'!$3:$3,0),FALSE)</f>
        <v>77209.440000000002</v>
      </c>
      <c r="AC165" s="77">
        <f>VLOOKUP(A165,JanApport,MATCH($AC$4,'Jan 2022 Apport'!$3:$3,0),FALSE)</f>
        <v>100321</v>
      </c>
      <c r="AD165" s="77">
        <f>VLOOKUP(A165,JanApport,MATCH($AD$4,'Jan 2022 Apport'!$3:$3,0),FALSE)*VLOOKUP(A165,JanApport,MATCH($AD$3,'Jan 2022 Apport'!$3:$3,0),FALSE)</f>
        <v>114606.24</v>
      </c>
      <c r="AE165" s="77">
        <f>VLOOKUP(A165,JanApport,MATCH($AE$4,'Jan 2022 Apport'!$3:$3,0),FALSE)</f>
        <v>48483</v>
      </c>
      <c r="AF165" s="77">
        <f>VLOOKUP(A165,JanApport,MATCH($AF$4,'Jan 2022 Apport'!$3:$3,0),FALSE)*VLOOKUP(A165,JanApport,MATCH($AF$3,'Jan 2022 Apport'!$3:$3,0),FALSE)</f>
        <v>55387.360000000008</v>
      </c>
      <c r="AG165" s="77">
        <f t="shared" si="23"/>
        <v>106582.33268799999</v>
      </c>
      <c r="AH165" s="77">
        <f t="shared" si="24"/>
        <v>152390.21156800003</v>
      </c>
      <c r="AI165" s="77">
        <f t="shared" si="25"/>
        <v>84357.998300512001</v>
      </c>
      <c r="AJ165" s="3">
        <f>VLOOKUP(A165,JanApport,MATCH($AJ$4,'Jan 2022 Apport'!$3:$3,0),FALSE)</f>
        <v>7644306.7800000003</v>
      </c>
      <c r="AK165" s="3">
        <f>VLOOKUP(A165,JanApport,MATCH($AK$4,'Jan 2022 Apport'!$3:$3,0),FALSE)</f>
        <v>121.774</v>
      </c>
      <c r="AL165" s="117">
        <f t="shared" si="26"/>
        <v>82047090.349999994</v>
      </c>
      <c r="AM165" s="117">
        <f>VLOOKUP(A165,JanApport,MATCH($AM$4,'Jan 2022 Apport'!$3:$3,0),FALSE)</f>
        <v>1922206.09</v>
      </c>
      <c r="AN165" s="117">
        <f>VLOOKUP(A165,JanApport,MATCH($AN$4,'Jan 2022 Apport'!$3:$3,0),FALSE)</f>
        <v>470361.87</v>
      </c>
    </row>
    <row r="166" spans="1:40">
      <c r="A166" s="2" t="s">
        <v>223</v>
      </c>
      <c r="B166" s="2" t="s">
        <v>224</v>
      </c>
      <c r="C166" s="2" t="s">
        <v>1267</v>
      </c>
      <c r="D166" s="118">
        <f>VLOOKUP(A166,JanApport,MATCH($D$4,'Jan 2022 Apport'!$3:$3,FALSE),FALSE)</f>
        <v>5809399.71</v>
      </c>
      <c r="E166" s="30">
        <f>VLOOKUP(A166,JanApport,MATCH($E$2,'Jan 2022 Apport'!$3:$3,0),FALSE)+VLOOKUP(A166,JanApport,MATCH($E$3,'Jan 2022 Apport'!$3:$3,0),FALSE)+VLOOKUP(A166,JanApport,MATCH($E$4,'Jan 2022 Apport'!$3:$3,0),FALSE)</f>
        <v>68723.81</v>
      </c>
      <c r="F166" s="118">
        <f t="shared" si="27"/>
        <v>5740675.9000000004</v>
      </c>
      <c r="G166" s="117">
        <f>VLOOKUP(A166,JanApport,MATCH($G$4,'Jan 2022 Apport'!$3:$3,0),FALSE)</f>
        <v>0</v>
      </c>
      <c r="H166" s="117">
        <f>VLOOKUP(A166,JanApport,MATCH($H$3,'Jan 2022 Apport'!$3:$3,0),FALSE)+VLOOKUP(A166,JanApport,MATCH($H$2,'Jan 2022 Apport'!$3:$3,0),FALSE)+VLOOKUP(A166,JanApport,MATCH($H$4,'Jan 2022 Apport'!$3:$3,0),FALSE)</f>
        <v>0</v>
      </c>
      <c r="I166" s="117">
        <f t="shared" si="28"/>
        <v>0</v>
      </c>
      <c r="J166" s="117">
        <f>VLOOKUP(A166,JanApport,MATCH($J$4,'Jan 2022 Apport'!$3:$3,0),FALSE)</f>
        <v>413778.88</v>
      </c>
      <c r="K166" s="117">
        <f>VLOOKUP(A166,JanApport,MATCH($K$4,'Jan 2022 Apport'!$3:$3,0),FALSE)</f>
        <v>0</v>
      </c>
      <c r="L166" s="117">
        <f t="shared" si="29"/>
        <v>413778.88</v>
      </c>
      <c r="M166" s="117">
        <f>VLOOKUP(A166,JanApport,MATCH($M$4,'Jan 2022 Apport'!$3:$3,0),FALSE)</f>
        <v>299711.15999999997</v>
      </c>
      <c r="N166" s="117">
        <f>VLOOKUP(A166,JanApport,MATCH($N$4,'Jan 2022 Apport'!$3:$3,0),FALSE)</f>
        <v>0</v>
      </c>
      <c r="O166" s="117">
        <f>VLOOKUP(A166,JanApport,MATCH($O$4,'Jan 2022 Apport'!$3:$3,0),FALSE)</f>
        <v>0</v>
      </c>
      <c r="P166" s="121">
        <f>IFERROR((VLOOKUP(A166,ExcessLevy!A:G,3,FALSE)*0.28),0)+IFERROR((VLOOKUP(A166,ExcessLevy!A:G,6,FALSE)*0.72),0)</f>
        <v>679158</v>
      </c>
      <c r="Q166" s="121">
        <f>IFERROR((VLOOKUP(A166,ExcessLevy!A:G,4,FALSE)*0.4738),0)+IFERROR((VLOOKUP(A166,ExcessLevy!A:G,7,FALSE)*0.5262),0)</f>
        <v>0</v>
      </c>
      <c r="R166">
        <f>VLOOKUP(A166,JanApport,MATCH($R$4,'Jan 2022 Apport'!$3:$3,0),FALSE)</f>
        <v>0</v>
      </c>
      <c r="S166">
        <f>VLOOKUP(A166,JanApport,MATCH($S$4,'Jan 2022 Apport'!$3:$3,0),FALSE)</f>
        <v>0.27</v>
      </c>
      <c r="T166">
        <f>VLOOKUP(A166,JanApport,MATCH($T$4,'Jan 2022 Apport'!$3:$3,0),FALSE)</f>
        <v>6.56</v>
      </c>
      <c r="U166" s="132">
        <f>IFERROR(VLOOKUP(A166,JanApport,MATCH($U$4,'Jan 2022 Apport'!$3:$3,0),FALSE)/R166,0)</f>
        <v>0</v>
      </c>
      <c r="V166" s="30">
        <f>IFERROR(((VLOOKUP(A166,JanApport,MATCH($V$4,'Jan 2022 Apport'!$3:$3,0),FALSE)+VLOOKUP(A166,JanApport,MATCH($V$3,'Jan 2022 Apport'!$3:$3,0),FALSE))/(S166+T166)),0)</f>
        <v>10062.051244509516</v>
      </c>
      <c r="W166" s="30">
        <f t="shared" si="22"/>
        <v>2456.353584791681</v>
      </c>
      <c r="X166">
        <f>VLOOKUP(A166,JanApport,MATCH($X$4,'Jan 2022 Apport'!$3:$3,0),FALSE)</f>
        <v>4.8578999999999997E-2</v>
      </c>
      <c r="Y166">
        <f>VLOOKUP(A166,JanApport,MATCH($Y$4,'Jan 2022 Apport'!$3:$3,0),FALSE)</f>
        <v>4.0270000000000002E-3</v>
      </c>
      <c r="Z166">
        <f>VLOOKUP(A166,JanApport,MATCH($Z$4,'Jan 2022 Apport'!$3:$3,0),FALSE)</f>
        <v>1.7100000000000001E-2</v>
      </c>
      <c r="AA166" s="77">
        <f>VLOOKUP(A166,JanApport,MATCH($AA$4,'Jan 2022 Apport'!$3:$3,0),FALSE)*VLOOKUP(A166,JanApport,MATCH($AA$3,'Jan 2022 Apport'!$3:$3,0),FALSE)</f>
        <v>79750.3</v>
      </c>
      <c r="AB166" s="77">
        <f>VLOOKUP(A166,JanApport,MATCH($AB$4,'Jan 2022 Apport'!$3:$3,0),FALSE)*VLOOKUP(A166,JanApport,MATCH($AB$3,'Jan 2022 Apport'!$3:$3,0),FALSE)</f>
        <v>0</v>
      </c>
      <c r="AC166" s="77">
        <f>VLOOKUP(A166,JanApport,MATCH($AC$4,'Jan 2022 Apport'!$3:$3,0),FALSE)</f>
        <v>0</v>
      </c>
      <c r="AD166" s="77">
        <f>VLOOKUP(A166,JanApport,MATCH($AD$4,'Jan 2022 Apport'!$3:$3,0),FALSE)*VLOOKUP(A166,JanApport,MATCH($AD$3,'Jan 2022 Apport'!$3:$3,0),FALSE)</f>
        <v>0</v>
      </c>
      <c r="AE166" s="77">
        <f>VLOOKUP(A166,JanApport,MATCH($AE$4,'Jan 2022 Apport'!$3:$3,0),FALSE)</f>
        <v>0</v>
      </c>
      <c r="AF166" s="77">
        <f>VLOOKUP(A166,JanApport,MATCH($AF$4,'Jan 2022 Apport'!$3:$3,0),FALSE)*VLOOKUP(A166,JanApport,MATCH($AF$3,'Jan 2022 Apport'!$3:$3,0),FALSE)</f>
        <v>0</v>
      </c>
      <c r="AG166" s="77">
        <f t="shared" si="23"/>
        <v>12358.721920000018</v>
      </c>
      <c r="AH166" s="77">
        <f t="shared" si="24"/>
        <v>11848.32</v>
      </c>
      <c r="AI166" s="77">
        <f t="shared" si="25"/>
        <v>16610.88</v>
      </c>
      <c r="AJ166" s="3">
        <f>VLOOKUP(A166,JanApport,MATCH($AJ$4,'Jan 2022 Apport'!$3:$3,0),FALSE)</f>
        <v>768255.27</v>
      </c>
      <c r="AK166" s="3">
        <f>VLOOKUP(A166,JanApport,MATCH($AK$4,'Jan 2022 Apport'!$3:$3,0),FALSE)</f>
        <v>10.884</v>
      </c>
      <c r="AL166" s="117">
        <f t="shared" si="26"/>
        <v>6708268.75</v>
      </c>
      <c r="AM166" s="117">
        <f>VLOOKUP(A166,JanApport,MATCH($AM$4,'Jan 2022 Apport'!$3:$3,0),FALSE)</f>
        <v>185379</v>
      </c>
      <c r="AN166" s="117">
        <f>VLOOKUP(A166,JanApport,MATCH($AN$4,'Jan 2022 Apport'!$3:$3,0),FALSE)</f>
        <v>53169.46</v>
      </c>
    </row>
    <row r="167" spans="1:40">
      <c r="A167" s="2" t="s">
        <v>427</v>
      </c>
      <c r="B167" s="2" t="s">
        <v>428</v>
      </c>
      <c r="C167" s="2" t="s">
        <v>1267</v>
      </c>
      <c r="D167" s="118">
        <f>VLOOKUP(A167,JanApport,MATCH($D$4,'Jan 2022 Apport'!$3:$3,FALSE),FALSE)</f>
        <v>150835335.22</v>
      </c>
      <c r="E167" s="30">
        <f>VLOOKUP(A167,JanApport,MATCH($E$2,'Jan 2022 Apport'!$3:$3,0),FALSE)+VLOOKUP(A167,JanApport,MATCH($E$3,'Jan 2022 Apport'!$3:$3,0),FALSE)+VLOOKUP(A167,JanApport,MATCH($E$4,'Jan 2022 Apport'!$3:$3,0),FALSE)</f>
        <v>12937861.51</v>
      </c>
      <c r="F167" s="118">
        <f t="shared" si="27"/>
        <v>137897473.71000001</v>
      </c>
      <c r="G167" s="117">
        <f>VLOOKUP(A167,JanApport,MATCH($G$4,'Jan 2022 Apport'!$3:$3,0),FALSE)</f>
        <v>1776051.03</v>
      </c>
      <c r="H167" s="117">
        <f>VLOOKUP(A167,JanApport,MATCH($H$3,'Jan 2022 Apport'!$3:$3,0),FALSE)+VLOOKUP(A167,JanApport,MATCH($H$2,'Jan 2022 Apport'!$3:$3,0),FALSE)+VLOOKUP(A167,JanApport,MATCH($H$4,'Jan 2022 Apport'!$3:$3,0),FALSE)</f>
        <v>19586974.800000001</v>
      </c>
      <c r="I167" s="117">
        <f t="shared" si="28"/>
        <v>21363025.830000002</v>
      </c>
      <c r="J167" s="117">
        <f>VLOOKUP(A167,JanApport,MATCH($J$4,'Jan 2022 Apport'!$3:$3,0),FALSE)</f>
        <v>8776624.75</v>
      </c>
      <c r="K167" s="117">
        <f>VLOOKUP(A167,JanApport,MATCH($K$4,'Jan 2022 Apport'!$3:$3,0),FALSE)</f>
        <v>815015.59</v>
      </c>
      <c r="L167" s="117">
        <f t="shared" si="29"/>
        <v>9591640.3399999999</v>
      </c>
      <c r="M167" s="117">
        <f>VLOOKUP(A167,JanApport,MATCH($M$4,'Jan 2022 Apport'!$3:$3,0),FALSE)</f>
        <v>5386031.8600000003</v>
      </c>
      <c r="N167" s="117">
        <f>VLOOKUP(A167,JanApport,MATCH($N$4,'Jan 2022 Apport'!$3:$3,0),FALSE)</f>
        <v>5882740.3499999996</v>
      </c>
      <c r="O167" s="117">
        <f>VLOOKUP(A167,JanApport,MATCH($O$4,'Jan 2022 Apport'!$3:$3,0),FALSE)</f>
        <v>497858.83</v>
      </c>
      <c r="P167" s="121">
        <f>IFERROR((VLOOKUP(A167,ExcessLevy!A:G,3,FALSE)*0.28),0)+IFERROR((VLOOKUP(A167,ExcessLevy!A:G,6,FALSE)*0.72),0)</f>
        <v>0</v>
      </c>
      <c r="Q167" s="121">
        <f>IFERROR((VLOOKUP(A167,ExcessLevy!A:G,4,FALSE)*0.4738),0)+IFERROR((VLOOKUP(A167,ExcessLevy!A:G,7,FALSE)*0.5262),0)</f>
        <v>42148290.426200002</v>
      </c>
      <c r="R167">
        <f>VLOOKUP(A167,JanApport,MATCH($R$4,'Jan 2022 Apport'!$3:$3,0),FALSE)</f>
        <v>482.67</v>
      </c>
      <c r="S167">
        <f>VLOOKUP(A167,JanApport,MATCH($S$4,'Jan 2022 Apport'!$3:$3,0),FALSE)</f>
        <v>166.94</v>
      </c>
      <c r="T167">
        <f>VLOOKUP(A167,JanApport,MATCH($T$4,'Jan 2022 Apport'!$3:$3,0),FALSE)</f>
        <v>554.14</v>
      </c>
      <c r="U167" s="132">
        <f>IFERROR(VLOOKUP(A167,JanApport,MATCH($U$4,'Jan 2022 Apport'!$3:$3,0),FALSE)/R167,0)</f>
        <v>11591.608034474901</v>
      </c>
      <c r="V167" s="30">
        <f>IFERROR(((VLOOKUP(A167,JanApport,MATCH($V$4,'Jan 2022 Apport'!$3:$3,0),FALSE)+VLOOKUP(A167,JanApport,MATCH($V$3,'Jan 2022 Apport'!$3:$3,0),FALSE))/(S167+T167)),0)</f>
        <v>10183.252981638654</v>
      </c>
      <c r="W167" s="30">
        <f t="shared" si="22"/>
        <v>9207.7173564366312</v>
      </c>
      <c r="X167">
        <f>VLOOKUP(A167,JanApport,MATCH($X$4,'Jan 2022 Apport'!$3:$3,0),FALSE)</f>
        <v>4.8578999999999997E-2</v>
      </c>
      <c r="Y167">
        <f>VLOOKUP(A167,JanApport,MATCH($Y$4,'Jan 2022 Apport'!$3:$3,0),FALSE)</f>
        <v>4.0270000000000002E-3</v>
      </c>
      <c r="Z167">
        <f>VLOOKUP(A167,JanApport,MATCH($Z$4,'Jan 2022 Apport'!$3:$3,0),FALSE)</f>
        <v>1.7100000000000001E-2</v>
      </c>
      <c r="AA167" s="77">
        <f>VLOOKUP(A167,JanApport,MATCH($AA$4,'Jan 2022 Apport'!$3:$3,0),FALSE)*VLOOKUP(A167,JanApport,MATCH($AA$3,'Jan 2022 Apport'!$3:$3,0),FALSE)</f>
        <v>81102</v>
      </c>
      <c r="AB167" s="77">
        <f>VLOOKUP(A167,JanApport,MATCH($AB$4,'Jan 2022 Apport'!$3:$3,0),FALSE)*VLOOKUP(A167,JanApport,MATCH($AB$3,'Jan 2022 Apport'!$3:$3,0),FALSE)</f>
        <v>82724.399999999994</v>
      </c>
      <c r="AC167" s="77">
        <f>VLOOKUP(A167,JanApport,MATCH($AC$4,'Jan 2022 Apport'!$3:$3,0),FALSE)</f>
        <v>100321</v>
      </c>
      <c r="AD167" s="77">
        <f>VLOOKUP(A167,JanApport,MATCH($AD$4,'Jan 2022 Apport'!$3:$3,0),FALSE)*VLOOKUP(A167,JanApport,MATCH($AD$3,'Jan 2022 Apport'!$3:$3,0),FALSE)</f>
        <v>122792.4</v>
      </c>
      <c r="AE167" s="77">
        <f>VLOOKUP(A167,JanApport,MATCH($AE$4,'Jan 2022 Apport'!$3:$3,0),FALSE)</f>
        <v>48483</v>
      </c>
      <c r="AF167" s="77">
        <f>VLOOKUP(A167,JanApport,MATCH($AF$4,'Jan 2022 Apport'!$3:$3,0),FALSE)*VLOOKUP(A167,JanApport,MATCH($AF$3,'Jan 2022 Apport'!$3:$3,0),FALSE)</f>
        <v>59343.6</v>
      </c>
      <c r="AG167" s="77">
        <f t="shared" si="23"/>
        <v>113349.04788</v>
      </c>
      <c r="AH167" s="77">
        <f t="shared" si="24"/>
        <v>162383.05708</v>
      </c>
      <c r="AI167" s="77">
        <f t="shared" si="25"/>
        <v>89075.870679119995</v>
      </c>
      <c r="AJ167" s="3">
        <f>VLOOKUP(A167,JanApport,MATCH($AJ$4,'Jan 2022 Apport'!$3:$3,0),FALSE)</f>
        <v>18924830.859999999</v>
      </c>
      <c r="AK167" s="3">
        <f>VLOOKUP(A167,JanApport,MATCH($AK$4,'Jan 2022 Apport'!$3:$3,0),FALSE)</f>
        <v>298.82499999999999</v>
      </c>
      <c r="AL167" s="117">
        <f t="shared" si="26"/>
        <v>195618684.10000002</v>
      </c>
      <c r="AM167" s="117">
        <f>VLOOKUP(A167,JanApport,MATCH($AM$4,'Jan 2022 Apport'!$3:$3,0),FALSE)</f>
        <v>2877067.26</v>
      </c>
      <c r="AN167" s="117">
        <f>VLOOKUP(A167,JanApport,MATCH($AN$4,'Jan 2022 Apport'!$3:$3,0),FALSE)</f>
        <v>1249224.1100000001</v>
      </c>
    </row>
    <row r="168" spans="1:40">
      <c r="A168" s="2" t="s">
        <v>583</v>
      </c>
      <c r="B168" s="2" t="s">
        <v>584</v>
      </c>
      <c r="C168" s="2" t="s">
        <v>1267</v>
      </c>
      <c r="D168" s="118">
        <f>VLOOKUP(A168,JanApport,MATCH($D$4,'Jan 2022 Apport'!$3:$3,FALSE),FALSE)</f>
        <v>10716414.189999999</v>
      </c>
      <c r="E168" s="30">
        <f>VLOOKUP(A168,JanApport,MATCH($E$2,'Jan 2022 Apport'!$3:$3,0),FALSE)+VLOOKUP(A168,JanApport,MATCH($E$3,'Jan 2022 Apport'!$3:$3,0),FALSE)+VLOOKUP(A168,JanApport,MATCH($E$4,'Jan 2022 Apport'!$3:$3,0),FALSE)</f>
        <v>747492.95</v>
      </c>
      <c r="F168" s="118">
        <f t="shared" si="27"/>
        <v>9968921.2400000002</v>
      </c>
      <c r="G168" s="117">
        <f>VLOOKUP(A168,JanApport,MATCH($G$4,'Jan 2022 Apport'!$3:$3,0),FALSE)</f>
        <v>121848</v>
      </c>
      <c r="H168" s="117">
        <f>VLOOKUP(A168,JanApport,MATCH($H$3,'Jan 2022 Apport'!$3:$3,0),FALSE)+VLOOKUP(A168,JanApport,MATCH($H$2,'Jan 2022 Apport'!$3:$3,0),FALSE)+VLOOKUP(A168,JanApport,MATCH($H$4,'Jan 2022 Apport'!$3:$3,0),FALSE)</f>
        <v>1371581.25</v>
      </c>
      <c r="I168" s="117">
        <f t="shared" si="28"/>
        <v>1493429.25</v>
      </c>
      <c r="J168" s="117">
        <f>VLOOKUP(A168,JanApport,MATCH($J$4,'Jan 2022 Apport'!$3:$3,0),FALSE)</f>
        <v>921992.58</v>
      </c>
      <c r="K168" s="117">
        <f>VLOOKUP(A168,JanApport,MATCH($K$4,'Jan 2022 Apport'!$3:$3,0),FALSE)</f>
        <v>113353.83</v>
      </c>
      <c r="L168" s="117">
        <f t="shared" si="29"/>
        <v>1035346.4099999999</v>
      </c>
      <c r="M168" s="117">
        <f>VLOOKUP(A168,JanApport,MATCH($M$4,'Jan 2022 Apport'!$3:$3,0),FALSE)</f>
        <v>386251.73</v>
      </c>
      <c r="N168" s="117">
        <f>VLOOKUP(A168,JanApport,MATCH($N$4,'Jan 2022 Apport'!$3:$3,0),FALSE)</f>
        <v>127772.23</v>
      </c>
      <c r="O168" s="117">
        <f>VLOOKUP(A168,JanApport,MATCH($O$4,'Jan 2022 Apport'!$3:$3,0),FALSE)</f>
        <v>34437.839999999997</v>
      </c>
      <c r="P168" s="121">
        <f>IFERROR((VLOOKUP(A168,ExcessLevy!A:G,3,FALSE)*0.28),0)+IFERROR((VLOOKUP(A168,ExcessLevy!A:G,6,FALSE)*0.72),0)</f>
        <v>287147.98800000001</v>
      </c>
      <c r="Q168" s="121">
        <f>IFERROR((VLOOKUP(A168,ExcessLevy!A:G,4,FALSE)*0.4738),0)+IFERROR((VLOOKUP(A168,ExcessLevy!A:G,7,FALSE)*0.5262),0)</f>
        <v>2855240</v>
      </c>
      <c r="R168">
        <f>VLOOKUP(A168,JanApport,MATCH($R$4,'Jan 2022 Apport'!$3:$3,0),FALSE)</f>
        <v>0</v>
      </c>
      <c r="S168">
        <f>VLOOKUP(A168,JanApport,MATCH($S$4,'Jan 2022 Apport'!$3:$3,0),FALSE)</f>
        <v>20.63</v>
      </c>
      <c r="T168">
        <f>VLOOKUP(A168,JanApport,MATCH($T$4,'Jan 2022 Apport'!$3:$3,0),FALSE)</f>
        <v>63.17</v>
      </c>
      <c r="U168" s="132">
        <f>IFERROR(VLOOKUP(A168,JanApport,MATCH($U$4,'Jan 2022 Apport'!$3:$3,0),FALSE)/R168,0)</f>
        <v>0</v>
      </c>
      <c r="V168" s="30">
        <f>IFERROR(((VLOOKUP(A168,JanApport,MATCH($V$4,'Jan 2022 Apport'!$3:$3,0),FALSE)+VLOOKUP(A168,JanApport,MATCH($V$3,'Jan 2022 Apport'!$3:$3,0),FALSE))/(S168+T168)),0)</f>
        <v>8919.9636038186163</v>
      </c>
      <c r="W168" s="30">
        <f t="shared" si="22"/>
        <v>2452.5713248960005</v>
      </c>
      <c r="X168">
        <f>VLOOKUP(A168,JanApport,MATCH($X$4,'Jan 2022 Apport'!$3:$3,0),FALSE)</f>
        <v>4.8578999999999997E-2</v>
      </c>
      <c r="Y168">
        <f>VLOOKUP(A168,JanApport,MATCH($Y$4,'Jan 2022 Apport'!$3:$3,0),FALSE)</f>
        <v>4.0270000000000002E-3</v>
      </c>
      <c r="Z168">
        <f>VLOOKUP(A168,JanApport,MATCH($Z$4,'Jan 2022 Apport'!$3:$3,0),FALSE)</f>
        <v>1.7100000000000001E-2</v>
      </c>
      <c r="AA168" s="77">
        <f>VLOOKUP(A168,JanApport,MATCH($AA$4,'Jan 2022 Apport'!$3:$3,0),FALSE)*VLOOKUP(A168,JanApport,MATCH($AA$3,'Jan 2022 Apport'!$3:$3,0),FALSE)</f>
        <v>67585</v>
      </c>
      <c r="AB168" s="77">
        <f>VLOOKUP(A168,JanApport,MATCH($AB$4,'Jan 2022 Apport'!$3:$3,0),FALSE)*VLOOKUP(A168,JanApport,MATCH($AB$3,'Jan 2022 Apport'!$3:$3,0),FALSE)</f>
        <v>0</v>
      </c>
      <c r="AC168" s="77">
        <f>VLOOKUP(A168,JanApport,MATCH($AC$4,'Jan 2022 Apport'!$3:$3,0),FALSE)</f>
        <v>0</v>
      </c>
      <c r="AD168" s="77">
        <f>VLOOKUP(A168,JanApport,MATCH($AD$4,'Jan 2022 Apport'!$3:$3,0),FALSE)*VLOOKUP(A168,JanApport,MATCH($AD$3,'Jan 2022 Apport'!$3:$3,0),FALSE)</f>
        <v>0</v>
      </c>
      <c r="AE168" s="77">
        <f>VLOOKUP(A168,JanApport,MATCH($AE$4,'Jan 2022 Apport'!$3:$3,0),FALSE)</f>
        <v>0</v>
      </c>
      <c r="AF168" s="77">
        <f>VLOOKUP(A168,JanApport,MATCH($AF$4,'Jan 2022 Apport'!$3:$3,0),FALSE)*VLOOKUP(A168,JanApport,MATCH($AF$3,'Jan 2022 Apport'!$3:$3,0),FALSE)</f>
        <v>0</v>
      </c>
      <c r="AG168" s="77">
        <f t="shared" si="23"/>
        <v>12280.864000000009</v>
      </c>
      <c r="AH168" s="77">
        <f t="shared" si="24"/>
        <v>11848.32</v>
      </c>
      <c r="AI168" s="77">
        <f t="shared" si="25"/>
        <v>16610.88</v>
      </c>
      <c r="AJ168" s="3">
        <f>VLOOKUP(A168,JanApport,MATCH($AJ$4,'Jan 2022 Apport'!$3:$3,0),FALSE)</f>
        <v>1498592.14</v>
      </c>
      <c r="AK168" s="3">
        <f>VLOOKUP(A168,JanApport,MATCH($AK$4,'Jan 2022 Apport'!$3:$3,0),FALSE)</f>
        <v>24.484999999999999</v>
      </c>
      <c r="AL168" s="117">
        <f t="shared" si="26"/>
        <v>13921460.57</v>
      </c>
      <c r="AM168" s="117">
        <f>VLOOKUP(A168,JanApport,MATCH($AM$4,'Jan 2022 Apport'!$3:$3,0),FALSE)</f>
        <v>241162.75</v>
      </c>
      <c r="AN168" s="117">
        <f>VLOOKUP(A168,JanApport,MATCH($AN$4,'Jan 2022 Apport'!$3:$3,0),FALSE)</f>
        <v>83137.37</v>
      </c>
    </row>
    <row r="169" spans="1:40">
      <c r="A169" s="2" t="s">
        <v>271</v>
      </c>
      <c r="B169" s="2" t="s">
        <v>272</v>
      </c>
      <c r="C169" s="2" t="s">
        <v>1267</v>
      </c>
      <c r="D169" s="118">
        <f>VLOOKUP(A169,JanApport,MATCH($D$4,'Jan 2022 Apport'!$3:$3,FALSE),FALSE)</f>
        <v>6914478.3499999996</v>
      </c>
      <c r="E169" s="30">
        <f>VLOOKUP(A169,JanApport,MATCH($E$2,'Jan 2022 Apport'!$3:$3,0),FALSE)+VLOOKUP(A169,JanApport,MATCH($E$3,'Jan 2022 Apport'!$3:$3,0),FALSE)+VLOOKUP(A169,JanApport,MATCH($E$4,'Jan 2022 Apport'!$3:$3,0),FALSE)</f>
        <v>1073162.32</v>
      </c>
      <c r="F169" s="118">
        <f t="shared" si="27"/>
        <v>5841316.0299999993</v>
      </c>
      <c r="G169" s="117">
        <f>VLOOKUP(A169,JanApport,MATCH($G$4,'Jan 2022 Apport'!$3:$3,0),FALSE)</f>
        <v>81257.69</v>
      </c>
      <c r="H169" s="117">
        <f>VLOOKUP(A169,JanApport,MATCH($H$3,'Jan 2022 Apport'!$3:$3,0),FALSE)+VLOOKUP(A169,JanApport,MATCH($H$2,'Jan 2022 Apport'!$3:$3,0),FALSE)+VLOOKUP(A169,JanApport,MATCH($H$4,'Jan 2022 Apport'!$3:$3,0),FALSE)</f>
        <v>658148.72</v>
      </c>
      <c r="I169" s="117">
        <f t="shared" si="28"/>
        <v>739406.40999999992</v>
      </c>
      <c r="J169" s="117">
        <f>VLOOKUP(A169,JanApport,MATCH($J$4,'Jan 2022 Apport'!$3:$3,0),FALSE)</f>
        <v>379220.22</v>
      </c>
      <c r="K169" s="117">
        <f>VLOOKUP(A169,JanApport,MATCH($K$4,'Jan 2022 Apport'!$3:$3,0),FALSE)</f>
        <v>50519.74</v>
      </c>
      <c r="L169" s="117">
        <f t="shared" si="29"/>
        <v>429739.95999999996</v>
      </c>
      <c r="M169" s="117">
        <f>VLOOKUP(A169,JanApport,MATCH($M$4,'Jan 2022 Apport'!$3:$3,0),FALSE)</f>
        <v>201343.98</v>
      </c>
      <c r="N169" s="117">
        <f>VLOOKUP(A169,JanApport,MATCH($N$4,'Jan 2022 Apport'!$3:$3,0),FALSE)</f>
        <v>27687.23</v>
      </c>
      <c r="O169" s="117">
        <f>VLOOKUP(A169,JanApport,MATCH($O$4,'Jan 2022 Apport'!$3:$3,0),FALSE)</f>
        <v>21621.49</v>
      </c>
      <c r="P169" s="121">
        <f>IFERROR((VLOOKUP(A169,ExcessLevy!A:G,3,FALSE)*0.28),0)+IFERROR((VLOOKUP(A169,ExcessLevy!A:G,6,FALSE)*0.72),0)</f>
        <v>275700.35480000003</v>
      </c>
      <c r="Q169" s="121">
        <f>IFERROR((VLOOKUP(A169,ExcessLevy!A:G,4,FALSE)*0.4738),0)+IFERROR((VLOOKUP(A169,ExcessLevy!A:G,7,FALSE)*0.5262),0)</f>
        <v>796534.60639999993</v>
      </c>
      <c r="R169">
        <f>VLOOKUP(A169,JanApport,MATCH($R$4,'Jan 2022 Apport'!$3:$3,0),FALSE)</f>
        <v>0</v>
      </c>
      <c r="S169">
        <f>VLOOKUP(A169,JanApport,MATCH($S$4,'Jan 2022 Apport'!$3:$3,0),FALSE)</f>
        <v>42.48</v>
      </c>
      <c r="T169">
        <f>VLOOKUP(A169,JanApport,MATCH($T$4,'Jan 2022 Apport'!$3:$3,0),FALSE)</f>
        <v>77.87</v>
      </c>
      <c r="U169" s="132">
        <f>IFERROR(VLOOKUP(A169,JanApport,MATCH($U$4,'Jan 2022 Apport'!$3:$3,0),FALSE)/R169,0)</f>
        <v>0</v>
      </c>
      <c r="V169" s="30">
        <f>IFERROR(((VLOOKUP(A169,JanApport,MATCH($V$4,'Jan 2022 Apport'!$3:$3,0),FALSE)+VLOOKUP(A169,JanApport,MATCH($V$3,'Jan 2022 Apport'!$3:$3,0),FALSE))/(S169+T169)),0)</f>
        <v>8917.0113834648946</v>
      </c>
      <c r="W169" s="30">
        <f t="shared" si="22"/>
        <v>8083.6246967786601</v>
      </c>
      <c r="X169">
        <f>VLOOKUP(A169,JanApport,MATCH($X$4,'Jan 2022 Apport'!$3:$3,0),FALSE)</f>
        <v>4.8578999999999997E-2</v>
      </c>
      <c r="Y169">
        <f>VLOOKUP(A169,JanApport,MATCH($Y$4,'Jan 2022 Apport'!$3:$3,0),FALSE)</f>
        <v>4.0270000000000002E-3</v>
      </c>
      <c r="Z169">
        <f>VLOOKUP(A169,JanApport,MATCH($Z$4,'Jan 2022 Apport'!$3:$3,0),FALSE)</f>
        <v>1.7100000000000001E-2</v>
      </c>
      <c r="AA169" s="77">
        <f>VLOOKUP(A169,JanApport,MATCH($AA$4,'Jan 2022 Apport'!$3:$3,0),FALSE)*VLOOKUP(A169,JanApport,MATCH($AA$3,'Jan 2022 Apport'!$3:$3,0),FALSE)</f>
        <v>67585</v>
      </c>
      <c r="AB169" s="77">
        <f>VLOOKUP(A169,JanApport,MATCH($AB$4,'Jan 2022 Apport'!$3:$3,0),FALSE)*VLOOKUP(A169,JanApport,MATCH($AB$3,'Jan 2022 Apport'!$3:$3,0),FALSE)</f>
        <v>68937</v>
      </c>
      <c r="AC169" s="77">
        <f>VLOOKUP(A169,JanApport,MATCH($AC$4,'Jan 2022 Apport'!$3:$3,0),FALSE)</f>
        <v>100321</v>
      </c>
      <c r="AD169" s="77">
        <f>VLOOKUP(A169,JanApport,MATCH($AD$4,'Jan 2022 Apport'!$3:$3,0),FALSE)*VLOOKUP(A169,JanApport,MATCH($AD$3,'Jan 2022 Apport'!$3:$3,0),FALSE)</f>
        <v>102327</v>
      </c>
      <c r="AE169" s="77">
        <f>VLOOKUP(A169,JanApport,MATCH($AE$4,'Jan 2022 Apport'!$3:$3,0),FALSE)</f>
        <v>48483</v>
      </c>
      <c r="AF169" s="77">
        <f>VLOOKUP(A169,JanApport,MATCH($AF$4,'Jan 2022 Apport'!$3:$3,0),FALSE)*VLOOKUP(A169,JanApport,MATCH($AF$3,'Jan 2022 Apport'!$3:$3,0),FALSE)</f>
        <v>49453</v>
      </c>
      <c r="AG169" s="77">
        <f t="shared" si="23"/>
        <v>96432.259900000005</v>
      </c>
      <c r="AH169" s="77">
        <f t="shared" si="24"/>
        <v>137400.94330000001</v>
      </c>
      <c r="AI169" s="77">
        <f t="shared" si="25"/>
        <v>77281.189732599989</v>
      </c>
      <c r="AJ169" s="3">
        <f>VLOOKUP(A169,JanApport,MATCH($AJ$4,'Jan 2022 Apport'!$3:$3,0),FALSE)</f>
        <v>901198.89</v>
      </c>
      <c r="AK169" s="3">
        <f>VLOOKUP(A169,JanApport,MATCH($AK$4,'Jan 2022 Apport'!$3:$3,0),FALSE)</f>
        <v>13.629</v>
      </c>
      <c r="AL169" s="117">
        <f t="shared" si="26"/>
        <v>8283757.6800000006</v>
      </c>
      <c r="AM169" s="117">
        <f>VLOOKUP(A169,JanApport,MATCH($AM$4,'Jan 2022 Apport'!$3:$3,0),FALSE)</f>
        <v>0</v>
      </c>
      <c r="AN169" s="117">
        <f>VLOOKUP(A169,JanApport,MATCH($AN$4,'Jan 2022 Apport'!$3:$3,0),FALSE)</f>
        <v>50253.81</v>
      </c>
    </row>
    <row r="170" spans="1:40">
      <c r="A170" s="2" t="s">
        <v>349</v>
      </c>
      <c r="B170" s="2" t="s">
        <v>350</v>
      </c>
      <c r="C170" s="2" t="s">
        <v>1267</v>
      </c>
      <c r="D170" s="118">
        <f>VLOOKUP(A170,JanApport,MATCH($D$4,'Jan 2022 Apport'!$3:$3,FALSE),FALSE)</f>
        <v>3470597.32</v>
      </c>
      <c r="E170" s="30">
        <f>VLOOKUP(A170,JanApport,MATCH($E$2,'Jan 2022 Apport'!$3:$3,0),FALSE)+VLOOKUP(A170,JanApport,MATCH($E$3,'Jan 2022 Apport'!$3:$3,0),FALSE)+VLOOKUP(A170,JanApport,MATCH($E$4,'Jan 2022 Apport'!$3:$3,0),FALSE)</f>
        <v>116900.67000000001</v>
      </c>
      <c r="F170" s="118">
        <f t="shared" si="27"/>
        <v>3353696.65</v>
      </c>
      <c r="G170" s="117">
        <f>VLOOKUP(A170,JanApport,MATCH($G$4,'Jan 2022 Apport'!$3:$3,0),FALSE)</f>
        <v>12347.1</v>
      </c>
      <c r="H170" s="117">
        <f>VLOOKUP(A170,JanApport,MATCH($H$3,'Jan 2022 Apport'!$3:$3,0),FALSE)+VLOOKUP(A170,JanApport,MATCH($H$2,'Jan 2022 Apport'!$3:$3,0),FALSE)+VLOOKUP(A170,JanApport,MATCH($H$4,'Jan 2022 Apport'!$3:$3,0),FALSE)</f>
        <v>318981.33</v>
      </c>
      <c r="I170" s="117">
        <f t="shared" si="28"/>
        <v>331328.43</v>
      </c>
      <c r="J170" s="117">
        <f>VLOOKUP(A170,JanApport,MATCH($J$4,'Jan 2022 Apport'!$3:$3,0),FALSE)</f>
        <v>229737.67</v>
      </c>
      <c r="K170" s="117">
        <f>VLOOKUP(A170,JanApport,MATCH($K$4,'Jan 2022 Apport'!$3:$3,0),FALSE)</f>
        <v>54213.23</v>
      </c>
      <c r="L170" s="117">
        <f t="shared" si="29"/>
        <v>283950.90000000002</v>
      </c>
      <c r="M170" s="117">
        <f>VLOOKUP(A170,JanApport,MATCH($M$4,'Jan 2022 Apport'!$3:$3,0),FALSE)</f>
        <v>101864.48</v>
      </c>
      <c r="N170" s="117">
        <f>VLOOKUP(A170,JanApport,MATCH($N$4,'Jan 2022 Apport'!$3:$3,0),FALSE)</f>
        <v>22681.55</v>
      </c>
      <c r="O170" s="117">
        <f>VLOOKUP(A170,JanApport,MATCH($O$4,'Jan 2022 Apport'!$3:$3,0),FALSE)</f>
        <v>9113.1200000000008</v>
      </c>
      <c r="P170" s="121">
        <f>IFERROR((VLOOKUP(A170,ExcessLevy!A:G,3,FALSE)*0.28),0)+IFERROR((VLOOKUP(A170,ExcessLevy!A:G,6,FALSE)*0.72),0)</f>
        <v>7674.3744000000006</v>
      </c>
      <c r="Q170" s="121">
        <f>IFERROR((VLOOKUP(A170,ExcessLevy!A:G,4,FALSE)*0.4738),0)+IFERROR((VLOOKUP(A170,ExcessLevy!A:G,7,FALSE)*0.5262),0)</f>
        <v>517879.8</v>
      </c>
      <c r="R170">
        <f>VLOOKUP(A170,JanApport,MATCH($R$4,'Jan 2022 Apport'!$3:$3,0),FALSE)</f>
        <v>0</v>
      </c>
      <c r="S170">
        <f>VLOOKUP(A170,JanApport,MATCH($S$4,'Jan 2022 Apport'!$3:$3,0),FALSE)</f>
        <v>2.02</v>
      </c>
      <c r="T170">
        <f>VLOOKUP(A170,JanApport,MATCH($T$4,'Jan 2022 Apport'!$3:$3,0),FALSE)</f>
        <v>10.82</v>
      </c>
      <c r="U170" s="132">
        <f>IFERROR(VLOOKUP(A170,JanApport,MATCH($U$4,'Jan 2022 Apport'!$3:$3,0),FALSE)/R170,0)</f>
        <v>0</v>
      </c>
      <c r="V170" s="30">
        <f>IFERROR(((VLOOKUP(A170,JanApport,MATCH($V$4,'Jan 2022 Apport'!$3:$3,0),FALSE)+VLOOKUP(A170,JanApport,MATCH($V$3,'Jan 2022 Apport'!$3:$3,0),FALSE))/(S170+T170)),0)</f>
        <v>9104.4135514018708</v>
      </c>
      <c r="W170" s="30">
        <f t="shared" si="22"/>
        <v>8083.6246967786601</v>
      </c>
      <c r="X170">
        <f>VLOOKUP(A170,JanApport,MATCH($X$4,'Jan 2022 Apport'!$3:$3,0),FALSE)</f>
        <v>4.8578999999999997E-2</v>
      </c>
      <c r="Y170">
        <f>VLOOKUP(A170,JanApport,MATCH($Y$4,'Jan 2022 Apport'!$3:$3,0),FALSE)</f>
        <v>4.0270000000000002E-3</v>
      </c>
      <c r="Z170">
        <f>VLOOKUP(A170,JanApport,MATCH($Z$4,'Jan 2022 Apport'!$3:$3,0),FALSE)</f>
        <v>1.7100000000000001E-2</v>
      </c>
      <c r="AA170" s="77">
        <f>VLOOKUP(A170,JanApport,MATCH($AA$4,'Jan 2022 Apport'!$3:$3,0),FALSE)*VLOOKUP(A170,JanApport,MATCH($AA$3,'Jan 2022 Apport'!$3:$3,0),FALSE)</f>
        <v>67585</v>
      </c>
      <c r="AB170" s="77">
        <f>VLOOKUP(A170,JanApport,MATCH($AB$4,'Jan 2022 Apport'!$3:$3,0),FALSE)*VLOOKUP(A170,JanApport,MATCH($AB$3,'Jan 2022 Apport'!$3:$3,0),FALSE)</f>
        <v>68937</v>
      </c>
      <c r="AC170" s="77">
        <f>VLOOKUP(A170,JanApport,MATCH($AC$4,'Jan 2022 Apport'!$3:$3,0),FALSE)</f>
        <v>100321</v>
      </c>
      <c r="AD170" s="77">
        <f>VLOOKUP(A170,JanApport,MATCH($AD$4,'Jan 2022 Apport'!$3:$3,0),FALSE)*VLOOKUP(A170,JanApport,MATCH($AD$3,'Jan 2022 Apport'!$3:$3,0),FALSE)</f>
        <v>102327</v>
      </c>
      <c r="AE170" s="77">
        <f>VLOOKUP(A170,JanApport,MATCH($AE$4,'Jan 2022 Apport'!$3:$3,0),FALSE)</f>
        <v>48483</v>
      </c>
      <c r="AF170" s="77">
        <f>VLOOKUP(A170,JanApport,MATCH($AF$4,'Jan 2022 Apport'!$3:$3,0),FALSE)*VLOOKUP(A170,JanApport,MATCH($AF$3,'Jan 2022 Apport'!$3:$3,0),FALSE)</f>
        <v>49453</v>
      </c>
      <c r="AG170" s="77">
        <f t="shared" si="23"/>
        <v>96432.259900000005</v>
      </c>
      <c r="AH170" s="77">
        <f t="shared" si="24"/>
        <v>137400.94330000001</v>
      </c>
      <c r="AI170" s="77">
        <f t="shared" si="25"/>
        <v>77281.189732599989</v>
      </c>
      <c r="AJ170" s="3">
        <f>VLOOKUP(A170,JanApport,MATCH($AJ$4,'Jan 2022 Apport'!$3:$3,0),FALSE)</f>
        <v>474146.9</v>
      </c>
      <c r="AK170" s="3">
        <f>VLOOKUP(A170,JanApport,MATCH($AK$4,'Jan 2022 Apport'!$3:$3,0),FALSE)</f>
        <v>4.8650000000000002</v>
      </c>
      <c r="AL170" s="117">
        <f t="shared" si="26"/>
        <v>3926137.9599999995</v>
      </c>
      <c r="AM170" s="117">
        <f>VLOOKUP(A170,JanApport,MATCH($AM$4,'Jan 2022 Apport'!$3:$3,0),FALSE)</f>
        <v>92143.82</v>
      </c>
      <c r="AN170" s="117">
        <f>VLOOKUP(A170,JanApport,MATCH($AN$4,'Jan 2022 Apport'!$3:$3,0),FALSE)</f>
        <v>29750.09</v>
      </c>
    </row>
    <row r="171" spans="1:40">
      <c r="A171" s="2" t="s">
        <v>327</v>
      </c>
      <c r="B171" s="2" t="s">
        <v>328</v>
      </c>
      <c r="C171" s="2" t="s">
        <v>1267</v>
      </c>
      <c r="D171" s="118">
        <f>VLOOKUP(A171,JanApport,MATCH($D$4,'Jan 2022 Apport'!$3:$3,FALSE),FALSE)</f>
        <v>1265660.02</v>
      </c>
      <c r="E171" s="30">
        <f>VLOOKUP(A171,JanApport,MATCH($E$2,'Jan 2022 Apport'!$3:$3,0),FALSE)+VLOOKUP(A171,JanApport,MATCH($E$3,'Jan 2022 Apport'!$3:$3,0),FALSE)+VLOOKUP(A171,JanApport,MATCH($E$4,'Jan 2022 Apport'!$3:$3,0),FALSE)</f>
        <v>0</v>
      </c>
      <c r="F171" s="118">
        <f t="shared" si="27"/>
        <v>1265660.02</v>
      </c>
      <c r="G171" s="117">
        <f>VLOOKUP(A171,JanApport,MATCH($G$4,'Jan 2022 Apport'!$3:$3,0),FALSE)</f>
        <v>15563.95</v>
      </c>
      <c r="H171" s="117">
        <f>VLOOKUP(A171,JanApport,MATCH($H$3,'Jan 2022 Apport'!$3:$3,0),FALSE)+VLOOKUP(A171,JanApport,MATCH($H$2,'Jan 2022 Apport'!$3:$3,0),FALSE)+VLOOKUP(A171,JanApport,MATCH($H$4,'Jan 2022 Apport'!$3:$3,0),FALSE)</f>
        <v>157196.54</v>
      </c>
      <c r="I171" s="117">
        <f t="shared" si="28"/>
        <v>172760.49000000002</v>
      </c>
      <c r="J171" s="117">
        <f>VLOOKUP(A171,JanApport,MATCH($J$4,'Jan 2022 Apport'!$3:$3,0),FALSE)</f>
        <v>178803.79</v>
      </c>
      <c r="K171" s="117">
        <f>VLOOKUP(A171,JanApport,MATCH($K$4,'Jan 2022 Apport'!$3:$3,0),FALSE)</f>
        <v>33822.58</v>
      </c>
      <c r="L171" s="117">
        <f t="shared" si="29"/>
        <v>212626.37</v>
      </c>
      <c r="M171" s="117">
        <f>VLOOKUP(A171,JanApport,MATCH($M$4,'Jan 2022 Apport'!$3:$3,0),FALSE)</f>
        <v>82474.710000000006</v>
      </c>
      <c r="N171" s="117">
        <f>VLOOKUP(A171,JanApport,MATCH($N$4,'Jan 2022 Apport'!$3:$3,0),FALSE)</f>
        <v>0</v>
      </c>
      <c r="O171" s="117">
        <f>VLOOKUP(A171,JanApport,MATCH($O$4,'Jan 2022 Apport'!$3:$3,0),FALSE)</f>
        <v>0</v>
      </c>
      <c r="P171" s="121">
        <f>IFERROR((VLOOKUP(A171,ExcessLevy!A:G,3,FALSE)*0.28),0)+IFERROR((VLOOKUP(A171,ExcessLevy!A:G,6,FALSE)*0.72),0)</f>
        <v>270387.17599999998</v>
      </c>
      <c r="Q171" s="121">
        <f>IFERROR((VLOOKUP(A171,ExcessLevy!A:G,4,FALSE)*0.4738),0)+IFERROR((VLOOKUP(A171,ExcessLevy!A:G,7,FALSE)*0.5262),0)</f>
        <v>36000</v>
      </c>
      <c r="R171">
        <f>VLOOKUP(A171,JanApport,MATCH($R$4,'Jan 2022 Apport'!$3:$3,0),FALSE)</f>
        <v>0</v>
      </c>
      <c r="S171">
        <f>VLOOKUP(A171,JanApport,MATCH($S$4,'Jan 2022 Apport'!$3:$3,0),FALSE)</f>
        <v>0</v>
      </c>
      <c r="T171">
        <f>VLOOKUP(A171,JanApport,MATCH($T$4,'Jan 2022 Apport'!$3:$3,0),FALSE)</f>
        <v>0</v>
      </c>
      <c r="U171" s="132">
        <f>IFERROR(VLOOKUP(A171,JanApport,MATCH($U$4,'Jan 2022 Apport'!$3:$3,0),FALSE)/R171,0)</f>
        <v>0</v>
      </c>
      <c r="V171" s="30">
        <f>IFERROR(((VLOOKUP(A171,JanApport,MATCH($V$4,'Jan 2022 Apport'!$3:$3,0),FALSE)+VLOOKUP(A171,JanApport,MATCH($V$3,'Jan 2022 Apport'!$3:$3,0),FALSE))/(S171+T171)),0)</f>
        <v>0</v>
      </c>
      <c r="W171" s="30">
        <f t="shared" si="22"/>
        <v>8419.5917413774914</v>
      </c>
      <c r="X171">
        <f>VLOOKUP(A171,JanApport,MATCH($X$4,'Jan 2022 Apport'!$3:$3,0),FALSE)</f>
        <v>4.8578999999999997E-2</v>
      </c>
      <c r="Y171">
        <f>VLOOKUP(A171,JanApport,MATCH($Y$4,'Jan 2022 Apport'!$3:$3,0),FALSE)</f>
        <v>4.0270000000000002E-3</v>
      </c>
      <c r="Z171">
        <f>VLOOKUP(A171,JanApport,MATCH($Z$4,'Jan 2022 Apport'!$3:$3,0),FALSE)</f>
        <v>1.7100000000000001E-2</v>
      </c>
      <c r="AA171" s="77">
        <f>VLOOKUP(A171,JanApport,MATCH($AA$4,'Jan 2022 Apport'!$3:$3,0),FALSE)*VLOOKUP(A171,JanApport,MATCH($AA$3,'Jan 2022 Apport'!$3:$3,0),FALSE)</f>
        <v>67585</v>
      </c>
      <c r="AB171" s="77">
        <f>VLOOKUP(A171,JanApport,MATCH($AB$4,'Jan 2022 Apport'!$3:$3,0),FALSE)*VLOOKUP(A171,JanApport,MATCH($AB$3,'Jan 2022 Apport'!$3:$3,0),FALSE)</f>
        <v>73073.22</v>
      </c>
      <c r="AC171" s="77">
        <f>VLOOKUP(A171,JanApport,MATCH($AC$4,'Jan 2022 Apport'!$3:$3,0),FALSE)</f>
        <v>100321</v>
      </c>
      <c r="AD171" s="77">
        <f>VLOOKUP(A171,JanApport,MATCH($AD$4,'Jan 2022 Apport'!$3:$3,0),FALSE)*VLOOKUP(A171,JanApport,MATCH($AD$3,'Jan 2022 Apport'!$3:$3,0),FALSE)</f>
        <v>108466.62000000001</v>
      </c>
      <c r="AE171" s="77">
        <f>VLOOKUP(A171,JanApport,MATCH($AE$4,'Jan 2022 Apport'!$3:$3,0),FALSE)</f>
        <v>48483</v>
      </c>
      <c r="AF171" s="77">
        <f>VLOOKUP(A171,JanApport,MATCH($AF$4,'Jan 2022 Apport'!$3:$3,0),FALSE)*VLOOKUP(A171,JanApport,MATCH($AF$3,'Jan 2022 Apport'!$3:$3,0),FALSE)</f>
        <v>52420.18</v>
      </c>
      <c r="AG171" s="77">
        <f t="shared" si="23"/>
        <v>101481.343654</v>
      </c>
      <c r="AH171" s="77">
        <f t="shared" si="24"/>
        <v>144895.57743400004</v>
      </c>
      <c r="AI171" s="77">
        <f t="shared" si="25"/>
        <v>80819.594016556002</v>
      </c>
      <c r="AJ171" s="3">
        <f>VLOOKUP(A171,JanApport,MATCH($AJ$4,'Jan 2022 Apport'!$3:$3,0),FALSE)</f>
        <v>178266.11</v>
      </c>
      <c r="AK171" s="3">
        <f>VLOOKUP(A171,JanApport,MATCH($AK$4,'Jan 2022 Apport'!$3:$3,0),FALSE)</f>
        <v>4.28</v>
      </c>
      <c r="AL171" s="117">
        <f t="shared" si="26"/>
        <v>1737561.06</v>
      </c>
      <c r="AM171" s="117">
        <f>VLOOKUP(A171,JanApport,MATCH($AM$4,'Jan 2022 Apport'!$3:$3,0),FALSE)</f>
        <v>37862.050000000003</v>
      </c>
      <c r="AN171" s="117">
        <f>VLOOKUP(A171,JanApport,MATCH($AN$4,'Jan 2022 Apport'!$3:$3,0),FALSE)</f>
        <v>11217.38</v>
      </c>
    </row>
    <row r="172" spans="1:40">
      <c r="A172" s="2" t="s">
        <v>355</v>
      </c>
      <c r="B172" s="2" t="s">
        <v>356</v>
      </c>
      <c r="C172" s="2" t="s">
        <v>1267</v>
      </c>
      <c r="D172" s="118">
        <f>VLOOKUP(A172,JanApport,MATCH($D$4,'Jan 2022 Apport'!$3:$3,FALSE),FALSE)</f>
        <v>8979775.3800000008</v>
      </c>
      <c r="E172" s="30">
        <f>VLOOKUP(A172,JanApport,MATCH($E$2,'Jan 2022 Apport'!$3:$3,0),FALSE)+VLOOKUP(A172,JanApport,MATCH($E$3,'Jan 2022 Apport'!$3:$3,0),FALSE)+VLOOKUP(A172,JanApport,MATCH($E$4,'Jan 2022 Apport'!$3:$3,0),FALSE)</f>
        <v>1190514.56</v>
      </c>
      <c r="F172" s="118">
        <f t="shared" si="27"/>
        <v>7789260.8200000003</v>
      </c>
      <c r="G172" s="117">
        <f>VLOOKUP(A172,JanApport,MATCH($G$4,'Jan 2022 Apport'!$3:$3,0),FALSE)</f>
        <v>66467.42</v>
      </c>
      <c r="H172" s="117">
        <f>VLOOKUP(A172,JanApport,MATCH($H$3,'Jan 2022 Apport'!$3:$3,0),FALSE)+VLOOKUP(A172,JanApport,MATCH($H$2,'Jan 2022 Apport'!$3:$3,0),FALSE)+VLOOKUP(A172,JanApport,MATCH($H$4,'Jan 2022 Apport'!$3:$3,0),FALSE)</f>
        <v>1179445.1100000001</v>
      </c>
      <c r="I172" s="117">
        <f t="shared" si="28"/>
        <v>1245912.53</v>
      </c>
      <c r="J172" s="117">
        <f>VLOOKUP(A172,JanApport,MATCH($J$4,'Jan 2022 Apport'!$3:$3,0),FALSE)</f>
        <v>771491.39</v>
      </c>
      <c r="K172" s="117">
        <f>VLOOKUP(A172,JanApport,MATCH($K$4,'Jan 2022 Apport'!$3:$3,0),FALSE)</f>
        <v>0</v>
      </c>
      <c r="L172" s="117">
        <f t="shared" si="29"/>
        <v>771491.39</v>
      </c>
      <c r="M172" s="117">
        <f>VLOOKUP(A172,JanApport,MATCH($M$4,'Jan 2022 Apport'!$3:$3,0),FALSE)</f>
        <v>364825.9</v>
      </c>
      <c r="N172" s="117">
        <f>VLOOKUP(A172,JanApport,MATCH($N$4,'Jan 2022 Apport'!$3:$3,0),FALSE)</f>
        <v>0</v>
      </c>
      <c r="O172" s="117">
        <f>VLOOKUP(A172,JanApport,MATCH($O$4,'Jan 2022 Apport'!$3:$3,0),FALSE)</f>
        <v>28861.25</v>
      </c>
      <c r="P172" s="121">
        <f>IFERROR((VLOOKUP(A172,ExcessLevy!A:G,3,FALSE)*0.28),0)+IFERROR((VLOOKUP(A172,ExcessLevy!A:G,6,FALSE)*0.72),0)</f>
        <v>64013.874400000008</v>
      </c>
      <c r="Q172" s="121">
        <f>IFERROR((VLOOKUP(A172,ExcessLevy!A:G,4,FALSE)*0.4738),0)+IFERROR((VLOOKUP(A172,ExcessLevy!A:G,7,FALSE)*0.5262),0)</f>
        <v>1590793.0646000002</v>
      </c>
      <c r="R172">
        <f>VLOOKUP(A172,JanApport,MATCH($R$4,'Jan 2022 Apport'!$3:$3,0),FALSE)</f>
        <v>0</v>
      </c>
      <c r="S172">
        <f>VLOOKUP(A172,JanApport,MATCH($S$4,'Jan 2022 Apport'!$3:$3,0),FALSE)</f>
        <v>31.55</v>
      </c>
      <c r="T172">
        <f>VLOOKUP(A172,JanApport,MATCH($T$4,'Jan 2022 Apport'!$3:$3,0),FALSE)</f>
        <v>101.91</v>
      </c>
      <c r="U172" s="132">
        <f>IFERROR(VLOOKUP(A172,JanApport,MATCH($U$4,'Jan 2022 Apport'!$3:$3,0),FALSE)/R172,0)</f>
        <v>0</v>
      </c>
      <c r="V172" s="30">
        <f>IFERROR(((VLOOKUP(A172,JanApport,MATCH($V$4,'Jan 2022 Apport'!$3:$3,0),FALSE)+VLOOKUP(A172,JanApport,MATCH($V$3,'Jan 2022 Apport'!$3:$3,0),FALSE))/(S172+T172)),0)</f>
        <v>8920.3848344073122</v>
      </c>
      <c r="W172" s="30">
        <f t="shared" si="22"/>
        <v>8083.6246967786601</v>
      </c>
      <c r="X172">
        <f>VLOOKUP(A172,JanApport,MATCH($X$4,'Jan 2022 Apport'!$3:$3,0),FALSE)</f>
        <v>4.8578999999999997E-2</v>
      </c>
      <c r="Y172">
        <f>VLOOKUP(A172,JanApport,MATCH($Y$4,'Jan 2022 Apport'!$3:$3,0),FALSE)</f>
        <v>4.0270000000000002E-3</v>
      </c>
      <c r="Z172">
        <f>VLOOKUP(A172,JanApport,MATCH($Z$4,'Jan 2022 Apport'!$3:$3,0),FALSE)</f>
        <v>1.7100000000000001E-2</v>
      </c>
      <c r="AA172" s="77">
        <f>VLOOKUP(A172,JanApport,MATCH($AA$4,'Jan 2022 Apport'!$3:$3,0),FALSE)*VLOOKUP(A172,JanApport,MATCH($AA$3,'Jan 2022 Apport'!$3:$3,0),FALSE)</f>
        <v>67585</v>
      </c>
      <c r="AB172" s="77">
        <f>VLOOKUP(A172,JanApport,MATCH($AB$4,'Jan 2022 Apport'!$3:$3,0),FALSE)*VLOOKUP(A172,JanApport,MATCH($AB$3,'Jan 2022 Apport'!$3:$3,0),FALSE)</f>
        <v>68937</v>
      </c>
      <c r="AC172" s="77">
        <f>VLOOKUP(A172,JanApport,MATCH($AC$4,'Jan 2022 Apport'!$3:$3,0),FALSE)</f>
        <v>100321</v>
      </c>
      <c r="AD172" s="77">
        <f>VLOOKUP(A172,JanApport,MATCH($AD$4,'Jan 2022 Apport'!$3:$3,0),FALSE)*VLOOKUP(A172,JanApport,MATCH($AD$3,'Jan 2022 Apport'!$3:$3,0),FALSE)</f>
        <v>102327</v>
      </c>
      <c r="AE172" s="77">
        <f>VLOOKUP(A172,JanApport,MATCH($AE$4,'Jan 2022 Apport'!$3:$3,0),FALSE)</f>
        <v>48483</v>
      </c>
      <c r="AF172" s="77">
        <f>VLOOKUP(A172,JanApport,MATCH($AF$4,'Jan 2022 Apport'!$3:$3,0),FALSE)*VLOOKUP(A172,JanApport,MATCH($AF$3,'Jan 2022 Apport'!$3:$3,0),FALSE)</f>
        <v>49453</v>
      </c>
      <c r="AG172" s="77">
        <f t="shared" si="23"/>
        <v>96432.259900000005</v>
      </c>
      <c r="AH172" s="77">
        <f t="shared" si="24"/>
        <v>137400.94330000001</v>
      </c>
      <c r="AI172" s="77">
        <f t="shared" si="25"/>
        <v>77281.189732599989</v>
      </c>
      <c r="AJ172" s="3">
        <f>VLOOKUP(A172,JanApport,MATCH($AJ$4,'Jan 2022 Apport'!$3:$3,0),FALSE)</f>
        <v>1078845.93</v>
      </c>
      <c r="AK172" s="3">
        <f>VLOOKUP(A172,JanApport,MATCH($AK$4,'Jan 2022 Apport'!$3:$3,0),FALSE)</f>
        <v>16.972000000000001</v>
      </c>
      <c r="AL172" s="117">
        <f t="shared" si="26"/>
        <v>11665488.680000002</v>
      </c>
      <c r="AM172" s="117">
        <f>VLOOKUP(A172,JanApport,MATCH($AM$4,'Jan 2022 Apport'!$3:$3,0),FALSE)</f>
        <v>274622.23</v>
      </c>
      <c r="AN172" s="117">
        <f>VLOOKUP(A172,JanApport,MATCH($AN$4,'Jan 2022 Apport'!$3:$3,0),FALSE)</f>
        <v>59057.45</v>
      </c>
    </row>
    <row r="173" spans="1:40">
      <c r="A173" s="2" t="s">
        <v>457</v>
      </c>
      <c r="B173" s="2" t="s">
        <v>458</v>
      </c>
      <c r="C173" s="2" t="s">
        <v>1267</v>
      </c>
      <c r="D173" s="118">
        <f>VLOOKUP(A173,JanApport,MATCH($D$4,'Jan 2022 Apport'!$3:$3,FALSE),FALSE)</f>
        <v>12075154.550000001</v>
      </c>
      <c r="E173" s="30">
        <f>VLOOKUP(A173,JanApport,MATCH($E$2,'Jan 2022 Apport'!$3:$3,0),FALSE)+VLOOKUP(A173,JanApport,MATCH($E$3,'Jan 2022 Apport'!$3:$3,0),FALSE)+VLOOKUP(A173,JanApport,MATCH($E$4,'Jan 2022 Apport'!$3:$3,0),FALSE)</f>
        <v>883634.97</v>
      </c>
      <c r="F173" s="118">
        <f t="shared" si="27"/>
        <v>11191519.58</v>
      </c>
      <c r="G173" s="117">
        <f>VLOOKUP(A173,JanApport,MATCH($G$4,'Jan 2022 Apport'!$3:$3,0),FALSE)</f>
        <v>83653.77</v>
      </c>
      <c r="H173" s="117">
        <f>VLOOKUP(A173,JanApport,MATCH($H$3,'Jan 2022 Apport'!$3:$3,0),FALSE)+VLOOKUP(A173,JanApport,MATCH($H$2,'Jan 2022 Apport'!$3:$3,0),FALSE)+VLOOKUP(A173,JanApport,MATCH($H$4,'Jan 2022 Apport'!$3:$3,0),FALSE)</f>
        <v>1570631.73</v>
      </c>
      <c r="I173" s="117">
        <f t="shared" si="28"/>
        <v>1654285.5</v>
      </c>
      <c r="J173" s="117">
        <f>VLOOKUP(A173,JanApport,MATCH($J$4,'Jan 2022 Apport'!$3:$3,0),FALSE)</f>
        <v>1004936.7</v>
      </c>
      <c r="K173" s="117">
        <f>VLOOKUP(A173,JanApport,MATCH($K$4,'Jan 2022 Apport'!$3:$3,0),FALSE)</f>
        <v>0</v>
      </c>
      <c r="L173" s="117">
        <f t="shared" si="29"/>
        <v>1004936.7</v>
      </c>
      <c r="M173" s="117">
        <f>VLOOKUP(A173,JanApport,MATCH($M$4,'Jan 2022 Apport'!$3:$3,0),FALSE)</f>
        <v>219639.09</v>
      </c>
      <c r="N173" s="117">
        <f>VLOOKUP(A173,JanApport,MATCH($N$4,'Jan 2022 Apport'!$3:$3,0),FALSE)</f>
        <v>0</v>
      </c>
      <c r="O173" s="117">
        <f>VLOOKUP(A173,JanApport,MATCH($O$4,'Jan 2022 Apport'!$3:$3,0),FALSE)</f>
        <v>39133.910000000003</v>
      </c>
      <c r="P173" s="121">
        <f>IFERROR((VLOOKUP(A173,ExcessLevy!A:G,3,FALSE)*0.28),0)+IFERROR((VLOOKUP(A173,ExcessLevy!A:G,6,FALSE)*0.72),0)</f>
        <v>234414.66960000002</v>
      </c>
      <c r="Q173" s="121">
        <f>IFERROR((VLOOKUP(A173,ExcessLevy!A:G,4,FALSE)*0.4738),0)+IFERROR((VLOOKUP(A173,ExcessLevy!A:G,7,FALSE)*0.5262),0)</f>
        <v>2837526.41</v>
      </c>
      <c r="R173">
        <f>VLOOKUP(A173,JanApport,MATCH($R$4,'Jan 2022 Apport'!$3:$3,0),FALSE)</f>
        <v>0</v>
      </c>
      <c r="S173">
        <f>VLOOKUP(A173,JanApport,MATCH($S$4,'Jan 2022 Apport'!$3:$3,0),FALSE)</f>
        <v>2.48</v>
      </c>
      <c r="T173">
        <f>VLOOKUP(A173,JanApport,MATCH($T$4,'Jan 2022 Apport'!$3:$3,0),FALSE)</f>
        <v>96.56</v>
      </c>
      <c r="U173" s="132">
        <f>IFERROR(VLOOKUP(A173,JanApport,MATCH($U$4,'Jan 2022 Apport'!$3:$3,0),FALSE)/R173,0)</f>
        <v>0</v>
      </c>
      <c r="V173" s="30">
        <f>IFERROR(((VLOOKUP(A173,JanApport,MATCH($V$4,'Jan 2022 Apport'!$3:$3,0),FALSE)+VLOOKUP(A173,JanApport,MATCH($V$3,'Jan 2022 Apport'!$3:$3,0),FALSE))/(S173+T173)),0)</f>
        <v>8922.0009087237468</v>
      </c>
      <c r="W173" s="30">
        <f t="shared" si="22"/>
        <v>8083.6246967786601</v>
      </c>
      <c r="X173">
        <f>VLOOKUP(A173,JanApport,MATCH($X$4,'Jan 2022 Apport'!$3:$3,0),FALSE)</f>
        <v>4.8578999999999997E-2</v>
      </c>
      <c r="Y173">
        <f>VLOOKUP(A173,JanApport,MATCH($Y$4,'Jan 2022 Apport'!$3:$3,0),FALSE)</f>
        <v>4.0270000000000002E-3</v>
      </c>
      <c r="Z173">
        <f>VLOOKUP(A173,JanApport,MATCH($Z$4,'Jan 2022 Apport'!$3:$3,0),FALSE)</f>
        <v>1.7100000000000001E-2</v>
      </c>
      <c r="AA173" s="77">
        <f>VLOOKUP(A173,JanApport,MATCH($AA$4,'Jan 2022 Apport'!$3:$3,0),FALSE)*VLOOKUP(A173,JanApport,MATCH($AA$3,'Jan 2022 Apport'!$3:$3,0),FALSE)</f>
        <v>67585</v>
      </c>
      <c r="AB173" s="77">
        <f>VLOOKUP(A173,JanApport,MATCH($AB$4,'Jan 2022 Apport'!$3:$3,0),FALSE)*VLOOKUP(A173,JanApport,MATCH($AB$3,'Jan 2022 Apport'!$3:$3,0),FALSE)</f>
        <v>68937</v>
      </c>
      <c r="AC173" s="77">
        <f>VLOOKUP(A173,JanApport,MATCH($AC$4,'Jan 2022 Apport'!$3:$3,0),FALSE)</f>
        <v>100321</v>
      </c>
      <c r="AD173" s="77">
        <f>VLOOKUP(A173,JanApport,MATCH($AD$4,'Jan 2022 Apport'!$3:$3,0),FALSE)*VLOOKUP(A173,JanApport,MATCH($AD$3,'Jan 2022 Apport'!$3:$3,0),FALSE)</f>
        <v>102327</v>
      </c>
      <c r="AE173" s="77">
        <f>VLOOKUP(A173,JanApport,MATCH($AE$4,'Jan 2022 Apport'!$3:$3,0),FALSE)</f>
        <v>48483</v>
      </c>
      <c r="AF173" s="77">
        <f>VLOOKUP(A173,JanApport,MATCH($AF$4,'Jan 2022 Apport'!$3:$3,0),FALSE)*VLOOKUP(A173,JanApport,MATCH($AF$3,'Jan 2022 Apport'!$3:$3,0),FALSE)</f>
        <v>49453</v>
      </c>
      <c r="AG173" s="77">
        <f t="shared" si="23"/>
        <v>96432.259900000005</v>
      </c>
      <c r="AH173" s="77">
        <f t="shared" si="24"/>
        <v>137400.94330000001</v>
      </c>
      <c r="AI173" s="77">
        <f t="shared" si="25"/>
        <v>77281.189732599989</v>
      </c>
      <c r="AJ173" s="3">
        <f>VLOOKUP(A173,JanApport,MATCH($AJ$4,'Jan 2022 Apport'!$3:$3,0),FALSE)</f>
        <v>1657932.41</v>
      </c>
      <c r="AK173" s="3">
        <f>VLOOKUP(A173,JanApport,MATCH($AK$4,'Jan 2022 Apport'!$3:$3,0),FALSE)</f>
        <v>23.401</v>
      </c>
      <c r="AL173" s="117">
        <f t="shared" si="26"/>
        <v>14993149.75</v>
      </c>
      <c r="AM173" s="117">
        <f>VLOOKUP(A173,JanApport,MATCH($AM$4,'Jan 2022 Apport'!$3:$3,0),FALSE)</f>
        <v>0</v>
      </c>
      <c r="AN173" s="117">
        <f>VLOOKUP(A173,JanApport,MATCH($AN$4,'Jan 2022 Apport'!$3:$3,0),FALSE)</f>
        <v>89670.33</v>
      </c>
    </row>
    <row r="174" spans="1:40">
      <c r="A174" s="2" t="s">
        <v>549</v>
      </c>
      <c r="B174" s="2" t="s">
        <v>550</v>
      </c>
      <c r="C174" s="2" t="s">
        <v>1267</v>
      </c>
      <c r="D174" s="118">
        <f>VLOOKUP(A174,JanApport,MATCH($D$4,'Jan 2022 Apport'!$3:$3,FALSE),FALSE)</f>
        <v>16507212.16</v>
      </c>
      <c r="E174" s="30">
        <f>VLOOKUP(A174,JanApport,MATCH($E$2,'Jan 2022 Apport'!$3:$3,0),FALSE)+VLOOKUP(A174,JanApport,MATCH($E$3,'Jan 2022 Apport'!$3:$3,0),FALSE)+VLOOKUP(A174,JanApport,MATCH($E$4,'Jan 2022 Apport'!$3:$3,0),FALSE)</f>
        <v>814770.9</v>
      </c>
      <c r="F174" s="118">
        <f t="shared" si="27"/>
        <v>15692441.26</v>
      </c>
      <c r="G174" s="117">
        <f>VLOOKUP(A174,JanApport,MATCH($G$4,'Jan 2022 Apport'!$3:$3,0),FALSE)</f>
        <v>272138.14</v>
      </c>
      <c r="H174" s="117">
        <f>VLOOKUP(A174,JanApport,MATCH($H$3,'Jan 2022 Apport'!$3:$3,0),FALSE)+VLOOKUP(A174,JanApport,MATCH($H$2,'Jan 2022 Apport'!$3:$3,0),FALSE)+VLOOKUP(A174,JanApport,MATCH($H$4,'Jan 2022 Apport'!$3:$3,0),FALSE)</f>
        <v>2217037.67</v>
      </c>
      <c r="I174" s="117">
        <f t="shared" si="28"/>
        <v>2489175.81</v>
      </c>
      <c r="J174" s="117">
        <f>VLOOKUP(A174,JanApport,MATCH($J$4,'Jan 2022 Apport'!$3:$3,0),FALSE)</f>
        <v>1292236.75</v>
      </c>
      <c r="K174" s="117">
        <f>VLOOKUP(A174,JanApport,MATCH($K$4,'Jan 2022 Apport'!$3:$3,0),FALSE)</f>
        <v>189162.88</v>
      </c>
      <c r="L174" s="117">
        <f t="shared" si="29"/>
        <v>1481399.63</v>
      </c>
      <c r="M174" s="117">
        <f>VLOOKUP(A174,JanApport,MATCH($M$4,'Jan 2022 Apport'!$3:$3,0),FALSE)</f>
        <v>633515.92000000004</v>
      </c>
      <c r="N174" s="117">
        <f>VLOOKUP(A174,JanApport,MATCH($N$4,'Jan 2022 Apport'!$3:$3,0),FALSE)</f>
        <v>394672.89</v>
      </c>
      <c r="O174" s="117">
        <f>VLOOKUP(A174,JanApport,MATCH($O$4,'Jan 2022 Apport'!$3:$3,0),FALSE)</f>
        <v>53453.86</v>
      </c>
      <c r="P174" s="121">
        <f>IFERROR((VLOOKUP(A174,ExcessLevy!A:G,3,FALSE)*0.28),0)+IFERROR((VLOOKUP(A174,ExcessLevy!A:G,6,FALSE)*0.72),0)</f>
        <v>982404.82200000016</v>
      </c>
      <c r="Q174" s="121">
        <f>IFERROR((VLOOKUP(A174,ExcessLevy!A:G,4,FALSE)*0.4738),0)+IFERROR((VLOOKUP(A174,ExcessLevy!A:G,7,FALSE)*0.5262),0)</f>
        <v>2441268.1869999999</v>
      </c>
      <c r="R174">
        <f>VLOOKUP(A174,JanApport,MATCH($R$4,'Jan 2022 Apport'!$3:$3,0),FALSE)</f>
        <v>0</v>
      </c>
      <c r="S174">
        <f>VLOOKUP(A174,JanApport,MATCH($S$4,'Jan 2022 Apport'!$3:$3,0),FALSE)</f>
        <v>12.82</v>
      </c>
      <c r="T174">
        <f>VLOOKUP(A174,JanApport,MATCH($T$4,'Jan 2022 Apport'!$3:$3,0),FALSE)</f>
        <v>74.8</v>
      </c>
      <c r="U174" s="132">
        <f>IFERROR(VLOOKUP(A174,JanApport,MATCH($U$4,'Jan 2022 Apport'!$3:$3,0),FALSE)/R174,0)</f>
        <v>0</v>
      </c>
      <c r="V174" s="30">
        <f>IFERROR(((VLOOKUP(A174,JanApport,MATCH($V$4,'Jan 2022 Apport'!$3:$3,0),FALSE)+VLOOKUP(A174,JanApport,MATCH($V$3,'Jan 2022 Apport'!$3:$3,0),FALSE))/(S174+T174)),0)</f>
        <v>9298.9146313627025</v>
      </c>
      <c r="W174" s="30">
        <f t="shared" si="22"/>
        <v>8420.8524946760499</v>
      </c>
      <c r="X174">
        <f>VLOOKUP(A174,JanApport,MATCH($X$4,'Jan 2022 Apport'!$3:$3,0),FALSE)</f>
        <v>4.8578999999999997E-2</v>
      </c>
      <c r="Y174">
        <f>VLOOKUP(A174,JanApport,MATCH($Y$4,'Jan 2022 Apport'!$3:$3,0),FALSE)</f>
        <v>4.0270000000000002E-3</v>
      </c>
      <c r="Z174">
        <f>VLOOKUP(A174,JanApport,MATCH($Z$4,'Jan 2022 Apport'!$3:$3,0),FALSE)</f>
        <v>1.7100000000000001E-2</v>
      </c>
      <c r="AA174" s="77">
        <f>VLOOKUP(A174,JanApport,MATCH($AA$4,'Jan 2022 Apport'!$3:$3,0),FALSE)*VLOOKUP(A174,JanApport,MATCH($AA$3,'Jan 2022 Apport'!$3:$3,0),FALSE)</f>
        <v>71640.100000000006</v>
      </c>
      <c r="AB174" s="77">
        <f>VLOOKUP(A174,JanApport,MATCH($AB$4,'Jan 2022 Apport'!$3:$3,0),FALSE)*VLOOKUP(A174,JanApport,MATCH($AB$3,'Jan 2022 Apport'!$3:$3,0),FALSE)</f>
        <v>73073.22</v>
      </c>
      <c r="AC174" s="77">
        <f>VLOOKUP(A174,JanApport,MATCH($AC$4,'Jan 2022 Apport'!$3:$3,0),FALSE)</f>
        <v>100321</v>
      </c>
      <c r="AD174" s="77">
        <f>VLOOKUP(A174,JanApport,MATCH($AD$4,'Jan 2022 Apport'!$3:$3,0),FALSE)*VLOOKUP(A174,JanApport,MATCH($AD$3,'Jan 2022 Apport'!$3:$3,0),FALSE)</f>
        <v>108466.62000000001</v>
      </c>
      <c r="AE174" s="77">
        <f>VLOOKUP(A174,JanApport,MATCH($AE$4,'Jan 2022 Apport'!$3:$3,0),FALSE)</f>
        <v>48483</v>
      </c>
      <c r="AF174" s="77">
        <f>VLOOKUP(A174,JanApport,MATCH($AF$4,'Jan 2022 Apport'!$3:$3,0),FALSE)*VLOOKUP(A174,JanApport,MATCH($AF$3,'Jan 2022 Apport'!$3:$3,0),FALSE)</f>
        <v>52420.18</v>
      </c>
      <c r="AG174" s="77">
        <f t="shared" si="23"/>
        <v>101507.296294</v>
      </c>
      <c r="AH174" s="77">
        <f t="shared" si="24"/>
        <v>144895.57743400004</v>
      </c>
      <c r="AI174" s="77">
        <f t="shared" si="25"/>
        <v>80819.594016556002</v>
      </c>
      <c r="AJ174" s="3">
        <f>VLOOKUP(A174,JanApport,MATCH($AJ$4,'Jan 2022 Apport'!$3:$3,0),FALSE)</f>
        <v>2339887.5699999998</v>
      </c>
      <c r="AK174" s="3">
        <f>VLOOKUP(A174,JanApport,MATCH($AK$4,'Jan 2022 Apport'!$3:$3,0),FALSE)</f>
        <v>40.718000000000004</v>
      </c>
      <c r="AL174" s="117">
        <f t="shared" si="26"/>
        <v>21815201.339999996</v>
      </c>
      <c r="AM174" s="117">
        <f>VLOOKUP(A174,JanApport,MATCH($AM$4,'Jan 2022 Apport'!$3:$3,0),FALSE)</f>
        <v>444933.95</v>
      </c>
      <c r="AN174" s="117">
        <f>VLOOKUP(A174,JanApport,MATCH($AN$4,'Jan 2022 Apport'!$3:$3,0),FALSE)</f>
        <v>139387.64000000001</v>
      </c>
    </row>
    <row r="175" spans="1:40">
      <c r="A175" s="2" t="s">
        <v>145</v>
      </c>
      <c r="B175" s="2" t="s">
        <v>146</v>
      </c>
      <c r="C175" s="2" t="s">
        <v>1267</v>
      </c>
      <c r="D175" s="118">
        <f>VLOOKUP(A175,JanApport,MATCH($D$4,'Jan 2022 Apport'!$3:$3,FALSE),FALSE)</f>
        <v>6765353.1299999999</v>
      </c>
      <c r="E175" s="30">
        <f>VLOOKUP(A175,JanApport,MATCH($E$2,'Jan 2022 Apport'!$3:$3,0),FALSE)+VLOOKUP(A175,JanApport,MATCH($E$3,'Jan 2022 Apport'!$3:$3,0),FALSE)+VLOOKUP(A175,JanApport,MATCH($E$4,'Jan 2022 Apport'!$3:$3,0),FALSE)</f>
        <v>348369.62</v>
      </c>
      <c r="F175" s="118">
        <f t="shared" si="27"/>
        <v>6416983.5099999998</v>
      </c>
      <c r="G175" s="117">
        <f>VLOOKUP(A175,JanApport,MATCH($G$4,'Jan 2022 Apport'!$3:$3,0),FALSE)</f>
        <v>32641.34</v>
      </c>
      <c r="H175" s="117">
        <f>VLOOKUP(A175,JanApport,MATCH($H$3,'Jan 2022 Apport'!$3:$3,0),FALSE)+VLOOKUP(A175,JanApport,MATCH($H$2,'Jan 2022 Apport'!$3:$3,0),FALSE)+VLOOKUP(A175,JanApport,MATCH($H$4,'Jan 2022 Apport'!$3:$3,0),FALSE)</f>
        <v>855464.36999999988</v>
      </c>
      <c r="I175" s="117">
        <f t="shared" si="28"/>
        <v>888105.70999999985</v>
      </c>
      <c r="J175" s="117">
        <f>VLOOKUP(A175,JanApport,MATCH($J$4,'Jan 2022 Apport'!$3:$3,0),FALSE)</f>
        <v>593198.63</v>
      </c>
      <c r="K175" s="117">
        <f>VLOOKUP(A175,JanApport,MATCH($K$4,'Jan 2022 Apport'!$3:$3,0),FALSE)</f>
        <v>72209.33</v>
      </c>
      <c r="L175" s="117">
        <f t="shared" si="29"/>
        <v>665407.96</v>
      </c>
      <c r="M175" s="117">
        <f>VLOOKUP(A175,JanApport,MATCH($M$4,'Jan 2022 Apport'!$3:$3,0),FALSE)</f>
        <v>336258.15</v>
      </c>
      <c r="N175" s="117">
        <f>VLOOKUP(A175,JanApport,MATCH($N$4,'Jan 2022 Apport'!$3:$3,0),FALSE)</f>
        <v>28861.25</v>
      </c>
      <c r="O175" s="117">
        <f>VLOOKUP(A175,JanApport,MATCH($O$4,'Jan 2022 Apport'!$3:$3,0),FALSE)</f>
        <v>20447.47</v>
      </c>
      <c r="P175" s="121">
        <f>IFERROR((VLOOKUP(A175,ExcessLevy!A:G,3,FALSE)*0.28),0)+IFERROR((VLOOKUP(A175,ExcessLevy!A:G,6,FALSE)*0.72),0)</f>
        <v>0</v>
      </c>
      <c r="Q175" s="121">
        <f>IFERROR((VLOOKUP(A175,ExcessLevy!A:G,4,FALSE)*0.4738),0)+IFERROR((VLOOKUP(A175,ExcessLevy!A:G,7,FALSE)*0.5262),0)</f>
        <v>1971964.8870000001</v>
      </c>
      <c r="R175">
        <f>VLOOKUP(A175,JanApport,MATCH($R$4,'Jan 2022 Apport'!$3:$3,0),FALSE)</f>
        <v>0</v>
      </c>
      <c r="S175">
        <f>VLOOKUP(A175,JanApport,MATCH($S$4,'Jan 2022 Apport'!$3:$3,0),FALSE)</f>
        <v>14.74</v>
      </c>
      <c r="T175">
        <f>VLOOKUP(A175,JanApport,MATCH($T$4,'Jan 2022 Apport'!$3:$3,0),FALSE)</f>
        <v>24.34</v>
      </c>
      <c r="U175" s="132">
        <f>IFERROR(VLOOKUP(A175,JanApport,MATCH($U$4,'Jan 2022 Apport'!$3:$3,0),FALSE)/R175,0)</f>
        <v>0</v>
      </c>
      <c r="V175" s="30">
        <f>IFERROR(((VLOOKUP(A175,JanApport,MATCH($V$4,'Jan 2022 Apport'!$3:$3,0),FALSE)+VLOOKUP(A175,JanApport,MATCH($V$3,'Jan 2022 Apport'!$3:$3,0),FALSE))/(S175+T175)),0)</f>
        <v>8914.2686796315247</v>
      </c>
      <c r="W175" s="30">
        <f t="shared" si="22"/>
        <v>8083.6246967786601</v>
      </c>
      <c r="X175">
        <f>VLOOKUP(A175,JanApport,MATCH($X$4,'Jan 2022 Apport'!$3:$3,0),FALSE)</f>
        <v>4.8578999999999997E-2</v>
      </c>
      <c r="Y175">
        <f>VLOOKUP(A175,JanApport,MATCH($Y$4,'Jan 2022 Apport'!$3:$3,0),FALSE)</f>
        <v>4.0270000000000002E-3</v>
      </c>
      <c r="Z175">
        <f>VLOOKUP(A175,JanApport,MATCH($Z$4,'Jan 2022 Apport'!$3:$3,0),FALSE)</f>
        <v>1.7100000000000001E-2</v>
      </c>
      <c r="AA175" s="77">
        <f>VLOOKUP(A175,JanApport,MATCH($AA$4,'Jan 2022 Apport'!$3:$3,0),FALSE)*VLOOKUP(A175,JanApport,MATCH($AA$3,'Jan 2022 Apport'!$3:$3,0),FALSE)</f>
        <v>67585</v>
      </c>
      <c r="AB175" s="77">
        <f>VLOOKUP(A175,JanApport,MATCH($AB$4,'Jan 2022 Apport'!$3:$3,0),FALSE)*VLOOKUP(A175,JanApport,MATCH($AB$3,'Jan 2022 Apport'!$3:$3,0),FALSE)</f>
        <v>68937</v>
      </c>
      <c r="AC175" s="77">
        <f>VLOOKUP(A175,JanApport,MATCH($AC$4,'Jan 2022 Apport'!$3:$3,0),FALSE)</f>
        <v>100321</v>
      </c>
      <c r="AD175" s="77">
        <f>VLOOKUP(A175,JanApport,MATCH($AD$4,'Jan 2022 Apport'!$3:$3,0),FALSE)*VLOOKUP(A175,JanApport,MATCH($AD$3,'Jan 2022 Apport'!$3:$3,0),FALSE)</f>
        <v>102327</v>
      </c>
      <c r="AE175" s="77">
        <f>VLOOKUP(A175,JanApport,MATCH($AE$4,'Jan 2022 Apport'!$3:$3,0),FALSE)</f>
        <v>48483</v>
      </c>
      <c r="AF175" s="77">
        <f>VLOOKUP(A175,JanApport,MATCH($AF$4,'Jan 2022 Apport'!$3:$3,0),FALSE)*VLOOKUP(A175,JanApport,MATCH($AF$3,'Jan 2022 Apport'!$3:$3,0),FALSE)</f>
        <v>49453</v>
      </c>
      <c r="AG175" s="77">
        <f t="shared" si="23"/>
        <v>96432.259900000005</v>
      </c>
      <c r="AH175" s="77">
        <f t="shared" si="24"/>
        <v>137400.94330000001</v>
      </c>
      <c r="AI175" s="77">
        <f t="shared" si="25"/>
        <v>77281.189732599989</v>
      </c>
      <c r="AJ175" s="3">
        <f>VLOOKUP(A175,JanApport,MATCH($AJ$4,'Jan 2022 Apport'!$3:$3,0),FALSE)</f>
        <v>967140.21</v>
      </c>
      <c r="AK175" s="3">
        <f>VLOOKUP(A175,JanApport,MATCH($AK$4,'Jan 2022 Apport'!$3:$3,0),FALSE)</f>
        <v>16.472999999999999</v>
      </c>
      <c r="AL175" s="117">
        <f t="shared" si="26"/>
        <v>8843253.9799999986</v>
      </c>
      <c r="AM175" s="117">
        <f>VLOOKUP(A175,JanApport,MATCH($AM$4,'Jan 2022 Apport'!$3:$3,0),FALSE)</f>
        <v>211029.64</v>
      </c>
      <c r="AN175" s="117">
        <f>VLOOKUP(A175,JanApport,MATCH($AN$4,'Jan 2022 Apport'!$3:$3,0),FALSE)</f>
        <v>56242.58</v>
      </c>
    </row>
    <row r="176" spans="1:40">
      <c r="A176" s="2" t="s">
        <v>113</v>
      </c>
      <c r="B176" s="2" t="s">
        <v>114</v>
      </c>
      <c r="C176" s="2" t="s">
        <v>1267</v>
      </c>
      <c r="D176" s="118">
        <f>VLOOKUP(A176,JanApport,MATCH($D$4,'Jan 2022 Apport'!$3:$3,FALSE),FALSE)</f>
        <v>17787487.77</v>
      </c>
      <c r="E176" s="30">
        <f>VLOOKUP(A176,JanApport,MATCH($E$2,'Jan 2022 Apport'!$3:$3,0),FALSE)+VLOOKUP(A176,JanApport,MATCH($E$3,'Jan 2022 Apport'!$3:$3,0),FALSE)+VLOOKUP(A176,JanApport,MATCH($E$4,'Jan 2022 Apport'!$3:$3,0),FALSE)</f>
        <v>994408.3600000001</v>
      </c>
      <c r="F176" s="118">
        <f t="shared" si="27"/>
        <v>16793079.41</v>
      </c>
      <c r="G176" s="117">
        <f>VLOOKUP(A176,JanApport,MATCH($G$4,'Jan 2022 Apport'!$3:$3,0),FALSE)</f>
        <v>258633.8</v>
      </c>
      <c r="H176" s="117">
        <f>VLOOKUP(A176,JanApport,MATCH($H$3,'Jan 2022 Apport'!$3:$3,0),FALSE)+VLOOKUP(A176,JanApport,MATCH($H$2,'Jan 2022 Apport'!$3:$3,0),FALSE)+VLOOKUP(A176,JanApport,MATCH($H$4,'Jan 2022 Apport'!$3:$3,0),FALSE)</f>
        <v>2403495.73</v>
      </c>
      <c r="I176" s="117">
        <f t="shared" si="28"/>
        <v>2662129.5299999998</v>
      </c>
      <c r="J176" s="117">
        <f>VLOOKUP(A176,JanApport,MATCH($J$4,'Jan 2022 Apport'!$3:$3,0),FALSE)</f>
        <v>1508732.47</v>
      </c>
      <c r="K176" s="117">
        <f>VLOOKUP(A176,JanApport,MATCH($K$4,'Jan 2022 Apport'!$3:$3,0),FALSE)</f>
        <v>217947.24</v>
      </c>
      <c r="L176" s="117">
        <f t="shared" si="29"/>
        <v>1726679.71</v>
      </c>
      <c r="M176" s="117">
        <f>VLOOKUP(A176,JanApport,MATCH($M$4,'Jan 2022 Apport'!$3:$3,0),FALSE)</f>
        <v>967390.35</v>
      </c>
      <c r="N176" s="117">
        <f>VLOOKUP(A176,JanApport,MATCH($N$4,'Jan 2022 Apport'!$3:$3,0),FALSE)</f>
        <v>1132926.79</v>
      </c>
      <c r="O176" s="117">
        <f>VLOOKUP(A176,JanApport,MATCH($O$4,'Jan 2022 Apport'!$3:$3,0),FALSE)</f>
        <v>57429.01</v>
      </c>
      <c r="P176" s="121">
        <f>IFERROR((VLOOKUP(A176,ExcessLevy!A:G,3,FALSE)*0.28),0)+IFERROR((VLOOKUP(A176,ExcessLevy!A:G,6,FALSE)*0.72),0)</f>
        <v>1513549.7080000001</v>
      </c>
      <c r="Q176" s="121">
        <f>IFERROR((VLOOKUP(A176,ExcessLevy!A:G,4,FALSE)*0.4738),0)+IFERROR((VLOOKUP(A176,ExcessLevy!A:G,7,FALSE)*0.5262),0)</f>
        <v>1981572</v>
      </c>
      <c r="R176">
        <f>VLOOKUP(A176,JanApport,MATCH($R$4,'Jan 2022 Apport'!$3:$3,0),FALSE)</f>
        <v>0</v>
      </c>
      <c r="S176">
        <f>VLOOKUP(A176,JanApport,MATCH($S$4,'Jan 2022 Apport'!$3:$3,0),FALSE)</f>
        <v>7.41</v>
      </c>
      <c r="T176">
        <f>VLOOKUP(A176,JanApport,MATCH($T$4,'Jan 2022 Apport'!$3:$3,0),FALSE)</f>
        <v>104.04</v>
      </c>
      <c r="U176" s="132">
        <f>IFERROR(VLOOKUP(A176,JanApport,MATCH($U$4,'Jan 2022 Apport'!$3:$3,0),FALSE)/R176,0)</f>
        <v>0</v>
      </c>
      <c r="V176" s="30">
        <f>IFERROR(((VLOOKUP(A176,JanApport,MATCH($V$4,'Jan 2022 Apport'!$3:$3,0),FALSE)+VLOOKUP(A176,JanApport,MATCH($V$3,'Jan 2022 Apport'!$3:$3,0),FALSE))/(S176+T176)),0)</f>
        <v>8922.4617317182601</v>
      </c>
      <c r="W176" s="30">
        <f t="shared" si="22"/>
        <v>8083.6246967786601</v>
      </c>
      <c r="X176">
        <f>VLOOKUP(A176,JanApport,MATCH($X$4,'Jan 2022 Apport'!$3:$3,0),FALSE)</f>
        <v>4.8578999999999997E-2</v>
      </c>
      <c r="Y176">
        <f>VLOOKUP(A176,JanApport,MATCH($Y$4,'Jan 2022 Apport'!$3:$3,0),FALSE)</f>
        <v>4.0270000000000002E-3</v>
      </c>
      <c r="Z176">
        <f>VLOOKUP(A176,JanApport,MATCH($Z$4,'Jan 2022 Apport'!$3:$3,0),FALSE)</f>
        <v>1.7100000000000001E-2</v>
      </c>
      <c r="AA176" s="77">
        <f>VLOOKUP(A176,JanApport,MATCH($AA$4,'Jan 2022 Apport'!$3:$3,0),FALSE)*VLOOKUP(A176,JanApport,MATCH($AA$3,'Jan 2022 Apport'!$3:$3,0),FALSE)</f>
        <v>67585</v>
      </c>
      <c r="AB176" s="77">
        <f>VLOOKUP(A176,JanApport,MATCH($AB$4,'Jan 2022 Apport'!$3:$3,0),FALSE)*VLOOKUP(A176,JanApport,MATCH($AB$3,'Jan 2022 Apport'!$3:$3,0),FALSE)</f>
        <v>68937</v>
      </c>
      <c r="AC176" s="77">
        <f>VLOOKUP(A176,JanApport,MATCH($AC$4,'Jan 2022 Apport'!$3:$3,0),FALSE)</f>
        <v>100321</v>
      </c>
      <c r="AD176" s="77">
        <f>VLOOKUP(A176,JanApport,MATCH($AD$4,'Jan 2022 Apport'!$3:$3,0),FALSE)*VLOOKUP(A176,JanApport,MATCH($AD$3,'Jan 2022 Apport'!$3:$3,0),FALSE)</f>
        <v>102327</v>
      </c>
      <c r="AE176" s="77">
        <f>VLOOKUP(A176,JanApport,MATCH($AE$4,'Jan 2022 Apport'!$3:$3,0),FALSE)</f>
        <v>48483</v>
      </c>
      <c r="AF176" s="77">
        <f>VLOOKUP(A176,JanApport,MATCH($AF$4,'Jan 2022 Apport'!$3:$3,0),FALSE)*VLOOKUP(A176,JanApport,MATCH($AF$3,'Jan 2022 Apport'!$3:$3,0),FALSE)</f>
        <v>49453</v>
      </c>
      <c r="AG176" s="77">
        <f t="shared" si="23"/>
        <v>96432.259900000005</v>
      </c>
      <c r="AH176" s="77">
        <f t="shared" si="24"/>
        <v>137400.94330000001</v>
      </c>
      <c r="AI176" s="77">
        <f t="shared" si="25"/>
        <v>77281.189732599989</v>
      </c>
      <c r="AJ176" s="3">
        <f>VLOOKUP(A176,JanApport,MATCH($AJ$4,'Jan 2022 Apport'!$3:$3,0),FALSE)</f>
        <v>2598187.15</v>
      </c>
      <c r="AK176" s="3">
        <f>VLOOKUP(A176,JanApport,MATCH($AK$4,'Jan 2022 Apport'!$3:$3,0),FALSE)</f>
        <v>40.401000000000003</v>
      </c>
      <c r="AL176" s="117">
        <f t="shared" si="26"/>
        <v>24675808.720000003</v>
      </c>
      <c r="AM176" s="117">
        <f>VLOOKUP(A176,JanApport,MATCH($AM$4,'Jan 2022 Apport'!$3:$3,0),FALSE)</f>
        <v>559712.80000000005</v>
      </c>
      <c r="AN176" s="117">
        <f>VLOOKUP(A176,JanApport,MATCH($AN$4,'Jan 2022 Apport'!$3:$3,0),FALSE)</f>
        <v>142834.38</v>
      </c>
    </row>
    <row r="177" spans="1:40">
      <c r="A177" s="2" t="s">
        <v>231</v>
      </c>
      <c r="B177" s="2" t="s">
        <v>232</v>
      </c>
      <c r="C177" s="2" t="s">
        <v>1267</v>
      </c>
      <c r="D177" s="118">
        <f>VLOOKUP(A177,JanApport,MATCH($D$4,'Jan 2022 Apport'!$3:$3,FALSE),FALSE)</f>
        <v>53022256.490000002</v>
      </c>
      <c r="E177" s="30">
        <f>VLOOKUP(A177,JanApport,MATCH($E$2,'Jan 2022 Apport'!$3:$3,0),FALSE)+VLOOKUP(A177,JanApport,MATCH($E$3,'Jan 2022 Apport'!$3:$3,0),FALSE)+VLOOKUP(A177,JanApport,MATCH($E$4,'Jan 2022 Apport'!$3:$3,0),FALSE)</f>
        <v>3495894.0100000002</v>
      </c>
      <c r="F177" s="118">
        <f t="shared" si="27"/>
        <v>49526362.480000004</v>
      </c>
      <c r="G177" s="117">
        <f>VLOOKUP(A177,JanApport,MATCH($G$4,'Jan 2022 Apport'!$3:$3,0),FALSE)</f>
        <v>626291.93000000005</v>
      </c>
      <c r="H177" s="117">
        <f>VLOOKUP(A177,JanApport,MATCH($H$3,'Jan 2022 Apport'!$3:$3,0),FALSE)+VLOOKUP(A177,JanApport,MATCH($H$2,'Jan 2022 Apport'!$3:$3,0),FALSE)+VLOOKUP(A177,JanApport,MATCH($H$4,'Jan 2022 Apport'!$3:$3,0),FALSE)</f>
        <v>6890197.7699999996</v>
      </c>
      <c r="I177" s="117">
        <f t="shared" si="28"/>
        <v>7516489.6999999993</v>
      </c>
      <c r="J177" s="117">
        <f>VLOOKUP(A177,JanApport,MATCH($J$4,'Jan 2022 Apport'!$3:$3,0),FALSE)</f>
        <v>3258207.09</v>
      </c>
      <c r="K177" s="117">
        <f>VLOOKUP(A177,JanApport,MATCH($K$4,'Jan 2022 Apport'!$3:$3,0),FALSE)</f>
        <v>439108.34</v>
      </c>
      <c r="L177" s="117">
        <f t="shared" si="29"/>
        <v>3697315.4299999997</v>
      </c>
      <c r="M177" s="117">
        <f>VLOOKUP(A177,JanApport,MATCH($M$4,'Jan 2022 Apport'!$3:$3,0),FALSE)</f>
        <v>1210629.1100000001</v>
      </c>
      <c r="N177" s="117">
        <f>VLOOKUP(A177,JanApport,MATCH($N$4,'Jan 2022 Apport'!$3:$3,0),FALSE)</f>
        <v>427867.41</v>
      </c>
      <c r="O177" s="117">
        <f>VLOOKUP(A177,JanApport,MATCH($O$4,'Jan 2022 Apport'!$3:$3,0),FALSE)</f>
        <v>176993.89</v>
      </c>
      <c r="P177" s="121">
        <f>IFERROR((VLOOKUP(A177,ExcessLevy!A:G,3,FALSE)*0.28),0)+IFERROR((VLOOKUP(A177,ExcessLevy!A:G,6,FALSE)*0.72),0)</f>
        <v>0</v>
      </c>
      <c r="Q177" s="121">
        <f>IFERROR((VLOOKUP(A177,ExcessLevy!A:G,4,FALSE)*0.4738),0)+IFERROR((VLOOKUP(A177,ExcessLevy!A:G,7,FALSE)*0.5262),0)</f>
        <v>12910114.7162</v>
      </c>
      <c r="R177">
        <f>VLOOKUP(A177,JanApport,MATCH($R$4,'Jan 2022 Apport'!$3:$3,0),FALSE)</f>
        <v>0</v>
      </c>
      <c r="S177">
        <f>VLOOKUP(A177,JanApport,MATCH($S$4,'Jan 2022 Apport'!$3:$3,0),FALSE)</f>
        <v>85.33</v>
      </c>
      <c r="T177">
        <f>VLOOKUP(A177,JanApport,MATCH($T$4,'Jan 2022 Apport'!$3:$3,0),FALSE)</f>
        <v>262.3</v>
      </c>
      <c r="U177" s="132">
        <f>IFERROR(VLOOKUP(A177,JanApport,MATCH($U$4,'Jan 2022 Apport'!$3:$3,0),FALSE)/R177,0)</f>
        <v>0</v>
      </c>
      <c r="V177" s="30">
        <f>IFERROR(((VLOOKUP(A177,JanApport,MATCH($V$4,'Jan 2022 Apport'!$3:$3,0),FALSE)+VLOOKUP(A177,JanApport,MATCH($V$3,'Jan 2022 Apport'!$3:$3,0),FALSE))/(S177+T177)),0)</f>
        <v>10056.364554267469</v>
      </c>
      <c r="W177" s="30">
        <f t="shared" si="22"/>
        <v>9095.3080904708331</v>
      </c>
      <c r="X177">
        <f>VLOOKUP(A177,JanApport,MATCH($X$4,'Jan 2022 Apport'!$3:$3,0),FALSE)</f>
        <v>4.8578999999999997E-2</v>
      </c>
      <c r="Y177">
        <f>VLOOKUP(A177,JanApport,MATCH($Y$4,'Jan 2022 Apport'!$3:$3,0),FALSE)</f>
        <v>4.0270000000000002E-3</v>
      </c>
      <c r="Z177">
        <f>VLOOKUP(A177,JanApport,MATCH($Z$4,'Jan 2022 Apport'!$3:$3,0),FALSE)</f>
        <v>1.7100000000000001E-2</v>
      </c>
      <c r="AA177" s="77">
        <f>VLOOKUP(A177,JanApport,MATCH($AA$4,'Jan 2022 Apport'!$3:$3,0),FALSE)*VLOOKUP(A177,JanApport,MATCH($AA$3,'Jan 2022 Apport'!$3:$3,0),FALSE)</f>
        <v>79750.3</v>
      </c>
      <c r="AB177" s="77">
        <f>VLOOKUP(A177,JanApport,MATCH($AB$4,'Jan 2022 Apport'!$3:$3,0),FALSE)*VLOOKUP(A177,JanApport,MATCH($AB$3,'Jan 2022 Apport'!$3:$3,0),FALSE)</f>
        <v>81345.659999999989</v>
      </c>
      <c r="AC177" s="77">
        <f>VLOOKUP(A177,JanApport,MATCH($AC$4,'Jan 2022 Apport'!$3:$3,0),FALSE)</f>
        <v>100321</v>
      </c>
      <c r="AD177" s="77">
        <f>VLOOKUP(A177,JanApport,MATCH($AD$4,'Jan 2022 Apport'!$3:$3,0),FALSE)*VLOOKUP(A177,JanApport,MATCH($AD$3,'Jan 2022 Apport'!$3:$3,0),FALSE)</f>
        <v>120745.86</v>
      </c>
      <c r="AE177" s="77">
        <f>VLOOKUP(A177,JanApport,MATCH($AE$4,'Jan 2022 Apport'!$3:$3,0),FALSE)</f>
        <v>48483</v>
      </c>
      <c r="AF177" s="77">
        <f>VLOOKUP(A177,JanApport,MATCH($AF$4,'Jan 2022 Apport'!$3:$3,0),FALSE)*VLOOKUP(A177,JanApport,MATCH($AF$3,'Jan 2022 Apport'!$3:$3,0),FALSE)</f>
        <v>58354.539999999994</v>
      </c>
      <c r="AG177" s="77">
        <f t="shared" si="23"/>
        <v>111657.36908199999</v>
      </c>
      <c r="AH177" s="77">
        <f t="shared" si="24"/>
        <v>159884.84570200002</v>
      </c>
      <c r="AI177" s="77">
        <f t="shared" si="25"/>
        <v>87896.402584467985</v>
      </c>
      <c r="AJ177" s="3">
        <f>VLOOKUP(A177,JanApport,MATCH($AJ$4,'Jan 2022 Apport'!$3:$3,0),FALSE)</f>
        <v>6539891.4299999997</v>
      </c>
      <c r="AK177" s="3">
        <f>VLOOKUP(A177,JanApport,MATCH($AK$4,'Jan 2022 Apport'!$3:$3,0),FALSE)</f>
        <v>100.389</v>
      </c>
      <c r="AL177" s="117">
        <f t="shared" si="26"/>
        <v>65708759.180000007</v>
      </c>
      <c r="AM177" s="117">
        <f>VLOOKUP(A177,JanApport,MATCH($AM$4,'Jan 2022 Apport'!$3:$3,0),FALSE)</f>
        <v>96315.49</v>
      </c>
      <c r="AN177" s="117">
        <f>VLOOKUP(A177,JanApport,MATCH($AN$4,'Jan 2022 Apport'!$3:$3,0),FALSE)</f>
        <v>423386.26</v>
      </c>
    </row>
    <row r="178" spans="1:40">
      <c r="A178" s="2" t="s">
        <v>323</v>
      </c>
      <c r="B178" s="2" t="s">
        <v>324</v>
      </c>
      <c r="C178" s="2" t="s">
        <v>1267</v>
      </c>
      <c r="D178" s="118">
        <f>VLOOKUP(A178,JanApport,MATCH($D$4,'Jan 2022 Apport'!$3:$3,FALSE),FALSE)</f>
        <v>20717574.010000002</v>
      </c>
      <c r="E178" s="30">
        <f>VLOOKUP(A178,JanApport,MATCH($E$2,'Jan 2022 Apport'!$3:$3,0),FALSE)+VLOOKUP(A178,JanApport,MATCH($E$3,'Jan 2022 Apport'!$3:$3,0),FALSE)+VLOOKUP(A178,JanApport,MATCH($E$4,'Jan 2022 Apport'!$3:$3,0),FALSE)</f>
        <v>2182449.81</v>
      </c>
      <c r="F178" s="118">
        <f t="shared" si="27"/>
        <v>18535124.200000003</v>
      </c>
      <c r="G178" s="117">
        <f>VLOOKUP(A178,JanApport,MATCH($G$4,'Jan 2022 Apport'!$3:$3,0),FALSE)</f>
        <v>308549.53999999998</v>
      </c>
      <c r="H178" s="117">
        <f>VLOOKUP(A178,JanApport,MATCH($H$3,'Jan 2022 Apport'!$3:$3,0),FALSE)+VLOOKUP(A178,JanApport,MATCH($H$2,'Jan 2022 Apport'!$3:$3,0),FALSE)+VLOOKUP(A178,JanApport,MATCH($H$4,'Jan 2022 Apport'!$3:$3,0),FALSE)</f>
        <v>2779726.88</v>
      </c>
      <c r="I178" s="117">
        <f t="shared" si="28"/>
        <v>3088276.42</v>
      </c>
      <c r="J178" s="117">
        <f>VLOOKUP(A178,JanApport,MATCH($J$4,'Jan 2022 Apport'!$3:$3,0),FALSE)</f>
        <v>2095470.7</v>
      </c>
      <c r="K178" s="117">
        <f>VLOOKUP(A178,JanApport,MATCH($K$4,'Jan 2022 Apport'!$3:$3,0),FALSE)</f>
        <v>164041.82999999999</v>
      </c>
      <c r="L178" s="117">
        <f t="shared" si="29"/>
        <v>2259512.5299999998</v>
      </c>
      <c r="M178" s="117">
        <f>VLOOKUP(A178,JanApport,MATCH($M$4,'Jan 2022 Apport'!$3:$3,0),FALSE)</f>
        <v>824569.72</v>
      </c>
      <c r="N178" s="117">
        <f>VLOOKUP(A178,JanApport,MATCH($N$4,'Jan 2022 Apport'!$3:$3,0),FALSE)</f>
        <v>483968.66</v>
      </c>
      <c r="O178" s="117">
        <f>VLOOKUP(A178,JanApport,MATCH($O$4,'Jan 2022 Apport'!$3:$3,0),FALSE)</f>
        <v>67049.070000000007</v>
      </c>
      <c r="P178" s="121">
        <f>IFERROR((VLOOKUP(A178,ExcessLevy!A:G,3,FALSE)*0.28),0)+IFERROR((VLOOKUP(A178,ExcessLevy!A:G,6,FALSE)*0.72),0)</f>
        <v>0</v>
      </c>
      <c r="Q178" s="121">
        <f>IFERROR((VLOOKUP(A178,ExcessLevy!A:G,4,FALSE)*0.4738),0)+IFERROR((VLOOKUP(A178,ExcessLevy!A:G,7,FALSE)*0.5262),0)</f>
        <v>2015937.9750000001</v>
      </c>
      <c r="R178">
        <f>VLOOKUP(A178,JanApport,MATCH($R$4,'Jan 2022 Apport'!$3:$3,0),FALSE)</f>
        <v>0</v>
      </c>
      <c r="S178">
        <f>VLOOKUP(A178,JanApport,MATCH($S$4,'Jan 2022 Apport'!$3:$3,0),FALSE)</f>
        <v>84.23</v>
      </c>
      <c r="T178">
        <f>VLOOKUP(A178,JanApport,MATCH($T$4,'Jan 2022 Apport'!$3:$3,0),FALSE)</f>
        <v>150.52000000000001</v>
      </c>
      <c r="U178" s="132">
        <f>IFERROR(VLOOKUP(A178,JanApport,MATCH($U$4,'Jan 2022 Apport'!$3:$3,0),FALSE)/R178,0)</f>
        <v>0</v>
      </c>
      <c r="V178" s="30">
        <f>IFERROR(((VLOOKUP(A178,JanApport,MATCH($V$4,'Jan 2022 Apport'!$3:$3,0),FALSE)+VLOOKUP(A178,JanApport,MATCH($V$3,'Jan 2022 Apport'!$3:$3,0),FALSE))/(S178+T178)),0)</f>
        <v>9296.910798722045</v>
      </c>
      <c r="W178" s="30">
        <f t="shared" si="22"/>
        <v>8084.8854500772204</v>
      </c>
      <c r="X178">
        <f>VLOOKUP(A178,JanApport,MATCH($X$4,'Jan 2022 Apport'!$3:$3,0),FALSE)</f>
        <v>4.8578999999999997E-2</v>
      </c>
      <c r="Y178">
        <f>VLOOKUP(A178,JanApport,MATCH($Y$4,'Jan 2022 Apport'!$3:$3,0),FALSE)</f>
        <v>4.0270000000000002E-3</v>
      </c>
      <c r="Z178">
        <f>VLOOKUP(A178,JanApport,MATCH($Z$4,'Jan 2022 Apport'!$3:$3,0),FALSE)</f>
        <v>1.7100000000000001E-2</v>
      </c>
      <c r="AA178" s="77">
        <f>VLOOKUP(A178,JanApport,MATCH($AA$4,'Jan 2022 Apport'!$3:$3,0),FALSE)*VLOOKUP(A178,JanApport,MATCH($AA$3,'Jan 2022 Apport'!$3:$3,0),FALSE)</f>
        <v>71640.100000000006</v>
      </c>
      <c r="AB178" s="77">
        <f>VLOOKUP(A178,JanApport,MATCH($AB$4,'Jan 2022 Apport'!$3:$3,0),FALSE)*VLOOKUP(A178,JanApport,MATCH($AB$3,'Jan 2022 Apport'!$3:$3,0),FALSE)</f>
        <v>68937</v>
      </c>
      <c r="AC178" s="77">
        <f>VLOOKUP(A178,JanApport,MATCH($AC$4,'Jan 2022 Apport'!$3:$3,0),FALSE)</f>
        <v>100321</v>
      </c>
      <c r="AD178" s="77">
        <f>VLOOKUP(A178,JanApport,MATCH($AD$4,'Jan 2022 Apport'!$3:$3,0),FALSE)*VLOOKUP(A178,JanApport,MATCH($AD$3,'Jan 2022 Apport'!$3:$3,0),FALSE)</f>
        <v>102327</v>
      </c>
      <c r="AE178" s="77">
        <f>VLOOKUP(A178,JanApport,MATCH($AE$4,'Jan 2022 Apport'!$3:$3,0),FALSE)</f>
        <v>48483</v>
      </c>
      <c r="AF178" s="77">
        <f>VLOOKUP(A178,JanApport,MATCH($AF$4,'Jan 2022 Apport'!$3:$3,0),FALSE)*VLOOKUP(A178,JanApport,MATCH($AF$3,'Jan 2022 Apport'!$3:$3,0),FALSE)</f>
        <v>49453</v>
      </c>
      <c r="AG178" s="77">
        <f t="shared" si="23"/>
        <v>96458.212540000008</v>
      </c>
      <c r="AH178" s="77">
        <f t="shared" si="24"/>
        <v>137400.94330000001</v>
      </c>
      <c r="AI178" s="77">
        <f t="shared" si="25"/>
        <v>77281.189732599989</v>
      </c>
      <c r="AJ178" s="3">
        <f>VLOOKUP(A178,JanApport,MATCH($AJ$4,'Jan 2022 Apport'!$3:$3,0),FALSE)</f>
        <v>2545851.7999999998</v>
      </c>
      <c r="AK178" s="3">
        <f>VLOOKUP(A178,JanApport,MATCH($AK$4,'Jan 2022 Apport'!$3:$3,0),FALSE)</f>
        <v>43.359000000000002</v>
      </c>
      <c r="AL178" s="117">
        <f t="shared" si="26"/>
        <v>27675907.200000003</v>
      </c>
      <c r="AM178" s="117">
        <f>VLOOKUP(A178,JanApport,MATCH($AM$4,'Jan 2022 Apport'!$3:$3,0),FALSE)</f>
        <v>398998.62</v>
      </c>
      <c r="AN178" s="117">
        <f>VLOOKUP(A178,JanApport,MATCH($AN$4,'Jan 2022 Apport'!$3:$3,0),FALSE)</f>
        <v>150038.18</v>
      </c>
    </row>
    <row r="179" spans="1:40">
      <c r="A179" s="2" t="s">
        <v>353</v>
      </c>
      <c r="B179" s="2" t="s">
        <v>354</v>
      </c>
      <c r="C179" s="2" t="s">
        <v>1267</v>
      </c>
      <c r="D179" s="118">
        <f>VLOOKUP(A179,JanApport,MATCH($D$4,'Jan 2022 Apport'!$3:$3,FALSE),FALSE)</f>
        <v>1950161.71</v>
      </c>
      <c r="E179" s="30">
        <f>VLOOKUP(A179,JanApport,MATCH($E$2,'Jan 2022 Apport'!$3:$3,0),FALSE)+VLOOKUP(A179,JanApport,MATCH($E$3,'Jan 2022 Apport'!$3:$3,0),FALSE)+VLOOKUP(A179,JanApport,MATCH($E$4,'Jan 2022 Apport'!$3:$3,0),FALSE)</f>
        <v>0</v>
      </c>
      <c r="F179" s="118">
        <f t="shared" si="27"/>
        <v>1950161.71</v>
      </c>
      <c r="G179" s="117">
        <f>VLOOKUP(A179,JanApport,MATCH($G$4,'Jan 2022 Apport'!$3:$3,0),FALSE)</f>
        <v>0</v>
      </c>
      <c r="H179" s="117">
        <f>VLOOKUP(A179,JanApport,MATCH($H$3,'Jan 2022 Apport'!$3:$3,0),FALSE)+VLOOKUP(A179,JanApport,MATCH($H$2,'Jan 2022 Apport'!$3:$3,0),FALSE)+VLOOKUP(A179,JanApport,MATCH($H$4,'Jan 2022 Apport'!$3:$3,0),FALSE)</f>
        <v>73900.11</v>
      </c>
      <c r="I179" s="117">
        <f t="shared" si="28"/>
        <v>73900.11</v>
      </c>
      <c r="J179" s="117">
        <f>VLOOKUP(A179,JanApport,MATCH($J$4,'Jan 2022 Apport'!$3:$3,0),FALSE)</f>
        <v>149249.41</v>
      </c>
      <c r="K179" s="117">
        <f>VLOOKUP(A179,JanApport,MATCH($K$4,'Jan 2022 Apport'!$3:$3,0),FALSE)</f>
        <v>17799.169999999998</v>
      </c>
      <c r="L179" s="117">
        <f t="shared" si="29"/>
        <v>167048.58000000002</v>
      </c>
      <c r="M179" s="117">
        <f>VLOOKUP(A179,JanApport,MATCH($M$4,'Jan 2022 Apport'!$3:$3,0),FALSE)</f>
        <v>27002.400000000001</v>
      </c>
      <c r="N179" s="117">
        <f>VLOOKUP(A179,JanApport,MATCH($N$4,'Jan 2022 Apport'!$3:$3,0),FALSE)</f>
        <v>0</v>
      </c>
      <c r="O179" s="117">
        <f>VLOOKUP(A179,JanApport,MATCH($O$4,'Jan 2022 Apport'!$3:$3,0),FALSE)</f>
        <v>0</v>
      </c>
      <c r="P179" s="121">
        <f>IFERROR((VLOOKUP(A179,ExcessLevy!A:G,3,FALSE)*0.28),0)+IFERROR((VLOOKUP(A179,ExcessLevy!A:G,6,FALSE)*0.72),0)</f>
        <v>0</v>
      </c>
      <c r="Q179" s="121">
        <f>IFERROR((VLOOKUP(A179,ExcessLevy!A:G,4,FALSE)*0.4738),0)+IFERROR((VLOOKUP(A179,ExcessLevy!A:G,7,FALSE)*0.5262),0)</f>
        <v>0</v>
      </c>
      <c r="R179">
        <f>VLOOKUP(A179,JanApport,MATCH($R$4,'Jan 2022 Apport'!$3:$3,0),FALSE)</f>
        <v>0</v>
      </c>
      <c r="S179">
        <f>VLOOKUP(A179,JanApport,MATCH($S$4,'Jan 2022 Apport'!$3:$3,0),FALSE)</f>
        <v>0</v>
      </c>
      <c r="T179">
        <f>VLOOKUP(A179,JanApport,MATCH($T$4,'Jan 2022 Apport'!$3:$3,0),FALSE)</f>
        <v>0</v>
      </c>
      <c r="U179" s="132">
        <f>IFERROR(VLOOKUP(A179,JanApport,MATCH($U$4,'Jan 2022 Apport'!$3:$3,0),FALSE)/R179,0)</f>
        <v>0</v>
      </c>
      <c r="V179" s="30">
        <f>IFERROR(((VLOOKUP(A179,JanApport,MATCH($V$4,'Jan 2022 Apport'!$3:$3,0),FALSE)+VLOOKUP(A179,JanApport,MATCH($V$3,'Jan 2022 Apport'!$3:$3,0),FALSE))/(S179+T179)),0)</f>
        <v>0</v>
      </c>
      <c r="W179" s="30">
        <f t="shared" si="22"/>
        <v>8083.6246967786601</v>
      </c>
      <c r="X179">
        <f>VLOOKUP(A179,JanApport,MATCH($X$4,'Jan 2022 Apport'!$3:$3,0),FALSE)</f>
        <v>4.8578999999999997E-2</v>
      </c>
      <c r="Y179">
        <f>VLOOKUP(A179,JanApport,MATCH($Y$4,'Jan 2022 Apport'!$3:$3,0),FALSE)</f>
        <v>4.0270000000000002E-3</v>
      </c>
      <c r="Z179">
        <f>VLOOKUP(A179,JanApport,MATCH($Z$4,'Jan 2022 Apport'!$3:$3,0),FALSE)</f>
        <v>1.7100000000000001E-2</v>
      </c>
      <c r="AA179" s="77">
        <f>VLOOKUP(A179,JanApport,MATCH($AA$4,'Jan 2022 Apport'!$3:$3,0),FALSE)*VLOOKUP(A179,JanApport,MATCH($AA$3,'Jan 2022 Apport'!$3:$3,0),FALSE)</f>
        <v>67585</v>
      </c>
      <c r="AB179" s="77">
        <f>VLOOKUP(A179,JanApport,MATCH($AB$4,'Jan 2022 Apport'!$3:$3,0),FALSE)*VLOOKUP(A179,JanApport,MATCH($AB$3,'Jan 2022 Apport'!$3:$3,0),FALSE)</f>
        <v>68937</v>
      </c>
      <c r="AC179" s="77">
        <f>VLOOKUP(A179,JanApport,MATCH($AC$4,'Jan 2022 Apport'!$3:$3,0),FALSE)</f>
        <v>100321</v>
      </c>
      <c r="AD179" s="77">
        <f>VLOOKUP(A179,JanApport,MATCH($AD$4,'Jan 2022 Apport'!$3:$3,0),FALSE)*VLOOKUP(A179,JanApport,MATCH($AD$3,'Jan 2022 Apport'!$3:$3,0),FALSE)</f>
        <v>102327</v>
      </c>
      <c r="AE179" s="77">
        <f>VLOOKUP(A179,JanApport,MATCH($AE$4,'Jan 2022 Apport'!$3:$3,0),FALSE)</f>
        <v>48483</v>
      </c>
      <c r="AF179" s="77">
        <f>VLOOKUP(A179,JanApport,MATCH($AF$4,'Jan 2022 Apport'!$3:$3,0),FALSE)*VLOOKUP(A179,JanApport,MATCH($AF$3,'Jan 2022 Apport'!$3:$3,0),FALSE)</f>
        <v>49453</v>
      </c>
      <c r="AG179" s="77">
        <f t="shared" si="23"/>
        <v>96432.259900000005</v>
      </c>
      <c r="AH179" s="77">
        <f t="shared" si="24"/>
        <v>137400.94330000001</v>
      </c>
      <c r="AI179" s="77">
        <f t="shared" si="25"/>
        <v>77281.189732599989</v>
      </c>
      <c r="AJ179" s="3">
        <f>VLOOKUP(A179,JanApport,MATCH($AJ$4,'Jan 2022 Apport'!$3:$3,0),FALSE)</f>
        <v>221763.57</v>
      </c>
      <c r="AK179" s="3">
        <f>VLOOKUP(A179,JanApport,MATCH($AK$4,'Jan 2022 Apport'!$3:$3,0),FALSE)</f>
        <v>1.78</v>
      </c>
      <c r="AL179" s="117">
        <f t="shared" si="26"/>
        <v>2220174.1</v>
      </c>
      <c r="AM179" s="117">
        <f>VLOOKUP(A179,JanApport,MATCH($AM$4,'Jan 2022 Apport'!$3:$3,0),FALSE)</f>
        <v>19860.47</v>
      </c>
      <c r="AN179" s="117">
        <f>VLOOKUP(A179,JanApport,MATCH($AN$4,'Jan 2022 Apport'!$3:$3,0),FALSE)</f>
        <v>17784</v>
      </c>
    </row>
    <row r="180" spans="1:40">
      <c r="A180" s="2" t="s">
        <v>509</v>
      </c>
      <c r="B180" s="2" t="s">
        <v>510</v>
      </c>
      <c r="C180" s="2" t="s">
        <v>1267</v>
      </c>
      <c r="D180" s="118">
        <f>VLOOKUP(A180,JanApport,MATCH($D$4,'Jan 2022 Apport'!$3:$3,FALSE),FALSE)</f>
        <v>132613270.34</v>
      </c>
      <c r="E180" s="30">
        <f>VLOOKUP(A180,JanApport,MATCH($E$2,'Jan 2022 Apport'!$3:$3,0),FALSE)+VLOOKUP(A180,JanApport,MATCH($E$3,'Jan 2022 Apport'!$3:$3,0),FALSE)+VLOOKUP(A180,JanApport,MATCH($E$4,'Jan 2022 Apport'!$3:$3,0),FALSE)</f>
        <v>9385793.9700000007</v>
      </c>
      <c r="F180" s="118">
        <f t="shared" si="27"/>
        <v>123227476.37</v>
      </c>
      <c r="G180" s="117">
        <f>VLOOKUP(A180,JanApport,MATCH($G$4,'Jan 2022 Apport'!$3:$3,0),FALSE)</f>
        <v>2041574.8</v>
      </c>
      <c r="H180" s="117">
        <f>VLOOKUP(A180,JanApport,MATCH($H$3,'Jan 2022 Apport'!$3:$3,0),FALSE)+VLOOKUP(A180,JanApport,MATCH($H$2,'Jan 2022 Apport'!$3:$3,0),FALSE)+VLOOKUP(A180,JanApport,MATCH($H$4,'Jan 2022 Apport'!$3:$3,0),FALSE)</f>
        <v>17769964.640000001</v>
      </c>
      <c r="I180" s="117">
        <f t="shared" si="28"/>
        <v>19811539.440000001</v>
      </c>
      <c r="J180" s="117">
        <f>VLOOKUP(A180,JanApport,MATCH($J$4,'Jan 2022 Apport'!$3:$3,0),FALSE)</f>
        <v>7814415.54</v>
      </c>
      <c r="K180" s="117">
        <f>VLOOKUP(A180,JanApport,MATCH($K$4,'Jan 2022 Apport'!$3:$3,0),FALSE)</f>
        <v>742329.2</v>
      </c>
      <c r="L180" s="117">
        <f t="shared" si="29"/>
        <v>8556744.7400000002</v>
      </c>
      <c r="M180" s="117">
        <f>VLOOKUP(A180,JanApport,MATCH($M$4,'Jan 2022 Apport'!$3:$3,0),FALSE)</f>
        <v>3865030.15</v>
      </c>
      <c r="N180" s="117">
        <f>VLOOKUP(A180,JanApport,MATCH($N$4,'Jan 2022 Apport'!$3:$3,0),FALSE)</f>
        <v>1396774.34</v>
      </c>
      <c r="O180" s="117">
        <f>VLOOKUP(A180,JanApport,MATCH($O$4,'Jan 2022 Apport'!$3:$3,0),FALSE)</f>
        <v>432137.19</v>
      </c>
      <c r="P180" s="121">
        <f>IFERROR((VLOOKUP(A180,ExcessLevy!A:G,3,FALSE)*0.28),0)+IFERROR((VLOOKUP(A180,ExcessLevy!A:G,6,FALSE)*0.72),0)</f>
        <v>565699.59039999999</v>
      </c>
      <c r="Q180" s="121">
        <f>IFERROR((VLOOKUP(A180,ExcessLevy!A:G,4,FALSE)*0.4738),0)+IFERROR((VLOOKUP(A180,ExcessLevy!A:G,7,FALSE)*0.5262),0)</f>
        <v>42586011.235200003</v>
      </c>
      <c r="R180">
        <f>VLOOKUP(A180,JanApport,MATCH($R$4,'Jan 2022 Apport'!$3:$3,0),FALSE)</f>
        <v>0</v>
      </c>
      <c r="S180">
        <f>VLOOKUP(A180,JanApport,MATCH($S$4,'Jan 2022 Apport'!$3:$3,0),FALSE)</f>
        <v>224.06</v>
      </c>
      <c r="T180">
        <f>VLOOKUP(A180,JanApport,MATCH($T$4,'Jan 2022 Apport'!$3:$3,0),FALSE)</f>
        <v>799.18</v>
      </c>
      <c r="U180" s="132">
        <f>IFERROR(VLOOKUP(A180,JanApport,MATCH($U$4,'Jan 2022 Apport'!$3:$3,0),FALSE)/R180,0)</f>
        <v>0</v>
      </c>
      <c r="V180" s="30">
        <f>IFERROR(((VLOOKUP(A180,JanApport,MATCH($V$4,'Jan 2022 Apport'!$3:$3,0),FALSE)+VLOOKUP(A180,JanApport,MATCH($V$3,'Jan 2022 Apport'!$3:$3,0),FALSE))/(S180+T180)),0)</f>
        <v>9172.6222293890005</v>
      </c>
      <c r="W180" s="30">
        <f t="shared" si="22"/>
        <v>8084.4651989777003</v>
      </c>
      <c r="X180">
        <f>VLOOKUP(A180,JanApport,MATCH($X$4,'Jan 2022 Apport'!$3:$3,0),FALSE)</f>
        <v>4.8578999999999997E-2</v>
      </c>
      <c r="Y180">
        <f>VLOOKUP(A180,JanApport,MATCH($Y$4,'Jan 2022 Apport'!$3:$3,0),FALSE)</f>
        <v>4.0270000000000002E-3</v>
      </c>
      <c r="Z180">
        <f>VLOOKUP(A180,JanApport,MATCH($Z$4,'Jan 2022 Apport'!$3:$3,0),FALSE)</f>
        <v>1.7100000000000001E-2</v>
      </c>
      <c r="AA180" s="77">
        <f>VLOOKUP(A180,JanApport,MATCH($AA$4,'Jan 2022 Apport'!$3:$3,0),FALSE)*VLOOKUP(A180,JanApport,MATCH($AA$3,'Jan 2022 Apport'!$3:$3,0),FALSE)</f>
        <v>70288.400000000009</v>
      </c>
      <c r="AB180" s="77">
        <f>VLOOKUP(A180,JanApport,MATCH($AB$4,'Jan 2022 Apport'!$3:$3,0),FALSE)*VLOOKUP(A180,JanApport,MATCH($AB$3,'Jan 2022 Apport'!$3:$3,0),FALSE)</f>
        <v>68937</v>
      </c>
      <c r="AC180" s="77">
        <f>VLOOKUP(A180,JanApport,MATCH($AC$4,'Jan 2022 Apport'!$3:$3,0),FALSE)</f>
        <v>100321</v>
      </c>
      <c r="AD180" s="77">
        <f>VLOOKUP(A180,JanApport,MATCH($AD$4,'Jan 2022 Apport'!$3:$3,0),FALSE)*VLOOKUP(A180,JanApport,MATCH($AD$3,'Jan 2022 Apport'!$3:$3,0),FALSE)</f>
        <v>102327</v>
      </c>
      <c r="AE180" s="77">
        <f>VLOOKUP(A180,JanApport,MATCH($AE$4,'Jan 2022 Apport'!$3:$3,0),FALSE)</f>
        <v>48483</v>
      </c>
      <c r="AF180" s="77">
        <f>VLOOKUP(A180,JanApport,MATCH($AF$4,'Jan 2022 Apport'!$3:$3,0),FALSE)*VLOOKUP(A180,JanApport,MATCH($AF$3,'Jan 2022 Apport'!$3:$3,0),FALSE)</f>
        <v>49453</v>
      </c>
      <c r="AG180" s="77">
        <f t="shared" si="23"/>
        <v>96449.561660000007</v>
      </c>
      <c r="AH180" s="77">
        <f t="shared" si="24"/>
        <v>137400.94330000001</v>
      </c>
      <c r="AI180" s="77">
        <f t="shared" si="25"/>
        <v>77281.189732599989</v>
      </c>
      <c r="AJ180" s="3">
        <f>VLOOKUP(A180,JanApport,MATCH($AJ$4,'Jan 2022 Apport'!$3:$3,0),FALSE)</f>
        <v>17822135.640000001</v>
      </c>
      <c r="AK180" s="3">
        <f>VLOOKUP(A180,JanApport,MATCH($AK$4,'Jan 2022 Apport'!$3:$3,0),FALSE)</f>
        <v>283.7</v>
      </c>
      <c r="AL180" s="117">
        <f t="shared" si="26"/>
        <v>166721283.13999999</v>
      </c>
      <c r="AM180" s="117">
        <f>VLOOKUP(A180,JanApport,MATCH($AM$4,'Jan 2022 Apport'!$3:$3,0),FALSE)</f>
        <v>788116.14</v>
      </c>
      <c r="AN180" s="117">
        <f>VLOOKUP(A180,JanApport,MATCH($AN$4,'Jan 2022 Apport'!$3:$3,0),FALSE)</f>
        <v>1016360.58</v>
      </c>
    </row>
    <row r="181" spans="1:40">
      <c r="A181" s="2" t="s">
        <v>503</v>
      </c>
      <c r="B181" s="2" t="s">
        <v>504</v>
      </c>
      <c r="C181" s="2" t="s">
        <v>1267</v>
      </c>
      <c r="D181" s="118">
        <f>VLOOKUP(A181,JanApport,MATCH($D$4,'Jan 2022 Apport'!$3:$3,FALSE),FALSE)</f>
        <v>3182636.18</v>
      </c>
      <c r="E181" s="30">
        <f>VLOOKUP(A181,JanApport,MATCH($E$2,'Jan 2022 Apport'!$3:$3,0),FALSE)+VLOOKUP(A181,JanApport,MATCH($E$3,'Jan 2022 Apport'!$3:$3,0),FALSE)+VLOOKUP(A181,JanApport,MATCH($E$4,'Jan 2022 Apport'!$3:$3,0),FALSE)</f>
        <v>62005.5</v>
      </c>
      <c r="F181" s="118">
        <f t="shared" si="27"/>
        <v>3120630.68</v>
      </c>
      <c r="G181" s="117">
        <f>VLOOKUP(A181,JanApport,MATCH($G$4,'Jan 2022 Apport'!$3:$3,0),FALSE)</f>
        <v>0</v>
      </c>
      <c r="H181" s="117">
        <f>VLOOKUP(A181,JanApport,MATCH($H$3,'Jan 2022 Apport'!$3:$3,0),FALSE)+VLOOKUP(A181,JanApport,MATCH($H$2,'Jan 2022 Apport'!$3:$3,0),FALSE)+VLOOKUP(A181,JanApport,MATCH($H$4,'Jan 2022 Apport'!$3:$3,0),FALSE)</f>
        <v>205077.86000000002</v>
      </c>
      <c r="I181" s="117">
        <f t="shared" si="28"/>
        <v>205077.86000000002</v>
      </c>
      <c r="J181" s="117">
        <f>VLOOKUP(A181,JanApport,MATCH($J$4,'Jan 2022 Apport'!$3:$3,0),FALSE)</f>
        <v>281101.93</v>
      </c>
      <c r="K181" s="117">
        <f>VLOOKUP(A181,JanApport,MATCH($K$4,'Jan 2022 Apport'!$3:$3,0),FALSE)</f>
        <v>38260.29</v>
      </c>
      <c r="L181" s="117">
        <f t="shared" si="29"/>
        <v>319362.21999999997</v>
      </c>
      <c r="M181" s="117">
        <f>VLOOKUP(A181,JanApport,MATCH($M$4,'Jan 2022 Apport'!$3:$3,0),FALSE)</f>
        <v>105270.21</v>
      </c>
      <c r="N181" s="117">
        <f>VLOOKUP(A181,JanApport,MATCH($N$4,'Jan 2022 Apport'!$3:$3,0),FALSE)</f>
        <v>0</v>
      </c>
      <c r="O181" s="117">
        <f>VLOOKUP(A181,JanApport,MATCH($O$4,'Jan 2022 Apport'!$3:$3,0),FALSE)</f>
        <v>0</v>
      </c>
      <c r="P181" s="121">
        <f>IFERROR((VLOOKUP(A181,ExcessLevy!A:G,3,FALSE)*0.28),0)+IFERROR((VLOOKUP(A181,ExcessLevy!A:G,6,FALSE)*0.72),0)</f>
        <v>54712.34</v>
      </c>
      <c r="Q181" s="121">
        <f>IFERROR((VLOOKUP(A181,ExcessLevy!A:G,4,FALSE)*0.4738),0)+IFERROR((VLOOKUP(A181,ExcessLevy!A:G,7,FALSE)*0.5262),0)</f>
        <v>375000</v>
      </c>
      <c r="R181">
        <f>VLOOKUP(A181,JanApport,MATCH($R$4,'Jan 2022 Apport'!$3:$3,0),FALSE)</f>
        <v>0</v>
      </c>
      <c r="S181">
        <f>VLOOKUP(A181,JanApport,MATCH($S$4,'Jan 2022 Apport'!$3:$3,0),FALSE)</f>
        <v>0</v>
      </c>
      <c r="T181">
        <f>VLOOKUP(A181,JanApport,MATCH($T$4,'Jan 2022 Apport'!$3:$3,0),FALSE)</f>
        <v>6.96</v>
      </c>
      <c r="U181" s="132">
        <f>IFERROR(VLOOKUP(A181,JanApport,MATCH($U$4,'Jan 2022 Apport'!$3:$3,0),FALSE)/R181,0)</f>
        <v>0</v>
      </c>
      <c r="V181" s="30">
        <f>IFERROR(((VLOOKUP(A181,JanApport,MATCH($V$4,'Jan 2022 Apport'!$3:$3,0),FALSE)+VLOOKUP(A181,JanApport,MATCH($V$3,'Jan 2022 Apport'!$3:$3,0),FALSE))/(S181+T181)),0)</f>
        <v>8908.8362068965525</v>
      </c>
      <c r="W181" s="30">
        <f t="shared" si="22"/>
        <v>8083.6246967786601</v>
      </c>
      <c r="X181">
        <f>VLOOKUP(A181,JanApport,MATCH($X$4,'Jan 2022 Apport'!$3:$3,0),FALSE)</f>
        <v>4.8578999999999997E-2</v>
      </c>
      <c r="Y181">
        <f>VLOOKUP(A181,JanApport,MATCH($Y$4,'Jan 2022 Apport'!$3:$3,0),FALSE)</f>
        <v>4.0270000000000002E-3</v>
      </c>
      <c r="Z181">
        <f>VLOOKUP(A181,JanApport,MATCH($Z$4,'Jan 2022 Apport'!$3:$3,0),FALSE)</f>
        <v>1.7100000000000001E-2</v>
      </c>
      <c r="AA181" s="77">
        <f>VLOOKUP(A181,JanApport,MATCH($AA$4,'Jan 2022 Apport'!$3:$3,0),FALSE)*VLOOKUP(A181,JanApport,MATCH($AA$3,'Jan 2022 Apport'!$3:$3,0),FALSE)</f>
        <v>67585</v>
      </c>
      <c r="AB181" s="77">
        <f>VLOOKUP(A181,JanApport,MATCH($AB$4,'Jan 2022 Apport'!$3:$3,0),FALSE)*VLOOKUP(A181,JanApport,MATCH($AB$3,'Jan 2022 Apport'!$3:$3,0),FALSE)</f>
        <v>68937</v>
      </c>
      <c r="AC181" s="77">
        <f>VLOOKUP(A181,JanApport,MATCH($AC$4,'Jan 2022 Apport'!$3:$3,0),FALSE)</f>
        <v>100321</v>
      </c>
      <c r="AD181" s="77">
        <f>VLOOKUP(A181,JanApport,MATCH($AD$4,'Jan 2022 Apport'!$3:$3,0),FALSE)*VLOOKUP(A181,JanApport,MATCH($AD$3,'Jan 2022 Apport'!$3:$3,0),FALSE)</f>
        <v>102327</v>
      </c>
      <c r="AE181" s="77">
        <f>VLOOKUP(A181,JanApport,MATCH($AE$4,'Jan 2022 Apport'!$3:$3,0),FALSE)</f>
        <v>48483</v>
      </c>
      <c r="AF181" s="77">
        <f>VLOOKUP(A181,JanApport,MATCH($AF$4,'Jan 2022 Apport'!$3:$3,0),FALSE)*VLOOKUP(A181,JanApport,MATCH($AF$3,'Jan 2022 Apport'!$3:$3,0),FALSE)</f>
        <v>49453</v>
      </c>
      <c r="AG181" s="77">
        <f t="shared" si="23"/>
        <v>96432.259900000005</v>
      </c>
      <c r="AH181" s="77">
        <f t="shared" si="24"/>
        <v>137400.94330000001</v>
      </c>
      <c r="AI181" s="77">
        <f t="shared" si="25"/>
        <v>77281.189732599989</v>
      </c>
      <c r="AJ181" s="3">
        <f>VLOOKUP(A181,JanApport,MATCH($AJ$4,'Jan 2022 Apport'!$3:$3,0),FALSE)</f>
        <v>279251.89</v>
      </c>
      <c r="AK181" s="3">
        <f>VLOOKUP(A181,JanApport,MATCH($AK$4,'Jan 2022 Apport'!$3:$3,0),FALSE)</f>
        <v>2.8130000000000002</v>
      </c>
      <c r="AL181" s="117">
        <f t="shared" si="26"/>
        <v>3816350.8000000003</v>
      </c>
      <c r="AM181" s="117">
        <f>VLOOKUP(A181,JanApport,MATCH($AM$4,'Jan 2022 Apport'!$3:$3,0),FALSE)</f>
        <v>42264.62</v>
      </c>
      <c r="AN181" s="117">
        <f>VLOOKUP(A181,JanApport,MATCH($AN$4,'Jan 2022 Apport'!$3:$3,0),FALSE)</f>
        <v>19991.560000000001</v>
      </c>
    </row>
    <row r="182" spans="1:40">
      <c r="A182" s="2" t="s">
        <v>219</v>
      </c>
      <c r="B182" s="2" t="s">
        <v>220</v>
      </c>
      <c r="C182" s="2" t="s">
        <v>1267</v>
      </c>
      <c r="D182" s="118">
        <f>VLOOKUP(A182,JanApport,MATCH($D$4,'Jan 2022 Apport'!$3:$3,FALSE),FALSE)</f>
        <v>220543939.38</v>
      </c>
      <c r="E182" s="30">
        <f>VLOOKUP(A182,JanApport,MATCH($E$2,'Jan 2022 Apport'!$3:$3,0),FALSE)+VLOOKUP(A182,JanApport,MATCH($E$3,'Jan 2022 Apport'!$3:$3,0),FALSE)+VLOOKUP(A182,JanApport,MATCH($E$4,'Jan 2022 Apport'!$3:$3,0),FALSE)</f>
        <v>10859165.26</v>
      </c>
      <c r="F182" s="118">
        <f t="shared" si="27"/>
        <v>209684774.12</v>
      </c>
      <c r="G182" s="117">
        <f>VLOOKUP(A182,JanApport,MATCH($G$4,'Jan 2022 Apport'!$3:$3,0),FALSE)</f>
        <v>1998898.73</v>
      </c>
      <c r="H182" s="117">
        <f>VLOOKUP(A182,JanApport,MATCH($H$3,'Jan 2022 Apport'!$3:$3,0),FALSE)+VLOOKUP(A182,JanApport,MATCH($H$2,'Jan 2022 Apport'!$3:$3,0),FALSE)+VLOOKUP(A182,JanApport,MATCH($H$4,'Jan 2022 Apport'!$3:$3,0),FALSE)</f>
        <v>25650654.539999999</v>
      </c>
      <c r="I182" s="117">
        <f t="shared" si="28"/>
        <v>27649553.27</v>
      </c>
      <c r="J182" s="117">
        <f>VLOOKUP(A182,JanApport,MATCH($J$4,'Jan 2022 Apport'!$3:$3,0),FALSE)</f>
        <v>11452715.17</v>
      </c>
      <c r="K182" s="117">
        <f>VLOOKUP(A182,JanApport,MATCH($K$4,'Jan 2022 Apport'!$3:$3,0),FALSE)</f>
        <v>931307.87</v>
      </c>
      <c r="L182" s="117">
        <f t="shared" si="29"/>
        <v>12384023.039999999</v>
      </c>
      <c r="M182" s="117">
        <f>VLOOKUP(A182,JanApport,MATCH($M$4,'Jan 2022 Apport'!$3:$3,0),FALSE)</f>
        <v>1833733.71</v>
      </c>
      <c r="N182" s="117">
        <f>VLOOKUP(A182,JanApport,MATCH($N$4,'Jan 2022 Apport'!$3:$3,0),FALSE)</f>
        <v>3812507.21</v>
      </c>
      <c r="O182" s="117">
        <f>VLOOKUP(A182,JanApport,MATCH($O$4,'Jan 2022 Apport'!$3:$3,0),FALSE)</f>
        <v>732904.25</v>
      </c>
      <c r="P182" s="121">
        <f>IFERROR((VLOOKUP(A182,ExcessLevy!A:G,3,FALSE)*0.28),0)+IFERROR((VLOOKUP(A182,ExcessLevy!A:G,6,FALSE)*0.72),0)</f>
        <v>0</v>
      </c>
      <c r="Q182" s="121">
        <f>IFERROR((VLOOKUP(A182,ExcessLevy!A:G,4,FALSE)*0.4738),0)+IFERROR((VLOOKUP(A182,ExcessLevy!A:G,7,FALSE)*0.5262),0)</f>
        <v>59526200</v>
      </c>
      <c r="R182">
        <f>VLOOKUP(A182,JanApport,MATCH($R$4,'Jan 2022 Apport'!$3:$3,0),FALSE)</f>
        <v>0</v>
      </c>
      <c r="S182">
        <f>VLOOKUP(A182,JanApport,MATCH($S$4,'Jan 2022 Apport'!$3:$3,0),FALSE)</f>
        <v>204.85</v>
      </c>
      <c r="T182">
        <f>VLOOKUP(A182,JanApport,MATCH($T$4,'Jan 2022 Apport'!$3:$3,0),FALSE)</f>
        <v>874.87</v>
      </c>
      <c r="U182" s="132">
        <f>IFERROR(VLOOKUP(A182,JanApport,MATCH($U$4,'Jan 2022 Apport'!$3:$3,0),FALSE)/R182,0)</f>
        <v>0</v>
      </c>
      <c r="V182" s="30">
        <f>IFERROR(((VLOOKUP(A182,JanApport,MATCH($V$4,'Jan 2022 Apport'!$3:$3,0),FALSE)+VLOOKUP(A182,JanApport,MATCH($V$3,'Jan 2022 Apport'!$3:$3,0),FALSE))/(S182+T182)),0)</f>
        <v>10057.390119660653</v>
      </c>
      <c r="W182" s="30">
        <f t="shared" si="22"/>
        <v>9095.3080904708331</v>
      </c>
      <c r="X182">
        <f>VLOOKUP(A182,JanApport,MATCH($X$4,'Jan 2022 Apport'!$3:$3,0),FALSE)</f>
        <v>4.8578999999999997E-2</v>
      </c>
      <c r="Y182">
        <f>VLOOKUP(A182,JanApport,MATCH($Y$4,'Jan 2022 Apport'!$3:$3,0),FALSE)</f>
        <v>4.0270000000000002E-3</v>
      </c>
      <c r="Z182">
        <f>VLOOKUP(A182,JanApport,MATCH($Z$4,'Jan 2022 Apport'!$3:$3,0),FALSE)</f>
        <v>1.7100000000000001E-2</v>
      </c>
      <c r="AA182" s="77">
        <f>VLOOKUP(A182,JanApport,MATCH($AA$4,'Jan 2022 Apport'!$3:$3,0),FALSE)*VLOOKUP(A182,JanApport,MATCH($AA$3,'Jan 2022 Apport'!$3:$3,0),FALSE)</f>
        <v>79750.3</v>
      </c>
      <c r="AB182" s="77">
        <f>VLOOKUP(A182,JanApport,MATCH($AB$4,'Jan 2022 Apport'!$3:$3,0),FALSE)*VLOOKUP(A182,JanApport,MATCH($AB$3,'Jan 2022 Apport'!$3:$3,0),FALSE)</f>
        <v>81345.659999999989</v>
      </c>
      <c r="AC182" s="77">
        <f>VLOOKUP(A182,JanApport,MATCH($AC$4,'Jan 2022 Apport'!$3:$3,0),FALSE)</f>
        <v>100321</v>
      </c>
      <c r="AD182" s="77">
        <f>VLOOKUP(A182,JanApport,MATCH($AD$4,'Jan 2022 Apport'!$3:$3,0),FALSE)*VLOOKUP(A182,JanApport,MATCH($AD$3,'Jan 2022 Apport'!$3:$3,0),FALSE)</f>
        <v>120745.86</v>
      </c>
      <c r="AE182" s="77">
        <f>VLOOKUP(A182,JanApport,MATCH($AE$4,'Jan 2022 Apport'!$3:$3,0),FALSE)</f>
        <v>48483</v>
      </c>
      <c r="AF182" s="77">
        <f>VLOOKUP(A182,JanApport,MATCH($AF$4,'Jan 2022 Apport'!$3:$3,0),FALSE)*VLOOKUP(A182,JanApport,MATCH($AF$3,'Jan 2022 Apport'!$3:$3,0),FALSE)</f>
        <v>58354.539999999994</v>
      </c>
      <c r="AG182" s="77">
        <f t="shared" si="23"/>
        <v>111657.36908199999</v>
      </c>
      <c r="AH182" s="77">
        <f t="shared" si="24"/>
        <v>159884.84570200002</v>
      </c>
      <c r="AI182" s="77">
        <f t="shared" si="25"/>
        <v>87896.402584467985</v>
      </c>
      <c r="AJ182" s="3">
        <f>VLOOKUP(A182,JanApport,MATCH($AJ$4,'Jan 2022 Apport'!$3:$3,0),FALSE)</f>
        <v>28502397.23</v>
      </c>
      <c r="AK182" s="3">
        <f>VLOOKUP(A182,JanApport,MATCH($AK$4,'Jan 2022 Apport'!$3:$3,0),FALSE)</f>
        <v>448.685</v>
      </c>
      <c r="AL182" s="117">
        <f t="shared" si="26"/>
        <v>266025352.99000001</v>
      </c>
      <c r="AM182" s="117">
        <f>VLOOKUP(A182,JanApport,MATCH($AM$4,'Jan 2022 Apport'!$3:$3,0),FALSE)</f>
        <v>0</v>
      </c>
      <c r="AN182" s="117">
        <f>VLOOKUP(A182,JanApport,MATCH($AN$4,'Jan 2022 Apport'!$3:$3,0),FALSE)</f>
        <v>1854213.56</v>
      </c>
    </row>
    <row r="183" spans="1:40">
      <c r="A183" s="2" t="s">
        <v>167</v>
      </c>
      <c r="B183" s="2" t="s">
        <v>168</v>
      </c>
      <c r="C183" s="2" t="s">
        <v>1267</v>
      </c>
      <c r="D183" s="118">
        <f>VLOOKUP(A183,JanApport,MATCH($D$4,'Jan 2022 Apport'!$3:$3,FALSE),FALSE)</f>
        <v>52521610.939999998</v>
      </c>
      <c r="E183" s="30">
        <f>VLOOKUP(A183,JanApport,MATCH($E$2,'Jan 2022 Apport'!$3:$3,0),FALSE)+VLOOKUP(A183,JanApport,MATCH($E$3,'Jan 2022 Apport'!$3:$3,0),FALSE)+VLOOKUP(A183,JanApport,MATCH($E$4,'Jan 2022 Apport'!$3:$3,0),FALSE)</f>
        <v>4472089.18</v>
      </c>
      <c r="F183" s="118">
        <f t="shared" si="27"/>
        <v>48049521.759999998</v>
      </c>
      <c r="G183" s="117">
        <f>VLOOKUP(A183,JanApport,MATCH($G$4,'Jan 2022 Apport'!$3:$3,0),FALSE)</f>
        <v>1396894.91</v>
      </c>
      <c r="H183" s="117">
        <f>VLOOKUP(A183,JanApport,MATCH($H$3,'Jan 2022 Apport'!$3:$3,0),FALSE)+VLOOKUP(A183,JanApport,MATCH($H$2,'Jan 2022 Apport'!$3:$3,0),FALSE)+VLOOKUP(A183,JanApport,MATCH($H$4,'Jan 2022 Apport'!$3:$3,0),FALSE)</f>
        <v>7017891.5099999998</v>
      </c>
      <c r="I183" s="117">
        <f t="shared" si="28"/>
        <v>8414786.4199999999</v>
      </c>
      <c r="J183" s="117">
        <f>VLOOKUP(A183,JanApport,MATCH($J$4,'Jan 2022 Apport'!$3:$3,0),FALSE)</f>
        <v>2405067.9500000002</v>
      </c>
      <c r="K183" s="117">
        <f>VLOOKUP(A183,JanApport,MATCH($K$4,'Jan 2022 Apport'!$3:$3,0),FALSE)</f>
        <v>412604.02</v>
      </c>
      <c r="L183" s="117">
        <f t="shared" si="29"/>
        <v>2817671.97</v>
      </c>
      <c r="M183" s="117">
        <f>VLOOKUP(A183,JanApport,MATCH($M$4,'Jan 2022 Apport'!$3:$3,0),FALSE)</f>
        <v>1376789.71</v>
      </c>
      <c r="N183" s="117">
        <f>VLOOKUP(A183,JanApport,MATCH($N$4,'Jan 2022 Apport'!$3:$3,0),FALSE)</f>
        <v>370857.18</v>
      </c>
      <c r="O183" s="117">
        <f>VLOOKUP(A183,JanApport,MATCH($O$4,'Jan 2022 Apport'!$3:$3,0),FALSE)</f>
        <v>171314.6</v>
      </c>
      <c r="P183" s="121">
        <f>IFERROR((VLOOKUP(A183,ExcessLevy!A:G,3,FALSE)*0.28),0)+IFERROR((VLOOKUP(A183,ExcessLevy!A:G,6,FALSE)*0.72),0)</f>
        <v>1817684.5235999997</v>
      </c>
      <c r="Q183" s="121">
        <f>IFERROR((VLOOKUP(A183,ExcessLevy!A:G,4,FALSE)*0.4738),0)+IFERROR((VLOOKUP(A183,ExcessLevy!A:G,7,FALSE)*0.5262),0)</f>
        <v>11186790</v>
      </c>
      <c r="R183">
        <f>VLOOKUP(A183,JanApport,MATCH($R$4,'Jan 2022 Apport'!$3:$3,0),FALSE)</f>
        <v>0</v>
      </c>
      <c r="S183">
        <f>VLOOKUP(A183,JanApport,MATCH($S$4,'Jan 2022 Apport'!$3:$3,0),FALSE)</f>
        <v>46.11</v>
      </c>
      <c r="T183">
        <f>VLOOKUP(A183,JanApport,MATCH($T$4,'Jan 2022 Apport'!$3:$3,0),FALSE)</f>
        <v>415.88</v>
      </c>
      <c r="U183" s="132">
        <f>IFERROR(VLOOKUP(A183,JanApport,MATCH($U$4,'Jan 2022 Apport'!$3:$3,0),FALSE)/R183,0)</f>
        <v>0</v>
      </c>
      <c r="V183" s="30">
        <f>IFERROR(((VLOOKUP(A183,JanApport,MATCH($V$4,'Jan 2022 Apport'!$3:$3,0),FALSE)+VLOOKUP(A183,JanApport,MATCH($V$3,'Jan 2022 Apport'!$3:$3,0),FALSE))/(S183+T183)),0)</f>
        <v>9680.0562349834399</v>
      </c>
      <c r="W183" s="30">
        <f t="shared" si="22"/>
        <v>8086.1462033757807</v>
      </c>
      <c r="X183">
        <f>VLOOKUP(A183,JanApport,MATCH($X$4,'Jan 2022 Apport'!$3:$3,0),FALSE)</f>
        <v>4.8578999999999997E-2</v>
      </c>
      <c r="Y183">
        <f>VLOOKUP(A183,JanApport,MATCH($Y$4,'Jan 2022 Apport'!$3:$3,0),FALSE)</f>
        <v>4.0270000000000002E-3</v>
      </c>
      <c r="Z183">
        <f>VLOOKUP(A183,JanApport,MATCH($Z$4,'Jan 2022 Apport'!$3:$3,0),FALSE)</f>
        <v>1.7100000000000001E-2</v>
      </c>
      <c r="AA183" s="77">
        <f>VLOOKUP(A183,JanApport,MATCH($AA$4,'Jan 2022 Apport'!$3:$3,0),FALSE)*VLOOKUP(A183,JanApport,MATCH($AA$3,'Jan 2022 Apport'!$3:$3,0),FALSE)</f>
        <v>75695.200000000012</v>
      </c>
      <c r="AB183" s="77">
        <f>VLOOKUP(A183,JanApport,MATCH($AB$4,'Jan 2022 Apport'!$3:$3,0),FALSE)*VLOOKUP(A183,JanApport,MATCH($AB$3,'Jan 2022 Apport'!$3:$3,0),FALSE)</f>
        <v>68937</v>
      </c>
      <c r="AC183" s="77">
        <f>VLOOKUP(A183,JanApport,MATCH($AC$4,'Jan 2022 Apport'!$3:$3,0),FALSE)</f>
        <v>100321</v>
      </c>
      <c r="AD183" s="77">
        <f>VLOOKUP(A183,JanApport,MATCH($AD$4,'Jan 2022 Apport'!$3:$3,0),FALSE)*VLOOKUP(A183,JanApport,MATCH($AD$3,'Jan 2022 Apport'!$3:$3,0),FALSE)</f>
        <v>102327</v>
      </c>
      <c r="AE183" s="77">
        <f>VLOOKUP(A183,JanApport,MATCH($AE$4,'Jan 2022 Apport'!$3:$3,0),FALSE)</f>
        <v>48483</v>
      </c>
      <c r="AF183" s="77">
        <f>VLOOKUP(A183,JanApport,MATCH($AF$4,'Jan 2022 Apport'!$3:$3,0),FALSE)*VLOOKUP(A183,JanApport,MATCH($AF$3,'Jan 2022 Apport'!$3:$3,0),FALSE)</f>
        <v>49453</v>
      </c>
      <c r="AG183" s="77">
        <f t="shared" si="23"/>
        <v>96484.165180000011</v>
      </c>
      <c r="AH183" s="77">
        <f t="shared" si="24"/>
        <v>137400.94330000001</v>
      </c>
      <c r="AI183" s="77">
        <f t="shared" si="25"/>
        <v>77281.189732599989</v>
      </c>
      <c r="AJ183" s="3">
        <f>VLOOKUP(A183,JanApport,MATCH($AJ$4,'Jan 2022 Apport'!$3:$3,0),FALSE)</f>
        <v>6492979.1100000003</v>
      </c>
      <c r="AK183" s="3">
        <f>VLOOKUP(A183,JanApport,MATCH($AK$4,'Jan 2022 Apport'!$3:$3,0),FALSE)</f>
        <v>115.794</v>
      </c>
      <c r="AL183" s="117">
        <f t="shared" si="26"/>
        <v>65517939.470000006</v>
      </c>
      <c r="AM183" s="117">
        <f>VLOOKUP(A183,JanApport,MATCH($AM$4,'Jan 2022 Apport'!$3:$3,0),FALSE)</f>
        <v>257512.67</v>
      </c>
      <c r="AN183" s="117">
        <f>VLOOKUP(A183,JanApport,MATCH($AN$4,'Jan 2022 Apport'!$3:$3,0),FALSE)</f>
        <v>408358.22</v>
      </c>
    </row>
    <row r="184" spans="1:40">
      <c r="A184" s="2" t="s">
        <v>579</v>
      </c>
      <c r="B184" s="2" t="s">
        <v>580</v>
      </c>
      <c r="C184" s="2" t="s">
        <v>1267</v>
      </c>
      <c r="D184" s="118">
        <f>VLOOKUP(A184,JanApport,MATCH($D$4,'Jan 2022 Apport'!$3:$3,FALSE),FALSE)</f>
        <v>2393423.7200000002</v>
      </c>
      <c r="E184" s="30">
        <f>VLOOKUP(A184,JanApport,MATCH($E$2,'Jan 2022 Apport'!$3:$3,0),FALSE)+VLOOKUP(A184,JanApport,MATCH($E$3,'Jan 2022 Apport'!$3:$3,0),FALSE)+VLOOKUP(A184,JanApport,MATCH($E$4,'Jan 2022 Apport'!$3:$3,0),FALSE)</f>
        <v>54699.78</v>
      </c>
      <c r="F184" s="118">
        <f t="shared" si="27"/>
        <v>2338723.9400000004</v>
      </c>
      <c r="G184" s="117">
        <f>VLOOKUP(A184,JanApport,MATCH($G$4,'Jan 2022 Apport'!$3:$3,0),FALSE)</f>
        <v>0</v>
      </c>
      <c r="H184" s="117">
        <f>VLOOKUP(A184,JanApport,MATCH($H$3,'Jan 2022 Apport'!$3:$3,0),FALSE)+VLOOKUP(A184,JanApport,MATCH($H$2,'Jan 2022 Apport'!$3:$3,0),FALSE)+VLOOKUP(A184,JanApport,MATCH($H$4,'Jan 2022 Apport'!$3:$3,0),FALSE)</f>
        <v>173040.37</v>
      </c>
      <c r="I184" s="117">
        <f t="shared" si="28"/>
        <v>173040.37</v>
      </c>
      <c r="J184" s="117">
        <f>VLOOKUP(A184,JanApport,MATCH($J$4,'Jan 2022 Apport'!$3:$3,0),FALSE)</f>
        <v>356975.27</v>
      </c>
      <c r="K184" s="117">
        <f>VLOOKUP(A184,JanApport,MATCH($K$4,'Jan 2022 Apport'!$3:$3,0),FALSE)</f>
        <v>47983.4</v>
      </c>
      <c r="L184" s="117">
        <f t="shared" si="29"/>
        <v>404958.67000000004</v>
      </c>
      <c r="M184" s="117">
        <f>VLOOKUP(A184,JanApport,MATCH($M$4,'Jan 2022 Apport'!$3:$3,0),FALSE)</f>
        <v>30984.63</v>
      </c>
      <c r="N184" s="117">
        <f>VLOOKUP(A184,JanApport,MATCH($N$4,'Jan 2022 Apport'!$3:$3,0),FALSE)</f>
        <v>0</v>
      </c>
      <c r="O184" s="117">
        <f>VLOOKUP(A184,JanApport,MATCH($O$4,'Jan 2022 Apport'!$3:$3,0),FALSE)</f>
        <v>0</v>
      </c>
      <c r="P184" s="121">
        <f>IFERROR((VLOOKUP(A184,ExcessLevy!A:G,3,FALSE)*0.28),0)+IFERROR((VLOOKUP(A184,ExcessLevy!A:G,6,FALSE)*0.72),0)</f>
        <v>0</v>
      </c>
      <c r="Q184" s="121">
        <f>IFERROR((VLOOKUP(A184,ExcessLevy!A:G,4,FALSE)*0.4738),0)+IFERROR((VLOOKUP(A184,ExcessLevy!A:G,7,FALSE)*0.5262),0)</f>
        <v>351201.17060000001</v>
      </c>
      <c r="R184">
        <f>VLOOKUP(A184,JanApport,MATCH($R$4,'Jan 2022 Apport'!$3:$3,0),FALSE)</f>
        <v>0</v>
      </c>
      <c r="S184">
        <f>VLOOKUP(A184,JanApport,MATCH($S$4,'Jan 2022 Apport'!$3:$3,0),FALSE)</f>
        <v>0.61</v>
      </c>
      <c r="T184">
        <f>VLOOKUP(A184,JanApport,MATCH($T$4,'Jan 2022 Apport'!$3:$3,0),FALSE)</f>
        <v>5.38</v>
      </c>
      <c r="U184" s="132">
        <f>IFERROR(VLOOKUP(A184,JanApport,MATCH($U$4,'Jan 2022 Apport'!$3:$3,0),FALSE)/R184,0)</f>
        <v>0</v>
      </c>
      <c r="V184" s="30">
        <f>IFERROR(((VLOOKUP(A184,JanApport,MATCH($V$4,'Jan 2022 Apport'!$3:$3,0),FALSE)+VLOOKUP(A184,JanApport,MATCH($V$3,'Jan 2022 Apport'!$3:$3,0),FALSE))/(S184+T184)),0)</f>
        <v>9131.8497495826377</v>
      </c>
      <c r="W184" s="30">
        <f t="shared" si="22"/>
        <v>8083.6246967786601</v>
      </c>
      <c r="X184">
        <f>VLOOKUP(A184,JanApport,MATCH($X$4,'Jan 2022 Apport'!$3:$3,0),FALSE)</f>
        <v>4.8578999999999997E-2</v>
      </c>
      <c r="Y184">
        <f>VLOOKUP(A184,JanApport,MATCH($Y$4,'Jan 2022 Apport'!$3:$3,0),FALSE)</f>
        <v>4.0270000000000002E-3</v>
      </c>
      <c r="Z184">
        <f>VLOOKUP(A184,JanApport,MATCH($Z$4,'Jan 2022 Apport'!$3:$3,0),FALSE)</f>
        <v>1.7100000000000001E-2</v>
      </c>
      <c r="AA184" s="77">
        <f>VLOOKUP(A184,JanApport,MATCH($AA$4,'Jan 2022 Apport'!$3:$3,0),FALSE)*VLOOKUP(A184,JanApport,MATCH($AA$3,'Jan 2022 Apport'!$3:$3,0),FALSE)</f>
        <v>67585</v>
      </c>
      <c r="AB184" s="77">
        <f>VLOOKUP(A184,JanApport,MATCH($AB$4,'Jan 2022 Apport'!$3:$3,0),FALSE)*VLOOKUP(A184,JanApport,MATCH($AB$3,'Jan 2022 Apport'!$3:$3,0),FALSE)</f>
        <v>68937</v>
      </c>
      <c r="AC184" s="77">
        <f>VLOOKUP(A184,JanApport,MATCH($AC$4,'Jan 2022 Apport'!$3:$3,0),FALSE)</f>
        <v>100321</v>
      </c>
      <c r="AD184" s="77">
        <f>VLOOKUP(A184,JanApport,MATCH($AD$4,'Jan 2022 Apport'!$3:$3,0),FALSE)*VLOOKUP(A184,JanApport,MATCH($AD$3,'Jan 2022 Apport'!$3:$3,0),FALSE)</f>
        <v>102327</v>
      </c>
      <c r="AE184" s="77">
        <f>VLOOKUP(A184,JanApport,MATCH($AE$4,'Jan 2022 Apport'!$3:$3,0),FALSE)</f>
        <v>48483</v>
      </c>
      <c r="AF184" s="77">
        <f>VLOOKUP(A184,JanApport,MATCH($AF$4,'Jan 2022 Apport'!$3:$3,0),FALSE)*VLOOKUP(A184,JanApport,MATCH($AF$3,'Jan 2022 Apport'!$3:$3,0),FALSE)</f>
        <v>49453</v>
      </c>
      <c r="AG184" s="77">
        <f t="shared" si="23"/>
        <v>96432.259900000005</v>
      </c>
      <c r="AH184" s="77">
        <f t="shared" si="24"/>
        <v>137400.94330000001</v>
      </c>
      <c r="AI184" s="77">
        <f t="shared" si="25"/>
        <v>77281.189732599989</v>
      </c>
      <c r="AJ184" s="3">
        <f>VLOOKUP(A184,JanApport,MATCH($AJ$4,'Jan 2022 Apport'!$3:$3,0),FALSE)</f>
        <v>284182.03000000003</v>
      </c>
      <c r="AK184" s="3">
        <f>VLOOKUP(A184,JanApport,MATCH($AK$4,'Jan 2022 Apport'!$3:$3,0),FALSE)</f>
        <v>3.589</v>
      </c>
      <c r="AL184" s="117">
        <f t="shared" si="26"/>
        <v>2954423.99</v>
      </c>
      <c r="AM184" s="117">
        <f>VLOOKUP(A184,JanApport,MATCH($AM$4,'Jan 2022 Apport'!$3:$3,0),FALSE)</f>
        <v>0</v>
      </c>
      <c r="AN184" s="117">
        <f>VLOOKUP(A184,JanApport,MATCH($AN$4,'Jan 2022 Apport'!$3:$3,0),FALSE)</f>
        <v>21697.040000000001</v>
      </c>
    </row>
    <row r="185" spans="1:40">
      <c r="A185" s="2" t="s">
        <v>165</v>
      </c>
      <c r="B185" s="2" t="s">
        <v>166</v>
      </c>
      <c r="C185" s="2" t="s">
        <v>1267</v>
      </c>
      <c r="D185" s="118">
        <f>VLOOKUP(A185,JanApport,MATCH($D$4,'Jan 2022 Apport'!$3:$3,FALSE),FALSE)</f>
        <v>3614693.16</v>
      </c>
      <c r="E185" s="30">
        <f>VLOOKUP(A185,JanApport,MATCH($E$2,'Jan 2022 Apport'!$3:$3,0),FALSE)+VLOOKUP(A185,JanApport,MATCH($E$3,'Jan 2022 Apport'!$3:$3,0),FALSE)+VLOOKUP(A185,JanApport,MATCH($E$4,'Jan 2022 Apport'!$3:$3,0),FALSE)</f>
        <v>256082.71999999997</v>
      </c>
      <c r="F185" s="118">
        <f t="shared" si="27"/>
        <v>3358610.4400000004</v>
      </c>
      <c r="G185" s="117">
        <f>VLOOKUP(A185,JanApport,MATCH($G$4,'Jan 2022 Apport'!$3:$3,0),FALSE)</f>
        <v>42356.98</v>
      </c>
      <c r="H185" s="117">
        <f>VLOOKUP(A185,JanApport,MATCH($H$3,'Jan 2022 Apport'!$3:$3,0),FALSE)+VLOOKUP(A185,JanApport,MATCH($H$2,'Jan 2022 Apport'!$3:$3,0),FALSE)+VLOOKUP(A185,JanApport,MATCH($H$4,'Jan 2022 Apport'!$3:$3,0),FALSE)</f>
        <v>390568.68</v>
      </c>
      <c r="I185" s="117">
        <f t="shared" si="28"/>
        <v>432925.66</v>
      </c>
      <c r="J185" s="117">
        <f>VLOOKUP(A185,JanApport,MATCH($J$4,'Jan 2022 Apport'!$3:$3,0),FALSE)</f>
        <v>156173.59</v>
      </c>
      <c r="K185" s="117">
        <f>VLOOKUP(A185,JanApport,MATCH($K$4,'Jan 2022 Apport'!$3:$3,0),FALSE)</f>
        <v>30392.76</v>
      </c>
      <c r="L185" s="117">
        <f t="shared" si="29"/>
        <v>186566.35</v>
      </c>
      <c r="M185" s="117">
        <f>VLOOKUP(A185,JanApport,MATCH($M$4,'Jan 2022 Apport'!$3:$3,0),FALSE)</f>
        <v>134522.82999999999</v>
      </c>
      <c r="N185" s="117">
        <f>VLOOKUP(A185,JanApport,MATCH($N$4,'Jan 2022 Apport'!$3:$3,0),FALSE)</f>
        <v>0</v>
      </c>
      <c r="O185" s="117">
        <f>VLOOKUP(A185,JanApport,MATCH($O$4,'Jan 2022 Apport'!$3:$3,0),FALSE)</f>
        <v>9294.31</v>
      </c>
      <c r="P185" s="121">
        <f>IFERROR((VLOOKUP(A185,ExcessLevy!A:G,3,FALSE)*0.28),0)+IFERROR((VLOOKUP(A185,ExcessLevy!A:G,6,FALSE)*0.72),0)</f>
        <v>120740.33039999999</v>
      </c>
      <c r="Q185" s="121">
        <f>IFERROR((VLOOKUP(A185,ExcessLevy!A:G,4,FALSE)*0.4738),0)+IFERROR((VLOOKUP(A185,ExcessLevy!A:G,7,FALSE)*0.5262),0)</f>
        <v>400000</v>
      </c>
      <c r="R185">
        <f>VLOOKUP(A185,JanApport,MATCH($R$4,'Jan 2022 Apport'!$3:$3,0),FALSE)</f>
        <v>0</v>
      </c>
      <c r="S185">
        <f>VLOOKUP(A185,JanApport,MATCH($S$4,'Jan 2022 Apport'!$3:$3,0),FALSE)</f>
        <v>8.4</v>
      </c>
      <c r="T185">
        <f>VLOOKUP(A185,JanApport,MATCH($T$4,'Jan 2022 Apport'!$3:$3,0),FALSE)</f>
        <v>20.329999999999998</v>
      </c>
      <c r="U185" s="132">
        <f>IFERROR(VLOOKUP(A185,JanApport,MATCH($U$4,'Jan 2022 Apport'!$3:$3,0),FALSE)/R185,0)</f>
        <v>0</v>
      </c>
      <c r="V185" s="30">
        <f>IFERROR(((VLOOKUP(A185,JanApport,MATCH($V$4,'Jan 2022 Apport'!$3:$3,0),FALSE)+VLOOKUP(A185,JanApport,MATCH($V$3,'Jan 2022 Apport'!$3:$3,0),FALSE))/(S185+T185)),0)</f>
        <v>8913.4256874347375</v>
      </c>
      <c r="W185" s="30">
        <f t="shared" si="22"/>
        <v>8083.6246967786601</v>
      </c>
      <c r="X185">
        <f>VLOOKUP(A185,JanApport,MATCH($X$4,'Jan 2022 Apport'!$3:$3,0),FALSE)</f>
        <v>4.8578999999999997E-2</v>
      </c>
      <c r="Y185">
        <f>VLOOKUP(A185,JanApport,MATCH($Y$4,'Jan 2022 Apport'!$3:$3,0),FALSE)</f>
        <v>4.0270000000000002E-3</v>
      </c>
      <c r="Z185">
        <f>VLOOKUP(A185,JanApport,MATCH($Z$4,'Jan 2022 Apport'!$3:$3,0),FALSE)</f>
        <v>1.7100000000000001E-2</v>
      </c>
      <c r="AA185" s="77">
        <f>VLOOKUP(A185,JanApport,MATCH($AA$4,'Jan 2022 Apport'!$3:$3,0),FALSE)*VLOOKUP(A185,JanApport,MATCH($AA$3,'Jan 2022 Apport'!$3:$3,0),FALSE)</f>
        <v>67585</v>
      </c>
      <c r="AB185" s="77">
        <f>VLOOKUP(A185,JanApport,MATCH($AB$4,'Jan 2022 Apport'!$3:$3,0),FALSE)*VLOOKUP(A185,JanApport,MATCH($AB$3,'Jan 2022 Apport'!$3:$3,0),FALSE)</f>
        <v>68937</v>
      </c>
      <c r="AC185" s="77">
        <f>VLOOKUP(A185,JanApport,MATCH($AC$4,'Jan 2022 Apport'!$3:$3,0),FALSE)</f>
        <v>100321</v>
      </c>
      <c r="AD185" s="77">
        <f>VLOOKUP(A185,JanApport,MATCH($AD$4,'Jan 2022 Apport'!$3:$3,0),FALSE)*VLOOKUP(A185,JanApport,MATCH($AD$3,'Jan 2022 Apport'!$3:$3,0),FALSE)</f>
        <v>102327</v>
      </c>
      <c r="AE185" s="77">
        <f>VLOOKUP(A185,JanApport,MATCH($AE$4,'Jan 2022 Apport'!$3:$3,0),FALSE)</f>
        <v>48483</v>
      </c>
      <c r="AF185" s="77">
        <f>VLOOKUP(A185,JanApport,MATCH($AF$4,'Jan 2022 Apport'!$3:$3,0),FALSE)*VLOOKUP(A185,JanApport,MATCH($AF$3,'Jan 2022 Apport'!$3:$3,0),FALSE)</f>
        <v>49453</v>
      </c>
      <c r="AG185" s="77">
        <f t="shared" si="23"/>
        <v>96432.259900000005</v>
      </c>
      <c r="AH185" s="77">
        <f t="shared" si="24"/>
        <v>137400.94330000001</v>
      </c>
      <c r="AI185" s="77">
        <f t="shared" si="25"/>
        <v>77281.189732599989</v>
      </c>
      <c r="AJ185" s="3">
        <f>VLOOKUP(A185,JanApport,MATCH($AJ$4,'Jan 2022 Apport'!$3:$3,0),FALSE)</f>
        <v>440725.88</v>
      </c>
      <c r="AK185" s="3">
        <f>VLOOKUP(A185,JanApport,MATCH($AK$4,'Jan 2022 Apport'!$3:$3,0),FALSE)</f>
        <v>6.59</v>
      </c>
      <c r="AL185" s="117">
        <f t="shared" si="26"/>
        <v>4425583.87</v>
      </c>
      <c r="AM185" s="117">
        <f>VLOOKUP(A185,JanApport,MATCH($AM$4,'Jan 2022 Apport'!$3:$3,0),FALSE)</f>
        <v>77974.320000000007</v>
      </c>
      <c r="AN185" s="117">
        <f>VLOOKUP(A185,JanApport,MATCH($AN$4,'Jan 2022 Apport'!$3:$3,0),FALSE)</f>
        <v>27907.41</v>
      </c>
    </row>
    <row r="186" spans="1:40">
      <c r="A186" s="2" t="s">
        <v>343</v>
      </c>
      <c r="B186" s="2" t="s">
        <v>344</v>
      </c>
      <c r="C186" s="2" t="s">
        <v>1267</v>
      </c>
      <c r="D186" s="118">
        <f>VLOOKUP(A186,JanApport,MATCH($D$4,'Jan 2022 Apport'!$3:$3,FALSE),FALSE)</f>
        <v>8928276.5999999996</v>
      </c>
      <c r="E186" s="30">
        <f>VLOOKUP(A186,JanApport,MATCH($E$2,'Jan 2022 Apport'!$3:$3,0),FALSE)+VLOOKUP(A186,JanApport,MATCH($E$3,'Jan 2022 Apport'!$3:$3,0),FALSE)+VLOOKUP(A186,JanApport,MATCH($E$4,'Jan 2022 Apport'!$3:$3,0),FALSE)</f>
        <v>744039.63</v>
      </c>
      <c r="F186" s="118">
        <f t="shared" si="27"/>
        <v>8184236.9699999997</v>
      </c>
      <c r="G186" s="117">
        <f>VLOOKUP(A186,JanApport,MATCH($G$4,'Jan 2022 Apport'!$3:$3,0),FALSE)</f>
        <v>96307.41</v>
      </c>
      <c r="H186" s="117">
        <f>VLOOKUP(A186,JanApport,MATCH($H$3,'Jan 2022 Apport'!$3:$3,0),FALSE)+VLOOKUP(A186,JanApport,MATCH($H$2,'Jan 2022 Apport'!$3:$3,0),FALSE)+VLOOKUP(A186,JanApport,MATCH($H$4,'Jan 2022 Apport'!$3:$3,0),FALSE)</f>
        <v>1764230.1799999997</v>
      </c>
      <c r="I186" s="117">
        <f t="shared" si="28"/>
        <v>1860537.5899999996</v>
      </c>
      <c r="J186" s="117">
        <f>VLOOKUP(A186,JanApport,MATCH($J$4,'Jan 2022 Apport'!$3:$3,0),FALSE)</f>
        <v>905144.9</v>
      </c>
      <c r="K186" s="117">
        <f>VLOOKUP(A186,JanApport,MATCH($K$4,'Jan 2022 Apport'!$3:$3,0),FALSE)</f>
        <v>132237.03</v>
      </c>
      <c r="L186" s="117">
        <f t="shared" si="29"/>
        <v>1037381.93</v>
      </c>
      <c r="M186" s="117">
        <f>VLOOKUP(A186,JanApport,MATCH($M$4,'Jan 2022 Apport'!$3:$3,0),FALSE)</f>
        <v>408068.88</v>
      </c>
      <c r="N186" s="117">
        <f>VLOOKUP(A186,JanApport,MATCH($N$4,'Jan 2022 Apport'!$3:$3,0),FALSE)</f>
        <v>67114.66</v>
      </c>
      <c r="O186" s="117">
        <f>VLOOKUP(A186,JanApport,MATCH($O$4,'Jan 2022 Apport'!$3:$3,0),FALSE)</f>
        <v>28861.25</v>
      </c>
      <c r="P186" s="121">
        <f>IFERROR((VLOOKUP(A186,ExcessLevy!A:G,3,FALSE)*0.28),0)+IFERROR((VLOOKUP(A186,ExcessLevy!A:G,6,FALSE)*0.72),0)</f>
        <v>0</v>
      </c>
      <c r="Q186" s="121">
        <f>IFERROR((VLOOKUP(A186,ExcessLevy!A:G,4,FALSE)*0.4738),0)+IFERROR((VLOOKUP(A186,ExcessLevy!A:G,7,FALSE)*0.5262),0)</f>
        <v>2768080.4995999997</v>
      </c>
      <c r="R186">
        <f>VLOOKUP(A186,JanApport,MATCH($R$4,'Jan 2022 Apport'!$3:$3,0),FALSE)</f>
        <v>0</v>
      </c>
      <c r="S186">
        <f>VLOOKUP(A186,JanApport,MATCH($S$4,'Jan 2022 Apport'!$3:$3,0),FALSE)</f>
        <v>0</v>
      </c>
      <c r="T186">
        <f>VLOOKUP(A186,JanApport,MATCH($T$4,'Jan 2022 Apport'!$3:$3,0),FALSE)</f>
        <v>83.38</v>
      </c>
      <c r="U186" s="132">
        <f>IFERROR(VLOOKUP(A186,JanApport,MATCH($U$4,'Jan 2022 Apport'!$3:$3,0),FALSE)/R186,0)</f>
        <v>0</v>
      </c>
      <c r="V186" s="30">
        <f>IFERROR(((VLOOKUP(A186,JanApport,MATCH($V$4,'Jan 2022 Apport'!$3:$3,0),FALSE)+VLOOKUP(A186,JanApport,MATCH($V$3,'Jan 2022 Apport'!$3:$3,0),FALSE))/(S186+T186)),0)</f>
        <v>8923.4784120892309</v>
      </c>
      <c r="W186" s="30">
        <f t="shared" si="22"/>
        <v>8083.6246967786601</v>
      </c>
      <c r="X186">
        <f>VLOOKUP(A186,JanApport,MATCH($X$4,'Jan 2022 Apport'!$3:$3,0),FALSE)</f>
        <v>4.8578999999999997E-2</v>
      </c>
      <c r="Y186">
        <f>VLOOKUP(A186,JanApport,MATCH($Y$4,'Jan 2022 Apport'!$3:$3,0),FALSE)</f>
        <v>4.0270000000000002E-3</v>
      </c>
      <c r="Z186">
        <f>VLOOKUP(A186,JanApport,MATCH($Z$4,'Jan 2022 Apport'!$3:$3,0),FALSE)</f>
        <v>1.7100000000000001E-2</v>
      </c>
      <c r="AA186" s="77">
        <f>VLOOKUP(A186,JanApport,MATCH($AA$4,'Jan 2022 Apport'!$3:$3,0),FALSE)*VLOOKUP(A186,JanApport,MATCH($AA$3,'Jan 2022 Apport'!$3:$3,0),FALSE)</f>
        <v>67585</v>
      </c>
      <c r="AB186" s="77">
        <f>VLOOKUP(A186,JanApport,MATCH($AB$4,'Jan 2022 Apport'!$3:$3,0),FALSE)*VLOOKUP(A186,JanApport,MATCH($AB$3,'Jan 2022 Apport'!$3:$3,0),FALSE)</f>
        <v>68937</v>
      </c>
      <c r="AC186" s="77">
        <f>VLOOKUP(A186,JanApport,MATCH($AC$4,'Jan 2022 Apport'!$3:$3,0),FALSE)</f>
        <v>100321</v>
      </c>
      <c r="AD186" s="77">
        <f>VLOOKUP(A186,JanApport,MATCH($AD$4,'Jan 2022 Apport'!$3:$3,0),FALSE)*VLOOKUP(A186,JanApport,MATCH($AD$3,'Jan 2022 Apport'!$3:$3,0),FALSE)</f>
        <v>102327</v>
      </c>
      <c r="AE186" s="77">
        <f>VLOOKUP(A186,JanApport,MATCH($AE$4,'Jan 2022 Apport'!$3:$3,0),FALSE)</f>
        <v>48483</v>
      </c>
      <c r="AF186" s="77">
        <f>VLOOKUP(A186,JanApport,MATCH($AF$4,'Jan 2022 Apport'!$3:$3,0),FALSE)*VLOOKUP(A186,JanApport,MATCH($AF$3,'Jan 2022 Apport'!$3:$3,0),FALSE)</f>
        <v>49453</v>
      </c>
      <c r="AG186" s="77">
        <f t="shared" si="23"/>
        <v>96432.259900000005</v>
      </c>
      <c r="AH186" s="77">
        <f t="shared" si="24"/>
        <v>137400.94330000001</v>
      </c>
      <c r="AI186" s="77">
        <f t="shared" si="25"/>
        <v>77281.189732599989</v>
      </c>
      <c r="AJ186" s="3">
        <f>VLOOKUP(A186,JanApport,MATCH($AJ$4,'Jan 2022 Apport'!$3:$3,0),FALSE)</f>
        <v>1169991.94</v>
      </c>
      <c r="AK186" s="3">
        <f>VLOOKUP(A186,JanApport,MATCH($AK$4,'Jan 2022 Apport'!$3:$3,0),FALSE)</f>
        <v>17.565999999999999</v>
      </c>
      <c r="AL186" s="117">
        <f t="shared" si="26"/>
        <v>10624807.060000001</v>
      </c>
      <c r="AM186" s="117">
        <f>VLOOKUP(A186,JanApport,MATCH($AM$4,'Jan 2022 Apport'!$3:$3,0),FALSE)</f>
        <v>287340.77</v>
      </c>
      <c r="AN186" s="117">
        <f>VLOOKUP(A186,JanApport,MATCH($AN$4,'Jan 2022 Apport'!$3:$3,0),FALSE)</f>
        <v>63856.88</v>
      </c>
    </row>
    <row r="187" spans="1:40">
      <c r="A187" s="2" t="s">
        <v>163</v>
      </c>
      <c r="B187" s="2" t="s">
        <v>164</v>
      </c>
      <c r="C187" s="2" t="s">
        <v>1267</v>
      </c>
      <c r="D187" s="118">
        <f>VLOOKUP(A187,JanApport,MATCH($D$4,'Jan 2022 Apport'!$3:$3,FALSE),FALSE)</f>
        <v>5446473.9500000002</v>
      </c>
      <c r="E187" s="30">
        <f>VLOOKUP(A187,JanApport,MATCH($E$2,'Jan 2022 Apport'!$3:$3,0),FALSE)+VLOOKUP(A187,JanApport,MATCH($E$3,'Jan 2022 Apport'!$3:$3,0),FALSE)+VLOOKUP(A187,JanApport,MATCH($E$4,'Jan 2022 Apport'!$3:$3,0),FALSE)</f>
        <v>392821.39</v>
      </c>
      <c r="F187" s="118">
        <f t="shared" si="27"/>
        <v>5053652.5600000005</v>
      </c>
      <c r="G187" s="117">
        <f>VLOOKUP(A187,JanApport,MATCH($G$4,'Jan 2022 Apport'!$3:$3,0),FALSE)</f>
        <v>39854.17</v>
      </c>
      <c r="H187" s="117">
        <f>VLOOKUP(A187,JanApport,MATCH($H$3,'Jan 2022 Apport'!$3:$3,0),FALSE)+VLOOKUP(A187,JanApport,MATCH($H$2,'Jan 2022 Apport'!$3:$3,0),FALSE)+VLOOKUP(A187,JanApport,MATCH($H$4,'Jan 2022 Apport'!$3:$3,0),FALSE)</f>
        <v>584504.6</v>
      </c>
      <c r="I187" s="117">
        <f t="shared" si="28"/>
        <v>624358.77</v>
      </c>
      <c r="J187" s="117">
        <f>VLOOKUP(A187,JanApport,MATCH($J$4,'Jan 2022 Apport'!$3:$3,0),FALSE)</f>
        <v>491107.46</v>
      </c>
      <c r="K187" s="117">
        <f>VLOOKUP(A187,JanApport,MATCH($K$4,'Jan 2022 Apport'!$3:$3,0),FALSE)</f>
        <v>89185.61</v>
      </c>
      <c r="L187" s="117">
        <f t="shared" si="29"/>
        <v>580293.07000000007</v>
      </c>
      <c r="M187" s="117">
        <f>VLOOKUP(A187,JanApport,MATCH($M$4,'Jan 2022 Apport'!$3:$3,0),FALSE)</f>
        <v>292134.65000000002</v>
      </c>
      <c r="N187" s="117">
        <f>VLOOKUP(A187,JanApport,MATCH($N$4,'Jan 2022 Apport'!$3:$3,0),FALSE)</f>
        <v>74354.429999999993</v>
      </c>
      <c r="O187" s="117">
        <f>VLOOKUP(A187,JanApport,MATCH($O$4,'Jan 2022 Apport'!$3:$3,0),FALSE)</f>
        <v>16044.91</v>
      </c>
      <c r="P187" s="121">
        <f>IFERROR((VLOOKUP(A187,ExcessLevy!A:G,3,FALSE)*0.28),0)+IFERROR((VLOOKUP(A187,ExcessLevy!A:G,6,FALSE)*0.72),0)</f>
        <v>0</v>
      </c>
      <c r="Q187" s="121">
        <f>IFERROR((VLOOKUP(A187,ExcessLevy!A:G,4,FALSE)*0.4738),0)+IFERROR((VLOOKUP(A187,ExcessLevy!A:G,7,FALSE)*0.5262),0)</f>
        <v>1620557.9810000001</v>
      </c>
      <c r="R187">
        <f>VLOOKUP(A187,JanApport,MATCH($R$4,'Jan 2022 Apport'!$3:$3,0),FALSE)</f>
        <v>0</v>
      </c>
      <c r="S187">
        <f>VLOOKUP(A187,JanApport,MATCH($S$4,'Jan 2022 Apport'!$3:$3,0),FALSE)</f>
        <v>14.69</v>
      </c>
      <c r="T187">
        <f>VLOOKUP(A187,JanApport,MATCH($T$4,'Jan 2022 Apport'!$3:$3,0),FALSE)</f>
        <v>29.37</v>
      </c>
      <c r="U187" s="132">
        <f>IFERROR(VLOOKUP(A187,JanApport,MATCH($U$4,'Jan 2022 Apport'!$3:$3,0),FALSE)/R187,0)</f>
        <v>0</v>
      </c>
      <c r="V187" s="30">
        <f>IFERROR(((VLOOKUP(A187,JanApport,MATCH($V$4,'Jan 2022 Apport'!$3:$3,0),FALSE)+VLOOKUP(A187,JanApport,MATCH($V$3,'Jan 2022 Apport'!$3:$3,0),FALSE))/(S187+T187)),0)</f>
        <v>8915.6012256014528</v>
      </c>
      <c r="W187" s="30">
        <f t="shared" si="22"/>
        <v>8083.6246967786601</v>
      </c>
      <c r="X187">
        <f>VLOOKUP(A187,JanApport,MATCH($X$4,'Jan 2022 Apport'!$3:$3,0),FALSE)</f>
        <v>4.8578999999999997E-2</v>
      </c>
      <c r="Y187">
        <f>VLOOKUP(A187,JanApport,MATCH($Y$4,'Jan 2022 Apport'!$3:$3,0),FALSE)</f>
        <v>4.0270000000000002E-3</v>
      </c>
      <c r="Z187">
        <f>VLOOKUP(A187,JanApport,MATCH($Z$4,'Jan 2022 Apport'!$3:$3,0),FALSE)</f>
        <v>1.7100000000000001E-2</v>
      </c>
      <c r="AA187" s="77">
        <f>VLOOKUP(A187,JanApport,MATCH($AA$4,'Jan 2022 Apport'!$3:$3,0),FALSE)*VLOOKUP(A187,JanApport,MATCH($AA$3,'Jan 2022 Apport'!$3:$3,0),FALSE)</f>
        <v>67585</v>
      </c>
      <c r="AB187" s="77">
        <f>VLOOKUP(A187,JanApport,MATCH($AB$4,'Jan 2022 Apport'!$3:$3,0),FALSE)*VLOOKUP(A187,JanApport,MATCH($AB$3,'Jan 2022 Apport'!$3:$3,0),FALSE)</f>
        <v>68937</v>
      </c>
      <c r="AC187" s="77">
        <f>VLOOKUP(A187,JanApport,MATCH($AC$4,'Jan 2022 Apport'!$3:$3,0),FALSE)</f>
        <v>100321</v>
      </c>
      <c r="AD187" s="77">
        <f>VLOOKUP(A187,JanApport,MATCH($AD$4,'Jan 2022 Apport'!$3:$3,0),FALSE)*VLOOKUP(A187,JanApport,MATCH($AD$3,'Jan 2022 Apport'!$3:$3,0),FALSE)</f>
        <v>102327</v>
      </c>
      <c r="AE187" s="77">
        <f>VLOOKUP(A187,JanApport,MATCH($AE$4,'Jan 2022 Apport'!$3:$3,0),FALSE)</f>
        <v>48483</v>
      </c>
      <c r="AF187" s="77">
        <f>VLOOKUP(A187,JanApport,MATCH($AF$4,'Jan 2022 Apport'!$3:$3,0),FALSE)*VLOOKUP(A187,JanApport,MATCH($AF$3,'Jan 2022 Apport'!$3:$3,0),FALSE)</f>
        <v>49453</v>
      </c>
      <c r="AG187" s="77">
        <f t="shared" si="23"/>
        <v>96432.259900000005</v>
      </c>
      <c r="AH187" s="77">
        <f t="shared" si="24"/>
        <v>137400.94330000001</v>
      </c>
      <c r="AI187" s="77">
        <f t="shared" si="25"/>
        <v>77281.189732599989</v>
      </c>
      <c r="AJ187" s="3">
        <f>VLOOKUP(A187,JanApport,MATCH($AJ$4,'Jan 2022 Apport'!$3:$3,0),FALSE)</f>
        <v>717390.83</v>
      </c>
      <c r="AK187" s="3">
        <f>VLOOKUP(A187,JanApport,MATCH($AK$4,'Jan 2022 Apport'!$3:$3,0),FALSE)</f>
        <v>11.42</v>
      </c>
      <c r="AL187" s="117">
        <f t="shared" si="26"/>
        <v>7116174.2200000007</v>
      </c>
      <c r="AM187" s="117">
        <f>VLOOKUP(A187,JanApport,MATCH($AM$4,'Jan 2022 Apport'!$3:$3,0),FALSE)</f>
        <v>171700.05</v>
      </c>
      <c r="AN187" s="117">
        <f>VLOOKUP(A187,JanApport,MATCH($AN$4,'Jan 2022 Apport'!$3:$3,0),FALSE)</f>
        <v>42026.61</v>
      </c>
    </row>
    <row r="188" spans="1:40">
      <c r="A188" s="2" t="s">
        <v>305</v>
      </c>
      <c r="B188" s="2" t="s">
        <v>306</v>
      </c>
      <c r="C188" s="2" t="s">
        <v>1267</v>
      </c>
      <c r="D188" s="118">
        <f>VLOOKUP(A188,JanApport,MATCH($D$4,'Jan 2022 Apport'!$3:$3,FALSE),FALSE)</f>
        <v>2870720.42</v>
      </c>
      <c r="E188" s="30">
        <f>VLOOKUP(A188,JanApport,MATCH($E$2,'Jan 2022 Apport'!$3:$3,0),FALSE)+VLOOKUP(A188,JanApport,MATCH($E$3,'Jan 2022 Apport'!$3:$3,0),FALSE)+VLOOKUP(A188,JanApport,MATCH($E$4,'Jan 2022 Apport'!$3:$3,0),FALSE)</f>
        <v>130967.13</v>
      </c>
      <c r="F188" s="118">
        <f t="shared" si="27"/>
        <v>2739753.29</v>
      </c>
      <c r="G188" s="117">
        <f>VLOOKUP(A188,JanApport,MATCH($G$4,'Jan 2022 Apport'!$3:$3,0),FALSE)</f>
        <v>46655.37</v>
      </c>
      <c r="H188" s="117">
        <f>VLOOKUP(A188,JanApport,MATCH($H$3,'Jan 2022 Apport'!$3:$3,0),FALSE)+VLOOKUP(A188,JanApport,MATCH($H$2,'Jan 2022 Apport'!$3:$3,0),FALSE)+VLOOKUP(A188,JanApport,MATCH($H$4,'Jan 2022 Apport'!$3:$3,0),FALSE)</f>
        <v>207372.34</v>
      </c>
      <c r="I188" s="117">
        <f t="shared" si="28"/>
        <v>254027.71</v>
      </c>
      <c r="J188" s="117">
        <f>VLOOKUP(A188,JanApport,MATCH($J$4,'Jan 2022 Apport'!$3:$3,0),FALSE)</f>
        <v>333300.36</v>
      </c>
      <c r="K188" s="117">
        <f>VLOOKUP(A188,JanApport,MATCH($K$4,'Jan 2022 Apport'!$3:$3,0),FALSE)</f>
        <v>63667.39</v>
      </c>
      <c r="L188" s="117">
        <f t="shared" si="29"/>
        <v>396967.75</v>
      </c>
      <c r="M188" s="117">
        <f>VLOOKUP(A188,JanApport,MATCH($M$4,'Jan 2022 Apport'!$3:$3,0),FALSE)</f>
        <v>55907.87</v>
      </c>
      <c r="N188" s="117">
        <f>VLOOKUP(A188,JanApport,MATCH($N$4,'Jan 2022 Apport'!$3:$3,0),FALSE)</f>
        <v>0</v>
      </c>
      <c r="O188" s="117">
        <f>VLOOKUP(A188,JanApport,MATCH($O$4,'Jan 2022 Apport'!$3:$3,0),FALSE)</f>
        <v>6595.86</v>
      </c>
      <c r="P188" s="121">
        <f>IFERROR((VLOOKUP(A188,ExcessLevy!A:G,3,FALSE)*0.28),0)+IFERROR((VLOOKUP(A188,ExcessLevy!A:G,6,FALSE)*0.72),0)</f>
        <v>0</v>
      </c>
      <c r="Q188" s="121">
        <f>IFERROR((VLOOKUP(A188,ExcessLevy!A:G,4,FALSE)*0.4738),0)+IFERROR((VLOOKUP(A188,ExcessLevy!A:G,7,FALSE)*0.5262),0)</f>
        <v>569916.6568</v>
      </c>
      <c r="R188">
        <f>VLOOKUP(A188,JanApport,MATCH($R$4,'Jan 2022 Apport'!$3:$3,0),FALSE)</f>
        <v>0</v>
      </c>
      <c r="S188">
        <f>VLOOKUP(A188,JanApport,MATCH($S$4,'Jan 2022 Apport'!$3:$3,0),FALSE)</f>
        <v>0</v>
      </c>
      <c r="T188">
        <f>VLOOKUP(A188,JanApport,MATCH($T$4,'Jan 2022 Apport'!$3:$3,0),FALSE)</f>
        <v>13.98</v>
      </c>
      <c r="U188" s="132">
        <f>IFERROR(VLOOKUP(A188,JanApport,MATCH($U$4,'Jan 2022 Apport'!$3:$3,0),FALSE)/R188,0)</f>
        <v>0</v>
      </c>
      <c r="V188" s="30">
        <f>IFERROR(((VLOOKUP(A188,JanApport,MATCH($V$4,'Jan 2022 Apport'!$3:$3,0),FALSE)+VLOOKUP(A188,JanApport,MATCH($V$3,'Jan 2022 Apport'!$3:$3,0),FALSE))/(S188+T188)),0)</f>
        <v>9368.1781115879821</v>
      </c>
      <c r="W188" s="30">
        <f t="shared" si="22"/>
        <v>8084.4651989777003</v>
      </c>
      <c r="X188">
        <f>VLOOKUP(A188,JanApport,MATCH($X$4,'Jan 2022 Apport'!$3:$3,0),FALSE)</f>
        <v>4.8578999999999997E-2</v>
      </c>
      <c r="Y188">
        <f>VLOOKUP(A188,JanApport,MATCH($Y$4,'Jan 2022 Apport'!$3:$3,0),FALSE)</f>
        <v>4.0270000000000002E-3</v>
      </c>
      <c r="Z188">
        <f>VLOOKUP(A188,JanApport,MATCH($Z$4,'Jan 2022 Apport'!$3:$3,0),FALSE)</f>
        <v>1.7100000000000001E-2</v>
      </c>
      <c r="AA188" s="77">
        <f>VLOOKUP(A188,JanApport,MATCH($AA$4,'Jan 2022 Apport'!$3:$3,0),FALSE)*VLOOKUP(A188,JanApport,MATCH($AA$3,'Jan 2022 Apport'!$3:$3,0),FALSE)</f>
        <v>70288.400000000009</v>
      </c>
      <c r="AB188" s="77">
        <f>VLOOKUP(A188,JanApport,MATCH($AB$4,'Jan 2022 Apport'!$3:$3,0),FALSE)*VLOOKUP(A188,JanApport,MATCH($AB$3,'Jan 2022 Apport'!$3:$3,0),FALSE)</f>
        <v>68937</v>
      </c>
      <c r="AC188" s="77">
        <f>VLOOKUP(A188,JanApport,MATCH($AC$4,'Jan 2022 Apport'!$3:$3,0),FALSE)</f>
        <v>100321</v>
      </c>
      <c r="AD188" s="77">
        <f>VLOOKUP(A188,JanApport,MATCH($AD$4,'Jan 2022 Apport'!$3:$3,0),FALSE)*VLOOKUP(A188,JanApport,MATCH($AD$3,'Jan 2022 Apport'!$3:$3,0),FALSE)</f>
        <v>102327</v>
      </c>
      <c r="AE188" s="77">
        <f>VLOOKUP(A188,JanApport,MATCH($AE$4,'Jan 2022 Apport'!$3:$3,0),FALSE)</f>
        <v>48483</v>
      </c>
      <c r="AF188" s="77">
        <f>VLOOKUP(A188,JanApport,MATCH($AF$4,'Jan 2022 Apport'!$3:$3,0),FALSE)*VLOOKUP(A188,JanApport,MATCH($AF$3,'Jan 2022 Apport'!$3:$3,0),FALSE)</f>
        <v>49453</v>
      </c>
      <c r="AG188" s="77">
        <f t="shared" si="23"/>
        <v>96449.561660000007</v>
      </c>
      <c r="AH188" s="77">
        <f t="shared" si="24"/>
        <v>137400.94330000001</v>
      </c>
      <c r="AI188" s="77">
        <f t="shared" si="25"/>
        <v>77281.189732599989</v>
      </c>
      <c r="AJ188" s="3">
        <f>VLOOKUP(A188,JanApport,MATCH($AJ$4,'Jan 2022 Apport'!$3:$3,0),FALSE)</f>
        <v>357188.97</v>
      </c>
      <c r="AK188" s="3">
        <f>VLOOKUP(A188,JanApport,MATCH($AK$4,'Jan 2022 Apport'!$3:$3,0),FALSE)</f>
        <v>3.9540000000000002</v>
      </c>
      <c r="AL188" s="117">
        <f t="shared" si="26"/>
        <v>3551332.96</v>
      </c>
      <c r="AM188" s="117">
        <f>VLOOKUP(A188,JanApport,MATCH($AM$4,'Jan 2022 Apport'!$3:$3,0),FALSE)</f>
        <v>30780.74</v>
      </c>
      <c r="AN188" s="117">
        <f>VLOOKUP(A188,JanApport,MATCH($AN$4,'Jan 2022 Apport'!$3:$3,0),FALSE)</f>
        <v>25255.01</v>
      </c>
    </row>
    <row r="189" spans="1:40">
      <c r="A189" s="2" t="s">
        <v>331</v>
      </c>
      <c r="B189" s="2" t="s">
        <v>332</v>
      </c>
      <c r="C189" s="2" t="s">
        <v>1267</v>
      </c>
      <c r="D189" s="118">
        <f>VLOOKUP(A189,JanApport,MATCH($D$4,'Jan 2022 Apport'!$3:$3,FALSE),FALSE)</f>
        <v>8972300.6699999999</v>
      </c>
      <c r="E189" s="30">
        <f>VLOOKUP(A189,JanApport,MATCH($E$2,'Jan 2022 Apport'!$3:$3,0),FALSE)+VLOOKUP(A189,JanApport,MATCH($E$3,'Jan 2022 Apport'!$3:$3,0),FALSE)+VLOOKUP(A189,JanApport,MATCH($E$4,'Jan 2022 Apport'!$3:$3,0),FALSE)</f>
        <v>699691.07</v>
      </c>
      <c r="F189" s="118">
        <f t="shared" si="27"/>
        <v>8272609.5999999996</v>
      </c>
      <c r="G189" s="117">
        <f>VLOOKUP(A189,JanApport,MATCH($G$4,'Jan 2022 Apport'!$3:$3,0),FALSE)</f>
        <v>88350.39</v>
      </c>
      <c r="H189" s="117">
        <f>VLOOKUP(A189,JanApport,MATCH($H$3,'Jan 2022 Apport'!$3:$3,0),FALSE)+VLOOKUP(A189,JanApport,MATCH($H$2,'Jan 2022 Apport'!$3:$3,0),FALSE)+VLOOKUP(A189,JanApport,MATCH($H$4,'Jan 2022 Apport'!$3:$3,0),FALSE)</f>
        <v>1197086.2799999998</v>
      </c>
      <c r="I189" s="117">
        <f t="shared" si="28"/>
        <v>1285436.6699999997</v>
      </c>
      <c r="J189" s="117">
        <f>VLOOKUP(A189,JanApport,MATCH($J$4,'Jan 2022 Apport'!$3:$3,0),FALSE)</f>
        <v>535092.12</v>
      </c>
      <c r="K189" s="117">
        <f>VLOOKUP(A189,JanApport,MATCH($K$4,'Jan 2022 Apport'!$3:$3,0),FALSE)</f>
        <v>116066.93</v>
      </c>
      <c r="L189" s="117">
        <f t="shared" si="29"/>
        <v>651159.05000000005</v>
      </c>
      <c r="M189" s="117">
        <f>VLOOKUP(A189,JanApport,MATCH($M$4,'Jan 2022 Apport'!$3:$3,0),FALSE)</f>
        <v>425987.95</v>
      </c>
      <c r="N189" s="117">
        <f>VLOOKUP(A189,JanApport,MATCH($N$4,'Jan 2022 Apport'!$3:$3,0),FALSE)</f>
        <v>131330.26</v>
      </c>
      <c r="O189" s="117">
        <f>VLOOKUP(A189,JanApport,MATCH($O$4,'Jan 2022 Apport'!$3:$3,0),FALSE)</f>
        <v>30174.58</v>
      </c>
      <c r="P189" s="121">
        <f>IFERROR((VLOOKUP(A189,ExcessLevy!A:G,3,FALSE)*0.28),0)+IFERROR((VLOOKUP(A189,ExcessLevy!A:G,6,FALSE)*0.72),0)</f>
        <v>1267603.1916</v>
      </c>
      <c r="Q189" s="121">
        <f>IFERROR((VLOOKUP(A189,ExcessLevy!A:G,4,FALSE)*0.4738),0)+IFERROR((VLOOKUP(A189,ExcessLevy!A:G,7,FALSE)*0.5262),0)</f>
        <v>659677.01560000004</v>
      </c>
      <c r="R189">
        <f>VLOOKUP(A189,JanApport,MATCH($R$4,'Jan 2022 Apport'!$3:$3,0),FALSE)</f>
        <v>0</v>
      </c>
      <c r="S189">
        <f>VLOOKUP(A189,JanApport,MATCH($S$4,'Jan 2022 Apport'!$3:$3,0),FALSE)</f>
        <v>6.22</v>
      </c>
      <c r="T189">
        <f>VLOOKUP(A189,JanApport,MATCH($T$4,'Jan 2022 Apport'!$3:$3,0),FALSE)</f>
        <v>70.56</v>
      </c>
      <c r="U189" s="132">
        <f>IFERROR(VLOOKUP(A189,JanApport,MATCH($U$4,'Jan 2022 Apport'!$3:$3,0),FALSE)/R189,0)</f>
        <v>0</v>
      </c>
      <c r="V189" s="30">
        <f>IFERROR(((VLOOKUP(A189,JanApport,MATCH($V$4,'Jan 2022 Apport'!$3:$3,0),FALSE)+VLOOKUP(A189,JanApport,MATCH($V$3,'Jan 2022 Apport'!$3:$3,0),FALSE))/(S189+T189)),0)</f>
        <v>9112.9339671789512</v>
      </c>
      <c r="W189" s="30">
        <f t="shared" si="22"/>
        <v>8083.6246967786601</v>
      </c>
      <c r="X189">
        <f>VLOOKUP(A189,JanApport,MATCH($X$4,'Jan 2022 Apport'!$3:$3,0),FALSE)</f>
        <v>4.8578999999999997E-2</v>
      </c>
      <c r="Y189">
        <f>VLOOKUP(A189,JanApport,MATCH($Y$4,'Jan 2022 Apport'!$3:$3,0),FALSE)</f>
        <v>4.0270000000000002E-3</v>
      </c>
      <c r="Z189">
        <f>VLOOKUP(A189,JanApport,MATCH($Z$4,'Jan 2022 Apport'!$3:$3,0),FALSE)</f>
        <v>1.7100000000000001E-2</v>
      </c>
      <c r="AA189" s="77">
        <f>VLOOKUP(A189,JanApport,MATCH($AA$4,'Jan 2022 Apport'!$3:$3,0),FALSE)*VLOOKUP(A189,JanApport,MATCH($AA$3,'Jan 2022 Apport'!$3:$3,0),FALSE)</f>
        <v>67585</v>
      </c>
      <c r="AB189" s="77">
        <f>VLOOKUP(A189,JanApport,MATCH($AB$4,'Jan 2022 Apport'!$3:$3,0),FALSE)*VLOOKUP(A189,JanApport,MATCH($AB$3,'Jan 2022 Apport'!$3:$3,0),FALSE)</f>
        <v>68937</v>
      </c>
      <c r="AC189" s="77">
        <f>VLOOKUP(A189,JanApport,MATCH($AC$4,'Jan 2022 Apport'!$3:$3,0),FALSE)</f>
        <v>100321</v>
      </c>
      <c r="AD189" s="77">
        <f>VLOOKUP(A189,JanApport,MATCH($AD$4,'Jan 2022 Apport'!$3:$3,0),FALSE)*VLOOKUP(A189,JanApport,MATCH($AD$3,'Jan 2022 Apport'!$3:$3,0),FALSE)</f>
        <v>102327</v>
      </c>
      <c r="AE189" s="77">
        <f>VLOOKUP(A189,JanApport,MATCH($AE$4,'Jan 2022 Apport'!$3:$3,0),FALSE)</f>
        <v>48483</v>
      </c>
      <c r="AF189" s="77">
        <f>VLOOKUP(A189,JanApport,MATCH($AF$4,'Jan 2022 Apport'!$3:$3,0),FALSE)*VLOOKUP(A189,JanApport,MATCH($AF$3,'Jan 2022 Apport'!$3:$3,0),FALSE)</f>
        <v>49453</v>
      </c>
      <c r="AG189" s="77">
        <f t="shared" si="23"/>
        <v>96432.259900000005</v>
      </c>
      <c r="AH189" s="77">
        <f t="shared" si="24"/>
        <v>137400.94330000001</v>
      </c>
      <c r="AI189" s="77">
        <f t="shared" si="25"/>
        <v>77281.189732599989</v>
      </c>
      <c r="AJ189" s="3">
        <f>VLOOKUP(A189,JanApport,MATCH($AJ$4,'Jan 2022 Apport'!$3:$3,0),FALSE)</f>
        <v>1196225.45</v>
      </c>
      <c r="AK189" s="3">
        <f>VLOOKUP(A189,JanApport,MATCH($AK$4,'Jan 2022 Apport'!$3:$3,0),FALSE)</f>
        <v>15.523999999999999</v>
      </c>
      <c r="AL189" s="117">
        <f t="shared" si="26"/>
        <v>11613820.749999998</v>
      </c>
      <c r="AM189" s="117">
        <f>VLOOKUP(A189,JanApport,MATCH($AM$4,'Jan 2022 Apport'!$3:$3,0),FALSE)</f>
        <v>233498.5</v>
      </c>
      <c r="AN189" s="117">
        <f>VLOOKUP(A189,JanApport,MATCH($AN$4,'Jan 2022 Apport'!$3:$3,0),FALSE)</f>
        <v>64694.35</v>
      </c>
    </row>
    <row r="190" spans="1:40">
      <c r="A190" s="2" t="s">
        <v>513</v>
      </c>
      <c r="B190" s="2" t="s">
        <v>514</v>
      </c>
      <c r="C190" s="2" t="s">
        <v>1267</v>
      </c>
      <c r="D190" s="118">
        <f>VLOOKUP(A190,JanApport,MATCH($D$4,'Jan 2022 Apport'!$3:$3,FALSE),FALSE)</f>
        <v>85476048.930000007</v>
      </c>
      <c r="E190" s="30">
        <f>VLOOKUP(A190,JanApport,MATCH($E$2,'Jan 2022 Apport'!$3:$3,0),FALSE)+VLOOKUP(A190,JanApport,MATCH($E$3,'Jan 2022 Apport'!$3:$3,0),FALSE)+VLOOKUP(A190,JanApport,MATCH($E$4,'Jan 2022 Apport'!$3:$3,0),FALSE)</f>
        <v>6595116.1899999995</v>
      </c>
      <c r="F190" s="118">
        <f t="shared" si="27"/>
        <v>78880932.74000001</v>
      </c>
      <c r="G190" s="117">
        <f>VLOOKUP(A190,JanApport,MATCH($G$4,'Jan 2022 Apport'!$3:$3,0),FALSE)</f>
        <v>961223.77</v>
      </c>
      <c r="H190" s="117">
        <f>VLOOKUP(A190,JanApport,MATCH($H$3,'Jan 2022 Apport'!$3:$3,0),FALSE)+VLOOKUP(A190,JanApport,MATCH($H$2,'Jan 2022 Apport'!$3:$3,0),FALSE)+VLOOKUP(A190,JanApport,MATCH($H$4,'Jan 2022 Apport'!$3:$3,0),FALSE)</f>
        <v>11430340.24</v>
      </c>
      <c r="I190" s="117">
        <f t="shared" si="28"/>
        <v>12391564.01</v>
      </c>
      <c r="J190" s="117">
        <f>VLOOKUP(A190,JanApport,MATCH($J$4,'Jan 2022 Apport'!$3:$3,0),FALSE)</f>
        <v>4273341.1399999997</v>
      </c>
      <c r="K190" s="117">
        <f>VLOOKUP(A190,JanApport,MATCH($K$4,'Jan 2022 Apport'!$3:$3,0),FALSE)</f>
        <v>477291.74</v>
      </c>
      <c r="L190" s="117">
        <f t="shared" si="29"/>
        <v>4750632.88</v>
      </c>
      <c r="M190" s="117">
        <f>VLOOKUP(A190,JanApport,MATCH($M$4,'Jan 2022 Apport'!$3:$3,0),FALSE)</f>
        <v>1782324.66</v>
      </c>
      <c r="N190" s="117">
        <f>VLOOKUP(A190,JanApport,MATCH($N$4,'Jan 2022 Apport'!$3:$3,0),FALSE)</f>
        <v>492007.48</v>
      </c>
      <c r="O190" s="117">
        <f>VLOOKUP(A190,JanApport,MATCH($O$4,'Jan 2022 Apport'!$3:$3,0),FALSE)</f>
        <v>0</v>
      </c>
      <c r="P190" s="121">
        <f>IFERROR((VLOOKUP(A190,ExcessLevy!A:G,3,FALSE)*0.28),0)+IFERROR((VLOOKUP(A190,ExcessLevy!A:G,6,FALSE)*0.72),0)</f>
        <v>0</v>
      </c>
      <c r="Q190" s="121">
        <f>IFERROR((VLOOKUP(A190,ExcessLevy!A:G,4,FALSE)*0.4738),0)+IFERROR((VLOOKUP(A190,ExcessLevy!A:G,7,FALSE)*0.5262),0)</f>
        <v>28899771.1998</v>
      </c>
      <c r="R190">
        <f>VLOOKUP(A190,JanApport,MATCH($R$4,'Jan 2022 Apport'!$3:$3,0),FALSE)</f>
        <v>0</v>
      </c>
      <c r="S190">
        <f>VLOOKUP(A190,JanApport,MATCH($S$4,'Jan 2022 Apport'!$3:$3,0),FALSE)</f>
        <v>138.66999999999999</v>
      </c>
      <c r="T190">
        <f>VLOOKUP(A190,JanApport,MATCH($T$4,'Jan 2022 Apport'!$3:$3,0),FALSE)</f>
        <v>585.29</v>
      </c>
      <c r="U190" s="132">
        <f>IFERROR(VLOOKUP(A190,JanApport,MATCH($U$4,'Jan 2022 Apport'!$3:$3,0),FALSE)/R190,0)</f>
        <v>0</v>
      </c>
      <c r="V190" s="30">
        <f>IFERROR(((VLOOKUP(A190,JanApport,MATCH($V$4,'Jan 2022 Apport'!$3:$3,0),FALSE)+VLOOKUP(A190,JanApport,MATCH($V$3,'Jan 2022 Apport'!$3:$3,0),FALSE))/(S190+T190)),0)</f>
        <v>9109.7798082767004</v>
      </c>
      <c r="W190" s="30">
        <f t="shared" si="22"/>
        <v>8307.6027265112134</v>
      </c>
      <c r="X190">
        <f>VLOOKUP(A190,JanApport,MATCH($X$4,'Jan 2022 Apport'!$3:$3,0),FALSE)</f>
        <v>4.8578999999999997E-2</v>
      </c>
      <c r="Y190">
        <f>VLOOKUP(A190,JanApport,MATCH($Y$4,'Jan 2022 Apport'!$3:$3,0),FALSE)</f>
        <v>4.0270000000000002E-3</v>
      </c>
      <c r="Z190">
        <f>VLOOKUP(A190,JanApport,MATCH($Z$4,'Jan 2022 Apport'!$3:$3,0),FALSE)</f>
        <v>1.7100000000000001E-2</v>
      </c>
      <c r="AA190" s="77">
        <f>VLOOKUP(A190,JanApport,MATCH($AA$4,'Jan 2022 Apport'!$3:$3,0),FALSE)*VLOOKUP(A190,JanApport,MATCH($AA$3,'Jan 2022 Apport'!$3:$3,0),FALSE)</f>
        <v>67585</v>
      </c>
      <c r="AB190" s="77">
        <f>VLOOKUP(A190,JanApport,MATCH($AB$4,'Jan 2022 Apport'!$3:$3,0),FALSE)*VLOOKUP(A190,JanApport,MATCH($AB$3,'Jan 2022 Apport'!$3:$3,0),FALSE)</f>
        <v>71694.48</v>
      </c>
      <c r="AC190" s="77">
        <f>VLOOKUP(A190,JanApport,MATCH($AC$4,'Jan 2022 Apport'!$3:$3,0),FALSE)</f>
        <v>100321</v>
      </c>
      <c r="AD190" s="77">
        <f>VLOOKUP(A190,JanApport,MATCH($AD$4,'Jan 2022 Apport'!$3:$3,0),FALSE)*VLOOKUP(A190,JanApport,MATCH($AD$3,'Jan 2022 Apport'!$3:$3,0),FALSE)</f>
        <v>106420.08</v>
      </c>
      <c r="AE190" s="77">
        <f>VLOOKUP(A190,JanApport,MATCH($AE$4,'Jan 2022 Apport'!$3:$3,0),FALSE)</f>
        <v>48483</v>
      </c>
      <c r="AF190" s="77">
        <f>VLOOKUP(A190,JanApport,MATCH($AF$4,'Jan 2022 Apport'!$3:$3,0),FALSE)*VLOOKUP(A190,JanApport,MATCH($AF$3,'Jan 2022 Apport'!$3:$3,0),FALSE)</f>
        <v>51431.12</v>
      </c>
      <c r="AG190" s="77">
        <f t="shared" si="23"/>
        <v>99798.31573599999</v>
      </c>
      <c r="AH190" s="77">
        <f t="shared" si="24"/>
        <v>142397.366056</v>
      </c>
      <c r="AI190" s="77">
        <f t="shared" si="25"/>
        <v>79640.125921903993</v>
      </c>
      <c r="AJ190" s="3">
        <f>VLOOKUP(A190,JanApport,MATCH($AJ$4,'Jan 2022 Apport'!$3:$3,0),FALSE)</f>
        <v>10783517.380000001</v>
      </c>
      <c r="AK190" s="3">
        <f>VLOOKUP(A190,JanApport,MATCH($AK$4,'Jan 2022 Apport'!$3:$3,0),FALSE)</f>
        <v>155.76900000000001</v>
      </c>
      <c r="AL190" s="117">
        <f t="shared" si="26"/>
        <v>104613547.31000002</v>
      </c>
      <c r="AM190" s="117">
        <f>VLOOKUP(A190,JanApport,MATCH($AM$4,'Jan 2022 Apport'!$3:$3,0),FALSE)</f>
        <v>198261.09</v>
      </c>
      <c r="AN190" s="117">
        <f>VLOOKUP(A190,JanApport,MATCH($AN$4,'Jan 2022 Apport'!$3:$3,0),FALSE)</f>
        <v>608266.69999999995</v>
      </c>
    </row>
    <row r="191" spans="1:40">
      <c r="A191" s="2" t="s">
        <v>329</v>
      </c>
      <c r="B191" s="2" t="s">
        <v>330</v>
      </c>
      <c r="C191" s="2" t="s">
        <v>1267</v>
      </c>
      <c r="D191" s="118">
        <f>VLOOKUP(A191,JanApport,MATCH($D$4,'Jan 2022 Apport'!$3:$3,FALSE),FALSE)</f>
        <v>57909002.32</v>
      </c>
      <c r="E191" s="30">
        <f>VLOOKUP(A191,JanApport,MATCH($E$2,'Jan 2022 Apport'!$3:$3,0),FALSE)+VLOOKUP(A191,JanApport,MATCH($E$3,'Jan 2022 Apport'!$3:$3,0),FALSE)+VLOOKUP(A191,JanApport,MATCH($E$4,'Jan 2022 Apport'!$3:$3,0),FALSE)</f>
        <v>1530000.19</v>
      </c>
      <c r="F191" s="118">
        <f t="shared" si="27"/>
        <v>56379002.130000003</v>
      </c>
      <c r="G191" s="117">
        <f>VLOOKUP(A191,JanApport,MATCH($G$4,'Jan 2022 Apport'!$3:$3,0),FALSE)</f>
        <v>293619.78999999998</v>
      </c>
      <c r="H191" s="117">
        <f>VLOOKUP(A191,JanApport,MATCH($H$3,'Jan 2022 Apport'!$3:$3,0),FALSE)+VLOOKUP(A191,JanApport,MATCH($H$2,'Jan 2022 Apport'!$3:$3,0),FALSE)+VLOOKUP(A191,JanApport,MATCH($H$4,'Jan 2022 Apport'!$3:$3,0),FALSE)</f>
        <v>7409743.5199999996</v>
      </c>
      <c r="I191" s="117">
        <f t="shared" si="28"/>
        <v>7703363.3099999996</v>
      </c>
      <c r="J191" s="117">
        <f>VLOOKUP(A191,JanApport,MATCH($J$4,'Jan 2022 Apport'!$3:$3,0),FALSE)</f>
        <v>979925.33</v>
      </c>
      <c r="K191" s="117">
        <f>VLOOKUP(A191,JanApport,MATCH($K$4,'Jan 2022 Apport'!$3:$3,0),FALSE)</f>
        <v>152637.59</v>
      </c>
      <c r="L191" s="117">
        <f t="shared" si="29"/>
        <v>1132562.92</v>
      </c>
      <c r="M191" s="117">
        <f>VLOOKUP(A191,JanApport,MATCH($M$4,'Jan 2022 Apport'!$3:$3,0),FALSE)</f>
        <v>2362612.17</v>
      </c>
      <c r="N191" s="117">
        <f>VLOOKUP(A191,JanApport,MATCH($N$4,'Jan 2022 Apport'!$3:$3,0),FALSE)</f>
        <v>452485.88</v>
      </c>
      <c r="O191" s="117">
        <f>VLOOKUP(A191,JanApport,MATCH($O$4,'Jan 2022 Apport'!$3:$3,0),FALSE)</f>
        <v>186179.59</v>
      </c>
      <c r="P191" s="121">
        <f>IFERROR((VLOOKUP(A191,ExcessLevy!A:G,3,FALSE)*0.28),0)+IFERROR((VLOOKUP(A191,ExcessLevy!A:G,6,FALSE)*0.72),0)</f>
        <v>10656586.4212</v>
      </c>
      <c r="Q191" s="121">
        <f>IFERROR((VLOOKUP(A191,ExcessLevy!A:G,4,FALSE)*0.4738),0)+IFERROR((VLOOKUP(A191,ExcessLevy!A:G,7,FALSE)*0.5262),0)</f>
        <v>1181905.5334000001</v>
      </c>
      <c r="R191">
        <f>VLOOKUP(A191,JanApport,MATCH($R$4,'Jan 2022 Apport'!$3:$3,0),FALSE)</f>
        <v>0</v>
      </c>
      <c r="S191">
        <f>VLOOKUP(A191,JanApport,MATCH($S$4,'Jan 2022 Apport'!$3:$3,0),FALSE)</f>
        <v>32.74</v>
      </c>
      <c r="T191">
        <f>VLOOKUP(A191,JanApport,MATCH($T$4,'Jan 2022 Apport'!$3:$3,0),FALSE)</f>
        <v>138.75</v>
      </c>
      <c r="U191" s="132">
        <f>IFERROR(VLOOKUP(A191,JanApport,MATCH($U$4,'Jan 2022 Apport'!$3:$3,0),FALSE)/R191,0)</f>
        <v>0</v>
      </c>
      <c r="V191" s="30">
        <f>IFERROR(((VLOOKUP(A191,JanApport,MATCH($V$4,'Jan 2022 Apport'!$3:$3,0),FALSE)+VLOOKUP(A191,JanApport,MATCH($V$3,'Jan 2022 Apport'!$3:$3,0),FALSE))/(S191+T191)),0)</f>
        <v>8921.8041285206127</v>
      </c>
      <c r="W191" s="30">
        <f t="shared" si="22"/>
        <v>8083.6246967786601</v>
      </c>
      <c r="X191">
        <f>VLOOKUP(A191,JanApport,MATCH($X$4,'Jan 2022 Apport'!$3:$3,0),FALSE)</f>
        <v>4.8578999999999997E-2</v>
      </c>
      <c r="Y191">
        <f>VLOOKUP(A191,JanApport,MATCH($Y$4,'Jan 2022 Apport'!$3:$3,0),FALSE)</f>
        <v>4.0270000000000002E-3</v>
      </c>
      <c r="Z191">
        <f>VLOOKUP(A191,JanApport,MATCH($Z$4,'Jan 2022 Apport'!$3:$3,0),FALSE)</f>
        <v>1.7100000000000001E-2</v>
      </c>
      <c r="AA191" s="77">
        <f>VLOOKUP(A191,JanApport,MATCH($AA$4,'Jan 2022 Apport'!$3:$3,0),FALSE)*VLOOKUP(A191,JanApport,MATCH($AA$3,'Jan 2022 Apport'!$3:$3,0),FALSE)</f>
        <v>67585</v>
      </c>
      <c r="AB191" s="77">
        <f>VLOOKUP(A191,JanApport,MATCH($AB$4,'Jan 2022 Apport'!$3:$3,0),FALSE)*VLOOKUP(A191,JanApport,MATCH($AB$3,'Jan 2022 Apport'!$3:$3,0),FALSE)</f>
        <v>68937</v>
      </c>
      <c r="AC191" s="77">
        <f>VLOOKUP(A191,JanApport,MATCH($AC$4,'Jan 2022 Apport'!$3:$3,0),FALSE)</f>
        <v>100321</v>
      </c>
      <c r="AD191" s="77">
        <f>VLOOKUP(A191,JanApport,MATCH($AD$4,'Jan 2022 Apport'!$3:$3,0),FALSE)*VLOOKUP(A191,JanApport,MATCH($AD$3,'Jan 2022 Apport'!$3:$3,0),FALSE)</f>
        <v>102327</v>
      </c>
      <c r="AE191" s="77">
        <f>VLOOKUP(A191,JanApport,MATCH($AE$4,'Jan 2022 Apport'!$3:$3,0),FALSE)</f>
        <v>48483</v>
      </c>
      <c r="AF191" s="77">
        <f>VLOOKUP(A191,JanApport,MATCH($AF$4,'Jan 2022 Apport'!$3:$3,0),FALSE)*VLOOKUP(A191,JanApport,MATCH($AF$3,'Jan 2022 Apport'!$3:$3,0),FALSE)</f>
        <v>49453</v>
      </c>
      <c r="AG191" s="77">
        <f t="shared" si="23"/>
        <v>96432.259900000005</v>
      </c>
      <c r="AH191" s="77">
        <f t="shared" si="24"/>
        <v>137400.94330000001</v>
      </c>
      <c r="AI191" s="77">
        <f t="shared" si="25"/>
        <v>77281.189732599989</v>
      </c>
      <c r="AJ191" s="3">
        <f>VLOOKUP(A191,JanApport,MATCH($AJ$4,'Jan 2022 Apport'!$3:$3,0),FALSE)</f>
        <v>1996265.58</v>
      </c>
      <c r="AK191" s="3">
        <f>VLOOKUP(A191,JanApport,MATCH($AK$4,'Jan 2022 Apport'!$3:$3,0),FALSE)</f>
        <v>34.628</v>
      </c>
      <c r="AL191" s="117">
        <f t="shared" si="26"/>
        <v>70040086.560000002</v>
      </c>
      <c r="AM191" s="117">
        <f>VLOOKUP(A191,JanApport,MATCH($AM$4,'Jan 2022 Apport'!$3:$3,0),FALSE)</f>
        <v>446517.96</v>
      </c>
      <c r="AN191" s="117">
        <f>VLOOKUP(A191,JanApport,MATCH($AN$4,'Jan 2022 Apport'!$3:$3,0),FALSE)</f>
        <v>112552.5</v>
      </c>
    </row>
    <row r="192" spans="1:40">
      <c r="A192" s="2" t="s">
        <v>287</v>
      </c>
      <c r="B192" s="2" t="s">
        <v>288</v>
      </c>
      <c r="C192" s="2" t="s">
        <v>1267</v>
      </c>
      <c r="D192" s="118">
        <f>VLOOKUP(A192,JanApport,MATCH($D$4,'Jan 2022 Apport'!$3:$3,FALSE),FALSE)</f>
        <v>6796682.9299999997</v>
      </c>
      <c r="E192" s="30">
        <f>VLOOKUP(A192,JanApport,MATCH($E$2,'Jan 2022 Apport'!$3:$3,0),FALSE)+VLOOKUP(A192,JanApport,MATCH($E$3,'Jan 2022 Apport'!$3:$3,0),FALSE)+VLOOKUP(A192,JanApport,MATCH($E$4,'Jan 2022 Apport'!$3:$3,0),FALSE)</f>
        <v>962134.52</v>
      </c>
      <c r="F192" s="118">
        <f t="shared" si="27"/>
        <v>5834548.4100000001</v>
      </c>
      <c r="G192" s="117">
        <f>VLOOKUP(A192,JanApport,MATCH($G$4,'Jan 2022 Apport'!$3:$3,0),FALSE)</f>
        <v>69587.61</v>
      </c>
      <c r="H192" s="117">
        <f>VLOOKUP(A192,JanApport,MATCH($H$3,'Jan 2022 Apport'!$3:$3,0),FALSE)+VLOOKUP(A192,JanApport,MATCH($H$2,'Jan 2022 Apport'!$3:$3,0),FALSE)+VLOOKUP(A192,JanApport,MATCH($H$4,'Jan 2022 Apport'!$3:$3,0),FALSE)</f>
        <v>895635.58000000007</v>
      </c>
      <c r="I192" s="117">
        <f t="shared" si="28"/>
        <v>965223.19000000006</v>
      </c>
      <c r="J192" s="117">
        <f>VLOOKUP(A192,JanApport,MATCH($J$4,'Jan 2022 Apport'!$3:$3,0),FALSE)</f>
        <v>660325.9</v>
      </c>
      <c r="K192" s="117">
        <f>VLOOKUP(A192,JanApport,MATCH($K$4,'Jan 2022 Apport'!$3:$3,0),FALSE)</f>
        <v>32763.360000000001</v>
      </c>
      <c r="L192" s="117">
        <f t="shared" si="29"/>
        <v>693089.26</v>
      </c>
      <c r="M192" s="117">
        <f>VLOOKUP(A192,JanApport,MATCH($M$4,'Jan 2022 Apport'!$3:$3,0),FALSE)</f>
        <v>282057.68</v>
      </c>
      <c r="N192" s="117">
        <f>VLOOKUP(A192,JanApport,MATCH($N$4,'Jan 2022 Apport'!$3:$3,0),FALSE)</f>
        <v>0</v>
      </c>
      <c r="O192" s="117">
        <f>VLOOKUP(A192,JanApport,MATCH($O$4,'Jan 2022 Apport'!$3:$3,0),FALSE)</f>
        <v>22306.33</v>
      </c>
      <c r="P192" s="121">
        <f>IFERROR((VLOOKUP(A192,ExcessLevy!A:G,3,FALSE)*0.28),0)+IFERROR((VLOOKUP(A192,ExcessLevy!A:G,6,FALSE)*0.72),0)</f>
        <v>73152.276400000002</v>
      </c>
      <c r="Q192" s="121">
        <f>IFERROR((VLOOKUP(A192,ExcessLevy!A:G,4,FALSE)*0.4738),0)+IFERROR((VLOOKUP(A192,ExcessLevy!A:G,7,FALSE)*0.5262),0)</f>
        <v>947494.28520000004</v>
      </c>
      <c r="R192">
        <f>VLOOKUP(A192,JanApport,MATCH($R$4,'Jan 2022 Apport'!$3:$3,0),FALSE)</f>
        <v>0</v>
      </c>
      <c r="S192">
        <f>VLOOKUP(A192,JanApport,MATCH($S$4,'Jan 2022 Apport'!$3:$3,0),FALSE)</f>
        <v>9.91</v>
      </c>
      <c r="T192">
        <f>VLOOKUP(A192,JanApport,MATCH($T$4,'Jan 2022 Apport'!$3:$3,0),FALSE)</f>
        <v>97.92</v>
      </c>
      <c r="U192" s="132">
        <f>IFERROR(VLOOKUP(A192,JanApport,MATCH($U$4,'Jan 2022 Apport'!$3:$3,0),FALSE)/R192,0)</f>
        <v>0</v>
      </c>
      <c r="V192" s="30">
        <f>IFERROR(((VLOOKUP(A192,JanApport,MATCH($V$4,'Jan 2022 Apport'!$3:$3,0),FALSE)+VLOOKUP(A192,JanApport,MATCH($V$3,'Jan 2022 Apport'!$3:$3,0),FALSE))/(S192+T192)),0)</f>
        <v>8922.6979504776045</v>
      </c>
      <c r="W192" s="30">
        <f t="shared" si="22"/>
        <v>8083.6246967786601</v>
      </c>
      <c r="X192">
        <f>VLOOKUP(A192,JanApport,MATCH($X$4,'Jan 2022 Apport'!$3:$3,0),FALSE)</f>
        <v>4.8578999999999997E-2</v>
      </c>
      <c r="Y192">
        <f>VLOOKUP(A192,JanApport,MATCH($Y$4,'Jan 2022 Apport'!$3:$3,0),FALSE)</f>
        <v>4.0270000000000002E-3</v>
      </c>
      <c r="Z192">
        <f>VLOOKUP(A192,JanApport,MATCH($Z$4,'Jan 2022 Apport'!$3:$3,0),FALSE)</f>
        <v>1.7100000000000001E-2</v>
      </c>
      <c r="AA192" s="77">
        <f>VLOOKUP(A192,JanApport,MATCH($AA$4,'Jan 2022 Apport'!$3:$3,0),FALSE)*VLOOKUP(A192,JanApport,MATCH($AA$3,'Jan 2022 Apport'!$3:$3,0),FALSE)</f>
        <v>67585</v>
      </c>
      <c r="AB192" s="77">
        <f>VLOOKUP(A192,JanApport,MATCH($AB$4,'Jan 2022 Apport'!$3:$3,0),FALSE)*VLOOKUP(A192,JanApport,MATCH($AB$3,'Jan 2022 Apport'!$3:$3,0),FALSE)</f>
        <v>68937</v>
      </c>
      <c r="AC192" s="77">
        <f>VLOOKUP(A192,JanApport,MATCH($AC$4,'Jan 2022 Apport'!$3:$3,0),FALSE)</f>
        <v>100321</v>
      </c>
      <c r="AD192" s="77">
        <f>VLOOKUP(A192,JanApport,MATCH($AD$4,'Jan 2022 Apport'!$3:$3,0),FALSE)*VLOOKUP(A192,JanApport,MATCH($AD$3,'Jan 2022 Apport'!$3:$3,0),FALSE)</f>
        <v>102327</v>
      </c>
      <c r="AE192" s="77">
        <f>VLOOKUP(A192,JanApport,MATCH($AE$4,'Jan 2022 Apport'!$3:$3,0),FALSE)</f>
        <v>48483</v>
      </c>
      <c r="AF192" s="77">
        <f>VLOOKUP(A192,JanApport,MATCH($AF$4,'Jan 2022 Apport'!$3:$3,0),FALSE)*VLOOKUP(A192,JanApport,MATCH($AF$3,'Jan 2022 Apport'!$3:$3,0),FALSE)</f>
        <v>49453</v>
      </c>
      <c r="AG192" s="77">
        <f t="shared" si="23"/>
        <v>96432.259900000005</v>
      </c>
      <c r="AH192" s="77">
        <f t="shared" si="24"/>
        <v>137400.94330000001</v>
      </c>
      <c r="AI192" s="77">
        <f t="shared" si="25"/>
        <v>77281.189732599989</v>
      </c>
      <c r="AJ192" s="3">
        <f>VLOOKUP(A192,JanApport,MATCH($AJ$4,'Jan 2022 Apport'!$3:$3,0),FALSE)</f>
        <v>949814.8</v>
      </c>
      <c r="AK192" s="3">
        <f>VLOOKUP(A192,JanApport,MATCH($AK$4,'Jan 2022 Apport'!$3:$3,0),FALSE)</f>
        <v>12.763</v>
      </c>
      <c r="AL192" s="117">
        <f t="shared" si="26"/>
        <v>8961497.3599999994</v>
      </c>
      <c r="AM192" s="117">
        <f>VLOOKUP(A192,JanApport,MATCH($AM$4,'Jan 2022 Apport'!$3:$3,0),FALSE)</f>
        <v>234901.33</v>
      </c>
      <c r="AN192" s="117">
        <f>VLOOKUP(A192,JanApport,MATCH($AN$4,'Jan 2022 Apport'!$3:$3,0),FALSE)</f>
        <v>49392.66</v>
      </c>
    </row>
    <row r="193" spans="1:40">
      <c r="A193" s="2" t="s">
        <v>483</v>
      </c>
      <c r="B193" s="2" t="s">
        <v>484</v>
      </c>
      <c r="C193" s="2" t="s">
        <v>1267</v>
      </c>
      <c r="D193" s="118">
        <f>VLOOKUP(A193,JanApport,MATCH($D$4,'Jan 2022 Apport'!$3:$3,FALSE),FALSE)</f>
        <v>589585.52</v>
      </c>
      <c r="E193" s="30">
        <f>VLOOKUP(A193,JanApport,MATCH($E$2,'Jan 2022 Apport'!$3:$3,0),FALSE)+VLOOKUP(A193,JanApport,MATCH($E$3,'Jan 2022 Apport'!$3:$3,0),FALSE)+VLOOKUP(A193,JanApport,MATCH($E$4,'Jan 2022 Apport'!$3:$3,0),FALSE)</f>
        <v>0</v>
      </c>
      <c r="F193" s="118">
        <f t="shared" si="27"/>
        <v>589585.52</v>
      </c>
      <c r="G193" s="117">
        <f>VLOOKUP(A193,JanApport,MATCH($G$4,'Jan 2022 Apport'!$3:$3,0),FALSE)</f>
        <v>0</v>
      </c>
      <c r="H193" s="117">
        <f>VLOOKUP(A193,JanApport,MATCH($H$3,'Jan 2022 Apport'!$3:$3,0),FALSE)+VLOOKUP(A193,JanApport,MATCH($H$2,'Jan 2022 Apport'!$3:$3,0),FALSE)+VLOOKUP(A193,JanApport,MATCH($H$4,'Jan 2022 Apport'!$3:$3,0),FALSE)</f>
        <v>50217.79</v>
      </c>
      <c r="I193" s="117">
        <f t="shared" si="28"/>
        <v>50217.79</v>
      </c>
      <c r="J193" s="117">
        <f>VLOOKUP(A193,JanApport,MATCH($J$4,'Jan 2022 Apport'!$3:$3,0),FALSE)</f>
        <v>126635.86</v>
      </c>
      <c r="K193" s="117">
        <f>VLOOKUP(A193,JanApport,MATCH($K$4,'Jan 2022 Apport'!$3:$3,0),FALSE)</f>
        <v>34873.300000000003</v>
      </c>
      <c r="L193" s="117">
        <f t="shared" si="29"/>
        <v>161509.16</v>
      </c>
      <c r="M193" s="117">
        <f>VLOOKUP(A193,JanApport,MATCH($M$4,'Jan 2022 Apport'!$3:$3,0),FALSE)</f>
        <v>19643.84</v>
      </c>
      <c r="N193" s="117">
        <f>VLOOKUP(A193,JanApport,MATCH($N$4,'Jan 2022 Apport'!$3:$3,0),FALSE)</f>
        <v>0</v>
      </c>
      <c r="O193" s="117">
        <f>VLOOKUP(A193,JanApport,MATCH($O$4,'Jan 2022 Apport'!$3:$3,0),FALSE)</f>
        <v>1417.6</v>
      </c>
      <c r="P193" s="121">
        <f>IFERROR((VLOOKUP(A193,ExcessLevy!A:G,3,FALSE)*0.28),0)+IFERROR((VLOOKUP(A193,ExcessLevy!A:G,6,FALSE)*0.72),0)</f>
        <v>43900.914400000001</v>
      </c>
      <c r="Q193" s="121">
        <f>IFERROR((VLOOKUP(A193,ExcessLevy!A:G,4,FALSE)*0.4738),0)+IFERROR((VLOOKUP(A193,ExcessLevy!A:G,7,FALSE)*0.5262),0)</f>
        <v>75204.790999999997</v>
      </c>
      <c r="R193">
        <f>VLOOKUP(A193,JanApport,MATCH($R$4,'Jan 2022 Apport'!$3:$3,0),FALSE)</f>
        <v>0</v>
      </c>
      <c r="S193">
        <f>VLOOKUP(A193,JanApport,MATCH($S$4,'Jan 2022 Apport'!$3:$3,0),FALSE)</f>
        <v>0</v>
      </c>
      <c r="T193">
        <f>VLOOKUP(A193,JanApport,MATCH($T$4,'Jan 2022 Apport'!$3:$3,0),FALSE)</f>
        <v>0</v>
      </c>
      <c r="U193" s="132">
        <f>IFERROR(VLOOKUP(A193,JanApport,MATCH($U$4,'Jan 2022 Apport'!$3:$3,0),FALSE)/R193,0)</f>
        <v>0</v>
      </c>
      <c r="V193" s="30">
        <f>IFERROR(((VLOOKUP(A193,JanApport,MATCH($V$4,'Jan 2022 Apport'!$3:$3,0),FALSE)+VLOOKUP(A193,JanApport,MATCH($V$3,'Jan 2022 Apport'!$3:$3,0),FALSE))/(S193+T193)),0)</f>
        <v>0</v>
      </c>
      <c r="W193" s="30">
        <f t="shared" si="22"/>
        <v>2452.5713248960005</v>
      </c>
      <c r="X193">
        <f>VLOOKUP(A193,JanApport,MATCH($X$4,'Jan 2022 Apport'!$3:$3,0),FALSE)</f>
        <v>4.8578999999999997E-2</v>
      </c>
      <c r="Y193">
        <f>VLOOKUP(A193,JanApport,MATCH($Y$4,'Jan 2022 Apport'!$3:$3,0),FALSE)</f>
        <v>4.0270000000000002E-3</v>
      </c>
      <c r="Z193">
        <f>VLOOKUP(A193,JanApport,MATCH($Z$4,'Jan 2022 Apport'!$3:$3,0),FALSE)</f>
        <v>1.7100000000000001E-2</v>
      </c>
      <c r="AA193" s="77">
        <f>VLOOKUP(A193,JanApport,MATCH($AA$4,'Jan 2022 Apport'!$3:$3,0),FALSE)*VLOOKUP(A193,JanApport,MATCH($AA$3,'Jan 2022 Apport'!$3:$3,0),FALSE)</f>
        <v>67585</v>
      </c>
      <c r="AB193" s="77">
        <f>VLOOKUP(A193,JanApport,MATCH($AB$4,'Jan 2022 Apport'!$3:$3,0),FALSE)*VLOOKUP(A193,JanApport,MATCH($AB$3,'Jan 2022 Apport'!$3:$3,0),FALSE)</f>
        <v>0</v>
      </c>
      <c r="AC193" s="77">
        <f>VLOOKUP(A193,JanApport,MATCH($AC$4,'Jan 2022 Apport'!$3:$3,0),FALSE)</f>
        <v>0</v>
      </c>
      <c r="AD193" s="77">
        <f>VLOOKUP(A193,JanApport,MATCH($AD$4,'Jan 2022 Apport'!$3:$3,0),FALSE)*VLOOKUP(A193,JanApport,MATCH($AD$3,'Jan 2022 Apport'!$3:$3,0),FALSE)</f>
        <v>0</v>
      </c>
      <c r="AE193" s="77">
        <f>VLOOKUP(A193,JanApport,MATCH($AE$4,'Jan 2022 Apport'!$3:$3,0),FALSE)</f>
        <v>0</v>
      </c>
      <c r="AF193" s="77">
        <f>VLOOKUP(A193,JanApport,MATCH($AF$4,'Jan 2022 Apport'!$3:$3,0),FALSE)*VLOOKUP(A193,JanApport,MATCH($AF$3,'Jan 2022 Apport'!$3:$3,0),FALSE)</f>
        <v>0</v>
      </c>
      <c r="AG193" s="77">
        <f t="shared" si="23"/>
        <v>12280.864000000009</v>
      </c>
      <c r="AH193" s="77">
        <f t="shared" si="24"/>
        <v>11848.32</v>
      </c>
      <c r="AI193" s="77">
        <f t="shared" si="25"/>
        <v>16610.88</v>
      </c>
      <c r="AJ193" s="3">
        <f>VLOOKUP(A193,JanApport,MATCH($AJ$4,'Jan 2022 Apport'!$3:$3,0),FALSE)</f>
        <v>77933.78</v>
      </c>
      <c r="AK193" s="3">
        <f>VLOOKUP(A193,JanApport,MATCH($AK$4,'Jan 2022 Apport'!$3:$3,0),FALSE)</f>
        <v>1.454</v>
      </c>
      <c r="AL193" s="117">
        <f t="shared" si="26"/>
        <v>800157.72</v>
      </c>
      <c r="AM193" s="117">
        <f>VLOOKUP(A193,JanApport,MATCH($AM$4,'Jan 2022 Apport'!$3:$3,0),FALSE)</f>
        <v>12657.11</v>
      </c>
      <c r="AN193" s="117">
        <f>VLOOKUP(A193,JanApport,MATCH($AN$4,'Jan 2022 Apport'!$3:$3,0),FALSE)</f>
        <v>5367.74</v>
      </c>
    </row>
    <row r="194" spans="1:40">
      <c r="A194" s="2" t="s">
        <v>395</v>
      </c>
      <c r="B194" s="2" t="s">
        <v>396</v>
      </c>
      <c r="C194" s="2" t="s">
        <v>1267</v>
      </c>
      <c r="D194" s="118">
        <f>VLOOKUP(A194,JanApport,MATCH($D$4,'Jan 2022 Apport'!$3:$3,FALSE),FALSE)</f>
        <v>7156376.7999999998</v>
      </c>
      <c r="E194" s="30">
        <f>VLOOKUP(A194,JanApport,MATCH($E$2,'Jan 2022 Apport'!$3:$3,0),FALSE)+VLOOKUP(A194,JanApport,MATCH($E$3,'Jan 2022 Apport'!$3:$3,0),FALSE)+VLOOKUP(A194,JanApport,MATCH($E$4,'Jan 2022 Apport'!$3:$3,0),FALSE)</f>
        <v>114163.71</v>
      </c>
      <c r="F194" s="118">
        <f t="shared" si="27"/>
        <v>7042213.0899999999</v>
      </c>
      <c r="G194" s="117">
        <f>VLOOKUP(A194,JanApport,MATCH($G$4,'Jan 2022 Apport'!$3:$3,0),FALSE)</f>
        <v>78261.09</v>
      </c>
      <c r="H194" s="117">
        <f>VLOOKUP(A194,JanApport,MATCH($H$3,'Jan 2022 Apport'!$3:$3,0),FALSE)+VLOOKUP(A194,JanApport,MATCH($H$2,'Jan 2022 Apport'!$3:$3,0),FALSE)+VLOOKUP(A194,JanApport,MATCH($H$4,'Jan 2022 Apport'!$3:$3,0),FALSE)</f>
        <v>721838.78</v>
      </c>
      <c r="I194" s="117">
        <f t="shared" si="28"/>
        <v>800099.87</v>
      </c>
      <c r="J194" s="117">
        <f>VLOOKUP(A194,JanApport,MATCH($J$4,'Jan 2022 Apport'!$3:$3,0),FALSE)</f>
        <v>196254.27</v>
      </c>
      <c r="K194" s="117">
        <f>VLOOKUP(A194,JanApport,MATCH($K$4,'Jan 2022 Apport'!$3:$3,0),FALSE)</f>
        <v>25930.18</v>
      </c>
      <c r="L194" s="117">
        <f t="shared" si="29"/>
        <v>222184.44999999998</v>
      </c>
      <c r="M194" s="117">
        <f>VLOOKUP(A194,JanApport,MATCH($M$4,'Jan 2022 Apport'!$3:$3,0),FALSE)</f>
        <v>149035.04</v>
      </c>
      <c r="N194" s="117">
        <f>VLOOKUP(A194,JanApport,MATCH($N$4,'Jan 2022 Apport'!$3:$3,0),FALSE)</f>
        <v>58078.239999999998</v>
      </c>
      <c r="O194" s="117">
        <f>VLOOKUP(A194,JanApport,MATCH($O$4,'Jan 2022 Apport'!$3:$3,0),FALSE)</f>
        <v>22495.85</v>
      </c>
      <c r="P194" s="121">
        <f>IFERROR((VLOOKUP(A194,ExcessLevy!A:G,3,FALSE)*0.28),0)+IFERROR((VLOOKUP(A194,ExcessLevy!A:G,6,FALSE)*0.72),0)</f>
        <v>0</v>
      </c>
      <c r="Q194" s="121">
        <f>IFERROR((VLOOKUP(A194,ExcessLevy!A:G,4,FALSE)*0.4738),0)+IFERROR((VLOOKUP(A194,ExcessLevy!A:G,7,FALSE)*0.5262),0)</f>
        <v>2194292.5466</v>
      </c>
      <c r="R194">
        <f>VLOOKUP(A194,JanApport,MATCH($R$4,'Jan 2022 Apport'!$3:$3,0),FALSE)</f>
        <v>0</v>
      </c>
      <c r="S194">
        <f>VLOOKUP(A194,JanApport,MATCH($S$4,'Jan 2022 Apport'!$3:$3,0),FALSE)</f>
        <v>0</v>
      </c>
      <c r="T194">
        <f>VLOOKUP(A194,JanApport,MATCH($T$4,'Jan 2022 Apport'!$3:$3,0),FALSE)</f>
        <v>11.78</v>
      </c>
      <c r="U194" s="132">
        <f>IFERROR(VLOOKUP(A194,JanApport,MATCH($U$4,'Jan 2022 Apport'!$3:$3,0),FALSE)/R194,0)</f>
        <v>0</v>
      </c>
      <c r="V194" s="30">
        <f>IFERROR(((VLOOKUP(A194,JanApport,MATCH($V$4,'Jan 2022 Apport'!$3:$3,0),FALSE)+VLOOKUP(A194,JanApport,MATCH($V$3,'Jan 2022 Apport'!$3:$3,0),FALSE))/(S194+T194)),0)</f>
        <v>9691.3166383701191</v>
      </c>
      <c r="W194" s="30">
        <f t="shared" si="22"/>
        <v>2455.0928314931207</v>
      </c>
      <c r="X194">
        <f>VLOOKUP(A194,JanApport,MATCH($X$4,'Jan 2022 Apport'!$3:$3,0),FALSE)</f>
        <v>4.8578999999999997E-2</v>
      </c>
      <c r="Y194">
        <f>VLOOKUP(A194,JanApport,MATCH($Y$4,'Jan 2022 Apport'!$3:$3,0),FALSE)</f>
        <v>4.0270000000000002E-3</v>
      </c>
      <c r="Z194">
        <f>VLOOKUP(A194,JanApport,MATCH($Z$4,'Jan 2022 Apport'!$3:$3,0),FALSE)</f>
        <v>1.7100000000000001E-2</v>
      </c>
      <c r="AA194" s="77">
        <f>VLOOKUP(A194,JanApport,MATCH($AA$4,'Jan 2022 Apport'!$3:$3,0),FALSE)*VLOOKUP(A194,JanApport,MATCH($AA$3,'Jan 2022 Apport'!$3:$3,0),FALSE)</f>
        <v>75695.200000000012</v>
      </c>
      <c r="AB194" s="77">
        <f>VLOOKUP(A194,JanApport,MATCH($AB$4,'Jan 2022 Apport'!$3:$3,0),FALSE)*VLOOKUP(A194,JanApport,MATCH($AB$3,'Jan 2022 Apport'!$3:$3,0),FALSE)</f>
        <v>0</v>
      </c>
      <c r="AC194" s="77">
        <f>VLOOKUP(A194,JanApport,MATCH($AC$4,'Jan 2022 Apport'!$3:$3,0),FALSE)</f>
        <v>0</v>
      </c>
      <c r="AD194" s="77">
        <f>VLOOKUP(A194,JanApport,MATCH($AD$4,'Jan 2022 Apport'!$3:$3,0),FALSE)*VLOOKUP(A194,JanApport,MATCH($AD$3,'Jan 2022 Apport'!$3:$3,0),FALSE)</f>
        <v>0</v>
      </c>
      <c r="AE194" s="77">
        <f>VLOOKUP(A194,JanApport,MATCH($AE$4,'Jan 2022 Apport'!$3:$3,0),FALSE)</f>
        <v>0</v>
      </c>
      <c r="AF194" s="77">
        <f>VLOOKUP(A194,JanApport,MATCH($AF$4,'Jan 2022 Apport'!$3:$3,0),FALSE)*VLOOKUP(A194,JanApport,MATCH($AF$3,'Jan 2022 Apport'!$3:$3,0),FALSE)</f>
        <v>0</v>
      </c>
      <c r="AG194" s="77">
        <f t="shared" si="23"/>
        <v>12332.769280000015</v>
      </c>
      <c r="AH194" s="77">
        <f t="shared" si="24"/>
        <v>11848.32</v>
      </c>
      <c r="AI194" s="77">
        <f t="shared" si="25"/>
        <v>16610.88</v>
      </c>
      <c r="AJ194" s="3">
        <f>VLOOKUP(A194,JanApport,MATCH($AJ$4,'Jan 2022 Apport'!$3:$3,0),FALSE)</f>
        <v>607108.55000000005</v>
      </c>
      <c r="AK194" s="3">
        <f>VLOOKUP(A194,JanApport,MATCH($AK$4,'Jan 2022 Apport'!$3:$3,0),FALSE)</f>
        <v>7.1390000000000002</v>
      </c>
      <c r="AL194" s="117">
        <f t="shared" si="26"/>
        <v>8382340.0699999994</v>
      </c>
      <c r="AM194" s="117">
        <f>VLOOKUP(A194,JanApport,MATCH($AM$4,'Jan 2022 Apport'!$3:$3,0),FALSE)</f>
        <v>0</v>
      </c>
      <c r="AN194" s="117">
        <f>VLOOKUP(A194,JanApport,MATCH($AN$4,'Jan 2022 Apport'!$3:$3,0),FALSE)</f>
        <v>38992.61</v>
      </c>
    </row>
    <row r="195" spans="1:40">
      <c r="A195" s="2" t="s">
        <v>453</v>
      </c>
      <c r="B195" s="2" t="s">
        <v>454</v>
      </c>
      <c r="C195" s="2" t="s">
        <v>1267</v>
      </c>
      <c r="D195" s="118">
        <f>VLOOKUP(A195,JanApport,MATCH($D$4,'Jan 2022 Apport'!$3:$3,FALSE),FALSE)</f>
        <v>735669.42</v>
      </c>
      <c r="E195" s="30">
        <f>VLOOKUP(A195,JanApport,MATCH($E$2,'Jan 2022 Apport'!$3:$3,0),FALSE)+VLOOKUP(A195,JanApport,MATCH($E$3,'Jan 2022 Apport'!$3:$3,0),FALSE)+VLOOKUP(A195,JanApport,MATCH($E$4,'Jan 2022 Apport'!$3:$3,0),FALSE)</f>
        <v>0</v>
      </c>
      <c r="F195" s="118">
        <f t="shared" si="27"/>
        <v>735669.42</v>
      </c>
      <c r="G195" s="117">
        <f>VLOOKUP(A195,JanApport,MATCH($G$4,'Jan 2022 Apport'!$3:$3,0),FALSE)</f>
        <v>0</v>
      </c>
      <c r="H195" s="117">
        <f>VLOOKUP(A195,JanApport,MATCH($H$3,'Jan 2022 Apport'!$3:$3,0),FALSE)+VLOOKUP(A195,JanApport,MATCH($H$2,'Jan 2022 Apport'!$3:$3,0),FALSE)+VLOOKUP(A195,JanApport,MATCH($H$4,'Jan 2022 Apport'!$3:$3,0),FALSE)</f>
        <v>34771.199999999997</v>
      </c>
      <c r="I195" s="117">
        <f t="shared" si="28"/>
        <v>34771.199999999997</v>
      </c>
      <c r="J195" s="117">
        <f>VLOOKUP(A195,JanApport,MATCH($J$4,'Jan 2022 Apport'!$3:$3,0),FALSE)</f>
        <v>30814.53</v>
      </c>
      <c r="K195" s="117">
        <f>VLOOKUP(A195,JanApport,MATCH($K$4,'Jan 2022 Apport'!$3:$3,0),FALSE)</f>
        <v>7824.95</v>
      </c>
      <c r="L195" s="117">
        <f t="shared" si="29"/>
        <v>38639.479999999996</v>
      </c>
      <c r="M195" s="117">
        <f>VLOOKUP(A195,JanApport,MATCH($M$4,'Jan 2022 Apport'!$3:$3,0),FALSE)</f>
        <v>3717.74</v>
      </c>
      <c r="N195" s="117">
        <f>VLOOKUP(A195,JanApport,MATCH($N$4,'Jan 2022 Apport'!$3:$3,0),FALSE)</f>
        <v>0</v>
      </c>
      <c r="O195" s="117">
        <f>VLOOKUP(A195,JanApport,MATCH($O$4,'Jan 2022 Apport'!$3:$3,0),FALSE)</f>
        <v>0</v>
      </c>
      <c r="P195" s="121">
        <f>IFERROR((VLOOKUP(A195,ExcessLevy!A:G,3,FALSE)*0.28),0)+IFERROR((VLOOKUP(A195,ExcessLevy!A:G,6,FALSE)*0.72),0)</f>
        <v>0</v>
      </c>
      <c r="Q195" s="121">
        <f>IFERROR((VLOOKUP(A195,ExcessLevy!A:G,4,FALSE)*0.4738),0)+IFERROR((VLOOKUP(A195,ExcessLevy!A:G,7,FALSE)*0.5262),0)</f>
        <v>143417</v>
      </c>
      <c r="R195">
        <f>VLOOKUP(A195,JanApport,MATCH($R$4,'Jan 2022 Apport'!$3:$3,0),FALSE)</f>
        <v>0</v>
      </c>
      <c r="S195">
        <f>VLOOKUP(A195,JanApport,MATCH($S$4,'Jan 2022 Apport'!$3:$3,0),FALSE)</f>
        <v>0</v>
      </c>
      <c r="T195">
        <f>VLOOKUP(A195,JanApport,MATCH($T$4,'Jan 2022 Apport'!$3:$3,0),FALSE)</f>
        <v>0</v>
      </c>
      <c r="U195" s="132">
        <f>IFERROR(VLOOKUP(A195,JanApport,MATCH($U$4,'Jan 2022 Apport'!$3:$3,0),FALSE)/R195,0)</f>
        <v>0</v>
      </c>
      <c r="V195" s="30">
        <f>IFERROR(((VLOOKUP(A195,JanApport,MATCH($V$4,'Jan 2022 Apport'!$3:$3,0),FALSE)+VLOOKUP(A195,JanApport,MATCH($V$3,'Jan 2022 Apport'!$3:$3,0),FALSE))/(S195+T195)),0)</f>
        <v>0</v>
      </c>
      <c r="W195" s="30">
        <f t="shared" si="22"/>
        <v>2452.5713248960005</v>
      </c>
      <c r="X195">
        <f>VLOOKUP(A195,JanApport,MATCH($X$4,'Jan 2022 Apport'!$3:$3,0),FALSE)</f>
        <v>4.8578999999999997E-2</v>
      </c>
      <c r="Y195">
        <f>VLOOKUP(A195,JanApport,MATCH($Y$4,'Jan 2022 Apport'!$3:$3,0),FALSE)</f>
        <v>4.0270000000000002E-3</v>
      </c>
      <c r="Z195">
        <f>VLOOKUP(A195,JanApport,MATCH($Z$4,'Jan 2022 Apport'!$3:$3,0),FALSE)</f>
        <v>1.7100000000000001E-2</v>
      </c>
      <c r="AA195" s="77">
        <f>VLOOKUP(A195,JanApport,MATCH($AA$4,'Jan 2022 Apport'!$3:$3,0),FALSE)*VLOOKUP(A195,JanApport,MATCH($AA$3,'Jan 2022 Apport'!$3:$3,0),FALSE)</f>
        <v>67585</v>
      </c>
      <c r="AB195" s="77">
        <f>VLOOKUP(A195,JanApport,MATCH($AB$4,'Jan 2022 Apport'!$3:$3,0),FALSE)*VLOOKUP(A195,JanApport,MATCH($AB$3,'Jan 2022 Apport'!$3:$3,0),FALSE)</f>
        <v>0</v>
      </c>
      <c r="AC195" s="77">
        <f>VLOOKUP(A195,JanApport,MATCH($AC$4,'Jan 2022 Apport'!$3:$3,0),FALSE)</f>
        <v>0</v>
      </c>
      <c r="AD195" s="77">
        <f>VLOOKUP(A195,JanApport,MATCH($AD$4,'Jan 2022 Apport'!$3:$3,0),FALSE)*VLOOKUP(A195,JanApport,MATCH($AD$3,'Jan 2022 Apport'!$3:$3,0),FALSE)</f>
        <v>0</v>
      </c>
      <c r="AE195" s="77">
        <f>VLOOKUP(A195,JanApport,MATCH($AE$4,'Jan 2022 Apport'!$3:$3,0),FALSE)</f>
        <v>0</v>
      </c>
      <c r="AF195" s="77">
        <f>VLOOKUP(A195,JanApport,MATCH($AF$4,'Jan 2022 Apport'!$3:$3,0),FALSE)*VLOOKUP(A195,JanApport,MATCH($AF$3,'Jan 2022 Apport'!$3:$3,0),FALSE)</f>
        <v>0</v>
      </c>
      <c r="AG195" s="77">
        <f t="shared" si="23"/>
        <v>12280.864000000009</v>
      </c>
      <c r="AH195" s="77">
        <f t="shared" si="24"/>
        <v>11848.32</v>
      </c>
      <c r="AI195" s="77">
        <f t="shared" si="25"/>
        <v>16610.88</v>
      </c>
      <c r="AJ195" s="3">
        <f>VLOOKUP(A195,JanApport,MATCH($AJ$4,'Jan 2022 Apport'!$3:$3,0),FALSE)</f>
        <v>100323.28</v>
      </c>
      <c r="AK195" s="3">
        <f>VLOOKUP(A195,JanApport,MATCH($AK$4,'Jan 2022 Apport'!$3:$3,0),FALSE)</f>
        <v>2.637</v>
      </c>
      <c r="AL195" s="117">
        <f t="shared" si="26"/>
        <v>804972.89</v>
      </c>
      <c r="AM195" s="117">
        <f>VLOOKUP(A195,JanApport,MATCH($AM$4,'Jan 2022 Apport'!$3:$3,0),FALSE)</f>
        <v>0</v>
      </c>
      <c r="AN195" s="117">
        <f>VLOOKUP(A195,JanApport,MATCH($AN$4,'Jan 2022 Apport'!$3:$3,0),FALSE)</f>
        <v>6256.66</v>
      </c>
    </row>
    <row r="196" spans="1:40">
      <c r="A196" s="2" t="s">
        <v>105</v>
      </c>
      <c r="B196" s="2" t="s">
        <v>106</v>
      </c>
      <c r="C196" s="2" t="s">
        <v>1267</v>
      </c>
      <c r="D196" s="118">
        <f>VLOOKUP(A196,JanApport,MATCH($D$4,'Jan 2022 Apport'!$3:$3,FALSE),FALSE)</f>
        <v>593539.18000000005</v>
      </c>
      <c r="E196" s="30">
        <f>VLOOKUP(A196,JanApport,MATCH($E$2,'Jan 2022 Apport'!$3:$3,0),FALSE)+VLOOKUP(A196,JanApport,MATCH($E$3,'Jan 2022 Apport'!$3:$3,0),FALSE)+VLOOKUP(A196,JanApport,MATCH($E$4,'Jan 2022 Apport'!$3:$3,0),FALSE)</f>
        <v>0</v>
      </c>
      <c r="F196" s="118">
        <f t="shared" si="27"/>
        <v>593539.18000000005</v>
      </c>
      <c r="G196" s="117">
        <f>VLOOKUP(A196,JanApport,MATCH($G$4,'Jan 2022 Apport'!$3:$3,0),FALSE)</f>
        <v>0</v>
      </c>
      <c r="H196" s="117">
        <f>VLOOKUP(A196,JanApport,MATCH($H$3,'Jan 2022 Apport'!$3:$3,0),FALSE)+VLOOKUP(A196,JanApport,MATCH($H$2,'Jan 2022 Apport'!$3:$3,0),FALSE)+VLOOKUP(A196,JanApport,MATCH($H$4,'Jan 2022 Apport'!$3:$3,0),FALSE)</f>
        <v>37526.43</v>
      </c>
      <c r="I196" s="117">
        <f t="shared" si="28"/>
        <v>37526.43</v>
      </c>
      <c r="J196" s="117">
        <f>VLOOKUP(A196,JanApport,MATCH($J$4,'Jan 2022 Apport'!$3:$3,0),FALSE)</f>
        <v>332033.89</v>
      </c>
      <c r="K196" s="117">
        <f>VLOOKUP(A196,JanApport,MATCH($K$4,'Jan 2022 Apport'!$3:$3,0),FALSE)</f>
        <v>57907.71</v>
      </c>
      <c r="L196" s="117">
        <f t="shared" si="29"/>
        <v>389941.60000000003</v>
      </c>
      <c r="M196" s="117">
        <f>VLOOKUP(A196,JanApport,MATCH($M$4,'Jan 2022 Apport'!$3:$3,0),FALSE)</f>
        <v>16504.89</v>
      </c>
      <c r="N196" s="117">
        <f>VLOOKUP(A196,JanApport,MATCH($N$4,'Jan 2022 Apport'!$3:$3,0),FALSE)</f>
        <v>0</v>
      </c>
      <c r="O196" s="117">
        <f>VLOOKUP(A196,JanApport,MATCH($O$4,'Jan 2022 Apport'!$3:$3,0),FALSE)</f>
        <v>1012.57</v>
      </c>
      <c r="P196" s="121">
        <f>IFERROR((VLOOKUP(A196,ExcessLevy!A:G,3,FALSE)*0.28),0)+IFERROR((VLOOKUP(A196,ExcessLevy!A:G,6,FALSE)*0.72),0)</f>
        <v>0</v>
      </c>
      <c r="Q196" s="121">
        <f>IFERROR((VLOOKUP(A196,ExcessLevy!A:G,4,FALSE)*0.4738),0)+IFERROR((VLOOKUP(A196,ExcessLevy!A:G,7,FALSE)*0.5262),0)</f>
        <v>28428</v>
      </c>
      <c r="R196">
        <f>VLOOKUP(A196,JanApport,MATCH($R$4,'Jan 2022 Apport'!$3:$3,0),FALSE)</f>
        <v>0</v>
      </c>
      <c r="S196">
        <f>VLOOKUP(A196,JanApport,MATCH($S$4,'Jan 2022 Apport'!$3:$3,0),FALSE)</f>
        <v>0</v>
      </c>
      <c r="T196">
        <f>VLOOKUP(A196,JanApport,MATCH($T$4,'Jan 2022 Apport'!$3:$3,0),FALSE)</f>
        <v>0</v>
      </c>
      <c r="U196" s="132">
        <f>IFERROR(VLOOKUP(A196,JanApport,MATCH($U$4,'Jan 2022 Apport'!$3:$3,0),FALSE)/R196,0)</f>
        <v>0</v>
      </c>
      <c r="V196" s="30">
        <f>IFERROR(((VLOOKUP(A196,JanApport,MATCH($V$4,'Jan 2022 Apport'!$3:$3,0),FALSE)+VLOOKUP(A196,JanApport,MATCH($V$3,'Jan 2022 Apport'!$3:$3,0),FALSE))/(S196+T196)),0)</f>
        <v>0</v>
      </c>
      <c r="W196" s="30">
        <f t="shared" si="22"/>
        <v>8083.6246967786601</v>
      </c>
      <c r="X196">
        <f>VLOOKUP(A196,JanApport,MATCH($X$4,'Jan 2022 Apport'!$3:$3,0),FALSE)</f>
        <v>4.8578999999999997E-2</v>
      </c>
      <c r="Y196">
        <f>VLOOKUP(A196,JanApport,MATCH($Y$4,'Jan 2022 Apport'!$3:$3,0),FALSE)</f>
        <v>4.0270000000000002E-3</v>
      </c>
      <c r="Z196">
        <f>VLOOKUP(A196,JanApport,MATCH($Z$4,'Jan 2022 Apport'!$3:$3,0),FALSE)</f>
        <v>1.7100000000000001E-2</v>
      </c>
      <c r="AA196" s="77">
        <f>VLOOKUP(A196,JanApport,MATCH($AA$4,'Jan 2022 Apport'!$3:$3,0),FALSE)*VLOOKUP(A196,JanApport,MATCH($AA$3,'Jan 2022 Apport'!$3:$3,0),FALSE)</f>
        <v>67585</v>
      </c>
      <c r="AB196" s="77">
        <f>VLOOKUP(A196,JanApport,MATCH($AB$4,'Jan 2022 Apport'!$3:$3,0),FALSE)*VLOOKUP(A196,JanApport,MATCH($AB$3,'Jan 2022 Apport'!$3:$3,0),FALSE)</f>
        <v>68937</v>
      </c>
      <c r="AC196" s="77">
        <f>VLOOKUP(A196,JanApport,MATCH($AC$4,'Jan 2022 Apport'!$3:$3,0),FALSE)</f>
        <v>100321</v>
      </c>
      <c r="AD196" s="77">
        <f>VLOOKUP(A196,JanApport,MATCH($AD$4,'Jan 2022 Apport'!$3:$3,0),FALSE)*VLOOKUP(A196,JanApport,MATCH($AD$3,'Jan 2022 Apport'!$3:$3,0),FALSE)</f>
        <v>102327</v>
      </c>
      <c r="AE196" s="77">
        <f>VLOOKUP(A196,JanApport,MATCH($AE$4,'Jan 2022 Apport'!$3:$3,0),FALSE)</f>
        <v>48483</v>
      </c>
      <c r="AF196" s="77">
        <f>VLOOKUP(A196,JanApport,MATCH($AF$4,'Jan 2022 Apport'!$3:$3,0),FALSE)*VLOOKUP(A196,JanApport,MATCH($AF$3,'Jan 2022 Apport'!$3:$3,0),FALSE)</f>
        <v>49453</v>
      </c>
      <c r="AG196" s="77">
        <f t="shared" si="23"/>
        <v>96432.259900000005</v>
      </c>
      <c r="AH196" s="77">
        <f t="shared" si="24"/>
        <v>137400.94330000001</v>
      </c>
      <c r="AI196" s="77">
        <f t="shared" si="25"/>
        <v>77281.189732599989</v>
      </c>
      <c r="AJ196" s="3">
        <f>VLOOKUP(A196,JanApport,MATCH($AJ$4,'Jan 2022 Apport'!$3:$3,0),FALSE)</f>
        <v>72122.8</v>
      </c>
      <c r="AK196" s="3">
        <f>VLOOKUP(A196,JanApport,MATCH($AK$4,'Jan 2022 Apport'!$3:$3,0),FALSE)</f>
        <v>0.83599999999999997</v>
      </c>
      <c r="AL196" s="117">
        <f t="shared" si="26"/>
        <v>993679.10000000009</v>
      </c>
      <c r="AM196" s="117">
        <f>VLOOKUP(A196,JanApport,MATCH($AM$4,'Jan 2022 Apport'!$3:$3,0),FALSE)</f>
        <v>13062.14</v>
      </c>
      <c r="AN196" s="117">
        <f>VLOOKUP(A196,JanApport,MATCH($AN$4,'Jan 2022 Apport'!$3:$3,0),FALSE)</f>
        <v>5366.28</v>
      </c>
    </row>
    <row r="197" spans="1:40">
      <c r="A197" s="2" t="s">
        <v>89</v>
      </c>
      <c r="B197" s="2" t="s">
        <v>90</v>
      </c>
      <c r="C197" s="2" t="s">
        <v>1267</v>
      </c>
      <c r="D197" s="118">
        <f>VLOOKUP(A197,JanApport,MATCH($D$4,'Jan 2022 Apport'!$3:$3,FALSE),FALSE)</f>
        <v>1327872.57</v>
      </c>
      <c r="E197" s="30">
        <f>VLOOKUP(A197,JanApport,MATCH($E$2,'Jan 2022 Apport'!$3:$3,0),FALSE)+VLOOKUP(A197,JanApport,MATCH($E$3,'Jan 2022 Apport'!$3:$3,0),FALSE)+VLOOKUP(A197,JanApport,MATCH($E$4,'Jan 2022 Apport'!$3:$3,0),FALSE)</f>
        <v>12814.14</v>
      </c>
      <c r="F197" s="118">
        <f t="shared" si="27"/>
        <v>1315058.4300000002</v>
      </c>
      <c r="G197" s="117">
        <f>VLOOKUP(A197,JanApport,MATCH($G$4,'Jan 2022 Apport'!$3:$3,0),FALSE)</f>
        <v>17285.95</v>
      </c>
      <c r="H197" s="117">
        <f>VLOOKUP(A197,JanApport,MATCH($H$3,'Jan 2022 Apport'!$3:$3,0),FALSE)+VLOOKUP(A197,JanApport,MATCH($H$2,'Jan 2022 Apport'!$3:$3,0),FALSE)+VLOOKUP(A197,JanApport,MATCH($H$4,'Jan 2022 Apport'!$3:$3,0),FALSE)</f>
        <v>112979.59999999999</v>
      </c>
      <c r="I197" s="117">
        <f t="shared" si="28"/>
        <v>130265.54999999999</v>
      </c>
      <c r="J197" s="117">
        <f>VLOOKUP(A197,JanApport,MATCH($J$4,'Jan 2022 Apport'!$3:$3,0),FALSE)</f>
        <v>269834.7</v>
      </c>
      <c r="K197" s="117">
        <f>VLOOKUP(A197,JanApport,MATCH($K$4,'Jan 2022 Apport'!$3:$3,0),FALSE)</f>
        <v>35079.83</v>
      </c>
      <c r="L197" s="117">
        <f t="shared" si="29"/>
        <v>304914.53000000003</v>
      </c>
      <c r="M197" s="117">
        <f>VLOOKUP(A197,JanApport,MATCH($M$4,'Jan 2022 Apport'!$3:$3,0),FALSE)</f>
        <v>86388.1</v>
      </c>
      <c r="N197" s="117">
        <f>VLOOKUP(A197,JanApport,MATCH($N$4,'Jan 2022 Apport'!$3:$3,0),FALSE)</f>
        <v>90105.83</v>
      </c>
      <c r="O197" s="117">
        <f>VLOOKUP(A197,JanApport,MATCH($O$4,'Jan 2022 Apport'!$3:$3,0),FALSE)</f>
        <v>3913.39</v>
      </c>
      <c r="P197" s="121">
        <f>IFERROR((VLOOKUP(A197,ExcessLevy!A:G,3,FALSE)*0.28),0)+IFERROR((VLOOKUP(A197,ExcessLevy!A:G,6,FALSE)*0.72),0)</f>
        <v>0</v>
      </c>
      <c r="Q197" s="121">
        <f>IFERROR((VLOOKUP(A197,ExcessLevy!A:G,4,FALSE)*0.4738),0)+IFERROR((VLOOKUP(A197,ExcessLevy!A:G,7,FALSE)*0.5262),0)</f>
        <v>640550.58499999996</v>
      </c>
      <c r="R197">
        <f>VLOOKUP(A197,JanApport,MATCH($R$4,'Jan 2022 Apport'!$3:$3,0),FALSE)</f>
        <v>0</v>
      </c>
      <c r="S197">
        <f>VLOOKUP(A197,JanApport,MATCH($S$4,'Jan 2022 Apport'!$3:$3,0),FALSE)</f>
        <v>1.44</v>
      </c>
      <c r="T197">
        <f>VLOOKUP(A197,JanApport,MATCH($T$4,'Jan 2022 Apport'!$3:$3,0),FALSE)</f>
        <v>0</v>
      </c>
      <c r="U197" s="132">
        <f>IFERROR(VLOOKUP(A197,JanApport,MATCH($U$4,'Jan 2022 Apport'!$3:$3,0),FALSE)/R197,0)</f>
        <v>0</v>
      </c>
      <c r="V197" s="30">
        <f>IFERROR(((VLOOKUP(A197,JanApport,MATCH($V$4,'Jan 2022 Apport'!$3:$3,0),FALSE)+VLOOKUP(A197,JanApport,MATCH($V$3,'Jan 2022 Apport'!$3:$3,0),FALSE))/(S197+T197)),0)</f>
        <v>8898.7083333333339</v>
      </c>
      <c r="W197" s="30">
        <f t="shared" si="22"/>
        <v>8083.6246967786601</v>
      </c>
      <c r="X197">
        <f>VLOOKUP(A197,JanApport,MATCH($X$4,'Jan 2022 Apport'!$3:$3,0),FALSE)</f>
        <v>4.8578999999999997E-2</v>
      </c>
      <c r="Y197">
        <f>VLOOKUP(A197,JanApport,MATCH($Y$4,'Jan 2022 Apport'!$3:$3,0),FALSE)</f>
        <v>4.0270000000000002E-3</v>
      </c>
      <c r="Z197">
        <f>VLOOKUP(A197,JanApport,MATCH($Z$4,'Jan 2022 Apport'!$3:$3,0),FALSE)</f>
        <v>1.7100000000000001E-2</v>
      </c>
      <c r="AA197" s="77">
        <f>VLOOKUP(A197,JanApport,MATCH($AA$4,'Jan 2022 Apport'!$3:$3,0),FALSE)*VLOOKUP(A197,JanApport,MATCH($AA$3,'Jan 2022 Apport'!$3:$3,0),FALSE)</f>
        <v>67585</v>
      </c>
      <c r="AB197" s="77">
        <f>VLOOKUP(A197,JanApport,MATCH($AB$4,'Jan 2022 Apport'!$3:$3,0),FALSE)*VLOOKUP(A197,JanApport,MATCH($AB$3,'Jan 2022 Apport'!$3:$3,0),FALSE)</f>
        <v>68937</v>
      </c>
      <c r="AC197" s="77">
        <f>VLOOKUP(A197,JanApport,MATCH($AC$4,'Jan 2022 Apport'!$3:$3,0),FALSE)</f>
        <v>100321</v>
      </c>
      <c r="AD197" s="77">
        <f>VLOOKUP(A197,JanApport,MATCH($AD$4,'Jan 2022 Apport'!$3:$3,0),FALSE)*VLOOKUP(A197,JanApport,MATCH($AD$3,'Jan 2022 Apport'!$3:$3,0),FALSE)</f>
        <v>102327</v>
      </c>
      <c r="AE197" s="77">
        <f>VLOOKUP(A197,JanApport,MATCH($AE$4,'Jan 2022 Apport'!$3:$3,0),FALSE)</f>
        <v>48483</v>
      </c>
      <c r="AF197" s="77">
        <f>VLOOKUP(A197,JanApport,MATCH($AF$4,'Jan 2022 Apport'!$3:$3,0),FALSE)*VLOOKUP(A197,JanApport,MATCH($AF$3,'Jan 2022 Apport'!$3:$3,0),FALSE)</f>
        <v>49453</v>
      </c>
      <c r="AG197" s="77">
        <f t="shared" si="23"/>
        <v>96432.259900000005</v>
      </c>
      <c r="AH197" s="77">
        <f t="shared" si="24"/>
        <v>137400.94330000001</v>
      </c>
      <c r="AI197" s="77">
        <f t="shared" si="25"/>
        <v>77281.189732599989</v>
      </c>
      <c r="AJ197" s="3">
        <f>VLOOKUP(A197,JanApport,MATCH($AJ$4,'Jan 2022 Apport'!$3:$3,0),FALSE)</f>
        <v>189308.77</v>
      </c>
      <c r="AK197" s="3">
        <f>VLOOKUP(A197,JanApport,MATCH($AK$4,'Jan 2022 Apport'!$3:$3,0),FALSE)</f>
        <v>3.9</v>
      </c>
      <c r="AL197" s="117">
        <f t="shared" si="26"/>
        <v>1822531.58</v>
      </c>
      <c r="AM197" s="117">
        <f>VLOOKUP(A197,JanApport,MATCH($AM$4,'Jan 2022 Apport'!$3:$3,0),FALSE)</f>
        <v>44416.99</v>
      </c>
      <c r="AN197" s="117">
        <f>VLOOKUP(A197,JanApport,MATCH($AN$4,'Jan 2022 Apport'!$3:$3,0),FALSE)</f>
        <v>11552.58</v>
      </c>
    </row>
    <row r="198" spans="1:40">
      <c r="A198" s="2" t="s">
        <v>341</v>
      </c>
      <c r="B198" s="2" t="s">
        <v>342</v>
      </c>
      <c r="C198" s="2" t="s">
        <v>1267</v>
      </c>
      <c r="D198" s="118">
        <f>VLOOKUP(A198,JanApport,MATCH($D$4,'Jan 2022 Apport'!$3:$3,FALSE),FALSE)</f>
        <v>4915428.5</v>
      </c>
      <c r="E198" s="30">
        <f>VLOOKUP(A198,JanApport,MATCH($E$2,'Jan 2022 Apport'!$3:$3,0),FALSE)+VLOOKUP(A198,JanApport,MATCH($E$3,'Jan 2022 Apport'!$3:$3,0),FALSE)+VLOOKUP(A198,JanApport,MATCH($E$4,'Jan 2022 Apport'!$3:$3,0),FALSE)</f>
        <v>257114.72</v>
      </c>
      <c r="F198" s="118">
        <f t="shared" si="27"/>
        <v>4658313.78</v>
      </c>
      <c r="G198" s="117">
        <f>VLOOKUP(A198,JanApport,MATCH($G$4,'Jan 2022 Apport'!$3:$3,0),FALSE)</f>
        <v>26880.78</v>
      </c>
      <c r="H198" s="117">
        <f>VLOOKUP(A198,JanApport,MATCH($H$3,'Jan 2022 Apport'!$3:$3,0),FALSE)+VLOOKUP(A198,JanApport,MATCH($H$2,'Jan 2022 Apport'!$3:$3,0),FALSE)+VLOOKUP(A198,JanApport,MATCH($H$4,'Jan 2022 Apport'!$3:$3,0),FALSE)</f>
        <v>555785.79</v>
      </c>
      <c r="I198" s="117">
        <f t="shared" si="28"/>
        <v>582666.57000000007</v>
      </c>
      <c r="J198" s="117">
        <f>VLOOKUP(A198,JanApport,MATCH($J$4,'Jan 2022 Apport'!$3:$3,0),FALSE)</f>
        <v>251182.53</v>
      </c>
      <c r="K198" s="117">
        <f>VLOOKUP(A198,JanApport,MATCH($K$4,'Jan 2022 Apport'!$3:$3,0),FALSE)</f>
        <v>71610.73</v>
      </c>
      <c r="L198" s="117">
        <f t="shared" si="29"/>
        <v>322793.26</v>
      </c>
      <c r="M198" s="117">
        <f>VLOOKUP(A198,JanApport,MATCH($M$4,'Jan 2022 Apport'!$3:$3,0),FALSE)</f>
        <v>249380.86</v>
      </c>
      <c r="N198" s="117">
        <f>VLOOKUP(A198,JanApport,MATCH($N$4,'Jan 2022 Apport'!$3:$3,0),FALSE)</f>
        <v>101943.84</v>
      </c>
      <c r="O198" s="117">
        <f>VLOOKUP(A198,JanApport,MATCH($O$4,'Jan 2022 Apport'!$3:$3,0),FALSE)</f>
        <v>0</v>
      </c>
      <c r="P198" s="121">
        <f>IFERROR((VLOOKUP(A198,ExcessLevy!A:G,3,FALSE)*0.28),0)+IFERROR((VLOOKUP(A198,ExcessLevy!A:G,6,FALSE)*0.72),0)</f>
        <v>76763.801599999992</v>
      </c>
      <c r="Q198" s="121">
        <f>IFERROR((VLOOKUP(A198,ExcessLevy!A:G,4,FALSE)*0.4738),0)+IFERROR((VLOOKUP(A198,ExcessLevy!A:G,7,FALSE)*0.5262),0)</f>
        <v>1229600</v>
      </c>
      <c r="R198">
        <f>VLOOKUP(A198,JanApport,MATCH($R$4,'Jan 2022 Apport'!$3:$3,0),FALSE)</f>
        <v>0</v>
      </c>
      <c r="S198">
        <f>VLOOKUP(A198,JanApport,MATCH($S$4,'Jan 2022 Apport'!$3:$3,0),FALSE)</f>
        <v>5.17</v>
      </c>
      <c r="T198">
        <f>VLOOKUP(A198,JanApport,MATCH($T$4,'Jan 2022 Apport'!$3:$3,0),FALSE)</f>
        <v>23.63</v>
      </c>
      <c r="U198" s="132">
        <f>IFERROR(VLOOKUP(A198,JanApport,MATCH($U$4,'Jan 2022 Apport'!$3:$3,0),FALSE)/R198,0)</f>
        <v>0</v>
      </c>
      <c r="V198" s="30">
        <f>IFERROR(((VLOOKUP(A198,JanApport,MATCH($V$4,'Jan 2022 Apport'!$3:$3,0),FALSE)+VLOOKUP(A198,JanApport,MATCH($V$3,'Jan 2022 Apport'!$3:$3,0),FALSE))/(S198+T198)),0)</f>
        <v>8927.5944444444449</v>
      </c>
      <c r="W198" s="30">
        <f t="shared" si="22"/>
        <v>8083.6246967786601</v>
      </c>
      <c r="X198">
        <f>VLOOKUP(A198,JanApport,MATCH($X$4,'Jan 2022 Apport'!$3:$3,0),FALSE)</f>
        <v>4.8578999999999997E-2</v>
      </c>
      <c r="Y198">
        <f>VLOOKUP(A198,JanApport,MATCH($Y$4,'Jan 2022 Apport'!$3:$3,0),FALSE)</f>
        <v>4.0270000000000002E-3</v>
      </c>
      <c r="Z198">
        <f>VLOOKUP(A198,JanApport,MATCH($Z$4,'Jan 2022 Apport'!$3:$3,0),FALSE)</f>
        <v>1.7100000000000001E-2</v>
      </c>
      <c r="AA198" s="77">
        <f>VLOOKUP(A198,JanApport,MATCH($AA$4,'Jan 2022 Apport'!$3:$3,0),FALSE)*VLOOKUP(A198,JanApport,MATCH($AA$3,'Jan 2022 Apport'!$3:$3,0),FALSE)</f>
        <v>67585</v>
      </c>
      <c r="AB198" s="77">
        <f>VLOOKUP(A198,JanApport,MATCH($AB$4,'Jan 2022 Apport'!$3:$3,0),FALSE)*VLOOKUP(A198,JanApport,MATCH($AB$3,'Jan 2022 Apport'!$3:$3,0),FALSE)</f>
        <v>68937</v>
      </c>
      <c r="AC198" s="77">
        <f>VLOOKUP(A198,JanApport,MATCH($AC$4,'Jan 2022 Apport'!$3:$3,0),FALSE)</f>
        <v>100321</v>
      </c>
      <c r="AD198" s="77">
        <f>VLOOKUP(A198,JanApport,MATCH($AD$4,'Jan 2022 Apport'!$3:$3,0),FALSE)*VLOOKUP(A198,JanApport,MATCH($AD$3,'Jan 2022 Apport'!$3:$3,0),FALSE)</f>
        <v>102327</v>
      </c>
      <c r="AE198" s="77">
        <f>VLOOKUP(A198,JanApport,MATCH($AE$4,'Jan 2022 Apport'!$3:$3,0),FALSE)</f>
        <v>48483</v>
      </c>
      <c r="AF198" s="77">
        <f>VLOOKUP(A198,JanApport,MATCH($AF$4,'Jan 2022 Apport'!$3:$3,0),FALSE)*VLOOKUP(A198,JanApport,MATCH($AF$3,'Jan 2022 Apport'!$3:$3,0),FALSE)</f>
        <v>49453</v>
      </c>
      <c r="AG198" s="77">
        <f t="shared" si="23"/>
        <v>96432.259900000005</v>
      </c>
      <c r="AH198" s="77">
        <f t="shared" si="24"/>
        <v>137400.94330000001</v>
      </c>
      <c r="AI198" s="77">
        <f t="shared" si="25"/>
        <v>77281.189732599989</v>
      </c>
      <c r="AJ198" s="3">
        <f>VLOOKUP(A198,JanApport,MATCH($AJ$4,'Jan 2022 Apport'!$3:$3,0),FALSE)</f>
        <v>685140.73</v>
      </c>
      <c r="AK198" s="3">
        <f>VLOOKUP(A198,JanApport,MATCH($AK$4,'Jan 2022 Apport'!$3:$3,0),FALSE)</f>
        <v>9.1609999999999996</v>
      </c>
      <c r="AL198" s="117">
        <f t="shared" si="26"/>
        <v>6252246.2200000007</v>
      </c>
      <c r="AM198" s="117">
        <f>VLOOKUP(A198,JanApport,MATCH($AM$4,'Jan 2022 Apport'!$3:$3,0),FALSE)</f>
        <v>151643.92000000001</v>
      </c>
      <c r="AN198" s="117">
        <f>VLOOKUP(A198,JanApport,MATCH($AN$4,'Jan 2022 Apport'!$3:$3,0),FALSE)</f>
        <v>38898.980000000003</v>
      </c>
    </row>
    <row r="199" spans="1:40">
      <c r="A199" s="2" t="s">
        <v>375</v>
      </c>
      <c r="B199" s="2" t="s">
        <v>376</v>
      </c>
      <c r="C199" s="2" t="s">
        <v>1267</v>
      </c>
      <c r="D199" s="118">
        <f>VLOOKUP(A199,JanApport,MATCH($D$4,'Jan 2022 Apport'!$3:$3,FALSE),FALSE)</f>
        <v>23164715.059999999</v>
      </c>
      <c r="E199" s="30">
        <f>VLOOKUP(A199,JanApport,MATCH($E$2,'Jan 2022 Apport'!$3:$3,0),FALSE)+VLOOKUP(A199,JanApport,MATCH($E$3,'Jan 2022 Apport'!$3:$3,0),FALSE)+VLOOKUP(A199,JanApport,MATCH($E$4,'Jan 2022 Apport'!$3:$3,0),FALSE)</f>
        <v>2583786</v>
      </c>
      <c r="F199" s="118">
        <f t="shared" si="27"/>
        <v>20580929.059999999</v>
      </c>
      <c r="G199" s="117">
        <f>VLOOKUP(A199,JanApport,MATCH($G$4,'Jan 2022 Apport'!$3:$3,0),FALSE)</f>
        <v>332657.94</v>
      </c>
      <c r="H199" s="117">
        <f>VLOOKUP(A199,JanApport,MATCH($H$3,'Jan 2022 Apport'!$3:$3,0),FALSE)+VLOOKUP(A199,JanApport,MATCH($H$2,'Jan 2022 Apport'!$3:$3,0),FALSE)+VLOOKUP(A199,JanApport,MATCH($H$4,'Jan 2022 Apport'!$3:$3,0),FALSE)</f>
        <v>3093590.28</v>
      </c>
      <c r="I199" s="117">
        <f t="shared" si="28"/>
        <v>3426248.2199999997</v>
      </c>
      <c r="J199" s="117">
        <f>VLOOKUP(A199,JanApport,MATCH($J$4,'Jan 2022 Apport'!$3:$3,0),FALSE)</f>
        <v>1511882.72</v>
      </c>
      <c r="K199" s="117">
        <f>VLOOKUP(A199,JanApport,MATCH($K$4,'Jan 2022 Apport'!$3:$3,0),FALSE)</f>
        <v>203440.63</v>
      </c>
      <c r="L199" s="117">
        <f t="shared" si="29"/>
        <v>1715323.35</v>
      </c>
      <c r="M199" s="117">
        <f>VLOOKUP(A199,JanApport,MATCH($M$4,'Jan 2022 Apport'!$3:$3,0),FALSE)</f>
        <v>488500.4</v>
      </c>
      <c r="N199" s="117">
        <f>VLOOKUP(A199,JanApport,MATCH($N$4,'Jan 2022 Apport'!$3:$3,0),FALSE)</f>
        <v>107010.74</v>
      </c>
      <c r="O199" s="117">
        <f>VLOOKUP(A199,JanApport,MATCH($O$4,'Jan 2022 Apport'!$3:$3,0),FALSE)</f>
        <v>77245.490000000005</v>
      </c>
      <c r="P199" s="121">
        <f>IFERROR((VLOOKUP(A199,ExcessLevy!A:G,3,FALSE)*0.28),0)+IFERROR((VLOOKUP(A199,ExcessLevy!A:G,6,FALSE)*0.72),0)</f>
        <v>570686.80240000004</v>
      </c>
      <c r="Q199" s="121">
        <f>IFERROR((VLOOKUP(A199,ExcessLevy!A:G,4,FALSE)*0.4738),0)+IFERROR((VLOOKUP(A199,ExcessLevy!A:G,7,FALSE)*0.5262),0)</f>
        <v>4005240</v>
      </c>
      <c r="R199">
        <f>VLOOKUP(A199,JanApport,MATCH($R$4,'Jan 2022 Apport'!$3:$3,0),FALSE)</f>
        <v>0</v>
      </c>
      <c r="S199">
        <f>VLOOKUP(A199,JanApport,MATCH($S$4,'Jan 2022 Apport'!$3:$3,0),FALSE)</f>
        <v>54.03</v>
      </c>
      <c r="T199">
        <f>VLOOKUP(A199,JanApport,MATCH($T$4,'Jan 2022 Apport'!$3:$3,0),FALSE)</f>
        <v>223.82</v>
      </c>
      <c r="U199" s="132">
        <f>IFERROR(VLOOKUP(A199,JanApport,MATCH($U$4,'Jan 2022 Apport'!$3:$3,0),FALSE)/R199,0)</f>
        <v>0</v>
      </c>
      <c r="V199" s="30">
        <f>IFERROR(((VLOOKUP(A199,JanApport,MATCH($V$4,'Jan 2022 Apport'!$3:$3,0),FALSE)+VLOOKUP(A199,JanApport,MATCH($V$3,'Jan 2022 Apport'!$3:$3,0),FALSE))/(S199+T199)),0)</f>
        <v>9299.2118049307173</v>
      </c>
      <c r="W199" s="30">
        <f t="shared" ref="W199:W262" si="30">(AG199*X199)+(AH199*Y199)+(AI199*Z199)+(MSOC+MSOC912ehc)</f>
        <v>8756.8195392748839</v>
      </c>
      <c r="X199">
        <f>VLOOKUP(A199,JanApport,MATCH($X$4,'Jan 2022 Apport'!$3:$3,0),FALSE)</f>
        <v>4.8578999999999997E-2</v>
      </c>
      <c r="Y199">
        <f>VLOOKUP(A199,JanApport,MATCH($Y$4,'Jan 2022 Apport'!$3:$3,0),FALSE)</f>
        <v>4.0270000000000002E-3</v>
      </c>
      <c r="Z199">
        <f>VLOOKUP(A199,JanApport,MATCH($Z$4,'Jan 2022 Apport'!$3:$3,0),FALSE)</f>
        <v>1.7100000000000001E-2</v>
      </c>
      <c r="AA199" s="77">
        <f>VLOOKUP(A199,JanApport,MATCH($AA$4,'Jan 2022 Apport'!$3:$3,0),FALSE)*VLOOKUP(A199,JanApport,MATCH($AA$3,'Jan 2022 Apport'!$3:$3,0),FALSE)</f>
        <v>71640.100000000006</v>
      </c>
      <c r="AB199" s="77">
        <f>VLOOKUP(A199,JanApport,MATCH($AB$4,'Jan 2022 Apport'!$3:$3,0),FALSE)*VLOOKUP(A199,JanApport,MATCH($AB$3,'Jan 2022 Apport'!$3:$3,0),FALSE)</f>
        <v>77209.440000000002</v>
      </c>
      <c r="AC199" s="77">
        <f>VLOOKUP(A199,JanApport,MATCH($AC$4,'Jan 2022 Apport'!$3:$3,0),FALSE)</f>
        <v>100321</v>
      </c>
      <c r="AD199" s="77">
        <f>VLOOKUP(A199,JanApport,MATCH($AD$4,'Jan 2022 Apport'!$3:$3,0),FALSE)*VLOOKUP(A199,JanApport,MATCH($AD$3,'Jan 2022 Apport'!$3:$3,0),FALSE)</f>
        <v>114606.24</v>
      </c>
      <c r="AE199" s="77">
        <f>VLOOKUP(A199,JanApport,MATCH($AE$4,'Jan 2022 Apport'!$3:$3,0),FALSE)</f>
        <v>48483</v>
      </c>
      <c r="AF199" s="77">
        <f>VLOOKUP(A199,JanApport,MATCH($AF$4,'Jan 2022 Apport'!$3:$3,0),FALSE)*VLOOKUP(A199,JanApport,MATCH($AF$3,'Jan 2022 Apport'!$3:$3,0),FALSE)</f>
        <v>55387.360000000008</v>
      </c>
      <c r="AG199" s="77">
        <f t="shared" ref="AG199:AG262" si="31">(AA199*(1+CertMaint))+((AB199-AA199)*(1+CertInc))+(Insrate*Certinsfactor*12)</f>
        <v>106556.38004800002</v>
      </c>
      <c r="AH199" s="77">
        <f t="shared" ref="AH199:AH262" si="32">(AC199*(1+CertMaint))+((AD199-AC199)*(1+CertInc))+(Insrate*Certinsfactor*12)</f>
        <v>152390.21156800003</v>
      </c>
      <c r="AI199" s="77">
        <f t="shared" ref="AI199:AI262" si="33">(AE199*(1+ClassMaint))+((AF199-AE199)*(1+ClassInc))+(Insrate*Classinsfactor*12)</f>
        <v>84357.998300512001</v>
      </c>
      <c r="AJ199" s="3">
        <f>VLOOKUP(A199,JanApport,MATCH($AJ$4,'Jan 2022 Apport'!$3:$3,0),FALSE)</f>
        <v>3149726.77</v>
      </c>
      <c r="AK199" s="3">
        <f>VLOOKUP(A199,JanApport,MATCH($AK$4,'Jan 2022 Apport'!$3:$3,0),FALSE)</f>
        <v>43.759</v>
      </c>
      <c r="AL199" s="117">
        <f t="shared" ref="AL199:AL262" si="34">SUM(F199+J199+M199+N199+O199+E199+AM199)+VLOOKUP(A199,SpEd_Apport,4,FALSE)</f>
        <v>28775602.629999992</v>
      </c>
      <c r="AM199" s="117">
        <f>VLOOKUP(A199,JanApport,MATCH($AM$4,'Jan 2022 Apport'!$3:$3,0),FALSE)</f>
        <v>0</v>
      </c>
      <c r="AN199" s="117">
        <f>VLOOKUP(A199,JanApport,MATCH($AN$4,'Jan 2022 Apport'!$3:$3,0),FALSE)</f>
        <v>175396.39</v>
      </c>
    </row>
    <row r="200" spans="1:40">
      <c r="A200" s="2" t="s">
        <v>7</v>
      </c>
      <c r="B200" s="2" t="s">
        <v>8</v>
      </c>
      <c r="C200" s="2" t="s">
        <v>1267</v>
      </c>
      <c r="D200" s="118">
        <f>VLOOKUP(A200,JanApport,MATCH($D$4,'Jan 2022 Apport'!$3:$3,FALSE),FALSE)</f>
        <v>38869089.32</v>
      </c>
      <c r="E200" s="30">
        <f>VLOOKUP(A200,JanApport,MATCH($E$2,'Jan 2022 Apport'!$3:$3,0),FALSE)+VLOOKUP(A200,JanApport,MATCH($E$3,'Jan 2022 Apport'!$3:$3,0),FALSE)+VLOOKUP(A200,JanApport,MATCH($E$4,'Jan 2022 Apport'!$3:$3,0),FALSE)</f>
        <v>2334651.33</v>
      </c>
      <c r="F200" s="118">
        <f t="shared" si="27"/>
        <v>36534437.990000002</v>
      </c>
      <c r="G200" s="117">
        <f>VLOOKUP(A200,JanApport,MATCH($G$4,'Jan 2022 Apport'!$3:$3,0),FALSE)</f>
        <v>503900.66</v>
      </c>
      <c r="H200" s="117">
        <f>VLOOKUP(A200,JanApport,MATCH($H$3,'Jan 2022 Apport'!$3:$3,0),FALSE)+VLOOKUP(A200,JanApport,MATCH($H$2,'Jan 2022 Apport'!$3:$3,0),FALSE)+VLOOKUP(A200,JanApport,MATCH($H$4,'Jan 2022 Apport'!$3:$3,0),FALSE)</f>
        <v>4904742.4700000007</v>
      </c>
      <c r="I200" s="117">
        <f t="shared" si="28"/>
        <v>5408643.1300000008</v>
      </c>
      <c r="J200" s="117">
        <f>VLOOKUP(A200,JanApport,MATCH($J$4,'Jan 2022 Apport'!$3:$3,0),FALSE)</f>
        <v>2094723.66</v>
      </c>
      <c r="K200" s="117">
        <f>VLOOKUP(A200,JanApport,MATCH($K$4,'Jan 2022 Apport'!$3:$3,0),FALSE)</f>
        <v>287040.48</v>
      </c>
      <c r="L200" s="117">
        <f t="shared" si="29"/>
        <v>2381764.1399999997</v>
      </c>
      <c r="M200" s="117">
        <f>VLOOKUP(A200,JanApport,MATCH($M$4,'Jan 2022 Apport'!$3:$3,0),FALSE)</f>
        <v>2258809.48</v>
      </c>
      <c r="N200" s="117">
        <f>VLOOKUP(A200,JanApport,MATCH($N$4,'Jan 2022 Apport'!$3:$3,0),FALSE)</f>
        <v>2742993.82</v>
      </c>
      <c r="O200" s="117">
        <f>VLOOKUP(A200,JanApport,MATCH($O$4,'Jan 2022 Apport'!$3:$3,0),FALSE)</f>
        <v>125619.86</v>
      </c>
      <c r="P200" s="121">
        <f>IFERROR((VLOOKUP(A200,ExcessLevy!A:G,3,FALSE)*0.28),0)+IFERROR((VLOOKUP(A200,ExcessLevy!A:G,6,FALSE)*0.72),0)</f>
        <v>5164819.0215999996</v>
      </c>
      <c r="Q200" s="121">
        <f>IFERROR((VLOOKUP(A200,ExcessLevy!A:G,4,FALSE)*0.4738),0)+IFERROR((VLOOKUP(A200,ExcessLevy!A:G,7,FALSE)*0.5262),0)</f>
        <v>2394727</v>
      </c>
      <c r="R200">
        <f>VLOOKUP(A200,JanApport,MATCH($R$4,'Jan 2022 Apport'!$3:$3,0),FALSE)</f>
        <v>0</v>
      </c>
      <c r="S200">
        <f>VLOOKUP(A200,JanApport,MATCH($S$4,'Jan 2022 Apport'!$3:$3,0),FALSE)</f>
        <v>20.58</v>
      </c>
      <c r="T200">
        <f>VLOOKUP(A200,JanApport,MATCH($T$4,'Jan 2022 Apport'!$3:$3,0),FALSE)</f>
        <v>241.1</v>
      </c>
      <c r="U200" s="132">
        <f>IFERROR(VLOOKUP(A200,JanApport,MATCH($U$4,'Jan 2022 Apport'!$3:$3,0),FALSE)/R200,0)</f>
        <v>0</v>
      </c>
      <c r="V200" s="30">
        <f>IFERROR(((VLOOKUP(A200,JanApport,MATCH($V$4,'Jan 2022 Apport'!$3:$3,0),FALSE)+VLOOKUP(A200,JanApport,MATCH($V$3,'Jan 2022 Apport'!$3:$3,0),FALSE))/(S200+T200)),0)</f>
        <v>8921.7797691837368</v>
      </c>
      <c r="W200" s="30">
        <f t="shared" si="30"/>
        <v>8083.6246967786601</v>
      </c>
      <c r="X200">
        <f>VLOOKUP(A200,JanApport,MATCH($X$4,'Jan 2022 Apport'!$3:$3,0),FALSE)</f>
        <v>4.8578999999999997E-2</v>
      </c>
      <c r="Y200">
        <f>VLOOKUP(A200,JanApport,MATCH($Y$4,'Jan 2022 Apport'!$3:$3,0),FALSE)</f>
        <v>4.0270000000000002E-3</v>
      </c>
      <c r="Z200">
        <f>VLOOKUP(A200,JanApport,MATCH($Z$4,'Jan 2022 Apport'!$3:$3,0),FALSE)</f>
        <v>1.7100000000000001E-2</v>
      </c>
      <c r="AA200" s="77">
        <f>VLOOKUP(A200,JanApport,MATCH($AA$4,'Jan 2022 Apport'!$3:$3,0),FALSE)*VLOOKUP(A200,JanApport,MATCH($AA$3,'Jan 2022 Apport'!$3:$3,0),FALSE)</f>
        <v>67585</v>
      </c>
      <c r="AB200" s="77">
        <f>VLOOKUP(A200,JanApport,MATCH($AB$4,'Jan 2022 Apport'!$3:$3,0),FALSE)*VLOOKUP(A200,JanApport,MATCH($AB$3,'Jan 2022 Apport'!$3:$3,0),FALSE)</f>
        <v>68937</v>
      </c>
      <c r="AC200" s="77">
        <f>VLOOKUP(A200,JanApport,MATCH($AC$4,'Jan 2022 Apport'!$3:$3,0),FALSE)</f>
        <v>100321</v>
      </c>
      <c r="AD200" s="77">
        <f>VLOOKUP(A200,JanApport,MATCH($AD$4,'Jan 2022 Apport'!$3:$3,0),FALSE)*VLOOKUP(A200,JanApport,MATCH($AD$3,'Jan 2022 Apport'!$3:$3,0),FALSE)</f>
        <v>102327</v>
      </c>
      <c r="AE200" s="77">
        <f>VLOOKUP(A200,JanApport,MATCH($AE$4,'Jan 2022 Apport'!$3:$3,0),FALSE)</f>
        <v>48483</v>
      </c>
      <c r="AF200" s="77">
        <f>VLOOKUP(A200,JanApport,MATCH($AF$4,'Jan 2022 Apport'!$3:$3,0),FALSE)*VLOOKUP(A200,JanApport,MATCH($AF$3,'Jan 2022 Apport'!$3:$3,0),FALSE)</f>
        <v>49453</v>
      </c>
      <c r="AG200" s="77">
        <f t="shared" si="31"/>
        <v>96432.259900000005</v>
      </c>
      <c r="AH200" s="77">
        <f t="shared" si="32"/>
        <v>137400.94330000001</v>
      </c>
      <c r="AI200" s="77">
        <f t="shared" si="33"/>
        <v>77281.189732599989</v>
      </c>
      <c r="AJ200" s="3">
        <f>VLOOKUP(A200,JanApport,MATCH($AJ$4,'Jan 2022 Apport'!$3:$3,0),FALSE)</f>
        <v>5725411.2000000002</v>
      </c>
      <c r="AK200" s="3">
        <f>VLOOKUP(A200,JanApport,MATCH($AK$4,'Jan 2022 Apport'!$3:$3,0),FALSE)</f>
        <v>88.27</v>
      </c>
      <c r="AL200" s="117">
        <f t="shared" si="34"/>
        <v>52789635.219999999</v>
      </c>
      <c r="AM200" s="117">
        <f>VLOOKUP(A200,JanApport,MATCH($AM$4,'Jan 2022 Apport'!$3:$3,0),FALSE)</f>
        <v>1289755.95</v>
      </c>
      <c r="AN200" s="117">
        <f>VLOOKUP(A200,JanApport,MATCH($AN$4,'Jan 2022 Apport'!$3:$3,0),FALSE)</f>
        <v>314828.59999999998</v>
      </c>
    </row>
    <row r="201" spans="1:40">
      <c r="A201" s="2" t="s">
        <v>93</v>
      </c>
      <c r="B201" s="2" t="s">
        <v>94</v>
      </c>
      <c r="C201" s="2" t="s">
        <v>1267</v>
      </c>
      <c r="D201" s="118">
        <f>VLOOKUP(A201,JanApport,MATCH($D$4,'Jan 2022 Apport'!$3:$3,FALSE),FALSE)</f>
        <v>405157.62</v>
      </c>
      <c r="E201" s="30">
        <f>VLOOKUP(A201,JanApport,MATCH($E$2,'Jan 2022 Apport'!$3:$3,0),FALSE)+VLOOKUP(A201,JanApport,MATCH($E$3,'Jan 2022 Apport'!$3:$3,0),FALSE)+VLOOKUP(A201,JanApport,MATCH($E$4,'Jan 2022 Apport'!$3:$3,0),FALSE)</f>
        <v>0</v>
      </c>
      <c r="F201" s="118">
        <f t="shared" si="27"/>
        <v>405157.62</v>
      </c>
      <c r="G201" s="117">
        <f>VLOOKUP(A201,JanApport,MATCH($G$4,'Jan 2022 Apport'!$3:$3,0),FALSE)</f>
        <v>21071.7</v>
      </c>
      <c r="H201" s="117">
        <f>VLOOKUP(A201,JanApport,MATCH($H$3,'Jan 2022 Apport'!$3:$3,0),FALSE)+VLOOKUP(A201,JanApport,MATCH($H$2,'Jan 2022 Apport'!$3:$3,0),FALSE)+VLOOKUP(A201,JanApport,MATCH($H$4,'Jan 2022 Apport'!$3:$3,0),FALSE)</f>
        <v>27352.789999999997</v>
      </c>
      <c r="I201" s="117">
        <f t="shared" si="28"/>
        <v>48424.49</v>
      </c>
      <c r="J201" s="117">
        <f>VLOOKUP(A201,JanApport,MATCH($J$4,'Jan 2022 Apport'!$3:$3,0),FALSE)</f>
        <v>92942.23</v>
      </c>
      <c r="K201" s="117">
        <f>VLOOKUP(A201,JanApport,MATCH($K$4,'Jan 2022 Apport'!$3:$3,0),FALSE)</f>
        <v>37286.620000000003</v>
      </c>
      <c r="L201" s="117">
        <f t="shared" si="29"/>
        <v>130228.85</v>
      </c>
      <c r="M201" s="117">
        <f>VLOOKUP(A201,JanApport,MATCH($M$4,'Jan 2022 Apport'!$3:$3,0),FALSE)</f>
        <v>16436.25</v>
      </c>
      <c r="N201" s="117">
        <f>VLOOKUP(A201,JanApport,MATCH($N$4,'Jan 2022 Apport'!$3:$3,0),FALSE)</f>
        <v>12620.67</v>
      </c>
      <c r="O201" s="117">
        <f>VLOOKUP(A201,JanApport,MATCH($O$4,'Jan 2022 Apport'!$3:$3,0),FALSE)</f>
        <v>0</v>
      </c>
      <c r="P201" s="121">
        <f>IFERROR((VLOOKUP(A201,ExcessLevy!A:G,3,FALSE)*0.28),0)+IFERROR((VLOOKUP(A201,ExcessLevy!A:G,6,FALSE)*0.72),0)</f>
        <v>0</v>
      </c>
      <c r="Q201" s="121">
        <f>IFERROR((VLOOKUP(A201,ExcessLevy!A:G,4,FALSE)*0.4738),0)+IFERROR((VLOOKUP(A201,ExcessLevy!A:G,7,FALSE)*0.5262),0)</f>
        <v>151980</v>
      </c>
      <c r="R201">
        <f>VLOOKUP(A201,JanApport,MATCH($R$4,'Jan 2022 Apport'!$3:$3,0),FALSE)</f>
        <v>0</v>
      </c>
      <c r="S201">
        <f>VLOOKUP(A201,JanApport,MATCH($S$4,'Jan 2022 Apport'!$3:$3,0),FALSE)</f>
        <v>0</v>
      </c>
      <c r="T201">
        <f>VLOOKUP(A201,JanApport,MATCH($T$4,'Jan 2022 Apport'!$3:$3,0),FALSE)</f>
        <v>0</v>
      </c>
      <c r="U201" s="132">
        <f>IFERROR(VLOOKUP(A201,JanApport,MATCH($U$4,'Jan 2022 Apport'!$3:$3,0),FALSE)/R201,0)</f>
        <v>0</v>
      </c>
      <c r="V201" s="30">
        <f>IFERROR(((VLOOKUP(A201,JanApport,MATCH($V$4,'Jan 2022 Apport'!$3:$3,0),FALSE)+VLOOKUP(A201,JanApport,MATCH($V$3,'Jan 2022 Apport'!$3:$3,0),FALSE))/(S201+T201)),0)</f>
        <v>0</v>
      </c>
      <c r="W201" s="30">
        <f t="shared" si="30"/>
        <v>8083.6246967786601</v>
      </c>
      <c r="X201">
        <f>VLOOKUP(A201,JanApport,MATCH($X$4,'Jan 2022 Apport'!$3:$3,0),FALSE)</f>
        <v>4.8578999999999997E-2</v>
      </c>
      <c r="Y201">
        <f>VLOOKUP(A201,JanApport,MATCH($Y$4,'Jan 2022 Apport'!$3:$3,0),FALSE)</f>
        <v>4.0270000000000002E-3</v>
      </c>
      <c r="Z201">
        <f>VLOOKUP(A201,JanApport,MATCH($Z$4,'Jan 2022 Apport'!$3:$3,0),FALSE)</f>
        <v>1.7100000000000001E-2</v>
      </c>
      <c r="AA201" s="77">
        <f>VLOOKUP(A201,JanApport,MATCH($AA$4,'Jan 2022 Apport'!$3:$3,0),FALSE)*VLOOKUP(A201,JanApport,MATCH($AA$3,'Jan 2022 Apport'!$3:$3,0),FALSE)</f>
        <v>67585</v>
      </c>
      <c r="AB201" s="77">
        <f>VLOOKUP(A201,JanApport,MATCH($AB$4,'Jan 2022 Apport'!$3:$3,0),FALSE)*VLOOKUP(A201,JanApport,MATCH($AB$3,'Jan 2022 Apport'!$3:$3,0),FALSE)</f>
        <v>68937</v>
      </c>
      <c r="AC201" s="77">
        <f>VLOOKUP(A201,JanApport,MATCH($AC$4,'Jan 2022 Apport'!$3:$3,0),FALSE)</f>
        <v>100321</v>
      </c>
      <c r="AD201" s="77">
        <f>VLOOKUP(A201,JanApport,MATCH($AD$4,'Jan 2022 Apport'!$3:$3,0),FALSE)*VLOOKUP(A201,JanApport,MATCH($AD$3,'Jan 2022 Apport'!$3:$3,0),FALSE)</f>
        <v>102327</v>
      </c>
      <c r="AE201" s="77">
        <f>VLOOKUP(A201,JanApport,MATCH($AE$4,'Jan 2022 Apport'!$3:$3,0),FALSE)</f>
        <v>48483</v>
      </c>
      <c r="AF201" s="77">
        <f>VLOOKUP(A201,JanApport,MATCH($AF$4,'Jan 2022 Apport'!$3:$3,0),FALSE)*VLOOKUP(A201,JanApport,MATCH($AF$3,'Jan 2022 Apport'!$3:$3,0),FALSE)</f>
        <v>49453</v>
      </c>
      <c r="AG201" s="77">
        <f t="shared" si="31"/>
        <v>96432.259900000005</v>
      </c>
      <c r="AH201" s="77">
        <f t="shared" si="32"/>
        <v>137400.94330000001</v>
      </c>
      <c r="AI201" s="77">
        <f t="shared" si="33"/>
        <v>77281.189732599989</v>
      </c>
      <c r="AJ201" s="3">
        <f>VLOOKUP(A201,JanApport,MATCH($AJ$4,'Jan 2022 Apport'!$3:$3,0),FALSE)</f>
        <v>47369.4</v>
      </c>
      <c r="AK201" s="3">
        <f>VLOOKUP(A201,JanApport,MATCH($AK$4,'Jan 2022 Apport'!$3:$3,0),FALSE)</f>
        <v>0.81499999999999995</v>
      </c>
      <c r="AL201" s="117">
        <f t="shared" si="34"/>
        <v>583799.38</v>
      </c>
      <c r="AM201" s="117">
        <f>VLOOKUP(A201,JanApport,MATCH($AM$4,'Jan 2022 Apport'!$3:$3,0),FALSE)</f>
        <v>8218.1200000000008</v>
      </c>
      <c r="AN201" s="117">
        <f>VLOOKUP(A201,JanApport,MATCH($AN$4,'Jan 2022 Apport'!$3:$3,0),FALSE)</f>
        <v>3659.18</v>
      </c>
    </row>
    <row r="202" spans="1:40">
      <c r="A202" s="2" t="s">
        <v>565</v>
      </c>
      <c r="B202" s="2" t="s">
        <v>566</v>
      </c>
      <c r="C202" s="2" t="s">
        <v>1267</v>
      </c>
      <c r="D202" s="118">
        <f>VLOOKUP(A202,JanApport,MATCH($D$4,'Jan 2022 Apport'!$3:$3,FALSE),FALSE)</f>
        <v>2307068.06</v>
      </c>
      <c r="E202" s="30">
        <f>VLOOKUP(A202,JanApport,MATCH($E$2,'Jan 2022 Apport'!$3:$3,0),FALSE)+VLOOKUP(A202,JanApport,MATCH($E$3,'Jan 2022 Apport'!$3:$3,0),FALSE)+VLOOKUP(A202,JanApport,MATCH($E$4,'Jan 2022 Apport'!$3:$3,0),FALSE)</f>
        <v>85685.5</v>
      </c>
      <c r="F202" s="118">
        <f t="shared" si="27"/>
        <v>2221382.56</v>
      </c>
      <c r="G202" s="117">
        <f>VLOOKUP(A202,JanApport,MATCH($G$4,'Jan 2022 Apport'!$3:$3,0),FALSE)</f>
        <v>0</v>
      </c>
      <c r="H202" s="117">
        <f>VLOOKUP(A202,JanApport,MATCH($H$3,'Jan 2022 Apport'!$3:$3,0),FALSE)+VLOOKUP(A202,JanApport,MATCH($H$2,'Jan 2022 Apport'!$3:$3,0),FALSE)+VLOOKUP(A202,JanApport,MATCH($H$4,'Jan 2022 Apport'!$3:$3,0),FALSE)</f>
        <v>161792.37</v>
      </c>
      <c r="I202" s="117">
        <f t="shared" si="28"/>
        <v>161792.37</v>
      </c>
      <c r="J202" s="117">
        <f>VLOOKUP(A202,JanApport,MATCH($J$4,'Jan 2022 Apport'!$3:$3,0),FALSE)</f>
        <v>0</v>
      </c>
      <c r="K202" s="117">
        <f>VLOOKUP(A202,JanApport,MATCH($K$4,'Jan 2022 Apport'!$3:$3,0),FALSE)</f>
        <v>0</v>
      </c>
      <c r="L202" s="117">
        <f t="shared" si="29"/>
        <v>0</v>
      </c>
      <c r="M202" s="117">
        <f>VLOOKUP(A202,JanApport,MATCH($M$4,'Jan 2022 Apport'!$3:$3,0),FALSE)</f>
        <v>29350.45</v>
      </c>
      <c r="N202" s="117">
        <f>VLOOKUP(A202,JanApport,MATCH($N$4,'Jan 2022 Apport'!$3:$3,0),FALSE)</f>
        <v>0</v>
      </c>
      <c r="O202" s="117">
        <f>VLOOKUP(A202,JanApport,MATCH($O$4,'Jan 2022 Apport'!$3:$3,0),FALSE)</f>
        <v>0</v>
      </c>
      <c r="P202" s="121">
        <f>IFERROR((VLOOKUP(A202,ExcessLevy!A:G,3,FALSE)*0.28),0)+IFERROR((VLOOKUP(A202,ExcessLevy!A:G,6,FALSE)*0.72),0)</f>
        <v>45196.653599999998</v>
      </c>
      <c r="Q202" s="121">
        <f>IFERROR((VLOOKUP(A202,ExcessLevy!A:G,4,FALSE)*0.4738),0)+IFERROR((VLOOKUP(A202,ExcessLevy!A:G,7,FALSE)*0.5262),0)</f>
        <v>411864.46919999999</v>
      </c>
      <c r="R202">
        <f>VLOOKUP(A202,JanApport,MATCH($R$4,'Jan 2022 Apport'!$3:$3,0),FALSE)</f>
        <v>0</v>
      </c>
      <c r="S202">
        <f>VLOOKUP(A202,JanApport,MATCH($S$4,'Jan 2022 Apport'!$3:$3,0),FALSE)</f>
        <v>0</v>
      </c>
      <c r="T202">
        <f>VLOOKUP(A202,JanApport,MATCH($T$4,'Jan 2022 Apport'!$3:$3,0),FALSE)</f>
        <v>9.6</v>
      </c>
      <c r="U202" s="132">
        <f>IFERROR(VLOOKUP(A202,JanApport,MATCH($U$4,'Jan 2022 Apport'!$3:$3,0),FALSE)/R202,0)</f>
        <v>0</v>
      </c>
      <c r="V202" s="30">
        <f>IFERROR(((VLOOKUP(A202,JanApport,MATCH($V$4,'Jan 2022 Apport'!$3:$3,0),FALSE)+VLOOKUP(A202,JanApport,MATCH($V$3,'Jan 2022 Apport'!$3:$3,0),FALSE))/(S202+T202)),0)</f>
        <v>8925.5729166666679</v>
      </c>
      <c r="W202" s="30">
        <f t="shared" si="30"/>
        <v>8083.6246967786601</v>
      </c>
      <c r="X202">
        <f>VLOOKUP(A202,JanApport,MATCH($X$4,'Jan 2022 Apport'!$3:$3,0),FALSE)</f>
        <v>4.8578999999999997E-2</v>
      </c>
      <c r="Y202">
        <f>VLOOKUP(A202,JanApport,MATCH($Y$4,'Jan 2022 Apport'!$3:$3,0),FALSE)</f>
        <v>4.0270000000000002E-3</v>
      </c>
      <c r="Z202">
        <f>VLOOKUP(A202,JanApport,MATCH($Z$4,'Jan 2022 Apport'!$3:$3,0),FALSE)</f>
        <v>1.7100000000000001E-2</v>
      </c>
      <c r="AA202" s="77">
        <f>VLOOKUP(A202,JanApport,MATCH($AA$4,'Jan 2022 Apport'!$3:$3,0),FALSE)*VLOOKUP(A202,JanApport,MATCH($AA$3,'Jan 2022 Apport'!$3:$3,0),FALSE)</f>
        <v>67585</v>
      </c>
      <c r="AB202" s="77">
        <f>VLOOKUP(A202,JanApport,MATCH($AB$4,'Jan 2022 Apport'!$3:$3,0),FALSE)*VLOOKUP(A202,JanApport,MATCH($AB$3,'Jan 2022 Apport'!$3:$3,0),FALSE)</f>
        <v>68937</v>
      </c>
      <c r="AC202" s="77">
        <f>VLOOKUP(A202,JanApport,MATCH($AC$4,'Jan 2022 Apport'!$3:$3,0),FALSE)</f>
        <v>100321</v>
      </c>
      <c r="AD202" s="77">
        <f>VLOOKUP(A202,JanApport,MATCH($AD$4,'Jan 2022 Apport'!$3:$3,0),FALSE)*VLOOKUP(A202,JanApport,MATCH($AD$3,'Jan 2022 Apport'!$3:$3,0),FALSE)</f>
        <v>102327</v>
      </c>
      <c r="AE202" s="77">
        <f>VLOOKUP(A202,JanApport,MATCH($AE$4,'Jan 2022 Apport'!$3:$3,0),FALSE)</f>
        <v>48483</v>
      </c>
      <c r="AF202" s="77">
        <f>VLOOKUP(A202,JanApport,MATCH($AF$4,'Jan 2022 Apport'!$3:$3,0),FALSE)*VLOOKUP(A202,JanApport,MATCH($AF$3,'Jan 2022 Apport'!$3:$3,0),FALSE)</f>
        <v>49453</v>
      </c>
      <c r="AG202" s="77">
        <f t="shared" si="31"/>
        <v>96432.259900000005</v>
      </c>
      <c r="AH202" s="77">
        <f t="shared" si="32"/>
        <v>137400.94330000001</v>
      </c>
      <c r="AI202" s="77">
        <f t="shared" si="33"/>
        <v>77281.189732599989</v>
      </c>
      <c r="AJ202" s="3">
        <f>VLOOKUP(A202,JanApport,MATCH($AJ$4,'Jan 2022 Apport'!$3:$3,0),FALSE)</f>
        <v>284513.46999999997</v>
      </c>
      <c r="AK202" s="3">
        <f>VLOOKUP(A202,JanApport,MATCH($AK$4,'Jan 2022 Apport'!$3:$3,0),FALSE)</f>
        <v>3.3359999999999999</v>
      </c>
      <c r="AL202" s="117">
        <f t="shared" si="34"/>
        <v>2498210.8800000004</v>
      </c>
      <c r="AM202" s="117">
        <f>VLOOKUP(A202,JanApport,MATCH($AM$4,'Jan 2022 Apport'!$3:$3,0),FALSE)</f>
        <v>0</v>
      </c>
      <c r="AN202" s="117">
        <f>VLOOKUP(A202,JanApport,MATCH($AN$4,'Jan 2022 Apport'!$3:$3,0),FALSE)</f>
        <v>20328.169999999998</v>
      </c>
    </row>
    <row r="203" spans="1:40">
      <c r="A203" s="2" t="s">
        <v>111</v>
      </c>
      <c r="B203" s="2" t="s">
        <v>112</v>
      </c>
      <c r="C203" s="2" t="s">
        <v>1267</v>
      </c>
      <c r="D203" s="118">
        <f>VLOOKUP(A203,JanApport,MATCH($D$4,'Jan 2022 Apport'!$3:$3,FALSE),FALSE)</f>
        <v>148485395.69999999</v>
      </c>
      <c r="E203" s="30">
        <f>VLOOKUP(A203,JanApport,MATCH($E$2,'Jan 2022 Apport'!$3:$3,0),FALSE)+VLOOKUP(A203,JanApport,MATCH($E$3,'Jan 2022 Apport'!$3:$3,0),FALSE)+VLOOKUP(A203,JanApport,MATCH($E$4,'Jan 2022 Apport'!$3:$3,0),FALSE)</f>
        <v>10626866.390000001</v>
      </c>
      <c r="F203" s="118">
        <f t="shared" si="27"/>
        <v>137858529.31</v>
      </c>
      <c r="G203" s="117">
        <f>VLOOKUP(A203,JanApport,MATCH($G$4,'Jan 2022 Apport'!$3:$3,0),FALSE)</f>
        <v>1171165.6200000001</v>
      </c>
      <c r="H203" s="117">
        <f>VLOOKUP(A203,JanApport,MATCH($H$3,'Jan 2022 Apport'!$3:$3,0),FALSE)+VLOOKUP(A203,JanApport,MATCH($H$2,'Jan 2022 Apport'!$3:$3,0),FALSE)+VLOOKUP(A203,JanApport,MATCH($H$4,'Jan 2022 Apport'!$3:$3,0),FALSE)</f>
        <v>18296424.170000002</v>
      </c>
      <c r="I203" s="117">
        <f t="shared" si="28"/>
        <v>19467589.790000003</v>
      </c>
      <c r="J203" s="117">
        <f>VLOOKUP(A203,JanApport,MATCH($J$4,'Jan 2022 Apport'!$3:$3,0),FALSE)</f>
        <v>8010039.8899999997</v>
      </c>
      <c r="K203" s="117">
        <f>VLOOKUP(A203,JanApport,MATCH($K$4,'Jan 2022 Apport'!$3:$3,0),FALSE)</f>
        <v>1101271.6499999999</v>
      </c>
      <c r="L203" s="117">
        <f t="shared" si="29"/>
        <v>9111311.5399999991</v>
      </c>
      <c r="M203" s="117">
        <f>VLOOKUP(A203,JanApport,MATCH($M$4,'Jan 2022 Apport'!$3:$3,0),FALSE)</f>
        <v>8301477.0199999996</v>
      </c>
      <c r="N203" s="117">
        <f>VLOOKUP(A203,JanApport,MATCH($N$4,'Jan 2022 Apport'!$3:$3,0),FALSE)</f>
        <v>10019944.98</v>
      </c>
      <c r="O203" s="117">
        <f>VLOOKUP(A203,JanApport,MATCH($O$4,'Jan 2022 Apport'!$3:$3,0),FALSE)</f>
        <v>509523.56</v>
      </c>
      <c r="P203" s="121">
        <f>IFERROR((VLOOKUP(A203,ExcessLevy!A:G,3,FALSE)*0.28),0)+IFERROR((VLOOKUP(A203,ExcessLevy!A:G,6,FALSE)*0.72),0)</f>
        <v>15430828.501600001</v>
      </c>
      <c r="Q203" s="121">
        <f>IFERROR((VLOOKUP(A203,ExcessLevy!A:G,4,FALSE)*0.4738),0)+IFERROR((VLOOKUP(A203,ExcessLevy!A:G,7,FALSE)*0.5262),0)</f>
        <v>14053103.7544</v>
      </c>
      <c r="R203">
        <f>VLOOKUP(A203,JanApport,MATCH($R$4,'Jan 2022 Apport'!$3:$3,0),FALSE)</f>
        <v>0</v>
      </c>
      <c r="S203">
        <f>VLOOKUP(A203,JanApport,MATCH($S$4,'Jan 2022 Apport'!$3:$3,0),FALSE)</f>
        <v>159.84</v>
      </c>
      <c r="T203">
        <f>VLOOKUP(A203,JanApport,MATCH($T$4,'Jan 2022 Apport'!$3:$3,0),FALSE)</f>
        <v>1031.3499999999999</v>
      </c>
      <c r="U203" s="132">
        <f>IFERROR(VLOOKUP(A203,JanApport,MATCH($U$4,'Jan 2022 Apport'!$3:$3,0),FALSE)/R203,0)</f>
        <v>0</v>
      </c>
      <c r="V203" s="30">
        <f>IFERROR(((VLOOKUP(A203,JanApport,MATCH($V$4,'Jan 2022 Apport'!$3:$3,0),FALSE)+VLOOKUP(A203,JanApport,MATCH($V$3,'Jan 2022 Apport'!$3:$3,0),FALSE))/(S203+T203)),0)</f>
        <v>8921.2186049244883</v>
      </c>
      <c r="W203" s="30">
        <f t="shared" si="30"/>
        <v>8083.6246967786601</v>
      </c>
      <c r="X203">
        <f>VLOOKUP(A203,JanApport,MATCH($X$4,'Jan 2022 Apport'!$3:$3,0),FALSE)</f>
        <v>4.8578999999999997E-2</v>
      </c>
      <c r="Y203">
        <f>VLOOKUP(A203,JanApport,MATCH($Y$4,'Jan 2022 Apport'!$3:$3,0),FALSE)</f>
        <v>4.0270000000000002E-3</v>
      </c>
      <c r="Z203">
        <f>VLOOKUP(A203,JanApport,MATCH($Z$4,'Jan 2022 Apport'!$3:$3,0),FALSE)</f>
        <v>1.7100000000000001E-2</v>
      </c>
      <c r="AA203" s="77">
        <f>VLOOKUP(A203,JanApport,MATCH($AA$4,'Jan 2022 Apport'!$3:$3,0),FALSE)*VLOOKUP(A203,JanApport,MATCH($AA$3,'Jan 2022 Apport'!$3:$3,0),FALSE)</f>
        <v>67585</v>
      </c>
      <c r="AB203" s="77">
        <f>VLOOKUP(A203,JanApport,MATCH($AB$4,'Jan 2022 Apport'!$3:$3,0),FALSE)*VLOOKUP(A203,JanApport,MATCH($AB$3,'Jan 2022 Apport'!$3:$3,0),FALSE)</f>
        <v>68937</v>
      </c>
      <c r="AC203" s="77">
        <f>VLOOKUP(A203,JanApport,MATCH($AC$4,'Jan 2022 Apport'!$3:$3,0),FALSE)</f>
        <v>100321</v>
      </c>
      <c r="AD203" s="77">
        <f>VLOOKUP(A203,JanApport,MATCH($AD$4,'Jan 2022 Apport'!$3:$3,0),FALSE)*VLOOKUP(A203,JanApport,MATCH($AD$3,'Jan 2022 Apport'!$3:$3,0),FALSE)</f>
        <v>102327</v>
      </c>
      <c r="AE203" s="77">
        <f>VLOOKUP(A203,JanApport,MATCH($AE$4,'Jan 2022 Apport'!$3:$3,0),FALSE)</f>
        <v>48483</v>
      </c>
      <c r="AF203" s="77">
        <f>VLOOKUP(A203,JanApport,MATCH($AF$4,'Jan 2022 Apport'!$3:$3,0),FALSE)*VLOOKUP(A203,JanApport,MATCH($AF$3,'Jan 2022 Apport'!$3:$3,0),FALSE)</f>
        <v>49453</v>
      </c>
      <c r="AG203" s="77">
        <f t="shared" si="31"/>
        <v>96432.259900000005</v>
      </c>
      <c r="AH203" s="77">
        <f t="shared" si="32"/>
        <v>137400.94330000001</v>
      </c>
      <c r="AI203" s="77">
        <f t="shared" si="33"/>
        <v>77281.189732599989</v>
      </c>
      <c r="AJ203" s="3">
        <f>VLOOKUP(A203,JanApport,MATCH($AJ$4,'Jan 2022 Apport'!$3:$3,0),FALSE)</f>
        <v>22769175.25</v>
      </c>
      <c r="AK203" s="3">
        <f>VLOOKUP(A203,JanApport,MATCH($AK$4,'Jan 2022 Apport'!$3:$3,0),FALSE)</f>
        <v>267.47800000000001</v>
      </c>
      <c r="AL203" s="117">
        <f t="shared" si="34"/>
        <v>199258954.77999997</v>
      </c>
      <c r="AM203" s="117">
        <f>VLOOKUP(A203,JanApport,MATCH($AM$4,'Jan 2022 Apport'!$3:$3,0),FALSE)</f>
        <v>4464983.84</v>
      </c>
      <c r="AN203" s="117">
        <f>VLOOKUP(A203,JanApport,MATCH($AN$4,'Jan 2022 Apport'!$3:$3,0),FALSE)</f>
        <v>1126163.07</v>
      </c>
    </row>
    <row r="204" spans="1:40">
      <c r="A204" s="2" t="s">
        <v>335</v>
      </c>
      <c r="B204" s="2" t="s">
        <v>336</v>
      </c>
      <c r="C204" s="2" t="s">
        <v>1267</v>
      </c>
      <c r="D204" s="118">
        <f>VLOOKUP(A204,JanApport,MATCH($D$4,'Jan 2022 Apport'!$3:$3,FALSE),FALSE)</f>
        <v>3381144.94</v>
      </c>
      <c r="E204" s="30">
        <f>VLOOKUP(A204,JanApport,MATCH($E$2,'Jan 2022 Apport'!$3:$3,0),FALSE)+VLOOKUP(A204,JanApport,MATCH($E$3,'Jan 2022 Apport'!$3:$3,0),FALSE)+VLOOKUP(A204,JanApport,MATCH($E$4,'Jan 2022 Apport'!$3:$3,0),FALSE)</f>
        <v>102353.8</v>
      </c>
      <c r="F204" s="118">
        <f t="shared" si="27"/>
        <v>3278791.14</v>
      </c>
      <c r="G204" s="117">
        <f>VLOOKUP(A204,JanApport,MATCH($G$4,'Jan 2022 Apport'!$3:$3,0),FALSE)</f>
        <v>17587.02</v>
      </c>
      <c r="H204" s="117">
        <f>VLOOKUP(A204,JanApport,MATCH($H$3,'Jan 2022 Apport'!$3:$3,0),FALSE)+VLOOKUP(A204,JanApport,MATCH($H$2,'Jan 2022 Apport'!$3:$3,0),FALSE)+VLOOKUP(A204,JanApport,MATCH($H$4,'Jan 2022 Apport'!$3:$3,0),FALSE)</f>
        <v>348681.83</v>
      </c>
      <c r="I204" s="117">
        <f t="shared" si="28"/>
        <v>366268.85000000003</v>
      </c>
      <c r="J204" s="117">
        <f>VLOOKUP(A204,JanApport,MATCH($J$4,'Jan 2022 Apport'!$3:$3,0),FALSE)</f>
        <v>196909.88</v>
      </c>
      <c r="K204" s="117">
        <f>VLOOKUP(A204,JanApport,MATCH($K$4,'Jan 2022 Apport'!$3:$3,0),FALSE)</f>
        <v>66500.58</v>
      </c>
      <c r="L204" s="117">
        <f t="shared" si="29"/>
        <v>263410.46000000002</v>
      </c>
      <c r="M204" s="117">
        <f>VLOOKUP(A204,JanApport,MATCH($M$4,'Jan 2022 Apport'!$3:$3,0),FALSE)</f>
        <v>138519.48000000001</v>
      </c>
      <c r="N204" s="117">
        <f>VLOOKUP(A204,JanApport,MATCH($N$4,'Jan 2022 Apport'!$3:$3,0),FALSE)</f>
        <v>57513.94</v>
      </c>
      <c r="O204" s="117">
        <f>VLOOKUP(A204,JanApport,MATCH($O$4,'Jan 2022 Apport'!$3:$3,0),FALSE)</f>
        <v>8606.85</v>
      </c>
      <c r="P204" s="121">
        <f>IFERROR((VLOOKUP(A204,ExcessLevy!A:G,3,FALSE)*0.28),0)+IFERROR((VLOOKUP(A204,ExcessLevy!A:G,6,FALSE)*0.72),0)</f>
        <v>137089.45079999999</v>
      </c>
      <c r="Q204" s="121">
        <f>IFERROR((VLOOKUP(A204,ExcessLevy!A:G,4,FALSE)*0.4738),0)+IFERROR((VLOOKUP(A204,ExcessLevy!A:G,7,FALSE)*0.5262),0)</f>
        <v>503381.8</v>
      </c>
      <c r="R204">
        <f>VLOOKUP(A204,JanApport,MATCH($R$4,'Jan 2022 Apport'!$3:$3,0),FALSE)</f>
        <v>0</v>
      </c>
      <c r="S204">
        <f>VLOOKUP(A204,JanApport,MATCH($S$4,'Jan 2022 Apport'!$3:$3,0),FALSE)</f>
        <v>0</v>
      </c>
      <c r="T204">
        <f>VLOOKUP(A204,JanApport,MATCH($T$4,'Jan 2022 Apport'!$3:$3,0),FALSE)</f>
        <v>11.24</v>
      </c>
      <c r="U204" s="132">
        <f>IFERROR(VLOOKUP(A204,JanApport,MATCH($U$4,'Jan 2022 Apport'!$3:$3,0),FALSE)/R204,0)</f>
        <v>0</v>
      </c>
      <c r="V204" s="30">
        <f>IFERROR(((VLOOKUP(A204,JanApport,MATCH($V$4,'Jan 2022 Apport'!$3:$3,0),FALSE)+VLOOKUP(A204,JanApport,MATCH($V$3,'Jan 2022 Apport'!$3:$3,0),FALSE))/(S204+T204)),0)</f>
        <v>9106.209964412812</v>
      </c>
      <c r="W204" s="30">
        <f t="shared" si="30"/>
        <v>8083.6246967786601</v>
      </c>
      <c r="X204">
        <f>VLOOKUP(A204,JanApport,MATCH($X$4,'Jan 2022 Apport'!$3:$3,0),FALSE)</f>
        <v>4.8578999999999997E-2</v>
      </c>
      <c r="Y204">
        <f>VLOOKUP(A204,JanApport,MATCH($Y$4,'Jan 2022 Apport'!$3:$3,0),FALSE)</f>
        <v>4.0270000000000002E-3</v>
      </c>
      <c r="Z204">
        <f>VLOOKUP(A204,JanApport,MATCH($Z$4,'Jan 2022 Apport'!$3:$3,0),FALSE)</f>
        <v>1.7100000000000001E-2</v>
      </c>
      <c r="AA204" s="77">
        <f>VLOOKUP(A204,JanApport,MATCH($AA$4,'Jan 2022 Apport'!$3:$3,0),FALSE)*VLOOKUP(A204,JanApport,MATCH($AA$3,'Jan 2022 Apport'!$3:$3,0),FALSE)</f>
        <v>67585</v>
      </c>
      <c r="AB204" s="77">
        <f>VLOOKUP(A204,JanApport,MATCH($AB$4,'Jan 2022 Apport'!$3:$3,0),FALSE)*VLOOKUP(A204,JanApport,MATCH($AB$3,'Jan 2022 Apport'!$3:$3,0),FALSE)</f>
        <v>68937</v>
      </c>
      <c r="AC204" s="77">
        <f>VLOOKUP(A204,JanApport,MATCH($AC$4,'Jan 2022 Apport'!$3:$3,0),FALSE)</f>
        <v>100321</v>
      </c>
      <c r="AD204" s="77">
        <f>VLOOKUP(A204,JanApport,MATCH($AD$4,'Jan 2022 Apport'!$3:$3,0),FALSE)*VLOOKUP(A204,JanApport,MATCH($AD$3,'Jan 2022 Apport'!$3:$3,0),FALSE)</f>
        <v>102327</v>
      </c>
      <c r="AE204" s="77">
        <f>VLOOKUP(A204,JanApport,MATCH($AE$4,'Jan 2022 Apport'!$3:$3,0),FALSE)</f>
        <v>48483</v>
      </c>
      <c r="AF204" s="77">
        <f>VLOOKUP(A204,JanApport,MATCH($AF$4,'Jan 2022 Apport'!$3:$3,0),FALSE)*VLOOKUP(A204,JanApport,MATCH($AF$3,'Jan 2022 Apport'!$3:$3,0),FALSE)</f>
        <v>49453</v>
      </c>
      <c r="AG204" s="77">
        <f t="shared" si="31"/>
        <v>96432.259900000005</v>
      </c>
      <c r="AH204" s="77">
        <f t="shared" si="32"/>
        <v>137400.94330000001</v>
      </c>
      <c r="AI204" s="77">
        <f t="shared" si="33"/>
        <v>77281.189732599989</v>
      </c>
      <c r="AJ204" s="3">
        <f>VLOOKUP(A204,JanApport,MATCH($AJ$4,'Jan 2022 Apport'!$3:$3,0),FALSE)</f>
        <v>442388.99</v>
      </c>
      <c r="AK204" s="3">
        <f>VLOOKUP(A204,JanApport,MATCH($AK$4,'Jan 2022 Apport'!$3:$3,0),FALSE)</f>
        <v>5.0970000000000004</v>
      </c>
      <c r="AL204" s="117">
        <f t="shared" si="34"/>
        <v>4236854.96</v>
      </c>
      <c r="AM204" s="117">
        <f>VLOOKUP(A204,JanApport,MATCH($AM$4,'Jan 2022 Apport'!$3:$3,0),FALSE)</f>
        <v>87891.02</v>
      </c>
      <c r="AN204" s="117">
        <f>VLOOKUP(A204,JanApport,MATCH($AN$4,'Jan 2022 Apport'!$3:$3,0),FALSE)</f>
        <v>28742.19</v>
      </c>
    </row>
    <row r="205" spans="1:40">
      <c r="A205" s="2" t="s">
        <v>19</v>
      </c>
      <c r="B205" s="2" t="s">
        <v>20</v>
      </c>
      <c r="C205" s="2" t="s">
        <v>1267</v>
      </c>
      <c r="D205" s="118">
        <f>VLOOKUP(A205,JanApport,MATCH($D$4,'Jan 2022 Apport'!$3:$3,FALSE),FALSE)</f>
        <v>1353510.21</v>
      </c>
      <c r="E205" s="30">
        <f>VLOOKUP(A205,JanApport,MATCH($E$2,'Jan 2022 Apport'!$3:$3,0),FALSE)+VLOOKUP(A205,JanApport,MATCH($E$3,'Jan 2022 Apport'!$3:$3,0),FALSE)+VLOOKUP(A205,JanApport,MATCH($E$4,'Jan 2022 Apport'!$3:$3,0),FALSE)</f>
        <v>0</v>
      </c>
      <c r="F205" s="118">
        <f t="shared" si="27"/>
        <v>1353510.21</v>
      </c>
      <c r="G205" s="117">
        <f>VLOOKUP(A205,JanApport,MATCH($G$4,'Jan 2022 Apport'!$3:$3,0),FALSE)</f>
        <v>10135.790000000001</v>
      </c>
      <c r="H205" s="117">
        <f>VLOOKUP(A205,JanApport,MATCH($H$3,'Jan 2022 Apport'!$3:$3,0),FALSE)+VLOOKUP(A205,JanApport,MATCH($H$2,'Jan 2022 Apport'!$3:$3,0),FALSE)+VLOOKUP(A205,JanApport,MATCH($H$4,'Jan 2022 Apport'!$3:$3,0),FALSE)</f>
        <v>168977.78999999998</v>
      </c>
      <c r="I205" s="117">
        <f t="shared" si="28"/>
        <v>179113.58</v>
      </c>
      <c r="J205" s="117">
        <f>VLOOKUP(A205,JanApport,MATCH($J$4,'Jan 2022 Apport'!$3:$3,0),FALSE)</f>
        <v>331850.59000000003</v>
      </c>
      <c r="K205" s="117">
        <f>VLOOKUP(A205,JanApport,MATCH($K$4,'Jan 2022 Apport'!$3:$3,0),FALSE)</f>
        <v>31053.51</v>
      </c>
      <c r="L205" s="117">
        <f t="shared" si="29"/>
        <v>362904.10000000003</v>
      </c>
      <c r="M205" s="117">
        <f>VLOOKUP(A205,JanApport,MATCH($M$4,'Jan 2022 Apport'!$3:$3,0),FALSE)</f>
        <v>86094.62</v>
      </c>
      <c r="N205" s="117">
        <f>VLOOKUP(A205,JanApport,MATCH($N$4,'Jan 2022 Apport'!$3:$3,0),FALSE)</f>
        <v>43145.15</v>
      </c>
      <c r="O205" s="117">
        <f>VLOOKUP(A205,JanApport,MATCH($O$4,'Jan 2022 Apport'!$3:$3,0),FALSE)</f>
        <v>0</v>
      </c>
      <c r="P205" s="121">
        <f>IFERROR((VLOOKUP(A205,ExcessLevy!A:G,3,FALSE)*0.28),0)+IFERROR((VLOOKUP(A205,ExcessLevy!A:G,6,FALSE)*0.72),0)</f>
        <v>0</v>
      </c>
      <c r="Q205" s="121">
        <f>IFERROR((VLOOKUP(A205,ExcessLevy!A:G,4,FALSE)*0.4738),0)+IFERROR((VLOOKUP(A205,ExcessLevy!A:G,7,FALSE)*0.5262),0)</f>
        <v>350671.87659999996</v>
      </c>
      <c r="R205">
        <f>VLOOKUP(A205,JanApport,MATCH($R$4,'Jan 2022 Apport'!$3:$3,0),FALSE)</f>
        <v>0</v>
      </c>
      <c r="S205">
        <f>VLOOKUP(A205,JanApport,MATCH($S$4,'Jan 2022 Apport'!$3:$3,0),FALSE)</f>
        <v>0</v>
      </c>
      <c r="T205">
        <f>VLOOKUP(A205,JanApport,MATCH($T$4,'Jan 2022 Apport'!$3:$3,0),FALSE)</f>
        <v>0</v>
      </c>
      <c r="U205" s="132">
        <f>IFERROR(VLOOKUP(A205,JanApport,MATCH($U$4,'Jan 2022 Apport'!$3:$3,0),FALSE)/R205,0)</f>
        <v>0</v>
      </c>
      <c r="V205" s="30">
        <f>IFERROR(((VLOOKUP(A205,JanApport,MATCH($V$4,'Jan 2022 Apport'!$3:$3,0),FALSE)+VLOOKUP(A205,JanApport,MATCH($V$3,'Jan 2022 Apport'!$3:$3,0),FALSE))/(S205+T205)),0)</f>
        <v>0</v>
      </c>
      <c r="W205" s="30">
        <f t="shared" si="30"/>
        <v>8083.6246967786601</v>
      </c>
      <c r="X205">
        <f>VLOOKUP(A205,JanApport,MATCH($X$4,'Jan 2022 Apport'!$3:$3,0),FALSE)</f>
        <v>4.8578999999999997E-2</v>
      </c>
      <c r="Y205">
        <f>VLOOKUP(A205,JanApport,MATCH($Y$4,'Jan 2022 Apport'!$3:$3,0),FALSE)</f>
        <v>4.0270000000000002E-3</v>
      </c>
      <c r="Z205">
        <f>VLOOKUP(A205,JanApport,MATCH($Z$4,'Jan 2022 Apport'!$3:$3,0),FALSE)</f>
        <v>1.7100000000000001E-2</v>
      </c>
      <c r="AA205" s="77">
        <f>VLOOKUP(A205,JanApport,MATCH($AA$4,'Jan 2022 Apport'!$3:$3,0),FALSE)*VLOOKUP(A205,JanApport,MATCH($AA$3,'Jan 2022 Apport'!$3:$3,0),FALSE)</f>
        <v>67585</v>
      </c>
      <c r="AB205" s="77">
        <f>VLOOKUP(A205,JanApport,MATCH($AB$4,'Jan 2022 Apport'!$3:$3,0),FALSE)*VLOOKUP(A205,JanApport,MATCH($AB$3,'Jan 2022 Apport'!$3:$3,0),FALSE)</f>
        <v>68937</v>
      </c>
      <c r="AC205" s="77">
        <f>VLOOKUP(A205,JanApport,MATCH($AC$4,'Jan 2022 Apport'!$3:$3,0),FALSE)</f>
        <v>100321</v>
      </c>
      <c r="AD205" s="77">
        <f>VLOOKUP(A205,JanApport,MATCH($AD$4,'Jan 2022 Apport'!$3:$3,0),FALSE)*VLOOKUP(A205,JanApport,MATCH($AD$3,'Jan 2022 Apport'!$3:$3,0),FALSE)</f>
        <v>102327</v>
      </c>
      <c r="AE205" s="77">
        <f>VLOOKUP(A205,JanApport,MATCH($AE$4,'Jan 2022 Apport'!$3:$3,0),FALSE)</f>
        <v>48483</v>
      </c>
      <c r="AF205" s="77">
        <f>VLOOKUP(A205,JanApport,MATCH($AF$4,'Jan 2022 Apport'!$3:$3,0),FALSE)*VLOOKUP(A205,JanApport,MATCH($AF$3,'Jan 2022 Apport'!$3:$3,0),FALSE)</f>
        <v>49453</v>
      </c>
      <c r="AG205" s="77">
        <f t="shared" si="31"/>
        <v>96432.259900000005</v>
      </c>
      <c r="AH205" s="77">
        <f t="shared" si="32"/>
        <v>137400.94330000001</v>
      </c>
      <c r="AI205" s="77">
        <f t="shared" si="33"/>
        <v>77281.189732599989</v>
      </c>
      <c r="AJ205" s="3">
        <f>VLOOKUP(A205,JanApport,MATCH($AJ$4,'Jan 2022 Apport'!$3:$3,0),FALSE)</f>
        <v>195687.8</v>
      </c>
      <c r="AK205" s="3">
        <f>VLOOKUP(A205,JanApport,MATCH($AK$4,'Jan 2022 Apport'!$3:$3,0),FALSE)</f>
        <v>3.9409999999999998</v>
      </c>
      <c r="AL205" s="117">
        <f t="shared" si="34"/>
        <v>2033239.41</v>
      </c>
      <c r="AM205" s="117">
        <f>VLOOKUP(A205,JanApport,MATCH($AM$4,'Jan 2022 Apport'!$3:$3,0),FALSE)</f>
        <v>39525.26</v>
      </c>
      <c r="AN205" s="117">
        <f>VLOOKUP(A205,JanApport,MATCH($AN$4,'Jan 2022 Apport'!$3:$3,0),FALSE)</f>
        <v>11883.58</v>
      </c>
    </row>
    <row r="206" spans="1:40">
      <c r="A206" s="2" t="s">
        <v>289</v>
      </c>
      <c r="B206" s="2" t="s">
        <v>290</v>
      </c>
      <c r="C206" s="2" t="s">
        <v>1267</v>
      </c>
      <c r="D206" s="118">
        <f>VLOOKUP(A206,JanApport,MATCH($D$4,'Jan 2022 Apport'!$3:$3,FALSE),FALSE)</f>
        <v>3089182.92</v>
      </c>
      <c r="E206" s="30">
        <f>VLOOKUP(A206,JanApport,MATCH($E$2,'Jan 2022 Apport'!$3:$3,0),FALSE)+VLOOKUP(A206,JanApport,MATCH($E$3,'Jan 2022 Apport'!$3:$3,0),FALSE)+VLOOKUP(A206,JanApport,MATCH($E$4,'Jan 2022 Apport'!$3:$3,0),FALSE)</f>
        <v>195095.15999999997</v>
      </c>
      <c r="F206" s="118">
        <f t="shared" ref="F206:F269" si="35">D206-E206</f>
        <v>2894087.76</v>
      </c>
      <c r="G206" s="117">
        <f>VLOOKUP(A206,JanApport,MATCH($G$4,'Jan 2022 Apport'!$3:$3,0),FALSE)</f>
        <v>50934.77</v>
      </c>
      <c r="H206" s="117">
        <f>VLOOKUP(A206,JanApport,MATCH($H$3,'Jan 2022 Apport'!$3:$3,0),FALSE)+VLOOKUP(A206,JanApport,MATCH($H$2,'Jan 2022 Apport'!$3:$3,0),FALSE)+VLOOKUP(A206,JanApport,MATCH($H$4,'Jan 2022 Apport'!$3:$3,0),FALSE)</f>
        <v>296561.36</v>
      </c>
      <c r="I206" s="117">
        <f t="shared" ref="I206:I269" si="36">SUM(G206:H206)</f>
        <v>347496.13</v>
      </c>
      <c r="J206" s="117">
        <f>VLOOKUP(A206,JanApport,MATCH($J$4,'Jan 2022 Apport'!$3:$3,0),FALSE)</f>
        <v>189956.93</v>
      </c>
      <c r="K206" s="117">
        <f>VLOOKUP(A206,JanApport,MATCH($K$4,'Jan 2022 Apport'!$3:$3,0),FALSE)</f>
        <v>70231.22</v>
      </c>
      <c r="L206" s="117">
        <f t="shared" ref="L206:L269" si="37">K206+J206</f>
        <v>260188.15</v>
      </c>
      <c r="M206" s="117">
        <f>VLOOKUP(A206,JanApport,MATCH($M$4,'Jan 2022 Apport'!$3:$3,0),FALSE)</f>
        <v>90827.46</v>
      </c>
      <c r="N206" s="117">
        <f>VLOOKUP(A206,JanApport,MATCH($N$4,'Jan 2022 Apport'!$3:$3,0),FALSE)</f>
        <v>0</v>
      </c>
      <c r="O206" s="117">
        <f>VLOOKUP(A206,JanApport,MATCH($O$4,'Jan 2022 Apport'!$3:$3,0),FALSE)</f>
        <v>7189.24</v>
      </c>
      <c r="P206" s="121">
        <f>IFERROR((VLOOKUP(A206,ExcessLevy!A:G,3,FALSE)*0.28),0)+IFERROR((VLOOKUP(A206,ExcessLevy!A:G,6,FALSE)*0.72),0)</f>
        <v>12360.008000000002</v>
      </c>
      <c r="Q206" s="121">
        <f>IFERROR((VLOOKUP(A206,ExcessLevy!A:G,4,FALSE)*0.4738),0)+IFERROR((VLOOKUP(A206,ExcessLevy!A:G,7,FALSE)*0.5262),0)</f>
        <v>350009.47159999999</v>
      </c>
      <c r="R206">
        <f>VLOOKUP(A206,JanApport,MATCH($R$4,'Jan 2022 Apport'!$3:$3,0),FALSE)</f>
        <v>0</v>
      </c>
      <c r="S206">
        <f>VLOOKUP(A206,JanApport,MATCH($S$4,'Jan 2022 Apport'!$3:$3,0),FALSE)</f>
        <v>6.29</v>
      </c>
      <c r="T206">
        <f>VLOOKUP(A206,JanApport,MATCH($T$4,'Jan 2022 Apport'!$3:$3,0),FALSE)</f>
        <v>15.14</v>
      </c>
      <c r="U206" s="132">
        <f>IFERROR(VLOOKUP(A206,JanApport,MATCH($U$4,'Jan 2022 Apport'!$3:$3,0),FALSE)/R206,0)</f>
        <v>0</v>
      </c>
      <c r="V206" s="30">
        <f>IFERROR(((VLOOKUP(A206,JanApport,MATCH($V$4,'Jan 2022 Apport'!$3:$3,0),FALSE)+VLOOKUP(A206,JanApport,MATCH($V$3,'Jan 2022 Apport'!$3:$3,0),FALSE))/(S206+T206)),0)</f>
        <v>9103.8338777414829</v>
      </c>
      <c r="W206" s="30">
        <f t="shared" si="30"/>
        <v>8083.6246967786601</v>
      </c>
      <c r="X206">
        <f>VLOOKUP(A206,JanApport,MATCH($X$4,'Jan 2022 Apport'!$3:$3,0),FALSE)</f>
        <v>4.8578999999999997E-2</v>
      </c>
      <c r="Y206">
        <f>VLOOKUP(A206,JanApport,MATCH($Y$4,'Jan 2022 Apport'!$3:$3,0),FALSE)</f>
        <v>4.0270000000000002E-3</v>
      </c>
      <c r="Z206">
        <f>VLOOKUP(A206,JanApport,MATCH($Z$4,'Jan 2022 Apport'!$3:$3,0),FALSE)</f>
        <v>1.7100000000000001E-2</v>
      </c>
      <c r="AA206" s="77">
        <f>VLOOKUP(A206,JanApport,MATCH($AA$4,'Jan 2022 Apport'!$3:$3,0),FALSE)*VLOOKUP(A206,JanApport,MATCH($AA$3,'Jan 2022 Apport'!$3:$3,0),FALSE)</f>
        <v>67585</v>
      </c>
      <c r="AB206" s="77">
        <f>VLOOKUP(A206,JanApport,MATCH($AB$4,'Jan 2022 Apport'!$3:$3,0),FALSE)*VLOOKUP(A206,JanApport,MATCH($AB$3,'Jan 2022 Apport'!$3:$3,0),FALSE)</f>
        <v>68937</v>
      </c>
      <c r="AC206" s="77">
        <f>VLOOKUP(A206,JanApport,MATCH($AC$4,'Jan 2022 Apport'!$3:$3,0),FALSE)</f>
        <v>100321</v>
      </c>
      <c r="AD206" s="77">
        <f>VLOOKUP(A206,JanApport,MATCH($AD$4,'Jan 2022 Apport'!$3:$3,0),FALSE)*VLOOKUP(A206,JanApport,MATCH($AD$3,'Jan 2022 Apport'!$3:$3,0),FALSE)</f>
        <v>102327</v>
      </c>
      <c r="AE206" s="77">
        <f>VLOOKUP(A206,JanApport,MATCH($AE$4,'Jan 2022 Apport'!$3:$3,0),FALSE)</f>
        <v>48483</v>
      </c>
      <c r="AF206" s="77">
        <f>VLOOKUP(A206,JanApport,MATCH($AF$4,'Jan 2022 Apport'!$3:$3,0),FALSE)*VLOOKUP(A206,JanApport,MATCH($AF$3,'Jan 2022 Apport'!$3:$3,0),FALSE)</f>
        <v>49453</v>
      </c>
      <c r="AG206" s="77">
        <f t="shared" si="31"/>
        <v>96432.259900000005</v>
      </c>
      <c r="AH206" s="77">
        <f t="shared" si="32"/>
        <v>137400.94330000001</v>
      </c>
      <c r="AI206" s="77">
        <f t="shared" si="33"/>
        <v>77281.189732599989</v>
      </c>
      <c r="AJ206" s="3">
        <f>VLOOKUP(A206,JanApport,MATCH($AJ$4,'Jan 2022 Apport'!$3:$3,0),FALSE)</f>
        <v>387710.5</v>
      </c>
      <c r="AK206" s="3">
        <f>VLOOKUP(A206,JanApport,MATCH($AK$4,'Jan 2022 Apport'!$3:$3,0),FALSE)</f>
        <v>5.1909999999999998</v>
      </c>
      <c r="AL206" s="117">
        <f t="shared" si="34"/>
        <v>3799582.8200000003</v>
      </c>
      <c r="AM206" s="117">
        <f>VLOOKUP(A206,JanApport,MATCH($AM$4,'Jan 2022 Apport'!$3:$3,0),FALSE)</f>
        <v>74930.14</v>
      </c>
      <c r="AN206" s="117">
        <f>VLOOKUP(A206,JanApport,MATCH($AN$4,'Jan 2022 Apport'!$3:$3,0),FALSE)</f>
        <v>26592.18</v>
      </c>
    </row>
    <row r="207" spans="1:40">
      <c r="A207" s="2" t="s">
        <v>379</v>
      </c>
      <c r="B207" s="2" t="s">
        <v>380</v>
      </c>
      <c r="C207" s="2" t="s">
        <v>1267</v>
      </c>
      <c r="D207" s="118">
        <f>VLOOKUP(A207,JanApport,MATCH($D$4,'Jan 2022 Apport'!$3:$3,FALSE),FALSE)</f>
        <v>82748413.849999994</v>
      </c>
      <c r="E207" s="30">
        <f>VLOOKUP(A207,JanApport,MATCH($E$2,'Jan 2022 Apport'!$3:$3,0),FALSE)+VLOOKUP(A207,JanApport,MATCH($E$3,'Jan 2022 Apport'!$3:$3,0),FALSE)+VLOOKUP(A207,JanApport,MATCH($E$4,'Jan 2022 Apport'!$3:$3,0),FALSE)</f>
        <v>5472797.1300000008</v>
      </c>
      <c r="F207" s="118">
        <f t="shared" si="35"/>
        <v>77275616.719999999</v>
      </c>
      <c r="G207" s="117">
        <f>VLOOKUP(A207,JanApport,MATCH($G$4,'Jan 2022 Apport'!$3:$3,0),FALSE)</f>
        <v>856437.66</v>
      </c>
      <c r="H207" s="117">
        <f>VLOOKUP(A207,JanApport,MATCH($H$3,'Jan 2022 Apport'!$3:$3,0),FALSE)+VLOOKUP(A207,JanApport,MATCH($H$2,'Jan 2022 Apport'!$3:$3,0),FALSE)+VLOOKUP(A207,JanApport,MATCH($H$4,'Jan 2022 Apport'!$3:$3,0),FALSE)</f>
        <v>10584303.09</v>
      </c>
      <c r="I207" s="117">
        <f t="shared" si="36"/>
        <v>11440740.75</v>
      </c>
      <c r="J207" s="117">
        <f>VLOOKUP(A207,JanApport,MATCH($J$4,'Jan 2022 Apport'!$3:$3,0),FALSE)</f>
        <v>5951842.4800000004</v>
      </c>
      <c r="K207" s="117">
        <f>VLOOKUP(A207,JanApport,MATCH($K$4,'Jan 2022 Apport'!$3:$3,0),FALSE)</f>
        <v>660864.64</v>
      </c>
      <c r="L207" s="117">
        <f t="shared" si="37"/>
        <v>6612707.1200000001</v>
      </c>
      <c r="M207" s="117">
        <f>VLOOKUP(A207,JanApport,MATCH($M$4,'Jan 2022 Apport'!$3:$3,0),FALSE)</f>
        <v>1121220.3500000001</v>
      </c>
      <c r="N207" s="117">
        <f>VLOOKUP(A207,JanApport,MATCH($N$4,'Jan 2022 Apport'!$3:$3,0),FALSE)</f>
        <v>347222.39</v>
      </c>
      <c r="O207" s="117">
        <f>VLOOKUP(A207,JanApport,MATCH($O$4,'Jan 2022 Apport'!$3:$3,0),FALSE)</f>
        <v>276595.21000000002</v>
      </c>
      <c r="P207" s="121">
        <f>IFERROR((VLOOKUP(A207,ExcessLevy!A:G,3,FALSE)*0.28),0)+IFERROR((VLOOKUP(A207,ExcessLevy!A:G,6,FALSE)*0.72),0)</f>
        <v>0</v>
      </c>
      <c r="Q207" s="121">
        <f>IFERROR((VLOOKUP(A207,ExcessLevy!A:G,4,FALSE)*0.4738),0)+IFERROR((VLOOKUP(A207,ExcessLevy!A:G,7,FALSE)*0.5262),0)</f>
        <v>26066112</v>
      </c>
      <c r="R207">
        <f>VLOOKUP(A207,JanApport,MATCH($R$4,'Jan 2022 Apport'!$3:$3,0),FALSE)</f>
        <v>0</v>
      </c>
      <c r="S207">
        <f>VLOOKUP(A207,JanApport,MATCH($S$4,'Jan 2022 Apport'!$3:$3,0),FALSE)</f>
        <v>82.41</v>
      </c>
      <c r="T207">
        <f>VLOOKUP(A207,JanApport,MATCH($T$4,'Jan 2022 Apport'!$3:$3,0),FALSE)</f>
        <v>472.17</v>
      </c>
      <c r="U207" s="132">
        <f>IFERROR(VLOOKUP(A207,JanApport,MATCH($U$4,'Jan 2022 Apport'!$3:$3,0),FALSE)/R207,0)</f>
        <v>0</v>
      </c>
      <c r="V207" s="30">
        <f>IFERROR(((VLOOKUP(A207,JanApport,MATCH($V$4,'Jan 2022 Apport'!$3:$3,0),FALSE)+VLOOKUP(A207,JanApport,MATCH($V$3,'Jan 2022 Apport'!$3:$3,0),FALSE))/(S207+T207)),0)</f>
        <v>9868.3636806231752</v>
      </c>
      <c r="W207" s="30">
        <f t="shared" si="30"/>
        <v>8422.1132479746102</v>
      </c>
      <c r="X207">
        <f>VLOOKUP(A207,JanApport,MATCH($X$4,'Jan 2022 Apport'!$3:$3,0),FALSE)</f>
        <v>4.8578999999999997E-2</v>
      </c>
      <c r="Y207">
        <f>VLOOKUP(A207,JanApport,MATCH($Y$4,'Jan 2022 Apport'!$3:$3,0),FALSE)</f>
        <v>4.0270000000000002E-3</v>
      </c>
      <c r="Z207">
        <f>VLOOKUP(A207,JanApport,MATCH($Z$4,'Jan 2022 Apport'!$3:$3,0),FALSE)</f>
        <v>1.7100000000000001E-2</v>
      </c>
      <c r="AA207" s="77">
        <f>VLOOKUP(A207,JanApport,MATCH($AA$4,'Jan 2022 Apport'!$3:$3,0),FALSE)*VLOOKUP(A207,JanApport,MATCH($AA$3,'Jan 2022 Apport'!$3:$3,0),FALSE)</f>
        <v>75695.200000000012</v>
      </c>
      <c r="AB207" s="77">
        <f>VLOOKUP(A207,JanApport,MATCH($AB$4,'Jan 2022 Apport'!$3:$3,0),FALSE)*VLOOKUP(A207,JanApport,MATCH($AB$3,'Jan 2022 Apport'!$3:$3,0),FALSE)</f>
        <v>73073.22</v>
      </c>
      <c r="AC207" s="77">
        <f>VLOOKUP(A207,JanApport,MATCH($AC$4,'Jan 2022 Apport'!$3:$3,0),FALSE)</f>
        <v>100321</v>
      </c>
      <c r="AD207" s="77">
        <f>VLOOKUP(A207,JanApport,MATCH($AD$4,'Jan 2022 Apport'!$3:$3,0),FALSE)*VLOOKUP(A207,JanApport,MATCH($AD$3,'Jan 2022 Apport'!$3:$3,0),FALSE)</f>
        <v>108466.62000000001</v>
      </c>
      <c r="AE207" s="77">
        <f>VLOOKUP(A207,JanApport,MATCH($AE$4,'Jan 2022 Apport'!$3:$3,0),FALSE)</f>
        <v>48483</v>
      </c>
      <c r="AF207" s="77">
        <f>VLOOKUP(A207,JanApport,MATCH($AF$4,'Jan 2022 Apport'!$3:$3,0),FALSE)*VLOOKUP(A207,JanApport,MATCH($AF$3,'Jan 2022 Apport'!$3:$3,0),FALSE)</f>
        <v>52420.18</v>
      </c>
      <c r="AG207" s="77">
        <f t="shared" si="31"/>
        <v>101533.248934</v>
      </c>
      <c r="AH207" s="77">
        <f t="shared" si="32"/>
        <v>144895.57743400004</v>
      </c>
      <c r="AI207" s="77">
        <f t="shared" si="33"/>
        <v>80819.594016556002</v>
      </c>
      <c r="AJ207" s="3">
        <f>VLOOKUP(A207,JanApport,MATCH($AJ$4,'Jan 2022 Apport'!$3:$3,0),FALSE)</f>
        <v>10516814.34</v>
      </c>
      <c r="AK207" s="3">
        <f>VLOOKUP(A207,JanApport,MATCH($AK$4,'Jan 2022 Apport'!$3:$3,0),FALSE)</f>
        <v>161.08600000000001</v>
      </c>
      <c r="AL207" s="117">
        <f t="shared" si="34"/>
        <v>101955211.71999998</v>
      </c>
      <c r="AM207" s="117">
        <f>VLOOKUP(A207,JanApport,MATCH($AM$4,'Jan 2022 Apport'!$3:$3,0),FALSE)</f>
        <v>69176.69</v>
      </c>
      <c r="AN207" s="117">
        <f>VLOOKUP(A207,JanApport,MATCH($AN$4,'Jan 2022 Apport'!$3:$3,0),FALSE)</f>
        <v>668551.47</v>
      </c>
    </row>
    <row r="208" spans="1:40">
      <c r="A208" s="2" t="s">
        <v>1317</v>
      </c>
      <c r="B208" s="2" t="s">
        <v>1318</v>
      </c>
      <c r="C208" s="2" t="s">
        <v>1267</v>
      </c>
      <c r="D208" s="118">
        <f>VLOOKUP(A208,JanApport,MATCH($D$4,'Jan 2022 Apport'!$3:$3,FALSE),FALSE)</f>
        <v>1066813.81</v>
      </c>
      <c r="E208" s="30">
        <f>VLOOKUP(A208,JanApport,MATCH($E$2,'Jan 2022 Apport'!$3:$3,0),FALSE)+VLOOKUP(A208,JanApport,MATCH($E$3,'Jan 2022 Apport'!$3:$3,0),FALSE)+VLOOKUP(A208,JanApport,MATCH($E$4,'Jan 2022 Apport'!$3:$3,0),FALSE)</f>
        <v>0</v>
      </c>
      <c r="F208" s="118">
        <f t="shared" si="35"/>
        <v>1066813.81</v>
      </c>
      <c r="G208" s="117">
        <f>VLOOKUP(A208,JanApport,MATCH($G$4,'Jan 2022 Apport'!$3:$3,0),FALSE)</f>
        <v>0</v>
      </c>
      <c r="H208" s="117">
        <f>VLOOKUP(A208,JanApport,MATCH($H$3,'Jan 2022 Apport'!$3:$3,0),FALSE)+VLOOKUP(A208,JanApport,MATCH($H$2,'Jan 2022 Apport'!$3:$3,0),FALSE)+VLOOKUP(A208,JanApport,MATCH($H$4,'Jan 2022 Apport'!$3:$3,0),FALSE)</f>
        <v>129730.15</v>
      </c>
      <c r="I208" s="117">
        <f t="shared" si="36"/>
        <v>129730.15</v>
      </c>
      <c r="J208" s="117">
        <f>VLOOKUP(A208,JanApport,MATCH($J$4,'Jan 2022 Apport'!$3:$3,0),FALSE)</f>
        <v>0</v>
      </c>
      <c r="K208" s="117">
        <f>VLOOKUP(A208,JanApport,MATCH($K$4,'Jan 2022 Apport'!$3:$3,0),FALSE)</f>
        <v>0</v>
      </c>
      <c r="L208" s="117">
        <f t="shared" si="37"/>
        <v>0</v>
      </c>
      <c r="M208" s="117">
        <f>VLOOKUP(A208,JanApport,MATCH($M$4,'Jan 2022 Apport'!$3:$3,0),FALSE)</f>
        <v>45370.879999999997</v>
      </c>
      <c r="N208" s="117">
        <f>VLOOKUP(A208,JanApport,MATCH($N$4,'Jan 2022 Apport'!$3:$3,0),FALSE)</f>
        <v>11950.36</v>
      </c>
      <c r="O208" s="117">
        <f>VLOOKUP(A208,JanApport,MATCH($O$4,'Jan 2022 Apport'!$3:$3,0),FALSE)</f>
        <v>0</v>
      </c>
      <c r="P208" s="121">
        <f>IFERROR((VLOOKUP(A208,ExcessLevy!A:G,3,FALSE)*0.28),0)+IFERROR((VLOOKUP(A208,ExcessLevy!A:G,6,FALSE)*0.72),0)</f>
        <v>0</v>
      </c>
      <c r="Q208" s="121">
        <f>IFERROR((VLOOKUP(A208,ExcessLevy!A:G,4,FALSE)*0.4738),0)+IFERROR((VLOOKUP(A208,ExcessLevy!A:G,7,FALSE)*0.5262),0)</f>
        <v>0</v>
      </c>
      <c r="R208">
        <f>VLOOKUP(A208,JanApport,MATCH($R$4,'Jan 2022 Apport'!$3:$3,0),FALSE)</f>
        <v>0</v>
      </c>
      <c r="S208">
        <f>VLOOKUP(A208,JanApport,MATCH($S$4,'Jan 2022 Apport'!$3:$3,0),FALSE)</f>
        <v>0</v>
      </c>
      <c r="T208">
        <f>VLOOKUP(A208,JanApport,MATCH($T$4,'Jan 2022 Apport'!$3:$3,0),FALSE)</f>
        <v>0</v>
      </c>
      <c r="U208" s="132">
        <f>IFERROR(VLOOKUP(A208,JanApport,MATCH($U$4,'Jan 2022 Apport'!$3:$3,0),FALSE)/R208,0)</f>
        <v>0</v>
      </c>
      <c r="V208" s="30">
        <f>IFERROR(((VLOOKUP(A208,JanApport,MATCH($V$4,'Jan 2022 Apport'!$3:$3,0),FALSE)+VLOOKUP(A208,JanApport,MATCH($V$3,'Jan 2022 Apport'!$3:$3,0),FALSE))/(S208+T208)),0)</f>
        <v>0</v>
      </c>
      <c r="W208" s="30">
        <f t="shared" si="30"/>
        <v>8308.4432287102536</v>
      </c>
      <c r="X208">
        <f>VLOOKUP(A208,JanApport,MATCH($X$4,'Jan 2022 Apport'!$3:$3,0),FALSE)</f>
        <v>4.8578999999999997E-2</v>
      </c>
      <c r="Y208">
        <f>VLOOKUP(A208,JanApport,MATCH($Y$4,'Jan 2022 Apport'!$3:$3,0),FALSE)</f>
        <v>4.0270000000000002E-3</v>
      </c>
      <c r="Z208">
        <f>VLOOKUP(A208,JanApport,MATCH($Z$4,'Jan 2022 Apport'!$3:$3,0),FALSE)</f>
        <v>1.7100000000000001E-2</v>
      </c>
      <c r="AA208" s="77">
        <f>VLOOKUP(A208,JanApport,MATCH($AA$4,'Jan 2022 Apport'!$3:$3,0),FALSE)*VLOOKUP(A208,JanApport,MATCH($AA$3,'Jan 2022 Apport'!$3:$3,0),FALSE)</f>
        <v>70288.400000000009</v>
      </c>
      <c r="AB208" s="77">
        <f>VLOOKUP(A208,JanApport,MATCH($AB$4,'Jan 2022 Apport'!$3:$3,0),FALSE)*VLOOKUP(A208,JanApport,MATCH($AB$3,'Jan 2022 Apport'!$3:$3,0),FALSE)</f>
        <v>71694.48</v>
      </c>
      <c r="AC208" s="77">
        <f>VLOOKUP(A208,JanApport,MATCH($AC$4,'Jan 2022 Apport'!$3:$3,0),FALSE)</f>
        <v>100321</v>
      </c>
      <c r="AD208" s="77">
        <f>VLOOKUP(A208,JanApport,MATCH($AD$4,'Jan 2022 Apport'!$3:$3,0),FALSE)*VLOOKUP(A208,JanApport,MATCH($AD$3,'Jan 2022 Apport'!$3:$3,0),FALSE)</f>
        <v>106420.08</v>
      </c>
      <c r="AE208" s="77">
        <f>VLOOKUP(A208,JanApport,MATCH($AE$4,'Jan 2022 Apport'!$3:$3,0),FALSE)</f>
        <v>48483</v>
      </c>
      <c r="AF208" s="77">
        <f>VLOOKUP(A208,JanApport,MATCH($AF$4,'Jan 2022 Apport'!$3:$3,0),FALSE)*VLOOKUP(A208,JanApport,MATCH($AF$3,'Jan 2022 Apport'!$3:$3,0),FALSE)</f>
        <v>51431.12</v>
      </c>
      <c r="AG208" s="77">
        <f t="shared" si="31"/>
        <v>99815.617495999992</v>
      </c>
      <c r="AH208" s="77">
        <f t="shared" si="32"/>
        <v>142397.366056</v>
      </c>
      <c r="AI208" s="77">
        <f t="shared" si="33"/>
        <v>79640.125921903993</v>
      </c>
      <c r="AJ208" s="3">
        <f>VLOOKUP(A208,JanApport,MATCH($AJ$4,'Jan 2022 Apport'!$3:$3,0),FALSE)</f>
        <v>167009</v>
      </c>
      <c r="AK208" s="3">
        <f>VLOOKUP(A208,JanApport,MATCH($AK$4,'Jan 2022 Apport'!$3:$3,0),FALSE)</f>
        <v>0</v>
      </c>
      <c r="AL208" s="117">
        <f t="shared" si="34"/>
        <v>1253865.2</v>
      </c>
      <c r="AM208" s="117">
        <f>VLOOKUP(A208,JanApport,MATCH($AM$4,'Jan 2022 Apport'!$3:$3,0),FALSE)</f>
        <v>0</v>
      </c>
      <c r="AN208" s="117">
        <f>VLOOKUP(A208,JanApport,MATCH($AN$4,'Jan 2022 Apport'!$3:$3,0),FALSE)</f>
        <v>8801.33</v>
      </c>
    </row>
    <row r="209" spans="1:40">
      <c r="A209" s="2" t="s">
        <v>321</v>
      </c>
      <c r="B209" s="2" t="s">
        <v>322</v>
      </c>
      <c r="C209" s="2" t="s">
        <v>1267</v>
      </c>
      <c r="D209" s="118">
        <f>VLOOKUP(A209,JanApport,MATCH($D$4,'Jan 2022 Apport'!$3:$3,FALSE),FALSE)</f>
        <v>5888400.1799999997</v>
      </c>
      <c r="E209" s="30">
        <f>VLOOKUP(A209,JanApport,MATCH($E$2,'Jan 2022 Apport'!$3:$3,0),FALSE)+VLOOKUP(A209,JanApport,MATCH($E$3,'Jan 2022 Apport'!$3:$3,0),FALSE)+VLOOKUP(A209,JanApport,MATCH($E$4,'Jan 2022 Apport'!$3:$3,0),FALSE)</f>
        <v>0</v>
      </c>
      <c r="F209" s="118">
        <f t="shared" si="35"/>
        <v>5888400.1799999997</v>
      </c>
      <c r="G209" s="117">
        <f>VLOOKUP(A209,JanApport,MATCH($G$4,'Jan 2022 Apport'!$3:$3,0),FALSE)</f>
        <v>97824.98</v>
      </c>
      <c r="H209" s="117">
        <f>VLOOKUP(A209,JanApport,MATCH($H$3,'Jan 2022 Apport'!$3:$3,0),FALSE)+VLOOKUP(A209,JanApport,MATCH($H$2,'Jan 2022 Apport'!$3:$3,0),FALSE)+VLOOKUP(A209,JanApport,MATCH($H$4,'Jan 2022 Apport'!$3:$3,0),FALSE)</f>
        <v>794685.18</v>
      </c>
      <c r="I209" s="117">
        <f t="shared" si="36"/>
        <v>892510.16</v>
      </c>
      <c r="J209" s="117">
        <f>VLOOKUP(A209,JanApport,MATCH($J$4,'Jan 2022 Apport'!$3:$3,0),FALSE)</f>
        <v>636119.13</v>
      </c>
      <c r="K209" s="117">
        <f>VLOOKUP(A209,JanApport,MATCH($K$4,'Jan 2022 Apport'!$3:$3,0),FALSE)</f>
        <v>69870.97</v>
      </c>
      <c r="L209" s="117">
        <f t="shared" si="37"/>
        <v>705990.1</v>
      </c>
      <c r="M209" s="117">
        <f>VLOOKUP(A209,JanApport,MATCH($M$4,'Jan 2022 Apport'!$3:$3,0),FALSE)</f>
        <v>249478.7</v>
      </c>
      <c r="N209" s="117">
        <f>VLOOKUP(A209,JanApport,MATCH($N$4,'Jan 2022 Apport'!$3:$3,0),FALSE)</f>
        <v>50287.09</v>
      </c>
      <c r="O209" s="117">
        <f>VLOOKUP(A209,JanApport,MATCH($O$4,'Jan 2022 Apport'!$3:$3,0),FALSE)</f>
        <v>19469.12</v>
      </c>
      <c r="P209" s="121">
        <f>IFERROR((VLOOKUP(A209,ExcessLevy!A:G,3,FALSE)*0.28),0)+IFERROR((VLOOKUP(A209,ExcessLevy!A:G,6,FALSE)*0.72),0)</f>
        <v>0</v>
      </c>
      <c r="Q209" s="121">
        <f>IFERROR((VLOOKUP(A209,ExcessLevy!A:G,4,FALSE)*0.4738),0)+IFERROR((VLOOKUP(A209,ExcessLevy!A:G,7,FALSE)*0.5262),0)</f>
        <v>2686447.5298000001</v>
      </c>
      <c r="R209">
        <f>VLOOKUP(A209,JanApport,MATCH($R$4,'Jan 2022 Apport'!$3:$3,0),FALSE)</f>
        <v>0</v>
      </c>
      <c r="S209">
        <f>VLOOKUP(A209,JanApport,MATCH($S$4,'Jan 2022 Apport'!$3:$3,0),FALSE)</f>
        <v>0</v>
      </c>
      <c r="T209">
        <f>VLOOKUP(A209,JanApport,MATCH($T$4,'Jan 2022 Apport'!$3:$3,0),FALSE)</f>
        <v>0</v>
      </c>
      <c r="U209" s="132">
        <f>IFERROR(VLOOKUP(A209,JanApport,MATCH($U$4,'Jan 2022 Apport'!$3:$3,0),FALSE)/R209,0)</f>
        <v>0</v>
      </c>
      <c r="V209" s="30">
        <f>IFERROR(((VLOOKUP(A209,JanApport,MATCH($V$4,'Jan 2022 Apport'!$3:$3,0),FALSE)+VLOOKUP(A209,JanApport,MATCH($V$3,'Jan 2022 Apport'!$3:$3,0),FALSE))/(S209+T209)),0)</f>
        <v>0</v>
      </c>
      <c r="W209" s="30">
        <f t="shared" si="30"/>
        <v>8083.6246967786601</v>
      </c>
      <c r="X209">
        <f>VLOOKUP(A209,JanApport,MATCH($X$4,'Jan 2022 Apport'!$3:$3,0),FALSE)</f>
        <v>4.8578999999999997E-2</v>
      </c>
      <c r="Y209">
        <f>VLOOKUP(A209,JanApport,MATCH($Y$4,'Jan 2022 Apport'!$3:$3,0),FALSE)</f>
        <v>4.0270000000000002E-3</v>
      </c>
      <c r="Z209">
        <f>VLOOKUP(A209,JanApport,MATCH($Z$4,'Jan 2022 Apport'!$3:$3,0),FALSE)</f>
        <v>1.7100000000000001E-2</v>
      </c>
      <c r="AA209" s="77">
        <f>VLOOKUP(A209,JanApport,MATCH($AA$4,'Jan 2022 Apport'!$3:$3,0),FALSE)*VLOOKUP(A209,JanApport,MATCH($AA$3,'Jan 2022 Apport'!$3:$3,0),FALSE)</f>
        <v>67585</v>
      </c>
      <c r="AB209" s="77">
        <f>VLOOKUP(A209,JanApport,MATCH($AB$4,'Jan 2022 Apport'!$3:$3,0),FALSE)*VLOOKUP(A209,JanApport,MATCH($AB$3,'Jan 2022 Apport'!$3:$3,0),FALSE)</f>
        <v>68937</v>
      </c>
      <c r="AC209" s="77">
        <f>VLOOKUP(A209,JanApport,MATCH($AC$4,'Jan 2022 Apport'!$3:$3,0),FALSE)</f>
        <v>100321</v>
      </c>
      <c r="AD209" s="77">
        <f>VLOOKUP(A209,JanApport,MATCH($AD$4,'Jan 2022 Apport'!$3:$3,0),FALSE)*VLOOKUP(A209,JanApport,MATCH($AD$3,'Jan 2022 Apport'!$3:$3,0),FALSE)</f>
        <v>102327</v>
      </c>
      <c r="AE209" s="77">
        <f>VLOOKUP(A209,JanApport,MATCH($AE$4,'Jan 2022 Apport'!$3:$3,0),FALSE)</f>
        <v>48483</v>
      </c>
      <c r="AF209" s="77">
        <f>VLOOKUP(A209,JanApport,MATCH($AF$4,'Jan 2022 Apport'!$3:$3,0),FALSE)*VLOOKUP(A209,JanApport,MATCH($AF$3,'Jan 2022 Apport'!$3:$3,0),FALSE)</f>
        <v>49453</v>
      </c>
      <c r="AG209" s="77">
        <f t="shared" si="31"/>
        <v>96432.259900000005</v>
      </c>
      <c r="AH209" s="77">
        <f t="shared" si="32"/>
        <v>137400.94330000001</v>
      </c>
      <c r="AI209" s="77">
        <f t="shared" si="33"/>
        <v>77281.189732599989</v>
      </c>
      <c r="AJ209" s="3">
        <f>VLOOKUP(A209,JanApport,MATCH($AJ$4,'Jan 2022 Apport'!$3:$3,0),FALSE)</f>
        <v>870829.9</v>
      </c>
      <c r="AK209" s="3">
        <f>VLOOKUP(A209,JanApport,MATCH($AK$4,'Jan 2022 Apport'!$3:$3,0),FALSE)</f>
        <v>17.634</v>
      </c>
      <c r="AL209" s="117">
        <f t="shared" si="34"/>
        <v>7921563.46</v>
      </c>
      <c r="AM209" s="117">
        <f>VLOOKUP(A209,JanApport,MATCH($AM$4,'Jan 2022 Apport'!$3:$3,0),FALSE)</f>
        <v>185299.08</v>
      </c>
      <c r="AN209" s="117">
        <f>VLOOKUP(A209,JanApport,MATCH($AN$4,'Jan 2022 Apport'!$3:$3,0),FALSE)</f>
        <v>48852.69</v>
      </c>
    </row>
    <row r="210" spans="1:40">
      <c r="A210" s="2" t="s">
        <v>119</v>
      </c>
      <c r="B210" s="2" t="s">
        <v>120</v>
      </c>
      <c r="C210" s="2" t="s">
        <v>1267</v>
      </c>
      <c r="D210" s="118">
        <f>VLOOKUP(A210,JanApport,MATCH($D$4,'Jan 2022 Apport'!$3:$3,FALSE),FALSE)</f>
        <v>4016255.59</v>
      </c>
      <c r="E210" s="30">
        <f>VLOOKUP(A210,JanApport,MATCH($E$2,'Jan 2022 Apport'!$3:$3,0),FALSE)+VLOOKUP(A210,JanApport,MATCH($E$3,'Jan 2022 Apport'!$3:$3,0),FALSE)+VLOOKUP(A210,JanApport,MATCH($E$4,'Jan 2022 Apport'!$3:$3,0),FALSE)</f>
        <v>478009.78</v>
      </c>
      <c r="F210" s="118">
        <f t="shared" si="35"/>
        <v>3538245.8099999996</v>
      </c>
      <c r="G210" s="117">
        <f>VLOOKUP(A210,JanApport,MATCH($G$4,'Jan 2022 Apport'!$3:$3,0),FALSE)</f>
        <v>51664.79</v>
      </c>
      <c r="H210" s="117">
        <f>VLOOKUP(A210,JanApport,MATCH($H$3,'Jan 2022 Apport'!$3:$3,0),FALSE)+VLOOKUP(A210,JanApport,MATCH($H$2,'Jan 2022 Apport'!$3:$3,0),FALSE)+VLOOKUP(A210,JanApport,MATCH($H$4,'Jan 2022 Apport'!$3:$3,0),FALSE)</f>
        <v>429910.93</v>
      </c>
      <c r="I210" s="117">
        <f t="shared" si="36"/>
        <v>481575.72</v>
      </c>
      <c r="J210" s="117">
        <f>VLOOKUP(A210,JanApport,MATCH($J$4,'Jan 2022 Apport'!$3:$3,0),FALSE)</f>
        <v>298784.40000000002</v>
      </c>
      <c r="K210" s="117">
        <f>VLOOKUP(A210,JanApport,MATCH($K$4,'Jan 2022 Apport'!$3:$3,0),FALSE)</f>
        <v>46824.54</v>
      </c>
      <c r="L210" s="117">
        <f t="shared" si="37"/>
        <v>345608.94</v>
      </c>
      <c r="M210" s="117">
        <f>VLOOKUP(A210,JanApport,MATCH($M$4,'Jan 2022 Apport'!$3:$3,0),FALSE)</f>
        <v>99231.79</v>
      </c>
      <c r="N210" s="117">
        <f>VLOOKUP(A210,JanApport,MATCH($N$4,'Jan 2022 Apport'!$3:$3,0),FALSE)</f>
        <v>5164.1000000000004</v>
      </c>
      <c r="O210" s="117">
        <f>VLOOKUP(A210,JanApport,MATCH($O$4,'Jan 2022 Apport'!$3:$3,0),FALSE)</f>
        <v>0</v>
      </c>
      <c r="P210" s="121">
        <f>IFERROR((VLOOKUP(A210,ExcessLevy!A:G,3,FALSE)*0.28),0)+IFERROR((VLOOKUP(A210,ExcessLevy!A:G,6,FALSE)*0.72),0)</f>
        <v>0</v>
      </c>
      <c r="Q210" s="121">
        <f>IFERROR((VLOOKUP(A210,ExcessLevy!A:G,4,FALSE)*0.4738),0)+IFERROR((VLOOKUP(A210,ExcessLevy!A:G,7,FALSE)*0.5262),0)</f>
        <v>819541.42760000005</v>
      </c>
      <c r="R210">
        <f>VLOOKUP(A210,JanApport,MATCH($R$4,'Jan 2022 Apport'!$3:$3,0),FALSE)</f>
        <v>0</v>
      </c>
      <c r="S210">
        <f>VLOOKUP(A210,JanApport,MATCH($S$4,'Jan 2022 Apport'!$3:$3,0),FALSE)</f>
        <v>13.18</v>
      </c>
      <c r="T210">
        <f>VLOOKUP(A210,JanApport,MATCH($T$4,'Jan 2022 Apport'!$3:$3,0),FALSE)</f>
        <v>39.29</v>
      </c>
      <c r="U210" s="132">
        <f>IFERROR(VLOOKUP(A210,JanApport,MATCH($U$4,'Jan 2022 Apport'!$3:$3,0),FALSE)/R210,0)</f>
        <v>0</v>
      </c>
      <c r="V210" s="30">
        <f>IFERROR(((VLOOKUP(A210,JanApport,MATCH($V$4,'Jan 2022 Apport'!$3:$3,0),FALSE)+VLOOKUP(A210,JanApport,MATCH($V$3,'Jan 2022 Apport'!$3:$3,0),FALSE))/(S210+T210)),0)</f>
        <v>9110.1539927577669</v>
      </c>
      <c r="W210" s="30">
        <f t="shared" si="30"/>
        <v>2452.5713248960005</v>
      </c>
      <c r="X210">
        <f>VLOOKUP(A210,JanApport,MATCH($X$4,'Jan 2022 Apport'!$3:$3,0),FALSE)</f>
        <v>4.8578999999999997E-2</v>
      </c>
      <c r="Y210">
        <f>VLOOKUP(A210,JanApport,MATCH($Y$4,'Jan 2022 Apport'!$3:$3,0),FALSE)</f>
        <v>4.0270000000000002E-3</v>
      </c>
      <c r="Z210">
        <f>VLOOKUP(A210,JanApport,MATCH($Z$4,'Jan 2022 Apport'!$3:$3,0),FALSE)</f>
        <v>1.7100000000000001E-2</v>
      </c>
      <c r="AA210" s="77">
        <f>VLOOKUP(A210,JanApport,MATCH($AA$4,'Jan 2022 Apport'!$3:$3,0),FALSE)*VLOOKUP(A210,JanApport,MATCH($AA$3,'Jan 2022 Apport'!$3:$3,0),FALSE)</f>
        <v>67585</v>
      </c>
      <c r="AB210" s="77">
        <f>VLOOKUP(A210,JanApport,MATCH($AB$4,'Jan 2022 Apport'!$3:$3,0),FALSE)*VLOOKUP(A210,JanApport,MATCH($AB$3,'Jan 2022 Apport'!$3:$3,0),FALSE)</f>
        <v>0</v>
      </c>
      <c r="AC210" s="77">
        <f>VLOOKUP(A210,JanApport,MATCH($AC$4,'Jan 2022 Apport'!$3:$3,0),FALSE)</f>
        <v>0</v>
      </c>
      <c r="AD210" s="77">
        <f>VLOOKUP(A210,JanApport,MATCH($AD$4,'Jan 2022 Apport'!$3:$3,0),FALSE)*VLOOKUP(A210,JanApport,MATCH($AD$3,'Jan 2022 Apport'!$3:$3,0),FALSE)</f>
        <v>0</v>
      </c>
      <c r="AE210" s="77">
        <f>VLOOKUP(A210,JanApport,MATCH($AE$4,'Jan 2022 Apport'!$3:$3,0),FALSE)</f>
        <v>0</v>
      </c>
      <c r="AF210" s="77">
        <f>VLOOKUP(A210,JanApport,MATCH($AF$4,'Jan 2022 Apport'!$3:$3,0),FALSE)*VLOOKUP(A210,JanApport,MATCH($AF$3,'Jan 2022 Apport'!$3:$3,0),FALSE)</f>
        <v>0</v>
      </c>
      <c r="AG210" s="77">
        <f t="shared" si="31"/>
        <v>12280.864000000009</v>
      </c>
      <c r="AH210" s="77">
        <f t="shared" si="32"/>
        <v>11848.32</v>
      </c>
      <c r="AI210" s="77">
        <f t="shared" si="33"/>
        <v>16610.88</v>
      </c>
      <c r="AJ210" s="3">
        <f>VLOOKUP(A210,JanApport,MATCH($AJ$4,'Jan 2022 Apport'!$3:$3,0),FALSE)</f>
        <v>486385.79</v>
      </c>
      <c r="AK210" s="3">
        <f>VLOOKUP(A210,JanApport,MATCH($AK$4,'Jan 2022 Apport'!$3:$3,0),FALSE)</f>
        <v>8.6560000000000006</v>
      </c>
      <c r="AL210" s="117">
        <f t="shared" si="34"/>
        <v>4950931.2699999996</v>
      </c>
      <c r="AM210" s="117">
        <f>VLOOKUP(A210,JanApport,MATCH($AM$4,'Jan 2022 Apport'!$3:$3,0),FALSE)</f>
        <v>49919.67</v>
      </c>
      <c r="AN210" s="117">
        <f>VLOOKUP(A210,JanApport,MATCH($AN$4,'Jan 2022 Apport'!$3:$3,0),FALSE)</f>
        <v>32652.76</v>
      </c>
    </row>
    <row r="211" spans="1:40">
      <c r="A211" s="2" t="s">
        <v>43</v>
      </c>
      <c r="B211" s="2" t="s">
        <v>44</v>
      </c>
      <c r="C211" s="2" t="s">
        <v>1267</v>
      </c>
      <c r="D211" s="118">
        <f>VLOOKUP(A211,JanApport,MATCH($D$4,'Jan 2022 Apport'!$3:$3,FALSE),FALSE)</f>
        <v>31532631.149999999</v>
      </c>
      <c r="E211" s="30">
        <f>VLOOKUP(A211,JanApport,MATCH($E$2,'Jan 2022 Apport'!$3:$3,0),FALSE)+VLOOKUP(A211,JanApport,MATCH($E$3,'Jan 2022 Apport'!$3:$3,0),FALSE)+VLOOKUP(A211,JanApport,MATCH($E$4,'Jan 2022 Apport'!$3:$3,0),FALSE)</f>
        <v>2768569.09</v>
      </c>
      <c r="F211" s="118">
        <f t="shared" si="35"/>
        <v>28764062.059999999</v>
      </c>
      <c r="G211" s="117">
        <f>VLOOKUP(A211,JanApport,MATCH($G$4,'Jan 2022 Apport'!$3:$3,0),FALSE)</f>
        <v>217081.73</v>
      </c>
      <c r="H211" s="117">
        <f>VLOOKUP(A211,JanApport,MATCH($H$3,'Jan 2022 Apport'!$3:$3,0),FALSE)+VLOOKUP(A211,JanApport,MATCH($H$2,'Jan 2022 Apport'!$3:$3,0),FALSE)+VLOOKUP(A211,JanApport,MATCH($H$4,'Jan 2022 Apport'!$3:$3,0),FALSE)</f>
        <v>4197690.1500000004</v>
      </c>
      <c r="I211" s="117">
        <f t="shared" si="36"/>
        <v>4414771.8800000008</v>
      </c>
      <c r="J211" s="117">
        <f>VLOOKUP(A211,JanApport,MATCH($J$4,'Jan 2022 Apport'!$3:$3,0),FALSE)</f>
        <v>1685517.49</v>
      </c>
      <c r="K211" s="117">
        <f>VLOOKUP(A211,JanApport,MATCH($K$4,'Jan 2022 Apport'!$3:$3,0),FALSE)</f>
        <v>229007.15</v>
      </c>
      <c r="L211" s="117">
        <f t="shared" si="37"/>
        <v>1914524.64</v>
      </c>
      <c r="M211" s="117">
        <f>VLOOKUP(A211,JanApport,MATCH($M$4,'Jan 2022 Apport'!$3:$3,0),FALSE)</f>
        <v>1092647.78</v>
      </c>
      <c r="N211" s="117">
        <f>VLOOKUP(A211,JanApport,MATCH($N$4,'Jan 2022 Apport'!$3:$3,0),FALSE)</f>
        <v>85576.74</v>
      </c>
      <c r="O211" s="117">
        <f>VLOOKUP(A211,JanApport,MATCH($O$4,'Jan 2022 Apport'!$3:$3,0),FALSE)</f>
        <v>101881.89</v>
      </c>
      <c r="P211" s="121">
        <f>IFERROR((VLOOKUP(A211,ExcessLevy!A:G,3,FALSE)*0.28),0)+IFERROR((VLOOKUP(A211,ExcessLevy!A:G,6,FALSE)*0.72),0)</f>
        <v>11653.132400000002</v>
      </c>
      <c r="Q211" s="121">
        <f>IFERROR((VLOOKUP(A211,ExcessLevy!A:G,4,FALSE)*0.4738),0)+IFERROR((VLOOKUP(A211,ExcessLevy!A:G,7,FALSE)*0.5262),0)</f>
        <v>5759353.6277999999</v>
      </c>
      <c r="R211">
        <f>VLOOKUP(A211,JanApport,MATCH($R$4,'Jan 2022 Apport'!$3:$3,0),FALSE)</f>
        <v>0</v>
      </c>
      <c r="S211">
        <f>VLOOKUP(A211,JanApport,MATCH($S$4,'Jan 2022 Apport'!$3:$3,0),FALSE)</f>
        <v>72.28</v>
      </c>
      <c r="T211">
        <f>VLOOKUP(A211,JanApport,MATCH($T$4,'Jan 2022 Apport'!$3:$3,0),FALSE)</f>
        <v>229.55</v>
      </c>
      <c r="U211" s="132">
        <f>IFERROR(VLOOKUP(A211,JanApport,MATCH($U$4,'Jan 2022 Apport'!$3:$3,0),FALSE)/R211,0)</f>
        <v>0</v>
      </c>
      <c r="V211" s="30">
        <f>IFERROR(((VLOOKUP(A211,JanApport,MATCH($V$4,'Jan 2022 Apport'!$3:$3,0),FALSE)+VLOOKUP(A211,JanApport,MATCH($V$3,'Jan 2022 Apport'!$3:$3,0),FALSE))/(S211+T211)),0)</f>
        <v>9172.6107080144429</v>
      </c>
      <c r="W211" s="30">
        <f t="shared" si="30"/>
        <v>8308.4432287102536</v>
      </c>
      <c r="X211">
        <f>VLOOKUP(A211,JanApport,MATCH($X$4,'Jan 2022 Apport'!$3:$3,0),FALSE)</f>
        <v>4.8578999999999997E-2</v>
      </c>
      <c r="Y211">
        <f>VLOOKUP(A211,JanApport,MATCH($Y$4,'Jan 2022 Apport'!$3:$3,0),FALSE)</f>
        <v>4.0270000000000002E-3</v>
      </c>
      <c r="Z211">
        <f>VLOOKUP(A211,JanApport,MATCH($Z$4,'Jan 2022 Apport'!$3:$3,0),FALSE)</f>
        <v>1.7100000000000001E-2</v>
      </c>
      <c r="AA211" s="77">
        <f>VLOOKUP(A211,JanApport,MATCH($AA$4,'Jan 2022 Apport'!$3:$3,0),FALSE)*VLOOKUP(A211,JanApport,MATCH($AA$3,'Jan 2022 Apport'!$3:$3,0),FALSE)</f>
        <v>70288.400000000009</v>
      </c>
      <c r="AB211" s="77">
        <f>VLOOKUP(A211,JanApport,MATCH($AB$4,'Jan 2022 Apport'!$3:$3,0),FALSE)*VLOOKUP(A211,JanApport,MATCH($AB$3,'Jan 2022 Apport'!$3:$3,0),FALSE)</f>
        <v>71694.48</v>
      </c>
      <c r="AC211" s="77">
        <f>VLOOKUP(A211,JanApport,MATCH($AC$4,'Jan 2022 Apport'!$3:$3,0),FALSE)</f>
        <v>100321</v>
      </c>
      <c r="AD211" s="77">
        <f>VLOOKUP(A211,JanApport,MATCH($AD$4,'Jan 2022 Apport'!$3:$3,0),FALSE)*VLOOKUP(A211,JanApport,MATCH($AD$3,'Jan 2022 Apport'!$3:$3,0),FALSE)</f>
        <v>106420.08</v>
      </c>
      <c r="AE211" s="77">
        <f>VLOOKUP(A211,JanApport,MATCH($AE$4,'Jan 2022 Apport'!$3:$3,0),FALSE)</f>
        <v>48483</v>
      </c>
      <c r="AF211" s="77">
        <f>VLOOKUP(A211,JanApport,MATCH($AF$4,'Jan 2022 Apport'!$3:$3,0),FALSE)*VLOOKUP(A211,JanApport,MATCH($AF$3,'Jan 2022 Apport'!$3:$3,0),FALSE)</f>
        <v>51431.12</v>
      </c>
      <c r="AG211" s="77">
        <f t="shared" si="31"/>
        <v>99815.617495999992</v>
      </c>
      <c r="AH211" s="77">
        <f t="shared" si="32"/>
        <v>142397.366056</v>
      </c>
      <c r="AI211" s="77">
        <f t="shared" si="33"/>
        <v>79640.125921903993</v>
      </c>
      <c r="AJ211" s="3">
        <f>VLOOKUP(A211,JanApport,MATCH($AJ$4,'Jan 2022 Apport'!$3:$3,0),FALSE)</f>
        <v>3816876.46</v>
      </c>
      <c r="AK211" s="3">
        <f>VLOOKUP(A211,JanApport,MATCH($AK$4,'Jan 2022 Apport'!$3:$3,0),FALSE)</f>
        <v>65.894999999999996</v>
      </c>
      <c r="AL211" s="117">
        <f t="shared" si="34"/>
        <v>39437019.859999999</v>
      </c>
      <c r="AM211" s="117">
        <f>VLOOKUP(A211,JanApport,MATCH($AM$4,'Jan 2022 Apport'!$3:$3,0),FALSE)</f>
        <v>523992.93</v>
      </c>
      <c r="AN211" s="117">
        <f>VLOOKUP(A211,JanApport,MATCH($AN$4,'Jan 2022 Apport'!$3:$3,0),FALSE)</f>
        <v>221716.72</v>
      </c>
    </row>
    <row r="212" spans="1:40">
      <c r="A212" s="2" t="s">
        <v>181</v>
      </c>
      <c r="B212" s="2" t="s">
        <v>182</v>
      </c>
      <c r="C212" s="2" t="s">
        <v>1267</v>
      </c>
      <c r="D212" s="118">
        <f>VLOOKUP(A212,JanApport,MATCH($D$4,'Jan 2022 Apport'!$3:$3,FALSE),FALSE)</f>
        <v>10767017.49</v>
      </c>
      <c r="E212" s="30">
        <f>VLOOKUP(A212,JanApport,MATCH($E$2,'Jan 2022 Apport'!$3:$3,0),FALSE)+VLOOKUP(A212,JanApport,MATCH($E$3,'Jan 2022 Apport'!$3:$3,0),FALSE)+VLOOKUP(A212,JanApport,MATCH($E$4,'Jan 2022 Apport'!$3:$3,0),FALSE)</f>
        <v>521775.75</v>
      </c>
      <c r="F212" s="118">
        <f t="shared" si="35"/>
        <v>10245241.74</v>
      </c>
      <c r="G212" s="117">
        <f>VLOOKUP(A212,JanApport,MATCH($G$4,'Jan 2022 Apport'!$3:$3,0),FALSE)</f>
        <v>125292.82</v>
      </c>
      <c r="H212" s="117">
        <f>VLOOKUP(A212,JanApport,MATCH($H$3,'Jan 2022 Apport'!$3:$3,0),FALSE)+VLOOKUP(A212,JanApport,MATCH($H$2,'Jan 2022 Apport'!$3:$3,0),FALSE)+VLOOKUP(A212,JanApport,MATCH($H$4,'Jan 2022 Apport'!$3:$3,0),FALSE)</f>
        <v>1289153.67</v>
      </c>
      <c r="I212" s="117">
        <f t="shared" si="36"/>
        <v>1414446.49</v>
      </c>
      <c r="J212" s="117">
        <f>VLOOKUP(A212,JanApport,MATCH($J$4,'Jan 2022 Apport'!$3:$3,0),FALSE)</f>
        <v>610122.44999999995</v>
      </c>
      <c r="K212" s="117">
        <f>VLOOKUP(A212,JanApport,MATCH($K$4,'Jan 2022 Apport'!$3:$3,0),FALSE)</f>
        <v>90316.89</v>
      </c>
      <c r="L212" s="117">
        <f t="shared" si="37"/>
        <v>700439.34</v>
      </c>
      <c r="M212" s="117">
        <f>VLOOKUP(A212,JanApport,MATCH($M$4,'Jan 2022 Apport'!$3:$3,0),FALSE)</f>
        <v>348619.24</v>
      </c>
      <c r="N212" s="117">
        <f>VLOOKUP(A212,JanApport,MATCH($N$4,'Jan 2022 Apport'!$3:$3,0),FALSE)</f>
        <v>59167.37</v>
      </c>
      <c r="O212" s="117">
        <f>VLOOKUP(A212,JanApport,MATCH($O$4,'Jan 2022 Apport'!$3:$3,0),FALSE)</f>
        <v>36075.07</v>
      </c>
      <c r="P212" s="121">
        <f>IFERROR((VLOOKUP(A212,ExcessLevy!A:G,3,FALSE)*0.28),0)+IFERROR((VLOOKUP(A212,ExcessLevy!A:G,6,FALSE)*0.72),0)</f>
        <v>0</v>
      </c>
      <c r="Q212" s="121">
        <f>IFERROR((VLOOKUP(A212,ExcessLevy!A:G,4,FALSE)*0.4738),0)+IFERROR((VLOOKUP(A212,ExcessLevy!A:G,7,FALSE)*0.5262),0)</f>
        <v>3164831.2289300002</v>
      </c>
      <c r="R212">
        <f>VLOOKUP(A212,JanApport,MATCH($R$4,'Jan 2022 Apport'!$3:$3,0),FALSE)</f>
        <v>0</v>
      </c>
      <c r="S212">
        <f>VLOOKUP(A212,JanApport,MATCH($S$4,'Jan 2022 Apport'!$3:$3,0),FALSE)</f>
        <v>0</v>
      </c>
      <c r="T212">
        <f>VLOOKUP(A212,JanApport,MATCH($T$4,'Jan 2022 Apport'!$3:$3,0),FALSE)</f>
        <v>54.97</v>
      </c>
      <c r="U212" s="132">
        <f>IFERROR(VLOOKUP(A212,JanApport,MATCH($U$4,'Jan 2022 Apport'!$3:$3,0),FALSE)/R212,0)</f>
        <v>0</v>
      </c>
      <c r="V212" s="30">
        <f>IFERROR(((VLOOKUP(A212,JanApport,MATCH($V$4,'Jan 2022 Apport'!$3:$3,0),FALSE)+VLOOKUP(A212,JanApport,MATCH($V$3,'Jan 2022 Apport'!$3:$3,0),FALSE))/(S212+T212)),0)</f>
        <v>9492.0092777878854</v>
      </c>
      <c r="W212" s="30">
        <f t="shared" si="30"/>
        <v>8420.8524946760499</v>
      </c>
      <c r="X212">
        <f>VLOOKUP(A212,JanApport,MATCH($X$4,'Jan 2022 Apport'!$3:$3,0),FALSE)</f>
        <v>4.8578999999999997E-2</v>
      </c>
      <c r="Y212">
        <f>VLOOKUP(A212,JanApport,MATCH($Y$4,'Jan 2022 Apport'!$3:$3,0),FALSE)</f>
        <v>4.0270000000000002E-3</v>
      </c>
      <c r="Z212">
        <f>VLOOKUP(A212,JanApport,MATCH($Z$4,'Jan 2022 Apport'!$3:$3,0),FALSE)</f>
        <v>1.7100000000000001E-2</v>
      </c>
      <c r="AA212" s="77">
        <f>VLOOKUP(A212,JanApport,MATCH($AA$4,'Jan 2022 Apport'!$3:$3,0),FALSE)*VLOOKUP(A212,JanApport,MATCH($AA$3,'Jan 2022 Apport'!$3:$3,0),FALSE)</f>
        <v>71640.100000000006</v>
      </c>
      <c r="AB212" s="77">
        <f>VLOOKUP(A212,JanApport,MATCH($AB$4,'Jan 2022 Apport'!$3:$3,0),FALSE)*VLOOKUP(A212,JanApport,MATCH($AB$3,'Jan 2022 Apport'!$3:$3,0),FALSE)</f>
        <v>73073.22</v>
      </c>
      <c r="AC212" s="77">
        <f>VLOOKUP(A212,JanApport,MATCH($AC$4,'Jan 2022 Apport'!$3:$3,0),FALSE)</f>
        <v>100321</v>
      </c>
      <c r="AD212" s="77">
        <f>VLOOKUP(A212,JanApport,MATCH($AD$4,'Jan 2022 Apport'!$3:$3,0),FALSE)*VLOOKUP(A212,JanApport,MATCH($AD$3,'Jan 2022 Apport'!$3:$3,0),FALSE)</f>
        <v>108466.62000000001</v>
      </c>
      <c r="AE212" s="77">
        <f>VLOOKUP(A212,JanApport,MATCH($AE$4,'Jan 2022 Apport'!$3:$3,0),FALSE)</f>
        <v>48483</v>
      </c>
      <c r="AF212" s="77">
        <f>VLOOKUP(A212,JanApport,MATCH($AF$4,'Jan 2022 Apport'!$3:$3,0),FALSE)*VLOOKUP(A212,JanApport,MATCH($AF$3,'Jan 2022 Apport'!$3:$3,0),FALSE)</f>
        <v>52420.18</v>
      </c>
      <c r="AG212" s="77">
        <f t="shared" si="31"/>
        <v>101507.296294</v>
      </c>
      <c r="AH212" s="77">
        <f t="shared" si="32"/>
        <v>144895.57743400004</v>
      </c>
      <c r="AI212" s="77">
        <f t="shared" si="33"/>
        <v>80819.594016556002</v>
      </c>
      <c r="AJ212" s="3">
        <f>VLOOKUP(A212,JanApport,MATCH($AJ$4,'Jan 2022 Apport'!$3:$3,0),FALSE)</f>
        <v>1348919.5</v>
      </c>
      <c r="AK212" s="3">
        <f>VLOOKUP(A212,JanApport,MATCH($AK$4,'Jan 2022 Apport'!$3:$3,0),FALSE)</f>
        <v>18.225000000000001</v>
      </c>
      <c r="AL212" s="117">
        <f t="shared" si="34"/>
        <v>13462433.709999999</v>
      </c>
      <c r="AM212" s="117">
        <f>VLOOKUP(A212,JanApport,MATCH($AM$4,'Jan 2022 Apport'!$3:$3,0),FALSE)</f>
        <v>226985.60000000001</v>
      </c>
      <c r="AN212" s="117">
        <f>VLOOKUP(A212,JanApport,MATCH($AN$4,'Jan 2022 Apport'!$3:$3,0),FALSE)</f>
        <v>79767.67</v>
      </c>
    </row>
    <row r="213" spans="1:40">
      <c r="A213" s="2" t="s">
        <v>537</v>
      </c>
      <c r="B213" s="2" t="s">
        <v>538</v>
      </c>
      <c r="C213" s="2" t="s">
        <v>1267</v>
      </c>
      <c r="D213" s="118">
        <f>VLOOKUP(A213,JanApport,MATCH($D$4,'Jan 2022 Apport'!$3:$3,FALSE),FALSE)</f>
        <v>3014862.4</v>
      </c>
      <c r="E213" s="30">
        <f>VLOOKUP(A213,JanApport,MATCH($E$2,'Jan 2022 Apport'!$3:$3,0),FALSE)+VLOOKUP(A213,JanApport,MATCH($E$3,'Jan 2022 Apport'!$3:$3,0),FALSE)+VLOOKUP(A213,JanApport,MATCH($E$4,'Jan 2022 Apport'!$3:$3,0),FALSE)</f>
        <v>46726.42</v>
      </c>
      <c r="F213" s="118">
        <f t="shared" si="35"/>
        <v>2968135.98</v>
      </c>
      <c r="G213" s="117">
        <f>VLOOKUP(A213,JanApport,MATCH($G$4,'Jan 2022 Apport'!$3:$3,0),FALSE)</f>
        <v>0</v>
      </c>
      <c r="H213" s="117">
        <f>VLOOKUP(A213,JanApport,MATCH($H$3,'Jan 2022 Apport'!$3:$3,0),FALSE)+VLOOKUP(A213,JanApport,MATCH($H$2,'Jan 2022 Apport'!$3:$3,0),FALSE)+VLOOKUP(A213,JanApport,MATCH($H$4,'Jan 2022 Apport'!$3:$3,0),FALSE)</f>
        <v>293498.05</v>
      </c>
      <c r="I213" s="117">
        <f t="shared" si="36"/>
        <v>293498.05</v>
      </c>
      <c r="J213" s="117">
        <f>VLOOKUP(A213,JanApport,MATCH($J$4,'Jan 2022 Apport'!$3:$3,0),FALSE)</f>
        <v>323129.2</v>
      </c>
      <c r="K213" s="117">
        <f>VLOOKUP(A213,JanApport,MATCH($K$4,'Jan 2022 Apport'!$3:$3,0),FALSE)</f>
        <v>82791.42</v>
      </c>
      <c r="L213" s="117">
        <f t="shared" si="37"/>
        <v>405920.62</v>
      </c>
      <c r="M213" s="117">
        <f>VLOOKUP(A213,JanApport,MATCH($M$4,'Jan 2022 Apport'!$3:$3,0),FALSE)</f>
        <v>126598.21</v>
      </c>
      <c r="N213" s="117">
        <f>VLOOKUP(A213,JanApport,MATCH($N$4,'Jan 2022 Apport'!$3:$3,0),FALSE)</f>
        <v>0</v>
      </c>
      <c r="O213" s="117">
        <f>VLOOKUP(A213,JanApport,MATCH($O$4,'Jan 2022 Apport'!$3:$3,0),FALSE)</f>
        <v>0</v>
      </c>
      <c r="P213" s="121">
        <f>IFERROR((VLOOKUP(A213,ExcessLevy!A:G,3,FALSE)*0.28),0)+IFERROR((VLOOKUP(A213,ExcessLevy!A:G,6,FALSE)*0.72),0)</f>
        <v>0</v>
      </c>
      <c r="Q213" s="121">
        <f>IFERROR((VLOOKUP(A213,ExcessLevy!A:G,4,FALSE)*0.4738),0)+IFERROR((VLOOKUP(A213,ExcessLevy!A:G,7,FALSE)*0.5262),0)</f>
        <v>653706.9656</v>
      </c>
      <c r="R213">
        <f>VLOOKUP(A213,JanApport,MATCH($R$4,'Jan 2022 Apport'!$3:$3,0),FALSE)</f>
        <v>0</v>
      </c>
      <c r="S213">
        <f>VLOOKUP(A213,JanApport,MATCH($S$4,'Jan 2022 Apport'!$3:$3,0),FALSE)</f>
        <v>0</v>
      </c>
      <c r="T213">
        <f>VLOOKUP(A213,JanApport,MATCH($T$4,'Jan 2022 Apport'!$3:$3,0),FALSE)</f>
        <v>5.24</v>
      </c>
      <c r="U213" s="132">
        <f>IFERROR(VLOOKUP(A213,JanApport,MATCH($U$4,'Jan 2022 Apport'!$3:$3,0),FALSE)/R213,0)</f>
        <v>0</v>
      </c>
      <c r="V213" s="30">
        <f>IFERROR(((VLOOKUP(A213,JanApport,MATCH($V$4,'Jan 2022 Apport'!$3:$3,0),FALSE)+VLOOKUP(A213,JanApport,MATCH($V$3,'Jan 2022 Apport'!$3:$3,0),FALSE))/(S213+T213)),0)</f>
        <v>8917.2557251908383</v>
      </c>
      <c r="W213" s="30">
        <f t="shared" si="30"/>
        <v>8083.6246967786601</v>
      </c>
      <c r="X213">
        <f>VLOOKUP(A213,JanApport,MATCH($X$4,'Jan 2022 Apport'!$3:$3,0),FALSE)</f>
        <v>4.8578999999999997E-2</v>
      </c>
      <c r="Y213">
        <f>VLOOKUP(A213,JanApport,MATCH($Y$4,'Jan 2022 Apport'!$3:$3,0),FALSE)</f>
        <v>4.0270000000000002E-3</v>
      </c>
      <c r="Z213">
        <f>VLOOKUP(A213,JanApport,MATCH($Z$4,'Jan 2022 Apport'!$3:$3,0),FALSE)</f>
        <v>1.7100000000000001E-2</v>
      </c>
      <c r="AA213" s="77">
        <f>VLOOKUP(A213,JanApport,MATCH($AA$4,'Jan 2022 Apport'!$3:$3,0),FALSE)*VLOOKUP(A213,JanApport,MATCH($AA$3,'Jan 2022 Apport'!$3:$3,0),FALSE)</f>
        <v>67585</v>
      </c>
      <c r="AB213" s="77">
        <f>VLOOKUP(A213,JanApport,MATCH($AB$4,'Jan 2022 Apport'!$3:$3,0),FALSE)*VLOOKUP(A213,JanApport,MATCH($AB$3,'Jan 2022 Apport'!$3:$3,0),FALSE)</f>
        <v>68937</v>
      </c>
      <c r="AC213" s="77">
        <f>VLOOKUP(A213,JanApport,MATCH($AC$4,'Jan 2022 Apport'!$3:$3,0),FALSE)</f>
        <v>100321</v>
      </c>
      <c r="AD213" s="77">
        <f>VLOOKUP(A213,JanApport,MATCH($AD$4,'Jan 2022 Apport'!$3:$3,0),FALSE)*VLOOKUP(A213,JanApport,MATCH($AD$3,'Jan 2022 Apport'!$3:$3,0),FALSE)</f>
        <v>102327</v>
      </c>
      <c r="AE213" s="77">
        <f>VLOOKUP(A213,JanApport,MATCH($AE$4,'Jan 2022 Apport'!$3:$3,0),FALSE)</f>
        <v>48483</v>
      </c>
      <c r="AF213" s="77">
        <f>VLOOKUP(A213,JanApport,MATCH($AF$4,'Jan 2022 Apport'!$3:$3,0),FALSE)*VLOOKUP(A213,JanApport,MATCH($AF$3,'Jan 2022 Apport'!$3:$3,0),FALSE)</f>
        <v>49453</v>
      </c>
      <c r="AG213" s="77">
        <f t="shared" si="31"/>
        <v>96432.259900000005</v>
      </c>
      <c r="AH213" s="77">
        <f t="shared" si="32"/>
        <v>137400.94330000001</v>
      </c>
      <c r="AI213" s="77">
        <f t="shared" si="33"/>
        <v>77281.189732599989</v>
      </c>
      <c r="AJ213" s="3">
        <f>VLOOKUP(A213,JanApport,MATCH($AJ$4,'Jan 2022 Apport'!$3:$3,0),FALSE)</f>
        <v>410806.89</v>
      </c>
      <c r="AK213" s="3">
        <f>VLOOKUP(A213,JanApport,MATCH($AK$4,'Jan 2022 Apport'!$3:$3,0),FALSE)</f>
        <v>5.641</v>
      </c>
      <c r="AL213" s="117">
        <f t="shared" si="34"/>
        <v>3829115.9099999997</v>
      </c>
      <c r="AM213" s="117">
        <f>VLOOKUP(A213,JanApport,MATCH($AM$4,'Jan 2022 Apport'!$3:$3,0),FALSE)</f>
        <v>71028.05</v>
      </c>
      <c r="AN213" s="117">
        <f>VLOOKUP(A213,JanApport,MATCH($AN$4,'Jan 2022 Apport'!$3:$3,0),FALSE)</f>
        <v>26866.74</v>
      </c>
    </row>
    <row r="214" spans="1:40">
      <c r="A214" s="2" t="s">
        <v>481</v>
      </c>
      <c r="B214" s="2" t="s">
        <v>482</v>
      </c>
      <c r="C214" s="2" t="s">
        <v>1267</v>
      </c>
      <c r="D214" s="118">
        <f>VLOOKUP(A214,JanApport,MATCH($D$4,'Jan 2022 Apport'!$3:$3,FALSE),FALSE)</f>
        <v>5274025.8</v>
      </c>
      <c r="E214" s="30">
        <f>VLOOKUP(A214,JanApport,MATCH($E$2,'Jan 2022 Apport'!$3:$3,0),FALSE)+VLOOKUP(A214,JanApport,MATCH($E$3,'Jan 2022 Apport'!$3:$3,0),FALSE)+VLOOKUP(A214,JanApport,MATCH($E$4,'Jan 2022 Apport'!$3:$3,0),FALSE)</f>
        <v>110272.98</v>
      </c>
      <c r="F214" s="118">
        <f t="shared" si="35"/>
        <v>5163752.8199999994</v>
      </c>
      <c r="G214" s="117">
        <f>VLOOKUP(A214,JanApport,MATCH($G$4,'Jan 2022 Apport'!$3:$3,0),FALSE)</f>
        <v>0</v>
      </c>
      <c r="H214" s="117">
        <f>VLOOKUP(A214,JanApport,MATCH($H$3,'Jan 2022 Apport'!$3:$3,0),FALSE)+VLOOKUP(A214,JanApport,MATCH($H$2,'Jan 2022 Apport'!$3:$3,0),FALSE)+VLOOKUP(A214,JanApport,MATCH($H$4,'Jan 2022 Apport'!$3:$3,0),FALSE)</f>
        <v>722453.22</v>
      </c>
      <c r="I214" s="117">
        <f t="shared" si="36"/>
        <v>722453.22</v>
      </c>
      <c r="J214" s="117">
        <f>VLOOKUP(A214,JanApport,MATCH($J$4,'Jan 2022 Apport'!$3:$3,0),FALSE)</f>
        <v>568914.47</v>
      </c>
      <c r="K214" s="117">
        <f>VLOOKUP(A214,JanApport,MATCH($K$4,'Jan 2022 Apport'!$3:$3,0),FALSE)</f>
        <v>0</v>
      </c>
      <c r="L214" s="117">
        <f t="shared" si="37"/>
        <v>568914.47</v>
      </c>
      <c r="M214" s="117">
        <f>VLOOKUP(A214,JanApport,MATCH($M$4,'Jan 2022 Apport'!$3:$3,0),FALSE)</f>
        <v>269389.5</v>
      </c>
      <c r="N214" s="117">
        <f>VLOOKUP(A214,JanApport,MATCH($N$4,'Jan 2022 Apport'!$3:$3,0),FALSE)</f>
        <v>0</v>
      </c>
      <c r="O214" s="117">
        <f>VLOOKUP(A214,JanApport,MATCH($O$4,'Jan 2022 Apport'!$3:$3,0),FALSE)</f>
        <v>0</v>
      </c>
      <c r="P214" s="121">
        <f>IFERROR((VLOOKUP(A214,ExcessLevy!A:G,3,FALSE)*0.28),0)+IFERROR((VLOOKUP(A214,ExcessLevy!A:G,6,FALSE)*0.72),0)</f>
        <v>0</v>
      </c>
      <c r="Q214" s="121">
        <f>IFERROR((VLOOKUP(A214,ExcessLevy!A:G,4,FALSE)*0.4738),0)+IFERROR((VLOOKUP(A214,ExcessLevy!A:G,7,FALSE)*0.5262),0)</f>
        <v>0</v>
      </c>
      <c r="R214">
        <f>VLOOKUP(A214,JanApport,MATCH($R$4,'Jan 2022 Apport'!$3:$3,0),FALSE)</f>
        <v>0</v>
      </c>
      <c r="S214">
        <f>VLOOKUP(A214,JanApport,MATCH($S$4,'Jan 2022 Apport'!$3:$3,0),FALSE)</f>
        <v>0</v>
      </c>
      <c r="T214">
        <f>VLOOKUP(A214,JanApport,MATCH($T$4,'Jan 2022 Apport'!$3:$3,0),FALSE)</f>
        <v>12.01</v>
      </c>
      <c r="U214" s="132">
        <f>IFERROR(VLOOKUP(A214,JanApport,MATCH($U$4,'Jan 2022 Apport'!$3:$3,0),FALSE)/R214,0)</f>
        <v>0</v>
      </c>
      <c r="V214" s="30">
        <f>IFERROR(((VLOOKUP(A214,JanApport,MATCH($V$4,'Jan 2022 Apport'!$3:$3,0),FALSE)+VLOOKUP(A214,JanApport,MATCH($V$3,'Jan 2022 Apport'!$3:$3,0),FALSE))/(S214+T214)),0)</f>
        <v>9181.7635303913412</v>
      </c>
      <c r="W214" s="30">
        <f t="shared" si="30"/>
        <v>2453.4118270950407</v>
      </c>
      <c r="X214">
        <f>VLOOKUP(A214,JanApport,MATCH($X$4,'Jan 2022 Apport'!$3:$3,0),FALSE)</f>
        <v>4.8578999999999997E-2</v>
      </c>
      <c r="Y214">
        <f>VLOOKUP(A214,JanApport,MATCH($Y$4,'Jan 2022 Apport'!$3:$3,0),FALSE)</f>
        <v>4.0270000000000002E-3</v>
      </c>
      <c r="Z214">
        <f>VLOOKUP(A214,JanApport,MATCH($Z$4,'Jan 2022 Apport'!$3:$3,0),FALSE)</f>
        <v>1.7100000000000001E-2</v>
      </c>
      <c r="AA214" s="77">
        <f>VLOOKUP(A214,JanApport,MATCH($AA$4,'Jan 2022 Apport'!$3:$3,0),FALSE)*VLOOKUP(A214,JanApport,MATCH($AA$3,'Jan 2022 Apport'!$3:$3,0),FALSE)</f>
        <v>70288.400000000009</v>
      </c>
      <c r="AB214" s="77">
        <f>VLOOKUP(A214,JanApport,MATCH($AB$4,'Jan 2022 Apport'!$3:$3,0),FALSE)*VLOOKUP(A214,JanApport,MATCH($AB$3,'Jan 2022 Apport'!$3:$3,0),FALSE)</f>
        <v>0</v>
      </c>
      <c r="AC214" s="77">
        <f>VLOOKUP(A214,JanApport,MATCH($AC$4,'Jan 2022 Apport'!$3:$3,0),FALSE)</f>
        <v>0</v>
      </c>
      <c r="AD214" s="77">
        <f>VLOOKUP(A214,JanApport,MATCH($AD$4,'Jan 2022 Apport'!$3:$3,0),FALSE)*VLOOKUP(A214,JanApport,MATCH($AD$3,'Jan 2022 Apport'!$3:$3,0),FALSE)</f>
        <v>0</v>
      </c>
      <c r="AE214" s="77">
        <f>VLOOKUP(A214,JanApport,MATCH($AE$4,'Jan 2022 Apport'!$3:$3,0),FALSE)</f>
        <v>0</v>
      </c>
      <c r="AF214" s="77">
        <f>VLOOKUP(A214,JanApport,MATCH($AF$4,'Jan 2022 Apport'!$3:$3,0),FALSE)*VLOOKUP(A214,JanApport,MATCH($AF$3,'Jan 2022 Apport'!$3:$3,0),FALSE)</f>
        <v>0</v>
      </c>
      <c r="AG214" s="77">
        <f t="shared" si="31"/>
        <v>12298.165760000011</v>
      </c>
      <c r="AH214" s="77">
        <f t="shared" si="32"/>
        <v>11848.32</v>
      </c>
      <c r="AI214" s="77">
        <f t="shared" si="33"/>
        <v>16610.88</v>
      </c>
      <c r="AJ214" s="3">
        <f>VLOOKUP(A214,JanApport,MATCH($AJ$4,'Jan 2022 Apport'!$3:$3,0),FALSE)</f>
        <v>893847.56</v>
      </c>
      <c r="AK214" s="3">
        <f>VLOOKUP(A214,JanApport,MATCH($AK$4,'Jan 2022 Apport'!$3:$3,0),FALSE)</f>
        <v>0</v>
      </c>
      <c r="AL214" s="117">
        <f t="shared" si="34"/>
        <v>7048775.459999999</v>
      </c>
      <c r="AM214" s="117">
        <f>VLOOKUP(A214,JanApport,MATCH($AM$4,'Jan 2022 Apport'!$3:$3,0),FALSE)</f>
        <v>213992.47</v>
      </c>
      <c r="AN214" s="117">
        <f>VLOOKUP(A214,JanApport,MATCH($AN$4,'Jan 2022 Apport'!$3:$3,0),FALSE)</f>
        <v>42295.73</v>
      </c>
    </row>
    <row r="215" spans="1:40">
      <c r="A215" s="2" t="s">
        <v>25</v>
      </c>
      <c r="B215" s="2" t="s">
        <v>26</v>
      </c>
      <c r="C215" s="2" t="s">
        <v>1267</v>
      </c>
      <c r="D215" s="118">
        <f>VLOOKUP(A215,JanApport,MATCH($D$4,'Jan 2022 Apport'!$3:$3,FALSE),FALSE)</f>
        <v>21199615.16</v>
      </c>
      <c r="E215" s="30">
        <f>VLOOKUP(A215,JanApport,MATCH($E$2,'Jan 2022 Apport'!$3:$3,0),FALSE)+VLOOKUP(A215,JanApport,MATCH($E$3,'Jan 2022 Apport'!$3:$3,0),FALSE)+VLOOKUP(A215,JanApport,MATCH($E$4,'Jan 2022 Apport'!$3:$3,0),FALSE)</f>
        <v>2309714.11</v>
      </c>
      <c r="F215" s="118">
        <f t="shared" si="35"/>
        <v>18889901.050000001</v>
      </c>
      <c r="G215" s="117">
        <f>VLOOKUP(A215,JanApport,MATCH($G$4,'Jan 2022 Apport'!$3:$3,0),FALSE)</f>
        <v>129574.21</v>
      </c>
      <c r="H215" s="117">
        <f>VLOOKUP(A215,JanApport,MATCH($H$3,'Jan 2022 Apport'!$3:$3,0),FALSE)+VLOOKUP(A215,JanApport,MATCH($H$2,'Jan 2022 Apport'!$3:$3,0),FALSE)+VLOOKUP(A215,JanApport,MATCH($H$4,'Jan 2022 Apport'!$3:$3,0),FALSE)</f>
        <v>2671779.9900000002</v>
      </c>
      <c r="I215" s="117">
        <f t="shared" si="36"/>
        <v>2801354.2</v>
      </c>
      <c r="J215" s="117">
        <f>VLOOKUP(A215,JanApport,MATCH($J$4,'Jan 2022 Apport'!$3:$3,0),FALSE)</f>
        <v>1440600.31</v>
      </c>
      <c r="K215" s="117">
        <f>VLOOKUP(A215,JanApport,MATCH($K$4,'Jan 2022 Apport'!$3:$3,0),FALSE)</f>
        <v>258877.62</v>
      </c>
      <c r="L215" s="117">
        <f t="shared" si="37"/>
        <v>1699477.9300000002</v>
      </c>
      <c r="M215" s="117">
        <f>VLOOKUP(A215,JanApport,MATCH($M$4,'Jan 2022 Apport'!$3:$3,0),FALSE)</f>
        <v>1123534.6499999999</v>
      </c>
      <c r="N215" s="117">
        <f>VLOOKUP(A215,JanApport,MATCH($N$4,'Jan 2022 Apport'!$3:$3,0),FALSE)</f>
        <v>895775.29</v>
      </c>
      <c r="O215" s="117">
        <f>VLOOKUP(A215,JanApport,MATCH($O$4,'Jan 2022 Apport'!$3:$3,0),FALSE)</f>
        <v>69169.2</v>
      </c>
      <c r="P215" s="121">
        <f>IFERROR((VLOOKUP(A215,ExcessLevy!A:G,3,FALSE)*0.28),0)+IFERROR((VLOOKUP(A215,ExcessLevy!A:G,6,FALSE)*0.72),0)</f>
        <v>1650355.8772</v>
      </c>
      <c r="Q215" s="121">
        <f>IFERROR((VLOOKUP(A215,ExcessLevy!A:G,4,FALSE)*0.4738),0)+IFERROR((VLOOKUP(A215,ExcessLevy!A:G,7,FALSE)*0.5262),0)</f>
        <v>3442218.2719999999</v>
      </c>
      <c r="R215">
        <f>VLOOKUP(A215,JanApport,MATCH($R$4,'Jan 2022 Apport'!$3:$3,0),FALSE)</f>
        <v>0</v>
      </c>
      <c r="S215">
        <f>VLOOKUP(A215,JanApport,MATCH($S$4,'Jan 2022 Apport'!$3:$3,0),FALSE)</f>
        <v>29.81</v>
      </c>
      <c r="T215">
        <f>VLOOKUP(A215,JanApport,MATCH($T$4,'Jan 2022 Apport'!$3:$3,0),FALSE)</f>
        <v>229.08</v>
      </c>
      <c r="U215" s="132">
        <f>IFERROR(VLOOKUP(A215,JanApport,MATCH($U$4,'Jan 2022 Apport'!$3:$3,0),FALSE)/R215,0)</f>
        <v>0</v>
      </c>
      <c r="V215" s="30">
        <f>IFERROR(((VLOOKUP(A215,JanApport,MATCH($V$4,'Jan 2022 Apport'!$3:$3,0),FALSE)+VLOOKUP(A215,JanApport,MATCH($V$3,'Jan 2022 Apport'!$3:$3,0),FALSE))/(S215+T215)),0)</f>
        <v>8921.6041948317816</v>
      </c>
      <c r="W215" s="30">
        <f t="shared" si="30"/>
        <v>8083.6246967786601</v>
      </c>
      <c r="X215">
        <f>VLOOKUP(A215,JanApport,MATCH($X$4,'Jan 2022 Apport'!$3:$3,0),FALSE)</f>
        <v>4.8578999999999997E-2</v>
      </c>
      <c r="Y215">
        <f>VLOOKUP(A215,JanApport,MATCH($Y$4,'Jan 2022 Apport'!$3:$3,0),FALSE)</f>
        <v>4.0270000000000002E-3</v>
      </c>
      <c r="Z215">
        <f>VLOOKUP(A215,JanApport,MATCH($Z$4,'Jan 2022 Apport'!$3:$3,0),FALSE)</f>
        <v>1.7100000000000001E-2</v>
      </c>
      <c r="AA215" s="77">
        <f>VLOOKUP(A215,JanApport,MATCH($AA$4,'Jan 2022 Apport'!$3:$3,0),FALSE)*VLOOKUP(A215,JanApport,MATCH($AA$3,'Jan 2022 Apport'!$3:$3,0),FALSE)</f>
        <v>67585</v>
      </c>
      <c r="AB215" s="77">
        <f>VLOOKUP(A215,JanApport,MATCH($AB$4,'Jan 2022 Apport'!$3:$3,0),FALSE)*VLOOKUP(A215,JanApport,MATCH($AB$3,'Jan 2022 Apport'!$3:$3,0),FALSE)</f>
        <v>68937</v>
      </c>
      <c r="AC215" s="77">
        <f>VLOOKUP(A215,JanApport,MATCH($AC$4,'Jan 2022 Apport'!$3:$3,0),FALSE)</f>
        <v>100321</v>
      </c>
      <c r="AD215" s="77">
        <f>VLOOKUP(A215,JanApport,MATCH($AD$4,'Jan 2022 Apport'!$3:$3,0),FALSE)*VLOOKUP(A215,JanApport,MATCH($AD$3,'Jan 2022 Apport'!$3:$3,0),FALSE)</f>
        <v>102327</v>
      </c>
      <c r="AE215" s="77">
        <f>VLOOKUP(A215,JanApport,MATCH($AE$4,'Jan 2022 Apport'!$3:$3,0),FALSE)</f>
        <v>48483</v>
      </c>
      <c r="AF215" s="77">
        <f>VLOOKUP(A215,JanApport,MATCH($AF$4,'Jan 2022 Apport'!$3:$3,0),FALSE)*VLOOKUP(A215,JanApport,MATCH($AF$3,'Jan 2022 Apport'!$3:$3,0),FALSE)</f>
        <v>49453</v>
      </c>
      <c r="AG215" s="77">
        <f t="shared" si="31"/>
        <v>96432.259900000005</v>
      </c>
      <c r="AH215" s="77">
        <f t="shared" si="32"/>
        <v>137400.94330000001</v>
      </c>
      <c r="AI215" s="77">
        <f t="shared" si="33"/>
        <v>77281.189732599989</v>
      </c>
      <c r="AJ215" s="3">
        <f>VLOOKUP(A215,JanApport,MATCH($AJ$4,'Jan 2022 Apport'!$3:$3,0),FALSE)</f>
        <v>3025582.95</v>
      </c>
      <c r="AK215" s="3">
        <f>VLOOKUP(A215,JanApport,MATCH($AK$4,'Jan 2022 Apport'!$3:$3,0),FALSE)</f>
        <v>41.116999999999997</v>
      </c>
      <c r="AL215" s="117">
        <f t="shared" si="34"/>
        <v>28248645.309999995</v>
      </c>
      <c r="AM215" s="117">
        <f>VLOOKUP(A215,JanApport,MATCH($AM$4,'Jan 2022 Apport'!$3:$3,0),FALSE)</f>
        <v>718596.5</v>
      </c>
      <c r="AN215" s="117">
        <f>VLOOKUP(A215,JanApport,MATCH($AN$4,'Jan 2022 Apport'!$3:$3,0),FALSE)</f>
        <v>161113.45000000001</v>
      </c>
    </row>
    <row r="216" spans="1:40">
      <c r="A216" s="2" t="s">
        <v>1319</v>
      </c>
      <c r="B216" s="2" t="s">
        <v>1320</v>
      </c>
      <c r="C216" s="2" t="s">
        <v>1267</v>
      </c>
      <c r="D216" s="118">
        <f>VLOOKUP(A216,JanApport,MATCH($D$4,'Jan 2022 Apport'!$3:$3,FALSE),FALSE)</f>
        <v>839311.97</v>
      </c>
      <c r="E216" s="30">
        <f>VLOOKUP(A216,JanApport,MATCH($E$2,'Jan 2022 Apport'!$3:$3,0),FALSE)+VLOOKUP(A216,JanApport,MATCH($E$3,'Jan 2022 Apport'!$3:$3,0),FALSE)+VLOOKUP(A216,JanApport,MATCH($E$4,'Jan 2022 Apport'!$3:$3,0),FALSE)</f>
        <v>0</v>
      </c>
      <c r="F216" s="118">
        <f t="shared" si="35"/>
        <v>839311.97</v>
      </c>
      <c r="G216" s="117">
        <f>VLOOKUP(A216,JanApport,MATCH($G$4,'Jan 2022 Apport'!$3:$3,0),FALSE)</f>
        <v>0</v>
      </c>
      <c r="H216" s="117">
        <f>VLOOKUP(A216,JanApport,MATCH($H$3,'Jan 2022 Apport'!$3:$3,0),FALSE)+VLOOKUP(A216,JanApport,MATCH($H$2,'Jan 2022 Apport'!$3:$3,0),FALSE)+VLOOKUP(A216,JanApport,MATCH($H$4,'Jan 2022 Apport'!$3:$3,0),FALSE)</f>
        <v>99337.600000000006</v>
      </c>
      <c r="I216" s="117">
        <f t="shared" si="36"/>
        <v>99337.600000000006</v>
      </c>
      <c r="J216" s="117">
        <f>VLOOKUP(A216,JanApport,MATCH($J$4,'Jan 2022 Apport'!$3:$3,0),FALSE)</f>
        <v>0</v>
      </c>
      <c r="K216" s="117">
        <f>VLOOKUP(A216,JanApport,MATCH($K$4,'Jan 2022 Apport'!$3:$3,0),FALSE)</f>
        <v>0</v>
      </c>
      <c r="L216" s="117">
        <f t="shared" si="37"/>
        <v>0</v>
      </c>
      <c r="M216" s="117">
        <f>VLOOKUP(A216,JanApport,MATCH($M$4,'Jan 2022 Apport'!$3:$3,0),FALSE)</f>
        <v>16240.57</v>
      </c>
      <c r="N216" s="117">
        <f>VLOOKUP(A216,JanApport,MATCH($N$4,'Jan 2022 Apport'!$3:$3,0),FALSE)</f>
        <v>0</v>
      </c>
      <c r="O216" s="117">
        <f>VLOOKUP(A216,JanApport,MATCH($O$4,'Jan 2022 Apport'!$3:$3,0),FALSE)</f>
        <v>0</v>
      </c>
      <c r="P216" s="121">
        <f>IFERROR((VLOOKUP(A216,ExcessLevy!A:G,3,FALSE)*0.28),0)+IFERROR((VLOOKUP(A216,ExcessLevy!A:G,6,FALSE)*0.72),0)</f>
        <v>0</v>
      </c>
      <c r="Q216" s="121">
        <f>IFERROR((VLOOKUP(A216,ExcessLevy!A:G,4,FALSE)*0.4738),0)+IFERROR((VLOOKUP(A216,ExcessLevy!A:G,7,FALSE)*0.5262),0)</f>
        <v>0</v>
      </c>
      <c r="R216">
        <f>VLOOKUP(A216,JanApport,MATCH($R$4,'Jan 2022 Apport'!$3:$3,0),FALSE)</f>
        <v>0</v>
      </c>
      <c r="S216">
        <f>VLOOKUP(A216,JanApport,MATCH($S$4,'Jan 2022 Apport'!$3:$3,0),FALSE)</f>
        <v>0</v>
      </c>
      <c r="T216">
        <f>VLOOKUP(A216,JanApport,MATCH($T$4,'Jan 2022 Apport'!$3:$3,0),FALSE)</f>
        <v>0</v>
      </c>
      <c r="U216" s="132">
        <f>IFERROR(VLOOKUP(A216,JanApport,MATCH($U$4,'Jan 2022 Apport'!$3:$3,0),FALSE)/R216,0)</f>
        <v>0</v>
      </c>
      <c r="V216" s="30">
        <f>IFERROR(((VLOOKUP(A216,JanApport,MATCH($V$4,'Jan 2022 Apport'!$3:$3,0),FALSE)+VLOOKUP(A216,JanApport,MATCH($V$3,'Jan 2022 Apport'!$3:$3,0),FALSE))/(S216+T216)),0)</f>
        <v>0</v>
      </c>
      <c r="W216" s="30">
        <f t="shared" si="30"/>
        <v>8083.6246967786601</v>
      </c>
      <c r="X216">
        <f>VLOOKUP(A216,JanApport,MATCH($X$4,'Jan 2022 Apport'!$3:$3,0),FALSE)</f>
        <v>4.8578999999999997E-2</v>
      </c>
      <c r="Y216">
        <f>VLOOKUP(A216,JanApport,MATCH($Y$4,'Jan 2022 Apport'!$3:$3,0),FALSE)</f>
        <v>4.0270000000000002E-3</v>
      </c>
      <c r="Z216">
        <f>VLOOKUP(A216,JanApport,MATCH($Z$4,'Jan 2022 Apport'!$3:$3,0),FALSE)</f>
        <v>1.7100000000000001E-2</v>
      </c>
      <c r="AA216" s="77">
        <f>VLOOKUP(A216,JanApport,MATCH($AA$4,'Jan 2022 Apport'!$3:$3,0),FALSE)*VLOOKUP(A216,JanApport,MATCH($AA$3,'Jan 2022 Apport'!$3:$3,0),FALSE)</f>
        <v>67585</v>
      </c>
      <c r="AB216" s="77">
        <f>VLOOKUP(A216,JanApport,MATCH($AB$4,'Jan 2022 Apport'!$3:$3,0),FALSE)*VLOOKUP(A216,JanApport,MATCH($AB$3,'Jan 2022 Apport'!$3:$3,0),FALSE)</f>
        <v>68937</v>
      </c>
      <c r="AC216" s="77">
        <f>VLOOKUP(A216,JanApport,MATCH($AC$4,'Jan 2022 Apport'!$3:$3,0),FALSE)</f>
        <v>100321</v>
      </c>
      <c r="AD216" s="77">
        <f>VLOOKUP(A216,JanApport,MATCH($AD$4,'Jan 2022 Apport'!$3:$3,0),FALSE)*VLOOKUP(A216,JanApport,MATCH($AD$3,'Jan 2022 Apport'!$3:$3,0),FALSE)</f>
        <v>102327</v>
      </c>
      <c r="AE216" s="77">
        <f>VLOOKUP(A216,JanApport,MATCH($AE$4,'Jan 2022 Apport'!$3:$3,0),FALSE)</f>
        <v>48483</v>
      </c>
      <c r="AF216" s="77">
        <f>VLOOKUP(A216,JanApport,MATCH($AF$4,'Jan 2022 Apport'!$3:$3,0),FALSE)*VLOOKUP(A216,JanApport,MATCH($AF$3,'Jan 2022 Apport'!$3:$3,0),FALSE)</f>
        <v>49453</v>
      </c>
      <c r="AG216" s="77">
        <f t="shared" si="31"/>
        <v>96432.259900000005</v>
      </c>
      <c r="AH216" s="77">
        <f t="shared" si="32"/>
        <v>137400.94330000001</v>
      </c>
      <c r="AI216" s="77">
        <f t="shared" si="33"/>
        <v>77281.189732599989</v>
      </c>
      <c r="AJ216" s="3">
        <f>VLOOKUP(A216,JanApport,MATCH($AJ$4,'Jan 2022 Apport'!$3:$3,0),FALSE)</f>
        <v>109383.41</v>
      </c>
      <c r="AK216" s="3">
        <f>VLOOKUP(A216,JanApport,MATCH($AK$4,'Jan 2022 Apport'!$3:$3,0),FALSE)</f>
        <v>3.5470000000000002</v>
      </c>
      <c r="AL216" s="117">
        <f t="shared" si="34"/>
        <v>954890.1399999999</v>
      </c>
      <c r="AM216" s="117">
        <f>VLOOKUP(A216,JanApport,MATCH($AM$4,'Jan 2022 Apport'!$3:$3,0),FALSE)</f>
        <v>0</v>
      </c>
      <c r="AN216" s="117">
        <f>VLOOKUP(A216,JanApport,MATCH($AN$4,'Jan 2022 Apport'!$3:$3,0),FALSE)</f>
        <v>7511.92</v>
      </c>
    </row>
    <row r="217" spans="1:40">
      <c r="A217" s="2" t="s">
        <v>561</v>
      </c>
      <c r="B217" s="2" t="s">
        <v>562</v>
      </c>
      <c r="C217" s="2" t="s">
        <v>1267</v>
      </c>
      <c r="D217" s="118">
        <f>VLOOKUP(A217,JanApport,MATCH($D$4,'Jan 2022 Apport'!$3:$3,FALSE),FALSE)</f>
        <v>22893854.210000001</v>
      </c>
      <c r="E217" s="30">
        <f>VLOOKUP(A217,JanApport,MATCH($E$2,'Jan 2022 Apport'!$3:$3,0),FALSE)+VLOOKUP(A217,JanApport,MATCH($E$3,'Jan 2022 Apport'!$3:$3,0),FALSE)+VLOOKUP(A217,JanApport,MATCH($E$4,'Jan 2022 Apport'!$3:$3,0),FALSE)</f>
        <v>1564426.51</v>
      </c>
      <c r="F217" s="118">
        <f t="shared" si="35"/>
        <v>21329427.699999999</v>
      </c>
      <c r="G217" s="117">
        <f>VLOOKUP(A217,JanApport,MATCH($G$4,'Jan 2022 Apport'!$3:$3,0),FALSE)</f>
        <v>398554.12</v>
      </c>
      <c r="H217" s="117">
        <f>VLOOKUP(A217,JanApport,MATCH($H$3,'Jan 2022 Apport'!$3:$3,0),FALSE)+VLOOKUP(A217,JanApport,MATCH($H$2,'Jan 2022 Apport'!$3:$3,0),FALSE)+VLOOKUP(A217,JanApport,MATCH($H$4,'Jan 2022 Apport'!$3:$3,0),FALSE)</f>
        <v>2751685</v>
      </c>
      <c r="I217" s="117">
        <f t="shared" si="36"/>
        <v>3150239.12</v>
      </c>
      <c r="J217" s="117">
        <f>VLOOKUP(A217,JanApport,MATCH($J$4,'Jan 2022 Apport'!$3:$3,0),FALSE)</f>
        <v>1129589.51</v>
      </c>
      <c r="K217" s="117">
        <f>VLOOKUP(A217,JanApport,MATCH($K$4,'Jan 2022 Apport'!$3:$3,0),FALSE)</f>
        <v>159788.74</v>
      </c>
      <c r="L217" s="117">
        <f t="shared" si="37"/>
        <v>1289378.25</v>
      </c>
      <c r="M217" s="117">
        <f>VLOOKUP(A217,JanApport,MATCH($M$4,'Jan 2022 Apport'!$3:$3,0),FALSE)</f>
        <v>441234.86</v>
      </c>
      <c r="N217" s="117">
        <f>VLOOKUP(A217,JanApport,MATCH($N$4,'Jan 2022 Apport'!$3:$3,0),FALSE)</f>
        <v>199093.79</v>
      </c>
      <c r="O217" s="117">
        <f>VLOOKUP(A217,JanApport,MATCH($O$4,'Jan 2022 Apport'!$3:$3,0),FALSE)</f>
        <v>73669.58</v>
      </c>
      <c r="P217" s="121">
        <f>IFERROR((VLOOKUP(A217,ExcessLevy!A:G,3,FALSE)*0.28),0)+IFERROR((VLOOKUP(A217,ExcessLevy!A:G,6,FALSE)*0.72),0)</f>
        <v>487708.37359999999</v>
      </c>
      <c r="Q217" s="121">
        <f>IFERROR((VLOOKUP(A217,ExcessLevy!A:G,4,FALSE)*0.4738),0)+IFERROR((VLOOKUP(A217,ExcessLevy!A:G,7,FALSE)*0.5262),0)</f>
        <v>5300000</v>
      </c>
      <c r="R217">
        <f>VLOOKUP(A217,JanApport,MATCH($R$4,'Jan 2022 Apport'!$3:$3,0),FALSE)</f>
        <v>0</v>
      </c>
      <c r="S217">
        <f>VLOOKUP(A217,JanApport,MATCH($S$4,'Jan 2022 Apport'!$3:$3,0),FALSE)</f>
        <v>44.01</v>
      </c>
      <c r="T217">
        <f>VLOOKUP(A217,JanApport,MATCH($T$4,'Jan 2022 Apport'!$3:$3,0),FALSE)</f>
        <v>131.38</v>
      </c>
      <c r="U217" s="132">
        <f>IFERROR(VLOOKUP(A217,JanApport,MATCH($U$4,'Jan 2022 Apport'!$3:$3,0),FALSE)/R217,0)</f>
        <v>0</v>
      </c>
      <c r="V217" s="30">
        <f>IFERROR(((VLOOKUP(A217,JanApport,MATCH($V$4,'Jan 2022 Apport'!$3:$3,0),FALSE)+VLOOKUP(A217,JanApport,MATCH($V$3,'Jan 2022 Apport'!$3:$3,0),FALSE))/(S217+T217)),0)</f>
        <v>8919.7018644164436</v>
      </c>
      <c r="W217" s="30">
        <f t="shared" si="30"/>
        <v>8083.6246967786601</v>
      </c>
      <c r="X217">
        <f>VLOOKUP(A217,JanApport,MATCH($X$4,'Jan 2022 Apport'!$3:$3,0),FALSE)</f>
        <v>4.8578999999999997E-2</v>
      </c>
      <c r="Y217">
        <f>VLOOKUP(A217,JanApport,MATCH($Y$4,'Jan 2022 Apport'!$3:$3,0),FALSE)</f>
        <v>4.0270000000000002E-3</v>
      </c>
      <c r="Z217">
        <f>VLOOKUP(A217,JanApport,MATCH($Z$4,'Jan 2022 Apport'!$3:$3,0),FALSE)</f>
        <v>1.7100000000000001E-2</v>
      </c>
      <c r="AA217" s="77">
        <f>VLOOKUP(A217,JanApport,MATCH($AA$4,'Jan 2022 Apport'!$3:$3,0),FALSE)*VLOOKUP(A217,JanApport,MATCH($AA$3,'Jan 2022 Apport'!$3:$3,0),FALSE)</f>
        <v>67585</v>
      </c>
      <c r="AB217" s="77">
        <f>VLOOKUP(A217,JanApport,MATCH($AB$4,'Jan 2022 Apport'!$3:$3,0),FALSE)*VLOOKUP(A217,JanApport,MATCH($AB$3,'Jan 2022 Apport'!$3:$3,0),FALSE)</f>
        <v>68937</v>
      </c>
      <c r="AC217" s="77">
        <f>VLOOKUP(A217,JanApport,MATCH($AC$4,'Jan 2022 Apport'!$3:$3,0),FALSE)</f>
        <v>100321</v>
      </c>
      <c r="AD217" s="77">
        <f>VLOOKUP(A217,JanApport,MATCH($AD$4,'Jan 2022 Apport'!$3:$3,0),FALSE)*VLOOKUP(A217,JanApport,MATCH($AD$3,'Jan 2022 Apport'!$3:$3,0),FALSE)</f>
        <v>102327</v>
      </c>
      <c r="AE217" s="77">
        <f>VLOOKUP(A217,JanApport,MATCH($AE$4,'Jan 2022 Apport'!$3:$3,0),FALSE)</f>
        <v>48483</v>
      </c>
      <c r="AF217" s="77">
        <f>VLOOKUP(A217,JanApport,MATCH($AF$4,'Jan 2022 Apport'!$3:$3,0),FALSE)*VLOOKUP(A217,JanApport,MATCH($AF$3,'Jan 2022 Apport'!$3:$3,0),FALSE)</f>
        <v>49453</v>
      </c>
      <c r="AG217" s="77">
        <f t="shared" si="31"/>
        <v>96432.259900000005</v>
      </c>
      <c r="AH217" s="77">
        <f t="shared" si="32"/>
        <v>137400.94330000001</v>
      </c>
      <c r="AI217" s="77">
        <f t="shared" si="33"/>
        <v>77281.189732599989</v>
      </c>
      <c r="AJ217" s="3">
        <f>VLOOKUP(A217,JanApport,MATCH($AJ$4,'Jan 2022 Apport'!$3:$3,0),FALSE)</f>
        <v>3362704.01</v>
      </c>
      <c r="AK217" s="3">
        <f>VLOOKUP(A217,JanApport,MATCH($AK$4,'Jan 2022 Apport'!$3:$3,0),FALSE)</f>
        <v>52.927</v>
      </c>
      <c r="AL217" s="117">
        <f t="shared" si="34"/>
        <v>27887681.07</v>
      </c>
      <c r="AM217" s="117">
        <f>VLOOKUP(A217,JanApport,MATCH($AM$4,'Jan 2022 Apport'!$3:$3,0),FALSE)</f>
        <v>0</v>
      </c>
      <c r="AN217" s="117">
        <f>VLOOKUP(A217,JanApport,MATCH($AN$4,'Jan 2022 Apport'!$3:$3,0),FALSE)</f>
        <v>184997.02</v>
      </c>
    </row>
    <row r="218" spans="1:40">
      <c r="A218" s="2" t="s">
        <v>363</v>
      </c>
      <c r="B218" s="2" t="s">
        <v>364</v>
      </c>
      <c r="C218" s="2" t="s">
        <v>1267</v>
      </c>
      <c r="D218" s="118">
        <f>VLOOKUP(A218,JanApport,MATCH($D$4,'Jan 2022 Apport'!$3:$3,FALSE),FALSE)</f>
        <v>203224214.09</v>
      </c>
      <c r="E218" s="30">
        <f>VLOOKUP(A218,JanApport,MATCH($E$2,'Jan 2022 Apport'!$3:$3,0),FALSE)+VLOOKUP(A218,JanApport,MATCH($E$3,'Jan 2022 Apport'!$3:$3,0),FALSE)+VLOOKUP(A218,JanApport,MATCH($E$4,'Jan 2022 Apport'!$3:$3,0),FALSE)</f>
        <v>15129544.899999999</v>
      </c>
      <c r="F218" s="118">
        <f t="shared" si="35"/>
        <v>188094669.19</v>
      </c>
      <c r="G218" s="117">
        <f>VLOOKUP(A218,JanApport,MATCH($G$4,'Jan 2022 Apport'!$3:$3,0),FALSE)</f>
        <v>2232439.8199999998</v>
      </c>
      <c r="H218" s="117">
        <f>VLOOKUP(A218,JanApport,MATCH($H$3,'Jan 2022 Apport'!$3:$3,0),FALSE)+VLOOKUP(A218,JanApport,MATCH($H$2,'Jan 2022 Apport'!$3:$3,0),FALSE)+VLOOKUP(A218,JanApport,MATCH($H$4,'Jan 2022 Apport'!$3:$3,0),FALSE)</f>
        <v>22418858.710000001</v>
      </c>
      <c r="I218" s="117">
        <f t="shared" si="36"/>
        <v>24651298.530000001</v>
      </c>
      <c r="J218" s="117">
        <f>VLOOKUP(A218,JanApport,MATCH($J$4,'Jan 2022 Apport'!$3:$3,0),FALSE)</f>
        <v>10027385.1</v>
      </c>
      <c r="K218" s="117">
        <f>VLOOKUP(A218,JanApport,MATCH($K$4,'Jan 2022 Apport'!$3:$3,0),FALSE)</f>
        <v>1433595.94</v>
      </c>
      <c r="L218" s="117">
        <f t="shared" si="37"/>
        <v>11460981.039999999</v>
      </c>
      <c r="M218" s="117">
        <f>VLOOKUP(A218,JanApport,MATCH($M$4,'Jan 2022 Apport'!$3:$3,0),FALSE)</f>
        <v>5237449.41</v>
      </c>
      <c r="N218" s="117">
        <f>VLOOKUP(A218,JanApport,MATCH($N$4,'Jan 2022 Apport'!$3:$3,0),FALSE)</f>
        <v>2453934.36</v>
      </c>
      <c r="O218" s="117">
        <f>VLOOKUP(A218,JanApport,MATCH($O$4,'Jan 2022 Apport'!$3:$3,0),FALSE)</f>
        <v>661633.28000000003</v>
      </c>
      <c r="P218" s="121">
        <f>IFERROR((VLOOKUP(A218,ExcessLevy!A:G,3,FALSE)*0.28),0)+IFERROR((VLOOKUP(A218,ExcessLevy!A:G,6,FALSE)*0.72),0)</f>
        <v>3143821.4432000006</v>
      </c>
      <c r="Q218" s="121">
        <f>IFERROR((VLOOKUP(A218,ExcessLevy!A:G,4,FALSE)*0.4738),0)+IFERROR((VLOOKUP(A218,ExcessLevy!A:G,7,FALSE)*0.5262),0)</f>
        <v>54125610.8244</v>
      </c>
      <c r="R218">
        <f>VLOOKUP(A218,JanApport,MATCH($R$4,'Jan 2022 Apport'!$3:$3,0),FALSE)</f>
        <v>0</v>
      </c>
      <c r="S218">
        <f>VLOOKUP(A218,JanApport,MATCH($S$4,'Jan 2022 Apport'!$3:$3,0),FALSE)</f>
        <v>359.2</v>
      </c>
      <c r="T218">
        <f>VLOOKUP(A218,JanApport,MATCH($T$4,'Jan 2022 Apport'!$3:$3,0),FALSE)</f>
        <v>1267.8</v>
      </c>
      <c r="U218" s="132">
        <f>IFERROR(VLOOKUP(A218,JanApport,MATCH($U$4,'Jan 2022 Apport'!$3:$3,0),FALSE)/R218,0)</f>
        <v>0</v>
      </c>
      <c r="V218" s="30">
        <f>IFERROR(((VLOOKUP(A218,JanApport,MATCH($V$4,'Jan 2022 Apport'!$3:$3,0),FALSE)+VLOOKUP(A218,JanApport,MATCH($V$3,'Jan 2022 Apport'!$3:$3,0),FALSE))/(S218+T218)),0)</f>
        <v>9299.0441917639819</v>
      </c>
      <c r="W218" s="30">
        <f t="shared" si="30"/>
        <v>8084.8854500772204</v>
      </c>
      <c r="X218">
        <f>VLOOKUP(A218,JanApport,MATCH($X$4,'Jan 2022 Apport'!$3:$3,0),FALSE)</f>
        <v>4.8578999999999997E-2</v>
      </c>
      <c r="Y218">
        <f>VLOOKUP(A218,JanApport,MATCH($Y$4,'Jan 2022 Apport'!$3:$3,0),FALSE)</f>
        <v>4.0270000000000002E-3</v>
      </c>
      <c r="Z218">
        <f>VLOOKUP(A218,JanApport,MATCH($Z$4,'Jan 2022 Apport'!$3:$3,0),FALSE)</f>
        <v>1.7100000000000001E-2</v>
      </c>
      <c r="AA218" s="77">
        <f>VLOOKUP(A218,JanApport,MATCH($AA$4,'Jan 2022 Apport'!$3:$3,0),FALSE)*VLOOKUP(A218,JanApport,MATCH($AA$3,'Jan 2022 Apport'!$3:$3,0),FALSE)</f>
        <v>71640.100000000006</v>
      </c>
      <c r="AB218" s="77">
        <f>VLOOKUP(A218,JanApport,MATCH($AB$4,'Jan 2022 Apport'!$3:$3,0),FALSE)*VLOOKUP(A218,JanApport,MATCH($AB$3,'Jan 2022 Apport'!$3:$3,0),FALSE)</f>
        <v>68937</v>
      </c>
      <c r="AC218" s="77">
        <f>VLOOKUP(A218,JanApport,MATCH($AC$4,'Jan 2022 Apport'!$3:$3,0),FALSE)</f>
        <v>100321</v>
      </c>
      <c r="AD218" s="77">
        <f>VLOOKUP(A218,JanApport,MATCH($AD$4,'Jan 2022 Apport'!$3:$3,0),FALSE)*VLOOKUP(A218,JanApport,MATCH($AD$3,'Jan 2022 Apport'!$3:$3,0),FALSE)</f>
        <v>102327</v>
      </c>
      <c r="AE218" s="77">
        <f>VLOOKUP(A218,JanApport,MATCH($AE$4,'Jan 2022 Apport'!$3:$3,0),FALSE)</f>
        <v>48483</v>
      </c>
      <c r="AF218" s="77">
        <f>VLOOKUP(A218,JanApport,MATCH($AF$4,'Jan 2022 Apport'!$3:$3,0),FALSE)*VLOOKUP(A218,JanApport,MATCH($AF$3,'Jan 2022 Apport'!$3:$3,0),FALSE)</f>
        <v>49453</v>
      </c>
      <c r="AG218" s="77">
        <f t="shared" si="31"/>
        <v>96458.212540000008</v>
      </c>
      <c r="AH218" s="77">
        <f t="shared" si="32"/>
        <v>137400.94330000001</v>
      </c>
      <c r="AI218" s="77">
        <f t="shared" si="33"/>
        <v>77281.189732599989</v>
      </c>
      <c r="AJ218" s="3">
        <f>VLOOKUP(A218,JanApport,MATCH($AJ$4,'Jan 2022 Apport'!$3:$3,0),FALSE)</f>
        <v>26925200.34</v>
      </c>
      <c r="AK218" s="3">
        <f>VLOOKUP(A218,JanApport,MATCH($AK$4,'Jan 2022 Apport'!$3:$3,0),FALSE)</f>
        <v>432.70400000000001</v>
      </c>
      <c r="AL218" s="117">
        <f t="shared" si="34"/>
        <v>246854309.74000001</v>
      </c>
      <c r="AM218" s="117">
        <f>VLOOKUP(A218,JanApport,MATCH($AM$4,'Jan 2022 Apport'!$3:$3,0),FALSE)</f>
        <v>598394.97</v>
      </c>
      <c r="AN218" s="117">
        <f>VLOOKUP(A218,JanApport,MATCH($AN$4,'Jan 2022 Apport'!$3:$3,0),FALSE)</f>
        <v>1577485.21</v>
      </c>
    </row>
    <row r="219" spans="1:40">
      <c r="A219" s="2" t="s">
        <v>173</v>
      </c>
      <c r="B219" s="2" t="s">
        <v>174</v>
      </c>
      <c r="C219" s="2" t="s">
        <v>1267</v>
      </c>
      <c r="D219" s="118">
        <f>VLOOKUP(A219,JanApport,MATCH($D$4,'Jan 2022 Apport'!$3:$3,FALSE),FALSE)</f>
        <v>548145</v>
      </c>
      <c r="E219" s="30">
        <f>VLOOKUP(A219,JanApport,MATCH($E$2,'Jan 2022 Apport'!$3:$3,0),FALSE)+VLOOKUP(A219,JanApport,MATCH($E$3,'Jan 2022 Apport'!$3:$3,0),FALSE)+VLOOKUP(A219,JanApport,MATCH($E$4,'Jan 2022 Apport'!$3:$3,0),FALSE)</f>
        <v>0</v>
      </c>
      <c r="F219" s="118">
        <f t="shared" si="35"/>
        <v>548145</v>
      </c>
      <c r="G219" s="117">
        <f>VLOOKUP(A219,JanApport,MATCH($G$4,'Jan 2022 Apport'!$3:$3,0),FALSE)</f>
        <v>9059.65</v>
      </c>
      <c r="H219" s="117">
        <f>VLOOKUP(A219,JanApport,MATCH($H$3,'Jan 2022 Apport'!$3:$3,0),FALSE)+VLOOKUP(A219,JanApport,MATCH($H$2,'Jan 2022 Apport'!$3:$3,0),FALSE)+VLOOKUP(A219,JanApport,MATCH($H$4,'Jan 2022 Apport'!$3:$3,0),FALSE)</f>
        <v>53633.14</v>
      </c>
      <c r="I219" s="117">
        <f t="shared" si="36"/>
        <v>62692.79</v>
      </c>
      <c r="J219" s="117">
        <f>VLOOKUP(A219,JanApport,MATCH($J$4,'Jan 2022 Apport'!$3:$3,0),FALSE)</f>
        <v>62461.59</v>
      </c>
      <c r="K219" s="117">
        <f>VLOOKUP(A219,JanApport,MATCH($K$4,'Jan 2022 Apport'!$3:$3,0),FALSE)</f>
        <v>8827.25</v>
      </c>
      <c r="L219" s="117">
        <f t="shared" si="37"/>
        <v>71288.84</v>
      </c>
      <c r="M219" s="117">
        <f>VLOOKUP(A219,JanApport,MATCH($M$4,'Jan 2022 Apport'!$3:$3,0),FALSE)</f>
        <v>25437.040000000001</v>
      </c>
      <c r="N219" s="117">
        <f>VLOOKUP(A219,JanApport,MATCH($N$4,'Jan 2022 Apport'!$3:$3,0),FALSE)</f>
        <v>0</v>
      </c>
      <c r="O219" s="117">
        <f>VLOOKUP(A219,JanApport,MATCH($O$4,'Jan 2022 Apport'!$3:$3,0),FALSE)</f>
        <v>0</v>
      </c>
      <c r="P219" s="121">
        <f>IFERROR((VLOOKUP(A219,ExcessLevy!A:G,3,FALSE)*0.28),0)+IFERROR((VLOOKUP(A219,ExcessLevy!A:G,6,FALSE)*0.72),0)</f>
        <v>6511.0535999999993</v>
      </c>
      <c r="Q219" s="121">
        <f>IFERROR((VLOOKUP(A219,ExcessLevy!A:G,4,FALSE)*0.4738),0)+IFERROR((VLOOKUP(A219,ExcessLevy!A:G,7,FALSE)*0.5262),0)</f>
        <v>75000</v>
      </c>
      <c r="R219">
        <f>VLOOKUP(A219,JanApport,MATCH($R$4,'Jan 2022 Apport'!$3:$3,0),FALSE)</f>
        <v>0</v>
      </c>
      <c r="S219">
        <f>VLOOKUP(A219,JanApport,MATCH($S$4,'Jan 2022 Apport'!$3:$3,0),FALSE)</f>
        <v>0</v>
      </c>
      <c r="T219">
        <f>VLOOKUP(A219,JanApport,MATCH($T$4,'Jan 2022 Apport'!$3:$3,0),FALSE)</f>
        <v>0</v>
      </c>
      <c r="U219" s="132">
        <f>IFERROR(VLOOKUP(A219,JanApport,MATCH($U$4,'Jan 2022 Apport'!$3:$3,0),FALSE)/R219,0)</f>
        <v>0</v>
      </c>
      <c r="V219" s="30">
        <f>IFERROR(((VLOOKUP(A219,JanApport,MATCH($V$4,'Jan 2022 Apport'!$3:$3,0),FALSE)+VLOOKUP(A219,JanApport,MATCH($V$3,'Jan 2022 Apport'!$3:$3,0),FALSE))/(S219+T219)),0)</f>
        <v>0</v>
      </c>
      <c r="W219" s="30">
        <f t="shared" si="30"/>
        <v>8755.5587859763236</v>
      </c>
      <c r="X219">
        <f>VLOOKUP(A219,JanApport,MATCH($X$4,'Jan 2022 Apport'!$3:$3,0),FALSE)</f>
        <v>4.8578999999999997E-2</v>
      </c>
      <c r="Y219">
        <f>VLOOKUP(A219,JanApport,MATCH($Y$4,'Jan 2022 Apport'!$3:$3,0),FALSE)</f>
        <v>4.0270000000000002E-3</v>
      </c>
      <c r="Z219">
        <f>VLOOKUP(A219,JanApport,MATCH($Z$4,'Jan 2022 Apport'!$3:$3,0),FALSE)</f>
        <v>1.7100000000000001E-2</v>
      </c>
      <c r="AA219" s="77">
        <f>VLOOKUP(A219,JanApport,MATCH($AA$4,'Jan 2022 Apport'!$3:$3,0),FALSE)*VLOOKUP(A219,JanApport,MATCH($AA$3,'Jan 2022 Apport'!$3:$3,0),FALSE)</f>
        <v>67585</v>
      </c>
      <c r="AB219" s="77">
        <f>VLOOKUP(A219,JanApport,MATCH($AB$4,'Jan 2022 Apport'!$3:$3,0),FALSE)*VLOOKUP(A219,JanApport,MATCH($AB$3,'Jan 2022 Apport'!$3:$3,0),FALSE)</f>
        <v>77209.440000000002</v>
      </c>
      <c r="AC219" s="77">
        <f>VLOOKUP(A219,JanApport,MATCH($AC$4,'Jan 2022 Apport'!$3:$3,0),FALSE)</f>
        <v>100321</v>
      </c>
      <c r="AD219" s="77">
        <f>VLOOKUP(A219,JanApport,MATCH($AD$4,'Jan 2022 Apport'!$3:$3,0),FALSE)*VLOOKUP(A219,JanApport,MATCH($AD$3,'Jan 2022 Apport'!$3:$3,0),FALSE)</f>
        <v>114606.24</v>
      </c>
      <c r="AE219" s="77">
        <f>VLOOKUP(A219,JanApport,MATCH($AE$4,'Jan 2022 Apport'!$3:$3,0),FALSE)</f>
        <v>48483</v>
      </c>
      <c r="AF219" s="77">
        <f>VLOOKUP(A219,JanApport,MATCH($AF$4,'Jan 2022 Apport'!$3:$3,0),FALSE)*VLOOKUP(A219,JanApport,MATCH($AF$3,'Jan 2022 Apport'!$3:$3,0),FALSE)</f>
        <v>55387.360000000008</v>
      </c>
      <c r="AG219" s="77">
        <f t="shared" si="31"/>
        <v>106530.42740800002</v>
      </c>
      <c r="AH219" s="77">
        <f t="shared" si="32"/>
        <v>152390.21156800003</v>
      </c>
      <c r="AI219" s="77">
        <f t="shared" si="33"/>
        <v>84357.998300512001</v>
      </c>
      <c r="AJ219" s="3">
        <f>VLOOKUP(A219,JanApport,MATCH($AJ$4,'Jan 2022 Apport'!$3:$3,0),FALSE)</f>
        <v>85333.41</v>
      </c>
      <c r="AK219" s="3">
        <f>VLOOKUP(A219,JanApport,MATCH($AK$4,'Jan 2022 Apport'!$3:$3,0),FALSE)</f>
        <v>0.96099999999999997</v>
      </c>
      <c r="AL219" s="117">
        <f t="shared" si="34"/>
        <v>710378.77</v>
      </c>
      <c r="AM219" s="117">
        <f>VLOOKUP(A219,JanApport,MATCH($AM$4,'Jan 2022 Apport'!$3:$3,0),FALSE)</f>
        <v>11642.35</v>
      </c>
      <c r="AN219" s="117">
        <f>VLOOKUP(A219,JanApport,MATCH($AN$4,'Jan 2022 Apport'!$3:$3,0),FALSE)</f>
        <v>3984.57</v>
      </c>
    </row>
    <row r="220" spans="1:40">
      <c r="A220" s="2" t="s">
        <v>177</v>
      </c>
      <c r="B220" s="2" t="s">
        <v>178</v>
      </c>
      <c r="C220" s="2" t="s">
        <v>1267</v>
      </c>
      <c r="D220" s="118">
        <f>VLOOKUP(A220,JanApport,MATCH($D$4,'Jan 2022 Apport'!$3:$3,FALSE),FALSE)</f>
        <v>6506595.21</v>
      </c>
      <c r="E220" s="30">
        <f>VLOOKUP(A220,JanApport,MATCH($E$2,'Jan 2022 Apport'!$3:$3,0),FALSE)+VLOOKUP(A220,JanApport,MATCH($E$3,'Jan 2022 Apport'!$3:$3,0),FALSE)+VLOOKUP(A220,JanApport,MATCH($E$4,'Jan 2022 Apport'!$3:$3,0),FALSE)</f>
        <v>71441.17</v>
      </c>
      <c r="F220" s="118">
        <f t="shared" si="35"/>
        <v>6435154.04</v>
      </c>
      <c r="G220" s="117">
        <f>VLOOKUP(A220,JanApport,MATCH($G$4,'Jan 2022 Apport'!$3:$3,0),FALSE)</f>
        <v>0</v>
      </c>
      <c r="H220" s="117">
        <f>VLOOKUP(A220,JanApport,MATCH($H$3,'Jan 2022 Apport'!$3:$3,0),FALSE)+VLOOKUP(A220,JanApport,MATCH($H$2,'Jan 2022 Apport'!$3:$3,0),FALSE)+VLOOKUP(A220,JanApport,MATCH($H$4,'Jan 2022 Apport'!$3:$3,0),FALSE)</f>
        <v>483106.05</v>
      </c>
      <c r="I220" s="117">
        <f t="shared" si="36"/>
        <v>483106.05</v>
      </c>
      <c r="J220" s="117">
        <f>VLOOKUP(A220,JanApport,MATCH($J$4,'Jan 2022 Apport'!$3:$3,0),FALSE)</f>
        <v>394646.57</v>
      </c>
      <c r="K220" s="117">
        <f>VLOOKUP(A220,JanApport,MATCH($K$4,'Jan 2022 Apport'!$3:$3,0),FALSE)</f>
        <v>33594.550000000003</v>
      </c>
      <c r="L220" s="117">
        <f t="shared" si="37"/>
        <v>428241.12</v>
      </c>
      <c r="M220" s="117">
        <f>VLOOKUP(A220,JanApport,MATCH($M$4,'Jan 2022 Apport'!$3:$3,0),FALSE)</f>
        <v>126991.56</v>
      </c>
      <c r="N220" s="117">
        <f>VLOOKUP(A220,JanApport,MATCH($N$4,'Jan 2022 Apport'!$3:$3,0),FALSE)</f>
        <v>0</v>
      </c>
      <c r="O220" s="117">
        <f>VLOOKUP(A220,JanApport,MATCH($O$4,'Jan 2022 Apport'!$3:$3,0),FALSE)</f>
        <v>19156.89</v>
      </c>
      <c r="P220" s="121">
        <f>IFERROR((VLOOKUP(A220,ExcessLevy!A:G,3,FALSE)*0.28),0)+IFERROR((VLOOKUP(A220,ExcessLevy!A:G,6,FALSE)*0.72),0)</f>
        <v>330415.10239999997</v>
      </c>
      <c r="Q220" s="121">
        <f>IFERROR((VLOOKUP(A220,ExcessLevy!A:G,4,FALSE)*0.4738),0)+IFERROR((VLOOKUP(A220,ExcessLevy!A:G,7,FALSE)*0.5262),0)</f>
        <v>606085.83112799993</v>
      </c>
      <c r="R220">
        <f>VLOOKUP(A220,JanApport,MATCH($R$4,'Jan 2022 Apport'!$3:$3,0),FALSE)</f>
        <v>0</v>
      </c>
      <c r="S220">
        <f>VLOOKUP(A220,JanApport,MATCH($S$4,'Jan 2022 Apport'!$3:$3,0),FALSE)</f>
        <v>0</v>
      </c>
      <c r="T220">
        <f>VLOOKUP(A220,JanApport,MATCH($T$4,'Jan 2022 Apport'!$3:$3,0),FALSE)</f>
        <v>7.66</v>
      </c>
      <c r="U220" s="132">
        <f>IFERROR(VLOOKUP(A220,JanApport,MATCH($U$4,'Jan 2022 Apport'!$3:$3,0),FALSE)/R220,0)</f>
        <v>0</v>
      </c>
      <c r="V220" s="30">
        <f>IFERROR(((VLOOKUP(A220,JanApport,MATCH($V$4,'Jan 2022 Apport'!$3:$3,0),FALSE)+VLOOKUP(A220,JanApport,MATCH($V$3,'Jan 2022 Apport'!$3:$3,0),FALSE))/(S220+T220)),0)</f>
        <v>9326.5234986945161</v>
      </c>
      <c r="W220" s="30">
        <f t="shared" si="30"/>
        <v>8084.8854500772204</v>
      </c>
      <c r="X220">
        <f>VLOOKUP(A220,JanApport,MATCH($X$4,'Jan 2022 Apport'!$3:$3,0),FALSE)</f>
        <v>4.8578999999999997E-2</v>
      </c>
      <c r="Y220">
        <f>VLOOKUP(A220,JanApport,MATCH($Y$4,'Jan 2022 Apport'!$3:$3,0),FALSE)</f>
        <v>4.0270000000000002E-3</v>
      </c>
      <c r="Z220">
        <f>VLOOKUP(A220,JanApport,MATCH($Z$4,'Jan 2022 Apport'!$3:$3,0),FALSE)</f>
        <v>1.7100000000000001E-2</v>
      </c>
      <c r="AA220" s="77">
        <f>VLOOKUP(A220,JanApport,MATCH($AA$4,'Jan 2022 Apport'!$3:$3,0),FALSE)*VLOOKUP(A220,JanApport,MATCH($AA$3,'Jan 2022 Apport'!$3:$3,0),FALSE)</f>
        <v>71640.100000000006</v>
      </c>
      <c r="AB220" s="77">
        <f>VLOOKUP(A220,JanApport,MATCH($AB$4,'Jan 2022 Apport'!$3:$3,0),FALSE)*VLOOKUP(A220,JanApport,MATCH($AB$3,'Jan 2022 Apport'!$3:$3,0),FALSE)</f>
        <v>68937</v>
      </c>
      <c r="AC220" s="77">
        <f>VLOOKUP(A220,JanApport,MATCH($AC$4,'Jan 2022 Apport'!$3:$3,0),FALSE)</f>
        <v>100321</v>
      </c>
      <c r="AD220" s="77">
        <f>VLOOKUP(A220,JanApport,MATCH($AD$4,'Jan 2022 Apport'!$3:$3,0),FALSE)*VLOOKUP(A220,JanApport,MATCH($AD$3,'Jan 2022 Apport'!$3:$3,0),FALSE)</f>
        <v>102327</v>
      </c>
      <c r="AE220" s="77">
        <f>VLOOKUP(A220,JanApport,MATCH($AE$4,'Jan 2022 Apport'!$3:$3,0),FALSE)</f>
        <v>48483</v>
      </c>
      <c r="AF220" s="77">
        <f>VLOOKUP(A220,JanApport,MATCH($AF$4,'Jan 2022 Apport'!$3:$3,0),FALSE)*VLOOKUP(A220,JanApport,MATCH($AF$3,'Jan 2022 Apport'!$3:$3,0),FALSE)</f>
        <v>49453</v>
      </c>
      <c r="AG220" s="77">
        <f t="shared" si="31"/>
        <v>96458.212540000008</v>
      </c>
      <c r="AH220" s="77">
        <f t="shared" si="32"/>
        <v>137400.94330000001</v>
      </c>
      <c r="AI220" s="77">
        <f t="shared" si="33"/>
        <v>77281.189732599989</v>
      </c>
      <c r="AJ220" s="3">
        <f>VLOOKUP(A220,JanApport,MATCH($AJ$4,'Jan 2022 Apport'!$3:$3,0),FALSE)</f>
        <v>352001.75</v>
      </c>
      <c r="AK220" s="3">
        <f>VLOOKUP(A220,JanApport,MATCH($AK$4,'Jan 2022 Apport'!$3:$3,0),FALSE)</f>
        <v>3.0640000000000001</v>
      </c>
      <c r="AL220" s="117">
        <f t="shared" si="34"/>
        <v>7530496.2799999993</v>
      </c>
      <c r="AM220" s="117">
        <f>VLOOKUP(A220,JanApport,MATCH($AM$4,'Jan 2022 Apport'!$3:$3,0),FALSE)</f>
        <v>0</v>
      </c>
      <c r="AN220" s="117">
        <f>VLOOKUP(A220,JanApport,MATCH($AN$4,'Jan 2022 Apport'!$3:$3,0),FALSE)</f>
        <v>23721.37</v>
      </c>
    </row>
    <row r="221" spans="1:40">
      <c r="A221" s="2" t="s">
        <v>53</v>
      </c>
      <c r="B221" s="2" t="s">
        <v>54</v>
      </c>
      <c r="C221" s="2" t="s">
        <v>1267</v>
      </c>
      <c r="D221" s="118">
        <f>VLOOKUP(A221,JanApport,MATCH($D$4,'Jan 2022 Apport'!$3:$3,FALSE),FALSE)</f>
        <v>2024600.42</v>
      </c>
      <c r="E221" s="30">
        <f>VLOOKUP(A221,JanApport,MATCH($E$2,'Jan 2022 Apport'!$3:$3,0),FALSE)+VLOOKUP(A221,JanApport,MATCH($E$3,'Jan 2022 Apport'!$3:$3,0),FALSE)+VLOOKUP(A221,JanApport,MATCH($E$4,'Jan 2022 Apport'!$3:$3,0),FALSE)</f>
        <v>93136.41</v>
      </c>
      <c r="F221" s="118">
        <f t="shared" si="35"/>
        <v>1931464.01</v>
      </c>
      <c r="G221" s="117">
        <f>VLOOKUP(A221,JanApport,MATCH($G$4,'Jan 2022 Apport'!$3:$3,0),FALSE)</f>
        <v>0</v>
      </c>
      <c r="H221" s="117">
        <f>VLOOKUP(A221,JanApport,MATCH($H$3,'Jan 2022 Apport'!$3:$3,0),FALSE)+VLOOKUP(A221,JanApport,MATCH($H$2,'Jan 2022 Apport'!$3:$3,0),FALSE)+VLOOKUP(A221,JanApport,MATCH($H$4,'Jan 2022 Apport'!$3:$3,0),FALSE)</f>
        <v>135790.22999999998</v>
      </c>
      <c r="I221" s="117">
        <f t="shared" si="36"/>
        <v>135790.22999999998</v>
      </c>
      <c r="J221" s="117">
        <f>VLOOKUP(A221,JanApport,MATCH($J$4,'Jan 2022 Apport'!$3:$3,0),FALSE)</f>
        <v>56343.199999999997</v>
      </c>
      <c r="K221" s="117">
        <f>VLOOKUP(A221,JanApport,MATCH($K$4,'Jan 2022 Apport'!$3:$3,0),FALSE)</f>
        <v>0</v>
      </c>
      <c r="L221" s="117">
        <f t="shared" si="37"/>
        <v>56343.199999999997</v>
      </c>
      <c r="M221" s="117">
        <f>VLOOKUP(A221,JanApport,MATCH($M$4,'Jan 2022 Apport'!$3:$3,0),FALSE)</f>
        <v>80615.86</v>
      </c>
      <c r="N221" s="117">
        <f>VLOOKUP(A221,JanApport,MATCH($N$4,'Jan 2022 Apport'!$3:$3,0),FALSE)</f>
        <v>0</v>
      </c>
      <c r="O221" s="117">
        <f>VLOOKUP(A221,JanApport,MATCH($O$4,'Jan 2022 Apport'!$3:$3,0),FALSE)</f>
        <v>0</v>
      </c>
      <c r="P221" s="121">
        <f>IFERROR((VLOOKUP(A221,ExcessLevy!A:G,3,FALSE)*0.28),0)+IFERROR((VLOOKUP(A221,ExcessLevy!A:G,6,FALSE)*0.72),0)</f>
        <v>23780.671199999997</v>
      </c>
      <c r="Q221" s="121">
        <f>IFERROR((VLOOKUP(A221,ExcessLevy!A:G,4,FALSE)*0.4738),0)+IFERROR((VLOOKUP(A221,ExcessLevy!A:G,7,FALSE)*0.5262),0)</f>
        <v>0</v>
      </c>
      <c r="R221">
        <f>VLOOKUP(A221,JanApport,MATCH($R$4,'Jan 2022 Apport'!$3:$3,0),FALSE)</f>
        <v>0</v>
      </c>
      <c r="S221">
        <f>VLOOKUP(A221,JanApport,MATCH($S$4,'Jan 2022 Apport'!$3:$3,0),FALSE)</f>
        <v>1.65</v>
      </c>
      <c r="T221">
        <f>VLOOKUP(A221,JanApport,MATCH($T$4,'Jan 2022 Apport'!$3:$3,0),FALSE)</f>
        <v>8.7899999999999991</v>
      </c>
      <c r="U221" s="132">
        <f>IFERROR(VLOOKUP(A221,JanApport,MATCH($U$4,'Jan 2022 Apport'!$3:$3,0),FALSE)/R221,0)</f>
        <v>0</v>
      </c>
      <c r="V221" s="30">
        <f>IFERROR(((VLOOKUP(A221,JanApport,MATCH($V$4,'Jan 2022 Apport'!$3:$3,0),FALSE)+VLOOKUP(A221,JanApport,MATCH($V$3,'Jan 2022 Apport'!$3:$3,0),FALSE))/(S221+T221)),0)</f>
        <v>8921.1120689655181</v>
      </c>
      <c r="W221" s="30">
        <f t="shared" si="30"/>
        <v>8083.6246967786601</v>
      </c>
      <c r="X221">
        <f>VLOOKUP(A221,JanApport,MATCH($X$4,'Jan 2022 Apport'!$3:$3,0),FALSE)</f>
        <v>4.8578999999999997E-2</v>
      </c>
      <c r="Y221">
        <f>VLOOKUP(A221,JanApport,MATCH($Y$4,'Jan 2022 Apport'!$3:$3,0),FALSE)</f>
        <v>4.0270000000000002E-3</v>
      </c>
      <c r="Z221">
        <f>VLOOKUP(A221,JanApport,MATCH($Z$4,'Jan 2022 Apport'!$3:$3,0),FALSE)</f>
        <v>1.7100000000000001E-2</v>
      </c>
      <c r="AA221" s="77">
        <f>VLOOKUP(A221,JanApport,MATCH($AA$4,'Jan 2022 Apport'!$3:$3,0),FALSE)*VLOOKUP(A221,JanApport,MATCH($AA$3,'Jan 2022 Apport'!$3:$3,0),FALSE)</f>
        <v>67585</v>
      </c>
      <c r="AB221" s="77">
        <f>VLOOKUP(A221,JanApport,MATCH($AB$4,'Jan 2022 Apport'!$3:$3,0),FALSE)*VLOOKUP(A221,JanApport,MATCH($AB$3,'Jan 2022 Apport'!$3:$3,0),FALSE)</f>
        <v>68937</v>
      </c>
      <c r="AC221" s="77">
        <f>VLOOKUP(A221,JanApport,MATCH($AC$4,'Jan 2022 Apport'!$3:$3,0),FALSE)</f>
        <v>100321</v>
      </c>
      <c r="AD221" s="77">
        <f>VLOOKUP(A221,JanApport,MATCH($AD$4,'Jan 2022 Apport'!$3:$3,0),FALSE)*VLOOKUP(A221,JanApport,MATCH($AD$3,'Jan 2022 Apport'!$3:$3,0),FALSE)</f>
        <v>102327</v>
      </c>
      <c r="AE221" s="77">
        <f>VLOOKUP(A221,JanApport,MATCH($AE$4,'Jan 2022 Apport'!$3:$3,0),FALSE)</f>
        <v>48483</v>
      </c>
      <c r="AF221" s="77">
        <f>VLOOKUP(A221,JanApport,MATCH($AF$4,'Jan 2022 Apport'!$3:$3,0),FALSE)*VLOOKUP(A221,JanApport,MATCH($AF$3,'Jan 2022 Apport'!$3:$3,0),FALSE)</f>
        <v>49453</v>
      </c>
      <c r="AG221" s="77">
        <f t="shared" si="31"/>
        <v>96432.259900000005</v>
      </c>
      <c r="AH221" s="77">
        <f t="shared" si="32"/>
        <v>137400.94330000001</v>
      </c>
      <c r="AI221" s="77">
        <f t="shared" si="33"/>
        <v>77281.189732599989</v>
      </c>
      <c r="AJ221" s="3">
        <f>VLOOKUP(A221,JanApport,MATCH($AJ$4,'Jan 2022 Apport'!$3:$3,0),FALSE)</f>
        <v>240241.91</v>
      </c>
      <c r="AK221" s="3">
        <f>VLOOKUP(A221,JanApport,MATCH($AK$4,'Jan 2022 Apport'!$3:$3,0),FALSE)</f>
        <v>2.0649999999999999</v>
      </c>
      <c r="AL221" s="117">
        <f t="shared" si="34"/>
        <v>2334624.7599999998</v>
      </c>
      <c r="AM221" s="117">
        <f>VLOOKUP(A221,JanApport,MATCH($AM$4,'Jan 2022 Apport'!$3:$3,0),FALSE)</f>
        <v>37275.050000000003</v>
      </c>
      <c r="AN221" s="117">
        <f>VLOOKUP(A221,JanApport,MATCH($AN$4,'Jan 2022 Apport'!$3:$3,0),FALSE)</f>
        <v>17781.189999999999</v>
      </c>
    </row>
    <row r="222" spans="1:40">
      <c r="A222" s="2" t="s">
        <v>51</v>
      </c>
      <c r="B222" s="2" t="s">
        <v>52</v>
      </c>
      <c r="C222" s="2" t="s">
        <v>1267</v>
      </c>
      <c r="D222" s="118">
        <f>VLOOKUP(A222,JanApport,MATCH($D$4,'Jan 2022 Apport'!$3:$3,FALSE),FALSE)</f>
        <v>28537357.609999999</v>
      </c>
      <c r="E222" s="30">
        <f>VLOOKUP(A222,JanApport,MATCH($E$2,'Jan 2022 Apport'!$3:$3,0),FALSE)+VLOOKUP(A222,JanApport,MATCH($E$3,'Jan 2022 Apport'!$3:$3,0),FALSE)+VLOOKUP(A222,JanApport,MATCH($E$4,'Jan 2022 Apport'!$3:$3,0),FALSE)</f>
        <v>503895.27999999997</v>
      </c>
      <c r="F222" s="118">
        <f t="shared" si="35"/>
        <v>28033462.329999998</v>
      </c>
      <c r="G222" s="117">
        <f>VLOOKUP(A222,JanApport,MATCH($G$4,'Jan 2022 Apport'!$3:$3,0),FALSE)</f>
        <v>95636.53</v>
      </c>
      <c r="H222" s="117">
        <f>VLOOKUP(A222,JanApport,MATCH($H$3,'Jan 2022 Apport'!$3:$3,0),FALSE)+VLOOKUP(A222,JanApport,MATCH($H$2,'Jan 2022 Apport'!$3:$3,0),FALSE)+VLOOKUP(A222,JanApport,MATCH($H$4,'Jan 2022 Apport'!$3:$3,0),FALSE)</f>
        <v>3684226.0799999996</v>
      </c>
      <c r="I222" s="117">
        <f t="shared" si="36"/>
        <v>3779862.6099999994</v>
      </c>
      <c r="J222" s="117">
        <f>VLOOKUP(A222,JanApport,MATCH($J$4,'Jan 2022 Apport'!$3:$3,0),FALSE)</f>
        <v>615681.75</v>
      </c>
      <c r="K222" s="117">
        <f>VLOOKUP(A222,JanApport,MATCH($K$4,'Jan 2022 Apport'!$3:$3,0),FALSE)</f>
        <v>70972.36</v>
      </c>
      <c r="L222" s="117">
        <f t="shared" si="37"/>
        <v>686654.11</v>
      </c>
      <c r="M222" s="117">
        <f>VLOOKUP(A222,JanApport,MATCH($M$4,'Jan 2022 Apport'!$3:$3,0),FALSE)</f>
        <v>1306877.04</v>
      </c>
      <c r="N222" s="117">
        <f>VLOOKUP(A222,JanApport,MATCH($N$4,'Jan 2022 Apport'!$3:$3,0),FALSE)</f>
        <v>370598.16</v>
      </c>
      <c r="O222" s="117">
        <f>VLOOKUP(A222,JanApport,MATCH($O$4,'Jan 2022 Apport'!$3:$3,0),FALSE)</f>
        <v>0</v>
      </c>
      <c r="P222" s="121">
        <f>IFERROR((VLOOKUP(A222,ExcessLevy!A:G,3,FALSE)*0.28),0)+IFERROR((VLOOKUP(A222,ExcessLevy!A:G,6,FALSE)*0.72),0)</f>
        <v>4075668.0904000001</v>
      </c>
      <c r="Q222" s="121">
        <f>IFERROR((VLOOKUP(A222,ExcessLevy!A:G,4,FALSE)*0.4738),0)+IFERROR((VLOOKUP(A222,ExcessLevy!A:G,7,FALSE)*0.5262),0)</f>
        <v>714820.61263600003</v>
      </c>
      <c r="R222">
        <f>VLOOKUP(A222,JanApport,MATCH($R$4,'Jan 2022 Apport'!$3:$3,0),FALSE)</f>
        <v>0</v>
      </c>
      <c r="S222">
        <f>VLOOKUP(A222,JanApport,MATCH($S$4,'Jan 2022 Apport'!$3:$3,0),FALSE)</f>
        <v>13.1</v>
      </c>
      <c r="T222">
        <f>VLOOKUP(A222,JanApport,MATCH($T$4,'Jan 2022 Apport'!$3:$3,0),FALSE)</f>
        <v>43.4</v>
      </c>
      <c r="U222" s="132">
        <f>IFERROR(VLOOKUP(A222,JanApport,MATCH($U$4,'Jan 2022 Apport'!$3:$3,0),FALSE)/R222,0)</f>
        <v>0</v>
      </c>
      <c r="V222" s="30">
        <f>IFERROR(((VLOOKUP(A222,JanApport,MATCH($V$4,'Jan 2022 Apport'!$3:$3,0),FALSE)+VLOOKUP(A222,JanApport,MATCH($V$3,'Jan 2022 Apport'!$3:$3,0),FALSE))/(S222+T222)),0)</f>
        <v>8918.5005309734515</v>
      </c>
      <c r="W222" s="30">
        <f t="shared" si="30"/>
        <v>8419.5917413774914</v>
      </c>
      <c r="X222">
        <f>VLOOKUP(A222,JanApport,MATCH($X$4,'Jan 2022 Apport'!$3:$3,0),FALSE)</f>
        <v>4.8578999999999997E-2</v>
      </c>
      <c r="Y222">
        <f>VLOOKUP(A222,JanApport,MATCH($Y$4,'Jan 2022 Apport'!$3:$3,0),FALSE)</f>
        <v>4.0270000000000002E-3</v>
      </c>
      <c r="Z222">
        <f>VLOOKUP(A222,JanApport,MATCH($Z$4,'Jan 2022 Apport'!$3:$3,0),FALSE)</f>
        <v>1.7100000000000001E-2</v>
      </c>
      <c r="AA222" s="77">
        <f>VLOOKUP(A222,JanApport,MATCH($AA$4,'Jan 2022 Apport'!$3:$3,0),FALSE)*VLOOKUP(A222,JanApport,MATCH($AA$3,'Jan 2022 Apport'!$3:$3,0),FALSE)</f>
        <v>67585</v>
      </c>
      <c r="AB222" s="77">
        <f>VLOOKUP(A222,JanApport,MATCH($AB$4,'Jan 2022 Apport'!$3:$3,0),FALSE)*VLOOKUP(A222,JanApport,MATCH($AB$3,'Jan 2022 Apport'!$3:$3,0),FALSE)</f>
        <v>73073.22</v>
      </c>
      <c r="AC222" s="77">
        <f>VLOOKUP(A222,JanApport,MATCH($AC$4,'Jan 2022 Apport'!$3:$3,0),FALSE)</f>
        <v>100321</v>
      </c>
      <c r="AD222" s="77">
        <f>VLOOKUP(A222,JanApport,MATCH($AD$4,'Jan 2022 Apport'!$3:$3,0),FALSE)*VLOOKUP(A222,JanApport,MATCH($AD$3,'Jan 2022 Apport'!$3:$3,0),FALSE)</f>
        <v>108466.62000000001</v>
      </c>
      <c r="AE222" s="77">
        <f>VLOOKUP(A222,JanApport,MATCH($AE$4,'Jan 2022 Apport'!$3:$3,0),FALSE)</f>
        <v>48483</v>
      </c>
      <c r="AF222" s="77">
        <f>VLOOKUP(A222,JanApport,MATCH($AF$4,'Jan 2022 Apport'!$3:$3,0),FALSE)*VLOOKUP(A222,JanApport,MATCH($AF$3,'Jan 2022 Apport'!$3:$3,0),FALSE)</f>
        <v>52420.18</v>
      </c>
      <c r="AG222" s="77">
        <f t="shared" si="31"/>
        <v>101481.343654</v>
      </c>
      <c r="AH222" s="77">
        <f t="shared" si="32"/>
        <v>144895.57743400004</v>
      </c>
      <c r="AI222" s="77">
        <f t="shared" si="33"/>
        <v>80819.594016556002</v>
      </c>
      <c r="AJ222" s="3">
        <f>VLOOKUP(A222,JanApport,MATCH($AJ$4,'Jan 2022 Apport'!$3:$3,0),FALSE)</f>
        <v>1176843.74</v>
      </c>
      <c r="AK222" s="3">
        <f>VLOOKUP(A222,JanApport,MATCH($AK$4,'Jan 2022 Apport'!$3:$3,0),FALSE)</f>
        <v>18.675999999999998</v>
      </c>
      <c r="AL222" s="117">
        <f t="shared" si="34"/>
        <v>34882064.349999994</v>
      </c>
      <c r="AM222" s="117">
        <f>VLOOKUP(A222,JanApport,MATCH($AM$4,'Jan 2022 Apport'!$3:$3,0),FALSE)</f>
        <v>271687.18</v>
      </c>
      <c r="AN222" s="117">
        <f>VLOOKUP(A222,JanApport,MATCH($AN$4,'Jan 2022 Apport'!$3:$3,0),FALSE)</f>
        <v>64886.33</v>
      </c>
    </row>
    <row r="223" spans="1:40">
      <c r="A223" s="2" t="s">
        <v>123</v>
      </c>
      <c r="B223" s="2" t="s">
        <v>124</v>
      </c>
      <c r="C223" s="2" t="s">
        <v>1267</v>
      </c>
      <c r="D223" s="118">
        <f>VLOOKUP(A223,JanApport,MATCH($D$4,'Jan 2022 Apport'!$3:$3,FALSE),FALSE)</f>
        <v>27493237.559999999</v>
      </c>
      <c r="E223" s="30">
        <f>VLOOKUP(A223,JanApport,MATCH($E$2,'Jan 2022 Apport'!$3:$3,0),FALSE)+VLOOKUP(A223,JanApport,MATCH($E$3,'Jan 2022 Apport'!$3:$3,0),FALSE)+VLOOKUP(A223,JanApport,MATCH($E$4,'Jan 2022 Apport'!$3:$3,0),FALSE)</f>
        <v>2453710.14</v>
      </c>
      <c r="F223" s="118">
        <f t="shared" si="35"/>
        <v>25039527.419999998</v>
      </c>
      <c r="G223" s="117">
        <f>VLOOKUP(A223,JanApport,MATCH($G$4,'Jan 2022 Apport'!$3:$3,0),FALSE)</f>
        <v>124001.19</v>
      </c>
      <c r="H223" s="117">
        <f>VLOOKUP(A223,JanApport,MATCH($H$3,'Jan 2022 Apport'!$3:$3,0),FALSE)+VLOOKUP(A223,JanApport,MATCH($H$2,'Jan 2022 Apport'!$3:$3,0),FALSE)+VLOOKUP(A223,JanApport,MATCH($H$4,'Jan 2022 Apport'!$3:$3,0),FALSE)</f>
        <v>3675332.87</v>
      </c>
      <c r="I223" s="117">
        <f t="shared" si="36"/>
        <v>3799334.06</v>
      </c>
      <c r="J223" s="117">
        <f>VLOOKUP(A223,JanApport,MATCH($J$4,'Jan 2022 Apport'!$3:$3,0),FALSE)</f>
        <v>1636627.09</v>
      </c>
      <c r="K223" s="117">
        <f>VLOOKUP(A223,JanApport,MATCH($K$4,'Jan 2022 Apport'!$3:$3,0),FALSE)</f>
        <v>183780.56</v>
      </c>
      <c r="L223" s="117">
        <f t="shared" si="37"/>
        <v>1820407.6500000001</v>
      </c>
      <c r="M223" s="117">
        <f>VLOOKUP(A223,JanApport,MATCH($M$4,'Jan 2022 Apport'!$3:$3,0),FALSE)</f>
        <v>1496774.35</v>
      </c>
      <c r="N223" s="117">
        <f>VLOOKUP(A223,JanApport,MATCH($N$4,'Jan 2022 Apport'!$3:$3,0),FALSE)</f>
        <v>1907289.1</v>
      </c>
      <c r="O223" s="117">
        <f>VLOOKUP(A223,JanApport,MATCH($O$4,'Jan 2022 Apport'!$3:$3,0),FALSE)</f>
        <v>88540.479999999996</v>
      </c>
      <c r="P223" s="121">
        <f>IFERROR((VLOOKUP(A223,ExcessLevy!A:G,3,FALSE)*0.28),0)+IFERROR((VLOOKUP(A223,ExcessLevy!A:G,6,FALSE)*0.72),0)</f>
        <v>0</v>
      </c>
      <c r="Q223" s="121">
        <f>IFERROR((VLOOKUP(A223,ExcessLevy!A:G,4,FALSE)*0.4738),0)+IFERROR((VLOOKUP(A223,ExcessLevy!A:G,7,FALSE)*0.5262),0)</f>
        <v>8242571.4419999998</v>
      </c>
      <c r="R223">
        <f>VLOOKUP(A223,JanApport,MATCH($R$4,'Jan 2022 Apport'!$3:$3,0),FALSE)</f>
        <v>0</v>
      </c>
      <c r="S223">
        <f>VLOOKUP(A223,JanApport,MATCH($S$4,'Jan 2022 Apport'!$3:$3,0),FALSE)</f>
        <v>51.71</v>
      </c>
      <c r="T223">
        <f>VLOOKUP(A223,JanApport,MATCH($T$4,'Jan 2022 Apport'!$3:$3,0),FALSE)</f>
        <v>223.35</v>
      </c>
      <c r="U223" s="132">
        <f>IFERROR(VLOOKUP(A223,JanApport,MATCH($U$4,'Jan 2022 Apport'!$3:$3,0),FALSE)/R223,0)</f>
        <v>0</v>
      </c>
      <c r="V223" s="30">
        <f>IFERROR(((VLOOKUP(A223,JanApport,MATCH($V$4,'Jan 2022 Apport'!$3:$3,0),FALSE)+VLOOKUP(A223,JanApport,MATCH($V$3,'Jan 2022 Apport'!$3:$3,0),FALSE))/(S223+T223)),0)</f>
        <v>8920.6360066894504</v>
      </c>
      <c r="W223" s="30">
        <f t="shared" si="30"/>
        <v>8083.6246967786601</v>
      </c>
      <c r="X223">
        <f>VLOOKUP(A223,JanApport,MATCH($X$4,'Jan 2022 Apport'!$3:$3,0),FALSE)</f>
        <v>4.8578999999999997E-2</v>
      </c>
      <c r="Y223">
        <f>VLOOKUP(A223,JanApport,MATCH($Y$4,'Jan 2022 Apport'!$3:$3,0),FALSE)</f>
        <v>4.0270000000000002E-3</v>
      </c>
      <c r="Z223">
        <f>VLOOKUP(A223,JanApport,MATCH($Z$4,'Jan 2022 Apport'!$3:$3,0),FALSE)</f>
        <v>1.7100000000000001E-2</v>
      </c>
      <c r="AA223" s="77">
        <f>VLOOKUP(A223,JanApport,MATCH($AA$4,'Jan 2022 Apport'!$3:$3,0),FALSE)*VLOOKUP(A223,JanApport,MATCH($AA$3,'Jan 2022 Apport'!$3:$3,0),FALSE)</f>
        <v>67585</v>
      </c>
      <c r="AB223" s="77">
        <f>VLOOKUP(A223,JanApport,MATCH($AB$4,'Jan 2022 Apport'!$3:$3,0),FALSE)*VLOOKUP(A223,JanApport,MATCH($AB$3,'Jan 2022 Apport'!$3:$3,0),FALSE)</f>
        <v>68937</v>
      </c>
      <c r="AC223" s="77">
        <f>VLOOKUP(A223,JanApport,MATCH($AC$4,'Jan 2022 Apport'!$3:$3,0),FALSE)</f>
        <v>100321</v>
      </c>
      <c r="AD223" s="77">
        <f>VLOOKUP(A223,JanApport,MATCH($AD$4,'Jan 2022 Apport'!$3:$3,0),FALSE)*VLOOKUP(A223,JanApport,MATCH($AD$3,'Jan 2022 Apport'!$3:$3,0),FALSE)</f>
        <v>102327</v>
      </c>
      <c r="AE223" s="77">
        <f>VLOOKUP(A223,JanApport,MATCH($AE$4,'Jan 2022 Apport'!$3:$3,0),FALSE)</f>
        <v>48483</v>
      </c>
      <c r="AF223" s="77">
        <f>VLOOKUP(A223,JanApport,MATCH($AF$4,'Jan 2022 Apport'!$3:$3,0),FALSE)*VLOOKUP(A223,JanApport,MATCH($AF$3,'Jan 2022 Apport'!$3:$3,0),FALSE)</f>
        <v>49453</v>
      </c>
      <c r="AG223" s="77">
        <f t="shared" si="31"/>
        <v>96432.259900000005</v>
      </c>
      <c r="AH223" s="77">
        <f t="shared" si="32"/>
        <v>137400.94330000001</v>
      </c>
      <c r="AI223" s="77">
        <f t="shared" si="33"/>
        <v>77281.189732599989</v>
      </c>
      <c r="AJ223" s="3">
        <f>VLOOKUP(A223,JanApport,MATCH($AJ$4,'Jan 2022 Apport'!$3:$3,0),FALSE)</f>
        <v>3847199.03</v>
      </c>
      <c r="AK223" s="3">
        <f>VLOOKUP(A223,JanApport,MATCH($AK$4,'Jan 2022 Apport'!$3:$3,0),FALSE)</f>
        <v>61.359000000000002</v>
      </c>
      <c r="AL223" s="117">
        <f t="shared" si="34"/>
        <v>37285879.440000005</v>
      </c>
      <c r="AM223" s="117">
        <f>VLOOKUP(A223,JanApport,MATCH($AM$4,'Jan 2022 Apport'!$3:$3,0),FALSE)</f>
        <v>864076.80000000005</v>
      </c>
      <c r="AN223" s="117">
        <f>VLOOKUP(A223,JanApport,MATCH($AN$4,'Jan 2022 Apport'!$3:$3,0),FALSE)</f>
        <v>212448.61</v>
      </c>
    </row>
    <row r="224" spans="1:40">
      <c r="A224" s="2" t="s">
        <v>225</v>
      </c>
      <c r="B224" s="2" t="s">
        <v>226</v>
      </c>
      <c r="C224" s="2" t="s">
        <v>1267</v>
      </c>
      <c r="D224" s="118">
        <f>VLOOKUP(A224,JanApport,MATCH($D$4,'Jan 2022 Apport'!$3:$3,FALSE),FALSE)</f>
        <v>2875368.5</v>
      </c>
      <c r="E224" s="30">
        <f>VLOOKUP(A224,JanApport,MATCH($E$2,'Jan 2022 Apport'!$3:$3,0),FALSE)+VLOOKUP(A224,JanApport,MATCH($E$3,'Jan 2022 Apport'!$3:$3,0),FALSE)+VLOOKUP(A224,JanApport,MATCH($E$4,'Jan 2022 Apport'!$3:$3,0),FALSE)</f>
        <v>0</v>
      </c>
      <c r="F224" s="118">
        <f t="shared" si="35"/>
        <v>2875368.5</v>
      </c>
      <c r="G224" s="117">
        <f>VLOOKUP(A224,JanApport,MATCH($G$4,'Jan 2022 Apport'!$3:$3,0),FALSE)</f>
        <v>0</v>
      </c>
      <c r="H224" s="117">
        <f>VLOOKUP(A224,JanApport,MATCH($H$3,'Jan 2022 Apport'!$3:$3,0),FALSE)+VLOOKUP(A224,JanApport,MATCH($H$2,'Jan 2022 Apport'!$3:$3,0),FALSE)+VLOOKUP(A224,JanApport,MATCH($H$4,'Jan 2022 Apport'!$3:$3,0),FALSE)</f>
        <v>217363.33</v>
      </c>
      <c r="I224" s="117">
        <f t="shared" si="36"/>
        <v>217363.33</v>
      </c>
      <c r="J224" s="117">
        <f>VLOOKUP(A224,JanApport,MATCH($J$4,'Jan 2022 Apport'!$3:$3,0),FALSE)</f>
        <v>317130.34000000003</v>
      </c>
      <c r="K224" s="117">
        <f>VLOOKUP(A224,JanApport,MATCH($K$4,'Jan 2022 Apport'!$3:$3,0),FALSE)</f>
        <v>0</v>
      </c>
      <c r="L224" s="117">
        <f t="shared" si="37"/>
        <v>317130.34000000003</v>
      </c>
      <c r="M224" s="117">
        <f>VLOOKUP(A224,JanApport,MATCH($M$4,'Jan 2022 Apport'!$3:$3,0),FALSE)</f>
        <v>169062.02</v>
      </c>
      <c r="N224" s="117">
        <f>VLOOKUP(A224,JanApport,MATCH($N$4,'Jan 2022 Apport'!$3:$3,0),FALSE)</f>
        <v>184132.57</v>
      </c>
      <c r="O224" s="117">
        <f>VLOOKUP(A224,JanApport,MATCH($O$4,'Jan 2022 Apport'!$3:$3,0),FALSE)</f>
        <v>0</v>
      </c>
      <c r="P224" s="121">
        <f>IFERROR((VLOOKUP(A224,ExcessLevy!A:G,3,FALSE)*0.28),0)+IFERROR((VLOOKUP(A224,ExcessLevy!A:G,6,FALSE)*0.72),0)</f>
        <v>0</v>
      </c>
      <c r="Q224" s="121">
        <f>IFERROR((VLOOKUP(A224,ExcessLevy!A:G,4,FALSE)*0.4738),0)+IFERROR((VLOOKUP(A224,ExcessLevy!A:G,7,FALSE)*0.5262),0)</f>
        <v>0</v>
      </c>
      <c r="R224">
        <f>VLOOKUP(A224,JanApport,MATCH($R$4,'Jan 2022 Apport'!$3:$3,0),FALSE)</f>
        <v>0</v>
      </c>
      <c r="S224">
        <f>VLOOKUP(A224,JanApport,MATCH($S$4,'Jan 2022 Apport'!$3:$3,0),FALSE)</f>
        <v>0</v>
      </c>
      <c r="T224">
        <f>VLOOKUP(A224,JanApport,MATCH($T$4,'Jan 2022 Apport'!$3:$3,0),FALSE)</f>
        <v>0</v>
      </c>
      <c r="U224" s="132">
        <f>IFERROR(VLOOKUP(A224,JanApport,MATCH($U$4,'Jan 2022 Apport'!$3:$3,0),FALSE)/R224,0)</f>
        <v>0</v>
      </c>
      <c r="V224" s="30">
        <f>IFERROR(((VLOOKUP(A224,JanApport,MATCH($V$4,'Jan 2022 Apport'!$3:$3,0),FALSE)+VLOOKUP(A224,JanApport,MATCH($V$3,'Jan 2022 Apport'!$3:$3,0),FALSE))/(S224+T224)),0)</f>
        <v>0</v>
      </c>
      <c r="W224" s="30">
        <f t="shared" si="30"/>
        <v>2456.353584791681</v>
      </c>
      <c r="X224">
        <f>VLOOKUP(A224,JanApport,MATCH($X$4,'Jan 2022 Apport'!$3:$3,0),FALSE)</f>
        <v>4.8578999999999997E-2</v>
      </c>
      <c r="Y224">
        <f>VLOOKUP(A224,JanApport,MATCH($Y$4,'Jan 2022 Apport'!$3:$3,0),FALSE)</f>
        <v>4.0270000000000002E-3</v>
      </c>
      <c r="Z224">
        <f>VLOOKUP(A224,JanApport,MATCH($Z$4,'Jan 2022 Apport'!$3:$3,0),FALSE)</f>
        <v>1.7100000000000001E-2</v>
      </c>
      <c r="AA224" s="77">
        <f>VLOOKUP(A224,JanApport,MATCH($AA$4,'Jan 2022 Apport'!$3:$3,0),FALSE)*VLOOKUP(A224,JanApport,MATCH($AA$3,'Jan 2022 Apport'!$3:$3,0),FALSE)</f>
        <v>79750.3</v>
      </c>
      <c r="AB224" s="77">
        <f>VLOOKUP(A224,JanApport,MATCH($AB$4,'Jan 2022 Apport'!$3:$3,0),FALSE)*VLOOKUP(A224,JanApport,MATCH($AB$3,'Jan 2022 Apport'!$3:$3,0),FALSE)</f>
        <v>0</v>
      </c>
      <c r="AC224" s="77">
        <f>VLOOKUP(A224,JanApport,MATCH($AC$4,'Jan 2022 Apport'!$3:$3,0),FALSE)</f>
        <v>0</v>
      </c>
      <c r="AD224" s="77">
        <f>VLOOKUP(A224,JanApport,MATCH($AD$4,'Jan 2022 Apport'!$3:$3,0),FALSE)*VLOOKUP(A224,JanApport,MATCH($AD$3,'Jan 2022 Apport'!$3:$3,0),FALSE)</f>
        <v>0</v>
      </c>
      <c r="AE224" s="77">
        <f>VLOOKUP(A224,JanApport,MATCH($AE$4,'Jan 2022 Apport'!$3:$3,0),FALSE)</f>
        <v>0</v>
      </c>
      <c r="AF224" s="77">
        <f>VLOOKUP(A224,JanApport,MATCH($AF$4,'Jan 2022 Apport'!$3:$3,0),FALSE)*VLOOKUP(A224,JanApport,MATCH($AF$3,'Jan 2022 Apport'!$3:$3,0),FALSE)</f>
        <v>0</v>
      </c>
      <c r="AG224" s="77">
        <f t="shared" si="31"/>
        <v>12358.721920000018</v>
      </c>
      <c r="AH224" s="77">
        <f t="shared" si="32"/>
        <v>11848.32</v>
      </c>
      <c r="AI224" s="77">
        <f t="shared" si="33"/>
        <v>16610.88</v>
      </c>
      <c r="AJ224" s="3">
        <f>VLOOKUP(A224,JanApport,MATCH($AJ$4,'Jan 2022 Apport'!$3:$3,0),FALSE)</f>
        <v>440902.77</v>
      </c>
      <c r="AK224" s="3">
        <f>VLOOKUP(A224,JanApport,MATCH($AK$4,'Jan 2022 Apport'!$3:$3,0),FALSE)</f>
        <v>0</v>
      </c>
      <c r="AL224" s="117">
        <f t="shared" si="34"/>
        <v>3877275.61</v>
      </c>
      <c r="AM224" s="117">
        <f>VLOOKUP(A224,JanApport,MATCH($AM$4,'Jan 2022 Apport'!$3:$3,0),FALSE)</f>
        <v>114218.85</v>
      </c>
      <c r="AN224" s="117">
        <f>VLOOKUP(A224,JanApport,MATCH($AN$4,'Jan 2022 Apport'!$3:$3,0),FALSE)</f>
        <v>25114.28</v>
      </c>
    </row>
    <row r="225" spans="1:40">
      <c r="A225" s="2" t="s">
        <v>515</v>
      </c>
      <c r="B225" s="2" t="s">
        <v>516</v>
      </c>
      <c r="C225" s="2" t="s">
        <v>1267</v>
      </c>
      <c r="D225" s="118">
        <f>VLOOKUP(A225,JanApport,MATCH($D$4,'Jan 2022 Apport'!$3:$3,FALSE),FALSE)</f>
        <v>8023800.1500000004</v>
      </c>
      <c r="E225" s="30">
        <f>VLOOKUP(A225,JanApport,MATCH($E$2,'Jan 2022 Apport'!$3:$3,0),FALSE)+VLOOKUP(A225,JanApport,MATCH($E$3,'Jan 2022 Apport'!$3:$3,0),FALSE)+VLOOKUP(A225,JanApport,MATCH($E$4,'Jan 2022 Apport'!$3:$3,0),FALSE)</f>
        <v>700270.37</v>
      </c>
      <c r="F225" s="118">
        <f t="shared" si="35"/>
        <v>7323529.7800000003</v>
      </c>
      <c r="G225" s="117">
        <f>VLOOKUP(A225,JanApport,MATCH($G$4,'Jan 2022 Apport'!$3:$3,0),FALSE)</f>
        <v>65027.79</v>
      </c>
      <c r="H225" s="117">
        <f>VLOOKUP(A225,JanApport,MATCH($H$3,'Jan 2022 Apport'!$3:$3,0),FALSE)+VLOOKUP(A225,JanApport,MATCH($H$2,'Jan 2022 Apport'!$3:$3,0),FALSE)+VLOOKUP(A225,JanApport,MATCH($H$4,'Jan 2022 Apport'!$3:$3,0),FALSE)</f>
        <v>1042869.0999999999</v>
      </c>
      <c r="I225" s="117">
        <f t="shared" si="36"/>
        <v>1107896.8899999999</v>
      </c>
      <c r="J225" s="117">
        <f>VLOOKUP(A225,JanApport,MATCH($J$4,'Jan 2022 Apport'!$3:$3,0),FALSE)</f>
        <v>432323.67</v>
      </c>
      <c r="K225" s="117">
        <f>VLOOKUP(A225,JanApport,MATCH($K$4,'Jan 2022 Apport'!$3:$3,0),FALSE)</f>
        <v>41150.449999999997</v>
      </c>
      <c r="L225" s="117">
        <f t="shared" si="37"/>
        <v>473474.12</v>
      </c>
      <c r="M225" s="117">
        <f>VLOOKUP(A225,JanApport,MATCH($M$4,'Jan 2022 Apport'!$3:$3,0),FALSE)</f>
        <v>219932.59</v>
      </c>
      <c r="N225" s="117">
        <f>VLOOKUP(A225,JanApport,MATCH($N$4,'Jan 2022 Apport'!$3:$3,0),FALSE)</f>
        <v>0</v>
      </c>
      <c r="O225" s="117">
        <f>VLOOKUP(A225,JanApport,MATCH($O$4,'Jan 2022 Apport'!$3:$3,0),FALSE)</f>
        <v>24947.87</v>
      </c>
      <c r="P225" s="121">
        <f>IFERROR((VLOOKUP(A225,ExcessLevy!A:G,3,FALSE)*0.28),0)+IFERROR((VLOOKUP(A225,ExcessLevy!A:G,6,FALSE)*0.72),0)</f>
        <v>224733.704</v>
      </c>
      <c r="Q225" s="121">
        <f>IFERROR((VLOOKUP(A225,ExcessLevy!A:G,4,FALSE)*0.4738),0)+IFERROR((VLOOKUP(A225,ExcessLevy!A:G,7,FALSE)*0.5262),0)</f>
        <v>1775051.8489999999</v>
      </c>
      <c r="R225">
        <f>VLOOKUP(A225,JanApport,MATCH($R$4,'Jan 2022 Apport'!$3:$3,0),FALSE)</f>
        <v>0</v>
      </c>
      <c r="S225">
        <f>VLOOKUP(A225,JanApport,MATCH($S$4,'Jan 2022 Apport'!$3:$3,0),FALSE)</f>
        <v>14.94</v>
      </c>
      <c r="T225">
        <f>VLOOKUP(A225,JanApport,MATCH($T$4,'Jan 2022 Apport'!$3:$3,0),FALSE)</f>
        <v>63.58</v>
      </c>
      <c r="U225" s="132">
        <f>IFERROR(VLOOKUP(A225,JanApport,MATCH($U$4,'Jan 2022 Apport'!$3:$3,0),FALSE)/R225,0)</f>
        <v>0</v>
      </c>
      <c r="V225" s="30">
        <f>IFERROR(((VLOOKUP(A225,JanApport,MATCH($V$4,'Jan 2022 Apport'!$3:$3,0),FALSE)+VLOOKUP(A225,JanApport,MATCH($V$3,'Jan 2022 Apport'!$3:$3,0),FALSE))/(S225+T225)),0)</f>
        <v>8918.369460010188</v>
      </c>
      <c r="W225" s="30">
        <f t="shared" si="30"/>
        <v>8083.6246967786601</v>
      </c>
      <c r="X225">
        <f>VLOOKUP(A225,JanApport,MATCH($X$4,'Jan 2022 Apport'!$3:$3,0),FALSE)</f>
        <v>4.8578999999999997E-2</v>
      </c>
      <c r="Y225">
        <f>VLOOKUP(A225,JanApport,MATCH($Y$4,'Jan 2022 Apport'!$3:$3,0),FALSE)</f>
        <v>4.0270000000000002E-3</v>
      </c>
      <c r="Z225">
        <f>VLOOKUP(A225,JanApport,MATCH($Z$4,'Jan 2022 Apport'!$3:$3,0),FALSE)</f>
        <v>1.7100000000000001E-2</v>
      </c>
      <c r="AA225" s="77">
        <f>VLOOKUP(A225,JanApport,MATCH($AA$4,'Jan 2022 Apport'!$3:$3,0),FALSE)*VLOOKUP(A225,JanApport,MATCH($AA$3,'Jan 2022 Apport'!$3:$3,0),FALSE)</f>
        <v>67585</v>
      </c>
      <c r="AB225" s="77">
        <f>VLOOKUP(A225,JanApport,MATCH($AB$4,'Jan 2022 Apport'!$3:$3,0),FALSE)*VLOOKUP(A225,JanApport,MATCH($AB$3,'Jan 2022 Apport'!$3:$3,0),FALSE)</f>
        <v>68937</v>
      </c>
      <c r="AC225" s="77">
        <f>VLOOKUP(A225,JanApport,MATCH($AC$4,'Jan 2022 Apport'!$3:$3,0),FALSE)</f>
        <v>100321</v>
      </c>
      <c r="AD225" s="77">
        <f>VLOOKUP(A225,JanApport,MATCH($AD$4,'Jan 2022 Apport'!$3:$3,0),FALSE)*VLOOKUP(A225,JanApport,MATCH($AD$3,'Jan 2022 Apport'!$3:$3,0),FALSE)</f>
        <v>102327</v>
      </c>
      <c r="AE225" s="77">
        <f>VLOOKUP(A225,JanApport,MATCH($AE$4,'Jan 2022 Apport'!$3:$3,0),FALSE)</f>
        <v>48483</v>
      </c>
      <c r="AF225" s="77">
        <f>VLOOKUP(A225,JanApport,MATCH($AF$4,'Jan 2022 Apport'!$3:$3,0),FALSE)*VLOOKUP(A225,JanApport,MATCH($AF$3,'Jan 2022 Apport'!$3:$3,0),FALSE)</f>
        <v>49453</v>
      </c>
      <c r="AG225" s="77">
        <f t="shared" si="31"/>
        <v>96432.259900000005</v>
      </c>
      <c r="AH225" s="77">
        <f t="shared" si="32"/>
        <v>137400.94330000001</v>
      </c>
      <c r="AI225" s="77">
        <f t="shared" si="33"/>
        <v>77281.189732599989</v>
      </c>
      <c r="AJ225" s="3">
        <f>VLOOKUP(A225,JanApport,MATCH($AJ$4,'Jan 2022 Apport'!$3:$3,0),FALSE)</f>
        <v>1111200.3799999999</v>
      </c>
      <c r="AK225" s="3">
        <f>VLOOKUP(A225,JanApport,MATCH($AK$4,'Jan 2022 Apport'!$3:$3,0),FALSE)</f>
        <v>19.297000000000001</v>
      </c>
      <c r="AL225" s="117">
        <f t="shared" si="34"/>
        <v>9808901.1699999999</v>
      </c>
      <c r="AM225" s="117">
        <f>VLOOKUP(A225,JanApport,MATCH($AM$4,'Jan 2022 Apport'!$3:$3,0),FALSE)</f>
        <v>0</v>
      </c>
      <c r="AN225" s="117">
        <f>VLOOKUP(A225,JanApport,MATCH($AN$4,'Jan 2022 Apport'!$3:$3,0),FALSE)</f>
        <v>63399.67</v>
      </c>
    </row>
    <row r="226" spans="1:40">
      <c r="A226" s="2" t="s">
        <v>345</v>
      </c>
      <c r="B226" s="2" t="s">
        <v>346</v>
      </c>
      <c r="C226" s="2" t="s">
        <v>1267</v>
      </c>
      <c r="D226" s="118">
        <f>VLOOKUP(A226,JanApport,MATCH($D$4,'Jan 2022 Apport'!$3:$3,FALSE),FALSE)</f>
        <v>5030501.28</v>
      </c>
      <c r="E226" s="30">
        <f>VLOOKUP(A226,JanApport,MATCH($E$2,'Jan 2022 Apport'!$3:$3,0),FALSE)+VLOOKUP(A226,JanApport,MATCH($E$3,'Jan 2022 Apport'!$3:$3,0),FALSE)+VLOOKUP(A226,JanApport,MATCH($E$4,'Jan 2022 Apport'!$3:$3,0),FALSE)</f>
        <v>347534.49</v>
      </c>
      <c r="F226" s="118">
        <f t="shared" si="35"/>
        <v>4682966.79</v>
      </c>
      <c r="G226" s="117">
        <f>VLOOKUP(A226,JanApport,MATCH($G$4,'Jan 2022 Apport'!$3:$3,0),FALSE)</f>
        <v>12347.1</v>
      </c>
      <c r="H226" s="117">
        <f>VLOOKUP(A226,JanApport,MATCH($H$3,'Jan 2022 Apport'!$3:$3,0),FALSE)+VLOOKUP(A226,JanApport,MATCH($H$2,'Jan 2022 Apport'!$3:$3,0),FALSE)+VLOOKUP(A226,JanApport,MATCH($H$4,'Jan 2022 Apport'!$3:$3,0),FALSE)</f>
        <v>622751</v>
      </c>
      <c r="I226" s="117">
        <f t="shared" si="36"/>
        <v>635098.1</v>
      </c>
      <c r="J226" s="117">
        <f>VLOOKUP(A226,JanApport,MATCH($J$4,'Jan 2022 Apport'!$3:$3,0),FALSE)</f>
        <v>482949.37</v>
      </c>
      <c r="K226" s="117">
        <f>VLOOKUP(A226,JanApport,MATCH($K$4,'Jan 2022 Apport'!$3:$3,0),FALSE)</f>
        <v>94503.48</v>
      </c>
      <c r="L226" s="117">
        <f t="shared" si="37"/>
        <v>577452.85</v>
      </c>
      <c r="M226" s="117">
        <f>VLOOKUP(A226,JanApport,MATCH($M$4,'Jan 2022 Apport'!$3:$3,0),FALSE)</f>
        <v>203887.7</v>
      </c>
      <c r="N226" s="117">
        <f>VLOOKUP(A226,JanApport,MATCH($N$4,'Jan 2022 Apport'!$3:$3,0),FALSE)</f>
        <v>96367.28</v>
      </c>
      <c r="O226" s="117">
        <f>VLOOKUP(A226,JanApport,MATCH($O$4,'Jan 2022 Apport'!$3:$3,0),FALSE)</f>
        <v>14773.06</v>
      </c>
      <c r="P226" s="121">
        <f>IFERROR((VLOOKUP(A226,ExcessLevy!A:G,3,FALSE)*0.28),0)+IFERROR((VLOOKUP(A226,ExcessLevy!A:G,6,FALSE)*0.72),0)</f>
        <v>420274.73839999997</v>
      </c>
      <c r="Q226" s="121">
        <f>IFERROR((VLOOKUP(A226,ExcessLevy!A:G,4,FALSE)*0.4738),0)+IFERROR((VLOOKUP(A226,ExcessLevy!A:G,7,FALSE)*0.5262),0)</f>
        <v>632000</v>
      </c>
      <c r="R226">
        <f>VLOOKUP(A226,JanApport,MATCH($R$4,'Jan 2022 Apport'!$3:$3,0),FALSE)</f>
        <v>0</v>
      </c>
      <c r="S226">
        <f>VLOOKUP(A226,JanApport,MATCH($S$4,'Jan 2022 Apport'!$3:$3,0),FALSE)</f>
        <v>0</v>
      </c>
      <c r="T226">
        <f>VLOOKUP(A226,JanApport,MATCH($T$4,'Jan 2022 Apport'!$3:$3,0),FALSE)</f>
        <v>38.950000000000003</v>
      </c>
      <c r="U226" s="132">
        <f>IFERROR(VLOOKUP(A226,JanApport,MATCH($U$4,'Jan 2022 Apport'!$3:$3,0),FALSE)/R226,0)</f>
        <v>0</v>
      </c>
      <c r="V226" s="30">
        <f>IFERROR(((VLOOKUP(A226,JanApport,MATCH($V$4,'Jan 2022 Apport'!$3:$3,0),FALSE)+VLOOKUP(A226,JanApport,MATCH($V$3,'Jan 2022 Apport'!$3:$3,0),FALSE))/(S226+T226)),0)</f>
        <v>8922.5799743260577</v>
      </c>
      <c r="W226" s="30">
        <f t="shared" si="30"/>
        <v>8083.6246967786601</v>
      </c>
      <c r="X226">
        <f>VLOOKUP(A226,JanApport,MATCH($X$4,'Jan 2022 Apport'!$3:$3,0),FALSE)</f>
        <v>4.8578999999999997E-2</v>
      </c>
      <c r="Y226">
        <f>VLOOKUP(A226,JanApport,MATCH($Y$4,'Jan 2022 Apport'!$3:$3,0),FALSE)</f>
        <v>4.0270000000000002E-3</v>
      </c>
      <c r="Z226">
        <f>VLOOKUP(A226,JanApport,MATCH($Z$4,'Jan 2022 Apport'!$3:$3,0),FALSE)</f>
        <v>1.7100000000000001E-2</v>
      </c>
      <c r="AA226" s="77">
        <f>VLOOKUP(A226,JanApport,MATCH($AA$4,'Jan 2022 Apport'!$3:$3,0),FALSE)*VLOOKUP(A226,JanApport,MATCH($AA$3,'Jan 2022 Apport'!$3:$3,0),FALSE)</f>
        <v>67585</v>
      </c>
      <c r="AB226" s="77">
        <f>VLOOKUP(A226,JanApport,MATCH($AB$4,'Jan 2022 Apport'!$3:$3,0),FALSE)*VLOOKUP(A226,JanApport,MATCH($AB$3,'Jan 2022 Apport'!$3:$3,0),FALSE)</f>
        <v>68937</v>
      </c>
      <c r="AC226" s="77">
        <f>VLOOKUP(A226,JanApport,MATCH($AC$4,'Jan 2022 Apport'!$3:$3,0),FALSE)</f>
        <v>100321</v>
      </c>
      <c r="AD226" s="77">
        <f>VLOOKUP(A226,JanApport,MATCH($AD$4,'Jan 2022 Apport'!$3:$3,0),FALSE)*VLOOKUP(A226,JanApport,MATCH($AD$3,'Jan 2022 Apport'!$3:$3,0),FALSE)</f>
        <v>102327</v>
      </c>
      <c r="AE226" s="77">
        <f>VLOOKUP(A226,JanApport,MATCH($AE$4,'Jan 2022 Apport'!$3:$3,0),FALSE)</f>
        <v>48483</v>
      </c>
      <c r="AF226" s="77">
        <f>VLOOKUP(A226,JanApport,MATCH($AF$4,'Jan 2022 Apport'!$3:$3,0),FALSE)*VLOOKUP(A226,JanApport,MATCH($AF$3,'Jan 2022 Apport'!$3:$3,0),FALSE)</f>
        <v>49453</v>
      </c>
      <c r="AG226" s="77">
        <f t="shared" si="31"/>
        <v>96432.259900000005</v>
      </c>
      <c r="AH226" s="77">
        <f t="shared" si="32"/>
        <v>137400.94330000001</v>
      </c>
      <c r="AI226" s="77">
        <f t="shared" si="33"/>
        <v>77281.189732599989</v>
      </c>
      <c r="AJ226" s="3">
        <f>VLOOKUP(A226,JanApport,MATCH($AJ$4,'Jan 2022 Apport'!$3:$3,0),FALSE)</f>
        <v>687732.23</v>
      </c>
      <c r="AK226" s="3">
        <f>VLOOKUP(A226,JanApport,MATCH($AK$4,'Jan 2022 Apport'!$3:$3,0),FALSE)</f>
        <v>9.8680000000000003</v>
      </c>
      <c r="AL226" s="117">
        <f t="shared" si="34"/>
        <v>5981492.3000000007</v>
      </c>
      <c r="AM226" s="117">
        <f>VLOOKUP(A226,JanApport,MATCH($AM$4,'Jan 2022 Apport'!$3:$3,0),FALSE)</f>
        <v>153013.60999999999</v>
      </c>
      <c r="AN226" s="117">
        <f>VLOOKUP(A226,JanApport,MATCH($AN$4,'Jan 2022 Apport'!$3:$3,0),FALSE)</f>
        <v>39872.33</v>
      </c>
    </row>
    <row r="227" spans="1:40">
      <c r="A227" s="2" t="s">
        <v>299</v>
      </c>
      <c r="B227" s="2" t="s">
        <v>300</v>
      </c>
      <c r="C227" s="2" t="s">
        <v>1267</v>
      </c>
      <c r="D227" s="118">
        <f>VLOOKUP(A227,JanApport,MATCH($D$4,'Jan 2022 Apport'!$3:$3,FALSE),FALSE)</f>
        <v>6434409.9400000004</v>
      </c>
      <c r="E227" s="30">
        <f>VLOOKUP(A227,JanApport,MATCH($E$2,'Jan 2022 Apport'!$3:$3,0),FALSE)+VLOOKUP(A227,JanApport,MATCH($E$3,'Jan 2022 Apport'!$3:$3,0),FALSE)+VLOOKUP(A227,JanApport,MATCH($E$4,'Jan 2022 Apport'!$3:$3,0),FALSE)</f>
        <v>537760.09</v>
      </c>
      <c r="F227" s="118">
        <f t="shared" si="35"/>
        <v>5896649.8500000006</v>
      </c>
      <c r="G227" s="117">
        <f>VLOOKUP(A227,JanApport,MATCH($G$4,'Jan 2022 Apport'!$3:$3,0),FALSE)</f>
        <v>7325.99</v>
      </c>
      <c r="H227" s="117">
        <f>VLOOKUP(A227,JanApport,MATCH($H$3,'Jan 2022 Apport'!$3:$3,0),FALSE)+VLOOKUP(A227,JanApport,MATCH($H$2,'Jan 2022 Apport'!$3:$3,0),FALSE)+VLOOKUP(A227,JanApport,MATCH($H$4,'Jan 2022 Apport'!$3:$3,0),FALSE)</f>
        <v>668679.83000000007</v>
      </c>
      <c r="I227" s="117">
        <f t="shared" si="36"/>
        <v>676005.82000000007</v>
      </c>
      <c r="J227" s="117">
        <f>VLOOKUP(A227,JanApport,MATCH($J$4,'Jan 2022 Apport'!$3:$3,0),FALSE)</f>
        <v>794353.94</v>
      </c>
      <c r="K227" s="117">
        <f>VLOOKUP(A227,JanApport,MATCH($K$4,'Jan 2022 Apport'!$3:$3,0),FALSE)</f>
        <v>113713.58</v>
      </c>
      <c r="L227" s="117">
        <f t="shared" si="37"/>
        <v>908067.5199999999</v>
      </c>
      <c r="M227" s="117">
        <f>VLOOKUP(A227,JanApport,MATCH($M$4,'Jan 2022 Apport'!$3:$3,0),FALSE)</f>
        <v>164753.76999999999</v>
      </c>
      <c r="N227" s="117">
        <f>VLOOKUP(A227,JanApport,MATCH($N$4,'Jan 2022 Apport'!$3:$3,0),FALSE)</f>
        <v>11348.83</v>
      </c>
      <c r="O227" s="117">
        <f>VLOOKUP(A227,JanApport,MATCH($O$4,'Jan 2022 Apport'!$3:$3,0),FALSE)</f>
        <v>0</v>
      </c>
      <c r="P227" s="121">
        <f>IFERROR((VLOOKUP(A227,ExcessLevy!A:G,3,FALSE)*0.28),0)+IFERROR((VLOOKUP(A227,ExcessLevy!A:G,6,FALSE)*0.72),0)</f>
        <v>70085.0524</v>
      </c>
      <c r="Q227" s="121">
        <f>IFERROR((VLOOKUP(A227,ExcessLevy!A:G,4,FALSE)*0.4738),0)+IFERROR((VLOOKUP(A227,ExcessLevy!A:G,7,FALSE)*0.5262),0)</f>
        <v>1300277.83</v>
      </c>
      <c r="R227">
        <f>VLOOKUP(A227,JanApport,MATCH($R$4,'Jan 2022 Apport'!$3:$3,0),FALSE)</f>
        <v>0</v>
      </c>
      <c r="S227">
        <f>VLOOKUP(A227,JanApport,MATCH($S$4,'Jan 2022 Apport'!$3:$3,0),FALSE)</f>
        <v>10.23</v>
      </c>
      <c r="T227">
        <f>VLOOKUP(A227,JanApport,MATCH($T$4,'Jan 2022 Apport'!$3:$3,0),FALSE)</f>
        <v>50.04</v>
      </c>
      <c r="U227" s="132">
        <f>IFERROR(VLOOKUP(A227,JanApport,MATCH($U$4,'Jan 2022 Apport'!$3:$3,0),FALSE)/R227,0)</f>
        <v>0</v>
      </c>
      <c r="V227" s="30">
        <f>IFERROR(((VLOOKUP(A227,JanApport,MATCH($V$4,'Jan 2022 Apport'!$3:$3,0),FALSE)+VLOOKUP(A227,JanApport,MATCH($V$3,'Jan 2022 Apport'!$3:$3,0),FALSE))/(S227+T227)),0)</f>
        <v>8922.5168408826939</v>
      </c>
      <c r="W227" s="30">
        <f t="shared" si="30"/>
        <v>2452.5713248960005</v>
      </c>
      <c r="X227">
        <f>VLOOKUP(A227,JanApport,MATCH($X$4,'Jan 2022 Apport'!$3:$3,0),FALSE)</f>
        <v>4.8578999999999997E-2</v>
      </c>
      <c r="Y227">
        <f>VLOOKUP(A227,JanApport,MATCH($Y$4,'Jan 2022 Apport'!$3:$3,0),FALSE)</f>
        <v>4.0270000000000002E-3</v>
      </c>
      <c r="Z227">
        <f>VLOOKUP(A227,JanApport,MATCH($Z$4,'Jan 2022 Apport'!$3:$3,0),FALSE)</f>
        <v>1.7100000000000001E-2</v>
      </c>
      <c r="AA227" s="77">
        <f>VLOOKUP(A227,JanApport,MATCH($AA$4,'Jan 2022 Apport'!$3:$3,0),FALSE)*VLOOKUP(A227,JanApport,MATCH($AA$3,'Jan 2022 Apport'!$3:$3,0),FALSE)</f>
        <v>67585</v>
      </c>
      <c r="AB227" s="77">
        <f>VLOOKUP(A227,JanApport,MATCH($AB$4,'Jan 2022 Apport'!$3:$3,0),FALSE)*VLOOKUP(A227,JanApport,MATCH($AB$3,'Jan 2022 Apport'!$3:$3,0),FALSE)</f>
        <v>0</v>
      </c>
      <c r="AC227" s="77">
        <f>VLOOKUP(A227,JanApport,MATCH($AC$4,'Jan 2022 Apport'!$3:$3,0),FALSE)</f>
        <v>0</v>
      </c>
      <c r="AD227" s="77">
        <f>VLOOKUP(A227,JanApport,MATCH($AD$4,'Jan 2022 Apport'!$3:$3,0),FALSE)*VLOOKUP(A227,JanApport,MATCH($AD$3,'Jan 2022 Apport'!$3:$3,0),FALSE)</f>
        <v>0</v>
      </c>
      <c r="AE227" s="77">
        <f>VLOOKUP(A227,JanApport,MATCH($AE$4,'Jan 2022 Apport'!$3:$3,0),FALSE)</f>
        <v>0</v>
      </c>
      <c r="AF227" s="77">
        <f>VLOOKUP(A227,JanApport,MATCH($AF$4,'Jan 2022 Apport'!$3:$3,0),FALSE)*VLOOKUP(A227,JanApport,MATCH($AF$3,'Jan 2022 Apport'!$3:$3,0),FALSE)</f>
        <v>0</v>
      </c>
      <c r="AG227" s="77">
        <f t="shared" si="31"/>
        <v>12280.864000000009</v>
      </c>
      <c r="AH227" s="77">
        <f t="shared" si="32"/>
        <v>11848.32</v>
      </c>
      <c r="AI227" s="77">
        <f t="shared" si="33"/>
        <v>16610.88</v>
      </c>
      <c r="AJ227" s="3">
        <f>VLOOKUP(A227,JanApport,MATCH($AJ$4,'Jan 2022 Apport'!$3:$3,0),FALSE)</f>
        <v>889344.24</v>
      </c>
      <c r="AK227" s="3">
        <f>VLOOKUP(A227,JanApport,MATCH($AK$4,'Jan 2022 Apport'!$3:$3,0),FALSE)</f>
        <v>13.006</v>
      </c>
      <c r="AL227" s="117">
        <f t="shared" si="34"/>
        <v>8080872.3000000007</v>
      </c>
      <c r="AM227" s="117">
        <f>VLOOKUP(A227,JanApport,MATCH($AM$4,'Jan 2022 Apport'!$3:$3,0),FALSE)</f>
        <v>0</v>
      </c>
      <c r="AN227" s="117">
        <f>VLOOKUP(A227,JanApport,MATCH($AN$4,'Jan 2022 Apport'!$3:$3,0),FALSE)</f>
        <v>48646.52</v>
      </c>
    </row>
    <row r="228" spans="1:40">
      <c r="A228" s="2" t="s">
        <v>195</v>
      </c>
      <c r="B228" s="2" t="s">
        <v>196</v>
      </c>
      <c r="C228" s="2" t="s">
        <v>1267</v>
      </c>
      <c r="D228" s="118">
        <f>VLOOKUP(A228,JanApport,MATCH($D$4,'Jan 2022 Apport'!$3:$3,FALSE),FALSE)</f>
        <v>145328295.86000001</v>
      </c>
      <c r="E228" s="30">
        <f>VLOOKUP(A228,JanApport,MATCH($E$2,'Jan 2022 Apport'!$3:$3,0),FALSE)+VLOOKUP(A228,JanApport,MATCH($E$3,'Jan 2022 Apport'!$3:$3,0),FALSE)+VLOOKUP(A228,JanApport,MATCH($E$4,'Jan 2022 Apport'!$3:$3,0),FALSE)</f>
        <v>14513597.33</v>
      </c>
      <c r="F228" s="118">
        <f t="shared" si="35"/>
        <v>130814698.53000002</v>
      </c>
      <c r="G228" s="117">
        <f>VLOOKUP(A228,JanApport,MATCH($G$4,'Jan 2022 Apport'!$3:$3,0),FALSE)</f>
        <v>2005775.59</v>
      </c>
      <c r="H228" s="117">
        <f>VLOOKUP(A228,JanApport,MATCH($H$3,'Jan 2022 Apport'!$3:$3,0),FALSE)+VLOOKUP(A228,JanApport,MATCH($H$2,'Jan 2022 Apport'!$3:$3,0),FALSE)+VLOOKUP(A228,JanApport,MATCH($H$4,'Jan 2022 Apport'!$3:$3,0),FALSE)</f>
        <v>19071484.359999999</v>
      </c>
      <c r="I228" s="117">
        <f t="shared" si="36"/>
        <v>21077259.949999999</v>
      </c>
      <c r="J228" s="117">
        <f>VLOOKUP(A228,JanApport,MATCH($J$4,'Jan 2022 Apport'!$3:$3,0),FALSE)</f>
        <v>7438198.8300000001</v>
      </c>
      <c r="K228" s="117">
        <f>VLOOKUP(A228,JanApport,MATCH($K$4,'Jan 2022 Apport'!$3:$3,0),FALSE)</f>
        <v>1128192.8999999999</v>
      </c>
      <c r="L228" s="117">
        <f t="shared" si="37"/>
        <v>8566391.7300000004</v>
      </c>
      <c r="M228" s="117">
        <f>VLOOKUP(A228,JanApport,MATCH($M$4,'Jan 2022 Apport'!$3:$3,0),FALSE)</f>
        <v>5834679.3399999999</v>
      </c>
      <c r="N228" s="117">
        <f>VLOOKUP(A228,JanApport,MATCH($N$4,'Jan 2022 Apport'!$3:$3,0),FALSE)</f>
        <v>5385509.21</v>
      </c>
      <c r="O228" s="117">
        <f>VLOOKUP(A228,JanApport,MATCH($O$4,'Jan 2022 Apport'!$3:$3,0),FALSE)</f>
        <v>482710.59</v>
      </c>
      <c r="P228" s="121">
        <f>IFERROR((VLOOKUP(A228,ExcessLevy!A:G,3,FALSE)*0.28),0)+IFERROR((VLOOKUP(A228,ExcessLevy!A:G,6,FALSE)*0.72),0)</f>
        <v>0</v>
      </c>
      <c r="Q228" s="121">
        <f>IFERROR((VLOOKUP(A228,ExcessLevy!A:G,4,FALSE)*0.4738),0)+IFERROR((VLOOKUP(A228,ExcessLevy!A:G,7,FALSE)*0.5262),0)</f>
        <v>58526200</v>
      </c>
      <c r="R228">
        <f>VLOOKUP(A228,JanApport,MATCH($R$4,'Jan 2022 Apport'!$3:$3,0),FALSE)</f>
        <v>0</v>
      </c>
      <c r="S228">
        <f>VLOOKUP(A228,JanApport,MATCH($S$4,'Jan 2022 Apport'!$3:$3,0),FALSE)</f>
        <v>190.06</v>
      </c>
      <c r="T228">
        <f>VLOOKUP(A228,JanApport,MATCH($T$4,'Jan 2022 Apport'!$3:$3,0),FALSE)</f>
        <v>1252.92</v>
      </c>
      <c r="U228" s="132">
        <f>IFERROR(VLOOKUP(A228,JanApport,MATCH($U$4,'Jan 2022 Apport'!$3:$3,0),FALSE)/R228,0)</f>
        <v>0</v>
      </c>
      <c r="V228" s="30">
        <f>IFERROR(((VLOOKUP(A228,JanApport,MATCH($V$4,'Jan 2022 Apport'!$3:$3,0),FALSE)+VLOOKUP(A228,JanApport,MATCH($V$3,'Jan 2022 Apport'!$3:$3,0),FALSE))/(S228+T228)),0)</f>
        <v>10058.072412646052</v>
      </c>
      <c r="W228" s="30">
        <f t="shared" si="30"/>
        <v>9095.3080904708331</v>
      </c>
      <c r="X228">
        <f>VLOOKUP(A228,JanApport,MATCH($X$4,'Jan 2022 Apport'!$3:$3,0),FALSE)</f>
        <v>4.8578999999999997E-2</v>
      </c>
      <c r="Y228">
        <f>VLOOKUP(A228,JanApport,MATCH($Y$4,'Jan 2022 Apport'!$3:$3,0),FALSE)</f>
        <v>4.0270000000000002E-3</v>
      </c>
      <c r="Z228">
        <f>VLOOKUP(A228,JanApport,MATCH($Z$4,'Jan 2022 Apport'!$3:$3,0),FALSE)</f>
        <v>1.7100000000000001E-2</v>
      </c>
      <c r="AA228" s="77">
        <f>VLOOKUP(A228,JanApport,MATCH($AA$4,'Jan 2022 Apport'!$3:$3,0),FALSE)*VLOOKUP(A228,JanApport,MATCH($AA$3,'Jan 2022 Apport'!$3:$3,0),FALSE)</f>
        <v>79750.3</v>
      </c>
      <c r="AB228" s="77">
        <f>VLOOKUP(A228,JanApport,MATCH($AB$4,'Jan 2022 Apport'!$3:$3,0),FALSE)*VLOOKUP(A228,JanApport,MATCH($AB$3,'Jan 2022 Apport'!$3:$3,0),FALSE)</f>
        <v>81345.659999999989</v>
      </c>
      <c r="AC228" s="77">
        <f>VLOOKUP(A228,JanApport,MATCH($AC$4,'Jan 2022 Apport'!$3:$3,0),FALSE)</f>
        <v>100321</v>
      </c>
      <c r="AD228" s="77">
        <f>VLOOKUP(A228,JanApport,MATCH($AD$4,'Jan 2022 Apport'!$3:$3,0),FALSE)*VLOOKUP(A228,JanApport,MATCH($AD$3,'Jan 2022 Apport'!$3:$3,0),FALSE)</f>
        <v>120745.86</v>
      </c>
      <c r="AE228" s="77">
        <f>VLOOKUP(A228,JanApport,MATCH($AE$4,'Jan 2022 Apport'!$3:$3,0),FALSE)</f>
        <v>48483</v>
      </c>
      <c r="AF228" s="77">
        <f>VLOOKUP(A228,JanApport,MATCH($AF$4,'Jan 2022 Apport'!$3:$3,0),FALSE)*VLOOKUP(A228,JanApport,MATCH($AF$3,'Jan 2022 Apport'!$3:$3,0),FALSE)</f>
        <v>58354.539999999994</v>
      </c>
      <c r="AG228" s="77">
        <f t="shared" si="31"/>
        <v>111657.36908199999</v>
      </c>
      <c r="AH228" s="77">
        <f t="shared" si="32"/>
        <v>159884.84570200002</v>
      </c>
      <c r="AI228" s="77">
        <f t="shared" si="33"/>
        <v>87896.402584467985</v>
      </c>
      <c r="AJ228" s="3">
        <f>VLOOKUP(A228,JanApport,MATCH($AJ$4,'Jan 2022 Apport'!$3:$3,0),FALSE)</f>
        <v>17253608.43</v>
      </c>
      <c r="AK228" s="3">
        <f>VLOOKUP(A228,JanApport,MATCH($AK$4,'Jan 2022 Apport'!$3:$3,0),FALSE)</f>
        <v>296.44499999999999</v>
      </c>
      <c r="AL228" s="117">
        <f t="shared" si="34"/>
        <v>188032500.03000003</v>
      </c>
      <c r="AM228" s="117">
        <f>VLOOKUP(A228,JanApport,MATCH($AM$4,'Jan 2022 Apport'!$3:$3,0),FALSE)</f>
        <v>2485846.25</v>
      </c>
      <c r="AN228" s="117">
        <f>VLOOKUP(A228,JanApport,MATCH($AN$4,'Jan 2022 Apport'!$3:$3,0),FALSE)</f>
        <v>1127009.8600000001</v>
      </c>
    </row>
    <row r="229" spans="1:40">
      <c r="A229" s="2" t="s">
        <v>109</v>
      </c>
      <c r="B229" s="2" t="s">
        <v>110</v>
      </c>
      <c r="C229" s="2" t="s">
        <v>1267</v>
      </c>
      <c r="D229" s="118">
        <f>VLOOKUP(A229,JanApport,MATCH($D$4,'Jan 2022 Apport'!$3:$3,FALSE),FALSE)</f>
        <v>3792284.25</v>
      </c>
      <c r="E229" s="30">
        <f>VLOOKUP(A229,JanApport,MATCH($E$2,'Jan 2022 Apport'!$3:$3,0),FALSE)+VLOOKUP(A229,JanApport,MATCH($E$3,'Jan 2022 Apport'!$3:$3,0),FALSE)+VLOOKUP(A229,JanApport,MATCH($E$4,'Jan 2022 Apport'!$3:$3,0),FALSE)</f>
        <v>110212.59</v>
      </c>
      <c r="F229" s="118">
        <f t="shared" si="35"/>
        <v>3682071.66</v>
      </c>
      <c r="G229" s="117">
        <f>VLOOKUP(A229,JanApport,MATCH($G$4,'Jan 2022 Apport'!$3:$3,0),FALSE)</f>
        <v>21817</v>
      </c>
      <c r="H229" s="117">
        <f>VLOOKUP(A229,JanApport,MATCH($H$3,'Jan 2022 Apport'!$3:$3,0),FALSE)+VLOOKUP(A229,JanApport,MATCH($H$2,'Jan 2022 Apport'!$3:$3,0),FALSE)+VLOOKUP(A229,JanApport,MATCH($H$4,'Jan 2022 Apport'!$3:$3,0),FALSE)</f>
        <v>415610.81999999995</v>
      </c>
      <c r="I229" s="117">
        <f t="shared" si="36"/>
        <v>437427.81999999995</v>
      </c>
      <c r="J229" s="117">
        <f>VLOOKUP(A229,JanApport,MATCH($J$4,'Jan 2022 Apport'!$3:$3,0),FALSE)</f>
        <v>417115.69</v>
      </c>
      <c r="K229" s="117">
        <f>VLOOKUP(A229,JanApport,MATCH($K$4,'Jan 2022 Apport'!$3:$3,0),FALSE)</f>
        <v>54387.34</v>
      </c>
      <c r="L229" s="117">
        <f t="shared" si="37"/>
        <v>471503.03</v>
      </c>
      <c r="M229" s="117">
        <f>VLOOKUP(A229,JanApport,MATCH($M$4,'Jan 2022 Apport'!$3:$3,0),FALSE)</f>
        <v>136595.6</v>
      </c>
      <c r="N229" s="117">
        <f>VLOOKUP(A229,JanApport,MATCH($N$4,'Jan 2022 Apport'!$3:$3,0),FALSE)</f>
        <v>0</v>
      </c>
      <c r="O229" s="117">
        <f>VLOOKUP(A229,JanApport,MATCH($O$4,'Jan 2022 Apport'!$3:$3,0),FALSE)</f>
        <v>10631.98</v>
      </c>
      <c r="P229" s="121">
        <f>IFERROR((VLOOKUP(A229,ExcessLevy!A:G,3,FALSE)*0.28),0)+IFERROR((VLOOKUP(A229,ExcessLevy!A:G,6,FALSE)*0.72),0)</f>
        <v>62625.345599999993</v>
      </c>
      <c r="Q229" s="121">
        <f>IFERROR((VLOOKUP(A229,ExcessLevy!A:G,4,FALSE)*0.4738),0)+IFERROR((VLOOKUP(A229,ExcessLevy!A:G,7,FALSE)*0.5262),0)</f>
        <v>482893</v>
      </c>
      <c r="R229">
        <f>VLOOKUP(A229,JanApport,MATCH($R$4,'Jan 2022 Apport'!$3:$3,0),FALSE)</f>
        <v>0</v>
      </c>
      <c r="S229">
        <f>VLOOKUP(A229,JanApport,MATCH($S$4,'Jan 2022 Apport'!$3:$3,0),FALSE)</f>
        <v>0</v>
      </c>
      <c r="T229">
        <f>VLOOKUP(A229,JanApport,MATCH($T$4,'Jan 2022 Apport'!$3:$3,0),FALSE)</f>
        <v>12.1</v>
      </c>
      <c r="U229" s="132">
        <f>IFERROR(VLOOKUP(A229,JanApport,MATCH($U$4,'Jan 2022 Apport'!$3:$3,0),FALSE)/R229,0)</f>
        <v>0</v>
      </c>
      <c r="V229" s="30">
        <f>IFERROR(((VLOOKUP(A229,JanApport,MATCH($V$4,'Jan 2022 Apport'!$3:$3,0),FALSE)+VLOOKUP(A229,JanApport,MATCH($V$3,'Jan 2022 Apport'!$3:$3,0),FALSE))/(S229+T229)),0)</f>
        <v>9108.478512396694</v>
      </c>
      <c r="W229" s="30">
        <f t="shared" si="30"/>
        <v>8083.6246967786601</v>
      </c>
      <c r="X229">
        <f>VLOOKUP(A229,JanApport,MATCH($X$4,'Jan 2022 Apport'!$3:$3,0),FALSE)</f>
        <v>4.8578999999999997E-2</v>
      </c>
      <c r="Y229">
        <f>VLOOKUP(A229,JanApport,MATCH($Y$4,'Jan 2022 Apport'!$3:$3,0),FALSE)</f>
        <v>4.0270000000000002E-3</v>
      </c>
      <c r="Z229">
        <f>VLOOKUP(A229,JanApport,MATCH($Z$4,'Jan 2022 Apport'!$3:$3,0),FALSE)</f>
        <v>1.7100000000000001E-2</v>
      </c>
      <c r="AA229" s="77">
        <f>VLOOKUP(A229,JanApport,MATCH($AA$4,'Jan 2022 Apport'!$3:$3,0),FALSE)*VLOOKUP(A229,JanApport,MATCH($AA$3,'Jan 2022 Apport'!$3:$3,0),FALSE)</f>
        <v>67585</v>
      </c>
      <c r="AB229" s="77">
        <f>VLOOKUP(A229,JanApport,MATCH($AB$4,'Jan 2022 Apport'!$3:$3,0),FALSE)*VLOOKUP(A229,JanApport,MATCH($AB$3,'Jan 2022 Apport'!$3:$3,0),FALSE)</f>
        <v>68937</v>
      </c>
      <c r="AC229" s="77">
        <f>VLOOKUP(A229,JanApport,MATCH($AC$4,'Jan 2022 Apport'!$3:$3,0),FALSE)</f>
        <v>100321</v>
      </c>
      <c r="AD229" s="77">
        <f>VLOOKUP(A229,JanApport,MATCH($AD$4,'Jan 2022 Apport'!$3:$3,0),FALSE)*VLOOKUP(A229,JanApport,MATCH($AD$3,'Jan 2022 Apport'!$3:$3,0),FALSE)</f>
        <v>102327</v>
      </c>
      <c r="AE229" s="77">
        <f>VLOOKUP(A229,JanApport,MATCH($AE$4,'Jan 2022 Apport'!$3:$3,0),FALSE)</f>
        <v>48483</v>
      </c>
      <c r="AF229" s="77">
        <f>VLOOKUP(A229,JanApport,MATCH($AF$4,'Jan 2022 Apport'!$3:$3,0),FALSE)*VLOOKUP(A229,JanApport,MATCH($AF$3,'Jan 2022 Apport'!$3:$3,0),FALSE)</f>
        <v>49453</v>
      </c>
      <c r="AG229" s="77">
        <f t="shared" si="31"/>
        <v>96432.259900000005</v>
      </c>
      <c r="AH229" s="77">
        <f t="shared" si="32"/>
        <v>137400.94330000001</v>
      </c>
      <c r="AI229" s="77">
        <f t="shared" si="33"/>
        <v>77281.189732599989</v>
      </c>
      <c r="AJ229" s="3">
        <f>VLOOKUP(A229,JanApport,MATCH($AJ$4,'Jan 2022 Apport'!$3:$3,0),FALSE)</f>
        <v>454420.88</v>
      </c>
      <c r="AK229" s="3">
        <f>VLOOKUP(A229,JanApport,MATCH($AK$4,'Jan 2022 Apport'!$3:$3,0),FALSE)</f>
        <v>4.62</v>
      </c>
      <c r="AL229" s="117">
        <f t="shared" si="34"/>
        <v>4886604.1800000006</v>
      </c>
      <c r="AM229" s="117">
        <f>VLOOKUP(A229,JanApport,MATCH($AM$4,'Jan 2022 Apport'!$3:$3,0),FALSE)</f>
        <v>92548.84</v>
      </c>
      <c r="AN229" s="117">
        <f>VLOOKUP(A229,JanApport,MATCH($AN$4,'Jan 2022 Apport'!$3:$3,0),FALSE)</f>
        <v>27635.1</v>
      </c>
    </row>
    <row r="230" spans="1:40">
      <c r="A230" s="2" t="s">
        <v>27</v>
      </c>
      <c r="B230" s="2" t="s">
        <v>28</v>
      </c>
      <c r="C230" s="2" t="s">
        <v>1267</v>
      </c>
      <c r="D230" s="118">
        <f>VLOOKUP(A230,JanApport,MATCH($D$4,'Jan 2022 Apport'!$3:$3,FALSE),FALSE)</f>
        <v>118960899.7</v>
      </c>
      <c r="E230" s="30">
        <f>VLOOKUP(A230,JanApport,MATCH($E$2,'Jan 2022 Apport'!$3:$3,0),FALSE)+VLOOKUP(A230,JanApport,MATCH($E$3,'Jan 2022 Apport'!$3:$3,0),FALSE)+VLOOKUP(A230,JanApport,MATCH($E$4,'Jan 2022 Apport'!$3:$3,0),FALSE)</f>
        <v>6828540.79</v>
      </c>
      <c r="F230" s="118">
        <f t="shared" si="35"/>
        <v>112132358.91</v>
      </c>
      <c r="G230" s="117">
        <f>VLOOKUP(A230,JanApport,MATCH($G$4,'Jan 2022 Apport'!$3:$3,0),FALSE)</f>
        <v>1247403.22</v>
      </c>
      <c r="H230" s="117">
        <f>VLOOKUP(A230,JanApport,MATCH($H$3,'Jan 2022 Apport'!$3:$3,0),FALSE)+VLOOKUP(A230,JanApport,MATCH($H$2,'Jan 2022 Apport'!$3:$3,0),FALSE)+VLOOKUP(A230,JanApport,MATCH($H$4,'Jan 2022 Apport'!$3:$3,0),FALSE)</f>
        <v>14052448.43</v>
      </c>
      <c r="I230" s="117">
        <f t="shared" si="36"/>
        <v>15299851.65</v>
      </c>
      <c r="J230" s="117">
        <f>VLOOKUP(A230,JanApport,MATCH($J$4,'Jan 2022 Apport'!$3:$3,0),FALSE)</f>
        <v>4736544.33</v>
      </c>
      <c r="K230" s="117">
        <f>VLOOKUP(A230,JanApport,MATCH($K$4,'Jan 2022 Apport'!$3:$3,0),FALSE)</f>
        <v>480141.64</v>
      </c>
      <c r="L230" s="117">
        <f t="shared" si="37"/>
        <v>5216685.97</v>
      </c>
      <c r="M230" s="117">
        <f>VLOOKUP(A230,JanApport,MATCH($M$4,'Jan 2022 Apport'!$3:$3,0),FALSE)</f>
        <v>3105777.16</v>
      </c>
      <c r="N230" s="117">
        <f>VLOOKUP(A230,JanApport,MATCH($N$4,'Jan 2022 Apport'!$3:$3,0),FALSE)</f>
        <v>1285777.78</v>
      </c>
      <c r="O230" s="117">
        <f>VLOOKUP(A230,JanApport,MATCH($O$4,'Jan 2022 Apport'!$3:$3,0),FALSE)</f>
        <v>391323.66</v>
      </c>
      <c r="P230" s="121">
        <f>IFERROR((VLOOKUP(A230,ExcessLevy!A:G,3,FALSE)*0.28),0)+IFERROR((VLOOKUP(A230,ExcessLevy!A:G,6,FALSE)*0.72),0)</f>
        <v>6261552.8440000005</v>
      </c>
      <c r="Q230" s="121">
        <f>IFERROR((VLOOKUP(A230,ExcessLevy!A:G,4,FALSE)*0.4738),0)+IFERROR((VLOOKUP(A230,ExcessLevy!A:G,7,FALSE)*0.5262),0)</f>
        <v>25295459.399999999</v>
      </c>
      <c r="R230">
        <f>VLOOKUP(A230,JanApport,MATCH($R$4,'Jan 2022 Apport'!$3:$3,0),FALSE)</f>
        <v>0</v>
      </c>
      <c r="S230">
        <f>VLOOKUP(A230,JanApport,MATCH($S$4,'Jan 2022 Apport'!$3:$3,0),FALSE)</f>
        <v>76.97</v>
      </c>
      <c r="T230">
        <f>VLOOKUP(A230,JanApport,MATCH($T$4,'Jan 2022 Apport'!$3:$3,0),FALSE)</f>
        <v>667.34</v>
      </c>
      <c r="U230" s="132">
        <f>IFERROR(VLOOKUP(A230,JanApport,MATCH($U$4,'Jan 2022 Apport'!$3:$3,0),FALSE)/R230,0)</f>
        <v>0</v>
      </c>
      <c r="V230" s="30">
        <f>IFERROR(((VLOOKUP(A230,JanApport,MATCH($V$4,'Jan 2022 Apport'!$3:$3,0),FALSE)+VLOOKUP(A230,JanApport,MATCH($V$3,'Jan 2022 Apport'!$3:$3,0),FALSE))/(S230+T230)),0)</f>
        <v>9174.3235882898243</v>
      </c>
      <c r="W230" s="30">
        <f t="shared" si="30"/>
        <v>8084.4651989777003</v>
      </c>
      <c r="X230">
        <f>VLOOKUP(A230,JanApport,MATCH($X$4,'Jan 2022 Apport'!$3:$3,0),FALSE)</f>
        <v>4.8578999999999997E-2</v>
      </c>
      <c r="Y230">
        <f>VLOOKUP(A230,JanApport,MATCH($Y$4,'Jan 2022 Apport'!$3:$3,0),FALSE)</f>
        <v>4.0270000000000002E-3</v>
      </c>
      <c r="Z230">
        <f>VLOOKUP(A230,JanApport,MATCH($Z$4,'Jan 2022 Apport'!$3:$3,0),FALSE)</f>
        <v>1.7100000000000001E-2</v>
      </c>
      <c r="AA230" s="77">
        <f>VLOOKUP(A230,JanApport,MATCH($AA$4,'Jan 2022 Apport'!$3:$3,0),FALSE)*VLOOKUP(A230,JanApport,MATCH($AA$3,'Jan 2022 Apport'!$3:$3,0),FALSE)</f>
        <v>70288.400000000009</v>
      </c>
      <c r="AB230" s="77">
        <f>VLOOKUP(A230,JanApport,MATCH($AB$4,'Jan 2022 Apport'!$3:$3,0),FALSE)*VLOOKUP(A230,JanApport,MATCH($AB$3,'Jan 2022 Apport'!$3:$3,0),FALSE)</f>
        <v>68937</v>
      </c>
      <c r="AC230" s="77">
        <f>VLOOKUP(A230,JanApport,MATCH($AC$4,'Jan 2022 Apport'!$3:$3,0),FALSE)</f>
        <v>100321</v>
      </c>
      <c r="AD230" s="77">
        <f>VLOOKUP(A230,JanApport,MATCH($AD$4,'Jan 2022 Apport'!$3:$3,0),FALSE)*VLOOKUP(A230,JanApport,MATCH($AD$3,'Jan 2022 Apport'!$3:$3,0),FALSE)</f>
        <v>102327</v>
      </c>
      <c r="AE230" s="77">
        <f>VLOOKUP(A230,JanApport,MATCH($AE$4,'Jan 2022 Apport'!$3:$3,0),FALSE)</f>
        <v>48483</v>
      </c>
      <c r="AF230" s="77">
        <f>VLOOKUP(A230,JanApport,MATCH($AF$4,'Jan 2022 Apport'!$3:$3,0),FALSE)*VLOOKUP(A230,JanApport,MATCH($AF$3,'Jan 2022 Apport'!$3:$3,0),FALSE)</f>
        <v>49453</v>
      </c>
      <c r="AG230" s="77">
        <f t="shared" si="31"/>
        <v>96449.561660000007</v>
      </c>
      <c r="AH230" s="77">
        <f t="shared" si="32"/>
        <v>137400.94330000001</v>
      </c>
      <c r="AI230" s="77">
        <f t="shared" si="33"/>
        <v>77281.189732599989</v>
      </c>
      <c r="AJ230" s="3">
        <f>VLOOKUP(A230,JanApport,MATCH($AJ$4,'Jan 2022 Apport'!$3:$3,0),FALSE)</f>
        <v>15811582.09</v>
      </c>
      <c r="AK230" s="3">
        <f>VLOOKUP(A230,JanApport,MATCH($AK$4,'Jan 2022 Apport'!$3:$3,0),FALSE)</f>
        <v>226.72900000000001</v>
      </c>
      <c r="AL230" s="117">
        <f t="shared" si="34"/>
        <v>144408682.22</v>
      </c>
      <c r="AM230" s="117">
        <f>VLOOKUP(A230,JanApport,MATCH($AM$4,'Jan 2022 Apport'!$3:$3,0),FALSE)</f>
        <v>628507.93999999994</v>
      </c>
      <c r="AN230" s="117">
        <f>VLOOKUP(A230,JanApport,MATCH($AN$4,'Jan 2022 Apport'!$3:$3,0),FALSE)</f>
        <v>885402.38</v>
      </c>
    </row>
    <row r="231" spans="1:40">
      <c r="A231" s="2" t="s">
        <v>71</v>
      </c>
      <c r="B231" s="2" t="s">
        <v>72</v>
      </c>
      <c r="C231" s="2" t="s">
        <v>1267</v>
      </c>
      <c r="D231" s="118">
        <f>VLOOKUP(A231,JanApport,MATCH($D$4,'Jan 2022 Apport'!$3:$3,FALSE),FALSE)</f>
        <v>33781933.789999999</v>
      </c>
      <c r="E231" s="30">
        <f>VLOOKUP(A231,JanApport,MATCH($E$2,'Jan 2022 Apport'!$3:$3,0),FALSE)+VLOOKUP(A231,JanApport,MATCH($E$3,'Jan 2022 Apport'!$3:$3,0),FALSE)+VLOOKUP(A231,JanApport,MATCH($E$4,'Jan 2022 Apport'!$3:$3,0),FALSE)</f>
        <v>2473735.15</v>
      </c>
      <c r="F231" s="118">
        <f t="shared" si="35"/>
        <v>31308198.640000001</v>
      </c>
      <c r="G231" s="117">
        <f>VLOOKUP(A231,JanApport,MATCH($G$4,'Jan 2022 Apport'!$3:$3,0),FALSE)</f>
        <v>299350.27</v>
      </c>
      <c r="H231" s="117">
        <f>VLOOKUP(A231,JanApport,MATCH($H$3,'Jan 2022 Apport'!$3:$3,0),FALSE)+VLOOKUP(A231,JanApport,MATCH($H$2,'Jan 2022 Apport'!$3:$3,0),FALSE)+VLOOKUP(A231,JanApport,MATCH($H$4,'Jan 2022 Apport'!$3:$3,0),FALSE)</f>
        <v>3545331.45</v>
      </c>
      <c r="I231" s="117">
        <f t="shared" si="36"/>
        <v>3844681.72</v>
      </c>
      <c r="J231" s="117">
        <f>VLOOKUP(A231,JanApport,MATCH($J$4,'Jan 2022 Apport'!$3:$3,0),FALSE)</f>
        <v>0</v>
      </c>
      <c r="K231" s="117">
        <f>VLOOKUP(A231,JanApport,MATCH($K$4,'Jan 2022 Apport'!$3:$3,0),FALSE)</f>
        <v>0</v>
      </c>
      <c r="L231" s="117">
        <f t="shared" si="37"/>
        <v>0</v>
      </c>
      <c r="M231" s="117">
        <f>VLOOKUP(A231,JanApport,MATCH($M$4,'Jan 2022 Apport'!$3:$3,0),FALSE)</f>
        <v>475008.19</v>
      </c>
      <c r="N231" s="117">
        <f>VLOOKUP(A231,JanApport,MATCH($N$4,'Jan 2022 Apport'!$3:$3,0),FALSE)</f>
        <v>190023.88</v>
      </c>
      <c r="O231" s="117">
        <f>VLOOKUP(A231,JanApport,MATCH($O$4,'Jan 2022 Apport'!$3:$3,0),FALSE)</f>
        <v>110409.53</v>
      </c>
      <c r="P231" s="121">
        <f>IFERROR((VLOOKUP(A231,ExcessLevy!A:G,3,FALSE)*0.28),0)+IFERROR((VLOOKUP(A231,ExcessLevy!A:G,6,FALSE)*0.72),0)</f>
        <v>0</v>
      </c>
      <c r="Q231" s="121">
        <f>IFERROR((VLOOKUP(A231,ExcessLevy!A:G,4,FALSE)*0.4738),0)+IFERROR((VLOOKUP(A231,ExcessLevy!A:G,7,FALSE)*0.5262),0)</f>
        <v>7098252.4617999997</v>
      </c>
      <c r="R231">
        <f>VLOOKUP(A231,JanApport,MATCH($R$4,'Jan 2022 Apport'!$3:$3,0),FALSE)</f>
        <v>0</v>
      </c>
      <c r="S231">
        <f>VLOOKUP(A231,JanApport,MATCH($S$4,'Jan 2022 Apport'!$3:$3,0),FALSE)</f>
        <v>68.81</v>
      </c>
      <c r="T231">
        <f>VLOOKUP(A231,JanApport,MATCH($T$4,'Jan 2022 Apport'!$3:$3,0),FALSE)</f>
        <v>197.23</v>
      </c>
      <c r="U231" s="132">
        <f>IFERROR(VLOOKUP(A231,JanApport,MATCH($U$4,'Jan 2022 Apport'!$3:$3,0),FALSE)/R231,0)</f>
        <v>0</v>
      </c>
      <c r="V231" s="30">
        <f>IFERROR(((VLOOKUP(A231,JanApport,MATCH($V$4,'Jan 2022 Apport'!$3:$3,0),FALSE)+VLOOKUP(A231,JanApport,MATCH($V$3,'Jan 2022 Apport'!$3:$3,0),FALSE))/(S231+T231)),0)</f>
        <v>9298.3579536911748</v>
      </c>
      <c r="W231" s="30">
        <f t="shared" si="30"/>
        <v>8644.8305244086059</v>
      </c>
      <c r="X231">
        <f>VLOOKUP(A231,JanApport,MATCH($X$4,'Jan 2022 Apport'!$3:$3,0),FALSE)</f>
        <v>4.8578999999999997E-2</v>
      </c>
      <c r="Y231">
        <f>VLOOKUP(A231,JanApport,MATCH($Y$4,'Jan 2022 Apport'!$3:$3,0),FALSE)</f>
        <v>4.0270000000000002E-3</v>
      </c>
      <c r="Z231">
        <f>VLOOKUP(A231,JanApport,MATCH($Z$4,'Jan 2022 Apport'!$3:$3,0),FALSE)</f>
        <v>1.7100000000000001E-2</v>
      </c>
      <c r="AA231" s="77">
        <f>VLOOKUP(A231,JanApport,MATCH($AA$4,'Jan 2022 Apport'!$3:$3,0),FALSE)*VLOOKUP(A231,JanApport,MATCH($AA$3,'Jan 2022 Apport'!$3:$3,0),FALSE)</f>
        <v>71640.100000000006</v>
      </c>
      <c r="AB231" s="77">
        <f>VLOOKUP(A231,JanApport,MATCH($AB$4,'Jan 2022 Apport'!$3:$3,0),FALSE)*VLOOKUP(A231,JanApport,MATCH($AB$3,'Jan 2022 Apport'!$3:$3,0),FALSE)</f>
        <v>75830.700000000012</v>
      </c>
      <c r="AC231" s="77">
        <f>VLOOKUP(A231,JanApport,MATCH($AC$4,'Jan 2022 Apport'!$3:$3,0),FALSE)</f>
        <v>100321</v>
      </c>
      <c r="AD231" s="77">
        <f>VLOOKUP(A231,JanApport,MATCH($AD$4,'Jan 2022 Apport'!$3:$3,0),FALSE)*VLOOKUP(A231,JanApport,MATCH($AD$3,'Jan 2022 Apport'!$3:$3,0),FALSE)</f>
        <v>112559.70000000001</v>
      </c>
      <c r="AE231" s="77">
        <f>VLOOKUP(A231,JanApport,MATCH($AE$4,'Jan 2022 Apport'!$3:$3,0),FALSE)</f>
        <v>48483</v>
      </c>
      <c r="AF231" s="77">
        <f>VLOOKUP(A231,JanApport,MATCH($AF$4,'Jan 2022 Apport'!$3:$3,0),FALSE)*VLOOKUP(A231,JanApport,MATCH($AF$3,'Jan 2022 Apport'!$3:$3,0),FALSE)</f>
        <v>54398.3</v>
      </c>
      <c r="AG231" s="77">
        <f t="shared" si="31"/>
        <v>104873.35213000001</v>
      </c>
      <c r="AH231" s="77">
        <f t="shared" si="32"/>
        <v>149892.00019000002</v>
      </c>
      <c r="AI231" s="77">
        <f t="shared" si="33"/>
        <v>83178.530205860006</v>
      </c>
      <c r="AJ231" s="3">
        <f>VLOOKUP(A231,JanApport,MATCH($AJ$4,'Jan 2022 Apport'!$3:$3,0),FALSE)</f>
        <v>4535074.6900000004</v>
      </c>
      <c r="AK231" s="3">
        <f>VLOOKUP(A231,JanApport,MATCH($AK$4,'Jan 2022 Apport'!$3:$3,0),FALSE)</f>
        <v>72.573999999999998</v>
      </c>
      <c r="AL231" s="117">
        <f t="shared" si="34"/>
        <v>38402057.109999999</v>
      </c>
      <c r="AM231" s="117">
        <f>VLOOKUP(A231,JanApport,MATCH($AM$4,'Jan 2022 Apport'!$3:$3,0),FALSE)</f>
        <v>0</v>
      </c>
      <c r="AN231" s="117">
        <f>VLOOKUP(A231,JanApport,MATCH($AN$4,'Jan 2022 Apport'!$3:$3,0),FALSE)</f>
        <v>264604.3</v>
      </c>
    </row>
    <row r="232" spans="1:40">
      <c r="A232" s="2" t="s">
        <v>11</v>
      </c>
      <c r="B232" s="2" t="s">
        <v>12</v>
      </c>
      <c r="C232" s="2" t="s">
        <v>1267</v>
      </c>
      <c r="D232" s="118">
        <f>VLOOKUP(A232,JanApport,MATCH($D$4,'Jan 2022 Apport'!$3:$3,FALSE),FALSE)</f>
        <v>3916056.71</v>
      </c>
      <c r="E232" s="30">
        <f>VLOOKUP(A232,JanApport,MATCH($E$2,'Jan 2022 Apport'!$3:$3,0),FALSE)+VLOOKUP(A232,JanApport,MATCH($E$3,'Jan 2022 Apport'!$3:$3,0),FALSE)+VLOOKUP(A232,JanApport,MATCH($E$4,'Jan 2022 Apport'!$3:$3,0),FALSE)</f>
        <v>280945.07</v>
      </c>
      <c r="F232" s="118">
        <f t="shared" si="35"/>
        <v>3635111.64</v>
      </c>
      <c r="G232" s="117">
        <f>VLOOKUP(A232,JanApport,MATCH($G$4,'Jan 2022 Apport'!$3:$3,0),FALSE)</f>
        <v>12612.19</v>
      </c>
      <c r="H232" s="117">
        <f>VLOOKUP(A232,JanApport,MATCH($H$3,'Jan 2022 Apport'!$3:$3,0),FALSE)+VLOOKUP(A232,JanApport,MATCH($H$2,'Jan 2022 Apport'!$3:$3,0),FALSE)+VLOOKUP(A232,JanApport,MATCH($H$4,'Jan 2022 Apport'!$3:$3,0),FALSE)</f>
        <v>259553.86</v>
      </c>
      <c r="I232" s="117">
        <f t="shared" si="36"/>
        <v>272166.05</v>
      </c>
      <c r="J232" s="117">
        <f>VLOOKUP(A232,JanApport,MATCH($J$4,'Jan 2022 Apport'!$3:$3,0),FALSE)</f>
        <v>0</v>
      </c>
      <c r="K232" s="117">
        <f>VLOOKUP(A232,JanApport,MATCH($K$4,'Jan 2022 Apport'!$3:$3,0),FALSE)</f>
        <v>0</v>
      </c>
      <c r="L232" s="117">
        <f t="shared" si="37"/>
        <v>0</v>
      </c>
      <c r="M232" s="117">
        <f>VLOOKUP(A232,JanApport,MATCH($M$4,'Jan 2022 Apport'!$3:$3,0),FALSE)</f>
        <v>102674.54</v>
      </c>
      <c r="N232" s="117">
        <f>VLOOKUP(A232,JanApport,MATCH($N$4,'Jan 2022 Apport'!$3:$3,0),FALSE)</f>
        <v>0</v>
      </c>
      <c r="O232" s="117">
        <f>VLOOKUP(A232,JanApport,MATCH($O$4,'Jan 2022 Apport'!$3:$3,0),FALSE)</f>
        <v>0</v>
      </c>
      <c r="P232" s="121">
        <f>IFERROR((VLOOKUP(A232,ExcessLevy!A:G,3,FALSE)*0.28),0)+IFERROR((VLOOKUP(A232,ExcessLevy!A:G,6,FALSE)*0.72),0)</f>
        <v>0</v>
      </c>
      <c r="Q232" s="121">
        <f>IFERROR((VLOOKUP(A232,ExcessLevy!A:G,4,FALSE)*0.4738),0)+IFERROR((VLOOKUP(A232,ExcessLevy!A:G,7,FALSE)*0.5262),0)</f>
        <v>877500</v>
      </c>
      <c r="R232">
        <f>VLOOKUP(A232,JanApport,MATCH($R$4,'Jan 2022 Apport'!$3:$3,0),FALSE)</f>
        <v>0</v>
      </c>
      <c r="S232">
        <f>VLOOKUP(A232,JanApport,MATCH($S$4,'Jan 2022 Apport'!$3:$3,0),FALSE)</f>
        <v>9.07</v>
      </c>
      <c r="T232">
        <f>VLOOKUP(A232,JanApport,MATCH($T$4,'Jan 2022 Apport'!$3:$3,0),FALSE)</f>
        <v>21.78</v>
      </c>
      <c r="U232" s="132">
        <f>IFERROR(VLOOKUP(A232,JanApport,MATCH($U$4,'Jan 2022 Apport'!$3:$3,0),FALSE)/R232,0)</f>
        <v>0</v>
      </c>
      <c r="V232" s="30">
        <f>IFERROR(((VLOOKUP(A232,JanApport,MATCH($V$4,'Jan 2022 Apport'!$3:$3,0),FALSE)+VLOOKUP(A232,JanApport,MATCH($V$3,'Jan 2022 Apport'!$3:$3,0),FALSE))/(S232+T232)),0)</f>
        <v>9106.8094003241495</v>
      </c>
      <c r="W232" s="30">
        <f t="shared" si="30"/>
        <v>8083.6246967786601</v>
      </c>
      <c r="X232">
        <f>VLOOKUP(A232,JanApport,MATCH($X$4,'Jan 2022 Apport'!$3:$3,0),FALSE)</f>
        <v>4.8578999999999997E-2</v>
      </c>
      <c r="Y232">
        <f>VLOOKUP(A232,JanApport,MATCH($Y$4,'Jan 2022 Apport'!$3:$3,0),FALSE)</f>
        <v>4.0270000000000002E-3</v>
      </c>
      <c r="Z232">
        <f>VLOOKUP(A232,JanApport,MATCH($Z$4,'Jan 2022 Apport'!$3:$3,0),FALSE)</f>
        <v>1.7100000000000001E-2</v>
      </c>
      <c r="AA232" s="77">
        <f>VLOOKUP(A232,JanApport,MATCH($AA$4,'Jan 2022 Apport'!$3:$3,0),FALSE)*VLOOKUP(A232,JanApport,MATCH($AA$3,'Jan 2022 Apport'!$3:$3,0),FALSE)</f>
        <v>67585</v>
      </c>
      <c r="AB232" s="77">
        <f>VLOOKUP(A232,JanApport,MATCH($AB$4,'Jan 2022 Apport'!$3:$3,0),FALSE)*VLOOKUP(A232,JanApport,MATCH($AB$3,'Jan 2022 Apport'!$3:$3,0),FALSE)</f>
        <v>68937</v>
      </c>
      <c r="AC232" s="77">
        <f>VLOOKUP(A232,JanApport,MATCH($AC$4,'Jan 2022 Apport'!$3:$3,0),FALSE)</f>
        <v>100321</v>
      </c>
      <c r="AD232" s="77">
        <f>VLOOKUP(A232,JanApport,MATCH($AD$4,'Jan 2022 Apport'!$3:$3,0),FALSE)*VLOOKUP(A232,JanApport,MATCH($AD$3,'Jan 2022 Apport'!$3:$3,0),FALSE)</f>
        <v>102327</v>
      </c>
      <c r="AE232" s="77">
        <f>VLOOKUP(A232,JanApport,MATCH($AE$4,'Jan 2022 Apport'!$3:$3,0),FALSE)</f>
        <v>48483</v>
      </c>
      <c r="AF232" s="77">
        <f>VLOOKUP(A232,JanApport,MATCH($AF$4,'Jan 2022 Apport'!$3:$3,0),FALSE)*VLOOKUP(A232,JanApport,MATCH($AF$3,'Jan 2022 Apport'!$3:$3,0),FALSE)</f>
        <v>49453</v>
      </c>
      <c r="AG232" s="77">
        <f t="shared" si="31"/>
        <v>96432.259900000005</v>
      </c>
      <c r="AH232" s="77">
        <f t="shared" si="32"/>
        <v>137400.94330000001</v>
      </c>
      <c r="AI232" s="77">
        <f t="shared" si="33"/>
        <v>77281.189732599989</v>
      </c>
      <c r="AJ232" s="3">
        <f>VLOOKUP(A232,JanApport,MATCH($AJ$4,'Jan 2022 Apport'!$3:$3,0),FALSE)</f>
        <v>474642.52</v>
      </c>
      <c r="AK232" s="3">
        <f>VLOOKUP(A232,JanApport,MATCH($AK$4,'Jan 2022 Apport'!$3:$3,0),FALSE)</f>
        <v>6.516</v>
      </c>
      <c r="AL232" s="117">
        <f t="shared" si="34"/>
        <v>4334235.2700000005</v>
      </c>
      <c r="AM232" s="117">
        <f>VLOOKUP(A232,JanApport,MATCH($AM$4,'Jan 2022 Apport'!$3:$3,0),FALSE)</f>
        <v>43337.97</v>
      </c>
      <c r="AN232" s="117">
        <f>VLOOKUP(A232,JanApport,MATCH($AN$4,'Jan 2022 Apport'!$3:$3,0),FALSE)</f>
        <v>30833.86</v>
      </c>
    </row>
    <row r="233" spans="1:40">
      <c r="A233" s="2" t="s">
        <v>477</v>
      </c>
      <c r="B233" s="2" t="s">
        <v>478</v>
      </c>
      <c r="C233" s="2" t="s">
        <v>1267</v>
      </c>
      <c r="D233" s="118">
        <f>VLOOKUP(A233,JanApport,MATCH($D$4,'Jan 2022 Apport'!$3:$3,FALSE),FALSE)</f>
        <v>12660077.890000001</v>
      </c>
      <c r="E233" s="30">
        <f>VLOOKUP(A233,JanApport,MATCH($E$2,'Jan 2022 Apport'!$3:$3,0),FALSE)+VLOOKUP(A233,JanApport,MATCH($E$3,'Jan 2022 Apport'!$3:$3,0),FALSE)+VLOOKUP(A233,JanApport,MATCH($E$4,'Jan 2022 Apport'!$3:$3,0),FALSE)</f>
        <v>1510070.82</v>
      </c>
      <c r="F233" s="118">
        <f t="shared" si="35"/>
        <v>11150007.07</v>
      </c>
      <c r="G233" s="117">
        <f>VLOOKUP(A233,JanApport,MATCH($G$4,'Jan 2022 Apport'!$3:$3,0),FALSE)</f>
        <v>113617.69</v>
      </c>
      <c r="H233" s="117">
        <f>VLOOKUP(A233,JanApport,MATCH($H$3,'Jan 2022 Apport'!$3:$3,0),FALSE)+VLOOKUP(A233,JanApport,MATCH($H$2,'Jan 2022 Apport'!$3:$3,0),FALSE)+VLOOKUP(A233,JanApport,MATCH($H$4,'Jan 2022 Apport'!$3:$3,0),FALSE)</f>
        <v>1653610.6099999999</v>
      </c>
      <c r="I233" s="117">
        <f t="shared" si="36"/>
        <v>1767228.2999999998</v>
      </c>
      <c r="J233" s="117">
        <f>VLOOKUP(A233,JanApport,MATCH($J$4,'Jan 2022 Apport'!$3:$3,0),FALSE)</f>
        <v>1495238.7</v>
      </c>
      <c r="K233" s="117">
        <f>VLOOKUP(A233,JanApport,MATCH($K$4,'Jan 2022 Apport'!$3:$3,0),FALSE)</f>
        <v>0</v>
      </c>
      <c r="L233" s="117">
        <f t="shared" si="37"/>
        <v>1495238.7</v>
      </c>
      <c r="M233" s="117">
        <f>VLOOKUP(A233,JanApport,MATCH($M$4,'Jan 2022 Apport'!$3:$3,0),FALSE)</f>
        <v>388599.75</v>
      </c>
      <c r="N233" s="117">
        <f>VLOOKUP(A233,JanApport,MATCH($N$4,'Jan 2022 Apport'!$3:$3,0),FALSE)</f>
        <v>25241.38</v>
      </c>
      <c r="O233" s="117">
        <f>VLOOKUP(A233,JanApport,MATCH($O$4,'Jan 2022 Apport'!$3:$3,0),FALSE)</f>
        <v>40601.43</v>
      </c>
      <c r="P233" s="121">
        <f>IFERROR((VLOOKUP(A233,ExcessLevy!A:G,3,FALSE)*0.28),0)+IFERROR((VLOOKUP(A233,ExcessLevy!A:G,6,FALSE)*0.72),0)</f>
        <v>103966.80720000001</v>
      </c>
      <c r="Q233" s="121">
        <f>IFERROR((VLOOKUP(A233,ExcessLevy!A:G,4,FALSE)*0.4738),0)+IFERROR((VLOOKUP(A233,ExcessLevy!A:G,7,FALSE)*0.5262),0)</f>
        <v>2144808.0038000001</v>
      </c>
      <c r="R233">
        <f>VLOOKUP(A233,JanApport,MATCH($R$4,'Jan 2022 Apport'!$3:$3,0),FALSE)</f>
        <v>0</v>
      </c>
      <c r="S233">
        <f>VLOOKUP(A233,JanApport,MATCH($S$4,'Jan 2022 Apport'!$3:$3,0),FALSE)</f>
        <v>54.07</v>
      </c>
      <c r="T233">
        <f>VLOOKUP(A233,JanApport,MATCH($T$4,'Jan 2022 Apport'!$3:$3,0),FALSE)</f>
        <v>115.25</v>
      </c>
      <c r="U233" s="132">
        <f>IFERROR(VLOOKUP(A233,JanApport,MATCH($U$4,'Jan 2022 Apport'!$3:$3,0),FALSE)/R233,0)</f>
        <v>0</v>
      </c>
      <c r="V233" s="30">
        <f>IFERROR(((VLOOKUP(A233,JanApport,MATCH($V$4,'Jan 2022 Apport'!$3:$3,0),FALSE)+VLOOKUP(A233,JanApport,MATCH($V$3,'Jan 2022 Apport'!$3:$3,0),FALSE))/(S233+T233)),0)</f>
        <v>8918.4433026222541</v>
      </c>
      <c r="W233" s="30">
        <f t="shared" si="30"/>
        <v>8083.6246967786601</v>
      </c>
      <c r="X233">
        <f>VLOOKUP(A233,JanApport,MATCH($X$4,'Jan 2022 Apport'!$3:$3,0),FALSE)</f>
        <v>4.8578999999999997E-2</v>
      </c>
      <c r="Y233">
        <f>VLOOKUP(A233,JanApport,MATCH($Y$4,'Jan 2022 Apport'!$3:$3,0),FALSE)</f>
        <v>4.0270000000000002E-3</v>
      </c>
      <c r="Z233">
        <f>VLOOKUP(A233,JanApport,MATCH($Z$4,'Jan 2022 Apport'!$3:$3,0),FALSE)</f>
        <v>1.7100000000000001E-2</v>
      </c>
      <c r="AA233" s="77">
        <f>VLOOKUP(A233,JanApport,MATCH($AA$4,'Jan 2022 Apport'!$3:$3,0),FALSE)*VLOOKUP(A233,JanApport,MATCH($AA$3,'Jan 2022 Apport'!$3:$3,0),FALSE)</f>
        <v>67585</v>
      </c>
      <c r="AB233" s="77">
        <f>VLOOKUP(A233,JanApport,MATCH($AB$4,'Jan 2022 Apport'!$3:$3,0),FALSE)*VLOOKUP(A233,JanApport,MATCH($AB$3,'Jan 2022 Apport'!$3:$3,0),FALSE)</f>
        <v>68937</v>
      </c>
      <c r="AC233" s="77">
        <f>VLOOKUP(A233,JanApport,MATCH($AC$4,'Jan 2022 Apport'!$3:$3,0),FALSE)</f>
        <v>100321</v>
      </c>
      <c r="AD233" s="77">
        <f>VLOOKUP(A233,JanApport,MATCH($AD$4,'Jan 2022 Apport'!$3:$3,0),FALSE)*VLOOKUP(A233,JanApport,MATCH($AD$3,'Jan 2022 Apport'!$3:$3,0),FALSE)</f>
        <v>102327</v>
      </c>
      <c r="AE233" s="77">
        <f>VLOOKUP(A233,JanApport,MATCH($AE$4,'Jan 2022 Apport'!$3:$3,0),FALSE)</f>
        <v>48483</v>
      </c>
      <c r="AF233" s="77">
        <f>VLOOKUP(A233,JanApport,MATCH($AF$4,'Jan 2022 Apport'!$3:$3,0),FALSE)*VLOOKUP(A233,JanApport,MATCH($AF$3,'Jan 2022 Apport'!$3:$3,0),FALSE)</f>
        <v>49453</v>
      </c>
      <c r="AG233" s="77">
        <f t="shared" si="31"/>
        <v>96432.259900000005</v>
      </c>
      <c r="AH233" s="77">
        <f t="shared" si="32"/>
        <v>137400.94330000001</v>
      </c>
      <c r="AI233" s="77">
        <f t="shared" si="33"/>
        <v>77281.189732599989</v>
      </c>
      <c r="AJ233" s="3">
        <f>VLOOKUP(A233,JanApport,MATCH($AJ$4,'Jan 2022 Apport'!$3:$3,0),FALSE)</f>
        <v>1546491.73</v>
      </c>
      <c r="AK233" s="3">
        <f>VLOOKUP(A233,JanApport,MATCH($AK$4,'Jan 2022 Apport'!$3:$3,0),FALSE)</f>
        <v>25.462</v>
      </c>
      <c r="AL233" s="117">
        <f t="shared" si="34"/>
        <v>16472082.850000001</v>
      </c>
      <c r="AM233" s="117">
        <f>VLOOKUP(A233,JanApport,MATCH($AM$4,'Jan 2022 Apport'!$3:$3,0),FALSE)</f>
        <v>95095.4</v>
      </c>
      <c r="AN233" s="117">
        <f>VLOOKUP(A233,JanApport,MATCH($AN$4,'Jan 2022 Apport'!$3:$3,0),FALSE)</f>
        <v>85532.89</v>
      </c>
    </row>
    <row r="234" spans="1:40">
      <c r="A234" s="2" t="s">
        <v>203</v>
      </c>
      <c r="B234" s="2" t="s">
        <v>204</v>
      </c>
      <c r="C234" s="2" t="s">
        <v>1267</v>
      </c>
      <c r="D234" s="118">
        <f>VLOOKUP(A234,JanApport,MATCH($D$4,'Jan 2022 Apport'!$3:$3,FALSE),FALSE)</f>
        <v>29473245.550000001</v>
      </c>
      <c r="E234" s="30">
        <f>VLOOKUP(A234,JanApport,MATCH($E$2,'Jan 2022 Apport'!$3:$3,0),FALSE)+VLOOKUP(A234,JanApport,MATCH($E$3,'Jan 2022 Apport'!$3:$3,0),FALSE)+VLOOKUP(A234,JanApport,MATCH($E$4,'Jan 2022 Apport'!$3:$3,0),FALSE)</f>
        <v>1918252.18</v>
      </c>
      <c r="F234" s="118">
        <f t="shared" si="35"/>
        <v>27554993.370000001</v>
      </c>
      <c r="G234" s="117">
        <f>VLOOKUP(A234,JanApport,MATCH($G$4,'Jan 2022 Apport'!$3:$3,0),FALSE)</f>
        <v>212985.5</v>
      </c>
      <c r="H234" s="117">
        <f>VLOOKUP(A234,JanApport,MATCH($H$3,'Jan 2022 Apport'!$3:$3,0),FALSE)+VLOOKUP(A234,JanApport,MATCH($H$2,'Jan 2022 Apport'!$3:$3,0),FALSE)+VLOOKUP(A234,JanApport,MATCH($H$4,'Jan 2022 Apport'!$3:$3,0),FALSE)</f>
        <v>3062892.8800000004</v>
      </c>
      <c r="I234" s="117">
        <f t="shared" si="36"/>
        <v>3275878.3800000004</v>
      </c>
      <c r="J234" s="117">
        <f>VLOOKUP(A234,JanApport,MATCH($J$4,'Jan 2022 Apport'!$3:$3,0),FALSE)</f>
        <v>2288875.33</v>
      </c>
      <c r="K234" s="117">
        <f>VLOOKUP(A234,JanApport,MATCH($K$4,'Jan 2022 Apport'!$3:$3,0),FALSE)</f>
        <v>400216.56</v>
      </c>
      <c r="L234" s="117">
        <f t="shared" si="37"/>
        <v>2689091.89</v>
      </c>
      <c r="M234" s="117">
        <f>VLOOKUP(A234,JanApport,MATCH($M$4,'Jan 2022 Apport'!$3:$3,0),FALSE)</f>
        <v>283280.86</v>
      </c>
      <c r="N234" s="117">
        <f>VLOOKUP(A234,JanApport,MATCH($N$4,'Jan 2022 Apport'!$3:$3,0),FALSE)</f>
        <v>353534.52</v>
      </c>
      <c r="O234" s="117">
        <f>VLOOKUP(A234,JanApport,MATCH($O$4,'Jan 2022 Apport'!$3:$3,0),FALSE)</f>
        <v>98241.8</v>
      </c>
      <c r="P234" s="121">
        <f>IFERROR((VLOOKUP(A234,ExcessLevy!A:G,3,FALSE)*0.28),0)+IFERROR((VLOOKUP(A234,ExcessLevy!A:G,6,FALSE)*0.72),0)</f>
        <v>0</v>
      </c>
      <c r="Q234" s="121">
        <f>IFERROR((VLOOKUP(A234,ExcessLevy!A:G,4,FALSE)*0.4738),0)+IFERROR((VLOOKUP(A234,ExcessLevy!A:G,7,FALSE)*0.5262),0)</f>
        <v>7820000</v>
      </c>
      <c r="R234">
        <f>VLOOKUP(A234,JanApport,MATCH($R$4,'Jan 2022 Apport'!$3:$3,0),FALSE)</f>
        <v>0</v>
      </c>
      <c r="S234">
        <f>VLOOKUP(A234,JanApport,MATCH($S$4,'Jan 2022 Apport'!$3:$3,0),FALSE)</f>
        <v>31.78</v>
      </c>
      <c r="T234">
        <f>VLOOKUP(A234,JanApport,MATCH($T$4,'Jan 2022 Apport'!$3:$3,0),FALSE)</f>
        <v>158.94</v>
      </c>
      <c r="U234" s="132">
        <f>IFERROR(VLOOKUP(A234,JanApport,MATCH($U$4,'Jan 2022 Apport'!$3:$3,0),FALSE)/R234,0)</f>
        <v>0</v>
      </c>
      <c r="V234" s="30">
        <f>IFERROR(((VLOOKUP(A234,JanApport,MATCH($V$4,'Jan 2022 Apport'!$3:$3,0),FALSE)+VLOOKUP(A234,JanApport,MATCH($V$3,'Jan 2022 Apport'!$3:$3,0),FALSE))/(S234+T234)),0)</f>
        <v>10057.949769295301</v>
      </c>
      <c r="W234" s="30">
        <f t="shared" si="30"/>
        <v>9095.3080904708331</v>
      </c>
      <c r="X234">
        <f>VLOOKUP(A234,JanApport,MATCH($X$4,'Jan 2022 Apport'!$3:$3,0),FALSE)</f>
        <v>4.8578999999999997E-2</v>
      </c>
      <c r="Y234">
        <f>VLOOKUP(A234,JanApport,MATCH($Y$4,'Jan 2022 Apport'!$3:$3,0),FALSE)</f>
        <v>4.0270000000000002E-3</v>
      </c>
      <c r="Z234">
        <f>VLOOKUP(A234,JanApport,MATCH($Z$4,'Jan 2022 Apport'!$3:$3,0),FALSE)</f>
        <v>1.7100000000000001E-2</v>
      </c>
      <c r="AA234" s="77">
        <f>VLOOKUP(A234,JanApport,MATCH($AA$4,'Jan 2022 Apport'!$3:$3,0),FALSE)*VLOOKUP(A234,JanApport,MATCH($AA$3,'Jan 2022 Apport'!$3:$3,0),FALSE)</f>
        <v>79750.3</v>
      </c>
      <c r="AB234" s="77">
        <f>VLOOKUP(A234,JanApport,MATCH($AB$4,'Jan 2022 Apport'!$3:$3,0),FALSE)*VLOOKUP(A234,JanApport,MATCH($AB$3,'Jan 2022 Apport'!$3:$3,0),FALSE)</f>
        <v>81345.659999999989</v>
      </c>
      <c r="AC234" s="77">
        <f>VLOOKUP(A234,JanApport,MATCH($AC$4,'Jan 2022 Apport'!$3:$3,0),FALSE)</f>
        <v>100321</v>
      </c>
      <c r="AD234" s="77">
        <f>VLOOKUP(A234,JanApport,MATCH($AD$4,'Jan 2022 Apport'!$3:$3,0),FALSE)*VLOOKUP(A234,JanApport,MATCH($AD$3,'Jan 2022 Apport'!$3:$3,0),FALSE)</f>
        <v>120745.86</v>
      </c>
      <c r="AE234" s="77">
        <f>VLOOKUP(A234,JanApport,MATCH($AE$4,'Jan 2022 Apport'!$3:$3,0),FALSE)</f>
        <v>48483</v>
      </c>
      <c r="AF234" s="77">
        <f>VLOOKUP(A234,JanApport,MATCH($AF$4,'Jan 2022 Apport'!$3:$3,0),FALSE)*VLOOKUP(A234,JanApport,MATCH($AF$3,'Jan 2022 Apport'!$3:$3,0),FALSE)</f>
        <v>58354.539999999994</v>
      </c>
      <c r="AG234" s="77">
        <f t="shared" si="31"/>
        <v>111657.36908199999</v>
      </c>
      <c r="AH234" s="77">
        <f t="shared" si="32"/>
        <v>159884.84570200002</v>
      </c>
      <c r="AI234" s="77">
        <f t="shared" si="33"/>
        <v>87896.402584467985</v>
      </c>
      <c r="AJ234" s="3">
        <f>VLOOKUP(A234,JanApport,MATCH($AJ$4,'Jan 2022 Apport'!$3:$3,0),FALSE)</f>
        <v>3581456.04</v>
      </c>
      <c r="AK234" s="3">
        <f>VLOOKUP(A234,JanApport,MATCH($AK$4,'Jan 2022 Apport'!$3:$3,0),FALSE)</f>
        <v>56.831000000000003</v>
      </c>
      <c r="AL234" s="117">
        <f t="shared" si="34"/>
        <v>35773056.440000005</v>
      </c>
      <c r="AM234" s="117">
        <f>VLOOKUP(A234,JanApport,MATCH($AM$4,'Jan 2022 Apport'!$3:$3,0),FALSE)</f>
        <v>0</v>
      </c>
      <c r="AN234" s="117">
        <f>VLOOKUP(A234,JanApport,MATCH($AN$4,'Jan 2022 Apport'!$3:$3,0),FALSE)</f>
        <v>232909.94</v>
      </c>
    </row>
    <row r="235" spans="1:40">
      <c r="A235" s="2" t="s">
        <v>519</v>
      </c>
      <c r="B235" s="2" t="s">
        <v>520</v>
      </c>
      <c r="C235" s="2" t="s">
        <v>1267</v>
      </c>
      <c r="D235" s="118">
        <f>VLOOKUP(A235,JanApport,MATCH($D$4,'Jan 2022 Apport'!$3:$3,FALSE),FALSE)</f>
        <v>18308483.420000002</v>
      </c>
      <c r="E235" s="30">
        <f>VLOOKUP(A235,JanApport,MATCH($E$2,'Jan 2022 Apport'!$3:$3,0),FALSE)+VLOOKUP(A235,JanApport,MATCH($E$3,'Jan 2022 Apport'!$3:$3,0),FALSE)+VLOOKUP(A235,JanApport,MATCH($E$4,'Jan 2022 Apport'!$3:$3,0),FALSE)</f>
        <v>976059.2</v>
      </c>
      <c r="F235" s="118">
        <f t="shared" si="35"/>
        <v>17332424.220000003</v>
      </c>
      <c r="G235" s="117">
        <f>VLOOKUP(A235,JanApport,MATCH($G$4,'Jan 2022 Apport'!$3:$3,0),FALSE)</f>
        <v>177542.41</v>
      </c>
      <c r="H235" s="117">
        <f>VLOOKUP(A235,JanApport,MATCH($H$3,'Jan 2022 Apport'!$3:$3,0),FALSE)+VLOOKUP(A235,JanApport,MATCH($H$2,'Jan 2022 Apport'!$3:$3,0),FALSE)+VLOOKUP(A235,JanApport,MATCH($H$4,'Jan 2022 Apport'!$3:$3,0),FALSE)</f>
        <v>2372011.96</v>
      </c>
      <c r="I235" s="117">
        <f t="shared" si="36"/>
        <v>2549554.37</v>
      </c>
      <c r="J235" s="117">
        <f>VLOOKUP(A235,JanApport,MATCH($J$4,'Jan 2022 Apport'!$3:$3,0),FALSE)</f>
        <v>1884475.67</v>
      </c>
      <c r="K235" s="117">
        <f>VLOOKUP(A235,JanApport,MATCH($K$4,'Jan 2022 Apport'!$3:$3,0),FALSE)</f>
        <v>9620.4699999999993</v>
      </c>
      <c r="L235" s="117">
        <f t="shared" si="37"/>
        <v>1894096.14</v>
      </c>
      <c r="M235" s="117">
        <f>VLOOKUP(A235,JanApport,MATCH($M$4,'Jan 2022 Apport'!$3:$3,0),FALSE)</f>
        <v>655297.38</v>
      </c>
      <c r="N235" s="117">
        <f>VLOOKUP(A235,JanApport,MATCH($N$4,'Jan 2022 Apport'!$3:$3,0),FALSE)</f>
        <v>303287.84000000003</v>
      </c>
      <c r="O235" s="117">
        <f>VLOOKUP(A235,JanApport,MATCH($O$4,'Jan 2022 Apport'!$3:$3,0),FALSE)</f>
        <v>58700.86</v>
      </c>
      <c r="P235" s="121">
        <f>IFERROR((VLOOKUP(A235,ExcessLevy!A:G,3,FALSE)*0.28),0)+IFERROR((VLOOKUP(A235,ExcessLevy!A:G,6,FALSE)*0.72),0)</f>
        <v>1211799.5767999999</v>
      </c>
      <c r="Q235" s="121">
        <f>IFERROR((VLOOKUP(A235,ExcessLevy!A:G,4,FALSE)*0.4738),0)+IFERROR((VLOOKUP(A235,ExcessLevy!A:G,7,FALSE)*0.5262),0)</f>
        <v>3928618.9425999997</v>
      </c>
      <c r="R235">
        <f>VLOOKUP(A235,JanApport,MATCH($R$4,'Jan 2022 Apport'!$3:$3,0),FALSE)</f>
        <v>0</v>
      </c>
      <c r="S235">
        <f>VLOOKUP(A235,JanApport,MATCH($S$4,'Jan 2022 Apport'!$3:$3,0),FALSE)</f>
        <v>0</v>
      </c>
      <c r="T235">
        <f>VLOOKUP(A235,JanApport,MATCH($T$4,'Jan 2022 Apport'!$3:$3,0),FALSE)</f>
        <v>109.39</v>
      </c>
      <c r="U235" s="132">
        <f>IFERROR(VLOOKUP(A235,JanApport,MATCH($U$4,'Jan 2022 Apport'!$3:$3,0),FALSE)/R235,0)</f>
        <v>0</v>
      </c>
      <c r="V235" s="30">
        <f>IFERROR(((VLOOKUP(A235,JanApport,MATCH($V$4,'Jan 2022 Apport'!$3:$3,0),FALSE)+VLOOKUP(A235,JanApport,MATCH($V$3,'Jan 2022 Apport'!$3:$3,0),FALSE))/(S235+T235)),0)</f>
        <v>8922.7461376725478</v>
      </c>
      <c r="W235" s="30">
        <f t="shared" si="30"/>
        <v>8083.6246967786601</v>
      </c>
      <c r="X235">
        <f>VLOOKUP(A235,JanApport,MATCH($X$4,'Jan 2022 Apport'!$3:$3,0),FALSE)</f>
        <v>4.8578999999999997E-2</v>
      </c>
      <c r="Y235">
        <f>VLOOKUP(A235,JanApport,MATCH($Y$4,'Jan 2022 Apport'!$3:$3,0),FALSE)</f>
        <v>4.0270000000000002E-3</v>
      </c>
      <c r="Z235">
        <f>VLOOKUP(A235,JanApport,MATCH($Z$4,'Jan 2022 Apport'!$3:$3,0),FALSE)</f>
        <v>1.7100000000000001E-2</v>
      </c>
      <c r="AA235" s="77">
        <f>VLOOKUP(A235,JanApport,MATCH($AA$4,'Jan 2022 Apport'!$3:$3,0),FALSE)*VLOOKUP(A235,JanApport,MATCH($AA$3,'Jan 2022 Apport'!$3:$3,0),FALSE)</f>
        <v>67585</v>
      </c>
      <c r="AB235" s="77">
        <f>VLOOKUP(A235,JanApport,MATCH($AB$4,'Jan 2022 Apport'!$3:$3,0),FALSE)*VLOOKUP(A235,JanApport,MATCH($AB$3,'Jan 2022 Apport'!$3:$3,0),FALSE)</f>
        <v>68937</v>
      </c>
      <c r="AC235" s="77">
        <f>VLOOKUP(A235,JanApport,MATCH($AC$4,'Jan 2022 Apport'!$3:$3,0),FALSE)</f>
        <v>100321</v>
      </c>
      <c r="AD235" s="77">
        <f>VLOOKUP(A235,JanApport,MATCH($AD$4,'Jan 2022 Apport'!$3:$3,0),FALSE)*VLOOKUP(A235,JanApport,MATCH($AD$3,'Jan 2022 Apport'!$3:$3,0),FALSE)</f>
        <v>102327</v>
      </c>
      <c r="AE235" s="77">
        <f>VLOOKUP(A235,JanApport,MATCH($AE$4,'Jan 2022 Apport'!$3:$3,0),FALSE)</f>
        <v>48483</v>
      </c>
      <c r="AF235" s="77">
        <f>VLOOKUP(A235,JanApport,MATCH($AF$4,'Jan 2022 Apport'!$3:$3,0),FALSE)*VLOOKUP(A235,JanApport,MATCH($AF$3,'Jan 2022 Apport'!$3:$3,0),FALSE)</f>
        <v>49453</v>
      </c>
      <c r="AG235" s="77">
        <f t="shared" si="31"/>
        <v>96432.259900000005</v>
      </c>
      <c r="AH235" s="77">
        <f t="shared" si="32"/>
        <v>137400.94330000001</v>
      </c>
      <c r="AI235" s="77">
        <f t="shared" si="33"/>
        <v>77281.189732599989</v>
      </c>
      <c r="AJ235" s="3">
        <f>VLOOKUP(A235,JanApport,MATCH($AJ$4,'Jan 2022 Apport'!$3:$3,0),FALSE)</f>
        <v>2617021.7400000002</v>
      </c>
      <c r="AK235" s="3">
        <f>VLOOKUP(A235,JanApport,MATCH($AK$4,'Jan 2022 Apport'!$3:$3,0),FALSE)</f>
        <v>44.408000000000001</v>
      </c>
      <c r="AL235" s="117">
        <f t="shared" si="34"/>
        <v>24193207.629999999</v>
      </c>
      <c r="AM235" s="117">
        <f>VLOOKUP(A235,JanApport,MATCH($AM$4,'Jan 2022 Apport'!$3:$3,0),FALSE)</f>
        <v>433408.09</v>
      </c>
      <c r="AN235" s="117">
        <f>VLOOKUP(A235,JanApport,MATCH($AN$4,'Jan 2022 Apport'!$3:$3,0),FALSE)</f>
        <v>146095.24</v>
      </c>
    </row>
    <row r="236" spans="1:40">
      <c r="A236" s="2" t="s">
        <v>263</v>
      </c>
      <c r="B236" s="2" t="s">
        <v>264</v>
      </c>
      <c r="C236" s="2" t="s">
        <v>1267</v>
      </c>
      <c r="D236" s="118">
        <f>VLOOKUP(A236,JanApport,MATCH($D$4,'Jan 2022 Apport'!$3:$3,FALSE),FALSE)</f>
        <v>431410.9</v>
      </c>
      <c r="E236" s="30">
        <f>VLOOKUP(A236,JanApport,MATCH($E$2,'Jan 2022 Apport'!$3:$3,0),FALSE)+VLOOKUP(A236,JanApport,MATCH($E$3,'Jan 2022 Apport'!$3:$3,0),FALSE)+VLOOKUP(A236,JanApport,MATCH($E$4,'Jan 2022 Apport'!$3:$3,0),FALSE)</f>
        <v>0</v>
      </c>
      <c r="F236" s="118">
        <f t="shared" si="35"/>
        <v>431410.9</v>
      </c>
      <c r="G236" s="117">
        <f>VLOOKUP(A236,JanApport,MATCH($G$4,'Jan 2022 Apport'!$3:$3,0),FALSE)</f>
        <v>9877.68</v>
      </c>
      <c r="H236" s="117">
        <f>VLOOKUP(A236,JanApport,MATCH($H$3,'Jan 2022 Apport'!$3:$3,0),FALSE)+VLOOKUP(A236,JanApport,MATCH($H$2,'Jan 2022 Apport'!$3:$3,0),FALSE)+VLOOKUP(A236,JanApport,MATCH($H$4,'Jan 2022 Apport'!$3:$3,0),FALSE)</f>
        <v>40211.050000000003</v>
      </c>
      <c r="I236" s="117">
        <f t="shared" si="36"/>
        <v>50088.73</v>
      </c>
      <c r="J236" s="117">
        <f>VLOOKUP(A236,JanApport,MATCH($J$4,'Jan 2022 Apport'!$3:$3,0),FALSE)</f>
        <v>115160.21</v>
      </c>
      <c r="K236" s="117">
        <f>VLOOKUP(A236,JanApport,MATCH($K$4,'Jan 2022 Apport'!$3:$3,0),FALSE)</f>
        <v>15424.47</v>
      </c>
      <c r="L236" s="117">
        <f t="shared" si="37"/>
        <v>130584.68000000001</v>
      </c>
      <c r="M236" s="117">
        <f>VLOOKUP(A236,JanApport,MATCH($M$4,'Jan 2022 Apport'!$3:$3,0),FALSE)</f>
        <v>0</v>
      </c>
      <c r="N236" s="117">
        <f>VLOOKUP(A236,JanApport,MATCH($N$4,'Jan 2022 Apport'!$3:$3,0),FALSE)</f>
        <v>0</v>
      </c>
      <c r="O236" s="117">
        <f>VLOOKUP(A236,JanApport,MATCH($O$4,'Jan 2022 Apport'!$3:$3,0),FALSE)</f>
        <v>0</v>
      </c>
      <c r="P236" s="121">
        <f>IFERROR((VLOOKUP(A236,ExcessLevy!A:G,3,FALSE)*0.28),0)+IFERROR((VLOOKUP(A236,ExcessLevy!A:G,6,FALSE)*0.72),0)</f>
        <v>0</v>
      </c>
      <c r="Q236" s="121">
        <f>IFERROR((VLOOKUP(A236,ExcessLevy!A:G,4,FALSE)*0.4738),0)+IFERROR((VLOOKUP(A236,ExcessLevy!A:G,7,FALSE)*0.5262),0)</f>
        <v>60000</v>
      </c>
      <c r="R236">
        <f>VLOOKUP(A236,JanApport,MATCH($R$4,'Jan 2022 Apport'!$3:$3,0),FALSE)</f>
        <v>0</v>
      </c>
      <c r="S236">
        <f>VLOOKUP(A236,JanApport,MATCH($S$4,'Jan 2022 Apport'!$3:$3,0),FALSE)</f>
        <v>0</v>
      </c>
      <c r="T236">
        <f>VLOOKUP(A236,JanApport,MATCH($T$4,'Jan 2022 Apport'!$3:$3,0),FALSE)</f>
        <v>0</v>
      </c>
      <c r="U236" s="132">
        <f>IFERROR(VLOOKUP(A236,JanApport,MATCH($U$4,'Jan 2022 Apport'!$3:$3,0),FALSE)/R236,0)</f>
        <v>0</v>
      </c>
      <c r="V236" s="30">
        <f>IFERROR(((VLOOKUP(A236,JanApport,MATCH($V$4,'Jan 2022 Apport'!$3:$3,0),FALSE)+VLOOKUP(A236,JanApport,MATCH($V$3,'Jan 2022 Apport'!$3:$3,0),FALSE))/(S236+T236)),0)</f>
        <v>0</v>
      </c>
      <c r="W236" s="30">
        <f t="shared" si="30"/>
        <v>8083.6246967786601</v>
      </c>
      <c r="X236">
        <f>VLOOKUP(A236,JanApport,MATCH($X$4,'Jan 2022 Apport'!$3:$3,0),FALSE)</f>
        <v>4.8578999999999997E-2</v>
      </c>
      <c r="Y236">
        <f>VLOOKUP(A236,JanApport,MATCH($Y$4,'Jan 2022 Apport'!$3:$3,0),FALSE)</f>
        <v>4.0270000000000002E-3</v>
      </c>
      <c r="Z236">
        <f>VLOOKUP(A236,JanApport,MATCH($Z$4,'Jan 2022 Apport'!$3:$3,0),FALSE)</f>
        <v>1.7100000000000001E-2</v>
      </c>
      <c r="AA236" s="77">
        <f>VLOOKUP(A236,JanApport,MATCH($AA$4,'Jan 2022 Apport'!$3:$3,0),FALSE)*VLOOKUP(A236,JanApport,MATCH($AA$3,'Jan 2022 Apport'!$3:$3,0),FALSE)</f>
        <v>67585</v>
      </c>
      <c r="AB236" s="77">
        <f>VLOOKUP(A236,JanApport,MATCH($AB$4,'Jan 2022 Apport'!$3:$3,0),FALSE)*VLOOKUP(A236,JanApport,MATCH($AB$3,'Jan 2022 Apport'!$3:$3,0),FALSE)</f>
        <v>68937</v>
      </c>
      <c r="AC236" s="77">
        <f>VLOOKUP(A236,JanApport,MATCH($AC$4,'Jan 2022 Apport'!$3:$3,0),FALSE)</f>
        <v>100321</v>
      </c>
      <c r="AD236" s="77">
        <f>VLOOKUP(A236,JanApport,MATCH($AD$4,'Jan 2022 Apport'!$3:$3,0),FALSE)*VLOOKUP(A236,JanApport,MATCH($AD$3,'Jan 2022 Apport'!$3:$3,0),FALSE)</f>
        <v>102327</v>
      </c>
      <c r="AE236" s="77">
        <f>VLOOKUP(A236,JanApport,MATCH($AE$4,'Jan 2022 Apport'!$3:$3,0),FALSE)</f>
        <v>48483</v>
      </c>
      <c r="AF236" s="77">
        <f>VLOOKUP(A236,JanApport,MATCH($AF$4,'Jan 2022 Apport'!$3:$3,0),FALSE)*VLOOKUP(A236,JanApport,MATCH($AF$3,'Jan 2022 Apport'!$3:$3,0),FALSE)</f>
        <v>49453</v>
      </c>
      <c r="AG236" s="77">
        <f t="shared" si="31"/>
        <v>96432.259900000005</v>
      </c>
      <c r="AH236" s="77">
        <f t="shared" si="32"/>
        <v>137400.94330000001</v>
      </c>
      <c r="AI236" s="77">
        <f t="shared" si="33"/>
        <v>77281.189732599989</v>
      </c>
      <c r="AJ236" s="3">
        <f>VLOOKUP(A236,JanApport,MATCH($AJ$4,'Jan 2022 Apport'!$3:$3,0),FALSE)</f>
        <v>56901.78</v>
      </c>
      <c r="AK236" s="3">
        <f>VLOOKUP(A236,JanApport,MATCH($AK$4,'Jan 2022 Apport'!$3:$3,0),FALSE)</f>
        <v>1.087</v>
      </c>
      <c r="AL236" s="117">
        <f t="shared" si="34"/>
        <v>546571.11</v>
      </c>
      <c r="AM236" s="117">
        <f>VLOOKUP(A236,JanApport,MATCH($AM$4,'Jan 2022 Apport'!$3:$3,0),FALSE)</f>
        <v>0</v>
      </c>
      <c r="AN236" s="117">
        <f>VLOOKUP(A236,JanApport,MATCH($AN$4,'Jan 2022 Apport'!$3:$3,0),FALSE)</f>
        <v>3870.96</v>
      </c>
    </row>
    <row r="237" spans="1:40">
      <c r="A237" s="2" t="s">
        <v>575</v>
      </c>
      <c r="B237" s="2" t="s">
        <v>576</v>
      </c>
      <c r="C237" s="2" t="s">
        <v>1267</v>
      </c>
      <c r="D237" s="118">
        <f>VLOOKUP(A237,JanApport,MATCH($D$4,'Jan 2022 Apport'!$3:$3,FALSE),FALSE)</f>
        <v>2411563.2799999998</v>
      </c>
      <c r="E237" s="30">
        <f>VLOOKUP(A237,JanApport,MATCH($E$2,'Jan 2022 Apport'!$3:$3,0),FALSE)+VLOOKUP(A237,JanApport,MATCH($E$3,'Jan 2022 Apport'!$3:$3,0),FALSE)+VLOOKUP(A237,JanApport,MATCH($E$4,'Jan 2022 Apport'!$3:$3,0),FALSE)</f>
        <v>69724.67</v>
      </c>
      <c r="F237" s="118">
        <f t="shared" si="35"/>
        <v>2341838.61</v>
      </c>
      <c r="G237" s="117">
        <f>VLOOKUP(A237,JanApport,MATCH($G$4,'Jan 2022 Apport'!$3:$3,0),FALSE)</f>
        <v>10175.83</v>
      </c>
      <c r="H237" s="117">
        <f>VLOOKUP(A237,JanApport,MATCH($H$3,'Jan 2022 Apport'!$3:$3,0),FALSE)+VLOOKUP(A237,JanApport,MATCH($H$2,'Jan 2022 Apport'!$3:$3,0),FALSE)+VLOOKUP(A237,JanApport,MATCH($H$4,'Jan 2022 Apport'!$3:$3,0),FALSE)</f>
        <v>161848.04999999999</v>
      </c>
      <c r="I237" s="117">
        <f t="shared" si="36"/>
        <v>172023.87999999998</v>
      </c>
      <c r="J237" s="117">
        <f>VLOOKUP(A237,JanApport,MATCH($J$4,'Jan 2022 Apport'!$3:$3,0),FALSE)</f>
        <v>208674.5</v>
      </c>
      <c r="K237" s="117">
        <f>VLOOKUP(A237,JanApport,MATCH($K$4,'Jan 2022 Apport'!$3:$3,0),FALSE)</f>
        <v>59271.02</v>
      </c>
      <c r="L237" s="117">
        <f t="shared" si="37"/>
        <v>267945.52</v>
      </c>
      <c r="M237" s="117">
        <f>VLOOKUP(A237,JanApport,MATCH($M$4,'Jan 2022 Apport'!$3:$3,0),FALSE)</f>
        <v>68955.98</v>
      </c>
      <c r="N237" s="117">
        <f>VLOOKUP(A237,JanApport,MATCH($N$4,'Jan 2022 Apport'!$3:$3,0),FALSE)</f>
        <v>0</v>
      </c>
      <c r="O237" s="117">
        <f>VLOOKUP(A237,JanApport,MATCH($O$4,'Jan 2022 Apport'!$3:$3,0),FALSE)</f>
        <v>0</v>
      </c>
      <c r="P237" s="121">
        <f>IFERROR((VLOOKUP(A237,ExcessLevy!A:G,3,FALSE)*0.28),0)+IFERROR((VLOOKUP(A237,ExcessLevy!A:G,6,FALSE)*0.72),0)</f>
        <v>30305.722000000002</v>
      </c>
      <c r="Q237" s="121">
        <f>IFERROR((VLOOKUP(A237,ExcessLevy!A:G,4,FALSE)*0.4738),0)+IFERROR((VLOOKUP(A237,ExcessLevy!A:G,7,FALSE)*0.5262),0)</f>
        <v>448000</v>
      </c>
      <c r="R237">
        <f>VLOOKUP(A237,JanApport,MATCH($R$4,'Jan 2022 Apport'!$3:$3,0),FALSE)</f>
        <v>0</v>
      </c>
      <c r="S237">
        <f>VLOOKUP(A237,JanApport,MATCH($S$4,'Jan 2022 Apport'!$3:$3,0),FALSE)</f>
        <v>2.35</v>
      </c>
      <c r="T237">
        <f>VLOOKUP(A237,JanApport,MATCH($T$4,'Jan 2022 Apport'!$3:$3,0),FALSE)</f>
        <v>5.3</v>
      </c>
      <c r="U237" s="132">
        <f>IFERROR(VLOOKUP(A237,JanApport,MATCH($U$4,'Jan 2022 Apport'!$3:$3,0),FALSE)/R237,0)</f>
        <v>0</v>
      </c>
      <c r="V237" s="30">
        <f>IFERROR(((VLOOKUP(A237,JanApport,MATCH($V$4,'Jan 2022 Apport'!$3:$3,0),FALSE)+VLOOKUP(A237,JanApport,MATCH($V$3,'Jan 2022 Apport'!$3:$3,0),FALSE))/(S237+T237)),0)</f>
        <v>9114.3359477124177</v>
      </c>
      <c r="W237" s="30">
        <f t="shared" si="30"/>
        <v>8083.6246967786601</v>
      </c>
      <c r="X237">
        <f>VLOOKUP(A237,JanApport,MATCH($X$4,'Jan 2022 Apport'!$3:$3,0),FALSE)</f>
        <v>4.8578999999999997E-2</v>
      </c>
      <c r="Y237">
        <f>VLOOKUP(A237,JanApport,MATCH($Y$4,'Jan 2022 Apport'!$3:$3,0),FALSE)</f>
        <v>4.0270000000000002E-3</v>
      </c>
      <c r="Z237">
        <f>VLOOKUP(A237,JanApport,MATCH($Z$4,'Jan 2022 Apport'!$3:$3,0),FALSE)</f>
        <v>1.7100000000000001E-2</v>
      </c>
      <c r="AA237" s="77">
        <f>VLOOKUP(A237,JanApport,MATCH($AA$4,'Jan 2022 Apport'!$3:$3,0),FALSE)*VLOOKUP(A237,JanApport,MATCH($AA$3,'Jan 2022 Apport'!$3:$3,0),FALSE)</f>
        <v>67585</v>
      </c>
      <c r="AB237" s="77">
        <f>VLOOKUP(A237,JanApport,MATCH($AB$4,'Jan 2022 Apport'!$3:$3,0),FALSE)*VLOOKUP(A237,JanApport,MATCH($AB$3,'Jan 2022 Apport'!$3:$3,0),FALSE)</f>
        <v>68937</v>
      </c>
      <c r="AC237" s="77">
        <f>VLOOKUP(A237,JanApport,MATCH($AC$4,'Jan 2022 Apport'!$3:$3,0),FALSE)</f>
        <v>100321</v>
      </c>
      <c r="AD237" s="77">
        <f>VLOOKUP(A237,JanApport,MATCH($AD$4,'Jan 2022 Apport'!$3:$3,0),FALSE)*VLOOKUP(A237,JanApport,MATCH($AD$3,'Jan 2022 Apport'!$3:$3,0),FALSE)</f>
        <v>102327</v>
      </c>
      <c r="AE237" s="77">
        <f>VLOOKUP(A237,JanApport,MATCH($AE$4,'Jan 2022 Apport'!$3:$3,0),FALSE)</f>
        <v>48483</v>
      </c>
      <c r="AF237" s="77">
        <f>VLOOKUP(A237,JanApport,MATCH($AF$4,'Jan 2022 Apport'!$3:$3,0),FALSE)*VLOOKUP(A237,JanApport,MATCH($AF$3,'Jan 2022 Apport'!$3:$3,0),FALSE)</f>
        <v>49453</v>
      </c>
      <c r="AG237" s="77">
        <f t="shared" si="31"/>
        <v>96432.259900000005</v>
      </c>
      <c r="AH237" s="77">
        <f t="shared" si="32"/>
        <v>137400.94330000001</v>
      </c>
      <c r="AI237" s="77">
        <f t="shared" si="33"/>
        <v>77281.189732599989</v>
      </c>
      <c r="AJ237" s="3">
        <f>VLOOKUP(A237,JanApport,MATCH($AJ$4,'Jan 2022 Apport'!$3:$3,0),FALSE)</f>
        <v>288659.03000000003</v>
      </c>
      <c r="AK237" s="3">
        <f>VLOOKUP(A237,JanApport,MATCH($AK$4,'Jan 2022 Apport'!$3:$3,0),FALSE)</f>
        <v>3.1659999999999999</v>
      </c>
      <c r="AL237" s="117">
        <f t="shared" si="34"/>
        <v>2911441.07</v>
      </c>
      <c r="AM237" s="117">
        <f>VLOOKUP(A237,JanApport,MATCH($AM$4,'Jan 2022 Apport'!$3:$3,0),FALSE)</f>
        <v>50223.43</v>
      </c>
      <c r="AN237" s="117">
        <f>VLOOKUP(A237,JanApport,MATCH($AN$4,'Jan 2022 Apport'!$3:$3,0),FALSE)</f>
        <v>21610.98</v>
      </c>
    </row>
    <row r="238" spans="1:40">
      <c r="A238" s="2" t="s">
        <v>131</v>
      </c>
      <c r="B238" s="2" t="s">
        <v>132</v>
      </c>
      <c r="C238" s="2" t="s">
        <v>1267</v>
      </c>
      <c r="D238" s="118">
        <f>VLOOKUP(A238,JanApport,MATCH($D$4,'Jan 2022 Apport'!$3:$3,FALSE),FALSE)</f>
        <v>15293467.48</v>
      </c>
      <c r="E238" s="30">
        <f>VLOOKUP(A238,JanApport,MATCH($E$2,'Jan 2022 Apport'!$3:$3,0),FALSE)+VLOOKUP(A238,JanApport,MATCH($E$3,'Jan 2022 Apport'!$3:$3,0),FALSE)+VLOOKUP(A238,JanApport,MATCH($E$4,'Jan 2022 Apport'!$3:$3,0),FALSE)</f>
        <v>1061559.78</v>
      </c>
      <c r="F238" s="118">
        <f t="shared" si="35"/>
        <v>14231907.700000001</v>
      </c>
      <c r="G238" s="117">
        <f>VLOOKUP(A238,JanApport,MATCH($G$4,'Jan 2022 Apport'!$3:$3,0),FALSE)</f>
        <v>106474.75</v>
      </c>
      <c r="H238" s="117">
        <f>VLOOKUP(A238,JanApport,MATCH($H$3,'Jan 2022 Apport'!$3:$3,0),FALSE)+VLOOKUP(A238,JanApport,MATCH($H$2,'Jan 2022 Apport'!$3:$3,0),FALSE)+VLOOKUP(A238,JanApport,MATCH($H$4,'Jan 2022 Apport'!$3:$3,0),FALSE)</f>
        <v>2051816.49</v>
      </c>
      <c r="I238" s="117">
        <f t="shared" si="36"/>
        <v>2158291.2400000002</v>
      </c>
      <c r="J238" s="117">
        <f>VLOOKUP(A238,JanApport,MATCH($J$4,'Jan 2022 Apport'!$3:$3,0),FALSE)</f>
        <v>998654.67</v>
      </c>
      <c r="K238" s="117">
        <f>VLOOKUP(A238,JanApport,MATCH($K$4,'Jan 2022 Apport'!$3:$3,0),FALSE)</f>
        <v>105110.61</v>
      </c>
      <c r="L238" s="117">
        <f t="shared" si="37"/>
        <v>1103765.28</v>
      </c>
      <c r="M238" s="117">
        <f>VLOOKUP(A238,JanApport,MATCH($M$4,'Jan 2022 Apport'!$3:$3,0),FALSE)</f>
        <v>800973.37</v>
      </c>
      <c r="N238" s="117">
        <f>VLOOKUP(A238,JanApport,MATCH($N$4,'Jan 2022 Apport'!$3:$3,0),FALSE)</f>
        <v>1192410.33</v>
      </c>
      <c r="O238" s="117">
        <f>VLOOKUP(A238,JanApport,MATCH($O$4,'Jan 2022 Apport'!$3:$3,0),FALSE)</f>
        <v>49504.4</v>
      </c>
      <c r="P238" s="121">
        <f>IFERROR((VLOOKUP(A238,ExcessLevy!A:G,3,FALSE)*0.28),0)+IFERROR((VLOOKUP(A238,ExcessLevy!A:G,6,FALSE)*0.72),0)</f>
        <v>1614585.8152000001</v>
      </c>
      <c r="Q238" s="121">
        <f>IFERROR((VLOOKUP(A238,ExcessLevy!A:G,4,FALSE)*0.4738),0)+IFERROR((VLOOKUP(A238,ExcessLevy!A:G,7,FALSE)*0.5262),0)</f>
        <v>1370000</v>
      </c>
      <c r="R238">
        <f>VLOOKUP(A238,JanApport,MATCH($R$4,'Jan 2022 Apport'!$3:$3,0),FALSE)</f>
        <v>0</v>
      </c>
      <c r="S238">
        <f>VLOOKUP(A238,JanApport,MATCH($S$4,'Jan 2022 Apport'!$3:$3,0),FALSE)</f>
        <v>29.34</v>
      </c>
      <c r="T238">
        <f>VLOOKUP(A238,JanApport,MATCH($T$4,'Jan 2022 Apport'!$3:$3,0),FALSE)</f>
        <v>89.68</v>
      </c>
      <c r="U238" s="132">
        <f>IFERROR(VLOOKUP(A238,JanApport,MATCH($U$4,'Jan 2022 Apport'!$3:$3,0),FALSE)/R238,0)</f>
        <v>0</v>
      </c>
      <c r="V238" s="30">
        <f>IFERROR(((VLOOKUP(A238,JanApport,MATCH($V$4,'Jan 2022 Apport'!$3:$3,0),FALSE)+VLOOKUP(A238,JanApport,MATCH($V$3,'Jan 2022 Apport'!$3:$3,0),FALSE))/(S238+T238)),0)</f>
        <v>8919.1713997647457</v>
      </c>
      <c r="W238" s="30">
        <f t="shared" si="30"/>
        <v>8083.6246967786601</v>
      </c>
      <c r="X238">
        <f>VLOOKUP(A238,JanApport,MATCH($X$4,'Jan 2022 Apport'!$3:$3,0),FALSE)</f>
        <v>4.8578999999999997E-2</v>
      </c>
      <c r="Y238">
        <f>VLOOKUP(A238,JanApport,MATCH($Y$4,'Jan 2022 Apport'!$3:$3,0),FALSE)</f>
        <v>4.0270000000000002E-3</v>
      </c>
      <c r="Z238">
        <f>VLOOKUP(A238,JanApport,MATCH($Z$4,'Jan 2022 Apport'!$3:$3,0),FALSE)</f>
        <v>1.7100000000000001E-2</v>
      </c>
      <c r="AA238" s="77">
        <f>VLOOKUP(A238,JanApport,MATCH($AA$4,'Jan 2022 Apport'!$3:$3,0),FALSE)*VLOOKUP(A238,JanApport,MATCH($AA$3,'Jan 2022 Apport'!$3:$3,0),FALSE)</f>
        <v>67585</v>
      </c>
      <c r="AB238" s="77">
        <f>VLOOKUP(A238,JanApport,MATCH($AB$4,'Jan 2022 Apport'!$3:$3,0),FALSE)*VLOOKUP(A238,JanApport,MATCH($AB$3,'Jan 2022 Apport'!$3:$3,0),FALSE)</f>
        <v>68937</v>
      </c>
      <c r="AC238" s="77">
        <f>VLOOKUP(A238,JanApport,MATCH($AC$4,'Jan 2022 Apport'!$3:$3,0),FALSE)</f>
        <v>100321</v>
      </c>
      <c r="AD238" s="77">
        <f>VLOOKUP(A238,JanApport,MATCH($AD$4,'Jan 2022 Apport'!$3:$3,0),FALSE)*VLOOKUP(A238,JanApport,MATCH($AD$3,'Jan 2022 Apport'!$3:$3,0),FALSE)</f>
        <v>102327</v>
      </c>
      <c r="AE238" s="77">
        <f>VLOOKUP(A238,JanApport,MATCH($AE$4,'Jan 2022 Apport'!$3:$3,0),FALSE)</f>
        <v>48483</v>
      </c>
      <c r="AF238" s="77">
        <f>VLOOKUP(A238,JanApport,MATCH($AF$4,'Jan 2022 Apport'!$3:$3,0),FALSE)*VLOOKUP(A238,JanApport,MATCH($AF$3,'Jan 2022 Apport'!$3:$3,0),FALSE)</f>
        <v>49453</v>
      </c>
      <c r="AG238" s="77">
        <f t="shared" si="31"/>
        <v>96432.259900000005</v>
      </c>
      <c r="AH238" s="77">
        <f t="shared" si="32"/>
        <v>137400.94330000001</v>
      </c>
      <c r="AI238" s="77">
        <f t="shared" si="33"/>
        <v>77281.189732599989</v>
      </c>
      <c r="AJ238" s="3">
        <f>VLOOKUP(A238,JanApport,MATCH($AJ$4,'Jan 2022 Apport'!$3:$3,0),FALSE)</f>
        <v>2216218.77</v>
      </c>
      <c r="AK238" s="3">
        <f>VLOOKUP(A238,JanApport,MATCH($AK$4,'Jan 2022 Apport'!$3:$3,0),FALSE)</f>
        <v>33.753</v>
      </c>
      <c r="AL238" s="117">
        <f t="shared" si="34"/>
        <v>20987954.160000004</v>
      </c>
      <c r="AM238" s="117">
        <f>VLOOKUP(A238,JanApport,MATCH($AM$4,'Jan 2022 Apport'!$3:$3,0),FALSE)</f>
        <v>494652.67</v>
      </c>
      <c r="AN238" s="117">
        <f>VLOOKUP(A238,JanApport,MATCH($AN$4,'Jan 2022 Apport'!$3:$3,0),FALSE)</f>
        <v>121667.49</v>
      </c>
    </row>
    <row r="239" spans="1:40">
      <c r="A239" s="2" t="s">
        <v>399</v>
      </c>
      <c r="B239" s="2" t="s">
        <v>400</v>
      </c>
      <c r="C239" s="2" t="s">
        <v>1267</v>
      </c>
      <c r="D239" s="118">
        <f>VLOOKUP(A239,JanApport,MATCH($D$4,'Jan 2022 Apport'!$3:$3,FALSE),FALSE)</f>
        <v>7284651.96</v>
      </c>
      <c r="E239" s="30">
        <f>VLOOKUP(A239,JanApport,MATCH($E$2,'Jan 2022 Apport'!$3:$3,0),FALSE)+VLOOKUP(A239,JanApport,MATCH($E$3,'Jan 2022 Apport'!$3:$3,0),FALSE)+VLOOKUP(A239,JanApport,MATCH($E$4,'Jan 2022 Apport'!$3:$3,0),FALSE)</f>
        <v>229744.35</v>
      </c>
      <c r="F239" s="118">
        <f t="shared" si="35"/>
        <v>7054907.6100000003</v>
      </c>
      <c r="G239" s="117">
        <f>VLOOKUP(A239,JanApport,MATCH($G$4,'Jan 2022 Apport'!$3:$3,0),FALSE)</f>
        <v>50892.91</v>
      </c>
      <c r="H239" s="117">
        <f>VLOOKUP(A239,JanApport,MATCH($H$3,'Jan 2022 Apport'!$3:$3,0),FALSE)+VLOOKUP(A239,JanApport,MATCH($H$2,'Jan 2022 Apport'!$3:$3,0),FALSE)+VLOOKUP(A239,JanApport,MATCH($H$4,'Jan 2022 Apport'!$3:$3,0),FALSE)</f>
        <v>981423.45999999985</v>
      </c>
      <c r="I239" s="117">
        <f t="shared" si="36"/>
        <v>1032316.3699999999</v>
      </c>
      <c r="J239" s="117">
        <f>VLOOKUP(A239,JanApport,MATCH($J$4,'Jan 2022 Apport'!$3:$3,0),FALSE)</f>
        <v>375391.82</v>
      </c>
      <c r="K239" s="117">
        <f>VLOOKUP(A239,JanApport,MATCH($K$4,'Jan 2022 Apport'!$3:$3,0),FALSE)</f>
        <v>59200.160000000003</v>
      </c>
      <c r="L239" s="117">
        <f t="shared" si="37"/>
        <v>434591.98</v>
      </c>
      <c r="M239" s="117">
        <f>VLOOKUP(A239,JanApport,MATCH($M$4,'Jan 2022 Apport'!$3:$3,0),FALSE)</f>
        <v>175857.05</v>
      </c>
      <c r="N239" s="117">
        <f>VLOOKUP(A239,JanApport,MATCH($N$4,'Jan 2022 Apport'!$3:$3,0),FALSE)</f>
        <v>88036.66</v>
      </c>
      <c r="O239" s="117">
        <f>VLOOKUP(A239,JanApport,MATCH($O$4,'Jan 2022 Apport'!$3:$3,0),FALSE)</f>
        <v>24226.3</v>
      </c>
      <c r="P239" s="121">
        <f>IFERROR((VLOOKUP(A239,ExcessLevy!A:G,3,FALSE)*0.28),0)+IFERROR((VLOOKUP(A239,ExcessLevy!A:G,6,FALSE)*0.72),0)</f>
        <v>0</v>
      </c>
      <c r="Q239" s="121">
        <f>IFERROR((VLOOKUP(A239,ExcessLevy!A:G,4,FALSE)*0.4738),0)+IFERROR((VLOOKUP(A239,ExcessLevy!A:G,7,FALSE)*0.5262),0)</f>
        <v>2119765.8864000002</v>
      </c>
      <c r="R239">
        <f>VLOOKUP(A239,JanApport,MATCH($R$4,'Jan 2022 Apport'!$3:$3,0),FALSE)</f>
        <v>0</v>
      </c>
      <c r="S239">
        <f>VLOOKUP(A239,JanApport,MATCH($S$4,'Jan 2022 Apport'!$3:$3,0),FALSE)</f>
        <v>0</v>
      </c>
      <c r="T239">
        <f>VLOOKUP(A239,JanApport,MATCH($T$4,'Jan 2022 Apport'!$3:$3,0),FALSE)</f>
        <v>23.73</v>
      </c>
      <c r="U239" s="132">
        <f>IFERROR(VLOOKUP(A239,JanApport,MATCH($U$4,'Jan 2022 Apport'!$3:$3,0),FALSE)/R239,0)</f>
        <v>0</v>
      </c>
      <c r="V239" s="30">
        <f>IFERROR(((VLOOKUP(A239,JanApport,MATCH($V$4,'Jan 2022 Apport'!$3:$3,0),FALSE)+VLOOKUP(A239,JanApport,MATCH($V$3,'Jan 2022 Apport'!$3:$3,0),FALSE))/(S239+T239)),0)</f>
        <v>9681.5992414664979</v>
      </c>
      <c r="W239" s="30">
        <f t="shared" si="30"/>
        <v>8758.0802925734424</v>
      </c>
      <c r="X239">
        <f>VLOOKUP(A239,JanApport,MATCH($X$4,'Jan 2022 Apport'!$3:$3,0),FALSE)</f>
        <v>4.8578999999999997E-2</v>
      </c>
      <c r="Y239">
        <f>VLOOKUP(A239,JanApport,MATCH($Y$4,'Jan 2022 Apport'!$3:$3,0),FALSE)</f>
        <v>4.0270000000000002E-3</v>
      </c>
      <c r="Z239">
        <f>VLOOKUP(A239,JanApport,MATCH($Z$4,'Jan 2022 Apport'!$3:$3,0),FALSE)</f>
        <v>1.7100000000000001E-2</v>
      </c>
      <c r="AA239" s="77">
        <f>VLOOKUP(A239,JanApport,MATCH($AA$4,'Jan 2022 Apport'!$3:$3,0),FALSE)*VLOOKUP(A239,JanApport,MATCH($AA$3,'Jan 2022 Apport'!$3:$3,0),FALSE)</f>
        <v>75695.200000000012</v>
      </c>
      <c r="AB239" s="77">
        <f>VLOOKUP(A239,JanApport,MATCH($AB$4,'Jan 2022 Apport'!$3:$3,0),FALSE)*VLOOKUP(A239,JanApport,MATCH($AB$3,'Jan 2022 Apport'!$3:$3,0),FALSE)</f>
        <v>77209.440000000002</v>
      </c>
      <c r="AC239" s="77">
        <f>VLOOKUP(A239,JanApport,MATCH($AC$4,'Jan 2022 Apport'!$3:$3,0),FALSE)</f>
        <v>100321</v>
      </c>
      <c r="AD239" s="77">
        <f>VLOOKUP(A239,JanApport,MATCH($AD$4,'Jan 2022 Apport'!$3:$3,0),FALSE)*VLOOKUP(A239,JanApport,MATCH($AD$3,'Jan 2022 Apport'!$3:$3,0),FALSE)</f>
        <v>114606.24</v>
      </c>
      <c r="AE239" s="77">
        <f>VLOOKUP(A239,JanApport,MATCH($AE$4,'Jan 2022 Apport'!$3:$3,0),FALSE)</f>
        <v>48483</v>
      </c>
      <c r="AF239" s="77">
        <f>VLOOKUP(A239,JanApport,MATCH($AF$4,'Jan 2022 Apport'!$3:$3,0),FALSE)*VLOOKUP(A239,JanApport,MATCH($AF$3,'Jan 2022 Apport'!$3:$3,0),FALSE)</f>
        <v>55387.360000000008</v>
      </c>
      <c r="AG239" s="77">
        <f t="shared" si="31"/>
        <v>106582.33268799999</v>
      </c>
      <c r="AH239" s="77">
        <f t="shared" si="32"/>
        <v>152390.21156800003</v>
      </c>
      <c r="AI239" s="77">
        <f t="shared" si="33"/>
        <v>84357.998300512001</v>
      </c>
      <c r="AJ239" s="3">
        <f>VLOOKUP(A239,JanApport,MATCH($AJ$4,'Jan 2022 Apport'!$3:$3,0),FALSE)</f>
        <v>992481.44</v>
      </c>
      <c r="AK239" s="3">
        <f>VLOOKUP(A239,JanApport,MATCH($AK$4,'Jan 2022 Apport'!$3:$3,0),FALSE)</f>
        <v>13.503</v>
      </c>
      <c r="AL239" s="117">
        <f t="shared" si="34"/>
        <v>8980480.1600000001</v>
      </c>
      <c r="AM239" s="117">
        <f>VLOOKUP(A239,JanApport,MATCH($AM$4,'Jan 2022 Apport'!$3:$3,0),FALSE)</f>
        <v>0</v>
      </c>
      <c r="AN239" s="117">
        <f>VLOOKUP(A239,JanApport,MATCH($AN$4,'Jan 2022 Apport'!$3:$3,0),FALSE)</f>
        <v>59947.43</v>
      </c>
    </row>
    <row r="240" spans="1:40">
      <c r="A240" s="2" t="s">
        <v>159</v>
      </c>
      <c r="B240" s="2" t="s">
        <v>160</v>
      </c>
      <c r="C240" s="2" t="s">
        <v>1267</v>
      </c>
      <c r="D240" s="118">
        <f>VLOOKUP(A240,JanApport,MATCH($D$4,'Jan 2022 Apport'!$3:$3,FALSE),FALSE)</f>
        <v>606007.63</v>
      </c>
      <c r="E240" s="30">
        <f>VLOOKUP(A240,JanApport,MATCH($E$2,'Jan 2022 Apport'!$3:$3,0),FALSE)+VLOOKUP(A240,JanApport,MATCH($E$3,'Jan 2022 Apport'!$3:$3,0),FALSE)+VLOOKUP(A240,JanApport,MATCH($E$4,'Jan 2022 Apport'!$3:$3,0),FALSE)</f>
        <v>0</v>
      </c>
      <c r="F240" s="118">
        <f t="shared" si="35"/>
        <v>606007.63</v>
      </c>
      <c r="G240" s="117">
        <f>VLOOKUP(A240,JanApport,MATCH($G$4,'Jan 2022 Apport'!$3:$3,0),FALSE)</f>
        <v>0</v>
      </c>
      <c r="H240" s="117">
        <f>VLOOKUP(A240,JanApport,MATCH($H$3,'Jan 2022 Apport'!$3:$3,0),FALSE)+VLOOKUP(A240,JanApport,MATCH($H$2,'Jan 2022 Apport'!$3:$3,0),FALSE)+VLOOKUP(A240,JanApport,MATCH($H$4,'Jan 2022 Apport'!$3:$3,0),FALSE)</f>
        <v>67364.820000000007</v>
      </c>
      <c r="I240" s="117">
        <f t="shared" si="36"/>
        <v>67364.820000000007</v>
      </c>
      <c r="J240" s="117">
        <f>VLOOKUP(A240,JanApport,MATCH($J$4,'Jan 2022 Apport'!$3:$3,0),FALSE)</f>
        <v>0</v>
      </c>
      <c r="K240" s="117">
        <f>VLOOKUP(A240,JanApport,MATCH($K$4,'Jan 2022 Apport'!$3:$3,0),FALSE)</f>
        <v>0</v>
      </c>
      <c r="L240" s="117">
        <f t="shared" si="37"/>
        <v>0</v>
      </c>
      <c r="M240" s="117">
        <f>VLOOKUP(A240,JanApport,MATCH($M$4,'Jan 2022 Apport'!$3:$3,0),FALSE)</f>
        <v>15751.41</v>
      </c>
      <c r="N240" s="117">
        <f>VLOOKUP(A240,JanApport,MATCH($N$4,'Jan 2022 Apport'!$3:$3,0),FALSE)</f>
        <v>0</v>
      </c>
      <c r="O240" s="117">
        <f>VLOOKUP(A240,JanApport,MATCH($O$4,'Jan 2022 Apport'!$3:$3,0),FALSE)</f>
        <v>0</v>
      </c>
      <c r="P240" s="121">
        <f>IFERROR((VLOOKUP(A240,ExcessLevy!A:G,3,FALSE)*0.28),0)+IFERROR((VLOOKUP(A240,ExcessLevy!A:G,6,FALSE)*0.72),0)</f>
        <v>39438.405599999998</v>
      </c>
      <c r="Q240" s="121">
        <f>IFERROR((VLOOKUP(A240,ExcessLevy!A:G,4,FALSE)*0.4738),0)+IFERROR((VLOOKUP(A240,ExcessLevy!A:G,7,FALSE)*0.5262),0)</f>
        <v>81579.126199999999</v>
      </c>
      <c r="R240">
        <f>VLOOKUP(A240,JanApport,MATCH($R$4,'Jan 2022 Apport'!$3:$3,0),FALSE)</f>
        <v>0</v>
      </c>
      <c r="S240">
        <f>VLOOKUP(A240,JanApport,MATCH($S$4,'Jan 2022 Apport'!$3:$3,0),FALSE)</f>
        <v>0</v>
      </c>
      <c r="T240">
        <f>VLOOKUP(A240,JanApport,MATCH($T$4,'Jan 2022 Apport'!$3:$3,0),FALSE)</f>
        <v>0</v>
      </c>
      <c r="U240" s="132">
        <f>IFERROR(VLOOKUP(A240,JanApport,MATCH($U$4,'Jan 2022 Apport'!$3:$3,0),FALSE)/R240,0)</f>
        <v>0</v>
      </c>
      <c r="V240" s="30">
        <f>IFERROR(((VLOOKUP(A240,JanApport,MATCH($V$4,'Jan 2022 Apport'!$3:$3,0),FALSE)+VLOOKUP(A240,JanApport,MATCH($V$3,'Jan 2022 Apport'!$3:$3,0),FALSE))/(S240+T240)),0)</f>
        <v>0</v>
      </c>
      <c r="W240" s="30">
        <f t="shared" si="30"/>
        <v>8083.6246967786601</v>
      </c>
      <c r="X240">
        <f>VLOOKUP(A240,JanApport,MATCH($X$4,'Jan 2022 Apport'!$3:$3,0),FALSE)</f>
        <v>4.8578999999999997E-2</v>
      </c>
      <c r="Y240">
        <f>VLOOKUP(A240,JanApport,MATCH($Y$4,'Jan 2022 Apport'!$3:$3,0),FALSE)</f>
        <v>4.0270000000000002E-3</v>
      </c>
      <c r="Z240">
        <f>VLOOKUP(A240,JanApport,MATCH($Z$4,'Jan 2022 Apport'!$3:$3,0),FALSE)</f>
        <v>1.7100000000000001E-2</v>
      </c>
      <c r="AA240" s="77">
        <f>VLOOKUP(A240,JanApport,MATCH($AA$4,'Jan 2022 Apport'!$3:$3,0),FALSE)*VLOOKUP(A240,JanApport,MATCH($AA$3,'Jan 2022 Apport'!$3:$3,0),FALSE)</f>
        <v>67585</v>
      </c>
      <c r="AB240" s="77">
        <f>VLOOKUP(A240,JanApport,MATCH($AB$4,'Jan 2022 Apport'!$3:$3,0),FALSE)*VLOOKUP(A240,JanApport,MATCH($AB$3,'Jan 2022 Apport'!$3:$3,0),FALSE)</f>
        <v>68937</v>
      </c>
      <c r="AC240" s="77">
        <f>VLOOKUP(A240,JanApport,MATCH($AC$4,'Jan 2022 Apport'!$3:$3,0),FALSE)</f>
        <v>100321</v>
      </c>
      <c r="AD240" s="77">
        <f>VLOOKUP(A240,JanApport,MATCH($AD$4,'Jan 2022 Apport'!$3:$3,0),FALSE)*VLOOKUP(A240,JanApport,MATCH($AD$3,'Jan 2022 Apport'!$3:$3,0),FALSE)</f>
        <v>102327</v>
      </c>
      <c r="AE240" s="77">
        <f>VLOOKUP(A240,JanApport,MATCH($AE$4,'Jan 2022 Apport'!$3:$3,0),FALSE)</f>
        <v>48483</v>
      </c>
      <c r="AF240" s="77">
        <f>VLOOKUP(A240,JanApport,MATCH($AF$4,'Jan 2022 Apport'!$3:$3,0),FALSE)*VLOOKUP(A240,JanApport,MATCH($AF$3,'Jan 2022 Apport'!$3:$3,0),FALSE)</f>
        <v>49453</v>
      </c>
      <c r="AG240" s="77">
        <f t="shared" si="31"/>
        <v>96432.259900000005</v>
      </c>
      <c r="AH240" s="77">
        <f t="shared" si="32"/>
        <v>137400.94330000001</v>
      </c>
      <c r="AI240" s="77">
        <f t="shared" si="33"/>
        <v>77281.189732599989</v>
      </c>
      <c r="AJ240" s="3">
        <f>VLOOKUP(A240,JanApport,MATCH($AJ$4,'Jan 2022 Apport'!$3:$3,0),FALSE)</f>
        <v>78733.84</v>
      </c>
      <c r="AK240" s="3">
        <f>VLOOKUP(A240,JanApport,MATCH($AK$4,'Jan 2022 Apport'!$3:$3,0),FALSE)</f>
        <v>2.0379999999999998</v>
      </c>
      <c r="AL240" s="117">
        <f t="shared" si="34"/>
        <v>703603.41000000015</v>
      </c>
      <c r="AM240" s="117">
        <f>VLOOKUP(A240,JanApport,MATCH($AM$4,'Jan 2022 Apport'!$3:$3,0),FALSE)</f>
        <v>14479.55</v>
      </c>
      <c r="AN240" s="117">
        <f>VLOOKUP(A240,JanApport,MATCH($AN$4,'Jan 2022 Apport'!$3:$3,0),FALSE)</f>
        <v>5244.03</v>
      </c>
    </row>
    <row r="241" spans="1:40">
      <c r="A241" s="2" t="s">
        <v>183</v>
      </c>
      <c r="B241" s="2" t="s">
        <v>184</v>
      </c>
      <c r="C241" s="2" t="s">
        <v>1267</v>
      </c>
      <c r="D241" s="118">
        <f>VLOOKUP(A241,JanApport,MATCH($D$4,'Jan 2022 Apport'!$3:$3,FALSE),FALSE)</f>
        <v>498473753.12</v>
      </c>
      <c r="E241" s="30">
        <f>VLOOKUP(A241,JanApport,MATCH($E$2,'Jan 2022 Apport'!$3:$3,0),FALSE)+VLOOKUP(A241,JanApport,MATCH($E$3,'Jan 2022 Apport'!$3:$3,0),FALSE)+VLOOKUP(A241,JanApport,MATCH($E$4,'Jan 2022 Apport'!$3:$3,0),FALSE)</f>
        <v>18420544.469999999</v>
      </c>
      <c r="F241" s="118">
        <f t="shared" si="35"/>
        <v>480053208.64999998</v>
      </c>
      <c r="G241" s="117">
        <f>VLOOKUP(A241,JanApport,MATCH($G$4,'Jan 2022 Apport'!$3:$3,0),FALSE)</f>
        <v>3655074.94</v>
      </c>
      <c r="H241" s="117">
        <f>VLOOKUP(A241,JanApport,MATCH($H$3,'Jan 2022 Apport'!$3:$3,0),FALSE)+VLOOKUP(A241,JanApport,MATCH($H$2,'Jan 2022 Apport'!$3:$3,0),FALSE)+VLOOKUP(A241,JanApport,MATCH($H$4,'Jan 2022 Apport'!$3:$3,0),FALSE)</f>
        <v>66526090.859999999</v>
      </c>
      <c r="I241" s="117">
        <f t="shared" si="36"/>
        <v>70181165.799999997</v>
      </c>
      <c r="J241" s="117">
        <f>VLOOKUP(A241,JanApport,MATCH($J$4,'Jan 2022 Apport'!$3:$3,0),FALSE)</f>
        <v>35344928.210000001</v>
      </c>
      <c r="K241" s="117">
        <f>VLOOKUP(A241,JanApport,MATCH($K$4,'Jan 2022 Apport'!$3:$3,0),FALSE)</f>
        <v>0</v>
      </c>
      <c r="L241" s="117">
        <f t="shared" si="37"/>
        <v>35344928.210000001</v>
      </c>
      <c r="M241" s="117">
        <f>VLOOKUP(A241,JanApport,MATCH($M$4,'Jan 2022 Apport'!$3:$3,0),FALSE)</f>
        <v>15377165.300000001</v>
      </c>
      <c r="N241" s="117">
        <f>VLOOKUP(A241,JanApport,MATCH($N$4,'Jan 2022 Apport'!$3:$3,0),FALSE)</f>
        <v>11624826.960000001</v>
      </c>
      <c r="O241" s="117">
        <f>VLOOKUP(A241,JanApport,MATCH($O$4,'Jan 2022 Apport'!$3:$3,0),FALSE)</f>
        <v>0</v>
      </c>
      <c r="P241" s="121">
        <f>IFERROR((VLOOKUP(A241,ExcessLevy!A:G,3,FALSE)*0.28),0)+IFERROR((VLOOKUP(A241,ExcessLevy!A:G,6,FALSE)*0.72),0)</f>
        <v>0</v>
      </c>
      <c r="Q241" s="121">
        <f>IFERROR((VLOOKUP(A241,ExcessLevy!A:G,4,FALSE)*0.4738),0)+IFERROR((VLOOKUP(A241,ExcessLevy!A:G,7,FALSE)*0.5262),0)</f>
        <v>173742726.7186</v>
      </c>
      <c r="R241">
        <f>VLOOKUP(A241,JanApport,MATCH($R$4,'Jan 2022 Apport'!$3:$3,0),FALSE)</f>
        <v>102.69</v>
      </c>
      <c r="S241">
        <f>VLOOKUP(A241,JanApport,MATCH($S$4,'Jan 2022 Apport'!$3:$3,0),FALSE)</f>
        <v>172.69</v>
      </c>
      <c r="T241">
        <f>VLOOKUP(A241,JanApport,MATCH($T$4,'Jan 2022 Apport'!$3:$3,0),FALSE)</f>
        <v>1541.82</v>
      </c>
      <c r="U241" s="132">
        <f>IFERROR(VLOOKUP(A241,JanApport,MATCH($U$4,'Jan 2022 Apport'!$3:$3,0),FALSE)/R241,0)</f>
        <v>11443.416009348524</v>
      </c>
      <c r="V241" s="30">
        <f>IFERROR(((VLOOKUP(A241,JanApport,MATCH($V$4,'Jan 2022 Apport'!$3:$3,0),FALSE)+VLOOKUP(A241,JanApport,MATCH($V$3,'Jan 2022 Apport'!$3:$3,0),FALSE))/(S241+T241)),0)</f>
        <v>10058.512391295471</v>
      </c>
      <c r="W241" s="30">
        <f t="shared" si="30"/>
        <v>8759.3410458720027</v>
      </c>
      <c r="X241">
        <f>VLOOKUP(A241,JanApport,MATCH($X$4,'Jan 2022 Apport'!$3:$3,0),FALSE)</f>
        <v>4.8578999999999997E-2</v>
      </c>
      <c r="Y241">
        <f>VLOOKUP(A241,JanApport,MATCH($Y$4,'Jan 2022 Apport'!$3:$3,0),FALSE)</f>
        <v>4.0270000000000002E-3</v>
      </c>
      <c r="Z241">
        <f>VLOOKUP(A241,JanApport,MATCH($Z$4,'Jan 2022 Apport'!$3:$3,0),FALSE)</f>
        <v>1.7100000000000001E-2</v>
      </c>
      <c r="AA241" s="77">
        <f>VLOOKUP(A241,JanApport,MATCH($AA$4,'Jan 2022 Apport'!$3:$3,0),FALSE)*VLOOKUP(A241,JanApport,MATCH($AA$3,'Jan 2022 Apport'!$3:$3,0),FALSE)</f>
        <v>79750.3</v>
      </c>
      <c r="AB241" s="77">
        <f>VLOOKUP(A241,JanApport,MATCH($AB$4,'Jan 2022 Apport'!$3:$3,0),FALSE)*VLOOKUP(A241,JanApport,MATCH($AB$3,'Jan 2022 Apport'!$3:$3,0),FALSE)</f>
        <v>77209.440000000002</v>
      </c>
      <c r="AC241" s="77">
        <f>VLOOKUP(A241,JanApport,MATCH($AC$4,'Jan 2022 Apport'!$3:$3,0),FALSE)</f>
        <v>100321</v>
      </c>
      <c r="AD241" s="77">
        <f>VLOOKUP(A241,JanApport,MATCH($AD$4,'Jan 2022 Apport'!$3:$3,0),FALSE)*VLOOKUP(A241,JanApport,MATCH($AD$3,'Jan 2022 Apport'!$3:$3,0),FALSE)</f>
        <v>114606.24</v>
      </c>
      <c r="AE241" s="77">
        <f>VLOOKUP(A241,JanApport,MATCH($AE$4,'Jan 2022 Apport'!$3:$3,0),FALSE)</f>
        <v>48483</v>
      </c>
      <c r="AF241" s="77">
        <f>VLOOKUP(A241,JanApport,MATCH($AF$4,'Jan 2022 Apport'!$3:$3,0),FALSE)*VLOOKUP(A241,JanApport,MATCH($AF$3,'Jan 2022 Apport'!$3:$3,0),FALSE)</f>
        <v>55387.360000000008</v>
      </c>
      <c r="AG241" s="77">
        <f t="shared" si="31"/>
        <v>106608.285328</v>
      </c>
      <c r="AH241" s="77">
        <f t="shared" si="32"/>
        <v>152390.21156800003</v>
      </c>
      <c r="AI241" s="77">
        <f t="shared" si="33"/>
        <v>84357.998300512001</v>
      </c>
      <c r="AJ241" s="3">
        <f>VLOOKUP(A241,JanApport,MATCH($AJ$4,'Jan 2022 Apport'!$3:$3,0),FALSE)</f>
        <v>65682496.439999998</v>
      </c>
      <c r="AK241" s="3">
        <f>VLOOKUP(A241,JanApport,MATCH($AK$4,'Jan 2022 Apport'!$3:$3,0),FALSE)</f>
        <v>1074.857</v>
      </c>
      <c r="AL241" s="117">
        <f t="shared" si="34"/>
        <v>636001859.99000001</v>
      </c>
      <c r="AM241" s="117">
        <f>VLOOKUP(A241,JanApport,MATCH($AM$4,'Jan 2022 Apport'!$3:$3,0),FALSE)</f>
        <v>5000020.5999999996</v>
      </c>
      <c r="AN241" s="117">
        <f>VLOOKUP(A241,JanApport,MATCH($AN$4,'Jan 2022 Apport'!$3:$3,0),FALSE)</f>
        <v>4303249.2</v>
      </c>
    </row>
    <row r="242" spans="1:40">
      <c r="A242" s="2" t="s">
        <v>405</v>
      </c>
      <c r="B242" s="2" t="s">
        <v>406</v>
      </c>
      <c r="C242" s="2" t="s">
        <v>1267</v>
      </c>
      <c r="D242" s="118">
        <f>VLOOKUP(A242,JanApport,MATCH($D$4,'Jan 2022 Apport'!$3:$3,FALSE),FALSE)</f>
        <v>40540276.539999999</v>
      </c>
      <c r="E242" s="30">
        <f>VLOOKUP(A242,JanApport,MATCH($E$2,'Jan 2022 Apport'!$3:$3,0),FALSE)+VLOOKUP(A242,JanApport,MATCH($E$3,'Jan 2022 Apport'!$3:$3,0),FALSE)+VLOOKUP(A242,JanApport,MATCH($E$4,'Jan 2022 Apport'!$3:$3,0),FALSE)</f>
        <v>3175213.47</v>
      </c>
      <c r="F242" s="118">
        <f t="shared" si="35"/>
        <v>37365063.07</v>
      </c>
      <c r="G242" s="117">
        <f>VLOOKUP(A242,JanApport,MATCH($G$4,'Jan 2022 Apport'!$3:$3,0),FALSE)</f>
        <v>536408.38</v>
      </c>
      <c r="H242" s="117">
        <f>VLOOKUP(A242,JanApport,MATCH($H$3,'Jan 2022 Apport'!$3:$3,0),FALSE)+VLOOKUP(A242,JanApport,MATCH($H$2,'Jan 2022 Apport'!$3:$3,0),FALSE)+VLOOKUP(A242,JanApport,MATCH($H$4,'Jan 2022 Apport'!$3:$3,0),FALSE)</f>
        <v>5502247.9800000004</v>
      </c>
      <c r="I242" s="117">
        <f t="shared" si="36"/>
        <v>6038656.3600000003</v>
      </c>
      <c r="J242" s="117">
        <f>VLOOKUP(A242,JanApport,MATCH($J$4,'Jan 2022 Apport'!$3:$3,0),FALSE)</f>
        <v>3131635.26</v>
      </c>
      <c r="K242" s="117">
        <f>VLOOKUP(A242,JanApport,MATCH($K$4,'Jan 2022 Apport'!$3:$3,0),FALSE)</f>
        <v>346584.94</v>
      </c>
      <c r="L242" s="117">
        <f t="shared" si="37"/>
        <v>3478220.1999999997</v>
      </c>
      <c r="M242" s="117">
        <f>VLOOKUP(A242,JanApport,MATCH($M$4,'Jan 2022 Apport'!$3:$3,0),FALSE)</f>
        <v>1463528.55</v>
      </c>
      <c r="N242" s="117">
        <f>VLOOKUP(A242,JanApport,MATCH($N$4,'Jan 2022 Apport'!$3:$3,0),FALSE)</f>
        <v>572130.21</v>
      </c>
      <c r="O242" s="117">
        <f>VLOOKUP(A242,JanApport,MATCH($O$4,'Jan 2022 Apport'!$3:$3,0),FALSE)</f>
        <v>133461</v>
      </c>
      <c r="P242" s="121">
        <f>IFERROR((VLOOKUP(A242,ExcessLevy!A:G,3,FALSE)*0.28),0)+IFERROR((VLOOKUP(A242,ExcessLevy!A:G,6,FALSE)*0.72),0)</f>
        <v>475388.06760000001</v>
      </c>
      <c r="Q242" s="121">
        <f>IFERROR((VLOOKUP(A242,ExcessLevy!A:G,4,FALSE)*0.4738),0)+IFERROR((VLOOKUP(A242,ExcessLevy!A:G,7,FALSE)*0.5262),0)</f>
        <v>13400860.8594</v>
      </c>
      <c r="R242">
        <f>VLOOKUP(A242,JanApport,MATCH($R$4,'Jan 2022 Apport'!$3:$3,0),FALSE)</f>
        <v>0</v>
      </c>
      <c r="S242">
        <f>VLOOKUP(A242,JanApport,MATCH($S$4,'Jan 2022 Apport'!$3:$3,0),FALSE)</f>
        <v>23.22</v>
      </c>
      <c r="T242">
        <f>VLOOKUP(A242,JanApport,MATCH($T$4,'Jan 2022 Apport'!$3:$3,0),FALSE)</f>
        <v>304.77</v>
      </c>
      <c r="U242" s="132">
        <f>IFERROR(VLOOKUP(A242,JanApport,MATCH($U$4,'Jan 2022 Apport'!$3:$3,0),FALSE)/R242,0)</f>
        <v>0</v>
      </c>
      <c r="V242" s="30">
        <f>IFERROR(((VLOOKUP(A242,JanApport,MATCH($V$4,'Jan 2022 Apport'!$3:$3,0),FALSE)+VLOOKUP(A242,JanApport,MATCH($V$3,'Jan 2022 Apport'!$3:$3,0),FALSE))/(S242+T242)),0)</f>
        <v>9680.8240190249708</v>
      </c>
      <c r="W242" s="30">
        <f t="shared" si="30"/>
        <v>8758.0802925734424</v>
      </c>
      <c r="X242">
        <f>VLOOKUP(A242,JanApport,MATCH($X$4,'Jan 2022 Apport'!$3:$3,0),FALSE)</f>
        <v>4.8578999999999997E-2</v>
      </c>
      <c r="Y242">
        <f>VLOOKUP(A242,JanApport,MATCH($Y$4,'Jan 2022 Apport'!$3:$3,0),FALSE)</f>
        <v>4.0270000000000002E-3</v>
      </c>
      <c r="Z242">
        <f>VLOOKUP(A242,JanApport,MATCH($Z$4,'Jan 2022 Apport'!$3:$3,0),FALSE)</f>
        <v>1.7100000000000001E-2</v>
      </c>
      <c r="AA242" s="77">
        <f>VLOOKUP(A242,JanApport,MATCH($AA$4,'Jan 2022 Apport'!$3:$3,0),FALSE)*VLOOKUP(A242,JanApport,MATCH($AA$3,'Jan 2022 Apport'!$3:$3,0),FALSE)</f>
        <v>75695.200000000012</v>
      </c>
      <c r="AB242" s="77">
        <f>VLOOKUP(A242,JanApport,MATCH($AB$4,'Jan 2022 Apport'!$3:$3,0),FALSE)*VLOOKUP(A242,JanApport,MATCH($AB$3,'Jan 2022 Apport'!$3:$3,0),FALSE)</f>
        <v>77209.440000000002</v>
      </c>
      <c r="AC242" s="77">
        <f>VLOOKUP(A242,JanApport,MATCH($AC$4,'Jan 2022 Apport'!$3:$3,0),FALSE)</f>
        <v>100321</v>
      </c>
      <c r="AD242" s="77">
        <f>VLOOKUP(A242,JanApport,MATCH($AD$4,'Jan 2022 Apport'!$3:$3,0),FALSE)*VLOOKUP(A242,JanApport,MATCH($AD$3,'Jan 2022 Apport'!$3:$3,0),FALSE)</f>
        <v>114606.24</v>
      </c>
      <c r="AE242" s="77">
        <f>VLOOKUP(A242,JanApport,MATCH($AE$4,'Jan 2022 Apport'!$3:$3,0),FALSE)</f>
        <v>48483</v>
      </c>
      <c r="AF242" s="77">
        <f>VLOOKUP(A242,JanApport,MATCH($AF$4,'Jan 2022 Apport'!$3:$3,0),FALSE)*VLOOKUP(A242,JanApport,MATCH($AF$3,'Jan 2022 Apport'!$3:$3,0),FALSE)</f>
        <v>55387.360000000008</v>
      </c>
      <c r="AG242" s="77">
        <f t="shared" si="31"/>
        <v>106582.33268799999</v>
      </c>
      <c r="AH242" s="77">
        <f t="shared" si="32"/>
        <v>152390.21156800003</v>
      </c>
      <c r="AI242" s="77">
        <f t="shared" si="33"/>
        <v>84357.998300512001</v>
      </c>
      <c r="AJ242" s="3">
        <f>VLOOKUP(A242,JanApport,MATCH($AJ$4,'Jan 2022 Apport'!$3:$3,0),FALSE)</f>
        <v>5178327.17</v>
      </c>
      <c r="AK242" s="3">
        <f>VLOOKUP(A242,JanApport,MATCH($AK$4,'Jan 2022 Apport'!$3:$3,0),FALSE)</f>
        <v>82.665999999999997</v>
      </c>
      <c r="AL242" s="117">
        <f t="shared" si="34"/>
        <v>52564946.339999996</v>
      </c>
      <c r="AM242" s="117">
        <f>VLOOKUP(A242,JanApport,MATCH($AM$4,'Jan 2022 Apport'!$3:$3,0),FALSE)</f>
        <v>685258.42</v>
      </c>
      <c r="AN242" s="117">
        <f>VLOOKUP(A242,JanApport,MATCH($AN$4,'Jan 2022 Apport'!$3:$3,0),FALSE)</f>
        <v>320131.21000000002</v>
      </c>
    </row>
    <row r="243" spans="1:40">
      <c r="A243" s="2" t="s">
        <v>589</v>
      </c>
      <c r="B243" s="2" t="s">
        <v>590</v>
      </c>
      <c r="C243" s="2" t="s">
        <v>1267</v>
      </c>
      <c r="D243" s="118">
        <f>VLOOKUP(A243,JanApport,MATCH($D$4,'Jan 2022 Apport'!$3:$3,FALSE),FALSE)</f>
        <v>31783820.350000001</v>
      </c>
      <c r="E243" s="30">
        <f>VLOOKUP(A243,JanApport,MATCH($E$2,'Jan 2022 Apport'!$3:$3,0),FALSE)+VLOOKUP(A243,JanApport,MATCH($E$3,'Jan 2022 Apport'!$3:$3,0),FALSE)+VLOOKUP(A243,JanApport,MATCH($E$4,'Jan 2022 Apport'!$3:$3,0),FALSE)</f>
        <v>3515839.93</v>
      </c>
      <c r="F243" s="118">
        <f t="shared" si="35"/>
        <v>28267980.420000002</v>
      </c>
      <c r="G243" s="117">
        <f>VLOOKUP(A243,JanApport,MATCH($G$4,'Jan 2022 Apport'!$3:$3,0),FALSE)</f>
        <v>325446.94</v>
      </c>
      <c r="H243" s="117">
        <f>VLOOKUP(A243,JanApport,MATCH($H$3,'Jan 2022 Apport'!$3:$3,0),FALSE)+VLOOKUP(A243,JanApport,MATCH($H$2,'Jan 2022 Apport'!$3:$3,0),FALSE)+VLOOKUP(A243,JanApport,MATCH($H$4,'Jan 2022 Apport'!$3:$3,0),FALSE)</f>
        <v>3792852.71</v>
      </c>
      <c r="I243" s="117">
        <f t="shared" si="36"/>
        <v>4118299.65</v>
      </c>
      <c r="J243" s="117">
        <f>VLOOKUP(A243,JanApport,MATCH($J$4,'Jan 2022 Apport'!$3:$3,0),FALSE)</f>
        <v>1465852.32</v>
      </c>
      <c r="K243" s="117">
        <f>VLOOKUP(A243,JanApport,MATCH($K$4,'Jan 2022 Apport'!$3:$3,0),FALSE)</f>
        <v>192737.68</v>
      </c>
      <c r="L243" s="117">
        <f t="shared" si="37"/>
        <v>1658590</v>
      </c>
      <c r="M243" s="117">
        <f>VLOOKUP(A243,JanApport,MATCH($M$4,'Jan 2022 Apport'!$3:$3,0),FALSE)</f>
        <v>1176463.28</v>
      </c>
      <c r="N243" s="117">
        <f>VLOOKUP(A243,JanApport,MATCH($N$4,'Jan 2022 Apport'!$3:$3,0),FALSE)</f>
        <v>505610.16</v>
      </c>
      <c r="O243" s="117">
        <f>VLOOKUP(A243,JanApport,MATCH($O$4,'Jan 2022 Apport'!$3:$3,0),FALSE)</f>
        <v>101943.84</v>
      </c>
      <c r="P243" s="121">
        <f>IFERROR((VLOOKUP(A243,ExcessLevy!A:G,3,FALSE)*0.28),0)+IFERROR((VLOOKUP(A243,ExcessLevy!A:G,6,FALSE)*0.72),0)</f>
        <v>2535170.4279999998</v>
      </c>
      <c r="Q243" s="121">
        <f>IFERROR((VLOOKUP(A243,ExcessLevy!A:G,4,FALSE)*0.4738),0)+IFERROR((VLOOKUP(A243,ExcessLevy!A:G,7,FALSE)*0.5262),0)</f>
        <v>3511658.5316000003</v>
      </c>
      <c r="R243">
        <f>VLOOKUP(A243,JanApport,MATCH($R$4,'Jan 2022 Apport'!$3:$3,0),FALSE)</f>
        <v>0</v>
      </c>
      <c r="S243">
        <f>VLOOKUP(A243,JanApport,MATCH($S$4,'Jan 2022 Apport'!$3:$3,0),FALSE)</f>
        <v>22.18</v>
      </c>
      <c r="T243">
        <f>VLOOKUP(A243,JanApport,MATCH($T$4,'Jan 2022 Apport'!$3:$3,0),FALSE)</f>
        <v>371.88</v>
      </c>
      <c r="U243" s="132">
        <f>IFERROR(VLOOKUP(A243,JanApport,MATCH($U$4,'Jan 2022 Apport'!$3:$3,0),FALSE)/R243,0)</f>
        <v>0</v>
      </c>
      <c r="V243" s="30">
        <f>IFERROR(((VLOOKUP(A243,JanApport,MATCH($V$4,'Jan 2022 Apport'!$3:$3,0),FALSE)+VLOOKUP(A243,JanApport,MATCH($V$3,'Jan 2022 Apport'!$3:$3,0),FALSE))/(S243+T243)),0)</f>
        <v>8922.0929046338133</v>
      </c>
      <c r="W243" s="30">
        <f t="shared" si="30"/>
        <v>8083.6246967786601</v>
      </c>
      <c r="X243">
        <f>VLOOKUP(A243,JanApport,MATCH($X$4,'Jan 2022 Apport'!$3:$3,0),FALSE)</f>
        <v>4.8578999999999997E-2</v>
      </c>
      <c r="Y243">
        <f>VLOOKUP(A243,JanApport,MATCH($Y$4,'Jan 2022 Apport'!$3:$3,0),FALSE)</f>
        <v>4.0270000000000002E-3</v>
      </c>
      <c r="Z243">
        <f>VLOOKUP(A243,JanApport,MATCH($Z$4,'Jan 2022 Apport'!$3:$3,0),FALSE)</f>
        <v>1.7100000000000001E-2</v>
      </c>
      <c r="AA243" s="77">
        <f>VLOOKUP(A243,JanApport,MATCH($AA$4,'Jan 2022 Apport'!$3:$3,0),FALSE)*VLOOKUP(A243,JanApport,MATCH($AA$3,'Jan 2022 Apport'!$3:$3,0),FALSE)</f>
        <v>67585</v>
      </c>
      <c r="AB243" s="77">
        <f>VLOOKUP(A243,JanApport,MATCH($AB$4,'Jan 2022 Apport'!$3:$3,0),FALSE)*VLOOKUP(A243,JanApport,MATCH($AB$3,'Jan 2022 Apport'!$3:$3,0),FALSE)</f>
        <v>68937</v>
      </c>
      <c r="AC243" s="77">
        <f>VLOOKUP(A243,JanApport,MATCH($AC$4,'Jan 2022 Apport'!$3:$3,0),FALSE)</f>
        <v>100321</v>
      </c>
      <c r="AD243" s="77">
        <f>VLOOKUP(A243,JanApport,MATCH($AD$4,'Jan 2022 Apport'!$3:$3,0),FALSE)*VLOOKUP(A243,JanApport,MATCH($AD$3,'Jan 2022 Apport'!$3:$3,0),FALSE)</f>
        <v>102327</v>
      </c>
      <c r="AE243" s="77">
        <f>VLOOKUP(A243,JanApport,MATCH($AE$4,'Jan 2022 Apport'!$3:$3,0),FALSE)</f>
        <v>48483</v>
      </c>
      <c r="AF243" s="77">
        <f>VLOOKUP(A243,JanApport,MATCH($AF$4,'Jan 2022 Apport'!$3:$3,0),FALSE)*VLOOKUP(A243,JanApport,MATCH($AF$3,'Jan 2022 Apport'!$3:$3,0),FALSE)</f>
        <v>49453</v>
      </c>
      <c r="AG243" s="77">
        <f t="shared" si="31"/>
        <v>96432.259900000005</v>
      </c>
      <c r="AH243" s="77">
        <f t="shared" si="32"/>
        <v>137400.94330000001</v>
      </c>
      <c r="AI243" s="77">
        <f t="shared" si="33"/>
        <v>77281.189732599989</v>
      </c>
      <c r="AJ243" s="3">
        <f>VLOOKUP(A243,JanApport,MATCH($AJ$4,'Jan 2022 Apport'!$3:$3,0),FALSE)</f>
        <v>4316515.91</v>
      </c>
      <c r="AK243" s="3">
        <f>VLOOKUP(A243,JanApport,MATCH($AK$4,'Jan 2022 Apport'!$3:$3,0),FALSE)</f>
        <v>71.081999999999994</v>
      </c>
      <c r="AL243" s="117">
        <f t="shared" si="34"/>
        <v>39845246.880000003</v>
      </c>
      <c r="AM243" s="117">
        <f>VLOOKUP(A243,JanApport,MATCH($AM$4,'Jan 2022 Apport'!$3:$3,0),FALSE)</f>
        <v>693257.28</v>
      </c>
      <c r="AN243" s="117">
        <f>VLOOKUP(A243,JanApport,MATCH($AN$4,'Jan 2022 Apport'!$3:$3,0),FALSE)</f>
        <v>238870.75</v>
      </c>
    </row>
    <row r="244" spans="1:40">
      <c r="A244" s="2" t="s">
        <v>359</v>
      </c>
      <c r="B244" s="2" t="s">
        <v>360</v>
      </c>
      <c r="C244" s="2" t="s">
        <v>1267</v>
      </c>
      <c r="D244" s="118">
        <f>VLOOKUP(A244,JanApport,MATCH($D$4,'Jan 2022 Apport'!$3:$3,FALSE),FALSE)</f>
        <v>2969820.85</v>
      </c>
      <c r="E244" s="30">
        <f>VLOOKUP(A244,JanApport,MATCH($E$2,'Jan 2022 Apport'!$3:$3,0),FALSE)+VLOOKUP(A244,JanApport,MATCH($E$3,'Jan 2022 Apport'!$3:$3,0),FALSE)+VLOOKUP(A244,JanApport,MATCH($E$4,'Jan 2022 Apport'!$3:$3,0),FALSE)</f>
        <v>161169.10999999999</v>
      </c>
      <c r="F244" s="118">
        <f t="shared" si="35"/>
        <v>2808651.74</v>
      </c>
      <c r="G244" s="117">
        <f>VLOOKUP(A244,JanApport,MATCH($G$4,'Jan 2022 Apport'!$3:$3,0),FALSE)</f>
        <v>60063.53</v>
      </c>
      <c r="H244" s="117">
        <f>VLOOKUP(A244,JanApport,MATCH($H$3,'Jan 2022 Apport'!$3:$3,0),FALSE)+VLOOKUP(A244,JanApport,MATCH($H$2,'Jan 2022 Apport'!$3:$3,0),FALSE)+VLOOKUP(A244,JanApport,MATCH($H$4,'Jan 2022 Apport'!$3:$3,0),FALSE)</f>
        <v>275951.83999999997</v>
      </c>
      <c r="I244" s="117">
        <f t="shared" si="36"/>
        <v>336015.37</v>
      </c>
      <c r="J244" s="117">
        <f>VLOOKUP(A244,JanApport,MATCH($J$4,'Jan 2022 Apport'!$3:$3,0),FALSE)</f>
        <v>366871.29</v>
      </c>
      <c r="K244" s="117">
        <f>VLOOKUP(A244,JanApport,MATCH($K$4,'Jan 2022 Apport'!$3:$3,0),FALSE)</f>
        <v>42271.77</v>
      </c>
      <c r="L244" s="117">
        <f t="shared" si="37"/>
        <v>409143.06</v>
      </c>
      <c r="M244" s="117">
        <f>VLOOKUP(A244,JanApport,MATCH($M$4,'Jan 2022 Apport'!$3:$3,0),FALSE)</f>
        <v>76800.320000000007</v>
      </c>
      <c r="N244" s="117">
        <f>VLOOKUP(A244,JanApport,MATCH($N$4,'Jan 2022 Apport'!$3:$3,0),FALSE)</f>
        <v>0</v>
      </c>
      <c r="O244" s="117">
        <f>VLOOKUP(A244,JanApport,MATCH($O$4,'Jan 2022 Apport'!$3:$3,0),FALSE)</f>
        <v>0</v>
      </c>
      <c r="P244" s="121">
        <f>IFERROR((VLOOKUP(A244,ExcessLevy!A:G,3,FALSE)*0.28),0)+IFERROR((VLOOKUP(A244,ExcessLevy!A:G,6,FALSE)*0.72),0)</f>
        <v>0</v>
      </c>
      <c r="Q244" s="121">
        <f>IFERROR((VLOOKUP(A244,ExcessLevy!A:G,4,FALSE)*0.4738),0)+IFERROR((VLOOKUP(A244,ExcessLevy!A:G,7,FALSE)*0.5262),0)</f>
        <v>686355.07000000007</v>
      </c>
      <c r="R244">
        <f>VLOOKUP(A244,JanApport,MATCH($R$4,'Jan 2022 Apport'!$3:$3,0),FALSE)</f>
        <v>0</v>
      </c>
      <c r="S244">
        <f>VLOOKUP(A244,JanApport,MATCH($S$4,'Jan 2022 Apport'!$3:$3,0),FALSE)</f>
        <v>5.86</v>
      </c>
      <c r="T244">
        <f>VLOOKUP(A244,JanApport,MATCH($T$4,'Jan 2022 Apport'!$3:$3,0),FALSE)</f>
        <v>12.2</v>
      </c>
      <c r="U244" s="132">
        <f>IFERROR(VLOOKUP(A244,JanApport,MATCH($U$4,'Jan 2022 Apport'!$3:$3,0),FALSE)/R244,0)</f>
        <v>0</v>
      </c>
      <c r="V244" s="30">
        <f>IFERROR(((VLOOKUP(A244,JanApport,MATCH($V$4,'Jan 2022 Apport'!$3:$3,0),FALSE)+VLOOKUP(A244,JanApport,MATCH($V$3,'Jan 2022 Apport'!$3:$3,0),FALSE))/(S244+T244)),0)</f>
        <v>8924.092469545958</v>
      </c>
      <c r="W244" s="30">
        <f t="shared" si="30"/>
        <v>8083.6246967786601</v>
      </c>
      <c r="X244">
        <f>VLOOKUP(A244,JanApport,MATCH($X$4,'Jan 2022 Apport'!$3:$3,0),FALSE)</f>
        <v>4.8578999999999997E-2</v>
      </c>
      <c r="Y244">
        <f>VLOOKUP(A244,JanApport,MATCH($Y$4,'Jan 2022 Apport'!$3:$3,0),FALSE)</f>
        <v>4.0270000000000002E-3</v>
      </c>
      <c r="Z244">
        <f>VLOOKUP(A244,JanApport,MATCH($Z$4,'Jan 2022 Apport'!$3:$3,0),FALSE)</f>
        <v>1.7100000000000001E-2</v>
      </c>
      <c r="AA244" s="77">
        <f>VLOOKUP(A244,JanApport,MATCH($AA$4,'Jan 2022 Apport'!$3:$3,0),FALSE)*VLOOKUP(A244,JanApport,MATCH($AA$3,'Jan 2022 Apport'!$3:$3,0),FALSE)</f>
        <v>67585</v>
      </c>
      <c r="AB244" s="77">
        <f>VLOOKUP(A244,JanApport,MATCH($AB$4,'Jan 2022 Apport'!$3:$3,0),FALSE)*VLOOKUP(A244,JanApport,MATCH($AB$3,'Jan 2022 Apport'!$3:$3,0),FALSE)</f>
        <v>68937</v>
      </c>
      <c r="AC244" s="77">
        <f>VLOOKUP(A244,JanApport,MATCH($AC$4,'Jan 2022 Apport'!$3:$3,0),FALSE)</f>
        <v>100321</v>
      </c>
      <c r="AD244" s="77">
        <f>VLOOKUP(A244,JanApport,MATCH($AD$4,'Jan 2022 Apport'!$3:$3,0),FALSE)*VLOOKUP(A244,JanApport,MATCH($AD$3,'Jan 2022 Apport'!$3:$3,0),FALSE)</f>
        <v>102327</v>
      </c>
      <c r="AE244" s="77">
        <f>VLOOKUP(A244,JanApport,MATCH($AE$4,'Jan 2022 Apport'!$3:$3,0),FALSE)</f>
        <v>48483</v>
      </c>
      <c r="AF244" s="77">
        <f>VLOOKUP(A244,JanApport,MATCH($AF$4,'Jan 2022 Apport'!$3:$3,0),FALSE)*VLOOKUP(A244,JanApport,MATCH($AF$3,'Jan 2022 Apport'!$3:$3,0),FALSE)</f>
        <v>49453</v>
      </c>
      <c r="AG244" s="77">
        <f t="shared" si="31"/>
        <v>96432.259900000005</v>
      </c>
      <c r="AH244" s="77">
        <f t="shared" si="32"/>
        <v>137400.94330000001</v>
      </c>
      <c r="AI244" s="77">
        <f t="shared" si="33"/>
        <v>77281.189732599989</v>
      </c>
      <c r="AJ244" s="3">
        <f>VLOOKUP(A244,JanApport,MATCH($AJ$4,'Jan 2022 Apport'!$3:$3,0),FALSE)</f>
        <v>374855.27</v>
      </c>
      <c r="AK244" s="3">
        <f>VLOOKUP(A244,JanApport,MATCH($AK$4,'Jan 2022 Apport'!$3:$3,0),FALSE)</f>
        <v>5.181</v>
      </c>
      <c r="AL244" s="117">
        <f t="shared" si="34"/>
        <v>3796468.54</v>
      </c>
      <c r="AM244" s="117">
        <f>VLOOKUP(A244,JanApport,MATCH($AM$4,'Jan 2022 Apport'!$3:$3,0),FALSE)</f>
        <v>46960.71</v>
      </c>
      <c r="AN244" s="117">
        <f>VLOOKUP(A244,JanApport,MATCH($AN$4,'Jan 2022 Apport'!$3:$3,0),FALSE)</f>
        <v>25314.14</v>
      </c>
    </row>
    <row r="245" spans="1:40">
      <c r="A245" s="2" t="s">
        <v>47</v>
      </c>
      <c r="B245" s="2" t="s">
        <v>48</v>
      </c>
      <c r="C245" s="2" t="s">
        <v>1267</v>
      </c>
      <c r="D245" s="118">
        <f>VLOOKUP(A245,JanApport,MATCH($D$4,'Jan 2022 Apport'!$3:$3,FALSE),FALSE)</f>
        <v>23145784.77</v>
      </c>
      <c r="E245" s="30">
        <f>VLOOKUP(A245,JanApport,MATCH($E$2,'Jan 2022 Apport'!$3:$3,0),FALSE)+VLOOKUP(A245,JanApport,MATCH($E$3,'Jan 2022 Apport'!$3:$3,0),FALSE)+VLOOKUP(A245,JanApport,MATCH($E$4,'Jan 2022 Apport'!$3:$3,0),FALSE)</f>
        <v>2087492.85</v>
      </c>
      <c r="F245" s="118">
        <f t="shared" si="35"/>
        <v>21058291.919999998</v>
      </c>
      <c r="G245" s="117">
        <f>VLOOKUP(A245,JanApport,MATCH($G$4,'Jan 2022 Apport'!$3:$3,0),FALSE)</f>
        <v>337208.18</v>
      </c>
      <c r="H245" s="117">
        <f>VLOOKUP(A245,JanApport,MATCH($H$3,'Jan 2022 Apport'!$3:$3,0),FALSE)+VLOOKUP(A245,JanApport,MATCH($H$2,'Jan 2022 Apport'!$3:$3,0),FALSE)+VLOOKUP(A245,JanApport,MATCH($H$4,'Jan 2022 Apport'!$3:$3,0),FALSE)</f>
        <v>3091467.55</v>
      </c>
      <c r="I245" s="117">
        <f t="shared" si="36"/>
        <v>3428675.73</v>
      </c>
      <c r="J245" s="117">
        <f>VLOOKUP(A245,JanApport,MATCH($J$4,'Jan 2022 Apport'!$3:$3,0),FALSE)</f>
        <v>1312448.6200000001</v>
      </c>
      <c r="K245" s="117">
        <f>VLOOKUP(A245,JanApport,MATCH($K$4,'Jan 2022 Apport'!$3:$3,0),FALSE)</f>
        <v>261768.98</v>
      </c>
      <c r="L245" s="117">
        <f t="shared" si="37"/>
        <v>1574217.6</v>
      </c>
      <c r="M245" s="117">
        <f>VLOOKUP(A245,JanApport,MATCH($M$4,'Jan 2022 Apport'!$3:$3,0),FALSE)</f>
        <v>677288.34</v>
      </c>
      <c r="N245" s="117">
        <f>VLOOKUP(A245,JanApport,MATCH($N$4,'Jan 2022 Apport'!$3:$3,0),FALSE)</f>
        <v>79202.38</v>
      </c>
      <c r="O245" s="117">
        <f>VLOOKUP(A245,JanApport,MATCH($O$4,'Jan 2022 Apport'!$3:$3,0),FALSE)</f>
        <v>75597.58</v>
      </c>
      <c r="P245" s="121">
        <f>IFERROR((VLOOKUP(A245,ExcessLevy!A:G,3,FALSE)*0.28),0)+IFERROR((VLOOKUP(A245,ExcessLevy!A:G,6,FALSE)*0.72),0)</f>
        <v>0</v>
      </c>
      <c r="Q245" s="121">
        <f>IFERROR((VLOOKUP(A245,ExcessLevy!A:G,4,FALSE)*0.4738),0)+IFERROR((VLOOKUP(A245,ExcessLevy!A:G,7,FALSE)*0.5262),0)</f>
        <v>7052815.6174860001</v>
      </c>
      <c r="R245">
        <f>VLOOKUP(A245,JanApport,MATCH($R$4,'Jan 2022 Apport'!$3:$3,0),FALSE)</f>
        <v>0</v>
      </c>
      <c r="S245">
        <f>VLOOKUP(A245,JanApport,MATCH($S$4,'Jan 2022 Apport'!$3:$3,0),FALSE)</f>
        <v>11.93</v>
      </c>
      <c r="T245">
        <f>VLOOKUP(A245,JanApport,MATCH($T$4,'Jan 2022 Apport'!$3:$3,0),FALSE)</f>
        <v>212.51</v>
      </c>
      <c r="U245" s="132">
        <f>IFERROR(VLOOKUP(A245,JanApport,MATCH($U$4,'Jan 2022 Apport'!$3:$3,0),FALSE)/R245,0)</f>
        <v>0</v>
      </c>
      <c r="V245" s="30">
        <f>IFERROR(((VLOOKUP(A245,JanApport,MATCH($V$4,'Jan 2022 Apport'!$3:$3,0),FALSE)+VLOOKUP(A245,JanApport,MATCH($V$3,'Jan 2022 Apport'!$3:$3,0),FALSE))/(S245+T245)),0)</f>
        <v>9300.894893958297</v>
      </c>
      <c r="W245" s="30">
        <f t="shared" si="30"/>
        <v>8308.8634798097737</v>
      </c>
      <c r="X245">
        <f>VLOOKUP(A245,JanApport,MATCH($X$4,'Jan 2022 Apport'!$3:$3,0),FALSE)</f>
        <v>4.8578999999999997E-2</v>
      </c>
      <c r="Y245">
        <f>VLOOKUP(A245,JanApport,MATCH($Y$4,'Jan 2022 Apport'!$3:$3,0),FALSE)</f>
        <v>4.0270000000000002E-3</v>
      </c>
      <c r="Z245">
        <f>VLOOKUP(A245,JanApport,MATCH($Z$4,'Jan 2022 Apport'!$3:$3,0),FALSE)</f>
        <v>1.7100000000000001E-2</v>
      </c>
      <c r="AA245" s="77">
        <f>VLOOKUP(A245,JanApport,MATCH($AA$4,'Jan 2022 Apport'!$3:$3,0),FALSE)*VLOOKUP(A245,JanApport,MATCH($AA$3,'Jan 2022 Apport'!$3:$3,0),FALSE)</f>
        <v>71640.100000000006</v>
      </c>
      <c r="AB245" s="77">
        <f>VLOOKUP(A245,JanApport,MATCH($AB$4,'Jan 2022 Apport'!$3:$3,0),FALSE)*VLOOKUP(A245,JanApport,MATCH($AB$3,'Jan 2022 Apport'!$3:$3,0),FALSE)</f>
        <v>71694.48</v>
      </c>
      <c r="AC245" s="77">
        <f>VLOOKUP(A245,JanApport,MATCH($AC$4,'Jan 2022 Apport'!$3:$3,0),FALSE)</f>
        <v>100321</v>
      </c>
      <c r="AD245" s="77">
        <f>VLOOKUP(A245,JanApport,MATCH($AD$4,'Jan 2022 Apport'!$3:$3,0),FALSE)*VLOOKUP(A245,JanApport,MATCH($AD$3,'Jan 2022 Apport'!$3:$3,0),FALSE)</f>
        <v>106420.08</v>
      </c>
      <c r="AE245" s="77">
        <f>VLOOKUP(A245,JanApport,MATCH($AE$4,'Jan 2022 Apport'!$3:$3,0),FALSE)</f>
        <v>48483</v>
      </c>
      <c r="AF245" s="77">
        <f>VLOOKUP(A245,JanApport,MATCH($AF$4,'Jan 2022 Apport'!$3:$3,0),FALSE)*VLOOKUP(A245,JanApport,MATCH($AF$3,'Jan 2022 Apport'!$3:$3,0),FALSE)</f>
        <v>51431.12</v>
      </c>
      <c r="AG245" s="77">
        <f t="shared" si="31"/>
        <v>99824.268375999993</v>
      </c>
      <c r="AH245" s="77">
        <f t="shared" si="32"/>
        <v>142397.366056</v>
      </c>
      <c r="AI245" s="77">
        <f t="shared" si="33"/>
        <v>79640.125921903993</v>
      </c>
      <c r="AJ245" s="3">
        <f>VLOOKUP(A245,JanApport,MATCH($AJ$4,'Jan 2022 Apport'!$3:$3,0),FALSE)</f>
        <v>2864657.63</v>
      </c>
      <c r="AK245" s="3">
        <f>VLOOKUP(A245,JanApport,MATCH($AK$4,'Jan 2022 Apport'!$3:$3,0),FALSE)</f>
        <v>44.600999999999999</v>
      </c>
      <c r="AL245" s="117">
        <f t="shared" si="34"/>
        <v>28718997.419999998</v>
      </c>
      <c r="AM245" s="117">
        <f>VLOOKUP(A245,JanApport,MATCH($AM$4,'Jan 2022 Apport'!$3:$3,0),FALSE)</f>
        <v>0</v>
      </c>
      <c r="AN245" s="117">
        <f>VLOOKUP(A245,JanApport,MATCH($AN$4,'Jan 2022 Apport'!$3:$3,0),FALSE)</f>
        <v>166635.41</v>
      </c>
    </row>
    <row r="246" spans="1:40">
      <c r="A246" s="2" t="s">
        <v>393</v>
      </c>
      <c r="B246" s="2" t="s">
        <v>394</v>
      </c>
      <c r="C246" s="2" t="s">
        <v>1267</v>
      </c>
      <c r="D246" s="118">
        <f>VLOOKUP(A246,JanApport,MATCH($D$4,'Jan 2022 Apport'!$3:$3,FALSE),FALSE)</f>
        <v>387296.54</v>
      </c>
      <c r="E246" s="30">
        <f>VLOOKUP(A246,JanApport,MATCH($E$2,'Jan 2022 Apport'!$3:$3,0),FALSE)+VLOOKUP(A246,JanApport,MATCH($E$3,'Jan 2022 Apport'!$3:$3,0),FALSE)+VLOOKUP(A246,JanApport,MATCH($E$4,'Jan 2022 Apport'!$3:$3,0),FALSE)</f>
        <v>0</v>
      </c>
      <c r="F246" s="118">
        <f t="shared" si="35"/>
        <v>387296.54</v>
      </c>
      <c r="G246" s="117">
        <f>VLOOKUP(A246,JanApport,MATCH($G$4,'Jan 2022 Apport'!$3:$3,0),FALSE)</f>
        <v>0</v>
      </c>
      <c r="H246" s="117">
        <f>VLOOKUP(A246,JanApport,MATCH($H$3,'Jan 2022 Apport'!$3:$3,0),FALSE)+VLOOKUP(A246,JanApport,MATCH($H$2,'Jan 2022 Apport'!$3:$3,0),FALSE)+VLOOKUP(A246,JanApport,MATCH($H$4,'Jan 2022 Apport'!$3:$3,0),FALSE)</f>
        <v>0</v>
      </c>
      <c r="I246" s="117">
        <f t="shared" si="36"/>
        <v>0</v>
      </c>
      <c r="J246" s="117">
        <f>VLOOKUP(A246,JanApport,MATCH($J$4,'Jan 2022 Apport'!$3:$3,0),FALSE)</f>
        <v>0</v>
      </c>
      <c r="K246" s="117">
        <f>VLOOKUP(A246,JanApport,MATCH($K$4,'Jan 2022 Apport'!$3:$3,0),FALSE)</f>
        <v>0</v>
      </c>
      <c r="L246" s="117">
        <f t="shared" si="37"/>
        <v>0</v>
      </c>
      <c r="M246" s="117">
        <f>VLOOKUP(A246,JanApport,MATCH($M$4,'Jan 2022 Apport'!$3:$3,0),FALSE)</f>
        <v>0</v>
      </c>
      <c r="N246" s="117">
        <f>VLOOKUP(A246,JanApport,MATCH($N$4,'Jan 2022 Apport'!$3:$3,0),FALSE)</f>
        <v>0</v>
      </c>
      <c r="O246" s="117">
        <f>VLOOKUP(A246,JanApport,MATCH($O$4,'Jan 2022 Apport'!$3:$3,0),FALSE)</f>
        <v>0</v>
      </c>
      <c r="P246" s="121">
        <f>IFERROR((VLOOKUP(A246,ExcessLevy!A:G,3,FALSE)*0.28),0)+IFERROR((VLOOKUP(A246,ExcessLevy!A:G,6,FALSE)*0.72),0)</f>
        <v>0</v>
      </c>
      <c r="Q246" s="121">
        <f>IFERROR((VLOOKUP(A246,ExcessLevy!A:G,4,FALSE)*0.4738),0)+IFERROR((VLOOKUP(A246,ExcessLevy!A:G,7,FALSE)*0.5262),0)</f>
        <v>0</v>
      </c>
      <c r="R246">
        <f>VLOOKUP(A246,JanApport,MATCH($R$4,'Jan 2022 Apport'!$3:$3,0),FALSE)</f>
        <v>0</v>
      </c>
      <c r="S246">
        <f>VLOOKUP(A246,JanApport,MATCH($S$4,'Jan 2022 Apport'!$3:$3,0),FALSE)</f>
        <v>0</v>
      </c>
      <c r="T246">
        <f>VLOOKUP(A246,JanApport,MATCH($T$4,'Jan 2022 Apport'!$3:$3,0),FALSE)</f>
        <v>0</v>
      </c>
      <c r="U246" s="132">
        <f>IFERROR(VLOOKUP(A246,JanApport,MATCH($U$4,'Jan 2022 Apport'!$3:$3,0),FALSE)/R246,0)</f>
        <v>0</v>
      </c>
      <c r="V246" s="30">
        <f>IFERROR(((VLOOKUP(A246,JanApport,MATCH($V$4,'Jan 2022 Apport'!$3:$3,0),FALSE)+VLOOKUP(A246,JanApport,MATCH($V$3,'Jan 2022 Apport'!$3:$3,0),FALSE))/(S246+T246)),0)</f>
        <v>0</v>
      </c>
      <c r="W246" s="30">
        <f t="shared" si="30"/>
        <v>2455.0928314931207</v>
      </c>
      <c r="X246">
        <f>VLOOKUP(A246,JanApport,MATCH($X$4,'Jan 2022 Apport'!$3:$3,0),FALSE)</f>
        <v>4.8578999999999997E-2</v>
      </c>
      <c r="Y246">
        <f>VLOOKUP(A246,JanApport,MATCH($Y$4,'Jan 2022 Apport'!$3:$3,0),FALSE)</f>
        <v>4.0270000000000002E-3</v>
      </c>
      <c r="Z246">
        <f>VLOOKUP(A246,JanApport,MATCH($Z$4,'Jan 2022 Apport'!$3:$3,0),FALSE)</f>
        <v>1.7100000000000001E-2</v>
      </c>
      <c r="AA246" s="77">
        <f>VLOOKUP(A246,JanApport,MATCH($AA$4,'Jan 2022 Apport'!$3:$3,0),FALSE)*VLOOKUP(A246,JanApport,MATCH($AA$3,'Jan 2022 Apport'!$3:$3,0),FALSE)</f>
        <v>75695.200000000012</v>
      </c>
      <c r="AB246" s="77">
        <f>VLOOKUP(A246,JanApport,MATCH($AB$4,'Jan 2022 Apport'!$3:$3,0),FALSE)*VLOOKUP(A246,JanApport,MATCH($AB$3,'Jan 2022 Apport'!$3:$3,0),FALSE)</f>
        <v>0</v>
      </c>
      <c r="AC246" s="77">
        <f>VLOOKUP(A246,JanApport,MATCH($AC$4,'Jan 2022 Apport'!$3:$3,0),FALSE)</f>
        <v>0</v>
      </c>
      <c r="AD246" s="77">
        <f>VLOOKUP(A246,JanApport,MATCH($AD$4,'Jan 2022 Apport'!$3:$3,0),FALSE)*VLOOKUP(A246,JanApport,MATCH($AD$3,'Jan 2022 Apport'!$3:$3,0),FALSE)</f>
        <v>0</v>
      </c>
      <c r="AE246" s="77">
        <f>VLOOKUP(A246,JanApport,MATCH($AE$4,'Jan 2022 Apport'!$3:$3,0),FALSE)</f>
        <v>0</v>
      </c>
      <c r="AF246" s="77">
        <f>VLOOKUP(A246,JanApport,MATCH($AF$4,'Jan 2022 Apport'!$3:$3,0),FALSE)*VLOOKUP(A246,JanApport,MATCH($AF$3,'Jan 2022 Apport'!$3:$3,0),FALSE)</f>
        <v>0</v>
      </c>
      <c r="AG246" s="77">
        <f t="shared" si="31"/>
        <v>12332.769280000015</v>
      </c>
      <c r="AH246" s="77">
        <f t="shared" si="32"/>
        <v>11848.32</v>
      </c>
      <c r="AI246" s="77">
        <f t="shared" si="33"/>
        <v>16610.88</v>
      </c>
      <c r="AJ246" s="3">
        <f>VLOOKUP(A246,JanApport,MATCH($AJ$4,'Jan 2022 Apport'!$3:$3,0),FALSE)</f>
        <v>35949.760000000002</v>
      </c>
      <c r="AK246" s="3">
        <f>VLOOKUP(A246,JanApport,MATCH($AK$4,'Jan 2022 Apport'!$3:$3,0),FALSE)</f>
        <v>0.39400000000000002</v>
      </c>
      <c r="AL246" s="117">
        <f t="shared" si="34"/>
        <v>387296.54</v>
      </c>
      <c r="AM246" s="117">
        <f>VLOOKUP(A246,JanApport,MATCH($AM$4,'Jan 2022 Apport'!$3:$3,0),FALSE)</f>
        <v>0</v>
      </c>
      <c r="AN246" s="117">
        <f>VLOOKUP(A246,JanApport,MATCH($AN$4,'Jan 2022 Apport'!$3:$3,0),FALSE)</f>
        <v>3392.98</v>
      </c>
    </row>
    <row r="247" spans="1:40">
      <c r="A247" s="2" t="s">
        <v>317</v>
      </c>
      <c r="B247" s="2" t="s">
        <v>318</v>
      </c>
      <c r="C247" s="2" t="s">
        <v>1267</v>
      </c>
      <c r="D247" s="118">
        <f>VLOOKUP(A247,JanApport,MATCH($D$4,'Jan 2022 Apport'!$3:$3,FALSE),FALSE)</f>
        <v>37764145.060000002</v>
      </c>
      <c r="E247" s="30">
        <f>VLOOKUP(A247,JanApport,MATCH($E$2,'Jan 2022 Apport'!$3:$3,0),FALSE)+VLOOKUP(A247,JanApport,MATCH($E$3,'Jan 2022 Apport'!$3:$3,0),FALSE)+VLOOKUP(A247,JanApport,MATCH($E$4,'Jan 2022 Apport'!$3:$3,0),FALSE)</f>
        <v>7032764.7799999993</v>
      </c>
      <c r="F247" s="118">
        <f t="shared" si="35"/>
        <v>30731380.280000001</v>
      </c>
      <c r="G247" s="117">
        <f>VLOOKUP(A247,JanApport,MATCH($G$4,'Jan 2022 Apport'!$3:$3,0),FALSE)</f>
        <v>629853.35</v>
      </c>
      <c r="H247" s="117">
        <f>VLOOKUP(A247,JanApport,MATCH($H$3,'Jan 2022 Apport'!$3:$3,0),FALSE)+VLOOKUP(A247,JanApport,MATCH($H$2,'Jan 2022 Apport'!$3:$3,0),FALSE)+VLOOKUP(A247,JanApport,MATCH($H$4,'Jan 2022 Apport'!$3:$3,0),FALSE)</f>
        <v>4775992.84</v>
      </c>
      <c r="I247" s="117">
        <f t="shared" si="36"/>
        <v>5405846.1899999995</v>
      </c>
      <c r="J247" s="117">
        <f>VLOOKUP(A247,JanApport,MATCH($J$4,'Jan 2022 Apport'!$3:$3,0),FALSE)</f>
        <v>3078399.98</v>
      </c>
      <c r="K247" s="117">
        <f>VLOOKUP(A247,JanApport,MATCH($K$4,'Jan 2022 Apport'!$3:$3,0),FALSE)</f>
        <v>191055.35999999999</v>
      </c>
      <c r="L247" s="117">
        <f t="shared" si="37"/>
        <v>3269455.34</v>
      </c>
      <c r="M247" s="117">
        <f>VLOOKUP(A247,JanApport,MATCH($M$4,'Jan 2022 Apport'!$3:$3,0),FALSE)</f>
        <v>1781571.41</v>
      </c>
      <c r="N247" s="117">
        <f>VLOOKUP(A247,JanApport,MATCH($N$4,'Jan 2022 Apport'!$3:$3,0),FALSE)</f>
        <v>1334466.44</v>
      </c>
      <c r="O247" s="117">
        <f>VLOOKUP(A247,JanApport,MATCH($O$4,'Jan 2022 Apport'!$3:$3,0),FALSE)</f>
        <v>120532.45</v>
      </c>
      <c r="P247" s="121">
        <f>IFERROR((VLOOKUP(A247,ExcessLevy!A:G,3,FALSE)*0.28),0)+IFERROR((VLOOKUP(A247,ExcessLevy!A:G,6,FALSE)*0.72),0)</f>
        <v>2583277.1191999996</v>
      </c>
      <c r="Q247" s="121">
        <f>IFERROR((VLOOKUP(A247,ExcessLevy!A:G,4,FALSE)*0.4738),0)+IFERROR((VLOOKUP(A247,ExcessLevy!A:G,7,FALSE)*0.5262),0)</f>
        <v>5523897.8991999999</v>
      </c>
      <c r="R247">
        <f>VLOOKUP(A247,JanApport,MATCH($R$4,'Jan 2022 Apport'!$3:$3,0),FALSE)</f>
        <v>0</v>
      </c>
      <c r="S247">
        <f>VLOOKUP(A247,JanApport,MATCH($S$4,'Jan 2022 Apport'!$3:$3,0),FALSE)</f>
        <v>113.39</v>
      </c>
      <c r="T247">
        <f>VLOOKUP(A247,JanApport,MATCH($T$4,'Jan 2022 Apport'!$3:$3,0),FALSE)</f>
        <v>674.94</v>
      </c>
      <c r="U247" s="132">
        <f>IFERROR(VLOOKUP(A247,JanApport,MATCH($U$4,'Jan 2022 Apport'!$3:$3,0),FALSE)/R247,0)</f>
        <v>0</v>
      </c>
      <c r="V247" s="30">
        <f>IFERROR(((VLOOKUP(A247,JanApport,MATCH($V$4,'Jan 2022 Apport'!$3:$3,0),FALSE)+VLOOKUP(A247,JanApport,MATCH($V$3,'Jan 2022 Apport'!$3:$3,0),FALSE))/(S247+T247)),0)</f>
        <v>8921.092410538733</v>
      </c>
      <c r="W247" s="30">
        <f t="shared" si="30"/>
        <v>8083.6246967786601</v>
      </c>
      <c r="X247">
        <f>VLOOKUP(A247,JanApport,MATCH($X$4,'Jan 2022 Apport'!$3:$3,0),FALSE)</f>
        <v>4.8578999999999997E-2</v>
      </c>
      <c r="Y247">
        <f>VLOOKUP(A247,JanApport,MATCH($Y$4,'Jan 2022 Apport'!$3:$3,0),FALSE)</f>
        <v>4.0270000000000002E-3</v>
      </c>
      <c r="Z247">
        <f>VLOOKUP(A247,JanApport,MATCH($Z$4,'Jan 2022 Apport'!$3:$3,0),FALSE)</f>
        <v>1.7100000000000001E-2</v>
      </c>
      <c r="AA247" s="77">
        <f>VLOOKUP(A247,JanApport,MATCH($AA$4,'Jan 2022 Apport'!$3:$3,0),FALSE)*VLOOKUP(A247,JanApport,MATCH($AA$3,'Jan 2022 Apport'!$3:$3,0),FALSE)</f>
        <v>67585</v>
      </c>
      <c r="AB247" s="77">
        <f>VLOOKUP(A247,JanApport,MATCH($AB$4,'Jan 2022 Apport'!$3:$3,0),FALSE)*VLOOKUP(A247,JanApport,MATCH($AB$3,'Jan 2022 Apport'!$3:$3,0),FALSE)</f>
        <v>68937</v>
      </c>
      <c r="AC247" s="77">
        <f>VLOOKUP(A247,JanApport,MATCH($AC$4,'Jan 2022 Apport'!$3:$3,0),FALSE)</f>
        <v>100321</v>
      </c>
      <c r="AD247" s="77">
        <f>VLOOKUP(A247,JanApport,MATCH($AD$4,'Jan 2022 Apport'!$3:$3,0),FALSE)*VLOOKUP(A247,JanApport,MATCH($AD$3,'Jan 2022 Apport'!$3:$3,0),FALSE)</f>
        <v>102327</v>
      </c>
      <c r="AE247" s="77">
        <f>VLOOKUP(A247,JanApport,MATCH($AE$4,'Jan 2022 Apport'!$3:$3,0),FALSE)</f>
        <v>48483</v>
      </c>
      <c r="AF247" s="77">
        <f>VLOOKUP(A247,JanApport,MATCH($AF$4,'Jan 2022 Apport'!$3:$3,0),FALSE)*VLOOKUP(A247,JanApport,MATCH($AF$3,'Jan 2022 Apport'!$3:$3,0),FALSE)</f>
        <v>49453</v>
      </c>
      <c r="AG247" s="77">
        <f t="shared" si="31"/>
        <v>96432.259900000005</v>
      </c>
      <c r="AH247" s="77">
        <f t="shared" si="32"/>
        <v>137400.94330000001</v>
      </c>
      <c r="AI247" s="77">
        <f t="shared" si="33"/>
        <v>77281.189732599989</v>
      </c>
      <c r="AJ247" s="3">
        <f>VLOOKUP(A247,JanApport,MATCH($AJ$4,'Jan 2022 Apport'!$3:$3,0),FALSE)</f>
        <v>4626040.18</v>
      </c>
      <c r="AK247" s="3">
        <f>VLOOKUP(A247,JanApport,MATCH($AK$4,'Jan 2022 Apport'!$3:$3,0),FALSE)</f>
        <v>74.099000000000004</v>
      </c>
      <c r="AL247" s="117">
        <f t="shared" si="34"/>
        <v>50699482.529999994</v>
      </c>
      <c r="AM247" s="117">
        <f>VLOOKUP(A247,JanApport,MATCH($AM$4,'Jan 2022 Apport'!$3:$3,0),FALSE)</f>
        <v>1214521</v>
      </c>
      <c r="AN247" s="117">
        <f>VLOOKUP(A247,JanApport,MATCH($AN$4,'Jan 2022 Apport'!$3:$3,0),FALSE)</f>
        <v>252287.28</v>
      </c>
    </row>
    <row r="248" spans="1:40">
      <c r="A248" s="2" t="s">
        <v>213</v>
      </c>
      <c r="B248" s="2" t="s">
        <v>214</v>
      </c>
      <c r="C248" s="2" t="s">
        <v>1267</v>
      </c>
      <c r="D248" s="118">
        <f>VLOOKUP(A248,JanApport,MATCH($D$4,'Jan 2022 Apport'!$3:$3,FALSE),FALSE)</f>
        <v>88834296.849999994</v>
      </c>
      <c r="E248" s="30">
        <f>VLOOKUP(A248,JanApport,MATCH($E$2,'Jan 2022 Apport'!$3:$3,0),FALSE)+VLOOKUP(A248,JanApport,MATCH($E$3,'Jan 2022 Apport'!$3:$3,0),FALSE)+VLOOKUP(A248,JanApport,MATCH($E$4,'Jan 2022 Apport'!$3:$3,0),FALSE)</f>
        <v>4499866.4300000006</v>
      </c>
      <c r="F248" s="118">
        <f t="shared" si="35"/>
        <v>84334430.419999987</v>
      </c>
      <c r="G248" s="117">
        <f>VLOOKUP(A248,JanApport,MATCH($G$4,'Jan 2022 Apport'!$3:$3,0),FALSE)</f>
        <v>847784.08</v>
      </c>
      <c r="H248" s="117">
        <f>VLOOKUP(A248,JanApport,MATCH($H$3,'Jan 2022 Apport'!$3:$3,0),FALSE)+VLOOKUP(A248,JanApport,MATCH($H$2,'Jan 2022 Apport'!$3:$3,0),FALSE)+VLOOKUP(A248,JanApport,MATCH($H$4,'Jan 2022 Apport'!$3:$3,0),FALSE)</f>
        <v>10071214.810000001</v>
      </c>
      <c r="I248" s="117">
        <f t="shared" si="36"/>
        <v>10918998.890000001</v>
      </c>
      <c r="J248" s="117">
        <f>VLOOKUP(A248,JanApport,MATCH($J$4,'Jan 2022 Apport'!$3:$3,0),FALSE)</f>
        <v>3717874.88</v>
      </c>
      <c r="K248" s="117">
        <f>VLOOKUP(A248,JanApport,MATCH($K$4,'Jan 2022 Apport'!$3:$3,0),FALSE)</f>
        <v>427673.14</v>
      </c>
      <c r="L248" s="117">
        <f t="shared" si="37"/>
        <v>4145548.02</v>
      </c>
      <c r="M248" s="117">
        <f>VLOOKUP(A248,JanApport,MATCH($M$4,'Jan 2022 Apport'!$3:$3,0),FALSE)</f>
        <v>1703164.92</v>
      </c>
      <c r="N248" s="117">
        <f>VLOOKUP(A248,JanApport,MATCH($N$4,'Jan 2022 Apport'!$3:$3,0),FALSE)</f>
        <v>1560525.14</v>
      </c>
      <c r="O248" s="117">
        <f>VLOOKUP(A248,JanApport,MATCH($O$4,'Jan 2022 Apport'!$3:$3,0),FALSE)</f>
        <v>301038.93</v>
      </c>
      <c r="P248" s="121">
        <f>IFERROR((VLOOKUP(A248,ExcessLevy!A:G,3,FALSE)*0.28),0)+IFERROR((VLOOKUP(A248,ExcessLevy!A:G,6,FALSE)*0.72),0)</f>
        <v>0</v>
      </c>
      <c r="Q248" s="121">
        <f>IFERROR((VLOOKUP(A248,ExcessLevy!A:G,4,FALSE)*0.4738),0)+IFERROR((VLOOKUP(A248,ExcessLevy!A:G,7,FALSE)*0.5262),0)</f>
        <v>25728624.277199998</v>
      </c>
      <c r="R248">
        <f>VLOOKUP(A248,JanApport,MATCH($R$4,'Jan 2022 Apport'!$3:$3,0),FALSE)</f>
        <v>0</v>
      </c>
      <c r="S248">
        <f>VLOOKUP(A248,JanApport,MATCH($S$4,'Jan 2022 Apport'!$3:$3,0),FALSE)</f>
        <v>34.69</v>
      </c>
      <c r="T248">
        <f>VLOOKUP(A248,JanApport,MATCH($T$4,'Jan 2022 Apport'!$3:$3,0),FALSE)</f>
        <v>407.12</v>
      </c>
      <c r="U248" s="132">
        <f>IFERROR(VLOOKUP(A248,JanApport,MATCH($U$4,'Jan 2022 Apport'!$3:$3,0),FALSE)/R248,0)</f>
        <v>0</v>
      </c>
      <c r="V248" s="30">
        <f>IFERROR(((VLOOKUP(A248,JanApport,MATCH($V$4,'Jan 2022 Apport'!$3:$3,0),FALSE)+VLOOKUP(A248,JanApport,MATCH($V$3,'Jan 2022 Apport'!$3:$3,0),FALSE))/(S248+T248)),0)</f>
        <v>10185.071478689935</v>
      </c>
      <c r="W248" s="30">
        <f t="shared" si="30"/>
        <v>9095.7283415703532</v>
      </c>
      <c r="X248">
        <f>VLOOKUP(A248,JanApport,MATCH($X$4,'Jan 2022 Apport'!$3:$3,0),FALSE)</f>
        <v>4.8578999999999997E-2</v>
      </c>
      <c r="Y248">
        <f>VLOOKUP(A248,JanApport,MATCH($Y$4,'Jan 2022 Apport'!$3:$3,0),FALSE)</f>
        <v>4.0270000000000002E-3</v>
      </c>
      <c r="Z248">
        <f>VLOOKUP(A248,JanApport,MATCH($Z$4,'Jan 2022 Apport'!$3:$3,0),FALSE)</f>
        <v>1.7100000000000001E-2</v>
      </c>
      <c r="AA248" s="77">
        <f>VLOOKUP(A248,JanApport,MATCH($AA$4,'Jan 2022 Apport'!$3:$3,0),FALSE)*VLOOKUP(A248,JanApport,MATCH($AA$3,'Jan 2022 Apport'!$3:$3,0),FALSE)</f>
        <v>81102</v>
      </c>
      <c r="AB248" s="77">
        <f>VLOOKUP(A248,JanApport,MATCH($AB$4,'Jan 2022 Apport'!$3:$3,0),FALSE)*VLOOKUP(A248,JanApport,MATCH($AB$3,'Jan 2022 Apport'!$3:$3,0),FALSE)</f>
        <v>81345.659999999989</v>
      </c>
      <c r="AC248" s="77">
        <f>VLOOKUP(A248,JanApport,MATCH($AC$4,'Jan 2022 Apport'!$3:$3,0),FALSE)</f>
        <v>100321</v>
      </c>
      <c r="AD248" s="77">
        <f>VLOOKUP(A248,JanApport,MATCH($AD$4,'Jan 2022 Apport'!$3:$3,0),FALSE)*VLOOKUP(A248,JanApport,MATCH($AD$3,'Jan 2022 Apport'!$3:$3,0),FALSE)</f>
        <v>120745.86</v>
      </c>
      <c r="AE248" s="77">
        <f>VLOOKUP(A248,JanApport,MATCH($AE$4,'Jan 2022 Apport'!$3:$3,0),FALSE)</f>
        <v>48483</v>
      </c>
      <c r="AF248" s="77">
        <f>VLOOKUP(A248,JanApport,MATCH($AF$4,'Jan 2022 Apport'!$3:$3,0),FALSE)*VLOOKUP(A248,JanApport,MATCH($AF$3,'Jan 2022 Apport'!$3:$3,0),FALSE)</f>
        <v>58354.539999999994</v>
      </c>
      <c r="AG248" s="77">
        <f t="shared" si="31"/>
        <v>111666.01996199999</v>
      </c>
      <c r="AH248" s="77">
        <f t="shared" si="32"/>
        <v>159884.84570200002</v>
      </c>
      <c r="AI248" s="77">
        <f t="shared" si="33"/>
        <v>87896.402584467985</v>
      </c>
      <c r="AJ248" s="3">
        <f>VLOOKUP(A248,JanApport,MATCH($AJ$4,'Jan 2022 Apport'!$3:$3,0),FALSE)</f>
        <v>11686732.939999999</v>
      </c>
      <c r="AK248" s="3">
        <f>VLOOKUP(A248,JanApport,MATCH($AK$4,'Jan 2022 Apport'!$3:$3,0),FALSE)</f>
        <v>162.84399999999999</v>
      </c>
      <c r="AL248" s="117">
        <f t="shared" si="34"/>
        <v>107035899.61</v>
      </c>
      <c r="AM248" s="117">
        <f>VLOOKUP(A248,JanApport,MATCH($AM$4,'Jan 2022 Apport'!$3:$3,0),FALSE)</f>
        <v>0</v>
      </c>
      <c r="AN248" s="117">
        <f>VLOOKUP(A248,JanApport,MATCH($AN$4,'Jan 2022 Apport'!$3:$3,0),FALSE)</f>
        <v>748181.64</v>
      </c>
    </row>
    <row r="249" spans="1:40">
      <c r="A249" s="2" t="s">
        <v>415</v>
      </c>
      <c r="B249" s="2" t="s">
        <v>416</v>
      </c>
      <c r="C249" s="2" t="s">
        <v>1267</v>
      </c>
      <c r="D249" s="118">
        <f>VLOOKUP(A249,JanApport,MATCH($D$4,'Jan 2022 Apport'!$3:$3,FALSE),FALSE)</f>
        <v>742009.41</v>
      </c>
      <c r="E249" s="30">
        <f>VLOOKUP(A249,JanApport,MATCH($E$2,'Jan 2022 Apport'!$3:$3,0),FALSE)+VLOOKUP(A249,JanApport,MATCH($E$3,'Jan 2022 Apport'!$3:$3,0),FALSE)+VLOOKUP(A249,JanApport,MATCH($E$4,'Jan 2022 Apport'!$3:$3,0),FALSE)</f>
        <v>0</v>
      </c>
      <c r="F249" s="118">
        <f t="shared" si="35"/>
        <v>742009.41</v>
      </c>
      <c r="G249" s="117">
        <f>VLOOKUP(A249,JanApport,MATCH($G$4,'Jan 2022 Apport'!$3:$3,0),FALSE)</f>
        <v>2469.42</v>
      </c>
      <c r="H249" s="117">
        <f>VLOOKUP(A249,JanApport,MATCH($H$3,'Jan 2022 Apport'!$3:$3,0),FALSE)+VLOOKUP(A249,JanApport,MATCH($H$2,'Jan 2022 Apport'!$3:$3,0),FALSE)+VLOOKUP(A249,JanApport,MATCH($H$4,'Jan 2022 Apport'!$3:$3,0),FALSE)</f>
        <v>69096.92</v>
      </c>
      <c r="I249" s="117">
        <f t="shared" si="36"/>
        <v>71566.34</v>
      </c>
      <c r="J249" s="117">
        <f>VLOOKUP(A249,JanApport,MATCH($J$4,'Jan 2022 Apport'!$3:$3,0),FALSE)</f>
        <v>86577.14</v>
      </c>
      <c r="K249" s="117">
        <f>VLOOKUP(A249,JanApport,MATCH($K$4,'Jan 2022 Apport'!$3:$3,0),FALSE)</f>
        <v>27548.77</v>
      </c>
      <c r="L249" s="117">
        <f t="shared" si="37"/>
        <v>114125.91</v>
      </c>
      <c r="M249" s="117">
        <f>VLOOKUP(A249,JanApport,MATCH($M$4,'Jan 2022 Apport'!$3:$3,0),FALSE)</f>
        <v>13599.03</v>
      </c>
      <c r="N249" s="117">
        <f>VLOOKUP(A249,JanApport,MATCH($N$4,'Jan 2022 Apport'!$3:$3,0),FALSE)</f>
        <v>0</v>
      </c>
      <c r="O249" s="117">
        <f>VLOOKUP(A249,JanApport,MATCH($O$4,'Jan 2022 Apport'!$3:$3,0),FALSE)</f>
        <v>0</v>
      </c>
      <c r="P249" s="121">
        <f>IFERROR((VLOOKUP(A249,ExcessLevy!A:G,3,FALSE)*0.28),0)+IFERROR((VLOOKUP(A249,ExcessLevy!A:G,6,FALSE)*0.72),0)</f>
        <v>0</v>
      </c>
      <c r="Q249" s="121">
        <f>IFERROR((VLOOKUP(A249,ExcessLevy!A:G,4,FALSE)*0.4738),0)+IFERROR((VLOOKUP(A249,ExcessLevy!A:G,7,FALSE)*0.5262),0)</f>
        <v>229400</v>
      </c>
      <c r="R249">
        <f>VLOOKUP(A249,JanApport,MATCH($R$4,'Jan 2022 Apport'!$3:$3,0),FALSE)</f>
        <v>0</v>
      </c>
      <c r="S249">
        <f>VLOOKUP(A249,JanApport,MATCH($S$4,'Jan 2022 Apport'!$3:$3,0),FALSE)</f>
        <v>0</v>
      </c>
      <c r="T249">
        <f>VLOOKUP(A249,JanApport,MATCH($T$4,'Jan 2022 Apport'!$3:$3,0),FALSE)</f>
        <v>0</v>
      </c>
      <c r="U249" s="132">
        <f>IFERROR(VLOOKUP(A249,JanApport,MATCH($U$4,'Jan 2022 Apport'!$3:$3,0),FALSE)/R249,0)</f>
        <v>0</v>
      </c>
      <c r="V249" s="30">
        <f>IFERROR(((VLOOKUP(A249,JanApport,MATCH($V$4,'Jan 2022 Apport'!$3:$3,0),FALSE)+VLOOKUP(A249,JanApport,MATCH($V$3,'Jan 2022 Apport'!$3:$3,0),FALSE))/(S249+T249)),0)</f>
        <v>0</v>
      </c>
      <c r="W249" s="30">
        <f t="shared" si="30"/>
        <v>2452.5713248960005</v>
      </c>
      <c r="X249">
        <f>VLOOKUP(A249,JanApport,MATCH($X$4,'Jan 2022 Apport'!$3:$3,0),FALSE)</f>
        <v>4.8578999999999997E-2</v>
      </c>
      <c r="Y249">
        <f>VLOOKUP(A249,JanApport,MATCH($Y$4,'Jan 2022 Apport'!$3:$3,0),FALSE)</f>
        <v>4.0270000000000002E-3</v>
      </c>
      <c r="Z249">
        <f>VLOOKUP(A249,JanApport,MATCH($Z$4,'Jan 2022 Apport'!$3:$3,0),FALSE)</f>
        <v>1.7100000000000001E-2</v>
      </c>
      <c r="AA249" s="77">
        <f>VLOOKUP(A249,JanApport,MATCH($AA$4,'Jan 2022 Apport'!$3:$3,0),FALSE)*VLOOKUP(A249,JanApport,MATCH($AA$3,'Jan 2022 Apport'!$3:$3,0),FALSE)</f>
        <v>67585</v>
      </c>
      <c r="AB249" s="77">
        <f>VLOOKUP(A249,JanApport,MATCH($AB$4,'Jan 2022 Apport'!$3:$3,0),FALSE)*VLOOKUP(A249,JanApport,MATCH($AB$3,'Jan 2022 Apport'!$3:$3,0),FALSE)</f>
        <v>0</v>
      </c>
      <c r="AC249" s="77">
        <f>VLOOKUP(A249,JanApport,MATCH($AC$4,'Jan 2022 Apport'!$3:$3,0),FALSE)</f>
        <v>0</v>
      </c>
      <c r="AD249" s="77">
        <f>VLOOKUP(A249,JanApport,MATCH($AD$4,'Jan 2022 Apport'!$3:$3,0),FALSE)*VLOOKUP(A249,JanApport,MATCH($AD$3,'Jan 2022 Apport'!$3:$3,0),FALSE)</f>
        <v>0</v>
      </c>
      <c r="AE249" s="77">
        <f>VLOOKUP(A249,JanApport,MATCH($AE$4,'Jan 2022 Apport'!$3:$3,0),FALSE)</f>
        <v>0</v>
      </c>
      <c r="AF249" s="77">
        <f>VLOOKUP(A249,JanApport,MATCH($AF$4,'Jan 2022 Apport'!$3:$3,0),FALSE)*VLOOKUP(A249,JanApport,MATCH($AF$3,'Jan 2022 Apport'!$3:$3,0),FALSE)</f>
        <v>0</v>
      </c>
      <c r="AG249" s="77">
        <f t="shared" si="31"/>
        <v>12280.864000000009</v>
      </c>
      <c r="AH249" s="77">
        <f t="shared" si="32"/>
        <v>11848.32</v>
      </c>
      <c r="AI249" s="77">
        <f t="shared" si="33"/>
        <v>16610.88</v>
      </c>
      <c r="AJ249" s="3">
        <f>VLOOKUP(A249,JanApport,MATCH($AJ$4,'Jan 2022 Apport'!$3:$3,0),FALSE)</f>
        <v>95787.12</v>
      </c>
      <c r="AK249" s="3">
        <f>VLOOKUP(A249,JanApport,MATCH($AK$4,'Jan 2022 Apport'!$3:$3,0),FALSE)</f>
        <v>2.7040000000000002</v>
      </c>
      <c r="AL249" s="117">
        <f t="shared" si="34"/>
        <v>860285.02</v>
      </c>
      <c r="AM249" s="117">
        <f>VLOOKUP(A249,JanApport,MATCH($AM$4,'Jan 2022 Apport'!$3:$3,0),FALSE)</f>
        <v>18099.439999999999</v>
      </c>
      <c r="AN249" s="117">
        <f>VLOOKUP(A249,JanApport,MATCH($AN$4,'Jan 2022 Apport'!$3:$3,0),FALSE)</f>
        <v>6500.69</v>
      </c>
    </row>
    <row r="250" spans="1:40">
      <c r="A250" s="2" t="s">
        <v>197</v>
      </c>
      <c r="B250" s="2" t="s">
        <v>198</v>
      </c>
      <c r="C250" s="2" t="s">
        <v>1267</v>
      </c>
      <c r="D250" s="118">
        <f>VLOOKUP(A250,JanApport,MATCH($D$4,'Jan 2022 Apport'!$3:$3,FALSE),FALSE)</f>
        <v>2150886</v>
      </c>
      <c r="E250" s="30">
        <f>VLOOKUP(A250,JanApport,MATCH($E$2,'Jan 2022 Apport'!$3:$3,0),FALSE)+VLOOKUP(A250,JanApport,MATCH($E$3,'Jan 2022 Apport'!$3:$3,0),FALSE)+VLOOKUP(A250,JanApport,MATCH($E$4,'Jan 2022 Apport'!$3:$3,0),FALSE)</f>
        <v>0</v>
      </c>
      <c r="F250" s="118">
        <f t="shared" si="35"/>
        <v>2150886</v>
      </c>
      <c r="G250" s="117">
        <f>VLOOKUP(A250,JanApport,MATCH($G$4,'Jan 2022 Apport'!$3:$3,0),FALSE)</f>
        <v>8368.94</v>
      </c>
      <c r="H250" s="117">
        <f>VLOOKUP(A250,JanApport,MATCH($H$3,'Jan 2022 Apport'!$3:$3,0),FALSE)+VLOOKUP(A250,JanApport,MATCH($H$2,'Jan 2022 Apport'!$3:$3,0),FALSE)+VLOOKUP(A250,JanApport,MATCH($H$4,'Jan 2022 Apport'!$3:$3,0),FALSE)</f>
        <v>47650.59</v>
      </c>
      <c r="I250" s="117">
        <f t="shared" si="36"/>
        <v>56019.53</v>
      </c>
      <c r="J250" s="117">
        <f>VLOOKUP(A250,JanApport,MATCH($J$4,'Jan 2022 Apport'!$3:$3,0),FALSE)</f>
        <v>51353.85</v>
      </c>
      <c r="K250" s="117">
        <f>VLOOKUP(A250,JanApport,MATCH($K$4,'Jan 2022 Apport'!$3:$3,0),FALSE)</f>
        <v>15623.49</v>
      </c>
      <c r="L250" s="117">
        <f t="shared" si="37"/>
        <v>66977.34</v>
      </c>
      <c r="M250" s="117">
        <f>VLOOKUP(A250,JanApport,MATCH($M$4,'Jan 2022 Apport'!$3:$3,0),FALSE)</f>
        <v>24815.4</v>
      </c>
      <c r="N250" s="117">
        <f>VLOOKUP(A250,JanApport,MATCH($N$4,'Jan 2022 Apport'!$3:$3,0),FALSE)</f>
        <v>0</v>
      </c>
      <c r="O250" s="117">
        <f>VLOOKUP(A250,JanApport,MATCH($O$4,'Jan 2022 Apport'!$3:$3,0),FALSE)</f>
        <v>0</v>
      </c>
      <c r="P250" s="121">
        <f>IFERROR((VLOOKUP(A250,ExcessLevy!A:G,3,FALSE)*0.28),0)+IFERROR((VLOOKUP(A250,ExcessLevy!A:G,6,FALSE)*0.72),0)</f>
        <v>0</v>
      </c>
      <c r="Q250" s="121">
        <f>IFERROR((VLOOKUP(A250,ExcessLevy!A:G,4,FALSE)*0.4738),0)+IFERROR((VLOOKUP(A250,ExcessLevy!A:G,7,FALSE)*0.5262),0)</f>
        <v>371343.28359999997</v>
      </c>
      <c r="R250">
        <f>VLOOKUP(A250,JanApport,MATCH($R$4,'Jan 2022 Apport'!$3:$3,0),FALSE)</f>
        <v>0</v>
      </c>
      <c r="S250">
        <f>VLOOKUP(A250,JanApport,MATCH($S$4,'Jan 2022 Apport'!$3:$3,0),FALSE)</f>
        <v>0</v>
      </c>
      <c r="T250">
        <f>VLOOKUP(A250,JanApport,MATCH($T$4,'Jan 2022 Apport'!$3:$3,0),FALSE)</f>
        <v>0</v>
      </c>
      <c r="U250" s="132">
        <f>IFERROR(VLOOKUP(A250,JanApport,MATCH($U$4,'Jan 2022 Apport'!$3:$3,0),FALSE)/R250,0)</f>
        <v>0</v>
      </c>
      <c r="V250" s="30">
        <f>IFERROR(((VLOOKUP(A250,JanApport,MATCH($V$4,'Jan 2022 Apport'!$3:$3,0),FALSE)+VLOOKUP(A250,JanApport,MATCH($V$3,'Jan 2022 Apport'!$3:$3,0),FALSE))/(S250+T250)),0)</f>
        <v>0</v>
      </c>
      <c r="W250" s="30">
        <f t="shared" si="30"/>
        <v>8759.3410458720027</v>
      </c>
      <c r="X250">
        <f>VLOOKUP(A250,JanApport,MATCH($X$4,'Jan 2022 Apport'!$3:$3,0),FALSE)</f>
        <v>4.8578999999999997E-2</v>
      </c>
      <c r="Y250">
        <f>VLOOKUP(A250,JanApport,MATCH($Y$4,'Jan 2022 Apport'!$3:$3,0),FALSE)</f>
        <v>4.0270000000000002E-3</v>
      </c>
      <c r="Z250">
        <f>VLOOKUP(A250,JanApport,MATCH($Z$4,'Jan 2022 Apport'!$3:$3,0),FALSE)</f>
        <v>1.7100000000000001E-2</v>
      </c>
      <c r="AA250" s="77">
        <f>VLOOKUP(A250,JanApport,MATCH($AA$4,'Jan 2022 Apport'!$3:$3,0),FALSE)*VLOOKUP(A250,JanApport,MATCH($AA$3,'Jan 2022 Apport'!$3:$3,0),FALSE)</f>
        <v>79750.3</v>
      </c>
      <c r="AB250" s="77">
        <f>VLOOKUP(A250,JanApport,MATCH($AB$4,'Jan 2022 Apport'!$3:$3,0),FALSE)*VLOOKUP(A250,JanApport,MATCH($AB$3,'Jan 2022 Apport'!$3:$3,0),FALSE)</f>
        <v>77209.440000000002</v>
      </c>
      <c r="AC250" s="77">
        <f>VLOOKUP(A250,JanApport,MATCH($AC$4,'Jan 2022 Apport'!$3:$3,0),FALSE)</f>
        <v>100321</v>
      </c>
      <c r="AD250" s="77">
        <f>VLOOKUP(A250,JanApport,MATCH($AD$4,'Jan 2022 Apport'!$3:$3,0),FALSE)*VLOOKUP(A250,JanApport,MATCH($AD$3,'Jan 2022 Apport'!$3:$3,0),FALSE)</f>
        <v>114606.24</v>
      </c>
      <c r="AE250" s="77">
        <f>VLOOKUP(A250,JanApport,MATCH($AE$4,'Jan 2022 Apport'!$3:$3,0),FALSE)</f>
        <v>48483</v>
      </c>
      <c r="AF250" s="77">
        <f>VLOOKUP(A250,JanApport,MATCH($AF$4,'Jan 2022 Apport'!$3:$3,0),FALSE)*VLOOKUP(A250,JanApport,MATCH($AF$3,'Jan 2022 Apport'!$3:$3,0),FALSE)</f>
        <v>55387.360000000008</v>
      </c>
      <c r="AG250" s="77">
        <f t="shared" si="31"/>
        <v>106608.285328</v>
      </c>
      <c r="AH250" s="77">
        <f t="shared" si="32"/>
        <v>152390.21156800003</v>
      </c>
      <c r="AI250" s="77">
        <f t="shared" si="33"/>
        <v>84357.998300512001</v>
      </c>
      <c r="AJ250" s="3">
        <f>VLOOKUP(A250,JanApport,MATCH($AJ$4,'Jan 2022 Apport'!$3:$3,0),FALSE)</f>
        <v>189548.51</v>
      </c>
      <c r="AK250" s="3">
        <f>VLOOKUP(A250,JanApport,MATCH($AK$4,'Jan 2022 Apport'!$3:$3,0),FALSE)</f>
        <v>0.65200000000000002</v>
      </c>
      <c r="AL250" s="117">
        <f t="shared" si="34"/>
        <v>2298032.02</v>
      </c>
      <c r="AM250" s="117">
        <f>VLOOKUP(A250,JanApport,MATCH($AM$4,'Jan 2022 Apport'!$3:$3,0),FALSE)</f>
        <v>14957.24</v>
      </c>
      <c r="AN250" s="117">
        <f>VLOOKUP(A250,JanApport,MATCH($AN$4,'Jan 2022 Apport'!$3:$3,0),FALSE)</f>
        <v>20753.41</v>
      </c>
    </row>
    <row r="251" spans="1:40">
      <c r="A251" s="2" t="s">
        <v>439</v>
      </c>
      <c r="B251" s="2" t="s">
        <v>440</v>
      </c>
      <c r="C251" s="2" t="s">
        <v>1267</v>
      </c>
      <c r="D251" s="118">
        <f>VLOOKUP(A251,JanApport,MATCH($D$4,'Jan 2022 Apport'!$3:$3,FALSE),FALSE)</f>
        <v>91631279.739999995</v>
      </c>
      <c r="E251" s="30">
        <f>VLOOKUP(A251,JanApport,MATCH($E$2,'Jan 2022 Apport'!$3:$3,0),FALSE)+VLOOKUP(A251,JanApport,MATCH($E$3,'Jan 2022 Apport'!$3:$3,0),FALSE)+VLOOKUP(A251,JanApport,MATCH($E$4,'Jan 2022 Apport'!$3:$3,0),FALSE)</f>
        <v>5475742.9399999995</v>
      </c>
      <c r="F251" s="118">
        <f t="shared" si="35"/>
        <v>86155536.799999997</v>
      </c>
      <c r="G251" s="117">
        <f>VLOOKUP(A251,JanApport,MATCH($G$4,'Jan 2022 Apport'!$3:$3,0),FALSE)</f>
        <v>982926.99</v>
      </c>
      <c r="H251" s="117">
        <f>VLOOKUP(A251,JanApport,MATCH($H$3,'Jan 2022 Apport'!$3:$3,0),FALSE)+VLOOKUP(A251,JanApport,MATCH($H$2,'Jan 2022 Apport'!$3:$3,0),FALSE)+VLOOKUP(A251,JanApport,MATCH($H$4,'Jan 2022 Apport'!$3:$3,0),FALSE)</f>
        <v>10963971.09</v>
      </c>
      <c r="I251" s="117">
        <f t="shared" si="36"/>
        <v>11946898.08</v>
      </c>
      <c r="J251" s="117">
        <f>VLOOKUP(A251,JanApport,MATCH($J$4,'Jan 2022 Apport'!$3:$3,0),FALSE)</f>
        <v>5930033.6200000001</v>
      </c>
      <c r="K251" s="117">
        <f>VLOOKUP(A251,JanApport,MATCH($K$4,'Jan 2022 Apport'!$3:$3,0),FALSE)</f>
        <v>553276.85</v>
      </c>
      <c r="L251" s="117">
        <f t="shared" si="37"/>
        <v>6483310.4699999997</v>
      </c>
      <c r="M251" s="117">
        <f>VLOOKUP(A251,JanApport,MATCH($M$4,'Jan 2022 Apport'!$3:$3,0),FALSE)</f>
        <v>1203925.7</v>
      </c>
      <c r="N251" s="117">
        <f>VLOOKUP(A251,JanApport,MATCH($N$4,'Jan 2022 Apport'!$3:$3,0),FALSE)</f>
        <v>735054.97</v>
      </c>
      <c r="O251" s="117">
        <f>VLOOKUP(A251,JanApport,MATCH($O$4,'Jan 2022 Apport'!$3:$3,0),FALSE)</f>
        <v>306445.44</v>
      </c>
      <c r="P251" s="121">
        <f>IFERROR((VLOOKUP(A251,ExcessLevy!A:G,3,FALSE)*0.28),0)+IFERROR((VLOOKUP(A251,ExcessLevy!A:G,6,FALSE)*0.72),0)</f>
        <v>0</v>
      </c>
      <c r="Q251" s="121">
        <f>IFERROR((VLOOKUP(A251,ExcessLevy!A:G,4,FALSE)*0.4738),0)+IFERROR((VLOOKUP(A251,ExcessLevy!A:G,7,FALSE)*0.5262),0)</f>
        <v>17998580.358199999</v>
      </c>
      <c r="R251">
        <f>VLOOKUP(A251,JanApport,MATCH($R$4,'Jan 2022 Apport'!$3:$3,0),FALSE)</f>
        <v>0</v>
      </c>
      <c r="S251">
        <f>VLOOKUP(A251,JanApport,MATCH($S$4,'Jan 2022 Apport'!$3:$3,0),FALSE)</f>
        <v>126.33</v>
      </c>
      <c r="T251">
        <f>VLOOKUP(A251,JanApport,MATCH($T$4,'Jan 2022 Apport'!$3:$3,0),FALSE)</f>
        <v>411.38</v>
      </c>
      <c r="U251" s="132">
        <f>IFERROR(VLOOKUP(A251,JanApport,MATCH($U$4,'Jan 2022 Apport'!$3:$3,0),FALSE)/R251,0)</f>
        <v>0</v>
      </c>
      <c r="V251" s="30">
        <f>IFERROR(((VLOOKUP(A251,JanApport,MATCH($V$4,'Jan 2022 Apport'!$3:$3,0),FALSE)+VLOOKUP(A251,JanApport,MATCH($V$3,'Jan 2022 Apport'!$3:$3,0),FALSE))/(S251+T251)),0)</f>
        <v>10183.450075319408</v>
      </c>
      <c r="W251" s="30">
        <f t="shared" si="30"/>
        <v>8759.7612969715228</v>
      </c>
      <c r="X251">
        <f>VLOOKUP(A251,JanApport,MATCH($X$4,'Jan 2022 Apport'!$3:$3,0),FALSE)</f>
        <v>4.8578999999999997E-2</v>
      </c>
      <c r="Y251">
        <f>VLOOKUP(A251,JanApport,MATCH($Y$4,'Jan 2022 Apport'!$3:$3,0),FALSE)</f>
        <v>4.0270000000000002E-3</v>
      </c>
      <c r="Z251">
        <f>VLOOKUP(A251,JanApport,MATCH($Z$4,'Jan 2022 Apport'!$3:$3,0),FALSE)</f>
        <v>1.7100000000000001E-2</v>
      </c>
      <c r="AA251" s="77">
        <f>VLOOKUP(A251,JanApport,MATCH($AA$4,'Jan 2022 Apport'!$3:$3,0),FALSE)*VLOOKUP(A251,JanApport,MATCH($AA$3,'Jan 2022 Apport'!$3:$3,0),FALSE)</f>
        <v>81102</v>
      </c>
      <c r="AB251" s="77">
        <f>VLOOKUP(A251,JanApport,MATCH($AB$4,'Jan 2022 Apport'!$3:$3,0),FALSE)*VLOOKUP(A251,JanApport,MATCH($AB$3,'Jan 2022 Apport'!$3:$3,0),FALSE)</f>
        <v>77209.440000000002</v>
      </c>
      <c r="AC251" s="77">
        <f>VLOOKUP(A251,JanApport,MATCH($AC$4,'Jan 2022 Apport'!$3:$3,0),FALSE)</f>
        <v>100321</v>
      </c>
      <c r="AD251" s="77">
        <f>VLOOKUP(A251,JanApport,MATCH($AD$4,'Jan 2022 Apport'!$3:$3,0),FALSE)*VLOOKUP(A251,JanApport,MATCH($AD$3,'Jan 2022 Apport'!$3:$3,0),FALSE)</f>
        <v>114606.24</v>
      </c>
      <c r="AE251" s="77">
        <f>VLOOKUP(A251,JanApport,MATCH($AE$4,'Jan 2022 Apport'!$3:$3,0),FALSE)</f>
        <v>48483</v>
      </c>
      <c r="AF251" s="77">
        <f>VLOOKUP(A251,JanApport,MATCH($AF$4,'Jan 2022 Apport'!$3:$3,0),FALSE)*VLOOKUP(A251,JanApport,MATCH($AF$3,'Jan 2022 Apport'!$3:$3,0),FALSE)</f>
        <v>55387.360000000008</v>
      </c>
      <c r="AG251" s="77">
        <f t="shared" si="31"/>
        <v>106616.936208</v>
      </c>
      <c r="AH251" s="77">
        <f t="shared" si="32"/>
        <v>152390.21156800003</v>
      </c>
      <c r="AI251" s="77">
        <f t="shared" si="33"/>
        <v>84357.998300512001</v>
      </c>
      <c r="AJ251" s="3">
        <f>VLOOKUP(A251,JanApport,MATCH($AJ$4,'Jan 2022 Apport'!$3:$3,0),FALSE)</f>
        <v>11687034.5</v>
      </c>
      <c r="AK251" s="3">
        <f>VLOOKUP(A251,JanApport,MATCH($AK$4,'Jan 2022 Apport'!$3:$3,0),FALSE)</f>
        <v>171.483</v>
      </c>
      <c r="AL251" s="117">
        <f t="shared" si="34"/>
        <v>111753637.55</v>
      </c>
      <c r="AM251" s="117">
        <f>VLOOKUP(A251,JanApport,MATCH($AM$4,'Jan 2022 Apport'!$3:$3,0),FALSE)</f>
        <v>0</v>
      </c>
      <c r="AN251" s="117">
        <f>VLOOKUP(A251,JanApport,MATCH($AN$4,'Jan 2022 Apport'!$3:$3,0),FALSE)</f>
        <v>762144.05</v>
      </c>
    </row>
    <row r="252" spans="1:40">
      <c r="A252" s="2" t="s">
        <v>209</v>
      </c>
      <c r="B252" s="2" t="s">
        <v>210</v>
      </c>
      <c r="C252" s="2" t="s">
        <v>1267</v>
      </c>
      <c r="D252" s="118">
        <f>VLOOKUP(A252,JanApport,MATCH($D$4,'Jan 2022 Apport'!$3:$3,FALSE),FALSE)</f>
        <v>69665266.340000004</v>
      </c>
      <c r="E252" s="30">
        <f>VLOOKUP(A252,JanApport,MATCH($E$2,'Jan 2022 Apport'!$3:$3,0),FALSE)+VLOOKUP(A252,JanApport,MATCH($E$3,'Jan 2022 Apport'!$3:$3,0),FALSE)+VLOOKUP(A252,JanApport,MATCH($E$4,'Jan 2022 Apport'!$3:$3,0),FALSE)</f>
        <v>4522762.55</v>
      </c>
      <c r="F252" s="118">
        <f t="shared" si="35"/>
        <v>65142503.790000007</v>
      </c>
      <c r="G252" s="117">
        <f>VLOOKUP(A252,JanApport,MATCH($G$4,'Jan 2022 Apport'!$3:$3,0),FALSE)</f>
        <v>668433.56000000006</v>
      </c>
      <c r="H252" s="117">
        <f>VLOOKUP(A252,JanApport,MATCH($H$3,'Jan 2022 Apport'!$3:$3,0),FALSE)+VLOOKUP(A252,JanApport,MATCH($H$2,'Jan 2022 Apport'!$3:$3,0),FALSE)+VLOOKUP(A252,JanApport,MATCH($H$4,'Jan 2022 Apport'!$3:$3,0),FALSE)</f>
        <v>6454383.0500000007</v>
      </c>
      <c r="I252" s="117">
        <f t="shared" si="36"/>
        <v>7122816.6100000013</v>
      </c>
      <c r="J252" s="117">
        <f>VLOOKUP(A252,JanApport,MATCH($J$4,'Jan 2022 Apport'!$3:$3,0),FALSE)</f>
        <v>3796937.43</v>
      </c>
      <c r="K252" s="117">
        <f>VLOOKUP(A252,JanApport,MATCH($K$4,'Jan 2022 Apport'!$3:$3,0),FALSE)</f>
        <v>571018.9</v>
      </c>
      <c r="L252" s="117">
        <f t="shared" si="37"/>
        <v>4367956.33</v>
      </c>
      <c r="M252" s="117">
        <f>VLOOKUP(A252,JanApport,MATCH($M$4,'Jan 2022 Apport'!$3:$3,0),FALSE)</f>
        <v>445997.41</v>
      </c>
      <c r="N252" s="117">
        <f>VLOOKUP(A252,JanApport,MATCH($N$4,'Jan 2022 Apport'!$3:$3,0),FALSE)</f>
        <v>500274</v>
      </c>
      <c r="O252" s="117">
        <f>VLOOKUP(A252,JanApport,MATCH($O$4,'Jan 2022 Apport'!$3:$3,0),FALSE)</f>
        <v>231497.12</v>
      </c>
      <c r="P252" s="121">
        <f>IFERROR((VLOOKUP(A252,ExcessLevy!A:G,3,FALSE)*0.28),0)+IFERROR((VLOOKUP(A252,ExcessLevy!A:G,6,FALSE)*0.72),0)</f>
        <v>0</v>
      </c>
      <c r="Q252" s="121">
        <f>IFERROR((VLOOKUP(A252,ExcessLevy!A:G,4,FALSE)*0.4738),0)+IFERROR((VLOOKUP(A252,ExcessLevy!A:G,7,FALSE)*0.5262),0)</f>
        <v>16449890</v>
      </c>
      <c r="R252">
        <f>VLOOKUP(A252,JanApport,MATCH($R$4,'Jan 2022 Apport'!$3:$3,0),FALSE)</f>
        <v>0</v>
      </c>
      <c r="S252">
        <f>VLOOKUP(A252,JanApport,MATCH($S$4,'Jan 2022 Apport'!$3:$3,0),FALSE)</f>
        <v>71.22</v>
      </c>
      <c r="T252">
        <f>VLOOKUP(A252,JanApport,MATCH($T$4,'Jan 2022 Apport'!$3:$3,0),FALSE)</f>
        <v>378.43</v>
      </c>
      <c r="U252" s="132">
        <f>IFERROR(VLOOKUP(A252,JanApport,MATCH($U$4,'Jan 2022 Apport'!$3:$3,0),FALSE)/R252,0)</f>
        <v>0</v>
      </c>
      <c r="V252" s="30">
        <f>IFERROR(((VLOOKUP(A252,JanApport,MATCH($V$4,'Jan 2022 Apport'!$3:$3,0),FALSE)+VLOOKUP(A252,JanApport,MATCH($V$3,'Jan 2022 Apport'!$3:$3,0),FALSE))/(S252+T252)),0)</f>
        <v>10058.406649616369</v>
      </c>
      <c r="W252" s="30">
        <f t="shared" si="30"/>
        <v>8983.3190756045569</v>
      </c>
      <c r="X252">
        <f>VLOOKUP(A252,JanApport,MATCH($X$4,'Jan 2022 Apport'!$3:$3,0),FALSE)</f>
        <v>4.8578999999999997E-2</v>
      </c>
      <c r="Y252">
        <f>VLOOKUP(A252,JanApport,MATCH($Y$4,'Jan 2022 Apport'!$3:$3,0),FALSE)</f>
        <v>4.0270000000000002E-3</v>
      </c>
      <c r="Z252">
        <f>VLOOKUP(A252,JanApport,MATCH($Z$4,'Jan 2022 Apport'!$3:$3,0),FALSE)</f>
        <v>1.7100000000000001E-2</v>
      </c>
      <c r="AA252" s="77">
        <f>VLOOKUP(A252,JanApport,MATCH($AA$4,'Jan 2022 Apport'!$3:$3,0),FALSE)*VLOOKUP(A252,JanApport,MATCH($AA$3,'Jan 2022 Apport'!$3:$3,0),FALSE)</f>
        <v>79750.3</v>
      </c>
      <c r="AB252" s="77">
        <f>VLOOKUP(A252,JanApport,MATCH($AB$4,'Jan 2022 Apport'!$3:$3,0),FALSE)*VLOOKUP(A252,JanApport,MATCH($AB$3,'Jan 2022 Apport'!$3:$3,0),FALSE)</f>
        <v>79966.92</v>
      </c>
      <c r="AC252" s="77">
        <f>VLOOKUP(A252,JanApport,MATCH($AC$4,'Jan 2022 Apport'!$3:$3,0),FALSE)</f>
        <v>100321</v>
      </c>
      <c r="AD252" s="77">
        <f>VLOOKUP(A252,JanApport,MATCH($AD$4,'Jan 2022 Apport'!$3:$3,0),FALSE)*VLOOKUP(A252,JanApport,MATCH($AD$3,'Jan 2022 Apport'!$3:$3,0),FALSE)</f>
        <v>118699.31999999999</v>
      </c>
      <c r="AE252" s="77">
        <f>VLOOKUP(A252,JanApport,MATCH($AE$4,'Jan 2022 Apport'!$3:$3,0),FALSE)</f>
        <v>48483</v>
      </c>
      <c r="AF252" s="77">
        <f>VLOOKUP(A252,JanApport,MATCH($AF$4,'Jan 2022 Apport'!$3:$3,0),FALSE)*VLOOKUP(A252,JanApport,MATCH($AF$3,'Jan 2022 Apport'!$3:$3,0),FALSE)</f>
        <v>57365.479999999996</v>
      </c>
      <c r="AG252" s="77">
        <f t="shared" si="31"/>
        <v>109974.34116400001</v>
      </c>
      <c r="AH252" s="77">
        <f t="shared" si="32"/>
        <v>157386.63432400001</v>
      </c>
      <c r="AI252" s="77">
        <f t="shared" si="33"/>
        <v>86716.934489815991</v>
      </c>
      <c r="AJ252" s="3">
        <f>VLOOKUP(A252,JanApport,MATCH($AJ$4,'Jan 2022 Apport'!$3:$3,0),FALSE)</f>
        <v>8585227.3100000005</v>
      </c>
      <c r="AK252" s="3">
        <f>VLOOKUP(A252,JanApport,MATCH($AK$4,'Jan 2022 Apport'!$3:$3,0),FALSE)</f>
        <v>140.30500000000001</v>
      </c>
      <c r="AL252" s="117">
        <f t="shared" si="34"/>
        <v>81762788.910000011</v>
      </c>
      <c r="AM252" s="117">
        <f>VLOOKUP(A252,JanApport,MATCH($AM$4,'Jan 2022 Apport'!$3:$3,0),FALSE)</f>
        <v>0</v>
      </c>
      <c r="AN252" s="117">
        <f>VLOOKUP(A252,JanApport,MATCH($AN$4,'Jan 2022 Apport'!$3:$3,0),FALSE)</f>
        <v>561907.88</v>
      </c>
    </row>
    <row r="253" spans="1:40">
      <c r="A253" s="2" t="s">
        <v>129</v>
      </c>
      <c r="B253" s="2" t="s">
        <v>130</v>
      </c>
      <c r="C253" s="2" t="s">
        <v>1267</v>
      </c>
      <c r="D253" s="118">
        <f>VLOOKUP(A253,JanApport,MATCH($D$4,'Jan 2022 Apport'!$3:$3,FALSE),FALSE)</f>
        <v>5197562.3099999996</v>
      </c>
      <c r="E253" s="30">
        <f>VLOOKUP(A253,JanApport,MATCH($E$2,'Jan 2022 Apport'!$3:$3,0),FALSE)+VLOOKUP(A253,JanApport,MATCH($E$3,'Jan 2022 Apport'!$3:$3,0),FALSE)+VLOOKUP(A253,JanApport,MATCH($E$4,'Jan 2022 Apport'!$3:$3,0),FALSE)</f>
        <v>247512.69999999998</v>
      </c>
      <c r="F253" s="118">
        <f t="shared" si="35"/>
        <v>4950049.6099999994</v>
      </c>
      <c r="G253" s="117">
        <f>VLOOKUP(A253,JanApport,MATCH($G$4,'Jan 2022 Apport'!$3:$3,0),FALSE)</f>
        <v>32116.97</v>
      </c>
      <c r="H253" s="117">
        <f>VLOOKUP(A253,JanApport,MATCH($H$3,'Jan 2022 Apport'!$3:$3,0),FALSE)+VLOOKUP(A253,JanApport,MATCH($H$2,'Jan 2022 Apport'!$3:$3,0),FALSE)+VLOOKUP(A253,JanApport,MATCH($H$4,'Jan 2022 Apport'!$3:$3,0),FALSE)</f>
        <v>647242.20000000007</v>
      </c>
      <c r="I253" s="117">
        <f t="shared" si="36"/>
        <v>679359.17</v>
      </c>
      <c r="J253" s="117">
        <f>VLOOKUP(A253,JanApport,MATCH($J$4,'Jan 2022 Apport'!$3:$3,0),FALSE)</f>
        <v>358974.2</v>
      </c>
      <c r="K253" s="117">
        <f>VLOOKUP(A253,JanApport,MATCH($K$4,'Jan 2022 Apport'!$3:$3,0),FALSE)</f>
        <v>52061.49</v>
      </c>
      <c r="L253" s="117">
        <f t="shared" si="37"/>
        <v>411035.69</v>
      </c>
      <c r="M253" s="117">
        <f>VLOOKUP(A253,JanApport,MATCH($M$4,'Jan 2022 Apport'!$3:$3,0),FALSE)</f>
        <v>302798.65999999997</v>
      </c>
      <c r="N253" s="117">
        <f>VLOOKUP(A253,JanApport,MATCH($N$4,'Jan 2022 Apport'!$3:$3,0),FALSE)</f>
        <v>156927</v>
      </c>
      <c r="O253" s="117">
        <f>VLOOKUP(A253,JanApport,MATCH($O$4,'Jan 2022 Apport'!$3:$3,0),FALSE)</f>
        <v>15555.72</v>
      </c>
      <c r="P253" s="121">
        <f>IFERROR((VLOOKUP(A253,ExcessLevy!A:G,3,FALSE)*0.28),0)+IFERROR((VLOOKUP(A253,ExcessLevy!A:G,6,FALSE)*0.72),0)</f>
        <v>518647.55119999999</v>
      </c>
      <c r="Q253" s="121">
        <f>IFERROR((VLOOKUP(A253,ExcessLevy!A:G,4,FALSE)*0.4738),0)+IFERROR((VLOOKUP(A253,ExcessLevy!A:G,7,FALSE)*0.5262),0)</f>
        <v>603029.30186400004</v>
      </c>
      <c r="R253">
        <f>VLOOKUP(A253,JanApport,MATCH($R$4,'Jan 2022 Apport'!$3:$3,0),FALSE)</f>
        <v>0</v>
      </c>
      <c r="S253">
        <f>VLOOKUP(A253,JanApport,MATCH($S$4,'Jan 2022 Apport'!$3:$3,0),FALSE)</f>
        <v>1.1399999999999999</v>
      </c>
      <c r="T253">
        <f>VLOOKUP(A253,JanApport,MATCH($T$4,'Jan 2022 Apport'!$3:$3,0),FALSE)</f>
        <v>26.59</v>
      </c>
      <c r="U253" s="132">
        <f>IFERROR(VLOOKUP(A253,JanApport,MATCH($U$4,'Jan 2022 Apport'!$3:$3,0),FALSE)/R253,0)</f>
        <v>0</v>
      </c>
      <c r="V253" s="30">
        <f>IFERROR(((VLOOKUP(A253,JanApport,MATCH($V$4,'Jan 2022 Apport'!$3:$3,0),FALSE)+VLOOKUP(A253,JanApport,MATCH($V$3,'Jan 2022 Apport'!$3:$3,0),FALSE))/(S253+T253)),0)</f>
        <v>8925.8095924990976</v>
      </c>
      <c r="W253" s="30">
        <f t="shared" si="30"/>
        <v>8083.6246967786601</v>
      </c>
      <c r="X253">
        <f>VLOOKUP(A253,JanApport,MATCH($X$4,'Jan 2022 Apport'!$3:$3,0),FALSE)</f>
        <v>4.8578999999999997E-2</v>
      </c>
      <c r="Y253">
        <f>VLOOKUP(A253,JanApport,MATCH($Y$4,'Jan 2022 Apport'!$3:$3,0),FALSE)</f>
        <v>4.0270000000000002E-3</v>
      </c>
      <c r="Z253">
        <f>VLOOKUP(A253,JanApport,MATCH($Z$4,'Jan 2022 Apport'!$3:$3,0),FALSE)</f>
        <v>1.7100000000000001E-2</v>
      </c>
      <c r="AA253" s="77">
        <f>VLOOKUP(A253,JanApport,MATCH($AA$4,'Jan 2022 Apport'!$3:$3,0),FALSE)*VLOOKUP(A253,JanApport,MATCH($AA$3,'Jan 2022 Apport'!$3:$3,0),FALSE)</f>
        <v>67585</v>
      </c>
      <c r="AB253" s="77">
        <f>VLOOKUP(A253,JanApport,MATCH($AB$4,'Jan 2022 Apport'!$3:$3,0),FALSE)*VLOOKUP(A253,JanApport,MATCH($AB$3,'Jan 2022 Apport'!$3:$3,0),FALSE)</f>
        <v>68937</v>
      </c>
      <c r="AC253" s="77">
        <f>VLOOKUP(A253,JanApport,MATCH($AC$4,'Jan 2022 Apport'!$3:$3,0),FALSE)</f>
        <v>100321</v>
      </c>
      <c r="AD253" s="77">
        <f>VLOOKUP(A253,JanApport,MATCH($AD$4,'Jan 2022 Apport'!$3:$3,0),FALSE)*VLOOKUP(A253,JanApport,MATCH($AD$3,'Jan 2022 Apport'!$3:$3,0),FALSE)</f>
        <v>102327</v>
      </c>
      <c r="AE253" s="77">
        <f>VLOOKUP(A253,JanApport,MATCH($AE$4,'Jan 2022 Apport'!$3:$3,0),FALSE)</f>
        <v>48483</v>
      </c>
      <c r="AF253" s="77">
        <f>VLOOKUP(A253,JanApport,MATCH($AF$4,'Jan 2022 Apport'!$3:$3,0),FALSE)*VLOOKUP(A253,JanApport,MATCH($AF$3,'Jan 2022 Apport'!$3:$3,0),FALSE)</f>
        <v>49453</v>
      </c>
      <c r="AG253" s="77">
        <f t="shared" si="31"/>
        <v>96432.259900000005</v>
      </c>
      <c r="AH253" s="77">
        <f t="shared" si="32"/>
        <v>137400.94330000001</v>
      </c>
      <c r="AI253" s="77">
        <f t="shared" si="33"/>
        <v>77281.189732599989</v>
      </c>
      <c r="AJ253" s="3">
        <f>VLOOKUP(A253,JanApport,MATCH($AJ$4,'Jan 2022 Apport'!$3:$3,0),FALSE)</f>
        <v>707164.73</v>
      </c>
      <c r="AK253" s="3">
        <f>VLOOKUP(A253,JanApport,MATCH($AK$4,'Jan 2022 Apport'!$3:$3,0),FALSE)</f>
        <v>10.513999999999999</v>
      </c>
      <c r="AL253" s="117">
        <f t="shared" si="34"/>
        <v>6865364.6799999997</v>
      </c>
      <c r="AM253" s="117">
        <f>VLOOKUP(A253,JanApport,MATCH($AM$4,'Jan 2022 Apport'!$3:$3,0),FALSE)</f>
        <v>154187.62</v>
      </c>
      <c r="AN253" s="117">
        <f>VLOOKUP(A253,JanApport,MATCH($AN$4,'Jan 2022 Apport'!$3:$3,0),FALSE)</f>
        <v>40458.589999999997</v>
      </c>
    </row>
    <row r="254" spans="1:40">
      <c r="A254" s="2" t="s">
        <v>347</v>
      </c>
      <c r="B254" s="2" t="s">
        <v>348</v>
      </c>
      <c r="C254" s="2" t="s">
        <v>1267</v>
      </c>
      <c r="D254" s="118">
        <f>VLOOKUP(A254,JanApport,MATCH($D$4,'Jan 2022 Apport'!$3:$3,FALSE),FALSE)</f>
        <v>5374293.5</v>
      </c>
      <c r="E254" s="30">
        <f>VLOOKUP(A254,JanApport,MATCH($E$2,'Jan 2022 Apport'!$3:$3,0),FALSE)+VLOOKUP(A254,JanApport,MATCH($E$3,'Jan 2022 Apport'!$3:$3,0),FALSE)+VLOOKUP(A254,JanApport,MATCH($E$4,'Jan 2022 Apport'!$3:$3,0),FALSE)</f>
        <v>378323.20000000001</v>
      </c>
      <c r="F254" s="118">
        <f t="shared" si="35"/>
        <v>4995970.3</v>
      </c>
      <c r="G254" s="117">
        <f>VLOOKUP(A254,JanApport,MATCH($G$4,'Jan 2022 Apport'!$3:$3,0),FALSE)</f>
        <v>44836.36</v>
      </c>
      <c r="H254" s="117">
        <f>VLOOKUP(A254,JanApport,MATCH($H$3,'Jan 2022 Apport'!$3:$3,0),FALSE)+VLOOKUP(A254,JanApport,MATCH($H$2,'Jan 2022 Apport'!$3:$3,0),FALSE)+VLOOKUP(A254,JanApport,MATCH($H$4,'Jan 2022 Apport'!$3:$3,0),FALSE)</f>
        <v>643821.73</v>
      </c>
      <c r="I254" s="117">
        <f t="shared" si="36"/>
        <v>688658.09</v>
      </c>
      <c r="J254" s="117">
        <f>VLOOKUP(A254,JanApport,MATCH($J$4,'Jan 2022 Apport'!$3:$3,0),FALSE)</f>
        <v>479449.45</v>
      </c>
      <c r="K254" s="117">
        <f>VLOOKUP(A254,JanApport,MATCH($K$4,'Jan 2022 Apport'!$3:$3,0),FALSE)</f>
        <v>83686.63</v>
      </c>
      <c r="L254" s="117">
        <f t="shared" si="37"/>
        <v>563136.08000000007</v>
      </c>
      <c r="M254" s="117">
        <f>VLOOKUP(A254,JanApport,MATCH($M$4,'Jan 2022 Apport'!$3:$3,0),FALSE)</f>
        <v>246152.31</v>
      </c>
      <c r="N254" s="117">
        <f>VLOOKUP(A254,JanApport,MATCH($N$4,'Jan 2022 Apport'!$3:$3,0),FALSE)</f>
        <v>134620.67000000001</v>
      </c>
      <c r="O254" s="117">
        <f>VLOOKUP(A254,JanApport,MATCH($O$4,'Jan 2022 Apport'!$3:$3,0),FALSE)</f>
        <v>0</v>
      </c>
      <c r="P254" s="121">
        <f>IFERROR((VLOOKUP(A254,ExcessLevy!A:G,3,FALSE)*0.28),0)+IFERROR((VLOOKUP(A254,ExcessLevy!A:G,6,FALSE)*0.72),0)</f>
        <v>556313.098</v>
      </c>
      <c r="Q254" s="121">
        <f>IFERROR((VLOOKUP(A254,ExcessLevy!A:G,4,FALSE)*0.4738),0)+IFERROR((VLOOKUP(A254,ExcessLevy!A:G,7,FALSE)*0.5262),0)</f>
        <v>525000</v>
      </c>
      <c r="R254">
        <f>VLOOKUP(A254,JanApport,MATCH($R$4,'Jan 2022 Apport'!$3:$3,0),FALSE)</f>
        <v>0</v>
      </c>
      <c r="S254">
        <f>VLOOKUP(A254,JanApport,MATCH($S$4,'Jan 2022 Apport'!$3:$3,0),FALSE)</f>
        <v>5.98</v>
      </c>
      <c r="T254">
        <f>VLOOKUP(A254,JanApport,MATCH($T$4,'Jan 2022 Apport'!$3:$3,0),FALSE)</f>
        <v>36.42</v>
      </c>
      <c r="U254" s="132">
        <f>IFERROR(VLOOKUP(A254,JanApport,MATCH($U$4,'Jan 2022 Apport'!$3:$3,0),FALSE)/R254,0)</f>
        <v>0</v>
      </c>
      <c r="V254" s="30">
        <f>IFERROR(((VLOOKUP(A254,JanApport,MATCH($V$4,'Jan 2022 Apport'!$3:$3,0),FALSE)+VLOOKUP(A254,JanApport,MATCH($V$3,'Jan 2022 Apport'!$3:$3,0),FALSE))/(S254+T254)),0)</f>
        <v>8922.7169811320746</v>
      </c>
      <c r="W254" s="30">
        <f t="shared" si="30"/>
        <v>8083.6246967786601</v>
      </c>
      <c r="X254">
        <f>VLOOKUP(A254,JanApport,MATCH($X$4,'Jan 2022 Apport'!$3:$3,0),FALSE)</f>
        <v>4.8578999999999997E-2</v>
      </c>
      <c r="Y254">
        <f>VLOOKUP(A254,JanApport,MATCH($Y$4,'Jan 2022 Apport'!$3:$3,0),FALSE)</f>
        <v>4.0270000000000002E-3</v>
      </c>
      <c r="Z254">
        <f>VLOOKUP(A254,JanApport,MATCH($Z$4,'Jan 2022 Apport'!$3:$3,0),FALSE)</f>
        <v>1.7100000000000001E-2</v>
      </c>
      <c r="AA254" s="77">
        <f>VLOOKUP(A254,JanApport,MATCH($AA$4,'Jan 2022 Apport'!$3:$3,0),FALSE)*VLOOKUP(A254,JanApport,MATCH($AA$3,'Jan 2022 Apport'!$3:$3,0),FALSE)</f>
        <v>67585</v>
      </c>
      <c r="AB254" s="77">
        <f>VLOOKUP(A254,JanApport,MATCH($AB$4,'Jan 2022 Apport'!$3:$3,0),FALSE)*VLOOKUP(A254,JanApport,MATCH($AB$3,'Jan 2022 Apport'!$3:$3,0),FALSE)</f>
        <v>68937</v>
      </c>
      <c r="AC254" s="77">
        <f>VLOOKUP(A254,JanApport,MATCH($AC$4,'Jan 2022 Apport'!$3:$3,0),FALSE)</f>
        <v>100321</v>
      </c>
      <c r="AD254" s="77">
        <f>VLOOKUP(A254,JanApport,MATCH($AD$4,'Jan 2022 Apport'!$3:$3,0),FALSE)*VLOOKUP(A254,JanApport,MATCH($AD$3,'Jan 2022 Apport'!$3:$3,0),FALSE)</f>
        <v>102327</v>
      </c>
      <c r="AE254" s="77">
        <f>VLOOKUP(A254,JanApport,MATCH($AE$4,'Jan 2022 Apport'!$3:$3,0),FALSE)</f>
        <v>48483</v>
      </c>
      <c r="AF254" s="77">
        <f>VLOOKUP(A254,JanApport,MATCH($AF$4,'Jan 2022 Apport'!$3:$3,0),FALSE)*VLOOKUP(A254,JanApport,MATCH($AF$3,'Jan 2022 Apport'!$3:$3,0),FALSE)</f>
        <v>49453</v>
      </c>
      <c r="AG254" s="77">
        <f t="shared" si="31"/>
        <v>96432.259900000005</v>
      </c>
      <c r="AH254" s="77">
        <f t="shared" si="32"/>
        <v>137400.94330000001</v>
      </c>
      <c r="AI254" s="77">
        <f t="shared" si="33"/>
        <v>77281.189732599989</v>
      </c>
      <c r="AJ254" s="3">
        <f>VLOOKUP(A254,JanApport,MATCH($AJ$4,'Jan 2022 Apport'!$3:$3,0),FALSE)</f>
        <v>690043.93</v>
      </c>
      <c r="AK254" s="3">
        <f>VLOOKUP(A254,JanApport,MATCH($AK$4,'Jan 2022 Apport'!$3:$3,0),FALSE)</f>
        <v>11</v>
      </c>
      <c r="AL254" s="117">
        <f t="shared" si="34"/>
        <v>7074426.5799999991</v>
      </c>
      <c r="AM254" s="117">
        <f>VLOOKUP(A254,JanApport,MATCH($AM$4,'Jan 2022 Apport'!$3:$3,0),FALSE)</f>
        <v>151252.56</v>
      </c>
      <c r="AN254" s="117">
        <f>VLOOKUP(A254,JanApport,MATCH($AN$4,'Jan 2022 Apport'!$3:$3,0),FALSE)</f>
        <v>40941.06</v>
      </c>
    </row>
    <row r="255" spans="1:40">
      <c r="A255" s="2" t="s">
        <v>235</v>
      </c>
      <c r="B255" s="2" t="s">
        <v>236</v>
      </c>
      <c r="C255" s="2" t="s">
        <v>1267</v>
      </c>
      <c r="D255" s="118">
        <f>VLOOKUP(A255,JanApport,MATCH($D$4,'Jan 2022 Apport'!$3:$3,FALSE),FALSE)</f>
        <v>94480409.650000006</v>
      </c>
      <c r="E255" s="30">
        <f>VLOOKUP(A255,JanApport,MATCH($E$2,'Jan 2022 Apport'!$3:$3,0),FALSE)+VLOOKUP(A255,JanApport,MATCH($E$3,'Jan 2022 Apport'!$3:$3,0),FALSE)+VLOOKUP(A255,JanApport,MATCH($E$4,'Jan 2022 Apport'!$3:$3,0),FALSE)</f>
        <v>8859471.3500000015</v>
      </c>
      <c r="F255" s="118">
        <f t="shared" si="35"/>
        <v>85620938.300000012</v>
      </c>
      <c r="G255" s="117">
        <f>VLOOKUP(A255,JanApport,MATCH($G$4,'Jan 2022 Apport'!$3:$3,0),FALSE)</f>
        <v>1199497.55</v>
      </c>
      <c r="H255" s="117">
        <f>VLOOKUP(A255,JanApport,MATCH($H$3,'Jan 2022 Apport'!$3:$3,0),FALSE)+VLOOKUP(A255,JanApport,MATCH($H$2,'Jan 2022 Apport'!$3:$3,0),FALSE)+VLOOKUP(A255,JanApport,MATCH($H$4,'Jan 2022 Apport'!$3:$3,0),FALSE)</f>
        <v>12799652.710000001</v>
      </c>
      <c r="I255" s="117">
        <f t="shared" si="36"/>
        <v>13999150.260000002</v>
      </c>
      <c r="J255" s="117">
        <f>VLOOKUP(A255,JanApport,MATCH($J$4,'Jan 2022 Apport'!$3:$3,0),FALSE)</f>
        <v>5778333.7699999996</v>
      </c>
      <c r="K255" s="117">
        <f>VLOOKUP(A255,JanApport,MATCH($K$4,'Jan 2022 Apport'!$3:$3,0),FALSE)</f>
        <v>513836.74</v>
      </c>
      <c r="L255" s="117">
        <f t="shared" si="37"/>
        <v>6292170.5099999998</v>
      </c>
      <c r="M255" s="117">
        <f>VLOOKUP(A255,JanApport,MATCH($M$4,'Jan 2022 Apport'!$3:$3,0),FALSE)</f>
        <v>2189194.52</v>
      </c>
      <c r="N255" s="117">
        <f>VLOOKUP(A255,JanApport,MATCH($N$4,'Jan 2022 Apport'!$3:$3,0),FALSE)</f>
        <v>430586.92</v>
      </c>
      <c r="O255" s="117">
        <f>VLOOKUP(A255,JanApport,MATCH($O$4,'Jan 2022 Apport'!$3:$3,0),FALSE)</f>
        <v>315008.32</v>
      </c>
      <c r="P255" s="121">
        <f>IFERROR((VLOOKUP(A255,ExcessLevy!A:G,3,FALSE)*0.28),0)+IFERROR((VLOOKUP(A255,ExcessLevy!A:G,6,FALSE)*0.72),0)</f>
        <v>208117.60480000003</v>
      </c>
      <c r="Q255" s="121">
        <f>IFERROR((VLOOKUP(A255,ExcessLevy!A:G,4,FALSE)*0.4738),0)+IFERROR((VLOOKUP(A255,ExcessLevy!A:G,7,FALSE)*0.5262),0)</f>
        <v>26762165.712000001</v>
      </c>
      <c r="R255">
        <f>VLOOKUP(A255,JanApport,MATCH($R$4,'Jan 2022 Apport'!$3:$3,0),FALSE)</f>
        <v>0</v>
      </c>
      <c r="S255">
        <f>VLOOKUP(A255,JanApport,MATCH($S$4,'Jan 2022 Apport'!$3:$3,0),FALSE)</f>
        <v>253.12</v>
      </c>
      <c r="T255">
        <f>VLOOKUP(A255,JanApport,MATCH($T$4,'Jan 2022 Apport'!$3:$3,0),FALSE)</f>
        <v>627.89</v>
      </c>
      <c r="U255" s="132">
        <f>IFERROR(VLOOKUP(A255,JanApport,MATCH($U$4,'Jan 2022 Apport'!$3:$3,0),FALSE)/R255,0)</f>
        <v>0</v>
      </c>
      <c r="V255" s="30">
        <f>IFERROR(((VLOOKUP(A255,JanApport,MATCH($V$4,'Jan 2022 Apport'!$3:$3,0),FALSE)+VLOOKUP(A255,JanApport,MATCH($V$3,'Jan 2022 Apport'!$3:$3,0),FALSE))/(S255+T255)),0)</f>
        <v>10056.039488768574</v>
      </c>
      <c r="W255" s="30">
        <f t="shared" si="30"/>
        <v>9095.3080904708331</v>
      </c>
      <c r="X255">
        <f>VLOOKUP(A255,JanApport,MATCH($X$4,'Jan 2022 Apport'!$3:$3,0),FALSE)</f>
        <v>4.8578999999999997E-2</v>
      </c>
      <c r="Y255">
        <f>VLOOKUP(A255,JanApport,MATCH($Y$4,'Jan 2022 Apport'!$3:$3,0),FALSE)</f>
        <v>4.0270000000000002E-3</v>
      </c>
      <c r="Z255">
        <f>VLOOKUP(A255,JanApport,MATCH($Z$4,'Jan 2022 Apport'!$3:$3,0),FALSE)</f>
        <v>1.7100000000000001E-2</v>
      </c>
      <c r="AA255" s="77">
        <f>VLOOKUP(A255,JanApport,MATCH($AA$4,'Jan 2022 Apport'!$3:$3,0),FALSE)*VLOOKUP(A255,JanApport,MATCH($AA$3,'Jan 2022 Apport'!$3:$3,0),FALSE)</f>
        <v>79750.3</v>
      </c>
      <c r="AB255" s="77">
        <f>VLOOKUP(A255,JanApport,MATCH($AB$4,'Jan 2022 Apport'!$3:$3,0),FALSE)*VLOOKUP(A255,JanApport,MATCH($AB$3,'Jan 2022 Apport'!$3:$3,0),FALSE)</f>
        <v>81345.659999999989</v>
      </c>
      <c r="AC255" s="77">
        <f>VLOOKUP(A255,JanApport,MATCH($AC$4,'Jan 2022 Apport'!$3:$3,0),FALSE)</f>
        <v>100321</v>
      </c>
      <c r="AD255" s="77">
        <f>VLOOKUP(A255,JanApport,MATCH($AD$4,'Jan 2022 Apport'!$3:$3,0),FALSE)*VLOOKUP(A255,JanApport,MATCH($AD$3,'Jan 2022 Apport'!$3:$3,0),FALSE)</f>
        <v>120745.86</v>
      </c>
      <c r="AE255" s="77">
        <f>VLOOKUP(A255,JanApport,MATCH($AE$4,'Jan 2022 Apport'!$3:$3,0),FALSE)</f>
        <v>48483</v>
      </c>
      <c r="AF255" s="77">
        <f>VLOOKUP(A255,JanApport,MATCH($AF$4,'Jan 2022 Apport'!$3:$3,0),FALSE)*VLOOKUP(A255,JanApport,MATCH($AF$3,'Jan 2022 Apport'!$3:$3,0),FALSE)</f>
        <v>58354.539999999994</v>
      </c>
      <c r="AG255" s="77">
        <f t="shared" si="31"/>
        <v>111657.36908199999</v>
      </c>
      <c r="AH255" s="77">
        <f t="shared" si="32"/>
        <v>159884.84570200002</v>
      </c>
      <c r="AI255" s="77">
        <f t="shared" si="33"/>
        <v>87896.402584467985</v>
      </c>
      <c r="AJ255" s="3">
        <f>VLOOKUP(A255,JanApport,MATCH($AJ$4,'Jan 2022 Apport'!$3:$3,0),FALSE)</f>
        <v>10054266.02</v>
      </c>
      <c r="AK255" s="3">
        <f>VLOOKUP(A255,JanApport,MATCH($AK$4,'Jan 2022 Apport'!$3:$3,0),FALSE)</f>
        <v>181.28100000000001</v>
      </c>
      <c r="AL255" s="117">
        <f t="shared" si="34"/>
        <v>117380328.68000001</v>
      </c>
      <c r="AM255" s="117">
        <f>VLOOKUP(A255,JanApport,MATCH($AM$4,'Jan 2022 Apport'!$3:$3,0),FALSE)</f>
        <v>187645.24</v>
      </c>
      <c r="AN255" s="117">
        <f>VLOOKUP(A255,JanApport,MATCH($AN$4,'Jan 2022 Apport'!$3:$3,0),FALSE)</f>
        <v>668609.24</v>
      </c>
    </row>
    <row r="256" spans="1:40">
      <c r="A256" s="2" t="s">
        <v>171</v>
      </c>
      <c r="B256" s="2" t="s">
        <v>172</v>
      </c>
      <c r="C256" s="2" t="s">
        <v>1267</v>
      </c>
      <c r="D256" s="118">
        <f>VLOOKUP(A256,JanApport,MATCH($D$4,'Jan 2022 Apport'!$3:$3,FALSE),FALSE)</f>
        <v>11648657.439999999</v>
      </c>
      <c r="E256" s="30">
        <f>VLOOKUP(A256,JanApport,MATCH($E$2,'Jan 2022 Apport'!$3:$3,0),FALSE)+VLOOKUP(A256,JanApport,MATCH($E$3,'Jan 2022 Apport'!$3:$3,0),FALSE)+VLOOKUP(A256,JanApport,MATCH($E$4,'Jan 2022 Apport'!$3:$3,0),FALSE)</f>
        <v>616498.65</v>
      </c>
      <c r="F256" s="118">
        <f t="shared" si="35"/>
        <v>11032158.789999999</v>
      </c>
      <c r="G256" s="117">
        <f>VLOOKUP(A256,JanApport,MATCH($G$4,'Jan 2022 Apport'!$3:$3,0),FALSE)</f>
        <v>67802.44</v>
      </c>
      <c r="H256" s="117">
        <f>VLOOKUP(A256,JanApport,MATCH($H$3,'Jan 2022 Apport'!$3:$3,0),FALSE)+VLOOKUP(A256,JanApport,MATCH($H$2,'Jan 2022 Apport'!$3:$3,0),FALSE)+VLOOKUP(A256,JanApport,MATCH($H$4,'Jan 2022 Apport'!$3:$3,0),FALSE)</f>
        <v>1589559.66</v>
      </c>
      <c r="I256" s="117">
        <f t="shared" si="36"/>
        <v>1657362.0999999999</v>
      </c>
      <c r="J256" s="117">
        <f>VLOOKUP(A256,JanApport,MATCH($J$4,'Jan 2022 Apport'!$3:$3,0),FALSE)</f>
        <v>897956.9</v>
      </c>
      <c r="K256" s="117">
        <f>VLOOKUP(A256,JanApport,MATCH($K$4,'Jan 2022 Apport'!$3:$3,0),FALSE)</f>
        <v>149724.76</v>
      </c>
      <c r="L256" s="117">
        <f t="shared" si="37"/>
        <v>1047681.66</v>
      </c>
      <c r="M256" s="117">
        <f>VLOOKUP(A256,JanApport,MATCH($M$4,'Jan 2022 Apport'!$3:$3,0),FALSE)</f>
        <v>228853.58</v>
      </c>
      <c r="N256" s="117">
        <f>VLOOKUP(A256,JanApport,MATCH($N$4,'Jan 2022 Apport'!$3:$3,0),FALSE)</f>
        <v>8291.7900000000009</v>
      </c>
      <c r="O256" s="117">
        <f>VLOOKUP(A256,JanApport,MATCH($O$4,'Jan 2022 Apport'!$3:$3,0),FALSE)</f>
        <v>40392.89</v>
      </c>
      <c r="P256" s="121">
        <f>IFERROR((VLOOKUP(A256,ExcessLevy!A:G,3,FALSE)*0.28),0)+IFERROR((VLOOKUP(A256,ExcessLevy!A:G,6,FALSE)*0.72),0)</f>
        <v>0</v>
      </c>
      <c r="Q256" s="121">
        <f>IFERROR((VLOOKUP(A256,ExcessLevy!A:G,4,FALSE)*0.4738),0)+IFERROR((VLOOKUP(A256,ExcessLevy!A:G,7,FALSE)*0.5262),0)</f>
        <v>3436401.3248000001</v>
      </c>
      <c r="R256">
        <f>VLOOKUP(A256,JanApport,MATCH($R$4,'Jan 2022 Apport'!$3:$3,0),FALSE)</f>
        <v>0</v>
      </c>
      <c r="S256">
        <f>VLOOKUP(A256,JanApport,MATCH($S$4,'Jan 2022 Apport'!$3:$3,0),FALSE)</f>
        <v>0</v>
      </c>
      <c r="T256">
        <f>VLOOKUP(A256,JanApport,MATCH($T$4,'Jan 2022 Apport'!$3:$3,0),FALSE)</f>
        <v>59.42</v>
      </c>
      <c r="U256" s="132">
        <f>IFERROR(VLOOKUP(A256,JanApport,MATCH($U$4,'Jan 2022 Apport'!$3:$3,0),FALSE)/R256,0)</f>
        <v>0</v>
      </c>
      <c r="V256" s="30">
        <f>IFERROR(((VLOOKUP(A256,JanApport,MATCH($V$4,'Jan 2022 Apport'!$3:$3,0),FALSE)+VLOOKUP(A256,JanApport,MATCH($V$3,'Jan 2022 Apport'!$3:$3,0),FALSE))/(S256+T256)),0)</f>
        <v>10375.271794008751</v>
      </c>
      <c r="W256" s="30">
        <f t="shared" si="30"/>
        <v>8759.7612969715228</v>
      </c>
      <c r="X256">
        <f>VLOOKUP(A256,JanApport,MATCH($X$4,'Jan 2022 Apport'!$3:$3,0),FALSE)</f>
        <v>4.8578999999999997E-2</v>
      </c>
      <c r="Y256">
        <f>VLOOKUP(A256,JanApport,MATCH($Y$4,'Jan 2022 Apport'!$3:$3,0),FALSE)</f>
        <v>4.0270000000000002E-3</v>
      </c>
      <c r="Z256">
        <f>VLOOKUP(A256,JanApport,MATCH($Z$4,'Jan 2022 Apport'!$3:$3,0),FALSE)</f>
        <v>1.7100000000000001E-2</v>
      </c>
      <c r="AA256" s="77">
        <f>VLOOKUP(A256,JanApport,MATCH($AA$4,'Jan 2022 Apport'!$3:$3,0),FALSE)*VLOOKUP(A256,JanApport,MATCH($AA$3,'Jan 2022 Apport'!$3:$3,0),FALSE)</f>
        <v>81102</v>
      </c>
      <c r="AB256" s="77">
        <f>VLOOKUP(A256,JanApport,MATCH($AB$4,'Jan 2022 Apport'!$3:$3,0),FALSE)*VLOOKUP(A256,JanApport,MATCH($AB$3,'Jan 2022 Apport'!$3:$3,0),FALSE)</f>
        <v>77209.440000000002</v>
      </c>
      <c r="AC256" s="77">
        <f>VLOOKUP(A256,JanApport,MATCH($AC$4,'Jan 2022 Apport'!$3:$3,0),FALSE)</f>
        <v>100321</v>
      </c>
      <c r="AD256" s="77">
        <f>VLOOKUP(A256,JanApport,MATCH($AD$4,'Jan 2022 Apport'!$3:$3,0),FALSE)*VLOOKUP(A256,JanApport,MATCH($AD$3,'Jan 2022 Apport'!$3:$3,0),FALSE)</f>
        <v>114606.24</v>
      </c>
      <c r="AE256" s="77">
        <f>VLOOKUP(A256,JanApport,MATCH($AE$4,'Jan 2022 Apport'!$3:$3,0),FALSE)</f>
        <v>48483</v>
      </c>
      <c r="AF256" s="77">
        <f>VLOOKUP(A256,JanApport,MATCH($AF$4,'Jan 2022 Apport'!$3:$3,0),FALSE)*VLOOKUP(A256,JanApport,MATCH($AF$3,'Jan 2022 Apport'!$3:$3,0),FALSE)</f>
        <v>55387.360000000008</v>
      </c>
      <c r="AG256" s="77">
        <f t="shared" si="31"/>
        <v>106616.936208</v>
      </c>
      <c r="AH256" s="77">
        <f t="shared" si="32"/>
        <v>152390.21156800003</v>
      </c>
      <c r="AI256" s="77">
        <f t="shared" si="33"/>
        <v>84357.998300512001</v>
      </c>
      <c r="AJ256" s="3">
        <f>VLOOKUP(A256,JanApport,MATCH($AJ$4,'Jan 2022 Apport'!$3:$3,0),FALSE)</f>
        <v>1446273.14</v>
      </c>
      <c r="AK256" s="3">
        <f>VLOOKUP(A256,JanApport,MATCH($AK$4,'Jan 2022 Apport'!$3:$3,0),FALSE)</f>
        <v>17.489000000000001</v>
      </c>
      <c r="AL256" s="117">
        <f t="shared" si="34"/>
        <v>14493360.119999999</v>
      </c>
      <c r="AM256" s="117">
        <f>VLOOKUP(A256,JanApport,MATCH($AM$4,'Jan 2022 Apport'!$3:$3,0),FALSE)</f>
        <v>11845.42</v>
      </c>
      <c r="AN256" s="117">
        <f>VLOOKUP(A256,JanApport,MATCH($AN$4,'Jan 2022 Apport'!$3:$3,0),FALSE)</f>
        <v>93872.95</v>
      </c>
    </row>
    <row r="257" spans="1:40">
      <c r="A257" s="2" t="s">
        <v>313</v>
      </c>
      <c r="B257" s="2" t="s">
        <v>314</v>
      </c>
      <c r="C257" s="2" t="s">
        <v>1267</v>
      </c>
      <c r="D257" s="118">
        <f>VLOOKUP(A257,JanApport,MATCH($D$4,'Jan 2022 Apport'!$3:$3,FALSE),FALSE)</f>
        <v>1820763.73</v>
      </c>
      <c r="E257" s="30">
        <f>VLOOKUP(A257,JanApport,MATCH($E$2,'Jan 2022 Apport'!$3:$3,0),FALSE)+VLOOKUP(A257,JanApport,MATCH($E$3,'Jan 2022 Apport'!$3:$3,0),FALSE)+VLOOKUP(A257,JanApport,MATCH($E$4,'Jan 2022 Apport'!$3:$3,0),FALSE)</f>
        <v>0</v>
      </c>
      <c r="F257" s="118">
        <f t="shared" si="35"/>
        <v>1820763.73</v>
      </c>
      <c r="G257" s="117">
        <f>VLOOKUP(A257,JanApport,MATCH($G$4,'Jan 2022 Apport'!$3:$3,0),FALSE)</f>
        <v>0</v>
      </c>
      <c r="H257" s="117">
        <f>VLOOKUP(A257,JanApport,MATCH($H$3,'Jan 2022 Apport'!$3:$3,0),FALSE)+VLOOKUP(A257,JanApport,MATCH($H$2,'Jan 2022 Apport'!$3:$3,0),FALSE)+VLOOKUP(A257,JanApport,MATCH($H$4,'Jan 2022 Apport'!$3:$3,0),FALSE)</f>
        <v>246270.46000000002</v>
      </c>
      <c r="I257" s="117">
        <f t="shared" si="36"/>
        <v>246270.46000000002</v>
      </c>
      <c r="J257" s="117">
        <f>VLOOKUP(A257,JanApport,MATCH($J$4,'Jan 2022 Apport'!$3:$3,0),FALSE)</f>
        <v>94942.62</v>
      </c>
      <c r="K257" s="117">
        <f>VLOOKUP(A257,JanApport,MATCH($K$4,'Jan 2022 Apport'!$3:$3,0),FALSE)</f>
        <v>16072.44</v>
      </c>
      <c r="L257" s="117">
        <f t="shared" si="37"/>
        <v>111015.06</v>
      </c>
      <c r="M257" s="117">
        <f>VLOOKUP(A257,JanApport,MATCH($M$4,'Jan 2022 Apport'!$3:$3,0),FALSE)</f>
        <v>44221.33</v>
      </c>
      <c r="N257" s="117">
        <f>VLOOKUP(A257,JanApport,MATCH($N$4,'Jan 2022 Apport'!$3:$3,0),FALSE)</f>
        <v>0</v>
      </c>
      <c r="O257" s="117">
        <f>VLOOKUP(A257,JanApport,MATCH($O$4,'Jan 2022 Apport'!$3:$3,0),FALSE)</f>
        <v>5674.43</v>
      </c>
      <c r="P257" s="121">
        <f>IFERROR((VLOOKUP(A257,ExcessLevy!A:G,3,FALSE)*0.28),0)+IFERROR((VLOOKUP(A257,ExcessLevy!A:G,6,FALSE)*0.72),0)</f>
        <v>28877.961600000002</v>
      </c>
      <c r="Q257" s="121">
        <f>IFERROR((VLOOKUP(A257,ExcessLevy!A:G,4,FALSE)*0.4738),0)+IFERROR((VLOOKUP(A257,ExcessLevy!A:G,7,FALSE)*0.5262),0)</f>
        <v>603373.88040000002</v>
      </c>
      <c r="R257">
        <f>VLOOKUP(A257,JanApport,MATCH($R$4,'Jan 2022 Apport'!$3:$3,0),FALSE)</f>
        <v>0</v>
      </c>
      <c r="S257">
        <f>VLOOKUP(A257,JanApport,MATCH($S$4,'Jan 2022 Apport'!$3:$3,0),FALSE)</f>
        <v>0</v>
      </c>
      <c r="T257">
        <f>VLOOKUP(A257,JanApport,MATCH($T$4,'Jan 2022 Apport'!$3:$3,0),FALSE)</f>
        <v>0</v>
      </c>
      <c r="U257" s="132">
        <f>IFERROR(VLOOKUP(A257,JanApport,MATCH($U$4,'Jan 2022 Apport'!$3:$3,0),FALSE)/R257,0)</f>
        <v>0</v>
      </c>
      <c r="V257" s="30">
        <f>IFERROR(((VLOOKUP(A257,JanApport,MATCH($V$4,'Jan 2022 Apport'!$3:$3,0),FALSE)+VLOOKUP(A257,JanApport,MATCH($V$3,'Jan 2022 Apport'!$3:$3,0),FALSE))/(S257+T257)),0)</f>
        <v>0</v>
      </c>
      <c r="W257" s="30">
        <f t="shared" si="30"/>
        <v>8083.6246967786601</v>
      </c>
      <c r="X257">
        <f>VLOOKUP(A257,JanApport,MATCH($X$4,'Jan 2022 Apport'!$3:$3,0),FALSE)</f>
        <v>4.8578999999999997E-2</v>
      </c>
      <c r="Y257">
        <f>VLOOKUP(A257,JanApport,MATCH($Y$4,'Jan 2022 Apport'!$3:$3,0),FALSE)</f>
        <v>4.0270000000000002E-3</v>
      </c>
      <c r="Z257">
        <f>VLOOKUP(A257,JanApport,MATCH($Z$4,'Jan 2022 Apport'!$3:$3,0),FALSE)</f>
        <v>1.7100000000000001E-2</v>
      </c>
      <c r="AA257" s="77">
        <f>VLOOKUP(A257,JanApport,MATCH($AA$4,'Jan 2022 Apport'!$3:$3,0),FALSE)*VLOOKUP(A257,JanApport,MATCH($AA$3,'Jan 2022 Apport'!$3:$3,0),FALSE)</f>
        <v>67585</v>
      </c>
      <c r="AB257" s="77">
        <f>VLOOKUP(A257,JanApport,MATCH($AB$4,'Jan 2022 Apport'!$3:$3,0),FALSE)*VLOOKUP(A257,JanApport,MATCH($AB$3,'Jan 2022 Apport'!$3:$3,0),FALSE)</f>
        <v>68937</v>
      </c>
      <c r="AC257" s="77">
        <f>VLOOKUP(A257,JanApport,MATCH($AC$4,'Jan 2022 Apport'!$3:$3,0),FALSE)</f>
        <v>100321</v>
      </c>
      <c r="AD257" s="77">
        <f>VLOOKUP(A257,JanApport,MATCH($AD$4,'Jan 2022 Apport'!$3:$3,0),FALSE)*VLOOKUP(A257,JanApport,MATCH($AD$3,'Jan 2022 Apport'!$3:$3,0),FALSE)</f>
        <v>102327</v>
      </c>
      <c r="AE257" s="77">
        <f>VLOOKUP(A257,JanApport,MATCH($AE$4,'Jan 2022 Apport'!$3:$3,0),FALSE)</f>
        <v>48483</v>
      </c>
      <c r="AF257" s="77">
        <f>VLOOKUP(A257,JanApport,MATCH($AF$4,'Jan 2022 Apport'!$3:$3,0),FALSE)*VLOOKUP(A257,JanApport,MATCH($AF$3,'Jan 2022 Apport'!$3:$3,0),FALSE)</f>
        <v>49453</v>
      </c>
      <c r="AG257" s="77">
        <f t="shared" si="31"/>
        <v>96432.259900000005</v>
      </c>
      <c r="AH257" s="77">
        <f t="shared" si="32"/>
        <v>137400.94330000001</v>
      </c>
      <c r="AI257" s="77">
        <f t="shared" si="33"/>
        <v>77281.189732599989</v>
      </c>
      <c r="AJ257" s="3">
        <f>VLOOKUP(A257,JanApport,MATCH($AJ$4,'Jan 2022 Apport'!$3:$3,0),FALSE)</f>
        <v>267757.96999999997</v>
      </c>
      <c r="AK257" s="3">
        <f>VLOOKUP(A257,JanApport,MATCH($AK$4,'Jan 2022 Apport'!$3:$3,0),FALSE)</f>
        <v>7.1340000000000003</v>
      </c>
      <c r="AL257" s="117">
        <f t="shared" si="34"/>
        <v>2211872.5700000003</v>
      </c>
      <c r="AM257" s="117">
        <f>VLOOKUP(A257,JanApport,MATCH($AM$4,'Jan 2022 Apport'!$3:$3,0),FALSE)</f>
        <v>0</v>
      </c>
      <c r="AN257" s="117">
        <f>VLOOKUP(A257,JanApport,MATCH($AN$4,'Jan 2022 Apport'!$3:$3,0),FALSE)</f>
        <v>16605.88</v>
      </c>
    </row>
    <row r="258" spans="1:40">
      <c r="A258" s="2" t="s">
        <v>479</v>
      </c>
      <c r="B258" s="2" t="s">
        <v>480</v>
      </c>
      <c r="C258" s="2" t="s">
        <v>1267</v>
      </c>
      <c r="D258" s="118">
        <f>VLOOKUP(A258,JanApport,MATCH($D$4,'Jan 2022 Apport'!$3:$3,FALSE),FALSE)</f>
        <v>7602536.5999999996</v>
      </c>
      <c r="E258" s="30">
        <f>VLOOKUP(A258,JanApport,MATCH($E$2,'Jan 2022 Apport'!$3:$3,0),FALSE)+VLOOKUP(A258,JanApport,MATCH($E$3,'Jan 2022 Apport'!$3:$3,0),FALSE)+VLOOKUP(A258,JanApport,MATCH($E$4,'Jan 2022 Apport'!$3:$3,0),FALSE)</f>
        <v>0</v>
      </c>
      <c r="F258" s="118">
        <f t="shared" si="35"/>
        <v>7602536.5999999996</v>
      </c>
      <c r="G258" s="117">
        <f>VLOOKUP(A258,JanApport,MATCH($G$4,'Jan 2022 Apport'!$3:$3,0),FALSE)</f>
        <v>0</v>
      </c>
      <c r="H258" s="117">
        <f>VLOOKUP(A258,JanApport,MATCH($H$3,'Jan 2022 Apport'!$3:$3,0),FALSE)+VLOOKUP(A258,JanApport,MATCH($H$2,'Jan 2022 Apport'!$3:$3,0),FALSE)+VLOOKUP(A258,JanApport,MATCH($H$4,'Jan 2022 Apport'!$3:$3,0),FALSE)</f>
        <v>748659.7</v>
      </c>
      <c r="I258" s="117">
        <f t="shared" si="36"/>
        <v>748659.7</v>
      </c>
      <c r="J258" s="117">
        <f>VLOOKUP(A258,JanApport,MATCH($J$4,'Jan 2022 Apport'!$3:$3,0),FALSE)</f>
        <v>338534.88</v>
      </c>
      <c r="K258" s="117">
        <f>VLOOKUP(A258,JanApport,MATCH($K$4,'Jan 2022 Apport'!$3:$3,0),FALSE)</f>
        <v>0</v>
      </c>
      <c r="L258" s="117">
        <f t="shared" si="37"/>
        <v>338534.88</v>
      </c>
      <c r="M258" s="117">
        <f>VLOOKUP(A258,JanApport,MATCH($M$4,'Jan 2022 Apport'!$3:$3,0),FALSE)</f>
        <v>180369.42</v>
      </c>
      <c r="N258" s="117">
        <f>VLOOKUP(A258,JanApport,MATCH($N$4,'Jan 2022 Apport'!$3:$3,0),FALSE)</f>
        <v>23900.73</v>
      </c>
      <c r="O258" s="117">
        <f>VLOOKUP(A258,JanApport,MATCH($O$4,'Jan 2022 Apport'!$3:$3,0),FALSE)</f>
        <v>19748.48</v>
      </c>
      <c r="P258" s="121">
        <f>IFERROR((VLOOKUP(A258,ExcessLevy!A:G,3,FALSE)*0.28),0)+IFERROR((VLOOKUP(A258,ExcessLevy!A:G,6,FALSE)*0.72),0)</f>
        <v>0</v>
      </c>
      <c r="Q258" s="121">
        <f>IFERROR((VLOOKUP(A258,ExcessLevy!A:G,4,FALSE)*0.4738),0)+IFERROR((VLOOKUP(A258,ExcessLevy!A:G,7,FALSE)*0.5262),0)</f>
        <v>0</v>
      </c>
      <c r="R258">
        <f>VLOOKUP(A258,JanApport,MATCH($R$4,'Jan 2022 Apport'!$3:$3,0),FALSE)</f>
        <v>0</v>
      </c>
      <c r="S258">
        <f>VLOOKUP(A258,JanApport,MATCH($S$4,'Jan 2022 Apport'!$3:$3,0),FALSE)</f>
        <v>0</v>
      </c>
      <c r="T258">
        <f>VLOOKUP(A258,JanApport,MATCH($T$4,'Jan 2022 Apport'!$3:$3,0),FALSE)</f>
        <v>0</v>
      </c>
      <c r="U258" s="132">
        <f>IFERROR(VLOOKUP(A258,JanApport,MATCH($U$4,'Jan 2022 Apport'!$3:$3,0),FALSE)/R258,0)</f>
        <v>0</v>
      </c>
      <c r="V258" s="30">
        <f>IFERROR(((VLOOKUP(A258,JanApport,MATCH($V$4,'Jan 2022 Apport'!$3:$3,0),FALSE)+VLOOKUP(A258,JanApport,MATCH($V$3,'Jan 2022 Apport'!$3:$3,0),FALSE))/(S258+T258)),0)</f>
        <v>0</v>
      </c>
      <c r="W258" s="30">
        <f t="shared" si="30"/>
        <v>8084.4651989777003</v>
      </c>
      <c r="X258">
        <f>VLOOKUP(A258,JanApport,MATCH($X$4,'Jan 2022 Apport'!$3:$3,0),FALSE)</f>
        <v>4.8578999999999997E-2</v>
      </c>
      <c r="Y258">
        <f>VLOOKUP(A258,JanApport,MATCH($Y$4,'Jan 2022 Apport'!$3:$3,0),FALSE)</f>
        <v>4.0270000000000002E-3</v>
      </c>
      <c r="Z258">
        <f>VLOOKUP(A258,JanApport,MATCH($Z$4,'Jan 2022 Apport'!$3:$3,0),FALSE)</f>
        <v>1.7100000000000001E-2</v>
      </c>
      <c r="AA258" s="77">
        <f>VLOOKUP(A258,JanApport,MATCH($AA$4,'Jan 2022 Apport'!$3:$3,0),FALSE)*VLOOKUP(A258,JanApport,MATCH($AA$3,'Jan 2022 Apport'!$3:$3,0),FALSE)</f>
        <v>70288.400000000009</v>
      </c>
      <c r="AB258" s="77">
        <f>VLOOKUP(A258,JanApport,MATCH($AB$4,'Jan 2022 Apport'!$3:$3,0),FALSE)*VLOOKUP(A258,JanApport,MATCH($AB$3,'Jan 2022 Apport'!$3:$3,0),FALSE)</f>
        <v>68937</v>
      </c>
      <c r="AC258" s="77">
        <f>VLOOKUP(A258,JanApport,MATCH($AC$4,'Jan 2022 Apport'!$3:$3,0),FALSE)</f>
        <v>100321</v>
      </c>
      <c r="AD258" s="77">
        <f>VLOOKUP(A258,JanApport,MATCH($AD$4,'Jan 2022 Apport'!$3:$3,0),FALSE)*VLOOKUP(A258,JanApport,MATCH($AD$3,'Jan 2022 Apport'!$3:$3,0),FALSE)</f>
        <v>102327</v>
      </c>
      <c r="AE258" s="77">
        <f>VLOOKUP(A258,JanApport,MATCH($AE$4,'Jan 2022 Apport'!$3:$3,0),FALSE)</f>
        <v>48483</v>
      </c>
      <c r="AF258" s="77">
        <f>VLOOKUP(A258,JanApport,MATCH($AF$4,'Jan 2022 Apport'!$3:$3,0),FALSE)*VLOOKUP(A258,JanApport,MATCH($AF$3,'Jan 2022 Apport'!$3:$3,0),FALSE)</f>
        <v>49453</v>
      </c>
      <c r="AG258" s="77">
        <f t="shared" si="31"/>
        <v>96449.561660000007</v>
      </c>
      <c r="AH258" s="77">
        <f t="shared" si="32"/>
        <v>137400.94330000001</v>
      </c>
      <c r="AI258" s="77">
        <f t="shared" si="33"/>
        <v>77281.189732599989</v>
      </c>
      <c r="AJ258" s="3">
        <f>VLOOKUP(A258,JanApport,MATCH($AJ$4,'Jan 2022 Apport'!$3:$3,0),FALSE)</f>
        <v>1019352.44</v>
      </c>
      <c r="AK258" s="3">
        <f>VLOOKUP(A258,JanApport,MATCH($AK$4,'Jan 2022 Apport'!$3:$3,0),FALSE)</f>
        <v>23.902000000000001</v>
      </c>
      <c r="AL258" s="117">
        <f t="shared" si="34"/>
        <v>8913749.8100000005</v>
      </c>
      <c r="AM258" s="117">
        <f>VLOOKUP(A258,JanApport,MATCH($AM$4,'Jan 2022 Apport'!$3:$3,0),FALSE)</f>
        <v>0</v>
      </c>
      <c r="AN258" s="117">
        <f>VLOOKUP(A258,JanApport,MATCH($AN$4,'Jan 2022 Apport'!$3:$3,0),FALSE)</f>
        <v>70552.2</v>
      </c>
    </row>
    <row r="259" spans="1:40">
      <c r="A259" s="2" t="s">
        <v>451</v>
      </c>
      <c r="B259" s="2" t="s">
        <v>452</v>
      </c>
      <c r="C259" s="2" t="s">
        <v>1267</v>
      </c>
      <c r="D259" s="118">
        <f>VLOOKUP(A259,JanApport,MATCH($D$4,'Jan 2022 Apport'!$3:$3,FALSE),FALSE)</f>
        <v>256202037.84999999</v>
      </c>
      <c r="E259" s="30">
        <f>VLOOKUP(A259,JanApport,MATCH($E$2,'Jan 2022 Apport'!$3:$3,0),FALSE)+VLOOKUP(A259,JanApport,MATCH($E$3,'Jan 2022 Apport'!$3:$3,0),FALSE)+VLOOKUP(A259,JanApport,MATCH($E$4,'Jan 2022 Apport'!$3:$3,0),FALSE)</f>
        <v>18004083.52</v>
      </c>
      <c r="F259" s="118">
        <f t="shared" si="35"/>
        <v>238197954.32999998</v>
      </c>
      <c r="G259" s="117">
        <f>VLOOKUP(A259,JanApport,MATCH($G$4,'Jan 2022 Apport'!$3:$3,0),FALSE)</f>
        <v>2623001.16</v>
      </c>
      <c r="H259" s="117">
        <f>VLOOKUP(A259,JanApport,MATCH($H$3,'Jan 2022 Apport'!$3:$3,0),FALSE)+VLOOKUP(A259,JanApport,MATCH($H$2,'Jan 2022 Apport'!$3:$3,0),FALSE)+VLOOKUP(A259,JanApport,MATCH($H$4,'Jan 2022 Apport'!$3:$3,0),FALSE)</f>
        <v>33927078.039999999</v>
      </c>
      <c r="I259" s="117">
        <f t="shared" si="36"/>
        <v>36550079.200000003</v>
      </c>
      <c r="J259" s="117">
        <f>VLOOKUP(A259,JanApport,MATCH($J$4,'Jan 2022 Apport'!$3:$3,0),FALSE)</f>
        <v>13752409.789999999</v>
      </c>
      <c r="K259" s="117">
        <f>VLOOKUP(A259,JanApport,MATCH($K$4,'Jan 2022 Apport'!$3:$3,0),FALSE)</f>
        <v>0</v>
      </c>
      <c r="L259" s="117">
        <f t="shared" si="37"/>
        <v>13752409.789999999</v>
      </c>
      <c r="M259" s="117">
        <f>VLOOKUP(A259,JanApport,MATCH($M$4,'Jan 2022 Apport'!$3:$3,0),FALSE)</f>
        <v>10966785.09</v>
      </c>
      <c r="N259" s="117">
        <f>VLOOKUP(A259,JanApport,MATCH($N$4,'Jan 2022 Apport'!$3:$3,0),FALSE)</f>
        <v>2835172.41</v>
      </c>
      <c r="O259" s="117">
        <f>VLOOKUP(A259,JanApport,MATCH($O$4,'Jan 2022 Apport'!$3:$3,0),FALSE)</f>
        <v>0</v>
      </c>
      <c r="P259" s="121">
        <f>IFERROR((VLOOKUP(A259,ExcessLevy!A:G,3,FALSE)*0.28),0)+IFERROR((VLOOKUP(A259,ExcessLevy!A:G,6,FALSE)*0.72),0)</f>
        <v>8274740.7104000002</v>
      </c>
      <c r="Q259" s="121">
        <f>IFERROR((VLOOKUP(A259,ExcessLevy!A:G,4,FALSE)*0.4738),0)+IFERROR((VLOOKUP(A259,ExcessLevy!A:G,7,FALSE)*0.5262),0)</f>
        <v>52575740</v>
      </c>
      <c r="R259">
        <f>VLOOKUP(A259,JanApport,MATCH($R$4,'Jan 2022 Apport'!$3:$3,0),FALSE)</f>
        <v>388.81</v>
      </c>
      <c r="S259">
        <f>VLOOKUP(A259,JanApport,MATCH($S$4,'Jan 2022 Apport'!$3:$3,0),FALSE)</f>
        <v>264.67</v>
      </c>
      <c r="T259">
        <f>VLOOKUP(A259,JanApport,MATCH($T$4,'Jan 2022 Apport'!$3:$3,0),FALSE)</f>
        <v>1256.5999999999999</v>
      </c>
      <c r="U259" s="132">
        <f>IFERROR(VLOOKUP(A259,JanApport,MATCH($U$4,'Jan 2022 Apport'!$3:$3,0),FALSE)/R259,0)</f>
        <v>10413.148478691392</v>
      </c>
      <c r="V259" s="30">
        <f>IFERROR(((VLOOKUP(A259,JanApport,MATCH($V$4,'Jan 2022 Apport'!$3:$3,0),FALSE)+VLOOKUP(A259,JanApport,MATCH($V$3,'Jan 2022 Apport'!$3:$3,0),FALSE))/(S259+T259)),0)</f>
        <v>9173.4848251789626</v>
      </c>
      <c r="W259" s="30">
        <f t="shared" si="30"/>
        <v>2453.4118270950407</v>
      </c>
      <c r="X259">
        <f>VLOOKUP(A259,JanApport,MATCH($X$4,'Jan 2022 Apport'!$3:$3,0),FALSE)</f>
        <v>4.8578999999999997E-2</v>
      </c>
      <c r="Y259">
        <f>VLOOKUP(A259,JanApport,MATCH($Y$4,'Jan 2022 Apport'!$3:$3,0),FALSE)</f>
        <v>4.0270000000000002E-3</v>
      </c>
      <c r="Z259">
        <f>VLOOKUP(A259,JanApport,MATCH($Z$4,'Jan 2022 Apport'!$3:$3,0),FALSE)</f>
        <v>1.7100000000000001E-2</v>
      </c>
      <c r="AA259" s="77">
        <f>VLOOKUP(A259,JanApport,MATCH($AA$4,'Jan 2022 Apport'!$3:$3,0),FALSE)*VLOOKUP(A259,JanApport,MATCH($AA$3,'Jan 2022 Apport'!$3:$3,0),FALSE)</f>
        <v>70288.400000000009</v>
      </c>
      <c r="AB259" s="77">
        <f>VLOOKUP(A259,JanApport,MATCH($AB$4,'Jan 2022 Apport'!$3:$3,0),FALSE)*VLOOKUP(A259,JanApport,MATCH($AB$3,'Jan 2022 Apport'!$3:$3,0),FALSE)</f>
        <v>0</v>
      </c>
      <c r="AC259" s="77">
        <f>VLOOKUP(A259,JanApport,MATCH($AC$4,'Jan 2022 Apport'!$3:$3,0),FALSE)</f>
        <v>0</v>
      </c>
      <c r="AD259" s="77">
        <f>VLOOKUP(A259,JanApport,MATCH($AD$4,'Jan 2022 Apport'!$3:$3,0),FALSE)*VLOOKUP(A259,JanApport,MATCH($AD$3,'Jan 2022 Apport'!$3:$3,0),FALSE)</f>
        <v>0</v>
      </c>
      <c r="AE259" s="77">
        <f>VLOOKUP(A259,JanApport,MATCH($AE$4,'Jan 2022 Apport'!$3:$3,0),FALSE)</f>
        <v>0</v>
      </c>
      <c r="AF259" s="77">
        <f>VLOOKUP(A259,JanApport,MATCH($AF$4,'Jan 2022 Apport'!$3:$3,0),FALSE)*VLOOKUP(A259,JanApport,MATCH($AF$3,'Jan 2022 Apport'!$3:$3,0),FALSE)</f>
        <v>0</v>
      </c>
      <c r="AG259" s="77">
        <f t="shared" si="31"/>
        <v>12298.165760000011</v>
      </c>
      <c r="AH259" s="77">
        <f t="shared" si="32"/>
        <v>11848.32</v>
      </c>
      <c r="AI259" s="77">
        <f t="shared" si="33"/>
        <v>16610.88</v>
      </c>
      <c r="AJ259" s="3">
        <f>VLOOKUP(A259,JanApport,MATCH($AJ$4,'Jan 2022 Apport'!$3:$3,0),FALSE)</f>
        <v>34457276.020000003</v>
      </c>
      <c r="AK259" s="3">
        <f>VLOOKUP(A259,JanApport,MATCH($AK$4,'Jan 2022 Apport'!$3:$3,0),FALSE)</f>
        <v>574.42899999999997</v>
      </c>
      <c r="AL259" s="117">
        <f t="shared" si="34"/>
        <v>325521196.31999999</v>
      </c>
      <c r="AM259" s="117">
        <f>VLOOKUP(A259,JanApport,MATCH($AM$4,'Jan 2022 Apport'!$3:$3,0),FALSE)</f>
        <v>5214711.9800000004</v>
      </c>
      <c r="AN259" s="117">
        <f>VLOOKUP(A259,JanApport,MATCH($AN$4,'Jan 2022 Apport'!$3:$3,0),FALSE)</f>
        <v>1992524.42</v>
      </c>
    </row>
    <row r="260" spans="1:40">
      <c r="A260" s="2" t="s">
        <v>297</v>
      </c>
      <c r="B260" s="2" t="s">
        <v>298</v>
      </c>
      <c r="C260" s="2" t="s">
        <v>1267</v>
      </c>
      <c r="D260" s="118">
        <f>VLOOKUP(A260,JanApport,MATCH($D$4,'Jan 2022 Apport'!$3:$3,FALSE),FALSE)</f>
        <v>1782176.9</v>
      </c>
      <c r="E260" s="30">
        <f>VLOOKUP(A260,JanApport,MATCH($E$2,'Jan 2022 Apport'!$3:$3,0),FALSE)+VLOOKUP(A260,JanApport,MATCH($E$3,'Jan 2022 Apport'!$3:$3,0),FALSE)+VLOOKUP(A260,JanApport,MATCH($E$4,'Jan 2022 Apport'!$3:$3,0),FALSE)</f>
        <v>75897.2</v>
      </c>
      <c r="F260" s="118">
        <f t="shared" si="35"/>
        <v>1706279.7</v>
      </c>
      <c r="G260" s="117">
        <f>VLOOKUP(A260,JanApport,MATCH($G$4,'Jan 2022 Apport'!$3:$3,0),FALSE)</f>
        <v>0</v>
      </c>
      <c r="H260" s="117">
        <f>VLOOKUP(A260,JanApport,MATCH($H$3,'Jan 2022 Apport'!$3:$3,0),FALSE)+VLOOKUP(A260,JanApport,MATCH($H$2,'Jan 2022 Apport'!$3:$3,0),FALSE)+VLOOKUP(A260,JanApport,MATCH($H$4,'Jan 2022 Apport'!$3:$3,0),FALSE)</f>
        <v>86880.099999999977</v>
      </c>
      <c r="I260" s="117">
        <f t="shared" si="36"/>
        <v>86880.099999999977</v>
      </c>
      <c r="J260" s="117">
        <f>VLOOKUP(A260,JanApport,MATCH($J$4,'Jan 2022 Apport'!$3:$3,0),FALSE)</f>
        <v>121066.92</v>
      </c>
      <c r="K260" s="117">
        <f>VLOOKUP(A260,JanApport,MATCH($K$4,'Jan 2022 Apport'!$3:$3,0),FALSE)</f>
        <v>41387.42</v>
      </c>
      <c r="L260" s="117">
        <f t="shared" si="37"/>
        <v>162454.34</v>
      </c>
      <c r="M260" s="117">
        <f>VLOOKUP(A260,JanApport,MATCH($M$4,'Jan 2022 Apport'!$3:$3,0),FALSE)</f>
        <v>23382.51</v>
      </c>
      <c r="N260" s="117">
        <f>VLOOKUP(A260,JanApport,MATCH($N$4,'Jan 2022 Apport'!$3:$3,0),FALSE)</f>
        <v>0</v>
      </c>
      <c r="O260" s="117">
        <f>VLOOKUP(A260,JanApport,MATCH($O$4,'Jan 2022 Apport'!$3:$3,0),FALSE)</f>
        <v>2054.54</v>
      </c>
      <c r="P260" s="121">
        <f>IFERROR((VLOOKUP(A260,ExcessLevy!A:G,3,FALSE)*0.28),0)+IFERROR((VLOOKUP(A260,ExcessLevy!A:G,6,FALSE)*0.72),0)</f>
        <v>0</v>
      </c>
      <c r="Q260" s="121">
        <f>IFERROR((VLOOKUP(A260,ExcessLevy!A:G,4,FALSE)*0.4738),0)+IFERROR((VLOOKUP(A260,ExcessLevy!A:G,7,FALSE)*0.5262),0)</f>
        <v>172551.00320000001</v>
      </c>
      <c r="R260">
        <f>VLOOKUP(A260,JanApport,MATCH($R$4,'Jan 2022 Apport'!$3:$3,0),FALSE)</f>
        <v>0</v>
      </c>
      <c r="S260">
        <f>VLOOKUP(A260,JanApport,MATCH($S$4,'Jan 2022 Apport'!$3:$3,0),FALSE)</f>
        <v>0</v>
      </c>
      <c r="T260">
        <f>VLOOKUP(A260,JanApport,MATCH($T$4,'Jan 2022 Apport'!$3:$3,0),FALSE)</f>
        <v>8.51</v>
      </c>
      <c r="U260" s="132">
        <f>IFERROR(VLOOKUP(A260,JanApport,MATCH($U$4,'Jan 2022 Apport'!$3:$3,0),FALSE)/R260,0)</f>
        <v>0</v>
      </c>
      <c r="V260" s="30">
        <f>IFERROR(((VLOOKUP(A260,JanApport,MATCH($V$4,'Jan 2022 Apport'!$3:$3,0),FALSE)+VLOOKUP(A260,JanApport,MATCH($V$3,'Jan 2022 Apport'!$3:$3,0),FALSE))/(S260+T260)),0)</f>
        <v>8918.5898942420681</v>
      </c>
      <c r="W260" s="30">
        <f t="shared" si="30"/>
        <v>8083.6246967786601</v>
      </c>
      <c r="X260">
        <f>VLOOKUP(A260,JanApport,MATCH($X$4,'Jan 2022 Apport'!$3:$3,0),FALSE)</f>
        <v>4.8578999999999997E-2</v>
      </c>
      <c r="Y260">
        <f>VLOOKUP(A260,JanApport,MATCH($Y$4,'Jan 2022 Apport'!$3:$3,0),FALSE)</f>
        <v>4.0270000000000002E-3</v>
      </c>
      <c r="Z260">
        <f>VLOOKUP(A260,JanApport,MATCH($Z$4,'Jan 2022 Apport'!$3:$3,0),FALSE)</f>
        <v>1.7100000000000001E-2</v>
      </c>
      <c r="AA260" s="77">
        <f>VLOOKUP(A260,JanApport,MATCH($AA$4,'Jan 2022 Apport'!$3:$3,0),FALSE)*VLOOKUP(A260,JanApport,MATCH($AA$3,'Jan 2022 Apport'!$3:$3,0),FALSE)</f>
        <v>67585</v>
      </c>
      <c r="AB260" s="77">
        <f>VLOOKUP(A260,JanApport,MATCH($AB$4,'Jan 2022 Apport'!$3:$3,0),FALSE)*VLOOKUP(A260,JanApport,MATCH($AB$3,'Jan 2022 Apport'!$3:$3,0),FALSE)</f>
        <v>68937</v>
      </c>
      <c r="AC260" s="77">
        <f>VLOOKUP(A260,JanApport,MATCH($AC$4,'Jan 2022 Apport'!$3:$3,0),FALSE)</f>
        <v>100321</v>
      </c>
      <c r="AD260" s="77">
        <f>VLOOKUP(A260,JanApport,MATCH($AD$4,'Jan 2022 Apport'!$3:$3,0),FALSE)*VLOOKUP(A260,JanApport,MATCH($AD$3,'Jan 2022 Apport'!$3:$3,0),FALSE)</f>
        <v>102327</v>
      </c>
      <c r="AE260" s="77">
        <f>VLOOKUP(A260,JanApport,MATCH($AE$4,'Jan 2022 Apport'!$3:$3,0),FALSE)</f>
        <v>48483</v>
      </c>
      <c r="AF260" s="77">
        <f>VLOOKUP(A260,JanApport,MATCH($AF$4,'Jan 2022 Apport'!$3:$3,0),FALSE)*VLOOKUP(A260,JanApport,MATCH($AF$3,'Jan 2022 Apport'!$3:$3,0),FALSE)</f>
        <v>49453</v>
      </c>
      <c r="AG260" s="77">
        <f t="shared" si="31"/>
        <v>96432.259900000005</v>
      </c>
      <c r="AH260" s="77">
        <f t="shared" si="32"/>
        <v>137400.94330000001</v>
      </c>
      <c r="AI260" s="77">
        <f t="shared" si="33"/>
        <v>77281.189732599989</v>
      </c>
      <c r="AJ260" s="3">
        <f>VLOOKUP(A260,JanApport,MATCH($AJ$4,'Jan 2022 Apport'!$3:$3,0),FALSE)</f>
        <v>191917.89</v>
      </c>
      <c r="AK260" s="3">
        <f>VLOOKUP(A260,JanApport,MATCH($AK$4,'Jan 2022 Apport'!$3:$3,0),FALSE)</f>
        <v>1.8480000000000001</v>
      </c>
      <c r="AL260" s="117">
        <f t="shared" si="34"/>
        <v>2027692.48</v>
      </c>
      <c r="AM260" s="117">
        <f>VLOOKUP(A260,JanApport,MATCH($AM$4,'Jan 2022 Apport'!$3:$3,0),FALSE)</f>
        <v>12131.51</v>
      </c>
      <c r="AN260" s="117">
        <f>VLOOKUP(A260,JanApport,MATCH($AN$4,'Jan 2022 Apport'!$3:$3,0),FALSE)</f>
        <v>15932.66</v>
      </c>
    </row>
    <row r="261" spans="1:40">
      <c r="A261" s="2" t="s">
        <v>577</v>
      </c>
      <c r="B261" s="2" t="s">
        <v>578</v>
      </c>
      <c r="C261" s="2" t="s">
        <v>1267</v>
      </c>
      <c r="D261" s="118">
        <f>VLOOKUP(A261,JanApport,MATCH($D$4,'Jan 2022 Apport'!$3:$3,FALSE),FALSE)</f>
        <v>2124943.54</v>
      </c>
      <c r="E261" s="30">
        <f>VLOOKUP(A261,JanApport,MATCH($E$2,'Jan 2022 Apport'!$3:$3,0),FALSE)+VLOOKUP(A261,JanApport,MATCH($E$3,'Jan 2022 Apport'!$3:$3,0),FALSE)+VLOOKUP(A261,JanApport,MATCH($E$4,'Jan 2022 Apport'!$3:$3,0),FALSE)</f>
        <v>49458.92</v>
      </c>
      <c r="F261" s="118">
        <f t="shared" si="35"/>
        <v>2075484.62</v>
      </c>
      <c r="G261" s="117">
        <f>VLOOKUP(A261,JanApport,MATCH($G$4,'Jan 2022 Apport'!$3:$3,0),FALSE)</f>
        <v>0</v>
      </c>
      <c r="H261" s="117">
        <f>VLOOKUP(A261,JanApport,MATCH($H$3,'Jan 2022 Apport'!$3:$3,0),FALSE)+VLOOKUP(A261,JanApport,MATCH($H$2,'Jan 2022 Apport'!$3:$3,0),FALSE)+VLOOKUP(A261,JanApport,MATCH($H$4,'Jan 2022 Apport'!$3:$3,0),FALSE)</f>
        <v>144909.78</v>
      </c>
      <c r="I261" s="117">
        <f t="shared" si="36"/>
        <v>144909.78</v>
      </c>
      <c r="J261" s="117">
        <f>VLOOKUP(A261,JanApport,MATCH($J$4,'Jan 2022 Apport'!$3:$3,0),FALSE)</f>
        <v>362113</v>
      </c>
      <c r="K261" s="117">
        <f>VLOOKUP(A261,JanApport,MATCH($K$4,'Jan 2022 Apport'!$3:$3,0),FALSE)</f>
        <v>112722.63</v>
      </c>
      <c r="L261" s="117">
        <f t="shared" si="37"/>
        <v>474835.63</v>
      </c>
      <c r="M261" s="117">
        <f>VLOOKUP(A261,JanApport,MATCH($M$4,'Jan 2022 Apport'!$3:$3,0),FALSE)</f>
        <v>36883.72</v>
      </c>
      <c r="N261" s="117">
        <f>VLOOKUP(A261,JanApport,MATCH($N$4,'Jan 2022 Apport'!$3:$3,0),FALSE)</f>
        <v>0</v>
      </c>
      <c r="O261" s="117">
        <f>VLOOKUP(A261,JanApport,MATCH($O$4,'Jan 2022 Apport'!$3:$3,0),FALSE)</f>
        <v>3522.05</v>
      </c>
      <c r="P261" s="121">
        <f>IFERROR((VLOOKUP(A261,ExcessLevy!A:G,3,FALSE)*0.28),0)+IFERROR((VLOOKUP(A261,ExcessLevy!A:G,6,FALSE)*0.72),0)</f>
        <v>0</v>
      </c>
      <c r="Q261" s="121">
        <f>IFERROR((VLOOKUP(A261,ExcessLevy!A:G,4,FALSE)*0.4738),0)+IFERROR((VLOOKUP(A261,ExcessLevy!A:G,7,FALSE)*0.5262),0)</f>
        <v>367585.97759999998</v>
      </c>
      <c r="R261">
        <f>VLOOKUP(A261,JanApport,MATCH($R$4,'Jan 2022 Apport'!$3:$3,0),FALSE)</f>
        <v>0</v>
      </c>
      <c r="S261">
        <f>VLOOKUP(A261,JanApport,MATCH($S$4,'Jan 2022 Apport'!$3:$3,0),FALSE)</f>
        <v>0</v>
      </c>
      <c r="T261">
        <f>VLOOKUP(A261,JanApport,MATCH($T$4,'Jan 2022 Apport'!$3:$3,0),FALSE)</f>
        <v>5.54</v>
      </c>
      <c r="U261" s="132">
        <f>IFERROR(VLOOKUP(A261,JanApport,MATCH($U$4,'Jan 2022 Apport'!$3:$3,0),FALSE)/R261,0)</f>
        <v>0</v>
      </c>
      <c r="V261" s="30">
        <f>IFERROR(((VLOOKUP(A261,JanApport,MATCH($V$4,'Jan 2022 Apport'!$3:$3,0),FALSE)+VLOOKUP(A261,JanApport,MATCH($V$3,'Jan 2022 Apport'!$3:$3,0),FALSE))/(S261+T261)),0)</f>
        <v>8927.6028880866415</v>
      </c>
      <c r="W261" s="30">
        <f t="shared" si="30"/>
        <v>8083.6246967786601</v>
      </c>
      <c r="X261">
        <f>VLOOKUP(A261,JanApport,MATCH($X$4,'Jan 2022 Apport'!$3:$3,0),FALSE)</f>
        <v>4.8578999999999997E-2</v>
      </c>
      <c r="Y261">
        <f>VLOOKUP(A261,JanApport,MATCH($Y$4,'Jan 2022 Apport'!$3:$3,0),FALSE)</f>
        <v>4.0270000000000002E-3</v>
      </c>
      <c r="Z261">
        <f>VLOOKUP(A261,JanApport,MATCH($Z$4,'Jan 2022 Apport'!$3:$3,0),FALSE)</f>
        <v>1.7100000000000001E-2</v>
      </c>
      <c r="AA261" s="77">
        <f>VLOOKUP(A261,JanApport,MATCH($AA$4,'Jan 2022 Apport'!$3:$3,0),FALSE)*VLOOKUP(A261,JanApport,MATCH($AA$3,'Jan 2022 Apport'!$3:$3,0),FALSE)</f>
        <v>67585</v>
      </c>
      <c r="AB261" s="77">
        <f>VLOOKUP(A261,JanApport,MATCH($AB$4,'Jan 2022 Apport'!$3:$3,0),FALSE)*VLOOKUP(A261,JanApport,MATCH($AB$3,'Jan 2022 Apport'!$3:$3,0),FALSE)</f>
        <v>68937</v>
      </c>
      <c r="AC261" s="77">
        <f>VLOOKUP(A261,JanApport,MATCH($AC$4,'Jan 2022 Apport'!$3:$3,0),FALSE)</f>
        <v>100321</v>
      </c>
      <c r="AD261" s="77">
        <f>VLOOKUP(A261,JanApport,MATCH($AD$4,'Jan 2022 Apport'!$3:$3,0),FALSE)*VLOOKUP(A261,JanApport,MATCH($AD$3,'Jan 2022 Apport'!$3:$3,0),FALSE)</f>
        <v>102327</v>
      </c>
      <c r="AE261" s="77">
        <f>VLOOKUP(A261,JanApport,MATCH($AE$4,'Jan 2022 Apport'!$3:$3,0),FALSE)</f>
        <v>48483</v>
      </c>
      <c r="AF261" s="77">
        <f>VLOOKUP(A261,JanApport,MATCH($AF$4,'Jan 2022 Apport'!$3:$3,0),FALSE)*VLOOKUP(A261,JanApport,MATCH($AF$3,'Jan 2022 Apport'!$3:$3,0),FALSE)</f>
        <v>49453</v>
      </c>
      <c r="AG261" s="77">
        <f t="shared" si="31"/>
        <v>96432.259900000005</v>
      </c>
      <c r="AH261" s="77">
        <f t="shared" si="32"/>
        <v>137400.94330000001</v>
      </c>
      <c r="AI261" s="77">
        <f t="shared" si="33"/>
        <v>77281.189732599989</v>
      </c>
      <c r="AJ261" s="3">
        <f>VLOOKUP(A261,JanApport,MATCH($AJ$4,'Jan 2022 Apport'!$3:$3,0),FALSE)</f>
        <v>255477.94</v>
      </c>
      <c r="AK261" s="3">
        <f>VLOOKUP(A261,JanApport,MATCH($AK$4,'Jan 2022 Apport'!$3:$3,0),FALSE)</f>
        <v>2.351</v>
      </c>
      <c r="AL261" s="117">
        <f t="shared" si="34"/>
        <v>2672372.09</v>
      </c>
      <c r="AM261" s="117">
        <f>VLOOKUP(A261,JanApport,MATCH($AM$4,'Jan 2022 Apport'!$3:$3,0),FALSE)</f>
        <v>0</v>
      </c>
      <c r="AN261" s="117">
        <f>VLOOKUP(A261,JanApport,MATCH($AN$4,'Jan 2022 Apport'!$3:$3,0),FALSE)</f>
        <v>18873.759999999998</v>
      </c>
    </row>
    <row r="262" spans="1:40">
      <c r="A262" s="2" t="s">
        <v>449</v>
      </c>
      <c r="B262" s="2" t="s">
        <v>450</v>
      </c>
      <c r="C262" s="2" t="s">
        <v>1267</v>
      </c>
      <c r="D262" s="118">
        <f>VLOOKUP(A262,JanApport,MATCH($D$4,'Jan 2022 Apport'!$3:$3,FALSE),FALSE)</f>
        <v>45229568.159999996</v>
      </c>
      <c r="E262" s="30">
        <f>VLOOKUP(A262,JanApport,MATCH($E$2,'Jan 2022 Apport'!$3:$3,0),FALSE)+VLOOKUP(A262,JanApport,MATCH($E$3,'Jan 2022 Apport'!$3:$3,0),FALSE)+VLOOKUP(A262,JanApport,MATCH($E$4,'Jan 2022 Apport'!$3:$3,0),FALSE)</f>
        <v>4213763.1500000004</v>
      </c>
      <c r="F262" s="118">
        <f t="shared" si="35"/>
        <v>41015805.009999998</v>
      </c>
      <c r="G262" s="117">
        <f>VLOOKUP(A262,JanApport,MATCH($G$4,'Jan 2022 Apport'!$3:$3,0),FALSE)</f>
        <v>667823.80000000005</v>
      </c>
      <c r="H262" s="117">
        <f>VLOOKUP(A262,JanApport,MATCH($H$3,'Jan 2022 Apport'!$3:$3,0),FALSE)+VLOOKUP(A262,JanApport,MATCH($H$2,'Jan 2022 Apport'!$3:$3,0),FALSE)+VLOOKUP(A262,JanApport,MATCH($H$4,'Jan 2022 Apport'!$3:$3,0),FALSE)</f>
        <v>6061951.9199999999</v>
      </c>
      <c r="I262" s="117">
        <f t="shared" si="36"/>
        <v>6729775.7199999997</v>
      </c>
      <c r="J262" s="117">
        <f>VLOOKUP(A262,JanApport,MATCH($J$4,'Jan 2022 Apport'!$3:$3,0),FALSE)</f>
        <v>2879257.14</v>
      </c>
      <c r="K262" s="117">
        <f>VLOOKUP(A262,JanApport,MATCH($K$4,'Jan 2022 Apport'!$3:$3,0),FALSE)</f>
        <v>486652.61</v>
      </c>
      <c r="L262" s="117">
        <f t="shared" si="37"/>
        <v>3365909.75</v>
      </c>
      <c r="M262" s="117">
        <f>VLOOKUP(A262,JanApport,MATCH($M$4,'Jan 2022 Apport'!$3:$3,0),FALSE)</f>
        <v>944156.29</v>
      </c>
      <c r="N262" s="117">
        <f>VLOOKUP(A262,JanApport,MATCH($N$4,'Jan 2022 Apport'!$3:$3,0),FALSE)</f>
        <v>227039.16</v>
      </c>
      <c r="O262" s="117">
        <f>VLOOKUP(A262,JanApport,MATCH($O$4,'Jan 2022 Apport'!$3:$3,0),FALSE)</f>
        <v>151014.39999999999</v>
      </c>
      <c r="P262" s="121">
        <f>IFERROR((VLOOKUP(A262,ExcessLevy!A:G,3,FALSE)*0.28),0)+IFERROR((VLOOKUP(A262,ExcessLevy!A:G,6,FALSE)*0.72),0)</f>
        <v>0</v>
      </c>
      <c r="Q262" s="121">
        <f>IFERROR((VLOOKUP(A262,ExcessLevy!A:G,4,FALSE)*0.4738),0)+IFERROR((VLOOKUP(A262,ExcessLevy!A:G,7,FALSE)*0.5262),0)</f>
        <v>12658038.4296</v>
      </c>
      <c r="R262">
        <f>VLOOKUP(A262,JanApport,MATCH($R$4,'Jan 2022 Apport'!$3:$3,0),FALSE)</f>
        <v>0</v>
      </c>
      <c r="S262">
        <f>VLOOKUP(A262,JanApport,MATCH($S$4,'Jan 2022 Apport'!$3:$3,0),FALSE)</f>
        <v>79.180000000000007</v>
      </c>
      <c r="T262">
        <f>VLOOKUP(A262,JanApport,MATCH($T$4,'Jan 2022 Apport'!$3:$3,0),FALSE)</f>
        <v>337.19</v>
      </c>
      <c r="U262" s="132">
        <f>IFERROR(VLOOKUP(A262,JanApport,MATCH($U$4,'Jan 2022 Apport'!$3:$3,0),FALSE)/R262,0)</f>
        <v>0</v>
      </c>
      <c r="V262" s="30">
        <f>IFERROR(((VLOOKUP(A262,JanApport,MATCH($V$4,'Jan 2022 Apport'!$3:$3,0),FALSE)+VLOOKUP(A262,JanApport,MATCH($V$3,'Jan 2022 Apport'!$3:$3,0),FALSE))/(S262+T262)),0)</f>
        <v>10120.237168864232</v>
      </c>
      <c r="W262" s="30">
        <f t="shared" si="30"/>
        <v>8758.9207947724826</v>
      </c>
      <c r="X262">
        <f>VLOOKUP(A262,JanApport,MATCH($X$4,'Jan 2022 Apport'!$3:$3,0),FALSE)</f>
        <v>4.8578999999999997E-2</v>
      </c>
      <c r="Y262">
        <f>VLOOKUP(A262,JanApport,MATCH($Y$4,'Jan 2022 Apport'!$3:$3,0),FALSE)</f>
        <v>4.0270000000000002E-3</v>
      </c>
      <c r="Z262">
        <f>VLOOKUP(A262,JanApport,MATCH($Z$4,'Jan 2022 Apport'!$3:$3,0),FALSE)</f>
        <v>1.7100000000000001E-2</v>
      </c>
      <c r="AA262" s="77">
        <f>VLOOKUP(A262,JanApport,MATCH($AA$4,'Jan 2022 Apport'!$3:$3,0),FALSE)*VLOOKUP(A262,JanApport,MATCH($AA$3,'Jan 2022 Apport'!$3:$3,0),FALSE)</f>
        <v>78398.599999999991</v>
      </c>
      <c r="AB262" s="77">
        <f>VLOOKUP(A262,JanApport,MATCH($AB$4,'Jan 2022 Apport'!$3:$3,0),FALSE)*VLOOKUP(A262,JanApport,MATCH($AB$3,'Jan 2022 Apport'!$3:$3,0),FALSE)</f>
        <v>77209.440000000002</v>
      </c>
      <c r="AC262" s="77">
        <f>VLOOKUP(A262,JanApport,MATCH($AC$4,'Jan 2022 Apport'!$3:$3,0),FALSE)</f>
        <v>100321</v>
      </c>
      <c r="AD262" s="77">
        <f>VLOOKUP(A262,JanApport,MATCH($AD$4,'Jan 2022 Apport'!$3:$3,0),FALSE)*VLOOKUP(A262,JanApport,MATCH($AD$3,'Jan 2022 Apport'!$3:$3,0),FALSE)</f>
        <v>114606.24</v>
      </c>
      <c r="AE262" s="77">
        <f>VLOOKUP(A262,JanApport,MATCH($AE$4,'Jan 2022 Apport'!$3:$3,0),FALSE)</f>
        <v>48483</v>
      </c>
      <c r="AF262" s="77">
        <f>VLOOKUP(A262,JanApport,MATCH($AF$4,'Jan 2022 Apport'!$3:$3,0),FALSE)*VLOOKUP(A262,JanApport,MATCH($AF$3,'Jan 2022 Apport'!$3:$3,0),FALSE)</f>
        <v>55387.360000000008</v>
      </c>
      <c r="AG262" s="77">
        <f t="shared" si="31"/>
        <v>106599.634448</v>
      </c>
      <c r="AH262" s="77">
        <f t="shared" si="32"/>
        <v>152390.21156800003</v>
      </c>
      <c r="AI262" s="77">
        <f t="shared" si="33"/>
        <v>84357.998300512001</v>
      </c>
      <c r="AJ262" s="3">
        <f>VLOOKUP(A262,JanApport,MATCH($AJ$4,'Jan 2022 Apport'!$3:$3,0),FALSE)</f>
        <v>5331443.05</v>
      </c>
      <c r="AK262" s="3">
        <f>VLOOKUP(A262,JanApport,MATCH($AK$4,'Jan 2022 Apport'!$3:$3,0),FALSE)</f>
        <v>90.173000000000002</v>
      </c>
      <c r="AL262" s="117">
        <f t="shared" si="34"/>
        <v>56160810.86999999</v>
      </c>
      <c r="AM262" s="117">
        <f>VLOOKUP(A262,JanApport,MATCH($AM$4,'Jan 2022 Apport'!$3:$3,0),FALSE)</f>
        <v>0</v>
      </c>
      <c r="AN262" s="117">
        <f>VLOOKUP(A262,JanApport,MATCH($AN$4,'Jan 2022 Apport'!$3:$3,0),FALSE)</f>
        <v>355756.76</v>
      </c>
    </row>
    <row r="263" spans="1:40">
      <c r="A263" s="2" t="s">
        <v>115</v>
      </c>
      <c r="B263" s="2" t="s">
        <v>116</v>
      </c>
      <c r="C263" s="2" t="s">
        <v>1267</v>
      </c>
      <c r="D263" s="118">
        <f>VLOOKUP(A263,JanApport,MATCH($D$4,'Jan 2022 Apport'!$3:$3,FALSE),FALSE)</f>
        <v>346947.13</v>
      </c>
      <c r="E263" s="30">
        <f>VLOOKUP(A263,JanApport,MATCH($E$2,'Jan 2022 Apport'!$3:$3,0),FALSE)+VLOOKUP(A263,JanApport,MATCH($E$3,'Jan 2022 Apport'!$3:$3,0),FALSE)+VLOOKUP(A263,JanApport,MATCH($E$4,'Jan 2022 Apport'!$3:$3,0),FALSE)</f>
        <v>0</v>
      </c>
      <c r="F263" s="118">
        <f t="shared" si="35"/>
        <v>346947.13</v>
      </c>
      <c r="G263" s="117">
        <f>VLOOKUP(A263,JanApport,MATCH($G$4,'Jan 2022 Apport'!$3:$3,0),FALSE)</f>
        <v>0</v>
      </c>
      <c r="H263" s="117">
        <f>VLOOKUP(A263,JanApport,MATCH($H$3,'Jan 2022 Apport'!$3:$3,0),FALSE)+VLOOKUP(A263,JanApport,MATCH($H$2,'Jan 2022 Apport'!$3:$3,0),FALSE)+VLOOKUP(A263,JanApport,MATCH($H$4,'Jan 2022 Apport'!$3:$3,0),FALSE)</f>
        <v>0</v>
      </c>
      <c r="I263" s="117">
        <f t="shared" si="36"/>
        <v>0</v>
      </c>
      <c r="J263" s="117">
        <f>VLOOKUP(A263,JanApport,MATCH($J$4,'Jan 2022 Apport'!$3:$3,0),FALSE)</f>
        <v>105862.21</v>
      </c>
      <c r="K263" s="117">
        <f>VLOOKUP(A263,JanApport,MATCH($K$4,'Jan 2022 Apport'!$3:$3,0),FALSE)</f>
        <v>24116.7</v>
      </c>
      <c r="L263" s="117">
        <f t="shared" si="37"/>
        <v>129978.91</v>
      </c>
      <c r="M263" s="117">
        <f>VLOOKUP(A263,JanApport,MATCH($M$4,'Jan 2022 Apport'!$3:$3,0),FALSE)</f>
        <v>0</v>
      </c>
      <c r="N263" s="117">
        <f>VLOOKUP(A263,JanApport,MATCH($N$4,'Jan 2022 Apport'!$3:$3,0),FALSE)</f>
        <v>0</v>
      </c>
      <c r="O263" s="117">
        <f>VLOOKUP(A263,JanApport,MATCH($O$4,'Jan 2022 Apport'!$3:$3,0),FALSE)</f>
        <v>0</v>
      </c>
      <c r="P263" s="121">
        <f>IFERROR((VLOOKUP(A263,ExcessLevy!A:G,3,FALSE)*0.28),0)+IFERROR((VLOOKUP(A263,ExcessLevy!A:G,6,FALSE)*0.72),0)</f>
        <v>0</v>
      </c>
      <c r="Q263" s="121">
        <f>IFERROR((VLOOKUP(A263,ExcessLevy!A:G,4,FALSE)*0.4738),0)+IFERROR((VLOOKUP(A263,ExcessLevy!A:G,7,FALSE)*0.5262),0)</f>
        <v>0</v>
      </c>
      <c r="R263">
        <f>VLOOKUP(A263,JanApport,MATCH($R$4,'Jan 2022 Apport'!$3:$3,0),FALSE)</f>
        <v>0</v>
      </c>
      <c r="S263">
        <f>VLOOKUP(A263,JanApport,MATCH($S$4,'Jan 2022 Apport'!$3:$3,0),FALSE)</f>
        <v>0</v>
      </c>
      <c r="T263">
        <f>VLOOKUP(A263,JanApport,MATCH($T$4,'Jan 2022 Apport'!$3:$3,0),FALSE)</f>
        <v>0</v>
      </c>
      <c r="U263" s="132">
        <f>IFERROR(VLOOKUP(A263,JanApport,MATCH($U$4,'Jan 2022 Apport'!$3:$3,0),FALSE)/R263,0)</f>
        <v>0</v>
      </c>
      <c r="V263" s="30">
        <f>IFERROR(((VLOOKUP(A263,JanApport,MATCH($V$4,'Jan 2022 Apport'!$3:$3,0),FALSE)+VLOOKUP(A263,JanApport,MATCH($V$3,'Jan 2022 Apport'!$3:$3,0),FALSE))/(S263+T263)),0)</f>
        <v>0</v>
      </c>
      <c r="W263" s="30">
        <f t="shared" ref="W263:W320" si="38">(AG263*X263)+(AH263*Y263)+(AI263*Z263)+(MSOC+MSOC912ehc)</f>
        <v>8083.6246967786601</v>
      </c>
      <c r="X263">
        <f>VLOOKUP(A263,JanApport,MATCH($X$4,'Jan 2022 Apport'!$3:$3,0),FALSE)</f>
        <v>4.8578999999999997E-2</v>
      </c>
      <c r="Y263">
        <f>VLOOKUP(A263,JanApport,MATCH($Y$4,'Jan 2022 Apport'!$3:$3,0),FALSE)</f>
        <v>4.0270000000000002E-3</v>
      </c>
      <c r="Z263">
        <f>VLOOKUP(A263,JanApport,MATCH($Z$4,'Jan 2022 Apport'!$3:$3,0),FALSE)</f>
        <v>1.7100000000000001E-2</v>
      </c>
      <c r="AA263" s="77">
        <f>VLOOKUP(A263,JanApport,MATCH($AA$4,'Jan 2022 Apport'!$3:$3,0),FALSE)*VLOOKUP(A263,JanApport,MATCH($AA$3,'Jan 2022 Apport'!$3:$3,0),FALSE)</f>
        <v>67585</v>
      </c>
      <c r="AB263" s="77">
        <f>VLOOKUP(A263,JanApport,MATCH($AB$4,'Jan 2022 Apport'!$3:$3,0),FALSE)*VLOOKUP(A263,JanApport,MATCH($AB$3,'Jan 2022 Apport'!$3:$3,0),FALSE)</f>
        <v>68937</v>
      </c>
      <c r="AC263" s="77">
        <f>VLOOKUP(A263,JanApport,MATCH($AC$4,'Jan 2022 Apport'!$3:$3,0),FALSE)</f>
        <v>100321</v>
      </c>
      <c r="AD263" s="77">
        <f>VLOOKUP(A263,JanApport,MATCH($AD$4,'Jan 2022 Apport'!$3:$3,0),FALSE)*VLOOKUP(A263,JanApport,MATCH($AD$3,'Jan 2022 Apport'!$3:$3,0),FALSE)</f>
        <v>102327</v>
      </c>
      <c r="AE263" s="77">
        <f>VLOOKUP(A263,JanApport,MATCH($AE$4,'Jan 2022 Apport'!$3:$3,0),FALSE)</f>
        <v>48483</v>
      </c>
      <c r="AF263" s="77">
        <f>VLOOKUP(A263,JanApport,MATCH($AF$4,'Jan 2022 Apport'!$3:$3,0),FALSE)*VLOOKUP(A263,JanApport,MATCH($AF$3,'Jan 2022 Apport'!$3:$3,0),FALSE)</f>
        <v>49453</v>
      </c>
      <c r="AG263" s="77">
        <f t="shared" ref="AG263:AG320" si="39">(AA263*(1+CertMaint))+((AB263-AA263)*(1+CertInc))+(Insrate*Certinsfactor*12)</f>
        <v>96432.259900000005</v>
      </c>
      <c r="AH263" s="77">
        <f t="shared" ref="AH263:AH320" si="40">(AC263*(1+CertMaint))+((AD263-AC263)*(1+CertInc))+(Insrate*Certinsfactor*12)</f>
        <v>137400.94330000001</v>
      </c>
      <c r="AI263" s="77">
        <f t="shared" ref="AI263:AI320" si="41">(AE263*(1+ClassMaint))+((AF263-AE263)*(1+ClassInc))+(Insrate*Classinsfactor*12)</f>
        <v>77281.189732599989</v>
      </c>
      <c r="AJ263" s="3">
        <f>VLOOKUP(A263,JanApport,MATCH($AJ$4,'Jan 2022 Apport'!$3:$3,0),FALSE)</f>
        <v>38764.15</v>
      </c>
      <c r="AK263" s="3">
        <f>VLOOKUP(A263,JanApport,MATCH($AK$4,'Jan 2022 Apport'!$3:$3,0),FALSE)</f>
        <v>0.41199999999999998</v>
      </c>
      <c r="AL263" s="117">
        <f t="shared" ref="AL263:AL320" si="42">SUM(F263+J263+M263+N263+O263+E263+AM263)+VLOOKUP(A263,SpEd_Apport,4,FALSE)</f>
        <v>452809.34</v>
      </c>
      <c r="AM263" s="117">
        <f>VLOOKUP(A263,JanApport,MATCH($AM$4,'Jan 2022 Apport'!$3:$3,0),FALSE)</f>
        <v>0</v>
      </c>
      <c r="AN263" s="117">
        <f>VLOOKUP(A263,JanApport,MATCH($AN$4,'Jan 2022 Apport'!$3:$3,0),FALSE)</f>
        <v>3029.45</v>
      </c>
    </row>
    <row r="264" spans="1:40">
      <c r="A264" s="2" t="s">
        <v>75</v>
      </c>
      <c r="B264" s="2" t="s">
        <v>76</v>
      </c>
      <c r="C264" s="2" t="s">
        <v>1267</v>
      </c>
      <c r="D264" s="118">
        <f>VLOOKUP(A264,JanApport,MATCH($D$4,'Jan 2022 Apport'!$3:$3,FALSE),FALSE)</f>
        <v>3396733.4</v>
      </c>
      <c r="E264" s="30">
        <f>VLOOKUP(A264,JanApport,MATCH($E$2,'Jan 2022 Apport'!$3:$3,0),FALSE)+VLOOKUP(A264,JanApport,MATCH($E$3,'Jan 2022 Apport'!$3:$3,0),FALSE)+VLOOKUP(A264,JanApport,MATCH($E$4,'Jan 2022 Apport'!$3:$3,0),FALSE)</f>
        <v>0</v>
      </c>
      <c r="F264" s="118">
        <f t="shared" si="35"/>
        <v>3396733.4</v>
      </c>
      <c r="G264" s="117">
        <f>VLOOKUP(A264,JanApport,MATCH($G$4,'Jan 2022 Apport'!$3:$3,0),FALSE)</f>
        <v>0</v>
      </c>
      <c r="H264" s="117">
        <f>VLOOKUP(A264,JanApport,MATCH($H$3,'Jan 2022 Apport'!$3:$3,0),FALSE)+VLOOKUP(A264,JanApport,MATCH($H$2,'Jan 2022 Apport'!$3:$3,0),FALSE)+VLOOKUP(A264,JanApport,MATCH($H$4,'Jan 2022 Apport'!$3:$3,0),FALSE)</f>
        <v>221140.09</v>
      </c>
      <c r="I264" s="117">
        <f t="shared" si="36"/>
        <v>221140.09</v>
      </c>
      <c r="J264" s="117">
        <f>VLOOKUP(A264,JanApport,MATCH($J$4,'Jan 2022 Apport'!$3:$3,0),FALSE)</f>
        <v>95827.07</v>
      </c>
      <c r="K264" s="117">
        <f>VLOOKUP(A264,JanApport,MATCH($K$4,'Jan 2022 Apport'!$3:$3,0),FALSE)</f>
        <v>23059</v>
      </c>
      <c r="L264" s="117">
        <f t="shared" si="37"/>
        <v>118886.07</v>
      </c>
      <c r="M264" s="117">
        <f>VLOOKUP(A264,JanApport,MATCH($M$4,'Jan 2022 Apport'!$3:$3,0),FALSE)</f>
        <v>19077.8</v>
      </c>
      <c r="N264" s="117">
        <f>VLOOKUP(A264,JanApport,MATCH($N$4,'Jan 2022 Apport'!$3:$3,0),FALSE)</f>
        <v>0</v>
      </c>
      <c r="O264" s="117">
        <f>VLOOKUP(A264,JanApport,MATCH($O$4,'Jan 2022 Apport'!$3:$3,0),FALSE)</f>
        <v>0</v>
      </c>
      <c r="P264" s="121">
        <f>IFERROR((VLOOKUP(A264,ExcessLevy!A:G,3,FALSE)*0.28),0)+IFERROR((VLOOKUP(A264,ExcessLevy!A:G,6,FALSE)*0.72),0)</f>
        <v>0</v>
      </c>
      <c r="Q264" s="121">
        <f>IFERROR((VLOOKUP(A264,ExcessLevy!A:G,4,FALSE)*0.4738),0)+IFERROR((VLOOKUP(A264,ExcessLevy!A:G,7,FALSE)*0.5262),0)</f>
        <v>0</v>
      </c>
      <c r="R264">
        <f>VLOOKUP(A264,JanApport,MATCH($R$4,'Jan 2022 Apport'!$3:$3,0),FALSE)</f>
        <v>0</v>
      </c>
      <c r="S264">
        <f>VLOOKUP(A264,JanApport,MATCH($S$4,'Jan 2022 Apport'!$3:$3,0),FALSE)</f>
        <v>0</v>
      </c>
      <c r="T264">
        <f>VLOOKUP(A264,JanApport,MATCH($T$4,'Jan 2022 Apport'!$3:$3,0),FALSE)</f>
        <v>0</v>
      </c>
      <c r="U264" s="132">
        <f>IFERROR(VLOOKUP(A264,JanApport,MATCH($U$4,'Jan 2022 Apport'!$3:$3,0),FALSE)/R264,0)</f>
        <v>0</v>
      </c>
      <c r="V264" s="30">
        <f>IFERROR(((VLOOKUP(A264,JanApport,MATCH($V$4,'Jan 2022 Apport'!$3:$3,0),FALSE)+VLOOKUP(A264,JanApport,MATCH($V$3,'Jan 2022 Apport'!$3:$3,0),FALSE))/(S264+T264)),0)</f>
        <v>0</v>
      </c>
      <c r="W264" s="30">
        <f t="shared" si="38"/>
        <v>2452.5713248960005</v>
      </c>
      <c r="X264">
        <f>VLOOKUP(A264,JanApport,MATCH($X$4,'Jan 2022 Apport'!$3:$3,0),FALSE)</f>
        <v>4.8578999999999997E-2</v>
      </c>
      <c r="Y264">
        <f>VLOOKUP(A264,JanApport,MATCH($Y$4,'Jan 2022 Apport'!$3:$3,0),FALSE)</f>
        <v>4.0270000000000002E-3</v>
      </c>
      <c r="Z264">
        <f>VLOOKUP(A264,JanApport,MATCH($Z$4,'Jan 2022 Apport'!$3:$3,0),FALSE)</f>
        <v>1.7100000000000001E-2</v>
      </c>
      <c r="AA264" s="77">
        <f>VLOOKUP(A264,JanApport,MATCH($AA$4,'Jan 2022 Apport'!$3:$3,0),FALSE)*VLOOKUP(A264,JanApport,MATCH($AA$3,'Jan 2022 Apport'!$3:$3,0),FALSE)</f>
        <v>67585</v>
      </c>
      <c r="AB264" s="77">
        <f>VLOOKUP(A264,JanApport,MATCH($AB$4,'Jan 2022 Apport'!$3:$3,0),FALSE)*VLOOKUP(A264,JanApport,MATCH($AB$3,'Jan 2022 Apport'!$3:$3,0),FALSE)</f>
        <v>0</v>
      </c>
      <c r="AC264" s="77">
        <f>VLOOKUP(A264,JanApport,MATCH($AC$4,'Jan 2022 Apport'!$3:$3,0),FALSE)</f>
        <v>0</v>
      </c>
      <c r="AD264" s="77">
        <f>VLOOKUP(A264,JanApport,MATCH($AD$4,'Jan 2022 Apport'!$3:$3,0),FALSE)*VLOOKUP(A264,JanApport,MATCH($AD$3,'Jan 2022 Apport'!$3:$3,0),FALSE)</f>
        <v>0</v>
      </c>
      <c r="AE264" s="77">
        <f>VLOOKUP(A264,JanApport,MATCH($AE$4,'Jan 2022 Apport'!$3:$3,0),FALSE)</f>
        <v>0</v>
      </c>
      <c r="AF264" s="77">
        <f>VLOOKUP(A264,JanApport,MATCH($AF$4,'Jan 2022 Apport'!$3:$3,0),FALSE)*VLOOKUP(A264,JanApport,MATCH($AF$3,'Jan 2022 Apport'!$3:$3,0),FALSE)</f>
        <v>0</v>
      </c>
      <c r="AG264" s="77">
        <f t="shared" si="39"/>
        <v>12280.864000000009</v>
      </c>
      <c r="AH264" s="77">
        <f t="shared" si="40"/>
        <v>11848.32</v>
      </c>
      <c r="AI264" s="77">
        <f t="shared" si="41"/>
        <v>16610.88</v>
      </c>
      <c r="AJ264" s="3">
        <f>VLOOKUP(A264,JanApport,MATCH($AJ$4,'Jan 2022 Apport'!$3:$3,0),FALSE)</f>
        <v>137488.54999999999</v>
      </c>
      <c r="AK264" s="3">
        <f>VLOOKUP(A264,JanApport,MATCH($AK$4,'Jan 2022 Apport'!$3:$3,0),FALSE)</f>
        <v>0.61299999999999999</v>
      </c>
      <c r="AL264" s="117">
        <f t="shared" si="42"/>
        <v>3732778.3599999994</v>
      </c>
      <c r="AM264" s="117">
        <f>VLOOKUP(A264,JanApport,MATCH($AM$4,'Jan 2022 Apport'!$3:$3,0),FALSE)</f>
        <v>0</v>
      </c>
      <c r="AN264" s="117">
        <f>VLOOKUP(A264,JanApport,MATCH($AN$4,'Jan 2022 Apport'!$3:$3,0),FALSE)</f>
        <v>12603.07</v>
      </c>
    </row>
    <row r="265" spans="1:40">
      <c r="A265" s="2" t="s">
        <v>31</v>
      </c>
      <c r="B265" s="2" t="s">
        <v>32</v>
      </c>
      <c r="C265" s="2" t="s">
        <v>1267</v>
      </c>
      <c r="D265" s="118">
        <f>VLOOKUP(A265,JanApport,MATCH($D$4,'Jan 2022 Apport'!$3:$3,FALSE),FALSE)</f>
        <v>386691.91</v>
      </c>
      <c r="E265" s="30">
        <f>VLOOKUP(A265,JanApport,MATCH($E$2,'Jan 2022 Apport'!$3:$3,0),FALSE)+VLOOKUP(A265,JanApport,MATCH($E$3,'Jan 2022 Apport'!$3:$3,0),FALSE)+VLOOKUP(A265,JanApport,MATCH($E$4,'Jan 2022 Apport'!$3:$3,0),FALSE)</f>
        <v>0</v>
      </c>
      <c r="F265" s="118">
        <f t="shared" si="35"/>
        <v>386691.91</v>
      </c>
      <c r="G265" s="117">
        <f>VLOOKUP(A265,JanApport,MATCH($G$4,'Jan 2022 Apport'!$3:$3,0),FALSE)</f>
        <v>0</v>
      </c>
      <c r="H265" s="117">
        <f>VLOOKUP(A265,JanApport,MATCH($H$3,'Jan 2022 Apport'!$3:$3,0),FALSE)+VLOOKUP(A265,JanApport,MATCH($H$2,'Jan 2022 Apport'!$3:$3,0),FALSE)+VLOOKUP(A265,JanApport,MATCH($H$4,'Jan 2022 Apport'!$3:$3,0),FALSE)</f>
        <v>0</v>
      </c>
      <c r="I265" s="117">
        <f t="shared" si="36"/>
        <v>0</v>
      </c>
      <c r="J265" s="117">
        <f>VLOOKUP(A265,JanApport,MATCH($J$4,'Jan 2022 Apport'!$3:$3,0),FALSE)</f>
        <v>0</v>
      </c>
      <c r="K265" s="117">
        <f>VLOOKUP(A265,JanApport,MATCH($K$4,'Jan 2022 Apport'!$3:$3,0),FALSE)</f>
        <v>0</v>
      </c>
      <c r="L265" s="117">
        <f t="shared" si="37"/>
        <v>0</v>
      </c>
      <c r="M265" s="117">
        <f>VLOOKUP(A265,JanApport,MATCH($M$4,'Jan 2022 Apport'!$3:$3,0),FALSE)</f>
        <v>0</v>
      </c>
      <c r="N265" s="117">
        <f>VLOOKUP(A265,JanApport,MATCH($N$4,'Jan 2022 Apport'!$3:$3,0),FALSE)</f>
        <v>0</v>
      </c>
      <c r="O265" s="117">
        <f>VLOOKUP(A265,JanApport,MATCH($O$4,'Jan 2022 Apport'!$3:$3,0),FALSE)</f>
        <v>0</v>
      </c>
      <c r="P265" s="121">
        <f>IFERROR((VLOOKUP(A265,ExcessLevy!A:G,3,FALSE)*0.28),0)+IFERROR((VLOOKUP(A265,ExcessLevy!A:G,6,FALSE)*0.72),0)</f>
        <v>0</v>
      </c>
      <c r="Q265" s="121">
        <f>IFERROR((VLOOKUP(A265,ExcessLevy!A:G,4,FALSE)*0.4738),0)+IFERROR((VLOOKUP(A265,ExcessLevy!A:G,7,FALSE)*0.5262),0)</f>
        <v>0</v>
      </c>
      <c r="R265">
        <f>VLOOKUP(A265,JanApport,MATCH($R$4,'Jan 2022 Apport'!$3:$3,0),FALSE)</f>
        <v>0</v>
      </c>
      <c r="S265">
        <f>VLOOKUP(A265,JanApport,MATCH($S$4,'Jan 2022 Apport'!$3:$3,0),FALSE)</f>
        <v>0</v>
      </c>
      <c r="T265">
        <f>VLOOKUP(A265,JanApport,MATCH($T$4,'Jan 2022 Apport'!$3:$3,0),FALSE)</f>
        <v>0</v>
      </c>
      <c r="U265" s="132">
        <f>IFERROR(VLOOKUP(A265,JanApport,MATCH($U$4,'Jan 2022 Apport'!$3:$3,0),FALSE)/R265,0)</f>
        <v>0</v>
      </c>
      <c r="V265" s="30">
        <f>IFERROR(((VLOOKUP(A265,JanApport,MATCH($V$4,'Jan 2022 Apport'!$3:$3,0),FALSE)+VLOOKUP(A265,JanApport,MATCH($V$3,'Jan 2022 Apport'!$3:$3,0),FALSE))/(S265+T265)),0)</f>
        <v>0</v>
      </c>
      <c r="W265" s="30">
        <f t="shared" si="38"/>
        <v>8308.4432287102536</v>
      </c>
      <c r="X265">
        <f>VLOOKUP(A265,JanApport,MATCH($X$4,'Jan 2022 Apport'!$3:$3,0),FALSE)</f>
        <v>4.8578999999999997E-2</v>
      </c>
      <c r="Y265">
        <f>VLOOKUP(A265,JanApport,MATCH($Y$4,'Jan 2022 Apport'!$3:$3,0),FALSE)</f>
        <v>4.0270000000000002E-3</v>
      </c>
      <c r="Z265">
        <f>VLOOKUP(A265,JanApport,MATCH($Z$4,'Jan 2022 Apport'!$3:$3,0),FALSE)</f>
        <v>1.7100000000000001E-2</v>
      </c>
      <c r="AA265" s="77">
        <f>VLOOKUP(A265,JanApport,MATCH($AA$4,'Jan 2022 Apport'!$3:$3,0),FALSE)*VLOOKUP(A265,JanApport,MATCH($AA$3,'Jan 2022 Apport'!$3:$3,0),FALSE)</f>
        <v>70288.400000000009</v>
      </c>
      <c r="AB265" s="77">
        <f>VLOOKUP(A265,JanApport,MATCH($AB$4,'Jan 2022 Apport'!$3:$3,0),FALSE)*VLOOKUP(A265,JanApport,MATCH($AB$3,'Jan 2022 Apport'!$3:$3,0),FALSE)</f>
        <v>71694.48</v>
      </c>
      <c r="AC265" s="77">
        <f>VLOOKUP(A265,JanApport,MATCH($AC$4,'Jan 2022 Apport'!$3:$3,0),FALSE)</f>
        <v>100321</v>
      </c>
      <c r="AD265" s="77">
        <f>VLOOKUP(A265,JanApport,MATCH($AD$4,'Jan 2022 Apport'!$3:$3,0),FALSE)*VLOOKUP(A265,JanApport,MATCH($AD$3,'Jan 2022 Apport'!$3:$3,0),FALSE)</f>
        <v>106420.08</v>
      </c>
      <c r="AE265" s="77">
        <f>VLOOKUP(A265,JanApport,MATCH($AE$4,'Jan 2022 Apport'!$3:$3,0),FALSE)</f>
        <v>48483</v>
      </c>
      <c r="AF265" s="77">
        <f>VLOOKUP(A265,JanApport,MATCH($AF$4,'Jan 2022 Apport'!$3:$3,0),FALSE)*VLOOKUP(A265,JanApport,MATCH($AF$3,'Jan 2022 Apport'!$3:$3,0),FALSE)</f>
        <v>51431.12</v>
      </c>
      <c r="AG265" s="77">
        <f t="shared" si="39"/>
        <v>99815.617495999992</v>
      </c>
      <c r="AH265" s="77">
        <f t="shared" si="40"/>
        <v>142397.366056</v>
      </c>
      <c r="AI265" s="77">
        <f t="shared" si="41"/>
        <v>79640.125921903993</v>
      </c>
      <c r="AJ265" s="3">
        <f>VLOOKUP(A265,JanApport,MATCH($AJ$4,'Jan 2022 Apport'!$3:$3,0),FALSE)</f>
        <v>39490.26</v>
      </c>
      <c r="AK265" s="3">
        <f>VLOOKUP(A265,JanApport,MATCH($AK$4,'Jan 2022 Apport'!$3:$3,0),FALSE)</f>
        <v>0.13600000000000001</v>
      </c>
      <c r="AL265" s="117">
        <f t="shared" si="42"/>
        <v>386691.91</v>
      </c>
      <c r="AM265" s="117">
        <f>VLOOKUP(A265,JanApport,MATCH($AM$4,'Jan 2022 Apport'!$3:$3,0),FALSE)</f>
        <v>0</v>
      </c>
      <c r="AN265" s="117">
        <f>VLOOKUP(A265,JanApport,MATCH($AN$4,'Jan 2022 Apport'!$3:$3,0),FALSE)</f>
        <v>3327.13</v>
      </c>
    </row>
    <row r="266" spans="1:40">
      <c r="A266" s="2" t="s">
        <v>361</v>
      </c>
      <c r="B266" s="2" t="s">
        <v>362</v>
      </c>
      <c r="C266" s="2" t="s">
        <v>1267</v>
      </c>
      <c r="D266" s="118">
        <f>VLOOKUP(A266,JanApport,MATCH($D$4,'Jan 2022 Apport'!$3:$3,FALSE),FALSE)</f>
        <v>28250306.140000001</v>
      </c>
      <c r="E266" s="30">
        <f>VLOOKUP(A266,JanApport,MATCH($E$2,'Jan 2022 Apport'!$3:$3,0),FALSE)+VLOOKUP(A266,JanApport,MATCH($E$3,'Jan 2022 Apport'!$3:$3,0),FALSE)+VLOOKUP(A266,JanApport,MATCH($E$4,'Jan 2022 Apport'!$3:$3,0),FALSE)</f>
        <v>2360583.4</v>
      </c>
      <c r="F266" s="118">
        <f t="shared" si="35"/>
        <v>25889722.740000002</v>
      </c>
      <c r="G266" s="117">
        <f>VLOOKUP(A266,JanApport,MATCH($G$4,'Jan 2022 Apport'!$3:$3,0),FALSE)</f>
        <v>239278.81</v>
      </c>
      <c r="H266" s="117">
        <f>VLOOKUP(A266,JanApport,MATCH($H$3,'Jan 2022 Apport'!$3:$3,0),FALSE)+VLOOKUP(A266,JanApport,MATCH($H$2,'Jan 2022 Apport'!$3:$3,0),FALSE)+VLOOKUP(A266,JanApport,MATCH($H$4,'Jan 2022 Apport'!$3:$3,0),FALSE)</f>
        <v>3521517.26</v>
      </c>
      <c r="I266" s="117">
        <f t="shared" si="36"/>
        <v>3760796.07</v>
      </c>
      <c r="J266" s="117">
        <f>VLOOKUP(A266,JanApport,MATCH($J$4,'Jan 2022 Apport'!$3:$3,0),FALSE)</f>
        <v>2180459.5699999998</v>
      </c>
      <c r="K266" s="117">
        <f>VLOOKUP(A266,JanApport,MATCH($K$4,'Jan 2022 Apport'!$3:$3,0),FALSE)</f>
        <v>8104.86</v>
      </c>
      <c r="L266" s="117">
        <f t="shared" si="37"/>
        <v>2188564.4299999997</v>
      </c>
      <c r="M266" s="117">
        <f>VLOOKUP(A266,JanApport,MATCH($M$4,'Jan 2022 Apport'!$3:$3,0),FALSE)</f>
        <v>467583.17</v>
      </c>
      <c r="N266" s="117">
        <f>VLOOKUP(A266,JanApport,MATCH($N$4,'Jan 2022 Apport'!$3:$3,0),FALSE)</f>
        <v>172368.75</v>
      </c>
      <c r="O266" s="117">
        <f>VLOOKUP(A266,JanApport,MATCH($O$4,'Jan 2022 Apport'!$3:$3,0),FALSE)</f>
        <v>91146.83</v>
      </c>
      <c r="P266" s="121">
        <f>IFERROR((VLOOKUP(A266,ExcessLevy!A:G,3,FALSE)*0.28),0)+IFERROR((VLOOKUP(A266,ExcessLevy!A:G,6,FALSE)*0.72),0)</f>
        <v>0</v>
      </c>
      <c r="Q266" s="121">
        <f>IFERROR((VLOOKUP(A266,ExcessLevy!A:G,4,FALSE)*0.4738),0)+IFERROR((VLOOKUP(A266,ExcessLevy!A:G,7,FALSE)*0.5262),0)</f>
        <v>6340720</v>
      </c>
      <c r="R266">
        <f>VLOOKUP(A266,JanApport,MATCH($R$4,'Jan 2022 Apport'!$3:$3,0),FALSE)</f>
        <v>0</v>
      </c>
      <c r="S266">
        <f>VLOOKUP(A266,JanApport,MATCH($S$4,'Jan 2022 Apport'!$3:$3,0),FALSE)</f>
        <v>22.05</v>
      </c>
      <c r="T266">
        <f>VLOOKUP(A266,JanApport,MATCH($T$4,'Jan 2022 Apport'!$3:$3,0),FALSE)</f>
        <v>235.26</v>
      </c>
      <c r="U266" s="132">
        <f>IFERROR(VLOOKUP(A266,JanApport,MATCH($U$4,'Jan 2022 Apport'!$3:$3,0),FALSE)/R266,0)</f>
        <v>0</v>
      </c>
      <c r="V266" s="30">
        <f>IFERROR(((VLOOKUP(A266,JanApport,MATCH($V$4,'Jan 2022 Apport'!$3:$3,0),FALSE)+VLOOKUP(A266,JanApport,MATCH($V$3,'Jan 2022 Apport'!$3:$3,0),FALSE))/(S266+T266)),0)</f>
        <v>9174.0834013446802</v>
      </c>
      <c r="W266" s="30">
        <f t="shared" si="38"/>
        <v>8084.4651989777003</v>
      </c>
      <c r="X266">
        <f>VLOOKUP(A266,JanApport,MATCH($X$4,'Jan 2022 Apport'!$3:$3,0),FALSE)</f>
        <v>4.8578999999999997E-2</v>
      </c>
      <c r="Y266">
        <f>VLOOKUP(A266,JanApport,MATCH($Y$4,'Jan 2022 Apport'!$3:$3,0),FALSE)</f>
        <v>4.0270000000000002E-3</v>
      </c>
      <c r="Z266">
        <f>VLOOKUP(A266,JanApport,MATCH($Z$4,'Jan 2022 Apport'!$3:$3,0),FALSE)</f>
        <v>1.7100000000000001E-2</v>
      </c>
      <c r="AA266" s="77">
        <f>VLOOKUP(A266,JanApport,MATCH($AA$4,'Jan 2022 Apport'!$3:$3,0),FALSE)*VLOOKUP(A266,JanApport,MATCH($AA$3,'Jan 2022 Apport'!$3:$3,0),FALSE)</f>
        <v>70288.400000000009</v>
      </c>
      <c r="AB266" s="77">
        <f>VLOOKUP(A266,JanApport,MATCH($AB$4,'Jan 2022 Apport'!$3:$3,0),FALSE)*VLOOKUP(A266,JanApport,MATCH($AB$3,'Jan 2022 Apport'!$3:$3,0),FALSE)</f>
        <v>68937</v>
      </c>
      <c r="AC266" s="77">
        <f>VLOOKUP(A266,JanApport,MATCH($AC$4,'Jan 2022 Apport'!$3:$3,0),FALSE)</f>
        <v>100321</v>
      </c>
      <c r="AD266" s="77">
        <f>VLOOKUP(A266,JanApport,MATCH($AD$4,'Jan 2022 Apport'!$3:$3,0),FALSE)*VLOOKUP(A266,JanApport,MATCH($AD$3,'Jan 2022 Apport'!$3:$3,0),FALSE)</f>
        <v>102327</v>
      </c>
      <c r="AE266" s="77">
        <f>VLOOKUP(A266,JanApport,MATCH($AE$4,'Jan 2022 Apport'!$3:$3,0),FALSE)</f>
        <v>48483</v>
      </c>
      <c r="AF266" s="77">
        <f>VLOOKUP(A266,JanApport,MATCH($AF$4,'Jan 2022 Apport'!$3:$3,0),FALSE)*VLOOKUP(A266,JanApport,MATCH($AF$3,'Jan 2022 Apport'!$3:$3,0),FALSE)</f>
        <v>49453</v>
      </c>
      <c r="AG266" s="77">
        <f t="shared" si="39"/>
        <v>96449.561660000007</v>
      </c>
      <c r="AH266" s="77">
        <f t="shared" si="40"/>
        <v>137400.94330000001</v>
      </c>
      <c r="AI266" s="77">
        <f t="shared" si="41"/>
        <v>77281.189732599989</v>
      </c>
      <c r="AJ266" s="3">
        <f>VLOOKUP(A266,JanApport,MATCH($AJ$4,'Jan 2022 Apport'!$3:$3,0),FALSE)</f>
        <v>3657827</v>
      </c>
      <c r="AK266" s="3">
        <f>VLOOKUP(A266,JanApport,MATCH($AK$4,'Jan 2022 Apport'!$3:$3,0),FALSE)</f>
        <v>61.548000000000002</v>
      </c>
      <c r="AL266" s="117">
        <f t="shared" si="42"/>
        <v>34927319.149999999</v>
      </c>
      <c r="AM266" s="117">
        <f>VLOOKUP(A266,JanApport,MATCH($AM$4,'Jan 2022 Apport'!$3:$3,0),FALSE)</f>
        <v>4658.62</v>
      </c>
      <c r="AN266" s="117">
        <f>VLOOKUP(A266,JanApport,MATCH($AN$4,'Jan 2022 Apport'!$3:$3,0),FALSE)</f>
        <v>211170.86</v>
      </c>
    </row>
    <row r="267" spans="1:40">
      <c r="A267" s="2" t="s">
        <v>569</v>
      </c>
      <c r="B267" s="2" t="s">
        <v>570</v>
      </c>
      <c r="C267" s="2" t="s">
        <v>1267</v>
      </c>
      <c r="D267" s="118">
        <f>VLOOKUP(A267,JanApport,MATCH($D$4,'Jan 2022 Apport'!$3:$3,FALSE),FALSE)</f>
        <v>571493.38</v>
      </c>
      <c r="E267" s="30">
        <f>VLOOKUP(A267,JanApport,MATCH($E$2,'Jan 2022 Apport'!$3:$3,0),FALSE)+VLOOKUP(A267,JanApport,MATCH($E$3,'Jan 2022 Apport'!$3:$3,0),FALSE)+VLOOKUP(A267,JanApport,MATCH($E$4,'Jan 2022 Apport'!$3:$3,0),FALSE)</f>
        <v>0</v>
      </c>
      <c r="F267" s="118">
        <f t="shared" si="35"/>
        <v>571493.38</v>
      </c>
      <c r="G267" s="117">
        <f>VLOOKUP(A267,JanApport,MATCH($G$4,'Jan 2022 Apport'!$3:$3,0),FALSE)</f>
        <v>10381.43</v>
      </c>
      <c r="H267" s="117">
        <f>VLOOKUP(A267,JanApport,MATCH($H$3,'Jan 2022 Apport'!$3:$3,0),FALSE)+VLOOKUP(A267,JanApport,MATCH($H$2,'Jan 2022 Apport'!$3:$3,0),FALSE)+VLOOKUP(A267,JanApport,MATCH($H$4,'Jan 2022 Apport'!$3:$3,0),FALSE)</f>
        <v>47252.160000000003</v>
      </c>
      <c r="I267" s="117">
        <f t="shared" si="36"/>
        <v>57633.590000000004</v>
      </c>
      <c r="J267" s="117">
        <f>VLOOKUP(A267,JanApport,MATCH($J$4,'Jan 2022 Apport'!$3:$3,0),FALSE)</f>
        <v>86848.92</v>
      </c>
      <c r="K267" s="117">
        <f>VLOOKUP(A267,JanApport,MATCH($K$4,'Jan 2022 Apport'!$3:$3,0),FALSE)</f>
        <v>15097.11</v>
      </c>
      <c r="L267" s="117">
        <f t="shared" si="37"/>
        <v>101946.03</v>
      </c>
      <c r="M267" s="117">
        <f>VLOOKUP(A267,JanApport,MATCH($M$4,'Jan 2022 Apport'!$3:$3,0),FALSE)</f>
        <v>0</v>
      </c>
      <c r="N267" s="117">
        <f>VLOOKUP(A267,JanApport,MATCH($N$4,'Jan 2022 Apport'!$3:$3,0),FALSE)</f>
        <v>0</v>
      </c>
      <c r="O267" s="117">
        <f>VLOOKUP(A267,JanApport,MATCH($O$4,'Jan 2022 Apport'!$3:$3,0),FALSE)</f>
        <v>0</v>
      </c>
      <c r="P267" s="121">
        <f>IFERROR((VLOOKUP(A267,ExcessLevy!A:G,3,FALSE)*0.28),0)+IFERROR((VLOOKUP(A267,ExcessLevy!A:G,6,FALSE)*0.72),0)</f>
        <v>16078.274799999999</v>
      </c>
      <c r="Q267" s="121">
        <f>IFERROR((VLOOKUP(A267,ExcessLevy!A:G,4,FALSE)*0.4738),0)+IFERROR((VLOOKUP(A267,ExcessLevy!A:G,7,FALSE)*0.5262),0)</f>
        <v>110000</v>
      </c>
      <c r="R267">
        <f>VLOOKUP(A267,JanApport,MATCH($R$4,'Jan 2022 Apport'!$3:$3,0),FALSE)</f>
        <v>0</v>
      </c>
      <c r="S267">
        <f>VLOOKUP(A267,JanApport,MATCH($S$4,'Jan 2022 Apport'!$3:$3,0),FALSE)</f>
        <v>0</v>
      </c>
      <c r="T267">
        <f>VLOOKUP(A267,JanApport,MATCH($T$4,'Jan 2022 Apport'!$3:$3,0),FALSE)</f>
        <v>0</v>
      </c>
      <c r="U267" s="132">
        <f>IFERROR(VLOOKUP(A267,JanApport,MATCH($U$4,'Jan 2022 Apport'!$3:$3,0),FALSE)/R267,0)</f>
        <v>0</v>
      </c>
      <c r="V267" s="30">
        <f>IFERROR(((VLOOKUP(A267,JanApport,MATCH($V$4,'Jan 2022 Apport'!$3:$3,0),FALSE)+VLOOKUP(A267,JanApport,MATCH($V$3,'Jan 2022 Apport'!$3:$3,0),FALSE))/(S267+T267)),0)</f>
        <v>0</v>
      </c>
      <c r="W267" s="30">
        <f t="shared" si="38"/>
        <v>8083.6246967786601</v>
      </c>
      <c r="X267">
        <f>VLOOKUP(A267,JanApport,MATCH($X$4,'Jan 2022 Apport'!$3:$3,0),FALSE)</f>
        <v>4.8578999999999997E-2</v>
      </c>
      <c r="Y267">
        <f>VLOOKUP(A267,JanApport,MATCH($Y$4,'Jan 2022 Apport'!$3:$3,0),FALSE)</f>
        <v>4.0270000000000002E-3</v>
      </c>
      <c r="Z267">
        <f>VLOOKUP(A267,JanApport,MATCH($Z$4,'Jan 2022 Apport'!$3:$3,0),FALSE)</f>
        <v>1.7100000000000001E-2</v>
      </c>
      <c r="AA267" s="77">
        <f>VLOOKUP(A267,JanApport,MATCH($AA$4,'Jan 2022 Apport'!$3:$3,0),FALSE)*VLOOKUP(A267,JanApport,MATCH($AA$3,'Jan 2022 Apport'!$3:$3,0),FALSE)</f>
        <v>67585</v>
      </c>
      <c r="AB267" s="77">
        <f>VLOOKUP(A267,JanApport,MATCH($AB$4,'Jan 2022 Apport'!$3:$3,0),FALSE)*VLOOKUP(A267,JanApport,MATCH($AB$3,'Jan 2022 Apport'!$3:$3,0),FALSE)</f>
        <v>68937</v>
      </c>
      <c r="AC267" s="77">
        <f>VLOOKUP(A267,JanApport,MATCH($AC$4,'Jan 2022 Apport'!$3:$3,0),FALSE)</f>
        <v>100321</v>
      </c>
      <c r="AD267" s="77">
        <f>VLOOKUP(A267,JanApport,MATCH($AD$4,'Jan 2022 Apport'!$3:$3,0),FALSE)*VLOOKUP(A267,JanApport,MATCH($AD$3,'Jan 2022 Apport'!$3:$3,0),FALSE)</f>
        <v>102327</v>
      </c>
      <c r="AE267" s="77">
        <f>VLOOKUP(A267,JanApport,MATCH($AE$4,'Jan 2022 Apport'!$3:$3,0),FALSE)</f>
        <v>48483</v>
      </c>
      <c r="AF267" s="77">
        <f>VLOOKUP(A267,JanApport,MATCH($AF$4,'Jan 2022 Apport'!$3:$3,0),FALSE)*VLOOKUP(A267,JanApport,MATCH($AF$3,'Jan 2022 Apport'!$3:$3,0),FALSE)</f>
        <v>49453</v>
      </c>
      <c r="AG267" s="77">
        <f t="shared" si="39"/>
        <v>96432.259900000005</v>
      </c>
      <c r="AH267" s="77">
        <f t="shared" si="40"/>
        <v>137400.94330000001</v>
      </c>
      <c r="AI267" s="77">
        <f t="shared" si="41"/>
        <v>77281.189732599989</v>
      </c>
      <c r="AJ267" s="3">
        <f>VLOOKUP(A267,JanApport,MATCH($AJ$4,'Jan 2022 Apport'!$3:$3,0),FALSE)</f>
        <v>71324.92</v>
      </c>
      <c r="AK267" s="3">
        <f>VLOOKUP(A267,JanApport,MATCH($AK$4,'Jan 2022 Apport'!$3:$3,0),FALSE)</f>
        <v>1.2909999999999999</v>
      </c>
      <c r="AL267" s="117">
        <f t="shared" si="42"/>
        <v>715975.89</v>
      </c>
      <c r="AM267" s="117">
        <f>VLOOKUP(A267,JanApport,MATCH($AM$4,'Jan 2022 Apport'!$3:$3,0),FALSE)</f>
        <v>0</v>
      </c>
      <c r="AN267" s="117">
        <f>VLOOKUP(A267,JanApport,MATCH($AN$4,'Jan 2022 Apport'!$3:$3,0),FALSE)</f>
        <v>5158.4799999999996</v>
      </c>
    </row>
    <row r="268" spans="1:40">
      <c r="A268" s="2" t="s">
        <v>421</v>
      </c>
      <c r="B268" s="2" t="s">
        <v>422</v>
      </c>
      <c r="C268" s="2" t="s">
        <v>1267</v>
      </c>
      <c r="D268" s="118">
        <f>VLOOKUP(A268,JanApport,MATCH($D$4,'Jan 2022 Apport'!$3:$3,FALSE),FALSE)</f>
        <v>6924625.2999999998</v>
      </c>
      <c r="E268" s="30">
        <f>VLOOKUP(A268,JanApport,MATCH($E$2,'Jan 2022 Apport'!$3:$3,0),FALSE)+VLOOKUP(A268,JanApport,MATCH($E$3,'Jan 2022 Apport'!$3:$3,0),FALSE)+VLOOKUP(A268,JanApport,MATCH($E$4,'Jan 2022 Apport'!$3:$3,0),FALSE)</f>
        <v>516034.25</v>
      </c>
      <c r="F268" s="118">
        <f t="shared" si="35"/>
        <v>6408591.0499999998</v>
      </c>
      <c r="G268" s="117">
        <f>VLOOKUP(A268,JanApport,MATCH($G$4,'Jan 2022 Apport'!$3:$3,0),FALSE)</f>
        <v>118532.2</v>
      </c>
      <c r="H268" s="117">
        <f>VLOOKUP(A268,JanApport,MATCH($H$3,'Jan 2022 Apport'!$3:$3,0),FALSE)+VLOOKUP(A268,JanApport,MATCH($H$2,'Jan 2022 Apport'!$3:$3,0),FALSE)+VLOOKUP(A268,JanApport,MATCH($H$4,'Jan 2022 Apport'!$3:$3,0),FALSE)</f>
        <v>1014214.4</v>
      </c>
      <c r="I268" s="117">
        <f t="shared" si="36"/>
        <v>1132746.6000000001</v>
      </c>
      <c r="J268" s="117">
        <f>VLOOKUP(A268,JanApport,MATCH($J$4,'Jan 2022 Apport'!$3:$3,0),FALSE)</f>
        <v>677764.27</v>
      </c>
      <c r="K268" s="117">
        <f>VLOOKUP(A268,JanApport,MATCH($K$4,'Jan 2022 Apport'!$3:$3,0),FALSE)</f>
        <v>77730.47</v>
      </c>
      <c r="L268" s="117">
        <f t="shared" si="37"/>
        <v>755494.74</v>
      </c>
      <c r="M268" s="117">
        <f>VLOOKUP(A268,JanApport,MATCH($M$4,'Jan 2022 Apport'!$3:$3,0),FALSE)</f>
        <v>259262.18</v>
      </c>
      <c r="N268" s="117">
        <f>VLOOKUP(A268,JanApport,MATCH($N$4,'Jan 2022 Apport'!$3:$3,0),FALSE)</f>
        <v>27198.07</v>
      </c>
      <c r="O268" s="117">
        <f>VLOOKUP(A268,JanApport,MATCH($O$4,'Jan 2022 Apport'!$3:$3,0),FALSE)</f>
        <v>22110.65</v>
      </c>
      <c r="P268" s="121">
        <f>IFERROR((VLOOKUP(A268,ExcessLevy!A:G,3,FALSE)*0.28),0)+IFERROR((VLOOKUP(A268,ExcessLevy!A:G,6,FALSE)*0.72),0)</f>
        <v>0</v>
      </c>
      <c r="Q268" s="121">
        <f>IFERROR((VLOOKUP(A268,ExcessLevy!A:G,4,FALSE)*0.4738),0)+IFERROR((VLOOKUP(A268,ExcessLevy!A:G,7,FALSE)*0.5262),0)</f>
        <v>2157882</v>
      </c>
      <c r="R268">
        <f>VLOOKUP(A268,JanApport,MATCH($R$4,'Jan 2022 Apport'!$3:$3,0),FALSE)</f>
        <v>0</v>
      </c>
      <c r="S268">
        <f>VLOOKUP(A268,JanApport,MATCH($S$4,'Jan 2022 Apport'!$3:$3,0),FALSE)</f>
        <v>8.8800000000000008</v>
      </c>
      <c r="T268">
        <f>VLOOKUP(A268,JanApport,MATCH($T$4,'Jan 2022 Apport'!$3:$3,0),FALSE)</f>
        <v>48.98</v>
      </c>
      <c r="U268" s="132">
        <f>IFERROR(VLOOKUP(A268,JanApport,MATCH($U$4,'Jan 2022 Apport'!$3:$3,0),FALSE)/R268,0)</f>
        <v>0</v>
      </c>
      <c r="V268" s="30">
        <f>IFERROR(((VLOOKUP(A268,JanApport,MATCH($V$4,'Jan 2022 Apport'!$3:$3,0),FALSE)+VLOOKUP(A268,JanApport,MATCH($V$3,'Jan 2022 Apport'!$3:$3,0),FALSE))/(S268+T268)),0)</f>
        <v>8918.6700656757694</v>
      </c>
      <c r="W268" s="30">
        <f t="shared" si="38"/>
        <v>8419.5917413774914</v>
      </c>
      <c r="X268">
        <f>VLOOKUP(A268,JanApport,MATCH($X$4,'Jan 2022 Apport'!$3:$3,0),FALSE)</f>
        <v>4.8578999999999997E-2</v>
      </c>
      <c r="Y268">
        <f>VLOOKUP(A268,JanApport,MATCH($Y$4,'Jan 2022 Apport'!$3:$3,0),FALSE)</f>
        <v>4.0270000000000002E-3</v>
      </c>
      <c r="Z268">
        <f>VLOOKUP(A268,JanApport,MATCH($Z$4,'Jan 2022 Apport'!$3:$3,0),FALSE)</f>
        <v>1.7100000000000001E-2</v>
      </c>
      <c r="AA268" s="77">
        <f>VLOOKUP(A268,JanApport,MATCH($AA$4,'Jan 2022 Apport'!$3:$3,0),FALSE)*VLOOKUP(A268,JanApport,MATCH($AA$3,'Jan 2022 Apport'!$3:$3,0),FALSE)</f>
        <v>67585</v>
      </c>
      <c r="AB268" s="77">
        <f>VLOOKUP(A268,JanApport,MATCH($AB$4,'Jan 2022 Apport'!$3:$3,0),FALSE)*VLOOKUP(A268,JanApport,MATCH($AB$3,'Jan 2022 Apport'!$3:$3,0),FALSE)</f>
        <v>73073.22</v>
      </c>
      <c r="AC268" s="77">
        <f>VLOOKUP(A268,JanApport,MATCH($AC$4,'Jan 2022 Apport'!$3:$3,0),FALSE)</f>
        <v>100321</v>
      </c>
      <c r="AD268" s="77">
        <f>VLOOKUP(A268,JanApport,MATCH($AD$4,'Jan 2022 Apport'!$3:$3,0),FALSE)*VLOOKUP(A268,JanApport,MATCH($AD$3,'Jan 2022 Apport'!$3:$3,0),FALSE)</f>
        <v>108466.62000000001</v>
      </c>
      <c r="AE268" s="77">
        <f>VLOOKUP(A268,JanApport,MATCH($AE$4,'Jan 2022 Apport'!$3:$3,0),FALSE)</f>
        <v>48483</v>
      </c>
      <c r="AF268" s="77">
        <f>VLOOKUP(A268,JanApport,MATCH($AF$4,'Jan 2022 Apport'!$3:$3,0),FALSE)*VLOOKUP(A268,JanApport,MATCH($AF$3,'Jan 2022 Apport'!$3:$3,0),FALSE)</f>
        <v>52420.18</v>
      </c>
      <c r="AG268" s="77">
        <f t="shared" si="39"/>
        <v>101481.343654</v>
      </c>
      <c r="AH268" s="77">
        <f t="shared" si="40"/>
        <v>144895.57743400004</v>
      </c>
      <c r="AI268" s="77">
        <f t="shared" si="41"/>
        <v>80819.594016556002</v>
      </c>
      <c r="AJ268" s="3">
        <f>VLOOKUP(A268,JanApport,MATCH($AJ$4,'Jan 2022 Apport'!$3:$3,0),FALSE)</f>
        <v>1022090.23</v>
      </c>
      <c r="AK268" s="3">
        <f>VLOOKUP(A268,JanApport,MATCH($AK$4,'Jan 2022 Apport'!$3:$3,0),FALSE)</f>
        <v>13.903</v>
      </c>
      <c r="AL268" s="117">
        <f t="shared" si="42"/>
        <v>8067593.9700000007</v>
      </c>
      <c r="AM268" s="117">
        <f>VLOOKUP(A268,JanApport,MATCH($AM$4,'Jan 2022 Apport'!$3:$3,0),FALSE)</f>
        <v>156633.5</v>
      </c>
      <c r="AN268" s="117">
        <f>VLOOKUP(A268,JanApport,MATCH($AN$4,'Jan 2022 Apport'!$3:$3,0),FALSE)</f>
        <v>55922.81</v>
      </c>
    </row>
    <row r="269" spans="1:40">
      <c r="A269" s="2" t="s">
        <v>443</v>
      </c>
      <c r="B269" s="2" t="s">
        <v>444</v>
      </c>
      <c r="C269" s="2" t="s">
        <v>1267</v>
      </c>
      <c r="D269" s="118">
        <f>VLOOKUP(A269,JanApport,MATCH($D$4,'Jan 2022 Apport'!$3:$3,FALSE),FALSE)</f>
        <v>19094111.989999998</v>
      </c>
      <c r="E269" s="30">
        <f>VLOOKUP(A269,JanApport,MATCH($E$2,'Jan 2022 Apport'!$3:$3,0),FALSE)+VLOOKUP(A269,JanApport,MATCH($E$3,'Jan 2022 Apport'!$3:$3,0),FALSE)+VLOOKUP(A269,JanApport,MATCH($E$4,'Jan 2022 Apport'!$3:$3,0),FALSE)</f>
        <v>1466446.7</v>
      </c>
      <c r="F269" s="118">
        <f t="shared" si="35"/>
        <v>17627665.289999999</v>
      </c>
      <c r="G269" s="117">
        <f>VLOOKUP(A269,JanApport,MATCH($G$4,'Jan 2022 Apport'!$3:$3,0),FALSE)</f>
        <v>197545.19</v>
      </c>
      <c r="H269" s="117">
        <f>VLOOKUP(A269,JanApport,MATCH($H$3,'Jan 2022 Apport'!$3:$3,0),FALSE)+VLOOKUP(A269,JanApport,MATCH($H$2,'Jan 2022 Apport'!$3:$3,0),FALSE)+VLOOKUP(A269,JanApport,MATCH($H$4,'Jan 2022 Apport'!$3:$3,0),FALSE)</f>
        <v>2573161.27</v>
      </c>
      <c r="I269" s="117">
        <f t="shared" si="36"/>
        <v>2770706.46</v>
      </c>
      <c r="J269" s="117">
        <f>VLOOKUP(A269,JanApport,MATCH($J$4,'Jan 2022 Apport'!$3:$3,0),FALSE)</f>
        <v>1446164.56</v>
      </c>
      <c r="K269" s="117">
        <f>VLOOKUP(A269,JanApport,MATCH($K$4,'Jan 2022 Apport'!$3:$3,0),FALSE)</f>
        <v>190483.52</v>
      </c>
      <c r="L269" s="117">
        <f t="shared" si="37"/>
        <v>1636648.08</v>
      </c>
      <c r="M269" s="117">
        <f>VLOOKUP(A269,JanApport,MATCH($M$4,'Jan 2022 Apport'!$3:$3,0),FALSE)</f>
        <v>691885.2</v>
      </c>
      <c r="N269" s="117">
        <f>VLOOKUP(A269,JanApport,MATCH($N$4,'Jan 2022 Apport'!$3:$3,0),FALSE)</f>
        <v>391834.09</v>
      </c>
      <c r="O269" s="117">
        <f>VLOOKUP(A269,JanApport,MATCH($O$4,'Jan 2022 Apport'!$3:$3,0),FALSE)</f>
        <v>63001.67</v>
      </c>
      <c r="P269" s="121">
        <f>IFERROR((VLOOKUP(A269,ExcessLevy!A:G,3,FALSE)*0.28),0)+IFERROR((VLOOKUP(A269,ExcessLevy!A:G,6,FALSE)*0.72),0)</f>
        <v>51584.554000000004</v>
      </c>
      <c r="Q269" s="121">
        <f>IFERROR((VLOOKUP(A269,ExcessLevy!A:G,4,FALSE)*0.4738),0)+IFERROR((VLOOKUP(A269,ExcessLevy!A:G,7,FALSE)*0.5262),0)</f>
        <v>3310950.7998000002</v>
      </c>
      <c r="R269">
        <f>VLOOKUP(A269,JanApport,MATCH($R$4,'Jan 2022 Apport'!$3:$3,0),FALSE)</f>
        <v>0</v>
      </c>
      <c r="S269">
        <f>VLOOKUP(A269,JanApport,MATCH($S$4,'Jan 2022 Apport'!$3:$3,0),FALSE)</f>
        <v>0</v>
      </c>
      <c r="T269">
        <f>VLOOKUP(A269,JanApport,MATCH($T$4,'Jan 2022 Apport'!$3:$3,0),FALSE)</f>
        <v>145.77000000000001</v>
      </c>
      <c r="U269" s="132">
        <f>IFERROR(VLOOKUP(A269,JanApport,MATCH($U$4,'Jan 2022 Apport'!$3:$3,0),FALSE)/R269,0)</f>
        <v>0</v>
      </c>
      <c r="V269" s="30">
        <f>IFERROR(((VLOOKUP(A269,JanApport,MATCH($V$4,'Jan 2022 Apport'!$3:$3,0),FALSE)+VLOOKUP(A269,JanApport,MATCH($V$3,'Jan 2022 Apport'!$3:$3,0),FALSE))/(S269+T269)),0)</f>
        <v>10060.003430061053</v>
      </c>
      <c r="W269" s="30">
        <f t="shared" si="38"/>
        <v>9207.2971053371111</v>
      </c>
      <c r="X269">
        <f>VLOOKUP(A269,JanApport,MATCH($X$4,'Jan 2022 Apport'!$3:$3,0),FALSE)</f>
        <v>4.8578999999999997E-2</v>
      </c>
      <c r="Y269">
        <f>VLOOKUP(A269,JanApport,MATCH($Y$4,'Jan 2022 Apport'!$3:$3,0),FALSE)</f>
        <v>4.0270000000000002E-3</v>
      </c>
      <c r="Z269">
        <f>VLOOKUP(A269,JanApport,MATCH($Z$4,'Jan 2022 Apport'!$3:$3,0),FALSE)</f>
        <v>1.7100000000000001E-2</v>
      </c>
      <c r="AA269" s="77">
        <f>VLOOKUP(A269,JanApport,MATCH($AA$4,'Jan 2022 Apport'!$3:$3,0),FALSE)*VLOOKUP(A269,JanApport,MATCH($AA$3,'Jan 2022 Apport'!$3:$3,0),FALSE)</f>
        <v>79750.3</v>
      </c>
      <c r="AB269" s="77">
        <f>VLOOKUP(A269,JanApport,MATCH($AB$4,'Jan 2022 Apport'!$3:$3,0),FALSE)*VLOOKUP(A269,JanApport,MATCH($AB$3,'Jan 2022 Apport'!$3:$3,0),FALSE)</f>
        <v>82724.399999999994</v>
      </c>
      <c r="AC269" s="77">
        <f>VLOOKUP(A269,JanApport,MATCH($AC$4,'Jan 2022 Apport'!$3:$3,0),FALSE)</f>
        <v>100321</v>
      </c>
      <c r="AD269" s="77">
        <f>VLOOKUP(A269,JanApport,MATCH($AD$4,'Jan 2022 Apport'!$3:$3,0),FALSE)*VLOOKUP(A269,JanApport,MATCH($AD$3,'Jan 2022 Apport'!$3:$3,0),FALSE)</f>
        <v>122792.4</v>
      </c>
      <c r="AE269" s="77">
        <f>VLOOKUP(A269,JanApport,MATCH($AE$4,'Jan 2022 Apport'!$3:$3,0),FALSE)</f>
        <v>48483</v>
      </c>
      <c r="AF269" s="77">
        <f>VLOOKUP(A269,JanApport,MATCH($AF$4,'Jan 2022 Apport'!$3:$3,0),FALSE)*VLOOKUP(A269,JanApport,MATCH($AF$3,'Jan 2022 Apport'!$3:$3,0),FALSE)</f>
        <v>59343.6</v>
      </c>
      <c r="AG269" s="77">
        <f t="shared" si="39"/>
        <v>113340.397</v>
      </c>
      <c r="AH269" s="77">
        <f t="shared" si="40"/>
        <v>162383.05708</v>
      </c>
      <c r="AI269" s="77">
        <f t="shared" si="41"/>
        <v>89075.870679119995</v>
      </c>
      <c r="AJ269" s="3">
        <f>VLOOKUP(A269,JanApport,MATCH($AJ$4,'Jan 2022 Apport'!$3:$3,0),FALSE)</f>
        <v>2330297.0499999998</v>
      </c>
      <c r="AK269" s="3">
        <f>VLOOKUP(A269,JanApport,MATCH($AK$4,'Jan 2022 Apport'!$3:$3,0),FALSE)</f>
        <v>40.439</v>
      </c>
      <c r="AL269" s="117">
        <f t="shared" si="42"/>
        <v>24855996.859999999</v>
      </c>
      <c r="AM269" s="117">
        <f>VLOOKUP(A269,JanApport,MATCH($AM$4,'Jan 2022 Apport'!$3:$3,0),FALSE)</f>
        <v>398292.89</v>
      </c>
      <c r="AN269" s="117">
        <f>VLOOKUP(A269,JanApport,MATCH($AN$4,'Jan 2022 Apport'!$3:$3,0),FALSE)</f>
        <v>153898.01</v>
      </c>
    </row>
    <row r="270" spans="1:40">
      <c r="A270" s="2" t="s">
        <v>1022</v>
      </c>
      <c r="B270" s="2" t="s">
        <v>1040</v>
      </c>
      <c r="C270" s="2" t="s">
        <v>1267</v>
      </c>
      <c r="D270" s="118">
        <f>VLOOKUP(A270,JanApport,MATCH($D$4,'Jan 2022 Apport'!$3:$3,FALSE),FALSE)</f>
        <v>4392176</v>
      </c>
      <c r="E270" s="30">
        <f>VLOOKUP(A270,JanApport,MATCH($E$2,'Jan 2022 Apport'!$3:$3,0),FALSE)+VLOOKUP(A270,JanApport,MATCH($E$3,'Jan 2022 Apport'!$3:$3,0),FALSE)+VLOOKUP(A270,JanApport,MATCH($E$4,'Jan 2022 Apport'!$3:$3,0),FALSE)</f>
        <v>0</v>
      </c>
      <c r="F270" s="118">
        <f t="shared" ref="F270:F320" si="43">D270-E270</f>
        <v>4392176</v>
      </c>
      <c r="G270" s="117">
        <f>VLOOKUP(A270,JanApport,MATCH($G$4,'Jan 2022 Apport'!$3:$3,0),FALSE)</f>
        <v>0</v>
      </c>
      <c r="H270" s="117">
        <f>VLOOKUP(A270,JanApport,MATCH($H$3,'Jan 2022 Apport'!$3:$3,0),FALSE)+VLOOKUP(A270,JanApport,MATCH($H$2,'Jan 2022 Apport'!$3:$3,0),FALSE)+VLOOKUP(A270,JanApport,MATCH($H$4,'Jan 2022 Apport'!$3:$3,0),FALSE)</f>
        <v>569472.46000000008</v>
      </c>
      <c r="I270" s="117">
        <f t="shared" ref="I270:I320" si="44">SUM(G270:H270)</f>
        <v>569472.46000000008</v>
      </c>
      <c r="J270" s="117">
        <f>VLOOKUP(A270,JanApport,MATCH($J$4,'Jan 2022 Apport'!$3:$3,0),FALSE)</f>
        <v>393106.76</v>
      </c>
      <c r="K270" s="117">
        <f>VLOOKUP(A270,JanApport,MATCH($K$4,'Jan 2022 Apport'!$3:$3,0),FALSE)</f>
        <v>0</v>
      </c>
      <c r="L270" s="117">
        <f t="shared" ref="L270:L320" si="45">K270+J270</f>
        <v>393106.76</v>
      </c>
      <c r="M270" s="117">
        <f>VLOOKUP(A270,JanApport,MATCH($M$4,'Jan 2022 Apport'!$3:$3,0),FALSE)</f>
        <v>149005.74</v>
      </c>
      <c r="N270" s="117">
        <f>VLOOKUP(A270,JanApport,MATCH($N$4,'Jan 2022 Apport'!$3:$3,0),FALSE)</f>
        <v>159657.09</v>
      </c>
      <c r="O270" s="117">
        <f>VLOOKUP(A270,JanApport,MATCH($O$4,'Jan 2022 Apport'!$3:$3,0),FALSE)</f>
        <v>15297.15</v>
      </c>
      <c r="P270" s="121">
        <f>IFERROR((VLOOKUP(A270,ExcessLevy!A:G,3,FALSE)*0.28),0)+IFERROR((VLOOKUP(A270,ExcessLevy!A:G,6,FALSE)*0.72),0)</f>
        <v>0</v>
      </c>
      <c r="Q270" s="121">
        <f>IFERROR((VLOOKUP(A270,ExcessLevy!A:G,4,FALSE)*0.4738),0)+IFERROR((VLOOKUP(A270,ExcessLevy!A:G,7,FALSE)*0.5262),0)</f>
        <v>0</v>
      </c>
      <c r="R270">
        <f>VLOOKUP(A270,JanApport,MATCH($R$4,'Jan 2022 Apport'!$3:$3,0),FALSE)</f>
        <v>0</v>
      </c>
      <c r="S270">
        <f>VLOOKUP(A270,JanApport,MATCH($S$4,'Jan 2022 Apport'!$3:$3,0),FALSE)</f>
        <v>0</v>
      </c>
      <c r="T270">
        <f>VLOOKUP(A270,JanApport,MATCH($T$4,'Jan 2022 Apport'!$3:$3,0),FALSE)</f>
        <v>0</v>
      </c>
      <c r="U270" s="132">
        <f>IFERROR(VLOOKUP(A270,JanApport,MATCH($U$4,'Jan 2022 Apport'!$3:$3,0),FALSE)/R270,0)</f>
        <v>0</v>
      </c>
      <c r="V270" s="30">
        <f>IFERROR(((VLOOKUP(A270,JanApport,MATCH($V$4,'Jan 2022 Apport'!$3:$3,0),FALSE)+VLOOKUP(A270,JanApport,MATCH($V$3,'Jan 2022 Apport'!$3:$3,0),FALSE))/(S270+T270)),0)</f>
        <v>0</v>
      </c>
      <c r="W270" s="30">
        <f t="shared" si="38"/>
        <v>9095.3080904708331</v>
      </c>
      <c r="X270">
        <f>VLOOKUP(A270,JanApport,MATCH($X$4,'Jan 2022 Apport'!$3:$3,0),FALSE)</f>
        <v>4.8578999999999997E-2</v>
      </c>
      <c r="Y270">
        <f>VLOOKUP(A270,JanApport,MATCH($Y$4,'Jan 2022 Apport'!$3:$3,0),FALSE)</f>
        <v>4.0270000000000002E-3</v>
      </c>
      <c r="Z270">
        <f>VLOOKUP(A270,JanApport,MATCH($Z$4,'Jan 2022 Apport'!$3:$3,0),FALSE)</f>
        <v>1.7100000000000001E-2</v>
      </c>
      <c r="AA270" s="77">
        <f>VLOOKUP(A270,JanApport,MATCH($AA$4,'Jan 2022 Apport'!$3:$3,0),FALSE)*VLOOKUP(A270,JanApport,MATCH($AA$3,'Jan 2022 Apport'!$3:$3,0),FALSE)</f>
        <v>79750.3</v>
      </c>
      <c r="AB270" s="77">
        <f>VLOOKUP(A270,JanApport,MATCH($AB$4,'Jan 2022 Apport'!$3:$3,0),FALSE)*VLOOKUP(A270,JanApport,MATCH($AB$3,'Jan 2022 Apport'!$3:$3,0),FALSE)</f>
        <v>81345.659999999989</v>
      </c>
      <c r="AC270" s="77">
        <f>VLOOKUP(A270,JanApport,MATCH($AC$4,'Jan 2022 Apport'!$3:$3,0),FALSE)</f>
        <v>100321</v>
      </c>
      <c r="AD270" s="77">
        <f>VLOOKUP(A270,JanApport,MATCH($AD$4,'Jan 2022 Apport'!$3:$3,0),FALSE)*VLOOKUP(A270,JanApport,MATCH($AD$3,'Jan 2022 Apport'!$3:$3,0),FALSE)</f>
        <v>120745.86</v>
      </c>
      <c r="AE270" s="77">
        <f>VLOOKUP(A270,JanApport,MATCH($AE$4,'Jan 2022 Apport'!$3:$3,0),FALSE)</f>
        <v>48483</v>
      </c>
      <c r="AF270" s="77">
        <f>VLOOKUP(A270,JanApport,MATCH($AF$4,'Jan 2022 Apport'!$3:$3,0),FALSE)*VLOOKUP(A270,JanApport,MATCH($AF$3,'Jan 2022 Apport'!$3:$3,0),FALSE)</f>
        <v>58354.539999999994</v>
      </c>
      <c r="AG270" s="77">
        <f t="shared" si="39"/>
        <v>111657.36908199999</v>
      </c>
      <c r="AH270" s="77">
        <f t="shared" si="40"/>
        <v>159884.84570200002</v>
      </c>
      <c r="AI270" s="77">
        <f t="shared" si="41"/>
        <v>87896.402584467985</v>
      </c>
      <c r="AJ270" s="3">
        <f>VLOOKUP(A270,JanApport,MATCH($AJ$4,'Jan 2022 Apport'!$3:$3,0),FALSE)</f>
        <v>675294.8</v>
      </c>
      <c r="AK270" s="3">
        <f>VLOOKUP(A270,JanApport,MATCH($AK$4,'Jan 2022 Apport'!$3:$3,0),FALSE)</f>
        <v>0</v>
      </c>
      <c r="AL270" s="117">
        <f t="shared" si="42"/>
        <v>5833499.8700000001</v>
      </c>
      <c r="AM270" s="117">
        <f>VLOOKUP(A270,JanApport,MATCH($AM$4,'Jan 2022 Apport'!$3:$3,0),FALSE)</f>
        <v>154784.67000000001</v>
      </c>
      <c r="AN270" s="117">
        <f>VLOOKUP(A270,JanApport,MATCH($AN$4,'Jan 2022 Apport'!$3:$3,0),FALSE)</f>
        <v>38064.480000000003</v>
      </c>
    </row>
    <row r="271" spans="1:40">
      <c r="A271" s="2" t="s">
        <v>391</v>
      </c>
      <c r="B271" s="2" t="s">
        <v>392</v>
      </c>
      <c r="C271" s="2" t="s">
        <v>1267</v>
      </c>
      <c r="D271" s="118">
        <f>VLOOKUP(A271,JanApport,MATCH($D$4,'Jan 2022 Apport'!$3:$3,FALSE),FALSE)</f>
        <v>2013053.64</v>
      </c>
      <c r="E271" s="30">
        <f>VLOOKUP(A271,JanApport,MATCH($E$2,'Jan 2022 Apport'!$3:$3,0),FALSE)+VLOOKUP(A271,JanApport,MATCH($E$3,'Jan 2022 Apport'!$3:$3,0),FALSE)+VLOOKUP(A271,JanApport,MATCH($E$4,'Jan 2022 Apport'!$3:$3,0),FALSE)</f>
        <v>0</v>
      </c>
      <c r="F271" s="118">
        <f t="shared" si="43"/>
        <v>2013053.64</v>
      </c>
      <c r="G271" s="117">
        <f>VLOOKUP(A271,JanApport,MATCH($G$4,'Jan 2022 Apport'!$3:$3,0),FALSE)</f>
        <v>0</v>
      </c>
      <c r="H271" s="117">
        <f>VLOOKUP(A271,JanApport,MATCH($H$3,'Jan 2022 Apport'!$3:$3,0),FALSE)+VLOOKUP(A271,JanApport,MATCH($H$2,'Jan 2022 Apport'!$3:$3,0),FALSE)+VLOOKUP(A271,JanApport,MATCH($H$4,'Jan 2022 Apport'!$3:$3,0),FALSE)</f>
        <v>214612.97</v>
      </c>
      <c r="I271" s="117">
        <f t="shared" si="44"/>
        <v>214612.97</v>
      </c>
      <c r="J271" s="117">
        <f>VLOOKUP(A271,JanApport,MATCH($J$4,'Jan 2022 Apport'!$3:$3,0),FALSE)</f>
        <v>72536.59</v>
      </c>
      <c r="K271" s="117">
        <f>VLOOKUP(A271,JanApport,MATCH($K$4,'Jan 2022 Apport'!$3:$3,0),FALSE)</f>
        <v>0</v>
      </c>
      <c r="L271" s="117">
        <f t="shared" si="45"/>
        <v>72536.59</v>
      </c>
      <c r="M271" s="117">
        <f>VLOOKUP(A271,JanApport,MATCH($M$4,'Jan 2022 Apport'!$3:$3,0),FALSE)</f>
        <v>78302.880000000005</v>
      </c>
      <c r="N271" s="117">
        <f>VLOOKUP(A271,JanApport,MATCH($N$4,'Jan 2022 Apport'!$3:$3,0),FALSE)</f>
        <v>32770.410000000003</v>
      </c>
      <c r="O271" s="117">
        <f>VLOOKUP(A271,JanApport,MATCH($O$4,'Jan 2022 Apport'!$3:$3,0),FALSE)</f>
        <v>5515.8</v>
      </c>
      <c r="P271" s="121">
        <f>IFERROR((VLOOKUP(A271,ExcessLevy!A:G,3,FALSE)*0.28),0)+IFERROR((VLOOKUP(A271,ExcessLevy!A:G,6,FALSE)*0.72),0)</f>
        <v>0</v>
      </c>
      <c r="Q271" s="121">
        <f>IFERROR((VLOOKUP(A271,ExcessLevy!A:G,4,FALSE)*0.4738),0)+IFERROR((VLOOKUP(A271,ExcessLevy!A:G,7,FALSE)*0.5262),0)</f>
        <v>0</v>
      </c>
      <c r="R271">
        <f>VLOOKUP(A271,JanApport,MATCH($R$4,'Jan 2022 Apport'!$3:$3,0),FALSE)</f>
        <v>0</v>
      </c>
      <c r="S271">
        <f>VLOOKUP(A271,JanApport,MATCH($S$4,'Jan 2022 Apport'!$3:$3,0),FALSE)</f>
        <v>0</v>
      </c>
      <c r="T271">
        <f>VLOOKUP(A271,JanApport,MATCH($T$4,'Jan 2022 Apport'!$3:$3,0),FALSE)</f>
        <v>0</v>
      </c>
      <c r="U271" s="132">
        <f>IFERROR(VLOOKUP(A271,JanApport,MATCH($U$4,'Jan 2022 Apport'!$3:$3,0),FALSE)/R271,0)</f>
        <v>0</v>
      </c>
      <c r="V271" s="30">
        <f>IFERROR(((VLOOKUP(A271,JanApport,MATCH($V$4,'Jan 2022 Apport'!$3:$3,0),FALSE)+VLOOKUP(A271,JanApport,MATCH($V$3,'Jan 2022 Apport'!$3:$3,0),FALSE))/(S271+T271)),0)</f>
        <v>0</v>
      </c>
      <c r="W271" s="30">
        <f t="shared" si="38"/>
        <v>8422.1132479746102</v>
      </c>
      <c r="X271">
        <f>VLOOKUP(A271,JanApport,MATCH($X$4,'Jan 2022 Apport'!$3:$3,0),FALSE)</f>
        <v>4.8578999999999997E-2</v>
      </c>
      <c r="Y271">
        <f>VLOOKUP(A271,JanApport,MATCH($Y$4,'Jan 2022 Apport'!$3:$3,0),FALSE)</f>
        <v>4.0270000000000002E-3</v>
      </c>
      <c r="Z271">
        <f>VLOOKUP(A271,JanApport,MATCH($Z$4,'Jan 2022 Apport'!$3:$3,0),FALSE)</f>
        <v>1.7100000000000001E-2</v>
      </c>
      <c r="AA271" s="77">
        <f>VLOOKUP(A271,JanApport,MATCH($AA$4,'Jan 2022 Apport'!$3:$3,0),FALSE)*VLOOKUP(A271,JanApport,MATCH($AA$3,'Jan 2022 Apport'!$3:$3,0),FALSE)</f>
        <v>75695.200000000012</v>
      </c>
      <c r="AB271" s="77">
        <f>VLOOKUP(A271,JanApport,MATCH($AB$4,'Jan 2022 Apport'!$3:$3,0),FALSE)*VLOOKUP(A271,JanApport,MATCH($AB$3,'Jan 2022 Apport'!$3:$3,0),FALSE)</f>
        <v>73073.22</v>
      </c>
      <c r="AC271" s="77">
        <f>VLOOKUP(A271,JanApport,MATCH($AC$4,'Jan 2022 Apport'!$3:$3,0),FALSE)</f>
        <v>100321</v>
      </c>
      <c r="AD271" s="77">
        <f>VLOOKUP(A271,JanApport,MATCH($AD$4,'Jan 2022 Apport'!$3:$3,0),FALSE)*VLOOKUP(A271,JanApport,MATCH($AD$3,'Jan 2022 Apport'!$3:$3,0),FALSE)</f>
        <v>108466.62000000001</v>
      </c>
      <c r="AE271" s="77">
        <f>VLOOKUP(A271,JanApport,MATCH($AE$4,'Jan 2022 Apport'!$3:$3,0),FALSE)</f>
        <v>48483</v>
      </c>
      <c r="AF271" s="77">
        <f>VLOOKUP(A271,JanApport,MATCH($AF$4,'Jan 2022 Apport'!$3:$3,0),FALSE)*VLOOKUP(A271,JanApport,MATCH($AF$3,'Jan 2022 Apport'!$3:$3,0),FALSE)</f>
        <v>52420.18</v>
      </c>
      <c r="AG271" s="77">
        <f t="shared" si="39"/>
        <v>101533.248934</v>
      </c>
      <c r="AH271" s="77">
        <f t="shared" si="40"/>
        <v>144895.57743400004</v>
      </c>
      <c r="AI271" s="77">
        <f t="shared" si="41"/>
        <v>80819.594016556002</v>
      </c>
      <c r="AJ271" s="3">
        <f>VLOOKUP(A271,JanApport,MATCH($AJ$4,'Jan 2022 Apport'!$3:$3,0),FALSE)</f>
        <v>307292.71000000002</v>
      </c>
      <c r="AK271" s="3">
        <f>VLOOKUP(A271,JanApport,MATCH($AK$4,'Jan 2022 Apport'!$3:$3,0),FALSE)</f>
        <v>0</v>
      </c>
      <c r="AL271" s="117">
        <f t="shared" si="42"/>
        <v>2478764.0499999998</v>
      </c>
      <c r="AM271" s="117">
        <f>VLOOKUP(A271,JanApport,MATCH($AM$4,'Jan 2022 Apport'!$3:$3,0),FALSE)</f>
        <v>61971.76</v>
      </c>
      <c r="AN271" s="117">
        <f>VLOOKUP(A271,JanApport,MATCH($AN$4,'Jan 2022 Apport'!$3:$3,0),FALSE)</f>
        <v>17877.57</v>
      </c>
    </row>
    <row r="272" spans="1:40">
      <c r="A272" s="2" t="s">
        <v>221</v>
      </c>
      <c r="B272" s="2" t="s">
        <v>222</v>
      </c>
      <c r="C272" s="2" t="s">
        <v>1267</v>
      </c>
      <c r="D272" s="118">
        <f>VLOOKUP(A272,JanApport,MATCH($D$4,'Jan 2022 Apport'!$3:$3,FALSE),FALSE)</f>
        <v>2825733.09</v>
      </c>
      <c r="E272" s="30">
        <f>VLOOKUP(A272,JanApport,MATCH($E$2,'Jan 2022 Apport'!$3:$3,0),FALSE)+VLOOKUP(A272,JanApport,MATCH($E$3,'Jan 2022 Apport'!$3:$3,0),FALSE)+VLOOKUP(A272,JanApport,MATCH($E$4,'Jan 2022 Apport'!$3:$3,0),FALSE)</f>
        <v>0</v>
      </c>
      <c r="F272" s="118">
        <f t="shared" si="43"/>
        <v>2825733.09</v>
      </c>
      <c r="G272" s="117">
        <f>VLOOKUP(A272,JanApport,MATCH($G$4,'Jan 2022 Apport'!$3:$3,0),FALSE)</f>
        <v>0</v>
      </c>
      <c r="H272" s="117">
        <f>VLOOKUP(A272,JanApport,MATCH($H$3,'Jan 2022 Apport'!$3:$3,0),FALSE)+VLOOKUP(A272,JanApport,MATCH($H$2,'Jan 2022 Apport'!$3:$3,0),FALSE)+VLOOKUP(A272,JanApport,MATCH($H$4,'Jan 2022 Apport'!$3:$3,0),FALSE)</f>
        <v>384330.45</v>
      </c>
      <c r="I272" s="117">
        <f t="shared" si="44"/>
        <v>384330.45</v>
      </c>
      <c r="J272" s="117">
        <f>VLOOKUP(A272,JanApport,MATCH($J$4,'Jan 2022 Apport'!$3:$3,0),FALSE)</f>
        <v>285880.48</v>
      </c>
      <c r="K272" s="117">
        <f>VLOOKUP(A272,JanApport,MATCH($K$4,'Jan 2022 Apport'!$3:$3,0),FALSE)</f>
        <v>0</v>
      </c>
      <c r="L272" s="117">
        <f t="shared" si="45"/>
        <v>285880.48</v>
      </c>
      <c r="M272" s="117">
        <f>VLOOKUP(A272,JanApport,MATCH($M$4,'Jan 2022 Apport'!$3:$3,0),FALSE)</f>
        <v>89063.51</v>
      </c>
      <c r="N272" s="117">
        <f>VLOOKUP(A272,JanApport,MATCH($N$4,'Jan 2022 Apport'!$3:$3,0),FALSE)</f>
        <v>101074.61</v>
      </c>
      <c r="O272" s="117">
        <f>VLOOKUP(A272,JanApport,MATCH($O$4,'Jan 2022 Apport'!$3:$3,0),FALSE)</f>
        <v>9971.48</v>
      </c>
      <c r="P272" s="121">
        <f>IFERROR((VLOOKUP(A272,ExcessLevy!A:G,3,FALSE)*0.28),0)+IFERROR((VLOOKUP(A272,ExcessLevy!A:G,6,FALSE)*0.72),0)</f>
        <v>0</v>
      </c>
      <c r="Q272" s="121">
        <f>IFERROR((VLOOKUP(A272,ExcessLevy!A:G,4,FALSE)*0.4738),0)+IFERROR((VLOOKUP(A272,ExcessLevy!A:G,7,FALSE)*0.5262),0)</f>
        <v>0</v>
      </c>
      <c r="R272">
        <f>VLOOKUP(A272,JanApport,MATCH($R$4,'Jan 2022 Apport'!$3:$3,0),FALSE)</f>
        <v>0</v>
      </c>
      <c r="S272">
        <f>VLOOKUP(A272,JanApport,MATCH($S$4,'Jan 2022 Apport'!$3:$3,0),FALSE)</f>
        <v>0</v>
      </c>
      <c r="T272">
        <f>VLOOKUP(A272,JanApport,MATCH($T$4,'Jan 2022 Apport'!$3:$3,0),FALSE)</f>
        <v>0</v>
      </c>
      <c r="U272" s="132">
        <f>IFERROR(VLOOKUP(A272,JanApport,MATCH($U$4,'Jan 2022 Apport'!$3:$3,0),FALSE)/R272,0)</f>
        <v>0</v>
      </c>
      <c r="V272" s="30">
        <f>IFERROR(((VLOOKUP(A272,JanApport,MATCH($V$4,'Jan 2022 Apport'!$3:$3,0),FALSE)+VLOOKUP(A272,JanApport,MATCH($V$3,'Jan 2022 Apport'!$3:$3,0),FALSE))/(S272+T272)),0)</f>
        <v>0</v>
      </c>
      <c r="W272" s="30">
        <f t="shared" si="38"/>
        <v>9095.3080904708331</v>
      </c>
      <c r="X272">
        <f>VLOOKUP(A272,JanApport,MATCH($X$4,'Jan 2022 Apport'!$3:$3,0),FALSE)</f>
        <v>4.8578999999999997E-2</v>
      </c>
      <c r="Y272">
        <f>VLOOKUP(A272,JanApport,MATCH($Y$4,'Jan 2022 Apport'!$3:$3,0),FALSE)</f>
        <v>4.0270000000000002E-3</v>
      </c>
      <c r="Z272">
        <f>VLOOKUP(A272,JanApport,MATCH($Z$4,'Jan 2022 Apport'!$3:$3,0),FALSE)</f>
        <v>1.7100000000000001E-2</v>
      </c>
      <c r="AA272" s="77">
        <f>VLOOKUP(A272,JanApport,MATCH($AA$4,'Jan 2022 Apport'!$3:$3,0),FALSE)*VLOOKUP(A272,JanApport,MATCH($AA$3,'Jan 2022 Apport'!$3:$3,0),FALSE)</f>
        <v>79750.3</v>
      </c>
      <c r="AB272" s="77">
        <f>VLOOKUP(A272,JanApport,MATCH($AB$4,'Jan 2022 Apport'!$3:$3,0),FALSE)*VLOOKUP(A272,JanApport,MATCH($AB$3,'Jan 2022 Apport'!$3:$3,0),FALSE)</f>
        <v>81345.659999999989</v>
      </c>
      <c r="AC272" s="77">
        <f>VLOOKUP(A272,JanApport,MATCH($AC$4,'Jan 2022 Apport'!$3:$3,0),FALSE)</f>
        <v>100321</v>
      </c>
      <c r="AD272" s="77">
        <f>VLOOKUP(A272,JanApport,MATCH($AD$4,'Jan 2022 Apport'!$3:$3,0),FALSE)*VLOOKUP(A272,JanApport,MATCH($AD$3,'Jan 2022 Apport'!$3:$3,0),FALSE)</f>
        <v>120745.86</v>
      </c>
      <c r="AE272" s="77">
        <f>VLOOKUP(A272,JanApport,MATCH($AE$4,'Jan 2022 Apport'!$3:$3,0),FALSE)</f>
        <v>48483</v>
      </c>
      <c r="AF272" s="77">
        <f>VLOOKUP(A272,JanApport,MATCH($AF$4,'Jan 2022 Apport'!$3:$3,0),FALSE)*VLOOKUP(A272,JanApport,MATCH($AF$3,'Jan 2022 Apport'!$3:$3,0),FALSE)</f>
        <v>58354.539999999994</v>
      </c>
      <c r="AG272" s="77">
        <f t="shared" si="39"/>
        <v>111657.36908199999</v>
      </c>
      <c r="AH272" s="77">
        <f t="shared" si="40"/>
        <v>159884.84570200002</v>
      </c>
      <c r="AI272" s="77">
        <f t="shared" si="41"/>
        <v>87896.402584467985</v>
      </c>
      <c r="AJ272" s="3">
        <f>VLOOKUP(A272,JanApport,MATCH($AJ$4,'Jan 2022 Apport'!$3:$3,0),FALSE)</f>
        <v>461610.04</v>
      </c>
      <c r="AK272" s="3">
        <f>VLOOKUP(A272,JanApport,MATCH($AK$4,'Jan 2022 Apport'!$3:$3,0),FALSE)</f>
        <v>0</v>
      </c>
      <c r="AL272" s="117">
        <f t="shared" si="42"/>
        <v>3696053.6199999996</v>
      </c>
      <c r="AM272" s="117">
        <f>VLOOKUP(A272,JanApport,MATCH($AM$4,'Jan 2022 Apport'!$3:$3,0),FALSE)</f>
        <v>0</v>
      </c>
      <c r="AN272" s="117">
        <f>VLOOKUP(A272,JanApport,MATCH($AN$4,'Jan 2022 Apport'!$3:$3,0),FALSE)</f>
        <v>24349.68</v>
      </c>
    </row>
    <row r="273" spans="1:40">
      <c r="A273" s="2" t="s">
        <v>495</v>
      </c>
      <c r="B273" s="2" t="s">
        <v>496</v>
      </c>
      <c r="C273" s="2" t="s">
        <v>1267</v>
      </c>
      <c r="D273" s="118">
        <f>VLOOKUP(A273,JanApport,MATCH($D$4,'Jan 2022 Apport'!$3:$3,FALSE),FALSE)</f>
        <v>705122.04</v>
      </c>
      <c r="E273" s="30">
        <f>VLOOKUP(A273,JanApport,MATCH($E$2,'Jan 2022 Apport'!$3:$3,0),FALSE)+VLOOKUP(A273,JanApport,MATCH($E$3,'Jan 2022 Apport'!$3:$3,0),FALSE)+VLOOKUP(A273,JanApport,MATCH($E$4,'Jan 2022 Apport'!$3:$3,0),FALSE)</f>
        <v>0</v>
      </c>
      <c r="F273" s="118">
        <f t="shared" si="43"/>
        <v>705122.04</v>
      </c>
      <c r="G273" s="117">
        <f>VLOOKUP(A273,JanApport,MATCH($G$4,'Jan 2022 Apport'!$3:$3,0),FALSE)</f>
        <v>0</v>
      </c>
      <c r="H273" s="117">
        <f>VLOOKUP(A273,JanApport,MATCH($H$3,'Jan 2022 Apport'!$3:$3,0),FALSE)+VLOOKUP(A273,JanApport,MATCH($H$2,'Jan 2022 Apport'!$3:$3,0),FALSE)+VLOOKUP(A273,JanApport,MATCH($H$4,'Jan 2022 Apport'!$3:$3,0),FALSE)</f>
        <v>76846.710000000006</v>
      </c>
      <c r="I273" s="117">
        <f t="shared" si="44"/>
        <v>76846.710000000006</v>
      </c>
      <c r="J273" s="117">
        <f>VLOOKUP(A273,JanApport,MATCH($J$4,'Jan 2022 Apport'!$3:$3,0),FALSE)</f>
        <v>0</v>
      </c>
      <c r="K273" s="117">
        <f>VLOOKUP(A273,JanApport,MATCH($K$4,'Jan 2022 Apport'!$3:$3,0),FALSE)</f>
        <v>15809.02</v>
      </c>
      <c r="L273" s="117">
        <f t="shared" si="45"/>
        <v>15809.02</v>
      </c>
      <c r="M273" s="117">
        <f>VLOOKUP(A273,JanApport,MATCH($M$4,'Jan 2022 Apport'!$3:$3,0),FALSE)</f>
        <v>32187.64</v>
      </c>
      <c r="N273" s="117">
        <f>VLOOKUP(A273,JanApport,MATCH($N$4,'Jan 2022 Apport'!$3:$3,0),FALSE)</f>
        <v>0</v>
      </c>
      <c r="O273" s="117">
        <f>VLOOKUP(A273,JanApport,MATCH($O$4,'Jan 2022 Apport'!$3:$3,0),FALSE)</f>
        <v>2054.54</v>
      </c>
      <c r="P273" s="121">
        <f>IFERROR((VLOOKUP(A273,ExcessLevy!A:G,3,FALSE)*0.28),0)+IFERROR((VLOOKUP(A273,ExcessLevy!A:G,6,FALSE)*0.72),0)</f>
        <v>54812.3364</v>
      </c>
      <c r="Q273" s="121">
        <f>IFERROR((VLOOKUP(A273,ExcessLevy!A:G,4,FALSE)*0.4738),0)+IFERROR((VLOOKUP(A273,ExcessLevy!A:G,7,FALSE)*0.5262),0)</f>
        <v>93789.3</v>
      </c>
      <c r="R273">
        <f>VLOOKUP(A273,JanApport,MATCH($R$4,'Jan 2022 Apport'!$3:$3,0),FALSE)</f>
        <v>0</v>
      </c>
      <c r="S273">
        <f>VLOOKUP(A273,JanApport,MATCH($S$4,'Jan 2022 Apport'!$3:$3,0),FALSE)</f>
        <v>0</v>
      </c>
      <c r="T273">
        <f>VLOOKUP(A273,JanApport,MATCH($T$4,'Jan 2022 Apport'!$3:$3,0),FALSE)</f>
        <v>0</v>
      </c>
      <c r="U273" s="132">
        <f>IFERROR(VLOOKUP(A273,JanApport,MATCH($U$4,'Jan 2022 Apport'!$3:$3,0),FALSE)/R273,0)</f>
        <v>0</v>
      </c>
      <c r="V273" s="30">
        <f>IFERROR(((VLOOKUP(A273,JanApport,MATCH($V$4,'Jan 2022 Apport'!$3:$3,0),FALSE)+VLOOKUP(A273,JanApport,MATCH($V$3,'Jan 2022 Apport'!$3:$3,0),FALSE))/(S273+T273)),0)</f>
        <v>0</v>
      </c>
      <c r="W273" s="30">
        <f t="shared" si="38"/>
        <v>8083.6246967786601</v>
      </c>
      <c r="X273">
        <f>VLOOKUP(A273,JanApport,MATCH($X$4,'Jan 2022 Apport'!$3:$3,0),FALSE)</f>
        <v>4.8578999999999997E-2</v>
      </c>
      <c r="Y273">
        <f>VLOOKUP(A273,JanApport,MATCH($Y$4,'Jan 2022 Apport'!$3:$3,0),FALSE)</f>
        <v>4.0270000000000002E-3</v>
      </c>
      <c r="Z273">
        <f>VLOOKUP(A273,JanApport,MATCH($Z$4,'Jan 2022 Apport'!$3:$3,0),FALSE)</f>
        <v>1.7100000000000001E-2</v>
      </c>
      <c r="AA273" s="77">
        <f>VLOOKUP(A273,JanApport,MATCH($AA$4,'Jan 2022 Apport'!$3:$3,0),FALSE)*VLOOKUP(A273,JanApport,MATCH($AA$3,'Jan 2022 Apport'!$3:$3,0),FALSE)</f>
        <v>67585</v>
      </c>
      <c r="AB273" s="77">
        <f>VLOOKUP(A273,JanApport,MATCH($AB$4,'Jan 2022 Apport'!$3:$3,0),FALSE)*VLOOKUP(A273,JanApport,MATCH($AB$3,'Jan 2022 Apport'!$3:$3,0),FALSE)</f>
        <v>68937</v>
      </c>
      <c r="AC273" s="77">
        <f>VLOOKUP(A273,JanApport,MATCH($AC$4,'Jan 2022 Apport'!$3:$3,0),FALSE)</f>
        <v>100321</v>
      </c>
      <c r="AD273" s="77">
        <f>VLOOKUP(A273,JanApport,MATCH($AD$4,'Jan 2022 Apport'!$3:$3,0),FALSE)*VLOOKUP(A273,JanApport,MATCH($AD$3,'Jan 2022 Apport'!$3:$3,0),FALSE)</f>
        <v>102327</v>
      </c>
      <c r="AE273" s="77">
        <f>VLOOKUP(A273,JanApport,MATCH($AE$4,'Jan 2022 Apport'!$3:$3,0),FALSE)</f>
        <v>48483</v>
      </c>
      <c r="AF273" s="77">
        <f>VLOOKUP(A273,JanApport,MATCH($AF$4,'Jan 2022 Apport'!$3:$3,0),FALSE)*VLOOKUP(A273,JanApport,MATCH($AF$3,'Jan 2022 Apport'!$3:$3,0),FALSE)</f>
        <v>49453</v>
      </c>
      <c r="AG273" s="77">
        <f t="shared" si="39"/>
        <v>96432.259900000005</v>
      </c>
      <c r="AH273" s="77">
        <f t="shared" si="40"/>
        <v>137400.94330000001</v>
      </c>
      <c r="AI273" s="77">
        <f t="shared" si="41"/>
        <v>77281.189732599989</v>
      </c>
      <c r="AJ273" s="3">
        <f>VLOOKUP(A273,JanApport,MATCH($AJ$4,'Jan 2022 Apport'!$3:$3,0),FALSE)</f>
        <v>97659.43</v>
      </c>
      <c r="AK273" s="3">
        <f>VLOOKUP(A273,JanApport,MATCH($AK$4,'Jan 2022 Apport'!$3:$3,0),FALSE)</f>
        <v>2.419</v>
      </c>
      <c r="AL273" s="117">
        <f t="shared" si="42"/>
        <v>834701.70000000007</v>
      </c>
      <c r="AM273" s="117">
        <f>VLOOKUP(A273,JanApport,MATCH($AM$4,'Jan 2022 Apport'!$3:$3,0),FALSE)</f>
        <v>18490.77</v>
      </c>
      <c r="AN273" s="117">
        <f>VLOOKUP(A273,JanApport,MATCH($AN$4,'Jan 2022 Apport'!$3:$3,0),FALSE)</f>
        <v>6036.46</v>
      </c>
    </row>
    <row r="274" spans="1:40">
      <c r="A274" s="2" t="s">
        <v>371</v>
      </c>
      <c r="B274" s="2" t="s">
        <v>372</v>
      </c>
      <c r="C274" s="2" t="s">
        <v>1267</v>
      </c>
      <c r="D274" s="118">
        <f>VLOOKUP(A274,JanApport,MATCH($D$4,'Jan 2022 Apport'!$3:$3,FALSE),FALSE)</f>
        <v>93423109.739999995</v>
      </c>
      <c r="E274" s="30">
        <f>VLOOKUP(A274,JanApport,MATCH($E$2,'Jan 2022 Apport'!$3:$3,0),FALSE)+VLOOKUP(A274,JanApport,MATCH($E$3,'Jan 2022 Apport'!$3:$3,0),FALSE)+VLOOKUP(A274,JanApport,MATCH($E$4,'Jan 2022 Apport'!$3:$3,0),FALSE)</f>
        <v>6338809.5700000003</v>
      </c>
      <c r="F274" s="118">
        <f t="shared" si="43"/>
        <v>87084300.169999987</v>
      </c>
      <c r="G274" s="117">
        <f>VLOOKUP(A274,JanApport,MATCH($G$4,'Jan 2022 Apport'!$3:$3,0),FALSE)</f>
        <v>1014655.79</v>
      </c>
      <c r="H274" s="117">
        <f>VLOOKUP(A274,JanApport,MATCH($H$3,'Jan 2022 Apport'!$3:$3,0),FALSE)+VLOOKUP(A274,JanApport,MATCH($H$2,'Jan 2022 Apport'!$3:$3,0),FALSE)+VLOOKUP(A274,JanApport,MATCH($H$4,'Jan 2022 Apport'!$3:$3,0),FALSE)</f>
        <v>10894114.120000001</v>
      </c>
      <c r="I274" s="117">
        <f t="shared" si="44"/>
        <v>11908769.91</v>
      </c>
      <c r="J274" s="117">
        <f>VLOOKUP(A274,JanApport,MATCH($J$4,'Jan 2022 Apport'!$3:$3,0),FALSE)</f>
        <v>4517665.7300000004</v>
      </c>
      <c r="K274" s="117">
        <f>VLOOKUP(A274,JanApport,MATCH($K$4,'Jan 2022 Apport'!$3:$3,0),FALSE)</f>
        <v>319499.32</v>
      </c>
      <c r="L274" s="117">
        <f t="shared" si="45"/>
        <v>4837165.0500000007</v>
      </c>
      <c r="M274" s="117">
        <f>VLOOKUP(A274,JanApport,MATCH($M$4,'Jan 2022 Apport'!$3:$3,0),FALSE)</f>
        <v>1865966.45</v>
      </c>
      <c r="N274" s="117">
        <f>VLOOKUP(A274,JanApport,MATCH($N$4,'Jan 2022 Apport'!$3:$3,0),FALSE)</f>
        <v>728844.15</v>
      </c>
      <c r="O274" s="117">
        <f>VLOOKUP(A274,JanApport,MATCH($O$4,'Jan 2022 Apport'!$3:$3,0),FALSE)</f>
        <v>307479.43</v>
      </c>
      <c r="P274" s="121">
        <f>IFERROR((VLOOKUP(A274,ExcessLevy!A:G,3,FALSE)*0.28),0)+IFERROR((VLOOKUP(A274,ExcessLevy!A:G,6,FALSE)*0.72),0)</f>
        <v>0</v>
      </c>
      <c r="Q274" s="121">
        <f>IFERROR((VLOOKUP(A274,ExcessLevy!A:G,4,FALSE)*0.4738),0)+IFERROR((VLOOKUP(A274,ExcessLevy!A:G,7,FALSE)*0.5262),0)</f>
        <v>30367900</v>
      </c>
      <c r="R274">
        <f>VLOOKUP(A274,JanApport,MATCH($R$4,'Jan 2022 Apport'!$3:$3,0),FALSE)</f>
        <v>0</v>
      </c>
      <c r="S274">
        <f>VLOOKUP(A274,JanApport,MATCH($S$4,'Jan 2022 Apport'!$3:$3,0),FALSE)</f>
        <v>111.35</v>
      </c>
      <c r="T274">
        <f>VLOOKUP(A274,JanApport,MATCH($T$4,'Jan 2022 Apport'!$3:$3,0),FALSE)</f>
        <v>543.55999999999995</v>
      </c>
      <c r="U274" s="132">
        <f>IFERROR(VLOOKUP(A274,JanApport,MATCH($U$4,'Jan 2022 Apport'!$3:$3,0),FALSE)/R274,0)</f>
        <v>0</v>
      </c>
      <c r="V274" s="30">
        <f>IFERROR(((VLOOKUP(A274,JanApport,MATCH($V$4,'Jan 2022 Apport'!$3:$3,0),FALSE)+VLOOKUP(A274,JanApport,MATCH($V$3,'Jan 2022 Apport'!$3:$3,0),FALSE))/(S274+T274)),0)</f>
        <v>9678.9017880319443</v>
      </c>
      <c r="W274" s="30">
        <f t="shared" si="38"/>
        <v>8422.1132479746102</v>
      </c>
      <c r="X274">
        <f>VLOOKUP(A274,JanApport,MATCH($X$4,'Jan 2022 Apport'!$3:$3,0),FALSE)</f>
        <v>4.8578999999999997E-2</v>
      </c>
      <c r="Y274">
        <f>VLOOKUP(A274,JanApport,MATCH($Y$4,'Jan 2022 Apport'!$3:$3,0),FALSE)</f>
        <v>4.0270000000000002E-3</v>
      </c>
      <c r="Z274">
        <f>VLOOKUP(A274,JanApport,MATCH($Z$4,'Jan 2022 Apport'!$3:$3,0),FALSE)</f>
        <v>1.7100000000000001E-2</v>
      </c>
      <c r="AA274" s="77">
        <f>VLOOKUP(A274,JanApport,MATCH($AA$4,'Jan 2022 Apport'!$3:$3,0),FALSE)*VLOOKUP(A274,JanApport,MATCH($AA$3,'Jan 2022 Apport'!$3:$3,0),FALSE)</f>
        <v>75695.200000000012</v>
      </c>
      <c r="AB274" s="77">
        <f>VLOOKUP(A274,JanApport,MATCH($AB$4,'Jan 2022 Apport'!$3:$3,0),FALSE)*VLOOKUP(A274,JanApport,MATCH($AB$3,'Jan 2022 Apport'!$3:$3,0),FALSE)</f>
        <v>73073.22</v>
      </c>
      <c r="AC274" s="77">
        <f>VLOOKUP(A274,JanApport,MATCH($AC$4,'Jan 2022 Apport'!$3:$3,0),FALSE)</f>
        <v>100321</v>
      </c>
      <c r="AD274" s="77">
        <f>VLOOKUP(A274,JanApport,MATCH($AD$4,'Jan 2022 Apport'!$3:$3,0),FALSE)*VLOOKUP(A274,JanApport,MATCH($AD$3,'Jan 2022 Apport'!$3:$3,0),FALSE)</f>
        <v>108466.62000000001</v>
      </c>
      <c r="AE274" s="77">
        <f>VLOOKUP(A274,JanApport,MATCH($AE$4,'Jan 2022 Apport'!$3:$3,0),FALSE)</f>
        <v>48483</v>
      </c>
      <c r="AF274" s="77">
        <f>VLOOKUP(A274,JanApport,MATCH($AF$4,'Jan 2022 Apport'!$3:$3,0),FALSE)*VLOOKUP(A274,JanApport,MATCH($AF$3,'Jan 2022 Apport'!$3:$3,0),FALSE)</f>
        <v>52420.18</v>
      </c>
      <c r="AG274" s="77">
        <f t="shared" si="39"/>
        <v>101533.248934</v>
      </c>
      <c r="AH274" s="77">
        <f t="shared" si="40"/>
        <v>144895.57743400004</v>
      </c>
      <c r="AI274" s="77">
        <f t="shared" si="41"/>
        <v>80819.594016556002</v>
      </c>
      <c r="AJ274" s="3">
        <f>VLOOKUP(A274,JanApport,MATCH($AJ$4,'Jan 2022 Apport'!$3:$3,0),FALSE)</f>
        <v>12417610.75</v>
      </c>
      <c r="AK274" s="3">
        <f>VLOOKUP(A274,JanApport,MATCH($AK$4,'Jan 2022 Apport'!$3:$3,0),FALSE)</f>
        <v>192.28100000000001</v>
      </c>
      <c r="AL274" s="117">
        <f t="shared" si="42"/>
        <v>112886377.92999999</v>
      </c>
      <c r="AM274" s="117">
        <f>VLOOKUP(A274,JanApport,MATCH($AM$4,'Jan 2022 Apport'!$3:$3,0),FALSE)</f>
        <v>134542.51999999999</v>
      </c>
      <c r="AN274" s="117">
        <f>VLOOKUP(A274,JanApport,MATCH($AN$4,'Jan 2022 Apport'!$3:$3,0),FALSE)</f>
        <v>763485.86</v>
      </c>
    </row>
    <row r="275" spans="1:40">
      <c r="A275" s="2" t="s">
        <v>595</v>
      </c>
      <c r="B275" s="2" t="s">
        <v>596</v>
      </c>
      <c r="C275" s="2" t="s">
        <v>1267</v>
      </c>
      <c r="D275" s="118">
        <f>VLOOKUP(A275,JanApport,MATCH($D$4,'Jan 2022 Apport'!$3:$3,FALSE),FALSE)</f>
        <v>55845188.640000001</v>
      </c>
      <c r="E275" s="30">
        <f>VLOOKUP(A275,JanApport,MATCH($E$2,'Jan 2022 Apport'!$3:$3,0),FALSE)+VLOOKUP(A275,JanApport,MATCH($E$3,'Jan 2022 Apport'!$3:$3,0),FALSE)+VLOOKUP(A275,JanApport,MATCH($E$4,'Jan 2022 Apport'!$3:$3,0),FALSE)</f>
        <v>2360539.1800000002</v>
      </c>
      <c r="F275" s="118">
        <f t="shared" si="43"/>
        <v>53484649.460000001</v>
      </c>
      <c r="G275" s="117">
        <f>VLOOKUP(A275,JanApport,MATCH($G$4,'Jan 2022 Apport'!$3:$3,0),FALSE)</f>
        <v>368934.54</v>
      </c>
      <c r="H275" s="117">
        <f>VLOOKUP(A275,JanApport,MATCH($H$3,'Jan 2022 Apport'!$3:$3,0),FALSE)+VLOOKUP(A275,JanApport,MATCH($H$2,'Jan 2022 Apport'!$3:$3,0),FALSE)+VLOOKUP(A275,JanApport,MATCH($H$4,'Jan 2022 Apport'!$3:$3,0),FALSE)</f>
        <v>7392812.8300000001</v>
      </c>
      <c r="I275" s="117">
        <f t="shared" si="44"/>
        <v>7761747.3700000001</v>
      </c>
      <c r="J275" s="117">
        <f>VLOOKUP(A275,JanApport,MATCH($J$4,'Jan 2022 Apport'!$3:$3,0),FALSE)</f>
        <v>3062737.13</v>
      </c>
      <c r="K275" s="117">
        <f>VLOOKUP(A275,JanApport,MATCH($K$4,'Jan 2022 Apport'!$3:$3,0),FALSE)</f>
        <v>424948.06</v>
      </c>
      <c r="L275" s="117">
        <f t="shared" si="45"/>
        <v>3487685.19</v>
      </c>
      <c r="M275" s="117">
        <f>VLOOKUP(A275,JanApport,MATCH($M$4,'Jan 2022 Apport'!$3:$3,0),FALSE)</f>
        <v>3878170.8</v>
      </c>
      <c r="N275" s="117">
        <f>VLOOKUP(A275,JanApport,MATCH($N$4,'Jan 2022 Apport'!$3:$3,0),FALSE)</f>
        <v>3099112.43</v>
      </c>
      <c r="O275" s="117">
        <f>VLOOKUP(A275,JanApport,MATCH($O$4,'Jan 2022 Apport'!$3:$3,0),FALSE)</f>
        <v>181385.69</v>
      </c>
      <c r="P275" s="121">
        <f>IFERROR((VLOOKUP(A275,ExcessLevy!A:G,3,FALSE)*0.28),0)+IFERROR((VLOOKUP(A275,ExcessLevy!A:G,6,FALSE)*0.72),0)</f>
        <v>8368976.1440000003</v>
      </c>
      <c r="Q275" s="121">
        <f>IFERROR((VLOOKUP(A275,ExcessLevy!A:G,4,FALSE)*0.4738),0)+IFERROR((VLOOKUP(A275,ExcessLevy!A:G,7,FALSE)*0.5262),0)</f>
        <v>2957860</v>
      </c>
      <c r="R275">
        <f>VLOOKUP(A275,JanApport,MATCH($R$4,'Jan 2022 Apport'!$3:$3,0),FALSE)</f>
        <v>0</v>
      </c>
      <c r="S275">
        <f>VLOOKUP(A275,JanApport,MATCH($S$4,'Jan 2022 Apport'!$3:$3,0),FALSE)</f>
        <v>0</v>
      </c>
      <c r="T275">
        <f>VLOOKUP(A275,JanApport,MATCH($T$4,'Jan 2022 Apport'!$3:$3,0),FALSE)</f>
        <v>264.54000000000002</v>
      </c>
      <c r="U275" s="132">
        <f>IFERROR(VLOOKUP(A275,JanApport,MATCH($U$4,'Jan 2022 Apport'!$3:$3,0),FALSE)/R275,0)</f>
        <v>0</v>
      </c>
      <c r="V275" s="30">
        <f>IFERROR(((VLOOKUP(A275,JanApport,MATCH($V$4,'Jan 2022 Apport'!$3:$3,0),FALSE)+VLOOKUP(A275,JanApport,MATCH($V$3,'Jan 2022 Apport'!$3:$3,0),FALSE))/(S275+T275)),0)</f>
        <v>8923.1843199516134</v>
      </c>
      <c r="W275" s="30">
        <f t="shared" si="38"/>
        <v>8083.6246967786601</v>
      </c>
      <c r="X275">
        <f>VLOOKUP(A275,JanApport,MATCH($X$4,'Jan 2022 Apport'!$3:$3,0),FALSE)</f>
        <v>4.8578999999999997E-2</v>
      </c>
      <c r="Y275">
        <f>VLOOKUP(A275,JanApport,MATCH($Y$4,'Jan 2022 Apport'!$3:$3,0),FALSE)</f>
        <v>4.0270000000000002E-3</v>
      </c>
      <c r="Z275">
        <f>VLOOKUP(A275,JanApport,MATCH($Z$4,'Jan 2022 Apport'!$3:$3,0),FALSE)</f>
        <v>1.7100000000000001E-2</v>
      </c>
      <c r="AA275" s="77">
        <f>VLOOKUP(A275,JanApport,MATCH($AA$4,'Jan 2022 Apport'!$3:$3,0),FALSE)*VLOOKUP(A275,JanApport,MATCH($AA$3,'Jan 2022 Apport'!$3:$3,0),FALSE)</f>
        <v>67585</v>
      </c>
      <c r="AB275" s="77">
        <f>VLOOKUP(A275,JanApport,MATCH($AB$4,'Jan 2022 Apport'!$3:$3,0),FALSE)*VLOOKUP(A275,JanApport,MATCH($AB$3,'Jan 2022 Apport'!$3:$3,0),FALSE)</f>
        <v>68937</v>
      </c>
      <c r="AC275" s="77">
        <f>VLOOKUP(A275,JanApport,MATCH($AC$4,'Jan 2022 Apport'!$3:$3,0),FALSE)</f>
        <v>100321</v>
      </c>
      <c r="AD275" s="77">
        <f>VLOOKUP(A275,JanApport,MATCH($AD$4,'Jan 2022 Apport'!$3:$3,0),FALSE)*VLOOKUP(A275,JanApport,MATCH($AD$3,'Jan 2022 Apport'!$3:$3,0),FALSE)</f>
        <v>102327</v>
      </c>
      <c r="AE275" s="77">
        <f>VLOOKUP(A275,JanApport,MATCH($AE$4,'Jan 2022 Apport'!$3:$3,0),FALSE)</f>
        <v>48483</v>
      </c>
      <c r="AF275" s="77">
        <f>VLOOKUP(A275,JanApport,MATCH($AF$4,'Jan 2022 Apport'!$3:$3,0),FALSE)*VLOOKUP(A275,JanApport,MATCH($AF$3,'Jan 2022 Apport'!$3:$3,0),FALSE)</f>
        <v>49453</v>
      </c>
      <c r="AG275" s="77">
        <f t="shared" si="39"/>
        <v>96432.259900000005</v>
      </c>
      <c r="AH275" s="77">
        <f t="shared" si="40"/>
        <v>137400.94330000001</v>
      </c>
      <c r="AI275" s="77">
        <f t="shared" si="41"/>
        <v>77281.189732599989</v>
      </c>
      <c r="AJ275" s="3">
        <f>VLOOKUP(A275,JanApport,MATCH($AJ$4,'Jan 2022 Apport'!$3:$3,0),FALSE)</f>
        <v>8483590.5</v>
      </c>
      <c r="AK275" s="3">
        <f>VLOOKUP(A275,JanApport,MATCH($AK$4,'Jan 2022 Apport'!$3:$3,0),FALSE)</f>
        <v>121.4</v>
      </c>
      <c r="AL275" s="117">
        <f t="shared" si="42"/>
        <v>75719781.920000002</v>
      </c>
      <c r="AM275" s="117">
        <f>VLOOKUP(A275,JanApport,MATCH($AM$4,'Jan 2022 Apport'!$3:$3,0),FALSE)</f>
        <v>1891439.86</v>
      </c>
      <c r="AN275" s="117">
        <f>VLOOKUP(A275,JanApport,MATCH($AN$4,'Jan 2022 Apport'!$3:$3,0),FALSE)</f>
        <v>460856.52</v>
      </c>
    </row>
    <row r="276" spans="1:40">
      <c r="A276" s="2" t="s">
        <v>237</v>
      </c>
      <c r="B276" s="2" t="s">
        <v>238</v>
      </c>
      <c r="C276" s="2" t="s">
        <v>1267</v>
      </c>
      <c r="D276" s="118">
        <f>VLOOKUP(A276,JanApport,MATCH($D$4,'Jan 2022 Apport'!$3:$3,FALSE),FALSE)</f>
        <v>2319772.2200000002</v>
      </c>
      <c r="E276" s="30">
        <f>VLOOKUP(A276,JanApport,MATCH($E$2,'Jan 2022 Apport'!$3:$3,0),FALSE)+VLOOKUP(A276,JanApport,MATCH($E$3,'Jan 2022 Apport'!$3:$3,0),FALSE)+VLOOKUP(A276,JanApport,MATCH($E$4,'Jan 2022 Apport'!$3:$3,0),FALSE)</f>
        <v>37579.79</v>
      </c>
      <c r="F276" s="118">
        <f t="shared" si="43"/>
        <v>2282192.4300000002</v>
      </c>
      <c r="G276" s="117">
        <f>VLOOKUP(A276,JanApport,MATCH($G$4,'Jan 2022 Apport'!$3:$3,0),FALSE)</f>
        <v>0</v>
      </c>
      <c r="H276" s="117">
        <f>VLOOKUP(A276,JanApport,MATCH($H$3,'Jan 2022 Apport'!$3:$3,0),FALSE)+VLOOKUP(A276,JanApport,MATCH($H$2,'Jan 2022 Apport'!$3:$3,0),FALSE)+VLOOKUP(A276,JanApport,MATCH($H$4,'Jan 2022 Apport'!$3:$3,0),FALSE)</f>
        <v>105334.84</v>
      </c>
      <c r="I276" s="117">
        <f t="shared" si="44"/>
        <v>105334.84</v>
      </c>
      <c r="J276" s="117">
        <f>VLOOKUP(A276,JanApport,MATCH($J$4,'Jan 2022 Apport'!$3:$3,0),FALSE)</f>
        <v>49122.52</v>
      </c>
      <c r="K276" s="117">
        <f>VLOOKUP(A276,JanApport,MATCH($K$4,'Jan 2022 Apport'!$3:$3,0),FALSE)</f>
        <v>0</v>
      </c>
      <c r="L276" s="117">
        <f t="shared" si="45"/>
        <v>49122.52</v>
      </c>
      <c r="M276" s="117">
        <f>VLOOKUP(A276,JanApport,MATCH($M$4,'Jan 2022 Apport'!$3:$3,0),FALSE)</f>
        <v>35466.75</v>
      </c>
      <c r="N276" s="117">
        <f>VLOOKUP(A276,JanApport,MATCH($N$4,'Jan 2022 Apport'!$3:$3,0),FALSE)</f>
        <v>0</v>
      </c>
      <c r="O276" s="117">
        <f>VLOOKUP(A276,JanApport,MATCH($O$4,'Jan 2022 Apport'!$3:$3,0),FALSE)</f>
        <v>0</v>
      </c>
      <c r="P276" s="121">
        <f>IFERROR((VLOOKUP(A276,ExcessLevy!A:G,3,FALSE)*0.28),0)+IFERROR((VLOOKUP(A276,ExcessLevy!A:G,6,FALSE)*0.72),0)</f>
        <v>107356.63679999999</v>
      </c>
      <c r="Q276" s="121">
        <f>IFERROR((VLOOKUP(A276,ExcessLevy!A:G,4,FALSE)*0.4738),0)+IFERROR((VLOOKUP(A276,ExcessLevy!A:G,7,FALSE)*0.5262),0)</f>
        <v>0</v>
      </c>
      <c r="R276">
        <f>VLOOKUP(A276,JanApport,MATCH($R$4,'Jan 2022 Apport'!$3:$3,0),FALSE)</f>
        <v>0</v>
      </c>
      <c r="S276">
        <f>VLOOKUP(A276,JanApport,MATCH($S$4,'Jan 2022 Apport'!$3:$3,0),FALSE)</f>
        <v>0</v>
      </c>
      <c r="T276">
        <f>VLOOKUP(A276,JanApport,MATCH($T$4,'Jan 2022 Apport'!$3:$3,0),FALSE)</f>
        <v>3.73</v>
      </c>
      <c r="U276" s="132">
        <f>IFERROR(VLOOKUP(A276,JanApport,MATCH($U$4,'Jan 2022 Apport'!$3:$3,0),FALSE)/R276,0)</f>
        <v>0</v>
      </c>
      <c r="V276" s="30">
        <f>IFERROR(((VLOOKUP(A276,JanApport,MATCH($V$4,'Jan 2022 Apport'!$3:$3,0),FALSE)+VLOOKUP(A276,JanApport,MATCH($V$3,'Jan 2022 Apport'!$3:$3,0),FALSE))/(S276+T276)),0)</f>
        <v>10075.010723860591</v>
      </c>
      <c r="W276" s="30">
        <f t="shared" si="38"/>
        <v>2456.353584791681</v>
      </c>
      <c r="X276">
        <f>VLOOKUP(A276,JanApport,MATCH($X$4,'Jan 2022 Apport'!$3:$3,0),FALSE)</f>
        <v>4.8578999999999997E-2</v>
      </c>
      <c r="Y276">
        <f>VLOOKUP(A276,JanApport,MATCH($Y$4,'Jan 2022 Apport'!$3:$3,0),FALSE)</f>
        <v>4.0270000000000002E-3</v>
      </c>
      <c r="Z276">
        <f>VLOOKUP(A276,JanApport,MATCH($Z$4,'Jan 2022 Apport'!$3:$3,0),FALSE)</f>
        <v>1.7100000000000001E-2</v>
      </c>
      <c r="AA276" s="77">
        <f>VLOOKUP(A276,JanApport,MATCH($AA$4,'Jan 2022 Apport'!$3:$3,0),FALSE)*VLOOKUP(A276,JanApport,MATCH($AA$3,'Jan 2022 Apport'!$3:$3,0),FALSE)</f>
        <v>79750.3</v>
      </c>
      <c r="AB276" s="77">
        <f>VLOOKUP(A276,JanApport,MATCH($AB$4,'Jan 2022 Apport'!$3:$3,0),FALSE)*VLOOKUP(A276,JanApport,MATCH($AB$3,'Jan 2022 Apport'!$3:$3,0),FALSE)</f>
        <v>0</v>
      </c>
      <c r="AC276" s="77">
        <f>VLOOKUP(A276,JanApport,MATCH($AC$4,'Jan 2022 Apport'!$3:$3,0),FALSE)</f>
        <v>0</v>
      </c>
      <c r="AD276" s="77">
        <f>VLOOKUP(A276,JanApport,MATCH($AD$4,'Jan 2022 Apport'!$3:$3,0),FALSE)*VLOOKUP(A276,JanApport,MATCH($AD$3,'Jan 2022 Apport'!$3:$3,0),FALSE)</f>
        <v>0</v>
      </c>
      <c r="AE276" s="77">
        <f>VLOOKUP(A276,JanApport,MATCH($AE$4,'Jan 2022 Apport'!$3:$3,0),FALSE)</f>
        <v>0</v>
      </c>
      <c r="AF276" s="77">
        <f>VLOOKUP(A276,JanApport,MATCH($AF$4,'Jan 2022 Apport'!$3:$3,0),FALSE)*VLOOKUP(A276,JanApport,MATCH($AF$3,'Jan 2022 Apport'!$3:$3,0),FALSE)</f>
        <v>0</v>
      </c>
      <c r="AG276" s="77">
        <f t="shared" si="39"/>
        <v>12358.721920000018</v>
      </c>
      <c r="AH276" s="77">
        <f t="shared" si="40"/>
        <v>11848.32</v>
      </c>
      <c r="AI276" s="77">
        <f t="shared" si="41"/>
        <v>16610.88</v>
      </c>
      <c r="AJ276" s="3">
        <f>VLOOKUP(A276,JanApport,MATCH($AJ$4,'Jan 2022 Apport'!$3:$3,0),FALSE)</f>
        <v>234953.75</v>
      </c>
      <c r="AK276" s="3">
        <f>VLOOKUP(A276,JanApport,MATCH($AK$4,'Jan 2022 Apport'!$3:$3,0),FALSE)</f>
        <v>0</v>
      </c>
      <c r="AL276" s="117">
        <f t="shared" si="42"/>
        <v>2539044.23</v>
      </c>
      <c r="AM276" s="117">
        <f>VLOOKUP(A276,JanApport,MATCH($AM$4,'Jan 2022 Apport'!$3:$3,0),FALSE)</f>
        <v>29347.9</v>
      </c>
      <c r="AN276" s="117">
        <f>VLOOKUP(A276,JanApport,MATCH($AN$4,'Jan 2022 Apport'!$3:$3,0),FALSE)</f>
        <v>21420.37</v>
      </c>
    </row>
    <row r="277" spans="1:40">
      <c r="A277" s="2" t="s">
        <v>365</v>
      </c>
      <c r="B277" s="2" t="s">
        <v>366</v>
      </c>
      <c r="C277" s="2" t="s">
        <v>1267</v>
      </c>
      <c r="D277" s="118">
        <f>VLOOKUP(A277,JanApport,MATCH($D$4,'Jan 2022 Apport'!$3:$3,FALSE),FALSE)</f>
        <v>258220871.28</v>
      </c>
      <c r="E277" s="30">
        <f>VLOOKUP(A277,JanApport,MATCH($E$2,'Jan 2022 Apport'!$3:$3,0),FALSE)+VLOOKUP(A277,JanApport,MATCH($E$3,'Jan 2022 Apport'!$3:$3,0),FALSE)+VLOOKUP(A277,JanApport,MATCH($E$4,'Jan 2022 Apport'!$3:$3,0),FALSE)</f>
        <v>18904394.280000001</v>
      </c>
      <c r="F277" s="118">
        <f t="shared" si="43"/>
        <v>239316477</v>
      </c>
      <c r="G277" s="117">
        <f>VLOOKUP(A277,JanApport,MATCH($G$4,'Jan 2022 Apport'!$3:$3,0),FALSE)</f>
        <v>2819236.91</v>
      </c>
      <c r="H277" s="117">
        <f>VLOOKUP(A277,JanApport,MATCH($H$3,'Jan 2022 Apport'!$3:$3,0),FALSE)+VLOOKUP(A277,JanApport,MATCH($H$2,'Jan 2022 Apport'!$3:$3,0),FALSE)+VLOOKUP(A277,JanApport,MATCH($H$4,'Jan 2022 Apport'!$3:$3,0),FALSE)</f>
        <v>34824828.369999997</v>
      </c>
      <c r="I277" s="117">
        <f t="shared" si="44"/>
        <v>37644065.280000001</v>
      </c>
      <c r="J277" s="117">
        <f>VLOOKUP(A277,JanApport,MATCH($J$4,'Jan 2022 Apport'!$3:$3,0),FALSE)</f>
        <v>14288376.32</v>
      </c>
      <c r="K277" s="117">
        <f>VLOOKUP(A277,JanApport,MATCH($K$4,'Jan 2022 Apport'!$3:$3,0),FALSE)</f>
        <v>580853.27</v>
      </c>
      <c r="L277" s="117">
        <f t="shared" si="45"/>
        <v>14869229.59</v>
      </c>
      <c r="M277" s="117">
        <f>VLOOKUP(A277,JanApport,MATCH($M$4,'Jan 2022 Apport'!$3:$3,0),FALSE)</f>
        <v>10785141.16</v>
      </c>
      <c r="N277" s="117">
        <f>VLOOKUP(A277,JanApport,MATCH($N$4,'Jan 2022 Apport'!$3:$3,0),FALSE)</f>
        <v>5145927.3099999996</v>
      </c>
      <c r="O277" s="117">
        <f>VLOOKUP(A277,JanApport,MATCH($O$4,'Jan 2022 Apport'!$3:$3,0),FALSE)</f>
        <v>849110.45</v>
      </c>
      <c r="P277" s="121">
        <f>IFERROR((VLOOKUP(A277,ExcessLevy!A:G,3,FALSE)*0.28),0)+IFERROR((VLOOKUP(A277,ExcessLevy!A:G,6,FALSE)*0.72),0)</f>
        <v>0</v>
      </c>
      <c r="Q277" s="121">
        <f>IFERROR((VLOOKUP(A277,ExcessLevy!A:G,4,FALSE)*0.4738),0)+IFERROR((VLOOKUP(A277,ExcessLevy!A:G,7,FALSE)*0.5262),0)</f>
        <v>74991652.680600002</v>
      </c>
      <c r="R277">
        <f>VLOOKUP(A277,JanApport,MATCH($R$4,'Jan 2022 Apport'!$3:$3,0),FALSE)</f>
        <v>0</v>
      </c>
      <c r="S277">
        <f>VLOOKUP(A277,JanApport,MATCH($S$4,'Jan 2022 Apport'!$3:$3,0),FALSE)</f>
        <v>288.02</v>
      </c>
      <c r="T277">
        <f>VLOOKUP(A277,JanApport,MATCH($T$4,'Jan 2022 Apport'!$3:$3,0),FALSE)</f>
        <v>1665.12</v>
      </c>
      <c r="U277" s="132">
        <f>IFERROR(VLOOKUP(A277,JanApport,MATCH($U$4,'Jan 2022 Apport'!$3:$3,0),FALSE)/R277,0)</f>
        <v>0</v>
      </c>
      <c r="V277" s="30">
        <f>IFERROR(((VLOOKUP(A277,JanApport,MATCH($V$4,'Jan 2022 Apport'!$3:$3,0),FALSE)+VLOOKUP(A277,JanApport,MATCH($V$3,'Jan 2022 Apport'!$3:$3,0),FALSE))/(S277+T277)),0)</f>
        <v>9678.9755368278784</v>
      </c>
      <c r="W277" s="30">
        <f t="shared" si="38"/>
        <v>8310.124233108334</v>
      </c>
      <c r="X277">
        <f>VLOOKUP(A277,JanApport,MATCH($X$4,'Jan 2022 Apport'!$3:$3,0),FALSE)</f>
        <v>4.8578999999999997E-2</v>
      </c>
      <c r="Y277">
        <f>VLOOKUP(A277,JanApport,MATCH($Y$4,'Jan 2022 Apport'!$3:$3,0),FALSE)</f>
        <v>4.0270000000000002E-3</v>
      </c>
      <c r="Z277">
        <f>VLOOKUP(A277,JanApport,MATCH($Z$4,'Jan 2022 Apport'!$3:$3,0),FALSE)</f>
        <v>1.7100000000000001E-2</v>
      </c>
      <c r="AA277" s="77">
        <f>VLOOKUP(A277,JanApport,MATCH($AA$4,'Jan 2022 Apport'!$3:$3,0),FALSE)*VLOOKUP(A277,JanApport,MATCH($AA$3,'Jan 2022 Apport'!$3:$3,0),FALSE)</f>
        <v>75695.200000000012</v>
      </c>
      <c r="AB277" s="77">
        <f>VLOOKUP(A277,JanApport,MATCH($AB$4,'Jan 2022 Apport'!$3:$3,0),FALSE)*VLOOKUP(A277,JanApport,MATCH($AB$3,'Jan 2022 Apport'!$3:$3,0),FALSE)</f>
        <v>71694.48</v>
      </c>
      <c r="AC277" s="77">
        <f>VLOOKUP(A277,JanApport,MATCH($AC$4,'Jan 2022 Apport'!$3:$3,0),FALSE)</f>
        <v>100321</v>
      </c>
      <c r="AD277" s="77">
        <f>VLOOKUP(A277,JanApport,MATCH($AD$4,'Jan 2022 Apport'!$3:$3,0),FALSE)*VLOOKUP(A277,JanApport,MATCH($AD$3,'Jan 2022 Apport'!$3:$3,0),FALSE)</f>
        <v>106420.08</v>
      </c>
      <c r="AE277" s="77">
        <f>VLOOKUP(A277,JanApport,MATCH($AE$4,'Jan 2022 Apport'!$3:$3,0),FALSE)</f>
        <v>48483</v>
      </c>
      <c r="AF277" s="77">
        <f>VLOOKUP(A277,JanApport,MATCH($AF$4,'Jan 2022 Apport'!$3:$3,0),FALSE)*VLOOKUP(A277,JanApport,MATCH($AF$3,'Jan 2022 Apport'!$3:$3,0),FALSE)</f>
        <v>51431.12</v>
      </c>
      <c r="AG277" s="77">
        <f t="shared" si="39"/>
        <v>99850.221015999996</v>
      </c>
      <c r="AH277" s="77">
        <f t="shared" si="40"/>
        <v>142397.366056</v>
      </c>
      <c r="AI277" s="77">
        <f t="shared" si="41"/>
        <v>79640.125921903993</v>
      </c>
      <c r="AJ277" s="3">
        <f>VLOOKUP(A277,JanApport,MATCH($AJ$4,'Jan 2022 Apport'!$3:$3,0),FALSE)</f>
        <v>32295597.68</v>
      </c>
      <c r="AK277" s="3">
        <f>VLOOKUP(A277,JanApport,MATCH($AK$4,'Jan 2022 Apport'!$3:$3,0),FALSE)</f>
        <v>530.12099999999998</v>
      </c>
      <c r="AL277" s="117">
        <f t="shared" si="42"/>
        <v>332308920.10000002</v>
      </c>
      <c r="AM277" s="117">
        <f>VLOOKUP(A277,JanApport,MATCH($AM$4,'Jan 2022 Apport'!$3:$3,0),FALSE)</f>
        <v>5375428.2999999998</v>
      </c>
      <c r="AN277" s="117">
        <f>VLOOKUP(A277,JanApport,MATCH($AN$4,'Jan 2022 Apport'!$3:$3,0),FALSE)</f>
        <v>2004355.2</v>
      </c>
    </row>
    <row r="278" spans="1:40">
      <c r="A278" s="2" t="s">
        <v>153</v>
      </c>
      <c r="B278" s="2" t="s">
        <v>154</v>
      </c>
      <c r="C278" s="2" t="s">
        <v>1267</v>
      </c>
      <c r="D278" s="118">
        <f>VLOOKUP(A278,JanApport,MATCH($D$4,'Jan 2022 Apport'!$3:$3,FALSE),FALSE)</f>
        <v>2236560.12</v>
      </c>
      <c r="E278" s="30">
        <f>VLOOKUP(A278,JanApport,MATCH($E$2,'Jan 2022 Apport'!$3:$3,0),FALSE)+VLOOKUP(A278,JanApport,MATCH($E$3,'Jan 2022 Apport'!$3:$3,0),FALSE)+VLOOKUP(A278,JanApport,MATCH($E$4,'Jan 2022 Apport'!$3:$3,0),FALSE)</f>
        <v>31936.26</v>
      </c>
      <c r="F278" s="118">
        <f t="shared" si="43"/>
        <v>2204623.8600000003</v>
      </c>
      <c r="G278" s="117">
        <f>VLOOKUP(A278,JanApport,MATCH($G$4,'Jan 2022 Apport'!$3:$3,0),FALSE)</f>
        <v>9830.66</v>
      </c>
      <c r="H278" s="117">
        <f>VLOOKUP(A278,JanApport,MATCH($H$3,'Jan 2022 Apport'!$3:$3,0),FALSE)+VLOOKUP(A278,JanApport,MATCH($H$2,'Jan 2022 Apport'!$3:$3,0),FALSE)+VLOOKUP(A278,JanApport,MATCH($H$4,'Jan 2022 Apport'!$3:$3,0),FALSE)</f>
        <v>183930.64999999997</v>
      </c>
      <c r="I278" s="117">
        <f t="shared" si="44"/>
        <v>193761.30999999997</v>
      </c>
      <c r="J278" s="117">
        <f>VLOOKUP(A278,JanApport,MATCH($J$4,'Jan 2022 Apport'!$3:$3,0),FALSE)</f>
        <v>111787.98</v>
      </c>
      <c r="K278" s="117">
        <f>VLOOKUP(A278,JanApport,MATCH($K$4,'Jan 2022 Apport'!$3:$3,0),FALSE)</f>
        <v>16884.29</v>
      </c>
      <c r="L278" s="117">
        <f t="shared" si="45"/>
        <v>128672.26999999999</v>
      </c>
      <c r="M278" s="117">
        <f>VLOOKUP(A278,JanApport,MATCH($M$4,'Jan 2022 Apport'!$3:$3,0),FALSE)</f>
        <v>80909.350000000006</v>
      </c>
      <c r="N278" s="117">
        <f>VLOOKUP(A278,JanApport,MATCH($N$4,'Jan 2022 Apport'!$3:$3,0),FALSE)</f>
        <v>0</v>
      </c>
      <c r="O278" s="117">
        <f>VLOOKUP(A278,JanApport,MATCH($O$4,'Jan 2022 Apport'!$3:$3,0),FALSE)</f>
        <v>0</v>
      </c>
      <c r="P278" s="121">
        <f>IFERROR((VLOOKUP(A278,ExcessLevy!A:G,3,FALSE)*0.28),0)+IFERROR((VLOOKUP(A278,ExcessLevy!A:G,6,FALSE)*0.72),0)</f>
        <v>254313.364</v>
      </c>
      <c r="Q278" s="121">
        <f>IFERROR((VLOOKUP(A278,ExcessLevy!A:G,4,FALSE)*0.4738),0)+IFERROR((VLOOKUP(A278,ExcessLevy!A:G,7,FALSE)*0.5262),0)</f>
        <v>35526.199999999997</v>
      </c>
      <c r="R278">
        <f>VLOOKUP(A278,JanApport,MATCH($R$4,'Jan 2022 Apport'!$3:$3,0),FALSE)</f>
        <v>0</v>
      </c>
      <c r="S278">
        <f>VLOOKUP(A278,JanApport,MATCH($S$4,'Jan 2022 Apport'!$3:$3,0),FALSE)</f>
        <v>0</v>
      </c>
      <c r="T278">
        <f>VLOOKUP(A278,JanApport,MATCH($T$4,'Jan 2022 Apport'!$3:$3,0),FALSE)</f>
        <v>3.58</v>
      </c>
      <c r="U278" s="132">
        <f>IFERROR(VLOOKUP(A278,JanApport,MATCH($U$4,'Jan 2022 Apport'!$3:$3,0),FALSE)/R278,0)</f>
        <v>0</v>
      </c>
      <c r="V278" s="30">
        <f>IFERROR(((VLOOKUP(A278,JanApport,MATCH($V$4,'Jan 2022 Apport'!$3:$3,0),FALSE)+VLOOKUP(A278,JanApport,MATCH($V$3,'Jan 2022 Apport'!$3:$3,0),FALSE))/(S278+T278)),0)</f>
        <v>8920.7430167597759</v>
      </c>
      <c r="W278" s="30">
        <f t="shared" si="38"/>
        <v>8083.6246967786601</v>
      </c>
      <c r="X278">
        <f>VLOOKUP(A278,JanApport,MATCH($X$4,'Jan 2022 Apport'!$3:$3,0),FALSE)</f>
        <v>4.8578999999999997E-2</v>
      </c>
      <c r="Y278">
        <f>VLOOKUP(A278,JanApport,MATCH($Y$4,'Jan 2022 Apport'!$3:$3,0),FALSE)</f>
        <v>4.0270000000000002E-3</v>
      </c>
      <c r="Z278">
        <f>VLOOKUP(A278,JanApport,MATCH($Z$4,'Jan 2022 Apport'!$3:$3,0),FALSE)</f>
        <v>1.7100000000000001E-2</v>
      </c>
      <c r="AA278" s="77">
        <f>VLOOKUP(A278,JanApport,MATCH($AA$4,'Jan 2022 Apport'!$3:$3,0),FALSE)*VLOOKUP(A278,JanApport,MATCH($AA$3,'Jan 2022 Apport'!$3:$3,0),FALSE)</f>
        <v>67585</v>
      </c>
      <c r="AB278" s="77">
        <f>VLOOKUP(A278,JanApport,MATCH($AB$4,'Jan 2022 Apport'!$3:$3,0),FALSE)*VLOOKUP(A278,JanApport,MATCH($AB$3,'Jan 2022 Apport'!$3:$3,0),FALSE)</f>
        <v>68937</v>
      </c>
      <c r="AC278" s="77">
        <f>VLOOKUP(A278,JanApport,MATCH($AC$4,'Jan 2022 Apport'!$3:$3,0),FALSE)</f>
        <v>100321</v>
      </c>
      <c r="AD278" s="77">
        <f>VLOOKUP(A278,JanApport,MATCH($AD$4,'Jan 2022 Apport'!$3:$3,0),FALSE)*VLOOKUP(A278,JanApport,MATCH($AD$3,'Jan 2022 Apport'!$3:$3,0),FALSE)</f>
        <v>102327</v>
      </c>
      <c r="AE278" s="77">
        <f>VLOOKUP(A278,JanApport,MATCH($AE$4,'Jan 2022 Apport'!$3:$3,0),FALSE)</f>
        <v>48483</v>
      </c>
      <c r="AF278" s="77">
        <f>VLOOKUP(A278,JanApport,MATCH($AF$4,'Jan 2022 Apport'!$3:$3,0),FALSE)*VLOOKUP(A278,JanApport,MATCH($AF$3,'Jan 2022 Apport'!$3:$3,0),FALSE)</f>
        <v>49453</v>
      </c>
      <c r="AG278" s="77">
        <f t="shared" si="39"/>
        <v>96432.259900000005</v>
      </c>
      <c r="AH278" s="77">
        <f t="shared" si="40"/>
        <v>137400.94330000001</v>
      </c>
      <c r="AI278" s="77">
        <f t="shared" si="41"/>
        <v>77281.189732599989</v>
      </c>
      <c r="AJ278" s="3">
        <f>VLOOKUP(A278,JanApport,MATCH($AJ$4,'Jan 2022 Apport'!$3:$3,0),FALSE)</f>
        <v>297421.37</v>
      </c>
      <c r="AK278" s="3">
        <f>VLOOKUP(A278,JanApport,MATCH($AK$4,'Jan 2022 Apport'!$3:$3,0),FALSE)</f>
        <v>2.6360000000000001</v>
      </c>
      <c r="AL278" s="117">
        <f t="shared" si="42"/>
        <v>2671055.64</v>
      </c>
      <c r="AM278" s="117">
        <f>VLOOKUP(A278,JanApport,MATCH($AM$4,'Jan 2022 Apport'!$3:$3,0),FALSE)</f>
        <v>48036.88</v>
      </c>
      <c r="AN278" s="117">
        <f>VLOOKUP(A278,JanApport,MATCH($AN$4,'Jan 2022 Apport'!$3:$3,0),FALSE)</f>
        <v>20099.560000000001</v>
      </c>
    </row>
    <row r="279" spans="1:40">
      <c r="A279" s="2" t="s">
        <v>207</v>
      </c>
      <c r="B279" s="2" t="s">
        <v>208</v>
      </c>
      <c r="C279" s="2" t="s">
        <v>1267</v>
      </c>
      <c r="D279" s="118">
        <f>VLOOKUP(A279,JanApport,MATCH($D$4,'Jan 2022 Apport'!$3:$3,FALSE),FALSE)</f>
        <v>86986052.670000002</v>
      </c>
      <c r="E279" s="30">
        <f>VLOOKUP(A279,JanApport,MATCH($E$2,'Jan 2022 Apport'!$3:$3,0),FALSE)+VLOOKUP(A279,JanApport,MATCH($E$3,'Jan 2022 Apport'!$3:$3,0),FALSE)+VLOOKUP(A279,JanApport,MATCH($E$4,'Jan 2022 Apport'!$3:$3,0),FALSE)</f>
        <v>5812728.6699999999</v>
      </c>
      <c r="F279" s="118">
        <f t="shared" si="43"/>
        <v>81173324</v>
      </c>
      <c r="G279" s="117">
        <f>VLOOKUP(A279,JanApport,MATCH($G$4,'Jan 2022 Apport'!$3:$3,0),FALSE)</f>
        <v>1134837.45</v>
      </c>
      <c r="H279" s="117">
        <f>VLOOKUP(A279,JanApport,MATCH($H$3,'Jan 2022 Apport'!$3:$3,0),FALSE)+VLOOKUP(A279,JanApport,MATCH($H$2,'Jan 2022 Apport'!$3:$3,0),FALSE)+VLOOKUP(A279,JanApport,MATCH($H$4,'Jan 2022 Apport'!$3:$3,0),FALSE)</f>
        <v>10054299.309999999</v>
      </c>
      <c r="I279" s="117">
        <f t="shared" si="44"/>
        <v>11189136.759999998</v>
      </c>
      <c r="J279" s="117">
        <f>VLOOKUP(A279,JanApport,MATCH($J$4,'Jan 2022 Apport'!$3:$3,0),FALSE)</f>
        <v>4348875.74</v>
      </c>
      <c r="K279" s="117">
        <f>VLOOKUP(A279,JanApport,MATCH($K$4,'Jan 2022 Apport'!$3:$3,0),FALSE)</f>
        <v>600883.73</v>
      </c>
      <c r="L279" s="117">
        <f t="shared" si="45"/>
        <v>4949759.4700000007</v>
      </c>
      <c r="M279" s="117">
        <f>VLOOKUP(A279,JanApport,MATCH($M$4,'Jan 2022 Apport'!$3:$3,0),FALSE)</f>
        <v>819359.48</v>
      </c>
      <c r="N279" s="117">
        <f>VLOOKUP(A279,JanApport,MATCH($N$4,'Jan 2022 Apport'!$3:$3,0),FALSE)</f>
        <v>681612.76</v>
      </c>
      <c r="O279" s="117">
        <f>VLOOKUP(A279,JanApport,MATCH($O$4,'Jan 2022 Apport'!$3:$3,0),FALSE)</f>
        <v>291252.58</v>
      </c>
      <c r="P279" s="121">
        <f>IFERROR((VLOOKUP(A279,ExcessLevy!A:G,3,FALSE)*0.28),0)+IFERROR((VLOOKUP(A279,ExcessLevy!A:G,6,FALSE)*0.72),0)</f>
        <v>1096638.5716000001</v>
      </c>
      <c r="Q279" s="121">
        <f>IFERROR((VLOOKUP(A279,ExcessLevy!A:G,4,FALSE)*0.4738),0)+IFERROR((VLOOKUP(A279,ExcessLevy!A:G,7,FALSE)*0.5262),0)</f>
        <v>16213271.4198</v>
      </c>
      <c r="R279">
        <f>VLOOKUP(A279,JanApport,MATCH($R$4,'Jan 2022 Apport'!$3:$3,0),FALSE)</f>
        <v>0</v>
      </c>
      <c r="S279">
        <f>VLOOKUP(A279,JanApport,MATCH($S$4,'Jan 2022 Apport'!$3:$3,0),FALSE)</f>
        <v>38.25</v>
      </c>
      <c r="T279">
        <f>VLOOKUP(A279,JanApport,MATCH($T$4,'Jan 2022 Apport'!$3:$3,0),FALSE)</f>
        <v>528.95000000000005</v>
      </c>
      <c r="U279" s="132">
        <f>IFERROR(VLOOKUP(A279,JanApport,MATCH($U$4,'Jan 2022 Apport'!$3:$3,0),FALSE)/R279,0)</f>
        <v>0</v>
      </c>
      <c r="V279" s="30">
        <f>IFERROR(((VLOOKUP(A279,JanApport,MATCH($V$4,'Jan 2022 Apport'!$3:$3,0),FALSE)+VLOOKUP(A279,JanApport,MATCH($V$3,'Jan 2022 Apport'!$3:$3,0),FALSE))/(S279+T279)),0)</f>
        <v>10248.111195345557</v>
      </c>
      <c r="W279" s="30">
        <f t="shared" si="38"/>
        <v>9095.3080904708331</v>
      </c>
      <c r="X279">
        <f>VLOOKUP(A279,JanApport,MATCH($X$4,'Jan 2022 Apport'!$3:$3,0),FALSE)</f>
        <v>4.8578999999999997E-2</v>
      </c>
      <c r="Y279">
        <f>VLOOKUP(A279,JanApport,MATCH($Y$4,'Jan 2022 Apport'!$3:$3,0),FALSE)</f>
        <v>4.0270000000000002E-3</v>
      </c>
      <c r="Z279">
        <f>VLOOKUP(A279,JanApport,MATCH($Z$4,'Jan 2022 Apport'!$3:$3,0),FALSE)</f>
        <v>1.7100000000000001E-2</v>
      </c>
      <c r="AA279" s="77">
        <f>VLOOKUP(A279,JanApport,MATCH($AA$4,'Jan 2022 Apport'!$3:$3,0),FALSE)*VLOOKUP(A279,JanApport,MATCH($AA$3,'Jan 2022 Apport'!$3:$3,0),FALSE)</f>
        <v>79750.3</v>
      </c>
      <c r="AB279" s="77">
        <f>VLOOKUP(A279,JanApport,MATCH($AB$4,'Jan 2022 Apport'!$3:$3,0),FALSE)*VLOOKUP(A279,JanApport,MATCH($AB$3,'Jan 2022 Apport'!$3:$3,0),FALSE)</f>
        <v>81345.659999999989</v>
      </c>
      <c r="AC279" s="77">
        <f>VLOOKUP(A279,JanApport,MATCH($AC$4,'Jan 2022 Apport'!$3:$3,0),FALSE)</f>
        <v>100321</v>
      </c>
      <c r="AD279" s="77">
        <f>VLOOKUP(A279,JanApport,MATCH($AD$4,'Jan 2022 Apport'!$3:$3,0),FALSE)*VLOOKUP(A279,JanApport,MATCH($AD$3,'Jan 2022 Apport'!$3:$3,0),FALSE)</f>
        <v>120745.86</v>
      </c>
      <c r="AE279" s="77">
        <f>VLOOKUP(A279,JanApport,MATCH($AE$4,'Jan 2022 Apport'!$3:$3,0),FALSE)</f>
        <v>48483</v>
      </c>
      <c r="AF279" s="77">
        <f>VLOOKUP(A279,JanApport,MATCH($AF$4,'Jan 2022 Apport'!$3:$3,0),FALSE)*VLOOKUP(A279,JanApport,MATCH($AF$3,'Jan 2022 Apport'!$3:$3,0),FALSE)</f>
        <v>58354.539999999994</v>
      </c>
      <c r="AG279" s="77">
        <f t="shared" si="39"/>
        <v>111657.36908199999</v>
      </c>
      <c r="AH279" s="77">
        <f t="shared" si="40"/>
        <v>159884.84570200002</v>
      </c>
      <c r="AI279" s="77">
        <f t="shared" si="41"/>
        <v>87896.402584467985</v>
      </c>
      <c r="AJ279" s="3">
        <f>VLOOKUP(A279,JanApport,MATCH($AJ$4,'Jan 2022 Apport'!$3:$3,0),FALSE)</f>
        <v>11012427.619999999</v>
      </c>
      <c r="AK279" s="3">
        <f>VLOOKUP(A279,JanApport,MATCH($AK$4,'Jan 2022 Apport'!$3:$3,0),FALSE)</f>
        <v>175.739</v>
      </c>
      <c r="AL279" s="117">
        <f t="shared" si="42"/>
        <v>104316289.99000001</v>
      </c>
      <c r="AM279" s="117">
        <f>VLOOKUP(A279,JanApport,MATCH($AM$4,'Jan 2022 Apport'!$3:$3,0),FALSE)</f>
        <v>0</v>
      </c>
      <c r="AN279" s="117">
        <f>VLOOKUP(A279,JanApport,MATCH($AN$4,'Jan 2022 Apport'!$3:$3,0),FALSE)</f>
        <v>742027.96</v>
      </c>
    </row>
    <row r="280" spans="1:40">
      <c r="A280" s="2" t="s">
        <v>559</v>
      </c>
      <c r="B280" s="2" t="s">
        <v>560</v>
      </c>
      <c r="C280" s="2" t="s">
        <v>1267</v>
      </c>
      <c r="D280" s="118">
        <f>VLOOKUP(A280,JanApport,MATCH($D$4,'Jan 2022 Apport'!$3:$3,FALSE),FALSE)</f>
        <v>2621706.2799999998</v>
      </c>
      <c r="E280" s="30">
        <f>VLOOKUP(A280,JanApport,MATCH($E$2,'Jan 2022 Apport'!$3:$3,0),FALSE)+VLOOKUP(A280,JanApport,MATCH($E$3,'Jan 2022 Apport'!$3:$3,0),FALSE)+VLOOKUP(A280,JanApport,MATCH($E$4,'Jan 2022 Apport'!$3:$3,0),FALSE)</f>
        <v>225828.71</v>
      </c>
      <c r="F280" s="118">
        <f t="shared" si="43"/>
        <v>2395877.5699999998</v>
      </c>
      <c r="G280" s="117">
        <f>VLOOKUP(A280,JanApport,MATCH($G$4,'Jan 2022 Apport'!$3:$3,0),FALSE)</f>
        <v>30500.1</v>
      </c>
      <c r="H280" s="117">
        <f>VLOOKUP(A280,JanApport,MATCH($H$3,'Jan 2022 Apport'!$3:$3,0),FALSE)+VLOOKUP(A280,JanApport,MATCH($H$2,'Jan 2022 Apport'!$3:$3,0),FALSE)+VLOOKUP(A280,JanApport,MATCH($H$4,'Jan 2022 Apport'!$3:$3,0),FALSE)</f>
        <v>229796.36000000002</v>
      </c>
      <c r="I280" s="117">
        <f t="shared" si="44"/>
        <v>260296.46000000002</v>
      </c>
      <c r="J280" s="117">
        <f>VLOOKUP(A280,JanApport,MATCH($J$4,'Jan 2022 Apport'!$3:$3,0),FALSE)</f>
        <v>143962.63</v>
      </c>
      <c r="K280" s="117">
        <f>VLOOKUP(A280,JanApport,MATCH($K$4,'Jan 2022 Apport'!$3:$3,0),FALSE)</f>
        <v>40301.47</v>
      </c>
      <c r="L280" s="117">
        <f t="shared" si="45"/>
        <v>184264.1</v>
      </c>
      <c r="M280" s="117">
        <f>VLOOKUP(A280,JanApport,MATCH($M$4,'Jan 2022 Apport'!$3:$3,0),FALSE)</f>
        <v>70576.08</v>
      </c>
      <c r="N280" s="117">
        <f>VLOOKUP(A280,JanApport,MATCH($N$4,'Jan 2022 Apport'!$3:$3,0),FALSE)</f>
        <v>0</v>
      </c>
      <c r="O280" s="117">
        <f>VLOOKUP(A280,JanApport,MATCH($O$4,'Jan 2022 Apport'!$3:$3,0),FALSE)</f>
        <v>0</v>
      </c>
      <c r="P280" s="121">
        <f>IFERROR((VLOOKUP(A280,ExcessLevy!A:G,3,FALSE)*0.28),0)+IFERROR((VLOOKUP(A280,ExcessLevy!A:G,6,FALSE)*0.72),0)</f>
        <v>174811.14240000001</v>
      </c>
      <c r="Q280" s="121">
        <f>IFERROR((VLOOKUP(A280,ExcessLevy!A:G,4,FALSE)*0.4738),0)+IFERROR((VLOOKUP(A280,ExcessLevy!A:G,7,FALSE)*0.5262),0)</f>
        <v>225033.6464</v>
      </c>
      <c r="R280">
        <f>VLOOKUP(A280,JanApport,MATCH($R$4,'Jan 2022 Apport'!$3:$3,0),FALSE)</f>
        <v>0</v>
      </c>
      <c r="S280">
        <f>VLOOKUP(A280,JanApport,MATCH($S$4,'Jan 2022 Apport'!$3:$3,0),FALSE)</f>
        <v>3.3</v>
      </c>
      <c r="T280">
        <f>VLOOKUP(A280,JanApport,MATCH($T$4,'Jan 2022 Apport'!$3:$3,0),FALSE)</f>
        <v>21.49</v>
      </c>
      <c r="U280" s="132">
        <f>IFERROR(VLOOKUP(A280,JanApport,MATCH($U$4,'Jan 2022 Apport'!$3:$3,0),FALSE)/R280,0)</f>
        <v>0</v>
      </c>
      <c r="V280" s="30">
        <f>IFERROR(((VLOOKUP(A280,JanApport,MATCH($V$4,'Jan 2022 Apport'!$3:$3,0),FALSE)+VLOOKUP(A280,JanApport,MATCH($V$3,'Jan 2022 Apport'!$3:$3,0),FALSE))/(S280+T280)),0)</f>
        <v>9109.6696248487297</v>
      </c>
      <c r="W280" s="30">
        <f t="shared" si="38"/>
        <v>8083.6246967786601</v>
      </c>
      <c r="X280">
        <f>VLOOKUP(A280,JanApport,MATCH($X$4,'Jan 2022 Apport'!$3:$3,0),FALSE)</f>
        <v>4.8578999999999997E-2</v>
      </c>
      <c r="Y280">
        <f>VLOOKUP(A280,JanApport,MATCH($Y$4,'Jan 2022 Apport'!$3:$3,0),FALSE)</f>
        <v>4.0270000000000002E-3</v>
      </c>
      <c r="Z280">
        <f>VLOOKUP(A280,JanApport,MATCH($Z$4,'Jan 2022 Apport'!$3:$3,0),FALSE)</f>
        <v>1.7100000000000001E-2</v>
      </c>
      <c r="AA280" s="77">
        <f>VLOOKUP(A280,JanApport,MATCH($AA$4,'Jan 2022 Apport'!$3:$3,0),FALSE)*VLOOKUP(A280,JanApport,MATCH($AA$3,'Jan 2022 Apport'!$3:$3,0),FALSE)</f>
        <v>67585</v>
      </c>
      <c r="AB280" s="77">
        <f>VLOOKUP(A280,JanApport,MATCH($AB$4,'Jan 2022 Apport'!$3:$3,0),FALSE)*VLOOKUP(A280,JanApport,MATCH($AB$3,'Jan 2022 Apport'!$3:$3,0),FALSE)</f>
        <v>68937</v>
      </c>
      <c r="AC280" s="77">
        <f>VLOOKUP(A280,JanApport,MATCH($AC$4,'Jan 2022 Apport'!$3:$3,0),FALSE)</f>
        <v>100321</v>
      </c>
      <c r="AD280" s="77">
        <f>VLOOKUP(A280,JanApport,MATCH($AD$4,'Jan 2022 Apport'!$3:$3,0),FALSE)*VLOOKUP(A280,JanApport,MATCH($AD$3,'Jan 2022 Apport'!$3:$3,0),FALSE)</f>
        <v>102327</v>
      </c>
      <c r="AE280" s="77">
        <f>VLOOKUP(A280,JanApport,MATCH($AE$4,'Jan 2022 Apport'!$3:$3,0),FALSE)</f>
        <v>48483</v>
      </c>
      <c r="AF280" s="77">
        <f>VLOOKUP(A280,JanApport,MATCH($AF$4,'Jan 2022 Apport'!$3:$3,0),FALSE)*VLOOKUP(A280,JanApport,MATCH($AF$3,'Jan 2022 Apport'!$3:$3,0),FALSE)</f>
        <v>49453</v>
      </c>
      <c r="AG280" s="77">
        <f t="shared" si="39"/>
        <v>96432.259900000005</v>
      </c>
      <c r="AH280" s="77">
        <f t="shared" si="40"/>
        <v>137400.94330000001</v>
      </c>
      <c r="AI280" s="77">
        <f t="shared" si="41"/>
        <v>77281.189732599989</v>
      </c>
      <c r="AJ280" s="3">
        <f>VLOOKUP(A280,JanApport,MATCH($AJ$4,'Jan 2022 Apport'!$3:$3,0),FALSE)</f>
        <v>297284.2</v>
      </c>
      <c r="AK280" s="3">
        <f>VLOOKUP(A280,JanApport,MATCH($AK$4,'Jan 2022 Apport'!$3:$3,0),FALSE)</f>
        <v>3.7679999999999998</v>
      </c>
      <c r="AL280" s="117">
        <f t="shared" si="42"/>
        <v>3146967.4</v>
      </c>
      <c r="AM280" s="117">
        <f>VLOOKUP(A280,JanApport,MATCH($AM$4,'Jan 2022 Apport'!$3:$3,0),FALSE)</f>
        <v>50425.95</v>
      </c>
      <c r="AN280" s="117">
        <f>VLOOKUP(A280,JanApport,MATCH($AN$4,'Jan 2022 Apport'!$3:$3,0),FALSE)</f>
        <v>21459.279999999999</v>
      </c>
    </row>
    <row r="281" spans="1:40">
      <c r="A281" s="2" t="s">
        <v>521</v>
      </c>
      <c r="B281" s="2" t="s">
        <v>522</v>
      </c>
      <c r="C281" s="2" t="s">
        <v>1267</v>
      </c>
      <c r="D281" s="118">
        <f>VLOOKUP(A281,JanApport,MATCH($D$4,'Jan 2022 Apport'!$3:$3,FALSE),FALSE)</f>
        <v>10799193.800000001</v>
      </c>
      <c r="E281" s="30">
        <f>VLOOKUP(A281,JanApport,MATCH($E$2,'Jan 2022 Apport'!$3:$3,0),FALSE)+VLOOKUP(A281,JanApport,MATCH($E$3,'Jan 2022 Apport'!$3:$3,0),FALSE)+VLOOKUP(A281,JanApport,MATCH($E$4,'Jan 2022 Apport'!$3:$3,0),FALSE)</f>
        <v>1052481.73</v>
      </c>
      <c r="F281" s="118">
        <f t="shared" si="43"/>
        <v>9746712.0700000003</v>
      </c>
      <c r="G281" s="117">
        <f>VLOOKUP(A281,JanApport,MATCH($G$4,'Jan 2022 Apport'!$3:$3,0),FALSE)</f>
        <v>104079.26</v>
      </c>
      <c r="H281" s="117">
        <f>VLOOKUP(A281,JanApport,MATCH($H$3,'Jan 2022 Apport'!$3:$3,0),FALSE)+VLOOKUP(A281,JanApport,MATCH($H$2,'Jan 2022 Apport'!$3:$3,0),FALSE)+VLOOKUP(A281,JanApport,MATCH($H$4,'Jan 2022 Apport'!$3:$3,0),FALSE)</f>
        <v>1444141.89</v>
      </c>
      <c r="I281" s="117">
        <f t="shared" si="44"/>
        <v>1548221.15</v>
      </c>
      <c r="J281" s="117">
        <f>VLOOKUP(A281,JanApport,MATCH($J$4,'Jan 2022 Apport'!$3:$3,0),FALSE)</f>
        <v>1070121.72</v>
      </c>
      <c r="K281" s="117">
        <f>VLOOKUP(A281,JanApport,MATCH($K$4,'Jan 2022 Apport'!$3:$3,0),FALSE)</f>
        <v>0</v>
      </c>
      <c r="L281" s="117">
        <f t="shared" si="45"/>
        <v>1070121.72</v>
      </c>
      <c r="M281" s="117">
        <f>VLOOKUP(A281,JanApport,MATCH($M$4,'Jan 2022 Apport'!$3:$3,0),FALSE)</f>
        <v>371674.34</v>
      </c>
      <c r="N281" s="117">
        <f>VLOOKUP(A281,JanApport,MATCH($N$4,'Jan 2022 Apport'!$3:$3,0),FALSE)</f>
        <v>15653.56</v>
      </c>
      <c r="O281" s="117">
        <f>VLOOKUP(A281,JanApport,MATCH($O$4,'Jan 2022 Apport'!$3:$3,0),FALSE)</f>
        <v>34829.19</v>
      </c>
      <c r="P281" s="121">
        <f>IFERROR((VLOOKUP(A281,ExcessLevy!A:G,3,FALSE)*0.28),0)+IFERROR((VLOOKUP(A281,ExcessLevy!A:G,6,FALSE)*0.72),0)</f>
        <v>73651.636800000007</v>
      </c>
      <c r="Q281" s="121">
        <f>IFERROR((VLOOKUP(A281,ExcessLevy!A:G,4,FALSE)*0.4738),0)+IFERROR((VLOOKUP(A281,ExcessLevy!A:G,7,FALSE)*0.5262),0)</f>
        <v>3382925.6821999997</v>
      </c>
      <c r="R281">
        <f>VLOOKUP(A281,JanApport,MATCH($R$4,'Jan 2022 Apport'!$3:$3,0),FALSE)</f>
        <v>0</v>
      </c>
      <c r="S281">
        <f>VLOOKUP(A281,JanApport,MATCH($S$4,'Jan 2022 Apport'!$3:$3,0),FALSE)</f>
        <v>28.85</v>
      </c>
      <c r="T281">
        <f>VLOOKUP(A281,JanApport,MATCH($T$4,'Jan 2022 Apport'!$3:$3,0),FALSE)</f>
        <v>89.12</v>
      </c>
      <c r="U281" s="132">
        <f>IFERROR(VLOOKUP(A281,JanApport,MATCH($U$4,'Jan 2022 Apport'!$3:$3,0),FALSE)/R281,0)</f>
        <v>0</v>
      </c>
      <c r="V281" s="30">
        <f>IFERROR(((VLOOKUP(A281,JanApport,MATCH($V$4,'Jan 2022 Apport'!$3:$3,0),FALSE)+VLOOKUP(A281,JanApport,MATCH($V$3,'Jan 2022 Apport'!$3:$3,0),FALSE))/(S281+T281)),0)</f>
        <v>8921.6048995507335</v>
      </c>
      <c r="W281" s="30">
        <f t="shared" si="38"/>
        <v>8083.6246967786601</v>
      </c>
      <c r="X281">
        <f>VLOOKUP(A281,JanApport,MATCH($X$4,'Jan 2022 Apport'!$3:$3,0),FALSE)</f>
        <v>4.8578999999999997E-2</v>
      </c>
      <c r="Y281">
        <f>VLOOKUP(A281,JanApport,MATCH($Y$4,'Jan 2022 Apport'!$3:$3,0),FALSE)</f>
        <v>4.0270000000000002E-3</v>
      </c>
      <c r="Z281">
        <f>VLOOKUP(A281,JanApport,MATCH($Z$4,'Jan 2022 Apport'!$3:$3,0),FALSE)</f>
        <v>1.7100000000000001E-2</v>
      </c>
      <c r="AA281" s="77">
        <f>VLOOKUP(A281,JanApport,MATCH($AA$4,'Jan 2022 Apport'!$3:$3,0),FALSE)*VLOOKUP(A281,JanApport,MATCH($AA$3,'Jan 2022 Apport'!$3:$3,0),FALSE)</f>
        <v>67585</v>
      </c>
      <c r="AB281" s="77">
        <f>VLOOKUP(A281,JanApport,MATCH($AB$4,'Jan 2022 Apport'!$3:$3,0),FALSE)*VLOOKUP(A281,JanApport,MATCH($AB$3,'Jan 2022 Apport'!$3:$3,0),FALSE)</f>
        <v>68937</v>
      </c>
      <c r="AC281" s="77">
        <f>VLOOKUP(A281,JanApport,MATCH($AC$4,'Jan 2022 Apport'!$3:$3,0),FALSE)</f>
        <v>100321</v>
      </c>
      <c r="AD281" s="77">
        <f>VLOOKUP(A281,JanApport,MATCH($AD$4,'Jan 2022 Apport'!$3:$3,0),FALSE)*VLOOKUP(A281,JanApport,MATCH($AD$3,'Jan 2022 Apport'!$3:$3,0),FALSE)</f>
        <v>102327</v>
      </c>
      <c r="AE281" s="77">
        <f>VLOOKUP(A281,JanApport,MATCH($AE$4,'Jan 2022 Apport'!$3:$3,0),FALSE)</f>
        <v>48483</v>
      </c>
      <c r="AF281" s="77">
        <f>VLOOKUP(A281,JanApport,MATCH($AF$4,'Jan 2022 Apport'!$3:$3,0),FALSE)*VLOOKUP(A281,JanApport,MATCH($AF$3,'Jan 2022 Apport'!$3:$3,0),FALSE)</f>
        <v>49453</v>
      </c>
      <c r="AG281" s="77">
        <f t="shared" si="39"/>
        <v>96432.259900000005</v>
      </c>
      <c r="AH281" s="77">
        <f t="shared" si="40"/>
        <v>137400.94330000001</v>
      </c>
      <c r="AI281" s="77">
        <f t="shared" si="41"/>
        <v>77281.189732599989</v>
      </c>
      <c r="AJ281" s="3">
        <f>VLOOKUP(A281,JanApport,MATCH($AJ$4,'Jan 2022 Apport'!$3:$3,0),FALSE)</f>
        <v>1529855.92</v>
      </c>
      <c r="AK281" s="3">
        <f>VLOOKUP(A281,JanApport,MATCH($AK$4,'Jan 2022 Apport'!$3:$3,0),FALSE)</f>
        <v>23.797000000000001</v>
      </c>
      <c r="AL281" s="117">
        <f t="shared" si="42"/>
        <v>14003860.530000001</v>
      </c>
      <c r="AM281" s="117">
        <f>VLOOKUP(A281,JanApport,MATCH($AM$4,'Jan 2022 Apport'!$3:$3,0),FALSE)</f>
        <v>164166.76999999999</v>
      </c>
      <c r="AN281" s="117">
        <f>VLOOKUP(A281,JanApport,MATCH($AN$4,'Jan 2022 Apport'!$3:$3,0),FALSE)</f>
        <v>84043.4</v>
      </c>
    </row>
    <row r="282" spans="1:40">
      <c r="A282" s="2" t="s">
        <v>243</v>
      </c>
      <c r="B282" s="2" t="s">
        <v>244</v>
      </c>
      <c r="C282" s="2" t="s">
        <v>1267</v>
      </c>
      <c r="D282" s="118">
        <f>VLOOKUP(A282,JanApport,MATCH($D$4,'Jan 2022 Apport'!$3:$3,FALSE),FALSE)</f>
        <v>3014026.33</v>
      </c>
      <c r="E282" s="30">
        <f>VLOOKUP(A282,JanApport,MATCH($E$2,'Jan 2022 Apport'!$3:$3,0),FALSE)+VLOOKUP(A282,JanApport,MATCH($E$3,'Jan 2022 Apport'!$3:$3,0),FALSE)+VLOOKUP(A282,JanApport,MATCH($E$4,'Jan 2022 Apport'!$3:$3,0),FALSE)</f>
        <v>120400.56</v>
      </c>
      <c r="F282" s="118">
        <f t="shared" si="43"/>
        <v>2893625.77</v>
      </c>
      <c r="G282" s="117">
        <f>VLOOKUP(A282,JanApport,MATCH($G$4,'Jan 2022 Apport'!$3:$3,0),FALSE)</f>
        <v>35087.410000000003</v>
      </c>
      <c r="H282" s="117">
        <f>VLOOKUP(A282,JanApport,MATCH($H$3,'Jan 2022 Apport'!$3:$3,0),FALSE)+VLOOKUP(A282,JanApport,MATCH($H$2,'Jan 2022 Apport'!$3:$3,0),FALSE)+VLOOKUP(A282,JanApport,MATCH($H$4,'Jan 2022 Apport'!$3:$3,0),FALSE)</f>
        <v>264682.38</v>
      </c>
      <c r="I282" s="117">
        <f t="shared" si="44"/>
        <v>299769.79000000004</v>
      </c>
      <c r="J282" s="117">
        <f>VLOOKUP(A282,JanApport,MATCH($J$4,'Jan 2022 Apport'!$3:$3,0),FALSE)</f>
        <v>137417.76</v>
      </c>
      <c r="K282" s="117">
        <f>VLOOKUP(A282,JanApport,MATCH($K$4,'Jan 2022 Apport'!$3:$3,0),FALSE)</f>
        <v>40397.449999999997</v>
      </c>
      <c r="L282" s="117">
        <f t="shared" si="45"/>
        <v>177815.21000000002</v>
      </c>
      <c r="M282" s="117">
        <f>VLOOKUP(A282,JanApport,MATCH($M$4,'Jan 2022 Apport'!$3:$3,0),FALSE)</f>
        <v>49895.73</v>
      </c>
      <c r="N282" s="117">
        <f>VLOOKUP(A282,JanApport,MATCH($N$4,'Jan 2022 Apport'!$3:$3,0),FALSE)</f>
        <v>3913.39</v>
      </c>
      <c r="O282" s="117">
        <f>VLOOKUP(A282,JanApport,MATCH($O$4,'Jan 2022 Apport'!$3:$3,0),FALSE)</f>
        <v>6261.43</v>
      </c>
      <c r="P282" s="121">
        <f>IFERROR((VLOOKUP(A282,ExcessLevy!A:G,3,FALSE)*0.28),0)+IFERROR((VLOOKUP(A282,ExcessLevy!A:G,6,FALSE)*0.72),0)</f>
        <v>0</v>
      </c>
      <c r="Q282" s="121">
        <f>IFERROR((VLOOKUP(A282,ExcessLevy!A:G,4,FALSE)*0.4738),0)+IFERROR((VLOOKUP(A282,ExcessLevy!A:G,7,FALSE)*0.5262),0)</f>
        <v>589946.69699999993</v>
      </c>
      <c r="R282">
        <f>VLOOKUP(A282,JanApport,MATCH($R$4,'Jan 2022 Apport'!$3:$3,0),FALSE)</f>
        <v>0</v>
      </c>
      <c r="S282">
        <f>VLOOKUP(A282,JanApport,MATCH($S$4,'Jan 2022 Apport'!$3:$3,0),FALSE)</f>
        <v>3.47</v>
      </c>
      <c r="T282">
        <f>VLOOKUP(A282,JanApport,MATCH($T$4,'Jan 2022 Apport'!$3:$3,0),FALSE)</f>
        <v>10.039999999999999</v>
      </c>
      <c r="U282" s="132">
        <f>IFERROR(VLOOKUP(A282,JanApport,MATCH($U$4,'Jan 2022 Apport'!$3:$3,0),FALSE)/R282,0)</f>
        <v>0</v>
      </c>
      <c r="V282" s="30">
        <f>IFERROR(((VLOOKUP(A282,JanApport,MATCH($V$4,'Jan 2022 Apport'!$3:$3,0),FALSE)+VLOOKUP(A282,JanApport,MATCH($V$3,'Jan 2022 Apport'!$3:$3,0),FALSE))/(S282+T282)),0)</f>
        <v>8911.958549222798</v>
      </c>
      <c r="W282" s="30">
        <f t="shared" si="38"/>
        <v>8083.6246967786601</v>
      </c>
      <c r="X282">
        <f>VLOOKUP(A282,JanApport,MATCH($X$4,'Jan 2022 Apport'!$3:$3,0),FALSE)</f>
        <v>4.8578999999999997E-2</v>
      </c>
      <c r="Y282">
        <f>VLOOKUP(A282,JanApport,MATCH($Y$4,'Jan 2022 Apport'!$3:$3,0),FALSE)</f>
        <v>4.0270000000000002E-3</v>
      </c>
      <c r="Z282">
        <f>VLOOKUP(A282,JanApport,MATCH($Z$4,'Jan 2022 Apport'!$3:$3,0),FALSE)</f>
        <v>1.7100000000000001E-2</v>
      </c>
      <c r="AA282" s="77">
        <f>VLOOKUP(A282,JanApport,MATCH($AA$4,'Jan 2022 Apport'!$3:$3,0),FALSE)*VLOOKUP(A282,JanApport,MATCH($AA$3,'Jan 2022 Apport'!$3:$3,0),FALSE)</f>
        <v>67585</v>
      </c>
      <c r="AB282" s="77">
        <f>VLOOKUP(A282,JanApport,MATCH($AB$4,'Jan 2022 Apport'!$3:$3,0),FALSE)*VLOOKUP(A282,JanApport,MATCH($AB$3,'Jan 2022 Apport'!$3:$3,0),FALSE)</f>
        <v>68937</v>
      </c>
      <c r="AC282" s="77">
        <f>VLOOKUP(A282,JanApport,MATCH($AC$4,'Jan 2022 Apport'!$3:$3,0),FALSE)</f>
        <v>100321</v>
      </c>
      <c r="AD282" s="77">
        <f>VLOOKUP(A282,JanApport,MATCH($AD$4,'Jan 2022 Apport'!$3:$3,0),FALSE)*VLOOKUP(A282,JanApport,MATCH($AD$3,'Jan 2022 Apport'!$3:$3,0),FALSE)</f>
        <v>102327</v>
      </c>
      <c r="AE282" s="77">
        <f>VLOOKUP(A282,JanApport,MATCH($AE$4,'Jan 2022 Apport'!$3:$3,0),FALSE)</f>
        <v>48483</v>
      </c>
      <c r="AF282" s="77">
        <f>VLOOKUP(A282,JanApport,MATCH($AF$4,'Jan 2022 Apport'!$3:$3,0),FALSE)*VLOOKUP(A282,JanApport,MATCH($AF$3,'Jan 2022 Apport'!$3:$3,0),FALSE)</f>
        <v>49453</v>
      </c>
      <c r="AG282" s="77">
        <f t="shared" si="39"/>
        <v>96432.259900000005</v>
      </c>
      <c r="AH282" s="77">
        <f t="shared" si="40"/>
        <v>137400.94330000001</v>
      </c>
      <c r="AI282" s="77">
        <f t="shared" si="41"/>
        <v>77281.189732599989</v>
      </c>
      <c r="AJ282" s="3">
        <f>VLOOKUP(A282,JanApport,MATCH($AJ$4,'Jan 2022 Apport'!$3:$3,0),FALSE)</f>
        <v>372056.86</v>
      </c>
      <c r="AK282" s="3">
        <f>VLOOKUP(A282,JanApport,MATCH($AK$4,'Jan 2022 Apport'!$3:$3,0),FALSE)</f>
        <v>5.1589999999999998</v>
      </c>
      <c r="AL282" s="117">
        <f t="shared" si="42"/>
        <v>3511284.4300000006</v>
      </c>
      <c r="AM282" s="117">
        <f>VLOOKUP(A282,JanApport,MATCH($AM$4,'Jan 2022 Apport'!$3:$3,0),FALSE)</f>
        <v>0</v>
      </c>
      <c r="AN282" s="117">
        <f>VLOOKUP(A282,JanApport,MATCH($AN$4,'Jan 2022 Apport'!$3:$3,0),FALSE)</f>
        <v>25997.17</v>
      </c>
    </row>
    <row r="283" spans="1:40">
      <c r="A283" s="2" t="s">
        <v>285</v>
      </c>
      <c r="B283" s="2" t="s">
        <v>286</v>
      </c>
      <c r="C283" s="2" t="s">
        <v>1267</v>
      </c>
      <c r="D283" s="118">
        <f>VLOOKUP(A283,JanApport,MATCH($D$4,'Jan 2022 Apport'!$3:$3,FALSE),FALSE)</f>
        <v>7275639.04</v>
      </c>
      <c r="E283" s="30">
        <f>VLOOKUP(A283,JanApport,MATCH($E$2,'Jan 2022 Apport'!$3:$3,0),FALSE)+VLOOKUP(A283,JanApport,MATCH($E$3,'Jan 2022 Apport'!$3:$3,0),FALSE)+VLOOKUP(A283,JanApport,MATCH($E$4,'Jan 2022 Apport'!$3:$3,0),FALSE)</f>
        <v>612798.32000000007</v>
      </c>
      <c r="F283" s="118">
        <f t="shared" si="43"/>
        <v>6662840.7199999997</v>
      </c>
      <c r="G283" s="117">
        <f>VLOOKUP(A283,JanApport,MATCH($G$4,'Jan 2022 Apport'!$3:$3,0),FALSE)</f>
        <v>70420.509999999995</v>
      </c>
      <c r="H283" s="117">
        <f>VLOOKUP(A283,JanApport,MATCH($H$3,'Jan 2022 Apport'!$3:$3,0),FALSE)+VLOOKUP(A283,JanApport,MATCH($H$2,'Jan 2022 Apport'!$3:$3,0),FALSE)+VLOOKUP(A283,JanApport,MATCH($H$4,'Jan 2022 Apport'!$3:$3,0),FALSE)</f>
        <v>942807.57000000007</v>
      </c>
      <c r="I283" s="117">
        <f t="shared" si="44"/>
        <v>1013228.0800000001</v>
      </c>
      <c r="J283" s="117">
        <f>VLOOKUP(A283,JanApport,MATCH($J$4,'Jan 2022 Apport'!$3:$3,0),FALSE)</f>
        <v>516354.87</v>
      </c>
      <c r="K283" s="117">
        <f>VLOOKUP(A283,JanApport,MATCH($K$4,'Jan 2022 Apport'!$3:$3,0),FALSE)</f>
        <v>81511.460000000006</v>
      </c>
      <c r="L283" s="117">
        <f t="shared" si="45"/>
        <v>597866.32999999996</v>
      </c>
      <c r="M283" s="117">
        <f>VLOOKUP(A283,JanApport,MATCH($M$4,'Jan 2022 Apport'!$3:$3,0),FALSE)</f>
        <v>246763.18</v>
      </c>
      <c r="N283" s="117">
        <f>VLOOKUP(A283,JanApport,MATCH($N$4,'Jan 2022 Apport'!$3:$3,0),FALSE)</f>
        <v>13568.43</v>
      </c>
      <c r="O283" s="117">
        <f>VLOOKUP(A283,JanApport,MATCH($O$4,'Jan 2022 Apport'!$3:$3,0),FALSE)</f>
        <v>23289.09</v>
      </c>
      <c r="P283" s="121">
        <f>IFERROR((VLOOKUP(A283,ExcessLevy!A:G,3,FALSE)*0.28),0)+IFERROR((VLOOKUP(A283,ExcessLevy!A:G,6,FALSE)*0.72),0)</f>
        <v>166019.21480000002</v>
      </c>
      <c r="Q283" s="121">
        <f>IFERROR((VLOOKUP(A283,ExcessLevy!A:G,4,FALSE)*0.4738),0)+IFERROR((VLOOKUP(A283,ExcessLevy!A:G,7,FALSE)*0.5262),0)</f>
        <v>1002871</v>
      </c>
      <c r="R283">
        <f>VLOOKUP(A283,JanApport,MATCH($R$4,'Jan 2022 Apport'!$3:$3,0),FALSE)</f>
        <v>0</v>
      </c>
      <c r="S283">
        <f>VLOOKUP(A283,JanApport,MATCH($S$4,'Jan 2022 Apport'!$3:$3,0),FALSE)</f>
        <v>17.43</v>
      </c>
      <c r="T283">
        <f>VLOOKUP(A283,JanApport,MATCH($T$4,'Jan 2022 Apport'!$3:$3,0),FALSE)</f>
        <v>49.86</v>
      </c>
      <c r="U283" s="132">
        <f>IFERROR(VLOOKUP(A283,JanApport,MATCH($U$4,'Jan 2022 Apport'!$3:$3,0),FALSE)/R283,0)</f>
        <v>0</v>
      </c>
      <c r="V283" s="30">
        <f>IFERROR(((VLOOKUP(A283,JanApport,MATCH($V$4,'Jan 2022 Apport'!$3:$3,0),FALSE)+VLOOKUP(A283,JanApport,MATCH($V$3,'Jan 2022 Apport'!$3:$3,0),FALSE))/(S283+T283)),0)</f>
        <v>9106.8259771139856</v>
      </c>
      <c r="W283" s="30">
        <f t="shared" si="38"/>
        <v>8083.6246967786601</v>
      </c>
      <c r="X283">
        <f>VLOOKUP(A283,JanApport,MATCH($X$4,'Jan 2022 Apport'!$3:$3,0),FALSE)</f>
        <v>4.8578999999999997E-2</v>
      </c>
      <c r="Y283">
        <f>VLOOKUP(A283,JanApport,MATCH($Y$4,'Jan 2022 Apport'!$3:$3,0),FALSE)</f>
        <v>4.0270000000000002E-3</v>
      </c>
      <c r="Z283">
        <f>VLOOKUP(A283,JanApport,MATCH($Z$4,'Jan 2022 Apport'!$3:$3,0),FALSE)</f>
        <v>1.7100000000000001E-2</v>
      </c>
      <c r="AA283" s="77">
        <f>VLOOKUP(A283,JanApport,MATCH($AA$4,'Jan 2022 Apport'!$3:$3,0),FALSE)*VLOOKUP(A283,JanApport,MATCH($AA$3,'Jan 2022 Apport'!$3:$3,0),FALSE)</f>
        <v>67585</v>
      </c>
      <c r="AB283" s="77">
        <f>VLOOKUP(A283,JanApport,MATCH($AB$4,'Jan 2022 Apport'!$3:$3,0),FALSE)*VLOOKUP(A283,JanApport,MATCH($AB$3,'Jan 2022 Apport'!$3:$3,0),FALSE)</f>
        <v>68937</v>
      </c>
      <c r="AC283" s="77">
        <f>VLOOKUP(A283,JanApport,MATCH($AC$4,'Jan 2022 Apport'!$3:$3,0),FALSE)</f>
        <v>100321</v>
      </c>
      <c r="AD283" s="77">
        <f>VLOOKUP(A283,JanApport,MATCH($AD$4,'Jan 2022 Apport'!$3:$3,0),FALSE)*VLOOKUP(A283,JanApport,MATCH($AD$3,'Jan 2022 Apport'!$3:$3,0),FALSE)</f>
        <v>102327</v>
      </c>
      <c r="AE283" s="77">
        <f>VLOOKUP(A283,JanApport,MATCH($AE$4,'Jan 2022 Apport'!$3:$3,0),FALSE)</f>
        <v>48483</v>
      </c>
      <c r="AF283" s="77">
        <f>VLOOKUP(A283,JanApport,MATCH($AF$4,'Jan 2022 Apport'!$3:$3,0),FALSE)*VLOOKUP(A283,JanApport,MATCH($AF$3,'Jan 2022 Apport'!$3:$3,0),FALSE)</f>
        <v>49453</v>
      </c>
      <c r="AG283" s="77">
        <f t="shared" si="39"/>
        <v>96432.259900000005</v>
      </c>
      <c r="AH283" s="77">
        <f t="shared" si="40"/>
        <v>137400.94330000001</v>
      </c>
      <c r="AI283" s="77">
        <f t="shared" si="41"/>
        <v>77281.189732599989</v>
      </c>
      <c r="AJ283" s="3">
        <f>VLOOKUP(A283,JanApport,MATCH($AJ$4,'Jan 2022 Apport'!$3:$3,0),FALSE)</f>
        <v>940139.03</v>
      </c>
      <c r="AK283" s="3">
        <f>VLOOKUP(A283,JanApport,MATCH($AK$4,'Jan 2022 Apport'!$3:$3,0),FALSE)</f>
        <v>16.561</v>
      </c>
      <c r="AL283" s="117">
        <f t="shared" si="42"/>
        <v>9257638.0099999998</v>
      </c>
      <c r="AM283" s="117">
        <f>VLOOKUP(A283,JanApport,MATCH($AM$4,'Jan 2022 Apport'!$3:$3,0),FALSE)</f>
        <v>168795.32</v>
      </c>
      <c r="AN283" s="117">
        <f>VLOOKUP(A283,JanApport,MATCH($AN$4,'Jan 2022 Apport'!$3:$3,0),FALSE)</f>
        <v>54612.35</v>
      </c>
    </row>
    <row r="284" spans="1:40">
      <c r="A284" s="2" t="s">
        <v>339</v>
      </c>
      <c r="B284" s="2" t="s">
        <v>340</v>
      </c>
      <c r="C284" s="2" t="s">
        <v>1267</v>
      </c>
      <c r="D284" s="118">
        <f>VLOOKUP(A284,JanApport,MATCH($D$4,'Jan 2022 Apport'!$3:$3,FALSE),FALSE)</f>
        <v>9900993.8599999994</v>
      </c>
      <c r="E284" s="30">
        <f>VLOOKUP(A284,JanApport,MATCH($E$2,'Jan 2022 Apport'!$3:$3,0),FALSE)+VLOOKUP(A284,JanApport,MATCH($E$3,'Jan 2022 Apport'!$3:$3,0),FALSE)+VLOOKUP(A284,JanApport,MATCH($E$4,'Jan 2022 Apport'!$3:$3,0),FALSE)</f>
        <v>380689.68000000005</v>
      </c>
      <c r="F284" s="118">
        <f t="shared" si="43"/>
        <v>9520304.1799999997</v>
      </c>
      <c r="G284" s="117">
        <f>VLOOKUP(A284,JanApport,MATCH($G$4,'Jan 2022 Apport'!$3:$3,0),FALSE)</f>
        <v>120509.26</v>
      </c>
      <c r="H284" s="117">
        <f>VLOOKUP(A284,JanApport,MATCH($H$3,'Jan 2022 Apport'!$3:$3,0),FALSE)+VLOOKUP(A284,JanApport,MATCH($H$2,'Jan 2022 Apport'!$3:$3,0),FALSE)+VLOOKUP(A284,JanApport,MATCH($H$4,'Jan 2022 Apport'!$3:$3,0),FALSE)</f>
        <v>1052781.49</v>
      </c>
      <c r="I284" s="117">
        <f t="shared" si="44"/>
        <v>1173290.75</v>
      </c>
      <c r="J284" s="117">
        <f>VLOOKUP(A284,JanApport,MATCH($J$4,'Jan 2022 Apport'!$3:$3,0),FALSE)</f>
        <v>960237.1</v>
      </c>
      <c r="K284" s="117">
        <f>VLOOKUP(A284,JanApport,MATCH($K$4,'Jan 2022 Apport'!$3:$3,0),FALSE)</f>
        <v>212318.71</v>
      </c>
      <c r="L284" s="117">
        <f t="shared" si="45"/>
        <v>1172555.81</v>
      </c>
      <c r="M284" s="117">
        <f>VLOOKUP(A284,JanApport,MATCH($M$4,'Jan 2022 Apport'!$3:$3,0),FALSE)</f>
        <v>501990.27</v>
      </c>
      <c r="N284" s="117">
        <f>VLOOKUP(A284,JanApport,MATCH($N$4,'Jan 2022 Apport'!$3:$3,0),FALSE)</f>
        <v>203594.17</v>
      </c>
      <c r="O284" s="117">
        <f>VLOOKUP(A284,JanApport,MATCH($O$4,'Jan 2022 Apport'!$3:$3,0),FALSE)</f>
        <v>32089.82</v>
      </c>
      <c r="P284" s="121">
        <f>IFERROR((VLOOKUP(A284,ExcessLevy!A:G,3,FALSE)*0.28),0)+IFERROR((VLOOKUP(A284,ExcessLevy!A:G,6,FALSE)*0.72),0)</f>
        <v>925512.6719999999</v>
      </c>
      <c r="Q284" s="121">
        <f>IFERROR((VLOOKUP(A284,ExcessLevy!A:G,4,FALSE)*0.4738),0)+IFERROR((VLOOKUP(A284,ExcessLevy!A:G,7,FALSE)*0.5262),0)</f>
        <v>901346.49439999997</v>
      </c>
      <c r="R284">
        <f>VLOOKUP(A284,JanApport,MATCH($R$4,'Jan 2022 Apport'!$3:$3,0),FALSE)</f>
        <v>0</v>
      </c>
      <c r="S284">
        <f>VLOOKUP(A284,JanApport,MATCH($S$4,'Jan 2022 Apport'!$3:$3,0),FALSE)</f>
        <v>12.14</v>
      </c>
      <c r="T284">
        <f>VLOOKUP(A284,JanApport,MATCH($T$4,'Jan 2022 Apport'!$3:$3,0),FALSE)</f>
        <v>30.54</v>
      </c>
      <c r="U284" s="132">
        <f>IFERROR(VLOOKUP(A284,JanApport,MATCH($U$4,'Jan 2022 Apport'!$3:$3,0),FALSE)/R284,0)</f>
        <v>0</v>
      </c>
      <c r="V284" s="30">
        <f>IFERROR(((VLOOKUP(A284,JanApport,MATCH($V$4,'Jan 2022 Apport'!$3:$3,0),FALSE)+VLOOKUP(A284,JanApport,MATCH($V$3,'Jan 2022 Apport'!$3:$3,0),FALSE))/(S284+T284)),0)</f>
        <v>8919.6269915651374</v>
      </c>
      <c r="W284" s="30">
        <f t="shared" si="38"/>
        <v>8083.6246967786601</v>
      </c>
      <c r="X284">
        <f>VLOOKUP(A284,JanApport,MATCH($X$4,'Jan 2022 Apport'!$3:$3,0),FALSE)</f>
        <v>4.8578999999999997E-2</v>
      </c>
      <c r="Y284">
        <f>VLOOKUP(A284,JanApport,MATCH($Y$4,'Jan 2022 Apport'!$3:$3,0),FALSE)</f>
        <v>4.0270000000000002E-3</v>
      </c>
      <c r="Z284">
        <f>VLOOKUP(A284,JanApport,MATCH($Z$4,'Jan 2022 Apport'!$3:$3,0),FALSE)</f>
        <v>1.7100000000000001E-2</v>
      </c>
      <c r="AA284" s="77">
        <f>VLOOKUP(A284,JanApport,MATCH($AA$4,'Jan 2022 Apport'!$3:$3,0),FALSE)*VLOOKUP(A284,JanApport,MATCH($AA$3,'Jan 2022 Apport'!$3:$3,0),FALSE)</f>
        <v>67585</v>
      </c>
      <c r="AB284" s="77">
        <f>VLOOKUP(A284,JanApport,MATCH($AB$4,'Jan 2022 Apport'!$3:$3,0),FALSE)*VLOOKUP(A284,JanApport,MATCH($AB$3,'Jan 2022 Apport'!$3:$3,0),FALSE)</f>
        <v>68937</v>
      </c>
      <c r="AC284" s="77">
        <f>VLOOKUP(A284,JanApport,MATCH($AC$4,'Jan 2022 Apport'!$3:$3,0),FALSE)</f>
        <v>100321</v>
      </c>
      <c r="AD284" s="77">
        <f>VLOOKUP(A284,JanApport,MATCH($AD$4,'Jan 2022 Apport'!$3:$3,0),FALSE)*VLOOKUP(A284,JanApport,MATCH($AD$3,'Jan 2022 Apport'!$3:$3,0),FALSE)</f>
        <v>102327</v>
      </c>
      <c r="AE284" s="77">
        <f>VLOOKUP(A284,JanApport,MATCH($AE$4,'Jan 2022 Apport'!$3:$3,0),FALSE)</f>
        <v>48483</v>
      </c>
      <c r="AF284" s="77">
        <f>VLOOKUP(A284,JanApport,MATCH($AF$4,'Jan 2022 Apport'!$3:$3,0),FALSE)*VLOOKUP(A284,JanApport,MATCH($AF$3,'Jan 2022 Apport'!$3:$3,0),FALSE)</f>
        <v>49453</v>
      </c>
      <c r="AG284" s="77">
        <f t="shared" si="39"/>
        <v>96432.259900000005</v>
      </c>
      <c r="AH284" s="77">
        <f t="shared" si="40"/>
        <v>137400.94330000001</v>
      </c>
      <c r="AI284" s="77">
        <f t="shared" si="41"/>
        <v>77281.189732599989</v>
      </c>
      <c r="AJ284" s="3">
        <f>VLOOKUP(A284,JanApport,MATCH($AJ$4,'Jan 2022 Apport'!$3:$3,0),FALSE)</f>
        <v>1303798.73</v>
      </c>
      <c r="AK284" s="3">
        <f>VLOOKUP(A284,JanApport,MATCH($AK$4,'Jan 2022 Apport'!$3:$3,0),FALSE)</f>
        <v>18.710999999999999</v>
      </c>
      <c r="AL284" s="117">
        <f t="shared" si="42"/>
        <v>13089572.009999998</v>
      </c>
      <c r="AM284" s="117">
        <f>VLOOKUP(A284,JanApport,MATCH($AM$4,'Jan 2022 Apport'!$3:$3,0),FALSE)</f>
        <v>317376.03999999998</v>
      </c>
      <c r="AN284" s="117">
        <f>VLOOKUP(A284,JanApport,MATCH($AN$4,'Jan 2022 Apport'!$3:$3,0),FALSE)</f>
        <v>70891.94</v>
      </c>
    </row>
    <row r="285" spans="1:40">
      <c r="A285" s="2" t="s">
        <v>597</v>
      </c>
      <c r="B285" s="2" t="s">
        <v>598</v>
      </c>
      <c r="C285" s="2" t="s">
        <v>1267</v>
      </c>
      <c r="D285" s="118">
        <f>VLOOKUP(A285,JanApport,MATCH($D$4,'Jan 2022 Apport'!$3:$3,FALSE),FALSE)</f>
        <v>37674847.829999998</v>
      </c>
      <c r="E285" s="30">
        <f>VLOOKUP(A285,JanApport,MATCH($E$2,'Jan 2022 Apport'!$3:$3,0),FALSE)+VLOOKUP(A285,JanApport,MATCH($E$3,'Jan 2022 Apport'!$3:$3,0),FALSE)+VLOOKUP(A285,JanApport,MATCH($E$4,'Jan 2022 Apport'!$3:$3,0),FALSE)</f>
        <v>5403971.7300000004</v>
      </c>
      <c r="F285" s="118">
        <f t="shared" si="43"/>
        <v>32270876.099999998</v>
      </c>
      <c r="G285" s="117">
        <f>VLOOKUP(A285,JanApport,MATCH($G$4,'Jan 2022 Apport'!$3:$3,0),FALSE)</f>
        <v>275215.33</v>
      </c>
      <c r="H285" s="117">
        <f>VLOOKUP(A285,JanApport,MATCH($H$3,'Jan 2022 Apport'!$3:$3,0),FALSE)+VLOOKUP(A285,JanApport,MATCH($H$2,'Jan 2022 Apport'!$3:$3,0),FALSE)+VLOOKUP(A285,JanApport,MATCH($H$4,'Jan 2022 Apport'!$3:$3,0),FALSE)</f>
        <v>4525783.2299999995</v>
      </c>
      <c r="I285" s="117">
        <f t="shared" si="44"/>
        <v>4800998.5599999996</v>
      </c>
      <c r="J285" s="117">
        <f>VLOOKUP(A285,JanApport,MATCH($J$4,'Jan 2022 Apport'!$3:$3,0),FALSE)</f>
        <v>1460288.22</v>
      </c>
      <c r="K285" s="117">
        <f>VLOOKUP(A285,JanApport,MATCH($K$4,'Jan 2022 Apport'!$3:$3,0),FALSE)</f>
        <v>162437.1</v>
      </c>
      <c r="L285" s="117">
        <f t="shared" si="45"/>
        <v>1622725.32</v>
      </c>
      <c r="M285" s="117">
        <f>VLOOKUP(A285,JanApport,MATCH($M$4,'Jan 2022 Apport'!$3:$3,0),FALSE)</f>
        <v>2649952.94</v>
      </c>
      <c r="N285" s="117">
        <f>VLOOKUP(A285,JanApport,MATCH($N$4,'Jan 2022 Apport'!$3:$3,0),FALSE)</f>
        <v>2064607.44</v>
      </c>
      <c r="O285" s="117">
        <f>VLOOKUP(A285,JanApport,MATCH($O$4,'Jan 2022 Apport'!$3:$3,0),FALSE)</f>
        <v>120141.12</v>
      </c>
      <c r="P285" s="121">
        <f>IFERROR((VLOOKUP(A285,ExcessLevy!A:G,3,FALSE)*0.28),0)+IFERROR((VLOOKUP(A285,ExcessLevy!A:G,6,FALSE)*0.72),0)</f>
        <v>6296953.2039999999</v>
      </c>
      <c r="Q285" s="121">
        <f>IFERROR((VLOOKUP(A285,ExcessLevy!A:G,4,FALSE)*0.4738),0)+IFERROR((VLOOKUP(A285,ExcessLevy!A:G,7,FALSE)*0.5262),0)</f>
        <v>1410524</v>
      </c>
      <c r="R285">
        <f>VLOOKUP(A285,JanApport,MATCH($R$4,'Jan 2022 Apport'!$3:$3,0),FALSE)</f>
        <v>0</v>
      </c>
      <c r="S285">
        <f>VLOOKUP(A285,JanApport,MATCH($S$4,'Jan 2022 Apport'!$3:$3,0),FALSE)</f>
        <v>125.49</v>
      </c>
      <c r="T285">
        <f>VLOOKUP(A285,JanApport,MATCH($T$4,'Jan 2022 Apport'!$3:$3,0),FALSE)</f>
        <v>480.32</v>
      </c>
      <c r="U285" s="132">
        <f>IFERROR(VLOOKUP(A285,JanApport,MATCH($U$4,'Jan 2022 Apport'!$3:$3,0),FALSE)/R285,0)</f>
        <v>0</v>
      </c>
      <c r="V285" s="30">
        <f>IFERROR(((VLOOKUP(A285,JanApport,MATCH($V$4,'Jan 2022 Apport'!$3:$3,0),FALSE)+VLOOKUP(A285,JanApport,MATCH($V$3,'Jan 2022 Apport'!$3:$3,0),FALSE))/(S285+T285)),0)</f>
        <v>8920.2418745151135</v>
      </c>
      <c r="W285" s="30">
        <f t="shared" si="38"/>
        <v>8083.6246967786601</v>
      </c>
      <c r="X285">
        <f>VLOOKUP(A285,JanApport,MATCH($X$4,'Jan 2022 Apport'!$3:$3,0),FALSE)</f>
        <v>4.8578999999999997E-2</v>
      </c>
      <c r="Y285">
        <f>VLOOKUP(A285,JanApport,MATCH($Y$4,'Jan 2022 Apport'!$3:$3,0),FALSE)</f>
        <v>4.0270000000000002E-3</v>
      </c>
      <c r="Z285">
        <f>VLOOKUP(A285,JanApport,MATCH($Z$4,'Jan 2022 Apport'!$3:$3,0),FALSE)</f>
        <v>1.7100000000000001E-2</v>
      </c>
      <c r="AA285" s="77">
        <f>VLOOKUP(A285,JanApport,MATCH($AA$4,'Jan 2022 Apport'!$3:$3,0),FALSE)*VLOOKUP(A285,JanApport,MATCH($AA$3,'Jan 2022 Apport'!$3:$3,0),FALSE)</f>
        <v>67585</v>
      </c>
      <c r="AB285" s="77">
        <f>VLOOKUP(A285,JanApport,MATCH($AB$4,'Jan 2022 Apport'!$3:$3,0),FALSE)*VLOOKUP(A285,JanApport,MATCH($AB$3,'Jan 2022 Apport'!$3:$3,0),FALSE)</f>
        <v>68937</v>
      </c>
      <c r="AC285" s="77">
        <f>VLOOKUP(A285,JanApport,MATCH($AC$4,'Jan 2022 Apport'!$3:$3,0),FALSE)</f>
        <v>100321</v>
      </c>
      <c r="AD285" s="77">
        <f>VLOOKUP(A285,JanApport,MATCH($AD$4,'Jan 2022 Apport'!$3:$3,0),FALSE)*VLOOKUP(A285,JanApport,MATCH($AD$3,'Jan 2022 Apport'!$3:$3,0),FALSE)</f>
        <v>102327</v>
      </c>
      <c r="AE285" s="77">
        <f>VLOOKUP(A285,JanApport,MATCH($AE$4,'Jan 2022 Apport'!$3:$3,0),FALSE)</f>
        <v>48483</v>
      </c>
      <c r="AF285" s="77">
        <f>VLOOKUP(A285,JanApport,MATCH($AF$4,'Jan 2022 Apport'!$3:$3,0),FALSE)*VLOOKUP(A285,JanApport,MATCH($AF$3,'Jan 2022 Apport'!$3:$3,0),FALSE)</f>
        <v>49453</v>
      </c>
      <c r="AG285" s="77">
        <f t="shared" si="39"/>
        <v>96432.259900000005</v>
      </c>
      <c r="AH285" s="77">
        <f t="shared" si="40"/>
        <v>137400.94330000001</v>
      </c>
      <c r="AI285" s="77">
        <f t="shared" si="41"/>
        <v>77281.189732599989</v>
      </c>
      <c r="AJ285" s="3">
        <f>VLOOKUP(A285,JanApport,MATCH($AJ$4,'Jan 2022 Apport'!$3:$3,0),FALSE)</f>
        <v>3878374.79</v>
      </c>
      <c r="AK285" s="3">
        <f>VLOOKUP(A285,JanApport,MATCH($AK$4,'Jan 2022 Apport'!$3:$3,0),FALSE)</f>
        <v>68.171999999999997</v>
      </c>
      <c r="AL285" s="117">
        <f t="shared" si="42"/>
        <v>49829506.310000002</v>
      </c>
      <c r="AM285" s="117">
        <f>VLOOKUP(A285,JanApport,MATCH($AM$4,'Jan 2022 Apport'!$3:$3,0),FALSE)</f>
        <v>1058670.2</v>
      </c>
      <c r="AN285" s="117">
        <f>VLOOKUP(A285,JanApport,MATCH($AN$4,'Jan 2022 Apport'!$3:$3,0),FALSE)</f>
        <v>217381.29</v>
      </c>
    </row>
    <row r="286" spans="1:40">
      <c r="A286" s="2" t="s">
        <v>531</v>
      </c>
      <c r="B286" s="2" t="s">
        <v>532</v>
      </c>
      <c r="C286" s="2" t="s">
        <v>1267</v>
      </c>
      <c r="D286" s="118">
        <f>VLOOKUP(A286,JanApport,MATCH($D$4,'Jan 2022 Apport'!$3:$3,FALSE),FALSE)</f>
        <v>2612647.4700000002</v>
      </c>
      <c r="E286" s="30">
        <f>VLOOKUP(A286,JanApport,MATCH($E$2,'Jan 2022 Apport'!$3:$3,0),FALSE)+VLOOKUP(A286,JanApport,MATCH($E$3,'Jan 2022 Apport'!$3:$3,0),FALSE)+VLOOKUP(A286,JanApport,MATCH($E$4,'Jan 2022 Apport'!$3:$3,0),FALSE)</f>
        <v>128918.34</v>
      </c>
      <c r="F286" s="118">
        <f t="shared" si="43"/>
        <v>2483729.1300000004</v>
      </c>
      <c r="G286" s="117">
        <f>VLOOKUP(A286,JanApport,MATCH($G$4,'Jan 2022 Apport'!$3:$3,0),FALSE)</f>
        <v>0</v>
      </c>
      <c r="H286" s="117">
        <f>VLOOKUP(A286,JanApport,MATCH($H$3,'Jan 2022 Apport'!$3:$3,0),FALSE)+VLOOKUP(A286,JanApport,MATCH($H$2,'Jan 2022 Apport'!$3:$3,0),FALSE)+VLOOKUP(A286,JanApport,MATCH($H$4,'Jan 2022 Apport'!$3:$3,0),FALSE)</f>
        <v>192975.38</v>
      </c>
      <c r="I286" s="117">
        <f t="shared" si="44"/>
        <v>192975.38</v>
      </c>
      <c r="J286" s="117">
        <f>VLOOKUP(A286,JanApport,MATCH($J$4,'Jan 2022 Apport'!$3:$3,0),FALSE)</f>
        <v>140694.75</v>
      </c>
      <c r="K286" s="117">
        <f>VLOOKUP(A286,JanApport,MATCH($K$4,'Jan 2022 Apport'!$3:$3,0),FALSE)</f>
        <v>42018</v>
      </c>
      <c r="L286" s="117">
        <f t="shared" si="45"/>
        <v>182712.75</v>
      </c>
      <c r="M286" s="117">
        <f>VLOOKUP(A286,JanApport,MATCH($M$4,'Jan 2022 Apport'!$3:$3,0),FALSE)</f>
        <v>67799.509999999995</v>
      </c>
      <c r="N286" s="117">
        <f>VLOOKUP(A286,JanApport,MATCH($N$4,'Jan 2022 Apport'!$3:$3,0),FALSE)</f>
        <v>61733.760000000002</v>
      </c>
      <c r="O286" s="117">
        <f>VLOOKUP(A286,JanApport,MATCH($O$4,'Jan 2022 Apport'!$3:$3,0),FALSE)</f>
        <v>0</v>
      </c>
      <c r="P286" s="121">
        <f>IFERROR((VLOOKUP(A286,ExcessLevy!A:G,3,FALSE)*0.28),0)+IFERROR((VLOOKUP(A286,ExcessLevy!A:G,6,FALSE)*0.72),0)</f>
        <v>0</v>
      </c>
      <c r="Q286" s="121">
        <f>IFERROR((VLOOKUP(A286,ExcessLevy!A:G,4,FALSE)*0.4738),0)+IFERROR((VLOOKUP(A286,ExcessLevy!A:G,7,FALSE)*0.5262),0)</f>
        <v>657883.00420000008</v>
      </c>
      <c r="R286">
        <f>VLOOKUP(A286,JanApport,MATCH($R$4,'Jan 2022 Apport'!$3:$3,0),FALSE)</f>
        <v>0</v>
      </c>
      <c r="S286">
        <f>VLOOKUP(A286,JanApport,MATCH($S$4,'Jan 2022 Apport'!$3:$3,0),FALSE)</f>
        <v>2.99</v>
      </c>
      <c r="T286">
        <f>VLOOKUP(A286,JanApport,MATCH($T$4,'Jan 2022 Apport'!$3:$3,0),FALSE)</f>
        <v>11.44</v>
      </c>
      <c r="U286" s="132">
        <f>IFERROR(VLOOKUP(A286,JanApport,MATCH($U$4,'Jan 2022 Apport'!$3:$3,0),FALSE)/R286,0)</f>
        <v>0</v>
      </c>
      <c r="V286" s="30">
        <f>IFERROR(((VLOOKUP(A286,JanApport,MATCH($V$4,'Jan 2022 Apport'!$3:$3,0),FALSE)+VLOOKUP(A286,JanApport,MATCH($V$3,'Jan 2022 Apport'!$3:$3,0),FALSE))/(S286+T286)),0)</f>
        <v>8934.0498960498953</v>
      </c>
      <c r="W286" s="30">
        <f t="shared" si="38"/>
        <v>8083.6246967786601</v>
      </c>
      <c r="X286">
        <f>VLOOKUP(A286,JanApport,MATCH($X$4,'Jan 2022 Apport'!$3:$3,0),FALSE)</f>
        <v>4.8578999999999997E-2</v>
      </c>
      <c r="Y286">
        <f>VLOOKUP(A286,JanApport,MATCH($Y$4,'Jan 2022 Apport'!$3:$3,0),FALSE)</f>
        <v>4.0270000000000002E-3</v>
      </c>
      <c r="Z286">
        <f>VLOOKUP(A286,JanApport,MATCH($Z$4,'Jan 2022 Apport'!$3:$3,0),FALSE)</f>
        <v>1.7100000000000001E-2</v>
      </c>
      <c r="AA286" s="77">
        <f>VLOOKUP(A286,JanApport,MATCH($AA$4,'Jan 2022 Apport'!$3:$3,0),FALSE)*VLOOKUP(A286,JanApport,MATCH($AA$3,'Jan 2022 Apport'!$3:$3,0),FALSE)</f>
        <v>67585</v>
      </c>
      <c r="AB286" s="77">
        <f>VLOOKUP(A286,JanApport,MATCH($AB$4,'Jan 2022 Apport'!$3:$3,0),FALSE)*VLOOKUP(A286,JanApport,MATCH($AB$3,'Jan 2022 Apport'!$3:$3,0),FALSE)</f>
        <v>68937</v>
      </c>
      <c r="AC286" s="77">
        <f>VLOOKUP(A286,JanApport,MATCH($AC$4,'Jan 2022 Apport'!$3:$3,0),FALSE)</f>
        <v>100321</v>
      </c>
      <c r="AD286" s="77">
        <f>VLOOKUP(A286,JanApport,MATCH($AD$4,'Jan 2022 Apport'!$3:$3,0),FALSE)*VLOOKUP(A286,JanApport,MATCH($AD$3,'Jan 2022 Apport'!$3:$3,0),FALSE)</f>
        <v>102327</v>
      </c>
      <c r="AE286" s="77">
        <f>VLOOKUP(A286,JanApport,MATCH($AE$4,'Jan 2022 Apport'!$3:$3,0),FALSE)</f>
        <v>48483</v>
      </c>
      <c r="AF286" s="77">
        <f>VLOOKUP(A286,JanApport,MATCH($AF$4,'Jan 2022 Apport'!$3:$3,0),FALSE)*VLOOKUP(A286,JanApport,MATCH($AF$3,'Jan 2022 Apport'!$3:$3,0),FALSE)</f>
        <v>49453</v>
      </c>
      <c r="AG286" s="77">
        <f t="shared" si="39"/>
        <v>96432.259900000005</v>
      </c>
      <c r="AH286" s="77">
        <f t="shared" si="40"/>
        <v>137400.94330000001</v>
      </c>
      <c r="AI286" s="77">
        <f t="shared" si="41"/>
        <v>77281.189732599989</v>
      </c>
      <c r="AJ286" s="3">
        <f>VLOOKUP(A286,JanApport,MATCH($AJ$4,'Jan 2022 Apport'!$3:$3,0),FALSE)</f>
        <v>333943.07</v>
      </c>
      <c r="AK286" s="3">
        <f>VLOOKUP(A286,JanApport,MATCH($AK$4,'Jan 2022 Apport'!$3:$3,0),FALSE)</f>
        <v>3.383</v>
      </c>
      <c r="AL286" s="117">
        <f t="shared" si="42"/>
        <v>3136899.7699999996</v>
      </c>
      <c r="AM286" s="117">
        <f>VLOOKUP(A286,JanApport,MATCH($AM$4,'Jan 2022 Apport'!$3:$3,0),FALSE)</f>
        <v>61048.9</v>
      </c>
      <c r="AN286" s="117">
        <f>VLOOKUP(A286,JanApport,MATCH($AN$4,'Jan 2022 Apport'!$3:$3,0),FALSE)</f>
        <v>22112.19</v>
      </c>
    </row>
    <row r="287" spans="1:40">
      <c r="A287" s="2" t="s">
        <v>79</v>
      </c>
      <c r="B287" s="2" t="s">
        <v>80</v>
      </c>
      <c r="C287" s="2" t="s">
        <v>1267</v>
      </c>
      <c r="D287" s="118">
        <f>VLOOKUP(A287,JanApport,MATCH($D$4,'Jan 2022 Apport'!$3:$3,FALSE),FALSE)</f>
        <v>6516085.7999999998</v>
      </c>
      <c r="E287" s="30">
        <f>VLOOKUP(A287,JanApport,MATCH($E$2,'Jan 2022 Apport'!$3:$3,0),FALSE)+VLOOKUP(A287,JanApport,MATCH($E$3,'Jan 2022 Apport'!$3:$3,0),FALSE)+VLOOKUP(A287,JanApport,MATCH($E$4,'Jan 2022 Apport'!$3:$3,0),FALSE)</f>
        <v>540563.92000000004</v>
      </c>
      <c r="F287" s="118">
        <f t="shared" si="43"/>
        <v>5975521.8799999999</v>
      </c>
      <c r="G287" s="117">
        <f>VLOOKUP(A287,JanApport,MATCH($G$4,'Jan 2022 Apport'!$3:$3,0),FALSE)</f>
        <v>46919</v>
      </c>
      <c r="H287" s="117">
        <f>VLOOKUP(A287,JanApport,MATCH($H$3,'Jan 2022 Apport'!$3:$3,0),FALSE)+VLOOKUP(A287,JanApport,MATCH($H$2,'Jan 2022 Apport'!$3:$3,0),FALSE)+VLOOKUP(A287,JanApport,MATCH($H$4,'Jan 2022 Apport'!$3:$3,0),FALSE)</f>
        <v>792604.91</v>
      </c>
      <c r="I287" s="117">
        <f t="shared" si="44"/>
        <v>839523.91</v>
      </c>
      <c r="J287" s="117">
        <f>VLOOKUP(A287,JanApport,MATCH($J$4,'Jan 2022 Apport'!$3:$3,0),FALSE)</f>
        <v>437353.45</v>
      </c>
      <c r="K287" s="117">
        <f>VLOOKUP(A287,JanApport,MATCH($K$4,'Jan 2022 Apport'!$3:$3,0),FALSE)</f>
        <v>70472.03</v>
      </c>
      <c r="L287" s="117">
        <f t="shared" si="45"/>
        <v>507825.48</v>
      </c>
      <c r="M287" s="117">
        <f>VLOOKUP(A287,JanApport,MATCH($M$4,'Jan 2022 Apport'!$3:$3,0),FALSE)</f>
        <v>163732.47</v>
      </c>
      <c r="N287" s="117">
        <f>VLOOKUP(A287,JanApport,MATCH($N$4,'Jan 2022 Apport'!$3:$3,0),FALSE)</f>
        <v>0</v>
      </c>
      <c r="O287" s="117">
        <f>VLOOKUP(A287,JanApport,MATCH($O$4,'Jan 2022 Apport'!$3:$3,0),FALSE)</f>
        <v>20352.650000000001</v>
      </c>
      <c r="P287" s="121">
        <f>IFERROR((VLOOKUP(A287,ExcessLevy!A:G,3,FALSE)*0.28),0)+IFERROR((VLOOKUP(A287,ExcessLevy!A:G,6,FALSE)*0.72),0)</f>
        <v>152231.53480000002</v>
      </c>
      <c r="Q287" s="121">
        <f>IFERROR((VLOOKUP(A287,ExcessLevy!A:G,4,FALSE)*0.4738),0)+IFERROR((VLOOKUP(A287,ExcessLevy!A:G,7,FALSE)*0.5262),0)</f>
        <v>1408095.605</v>
      </c>
      <c r="R287">
        <f>VLOOKUP(A287,JanApport,MATCH($R$4,'Jan 2022 Apport'!$3:$3,0),FALSE)</f>
        <v>0</v>
      </c>
      <c r="S287">
        <f>VLOOKUP(A287,JanApport,MATCH($S$4,'Jan 2022 Apport'!$3:$3,0),FALSE)</f>
        <v>17.79</v>
      </c>
      <c r="T287">
        <f>VLOOKUP(A287,JanApport,MATCH($T$4,'Jan 2022 Apport'!$3:$3,0),FALSE)</f>
        <v>41.55</v>
      </c>
      <c r="U287" s="132">
        <f>IFERROR(VLOOKUP(A287,JanApport,MATCH($U$4,'Jan 2022 Apport'!$3:$3,0),FALSE)/R287,0)</f>
        <v>0</v>
      </c>
      <c r="V287" s="30">
        <f>IFERROR(((VLOOKUP(A287,JanApport,MATCH($V$4,'Jan 2022 Apport'!$3:$3,0),FALSE)+VLOOKUP(A287,JanApport,MATCH($V$3,'Jan 2022 Apport'!$3:$3,0),FALSE))/(S287+T287)),0)</f>
        <v>9109.6043141220107</v>
      </c>
      <c r="W287" s="30">
        <f t="shared" si="38"/>
        <v>8083.6246967786601</v>
      </c>
      <c r="X287">
        <f>VLOOKUP(A287,JanApport,MATCH($X$4,'Jan 2022 Apport'!$3:$3,0),FALSE)</f>
        <v>4.8578999999999997E-2</v>
      </c>
      <c r="Y287">
        <f>VLOOKUP(A287,JanApport,MATCH($Y$4,'Jan 2022 Apport'!$3:$3,0),FALSE)</f>
        <v>4.0270000000000002E-3</v>
      </c>
      <c r="Z287">
        <f>VLOOKUP(A287,JanApport,MATCH($Z$4,'Jan 2022 Apport'!$3:$3,0),FALSE)</f>
        <v>1.7100000000000001E-2</v>
      </c>
      <c r="AA287" s="77">
        <f>VLOOKUP(A287,JanApport,MATCH($AA$4,'Jan 2022 Apport'!$3:$3,0),FALSE)*VLOOKUP(A287,JanApport,MATCH($AA$3,'Jan 2022 Apport'!$3:$3,0),FALSE)</f>
        <v>67585</v>
      </c>
      <c r="AB287" s="77">
        <f>VLOOKUP(A287,JanApport,MATCH($AB$4,'Jan 2022 Apport'!$3:$3,0),FALSE)*VLOOKUP(A287,JanApport,MATCH($AB$3,'Jan 2022 Apport'!$3:$3,0),FALSE)</f>
        <v>68937</v>
      </c>
      <c r="AC287" s="77">
        <f>VLOOKUP(A287,JanApport,MATCH($AC$4,'Jan 2022 Apport'!$3:$3,0),FALSE)</f>
        <v>100321</v>
      </c>
      <c r="AD287" s="77">
        <f>VLOOKUP(A287,JanApport,MATCH($AD$4,'Jan 2022 Apport'!$3:$3,0),FALSE)*VLOOKUP(A287,JanApport,MATCH($AD$3,'Jan 2022 Apport'!$3:$3,0),FALSE)</f>
        <v>102327</v>
      </c>
      <c r="AE287" s="77">
        <f>VLOOKUP(A287,JanApport,MATCH($AE$4,'Jan 2022 Apport'!$3:$3,0),FALSE)</f>
        <v>48483</v>
      </c>
      <c r="AF287" s="77">
        <f>VLOOKUP(A287,JanApport,MATCH($AF$4,'Jan 2022 Apport'!$3:$3,0),FALSE)*VLOOKUP(A287,JanApport,MATCH($AF$3,'Jan 2022 Apport'!$3:$3,0),FALSE)</f>
        <v>49453</v>
      </c>
      <c r="AG287" s="77">
        <f t="shared" si="39"/>
        <v>96432.259900000005</v>
      </c>
      <c r="AH287" s="77">
        <f t="shared" si="40"/>
        <v>137400.94330000001</v>
      </c>
      <c r="AI287" s="77">
        <f t="shared" si="41"/>
        <v>77281.189732599989</v>
      </c>
      <c r="AJ287" s="3">
        <f>VLOOKUP(A287,JanApport,MATCH($AJ$4,'Jan 2022 Apport'!$3:$3,0),FALSE)</f>
        <v>867488.47</v>
      </c>
      <c r="AK287" s="3">
        <f>VLOOKUP(A287,JanApport,MATCH($AK$4,'Jan 2022 Apport'!$3:$3,0),FALSE)</f>
        <v>12.997999999999999</v>
      </c>
      <c r="AL287" s="117">
        <f t="shared" si="42"/>
        <v>7137524.3700000001</v>
      </c>
      <c r="AM287" s="117">
        <f>VLOOKUP(A287,JanApport,MATCH($AM$4,'Jan 2022 Apport'!$3:$3,0),FALSE)</f>
        <v>0</v>
      </c>
      <c r="AN287" s="117">
        <f>VLOOKUP(A287,JanApport,MATCH($AN$4,'Jan 2022 Apport'!$3:$3,0),FALSE)</f>
        <v>50440.68</v>
      </c>
    </row>
    <row r="288" spans="1:40">
      <c r="A288" s="2" t="s">
        <v>257</v>
      </c>
      <c r="B288" s="2" t="s">
        <v>258</v>
      </c>
      <c r="C288" s="2" t="s">
        <v>1267</v>
      </c>
      <c r="D288" s="118">
        <f>VLOOKUP(A288,JanApport,MATCH($D$4,'Jan 2022 Apport'!$3:$3,FALSE),FALSE)</f>
        <v>2508142.06</v>
      </c>
      <c r="E288" s="30">
        <f>VLOOKUP(A288,JanApport,MATCH($E$2,'Jan 2022 Apport'!$3:$3,0),FALSE)+VLOOKUP(A288,JanApport,MATCH($E$3,'Jan 2022 Apport'!$3:$3,0),FALSE)+VLOOKUP(A288,JanApport,MATCH($E$4,'Jan 2022 Apport'!$3:$3,0),FALSE)</f>
        <v>0</v>
      </c>
      <c r="F288" s="118">
        <f t="shared" si="43"/>
        <v>2508142.06</v>
      </c>
      <c r="G288" s="117">
        <f>VLOOKUP(A288,JanApport,MATCH($G$4,'Jan 2022 Apport'!$3:$3,0),FALSE)</f>
        <v>4938.84</v>
      </c>
      <c r="H288" s="117">
        <f>VLOOKUP(A288,JanApport,MATCH($H$3,'Jan 2022 Apport'!$3:$3,0),FALSE)+VLOOKUP(A288,JanApport,MATCH($H$2,'Jan 2022 Apport'!$3:$3,0),FALSE)+VLOOKUP(A288,JanApport,MATCH($H$4,'Jan 2022 Apport'!$3:$3,0),FALSE)</f>
        <v>131791.24</v>
      </c>
      <c r="I288" s="117">
        <f t="shared" si="44"/>
        <v>136730.07999999999</v>
      </c>
      <c r="J288" s="117">
        <f>VLOOKUP(A288,JanApport,MATCH($J$4,'Jan 2022 Apport'!$3:$3,0),FALSE)</f>
        <v>135641.87</v>
      </c>
      <c r="K288" s="117">
        <f>VLOOKUP(A288,JanApport,MATCH($K$4,'Jan 2022 Apport'!$3:$3,0),FALSE)</f>
        <v>18515.43</v>
      </c>
      <c r="L288" s="117">
        <f t="shared" si="45"/>
        <v>154157.29999999999</v>
      </c>
      <c r="M288" s="117">
        <f>VLOOKUP(A288,JanApport,MATCH($M$4,'Jan 2022 Apport'!$3:$3,0),FALSE)</f>
        <v>0</v>
      </c>
      <c r="N288" s="117">
        <f>VLOOKUP(A288,JanApport,MATCH($N$4,'Jan 2022 Apport'!$3:$3,0),FALSE)</f>
        <v>23773.85</v>
      </c>
      <c r="O288" s="117">
        <f>VLOOKUP(A288,JanApport,MATCH($O$4,'Jan 2022 Apport'!$3:$3,0),FALSE)</f>
        <v>5380.92</v>
      </c>
      <c r="P288" s="121">
        <f>IFERROR((VLOOKUP(A288,ExcessLevy!A:G,3,FALSE)*0.28),0)+IFERROR((VLOOKUP(A288,ExcessLevy!A:G,6,FALSE)*0.72),0)</f>
        <v>13945.380400000002</v>
      </c>
      <c r="Q288" s="121">
        <f>IFERROR((VLOOKUP(A288,ExcessLevy!A:G,4,FALSE)*0.4738),0)+IFERROR((VLOOKUP(A288,ExcessLevy!A:G,7,FALSE)*0.5262),0)</f>
        <v>421550</v>
      </c>
      <c r="R288">
        <f>VLOOKUP(A288,JanApport,MATCH($R$4,'Jan 2022 Apport'!$3:$3,0),FALSE)</f>
        <v>0</v>
      </c>
      <c r="S288">
        <f>VLOOKUP(A288,JanApport,MATCH($S$4,'Jan 2022 Apport'!$3:$3,0),FALSE)</f>
        <v>0</v>
      </c>
      <c r="T288">
        <f>VLOOKUP(A288,JanApport,MATCH($T$4,'Jan 2022 Apport'!$3:$3,0),FALSE)</f>
        <v>0</v>
      </c>
      <c r="U288" s="132">
        <f>IFERROR(VLOOKUP(A288,JanApport,MATCH($U$4,'Jan 2022 Apport'!$3:$3,0),FALSE)/R288,0)</f>
        <v>0</v>
      </c>
      <c r="V288" s="30">
        <f>IFERROR(((VLOOKUP(A288,JanApport,MATCH($V$4,'Jan 2022 Apport'!$3:$3,0),FALSE)+VLOOKUP(A288,JanApport,MATCH($V$3,'Jan 2022 Apport'!$3:$3,0),FALSE))/(S288+T288)),0)</f>
        <v>0</v>
      </c>
      <c r="W288" s="30">
        <f t="shared" si="38"/>
        <v>8083.6246967786601</v>
      </c>
      <c r="X288">
        <f>VLOOKUP(A288,JanApport,MATCH($X$4,'Jan 2022 Apport'!$3:$3,0),FALSE)</f>
        <v>4.8578999999999997E-2</v>
      </c>
      <c r="Y288">
        <f>VLOOKUP(A288,JanApport,MATCH($Y$4,'Jan 2022 Apport'!$3:$3,0),FALSE)</f>
        <v>4.0270000000000002E-3</v>
      </c>
      <c r="Z288">
        <f>VLOOKUP(A288,JanApport,MATCH($Z$4,'Jan 2022 Apport'!$3:$3,0),FALSE)</f>
        <v>1.7100000000000001E-2</v>
      </c>
      <c r="AA288" s="77">
        <f>VLOOKUP(A288,JanApport,MATCH($AA$4,'Jan 2022 Apport'!$3:$3,0),FALSE)*VLOOKUP(A288,JanApport,MATCH($AA$3,'Jan 2022 Apport'!$3:$3,0),FALSE)</f>
        <v>67585</v>
      </c>
      <c r="AB288" s="77">
        <f>VLOOKUP(A288,JanApport,MATCH($AB$4,'Jan 2022 Apport'!$3:$3,0),FALSE)*VLOOKUP(A288,JanApport,MATCH($AB$3,'Jan 2022 Apport'!$3:$3,0),FALSE)</f>
        <v>68937</v>
      </c>
      <c r="AC288" s="77">
        <f>VLOOKUP(A288,JanApport,MATCH($AC$4,'Jan 2022 Apport'!$3:$3,0),FALSE)</f>
        <v>100321</v>
      </c>
      <c r="AD288" s="77">
        <f>VLOOKUP(A288,JanApport,MATCH($AD$4,'Jan 2022 Apport'!$3:$3,0),FALSE)*VLOOKUP(A288,JanApport,MATCH($AD$3,'Jan 2022 Apport'!$3:$3,0),FALSE)</f>
        <v>102327</v>
      </c>
      <c r="AE288" s="77">
        <f>VLOOKUP(A288,JanApport,MATCH($AE$4,'Jan 2022 Apport'!$3:$3,0),FALSE)</f>
        <v>48483</v>
      </c>
      <c r="AF288" s="77">
        <f>VLOOKUP(A288,JanApport,MATCH($AF$4,'Jan 2022 Apport'!$3:$3,0),FALSE)*VLOOKUP(A288,JanApport,MATCH($AF$3,'Jan 2022 Apport'!$3:$3,0),FALSE)</f>
        <v>49453</v>
      </c>
      <c r="AG288" s="77">
        <f t="shared" si="39"/>
        <v>96432.259900000005</v>
      </c>
      <c r="AH288" s="77">
        <f t="shared" si="40"/>
        <v>137400.94330000001</v>
      </c>
      <c r="AI288" s="77">
        <f t="shared" si="41"/>
        <v>77281.189732599989</v>
      </c>
      <c r="AJ288" s="3">
        <f>VLOOKUP(A288,JanApport,MATCH($AJ$4,'Jan 2022 Apport'!$3:$3,0),FALSE)</f>
        <v>337558.7</v>
      </c>
      <c r="AK288" s="3">
        <f>VLOOKUP(A288,JanApport,MATCH($AK$4,'Jan 2022 Apport'!$3:$3,0),FALSE)</f>
        <v>3.4649999999999999</v>
      </c>
      <c r="AL288" s="117">
        <f t="shared" si="42"/>
        <v>2672938.7000000002</v>
      </c>
      <c r="AM288" s="117">
        <f>VLOOKUP(A288,JanApport,MATCH($AM$4,'Jan 2022 Apport'!$3:$3,0),FALSE)</f>
        <v>0</v>
      </c>
      <c r="AN288" s="117">
        <f>VLOOKUP(A288,JanApport,MATCH($AN$4,'Jan 2022 Apport'!$3:$3,0),FALSE)</f>
        <v>22398.29</v>
      </c>
    </row>
    <row r="289" spans="1:40">
      <c r="A289" s="2" t="s">
        <v>201</v>
      </c>
      <c r="B289" s="2" t="s">
        <v>202</v>
      </c>
      <c r="C289" s="2" t="s">
        <v>1267</v>
      </c>
      <c r="D289" s="118">
        <f>VLOOKUP(A289,JanApport,MATCH($D$4,'Jan 2022 Apport'!$3:$3,FALSE),FALSE)</f>
        <v>24833109.82</v>
      </c>
      <c r="E289" s="30">
        <f>VLOOKUP(A289,JanApport,MATCH($E$2,'Jan 2022 Apport'!$3:$3,0),FALSE)+VLOOKUP(A289,JanApport,MATCH($E$3,'Jan 2022 Apport'!$3:$3,0),FALSE)+VLOOKUP(A289,JanApport,MATCH($E$4,'Jan 2022 Apport'!$3:$3,0),FALSE)</f>
        <v>1039507.83</v>
      </c>
      <c r="F289" s="118">
        <f t="shared" si="43"/>
        <v>23793601.990000002</v>
      </c>
      <c r="G289" s="117">
        <f>VLOOKUP(A289,JanApport,MATCH($G$4,'Jan 2022 Apport'!$3:$3,0),FALSE)</f>
        <v>314557.61</v>
      </c>
      <c r="H289" s="117">
        <f>VLOOKUP(A289,JanApport,MATCH($H$3,'Jan 2022 Apport'!$3:$3,0),FALSE)+VLOOKUP(A289,JanApport,MATCH($H$2,'Jan 2022 Apport'!$3:$3,0),FALSE)+VLOOKUP(A289,JanApport,MATCH($H$4,'Jan 2022 Apport'!$3:$3,0),FALSE)</f>
        <v>3209546.99</v>
      </c>
      <c r="I289" s="117">
        <f t="shared" si="44"/>
        <v>3524104.6</v>
      </c>
      <c r="J289" s="117">
        <f>VLOOKUP(A289,JanApport,MATCH($J$4,'Jan 2022 Apport'!$3:$3,0),FALSE)</f>
        <v>921079.88</v>
      </c>
      <c r="K289" s="117">
        <f>VLOOKUP(A289,JanApport,MATCH($K$4,'Jan 2022 Apport'!$3:$3,0),FALSE)</f>
        <v>172529.55</v>
      </c>
      <c r="L289" s="117">
        <f t="shared" si="45"/>
        <v>1093609.43</v>
      </c>
      <c r="M289" s="117">
        <f>VLOOKUP(A289,JanApport,MATCH($M$4,'Jan 2022 Apport'!$3:$3,0),FALSE)</f>
        <v>1383543.75</v>
      </c>
      <c r="N289" s="117">
        <f>VLOOKUP(A289,JanApport,MATCH($N$4,'Jan 2022 Apport'!$3:$3,0),FALSE)</f>
        <v>1744896.82</v>
      </c>
      <c r="O289" s="117">
        <f>VLOOKUP(A289,JanApport,MATCH($O$4,'Jan 2022 Apport'!$3:$3,0),FALSE)</f>
        <v>82604.710000000006</v>
      </c>
      <c r="P289" s="121">
        <f>IFERROR((VLOOKUP(A289,ExcessLevy!A:G,3,FALSE)*0.28),0)+IFERROR((VLOOKUP(A289,ExcessLevy!A:G,6,FALSE)*0.72),0)</f>
        <v>0</v>
      </c>
      <c r="Q289" s="121">
        <f>IFERROR((VLOOKUP(A289,ExcessLevy!A:G,4,FALSE)*0.4738),0)+IFERROR((VLOOKUP(A289,ExcessLevy!A:G,7,FALSE)*0.5262),0)</f>
        <v>8060480</v>
      </c>
      <c r="R289">
        <f>VLOOKUP(A289,JanApport,MATCH($R$4,'Jan 2022 Apport'!$3:$3,0),FALSE)</f>
        <v>0</v>
      </c>
      <c r="S289">
        <f>VLOOKUP(A289,JanApport,MATCH($S$4,'Jan 2022 Apport'!$3:$3,0),FALSE)</f>
        <v>0</v>
      </c>
      <c r="T289">
        <f>VLOOKUP(A289,JanApport,MATCH($T$4,'Jan 2022 Apport'!$3:$3,0),FALSE)</f>
        <v>103.33</v>
      </c>
      <c r="U289" s="132">
        <f>IFERROR(VLOOKUP(A289,JanApport,MATCH($U$4,'Jan 2022 Apport'!$3:$3,0),FALSE)/R289,0)</f>
        <v>0</v>
      </c>
      <c r="V289" s="30">
        <f>IFERROR(((VLOOKUP(A289,JanApport,MATCH($V$4,'Jan 2022 Apport'!$3:$3,0),FALSE)+VLOOKUP(A289,JanApport,MATCH($V$3,'Jan 2022 Apport'!$3:$3,0),FALSE))/(S289+T289)),0)</f>
        <v>10060.077712184264</v>
      </c>
      <c r="W289" s="30">
        <f t="shared" si="38"/>
        <v>9095.3080904708331</v>
      </c>
      <c r="X289">
        <f>VLOOKUP(A289,JanApport,MATCH($X$4,'Jan 2022 Apport'!$3:$3,0),FALSE)</f>
        <v>4.8578999999999997E-2</v>
      </c>
      <c r="Y289">
        <f>VLOOKUP(A289,JanApport,MATCH($Y$4,'Jan 2022 Apport'!$3:$3,0),FALSE)</f>
        <v>4.0270000000000002E-3</v>
      </c>
      <c r="Z289">
        <f>VLOOKUP(A289,JanApport,MATCH($Z$4,'Jan 2022 Apport'!$3:$3,0),FALSE)</f>
        <v>1.7100000000000001E-2</v>
      </c>
      <c r="AA289" s="77">
        <f>VLOOKUP(A289,JanApport,MATCH($AA$4,'Jan 2022 Apport'!$3:$3,0),FALSE)*VLOOKUP(A289,JanApport,MATCH($AA$3,'Jan 2022 Apport'!$3:$3,0),FALSE)</f>
        <v>79750.3</v>
      </c>
      <c r="AB289" s="77">
        <f>VLOOKUP(A289,JanApport,MATCH($AB$4,'Jan 2022 Apport'!$3:$3,0),FALSE)*VLOOKUP(A289,JanApport,MATCH($AB$3,'Jan 2022 Apport'!$3:$3,0),FALSE)</f>
        <v>81345.659999999989</v>
      </c>
      <c r="AC289" s="77">
        <f>VLOOKUP(A289,JanApport,MATCH($AC$4,'Jan 2022 Apport'!$3:$3,0),FALSE)</f>
        <v>100321</v>
      </c>
      <c r="AD289" s="77">
        <f>VLOOKUP(A289,JanApport,MATCH($AD$4,'Jan 2022 Apport'!$3:$3,0),FALSE)*VLOOKUP(A289,JanApport,MATCH($AD$3,'Jan 2022 Apport'!$3:$3,0),FALSE)</f>
        <v>120745.86</v>
      </c>
      <c r="AE289" s="77">
        <f>VLOOKUP(A289,JanApport,MATCH($AE$4,'Jan 2022 Apport'!$3:$3,0),FALSE)</f>
        <v>48483</v>
      </c>
      <c r="AF289" s="77">
        <f>VLOOKUP(A289,JanApport,MATCH($AF$4,'Jan 2022 Apport'!$3:$3,0),FALSE)*VLOOKUP(A289,JanApport,MATCH($AF$3,'Jan 2022 Apport'!$3:$3,0),FALSE)</f>
        <v>58354.539999999994</v>
      </c>
      <c r="AG289" s="77">
        <f t="shared" si="39"/>
        <v>111657.36908199999</v>
      </c>
      <c r="AH289" s="77">
        <f t="shared" si="40"/>
        <v>159884.84570200002</v>
      </c>
      <c r="AI289" s="77">
        <f t="shared" si="41"/>
        <v>87896.402584467985</v>
      </c>
      <c r="AJ289" s="3">
        <f>VLOOKUP(A289,JanApport,MATCH($AJ$4,'Jan 2022 Apport'!$3:$3,0),FALSE)</f>
        <v>3281704.73</v>
      </c>
      <c r="AK289" s="3">
        <f>VLOOKUP(A289,JanApport,MATCH($AK$4,'Jan 2022 Apport'!$3:$3,0),FALSE)</f>
        <v>50.399000000000001</v>
      </c>
      <c r="AL289" s="117">
        <f t="shared" si="42"/>
        <v>33372269.380000003</v>
      </c>
      <c r="AM289" s="117">
        <f>VLOOKUP(A289,JanApport,MATCH($AM$4,'Jan 2022 Apport'!$3:$3,0),FALSE)</f>
        <v>882929.8</v>
      </c>
      <c r="AN289" s="117">
        <f>VLOOKUP(A289,JanApport,MATCH($AN$4,'Jan 2022 Apport'!$3:$3,0),FALSE)</f>
        <v>212767.22</v>
      </c>
    </row>
    <row r="290" spans="1:40">
      <c r="A290" s="2" t="s">
        <v>511</v>
      </c>
      <c r="B290" s="2" t="s">
        <v>512</v>
      </c>
      <c r="C290" s="2" t="s">
        <v>1267</v>
      </c>
      <c r="D290" s="118">
        <f>VLOOKUP(A290,JanApport,MATCH($D$4,'Jan 2022 Apport'!$3:$3,FALSE),FALSE)</f>
        <v>58749701.5</v>
      </c>
      <c r="E290" s="30">
        <f>VLOOKUP(A290,JanApport,MATCH($E$2,'Jan 2022 Apport'!$3:$3,0),FALSE)+VLOOKUP(A290,JanApport,MATCH($E$3,'Jan 2022 Apport'!$3:$3,0),FALSE)+VLOOKUP(A290,JanApport,MATCH($E$4,'Jan 2022 Apport'!$3:$3,0),FALSE)</f>
        <v>8339360.79</v>
      </c>
      <c r="F290" s="118">
        <f t="shared" si="43"/>
        <v>50410340.710000001</v>
      </c>
      <c r="G290" s="117">
        <f>VLOOKUP(A290,JanApport,MATCH($G$4,'Jan 2022 Apport'!$3:$3,0),FALSE)</f>
        <v>486684.9</v>
      </c>
      <c r="H290" s="117">
        <f>VLOOKUP(A290,JanApport,MATCH($H$3,'Jan 2022 Apport'!$3:$3,0),FALSE)+VLOOKUP(A290,JanApport,MATCH($H$2,'Jan 2022 Apport'!$3:$3,0),FALSE)+VLOOKUP(A290,JanApport,MATCH($H$4,'Jan 2022 Apport'!$3:$3,0),FALSE)</f>
        <v>7144691.6799999997</v>
      </c>
      <c r="I290" s="117">
        <f t="shared" si="44"/>
        <v>7631376.5800000001</v>
      </c>
      <c r="J290" s="117">
        <f>VLOOKUP(A290,JanApport,MATCH($J$4,'Jan 2022 Apport'!$3:$3,0),FALSE)</f>
        <v>3675991.21</v>
      </c>
      <c r="K290" s="117">
        <f>VLOOKUP(A290,JanApport,MATCH($K$4,'Jan 2022 Apport'!$3:$3,0),FALSE)</f>
        <v>468349.56</v>
      </c>
      <c r="L290" s="117">
        <f t="shared" si="45"/>
        <v>4144340.77</v>
      </c>
      <c r="M290" s="117">
        <f>VLOOKUP(A290,JanApport,MATCH($M$4,'Jan 2022 Apport'!$3:$3,0),FALSE)</f>
        <v>1261481.69</v>
      </c>
      <c r="N290" s="117">
        <f>VLOOKUP(A290,JanApport,MATCH($N$4,'Jan 2022 Apport'!$3:$3,0),FALSE)</f>
        <v>219639.09</v>
      </c>
      <c r="O290" s="117">
        <f>VLOOKUP(A290,JanApport,MATCH($O$4,'Jan 2022 Apport'!$3:$3,0),FALSE)</f>
        <v>187060.09</v>
      </c>
      <c r="P290" s="121">
        <f>IFERROR((VLOOKUP(A290,ExcessLevy!A:G,3,FALSE)*0.28),0)+IFERROR((VLOOKUP(A290,ExcessLevy!A:G,6,FALSE)*0.72),0)</f>
        <v>384448.04720000003</v>
      </c>
      <c r="Q290" s="121">
        <f>IFERROR((VLOOKUP(A290,ExcessLevy!A:G,4,FALSE)*0.4738),0)+IFERROR((VLOOKUP(A290,ExcessLevy!A:G,7,FALSE)*0.5262),0)</f>
        <v>17498770.497400001</v>
      </c>
      <c r="R290">
        <f>VLOOKUP(A290,JanApport,MATCH($R$4,'Jan 2022 Apport'!$3:$3,0),FALSE)</f>
        <v>298.81</v>
      </c>
      <c r="S290">
        <f>VLOOKUP(A290,JanApport,MATCH($S$4,'Jan 2022 Apport'!$3:$3,0),FALSE)</f>
        <v>205.24</v>
      </c>
      <c r="T290">
        <f>VLOOKUP(A290,JanApport,MATCH($T$4,'Jan 2022 Apport'!$3:$3,0),FALSE)</f>
        <v>390.78</v>
      </c>
      <c r="U290" s="132">
        <f>IFERROR(VLOOKUP(A290,JanApport,MATCH($U$4,'Jan 2022 Apport'!$3:$3,0),FALSE)/R290,0)</f>
        <v>10118.619390247984</v>
      </c>
      <c r="V290" s="30">
        <f>IFERROR(((VLOOKUP(A290,JanApport,MATCH($V$4,'Jan 2022 Apport'!$3:$3,0),FALSE)+VLOOKUP(A290,JanApport,MATCH($V$3,'Jan 2022 Apport'!$3:$3,0),FALSE))/(S290+T290)),0)</f>
        <v>8918.8552900909363</v>
      </c>
      <c r="W290" s="30">
        <f t="shared" si="38"/>
        <v>8083.6246967786601</v>
      </c>
      <c r="X290">
        <f>VLOOKUP(A290,JanApport,MATCH($X$4,'Jan 2022 Apport'!$3:$3,0),FALSE)</f>
        <v>4.8578999999999997E-2</v>
      </c>
      <c r="Y290">
        <f>VLOOKUP(A290,JanApport,MATCH($Y$4,'Jan 2022 Apport'!$3:$3,0),FALSE)</f>
        <v>4.0270000000000002E-3</v>
      </c>
      <c r="Z290">
        <f>VLOOKUP(A290,JanApport,MATCH($Z$4,'Jan 2022 Apport'!$3:$3,0),FALSE)</f>
        <v>1.7100000000000001E-2</v>
      </c>
      <c r="AA290" s="77">
        <f>VLOOKUP(A290,JanApport,MATCH($AA$4,'Jan 2022 Apport'!$3:$3,0),FALSE)*VLOOKUP(A290,JanApport,MATCH($AA$3,'Jan 2022 Apport'!$3:$3,0),FALSE)</f>
        <v>67585</v>
      </c>
      <c r="AB290" s="77">
        <f>VLOOKUP(A290,JanApport,MATCH($AB$4,'Jan 2022 Apport'!$3:$3,0),FALSE)*VLOOKUP(A290,JanApport,MATCH($AB$3,'Jan 2022 Apport'!$3:$3,0),FALSE)</f>
        <v>68937</v>
      </c>
      <c r="AC290" s="77">
        <f>VLOOKUP(A290,JanApport,MATCH($AC$4,'Jan 2022 Apport'!$3:$3,0),FALSE)</f>
        <v>100321</v>
      </c>
      <c r="AD290" s="77">
        <f>VLOOKUP(A290,JanApport,MATCH($AD$4,'Jan 2022 Apport'!$3:$3,0),FALSE)*VLOOKUP(A290,JanApport,MATCH($AD$3,'Jan 2022 Apport'!$3:$3,0),FALSE)</f>
        <v>102327</v>
      </c>
      <c r="AE290" s="77">
        <f>VLOOKUP(A290,JanApport,MATCH($AE$4,'Jan 2022 Apport'!$3:$3,0),FALSE)</f>
        <v>48483</v>
      </c>
      <c r="AF290" s="77">
        <f>VLOOKUP(A290,JanApport,MATCH($AF$4,'Jan 2022 Apport'!$3:$3,0),FALSE)*VLOOKUP(A290,JanApport,MATCH($AF$3,'Jan 2022 Apport'!$3:$3,0),FALSE)</f>
        <v>49453</v>
      </c>
      <c r="AG290" s="77">
        <f t="shared" si="39"/>
        <v>96432.259900000005</v>
      </c>
      <c r="AH290" s="77">
        <f t="shared" si="40"/>
        <v>137400.94330000001</v>
      </c>
      <c r="AI290" s="77">
        <f t="shared" si="41"/>
        <v>77281.189732599989</v>
      </c>
      <c r="AJ290" s="3">
        <f>VLOOKUP(A290,JanApport,MATCH($AJ$4,'Jan 2022 Apport'!$3:$3,0),FALSE)</f>
        <v>7261053.1100000003</v>
      </c>
      <c r="AK290" s="3">
        <f>VLOOKUP(A290,JanApport,MATCH($AK$4,'Jan 2022 Apport'!$3:$3,0),FALSE)</f>
        <v>117.248</v>
      </c>
      <c r="AL290" s="117">
        <f t="shared" si="42"/>
        <v>71725250.160000011</v>
      </c>
      <c r="AM290" s="117">
        <f>VLOOKUP(A290,JanApport,MATCH($AM$4,'Jan 2022 Apport'!$3:$3,0),FALSE)</f>
        <v>0</v>
      </c>
      <c r="AN290" s="117">
        <f>VLOOKUP(A290,JanApport,MATCH($AN$4,'Jan 2022 Apport'!$3:$3,0),FALSE)</f>
        <v>398887.43</v>
      </c>
    </row>
    <row r="291" spans="1:40">
      <c r="A291" s="2" t="s">
        <v>581</v>
      </c>
      <c r="B291" s="2" t="s">
        <v>582</v>
      </c>
      <c r="C291" s="2" t="s">
        <v>1267</v>
      </c>
      <c r="D291" s="118">
        <f>VLOOKUP(A291,JanApport,MATCH($D$4,'Jan 2022 Apport'!$3:$3,FALSE),FALSE)</f>
        <v>5020250.1100000003</v>
      </c>
      <c r="E291" s="30">
        <f>VLOOKUP(A291,JanApport,MATCH($E$2,'Jan 2022 Apport'!$3:$3,0),FALSE)+VLOOKUP(A291,JanApport,MATCH($E$3,'Jan 2022 Apport'!$3:$3,0),FALSE)+VLOOKUP(A291,JanApport,MATCH($E$4,'Jan 2022 Apport'!$3:$3,0),FALSE)</f>
        <v>0</v>
      </c>
      <c r="F291" s="118">
        <f t="shared" si="43"/>
        <v>5020250.1100000003</v>
      </c>
      <c r="G291" s="117">
        <f>VLOOKUP(A291,JanApport,MATCH($G$4,'Jan 2022 Apport'!$3:$3,0),FALSE)</f>
        <v>58716.49</v>
      </c>
      <c r="H291" s="117">
        <f>VLOOKUP(A291,JanApport,MATCH($H$3,'Jan 2022 Apport'!$3:$3,0),FALSE)+VLOOKUP(A291,JanApport,MATCH($H$2,'Jan 2022 Apport'!$3:$3,0),FALSE)+VLOOKUP(A291,JanApport,MATCH($H$4,'Jan 2022 Apport'!$3:$3,0),FALSE)</f>
        <v>620667.99</v>
      </c>
      <c r="I291" s="117">
        <f t="shared" si="44"/>
        <v>679384.48</v>
      </c>
      <c r="J291" s="117">
        <f>VLOOKUP(A291,JanApport,MATCH($J$4,'Jan 2022 Apport'!$3:$3,0),FALSE)</f>
        <v>136816.99</v>
      </c>
      <c r="K291" s="117">
        <f>VLOOKUP(A291,JanApport,MATCH($K$4,'Jan 2022 Apport'!$3:$3,0),FALSE)</f>
        <v>8376.75</v>
      </c>
      <c r="L291" s="117">
        <f t="shared" si="45"/>
        <v>145193.74</v>
      </c>
      <c r="M291" s="117">
        <f>VLOOKUP(A291,JanApport,MATCH($M$4,'Jan 2022 Apport'!$3:$3,0),FALSE)</f>
        <v>328529.2</v>
      </c>
      <c r="N291" s="117">
        <f>VLOOKUP(A291,JanApport,MATCH($N$4,'Jan 2022 Apport'!$3:$3,0),FALSE)</f>
        <v>258968.67</v>
      </c>
      <c r="O291" s="117">
        <f>VLOOKUP(A291,JanApport,MATCH($O$4,'Jan 2022 Apport'!$3:$3,0),FALSE)</f>
        <v>15947.08</v>
      </c>
      <c r="P291" s="121">
        <f>IFERROR((VLOOKUP(A291,ExcessLevy!A:G,3,FALSE)*0.28),0)+IFERROR((VLOOKUP(A291,ExcessLevy!A:G,6,FALSE)*0.72),0)</f>
        <v>420196.88919999998</v>
      </c>
      <c r="Q291" s="121">
        <f>IFERROR((VLOOKUP(A291,ExcessLevy!A:G,4,FALSE)*0.4738),0)+IFERROR((VLOOKUP(A291,ExcessLevy!A:G,7,FALSE)*0.5262),0)</f>
        <v>922500</v>
      </c>
      <c r="R291">
        <f>VLOOKUP(A291,JanApport,MATCH($R$4,'Jan 2022 Apport'!$3:$3,0),FALSE)</f>
        <v>0</v>
      </c>
      <c r="S291">
        <f>VLOOKUP(A291,JanApport,MATCH($S$4,'Jan 2022 Apport'!$3:$3,0),FALSE)</f>
        <v>0</v>
      </c>
      <c r="T291">
        <f>VLOOKUP(A291,JanApport,MATCH($T$4,'Jan 2022 Apport'!$3:$3,0),FALSE)</f>
        <v>0</v>
      </c>
      <c r="U291" s="132">
        <f>IFERROR(VLOOKUP(A291,JanApport,MATCH($U$4,'Jan 2022 Apport'!$3:$3,0),FALSE)/R291,0)</f>
        <v>0</v>
      </c>
      <c r="V291" s="30">
        <f>IFERROR(((VLOOKUP(A291,JanApport,MATCH($V$4,'Jan 2022 Apport'!$3:$3,0),FALSE)+VLOOKUP(A291,JanApport,MATCH($V$3,'Jan 2022 Apport'!$3:$3,0),FALSE))/(S291+T291)),0)</f>
        <v>0</v>
      </c>
      <c r="W291" s="30">
        <f t="shared" si="38"/>
        <v>8083.6246967786601</v>
      </c>
      <c r="X291">
        <f>VLOOKUP(A291,JanApport,MATCH($X$4,'Jan 2022 Apport'!$3:$3,0),FALSE)</f>
        <v>4.8578999999999997E-2</v>
      </c>
      <c r="Y291">
        <f>VLOOKUP(A291,JanApport,MATCH($Y$4,'Jan 2022 Apport'!$3:$3,0),FALSE)</f>
        <v>4.0270000000000002E-3</v>
      </c>
      <c r="Z291">
        <f>VLOOKUP(A291,JanApport,MATCH($Z$4,'Jan 2022 Apport'!$3:$3,0),FALSE)</f>
        <v>1.7100000000000001E-2</v>
      </c>
      <c r="AA291" s="77">
        <f>VLOOKUP(A291,JanApport,MATCH($AA$4,'Jan 2022 Apport'!$3:$3,0),FALSE)*VLOOKUP(A291,JanApport,MATCH($AA$3,'Jan 2022 Apport'!$3:$3,0),FALSE)</f>
        <v>67585</v>
      </c>
      <c r="AB291" s="77">
        <f>VLOOKUP(A291,JanApport,MATCH($AB$4,'Jan 2022 Apport'!$3:$3,0),FALSE)*VLOOKUP(A291,JanApport,MATCH($AB$3,'Jan 2022 Apport'!$3:$3,0),FALSE)</f>
        <v>68937</v>
      </c>
      <c r="AC291" s="77">
        <f>VLOOKUP(A291,JanApport,MATCH($AC$4,'Jan 2022 Apport'!$3:$3,0),FALSE)</f>
        <v>100321</v>
      </c>
      <c r="AD291" s="77">
        <f>VLOOKUP(A291,JanApport,MATCH($AD$4,'Jan 2022 Apport'!$3:$3,0),FALSE)*VLOOKUP(A291,JanApport,MATCH($AD$3,'Jan 2022 Apport'!$3:$3,0),FALSE)</f>
        <v>102327</v>
      </c>
      <c r="AE291" s="77">
        <f>VLOOKUP(A291,JanApport,MATCH($AE$4,'Jan 2022 Apport'!$3:$3,0),FALSE)</f>
        <v>48483</v>
      </c>
      <c r="AF291" s="77">
        <f>VLOOKUP(A291,JanApport,MATCH($AF$4,'Jan 2022 Apport'!$3:$3,0),FALSE)*VLOOKUP(A291,JanApport,MATCH($AF$3,'Jan 2022 Apport'!$3:$3,0),FALSE)</f>
        <v>49453</v>
      </c>
      <c r="AG291" s="77">
        <f t="shared" si="39"/>
        <v>96432.259900000005</v>
      </c>
      <c r="AH291" s="77">
        <f t="shared" si="40"/>
        <v>137400.94330000001</v>
      </c>
      <c r="AI291" s="77">
        <f t="shared" si="41"/>
        <v>77281.189732599989</v>
      </c>
      <c r="AJ291" s="3">
        <f>VLOOKUP(A291,JanApport,MATCH($AJ$4,'Jan 2022 Apport'!$3:$3,0),FALSE)</f>
        <v>757588.9</v>
      </c>
      <c r="AK291" s="3">
        <f>VLOOKUP(A291,JanApport,MATCH($AK$4,'Jan 2022 Apport'!$3:$3,0),FALSE)</f>
        <v>16.734999999999999</v>
      </c>
      <c r="AL291" s="117">
        <f t="shared" si="42"/>
        <v>6605041.6500000004</v>
      </c>
      <c r="AM291" s="117">
        <f>VLOOKUP(A291,JanApport,MATCH($AM$4,'Jan 2022 Apport'!$3:$3,0),FALSE)</f>
        <v>165145.12</v>
      </c>
      <c r="AN291" s="117">
        <f>VLOOKUP(A291,JanApport,MATCH($AN$4,'Jan 2022 Apport'!$3:$3,0),FALSE)</f>
        <v>45214.54</v>
      </c>
    </row>
    <row r="292" spans="1:40">
      <c r="A292" s="2" t="s">
        <v>369</v>
      </c>
      <c r="B292" s="2" t="s">
        <v>370</v>
      </c>
      <c r="C292" s="2" t="s">
        <v>1267</v>
      </c>
      <c r="D292" s="118">
        <f>VLOOKUP(A292,JanApport,MATCH($D$4,'Jan 2022 Apport'!$3:$3,FALSE),FALSE)</f>
        <v>51394258.719999999</v>
      </c>
      <c r="E292" s="30">
        <f>VLOOKUP(A292,JanApport,MATCH($E$2,'Jan 2022 Apport'!$3:$3,0),FALSE)+VLOOKUP(A292,JanApport,MATCH($E$3,'Jan 2022 Apport'!$3:$3,0),FALSE)+VLOOKUP(A292,JanApport,MATCH($E$4,'Jan 2022 Apport'!$3:$3,0),FALSE)</f>
        <v>2822833.81</v>
      </c>
      <c r="F292" s="118">
        <f t="shared" si="43"/>
        <v>48571424.909999996</v>
      </c>
      <c r="G292" s="117">
        <f>VLOOKUP(A292,JanApport,MATCH($G$4,'Jan 2022 Apport'!$3:$3,0),FALSE)</f>
        <v>411671.87</v>
      </c>
      <c r="H292" s="117">
        <f>VLOOKUP(A292,JanApport,MATCH($H$3,'Jan 2022 Apport'!$3:$3,0),FALSE)+VLOOKUP(A292,JanApport,MATCH($H$2,'Jan 2022 Apport'!$3:$3,0),FALSE)+VLOOKUP(A292,JanApport,MATCH($H$4,'Jan 2022 Apport'!$3:$3,0),FALSE)</f>
        <v>4992709.82</v>
      </c>
      <c r="I292" s="117">
        <f t="shared" si="44"/>
        <v>5404381.6900000004</v>
      </c>
      <c r="J292" s="117">
        <f>VLOOKUP(A292,JanApport,MATCH($J$4,'Jan 2022 Apport'!$3:$3,0),FALSE)</f>
        <v>2087720.05</v>
      </c>
      <c r="K292" s="117">
        <f>VLOOKUP(A292,JanApport,MATCH($K$4,'Jan 2022 Apport'!$3:$3,0),FALSE)</f>
        <v>334859.69</v>
      </c>
      <c r="L292" s="117">
        <f t="shared" si="45"/>
        <v>2422579.7400000002</v>
      </c>
      <c r="M292" s="117">
        <f>VLOOKUP(A292,JanApport,MATCH($M$4,'Jan 2022 Apport'!$3:$3,0),FALSE)</f>
        <v>1326796.28</v>
      </c>
      <c r="N292" s="117">
        <f>VLOOKUP(A292,JanApport,MATCH($N$4,'Jan 2022 Apport'!$3:$3,0),FALSE)</f>
        <v>520800.54</v>
      </c>
      <c r="O292" s="117">
        <f>VLOOKUP(A292,JanApport,MATCH($O$4,'Jan 2022 Apport'!$3:$3,0),FALSE)</f>
        <v>170265.8</v>
      </c>
      <c r="P292" s="121">
        <f>IFERROR((VLOOKUP(A292,ExcessLevy!A:G,3,FALSE)*0.28),0)+IFERROR((VLOOKUP(A292,ExcessLevy!A:G,6,FALSE)*0.72),0)</f>
        <v>1518181.8256000001</v>
      </c>
      <c r="Q292" s="121">
        <f>IFERROR((VLOOKUP(A292,ExcessLevy!A:G,4,FALSE)*0.4738),0)+IFERROR((VLOOKUP(A292,ExcessLevy!A:G,7,FALSE)*0.5262),0)</f>
        <v>12687071</v>
      </c>
      <c r="R292">
        <f>VLOOKUP(A292,JanApport,MATCH($R$4,'Jan 2022 Apport'!$3:$3,0),FALSE)</f>
        <v>0</v>
      </c>
      <c r="S292">
        <f>VLOOKUP(A292,JanApport,MATCH($S$4,'Jan 2022 Apport'!$3:$3,0),FALSE)</f>
        <v>0</v>
      </c>
      <c r="T292">
        <f>VLOOKUP(A292,JanApport,MATCH($T$4,'Jan 2022 Apport'!$3:$3,0),FALSE)</f>
        <v>297.42</v>
      </c>
      <c r="U292" s="132">
        <f>IFERROR(VLOOKUP(A292,JanApport,MATCH($U$4,'Jan 2022 Apport'!$3:$3,0),FALSE)/R292,0)</f>
        <v>0</v>
      </c>
      <c r="V292" s="30">
        <f>IFERROR(((VLOOKUP(A292,JanApport,MATCH($V$4,'Jan 2022 Apport'!$3:$3,0),FALSE)+VLOOKUP(A292,JanApport,MATCH($V$3,'Jan 2022 Apport'!$3:$3,0),FALSE))/(S292+T292)),0)</f>
        <v>9491.0692287001548</v>
      </c>
      <c r="W292" s="30">
        <f t="shared" si="38"/>
        <v>8756.8195392748839</v>
      </c>
      <c r="X292">
        <f>VLOOKUP(A292,JanApport,MATCH($X$4,'Jan 2022 Apport'!$3:$3,0),FALSE)</f>
        <v>4.8578999999999997E-2</v>
      </c>
      <c r="Y292">
        <f>VLOOKUP(A292,JanApport,MATCH($Y$4,'Jan 2022 Apport'!$3:$3,0),FALSE)</f>
        <v>4.0270000000000002E-3</v>
      </c>
      <c r="Z292">
        <f>VLOOKUP(A292,JanApport,MATCH($Z$4,'Jan 2022 Apport'!$3:$3,0),FALSE)</f>
        <v>1.7100000000000001E-2</v>
      </c>
      <c r="AA292" s="77">
        <f>VLOOKUP(A292,JanApport,MATCH($AA$4,'Jan 2022 Apport'!$3:$3,0),FALSE)*VLOOKUP(A292,JanApport,MATCH($AA$3,'Jan 2022 Apport'!$3:$3,0),FALSE)</f>
        <v>71640.100000000006</v>
      </c>
      <c r="AB292" s="77">
        <f>VLOOKUP(A292,JanApport,MATCH($AB$4,'Jan 2022 Apport'!$3:$3,0),FALSE)*VLOOKUP(A292,JanApport,MATCH($AB$3,'Jan 2022 Apport'!$3:$3,0),FALSE)</f>
        <v>77209.440000000002</v>
      </c>
      <c r="AC292" s="77">
        <f>VLOOKUP(A292,JanApport,MATCH($AC$4,'Jan 2022 Apport'!$3:$3,0),FALSE)</f>
        <v>100321</v>
      </c>
      <c r="AD292" s="77">
        <f>VLOOKUP(A292,JanApport,MATCH($AD$4,'Jan 2022 Apport'!$3:$3,0),FALSE)*VLOOKUP(A292,JanApport,MATCH($AD$3,'Jan 2022 Apport'!$3:$3,0),FALSE)</f>
        <v>114606.24</v>
      </c>
      <c r="AE292" s="77">
        <f>VLOOKUP(A292,JanApport,MATCH($AE$4,'Jan 2022 Apport'!$3:$3,0),FALSE)</f>
        <v>48483</v>
      </c>
      <c r="AF292" s="77">
        <f>VLOOKUP(A292,JanApport,MATCH($AF$4,'Jan 2022 Apport'!$3:$3,0),FALSE)*VLOOKUP(A292,JanApport,MATCH($AF$3,'Jan 2022 Apport'!$3:$3,0),FALSE)</f>
        <v>55387.360000000008</v>
      </c>
      <c r="AG292" s="77">
        <f t="shared" si="39"/>
        <v>106556.38004800002</v>
      </c>
      <c r="AH292" s="77">
        <f t="shared" si="40"/>
        <v>152390.21156800003</v>
      </c>
      <c r="AI292" s="77">
        <f t="shared" si="41"/>
        <v>84357.998300512001</v>
      </c>
      <c r="AJ292" s="3">
        <f>VLOOKUP(A292,JanApport,MATCH($AJ$4,'Jan 2022 Apport'!$3:$3,0),FALSE)</f>
        <v>6973617.4800000004</v>
      </c>
      <c r="AK292" s="3">
        <f>VLOOKUP(A292,JanApport,MATCH($AK$4,'Jan 2022 Apport'!$3:$3,0),FALSE)</f>
        <v>106.994</v>
      </c>
      <c r="AL292" s="117">
        <f t="shared" si="42"/>
        <v>60904223.079999991</v>
      </c>
      <c r="AM292" s="117">
        <f>VLOOKUP(A292,JanApport,MATCH($AM$4,'Jan 2022 Apport'!$3:$3,0),FALSE)</f>
        <v>0</v>
      </c>
      <c r="AN292" s="117">
        <f>VLOOKUP(A292,JanApport,MATCH($AN$4,'Jan 2022 Apport'!$3:$3,0),FALSE)</f>
        <v>421017.29</v>
      </c>
    </row>
    <row r="293" spans="1:40">
      <c r="A293" s="2" t="s">
        <v>489</v>
      </c>
      <c r="B293" s="2" t="s">
        <v>490</v>
      </c>
      <c r="C293" s="2" t="s">
        <v>1267</v>
      </c>
      <c r="D293" s="118">
        <f>VLOOKUP(A293,JanApport,MATCH($D$4,'Jan 2022 Apport'!$3:$3,FALSE),FALSE)</f>
        <v>10975027.6</v>
      </c>
      <c r="E293" s="30">
        <f>VLOOKUP(A293,JanApport,MATCH($E$2,'Jan 2022 Apport'!$3:$3,0),FALSE)+VLOOKUP(A293,JanApport,MATCH($E$3,'Jan 2022 Apport'!$3:$3,0),FALSE)+VLOOKUP(A293,JanApport,MATCH($E$4,'Jan 2022 Apport'!$3:$3,0),FALSE)</f>
        <v>0</v>
      </c>
      <c r="F293" s="118">
        <f t="shared" si="43"/>
        <v>10975027.6</v>
      </c>
      <c r="G293" s="117">
        <f>VLOOKUP(A293,JanApport,MATCH($G$4,'Jan 2022 Apport'!$3:$3,0),FALSE)</f>
        <v>38311.97</v>
      </c>
      <c r="H293" s="117">
        <f>VLOOKUP(A293,JanApport,MATCH($H$3,'Jan 2022 Apport'!$3:$3,0),FALSE)+VLOOKUP(A293,JanApport,MATCH($H$2,'Jan 2022 Apport'!$3:$3,0),FALSE)+VLOOKUP(A293,JanApport,MATCH($H$4,'Jan 2022 Apport'!$3:$3,0),FALSE)</f>
        <v>915121.3</v>
      </c>
      <c r="I293" s="117">
        <f t="shared" si="44"/>
        <v>953433.27</v>
      </c>
      <c r="J293" s="117">
        <f>VLOOKUP(A293,JanApport,MATCH($J$4,'Jan 2022 Apport'!$3:$3,0),FALSE)</f>
        <v>988704.9</v>
      </c>
      <c r="K293" s="117">
        <f>VLOOKUP(A293,JanApport,MATCH($K$4,'Jan 2022 Apport'!$3:$3,0),FALSE)</f>
        <v>81378.97</v>
      </c>
      <c r="L293" s="117">
        <f t="shared" si="45"/>
        <v>1070083.8700000001</v>
      </c>
      <c r="M293" s="117">
        <f>VLOOKUP(A293,JanApport,MATCH($M$4,'Jan 2022 Apport'!$3:$3,0),FALSE)</f>
        <v>160840.38</v>
      </c>
      <c r="N293" s="117">
        <f>VLOOKUP(A293,JanApport,MATCH($N$4,'Jan 2022 Apport'!$3:$3,0),FALSE)</f>
        <v>0</v>
      </c>
      <c r="O293" s="117">
        <f>VLOOKUP(A293,JanApport,MATCH($O$4,'Jan 2022 Apport'!$3:$3,0),FALSE)</f>
        <v>32578.98</v>
      </c>
      <c r="P293" s="121">
        <f>IFERROR((VLOOKUP(A293,ExcessLevy!A:G,3,FALSE)*0.28),0)+IFERROR((VLOOKUP(A293,ExcessLevy!A:G,6,FALSE)*0.72),0)</f>
        <v>1095386.2843999998</v>
      </c>
      <c r="Q293" s="121">
        <f>IFERROR((VLOOKUP(A293,ExcessLevy!A:G,4,FALSE)*0.4738),0)+IFERROR((VLOOKUP(A293,ExcessLevy!A:G,7,FALSE)*0.5262),0)</f>
        <v>152000</v>
      </c>
      <c r="R293">
        <f>VLOOKUP(A293,JanApport,MATCH($R$4,'Jan 2022 Apport'!$3:$3,0),FALSE)</f>
        <v>0</v>
      </c>
      <c r="S293">
        <f>VLOOKUP(A293,JanApport,MATCH($S$4,'Jan 2022 Apport'!$3:$3,0),FALSE)</f>
        <v>0</v>
      </c>
      <c r="T293">
        <f>VLOOKUP(A293,JanApport,MATCH($T$4,'Jan 2022 Apport'!$3:$3,0),FALSE)</f>
        <v>0</v>
      </c>
      <c r="U293" s="132">
        <f>IFERROR(VLOOKUP(A293,JanApport,MATCH($U$4,'Jan 2022 Apport'!$3:$3,0),FALSE)/R293,0)</f>
        <v>0</v>
      </c>
      <c r="V293" s="30">
        <f>IFERROR(((VLOOKUP(A293,JanApport,MATCH($V$4,'Jan 2022 Apport'!$3:$3,0),FALSE)+VLOOKUP(A293,JanApport,MATCH($V$3,'Jan 2022 Apport'!$3:$3,0),FALSE))/(S293+T293)),0)</f>
        <v>0</v>
      </c>
      <c r="W293" s="30">
        <f t="shared" si="38"/>
        <v>8083.6246967786601</v>
      </c>
      <c r="X293">
        <f>VLOOKUP(A293,JanApport,MATCH($X$4,'Jan 2022 Apport'!$3:$3,0),FALSE)</f>
        <v>4.8578999999999997E-2</v>
      </c>
      <c r="Y293">
        <f>VLOOKUP(A293,JanApport,MATCH($Y$4,'Jan 2022 Apport'!$3:$3,0),FALSE)</f>
        <v>4.0270000000000002E-3</v>
      </c>
      <c r="Z293">
        <f>VLOOKUP(A293,JanApport,MATCH($Z$4,'Jan 2022 Apport'!$3:$3,0),FALSE)</f>
        <v>1.7100000000000001E-2</v>
      </c>
      <c r="AA293" s="77">
        <f>VLOOKUP(A293,JanApport,MATCH($AA$4,'Jan 2022 Apport'!$3:$3,0),FALSE)*VLOOKUP(A293,JanApport,MATCH($AA$3,'Jan 2022 Apport'!$3:$3,0),FALSE)</f>
        <v>67585</v>
      </c>
      <c r="AB293" s="77">
        <f>VLOOKUP(A293,JanApport,MATCH($AB$4,'Jan 2022 Apport'!$3:$3,0),FALSE)*VLOOKUP(A293,JanApport,MATCH($AB$3,'Jan 2022 Apport'!$3:$3,0),FALSE)</f>
        <v>68937</v>
      </c>
      <c r="AC293" s="77">
        <f>VLOOKUP(A293,JanApport,MATCH($AC$4,'Jan 2022 Apport'!$3:$3,0),FALSE)</f>
        <v>100321</v>
      </c>
      <c r="AD293" s="77">
        <f>VLOOKUP(A293,JanApport,MATCH($AD$4,'Jan 2022 Apport'!$3:$3,0),FALSE)*VLOOKUP(A293,JanApport,MATCH($AD$3,'Jan 2022 Apport'!$3:$3,0),FALSE)</f>
        <v>102327</v>
      </c>
      <c r="AE293" s="77">
        <f>VLOOKUP(A293,JanApport,MATCH($AE$4,'Jan 2022 Apport'!$3:$3,0),FALSE)</f>
        <v>48483</v>
      </c>
      <c r="AF293" s="77">
        <f>VLOOKUP(A293,JanApport,MATCH($AF$4,'Jan 2022 Apport'!$3:$3,0),FALSE)*VLOOKUP(A293,JanApport,MATCH($AF$3,'Jan 2022 Apport'!$3:$3,0),FALSE)</f>
        <v>49453</v>
      </c>
      <c r="AG293" s="77">
        <f t="shared" si="39"/>
        <v>96432.259900000005</v>
      </c>
      <c r="AH293" s="77">
        <f t="shared" si="40"/>
        <v>137400.94330000001</v>
      </c>
      <c r="AI293" s="77">
        <f t="shared" si="41"/>
        <v>77281.189732599989</v>
      </c>
      <c r="AJ293" s="3">
        <f>VLOOKUP(A293,JanApport,MATCH($AJ$4,'Jan 2022 Apport'!$3:$3,0),FALSE)</f>
        <v>429908.49</v>
      </c>
      <c r="AK293" s="3">
        <f>VLOOKUP(A293,JanApport,MATCH($AK$4,'Jan 2022 Apport'!$3:$3,0),FALSE)</f>
        <v>6.6040000000000001</v>
      </c>
      <c r="AL293" s="117">
        <f t="shared" si="42"/>
        <v>13178384.640000001</v>
      </c>
      <c r="AM293" s="117">
        <f>VLOOKUP(A293,JanApport,MATCH($AM$4,'Jan 2022 Apport'!$3:$3,0),FALSE)</f>
        <v>67799.509999999995</v>
      </c>
      <c r="AN293" s="117">
        <f>VLOOKUP(A293,JanApport,MATCH($AN$4,'Jan 2022 Apport'!$3:$3,0),FALSE)</f>
        <v>28279.08</v>
      </c>
    </row>
    <row r="294" spans="1:40">
      <c r="A294" s="2" t="s">
        <v>55</v>
      </c>
      <c r="B294" s="2" t="s">
        <v>56</v>
      </c>
      <c r="C294" s="2" t="s">
        <v>1267</v>
      </c>
      <c r="D294" s="118">
        <f>VLOOKUP(A294,JanApport,MATCH($D$4,'Jan 2022 Apport'!$3:$3,FALSE),FALSE)</f>
        <v>195094878.41</v>
      </c>
      <c r="E294" s="30">
        <f>VLOOKUP(A294,JanApport,MATCH($E$2,'Jan 2022 Apport'!$3:$3,0),FALSE)+VLOOKUP(A294,JanApport,MATCH($E$3,'Jan 2022 Apport'!$3:$3,0),FALSE)+VLOOKUP(A294,JanApport,MATCH($E$4,'Jan 2022 Apport'!$3:$3,0),FALSE)</f>
        <v>15175491.149999999</v>
      </c>
      <c r="F294" s="118">
        <f t="shared" si="43"/>
        <v>179919387.25999999</v>
      </c>
      <c r="G294" s="117">
        <f>VLOOKUP(A294,JanApport,MATCH($G$4,'Jan 2022 Apport'!$3:$3,0),FALSE)</f>
        <v>1858990.32</v>
      </c>
      <c r="H294" s="117">
        <f>VLOOKUP(A294,JanApport,MATCH($H$3,'Jan 2022 Apport'!$3:$3,0),FALSE)+VLOOKUP(A294,JanApport,MATCH($H$2,'Jan 2022 Apport'!$3:$3,0),FALSE)+VLOOKUP(A294,JanApport,MATCH($H$4,'Jan 2022 Apport'!$3:$3,0),FALSE)</f>
        <v>25695812.450000003</v>
      </c>
      <c r="I294" s="117">
        <f t="shared" si="44"/>
        <v>27554802.770000003</v>
      </c>
      <c r="J294" s="117">
        <f>VLOOKUP(A294,JanApport,MATCH($J$4,'Jan 2022 Apport'!$3:$3,0),FALSE)</f>
        <v>10631077.529999999</v>
      </c>
      <c r="K294" s="117">
        <f>VLOOKUP(A294,JanApport,MATCH($K$4,'Jan 2022 Apport'!$3:$3,0),FALSE)</f>
        <v>1585379.27</v>
      </c>
      <c r="L294" s="117">
        <f t="shared" si="45"/>
        <v>12216456.799999999</v>
      </c>
      <c r="M294" s="117">
        <f>VLOOKUP(A294,JanApport,MATCH($M$4,'Jan 2022 Apport'!$3:$3,0),FALSE)</f>
        <v>6661753.04</v>
      </c>
      <c r="N294" s="117">
        <f>VLOOKUP(A294,JanApport,MATCH($N$4,'Jan 2022 Apport'!$3:$3,0),FALSE)</f>
        <v>4845454.3499999996</v>
      </c>
      <c r="O294" s="117">
        <f>VLOOKUP(A294,JanApport,MATCH($O$4,'Jan 2022 Apport'!$3:$3,0),FALSE)</f>
        <v>635987.77</v>
      </c>
      <c r="P294" s="121">
        <f>IFERROR((VLOOKUP(A294,ExcessLevy!A:G,3,FALSE)*0.28),0)+IFERROR((VLOOKUP(A294,ExcessLevy!A:G,6,FALSE)*0.72),0)</f>
        <v>815597.47360000014</v>
      </c>
      <c r="Q294" s="121">
        <f>IFERROR((VLOOKUP(A294,ExcessLevy!A:G,4,FALSE)*0.4738),0)+IFERROR((VLOOKUP(A294,ExcessLevy!A:G,7,FALSE)*0.5262),0)</f>
        <v>47104888</v>
      </c>
      <c r="R294">
        <f>VLOOKUP(A294,JanApport,MATCH($R$4,'Jan 2022 Apport'!$3:$3,0),FALSE)</f>
        <v>0</v>
      </c>
      <c r="S294">
        <f>VLOOKUP(A294,JanApport,MATCH($S$4,'Jan 2022 Apport'!$3:$3,0),FALSE)</f>
        <v>264.52</v>
      </c>
      <c r="T294">
        <f>VLOOKUP(A294,JanApport,MATCH($T$4,'Jan 2022 Apport'!$3:$3,0),FALSE)</f>
        <v>1367.27</v>
      </c>
      <c r="U294" s="132">
        <f>IFERROR(VLOOKUP(A294,JanApport,MATCH($U$4,'Jan 2022 Apport'!$3:$3,0),FALSE)/R294,0)</f>
        <v>0</v>
      </c>
      <c r="V294" s="30">
        <f>IFERROR(((VLOOKUP(A294,JanApport,MATCH($V$4,'Jan 2022 Apport'!$3:$3,0),FALSE)+VLOOKUP(A294,JanApport,MATCH($V$3,'Jan 2022 Apport'!$3:$3,0),FALSE))/(S294+T294)),0)</f>
        <v>9299.9044913867583</v>
      </c>
      <c r="W294" s="30">
        <f t="shared" si="38"/>
        <v>8084.8854500772204</v>
      </c>
      <c r="X294">
        <f>VLOOKUP(A294,JanApport,MATCH($X$4,'Jan 2022 Apport'!$3:$3,0),FALSE)</f>
        <v>4.8578999999999997E-2</v>
      </c>
      <c r="Y294">
        <f>VLOOKUP(A294,JanApport,MATCH($Y$4,'Jan 2022 Apport'!$3:$3,0),FALSE)</f>
        <v>4.0270000000000002E-3</v>
      </c>
      <c r="Z294">
        <f>VLOOKUP(A294,JanApport,MATCH($Z$4,'Jan 2022 Apport'!$3:$3,0),FALSE)</f>
        <v>1.7100000000000001E-2</v>
      </c>
      <c r="AA294" s="77">
        <f>VLOOKUP(A294,JanApport,MATCH($AA$4,'Jan 2022 Apport'!$3:$3,0),FALSE)*VLOOKUP(A294,JanApport,MATCH($AA$3,'Jan 2022 Apport'!$3:$3,0),FALSE)</f>
        <v>71640.100000000006</v>
      </c>
      <c r="AB294" s="77">
        <f>VLOOKUP(A294,JanApport,MATCH($AB$4,'Jan 2022 Apport'!$3:$3,0),FALSE)*VLOOKUP(A294,JanApport,MATCH($AB$3,'Jan 2022 Apport'!$3:$3,0),FALSE)</f>
        <v>68937</v>
      </c>
      <c r="AC294" s="77">
        <f>VLOOKUP(A294,JanApport,MATCH($AC$4,'Jan 2022 Apport'!$3:$3,0),FALSE)</f>
        <v>100321</v>
      </c>
      <c r="AD294" s="77">
        <f>VLOOKUP(A294,JanApport,MATCH($AD$4,'Jan 2022 Apport'!$3:$3,0),FALSE)*VLOOKUP(A294,JanApport,MATCH($AD$3,'Jan 2022 Apport'!$3:$3,0),FALSE)</f>
        <v>102327</v>
      </c>
      <c r="AE294" s="77">
        <f>VLOOKUP(A294,JanApport,MATCH($AE$4,'Jan 2022 Apport'!$3:$3,0),FALSE)</f>
        <v>48483</v>
      </c>
      <c r="AF294" s="77">
        <f>VLOOKUP(A294,JanApport,MATCH($AF$4,'Jan 2022 Apport'!$3:$3,0),FALSE)*VLOOKUP(A294,JanApport,MATCH($AF$3,'Jan 2022 Apport'!$3:$3,0),FALSE)</f>
        <v>49453</v>
      </c>
      <c r="AG294" s="77">
        <f t="shared" si="39"/>
        <v>96458.212540000008</v>
      </c>
      <c r="AH294" s="77">
        <f t="shared" si="40"/>
        <v>137400.94330000001</v>
      </c>
      <c r="AI294" s="77">
        <f t="shared" si="41"/>
        <v>77281.189732599989</v>
      </c>
      <c r="AJ294" s="3">
        <f>VLOOKUP(A294,JanApport,MATCH($AJ$4,'Jan 2022 Apport'!$3:$3,0),FALSE)</f>
        <v>25452432.57</v>
      </c>
      <c r="AK294" s="3">
        <f>VLOOKUP(A294,JanApport,MATCH($AK$4,'Jan 2022 Apport'!$3:$3,0),FALSE)</f>
        <v>404.48700000000002</v>
      </c>
      <c r="AL294" s="117">
        <f t="shared" si="42"/>
        <v>248948407.55000001</v>
      </c>
      <c r="AM294" s="117">
        <f>VLOOKUP(A294,JanApport,MATCH($AM$4,'Jan 2022 Apport'!$3:$3,0),FALSE)</f>
        <v>3524453.68</v>
      </c>
      <c r="AN294" s="117">
        <f>VLOOKUP(A294,JanApport,MATCH($AN$4,'Jan 2022 Apport'!$3:$3,0),FALSE)</f>
        <v>1487807.51</v>
      </c>
    </row>
    <row r="295" spans="1:40">
      <c r="A295" s="2" t="s">
        <v>193</v>
      </c>
      <c r="B295" s="2" t="s">
        <v>194</v>
      </c>
      <c r="C295" s="2" t="s">
        <v>1267</v>
      </c>
      <c r="D295" s="118">
        <f>VLOOKUP(A295,JanApport,MATCH($D$4,'Jan 2022 Apport'!$3:$3,FALSE),FALSE)</f>
        <v>13668706.779999999</v>
      </c>
      <c r="E295" s="30">
        <f>VLOOKUP(A295,JanApport,MATCH($E$2,'Jan 2022 Apport'!$3:$3,0),FALSE)+VLOOKUP(A295,JanApport,MATCH($E$3,'Jan 2022 Apport'!$3:$3,0),FALSE)+VLOOKUP(A295,JanApport,MATCH($E$4,'Jan 2022 Apport'!$3:$3,0),FALSE)</f>
        <v>1142782.05</v>
      </c>
      <c r="F295" s="118">
        <f t="shared" si="43"/>
        <v>12525924.729999999</v>
      </c>
      <c r="G295" s="117">
        <f>VLOOKUP(A295,JanApport,MATCH($G$4,'Jan 2022 Apport'!$3:$3,0),FALSE)</f>
        <v>131478.06</v>
      </c>
      <c r="H295" s="117">
        <f>VLOOKUP(A295,JanApport,MATCH($H$3,'Jan 2022 Apport'!$3:$3,0),FALSE)+VLOOKUP(A295,JanApport,MATCH($H$2,'Jan 2022 Apport'!$3:$3,0),FALSE)+VLOOKUP(A295,JanApport,MATCH($H$4,'Jan 2022 Apport'!$3:$3,0),FALSE)</f>
        <v>1512835.97</v>
      </c>
      <c r="I295" s="117">
        <f t="shared" si="44"/>
        <v>1644314.03</v>
      </c>
      <c r="J295" s="117">
        <f>VLOOKUP(A295,JanApport,MATCH($J$4,'Jan 2022 Apport'!$3:$3,0),FALSE)</f>
        <v>936769.63</v>
      </c>
      <c r="K295" s="117">
        <f>VLOOKUP(A295,JanApport,MATCH($K$4,'Jan 2022 Apport'!$3:$3,0),FALSE)</f>
        <v>15277.47</v>
      </c>
      <c r="L295" s="117">
        <f t="shared" si="45"/>
        <v>952047.1</v>
      </c>
      <c r="M295" s="117">
        <f>VLOOKUP(A295,JanApport,MATCH($M$4,'Jan 2022 Apport'!$3:$3,0),FALSE)</f>
        <v>225715.63</v>
      </c>
      <c r="N295" s="117">
        <f>VLOOKUP(A295,JanApport,MATCH($N$4,'Jan 2022 Apport'!$3:$3,0),FALSE)</f>
        <v>126214.73</v>
      </c>
      <c r="O295" s="117">
        <f>VLOOKUP(A295,JanApport,MATCH($O$4,'Jan 2022 Apport'!$3:$3,0),FALSE)</f>
        <v>46181.39</v>
      </c>
      <c r="P295" s="121">
        <f>IFERROR((VLOOKUP(A295,ExcessLevy!A:G,3,FALSE)*0.28),0)+IFERROR((VLOOKUP(A295,ExcessLevy!A:G,6,FALSE)*0.72),0)</f>
        <v>0</v>
      </c>
      <c r="Q295" s="121">
        <f>IFERROR((VLOOKUP(A295,ExcessLevy!A:G,4,FALSE)*0.4738),0)+IFERROR((VLOOKUP(A295,ExcessLevy!A:G,7,FALSE)*0.5262),0)</f>
        <v>4626175.1456000004</v>
      </c>
      <c r="R295">
        <f>VLOOKUP(A295,JanApport,MATCH($R$4,'Jan 2022 Apport'!$3:$3,0),FALSE)</f>
        <v>0</v>
      </c>
      <c r="S295">
        <f>VLOOKUP(A295,JanApport,MATCH($S$4,'Jan 2022 Apport'!$3:$3,0),FALSE)</f>
        <v>21.13</v>
      </c>
      <c r="T295">
        <f>VLOOKUP(A295,JanApport,MATCH($T$4,'Jan 2022 Apport'!$3:$3,0),FALSE)</f>
        <v>96.95</v>
      </c>
      <c r="U295" s="132">
        <f>IFERROR(VLOOKUP(A295,JanApport,MATCH($U$4,'Jan 2022 Apport'!$3:$3,0),FALSE)/R295,0)</f>
        <v>0</v>
      </c>
      <c r="V295" s="30">
        <f>IFERROR(((VLOOKUP(A295,JanApport,MATCH($V$4,'Jan 2022 Apport'!$3:$3,0),FALSE)+VLOOKUP(A295,JanApport,MATCH($V$3,'Jan 2022 Apport'!$3:$3,0),FALSE))/(S295+T295)),0)</f>
        <v>9678.0322662601629</v>
      </c>
      <c r="W295" s="30">
        <f t="shared" si="38"/>
        <v>9094.0473371722728</v>
      </c>
      <c r="X295">
        <f>VLOOKUP(A295,JanApport,MATCH($X$4,'Jan 2022 Apport'!$3:$3,0),FALSE)</f>
        <v>4.8578999999999997E-2</v>
      </c>
      <c r="Y295">
        <f>VLOOKUP(A295,JanApport,MATCH($Y$4,'Jan 2022 Apport'!$3:$3,0),FALSE)</f>
        <v>4.0270000000000002E-3</v>
      </c>
      <c r="Z295">
        <f>VLOOKUP(A295,JanApport,MATCH($Z$4,'Jan 2022 Apport'!$3:$3,0),FALSE)</f>
        <v>1.7100000000000001E-2</v>
      </c>
      <c r="AA295" s="77">
        <f>VLOOKUP(A295,JanApport,MATCH($AA$4,'Jan 2022 Apport'!$3:$3,0),FALSE)*VLOOKUP(A295,JanApport,MATCH($AA$3,'Jan 2022 Apport'!$3:$3,0),FALSE)</f>
        <v>75695.200000000012</v>
      </c>
      <c r="AB295" s="77">
        <f>VLOOKUP(A295,JanApport,MATCH($AB$4,'Jan 2022 Apport'!$3:$3,0),FALSE)*VLOOKUP(A295,JanApport,MATCH($AB$3,'Jan 2022 Apport'!$3:$3,0),FALSE)</f>
        <v>81345.659999999989</v>
      </c>
      <c r="AC295" s="77">
        <f>VLOOKUP(A295,JanApport,MATCH($AC$4,'Jan 2022 Apport'!$3:$3,0),FALSE)</f>
        <v>100321</v>
      </c>
      <c r="AD295" s="77">
        <f>VLOOKUP(A295,JanApport,MATCH($AD$4,'Jan 2022 Apport'!$3:$3,0),FALSE)*VLOOKUP(A295,JanApport,MATCH($AD$3,'Jan 2022 Apport'!$3:$3,0),FALSE)</f>
        <v>120745.86</v>
      </c>
      <c r="AE295" s="77">
        <f>VLOOKUP(A295,JanApport,MATCH($AE$4,'Jan 2022 Apport'!$3:$3,0),FALSE)</f>
        <v>48483</v>
      </c>
      <c r="AF295" s="77">
        <f>VLOOKUP(A295,JanApport,MATCH($AF$4,'Jan 2022 Apport'!$3:$3,0),FALSE)*VLOOKUP(A295,JanApport,MATCH($AF$3,'Jan 2022 Apport'!$3:$3,0),FALSE)</f>
        <v>58354.539999999994</v>
      </c>
      <c r="AG295" s="77">
        <f t="shared" si="39"/>
        <v>111631.41644199999</v>
      </c>
      <c r="AH295" s="77">
        <f t="shared" si="40"/>
        <v>159884.84570200002</v>
      </c>
      <c r="AI295" s="77">
        <f t="shared" si="41"/>
        <v>87896.402584467985</v>
      </c>
      <c r="AJ295" s="3">
        <f>VLOOKUP(A295,JanApport,MATCH($AJ$4,'Jan 2022 Apport'!$3:$3,0),FALSE)</f>
        <v>1703488.49</v>
      </c>
      <c r="AK295" s="3">
        <f>VLOOKUP(A295,JanApport,MATCH($AK$4,'Jan 2022 Apport'!$3:$3,0),FALSE)</f>
        <v>18.64</v>
      </c>
      <c r="AL295" s="117">
        <f t="shared" si="42"/>
        <v>16661313.190000001</v>
      </c>
      <c r="AM295" s="117">
        <f>VLOOKUP(A295,JanApport,MATCH($AM$4,'Jan 2022 Apport'!$3:$3,0),FALSE)</f>
        <v>13411</v>
      </c>
      <c r="AN295" s="117">
        <f>VLOOKUP(A295,JanApport,MATCH($AN$4,'Jan 2022 Apport'!$3:$3,0),FALSE)</f>
        <v>99645.35</v>
      </c>
    </row>
    <row r="296" spans="1:40">
      <c r="A296" s="2" t="s">
        <v>1024</v>
      </c>
      <c r="B296" s="2" t="s">
        <v>1044</v>
      </c>
      <c r="C296" s="2" t="s">
        <v>1267</v>
      </c>
      <c r="D296" s="118">
        <f>VLOOKUP(A296,JanApport,MATCH($D$4,'Jan 2022 Apport'!$3:$3,FALSE),FALSE)</f>
        <v>1259581.78</v>
      </c>
      <c r="E296" s="30">
        <f>VLOOKUP(A296,JanApport,MATCH($E$2,'Jan 2022 Apport'!$3:$3,0),FALSE)+VLOOKUP(A296,JanApport,MATCH($E$3,'Jan 2022 Apport'!$3:$3,0),FALSE)+VLOOKUP(A296,JanApport,MATCH($E$4,'Jan 2022 Apport'!$3:$3,0),FALSE)</f>
        <v>0</v>
      </c>
      <c r="F296" s="118">
        <f t="shared" si="43"/>
        <v>1259581.78</v>
      </c>
      <c r="G296" s="117">
        <f>VLOOKUP(A296,JanApport,MATCH($G$4,'Jan 2022 Apport'!$3:$3,0),FALSE)</f>
        <v>0</v>
      </c>
      <c r="H296" s="117">
        <f>VLOOKUP(A296,JanApport,MATCH($H$3,'Jan 2022 Apport'!$3:$3,0),FALSE)+VLOOKUP(A296,JanApport,MATCH($H$2,'Jan 2022 Apport'!$3:$3,0),FALSE)+VLOOKUP(A296,JanApport,MATCH($H$4,'Jan 2022 Apport'!$3:$3,0),FALSE)</f>
        <v>151672</v>
      </c>
      <c r="I296" s="117">
        <f t="shared" si="44"/>
        <v>151672</v>
      </c>
      <c r="J296" s="117">
        <f>VLOOKUP(A296,JanApport,MATCH($J$4,'Jan 2022 Apport'!$3:$3,0),FALSE)</f>
        <v>146487.5</v>
      </c>
      <c r="K296" s="117">
        <f>VLOOKUP(A296,JanApport,MATCH($K$4,'Jan 2022 Apport'!$3:$3,0),FALSE)</f>
        <v>0</v>
      </c>
      <c r="L296" s="117">
        <f t="shared" si="45"/>
        <v>146487.5</v>
      </c>
      <c r="M296" s="117">
        <f>VLOOKUP(A296,JanApport,MATCH($M$4,'Jan 2022 Apport'!$3:$3,0),FALSE)</f>
        <v>89020.05</v>
      </c>
      <c r="N296" s="117">
        <f>VLOOKUP(A296,JanApport,MATCH($N$4,'Jan 2022 Apport'!$3:$3,0),FALSE)</f>
        <v>0</v>
      </c>
      <c r="O296" s="117">
        <f>VLOOKUP(A296,JanApport,MATCH($O$4,'Jan 2022 Apport'!$3:$3,0),FALSE)</f>
        <v>0</v>
      </c>
      <c r="P296" s="121">
        <f>IFERROR((VLOOKUP(A296,ExcessLevy!A:G,3,FALSE)*0.28),0)+IFERROR((VLOOKUP(A296,ExcessLevy!A:G,6,FALSE)*0.72),0)</f>
        <v>170036.15040000001</v>
      </c>
      <c r="Q296" s="121">
        <f>IFERROR((VLOOKUP(A296,ExcessLevy!A:G,4,FALSE)*0.4738),0)+IFERROR((VLOOKUP(A296,ExcessLevy!A:G,7,FALSE)*0.5262),0)</f>
        <v>0</v>
      </c>
      <c r="R296">
        <f>VLOOKUP(A296,JanApport,MATCH($R$4,'Jan 2022 Apport'!$3:$3,0),FALSE)</f>
        <v>0</v>
      </c>
      <c r="S296">
        <f>VLOOKUP(A296,JanApport,MATCH($S$4,'Jan 2022 Apport'!$3:$3,0),FALSE)</f>
        <v>0</v>
      </c>
      <c r="T296">
        <f>VLOOKUP(A296,JanApport,MATCH($T$4,'Jan 2022 Apport'!$3:$3,0),FALSE)</f>
        <v>0</v>
      </c>
      <c r="U296" s="132">
        <f>IFERROR(VLOOKUP(A296,JanApport,MATCH($U$4,'Jan 2022 Apport'!$3:$3,0),FALSE)/R296,0)</f>
        <v>0</v>
      </c>
      <c r="V296" s="30">
        <f>IFERROR(((VLOOKUP(A296,JanApport,MATCH($V$4,'Jan 2022 Apport'!$3:$3,0),FALSE)+VLOOKUP(A296,JanApport,MATCH($V$3,'Jan 2022 Apport'!$3:$3,0),FALSE))/(S296+T296)),0)</f>
        <v>0</v>
      </c>
      <c r="W296" s="30">
        <f t="shared" si="38"/>
        <v>8084.4651989777003</v>
      </c>
      <c r="X296">
        <f>VLOOKUP(A296,JanApport,MATCH($X$4,'Jan 2022 Apport'!$3:$3,0),FALSE)</f>
        <v>4.8578999999999997E-2</v>
      </c>
      <c r="Y296">
        <f>VLOOKUP(A296,JanApport,MATCH($Y$4,'Jan 2022 Apport'!$3:$3,0),FALSE)</f>
        <v>4.0270000000000002E-3</v>
      </c>
      <c r="Z296">
        <f>VLOOKUP(A296,JanApport,MATCH($Z$4,'Jan 2022 Apport'!$3:$3,0),FALSE)</f>
        <v>1.7100000000000001E-2</v>
      </c>
      <c r="AA296" s="77">
        <f>VLOOKUP(A296,JanApport,MATCH($AA$4,'Jan 2022 Apport'!$3:$3,0),FALSE)*VLOOKUP(A296,JanApport,MATCH($AA$3,'Jan 2022 Apport'!$3:$3,0),FALSE)</f>
        <v>70288.400000000009</v>
      </c>
      <c r="AB296" s="77">
        <f>VLOOKUP(A296,JanApport,MATCH($AB$4,'Jan 2022 Apport'!$3:$3,0),FALSE)*VLOOKUP(A296,JanApport,MATCH($AB$3,'Jan 2022 Apport'!$3:$3,0),FALSE)</f>
        <v>68937</v>
      </c>
      <c r="AC296" s="77">
        <f>VLOOKUP(A296,JanApport,MATCH($AC$4,'Jan 2022 Apport'!$3:$3,0),FALSE)</f>
        <v>100321</v>
      </c>
      <c r="AD296" s="77">
        <f>VLOOKUP(A296,JanApport,MATCH($AD$4,'Jan 2022 Apport'!$3:$3,0),FALSE)*VLOOKUP(A296,JanApport,MATCH($AD$3,'Jan 2022 Apport'!$3:$3,0),FALSE)</f>
        <v>102327</v>
      </c>
      <c r="AE296" s="77">
        <f>VLOOKUP(A296,JanApport,MATCH($AE$4,'Jan 2022 Apport'!$3:$3,0),FALSE)</f>
        <v>48483</v>
      </c>
      <c r="AF296" s="77">
        <f>VLOOKUP(A296,JanApport,MATCH($AF$4,'Jan 2022 Apport'!$3:$3,0),FALSE)*VLOOKUP(A296,JanApport,MATCH($AF$3,'Jan 2022 Apport'!$3:$3,0),FALSE)</f>
        <v>49453</v>
      </c>
      <c r="AG296" s="77">
        <f t="shared" si="39"/>
        <v>96449.561660000007</v>
      </c>
      <c r="AH296" s="77">
        <f t="shared" si="40"/>
        <v>137400.94330000001</v>
      </c>
      <c r="AI296" s="77">
        <f t="shared" si="41"/>
        <v>77281.189732599989</v>
      </c>
      <c r="AJ296" s="3">
        <f>VLOOKUP(A296,JanApport,MATCH($AJ$4,'Jan 2022 Apport'!$3:$3,0),FALSE)</f>
        <v>174513.71</v>
      </c>
      <c r="AK296" s="3">
        <f>VLOOKUP(A296,JanApport,MATCH($AK$4,'Jan 2022 Apport'!$3:$3,0),FALSE)</f>
        <v>3.75</v>
      </c>
      <c r="AL296" s="117">
        <f t="shared" si="42"/>
        <v>1688182.49</v>
      </c>
      <c r="AM296" s="117">
        <f>VLOOKUP(A296,JanApport,MATCH($AM$4,'Jan 2022 Apport'!$3:$3,0),FALSE)</f>
        <v>41421.160000000003</v>
      </c>
      <c r="AN296" s="117">
        <f>VLOOKUP(A296,JanApport,MATCH($AN$4,'Jan 2022 Apport'!$3:$3,0),FALSE)</f>
        <v>11192.02</v>
      </c>
    </row>
    <row r="297" spans="1:40">
      <c r="A297" s="2" t="s">
        <v>523</v>
      </c>
      <c r="B297" s="2" t="s">
        <v>524</v>
      </c>
      <c r="C297" s="2" t="s">
        <v>1267</v>
      </c>
      <c r="D297" s="118">
        <f>VLOOKUP(A297,JanApport,MATCH($D$4,'Jan 2022 Apport'!$3:$3,FALSE),FALSE)</f>
        <v>4433180.68</v>
      </c>
      <c r="E297" s="30">
        <f>VLOOKUP(A297,JanApport,MATCH($E$2,'Jan 2022 Apport'!$3:$3,0),FALSE)+VLOOKUP(A297,JanApport,MATCH($E$3,'Jan 2022 Apport'!$3:$3,0),FALSE)+VLOOKUP(A297,JanApport,MATCH($E$4,'Jan 2022 Apport'!$3:$3,0),FALSE)</f>
        <v>232671.38</v>
      </c>
      <c r="F297" s="118">
        <f t="shared" si="43"/>
        <v>4200509.3</v>
      </c>
      <c r="G297" s="117">
        <f>VLOOKUP(A297,JanApport,MATCH($G$4,'Jan 2022 Apport'!$3:$3,0),FALSE)</f>
        <v>34571.89</v>
      </c>
      <c r="H297" s="117">
        <f>VLOOKUP(A297,JanApport,MATCH($H$3,'Jan 2022 Apport'!$3:$3,0),FALSE)+VLOOKUP(A297,JanApport,MATCH($H$2,'Jan 2022 Apport'!$3:$3,0),FALSE)+VLOOKUP(A297,JanApport,MATCH($H$4,'Jan 2022 Apport'!$3:$3,0),FALSE)</f>
        <v>582301.24</v>
      </c>
      <c r="I297" s="117">
        <f t="shared" si="44"/>
        <v>616873.13</v>
      </c>
      <c r="J297" s="117">
        <f>VLOOKUP(A297,JanApport,MATCH($J$4,'Jan 2022 Apport'!$3:$3,0),FALSE)</f>
        <v>342152.09</v>
      </c>
      <c r="K297" s="117">
        <f>VLOOKUP(A297,JanApport,MATCH($K$4,'Jan 2022 Apport'!$3:$3,0),FALSE)</f>
        <v>62474.27</v>
      </c>
      <c r="L297" s="117">
        <f t="shared" si="45"/>
        <v>404626.36000000004</v>
      </c>
      <c r="M297" s="117">
        <f>VLOOKUP(A297,JanApport,MATCH($M$4,'Jan 2022 Apport'!$3:$3,0),FALSE)</f>
        <v>170212.92</v>
      </c>
      <c r="N297" s="117">
        <f>VLOOKUP(A297,JanApport,MATCH($N$4,'Jan 2022 Apport'!$3:$3,0),FALSE)</f>
        <v>0</v>
      </c>
      <c r="O297" s="117">
        <f>VLOOKUP(A297,JanApport,MATCH($O$4,'Jan 2022 Apport'!$3:$3,0),FALSE)</f>
        <v>0</v>
      </c>
      <c r="P297" s="121">
        <f>IFERROR((VLOOKUP(A297,ExcessLevy!A:G,3,FALSE)*0.28),0)+IFERROR((VLOOKUP(A297,ExcessLevy!A:G,6,FALSE)*0.72),0)</f>
        <v>15621.659200000002</v>
      </c>
      <c r="Q297" s="121">
        <f>IFERROR((VLOOKUP(A297,ExcessLevy!A:G,4,FALSE)*0.4738),0)+IFERROR((VLOOKUP(A297,ExcessLevy!A:G,7,FALSE)*0.5262),0)</f>
        <v>997000</v>
      </c>
      <c r="R297">
        <f>VLOOKUP(A297,JanApport,MATCH($R$4,'Jan 2022 Apport'!$3:$3,0),FALSE)</f>
        <v>0</v>
      </c>
      <c r="S297">
        <f>VLOOKUP(A297,JanApport,MATCH($S$4,'Jan 2022 Apport'!$3:$3,0),FALSE)</f>
        <v>0</v>
      </c>
      <c r="T297">
        <f>VLOOKUP(A297,JanApport,MATCH($T$4,'Jan 2022 Apport'!$3:$3,0),FALSE)</f>
        <v>25.53</v>
      </c>
      <c r="U297" s="132">
        <f>IFERROR(VLOOKUP(A297,JanApport,MATCH($U$4,'Jan 2022 Apport'!$3:$3,0),FALSE)/R297,0)</f>
        <v>0</v>
      </c>
      <c r="V297" s="30">
        <f>IFERROR(((VLOOKUP(A297,JanApport,MATCH($V$4,'Jan 2022 Apport'!$3:$3,0),FALSE)+VLOOKUP(A297,JanApport,MATCH($V$3,'Jan 2022 Apport'!$3:$3,0),FALSE))/(S297+T297)),0)</f>
        <v>9113.6459067763408</v>
      </c>
      <c r="W297" s="30">
        <f t="shared" si="38"/>
        <v>2452.5713248960005</v>
      </c>
      <c r="X297">
        <f>VLOOKUP(A297,JanApport,MATCH($X$4,'Jan 2022 Apport'!$3:$3,0),FALSE)</f>
        <v>4.8578999999999997E-2</v>
      </c>
      <c r="Y297">
        <f>VLOOKUP(A297,JanApport,MATCH($Y$4,'Jan 2022 Apport'!$3:$3,0),FALSE)</f>
        <v>4.0270000000000002E-3</v>
      </c>
      <c r="Z297">
        <f>VLOOKUP(A297,JanApport,MATCH($Z$4,'Jan 2022 Apport'!$3:$3,0),FALSE)</f>
        <v>1.7100000000000001E-2</v>
      </c>
      <c r="AA297" s="77">
        <f>VLOOKUP(A297,JanApport,MATCH($AA$4,'Jan 2022 Apport'!$3:$3,0),FALSE)*VLOOKUP(A297,JanApport,MATCH($AA$3,'Jan 2022 Apport'!$3:$3,0),FALSE)</f>
        <v>67585</v>
      </c>
      <c r="AB297" s="77">
        <f>VLOOKUP(A297,JanApport,MATCH($AB$4,'Jan 2022 Apport'!$3:$3,0),FALSE)*VLOOKUP(A297,JanApport,MATCH($AB$3,'Jan 2022 Apport'!$3:$3,0),FALSE)</f>
        <v>0</v>
      </c>
      <c r="AC297" s="77">
        <f>VLOOKUP(A297,JanApport,MATCH($AC$4,'Jan 2022 Apport'!$3:$3,0),FALSE)</f>
        <v>0</v>
      </c>
      <c r="AD297" s="77">
        <f>VLOOKUP(A297,JanApport,MATCH($AD$4,'Jan 2022 Apport'!$3:$3,0),FALSE)*VLOOKUP(A297,JanApport,MATCH($AD$3,'Jan 2022 Apport'!$3:$3,0),FALSE)</f>
        <v>0</v>
      </c>
      <c r="AE297" s="77">
        <f>VLOOKUP(A297,JanApport,MATCH($AE$4,'Jan 2022 Apport'!$3:$3,0),FALSE)</f>
        <v>0</v>
      </c>
      <c r="AF297" s="77">
        <f>VLOOKUP(A297,JanApport,MATCH($AF$4,'Jan 2022 Apport'!$3:$3,0),FALSE)*VLOOKUP(A297,JanApport,MATCH($AF$3,'Jan 2022 Apport'!$3:$3,0),FALSE)</f>
        <v>0</v>
      </c>
      <c r="AG297" s="77">
        <f t="shared" si="39"/>
        <v>12280.864000000009</v>
      </c>
      <c r="AH297" s="77">
        <f t="shared" si="40"/>
        <v>11848.32</v>
      </c>
      <c r="AI297" s="77">
        <f t="shared" si="41"/>
        <v>16610.88</v>
      </c>
      <c r="AJ297" s="3">
        <f>VLOOKUP(A297,JanApport,MATCH($AJ$4,'Jan 2022 Apport'!$3:$3,0),FALSE)</f>
        <v>604451.52</v>
      </c>
      <c r="AK297" s="3">
        <f>VLOOKUP(A297,JanApport,MATCH($AK$4,'Jan 2022 Apport'!$3:$3,0),FALSE)</f>
        <v>7.5439999999999996</v>
      </c>
      <c r="AL297" s="117">
        <f t="shared" si="42"/>
        <v>5087305.3999999994</v>
      </c>
      <c r="AM297" s="117">
        <f>VLOOKUP(A297,JanApport,MATCH($AM$4,'Jan 2022 Apport'!$3:$3,0),FALSE)</f>
        <v>141759.71</v>
      </c>
      <c r="AN297" s="117">
        <f>VLOOKUP(A297,JanApport,MATCH($AN$4,'Jan 2022 Apport'!$3:$3,0),FALSE)</f>
        <v>35632.730000000003</v>
      </c>
    </row>
    <row r="298" spans="1:40">
      <c r="A298" s="2" t="s">
        <v>121</v>
      </c>
      <c r="B298" s="2" t="s">
        <v>122</v>
      </c>
      <c r="C298" s="2" t="s">
        <v>1267</v>
      </c>
      <c r="D298" s="118">
        <f>VLOOKUP(A298,JanApport,MATCH($D$4,'Jan 2022 Apport'!$3:$3,FALSE),FALSE)</f>
        <v>20923309.57</v>
      </c>
      <c r="E298" s="30">
        <f>VLOOKUP(A298,JanApport,MATCH($E$2,'Jan 2022 Apport'!$3:$3,0),FALSE)+VLOOKUP(A298,JanApport,MATCH($E$3,'Jan 2022 Apport'!$3:$3,0),FALSE)+VLOOKUP(A298,JanApport,MATCH($E$4,'Jan 2022 Apport'!$3:$3,0),FALSE)</f>
        <v>2439082.42</v>
      </c>
      <c r="F298" s="118">
        <f t="shared" si="43"/>
        <v>18484227.149999999</v>
      </c>
      <c r="G298" s="117">
        <f>VLOOKUP(A298,JanApport,MATCH($G$4,'Jan 2022 Apport'!$3:$3,0),FALSE)</f>
        <v>202291.65</v>
      </c>
      <c r="H298" s="117">
        <f>VLOOKUP(A298,JanApport,MATCH($H$3,'Jan 2022 Apport'!$3:$3,0),FALSE)+VLOOKUP(A298,JanApport,MATCH($H$2,'Jan 2022 Apport'!$3:$3,0),FALSE)+VLOOKUP(A298,JanApport,MATCH($H$4,'Jan 2022 Apport'!$3:$3,0),FALSE)</f>
        <v>2523031.5300000003</v>
      </c>
      <c r="I298" s="117">
        <f t="shared" si="44"/>
        <v>2725323.18</v>
      </c>
      <c r="J298" s="117">
        <f>VLOOKUP(A298,JanApport,MATCH($J$4,'Jan 2022 Apport'!$3:$3,0),FALSE)</f>
        <v>1243409.56</v>
      </c>
      <c r="K298" s="117">
        <f>VLOOKUP(A298,JanApport,MATCH($K$4,'Jan 2022 Apport'!$3:$3,0),FALSE)</f>
        <v>111843.27</v>
      </c>
      <c r="L298" s="117">
        <f t="shared" si="45"/>
        <v>1355252.83</v>
      </c>
      <c r="M298" s="117">
        <f>VLOOKUP(A298,JanApport,MATCH($M$4,'Jan 2022 Apport'!$3:$3,0),FALSE)</f>
        <v>1456466.43</v>
      </c>
      <c r="N298" s="117">
        <f>VLOOKUP(A298,JanApport,MATCH($N$4,'Jan 2022 Apport'!$3:$3,0),FALSE)</f>
        <v>1905332.41</v>
      </c>
      <c r="O298" s="117">
        <f>VLOOKUP(A298,JanApport,MATCH($O$4,'Jan 2022 Apport'!$3:$3,0),FALSE)</f>
        <v>67603.83</v>
      </c>
      <c r="P298" s="121">
        <f>IFERROR((VLOOKUP(A298,ExcessLevy!A:G,3,FALSE)*0.28),0)+IFERROR((VLOOKUP(A298,ExcessLevy!A:G,6,FALSE)*0.72),0)</f>
        <v>2798561.8144</v>
      </c>
      <c r="Q298" s="121">
        <f>IFERROR((VLOOKUP(A298,ExcessLevy!A:G,4,FALSE)*0.4738),0)+IFERROR((VLOOKUP(A298,ExcessLevy!A:G,7,FALSE)*0.5262),0)</f>
        <v>2330345.0312000001</v>
      </c>
      <c r="R298">
        <f>VLOOKUP(A298,JanApport,MATCH($R$4,'Jan 2022 Apport'!$3:$3,0),FALSE)</f>
        <v>0</v>
      </c>
      <c r="S298">
        <f>VLOOKUP(A298,JanApport,MATCH($S$4,'Jan 2022 Apport'!$3:$3,0),FALSE)</f>
        <v>65.14</v>
      </c>
      <c r="T298">
        <f>VLOOKUP(A298,JanApport,MATCH($T$4,'Jan 2022 Apport'!$3:$3,0),FALSE)</f>
        <v>208.3</v>
      </c>
      <c r="U298" s="132">
        <f>IFERROR(VLOOKUP(A298,JanApport,MATCH($U$4,'Jan 2022 Apport'!$3:$3,0),FALSE)/R298,0)</f>
        <v>0</v>
      </c>
      <c r="V298" s="30">
        <f>IFERROR(((VLOOKUP(A298,JanApport,MATCH($V$4,'Jan 2022 Apport'!$3:$3,0),FALSE)+VLOOKUP(A298,JanApport,MATCH($V$3,'Jan 2022 Apport'!$3:$3,0),FALSE))/(S298+T298)),0)</f>
        <v>8919.9912960795791</v>
      </c>
      <c r="W298" s="30">
        <f t="shared" si="38"/>
        <v>2452.5713248960005</v>
      </c>
      <c r="X298">
        <f>VLOOKUP(A298,JanApport,MATCH($X$4,'Jan 2022 Apport'!$3:$3,0),FALSE)</f>
        <v>4.8578999999999997E-2</v>
      </c>
      <c r="Y298">
        <f>VLOOKUP(A298,JanApport,MATCH($Y$4,'Jan 2022 Apport'!$3:$3,0),FALSE)</f>
        <v>4.0270000000000002E-3</v>
      </c>
      <c r="Z298">
        <f>VLOOKUP(A298,JanApport,MATCH($Z$4,'Jan 2022 Apport'!$3:$3,0),FALSE)</f>
        <v>1.7100000000000001E-2</v>
      </c>
      <c r="AA298" s="77">
        <f>VLOOKUP(A298,JanApport,MATCH($AA$4,'Jan 2022 Apport'!$3:$3,0),FALSE)*VLOOKUP(A298,JanApport,MATCH($AA$3,'Jan 2022 Apport'!$3:$3,0),FALSE)</f>
        <v>67585</v>
      </c>
      <c r="AB298" s="77">
        <f>VLOOKUP(A298,JanApport,MATCH($AB$4,'Jan 2022 Apport'!$3:$3,0),FALSE)*VLOOKUP(A298,JanApport,MATCH($AB$3,'Jan 2022 Apport'!$3:$3,0),FALSE)</f>
        <v>0</v>
      </c>
      <c r="AC298" s="77">
        <f>VLOOKUP(A298,JanApport,MATCH($AC$4,'Jan 2022 Apport'!$3:$3,0),FALSE)</f>
        <v>0</v>
      </c>
      <c r="AD298" s="77">
        <f>VLOOKUP(A298,JanApport,MATCH($AD$4,'Jan 2022 Apport'!$3:$3,0),FALSE)*VLOOKUP(A298,JanApport,MATCH($AD$3,'Jan 2022 Apport'!$3:$3,0),FALSE)</f>
        <v>0</v>
      </c>
      <c r="AE298" s="77">
        <f>VLOOKUP(A298,JanApport,MATCH($AE$4,'Jan 2022 Apport'!$3:$3,0),FALSE)</f>
        <v>0</v>
      </c>
      <c r="AF298" s="77">
        <f>VLOOKUP(A298,JanApport,MATCH($AF$4,'Jan 2022 Apport'!$3:$3,0),FALSE)*VLOOKUP(A298,JanApport,MATCH($AF$3,'Jan 2022 Apport'!$3:$3,0),FALSE)</f>
        <v>0</v>
      </c>
      <c r="AG298" s="77">
        <f t="shared" si="39"/>
        <v>12280.864000000009</v>
      </c>
      <c r="AH298" s="77">
        <f t="shared" si="40"/>
        <v>11848.32</v>
      </c>
      <c r="AI298" s="77">
        <f t="shared" si="41"/>
        <v>16610.88</v>
      </c>
      <c r="AJ298" s="3">
        <f>VLOOKUP(A298,JanApport,MATCH($AJ$4,'Jan 2022 Apport'!$3:$3,0),FALSE)</f>
        <v>2934798.25</v>
      </c>
      <c r="AK298" s="3">
        <f>VLOOKUP(A298,JanApport,MATCH($AK$4,'Jan 2022 Apport'!$3:$3,0),FALSE)</f>
        <v>43.741</v>
      </c>
      <c r="AL298" s="117">
        <f t="shared" si="42"/>
        <v>29017148.129999995</v>
      </c>
      <c r="AM298" s="117">
        <f>VLOOKUP(A298,JanApport,MATCH($AM$4,'Jan 2022 Apport'!$3:$3,0),FALSE)</f>
        <v>695703.15</v>
      </c>
      <c r="AN298" s="117">
        <f>VLOOKUP(A298,JanApport,MATCH($AN$4,'Jan 2022 Apport'!$3:$3,0),FALSE)</f>
        <v>160041.92000000001</v>
      </c>
    </row>
    <row r="299" spans="1:40">
      <c r="A299" s="2" t="s">
        <v>535</v>
      </c>
      <c r="B299" s="2" t="s">
        <v>536</v>
      </c>
      <c r="C299" s="2" t="s">
        <v>1267</v>
      </c>
      <c r="D299" s="118">
        <f>VLOOKUP(A299,JanApport,MATCH($D$4,'Jan 2022 Apport'!$3:$3,FALSE),FALSE)</f>
        <v>3089177.9</v>
      </c>
      <c r="E299" s="30">
        <f>VLOOKUP(A299,JanApport,MATCH($E$2,'Jan 2022 Apport'!$3:$3,0),FALSE)+VLOOKUP(A299,JanApport,MATCH($E$3,'Jan 2022 Apport'!$3:$3,0),FALSE)+VLOOKUP(A299,JanApport,MATCH($E$4,'Jan 2022 Apport'!$3:$3,0),FALSE)</f>
        <v>131461.96</v>
      </c>
      <c r="F299" s="118">
        <f t="shared" si="43"/>
        <v>2957715.94</v>
      </c>
      <c r="G299" s="117">
        <f>VLOOKUP(A299,JanApport,MATCH($G$4,'Jan 2022 Apport'!$3:$3,0),FALSE)</f>
        <v>32087.26</v>
      </c>
      <c r="H299" s="117">
        <f>VLOOKUP(A299,JanApport,MATCH($H$3,'Jan 2022 Apport'!$3:$3,0),FALSE)+VLOOKUP(A299,JanApport,MATCH($H$2,'Jan 2022 Apport'!$3:$3,0),FALSE)+VLOOKUP(A299,JanApport,MATCH($H$4,'Jan 2022 Apport'!$3:$3,0),FALSE)</f>
        <v>187562.75</v>
      </c>
      <c r="I299" s="117">
        <f t="shared" si="44"/>
        <v>219650.01</v>
      </c>
      <c r="J299" s="117">
        <f>VLOOKUP(A299,JanApport,MATCH($J$4,'Jan 2022 Apport'!$3:$3,0),FALSE)</f>
        <v>146047.09</v>
      </c>
      <c r="K299" s="117">
        <f>VLOOKUP(A299,JanApport,MATCH($K$4,'Jan 2022 Apport'!$3:$3,0),FALSE)</f>
        <v>45780.56</v>
      </c>
      <c r="L299" s="117">
        <f t="shared" si="45"/>
        <v>191827.65</v>
      </c>
      <c r="M299" s="117">
        <f>VLOOKUP(A299,JanApport,MATCH($M$4,'Jan 2022 Apport'!$3:$3,0),FALSE)</f>
        <v>85507.6</v>
      </c>
      <c r="N299" s="117">
        <f>VLOOKUP(A299,JanApport,MATCH($N$4,'Jan 2022 Apport'!$3:$3,0),FALSE)</f>
        <v>0</v>
      </c>
      <c r="O299" s="117">
        <f>VLOOKUP(A299,JanApport,MATCH($O$4,'Jan 2022 Apport'!$3:$3,0),FALSE)</f>
        <v>0</v>
      </c>
      <c r="P299" s="121">
        <f>IFERROR((VLOOKUP(A299,ExcessLevy!A:G,3,FALSE)*0.28),0)+IFERROR((VLOOKUP(A299,ExcessLevy!A:G,6,FALSE)*0.72),0)</f>
        <v>109521.10880000002</v>
      </c>
      <c r="Q299" s="121">
        <f>IFERROR((VLOOKUP(A299,ExcessLevy!A:G,4,FALSE)*0.4738),0)+IFERROR((VLOOKUP(A299,ExcessLevy!A:G,7,FALSE)*0.5262),0)</f>
        <v>569348.44519999996</v>
      </c>
      <c r="R299">
        <f>VLOOKUP(A299,JanApport,MATCH($R$4,'Jan 2022 Apport'!$3:$3,0),FALSE)</f>
        <v>0</v>
      </c>
      <c r="S299">
        <f>VLOOKUP(A299,JanApport,MATCH($S$4,'Jan 2022 Apport'!$3:$3,0),FALSE)</f>
        <v>4.5</v>
      </c>
      <c r="T299">
        <f>VLOOKUP(A299,JanApport,MATCH($T$4,'Jan 2022 Apport'!$3:$3,0),FALSE)</f>
        <v>10.26</v>
      </c>
      <c r="U299" s="132">
        <f>IFERROR(VLOOKUP(A299,JanApport,MATCH($U$4,'Jan 2022 Apport'!$3:$3,0),FALSE)/R299,0)</f>
        <v>0</v>
      </c>
      <c r="V299" s="30">
        <f>IFERROR(((VLOOKUP(A299,JanApport,MATCH($V$4,'Jan 2022 Apport'!$3:$3,0),FALSE)+VLOOKUP(A299,JanApport,MATCH($V$3,'Jan 2022 Apport'!$3:$3,0),FALSE))/(S299+T299)),0)</f>
        <v>8906.6368563685628</v>
      </c>
      <c r="W299" s="30">
        <f t="shared" si="38"/>
        <v>8083.6246967786601</v>
      </c>
      <c r="X299">
        <f>VLOOKUP(A299,JanApport,MATCH($X$4,'Jan 2022 Apport'!$3:$3,0),FALSE)</f>
        <v>4.8578999999999997E-2</v>
      </c>
      <c r="Y299">
        <f>VLOOKUP(A299,JanApport,MATCH($Y$4,'Jan 2022 Apport'!$3:$3,0),FALSE)</f>
        <v>4.0270000000000002E-3</v>
      </c>
      <c r="Z299">
        <f>VLOOKUP(A299,JanApport,MATCH($Z$4,'Jan 2022 Apport'!$3:$3,0),FALSE)</f>
        <v>1.7100000000000001E-2</v>
      </c>
      <c r="AA299" s="77">
        <f>VLOOKUP(A299,JanApport,MATCH($AA$4,'Jan 2022 Apport'!$3:$3,0),FALSE)*VLOOKUP(A299,JanApport,MATCH($AA$3,'Jan 2022 Apport'!$3:$3,0),FALSE)</f>
        <v>67585</v>
      </c>
      <c r="AB299" s="77">
        <f>VLOOKUP(A299,JanApport,MATCH($AB$4,'Jan 2022 Apport'!$3:$3,0),FALSE)*VLOOKUP(A299,JanApport,MATCH($AB$3,'Jan 2022 Apport'!$3:$3,0),FALSE)</f>
        <v>68937</v>
      </c>
      <c r="AC299" s="77">
        <f>VLOOKUP(A299,JanApport,MATCH($AC$4,'Jan 2022 Apport'!$3:$3,0),FALSE)</f>
        <v>100321</v>
      </c>
      <c r="AD299" s="77">
        <f>VLOOKUP(A299,JanApport,MATCH($AD$4,'Jan 2022 Apport'!$3:$3,0),FALSE)*VLOOKUP(A299,JanApport,MATCH($AD$3,'Jan 2022 Apport'!$3:$3,0),FALSE)</f>
        <v>102327</v>
      </c>
      <c r="AE299" s="77">
        <f>VLOOKUP(A299,JanApport,MATCH($AE$4,'Jan 2022 Apport'!$3:$3,0),FALSE)</f>
        <v>48483</v>
      </c>
      <c r="AF299" s="77">
        <f>VLOOKUP(A299,JanApport,MATCH($AF$4,'Jan 2022 Apport'!$3:$3,0),FALSE)*VLOOKUP(A299,JanApport,MATCH($AF$3,'Jan 2022 Apport'!$3:$3,0),FALSE)</f>
        <v>49453</v>
      </c>
      <c r="AG299" s="77">
        <f t="shared" si="39"/>
        <v>96432.259900000005</v>
      </c>
      <c r="AH299" s="77">
        <f t="shared" si="40"/>
        <v>137400.94330000001</v>
      </c>
      <c r="AI299" s="77">
        <f t="shared" si="41"/>
        <v>77281.189732599989</v>
      </c>
      <c r="AJ299" s="3">
        <f>VLOOKUP(A299,JanApport,MATCH($AJ$4,'Jan 2022 Apport'!$3:$3,0),FALSE)</f>
        <v>413754.56</v>
      </c>
      <c r="AK299" s="3">
        <f>VLOOKUP(A299,JanApport,MATCH($AK$4,'Jan 2022 Apport'!$3:$3,0),FALSE)</f>
        <v>4.8579999999999997</v>
      </c>
      <c r="AL299" s="117">
        <f t="shared" si="42"/>
        <v>3609453.95</v>
      </c>
      <c r="AM299" s="117">
        <f>VLOOKUP(A299,JanApport,MATCH($AM$4,'Jan 2022 Apport'!$3:$3,0),FALSE)</f>
        <v>69071.350000000006</v>
      </c>
      <c r="AN299" s="117">
        <f>VLOOKUP(A299,JanApport,MATCH($AN$4,'Jan 2022 Apport'!$3:$3,0),FALSE)</f>
        <v>26488.05</v>
      </c>
    </row>
    <row r="300" spans="1:40">
      <c r="A300" s="2" t="s">
        <v>527</v>
      </c>
      <c r="B300" s="2" t="s">
        <v>528</v>
      </c>
      <c r="C300" s="2" t="s">
        <v>1267</v>
      </c>
      <c r="D300" s="118">
        <f>VLOOKUP(A300,JanApport,MATCH($D$4,'Jan 2022 Apport'!$3:$3,FALSE),FALSE)</f>
        <v>49116788.759999998</v>
      </c>
      <c r="E300" s="30">
        <f>VLOOKUP(A300,JanApport,MATCH($E$2,'Jan 2022 Apport'!$3:$3,0),FALSE)+VLOOKUP(A300,JanApport,MATCH($E$3,'Jan 2022 Apport'!$3:$3,0),FALSE)+VLOOKUP(A300,JanApport,MATCH($E$4,'Jan 2022 Apport'!$3:$3,0),FALSE)</f>
        <v>4219861.01</v>
      </c>
      <c r="F300" s="118">
        <f t="shared" si="43"/>
        <v>44896927.75</v>
      </c>
      <c r="G300" s="117">
        <f>VLOOKUP(A300,JanApport,MATCH($G$4,'Jan 2022 Apport'!$3:$3,0),FALSE)</f>
        <v>357098.08</v>
      </c>
      <c r="H300" s="117">
        <f>VLOOKUP(A300,JanApport,MATCH($H$3,'Jan 2022 Apport'!$3:$3,0),FALSE)+VLOOKUP(A300,JanApport,MATCH($H$2,'Jan 2022 Apport'!$3:$3,0),FALSE)+VLOOKUP(A300,JanApport,MATCH($H$4,'Jan 2022 Apport'!$3:$3,0),FALSE)</f>
        <v>6497829.4000000004</v>
      </c>
      <c r="I300" s="117">
        <f t="shared" si="44"/>
        <v>6854927.4800000004</v>
      </c>
      <c r="J300" s="117">
        <f>VLOOKUP(A300,JanApport,MATCH($J$4,'Jan 2022 Apport'!$3:$3,0),FALSE)</f>
        <v>1683101.66</v>
      </c>
      <c r="K300" s="117">
        <f>VLOOKUP(A300,JanApport,MATCH($K$4,'Jan 2022 Apport'!$3:$3,0),FALSE)</f>
        <v>268119.44</v>
      </c>
      <c r="L300" s="117">
        <f t="shared" si="45"/>
        <v>1951221.0999999999</v>
      </c>
      <c r="M300" s="117">
        <f>VLOOKUP(A300,JanApport,MATCH($M$4,'Jan 2022 Apport'!$3:$3,0),FALSE)</f>
        <v>1920034.1</v>
      </c>
      <c r="N300" s="117">
        <f>VLOOKUP(A300,JanApport,MATCH($N$4,'Jan 2022 Apport'!$3:$3,0),FALSE)</f>
        <v>1249611.8999999999</v>
      </c>
      <c r="O300" s="117">
        <f>VLOOKUP(A300,JanApport,MATCH($O$4,'Jan 2022 Apport'!$3:$3,0),FALSE)</f>
        <v>159783.45000000001</v>
      </c>
      <c r="P300" s="121">
        <f>IFERROR((VLOOKUP(A300,ExcessLevy!A:G,3,FALSE)*0.28),0)+IFERROR((VLOOKUP(A300,ExcessLevy!A:G,6,FALSE)*0.72),0)</f>
        <v>2778756.8171999999</v>
      </c>
      <c r="Q300" s="121">
        <f>IFERROR((VLOOKUP(A300,ExcessLevy!A:G,4,FALSE)*0.4738),0)+IFERROR((VLOOKUP(A300,ExcessLevy!A:G,7,FALSE)*0.5262),0)</f>
        <v>11155243.811999999</v>
      </c>
      <c r="R300">
        <f>VLOOKUP(A300,JanApport,MATCH($R$4,'Jan 2022 Apport'!$3:$3,0),FALSE)</f>
        <v>92.35</v>
      </c>
      <c r="S300">
        <f>VLOOKUP(A300,JanApport,MATCH($S$4,'Jan 2022 Apport'!$3:$3,0),FALSE)</f>
        <v>64.94</v>
      </c>
      <c r="T300">
        <f>VLOOKUP(A300,JanApport,MATCH($T$4,'Jan 2022 Apport'!$3:$3,0),FALSE)</f>
        <v>293.41000000000003</v>
      </c>
      <c r="U300" s="132">
        <f>IFERROR(VLOOKUP(A300,JanApport,MATCH($U$4,'Jan 2022 Apport'!$3:$3,0),FALSE)/R300,0)</f>
        <v>10346.814510016242</v>
      </c>
      <c r="V300" s="30">
        <f>IFERROR(((VLOOKUP(A300,JanApport,MATCH($V$4,'Jan 2022 Apport'!$3:$3,0),FALSE)+VLOOKUP(A300,JanApport,MATCH($V$3,'Jan 2022 Apport'!$3:$3,0),FALSE))/(S300+T300)),0)</f>
        <v>9109.3419561880837</v>
      </c>
      <c r="W300" s="30">
        <f t="shared" si="38"/>
        <v>8083.6246967786601</v>
      </c>
      <c r="X300">
        <f>VLOOKUP(A300,JanApport,MATCH($X$4,'Jan 2022 Apport'!$3:$3,0),FALSE)</f>
        <v>4.8578999999999997E-2</v>
      </c>
      <c r="Y300">
        <f>VLOOKUP(A300,JanApport,MATCH($Y$4,'Jan 2022 Apport'!$3:$3,0),FALSE)</f>
        <v>4.0270000000000002E-3</v>
      </c>
      <c r="Z300">
        <f>VLOOKUP(A300,JanApport,MATCH($Z$4,'Jan 2022 Apport'!$3:$3,0),FALSE)</f>
        <v>1.7100000000000001E-2</v>
      </c>
      <c r="AA300" s="77">
        <f>VLOOKUP(A300,JanApport,MATCH($AA$4,'Jan 2022 Apport'!$3:$3,0),FALSE)*VLOOKUP(A300,JanApport,MATCH($AA$3,'Jan 2022 Apport'!$3:$3,0),FALSE)</f>
        <v>67585</v>
      </c>
      <c r="AB300" s="77">
        <f>VLOOKUP(A300,JanApport,MATCH($AB$4,'Jan 2022 Apport'!$3:$3,0),FALSE)*VLOOKUP(A300,JanApport,MATCH($AB$3,'Jan 2022 Apport'!$3:$3,0),FALSE)</f>
        <v>68937</v>
      </c>
      <c r="AC300" s="77">
        <f>VLOOKUP(A300,JanApport,MATCH($AC$4,'Jan 2022 Apport'!$3:$3,0),FALSE)</f>
        <v>100321</v>
      </c>
      <c r="AD300" s="77">
        <f>VLOOKUP(A300,JanApport,MATCH($AD$4,'Jan 2022 Apport'!$3:$3,0),FALSE)*VLOOKUP(A300,JanApport,MATCH($AD$3,'Jan 2022 Apport'!$3:$3,0),FALSE)</f>
        <v>102327</v>
      </c>
      <c r="AE300" s="77">
        <f>VLOOKUP(A300,JanApport,MATCH($AE$4,'Jan 2022 Apport'!$3:$3,0),FALSE)</f>
        <v>48483</v>
      </c>
      <c r="AF300" s="77">
        <f>VLOOKUP(A300,JanApport,MATCH($AF$4,'Jan 2022 Apport'!$3:$3,0),FALSE)*VLOOKUP(A300,JanApport,MATCH($AF$3,'Jan 2022 Apport'!$3:$3,0),FALSE)</f>
        <v>49453</v>
      </c>
      <c r="AG300" s="77">
        <f t="shared" si="39"/>
        <v>96432.259900000005</v>
      </c>
      <c r="AH300" s="77">
        <f t="shared" si="40"/>
        <v>137400.94330000001</v>
      </c>
      <c r="AI300" s="77">
        <f t="shared" si="41"/>
        <v>77281.189732599989</v>
      </c>
      <c r="AJ300" s="3">
        <f>VLOOKUP(A300,JanApport,MATCH($AJ$4,'Jan 2022 Apport'!$3:$3,0),FALSE)</f>
        <v>6299871.7999999998</v>
      </c>
      <c r="AK300" s="3">
        <f>VLOOKUP(A300,JanApport,MATCH($AK$4,'Jan 2022 Apport'!$3:$3,0),FALSE)</f>
        <v>102.47</v>
      </c>
      <c r="AL300" s="117">
        <f t="shared" si="42"/>
        <v>61763216.989999995</v>
      </c>
      <c r="AM300" s="117">
        <f>VLOOKUP(A300,JanApport,MATCH($AM$4,'Jan 2022 Apport'!$3:$3,0),FALSE)</f>
        <v>778969.64</v>
      </c>
      <c r="AN300" s="117">
        <f>VLOOKUP(A300,JanApport,MATCH($AN$4,'Jan 2022 Apport'!$3:$3,0),FALSE)</f>
        <v>362131.17</v>
      </c>
    </row>
    <row r="301" spans="1:40">
      <c r="A301" s="2" t="s">
        <v>605</v>
      </c>
      <c r="B301" s="2" t="s">
        <v>606</v>
      </c>
      <c r="C301" s="2" t="s">
        <v>1267</v>
      </c>
      <c r="D301" s="118">
        <f>VLOOKUP(A301,JanApport,MATCH($D$4,'Jan 2022 Apport'!$3:$3,FALSE),FALSE)</f>
        <v>26757778.140000001</v>
      </c>
      <c r="E301" s="30">
        <f>VLOOKUP(A301,JanApport,MATCH($E$2,'Jan 2022 Apport'!$3:$3,0),FALSE)+VLOOKUP(A301,JanApport,MATCH($E$3,'Jan 2022 Apport'!$3:$3,0),FALSE)+VLOOKUP(A301,JanApport,MATCH($E$4,'Jan 2022 Apport'!$3:$3,0),FALSE)</f>
        <v>2798572.87</v>
      </c>
      <c r="F301" s="118">
        <f t="shared" si="43"/>
        <v>23959205.27</v>
      </c>
      <c r="G301" s="117">
        <f>VLOOKUP(A301,JanApport,MATCH($G$4,'Jan 2022 Apport'!$3:$3,0),FALSE)</f>
        <v>205867.04</v>
      </c>
      <c r="H301" s="117">
        <f>VLOOKUP(A301,JanApport,MATCH($H$3,'Jan 2022 Apport'!$3:$3,0),FALSE)+VLOOKUP(A301,JanApport,MATCH($H$2,'Jan 2022 Apport'!$3:$3,0),FALSE)+VLOOKUP(A301,JanApport,MATCH($H$4,'Jan 2022 Apport'!$3:$3,0),FALSE)</f>
        <v>3329381.1599999997</v>
      </c>
      <c r="I301" s="117">
        <f t="shared" si="44"/>
        <v>3535248.1999999997</v>
      </c>
      <c r="J301" s="117">
        <f>VLOOKUP(A301,JanApport,MATCH($J$4,'Jan 2022 Apport'!$3:$3,0),FALSE)</f>
        <v>1703632.5</v>
      </c>
      <c r="K301" s="117">
        <f>VLOOKUP(A301,JanApport,MATCH($K$4,'Jan 2022 Apport'!$3:$3,0),FALSE)</f>
        <v>330004.59999999998</v>
      </c>
      <c r="L301" s="117">
        <f t="shared" si="45"/>
        <v>2033637.1</v>
      </c>
      <c r="M301" s="117">
        <f>VLOOKUP(A301,JanApport,MATCH($M$4,'Jan 2022 Apport'!$3:$3,0),FALSE)</f>
        <v>1728936.28</v>
      </c>
      <c r="N301" s="117">
        <f>VLOOKUP(A301,JanApport,MATCH($N$4,'Jan 2022 Apport'!$3:$3,0),FALSE)</f>
        <v>1655560.19</v>
      </c>
      <c r="O301" s="117">
        <f>VLOOKUP(A301,JanApport,MATCH($O$4,'Jan 2022 Apport'!$3:$3,0),FALSE)</f>
        <v>86094.62</v>
      </c>
      <c r="P301" s="121">
        <f>IFERROR((VLOOKUP(A301,ExcessLevy!A:G,3,FALSE)*0.28),0)+IFERROR((VLOOKUP(A301,ExcessLevy!A:G,6,FALSE)*0.72),0)</f>
        <v>4017817.9471999998</v>
      </c>
      <c r="Q301" s="121">
        <f>IFERROR((VLOOKUP(A301,ExcessLevy!A:G,4,FALSE)*0.4738),0)+IFERROR((VLOOKUP(A301,ExcessLevy!A:G,7,FALSE)*0.5262),0)</f>
        <v>1350000</v>
      </c>
      <c r="R301">
        <f>VLOOKUP(A301,JanApport,MATCH($R$4,'Jan 2022 Apport'!$3:$3,0),FALSE)</f>
        <v>0</v>
      </c>
      <c r="S301">
        <f>VLOOKUP(A301,JanApport,MATCH($S$4,'Jan 2022 Apport'!$3:$3,0),FALSE)</f>
        <v>57.4</v>
      </c>
      <c r="T301">
        <f>VLOOKUP(A301,JanApport,MATCH($T$4,'Jan 2022 Apport'!$3:$3,0),FALSE)</f>
        <v>256.31</v>
      </c>
      <c r="U301" s="132">
        <f>IFERROR(VLOOKUP(A301,JanApport,MATCH($U$4,'Jan 2022 Apport'!$3:$3,0),FALSE)/R301,0)</f>
        <v>0</v>
      </c>
      <c r="V301" s="30">
        <f>IFERROR(((VLOOKUP(A301,JanApport,MATCH($V$4,'Jan 2022 Apport'!$3:$3,0),FALSE)+VLOOKUP(A301,JanApport,MATCH($V$3,'Jan 2022 Apport'!$3:$3,0),FALSE))/(S301+T301)),0)</f>
        <v>8920.8914921424257</v>
      </c>
      <c r="W301" s="30">
        <f t="shared" si="38"/>
        <v>8083.6246967786601</v>
      </c>
      <c r="X301">
        <f>VLOOKUP(A301,JanApport,MATCH($X$4,'Jan 2022 Apport'!$3:$3,0),FALSE)</f>
        <v>4.8578999999999997E-2</v>
      </c>
      <c r="Y301">
        <f>VLOOKUP(A301,JanApport,MATCH($Y$4,'Jan 2022 Apport'!$3:$3,0),FALSE)</f>
        <v>4.0270000000000002E-3</v>
      </c>
      <c r="Z301">
        <f>VLOOKUP(A301,JanApport,MATCH($Z$4,'Jan 2022 Apport'!$3:$3,0),FALSE)</f>
        <v>1.7100000000000001E-2</v>
      </c>
      <c r="AA301" s="77">
        <f>VLOOKUP(A301,JanApport,MATCH($AA$4,'Jan 2022 Apport'!$3:$3,0),FALSE)*VLOOKUP(A301,JanApport,MATCH($AA$3,'Jan 2022 Apport'!$3:$3,0),FALSE)</f>
        <v>67585</v>
      </c>
      <c r="AB301" s="77">
        <f>VLOOKUP(A301,JanApport,MATCH($AB$4,'Jan 2022 Apport'!$3:$3,0),FALSE)*VLOOKUP(A301,JanApport,MATCH($AB$3,'Jan 2022 Apport'!$3:$3,0),FALSE)</f>
        <v>68937</v>
      </c>
      <c r="AC301" s="77">
        <f>VLOOKUP(A301,JanApport,MATCH($AC$4,'Jan 2022 Apport'!$3:$3,0),FALSE)</f>
        <v>100321</v>
      </c>
      <c r="AD301" s="77">
        <f>VLOOKUP(A301,JanApport,MATCH($AD$4,'Jan 2022 Apport'!$3:$3,0),FALSE)*VLOOKUP(A301,JanApport,MATCH($AD$3,'Jan 2022 Apport'!$3:$3,0),FALSE)</f>
        <v>102327</v>
      </c>
      <c r="AE301" s="77">
        <f>VLOOKUP(A301,JanApport,MATCH($AE$4,'Jan 2022 Apport'!$3:$3,0),FALSE)</f>
        <v>48483</v>
      </c>
      <c r="AF301" s="77">
        <f>VLOOKUP(A301,JanApport,MATCH($AF$4,'Jan 2022 Apport'!$3:$3,0),FALSE)*VLOOKUP(A301,JanApport,MATCH($AF$3,'Jan 2022 Apport'!$3:$3,0),FALSE)</f>
        <v>49453</v>
      </c>
      <c r="AG301" s="77">
        <f t="shared" si="39"/>
        <v>96432.259900000005</v>
      </c>
      <c r="AH301" s="77">
        <f t="shared" si="40"/>
        <v>137400.94330000001</v>
      </c>
      <c r="AI301" s="77">
        <f t="shared" si="41"/>
        <v>77281.189732599989</v>
      </c>
      <c r="AJ301" s="3">
        <f>VLOOKUP(A301,JanApport,MATCH($AJ$4,'Jan 2022 Apport'!$3:$3,0),FALSE)</f>
        <v>3776099.64</v>
      </c>
      <c r="AK301" s="3">
        <f>VLOOKUP(A301,JanApport,MATCH($AK$4,'Jan 2022 Apport'!$3:$3,0),FALSE)</f>
        <v>59.694000000000003</v>
      </c>
      <c r="AL301" s="117">
        <f t="shared" si="42"/>
        <v>36369775.800000004</v>
      </c>
      <c r="AM301" s="117">
        <f>VLOOKUP(A301,JanApport,MATCH($AM$4,'Jan 2022 Apport'!$3:$3,0),FALSE)</f>
        <v>902525.87</v>
      </c>
      <c r="AN301" s="117">
        <f>VLOOKUP(A301,JanApport,MATCH($AN$4,'Jan 2022 Apport'!$3:$3,0),FALSE)</f>
        <v>207898.83</v>
      </c>
    </row>
    <row r="302" spans="1:40">
      <c r="A302" s="2" t="s">
        <v>125</v>
      </c>
      <c r="B302" s="2" t="s">
        <v>126</v>
      </c>
      <c r="C302" s="2" t="s">
        <v>1267</v>
      </c>
      <c r="D302" s="118">
        <f>VLOOKUP(A302,JanApport,MATCH($D$4,'Jan 2022 Apport'!$3:$3,FALSE),FALSE)</f>
        <v>7685967.29</v>
      </c>
      <c r="E302" s="30">
        <f>VLOOKUP(A302,JanApport,MATCH($E$2,'Jan 2022 Apport'!$3:$3,0),FALSE)+VLOOKUP(A302,JanApport,MATCH($E$3,'Jan 2022 Apport'!$3:$3,0),FALSE)+VLOOKUP(A302,JanApport,MATCH($E$4,'Jan 2022 Apport'!$3:$3,0),FALSE)</f>
        <v>512090.1</v>
      </c>
      <c r="F302" s="118">
        <f t="shared" si="43"/>
        <v>7173877.1900000004</v>
      </c>
      <c r="G302" s="117">
        <f>VLOOKUP(A302,JanApport,MATCH($G$4,'Jan 2022 Apport'!$3:$3,0),FALSE)</f>
        <v>71410.350000000006</v>
      </c>
      <c r="H302" s="117">
        <f>VLOOKUP(A302,JanApport,MATCH($H$3,'Jan 2022 Apport'!$3:$3,0),FALSE)+VLOOKUP(A302,JanApport,MATCH($H$2,'Jan 2022 Apport'!$3:$3,0),FALSE)+VLOOKUP(A302,JanApport,MATCH($H$4,'Jan 2022 Apport'!$3:$3,0),FALSE)</f>
        <v>1022578.24</v>
      </c>
      <c r="I302" s="117">
        <f t="shared" si="44"/>
        <v>1093988.5900000001</v>
      </c>
      <c r="J302" s="117">
        <f>VLOOKUP(A302,JanApport,MATCH($J$4,'Jan 2022 Apport'!$3:$3,0),FALSE)</f>
        <v>394250.92</v>
      </c>
      <c r="K302" s="117">
        <f>VLOOKUP(A302,JanApport,MATCH($K$4,'Jan 2022 Apport'!$3:$3,0),FALSE)</f>
        <v>59789.08</v>
      </c>
      <c r="L302" s="117">
        <f t="shared" si="45"/>
        <v>454040</v>
      </c>
      <c r="M302" s="117">
        <f>VLOOKUP(A302,JanApport,MATCH($M$4,'Jan 2022 Apport'!$3:$3,0),FALSE)</f>
        <v>456594.94</v>
      </c>
      <c r="N302" s="117">
        <f>VLOOKUP(A302,JanApport,MATCH($N$4,'Jan 2022 Apport'!$3:$3,0),FALSE)</f>
        <v>376663.92</v>
      </c>
      <c r="O302" s="117">
        <f>VLOOKUP(A302,JanApport,MATCH($O$4,'Jan 2022 Apport'!$3:$3,0),FALSE)</f>
        <v>24947.87</v>
      </c>
      <c r="P302" s="121">
        <f>IFERROR((VLOOKUP(A302,ExcessLevy!A:G,3,FALSE)*0.28),0)+IFERROR((VLOOKUP(A302,ExcessLevy!A:G,6,FALSE)*0.72),0)</f>
        <v>661873.48600000003</v>
      </c>
      <c r="Q302" s="121">
        <f>IFERROR((VLOOKUP(A302,ExcessLevy!A:G,4,FALSE)*0.4738),0)+IFERROR((VLOOKUP(A302,ExcessLevy!A:G,7,FALSE)*0.5262),0)</f>
        <v>1127877.027</v>
      </c>
      <c r="R302">
        <f>VLOOKUP(A302,JanApport,MATCH($R$4,'Jan 2022 Apport'!$3:$3,0),FALSE)</f>
        <v>0</v>
      </c>
      <c r="S302">
        <f>VLOOKUP(A302,JanApport,MATCH($S$4,'Jan 2022 Apport'!$3:$3,0),FALSE)</f>
        <v>3.09</v>
      </c>
      <c r="T302">
        <f>VLOOKUP(A302,JanApport,MATCH($T$4,'Jan 2022 Apport'!$3:$3,0),FALSE)</f>
        <v>54.3</v>
      </c>
      <c r="U302" s="132">
        <f>IFERROR(VLOOKUP(A302,JanApport,MATCH($U$4,'Jan 2022 Apport'!$3:$3,0),FALSE)/R302,0)</f>
        <v>0</v>
      </c>
      <c r="V302" s="30">
        <f>IFERROR(((VLOOKUP(A302,JanApport,MATCH($V$4,'Jan 2022 Apport'!$3:$3,0),FALSE)+VLOOKUP(A302,JanApport,MATCH($V$3,'Jan 2022 Apport'!$3:$3,0),FALSE))/(S302+T302)),0)</f>
        <v>8922.9848405645571</v>
      </c>
      <c r="W302" s="30">
        <f t="shared" si="38"/>
        <v>8083.6246967786601</v>
      </c>
      <c r="X302">
        <f>VLOOKUP(A302,JanApport,MATCH($X$4,'Jan 2022 Apport'!$3:$3,0),FALSE)</f>
        <v>4.8578999999999997E-2</v>
      </c>
      <c r="Y302">
        <f>VLOOKUP(A302,JanApport,MATCH($Y$4,'Jan 2022 Apport'!$3:$3,0),FALSE)</f>
        <v>4.0270000000000002E-3</v>
      </c>
      <c r="Z302">
        <f>VLOOKUP(A302,JanApport,MATCH($Z$4,'Jan 2022 Apport'!$3:$3,0),FALSE)</f>
        <v>1.7100000000000001E-2</v>
      </c>
      <c r="AA302" s="77">
        <f>VLOOKUP(A302,JanApport,MATCH($AA$4,'Jan 2022 Apport'!$3:$3,0),FALSE)*VLOOKUP(A302,JanApport,MATCH($AA$3,'Jan 2022 Apport'!$3:$3,0),FALSE)</f>
        <v>67585</v>
      </c>
      <c r="AB302" s="77">
        <f>VLOOKUP(A302,JanApport,MATCH($AB$4,'Jan 2022 Apport'!$3:$3,0),FALSE)*VLOOKUP(A302,JanApport,MATCH($AB$3,'Jan 2022 Apport'!$3:$3,0),FALSE)</f>
        <v>68937</v>
      </c>
      <c r="AC302" s="77">
        <f>VLOOKUP(A302,JanApport,MATCH($AC$4,'Jan 2022 Apport'!$3:$3,0),FALSE)</f>
        <v>100321</v>
      </c>
      <c r="AD302" s="77">
        <f>VLOOKUP(A302,JanApport,MATCH($AD$4,'Jan 2022 Apport'!$3:$3,0),FALSE)*VLOOKUP(A302,JanApport,MATCH($AD$3,'Jan 2022 Apport'!$3:$3,0),FALSE)</f>
        <v>102327</v>
      </c>
      <c r="AE302" s="77">
        <f>VLOOKUP(A302,JanApport,MATCH($AE$4,'Jan 2022 Apport'!$3:$3,0),FALSE)</f>
        <v>48483</v>
      </c>
      <c r="AF302" s="77">
        <f>VLOOKUP(A302,JanApport,MATCH($AF$4,'Jan 2022 Apport'!$3:$3,0),FALSE)*VLOOKUP(A302,JanApport,MATCH($AF$3,'Jan 2022 Apport'!$3:$3,0),FALSE)</f>
        <v>49453</v>
      </c>
      <c r="AG302" s="77">
        <f t="shared" si="39"/>
        <v>96432.259900000005</v>
      </c>
      <c r="AH302" s="77">
        <f t="shared" si="40"/>
        <v>137400.94330000001</v>
      </c>
      <c r="AI302" s="77">
        <f t="shared" si="41"/>
        <v>77281.189732599989</v>
      </c>
      <c r="AJ302" s="3">
        <f>VLOOKUP(A302,JanApport,MATCH($AJ$4,'Jan 2022 Apport'!$3:$3,0),FALSE)</f>
        <v>1130357.8899999999</v>
      </c>
      <c r="AK302" s="3">
        <f>VLOOKUP(A302,JanApport,MATCH($AK$4,'Jan 2022 Apport'!$3:$3,0),FALSE)</f>
        <v>15.64</v>
      </c>
      <c r="AL302" s="117">
        <f t="shared" si="42"/>
        <v>10282772.729999999</v>
      </c>
      <c r="AM302" s="117">
        <f>VLOOKUP(A302,JanApport,MATCH($AM$4,'Jan 2022 Apport'!$3:$3,0),FALSE)</f>
        <v>250359.2</v>
      </c>
      <c r="AN302" s="117">
        <f>VLOOKUP(A302,JanApport,MATCH($AN$4,'Jan 2022 Apport'!$3:$3,0),FALSE)</f>
        <v>61147.21</v>
      </c>
    </row>
    <row r="303" spans="1:40">
      <c r="A303" s="2" t="s">
        <v>63</v>
      </c>
      <c r="B303" s="2" t="s">
        <v>64</v>
      </c>
      <c r="C303" s="2" t="s">
        <v>1267</v>
      </c>
      <c r="D303" s="118">
        <f>VLOOKUP(A303,JanApport,MATCH($D$4,'Jan 2022 Apport'!$3:$3,FALSE),FALSE)</f>
        <v>26311812.420000002</v>
      </c>
      <c r="E303" s="30">
        <f>VLOOKUP(A303,JanApport,MATCH($E$2,'Jan 2022 Apport'!$3:$3,0),FALSE)+VLOOKUP(A303,JanApport,MATCH($E$3,'Jan 2022 Apport'!$3:$3,0),FALSE)+VLOOKUP(A303,JanApport,MATCH($E$4,'Jan 2022 Apport'!$3:$3,0),FALSE)</f>
        <v>2499589.85</v>
      </c>
      <c r="F303" s="118">
        <f t="shared" si="43"/>
        <v>23812222.57</v>
      </c>
      <c r="G303" s="117">
        <f>VLOOKUP(A303,JanApport,MATCH($G$4,'Jan 2022 Apport'!$3:$3,0),FALSE)</f>
        <v>352761.54</v>
      </c>
      <c r="H303" s="117">
        <f>VLOOKUP(A303,JanApport,MATCH($H$3,'Jan 2022 Apport'!$3:$3,0),FALSE)+VLOOKUP(A303,JanApport,MATCH($H$2,'Jan 2022 Apport'!$3:$3,0),FALSE)+VLOOKUP(A303,JanApport,MATCH($H$4,'Jan 2022 Apport'!$3:$3,0),FALSE)</f>
        <v>3564994.48</v>
      </c>
      <c r="I303" s="117">
        <f t="shared" si="44"/>
        <v>3917756.02</v>
      </c>
      <c r="J303" s="117">
        <f>VLOOKUP(A303,JanApport,MATCH($J$4,'Jan 2022 Apport'!$3:$3,0),FALSE)</f>
        <v>2059838.34</v>
      </c>
      <c r="K303" s="117">
        <f>VLOOKUP(A303,JanApport,MATCH($K$4,'Jan 2022 Apport'!$3:$3,0),FALSE)</f>
        <v>289689.42</v>
      </c>
      <c r="L303" s="117">
        <f t="shared" si="45"/>
        <v>2349527.7600000002</v>
      </c>
      <c r="M303" s="117">
        <f>VLOOKUP(A303,JanApport,MATCH($M$4,'Jan 2022 Apport'!$3:$3,0),FALSE)</f>
        <v>666988.96</v>
      </c>
      <c r="N303" s="117">
        <f>VLOOKUP(A303,JanApport,MATCH($N$4,'Jan 2022 Apport'!$3:$3,0),FALSE)</f>
        <v>128845.46</v>
      </c>
      <c r="O303" s="117">
        <f>VLOOKUP(A303,JanApport,MATCH($O$4,'Jan 2022 Apport'!$3:$3,0),FALSE)</f>
        <v>85999.97</v>
      </c>
      <c r="P303" s="121">
        <f>IFERROR((VLOOKUP(A303,ExcessLevy!A:G,3,FALSE)*0.28),0)+IFERROR((VLOOKUP(A303,ExcessLevy!A:G,6,FALSE)*0.72),0)</f>
        <v>0</v>
      </c>
      <c r="Q303" s="121">
        <f>IFERROR((VLOOKUP(A303,ExcessLevy!A:G,4,FALSE)*0.4738),0)+IFERROR((VLOOKUP(A303,ExcessLevy!A:G,7,FALSE)*0.5262),0)</f>
        <v>7703856.9944000002</v>
      </c>
      <c r="R303">
        <f>VLOOKUP(A303,JanApport,MATCH($R$4,'Jan 2022 Apport'!$3:$3,0),FALSE)</f>
        <v>0</v>
      </c>
      <c r="S303">
        <f>VLOOKUP(A303,JanApport,MATCH($S$4,'Jan 2022 Apport'!$3:$3,0),FALSE)</f>
        <v>43.91</v>
      </c>
      <c r="T303">
        <f>VLOOKUP(A303,JanApport,MATCH($T$4,'Jan 2022 Apport'!$3:$3,0),FALSE)</f>
        <v>224.87</v>
      </c>
      <c r="U303" s="132">
        <f>IFERROR(VLOOKUP(A303,JanApport,MATCH($U$4,'Jan 2022 Apport'!$3:$3,0),FALSE)/R303,0)</f>
        <v>0</v>
      </c>
      <c r="V303" s="30">
        <f>IFERROR(((VLOOKUP(A303,JanApport,MATCH($V$4,'Jan 2022 Apport'!$3:$3,0),FALSE)+VLOOKUP(A303,JanApport,MATCH($V$3,'Jan 2022 Apport'!$3:$3,0),FALSE))/(S303+T303)),0)</f>
        <v>9299.7613289679302</v>
      </c>
      <c r="W303" s="30">
        <f t="shared" si="38"/>
        <v>8420.8524946760499</v>
      </c>
      <c r="X303">
        <f>VLOOKUP(A303,JanApport,MATCH($X$4,'Jan 2022 Apport'!$3:$3,0),FALSE)</f>
        <v>4.8578999999999997E-2</v>
      </c>
      <c r="Y303">
        <f>VLOOKUP(A303,JanApport,MATCH($Y$4,'Jan 2022 Apport'!$3:$3,0),FALSE)</f>
        <v>4.0270000000000002E-3</v>
      </c>
      <c r="Z303">
        <f>VLOOKUP(A303,JanApport,MATCH($Z$4,'Jan 2022 Apport'!$3:$3,0),FALSE)</f>
        <v>1.7100000000000001E-2</v>
      </c>
      <c r="AA303" s="77">
        <f>VLOOKUP(A303,JanApport,MATCH($AA$4,'Jan 2022 Apport'!$3:$3,0),FALSE)*VLOOKUP(A303,JanApport,MATCH($AA$3,'Jan 2022 Apport'!$3:$3,0),FALSE)</f>
        <v>71640.100000000006</v>
      </c>
      <c r="AB303" s="77">
        <f>VLOOKUP(A303,JanApport,MATCH($AB$4,'Jan 2022 Apport'!$3:$3,0),FALSE)*VLOOKUP(A303,JanApport,MATCH($AB$3,'Jan 2022 Apport'!$3:$3,0),FALSE)</f>
        <v>73073.22</v>
      </c>
      <c r="AC303" s="77">
        <f>VLOOKUP(A303,JanApport,MATCH($AC$4,'Jan 2022 Apport'!$3:$3,0),FALSE)</f>
        <v>100321</v>
      </c>
      <c r="AD303" s="77">
        <f>VLOOKUP(A303,JanApport,MATCH($AD$4,'Jan 2022 Apport'!$3:$3,0),FALSE)*VLOOKUP(A303,JanApport,MATCH($AD$3,'Jan 2022 Apport'!$3:$3,0),FALSE)</f>
        <v>108466.62000000001</v>
      </c>
      <c r="AE303" s="77">
        <f>VLOOKUP(A303,JanApport,MATCH($AE$4,'Jan 2022 Apport'!$3:$3,0),FALSE)</f>
        <v>48483</v>
      </c>
      <c r="AF303" s="77">
        <f>VLOOKUP(A303,JanApport,MATCH($AF$4,'Jan 2022 Apport'!$3:$3,0),FALSE)*VLOOKUP(A303,JanApport,MATCH($AF$3,'Jan 2022 Apport'!$3:$3,0),FALSE)</f>
        <v>52420.18</v>
      </c>
      <c r="AG303" s="77">
        <f t="shared" si="39"/>
        <v>101507.296294</v>
      </c>
      <c r="AH303" s="77">
        <f t="shared" si="40"/>
        <v>144895.57743400004</v>
      </c>
      <c r="AI303" s="77">
        <f t="shared" si="41"/>
        <v>80819.594016556002</v>
      </c>
      <c r="AJ303" s="3">
        <f>VLOOKUP(A303,JanApport,MATCH($AJ$4,'Jan 2022 Apport'!$3:$3,0),FALSE)</f>
        <v>3450205.76</v>
      </c>
      <c r="AK303" s="3">
        <f>VLOOKUP(A303,JanApport,MATCH($AK$4,'Jan 2022 Apport'!$3:$3,0),FALSE)</f>
        <v>51.47</v>
      </c>
      <c r="AL303" s="117">
        <f t="shared" si="42"/>
        <v>33171241.170000002</v>
      </c>
      <c r="AM303" s="117">
        <f>VLOOKUP(A303,JanApport,MATCH($AM$4,'Jan 2022 Apport'!$3:$3,0),FALSE)</f>
        <v>0</v>
      </c>
      <c r="AN303" s="117">
        <f>VLOOKUP(A303,JanApport,MATCH($AN$4,'Jan 2022 Apport'!$3:$3,0),FALSE)</f>
        <v>199282.79</v>
      </c>
    </row>
    <row r="304" spans="1:40">
      <c r="A304" s="2" t="s">
        <v>3</v>
      </c>
      <c r="B304" s="2" t="s">
        <v>4</v>
      </c>
      <c r="C304" s="2" t="s">
        <v>1267</v>
      </c>
      <c r="D304" s="118">
        <f>VLOOKUP(A304,JanApport,MATCH($D$4,'Jan 2022 Apport'!$3:$3,FALSE),FALSE)</f>
        <v>1928014.24</v>
      </c>
      <c r="E304" s="30">
        <f>VLOOKUP(A304,JanApport,MATCH($E$2,'Jan 2022 Apport'!$3:$3,0),FALSE)+VLOOKUP(A304,JanApport,MATCH($E$3,'Jan 2022 Apport'!$3:$3,0),FALSE)+VLOOKUP(A304,JanApport,MATCH($E$4,'Jan 2022 Apport'!$3:$3,0),FALSE)</f>
        <v>49926.65</v>
      </c>
      <c r="F304" s="118">
        <f t="shared" si="43"/>
        <v>1878087.59</v>
      </c>
      <c r="G304" s="117">
        <f>VLOOKUP(A304,JanApport,MATCH($G$4,'Jan 2022 Apport'!$3:$3,0),FALSE)</f>
        <v>2471.39</v>
      </c>
      <c r="H304" s="117">
        <f>VLOOKUP(A304,JanApport,MATCH($H$3,'Jan 2022 Apport'!$3:$3,0),FALSE)+VLOOKUP(A304,JanApport,MATCH($H$2,'Jan 2022 Apport'!$3:$3,0),FALSE)+VLOOKUP(A304,JanApport,MATCH($H$4,'Jan 2022 Apport'!$3:$3,0),FALSE)</f>
        <v>47520.45</v>
      </c>
      <c r="I304" s="117">
        <f t="shared" si="44"/>
        <v>49991.839999999997</v>
      </c>
      <c r="J304" s="117">
        <f>VLOOKUP(A304,JanApport,MATCH($J$4,'Jan 2022 Apport'!$3:$3,0),FALSE)</f>
        <v>139450.01999999999</v>
      </c>
      <c r="K304" s="117">
        <f>VLOOKUP(A304,JanApport,MATCH($K$4,'Jan 2022 Apport'!$3:$3,0),FALSE)</f>
        <v>43723.8</v>
      </c>
      <c r="L304" s="117">
        <f t="shared" si="45"/>
        <v>183173.82</v>
      </c>
      <c r="M304" s="117">
        <f>VLOOKUP(A304,JanApport,MATCH($M$4,'Jan 2022 Apport'!$3:$3,0),FALSE)</f>
        <v>23382.51</v>
      </c>
      <c r="N304" s="117">
        <f>VLOOKUP(A304,JanApport,MATCH($N$4,'Jan 2022 Apport'!$3:$3,0),FALSE)</f>
        <v>0</v>
      </c>
      <c r="O304" s="117">
        <f>VLOOKUP(A304,JanApport,MATCH($O$4,'Jan 2022 Apport'!$3:$3,0),FALSE)</f>
        <v>2250.1999999999998</v>
      </c>
      <c r="P304" s="121">
        <f>IFERROR((VLOOKUP(A304,ExcessLevy!A:G,3,FALSE)*0.28),0)+IFERROR((VLOOKUP(A304,ExcessLevy!A:G,6,FALSE)*0.72),0)</f>
        <v>983.80800000000011</v>
      </c>
      <c r="Q304" s="121">
        <f>IFERROR((VLOOKUP(A304,ExcessLevy!A:G,4,FALSE)*0.4738),0)+IFERROR((VLOOKUP(A304,ExcessLevy!A:G,7,FALSE)*0.5262),0)</f>
        <v>146209.60000000001</v>
      </c>
      <c r="R304">
        <f>VLOOKUP(A304,JanApport,MATCH($R$4,'Jan 2022 Apport'!$3:$3,0),FALSE)</f>
        <v>0</v>
      </c>
      <c r="S304">
        <f>VLOOKUP(A304,JanApport,MATCH($S$4,'Jan 2022 Apport'!$3:$3,0),FALSE)</f>
        <v>2.9</v>
      </c>
      <c r="T304">
        <f>VLOOKUP(A304,JanApport,MATCH($T$4,'Jan 2022 Apport'!$3:$3,0),FALSE)</f>
        <v>2.7</v>
      </c>
      <c r="U304" s="132">
        <f>IFERROR(VLOOKUP(A304,JanApport,MATCH($U$4,'Jan 2022 Apport'!$3:$3,0),FALSE)/R304,0)</f>
        <v>0</v>
      </c>
      <c r="V304" s="30">
        <f>IFERROR(((VLOOKUP(A304,JanApport,MATCH($V$4,'Jan 2022 Apport'!$3:$3,0),FALSE)+VLOOKUP(A304,JanApport,MATCH($V$3,'Jan 2022 Apport'!$3:$3,0),FALSE))/(S304+T304)),0)</f>
        <v>8915.4732142857156</v>
      </c>
      <c r="W304" s="30">
        <f t="shared" si="38"/>
        <v>8052.8761802300605</v>
      </c>
      <c r="X304">
        <f>VLOOKUP(A304,JanApport,MATCH($X$4,'Jan 2022 Apport'!$3:$3,0),FALSE)</f>
        <v>4.8578999999999997E-2</v>
      </c>
      <c r="Y304">
        <f>VLOOKUP(A304,JanApport,MATCH($Y$4,'Jan 2022 Apport'!$3:$3,0),FALSE)</f>
        <v>4.0270000000000002E-3</v>
      </c>
      <c r="Z304">
        <f>VLOOKUP(A304,JanApport,MATCH($Z$4,'Jan 2022 Apport'!$3:$3,0),FALSE)</f>
        <v>1.7100000000000001E-2</v>
      </c>
      <c r="AA304" s="77">
        <f>VLOOKUP(A304,JanApport,MATCH($AA$4,'Jan 2022 Apport'!$3:$3,0),FALSE)*VLOOKUP(A304,JanApport,MATCH($AA$3,'Jan 2022 Apport'!$3:$3,0),FALSE)</f>
        <v>67585</v>
      </c>
      <c r="AB304" s="77">
        <f>VLOOKUP(A304,JanApport,MATCH($AB$4,'Jan 2022 Apport'!$3:$3,0),FALSE)*VLOOKUP(A304,JanApport,MATCH($AB$3,'Jan 2022 Apport'!$3:$3,0),FALSE)</f>
        <v>68937</v>
      </c>
      <c r="AC304" s="77">
        <f>VLOOKUP(A304,JanApport,MATCH($AC$4,'Jan 2022 Apport'!$3:$3,0),FALSE)</f>
        <v>96805</v>
      </c>
      <c r="AD304" s="77">
        <f>VLOOKUP(A304,JanApport,MATCH($AD$4,'Jan 2022 Apport'!$3:$3,0),FALSE)*VLOOKUP(A304,JanApport,MATCH($AD$3,'Jan 2022 Apport'!$3:$3,0),FALSE)</f>
        <v>100321</v>
      </c>
      <c r="AE304" s="77">
        <f>VLOOKUP(A304,JanApport,MATCH($AE$4,'Jan 2022 Apport'!$3:$3,0),FALSE)</f>
        <v>46784.33</v>
      </c>
      <c r="AF304" s="77">
        <f>VLOOKUP(A304,JanApport,MATCH($AF$4,'Jan 2022 Apport'!$3:$3,0),FALSE)*VLOOKUP(A304,JanApport,MATCH($AF$3,'Jan 2022 Apport'!$3:$3,0),FALSE)</f>
        <v>48483</v>
      </c>
      <c r="AG304" s="77">
        <f t="shared" si="39"/>
        <v>96432.259900000005</v>
      </c>
      <c r="AH304" s="77">
        <f t="shared" si="40"/>
        <v>134929.71669999999</v>
      </c>
      <c r="AI304" s="77">
        <f t="shared" si="41"/>
        <v>76064.99750859999</v>
      </c>
      <c r="AJ304" s="3">
        <f>VLOOKUP(A304,JanApport,MATCH($AJ$4,'Jan 2022 Apport'!$3:$3,0),FALSE)</f>
        <v>212893.92</v>
      </c>
      <c r="AK304" s="3">
        <f>VLOOKUP(A304,JanApport,MATCH($AK$4,'Jan 2022 Apport'!$3:$3,0),FALSE)</f>
        <v>1.454</v>
      </c>
      <c r="AL304" s="117">
        <f t="shared" si="42"/>
        <v>2160601.23</v>
      </c>
      <c r="AM304" s="117">
        <f>VLOOKUP(A304,JanApport,MATCH($AM$4,'Jan 2022 Apport'!$3:$3,0),FALSE)</f>
        <v>17512.419999999998</v>
      </c>
      <c r="AN304" s="117">
        <f>VLOOKUP(A304,JanApport,MATCH($AN$4,'Jan 2022 Apport'!$3:$3,0),FALSE)</f>
        <v>17416.53</v>
      </c>
    </row>
    <row r="305" spans="1:40">
      <c r="A305" s="2" t="s">
        <v>99</v>
      </c>
      <c r="B305" s="2" t="s">
        <v>100</v>
      </c>
      <c r="C305" s="2" t="s">
        <v>1267</v>
      </c>
      <c r="D305" s="118">
        <f>VLOOKUP(A305,JanApport,MATCH($D$4,'Jan 2022 Apport'!$3:$3,FALSE),FALSE)</f>
        <v>3025755.01</v>
      </c>
      <c r="E305" s="30">
        <f>VLOOKUP(A305,JanApport,MATCH($E$2,'Jan 2022 Apport'!$3:$3,0),FALSE)+VLOOKUP(A305,JanApport,MATCH($E$3,'Jan 2022 Apport'!$3:$3,0),FALSE)+VLOOKUP(A305,JanApport,MATCH($E$4,'Jan 2022 Apport'!$3:$3,0),FALSE)</f>
        <v>135643.25</v>
      </c>
      <c r="F305" s="118">
        <f t="shared" si="43"/>
        <v>2890111.76</v>
      </c>
      <c r="G305" s="117">
        <f>VLOOKUP(A305,JanApport,MATCH($G$4,'Jan 2022 Apport'!$3:$3,0),FALSE)</f>
        <v>4938.84</v>
      </c>
      <c r="H305" s="117">
        <f>VLOOKUP(A305,JanApport,MATCH($H$3,'Jan 2022 Apport'!$3:$3,0),FALSE)+VLOOKUP(A305,JanApport,MATCH($H$2,'Jan 2022 Apport'!$3:$3,0),FALSE)+VLOOKUP(A305,JanApport,MATCH($H$4,'Jan 2022 Apport'!$3:$3,0),FALSE)</f>
        <v>329365.86</v>
      </c>
      <c r="I305" s="117">
        <f t="shared" si="44"/>
        <v>334304.7</v>
      </c>
      <c r="J305" s="117">
        <f>VLOOKUP(A305,JanApport,MATCH($J$4,'Jan 2022 Apport'!$3:$3,0),FALSE)</f>
        <v>159310.81</v>
      </c>
      <c r="K305" s="117">
        <f>VLOOKUP(A305,JanApport,MATCH($K$4,'Jan 2022 Apport'!$3:$3,0),FALSE)</f>
        <v>111150.66</v>
      </c>
      <c r="L305" s="117">
        <f t="shared" si="45"/>
        <v>270461.46999999997</v>
      </c>
      <c r="M305" s="117">
        <f>VLOOKUP(A305,JanApport,MATCH($M$4,'Jan 2022 Apport'!$3:$3,0),FALSE)</f>
        <v>79539.69</v>
      </c>
      <c r="N305" s="117">
        <f>VLOOKUP(A305,JanApport,MATCH($N$4,'Jan 2022 Apport'!$3:$3,0),FALSE)</f>
        <v>22893.34</v>
      </c>
      <c r="O305" s="117">
        <f>VLOOKUP(A305,JanApport,MATCH($O$4,'Jan 2022 Apport'!$3:$3,0),FALSE)</f>
        <v>7239.77</v>
      </c>
      <c r="P305" s="121">
        <f>IFERROR((VLOOKUP(A305,ExcessLevy!A:G,3,FALSE)*0.28),0)+IFERROR((VLOOKUP(A305,ExcessLevy!A:G,6,FALSE)*0.72),0)</f>
        <v>80756.230800000005</v>
      </c>
      <c r="Q305" s="121">
        <f>IFERROR((VLOOKUP(A305,ExcessLevy!A:G,4,FALSE)*0.4738),0)+IFERROR((VLOOKUP(A305,ExcessLevy!A:G,7,FALSE)*0.5262),0)</f>
        <v>601460.80615000008</v>
      </c>
      <c r="R305">
        <f>VLOOKUP(A305,JanApport,MATCH($R$4,'Jan 2022 Apport'!$3:$3,0),FALSE)</f>
        <v>0</v>
      </c>
      <c r="S305">
        <f>VLOOKUP(A305,JanApport,MATCH($S$4,'Jan 2022 Apport'!$3:$3,0),FALSE)</f>
        <v>1.39</v>
      </c>
      <c r="T305">
        <f>VLOOKUP(A305,JanApport,MATCH($T$4,'Jan 2022 Apport'!$3:$3,0),FALSE)</f>
        <v>13.83</v>
      </c>
      <c r="U305" s="132">
        <f>IFERROR(VLOOKUP(A305,JanApport,MATCH($U$4,'Jan 2022 Apport'!$3:$3,0),FALSE)/R305,0)</f>
        <v>0</v>
      </c>
      <c r="V305" s="30">
        <f>IFERROR(((VLOOKUP(A305,JanApport,MATCH($V$4,'Jan 2022 Apport'!$3:$3,0),FALSE)+VLOOKUP(A305,JanApport,MATCH($V$3,'Jan 2022 Apport'!$3:$3,0),FALSE))/(S305+T305)),0)</f>
        <v>8912.1714848883039</v>
      </c>
      <c r="W305" s="30">
        <f t="shared" si="38"/>
        <v>8083.6246967786601</v>
      </c>
      <c r="X305">
        <f>VLOOKUP(A305,JanApport,MATCH($X$4,'Jan 2022 Apport'!$3:$3,0),FALSE)</f>
        <v>4.8578999999999997E-2</v>
      </c>
      <c r="Y305">
        <f>VLOOKUP(A305,JanApport,MATCH($Y$4,'Jan 2022 Apport'!$3:$3,0),FALSE)</f>
        <v>4.0270000000000002E-3</v>
      </c>
      <c r="Z305">
        <f>VLOOKUP(A305,JanApport,MATCH($Z$4,'Jan 2022 Apport'!$3:$3,0),FALSE)</f>
        <v>1.7100000000000001E-2</v>
      </c>
      <c r="AA305" s="77">
        <f>VLOOKUP(A305,JanApport,MATCH($AA$4,'Jan 2022 Apport'!$3:$3,0),FALSE)*VLOOKUP(A305,JanApport,MATCH($AA$3,'Jan 2022 Apport'!$3:$3,0),FALSE)</f>
        <v>67585</v>
      </c>
      <c r="AB305" s="77">
        <f>VLOOKUP(A305,JanApport,MATCH($AB$4,'Jan 2022 Apport'!$3:$3,0),FALSE)*VLOOKUP(A305,JanApport,MATCH($AB$3,'Jan 2022 Apport'!$3:$3,0),FALSE)</f>
        <v>68937</v>
      </c>
      <c r="AC305" s="77">
        <f>VLOOKUP(A305,JanApport,MATCH($AC$4,'Jan 2022 Apport'!$3:$3,0),FALSE)</f>
        <v>100321</v>
      </c>
      <c r="AD305" s="77">
        <f>VLOOKUP(A305,JanApport,MATCH($AD$4,'Jan 2022 Apport'!$3:$3,0),FALSE)*VLOOKUP(A305,JanApport,MATCH($AD$3,'Jan 2022 Apport'!$3:$3,0),FALSE)</f>
        <v>102327</v>
      </c>
      <c r="AE305" s="77">
        <f>VLOOKUP(A305,JanApport,MATCH($AE$4,'Jan 2022 Apport'!$3:$3,0),FALSE)</f>
        <v>48483</v>
      </c>
      <c r="AF305" s="77">
        <f>VLOOKUP(A305,JanApport,MATCH($AF$4,'Jan 2022 Apport'!$3:$3,0),FALSE)*VLOOKUP(A305,JanApport,MATCH($AF$3,'Jan 2022 Apport'!$3:$3,0),FALSE)</f>
        <v>49453</v>
      </c>
      <c r="AG305" s="77">
        <f t="shared" si="39"/>
        <v>96432.259900000005</v>
      </c>
      <c r="AH305" s="77">
        <f t="shared" si="40"/>
        <v>137400.94330000001</v>
      </c>
      <c r="AI305" s="77">
        <f t="shared" si="41"/>
        <v>77281.189732599989</v>
      </c>
      <c r="AJ305" s="3">
        <f>VLOOKUP(A305,JanApport,MATCH($AJ$4,'Jan 2022 Apport'!$3:$3,0),FALSE)</f>
        <v>404118.12</v>
      </c>
      <c r="AK305" s="3">
        <f>VLOOKUP(A305,JanApport,MATCH($AK$4,'Jan 2022 Apport'!$3:$3,0),FALSE)</f>
        <v>4.8369999999999997</v>
      </c>
      <c r="AL305" s="117">
        <f t="shared" si="42"/>
        <v>3371147.59</v>
      </c>
      <c r="AM305" s="117">
        <f>VLOOKUP(A305,JanApport,MATCH($AM$4,'Jan 2022 Apport'!$3:$3,0),FALSE)</f>
        <v>76408.97</v>
      </c>
      <c r="AN305" s="117">
        <f>VLOOKUP(A305,JanApport,MATCH($AN$4,'Jan 2022 Apport'!$3:$3,0),FALSE)</f>
        <v>25743.32</v>
      </c>
    </row>
    <row r="306" spans="1:40">
      <c r="A306" s="2" t="s">
        <v>487</v>
      </c>
      <c r="B306" s="2" t="s">
        <v>488</v>
      </c>
      <c r="C306" s="2" t="s">
        <v>1267</v>
      </c>
      <c r="D306" s="118">
        <f>VLOOKUP(A306,JanApport,MATCH($D$4,'Jan 2022 Apport'!$3:$3,FALSE),FALSE)</f>
        <v>4124478.81</v>
      </c>
      <c r="E306" s="30">
        <f>VLOOKUP(A306,JanApport,MATCH($E$2,'Jan 2022 Apport'!$3:$3,0),FALSE)+VLOOKUP(A306,JanApport,MATCH($E$3,'Jan 2022 Apport'!$3:$3,0),FALSE)+VLOOKUP(A306,JanApport,MATCH($E$4,'Jan 2022 Apport'!$3:$3,0),FALSE)</f>
        <v>58865.42</v>
      </c>
      <c r="F306" s="118">
        <f t="shared" si="43"/>
        <v>4065613.39</v>
      </c>
      <c r="G306" s="117">
        <f>VLOOKUP(A306,JanApport,MATCH($G$4,'Jan 2022 Apport'!$3:$3,0),FALSE)</f>
        <v>42072.19</v>
      </c>
      <c r="H306" s="117">
        <f>VLOOKUP(A306,JanApport,MATCH($H$3,'Jan 2022 Apport'!$3:$3,0),FALSE)+VLOOKUP(A306,JanApport,MATCH($H$2,'Jan 2022 Apport'!$3:$3,0),FALSE)+VLOOKUP(A306,JanApport,MATCH($H$4,'Jan 2022 Apport'!$3:$3,0),FALSE)</f>
        <v>455762.93999999994</v>
      </c>
      <c r="I306" s="117">
        <f t="shared" si="44"/>
        <v>497835.12999999995</v>
      </c>
      <c r="J306" s="117">
        <f>VLOOKUP(A306,JanApport,MATCH($J$4,'Jan 2022 Apport'!$3:$3,0),FALSE)</f>
        <v>279434.31</v>
      </c>
      <c r="K306" s="117">
        <f>VLOOKUP(A306,JanApport,MATCH($K$4,'Jan 2022 Apport'!$3:$3,0),FALSE)</f>
        <v>81363.94</v>
      </c>
      <c r="L306" s="117">
        <f t="shared" si="45"/>
        <v>360798.25</v>
      </c>
      <c r="M306" s="117">
        <f>VLOOKUP(A306,JanApport,MATCH($M$4,'Jan 2022 Apport'!$3:$3,0),FALSE)</f>
        <v>229422.58</v>
      </c>
      <c r="N306" s="117">
        <f>VLOOKUP(A306,JanApport,MATCH($N$4,'Jan 2022 Apport'!$3:$3,0),FALSE)</f>
        <v>0</v>
      </c>
      <c r="O306" s="117">
        <f>VLOOKUP(A306,JanApport,MATCH($O$4,'Jan 2022 Apport'!$3:$3,0),FALSE)</f>
        <v>10957.49</v>
      </c>
      <c r="P306" s="121">
        <f>IFERROR((VLOOKUP(A306,ExcessLevy!A:G,3,FALSE)*0.28),0)+IFERROR((VLOOKUP(A306,ExcessLevy!A:G,6,FALSE)*0.72),0)</f>
        <v>486664.47400000005</v>
      </c>
      <c r="Q306" s="121">
        <f>IFERROR((VLOOKUP(A306,ExcessLevy!A:G,4,FALSE)*0.4738),0)+IFERROR((VLOOKUP(A306,ExcessLevy!A:G,7,FALSE)*0.5262),0)</f>
        <v>50000</v>
      </c>
      <c r="R306">
        <f>VLOOKUP(A306,JanApport,MATCH($R$4,'Jan 2022 Apport'!$3:$3,0),FALSE)</f>
        <v>0</v>
      </c>
      <c r="S306">
        <f>VLOOKUP(A306,JanApport,MATCH($S$4,'Jan 2022 Apport'!$3:$3,0),FALSE)</f>
        <v>0</v>
      </c>
      <c r="T306">
        <f>VLOOKUP(A306,JanApport,MATCH($T$4,'Jan 2022 Apport'!$3:$3,0),FALSE)</f>
        <v>6.6</v>
      </c>
      <c r="U306" s="132">
        <f>IFERROR(VLOOKUP(A306,JanApport,MATCH($U$4,'Jan 2022 Apport'!$3:$3,0),FALSE)/R306,0)</f>
        <v>0</v>
      </c>
      <c r="V306" s="30">
        <f>IFERROR(((VLOOKUP(A306,JanApport,MATCH($V$4,'Jan 2022 Apport'!$3:$3,0),FALSE)+VLOOKUP(A306,JanApport,MATCH($V$3,'Jan 2022 Apport'!$3:$3,0),FALSE))/(S306+T306)),0)</f>
        <v>8919.0030303030308</v>
      </c>
      <c r="W306" s="30">
        <f t="shared" si="38"/>
        <v>8083.6246967786601</v>
      </c>
      <c r="X306">
        <f>VLOOKUP(A306,JanApport,MATCH($X$4,'Jan 2022 Apport'!$3:$3,0),FALSE)</f>
        <v>4.8578999999999997E-2</v>
      </c>
      <c r="Y306">
        <f>VLOOKUP(A306,JanApport,MATCH($Y$4,'Jan 2022 Apport'!$3:$3,0),FALSE)</f>
        <v>4.0270000000000002E-3</v>
      </c>
      <c r="Z306">
        <f>VLOOKUP(A306,JanApport,MATCH($Z$4,'Jan 2022 Apport'!$3:$3,0),FALSE)</f>
        <v>1.7100000000000001E-2</v>
      </c>
      <c r="AA306" s="77">
        <f>VLOOKUP(A306,JanApport,MATCH($AA$4,'Jan 2022 Apport'!$3:$3,0),FALSE)*VLOOKUP(A306,JanApport,MATCH($AA$3,'Jan 2022 Apport'!$3:$3,0),FALSE)</f>
        <v>67585</v>
      </c>
      <c r="AB306" s="77">
        <f>VLOOKUP(A306,JanApport,MATCH($AB$4,'Jan 2022 Apport'!$3:$3,0),FALSE)*VLOOKUP(A306,JanApport,MATCH($AB$3,'Jan 2022 Apport'!$3:$3,0),FALSE)</f>
        <v>68937</v>
      </c>
      <c r="AC306" s="77">
        <f>VLOOKUP(A306,JanApport,MATCH($AC$4,'Jan 2022 Apport'!$3:$3,0),FALSE)</f>
        <v>100321</v>
      </c>
      <c r="AD306" s="77">
        <f>VLOOKUP(A306,JanApport,MATCH($AD$4,'Jan 2022 Apport'!$3:$3,0),FALSE)*VLOOKUP(A306,JanApport,MATCH($AD$3,'Jan 2022 Apport'!$3:$3,0),FALSE)</f>
        <v>102327</v>
      </c>
      <c r="AE306" s="77">
        <f>VLOOKUP(A306,JanApport,MATCH($AE$4,'Jan 2022 Apport'!$3:$3,0),FALSE)</f>
        <v>48483</v>
      </c>
      <c r="AF306" s="77">
        <f>VLOOKUP(A306,JanApport,MATCH($AF$4,'Jan 2022 Apport'!$3:$3,0),FALSE)*VLOOKUP(A306,JanApport,MATCH($AF$3,'Jan 2022 Apport'!$3:$3,0),FALSE)</f>
        <v>49453</v>
      </c>
      <c r="AG306" s="77">
        <f t="shared" si="39"/>
        <v>96432.259900000005</v>
      </c>
      <c r="AH306" s="77">
        <f t="shared" si="40"/>
        <v>137400.94330000001</v>
      </c>
      <c r="AI306" s="77">
        <f t="shared" si="41"/>
        <v>77281.189732599989</v>
      </c>
      <c r="AJ306" s="3">
        <f>VLOOKUP(A306,JanApport,MATCH($AJ$4,'Jan 2022 Apport'!$3:$3,0),FALSE)</f>
        <v>563651.31999999995</v>
      </c>
      <c r="AK306" s="3">
        <f>VLOOKUP(A306,JanApport,MATCH($AK$4,'Jan 2022 Apport'!$3:$3,0),FALSE)</f>
        <v>7.4059999999999997</v>
      </c>
      <c r="AL306" s="117">
        <f t="shared" si="42"/>
        <v>5255029.66</v>
      </c>
      <c r="AM306" s="117">
        <f>VLOOKUP(A306,JanApport,MATCH($AM$4,'Jan 2022 Apport'!$3:$3,0),FALSE)</f>
        <v>112901.34</v>
      </c>
      <c r="AN306" s="117">
        <f>VLOOKUP(A306,JanApport,MATCH($AN$4,'Jan 2022 Apport'!$3:$3,0),FALSE)</f>
        <v>34589.019999999997</v>
      </c>
    </row>
    <row r="307" spans="1:40">
      <c r="A307" s="2" t="s">
        <v>41</v>
      </c>
      <c r="B307" s="2" t="s">
        <v>42</v>
      </c>
      <c r="C307" s="2" t="s">
        <v>1267</v>
      </c>
      <c r="D307" s="118">
        <f>VLOOKUP(A307,JanApport,MATCH($D$4,'Jan 2022 Apport'!$3:$3,FALSE),FALSE)</f>
        <v>65803094.020000003</v>
      </c>
      <c r="E307" s="30">
        <f>VLOOKUP(A307,JanApport,MATCH($E$2,'Jan 2022 Apport'!$3:$3,0),FALSE)+VLOOKUP(A307,JanApport,MATCH($E$3,'Jan 2022 Apport'!$3:$3,0),FALSE)+VLOOKUP(A307,JanApport,MATCH($E$4,'Jan 2022 Apport'!$3:$3,0),FALSE)</f>
        <v>8508135.540000001</v>
      </c>
      <c r="F307" s="118">
        <f t="shared" si="43"/>
        <v>57294958.480000004</v>
      </c>
      <c r="G307" s="117">
        <f>VLOOKUP(A307,JanApport,MATCH($G$4,'Jan 2022 Apport'!$3:$3,0),FALSE)</f>
        <v>808491.54</v>
      </c>
      <c r="H307" s="117">
        <f>VLOOKUP(A307,JanApport,MATCH($H$3,'Jan 2022 Apport'!$3:$3,0),FALSE)+VLOOKUP(A307,JanApport,MATCH($H$2,'Jan 2022 Apport'!$3:$3,0),FALSE)+VLOOKUP(A307,JanApport,MATCH($H$4,'Jan 2022 Apport'!$3:$3,0),FALSE)</f>
        <v>8371429.4899999993</v>
      </c>
      <c r="I307" s="117">
        <f t="shared" si="44"/>
        <v>9179921.0299999993</v>
      </c>
      <c r="J307" s="117">
        <f>VLOOKUP(A307,JanApport,MATCH($J$4,'Jan 2022 Apport'!$3:$3,0),FALSE)</f>
        <v>2282438.91</v>
      </c>
      <c r="K307" s="117">
        <f>VLOOKUP(A307,JanApport,MATCH($K$4,'Jan 2022 Apport'!$3:$3,0),FALSE)</f>
        <v>263543.52</v>
      </c>
      <c r="L307" s="117">
        <f t="shared" si="45"/>
        <v>2545982.4300000002</v>
      </c>
      <c r="M307" s="117">
        <f>VLOOKUP(A307,JanApport,MATCH($M$4,'Jan 2022 Apport'!$3:$3,0),FALSE)</f>
        <v>2770660.7</v>
      </c>
      <c r="N307" s="117">
        <f>VLOOKUP(A307,JanApport,MATCH($N$4,'Jan 2022 Apport'!$3:$3,0),FALSE)</f>
        <v>2627965.2999999998</v>
      </c>
      <c r="O307" s="117">
        <f>VLOOKUP(A307,JanApport,MATCH($O$4,'Jan 2022 Apport'!$3:$3,0),FALSE)</f>
        <v>0</v>
      </c>
      <c r="P307" s="121">
        <f>IFERROR((VLOOKUP(A307,ExcessLevy!A:G,3,FALSE)*0.28),0)+IFERROR((VLOOKUP(A307,ExcessLevy!A:G,6,FALSE)*0.72),0)</f>
        <v>3378621.3868</v>
      </c>
      <c r="Q307" s="121">
        <f>IFERROR((VLOOKUP(A307,ExcessLevy!A:G,4,FALSE)*0.4738),0)+IFERROR((VLOOKUP(A307,ExcessLevy!A:G,7,FALSE)*0.5262),0)</f>
        <v>11792404.696070001</v>
      </c>
      <c r="R307">
        <f>VLOOKUP(A307,JanApport,MATCH($R$4,'Jan 2022 Apport'!$3:$3,0),FALSE)</f>
        <v>198.04</v>
      </c>
      <c r="S307">
        <f>VLOOKUP(A307,JanApport,MATCH($S$4,'Jan 2022 Apport'!$3:$3,0),FALSE)</f>
        <v>166.8</v>
      </c>
      <c r="T307">
        <f>VLOOKUP(A307,JanApport,MATCH($T$4,'Jan 2022 Apport'!$3:$3,0),FALSE)</f>
        <v>535.94000000000005</v>
      </c>
      <c r="U307" s="132">
        <f>IFERROR(VLOOKUP(A307,JanApport,MATCH($U$4,'Jan 2022 Apport'!$3:$3,0),FALSE)/R307,0)</f>
        <v>10413.319329428399</v>
      </c>
      <c r="V307" s="30">
        <f>IFERROR(((VLOOKUP(A307,JanApport,MATCH($V$4,'Jan 2022 Apport'!$3:$3,0),FALSE)+VLOOKUP(A307,JanApport,MATCH($V$3,'Jan 2022 Apport'!$3:$3,0),FALSE))/(S307+T307)),0)</f>
        <v>9172.498761988787</v>
      </c>
      <c r="W307" s="30">
        <f t="shared" si="38"/>
        <v>8084.4651989777003</v>
      </c>
      <c r="X307">
        <f>VLOOKUP(A307,JanApport,MATCH($X$4,'Jan 2022 Apport'!$3:$3,0),FALSE)</f>
        <v>4.8578999999999997E-2</v>
      </c>
      <c r="Y307">
        <f>VLOOKUP(A307,JanApport,MATCH($Y$4,'Jan 2022 Apport'!$3:$3,0),FALSE)</f>
        <v>4.0270000000000002E-3</v>
      </c>
      <c r="Z307">
        <f>VLOOKUP(A307,JanApport,MATCH($Z$4,'Jan 2022 Apport'!$3:$3,0),FALSE)</f>
        <v>1.7100000000000001E-2</v>
      </c>
      <c r="AA307" s="77">
        <f>VLOOKUP(A307,JanApport,MATCH($AA$4,'Jan 2022 Apport'!$3:$3,0),FALSE)*VLOOKUP(A307,JanApport,MATCH($AA$3,'Jan 2022 Apport'!$3:$3,0),FALSE)</f>
        <v>70288.400000000009</v>
      </c>
      <c r="AB307" s="77">
        <f>VLOOKUP(A307,JanApport,MATCH($AB$4,'Jan 2022 Apport'!$3:$3,0),FALSE)*VLOOKUP(A307,JanApport,MATCH($AB$3,'Jan 2022 Apport'!$3:$3,0),FALSE)</f>
        <v>68937</v>
      </c>
      <c r="AC307" s="77">
        <f>VLOOKUP(A307,JanApport,MATCH($AC$4,'Jan 2022 Apport'!$3:$3,0),FALSE)</f>
        <v>100321</v>
      </c>
      <c r="AD307" s="77">
        <f>VLOOKUP(A307,JanApport,MATCH($AD$4,'Jan 2022 Apport'!$3:$3,0),FALSE)*VLOOKUP(A307,JanApport,MATCH($AD$3,'Jan 2022 Apport'!$3:$3,0),FALSE)</f>
        <v>102327</v>
      </c>
      <c r="AE307" s="77">
        <f>VLOOKUP(A307,JanApport,MATCH($AE$4,'Jan 2022 Apport'!$3:$3,0),FALSE)</f>
        <v>48483</v>
      </c>
      <c r="AF307" s="77">
        <f>VLOOKUP(A307,JanApport,MATCH($AF$4,'Jan 2022 Apport'!$3:$3,0),FALSE)*VLOOKUP(A307,JanApport,MATCH($AF$3,'Jan 2022 Apport'!$3:$3,0),FALSE)</f>
        <v>49453</v>
      </c>
      <c r="AG307" s="77">
        <f t="shared" si="39"/>
        <v>96449.561660000007</v>
      </c>
      <c r="AH307" s="77">
        <f t="shared" si="40"/>
        <v>137400.94330000001</v>
      </c>
      <c r="AI307" s="77">
        <f t="shared" si="41"/>
        <v>77281.189732599989</v>
      </c>
      <c r="AJ307" s="3">
        <f>VLOOKUP(A307,JanApport,MATCH($AJ$4,'Jan 2022 Apport'!$3:$3,0),FALSE)</f>
        <v>7959439.4100000001</v>
      </c>
      <c r="AK307" s="3">
        <f>VLOOKUP(A307,JanApport,MATCH($AK$4,'Jan 2022 Apport'!$3:$3,0),FALSE)</f>
        <v>125</v>
      </c>
      <c r="AL307" s="117">
        <f t="shared" si="42"/>
        <v>84387362.440000013</v>
      </c>
      <c r="AM307" s="117">
        <f>VLOOKUP(A307,JanApport,MATCH($AM$4,'Jan 2022 Apport'!$3:$3,0),FALSE)</f>
        <v>1723282.48</v>
      </c>
      <c r="AN307" s="117">
        <f>VLOOKUP(A307,JanApport,MATCH($AN$4,'Jan 2022 Apport'!$3:$3,0),FALSE)</f>
        <v>453923.85</v>
      </c>
    </row>
    <row r="308" spans="1:40">
      <c r="A308" s="2" t="s">
        <v>473</v>
      </c>
      <c r="B308" s="2" t="s">
        <v>474</v>
      </c>
      <c r="C308" s="2" t="s">
        <v>1267</v>
      </c>
      <c r="D308" s="118">
        <f>VLOOKUP(A308,JanApport,MATCH($D$4,'Jan 2022 Apport'!$3:$3,FALSE),FALSE)</f>
        <v>29923579.73</v>
      </c>
      <c r="E308" s="30">
        <f>VLOOKUP(A308,JanApport,MATCH($E$2,'Jan 2022 Apport'!$3:$3,0),FALSE)+VLOOKUP(A308,JanApport,MATCH($E$3,'Jan 2022 Apport'!$3:$3,0),FALSE)+VLOOKUP(A308,JanApport,MATCH($E$4,'Jan 2022 Apport'!$3:$3,0),FALSE)</f>
        <v>2564193.5100000002</v>
      </c>
      <c r="F308" s="118">
        <f t="shared" si="43"/>
        <v>27359386.219999999</v>
      </c>
      <c r="G308" s="117">
        <f>VLOOKUP(A308,JanApport,MATCH($G$4,'Jan 2022 Apport'!$3:$3,0),FALSE)</f>
        <v>351610.13</v>
      </c>
      <c r="H308" s="117">
        <f>VLOOKUP(A308,JanApport,MATCH($H$3,'Jan 2022 Apport'!$3:$3,0),FALSE)+VLOOKUP(A308,JanApport,MATCH($H$2,'Jan 2022 Apport'!$3:$3,0),FALSE)+VLOOKUP(A308,JanApport,MATCH($H$4,'Jan 2022 Apport'!$3:$3,0),FALSE)</f>
        <v>3397098.8099999996</v>
      </c>
      <c r="I308" s="117">
        <f t="shared" si="44"/>
        <v>3748708.9399999995</v>
      </c>
      <c r="J308" s="117">
        <f>VLOOKUP(A308,JanApport,MATCH($J$4,'Jan 2022 Apport'!$3:$3,0),FALSE)</f>
        <v>1632214.6</v>
      </c>
      <c r="K308" s="117">
        <f>VLOOKUP(A308,JanApport,MATCH($K$4,'Jan 2022 Apport'!$3:$3,0),FALSE)</f>
        <v>342134.96</v>
      </c>
      <c r="L308" s="117">
        <f t="shared" si="45"/>
        <v>1974349.56</v>
      </c>
      <c r="M308" s="117">
        <f>VLOOKUP(A308,JanApport,MATCH($M$4,'Jan 2022 Apport'!$3:$3,0),FALSE)</f>
        <v>1097412.77</v>
      </c>
      <c r="N308" s="117">
        <f>VLOOKUP(A308,JanApport,MATCH($N$4,'Jan 2022 Apport'!$3:$3,0),FALSE)</f>
        <v>160155.54</v>
      </c>
      <c r="O308" s="117">
        <f>VLOOKUP(A308,JanApport,MATCH($O$4,'Jan 2022 Apport'!$3:$3,0),FALSE)</f>
        <v>96073.75</v>
      </c>
      <c r="P308" s="121">
        <f>IFERROR((VLOOKUP(A308,ExcessLevy!A:G,3,FALSE)*0.28),0)+IFERROR((VLOOKUP(A308,ExcessLevy!A:G,6,FALSE)*0.72),0)</f>
        <v>1456187.9524000001</v>
      </c>
      <c r="Q308" s="121">
        <f>IFERROR((VLOOKUP(A308,ExcessLevy!A:G,4,FALSE)*0.4738),0)+IFERROR((VLOOKUP(A308,ExcessLevy!A:G,7,FALSE)*0.5262),0)</f>
        <v>7279124.2873999998</v>
      </c>
      <c r="R308">
        <f>VLOOKUP(A308,JanApport,MATCH($R$4,'Jan 2022 Apport'!$3:$3,0),FALSE)</f>
        <v>0</v>
      </c>
      <c r="S308">
        <f>VLOOKUP(A308,JanApport,MATCH($S$4,'Jan 2022 Apport'!$3:$3,0),FALSE)</f>
        <v>82.08</v>
      </c>
      <c r="T308">
        <f>VLOOKUP(A308,JanApport,MATCH($T$4,'Jan 2022 Apport'!$3:$3,0),FALSE)</f>
        <v>205.38</v>
      </c>
      <c r="U308" s="132">
        <f>IFERROR(VLOOKUP(A308,JanApport,MATCH($U$4,'Jan 2022 Apport'!$3:$3,0),FALSE)/R308,0)</f>
        <v>0</v>
      </c>
      <c r="V308" s="30">
        <f>IFERROR(((VLOOKUP(A308,JanApport,MATCH($V$4,'Jan 2022 Apport'!$3:$3,0),FALSE)+VLOOKUP(A308,JanApport,MATCH($V$3,'Jan 2022 Apport'!$3:$3,0),FALSE))/(S308+T308)),0)</f>
        <v>8920.175015654353</v>
      </c>
      <c r="W308" s="30">
        <f t="shared" si="38"/>
        <v>8083.6246967786601</v>
      </c>
      <c r="X308">
        <f>VLOOKUP(A308,JanApport,MATCH($X$4,'Jan 2022 Apport'!$3:$3,0),FALSE)</f>
        <v>4.8578999999999997E-2</v>
      </c>
      <c r="Y308">
        <f>VLOOKUP(A308,JanApport,MATCH($Y$4,'Jan 2022 Apport'!$3:$3,0),FALSE)</f>
        <v>4.0270000000000002E-3</v>
      </c>
      <c r="Z308">
        <f>VLOOKUP(A308,JanApport,MATCH($Z$4,'Jan 2022 Apport'!$3:$3,0),FALSE)</f>
        <v>1.7100000000000001E-2</v>
      </c>
      <c r="AA308" s="77">
        <f>VLOOKUP(A308,JanApport,MATCH($AA$4,'Jan 2022 Apport'!$3:$3,0),FALSE)*VLOOKUP(A308,JanApport,MATCH($AA$3,'Jan 2022 Apport'!$3:$3,0),FALSE)</f>
        <v>67585</v>
      </c>
      <c r="AB308" s="77">
        <f>VLOOKUP(A308,JanApport,MATCH($AB$4,'Jan 2022 Apport'!$3:$3,0),FALSE)*VLOOKUP(A308,JanApport,MATCH($AB$3,'Jan 2022 Apport'!$3:$3,0),FALSE)</f>
        <v>68937</v>
      </c>
      <c r="AC308" s="77">
        <f>VLOOKUP(A308,JanApport,MATCH($AC$4,'Jan 2022 Apport'!$3:$3,0),FALSE)</f>
        <v>100321</v>
      </c>
      <c r="AD308" s="77">
        <f>VLOOKUP(A308,JanApport,MATCH($AD$4,'Jan 2022 Apport'!$3:$3,0),FALSE)*VLOOKUP(A308,JanApport,MATCH($AD$3,'Jan 2022 Apport'!$3:$3,0),FALSE)</f>
        <v>102327</v>
      </c>
      <c r="AE308" s="77">
        <f>VLOOKUP(A308,JanApport,MATCH($AE$4,'Jan 2022 Apport'!$3:$3,0),FALSE)</f>
        <v>48483</v>
      </c>
      <c r="AF308" s="77">
        <f>VLOOKUP(A308,JanApport,MATCH($AF$4,'Jan 2022 Apport'!$3:$3,0),FALSE)*VLOOKUP(A308,JanApport,MATCH($AF$3,'Jan 2022 Apport'!$3:$3,0),FALSE)</f>
        <v>49453</v>
      </c>
      <c r="AG308" s="77">
        <f t="shared" si="39"/>
        <v>96432.259900000005</v>
      </c>
      <c r="AH308" s="77">
        <f t="shared" si="40"/>
        <v>137400.94330000001</v>
      </c>
      <c r="AI308" s="77">
        <f t="shared" si="41"/>
        <v>77281.189732599989</v>
      </c>
      <c r="AJ308" s="3">
        <f>VLOOKUP(A308,JanApport,MATCH($AJ$4,'Jan 2022 Apport'!$3:$3,0),FALSE)</f>
        <v>3279636.39</v>
      </c>
      <c r="AK308" s="3">
        <f>VLOOKUP(A308,JanApport,MATCH($AK$4,'Jan 2022 Apport'!$3:$3,0),FALSE)</f>
        <v>53.408999999999999</v>
      </c>
      <c r="AL308" s="117">
        <f t="shared" si="42"/>
        <v>37179702.560000002</v>
      </c>
      <c r="AM308" s="117">
        <f>VLOOKUP(A308,JanApport,MATCH($AM$4,'Jan 2022 Apport'!$3:$3,0),FALSE)</f>
        <v>521557.23</v>
      </c>
      <c r="AN308" s="117">
        <f>VLOOKUP(A308,JanApport,MATCH($AN$4,'Jan 2022 Apport'!$3:$3,0),FALSE)</f>
        <v>181034.9</v>
      </c>
    </row>
    <row r="309" spans="1:40">
      <c r="A309" s="2" t="s">
        <v>607</v>
      </c>
      <c r="B309" s="2" t="s">
        <v>608</v>
      </c>
      <c r="C309" s="2" t="s">
        <v>1267</v>
      </c>
      <c r="D309" s="118">
        <f>VLOOKUP(A309,JanApport,MATCH($D$4,'Jan 2022 Apport'!$3:$3,FALSE),FALSE)</f>
        <v>47136074.68</v>
      </c>
      <c r="E309" s="30">
        <f>VLOOKUP(A309,JanApport,MATCH($E$2,'Jan 2022 Apport'!$3:$3,0),FALSE)+VLOOKUP(A309,JanApport,MATCH($E$3,'Jan 2022 Apport'!$3:$3,0),FALSE)+VLOOKUP(A309,JanApport,MATCH($E$4,'Jan 2022 Apport'!$3:$3,0),FALSE)</f>
        <v>5428962.5</v>
      </c>
      <c r="F309" s="118">
        <f t="shared" si="43"/>
        <v>41707112.18</v>
      </c>
      <c r="G309" s="117">
        <f>VLOOKUP(A309,JanApport,MATCH($G$4,'Jan 2022 Apport'!$3:$3,0),FALSE)</f>
        <v>599404.37</v>
      </c>
      <c r="H309" s="117">
        <f>VLOOKUP(A309,JanApport,MATCH($H$3,'Jan 2022 Apport'!$3:$3,0),FALSE)+VLOOKUP(A309,JanApport,MATCH($H$2,'Jan 2022 Apport'!$3:$3,0),FALSE)+VLOOKUP(A309,JanApport,MATCH($H$4,'Jan 2022 Apport'!$3:$3,0),FALSE)</f>
        <v>6311127.5099999998</v>
      </c>
      <c r="I309" s="117">
        <f t="shared" si="44"/>
        <v>6910531.8799999999</v>
      </c>
      <c r="J309" s="117">
        <f>VLOOKUP(A309,JanApport,MATCH($J$4,'Jan 2022 Apport'!$3:$3,0),FALSE)</f>
        <v>2267940.2799999998</v>
      </c>
      <c r="K309" s="117">
        <f>VLOOKUP(A309,JanApport,MATCH($K$4,'Jan 2022 Apport'!$3:$3,0),FALSE)</f>
        <v>363341.42</v>
      </c>
      <c r="L309" s="117">
        <f t="shared" si="45"/>
        <v>2631281.6999999997</v>
      </c>
      <c r="M309" s="117">
        <f>VLOOKUP(A309,JanApport,MATCH($M$4,'Jan 2022 Apport'!$3:$3,0),FALSE)</f>
        <v>1522354.4</v>
      </c>
      <c r="N309" s="117">
        <f>VLOOKUP(A309,JanApport,MATCH($N$4,'Jan 2022 Apport'!$3:$3,0),FALSE)</f>
        <v>672157.13</v>
      </c>
      <c r="O309" s="117">
        <f>VLOOKUP(A309,JanApport,MATCH($O$4,'Jan 2022 Apport'!$3:$3,0),FALSE)</f>
        <v>152316.46</v>
      </c>
      <c r="P309" s="121">
        <f>IFERROR((VLOOKUP(A309,ExcessLevy!A:G,3,FALSE)*0.28),0)+IFERROR((VLOOKUP(A309,ExcessLevy!A:G,6,FALSE)*0.72),0)</f>
        <v>2558644.6424000002</v>
      </c>
      <c r="Q309" s="121">
        <f>IFERROR((VLOOKUP(A309,ExcessLevy!A:G,4,FALSE)*0.4738),0)+IFERROR((VLOOKUP(A309,ExcessLevy!A:G,7,FALSE)*0.5262),0)</f>
        <v>5965626</v>
      </c>
      <c r="R309">
        <f>VLOOKUP(A309,JanApport,MATCH($R$4,'Jan 2022 Apport'!$3:$3,0),FALSE)</f>
        <v>0</v>
      </c>
      <c r="S309">
        <f>VLOOKUP(A309,JanApport,MATCH($S$4,'Jan 2022 Apport'!$3:$3,0),FALSE)</f>
        <v>281.89999999999998</v>
      </c>
      <c r="T309">
        <f>VLOOKUP(A309,JanApport,MATCH($T$4,'Jan 2022 Apport'!$3:$3,0),FALSE)</f>
        <v>310.18</v>
      </c>
      <c r="U309" s="132">
        <f>IFERROR(VLOOKUP(A309,JanApport,MATCH($U$4,'Jan 2022 Apport'!$3:$3,0),FALSE)/R309,0)</f>
        <v>0</v>
      </c>
      <c r="V309" s="30">
        <f>IFERROR(((VLOOKUP(A309,JanApport,MATCH($V$4,'Jan 2022 Apport'!$3:$3,0),FALSE)+VLOOKUP(A309,JanApport,MATCH($V$3,'Jan 2022 Apport'!$3:$3,0),FALSE))/(S309+T309)),0)</f>
        <v>9169.3056681529542</v>
      </c>
      <c r="W309" s="30">
        <f t="shared" si="38"/>
        <v>8084.4651989777003</v>
      </c>
      <c r="X309">
        <f>VLOOKUP(A309,JanApport,MATCH($X$4,'Jan 2022 Apport'!$3:$3,0),FALSE)</f>
        <v>4.8578999999999997E-2</v>
      </c>
      <c r="Y309">
        <f>VLOOKUP(A309,JanApport,MATCH($Y$4,'Jan 2022 Apport'!$3:$3,0),FALSE)</f>
        <v>4.0270000000000002E-3</v>
      </c>
      <c r="Z309">
        <f>VLOOKUP(A309,JanApport,MATCH($Z$4,'Jan 2022 Apport'!$3:$3,0),FALSE)</f>
        <v>1.7100000000000001E-2</v>
      </c>
      <c r="AA309" s="77">
        <f>VLOOKUP(A309,JanApport,MATCH($AA$4,'Jan 2022 Apport'!$3:$3,0),FALSE)*VLOOKUP(A309,JanApport,MATCH($AA$3,'Jan 2022 Apport'!$3:$3,0),FALSE)</f>
        <v>70288.400000000009</v>
      </c>
      <c r="AB309" s="77">
        <f>VLOOKUP(A309,JanApport,MATCH($AB$4,'Jan 2022 Apport'!$3:$3,0),FALSE)*VLOOKUP(A309,JanApport,MATCH($AB$3,'Jan 2022 Apport'!$3:$3,0),FALSE)</f>
        <v>68937</v>
      </c>
      <c r="AC309" s="77">
        <f>VLOOKUP(A309,JanApport,MATCH($AC$4,'Jan 2022 Apport'!$3:$3,0),FALSE)</f>
        <v>100321</v>
      </c>
      <c r="AD309" s="77">
        <f>VLOOKUP(A309,JanApport,MATCH($AD$4,'Jan 2022 Apport'!$3:$3,0),FALSE)*VLOOKUP(A309,JanApport,MATCH($AD$3,'Jan 2022 Apport'!$3:$3,0),FALSE)</f>
        <v>102327</v>
      </c>
      <c r="AE309" s="77">
        <f>VLOOKUP(A309,JanApport,MATCH($AE$4,'Jan 2022 Apport'!$3:$3,0),FALSE)</f>
        <v>48483</v>
      </c>
      <c r="AF309" s="77">
        <f>VLOOKUP(A309,JanApport,MATCH($AF$4,'Jan 2022 Apport'!$3:$3,0),FALSE)*VLOOKUP(A309,JanApport,MATCH($AF$3,'Jan 2022 Apport'!$3:$3,0),FALSE)</f>
        <v>49453</v>
      </c>
      <c r="AG309" s="77">
        <f t="shared" si="39"/>
        <v>96449.561660000007</v>
      </c>
      <c r="AH309" s="77">
        <f t="shared" si="40"/>
        <v>137400.94330000001</v>
      </c>
      <c r="AI309" s="77">
        <f t="shared" si="41"/>
        <v>77281.189732599989</v>
      </c>
      <c r="AJ309" s="3">
        <f>VLOOKUP(A309,JanApport,MATCH($AJ$4,'Jan 2022 Apport'!$3:$3,0),FALSE)</f>
        <v>6109804.5499999998</v>
      </c>
      <c r="AK309" s="3">
        <f>VLOOKUP(A309,JanApport,MATCH($AK$4,'Jan 2022 Apport'!$3:$3,0),FALSE)</f>
        <v>100.676</v>
      </c>
      <c r="AL309" s="117">
        <f t="shared" si="42"/>
        <v>58995984.920000009</v>
      </c>
      <c r="AM309" s="117">
        <f>VLOOKUP(A309,JanApport,MATCH($AM$4,'Jan 2022 Apport'!$3:$3,0),FALSE)</f>
        <v>334610.09000000003</v>
      </c>
      <c r="AN309" s="117">
        <f>VLOOKUP(A309,JanApport,MATCH($AN$4,'Jan 2022 Apport'!$3:$3,0),FALSE)</f>
        <v>352304.42</v>
      </c>
    </row>
    <row r="310" spans="1:40">
      <c r="A310" s="2" t="s">
        <v>1253</v>
      </c>
      <c r="B310" s="2" t="s">
        <v>1254</v>
      </c>
      <c r="C310" s="2" t="s">
        <v>1267</v>
      </c>
      <c r="D310" s="118">
        <f>VLOOKUP(A310,JanApport,MATCH($D$4,'Jan 2022 Apport'!$3:$3,FALSE),FALSE)</f>
        <v>1465380.08</v>
      </c>
      <c r="E310" s="30">
        <f>VLOOKUP(A310,JanApport,MATCH($E$2,'Jan 2022 Apport'!$3:$3,0),FALSE)+VLOOKUP(A310,JanApport,MATCH($E$3,'Jan 2022 Apport'!$3:$3,0),FALSE)+VLOOKUP(A310,JanApport,MATCH($E$4,'Jan 2022 Apport'!$3:$3,0),FALSE)</f>
        <v>0</v>
      </c>
      <c r="F310" s="118">
        <f t="shared" si="43"/>
        <v>1465380.08</v>
      </c>
      <c r="G310" s="117">
        <f>VLOOKUP(A310,JanApport,MATCH($G$4,'Jan 2022 Apport'!$3:$3,0),FALSE)</f>
        <v>0</v>
      </c>
      <c r="H310" s="117">
        <f>VLOOKUP(A310,JanApport,MATCH($H$3,'Jan 2022 Apport'!$3:$3,0),FALSE)+VLOOKUP(A310,JanApport,MATCH($H$2,'Jan 2022 Apport'!$3:$3,0),FALSE)+VLOOKUP(A310,JanApport,MATCH($H$4,'Jan 2022 Apport'!$3:$3,0),FALSE)</f>
        <v>59357.1</v>
      </c>
      <c r="I310" s="117">
        <f t="shared" si="44"/>
        <v>59357.1</v>
      </c>
      <c r="J310" s="117">
        <f>VLOOKUP(A310,JanApport,MATCH($J$4,'Jan 2022 Apport'!$3:$3,0),FALSE)</f>
        <v>0</v>
      </c>
      <c r="K310" s="117">
        <f>VLOOKUP(A310,JanApport,MATCH($K$4,'Jan 2022 Apport'!$3:$3,0),FALSE)</f>
        <v>0</v>
      </c>
      <c r="L310" s="117">
        <f t="shared" si="45"/>
        <v>0</v>
      </c>
      <c r="M310" s="117">
        <f>VLOOKUP(A310,JanApport,MATCH($M$4,'Jan 2022 Apport'!$3:$3,0),FALSE)</f>
        <v>12984.89</v>
      </c>
      <c r="N310" s="117">
        <f>VLOOKUP(A310,JanApport,MATCH($N$4,'Jan 2022 Apport'!$3:$3,0),FALSE)</f>
        <v>0</v>
      </c>
      <c r="O310" s="117">
        <f>VLOOKUP(A310,JanApport,MATCH($O$4,'Jan 2022 Apport'!$3:$3,0),FALSE)</f>
        <v>0</v>
      </c>
      <c r="P310" s="121">
        <f>IFERROR((VLOOKUP(A310,ExcessLevy!A:G,3,FALSE)*0.28),0)+IFERROR((VLOOKUP(A310,ExcessLevy!A:G,6,FALSE)*0.72),0)</f>
        <v>0</v>
      </c>
      <c r="Q310" s="121">
        <f>IFERROR((VLOOKUP(A310,ExcessLevy!A:G,4,FALSE)*0.4738),0)+IFERROR((VLOOKUP(A310,ExcessLevy!A:G,7,FALSE)*0.5262),0)</f>
        <v>0</v>
      </c>
      <c r="R310">
        <f>VLOOKUP(A310,JanApport,MATCH($R$4,'Jan 2022 Apport'!$3:$3,0),FALSE)</f>
        <v>0</v>
      </c>
      <c r="S310">
        <f>VLOOKUP(A310,JanApport,MATCH($S$4,'Jan 2022 Apport'!$3:$3,0),FALSE)</f>
        <v>0</v>
      </c>
      <c r="T310">
        <f>VLOOKUP(A310,JanApport,MATCH($T$4,'Jan 2022 Apport'!$3:$3,0),FALSE)</f>
        <v>0</v>
      </c>
      <c r="U310" s="132">
        <f>IFERROR(VLOOKUP(A310,JanApport,MATCH($U$4,'Jan 2022 Apport'!$3:$3,0),FALSE)/R310,0)</f>
        <v>0</v>
      </c>
      <c r="V310" s="30">
        <f>IFERROR(((VLOOKUP(A310,JanApport,MATCH($V$4,'Jan 2022 Apport'!$3:$3,0),FALSE)+VLOOKUP(A310,JanApport,MATCH($V$3,'Jan 2022 Apport'!$3:$3,0),FALSE))/(S310+T310)),0)</f>
        <v>0</v>
      </c>
      <c r="W310" s="30">
        <f t="shared" si="38"/>
        <v>8757.6600414739241</v>
      </c>
      <c r="X310">
        <f>VLOOKUP(A310,JanApport,MATCH($X$4,'Jan 2022 Apport'!$3:$3,0),FALSE)</f>
        <v>4.8578999999999997E-2</v>
      </c>
      <c r="Y310">
        <f>VLOOKUP(A310,JanApport,MATCH($Y$4,'Jan 2022 Apport'!$3:$3,0),FALSE)</f>
        <v>4.0270000000000002E-3</v>
      </c>
      <c r="Z310">
        <f>VLOOKUP(A310,JanApport,MATCH($Z$4,'Jan 2022 Apport'!$3:$3,0),FALSE)</f>
        <v>1.7100000000000001E-2</v>
      </c>
      <c r="AA310" s="77">
        <f>VLOOKUP(A310,JanApport,MATCH($AA$4,'Jan 2022 Apport'!$3:$3,0),FALSE)*VLOOKUP(A310,JanApport,MATCH($AA$3,'Jan 2022 Apport'!$3:$3,0),FALSE)</f>
        <v>74343.5</v>
      </c>
      <c r="AB310" s="77">
        <f>VLOOKUP(A310,JanApport,MATCH($AB$4,'Jan 2022 Apport'!$3:$3,0),FALSE)*VLOOKUP(A310,JanApport,MATCH($AB$3,'Jan 2022 Apport'!$3:$3,0),FALSE)</f>
        <v>77209.440000000002</v>
      </c>
      <c r="AC310" s="77">
        <f>VLOOKUP(A310,JanApport,MATCH($AC$4,'Jan 2022 Apport'!$3:$3,0),FALSE)</f>
        <v>100321</v>
      </c>
      <c r="AD310" s="77">
        <f>VLOOKUP(A310,JanApport,MATCH($AD$4,'Jan 2022 Apport'!$3:$3,0),FALSE)*VLOOKUP(A310,JanApport,MATCH($AD$3,'Jan 2022 Apport'!$3:$3,0),FALSE)</f>
        <v>114606.24</v>
      </c>
      <c r="AE310" s="77">
        <f>VLOOKUP(A310,JanApport,MATCH($AE$4,'Jan 2022 Apport'!$3:$3,0),FALSE)</f>
        <v>48483</v>
      </c>
      <c r="AF310" s="77">
        <f>VLOOKUP(A310,JanApport,MATCH($AF$4,'Jan 2022 Apport'!$3:$3,0),FALSE)*VLOOKUP(A310,JanApport,MATCH($AF$3,'Jan 2022 Apport'!$3:$3,0),FALSE)</f>
        <v>55387.360000000008</v>
      </c>
      <c r="AG310" s="77">
        <f t="shared" si="39"/>
        <v>106573.68180800002</v>
      </c>
      <c r="AH310" s="77">
        <f t="shared" si="40"/>
        <v>152390.21156800003</v>
      </c>
      <c r="AI310" s="77">
        <f t="shared" si="41"/>
        <v>84357.998300512001</v>
      </c>
      <c r="AJ310" s="3">
        <f>VLOOKUP(A310,JanApport,MATCH($AJ$4,'Jan 2022 Apport'!$3:$3,0),FALSE)</f>
        <v>161308.32</v>
      </c>
      <c r="AK310" s="3">
        <f>VLOOKUP(A310,JanApport,MATCH($AK$4,'Jan 2022 Apport'!$3:$3,0),FALSE)</f>
        <v>0</v>
      </c>
      <c r="AL310" s="117">
        <f t="shared" si="42"/>
        <v>1537722.07</v>
      </c>
      <c r="AM310" s="117">
        <f>VLOOKUP(A310,JanApport,MATCH($AM$4,'Jan 2022 Apport'!$3:$3,0),FALSE)</f>
        <v>0</v>
      </c>
      <c r="AN310" s="117">
        <f>VLOOKUP(A310,JanApport,MATCH($AN$4,'Jan 2022 Apport'!$3:$3,0),FALSE)</f>
        <v>13886.52</v>
      </c>
    </row>
    <row r="311" spans="1:40">
      <c r="A311" s="2" t="s">
        <v>293</v>
      </c>
      <c r="B311" s="2" t="s">
        <v>294</v>
      </c>
      <c r="C311" s="2" t="s">
        <v>1267</v>
      </c>
      <c r="D311" s="118">
        <f>VLOOKUP(A311,JanApport,MATCH($D$4,'Jan 2022 Apport'!$3:$3,FALSE),FALSE)</f>
        <v>3540231.3</v>
      </c>
      <c r="E311" s="30">
        <f>VLOOKUP(A311,JanApport,MATCH($E$2,'Jan 2022 Apport'!$3:$3,0),FALSE)+VLOOKUP(A311,JanApport,MATCH($E$3,'Jan 2022 Apport'!$3:$3,0),FALSE)+VLOOKUP(A311,JanApport,MATCH($E$4,'Jan 2022 Apport'!$3:$3,0),FALSE)</f>
        <v>167243.84</v>
      </c>
      <c r="F311" s="118">
        <f t="shared" si="43"/>
        <v>3372987.46</v>
      </c>
      <c r="G311" s="117">
        <f>VLOOKUP(A311,JanApport,MATCH($G$4,'Jan 2022 Apport'!$3:$3,0),FALSE)</f>
        <v>9910.8799999999992</v>
      </c>
      <c r="H311" s="117">
        <f>VLOOKUP(A311,JanApport,MATCH($H$3,'Jan 2022 Apport'!$3:$3,0),FALSE)+VLOOKUP(A311,JanApport,MATCH($H$2,'Jan 2022 Apport'!$3:$3,0),FALSE)+VLOOKUP(A311,JanApport,MATCH($H$4,'Jan 2022 Apport'!$3:$3,0),FALSE)</f>
        <v>377354.85000000003</v>
      </c>
      <c r="I311" s="117">
        <f t="shared" si="44"/>
        <v>387265.73000000004</v>
      </c>
      <c r="J311" s="117">
        <f>VLOOKUP(A311,JanApport,MATCH($J$4,'Jan 2022 Apport'!$3:$3,0),FALSE)</f>
        <v>447045.62</v>
      </c>
      <c r="K311" s="117">
        <f>VLOOKUP(A311,JanApport,MATCH($K$4,'Jan 2022 Apport'!$3:$3,0),FALSE)</f>
        <v>99814.42</v>
      </c>
      <c r="L311" s="117">
        <f t="shared" si="45"/>
        <v>546860.04</v>
      </c>
      <c r="M311" s="117">
        <f>VLOOKUP(A311,JanApport,MATCH($M$4,'Jan 2022 Apport'!$3:$3,0),FALSE)</f>
        <v>152328.76</v>
      </c>
      <c r="N311" s="117">
        <f>VLOOKUP(A311,JanApport,MATCH($N$4,'Jan 2022 Apport'!$3:$3,0),FALSE)</f>
        <v>0</v>
      </c>
      <c r="O311" s="117">
        <f>VLOOKUP(A311,JanApport,MATCH($O$4,'Jan 2022 Apport'!$3:$3,0),FALSE)</f>
        <v>9098.6299999999992</v>
      </c>
      <c r="P311" s="121">
        <f>IFERROR((VLOOKUP(A311,ExcessLevy!A:G,3,FALSE)*0.28),0)+IFERROR((VLOOKUP(A311,ExcessLevy!A:G,6,FALSE)*0.72),0)</f>
        <v>0</v>
      </c>
      <c r="Q311" s="121">
        <f>IFERROR((VLOOKUP(A311,ExcessLevy!A:G,4,FALSE)*0.4738),0)+IFERROR((VLOOKUP(A311,ExcessLevy!A:G,7,FALSE)*0.5262),0)</f>
        <v>1061452.0572000002</v>
      </c>
      <c r="R311">
        <f>VLOOKUP(A311,JanApport,MATCH($R$4,'Jan 2022 Apport'!$3:$3,0),FALSE)</f>
        <v>0</v>
      </c>
      <c r="S311">
        <f>VLOOKUP(A311,JanApport,MATCH($S$4,'Jan 2022 Apport'!$3:$3,0),FALSE)</f>
        <v>0.13</v>
      </c>
      <c r="T311">
        <f>VLOOKUP(A311,JanApport,MATCH($T$4,'Jan 2022 Apport'!$3:$3,0),FALSE)</f>
        <v>18.62</v>
      </c>
      <c r="U311" s="132">
        <f>IFERROR(VLOOKUP(A311,JanApport,MATCH($U$4,'Jan 2022 Apport'!$3:$3,0),FALSE)/R311,0)</f>
        <v>0</v>
      </c>
      <c r="V311" s="30">
        <f>IFERROR(((VLOOKUP(A311,JanApport,MATCH($V$4,'Jan 2022 Apport'!$3:$3,0),FALSE)+VLOOKUP(A311,JanApport,MATCH($V$3,'Jan 2022 Apport'!$3:$3,0),FALSE))/(S311+T311)),0)</f>
        <v>8919.6714666666667</v>
      </c>
      <c r="W311" s="30">
        <f t="shared" si="38"/>
        <v>8083.6246967786601</v>
      </c>
      <c r="X311">
        <f>VLOOKUP(A311,JanApport,MATCH($X$4,'Jan 2022 Apport'!$3:$3,0),FALSE)</f>
        <v>4.8578999999999997E-2</v>
      </c>
      <c r="Y311">
        <f>VLOOKUP(A311,JanApport,MATCH($Y$4,'Jan 2022 Apport'!$3:$3,0),FALSE)</f>
        <v>4.0270000000000002E-3</v>
      </c>
      <c r="Z311">
        <f>VLOOKUP(A311,JanApport,MATCH($Z$4,'Jan 2022 Apport'!$3:$3,0),FALSE)</f>
        <v>1.7100000000000001E-2</v>
      </c>
      <c r="AA311" s="77">
        <f>VLOOKUP(A311,JanApport,MATCH($AA$4,'Jan 2022 Apport'!$3:$3,0),FALSE)*VLOOKUP(A311,JanApport,MATCH($AA$3,'Jan 2022 Apport'!$3:$3,0),FALSE)</f>
        <v>67585</v>
      </c>
      <c r="AB311" s="77">
        <f>VLOOKUP(A311,JanApport,MATCH($AB$4,'Jan 2022 Apport'!$3:$3,0),FALSE)*VLOOKUP(A311,JanApport,MATCH($AB$3,'Jan 2022 Apport'!$3:$3,0),FALSE)</f>
        <v>68937</v>
      </c>
      <c r="AC311" s="77">
        <f>VLOOKUP(A311,JanApport,MATCH($AC$4,'Jan 2022 Apport'!$3:$3,0),FALSE)</f>
        <v>100321</v>
      </c>
      <c r="AD311" s="77">
        <f>VLOOKUP(A311,JanApport,MATCH($AD$4,'Jan 2022 Apport'!$3:$3,0),FALSE)*VLOOKUP(A311,JanApport,MATCH($AD$3,'Jan 2022 Apport'!$3:$3,0),FALSE)</f>
        <v>102327</v>
      </c>
      <c r="AE311" s="77">
        <f>VLOOKUP(A311,JanApport,MATCH($AE$4,'Jan 2022 Apport'!$3:$3,0),FALSE)</f>
        <v>48483</v>
      </c>
      <c r="AF311" s="77">
        <f>VLOOKUP(A311,JanApport,MATCH($AF$4,'Jan 2022 Apport'!$3:$3,0),FALSE)*VLOOKUP(A311,JanApport,MATCH($AF$3,'Jan 2022 Apport'!$3:$3,0),FALSE)</f>
        <v>49453</v>
      </c>
      <c r="AG311" s="77">
        <f t="shared" si="39"/>
        <v>96432.259900000005</v>
      </c>
      <c r="AH311" s="77">
        <f t="shared" si="40"/>
        <v>137400.94330000001</v>
      </c>
      <c r="AI311" s="77">
        <f t="shared" si="41"/>
        <v>77281.189732599989</v>
      </c>
      <c r="AJ311" s="3">
        <f>VLOOKUP(A311,JanApport,MATCH($AJ$4,'Jan 2022 Apport'!$3:$3,0),FALSE)</f>
        <v>452176.89</v>
      </c>
      <c r="AK311" s="3">
        <f>VLOOKUP(A311,JanApport,MATCH($AK$4,'Jan 2022 Apport'!$3:$3,0),FALSE)</f>
        <v>6.3789999999999996</v>
      </c>
      <c r="AL311" s="117">
        <f t="shared" si="42"/>
        <v>4632826.4800000004</v>
      </c>
      <c r="AM311" s="117">
        <f>VLOOKUP(A311,JanApport,MATCH($AM$4,'Jan 2022 Apport'!$3:$3,0),FALSE)</f>
        <v>96856.44</v>
      </c>
      <c r="AN311" s="117">
        <f>VLOOKUP(A311,JanApport,MATCH($AN$4,'Jan 2022 Apport'!$3:$3,0),FALSE)</f>
        <v>28293.1</v>
      </c>
    </row>
    <row r="312" spans="1:40">
      <c r="A312" s="2" t="s">
        <v>387</v>
      </c>
      <c r="B312" s="2" t="s">
        <v>388</v>
      </c>
      <c r="C312" s="2" t="s">
        <v>1267</v>
      </c>
      <c r="D312" s="118">
        <f>VLOOKUP(A312,JanApport,MATCH($D$4,'Jan 2022 Apport'!$3:$3,FALSE),FALSE)</f>
        <v>37374532.439999998</v>
      </c>
      <c r="E312" s="30">
        <f>VLOOKUP(A312,JanApport,MATCH($E$2,'Jan 2022 Apport'!$3:$3,0),FALSE)+VLOOKUP(A312,JanApport,MATCH($E$3,'Jan 2022 Apport'!$3:$3,0),FALSE)+VLOOKUP(A312,JanApport,MATCH($E$4,'Jan 2022 Apport'!$3:$3,0),FALSE)</f>
        <v>3008880.1100000003</v>
      </c>
      <c r="F312" s="118">
        <f t="shared" si="43"/>
        <v>34365652.329999998</v>
      </c>
      <c r="G312" s="117">
        <f>VLOOKUP(A312,JanApport,MATCH($G$4,'Jan 2022 Apport'!$3:$3,0),FALSE)</f>
        <v>423324.19</v>
      </c>
      <c r="H312" s="117">
        <f>VLOOKUP(A312,JanApport,MATCH($H$3,'Jan 2022 Apport'!$3:$3,0),FALSE)+VLOOKUP(A312,JanApport,MATCH($H$2,'Jan 2022 Apport'!$3:$3,0),FALSE)+VLOOKUP(A312,JanApport,MATCH($H$4,'Jan 2022 Apport'!$3:$3,0),FALSE)</f>
        <v>5021912.49</v>
      </c>
      <c r="I312" s="117">
        <f t="shared" si="44"/>
        <v>5445236.6800000006</v>
      </c>
      <c r="J312" s="117">
        <f>VLOOKUP(A312,JanApport,MATCH($J$4,'Jan 2022 Apport'!$3:$3,0),FALSE)</f>
        <v>2478559.23</v>
      </c>
      <c r="K312" s="117">
        <f>VLOOKUP(A312,JanApport,MATCH($K$4,'Jan 2022 Apport'!$3:$3,0),FALSE)</f>
        <v>200167.08</v>
      </c>
      <c r="L312" s="117">
        <f t="shared" si="45"/>
        <v>2678726.31</v>
      </c>
      <c r="M312" s="117">
        <f>VLOOKUP(A312,JanApport,MATCH($M$4,'Jan 2022 Apport'!$3:$3,0),FALSE)</f>
        <v>689956.62</v>
      </c>
      <c r="N312" s="117">
        <f>VLOOKUP(A312,JanApport,MATCH($N$4,'Jan 2022 Apport'!$3:$3,0),FALSE)</f>
        <v>205575.97</v>
      </c>
      <c r="O312" s="117">
        <f>VLOOKUP(A312,JanApport,MATCH($O$4,'Jan 2022 Apport'!$3:$3,0),FALSE)</f>
        <v>0</v>
      </c>
      <c r="P312" s="121">
        <f>IFERROR((VLOOKUP(A312,ExcessLevy!A:G,3,FALSE)*0.28),0)+IFERROR((VLOOKUP(A312,ExcessLevy!A:G,6,FALSE)*0.72),0)</f>
        <v>29285.284000000003</v>
      </c>
      <c r="Q312" s="121">
        <f>IFERROR((VLOOKUP(A312,ExcessLevy!A:G,4,FALSE)*0.4738),0)+IFERROR((VLOOKUP(A312,ExcessLevy!A:G,7,FALSE)*0.5262),0)</f>
        <v>9513100</v>
      </c>
      <c r="R312">
        <f>VLOOKUP(A312,JanApport,MATCH($R$4,'Jan 2022 Apport'!$3:$3,0),FALSE)</f>
        <v>0</v>
      </c>
      <c r="S312">
        <f>VLOOKUP(A312,JanApport,MATCH($S$4,'Jan 2022 Apport'!$3:$3,0),FALSE)</f>
        <v>33.08</v>
      </c>
      <c r="T312">
        <f>VLOOKUP(A312,JanApport,MATCH($T$4,'Jan 2022 Apport'!$3:$3,0),FALSE)</f>
        <v>290.43</v>
      </c>
      <c r="U312" s="132">
        <f>IFERROR(VLOOKUP(A312,JanApport,MATCH($U$4,'Jan 2022 Apport'!$3:$3,0),FALSE)/R312,0)</f>
        <v>0</v>
      </c>
      <c r="V312" s="30">
        <f>IFERROR(((VLOOKUP(A312,JanApport,MATCH($V$4,'Jan 2022 Apport'!$3:$3,0),FALSE)+VLOOKUP(A312,JanApport,MATCH($V$3,'Jan 2022 Apport'!$3:$3,0),FALSE))/(S312+T312)),0)</f>
        <v>9300.7329294303127</v>
      </c>
      <c r="W312" s="30">
        <f t="shared" si="38"/>
        <v>8084.8854500772204</v>
      </c>
      <c r="X312">
        <f>VLOOKUP(A312,JanApport,MATCH($X$4,'Jan 2022 Apport'!$3:$3,0),FALSE)</f>
        <v>4.8578999999999997E-2</v>
      </c>
      <c r="Y312">
        <f>VLOOKUP(A312,JanApport,MATCH($Y$4,'Jan 2022 Apport'!$3:$3,0),FALSE)</f>
        <v>4.0270000000000002E-3</v>
      </c>
      <c r="Z312">
        <f>VLOOKUP(A312,JanApport,MATCH($Z$4,'Jan 2022 Apport'!$3:$3,0),FALSE)</f>
        <v>1.7100000000000001E-2</v>
      </c>
      <c r="AA312" s="77">
        <f>VLOOKUP(A312,JanApport,MATCH($AA$4,'Jan 2022 Apport'!$3:$3,0),FALSE)*VLOOKUP(A312,JanApport,MATCH($AA$3,'Jan 2022 Apport'!$3:$3,0),FALSE)</f>
        <v>71640.100000000006</v>
      </c>
      <c r="AB312" s="77">
        <f>VLOOKUP(A312,JanApport,MATCH($AB$4,'Jan 2022 Apport'!$3:$3,0),FALSE)*VLOOKUP(A312,JanApport,MATCH($AB$3,'Jan 2022 Apport'!$3:$3,0),FALSE)</f>
        <v>68937</v>
      </c>
      <c r="AC312" s="77">
        <f>VLOOKUP(A312,JanApport,MATCH($AC$4,'Jan 2022 Apport'!$3:$3,0),FALSE)</f>
        <v>100321</v>
      </c>
      <c r="AD312" s="77">
        <f>VLOOKUP(A312,JanApport,MATCH($AD$4,'Jan 2022 Apport'!$3:$3,0),FALSE)*VLOOKUP(A312,JanApport,MATCH($AD$3,'Jan 2022 Apport'!$3:$3,0),FALSE)</f>
        <v>102327</v>
      </c>
      <c r="AE312" s="77">
        <f>VLOOKUP(A312,JanApport,MATCH($AE$4,'Jan 2022 Apport'!$3:$3,0),FALSE)</f>
        <v>48483</v>
      </c>
      <c r="AF312" s="77">
        <f>VLOOKUP(A312,JanApport,MATCH($AF$4,'Jan 2022 Apport'!$3:$3,0),FALSE)*VLOOKUP(A312,JanApport,MATCH($AF$3,'Jan 2022 Apport'!$3:$3,0),FALSE)</f>
        <v>49453</v>
      </c>
      <c r="AG312" s="77">
        <f t="shared" si="39"/>
        <v>96458.212540000008</v>
      </c>
      <c r="AH312" s="77">
        <f t="shared" si="40"/>
        <v>137400.94330000001</v>
      </c>
      <c r="AI312" s="77">
        <f t="shared" si="41"/>
        <v>77281.189732599989</v>
      </c>
      <c r="AJ312" s="3">
        <f>VLOOKUP(A312,JanApport,MATCH($AJ$4,'Jan 2022 Apport'!$3:$3,0),FALSE)</f>
        <v>5078674.4000000004</v>
      </c>
      <c r="AK312" s="3">
        <f>VLOOKUP(A312,JanApport,MATCH($AK$4,'Jan 2022 Apport'!$3:$3,0),FALSE)</f>
        <v>81.915000000000006</v>
      </c>
      <c r="AL312" s="117">
        <f t="shared" si="42"/>
        <v>46193860.93999999</v>
      </c>
      <c r="AM312" s="117">
        <f>VLOOKUP(A312,JanApport,MATCH($AM$4,'Jan 2022 Apport'!$3:$3,0),FALSE)</f>
        <v>0</v>
      </c>
      <c r="AN312" s="117">
        <f>VLOOKUP(A312,JanApport,MATCH($AN$4,'Jan 2022 Apport'!$3:$3,0),FALSE)</f>
        <v>292622.18</v>
      </c>
    </row>
    <row r="313" spans="1:40">
      <c r="A313" s="2" t="s">
        <v>267</v>
      </c>
      <c r="B313" s="2" t="s">
        <v>268</v>
      </c>
      <c r="C313" s="2" t="s">
        <v>1267</v>
      </c>
      <c r="D313" s="118">
        <f>VLOOKUP(A313,JanApport,MATCH($D$4,'Jan 2022 Apport'!$3:$3,FALSE),FALSE)</f>
        <v>9596139.8300000001</v>
      </c>
      <c r="E313" s="30">
        <f>VLOOKUP(A313,JanApport,MATCH($E$2,'Jan 2022 Apport'!$3:$3,0),FALSE)+VLOOKUP(A313,JanApport,MATCH($E$3,'Jan 2022 Apport'!$3:$3,0),FALSE)+VLOOKUP(A313,JanApport,MATCH($E$4,'Jan 2022 Apport'!$3:$3,0),FALSE)</f>
        <v>516775.56</v>
      </c>
      <c r="F313" s="118">
        <f t="shared" si="43"/>
        <v>9079364.2699999996</v>
      </c>
      <c r="G313" s="117">
        <f>VLOOKUP(A313,JanApport,MATCH($G$4,'Jan 2022 Apport'!$3:$3,0),FALSE)</f>
        <v>37041.31</v>
      </c>
      <c r="H313" s="117">
        <f>VLOOKUP(A313,JanApport,MATCH($H$3,'Jan 2022 Apport'!$3:$3,0),FALSE)+VLOOKUP(A313,JanApport,MATCH($H$2,'Jan 2022 Apport'!$3:$3,0),FALSE)+VLOOKUP(A313,JanApport,MATCH($H$4,'Jan 2022 Apport'!$3:$3,0),FALSE)</f>
        <v>1103364.27</v>
      </c>
      <c r="I313" s="117">
        <f t="shared" si="44"/>
        <v>1140405.58</v>
      </c>
      <c r="J313" s="117">
        <f>VLOOKUP(A313,JanApport,MATCH($J$4,'Jan 2022 Apport'!$3:$3,0),FALSE)</f>
        <v>735269.83</v>
      </c>
      <c r="K313" s="117">
        <f>VLOOKUP(A313,JanApport,MATCH($K$4,'Jan 2022 Apport'!$3:$3,0),FALSE)</f>
        <v>85205</v>
      </c>
      <c r="L313" s="117">
        <f t="shared" si="45"/>
        <v>820474.83</v>
      </c>
      <c r="M313" s="117">
        <f>VLOOKUP(A313,JanApport,MATCH($M$4,'Jan 2022 Apport'!$3:$3,0),FALSE)</f>
        <v>291156.33</v>
      </c>
      <c r="N313" s="117">
        <f>VLOOKUP(A313,JanApport,MATCH($N$4,'Jan 2022 Apport'!$3:$3,0),FALSE)</f>
        <v>280981.49</v>
      </c>
      <c r="O313" s="117">
        <f>VLOOKUP(A313,JanApport,MATCH($O$4,'Jan 2022 Apport'!$3:$3,0),FALSE)</f>
        <v>31209.29</v>
      </c>
      <c r="P313" s="121">
        <f>IFERROR((VLOOKUP(A313,ExcessLevy!A:G,3,FALSE)*0.28),0)+IFERROR((VLOOKUP(A313,ExcessLevy!A:G,6,FALSE)*0.72),0)</f>
        <v>0</v>
      </c>
      <c r="Q313" s="121">
        <f>IFERROR((VLOOKUP(A313,ExcessLevy!A:G,4,FALSE)*0.4738),0)+IFERROR((VLOOKUP(A313,ExcessLevy!A:G,7,FALSE)*0.5262),0)</f>
        <v>3301326.1694</v>
      </c>
      <c r="R313">
        <f>VLOOKUP(A313,JanApport,MATCH($R$4,'Jan 2022 Apport'!$3:$3,0),FALSE)</f>
        <v>0</v>
      </c>
      <c r="S313">
        <f>VLOOKUP(A313,JanApport,MATCH($S$4,'Jan 2022 Apport'!$3:$3,0),FALSE)</f>
        <v>0</v>
      </c>
      <c r="T313">
        <f>VLOOKUP(A313,JanApport,MATCH($T$4,'Jan 2022 Apport'!$3:$3,0),FALSE)</f>
        <v>57.92</v>
      </c>
      <c r="U313" s="132">
        <f>IFERROR(VLOOKUP(A313,JanApport,MATCH($U$4,'Jan 2022 Apport'!$3:$3,0),FALSE)/R313,0)</f>
        <v>0</v>
      </c>
      <c r="V313" s="30">
        <f>IFERROR(((VLOOKUP(A313,JanApport,MATCH($V$4,'Jan 2022 Apport'!$3:$3,0),FALSE)+VLOOKUP(A313,JanApport,MATCH($V$3,'Jan 2022 Apport'!$3:$3,0),FALSE))/(S313+T313)),0)</f>
        <v>8922.2299723756896</v>
      </c>
      <c r="W313" s="30">
        <f t="shared" si="38"/>
        <v>8083.6246967786601</v>
      </c>
      <c r="X313">
        <f>VLOOKUP(A313,JanApport,MATCH($X$4,'Jan 2022 Apport'!$3:$3,0),FALSE)</f>
        <v>4.8578999999999997E-2</v>
      </c>
      <c r="Y313">
        <f>VLOOKUP(A313,JanApport,MATCH($Y$4,'Jan 2022 Apport'!$3:$3,0),FALSE)</f>
        <v>4.0270000000000002E-3</v>
      </c>
      <c r="Z313">
        <f>VLOOKUP(A313,JanApport,MATCH($Z$4,'Jan 2022 Apport'!$3:$3,0),FALSE)</f>
        <v>1.7100000000000001E-2</v>
      </c>
      <c r="AA313" s="77">
        <f>VLOOKUP(A313,JanApport,MATCH($AA$4,'Jan 2022 Apport'!$3:$3,0),FALSE)*VLOOKUP(A313,JanApport,MATCH($AA$3,'Jan 2022 Apport'!$3:$3,0),FALSE)</f>
        <v>67585</v>
      </c>
      <c r="AB313" s="77">
        <f>VLOOKUP(A313,JanApport,MATCH($AB$4,'Jan 2022 Apport'!$3:$3,0),FALSE)*VLOOKUP(A313,JanApport,MATCH($AB$3,'Jan 2022 Apport'!$3:$3,0),FALSE)</f>
        <v>68937</v>
      </c>
      <c r="AC313" s="77">
        <f>VLOOKUP(A313,JanApport,MATCH($AC$4,'Jan 2022 Apport'!$3:$3,0),FALSE)</f>
        <v>100321</v>
      </c>
      <c r="AD313" s="77">
        <f>VLOOKUP(A313,JanApport,MATCH($AD$4,'Jan 2022 Apport'!$3:$3,0),FALSE)*VLOOKUP(A313,JanApport,MATCH($AD$3,'Jan 2022 Apport'!$3:$3,0),FALSE)</f>
        <v>102327</v>
      </c>
      <c r="AE313" s="77">
        <f>VLOOKUP(A313,JanApport,MATCH($AE$4,'Jan 2022 Apport'!$3:$3,0),FALSE)</f>
        <v>48483</v>
      </c>
      <c r="AF313" s="77">
        <f>VLOOKUP(A313,JanApport,MATCH($AF$4,'Jan 2022 Apport'!$3:$3,0),FALSE)*VLOOKUP(A313,JanApport,MATCH($AF$3,'Jan 2022 Apport'!$3:$3,0),FALSE)</f>
        <v>49453</v>
      </c>
      <c r="AG313" s="77">
        <f t="shared" si="39"/>
        <v>96432.259900000005</v>
      </c>
      <c r="AH313" s="77">
        <f t="shared" si="40"/>
        <v>137400.94330000001</v>
      </c>
      <c r="AI313" s="77">
        <f t="shared" si="41"/>
        <v>77281.189732599989</v>
      </c>
      <c r="AJ313" s="3">
        <f>VLOOKUP(A313,JanApport,MATCH($AJ$4,'Jan 2022 Apport'!$3:$3,0),FALSE)</f>
        <v>1413148.34</v>
      </c>
      <c r="AK313" s="3">
        <f>VLOOKUP(A313,JanApport,MATCH($AK$4,'Jan 2022 Apport'!$3:$3,0),FALSE)</f>
        <v>20.385999999999999</v>
      </c>
      <c r="AL313" s="117">
        <f t="shared" si="42"/>
        <v>10934756.77</v>
      </c>
      <c r="AM313" s="117">
        <f>VLOOKUP(A313,JanApport,MATCH($AM$4,'Jan 2022 Apport'!$3:$3,0),FALSE)</f>
        <v>0</v>
      </c>
      <c r="AN313" s="117">
        <f>VLOOKUP(A313,JanApport,MATCH($AN$4,'Jan 2022 Apport'!$3:$3,0),FALSE)</f>
        <v>76904.56</v>
      </c>
    </row>
    <row r="314" spans="1:40">
      <c r="A314" s="2" t="s">
        <v>307</v>
      </c>
      <c r="B314" s="2" t="s">
        <v>308</v>
      </c>
      <c r="C314" s="2" t="s">
        <v>1267</v>
      </c>
      <c r="D314" s="118">
        <f>VLOOKUP(A314,JanApport,MATCH($D$4,'Jan 2022 Apport'!$3:$3,FALSE),FALSE)</f>
        <v>2643268.4</v>
      </c>
      <c r="E314" s="30">
        <f>VLOOKUP(A314,JanApport,MATCH($E$2,'Jan 2022 Apport'!$3:$3,0),FALSE)+VLOOKUP(A314,JanApport,MATCH($E$3,'Jan 2022 Apport'!$3:$3,0),FALSE)+VLOOKUP(A314,JanApport,MATCH($E$4,'Jan 2022 Apport'!$3:$3,0),FALSE)</f>
        <v>191181.61000000002</v>
      </c>
      <c r="F314" s="118">
        <f t="shared" si="43"/>
        <v>2452086.79</v>
      </c>
      <c r="G314" s="117">
        <f>VLOOKUP(A314,JanApport,MATCH($G$4,'Jan 2022 Apport'!$3:$3,0),FALSE)</f>
        <v>0</v>
      </c>
      <c r="H314" s="117">
        <f>VLOOKUP(A314,JanApport,MATCH($H$3,'Jan 2022 Apport'!$3:$3,0),FALSE)+VLOOKUP(A314,JanApport,MATCH($H$2,'Jan 2022 Apport'!$3:$3,0),FALSE)+VLOOKUP(A314,JanApport,MATCH($H$4,'Jan 2022 Apport'!$3:$3,0),FALSE)</f>
        <v>255174.09</v>
      </c>
      <c r="I314" s="117">
        <f t="shared" si="44"/>
        <v>255174.09</v>
      </c>
      <c r="J314" s="117">
        <f>VLOOKUP(A314,JanApport,MATCH($J$4,'Jan 2022 Apport'!$3:$3,0),FALSE)</f>
        <v>0</v>
      </c>
      <c r="K314" s="117">
        <f>VLOOKUP(A314,JanApport,MATCH($K$4,'Jan 2022 Apport'!$3:$3,0),FALSE)</f>
        <v>0</v>
      </c>
      <c r="L314" s="117">
        <f t="shared" si="45"/>
        <v>0</v>
      </c>
      <c r="M314" s="117">
        <f>VLOOKUP(A314,JanApport,MATCH($M$4,'Jan 2022 Apport'!$3:$3,0),FALSE)</f>
        <v>61538.07</v>
      </c>
      <c r="N314" s="117">
        <f>VLOOKUP(A314,JanApport,MATCH($N$4,'Jan 2022 Apport'!$3:$3,0),FALSE)</f>
        <v>0</v>
      </c>
      <c r="O314" s="117">
        <f>VLOOKUP(A314,JanApport,MATCH($O$4,'Jan 2022 Apport'!$3:$3,0),FALSE)</f>
        <v>6163.58</v>
      </c>
      <c r="P314" s="121">
        <f>IFERROR((VLOOKUP(A314,ExcessLevy!A:G,3,FALSE)*0.28),0)+IFERROR((VLOOKUP(A314,ExcessLevy!A:G,6,FALSE)*0.72),0)</f>
        <v>53095.427599999995</v>
      </c>
      <c r="Q314" s="121">
        <f>IFERROR((VLOOKUP(A314,ExcessLevy!A:G,4,FALSE)*0.4738),0)+IFERROR((VLOOKUP(A314,ExcessLevy!A:G,7,FALSE)*0.5262),0)</f>
        <v>465000</v>
      </c>
      <c r="R314">
        <f>VLOOKUP(A314,JanApport,MATCH($R$4,'Jan 2022 Apport'!$3:$3,0),FALSE)</f>
        <v>0</v>
      </c>
      <c r="S314">
        <f>VLOOKUP(A314,JanApport,MATCH($S$4,'Jan 2022 Apport'!$3:$3,0),FALSE)</f>
        <v>6.11</v>
      </c>
      <c r="T314">
        <f>VLOOKUP(A314,JanApport,MATCH($T$4,'Jan 2022 Apport'!$3:$3,0),FALSE)</f>
        <v>15.33</v>
      </c>
      <c r="U314" s="132">
        <f>IFERROR(VLOOKUP(A314,JanApport,MATCH($U$4,'Jan 2022 Apport'!$3:$3,0),FALSE)/R314,0)</f>
        <v>0</v>
      </c>
      <c r="V314" s="30">
        <f>IFERROR(((VLOOKUP(A314,JanApport,MATCH($V$4,'Jan 2022 Apport'!$3:$3,0),FALSE)+VLOOKUP(A314,JanApport,MATCH($V$3,'Jan 2022 Apport'!$3:$3,0),FALSE))/(S314+T314)),0)</f>
        <v>8917.0527052238813</v>
      </c>
      <c r="W314" s="30">
        <f t="shared" si="38"/>
        <v>8083.6246967786601</v>
      </c>
      <c r="X314">
        <f>VLOOKUP(A314,JanApport,MATCH($X$4,'Jan 2022 Apport'!$3:$3,0),FALSE)</f>
        <v>4.8578999999999997E-2</v>
      </c>
      <c r="Y314">
        <f>VLOOKUP(A314,JanApport,MATCH($Y$4,'Jan 2022 Apport'!$3:$3,0),FALSE)</f>
        <v>4.0270000000000002E-3</v>
      </c>
      <c r="Z314">
        <f>VLOOKUP(A314,JanApport,MATCH($Z$4,'Jan 2022 Apport'!$3:$3,0),FALSE)</f>
        <v>1.7100000000000001E-2</v>
      </c>
      <c r="AA314" s="77">
        <f>VLOOKUP(A314,JanApport,MATCH($AA$4,'Jan 2022 Apport'!$3:$3,0),FALSE)*VLOOKUP(A314,JanApport,MATCH($AA$3,'Jan 2022 Apport'!$3:$3,0),FALSE)</f>
        <v>67585</v>
      </c>
      <c r="AB314" s="77">
        <f>VLOOKUP(A314,JanApport,MATCH($AB$4,'Jan 2022 Apport'!$3:$3,0),FALSE)*VLOOKUP(A314,JanApport,MATCH($AB$3,'Jan 2022 Apport'!$3:$3,0),FALSE)</f>
        <v>68937</v>
      </c>
      <c r="AC314" s="77">
        <f>VLOOKUP(A314,JanApport,MATCH($AC$4,'Jan 2022 Apport'!$3:$3,0),FALSE)</f>
        <v>100321</v>
      </c>
      <c r="AD314" s="77">
        <f>VLOOKUP(A314,JanApport,MATCH($AD$4,'Jan 2022 Apport'!$3:$3,0),FALSE)*VLOOKUP(A314,JanApport,MATCH($AD$3,'Jan 2022 Apport'!$3:$3,0),FALSE)</f>
        <v>102327</v>
      </c>
      <c r="AE314" s="77">
        <f>VLOOKUP(A314,JanApport,MATCH($AE$4,'Jan 2022 Apport'!$3:$3,0),FALSE)</f>
        <v>48483</v>
      </c>
      <c r="AF314" s="77">
        <f>VLOOKUP(A314,JanApport,MATCH($AF$4,'Jan 2022 Apport'!$3:$3,0),FALSE)*VLOOKUP(A314,JanApport,MATCH($AF$3,'Jan 2022 Apport'!$3:$3,0),FALSE)</f>
        <v>49453</v>
      </c>
      <c r="AG314" s="77">
        <f t="shared" si="39"/>
        <v>96432.259900000005</v>
      </c>
      <c r="AH314" s="77">
        <f t="shared" si="40"/>
        <v>137400.94330000001</v>
      </c>
      <c r="AI314" s="77">
        <f t="shared" si="41"/>
        <v>77281.189732599989</v>
      </c>
      <c r="AJ314" s="3">
        <f>VLOOKUP(A314,JanApport,MATCH($AJ$4,'Jan 2022 Apport'!$3:$3,0),FALSE)</f>
        <v>343439.32</v>
      </c>
      <c r="AK314" s="3">
        <f>VLOOKUP(A314,JanApport,MATCH($AK$4,'Jan 2022 Apport'!$3:$3,0),FALSE)</f>
        <v>3.621</v>
      </c>
      <c r="AL314" s="117">
        <f t="shared" si="42"/>
        <v>2966144.1399999997</v>
      </c>
      <c r="AM314" s="117">
        <f>VLOOKUP(A314,JanApport,MATCH($AM$4,'Jan 2022 Apport'!$3:$3,0),FALSE)</f>
        <v>0</v>
      </c>
      <c r="AN314" s="117">
        <f>VLOOKUP(A314,JanApport,MATCH($AN$4,'Jan 2022 Apport'!$3:$3,0),FALSE)</f>
        <v>21835.88</v>
      </c>
    </row>
    <row r="315" spans="1:40">
      <c r="A315" s="2" t="s">
        <v>351</v>
      </c>
      <c r="B315" s="2" t="s">
        <v>352</v>
      </c>
      <c r="C315" s="2" t="s">
        <v>1267</v>
      </c>
      <c r="D315" s="118">
        <f>VLOOKUP(A315,JanApport,MATCH($D$4,'Jan 2022 Apport'!$3:$3,FALSE),FALSE)</f>
        <v>3844371.9</v>
      </c>
      <c r="E315" s="30">
        <f>VLOOKUP(A315,JanApport,MATCH($E$2,'Jan 2022 Apport'!$3:$3,0),FALSE)+VLOOKUP(A315,JanApport,MATCH($E$3,'Jan 2022 Apport'!$3:$3,0),FALSE)+VLOOKUP(A315,JanApport,MATCH($E$4,'Jan 2022 Apport'!$3:$3,0),FALSE)</f>
        <v>274326.14</v>
      </c>
      <c r="F315" s="118">
        <f t="shared" si="43"/>
        <v>3570045.76</v>
      </c>
      <c r="G315" s="117">
        <f>VLOOKUP(A315,JanApport,MATCH($G$4,'Jan 2022 Apport'!$3:$3,0),FALSE)</f>
        <v>17304.62</v>
      </c>
      <c r="H315" s="117">
        <f>VLOOKUP(A315,JanApport,MATCH($H$3,'Jan 2022 Apport'!$3:$3,0),FALSE)+VLOOKUP(A315,JanApport,MATCH($H$2,'Jan 2022 Apport'!$3:$3,0),FALSE)+VLOOKUP(A315,JanApport,MATCH($H$4,'Jan 2022 Apport'!$3:$3,0),FALSE)</f>
        <v>352463.35999999999</v>
      </c>
      <c r="I315" s="117">
        <f t="shared" si="44"/>
        <v>369767.98</v>
      </c>
      <c r="J315" s="117">
        <f>VLOOKUP(A315,JanApport,MATCH($J$4,'Jan 2022 Apport'!$3:$3,0),FALSE)</f>
        <v>495660.86</v>
      </c>
      <c r="K315" s="117">
        <f>VLOOKUP(A315,JanApport,MATCH($K$4,'Jan 2022 Apport'!$3:$3,0),FALSE)</f>
        <v>60802.2</v>
      </c>
      <c r="L315" s="117">
        <f t="shared" si="45"/>
        <v>556463.05999999994</v>
      </c>
      <c r="M315" s="117">
        <f>VLOOKUP(A315,JanApport,MATCH($M$4,'Jan 2022 Apport'!$3:$3,0),FALSE)</f>
        <v>89323.16</v>
      </c>
      <c r="N315" s="117">
        <f>VLOOKUP(A315,JanApport,MATCH($N$4,'Jan 2022 Apport'!$3:$3,0),FALSE)</f>
        <v>11251</v>
      </c>
      <c r="O315" s="117">
        <f>VLOOKUP(A315,JanApport,MATCH($O$4,'Jan 2022 Apport'!$3:$3,0),FALSE)</f>
        <v>10076.98</v>
      </c>
      <c r="P315" s="121">
        <f>IFERROR((VLOOKUP(A315,ExcessLevy!A:G,3,FALSE)*0.28),0)+IFERROR((VLOOKUP(A315,ExcessLevy!A:G,6,FALSE)*0.72),0)</f>
        <v>40017.859199999999</v>
      </c>
      <c r="Q315" s="121">
        <f>IFERROR((VLOOKUP(A315,ExcessLevy!A:G,4,FALSE)*0.4738),0)+IFERROR((VLOOKUP(A315,ExcessLevy!A:G,7,FALSE)*0.5262),0)</f>
        <v>286318.57500000001</v>
      </c>
      <c r="R315">
        <f>VLOOKUP(A315,JanApport,MATCH($R$4,'Jan 2022 Apport'!$3:$3,0),FALSE)</f>
        <v>0</v>
      </c>
      <c r="S315">
        <f>VLOOKUP(A315,JanApport,MATCH($S$4,'Jan 2022 Apport'!$3:$3,0),FALSE)</f>
        <v>6.34</v>
      </c>
      <c r="T315">
        <f>VLOOKUP(A315,JanApport,MATCH($T$4,'Jan 2022 Apport'!$3:$3,0),FALSE)</f>
        <v>24.41</v>
      </c>
      <c r="U315" s="132">
        <f>IFERROR(VLOOKUP(A315,JanApport,MATCH($U$4,'Jan 2022 Apport'!$3:$3,0),FALSE)/R315,0)</f>
        <v>0</v>
      </c>
      <c r="V315" s="30">
        <f>IFERROR(((VLOOKUP(A315,JanApport,MATCH($V$4,'Jan 2022 Apport'!$3:$3,0),FALSE)+VLOOKUP(A315,JanApport,MATCH($V$3,'Jan 2022 Apport'!$3:$3,0),FALSE))/(S315+T315)),0)</f>
        <v>8921.1752845528463</v>
      </c>
      <c r="W315" s="30">
        <f t="shared" si="38"/>
        <v>8083.6246967786601</v>
      </c>
      <c r="X315">
        <f>VLOOKUP(A315,JanApport,MATCH($X$4,'Jan 2022 Apport'!$3:$3,0),FALSE)</f>
        <v>4.8578999999999997E-2</v>
      </c>
      <c r="Y315">
        <f>VLOOKUP(A315,JanApport,MATCH($Y$4,'Jan 2022 Apport'!$3:$3,0),FALSE)</f>
        <v>4.0270000000000002E-3</v>
      </c>
      <c r="Z315">
        <f>VLOOKUP(A315,JanApport,MATCH($Z$4,'Jan 2022 Apport'!$3:$3,0),FALSE)</f>
        <v>1.7100000000000001E-2</v>
      </c>
      <c r="AA315" s="77">
        <f>VLOOKUP(A315,JanApport,MATCH($AA$4,'Jan 2022 Apport'!$3:$3,0),FALSE)*VLOOKUP(A315,JanApport,MATCH($AA$3,'Jan 2022 Apport'!$3:$3,0),FALSE)</f>
        <v>67585</v>
      </c>
      <c r="AB315" s="77">
        <f>VLOOKUP(A315,JanApport,MATCH($AB$4,'Jan 2022 Apport'!$3:$3,0),FALSE)*VLOOKUP(A315,JanApport,MATCH($AB$3,'Jan 2022 Apport'!$3:$3,0),FALSE)</f>
        <v>68937</v>
      </c>
      <c r="AC315" s="77">
        <f>VLOOKUP(A315,JanApport,MATCH($AC$4,'Jan 2022 Apport'!$3:$3,0),FALSE)</f>
        <v>100321</v>
      </c>
      <c r="AD315" s="77">
        <f>VLOOKUP(A315,JanApport,MATCH($AD$4,'Jan 2022 Apport'!$3:$3,0),FALSE)*VLOOKUP(A315,JanApport,MATCH($AD$3,'Jan 2022 Apport'!$3:$3,0),FALSE)</f>
        <v>102327</v>
      </c>
      <c r="AE315" s="77">
        <f>VLOOKUP(A315,JanApport,MATCH($AE$4,'Jan 2022 Apport'!$3:$3,0),FALSE)</f>
        <v>48483</v>
      </c>
      <c r="AF315" s="77">
        <f>VLOOKUP(A315,JanApport,MATCH($AF$4,'Jan 2022 Apport'!$3:$3,0),FALSE)*VLOOKUP(A315,JanApport,MATCH($AF$3,'Jan 2022 Apport'!$3:$3,0),FALSE)</f>
        <v>49453</v>
      </c>
      <c r="AG315" s="77">
        <f t="shared" si="39"/>
        <v>96432.259900000005</v>
      </c>
      <c r="AH315" s="77">
        <f t="shared" si="40"/>
        <v>137400.94330000001</v>
      </c>
      <c r="AI315" s="77">
        <f t="shared" si="41"/>
        <v>77281.189732599989</v>
      </c>
      <c r="AJ315" s="3">
        <f>VLOOKUP(A315,JanApport,MATCH($AJ$4,'Jan 2022 Apport'!$3:$3,0),FALSE)</f>
        <v>495835.38</v>
      </c>
      <c r="AK315" s="3">
        <f>VLOOKUP(A315,JanApport,MATCH($AK$4,'Jan 2022 Apport'!$3:$3,0),FALSE)</f>
        <v>6.6310000000000002</v>
      </c>
      <c r="AL315" s="117">
        <f t="shared" si="42"/>
        <v>4820451.879999999</v>
      </c>
      <c r="AM315" s="117">
        <f>VLOOKUP(A315,JanApport,MATCH($AM$4,'Jan 2022 Apport'!$3:$3,0),FALSE)</f>
        <v>0</v>
      </c>
      <c r="AN315" s="117">
        <f>VLOOKUP(A315,JanApport,MATCH($AN$4,'Jan 2022 Apport'!$3:$3,0),FALSE)</f>
        <v>30642.33</v>
      </c>
    </row>
    <row r="316" spans="1:40">
      <c r="A316" s="2" t="s">
        <v>137</v>
      </c>
      <c r="B316" s="2" t="s">
        <v>138</v>
      </c>
      <c r="C316" s="2" t="s">
        <v>1267</v>
      </c>
      <c r="D316" s="118">
        <f>VLOOKUP(A316,JanApport,MATCH($D$4,'Jan 2022 Apport'!$3:$3,FALSE),FALSE)</f>
        <v>2123968.29</v>
      </c>
      <c r="E316" s="30">
        <f>VLOOKUP(A316,JanApport,MATCH($E$2,'Jan 2022 Apport'!$3:$3,0),FALSE)+VLOOKUP(A316,JanApport,MATCH($E$3,'Jan 2022 Apport'!$3:$3,0),FALSE)+VLOOKUP(A316,JanApport,MATCH($E$4,'Jan 2022 Apport'!$3:$3,0),FALSE)</f>
        <v>124030.18000000001</v>
      </c>
      <c r="F316" s="118">
        <f t="shared" si="43"/>
        <v>1999938.11</v>
      </c>
      <c r="G316" s="117">
        <f>VLOOKUP(A316,JanApport,MATCH($G$4,'Jan 2022 Apport'!$3:$3,0),FALSE)</f>
        <v>0</v>
      </c>
      <c r="H316" s="117">
        <f>VLOOKUP(A316,JanApport,MATCH($H$3,'Jan 2022 Apport'!$3:$3,0),FALSE)+VLOOKUP(A316,JanApport,MATCH($H$2,'Jan 2022 Apport'!$3:$3,0),FALSE)+VLOOKUP(A316,JanApport,MATCH($H$4,'Jan 2022 Apport'!$3:$3,0),FALSE)</f>
        <v>138125.93</v>
      </c>
      <c r="I316" s="117">
        <f t="shared" si="44"/>
        <v>138125.93</v>
      </c>
      <c r="J316" s="117">
        <f>VLOOKUP(A316,JanApport,MATCH($J$4,'Jan 2022 Apport'!$3:$3,0),FALSE)</f>
        <v>257766.02</v>
      </c>
      <c r="K316" s="117">
        <f>VLOOKUP(A316,JanApport,MATCH($K$4,'Jan 2022 Apport'!$3:$3,0),FALSE)</f>
        <v>24644.93</v>
      </c>
      <c r="L316" s="117">
        <f t="shared" si="45"/>
        <v>282410.95</v>
      </c>
      <c r="M316" s="117">
        <f>VLOOKUP(A316,JanApport,MATCH($M$4,'Jan 2022 Apport'!$3:$3,0),FALSE)</f>
        <v>49514.64</v>
      </c>
      <c r="N316" s="117">
        <f>VLOOKUP(A316,JanApport,MATCH($N$4,'Jan 2022 Apport'!$3:$3,0),FALSE)</f>
        <v>0</v>
      </c>
      <c r="O316" s="117">
        <f>VLOOKUP(A316,JanApport,MATCH($O$4,'Jan 2022 Apport'!$3:$3,0),FALSE)</f>
        <v>3240.22</v>
      </c>
      <c r="P316" s="121">
        <f>IFERROR((VLOOKUP(A316,ExcessLevy!A:G,3,FALSE)*0.28),0)+IFERROR((VLOOKUP(A316,ExcessLevy!A:G,6,FALSE)*0.72),0)</f>
        <v>61390.241999999998</v>
      </c>
      <c r="Q316" s="121">
        <f>IFERROR((VLOOKUP(A316,ExcessLevy!A:G,4,FALSE)*0.4738),0)+IFERROR((VLOOKUP(A316,ExcessLevy!A:G,7,FALSE)*0.5262),0)</f>
        <v>212978.79871399998</v>
      </c>
      <c r="R316">
        <f>VLOOKUP(A316,JanApport,MATCH($R$4,'Jan 2022 Apport'!$3:$3,0),FALSE)</f>
        <v>0</v>
      </c>
      <c r="S316">
        <f>VLOOKUP(A316,JanApport,MATCH($S$4,'Jan 2022 Apport'!$3:$3,0),FALSE)</f>
        <v>3.05</v>
      </c>
      <c r="T316">
        <f>VLOOKUP(A316,JanApport,MATCH($T$4,'Jan 2022 Apport'!$3:$3,0),FALSE)</f>
        <v>10.56</v>
      </c>
      <c r="U316" s="132">
        <f>IFERROR(VLOOKUP(A316,JanApport,MATCH($U$4,'Jan 2022 Apport'!$3:$3,0),FALSE)/R316,0)</f>
        <v>0</v>
      </c>
      <c r="V316" s="30">
        <f>IFERROR(((VLOOKUP(A316,JanApport,MATCH($V$4,'Jan 2022 Apport'!$3:$3,0),FALSE)+VLOOKUP(A316,JanApport,MATCH($V$3,'Jan 2022 Apport'!$3:$3,0),FALSE))/(S316+T316)),0)</f>
        <v>9113.1653196179286</v>
      </c>
      <c r="W316" s="30">
        <f t="shared" si="38"/>
        <v>8307.6027265112134</v>
      </c>
      <c r="X316">
        <f>VLOOKUP(A316,JanApport,MATCH($X$4,'Jan 2022 Apport'!$3:$3,0),FALSE)</f>
        <v>4.8578999999999997E-2</v>
      </c>
      <c r="Y316">
        <f>VLOOKUP(A316,JanApport,MATCH($Y$4,'Jan 2022 Apport'!$3:$3,0),FALSE)</f>
        <v>4.0270000000000002E-3</v>
      </c>
      <c r="Z316">
        <f>VLOOKUP(A316,JanApport,MATCH($Z$4,'Jan 2022 Apport'!$3:$3,0),FALSE)</f>
        <v>1.7100000000000001E-2</v>
      </c>
      <c r="AA316" s="77">
        <f>VLOOKUP(A316,JanApport,MATCH($AA$4,'Jan 2022 Apport'!$3:$3,0),FALSE)*VLOOKUP(A316,JanApport,MATCH($AA$3,'Jan 2022 Apport'!$3:$3,0),FALSE)</f>
        <v>67585</v>
      </c>
      <c r="AB316" s="77">
        <f>VLOOKUP(A316,JanApport,MATCH($AB$4,'Jan 2022 Apport'!$3:$3,0),FALSE)*VLOOKUP(A316,JanApport,MATCH($AB$3,'Jan 2022 Apport'!$3:$3,0),FALSE)</f>
        <v>71694.48</v>
      </c>
      <c r="AC316" s="77">
        <f>VLOOKUP(A316,JanApport,MATCH($AC$4,'Jan 2022 Apport'!$3:$3,0),FALSE)</f>
        <v>100321</v>
      </c>
      <c r="AD316" s="77">
        <f>VLOOKUP(A316,JanApport,MATCH($AD$4,'Jan 2022 Apport'!$3:$3,0),FALSE)*VLOOKUP(A316,JanApport,MATCH($AD$3,'Jan 2022 Apport'!$3:$3,0),FALSE)</f>
        <v>106420.08</v>
      </c>
      <c r="AE316" s="77">
        <f>VLOOKUP(A316,JanApport,MATCH($AE$4,'Jan 2022 Apport'!$3:$3,0),FALSE)</f>
        <v>48483</v>
      </c>
      <c r="AF316" s="77">
        <f>VLOOKUP(A316,JanApport,MATCH($AF$4,'Jan 2022 Apport'!$3:$3,0),FALSE)*VLOOKUP(A316,JanApport,MATCH($AF$3,'Jan 2022 Apport'!$3:$3,0),FALSE)</f>
        <v>51431.12</v>
      </c>
      <c r="AG316" s="77">
        <f t="shared" si="39"/>
        <v>99798.31573599999</v>
      </c>
      <c r="AH316" s="77">
        <f t="shared" si="40"/>
        <v>142397.366056</v>
      </c>
      <c r="AI316" s="77">
        <f t="shared" si="41"/>
        <v>79640.125921903993</v>
      </c>
      <c r="AJ316" s="3">
        <f>VLOOKUP(A316,JanApport,MATCH($AJ$4,'Jan 2022 Apport'!$3:$3,0),FALSE)</f>
        <v>230512.73</v>
      </c>
      <c r="AK316" s="3">
        <f>VLOOKUP(A316,JanApport,MATCH($AK$4,'Jan 2022 Apport'!$3:$3,0),FALSE)</f>
        <v>2.3639999999999999</v>
      </c>
      <c r="AL316" s="117">
        <f t="shared" si="42"/>
        <v>2612004.0600000005</v>
      </c>
      <c r="AM316" s="117">
        <f>VLOOKUP(A316,JanApport,MATCH($AM$4,'Jan 2022 Apport'!$3:$3,0),FALSE)</f>
        <v>39388.959999999999</v>
      </c>
      <c r="AN316" s="117">
        <f>VLOOKUP(A316,JanApport,MATCH($AN$4,'Jan 2022 Apport'!$3:$3,0),FALSE)</f>
        <v>18574.12</v>
      </c>
    </row>
    <row r="317" spans="1:40">
      <c r="A317" s="2" t="s">
        <v>281</v>
      </c>
      <c r="B317" s="2" t="s">
        <v>282</v>
      </c>
      <c r="C317" s="2" t="s">
        <v>1267</v>
      </c>
      <c r="D317" s="118">
        <f>VLOOKUP(A317,JanApport,MATCH($D$4,'Jan 2022 Apport'!$3:$3,FALSE),FALSE)</f>
        <v>6890676.7699999996</v>
      </c>
      <c r="E317" s="30">
        <f>VLOOKUP(A317,JanApport,MATCH($E$2,'Jan 2022 Apport'!$3:$3,0),FALSE)+VLOOKUP(A317,JanApport,MATCH($E$3,'Jan 2022 Apport'!$3:$3,0),FALSE)+VLOOKUP(A317,JanApport,MATCH($E$4,'Jan 2022 Apport'!$3:$3,0),FALSE)</f>
        <v>520453.95999999996</v>
      </c>
      <c r="F317" s="118">
        <f t="shared" si="43"/>
        <v>6370222.8099999996</v>
      </c>
      <c r="G317" s="117">
        <f>VLOOKUP(A317,JanApport,MATCH($G$4,'Jan 2022 Apport'!$3:$3,0),FALSE)</f>
        <v>63670.11</v>
      </c>
      <c r="H317" s="117">
        <f>VLOOKUP(A317,JanApport,MATCH($H$3,'Jan 2022 Apport'!$3:$3,0),FALSE)+VLOOKUP(A317,JanApport,MATCH($H$2,'Jan 2022 Apport'!$3:$3,0),FALSE)+VLOOKUP(A317,JanApport,MATCH($H$4,'Jan 2022 Apport'!$3:$3,0),FALSE)</f>
        <v>873938.95</v>
      </c>
      <c r="I317" s="117">
        <f t="shared" si="44"/>
        <v>937609.05999999994</v>
      </c>
      <c r="J317" s="117">
        <f>VLOOKUP(A317,JanApport,MATCH($J$4,'Jan 2022 Apport'!$3:$3,0),FALSE)</f>
        <v>460181.87</v>
      </c>
      <c r="K317" s="117">
        <f>VLOOKUP(A317,JanApport,MATCH($K$4,'Jan 2022 Apport'!$3:$3,0),FALSE)</f>
        <v>59408.61</v>
      </c>
      <c r="L317" s="117">
        <f t="shared" si="45"/>
        <v>519590.48</v>
      </c>
      <c r="M317" s="117">
        <f>VLOOKUP(A317,JanApport,MATCH($M$4,'Jan 2022 Apport'!$3:$3,0),FALSE)</f>
        <v>349640.22</v>
      </c>
      <c r="N317" s="117">
        <f>VLOOKUP(A317,JanApport,MATCH($N$4,'Jan 2022 Apport'!$3:$3,0),FALSE)</f>
        <v>68854.740000000005</v>
      </c>
      <c r="O317" s="117">
        <f>VLOOKUP(A317,JanApport,MATCH($O$4,'Jan 2022 Apport'!$3:$3,0),FALSE)</f>
        <v>21263.96</v>
      </c>
      <c r="P317" s="121">
        <f>IFERROR((VLOOKUP(A317,ExcessLevy!A:G,3,FALSE)*0.28),0)+IFERROR((VLOOKUP(A317,ExcessLevy!A:G,6,FALSE)*0.72),0)</f>
        <v>87290.520800000013</v>
      </c>
      <c r="Q317" s="121">
        <f>IFERROR((VLOOKUP(A317,ExcessLevy!A:G,4,FALSE)*0.4738),0)+IFERROR((VLOOKUP(A317,ExcessLevy!A:G,7,FALSE)*0.5262),0)</f>
        <v>661725.74560000002</v>
      </c>
      <c r="R317">
        <f>VLOOKUP(A317,JanApport,MATCH($R$4,'Jan 2022 Apport'!$3:$3,0),FALSE)</f>
        <v>0</v>
      </c>
      <c r="S317">
        <f>VLOOKUP(A317,JanApport,MATCH($S$4,'Jan 2022 Apport'!$3:$3,0),FALSE)</f>
        <v>8.86</v>
      </c>
      <c r="T317">
        <f>VLOOKUP(A317,JanApport,MATCH($T$4,'Jan 2022 Apport'!$3:$3,0),FALSE)</f>
        <v>48.29</v>
      </c>
      <c r="U317" s="132">
        <f>IFERROR(VLOOKUP(A317,JanApport,MATCH($U$4,'Jan 2022 Apport'!$3:$3,0),FALSE)/R317,0)</f>
        <v>0</v>
      </c>
      <c r="V317" s="30">
        <f>IFERROR(((VLOOKUP(A317,JanApport,MATCH($V$4,'Jan 2022 Apport'!$3:$3,0),FALSE)+VLOOKUP(A317,JanApport,MATCH($V$3,'Jan 2022 Apport'!$3:$3,0),FALSE))/(S317+T317)),0)</f>
        <v>9106.8059492563425</v>
      </c>
      <c r="W317" s="30">
        <f t="shared" si="38"/>
        <v>8083.6246967786601</v>
      </c>
      <c r="X317">
        <f>VLOOKUP(A317,JanApport,MATCH($X$4,'Jan 2022 Apport'!$3:$3,0),FALSE)</f>
        <v>4.8578999999999997E-2</v>
      </c>
      <c r="Y317">
        <f>VLOOKUP(A317,JanApport,MATCH($Y$4,'Jan 2022 Apport'!$3:$3,0),FALSE)</f>
        <v>4.0270000000000002E-3</v>
      </c>
      <c r="Z317">
        <f>VLOOKUP(A317,JanApport,MATCH($Z$4,'Jan 2022 Apport'!$3:$3,0),FALSE)</f>
        <v>1.7100000000000001E-2</v>
      </c>
      <c r="AA317" s="77">
        <f>VLOOKUP(A317,JanApport,MATCH($AA$4,'Jan 2022 Apport'!$3:$3,0),FALSE)*VLOOKUP(A317,JanApport,MATCH($AA$3,'Jan 2022 Apport'!$3:$3,0),FALSE)</f>
        <v>67585</v>
      </c>
      <c r="AB317" s="77">
        <f>VLOOKUP(A317,JanApport,MATCH($AB$4,'Jan 2022 Apport'!$3:$3,0),FALSE)*VLOOKUP(A317,JanApport,MATCH($AB$3,'Jan 2022 Apport'!$3:$3,0),FALSE)</f>
        <v>68937</v>
      </c>
      <c r="AC317" s="77">
        <f>VLOOKUP(A317,JanApport,MATCH($AC$4,'Jan 2022 Apport'!$3:$3,0),FALSE)</f>
        <v>100321</v>
      </c>
      <c r="AD317" s="77">
        <f>VLOOKUP(A317,JanApport,MATCH($AD$4,'Jan 2022 Apport'!$3:$3,0),FALSE)*VLOOKUP(A317,JanApport,MATCH($AD$3,'Jan 2022 Apport'!$3:$3,0),FALSE)</f>
        <v>102327</v>
      </c>
      <c r="AE317" s="77">
        <f>VLOOKUP(A317,JanApport,MATCH($AE$4,'Jan 2022 Apport'!$3:$3,0),FALSE)</f>
        <v>48483</v>
      </c>
      <c r="AF317" s="77">
        <f>VLOOKUP(A317,JanApport,MATCH($AF$4,'Jan 2022 Apport'!$3:$3,0),FALSE)*VLOOKUP(A317,JanApport,MATCH($AF$3,'Jan 2022 Apport'!$3:$3,0),FALSE)</f>
        <v>49453</v>
      </c>
      <c r="AG317" s="77">
        <f t="shared" si="39"/>
        <v>96432.259900000005</v>
      </c>
      <c r="AH317" s="77">
        <f t="shared" si="40"/>
        <v>137400.94330000001</v>
      </c>
      <c r="AI317" s="77">
        <f t="shared" si="41"/>
        <v>77281.189732599989</v>
      </c>
      <c r="AJ317" s="3">
        <f>VLOOKUP(A317,JanApport,MATCH($AJ$4,'Jan 2022 Apport'!$3:$3,0),FALSE)</f>
        <v>952908.85</v>
      </c>
      <c r="AK317" s="3">
        <f>VLOOKUP(A317,JanApport,MATCH($AK$4,'Jan 2022 Apport'!$3:$3,0),FALSE)</f>
        <v>15.368</v>
      </c>
      <c r="AL317" s="117">
        <f t="shared" si="42"/>
        <v>8931651.8200000003</v>
      </c>
      <c r="AM317" s="117">
        <f>VLOOKUP(A317,JanApport,MATCH($AM$4,'Jan 2022 Apport'!$3:$3,0),FALSE)</f>
        <v>203425.2</v>
      </c>
      <c r="AN317" s="117">
        <f>VLOOKUP(A317,JanApport,MATCH($AN$4,'Jan 2022 Apport'!$3:$3,0),FALSE)</f>
        <v>56830.92</v>
      </c>
    </row>
    <row r="318" spans="1:40">
      <c r="A318" s="2" t="s">
        <v>161</v>
      </c>
      <c r="B318" s="2" t="s">
        <v>162</v>
      </c>
      <c r="C318" s="2" t="s">
        <v>1267</v>
      </c>
      <c r="D318" s="118">
        <f>VLOOKUP(A318,JanApport,MATCH($D$4,'Jan 2022 Apport'!$3:$3,FALSE),FALSE)</f>
        <v>2369861.23</v>
      </c>
      <c r="E318" s="30">
        <f>VLOOKUP(A318,JanApport,MATCH($E$2,'Jan 2022 Apport'!$3:$3,0),FALSE)+VLOOKUP(A318,JanApport,MATCH($E$3,'Jan 2022 Apport'!$3:$3,0),FALSE)+VLOOKUP(A318,JanApport,MATCH($E$4,'Jan 2022 Apport'!$3:$3,0),FALSE)</f>
        <v>98820.709999999992</v>
      </c>
      <c r="F318" s="118">
        <f t="shared" si="43"/>
        <v>2271040.52</v>
      </c>
      <c r="G318" s="117">
        <f>VLOOKUP(A318,JanApport,MATCH($G$4,'Jan 2022 Apport'!$3:$3,0),FALSE)</f>
        <v>0</v>
      </c>
      <c r="H318" s="117">
        <f>VLOOKUP(A318,JanApport,MATCH($H$3,'Jan 2022 Apport'!$3:$3,0),FALSE)+VLOOKUP(A318,JanApport,MATCH($H$2,'Jan 2022 Apport'!$3:$3,0),FALSE)+VLOOKUP(A318,JanApport,MATCH($H$4,'Jan 2022 Apport'!$3:$3,0),FALSE)</f>
        <v>160979.95000000001</v>
      </c>
      <c r="I318" s="117">
        <f t="shared" si="44"/>
        <v>160979.95000000001</v>
      </c>
      <c r="J318" s="117">
        <f>VLOOKUP(A318,JanApport,MATCH($J$4,'Jan 2022 Apport'!$3:$3,0),FALSE)</f>
        <v>87052.23</v>
      </c>
      <c r="K318" s="117">
        <f>VLOOKUP(A318,JanApport,MATCH($K$4,'Jan 2022 Apport'!$3:$3,0),FALSE)</f>
        <v>14322.46</v>
      </c>
      <c r="L318" s="117">
        <f t="shared" si="45"/>
        <v>101374.69</v>
      </c>
      <c r="M318" s="117">
        <f>VLOOKUP(A318,JanApport,MATCH($M$4,'Jan 2022 Apport'!$3:$3,0),FALSE)</f>
        <v>56939.839999999997</v>
      </c>
      <c r="N318" s="117">
        <f>VLOOKUP(A318,JanApport,MATCH($N$4,'Jan 2022 Apport'!$3:$3,0),FALSE)</f>
        <v>0</v>
      </c>
      <c r="O318" s="117">
        <f>VLOOKUP(A318,JanApport,MATCH($O$4,'Jan 2022 Apport'!$3:$3,0),FALSE)</f>
        <v>0</v>
      </c>
      <c r="P318" s="121">
        <f>IFERROR((VLOOKUP(A318,ExcessLevy!A:G,3,FALSE)*0.28),0)+IFERROR((VLOOKUP(A318,ExcessLevy!A:G,6,FALSE)*0.72),0)</f>
        <v>71213.703600000008</v>
      </c>
      <c r="Q318" s="121">
        <f>IFERROR((VLOOKUP(A318,ExcessLevy!A:G,4,FALSE)*0.4738),0)+IFERROR((VLOOKUP(A318,ExcessLevy!A:G,7,FALSE)*0.5262),0)</f>
        <v>346572.03500000003</v>
      </c>
      <c r="R318">
        <f>VLOOKUP(A318,JanApport,MATCH($R$4,'Jan 2022 Apport'!$3:$3,0),FALSE)</f>
        <v>0</v>
      </c>
      <c r="S318">
        <f>VLOOKUP(A318,JanApport,MATCH($S$4,'Jan 2022 Apport'!$3:$3,0),FALSE)</f>
        <v>4.26</v>
      </c>
      <c r="T318">
        <f>VLOOKUP(A318,JanApport,MATCH($T$4,'Jan 2022 Apport'!$3:$3,0),FALSE)</f>
        <v>6.81</v>
      </c>
      <c r="U318" s="132">
        <f>IFERROR(VLOOKUP(A318,JanApport,MATCH($U$4,'Jan 2022 Apport'!$3:$3,0),FALSE)/R318,0)</f>
        <v>0</v>
      </c>
      <c r="V318" s="30">
        <f>IFERROR(((VLOOKUP(A318,JanApport,MATCH($V$4,'Jan 2022 Apport'!$3:$3,0),FALSE)+VLOOKUP(A318,JanApport,MATCH($V$3,'Jan 2022 Apport'!$3:$3,0),FALSE))/(S318+T318)),0)</f>
        <v>8926.893405600722</v>
      </c>
      <c r="W318" s="30">
        <f t="shared" si="38"/>
        <v>8083.6246967786601</v>
      </c>
      <c r="X318">
        <f>VLOOKUP(A318,JanApport,MATCH($X$4,'Jan 2022 Apport'!$3:$3,0),FALSE)</f>
        <v>4.8578999999999997E-2</v>
      </c>
      <c r="Y318">
        <f>VLOOKUP(A318,JanApport,MATCH($Y$4,'Jan 2022 Apport'!$3:$3,0),FALSE)</f>
        <v>4.0270000000000002E-3</v>
      </c>
      <c r="Z318">
        <f>VLOOKUP(A318,JanApport,MATCH($Z$4,'Jan 2022 Apport'!$3:$3,0),FALSE)</f>
        <v>1.7100000000000001E-2</v>
      </c>
      <c r="AA318" s="77">
        <f>VLOOKUP(A318,JanApport,MATCH($AA$4,'Jan 2022 Apport'!$3:$3,0),FALSE)*VLOOKUP(A318,JanApport,MATCH($AA$3,'Jan 2022 Apport'!$3:$3,0),FALSE)</f>
        <v>67585</v>
      </c>
      <c r="AB318" s="77">
        <f>VLOOKUP(A318,JanApport,MATCH($AB$4,'Jan 2022 Apport'!$3:$3,0),FALSE)*VLOOKUP(A318,JanApport,MATCH($AB$3,'Jan 2022 Apport'!$3:$3,0),FALSE)</f>
        <v>68937</v>
      </c>
      <c r="AC318" s="77">
        <f>VLOOKUP(A318,JanApport,MATCH($AC$4,'Jan 2022 Apport'!$3:$3,0),FALSE)</f>
        <v>100321</v>
      </c>
      <c r="AD318" s="77">
        <f>VLOOKUP(A318,JanApport,MATCH($AD$4,'Jan 2022 Apport'!$3:$3,0),FALSE)*VLOOKUP(A318,JanApport,MATCH($AD$3,'Jan 2022 Apport'!$3:$3,0),FALSE)</f>
        <v>102327</v>
      </c>
      <c r="AE318" s="77">
        <f>VLOOKUP(A318,JanApport,MATCH($AE$4,'Jan 2022 Apport'!$3:$3,0),FALSE)</f>
        <v>48483</v>
      </c>
      <c r="AF318" s="77">
        <f>VLOOKUP(A318,JanApport,MATCH($AF$4,'Jan 2022 Apport'!$3:$3,0),FALSE)*VLOOKUP(A318,JanApport,MATCH($AF$3,'Jan 2022 Apport'!$3:$3,0),FALSE)</f>
        <v>49453</v>
      </c>
      <c r="AG318" s="77">
        <f t="shared" si="39"/>
        <v>96432.259900000005</v>
      </c>
      <c r="AH318" s="77">
        <f t="shared" si="40"/>
        <v>137400.94330000001</v>
      </c>
      <c r="AI318" s="77">
        <f t="shared" si="41"/>
        <v>77281.189732599989</v>
      </c>
      <c r="AJ318" s="3">
        <f>VLOOKUP(A318,JanApport,MATCH($AJ$4,'Jan 2022 Apport'!$3:$3,0),FALSE)</f>
        <v>290830.39</v>
      </c>
      <c r="AK318" s="3">
        <f>VLOOKUP(A318,JanApport,MATCH($AK$4,'Jan 2022 Apport'!$3:$3,0),FALSE)</f>
        <v>3.2879999999999998</v>
      </c>
      <c r="AL318" s="117">
        <f t="shared" si="42"/>
        <v>2717195.71</v>
      </c>
      <c r="AM318" s="117">
        <f>VLOOKUP(A318,JanApport,MATCH($AM$4,'Jan 2022 Apport'!$3:$3,0),FALSE)</f>
        <v>42362.46</v>
      </c>
      <c r="AN318" s="117">
        <f>VLOOKUP(A318,JanApport,MATCH($AN$4,'Jan 2022 Apport'!$3:$3,0),FALSE)</f>
        <v>20827.47</v>
      </c>
    </row>
    <row r="319" spans="1:40">
      <c r="A319" s="2" t="s">
        <v>251</v>
      </c>
      <c r="B319" s="2" t="s">
        <v>252</v>
      </c>
      <c r="C319" s="2" t="s">
        <v>1267</v>
      </c>
      <c r="D319" s="118">
        <f>VLOOKUP(A319,JanApport,MATCH($D$4,'Jan 2022 Apport'!$3:$3,FALSE),FALSE)</f>
        <v>1951544.55</v>
      </c>
      <c r="E319" s="30">
        <f>VLOOKUP(A319,JanApport,MATCH($E$2,'Jan 2022 Apport'!$3:$3,0),FALSE)+VLOOKUP(A319,JanApport,MATCH($E$3,'Jan 2022 Apport'!$3:$3,0),FALSE)+VLOOKUP(A319,JanApport,MATCH($E$4,'Jan 2022 Apport'!$3:$3,0),FALSE)</f>
        <v>23168</v>
      </c>
      <c r="F319" s="118">
        <f t="shared" si="43"/>
        <v>1928376.55</v>
      </c>
      <c r="G319" s="117">
        <f>VLOOKUP(A319,JanApport,MATCH($G$4,'Jan 2022 Apport'!$3:$3,0),FALSE)</f>
        <v>9877.68</v>
      </c>
      <c r="H319" s="117">
        <f>VLOOKUP(A319,JanApport,MATCH($H$3,'Jan 2022 Apport'!$3:$3,0),FALSE)+VLOOKUP(A319,JanApport,MATCH($H$2,'Jan 2022 Apport'!$3:$3,0),FALSE)+VLOOKUP(A319,JanApport,MATCH($H$4,'Jan 2022 Apport'!$3:$3,0),FALSE)</f>
        <v>42225.89</v>
      </c>
      <c r="I319" s="117">
        <f t="shared" si="44"/>
        <v>52103.57</v>
      </c>
      <c r="J319" s="117">
        <f>VLOOKUP(A319,JanApport,MATCH($J$4,'Jan 2022 Apport'!$3:$3,0),FALSE)</f>
        <v>47386.28</v>
      </c>
      <c r="K319" s="117">
        <f>VLOOKUP(A319,JanApport,MATCH($K$4,'Jan 2022 Apport'!$3:$3,0),FALSE)</f>
        <v>28579.59</v>
      </c>
      <c r="L319" s="117">
        <f t="shared" si="45"/>
        <v>75965.87</v>
      </c>
      <c r="M319" s="117">
        <f>VLOOKUP(A319,JanApport,MATCH($M$4,'Jan 2022 Apport'!$3:$3,0),FALSE)</f>
        <v>35220.53</v>
      </c>
      <c r="N319" s="117">
        <f>VLOOKUP(A319,JanApport,MATCH($N$4,'Jan 2022 Apport'!$3:$3,0),FALSE)</f>
        <v>0</v>
      </c>
      <c r="O319" s="117">
        <f>VLOOKUP(A319,JanApport,MATCH($O$4,'Jan 2022 Apport'!$3:$3,0),FALSE)</f>
        <v>0</v>
      </c>
      <c r="P319" s="121">
        <f>IFERROR((VLOOKUP(A319,ExcessLevy!A:G,3,FALSE)*0.28),0)+IFERROR((VLOOKUP(A319,ExcessLevy!A:G,6,FALSE)*0.72),0)</f>
        <v>22949.5236</v>
      </c>
      <c r="Q319" s="121">
        <f>IFERROR((VLOOKUP(A319,ExcessLevy!A:G,4,FALSE)*0.4738),0)+IFERROR((VLOOKUP(A319,ExcessLevy!A:G,7,FALSE)*0.5262),0)</f>
        <v>75000</v>
      </c>
      <c r="R319">
        <f>VLOOKUP(A319,JanApport,MATCH($R$4,'Jan 2022 Apport'!$3:$3,0),FALSE)</f>
        <v>0</v>
      </c>
      <c r="S319">
        <f>VLOOKUP(A319,JanApport,MATCH($S$4,'Jan 2022 Apport'!$3:$3,0),FALSE)</f>
        <v>0</v>
      </c>
      <c r="T319">
        <f>VLOOKUP(A319,JanApport,MATCH($T$4,'Jan 2022 Apport'!$3:$3,0),FALSE)</f>
        <v>2.59</v>
      </c>
      <c r="U319" s="132">
        <f>IFERROR(VLOOKUP(A319,JanApport,MATCH($U$4,'Jan 2022 Apport'!$3:$3,0),FALSE)/R319,0)</f>
        <v>0</v>
      </c>
      <c r="V319" s="30">
        <f>IFERROR(((VLOOKUP(A319,JanApport,MATCH($V$4,'Jan 2022 Apport'!$3:$3,0),FALSE)+VLOOKUP(A319,JanApport,MATCH($V$3,'Jan 2022 Apport'!$3:$3,0),FALSE))/(S319+T319)),0)</f>
        <v>8945.1737451737463</v>
      </c>
      <c r="W319" s="30">
        <f t="shared" si="38"/>
        <v>8083.6246967786601</v>
      </c>
      <c r="X319">
        <f>VLOOKUP(A319,JanApport,MATCH($X$4,'Jan 2022 Apport'!$3:$3,0),FALSE)</f>
        <v>4.8578999999999997E-2</v>
      </c>
      <c r="Y319">
        <f>VLOOKUP(A319,JanApport,MATCH($Y$4,'Jan 2022 Apport'!$3:$3,0),FALSE)</f>
        <v>4.0270000000000002E-3</v>
      </c>
      <c r="Z319">
        <f>VLOOKUP(A319,JanApport,MATCH($Z$4,'Jan 2022 Apport'!$3:$3,0),FALSE)</f>
        <v>1.7100000000000001E-2</v>
      </c>
      <c r="AA319" s="77">
        <f>VLOOKUP(A319,JanApport,MATCH($AA$4,'Jan 2022 Apport'!$3:$3,0),FALSE)*VLOOKUP(A319,JanApport,MATCH($AA$3,'Jan 2022 Apport'!$3:$3,0),FALSE)</f>
        <v>67585</v>
      </c>
      <c r="AB319" s="77">
        <f>VLOOKUP(A319,JanApport,MATCH($AB$4,'Jan 2022 Apport'!$3:$3,0),FALSE)*VLOOKUP(A319,JanApport,MATCH($AB$3,'Jan 2022 Apport'!$3:$3,0),FALSE)</f>
        <v>68937</v>
      </c>
      <c r="AC319" s="77">
        <f>VLOOKUP(A319,JanApport,MATCH($AC$4,'Jan 2022 Apport'!$3:$3,0),FALSE)</f>
        <v>100321</v>
      </c>
      <c r="AD319" s="77">
        <f>VLOOKUP(A319,JanApport,MATCH($AD$4,'Jan 2022 Apport'!$3:$3,0),FALSE)*VLOOKUP(A319,JanApport,MATCH($AD$3,'Jan 2022 Apport'!$3:$3,0),FALSE)</f>
        <v>102327</v>
      </c>
      <c r="AE319" s="77">
        <f>VLOOKUP(A319,JanApport,MATCH($AE$4,'Jan 2022 Apport'!$3:$3,0),FALSE)</f>
        <v>48483</v>
      </c>
      <c r="AF319" s="77">
        <f>VLOOKUP(A319,JanApport,MATCH($AF$4,'Jan 2022 Apport'!$3:$3,0),FALSE)*VLOOKUP(A319,JanApport,MATCH($AF$3,'Jan 2022 Apport'!$3:$3,0),FALSE)</f>
        <v>49453</v>
      </c>
      <c r="AG319" s="77">
        <f t="shared" si="39"/>
        <v>96432.259900000005</v>
      </c>
      <c r="AH319" s="77">
        <f t="shared" si="40"/>
        <v>137400.94330000001</v>
      </c>
      <c r="AI319" s="77">
        <f t="shared" si="41"/>
        <v>77281.189732599989</v>
      </c>
      <c r="AJ319" s="3">
        <f>VLOOKUP(A319,JanApport,MATCH($AJ$4,'Jan 2022 Apport'!$3:$3,0),FALSE)</f>
        <v>201318.22</v>
      </c>
      <c r="AK319" s="3">
        <f>VLOOKUP(A319,JanApport,MATCH($AK$4,'Jan 2022 Apport'!$3:$3,0),FALSE)</f>
        <v>1.1140000000000001</v>
      </c>
      <c r="AL319" s="117">
        <f t="shared" si="42"/>
        <v>2053326.9700000002</v>
      </c>
      <c r="AM319" s="117">
        <f>VLOOKUP(A319,JanApport,MATCH($AM$4,'Jan 2022 Apport'!$3:$3,0),FALSE)</f>
        <v>19175.61</v>
      </c>
      <c r="AN319" s="117">
        <f>VLOOKUP(A319,JanApport,MATCH($AN$4,'Jan 2022 Apport'!$3:$3,0),FALSE)</f>
        <v>17612.88</v>
      </c>
    </row>
    <row r="320" spans="1:40">
      <c r="A320" s="2" t="s">
        <v>85</v>
      </c>
      <c r="B320" s="2" t="s">
        <v>86</v>
      </c>
      <c r="C320" s="2" t="s">
        <v>1267</v>
      </c>
      <c r="D320" s="118">
        <f>VLOOKUP(A320,JanApport,MATCH($D$4,'Jan 2022 Apport'!$3:$3,FALSE),FALSE)</f>
        <v>20566595.420000002</v>
      </c>
      <c r="E320" s="30">
        <f>VLOOKUP(A320,JanApport,MATCH($E$2,'Jan 2022 Apport'!$3:$3,0),FALSE)+VLOOKUP(A320,JanApport,MATCH($E$3,'Jan 2022 Apport'!$3:$3,0),FALSE)+VLOOKUP(A320,JanApport,MATCH($E$4,'Jan 2022 Apport'!$3:$3,0),FALSE)</f>
        <v>770928.49</v>
      </c>
      <c r="F320" s="118">
        <f t="shared" si="43"/>
        <v>19795666.930000003</v>
      </c>
      <c r="G320" s="117">
        <f>VLOOKUP(A320,JanApport,MATCH($G$4,'Jan 2022 Apport'!$3:$3,0),FALSE)</f>
        <v>214010.7</v>
      </c>
      <c r="H320" s="117">
        <f>VLOOKUP(A320,JanApport,MATCH($H$3,'Jan 2022 Apport'!$3:$3,0),FALSE)+VLOOKUP(A320,JanApport,MATCH($H$2,'Jan 2022 Apport'!$3:$3,0),FALSE)+VLOOKUP(A320,JanApport,MATCH($H$4,'Jan 2022 Apport'!$3:$3,0),FALSE)</f>
        <v>2758259.1100000003</v>
      </c>
      <c r="I320" s="117">
        <f t="shared" si="44"/>
        <v>2972269.8100000005</v>
      </c>
      <c r="J320" s="117">
        <f>VLOOKUP(A320,JanApport,MATCH($J$4,'Jan 2022 Apport'!$3:$3,0),FALSE)</f>
        <v>5698032.5099999998</v>
      </c>
      <c r="K320" s="117">
        <f>VLOOKUP(A320,JanApport,MATCH($K$4,'Jan 2022 Apport'!$3:$3,0),FALSE)</f>
        <v>933620.68</v>
      </c>
      <c r="L320" s="117">
        <f t="shared" si="45"/>
        <v>6631653.1899999995</v>
      </c>
      <c r="M320" s="117">
        <f>VLOOKUP(A320,JanApport,MATCH($M$4,'Jan 2022 Apport'!$3:$3,0),FALSE)</f>
        <v>619783.37</v>
      </c>
      <c r="N320" s="117">
        <f>VLOOKUP(A320,JanApport,MATCH($N$4,'Jan 2022 Apport'!$3:$3,0),FALSE)</f>
        <v>313560.49</v>
      </c>
      <c r="O320" s="117">
        <f>VLOOKUP(A320,JanApport,MATCH($O$4,'Jan 2022 Apport'!$3:$3,0),FALSE)</f>
        <v>66136.31</v>
      </c>
      <c r="P320" s="121">
        <f>IFERROR((VLOOKUP(A320,ExcessLevy!A:G,3,FALSE)*0.28),0)+IFERROR((VLOOKUP(A320,ExcessLevy!A:G,6,FALSE)*0.72),0)</f>
        <v>329329.54240000003</v>
      </c>
      <c r="Q320" s="121">
        <f>IFERROR((VLOOKUP(A320,ExcessLevy!A:G,4,FALSE)*0.4738),0)+IFERROR((VLOOKUP(A320,ExcessLevy!A:G,7,FALSE)*0.5262),0)</f>
        <v>5584170</v>
      </c>
      <c r="R320">
        <f>VLOOKUP(A320,JanApport,MATCH($R$4,'Jan 2022 Apport'!$3:$3,0),FALSE)</f>
        <v>0</v>
      </c>
      <c r="S320">
        <f>VLOOKUP(A320,JanApport,MATCH($S$4,'Jan 2022 Apport'!$3:$3,0),FALSE)</f>
        <v>3.34</v>
      </c>
      <c r="T320">
        <f>VLOOKUP(A320,JanApport,MATCH($T$4,'Jan 2022 Apport'!$3:$3,0),FALSE)</f>
        <v>83.07</v>
      </c>
      <c r="U320" s="132">
        <f>IFERROR(VLOOKUP(A320,JanApport,MATCH($U$4,'Jan 2022 Apport'!$3:$3,0),FALSE)/R320,0)</f>
        <v>0</v>
      </c>
      <c r="V320" s="30">
        <f>IFERROR(((VLOOKUP(A320,JanApport,MATCH($V$4,'Jan 2022 Apport'!$3:$3,0),FALSE)+VLOOKUP(A320,JanApport,MATCH($V$3,'Jan 2022 Apport'!$3:$3,0),FALSE))/(S320+T320)),0)</f>
        <v>8921.7508390232615</v>
      </c>
      <c r="W320" s="30">
        <f t="shared" si="38"/>
        <v>8083.6246967786601</v>
      </c>
      <c r="X320">
        <f>VLOOKUP(A320,JanApport,MATCH($X$4,'Jan 2022 Apport'!$3:$3,0),FALSE)</f>
        <v>4.8578999999999997E-2</v>
      </c>
      <c r="Y320">
        <f>VLOOKUP(A320,JanApport,MATCH($Y$4,'Jan 2022 Apport'!$3:$3,0),FALSE)</f>
        <v>4.0270000000000002E-3</v>
      </c>
      <c r="Z320">
        <f>VLOOKUP(A320,JanApport,MATCH($Z$4,'Jan 2022 Apport'!$3:$3,0),FALSE)</f>
        <v>1.7100000000000001E-2</v>
      </c>
      <c r="AA320" s="77">
        <f>VLOOKUP(A320,JanApport,MATCH($AA$4,'Jan 2022 Apport'!$3:$3,0),FALSE)*VLOOKUP(A320,JanApport,MATCH($AA$3,'Jan 2022 Apport'!$3:$3,0),FALSE)</f>
        <v>67585</v>
      </c>
      <c r="AB320" s="77">
        <f>VLOOKUP(A320,JanApport,MATCH($AB$4,'Jan 2022 Apport'!$3:$3,0),FALSE)*VLOOKUP(A320,JanApport,MATCH($AB$3,'Jan 2022 Apport'!$3:$3,0),FALSE)</f>
        <v>68937</v>
      </c>
      <c r="AC320" s="77">
        <f>VLOOKUP(A320,JanApport,MATCH($AC$4,'Jan 2022 Apport'!$3:$3,0),FALSE)</f>
        <v>100321</v>
      </c>
      <c r="AD320" s="77">
        <f>VLOOKUP(A320,JanApport,MATCH($AD$4,'Jan 2022 Apport'!$3:$3,0),FALSE)*VLOOKUP(A320,JanApport,MATCH($AD$3,'Jan 2022 Apport'!$3:$3,0),FALSE)</f>
        <v>102327</v>
      </c>
      <c r="AE320" s="77">
        <f>VLOOKUP(A320,JanApport,MATCH($AE$4,'Jan 2022 Apport'!$3:$3,0),FALSE)</f>
        <v>48483</v>
      </c>
      <c r="AF320" s="77">
        <f>VLOOKUP(A320,JanApport,MATCH($AF$4,'Jan 2022 Apport'!$3:$3,0),FALSE)*VLOOKUP(A320,JanApport,MATCH($AF$3,'Jan 2022 Apport'!$3:$3,0),FALSE)</f>
        <v>49453</v>
      </c>
      <c r="AG320" s="77">
        <f t="shared" si="39"/>
        <v>96432.259900000005</v>
      </c>
      <c r="AH320" s="77">
        <f t="shared" si="40"/>
        <v>137400.94330000001</v>
      </c>
      <c r="AI320" s="77">
        <f t="shared" si="41"/>
        <v>77281.189732599989</v>
      </c>
      <c r="AJ320" s="3">
        <f>VLOOKUP(A320,JanApport,MATCH($AJ$4,'Jan 2022 Apport'!$3:$3,0),FALSE)</f>
        <v>2834318.13</v>
      </c>
      <c r="AK320" s="3">
        <f>VLOOKUP(A320,JanApport,MATCH($AK$4,'Jan 2022 Apport'!$3:$3,0),FALSE)</f>
        <v>46.277000000000001</v>
      </c>
      <c r="AL320" s="117">
        <f t="shared" si="42"/>
        <v>30381662.57</v>
      </c>
      <c r="AM320" s="117">
        <f>VLOOKUP(A320,JanApport,MATCH($AM$4,'Jan 2022 Apport'!$3:$3,0),FALSE)</f>
        <v>145284.66</v>
      </c>
      <c r="AN320" s="117">
        <f>VLOOKUP(A320,JanApport,MATCH($AN$4,'Jan 2022 Apport'!$3:$3,0),FALSE)</f>
        <v>157235.49</v>
      </c>
    </row>
    <row r="321" spans="1:40">
      <c r="A321" s="2" t="s">
        <v>1039</v>
      </c>
      <c r="B321" s="2" t="s">
        <v>1045</v>
      </c>
      <c r="C321" s="2" t="s">
        <v>1267</v>
      </c>
      <c r="D321" s="118">
        <f>VLOOKUP(A321,JanApport,MATCH($D$4,'Jan 2022 Apport'!$3:$3,FALSE),FALSE)</f>
        <v>1424977.35</v>
      </c>
      <c r="E321" s="30">
        <f>VLOOKUP(A321,JanApport,MATCH($E$2,'Jan 2022 Apport'!$3:$3,0),FALSE)+VLOOKUP(A321,JanApport,MATCH($E$3,'Jan 2022 Apport'!$3:$3,0),FALSE)+VLOOKUP(A321,JanApport,MATCH($E$4,'Jan 2022 Apport'!$3:$3,0),FALSE)</f>
        <v>0</v>
      </c>
      <c r="F321" s="118">
        <f>D321-E321</f>
        <v>1424977.35</v>
      </c>
      <c r="G321" s="117">
        <f>VLOOKUP(A321,JanApport,MATCH($G$4,'Jan 2022 Apport'!$3:$3,0),FALSE)</f>
        <v>0</v>
      </c>
      <c r="H321" s="117">
        <f>VLOOKUP(A321,JanApport,MATCH($H$3,'Jan 2022 Apport'!$3:$3,0),FALSE)+VLOOKUP(A321,JanApport,MATCH($H$2,'Jan 2022 Apport'!$3:$3,0),FALSE)+VLOOKUP(A321,JanApport,MATCH($H$4,'Jan 2022 Apport'!$3:$3,0),FALSE)</f>
        <v>142734.84</v>
      </c>
      <c r="I321" s="117">
        <f>SUM(G321:H321)</f>
        <v>142734.84</v>
      </c>
      <c r="J321" s="117">
        <f>VLOOKUP(A321,JanApport,MATCH($J$4,'Jan 2022 Apport'!$3:$3,0),FALSE)</f>
        <v>0</v>
      </c>
      <c r="K321" s="117">
        <f>VLOOKUP(A321,JanApport,MATCH($K$4,'Jan 2022 Apport'!$3:$3,0),FALSE)</f>
        <v>0</v>
      </c>
      <c r="L321" s="117">
        <f>K321+J321</f>
        <v>0</v>
      </c>
      <c r="M321" s="117">
        <f>VLOOKUP(A321,JanApport,MATCH($M$4,'Jan 2022 Apport'!$3:$3,0),FALSE)</f>
        <v>0</v>
      </c>
      <c r="N321" s="117">
        <f>VLOOKUP(A321,JanApport,MATCH($N$4,'Jan 2022 Apport'!$3:$3,0),FALSE)</f>
        <v>0</v>
      </c>
      <c r="O321" s="117">
        <f>VLOOKUP(A321,JanApport,MATCH($O$4,'Jan 2022 Apport'!$3:$3,0),FALSE)</f>
        <v>0</v>
      </c>
      <c r="P321" s="121">
        <f>IFERROR((VLOOKUP(A321,ExcessLevy!A:G,3,FALSE)*0.28),0)+IFERROR((VLOOKUP(A321,ExcessLevy!A:G,6,FALSE)*0.72),0)</f>
        <v>24445.281599999998</v>
      </c>
      <c r="Q321" s="121">
        <f>IFERROR((VLOOKUP(A321,ExcessLevy!A:G,4,FALSE)*0.4738),0)+IFERROR((VLOOKUP(A321,ExcessLevy!A:G,7,FALSE)*0.5262),0)</f>
        <v>0</v>
      </c>
      <c r="R321">
        <f>VLOOKUP(A321,JanApport,MATCH($R$4,'Jan 2022 Apport'!$3:$3,0),FALSE)</f>
        <v>0</v>
      </c>
      <c r="S321">
        <f>VLOOKUP(A321,JanApport,MATCH($S$4,'Jan 2022 Apport'!$3:$3,0),FALSE)</f>
        <v>0</v>
      </c>
      <c r="T321">
        <f>VLOOKUP(A321,JanApport,MATCH($T$4,'Jan 2022 Apport'!$3:$3,0),FALSE)</f>
        <v>0</v>
      </c>
      <c r="U321" s="132">
        <f>IFERROR(VLOOKUP(A321,JanApport,MATCH($U$4,'Jan 2022 Apport'!$3:$3,0),FALSE)/R321,0)</f>
        <v>0</v>
      </c>
      <c r="V321" s="30">
        <f>IFERROR(((VLOOKUP(A321,JanApport,MATCH($V$4,'Jan 2022 Apport'!$3:$3,0),FALSE)+VLOOKUP(A321,JanApport,MATCH($V$3,'Jan 2022 Apport'!$3:$3,0),FALSE))/(S321+T321)),0)</f>
        <v>0</v>
      </c>
      <c r="W321" s="30">
        <f>(AG321*X321)+(AH321*Y321)+(AI321*Z321)+(MSOC+MSOC912ehc)</f>
        <v>8083.6246967786601</v>
      </c>
      <c r="X321">
        <f>VLOOKUP(A321,JanApport,MATCH($X$4,'Jan 2022 Apport'!$3:$3,0),FALSE)</f>
        <v>4.8578999999999997E-2</v>
      </c>
      <c r="Y321">
        <f>VLOOKUP(A321,JanApport,MATCH($Y$4,'Jan 2022 Apport'!$3:$3,0),FALSE)</f>
        <v>4.0270000000000002E-3</v>
      </c>
      <c r="Z321">
        <f>VLOOKUP(A321,JanApport,MATCH($Z$4,'Jan 2022 Apport'!$3:$3,0),FALSE)</f>
        <v>1.7100000000000001E-2</v>
      </c>
      <c r="AA321" s="77">
        <f>VLOOKUP(A321,JanApport,MATCH($AA$4,'Jan 2022 Apport'!$3:$3,0),FALSE)*VLOOKUP(A321,JanApport,MATCH($AA$3,'Jan 2022 Apport'!$3:$3,0),FALSE)</f>
        <v>67585</v>
      </c>
      <c r="AB321" s="77">
        <f>VLOOKUP(A321,JanApport,MATCH($AB$4,'Jan 2022 Apport'!$3:$3,0),FALSE)*VLOOKUP(A321,JanApport,MATCH($AB$3,'Jan 2022 Apport'!$3:$3,0),FALSE)</f>
        <v>68937</v>
      </c>
      <c r="AC321" s="77">
        <f>VLOOKUP(A321,JanApport,MATCH($AC$4,'Jan 2022 Apport'!$3:$3,0),FALSE)</f>
        <v>100321</v>
      </c>
      <c r="AD321" s="77">
        <f>VLOOKUP(A321,JanApport,MATCH($AD$4,'Jan 2022 Apport'!$3:$3,0),FALSE)*VLOOKUP(A321,JanApport,MATCH($AD$3,'Jan 2022 Apport'!$3:$3,0),FALSE)</f>
        <v>102327</v>
      </c>
      <c r="AE321" s="77">
        <f>VLOOKUP(A321,JanApport,MATCH($AE$4,'Jan 2022 Apport'!$3:$3,0),FALSE)</f>
        <v>48483</v>
      </c>
      <c r="AF321" s="77">
        <f>VLOOKUP(A321,JanApport,MATCH($AF$4,'Jan 2022 Apport'!$3:$3,0),FALSE)*VLOOKUP(A321,JanApport,MATCH($AF$3,'Jan 2022 Apport'!$3:$3,0),FALSE)</f>
        <v>49453</v>
      </c>
      <c r="AG321" s="77">
        <f>(AA321*(1+CertMaint))+((AB321-AA321)*(1+CertInc))+(Insrate*Certinsfactor*12)</f>
        <v>96432.259900000005</v>
      </c>
      <c r="AH321" s="77">
        <f>(AC321*(1+CertMaint))+((AD321-AC321)*(1+CertInc))+(Insrate*Certinsfactor*12)</f>
        <v>137400.94330000001</v>
      </c>
      <c r="AI321" s="77">
        <f>(AE321*(1+ClassMaint))+((AF321-AE321)*(1+ClassInc))+(Insrate*Classinsfactor*12)</f>
        <v>77281.189732599989</v>
      </c>
      <c r="AJ321" s="3">
        <f>VLOOKUP(A321,JanApport,MATCH($AJ$4,'Jan 2022 Apport'!$3:$3,0),FALSE)</f>
        <v>283512.78999999998</v>
      </c>
      <c r="AK321" s="3">
        <f>VLOOKUP(A321,JanApport,MATCH($AK$4,'Jan 2022 Apport'!$3:$3,0),FALSE)</f>
        <v>0</v>
      </c>
      <c r="AL321" s="117">
        <f>SUM(F321+J321+M321+N321+O321+E321+AM321)+VLOOKUP(A321,SpEd_Apport,4,FALSE)</f>
        <v>1567712.1900000002</v>
      </c>
      <c r="AM321" s="117">
        <f>VLOOKUP(A321,JanApport,MATCH($AM$4,'Jan 2022 Apport'!$3:$3,0),FALSE)</f>
        <v>0</v>
      </c>
      <c r="AN321" s="117">
        <f>VLOOKUP(A321,JanApport,MATCH($AN$4,'Jan 2022 Apport'!$3:$3,0),FALSE)</f>
        <v>9624.11</v>
      </c>
    </row>
    <row r="322" spans="1:40">
      <c r="A322" s="2" t="s">
        <v>585</v>
      </c>
      <c r="B322" s="2" t="s">
        <v>586</v>
      </c>
      <c r="C322" s="2" t="s">
        <v>1267</v>
      </c>
      <c r="D322" s="118">
        <f>VLOOKUP(A322,JanApport,MATCH($D$4,'Jan 2022 Apport'!$3:$3,FALSE),FALSE)</f>
        <v>136878813.41</v>
      </c>
      <c r="E322" s="30">
        <f>VLOOKUP(A322,JanApport,MATCH($E$2,'Jan 2022 Apport'!$3:$3,0),FALSE)+VLOOKUP(A322,JanApport,MATCH($E$3,'Jan 2022 Apport'!$3:$3,0),FALSE)+VLOOKUP(A322,JanApport,MATCH($E$4,'Jan 2022 Apport'!$3:$3,0),FALSE)</f>
        <v>16442557.970000003</v>
      </c>
      <c r="F322" s="118">
        <f>D322-E322</f>
        <v>120436255.44</v>
      </c>
      <c r="G322" s="117">
        <f>VLOOKUP(A322,JanApport,MATCH($G$4,'Jan 2022 Apport'!$3:$3,0),FALSE)</f>
        <v>1792062.72</v>
      </c>
      <c r="H322" s="117">
        <f>VLOOKUP(A322,JanApport,MATCH($H$3,'Jan 2022 Apport'!$3:$3,0),FALSE)+VLOOKUP(A322,JanApport,MATCH($H$2,'Jan 2022 Apport'!$3:$3,0),FALSE)+VLOOKUP(A322,JanApport,MATCH($H$4,'Jan 2022 Apport'!$3:$3,0),FALSE)</f>
        <v>16561831.52</v>
      </c>
      <c r="I322" s="117">
        <f>SUM(G322:H322)</f>
        <v>18353894.239999998</v>
      </c>
      <c r="J322" s="117">
        <f>VLOOKUP(A322,JanApport,MATCH($J$4,'Jan 2022 Apport'!$3:$3,0),FALSE)</f>
        <v>3658089.27</v>
      </c>
      <c r="K322" s="117">
        <f>VLOOKUP(A322,JanApport,MATCH($K$4,'Jan 2022 Apport'!$3:$3,0),FALSE)</f>
        <v>575953.09</v>
      </c>
      <c r="L322" s="117">
        <f>K322+J322</f>
        <v>4234042.3600000003</v>
      </c>
      <c r="M322" s="117">
        <f>VLOOKUP(A322,JanApport,MATCH($M$4,'Jan 2022 Apport'!$3:$3,0),FALSE)</f>
        <v>8381310.21</v>
      </c>
      <c r="N322" s="117">
        <f>VLOOKUP(A322,JanApport,MATCH($N$4,'Jan 2022 Apport'!$3:$3,0),FALSE)</f>
        <v>7176181.3399999999</v>
      </c>
      <c r="O322" s="117">
        <f>VLOOKUP(A322,JanApport,MATCH($O$4,'Jan 2022 Apport'!$3:$3,0),FALSE)</f>
        <v>440354.36</v>
      </c>
      <c r="P322" s="121">
        <f>IFERROR((VLOOKUP(A322,ExcessLevy!A:G,3,FALSE)*0.28),0)+IFERROR((VLOOKUP(A322,ExcessLevy!A:G,6,FALSE)*0.72),0)</f>
        <v>16361259.202799998</v>
      </c>
      <c r="Q322" s="121">
        <f>IFERROR((VLOOKUP(A322,ExcessLevy!A:G,4,FALSE)*0.4738),0)+IFERROR((VLOOKUP(A322,ExcessLevy!A:G,7,FALSE)*0.5262),0)</f>
        <v>15004003.045600001</v>
      </c>
      <c r="R322">
        <f>VLOOKUP(A322,JanApport,MATCH($R$4,'Jan 2022 Apport'!$3:$3,0),FALSE)</f>
        <v>448.28</v>
      </c>
      <c r="S322">
        <f>VLOOKUP(A322,JanApport,MATCH($S$4,'Jan 2022 Apport'!$3:$3,0),FALSE)</f>
        <v>268.20999999999998</v>
      </c>
      <c r="T322">
        <f>VLOOKUP(A322,JanApport,MATCH($T$4,'Jan 2022 Apport'!$3:$3,0),FALSE)</f>
        <v>1066.55</v>
      </c>
      <c r="U322" s="132">
        <f>IFERROR(VLOOKUP(A322,JanApport,MATCH($U$4,'Jan 2022 Apport'!$3:$3,0),FALSE)/R322,0)</f>
        <v>10118.474971000269</v>
      </c>
      <c r="V322" s="30">
        <f>IFERROR(((VLOOKUP(A322,JanApport,MATCH($V$4,'Jan 2022 Apport'!$3:$3,0),FALSE)+VLOOKUP(A322,JanApport,MATCH($V$3,'Jan 2022 Apport'!$3:$3,0),FALSE))/(S322+T322)),0)</f>
        <v>8920.4411354850326</v>
      </c>
      <c r="W322" s="30">
        <f>(AG322*X322)+(AH322*Y322)+(AI322*Z322)+(MSOC+MSOC912ehc)</f>
        <v>8083.6246967786601</v>
      </c>
      <c r="X322">
        <f>VLOOKUP(A322,JanApport,MATCH($X$4,'Jan 2022 Apport'!$3:$3,0),FALSE)</f>
        <v>4.8578999999999997E-2</v>
      </c>
      <c r="Y322">
        <f>VLOOKUP(A322,JanApport,MATCH($Y$4,'Jan 2022 Apport'!$3:$3,0),FALSE)</f>
        <v>4.0270000000000002E-3</v>
      </c>
      <c r="Z322">
        <f>VLOOKUP(A322,JanApport,MATCH($Z$4,'Jan 2022 Apport'!$3:$3,0),FALSE)</f>
        <v>1.7100000000000001E-2</v>
      </c>
      <c r="AA322" s="77">
        <f>VLOOKUP(A322,JanApport,MATCH($AA$4,'Jan 2022 Apport'!$3:$3,0),FALSE)*VLOOKUP(A322,JanApport,MATCH($AA$3,'Jan 2022 Apport'!$3:$3,0),FALSE)</f>
        <v>67585</v>
      </c>
      <c r="AB322" s="77">
        <f>VLOOKUP(A322,JanApport,MATCH($AB$4,'Jan 2022 Apport'!$3:$3,0),FALSE)*VLOOKUP(A322,JanApport,MATCH($AB$3,'Jan 2022 Apport'!$3:$3,0),FALSE)</f>
        <v>68937</v>
      </c>
      <c r="AC322" s="77">
        <f>VLOOKUP(A322,JanApport,MATCH($AC$4,'Jan 2022 Apport'!$3:$3,0),FALSE)</f>
        <v>100321</v>
      </c>
      <c r="AD322" s="77">
        <f>VLOOKUP(A322,JanApport,MATCH($AD$4,'Jan 2022 Apport'!$3:$3,0),FALSE)*VLOOKUP(A322,JanApport,MATCH($AD$3,'Jan 2022 Apport'!$3:$3,0),FALSE)</f>
        <v>102327</v>
      </c>
      <c r="AE322" s="77">
        <f>VLOOKUP(A322,JanApport,MATCH($AE$4,'Jan 2022 Apport'!$3:$3,0),FALSE)</f>
        <v>48483</v>
      </c>
      <c r="AF322" s="77">
        <f>VLOOKUP(A322,JanApport,MATCH($AF$4,'Jan 2022 Apport'!$3:$3,0),FALSE)*VLOOKUP(A322,JanApport,MATCH($AF$3,'Jan 2022 Apport'!$3:$3,0),FALSE)</f>
        <v>49453</v>
      </c>
      <c r="AG322" s="77">
        <f>(AA322*(1+CertMaint))+((AB322-AA322)*(1+CertInc))+(Insrate*Certinsfactor*12)</f>
        <v>96432.259900000005</v>
      </c>
      <c r="AH322" s="77">
        <f>(AC322*(1+CertMaint))+((AD322-AC322)*(1+CertInc))+(Insrate*Certinsfactor*12)</f>
        <v>137400.94330000001</v>
      </c>
      <c r="AI322" s="77">
        <f>(AE322*(1+ClassMaint))+((AF322-AE322)*(1+ClassInc))+(Insrate*Classinsfactor*12)</f>
        <v>77281.189732599989</v>
      </c>
      <c r="AJ322" s="3">
        <f>VLOOKUP(A322,JanApport,MATCH($AJ$4,'Jan 2022 Apport'!$3:$3,0),FALSE)</f>
        <v>18728553.239999998</v>
      </c>
      <c r="AK322" s="3">
        <f>VLOOKUP(A322,JanApport,MATCH($AK$4,'Jan 2022 Apport'!$3:$3,0),FALSE)</f>
        <v>289.15699999999998</v>
      </c>
      <c r="AL322" s="117">
        <f>SUM(F322+J322+M322+N322+O322+E322+AM322)+VLOOKUP(A322,SpEd_Apport,4,FALSE)</f>
        <v>179268119.07000002</v>
      </c>
      <c r="AM322" s="117">
        <f>VLOOKUP(A322,JanApport,MATCH($AM$4,'Jan 2022 Apport'!$3:$3,0),FALSE)</f>
        <v>4379476.24</v>
      </c>
      <c r="AN322" s="117">
        <f>VLOOKUP(A322,JanApport,MATCH($AN$4,'Jan 2022 Apport'!$3:$3,0),FALSE)</f>
        <v>1017170.17</v>
      </c>
    </row>
    <row r="323" spans="1:40">
      <c r="A323" s="2" t="s">
        <v>507</v>
      </c>
      <c r="B323" s="2" t="s">
        <v>508</v>
      </c>
      <c r="C323" s="2" t="s">
        <v>1267</v>
      </c>
      <c r="D323" s="118">
        <f>VLOOKUP(A323,JanApport,MATCH($D$4,'Jan 2022 Apport'!$3:$3,FALSE),FALSE)</f>
        <v>47065295.719999999</v>
      </c>
      <c r="E323" s="30">
        <f>VLOOKUP(A323,JanApport,MATCH($E$2,'Jan 2022 Apport'!$3:$3,0),FALSE)+VLOOKUP(A323,JanApport,MATCH($E$3,'Jan 2022 Apport'!$3:$3,0),FALSE)+VLOOKUP(A323,JanApport,MATCH($E$4,'Jan 2022 Apport'!$3:$3,0),FALSE)</f>
        <v>3923403.91</v>
      </c>
      <c r="F323" s="118">
        <f>D323-E323</f>
        <v>43141891.810000002</v>
      </c>
      <c r="G323" s="117">
        <f>VLOOKUP(A323,JanApport,MATCH($G$4,'Jan 2022 Apport'!$3:$3,0),FALSE)</f>
        <v>550679.51</v>
      </c>
      <c r="H323" s="117">
        <f>VLOOKUP(A323,JanApport,MATCH($H$3,'Jan 2022 Apport'!$3:$3,0),FALSE)+VLOOKUP(A323,JanApport,MATCH($H$2,'Jan 2022 Apport'!$3:$3,0),FALSE)+VLOOKUP(A323,JanApport,MATCH($H$4,'Jan 2022 Apport'!$3:$3,0),FALSE)</f>
        <v>6294987.1500000004</v>
      </c>
      <c r="I323" s="117">
        <f>SUM(G323:H323)</f>
        <v>6845666.6600000001</v>
      </c>
      <c r="J323" s="117">
        <f>VLOOKUP(A323,JanApport,MATCH($J$4,'Jan 2022 Apport'!$3:$3,0),FALSE)</f>
        <v>4119981.02</v>
      </c>
      <c r="K323" s="117">
        <f>VLOOKUP(A323,JanApport,MATCH($K$4,'Jan 2022 Apport'!$3:$3,0),FALSE)</f>
        <v>310209.26</v>
      </c>
      <c r="L323" s="117">
        <f>K323+J323</f>
        <v>4430190.28</v>
      </c>
      <c r="M323" s="117">
        <f>VLOOKUP(A323,JanApport,MATCH($M$4,'Jan 2022 Apport'!$3:$3,0),FALSE)</f>
        <v>1522994.06</v>
      </c>
      <c r="N323" s="117">
        <f>VLOOKUP(A323,JanApport,MATCH($N$4,'Jan 2022 Apport'!$3:$3,0),FALSE)</f>
        <v>280883.68</v>
      </c>
      <c r="O323" s="117">
        <f>VLOOKUP(A323,JanApport,MATCH($O$4,'Jan 2022 Apport'!$3:$3,0),FALSE)</f>
        <v>150959.07</v>
      </c>
      <c r="P323" s="121">
        <f>IFERROR((VLOOKUP(A323,ExcessLevy!A:G,3,FALSE)*0.28),0)+IFERROR((VLOOKUP(A323,ExcessLevy!A:G,6,FALSE)*0.72),0)</f>
        <v>2340258.81</v>
      </c>
      <c r="Q323" s="121">
        <f>IFERROR((VLOOKUP(A323,ExcessLevy!A:G,4,FALSE)*0.4738),0)+IFERROR((VLOOKUP(A323,ExcessLevy!A:G,7,FALSE)*0.5262),0)</f>
        <v>10504323.102600001</v>
      </c>
      <c r="R323">
        <f>VLOOKUP(A323,JanApport,MATCH($R$4,'Jan 2022 Apport'!$3:$3,0),FALSE)</f>
        <v>0</v>
      </c>
      <c r="S323">
        <f>VLOOKUP(A323,JanApport,MATCH($S$4,'Jan 2022 Apport'!$3:$3,0),FALSE)</f>
        <v>35.25</v>
      </c>
      <c r="T323">
        <f>VLOOKUP(A323,JanApport,MATCH($T$4,'Jan 2022 Apport'!$3:$3,0),FALSE)</f>
        <v>404.5</v>
      </c>
      <c r="U323" s="132">
        <f>IFERROR(VLOOKUP(A323,JanApport,MATCH($U$4,'Jan 2022 Apport'!$3:$3,0),FALSE)/R323,0)</f>
        <v>0</v>
      </c>
      <c r="V323" s="30">
        <f>IFERROR(((VLOOKUP(A323,JanApport,MATCH($V$4,'Jan 2022 Apport'!$3:$3,0),FALSE)+VLOOKUP(A323,JanApport,MATCH($V$3,'Jan 2022 Apport'!$3:$3,0),FALSE))/(S323+T323)),0)</f>
        <v>8921.8963274587841</v>
      </c>
      <c r="W323" s="30">
        <f>(AG323*X323)+(AH323*Y323)+(AI323*Z323)+(MSOC+MSOC912ehc)</f>
        <v>8083.6246967786601</v>
      </c>
      <c r="X323">
        <f>VLOOKUP(A323,JanApport,MATCH($X$4,'Jan 2022 Apport'!$3:$3,0),FALSE)</f>
        <v>4.8578999999999997E-2</v>
      </c>
      <c r="Y323">
        <f>VLOOKUP(A323,JanApport,MATCH($Y$4,'Jan 2022 Apport'!$3:$3,0),FALSE)</f>
        <v>4.0270000000000002E-3</v>
      </c>
      <c r="Z323">
        <f>VLOOKUP(A323,JanApport,MATCH($Z$4,'Jan 2022 Apport'!$3:$3,0),FALSE)</f>
        <v>1.7100000000000001E-2</v>
      </c>
      <c r="AA323" s="77">
        <f>VLOOKUP(A323,JanApport,MATCH($AA$4,'Jan 2022 Apport'!$3:$3,0),FALSE)*VLOOKUP(A323,JanApport,MATCH($AA$3,'Jan 2022 Apport'!$3:$3,0),FALSE)</f>
        <v>67585</v>
      </c>
      <c r="AB323" s="77">
        <f>VLOOKUP(A323,JanApport,MATCH($AB$4,'Jan 2022 Apport'!$3:$3,0),FALSE)*VLOOKUP(A323,JanApport,MATCH($AB$3,'Jan 2022 Apport'!$3:$3,0),FALSE)</f>
        <v>68937</v>
      </c>
      <c r="AC323" s="77">
        <f>VLOOKUP(A323,JanApport,MATCH($AC$4,'Jan 2022 Apport'!$3:$3,0),FALSE)</f>
        <v>100321</v>
      </c>
      <c r="AD323" s="77">
        <f>VLOOKUP(A323,JanApport,MATCH($AD$4,'Jan 2022 Apport'!$3:$3,0),FALSE)*VLOOKUP(A323,JanApport,MATCH($AD$3,'Jan 2022 Apport'!$3:$3,0),FALSE)</f>
        <v>102327</v>
      </c>
      <c r="AE323" s="77">
        <f>VLOOKUP(A323,JanApport,MATCH($AE$4,'Jan 2022 Apport'!$3:$3,0),FALSE)</f>
        <v>48483</v>
      </c>
      <c r="AF323" s="77">
        <f>VLOOKUP(A323,JanApport,MATCH($AF$4,'Jan 2022 Apport'!$3:$3,0),FALSE)*VLOOKUP(A323,JanApport,MATCH($AF$3,'Jan 2022 Apport'!$3:$3,0),FALSE)</f>
        <v>49453</v>
      </c>
      <c r="AG323" s="77">
        <f>(AA323*(1+CertMaint))+((AB323-AA323)*(1+CertInc))+(Insrate*Certinsfactor*12)</f>
        <v>96432.259900000005</v>
      </c>
      <c r="AH323" s="77">
        <f>(AC323*(1+CertMaint))+((AD323-AC323)*(1+CertInc))+(Insrate*Certinsfactor*12)</f>
        <v>137400.94330000001</v>
      </c>
      <c r="AI323" s="77">
        <f>(AE323*(1+ClassMaint))+((AF323-AE323)*(1+ClassInc))+(Insrate*Classinsfactor*12)</f>
        <v>77281.189732599989</v>
      </c>
      <c r="AJ323" s="3">
        <f>VLOOKUP(A323,JanApport,MATCH($AJ$4,'Jan 2022 Apport'!$3:$3,0),FALSE)</f>
        <v>6584560.9900000002</v>
      </c>
      <c r="AK323" s="3">
        <f>VLOOKUP(A323,JanApport,MATCH($AK$4,'Jan 2022 Apport'!$3:$3,0),FALSE)</f>
        <v>109.756</v>
      </c>
      <c r="AL323" s="117">
        <f>SUM(F323+J323+M323+N323+O323+E323+AM323)+VLOOKUP(A323,SpEd_Apport,4,FALSE)</f>
        <v>60146620.590000018</v>
      </c>
      <c r="AM323" s="117">
        <f>VLOOKUP(A323,JanApport,MATCH($AM$4,'Jan 2022 Apport'!$3:$3,0),FALSE)</f>
        <v>160840.38</v>
      </c>
      <c r="AN323" s="117">
        <f>VLOOKUP(A323,JanApport,MATCH($AN$4,'Jan 2022 Apport'!$3:$3,0),FALSE)</f>
        <v>365953.38</v>
      </c>
    </row>
    <row r="324" spans="1:40">
      <c r="A324" s="2" t="s">
        <v>603</v>
      </c>
      <c r="B324" s="2" t="s">
        <v>604</v>
      </c>
      <c r="C324" s="2" t="s">
        <v>1267</v>
      </c>
      <c r="D324" s="118">
        <f>VLOOKUP(A324,JanApport,MATCH($D$4,'Jan 2022 Apport'!$3:$3,FALSE),FALSE)</f>
        <v>10856850.51</v>
      </c>
      <c r="E324" s="30">
        <f>VLOOKUP(A324,JanApport,MATCH($E$2,'Jan 2022 Apport'!$3:$3,0),FALSE)+VLOOKUP(A324,JanApport,MATCH($E$3,'Jan 2022 Apport'!$3:$3,0),FALSE)+VLOOKUP(A324,JanApport,MATCH($E$4,'Jan 2022 Apport'!$3:$3,0),FALSE)</f>
        <v>413406.8</v>
      </c>
      <c r="F324" s="118">
        <f>D324-E324</f>
        <v>10443443.709999999</v>
      </c>
      <c r="G324" s="117">
        <f>VLOOKUP(A324,JanApport,MATCH($G$4,'Jan 2022 Apport'!$3:$3,0),FALSE)</f>
        <v>57032.55</v>
      </c>
      <c r="H324" s="117">
        <f>VLOOKUP(A324,JanApport,MATCH($H$3,'Jan 2022 Apport'!$3:$3,0),FALSE)+VLOOKUP(A324,JanApport,MATCH($H$2,'Jan 2022 Apport'!$3:$3,0),FALSE)+VLOOKUP(A324,JanApport,MATCH($H$4,'Jan 2022 Apport'!$3:$3,0),FALSE)</f>
        <v>1108473.49</v>
      </c>
      <c r="I324" s="117">
        <f>SUM(G324:H324)</f>
        <v>1165506.04</v>
      </c>
      <c r="J324" s="117">
        <f>VLOOKUP(A324,JanApport,MATCH($J$4,'Jan 2022 Apport'!$3:$3,0),FALSE)</f>
        <v>455773.38</v>
      </c>
      <c r="K324" s="117">
        <f>VLOOKUP(A324,JanApport,MATCH($K$4,'Jan 2022 Apport'!$3:$3,0),FALSE)</f>
        <v>44550.47</v>
      </c>
      <c r="L324" s="117">
        <f>K324+J324</f>
        <v>500323.85</v>
      </c>
      <c r="M324" s="117">
        <f>VLOOKUP(A324,JanApport,MATCH($M$4,'Jan 2022 Apport'!$3:$3,0),FALSE)</f>
        <v>434973.45</v>
      </c>
      <c r="N324" s="117">
        <f>VLOOKUP(A324,JanApport,MATCH($N$4,'Jan 2022 Apport'!$3:$3,0),FALSE)</f>
        <v>202126.66</v>
      </c>
      <c r="O324" s="117">
        <f>VLOOKUP(A324,JanApport,MATCH($O$4,'Jan 2022 Apport'!$3:$3,0),FALSE)</f>
        <v>0</v>
      </c>
      <c r="P324" s="121">
        <f>IFERROR((VLOOKUP(A324,ExcessLevy!A:G,3,FALSE)*0.28),0)+IFERROR((VLOOKUP(A324,ExcessLevy!A:G,6,FALSE)*0.72),0)</f>
        <v>1207779.5423999999</v>
      </c>
      <c r="Q324" s="121">
        <f>IFERROR((VLOOKUP(A324,ExcessLevy!A:G,4,FALSE)*0.4738),0)+IFERROR((VLOOKUP(A324,ExcessLevy!A:G,7,FALSE)*0.5262),0)</f>
        <v>1100000</v>
      </c>
      <c r="R324">
        <f>VLOOKUP(A324,JanApport,MATCH($R$4,'Jan 2022 Apport'!$3:$3,0),FALSE)</f>
        <v>0</v>
      </c>
      <c r="S324">
        <f>VLOOKUP(A324,JanApport,MATCH($S$4,'Jan 2022 Apport'!$3:$3,0),FALSE)</f>
        <v>0</v>
      </c>
      <c r="T324">
        <f>VLOOKUP(A324,JanApport,MATCH($T$4,'Jan 2022 Apport'!$3:$3,0),FALSE)</f>
        <v>46.32</v>
      </c>
      <c r="U324" s="132">
        <f>IFERROR(VLOOKUP(A324,JanApport,MATCH($U$4,'Jan 2022 Apport'!$3:$3,0),FALSE)/R324,0)</f>
        <v>0</v>
      </c>
      <c r="V324" s="30">
        <f>IFERROR(((VLOOKUP(A324,JanApport,MATCH($V$4,'Jan 2022 Apport'!$3:$3,0),FALSE)+VLOOKUP(A324,JanApport,MATCH($V$3,'Jan 2022 Apport'!$3:$3,0),FALSE))/(S324+T324)),0)</f>
        <v>8925.0172711571668</v>
      </c>
      <c r="W324" s="30">
        <f>(AG324*X324)+(AH324*Y324)+(AI324*Z324)+(MSOC+MSOC912ehc)</f>
        <v>8083.6246967786601</v>
      </c>
      <c r="X324">
        <f>VLOOKUP(A324,JanApport,MATCH($X$4,'Jan 2022 Apport'!$3:$3,0),FALSE)</f>
        <v>4.8578999999999997E-2</v>
      </c>
      <c r="Y324">
        <f>VLOOKUP(A324,JanApport,MATCH($Y$4,'Jan 2022 Apport'!$3:$3,0),FALSE)</f>
        <v>4.0270000000000002E-3</v>
      </c>
      <c r="Z324">
        <f>VLOOKUP(A324,JanApport,MATCH($Z$4,'Jan 2022 Apport'!$3:$3,0),FALSE)</f>
        <v>1.7100000000000001E-2</v>
      </c>
      <c r="AA324" s="77">
        <f>VLOOKUP(A324,JanApport,MATCH($AA$4,'Jan 2022 Apport'!$3:$3,0),FALSE)*VLOOKUP(A324,JanApport,MATCH($AA$3,'Jan 2022 Apport'!$3:$3,0),FALSE)</f>
        <v>67585</v>
      </c>
      <c r="AB324" s="77">
        <f>VLOOKUP(A324,JanApport,MATCH($AB$4,'Jan 2022 Apport'!$3:$3,0),FALSE)*VLOOKUP(A324,JanApport,MATCH($AB$3,'Jan 2022 Apport'!$3:$3,0),FALSE)</f>
        <v>68937</v>
      </c>
      <c r="AC324" s="77">
        <f>VLOOKUP(A324,JanApport,MATCH($AC$4,'Jan 2022 Apport'!$3:$3,0),FALSE)</f>
        <v>100321</v>
      </c>
      <c r="AD324" s="77">
        <f>VLOOKUP(A324,JanApport,MATCH($AD$4,'Jan 2022 Apport'!$3:$3,0),FALSE)*VLOOKUP(A324,JanApport,MATCH($AD$3,'Jan 2022 Apport'!$3:$3,0),FALSE)</f>
        <v>102327</v>
      </c>
      <c r="AE324" s="77">
        <f>VLOOKUP(A324,JanApport,MATCH($AE$4,'Jan 2022 Apport'!$3:$3,0),FALSE)</f>
        <v>48483</v>
      </c>
      <c r="AF324" s="77">
        <f>VLOOKUP(A324,JanApport,MATCH($AF$4,'Jan 2022 Apport'!$3:$3,0),FALSE)*VLOOKUP(A324,JanApport,MATCH($AF$3,'Jan 2022 Apport'!$3:$3,0),FALSE)</f>
        <v>49453</v>
      </c>
      <c r="AG324" s="77">
        <f>(AA324*(1+CertMaint))+((AB324-AA324)*(1+CertInc))+(Insrate*Certinsfactor*12)</f>
        <v>96432.259900000005</v>
      </c>
      <c r="AH324" s="77">
        <f>(AC324*(1+CertMaint))+((AD324-AC324)*(1+CertInc))+(Insrate*Certinsfactor*12)</f>
        <v>137400.94330000001</v>
      </c>
      <c r="AI324" s="77">
        <f>(AE324*(1+ClassMaint))+((AF324-AE324)*(1+ClassInc))+(Insrate*Classinsfactor*12)</f>
        <v>77281.189732599989</v>
      </c>
      <c r="AJ324" s="3">
        <f>VLOOKUP(A324,JanApport,MATCH($AJ$4,'Jan 2022 Apport'!$3:$3,0),FALSE)</f>
        <v>1671295.34</v>
      </c>
      <c r="AK324" s="3">
        <f>VLOOKUP(A324,JanApport,MATCH($AK$4,'Jan 2022 Apport'!$3:$3,0),FALSE)</f>
        <v>23.87</v>
      </c>
      <c r="AL324" s="117">
        <f>SUM(F324+J324+M324+N324+O324+E324+AM324)+VLOOKUP(A324,SpEd_Apport,4,FALSE)</f>
        <v>13466554.760000002</v>
      </c>
      <c r="AM324" s="117">
        <f>VLOOKUP(A324,JanApport,MATCH($AM$4,'Jan 2022 Apport'!$3:$3,0),FALSE)</f>
        <v>351324.72</v>
      </c>
      <c r="AN324" s="117">
        <f>VLOOKUP(A324,JanApport,MATCH($AN$4,'Jan 2022 Apport'!$3:$3,0),FALSE)</f>
        <v>90685.75</v>
      </c>
    </row>
    <row r="1048267" spans="40:40">
      <c r="AN1048267" s="2"/>
    </row>
    <row r="1048268" spans="40:40">
      <c r="AN1048268" s="204"/>
    </row>
    <row r="1048269" spans="40:40">
      <c r="AN1048269" s="197"/>
    </row>
    <row r="1048270" spans="40:40">
      <c r="AN1048270" s="117"/>
    </row>
  </sheetData>
  <autoFilter ref="A6:AQ324" xr:uid="{00000000-0009-0000-0000-000024000000}"/>
  <phoneticPr fontId="16"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XEF143"/>
  <sheetViews>
    <sheetView zoomScale="80" zoomScaleNormal="80" workbookViewId="0"/>
  </sheetViews>
  <sheetFormatPr defaultRowHeight="14.4"/>
  <cols>
    <col min="1" max="2" width="15.5546875" customWidth="1"/>
    <col min="3" max="3" width="16.77734375" customWidth="1"/>
    <col min="4" max="6" width="15.5546875" customWidth="1"/>
    <col min="7" max="7" width="13.21875" customWidth="1"/>
    <col min="8" max="8" width="4" customWidth="1"/>
    <col min="9" max="11" width="15" customWidth="1"/>
    <col min="12" max="12" width="4" customWidth="1"/>
    <col min="13" max="16" width="15" customWidth="1"/>
  </cols>
  <sheetData>
    <row r="1" spans="1:16360" ht="21">
      <c r="A1" s="155" t="s">
        <v>964</v>
      </c>
    </row>
    <row r="2" spans="1:16360" ht="6.75" customHeight="1"/>
    <row r="3" spans="1:16360" ht="6.75" customHeight="1"/>
    <row r="4" spans="1:16360">
      <c r="A4" s="134" t="s">
        <v>965</v>
      </c>
    </row>
    <row r="5" spans="1:16360" s="226" customFormat="1">
      <c r="A5" s="433" t="s">
        <v>966</v>
      </c>
      <c r="B5" s="433"/>
      <c r="C5" s="433"/>
      <c r="D5" s="433"/>
      <c r="E5" s="433"/>
      <c r="F5" s="433"/>
      <c r="G5" s="433"/>
      <c r="H5" s="433"/>
      <c r="I5" s="433"/>
      <c r="J5" s="433"/>
      <c r="K5" s="433"/>
      <c r="L5" s="433"/>
      <c r="M5" s="433"/>
      <c r="N5" s="433"/>
      <c r="O5" s="433"/>
      <c r="P5" s="433"/>
      <c r="Q5" s="433"/>
      <c r="R5" s="433"/>
      <c r="S5" s="433"/>
      <c r="T5" s="433"/>
      <c r="U5" s="433"/>
      <c r="V5" s="433"/>
      <c r="W5" s="433"/>
      <c r="X5" s="433"/>
      <c r="Y5" s="433"/>
      <c r="Z5" s="433"/>
      <c r="AA5" s="433"/>
      <c r="AB5" s="433"/>
      <c r="AC5" s="433"/>
      <c r="AD5" s="433"/>
      <c r="AE5" s="433"/>
      <c r="AF5" s="433"/>
      <c r="AG5" s="433"/>
      <c r="AH5" s="433"/>
      <c r="AI5" s="433"/>
      <c r="AJ5" s="433"/>
      <c r="AK5" s="433"/>
      <c r="AL5" s="433"/>
      <c r="AM5" s="433"/>
      <c r="AN5" s="433"/>
      <c r="AO5" s="433"/>
      <c r="AP5" s="433"/>
      <c r="AQ5" s="433"/>
      <c r="AR5" s="433"/>
      <c r="AS5" s="433"/>
      <c r="AT5" s="433"/>
      <c r="AU5" s="433"/>
      <c r="AV5" s="433"/>
      <c r="AW5" s="433"/>
      <c r="AX5" s="433"/>
      <c r="AY5" s="433"/>
      <c r="AZ5" s="433"/>
      <c r="BA5" s="433"/>
      <c r="BB5" s="433"/>
      <c r="BC5" s="433"/>
      <c r="BD5" s="433"/>
      <c r="BE5" s="433"/>
      <c r="BF5" s="433"/>
      <c r="BG5" s="433"/>
      <c r="BH5" s="433"/>
      <c r="BI5" s="433"/>
      <c r="BJ5" s="433"/>
      <c r="BK5" s="433"/>
      <c r="BL5" s="433"/>
      <c r="BM5" s="433"/>
      <c r="BN5" s="433"/>
      <c r="BO5" s="433"/>
      <c r="BP5" s="433"/>
      <c r="BQ5" s="433"/>
      <c r="BR5" s="433"/>
      <c r="BS5" s="433"/>
      <c r="BT5" s="433"/>
      <c r="BU5" s="433"/>
      <c r="BV5" s="433"/>
      <c r="BW5" s="433"/>
      <c r="BX5" s="433"/>
      <c r="BY5" s="433"/>
      <c r="BZ5" s="433"/>
      <c r="CA5" s="433"/>
      <c r="CB5" s="433"/>
      <c r="CC5" s="433"/>
      <c r="CD5" s="433"/>
      <c r="CE5" s="433"/>
      <c r="CF5" s="433"/>
      <c r="CG5" s="433"/>
      <c r="CH5" s="433"/>
      <c r="CI5" s="433"/>
      <c r="CJ5" s="433"/>
      <c r="CK5" s="433"/>
      <c r="CL5" s="433"/>
      <c r="CM5" s="433"/>
      <c r="CN5" s="433"/>
      <c r="CO5" s="433"/>
      <c r="CP5" s="433"/>
      <c r="CQ5" s="433"/>
      <c r="CR5" s="433"/>
      <c r="CS5" s="433"/>
      <c r="CT5" s="433"/>
      <c r="CU5" s="433"/>
      <c r="CV5" s="433"/>
      <c r="CW5" s="433"/>
      <c r="CX5" s="433"/>
      <c r="CY5" s="433"/>
      <c r="CZ5" s="433"/>
      <c r="DA5" s="433"/>
      <c r="DB5" s="433"/>
      <c r="DC5" s="433"/>
      <c r="DD5" s="433"/>
      <c r="DE5" s="433"/>
      <c r="DF5" s="433"/>
      <c r="DG5" s="433"/>
      <c r="DH5" s="433"/>
      <c r="DI5" s="433"/>
      <c r="DJ5" s="433"/>
      <c r="DK5" s="433"/>
      <c r="DL5" s="433"/>
      <c r="DM5" s="433"/>
      <c r="DN5" s="433"/>
      <c r="DO5" s="433"/>
      <c r="DP5" s="433"/>
      <c r="DQ5" s="433"/>
      <c r="DR5" s="433"/>
      <c r="DS5" s="433"/>
      <c r="DT5" s="433"/>
      <c r="DU5" s="433"/>
      <c r="DV5" s="433"/>
      <c r="DW5" s="433"/>
      <c r="DX5" s="433"/>
      <c r="DY5" s="433"/>
      <c r="DZ5" s="433"/>
      <c r="EA5" s="433"/>
      <c r="EB5" s="433"/>
      <c r="EC5" s="433"/>
      <c r="ED5" s="433"/>
      <c r="EE5" s="433"/>
      <c r="EF5" s="433"/>
      <c r="EG5" s="433"/>
      <c r="EH5" s="433"/>
      <c r="EI5" s="433"/>
      <c r="EJ5" s="433"/>
      <c r="EK5" s="433"/>
      <c r="EL5" s="433"/>
      <c r="EM5" s="433"/>
      <c r="EN5" s="433"/>
      <c r="EO5" s="433"/>
      <c r="EP5" s="433"/>
      <c r="EQ5" s="433"/>
      <c r="ER5" s="433"/>
      <c r="ES5" s="433"/>
      <c r="ET5" s="433"/>
      <c r="EU5" s="433"/>
      <c r="EV5" s="433"/>
      <c r="EW5" s="433"/>
      <c r="EX5" s="433"/>
      <c r="EY5" s="433"/>
      <c r="EZ5" s="433"/>
      <c r="FA5" s="433"/>
      <c r="FB5" s="433"/>
      <c r="FC5" s="433"/>
      <c r="FD5" s="433"/>
      <c r="FE5" s="433"/>
      <c r="FF5" s="433"/>
      <c r="FG5" s="433"/>
      <c r="FH5" s="433"/>
      <c r="FI5" s="433"/>
      <c r="FJ5" s="433"/>
      <c r="FK5" s="433"/>
      <c r="FL5" s="433"/>
      <c r="FM5" s="433"/>
      <c r="FN5" s="433"/>
      <c r="FO5" s="433"/>
      <c r="FP5" s="433"/>
      <c r="FQ5" s="433"/>
      <c r="FR5" s="433"/>
      <c r="FS5" s="433"/>
      <c r="FT5" s="433"/>
      <c r="FU5" s="433"/>
      <c r="FV5" s="433"/>
      <c r="FW5" s="433"/>
      <c r="FX5" s="433"/>
      <c r="FY5" s="433"/>
      <c r="FZ5" s="433"/>
      <c r="GA5" s="433"/>
      <c r="GB5" s="433"/>
      <c r="GC5" s="433"/>
      <c r="GD5" s="433"/>
      <c r="GE5" s="433"/>
      <c r="GF5" s="433"/>
      <c r="GG5" s="433"/>
      <c r="GH5" s="433"/>
      <c r="GI5" s="433"/>
      <c r="GJ5" s="433"/>
      <c r="GK5" s="433"/>
      <c r="GL5" s="433"/>
      <c r="GM5" s="433"/>
      <c r="GN5" s="433"/>
      <c r="GO5" s="433"/>
      <c r="GP5" s="433"/>
      <c r="GQ5" s="433"/>
      <c r="GR5" s="433"/>
      <c r="GS5" s="433"/>
      <c r="GT5" s="433"/>
      <c r="GU5" s="433"/>
      <c r="GV5" s="433"/>
      <c r="GW5" s="433"/>
      <c r="GX5" s="433"/>
      <c r="GY5" s="433"/>
      <c r="GZ5" s="433"/>
      <c r="HA5" s="433"/>
      <c r="HB5" s="433"/>
      <c r="HC5" s="433"/>
      <c r="HD5" s="433"/>
      <c r="HE5" s="433"/>
      <c r="HF5" s="433"/>
      <c r="HG5" s="433"/>
      <c r="HH5" s="433"/>
      <c r="HI5" s="433"/>
      <c r="HJ5" s="433"/>
      <c r="HK5" s="433"/>
      <c r="HL5" s="433"/>
      <c r="HM5" s="433"/>
      <c r="HN5" s="433"/>
      <c r="HO5" s="433"/>
      <c r="HP5" s="433"/>
      <c r="HQ5" s="433"/>
      <c r="HR5" s="433"/>
      <c r="HS5" s="433"/>
      <c r="HT5" s="433"/>
      <c r="HU5" s="433"/>
      <c r="HV5" s="433"/>
      <c r="HW5" s="433"/>
      <c r="HX5" s="433"/>
      <c r="HY5" s="433"/>
      <c r="HZ5" s="433"/>
      <c r="IA5" s="433"/>
      <c r="IB5" s="433"/>
      <c r="IC5" s="433"/>
      <c r="ID5" s="433"/>
      <c r="IE5" s="433"/>
      <c r="IF5" s="433"/>
      <c r="IG5" s="433"/>
      <c r="IH5" s="433"/>
      <c r="II5" s="433"/>
      <c r="IJ5" s="433"/>
      <c r="IK5" s="433"/>
      <c r="IL5" s="433"/>
      <c r="IM5" s="433"/>
      <c r="IN5" s="433"/>
      <c r="IO5" s="433"/>
      <c r="IP5" s="433"/>
      <c r="IQ5" s="433"/>
      <c r="IR5" s="433"/>
      <c r="IS5" s="433"/>
      <c r="IT5" s="433"/>
      <c r="IU5" s="433"/>
      <c r="IV5" s="433"/>
      <c r="IW5" s="433"/>
      <c r="IX5" s="433"/>
      <c r="IY5" s="433"/>
      <c r="IZ5" s="433"/>
      <c r="JA5" s="433"/>
      <c r="JB5" s="433"/>
      <c r="JC5" s="433"/>
      <c r="JD5" s="433"/>
      <c r="JE5" s="433"/>
      <c r="JF5" s="433"/>
      <c r="JG5" s="433"/>
      <c r="JH5" s="433"/>
      <c r="JI5" s="433"/>
      <c r="JJ5" s="433"/>
      <c r="JK5" s="433"/>
      <c r="JL5" s="433"/>
      <c r="JM5" s="433"/>
      <c r="JN5" s="433"/>
      <c r="JO5" s="433"/>
      <c r="JP5" s="433"/>
      <c r="JQ5" s="433"/>
      <c r="JR5" s="433"/>
      <c r="JS5" s="433"/>
      <c r="JT5" s="433"/>
      <c r="JU5" s="433"/>
      <c r="JV5" s="433"/>
      <c r="JW5" s="433"/>
      <c r="JX5" s="433"/>
      <c r="JY5" s="433"/>
      <c r="JZ5" s="433"/>
      <c r="KA5" s="433"/>
      <c r="KB5" s="433"/>
      <c r="KC5" s="433"/>
      <c r="KD5" s="433"/>
      <c r="KE5" s="433"/>
      <c r="KF5" s="433"/>
      <c r="KG5" s="433"/>
      <c r="KH5" s="433"/>
      <c r="KI5" s="433"/>
      <c r="KJ5" s="433"/>
      <c r="KK5" s="433"/>
      <c r="KL5" s="433"/>
      <c r="KM5" s="433"/>
      <c r="KN5" s="433"/>
      <c r="KO5" s="433"/>
      <c r="KP5" s="433"/>
      <c r="KQ5" s="433"/>
      <c r="KR5" s="433"/>
      <c r="KS5" s="433"/>
      <c r="KT5" s="433"/>
      <c r="KU5" s="433"/>
      <c r="KV5" s="433"/>
      <c r="KW5" s="433"/>
      <c r="KX5" s="433"/>
      <c r="KY5" s="433"/>
      <c r="KZ5" s="433"/>
      <c r="LA5" s="433"/>
      <c r="LB5" s="433"/>
      <c r="LC5" s="433"/>
      <c r="LD5" s="433"/>
      <c r="LE5" s="433"/>
      <c r="LF5" s="433"/>
      <c r="LG5" s="433"/>
      <c r="LH5" s="433"/>
      <c r="LI5" s="433"/>
      <c r="LJ5" s="433"/>
      <c r="LK5" s="433"/>
      <c r="LL5" s="433"/>
      <c r="LM5" s="433"/>
      <c r="LN5" s="433"/>
      <c r="LO5" s="433"/>
      <c r="LP5" s="433"/>
      <c r="LQ5" s="433"/>
      <c r="LR5" s="433"/>
      <c r="LS5" s="433"/>
      <c r="LT5" s="433"/>
      <c r="LU5" s="433"/>
      <c r="LV5" s="433"/>
      <c r="LW5" s="433"/>
      <c r="LX5" s="433"/>
      <c r="LY5" s="433"/>
      <c r="LZ5" s="433"/>
      <c r="MA5" s="433"/>
      <c r="MB5" s="433"/>
      <c r="MC5" s="433"/>
      <c r="MD5" s="433"/>
      <c r="ME5" s="433"/>
      <c r="MF5" s="433"/>
      <c r="MG5" s="433"/>
      <c r="MH5" s="433"/>
      <c r="MI5" s="433"/>
      <c r="MJ5" s="433"/>
      <c r="MK5" s="433"/>
      <c r="ML5" s="433"/>
      <c r="MM5" s="433"/>
      <c r="MN5" s="433"/>
      <c r="MO5" s="433"/>
      <c r="MP5" s="433"/>
      <c r="MQ5" s="433"/>
      <c r="MR5" s="433"/>
      <c r="MS5" s="433"/>
      <c r="MT5" s="433"/>
      <c r="MU5" s="433"/>
      <c r="MV5" s="433"/>
      <c r="MW5" s="433"/>
      <c r="MX5" s="433"/>
      <c r="MY5" s="433"/>
      <c r="MZ5" s="433"/>
      <c r="NA5" s="433"/>
      <c r="NB5" s="433"/>
      <c r="NC5" s="433"/>
      <c r="ND5" s="433"/>
      <c r="NE5" s="433"/>
      <c r="NF5" s="433"/>
      <c r="NG5" s="433"/>
      <c r="NH5" s="433"/>
      <c r="NI5" s="433"/>
      <c r="NJ5" s="433"/>
      <c r="NK5" s="433"/>
      <c r="NL5" s="433"/>
      <c r="NM5" s="433"/>
      <c r="NN5" s="433"/>
      <c r="NO5" s="433"/>
      <c r="NP5" s="433"/>
      <c r="NQ5" s="433"/>
      <c r="NR5" s="433"/>
      <c r="NS5" s="433"/>
      <c r="NT5" s="433"/>
      <c r="NU5" s="433"/>
      <c r="NV5" s="433"/>
      <c r="NW5" s="433"/>
      <c r="NX5" s="433"/>
      <c r="NY5" s="433"/>
      <c r="NZ5" s="433"/>
      <c r="OA5" s="433"/>
      <c r="OB5" s="433"/>
      <c r="OC5" s="433"/>
      <c r="OD5" s="433"/>
      <c r="OE5" s="433"/>
      <c r="OF5" s="433"/>
      <c r="OG5" s="433"/>
      <c r="OH5" s="433"/>
      <c r="OI5" s="433"/>
      <c r="OJ5" s="433"/>
      <c r="OK5" s="433"/>
      <c r="OL5" s="433"/>
      <c r="OM5" s="433"/>
      <c r="ON5" s="433"/>
      <c r="OO5" s="433"/>
      <c r="OP5" s="433"/>
      <c r="OQ5" s="433"/>
      <c r="OR5" s="433"/>
      <c r="OS5" s="433"/>
      <c r="OT5" s="433"/>
      <c r="OU5" s="433"/>
      <c r="OV5" s="433"/>
      <c r="OW5" s="433"/>
      <c r="OX5" s="433"/>
      <c r="OY5" s="433"/>
      <c r="OZ5" s="433"/>
      <c r="PA5" s="433"/>
      <c r="PB5" s="433"/>
      <c r="PC5" s="433"/>
      <c r="PD5" s="433"/>
      <c r="PE5" s="433"/>
      <c r="PF5" s="433"/>
      <c r="PG5" s="433"/>
      <c r="PH5" s="433"/>
      <c r="PI5" s="433"/>
      <c r="PJ5" s="433"/>
      <c r="PK5" s="433"/>
      <c r="PL5" s="433"/>
      <c r="PM5" s="433"/>
      <c r="PN5" s="433"/>
      <c r="PO5" s="433"/>
      <c r="PP5" s="433"/>
      <c r="PQ5" s="433"/>
      <c r="PR5" s="433"/>
      <c r="PS5" s="433"/>
      <c r="PT5" s="433"/>
      <c r="PU5" s="433"/>
      <c r="PV5" s="433"/>
      <c r="PW5" s="433"/>
      <c r="PX5" s="433"/>
      <c r="PY5" s="433"/>
      <c r="PZ5" s="433"/>
      <c r="QA5" s="433"/>
      <c r="QB5" s="433"/>
      <c r="QC5" s="433"/>
      <c r="QD5" s="433"/>
      <c r="QE5" s="433"/>
      <c r="QF5" s="433"/>
      <c r="QG5" s="433"/>
      <c r="QH5" s="433"/>
      <c r="QI5" s="433"/>
      <c r="QJ5" s="433"/>
      <c r="QK5" s="433"/>
      <c r="QL5" s="433"/>
      <c r="QM5" s="433"/>
      <c r="QN5" s="433"/>
      <c r="QO5" s="433"/>
      <c r="QP5" s="433"/>
      <c r="QQ5" s="433"/>
      <c r="QR5" s="433"/>
      <c r="QS5" s="433"/>
      <c r="QT5" s="433"/>
      <c r="QU5" s="433"/>
      <c r="QV5" s="433"/>
      <c r="QW5" s="433"/>
      <c r="QX5" s="433"/>
      <c r="QY5" s="433"/>
      <c r="QZ5" s="433"/>
      <c r="RA5" s="433"/>
      <c r="RB5" s="433"/>
      <c r="RC5" s="433"/>
      <c r="RD5" s="433"/>
      <c r="RE5" s="433"/>
      <c r="RF5" s="433"/>
      <c r="RG5" s="433"/>
      <c r="RH5" s="433"/>
      <c r="RI5" s="433"/>
      <c r="RJ5" s="433"/>
      <c r="RK5" s="433"/>
      <c r="RL5" s="433"/>
      <c r="RM5" s="433"/>
      <c r="RN5" s="433"/>
      <c r="RO5" s="433"/>
      <c r="RP5" s="433"/>
      <c r="RQ5" s="433"/>
      <c r="RR5" s="433"/>
      <c r="RS5" s="433"/>
      <c r="RT5" s="433"/>
      <c r="RU5" s="433"/>
      <c r="RV5" s="433"/>
      <c r="RW5" s="433"/>
      <c r="RX5" s="433"/>
      <c r="RY5" s="433"/>
      <c r="RZ5" s="433"/>
      <c r="SA5" s="433"/>
      <c r="SB5" s="433"/>
      <c r="SC5" s="433"/>
      <c r="SD5" s="433"/>
      <c r="SE5" s="433"/>
      <c r="SF5" s="433"/>
      <c r="SG5" s="433"/>
      <c r="SH5" s="433"/>
      <c r="SI5" s="433"/>
      <c r="SJ5" s="433"/>
      <c r="SK5" s="433"/>
      <c r="SL5" s="433"/>
      <c r="SM5" s="433"/>
      <c r="SN5" s="433"/>
      <c r="SO5" s="433"/>
      <c r="SP5" s="433"/>
      <c r="SQ5" s="433"/>
      <c r="SR5" s="433"/>
      <c r="SS5" s="433"/>
      <c r="ST5" s="433"/>
      <c r="SU5" s="433"/>
      <c r="SV5" s="433"/>
      <c r="SW5" s="433"/>
      <c r="SX5" s="433"/>
      <c r="SY5" s="433"/>
      <c r="SZ5" s="433"/>
      <c r="TA5" s="433"/>
      <c r="TB5" s="433"/>
      <c r="TC5" s="433"/>
      <c r="TD5" s="433"/>
      <c r="TE5" s="433"/>
      <c r="TF5" s="433"/>
      <c r="TG5" s="433"/>
      <c r="TH5" s="433"/>
      <c r="TI5" s="433"/>
      <c r="TJ5" s="433"/>
      <c r="TK5" s="433"/>
      <c r="TL5" s="433"/>
      <c r="TM5" s="433"/>
      <c r="TN5" s="433"/>
      <c r="TO5" s="433"/>
      <c r="TP5" s="433"/>
      <c r="TQ5" s="433"/>
      <c r="TR5" s="433"/>
      <c r="TS5" s="433"/>
      <c r="TT5" s="433"/>
      <c r="TU5" s="433"/>
      <c r="TV5" s="433"/>
      <c r="TW5" s="433"/>
      <c r="TX5" s="433"/>
      <c r="TY5" s="433"/>
      <c r="TZ5" s="433"/>
      <c r="UA5" s="433"/>
      <c r="UB5" s="433"/>
      <c r="UC5" s="433"/>
      <c r="UD5" s="433"/>
      <c r="UE5" s="433"/>
      <c r="UF5" s="433"/>
      <c r="UG5" s="433"/>
      <c r="UH5" s="433"/>
      <c r="UI5" s="433"/>
      <c r="UJ5" s="433"/>
      <c r="UK5" s="433"/>
      <c r="UL5" s="433"/>
      <c r="UM5" s="433"/>
      <c r="UN5" s="433"/>
      <c r="UO5" s="433"/>
      <c r="UP5" s="433"/>
      <c r="UQ5" s="433"/>
      <c r="UR5" s="433"/>
      <c r="US5" s="433"/>
      <c r="UT5" s="433"/>
      <c r="UU5" s="433"/>
      <c r="UV5" s="433"/>
      <c r="UW5" s="433"/>
      <c r="UX5" s="433"/>
      <c r="UY5" s="433"/>
      <c r="UZ5" s="433"/>
      <c r="VA5" s="433"/>
      <c r="VB5" s="433"/>
      <c r="VC5" s="433"/>
      <c r="VD5" s="433"/>
      <c r="VE5" s="433"/>
      <c r="VF5" s="433"/>
      <c r="VG5" s="433"/>
      <c r="VH5" s="433"/>
      <c r="VI5" s="433"/>
      <c r="VJ5" s="433"/>
      <c r="VK5" s="433"/>
      <c r="VL5" s="433"/>
      <c r="VM5" s="433"/>
      <c r="VN5" s="433"/>
      <c r="VO5" s="433"/>
      <c r="VP5" s="433"/>
      <c r="VQ5" s="433"/>
      <c r="VR5" s="433"/>
      <c r="VS5" s="433"/>
      <c r="VT5" s="433"/>
      <c r="VU5" s="433"/>
      <c r="VV5" s="433"/>
      <c r="VW5" s="433"/>
      <c r="VX5" s="433"/>
      <c r="VY5" s="433"/>
      <c r="VZ5" s="433"/>
      <c r="WA5" s="433"/>
      <c r="WB5" s="433"/>
      <c r="WC5" s="433"/>
      <c r="WD5" s="433"/>
      <c r="WE5" s="433"/>
      <c r="WF5" s="433"/>
      <c r="WG5" s="433"/>
      <c r="WH5" s="433"/>
      <c r="WI5" s="433"/>
      <c r="WJ5" s="433"/>
      <c r="WK5" s="433"/>
      <c r="WL5" s="433"/>
      <c r="WM5" s="433"/>
      <c r="WN5" s="433"/>
      <c r="WO5" s="433"/>
      <c r="WP5" s="433"/>
      <c r="WQ5" s="433"/>
      <c r="WR5" s="433"/>
      <c r="WS5" s="433"/>
      <c r="WT5" s="433"/>
      <c r="WU5" s="433"/>
      <c r="WV5" s="433"/>
      <c r="WW5" s="433"/>
      <c r="WX5" s="433"/>
      <c r="WY5" s="433"/>
      <c r="WZ5" s="433"/>
      <c r="XA5" s="433"/>
      <c r="XB5" s="433"/>
      <c r="XC5" s="433"/>
      <c r="XD5" s="433"/>
      <c r="XE5" s="433"/>
      <c r="XF5" s="433"/>
      <c r="XG5" s="433"/>
      <c r="XH5" s="433"/>
      <c r="XI5" s="433"/>
      <c r="XJ5" s="433"/>
      <c r="XK5" s="433"/>
      <c r="XL5" s="433"/>
      <c r="XM5" s="433"/>
      <c r="XN5" s="433"/>
      <c r="XO5" s="433"/>
      <c r="XP5" s="433"/>
      <c r="XQ5" s="433"/>
      <c r="XR5" s="433"/>
      <c r="XS5" s="433"/>
      <c r="XT5" s="433"/>
      <c r="XU5" s="433"/>
      <c r="XV5" s="433"/>
      <c r="XW5" s="433"/>
      <c r="XX5" s="433"/>
      <c r="XY5" s="433"/>
      <c r="XZ5" s="433"/>
      <c r="YA5" s="433"/>
      <c r="YB5" s="433"/>
      <c r="YC5" s="433"/>
      <c r="YD5" s="433"/>
      <c r="YE5" s="433"/>
      <c r="YF5" s="433"/>
      <c r="YG5" s="433"/>
      <c r="YH5" s="433"/>
      <c r="YI5" s="433"/>
      <c r="YJ5" s="433"/>
      <c r="YK5" s="433"/>
      <c r="YL5" s="433"/>
      <c r="YM5" s="433"/>
      <c r="YN5" s="433"/>
      <c r="YO5" s="433"/>
      <c r="YP5" s="433"/>
      <c r="YQ5" s="433"/>
      <c r="YR5" s="433"/>
      <c r="YS5" s="433"/>
      <c r="YT5" s="433"/>
      <c r="YU5" s="433"/>
      <c r="YV5" s="433"/>
      <c r="YW5" s="433"/>
      <c r="YX5" s="433"/>
      <c r="YY5" s="433"/>
      <c r="YZ5" s="433"/>
      <c r="ZA5" s="433"/>
      <c r="ZB5" s="433"/>
      <c r="ZC5" s="433"/>
      <c r="ZD5" s="433"/>
      <c r="ZE5" s="433"/>
      <c r="ZF5" s="433"/>
      <c r="ZG5" s="433"/>
      <c r="ZH5" s="433"/>
      <c r="ZI5" s="433"/>
      <c r="ZJ5" s="433"/>
      <c r="ZK5" s="433"/>
      <c r="ZL5" s="433"/>
      <c r="ZM5" s="433"/>
      <c r="ZN5" s="433"/>
      <c r="ZO5" s="433"/>
      <c r="ZP5" s="433"/>
      <c r="ZQ5" s="433"/>
      <c r="ZR5" s="433"/>
      <c r="ZS5" s="433"/>
      <c r="ZT5" s="433"/>
      <c r="ZU5" s="433"/>
      <c r="ZV5" s="433"/>
      <c r="ZW5" s="433"/>
      <c r="ZX5" s="433"/>
      <c r="ZY5" s="433"/>
      <c r="ZZ5" s="433"/>
      <c r="AAA5" s="433"/>
      <c r="AAB5" s="433"/>
      <c r="AAC5" s="433"/>
      <c r="AAD5" s="433"/>
      <c r="AAE5" s="433"/>
      <c r="AAF5" s="433"/>
      <c r="AAG5" s="433"/>
      <c r="AAH5" s="433"/>
      <c r="AAI5" s="433"/>
      <c r="AAJ5" s="433"/>
      <c r="AAK5" s="433"/>
      <c r="AAL5" s="433"/>
      <c r="AAM5" s="433"/>
      <c r="AAN5" s="433"/>
      <c r="AAO5" s="433"/>
      <c r="AAP5" s="433"/>
      <c r="AAQ5" s="433"/>
      <c r="AAR5" s="433"/>
      <c r="AAS5" s="433"/>
      <c r="AAT5" s="433"/>
      <c r="AAU5" s="433"/>
      <c r="AAV5" s="433"/>
      <c r="AAW5" s="433"/>
      <c r="AAX5" s="433"/>
      <c r="AAY5" s="433"/>
      <c r="AAZ5" s="433"/>
      <c r="ABA5" s="433"/>
      <c r="ABB5" s="433"/>
      <c r="ABC5" s="433"/>
      <c r="ABD5" s="433"/>
      <c r="ABE5" s="433"/>
      <c r="ABF5" s="433"/>
      <c r="ABG5" s="433"/>
      <c r="ABH5" s="433"/>
      <c r="ABI5" s="433"/>
      <c r="ABJ5" s="433"/>
      <c r="ABK5" s="433"/>
      <c r="ABL5" s="433"/>
      <c r="ABM5" s="433"/>
      <c r="ABN5" s="433"/>
      <c r="ABO5" s="433"/>
      <c r="ABP5" s="433"/>
      <c r="ABQ5" s="433"/>
      <c r="ABR5" s="433"/>
      <c r="ABS5" s="433"/>
      <c r="ABT5" s="433"/>
      <c r="ABU5" s="433"/>
      <c r="ABV5" s="433"/>
      <c r="ABW5" s="433"/>
      <c r="ABX5" s="433"/>
      <c r="ABY5" s="433"/>
      <c r="ABZ5" s="433"/>
      <c r="ACA5" s="433"/>
      <c r="ACB5" s="433"/>
      <c r="ACC5" s="433"/>
      <c r="ACD5" s="433"/>
      <c r="ACE5" s="433"/>
      <c r="ACF5" s="433"/>
      <c r="ACG5" s="433"/>
      <c r="ACH5" s="433"/>
      <c r="ACI5" s="433"/>
      <c r="ACJ5" s="433"/>
      <c r="ACK5" s="433"/>
      <c r="ACL5" s="433"/>
      <c r="ACM5" s="433"/>
      <c r="ACN5" s="433"/>
      <c r="ACO5" s="433"/>
      <c r="ACP5" s="433"/>
      <c r="ACQ5" s="433"/>
      <c r="ACR5" s="433"/>
      <c r="ACS5" s="433"/>
      <c r="ACT5" s="433"/>
      <c r="ACU5" s="433"/>
      <c r="ACV5" s="433"/>
      <c r="ACW5" s="433"/>
      <c r="ACX5" s="433"/>
      <c r="ACY5" s="433"/>
      <c r="ACZ5" s="433"/>
      <c r="ADA5" s="433"/>
      <c r="ADB5" s="433"/>
      <c r="ADC5" s="433"/>
      <c r="ADD5" s="433"/>
      <c r="ADE5" s="433"/>
      <c r="ADF5" s="433"/>
      <c r="ADG5" s="433"/>
      <c r="ADH5" s="433"/>
      <c r="ADI5" s="433"/>
      <c r="ADJ5" s="433"/>
      <c r="ADK5" s="433"/>
      <c r="ADL5" s="433"/>
      <c r="ADM5" s="433"/>
      <c r="ADN5" s="433"/>
      <c r="ADO5" s="433"/>
      <c r="ADP5" s="433"/>
      <c r="ADQ5" s="433"/>
      <c r="ADR5" s="433"/>
      <c r="ADS5" s="433"/>
      <c r="ADT5" s="433"/>
      <c r="ADU5" s="433"/>
      <c r="ADV5" s="433"/>
      <c r="ADW5" s="433"/>
      <c r="ADX5" s="433"/>
      <c r="ADY5" s="433"/>
      <c r="ADZ5" s="433"/>
      <c r="AEA5" s="433"/>
      <c r="AEB5" s="433"/>
      <c r="AEC5" s="433"/>
      <c r="AED5" s="433"/>
      <c r="AEE5" s="433"/>
      <c r="AEF5" s="433"/>
      <c r="AEG5" s="433"/>
      <c r="AEH5" s="433"/>
      <c r="AEI5" s="433"/>
      <c r="AEJ5" s="433"/>
      <c r="AEK5" s="433"/>
      <c r="AEL5" s="433"/>
      <c r="AEM5" s="433"/>
      <c r="AEN5" s="433"/>
      <c r="AEO5" s="433"/>
      <c r="AEP5" s="433"/>
      <c r="AEQ5" s="433"/>
      <c r="AER5" s="433"/>
      <c r="AES5" s="433"/>
      <c r="AET5" s="433"/>
      <c r="AEU5" s="433"/>
      <c r="AEV5" s="433"/>
      <c r="AEW5" s="433"/>
      <c r="AEX5" s="433"/>
      <c r="AEY5" s="433"/>
      <c r="AEZ5" s="433"/>
      <c r="AFA5" s="433"/>
      <c r="AFB5" s="433"/>
      <c r="AFC5" s="433"/>
      <c r="AFD5" s="433"/>
      <c r="AFE5" s="433"/>
      <c r="AFF5" s="433"/>
      <c r="AFG5" s="433"/>
      <c r="AFH5" s="433"/>
      <c r="AFI5" s="433"/>
      <c r="AFJ5" s="433"/>
      <c r="AFK5" s="433"/>
      <c r="AFL5" s="433"/>
      <c r="AFM5" s="433"/>
      <c r="AFN5" s="433"/>
      <c r="AFO5" s="433"/>
      <c r="AFP5" s="433"/>
      <c r="AFQ5" s="433"/>
      <c r="AFR5" s="433"/>
      <c r="AFS5" s="433"/>
      <c r="AFT5" s="433"/>
      <c r="AFU5" s="433"/>
      <c r="AFV5" s="433"/>
      <c r="AFW5" s="433"/>
      <c r="AFX5" s="433"/>
      <c r="AFY5" s="433"/>
      <c r="AFZ5" s="433"/>
      <c r="AGA5" s="433"/>
      <c r="AGB5" s="433"/>
      <c r="AGC5" s="433"/>
      <c r="AGD5" s="433"/>
      <c r="AGE5" s="433"/>
      <c r="AGF5" s="433"/>
      <c r="AGG5" s="433"/>
      <c r="AGH5" s="433"/>
      <c r="AGI5" s="433"/>
      <c r="AGJ5" s="433"/>
      <c r="AGK5" s="433"/>
      <c r="AGL5" s="433"/>
      <c r="AGM5" s="433"/>
      <c r="AGN5" s="433"/>
      <c r="AGO5" s="433"/>
      <c r="AGP5" s="433"/>
      <c r="AGQ5" s="433"/>
      <c r="AGR5" s="433"/>
      <c r="AGS5" s="433"/>
      <c r="AGT5" s="433"/>
      <c r="AGU5" s="433"/>
      <c r="AGV5" s="433"/>
      <c r="AGW5" s="433"/>
      <c r="AGX5" s="433"/>
      <c r="AGY5" s="433"/>
      <c r="AGZ5" s="433"/>
      <c r="AHA5" s="433"/>
      <c r="AHB5" s="433"/>
      <c r="AHC5" s="433"/>
      <c r="AHD5" s="433"/>
      <c r="AHE5" s="433"/>
      <c r="AHF5" s="433"/>
      <c r="AHG5" s="433"/>
      <c r="AHH5" s="433"/>
      <c r="AHI5" s="433"/>
      <c r="AHJ5" s="433"/>
      <c r="AHK5" s="433"/>
      <c r="AHL5" s="433"/>
      <c r="AHM5" s="433"/>
      <c r="AHN5" s="433"/>
      <c r="AHO5" s="433"/>
      <c r="AHP5" s="433"/>
      <c r="AHQ5" s="433"/>
      <c r="AHR5" s="433"/>
      <c r="AHS5" s="433"/>
      <c r="AHT5" s="433"/>
      <c r="AHU5" s="433"/>
      <c r="AHV5" s="433"/>
      <c r="AHW5" s="433"/>
      <c r="AHX5" s="433"/>
      <c r="AHY5" s="433"/>
      <c r="AHZ5" s="433"/>
      <c r="AIA5" s="433"/>
      <c r="AIB5" s="433"/>
      <c r="AIC5" s="433"/>
      <c r="AID5" s="433"/>
      <c r="AIE5" s="433"/>
      <c r="AIF5" s="433"/>
      <c r="AIG5" s="433"/>
      <c r="AIH5" s="433"/>
      <c r="AII5" s="433"/>
      <c r="AIJ5" s="433"/>
      <c r="AIK5" s="433"/>
      <c r="AIL5" s="433"/>
      <c r="AIM5" s="433"/>
      <c r="AIN5" s="433"/>
      <c r="AIO5" s="433"/>
      <c r="AIP5" s="433"/>
      <c r="AIQ5" s="433"/>
      <c r="AIR5" s="433"/>
      <c r="AIS5" s="433"/>
      <c r="AIT5" s="433"/>
      <c r="AIU5" s="433"/>
      <c r="AIV5" s="433"/>
      <c r="AIW5" s="433"/>
      <c r="AIX5" s="433"/>
      <c r="AIY5" s="433"/>
      <c r="AIZ5" s="433"/>
      <c r="AJA5" s="433"/>
      <c r="AJB5" s="433"/>
      <c r="AJC5" s="433"/>
      <c r="AJD5" s="433"/>
      <c r="AJE5" s="433"/>
      <c r="AJF5" s="433"/>
      <c r="AJG5" s="433"/>
      <c r="AJH5" s="433"/>
      <c r="AJI5" s="433"/>
      <c r="AJJ5" s="433"/>
      <c r="AJK5" s="433"/>
      <c r="AJL5" s="433"/>
      <c r="AJM5" s="433"/>
      <c r="AJN5" s="433"/>
      <c r="AJO5" s="433"/>
      <c r="AJP5" s="433"/>
      <c r="AJQ5" s="433"/>
      <c r="AJR5" s="433"/>
      <c r="AJS5" s="433"/>
      <c r="AJT5" s="433"/>
      <c r="AJU5" s="433"/>
      <c r="AJV5" s="433"/>
      <c r="AJW5" s="433"/>
      <c r="AJX5" s="433"/>
      <c r="AJY5" s="433"/>
      <c r="AJZ5" s="433"/>
      <c r="AKA5" s="433"/>
      <c r="AKB5" s="433"/>
      <c r="AKC5" s="433"/>
      <c r="AKD5" s="433"/>
      <c r="AKE5" s="433"/>
      <c r="AKF5" s="433"/>
      <c r="AKG5" s="433"/>
      <c r="AKH5" s="433"/>
      <c r="AKI5" s="433"/>
      <c r="AKJ5" s="433"/>
      <c r="AKK5" s="433"/>
      <c r="AKL5" s="433"/>
      <c r="AKM5" s="433"/>
      <c r="AKN5" s="433"/>
      <c r="AKO5" s="433"/>
      <c r="AKP5" s="433"/>
      <c r="AKQ5" s="433"/>
      <c r="AKR5" s="433"/>
      <c r="AKS5" s="433"/>
      <c r="AKT5" s="433"/>
      <c r="AKU5" s="433"/>
      <c r="AKV5" s="433"/>
      <c r="AKW5" s="433"/>
      <c r="AKX5" s="433"/>
      <c r="AKY5" s="433"/>
      <c r="AKZ5" s="433"/>
      <c r="ALA5" s="433"/>
      <c r="ALB5" s="433"/>
      <c r="ALC5" s="433"/>
      <c r="ALD5" s="433"/>
      <c r="ALE5" s="433"/>
      <c r="ALF5" s="433"/>
      <c r="ALG5" s="433"/>
      <c r="ALH5" s="433"/>
      <c r="ALI5" s="433"/>
      <c r="ALJ5" s="433"/>
      <c r="ALK5" s="433"/>
      <c r="ALL5" s="433"/>
      <c r="ALM5" s="433"/>
      <c r="ALN5" s="433"/>
      <c r="ALO5" s="433"/>
      <c r="ALP5" s="433"/>
      <c r="ALQ5" s="433"/>
      <c r="ALR5" s="433"/>
      <c r="ALS5" s="433"/>
      <c r="ALT5" s="433"/>
      <c r="ALU5" s="433"/>
      <c r="ALV5" s="433"/>
      <c r="ALW5" s="433"/>
      <c r="ALX5" s="433"/>
      <c r="ALY5" s="433"/>
      <c r="ALZ5" s="433"/>
      <c r="AMA5" s="433"/>
      <c r="AMB5" s="433"/>
      <c r="AMC5" s="433"/>
      <c r="AMD5" s="433"/>
      <c r="AME5" s="433"/>
      <c r="AMF5" s="433"/>
      <c r="AMG5" s="433"/>
      <c r="AMH5" s="433"/>
      <c r="AMI5" s="433"/>
      <c r="AMJ5" s="433"/>
      <c r="AMK5" s="433"/>
      <c r="AML5" s="433"/>
      <c r="AMM5" s="433"/>
      <c r="AMN5" s="433"/>
      <c r="AMO5" s="433"/>
      <c r="AMP5" s="433"/>
      <c r="AMQ5" s="433"/>
      <c r="AMR5" s="433"/>
      <c r="AMS5" s="433"/>
      <c r="AMT5" s="433"/>
      <c r="AMU5" s="433"/>
      <c r="AMV5" s="433"/>
      <c r="AMW5" s="433"/>
      <c r="AMX5" s="433"/>
      <c r="AMY5" s="433"/>
      <c r="AMZ5" s="433"/>
      <c r="ANA5" s="433"/>
      <c r="ANB5" s="433"/>
      <c r="ANC5" s="433"/>
      <c r="AND5" s="433"/>
      <c r="ANE5" s="433"/>
      <c r="ANF5" s="433"/>
      <c r="ANG5" s="433"/>
      <c r="ANH5" s="433"/>
      <c r="ANI5" s="433"/>
      <c r="ANJ5" s="433"/>
      <c r="ANK5" s="433"/>
      <c r="ANL5" s="433"/>
      <c r="ANM5" s="433"/>
      <c r="ANN5" s="433"/>
      <c r="ANO5" s="433"/>
      <c r="ANP5" s="433"/>
      <c r="ANQ5" s="433"/>
      <c r="ANR5" s="433"/>
      <c r="ANS5" s="433"/>
      <c r="ANT5" s="433"/>
      <c r="ANU5" s="433"/>
      <c r="ANV5" s="433"/>
      <c r="ANW5" s="433"/>
      <c r="ANX5" s="433"/>
      <c r="ANY5" s="433"/>
      <c r="ANZ5" s="433"/>
      <c r="AOA5" s="433"/>
      <c r="AOB5" s="433"/>
      <c r="AOC5" s="433"/>
      <c r="AOD5" s="433"/>
      <c r="AOE5" s="433"/>
      <c r="AOF5" s="433"/>
      <c r="AOG5" s="433"/>
      <c r="AOH5" s="433"/>
      <c r="AOI5" s="433"/>
      <c r="AOJ5" s="433"/>
      <c r="AOK5" s="433"/>
      <c r="AOL5" s="433"/>
      <c r="AOM5" s="433"/>
      <c r="AON5" s="433"/>
      <c r="AOO5" s="433"/>
      <c r="AOP5" s="433"/>
      <c r="AOQ5" s="433"/>
      <c r="AOR5" s="433"/>
      <c r="AOS5" s="433"/>
      <c r="AOT5" s="433"/>
      <c r="AOU5" s="433"/>
      <c r="AOV5" s="433"/>
      <c r="AOW5" s="433"/>
      <c r="AOX5" s="433"/>
      <c r="AOY5" s="433"/>
      <c r="AOZ5" s="433"/>
      <c r="APA5" s="433"/>
      <c r="APB5" s="433"/>
      <c r="APC5" s="433"/>
      <c r="APD5" s="433"/>
      <c r="APE5" s="433"/>
      <c r="APF5" s="433"/>
      <c r="APG5" s="433"/>
      <c r="APH5" s="433"/>
      <c r="API5" s="433"/>
      <c r="APJ5" s="433"/>
      <c r="APK5" s="433"/>
      <c r="APL5" s="433"/>
      <c r="APM5" s="433"/>
      <c r="APN5" s="433"/>
      <c r="APO5" s="433"/>
      <c r="APP5" s="433"/>
      <c r="APQ5" s="433"/>
      <c r="APR5" s="433"/>
      <c r="APS5" s="433"/>
      <c r="APT5" s="433"/>
      <c r="APU5" s="433"/>
      <c r="APV5" s="433"/>
      <c r="APW5" s="433"/>
      <c r="APX5" s="433"/>
      <c r="APY5" s="433"/>
      <c r="APZ5" s="433"/>
      <c r="AQA5" s="433"/>
      <c r="AQB5" s="433"/>
      <c r="AQC5" s="433"/>
      <c r="AQD5" s="433"/>
      <c r="AQE5" s="433"/>
      <c r="AQF5" s="433"/>
      <c r="AQG5" s="433"/>
      <c r="AQH5" s="433"/>
      <c r="AQI5" s="433"/>
      <c r="AQJ5" s="433"/>
      <c r="AQK5" s="433"/>
      <c r="AQL5" s="433"/>
      <c r="AQM5" s="433"/>
      <c r="AQN5" s="433"/>
      <c r="AQO5" s="433"/>
      <c r="AQP5" s="433"/>
      <c r="AQQ5" s="433"/>
      <c r="AQR5" s="433"/>
      <c r="AQS5" s="433"/>
      <c r="AQT5" s="433"/>
      <c r="AQU5" s="433"/>
      <c r="AQV5" s="433"/>
      <c r="AQW5" s="433"/>
      <c r="AQX5" s="433"/>
      <c r="AQY5" s="433"/>
      <c r="AQZ5" s="433"/>
      <c r="ARA5" s="433"/>
      <c r="ARB5" s="433"/>
      <c r="ARC5" s="433"/>
      <c r="ARD5" s="433"/>
      <c r="ARE5" s="433"/>
      <c r="ARF5" s="433"/>
      <c r="ARG5" s="433"/>
      <c r="ARH5" s="433"/>
      <c r="ARI5" s="433"/>
      <c r="ARJ5" s="433"/>
      <c r="ARK5" s="433"/>
      <c r="ARL5" s="433"/>
      <c r="ARM5" s="433"/>
      <c r="ARN5" s="433"/>
      <c r="ARO5" s="433"/>
      <c r="ARP5" s="433"/>
      <c r="ARQ5" s="433"/>
      <c r="ARR5" s="433"/>
      <c r="ARS5" s="433"/>
      <c r="ART5" s="433"/>
      <c r="ARU5" s="433"/>
      <c r="ARV5" s="433"/>
      <c r="ARW5" s="433"/>
      <c r="ARX5" s="433"/>
      <c r="ARY5" s="433"/>
      <c r="ARZ5" s="433"/>
      <c r="ASA5" s="433"/>
      <c r="ASB5" s="433"/>
      <c r="ASC5" s="433"/>
      <c r="ASD5" s="433"/>
      <c r="ASE5" s="433"/>
      <c r="ASF5" s="433"/>
      <c r="ASG5" s="433"/>
      <c r="ASH5" s="433"/>
      <c r="ASI5" s="433"/>
      <c r="ASJ5" s="433"/>
      <c r="ASK5" s="433"/>
      <c r="ASL5" s="433"/>
      <c r="ASM5" s="433"/>
      <c r="ASN5" s="433"/>
      <c r="ASO5" s="433"/>
      <c r="ASP5" s="433"/>
      <c r="ASQ5" s="433"/>
      <c r="ASR5" s="433"/>
      <c r="ASS5" s="433"/>
      <c r="AST5" s="433"/>
      <c r="ASU5" s="433"/>
      <c r="ASV5" s="433"/>
      <c r="ASW5" s="433"/>
      <c r="ASX5" s="433"/>
      <c r="ASY5" s="433"/>
      <c r="ASZ5" s="433"/>
      <c r="ATA5" s="433"/>
      <c r="ATB5" s="433"/>
      <c r="ATC5" s="433"/>
      <c r="ATD5" s="433"/>
      <c r="ATE5" s="433"/>
      <c r="ATF5" s="433"/>
      <c r="ATG5" s="433"/>
      <c r="ATH5" s="433"/>
      <c r="ATI5" s="433"/>
      <c r="ATJ5" s="433"/>
      <c r="ATK5" s="433"/>
      <c r="ATL5" s="433"/>
      <c r="ATM5" s="433"/>
      <c r="ATN5" s="433"/>
      <c r="ATO5" s="433"/>
      <c r="ATP5" s="433"/>
      <c r="ATQ5" s="433"/>
      <c r="ATR5" s="433"/>
      <c r="ATS5" s="433"/>
      <c r="ATT5" s="433"/>
      <c r="ATU5" s="433"/>
      <c r="ATV5" s="433"/>
      <c r="ATW5" s="433"/>
      <c r="ATX5" s="433"/>
      <c r="ATY5" s="433"/>
      <c r="ATZ5" s="433"/>
      <c r="AUA5" s="433"/>
      <c r="AUB5" s="433"/>
      <c r="AUC5" s="433"/>
      <c r="AUD5" s="433"/>
      <c r="AUE5" s="433"/>
      <c r="AUF5" s="433"/>
      <c r="AUG5" s="433"/>
      <c r="AUH5" s="433"/>
      <c r="AUI5" s="433"/>
      <c r="AUJ5" s="433"/>
      <c r="AUK5" s="433"/>
      <c r="AUL5" s="433"/>
      <c r="AUM5" s="433"/>
      <c r="AUN5" s="433"/>
      <c r="AUO5" s="433"/>
      <c r="AUP5" s="433"/>
      <c r="AUQ5" s="433"/>
      <c r="AUR5" s="433"/>
      <c r="AUS5" s="433"/>
      <c r="AUT5" s="433"/>
      <c r="AUU5" s="433"/>
      <c r="AUV5" s="433"/>
      <c r="AUW5" s="433"/>
      <c r="AUX5" s="433"/>
      <c r="AUY5" s="433"/>
      <c r="AUZ5" s="433"/>
      <c r="AVA5" s="433"/>
      <c r="AVB5" s="433"/>
      <c r="AVC5" s="433"/>
      <c r="AVD5" s="433"/>
      <c r="AVE5" s="433"/>
      <c r="AVF5" s="433"/>
      <c r="AVG5" s="433"/>
      <c r="AVH5" s="433"/>
      <c r="AVI5" s="433"/>
      <c r="AVJ5" s="433"/>
      <c r="AVK5" s="433"/>
      <c r="AVL5" s="433"/>
      <c r="AVM5" s="433"/>
      <c r="AVN5" s="433"/>
      <c r="AVO5" s="433"/>
      <c r="AVP5" s="433"/>
      <c r="AVQ5" s="433"/>
      <c r="AVR5" s="433"/>
      <c r="AVS5" s="433"/>
      <c r="AVT5" s="433"/>
      <c r="AVU5" s="433"/>
      <c r="AVV5" s="433"/>
      <c r="AVW5" s="433"/>
      <c r="AVX5" s="433"/>
      <c r="AVY5" s="433"/>
      <c r="AVZ5" s="433"/>
      <c r="AWA5" s="433"/>
      <c r="AWB5" s="433"/>
      <c r="AWC5" s="433"/>
      <c r="AWD5" s="433"/>
      <c r="AWE5" s="433"/>
      <c r="AWF5" s="433"/>
      <c r="AWG5" s="433"/>
      <c r="AWH5" s="433"/>
      <c r="AWI5" s="433"/>
      <c r="AWJ5" s="433"/>
      <c r="AWK5" s="433"/>
      <c r="AWL5" s="433"/>
      <c r="AWM5" s="433"/>
      <c r="AWN5" s="433"/>
      <c r="AWO5" s="433"/>
      <c r="AWP5" s="433"/>
      <c r="AWQ5" s="433"/>
      <c r="AWR5" s="433"/>
      <c r="AWS5" s="433"/>
      <c r="AWT5" s="433"/>
      <c r="AWU5" s="433"/>
      <c r="AWV5" s="433"/>
      <c r="AWW5" s="433"/>
      <c r="AWX5" s="433"/>
      <c r="AWY5" s="433"/>
      <c r="AWZ5" s="433"/>
      <c r="AXA5" s="433"/>
      <c r="AXB5" s="433"/>
      <c r="AXC5" s="433"/>
      <c r="AXD5" s="433"/>
      <c r="AXE5" s="433"/>
      <c r="AXF5" s="433"/>
      <c r="AXG5" s="433"/>
      <c r="AXH5" s="433"/>
      <c r="AXI5" s="433"/>
      <c r="AXJ5" s="433"/>
      <c r="AXK5" s="433"/>
      <c r="AXL5" s="433"/>
      <c r="AXM5" s="433"/>
      <c r="AXN5" s="433"/>
      <c r="AXO5" s="433"/>
      <c r="AXP5" s="433"/>
      <c r="AXQ5" s="433"/>
      <c r="AXR5" s="433"/>
      <c r="AXS5" s="433"/>
      <c r="AXT5" s="433"/>
      <c r="AXU5" s="433"/>
      <c r="AXV5" s="433"/>
      <c r="AXW5" s="433"/>
      <c r="AXX5" s="433"/>
      <c r="AXY5" s="433"/>
      <c r="AXZ5" s="433"/>
      <c r="AYA5" s="433"/>
      <c r="AYB5" s="433"/>
      <c r="AYC5" s="433"/>
      <c r="AYD5" s="433"/>
      <c r="AYE5" s="433"/>
      <c r="AYF5" s="433"/>
      <c r="AYG5" s="433"/>
      <c r="AYH5" s="433"/>
      <c r="AYI5" s="433"/>
      <c r="AYJ5" s="433"/>
      <c r="AYK5" s="433"/>
      <c r="AYL5" s="433"/>
      <c r="AYM5" s="433"/>
      <c r="AYN5" s="433"/>
      <c r="AYO5" s="433"/>
      <c r="AYP5" s="433"/>
      <c r="AYQ5" s="433"/>
      <c r="AYR5" s="433"/>
      <c r="AYS5" s="433"/>
      <c r="AYT5" s="433"/>
      <c r="AYU5" s="433"/>
      <c r="AYV5" s="433"/>
      <c r="AYW5" s="433"/>
      <c r="AYX5" s="433"/>
      <c r="AYY5" s="433"/>
      <c r="AYZ5" s="433"/>
      <c r="AZA5" s="433"/>
      <c r="AZB5" s="433"/>
      <c r="AZC5" s="433"/>
      <c r="AZD5" s="433"/>
      <c r="AZE5" s="433"/>
      <c r="AZF5" s="433"/>
      <c r="AZG5" s="433"/>
      <c r="AZH5" s="433"/>
      <c r="AZI5" s="433"/>
      <c r="AZJ5" s="433"/>
      <c r="AZK5" s="433"/>
      <c r="AZL5" s="433"/>
      <c r="AZM5" s="433"/>
      <c r="AZN5" s="433"/>
      <c r="AZO5" s="433"/>
      <c r="AZP5" s="433"/>
      <c r="AZQ5" s="433"/>
      <c r="AZR5" s="433"/>
      <c r="AZS5" s="433"/>
      <c r="AZT5" s="433"/>
      <c r="AZU5" s="433"/>
      <c r="AZV5" s="433"/>
      <c r="AZW5" s="433"/>
      <c r="AZX5" s="433"/>
      <c r="AZY5" s="433"/>
      <c r="AZZ5" s="433"/>
      <c r="BAA5" s="433"/>
      <c r="BAB5" s="433"/>
      <c r="BAC5" s="433"/>
      <c r="BAD5" s="433"/>
      <c r="BAE5" s="433"/>
      <c r="BAF5" s="433"/>
      <c r="BAG5" s="433"/>
      <c r="BAH5" s="433"/>
      <c r="BAI5" s="433"/>
      <c r="BAJ5" s="433"/>
      <c r="BAK5" s="433"/>
      <c r="BAL5" s="433"/>
      <c r="BAM5" s="433"/>
      <c r="BAN5" s="433"/>
      <c r="BAO5" s="433"/>
      <c r="BAP5" s="433"/>
      <c r="BAQ5" s="433"/>
      <c r="BAR5" s="433"/>
      <c r="BAS5" s="433"/>
      <c r="BAT5" s="433"/>
      <c r="BAU5" s="433"/>
      <c r="BAV5" s="433"/>
      <c r="BAW5" s="433"/>
      <c r="BAX5" s="433"/>
      <c r="BAY5" s="433"/>
      <c r="BAZ5" s="433"/>
      <c r="BBA5" s="433"/>
      <c r="BBB5" s="433"/>
      <c r="BBC5" s="433"/>
      <c r="BBD5" s="433"/>
      <c r="BBE5" s="433"/>
      <c r="BBF5" s="433"/>
      <c r="BBG5" s="433"/>
      <c r="BBH5" s="433"/>
      <c r="BBI5" s="433"/>
      <c r="BBJ5" s="433"/>
      <c r="BBK5" s="433"/>
      <c r="BBL5" s="433"/>
      <c r="BBM5" s="433"/>
      <c r="BBN5" s="433"/>
      <c r="BBO5" s="433"/>
      <c r="BBP5" s="433"/>
      <c r="BBQ5" s="433"/>
      <c r="BBR5" s="433"/>
      <c r="BBS5" s="433"/>
      <c r="BBT5" s="433"/>
      <c r="BBU5" s="433"/>
      <c r="BBV5" s="433"/>
      <c r="BBW5" s="433"/>
      <c r="BBX5" s="433"/>
      <c r="BBY5" s="433"/>
      <c r="BBZ5" s="433"/>
      <c r="BCA5" s="433"/>
      <c r="BCB5" s="433"/>
      <c r="BCC5" s="433"/>
      <c r="BCD5" s="433"/>
      <c r="BCE5" s="433"/>
      <c r="BCF5" s="433"/>
      <c r="BCG5" s="433"/>
      <c r="BCH5" s="433"/>
      <c r="BCI5" s="433"/>
      <c r="BCJ5" s="433"/>
      <c r="BCK5" s="433"/>
      <c r="BCL5" s="433"/>
      <c r="BCM5" s="433"/>
      <c r="BCN5" s="433"/>
      <c r="BCO5" s="433"/>
      <c r="BCP5" s="433"/>
      <c r="BCQ5" s="433"/>
      <c r="BCR5" s="433"/>
      <c r="BCS5" s="433"/>
      <c r="BCT5" s="433"/>
      <c r="BCU5" s="433"/>
      <c r="BCV5" s="433"/>
      <c r="BCW5" s="433"/>
      <c r="BCX5" s="433"/>
      <c r="BCY5" s="433"/>
      <c r="BCZ5" s="433"/>
      <c r="BDA5" s="433"/>
      <c r="BDB5" s="433"/>
      <c r="BDC5" s="433"/>
      <c r="BDD5" s="433"/>
      <c r="BDE5" s="433"/>
      <c r="BDF5" s="433"/>
      <c r="BDG5" s="433"/>
      <c r="BDH5" s="433"/>
      <c r="BDI5" s="433"/>
      <c r="BDJ5" s="433"/>
      <c r="BDK5" s="433"/>
      <c r="BDL5" s="433"/>
      <c r="BDM5" s="433"/>
      <c r="BDN5" s="433"/>
      <c r="BDO5" s="433"/>
      <c r="BDP5" s="433"/>
      <c r="BDQ5" s="433"/>
      <c r="BDR5" s="433"/>
      <c r="BDS5" s="433"/>
      <c r="BDT5" s="433"/>
      <c r="BDU5" s="433"/>
      <c r="BDV5" s="433"/>
      <c r="BDW5" s="433"/>
      <c r="BDX5" s="433"/>
      <c r="BDY5" s="433"/>
      <c r="BDZ5" s="433"/>
      <c r="BEA5" s="433"/>
      <c r="BEB5" s="433"/>
      <c r="BEC5" s="433"/>
      <c r="BED5" s="433"/>
      <c r="BEE5" s="433"/>
      <c r="BEF5" s="433"/>
      <c r="BEG5" s="433"/>
      <c r="BEH5" s="433"/>
      <c r="BEI5" s="433"/>
      <c r="BEJ5" s="433"/>
      <c r="BEK5" s="433"/>
      <c r="BEL5" s="433"/>
      <c r="BEM5" s="433"/>
      <c r="BEN5" s="433"/>
      <c r="BEO5" s="433"/>
      <c r="BEP5" s="433"/>
      <c r="BEQ5" s="433"/>
      <c r="BER5" s="433"/>
      <c r="BES5" s="433"/>
      <c r="BET5" s="433"/>
      <c r="BEU5" s="433"/>
      <c r="BEV5" s="433"/>
      <c r="BEW5" s="433"/>
      <c r="BEX5" s="433"/>
      <c r="BEY5" s="433"/>
      <c r="BEZ5" s="433"/>
      <c r="BFA5" s="433"/>
      <c r="BFB5" s="433"/>
      <c r="BFC5" s="433"/>
      <c r="BFD5" s="433"/>
      <c r="BFE5" s="433"/>
      <c r="BFF5" s="433"/>
      <c r="BFG5" s="433"/>
      <c r="BFH5" s="433"/>
      <c r="BFI5" s="433"/>
      <c r="BFJ5" s="433"/>
      <c r="BFK5" s="433"/>
      <c r="BFL5" s="433"/>
      <c r="BFM5" s="433"/>
      <c r="BFN5" s="433"/>
      <c r="BFO5" s="433"/>
      <c r="BFP5" s="433"/>
      <c r="BFQ5" s="433"/>
      <c r="BFR5" s="433"/>
      <c r="BFS5" s="433"/>
      <c r="BFT5" s="433"/>
      <c r="BFU5" s="433"/>
      <c r="BFV5" s="433"/>
      <c r="BFW5" s="433"/>
      <c r="BFX5" s="433"/>
      <c r="BFY5" s="433"/>
      <c r="BFZ5" s="433"/>
      <c r="BGA5" s="433"/>
      <c r="BGB5" s="433"/>
      <c r="BGC5" s="433"/>
      <c r="BGD5" s="433"/>
      <c r="BGE5" s="433"/>
      <c r="BGF5" s="433"/>
      <c r="BGG5" s="433"/>
      <c r="BGH5" s="433"/>
      <c r="BGI5" s="433"/>
      <c r="BGJ5" s="433"/>
      <c r="BGK5" s="433"/>
      <c r="BGL5" s="433"/>
      <c r="BGM5" s="433"/>
      <c r="BGN5" s="433"/>
      <c r="BGO5" s="433"/>
      <c r="BGP5" s="433"/>
      <c r="BGQ5" s="433"/>
      <c r="BGR5" s="433"/>
      <c r="BGS5" s="433"/>
      <c r="BGT5" s="433"/>
      <c r="BGU5" s="433"/>
      <c r="BGV5" s="433"/>
      <c r="BGW5" s="433"/>
      <c r="BGX5" s="433"/>
      <c r="BGY5" s="433"/>
      <c r="BGZ5" s="433"/>
      <c r="BHA5" s="433"/>
      <c r="BHB5" s="433"/>
      <c r="BHC5" s="433"/>
      <c r="BHD5" s="433"/>
      <c r="BHE5" s="433"/>
      <c r="BHF5" s="433"/>
      <c r="BHG5" s="433"/>
      <c r="BHH5" s="433"/>
      <c r="BHI5" s="433"/>
      <c r="BHJ5" s="433"/>
      <c r="BHK5" s="433"/>
      <c r="BHL5" s="433"/>
      <c r="BHM5" s="433"/>
      <c r="BHN5" s="433"/>
      <c r="BHO5" s="433"/>
      <c r="BHP5" s="433"/>
      <c r="BHQ5" s="433"/>
      <c r="BHR5" s="433"/>
      <c r="BHS5" s="433"/>
      <c r="BHT5" s="433"/>
      <c r="BHU5" s="433"/>
      <c r="BHV5" s="433"/>
      <c r="BHW5" s="433"/>
      <c r="BHX5" s="433"/>
      <c r="BHY5" s="433"/>
      <c r="BHZ5" s="433"/>
      <c r="BIA5" s="433"/>
      <c r="BIB5" s="433"/>
      <c r="BIC5" s="433"/>
      <c r="BID5" s="433"/>
      <c r="BIE5" s="433"/>
      <c r="BIF5" s="433"/>
      <c r="BIG5" s="433"/>
      <c r="BIH5" s="433"/>
      <c r="BII5" s="433"/>
      <c r="BIJ5" s="433"/>
      <c r="BIK5" s="433"/>
      <c r="BIL5" s="433"/>
      <c r="BIM5" s="433"/>
      <c r="BIN5" s="433"/>
      <c r="BIO5" s="433"/>
      <c r="BIP5" s="433"/>
      <c r="BIQ5" s="433"/>
      <c r="BIR5" s="433"/>
      <c r="BIS5" s="433"/>
      <c r="BIT5" s="433"/>
      <c r="BIU5" s="433"/>
      <c r="BIV5" s="433"/>
      <c r="BIW5" s="433"/>
      <c r="BIX5" s="433"/>
      <c r="BIY5" s="433"/>
      <c r="BIZ5" s="433"/>
      <c r="BJA5" s="433"/>
      <c r="BJB5" s="433"/>
      <c r="BJC5" s="433"/>
      <c r="BJD5" s="433"/>
      <c r="BJE5" s="433"/>
      <c r="BJF5" s="433"/>
      <c r="BJG5" s="433"/>
      <c r="BJH5" s="433"/>
      <c r="BJI5" s="433"/>
      <c r="BJJ5" s="433"/>
      <c r="BJK5" s="433"/>
      <c r="BJL5" s="433"/>
      <c r="BJM5" s="433"/>
      <c r="BJN5" s="433"/>
      <c r="BJO5" s="433"/>
      <c r="BJP5" s="433"/>
      <c r="BJQ5" s="433"/>
      <c r="BJR5" s="433"/>
      <c r="BJS5" s="433"/>
      <c r="BJT5" s="433"/>
      <c r="BJU5" s="433"/>
      <c r="BJV5" s="433"/>
      <c r="BJW5" s="433"/>
      <c r="BJX5" s="433"/>
      <c r="BJY5" s="433"/>
      <c r="BJZ5" s="433"/>
      <c r="BKA5" s="433"/>
      <c r="BKB5" s="433"/>
      <c r="BKC5" s="433"/>
      <c r="BKD5" s="433"/>
      <c r="BKE5" s="433"/>
      <c r="BKF5" s="433"/>
      <c r="BKG5" s="433"/>
      <c r="BKH5" s="433"/>
      <c r="BKI5" s="433"/>
      <c r="BKJ5" s="433"/>
      <c r="BKK5" s="433"/>
      <c r="BKL5" s="433"/>
      <c r="BKM5" s="433"/>
      <c r="BKN5" s="433"/>
      <c r="BKO5" s="433"/>
      <c r="BKP5" s="433"/>
      <c r="BKQ5" s="433"/>
      <c r="BKR5" s="433"/>
      <c r="BKS5" s="433"/>
      <c r="BKT5" s="433"/>
      <c r="BKU5" s="433"/>
      <c r="BKV5" s="433"/>
      <c r="BKW5" s="433"/>
      <c r="BKX5" s="433"/>
      <c r="BKY5" s="433"/>
      <c r="BKZ5" s="433"/>
      <c r="BLA5" s="433"/>
      <c r="BLB5" s="433"/>
      <c r="BLC5" s="433"/>
      <c r="BLD5" s="433"/>
      <c r="BLE5" s="433"/>
      <c r="BLF5" s="433"/>
      <c r="BLG5" s="433"/>
      <c r="BLH5" s="433"/>
      <c r="BLI5" s="433"/>
      <c r="BLJ5" s="433"/>
      <c r="BLK5" s="433"/>
      <c r="BLL5" s="433"/>
      <c r="BLM5" s="433"/>
      <c r="BLN5" s="433"/>
      <c r="BLO5" s="433"/>
      <c r="BLP5" s="433"/>
      <c r="BLQ5" s="433"/>
      <c r="BLR5" s="433"/>
      <c r="BLS5" s="433"/>
      <c r="BLT5" s="433"/>
      <c r="BLU5" s="433"/>
      <c r="BLV5" s="433"/>
      <c r="BLW5" s="433"/>
      <c r="BLX5" s="433"/>
      <c r="BLY5" s="433"/>
      <c r="BLZ5" s="433"/>
      <c r="BMA5" s="433"/>
      <c r="BMB5" s="433"/>
      <c r="BMC5" s="433"/>
      <c r="BMD5" s="433"/>
      <c r="BME5" s="433"/>
      <c r="BMF5" s="433"/>
      <c r="BMG5" s="433"/>
      <c r="BMH5" s="433"/>
      <c r="BMI5" s="433"/>
      <c r="BMJ5" s="433"/>
      <c r="BMK5" s="433"/>
      <c r="BML5" s="433"/>
      <c r="BMM5" s="433"/>
      <c r="BMN5" s="433"/>
      <c r="BMO5" s="433"/>
      <c r="BMP5" s="433"/>
      <c r="BMQ5" s="433"/>
      <c r="BMR5" s="433"/>
      <c r="BMS5" s="433"/>
      <c r="BMT5" s="433"/>
      <c r="BMU5" s="433"/>
      <c r="BMV5" s="433"/>
      <c r="BMW5" s="433"/>
      <c r="BMX5" s="433"/>
      <c r="BMY5" s="433"/>
      <c r="BMZ5" s="433"/>
      <c r="BNA5" s="433"/>
      <c r="BNB5" s="433"/>
      <c r="BNC5" s="433"/>
      <c r="BND5" s="433"/>
      <c r="BNE5" s="433"/>
      <c r="BNF5" s="433"/>
      <c r="BNG5" s="433"/>
      <c r="BNH5" s="433"/>
      <c r="BNI5" s="433"/>
      <c r="BNJ5" s="433"/>
      <c r="BNK5" s="433"/>
      <c r="BNL5" s="433"/>
      <c r="BNM5" s="433"/>
      <c r="BNN5" s="433"/>
      <c r="BNO5" s="433"/>
      <c r="BNP5" s="433"/>
      <c r="BNQ5" s="433"/>
      <c r="BNR5" s="433"/>
      <c r="BNS5" s="433"/>
      <c r="BNT5" s="433"/>
      <c r="BNU5" s="433"/>
      <c r="BNV5" s="433"/>
      <c r="BNW5" s="433"/>
      <c r="BNX5" s="433"/>
      <c r="BNY5" s="433"/>
      <c r="BNZ5" s="433"/>
      <c r="BOA5" s="433"/>
      <c r="BOB5" s="433"/>
      <c r="BOC5" s="433"/>
      <c r="BOD5" s="433"/>
      <c r="BOE5" s="433"/>
      <c r="BOF5" s="433"/>
      <c r="BOG5" s="433"/>
      <c r="BOH5" s="433"/>
      <c r="BOI5" s="433"/>
      <c r="BOJ5" s="433"/>
      <c r="BOK5" s="433"/>
      <c r="BOL5" s="433"/>
      <c r="BOM5" s="433"/>
      <c r="BON5" s="433"/>
      <c r="BOO5" s="433"/>
      <c r="BOP5" s="433"/>
      <c r="BOQ5" s="433"/>
      <c r="BOR5" s="433"/>
      <c r="BOS5" s="433"/>
      <c r="BOT5" s="433"/>
      <c r="BOU5" s="433"/>
      <c r="BOV5" s="433"/>
      <c r="BOW5" s="433"/>
      <c r="BOX5" s="433"/>
      <c r="BOY5" s="433"/>
      <c r="BOZ5" s="433"/>
      <c r="BPA5" s="433"/>
      <c r="BPB5" s="433"/>
      <c r="BPC5" s="433"/>
      <c r="BPD5" s="433"/>
      <c r="BPE5" s="433"/>
      <c r="BPF5" s="433"/>
      <c r="BPG5" s="433"/>
      <c r="BPH5" s="433"/>
      <c r="BPI5" s="433"/>
      <c r="BPJ5" s="433"/>
      <c r="BPK5" s="433"/>
      <c r="BPL5" s="433"/>
      <c r="BPM5" s="433"/>
      <c r="BPN5" s="433"/>
      <c r="BPO5" s="433"/>
      <c r="BPP5" s="433"/>
      <c r="BPQ5" s="433"/>
      <c r="BPR5" s="433"/>
      <c r="BPS5" s="433"/>
      <c r="BPT5" s="433"/>
      <c r="BPU5" s="433"/>
      <c r="BPV5" s="433"/>
      <c r="BPW5" s="433"/>
      <c r="BPX5" s="433"/>
      <c r="BPY5" s="433"/>
      <c r="BPZ5" s="433"/>
      <c r="BQA5" s="433"/>
      <c r="BQB5" s="433"/>
      <c r="BQC5" s="433"/>
      <c r="BQD5" s="433"/>
      <c r="BQE5" s="433"/>
      <c r="BQF5" s="433"/>
      <c r="BQG5" s="433"/>
      <c r="BQH5" s="433"/>
      <c r="BQI5" s="433"/>
      <c r="BQJ5" s="433"/>
      <c r="BQK5" s="433"/>
      <c r="BQL5" s="433"/>
      <c r="BQM5" s="433"/>
      <c r="BQN5" s="433"/>
      <c r="BQO5" s="433"/>
      <c r="BQP5" s="433"/>
      <c r="BQQ5" s="433"/>
      <c r="BQR5" s="433"/>
      <c r="BQS5" s="433"/>
      <c r="BQT5" s="433"/>
      <c r="BQU5" s="433"/>
      <c r="BQV5" s="433"/>
      <c r="BQW5" s="433"/>
      <c r="BQX5" s="433"/>
      <c r="BQY5" s="433"/>
      <c r="BQZ5" s="433"/>
      <c r="BRA5" s="433"/>
      <c r="BRB5" s="433"/>
      <c r="BRC5" s="433"/>
      <c r="BRD5" s="433"/>
      <c r="BRE5" s="433"/>
      <c r="BRF5" s="433"/>
      <c r="BRG5" s="433"/>
      <c r="BRH5" s="433"/>
      <c r="BRI5" s="433"/>
      <c r="BRJ5" s="433"/>
      <c r="BRK5" s="433"/>
      <c r="BRL5" s="433"/>
      <c r="BRM5" s="433"/>
      <c r="BRN5" s="433"/>
      <c r="BRO5" s="433"/>
      <c r="BRP5" s="433"/>
      <c r="BRQ5" s="433"/>
      <c r="BRR5" s="433"/>
      <c r="BRS5" s="433"/>
      <c r="BRT5" s="433"/>
      <c r="BRU5" s="433"/>
      <c r="BRV5" s="433"/>
      <c r="BRW5" s="433"/>
      <c r="BRX5" s="433"/>
      <c r="BRY5" s="433"/>
      <c r="BRZ5" s="433"/>
      <c r="BSA5" s="433"/>
      <c r="BSB5" s="433"/>
      <c r="BSC5" s="433"/>
      <c r="BSD5" s="433"/>
      <c r="BSE5" s="433"/>
      <c r="BSF5" s="433"/>
      <c r="BSG5" s="433"/>
      <c r="BSH5" s="433"/>
      <c r="BSI5" s="433"/>
      <c r="BSJ5" s="433"/>
      <c r="BSK5" s="433"/>
      <c r="BSL5" s="433"/>
      <c r="BSM5" s="433"/>
      <c r="BSN5" s="433"/>
      <c r="BSO5" s="433"/>
      <c r="BSP5" s="433"/>
      <c r="BSQ5" s="433"/>
      <c r="BSR5" s="433"/>
      <c r="BSS5" s="433"/>
      <c r="BST5" s="433"/>
      <c r="BSU5" s="433"/>
      <c r="BSV5" s="433"/>
      <c r="BSW5" s="433"/>
      <c r="BSX5" s="433"/>
      <c r="BSY5" s="433"/>
      <c r="BSZ5" s="433"/>
      <c r="BTA5" s="433"/>
      <c r="BTB5" s="433"/>
      <c r="BTC5" s="433"/>
      <c r="BTD5" s="433"/>
      <c r="BTE5" s="433"/>
      <c r="BTF5" s="433"/>
      <c r="BTG5" s="433"/>
      <c r="BTH5" s="433"/>
      <c r="BTI5" s="433"/>
      <c r="BTJ5" s="433"/>
      <c r="BTK5" s="433"/>
      <c r="BTL5" s="433"/>
      <c r="BTM5" s="433"/>
      <c r="BTN5" s="433"/>
      <c r="BTO5" s="433"/>
      <c r="BTP5" s="433"/>
      <c r="BTQ5" s="433"/>
      <c r="BTR5" s="433"/>
      <c r="BTS5" s="433"/>
      <c r="BTT5" s="433"/>
      <c r="BTU5" s="433"/>
      <c r="BTV5" s="433"/>
      <c r="BTW5" s="433"/>
      <c r="BTX5" s="433"/>
      <c r="BTY5" s="433"/>
      <c r="BTZ5" s="433"/>
      <c r="BUA5" s="433"/>
      <c r="BUB5" s="433"/>
      <c r="BUC5" s="433"/>
      <c r="BUD5" s="433"/>
      <c r="BUE5" s="433"/>
      <c r="BUF5" s="433"/>
      <c r="BUG5" s="433"/>
      <c r="BUH5" s="433"/>
      <c r="BUI5" s="433"/>
      <c r="BUJ5" s="433"/>
      <c r="BUK5" s="433"/>
      <c r="BUL5" s="433"/>
      <c r="BUM5" s="433"/>
      <c r="BUN5" s="433"/>
      <c r="BUO5" s="433"/>
      <c r="BUP5" s="433"/>
      <c r="BUQ5" s="433"/>
      <c r="BUR5" s="433"/>
      <c r="BUS5" s="433"/>
      <c r="BUT5" s="433"/>
      <c r="BUU5" s="433"/>
      <c r="BUV5" s="433"/>
      <c r="BUW5" s="433"/>
      <c r="BUX5" s="433"/>
      <c r="BUY5" s="433"/>
      <c r="BUZ5" s="433"/>
      <c r="BVA5" s="433"/>
      <c r="BVB5" s="433"/>
      <c r="BVC5" s="433"/>
      <c r="BVD5" s="433"/>
      <c r="BVE5" s="433"/>
      <c r="BVF5" s="433"/>
      <c r="BVG5" s="433"/>
      <c r="BVH5" s="433"/>
      <c r="BVI5" s="433"/>
      <c r="BVJ5" s="433"/>
      <c r="BVK5" s="433"/>
      <c r="BVL5" s="433"/>
      <c r="BVM5" s="433"/>
      <c r="BVN5" s="433"/>
      <c r="BVO5" s="433"/>
      <c r="BVP5" s="433"/>
      <c r="BVQ5" s="433"/>
      <c r="BVR5" s="433"/>
      <c r="BVS5" s="433"/>
      <c r="BVT5" s="433"/>
      <c r="BVU5" s="433"/>
      <c r="BVV5" s="433"/>
      <c r="BVW5" s="433"/>
      <c r="BVX5" s="433"/>
      <c r="BVY5" s="433"/>
      <c r="BVZ5" s="433"/>
      <c r="BWA5" s="433"/>
      <c r="BWB5" s="433"/>
      <c r="BWC5" s="433"/>
      <c r="BWD5" s="433"/>
      <c r="BWE5" s="433"/>
      <c r="BWF5" s="433"/>
      <c r="BWG5" s="433"/>
      <c r="BWH5" s="433"/>
      <c r="BWI5" s="433"/>
      <c r="BWJ5" s="433"/>
      <c r="BWK5" s="433"/>
      <c r="BWL5" s="433"/>
      <c r="BWM5" s="433"/>
      <c r="BWN5" s="433"/>
      <c r="BWO5" s="433"/>
      <c r="BWP5" s="433"/>
      <c r="BWQ5" s="433"/>
      <c r="BWR5" s="433"/>
      <c r="BWS5" s="433"/>
      <c r="BWT5" s="433"/>
      <c r="BWU5" s="433"/>
      <c r="BWV5" s="433"/>
      <c r="BWW5" s="433"/>
      <c r="BWX5" s="433"/>
      <c r="BWY5" s="433"/>
      <c r="BWZ5" s="433"/>
      <c r="BXA5" s="433"/>
      <c r="BXB5" s="433"/>
      <c r="BXC5" s="433"/>
      <c r="BXD5" s="433"/>
      <c r="BXE5" s="433"/>
      <c r="BXF5" s="433"/>
      <c r="BXG5" s="433"/>
      <c r="BXH5" s="433"/>
      <c r="BXI5" s="433"/>
      <c r="BXJ5" s="433"/>
      <c r="BXK5" s="433"/>
      <c r="BXL5" s="433"/>
      <c r="BXM5" s="433"/>
      <c r="BXN5" s="433"/>
      <c r="BXO5" s="433"/>
      <c r="BXP5" s="433"/>
      <c r="BXQ5" s="433"/>
      <c r="BXR5" s="433"/>
      <c r="BXS5" s="433"/>
      <c r="BXT5" s="433"/>
      <c r="BXU5" s="433"/>
      <c r="BXV5" s="433"/>
      <c r="BXW5" s="433"/>
      <c r="BXX5" s="433"/>
      <c r="BXY5" s="433"/>
      <c r="BXZ5" s="433"/>
      <c r="BYA5" s="433"/>
      <c r="BYB5" s="433"/>
      <c r="BYC5" s="433"/>
      <c r="BYD5" s="433"/>
      <c r="BYE5" s="433"/>
      <c r="BYF5" s="433"/>
      <c r="BYG5" s="433"/>
      <c r="BYH5" s="433"/>
      <c r="BYI5" s="433"/>
      <c r="BYJ5" s="433"/>
      <c r="BYK5" s="433"/>
      <c r="BYL5" s="433"/>
      <c r="BYM5" s="433"/>
      <c r="BYN5" s="433"/>
      <c r="BYO5" s="433"/>
      <c r="BYP5" s="433"/>
      <c r="BYQ5" s="433"/>
      <c r="BYR5" s="433"/>
      <c r="BYS5" s="433"/>
      <c r="BYT5" s="433"/>
      <c r="BYU5" s="433"/>
      <c r="BYV5" s="433"/>
      <c r="BYW5" s="433"/>
      <c r="BYX5" s="433"/>
      <c r="BYY5" s="433"/>
      <c r="BYZ5" s="433"/>
      <c r="BZA5" s="433"/>
      <c r="BZB5" s="433"/>
      <c r="BZC5" s="433"/>
      <c r="BZD5" s="433"/>
      <c r="BZE5" s="433"/>
      <c r="BZF5" s="433"/>
      <c r="BZG5" s="433"/>
      <c r="BZH5" s="433"/>
      <c r="BZI5" s="433"/>
      <c r="BZJ5" s="433"/>
      <c r="BZK5" s="433"/>
      <c r="BZL5" s="433"/>
      <c r="BZM5" s="433"/>
      <c r="BZN5" s="433"/>
      <c r="BZO5" s="433"/>
      <c r="BZP5" s="433"/>
      <c r="BZQ5" s="433"/>
      <c r="BZR5" s="433"/>
      <c r="BZS5" s="433"/>
      <c r="BZT5" s="433"/>
      <c r="BZU5" s="433"/>
      <c r="BZV5" s="433"/>
      <c r="BZW5" s="433"/>
      <c r="BZX5" s="433"/>
      <c r="BZY5" s="433"/>
      <c r="BZZ5" s="433"/>
      <c r="CAA5" s="433"/>
      <c r="CAB5" s="433"/>
      <c r="CAC5" s="433"/>
      <c r="CAD5" s="433"/>
      <c r="CAE5" s="433"/>
      <c r="CAF5" s="433"/>
      <c r="CAG5" s="433"/>
      <c r="CAH5" s="433"/>
      <c r="CAI5" s="433"/>
      <c r="CAJ5" s="433"/>
      <c r="CAK5" s="433"/>
      <c r="CAL5" s="433"/>
      <c r="CAM5" s="433"/>
      <c r="CAN5" s="433"/>
      <c r="CAO5" s="433"/>
      <c r="CAP5" s="433"/>
      <c r="CAQ5" s="433"/>
      <c r="CAR5" s="433"/>
      <c r="CAS5" s="433"/>
      <c r="CAT5" s="433"/>
      <c r="CAU5" s="433"/>
      <c r="CAV5" s="433"/>
      <c r="CAW5" s="433"/>
      <c r="CAX5" s="433"/>
      <c r="CAY5" s="433"/>
      <c r="CAZ5" s="433"/>
      <c r="CBA5" s="433"/>
      <c r="CBB5" s="433"/>
      <c r="CBC5" s="433"/>
      <c r="CBD5" s="433"/>
      <c r="CBE5" s="433"/>
      <c r="CBF5" s="433"/>
      <c r="CBG5" s="433"/>
      <c r="CBH5" s="433"/>
      <c r="CBI5" s="433"/>
      <c r="CBJ5" s="433"/>
      <c r="CBK5" s="433"/>
      <c r="CBL5" s="433"/>
      <c r="CBM5" s="433"/>
      <c r="CBN5" s="433"/>
      <c r="CBO5" s="433"/>
      <c r="CBP5" s="433"/>
      <c r="CBQ5" s="433"/>
      <c r="CBR5" s="433"/>
      <c r="CBS5" s="433"/>
      <c r="CBT5" s="433"/>
      <c r="CBU5" s="433"/>
      <c r="CBV5" s="433"/>
      <c r="CBW5" s="433"/>
      <c r="CBX5" s="433"/>
      <c r="CBY5" s="433"/>
      <c r="CBZ5" s="433"/>
      <c r="CCA5" s="433"/>
      <c r="CCB5" s="433"/>
      <c r="CCC5" s="433"/>
      <c r="CCD5" s="433"/>
      <c r="CCE5" s="433"/>
      <c r="CCF5" s="433"/>
      <c r="CCG5" s="433"/>
      <c r="CCH5" s="433"/>
      <c r="CCI5" s="433"/>
      <c r="CCJ5" s="433"/>
      <c r="CCK5" s="433"/>
      <c r="CCL5" s="433"/>
      <c r="CCM5" s="433"/>
      <c r="CCN5" s="433"/>
      <c r="CCO5" s="433"/>
      <c r="CCP5" s="433"/>
      <c r="CCQ5" s="433"/>
      <c r="CCR5" s="433"/>
      <c r="CCS5" s="433"/>
      <c r="CCT5" s="433"/>
      <c r="CCU5" s="433"/>
      <c r="CCV5" s="433"/>
      <c r="CCW5" s="433"/>
      <c r="CCX5" s="433"/>
      <c r="CCY5" s="433"/>
      <c r="CCZ5" s="433"/>
      <c r="CDA5" s="433"/>
      <c r="CDB5" s="433"/>
      <c r="CDC5" s="433"/>
      <c r="CDD5" s="433"/>
      <c r="CDE5" s="433"/>
      <c r="CDF5" s="433"/>
      <c r="CDG5" s="433"/>
      <c r="CDH5" s="433"/>
      <c r="CDI5" s="433"/>
      <c r="CDJ5" s="433"/>
      <c r="CDK5" s="433"/>
      <c r="CDL5" s="433"/>
      <c r="CDM5" s="433"/>
      <c r="CDN5" s="433"/>
      <c r="CDO5" s="433"/>
      <c r="CDP5" s="433"/>
      <c r="CDQ5" s="433"/>
      <c r="CDR5" s="433"/>
      <c r="CDS5" s="433"/>
      <c r="CDT5" s="433"/>
      <c r="CDU5" s="433"/>
      <c r="CDV5" s="433"/>
      <c r="CDW5" s="433"/>
      <c r="CDX5" s="433"/>
      <c r="CDY5" s="433"/>
      <c r="CDZ5" s="433"/>
      <c r="CEA5" s="433"/>
      <c r="CEB5" s="433"/>
      <c r="CEC5" s="433"/>
      <c r="CED5" s="433"/>
      <c r="CEE5" s="433"/>
      <c r="CEF5" s="433"/>
      <c r="CEG5" s="433"/>
      <c r="CEH5" s="433"/>
      <c r="CEI5" s="433"/>
      <c r="CEJ5" s="433"/>
      <c r="CEK5" s="433"/>
      <c r="CEL5" s="433"/>
      <c r="CEM5" s="433"/>
      <c r="CEN5" s="433"/>
      <c r="CEO5" s="433"/>
      <c r="CEP5" s="433"/>
      <c r="CEQ5" s="433"/>
      <c r="CER5" s="433"/>
      <c r="CES5" s="433"/>
      <c r="CET5" s="433"/>
      <c r="CEU5" s="433"/>
      <c r="CEV5" s="433"/>
      <c r="CEW5" s="433"/>
      <c r="CEX5" s="433"/>
      <c r="CEY5" s="433"/>
      <c r="CEZ5" s="433"/>
      <c r="CFA5" s="433"/>
      <c r="CFB5" s="433"/>
      <c r="CFC5" s="433"/>
      <c r="CFD5" s="433"/>
      <c r="CFE5" s="433"/>
      <c r="CFF5" s="433"/>
      <c r="CFG5" s="433"/>
      <c r="CFH5" s="433"/>
      <c r="CFI5" s="433"/>
      <c r="CFJ5" s="433"/>
      <c r="CFK5" s="433"/>
      <c r="CFL5" s="433"/>
      <c r="CFM5" s="433"/>
      <c r="CFN5" s="433"/>
      <c r="CFO5" s="433"/>
      <c r="CFP5" s="433"/>
      <c r="CFQ5" s="433"/>
      <c r="CFR5" s="433"/>
      <c r="CFS5" s="433"/>
      <c r="CFT5" s="433"/>
      <c r="CFU5" s="433"/>
      <c r="CFV5" s="433"/>
      <c r="CFW5" s="433"/>
      <c r="CFX5" s="433"/>
      <c r="CFY5" s="433"/>
      <c r="CFZ5" s="433"/>
      <c r="CGA5" s="433"/>
      <c r="CGB5" s="433"/>
      <c r="CGC5" s="433"/>
      <c r="CGD5" s="433"/>
      <c r="CGE5" s="433"/>
      <c r="CGF5" s="433"/>
      <c r="CGG5" s="433"/>
      <c r="CGH5" s="433"/>
      <c r="CGI5" s="433"/>
      <c r="CGJ5" s="433"/>
      <c r="CGK5" s="433"/>
      <c r="CGL5" s="433"/>
      <c r="CGM5" s="433"/>
      <c r="CGN5" s="433"/>
      <c r="CGO5" s="433"/>
      <c r="CGP5" s="433"/>
      <c r="CGQ5" s="433"/>
      <c r="CGR5" s="433"/>
      <c r="CGS5" s="433"/>
      <c r="CGT5" s="433"/>
      <c r="CGU5" s="433"/>
      <c r="CGV5" s="433"/>
      <c r="CGW5" s="433"/>
      <c r="CGX5" s="433"/>
      <c r="CGY5" s="433"/>
      <c r="CGZ5" s="433"/>
      <c r="CHA5" s="433"/>
      <c r="CHB5" s="433"/>
      <c r="CHC5" s="433"/>
      <c r="CHD5" s="433"/>
      <c r="CHE5" s="433"/>
      <c r="CHF5" s="433"/>
      <c r="CHG5" s="433"/>
      <c r="CHH5" s="433"/>
      <c r="CHI5" s="433"/>
      <c r="CHJ5" s="433"/>
      <c r="CHK5" s="433"/>
      <c r="CHL5" s="433"/>
      <c r="CHM5" s="433"/>
      <c r="CHN5" s="433"/>
      <c r="CHO5" s="433"/>
      <c r="CHP5" s="433"/>
      <c r="CHQ5" s="433"/>
      <c r="CHR5" s="433"/>
      <c r="CHS5" s="433"/>
      <c r="CHT5" s="433"/>
      <c r="CHU5" s="433"/>
      <c r="CHV5" s="433"/>
      <c r="CHW5" s="433"/>
      <c r="CHX5" s="433"/>
      <c r="CHY5" s="433"/>
      <c r="CHZ5" s="433"/>
      <c r="CIA5" s="433"/>
      <c r="CIB5" s="433"/>
      <c r="CIC5" s="433"/>
      <c r="CID5" s="433"/>
      <c r="CIE5" s="433"/>
      <c r="CIF5" s="433"/>
      <c r="CIG5" s="433"/>
      <c r="CIH5" s="433"/>
      <c r="CII5" s="433"/>
      <c r="CIJ5" s="433"/>
      <c r="CIK5" s="433"/>
      <c r="CIL5" s="433"/>
      <c r="CIM5" s="433"/>
      <c r="CIN5" s="433"/>
      <c r="CIO5" s="433"/>
      <c r="CIP5" s="433"/>
      <c r="CIQ5" s="433"/>
      <c r="CIR5" s="433"/>
      <c r="CIS5" s="433"/>
      <c r="CIT5" s="433"/>
      <c r="CIU5" s="433"/>
      <c r="CIV5" s="433"/>
      <c r="CIW5" s="433"/>
      <c r="CIX5" s="433"/>
      <c r="CIY5" s="433"/>
      <c r="CIZ5" s="433"/>
      <c r="CJA5" s="433"/>
      <c r="CJB5" s="433"/>
      <c r="CJC5" s="433"/>
      <c r="CJD5" s="433"/>
      <c r="CJE5" s="433"/>
      <c r="CJF5" s="433"/>
      <c r="CJG5" s="433"/>
      <c r="CJH5" s="433"/>
      <c r="CJI5" s="433"/>
      <c r="CJJ5" s="433"/>
      <c r="CJK5" s="433"/>
      <c r="CJL5" s="433"/>
      <c r="CJM5" s="433"/>
      <c r="CJN5" s="433"/>
      <c r="CJO5" s="433"/>
      <c r="CJP5" s="433"/>
      <c r="CJQ5" s="433"/>
      <c r="CJR5" s="433"/>
      <c r="CJS5" s="433"/>
      <c r="CJT5" s="433"/>
      <c r="CJU5" s="433"/>
      <c r="CJV5" s="433"/>
      <c r="CJW5" s="433"/>
      <c r="CJX5" s="433"/>
      <c r="CJY5" s="433"/>
      <c r="CJZ5" s="433"/>
      <c r="CKA5" s="433"/>
      <c r="CKB5" s="433"/>
      <c r="CKC5" s="433"/>
      <c r="CKD5" s="433"/>
      <c r="CKE5" s="433"/>
      <c r="CKF5" s="433"/>
      <c r="CKG5" s="433"/>
      <c r="CKH5" s="433"/>
      <c r="CKI5" s="433"/>
      <c r="CKJ5" s="433"/>
      <c r="CKK5" s="433"/>
      <c r="CKL5" s="433"/>
      <c r="CKM5" s="433"/>
      <c r="CKN5" s="433"/>
      <c r="CKO5" s="433"/>
      <c r="CKP5" s="433"/>
      <c r="CKQ5" s="433"/>
      <c r="CKR5" s="433"/>
      <c r="CKS5" s="433"/>
      <c r="CKT5" s="433"/>
      <c r="CKU5" s="433"/>
      <c r="CKV5" s="433"/>
      <c r="CKW5" s="433"/>
      <c r="CKX5" s="433"/>
      <c r="CKY5" s="433"/>
      <c r="CKZ5" s="433"/>
      <c r="CLA5" s="433"/>
      <c r="CLB5" s="433"/>
      <c r="CLC5" s="433"/>
      <c r="CLD5" s="433"/>
      <c r="CLE5" s="433"/>
      <c r="CLF5" s="433"/>
      <c r="CLG5" s="433"/>
      <c r="CLH5" s="433"/>
      <c r="CLI5" s="433"/>
      <c r="CLJ5" s="433"/>
      <c r="CLK5" s="433"/>
      <c r="CLL5" s="433"/>
      <c r="CLM5" s="433"/>
      <c r="CLN5" s="433"/>
      <c r="CLO5" s="433"/>
      <c r="CLP5" s="433"/>
      <c r="CLQ5" s="433"/>
      <c r="CLR5" s="433"/>
      <c r="CLS5" s="433"/>
      <c r="CLT5" s="433"/>
      <c r="CLU5" s="433"/>
      <c r="CLV5" s="433"/>
      <c r="CLW5" s="433"/>
      <c r="CLX5" s="433"/>
      <c r="CLY5" s="433"/>
      <c r="CLZ5" s="433"/>
      <c r="CMA5" s="433"/>
      <c r="CMB5" s="433"/>
      <c r="CMC5" s="433"/>
      <c r="CMD5" s="433"/>
      <c r="CME5" s="433"/>
      <c r="CMF5" s="433"/>
      <c r="CMG5" s="433"/>
      <c r="CMH5" s="433"/>
      <c r="CMI5" s="433"/>
      <c r="CMJ5" s="433"/>
      <c r="CMK5" s="433"/>
      <c r="CML5" s="433"/>
      <c r="CMM5" s="433"/>
      <c r="CMN5" s="433"/>
      <c r="CMO5" s="433"/>
      <c r="CMP5" s="433"/>
      <c r="CMQ5" s="433"/>
      <c r="CMR5" s="433"/>
      <c r="CMS5" s="433"/>
      <c r="CMT5" s="433"/>
      <c r="CMU5" s="433"/>
      <c r="CMV5" s="433"/>
      <c r="CMW5" s="433"/>
      <c r="CMX5" s="433"/>
      <c r="CMY5" s="433"/>
      <c r="CMZ5" s="433"/>
      <c r="CNA5" s="433"/>
      <c r="CNB5" s="433"/>
      <c r="CNC5" s="433"/>
      <c r="CND5" s="433"/>
      <c r="CNE5" s="433"/>
      <c r="CNF5" s="433"/>
      <c r="CNG5" s="433"/>
      <c r="CNH5" s="433"/>
      <c r="CNI5" s="433"/>
      <c r="CNJ5" s="433"/>
      <c r="CNK5" s="433"/>
      <c r="CNL5" s="433"/>
      <c r="CNM5" s="433"/>
      <c r="CNN5" s="433"/>
      <c r="CNO5" s="433"/>
      <c r="CNP5" s="433"/>
      <c r="CNQ5" s="433"/>
      <c r="CNR5" s="433"/>
      <c r="CNS5" s="433"/>
      <c r="CNT5" s="433"/>
      <c r="CNU5" s="433"/>
      <c r="CNV5" s="433"/>
      <c r="CNW5" s="433"/>
      <c r="CNX5" s="433"/>
      <c r="CNY5" s="433"/>
      <c r="CNZ5" s="433"/>
      <c r="COA5" s="433"/>
      <c r="COB5" s="433"/>
      <c r="COC5" s="433"/>
      <c r="COD5" s="433"/>
      <c r="COE5" s="433"/>
      <c r="COF5" s="433"/>
      <c r="COG5" s="433"/>
      <c r="COH5" s="433"/>
      <c r="COI5" s="433"/>
      <c r="COJ5" s="433"/>
      <c r="COK5" s="433"/>
      <c r="COL5" s="433"/>
      <c r="COM5" s="433"/>
      <c r="CON5" s="433"/>
      <c r="COO5" s="433"/>
      <c r="COP5" s="433"/>
      <c r="COQ5" s="433"/>
      <c r="COR5" s="433"/>
      <c r="COS5" s="433"/>
      <c r="COT5" s="433"/>
      <c r="COU5" s="433"/>
      <c r="COV5" s="433"/>
      <c r="COW5" s="433"/>
      <c r="COX5" s="433"/>
      <c r="COY5" s="433"/>
      <c r="COZ5" s="433"/>
      <c r="CPA5" s="433"/>
      <c r="CPB5" s="433"/>
      <c r="CPC5" s="433"/>
      <c r="CPD5" s="433"/>
      <c r="CPE5" s="433"/>
      <c r="CPF5" s="433"/>
      <c r="CPG5" s="433"/>
      <c r="CPH5" s="433"/>
      <c r="CPI5" s="433"/>
      <c r="CPJ5" s="433"/>
      <c r="CPK5" s="433"/>
      <c r="CPL5" s="433"/>
      <c r="CPM5" s="433"/>
      <c r="CPN5" s="433"/>
      <c r="CPO5" s="433"/>
      <c r="CPP5" s="433"/>
      <c r="CPQ5" s="433"/>
      <c r="CPR5" s="433"/>
      <c r="CPS5" s="433"/>
      <c r="CPT5" s="433"/>
      <c r="CPU5" s="433"/>
      <c r="CPV5" s="433"/>
      <c r="CPW5" s="433"/>
      <c r="CPX5" s="433"/>
      <c r="CPY5" s="433"/>
      <c r="CPZ5" s="433"/>
      <c r="CQA5" s="433"/>
      <c r="CQB5" s="433"/>
      <c r="CQC5" s="433"/>
      <c r="CQD5" s="433"/>
      <c r="CQE5" s="433"/>
      <c r="CQF5" s="433"/>
      <c r="CQG5" s="433"/>
      <c r="CQH5" s="433"/>
      <c r="CQI5" s="433"/>
      <c r="CQJ5" s="433"/>
      <c r="CQK5" s="433"/>
      <c r="CQL5" s="433"/>
      <c r="CQM5" s="433"/>
      <c r="CQN5" s="433"/>
      <c r="CQO5" s="433"/>
      <c r="CQP5" s="433"/>
      <c r="CQQ5" s="433"/>
      <c r="CQR5" s="433"/>
      <c r="CQS5" s="433"/>
      <c r="CQT5" s="433"/>
      <c r="CQU5" s="433"/>
      <c r="CQV5" s="433"/>
      <c r="CQW5" s="433"/>
      <c r="CQX5" s="433"/>
      <c r="CQY5" s="433"/>
      <c r="CQZ5" s="433"/>
      <c r="CRA5" s="433"/>
      <c r="CRB5" s="433"/>
      <c r="CRC5" s="433"/>
      <c r="CRD5" s="433"/>
      <c r="CRE5" s="433"/>
      <c r="CRF5" s="433"/>
      <c r="CRG5" s="433"/>
      <c r="CRH5" s="433"/>
      <c r="CRI5" s="433"/>
      <c r="CRJ5" s="433"/>
      <c r="CRK5" s="433"/>
      <c r="CRL5" s="433"/>
      <c r="CRM5" s="433"/>
      <c r="CRN5" s="433"/>
      <c r="CRO5" s="433"/>
      <c r="CRP5" s="433"/>
      <c r="CRQ5" s="433"/>
      <c r="CRR5" s="433"/>
      <c r="CRS5" s="433"/>
      <c r="CRT5" s="433"/>
      <c r="CRU5" s="433"/>
      <c r="CRV5" s="433"/>
      <c r="CRW5" s="433"/>
      <c r="CRX5" s="433"/>
      <c r="CRY5" s="433"/>
      <c r="CRZ5" s="433"/>
      <c r="CSA5" s="433"/>
      <c r="CSB5" s="433"/>
      <c r="CSC5" s="433"/>
      <c r="CSD5" s="433"/>
      <c r="CSE5" s="433"/>
      <c r="CSF5" s="433"/>
      <c r="CSG5" s="433"/>
      <c r="CSH5" s="433"/>
      <c r="CSI5" s="433"/>
      <c r="CSJ5" s="433"/>
      <c r="CSK5" s="433"/>
      <c r="CSL5" s="433"/>
      <c r="CSM5" s="433"/>
      <c r="CSN5" s="433"/>
      <c r="CSO5" s="433"/>
      <c r="CSP5" s="433"/>
      <c r="CSQ5" s="433"/>
      <c r="CSR5" s="433"/>
      <c r="CSS5" s="433"/>
      <c r="CST5" s="433"/>
      <c r="CSU5" s="433"/>
      <c r="CSV5" s="433"/>
      <c r="CSW5" s="433"/>
      <c r="CSX5" s="433"/>
      <c r="CSY5" s="433"/>
      <c r="CSZ5" s="433"/>
      <c r="CTA5" s="433"/>
      <c r="CTB5" s="433"/>
      <c r="CTC5" s="433"/>
      <c r="CTD5" s="433"/>
      <c r="CTE5" s="433"/>
      <c r="CTF5" s="433"/>
      <c r="CTG5" s="433"/>
      <c r="CTH5" s="433"/>
      <c r="CTI5" s="433"/>
      <c r="CTJ5" s="433"/>
      <c r="CTK5" s="433"/>
      <c r="CTL5" s="433"/>
      <c r="CTM5" s="433"/>
      <c r="CTN5" s="433"/>
      <c r="CTO5" s="433"/>
      <c r="CTP5" s="433"/>
      <c r="CTQ5" s="433"/>
      <c r="CTR5" s="433"/>
      <c r="CTS5" s="433"/>
      <c r="CTT5" s="433"/>
      <c r="CTU5" s="433"/>
      <c r="CTV5" s="433"/>
      <c r="CTW5" s="433"/>
      <c r="CTX5" s="433"/>
      <c r="CTY5" s="433"/>
      <c r="CTZ5" s="433"/>
      <c r="CUA5" s="433"/>
      <c r="CUB5" s="433"/>
      <c r="CUC5" s="433"/>
      <c r="CUD5" s="433"/>
      <c r="CUE5" s="433"/>
      <c r="CUF5" s="433"/>
      <c r="CUG5" s="433"/>
      <c r="CUH5" s="433"/>
      <c r="CUI5" s="433"/>
      <c r="CUJ5" s="433"/>
      <c r="CUK5" s="433"/>
      <c r="CUL5" s="433"/>
      <c r="CUM5" s="433"/>
      <c r="CUN5" s="433"/>
      <c r="CUO5" s="433"/>
      <c r="CUP5" s="433"/>
      <c r="CUQ5" s="433"/>
      <c r="CUR5" s="433"/>
      <c r="CUS5" s="433"/>
      <c r="CUT5" s="433"/>
      <c r="CUU5" s="433"/>
      <c r="CUV5" s="433"/>
      <c r="CUW5" s="433"/>
      <c r="CUX5" s="433"/>
      <c r="CUY5" s="433"/>
      <c r="CUZ5" s="433"/>
      <c r="CVA5" s="433"/>
      <c r="CVB5" s="433"/>
      <c r="CVC5" s="433"/>
      <c r="CVD5" s="433"/>
      <c r="CVE5" s="433"/>
      <c r="CVF5" s="433"/>
      <c r="CVG5" s="433"/>
      <c r="CVH5" s="433"/>
      <c r="CVI5" s="433"/>
      <c r="CVJ5" s="433"/>
      <c r="CVK5" s="433"/>
      <c r="CVL5" s="433"/>
      <c r="CVM5" s="433"/>
      <c r="CVN5" s="433"/>
      <c r="CVO5" s="433"/>
      <c r="CVP5" s="433"/>
      <c r="CVQ5" s="433"/>
      <c r="CVR5" s="433"/>
      <c r="CVS5" s="433"/>
      <c r="CVT5" s="433"/>
      <c r="CVU5" s="433"/>
      <c r="CVV5" s="433"/>
      <c r="CVW5" s="433"/>
      <c r="CVX5" s="433"/>
      <c r="CVY5" s="433"/>
      <c r="CVZ5" s="433"/>
      <c r="CWA5" s="433"/>
      <c r="CWB5" s="433"/>
      <c r="CWC5" s="433"/>
      <c r="CWD5" s="433"/>
      <c r="CWE5" s="433"/>
      <c r="CWF5" s="433"/>
      <c r="CWG5" s="433"/>
      <c r="CWH5" s="433"/>
      <c r="CWI5" s="433"/>
      <c r="CWJ5" s="433"/>
      <c r="CWK5" s="433"/>
      <c r="CWL5" s="433"/>
      <c r="CWM5" s="433"/>
      <c r="CWN5" s="433"/>
      <c r="CWO5" s="433"/>
      <c r="CWP5" s="433"/>
      <c r="CWQ5" s="433"/>
      <c r="CWR5" s="433"/>
      <c r="CWS5" s="433"/>
      <c r="CWT5" s="433"/>
      <c r="CWU5" s="433"/>
      <c r="CWV5" s="433"/>
      <c r="CWW5" s="433"/>
      <c r="CWX5" s="433"/>
      <c r="CWY5" s="433"/>
      <c r="CWZ5" s="433"/>
      <c r="CXA5" s="433"/>
      <c r="CXB5" s="433"/>
      <c r="CXC5" s="433"/>
      <c r="CXD5" s="433"/>
      <c r="CXE5" s="433"/>
      <c r="CXF5" s="433"/>
      <c r="CXG5" s="433"/>
      <c r="CXH5" s="433"/>
      <c r="CXI5" s="433"/>
      <c r="CXJ5" s="433"/>
      <c r="CXK5" s="433"/>
      <c r="CXL5" s="433"/>
      <c r="CXM5" s="433"/>
      <c r="CXN5" s="433"/>
      <c r="CXO5" s="433"/>
      <c r="CXP5" s="433"/>
      <c r="CXQ5" s="433"/>
      <c r="CXR5" s="433"/>
      <c r="CXS5" s="433"/>
      <c r="CXT5" s="433"/>
      <c r="CXU5" s="433"/>
      <c r="CXV5" s="433"/>
      <c r="CXW5" s="433"/>
      <c r="CXX5" s="433"/>
      <c r="CXY5" s="433"/>
      <c r="CXZ5" s="433"/>
      <c r="CYA5" s="433"/>
      <c r="CYB5" s="433"/>
      <c r="CYC5" s="433"/>
      <c r="CYD5" s="433"/>
      <c r="CYE5" s="433"/>
      <c r="CYF5" s="433"/>
      <c r="CYG5" s="433"/>
      <c r="CYH5" s="433"/>
      <c r="CYI5" s="433"/>
      <c r="CYJ5" s="433"/>
      <c r="CYK5" s="433"/>
      <c r="CYL5" s="433"/>
      <c r="CYM5" s="433"/>
      <c r="CYN5" s="433"/>
      <c r="CYO5" s="433"/>
      <c r="CYP5" s="433"/>
      <c r="CYQ5" s="433"/>
      <c r="CYR5" s="433"/>
      <c r="CYS5" s="433"/>
      <c r="CYT5" s="433"/>
      <c r="CYU5" s="433"/>
      <c r="CYV5" s="433"/>
      <c r="CYW5" s="433"/>
      <c r="CYX5" s="433"/>
      <c r="CYY5" s="433"/>
      <c r="CYZ5" s="433"/>
      <c r="CZA5" s="433"/>
      <c r="CZB5" s="433"/>
      <c r="CZC5" s="433"/>
      <c r="CZD5" s="433"/>
      <c r="CZE5" s="433"/>
      <c r="CZF5" s="433"/>
      <c r="CZG5" s="433"/>
      <c r="CZH5" s="433"/>
      <c r="CZI5" s="433"/>
      <c r="CZJ5" s="433"/>
      <c r="CZK5" s="433"/>
      <c r="CZL5" s="433"/>
      <c r="CZM5" s="433"/>
      <c r="CZN5" s="433"/>
      <c r="CZO5" s="433"/>
      <c r="CZP5" s="433"/>
      <c r="CZQ5" s="433"/>
      <c r="CZR5" s="433"/>
      <c r="CZS5" s="433"/>
      <c r="CZT5" s="433"/>
      <c r="CZU5" s="433"/>
      <c r="CZV5" s="433"/>
      <c r="CZW5" s="433"/>
      <c r="CZX5" s="433"/>
      <c r="CZY5" s="433"/>
      <c r="CZZ5" s="433"/>
      <c r="DAA5" s="433"/>
      <c r="DAB5" s="433"/>
      <c r="DAC5" s="433"/>
      <c r="DAD5" s="433"/>
      <c r="DAE5" s="433"/>
      <c r="DAF5" s="433"/>
      <c r="DAG5" s="433"/>
      <c r="DAH5" s="433"/>
      <c r="DAI5" s="433"/>
      <c r="DAJ5" s="433"/>
      <c r="DAK5" s="433"/>
      <c r="DAL5" s="433"/>
      <c r="DAM5" s="433"/>
      <c r="DAN5" s="433"/>
      <c r="DAO5" s="433"/>
      <c r="DAP5" s="433"/>
      <c r="DAQ5" s="433"/>
      <c r="DAR5" s="433"/>
      <c r="DAS5" s="433"/>
      <c r="DAT5" s="433"/>
      <c r="DAU5" s="433"/>
      <c r="DAV5" s="433"/>
      <c r="DAW5" s="433"/>
      <c r="DAX5" s="433"/>
      <c r="DAY5" s="433"/>
      <c r="DAZ5" s="433"/>
      <c r="DBA5" s="433"/>
      <c r="DBB5" s="433"/>
      <c r="DBC5" s="433"/>
      <c r="DBD5" s="433"/>
      <c r="DBE5" s="433"/>
      <c r="DBF5" s="433"/>
      <c r="DBG5" s="433"/>
      <c r="DBH5" s="433"/>
      <c r="DBI5" s="433"/>
      <c r="DBJ5" s="433"/>
      <c r="DBK5" s="433"/>
      <c r="DBL5" s="433"/>
      <c r="DBM5" s="433"/>
      <c r="DBN5" s="433"/>
      <c r="DBO5" s="433"/>
      <c r="DBP5" s="433"/>
      <c r="DBQ5" s="433"/>
      <c r="DBR5" s="433"/>
      <c r="DBS5" s="433"/>
      <c r="DBT5" s="433"/>
      <c r="DBU5" s="433"/>
      <c r="DBV5" s="433"/>
      <c r="DBW5" s="433"/>
      <c r="DBX5" s="433"/>
      <c r="DBY5" s="433"/>
      <c r="DBZ5" s="433"/>
      <c r="DCA5" s="433"/>
      <c r="DCB5" s="433"/>
      <c r="DCC5" s="433"/>
      <c r="DCD5" s="433"/>
      <c r="DCE5" s="433"/>
      <c r="DCF5" s="433"/>
      <c r="DCG5" s="433"/>
      <c r="DCH5" s="433"/>
      <c r="DCI5" s="433"/>
      <c r="DCJ5" s="433"/>
      <c r="DCK5" s="433"/>
      <c r="DCL5" s="433"/>
      <c r="DCM5" s="433"/>
      <c r="DCN5" s="433"/>
      <c r="DCO5" s="433"/>
      <c r="DCP5" s="433"/>
      <c r="DCQ5" s="433"/>
      <c r="DCR5" s="433"/>
      <c r="DCS5" s="433"/>
      <c r="DCT5" s="433"/>
      <c r="DCU5" s="433"/>
      <c r="DCV5" s="433"/>
      <c r="DCW5" s="433"/>
      <c r="DCX5" s="433"/>
      <c r="DCY5" s="433"/>
      <c r="DCZ5" s="433"/>
      <c r="DDA5" s="433"/>
      <c r="DDB5" s="433"/>
      <c r="DDC5" s="433"/>
      <c r="DDD5" s="433"/>
      <c r="DDE5" s="433"/>
      <c r="DDF5" s="433"/>
      <c r="DDG5" s="433"/>
      <c r="DDH5" s="433"/>
      <c r="DDI5" s="433"/>
      <c r="DDJ5" s="433"/>
      <c r="DDK5" s="433"/>
      <c r="DDL5" s="433"/>
      <c r="DDM5" s="433"/>
      <c r="DDN5" s="433"/>
      <c r="DDO5" s="433"/>
      <c r="DDP5" s="433"/>
      <c r="DDQ5" s="433"/>
      <c r="DDR5" s="433"/>
      <c r="DDS5" s="433"/>
      <c r="DDT5" s="433"/>
      <c r="DDU5" s="433"/>
      <c r="DDV5" s="433"/>
      <c r="DDW5" s="433"/>
      <c r="DDX5" s="433"/>
      <c r="DDY5" s="433"/>
      <c r="DDZ5" s="433"/>
      <c r="DEA5" s="433"/>
      <c r="DEB5" s="433"/>
      <c r="DEC5" s="433"/>
      <c r="DED5" s="433"/>
      <c r="DEE5" s="433"/>
      <c r="DEF5" s="433"/>
      <c r="DEG5" s="433"/>
      <c r="DEH5" s="433"/>
      <c r="DEI5" s="433"/>
      <c r="DEJ5" s="433"/>
      <c r="DEK5" s="433"/>
      <c r="DEL5" s="433"/>
      <c r="DEM5" s="433"/>
      <c r="DEN5" s="433"/>
      <c r="DEO5" s="433"/>
      <c r="DEP5" s="433"/>
      <c r="DEQ5" s="433"/>
      <c r="DER5" s="433"/>
      <c r="DES5" s="433"/>
      <c r="DET5" s="433"/>
      <c r="DEU5" s="433"/>
      <c r="DEV5" s="433"/>
      <c r="DEW5" s="433"/>
      <c r="DEX5" s="433"/>
      <c r="DEY5" s="433"/>
      <c r="DEZ5" s="433"/>
      <c r="DFA5" s="433"/>
      <c r="DFB5" s="433"/>
      <c r="DFC5" s="433"/>
      <c r="DFD5" s="433"/>
      <c r="DFE5" s="433"/>
      <c r="DFF5" s="433"/>
      <c r="DFG5" s="433"/>
      <c r="DFH5" s="433"/>
      <c r="DFI5" s="433"/>
      <c r="DFJ5" s="433"/>
      <c r="DFK5" s="433"/>
      <c r="DFL5" s="433"/>
      <c r="DFM5" s="433"/>
      <c r="DFN5" s="433"/>
      <c r="DFO5" s="433"/>
      <c r="DFP5" s="433"/>
      <c r="DFQ5" s="433"/>
      <c r="DFR5" s="433"/>
      <c r="DFS5" s="433"/>
      <c r="DFT5" s="433"/>
      <c r="DFU5" s="433"/>
      <c r="DFV5" s="433"/>
      <c r="DFW5" s="433"/>
      <c r="DFX5" s="433"/>
      <c r="DFY5" s="433"/>
      <c r="DFZ5" s="433"/>
      <c r="DGA5" s="433"/>
      <c r="DGB5" s="433"/>
      <c r="DGC5" s="433"/>
      <c r="DGD5" s="433"/>
      <c r="DGE5" s="433"/>
      <c r="DGF5" s="433"/>
      <c r="DGG5" s="433"/>
      <c r="DGH5" s="433"/>
      <c r="DGI5" s="433"/>
      <c r="DGJ5" s="433"/>
      <c r="DGK5" s="433"/>
      <c r="DGL5" s="433"/>
      <c r="DGM5" s="433"/>
      <c r="DGN5" s="433"/>
      <c r="DGO5" s="433"/>
      <c r="DGP5" s="433"/>
      <c r="DGQ5" s="433"/>
      <c r="DGR5" s="433"/>
      <c r="DGS5" s="433"/>
      <c r="DGT5" s="433"/>
      <c r="DGU5" s="433"/>
      <c r="DGV5" s="433"/>
      <c r="DGW5" s="433"/>
      <c r="DGX5" s="433"/>
      <c r="DGY5" s="433"/>
      <c r="DGZ5" s="433"/>
      <c r="DHA5" s="433"/>
      <c r="DHB5" s="433"/>
      <c r="DHC5" s="433"/>
      <c r="DHD5" s="433"/>
      <c r="DHE5" s="433"/>
      <c r="DHF5" s="433"/>
      <c r="DHG5" s="433"/>
      <c r="DHH5" s="433"/>
      <c r="DHI5" s="433"/>
      <c r="DHJ5" s="433"/>
      <c r="DHK5" s="433"/>
      <c r="DHL5" s="433"/>
      <c r="DHM5" s="433"/>
      <c r="DHN5" s="433"/>
      <c r="DHO5" s="433"/>
      <c r="DHP5" s="433"/>
      <c r="DHQ5" s="433"/>
      <c r="DHR5" s="433"/>
      <c r="DHS5" s="433"/>
      <c r="DHT5" s="433"/>
      <c r="DHU5" s="433"/>
      <c r="DHV5" s="433"/>
      <c r="DHW5" s="433"/>
      <c r="DHX5" s="433"/>
      <c r="DHY5" s="433"/>
      <c r="DHZ5" s="433"/>
      <c r="DIA5" s="433"/>
      <c r="DIB5" s="433"/>
      <c r="DIC5" s="433"/>
      <c r="DID5" s="433"/>
      <c r="DIE5" s="433"/>
      <c r="DIF5" s="433"/>
      <c r="DIG5" s="433"/>
      <c r="DIH5" s="433"/>
      <c r="DII5" s="433"/>
      <c r="DIJ5" s="433"/>
      <c r="DIK5" s="433"/>
      <c r="DIL5" s="433"/>
      <c r="DIM5" s="433"/>
      <c r="DIN5" s="433"/>
      <c r="DIO5" s="433"/>
      <c r="DIP5" s="433"/>
      <c r="DIQ5" s="433"/>
      <c r="DIR5" s="433"/>
      <c r="DIS5" s="433"/>
      <c r="DIT5" s="433"/>
      <c r="DIU5" s="433"/>
      <c r="DIV5" s="433"/>
      <c r="DIW5" s="433"/>
      <c r="DIX5" s="433"/>
      <c r="DIY5" s="433"/>
      <c r="DIZ5" s="433"/>
      <c r="DJA5" s="433"/>
      <c r="DJB5" s="433"/>
      <c r="DJC5" s="433"/>
      <c r="DJD5" s="433"/>
      <c r="DJE5" s="433"/>
      <c r="DJF5" s="433"/>
      <c r="DJG5" s="433"/>
      <c r="DJH5" s="433"/>
      <c r="DJI5" s="433"/>
      <c r="DJJ5" s="433"/>
      <c r="DJK5" s="433"/>
      <c r="DJL5" s="433"/>
      <c r="DJM5" s="433"/>
      <c r="DJN5" s="433"/>
      <c r="DJO5" s="433"/>
      <c r="DJP5" s="433"/>
      <c r="DJQ5" s="433"/>
      <c r="DJR5" s="433"/>
      <c r="DJS5" s="433"/>
      <c r="DJT5" s="433"/>
      <c r="DJU5" s="433"/>
      <c r="DJV5" s="433"/>
      <c r="DJW5" s="433"/>
      <c r="DJX5" s="433"/>
      <c r="DJY5" s="433"/>
      <c r="DJZ5" s="433"/>
      <c r="DKA5" s="433"/>
      <c r="DKB5" s="433"/>
      <c r="DKC5" s="433"/>
      <c r="DKD5" s="433"/>
      <c r="DKE5" s="433"/>
      <c r="DKF5" s="433"/>
      <c r="DKG5" s="433"/>
      <c r="DKH5" s="433"/>
      <c r="DKI5" s="433"/>
      <c r="DKJ5" s="433"/>
      <c r="DKK5" s="433"/>
      <c r="DKL5" s="433"/>
      <c r="DKM5" s="433"/>
      <c r="DKN5" s="433"/>
      <c r="DKO5" s="433"/>
      <c r="DKP5" s="433"/>
      <c r="DKQ5" s="433"/>
      <c r="DKR5" s="433"/>
      <c r="DKS5" s="433"/>
      <c r="DKT5" s="433"/>
      <c r="DKU5" s="433"/>
      <c r="DKV5" s="433"/>
      <c r="DKW5" s="433"/>
      <c r="DKX5" s="433"/>
      <c r="DKY5" s="433"/>
      <c r="DKZ5" s="433"/>
      <c r="DLA5" s="433"/>
      <c r="DLB5" s="433"/>
      <c r="DLC5" s="433"/>
      <c r="DLD5" s="433"/>
      <c r="DLE5" s="433"/>
      <c r="DLF5" s="433"/>
      <c r="DLG5" s="433"/>
      <c r="DLH5" s="433"/>
      <c r="DLI5" s="433"/>
      <c r="DLJ5" s="433"/>
      <c r="DLK5" s="433"/>
      <c r="DLL5" s="433"/>
      <c r="DLM5" s="433"/>
      <c r="DLN5" s="433"/>
      <c r="DLO5" s="433"/>
      <c r="DLP5" s="433"/>
      <c r="DLQ5" s="433"/>
      <c r="DLR5" s="433"/>
      <c r="DLS5" s="433"/>
      <c r="DLT5" s="433"/>
      <c r="DLU5" s="433"/>
      <c r="DLV5" s="433"/>
      <c r="DLW5" s="433"/>
      <c r="DLX5" s="433"/>
      <c r="DLY5" s="433"/>
      <c r="DLZ5" s="433"/>
      <c r="DMA5" s="433"/>
      <c r="DMB5" s="433"/>
      <c r="DMC5" s="433"/>
      <c r="DMD5" s="433"/>
      <c r="DME5" s="433"/>
      <c r="DMF5" s="433"/>
      <c r="DMG5" s="433"/>
      <c r="DMH5" s="433"/>
      <c r="DMI5" s="433"/>
      <c r="DMJ5" s="433"/>
      <c r="DMK5" s="433"/>
      <c r="DML5" s="433"/>
      <c r="DMM5" s="433"/>
      <c r="DMN5" s="433"/>
      <c r="DMO5" s="433"/>
      <c r="DMP5" s="433"/>
      <c r="DMQ5" s="433"/>
      <c r="DMR5" s="433"/>
      <c r="DMS5" s="433"/>
      <c r="DMT5" s="433"/>
      <c r="DMU5" s="433"/>
      <c r="DMV5" s="433"/>
      <c r="DMW5" s="433"/>
      <c r="DMX5" s="433"/>
      <c r="DMY5" s="433"/>
      <c r="DMZ5" s="433"/>
      <c r="DNA5" s="433"/>
      <c r="DNB5" s="433"/>
      <c r="DNC5" s="433"/>
      <c r="DND5" s="433"/>
      <c r="DNE5" s="433"/>
      <c r="DNF5" s="433"/>
      <c r="DNG5" s="433"/>
      <c r="DNH5" s="433"/>
      <c r="DNI5" s="433"/>
      <c r="DNJ5" s="433"/>
      <c r="DNK5" s="433"/>
      <c r="DNL5" s="433"/>
      <c r="DNM5" s="433"/>
      <c r="DNN5" s="433"/>
      <c r="DNO5" s="433"/>
      <c r="DNP5" s="433"/>
      <c r="DNQ5" s="433"/>
      <c r="DNR5" s="433"/>
      <c r="DNS5" s="433"/>
      <c r="DNT5" s="433"/>
      <c r="DNU5" s="433"/>
      <c r="DNV5" s="433"/>
      <c r="DNW5" s="433"/>
      <c r="DNX5" s="433"/>
      <c r="DNY5" s="433"/>
      <c r="DNZ5" s="433"/>
      <c r="DOA5" s="433"/>
      <c r="DOB5" s="433"/>
      <c r="DOC5" s="433"/>
      <c r="DOD5" s="433"/>
      <c r="DOE5" s="433"/>
      <c r="DOF5" s="433"/>
      <c r="DOG5" s="433"/>
      <c r="DOH5" s="433"/>
      <c r="DOI5" s="433"/>
      <c r="DOJ5" s="433"/>
      <c r="DOK5" s="433"/>
      <c r="DOL5" s="433"/>
      <c r="DOM5" s="433"/>
      <c r="DON5" s="433"/>
      <c r="DOO5" s="433"/>
      <c r="DOP5" s="433"/>
      <c r="DOQ5" s="433"/>
      <c r="DOR5" s="433"/>
      <c r="DOS5" s="433"/>
      <c r="DOT5" s="433"/>
      <c r="DOU5" s="433"/>
      <c r="DOV5" s="433"/>
      <c r="DOW5" s="433"/>
      <c r="DOX5" s="433"/>
      <c r="DOY5" s="433"/>
      <c r="DOZ5" s="433"/>
      <c r="DPA5" s="433"/>
      <c r="DPB5" s="433"/>
      <c r="DPC5" s="433"/>
      <c r="DPD5" s="433"/>
      <c r="DPE5" s="433"/>
      <c r="DPF5" s="433"/>
      <c r="DPG5" s="433"/>
      <c r="DPH5" s="433"/>
      <c r="DPI5" s="433"/>
      <c r="DPJ5" s="433"/>
      <c r="DPK5" s="433"/>
      <c r="DPL5" s="433"/>
      <c r="DPM5" s="433"/>
      <c r="DPN5" s="433"/>
      <c r="DPO5" s="433"/>
      <c r="DPP5" s="433"/>
      <c r="DPQ5" s="433"/>
      <c r="DPR5" s="433"/>
      <c r="DPS5" s="433"/>
      <c r="DPT5" s="433"/>
      <c r="DPU5" s="433"/>
      <c r="DPV5" s="433"/>
      <c r="DPW5" s="433"/>
      <c r="DPX5" s="433"/>
      <c r="DPY5" s="433"/>
      <c r="DPZ5" s="433"/>
      <c r="DQA5" s="433"/>
      <c r="DQB5" s="433"/>
      <c r="DQC5" s="433"/>
      <c r="DQD5" s="433"/>
      <c r="DQE5" s="433"/>
      <c r="DQF5" s="433"/>
      <c r="DQG5" s="433"/>
      <c r="DQH5" s="433"/>
      <c r="DQI5" s="433"/>
      <c r="DQJ5" s="433"/>
      <c r="DQK5" s="433"/>
      <c r="DQL5" s="433"/>
      <c r="DQM5" s="433"/>
      <c r="DQN5" s="433"/>
      <c r="DQO5" s="433"/>
      <c r="DQP5" s="433"/>
      <c r="DQQ5" s="433"/>
      <c r="DQR5" s="433"/>
      <c r="DQS5" s="433"/>
      <c r="DQT5" s="433"/>
      <c r="DQU5" s="433"/>
      <c r="DQV5" s="433"/>
      <c r="DQW5" s="433"/>
      <c r="DQX5" s="433"/>
      <c r="DQY5" s="433"/>
      <c r="DQZ5" s="433"/>
      <c r="DRA5" s="433"/>
      <c r="DRB5" s="433"/>
      <c r="DRC5" s="433"/>
      <c r="DRD5" s="433"/>
      <c r="DRE5" s="433"/>
      <c r="DRF5" s="433"/>
      <c r="DRG5" s="433"/>
      <c r="DRH5" s="433"/>
      <c r="DRI5" s="433"/>
      <c r="DRJ5" s="433"/>
      <c r="DRK5" s="433"/>
      <c r="DRL5" s="433"/>
      <c r="DRM5" s="433"/>
      <c r="DRN5" s="433"/>
      <c r="DRO5" s="433"/>
      <c r="DRP5" s="433"/>
      <c r="DRQ5" s="433"/>
      <c r="DRR5" s="433"/>
      <c r="DRS5" s="433"/>
      <c r="DRT5" s="433"/>
      <c r="DRU5" s="433"/>
      <c r="DRV5" s="433"/>
      <c r="DRW5" s="433"/>
      <c r="DRX5" s="433"/>
      <c r="DRY5" s="433"/>
      <c r="DRZ5" s="433"/>
      <c r="DSA5" s="433"/>
      <c r="DSB5" s="433"/>
      <c r="DSC5" s="433"/>
      <c r="DSD5" s="433"/>
      <c r="DSE5" s="433"/>
      <c r="DSF5" s="433"/>
      <c r="DSG5" s="433"/>
      <c r="DSH5" s="433"/>
      <c r="DSI5" s="433"/>
      <c r="DSJ5" s="433"/>
      <c r="DSK5" s="433"/>
      <c r="DSL5" s="433"/>
      <c r="DSM5" s="433"/>
      <c r="DSN5" s="433"/>
      <c r="DSO5" s="433"/>
      <c r="DSP5" s="433"/>
      <c r="DSQ5" s="433"/>
      <c r="DSR5" s="433"/>
      <c r="DSS5" s="433"/>
      <c r="DST5" s="433"/>
      <c r="DSU5" s="433"/>
      <c r="DSV5" s="433"/>
      <c r="DSW5" s="433"/>
      <c r="DSX5" s="433"/>
      <c r="DSY5" s="433"/>
      <c r="DSZ5" s="433"/>
      <c r="DTA5" s="433"/>
      <c r="DTB5" s="433"/>
      <c r="DTC5" s="433"/>
      <c r="DTD5" s="433"/>
      <c r="DTE5" s="433"/>
      <c r="DTF5" s="433"/>
      <c r="DTG5" s="433"/>
      <c r="DTH5" s="433"/>
      <c r="DTI5" s="433"/>
      <c r="DTJ5" s="433"/>
      <c r="DTK5" s="433"/>
      <c r="DTL5" s="433"/>
      <c r="DTM5" s="433"/>
      <c r="DTN5" s="433"/>
      <c r="DTO5" s="433"/>
      <c r="DTP5" s="433"/>
      <c r="DTQ5" s="433"/>
      <c r="DTR5" s="433"/>
      <c r="DTS5" s="433"/>
      <c r="DTT5" s="433"/>
      <c r="DTU5" s="433"/>
      <c r="DTV5" s="433"/>
      <c r="DTW5" s="433"/>
      <c r="DTX5" s="433"/>
      <c r="DTY5" s="433"/>
      <c r="DTZ5" s="433"/>
      <c r="DUA5" s="433"/>
      <c r="DUB5" s="433"/>
      <c r="DUC5" s="433"/>
      <c r="DUD5" s="433"/>
      <c r="DUE5" s="433"/>
      <c r="DUF5" s="433"/>
      <c r="DUG5" s="433"/>
      <c r="DUH5" s="433"/>
      <c r="DUI5" s="433"/>
      <c r="DUJ5" s="433"/>
      <c r="DUK5" s="433"/>
      <c r="DUL5" s="433"/>
      <c r="DUM5" s="433"/>
      <c r="DUN5" s="433"/>
      <c r="DUO5" s="433"/>
      <c r="DUP5" s="433"/>
      <c r="DUQ5" s="433"/>
      <c r="DUR5" s="433"/>
      <c r="DUS5" s="433"/>
      <c r="DUT5" s="433"/>
      <c r="DUU5" s="433"/>
      <c r="DUV5" s="433"/>
      <c r="DUW5" s="433"/>
      <c r="DUX5" s="433"/>
      <c r="DUY5" s="433"/>
      <c r="DUZ5" s="433"/>
      <c r="DVA5" s="433"/>
      <c r="DVB5" s="433"/>
      <c r="DVC5" s="433"/>
      <c r="DVD5" s="433"/>
      <c r="DVE5" s="433"/>
      <c r="DVF5" s="433"/>
      <c r="DVG5" s="433"/>
      <c r="DVH5" s="433"/>
      <c r="DVI5" s="433"/>
      <c r="DVJ5" s="433"/>
      <c r="DVK5" s="433"/>
      <c r="DVL5" s="433"/>
      <c r="DVM5" s="433"/>
      <c r="DVN5" s="433"/>
      <c r="DVO5" s="433"/>
      <c r="DVP5" s="433"/>
      <c r="DVQ5" s="433"/>
      <c r="DVR5" s="433"/>
      <c r="DVS5" s="433"/>
      <c r="DVT5" s="433"/>
      <c r="DVU5" s="433"/>
      <c r="DVV5" s="433"/>
      <c r="DVW5" s="433"/>
      <c r="DVX5" s="433"/>
      <c r="DVY5" s="433"/>
      <c r="DVZ5" s="433"/>
      <c r="DWA5" s="433"/>
      <c r="DWB5" s="433"/>
      <c r="DWC5" s="433"/>
      <c r="DWD5" s="433"/>
      <c r="DWE5" s="433"/>
      <c r="DWF5" s="433"/>
      <c r="DWG5" s="433"/>
      <c r="DWH5" s="433"/>
      <c r="DWI5" s="433"/>
      <c r="DWJ5" s="433"/>
      <c r="DWK5" s="433"/>
      <c r="DWL5" s="433"/>
      <c r="DWM5" s="433"/>
      <c r="DWN5" s="433"/>
      <c r="DWO5" s="433"/>
      <c r="DWP5" s="433"/>
      <c r="DWQ5" s="433"/>
      <c r="DWR5" s="433"/>
      <c r="DWS5" s="433"/>
      <c r="DWT5" s="433"/>
      <c r="DWU5" s="433"/>
      <c r="DWV5" s="433"/>
      <c r="DWW5" s="433"/>
      <c r="DWX5" s="433"/>
      <c r="DWY5" s="433"/>
      <c r="DWZ5" s="433"/>
      <c r="DXA5" s="433"/>
      <c r="DXB5" s="433"/>
      <c r="DXC5" s="433"/>
      <c r="DXD5" s="433"/>
      <c r="DXE5" s="433"/>
      <c r="DXF5" s="433"/>
      <c r="DXG5" s="433"/>
      <c r="DXH5" s="433"/>
      <c r="DXI5" s="433"/>
      <c r="DXJ5" s="433"/>
      <c r="DXK5" s="433"/>
      <c r="DXL5" s="433"/>
      <c r="DXM5" s="433"/>
      <c r="DXN5" s="433"/>
      <c r="DXO5" s="433"/>
      <c r="DXP5" s="433"/>
      <c r="DXQ5" s="433"/>
      <c r="DXR5" s="433"/>
      <c r="DXS5" s="433"/>
      <c r="DXT5" s="433"/>
      <c r="DXU5" s="433"/>
      <c r="DXV5" s="433"/>
      <c r="DXW5" s="433"/>
      <c r="DXX5" s="433"/>
      <c r="DXY5" s="433"/>
      <c r="DXZ5" s="433"/>
      <c r="DYA5" s="433"/>
      <c r="DYB5" s="433"/>
      <c r="DYC5" s="433"/>
      <c r="DYD5" s="433"/>
      <c r="DYE5" s="433"/>
      <c r="DYF5" s="433"/>
      <c r="DYG5" s="433"/>
      <c r="DYH5" s="433"/>
      <c r="DYI5" s="433"/>
      <c r="DYJ5" s="433"/>
      <c r="DYK5" s="433"/>
      <c r="DYL5" s="433"/>
      <c r="DYM5" s="433"/>
      <c r="DYN5" s="433"/>
      <c r="DYO5" s="433"/>
      <c r="DYP5" s="433"/>
      <c r="DYQ5" s="433"/>
      <c r="DYR5" s="433"/>
      <c r="DYS5" s="433"/>
      <c r="DYT5" s="433"/>
      <c r="DYU5" s="433"/>
      <c r="DYV5" s="433"/>
      <c r="DYW5" s="433"/>
      <c r="DYX5" s="433"/>
      <c r="DYY5" s="433"/>
      <c r="DYZ5" s="433"/>
      <c r="DZA5" s="433"/>
      <c r="DZB5" s="433"/>
      <c r="DZC5" s="433"/>
      <c r="DZD5" s="433"/>
      <c r="DZE5" s="433"/>
      <c r="DZF5" s="433"/>
      <c r="DZG5" s="433"/>
      <c r="DZH5" s="433"/>
      <c r="DZI5" s="433"/>
      <c r="DZJ5" s="433"/>
      <c r="DZK5" s="433"/>
      <c r="DZL5" s="433"/>
      <c r="DZM5" s="433"/>
      <c r="DZN5" s="433"/>
      <c r="DZO5" s="433"/>
      <c r="DZP5" s="433"/>
      <c r="DZQ5" s="433"/>
      <c r="DZR5" s="433"/>
      <c r="DZS5" s="433"/>
      <c r="DZT5" s="433"/>
      <c r="DZU5" s="433"/>
      <c r="DZV5" s="433"/>
      <c r="DZW5" s="433"/>
      <c r="DZX5" s="433"/>
      <c r="DZY5" s="433"/>
      <c r="DZZ5" s="433"/>
      <c r="EAA5" s="433"/>
      <c r="EAB5" s="433"/>
      <c r="EAC5" s="433"/>
      <c r="EAD5" s="433"/>
      <c r="EAE5" s="433"/>
      <c r="EAF5" s="433"/>
      <c r="EAG5" s="433"/>
      <c r="EAH5" s="433"/>
      <c r="EAI5" s="433"/>
      <c r="EAJ5" s="433"/>
      <c r="EAK5" s="433"/>
      <c r="EAL5" s="433"/>
      <c r="EAM5" s="433"/>
      <c r="EAN5" s="433"/>
      <c r="EAO5" s="433"/>
      <c r="EAP5" s="433"/>
      <c r="EAQ5" s="433"/>
      <c r="EAR5" s="433"/>
      <c r="EAS5" s="433"/>
      <c r="EAT5" s="433"/>
      <c r="EAU5" s="433"/>
      <c r="EAV5" s="433"/>
      <c r="EAW5" s="433"/>
      <c r="EAX5" s="433"/>
      <c r="EAY5" s="433"/>
      <c r="EAZ5" s="433"/>
      <c r="EBA5" s="433"/>
      <c r="EBB5" s="433"/>
      <c r="EBC5" s="433"/>
      <c r="EBD5" s="433"/>
      <c r="EBE5" s="433"/>
      <c r="EBF5" s="433"/>
      <c r="EBG5" s="433"/>
      <c r="EBH5" s="433"/>
      <c r="EBI5" s="433"/>
      <c r="EBJ5" s="433"/>
      <c r="EBK5" s="433"/>
      <c r="EBL5" s="433"/>
      <c r="EBM5" s="433"/>
      <c r="EBN5" s="433"/>
      <c r="EBO5" s="433"/>
      <c r="EBP5" s="433"/>
      <c r="EBQ5" s="433"/>
      <c r="EBR5" s="433"/>
      <c r="EBS5" s="433"/>
      <c r="EBT5" s="433"/>
      <c r="EBU5" s="433"/>
      <c r="EBV5" s="433"/>
      <c r="EBW5" s="433"/>
      <c r="EBX5" s="433"/>
      <c r="EBY5" s="433"/>
      <c r="EBZ5" s="433"/>
      <c r="ECA5" s="433"/>
      <c r="ECB5" s="433"/>
      <c r="ECC5" s="433"/>
      <c r="ECD5" s="433"/>
      <c r="ECE5" s="433"/>
      <c r="ECF5" s="433"/>
      <c r="ECG5" s="433"/>
      <c r="ECH5" s="433"/>
      <c r="ECI5" s="433"/>
      <c r="ECJ5" s="433"/>
      <c r="ECK5" s="433"/>
      <c r="ECL5" s="433"/>
      <c r="ECM5" s="433"/>
      <c r="ECN5" s="433"/>
      <c r="ECO5" s="433"/>
      <c r="ECP5" s="433"/>
      <c r="ECQ5" s="433"/>
      <c r="ECR5" s="433"/>
      <c r="ECS5" s="433"/>
      <c r="ECT5" s="433"/>
      <c r="ECU5" s="433"/>
      <c r="ECV5" s="433"/>
      <c r="ECW5" s="433"/>
      <c r="ECX5" s="433"/>
      <c r="ECY5" s="433"/>
      <c r="ECZ5" s="433"/>
      <c r="EDA5" s="433"/>
      <c r="EDB5" s="433"/>
      <c r="EDC5" s="433"/>
      <c r="EDD5" s="433"/>
      <c r="EDE5" s="433"/>
      <c r="EDF5" s="433"/>
      <c r="EDG5" s="433"/>
      <c r="EDH5" s="433"/>
      <c r="EDI5" s="433"/>
      <c r="EDJ5" s="433"/>
      <c r="EDK5" s="433"/>
      <c r="EDL5" s="433"/>
      <c r="EDM5" s="433"/>
      <c r="EDN5" s="433"/>
      <c r="EDO5" s="433"/>
      <c r="EDP5" s="433"/>
      <c r="EDQ5" s="433"/>
      <c r="EDR5" s="433"/>
      <c r="EDS5" s="433"/>
      <c r="EDT5" s="433"/>
      <c r="EDU5" s="433"/>
      <c r="EDV5" s="433"/>
      <c r="EDW5" s="433"/>
      <c r="EDX5" s="433"/>
      <c r="EDY5" s="433"/>
      <c r="EDZ5" s="433"/>
      <c r="EEA5" s="433"/>
      <c r="EEB5" s="433"/>
      <c r="EEC5" s="433"/>
      <c r="EED5" s="433"/>
      <c r="EEE5" s="433"/>
      <c r="EEF5" s="433"/>
      <c r="EEG5" s="433"/>
      <c r="EEH5" s="433"/>
      <c r="EEI5" s="433"/>
      <c r="EEJ5" s="433"/>
      <c r="EEK5" s="433"/>
      <c r="EEL5" s="433"/>
      <c r="EEM5" s="433"/>
      <c r="EEN5" s="433"/>
      <c r="EEO5" s="433"/>
      <c r="EEP5" s="433"/>
      <c r="EEQ5" s="433"/>
      <c r="EER5" s="433"/>
      <c r="EES5" s="433"/>
      <c r="EET5" s="433"/>
      <c r="EEU5" s="433"/>
      <c r="EEV5" s="433"/>
      <c r="EEW5" s="433"/>
      <c r="EEX5" s="433"/>
      <c r="EEY5" s="433"/>
      <c r="EEZ5" s="433"/>
      <c r="EFA5" s="433"/>
      <c r="EFB5" s="433"/>
      <c r="EFC5" s="433"/>
      <c r="EFD5" s="433"/>
      <c r="EFE5" s="433"/>
      <c r="EFF5" s="433"/>
      <c r="EFG5" s="433"/>
      <c r="EFH5" s="433"/>
      <c r="EFI5" s="433"/>
      <c r="EFJ5" s="433"/>
      <c r="EFK5" s="433"/>
      <c r="EFL5" s="433"/>
      <c r="EFM5" s="433"/>
      <c r="EFN5" s="433"/>
      <c r="EFO5" s="433"/>
      <c r="EFP5" s="433"/>
      <c r="EFQ5" s="433"/>
      <c r="EFR5" s="433"/>
      <c r="EFS5" s="433"/>
      <c r="EFT5" s="433"/>
      <c r="EFU5" s="433"/>
      <c r="EFV5" s="433"/>
      <c r="EFW5" s="433"/>
      <c r="EFX5" s="433"/>
      <c r="EFY5" s="433"/>
      <c r="EFZ5" s="433"/>
      <c r="EGA5" s="433"/>
      <c r="EGB5" s="433"/>
      <c r="EGC5" s="433"/>
      <c r="EGD5" s="433"/>
      <c r="EGE5" s="433"/>
      <c r="EGF5" s="433"/>
      <c r="EGG5" s="433"/>
      <c r="EGH5" s="433"/>
      <c r="EGI5" s="433"/>
      <c r="EGJ5" s="433"/>
      <c r="EGK5" s="433"/>
      <c r="EGL5" s="433"/>
      <c r="EGM5" s="433"/>
      <c r="EGN5" s="433"/>
      <c r="EGO5" s="433"/>
      <c r="EGP5" s="433"/>
      <c r="EGQ5" s="433"/>
      <c r="EGR5" s="433"/>
      <c r="EGS5" s="433"/>
      <c r="EGT5" s="433"/>
      <c r="EGU5" s="433"/>
      <c r="EGV5" s="433"/>
      <c r="EGW5" s="433"/>
      <c r="EGX5" s="433"/>
      <c r="EGY5" s="433"/>
      <c r="EGZ5" s="433"/>
      <c r="EHA5" s="433"/>
      <c r="EHB5" s="433"/>
      <c r="EHC5" s="433"/>
      <c r="EHD5" s="433"/>
      <c r="EHE5" s="433"/>
      <c r="EHF5" s="433"/>
      <c r="EHG5" s="433"/>
      <c r="EHH5" s="433"/>
      <c r="EHI5" s="433"/>
      <c r="EHJ5" s="433"/>
      <c r="EHK5" s="433"/>
      <c r="EHL5" s="433"/>
      <c r="EHM5" s="433"/>
      <c r="EHN5" s="433"/>
      <c r="EHO5" s="433"/>
      <c r="EHP5" s="433"/>
      <c r="EHQ5" s="433"/>
      <c r="EHR5" s="433"/>
      <c r="EHS5" s="433"/>
      <c r="EHT5" s="433"/>
      <c r="EHU5" s="433"/>
      <c r="EHV5" s="433"/>
      <c r="EHW5" s="433"/>
      <c r="EHX5" s="433"/>
      <c r="EHY5" s="433"/>
      <c r="EHZ5" s="433"/>
      <c r="EIA5" s="433"/>
      <c r="EIB5" s="433"/>
      <c r="EIC5" s="433"/>
      <c r="EID5" s="433"/>
      <c r="EIE5" s="433"/>
      <c r="EIF5" s="433"/>
      <c r="EIG5" s="433"/>
      <c r="EIH5" s="433"/>
      <c r="EII5" s="433"/>
      <c r="EIJ5" s="433"/>
      <c r="EIK5" s="433"/>
      <c r="EIL5" s="433"/>
      <c r="EIM5" s="433"/>
      <c r="EIN5" s="433"/>
      <c r="EIO5" s="433"/>
      <c r="EIP5" s="433"/>
      <c r="EIQ5" s="433"/>
      <c r="EIR5" s="433"/>
      <c r="EIS5" s="433"/>
      <c r="EIT5" s="433"/>
      <c r="EIU5" s="433"/>
      <c r="EIV5" s="433"/>
      <c r="EIW5" s="433"/>
      <c r="EIX5" s="433"/>
      <c r="EIY5" s="433"/>
      <c r="EIZ5" s="433"/>
      <c r="EJA5" s="433"/>
      <c r="EJB5" s="433"/>
      <c r="EJC5" s="433"/>
      <c r="EJD5" s="433"/>
      <c r="EJE5" s="433"/>
      <c r="EJF5" s="433"/>
      <c r="EJG5" s="433"/>
      <c r="EJH5" s="433"/>
      <c r="EJI5" s="433"/>
      <c r="EJJ5" s="433"/>
      <c r="EJK5" s="433"/>
      <c r="EJL5" s="433"/>
      <c r="EJM5" s="433"/>
      <c r="EJN5" s="433"/>
      <c r="EJO5" s="433"/>
      <c r="EJP5" s="433"/>
      <c r="EJQ5" s="433"/>
      <c r="EJR5" s="433"/>
      <c r="EJS5" s="433"/>
      <c r="EJT5" s="433"/>
      <c r="EJU5" s="433"/>
      <c r="EJV5" s="433"/>
      <c r="EJW5" s="433"/>
      <c r="EJX5" s="433"/>
      <c r="EJY5" s="433"/>
      <c r="EJZ5" s="433"/>
      <c r="EKA5" s="433"/>
      <c r="EKB5" s="433"/>
      <c r="EKC5" s="433"/>
      <c r="EKD5" s="433"/>
      <c r="EKE5" s="433"/>
      <c r="EKF5" s="433"/>
      <c r="EKG5" s="433"/>
      <c r="EKH5" s="433"/>
      <c r="EKI5" s="433"/>
      <c r="EKJ5" s="433"/>
      <c r="EKK5" s="433"/>
      <c r="EKL5" s="433"/>
      <c r="EKM5" s="433"/>
      <c r="EKN5" s="433"/>
      <c r="EKO5" s="433"/>
      <c r="EKP5" s="433"/>
      <c r="EKQ5" s="433"/>
      <c r="EKR5" s="433"/>
      <c r="EKS5" s="433"/>
      <c r="EKT5" s="433"/>
      <c r="EKU5" s="433"/>
      <c r="EKV5" s="433"/>
      <c r="EKW5" s="433"/>
      <c r="EKX5" s="433"/>
      <c r="EKY5" s="433"/>
      <c r="EKZ5" s="433"/>
      <c r="ELA5" s="433"/>
      <c r="ELB5" s="433"/>
      <c r="ELC5" s="433"/>
      <c r="ELD5" s="433"/>
      <c r="ELE5" s="433"/>
      <c r="ELF5" s="433"/>
      <c r="ELG5" s="433"/>
      <c r="ELH5" s="433"/>
      <c r="ELI5" s="433"/>
      <c r="ELJ5" s="433"/>
      <c r="ELK5" s="433"/>
      <c r="ELL5" s="433"/>
      <c r="ELM5" s="433"/>
      <c r="ELN5" s="433"/>
      <c r="ELO5" s="433"/>
      <c r="ELP5" s="433"/>
      <c r="ELQ5" s="433"/>
      <c r="ELR5" s="433"/>
      <c r="ELS5" s="433"/>
      <c r="ELT5" s="433"/>
      <c r="ELU5" s="433"/>
      <c r="ELV5" s="433"/>
      <c r="ELW5" s="433"/>
      <c r="ELX5" s="433"/>
      <c r="ELY5" s="433"/>
      <c r="ELZ5" s="433"/>
      <c r="EMA5" s="433"/>
      <c r="EMB5" s="433"/>
      <c r="EMC5" s="433"/>
      <c r="EMD5" s="433"/>
      <c r="EME5" s="433"/>
      <c r="EMF5" s="433"/>
      <c r="EMG5" s="433"/>
      <c r="EMH5" s="433"/>
      <c r="EMI5" s="433"/>
      <c r="EMJ5" s="433"/>
      <c r="EMK5" s="433"/>
      <c r="EML5" s="433"/>
      <c r="EMM5" s="433"/>
      <c r="EMN5" s="433"/>
      <c r="EMO5" s="433"/>
      <c r="EMP5" s="433"/>
      <c r="EMQ5" s="433"/>
      <c r="EMR5" s="433"/>
      <c r="EMS5" s="433"/>
      <c r="EMT5" s="433"/>
      <c r="EMU5" s="433"/>
      <c r="EMV5" s="433"/>
      <c r="EMW5" s="433"/>
      <c r="EMX5" s="433"/>
      <c r="EMY5" s="433"/>
      <c r="EMZ5" s="433"/>
      <c r="ENA5" s="433"/>
      <c r="ENB5" s="433"/>
      <c r="ENC5" s="433"/>
      <c r="END5" s="433"/>
      <c r="ENE5" s="433"/>
      <c r="ENF5" s="433"/>
      <c r="ENG5" s="433"/>
      <c r="ENH5" s="433"/>
      <c r="ENI5" s="433"/>
      <c r="ENJ5" s="433"/>
      <c r="ENK5" s="433"/>
      <c r="ENL5" s="433"/>
      <c r="ENM5" s="433"/>
      <c r="ENN5" s="433"/>
      <c r="ENO5" s="433"/>
      <c r="ENP5" s="433"/>
      <c r="ENQ5" s="433"/>
      <c r="ENR5" s="433"/>
      <c r="ENS5" s="433"/>
      <c r="ENT5" s="433"/>
      <c r="ENU5" s="433"/>
      <c r="ENV5" s="433"/>
      <c r="ENW5" s="433"/>
      <c r="ENX5" s="433"/>
      <c r="ENY5" s="433"/>
      <c r="ENZ5" s="433"/>
      <c r="EOA5" s="433"/>
      <c r="EOB5" s="433"/>
      <c r="EOC5" s="433"/>
      <c r="EOD5" s="433"/>
      <c r="EOE5" s="433"/>
      <c r="EOF5" s="433"/>
      <c r="EOG5" s="433"/>
      <c r="EOH5" s="433"/>
      <c r="EOI5" s="433"/>
      <c r="EOJ5" s="433"/>
      <c r="EOK5" s="433"/>
      <c r="EOL5" s="433"/>
      <c r="EOM5" s="433"/>
      <c r="EON5" s="433"/>
      <c r="EOO5" s="433"/>
      <c r="EOP5" s="433"/>
      <c r="EOQ5" s="433"/>
      <c r="EOR5" s="433"/>
      <c r="EOS5" s="433"/>
      <c r="EOT5" s="433"/>
      <c r="EOU5" s="433"/>
      <c r="EOV5" s="433"/>
      <c r="EOW5" s="433"/>
      <c r="EOX5" s="433"/>
      <c r="EOY5" s="433"/>
      <c r="EOZ5" s="433"/>
      <c r="EPA5" s="433"/>
      <c r="EPB5" s="433"/>
      <c r="EPC5" s="433"/>
      <c r="EPD5" s="433"/>
      <c r="EPE5" s="433"/>
      <c r="EPF5" s="433"/>
      <c r="EPG5" s="433"/>
      <c r="EPH5" s="433"/>
      <c r="EPI5" s="433"/>
      <c r="EPJ5" s="433"/>
      <c r="EPK5" s="433"/>
      <c r="EPL5" s="433"/>
      <c r="EPM5" s="433"/>
      <c r="EPN5" s="433"/>
      <c r="EPO5" s="433"/>
      <c r="EPP5" s="433"/>
      <c r="EPQ5" s="433"/>
      <c r="EPR5" s="433"/>
      <c r="EPS5" s="433"/>
      <c r="EPT5" s="433"/>
      <c r="EPU5" s="433"/>
      <c r="EPV5" s="433"/>
      <c r="EPW5" s="433"/>
      <c r="EPX5" s="433"/>
      <c r="EPY5" s="433"/>
      <c r="EPZ5" s="433"/>
      <c r="EQA5" s="433"/>
      <c r="EQB5" s="433"/>
      <c r="EQC5" s="433"/>
      <c r="EQD5" s="433"/>
      <c r="EQE5" s="433"/>
      <c r="EQF5" s="433"/>
      <c r="EQG5" s="433"/>
      <c r="EQH5" s="433"/>
      <c r="EQI5" s="433"/>
      <c r="EQJ5" s="433"/>
      <c r="EQK5" s="433"/>
      <c r="EQL5" s="433"/>
      <c r="EQM5" s="433"/>
      <c r="EQN5" s="433"/>
      <c r="EQO5" s="433"/>
      <c r="EQP5" s="433"/>
      <c r="EQQ5" s="433"/>
      <c r="EQR5" s="433"/>
      <c r="EQS5" s="433"/>
      <c r="EQT5" s="433"/>
      <c r="EQU5" s="433"/>
      <c r="EQV5" s="433"/>
      <c r="EQW5" s="433"/>
      <c r="EQX5" s="433"/>
      <c r="EQY5" s="433"/>
      <c r="EQZ5" s="433"/>
      <c r="ERA5" s="433"/>
      <c r="ERB5" s="433"/>
      <c r="ERC5" s="433"/>
      <c r="ERD5" s="433"/>
      <c r="ERE5" s="433"/>
      <c r="ERF5" s="433"/>
      <c r="ERG5" s="433"/>
      <c r="ERH5" s="433"/>
      <c r="ERI5" s="433"/>
      <c r="ERJ5" s="433"/>
      <c r="ERK5" s="433"/>
      <c r="ERL5" s="433"/>
      <c r="ERM5" s="433"/>
      <c r="ERN5" s="433"/>
      <c r="ERO5" s="433"/>
      <c r="ERP5" s="433"/>
      <c r="ERQ5" s="433"/>
      <c r="ERR5" s="433"/>
      <c r="ERS5" s="433"/>
      <c r="ERT5" s="433"/>
      <c r="ERU5" s="433"/>
      <c r="ERV5" s="433"/>
      <c r="ERW5" s="433"/>
      <c r="ERX5" s="433"/>
      <c r="ERY5" s="433"/>
      <c r="ERZ5" s="433"/>
      <c r="ESA5" s="433"/>
      <c r="ESB5" s="433"/>
      <c r="ESC5" s="433"/>
      <c r="ESD5" s="433"/>
      <c r="ESE5" s="433"/>
      <c r="ESF5" s="433"/>
      <c r="ESG5" s="433"/>
      <c r="ESH5" s="433"/>
      <c r="ESI5" s="433"/>
      <c r="ESJ5" s="433"/>
      <c r="ESK5" s="433"/>
      <c r="ESL5" s="433"/>
      <c r="ESM5" s="433"/>
      <c r="ESN5" s="433"/>
      <c r="ESO5" s="433"/>
      <c r="ESP5" s="433"/>
      <c r="ESQ5" s="433"/>
      <c r="ESR5" s="433"/>
      <c r="ESS5" s="433"/>
      <c r="EST5" s="433"/>
      <c r="ESU5" s="433"/>
      <c r="ESV5" s="433"/>
      <c r="ESW5" s="433"/>
      <c r="ESX5" s="433"/>
      <c r="ESY5" s="433"/>
      <c r="ESZ5" s="433"/>
      <c r="ETA5" s="433"/>
      <c r="ETB5" s="433"/>
      <c r="ETC5" s="433"/>
      <c r="ETD5" s="433"/>
      <c r="ETE5" s="433"/>
      <c r="ETF5" s="433"/>
      <c r="ETG5" s="433"/>
      <c r="ETH5" s="433"/>
      <c r="ETI5" s="433"/>
      <c r="ETJ5" s="433"/>
      <c r="ETK5" s="433"/>
      <c r="ETL5" s="433"/>
      <c r="ETM5" s="433"/>
      <c r="ETN5" s="433"/>
      <c r="ETO5" s="433"/>
      <c r="ETP5" s="433"/>
      <c r="ETQ5" s="433"/>
      <c r="ETR5" s="433"/>
      <c r="ETS5" s="433"/>
      <c r="ETT5" s="433"/>
      <c r="ETU5" s="433"/>
      <c r="ETV5" s="433"/>
      <c r="ETW5" s="433"/>
      <c r="ETX5" s="433"/>
      <c r="ETY5" s="433"/>
      <c r="ETZ5" s="433"/>
      <c r="EUA5" s="433"/>
      <c r="EUB5" s="433"/>
      <c r="EUC5" s="433"/>
      <c r="EUD5" s="433"/>
      <c r="EUE5" s="433"/>
      <c r="EUF5" s="433"/>
      <c r="EUG5" s="433"/>
      <c r="EUH5" s="433"/>
      <c r="EUI5" s="433"/>
      <c r="EUJ5" s="433"/>
      <c r="EUK5" s="433"/>
      <c r="EUL5" s="433"/>
      <c r="EUM5" s="433"/>
      <c r="EUN5" s="433"/>
      <c r="EUO5" s="433"/>
      <c r="EUP5" s="433"/>
      <c r="EUQ5" s="433"/>
      <c r="EUR5" s="433"/>
      <c r="EUS5" s="433"/>
      <c r="EUT5" s="433"/>
      <c r="EUU5" s="433"/>
      <c r="EUV5" s="433"/>
      <c r="EUW5" s="433"/>
      <c r="EUX5" s="433"/>
      <c r="EUY5" s="433"/>
      <c r="EUZ5" s="433"/>
      <c r="EVA5" s="433"/>
      <c r="EVB5" s="433"/>
      <c r="EVC5" s="433"/>
      <c r="EVD5" s="433"/>
      <c r="EVE5" s="433"/>
      <c r="EVF5" s="433"/>
      <c r="EVG5" s="433"/>
      <c r="EVH5" s="433"/>
      <c r="EVI5" s="433"/>
      <c r="EVJ5" s="433"/>
      <c r="EVK5" s="433"/>
      <c r="EVL5" s="433"/>
      <c r="EVM5" s="433"/>
      <c r="EVN5" s="433"/>
      <c r="EVO5" s="433"/>
      <c r="EVP5" s="433"/>
      <c r="EVQ5" s="433"/>
      <c r="EVR5" s="433"/>
      <c r="EVS5" s="433"/>
      <c r="EVT5" s="433"/>
      <c r="EVU5" s="433"/>
      <c r="EVV5" s="433"/>
      <c r="EVW5" s="433"/>
      <c r="EVX5" s="433"/>
      <c r="EVY5" s="433"/>
      <c r="EVZ5" s="433"/>
      <c r="EWA5" s="433"/>
      <c r="EWB5" s="433"/>
      <c r="EWC5" s="433"/>
      <c r="EWD5" s="433"/>
      <c r="EWE5" s="433"/>
      <c r="EWF5" s="433"/>
      <c r="EWG5" s="433"/>
      <c r="EWH5" s="433"/>
      <c r="EWI5" s="433"/>
      <c r="EWJ5" s="433"/>
      <c r="EWK5" s="433"/>
      <c r="EWL5" s="433"/>
      <c r="EWM5" s="433"/>
      <c r="EWN5" s="433"/>
      <c r="EWO5" s="433"/>
      <c r="EWP5" s="433"/>
      <c r="EWQ5" s="433"/>
      <c r="EWR5" s="433"/>
      <c r="EWS5" s="433"/>
      <c r="EWT5" s="433"/>
      <c r="EWU5" s="433"/>
      <c r="EWV5" s="433"/>
      <c r="EWW5" s="433"/>
      <c r="EWX5" s="433"/>
      <c r="EWY5" s="433"/>
      <c r="EWZ5" s="433"/>
      <c r="EXA5" s="433"/>
      <c r="EXB5" s="433"/>
      <c r="EXC5" s="433"/>
      <c r="EXD5" s="433"/>
      <c r="EXE5" s="433"/>
      <c r="EXF5" s="433"/>
      <c r="EXG5" s="433"/>
      <c r="EXH5" s="433"/>
      <c r="EXI5" s="433"/>
      <c r="EXJ5" s="433"/>
      <c r="EXK5" s="433"/>
      <c r="EXL5" s="433"/>
      <c r="EXM5" s="433"/>
      <c r="EXN5" s="433"/>
      <c r="EXO5" s="433"/>
      <c r="EXP5" s="433"/>
      <c r="EXQ5" s="433"/>
      <c r="EXR5" s="433"/>
      <c r="EXS5" s="433"/>
      <c r="EXT5" s="433"/>
      <c r="EXU5" s="433"/>
      <c r="EXV5" s="433"/>
      <c r="EXW5" s="433"/>
      <c r="EXX5" s="433"/>
      <c r="EXY5" s="433"/>
      <c r="EXZ5" s="433"/>
      <c r="EYA5" s="433"/>
      <c r="EYB5" s="433"/>
      <c r="EYC5" s="433"/>
      <c r="EYD5" s="433"/>
      <c r="EYE5" s="433"/>
      <c r="EYF5" s="433"/>
      <c r="EYG5" s="433"/>
      <c r="EYH5" s="433"/>
      <c r="EYI5" s="433"/>
      <c r="EYJ5" s="433"/>
      <c r="EYK5" s="433"/>
      <c r="EYL5" s="433"/>
      <c r="EYM5" s="433"/>
      <c r="EYN5" s="433"/>
      <c r="EYO5" s="433"/>
      <c r="EYP5" s="433"/>
      <c r="EYQ5" s="433"/>
      <c r="EYR5" s="433"/>
      <c r="EYS5" s="433"/>
      <c r="EYT5" s="433"/>
      <c r="EYU5" s="433"/>
      <c r="EYV5" s="433"/>
      <c r="EYW5" s="433"/>
      <c r="EYX5" s="433"/>
      <c r="EYY5" s="433"/>
      <c r="EYZ5" s="433"/>
      <c r="EZA5" s="433"/>
      <c r="EZB5" s="433"/>
      <c r="EZC5" s="433"/>
      <c r="EZD5" s="433"/>
      <c r="EZE5" s="433"/>
      <c r="EZF5" s="433"/>
      <c r="EZG5" s="433"/>
      <c r="EZH5" s="433"/>
      <c r="EZI5" s="433"/>
      <c r="EZJ5" s="433"/>
      <c r="EZK5" s="433"/>
      <c r="EZL5" s="433"/>
      <c r="EZM5" s="433"/>
      <c r="EZN5" s="433"/>
      <c r="EZO5" s="433"/>
      <c r="EZP5" s="433"/>
      <c r="EZQ5" s="433"/>
      <c r="EZR5" s="433"/>
      <c r="EZS5" s="433"/>
      <c r="EZT5" s="433"/>
      <c r="EZU5" s="433"/>
      <c r="EZV5" s="433"/>
      <c r="EZW5" s="433"/>
      <c r="EZX5" s="433"/>
      <c r="EZY5" s="433"/>
      <c r="EZZ5" s="433"/>
      <c r="FAA5" s="433"/>
      <c r="FAB5" s="433"/>
      <c r="FAC5" s="433"/>
      <c r="FAD5" s="433"/>
      <c r="FAE5" s="433"/>
      <c r="FAF5" s="433"/>
      <c r="FAG5" s="433"/>
      <c r="FAH5" s="433"/>
      <c r="FAI5" s="433"/>
      <c r="FAJ5" s="433"/>
      <c r="FAK5" s="433"/>
      <c r="FAL5" s="433"/>
      <c r="FAM5" s="433"/>
      <c r="FAN5" s="433"/>
      <c r="FAO5" s="433"/>
      <c r="FAP5" s="433"/>
      <c r="FAQ5" s="433"/>
      <c r="FAR5" s="433"/>
      <c r="FAS5" s="433"/>
      <c r="FAT5" s="433"/>
      <c r="FAU5" s="433"/>
      <c r="FAV5" s="433"/>
      <c r="FAW5" s="433"/>
      <c r="FAX5" s="433"/>
      <c r="FAY5" s="433"/>
      <c r="FAZ5" s="433"/>
      <c r="FBA5" s="433"/>
      <c r="FBB5" s="433"/>
      <c r="FBC5" s="433"/>
      <c r="FBD5" s="433"/>
      <c r="FBE5" s="433"/>
      <c r="FBF5" s="433"/>
      <c r="FBG5" s="433"/>
      <c r="FBH5" s="433"/>
      <c r="FBI5" s="433"/>
      <c r="FBJ5" s="433"/>
      <c r="FBK5" s="433"/>
      <c r="FBL5" s="433"/>
      <c r="FBM5" s="433"/>
      <c r="FBN5" s="433"/>
      <c r="FBO5" s="433"/>
      <c r="FBP5" s="433"/>
      <c r="FBQ5" s="433"/>
      <c r="FBR5" s="433"/>
      <c r="FBS5" s="433"/>
      <c r="FBT5" s="433"/>
      <c r="FBU5" s="433"/>
      <c r="FBV5" s="433"/>
      <c r="FBW5" s="433"/>
      <c r="FBX5" s="433"/>
      <c r="FBY5" s="433"/>
      <c r="FBZ5" s="433"/>
      <c r="FCA5" s="433"/>
      <c r="FCB5" s="433"/>
      <c r="FCC5" s="433"/>
      <c r="FCD5" s="433"/>
      <c r="FCE5" s="433"/>
      <c r="FCF5" s="433"/>
      <c r="FCG5" s="433"/>
      <c r="FCH5" s="433"/>
      <c r="FCI5" s="433"/>
      <c r="FCJ5" s="433"/>
      <c r="FCK5" s="433"/>
      <c r="FCL5" s="433"/>
      <c r="FCM5" s="433"/>
      <c r="FCN5" s="433"/>
      <c r="FCO5" s="433"/>
      <c r="FCP5" s="433"/>
      <c r="FCQ5" s="433"/>
      <c r="FCR5" s="433"/>
      <c r="FCS5" s="433"/>
      <c r="FCT5" s="433"/>
      <c r="FCU5" s="433"/>
      <c r="FCV5" s="433"/>
      <c r="FCW5" s="433"/>
      <c r="FCX5" s="433"/>
      <c r="FCY5" s="433"/>
      <c r="FCZ5" s="433"/>
      <c r="FDA5" s="433"/>
      <c r="FDB5" s="433"/>
      <c r="FDC5" s="433"/>
      <c r="FDD5" s="433"/>
      <c r="FDE5" s="433"/>
      <c r="FDF5" s="433"/>
      <c r="FDG5" s="433"/>
      <c r="FDH5" s="433"/>
      <c r="FDI5" s="433"/>
      <c r="FDJ5" s="433"/>
      <c r="FDK5" s="433"/>
      <c r="FDL5" s="433"/>
      <c r="FDM5" s="433"/>
      <c r="FDN5" s="433"/>
      <c r="FDO5" s="433"/>
      <c r="FDP5" s="433"/>
      <c r="FDQ5" s="433"/>
      <c r="FDR5" s="433"/>
      <c r="FDS5" s="433"/>
      <c r="FDT5" s="433"/>
      <c r="FDU5" s="433"/>
      <c r="FDV5" s="433"/>
      <c r="FDW5" s="433"/>
      <c r="FDX5" s="433"/>
      <c r="FDY5" s="433"/>
      <c r="FDZ5" s="433"/>
      <c r="FEA5" s="433"/>
      <c r="FEB5" s="433"/>
      <c r="FEC5" s="433"/>
      <c r="FED5" s="433"/>
      <c r="FEE5" s="433"/>
      <c r="FEF5" s="433"/>
      <c r="FEG5" s="433"/>
      <c r="FEH5" s="433"/>
      <c r="FEI5" s="433"/>
      <c r="FEJ5" s="433"/>
      <c r="FEK5" s="433"/>
      <c r="FEL5" s="433"/>
      <c r="FEM5" s="433"/>
      <c r="FEN5" s="433"/>
      <c r="FEO5" s="433"/>
      <c r="FEP5" s="433"/>
      <c r="FEQ5" s="433"/>
      <c r="FER5" s="433"/>
      <c r="FES5" s="433"/>
      <c r="FET5" s="433"/>
      <c r="FEU5" s="433"/>
      <c r="FEV5" s="433"/>
      <c r="FEW5" s="433"/>
      <c r="FEX5" s="433"/>
      <c r="FEY5" s="433"/>
      <c r="FEZ5" s="433"/>
      <c r="FFA5" s="433"/>
      <c r="FFB5" s="433"/>
      <c r="FFC5" s="433"/>
      <c r="FFD5" s="433"/>
      <c r="FFE5" s="433"/>
      <c r="FFF5" s="433"/>
      <c r="FFG5" s="433"/>
      <c r="FFH5" s="433"/>
      <c r="FFI5" s="433"/>
      <c r="FFJ5" s="433"/>
      <c r="FFK5" s="433"/>
      <c r="FFL5" s="433"/>
      <c r="FFM5" s="433"/>
      <c r="FFN5" s="433"/>
      <c r="FFO5" s="433"/>
      <c r="FFP5" s="433"/>
      <c r="FFQ5" s="433"/>
      <c r="FFR5" s="433"/>
      <c r="FFS5" s="433"/>
      <c r="FFT5" s="433"/>
      <c r="FFU5" s="433"/>
      <c r="FFV5" s="433"/>
      <c r="FFW5" s="433"/>
      <c r="FFX5" s="433"/>
      <c r="FFY5" s="433"/>
      <c r="FFZ5" s="433"/>
      <c r="FGA5" s="433"/>
      <c r="FGB5" s="433"/>
      <c r="FGC5" s="433"/>
      <c r="FGD5" s="433"/>
      <c r="FGE5" s="433"/>
      <c r="FGF5" s="433"/>
      <c r="FGG5" s="433"/>
      <c r="FGH5" s="433"/>
      <c r="FGI5" s="433"/>
      <c r="FGJ5" s="433"/>
      <c r="FGK5" s="433"/>
      <c r="FGL5" s="433"/>
      <c r="FGM5" s="433"/>
      <c r="FGN5" s="433"/>
      <c r="FGO5" s="433"/>
      <c r="FGP5" s="433"/>
      <c r="FGQ5" s="433"/>
      <c r="FGR5" s="433"/>
      <c r="FGS5" s="433"/>
      <c r="FGT5" s="433"/>
      <c r="FGU5" s="433"/>
      <c r="FGV5" s="433"/>
      <c r="FGW5" s="433"/>
      <c r="FGX5" s="433"/>
      <c r="FGY5" s="433"/>
      <c r="FGZ5" s="433"/>
      <c r="FHA5" s="433"/>
      <c r="FHB5" s="433"/>
      <c r="FHC5" s="433"/>
      <c r="FHD5" s="433"/>
      <c r="FHE5" s="433"/>
      <c r="FHF5" s="433"/>
      <c r="FHG5" s="433"/>
      <c r="FHH5" s="433"/>
      <c r="FHI5" s="433"/>
      <c r="FHJ5" s="433"/>
      <c r="FHK5" s="433"/>
      <c r="FHL5" s="433"/>
      <c r="FHM5" s="433"/>
      <c r="FHN5" s="433"/>
      <c r="FHO5" s="433"/>
      <c r="FHP5" s="433"/>
      <c r="FHQ5" s="433"/>
      <c r="FHR5" s="433"/>
      <c r="FHS5" s="433"/>
      <c r="FHT5" s="433"/>
      <c r="FHU5" s="433"/>
      <c r="FHV5" s="433"/>
      <c r="FHW5" s="433"/>
      <c r="FHX5" s="433"/>
      <c r="FHY5" s="433"/>
      <c r="FHZ5" s="433"/>
      <c r="FIA5" s="433"/>
      <c r="FIB5" s="433"/>
      <c r="FIC5" s="433"/>
      <c r="FID5" s="433"/>
      <c r="FIE5" s="433"/>
      <c r="FIF5" s="433"/>
      <c r="FIG5" s="433"/>
      <c r="FIH5" s="433"/>
      <c r="FII5" s="433"/>
      <c r="FIJ5" s="433"/>
      <c r="FIK5" s="433"/>
      <c r="FIL5" s="433"/>
      <c r="FIM5" s="433"/>
      <c r="FIN5" s="433"/>
      <c r="FIO5" s="433"/>
      <c r="FIP5" s="433"/>
      <c r="FIQ5" s="433"/>
      <c r="FIR5" s="433"/>
      <c r="FIS5" s="433"/>
      <c r="FIT5" s="433"/>
      <c r="FIU5" s="433"/>
      <c r="FIV5" s="433"/>
      <c r="FIW5" s="433"/>
      <c r="FIX5" s="433"/>
      <c r="FIY5" s="433"/>
      <c r="FIZ5" s="433"/>
      <c r="FJA5" s="433"/>
      <c r="FJB5" s="433"/>
      <c r="FJC5" s="433"/>
      <c r="FJD5" s="433"/>
      <c r="FJE5" s="433"/>
      <c r="FJF5" s="433"/>
      <c r="FJG5" s="433"/>
      <c r="FJH5" s="433"/>
      <c r="FJI5" s="433"/>
      <c r="FJJ5" s="433"/>
      <c r="FJK5" s="433"/>
      <c r="FJL5" s="433"/>
      <c r="FJM5" s="433"/>
      <c r="FJN5" s="433"/>
      <c r="FJO5" s="433"/>
      <c r="FJP5" s="433"/>
      <c r="FJQ5" s="433"/>
      <c r="FJR5" s="433"/>
      <c r="FJS5" s="433"/>
      <c r="FJT5" s="433"/>
      <c r="FJU5" s="433"/>
      <c r="FJV5" s="433"/>
      <c r="FJW5" s="433"/>
      <c r="FJX5" s="433"/>
      <c r="FJY5" s="433"/>
      <c r="FJZ5" s="433"/>
      <c r="FKA5" s="433"/>
      <c r="FKB5" s="433"/>
      <c r="FKC5" s="433"/>
      <c r="FKD5" s="433"/>
      <c r="FKE5" s="433"/>
      <c r="FKF5" s="433"/>
      <c r="FKG5" s="433"/>
      <c r="FKH5" s="433"/>
      <c r="FKI5" s="433"/>
      <c r="FKJ5" s="433"/>
      <c r="FKK5" s="433"/>
      <c r="FKL5" s="433"/>
      <c r="FKM5" s="433"/>
      <c r="FKN5" s="433"/>
      <c r="FKO5" s="433"/>
      <c r="FKP5" s="433"/>
      <c r="FKQ5" s="433"/>
      <c r="FKR5" s="433"/>
      <c r="FKS5" s="433"/>
      <c r="FKT5" s="433"/>
      <c r="FKU5" s="433"/>
      <c r="FKV5" s="433"/>
      <c r="FKW5" s="433"/>
      <c r="FKX5" s="433"/>
      <c r="FKY5" s="433"/>
      <c r="FKZ5" s="433"/>
      <c r="FLA5" s="433"/>
      <c r="FLB5" s="433"/>
      <c r="FLC5" s="433"/>
      <c r="FLD5" s="433"/>
      <c r="FLE5" s="433"/>
      <c r="FLF5" s="433"/>
      <c r="FLG5" s="433"/>
      <c r="FLH5" s="433"/>
      <c r="FLI5" s="433"/>
      <c r="FLJ5" s="433"/>
      <c r="FLK5" s="433"/>
      <c r="FLL5" s="433"/>
      <c r="FLM5" s="433"/>
      <c r="FLN5" s="433"/>
      <c r="FLO5" s="433"/>
      <c r="FLP5" s="433"/>
      <c r="FLQ5" s="433"/>
      <c r="FLR5" s="433"/>
      <c r="FLS5" s="433"/>
      <c r="FLT5" s="433"/>
      <c r="FLU5" s="433"/>
      <c r="FLV5" s="433"/>
      <c r="FLW5" s="433"/>
      <c r="FLX5" s="433"/>
      <c r="FLY5" s="433"/>
      <c r="FLZ5" s="433"/>
      <c r="FMA5" s="433"/>
      <c r="FMB5" s="433"/>
      <c r="FMC5" s="433"/>
      <c r="FMD5" s="433"/>
      <c r="FME5" s="433"/>
      <c r="FMF5" s="433"/>
      <c r="FMG5" s="433"/>
      <c r="FMH5" s="433"/>
      <c r="FMI5" s="433"/>
      <c r="FMJ5" s="433"/>
      <c r="FMK5" s="433"/>
      <c r="FML5" s="433"/>
      <c r="FMM5" s="433"/>
      <c r="FMN5" s="433"/>
      <c r="FMO5" s="433"/>
      <c r="FMP5" s="433"/>
      <c r="FMQ5" s="433"/>
      <c r="FMR5" s="433"/>
      <c r="FMS5" s="433"/>
      <c r="FMT5" s="433"/>
      <c r="FMU5" s="433"/>
      <c r="FMV5" s="433"/>
      <c r="FMW5" s="433"/>
      <c r="FMX5" s="433"/>
      <c r="FMY5" s="433"/>
      <c r="FMZ5" s="433"/>
      <c r="FNA5" s="433"/>
      <c r="FNB5" s="433"/>
      <c r="FNC5" s="433"/>
      <c r="FND5" s="433"/>
      <c r="FNE5" s="433"/>
      <c r="FNF5" s="433"/>
      <c r="FNG5" s="433"/>
      <c r="FNH5" s="433"/>
      <c r="FNI5" s="433"/>
      <c r="FNJ5" s="433"/>
      <c r="FNK5" s="433"/>
      <c r="FNL5" s="433"/>
      <c r="FNM5" s="433"/>
      <c r="FNN5" s="433"/>
      <c r="FNO5" s="433"/>
      <c r="FNP5" s="433"/>
      <c r="FNQ5" s="433"/>
      <c r="FNR5" s="433"/>
      <c r="FNS5" s="433"/>
      <c r="FNT5" s="433"/>
      <c r="FNU5" s="433"/>
      <c r="FNV5" s="433"/>
      <c r="FNW5" s="433"/>
      <c r="FNX5" s="433"/>
      <c r="FNY5" s="433"/>
      <c r="FNZ5" s="433"/>
      <c r="FOA5" s="433"/>
      <c r="FOB5" s="433"/>
      <c r="FOC5" s="433"/>
      <c r="FOD5" s="433"/>
      <c r="FOE5" s="433"/>
      <c r="FOF5" s="433"/>
      <c r="FOG5" s="433"/>
      <c r="FOH5" s="433"/>
      <c r="FOI5" s="433"/>
      <c r="FOJ5" s="433"/>
      <c r="FOK5" s="433"/>
      <c r="FOL5" s="433"/>
      <c r="FOM5" s="433"/>
      <c r="FON5" s="433"/>
      <c r="FOO5" s="433"/>
      <c r="FOP5" s="433"/>
      <c r="FOQ5" s="433"/>
      <c r="FOR5" s="433"/>
      <c r="FOS5" s="433"/>
      <c r="FOT5" s="433"/>
      <c r="FOU5" s="433"/>
      <c r="FOV5" s="433"/>
      <c r="FOW5" s="433"/>
      <c r="FOX5" s="433"/>
      <c r="FOY5" s="433"/>
      <c r="FOZ5" s="433"/>
      <c r="FPA5" s="433"/>
      <c r="FPB5" s="433"/>
      <c r="FPC5" s="433"/>
      <c r="FPD5" s="433"/>
      <c r="FPE5" s="433"/>
      <c r="FPF5" s="433"/>
      <c r="FPG5" s="433"/>
      <c r="FPH5" s="433"/>
      <c r="FPI5" s="433"/>
      <c r="FPJ5" s="433"/>
      <c r="FPK5" s="433"/>
      <c r="FPL5" s="433"/>
      <c r="FPM5" s="433"/>
      <c r="FPN5" s="433"/>
      <c r="FPO5" s="433"/>
      <c r="FPP5" s="433"/>
      <c r="FPQ5" s="433"/>
      <c r="FPR5" s="433"/>
      <c r="FPS5" s="433"/>
      <c r="FPT5" s="433"/>
      <c r="FPU5" s="433"/>
      <c r="FPV5" s="433"/>
      <c r="FPW5" s="433"/>
      <c r="FPX5" s="433"/>
      <c r="FPY5" s="433"/>
      <c r="FPZ5" s="433"/>
      <c r="FQA5" s="433"/>
      <c r="FQB5" s="433"/>
      <c r="FQC5" s="433"/>
      <c r="FQD5" s="433"/>
      <c r="FQE5" s="433"/>
      <c r="FQF5" s="433"/>
      <c r="FQG5" s="433"/>
      <c r="FQH5" s="433"/>
      <c r="FQI5" s="433"/>
      <c r="FQJ5" s="433"/>
      <c r="FQK5" s="433"/>
      <c r="FQL5" s="433"/>
      <c r="FQM5" s="433"/>
      <c r="FQN5" s="433"/>
      <c r="FQO5" s="433"/>
      <c r="FQP5" s="433"/>
      <c r="FQQ5" s="433"/>
      <c r="FQR5" s="433"/>
      <c r="FQS5" s="433"/>
      <c r="FQT5" s="433"/>
      <c r="FQU5" s="433"/>
      <c r="FQV5" s="433"/>
      <c r="FQW5" s="433"/>
      <c r="FQX5" s="433"/>
      <c r="FQY5" s="433"/>
      <c r="FQZ5" s="433"/>
      <c r="FRA5" s="433"/>
      <c r="FRB5" s="433"/>
      <c r="FRC5" s="433"/>
      <c r="FRD5" s="433"/>
      <c r="FRE5" s="433"/>
      <c r="FRF5" s="433"/>
      <c r="FRG5" s="433"/>
      <c r="FRH5" s="433"/>
      <c r="FRI5" s="433"/>
      <c r="FRJ5" s="433"/>
      <c r="FRK5" s="433"/>
      <c r="FRL5" s="433"/>
      <c r="FRM5" s="433"/>
      <c r="FRN5" s="433"/>
      <c r="FRO5" s="433"/>
      <c r="FRP5" s="433"/>
      <c r="FRQ5" s="433"/>
      <c r="FRR5" s="433"/>
      <c r="FRS5" s="433"/>
      <c r="FRT5" s="433"/>
      <c r="FRU5" s="433"/>
      <c r="FRV5" s="433"/>
      <c r="FRW5" s="433"/>
      <c r="FRX5" s="433"/>
      <c r="FRY5" s="433"/>
      <c r="FRZ5" s="433"/>
      <c r="FSA5" s="433"/>
      <c r="FSB5" s="433"/>
      <c r="FSC5" s="433"/>
      <c r="FSD5" s="433"/>
      <c r="FSE5" s="433"/>
      <c r="FSF5" s="433"/>
      <c r="FSG5" s="433"/>
      <c r="FSH5" s="433"/>
      <c r="FSI5" s="433"/>
      <c r="FSJ5" s="433"/>
      <c r="FSK5" s="433"/>
      <c r="FSL5" s="433"/>
      <c r="FSM5" s="433"/>
      <c r="FSN5" s="433"/>
      <c r="FSO5" s="433"/>
      <c r="FSP5" s="433"/>
      <c r="FSQ5" s="433"/>
      <c r="FSR5" s="433"/>
      <c r="FSS5" s="433"/>
      <c r="FST5" s="433"/>
      <c r="FSU5" s="433"/>
      <c r="FSV5" s="433"/>
      <c r="FSW5" s="433"/>
      <c r="FSX5" s="433"/>
      <c r="FSY5" s="433"/>
      <c r="FSZ5" s="433"/>
      <c r="FTA5" s="433"/>
      <c r="FTB5" s="433"/>
      <c r="FTC5" s="433"/>
      <c r="FTD5" s="433"/>
      <c r="FTE5" s="433"/>
      <c r="FTF5" s="433"/>
      <c r="FTG5" s="433"/>
      <c r="FTH5" s="433"/>
      <c r="FTI5" s="433"/>
      <c r="FTJ5" s="433"/>
      <c r="FTK5" s="433"/>
      <c r="FTL5" s="433"/>
      <c r="FTM5" s="433"/>
      <c r="FTN5" s="433"/>
      <c r="FTO5" s="433"/>
      <c r="FTP5" s="433"/>
      <c r="FTQ5" s="433"/>
      <c r="FTR5" s="433"/>
      <c r="FTS5" s="433"/>
      <c r="FTT5" s="433"/>
      <c r="FTU5" s="433"/>
      <c r="FTV5" s="433"/>
      <c r="FTW5" s="433"/>
      <c r="FTX5" s="433"/>
      <c r="FTY5" s="433"/>
      <c r="FTZ5" s="433"/>
      <c r="FUA5" s="433"/>
      <c r="FUB5" s="433"/>
      <c r="FUC5" s="433"/>
      <c r="FUD5" s="433"/>
      <c r="FUE5" s="433"/>
      <c r="FUF5" s="433"/>
      <c r="FUG5" s="433"/>
      <c r="FUH5" s="433"/>
      <c r="FUI5" s="433"/>
      <c r="FUJ5" s="433"/>
      <c r="FUK5" s="433"/>
      <c r="FUL5" s="433"/>
      <c r="FUM5" s="433"/>
      <c r="FUN5" s="433"/>
      <c r="FUO5" s="433"/>
      <c r="FUP5" s="433"/>
      <c r="FUQ5" s="433"/>
      <c r="FUR5" s="433"/>
      <c r="FUS5" s="433"/>
      <c r="FUT5" s="433"/>
      <c r="FUU5" s="433"/>
      <c r="FUV5" s="433"/>
      <c r="FUW5" s="433"/>
      <c r="FUX5" s="433"/>
      <c r="FUY5" s="433"/>
      <c r="FUZ5" s="433"/>
      <c r="FVA5" s="433"/>
      <c r="FVB5" s="433"/>
      <c r="FVC5" s="433"/>
      <c r="FVD5" s="433"/>
      <c r="FVE5" s="433"/>
      <c r="FVF5" s="433"/>
      <c r="FVG5" s="433"/>
      <c r="FVH5" s="433"/>
      <c r="FVI5" s="433"/>
      <c r="FVJ5" s="433"/>
      <c r="FVK5" s="433"/>
      <c r="FVL5" s="433"/>
      <c r="FVM5" s="433"/>
      <c r="FVN5" s="433"/>
      <c r="FVO5" s="433"/>
      <c r="FVP5" s="433"/>
      <c r="FVQ5" s="433"/>
      <c r="FVR5" s="433"/>
      <c r="FVS5" s="433"/>
      <c r="FVT5" s="433"/>
      <c r="FVU5" s="433"/>
      <c r="FVV5" s="433"/>
      <c r="FVW5" s="433"/>
      <c r="FVX5" s="433"/>
      <c r="FVY5" s="433"/>
      <c r="FVZ5" s="433"/>
      <c r="FWA5" s="433"/>
      <c r="FWB5" s="433"/>
      <c r="FWC5" s="433"/>
      <c r="FWD5" s="433"/>
      <c r="FWE5" s="433"/>
      <c r="FWF5" s="433"/>
      <c r="FWG5" s="433"/>
      <c r="FWH5" s="433"/>
      <c r="FWI5" s="433"/>
      <c r="FWJ5" s="433"/>
      <c r="FWK5" s="433"/>
      <c r="FWL5" s="433"/>
      <c r="FWM5" s="433"/>
      <c r="FWN5" s="433"/>
      <c r="FWO5" s="433"/>
      <c r="FWP5" s="433"/>
      <c r="FWQ5" s="433"/>
      <c r="FWR5" s="433"/>
      <c r="FWS5" s="433"/>
      <c r="FWT5" s="433"/>
      <c r="FWU5" s="433"/>
      <c r="FWV5" s="433"/>
      <c r="FWW5" s="433"/>
      <c r="FWX5" s="433"/>
      <c r="FWY5" s="433"/>
      <c r="FWZ5" s="433"/>
      <c r="FXA5" s="433"/>
      <c r="FXB5" s="433"/>
      <c r="FXC5" s="433"/>
      <c r="FXD5" s="433"/>
      <c r="FXE5" s="433"/>
      <c r="FXF5" s="433"/>
      <c r="FXG5" s="433"/>
      <c r="FXH5" s="433"/>
      <c r="FXI5" s="433"/>
      <c r="FXJ5" s="433"/>
      <c r="FXK5" s="433"/>
      <c r="FXL5" s="433"/>
      <c r="FXM5" s="433"/>
      <c r="FXN5" s="433"/>
      <c r="FXO5" s="433"/>
      <c r="FXP5" s="433"/>
      <c r="FXQ5" s="433"/>
      <c r="FXR5" s="433"/>
      <c r="FXS5" s="433"/>
      <c r="FXT5" s="433"/>
      <c r="FXU5" s="433"/>
      <c r="FXV5" s="433"/>
      <c r="FXW5" s="433"/>
      <c r="FXX5" s="433"/>
      <c r="FXY5" s="433"/>
      <c r="FXZ5" s="433"/>
      <c r="FYA5" s="433"/>
      <c r="FYB5" s="433"/>
      <c r="FYC5" s="433"/>
      <c r="FYD5" s="433"/>
      <c r="FYE5" s="433"/>
      <c r="FYF5" s="433"/>
      <c r="FYG5" s="433"/>
      <c r="FYH5" s="433"/>
      <c r="FYI5" s="433"/>
      <c r="FYJ5" s="433"/>
      <c r="FYK5" s="433"/>
      <c r="FYL5" s="433"/>
      <c r="FYM5" s="433"/>
      <c r="FYN5" s="433"/>
      <c r="FYO5" s="433"/>
      <c r="FYP5" s="433"/>
      <c r="FYQ5" s="433"/>
      <c r="FYR5" s="433"/>
      <c r="FYS5" s="433"/>
      <c r="FYT5" s="433"/>
      <c r="FYU5" s="433"/>
      <c r="FYV5" s="433"/>
      <c r="FYW5" s="433"/>
      <c r="FYX5" s="433"/>
      <c r="FYY5" s="433"/>
      <c r="FYZ5" s="433"/>
      <c r="FZA5" s="433"/>
      <c r="FZB5" s="433"/>
      <c r="FZC5" s="433"/>
      <c r="FZD5" s="433"/>
      <c r="FZE5" s="433"/>
      <c r="FZF5" s="433"/>
      <c r="FZG5" s="433"/>
      <c r="FZH5" s="433"/>
      <c r="FZI5" s="433"/>
      <c r="FZJ5" s="433"/>
      <c r="FZK5" s="433"/>
      <c r="FZL5" s="433"/>
      <c r="FZM5" s="433"/>
      <c r="FZN5" s="433"/>
      <c r="FZO5" s="433"/>
      <c r="FZP5" s="433"/>
      <c r="FZQ5" s="433"/>
      <c r="FZR5" s="433"/>
      <c r="FZS5" s="433"/>
      <c r="FZT5" s="433"/>
      <c r="FZU5" s="433"/>
      <c r="FZV5" s="433"/>
      <c r="FZW5" s="433"/>
      <c r="FZX5" s="433"/>
      <c r="FZY5" s="433"/>
      <c r="FZZ5" s="433"/>
      <c r="GAA5" s="433"/>
      <c r="GAB5" s="433"/>
      <c r="GAC5" s="433"/>
      <c r="GAD5" s="433"/>
      <c r="GAE5" s="433"/>
      <c r="GAF5" s="433"/>
      <c r="GAG5" s="433"/>
      <c r="GAH5" s="433"/>
      <c r="GAI5" s="433"/>
      <c r="GAJ5" s="433"/>
      <c r="GAK5" s="433"/>
      <c r="GAL5" s="433"/>
      <c r="GAM5" s="433"/>
      <c r="GAN5" s="433"/>
      <c r="GAO5" s="433"/>
      <c r="GAP5" s="433"/>
      <c r="GAQ5" s="433"/>
      <c r="GAR5" s="433"/>
      <c r="GAS5" s="433"/>
      <c r="GAT5" s="433"/>
      <c r="GAU5" s="433"/>
      <c r="GAV5" s="433"/>
      <c r="GAW5" s="433"/>
      <c r="GAX5" s="433"/>
      <c r="GAY5" s="433"/>
      <c r="GAZ5" s="433"/>
      <c r="GBA5" s="433"/>
      <c r="GBB5" s="433"/>
      <c r="GBC5" s="433"/>
      <c r="GBD5" s="433"/>
      <c r="GBE5" s="433"/>
      <c r="GBF5" s="433"/>
      <c r="GBG5" s="433"/>
      <c r="GBH5" s="433"/>
      <c r="GBI5" s="433"/>
      <c r="GBJ5" s="433"/>
      <c r="GBK5" s="433"/>
      <c r="GBL5" s="433"/>
      <c r="GBM5" s="433"/>
      <c r="GBN5" s="433"/>
      <c r="GBO5" s="433"/>
      <c r="GBP5" s="433"/>
      <c r="GBQ5" s="433"/>
      <c r="GBR5" s="433"/>
      <c r="GBS5" s="433"/>
      <c r="GBT5" s="433"/>
      <c r="GBU5" s="433"/>
      <c r="GBV5" s="433"/>
      <c r="GBW5" s="433"/>
      <c r="GBX5" s="433"/>
      <c r="GBY5" s="433"/>
      <c r="GBZ5" s="433"/>
      <c r="GCA5" s="433"/>
      <c r="GCB5" s="433"/>
      <c r="GCC5" s="433"/>
      <c r="GCD5" s="433"/>
      <c r="GCE5" s="433"/>
      <c r="GCF5" s="433"/>
      <c r="GCG5" s="433"/>
      <c r="GCH5" s="433"/>
      <c r="GCI5" s="433"/>
      <c r="GCJ5" s="433"/>
      <c r="GCK5" s="433"/>
      <c r="GCL5" s="433"/>
      <c r="GCM5" s="433"/>
      <c r="GCN5" s="433"/>
      <c r="GCO5" s="433"/>
      <c r="GCP5" s="433"/>
      <c r="GCQ5" s="433"/>
      <c r="GCR5" s="433"/>
      <c r="GCS5" s="433"/>
      <c r="GCT5" s="433"/>
      <c r="GCU5" s="433"/>
      <c r="GCV5" s="433"/>
      <c r="GCW5" s="433"/>
      <c r="GCX5" s="433"/>
      <c r="GCY5" s="433"/>
      <c r="GCZ5" s="433"/>
      <c r="GDA5" s="433"/>
      <c r="GDB5" s="433"/>
      <c r="GDC5" s="433"/>
      <c r="GDD5" s="433"/>
      <c r="GDE5" s="433"/>
      <c r="GDF5" s="433"/>
      <c r="GDG5" s="433"/>
      <c r="GDH5" s="433"/>
      <c r="GDI5" s="433"/>
      <c r="GDJ5" s="433"/>
      <c r="GDK5" s="433"/>
      <c r="GDL5" s="433"/>
      <c r="GDM5" s="433"/>
      <c r="GDN5" s="433"/>
      <c r="GDO5" s="433"/>
      <c r="GDP5" s="433"/>
      <c r="GDQ5" s="433"/>
      <c r="GDR5" s="433"/>
      <c r="GDS5" s="433"/>
      <c r="GDT5" s="433"/>
      <c r="GDU5" s="433"/>
      <c r="GDV5" s="433"/>
      <c r="GDW5" s="433"/>
      <c r="GDX5" s="433"/>
      <c r="GDY5" s="433"/>
      <c r="GDZ5" s="433"/>
      <c r="GEA5" s="433"/>
      <c r="GEB5" s="433"/>
      <c r="GEC5" s="433"/>
      <c r="GED5" s="433"/>
      <c r="GEE5" s="433"/>
      <c r="GEF5" s="433"/>
      <c r="GEG5" s="433"/>
      <c r="GEH5" s="433"/>
      <c r="GEI5" s="433"/>
      <c r="GEJ5" s="433"/>
      <c r="GEK5" s="433"/>
      <c r="GEL5" s="433"/>
      <c r="GEM5" s="433"/>
      <c r="GEN5" s="433"/>
      <c r="GEO5" s="433"/>
      <c r="GEP5" s="433"/>
      <c r="GEQ5" s="433"/>
      <c r="GER5" s="433"/>
      <c r="GES5" s="433"/>
      <c r="GET5" s="433"/>
      <c r="GEU5" s="433"/>
      <c r="GEV5" s="433"/>
      <c r="GEW5" s="433"/>
      <c r="GEX5" s="433"/>
      <c r="GEY5" s="433"/>
      <c r="GEZ5" s="433"/>
      <c r="GFA5" s="433"/>
      <c r="GFB5" s="433"/>
      <c r="GFC5" s="433"/>
      <c r="GFD5" s="433"/>
      <c r="GFE5" s="433"/>
      <c r="GFF5" s="433"/>
      <c r="GFG5" s="433"/>
      <c r="GFH5" s="433"/>
      <c r="GFI5" s="433"/>
      <c r="GFJ5" s="433"/>
      <c r="GFK5" s="433"/>
      <c r="GFL5" s="433"/>
      <c r="GFM5" s="433"/>
      <c r="GFN5" s="433"/>
      <c r="GFO5" s="433"/>
      <c r="GFP5" s="433"/>
      <c r="GFQ5" s="433"/>
      <c r="GFR5" s="433"/>
      <c r="GFS5" s="433"/>
      <c r="GFT5" s="433"/>
      <c r="GFU5" s="433"/>
      <c r="GFV5" s="433"/>
      <c r="GFW5" s="433"/>
      <c r="GFX5" s="433"/>
      <c r="GFY5" s="433"/>
      <c r="GFZ5" s="433"/>
      <c r="GGA5" s="433"/>
      <c r="GGB5" s="433"/>
      <c r="GGC5" s="433"/>
      <c r="GGD5" s="433"/>
      <c r="GGE5" s="433"/>
      <c r="GGF5" s="433"/>
      <c r="GGG5" s="433"/>
      <c r="GGH5" s="433"/>
      <c r="GGI5" s="433"/>
      <c r="GGJ5" s="433"/>
      <c r="GGK5" s="433"/>
      <c r="GGL5" s="433"/>
      <c r="GGM5" s="433"/>
      <c r="GGN5" s="433"/>
      <c r="GGO5" s="433"/>
      <c r="GGP5" s="433"/>
      <c r="GGQ5" s="433"/>
      <c r="GGR5" s="433"/>
      <c r="GGS5" s="433"/>
      <c r="GGT5" s="433"/>
      <c r="GGU5" s="433"/>
      <c r="GGV5" s="433"/>
      <c r="GGW5" s="433"/>
      <c r="GGX5" s="433"/>
      <c r="GGY5" s="433"/>
      <c r="GGZ5" s="433"/>
      <c r="GHA5" s="433"/>
      <c r="GHB5" s="433"/>
      <c r="GHC5" s="433"/>
      <c r="GHD5" s="433"/>
      <c r="GHE5" s="433"/>
      <c r="GHF5" s="433"/>
      <c r="GHG5" s="433"/>
      <c r="GHH5" s="433"/>
      <c r="GHI5" s="433"/>
      <c r="GHJ5" s="433"/>
      <c r="GHK5" s="433"/>
      <c r="GHL5" s="433"/>
      <c r="GHM5" s="433"/>
      <c r="GHN5" s="433"/>
      <c r="GHO5" s="433"/>
      <c r="GHP5" s="433"/>
      <c r="GHQ5" s="433"/>
      <c r="GHR5" s="433"/>
      <c r="GHS5" s="433"/>
      <c r="GHT5" s="433"/>
      <c r="GHU5" s="433"/>
      <c r="GHV5" s="433"/>
      <c r="GHW5" s="433"/>
      <c r="GHX5" s="433"/>
      <c r="GHY5" s="433"/>
      <c r="GHZ5" s="433"/>
      <c r="GIA5" s="433"/>
      <c r="GIB5" s="433"/>
      <c r="GIC5" s="433"/>
      <c r="GID5" s="433"/>
      <c r="GIE5" s="433"/>
      <c r="GIF5" s="433"/>
      <c r="GIG5" s="433"/>
      <c r="GIH5" s="433"/>
      <c r="GII5" s="433"/>
      <c r="GIJ5" s="433"/>
      <c r="GIK5" s="433"/>
      <c r="GIL5" s="433"/>
      <c r="GIM5" s="433"/>
      <c r="GIN5" s="433"/>
      <c r="GIO5" s="433"/>
      <c r="GIP5" s="433"/>
      <c r="GIQ5" s="433"/>
      <c r="GIR5" s="433"/>
      <c r="GIS5" s="433"/>
      <c r="GIT5" s="433"/>
      <c r="GIU5" s="433"/>
      <c r="GIV5" s="433"/>
      <c r="GIW5" s="433"/>
      <c r="GIX5" s="433"/>
      <c r="GIY5" s="433"/>
      <c r="GIZ5" s="433"/>
      <c r="GJA5" s="433"/>
      <c r="GJB5" s="433"/>
      <c r="GJC5" s="433"/>
      <c r="GJD5" s="433"/>
      <c r="GJE5" s="433"/>
      <c r="GJF5" s="433"/>
      <c r="GJG5" s="433"/>
      <c r="GJH5" s="433"/>
      <c r="GJI5" s="433"/>
      <c r="GJJ5" s="433"/>
      <c r="GJK5" s="433"/>
      <c r="GJL5" s="433"/>
      <c r="GJM5" s="433"/>
      <c r="GJN5" s="433"/>
      <c r="GJO5" s="433"/>
      <c r="GJP5" s="433"/>
      <c r="GJQ5" s="433"/>
      <c r="GJR5" s="433"/>
      <c r="GJS5" s="433"/>
      <c r="GJT5" s="433"/>
      <c r="GJU5" s="433"/>
      <c r="GJV5" s="433"/>
      <c r="GJW5" s="433"/>
      <c r="GJX5" s="433"/>
      <c r="GJY5" s="433"/>
      <c r="GJZ5" s="433"/>
      <c r="GKA5" s="433"/>
      <c r="GKB5" s="433"/>
      <c r="GKC5" s="433"/>
      <c r="GKD5" s="433"/>
      <c r="GKE5" s="433"/>
      <c r="GKF5" s="433"/>
      <c r="GKG5" s="433"/>
      <c r="GKH5" s="433"/>
      <c r="GKI5" s="433"/>
      <c r="GKJ5" s="433"/>
      <c r="GKK5" s="433"/>
      <c r="GKL5" s="433"/>
      <c r="GKM5" s="433"/>
      <c r="GKN5" s="433"/>
      <c r="GKO5" s="433"/>
      <c r="GKP5" s="433"/>
      <c r="GKQ5" s="433"/>
      <c r="GKR5" s="433"/>
      <c r="GKS5" s="433"/>
      <c r="GKT5" s="433"/>
      <c r="GKU5" s="433"/>
      <c r="GKV5" s="433"/>
      <c r="GKW5" s="433"/>
      <c r="GKX5" s="433"/>
      <c r="GKY5" s="433"/>
      <c r="GKZ5" s="433"/>
      <c r="GLA5" s="433"/>
      <c r="GLB5" s="433"/>
      <c r="GLC5" s="433"/>
      <c r="GLD5" s="433"/>
      <c r="GLE5" s="433"/>
      <c r="GLF5" s="433"/>
      <c r="GLG5" s="433"/>
      <c r="GLH5" s="433"/>
      <c r="GLI5" s="433"/>
      <c r="GLJ5" s="433"/>
      <c r="GLK5" s="433"/>
      <c r="GLL5" s="433"/>
      <c r="GLM5" s="433"/>
      <c r="GLN5" s="433"/>
      <c r="GLO5" s="433"/>
      <c r="GLP5" s="433"/>
      <c r="GLQ5" s="433"/>
      <c r="GLR5" s="433"/>
      <c r="GLS5" s="433"/>
      <c r="GLT5" s="433"/>
      <c r="GLU5" s="433"/>
      <c r="GLV5" s="433"/>
      <c r="GLW5" s="433"/>
      <c r="GLX5" s="433"/>
      <c r="GLY5" s="433"/>
      <c r="GLZ5" s="433"/>
      <c r="GMA5" s="433"/>
      <c r="GMB5" s="433"/>
      <c r="GMC5" s="433"/>
      <c r="GMD5" s="433"/>
      <c r="GME5" s="433"/>
      <c r="GMF5" s="433"/>
      <c r="GMG5" s="433"/>
      <c r="GMH5" s="433"/>
      <c r="GMI5" s="433"/>
      <c r="GMJ5" s="433"/>
      <c r="GMK5" s="433"/>
      <c r="GML5" s="433"/>
      <c r="GMM5" s="433"/>
      <c r="GMN5" s="433"/>
      <c r="GMO5" s="433"/>
      <c r="GMP5" s="433"/>
      <c r="GMQ5" s="433"/>
      <c r="GMR5" s="433"/>
      <c r="GMS5" s="433"/>
      <c r="GMT5" s="433"/>
      <c r="GMU5" s="433"/>
      <c r="GMV5" s="433"/>
      <c r="GMW5" s="433"/>
      <c r="GMX5" s="433"/>
      <c r="GMY5" s="433"/>
      <c r="GMZ5" s="433"/>
      <c r="GNA5" s="433"/>
      <c r="GNB5" s="433"/>
      <c r="GNC5" s="433"/>
      <c r="GND5" s="433"/>
      <c r="GNE5" s="433"/>
      <c r="GNF5" s="433"/>
      <c r="GNG5" s="433"/>
      <c r="GNH5" s="433"/>
      <c r="GNI5" s="433"/>
      <c r="GNJ5" s="433"/>
      <c r="GNK5" s="433"/>
      <c r="GNL5" s="433"/>
      <c r="GNM5" s="433"/>
      <c r="GNN5" s="433"/>
      <c r="GNO5" s="433"/>
      <c r="GNP5" s="433"/>
      <c r="GNQ5" s="433"/>
      <c r="GNR5" s="433"/>
      <c r="GNS5" s="433"/>
      <c r="GNT5" s="433"/>
      <c r="GNU5" s="433"/>
      <c r="GNV5" s="433"/>
      <c r="GNW5" s="433"/>
      <c r="GNX5" s="433"/>
      <c r="GNY5" s="433"/>
      <c r="GNZ5" s="433"/>
      <c r="GOA5" s="433"/>
      <c r="GOB5" s="433"/>
      <c r="GOC5" s="433"/>
      <c r="GOD5" s="433"/>
      <c r="GOE5" s="433"/>
      <c r="GOF5" s="433"/>
      <c r="GOG5" s="433"/>
      <c r="GOH5" s="433"/>
      <c r="GOI5" s="433"/>
      <c r="GOJ5" s="433"/>
      <c r="GOK5" s="433"/>
      <c r="GOL5" s="433"/>
      <c r="GOM5" s="433"/>
      <c r="GON5" s="433"/>
      <c r="GOO5" s="433"/>
      <c r="GOP5" s="433"/>
      <c r="GOQ5" s="433"/>
      <c r="GOR5" s="433"/>
      <c r="GOS5" s="433"/>
      <c r="GOT5" s="433"/>
      <c r="GOU5" s="433"/>
      <c r="GOV5" s="433"/>
      <c r="GOW5" s="433"/>
      <c r="GOX5" s="433"/>
      <c r="GOY5" s="433"/>
      <c r="GOZ5" s="433"/>
      <c r="GPA5" s="433"/>
      <c r="GPB5" s="433"/>
      <c r="GPC5" s="433"/>
      <c r="GPD5" s="433"/>
      <c r="GPE5" s="433"/>
      <c r="GPF5" s="433"/>
      <c r="GPG5" s="433"/>
      <c r="GPH5" s="433"/>
      <c r="GPI5" s="433"/>
      <c r="GPJ5" s="433"/>
      <c r="GPK5" s="433"/>
      <c r="GPL5" s="433"/>
      <c r="GPM5" s="433"/>
      <c r="GPN5" s="433"/>
      <c r="GPO5" s="433"/>
      <c r="GPP5" s="433"/>
      <c r="GPQ5" s="433"/>
      <c r="GPR5" s="433"/>
      <c r="GPS5" s="433"/>
      <c r="GPT5" s="433"/>
      <c r="GPU5" s="433"/>
      <c r="GPV5" s="433"/>
      <c r="GPW5" s="433"/>
      <c r="GPX5" s="433"/>
      <c r="GPY5" s="433"/>
      <c r="GPZ5" s="433"/>
      <c r="GQA5" s="433"/>
      <c r="GQB5" s="433"/>
      <c r="GQC5" s="433"/>
      <c r="GQD5" s="433"/>
      <c r="GQE5" s="433"/>
      <c r="GQF5" s="433"/>
      <c r="GQG5" s="433"/>
      <c r="GQH5" s="433"/>
      <c r="GQI5" s="433"/>
      <c r="GQJ5" s="433"/>
      <c r="GQK5" s="433"/>
      <c r="GQL5" s="433"/>
      <c r="GQM5" s="433"/>
      <c r="GQN5" s="433"/>
      <c r="GQO5" s="433"/>
      <c r="GQP5" s="433"/>
      <c r="GQQ5" s="433"/>
      <c r="GQR5" s="433"/>
      <c r="GQS5" s="433"/>
      <c r="GQT5" s="433"/>
      <c r="GQU5" s="433"/>
      <c r="GQV5" s="433"/>
      <c r="GQW5" s="433"/>
      <c r="GQX5" s="433"/>
      <c r="GQY5" s="433"/>
      <c r="GQZ5" s="433"/>
      <c r="GRA5" s="433"/>
      <c r="GRB5" s="433"/>
      <c r="GRC5" s="433"/>
      <c r="GRD5" s="433"/>
      <c r="GRE5" s="433"/>
      <c r="GRF5" s="433"/>
      <c r="GRG5" s="433"/>
      <c r="GRH5" s="433"/>
      <c r="GRI5" s="433"/>
      <c r="GRJ5" s="433"/>
      <c r="GRK5" s="433"/>
      <c r="GRL5" s="433"/>
      <c r="GRM5" s="433"/>
      <c r="GRN5" s="433"/>
      <c r="GRO5" s="433"/>
      <c r="GRP5" s="433"/>
      <c r="GRQ5" s="433"/>
      <c r="GRR5" s="433"/>
      <c r="GRS5" s="433"/>
      <c r="GRT5" s="433"/>
      <c r="GRU5" s="433"/>
      <c r="GRV5" s="433"/>
      <c r="GRW5" s="433"/>
      <c r="GRX5" s="433"/>
      <c r="GRY5" s="433"/>
      <c r="GRZ5" s="433"/>
      <c r="GSA5" s="433"/>
      <c r="GSB5" s="433"/>
      <c r="GSC5" s="433"/>
      <c r="GSD5" s="433"/>
      <c r="GSE5" s="433"/>
      <c r="GSF5" s="433"/>
      <c r="GSG5" s="433"/>
      <c r="GSH5" s="433"/>
      <c r="GSI5" s="433"/>
      <c r="GSJ5" s="433"/>
      <c r="GSK5" s="433"/>
      <c r="GSL5" s="433"/>
      <c r="GSM5" s="433"/>
      <c r="GSN5" s="433"/>
      <c r="GSO5" s="433"/>
      <c r="GSP5" s="433"/>
      <c r="GSQ5" s="433"/>
      <c r="GSR5" s="433"/>
      <c r="GSS5" s="433"/>
      <c r="GST5" s="433"/>
      <c r="GSU5" s="433"/>
      <c r="GSV5" s="433"/>
      <c r="GSW5" s="433"/>
      <c r="GSX5" s="433"/>
      <c r="GSY5" s="433"/>
      <c r="GSZ5" s="433"/>
      <c r="GTA5" s="433"/>
      <c r="GTB5" s="433"/>
      <c r="GTC5" s="433"/>
      <c r="GTD5" s="433"/>
      <c r="GTE5" s="433"/>
      <c r="GTF5" s="433"/>
      <c r="GTG5" s="433"/>
      <c r="GTH5" s="433"/>
      <c r="GTI5" s="433"/>
      <c r="GTJ5" s="433"/>
      <c r="GTK5" s="433"/>
      <c r="GTL5" s="433"/>
      <c r="GTM5" s="433"/>
      <c r="GTN5" s="433"/>
      <c r="GTO5" s="433"/>
      <c r="GTP5" s="433"/>
      <c r="GTQ5" s="433"/>
      <c r="GTR5" s="433"/>
      <c r="GTS5" s="433"/>
      <c r="GTT5" s="433"/>
      <c r="GTU5" s="433"/>
      <c r="GTV5" s="433"/>
      <c r="GTW5" s="433"/>
      <c r="GTX5" s="433"/>
      <c r="GTY5" s="433"/>
      <c r="GTZ5" s="433"/>
      <c r="GUA5" s="433"/>
      <c r="GUB5" s="433"/>
      <c r="GUC5" s="433"/>
      <c r="GUD5" s="433"/>
      <c r="GUE5" s="433"/>
      <c r="GUF5" s="433"/>
      <c r="GUG5" s="433"/>
      <c r="GUH5" s="433"/>
      <c r="GUI5" s="433"/>
      <c r="GUJ5" s="433"/>
      <c r="GUK5" s="433"/>
      <c r="GUL5" s="433"/>
      <c r="GUM5" s="433"/>
      <c r="GUN5" s="433"/>
      <c r="GUO5" s="433"/>
      <c r="GUP5" s="433"/>
      <c r="GUQ5" s="433"/>
      <c r="GUR5" s="433"/>
      <c r="GUS5" s="433"/>
      <c r="GUT5" s="433"/>
      <c r="GUU5" s="433"/>
      <c r="GUV5" s="433"/>
      <c r="GUW5" s="433"/>
      <c r="GUX5" s="433"/>
      <c r="GUY5" s="433"/>
      <c r="GUZ5" s="433"/>
      <c r="GVA5" s="433"/>
      <c r="GVB5" s="433"/>
      <c r="GVC5" s="433"/>
      <c r="GVD5" s="433"/>
      <c r="GVE5" s="433"/>
      <c r="GVF5" s="433"/>
      <c r="GVG5" s="433"/>
      <c r="GVH5" s="433"/>
      <c r="GVI5" s="433"/>
      <c r="GVJ5" s="433"/>
      <c r="GVK5" s="433"/>
      <c r="GVL5" s="433"/>
      <c r="GVM5" s="433"/>
      <c r="GVN5" s="433"/>
      <c r="GVO5" s="433"/>
      <c r="GVP5" s="433"/>
      <c r="GVQ5" s="433"/>
      <c r="GVR5" s="433"/>
      <c r="GVS5" s="433"/>
      <c r="GVT5" s="433"/>
      <c r="GVU5" s="433"/>
      <c r="GVV5" s="433"/>
      <c r="GVW5" s="433"/>
      <c r="GVX5" s="433"/>
      <c r="GVY5" s="433"/>
      <c r="GVZ5" s="433"/>
      <c r="GWA5" s="433"/>
      <c r="GWB5" s="433"/>
      <c r="GWC5" s="433"/>
      <c r="GWD5" s="433"/>
      <c r="GWE5" s="433"/>
      <c r="GWF5" s="433"/>
      <c r="GWG5" s="433"/>
      <c r="GWH5" s="433"/>
      <c r="GWI5" s="433"/>
      <c r="GWJ5" s="433"/>
      <c r="GWK5" s="433"/>
      <c r="GWL5" s="433"/>
      <c r="GWM5" s="433"/>
      <c r="GWN5" s="433"/>
      <c r="GWO5" s="433"/>
      <c r="GWP5" s="433"/>
      <c r="GWQ5" s="433"/>
      <c r="GWR5" s="433"/>
      <c r="GWS5" s="433"/>
      <c r="GWT5" s="433"/>
      <c r="GWU5" s="433"/>
      <c r="GWV5" s="433"/>
      <c r="GWW5" s="433"/>
      <c r="GWX5" s="433"/>
      <c r="GWY5" s="433"/>
      <c r="GWZ5" s="433"/>
      <c r="GXA5" s="433"/>
      <c r="GXB5" s="433"/>
      <c r="GXC5" s="433"/>
      <c r="GXD5" s="433"/>
      <c r="GXE5" s="433"/>
      <c r="GXF5" s="433"/>
      <c r="GXG5" s="433"/>
      <c r="GXH5" s="433"/>
      <c r="GXI5" s="433"/>
      <c r="GXJ5" s="433"/>
      <c r="GXK5" s="433"/>
      <c r="GXL5" s="433"/>
      <c r="GXM5" s="433"/>
      <c r="GXN5" s="433"/>
      <c r="GXO5" s="433"/>
      <c r="GXP5" s="433"/>
      <c r="GXQ5" s="433"/>
      <c r="GXR5" s="433"/>
      <c r="GXS5" s="433"/>
      <c r="GXT5" s="433"/>
      <c r="GXU5" s="433"/>
      <c r="GXV5" s="433"/>
      <c r="GXW5" s="433"/>
      <c r="GXX5" s="433"/>
      <c r="GXY5" s="433"/>
      <c r="GXZ5" s="433"/>
      <c r="GYA5" s="433"/>
      <c r="GYB5" s="433"/>
      <c r="GYC5" s="433"/>
      <c r="GYD5" s="433"/>
      <c r="GYE5" s="433"/>
      <c r="GYF5" s="433"/>
      <c r="GYG5" s="433"/>
      <c r="GYH5" s="433"/>
      <c r="GYI5" s="433"/>
      <c r="GYJ5" s="433"/>
      <c r="GYK5" s="433"/>
      <c r="GYL5" s="433"/>
      <c r="GYM5" s="433"/>
      <c r="GYN5" s="433"/>
      <c r="GYO5" s="433"/>
      <c r="GYP5" s="433"/>
      <c r="GYQ5" s="433"/>
      <c r="GYR5" s="433"/>
      <c r="GYS5" s="433"/>
      <c r="GYT5" s="433"/>
      <c r="GYU5" s="433"/>
      <c r="GYV5" s="433"/>
      <c r="GYW5" s="433"/>
      <c r="GYX5" s="433"/>
      <c r="GYY5" s="433"/>
      <c r="GYZ5" s="433"/>
      <c r="GZA5" s="433"/>
      <c r="GZB5" s="433"/>
      <c r="GZC5" s="433"/>
      <c r="GZD5" s="433"/>
      <c r="GZE5" s="433"/>
      <c r="GZF5" s="433"/>
      <c r="GZG5" s="433"/>
      <c r="GZH5" s="433"/>
      <c r="GZI5" s="433"/>
      <c r="GZJ5" s="433"/>
      <c r="GZK5" s="433"/>
      <c r="GZL5" s="433"/>
      <c r="GZM5" s="433"/>
      <c r="GZN5" s="433"/>
      <c r="GZO5" s="433"/>
      <c r="GZP5" s="433"/>
      <c r="GZQ5" s="433"/>
      <c r="GZR5" s="433"/>
      <c r="GZS5" s="433"/>
      <c r="GZT5" s="433"/>
      <c r="GZU5" s="433"/>
      <c r="GZV5" s="433"/>
      <c r="GZW5" s="433"/>
      <c r="GZX5" s="433"/>
      <c r="GZY5" s="433"/>
      <c r="GZZ5" s="433"/>
      <c r="HAA5" s="433"/>
      <c r="HAB5" s="433"/>
      <c r="HAC5" s="433"/>
      <c r="HAD5" s="433"/>
      <c r="HAE5" s="433"/>
      <c r="HAF5" s="433"/>
      <c r="HAG5" s="433"/>
      <c r="HAH5" s="433"/>
      <c r="HAI5" s="433"/>
      <c r="HAJ5" s="433"/>
      <c r="HAK5" s="433"/>
      <c r="HAL5" s="433"/>
      <c r="HAM5" s="433"/>
      <c r="HAN5" s="433"/>
      <c r="HAO5" s="433"/>
      <c r="HAP5" s="433"/>
      <c r="HAQ5" s="433"/>
      <c r="HAR5" s="433"/>
      <c r="HAS5" s="433"/>
      <c r="HAT5" s="433"/>
      <c r="HAU5" s="433"/>
      <c r="HAV5" s="433"/>
      <c r="HAW5" s="433"/>
      <c r="HAX5" s="433"/>
      <c r="HAY5" s="433"/>
      <c r="HAZ5" s="433"/>
      <c r="HBA5" s="433"/>
      <c r="HBB5" s="433"/>
      <c r="HBC5" s="433"/>
      <c r="HBD5" s="433"/>
      <c r="HBE5" s="433"/>
      <c r="HBF5" s="433"/>
      <c r="HBG5" s="433"/>
      <c r="HBH5" s="433"/>
      <c r="HBI5" s="433"/>
      <c r="HBJ5" s="433"/>
      <c r="HBK5" s="433"/>
      <c r="HBL5" s="433"/>
      <c r="HBM5" s="433"/>
      <c r="HBN5" s="433"/>
      <c r="HBO5" s="433"/>
      <c r="HBP5" s="433"/>
      <c r="HBQ5" s="433"/>
      <c r="HBR5" s="433"/>
      <c r="HBS5" s="433"/>
      <c r="HBT5" s="433"/>
      <c r="HBU5" s="433"/>
      <c r="HBV5" s="433"/>
      <c r="HBW5" s="433"/>
      <c r="HBX5" s="433"/>
      <c r="HBY5" s="433"/>
      <c r="HBZ5" s="433"/>
      <c r="HCA5" s="433"/>
      <c r="HCB5" s="433"/>
      <c r="HCC5" s="433"/>
      <c r="HCD5" s="433"/>
      <c r="HCE5" s="433"/>
      <c r="HCF5" s="433"/>
      <c r="HCG5" s="433"/>
      <c r="HCH5" s="433"/>
      <c r="HCI5" s="433"/>
      <c r="HCJ5" s="433"/>
      <c r="HCK5" s="433"/>
      <c r="HCL5" s="433"/>
      <c r="HCM5" s="433"/>
      <c r="HCN5" s="433"/>
      <c r="HCO5" s="433"/>
      <c r="HCP5" s="433"/>
      <c r="HCQ5" s="433"/>
      <c r="HCR5" s="433"/>
      <c r="HCS5" s="433"/>
      <c r="HCT5" s="433"/>
      <c r="HCU5" s="433"/>
      <c r="HCV5" s="433"/>
      <c r="HCW5" s="433"/>
      <c r="HCX5" s="433"/>
      <c r="HCY5" s="433"/>
      <c r="HCZ5" s="433"/>
      <c r="HDA5" s="433"/>
      <c r="HDB5" s="433"/>
      <c r="HDC5" s="433"/>
      <c r="HDD5" s="433"/>
      <c r="HDE5" s="433"/>
      <c r="HDF5" s="433"/>
      <c r="HDG5" s="433"/>
      <c r="HDH5" s="433"/>
      <c r="HDI5" s="433"/>
      <c r="HDJ5" s="433"/>
      <c r="HDK5" s="433"/>
      <c r="HDL5" s="433"/>
      <c r="HDM5" s="433"/>
      <c r="HDN5" s="433"/>
      <c r="HDO5" s="433"/>
      <c r="HDP5" s="433"/>
      <c r="HDQ5" s="433"/>
      <c r="HDR5" s="433"/>
      <c r="HDS5" s="433"/>
      <c r="HDT5" s="433"/>
      <c r="HDU5" s="433"/>
      <c r="HDV5" s="433"/>
      <c r="HDW5" s="433"/>
      <c r="HDX5" s="433"/>
      <c r="HDY5" s="433"/>
      <c r="HDZ5" s="433"/>
      <c r="HEA5" s="433"/>
      <c r="HEB5" s="433"/>
      <c r="HEC5" s="433"/>
      <c r="HED5" s="433"/>
      <c r="HEE5" s="433"/>
      <c r="HEF5" s="433"/>
      <c r="HEG5" s="433"/>
      <c r="HEH5" s="433"/>
      <c r="HEI5" s="433"/>
      <c r="HEJ5" s="433"/>
      <c r="HEK5" s="433"/>
      <c r="HEL5" s="433"/>
      <c r="HEM5" s="433"/>
      <c r="HEN5" s="433"/>
      <c r="HEO5" s="433"/>
      <c r="HEP5" s="433"/>
      <c r="HEQ5" s="433"/>
      <c r="HER5" s="433"/>
      <c r="HES5" s="433"/>
      <c r="HET5" s="433"/>
      <c r="HEU5" s="433"/>
      <c r="HEV5" s="433"/>
      <c r="HEW5" s="433"/>
      <c r="HEX5" s="433"/>
      <c r="HEY5" s="433"/>
      <c r="HEZ5" s="433"/>
      <c r="HFA5" s="433"/>
      <c r="HFB5" s="433"/>
      <c r="HFC5" s="433"/>
      <c r="HFD5" s="433"/>
      <c r="HFE5" s="433"/>
      <c r="HFF5" s="433"/>
      <c r="HFG5" s="433"/>
      <c r="HFH5" s="433"/>
      <c r="HFI5" s="433"/>
      <c r="HFJ5" s="433"/>
      <c r="HFK5" s="433"/>
      <c r="HFL5" s="433"/>
      <c r="HFM5" s="433"/>
      <c r="HFN5" s="433"/>
      <c r="HFO5" s="433"/>
      <c r="HFP5" s="433"/>
      <c r="HFQ5" s="433"/>
      <c r="HFR5" s="433"/>
      <c r="HFS5" s="433"/>
      <c r="HFT5" s="433"/>
      <c r="HFU5" s="433"/>
      <c r="HFV5" s="433"/>
      <c r="HFW5" s="433"/>
      <c r="HFX5" s="433"/>
      <c r="HFY5" s="433"/>
      <c r="HFZ5" s="433"/>
      <c r="HGA5" s="433"/>
      <c r="HGB5" s="433"/>
      <c r="HGC5" s="433"/>
      <c r="HGD5" s="433"/>
      <c r="HGE5" s="433"/>
      <c r="HGF5" s="433"/>
      <c r="HGG5" s="433"/>
      <c r="HGH5" s="433"/>
      <c r="HGI5" s="433"/>
      <c r="HGJ5" s="433"/>
      <c r="HGK5" s="433"/>
      <c r="HGL5" s="433"/>
      <c r="HGM5" s="433"/>
      <c r="HGN5" s="433"/>
      <c r="HGO5" s="433"/>
      <c r="HGP5" s="433"/>
      <c r="HGQ5" s="433"/>
      <c r="HGR5" s="433"/>
      <c r="HGS5" s="433"/>
      <c r="HGT5" s="433"/>
      <c r="HGU5" s="433"/>
      <c r="HGV5" s="433"/>
      <c r="HGW5" s="433"/>
      <c r="HGX5" s="433"/>
      <c r="HGY5" s="433"/>
      <c r="HGZ5" s="433"/>
      <c r="HHA5" s="433"/>
      <c r="HHB5" s="433"/>
      <c r="HHC5" s="433"/>
      <c r="HHD5" s="433"/>
      <c r="HHE5" s="433"/>
      <c r="HHF5" s="433"/>
      <c r="HHG5" s="433"/>
      <c r="HHH5" s="433"/>
      <c r="HHI5" s="433"/>
      <c r="HHJ5" s="433"/>
      <c r="HHK5" s="433"/>
      <c r="HHL5" s="433"/>
      <c r="HHM5" s="433"/>
      <c r="HHN5" s="433"/>
      <c r="HHO5" s="433"/>
      <c r="HHP5" s="433"/>
      <c r="HHQ5" s="433"/>
      <c r="HHR5" s="433"/>
      <c r="HHS5" s="433"/>
      <c r="HHT5" s="433"/>
      <c r="HHU5" s="433"/>
      <c r="HHV5" s="433"/>
      <c r="HHW5" s="433"/>
      <c r="HHX5" s="433"/>
      <c r="HHY5" s="433"/>
      <c r="HHZ5" s="433"/>
      <c r="HIA5" s="433"/>
      <c r="HIB5" s="433"/>
      <c r="HIC5" s="433"/>
      <c r="HID5" s="433"/>
      <c r="HIE5" s="433"/>
      <c r="HIF5" s="433"/>
      <c r="HIG5" s="433"/>
      <c r="HIH5" s="433"/>
      <c r="HII5" s="433"/>
      <c r="HIJ5" s="433"/>
      <c r="HIK5" s="433"/>
      <c r="HIL5" s="433"/>
      <c r="HIM5" s="433"/>
      <c r="HIN5" s="433"/>
      <c r="HIO5" s="433"/>
      <c r="HIP5" s="433"/>
      <c r="HIQ5" s="433"/>
      <c r="HIR5" s="433"/>
      <c r="HIS5" s="433"/>
      <c r="HIT5" s="433"/>
      <c r="HIU5" s="433"/>
      <c r="HIV5" s="433"/>
      <c r="HIW5" s="433"/>
      <c r="HIX5" s="433"/>
      <c r="HIY5" s="433"/>
      <c r="HIZ5" s="433"/>
      <c r="HJA5" s="433"/>
      <c r="HJB5" s="433"/>
      <c r="HJC5" s="433"/>
      <c r="HJD5" s="433"/>
      <c r="HJE5" s="433"/>
      <c r="HJF5" s="433"/>
      <c r="HJG5" s="433"/>
      <c r="HJH5" s="433"/>
      <c r="HJI5" s="433"/>
      <c r="HJJ5" s="433"/>
      <c r="HJK5" s="433"/>
      <c r="HJL5" s="433"/>
      <c r="HJM5" s="433"/>
      <c r="HJN5" s="433"/>
      <c r="HJO5" s="433"/>
      <c r="HJP5" s="433"/>
      <c r="HJQ5" s="433"/>
      <c r="HJR5" s="433"/>
      <c r="HJS5" s="433"/>
      <c r="HJT5" s="433"/>
      <c r="HJU5" s="433"/>
      <c r="HJV5" s="433"/>
      <c r="HJW5" s="433"/>
      <c r="HJX5" s="433"/>
      <c r="HJY5" s="433"/>
      <c r="HJZ5" s="433"/>
      <c r="HKA5" s="433"/>
      <c r="HKB5" s="433"/>
      <c r="HKC5" s="433"/>
      <c r="HKD5" s="433"/>
      <c r="HKE5" s="433"/>
      <c r="HKF5" s="433"/>
      <c r="HKG5" s="433"/>
      <c r="HKH5" s="433"/>
      <c r="HKI5" s="433"/>
      <c r="HKJ5" s="433"/>
      <c r="HKK5" s="433"/>
      <c r="HKL5" s="433"/>
      <c r="HKM5" s="433"/>
      <c r="HKN5" s="433"/>
      <c r="HKO5" s="433"/>
      <c r="HKP5" s="433"/>
      <c r="HKQ5" s="433"/>
      <c r="HKR5" s="433"/>
      <c r="HKS5" s="433"/>
      <c r="HKT5" s="433"/>
      <c r="HKU5" s="433"/>
      <c r="HKV5" s="433"/>
      <c r="HKW5" s="433"/>
      <c r="HKX5" s="433"/>
      <c r="HKY5" s="433"/>
      <c r="HKZ5" s="433"/>
      <c r="HLA5" s="433"/>
      <c r="HLB5" s="433"/>
      <c r="HLC5" s="433"/>
      <c r="HLD5" s="433"/>
      <c r="HLE5" s="433"/>
      <c r="HLF5" s="433"/>
      <c r="HLG5" s="433"/>
      <c r="HLH5" s="433"/>
      <c r="HLI5" s="433"/>
      <c r="HLJ5" s="433"/>
      <c r="HLK5" s="433"/>
      <c r="HLL5" s="433"/>
      <c r="HLM5" s="433"/>
      <c r="HLN5" s="433"/>
      <c r="HLO5" s="433"/>
      <c r="HLP5" s="433"/>
      <c r="HLQ5" s="433"/>
      <c r="HLR5" s="433"/>
      <c r="HLS5" s="433"/>
      <c r="HLT5" s="433"/>
      <c r="HLU5" s="433"/>
      <c r="HLV5" s="433"/>
      <c r="HLW5" s="433"/>
      <c r="HLX5" s="433"/>
      <c r="HLY5" s="433"/>
      <c r="HLZ5" s="433"/>
      <c r="HMA5" s="433"/>
      <c r="HMB5" s="433"/>
      <c r="HMC5" s="433"/>
      <c r="HMD5" s="433"/>
      <c r="HME5" s="433"/>
      <c r="HMF5" s="433"/>
      <c r="HMG5" s="433"/>
      <c r="HMH5" s="433"/>
      <c r="HMI5" s="433"/>
      <c r="HMJ5" s="433"/>
      <c r="HMK5" s="433"/>
      <c r="HML5" s="433"/>
      <c r="HMM5" s="433"/>
      <c r="HMN5" s="433"/>
      <c r="HMO5" s="433"/>
      <c r="HMP5" s="433"/>
      <c r="HMQ5" s="433"/>
      <c r="HMR5" s="433"/>
      <c r="HMS5" s="433"/>
      <c r="HMT5" s="433"/>
      <c r="HMU5" s="433"/>
      <c r="HMV5" s="433"/>
      <c r="HMW5" s="433"/>
      <c r="HMX5" s="433"/>
      <c r="HMY5" s="433"/>
      <c r="HMZ5" s="433"/>
      <c r="HNA5" s="433"/>
      <c r="HNB5" s="433"/>
      <c r="HNC5" s="433"/>
      <c r="HND5" s="433"/>
      <c r="HNE5" s="433"/>
      <c r="HNF5" s="433"/>
      <c r="HNG5" s="433"/>
      <c r="HNH5" s="433"/>
      <c r="HNI5" s="433"/>
      <c r="HNJ5" s="433"/>
      <c r="HNK5" s="433"/>
      <c r="HNL5" s="433"/>
      <c r="HNM5" s="433"/>
      <c r="HNN5" s="433"/>
      <c r="HNO5" s="433"/>
      <c r="HNP5" s="433"/>
      <c r="HNQ5" s="433"/>
      <c r="HNR5" s="433"/>
      <c r="HNS5" s="433"/>
      <c r="HNT5" s="433"/>
      <c r="HNU5" s="433"/>
      <c r="HNV5" s="433"/>
      <c r="HNW5" s="433"/>
      <c r="HNX5" s="433"/>
      <c r="HNY5" s="433"/>
      <c r="HNZ5" s="433"/>
      <c r="HOA5" s="433"/>
      <c r="HOB5" s="433"/>
      <c r="HOC5" s="433"/>
      <c r="HOD5" s="433"/>
      <c r="HOE5" s="433"/>
      <c r="HOF5" s="433"/>
      <c r="HOG5" s="433"/>
      <c r="HOH5" s="433"/>
      <c r="HOI5" s="433"/>
      <c r="HOJ5" s="433"/>
      <c r="HOK5" s="433"/>
      <c r="HOL5" s="433"/>
      <c r="HOM5" s="433"/>
      <c r="HON5" s="433"/>
      <c r="HOO5" s="433"/>
      <c r="HOP5" s="433"/>
      <c r="HOQ5" s="433"/>
      <c r="HOR5" s="433"/>
      <c r="HOS5" s="433"/>
      <c r="HOT5" s="433"/>
      <c r="HOU5" s="433"/>
      <c r="HOV5" s="433"/>
      <c r="HOW5" s="433"/>
      <c r="HOX5" s="433"/>
      <c r="HOY5" s="433"/>
      <c r="HOZ5" s="433"/>
      <c r="HPA5" s="433"/>
      <c r="HPB5" s="433"/>
      <c r="HPC5" s="433"/>
      <c r="HPD5" s="433"/>
      <c r="HPE5" s="433"/>
      <c r="HPF5" s="433"/>
      <c r="HPG5" s="433"/>
      <c r="HPH5" s="433"/>
      <c r="HPI5" s="433"/>
      <c r="HPJ5" s="433"/>
      <c r="HPK5" s="433"/>
      <c r="HPL5" s="433"/>
      <c r="HPM5" s="433"/>
      <c r="HPN5" s="433"/>
      <c r="HPO5" s="433"/>
      <c r="HPP5" s="433"/>
      <c r="HPQ5" s="433"/>
      <c r="HPR5" s="433"/>
      <c r="HPS5" s="433"/>
      <c r="HPT5" s="433"/>
      <c r="HPU5" s="433"/>
      <c r="HPV5" s="433"/>
      <c r="HPW5" s="433"/>
      <c r="HPX5" s="433"/>
      <c r="HPY5" s="433"/>
      <c r="HPZ5" s="433"/>
      <c r="HQA5" s="433"/>
      <c r="HQB5" s="433"/>
      <c r="HQC5" s="433"/>
      <c r="HQD5" s="433"/>
      <c r="HQE5" s="433"/>
      <c r="HQF5" s="433"/>
      <c r="HQG5" s="433"/>
      <c r="HQH5" s="433"/>
      <c r="HQI5" s="433"/>
      <c r="HQJ5" s="433"/>
      <c r="HQK5" s="433"/>
      <c r="HQL5" s="433"/>
      <c r="HQM5" s="433"/>
      <c r="HQN5" s="433"/>
      <c r="HQO5" s="433"/>
      <c r="HQP5" s="433"/>
      <c r="HQQ5" s="433"/>
      <c r="HQR5" s="433"/>
      <c r="HQS5" s="433"/>
      <c r="HQT5" s="433"/>
      <c r="HQU5" s="433"/>
      <c r="HQV5" s="433"/>
      <c r="HQW5" s="433"/>
      <c r="HQX5" s="433"/>
      <c r="HQY5" s="433"/>
      <c r="HQZ5" s="433"/>
      <c r="HRA5" s="433"/>
      <c r="HRB5" s="433"/>
      <c r="HRC5" s="433"/>
      <c r="HRD5" s="433"/>
      <c r="HRE5" s="433"/>
      <c r="HRF5" s="433"/>
      <c r="HRG5" s="433"/>
      <c r="HRH5" s="433"/>
      <c r="HRI5" s="433"/>
      <c r="HRJ5" s="433"/>
      <c r="HRK5" s="433"/>
      <c r="HRL5" s="433"/>
      <c r="HRM5" s="433"/>
      <c r="HRN5" s="433"/>
      <c r="HRO5" s="433"/>
      <c r="HRP5" s="433"/>
      <c r="HRQ5" s="433"/>
      <c r="HRR5" s="433"/>
      <c r="HRS5" s="433"/>
      <c r="HRT5" s="433"/>
      <c r="HRU5" s="433"/>
      <c r="HRV5" s="433"/>
      <c r="HRW5" s="433"/>
      <c r="HRX5" s="433"/>
      <c r="HRY5" s="433"/>
      <c r="HRZ5" s="433"/>
      <c r="HSA5" s="433"/>
      <c r="HSB5" s="433"/>
      <c r="HSC5" s="433"/>
      <c r="HSD5" s="433"/>
      <c r="HSE5" s="433"/>
      <c r="HSF5" s="433"/>
      <c r="HSG5" s="433"/>
      <c r="HSH5" s="433"/>
      <c r="HSI5" s="433"/>
      <c r="HSJ5" s="433"/>
      <c r="HSK5" s="433"/>
      <c r="HSL5" s="433"/>
      <c r="HSM5" s="433"/>
      <c r="HSN5" s="433"/>
      <c r="HSO5" s="433"/>
      <c r="HSP5" s="433"/>
      <c r="HSQ5" s="433"/>
      <c r="HSR5" s="433"/>
      <c r="HSS5" s="433"/>
      <c r="HST5" s="433"/>
      <c r="HSU5" s="433"/>
      <c r="HSV5" s="433"/>
      <c r="HSW5" s="433"/>
      <c r="HSX5" s="433"/>
      <c r="HSY5" s="433"/>
      <c r="HSZ5" s="433"/>
      <c r="HTA5" s="433"/>
      <c r="HTB5" s="433"/>
      <c r="HTC5" s="433"/>
      <c r="HTD5" s="433"/>
      <c r="HTE5" s="433"/>
      <c r="HTF5" s="433"/>
      <c r="HTG5" s="433"/>
      <c r="HTH5" s="433"/>
      <c r="HTI5" s="433"/>
      <c r="HTJ5" s="433"/>
      <c r="HTK5" s="433"/>
      <c r="HTL5" s="433"/>
      <c r="HTM5" s="433"/>
      <c r="HTN5" s="433"/>
      <c r="HTO5" s="433"/>
      <c r="HTP5" s="433"/>
      <c r="HTQ5" s="433"/>
      <c r="HTR5" s="433"/>
      <c r="HTS5" s="433"/>
      <c r="HTT5" s="433"/>
      <c r="HTU5" s="433"/>
      <c r="HTV5" s="433"/>
      <c r="HTW5" s="433"/>
      <c r="HTX5" s="433"/>
      <c r="HTY5" s="433"/>
      <c r="HTZ5" s="433"/>
      <c r="HUA5" s="433"/>
      <c r="HUB5" s="433"/>
      <c r="HUC5" s="433"/>
      <c r="HUD5" s="433"/>
      <c r="HUE5" s="433"/>
      <c r="HUF5" s="433"/>
      <c r="HUG5" s="433"/>
      <c r="HUH5" s="433"/>
      <c r="HUI5" s="433"/>
      <c r="HUJ5" s="433"/>
      <c r="HUK5" s="433"/>
      <c r="HUL5" s="433"/>
      <c r="HUM5" s="433"/>
      <c r="HUN5" s="433"/>
      <c r="HUO5" s="433"/>
      <c r="HUP5" s="433"/>
      <c r="HUQ5" s="433"/>
      <c r="HUR5" s="433"/>
      <c r="HUS5" s="433"/>
      <c r="HUT5" s="433"/>
      <c r="HUU5" s="433"/>
      <c r="HUV5" s="433"/>
      <c r="HUW5" s="433"/>
      <c r="HUX5" s="433"/>
      <c r="HUY5" s="433"/>
      <c r="HUZ5" s="433"/>
      <c r="HVA5" s="433"/>
      <c r="HVB5" s="433"/>
      <c r="HVC5" s="433"/>
      <c r="HVD5" s="433"/>
      <c r="HVE5" s="433"/>
      <c r="HVF5" s="433"/>
      <c r="HVG5" s="433"/>
      <c r="HVH5" s="433"/>
      <c r="HVI5" s="433"/>
      <c r="HVJ5" s="433"/>
      <c r="HVK5" s="433"/>
      <c r="HVL5" s="433"/>
      <c r="HVM5" s="433"/>
      <c r="HVN5" s="433"/>
      <c r="HVO5" s="433"/>
      <c r="HVP5" s="433"/>
      <c r="HVQ5" s="433"/>
      <c r="HVR5" s="433"/>
      <c r="HVS5" s="433"/>
      <c r="HVT5" s="433"/>
      <c r="HVU5" s="433"/>
      <c r="HVV5" s="433"/>
      <c r="HVW5" s="433"/>
      <c r="HVX5" s="433"/>
      <c r="HVY5" s="433"/>
      <c r="HVZ5" s="433"/>
      <c r="HWA5" s="433"/>
      <c r="HWB5" s="433"/>
      <c r="HWC5" s="433"/>
      <c r="HWD5" s="433"/>
      <c r="HWE5" s="433"/>
      <c r="HWF5" s="433"/>
      <c r="HWG5" s="433"/>
      <c r="HWH5" s="433"/>
      <c r="HWI5" s="433"/>
      <c r="HWJ5" s="433"/>
      <c r="HWK5" s="433"/>
      <c r="HWL5" s="433"/>
      <c r="HWM5" s="433"/>
      <c r="HWN5" s="433"/>
      <c r="HWO5" s="433"/>
      <c r="HWP5" s="433"/>
      <c r="HWQ5" s="433"/>
      <c r="HWR5" s="433"/>
      <c r="HWS5" s="433"/>
      <c r="HWT5" s="433"/>
      <c r="HWU5" s="433"/>
      <c r="HWV5" s="433"/>
      <c r="HWW5" s="433"/>
      <c r="HWX5" s="433"/>
      <c r="HWY5" s="433"/>
      <c r="HWZ5" s="433"/>
      <c r="HXA5" s="433"/>
      <c r="HXB5" s="433"/>
      <c r="HXC5" s="433"/>
      <c r="HXD5" s="433"/>
      <c r="HXE5" s="433"/>
      <c r="HXF5" s="433"/>
      <c r="HXG5" s="433"/>
      <c r="HXH5" s="433"/>
      <c r="HXI5" s="433"/>
      <c r="HXJ5" s="433"/>
      <c r="HXK5" s="433"/>
      <c r="HXL5" s="433"/>
      <c r="HXM5" s="433"/>
      <c r="HXN5" s="433"/>
      <c r="HXO5" s="433"/>
      <c r="HXP5" s="433"/>
      <c r="HXQ5" s="433"/>
      <c r="HXR5" s="433"/>
      <c r="HXS5" s="433"/>
      <c r="HXT5" s="433"/>
      <c r="HXU5" s="433"/>
      <c r="HXV5" s="433"/>
      <c r="HXW5" s="433"/>
      <c r="HXX5" s="433"/>
      <c r="HXY5" s="433"/>
      <c r="HXZ5" s="433"/>
      <c r="HYA5" s="433"/>
      <c r="HYB5" s="433"/>
      <c r="HYC5" s="433"/>
      <c r="HYD5" s="433"/>
      <c r="HYE5" s="433"/>
      <c r="HYF5" s="433"/>
      <c r="HYG5" s="433"/>
      <c r="HYH5" s="433"/>
      <c r="HYI5" s="433"/>
      <c r="HYJ5" s="433"/>
      <c r="HYK5" s="433"/>
      <c r="HYL5" s="433"/>
      <c r="HYM5" s="433"/>
      <c r="HYN5" s="433"/>
      <c r="HYO5" s="433"/>
      <c r="HYP5" s="433"/>
      <c r="HYQ5" s="433"/>
      <c r="HYR5" s="433"/>
      <c r="HYS5" s="433"/>
      <c r="HYT5" s="433"/>
      <c r="HYU5" s="433"/>
      <c r="HYV5" s="433"/>
      <c r="HYW5" s="433"/>
      <c r="HYX5" s="433"/>
      <c r="HYY5" s="433"/>
      <c r="HYZ5" s="433"/>
      <c r="HZA5" s="433"/>
      <c r="HZB5" s="433"/>
      <c r="HZC5" s="433"/>
      <c r="HZD5" s="433"/>
      <c r="HZE5" s="433"/>
      <c r="HZF5" s="433"/>
      <c r="HZG5" s="433"/>
      <c r="HZH5" s="433"/>
      <c r="HZI5" s="433"/>
      <c r="HZJ5" s="433"/>
      <c r="HZK5" s="433"/>
      <c r="HZL5" s="433"/>
      <c r="HZM5" s="433"/>
      <c r="HZN5" s="433"/>
      <c r="HZO5" s="433"/>
      <c r="HZP5" s="433"/>
      <c r="HZQ5" s="433"/>
      <c r="HZR5" s="433"/>
      <c r="HZS5" s="433"/>
      <c r="HZT5" s="433"/>
      <c r="HZU5" s="433"/>
      <c r="HZV5" s="433"/>
      <c r="HZW5" s="433"/>
      <c r="HZX5" s="433"/>
      <c r="HZY5" s="433"/>
      <c r="HZZ5" s="433"/>
      <c r="IAA5" s="433"/>
      <c r="IAB5" s="433"/>
      <c r="IAC5" s="433"/>
      <c r="IAD5" s="433"/>
      <c r="IAE5" s="433"/>
      <c r="IAF5" s="433"/>
      <c r="IAG5" s="433"/>
      <c r="IAH5" s="433"/>
      <c r="IAI5" s="433"/>
      <c r="IAJ5" s="433"/>
      <c r="IAK5" s="433"/>
      <c r="IAL5" s="433"/>
      <c r="IAM5" s="433"/>
      <c r="IAN5" s="433"/>
      <c r="IAO5" s="433"/>
      <c r="IAP5" s="433"/>
      <c r="IAQ5" s="433"/>
      <c r="IAR5" s="433"/>
      <c r="IAS5" s="433"/>
      <c r="IAT5" s="433"/>
      <c r="IAU5" s="433"/>
      <c r="IAV5" s="433"/>
      <c r="IAW5" s="433"/>
      <c r="IAX5" s="433"/>
      <c r="IAY5" s="433"/>
      <c r="IAZ5" s="433"/>
      <c r="IBA5" s="433"/>
      <c r="IBB5" s="433"/>
      <c r="IBC5" s="433"/>
      <c r="IBD5" s="433"/>
      <c r="IBE5" s="433"/>
      <c r="IBF5" s="433"/>
      <c r="IBG5" s="433"/>
      <c r="IBH5" s="433"/>
      <c r="IBI5" s="433"/>
      <c r="IBJ5" s="433"/>
      <c r="IBK5" s="433"/>
      <c r="IBL5" s="433"/>
      <c r="IBM5" s="433"/>
      <c r="IBN5" s="433"/>
      <c r="IBO5" s="433"/>
      <c r="IBP5" s="433"/>
      <c r="IBQ5" s="433"/>
      <c r="IBR5" s="433"/>
      <c r="IBS5" s="433"/>
      <c r="IBT5" s="433"/>
      <c r="IBU5" s="433"/>
      <c r="IBV5" s="433"/>
      <c r="IBW5" s="433"/>
      <c r="IBX5" s="433"/>
      <c r="IBY5" s="433"/>
      <c r="IBZ5" s="433"/>
      <c r="ICA5" s="433"/>
      <c r="ICB5" s="433"/>
      <c r="ICC5" s="433"/>
      <c r="ICD5" s="433"/>
      <c r="ICE5" s="433"/>
      <c r="ICF5" s="433"/>
      <c r="ICG5" s="433"/>
      <c r="ICH5" s="433"/>
      <c r="ICI5" s="433"/>
      <c r="ICJ5" s="433"/>
      <c r="ICK5" s="433"/>
      <c r="ICL5" s="433"/>
      <c r="ICM5" s="433"/>
      <c r="ICN5" s="433"/>
      <c r="ICO5" s="433"/>
      <c r="ICP5" s="433"/>
      <c r="ICQ5" s="433"/>
      <c r="ICR5" s="433"/>
      <c r="ICS5" s="433"/>
      <c r="ICT5" s="433"/>
      <c r="ICU5" s="433"/>
      <c r="ICV5" s="433"/>
      <c r="ICW5" s="433"/>
      <c r="ICX5" s="433"/>
      <c r="ICY5" s="433"/>
      <c r="ICZ5" s="433"/>
      <c r="IDA5" s="433"/>
      <c r="IDB5" s="433"/>
      <c r="IDC5" s="433"/>
      <c r="IDD5" s="433"/>
      <c r="IDE5" s="433"/>
      <c r="IDF5" s="433"/>
      <c r="IDG5" s="433"/>
      <c r="IDH5" s="433"/>
      <c r="IDI5" s="433"/>
      <c r="IDJ5" s="433"/>
      <c r="IDK5" s="433"/>
      <c r="IDL5" s="433"/>
      <c r="IDM5" s="433"/>
      <c r="IDN5" s="433"/>
      <c r="IDO5" s="433"/>
      <c r="IDP5" s="433"/>
      <c r="IDQ5" s="433"/>
      <c r="IDR5" s="433"/>
      <c r="IDS5" s="433"/>
      <c r="IDT5" s="433"/>
      <c r="IDU5" s="433"/>
      <c r="IDV5" s="433"/>
      <c r="IDW5" s="433"/>
      <c r="IDX5" s="433"/>
      <c r="IDY5" s="433"/>
      <c r="IDZ5" s="433"/>
      <c r="IEA5" s="433"/>
      <c r="IEB5" s="433"/>
      <c r="IEC5" s="433"/>
      <c r="IED5" s="433"/>
      <c r="IEE5" s="433"/>
      <c r="IEF5" s="433"/>
      <c r="IEG5" s="433"/>
      <c r="IEH5" s="433"/>
      <c r="IEI5" s="433"/>
      <c r="IEJ5" s="433"/>
      <c r="IEK5" s="433"/>
      <c r="IEL5" s="433"/>
      <c r="IEM5" s="433"/>
      <c r="IEN5" s="433"/>
      <c r="IEO5" s="433"/>
      <c r="IEP5" s="433"/>
      <c r="IEQ5" s="433"/>
      <c r="IER5" s="433"/>
      <c r="IES5" s="433"/>
      <c r="IET5" s="433"/>
      <c r="IEU5" s="433"/>
      <c r="IEV5" s="433"/>
      <c r="IEW5" s="433"/>
      <c r="IEX5" s="433"/>
      <c r="IEY5" s="433"/>
      <c r="IEZ5" s="433"/>
      <c r="IFA5" s="433"/>
      <c r="IFB5" s="433"/>
      <c r="IFC5" s="433"/>
      <c r="IFD5" s="433"/>
      <c r="IFE5" s="433"/>
      <c r="IFF5" s="433"/>
      <c r="IFG5" s="433"/>
      <c r="IFH5" s="433"/>
      <c r="IFI5" s="433"/>
      <c r="IFJ5" s="433"/>
      <c r="IFK5" s="433"/>
      <c r="IFL5" s="433"/>
      <c r="IFM5" s="433"/>
      <c r="IFN5" s="433"/>
      <c r="IFO5" s="433"/>
      <c r="IFP5" s="433"/>
      <c r="IFQ5" s="433"/>
      <c r="IFR5" s="433"/>
      <c r="IFS5" s="433"/>
      <c r="IFT5" s="433"/>
      <c r="IFU5" s="433"/>
      <c r="IFV5" s="433"/>
      <c r="IFW5" s="433"/>
      <c r="IFX5" s="433"/>
      <c r="IFY5" s="433"/>
      <c r="IFZ5" s="433"/>
      <c r="IGA5" s="433"/>
      <c r="IGB5" s="433"/>
      <c r="IGC5" s="433"/>
      <c r="IGD5" s="433"/>
      <c r="IGE5" s="433"/>
      <c r="IGF5" s="433"/>
      <c r="IGG5" s="433"/>
      <c r="IGH5" s="433"/>
      <c r="IGI5" s="433"/>
      <c r="IGJ5" s="433"/>
      <c r="IGK5" s="433"/>
      <c r="IGL5" s="433"/>
      <c r="IGM5" s="433"/>
      <c r="IGN5" s="433"/>
      <c r="IGO5" s="433"/>
      <c r="IGP5" s="433"/>
      <c r="IGQ5" s="433"/>
      <c r="IGR5" s="433"/>
      <c r="IGS5" s="433"/>
      <c r="IGT5" s="433"/>
      <c r="IGU5" s="433"/>
      <c r="IGV5" s="433"/>
      <c r="IGW5" s="433"/>
      <c r="IGX5" s="433"/>
      <c r="IGY5" s="433"/>
      <c r="IGZ5" s="433"/>
      <c r="IHA5" s="433"/>
      <c r="IHB5" s="433"/>
      <c r="IHC5" s="433"/>
      <c r="IHD5" s="433"/>
      <c r="IHE5" s="433"/>
      <c r="IHF5" s="433"/>
      <c r="IHG5" s="433"/>
      <c r="IHH5" s="433"/>
      <c r="IHI5" s="433"/>
      <c r="IHJ5" s="433"/>
      <c r="IHK5" s="433"/>
      <c r="IHL5" s="433"/>
      <c r="IHM5" s="433"/>
      <c r="IHN5" s="433"/>
      <c r="IHO5" s="433"/>
      <c r="IHP5" s="433"/>
      <c r="IHQ5" s="433"/>
      <c r="IHR5" s="433"/>
      <c r="IHS5" s="433"/>
      <c r="IHT5" s="433"/>
      <c r="IHU5" s="433"/>
      <c r="IHV5" s="433"/>
      <c r="IHW5" s="433"/>
      <c r="IHX5" s="433"/>
      <c r="IHY5" s="433"/>
      <c r="IHZ5" s="433"/>
      <c r="IIA5" s="433"/>
      <c r="IIB5" s="433"/>
      <c r="IIC5" s="433"/>
      <c r="IID5" s="433"/>
      <c r="IIE5" s="433"/>
      <c r="IIF5" s="433"/>
      <c r="IIG5" s="433"/>
      <c r="IIH5" s="433"/>
      <c r="III5" s="433"/>
      <c r="IIJ5" s="433"/>
      <c r="IIK5" s="433"/>
      <c r="IIL5" s="433"/>
      <c r="IIM5" s="433"/>
      <c r="IIN5" s="433"/>
      <c r="IIO5" s="433"/>
      <c r="IIP5" s="433"/>
      <c r="IIQ5" s="433"/>
      <c r="IIR5" s="433"/>
      <c r="IIS5" s="433"/>
      <c r="IIT5" s="433"/>
      <c r="IIU5" s="433"/>
      <c r="IIV5" s="433"/>
      <c r="IIW5" s="433"/>
      <c r="IIX5" s="433"/>
      <c r="IIY5" s="433"/>
      <c r="IIZ5" s="433"/>
      <c r="IJA5" s="433"/>
      <c r="IJB5" s="433"/>
      <c r="IJC5" s="433"/>
      <c r="IJD5" s="433"/>
      <c r="IJE5" s="433"/>
      <c r="IJF5" s="433"/>
      <c r="IJG5" s="433"/>
      <c r="IJH5" s="433"/>
      <c r="IJI5" s="433"/>
      <c r="IJJ5" s="433"/>
      <c r="IJK5" s="433"/>
      <c r="IJL5" s="433"/>
      <c r="IJM5" s="433"/>
      <c r="IJN5" s="433"/>
      <c r="IJO5" s="433"/>
      <c r="IJP5" s="433"/>
      <c r="IJQ5" s="433"/>
      <c r="IJR5" s="433"/>
      <c r="IJS5" s="433"/>
      <c r="IJT5" s="433"/>
      <c r="IJU5" s="433"/>
      <c r="IJV5" s="433"/>
      <c r="IJW5" s="433"/>
      <c r="IJX5" s="433"/>
      <c r="IJY5" s="433"/>
      <c r="IJZ5" s="433"/>
      <c r="IKA5" s="433"/>
      <c r="IKB5" s="433"/>
      <c r="IKC5" s="433"/>
      <c r="IKD5" s="433"/>
      <c r="IKE5" s="433"/>
      <c r="IKF5" s="433"/>
      <c r="IKG5" s="433"/>
      <c r="IKH5" s="433"/>
      <c r="IKI5" s="433"/>
      <c r="IKJ5" s="433"/>
      <c r="IKK5" s="433"/>
      <c r="IKL5" s="433"/>
      <c r="IKM5" s="433"/>
      <c r="IKN5" s="433"/>
      <c r="IKO5" s="433"/>
      <c r="IKP5" s="433"/>
      <c r="IKQ5" s="433"/>
      <c r="IKR5" s="433"/>
      <c r="IKS5" s="433"/>
      <c r="IKT5" s="433"/>
      <c r="IKU5" s="433"/>
      <c r="IKV5" s="433"/>
      <c r="IKW5" s="433"/>
      <c r="IKX5" s="433"/>
      <c r="IKY5" s="433"/>
      <c r="IKZ5" s="433"/>
      <c r="ILA5" s="433"/>
      <c r="ILB5" s="433"/>
      <c r="ILC5" s="433"/>
      <c r="ILD5" s="433"/>
      <c r="ILE5" s="433"/>
      <c r="ILF5" s="433"/>
      <c r="ILG5" s="433"/>
      <c r="ILH5" s="433"/>
      <c r="ILI5" s="433"/>
      <c r="ILJ5" s="433"/>
      <c r="ILK5" s="433"/>
      <c r="ILL5" s="433"/>
      <c r="ILM5" s="433"/>
      <c r="ILN5" s="433"/>
      <c r="ILO5" s="433"/>
      <c r="ILP5" s="433"/>
      <c r="ILQ5" s="433"/>
      <c r="ILR5" s="433"/>
      <c r="ILS5" s="433"/>
      <c r="ILT5" s="433"/>
      <c r="ILU5" s="433"/>
      <c r="ILV5" s="433"/>
      <c r="ILW5" s="433"/>
      <c r="ILX5" s="433"/>
      <c r="ILY5" s="433"/>
      <c r="ILZ5" s="433"/>
      <c r="IMA5" s="433"/>
      <c r="IMB5" s="433"/>
      <c r="IMC5" s="433"/>
      <c r="IMD5" s="433"/>
      <c r="IME5" s="433"/>
      <c r="IMF5" s="433"/>
      <c r="IMG5" s="433"/>
      <c r="IMH5" s="433"/>
      <c r="IMI5" s="433"/>
      <c r="IMJ5" s="433"/>
      <c r="IMK5" s="433"/>
      <c r="IML5" s="433"/>
      <c r="IMM5" s="433"/>
      <c r="IMN5" s="433"/>
      <c r="IMO5" s="433"/>
      <c r="IMP5" s="433"/>
      <c r="IMQ5" s="433"/>
      <c r="IMR5" s="433"/>
      <c r="IMS5" s="433"/>
      <c r="IMT5" s="433"/>
      <c r="IMU5" s="433"/>
      <c r="IMV5" s="433"/>
      <c r="IMW5" s="433"/>
      <c r="IMX5" s="433"/>
      <c r="IMY5" s="433"/>
      <c r="IMZ5" s="433"/>
      <c r="INA5" s="433"/>
      <c r="INB5" s="433"/>
      <c r="INC5" s="433"/>
      <c r="IND5" s="433"/>
      <c r="INE5" s="433"/>
      <c r="INF5" s="433"/>
      <c r="ING5" s="433"/>
      <c r="INH5" s="433"/>
      <c r="INI5" s="433"/>
      <c r="INJ5" s="433"/>
      <c r="INK5" s="433"/>
      <c r="INL5" s="433"/>
      <c r="INM5" s="433"/>
      <c r="INN5" s="433"/>
      <c r="INO5" s="433"/>
      <c r="INP5" s="433"/>
      <c r="INQ5" s="433"/>
      <c r="INR5" s="433"/>
      <c r="INS5" s="433"/>
      <c r="INT5" s="433"/>
      <c r="INU5" s="433"/>
      <c r="INV5" s="433"/>
      <c r="INW5" s="433"/>
      <c r="INX5" s="433"/>
      <c r="INY5" s="433"/>
      <c r="INZ5" s="433"/>
      <c r="IOA5" s="433"/>
      <c r="IOB5" s="433"/>
      <c r="IOC5" s="433"/>
      <c r="IOD5" s="433"/>
      <c r="IOE5" s="433"/>
      <c r="IOF5" s="433"/>
      <c r="IOG5" s="433"/>
      <c r="IOH5" s="433"/>
      <c r="IOI5" s="433"/>
      <c r="IOJ5" s="433"/>
      <c r="IOK5" s="433"/>
      <c r="IOL5" s="433"/>
      <c r="IOM5" s="433"/>
      <c r="ION5" s="433"/>
      <c r="IOO5" s="433"/>
      <c r="IOP5" s="433"/>
      <c r="IOQ5" s="433"/>
      <c r="IOR5" s="433"/>
      <c r="IOS5" s="433"/>
      <c r="IOT5" s="433"/>
      <c r="IOU5" s="433"/>
      <c r="IOV5" s="433"/>
      <c r="IOW5" s="433"/>
      <c r="IOX5" s="433"/>
      <c r="IOY5" s="433"/>
      <c r="IOZ5" s="433"/>
      <c r="IPA5" s="433"/>
      <c r="IPB5" s="433"/>
      <c r="IPC5" s="433"/>
      <c r="IPD5" s="433"/>
      <c r="IPE5" s="433"/>
      <c r="IPF5" s="433"/>
      <c r="IPG5" s="433"/>
      <c r="IPH5" s="433"/>
      <c r="IPI5" s="433"/>
      <c r="IPJ5" s="433"/>
      <c r="IPK5" s="433"/>
      <c r="IPL5" s="433"/>
      <c r="IPM5" s="433"/>
      <c r="IPN5" s="433"/>
      <c r="IPO5" s="433"/>
      <c r="IPP5" s="433"/>
      <c r="IPQ5" s="433"/>
      <c r="IPR5" s="433"/>
      <c r="IPS5" s="433"/>
      <c r="IPT5" s="433"/>
      <c r="IPU5" s="433"/>
      <c r="IPV5" s="433"/>
      <c r="IPW5" s="433"/>
      <c r="IPX5" s="433"/>
      <c r="IPY5" s="433"/>
      <c r="IPZ5" s="433"/>
      <c r="IQA5" s="433"/>
      <c r="IQB5" s="433"/>
      <c r="IQC5" s="433"/>
      <c r="IQD5" s="433"/>
      <c r="IQE5" s="433"/>
      <c r="IQF5" s="433"/>
      <c r="IQG5" s="433"/>
      <c r="IQH5" s="433"/>
      <c r="IQI5" s="433"/>
      <c r="IQJ5" s="433"/>
      <c r="IQK5" s="433"/>
      <c r="IQL5" s="433"/>
      <c r="IQM5" s="433"/>
      <c r="IQN5" s="433"/>
      <c r="IQO5" s="433"/>
      <c r="IQP5" s="433"/>
      <c r="IQQ5" s="433"/>
      <c r="IQR5" s="433"/>
      <c r="IQS5" s="433"/>
      <c r="IQT5" s="433"/>
      <c r="IQU5" s="433"/>
      <c r="IQV5" s="433"/>
      <c r="IQW5" s="433"/>
      <c r="IQX5" s="433"/>
      <c r="IQY5" s="433"/>
      <c r="IQZ5" s="433"/>
      <c r="IRA5" s="433"/>
      <c r="IRB5" s="433"/>
      <c r="IRC5" s="433"/>
      <c r="IRD5" s="433"/>
      <c r="IRE5" s="433"/>
      <c r="IRF5" s="433"/>
      <c r="IRG5" s="433"/>
      <c r="IRH5" s="433"/>
      <c r="IRI5" s="433"/>
      <c r="IRJ5" s="433"/>
      <c r="IRK5" s="433"/>
      <c r="IRL5" s="433"/>
      <c r="IRM5" s="433"/>
      <c r="IRN5" s="433"/>
      <c r="IRO5" s="433"/>
      <c r="IRP5" s="433"/>
      <c r="IRQ5" s="433"/>
      <c r="IRR5" s="433"/>
      <c r="IRS5" s="433"/>
      <c r="IRT5" s="433"/>
      <c r="IRU5" s="433"/>
      <c r="IRV5" s="433"/>
      <c r="IRW5" s="433"/>
      <c r="IRX5" s="433"/>
      <c r="IRY5" s="433"/>
      <c r="IRZ5" s="433"/>
      <c r="ISA5" s="433"/>
      <c r="ISB5" s="433"/>
      <c r="ISC5" s="433"/>
      <c r="ISD5" s="433"/>
      <c r="ISE5" s="433"/>
      <c r="ISF5" s="433"/>
      <c r="ISG5" s="433"/>
      <c r="ISH5" s="433"/>
      <c r="ISI5" s="433"/>
      <c r="ISJ5" s="433"/>
      <c r="ISK5" s="433"/>
      <c r="ISL5" s="433"/>
      <c r="ISM5" s="433"/>
      <c r="ISN5" s="433"/>
      <c r="ISO5" s="433"/>
      <c r="ISP5" s="433"/>
      <c r="ISQ5" s="433"/>
      <c r="ISR5" s="433"/>
      <c r="ISS5" s="433"/>
      <c r="IST5" s="433"/>
      <c r="ISU5" s="433"/>
      <c r="ISV5" s="433"/>
      <c r="ISW5" s="433"/>
      <c r="ISX5" s="433"/>
      <c r="ISY5" s="433"/>
      <c r="ISZ5" s="433"/>
      <c r="ITA5" s="433"/>
      <c r="ITB5" s="433"/>
      <c r="ITC5" s="433"/>
      <c r="ITD5" s="433"/>
      <c r="ITE5" s="433"/>
      <c r="ITF5" s="433"/>
      <c r="ITG5" s="433"/>
      <c r="ITH5" s="433"/>
      <c r="ITI5" s="433"/>
      <c r="ITJ5" s="433"/>
      <c r="ITK5" s="433"/>
      <c r="ITL5" s="433"/>
      <c r="ITM5" s="433"/>
      <c r="ITN5" s="433"/>
      <c r="ITO5" s="433"/>
      <c r="ITP5" s="433"/>
      <c r="ITQ5" s="433"/>
      <c r="ITR5" s="433"/>
      <c r="ITS5" s="433"/>
      <c r="ITT5" s="433"/>
      <c r="ITU5" s="433"/>
      <c r="ITV5" s="433"/>
      <c r="ITW5" s="433"/>
      <c r="ITX5" s="433"/>
      <c r="ITY5" s="433"/>
      <c r="ITZ5" s="433"/>
      <c r="IUA5" s="433"/>
      <c r="IUB5" s="433"/>
      <c r="IUC5" s="433"/>
      <c r="IUD5" s="433"/>
      <c r="IUE5" s="433"/>
      <c r="IUF5" s="433"/>
      <c r="IUG5" s="433"/>
      <c r="IUH5" s="433"/>
      <c r="IUI5" s="433"/>
      <c r="IUJ5" s="433"/>
      <c r="IUK5" s="433"/>
      <c r="IUL5" s="433"/>
      <c r="IUM5" s="433"/>
      <c r="IUN5" s="433"/>
      <c r="IUO5" s="433"/>
      <c r="IUP5" s="433"/>
      <c r="IUQ5" s="433"/>
      <c r="IUR5" s="433"/>
      <c r="IUS5" s="433"/>
      <c r="IUT5" s="433"/>
      <c r="IUU5" s="433"/>
      <c r="IUV5" s="433"/>
      <c r="IUW5" s="433"/>
      <c r="IUX5" s="433"/>
      <c r="IUY5" s="433"/>
      <c r="IUZ5" s="433"/>
      <c r="IVA5" s="433"/>
      <c r="IVB5" s="433"/>
      <c r="IVC5" s="433"/>
      <c r="IVD5" s="433"/>
      <c r="IVE5" s="433"/>
      <c r="IVF5" s="433"/>
      <c r="IVG5" s="433"/>
      <c r="IVH5" s="433"/>
      <c r="IVI5" s="433"/>
      <c r="IVJ5" s="433"/>
      <c r="IVK5" s="433"/>
      <c r="IVL5" s="433"/>
      <c r="IVM5" s="433"/>
      <c r="IVN5" s="433"/>
      <c r="IVO5" s="433"/>
      <c r="IVP5" s="433"/>
      <c r="IVQ5" s="433"/>
      <c r="IVR5" s="433"/>
      <c r="IVS5" s="433"/>
      <c r="IVT5" s="433"/>
      <c r="IVU5" s="433"/>
      <c r="IVV5" s="433"/>
      <c r="IVW5" s="433"/>
      <c r="IVX5" s="433"/>
      <c r="IVY5" s="433"/>
      <c r="IVZ5" s="433"/>
      <c r="IWA5" s="433"/>
      <c r="IWB5" s="433"/>
      <c r="IWC5" s="433"/>
      <c r="IWD5" s="433"/>
      <c r="IWE5" s="433"/>
      <c r="IWF5" s="433"/>
      <c r="IWG5" s="433"/>
      <c r="IWH5" s="433"/>
      <c r="IWI5" s="433"/>
      <c r="IWJ5" s="433"/>
      <c r="IWK5" s="433"/>
      <c r="IWL5" s="433"/>
      <c r="IWM5" s="433"/>
      <c r="IWN5" s="433"/>
      <c r="IWO5" s="433"/>
      <c r="IWP5" s="433"/>
      <c r="IWQ5" s="433"/>
      <c r="IWR5" s="433"/>
      <c r="IWS5" s="433"/>
      <c r="IWT5" s="433"/>
      <c r="IWU5" s="433"/>
      <c r="IWV5" s="433"/>
      <c r="IWW5" s="433"/>
      <c r="IWX5" s="433"/>
      <c r="IWY5" s="433"/>
      <c r="IWZ5" s="433"/>
      <c r="IXA5" s="433"/>
      <c r="IXB5" s="433"/>
      <c r="IXC5" s="433"/>
      <c r="IXD5" s="433"/>
      <c r="IXE5" s="433"/>
      <c r="IXF5" s="433"/>
      <c r="IXG5" s="433"/>
      <c r="IXH5" s="433"/>
      <c r="IXI5" s="433"/>
      <c r="IXJ5" s="433"/>
      <c r="IXK5" s="433"/>
      <c r="IXL5" s="433"/>
      <c r="IXM5" s="433"/>
      <c r="IXN5" s="433"/>
      <c r="IXO5" s="433"/>
      <c r="IXP5" s="433"/>
      <c r="IXQ5" s="433"/>
      <c r="IXR5" s="433"/>
      <c r="IXS5" s="433"/>
      <c r="IXT5" s="433"/>
      <c r="IXU5" s="433"/>
      <c r="IXV5" s="433"/>
      <c r="IXW5" s="433"/>
      <c r="IXX5" s="433"/>
      <c r="IXY5" s="433"/>
      <c r="IXZ5" s="433"/>
      <c r="IYA5" s="433"/>
      <c r="IYB5" s="433"/>
      <c r="IYC5" s="433"/>
      <c r="IYD5" s="433"/>
      <c r="IYE5" s="433"/>
      <c r="IYF5" s="433"/>
      <c r="IYG5" s="433"/>
      <c r="IYH5" s="433"/>
      <c r="IYI5" s="433"/>
      <c r="IYJ5" s="433"/>
      <c r="IYK5" s="433"/>
      <c r="IYL5" s="433"/>
      <c r="IYM5" s="433"/>
      <c r="IYN5" s="433"/>
      <c r="IYO5" s="433"/>
      <c r="IYP5" s="433"/>
      <c r="IYQ5" s="433"/>
      <c r="IYR5" s="433"/>
      <c r="IYS5" s="433"/>
      <c r="IYT5" s="433"/>
      <c r="IYU5" s="433"/>
      <c r="IYV5" s="433"/>
      <c r="IYW5" s="433"/>
      <c r="IYX5" s="433"/>
      <c r="IYY5" s="433"/>
      <c r="IYZ5" s="433"/>
      <c r="IZA5" s="433"/>
      <c r="IZB5" s="433"/>
      <c r="IZC5" s="433"/>
      <c r="IZD5" s="433"/>
      <c r="IZE5" s="433"/>
      <c r="IZF5" s="433"/>
      <c r="IZG5" s="433"/>
      <c r="IZH5" s="433"/>
      <c r="IZI5" s="433"/>
      <c r="IZJ5" s="433"/>
      <c r="IZK5" s="433"/>
      <c r="IZL5" s="433"/>
      <c r="IZM5" s="433"/>
      <c r="IZN5" s="433"/>
      <c r="IZO5" s="433"/>
      <c r="IZP5" s="433"/>
      <c r="IZQ5" s="433"/>
      <c r="IZR5" s="433"/>
      <c r="IZS5" s="433"/>
      <c r="IZT5" s="433"/>
      <c r="IZU5" s="433"/>
      <c r="IZV5" s="433"/>
      <c r="IZW5" s="433"/>
      <c r="IZX5" s="433"/>
      <c r="IZY5" s="433"/>
      <c r="IZZ5" s="433"/>
      <c r="JAA5" s="433"/>
      <c r="JAB5" s="433"/>
      <c r="JAC5" s="433"/>
      <c r="JAD5" s="433"/>
      <c r="JAE5" s="433"/>
      <c r="JAF5" s="433"/>
      <c r="JAG5" s="433"/>
      <c r="JAH5" s="433"/>
      <c r="JAI5" s="433"/>
      <c r="JAJ5" s="433"/>
      <c r="JAK5" s="433"/>
      <c r="JAL5" s="433"/>
      <c r="JAM5" s="433"/>
      <c r="JAN5" s="433"/>
      <c r="JAO5" s="433"/>
      <c r="JAP5" s="433"/>
      <c r="JAQ5" s="433"/>
      <c r="JAR5" s="433"/>
      <c r="JAS5" s="433"/>
      <c r="JAT5" s="433"/>
      <c r="JAU5" s="433"/>
      <c r="JAV5" s="433"/>
      <c r="JAW5" s="433"/>
      <c r="JAX5" s="433"/>
      <c r="JAY5" s="433"/>
      <c r="JAZ5" s="433"/>
      <c r="JBA5" s="433"/>
      <c r="JBB5" s="433"/>
      <c r="JBC5" s="433"/>
      <c r="JBD5" s="433"/>
      <c r="JBE5" s="433"/>
      <c r="JBF5" s="433"/>
      <c r="JBG5" s="433"/>
      <c r="JBH5" s="433"/>
      <c r="JBI5" s="433"/>
      <c r="JBJ5" s="433"/>
      <c r="JBK5" s="433"/>
      <c r="JBL5" s="433"/>
      <c r="JBM5" s="433"/>
      <c r="JBN5" s="433"/>
      <c r="JBO5" s="433"/>
      <c r="JBP5" s="433"/>
      <c r="JBQ5" s="433"/>
      <c r="JBR5" s="433"/>
      <c r="JBS5" s="433"/>
      <c r="JBT5" s="433"/>
      <c r="JBU5" s="433"/>
      <c r="JBV5" s="433"/>
      <c r="JBW5" s="433"/>
      <c r="JBX5" s="433"/>
      <c r="JBY5" s="433"/>
      <c r="JBZ5" s="433"/>
      <c r="JCA5" s="433"/>
      <c r="JCB5" s="433"/>
      <c r="JCC5" s="433"/>
      <c r="JCD5" s="433"/>
      <c r="JCE5" s="433"/>
      <c r="JCF5" s="433"/>
      <c r="JCG5" s="433"/>
      <c r="JCH5" s="433"/>
      <c r="JCI5" s="433"/>
      <c r="JCJ5" s="433"/>
      <c r="JCK5" s="433"/>
      <c r="JCL5" s="433"/>
      <c r="JCM5" s="433"/>
      <c r="JCN5" s="433"/>
      <c r="JCO5" s="433"/>
      <c r="JCP5" s="433"/>
      <c r="JCQ5" s="433"/>
      <c r="JCR5" s="433"/>
      <c r="JCS5" s="433"/>
      <c r="JCT5" s="433"/>
      <c r="JCU5" s="433"/>
      <c r="JCV5" s="433"/>
      <c r="JCW5" s="433"/>
      <c r="JCX5" s="433"/>
      <c r="JCY5" s="433"/>
      <c r="JCZ5" s="433"/>
      <c r="JDA5" s="433"/>
      <c r="JDB5" s="433"/>
      <c r="JDC5" s="433"/>
      <c r="JDD5" s="433"/>
      <c r="JDE5" s="433"/>
      <c r="JDF5" s="433"/>
      <c r="JDG5" s="433"/>
      <c r="JDH5" s="433"/>
      <c r="JDI5" s="433"/>
      <c r="JDJ5" s="433"/>
      <c r="JDK5" s="433"/>
      <c r="JDL5" s="433"/>
      <c r="JDM5" s="433"/>
      <c r="JDN5" s="433"/>
      <c r="JDO5" s="433"/>
      <c r="JDP5" s="433"/>
      <c r="JDQ5" s="433"/>
      <c r="JDR5" s="433"/>
      <c r="JDS5" s="433"/>
      <c r="JDT5" s="433"/>
      <c r="JDU5" s="433"/>
      <c r="JDV5" s="433"/>
      <c r="JDW5" s="433"/>
      <c r="JDX5" s="433"/>
      <c r="JDY5" s="433"/>
      <c r="JDZ5" s="433"/>
      <c r="JEA5" s="433"/>
      <c r="JEB5" s="433"/>
      <c r="JEC5" s="433"/>
      <c r="JED5" s="433"/>
      <c r="JEE5" s="433"/>
      <c r="JEF5" s="433"/>
      <c r="JEG5" s="433"/>
      <c r="JEH5" s="433"/>
      <c r="JEI5" s="433"/>
      <c r="JEJ5" s="433"/>
      <c r="JEK5" s="433"/>
      <c r="JEL5" s="433"/>
      <c r="JEM5" s="433"/>
      <c r="JEN5" s="433"/>
      <c r="JEO5" s="433"/>
      <c r="JEP5" s="433"/>
      <c r="JEQ5" s="433"/>
      <c r="JER5" s="433"/>
      <c r="JES5" s="433"/>
      <c r="JET5" s="433"/>
      <c r="JEU5" s="433"/>
      <c r="JEV5" s="433"/>
      <c r="JEW5" s="433"/>
      <c r="JEX5" s="433"/>
      <c r="JEY5" s="433"/>
      <c r="JEZ5" s="433"/>
      <c r="JFA5" s="433"/>
      <c r="JFB5" s="433"/>
      <c r="JFC5" s="433"/>
      <c r="JFD5" s="433"/>
      <c r="JFE5" s="433"/>
      <c r="JFF5" s="433"/>
      <c r="JFG5" s="433"/>
      <c r="JFH5" s="433"/>
      <c r="JFI5" s="433"/>
      <c r="JFJ5" s="433"/>
      <c r="JFK5" s="433"/>
      <c r="JFL5" s="433"/>
      <c r="JFM5" s="433"/>
      <c r="JFN5" s="433"/>
      <c r="JFO5" s="433"/>
      <c r="JFP5" s="433"/>
      <c r="JFQ5" s="433"/>
      <c r="JFR5" s="433"/>
      <c r="JFS5" s="433"/>
      <c r="JFT5" s="433"/>
      <c r="JFU5" s="433"/>
      <c r="JFV5" s="433"/>
      <c r="JFW5" s="433"/>
      <c r="JFX5" s="433"/>
      <c r="JFY5" s="433"/>
      <c r="JFZ5" s="433"/>
      <c r="JGA5" s="433"/>
      <c r="JGB5" s="433"/>
      <c r="JGC5" s="433"/>
      <c r="JGD5" s="433"/>
      <c r="JGE5" s="433"/>
      <c r="JGF5" s="433"/>
      <c r="JGG5" s="433"/>
      <c r="JGH5" s="433"/>
      <c r="JGI5" s="433"/>
      <c r="JGJ5" s="433"/>
      <c r="JGK5" s="433"/>
      <c r="JGL5" s="433"/>
      <c r="JGM5" s="433"/>
      <c r="JGN5" s="433"/>
      <c r="JGO5" s="433"/>
      <c r="JGP5" s="433"/>
      <c r="JGQ5" s="433"/>
      <c r="JGR5" s="433"/>
      <c r="JGS5" s="433"/>
      <c r="JGT5" s="433"/>
      <c r="JGU5" s="433"/>
      <c r="JGV5" s="433"/>
      <c r="JGW5" s="433"/>
      <c r="JGX5" s="433"/>
      <c r="JGY5" s="433"/>
      <c r="JGZ5" s="433"/>
      <c r="JHA5" s="433"/>
      <c r="JHB5" s="433"/>
      <c r="JHC5" s="433"/>
      <c r="JHD5" s="433"/>
      <c r="JHE5" s="433"/>
      <c r="JHF5" s="433"/>
      <c r="JHG5" s="433"/>
      <c r="JHH5" s="433"/>
      <c r="JHI5" s="433"/>
      <c r="JHJ5" s="433"/>
      <c r="JHK5" s="433"/>
      <c r="JHL5" s="433"/>
      <c r="JHM5" s="433"/>
      <c r="JHN5" s="433"/>
      <c r="JHO5" s="433"/>
      <c r="JHP5" s="433"/>
      <c r="JHQ5" s="433"/>
      <c r="JHR5" s="433"/>
      <c r="JHS5" s="433"/>
      <c r="JHT5" s="433"/>
      <c r="JHU5" s="433"/>
      <c r="JHV5" s="433"/>
      <c r="JHW5" s="433"/>
      <c r="JHX5" s="433"/>
      <c r="JHY5" s="433"/>
      <c r="JHZ5" s="433"/>
      <c r="JIA5" s="433"/>
      <c r="JIB5" s="433"/>
      <c r="JIC5" s="433"/>
      <c r="JID5" s="433"/>
      <c r="JIE5" s="433"/>
      <c r="JIF5" s="433"/>
      <c r="JIG5" s="433"/>
      <c r="JIH5" s="433"/>
      <c r="JII5" s="433"/>
      <c r="JIJ5" s="433"/>
      <c r="JIK5" s="433"/>
      <c r="JIL5" s="433"/>
      <c r="JIM5" s="433"/>
      <c r="JIN5" s="433"/>
      <c r="JIO5" s="433"/>
      <c r="JIP5" s="433"/>
      <c r="JIQ5" s="433"/>
      <c r="JIR5" s="433"/>
      <c r="JIS5" s="433"/>
      <c r="JIT5" s="433"/>
      <c r="JIU5" s="433"/>
      <c r="JIV5" s="433"/>
      <c r="JIW5" s="433"/>
      <c r="JIX5" s="433"/>
      <c r="JIY5" s="433"/>
      <c r="JIZ5" s="433"/>
      <c r="JJA5" s="433"/>
      <c r="JJB5" s="433"/>
      <c r="JJC5" s="433"/>
      <c r="JJD5" s="433"/>
      <c r="JJE5" s="433"/>
      <c r="JJF5" s="433"/>
      <c r="JJG5" s="433"/>
      <c r="JJH5" s="433"/>
      <c r="JJI5" s="433"/>
      <c r="JJJ5" s="433"/>
      <c r="JJK5" s="433"/>
      <c r="JJL5" s="433"/>
      <c r="JJM5" s="433"/>
      <c r="JJN5" s="433"/>
      <c r="JJO5" s="433"/>
      <c r="JJP5" s="433"/>
      <c r="JJQ5" s="433"/>
      <c r="JJR5" s="433"/>
      <c r="JJS5" s="433"/>
      <c r="JJT5" s="433"/>
      <c r="JJU5" s="433"/>
      <c r="JJV5" s="433"/>
      <c r="JJW5" s="433"/>
      <c r="JJX5" s="433"/>
      <c r="JJY5" s="433"/>
      <c r="JJZ5" s="433"/>
      <c r="JKA5" s="433"/>
      <c r="JKB5" s="433"/>
      <c r="JKC5" s="433"/>
      <c r="JKD5" s="433"/>
      <c r="JKE5" s="433"/>
      <c r="JKF5" s="433"/>
      <c r="JKG5" s="433"/>
      <c r="JKH5" s="433"/>
      <c r="JKI5" s="433"/>
      <c r="JKJ5" s="433"/>
      <c r="JKK5" s="433"/>
      <c r="JKL5" s="433"/>
      <c r="JKM5" s="433"/>
      <c r="JKN5" s="433"/>
      <c r="JKO5" s="433"/>
      <c r="JKP5" s="433"/>
      <c r="JKQ5" s="433"/>
      <c r="JKR5" s="433"/>
      <c r="JKS5" s="433"/>
      <c r="JKT5" s="433"/>
      <c r="JKU5" s="433"/>
      <c r="JKV5" s="433"/>
      <c r="JKW5" s="433"/>
      <c r="JKX5" s="433"/>
      <c r="JKY5" s="433"/>
      <c r="JKZ5" s="433"/>
      <c r="JLA5" s="433"/>
      <c r="JLB5" s="433"/>
      <c r="JLC5" s="433"/>
      <c r="JLD5" s="433"/>
      <c r="JLE5" s="433"/>
      <c r="JLF5" s="433"/>
      <c r="JLG5" s="433"/>
      <c r="JLH5" s="433"/>
      <c r="JLI5" s="433"/>
      <c r="JLJ5" s="433"/>
      <c r="JLK5" s="433"/>
      <c r="JLL5" s="433"/>
      <c r="JLM5" s="433"/>
      <c r="JLN5" s="433"/>
      <c r="JLO5" s="433"/>
      <c r="JLP5" s="433"/>
      <c r="JLQ5" s="433"/>
      <c r="JLR5" s="433"/>
      <c r="JLS5" s="433"/>
      <c r="JLT5" s="433"/>
      <c r="JLU5" s="433"/>
      <c r="JLV5" s="433"/>
      <c r="JLW5" s="433"/>
      <c r="JLX5" s="433"/>
      <c r="JLY5" s="433"/>
      <c r="JLZ5" s="433"/>
      <c r="JMA5" s="433"/>
      <c r="JMB5" s="433"/>
      <c r="JMC5" s="433"/>
      <c r="JMD5" s="433"/>
      <c r="JME5" s="433"/>
      <c r="JMF5" s="433"/>
      <c r="JMG5" s="433"/>
      <c r="JMH5" s="433"/>
      <c r="JMI5" s="433"/>
      <c r="JMJ5" s="433"/>
      <c r="JMK5" s="433"/>
      <c r="JML5" s="433"/>
      <c r="JMM5" s="433"/>
      <c r="JMN5" s="433"/>
      <c r="JMO5" s="433"/>
      <c r="JMP5" s="433"/>
      <c r="JMQ5" s="433"/>
      <c r="JMR5" s="433"/>
      <c r="JMS5" s="433"/>
      <c r="JMT5" s="433"/>
      <c r="JMU5" s="433"/>
      <c r="JMV5" s="433"/>
      <c r="JMW5" s="433"/>
      <c r="JMX5" s="433"/>
      <c r="JMY5" s="433"/>
      <c r="JMZ5" s="433"/>
      <c r="JNA5" s="433"/>
      <c r="JNB5" s="433"/>
      <c r="JNC5" s="433"/>
      <c r="JND5" s="433"/>
      <c r="JNE5" s="433"/>
      <c r="JNF5" s="433"/>
      <c r="JNG5" s="433"/>
      <c r="JNH5" s="433"/>
      <c r="JNI5" s="433"/>
      <c r="JNJ5" s="433"/>
      <c r="JNK5" s="433"/>
      <c r="JNL5" s="433"/>
      <c r="JNM5" s="433"/>
      <c r="JNN5" s="433"/>
      <c r="JNO5" s="433"/>
      <c r="JNP5" s="433"/>
      <c r="JNQ5" s="433"/>
      <c r="JNR5" s="433"/>
      <c r="JNS5" s="433"/>
      <c r="JNT5" s="433"/>
      <c r="JNU5" s="433"/>
      <c r="JNV5" s="433"/>
      <c r="JNW5" s="433"/>
      <c r="JNX5" s="433"/>
      <c r="JNY5" s="433"/>
      <c r="JNZ5" s="433"/>
      <c r="JOA5" s="433"/>
      <c r="JOB5" s="433"/>
      <c r="JOC5" s="433"/>
      <c r="JOD5" s="433"/>
      <c r="JOE5" s="433"/>
      <c r="JOF5" s="433"/>
      <c r="JOG5" s="433"/>
      <c r="JOH5" s="433"/>
      <c r="JOI5" s="433"/>
      <c r="JOJ5" s="433"/>
      <c r="JOK5" s="433"/>
      <c r="JOL5" s="433"/>
      <c r="JOM5" s="433"/>
      <c r="JON5" s="433"/>
      <c r="JOO5" s="433"/>
      <c r="JOP5" s="433"/>
      <c r="JOQ5" s="433"/>
      <c r="JOR5" s="433"/>
      <c r="JOS5" s="433"/>
      <c r="JOT5" s="433"/>
      <c r="JOU5" s="433"/>
      <c r="JOV5" s="433"/>
      <c r="JOW5" s="433"/>
      <c r="JOX5" s="433"/>
      <c r="JOY5" s="433"/>
      <c r="JOZ5" s="433"/>
      <c r="JPA5" s="433"/>
      <c r="JPB5" s="433"/>
      <c r="JPC5" s="433"/>
      <c r="JPD5" s="433"/>
      <c r="JPE5" s="433"/>
      <c r="JPF5" s="433"/>
      <c r="JPG5" s="433"/>
      <c r="JPH5" s="433"/>
      <c r="JPI5" s="433"/>
      <c r="JPJ5" s="433"/>
      <c r="JPK5" s="433"/>
      <c r="JPL5" s="433"/>
      <c r="JPM5" s="433"/>
      <c r="JPN5" s="433"/>
      <c r="JPO5" s="433"/>
      <c r="JPP5" s="433"/>
      <c r="JPQ5" s="433"/>
      <c r="JPR5" s="433"/>
      <c r="JPS5" s="433"/>
      <c r="JPT5" s="433"/>
      <c r="JPU5" s="433"/>
      <c r="JPV5" s="433"/>
      <c r="JPW5" s="433"/>
      <c r="JPX5" s="433"/>
      <c r="JPY5" s="433"/>
      <c r="JPZ5" s="433"/>
      <c r="JQA5" s="433"/>
      <c r="JQB5" s="433"/>
      <c r="JQC5" s="433"/>
      <c r="JQD5" s="433"/>
      <c r="JQE5" s="433"/>
      <c r="JQF5" s="433"/>
      <c r="JQG5" s="433"/>
      <c r="JQH5" s="433"/>
      <c r="JQI5" s="433"/>
      <c r="JQJ5" s="433"/>
      <c r="JQK5" s="433"/>
      <c r="JQL5" s="433"/>
      <c r="JQM5" s="433"/>
      <c r="JQN5" s="433"/>
      <c r="JQO5" s="433"/>
      <c r="JQP5" s="433"/>
      <c r="JQQ5" s="433"/>
      <c r="JQR5" s="433"/>
      <c r="JQS5" s="433"/>
      <c r="JQT5" s="433"/>
      <c r="JQU5" s="433"/>
      <c r="JQV5" s="433"/>
      <c r="JQW5" s="433"/>
      <c r="JQX5" s="433"/>
      <c r="JQY5" s="433"/>
      <c r="JQZ5" s="433"/>
      <c r="JRA5" s="433"/>
      <c r="JRB5" s="433"/>
      <c r="JRC5" s="433"/>
      <c r="JRD5" s="433"/>
      <c r="JRE5" s="433"/>
      <c r="JRF5" s="433"/>
      <c r="JRG5" s="433"/>
      <c r="JRH5" s="433"/>
      <c r="JRI5" s="433"/>
      <c r="JRJ5" s="433"/>
      <c r="JRK5" s="433"/>
      <c r="JRL5" s="433"/>
      <c r="JRM5" s="433"/>
      <c r="JRN5" s="433"/>
      <c r="JRO5" s="433"/>
      <c r="JRP5" s="433"/>
      <c r="JRQ5" s="433"/>
      <c r="JRR5" s="433"/>
      <c r="JRS5" s="433"/>
      <c r="JRT5" s="433"/>
      <c r="JRU5" s="433"/>
      <c r="JRV5" s="433"/>
      <c r="JRW5" s="433"/>
      <c r="JRX5" s="433"/>
      <c r="JRY5" s="433"/>
      <c r="JRZ5" s="433"/>
      <c r="JSA5" s="433"/>
      <c r="JSB5" s="433"/>
      <c r="JSC5" s="433"/>
      <c r="JSD5" s="433"/>
      <c r="JSE5" s="433"/>
      <c r="JSF5" s="433"/>
      <c r="JSG5" s="433"/>
      <c r="JSH5" s="433"/>
      <c r="JSI5" s="433"/>
      <c r="JSJ5" s="433"/>
      <c r="JSK5" s="433"/>
      <c r="JSL5" s="433"/>
      <c r="JSM5" s="433"/>
      <c r="JSN5" s="433"/>
      <c r="JSO5" s="433"/>
      <c r="JSP5" s="433"/>
      <c r="JSQ5" s="433"/>
      <c r="JSR5" s="433"/>
      <c r="JSS5" s="433"/>
      <c r="JST5" s="433"/>
      <c r="JSU5" s="433"/>
      <c r="JSV5" s="433"/>
      <c r="JSW5" s="433"/>
      <c r="JSX5" s="433"/>
      <c r="JSY5" s="433"/>
      <c r="JSZ5" s="433"/>
      <c r="JTA5" s="433"/>
      <c r="JTB5" s="433"/>
      <c r="JTC5" s="433"/>
      <c r="JTD5" s="433"/>
      <c r="JTE5" s="433"/>
      <c r="JTF5" s="433"/>
      <c r="JTG5" s="433"/>
      <c r="JTH5" s="433"/>
      <c r="JTI5" s="433"/>
      <c r="JTJ5" s="433"/>
      <c r="JTK5" s="433"/>
      <c r="JTL5" s="433"/>
      <c r="JTM5" s="433"/>
      <c r="JTN5" s="433"/>
      <c r="JTO5" s="433"/>
      <c r="JTP5" s="433"/>
      <c r="JTQ5" s="433"/>
      <c r="JTR5" s="433"/>
      <c r="JTS5" s="433"/>
      <c r="JTT5" s="433"/>
      <c r="JTU5" s="433"/>
      <c r="JTV5" s="433"/>
      <c r="JTW5" s="433"/>
      <c r="JTX5" s="433"/>
      <c r="JTY5" s="433"/>
      <c r="JTZ5" s="433"/>
      <c r="JUA5" s="433"/>
      <c r="JUB5" s="433"/>
      <c r="JUC5" s="433"/>
      <c r="JUD5" s="433"/>
      <c r="JUE5" s="433"/>
      <c r="JUF5" s="433"/>
      <c r="JUG5" s="433"/>
      <c r="JUH5" s="433"/>
      <c r="JUI5" s="433"/>
      <c r="JUJ5" s="433"/>
      <c r="JUK5" s="433"/>
      <c r="JUL5" s="433"/>
      <c r="JUM5" s="433"/>
      <c r="JUN5" s="433"/>
      <c r="JUO5" s="433"/>
      <c r="JUP5" s="433"/>
      <c r="JUQ5" s="433"/>
      <c r="JUR5" s="433"/>
      <c r="JUS5" s="433"/>
      <c r="JUT5" s="433"/>
      <c r="JUU5" s="433"/>
      <c r="JUV5" s="433"/>
      <c r="JUW5" s="433"/>
      <c r="JUX5" s="433"/>
      <c r="JUY5" s="433"/>
      <c r="JUZ5" s="433"/>
      <c r="JVA5" s="433"/>
      <c r="JVB5" s="433"/>
      <c r="JVC5" s="433"/>
      <c r="JVD5" s="433"/>
      <c r="JVE5" s="433"/>
      <c r="JVF5" s="433"/>
      <c r="JVG5" s="433"/>
      <c r="JVH5" s="433"/>
      <c r="JVI5" s="433"/>
      <c r="JVJ5" s="433"/>
      <c r="JVK5" s="433"/>
      <c r="JVL5" s="433"/>
      <c r="JVM5" s="433"/>
      <c r="JVN5" s="433"/>
      <c r="JVO5" s="433"/>
      <c r="JVP5" s="433"/>
      <c r="JVQ5" s="433"/>
      <c r="JVR5" s="433"/>
      <c r="JVS5" s="433"/>
      <c r="JVT5" s="433"/>
      <c r="JVU5" s="433"/>
      <c r="JVV5" s="433"/>
      <c r="JVW5" s="433"/>
      <c r="JVX5" s="433"/>
      <c r="JVY5" s="433"/>
      <c r="JVZ5" s="433"/>
      <c r="JWA5" s="433"/>
      <c r="JWB5" s="433"/>
      <c r="JWC5" s="433"/>
      <c r="JWD5" s="433"/>
      <c r="JWE5" s="433"/>
      <c r="JWF5" s="433"/>
      <c r="JWG5" s="433"/>
      <c r="JWH5" s="433"/>
      <c r="JWI5" s="433"/>
      <c r="JWJ5" s="433"/>
      <c r="JWK5" s="433"/>
      <c r="JWL5" s="433"/>
      <c r="JWM5" s="433"/>
      <c r="JWN5" s="433"/>
      <c r="JWO5" s="433"/>
      <c r="JWP5" s="433"/>
      <c r="JWQ5" s="433"/>
      <c r="JWR5" s="433"/>
      <c r="JWS5" s="433"/>
      <c r="JWT5" s="433"/>
      <c r="JWU5" s="433"/>
      <c r="JWV5" s="433"/>
      <c r="JWW5" s="433"/>
      <c r="JWX5" s="433"/>
      <c r="JWY5" s="433"/>
      <c r="JWZ5" s="433"/>
      <c r="JXA5" s="433"/>
      <c r="JXB5" s="433"/>
      <c r="JXC5" s="433"/>
      <c r="JXD5" s="433"/>
      <c r="JXE5" s="433"/>
      <c r="JXF5" s="433"/>
      <c r="JXG5" s="433"/>
      <c r="JXH5" s="433"/>
      <c r="JXI5" s="433"/>
      <c r="JXJ5" s="433"/>
      <c r="JXK5" s="433"/>
      <c r="JXL5" s="433"/>
      <c r="JXM5" s="433"/>
      <c r="JXN5" s="433"/>
      <c r="JXO5" s="433"/>
      <c r="JXP5" s="433"/>
      <c r="JXQ5" s="433"/>
      <c r="JXR5" s="433"/>
      <c r="JXS5" s="433"/>
      <c r="JXT5" s="433"/>
      <c r="JXU5" s="433"/>
      <c r="JXV5" s="433"/>
      <c r="JXW5" s="433"/>
      <c r="JXX5" s="433"/>
      <c r="JXY5" s="433"/>
      <c r="JXZ5" s="433"/>
      <c r="JYA5" s="433"/>
      <c r="JYB5" s="433"/>
      <c r="JYC5" s="433"/>
      <c r="JYD5" s="433"/>
      <c r="JYE5" s="433"/>
      <c r="JYF5" s="433"/>
      <c r="JYG5" s="433"/>
      <c r="JYH5" s="433"/>
      <c r="JYI5" s="433"/>
      <c r="JYJ5" s="433"/>
      <c r="JYK5" s="433"/>
      <c r="JYL5" s="433"/>
      <c r="JYM5" s="433"/>
      <c r="JYN5" s="433"/>
      <c r="JYO5" s="433"/>
      <c r="JYP5" s="433"/>
      <c r="JYQ5" s="433"/>
      <c r="JYR5" s="433"/>
      <c r="JYS5" s="433"/>
      <c r="JYT5" s="433"/>
      <c r="JYU5" s="433"/>
      <c r="JYV5" s="433"/>
      <c r="JYW5" s="433"/>
      <c r="JYX5" s="433"/>
      <c r="JYY5" s="433"/>
      <c r="JYZ5" s="433"/>
      <c r="JZA5" s="433"/>
      <c r="JZB5" s="433"/>
      <c r="JZC5" s="433"/>
      <c r="JZD5" s="433"/>
      <c r="JZE5" s="433"/>
      <c r="JZF5" s="433"/>
      <c r="JZG5" s="433"/>
      <c r="JZH5" s="433"/>
      <c r="JZI5" s="433"/>
      <c r="JZJ5" s="433"/>
      <c r="JZK5" s="433"/>
      <c r="JZL5" s="433"/>
      <c r="JZM5" s="433"/>
      <c r="JZN5" s="433"/>
      <c r="JZO5" s="433"/>
      <c r="JZP5" s="433"/>
      <c r="JZQ5" s="433"/>
      <c r="JZR5" s="433"/>
      <c r="JZS5" s="433"/>
      <c r="JZT5" s="433"/>
      <c r="JZU5" s="433"/>
      <c r="JZV5" s="433"/>
      <c r="JZW5" s="433"/>
      <c r="JZX5" s="433"/>
      <c r="JZY5" s="433"/>
      <c r="JZZ5" s="433"/>
      <c r="KAA5" s="433"/>
      <c r="KAB5" s="433"/>
      <c r="KAC5" s="433"/>
      <c r="KAD5" s="433"/>
      <c r="KAE5" s="433"/>
      <c r="KAF5" s="433"/>
      <c r="KAG5" s="433"/>
      <c r="KAH5" s="433"/>
      <c r="KAI5" s="433"/>
      <c r="KAJ5" s="433"/>
      <c r="KAK5" s="433"/>
      <c r="KAL5" s="433"/>
      <c r="KAM5" s="433"/>
      <c r="KAN5" s="433"/>
      <c r="KAO5" s="433"/>
      <c r="KAP5" s="433"/>
      <c r="KAQ5" s="433"/>
      <c r="KAR5" s="433"/>
      <c r="KAS5" s="433"/>
      <c r="KAT5" s="433"/>
      <c r="KAU5" s="433"/>
      <c r="KAV5" s="433"/>
      <c r="KAW5" s="433"/>
      <c r="KAX5" s="433"/>
      <c r="KAY5" s="433"/>
      <c r="KAZ5" s="433"/>
      <c r="KBA5" s="433"/>
      <c r="KBB5" s="433"/>
      <c r="KBC5" s="433"/>
      <c r="KBD5" s="433"/>
      <c r="KBE5" s="433"/>
      <c r="KBF5" s="433"/>
      <c r="KBG5" s="433"/>
      <c r="KBH5" s="433"/>
      <c r="KBI5" s="433"/>
      <c r="KBJ5" s="433"/>
      <c r="KBK5" s="433"/>
      <c r="KBL5" s="433"/>
      <c r="KBM5" s="433"/>
      <c r="KBN5" s="433"/>
      <c r="KBO5" s="433"/>
      <c r="KBP5" s="433"/>
      <c r="KBQ5" s="433"/>
      <c r="KBR5" s="433"/>
      <c r="KBS5" s="433"/>
      <c r="KBT5" s="433"/>
      <c r="KBU5" s="433"/>
      <c r="KBV5" s="433"/>
      <c r="KBW5" s="433"/>
      <c r="KBX5" s="433"/>
      <c r="KBY5" s="433"/>
      <c r="KBZ5" s="433"/>
      <c r="KCA5" s="433"/>
      <c r="KCB5" s="433"/>
      <c r="KCC5" s="433"/>
      <c r="KCD5" s="433"/>
      <c r="KCE5" s="433"/>
      <c r="KCF5" s="433"/>
      <c r="KCG5" s="433"/>
      <c r="KCH5" s="433"/>
      <c r="KCI5" s="433"/>
      <c r="KCJ5" s="433"/>
      <c r="KCK5" s="433"/>
      <c r="KCL5" s="433"/>
      <c r="KCM5" s="433"/>
      <c r="KCN5" s="433"/>
      <c r="KCO5" s="433"/>
      <c r="KCP5" s="433"/>
      <c r="KCQ5" s="433"/>
      <c r="KCR5" s="433"/>
      <c r="KCS5" s="433"/>
      <c r="KCT5" s="433"/>
      <c r="KCU5" s="433"/>
      <c r="KCV5" s="433"/>
      <c r="KCW5" s="433"/>
      <c r="KCX5" s="433"/>
      <c r="KCY5" s="433"/>
      <c r="KCZ5" s="433"/>
      <c r="KDA5" s="433"/>
      <c r="KDB5" s="433"/>
      <c r="KDC5" s="433"/>
      <c r="KDD5" s="433"/>
      <c r="KDE5" s="433"/>
      <c r="KDF5" s="433"/>
      <c r="KDG5" s="433"/>
      <c r="KDH5" s="433"/>
      <c r="KDI5" s="433"/>
      <c r="KDJ5" s="433"/>
      <c r="KDK5" s="433"/>
      <c r="KDL5" s="433"/>
      <c r="KDM5" s="433"/>
      <c r="KDN5" s="433"/>
      <c r="KDO5" s="433"/>
      <c r="KDP5" s="433"/>
      <c r="KDQ5" s="433"/>
      <c r="KDR5" s="433"/>
      <c r="KDS5" s="433"/>
      <c r="KDT5" s="433"/>
      <c r="KDU5" s="433"/>
      <c r="KDV5" s="433"/>
      <c r="KDW5" s="433"/>
      <c r="KDX5" s="433"/>
      <c r="KDY5" s="433"/>
      <c r="KDZ5" s="433"/>
      <c r="KEA5" s="433"/>
      <c r="KEB5" s="433"/>
      <c r="KEC5" s="433"/>
      <c r="KED5" s="433"/>
      <c r="KEE5" s="433"/>
      <c r="KEF5" s="433"/>
      <c r="KEG5" s="433"/>
      <c r="KEH5" s="433"/>
      <c r="KEI5" s="433"/>
      <c r="KEJ5" s="433"/>
      <c r="KEK5" s="433"/>
      <c r="KEL5" s="433"/>
      <c r="KEM5" s="433"/>
      <c r="KEN5" s="433"/>
      <c r="KEO5" s="433"/>
      <c r="KEP5" s="433"/>
      <c r="KEQ5" s="433"/>
      <c r="KER5" s="433"/>
      <c r="KES5" s="433"/>
      <c r="KET5" s="433"/>
      <c r="KEU5" s="433"/>
      <c r="KEV5" s="433"/>
      <c r="KEW5" s="433"/>
      <c r="KEX5" s="433"/>
      <c r="KEY5" s="433"/>
      <c r="KEZ5" s="433"/>
      <c r="KFA5" s="433"/>
      <c r="KFB5" s="433"/>
      <c r="KFC5" s="433"/>
      <c r="KFD5" s="433"/>
      <c r="KFE5" s="433"/>
      <c r="KFF5" s="433"/>
      <c r="KFG5" s="433"/>
      <c r="KFH5" s="433"/>
      <c r="KFI5" s="433"/>
      <c r="KFJ5" s="433"/>
      <c r="KFK5" s="433"/>
      <c r="KFL5" s="433"/>
      <c r="KFM5" s="433"/>
      <c r="KFN5" s="433"/>
      <c r="KFO5" s="433"/>
      <c r="KFP5" s="433"/>
      <c r="KFQ5" s="433"/>
      <c r="KFR5" s="433"/>
      <c r="KFS5" s="433"/>
      <c r="KFT5" s="433"/>
      <c r="KFU5" s="433"/>
      <c r="KFV5" s="433"/>
      <c r="KFW5" s="433"/>
      <c r="KFX5" s="433"/>
      <c r="KFY5" s="433"/>
      <c r="KFZ5" s="433"/>
      <c r="KGA5" s="433"/>
      <c r="KGB5" s="433"/>
      <c r="KGC5" s="433"/>
      <c r="KGD5" s="433"/>
      <c r="KGE5" s="433"/>
      <c r="KGF5" s="433"/>
      <c r="KGG5" s="433"/>
      <c r="KGH5" s="433"/>
      <c r="KGI5" s="433"/>
      <c r="KGJ5" s="433"/>
      <c r="KGK5" s="433"/>
      <c r="KGL5" s="433"/>
      <c r="KGM5" s="433"/>
      <c r="KGN5" s="433"/>
      <c r="KGO5" s="433"/>
      <c r="KGP5" s="433"/>
      <c r="KGQ5" s="433"/>
      <c r="KGR5" s="433"/>
      <c r="KGS5" s="433"/>
      <c r="KGT5" s="433"/>
      <c r="KGU5" s="433"/>
      <c r="KGV5" s="433"/>
      <c r="KGW5" s="433"/>
      <c r="KGX5" s="433"/>
      <c r="KGY5" s="433"/>
      <c r="KGZ5" s="433"/>
      <c r="KHA5" s="433"/>
      <c r="KHB5" s="433"/>
      <c r="KHC5" s="433"/>
      <c r="KHD5" s="433"/>
      <c r="KHE5" s="433"/>
      <c r="KHF5" s="433"/>
      <c r="KHG5" s="433"/>
      <c r="KHH5" s="433"/>
      <c r="KHI5" s="433"/>
      <c r="KHJ5" s="433"/>
      <c r="KHK5" s="433"/>
      <c r="KHL5" s="433"/>
      <c r="KHM5" s="433"/>
      <c r="KHN5" s="433"/>
      <c r="KHO5" s="433"/>
      <c r="KHP5" s="433"/>
      <c r="KHQ5" s="433"/>
      <c r="KHR5" s="433"/>
      <c r="KHS5" s="433"/>
      <c r="KHT5" s="433"/>
      <c r="KHU5" s="433"/>
      <c r="KHV5" s="433"/>
      <c r="KHW5" s="433"/>
      <c r="KHX5" s="433"/>
      <c r="KHY5" s="433"/>
      <c r="KHZ5" s="433"/>
      <c r="KIA5" s="433"/>
      <c r="KIB5" s="433"/>
      <c r="KIC5" s="433"/>
      <c r="KID5" s="433"/>
      <c r="KIE5" s="433"/>
      <c r="KIF5" s="433"/>
      <c r="KIG5" s="433"/>
      <c r="KIH5" s="433"/>
      <c r="KII5" s="433"/>
      <c r="KIJ5" s="433"/>
      <c r="KIK5" s="433"/>
      <c r="KIL5" s="433"/>
      <c r="KIM5" s="433"/>
      <c r="KIN5" s="433"/>
      <c r="KIO5" s="433"/>
      <c r="KIP5" s="433"/>
      <c r="KIQ5" s="433"/>
      <c r="KIR5" s="433"/>
      <c r="KIS5" s="433"/>
      <c r="KIT5" s="433"/>
      <c r="KIU5" s="433"/>
      <c r="KIV5" s="433"/>
      <c r="KIW5" s="433"/>
      <c r="KIX5" s="433"/>
      <c r="KIY5" s="433"/>
      <c r="KIZ5" s="433"/>
      <c r="KJA5" s="433"/>
      <c r="KJB5" s="433"/>
      <c r="KJC5" s="433"/>
      <c r="KJD5" s="433"/>
      <c r="KJE5" s="433"/>
      <c r="KJF5" s="433"/>
      <c r="KJG5" s="433"/>
      <c r="KJH5" s="433"/>
      <c r="KJI5" s="433"/>
      <c r="KJJ5" s="433"/>
      <c r="KJK5" s="433"/>
      <c r="KJL5" s="433"/>
      <c r="KJM5" s="433"/>
      <c r="KJN5" s="433"/>
      <c r="KJO5" s="433"/>
      <c r="KJP5" s="433"/>
      <c r="KJQ5" s="433"/>
      <c r="KJR5" s="433"/>
      <c r="KJS5" s="433"/>
      <c r="KJT5" s="433"/>
      <c r="KJU5" s="433"/>
      <c r="KJV5" s="433"/>
      <c r="KJW5" s="433"/>
      <c r="KJX5" s="433"/>
      <c r="KJY5" s="433"/>
      <c r="KJZ5" s="433"/>
      <c r="KKA5" s="433"/>
      <c r="KKB5" s="433"/>
      <c r="KKC5" s="433"/>
      <c r="KKD5" s="433"/>
      <c r="KKE5" s="433"/>
      <c r="KKF5" s="433"/>
      <c r="KKG5" s="433"/>
      <c r="KKH5" s="433"/>
      <c r="KKI5" s="433"/>
      <c r="KKJ5" s="433"/>
      <c r="KKK5" s="433"/>
      <c r="KKL5" s="433"/>
      <c r="KKM5" s="433"/>
      <c r="KKN5" s="433"/>
      <c r="KKO5" s="433"/>
      <c r="KKP5" s="433"/>
      <c r="KKQ5" s="433"/>
      <c r="KKR5" s="433"/>
      <c r="KKS5" s="433"/>
      <c r="KKT5" s="433"/>
      <c r="KKU5" s="433"/>
      <c r="KKV5" s="433"/>
      <c r="KKW5" s="433"/>
      <c r="KKX5" s="433"/>
      <c r="KKY5" s="433"/>
      <c r="KKZ5" s="433"/>
      <c r="KLA5" s="433"/>
      <c r="KLB5" s="433"/>
      <c r="KLC5" s="433"/>
      <c r="KLD5" s="433"/>
      <c r="KLE5" s="433"/>
      <c r="KLF5" s="433"/>
      <c r="KLG5" s="433"/>
      <c r="KLH5" s="433"/>
      <c r="KLI5" s="433"/>
      <c r="KLJ5" s="433"/>
      <c r="KLK5" s="433"/>
      <c r="KLL5" s="433"/>
      <c r="KLM5" s="433"/>
      <c r="KLN5" s="433"/>
      <c r="KLO5" s="433"/>
      <c r="KLP5" s="433"/>
      <c r="KLQ5" s="433"/>
      <c r="KLR5" s="433"/>
      <c r="KLS5" s="433"/>
      <c r="KLT5" s="433"/>
      <c r="KLU5" s="433"/>
      <c r="KLV5" s="433"/>
      <c r="KLW5" s="433"/>
      <c r="KLX5" s="433"/>
      <c r="KLY5" s="433"/>
      <c r="KLZ5" s="433"/>
      <c r="KMA5" s="433"/>
      <c r="KMB5" s="433"/>
      <c r="KMC5" s="433"/>
      <c r="KMD5" s="433"/>
      <c r="KME5" s="433"/>
      <c r="KMF5" s="433"/>
      <c r="KMG5" s="433"/>
      <c r="KMH5" s="433"/>
      <c r="KMI5" s="433"/>
      <c r="KMJ5" s="433"/>
      <c r="KMK5" s="433"/>
      <c r="KML5" s="433"/>
      <c r="KMM5" s="433"/>
      <c r="KMN5" s="433"/>
      <c r="KMO5" s="433"/>
      <c r="KMP5" s="433"/>
      <c r="KMQ5" s="433"/>
      <c r="KMR5" s="433"/>
      <c r="KMS5" s="433"/>
      <c r="KMT5" s="433"/>
      <c r="KMU5" s="433"/>
      <c r="KMV5" s="433"/>
      <c r="KMW5" s="433"/>
      <c r="KMX5" s="433"/>
      <c r="KMY5" s="433"/>
      <c r="KMZ5" s="433"/>
      <c r="KNA5" s="433"/>
      <c r="KNB5" s="433"/>
      <c r="KNC5" s="433"/>
      <c r="KND5" s="433"/>
      <c r="KNE5" s="433"/>
      <c r="KNF5" s="433"/>
      <c r="KNG5" s="433"/>
      <c r="KNH5" s="433"/>
      <c r="KNI5" s="433"/>
      <c r="KNJ5" s="433"/>
      <c r="KNK5" s="433"/>
      <c r="KNL5" s="433"/>
      <c r="KNM5" s="433"/>
      <c r="KNN5" s="433"/>
      <c r="KNO5" s="433"/>
      <c r="KNP5" s="433"/>
      <c r="KNQ5" s="433"/>
      <c r="KNR5" s="433"/>
      <c r="KNS5" s="433"/>
      <c r="KNT5" s="433"/>
      <c r="KNU5" s="433"/>
      <c r="KNV5" s="433"/>
      <c r="KNW5" s="433"/>
      <c r="KNX5" s="433"/>
      <c r="KNY5" s="433"/>
      <c r="KNZ5" s="433"/>
      <c r="KOA5" s="433"/>
      <c r="KOB5" s="433"/>
      <c r="KOC5" s="433"/>
      <c r="KOD5" s="433"/>
      <c r="KOE5" s="433"/>
      <c r="KOF5" s="433"/>
      <c r="KOG5" s="433"/>
      <c r="KOH5" s="433"/>
      <c r="KOI5" s="433"/>
      <c r="KOJ5" s="433"/>
      <c r="KOK5" s="433"/>
      <c r="KOL5" s="433"/>
      <c r="KOM5" s="433"/>
      <c r="KON5" s="433"/>
      <c r="KOO5" s="433"/>
      <c r="KOP5" s="433"/>
      <c r="KOQ5" s="433"/>
      <c r="KOR5" s="433"/>
      <c r="KOS5" s="433"/>
      <c r="KOT5" s="433"/>
      <c r="KOU5" s="433"/>
      <c r="KOV5" s="433"/>
      <c r="KOW5" s="433"/>
      <c r="KOX5" s="433"/>
      <c r="KOY5" s="433"/>
      <c r="KOZ5" s="433"/>
      <c r="KPA5" s="433"/>
      <c r="KPB5" s="433"/>
      <c r="KPC5" s="433"/>
      <c r="KPD5" s="433"/>
      <c r="KPE5" s="433"/>
      <c r="KPF5" s="433"/>
      <c r="KPG5" s="433"/>
      <c r="KPH5" s="433"/>
      <c r="KPI5" s="433"/>
      <c r="KPJ5" s="433"/>
      <c r="KPK5" s="433"/>
      <c r="KPL5" s="433"/>
      <c r="KPM5" s="433"/>
      <c r="KPN5" s="433"/>
      <c r="KPO5" s="433"/>
      <c r="KPP5" s="433"/>
      <c r="KPQ5" s="433"/>
      <c r="KPR5" s="433"/>
      <c r="KPS5" s="433"/>
      <c r="KPT5" s="433"/>
      <c r="KPU5" s="433"/>
      <c r="KPV5" s="433"/>
      <c r="KPW5" s="433"/>
      <c r="KPX5" s="433"/>
      <c r="KPY5" s="433"/>
      <c r="KPZ5" s="433"/>
      <c r="KQA5" s="433"/>
      <c r="KQB5" s="433"/>
      <c r="KQC5" s="433"/>
      <c r="KQD5" s="433"/>
      <c r="KQE5" s="433"/>
      <c r="KQF5" s="433"/>
      <c r="KQG5" s="433"/>
      <c r="KQH5" s="433"/>
      <c r="KQI5" s="433"/>
      <c r="KQJ5" s="433"/>
      <c r="KQK5" s="433"/>
      <c r="KQL5" s="433"/>
      <c r="KQM5" s="433"/>
      <c r="KQN5" s="433"/>
      <c r="KQO5" s="433"/>
      <c r="KQP5" s="433"/>
      <c r="KQQ5" s="433"/>
      <c r="KQR5" s="433"/>
      <c r="KQS5" s="433"/>
      <c r="KQT5" s="433"/>
      <c r="KQU5" s="433"/>
      <c r="KQV5" s="433"/>
      <c r="KQW5" s="433"/>
      <c r="KQX5" s="433"/>
      <c r="KQY5" s="433"/>
      <c r="KQZ5" s="433"/>
      <c r="KRA5" s="433"/>
      <c r="KRB5" s="433"/>
      <c r="KRC5" s="433"/>
      <c r="KRD5" s="433"/>
      <c r="KRE5" s="433"/>
      <c r="KRF5" s="433"/>
      <c r="KRG5" s="433"/>
      <c r="KRH5" s="433"/>
      <c r="KRI5" s="433"/>
      <c r="KRJ5" s="433"/>
      <c r="KRK5" s="433"/>
      <c r="KRL5" s="433"/>
      <c r="KRM5" s="433"/>
      <c r="KRN5" s="433"/>
      <c r="KRO5" s="433"/>
      <c r="KRP5" s="433"/>
      <c r="KRQ5" s="433"/>
      <c r="KRR5" s="433"/>
      <c r="KRS5" s="433"/>
      <c r="KRT5" s="433"/>
      <c r="KRU5" s="433"/>
      <c r="KRV5" s="433"/>
      <c r="KRW5" s="433"/>
      <c r="KRX5" s="433"/>
      <c r="KRY5" s="433"/>
      <c r="KRZ5" s="433"/>
      <c r="KSA5" s="433"/>
      <c r="KSB5" s="433"/>
      <c r="KSC5" s="433"/>
      <c r="KSD5" s="433"/>
      <c r="KSE5" s="433"/>
      <c r="KSF5" s="433"/>
      <c r="KSG5" s="433"/>
      <c r="KSH5" s="433"/>
      <c r="KSI5" s="433"/>
      <c r="KSJ5" s="433"/>
      <c r="KSK5" s="433"/>
      <c r="KSL5" s="433"/>
      <c r="KSM5" s="433"/>
      <c r="KSN5" s="433"/>
      <c r="KSO5" s="433"/>
      <c r="KSP5" s="433"/>
      <c r="KSQ5" s="433"/>
      <c r="KSR5" s="433"/>
      <c r="KSS5" s="433"/>
      <c r="KST5" s="433"/>
      <c r="KSU5" s="433"/>
      <c r="KSV5" s="433"/>
      <c r="KSW5" s="433"/>
      <c r="KSX5" s="433"/>
      <c r="KSY5" s="433"/>
      <c r="KSZ5" s="433"/>
      <c r="KTA5" s="433"/>
      <c r="KTB5" s="433"/>
      <c r="KTC5" s="433"/>
      <c r="KTD5" s="433"/>
      <c r="KTE5" s="433"/>
      <c r="KTF5" s="433"/>
      <c r="KTG5" s="433"/>
      <c r="KTH5" s="433"/>
      <c r="KTI5" s="433"/>
      <c r="KTJ5" s="433"/>
      <c r="KTK5" s="433"/>
      <c r="KTL5" s="433"/>
      <c r="KTM5" s="433"/>
      <c r="KTN5" s="433"/>
      <c r="KTO5" s="433"/>
      <c r="KTP5" s="433"/>
      <c r="KTQ5" s="433"/>
      <c r="KTR5" s="433"/>
      <c r="KTS5" s="433"/>
      <c r="KTT5" s="433"/>
      <c r="KTU5" s="433"/>
      <c r="KTV5" s="433"/>
      <c r="KTW5" s="433"/>
      <c r="KTX5" s="433"/>
      <c r="KTY5" s="433"/>
      <c r="KTZ5" s="433"/>
      <c r="KUA5" s="433"/>
      <c r="KUB5" s="433"/>
      <c r="KUC5" s="433"/>
      <c r="KUD5" s="433"/>
      <c r="KUE5" s="433"/>
      <c r="KUF5" s="433"/>
      <c r="KUG5" s="433"/>
      <c r="KUH5" s="433"/>
      <c r="KUI5" s="433"/>
      <c r="KUJ5" s="433"/>
      <c r="KUK5" s="433"/>
      <c r="KUL5" s="433"/>
      <c r="KUM5" s="433"/>
      <c r="KUN5" s="433"/>
      <c r="KUO5" s="433"/>
      <c r="KUP5" s="433"/>
      <c r="KUQ5" s="433"/>
      <c r="KUR5" s="433"/>
      <c r="KUS5" s="433"/>
      <c r="KUT5" s="433"/>
      <c r="KUU5" s="433"/>
      <c r="KUV5" s="433"/>
      <c r="KUW5" s="433"/>
      <c r="KUX5" s="433"/>
      <c r="KUY5" s="433"/>
      <c r="KUZ5" s="433"/>
      <c r="KVA5" s="433"/>
      <c r="KVB5" s="433"/>
      <c r="KVC5" s="433"/>
      <c r="KVD5" s="433"/>
      <c r="KVE5" s="433"/>
      <c r="KVF5" s="433"/>
      <c r="KVG5" s="433"/>
      <c r="KVH5" s="433"/>
      <c r="KVI5" s="433"/>
      <c r="KVJ5" s="433"/>
      <c r="KVK5" s="433"/>
      <c r="KVL5" s="433"/>
      <c r="KVM5" s="433"/>
      <c r="KVN5" s="433"/>
      <c r="KVO5" s="433"/>
      <c r="KVP5" s="433"/>
      <c r="KVQ5" s="433"/>
      <c r="KVR5" s="433"/>
      <c r="KVS5" s="433"/>
      <c r="KVT5" s="433"/>
      <c r="KVU5" s="433"/>
      <c r="KVV5" s="433"/>
      <c r="KVW5" s="433"/>
      <c r="KVX5" s="433"/>
      <c r="KVY5" s="433"/>
      <c r="KVZ5" s="433"/>
      <c r="KWA5" s="433"/>
      <c r="KWB5" s="433"/>
      <c r="KWC5" s="433"/>
      <c r="KWD5" s="433"/>
      <c r="KWE5" s="433"/>
      <c r="KWF5" s="433"/>
      <c r="KWG5" s="433"/>
      <c r="KWH5" s="433"/>
      <c r="KWI5" s="433"/>
      <c r="KWJ5" s="433"/>
      <c r="KWK5" s="433"/>
      <c r="KWL5" s="433"/>
      <c r="KWM5" s="433"/>
      <c r="KWN5" s="433"/>
      <c r="KWO5" s="433"/>
      <c r="KWP5" s="433"/>
      <c r="KWQ5" s="433"/>
      <c r="KWR5" s="433"/>
      <c r="KWS5" s="433"/>
      <c r="KWT5" s="433"/>
      <c r="KWU5" s="433"/>
      <c r="KWV5" s="433"/>
      <c r="KWW5" s="433"/>
      <c r="KWX5" s="433"/>
      <c r="KWY5" s="433"/>
      <c r="KWZ5" s="433"/>
      <c r="KXA5" s="433"/>
      <c r="KXB5" s="433"/>
      <c r="KXC5" s="433"/>
      <c r="KXD5" s="433"/>
      <c r="KXE5" s="433"/>
      <c r="KXF5" s="433"/>
      <c r="KXG5" s="433"/>
      <c r="KXH5" s="433"/>
      <c r="KXI5" s="433"/>
      <c r="KXJ5" s="433"/>
      <c r="KXK5" s="433"/>
      <c r="KXL5" s="433"/>
      <c r="KXM5" s="433"/>
      <c r="KXN5" s="433"/>
      <c r="KXO5" s="433"/>
      <c r="KXP5" s="433"/>
      <c r="KXQ5" s="433"/>
      <c r="KXR5" s="433"/>
      <c r="KXS5" s="433"/>
      <c r="KXT5" s="433"/>
      <c r="KXU5" s="433"/>
      <c r="KXV5" s="433"/>
      <c r="KXW5" s="433"/>
      <c r="KXX5" s="433"/>
      <c r="KXY5" s="433"/>
      <c r="KXZ5" s="433"/>
      <c r="KYA5" s="433"/>
      <c r="KYB5" s="433"/>
      <c r="KYC5" s="433"/>
      <c r="KYD5" s="433"/>
      <c r="KYE5" s="433"/>
      <c r="KYF5" s="433"/>
      <c r="KYG5" s="433"/>
      <c r="KYH5" s="433"/>
      <c r="KYI5" s="433"/>
      <c r="KYJ5" s="433"/>
      <c r="KYK5" s="433"/>
      <c r="KYL5" s="433"/>
      <c r="KYM5" s="433"/>
      <c r="KYN5" s="433"/>
      <c r="KYO5" s="433"/>
      <c r="KYP5" s="433"/>
      <c r="KYQ5" s="433"/>
      <c r="KYR5" s="433"/>
      <c r="KYS5" s="433"/>
      <c r="KYT5" s="433"/>
      <c r="KYU5" s="433"/>
      <c r="KYV5" s="433"/>
      <c r="KYW5" s="433"/>
      <c r="KYX5" s="433"/>
      <c r="KYY5" s="433"/>
      <c r="KYZ5" s="433"/>
      <c r="KZA5" s="433"/>
      <c r="KZB5" s="433"/>
      <c r="KZC5" s="433"/>
      <c r="KZD5" s="433"/>
      <c r="KZE5" s="433"/>
      <c r="KZF5" s="433"/>
      <c r="KZG5" s="433"/>
      <c r="KZH5" s="433"/>
      <c r="KZI5" s="433"/>
      <c r="KZJ5" s="433"/>
      <c r="KZK5" s="433"/>
      <c r="KZL5" s="433"/>
      <c r="KZM5" s="433"/>
      <c r="KZN5" s="433"/>
      <c r="KZO5" s="433"/>
      <c r="KZP5" s="433"/>
      <c r="KZQ5" s="433"/>
      <c r="KZR5" s="433"/>
      <c r="KZS5" s="433"/>
      <c r="KZT5" s="433"/>
      <c r="KZU5" s="433"/>
      <c r="KZV5" s="433"/>
      <c r="KZW5" s="433"/>
      <c r="KZX5" s="433"/>
      <c r="KZY5" s="433"/>
      <c r="KZZ5" s="433"/>
      <c r="LAA5" s="433"/>
      <c r="LAB5" s="433"/>
      <c r="LAC5" s="433"/>
      <c r="LAD5" s="433"/>
      <c r="LAE5" s="433"/>
      <c r="LAF5" s="433"/>
      <c r="LAG5" s="433"/>
      <c r="LAH5" s="433"/>
      <c r="LAI5" s="433"/>
      <c r="LAJ5" s="433"/>
      <c r="LAK5" s="433"/>
      <c r="LAL5" s="433"/>
      <c r="LAM5" s="433"/>
      <c r="LAN5" s="433"/>
      <c r="LAO5" s="433"/>
      <c r="LAP5" s="433"/>
      <c r="LAQ5" s="433"/>
      <c r="LAR5" s="433"/>
      <c r="LAS5" s="433"/>
      <c r="LAT5" s="433"/>
      <c r="LAU5" s="433"/>
      <c r="LAV5" s="433"/>
      <c r="LAW5" s="433"/>
      <c r="LAX5" s="433"/>
      <c r="LAY5" s="433"/>
      <c r="LAZ5" s="433"/>
      <c r="LBA5" s="433"/>
      <c r="LBB5" s="433"/>
      <c r="LBC5" s="433"/>
      <c r="LBD5" s="433"/>
      <c r="LBE5" s="433"/>
      <c r="LBF5" s="433"/>
      <c r="LBG5" s="433"/>
      <c r="LBH5" s="433"/>
      <c r="LBI5" s="433"/>
      <c r="LBJ5" s="433"/>
      <c r="LBK5" s="433"/>
      <c r="LBL5" s="433"/>
      <c r="LBM5" s="433"/>
      <c r="LBN5" s="433"/>
      <c r="LBO5" s="433"/>
      <c r="LBP5" s="433"/>
      <c r="LBQ5" s="433"/>
      <c r="LBR5" s="433"/>
      <c r="LBS5" s="433"/>
      <c r="LBT5" s="433"/>
      <c r="LBU5" s="433"/>
      <c r="LBV5" s="433"/>
      <c r="LBW5" s="433"/>
      <c r="LBX5" s="433"/>
      <c r="LBY5" s="433"/>
      <c r="LBZ5" s="433"/>
      <c r="LCA5" s="433"/>
      <c r="LCB5" s="433"/>
      <c r="LCC5" s="433"/>
      <c r="LCD5" s="433"/>
      <c r="LCE5" s="433"/>
      <c r="LCF5" s="433"/>
      <c r="LCG5" s="433"/>
      <c r="LCH5" s="433"/>
      <c r="LCI5" s="433"/>
      <c r="LCJ5" s="433"/>
      <c r="LCK5" s="433"/>
      <c r="LCL5" s="433"/>
      <c r="LCM5" s="433"/>
      <c r="LCN5" s="433"/>
      <c r="LCO5" s="433"/>
      <c r="LCP5" s="433"/>
      <c r="LCQ5" s="433"/>
      <c r="LCR5" s="433"/>
      <c r="LCS5" s="433"/>
      <c r="LCT5" s="433"/>
      <c r="LCU5" s="433"/>
      <c r="LCV5" s="433"/>
      <c r="LCW5" s="433"/>
      <c r="LCX5" s="433"/>
      <c r="LCY5" s="433"/>
      <c r="LCZ5" s="433"/>
      <c r="LDA5" s="433"/>
      <c r="LDB5" s="433"/>
      <c r="LDC5" s="433"/>
      <c r="LDD5" s="433"/>
      <c r="LDE5" s="433"/>
      <c r="LDF5" s="433"/>
      <c r="LDG5" s="433"/>
      <c r="LDH5" s="433"/>
      <c r="LDI5" s="433"/>
      <c r="LDJ5" s="433"/>
      <c r="LDK5" s="433"/>
      <c r="LDL5" s="433"/>
      <c r="LDM5" s="433"/>
      <c r="LDN5" s="433"/>
      <c r="LDO5" s="433"/>
      <c r="LDP5" s="433"/>
      <c r="LDQ5" s="433"/>
      <c r="LDR5" s="433"/>
      <c r="LDS5" s="433"/>
      <c r="LDT5" s="433"/>
      <c r="LDU5" s="433"/>
      <c r="LDV5" s="433"/>
      <c r="LDW5" s="433"/>
      <c r="LDX5" s="433"/>
      <c r="LDY5" s="433"/>
      <c r="LDZ5" s="433"/>
      <c r="LEA5" s="433"/>
      <c r="LEB5" s="433"/>
      <c r="LEC5" s="433"/>
      <c r="LED5" s="433"/>
      <c r="LEE5" s="433"/>
      <c r="LEF5" s="433"/>
      <c r="LEG5" s="433"/>
      <c r="LEH5" s="433"/>
      <c r="LEI5" s="433"/>
      <c r="LEJ5" s="433"/>
      <c r="LEK5" s="433"/>
      <c r="LEL5" s="433"/>
      <c r="LEM5" s="433"/>
      <c r="LEN5" s="433"/>
      <c r="LEO5" s="433"/>
      <c r="LEP5" s="433"/>
      <c r="LEQ5" s="433"/>
      <c r="LER5" s="433"/>
      <c r="LES5" s="433"/>
      <c r="LET5" s="433"/>
      <c r="LEU5" s="433"/>
      <c r="LEV5" s="433"/>
      <c r="LEW5" s="433"/>
      <c r="LEX5" s="433"/>
      <c r="LEY5" s="433"/>
      <c r="LEZ5" s="433"/>
      <c r="LFA5" s="433"/>
      <c r="LFB5" s="433"/>
      <c r="LFC5" s="433"/>
      <c r="LFD5" s="433"/>
      <c r="LFE5" s="433"/>
      <c r="LFF5" s="433"/>
      <c r="LFG5" s="433"/>
      <c r="LFH5" s="433"/>
      <c r="LFI5" s="433"/>
      <c r="LFJ5" s="433"/>
      <c r="LFK5" s="433"/>
      <c r="LFL5" s="433"/>
      <c r="LFM5" s="433"/>
      <c r="LFN5" s="433"/>
      <c r="LFO5" s="433"/>
      <c r="LFP5" s="433"/>
      <c r="LFQ5" s="433"/>
      <c r="LFR5" s="433"/>
      <c r="LFS5" s="433"/>
      <c r="LFT5" s="433"/>
      <c r="LFU5" s="433"/>
      <c r="LFV5" s="433"/>
      <c r="LFW5" s="433"/>
      <c r="LFX5" s="433"/>
      <c r="LFY5" s="433"/>
      <c r="LFZ5" s="433"/>
      <c r="LGA5" s="433"/>
      <c r="LGB5" s="433"/>
      <c r="LGC5" s="433"/>
      <c r="LGD5" s="433"/>
      <c r="LGE5" s="433"/>
      <c r="LGF5" s="433"/>
      <c r="LGG5" s="433"/>
      <c r="LGH5" s="433"/>
      <c r="LGI5" s="433"/>
      <c r="LGJ5" s="433"/>
      <c r="LGK5" s="433"/>
      <c r="LGL5" s="433"/>
      <c r="LGM5" s="433"/>
      <c r="LGN5" s="433"/>
      <c r="LGO5" s="433"/>
      <c r="LGP5" s="433"/>
      <c r="LGQ5" s="433"/>
      <c r="LGR5" s="433"/>
      <c r="LGS5" s="433"/>
      <c r="LGT5" s="433"/>
      <c r="LGU5" s="433"/>
      <c r="LGV5" s="433"/>
      <c r="LGW5" s="433"/>
      <c r="LGX5" s="433"/>
      <c r="LGY5" s="433"/>
      <c r="LGZ5" s="433"/>
      <c r="LHA5" s="433"/>
      <c r="LHB5" s="433"/>
      <c r="LHC5" s="433"/>
      <c r="LHD5" s="433"/>
      <c r="LHE5" s="433"/>
      <c r="LHF5" s="433"/>
      <c r="LHG5" s="433"/>
      <c r="LHH5" s="433"/>
      <c r="LHI5" s="433"/>
      <c r="LHJ5" s="433"/>
      <c r="LHK5" s="433"/>
      <c r="LHL5" s="433"/>
      <c r="LHM5" s="433"/>
      <c r="LHN5" s="433"/>
      <c r="LHO5" s="433"/>
      <c r="LHP5" s="433"/>
      <c r="LHQ5" s="433"/>
      <c r="LHR5" s="433"/>
      <c r="LHS5" s="433"/>
      <c r="LHT5" s="433"/>
      <c r="LHU5" s="433"/>
      <c r="LHV5" s="433"/>
      <c r="LHW5" s="433"/>
      <c r="LHX5" s="433"/>
      <c r="LHY5" s="433"/>
      <c r="LHZ5" s="433"/>
      <c r="LIA5" s="433"/>
      <c r="LIB5" s="433"/>
      <c r="LIC5" s="433"/>
      <c r="LID5" s="433"/>
      <c r="LIE5" s="433"/>
      <c r="LIF5" s="433"/>
      <c r="LIG5" s="433"/>
      <c r="LIH5" s="433"/>
      <c r="LII5" s="433"/>
      <c r="LIJ5" s="433"/>
      <c r="LIK5" s="433"/>
      <c r="LIL5" s="433"/>
      <c r="LIM5" s="433"/>
      <c r="LIN5" s="433"/>
      <c r="LIO5" s="433"/>
      <c r="LIP5" s="433"/>
      <c r="LIQ5" s="433"/>
      <c r="LIR5" s="433"/>
      <c r="LIS5" s="433"/>
      <c r="LIT5" s="433"/>
      <c r="LIU5" s="433"/>
      <c r="LIV5" s="433"/>
      <c r="LIW5" s="433"/>
      <c r="LIX5" s="433"/>
      <c r="LIY5" s="433"/>
      <c r="LIZ5" s="433"/>
      <c r="LJA5" s="433"/>
      <c r="LJB5" s="433"/>
      <c r="LJC5" s="433"/>
      <c r="LJD5" s="433"/>
      <c r="LJE5" s="433"/>
      <c r="LJF5" s="433"/>
      <c r="LJG5" s="433"/>
      <c r="LJH5" s="433"/>
      <c r="LJI5" s="433"/>
      <c r="LJJ5" s="433"/>
      <c r="LJK5" s="433"/>
      <c r="LJL5" s="433"/>
      <c r="LJM5" s="433"/>
      <c r="LJN5" s="433"/>
      <c r="LJO5" s="433"/>
      <c r="LJP5" s="433"/>
      <c r="LJQ5" s="433"/>
      <c r="LJR5" s="433"/>
      <c r="LJS5" s="433"/>
      <c r="LJT5" s="433"/>
      <c r="LJU5" s="433"/>
      <c r="LJV5" s="433"/>
      <c r="LJW5" s="433"/>
      <c r="LJX5" s="433"/>
      <c r="LJY5" s="433"/>
      <c r="LJZ5" s="433"/>
      <c r="LKA5" s="433"/>
      <c r="LKB5" s="433"/>
      <c r="LKC5" s="433"/>
      <c r="LKD5" s="433"/>
      <c r="LKE5" s="433"/>
      <c r="LKF5" s="433"/>
      <c r="LKG5" s="433"/>
      <c r="LKH5" s="433"/>
      <c r="LKI5" s="433"/>
      <c r="LKJ5" s="433"/>
      <c r="LKK5" s="433"/>
      <c r="LKL5" s="433"/>
      <c r="LKM5" s="433"/>
      <c r="LKN5" s="433"/>
      <c r="LKO5" s="433"/>
      <c r="LKP5" s="433"/>
      <c r="LKQ5" s="433"/>
      <c r="LKR5" s="433"/>
      <c r="LKS5" s="433"/>
      <c r="LKT5" s="433"/>
      <c r="LKU5" s="433"/>
      <c r="LKV5" s="433"/>
      <c r="LKW5" s="433"/>
      <c r="LKX5" s="433"/>
      <c r="LKY5" s="433"/>
      <c r="LKZ5" s="433"/>
      <c r="LLA5" s="433"/>
      <c r="LLB5" s="433"/>
      <c r="LLC5" s="433"/>
      <c r="LLD5" s="433"/>
      <c r="LLE5" s="433"/>
      <c r="LLF5" s="433"/>
      <c r="LLG5" s="433"/>
      <c r="LLH5" s="433"/>
      <c r="LLI5" s="433"/>
      <c r="LLJ5" s="433"/>
      <c r="LLK5" s="433"/>
      <c r="LLL5" s="433"/>
      <c r="LLM5" s="433"/>
      <c r="LLN5" s="433"/>
      <c r="LLO5" s="433"/>
      <c r="LLP5" s="433"/>
      <c r="LLQ5" s="433"/>
      <c r="LLR5" s="433"/>
      <c r="LLS5" s="433"/>
      <c r="LLT5" s="433"/>
      <c r="LLU5" s="433"/>
      <c r="LLV5" s="433"/>
      <c r="LLW5" s="433"/>
      <c r="LLX5" s="433"/>
      <c r="LLY5" s="433"/>
      <c r="LLZ5" s="433"/>
      <c r="LMA5" s="433"/>
      <c r="LMB5" s="433"/>
      <c r="LMC5" s="433"/>
      <c r="LMD5" s="433"/>
      <c r="LME5" s="433"/>
      <c r="LMF5" s="433"/>
      <c r="LMG5" s="433"/>
      <c r="LMH5" s="433"/>
      <c r="LMI5" s="433"/>
      <c r="LMJ5" s="433"/>
      <c r="LMK5" s="433"/>
      <c r="LML5" s="433"/>
      <c r="LMM5" s="433"/>
      <c r="LMN5" s="433"/>
      <c r="LMO5" s="433"/>
      <c r="LMP5" s="433"/>
      <c r="LMQ5" s="433"/>
      <c r="LMR5" s="433"/>
      <c r="LMS5" s="433"/>
      <c r="LMT5" s="433"/>
      <c r="LMU5" s="433"/>
      <c r="LMV5" s="433"/>
      <c r="LMW5" s="433"/>
      <c r="LMX5" s="433"/>
      <c r="LMY5" s="433"/>
      <c r="LMZ5" s="433"/>
      <c r="LNA5" s="433"/>
      <c r="LNB5" s="433"/>
      <c r="LNC5" s="433"/>
      <c r="LND5" s="433"/>
      <c r="LNE5" s="433"/>
      <c r="LNF5" s="433"/>
      <c r="LNG5" s="433"/>
      <c r="LNH5" s="433"/>
      <c r="LNI5" s="433"/>
      <c r="LNJ5" s="433"/>
      <c r="LNK5" s="433"/>
      <c r="LNL5" s="433"/>
      <c r="LNM5" s="433"/>
      <c r="LNN5" s="433"/>
      <c r="LNO5" s="433"/>
      <c r="LNP5" s="433"/>
      <c r="LNQ5" s="433"/>
      <c r="LNR5" s="433"/>
      <c r="LNS5" s="433"/>
      <c r="LNT5" s="433"/>
      <c r="LNU5" s="433"/>
      <c r="LNV5" s="433"/>
      <c r="LNW5" s="433"/>
      <c r="LNX5" s="433"/>
      <c r="LNY5" s="433"/>
      <c r="LNZ5" s="433"/>
      <c r="LOA5" s="433"/>
      <c r="LOB5" s="433"/>
      <c r="LOC5" s="433"/>
      <c r="LOD5" s="433"/>
      <c r="LOE5" s="433"/>
      <c r="LOF5" s="433"/>
      <c r="LOG5" s="433"/>
      <c r="LOH5" s="433"/>
      <c r="LOI5" s="433"/>
      <c r="LOJ5" s="433"/>
      <c r="LOK5" s="433"/>
      <c r="LOL5" s="433"/>
      <c r="LOM5" s="433"/>
      <c r="LON5" s="433"/>
      <c r="LOO5" s="433"/>
      <c r="LOP5" s="433"/>
      <c r="LOQ5" s="433"/>
      <c r="LOR5" s="433"/>
      <c r="LOS5" s="433"/>
      <c r="LOT5" s="433"/>
      <c r="LOU5" s="433"/>
      <c r="LOV5" s="433"/>
      <c r="LOW5" s="433"/>
      <c r="LOX5" s="433"/>
      <c r="LOY5" s="433"/>
      <c r="LOZ5" s="433"/>
      <c r="LPA5" s="433"/>
      <c r="LPB5" s="433"/>
      <c r="LPC5" s="433"/>
      <c r="LPD5" s="433"/>
      <c r="LPE5" s="433"/>
      <c r="LPF5" s="433"/>
      <c r="LPG5" s="433"/>
      <c r="LPH5" s="433"/>
      <c r="LPI5" s="433"/>
      <c r="LPJ5" s="433"/>
      <c r="LPK5" s="433"/>
      <c r="LPL5" s="433"/>
      <c r="LPM5" s="433"/>
      <c r="LPN5" s="433"/>
      <c r="LPO5" s="433"/>
      <c r="LPP5" s="433"/>
      <c r="LPQ5" s="433"/>
      <c r="LPR5" s="433"/>
      <c r="LPS5" s="433"/>
      <c r="LPT5" s="433"/>
      <c r="LPU5" s="433"/>
      <c r="LPV5" s="433"/>
      <c r="LPW5" s="433"/>
      <c r="LPX5" s="433"/>
      <c r="LPY5" s="433"/>
      <c r="LPZ5" s="433"/>
      <c r="LQA5" s="433"/>
      <c r="LQB5" s="433"/>
      <c r="LQC5" s="433"/>
      <c r="LQD5" s="433"/>
      <c r="LQE5" s="433"/>
      <c r="LQF5" s="433"/>
      <c r="LQG5" s="433"/>
      <c r="LQH5" s="433"/>
      <c r="LQI5" s="433"/>
      <c r="LQJ5" s="433"/>
      <c r="LQK5" s="433"/>
      <c r="LQL5" s="433"/>
      <c r="LQM5" s="433"/>
      <c r="LQN5" s="433"/>
      <c r="LQO5" s="433"/>
      <c r="LQP5" s="433"/>
      <c r="LQQ5" s="433"/>
      <c r="LQR5" s="433"/>
      <c r="LQS5" s="433"/>
      <c r="LQT5" s="433"/>
      <c r="LQU5" s="433"/>
      <c r="LQV5" s="433"/>
      <c r="LQW5" s="433"/>
      <c r="LQX5" s="433"/>
      <c r="LQY5" s="433"/>
      <c r="LQZ5" s="433"/>
      <c r="LRA5" s="433"/>
      <c r="LRB5" s="433"/>
      <c r="LRC5" s="433"/>
      <c r="LRD5" s="433"/>
      <c r="LRE5" s="433"/>
      <c r="LRF5" s="433"/>
      <c r="LRG5" s="433"/>
      <c r="LRH5" s="433"/>
      <c r="LRI5" s="433"/>
      <c r="LRJ5" s="433"/>
      <c r="LRK5" s="433"/>
      <c r="LRL5" s="433"/>
      <c r="LRM5" s="433"/>
      <c r="LRN5" s="433"/>
      <c r="LRO5" s="433"/>
      <c r="LRP5" s="433"/>
      <c r="LRQ5" s="433"/>
      <c r="LRR5" s="433"/>
      <c r="LRS5" s="433"/>
      <c r="LRT5" s="433"/>
      <c r="LRU5" s="433"/>
      <c r="LRV5" s="433"/>
      <c r="LRW5" s="433"/>
      <c r="LRX5" s="433"/>
      <c r="LRY5" s="433"/>
      <c r="LRZ5" s="433"/>
      <c r="LSA5" s="433"/>
      <c r="LSB5" s="433"/>
      <c r="LSC5" s="433"/>
      <c r="LSD5" s="433"/>
      <c r="LSE5" s="433"/>
      <c r="LSF5" s="433"/>
      <c r="LSG5" s="433"/>
      <c r="LSH5" s="433"/>
      <c r="LSI5" s="433"/>
      <c r="LSJ5" s="433"/>
      <c r="LSK5" s="433"/>
      <c r="LSL5" s="433"/>
      <c r="LSM5" s="433"/>
      <c r="LSN5" s="433"/>
      <c r="LSO5" s="433"/>
      <c r="LSP5" s="433"/>
      <c r="LSQ5" s="433"/>
      <c r="LSR5" s="433"/>
      <c r="LSS5" s="433"/>
      <c r="LST5" s="433"/>
      <c r="LSU5" s="433"/>
      <c r="LSV5" s="433"/>
      <c r="LSW5" s="433"/>
      <c r="LSX5" s="433"/>
      <c r="LSY5" s="433"/>
      <c r="LSZ5" s="433"/>
      <c r="LTA5" s="433"/>
      <c r="LTB5" s="433"/>
      <c r="LTC5" s="433"/>
      <c r="LTD5" s="433"/>
      <c r="LTE5" s="433"/>
      <c r="LTF5" s="433"/>
      <c r="LTG5" s="433"/>
      <c r="LTH5" s="433"/>
      <c r="LTI5" s="433"/>
      <c r="LTJ5" s="433"/>
      <c r="LTK5" s="433"/>
      <c r="LTL5" s="433"/>
      <c r="LTM5" s="433"/>
      <c r="LTN5" s="433"/>
      <c r="LTO5" s="433"/>
      <c r="LTP5" s="433"/>
      <c r="LTQ5" s="433"/>
      <c r="LTR5" s="433"/>
      <c r="LTS5" s="433"/>
      <c r="LTT5" s="433"/>
      <c r="LTU5" s="433"/>
      <c r="LTV5" s="433"/>
      <c r="LTW5" s="433"/>
      <c r="LTX5" s="433"/>
      <c r="LTY5" s="433"/>
      <c r="LTZ5" s="433"/>
      <c r="LUA5" s="433"/>
      <c r="LUB5" s="433"/>
      <c r="LUC5" s="433"/>
      <c r="LUD5" s="433"/>
      <c r="LUE5" s="433"/>
      <c r="LUF5" s="433"/>
      <c r="LUG5" s="433"/>
      <c r="LUH5" s="433"/>
      <c r="LUI5" s="433"/>
      <c r="LUJ5" s="433"/>
      <c r="LUK5" s="433"/>
      <c r="LUL5" s="433"/>
      <c r="LUM5" s="433"/>
      <c r="LUN5" s="433"/>
      <c r="LUO5" s="433"/>
      <c r="LUP5" s="433"/>
      <c r="LUQ5" s="433"/>
      <c r="LUR5" s="433"/>
      <c r="LUS5" s="433"/>
      <c r="LUT5" s="433"/>
      <c r="LUU5" s="433"/>
      <c r="LUV5" s="433"/>
      <c r="LUW5" s="433"/>
      <c r="LUX5" s="433"/>
      <c r="LUY5" s="433"/>
      <c r="LUZ5" s="433"/>
      <c r="LVA5" s="433"/>
      <c r="LVB5" s="433"/>
      <c r="LVC5" s="433"/>
      <c r="LVD5" s="433"/>
      <c r="LVE5" s="433"/>
      <c r="LVF5" s="433"/>
      <c r="LVG5" s="433"/>
      <c r="LVH5" s="433"/>
      <c r="LVI5" s="433"/>
      <c r="LVJ5" s="433"/>
      <c r="LVK5" s="433"/>
      <c r="LVL5" s="433"/>
      <c r="LVM5" s="433"/>
      <c r="LVN5" s="433"/>
      <c r="LVO5" s="433"/>
      <c r="LVP5" s="433"/>
      <c r="LVQ5" s="433"/>
      <c r="LVR5" s="433"/>
      <c r="LVS5" s="433"/>
      <c r="LVT5" s="433"/>
      <c r="LVU5" s="433"/>
      <c r="LVV5" s="433"/>
      <c r="LVW5" s="433"/>
      <c r="LVX5" s="433"/>
      <c r="LVY5" s="433"/>
      <c r="LVZ5" s="433"/>
      <c r="LWA5" s="433"/>
      <c r="LWB5" s="433"/>
      <c r="LWC5" s="433"/>
      <c r="LWD5" s="433"/>
      <c r="LWE5" s="433"/>
      <c r="LWF5" s="433"/>
      <c r="LWG5" s="433"/>
      <c r="LWH5" s="433"/>
      <c r="LWI5" s="433"/>
      <c r="LWJ5" s="433"/>
      <c r="LWK5" s="433"/>
      <c r="LWL5" s="433"/>
      <c r="LWM5" s="433"/>
      <c r="LWN5" s="433"/>
      <c r="LWO5" s="433"/>
      <c r="LWP5" s="433"/>
      <c r="LWQ5" s="433"/>
      <c r="LWR5" s="433"/>
      <c r="LWS5" s="433"/>
      <c r="LWT5" s="433"/>
      <c r="LWU5" s="433"/>
      <c r="LWV5" s="433"/>
      <c r="LWW5" s="433"/>
      <c r="LWX5" s="433"/>
      <c r="LWY5" s="433"/>
      <c r="LWZ5" s="433"/>
      <c r="LXA5" s="433"/>
      <c r="LXB5" s="433"/>
      <c r="LXC5" s="433"/>
      <c r="LXD5" s="433"/>
      <c r="LXE5" s="433"/>
      <c r="LXF5" s="433"/>
      <c r="LXG5" s="433"/>
      <c r="LXH5" s="433"/>
      <c r="LXI5" s="433"/>
      <c r="LXJ5" s="433"/>
      <c r="LXK5" s="433"/>
      <c r="LXL5" s="433"/>
      <c r="LXM5" s="433"/>
      <c r="LXN5" s="433"/>
      <c r="LXO5" s="433"/>
      <c r="LXP5" s="433"/>
      <c r="LXQ5" s="433"/>
      <c r="LXR5" s="433"/>
      <c r="LXS5" s="433"/>
      <c r="LXT5" s="433"/>
      <c r="LXU5" s="433"/>
      <c r="LXV5" s="433"/>
      <c r="LXW5" s="433"/>
      <c r="LXX5" s="433"/>
      <c r="LXY5" s="433"/>
      <c r="LXZ5" s="433"/>
      <c r="LYA5" s="433"/>
      <c r="LYB5" s="433"/>
      <c r="LYC5" s="433"/>
      <c r="LYD5" s="433"/>
      <c r="LYE5" s="433"/>
      <c r="LYF5" s="433"/>
      <c r="LYG5" s="433"/>
      <c r="LYH5" s="433"/>
      <c r="LYI5" s="433"/>
      <c r="LYJ5" s="433"/>
      <c r="LYK5" s="433"/>
      <c r="LYL5" s="433"/>
      <c r="LYM5" s="433"/>
      <c r="LYN5" s="433"/>
      <c r="LYO5" s="433"/>
      <c r="LYP5" s="433"/>
      <c r="LYQ5" s="433"/>
      <c r="LYR5" s="433"/>
      <c r="LYS5" s="433"/>
      <c r="LYT5" s="433"/>
      <c r="LYU5" s="433"/>
      <c r="LYV5" s="433"/>
      <c r="LYW5" s="433"/>
      <c r="LYX5" s="433"/>
      <c r="LYY5" s="433"/>
      <c r="LYZ5" s="433"/>
      <c r="LZA5" s="433"/>
      <c r="LZB5" s="433"/>
      <c r="LZC5" s="433"/>
      <c r="LZD5" s="433"/>
      <c r="LZE5" s="433"/>
      <c r="LZF5" s="433"/>
      <c r="LZG5" s="433"/>
      <c r="LZH5" s="433"/>
      <c r="LZI5" s="433"/>
      <c r="LZJ5" s="433"/>
      <c r="LZK5" s="433"/>
      <c r="LZL5" s="433"/>
      <c r="LZM5" s="433"/>
      <c r="LZN5" s="433"/>
      <c r="LZO5" s="433"/>
      <c r="LZP5" s="433"/>
      <c r="LZQ5" s="433"/>
      <c r="LZR5" s="433"/>
      <c r="LZS5" s="433"/>
      <c r="LZT5" s="433"/>
      <c r="LZU5" s="433"/>
      <c r="LZV5" s="433"/>
      <c r="LZW5" s="433"/>
      <c r="LZX5" s="433"/>
      <c r="LZY5" s="433"/>
      <c r="LZZ5" s="433"/>
      <c r="MAA5" s="433"/>
      <c r="MAB5" s="433"/>
      <c r="MAC5" s="433"/>
      <c r="MAD5" s="433"/>
      <c r="MAE5" s="433"/>
      <c r="MAF5" s="433"/>
      <c r="MAG5" s="433"/>
      <c r="MAH5" s="433"/>
      <c r="MAI5" s="433"/>
      <c r="MAJ5" s="433"/>
      <c r="MAK5" s="433"/>
      <c r="MAL5" s="433"/>
      <c r="MAM5" s="433"/>
      <c r="MAN5" s="433"/>
      <c r="MAO5" s="433"/>
      <c r="MAP5" s="433"/>
      <c r="MAQ5" s="433"/>
      <c r="MAR5" s="433"/>
      <c r="MAS5" s="433"/>
      <c r="MAT5" s="433"/>
      <c r="MAU5" s="433"/>
      <c r="MAV5" s="433"/>
      <c r="MAW5" s="433"/>
      <c r="MAX5" s="433"/>
      <c r="MAY5" s="433"/>
      <c r="MAZ5" s="433"/>
      <c r="MBA5" s="433"/>
      <c r="MBB5" s="433"/>
      <c r="MBC5" s="433"/>
      <c r="MBD5" s="433"/>
      <c r="MBE5" s="433"/>
      <c r="MBF5" s="433"/>
      <c r="MBG5" s="433"/>
      <c r="MBH5" s="433"/>
      <c r="MBI5" s="433"/>
      <c r="MBJ5" s="433"/>
      <c r="MBK5" s="433"/>
      <c r="MBL5" s="433"/>
      <c r="MBM5" s="433"/>
      <c r="MBN5" s="433"/>
      <c r="MBO5" s="433"/>
      <c r="MBP5" s="433"/>
      <c r="MBQ5" s="433"/>
      <c r="MBR5" s="433"/>
      <c r="MBS5" s="433"/>
      <c r="MBT5" s="433"/>
      <c r="MBU5" s="433"/>
      <c r="MBV5" s="433"/>
      <c r="MBW5" s="433"/>
      <c r="MBX5" s="433"/>
      <c r="MBY5" s="433"/>
      <c r="MBZ5" s="433"/>
      <c r="MCA5" s="433"/>
      <c r="MCB5" s="433"/>
      <c r="MCC5" s="433"/>
      <c r="MCD5" s="433"/>
      <c r="MCE5" s="433"/>
      <c r="MCF5" s="433"/>
      <c r="MCG5" s="433"/>
      <c r="MCH5" s="433"/>
      <c r="MCI5" s="433"/>
      <c r="MCJ5" s="433"/>
      <c r="MCK5" s="433"/>
      <c r="MCL5" s="433"/>
      <c r="MCM5" s="433"/>
      <c r="MCN5" s="433"/>
      <c r="MCO5" s="433"/>
      <c r="MCP5" s="433"/>
      <c r="MCQ5" s="433"/>
      <c r="MCR5" s="433"/>
      <c r="MCS5" s="433"/>
      <c r="MCT5" s="433"/>
      <c r="MCU5" s="433"/>
      <c r="MCV5" s="433"/>
      <c r="MCW5" s="433"/>
      <c r="MCX5" s="433"/>
      <c r="MCY5" s="433"/>
      <c r="MCZ5" s="433"/>
      <c r="MDA5" s="433"/>
      <c r="MDB5" s="433"/>
      <c r="MDC5" s="433"/>
      <c r="MDD5" s="433"/>
      <c r="MDE5" s="433"/>
      <c r="MDF5" s="433"/>
      <c r="MDG5" s="433"/>
      <c r="MDH5" s="433"/>
      <c r="MDI5" s="433"/>
      <c r="MDJ5" s="433"/>
      <c r="MDK5" s="433"/>
      <c r="MDL5" s="433"/>
      <c r="MDM5" s="433"/>
      <c r="MDN5" s="433"/>
      <c r="MDO5" s="433"/>
      <c r="MDP5" s="433"/>
      <c r="MDQ5" s="433"/>
      <c r="MDR5" s="433"/>
      <c r="MDS5" s="433"/>
      <c r="MDT5" s="433"/>
      <c r="MDU5" s="433"/>
      <c r="MDV5" s="433"/>
      <c r="MDW5" s="433"/>
      <c r="MDX5" s="433"/>
      <c r="MDY5" s="433"/>
      <c r="MDZ5" s="433"/>
      <c r="MEA5" s="433"/>
      <c r="MEB5" s="433"/>
      <c r="MEC5" s="433"/>
      <c r="MED5" s="433"/>
      <c r="MEE5" s="433"/>
      <c r="MEF5" s="433"/>
      <c r="MEG5" s="433"/>
      <c r="MEH5" s="433"/>
      <c r="MEI5" s="433"/>
      <c r="MEJ5" s="433"/>
      <c r="MEK5" s="433"/>
      <c r="MEL5" s="433"/>
      <c r="MEM5" s="433"/>
      <c r="MEN5" s="433"/>
      <c r="MEO5" s="433"/>
      <c r="MEP5" s="433"/>
      <c r="MEQ5" s="433"/>
      <c r="MER5" s="433"/>
      <c r="MES5" s="433"/>
      <c r="MET5" s="433"/>
      <c r="MEU5" s="433"/>
      <c r="MEV5" s="433"/>
      <c r="MEW5" s="433"/>
      <c r="MEX5" s="433"/>
      <c r="MEY5" s="433"/>
      <c r="MEZ5" s="433"/>
      <c r="MFA5" s="433"/>
      <c r="MFB5" s="433"/>
      <c r="MFC5" s="433"/>
      <c r="MFD5" s="433"/>
      <c r="MFE5" s="433"/>
      <c r="MFF5" s="433"/>
      <c r="MFG5" s="433"/>
      <c r="MFH5" s="433"/>
      <c r="MFI5" s="433"/>
      <c r="MFJ5" s="433"/>
      <c r="MFK5" s="433"/>
      <c r="MFL5" s="433"/>
      <c r="MFM5" s="433"/>
      <c r="MFN5" s="433"/>
      <c r="MFO5" s="433"/>
      <c r="MFP5" s="433"/>
      <c r="MFQ5" s="433"/>
      <c r="MFR5" s="433"/>
      <c r="MFS5" s="433"/>
      <c r="MFT5" s="433"/>
      <c r="MFU5" s="433"/>
      <c r="MFV5" s="433"/>
      <c r="MFW5" s="433"/>
      <c r="MFX5" s="433"/>
      <c r="MFY5" s="433"/>
      <c r="MFZ5" s="433"/>
      <c r="MGA5" s="433"/>
      <c r="MGB5" s="433"/>
      <c r="MGC5" s="433"/>
      <c r="MGD5" s="433"/>
      <c r="MGE5" s="433"/>
      <c r="MGF5" s="433"/>
      <c r="MGG5" s="433"/>
      <c r="MGH5" s="433"/>
      <c r="MGI5" s="433"/>
      <c r="MGJ5" s="433"/>
      <c r="MGK5" s="433"/>
      <c r="MGL5" s="433"/>
      <c r="MGM5" s="433"/>
      <c r="MGN5" s="433"/>
      <c r="MGO5" s="433"/>
      <c r="MGP5" s="433"/>
      <c r="MGQ5" s="433"/>
      <c r="MGR5" s="433"/>
      <c r="MGS5" s="433"/>
      <c r="MGT5" s="433"/>
      <c r="MGU5" s="433"/>
      <c r="MGV5" s="433"/>
      <c r="MGW5" s="433"/>
      <c r="MGX5" s="433"/>
      <c r="MGY5" s="433"/>
      <c r="MGZ5" s="433"/>
      <c r="MHA5" s="433"/>
      <c r="MHB5" s="433"/>
      <c r="MHC5" s="433"/>
      <c r="MHD5" s="433"/>
      <c r="MHE5" s="433"/>
      <c r="MHF5" s="433"/>
      <c r="MHG5" s="433"/>
      <c r="MHH5" s="433"/>
      <c r="MHI5" s="433"/>
      <c r="MHJ5" s="433"/>
      <c r="MHK5" s="433"/>
      <c r="MHL5" s="433"/>
      <c r="MHM5" s="433"/>
      <c r="MHN5" s="433"/>
      <c r="MHO5" s="433"/>
      <c r="MHP5" s="433"/>
      <c r="MHQ5" s="433"/>
      <c r="MHR5" s="433"/>
      <c r="MHS5" s="433"/>
      <c r="MHT5" s="433"/>
      <c r="MHU5" s="433"/>
      <c r="MHV5" s="433"/>
      <c r="MHW5" s="433"/>
      <c r="MHX5" s="433"/>
      <c r="MHY5" s="433"/>
      <c r="MHZ5" s="433"/>
      <c r="MIA5" s="433"/>
      <c r="MIB5" s="433"/>
      <c r="MIC5" s="433"/>
      <c r="MID5" s="433"/>
      <c r="MIE5" s="433"/>
      <c r="MIF5" s="433"/>
      <c r="MIG5" s="433"/>
      <c r="MIH5" s="433"/>
      <c r="MII5" s="433"/>
      <c r="MIJ5" s="433"/>
      <c r="MIK5" s="433"/>
      <c r="MIL5" s="433"/>
      <c r="MIM5" s="433"/>
      <c r="MIN5" s="433"/>
      <c r="MIO5" s="433"/>
      <c r="MIP5" s="433"/>
      <c r="MIQ5" s="433"/>
      <c r="MIR5" s="433"/>
      <c r="MIS5" s="433"/>
      <c r="MIT5" s="433"/>
      <c r="MIU5" s="433"/>
      <c r="MIV5" s="433"/>
      <c r="MIW5" s="433"/>
      <c r="MIX5" s="433"/>
      <c r="MIY5" s="433"/>
      <c r="MIZ5" s="433"/>
      <c r="MJA5" s="433"/>
      <c r="MJB5" s="433"/>
      <c r="MJC5" s="433"/>
      <c r="MJD5" s="433"/>
      <c r="MJE5" s="433"/>
      <c r="MJF5" s="433"/>
      <c r="MJG5" s="433"/>
      <c r="MJH5" s="433"/>
      <c r="MJI5" s="433"/>
      <c r="MJJ5" s="433"/>
      <c r="MJK5" s="433"/>
      <c r="MJL5" s="433"/>
      <c r="MJM5" s="433"/>
      <c r="MJN5" s="433"/>
      <c r="MJO5" s="433"/>
      <c r="MJP5" s="433"/>
      <c r="MJQ5" s="433"/>
      <c r="MJR5" s="433"/>
      <c r="MJS5" s="433"/>
      <c r="MJT5" s="433"/>
      <c r="MJU5" s="433"/>
      <c r="MJV5" s="433"/>
      <c r="MJW5" s="433"/>
      <c r="MJX5" s="433"/>
      <c r="MJY5" s="433"/>
      <c r="MJZ5" s="433"/>
      <c r="MKA5" s="433"/>
      <c r="MKB5" s="433"/>
      <c r="MKC5" s="433"/>
      <c r="MKD5" s="433"/>
      <c r="MKE5" s="433"/>
      <c r="MKF5" s="433"/>
      <c r="MKG5" s="433"/>
      <c r="MKH5" s="433"/>
      <c r="MKI5" s="433"/>
      <c r="MKJ5" s="433"/>
      <c r="MKK5" s="433"/>
      <c r="MKL5" s="433"/>
      <c r="MKM5" s="433"/>
      <c r="MKN5" s="433"/>
      <c r="MKO5" s="433"/>
      <c r="MKP5" s="433"/>
      <c r="MKQ5" s="433"/>
      <c r="MKR5" s="433"/>
      <c r="MKS5" s="433"/>
      <c r="MKT5" s="433"/>
      <c r="MKU5" s="433"/>
      <c r="MKV5" s="433"/>
      <c r="MKW5" s="433"/>
      <c r="MKX5" s="433"/>
      <c r="MKY5" s="433"/>
      <c r="MKZ5" s="433"/>
      <c r="MLA5" s="433"/>
      <c r="MLB5" s="433"/>
      <c r="MLC5" s="433"/>
      <c r="MLD5" s="433"/>
      <c r="MLE5" s="433"/>
      <c r="MLF5" s="433"/>
      <c r="MLG5" s="433"/>
      <c r="MLH5" s="433"/>
      <c r="MLI5" s="433"/>
      <c r="MLJ5" s="433"/>
      <c r="MLK5" s="433"/>
      <c r="MLL5" s="433"/>
      <c r="MLM5" s="433"/>
      <c r="MLN5" s="433"/>
      <c r="MLO5" s="433"/>
      <c r="MLP5" s="433"/>
      <c r="MLQ5" s="433"/>
      <c r="MLR5" s="433"/>
      <c r="MLS5" s="433"/>
      <c r="MLT5" s="433"/>
      <c r="MLU5" s="433"/>
      <c r="MLV5" s="433"/>
      <c r="MLW5" s="433"/>
      <c r="MLX5" s="433"/>
      <c r="MLY5" s="433"/>
      <c r="MLZ5" s="433"/>
      <c r="MMA5" s="433"/>
      <c r="MMB5" s="433"/>
      <c r="MMC5" s="433"/>
      <c r="MMD5" s="433"/>
      <c r="MME5" s="433"/>
      <c r="MMF5" s="433"/>
      <c r="MMG5" s="433"/>
      <c r="MMH5" s="433"/>
      <c r="MMI5" s="433"/>
      <c r="MMJ5" s="433"/>
      <c r="MMK5" s="433"/>
      <c r="MML5" s="433"/>
      <c r="MMM5" s="433"/>
      <c r="MMN5" s="433"/>
      <c r="MMO5" s="433"/>
      <c r="MMP5" s="433"/>
      <c r="MMQ5" s="433"/>
      <c r="MMR5" s="433"/>
      <c r="MMS5" s="433"/>
      <c r="MMT5" s="433"/>
      <c r="MMU5" s="433"/>
      <c r="MMV5" s="433"/>
      <c r="MMW5" s="433"/>
      <c r="MMX5" s="433"/>
      <c r="MMY5" s="433"/>
      <c r="MMZ5" s="433"/>
      <c r="MNA5" s="433"/>
      <c r="MNB5" s="433"/>
      <c r="MNC5" s="433"/>
      <c r="MND5" s="433"/>
      <c r="MNE5" s="433"/>
      <c r="MNF5" s="433"/>
      <c r="MNG5" s="433"/>
      <c r="MNH5" s="433"/>
      <c r="MNI5" s="433"/>
      <c r="MNJ5" s="433"/>
      <c r="MNK5" s="433"/>
      <c r="MNL5" s="433"/>
      <c r="MNM5" s="433"/>
      <c r="MNN5" s="433"/>
      <c r="MNO5" s="433"/>
      <c r="MNP5" s="433"/>
      <c r="MNQ5" s="433"/>
      <c r="MNR5" s="433"/>
      <c r="MNS5" s="433"/>
      <c r="MNT5" s="433"/>
      <c r="MNU5" s="433"/>
      <c r="MNV5" s="433"/>
      <c r="MNW5" s="433"/>
      <c r="MNX5" s="433"/>
      <c r="MNY5" s="433"/>
      <c r="MNZ5" s="433"/>
      <c r="MOA5" s="433"/>
      <c r="MOB5" s="433"/>
      <c r="MOC5" s="433"/>
      <c r="MOD5" s="433"/>
      <c r="MOE5" s="433"/>
      <c r="MOF5" s="433"/>
      <c r="MOG5" s="433"/>
      <c r="MOH5" s="433"/>
      <c r="MOI5" s="433"/>
      <c r="MOJ5" s="433"/>
      <c r="MOK5" s="433"/>
      <c r="MOL5" s="433"/>
      <c r="MOM5" s="433"/>
      <c r="MON5" s="433"/>
      <c r="MOO5" s="433"/>
      <c r="MOP5" s="433"/>
      <c r="MOQ5" s="433"/>
      <c r="MOR5" s="433"/>
      <c r="MOS5" s="433"/>
      <c r="MOT5" s="433"/>
      <c r="MOU5" s="433"/>
      <c r="MOV5" s="433"/>
      <c r="MOW5" s="433"/>
      <c r="MOX5" s="433"/>
      <c r="MOY5" s="433"/>
      <c r="MOZ5" s="433"/>
      <c r="MPA5" s="433"/>
      <c r="MPB5" s="433"/>
      <c r="MPC5" s="433"/>
      <c r="MPD5" s="433"/>
      <c r="MPE5" s="433"/>
      <c r="MPF5" s="433"/>
      <c r="MPG5" s="433"/>
      <c r="MPH5" s="433"/>
      <c r="MPI5" s="433"/>
      <c r="MPJ5" s="433"/>
      <c r="MPK5" s="433"/>
      <c r="MPL5" s="433"/>
      <c r="MPM5" s="433"/>
      <c r="MPN5" s="433"/>
      <c r="MPO5" s="433"/>
      <c r="MPP5" s="433"/>
      <c r="MPQ5" s="433"/>
      <c r="MPR5" s="433"/>
      <c r="MPS5" s="433"/>
      <c r="MPT5" s="433"/>
      <c r="MPU5" s="433"/>
      <c r="MPV5" s="433"/>
      <c r="MPW5" s="433"/>
      <c r="MPX5" s="433"/>
      <c r="MPY5" s="433"/>
      <c r="MPZ5" s="433"/>
      <c r="MQA5" s="433"/>
      <c r="MQB5" s="433"/>
      <c r="MQC5" s="433"/>
      <c r="MQD5" s="433"/>
      <c r="MQE5" s="433"/>
      <c r="MQF5" s="433"/>
      <c r="MQG5" s="433"/>
      <c r="MQH5" s="433"/>
      <c r="MQI5" s="433"/>
      <c r="MQJ5" s="433"/>
      <c r="MQK5" s="433"/>
      <c r="MQL5" s="433"/>
      <c r="MQM5" s="433"/>
      <c r="MQN5" s="433"/>
      <c r="MQO5" s="433"/>
      <c r="MQP5" s="433"/>
      <c r="MQQ5" s="433"/>
      <c r="MQR5" s="433"/>
      <c r="MQS5" s="433"/>
      <c r="MQT5" s="433"/>
      <c r="MQU5" s="433"/>
      <c r="MQV5" s="433"/>
      <c r="MQW5" s="433"/>
      <c r="MQX5" s="433"/>
      <c r="MQY5" s="433"/>
      <c r="MQZ5" s="433"/>
      <c r="MRA5" s="433"/>
      <c r="MRB5" s="433"/>
      <c r="MRC5" s="433"/>
      <c r="MRD5" s="433"/>
      <c r="MRE5" s="433"/>
      <c r="MRF5" s="433"/>
      <c r="MRG5" s="433"/>
      <c r="MRH5" s="433"/>
      <c r="MRI5" s="433"/>
      <c r="MRJ5" s="433"/>
      <c r="MRK5" s="433"/>
      <c r="MRL5" s="433"/>
      <c r="MRM5" s="433"/>
      <c r="MRN5" s="433"/>
      <c r="MRO5" s="433"/>
      <c r="MRP5" s="433"/>
      <c r="MRQ5" s="433"/>
      <c r="MRR5" s="433"/>
      <c r="MRS5" s="433"/>
      <c r="MRT5" s="433"/>
      <c r="MRU5" s="433"/>
      <c r="MRV5" s="433"/>
      <c r="MRW5" s="433"/>
      <c r="MRX5" s="433"/>
      <c r="MRY5" s="433"/>
      <c r="MRZ5" s="433"/>
      <c r="MSA5" s="433"/>
      <c r="MSB5" s="433"/>
      <c r="MSC5" s="433"/>
      <c r="MSD5" s="433"/>
      <c r="MSE5" s="433"/>
      <c r="MSF5" s="433"/>
      <c r="MSG5" s="433"/>
      <c r="MSH5" s="433"/>
      <c r="MSI5" s="433"/>
      <c r="MSJ5" s="433"/>
      <c r="MSK5" s="433"/>
      <c r="MSL5" s="433"/>
      <c r="MSM5" s="433"/>
      <c r="MSN5" s="433"/>
      <c r="MSO5" s="433"/>
      <c r="MSP5" s="433"/>
      <c r="MSQ5" s="433"/>
      <c r="MSR5" s="433"/>
      <c r="MSS5" s="433"/>
      <c r="MST5" s="433"/>
      <c r="MSU5" s="433"/>
      <c r="MSV5" s="433"/>
      <c r="MSW5" s="433"/>
      <c r="MSX5" s="433"/>
      <c r="MSY5" s="433"/>
      <c r="MSZ5" s="433"/>
      <c r="MTA5" s="433"/>
      <c r="MTB5" s="433"/>
      <c r="MTC5" s="433"/>
      <c r="MTD5" s="433"/>
      <c r="MTE5" s="433"/>
      <c r="MTF5" s="433"/>
      <c r="MTG5" s="433"/>
      <c r="MTH5" s="433"/>
      <c r="MTI5" s="433"/>
      <c r="MTJ5" s="433"/>
      <c r="MTK5" s="433"/>
      <c r="MTL5" s="433"/>
      <c r="MTM5" s="433"/>
      <c r="MTN5" s="433"/>
      <c r="MTO5" s="433"/>
      <c r="MTP5" s="433"/>
      <c r="MTQ5" s="433"/>
      <c r="MTR5" s="433"/>
      <c r="MTS5" s="433"/>
      <c r="MTT5" s="433"/>
      <c r="MTU5" s="433"/>
      <c r="MTV5" s="433"/>
      <c r="MTW5" s="433"/>
      <c r="MTX5" s="433"/>
      <c r="MTY5" s="433"/>
      <c r="MTZ5" s="433"/>
      <c r="MUA5" s="433"/>
      <c r="MUB5" s="433"/>
      <c r="MUC5" s="433"/>
      <c r="MUD5" s="433"/>
      <c r="MUE5" s="433"/>
      <c r="MUF5" s="433"/>
      <c r="MUG5" s="433"/>
      <c r="MUH5" s="433"/>
      <c r="MUI5" s="433"/>
      <c r="MUJ5" s="433"/>
      <c r="MUK5" s="433"/>
      <c r="MUL5" s="433"/>
      <c r="MUM5" s="433"/>
      <c r="MUN5" s="433"/>
      <c r="MUO5" s="433"/>
      <c r="MUP5" s="433"/>
      <c r="MUQ5" s="433"/>
      <c r="MUR5" s="433"/>
      <c r="MUS5" s="433"/>
      <c r="MUT5" s="433"/>
      <c r="MUU5" s="433"/>
      <c r="MUV5" s="433"/>
      <c r="MUW5" s="433"/>
      <c r="MUX5" s="433"/>
      <c r="MUY5" s="433"/>
      <c r="MUZ5" s="433"/>
      <c r="MVA5" s="433"/>
      <c r="MVB5" s="433"/>
      <c r="MVC5" s="433"/>
      <c r="MVD5" s="433"/>
      <c r="MVE5" s="433"/>
      <c r="MVF5" s="433"/>
      <c r="MVG5" s="433"/>
      <c r="MVH5" s="433"/>
      <c r="MVI5" s="433"/>
      <c r="MVJ5" s="433"/>
      <c r="MVK5" s="433"/>
      <c r="MVL5" s="433"/>
      <c r="MVM5" s="433"/>
      <c r="MVN5" s="433"/>
      <c r="MVO5" s="433"/>
      <c r="MVP5" s="433"/>
      <c r="MVQ5" s="433"/>
      <c r="MVR5" s="433"/>
      <c r="MVS5" s="433"/>
      <c r="MVT5" s="433"/>
      <c r="MVU5" s="433"/>
      <c r="MVV5" s="433"/>
      <c r="MVW5" s="433"/>
      <c r="MVX5" s="433"/>
      <c r="MVY5" s="433"/>
      <c r="MVZ5" s="433"/>
      <c r="MWA5" s="433"/>
      <c r="MWB5" s="433"/>
      <c r="MWC5" s="433"/>
      <c r="MWD5" s="433"/>
      <c r="MWE5" s="433"/>
      <c r="MWF5" s="433"/>
      <c r="MWG5" s="433"/>
      <c r="MWH5" s="433"/>
      <c r="MWI5" s="433"/>
      <c r="MWJ5" s="433"/>
      <c r="MWK5" s="433"/>
      <c r="MWL5" s="433"/>
      <c r="MWM5" s="433"/>
      <c r="MWN5" s="433"/>
      <c r="MWO5" s="433"/>
      <c r="MWP5" s="433"/>
      <c r="MWQ5" s="433"/>
      <c r="MWR5" s="433"/>
      <c r="MWS5" s="433"/>
      <c r="MWT5" s="433"/>
      <c r="MWU5" s="433"/>
      <c r="MWV5" s="433"/>
      <c r="MWW5" s="433"/>
      <c r="MWX5" s="433"/>
      <c r="MWY5" s="433"/>
      <c r="MWZ5" s="433"/>
      <c r="MXA5" s="433"/>
      <c r="MXB5" s="433"/>
      <c r="MXC5" s="433"/>
      <c r="MXD5" s="433"/>
      <c r="MXE5" s="433"/>
      <c r="MXF5" s="433"/>
      <c r="MXG5" s="433"/>
      <c r="MXH5" s="433"/>
      <c r="MXI5" s="433"/>
      <c r="MXJ5" s="433"/>
      <c r="MXK5" s="433"/>
      <c r="MXL5" s="433"/>
      <c r="MXM5" s="433"/>
      <c r="MXN5" s="433"/>
      <c r="MXO5" s="433"/>
      <c r="MXP5" s="433"/>
      <c r="MXQ5" s="433"/>
      <c r="MXR5" s="433"/>
      <c r="MXS5" s="433"/>
      <c r="MXT5" s="433"/>
      <c r="MXU5" s="433"/>
      <c r="MXV5" s="433"/>
      <c r="MXW5" s="433"/>
      <c r="MXX5" s="433"/>
      <c r="MXY5" s="433"/>
      <c r="MXZ5" s="433"/>
      <c r="MYA5" s="433"/>
      <c r="MYB5" s="433"/>
      <c r="MYC5" s="433"/>
      <c r="MYD5" s="433"/>
      <c r="MYE5" s="433"/>
      <c r="MYF5" s="433"/>
      <c r="MYG5" s="433"/>
      <c r="MYH5" s="433"/>
      <c r="MYI5" s="433"/>
      <c r="MYJ5" s="433"/>
      <c r="MYK5" s="433"/>
      <c r="MYL5" s="433"/>
      <c r="MYM5" s="433"/>
      <c r="MYN5" s="433"/>
      <c r="MYO5" s="433"/>
      <c r="MYP5" s="433"/>
      <c r="MYQ5" s="433"/>
      <c r="MYR5" s="433"/>
      <c r="MYS5" s="433"/>
      <c r="MYT5" s="433"/>
      <c r="MYU5" s="433"/>
      <c r="MYV5" s="433"/>
      <c r="MYW5" s="433"/>
      <c r="MYX5" s="433"/>
      <c r="MYY5" s="433"/>
      <c r="MYZ5" s="433"/>
      <c r="MZA5" s="433"/>
      <c r="MZB5" s="433"/>
      <c r="MZC5" s="433"/>
      <c r="MZD5" s="433"/>
      <c r="MZE5" s="433"/>
      <c r="MZF5" s="433"/>
      <c r="MZG5" s="433"/>
      <c r="MZH5" s="433"/>
      <c r="MZI5" s="433"/>
      <c r="MZJ5" s="433"/>
      <c r="MZK5" s="433"/>
      <c r="MZL5" s="433"/>
      <c r="MZM5" s="433"/>
      <c r="MZN5" s="433"/>
      <c r="MZO5" s="433"/>
      <c r="MZP5" s="433"/>
      <c r="MZQ5" s="433"/>
      <c r="MZR5" s="433"/>
      <c r="MZS5" s="433"/>
      <c r="MZT5" s="433"/>
      <c r="MZU5" s="433"/>
      <c r="MZV5" s="433"/>
      <c r="MZW5" s="433"/>
      <c r="MZX5" s="433"/>
      <c r="MZY5" s="433"/>
      <c r="MZZ5" s="433"/>
      <c r="NAA5" s="433"/>
      <c r="NAB5" s="433"/>
      <c r="NAC5" s="433"/>
      <c r="NAD5" s="433"/>
      <c r="NAE5" s="433"/>
      <c r="NAF5" s="433"/>
      <c r="NAG5" s="433"/>
      <c r="NAH5" s="433"/>
      <c r="NAI5" s="433"/>
      <c r="NAJ5" s="433"/>
      <c r="NAK5" s="433"/>
      <c r="NAL5" s="433"/>
      <c r="NAM5" s="433"/>
      <c r="NAN5" s="433"/>
      <c r="NAO5" s="433"/>
      <c r="NAP5" s="433"/>
      <c r="NAQ5" s="433"/>
      <c r="NAR5" s="433"/>
      <c r="NAS5" s="433"/>
      <c r="NAT5" s="433"/>
      <c r="NAU5" s="433"/>
      <c r="NAV5" s="433"/>
      <c r="NAW5" s="433"/>
      <c r="NAX5" s="433"/>
      <c r="NAY5" s="433"/>
      <c r="NAZ5" s="433"/>
      <c r="NBA5" s="433"/>
      <c r="NBB5" s="433"/>
      <c r="NBC5" s="433"/>
      <c r="NBD5" s="433"/>
      <c r="NBE5" s="433"/>
      <c r="NBF5" s="433"/>
      <c r="NBG5" s="433"/>
      <c r="NBH5" s="433"/>
      <c r="NBI5" s="433"/>
      <c r="NBJ5" s="433"/>
      <c r="NBK5" s="433"/>
      <c r="NBL5" s="433"/>
      <c r="NBM5" s="433"/>
      <c r="NBN5" s="433"/>
      <c r="NBO5" s="433"/>
      <c r="NBP5" s="433"/>
      <c r="NBQ5" s="433"/>
      <c r="NBR5" s="433"/>
      <c r="NBS5" s="433"/>
      <c r="NBT5" s="433"/>
      <c r="NBU5" s="433"/>
      <c r="NBV5" s="433"/>
      <c r="NBW5" s="433"/>
      <c r="NBX5" s="433"/>
      <c r="NBY5" s="433"/>
      <c r="NBZ5" s="433"/>
      <c r="NCA5" s="433"/>
      <c r="NCB5" s="433"/>
      <c r="NCC5" s="433"/>
      <c r="NCD5" s="433"/>
      <c r="NCE5" s="433"/>
      <c r="NCF5" s="433"/>
      <c r="NCG5" s="433"/>
      <c r="NCH5" s="433"/>
      <c r="NCI5" s="433"/>
      <c r="NCJ5" s="433"/>
      <c r="NCK5" s="433"/>
      <c r="NCL5" s="433"/>
      <c r="NCM5" s="433"/>
      <c r="NCN5" s="433"/>
      <c r="NCO5" s="433"/>
      <c r="NCP5" s="433"/>
      <c r="NCQ5" s="433"/>
      <c r="NCR5" s="433"/>
      <c r="NCS5" s="433"/>
      <c r="NCT5" s="433"/>
      <c r="NCU5" s="433"/>
      <c r="NCV5" s="433"/>
      <c r="NCW5" s="433"/>
      <c r="NCX5" s="433"/>
      <c r="NCY5" s="433"/>
      <c r="NCZ5" s="433"/>
      <c r="NDA5" s="433"/>
      <c r="NDB5" s="433"/>
      <c r="NDC5" s="433"/>
      <c r="NDD5" s="433"/>
      <c r="NDE5" s="433"/>
      <c r="NDF5" s="433"/>
      <c r="NDG5" s="433"/>
      <c r="NDH5" s="433"/>
      <c r="NDI5" s="433"/>
      <c r="NDJ5" s="433"/>
      <c r="NDK5" s="433"/>
      <c r="NDL5" s="433"/>
      <c r="NDM5" s="433"/>
      <c r="NDN5" s="433"/>
      <c r="NDO5" s="433"/>
      <c r="NDP5" s="433"/>
      <c r="NDQ5" s="433"/>
      <c r="NDR5" s="433"/>
      <c r="NDS5" s="433"/>
      <c r="NDT5" s="433"/>
      <c r="NDU5" s="433"/>
      <c r="NDV5" s="433"/>
      <c r="NDW5" s="433"/>
      <c r="NDX5" s="433"/>
      <c r="NDY5" s="433"/>
      <c r="NDZ5" s="433"/>
      <c r="NEA5" s="433"/>
      <c r="NEB5" s="433"/>
      <c r="NEC5" s="433"/>
      <c r="NED5" s="433"/>
      <c r="NEE5" s="433"/>
      <c r="NEF5" s="433"/>
      <c r="NEG5" s="433"/>
      <c r="NEH5" s="433"/>
      <c r="NEI5" s="433"/>
      <c r="NEJ5" s="433"/>
      <c r="NEK5" s="433"/>
      <c r="NEL5" s="433"/>
      <c r="NEM5" s="433"/>
      <c r="NEN5" s="433"/>
      <c r="NEO5" s="433"/>
      <c r="NEP5" s="433"/>
      <c r="NEQ5" s="433"/>
      <c r="NER5" s="433"/>
      <c r="NES5" s="433"/>
      <c r="NET5" s="433"/>
      <c r="NEU5" s="433"/>
      <c r="NEV5" s="433"/>
      <c r="NEW5" s="433"/>
      <c r="NEX5" s="433"/>
      <c r="NEY5" s="433"/>
      <c r="NEZ5" s="433"/>
      <c r="NFA5" s="433"/>
      <c r="NFB5" s="433"/>
      <c r="NFC5" s="433"/>
      <c r="NFD5" s="433"/>
      <c r="NFE5" s="433"/>
      <c r="NFF5" s="433"/>
      <c r="NFG5" s="433"/>
      <c r="NFH5" s="433"/>
      <c r="NFI5" s="433"/>
      <c r="NFJ5" s="433"/>
      <c r="NFK5" s="433"/>
      <c r="NFL5" s="433"/>
      <c r="NFM5" s="433"/>
      <c r="NFN5" s="433"/>
      <c r="NFO5" s="433"/>
      <c r="NFP5" s="433"/>
      <c r="NFQ5" s="433"/>
      <c r="NFR5" s="433"/>
      <c r="NFS5" s="433"/>
      <c r="NFT5" s="433"/>
      <c r="NFU5" s="433"/>
      <c r="NFV5" s="433"/>
      <c r="NFW5" s="433"/>
      <c r="NFX5" s="433"/>
      <c r="NFY5" s="433"/>
      <c r="NFZ5" s="433"/>
      <c r="NGA5" s="433"/>
      <c r="NGB5" s="433"/>
      <c r="NGC5" s="433"/>
      <c r="NGD5" s="433"/>
      <c r="NGE5" s="433"/>
      <c r="NGF5" s="433"/>
      <c r="NGG5" s="433"/>
      <c r="NGH5" s="433"/>
      <c r="NGI5" s="433"/>
      <c r="NGJ5" s="433"/>
      <c r="NGK5" s="433"/>
      <c r="NGL5" s="433"/>
      <c r="NGM5" s="433"/>
      <c r="NGN5" s="433"/>
      <c r="NGO5" s="433"/>
      <c r="NGP5" s="433"/>
      <c r="NGQ5" s="433"/>
      <c r="NGR5" s="433"/>
      <c r="NGS5" s="433"/>
      <c r="NGT5" s="433"/>
      <c r="NGU5" s="433"/>
      <c r="NGV5" s="433"/>
      <c r="NGW5" s="433"/>
      <c r="NGX5" s="433"/>
      <c r="NGY5" s="433"/>
      <c r="NGZ5" s="433"/>
      <c r="NHA5" s="433"/>
      <c r="NHB5" s="433"/>
      <c r="NHC5" s="433"/>
      <c r="NHD5" s="433"/>
      <c r="NHE5" s="433"/>
      <c r="NHF5" s="433"/>
      <c r="NHG5" s="433"/>
      <c r="NHH5" s="433"/>
      <c r="NHI5" s="433"/>
      <c r="NHJ5" s="433"/>
      <c r="NHK5" s="433"/>
      <c r="NHL5" s="433"/>
      <c r="NHM5" s="433"/>
      <c r="NHN5" s="433"/>
      <c r="NHO5" s="433"/>
      <c r="NHP5" s="433"/>
      <c r="NHQ5" s="433"/>
      <c r="NHR5" s="433"/>
      <c r="NHS5" s="433"/>
      <c r="NHT5" s="433"/>
      <c r="NHU5" s="433"/>
      <c r="NHV5" s="433"/>
      <c r="NHW5" s="433"/>
      <c r="NHX5" s="433"/>
      <c r="NHY5" s="433"/>
      <c r="NHZ5" s="433"/>
      <c r="NIA5" s="433"/>
      <c r="NIB5" s="433"/>
      <c r="NIC5" s="433"/>
      <c r="NID5" s="433"/>
      <c r="NIE5" s="433"/>
      <c r="NIF5" s="433"/>
      <c r="NIG5" s="433"/>
      <c r="NIH5" s="433"/>
      <c r="NII5" s="433"/>
      <c r="NIJ5" s="433"/>
      <c r="NIK5" s="433"/>
      <c r="NIL5" s="433"/>
      <c r="NIM5" s="433"/>
      <c r="NIN5" s="433"/>
      <c r="NIO5" s="433"/>
      <c r="NIP5" s="433"/>
      <c r="NIQ5" s="433"/>
      <c r="NIR5" s="433"/>
      <c r="NIS5" s="433"/>
      <c r="NIT5" s="433"/>
      <c r="NIU5" s="433"/>
      <c r="NIV5" s="433"/>
      <c r="NIW5" s="433"/>
      <c r="NIX5" s="433"/>
      <c r="NIY5" s="433"/>
      <c r="NIZ5" s="433"/>
      <c r="NJA5" s="433"/>
      <c r="NJB5" s="433"/>
      <c r="NJC5" s="433"/>
      <c r="NJD5" s="433"/>
      <c r="NJE5" s="433"/>
      <c r="NJF5" s="433"/>
      <c r="NJG5" s="433"/>
      <c r="NJH5" s="433"/>
      <c r="NJI5" s="433"/>
      <c r="NJJ5" s="433"/>
      <c r="NJK5" s="433"/>
      <c r="NJL5" s="433"/>
      <c r="NJM5" s="433"/>
      <c r="NJN5" s="433"/>
      <c r="NJO5" s="433"/>
      <c r="NJP5" s="433"/>
      <c r="NJQ5" s="433"/>
      <c r="NJR5" s="433"/>
      <c r="NJS5" s="433"/>
      <c r="NJT5" s="433"/>
      <c r="NJU5" s="433"/>
      <c r="NJV5" s="433"/>
      <c r="NJW5" s="433"/>
      <c r="NJX5" s="433"/>
      <c r="NJY5" s="433"/>
      <c r="NJZ5" s="433"/>
      <c r="NKA5" s="433"/>
      <c r="NKB5" s="433"/>
      <c r="NKC5" s="433"/>
      <c r="NKD5" s="433"/>
      <c r="NKE5" s="433"/>
      <c r="NKF5" s="433"/>
      <c r="NKG5" s="433"/>
      <c r="NKH5" s="433"/>
      <c r="NKI5" s="433"/>
      <c r="NKJ5" s="433"/>
      <c r="NKK5" s="433"/>
      <c r="NKL5" s="433"/>
      <c r="NKM5" s="433"/>
      <c r="NKN5" s="433"/>
      <c r="NKO5" s="433"/>
      <c r="NKP5" s="433"/>
      <c r="NKQ5" s="433"/>
      <c r="NKR5" s="433"/>
      <c r="NKS5" s="433"/>
      <c r="NKT5" s="433"/>
      <c r="NKU5" s="433"/>
      <c r="NKV5" s="433"/>
      <c r="NKW5" s="433"/>
      <c r="NKX5" s="433"/>
      <c r="NKY5" s="433"/>
      <c r="NKZ5" s="433"/>
      <c r="NLA5" s="433"/>
      <c r="NLB5" s="433"/>
      <c r="NLC5" s="433"/>
      <c r="NLD5" s="433"/>
      <c r="NLE5" s="433"/>
      <c r="NLF5" s="433"/>
      <c r="NLG5" s="433"/>
      <c r="NLH5" s="433"/>
      <c r="NLI5" s="433"/>
      <c r="NLJ5" s="433"/>
      <c r="NLK5" s="433"/>
      <c r="NLL5" s="433"/>
      <c r="NLM5" s="433"/>
      <c r="NLN5" s="433"/>
      <c r="NLO5" s="433"/>
      <c r="NLP5" s="433"/>
      <c r="NLQ5" s="433"/>
      <c r="NLR5" s="433"/>
      <c r="NLS5" s="433"/>
      <c r="NLT5" s="433"/>
      <c r="NLU5" s="433"/>
      <c r="NLV5" s="433"/>
      <c r="NLW5" s="433"/>
      <c r="NLX5" s="433"/>
      <c r="NLY5" s="433"/>
      <c r="NLZ5" s="433"/>
      <c r="NMA5" s="433"/>
      <c r="NMB5" s="433"/>
      <c r="NMC5" s="433"/>
      <c r="NMD5" s="433"/>
      <c r="NME5" s="433"/>
      <c r="NMF5" s="433"/>
      <c r="NMG5" s="433"/>
      <c r="NMH5" s="433"/>
      <c r="NMI5" s="433"/>
      <c r="NMJ5" s="433"/>
      <c r="NMK5" s="433"/>
      <c r="NML5" s="433"/>
      <c r="NMM5" s="433"/>
      <c r="NMN5" s="433"/>
      <c r="NMO5" s="433"/>
      <c r="NMP5" s="433"/>
      <c r="NMQ5" s="433"/>
      <c r="NMR5" s="433"/>
      <c r="NMS5" s="433"/>
      <c r="NMT5" s="433"/>
      <c r="NMU5" s="433"/>
      <c r="NMV5" s="433"/>
      <c r="NMW5" s="433"/>
      <c r="NMX5" s="433"/>
      <c r="NMY5" s="433"/>
      <c r="NMZ5" s="433"/>
      <c r="NNA5" s="433"/>
      <c r="NNB5" s="433"/>
      <c r="NNC5" s="433"/>
      <c r="NND5" s="433"/>
      <c r="NNE5" s="433"/>
      <c r="NNF5" s="433"/>
      <c r="NNG5" s="433"/>
      <c r="NNH5" s="433"/>
      <c r="NNI5" s="433"/>
      <c r="NNJ5" s="433"/>
      <c r="NNK5" s="433"/>
      <c r="NNL5" s="433"/>
      <c r="NNM5" s="433"/>
      <c r="NNN5" s="433"/>
      <c r="NNO5" s="433"/>
      <c r="NNP5" s="433"/>
      <c r="NNQ5" s="433"/>
      <c r="NNR5" s="433"/>
      <c r="NNS5" s="433"/>
      <c r="NNT5" s="433"/>
      <c r="NNU5" s="433"/>
      <c r="NNV5" s="433"/>
      <c r="NNW5" s="433"/>
      <c r="NNX5" s="433"/>
      <c r="NNY5" s="433"/>
      <c r="NNZ5" s="433"/>
      <c r="NOA5" s="433"/>
      <c r="NOB5" s="433"/>
      <c r="NOC5" s="433"/>
      <c r="NOD5" s="433"/>
      <c r="NOE5" s="433"/>
      <c r="NOF5" s="433"/>
      <c r="NOG5" s="433"/>
      <c r="NOH5" s="433"/>
      <c r="NOI5" s="433"/>
      <c r="NOJ5" s="433"/>
      <c r="NOK5" s="433"/>
      <c r="NOL5" s="433"/>
      <c r="NOM5" s="433"/>
      <c r="NON5" s="433"/>
      <c r="NOO5" s="433"/>
      <c r="NOP5" s="433"/>
      <c r="NOQ5" s="433"/>
      <c r="NOR5" s="433"/>
      <c r="NOS5" s="433"/>
      <c r="NOT5" s="433"/>
      <c r="NOU5" s="433"/>
      <c r="NOV5" s="433"/>
      <c r="NOW5" s="433"/>
      <c r="NOX5" s="433"/>
      <c r="NOY5" s="433"/>
      <c r="NOZ5" s="433"/>
      <c r="NPA5" s="433"/>
      <c r="NPB5" s="433"/>
      <c r="NPC5" s="433"/>
      <c r="NPD5" s="433"/>
      <c r="NPE5" s="433"/>
      <c r="NPF5" s="433"/>
      <c r="NPG5" s="433"/>
      <c r="NPH5" s="433"/>
      <c r="NPI5" s="433"/>
      <c r="NPJ5" s="433"/>
      <c r="NPK5" s="433"/>
      <c r="NPL5" s="433"/>
      <c r="NPM5" s="433"/>
      <c r="NPN5" s="433"/>
      <c r="NPO5" s="433"/>
      <c r="NPP5" s="433"/>
      <c r="NPQ5" s="433"/>
      <c r="NPR5" s="433"/>
      <c r="NPS5" s="433"/>
      <c r="NPT5" s="433"/>
      <c r="NPU5" s="433"/>
      <c r="NPV5" s="433"/>
      <c r="NPW5" s="433"/>
      <c r="NPX5" s="433"/>
      <c r="NPY5" s="433"/>
      <c r="NPZ5" s="433"/>
      <c r="NQA5" s="433"/>
      <c r="NQB5" s="433"/>
      <c r="NQC5" s="433"/>
      <c r="NQD5" s="433"/>
      <c r="NQE5" s="433"/>
      <c r="NQF5" s="433"/>
      <c r="NQG5" s="433"/>
      <c r="NQH5" s="433"/>
      <c r="NQI5" s="433"/>
      <c r="NQJ5" s="433"/>
      <c r="NQK5" s="433"/>
      <c r="NQL5" s="433"/>
      <c r="NQM5" s="433"/>
      <c r="NQN5" s="433"/>
      <c r="NQO5" s="433"/>
      <c r="NQP5" s="433"/>
      <c r="NQQ5" s="433"/>
      <c r="NQR5" s="433"/>
      <c r="NQS5" s="433"/>
      <c r="NQT5" s="433"/>
      <c r="NQU5" s="433"/>
      <c r="NQV5" s="433"/>
      <c r="NQW5" s="433"/>
      <c r="NQX5" s="433"/>
      <c r="NQY5" s="433"/>
      <c r="NQZ5" s="433"/>
      <c r="NRA5" s="433"/>
      <c r="NRB5" s="433"/>
      <c r="NRC5" s="433"/>
      <c r="NRD5" s="433"/>
      <c r="NRE5" s="433"/>
      <c r="NRF5" s="433"/>
      <c r="NRG5" s="433"/>
      <c r="NRH5" s="433"/>
      <c r="NRI5" s="433"/>
      <c r="NRJ5" s="433"/>
      <c r="NRK5" s="433"/>
      <c r="NRL5" s="433"/>
      <c r="NRM5" s="433"/>
      <c r="NRN5" s="433"/>
      <c r="NRO5" s="433"/>
      <c r="NRP5" s="433"/>
      <c r="NRQ5" s="433"/>
      <c r="NRR5" s="433"/>
      <c r="NRS5" s="433"/>
      <c r="NRT5" s="433"/>
      <c r="NRU5" s="433"/>
      <c r="NRV5" s="433"/>
      <c r="NRW5" s="433"/>
      <c r="NRX5" s="433"/>
      <c r="NRY5" s="433"/>
      <c r="NRZ5" s="433"/>
      <c r="NSA5" s="433"/>
      <c r="NSB5" s="433"/>
      <c r="NSC5" s="433"/>
      <c r="NSD5" s="433"/>
      <c r="NSE5" s="433"/>
      <c r="NSF5" s="433"/>
      <c r="NSG5" s="433"/>
      <c r="NSH5" s="433"/>
      <c r="NSI5" s="433"/>
      <c r="NSJ5" s="433"/>
      <c r="NSK5" s="433"/>
      <c r="NSL5" s="433"/>
      <c r="NSM5" s="433"/>
      <c r="NSN5" s="433"/>
      <c r="NSO5" s="433"/>
      <c r="NSP5" s="433"/>
      <c r="NSQ5" s="433"/>
      <c r="NSR5" s="433"/>
      <c r="NSS5" s="433"/>
      <c r="NST5" s="433"/>
      <c r="NSU5" s="433"/>
      <c r="NSV5" s="433"/>
      <c r="NSW5" s="433"/>
      <c r="NSX5" s="433"/>
      <c r="NSY5" s="433"/>
      <c r="NSZ5" s="433"/>
      <c r="NTA5" s="433"/>
      <c r="NTB5" s="433"/>
      <c r="NTC5" s="433"/>
      <c r="NTD5" s="433"/>
      <c r="NTE5" s="433"/>
      <c r="NTF5" s="433"/>
      <c r="NTG5" s="433"/>
      <c r="NTH5" s="433"/>
      <c r="NTI5" s="433"/>
      <c r="NTJ5" s="433"/>
      <c r="NTK5" s="433"/>
      <c r="NTL5" s="433"/>
      <c r="NTM5" s="433"/>
      <c r="NTN5" s="433"/>
      <c r="NTO5" s="433"/>
      <c r="NTP5" s="433"/>
      <c r="NTQ5" s="433"/>
      <c r="NTR5" s="433"/>
      <c r="NTS5" s="433"/>
      <c r="NTT5" s="433"/>
      <c r="NTU5" s="433"/>
      <c r="NTV5" s="433"/>
      <c r="NTW5" s="433"/>
      <c r="NTX5" s="433"/>
      <c r="NTY5" s="433"/>
      <c r="NTZ5" s="433"/>
      <c r="NUA5" s="433"/>
      <c r="NUB5" s="433"/>
      <c r="NUC5" s="433"/>
      <c r="NUD5" s="433"/>
      <c r="NUE5" s="433"/>
      <c r="NUF5" s="433"/>
      <c r="NUG5" s="433"/>
      <c r="NUH5" s="433"/>
      <c r="NUI5" s="433"/>
      <c r="NUJ5" s="433"/>
      <c r="NUK5" s="433"/>
      <c r="NUL5" s="433"/>
      <c r="NUM5" s="433"/>
      <c r="NUN5" s="433"/>
      <c r="NUO5" s="433"/>
      <c r="NUP5" s="433"/>
      <c r="NUQ5" s="433"/>
      <c r="NUR5" s="433"/>
      <c r="NUS5" s="433"/>
      <c r="NUT5" s="433"/>
      <c r="NUU5" s="433"/>
      <c r="NUV5" s="433"/>
      <c r="NUW5" s="433"/>
      <c r="NUX5" s="433"/>
      <c r="NUY5" s="433"/>
      <c r="NUZ5" s="433"/>
      <c r="NVA5" s="433"/>
      <c r="NVB5" s="433"/>
      <c r="NVC5" s="433"/>
      <c r="NVD5" s="433"/>
      <c r="NVE5" s="433"/>
      <c r="NVF5" s="433"/>
      <c r="NVG5" s="433"/>
      <c r="NVH5" s="433"/>
      <c r="NVI5" s="433"/>
      <c r="NVJ5" s="433"/>
      <c r="NVK5" s="433"/>
      <c r="NVL5" s="433"/>
      <c r="NVM5" s="433"/>
      <c r="NVN5" s="433"/>
      <c r="NVO5" s="433"/>
      <c r="NVP5" s="433"/>
      <c r="NVQ5" s="433"/>
      <c r="NVR5" s="433"/>
      <c r="NVS5" s="433"/>
      <c r="NVT5" s="433"/>
      <c r="NVU5" s="433"/>
      <c r="NVV5" s="433"/>
      <c r="NVW5" s="433"/>
      <c r="NVX5" s="433"/>
      <c r="NVY5" s="433"/>
      <c r="NVZ5" s="433"/>
      <c r="NWA5" s="433"/>
      <c r="NWB5" s="433"/>
      <c r="NWC5" s="433"/>
      <c r="NWD5" s="433"/>
      <c r="NWE5" s="433"/>
      <c r="NWF5" s="433"/>
      <c r="NWG5" s="433"/>
      <c r="NWH5" s="433"/>
      <c r="NWI5" s="433"/>
      <c r="NWJ5" s="433"/>
      <c r="NWK5" s="433"/>
      <c r="NWL5" s="433"/>
      <c r="NWM5" s="433"/>
      <c r="NWN5" s="433"/>
      <c r="NWO5" s="433"/>
      <c r="NWP5" s="433"/>
      <c r="NWQ5" s="433"/>
      <c r="NWR5" s="433"/>
      <c r="NWS5" s="433"/>
      <c r="NWT5" s="433"/>
      <c r="NWU5" s="433"/>
      <c r="NWV5" s="433"/>
      <c r="NWW5" s="433"/>
      <c r="NWX5" s="433"/>
      <c r="NWY5" s="433"/>
      <c r="NWZ5" s="433"/>
      <c r="NXA5" s="433"/>
      <c r="NXB5" s="433"/>
      <c r="NXC5" s="433"/>
      <c r="NXD5" s="433"/>
      <c r="NXE5" s="433"/>
      <c r="NXF5" s="433"/>
      <c r="NXG5" s="433"/>
      <c r="NXH5" s="433"/>
      <c r="NXI5" s="433"/>
      <c r="NXJ5" s="433"/>
      <c r="NXK5" s="433"/>
      <c r="NXL5" s="433"/>
      <c r="NXM5" s="433"/>
      <c r="NXN5" s="433"/>
      <c r="NXO5" s="433"/>
      <c r="NXP5" s="433"/>
      <c r="NXQ5" s="433"/>
      <c r="NXR5" s="433"/>
      <c r="NXS5" s="433"/>
      <c r="NXT5" s="433"/>
      <c r="NXU5" s="433"/>
      <c r="NXV5" s="433"/>
      <c r="NXW5" s="433"/>
      <c r="NXX5" s="433"/>
      <c r="NXY5" s="433"/>
      <c r="NXZ5" s="433"/>
      <c r="NYA5" s="433"/>
      <c r="NYB5" s="433"/>
      <c r="NYC5" s="433"/>
      <c r="NYD5" s="433"/>
      <c r="NYE5" s="433"/>
      <c r="NYF5" s="433"/>
      <c r="NYG5" s="433"/>
      <c r="NYH5" s="433"/>
      <c r="NYI5" s="433"/>
      <c r="NYJ5" s="433"/>
      <c r="NYK5" s="433"/>
      <c r="NYL5" s="433"/>
      <c r="NYM5" s="433"/>
      <c r="NYN5" s="433"/>
      <c r="NYO5" s="433"/>
      <c r="NYP5" s="433"/>
      <c r="NYQ5" s="433"/>
      <c r="NYR5" s="433"/>
      <c r="NYS5" s="433"/>
      <c r="NYT5" s="433"/>
      <c r="NYU5" s="433"/>
      <c r="NYV5" s="433"/>
      <c r="NYW5" s="433"/>
      <c r="NYX5" s="433"/>
      <c r="NYY5" s="433"/>
      <c r="NYZ5" s="433"/>
      <c r="NZA5" s="433"/>
      <c r="NZB5" s="433"/>
      <c r="NZC5" s="433"/>
      <c r="NZD5" s="433"/>
      <c r="NZE5" s="433"/>
      <c r="NZF5" s="433"/>
      <c r="NZG5" s="433"/>
      <c r="NZH5" s="433"/>
      <c r="NZI5" s="433"/>
      <c r="NZJ5" s="433"/>
      <c r="NZK5" s="433"/>
      <c r="NZL5" s="433"/>
      <c r="NZM5" s="433"/>
      <c r="NZN5" s="433"/>
      <c r="NZO5" s="433"/>
      <c r="NZP5" s="433"/>
      <c r="NZQ5" s="433"/>
      <c r="NZR5" s="433"/>
      <c r="NZS5" s="433"/>
      <c r="NZT5" s="433"/>
      <c r="NZU5" s="433"/>
      <c r="NZV5" s="433"/>
      <c r="NZW5" s="433"/>
      <c r="NZX5" s="433"/>
      <c r="NZY5" s="433"/>
      <c r="NZZ5" s="433"/>
      <c r="OAA5" s="433"/>
      <c r="OAB5" s="433"/>
      <c r="OAC5" s="433"/>
      <c r="OAD5" s="433"/>
      <c r="OAE5" s="433"/>
      <c r="OAF5" s="433"/>
      <c r="OAG5" s="433"/>
      <c r="OAH5" s="433"/>
      <c r="OAI5" s="433"/>
      <c r="OAJ5" s="433"/>
      <c r="OAK5" s="433"/>
      <c r="OAL5" s="433"/>
      <c r="OAM5" s="433"/>
      <c r="OAN5" s="433"/>
      <c r="OAO5" s="433"/>
      <c r="OAP5" s="433"/>
      <c r="OAQ5" s="433"/>
      <c r="OAR5" s="433"/>
      <c r="OAS5" s="433"/>
      <c r="OAT5" s="433"/>
      <c r="OAU5" s="433"/>
      <c r="OAV5" s="433"/>
      <c r="OAW5" s="433"/>
      <c r="OAX5" s="433"/>
      <c r="OAY5" s="433"/>
      <c r="OAZ5" s="433"/>
      <c r="OBA5" s="433"/>
      <c r="OBB5" s="433"/>
      <c r="OBC5" s="433"/>
      <c r="OBD5" s="433"/>
      <c r="OBE5" s="433"/>
      <c r="OBF5" s="433"/>
      <c r="OBG5" s="433"/>
      <c r="OBH5" s="433"/>
      <c r="OBI5" s="433"/>
      <c r="OBJ5" s="433"/>
      <c r="OBK5" s="433"/>
      <c r="OBL5" s="433"/>
      <c r="OBM5" s="433"/>
      <c r="OBN5" s="433"/>
      <c r="OBO5" s="433"/>
      <c r="OBP5" s="433"/>
      <c r="OBQ5" s="433"/>
      <c r="OBR5" s="433"/>
      <c r="OBS5" s="433"/>
      <c r="OBT5" s="433"/>
      <c r="OBU5" s="433"/>
      <c r="OBV5" s="433"/>
      <c r="OBW5" s="433"/>
      <c r="OBX5" s="433"/>
      <c r="OBY5" s="433"/>
      <c r="OBZ5" s="433"/>
      <c r="OCA5" s="433"/>
      <c r="OCB5" s="433"/>
      <c r="OCC5" s="433"/>
      <c r="OCD5" s="433"/>
      <c r="OCE5" s="433"/>
      <c r="OCF5" s="433"/>
      <c r="OCG5" s="433"/>
      <c r="OCH5" s="433"/>
      <c r="OCI5" s="433"/>
      <c r="OCJ5" s="433"/>
      <c r="OCK5" s="433"/>
      <c r="OCL5" s="433"/>
      <c r="OCM5" s="433"/>
      <c r="OCN5" s="433"/>
      <c r="OCO5" s="433"/>
      <c r="OCP5" s="433"/>
      <c r="OCQ5" s="433"/>
      <c r="OCR5" s="433"/>
      <c r="OCS5" s="433"/>
      <c r="OCT5" s="433"/>
      <c r="OCU5" s="433"/>
      <c r="OCV5" s="433"/>
      <c r="OCW5" s="433"/>
      <c r="OCX5" s="433"/>
      <c r="OCY5" s="433"/>
      <c r="OCZ5" s="433"/>
      <c r="ODA5" s="433"/>
      <c r="ODB5" s="433"/>
      <c r="ODC5" s="433"/>
      <c r="ODD5" s="433"/>
      <c r="ODE5" s="433"/>
      <c r="ODF5" s="433"/>
      <c r="ODG5" s="433"/>
      <c r="ODH5" s="433"/>
      <c r="ODI5" s="433"/>
      <c r="ODJ5" s="433"/>
      <c r="ODK5" s="433"/>
      <c r="ODL5" s="433"/>
      <c r="ODM5" s="433"/>
      <c r="ODN5" s="433"/>
      <c r="ODO5" s="433"/>
      <c r="ODP5" s="433"/>
      <c r="ODQ5" s="433"/>
      <c r="ODR5" s="433"/>
      <c r="ODS5" s="433"/>
      <c r="ODT5" s="433"/>
      <c r="ODU5" s="433"/>
      <c r="ODV5" s="433"/>
      <c r="ODW5" s="433"/>
      <c r="ODX5" s="433"/>
      <c r="ODY5" s="433"/>
      <c r="ODZ5" s="433"/>
      <c r="OEA5" s="433"/>
      <c r="OEB5" s="433"/>
      <c r="OEC5" s="433"/>
      <c r="OED5" s="433"/>
      <c r="OEE5" s="433"/>
      <c r="OEF5" s="433"/>
      <c r="OEG5" s="433"/>
      <c r="OEH5" s="433"/>
      <c r="OEI5" s="433"/>
      <c r="OEJ5" s="433"/>
      <c r="OEK5" s="433"/>
      <c r="OEL5" s="433"/>
      <c r="OEM5" s="433"/>
      <c r="OEN5" s="433"/>
      <c r="OEO5" s="433"/>
      <c r="OEP5" s="433"/>
      <c r="OEQ5" s="433"/>
      <c r="OER5" s="433"/>
      <c r="OES5" s="433"/>
      <c r="OET5" s="433"/>
      <c r="OEU5" s="433"/>
      <c r="OEV5" s="433"/>
      <c r="OEW5" s="433"/>
      <c r="OEX5" s="433"/>
      <c r="OEY5" s="433"/>
      <c r="OEZ5" s="433"/>
      <c r="OFA5" s="433"/>
      <c r="OFB5" s="433"/>
      <c r="OFC5" s="433"/>
      <c r="OFD5" s="433"/>
      <c r="OFE5" s="433"/>
      <c r="OFF5" s="433"/>
      <c r="OFG5" s="433"/>
      <c r="OFH5" s="433"/>
      <c r="OFI5" s="433"/>
      <c r="OFJ5" s="433"/>
      <c r="OFK5" s="433"/>
      <c r="OFL5" s="433"/>
      <c r="OFM5" s="433"/>
      <c r="OFN5" s="433"/>
      <c r="OFO5" s="433"/>
      <c r="OFP5" s="433"/>
      <c r="OFQ5" s="433"/>
      <c r="OFR5" s="433"/>
      <c r="OFS5" s="433"/>
      <c r="OFT5" s="433"/>
      <c r="OFU5" s="433"/>
      <c r="OFV5" s="433"/>
      <c r="OFW5" s="433"/>
      <c r="OFX5" s="433"/>
      <c r="OFY5" s="433"/>
      <c r="OFZ5" s="433"/>
      <c r="OGA5" s="433"/>
      <c r="OGB5" s="433"/>
      <c r="OGC5" s="433"/>
      <c r="OGD5" s="433"/>
      <c r="OGE5" s="433"/>
      <c r="OGF5" s="433"/>
      <c r="OGG5" s="433"/>
      <c r="OGH5" s="433"/>
      <c r="OGI5" s="433"/>
      <c r="OGJ5" s="433"/>
      <c r="OGK5" s="433"/>
      <c r="OGL5" s="433"/>
      <c r="OGM5" s="433"/>
      <c r="OGN5" s="433"/>
      <c r="OGO5" s="433"/>
      <c r="OGP5" s="433"/>
      <c r="OGQ5" s="433"/>
      <c r="OGR5" s="433"/>
      <c r="OGS5" s="433"/>
      <c r="OGT5" s="433"/>
      <c r="OGU5" s="433"/>
      <c r="OGV5" s="433"/>
      <c r="OGW5" s="433"/>
      <c r="OGX5" s="433"/>
      <c r="OGY5" s="433"/>
      <c r="OGZ5" s="433"/>
      <c r="OHA5" s="433"/>
      <c r="OHB5" s="433"/>
      <c r="OHC5" s="433"/>
      <c r="OHD5" s="433"/>
      <c r="OHE5" s="433"/>
      <c r="OHF5" s="433"/>
      <c r="OHG5" s="433"/>
      <c r="OHH5" s="433"/>
      <c r="OHI5" s="433"/>
      <c r="OHJ5" s="433"/>
      <c r="OHK5" s="433"/>
      <c r="OHL5" s="433"/>
      <c r="OHM5" s="433"/>
      <c r="OHN5" s="433"/>
      <c r="OHO5" s="433"/>
      <c r="OHP5" s="433"/>
      <c r="OHQ5" s="433"/>
      <c r="OHR5" s="433"/>
      <c r="OHS5" s="433"/>
      <c r="OHT5" s="433"/>
      <c r="OHU5" s="433"/>
      <c r="OHV5" s="433"/>
      <c r="OHW5" s="433"/>
      <c r="OHX5" s="433"/>
      <c r="OHY5" s="433"/>
      <c r="OHZ5" s="433"/>
      <c r="OIA5" s="433"/>
      <c r="OIB5" s="433"/>
      <c r="OIC5" s="433"/>
      <c r="OID5" s="433"/>
      <c r="OIE5" s="433"/>
      <c r="OIF5" s="433"/>
      <c r="OIG5" s="433"/>
      <c r="OIH5" s="433"/>
      <c r="OII5" s="433"/>
      <c r="OIJ5" s="433"/>
      <c r="OIK5" s="433"/>
      <c r="OIL5" s="433"/>
      <c r="OIM5" s="433"/>
      <c r="OIN5" s="433"/>
      <c r="OIO5" s="433"/>
      <c r="OIP5" s="433"/>
      <c r="OIQ5" s="433"/>
      <c r="OIR5" s="433"/>
      <c r="OIS5" s="433"/>
      <c r="OIT5" s="433"/>
      <c r="OIU5" s="433"/>
      <c r="OIV5" s="433"/>
      <c r="OIW5" s="433"/>
      <c r="OIX5" s="433"/>
      <c r="OIY5" s="433"/>
      <c r="OIZ5" s="433"/>
      <c r="OJA5" s="433"/>
      <c r="OJB5" s="433"/>
      <c r="OJC5" s="433"/>
      <c r="OJD5" s="433"/>
      <c r="OJE5" s="433"/>
      <c r="OJF5" s="433"/>
      <c r="OJG5" s="433"/>
      <c r="OJH5" s="433"/>
      <c r="OJI5" s="433"/>
      <c r="OJJ5" s="433"/>
      <c r="OJK5" s="433"/>
      <c r="OJL5" s="433"/>
      <c r="OJM5" s="433"/>
      <c r="OJN5" s="433"/>
      <c r="OJO5" s="433"/>
      <c r="OJP5" s="433"/>
      <c r="OJQ5" s="433"/>
      <c r="OJR5" s="433"/>
      <c r="OJS5" s="433"/>
      <c r="OJT5" s="433"/>
      <c r="OJU5" s="433"/>
      <c r="OJV5" s="433"/>
      <c r="OJW5" s="433"/>
      <c r="OJX5" s="433"/>
      <c r="OJY5" s="433"/>
      <c r="OJZ5" s="433"/>
      <c r="OKA5" s="433"/>
      <c r="OKB5" s="433"/>
      <c r="OKC5" s="433"/>
      <c r="OKD5" s="433"/>
      <c r="OKE5" s="433"/>
      <c r="OKF5" s="433"/>
      <c r="OKG5" s="433"/>
      <c r="OKH5" s="433"/>
      <c r="OKI5" s="433"/>
      <c r="OKJ5" s="433"/>
      <c r="OKK5" s="433"/>
      <c r="OKL5" s="433"/>
      <c r="OKM5" s="433"/>
      <c r="OKN5" s="433"/>
      <c r="OKO5" s="433"/>
      <c r="OKP5" s="433"/>
      <c r="OKQ5" s="433"/>
      <c r="OKR5" s="433"/>
      <c r="OKS5" s="433"/>
      <c r="OKT5" s="433"/>
      <c r="OKU5" s="433"/>
      <c r="OKV5" s="433"/>
      <c r="OKW5" s="433"/>
      <c r="OKX5" s="433"/>
      <c r="OKY5" s="433"/>
      <c r="OKZ5" s="433"/>
      <c r="OLA5" s="433"/>
      <c r="OLB5" s="433"/>
      <c r="OLC5" s="433"/>
      <c r="OLD5" s="433"/>
      <c r="OLE5" s="433"/>
      <c r="OLF5" s="433"/>
      <c r="OLG5" s="433"/>
      <c r="OLH5" s="433"/>
      <c r="OLI5" s="433"/>
      <c r="OLJ5" s="433"/>
      <c r="OLK5" s="433"/>
      <c r="OLL5" s="433"/>
      <c r="OLM5" s="433"/>
      <c r="OLN5" s="433"/>
      <c r="OLO5" s="433"/>
      <c r="OLP5" s="433"/>
      <c r="OLQ5" s="433"/>
      <c r="OLR5" s="433"/>
      <c r="OLS5" s="433"/>
      <c r="OLT5" s="433"/>
      <c r="OLU5" s="433"/>
      <c r="OLV5" s="433"/>
      <c r="OLW5" s="433"/>
      <c r="OLX5" s="433"/>
      <c r="OLY5" s="433"/>
      <c r="OLZ5" s="433"/>
      <c r="OMA5" s="433"/>
      <c r="OMB5" s="433"/>
      <c r="OMC5" s="433"/>
      <c r="OMD5" s="433"/>
      <c r="OME5" s="433"/>
      <c r="OMF5" s="433"/>
      <c r="OMG5" s="433"/>
      <c r="OMH5" s="433"/>
      <c r="OMI5" s="433"/>
      <c r="OMJ5" s="433"/>
      <c r="OMK5" s="433"/>
      <c r="OML5" s="433"/>
      <c r="OMM5" s="433"/>
      <c r="OMN5" s="433"/>
      <c r="OMO5" s="433"/>
      <c r="OMP5" s="433"/>
      <c r="OMQ5" s="433"/>
      <c r="OMR5" s="433"/>
      <c r="OMS5" s="433"/>
      <c r="OMT5" s="433"/>
      <c r="OMU5" s="433"/>
      <c r="OMV5" s="433"/>
      <c r="OMW5" s="433"/>
      <c r="OMX5" s="433"/>
      <c r="OMY5" s="433"/>
      <c r="OMZ5" s="433"/>
      <c r="ONA5" s="433"/>
      <c r="ONB5" s="433"/>
      <c r="ONC5" s="433"/>
      <c r="OND5" s="433"/>
      <c r="ONE5" s="433"/>
      <c r="ONF5" s="433"/>
      <c r="ONG5" s="433"/>
      <c r="ONH5" s="433"/>
      <c r="ONI5" s="433"/>
      <c r="ONJ5" s="433"/>
      <c r="ONK5" s="433"/>
      <c r="ONL5" s="433"/>
      <c r="ONM5" s="433"/>
      <c r="ONN5" s="433"/>
      <c r="ONO5" s="433"/>
      <c r="ONP5" s="433"/>
      <c r="ONQ5" s="433"/>
      <c r="ONR5" s="433"/>
      <c r="ONS5" s="433"/>
      <c r="ONT5" s="433"/>
      <c r="ONU5" s="433"/>
      <c r="ONV5" s="433"/>
      <c r="ONW5" s="433"/>
      <c r="ONX5" s="433"/>
      <c r="ONY5" s="433"/>
      <c r="ONZ5" s="433"/>
      <c r="OOA5" s="433"/>
      <c r="OOB5" s="433"/>
      <c r="OOC5" s="433"/>
      <c r="OOD5" s="433"/>
      <c r="OOE5" s="433"/>
      <c r="OOF5" s="433"/>
      <c r="OOG5" s="433"/>
      <c r="OOH5" s="433"/>
      <c r="OOI5" s="433"/>
      <c r="OOJ5" s="433"/>
      <c r="OOK5" s="433"/>
      <c r="OOL5" s="433"/>
      <c r="OOM5" s="433"/>
      <c r="OON5" s="433"/>
      <c r="OOO5" s="433"/>
      <c r="OOP5" s="433"/>
      <c r="OOQ5" s="433"/>
      <c r="OOR5" s="433"/>
      <c r="OOS5" s="433"/>
      <c r="OOT5" s="433"/>
      <c r="OOU5" s="433"/>
      <c r="OOV5" s="433"/>
      <c r="OOW5" s="433"/>
      <c r="OOX5" s="433"/>
      <c r="OOY5" s="433"/>
      <c r="OOZ5" s="433"/>
      <c r="OPA5" s="433"/>
      <c r="OPB5" s="433"/>
      <c r="OPC5" s="433"/>
      <c r="OPD5" s="433"/>
      <c r="OPE5" s="433"/>
      <c r="OPF5" s="433"/>
      <c r="OPG5" s="433"/>
      <c r="OPH5" s="433"/>
      <c r="OPI5" s="433"/>
      <c r="OPJ5" s="433"/>
      <c r="OPK5" s="433"/>
      <c r="OPL5" s="433"/>
      <c r="OPM5" s="433"/>
      <c r="OPN5" s="433"/>
      <c r="OPO5" s="433"/>
      <c r="OPP5" s="433"/>
      <c r="OPQ5" s="433"/>
      <c r="OPR5" s="433"/>
      <c r="OPS5" s="433"/>
      <c r="OPT5" s="433"/>
      <c r="OPU5" s="433"/>
      <c r="OPV5" s="433"/>
      <c r="OPW5" s="433"/>
      <c r="OPX5" s="433"/>
      <c r="OPY5" s="433"/>
      <c r="OPZ5" s="433"/>
      <c r="OQA5" s="433"/>
      <c r="OQB5" s="433"/>
      <c r="OQC5" s="433"/>
      <c r="OQD5" s="433"/>
      <c r="OQE5" s="433"/>
      <c r="OQF5" s="433"/>
      <c r="OQG5" s="433"/>
      <c r="OQH5" s="433"/>
      <c r="OQI5" s="433"/>
      <c r="OQJ5" s="433"/>
      <c r="OQK5" s="433"/>
      <c r="OQL5" s="433"/>
      <c r="OQM5" s="433"/>
      <c r="OQN5" s="433"/>
      <c r="OQO5" s="433"/>
      <c r="OQP5" s="433"/>
      <c r="OQQ5" s="433"/>
      <c r="OQR5" s="433"/>
      <c r="OQS5" s="433"/>
      <c r="OQT5" s="433"/>
      <c r="OQU5" s="433"/>
      <c r="OQV5" s="433"/>
      <c r="OQW5" s="433"/>
      <c r="OQX5" s="433"/>
      <c r="OQY5" s="433"/>
      <c r="OQZ5" s="433"/>
      <c r="ORA5" s="433"/>
      <c r="ORB5" s="433"/>
      <c r="ORC5" s="433"/>
      <c r="ORD5" s="433"/>
      <c r="ORE5" s="433"/>
      <c r="ORF5" s="433"/>
      <c r="ORG5" s="433"/>
      <c r="ORH5" s="433"/>
      <c r="ORI5" s="433"/>
      <c r="ORJ5" s="433"/>
      <c r="ORK5" s="433"/>
      <c r="ORL5" s="433"/>
      <c r="ORM5" s="433"/>
      <c r="ORN5" s="433"/>
      <c r="ORO5" s="433"/>
      <c r="ORP5" s="433"/>
      <c r="ORQ5" s="433"/>
      <c r="ORR5" s="433"/>
      <c r="ORS5" s="433"/>
      <c r="ORT5" s="433"/>
      <c r="ORU5" s="433"/>
      <c r="ORV5" s="433"/>
      <c r="ORW5" s="433"/>
      <c r="ORX5" s="433"/>
      <c r="ORY5" s="433"/>
      <c r="ORZ5" s="433"/>
      <c r="OSA5" s="433"/>
      <c r="OSB5" s="433"/>
      <c r="OSC5" s="433"/>
      <c r="OSD5" s="433"/>
      <c r="OSE5" s="433"/>
      <c r="OSF5" s="433"/>
      <c r="OSG5" s="433"/>
      <c r="OSH5" s="433"/>
      <c r="OSI5" s="433"/>
      <c r="OSJ5" s="433"/>
      <c r="OSK5" s="433"/>
      <c r="OSL5" s="433"/>
      <c r="OSM5" s="433"/>
      <c r="OSN5" s="433"/>
      <c r="OSO5" s="433"/>
      <c r="OSP5" s="433"/>
      <c r="OSQ5" s="433"/>
      <c r="OSR5" s="433"/>
      <c r="OSS5" s="433"/>
      <c r="OST5" s="433"/>
      <c r="OSU5" s="433"/>
      <c r="OSV5" s="433"/>
      <c r="OSW5" s="433"/>
      <c r="OSX5" s="433"/>
      <c r="OSY5" s="433"/>
      <c r="OSZ5" s="433"/>
      <c r="OTA5" s="433"/>
      <c r="OTB5" s="433"/>
      <c r="OTC5" s="433"/>
      <c r="OTD5" s="433"/>
      <c r="OTE5" s="433"/>
      <c r="OTF5" s="433"/>
      <c r="OTG5" s="433"/>
      <c r="OTH5" s="433"/>
      <c r="OTI5" s="433"/>
      <c r="OTJ5" s="433"/>
      <c r="OTK5" s="433"/>
      <c r="OTL5" s="433"/>
      <c r="OTM5" s="433"/>
      <c r="OTN5" s="433"/>
      <c r="OTO5" s="433"/>
      <c r="OTP5" s="433"/>
      <c r="OTQ5" s="433"/>
      <c r="OTR5" s="433"/>
      <c r="OTS5" s="433"/>
      <c r="OTT5" s="433"/>
      <c r="OTU5" s="433"/>
      <c r="OTV5" s="433"/>
      <c r="OTW5" s="433"/>
      <c r="OTX5" s="433"/>
      <c r="OTY5" s="433"/>
      <c r="OTZ5" s="433"/>
      <c r="OUA5" s="433"/>
      <c r="OUB5" s="433"/>
      <c r="OUC5" s="433"/>
      <c r="OUD5" s="433"/>
      <c r="OUE5" s="433"/>
      <c r="OUF5" s="433"/>
      <c r="OUG5" s="433"/>
      <c r="OUH5" s="433"/>
      <c r="OUI5" s="433"/>
      <c r="OUJ5" s="433"/>
      <c r="OUK5" s="433"/>
      <c r="OUL5" s="433"/>
      <c r="OUM5" s="433"/>
      <c r="OUN5" s="433"/>
      <c r="OUO5" s="433"/>
      <c r="OUP5" s="433"/>
      <c r="OUQ5" s="433"/>
      <c r="OUR5" s="433"/>
      <c r="OUS5" s="433"/>
      <c r="OUT5" s="433"/>
      <c r="OUU5" s="433"/>
      <c r="OUV5" s="433"/>
      <c r="OUW5" s="433"/>
      <c r="OUX5" s="433"/>
      <c r="OUY5" s="433"/>
      <c r="OUZ5" s="433"/>
      <c r="OVA5" s="433"/>
      <c r="OVB5" s="433"/>
      <c r="OVC5" s="433"/>
      <c r="OVD5" s="433"/>
      <c r="OVE5" s="433"/>
      <c r="OVF5" s="433"/>
      <c r="OVG5" s="433"/>
      <c r="OVH5" s="433"/>
      <c r="OVI5" s="433"/>
      <c r="OVJ5" s="433"/>
      <c r="OVK5" s="433"/>
      <c r="OVL5" s="433"/>
      <c r="OVM5" s="433"/>
      <c r="OVN5" s="433"/>
      <c r="OVO5" s="433"/>
      <c r="OVP5" s="433"/>
      <c r="OVQ5" s="433"/>
      <c r="OVR5" s="433"/>
      <c r="OVS5" s="433"/>
      <c r="OVT5" s="433"/>
      <c r="OVU5" s="433"/>
      <c r="OVV5" s="433"/>
      <c r="OVW5" s="433"/>
      <c r="OVX5" s="433"/>
      <c r="OVY5" s="433"/>
      <c r="OVZ5" s="433"/>
      <c r="OWA5" s="433"/>
      <c r="OWB5" s="433"/>
      <c r="OWC5" s="433"/>
      <c r="OWD5" s="433"/>
      <c r="OWE5" s="433"/>
      <c r="OWF5" s="433"/>
      <c r="OWG5" s="433"/>
      <c r="OWH5" s="433"/>
      <c r="OWI5" s="433"/>
      <c r="OWJ5" s="433"/>
      <c r="OWK5" s="433"/>
      <c r="OWL5" s="433"/>
      <c r="OWM5" s="433"/>
      <c r="OWN5" s="433"/>
      <c r="OWO5" s="433"/>
      <c r="OWP5" s="433"/>
      <c r="OWQ5" s="433"/>
      <c r="OWR5" s="433"/>
      <c r="OWS5" s="433"/>
      <c r="OWT5" s="433"/>
      <c r="OWU5" s="433"/>
      <c r="OWV5" s="433"/>
      <c r="OWW5" s="433"/>
      <c r="OWX5" s="433"/>
      <c r="OWY5" s="433"/>
      <c r="OWZ5" s="433"/>
      <c r="OXA5" s="433"/>
      <c r="OXB5" s="433"/>
      <c r="OXC5" s="433"/>
      <c r="OXD5" s="433"/>
      <c r="OXE5" s="433"/>
      <c r="OXF5" s="433"/>
      <c r="OXG5" s="433"/>
      <c r="OXH5" s="433"/>
      <c r="OXI5" s="433"/>
      <c r="OXJ5" s="433"/>
      <c r="OXK5" s="433"/>
      <c r="OXL5" s="433"/>
      <c r="OXM5" s="433"/>
      <c r="OXN5" s="433"/>
      <c r="OXO5" s="433"/>
      <c r="OXP5" s="433"/>
      <c r="OXQ5" s="433"/>
      <c r="OXR5" s="433"/>
      <c r="OXS5" s="433"/>
      <c r="OXT5" s="433"/>
      <c r="OXU5" s="433"/>
      <c r="OXV5" s="433"/>
      <c r="OXW5" s="433"/>
      <c r="OXX5" s="433"/>
      <c r="OXY5" s="433"/>
      <c r="OXZ5" s="433"/>
      <c r="OYA5" s="433"/>
      <c r="OYB5" s="433"/>
      <c r="OYC5" s="433"/>
      <c r="OYD5" s="433"/>
      <c r="OYE5" s="433"/>
      <c r="OYF5" s="433"/>
      <c r="OYG5" s="433"/>
      <c r="OYH5" s="433"/>
      <c r="OYI5" s="433"/>
      <c r="OYJ5" s="433"/>
      <c r="OYK5" s="433"/>
      <c r="OYL5" s="433"/>
      <c r="OYM5" s="433"/>
      <c r="OYN5" s="433"/>
      <c r="OYO5" s="433"/>
      <c r="OYP5" s="433"/>
      <c r="OYQ5" s="433"/>
      <c r="OYR5" s="433"/>
      <c r="OYS5" s="433"/>
      <c r="OYT5" s="433"/>
      <c r="OYU5" s="433"/>
      <c r="OYV5" s="433"/>
      <c r="OYW5" s="433"/>
      <c r="OYX5" s="433"/>
      <c r="OYY5" s="433"/>
      <c r="OYZ5" s="433"/>
      <c r="OZA5" s="433"/>
      <c r="OZB5" s="433"/>
      <c r="OZC5" s="433"/>
      <c r="OZD5" s="433"/>
      <c r="OZE5" s="433"/>
      <c r="OZF5" s="433"/>
      <c r="OZG5" s="433"/>
      <c r="OZH5" s="433"/>
      <c r="OZI5" s="433"/>
      <c r="OZJ5" s="433"/>
      <c r="OZK5" s="433"/>
      <c r="OZL5" s="433"/>
      <c r="OZM5" s="433"/>
      <c r="OZN5" s="433"/>
      <c r="OZO5" s="433"/>
      <c r="OZP5" s="433"/>
      <c r="OZQ5" s="433"/>
      <c r="OZR5" s="433"/>
      <c r="OZS5" s="433"/>
      <c r="OZT5" s="433"/>
      <c r="OZU5" s="433"/>
      <c r="OZV5" s="433"/>
      <c r="OZW5" s="433"/>
      <c r="OZX5" s="433"/>
      <c r="OZY5" s="433"/>
      <c r="OZZ5" s="433"/>
      <c r="PAA5" s="433"/>
      <c r="PAB5" s="433"/>
      <c r="PAC5" s="433"/>
      <c r="PAD5" s="433"/>
      <c r="PAE5" s="433"/>
      <c r="PAF5" s="433"/>
      <c r="PAG5" s="433"/>
      <c r="PAH5" s="433"/>
      <c r="PAI5" s="433"/>
      <c r="PAJ5" s="433"/>
      <c r="PAK5" s="433"/>
      <c r="PAL5" s="433"/>
      <c r="PAM5" s="433"/>
      <c r="PAN5" s="433"/>
      <c r="PAO5" s="433"/>
      <c r="PAP5" s="433"/>
      <c r="PAQ5" s="433"/>
      <c r="PAR5" s="433"/>
      <c r="PAS5" s="433"/>
      <c r="PAT5" s="433"/>
      <c r="PAU5" s="433"/>
      <c r="PAV5" s="433"/>
      <c r="PAW5" s="433"/>
      <c r="PAX5" s="433"/>
      <c r="PAY5" s="433"/>
      <c r="PAZ5" s="433"/>
      <c r="PBA5" s="433"/>
      <c r="PBB5" s="433"/>
      <c r="PBC5" s="433"/>
      <c r="PBD5" s="433"/>
      <c r="PBE5" s="433"/>
      <c r="PBF5" s="433"/>
      <c r="PBG5" s="433"/>
      <c r="PBH5" s="433"/>
      <c r="PBI5" s="433"/>
      <c r="PBJ5" s="433"/>
      <c r="PBK5" s="433"/>
      <c r="PBL5" s="433"/>
      <c r="PBM5" s="433"/>
      <c r="PBN5" s="433"/>
      <c r="PBO5" s="433"/>
      <c r="PBP5" s="433"/>
      <c r="PBQ5" s="433"/>
      <c r="PBR5" s="433"/>
      <c r="PBS5" s="433"/>
      <c r="PBT5" s="433"/>
      <c r="PBU5" s="433"/>
      <c r="PBV5" s="433"/>
      <c r="PBW5" s="433"/>
      <c r="PBX5" s="433"/>
      <c r="PBY5" s="433"/>
      <c r="PBZ5" s="433"/>
      <c r="PCA5" s="433"/>
      <c r="PCB5" s="433"/>
      <c r="PCC5" s="433"/>
      <c r="PCD5" s="433"/>
      <c r="PCE5" s="433"/>
      <c r="PCF5" s="433"/>
      <c r="PCG5" s="433"/>
      <c r="PCH5" s="433"/>
      <c r="PCI5" s="433"/>
      <c r="PCJ5" s="433"/>
      <c r="PCK5" s="433"/>
      <c r="PCL5" s="433"/>
      <c r="PCM5" s="433"/>
      <c r="PCN5" s="433"/>
      <c r="PCO5" s="433"/>
      <c r="PCP5" s="433"/>
      <c r="PCQ5" s="433"/>
      <c r="PCR5" s="433"/>
      <c r="PCS5" s="433"/>
      <c r="PCT5" s="433"/>
      <c r="PCU5" s="433"/>
      <c r="PCV5" s="433"/>
      <c r="PCW5" s="433"/>
      <c r="PCX5" s="433"/>
      <c r="PCY5" s="433"/>
      <c r="PCZ5" s="433"/>
      <c r="PDA5" s="433"/>
      <c r="PDB5" s="433"/>
      <c r="PDC5" s="433"/>
      <c r="PDD5" s="433"/>
      <c r="PDE5" s="433"/>
      <c r="PDF5" s="433"/>
      <c r="PDG5" s="433"/>
      <c r="PDH5" s="433"/>
      <c r="PDI5" s="433"/>
      <c r="PDJ5" s="433"/>
      <c r="PDK5" s="433"/>
      <c r="PDL5" s="433"/>
      <c r="PDM5" s="433"/>
      <c r="PDN5" s="433"/>
      <c r="PDO5" s="433"/>
      <c r="PDP5" s="433"/>
      <c r="PDQ5" s="433"/>
      <c r="PDR5" s="433"/>
      <c r="PDS5" s="433"/>
      <c r="PDT5" s="433"/>
      <c r="PDU5" s="433"/>
      <c r="PDV5" s="433"/>
      <c r="PDW5" s="433"/>
      <c r="PDX5" s="433"/>
      <c r="PDY5" s="433"/>
      <c r="PDZ5" s="433"/>
      <c r="PEA5" s="433"/>
      <c r="PEB5" s="433"/>
      <c r="PEC5" s="433"/>
      <c r="PED5" s="433"/>
      <c r="PEE5" s="433"/>
      <c r="PEF5" s="433"/>
      <c r="PEG5" s="433"/>
      <c r="PEH5" s="433"/>
      <c r="PEI5" s="433"/>
      <c r="PEJ5" s="433"/>
      <c r="PEK5" s="433"/>
      <c r="PEL5" s="433"/>
      <c r="PEM5" s="433"/>
      <c r="PEN5" s="433"/>
      <c r="PEO5" s="433"/>
      <c r="PEP5" s="433"/>
      <c r="PEQ5" s="433"/>
      <c r="PER5" s="433"/>
      <c r="PES5" s="433"/>
      <c r="PET5" s="433"/>
      <c r="PEU5" s="433"/>
      <c r="PEV5" s="433"/>
      <c r="PEW5" s="433"/>
      <c r="PEX5" s="433"/>
      <c r="PEY5" s="433"/>
      <c r="PEZ5" s="433"/>
      <c r="PFA5" s="433"/>
      <c r="PFB5" s="433"/>
      <c r="PFC5" s="433"/>
      <c r="PFD5" s="433"/>
      <c r="PFE5" s="433"/>
      <c r="PFF5" s="433"/>
      <c r="PFG5" s="433"/>
      <c r="PFH5" s="433"/>
      <c r="PFI5" s="433"/>
      <c r="PFJ5" s="433"/>
      <c r="PFK5" s="433"/>
      <c r="PFL5" s="433"/>
      <c r="PFM5" s="433"/>
      <c r="PFN5" s="433"/>
      <c r="PFO5" s="433"/>
      <c r="PFP5" s="433"/>
      <c r="PFQ5" s="433"/>
      <c r="PFR5" s="433"/>
      <c r="PFS5" s="433"/>
      <c r="PFT5" s="433"/>
      <c r="PFU5" s="433"/>
      <c r="PFV5" s="433"/>
      <c r="PFW5" s="433"/>
      <c r="PFX5" s="433"/>
      <c r="PFY5" s="433"/>
      <c r="PFZ5" s="433"/>
      <c r="PGA5" s="433"/>
      <c r="PGB5" s="433"/>
      <c r="PGC5" s="433"/>
      <c r="PGD5" s="433"/>
      <c r="PGE5" s="433"/>
      <c r="PGF5" s="433"/>
      <c r="PGG5" s="433"/>
      <c r="PGH5" s="433"/>
      <c r="PGI5" s="433"/>
      <c r="PGJ5" s="433"/>
      <c r="PGK5" s="433"/>
      <c r="PGL5" s="433"/>
      <c r="PGM5" s="433"/>
      <c r="PGN5" s="433"/>
      <c r="PGO5" s="433"/>
      <c r="PGP5" s="433"/>
      <c r="PGQ5" s="433"/>
      <c r="PGR5" s="433"/>
      <c r="PGS5" s="433"/>
      <c r="PGT5" s="433"/>
      <c r="PGU5" s="433"/>
      <c r="PGV5" s="433"/>
      <c r="PGW5" s="433"/>
      <c r="PGX5" s="433"/>
      <c r="PGY5" s="433"/>
      <c r="PGZ5" s="433"/>
      <c r="PHA5" s="433"/>
      <c r="PHB5" s="433"/>
      <c r="PHC5" s="433"/>
      <c r="PHD5" s="433"/>
      <c r="PHE5" s="433"/>
      <c r="PHF5" s="433"/>
      <c r="PHG5" s="433"/>
      <c r="PHH5" s="433"/>
      <c r="PHI5" s="433"/>
      <c r="PHJ5" s="433"/>
      <c r="PHK5" s="433"/>
      <c r="PHL5" s="433"/>
      <c r="PHM5" s="433"/>
      <c r="PHN5" s="433"/>
      <c r="PHO5" s="433"/>
      <c r="PHP5" s="433"/>
      <c r="PHQ5" s="433"/>
      <c r="PHR5" s="433"/>
      <c r="PHS5" s="433"/>
      <c r="PHT5" s="433"/>
      <c r="PHU5" s="433"/>
      <c r="PHV5" s="433"/>
      <c r="PHW5" s="433"/>
      <c r="PHX5" s="433"/>
      <c r="PHY5" s="433"/>
      <c r="PHZ5" s="433"/>
      <c r="PIA5" s="433"/>
      <c r="PIB5" s="433"/>
      <c r="PIC5" s="433"/>
      <c r="PID5" s="433"/>
      <c r="PIE5" s="433"/>
      <c r="PIF5" s="433"/>
      <c r="PIG5" s="433"/>
      <c r="PIH5" s="433"/>
      <c r="PII5" s="433"/>
      <c r="PIJ5" s="433"/>
      <c r="PIK5" s="433"/>
      <c r="PIL5" s="433"/>
      <c r="PIM5" s="433"/>
      <c r="PIN5" s="433"/>
      <c r="PIO5" s="433"/>
      <c r="PIP5" s="433"/>
      <c r="PIQ5" s="433"/>
      <c r="PIR5" s="433"/>
      <c r="PIS5" s="433"/>
      <c r="PIT5" s="433"/>
      <c r="PIU5" s="433"/>
      <c r="PIV5" s="433"/>
      <c r="PIW5" s="433"/>
      <c r="PIX5" s="433"/>
      <c r="PIY5" s="433"/>
      <c r="PIZ5" s="433"/>
      <c r="PJA5" s="433"/>
      <c r="PJB5" s="433"/>
      <c r="PJC5" s="433"/>
      <c r="PJD5" s="433"/>
      <c r="PJE5" s="433"/>
      <c r="PJF5" s="433"/>
      <c r="PJG5" s="433"/>
      <c r="PJH5" s="433"/>
      <c r="PJI5" s="433"/>
      <c r="PJJ5" s="433"/>
      <c r="PJK5" s="433"/>
      <c r="PJL5" s="433"/>
      <c r="PJM5" s="433"/>
      <c r="PJN5" s="433"/>
      <c r="PJO5" s="433"/>
      <c r="PJP5" s="433"/>
      <c r="PJQ5" s="433"/>
      <c r="PJR5" s="433"/>
      <c r="PJS5" s="433"/>
      <c r="PJT5" s="433"/>
      <c r="PJU5" s="433"/>
      <c r="PJV5" s="433"/>
      <c r="PJW5" s="433"/>
      <c r="PJX5" s="433"/>
      <c r="PJY5" s="433"/>
      <c r="PJZ5" s="433"/>
      <c r="PKA5" s="433"/>
      <c r="PKB5" s="433"/>
      <c r="PKC5" s="433"/>
      <c r="PKD5" s="433"/>
      <c r="PKE5" s="433"/>
      <c r="PKF5" s="433"/>
      <c r="PKG5" s="433"/>
      <c r="PKH5" s="433"/>
      <c r="PKI5" s="433"/>
      <c r="PKJ5" s="433"/>
      <c r="PKK5" s="433"/>
      <c r="PKL5" s="433"/>
      <c r="PKM5" s="433"/>
      <c r="PKN5" s="433"/>
      <c r="PKO5" s="433"/>
      <c r="PKP5" s="433"/>
      <c r="PKQ5" s="433"/>
      <c r="PKR5" s="433"/>
      <c r="PKS5" s="433"/>
      <c r="PKT5" s="433"/>
      <c r="PKU5" s="433"/>
      <c r="PKV5" s="433"/>
      <c r="PKW5" s="433"/>
      <c r="PKX5" s="433"/>
      <c r="PKY5" s="433"/>
      <c r="PKZ5" s="433"/>
      <c r="PLA5" s="433"/>
      <c r="PLB5" s="433"/>
      <c r="PLC5" s="433"/>
      <c r="PLD5" s="433"/>
      <c r="PLE5" s="433"/>
      <c r="PLF5" s="433"/>
      <c r="PLG5" s="433"/>
      <c r="PLH5" s="433"/>
      <c r="PLI5" s="433"/>
      <c r="PLJ5" s="433"/>
      <c r="PLK5" s="433"/>
      <c r="PLL5" s="433"/>
      <c r="PLM5" s="433"/>
      <c r="PLN5" s="433"/>
      <c r="PLO5" s="433"/>
      <c r="PLP5" s="433"/>
      <c r="PLQ5" s="433"/>
      <c r="PLR5" s="433"/>
      <c r="PLS5" s="433"/>
      <c r="PLT5" s="433"/>
      <c r="PLU5" s="433"/>
      <c r="PLV5" s="433"/>
      <c r="PLW5" s="433"/>
      <c r="PLX5" s="433"/>
      <c r="PLY5" s="433"/>
      <c r="PLZ5" s="433"/>
      <c r="PMA5" s="433"/>
      <c r="PMB5" s="433"/>
      <c r="PMC5" s="433"/>
      <c r="PMD5" s="433"/>
      <c r="PME5" s="433"/>
      <c r="PMF5" s="433"/>
      <c r="PMG5" s="433"/>
      <c r="PMH5" s="433"/>
      <c r="PMI5" s="433"/>
      <c r="PMJ5" s="433"/>
      <c r="PMK5" s="433"/>
      <c r="PML5" s="433"/>
      <c r="PMM5" s="433"/>
      <c r="PMN5" s="433"/>
      <c r="PMO5" s="433"/>
      <c r="PMP5" s="433"/>
      <c r="PMQ5" s="433"/>
      <c r="PMR5" s="433"/>
      <c r="PMS5" s="433"/>
      <c r="PMT5" s="433"/>
      <c r="PMU5" s="433"/>
      <c r="PMV5" s="433"/>
      <c r="PMW5" s="433"/>
      <c r="PMX5" s="433"/>
      <c r="PMY5" s="433"/>
      <c r="PMZ5" s="433"/>
      <c r="PNA5" s="433"/>
      <c r="PNB5" s="433"/>
      <c r="PNC5" s="433"/>
      <c r="PND5" s="433"/>
      <c r="PNE5" s="433"/>
      <c r="PNF5" s="433"/>
      <c r="PNG5" s="433"/>
      <c r="PNH5" s="433"/>
      <c r="PNI5" s="433"/>
      <c r="PNJ5" s="433"/>
      <c r="PNK5" s="433"/>
      <c r="PNL5" s="433"/>
      <c r="PNM5" s="433"/>
      <c r="PNN5" s="433"/>
      <c r="PNO5" s="433"/>
      <c r="PNP5" s="433"/>
      <c r="PNQ5" s="433"/>
      <c r="PNR5" s="433"/>
      <c r="PNS5" s="433"/>
      <c r="PNT5" s="433"/>
      <c r="PNU5" s="433"/>
      <c r="PNV5" s="433"/>
      <c r="PNW5" s="433"/>
      <c r="PNX5" s="433"/>
      <c r="PNY5" s="433"/>
      <c r="PNZ5" s="433"/>
      <c r="POA5" s="433"/>
      <c r="POB5" s="433"/>
      <c r="POC5" s="433"/>
      <c r="POD5" s="433"/>
      <c r="POE5" s="433"/>
      <c r="POF5" s="433"/>
      <c r="POG5" s="433"/>
      <c r="POH5" s="433"/>
      <c r="POI5" s="433"/>
      <c r="POJ5" s="433"/>
      <c r="POK5" s="433"/>
      <c r="POL5" s="433"/>
      <c r="POM5" s="433"/>
      <c r="PON5" s="433"/>
      <c r="POO5" s="433"/>
      <c r="POP5" s="433"/>
      <c r="POQ5" s="433"/>
      <c r="POR5" s="433"/>
      <c r="POS5" s="433"/>
      <c r="POT5" s="433"/>
      <c r="POU5" s="433"/>
      <c r="POV5" s="433"/>
      <c r="POW5" s="433"/>
      <c r="POX5" s="433"/>
      <c r="POY5" s="433"/>
      <c r="POZ5" s="433"/>
      <c r="PPA5" s="433"/>
      <c r="PPB5" s="433"/>
      <c r="PPC5" s="433"/>
      <c r="PPD5" s="433"/>
      <c r="PPE5" s="433"/>
      <c r="PPF5" s="433"/>
      <c r="PPG5" s="433"/>
      <c r="PPH5" s="433"/>
      <c r="PPI5" s="433"/>
      <c r="PPJ5" s="433"/>
      <c r="PPK5" s="433"/>
      <c r="PPL5" s="433"/>
      <c r="PPM5" s="433"/>
      <c r="PPN5" s="433"/>
      <c r="PPO5" s="433"/>
      <c r="PPP5" s="433"/>
      <c r="PPQ5" s="433"/>
      <c r="PPR5" s="433"/>
      <c r="PPS5" s="433"/>
      <c r="PPT5" s="433"/>
      <c r="PPU5" s="433"/>
      <c r="PPV5" s="433"/>
      <c r="PPW5" s="433"/>
      <c r="PPX5" s="433"/>
      <c r="PPY5" s="433"/>
      <c r="PPZ5" s="433"/>
      <c r="PQA5" s="433"/>
      <c r="PQB5" s="433"/>
      <c r="PQC5" s="433"/>
      <c r="PQD5" s="433"/>
      <c r="PQE5" s="433"/>
      <c r="PQF5" s="433"/>
      <c r="PQG5" s="433"/>
      <c r="PQH5" s="433"/>
      <c r="PQI5" s="433"/>
      <c r="PQJ5" s="433"/>
      <c r="PQK5" s="433"/>
      <c r="PQL5" s="433"/>
      <c r="PQM5" s="433"/>
      <c r="PQN5" s="433"/>
      <c r="PQO5" s="433"/>
      <c r="PQP5" s="433"/>
      <c r="PQQ5" s="433"/>
      <c r="PQR5" s="433"/>
      <c r="PQS5" s="433"/>
      <c r="PQT5" s="433"/>
      <c r="PQU5" s="433"/>
      <c r="PQV5" s="433"/>
      <c r="PQW5" s="433"/>
      <c r="PQX5" s="433"/>
      <c r="PQY5" s="433"/>
      <c r="PQZ5" s="433"/>
      <c r="PRA5" s="433"/>
      <c r="PRB5" s="433"/>
      <c r="PRC5" s="433"/>
      <c r="PRD5" s="433"/>
      <c r="PRE5" s="433"/>
      <c r="PRF5" s="433"/>
      <c r="PRG5" s="433"/>
      <c r="PRH5" s="433"/>
      <c r="PRI5" s="433"/>
      <c r="PRJ5" s="433"/>
      <c r="PRK5" s="433"/>
      <c r="PRL5" s="433"/>
      <c r="PRM5" s="433"/>
      <c r="PRN5" s="433"/>
      <c r="PRO5" s="433"/>
      <c r="PRP5" s="433"/>
      <c r="PRQ5" s="433"/>
      <c r="PRR5" s="433"/>
      <c r="PRS5" s="433"/>
      <c r="PRT5" s="433"/>
      <c r="PRU5" s="433"/>
      <c r="PRV5" s="433"/>
      <c r="PRW5" s="433"/>
      <c r="PRX5" s="433"/>
      <c r="PRY5" s="433"/>
      <c r="PRZ5" s="433"/>
      <c r="PSA5" s="433"/>
      <c r="PSB5" s="433"/>
      <c r="PSC5" s="433"/>
      <c r="PSD5" s="433"/>
      <c r="PSE5" s="433"/>
      <c r="PSF5" s="433"/>
      <c r="PSG5" s="433"/>
      <c r="PSH5" s="433"/>
      <c r="PSI5" s="433"/>
      <c r="PSJ5" s="433"/>
      <c r="PSK5" s="433"/>
      <c r="PSL5" s="433"/>
      <c r="PSM5" s="433"/>
      <c r="PSN5" s="433"/>
      <c r="PSO5" s="433"/>
      <c r="PSP5" s="433"/>
      <c r="PSQ5" s="433"/>
      <c r="PSR5" s="433"/>
      <c r="PSS5" s="433"/>
      <c r="PST5" s="433"/>
      <c r="PSU5" s="433"/>
      <c r="PSV5" s="433"/>
      <c r="PSW5" s="433"/>
      <c r="PSX5" s="433"/>
      <c r="PSY5" s="433"/>
      <c r="PSZ5" s="433"/>
      <c r="PTA5" s="433"/>
      <c r="PTB5" s="433"/>
      <c r="PTC5" s="433"/>
      <c r="PTD5" s="433"/>
      <c r="PTE5" s="433"/>
      <c r="PTF5" s="433"/>
      <c r="PTG5" s="433"/>
      <c r="PTH5" s="433"/>
      <c r="PTI5" s="433"/>
      <c r="PTJ5" s="433"/>
      <c r="PTK5" s="433"/>
      <c r="PTL5" s="433"/>
      <c r="PTM5" s="433"/>
      <c r="PTN5" s="433"/>
      <c r="PTO5" s="433"/>
      <c r="PTP5" s="433"/>
      <c r="PTQ5" s="433"/>
      <c r="PTR5" s="433"/>
      <c r="PTS5" s="433"/>
      <c r="PTT5" s="433"/>
      <c r="PTU5" s="433"/>
      <c r="PTV5" s="433"/>
      <c r="PTW5" s="433"/>
      <c r="PTX5" s="433"/>
      <c r="PTY5" s="433"/>
      <c r="PTZ5" s="433"/>
      <c r="PUA5" s="433"/>
      <c r="PUB5" s="433"/>
      <c r="PUC5" s="433"/>
      <c r="PUD5" s="433"/>
      <c r="PUE5" s="433"/>
      <c r="PUF5" s="433"/>
      <c r="PUG5" s="433"/>
      <c r="PUH5" s="433"/>
      <c r="PUI5" s="433"/>
      <c r="PUJ5" s="433"/>
      <c r="PUK5" s="433"/>
      <c r="PUL5" s="433"/>
      <c r="PUM5" s="433"/>
      <c r="PUN5" s="433"/>
      <c r="PUO5" s="433"/>
      <c r="PUP5" s="433"/>
      <c r="PUQ5" s="433"/>
      <c r="PUR5" s="433"/>
      <c r="PUS5" s="433"/>
      <c r="PUT5" s="433"/>
      <c r="PUU5" s="433"/>
      <c r="PUV5" s="433"/>
      <c r="PUW5" s="433"/>
      <c r="PUX5" s="433"/>
      <c r="PUY5" s="433"/>
      <c r="PUZ5" s="433"/>
      <c r="PVA5" s="433"/>
      <c r="PVB5" s="433"/>
      <c r="PVC5" s="433"/>
      <c r="PVD5" s="433"/>
      <c r="PVE5" s="433"/>
      <c r="PVF5" s="433"/>
      <c r="PVG5" s="433"/>
      <c r="PVH5" s="433"/>
      <c r="PVI5" s="433"/>
      <c r="PVJ5" s="433"/>
      <c r="PVK5" s="433"/>
      <c r="PVL5" s="433"/>
      <c r="PVM5" s="433"/>
      <c r="PVN5" s="433"/>
      <c r="PVO5" s="433"/>
      <c r="PVP5" s="433"/>
      <c r="PVQ5" s="433"/>
      <c r="PVR5" s="433"/>
      <c r="PVS5" s="433"/>
      <c r="PVT5" s="433"/>
      <c r="PVU5" s="433"/>
      <c r="PVV5" s="433"/>
      <c r="PVW5" s="433"/>
      <c r="PVX5" s="433"/>
      <c r="PVY5" s="433"/>
      <c r="PVZ5" s="433"/>
      <c r="PWA5" s="433"/>
      <c r="PWB5" s="433"/>
      <c r="PWC5" s="433"/>
      <c r="PWD5" s="433"/>
      <c r="PWE5" s="433"/>
      <c r="PWF5" s="433"/>
      <c r="PWG5" s="433"/>
      <c r="PWH5" s="433"/>
      <c r="PWI5" s="433"/>
      <c r="PWJ5" s="433"/>
      <c r="PWK5" s="433"/>
      <c r="PWL5" s="433"/>
      <c r="PWM5" s="433"/>
      <c r="PWN5" s="433"/>
      <c r="PWO5" s="433"/>
      <c r="PWP5" s="433"/>
      <c r="PWQ5" s="433"/>
      <c r="PWR5" s="433"/>
      <c r="PWS5" s="433"/>
      <c r="PWT5" s="433"/>
      <c r="PWU5" s="433"/>
      <c r="PWV5" s="433"/>
      <c r="PWW5" s="433"/>
      <c r="PWX5" s="433"/>
      <c r="PWY5" s="433"/>
      <c r="PWZ5" s="433"/>
      <c r="PXA5" s="433"/>
      <c r="PXB5" s="433"/>
      <c r="PXC5" s="433"/>
      <c r="PXD5" s="433"/>
      <c r="PXE5" s="433"/>
      <c r="PXF5" s="433"/>
      <c r="PXG5" s="433"/>
      <c r="PXH5" s="433"/>
      <c r="PXI5" s="433"/>
      <c r="PXJ5" s="433"/>
      <c r="PXK5" s="433"/>
      <c r="PXL5" s="433"/>
      <c r="PXM5" s="433"/>
      <c r="PXN5" s="433"/>
      <c r="PXO5" s="433"/>
      <c r="PXP5" s="433"/>
      <c r="PXQ5" s="433"/>
      <c r="PXR5" s="433"/>
      <c r="PXS5" s="433"/>
      <c r="PXT5" s="433"/>
      <c r="PXU5" s="433"/>
      <c r="PXV5" s="433"/>
      <c r="PXW5" s="433"/>
      <c r="PXX5" s="433"/>
      <c r="PXY5" s="433"/>
      <c r="PXZ5" s="433"/>
      <c r="PYA5" s="433"/>
      <c r="PYB5" s="433"/>
      <c r="PYC5" s="433"/>
      <c r="PYD5" s="433"/>
      <c r="PYE5" s="433"/>
      <c r="PYF5" s="433"/>
      <c r="PYG5" s="433"/>
      <c r="PYH5" s="433"/>
      <c r="PYI5" s="433"/>
      <c r="PYJ5" s="433"/>
      <c r="PYK5" s="433"/>
      <c r="PYL5" s="433"/>
      <c r="PYM5" s="433"/>
      <c r="PYN5" s="433"/>
      <c r="PYO5" s="433"/>
      <c r="PYP5" s="433"/>
      <c r="PYQ5" s="433"/>
      <c r="PYR5" s="433"/>
      <c r="PYS5" s="433"/>
      <c r="PYT5" s="433"/>
      <c r="PYU5" s="433"/>
      <c r="PYV5" s="433"/>
      <c r="PYW5" s="433"/>
      <c r="PYX5" s="433"/>
      <c r="PYY5" s="433"/>
      <c r="PYZ5" s="433"/>
      <c r="PZA5" s="433"/>
      <c r="PZB5" s="433"/>
      <c r="PZC5" s="433"/>
      <c r="PZD5" s="433"/>
      <c r="PZE5" s="433"/>
      <c r="PZF5" s="433"/>
      <c r="PZG5" s="433"/>
      <c r="PZH5" s="433"/>
      <c r="PZI5" s="433"/>
      <c r="PZJ5" s="433"/>
      <c r="PZK5" s="433"/>
      <c r="PZL5" s="433"/>
      <c r="PZM5" s="433"/>
      <c r="PZN5" s="433"/>
      <c r="PZO5" s="433"/>
      <c r="PZP5" s="433"/>
      <c r="PZQ5" s="433"/>
      <c r="PZR5" s="433"/>
      <c r="PZS5" s="433"/>
      <c r="PZT5" s="433"/>
      <c r="PZU5" s="433"/>
      <c r="PZV5" s="433"/>
      <c r="PZW5" s="433"/>
      <c r="PZX5" s="433"/>
      <c r="PZY5" s="433"/>
      <c r="PZZ5" s="433"/>
      <c r="QAA5" s="433"/>
      <c r="QAB5" s="433"/>
      <c r="QAC5" s="433"/>
      <c r="QAD5" s="433"/>
      <c r="QAE5" s="433"/>
      <c r="QAF5" s="433"/>
      <c r="QAG5" s="433"/>
      <c r="QAH5" s="433"/>
      <c r="QAI5" s="433"/>
      <c r="QAJ5" s="433"/>
      <c r="QAK5" s="433"/>
      <c r="QAL5" s="433"/>
      <c r="QAM5" s="433"/>
      <c r="QAN5" s="433"/>
      <c r="QAO5" s="433"/>
      <c r="QAP5" s="433"/>
      <c r="QAQ5" s="433"/>
      <c r="QAR5" s="433"/>
      <c r="QAS5" s="433"/>
      <c r="QAT5" s="433"/>
      <c r="QAU5" s="433"/>
      <c r="QAV5" s="433"/>
      <c r="QAW5" s="433"/>
      <c r="QAX5" s="433"/>
      <c r="QAY5" s="433"/>
      <c r="QAZ5" s="433"/>
      <c r="QBA5" s="433"/>
      <c r="QBB5" s="433"/>
      <c r="QBC5" s="433"/>
      <c r="QBD5" s="433"/>
      <c r="QBE5" s="433"/>
      <c r="QBF5" s="433"/>
      <c r="QBG5" s="433"/>
      <c r="QBH5" s="433"/>
      <c r="QBI5" s="433"/>
      <c r="QBJ5" s="433"/>
      <c r="QBK5" s="433"/>
      <c r="QBL5" s="433"/>
      <c r="QBM5" s="433"/>
      <c r="QBN5" s="433"/>
      <c r="QBO5" s="433"/>
      <c r="QBP5" s="433"/>
      <c r="QBQ5" s="433"/>
      <c r="QBR5" s="433"/>
      <c r="QBS5" s="433"/>
      <c r="QBT5" s="433"/>
      <c r="QBU5" s="433"/>
      <c r="QBV5" s="433"/>
      <c r="QBW5" s="433"/>
      <c r="QBX5" s="433"/>
      <c r="QBY5" s="433"/>
      <c r="QBZ5" s="433"/>
      <c r="QCA5" s="433"/>
      <c r="QCB5" s="433"/>
      <c r="QCC5" s="433"/>
      <c r="QCD5" s="433"/>
      <c r="QCE5" s="433"/>
      <c r="QCF5" s="433"/>
      <c r="QCG5" s="433"/>
      <c r="QCH5" s="433"/>
      <c r="QCI5" s="433"/>
      <c r="QCJ5" s="433"/>
      <c r="QCK5" s="433"/>
      <c r="QCL5" s="433"/>
      <c r="QCM5" s="433"/>
      <c r="QCN5" s="433"/>
      <c r="QCO5" s="433"/>
      <c r="QCP5" s="433"/>
      <c r="QCQ5" s="433"/>
      <c r="QCR5" s="433"/>
      <c r="QCS5" s="433"/>
      <c r="QCT5" s="433"/>
      <c r="QCU5" s="433"/>
      <c r="QCV5" s="433"/>
      <c r="QCW5" s="433"/>
      <c r="QCX5" s="433"/>
      <c r="QCY5" s="433"/>
      <c r="QCZ5" s="433"/>
      <c r="QDA5" s="433"/>
      <c r="QDB5" s="433"/>
      <c r="QDC5" s="433"/>
      <c r="QDD5" s="433"/>
      <c r="QDE5" s="433"/>
      <c r="QDF5" s="433"/>
      <c r="QDG5" s="433"/>
      <c r="QDH5" s="433"/>
      <c r="QDI5" s="433"/>
      <c r="QDJ5" s="433"/>
      <c r="QDK5" s="433"/>
      <c r="QDL5" s="433"/>
      <c r="QDM5" s="433"/>
      <c r="QDN5" s="433"/>
      <c r="QDO5" s="433"/>
      <c r="QDP5" s="433"/>
      <c r="QDQ5" s="433"/>
      <c r="QDR5" s="433"/>
      <c r="QDS5" s="433"/>
      <c r="QDT5" s="433"/>
      <c r="QDU5" s="433"/>
      <c r="QDV5" s="433"/>
      <c r="QDW5" s="433"/>
      <c r="QDX5" s="433"/>
      <c r="QDY5" s="433"/>
      <c r="QDZ5" s="433"/>
      <c r="QEA5" s="433"/>
      <c r="QEB5" s="433"/>
      <c r="QEC5" s="433"/>
      <c r="QED5" s="433"/>
      <c r="QEE5" s="433"/>
      <c r="QEF5" s="433"/>
      <c r="QEG5" s="433"/>
      <c r="QEH5" s="433"/>
      <c r="QEI5" s="433"/>
      <c r="QEJ5" s="433"/>
      <c r="QEK5" s="433"/>
      <c r="QEL5" s="433"/>
      <c r="QEM5" s="433"/>
      <c r="QEN5" s="433"/>
      <c r="QEO5" s="433"/>
      <c r="QEP5" s="433"/>
      <c r="QEQ5" s="433"/>
      <c r="QER5" s="433"/>
      <c r="QES5" s="433"/>
      <c r="QET5" s="433"/>
      <c r="QEU5" s="433"/>
      <c r="QEV5" s="433"/>
      <c r="QEW5" s="433"/>
      <c r="QEX5" s="433"/>
      <c r="QEY5" s="433"/>
      <c r="QEZ5" s="433"/>
      <c r="QFA5" s="433"/>
      <c r="QFB5" s="433"/>
      <c r="QFC5" s="433"/>
      <c r="QFD5" s="433"/>
      <c r="QFE5" s="433"/>
      <c r="QFF5" s="433"/>
      <c r="QFG5" s="433"/>
      <c r="QFH5" s="433"/>
      <c r="QFI5" s="433"/>
      <c r="QFJ5" s="433"/>
      <c r="QFK5" s="433"/>
      <c r="QFL5" s="433"/>
      <c r="QFM5" s="433"/>
      <c r="QFN5" s="433"/>
      <c r="QFO5" s="433"/>
      <c r="QFP5" s="433"/>
      <c r="QFQ5" s="433"/>
      <c r="QFR5" s="433"/>
      <c r="QFS5" s="433"/>
      <c r="QFT5" s="433"/>
      <c r="QFU5" s="433"/>
      <c r="QFV5" s="433"/>
      <c r="QFW5" s="433"/>
      <c r="QFX5" s="433"/>
      <c r="QFY5" s="433"/>
      <c r="QFZ5" s="433"/>
      <c r="QGA5" s="433"/>
      <c r="QGB5" s="433"/>
      <c r="QGC5" s="433"/>
      <c r="QGD5" s="433"/>
      <c r="QGE5" s="433"/>
      <c r="QGF5" s="433"/>
      <c r="QGG5" s="433"/>
      <c r="QGH5" s="433"/>
      <c r="QGI5" s="433"/>
      <c r="QGJ5" s="433"/>
      <c r="QGK5" s="433"/>
      <c r="QGL5" s="433"/>
      <c r="QGM5" s="433"/>
      <c r="QGN5" s="433"/>
      <c r="QGO5" s="433"/>
      <c r="QGP5" s="433"/>
      <c r="QGQ5" s="433"/>
      <c r="QGR5" s="433"/>
      <c r="QGS5" s="433"/>
      <c r="QGT5" s="433"/>
      <c r="QGU5" s="433"/>
      <c r="QGV5" s="433"/>
      <c r="QGW5" s="433"/>
      <c r="QGX5" s="433"/>
      <c r="QGY5" s="433"/>
      <c r="QGZ5" s="433"/>
      <c r="QHA5" s="433"/>
      <c r="QHB5" s="433"/>
      <c r="QHC5" s="433"/>
      <c r="QHD5" s="433"/>
      <c r="QHE5" s="433"/>
      <c r="QHF5" s="433"/>
      <c r="QHG5" s="433"/>
      <c r="QHH5" s="433"/>
      <c r="QHI5" s="433"/>
      <c r="QHJ5" s="433"/>
      <c r="QHK5" s="433"/>
      <c r="QHL5" s="433"/>
      <c r="QHM5" s="433"/>
      <c r="QHN5" s="433"/>
      <c r="QHO5" s="433"/>
      <c r="QHP5" s="433"/>
      <c r="QHQ5" s="433"/>
      <c r="QHR5" s="433"/>
      <c r="QHS5" s="433"/>
      <c r="QHT5" s="433"/>
      <c r="QHU5" s="433"/>
      <c r="QHV5" s="433"/>
      <c r="QHW5" s="433"/>
      <c r="QHX5" s="433"/>
      <c r="QHY5" s="433"/>
      <c r="QHZ5" s="433"/>
      <c r="QIA5" s="433"/>
      <c r="QIB5" s="433"/>
      <c r="QIC5" s="433"/>
      <c r="QID5" s="433"/>
      <c r="QIE5" s="433"/>
      <c r="QIF5" s="433"/>
      <c r="QIG5" s="433"/>
      <c r="QIH5" s="433"/>
      <c r="QII5" s="433"/>
      <c r="QIJ5" s="433"/>
      <c r="QIK5" s="433"/>
      <c r="QIL5" s="433"/>
      <c r="QIM5" s="433"/>
      <c r="QIN5" s="433"/>
      <c r="QIO5" s="433"/>
      <c r="QIP5" s="433"/>
      <c r="QIQ5" s="433"/>
      <c r="QIR5" s="433"/>
      <c r="QIS5" s="433"/>
      <c r="QIT5" s="433"/>
      <c r="QIU5" s="433"/>
      <c r="QIV5" s="433"/>
      <c r="QIW5" s="433"/>
      <c r="QIX5" s="433"/>
      <c r="QIY5" s="433"/>
      <c r="QIZ5" s="433"/>
      <c r="QJA5" s="433"/>
      <c r="QJB5" s="433"/>
      <c r="QJC5" s="433"/>
      <c r="QJD5" s="433"/>
      <c r="QJE5" s="433"/>
      <c r="QJF5" s="433"/>
      <c r="QJG5" s="433"/>
      <c r="QJH5" s="433"/>
      <c r="QJI5" s="433"/>
      <c r="QJJ5" s="433"/>
      <c r="QJK5" s="433"/>
      <c r="QJL5" s="433"/>
      <c r="QJM5" s="433"/>
      <c r="QJN5" s="433"/>
      <c r="QJO5" s="433"/>
      <c r="QJP5" s="433"/>
      <c r="QJQ5" s="433"/>
      <c r="QJR5" s="433"/>
      <c r="QJS5" s="433"/>
      <c r="QJT5" s="433"/>
      <c r="QJU5" s="433"/>
      <c r="QJV5" s="433"/>
      <c r="QJW5" s="433"/>
      <c r="QJX5" s="433"/>
      <c r="QJY5" s="433"/>
      <c r="QJZ5" s="433"/>
      <c r="QKA5" s="433"/>
      <c r="QKB5" s="433"/>
      <c r="QKC5" s="433"/>
      <c r="QKD5" s="433"/>
      <c r="QKE5" s="433"/>
      <c r="QKF5" s="433"/>
      <c r="QKG5" s="433"/>
      <c r="QKH5" s="433"/>
      <c r="QKI5" s="433"/>
      <c r="QKJ5" s="433"/>
      <c r="QKK5" s="433"/>
      <c r="QKL5" s="433"/>
      <c r="QKM5" s="433"/>
      <c r="QKN5" s="433"/>
      <c r="QKO5" s="433"/>
      <c r="QKP5" s="433"/>
      <c r="QKQ5" s="433"/>
      <c r="QKR5" s="433"/>
      <c r="QKS5" s="433"/>
      <c r="QKT5" s="433"/>
      <c r="QKU5" s="433"/>
      <c r="QKV5" s="433"/>
      <c r="QKW5" s="433"/>
      <c r="QKX5" s="433"/>
      <c r="QKY5" s="433"/>
      <c r="QKZ5" s="433"/>
      <c r="QLA5" s="433"/>
      <c r="QLB5" s="433"/>
      <c r="QLC5" s="433"/>
      <c r="QLD5" s="433"/>
      <c r="QLE5" s="433"/>
      <c r="QLF5" s="433"/>
      <c r="QLG5" s="433"/>
      <c r="QLH5" s="433"/>
      <c r="QLI5" s="433"/>
      <c r="QLJ5" s="433"/>
      <c r="QLK5" s="433"/>
      <c r="QLL5" s="433"/>
      <c r="QLM5" s="433"/>
      <c r="QLN5" s="433"/>
      <c r="QLO5" s="433"/>
      <c r="QLP5" s="433"/>
      <c r="QLQ5" s="433"/>
      <c r="QLR5" s="433"/>
      <c r="QLS5" s="433"/>
      <c r="QLT5" s="433"/>
      <c r="QLU5" s="433"/>
      <c r="QLV5" s="433"/>
      <c r="QLW5" s="433"/>
      <c r="QLX5" s="433"/>
      <c r="QLY5" s="433"/>
      <c r="QLZ5" s="433"/>
      <c r="QMA5" s="433"/>
      <c r="QMB5" s="433"/>
      <c r="QMC5" s="433"/>
      <c r="QMD5" s="433"/>
      <c r="QME5" s="433"/>
      <c r="QMF5" s="433"/>
      <c r="QMG5" s="433"/>
      <c r="QMH5" s="433"/>
      <c r="QMI5" s="433"/>
      <c r="QMJ5" s="433"/>
      <c r="QMK5" s="433"/>
      <c r="QML5" s="433"/>
      <c r="QMM5" s="433"/>
      <c r="QMN5" s="433"/>
      <c r="QMO5" s="433"/>
      <c r="QMP5" s="433"/>
      <c r="QMQ5" s="433"/>
      <c r="QMR5" s="433"/>
      <c r="QMS5" s="433"/>
      <c r="QMT5" s="433"/>
      <c r="QMU5" s="433"/>
      <c r="QMV5" s="433"/>
      <c r="QMW5" s="433"/>
      <c r="QMX5" s="433"/>
      <c r="QMY5" s="433"/>
      <c r="QMZ5" s="433"/>
      <c r="QNA5" s="433"/>
      <c r="QNB5" s="433"/>
      <c r="QNC5" s="433"/>
      <c r="QND5" s="433"/>
      <c r="QNE5" s="433"/>
      <c r="QNF5" s="433"/>
      <c r="QNG5" s="433"/>
      <c r="QNH5" s="433"/>
      <c r="QNI5" s="433"/>
      <c r="QNJ5" s="433"/>
      <c r="QNK5" s="433"/>
      <c r="QNL5" s="433"/>
      <c r="QNM5" s="433"/>
      <c r="QNN5" s="433"/>
      <c r="QNO5" s="433"/>
      <c r="QNP5" s="433"/>
      <c r="QNQ5" s="433"/>
      <c r="QNR5" s="433"/>
      <c r="QNS5" s="433"/>
      <c r="QNT5" s="433"/>
      <c r="QNU5" s="433"/>
      <c r="QNV5" s="433"/>
      <c r="QNW5" s="433"/>
      <c r="QNX5" s="433"/>
      <c r="QNY5" s="433"/>
      <c r="QNZ5" s="433"/>
      <c r="QOA5" s="433"/>
      <c r="QOB5" s="433"/>
      <c r="QOC5" s="433"/>
      <c r="QOD5" s="433"/>
      <c r="QOE5" s="433"/>
      <c r="QOF5" s="433"/>
      <c r="QOG5" s="433"/>
      <c r="QOH5" s="433"/>
      <c r="QOI5" s="433"/>
      <c r="QOJ5" s="433"/>
      <c r="QOK5" s="433"/>
      <c r="QOL5" s="433"/>
      <c r="QOM5" s="433"/>
      <c r="QON5" s="433"/>
      <c r="QOO5" s="433"/>
      <c r="QOP5" s="433"/>
      <c r="QOQ5" s="433"/>
      <c r="QOR5" s="433"/>
      <c r="QOS5" s="433"/>
      <c r="QOT5" s="433"/>
      <c r="QOU5" s="433"/>
      <c r="QOV5" s="433"/>
      <c r="QOW5" s="433"/>
      <c r="QOX5" s="433"/>
      <c r="QOY5" s="433"/>
      <c r="QOZ5" s="433"/>
      <c r="QPA5" s="433"/>
      <c r="QPB5" s="433"/>
      <c r="QPC5" s="433"/>
      <c r="QPD5" s="433"/>
      <c r="QPE5" s="433"/>
      <c r="QPF5" s="433"/>
      <c r="QPG5" s="433"/>
      <c r="QPH5" s="433"/>
      <c r="QPI5" s="433"/>
      <c r="QPJ5" s="433"/>
      <c r="QPK5" s="433"/>
      <c r="QPL5" s="433"/>
      <c r="QPM5" s="433"/>
      <c r="QPN5" s="433"/>
      <c r="QPO5" s="433"/>
      <c r="QPP5" s="433"/>
      <c r="QPQ5" s="433"/>
      <c r="QPR5" s="433"/>
      <c r="QPS5" s="433"/>
      <c r="QPT5" s="433"/>
      <c r="QPU5" s="433"/>
      <c r="QPV5" s="433"/>
      <c r="QPW5" s="433"/>
      <c r="QPX5" s="433"/>
      <c r="QPY5" s="433"/>
      <c r="QPZ5" s="433"/>
      <c r="QQA5" s="433"/>
      <c r="QQB5" s="433"/>
      <c r="QQC5" s="433"/>
      <c r="QQD5" s="433"/>
      <c r="QQE5" s="433"/>
      <c r="QQF5" s="433"/>
      <c r="QQG5" s="433"/>
      <c r="QQH5" s="433"/>
      <c r="QQI5" s="433"/>
      <c r="QQJ5" s="433"/>
      <c r="QQK5" s="433"/>
      <c r="QQL5" s="433"/>
      <c r="QQM5" s="433"/>
      <c r="QQN5" s="433"/>
      <c r="QQO5" s="433"/>
      <c r="QQP5" s="433"/>
      <c r="QQQ5" s="433"/>
      <c r="QQR5" s="433"/>
      <c r="QQS5" s="433"/>
      <c r="QQT5" s="433"/>
      <c r="QQU5" s="433"/>
      <c r="QQV5" s="433"/>
      <c r="QQW5" s="433"/>
      <c r="QQX5" s="433"/>
      <c r="QQY5" s="433"/>
      <c r="QQZ5" s="433"/>
      <c r="QRA5" s="433"/>
      <c r="QRB5" s="433"/>
      <c r="QRC5" s="433"/>
      <c r="QRD5" s="433"/>
      <c r="QRE5" s="433"/>
      <c r="QRF5" s="433"/>
      <c r="QRG5" s="433"/>
      <c r="QRH5" s="433"/>
      <c r="QRI5" s="433"/>
      <c r="QRJ5" s="433"/>
      <c r="QRK5" s="433"/>
      <c r="QRL5" s="433"/>
      <c r="QRM5" s="433"/>
      <c r="QRN5" s="433"/>
      <c r="QRO5" s="433"/>
      <c r="QRP5" s="433"/>
      <c r="QRQ5" s="433"/>
      <c r="QRR5" s="433"/>
      <c r="QRS5" s="433"/>
      <c r="QRT5" s="433"/>
      <c r="QRU5" s="433"/>
      <c r="QRV5" s="433"/>
      <c r="QRW5" s="433"/>
      <c r="QRX5" s="433"/>
      <c r="QRY5" s="433"/>
      <c r="QRZ5" s="433"/>
      <c r="QSA5" s="433"/>
      <c r="QSB5" s="433"/>
      <c r="QSC5" s="433"/>
      <c r="QSD5" s="433"/>
      <c r="QSE5" s="433"/>
      <c r="QSF5" s="433"/>
      <c r="QSG5" s="433"/>
      <c r="QSH5" s="433"/>
      <c r="QSI5" s="433"/>
      <c r="QSJ5" s="433"/>
      <c r="QSK5" s="433"/>
      <c r="QSL5" s="433"/>
      <c r="QSM5" s="433"/>
      <c r="QSN5" s="433"/>
      <c r="QSO5" s="433"/>
      <c r="QSP5" s="433"/>
      <c r="QSQ5" s="433"/>
      <c r="QSR5" s="433"/>
      <c r="QSS5" s="433"/>
      <c r="QST5" s="433"/>
      <c r="QSU5" s="433"/>
      <c r="QSV5" s="433"/>
      <c r="QSW5" s="433"/>
      <c r="QSX5" s="433"/>
      <c r="QSY5" s="433"/>
      <c r="QSZ5" s="433"/>
      <c r="QTA5" s="433"/>
      <c r="QTB5" s="433"/>
      <c r="QTC5" s="433"/>
      <c r="QTD5" s="433"/>
      <c r="QTE5" s="433"/>
      <c r="QTF5" s="433"/>
      <c r="QTG5" s="433"/>
      <c r="QTH5" s="433"/>
      <c r="QTI5" s="433"/>
      <c r="QTJ5" s="433"/>
      <c r="QTK5" s="433"/>
      <c r="QTL5" s="433"/>
      <c r="QTM5" s="433"/>
      <c r="QTN5" s="433"/>
      <c r="QTO5" s="433"/>
      <c r="QTP5" s="433"/>
      <c r="QTQ5" s="433"/>
      <c r="QTR5" s="433"/>
      <c r="QTS5" s="433"/>
      <c r="QTT5" s="433"/>
      <c r="QTU5" s="433"/>
      <c r="QTV5" s="433"/>
      <c r="QTW5" s="433"/>
      <c r="QTX5" s="433"/>
      <c r="QTY5" s="433"/>
      <c r="QTZ5" s="433"/>
      <c r="QUA5" s="433"/>
      <c r="QUB5" s="433"/>
      <c r="QUC5" s="433"/>
      <c r="QUD5" s="433"/>
      <c r="QUE5" s="433"/>
      <c r="QUF5" s="433"/>
      <c r="QUG5" s="433"/>
      <c r="QUH5" s="433"/>
      <c r="QUI5" s="433"/>
      <c r="QUJ5" s="433"/>
      <c r="QUK5" s="433"/>
      <c r="QUL5" s="433"/>
      <c r="QUM5" s="433"/>
      <c r="QUN5" s="433"/>
      <c r="QUO5" s="433"/>
      <c r="QUP5" s="433"/>
      <c r="QUQ5" s="433"/>
      <c r="QUR5" s="433"/>
      <c r="QUS5" s="433"/>
      <c r="QUT5" s="433"/>
      <c r="QUU5" s="433"/>
      <c r="QUV5" s="433"/>
      <c r="QUW5" s="433"/>
      <c r="QUX5" s="433"/>
      <c r="QUY5" s="433"/>
      <c r="QUZ5" s="433"/>
      <c r="QVA5" s="433"/>
      <c r="QVB5" s="433"/>
      <c r="QVC5" s="433"/>
      <c r="QVD5" s="433"/>
      <c r="QVE5" s="433"/>
      <c r="QVF5" s="433"/>
      <c r="QVG5" s="433"/>
      <c r="QVH5" s="433"/>
      <c r="QVI5" s="433"/>
      <c r="QVJ5" s="433"/>
      <c r="QVK5" s="433"/>
      <c r="QVL5" s="433"/>
      <c r="QVM5" s="433"/>
      <c r="QVN5" s="433"/>
      <c r="QVO5" s="433"/>
      <c r="QVP5" s="433"/>
      <c r="QVQ5" s="433"/>
      <c r="QVR5" s="433"/>
      <c r="QVS5" s="433"/>
      <c r="QVT5" s="433"/>
      <c r="QVU5" s="433"/>
      <c r="QVV5" s="433"/>
      <c r="QVW5" s="433"/>
      <c r="QVX5" s="433"/>
      <c r="QVY5" s="433"/>
      <c r="QVZ5" s="433"/>
      <c r="QWA5" s="433"/>
      <c r="QWB5" s="433"/>
      <c r="QWC5" s="433"/>
      <c r="QWD5" s="433"/>
      <c r="QWE5" s="433"/>
      <c r="QWF5" s="433"/>
      <c r="QWG5" s="433"/>
      <c r="QWH5" s="433"/>
      <c r="QWI5" s="433"/>
      <c r="QWJ5" s="433"/>
      <c r="QWK5" s="433"/>
      <c r="QWL5" s="433"/>
      <c r="QWM5" s="433"/>
      <c r="QWN5" s="433"/>
      <c r="QWO5" s="433"/>
      <c r="QWP5" s="433"/>
      <c r="QWQ5" s="433"/>
      <c r="QWR5" s="433"/>
      <c r="QWS5" s="433"/>
      <c r="QWT5" s="433"/>
      <c r="QWU5" s="433"/>
      <c r="QWV5" s="433"/>
      <c r="QWW5" s="433"/>
      <c r="QWX5" s="433"/>
      <c r="QWY5" s="433"/>
      <c r="QWZ5" s="433"/>
      <c r="QXA5" s="433"/>
      <c r="QXB5" s="433"/>
      <c r="QXC5" s="433"/>
      <c r="QXD5" s="433"/>
      <c r="QXE5" s="433"/>
      <c r="QXF5" s="433"/>
      <c r="QXG5" s="433"/>
      <c r="QXH5" s="433"/>
      <c r="QXI5" s="433"/>
      <c r="QXJ5" s="433"/>
      <c r="QXK5" s="433"/>
      <c r="QXL5" s="433"/>
      <c r="QXM5" s="433"/>
      <c r="QXN5" s="433"/>
      <c r="QXO5" s="433"/>
      <c r="QXP5" s="433"/>
      <c r="QXQ5" s="433"/>
      <c r="QXR5" s="433"/>
      <c r="QXS5" s="433"/>
      <c r="QXT5" s="433"/>
      <c r="QXU5" s="433"/>
      <c r="QXV5" s="433"/>
      <c r="QXW5" s="433"/>
      <c r="QXX5" s="433"/>
      <c r="QXY5" s="433"/>
      <c r="QXZ5" s="433"/>
      <c r="QYA5" s="433"/>
      <c r="QYB5" s="433"/>
      <c r="QYC5" s="433"/>
      <c r="QYD5" s="433"/>
      <c r="QYE5" s="433"/>
      <c r="QYF5" s="433"/>
      <c r="QYG5" s="433"/>
      <c r="QYH5" s="433"/>
      <c r="QYI5" s="433"/>
      <c r="QYJ5" s="433"/>
      <c r="QYK5" s="433"/>
      <c r="QYL5" s="433"/>
      <c r="QYM5" s="433"/>
      <c r="QYN5" s="433"/>
      <c r="QYO5" s="433"/>
      <c r="QYP5" s="433"/>
      <c r="QYQ5" s="433"/>
      <c r="QYR5" s="433"/>
      <c r="QYS5" s="433"/>
      <c r="QYT5" s="433"/>
      <c r="QYU5" s="433"/>
      <c r="QYV5" s="433"/>
      <c r="QYW5" s="433"/>
      <c r="QYX5" s="433"/>
      <c r="QYY5" s="433"/>
      <c r="QYZ5" s="433"/>
      <c r="QZA5" s="433"/>
      <c r="QZB5" s="433"/>
      <c r="QZC5" s="433"/>
      <c r="QZD5" s="433"/>
      <c r="QZE5" s="433"/>
      <c r="QZF5" s="433"/>
      <c r="QZG5" s="433"/>
      <c r="QZH5" s="433"/>
      <c r="QZI5" s="433"/>
      <c r="QZJ5" s="433"/>
      <c r="QZK5" s="433"/>
      <c r="QZL5" s="433"/>
      <c r="QZM5" s="433"/>
      <c r="QZN5" s="433"/>
      <c r="QZO5" s="433"/>
      <c r="QZP5" s="433"/>
      <c r="QZQ5" s="433"/>
      <c r="QZR5" s="433"/>
      <c r="QZS5" s="433"/>
      <c r="QZT5" s="433"/>
      <c r="QZU5" s="433"/>
      <c r="QZV5" s="433"/>
      <c r="QZW5" s="433"/>
      <c r="QZX5" s="433"/>
      <c r="QZY5" s="433"/>
      <c r="QZZ5" s="433"/>
      <c r="RAA5" s="433"/>
      <c r="RAB5" s="433"/>
      <c r="RAC5" s="433"/>
      <c r="RAD5" s="433"/>
      <c r="RAE5" s="433"/>
      <c r="RAF5" s="433"/>
      <c r="RAG5" s="433"/>
      <c r="RAH5" s="433"/>
      <c r="RAI5" s="433"/>
      <c r="RAJ5" s="433"/>
      <c r="RAK5" s="433"/>
      <c r="RAL5" s="433"/>
      <c r="RAM5" s="433"/>
      <c r="RAN5" s="433"/>
      <c r="RAO5" s="433"/>
      <c r="RAP5" s="433"/>
      <c r="RAQ5" s="433"/>
      <c r="RAR5" s="433"/>
      <c r="RAS5" s="433"/>
      <c r="RAT5" s="433"/>
      <c r="RAU5" s="433"/>
      <c r="RAV5" s="433"/>
      <c r="RAW5" s="433"/>
      <c r="RAX5" s="433"/>
      <c r="RAY5" s="433"/>
      <c r="RAZ5" s="433"/>
      <c r="RBA5" s="433"/>
      <c r="RBB5" s="433"/>
      <c r="RBC5" s="433"/>
      <c r="RBD5" s="433"/>
      <c r="RBE5" s="433"/>
      <c r="RBF5" s="433"/>
      <c r="RBG5" s="433"/>
      <c r="RBH5" s="433"/>
      <c r="RBI5" s="433"/>
      <c r="RBJ5" s="433"/>
      <c r="RBK5" s="433"/>
      <c r="RBL5" s="433"/>
      <c r="RBM5" s="433"/>
      <c r="RBN5" s="433"/>
      <c r="RBO5" s="433"/>
      <c r="RBP5" s="433"/>
      <c r="RBQ5" s="433"/>
      <c r="RBR5" s="433"/>
      <c r="RBS5" s="433"/>
      <c r="RBT5" s="433"/>
      <c r="RBU5" s="433"/>
      <c r="RBV5" s="433"/>
      <c r="RBW5" s="433"/>
      <c r="RBX5" s="433"/>
      <c r="RBY5" s="433"/>
      <c r="RBZ5" s="433"/>
      <c r="RCA5" s="433"/>
      <c r="RCB5" s="433"/>
      <c r="RCC5" s="433"/>
      <c r="RCD5" s="433"/>
      <c r="RCE5" s="433"/>
      <c r="RCF5" s="433"/>
      <c r="RCG5" s="433"/>
      <c r="RCH5" s="433"/>
      <c r="RCI5" s="433"/>
      <c r="RCJ5" s="433"/>
      <c r="RCK5" s="433"/>
      <c r="RCL5" s="433"/>
      <c r="RCM5" s="433"/>
      <c r="RCN5" s="433"/>
      <c r="RCO5" s="433"/>
      <c r="RCP5" s="433"/>
      <c r="RCQ5" s="433"/>
      <c r="RCR5" s="433"/>
      <c r="RCS5" s="433"/>
      <c r="RCT5" s="433"/>
      <c r="RCU5" s="433"/>
      <c r="RCV5" s="433"/>
      <c r="RCW5" s="433"/>
      <c r="RCX5" s="433"/>
      <c r="RCY5" s="433"/>
      <c r="RCZ5" s="433"/>
      <c r="RDA5" s="433"/>
      <c r="RDB5" s="433"/>
      <c r="RDC5" s="433"/>
      <c r="RDD5" s="433"/>
      <c r="RDE5" s="433"/>
      <c r="RDF5" s="433"/>
      <c r="RDG5" s="433"/>
      <c r="RDH5" s="433"/>
      <c r="RDI5" s="433"/>
      <c r="RDJ5" s="433"/>
      <c r="RDK5" s="433"/>
      <c r="RDL5" s="433"/>
      <c r="RDM5" s="433"/>
      <c r="RDN5" s="433"/>
      <c r="RDO5" s="433"/>
      <c r="RDP5" s="433"/>
      <c r="RDQ5" s="433"/>
      <c r="RDR5" s="433"/>
      <c r="RDS5" s="433"/>
      <c r="RDT5" s="433"/>
      <c r="RDU5" s="433"/>
      <c r="RDV5" s="433"/>
      <c r="RDW5" s="433"/>
      <c r="RDX5" s="433"/>
      <c r="RDY5" s="433"/>
      <c r="RDZ5" s="433"/>
      <c r="REA5" s="433"/>
      <c r="REB5" s="433"/>
      <c r="REC5" s="433"/>
      <c r="RED5" s="433"/>
      <c r="REE5" s="433"/>
      <c r="REF5" s="433"/>
      <c r="REG5" s="433"/>
      <c r="REH5" s="433"/>
      <c r="REI5" s="433"/>
      <c r="REJ5" s="433"/>
      <c r="REK5" s="433"/>
      <c r="REL5" s="433"/>
      <c r="REM5" s="433"/>
      <c r="REN5" s="433"/>
      <c r="REO5" s="433"/>
      <c r="REP5" s="433"/>
      <c r="REQ5" s="433"/>
      <c r="RER5" s="433"/>
      <c r="RES5" s="433"/>
      <c r="RET5" s="433"/>
      <c r="REU5" s="433"/>
      <c r="REV5" s="433"/>
      <c r="REW5" s="433"/>
      <c r="REX5" s="433"/>
      <c r="REY5" s="433"/>
      <c r="REZ5" s="433"/>
      <c r="RFA5" s="433"/>
      <c r="RFB5" s="433"/>
      <c r="RFC5" s="433"/>
      <c r="RFD5" s="433"/>
      <c r="RFE5" s="433"/>
      <c r="RFF5" s="433"/>
      <c r="RFG5" s="433"/>
      <c r="RFH5" s="433"/>
      <c r="RFI5" s="433"/>
      <c r="RFJ5" s="433"/>
      <c r="RFK5" s="433"/>
      <c r="RFL5" s="433"/>
      <c r="RFM5" s="433"/>
      <c r="RFN5" s="433"/>
      <c r="RFO5" s="433"/>
      <c r="RFP5" s="433"/>
      <c r="RFQ5" s="433"/>
      <c r="RFR5" s="433"/>
      <c r="RFS5" s="433"/>
      <c r="RFT5" s="433"/>
      <c r="RFU5" s="433"/>
      <c r="RFV5" s="433"/>
      <c r="RFW5" s="433"/>
      <c r="RFX5" s="433"/>
      <c r="RFY5" s="433"/>
      <c r="RFZ5" s="433"/>
      <c r="RGA5" s="433"/>
      <c r="RGB5" s="433"/>
      <c r="RGC5" s="433"/>
      <c r="RGD5" s="433"/>
      <c r="RGE5" s="433"/>
      <c r="RGF5" s="433"/>
      <c r="RGG5" s="433"/>
      <c r="RGH5" s="433"/>
      <c r="RGI5" s="433"/>
      <c r="RGJ5" s="433"/>
      <c r="RGK5" s="433"/>
      <c r="RGL5" s="433"/>
      <c r="RGM5" s="433"/>
      <c r="RGN5" s="433"/>
      <c r="RGO5" s="433"/>
      <c r="RGP5" s="433"/>
      <c r="RGQ5" s="433"/>
      <c r="RGR5" s="433"/>
      <c r="RGS5" s="433"/>
      <c r="RGT5" s="433"/>
      <c r="RGU5" s="433"/>
      <c r="RGV5" s="433"/>
      <c r="RGW5" s="433"/>
      <c r="RGX5" s="433"/>
      <c r="RGY5" s="433"/>
      <c r="RGZ5" s="433"/>
      <c r="RHA5" s="433"/>
      <c r="RHB5" s="433"/>
      <c r="RHC5" s="433"/>
      <c r="RHD5" s="433"/>
      <c r="RHE5" s="433"/>
      <c r="RHF5" s="433"/>
      <c r="RHG5" s="433"/>
      <c r="RHH5" s="433"/>
      <c r="RHI5" s="433"/>
      <c r="RHJ5" s="433"/>
      <c r="RHK5" s="433"/>
      <c r="RHL5" s="433"/>
      <c r="RHM5" s="433"/>
      <c r="RHN5" s="433"/>
      <c r="RHO5" s="433"/>
      <c r="RHP5" s="433"/>
      <c r="RHQ5" s="433"/>
      <c r="RHR5" s="433"/>
      <c r="RHS5" s="433"/>
      <c r="RHT5" s="433"/>
      <c r="RHU5" s="433"/>
      <c r="RHV5" s="433"/>
      <c r="RHW5" s="433"/>
      <c r="RHX5" s="433"/>
      <c r="RHY5" s="433"/>
      <c r="RHZ5" s="433"/>
      <c r="RIA5" s="433"/>
      <c r="RIB5" s="433"/>
      <c r="RIC5" s="433"/>
      <c r="RID5" s="433"/>
      <c r="RIE5" s="433"/>
      <c r="RIF5" s="433"/>
      <c r="RIG5" s="433"/>
      <c r="RIH5" s="433"/>
      <c r="RII5" s="433"/>
      <c r="RIJ5" s="433"/>
      <c r="RIK5" s="433"/>
      <c r="RIL5" s="433"/>
      <c r="RIM5" s="433"/>
      <c r="RIN5" s="433"/>
      <c r="RIO5" s="433"/>
      <c r="RIP5" s="433"/>
      <c r="RIQ5" s="433"/>
      <c r="RIR5" s="433"/>
      <c r="RIS5" s="433"/>
      <c r="RIT5" s="433"/>
      <c r="RIU5" s="433"/>
      <c r="RIV5" s="433"/>
      <c r="RIW5" s="433"/>
      <c r="RIX5" s="433"/>
      <c r="RIY5" s="433"/>
      <c r="RIZ5" s="433"/>
      <c r="RJA5" s="433"/>
      <c r="RJB5" s="433"/>
      <c r="RJC5" s="433"/>
      <c r="RJD5" s="433"/>
      <c r="RJE5" s="433"/>
      <c r="RJF5" s="433"/>
      <c r="RJG5" s="433"/>
      <c r="RJH5" s="433"/>
      <c r="RJI5" s="433"/>
      <c r="RJJ5" s="433"/>
      <c r="RJK5" s="433"/>
      <c r="RJL5" s="433"/>
      <c r="RJM5" s="433"/>
      <c r="RJN5" s="433"/>
      <c r="RJO5" s="433"/>
      <c r="RJP5" s="433"/>
      <c r="RJQ5" s="433"/>
      <c r="RJR5" s="433"/>
      <c r="RJS5" s="433"/>
      <c r="RJT5" s="433"/>
      <c r="RJU5" s="433"/>
      <c r="RJV5" s="433"/>
      <c r="RJW5" s="433"/>
      <c r="RJX5" s="433"/>
      <c r="RJY5" s="433"/>
      <c r="RJZ5" s="433"/>
      <c r="RKA5" s="433"/>
      <c r="RKB5" s="433"/>
      <c r="RKC5" s="433"/>
      <c r="RKD5" s="433"/>
      <c r="RKE5" s="433"/>
      <c r="RKF5" s="433"/>
      <c r="RKG5" s="433"/>
      <c r="RKH5" s="433"/>
      <c r="RKI5" s="433"/>
      <c r="RKJ5" s="433"/>
      <c r="RKK5" s="433"/>
      <c r="RKL5" s="433"/>
      <c r="RKM5" s="433"/>
      <c r="RKN5" s="433"/>
      <c r="RKO5" s="433"/>
      <c r="RKP5" s="433"/>
      <c r="RKQ5" s="433"/>
      <c r="RKR5" s="433"/>
      <c r="RKS5" s="433"/>
      <c r="RKT5" s="433"/>
      <c r="RKU5" s="433"/>
      <c r="RKV5" s="433"/>
      <c r="RKW5" s="433"/>
      <c r="RKX5" s="433"/>
      <c r="RKY5" s="433"/>
      <c r="RKZ5" s="433"/>
      <c r="RLA5" s="433"/>
      <c r="RLB5" s="433"/>
      <c r="RLC5" s="433"/>
      <c r="RLD5" s="433"/>
      <c r="RLE5" s="433"/>
      <c r="RLF5" s="433"/>
      <c r="RLG5" s="433"/>
      <c r="RLH5" s="433"/>
      <c r="RLI5" s="433"/>
      <c r="RLJ5" s="433"/>
      <c r="RLK5" s="433"/>
      <c r="RLL5" s="433"/>
      <c r="RLM5" s="433"/>
      <c r="RLN5" s="433"/>
      <c r="RLO5" s="433"/>
      <c r="RLP5" s="433"/>
      <c r="RLQ5" s="433"/>
      <c r="RLR5" s="433"/>
      <c r="RLS5" s="433"/>
      <c r="RLT5" s="433"/>
      <c r="RLU5" s="433"/>
      <c r="RLV5" s="433"/>
      <c r="RLW5" s="433"/>
      <c r="RLX5" s="433"/>
      <c r="RLY5" s="433"/>
      <c r="RLZ5" s="433"/>
      <c r="RMA5" s="433"/>
      <c r="RMB5" s="433"/>
      <c r="RMC5" s="433"/>
      <c r="RMD5" s="433"/>
      <c r="RME5" s="433"/>
      <c r="RMF5" s="433"/>
      <c r="RMG5" s="433"/>
      <c r="RMH5" s="433"/>
      <c r="RMI5" s="433"/>
      <c r="RMJ5" s="433"/>
      <c r="RMK5" s="433"/>
      <c r="RML5" s="433"/>
      <c r="RMM5" s="433"/>
      <c r="RMN5" s="433"/>
      <c r="RMO5" s="433"/>
      <c r="RMP5" s="433"/>
      <c r="RMQ5" s="433"/>
      <c r="RMR5" s="433"/>
      <c r="RMS5" s="433"/>
      <c r="RMT5" s="433"/>
      <c r="RMU5" s="433"/>
      <c r="RMV5" s="433"/>
      <c r="RMW5" s="433"/>
      <c r="RMX5" s="433"/>
      <c r="RMY5" s="433"/>
      <c r="RMZ5" s="433"/>
      <c r="RNA5" s="433"/>
      <c r="RNB5" s="433"/>
      <c r="RNC5" s="433"/>
      <c r="RND5" s="433"/>
      <c r="RNE5" s="433"/>
      <c r="RNF5" s="433"/>
      <c r="RNG5" s="433"/>
      <c r="RNH5" s="433"/>
      <c r="RNI5" s="433"/>
      <c r="RNJ5" s="433"/>
      <c r="RNK5" s="433"/>
      <c r="RNL5" s="433"/>
      <c r="RNM5" s="433"/>
      <c r="RNN5" s="433"/>
      <c r="RNO5" s="433"/>
      <c r="RNP5" s="433"/>
      <c r="RNQ5" s="433"/>
      <c r="RNR5" s="433"/>
      <c r="RNS5" s="433"/>
      <c r="RNT5" s="433"/>
      <c r="RNU5" s="433"/>
      <c r="RNV5" s="433"/>
      <c r="RNW5" s="433"/>
      <c r="RNX5" s="433"/>
      <c r="RNY5" s="433"/>
      <c r="RNZ5" s="433"/>
      <c r="ROA5" s="433"/>
      <c r="ROB5" s="433"/>
      <c r="ROC5" s="433"/>
      <c r="ROD5" s="433"/>
      <c r="ROE5" s="433"/>
      <c r="ROF5" s="433"/>
      <c r="ROG5" s="433"/>
      <c r="ROH5" s="433"/>
      <c r="ROI5" s="433"/>
      <c r="ROJ5" s="433"/>
      <c r="ROK5" s="433"/>
      <c r="ROL5" s="433"/>
      <c r="ROM5" s="433"/>
      <c r="RON5" s="433"/>
      <c r="ROO5" s="433"/>
      <c r="ROP5" s="433"/>
      <c r="ROQ5" s="433"/>
      <c r="ROR5" s="433"/>
      <c r="ROS5" s="433"/>
      <c r="ROT5" s="433"/>
      <c r="ROU5" s="433"/>
      <c r="ROV5" s="433"/>
      <c r="ROW5" s="433"/>
      <c r="ROX5" s="433"/>
      <c r="ROY5" s="433"/>
      <c r="ROZ5" s="433"/>
      <c r="RPA5" s="433"/>
      <c r="RPB5" s="433"/>
      <c r="RPC5" s="433"/>
      <c r="RPD5" s="433"/>
      <c r="RPE5" s="433"/>
      <c r="RPF5" s="433"/>
      <c r="RPG5" s="433"/>
      <c r="RPH5" s="433"/>
      <c r="RPI5" s="433"/>
      <c r="RPJ5" s="433"/>
      <c r="RPK5" s="433"/>
      <c r="RPL5" s="433"/>
      <c r="RPM5" s="433"/>
      <c r="RPN5" s="433"/>
      <c r="RPO5" s="433"/>
      <c r="RPP5" s="433"/>
      <c r="RPQ5" s="433"/>
      <c r="RPR5" s="433"/>
      <c r="RPS5" s="433"/>
      <c r="RPT5" s="433"/>
      <c r="RPU5" s="433"/>
      <c r="RPV5" s="433"/>
      <c r="RPW5" s="433"/>
      <c r="RPX5" s="433"/>
      <c r="RPY5" s="433"/>
      <c r="RPZ5" s="433"/>
      <c r="RQA5" s="433"/>
      <c r="RQB5" s="433"/>
      <c r="RQC5" s="433"/>
      <c r="RQD5" s="433"/>
      <c r="RQE5" s="433"/>
      <c r="RQF5" s="433"/>
      <c r="RQG5" s="433"/>
      <c r="RQH5" s="433"/>
      <c r="RQI5" s="433"/>
      <c r="RQJ5" s="433"/>
      <c r="RQK5" s="433"/>
      <c r="RQL5" s="433"/>
      <c r="RQM5" s="433"/>
      <c r="RQN5" s="433"/>
      <c r="RQO5" s="433"/>
      <c r="RQP5" s="433"/>
      <c r="RQQ5" s="433"/>
      <c r="RQR5" s="433"/>
      <c r="RQS5" s="433"/>
      <c r="RQT5" s="433"/>
      <c r="RQU5" s="433"/>
      <c r="RQV5" s="433"/>
      <c r="RQW5" s="433"/>
      <c r="RQX5" s="433"/>
      <c r="RQY5" s="433"/>
      <c r="RQZ5" s="433"/>
      <c r="RRA5" s="433"/>
      <c r="RRB5" s="433"/>
      <c r="RRC5" s="433"/>
      <c r="RRD5" s="433"/>
      <c r="RRE5" s="433"/>
      <c r="RRF5" s="433"/>
      <c r="RRG5" s="433"/>
      <c r="RRH5" s="433"/>
      <c r="RRI5" s="433"/>
      <c r="RRJ5" s="433"/>
      <c r="RRK5" s="433"/>
      <c r="RRL5" s="433"/>
      <c r="RRM5" s="433"/>
      <c r="RRN5" s="433"/>
      <c r="RRO5" s="433"/>
      <c r="RRP5" s="433"/>
      <c r="RRQ5" s="433"/>
      <c r="RRR5" s="433"/>
      <c r="RRS5" s="433"/>
      <c r="RRT5" s="433"/>
      <c r="RRU5" s="433"/>
      <c r="RRV5" s="433"/>
      <c r="RRW5" s="433"/>
      <c r="RRX5" s="433"/>
      <c r="RRY5" s="433"/>
      <c r="RRZ5" s="433"/>
      <c r="RSA5" s="433"/>
      <c r="RSB5" s="433"/>
      <c r="RSC5" s="433"/>
      <c r="RSD5" s="433"/>
      <c r="RSE5" s="433"/>
      <c r="RSF5" s="433"/>
      <c r="RSG5" s="433"/>
      <c r="RSH5" s="433"/>
      <c r="RSI5" s="433"/>
      <c r="RSJ5" s="433"/>
      <c r="RSK5" s="433"/>
      <c r="RSL5" s="433"/>
      <c r="RSM5" s="433"/>
      <c r="RSN5" s="433"/>
      <c r="RSO5" s="433"/>
      <c r="RSP5" s="433"/>
      <c r="RSQ5" s="433"/>
      <c r="RSR5" s="433"/>
      <c r="RSS5" s="433"/>
      <c r="RST5" s="433"/>
      <c r="RSU5" s="433"/>
      <c r="RSV5" s="433"/>
      <c r="RSW5" s="433"/>
      <c r="RSX5" s="433"/>
      <c r="RSY5" s="433"/>
      <c r="RSZ5" s="433"/>
      <c r="RTA5" s="433"/>
      <c r="RTB5" s="433"/>
      <c r="RTC5" s="433"/>
      <c r="RTD5" s="433"/>
      <c r="RTE5" s="433"/>
      <c r="RTF5" s="433"/>
      <c r="RTG5" s="433"/>
      <c r="RTH5" s="433"/>
      <c r="RTI5" s="433"/>
      <c r="RTJ5" s="433"/>
      <c r="RTK5" s="433"/>
      <c r="RTL5" s="433"/>
      <c r="RTM5" s="433"/>
      <c r="RTN5" s="433"/>
      <c r="RTO5" s="433"/>
      <c r="RTP5" s="433"/>
      <c r="RTQ5" s="433"/>
      <c r="RTR5" s="433"/>
      <c r="RTS5" s="433"/>
      <c r="RTT5" s="433"/>
      <c r="RTU5" s="433"/>
      <c r="RTV5" s="433"/>
      <c r="RTW5" s="433"/>
      <c r="RTX5" s="433"/>
      <c r="RTY5" s="433"/>
      <c r="RTZ5" s="433"/>
      <c r="RUA5" s="433"/>
      <c r="RUB5" s="433"/>
      <c r="RUC5" s="433"/>
      <c r="RUD5" s="433"/>
      <c r="RUE5" s="433"/>
      <c r="RUF5" s="433"/>
      <c r="RUG5" s="433"/>
      <c r="RUH5" s="433"/>
      <c r="RUI5" s="433"/>
      <c r="RUJ5" s="433"/>
      <c r="RUK5" s="433"/>
      <c r="RUL5" s="433"/>
      <c r="RUM5" s="433"/>
      <c r="RUN5" s="433"/>
      <c r="RUO5" s="433"/>
      <c r="RUP5" s="433"/>
      <c r="RUQ5" s="433"/>
      <c r="RUR5" s="433"/>
      <c r="RUS5" s="433"/>
      <c r="RUT5" s="433"/>
      <c r="RUU5" s="433"/>
      <c r="RUV5" s="433"/>
      <c r="RUW5" s="433"/>
      <c r="RUX5" s="433"/>
      <c r="RUY5" s="433"/>
      <c r="RUZ5" s="433"/>
      <c r="RVA5" s="433"/>
      <c r="RVB5" s="433"/>
      <c r="RVC5" s="433"/>
      <c r="RVD5" s="433"/>
      <c r="RVE5" s="433"/>
      <c r="RVF5" s="433"/>
      <c r="RVG5" s="433"/>
      <c r="RVH5" s="433"/>
      <c r="RVI5" s="433"/>
      <c r="RVJ5" s="433"/>
      <c r="RVK5" s="433"/>
      <c r="RVL5" s="433"/>
      <c r="RVM5" s="433"/>
      <c r="RVN5" s="433"/>
      <c r="RVO5" s="433"/>
      <c r="RVP5" s="433"/>
      <c r="RVQ5" s="433"/>
      <c r="RVR5" s="433"/>
      <c r="RVS5" s="433"/>
      <c r="RVT5" s="433"/>
      <c r="RVU5" s="433"/>
      <c r="RVV5" s="433"/>
      <c r="RVW5" s="433"/>
      <c r="RVX5" s="433"/>
      <c r="RVY5" s="433"/>
      <c r="RVZ5" s="433"/>
      <c r="RWA5" s="433"/>
      <c r="RWB5" s="433"/>
      <c r="RWC5" s="433"/>
      <c r="RWD5" s="433"/>
      <c r="RWE5" s="433"/>
      <c r="RWF5" s="433"/>
      <c r="RWG5" s="433"/>
      <c r="RWH5" s="433"/>
      <c r="RWI5" s="433"/>
      <c r="RWJ5" s="433"/>
      <c r="RWK5" s="433"/>
      <c r="RWL5" s="433"/>
      <c r="RWM5" s="433"/>
      <c r="RWN5" s="433"/>
      <c r="RWO5" s="433"/>
      <c r="RWP5" s="433"/>
      <c r="RWQ5" s="433"/>
      <c r="RWR5" s="433"/>
      <c r="RWS5" s="433"/>
      <c r="RWT5" s="433"/>
      <c r="RWU5" s="433"/>
      <c r="RWV5" s="433"/>
      <c r="RWW5" s="433"/>
      <c r="RWX5" s="433"/>
      <c r="RWY5" s="433"/>
      <c r="RWZ5" s="433"/>
      <c r="RXA5" s="433"/>
      <c r="RXB5" s="433"/>
      <c r="RXC5" s="433"/>
      <c r="RXD5" s="433"/>
      <c r="RXE5" s="433"/>
      <c r="RXF5" s="433"/>
      <c r="RXG5" s="433"/>
      <c r="RXH5" s="433"/>
      <c r="RXI5" s="433"/>
      <c r="RXJ5" s="433"/>
      <c r="RXK5" s="433"/>
      <c r="RXL5" s="433"/>
      <c r="RXM5" s="433"/>
      <c r="RXN5" s="433"/>
      <c r="RXO5" s="433"/>
      <c r="RXP5" s="433"/>
      <c r="RXQ5" s="433"/>
      <c r="RXR5" s="433"/>
      <c r="RXS5" s="433"/>
      <c r="RXT5" s="433"/>
      <c r="RXU5" s="433"/>
      <c r="RXV5" s="433"/>
      <c r="RXW5" s="433"/>
      <c r="RXX5" s="433"/>
      <c r="RXY5" s="433"/>
      <c r="RXZ5" s="433"/>
      <c r="RYA5" s="433"/>
      <c r="RYB5" s="433"/>
      <c r="RYC5" s="433"/>
      <c r="RYD5" s="433"/>
      <c r="RYE5" s="433"/>
      <c r="RYF5" s="433"/>
      <c r="RYG5" s="433"/>
      <c r="RYH5" s="433"/>
      <c r="RYI5" s="433"/>
      <c r="RYJ5" s="433"/>
      <c r="RYK5" s="433"/>
      <c r="RYL5" s="433"/>
      <c r="RYM5" s="433"/>
      <c r="RYN5" s="433"/>
      <c r="RYO5" s="433"/>
      <c r="RYP5" s="433"/>
      <c r="RYQ5" s="433"/>
      <c r="RYR5" s="433"/>
      <c r="RYS5" s="433"/>
      <c r="RYT5" s="433"/>
      <c r="RYU5" s="433"/>
      <c r="RYV5" s="433"/>
      <c r="RYW5" s="433"/>
      <c r="RYX5" s="433"/>
      <c r="RYY5" s="433"/>
      <c r="RYZ5" s="433"/>
      <c r="RZA5" s="433"/>
      <c r="RZB5" s="433"/>
      <c r="RZC5" s="433"/>
      <c r="RZD5" s="433"/>
      <c r="RZE5" s="433"/>
      <c r="RZF5" s="433"/>
      <c r="RZG5" s="433"/>
      <c r="RZH5" s="433"/>
      <c r="RZI5" s="433"/>
      <c r="RZJ5" s="433"/>
      <c r="RZK5" s="433"/>
      <c r="RZL5" s="433"/>
      <c r="RZM5" s="433"/>
      <c r="RZN5" s="433"/>
      <c r="RZO5" s="433"/>
      <c r="RZP5" s="433"/>
      <c r="RZQ5" s="433"/>
      <c r="RZR5" s="433"/>
      <c r="RZS5" s="433"/>
      <c r="RZT5" s="433"/>
      <c r="RZU5" s="433"/>
      <c r="RZV5" s="433"/>
      <c r="RZW5" s="433"/>
      <c r="RZX5" s="433"/>
      <c r="RZY5" s="433"/>
      <c r="RZZ5" s="433"/>
      <c r="SAA5" s="433"/>
      <c r="SAB5" s="433"/>
      <c r="SAC5" s="433"/>
      <c r="SAD5" s="433"/>
      <c r="SAE5" s="433"/>
      <c r="SAF5" s="433"/>
      <c r="SAG5" s="433"/>
      <c r="SAH5" s="433"/>
      <c r="SAI5" s="433"/>
      <c r="SAJ5" s="433"/>
      <c r="SAK5" s="433"/>
      <c r="SAL5" s="433"/>
      <c r="SAM5" s="433"/>
      <c r="SAN5" s="433"/>
      <c r="SAO5" s="433"/>
      <c r="SAP5" s="433"/>
      <c r="SAQ5" s="433"/>
      <c r="SAR5" s="433"/>
      <c r="SAS5" s="433"/>
      <c r="SAT5" s="433"/>
      <c r="SAU5" s="433"/>
      <c r="SAV5" s="433"/>
      <c r="SAW5" s="433"/>
      <c r="SAX5" s="433"/>
      <c r="SAY5" s="433"/>
      <c r="SAZ5" s="433"/>
      <c r="SBA5" s="433"/>
      <c r="SBB5" s="433"/>
      <c r="SBC5" s="433"/>
      <c r="SBD5" s="433"/>
      <c r="SBE5" s="433"/>
      <c r="SBF5" s="433"/>
      <c r="SBG5" s="433"/>
      <c r="SBH5" s="433"/>
      <c r="SBI5" s="433"/>
      <c r="SBJ5" s="433"/>
      <c r="SBK5" s="433"/>
      <c r="SBL5" s="433"/>
      <c r="SBM5" s="433"/>
      <c r="SBN5" s="433"/>
      <c r="SBO5" s="433"/>
      <c r="SBP5" s="433"/>
      <c r="SBQ5" s="433"/>
      <c r="SBR5" s="433"/>
      <c r="SBS5" s="433"/>
      <c r="SBT5" s="433"/>
      <c r="SBU5" s="433"/>
      <c r="SBV5" s="433"/>
      <c r="SBW5" s="433"/>
      <c r="SBX5" s="433"/>
      <c r="SBY5" s="433"/>
      <c r="SBZ5" s="433"/>
      <c r="SCA5" s="433"/>
      <c r="SCB5" s="433"/>
      <c r="SCC5" s="433"/>
      <c r="SCD5" s="433"/>
      <c r="SCE5" s="433"/>
      <c r="SCF5" s="433"/>
      <c r="SCG5" s="433"/>
      <c r="SCH5" s="433"/>
      <c r="SCI5" s="433"/>
      <c r="SCJ5" s="433"/>
      <c r="SCK5" s="433"/>
      <c r="SCL5" s="433"/>
      <c r="SCM5" s="433"/>
      <c r="SCN5" s="433"/>
      <c r="SCO5" s="433"/>
      <c r="SCP5" s="433"/>
      <c r="SCQ5" s="433"/>
      <c r="SCR5" s="433"/>
      <c r="SCS5" s="433"/>
      <c r="SCT5" s="433"/>
      <c r="SCU5" s="433"/>
      <c r="SCV5" s="433"/>
      <c r="SCW5" s="433"/>
      <c r="SCX5" s="433"/>
      <c r="SCY5" s="433"/>
      <c r="SCZ5" s="433"/>
      <c r="SDA5" s="433"/>
      <c r="SDB5" s="433"/>
      <c r="SDC5" s="433"/>
      <c r="SDD5" s="433"/>
      <c r="SDE5" s="433"/>
      <c r="SDF5" s="433"/>
      <c r="SDG5" s="433"/>
      <c r="SDH5" s="433"/>
      <c r="SDI5" s="433"/>
      <c r="SDJ5" s="433"/>
      <c r="SDK5" s="433"/>
      <c r="SDL5" s="433"/>
      <c r="SDM5" s="433"/>
      <c r="SDN5" s="433"/>
      <c r="SDO5" s="433"/>
      <c r="SDP5" s="433"/>
      <c r="SDQ5" s="433"/>
      <c r="SDR5" s="433"/>
      <c r="SDS5" s="433"/>
      <c r="SDT5" s="433"/>
      <c r="SDU5" s="433"/>
      <c r="SDV5" s="433"/>
      <c r="SDW5" s="433"/>
      <c r="SDX5" s="433"/>
      <c r="SDY5" s="433"/>
      <c r="SDZ5" s="433"/>
      <c r="SEA5" s="433"/>
      <c r="SEB5" s="433"/>
      <c r="SEC5" s="433"/>
      <c r="SED5" s="433"/>
      <c r="SEE5" s="433"/>
      <c r="SEF5" s="433"/>
      <c r="SEG5" s="433"/>
      <c r="SEH5" s="433"/>
      <c r="SEI5" s="433"/>
      <c r="SEJ5" s="433"/>
      <c r="SEK5" s="433"/>
      <c r="SEL5" s="433"/>
      <c r="SEM5" s="433"/>
      <c r="SEN5" s="433"/>
      <c r="SEO5" s="433"/>
      <c r="SEP5" s="433"/>
      <c r="SEQ5" s="433"/>
      <c r="SER5" s="433"/>
      <c r="SES5" s="433"/>
      <c r="SET5" s="433"/>
      <c r="SEU5" s="433"/>
      <c r="SEV5" s="433"/>
      <c r="SEW5" s="433"/>
      <c r="SEX5" s="433"/>
      <c r="SEY5" s="433"/>
      <c r="SEZ5" s="433"/>
      <c r="SFA5" s="433"/>
      <c r="SFB5" s="433"/>
      <c r="SFC5" s="433"/>
      <c r="SFD5" s="433"/>
      <c r="SFE5" s="433"/>
      <c r="SFF5" s="433"/>
      <c r="SFG5" s="433"/>
      <c r="SFH5" s="433"/>
      <c r="SFI5" s="433"/>
      <c r="SFJ5" s="433"/>
      <c r="SFK5" s="433"/>
      <c r="SFL5" s="433"/>
      <c r="SFM5" s="433"/>
      <c r="SFN5" s="433"/>
      <c r="SFO5" s="433"/>
      <c r="SFP5" s="433"/>
      <c r="SFQ5" s="433"/>
      <c r="SFR5" s="433"/>
      <c r="SFS5" s="433"/>
      <c r="SFT5" s="433"/>
      <c r="SFU5" s="433"/>
      <c r="SFV5" s="433"/>
      <c r="SFW5" s="433"/>
      <c r="SFX5" s="433"/>
      <c r="SFY5" s="433"/>
      <c r="SFZ5" s="433"/>
      <c r="SGA5" s="433"/>
      <c r="SGB5" s="433"/>
      <c r="SGC5" s="433"/>
      <c r="SGD5" s="433"/>
      <c r="SGE5" s="433"/>
      <c r="SGF5" s="433"/>
      <c r="SGG5" s="433"/>
      <c r="SGH5" s="433"/>
      <c r="SGI5" s="433"/>
      <c r="SGJ5" s="433"/>
      <c r="SGK5" s="433"/>
      <c r="SGL5" s="433"/>
      <c r="SGM5" s="433"/>
      <c r="SGN5" s="433"/>
      <c r="SGO5" s="433"/>
      <c r="SGP5" s="433"/>
      <c r="SGQ5" s="433"/>
      <c r="SGR5" s="433"/>
      <c r="SGS5" s="433"/>
      <c r="SGT5" s="433"/>
      <c r="SGU5" s="433"/>
      <c r="SGV5" s="433"/>
      <c r="SGW5" s="433"/>
      <c r="SGX5" s="433"/>
      <c r="SGY5" s="433"/>
      <c r="SGZ5" s="433"/>
      <c r="SHA5" s="433"/>
      <c r="SHB5" s="433"/>
      <c r="SHC5" s="433"/>
      <c r="SHD5" s="433"/>
      <c r="SHE5" s="433"/>
      <c r="SHF5" s="433"/>
      <c r="SHG5" s="433"/>
      <c r="SHH5" s="433"/>
      <c r="SHI5" s="433"/>
      <c r="SHJ5" s="433"/>
      <c r="SHK5" s="433"/>
      <c r="SHL5" s="433"/>
      <c r="SHM5" s="433"/>
      <c r="SHN5" s="433"/>
      <c r="SHO5" s="433"/>
      <c r="SHP5" s="433"/>
      <c r="SHQ5" s="433"/>
      <c r="SHR5" s="433"/>
      <c r="SHS5" s="433"/>
      <c r="SHT5" s="433"/>
      <c r="SHU5" s="433"/>
      <c r="SHV5" s="433"/>
      <c r="SHW5" s="433"/>
      <c r="SHX5" s="433"/>
      <c r="SHY5" s="433"/>
      <c r="SHZ5" s="433"/>
      <c r="SIA5" s="433"/>
      <c r="SIB5" s="433"/>
      <c r="SIC5" s="433"/>
      <c r="SID5" s="433"/>
      <c r="SIE5" s="433"/>
      <c r="SIF5" s="433"/>
      <c r="SIG5" s="433"/>
      <c r="SIH5" s="433"/>
      <c r="SII5" s="433"/>
      <c r="SIJ5" s="433"/>
      <c r="SIK5" s="433"/>
      <c r="SIL5" s="433"/>
      <c r="SIM5" s="433"/>
      <c r="SIN5" s="433"/>
      <c r="SIO5" s="433"/>
      <c r="SIP5" s="433"/>
      <c r="SIQ5" s="433"/>
      <c r="SIR5" s="433"/>
      <c r="SIS5" s="433"/>
      <c r="SIT5" s="433"/>
      <c r="SIU5" s="433"/>
      <c r="SIV5" s="433"/>
      <c r="SIW5" s="433"/>
      <c r="SIX5" s="433"/>
      <c r="SIY5" s="433"/>
      <c r="SIZ5" s="433"/>
      <c r="SJA5" s="433"/>
      <c r="SJB5" s="433"/>
      <c r="SJC5" s="433"/>
      <c r="SJD5" s="433"/>
      <c r="SJE5" s="433"/>
      <c r="SJF5" s="433"/>
      <c r="SJG5" s="433"/>
      <c r="SJH5" s="433"/>
      <c r="SJI5" s="433"/>
      <c r="SJJ5" s="433"/>
      <c r="SJK5" s="433"/>
      <c r="SJL5" s="433"/>
      <c r="SJM5" s="433"/>
      <c r="SJN5" s="433"/>
      <c r="SJO5" s="433"/>
      <c r="SJP5" s="433"/>
      <c r="SJQ5" s="433"/>
      <c r="SJR5" s="433"/>
      <c r="SJS5" s="433"/>
      <c r="SJT5" s="433"/>
      <c r="SJU5" s="433"/>
      <c r="SJV5" s="433"/>
      <c r="SJW5" s="433"/>
      <c r="SJX5" s="433"/>
      <c r="SJY5" s="433"/>
      <c r="SJZ5" s="433"/>
      <c r="SKA5" s="433"/>
      <c r="SKB5" s="433"/>
      <c r="SKC5" s="433"/>
      <c r="SKD5" s="433"/>
      <c r="SKE5" s="433"/>
      <c r="SKF5" s="433"/>
      <c r="SKG5" s="433"/>
      <c r="SKH5" s="433"/>
      <c r="SKI5" s="433"/>
      <c r="SKJ5" s="433"/>
      <c r="SKK5" s="433"/>
      <c r="SKL5" s="433"/>
      <c r="SKM5" s="433"/>
      <c r="SKN5" s="433"/>
      <c r="SKO5" s="433"/>
      <c r="SKP5" s="433"/>
      <c r="SKQ5" s="433"/>
      <c r="SKR5" s="433"/>
      <c r="SKS5" s="433"/>
      <c r="SKT5" s="433"/>
      <c r="SKU5" s="433"/>
      <c r="SKV5" s="433"/>
      <c r="SKW5" s="433"/>
      <c r="SKX5" s="433"/>
      <c r="SKY5" s="433"/>
      <c r="SKZ5" s="433"/>
      <c r="SLA5" s="433"/>
      <c r="SLB5" s="433"/>
      <c r="SLC5" s="433"/>
      <c r="SLD5" s="433"/>
      <c r="SLE5" s="433"/>
      <c r="SLF5" s="433"/>
      <c r="SLG5" s="433"/>
      <c r="SLH5" s="433"/>
      <c r="SLI5" s="433"/>
      <c r="SLJ5" s="433"/>
      <c r="SLK5" s="433"/>
      <c r="SLL5" s="433"/>
      <c r="SLM5" s="433"/>
      <c r="SLN5" s="433"/>
      <c r="SLO5" s="433"/>
      <c r="SLP5" s="433"/>
      <c r="SLQ5" s="433"/>
      <c r="SLR5" s="433"/>
      <c r="SLS5" s="433"/>
      <c r="SLT5" s="433"/>
      <c r="SLU5" s="433"/>
      <c r="SLV5" s="433"/>
      <c r="SLW5" s="433"/>
      <c r="SLX5" s="433"/>
      <c r="SLY5" s="433"/>
      <c r="SLZ5" s="433"/>
      <c r="SMA5" s="433"/>
      <c r="SMB5" s="433"/>
      <c r="SMC5" s="433"/>
      <c r="SMD5" s="433"/>
      <c r="SME5" s="433"/>
      <c r="SMF5" s="433"/>
      <c r="SMG5" s="433"/>
      <c r="SMH5" s="433"/>
      <c r="SMI5" s="433"/>
      <c r="SMJ5" s="433"/>
      <c r="SMK5" s="433"/>
      <c r="SML5" s="433"/>
      <c r="SMM5" s="433"/>
      <c r="SMN5" s="433"/>
      <c r="SMO5" s="433"/>
      <c r="SMP5" s="433"/>
      <c r="SMQ5" s="433"/>
      <c r="SMR5" s="433"/>
      <c r="SMS5" s="433"/>
      <c r="SMT5" s="433"/>
      <c r="SMU5" s="433"/>
      <c r="SMV5" s="433"/>
      <c r="SMW5" s="433"/>
      <c r="SMX5" s="433"/>
      <c r="SMY5" s="433"/>
      <c r="SMZ5" s="433"/>
      <c r="SNA5" s="433"/>
      <c r="SNB5" s="433"/>
      <c r="SNC5" s="433"/>
      <c r="SND5" s="433"/>
      <c r="SNE5" s="433"/>
      <c r="SNF5" s="433"/>
      <c r="SNG5" s="433"/>
      <c r="SNH5" s="433"/>
      <c r="SNI5" s="433"/>
      <c r="SNJ5" s="433"/>
      <c r="SNK5" s="433"/>
      <c r="SNL5" s="433"/>
      <c r="SNM5" s="433"/>
      <c r="SNN5" s="433"/>
      <c r="SNO5" s="433"/>
      <c r="SNP5" s="433"/>
      <c r="SNQ5" s="433"/>
      <c r="SNR5" s="433"/>
      <c r="SNS5" s="433"/>
      <c r="SNT5" s="433"/>
      <c r="SNU5" s="433"/>
      <c r="SNV5" s="433"/>
      <c r="SNW5" s="433"/>
      <c r="SNX5" s="433"/>
      <c r="SNY5" s="433"/>
      <c r="SNZ5" s="433"/>
      <c r="SOA5" s="433"/>
      <c r="SOB5" s="433"/>
      <c r="SOC5" s="433"/>
      <c r="SOD5" s="433"/>
      <c r="SOE5" s="433"/>
      <c r="SOF5" s="433"/>
      <c r="SOG5" s="433"/>
      <c r="SOH5" s="433"/>
      <c r="SOI5" s="433"/>
      <c r="SOJ5" s="433"/>
      <c r="SOK5" s="433"/>
      <c r="SOL5" s="433"/>
      <c r="SOM5" s="433"/>
      <c r="SON5" s="433"/>
      <c r="SOO5" s="433"/>
      <c r="SOP5" s="433"/>
      <c r="SOQ5" s="433"/>
      <c r="SOR5" s="433"/>
      <c r="SOS5" s="433"/>
      <c r="SOT5" s="433"/>
      <c r="SOU5" s="433"/>
      <c r="SOV5" s="433"/>
      <c r="SOW5" s="433"/>
      <c r="SOX5" s="433"/>
      <c r="SOY5" s="433"/>
      <c r="SOZ5" s="433"/>
      <c r="SPA5" s="433"/>
      <c r="SPB5" s="433"/>
      <c r="SPC5" s="433"/>
      <c r="SPD5" s="433"/>
      <c r="SPE5" s="433"/>
      <c r="SPF5" s="433"/>
      <c r="SPG5" s="433"/>
      <c r="SPH5" s="433"/>
      <c r="SPI5" s="433"/>
      <c r="SPJ5" s="433"/>
      <c r="SPK5" s="433"/>
      <c r="SPL5" s="433"/>
      <c r="SPM5" s="433"/>
      <c r="SPN5" s="433"/>
      <c r="SPO5" s="433"/>
      <c r="SPP5" s="433"/>
      <c r="SPQ5" s="433"/>
      <c r="SPR5" s="433"/>
      <c r="SPS5" s="433"/>
      <c r="SPT5" s="433"/>
      <c r="SPU5" s="433"/>
      <c r="SPV5" s="433"/>
      <c r="SPW5" s="433"/>
      <c r="SPX5" s="433"/>
      <c r="SPY5" s="433"/>
      <c r="SPZ5" s="433"/>
      <c r="SQA5" s="433"/>
      <c r="SQB5" s="433"/>
      <c r="SQC5" s="433"/>
      <c r="SQD5" s="433"/>
      <c r="SQE5" s="433"/>
      <c r="SQF5" s="433"/>
      <c r="SQG5" s="433"/>
      <c r="SQH5" s="433"/>
      <c r="SQI5" s="433"/>
      <c r="SQJ5" s="433"/>
      <c r="SQK5" s="433"/>
      <c r="SQL5" s="433"/>
      <c r="SQM5" s="433"/>
      <c r="SQN5" s="433"/>
      <c r="SQO5" s="433"/>
      <c r="SQP5" s="433"/>
      <c r="SQQ5" s="433"/>
      <c r="SQR5" s="433"/>
      <c r="SQS5" s="433"/>
      <c r="SQT5" s="433"/>
      <c r="SQU5" s="433"/>
      <c r="SQV5" s="433"/>
      <c r="SQW5" s="433"/>
      <c r="SQX5" s="433"/>
      <c r="SQY5" s="433"/>
      <c r="SQZ5" s="433"/>
      <c r="SRA5" s="433"/>
      <c r="SRB5" s="433"/>
      <c r="SRC5" s="433"/>
      <c r="SRD5" s="433"/>
      <c r="SRE5" s="433"/>
      <c r="SRF5" s="433"/>
      <c r="SRG5" s="433"/>
      <c r="SRH5" s="433"/>
      <c r="SRI5" s="433"/>
      <c r="SRJ5" s="433"/>
      <c r="SRK5" s="433"/>
      <c r="SRL5" s="433"/>
      <c r="SRM5" s="433"/>
      <c r="SRN5" s="433"/>
      <c r="SRO5" s="433"/>
      <c r="SRP5" s="433"/>
      <c r="SRQ5" s="433"/>
      <c r="SRR5" s="433"/>
      <c r="SRS5" s="433"/>
      <c r="SRT5" s="433"/>
      <c r="SRU5" s="433"/>
      <c r="SRV5" s="433"/>
      <c r="SRW5" s="433"/>
      <c r="SRX5" s="433"/>
      <c r="SRY5" s="433"/>
      <c r="SRZ5" s="433"/>
      <c r="SSA5" s="433"/>
      <c r="SSB5" s="433"/>
      <c r="SSC5" s="433"/>
      <c r="SSD5" s="433"/>
      <c r="SSE5" s="433"/>
      <c r="SSF5" s="433"/>
      <c r="SSG5" s="433"/>
      <c r="SSH5" s="433"/>
      <c r="SSI5" s="433"/>
      <c r="SSJ5" s="433"/>
      <c r="SSK5" s="433"/>
      <c r="SSL5" s="433"/>
      <c r="SSM5" s="433"/>
      <c r="SSN5" s="433"/>
      <c r="SSO5" s="433"/>
      <c r="SSP5" s="433"/>
      <c r="SSQ5" s="433"/>
      <c r="SSR5" s="433"/>
      <c r="SSS5" s="433"/>
      <c r="SST5" s="433"/>
      <c r="SSU5" s="433"/>
      <c r="SSV5" s="433"/>
      <c r="SSW5" s="433"/>
      <c r="SSX5" s="433"/>
      <c r="SSY5" s="433"/>
      <c r="SSZ5" s="433"/>
      <c r="STA5" s="433"/>
      <c r="STB5" s="433"/>
      <c r="STC5" s="433"/>
      <c r="STD5" s="433"/>
      <c r="STE5" s="433"/>
      <c r="STF5" s="433"/>
      <c r="STG5" s="433"/>
      <c r="STH5" s="433"/>
      <c r="STI5" s="433"/>
      <c r="STJ5" s="433"/>
      <c r="STK5" s="433"/>
      <c r="STL5" s="433"/>
      <c r="STM5" s="433"/>
      <c r="STN5" s="433"/>
      <c r="STO5" s="433"/>
      <c r="STP5" s="433"/>
      <c r="STQ5" s="433"/>
      <c r="STR5" s="433"/>
      <c r="STS5" s="433"/>
      <c r="STT5" s="433"/>
      <c r="STU5" s="433"/>
      <c r="STV5" s="433"/>
      <c r="STW5" s="433"/>
      <c r="STX5" s="433"/>
      <c r="STY5" s="433"/>
      <c r="STZ5" s="433"/>
      <c r="SUA5" s="433"/>
      <c r="SUB5" s="433"/>
      <c r="SUC5" s="433"/>
      <c r="SUD5" s="433"/>
      <c r="SUE5" s="433"/>
      <c r="SUF5" s="433"/>
      <c r="SUG5" s="433"/>
      <c r="SUH5" s="433"/>
      <c r="SUI5" s="433"/>
      <c r="SUJ5" s="433"/>
      <c r="SUK5" s="433"/>
      <c r="SUL5" s="433"/>
      <c r="SUM5" s="433"/>
      <c r="SUN5" s="433"/>
      <c r="SUO5" s="433"/>
      <c r="SUP5" s="433"/>
      <c r="SUQ5" s="433"/>
      <c r="SUR5" s="433"/>
      <c r="SUS5" s="433"/>
      <c r="SUT5" s="433"/>
      <c r="SUU5" s="433"/>
      <c r="SUV5" s="433"/>
      <c r="SUW5" s="433"/>
      <c r="SUX5" s="433"/>
      <c r="SUY5" s="433"/>
      <c r="SUZ5" s="433"/>
      <c r="SVA5" s="433"/>
      <c r="SVB5" s="433"/>
      <c r="SVC5" s="433"/>
      <c r="SVD5" s="433"/>
      <c r="SVE5" s="433"/>
      <c r="SVF5" s="433"/>
      <c r="SVG5" s="433"/>
      <c r="SVH5" s="433"/>
      <c r="SVI5" s="433"/>
      <c r="SVJ5" s="433"/>
      <c r="SVK5" s="433"/>
      <c r="SVL5" s="433"/>
      <c r="SVM5" s="433"/>
      <c r="SVN5" s="433"/>
      <c r="SVO5" s="433"/>
      <c r="SVP5" s="433"/>
      <c r="SVQ5" s="433"/>
      <c r="SVR5" s="433"/>
      <c r="SVS5" s="433"/>
      <c r="SVT5" s="433"/>
      <c r="SVU5" s="433"/>
      <c r="SVV5" s="433"/>
      <c r="SVW5" s="433"/>
      <c r="SVX5" s="433"/>
      <c r="SVY5" s="433"/>
      <c r="SVZ5" s="433"/>
      <c r="SWA5" s="433"/>
      <c r="SWB5" s="433"/>
      <c r="SWC5" s="433"/>
      <c r="SWD5" s="433"/>
      <c r="SWE5" s="433"/>
      <c r="SWF5" s="433"/>
      <c r="SWG5" s="433"/>
      <c r="SWH5" s="433"/>
      <c r="SWI5" s="433"/>
      <c r="SWJ5" s="433"/>
      <c r="SWK5" s="433"/>
      <c r="SWL5" s="433"/>
      <c r="SWM5" s="433"/>
      <c r="SWN5" s="433"/>
      <c r="SWO5" s="433"/>
      <c r="SWP5" s="433"/>
      <c r="SWQ5" s="433"/>
      <c r="SWR5" s="433"/>
      <c r="SWS5" s="433"/>
      <c r="SWT5" s="433"/>
      <c r="SWU5" s="433"/>
      <c r="SWV5" s="433"/>
      <c r="SWW5" s="433"/>
      <c r="SWX5" s="433"/>
      <c r="SWY5" s="433"/>
      <c r="SWZ5" s="433"/>
      <c r="SXA5" s="433"/>
      <c r="SXB5" s="433"/>
      <c r="SXC5" s="433"/>
      <c r="SXD5" s="433"/>
      <c r="SXE5" s="433"/>
      <c r="SXF5" s="433"/>
      <c r="SXG5" s="433"/>
      <c r="SXH5" s="433"/>
      <c r="SXI5" s="433"/>
      <c r="SXJ5" s="433"/>
      <c r="SXK5" s="433"/>
      <c r="SXL5" s="433"/>
      <c r="SXM5" s="433"/>
      <c r="SXN5" s="433"/>
      <c r="SXO5" s="433"/>
      <c r="SXP5" s="433"/>
      <c r="SXQ5" s="433"/>
      <c r="SXR5" s="433"/>
      <c r="SXS5" s="433"/>
      <c r="SXT5" s="433"/>
      <c r="SXU5" s="433"/>
      <c r="SXV5" s="433"/>
      <c r="SXW5" s="433"/>
      <c r="SXX5" s="433"/>
      <c r="SXY5" s="433"/>
      <c r="SXZ5" s="433"/>
      <c r="SYA5" s="433"/>
      <c r="SYB5" s="433"/>
      <c r="SYC5" s="433"/>
      <c r="SYD5" s="433"/>
      <c r="SYE5" s="433"/>
      <c r="SYF5" s="433"/>
      <c r="SYG5" s="433"/>
      <c r="SYH5" s="433"/>
      <c r="SYI5" s="433"/>
      <c r="SYJ5" s="433"/>
      <c r="SYK5" s="433"/>
      <c r="SYL5" s="433"/>
      <c r="SYM5" s="433"/>
      <c r="SYN5" s="433"/>
      <c r="SYO5" s="433"/>
      <c r="SYP5" s="433"/>
      <c r="SYQ5" s="433"/>
      <c r="SYR5" s="433"/>
      <c r="SYS5" s="433"/>
      <c r="SYT5" s="433"/>
      <c r="SYU5" s="433"/>
      <c r="SYV5" s="433"/>
      <c r="SYW5" s="433"/>
      <c r="SYX5" s="433"/>
      <c r="SYY5" s="433"/>
      <c r="SYZ5" s="433"/>
      <c r="SZA5" s="433"/>
      <c r="SZB5" s="433"/>
      <c r="SZC5" s="433"/>
      <c r="SZD5" s="433"/>
      <c r="SZE5" s="433"/>
      <c r="SZF5" s="433"/>
      <c r="SZG5" s="433"/>
      <c r="SZH5" s="433"/>
      <c r="SZI5" s="433"/>
      <c r="SZJ5" s="433"/>
      <c r="SZK5" s="433"/>
      <c r="SZL5" s="433"/>
      <c r="SZM5" s="433"/>
      <c r="SZN5" s="433"/>
      <c r="SZO5" s="433"/>
      <c r="SZP5" s="433"/>
      <c r="SZQ5" s="433"/>
      <c r="SZR5" s="433"/>
      <c r="SZS5" s="433"/>
      <c r="SZT5" s="433"/>
      <c r="SZU5" s="433"/>
      <c r="SZV5" s="433"/>
      <c r="SZW5" s="433"/>
      <c r="SZX5" s="433"/>
      <c r="SZY5" s="433"/>
      <c r="SZZ5" s="433"/>
      <c r="TAA5" s="433"/>
      <c r="TAB5" s="433"/>
      <c r="TAC5" s="433"/>
      <c r="TAD5" s="433"/>
      <c r="TAE5" s="433"/>
      <c r="TAF5" s="433"/>
      <c r="TAG5" s="433"/>
      <c r="TAH5" s="433"/>
      <c r="TAI5" s="433"/>
      <c r="TAJ5" s="433"/>
      <c r="TAK5" s="433"/>
      <c r="TAL5" s="433"/>
      <c r="TAM5" s="433"/>
      <c r="TAN5" s="433"/>
      <c r="TAO5" s="433"/>
      <c r="TAP5" s="433"/>
      <c r="TAQ5" s="433"/>
      <c r="TAR5" s="433"/>
      <c r="TAS5" s="433"/>
      <c r="TAT5" s="433"/>
      <c r="TAU5" s="433"/>
      <c r="TAV5" s="433"/>
      <c r="TAW5" s="433"/>
      <c r="TAX5" s="433"/>
      <c r="TAY5" s="433"/>
      <c r="TAZ5" s="433"/>
      <c r="TBA5" s="433"/>
      <c r="TBB5" s="433"/>
      <c r="TBC5" s="433"/>
      <c r="TBD5" s="433"/>
      <c r="TBE5" s="433"/>
      <c r="TBF5" s="433"/>
      <c r="TBG5" s="433"/>
      <c r="TBH5" s="433"/>
      <c r="TBI5" s="433"/>
      <c r="TBJ5" s="433"/>
      <c r="TBK5" s="433"/>
      <c r="TBL5" s="433"/>
      <c r="TBM5" s="433"/>
      <c r="TBN5" s="433"/>
      <c r="TBO5" s="433"/>
      <c r="TBP5" s="433"/>
      <c r="TBQ5" s="433"/>
      <c r="TBR5" s="433"/>
      <c r="TBS5" s="433"/>
      <c r="TBT5" s="433"/>
      <c r="TBU5" s="433"/>
      <c r="TBV5" s="433"/>
      <c r="TBW5" s="433"/>
      <c r="TBX5" s="433"/>
      <c r="TBY5" s="433"/>
      <c r="TBZ5" s="433"/>
      <c r="TCA5" s="433"/>
      <c r="TCB5" s="433"/>
      <c r="TCC5" s="433"/>
      <c r="TCD5" s="433"/>
      <c r="TCE5" s="433"/>
      <c r="TCF5" s="433"/>
      <c r="TCG5" s="433"/>
      <c r="TCH5" s="433"/>
      <c r="TCI5" s="433"/>
      <c r="TCJ5" s="433"/>
      <c r="TCK5" s="433"/>
      <c r="TCL5" s="433"/>
      <c r="TCM5" s="433"/>
      <c r="TCN5" s="433"/>
      <c r="TCO5" s="433"/>
      <c r="TCP5" s="433"/>
      <c r="TCQ5" s="433"/>
      <c r="TCR5" s="433"/>
      <c r="TCS5" s="433"/>
      <c r="TCT5" s="433"/>
      <c r="TCU5" s="433"/>
      <c r="TCV5" s="433"/>
      <c r="TCW5" s="433"/>
      <c r="TCX5" s="433"/>
      <c r="TCY5" s="433"/>
      <c r="TCZ5" s="433"/>
      <c r="TDA5" s="433"/>
      <c r="TDB5" s="433"/>
      <c r="TDC5" s="433"/>
      <c r="TDD5" s="433"/>
      <c r="TDE5" s="433"/>
      <c r="TDF5" s="433"/>
      <c r="TDG5" s="433"/>
      <c r="TDH5" s="433"/>
      <c r="TDI5" s="433"/>
      <c r="TDJ5" s="433"/>
      <c r="TDK5" s="433"/>
      <c r="TDL5" s="433"/>
      <c r="TDM5" s="433"/>
      <c r="TDN5" s="433"/>
      <c r="TDO5" s="433"/>
      <c r="TDP5" s="433"/>
      <c r="TDQ5" s="433"/>
      <c r="TDR5" s="433"/>
      <c r="TDS5" s="433"/>
      <c r="TDT5" s="433"/>
      <c r="TDU5" s="433"/>
      <c r="TDV5" s="433"/>
      <c r="TDW5" s="433"/>
      <c r="TDX5" s="433"/>
      <c r="TDY5" s="433"/>
      <c r="TDZ5" s="433"/>
      <c r="TEA5" s="433"/>
      <c r="TEB5" s="433"/>
      <c r="TEC5" s="433"/>
      <c r="TED5" s="433"/>
      <c r="TEE5" s="433"/>
      <c r="TEF5" s="433"/>
      <c r="TEG5" s="433"/>
      <c r="TEH5" s="433"/>
      <c r="TEI5" s="433"/>
      <c r="TEJ5" s="433"/>
      <c r="TEK5" s="433"/>
      <c r="TEL5" s="433"/>
      <c r="TEM5" s="433"/>
      <c r="TEN5" s="433"/>
      <c r="TEO5" s="433"/>
      <c r="TEP5" s="433"/>
      <c r="TEQ5" s="433"/>
      <c r="TER5" s="433"/>
      <c r="TES5" s="433"/>
      <c r="TET5" s="433"/>
      <c r="TEU5" s="433"/>
      <c r="TEV5" s="433"/>
      <c r="TEW5" s="433"/>
      <c r="TEX5" s="433"/>
      <c r="TEY5" s="433"/>
      <c r="TEZ5" s="433"/>
      <c r="TFA5" s="433"/>
      <c r="TFB5" s="433"/>
      <c r="TFC5" s="433"/>
      <c r="TFD5" s="433"/>
      <c r="TFE5" s="433"/>
      <c r="TFF5" s="433"/>
      <c r="TFG5" s="433"/>
      <c r="TFH5" s="433"/>
      <c r="TFI5" s="433"/>
      <c r="TFJ5" s="433"/>
      <c r="TFK5" s="433"/>
      <c r="TFL5" s="433"/>
      <c r="TFM5" s="433"/>
      <c r="TFN5" s="433"/>
      <c r="TFO5" s="433"/>
      <c r="TFP5" s="433"/>
      <c r="TFQ5" s="433"/>
      <c r="TFR5" s="433"/>
      <c r="TFS5" s="433"/>
      <c r="TFT5" s="433"/>
      <c r="TFU5" s="433"/>
      <c r="TFV5" s="433"/>
      <c r="TFW5" s="433"/>
      <c r="TFX5" s="433"/>
      <c r="TFY5" s="433"/>
      <c r="TFZ5" s="433"/>
      <c r="TGA5" s="433"/>
      <c r="TGB5" s="433"/>
      <c r="TGC5" s="433"/>
      <c r="TGD5" s="433"/>
      <c r="TGE5" s="433"/>
      <c r="TGF5" s="433"/>
      <c r="TGG5" s="433"/>
      <c r="TGH5" s="433"/>
      <c r="TGI5" s="433"/>
      <c r="TGJ5" s="433"/>
      <c r="TGK5" s="433"/>
      <c r="TGL5" s="433"/>
      <c r="TGM5" s="433"/>
      <c r="TGN5" s="433"/>
      <c r="TGO5" s="433"/>
      <c r="TGP5" s="433"/>
      <c r="TGQ5" s="433"/>
      <c r="TGR5" s="433"/>
      <c r="TGS5" s="433"/>
      <c r="TGT5" s="433"/>
      <c r="TGU5" s="433"/>
      <c r="TGV5" s="433"/>
      <c r="TGW5" s="433"/>
      <c r="TGX5" s="433"/>
      <c r="TGY5" s="433"/>
      <c r="TGZ5" s="433"/>
      <c r="THA5" s="433"/>
      <c r="THB5" s="433"/>
      <c r="THC5" s="433"/>
      <c r="THD5" s="433"/>
      <c r="THE5" s="433"/>
      <c r="THF5" s="433"/>
      <c r="THG5" s="433"/>
      <c r="THH5" s="433"/>
      <c r="THI5" s="433"/>
      <c r="THJ5" s="433"/>
      <c r="THK5" s="433"/>
      <c r="THL5" s="433"/>
      <c r="THM5" s="433"/>
      <c r="THN5" s="433"/>
      <c r="THO5" s="433"/>
      <c r="THP5" s="433"/>
      <c r="THQ5" s="433"/>
      <c r="THR5" s="433"/>
      <c r="THS5" s="433"/>
      <c r="THT5" s="433"/>
      <c r="THU5" s="433"/>
      <c r="THV5" s="433"/>
      <c r="THW5" s="433"/>
      <c r="THX5" s="433"/>
      <c r="THY5" s="433"/>
      <c r="THZ5" s="433"/>
      <c r="TIA5" s="433"/>
      <c r="TIB5" s="433"/>
      <c r="TIC5" s="433"/>
      <c r="TID5" s="433"/>
      <c r="TIE5" s="433"/>
      <c r="TIF5" s="433"/>
      <c r="TIG5" s="433"/>
      <c r="TIH5" s="433"/>
      <c r="TII5" s="433"/>
      <c r="TIJ5" s="433"/>
      <c r="TIK5" s="433"/>
      <c r="TIL5" s="433"/>
      <c r="TIM5" s="433"/>
      <c r="TIN5" s="433"/>
      <c r="TIO5" s="433"/>
      <c r="TIP5" s="433"/>
      <c r="TIQ5" s="433"/>
      <c r="TIR5" s="433"/>
      <c r="TIS5" s="433"/>
      <c r="TIT5" s="433"/>
      <c r="TIU5" s="433"/>
      <c r="TIV5" s="433"/>
      <c r="TIW5" s="433"/>
      <c r="TIX5" s="433"/>
      <c r="TIY5" s="433"/>
      <c r="TIZ5" s="433"/>
      <c r="TJA5" s="433"/>
      <c r="TJB5" s="433"/>
      <c r="TJC5" s="433"/>
      <c r="TJD5" s="433"/>
      <c r="TJE5" s="433"/>
      <c r="TJF5" s="433"/>
      <c r="TJG5" s="433"/>
      <c r="TJH5" s="433"/>
      <c r="TJI5" s="433"/>
      <c r="TJJ5" s="433"/>
      <c r="TJK5" s="433"/>
      <c r="TJL5" s="433"/>
      <c r="TJM5" s="433"/>
      <c r="TJN5" s="433"/>
      <c r="TJO5" s="433"/>
      <c r="TJP5" s="433"/>
      <c r="TJQ5" s="433"/>
      <c r="TJR5" s="433"/>
      <c r="TJS5" s="433"/>
      <c r="TJT5" s="433"/>
      <c r="TJU5" s="433"/>
      <c r="TJV5" s="433"/>
      <c r="TJW5" s="433"/>
      <c r="TJX5" s="433"/>
      <c r="TJY5" s="433"/>
      <c r="TJZ5" s="433"/>
      <c r="TKA5" s="433"/>
      <c r="TKB5" s="433"/>
      <c r="TKC5" s="433"/>
      <c r="TKD5" s="433"/>
      <c r="TKE5" s="433"/>
      <c r="TKF5" s="433"/>
      <c r="TKG5" s="433"/>
      <c r="TKH5" s="433"/>
      <c r="TKI5" s="433"/>
      <c r="TKJ5" s="433"/>
      <c r="TKK5" s="433"/>
      <c r="TKL5" s="433"/>
      <c r="TKM5" s="433"/>
      <c r="TKN5" s="433"/>
      <c r="TKO5" s="433"/>
      <c r="TKP5" s="433"/>
      <c r="TKQ5" s="433"/>
      <c r="TKR5" s="433"/>
      <c r="TKS5" s="433"/>
      <c r="TKT5" s="433"/>
      <c r="TKU5" s="433"/>
      <c r="TKV5" s="433"/>
      <c r="TKW5" s="433"/>
      <c r="TKX5" s="433"/>
      <c r="TKY5" s="433"/>
      <c r="TKZ5" s="433"/>
      <c r="TLA5" s="433"/>
      <c r="TLB5" s="433"/>
      <c r="TLC5" s="433"/>
      <c r="TLD5" s="433"/>
      <c r="TLE5" s="433"/>
      <c r="TLF5" s="433"/>
      <c r="TLG5" s="433"/>
      <c r="TLH5" s="433"/>
      <c r="TLI5" s="433"/>
      <c r="TLJ5" s="433"/>
      <c r="TLK5" s="433"/>
      <c r="TLL5" s="433"/>
      <c r="TLM5" s="433"/>
      <c r="TLN5" s="433"/>
      <c r="TLO5" s="433"/>
      <c r="TLP5" s="433"/>
      <c r="TLQ5" s="433"/>
      <c r="TLR5" s="433"/>
      <c r="TLS5" s="433"/>
      <c r="TLT5" s="433"/>
      <c r="TLU5" s="433"/>
      <c r="TLV5" s="433"/>
      <c r="TLW5" s="433"/>
      <c r="TLX5" s="433"/>
      <c r="TLY5" s="433"/>
      <c r="TLZ5" s="433"/>
      <c r="TMA5" s="433"/>
      <c r="TMB5" s="433"/>
      <c r="TMC5" s="433"/>
      <c r="TMD5" s="433"/>
      <c r="TME5" s="433"/>
      <c r="TMF5" s="433"/>
      <c r="TMG5" s="433"/>
      <c r="TMH5" s="433"/>
      <c r="TMI5" s="433"/>
      <c r="TMJ5" s="433"/>
      <c r="TMK5" s="433"/>
      <c r="TML5" s="433"/>
      <c r="TMM5" s="433"/>
      <c r="TMN5" s="433"/>
      <c r="TMO5" s="433"/>
      <c r="TMP5" s="433"/>
      <c r="TMQ5" s="433"/>
      <c r="TMR5" s="433"/>
      <c r="TMS5" s="433"/>
      <c r="TMT5" s="433"/>
      <c r="TMU5" s="433"/>
      <c r="TMV5" s="433"/>
      <c r="TMW5" s="433"/>
      <c r="TMX5" s="433"/>
      <c r="TMY5" s="433"/>
      <c r="TMZ5" s="433"/>
      <c r="TNA5" s="433"/>
      <c r="TNB5" s="433"/>
      <c r="TNC5" s="433"/>
      <c r="TND5" s="433"/>
      <c r="TNE5" s="433"/>
      <c r="TNF5" s="433"/>
      <c r="TNG5" s="433"/>
      <c r="TNH5" s="433"/>
      <c r="TNI5" s="433"/>
      <c r="TNJ5" s="433"/>
      <c r="TNK5" s="433"/>
      <c r="TNL5" s="433"/>
      <c r="TNM5" s="433"/>
      <c r="TNN5" s="433"/>
      <c r="TNO5" s="433"/>
      <c r="TNP5" s="433"/>
      <c r="TNQ5" s="433"/>
      <c r="TNR5" s="433"/>
      <c r="TNS5" s="433"/>
      <c r="TNT5" s="433"/>
      <c r="TNU5" s="433"/>
      <c r="TNV5" s="433"/>
      <c r="TNW5" s="433"/>
      <c r="TNX5" s="433"/>
      <c r="TNY5" s="433"/>
      <c r="TNZ5" s="433"/>
      <c r="TOA5" s="433"/>
      <c r="TOB5" s="433"/>
      <c r="TOC5" s="433"/>
      <c r="TOD5" s="433"/>
      <c r="TOE5" s="433"/>
      <c r="TOF5" s="433"/>
      <c r="TOG5" s="433"/>
      <c r="TOH5" s="433"/>
      <c r="TOI5" s="433"/>
      <c r="TOJ5" s="433"/>
      <c r="TOK5" s="433"/>
      <c r="TOL5" s="433"/>
      <c r="TOM5" s="433"/>
      <c r="TON5" s="433"/>
      <c r="TOO5" s="433"/>
      <c r="TOP5" s="433"/>
      <c r="TOQ5" s="433"/>
      <c r="TOR5" s="433"/>
      <c r="TOS5" s="433"/>
      <c r="TOT5" s="433"/>
      <c r="TOU5" s="433"/>
      <c r="TOV5" s="433"/>
      <c r="TOW5" s="433"/>
      <c r="TOX5" s="433"/>
      <c r="TOY5" s="433"/>
      <c r="TOZ5" s="433"/>
      <c r="TPA5" s="433"/>
      <c r="TPB5" s="433"/>
      <c r="TPC5" s="433"/>
      <c r="TPD5" s="433"/>
      <c r="TPE5" s="433"/>
      <c r="TPF5" s="433"/>
      <c r="TPG5" s="433"/>
      <c r="TPH5" s="433"/>
      <c r="TPI5" s="433"/>
      <c r="TPJ5" s="433"/>
      <c r="TPK5" s="433"/>
      <c r="TPL5" s="433"/>
      <c r="TPM5" s="433"/>
      <c r="TPN5" s="433"/>
      <c r="TPO5" s="433"/>
      <c r="TPP5" s="433"/>
      <c r="TPQ5" s="433"/>
      <c r="TPR5" s="433"/>
      <c r="TPS5" s="433"/>
      <c r="TPT5" s="433"/>
      <c r="TPU5" s="433"/>
      <c r="TPV5" s="433"/>
      <c r="TPW5" s="433"/>
      <c r="TPX5" s="433"/>
      <c r="TPY5" s="433"/>
      <c r="TPZ5" s="433"/>
      <c r="TQA5" s="433"/>
      <c r="TQB5" s="433"/>
      <c r="TQC5" s="433"/>
      <c r="TQD5" s="433"/>
      <c r="TQE5" s="433"/>
      <c r="TQF5" s="433"/>
      <c r="TQG5" s="433"/>
      <c r="TQH5" s="433"/>
      <c r="TQI5" s="433"/>
      <c r="TQJ5" s="433"/>
      <c r="TQK5" s="433"/>
      <c r="TQL5" s="433"/>
      <c r="TQM5" s="433"/>
      <c r="TQN5" s="433"/>
      <c r="TQO5" s="433"/>
      <c r="TQP5" s="433"/>
      <c r="TQQ5" s="433"/>
      <c r="TQR5" s="433"/>
      <c r="TQS5" s="433"/>
      <c r="TQT5" s="433"/>
      <c r="TQU5" s="433"/>
      <c r="TQV5" s="433"/>
      <c r="TQW5" s="433"/>
      <c r="TQX5" s="433"/>
      <c r="TQY5" s="433"/>
      <c r="TQZ5" s="433"/>
      <c r="TRA5" s="433"/>
      <c r="TRB5" s="433"/>
      <c r="TRC5" s="433"/>
      <c r="TRD5" s="433"/>
      <c r="TRE5" s="433"/>
      <c r="TRF5" s="433"/>
      <c r="TRG5" s="433"/>
      <c r="TRH5" s="433"/>
      <c r="TRI5" s="433"/>
      <c r="TRJ5" s="433"/>
      <c r="TRK5" s="433"/>
      <c r="TRL5" s="433"/>
      <c r="TRM5" s="433"/>
      <c r="TRN5" s="433"/>
      <c r="TRO5" s="433"/>
      <c r="TRP5" s="433"/>
      <c r="TRQ5" s="433"/>
      <c r="TRR5" s="433"/>
      <c r="TRS5" s="433"/>
      <c r="TRT5" s="433"/>
      <c r="TRU5" s="433"/>
      <c r="TRV5" s="433"/>
      <c r="TRW5" s="433"/>
      <c r="TRX5" s="433"/>
      <c r="TRY5" s="433"/>
      <c r="TRZ5" s="433"/>
      <c r="TSA5" s="433"/>
      <c r="TSB5" s="433"/>
      <c r="TSC5" s="433"/>
      <c r="TSD5" s="433"/>
      <c r="TSE5" s="433"/>
      <c r="TSF5" s="433"/>
      <c r="TSG5" s="433"/>
      <c r="TSH5" s="433"/>
      <c r="TSI5" s="433"/>
      <c r="TSJ5" s="433"/>
      <c r="TSK5" s="433"/>
      <c r="TSL5" s="433"/>
      <c r="TSM5" s="433"/>
      <c r="TSN5" s="433"/>
      <c r="TSO5" s="433"/>
      <c r="TSP5" s="433"/>
      <c r="TSQ5" s="433"/>
      <c r="TSR5" s="433"/>
      <c r="TSS5" s="433"/>
      <c r="TST5" s="433"/>
      <c r="TSU5" s="433"/>
      <c r="TSV5" s="433"/>
      <c r="TSW5" s="433"/>
      <c r="TSX5" s="433"/>
      <c r="TSY5" s="433"/>
      <c r="TSZ5" s="433"/>
      <c r="TTA5" s="433"/>
      <c r="TTB5" s="433"/>
      <c r="TTC5" s="433"/>
      <c r="TTD5" s="433"/>
      <c r="TTE5" s="433"/>
      <c r="TTF5" s="433"/>
      <c r="TTG5" s="433"/>
      <c r="TTH5" s="433"/>
      <c r="TTI5" s="433"/>
      <c r="TTJ5" s="433"/>
      <c r="TTK5" s="433"/>
      <c r="TTL5" s="433"/>
      <c r="TTM5" s="433"/>
      <c r="TTN5" s="433"/>
      <c r="TTO5" s="433"/>
      <c r="TTP5" s="433"/>
      <c r="TTQ5" s="433"/>
      <c r="TTR5" s="433"/>
      <c r="TTS5" s="433"/>
      <c r="TTT5" s="433"/>
      <c r="TTU5" s="433"/>
      <c r="TTV5" s="433"/>
      <c r="TTW5" s="433"/>
      <c r="TTX5" s="433"/>
      <c r="TTY5" s="433"/>
      <c r="TTZ5" s="433"/>
      <c r="TUA5" s="433"/>
      <c r="TUB5" s="433"/>
      <c r="TUC5" s="433"/>
      <c r="TUD5" s="433"/>
      <c r="TUE5" s="433"/>
      <c r="TUF5" s="433"/>
      <c r="TUG5" s="433"/>
      <c r="TUH5" s="433"/>
      <c r="TUI5" s="433"/>
      <c r="TUJ5" s="433"/>
      <c r="TUK5" s="433"/>
      <c r="TUL5" s="433"/>
      <c r="TUM5" s="433"/>
      <c r="TUN5" s="433"/>
      <c r="TUO5" s="433"/>
      <c r="TUP5" s="433"/>
      <c r="TUQ5" s="433"/>
      <c r="TUR5" s="433"/>
      <c r="TUS5" s="433"/>
      <c r="TUT5" s="433"/>
      <c r="TUU5" s="433"/>
      <c r="TUV5" s="433"/>
      <c r="TUW5" s="433"/>
      <c r="TUX5" s="433"/>
      <c r="TUY5" s="433"/>
      <c r="TUZ5" s="433"/>
      <c r="TVA5" s="433"/>
      <c r="TVB5" s="433"/>
      <c r="TVC5" s="433"/>
      <c r="TVD5" s="433"/>
      <c r="TVE5" s="433"/>
      <c r="TVF5" s="433"/>
      <c r="TVG5" s="433"/>
      <c r="TVH5" s="433"/>
      <c r="TVI5" s="433"/>
      <c r="TVJ5" s="433"/>
      <c r="TVK5" s="433"/>
      <c r="TVL5" s="433"/>
      <c r="TVM5" s="433"/>
      <c r="TVN5" s="433"/>
      <c r="TVO5" s="433"/>
      <c r="TVP5" s="433"/>
      <c r="TVQ5" s="433"/>
      <c r="TVR5" s="433"/>
      <c r="TVS5" s="433"/>
      <c r="TVT5" s="433"/>
      <c r="TVU5" s="433"/>
      <c r="TVV5" s="433"/>
      <c r="TVW5" s="433"/>
      <c r="TVX5" s="433"/>
      <c r="TVY5" s="433"/>
      <c r="TVZ5" s="433"/>
      <c r="TWA5" s="433"/>
      <c r="TWB5" s="433"/>
      <c r="TWC5" s="433"/>
      <c r="TWD5" s="433"/>
      <c r="TWE5" s="433"/>
      <c r="TWF5" s="433"/>
      <c r="TWG5" s="433"/>
      <c r="TWH5" s="433"/>
      <c r="TWI5" s="433"/>
      <c r="TWJ5" s="433"/>
      <c r="TWK5" s="433"/>
      <c r="TWL5" s="433"/>
      <c r="TWM5" s="433"/>
      <c r="TWN5" s="433"/>
      <c r="TWO5" s="433"/>
      <c r="TWP5" s="433"/>
      <c r="TWQ5" s="433"/>
      <c r="TWR5" s="433"/>
      <c r="TWS5" s="433"/>
      <c r="TWT5" s="433"/>
      <c r="TWU5" s="433"/>
      <c r="TWV5" s="433"/>
      <c r="TWW5" s="433"/>
      <c r="TWX5" s="433"/>
      <c r="TWY5" s="433"/>
      <c r="TWZ5" s="433"/>
      <c r="TXA5" s="433"/>
      <c r="TXB5" s="433"/>
      <c r="TXC5" s="433"/>
      <c r="TXD5" s="433"/>
      <c r="TXE5" s="433"/>
      <c r="TXF5" s="433"/>
      <c r="TXG5" s="433"/>
      <c r="TXH5" s="433"/>
      <c r="TXI5" s="433"/>
      <c r="TXJ5" s="433"/>
      <c r="TXK5" s="433"/>
      <c r="TXL5" s="433"/>
      <c r="TXM5" s="433"/>
      <c r="TXN5" s="433"/>
      <c r="TXO5" s="433"/>
      <c r="TXP5" s="433"/>
      <c r="TXQ5" s="433"/>
      <c r="TXR5" s="433"/>
      <c r="TXS5" s="433"/>
      <c r="TXT5" s="433"/>
      <c r="TXU5" s="433"/>
      <c r="TXV5" s="433"/>
      <c r="TXW5" s="433"/>
      <c r="TXX5" s="433"/>
      <c r="TXY5" s="433"/>
      <c r="TXZ5" s="433"/>
      <c r="TYA5" s="433"/>
      <c r="TYB5" s="433"/>
      <c r="TYC5" s="433"/>
      <c r="TYD5" s="433"/>
      <c r="TYE5" s="433"/>
      <c r="TYF5" s="433"/>
      <c r="TYG5" s="433"/>
      <c r="TYH5" s="433"/>
      <c r="TYI5" s="433"/>
      <c r="TYJ5" s="433"/>
      <c r="TYK5" s="433"/>
      <c r="TYL5" s="433"/>
      <c r="TYM5" s="433"/>
      <c r="TYN5" s="433"/>
      <c r="TYO5" s="433"/>
      <c r="TYP5" s="433"/>
      <c r="TYQ5" s="433"/>
      <c r="TYR5" s="433"/>
      <c r="TYS5" s="433"/>
      <c r="TYT5" s="433"/>
      <c r="TYU5" s="433"/>
      <c r="TYV5" s="433"/>
      <c r="TYW5" s="433"/>
      <c r="TYX5" s="433"/>
      <c r="TYY5" s="433"/>
      <c r="TYZ5" s="433"/>
      <c r="TZA5" s="433"/>
      <c r="TZB5" s="433"/>
      <c r="TZC5" s="433"/>
      <c r="TZD5" s="433"/>
      <c r="TZE5" s="433"/>
      <c r="TZF5" s="433"/>
      <c r="TZG5" s="433"/>
      <c r="TZH5" s="433"/>
      <c r="TZI5" s="433"/>
      <c r="TZJ5" s="433"/>
      <c r="TZK5" s="433"/>
      <c r="TZL5" s="433"/>
      <c r="TZM5" s="433"/>
      <c r="TZN5" s="433"/>
      <c r="TZO5" s="433"/>
      <c r="TZP5" s="433"/>
      <c r="TZQ5" s="433"/>
      <c r="TZR5" s="433"/>
      <c r="TZS5" s="433"/>
      <c r="TZT5" s="433"/>
      <c r="TZU5" s="433"/>
      <c r="TZV5" s="433"/>
      <c r="TZW5" s="433"/>
      <c r="TZX5" s="433"/>
      <c r="TZY5" s="433"/>
      <c r="TZZ5" s="433"/>
      <c r="UAA5" s="433"/>
      <c r="UAB5" s="433"/>
      <c r="UAC5" s="433"/>
      <c r="UAD5" s="433"/>
      <c r="UAE5" s="433"/>
      <c r="UAF5" s="433"/>
      <c r="UAG5" s="433"/>
      <c r="UAH5" s="433"/>
      <c r="UAI5" s="433"/>
      <c r="UAJ5" s="433"/>
      <c r="UAK5" s="433"/>
      <c r="UAL5" s="433"/>
      <c r="UAM5" s="433"/>
      <c r="UAN5" s="433"/>
      <c r="UAO5" s="433"/>
      <c r="UAP5" s="433"/>
      <c r="UAQ5" s="433"/>
      <c r="UAR5" s="433"/>
      <c r="UAS5" s="433"/>
      <c r="UAT5" s="433"/>
      <c r="UAU5" s="433"/>
      <c r="UAV5" s="433"/>
      <c r="UAW5" s="433"/>
      <c r="UAX5" s="433"/>
      <c r="UAY5" s="433"/>
      <c r="UAZ5" s="433"/>
      <c r="UBA5" s="433"/>
      <c r="UBB5" s="433"/>
      <c r="UBC5" s="433"/>
      <c r="UBD5" s="433"/>
      <c r="UBE5" s="433"/>
      <c r="UBF5" s="433"/>
      <c r="UBG5" s="433"/>
      <c r="UBH5" s="433"/>
      <c r="UBI5" s="433"/>
      <c r="UBJ5" s="433"/>
      <c r="UBK5" s="433"/>
      <c r="UBL5" s="433"/>
      <c r="UBM5" s="433"/>
      <c r="UBN5" s="433"/>
      <c r="UBO5" s="433"/>
      <c r="UBP5" s="433"/>
      <c r="UBQ5" s="433"/>
      <c r="UBR5" s="433"/>
      <c r="UBS5" s="433"/>
      <c r="UBT5" s="433"/>
      <c r="UBU5" s="433"/>
      <c r="UBV5" s="433"/>
      <c r="UBW5" s="433"/>
      <c r="UBX5" s="433"/>
      <c r="UBY5" s="433"/>
      <c r="UBZ5" s="433"/>
      <c r="UCA5" s="433"/>
      <c r="UCB5" s="433"/>
      <c r="UCC5" s="433"/>
      <c r="UCD5" s="433"/>
      <c r="UCE5" s="433"/>
      <c r="UCF5" s="433"/>
      <c r="UCG5" s="433"/>
      <c r="UCH5" s="433"/>
      <c r="UCI5" s="433"/>
      <c r="UCJ5" s="433"/>
      <c r="UCK5" s="433"/>
      <c r="UCL5" s="433"/>
      <c r="UCM5" s="433"/>
      <c r="UCN5" s="433"/>
      <c r="UCO5" s="433"/>
      <c r="UCP5" s="433"/>
      <c r="UCQ5" s="433"/>
      <c r="UCR5" s="433"/>
      <c r="UCS5" s="433"/>
      <c r="UCT5" s="433"/>
      <c r="UCU5" s="433"/>
      <c r="UCV5" s="433"/>
      <c r="UCW5" s="433"/>
      <c r="UCX5" s="433"/>
      <c r="UCY5" s="433"/>
      <c r="UCZ5" s="433"/>
      <c r="UDA5" s="433"/>
      <c r="UDB5" s="433"/>
      <c r="UDC5" s="433"/>
      <c r="UDD5" s="433"/>
      <c r="UDE5" s="433"/>
      <c r="UDF5" s="433"/>
      <c r="UDG5" s="433"/>
      <c r="UDH5" s="433"/>
      <c r="UDI5" s="433"/>
      <c r="UDJ5" s="433"/>
      <c r="UDK5" s="433"/>
      <c r="UDL5" s="433"/>
      <c r="UDM5" s="433"/>
      <c r="UDN5" s="433"/>
      <c r="UDO5" s="433"/>
      <c r="UDP5" s="433"/>
      <c r="UDQ5" s="433"/>
      <c r="UDR5" s="433"/>
      <c r="UDS5" s="433"/>
      <c r="UDT5" s="433"/>
      <c r="UDU5" s="433"/>
      <c r="UDV5" s="433"/>
      <c r="UDW5" s="433"/>
      <c r="UDX5" s="433"/>
      <c r="UDY5" s="433"/>
      <c r="UDZ5" s="433"/>
      <c r="UEA5" s="433"/>
      <c r="UEB5" s="433"/>
      <c r="UEC5" s="433"/>
      <c r="UED5" s="433"/>
      <c r="UEE5" s="433"/>
      <c r="UEF5" s="433"/>
      <c r="UEG5" s="433"/>
      <c r="UEH5" s="433"/>
      <c r="UEI5" s="433"/>
      <c r="UEJ5" s="433"/>
      <c r="UEK5" s="433"/>
      <c r="UEL5" s="433"/>
      <c r="UEM5" s="433"/>
      <c r="UEN5" s="433"/>
      <c r="UEO5" s="433"/>
      <c r="UEP5" s="433"/>
      <c r="UEQ5" s="433"/>
      <c r="UER5" s="433"/>
      <c r="UES5" s="433"/>
      <c r="UET5" s="433"/>
      <c r="UEU5" s="433"/>
      <c r="UEV5" s="433"/>
      <c r="UEW5" s="433"/>
      <c r="UEX5" s="433"/>
      <c r="UEY5" s="433"/>
      <c r="UEZ5" s="433"/>
      <c r="UFA5" s="433"/>
      <c r="UFB5" s="433"/>
      <c r="UFC5" s="433"/>
      <c r="UFD5" s="433"/>
      <c r="UFE5" s="433"/>
      <c r="UFF5" s="433"/>
      <c r="UFG5" s="433"/>
      <c r="UFH5" s="433"/>
      <c r="UFI5" s="433"/>
      <c r="UFJ5" s="433"/>
      <c r="UFK5" s="433"/>
      <c r="UFL5" s="433"/>
      <c r="UFM5" s="433"/>
      <c r="UFN5" s="433"/>
      <c r="UFO5" s="433"/>
      <c r="UFP5" s="433"/>
      <c r="UFQ5" s="433"/>
      <c r="UFR5" s="433"/>
      <c r="UFS5" s="433"/>
      <c r="UFT5" s="433"/>
      <c r="UFU5" s="433"/>
      <c r="UFV5" s="433"/>
      <c r="UFW5" s="433"/>
      <c r="UFX5" s="433"/>
      <c r="UFY5" s="433"/>
      <c r="UFZ5" s="433"/>
      <c r="UGA5" s="433"/>
      <c r="UGB5" s="433"/>
      <c r="UGC5" s="433"/>
      <c r="UGD5" s="433"/>
      <c r="UGE5" s="433"/>
      <c r="UGF5" s="433"/>
      <c r="UGG5" s="433"/>
      <c r="UGH5" s="433"/>
      <c r="UGI5" s="433"/>
      <c r="UGJ5" s="433"/>
      <c r="UGK5" s="433"/>
      <c r="UGL5" s="433"/>
      <c r="UGM5" s="433"/>
      <c r="UGN5" s="433"/>
      <c r="UGO5" s="433"/>
      <c r="UGP5" s="433"/>
      <c r="UGQ5" s="433"/>
      <c r="UGR5" s="433"/>
      <c r="UGS5" s="433"/>
      <c r="UGT5" s="433"/>
      <c r="UGU5" s="433"/>
      <c r="UGV5" s="433"/>
      <c r="UGW5" s="433"/>
      <c r="UGX5" s="433"/>
      <c r="UGY5" s="433"/>
      <c r="UGZ5" s="433"/>
      <c r="UHA5" s="433"/>
      <c r="UHB5" s="433"/>
      <c r="UHC5" s="433"/>
      <c r="UHD5" s="433"/>
      <c r="UHE5" s="433"/>
      <c r="UHF5" s="433"/>
      <c r="UHG5" s="433"/>
      <c r="UHH5" s="433"/>
      <c r="UHI5" s="433"/>
      <c r="UHJ5" s="433"/>
      <c r="UHK5" s="433"/>
      <c r="UHL5" s="433"/>
      <c r="UHM5" s="433"/>
      <c r="UHN5" s="433"/>
      <c r="UHO5" s="433"/>
      <c r="UHP5" s="433"/>
      <c r="UHQ5" s="433"/>
      <c r="UHR5" s="433"/>
      <c r="UHS5" s="433"/>
      <c r="UHT5" s="433"/>
      <c r="UHU5" s="433"/>
      <c r="UHV5" s="433"/>
      <c r="UHW5" s="433"/>
      <c r="UHX5" s="433"/>
      <c r="UHY5" s="433"/>
      <c r="UHZ5" s="433"/>
      <c r="UIA5" s="433"/>
      <c r="UIB5" s="433"/>
      <c r="UIC5" s="433"/>
      <c r="UID5" s="433"/>
      <c r="UIE5" s="433"/>
      <c r="UIF5" s="433"/>
      <c r="UIG5" s="433"/>
      <c r="UIH5" s="433"/>
      <c r="UII5" s="433"/>
      <c r="UIJ5" s="433"/>
      <c r="UIK5" s="433"/>
      <c r="UIL5" s="433"/>
      <c r="UIM5" s="433"/>
      <c r="UIN5" s="433"/>
      <c r="UIO5" s="433"/>
      <c r="UIP5" s="433"/>
      <c r="UIQ5" s="433"/>
      <c r="UIR5" s="433"/>
      <c r="UIS5" s="433"/>
      <c r="UIT5" s="433"/>
      <c r="UIU5" s="433"/>
      <c r="UIV5" s="433"/>
      <c r="UIW5" s="433"/>
      <c r="UIX5" s="433"/>
      <c r="UIY5" s="433"/>
      <c r="UIZ5" s="433"/>
      <c r="UJA5" s="433"/>
      <c r="UJB5" s="433"/>
      <c r="UJC5" s="433"/>
      <c r="UJD5" s="433"/>
      <c r="UJE5" s="433"/>
      <c r="UJF5" s="433"/>
      <c r="UJG5" s="433"/>
      <c r="UJH5" s="433"/>
      <c r="UJI5" s="433"/>
      <c r="UJJ5" s="433"/>
      <c r="UJK5" s="433"/>
      <c r="UJL5" s="433"/>
      <c r="UJM5" s="433"/>
      <c r="UJN5" s="433"/>
      <c r="UJO5" s="433"/>
      <c r="UJP5" s="433"/>
      <c r="UJQ5" s="433"/>
      <c r="UJR5" s="433"/>
      <c r="UJS5" s="433"/>
      <c r="UJT5" s="433"/>
      <c r="UJU5" s="433"/>
      <c r="UJV5" s="433"/>
      <c r="UJW5" s="433"/>
      <c r="UJX5" s="433"/>
      <c r="UJY5" s="433"/>
      <c r="UJZ5" s="433"/>
      <c r="UKA5" s="433"/>
      <c r="UKB5" s="433"/>
      <c r="UKC5" s="433"/>
      <c r="UKD5" s="433"/>
      <c r="UKE5" s="433"/>
      <c r="UKF5" s="433"/>
      <c r="UKG5" s="433"/>
      <c r="UKH5" s="433"/>
      <c r="UKI5" s="433"/>
      <c r="UKJ5" s="433"/>
      <c r="UKK5" s="433"/>
      <c r="UKL5" s="433"/>
      <c r="UKM5" s="433"/>
      <c r="UKN5" s="433"/>
      <c r="UKO5" s="433"/>
      <c r="UKP5" s="433"/>
      <c r="UKQ5" s="433"/>
      <c r="UKR5" s="433"/>
      <c r="UKS5" s="433"/>
      <c r="UKT5" s="433"/>
      <c r="UKU5" s="433"/>
      <c r="UKV5" s="433"/>
      <c r="UKW5" s="433"/>
      <c r="UKX5" s="433"/>
      <c r="UKY5" s="433"/>
      <c r="UKZ5" s="433"/>
      <c r="ULA5" s="433"/>
      <c r="ULB5" s="433"/>
      <c r="ULC5" s="433"/>
      <c r="ULD5" s="433"/>
      <c r="ULE5" s="433"/>
      <c r="ULF5" s="433"/>
      <c r="ULG5" s="433"/>
      <c r="ULH5" s="433"/>
      <c r="ULI5" s="433"/>
      <c r="ULJ5" s="433"/>
      <c r="ULK5" s="433"/>
      <c r="ULL5" s="433"/>
      <c r="ULM5" s="433"/>
      <c r="ULN5" s="433"/>
      <c r="ULO5" s="433"/>
      <c r="ULP5" s="433"/>
      <c r="ULQ5" s="433"/>
      <c r="ULR5" s="433"/>
      <c r="ULS5" s="433"/>
      <c r="ULT5" s="433"/>
      <c r="ULU5" s="433"/>
      <c r="ULV5" s="433"/>
      <c r="ULW5" s="433"/>
      <c r="ULX5" s="433"/>
      <c r="ULY5" s="433"/>
      <c r="ULZ5" s="433"/>
      <c r="UMA5" s="433"/>
      <c r="UMB5" s="433"/>
      <c r="UMC5" s="433"/>
      <c r="UMD5" s="433"/>
      <c r="UME5" s="433"/>
      <c r="UMF5" s="433"/>
      <c r="UMG5" s="433"/>
      <c r="UMH5" s="433"/>
      <c r="UMI5" s="433"/>
      <c r="UMJ5" s="433"/>
      <c r="UMK5" s="433"/>
      <c r="UML5" s="433"/>
      <c r="UMM5" s="433"/>
      <c r="UMN5" s="433"/>
      <c r="UMO5" s="433"/>
      <c r="UMP5" s="433"/>
      <c r="UMQ5" s="433"/>
      <c r="UMR5" s="433"/>
      <c r="UMS5" s="433"/>
      <c r="UMT5" s="433"/>
      <c r="UMU5" s="433"/>
      <c r="UMV5" s="433"/>
      <c r="UMW5" s="433"/>
      <c r="UMX5" s="433"/>
      <c r="UMY5" s="433"/>
      <c r="UMZ5" s="433"/>
      <c r="UNA5" s="433"/>
      <c r="UNB5" s="433"/>
      <c r="UNC5" s="433"/>
      <c r="UND5" s="433"/>
      <c r="UNE5" s="433"/>
      <c r="UNF5" s="433"/>
      <c r="UNG5" s="433"/>
      <c r="UNH5" s="433"/>
      <c r="UNI5" s="433"/>
      <c r="UNJ5" s="433"/>
      <c r="UNK5" s="433"/>
      <c r="UNL5" s="433"/>
      <c r="UNM5" s="433"/>
      <c r="UNN5" s="433"/>
      <c r="UNO5" s="433"/>
      <c r="UNP5" s="433"/>
      <c r="UNQ5" s="433"/>
      <c r="UNR5" s="433"/>
      <c r="UNS5" s="433"/>
      <c r="UNT5" s="433"/>
      <c r="UNU5" s="433"/>
      <c r="UNV5" s="433"/>
      <c r="UNW5" s="433"/>
      <c r="UNX5" s="433"/>
      <c r="UNY5" s="433"/>
      <c r="UNZ5" s="433"/>
      <c r="UOA5" s="433"/>
      <c r="UOB5" s="433"/>
      <c r="UOC5" s="433"/>
      <c r="UOD5" s="433"/>
      <c r="UOE5" s="433"/>
      <c r="UOF5" s="433"/>
      <c r="UOG5" s="433"/>
      <c r="UOH5" s="433"/>
      <c r="UOI5" s="433"/>
      <c r="UOJ5" s="433"/>
      <c r="UOK5" s="433"/>
      <c r="UOL5" s="433"/>
      <c r="UOM5" s="433"/>
      <c r="UON5" s="433"/>
      <c r="UOO5" s="433"/>
      <c r="UOP5" s="433"/>
      <c r="UOQ5" s="433"/>
      <c r="UOR5" s="433"/>
      <c r="UOS5" s="433"/>
      <c r="UOT5" s="433"/>
      <c r="UOU5" s="433"/>
      <c r="UOV5" s="433"/>
      <c r="UOW5" s="433"/>
      <c r="UOX5" s="433"/>
      <c r="UOY5" s="433"/>
      <c r="UOZ5" s="433"/>
      <c r="UPA5" s="433"/>
      <c r="UPB5" s="433"/>
      <c r="UPC5" s="433"/>
      <c r="UPD5" s="433"/>
      <c r="UPE5" s="433"/>
      <c r="UPF5" s="433"/>
      <c r="UPG5" s="433"/>
      <c r="UPH5" s="433"/>
      <c r="UPI5" s="433"/>
      <c r="UPJ5" s="433"/>
      <c r="UPK5" s="433"/>
      <c r="UPL5" s="433"/>
      <c r="UPM5" s="433"/>
      <c r="UPN5" s="433"/>
      <c r="UPO5" s="433"/>
      <c r="UPP5" s="433"/>
      <c r="UPQ5" s="433"/>
      <c r="UPR5" s="433"/>
      <c r="UPS5" s="433"/>
      <c r="UPT5" s="433"/>
      <c r="UPU5" s="433"/>
      <c r="UPV5" s="433"/>
      <c r="UPW5" s="433"/>
      <c r="UPX5" s="433"/>
      <c r="UPY5" s="433"/>
      <c r="UPZ5" s="433"/>
      <c r="UQA5" s="433"/>
      <c r="UQB5" s="433"/>
      <c r="UQC5" s="433"/>
      <c r="UQD5" s="433"/>
      <c r="UQE5" s="433"/>
      <c r="UQF5" s="433"/>
      <c r="UQG5" s="433"/>
      <c r="UQH5" s="433"/>
      <c r="UQI5" s="433"/>
      <c r="UQJ5" s="433"/>
      <c r="UQK5" s="433"/>
      <c r="UQL5" s="433"/>
      <c r="UQM5" s="433"/>
      <c r="UQN5" s="433"/>
      <c r="UQO5" s="433"/>
      <c r="UQP5" s="433"/>
      <c r="UQQ5" s="433"/>
      <c r="UQR5" s="433"/>
      <c r="UQS5" s="433"/>
      <c r="UQT5" s="433"/>
      <c r="UQU5" s="433"/>
      <c r="UQV5" s="433"/>
      <c r="UQW5" s="433"/>
      <c r="UQX5" s="433"/>
      <c r="UQY5" s="433"/>
      <c r="UQZ5" s="433"/>
      <c r="URA5" s="433"/>
      <c r="URB5" s="433"/>
      <c r="URC5" s="433"/>
      <c r="URD5" s="433"/>
      <c r="URE5" s="433"/>
      <c r="URF5" s="433"/>
      <c r="URG5" s="433"/>
      <c r="URH5" s="433"/>
      <c r="URI5" s="433"/>
      <c r="URJ5" s="433"/>
      <c r="URK5" s="433"/>
      <c r="URL5" s="433"/>
      <c r="URM5" s="433"/>
      <c r="URN5" s="433"/>
      <c r="URO5" s="433"/>
      <c r="URP5" s="433"/>
      <c r="URQ5" s="433"/>
      <c r="URR5" s="433"/>
      <c r="URS5" s="433"/>
      <c r="URT5" s="433"/>
      <c r="URU5" s="433"/>
      <c r="URV5" s="433"/>
      <c r="URW5" s="433"/>
      <c r="URX5" s="433"/>
      <c r="URY5" s="433"/>
      <c r="URZ5" s="433"/>
      <c r="USA5" s="433"/>
      <c r="USB5" s="433"/>
      <c r="USC5" s="433"/>
      <c r="USD5" s="433"/>
      <c r="USE5" s="433"/>
      <c r="USF5" s="433"/>
      <c r="USG5" s="433"/>
      <c r="USH5" s="433"/>
      <c r="USI5" s="433"/>
      <c r="USJ5" s="433"/>
      <c r="USK5" s="433"/>
      <c r="USL5" s="433"/>
      <c r="USM5" s="433"/>
      <c r="USN5" s="433"/>
      <c r="USO5" s="433"/>
      <c r="USP5" s="433"/>
      <c r="USQ5" s="433"/>
      <c r="USR5" s="433"/>
      <c r="USS5" s="433"/>
      <c r="UST5" s="433"/>
      <c r="USU5" s="433"/>
      <c r="USV5" s="433"/>
      <c r="USW5" s="433"/>
      <c r="USX5" s="433"/>
      <c r="USY5" s="433"/>
      <c r="USZ5" s="433"/>
      <c r="UTA5" s="433"/>
      <c r="UTB5" s="433"/>
      <c r="UTC5" s="433"/>
      <c r="UTD5" s="433"/>
      <c r="UTE5" s="433"/>
      <c r="UTF5" s="433"/>
      <c r="UTG5" s="433"/>
      <c r="UTH5" s="433"/>
      <c r="UTI5" s="433"/>
      <c r="UTJ5" s="433"/>
      <c r="UTK5" s="433"/>
      <c r="UTL5" s="433"/>
      <c r="UTM5" s="433"/>
      <c r="UTN5" s="433"/>
      <c r="UTO5" s="433"/>
      <c r="UTP5" s="433"/>
      <c r="UTQ5" s="433"/>
      <c r="UTR5" s="433"/>
      <c r="UTS5" s="433"/>
      <c r="UTT5" s="433"/>
      <c r="UTU5" s="433"/>
      <c r="UTV5" s="433"/>
      <c r="UTW5" s="433"/>
      <c r="UTX5" s="433"/>
      <c r="UTY5" s="433"/>
      <c r="UTZ5" s="433"/>
      <c r="UUA5" s="433"/>
      <c r="UUB5" s="433"/>
      <c r="UUC5" s="433"/>
      <c r="UUD5" s="433"/>
      <c r="UUE5" s="433"/>
      <c r="UUF5" s="433"/>
      <c r="UUG5" s="433"/>
      <c r="UUH5" s="433"/>
      <c r="UUI5" s="433"/>
      <c r="UUJ5" s="433"/>
      <c r="UUK5" s="433"/>
      <c r="UUL5" s="433"/>
      <c r="UUM5" s="433"/>
      <c r="UUN5" s="433"/>
      <c r="UUO5" s="433"/>
      <c r="UUP5" s="433"/>
      <c r="UUQ5" s="433"/>
      <c r="UUR5" s="433"/>
      <c r="UUS5" s="433"/>
      <c r="UUT5" s="433"/>
      <c r="UUU5" s="433"/>
      <c r="UUV5" s="433"/>
      <c r="UUW5" s="433"/>
      <c r="UUX5" s="433"/>
      <c r="UUY5" s="433"/>
      <c r="UUZ5" s="433"/>
      <c r="UVA5" s="433"/>
      <c r="UVB5" s="433"/>
      <c r="UVC5" s="433"/>
      <c r="UVD5" s="433"/>
      <c r="UVE5" s="433"/>
      <c r="UVF5" s="433"/>
      <c r="UVG5" s="433"/>
      <c r="UVH5" s="433"/>
      <c r="UVI5" s="433"/>
      <c r="UVJ5" s="433"/>
      <c r="UVK5" s="433"/>
      <c r="UVL5" s="433"/>
      <c r="UVM5" s="433"/>
      <c r="UVN5" s="433"/>
      <c r="UVO5" s="433"/>
      <c r="UVP5" s="433"/>
      <c r="UVQ5" s="433"/>
      <c r="UVR5" s="433"/>
      <c r="UVS5" s="433"/>
      <c r="UVT5" s="433"/>
      <c r="UVU5" s="433"/>
      <c r="UVV5" s="433"/>
      <c r="UVW5" s="433"/>
      <c r="UVX5" s="433"/>
      <c r="UVY5" s="433"/>
      <c r="UVZ5" s="433"/>
      <c r="UWA5" s="433"/>
      <c r="UWB5" s="433"/>
      <c r="UWC5" s="433"/>
      <c r="UWD5" s="433"/>
      <c r="UWE5" s="433"/>
      <c r="UWF5" s="433"/>
      <c r="UWG5" s="433"/>
      <c r="UWH5" s="433"/>
      <c r="UWI5" s="433"/>
      <c r="UWJ5" s="433"/>
      <c r="UWK5" s="433"/>
      <c r="UWL5" s="433"/>
      <c r="UWM5" s="433"/>
      <c r="UWN5" s="433"/>
      <c r="UWO5" s="433"/>
      <c r="UWP5" s="433"/>
      <c r="UWQ5" s="433"/>
      <c r="UWR5" s="433"/>
      <c r="UWS5" s="433"/>
      <c r="UWT5" s="433"/>
      <c r="UWU5" s="433"/>
      <c r="UWV5" s="433"/>
      <c r="UWW5" s="433"/>
      <c r="UWX5" s="433"/>
      <c r="UWY5" s="433"/>
      <c r="UWZ5" s="433"/>
      <c r="UXA5" s="433"/>
      <c r="UXB5" s="433"/>
      <c r="UXC5" s="433"/>
      <c r="UXD5" s="433"/>
      <c r="UXE5" s="433"/>
      <c r="UXF5" s="433"/>
      <c r="UXG5" s="433"/>
      <c r="UXH5" s="433"/>
      <c r="UXI5" s="433"/>
      <c r="UXJ5" s="433"/>
      <c r="UXK5" s="433"/>
      <c r="UXL5" s="433"/>
      <c r="UXM5" s="433"/>
      <c r="UXN5" s="433"/>
      <c r="UXO5" s="433"/>
      <c r="UXP5" s="433"/>
      <c r="UXQ5" s="433"/>
      <c r="UXR5" s="433"/>
      <c r="UXS5" s="433"/>
      <c r="UXT5" s="433"/>
      <c r="UXU5" s="433"/>
      <c r="UXV5" s="433"/>
      <c r="UXW5" s="433"/>
      <c r="UXX5" s="433"/>
      <c r="UXY5" s="433"/>
      <c r="UXZ5" s="433"/>
      <c r="UYA5" s="433"/>
      <c r="UYB5" s="433"/>
      <c r="UYC5" s="433"/>
      <c r="UYD5" s="433"/>
      <c r="UYE5" s="433"/>
      <c r="UYF5" s="433"/>
      <c r="UYG5" s="433"/>
      <c r="UYH5" s="433"/>
      <c r="UYI5" s="433"/>
      <c r="UYJ5" s="433"/>
      <c r="UYK5" s="433"/>
      <c r="UYL5" s="433"/>
      <c r="UYM5" s="433"/>
      <c r="UYN5" s="433"/>
      <c r="UYO5" s="433"/>
      <c r="UYP5" s="433"/>
      <c r="UYQ5" s="433"/>
      <c r="UYR5" s="433"/>
      <c r="UYS5" s="433"/>
      <c r="UYT5" s="433"/>
      <c r="UYU5" s="433"/>
      <c r="UYV5" s="433"/>
      <c r="UYW5" s="433"/>
      <c r="UYX5" s="433"/>
      <c r="UYY5" s="433"/>
      <c r="UYZ5" s="433"/>
      <c r="UZA5" s="433"/>
      <c r="UZB5" s="433"/>
      <c r="UZC5" s="433"/>
      <c r="UZD5" s="433"/>
      <c r="UZE5" s="433"/>
      <c r="UZF5" s="433"/>
      <c r="UZG5" s="433"/>
      <c r="UZH5" s="433"/>
      <c r="UZI5" s="433"/>
      <c r="UZJ5" s="433"/>
      <c r="UZK5" s="433"/>
      <c r="UZL5" s="433"/>
      <c r="UZM5" s="433"/>
      <c r="UZN5" s="433"/>
      <c r="UZO5" s="433"/>
      <c r="UZP5" s="433"/>
      <c r="UZQ5" s="433"/>
      <c r="UZR5" s="433"/>
      <c r="UZS5" s="433"/>
      <c r="UZT5" s="433"/>
      <c r="UZU5" s="433"/>
      <c r="UZV5" s="433"/>
      <c r="UZW5" s="433"/>
      <c r="UZX5" s="433"/>
      <c r="UZY5" s="433"/>
      <c r="UZZ5" s="433"/>
      <c r="VAA5" s="433"/>
      <c r="VAB5" s="433"/>
      <c r="VAC5" s="433"/>
      <c r="VAD5" s="433"/>
      <c r="VAE5" s="433"/>
      <c r="VAF5" s="433"/>
      <c r="VAG5" s="433"/>
      <c r="VAH5" s="433"/>
      <c r="VAI5" s="433"/>
      <c r="VAJ5" s="433"/>
      <c r="VAK5" s="433"/>
      <c r="VAL5" s="433"/>
      <c r="VAM5" s="433"/>
      <c r="VAN5" s="433"/>
      <c r="VAO5" s="433"/>
      <c r="VAP5" s="433"/>
      <c r="VAQ5" s="433"/>
      <c r="VAR5" s="433"/>
      <c r="VAS5" s="433"/>
      <c r="VAT5" s="433"/>
      <c r="VAU5" s="433"/>
      <c r="VAV5" s="433"/>
      <c r="VAW5" s="433"/>
      <c r="VAX5" s="433"/>
      <c r="VAY5" s="433"/>
      <c r="VAZ5" s="433"/>
      <c r="VBA5" s="433"/>
      <c r="VBB5" s="433"/>
      <c r="VBC5" s="433"/>
      <c r="VBD5" s="433"/>
      <c r="VBE5" s="433"/>
      <c r="VBF5" s="433"/>
      <c r="VBG5" s="433"/>
      <c r="VBH5" s="433"/>
      <c r="VBI5" s="433"/>
      <c r="VBJ5" s="433"/>
      <c r="VBK5" s="433"/>
      <c r="VBL5" s="433"/>
      <c r="VBM5" s="433"/>
      <c r="VBN5" s="433"/>
      <c r="VBO5" s="433"/>
      <c r="VBP5" s="433"/>
      <c r="VBQ5" s="433"/>
      <c r="VBR5" s="433"/>
      <c r="VBS5" s="433"/>
      <c r="VBT5" s="433"/>
      <c r="VBU5" s="433"/>
      <c r="VBV5" s="433"/>
      <c r="VBW5" s="433"/>
      <c r="VBX5" s="433"/>
      <c r="VBY5" s="433"/>
      <c r="VBZ5" s="433"/>
      <c r="VCA5" s="433"/>
      <c r="VCB5" s="433"/>
      <c r="VCC5" s="433"/>
      <c r="VCD5" s="433"/>
      <c r="VCE5" s="433"/>
      <c r="VCF5" s="433"/>
      <c r="VCG5" s="433"/>
      <c r="VCH5" s="433"/>
      <c r="VCI5" s="433"/>
      <c r="VCJ5" s="433"/>
      <c r="VCK5" s="433"/>
      <c r="VCL5" s="433"/>
      <c r="VCM5" s="433"/>
      <c r="VCN5" s="433"/>
      <c r="VCO5" s="433"/>
      <c r="VCP5" s="433"/>
      <c r="VCQ5" s="433"/>
      <c r="VCR5" s="433"/>
      <c r="VCS5" s="433"/>
      <c r="VCT5" s="433"/>
      <c r="VCU5" s="433"/>
      <c r="VCV5" s="433"/>
      <c r="VCW5" s="433"/>
      <c r="VCX5" s="433"/>
      <c r="VCY5" s="433"/>
      <c r="VCZ5" s="433"/>
      <c r="VDA5" s="433"/>
      <c r="VDB5" s="433"/>
      <c r="VDC5" s="433"/>
      <c r="VDD5" s="433"/>
      <c r="VDE5" s="433"/>
      <c r="VDF5" s="433"/>
      <c r="VDG5" s="433"/>
      <c r="VDH5" s="433"/>
      <c r="VDI5" s="433"/>
      <c r="VDJ5" s="433"/>
      <c r="VDK5" s="433"/>
      <c r="VDL5" s="433"/>
      <c r="VDM5" s="433"/>
      <c r="VDN5" s="433"/>
      <c r="VDO5" s="433"/>
      <c r="VDP5" s="433"/>
      <c r="VDQ5" s="433"/>
      <c r="VDR5" s="433"/>
      <c r="VDS5" s="433"/>
      <c r="VDT5" s="433"/>
      <c r="VDU5" s="433"/>
      <c r="VDV5" s="433"/>
      <c r="VDW5" s="433"/>
      <c r="VDX5" s="433"/>
      <c r="VDY5" s="433"/>
      <c r="VDZ5" s="433"/>
      <c r="VEA5" s="433"/>
      <c r="VEB5" s="433"/>
      <c r="VEC5" s="433"/>
      <c r="VED5" s="433"/>
      <c r="VEE5" s="433"/>
      <c r="VEF5" s="433"/>
      <c r="VEG5" s="433"/>
      <c r="VEH5" s="433"/>
      <c r="VEI5" s="433"/>
      <c r="VEJ5" s="433"/>
      <c r="VEK5" s="433"/>
      <c r="VEL5" s="433"/>
      <c r="VEM5" s="433"/>
      <c r="VEN5" s="433"/>
      <c r="VEO5" s="433"/>
      <c r="VEP5" s="433"/>
      <c r="VEQ5" s="433"/>
      <c r="VER5" s="433"/>
      <c r="VES5" s="433"/>
      <c r="VET5" s="433"/>
      <c r="VEU5" s="433"/>
      <c r="VEV5" s="433"/>
      <c r="VEW5" s="433"/>
      <c r="VEX5" s="433"/>
      <c r="VEY5" s="433"/>
      <c r="VEZ5" s="433"/>
      <c r="VFA5" s="433"/>
      <c r="VFB5" s="433"/>
      <c r="VFC5" s="433"/>
      <c r="VFD5" s="433"/>
      <c r="VFE5" s="433"/>
      <c r="VFF5" s="433"/>
      <c r="VFG5" s="433"/>
      <c r="VFH5" s="433"/>
      <c r="VFI5" s="433"/>
      <c r="VFJ5" s="433"/>
      <c r="VFK5" s="433"/>
      <c r="VFL5" s="433"/>
      <c r="VFM5" s="433"/>
      <c r="VFN5" s="433"/>
      <c r="VFO5" s="433"/>
      <c r="VFP5" s="433"/>
      <c r="VFQ5" s="433"/>
      <c r="VFR5" s="433"/>
      <c r="VFS5" s="433"/>
      <c r="VFT5" s="433"/>
      <c r="VFU5" s="433"/>
      <c r="VFV5" s="433"/>
      <c r="VFW5" s="433"/>
      <c r="VFX5" s="433"/>
      <c r="VFY5" s="433"/>
      <c r="VFZ5" s="433"/>
      <c r="VGA5" s="433"/>
      <c r="VGB5" s="433"/>
      <c r="VGC5" s="433"/>
      <c r="VGD5" s="433"/>
      <c r="VGE5" s="433"/>
      <c r="VGF5" s="433"/>
      <c r="VGG5" s="433"/>
      <c r="VGH5" s="433"/>
      <c r="VGI5" s="433"/>
      <c r="VGJ5" s="433"/>
      <c r="VGK5" s="433"/>
      <c r="VGL5" s="433"/>
      <c r="VGM5" s="433"/>
      <c r="VGN5" s="433"/>
      <c r="VGO5" s="433"/>
      <c r="VGP5" s="433"/>
      <c r="VGQ5" s="433"/>
      <c r="VGR5" s="433"/>
      <c r="VGS5" s="433"/>
      <c r="VGT5" s="433"/>
      <c r="VGU5" s="433"/>
      <c r="VGV5" s="433"/>
      <c r="VGW5" s="433"/>
      <c r="VGX5" s="433"/>
      <c r="VGY5" s="433"/>
      <c r="VGZ5" s="433"/>
      <c r="VHA5" s="433"/>
      <c r="VHB5" s="433"/>
      <c r="VHC5" s="433"/>
      <c r="VHD5" s="433"/>
      <c r="VHE5" s="433"/>
      <c r="VHF5" s="433"/>
      <c r="VHG5" s="433"/>
      <c r="VHH5" s="433"/>
      <c r="VHI5" s="433"/>
      <c r="VHJ5" s="433"/>
      <c r="VHK5" s="433"/>
      <c r="VHL5" s="433"/>
      <c r="VHM5" s="433"/>
      <c r="VHN5" s="433"/>
      <c r="VHO5" s="433"/>
      <c r="VHP5" s="433"/>
      <c r="VHQ5" s="433"/>
      <c r="VHR5" s="433"/>
      <c r="VHS5" s="433"/>
      <c r="VHT5" s="433"/>
      <c r="VHU5" s="433"/>
      <c r="VHV5" s="433"/>
      <c r="VHW5" s="433"/>
      <c r="VHX5" s="433"/>
      <c r="VHY5" s="433"/>
      <c r="VHZ5" s="433"/>
      <c r="VIA5" s="433"/>
      <c r="VIB5" s="433"/>
      <c r="VIC5" s="433"/>
      <c r="VID5" s="433"/>
      <c r="VIE5" s="433"/>
      <c r="VIF5" s="433"/>
      <c r="VIG5" s="433"/>
      <c r="VIH5" s="433"/>
      <c r="VII5" s="433"/>
      <c r="VIJ5" s="433"/>
      <c r="VIK5" s="433"/>
      <c r="VIL5" s="433"/>
      <c r="VIM5" s="433"/>
      <c r="VIN5" s="433"/>
      <c r="VIO5" s="433"/>
      <c r="VIP5" s="433"/>
      <c r="VIQ5" s="433"/>
      <c r="VIR5" s="433"/>
      <c r="VIS5" s="433"/>
      <c r="VIT5" s="433"/>
      <c r="VIU5" s="433"/>
      <c r="VIV5" s="433"/>
      <c r="VIW5" s="433"/>
      <c r="VIX5" s="433"/>
      <c r="VIY5" s="433"/>
      <c r="VIZ5" s="433"/>
      <c r="VJA5" s="433"/>
      <c r="VJB5" s="433"/>
      <c r="VJC5" s="433"/>
      <c r="VJD5" s="433"/>
      <c r="VJE5" s="433"/>
      <c r="VJF5" s="433"/>
      <c r="VJG5" s="433"/>
      <c r="VJH5" s="433"/>
      <c r="VJI5" s="433"/>
      <c r="VJJ5" s="433"/>
      <c r="VJK5" s="433"/>
      <c r="VJL5" s="433"/>
      <c r="VJM5" s="433"/>
      <c r="VJN5" s="433"/>
      <c r="VJO5" s="433"/>
      <c r="VJP5" s="433"/>
      <c r="VJQ5" s="433"/>
      <c r="VJR5" s="433"/>
      <c r="VJS5" s="433"/>
      <c r="VJT5" s="433"/>
      <c r="VJU5" s="433"/>
      <c r="VJV5" s="433"/>
      <c r="VJW5" s="433"/>
      <c r="VJX5" s="433"/>
      <c r="VJY5" s="433"/>
      <c r="VJZ5" s="433"/>
      <c r="VKA5" s="433"/>
      <c r="VKB5" s="433"/>
      <c r="VKC5" s="433"/>
      <c r="VKD5" s="433"/>
      <c r="VKE5" s="433"/>
      <c r="VKF5" s="433"/>
      <c r="VKG5" s="433"/>
      <c r="VKH5" s="433"/>
      <c r="VKI5" s="433"/>
      <c r="VKJ5" s="433"/>
      <c r="VKK5" s="433"/>
      <c r="VKL5" s="433"/>
      <c r="VKM5" s="433"/>
      <c r="VKN5" s="433"/>
      <c r="VKO5" s="433"/>
      <c r="VKP5" s="433"/>
      <c r="VKQ5" s="433"/>
      <c r="VKR5" s="433"/>
      <c r="VKS5" s="433"/>
      <c r="VKT5" s="433"/>
      <c r="VKU5" s="433"/>
      <c r="VKV5" s="433"/>
      <c r="VKW5" s="433"/>
      <c r="VKX5" s="433"/>
      <c r="VKY5" s="433"/>
      <c r="VKZ5" s="433"/>
      <c r="VLA5" s="433"/>
      <c r="VLB5" s="433"/>
      <c r="VLC5" s="433"/>
      <c r="VLD5" s="433"/>
      <c r="VLE5" s="433"/>
      <c r="VLF5" s="433"/>
      <c r="VLG5" s="433"/>
      <c r="VLH5" s="433"/>
      <c r="VLI5" s="433"/>
      <c r="VLJ5" s="433"/>
      <c r="VLK5" s="433"/>
      <c r="VLL5" s="433"/>
      <c r="VLM5" s="433"/>
      <c r="VLN5" s="433"/>
      <c r="VLO5" s="433"/>
      <c r="VLP5" s="433"/>
      <c r="VLQ5" s="433"/>
      <c r="VLR5" s="433"/>
      <c r="VLS5" s="433"/>
      <c r="VLT5" s="433"/>
      <c r="VLU5" s="433"/>
      <c r="VLV5" s="433"/>
      <c r="VLW5" s="433"/>
      <c r="VLX5" s="433"/>
      <c r="VLY5" s="433"/>
      <c r="VLZ5" s="433"/>
      <c r="VMA5" s="433"/>
      <c r="VMB5" s="433"/>
      <c r="VMC5" s="433"/>
      <c r="VMD5" s="433"/>
      <c r="VME5" s="433"/>
      <c r="VMF5" s="433"/>
      <c r="VMG5" s="433"/>
      <c r="VMH5" s="433"/>
      <c r="VMI5" s="433"/>
      <c r="VMJ5" s="433"/>
      <c r="VMK5" s="433"/>
      <c r="VML5" s="433"/>
      <c r="VMM5" s="433"/>
      <c r="VMN5" s="433"/>
      <c r="VMO5" s="433"/>
      <c r="VMP5" s="433"/>
      <c r="VMQ5" s="433"/>
      <c r="VMR5" s="433"/>
      <c r="VMS5" s="433"/>
      <c r="VMT5" s="433"/>
      <c r="VMU5" s="433"/>
      <c r="VMV5" s="433"/>
      <c r="VMW5" s="433"/>
      <c r="VMX5" s="433"/>
      <c r="VMY5" s="433"/>
      <c r="VMZ5" s="433"/>
      <c r="VNA5" s="433"/>
      <c r="VNB5" s="433"/>
      <c r="VNC5" s="433"/>
      <c r="VND5" s="433"/>
      <c r="VNE5" s="433"/>
      <c r="VNF5" s="433"/>
      <c r="VNG5" s="433"/>
      <c r="VNH5" s="433"/>
      <c r="VNI5" s="433"/>
      <c r="VNJ5" s="433"/>
      <c r="VNK5" s="433"/>
      <c r="VNL5" s="433"/>
      <c r="VNM5" s="433"/>
      <c r="VNN5" s="433"/>
      <c r="VNO5" s="433"/>
      <c r="VNP5" s="433"/>
      <c r="VNQ5" s="433"/>
      <c r="VNR5" s="433"/>
      <c r="VNS5" s="433"/>
      <c r="VNT5" s="433"/>
      <c r="VNU5" s="433"/>
      <c r="VNV5" s="433"/>
      <c r="VNW5" s="433"/>
      <c r="VNX5" s="433"/>
      <c r="VNY5" s="433"/>
      <c r="VNZ5" s="433"/>
      <c r="VOA5" s="433"/>
      <c r="VOB5" s="433"/>
      <c r="VOC5" s="433"/>
      <c r="VOD5" s="433"/>
      <c r="VOE5" s="433"/>
      <c r="VOF5" s="433"/>
      <c r="VOG5" s="433"/>
      <c r="VOH5" s="433"/>
      <c r="VOI5" s="433"/>
      <c r="VOJ5" s="433"/>
      <c r="VOK5" s="433"/>
      <c r="VOL5" s="433"/>
      <c r="VOM5" s="433"/>
      <c r="VON5" s="433"/>
      <c r="VOO5" s="433"/>
      <c r="VOP5" s="433"/>
      <c r="VOQ5" s="433"/>
      <c r="VOR5" s="433"/>
      <c r="VOS5" s="433"/>
      <c r="VOT5" s="433"/>
      <c r="VOU5" s="433"/>
      <c r="VOV5" s="433"/>
      <c r="VOW5" s="433"/>
      <c r="VOX5" s="433"/>
      <c r="VOY5" s="433"/>
      <c r="VOZ5" s="433"/>
      <c r="VPA5" s="433"/>
      <c r="VPB5" s="433"/>
      <c r="VPC5" s="433"/>
      <c r="VPD5" s="433"/>
      <c r="VPE5" s="433"/>
      <c r="VPF5" s="433"/>
      <c r="VPG5" s="433"/>
      <c r="VPH5" s="433"/>
      <c r="VPI5" s="433"/>
      <c r="VPJ5" s="433"/>
      <c r="VPK5" s="433"/>
      <c r="VPL5" s="433"/>
      <c r="VPM5" s="433"/>
      <c r="VPN5" s="433"/>
      <c r="VPO5" s="433"/>
      <c r="VPP5" s="433"/>
      <c r="VPQ5" s="433"/>
      <c r="VPR5" s="433"/>
      <c r="VPS5" s="433"/>
      <c r="VPT5" s="433"/>
      <c r="VPU5" s="433"/>
      <c r="VPV5" s="433"/>
      <c r="VPW5" s="433"/>
      <c r="VPX5" s="433"/>
      <c r="VPY5" s="433"/>
      <c r="VPZ5" s="433"/>
      <c r="VQA5" s="433"/>
      <c r="VQB5" s="433"/>
      <c r="VQC5" s="433"/>
      <c r="VQD5" s="433"/>
      <c r="VQE5" s="433"/>
      <c r="VQF5" s="433"/>
      <c r="VQG5" s="433"/>
      <c r="VQH5" s="433"/>
      <c r="VQI5" s="433"/>
      <c r="VQJ5" s="433"/>
      <c r="VQK5" s="433"/>
      <c r="VQL5" s="433"/>
      <c r="VQM5" s="433"/>
      <c r="VQN5" s="433"/>
      <c r="VQO5" s="433"/>
      <c r="VQP5" s="433"/>
      <c r="VQQ5" s="433"/>
      <c r="VQR5" s="433"/>
      <c r="VQS5" s="433"/>
      <c r="VQT5" s="433"/>
      <c r="VQU5" s="433"/>
      <c r="VQV5" s="433"/>
      <c r="VQW5" s="433"/>
      <c r="VQX5" s="433"/>
      <c r="VQY5" s="433"/>
      <c r="VQZ5" s="433"/>
      <c r="VRA5" s="433"/>
      <c r="VRB5" s="433"/>
      <c r="VRC5" s="433"/>
      <c r="VRD5" s="433"/>
      <c r="VRE5" s="433"/>
      <c r="VRF5" s="433"/>
      <c r="VRG5" s="433"/>
      <c r="VRH5" s="433"/>
      <c r="VRI5" s="433"/>
      <c r="VRJ5" s="433"/>
      <c r="VRK5" s="433"/>
      <c r="VRL5" s="433"/>
      <c r="VRM5" s="433"/>
      <c r="VRN5" s="433"/>
      <c r="VRO5" s="433"/>
      <c r="VRP5" s="433"/>
      <c r="VRQ5" s="433"/>
      <c r="VRR5" s="433"/>
      <c r="VRS5" s="433"/>
      <c r="VRT5" s="433"/>
      <c r="VRU5" s="433"/>
      <c r="VRV5" s="433"/>
      <c r="VRW5" s="433"/>
      <c r="VRX5" s="433"/>
      <c r="VRY5" s="433"/>
      <c r="VRZ5" s="433"/>
      <c r="VSA5" s="433"/>
      <c r="VSB5" s="433"/>
      <c r="VSC5" s="433"/>
      <c r="VSD5" s="433"/>
      <c r="VSE5" s="433"/>
      <c r="VSF5" s="433"/>
      <c r="VSG5" s="433"/>
      <c r="VSH5" s="433"/>
      <c r="VSI5" s="433"/>
      <c r="VSJ5" s="433"/>
      <c r="VSK5" s="433"/>
      <c r="VSL5" s="433"/>
      <c r="VSM5" s="433"/>
      <c r="VSN5" s="433"/>
      <c r="VSO5" s="433"/>
      <c r="VSP5" s="433"/>
      <c r="VSQ5" s="433"/>
      <c r="VSR5" s="433"/>
      <c r="VSS5" s="433"/>
      <c r="VST5" s="433"/>
      <c r="VSU5" s="433"/>
      <c r="VSV5" s="433"/>
      <c r="VSW5" s="433"/>
      <c r="VSX5" s="433"/>
      <c r="VSY5" s="433"/>
      <c r="VSZ5" s="433"/>
      <c r="VTA5" s="433"/>
      <c r="VTB5" s="433"/>
      <c r="VTC5" s="433"/>
      <c r="VTD5" s="433"/>
      <c r="VTE5" s="433"/>
      <c r="VTF5" s="433"/>
      <c r="VTG5" s="433"/>
      <c r="VTH5" s="433"/>
      <c r="VTI5" s="433"/>
      <c r="VTJ5" s="433"/>
      <c r="VTK5" s="433"/>
      <c r="VTL5" s="433"/>
      <c r="VTM5" s="433"/>
      <c r="VTN5" s="433"/>
      <c r="VTO5" s="433"/>
      <c r="VTP5" s="433"/>
      <c r="VTQ5" s="433"/>
      <c r="VTR5" s="433"/>
      <c r="VTS5" s="433"/>
      <c r="VTT5" s="433"/>
      <c r="VTU5" s="433"/>
      <c r="VTV5" s="433"/>
      <c r="VTW5" s="433"/>
      <c r="VTX5" s="433"/>
      <c r="VTY5" s="433"/>
      <c r="VTZ5" s="433"/>
      <c r="VUA5" s="433"/>
      <c r="VUB5" s="433"/>
      <c r="VUC5" s="433"/>
      <c r="VUD5" s="433"/>
      <c r="VUE5" s="433"/>
      <c r="VUF5" s="433"/>
      <c r="VUG5" s="433"/>
      <c r="VUH5" s="433"/>
      <c r="VUI5" s="433"/>
      <c r="VUJ5" s="433"/>
      <c r="VUK5" s="433"/>
      <c r="VUL5" s="433"/>
      <c r="VUM5" s="433"/>
      <c r="VUN5" s="433"/>
      <c r="VUO5" s="433"/>
      <c r="VUP5" s="433"/>
      <c r="VUQ5" s="433"/>
      <c r="VUR5" s="433"/>
      <c r="VUS5" s="433"/>
      <c r="VUT5" s="433"/>
      <c r="VUU5" s="433"/>
      <c r="VUV5" s="433"/>
      <c r="VUW5" s="433"/>
      <c r="VUX5" s="433"/>
      <c r="VUY5" s="433"/>
      <c r="VUZ5" s="433"/>
      <c r="VVA5" s="433"/>
      <c r="VVB5" s="433"/>
      <c r="VVC5" s="433"/>
      <c r="VVD5" s="433"/>
      <c r="VVE5" s="433"/>
      <c r="VVF5" s="433"/>
      <c r="VVG5" s="433"/>
      <c r="VVH5" s="433"/>
      <c r="VVI5" s="433"/>
      <c r="VVJ5" s="433"/>
      <c r="VVK5" s="433"/>
      <c r="VVL5" s="433"/>
      <c r="VVM5" s="433"/>
      <c r="VVN5" s="433"/>
      <c r="VVO5" s="433"/>
      <c r="VVP5" s="433"/>
      <c r="VVQ5" s="433"/>
      <c r="VVR5" s="433"/>
      <c r="VVS5" s="433"/>
      <c r="VVT5" s="433"/>
      <c r="VVU5" s="433"/>
      <c r="VVV5" s="433"/>
      <c r="VVW5" s="433"/>
      <c r="VVX5" s="433"/>
      <c r="VVY5" s="433"/>
      <c r="VVZ5" s="433"/>
      <c r="VWA5" s="433"/>
      <c r="VWB5" s="433"/>
      <c r="VWC5" s="433"/>
      <c r="VWD5" s="433"/>
      <c r="VWE5" s="433"/>
      <c r="VWF5" s="433"/>
      <c r="VWG5" s="433"/>
      <c r="VWH5" s="433"/>
      <c r="VWI5" s="433"/>
      <c r="VWJ5" s="433"/>
      <c r="VWK5" s="433"/>
      <c r="VWL5" s="433"/>
      <c r="VWM5" s="433"/>
      <c r="VWN5" s="433"/>
      <c r="VWO5" s="433"/>
      <c r="VWP5" s="433"/>
      <c r="VWQ5" s="433"/>
      <c r="VWR5" s="433"/>
      <c r="VWS5" s="433"/>
      <c r="VWT5" s="433"/>
      <c r="VWU5" s="433"/>
      <c r="VWV5" s="433"/>
      <c r="VWW5" s="433"/>
      <c r="VWX5" s="433"/>
      <c r="VWY5" s="433"/>
      <c r="VWZ5" s="433"/>
      <c r="VXA5" s="433"/>
      <c r="VXB5" s="433"/>
      <c r="VXC5" s="433"/>
      <c r="VXD5" s="433"/>
      <c r="VXE5" s="433"/>
      <c r="VXF5" s="433"/>
      <c r="VXG5" s="433"/>
      <c r="VXH5" s="433"/>
      <c r="VXI5" s="433"/>
      <c r="VXJ5" s="433"/>
      <c r="VXK5" s="433"/>
      <c r="VXL5" s="433"/>
      <c r="VXM5" s="433"/>
      <c r="VXN5" s="433"/>
      <c r="VXO5" s="433"/>
      <c r="VXP5" s="433"/>
      <c r="VXQ5" s="433"/>
      <c r="VXR5" s="433"/>
      <c r="VXS5" s="433"/>
      <c r="VXT5" s="433"/>
      <c r="VXU5" s="433"/>
      <c r="VXV5" s="433"/>
      <c r="VXW5" s="433"/>
      <c r="VXX5" s="433"/>
      <c r="VXY5" s="433"/>
      <c r="VXZ5" s="433"/>
      <c r="VYA5" s="433"/>
      <c r="VYB5" s="433"/>
      <c r="VYC5" s="433"/>
      <c r="VYD5" s="433"/>
      <c r="VYE5" s="433"/>
      <c r="VYF5" s="433"/>
      <c r="VYG5" s="433"/>
      <c r="VYH5" s="433"/>
      <c r="VYI5" s="433"/>
      <c r="VYJ5" s="433"/>
      <c r="VYK5" s="433"/>
      <c r="VYL5" s="433"/>
      <c r="VYM5" s="433"/>
      <c r="VYN5" s="433"/>
      <c r="VYO5" s="433"/>
      <c r="VYP5" s="433"/>
      <c r="VYQ5" s="433"/>
      <c r="VYR5" s="433"/>
      <c r="VYS5" s="433"/>
      <c r="VYT5" s="433"/>
      <c r="VYU5" s="433"/>
      <c r="VYV5" s="433"/>
      <c r="VYW5" s="433"/>
      <c r="VYX5" s="433"/>
      <c r="VYY5" s="433"/>
      <c r="VYZ5" s="433"/>
      <c r="VZA5" s="433"/>
      <c r="VZB5" s="433"/>
      <c r="VZC5" s="433"/>
      <c r="VZD5" s="433"/>
      <c r="VZE5" s="433"/>
      <c r="VZF5" s="433"/>
      <c r="VZG5" s="433"/>
      <c r="VZH5" s="433"/>
      <c r="VZI5" s="433"/>
      <c r="VZJ5" s="433"/>
      <c r="VZK5" s="433"/>
      <c r="VZL5" s="433"/>
      <c r="VZM5" s="433"/>
      <c r="VZN5" s="433"/>
      <c r="VZO5" s="433"/>
      <c r="VZP5" s="433"/>
      <c r="VZQ5" s="433"/>
      <c r="VZR5" s="433"/>
      <c r="VZS5" s="433"/>
      <c r="VZT5" s="433"/>
      <c r="VZU5" s="433"/>
      <c r="VZV5" s="433"/>
      <c r="VZW5" s="433"/>
      <c r="VZX5" s="433"/>
      <c r="VZY5" s="433"/>
      <c r="VZZ5" s="433"/>
      <c r="WAA5" s="433"/>
      <c r="WAB5" s="433"/>
      <c r="WAC5" s="433"/>
      <c r="WAD5" s="433"/>
      <c r="WAE5" s="433"/>
      <c r="WAF5" s="433"/>
      <c r="WAG5" s="433"/>
      <c r="WAH5" s="433"/>
      <c r="WAI5" s="433"/>
      <c r="WAJ5" s="433"/>
      <c r="WAK5" s="433"/>
      <c r="WAL5" s="433"/>
      <c r="WAM5" s="433"/>
      <c r="WAN5" s="433"/>
      <c r="WAO5" s="433"/>
      <c r="WAP5" s="433"/>
      <c r="WAQ5" s="433"/>
      <c r="WAR5" s="433"/>
      <c r="WAS5" s="433"/>
      <c r="WAT5" s="433"/>
      <c r="WAU5" s="433"/>
      <c r="WAV5" s="433"/>
      <c r="WAW5" s="433"/>
      <c r="WAX5" s="433"/>
      <c r="WAY5" s="433"/>
      <c r="WAZ5" s="433"/>
      <c r="WBA5" s="433"/>
      <c r="WBB5" s="433"/>
      <c r="WBC5" s="433"/>
      <c r="WBD5" s="433"/>
      <c r="WBE5" s="433"/>
      <c r="WBF5" s="433"/>
      <c r="WBG5" s="433"/>
      <c r="WBH5" s="433"/>
      <c r="WBI5" s="433"/>
      <c r="WBJ5" s="433"/>
      <c r="WBK5" s="433"/>
      <c r="WBL5" s="433"/>
      <c r="WBM5" s="433"/>
      <c r="WBN5" s="433"/>
      <c r="WBO5" s="433"/>
      <c r="WBP5" s="433"/>
      <c r="WBQ5" s="433"/>
      <c r="WBR5" s="433"/>
      <c r="WBS5" s="433"/>
      <c r="WBT5" s="433"/>
      <c r="WBU5" s="433"/>
      <c r="WBV5" s="433"/>
      <c r="WBW5" s="433"/>
      <c r="WBX5" s="433"/>
      <c r="WBY5" s="433"/>
      <c r="WBZ5" s="433"/>
      <c r="WCA5" s="433"/>
      <c r="WCB5" s="433"/>
      <c r="WCC5" s="433"/>
      <c r="WCD5" s="433"/>
      <c r="WCE5" s="433"/>
      <c r="WCF5" s="433"/>
      <c r="WCG5" s="433"/>
      <c r="WCH5" s="433"/>
      <c r="WCI5" s="433"/>
      <c r="WCJ5" s="433"/>
      <c r="WCK5" s="433"/>
      <c r="WCL5" s="433"/>
      <c r="WCM5" s="433"/>
      <c r="WCN5" s="433"/>
      <c r="WCO5" s="433"/>
      <c r="WCP5" s="433"/>
      <c r="WCQ5" s="433"/>
      <c r="WCR5" s="433"/>
      <c r="WCS5" s="433"/>
      <c r="WCT5" s="433"/>
      <c r="WCU5" s="433"/>
      <c r="WCV5" s="433"/>
      <c r="WCW5" s="433"/>
      <c r="WCX5" s="433"/>
      <c r="WCY5" s="433"/>
      <c r="WCZ5" s="433"/>
      <c r="WDA5" s="433"/>
      <c r="WDB5" s="433"/>
      <c r="WDC5" s="433"/>
      <c r="WDD5" s="433"/>
      <c r="WDE5" s="433"/>
      <c r="WDF5" s="433"/>
      <c r="WDG5" s="433"/>
      <c r="WDH5" s="433"/>
      <c r="WDI5" s="433"/>
      <c r="WDJ5" s="433"/>
      <c r="WDK5" s="433"/>
      <c r="WDL5" s="433"/>
      <c r="WDM5" s="433"/>
      <c r="WDN5" s="433"/>
      <c r="WDO5" s="433"/>
      <c r="WDP5" s="433"/>
      <c r="WDQ5" s="433"/>
      <c r="WDR5" s="433"/>
      <c r="WDS5" s="433"/>
      <c r="WDT5" s="433"/>
      <c r="WDU5" s="433"/>
      <c r="WDV5" s="433"/>
      <c r="WDW5" s="433"/>
      <c r="WDX5" s="433"/>
      <c r="WDY5" s="433"/>
      <c r="WDZ5" s="433"/>
      <c r="WEA5" s="433"/>
      <c r="WEB5" s="433"/>
      <c r="WEC5" s="433"/>
      <c r="WED5" s="433"/>
      <c r="WEE5" s="433"/>
      <c r="WEF5" s="433"/>
      <c r="WEG5" s="433"/>
      <c r="WEH5" s="433"/>
      <c r="WEI5" s="433"/>
      <c r="WEJ5" s="433"/>
      <c r="WEK5" s="433"/>
      <c r="WEL5" s="433"/>
      <c r="WEM5" s="433"/>
      <c r="WEN5" s="433"/>
      <c r="WEO5" s="433"/>
      <c r="WEP5" s="433"/>
      <c r="WEQ5" s="433"/>
      <c r="WER5" s="433"/>
      <c r="WES5" s="433"/>
      <c r="WET5" s="433"/>
      <c r="WEU5" s="433"/>
      <c r="WEV5" s="433"/>
      <c r="WEW5" s="433"/>
      <c r="WEX5" s="433"/>
      <c r="WEY5" s="433"/>
      <c r="WEZ5" s="433"/>
      <c r="WFA5" s="433"/>
      <c r="WFB5" s="433"/>
      <c r="WFC5" s="433"/>
      <c r="WFD5" s="433"/>
      <c r="WFE5" s="433"/>
      <c r="WFF5" s="433"/>
      <c r="WFG5" s="433"/>
      <c r="WFH5" s="433"/>
      <c r="WFI5" s="433"/>
      <c r="WFJ5" s="433"/>
      <c r="WFK5" s="433"/>
      <c r="WFL5" s="433"/>
      <c r="WFM5" s="433"/>
      <c r="WFN5" s="433"/>
      <c r="WFO5" s="433"/>
      <c r="WFP5" s="433"/>
      <c r="WFQ5" s="433"/>
      <c r="WFR5" s="433"/>
      <c r="WFS5" s="433"/>
      <c r="WFT5" s="433"/>
      <c r="WFU5" s="433"/>
      <c r="WFV5" s="433"/>
      <c r="WFW5" s="433"/>
      <c r="WFX5" s="433"/>
      <c r="WFY5" s="433"/>
      <c r="WFZ5" s="433"/>
      <c r="WGA5" s="433"/>
      <c r="WGB5" s="433"/>
      <c r="WGC5" s="433"/>
      <c r="WGD5" s="433"/>
      <c r="WGE5" s="433"/>
      <c r="WGF5" s="433"/>
      <c r="WGG5" s="433"/>
      <c r="WGH5" s="433"/>
      <c r="WGI5" s="433"/>
      <c r="WGJ5" s="433"/>
      <c r="WGK5" s="433"/>
      <c r="WGL5" s="433"/>
      <c r="WGM5" s="433"/>
      <c r="WGN5" s="433"/>
      <c r="WGO5" s="433"/>
      <c r="WGP5" s="433"/>
      <c r="WGQ5" s="433"/>
      <c r="WGR5" s="433"/>
      <c r="WGS5" s="433"/>
      <c r="WGT5" s="433"/>
      <c r="WGU5" s="433"/>
      <c r="WGV5" s="433"/>
      <c r="WGW5" s="433"/>
      <c r="WGX5" s="433"/>
      <c r="WGY5" s="433"/>
      <c r="WGZ5" s="433"/>
      <c r="WHA5" s="433"/>
      <c r="WHB5" s="433"/>
      <c r="WHC5" s="433"/>
      <c r="WHD5" s="433"/>
      <c r="WHE5" s="433"/>
      <c r="WHF5" s="433"/>
      <c r="WHG5" s="433"/>
      <c r="WHH5" s="433"/>
      <c r="WHI5" s="433"/>
      <c r="WHJ5" s="433"/>
      <c r="WHK5" s="433"/>
      <c r="WHL5" s="433"/>
      <c r="WHM5" s="433"/>
      <c r="WHN5" s="433"/>
      <c r="WHO5" s="433"/>
      <c r="WHP5" s="433"/>
      <c r="WHQ5" s="433"/>
      <c r="WHR5" s="433"/>
      <c r="WHS5" s="433"/>
      <c r="WHT5" s="433"/>
      <c r="WHU5" s="433"/>
      <c r="WHV5" s="433"/>
      <c r="WHW5" s="433"/>
      <c r="WHX5" s="433"/>
      <c r="WHY5" s="433"/>
      <c r="WHZ5" s="433"/>
      <c r="WIA5" s="433"/>
      <c r="WIB5" s="433"/>
      <c r="WIC5" s="433"/>
      <c r="WID5" s="433"/>
      <c r="WIE5" s="433"/>
      <c r="WIF5" s="433"/>
      <c r="WIG5" s="433"/>
      <c r="WIH5" s="433"/>
      <c r="WII5" s="433"/>
      <c r="WIJ5" s="433"/>
      <c r="WIK5" s="433"/>
      <c r="WIL5" s="433"/>
      <c r="WIM5" s="433"/>
      <c r="WIN5" s="433"/>
      <c r="WIO5" s="433"/>
      <c r="WIP5" s="433"/>
      <c r="WIQ5" s="433"/>
      <c r="WIR5" s="433"/>
      <c r="WIS5" s="433"/>
      <c r="WIT5" s="433"/>
      <c r="WIU5" s="433"/>
      <c r="WIV5" s="433"/>
      <c r="WIW5" s="433"/>
      <c r="WIX5" s="433"/>
      <c r="WIY5" s="433"/>
      <c r="WIZ5" s="433"/>
      <c r="WJA5" s="433"/>
      <c r="WJB5" s="433"/>
      <c r="WJC5" s="433"/>
      <c r="WJD5" s="433"/>
      <c r="WJE5" s="433"/>
      <c r="WJF5" s="433"/>
      <c r="WJG5" s="433"/>
      <c r="WJH5" s="433"/>
      <c r="WJI5" s="433"/>
      <c r="WJJ5" s="433"/>
      <c r="WJK5" s="433"/>
      <c r="WJL5" s="433"/>
      <c r="WJM5" s="433"/>
      <c r="WJN5" s="433"/>
      <c r="WJO5" s="433"/>
      <c r="WJP5" s="433"/>
      <c r="WJQ5" s="433"/>
      <c r="WJR5" s="433"/>
      <c r="WJS5" s="433"/>
      <c r="WJT5" s="433"/>
      <c r="WJU5" s="433"/>
      <c r="WJV5" s="433"/>
      <c r="WJW5" s="433"/>
      <c r="WJX5" s="433"/>
      <c r="WJY5" s="433"/>
      <c r="WJZ5" s="433"/>
      <c r="WKA5" s="433"/>
      <c r="WKB5" s="433"/>
      <c r="WKC5" s="433"/>
      <c r="WKD5" s="433"/>
      <c r="WKE5" s="433"/>
      <c r="WKF5" s="433"/>
      <c r="WKG5" s="433"/>
      <c r="WKH5" s="433"/>
      <c r="WKI5" s="433"/>
      <c r="WKJ5" s="433"/>
      <c r="WKK5" s="433"/>
      <c r="WKL5" s="433"/>
      <c r="WKM5" s="433"/>
      <c r="WKN5" s="433"/>
      <c r="WKO5" s="433"/>
      <c r="WKP5" s="433"/>
      <c r="WKQ5" s="433"/>
      <c r="WKR5" s="433"/>
      <c r="WKS5" s="433"/>
      <c r="WKT5" s="433"/>
      <c r="WKU5" s="433"/>
      <c r="WKV5" s="433"/>
      <c r="WKW5" s="433"/>
      <c r="WKX5" s="433"/>
      <c r="WKY5" s="433"/>
      <c r="WKZ5" s="433"/>
      <c r="WLA5" s="433"/>
      <c r="WLB5" s="433"/>
      <c r="WLC5" s="433"/>
      <c r="WLD5" s="433"/>
      <c r="WLE5" s="433"/>
      <c r="WLF5" s="433"/>
      <c r="WLG5" s="433"/>
      <c r="WLH5" s="433"/>
      <c r="WLI5" s="433"/>
      <c r="WLJ5" s="433"/>
      <c r="WLK5" s="433"/>
      <c r="WLL5" s="433"/>
      <c r="WLM5" s="433"/>
      <c r="WLN5" s="433"/>
      <c r="WLO5" s="433"/>
      <c r="WLP5" s="433"/>
      <c r="WLQ5" s="433"/>
      <c r="WLR5" s="433"/>
      <c r="WLS5" s="433"/>
      <c r="WLT5" s="433"/>
      <c r="WLU5" s="433"/>
      <c r="WLV5" s="433"/>
      <c r="WLW5" s="433"/>
      <c r="WLX5" s="433"/>
      <c r="WLY5" s="433"/>
      <c r="WLZ5" s="433"/>
      <c r="WMA5" s="433"/>
      <c r="WMB5" s="433"/>
      <c r="WMC5" s="433"/>
      <c r="WMD5" s="433"/>
      <c r="WME5" s="433"/>
      <c r="WMF5" s="433"/>
      <c r="WMG5" s="433"/>
      <c r="WMH5" s="433"/>
      <c r="WMI5" s="433"/>
      <c r="WMJ5" s="433"/>
      <c r="WMK5" s="433"/>
      <c r="WML5" s="433"/>
      <c r="WMM5" s="433"/>
      <c r="WMN5" s="433"/>
      <c r="WMO5" s="433"/>
      <c r="WMP5" s="433"/>
      <c r="WMQ5" s="433"/>
      <c r="WMR5" s="433"/>
      <c r="WMS5" s="433"/>
      <c r="WMT5" s="433"/>
      <c r="WMU5" s="433"/>
      <c r="WMV5" s="433"/>
      <c r="WMW5" s="433"/>
      <c r="WMX5" s="433"/>
      <c r="WMY5" s="433"/>
      <c r="WMZ5" s="433"/>
      <c r="WNA5" s="433"/>
      <c r="WNB5" s="433"/>
      <c r="WNC5" s="433"/>
      <c r="WND5" s="433"/>
      <c r="WNE5" s="433"/>
      <c r="WNF5" s="433"/>
      <c r="WNG5" s="433"/>
      <c r="WNH5" s="433"/>
      <c r="WNI5" s="433"/>
      <c r="WNJ5" s="433"/>
      <c r="WNK5" s="433"/>
      <c r="WNL5" s="433"/>
      <c r="WNM5" s="433"/>
      <c r="WNN5" s="433"/>
      <c r="WNO5" s="433"/>
      <c r="WNP5" s="433"/>
      <c r="WNQ5" s="433"/>
      <c r="WNR5" s="433"/>
      <c r="WNS5" s="433"/>
      <c r="WNT5" s="433"/>
      <c r="WNU5" s="433"/>
      <c r="WNV5" s="433"/>
      <c r="WNW5" s="433"/>
      <c r="WNX5" s="433"/>
      <c r="WNY5" s="433"/>
      <c r="WNZ5" s="433"/>
      <c r="WOA5" s="433"/>
      <c r="WOB5" s="433"/>
      <c r="WOC5" s="433"/>
      <c r="WOD5" s="433"/>
      <c r="WOE5" s="433"/>
      <c r="WOF5" s="433"/>
      <c r="WOG5" s="433"/>
      <c r="WOH5" s="433"/>
      <c r="WOI5" s="433"/>
      <c r="WOJ5" s="433"/>
      <c r="WOK5" s="433"/>
      <c r="WOL5" s="433"/>
      <c r="WOM5" s="433"/>
      <c r="WON5" s="433"/>
      <c r="WOO5" s="433"/>
      <c r="WOP5" s="433"/>
      <c r="WOQ5" s="433"/>
      <c r="WOR5" s="433"/>
      <c r="WOS5" s="433"/>
      <c r="WOT5" s="433"/>
      <c r="WOU5" s="433"/>
      <c r="WOV5" s="433"/>
      <c r="WOW5" s="433"/>
      <c r="WOX5" s="433"/>
      <c r="WOY5" s="433"/>
      <c r="WOZ5" s="433"/>
      <c r="WPA5" s="433"/>
      <c r="WPB5" s="433"/>
      <c r="WPC5" s="433"/>
      <c r="WPD5" s="433"/>
      <c r="WPE5" s="433"/>
      <c r="WPF5" s="433"/>
      <c r="WPG5" s="433"/>
      <c r="WPH5" s="433"/>
      <c r="WPI5" s="433"/>
      <c r="WPJ5" s="433"/>
      <c r="WPK5" s="433"/>
      <c r="WPL5" s="433"/>
      <c r="WPM5" s="433"/>
      <c r="WPN5" s="433"/>
      <c r="WPO5" s="433"/>
      <c r="WPP5" s="433"/>
      <c r="WPQ5" s="433"/>
      <c r="WPR5" s="433"/>
      <c r="WPS5" s="433"/>
      <c r="WPT5" s="433"/>
      <c r="WPU5" s="433"/>
      <c r="WPV5" s="433"/>
      <c r="WPW5" s="433"/>
      <c r="WPX5" s="433"/>
      <c r="WPY5" s="433"/>
      <c r="WPZ5" s="433"/>
      <c r="WQA5" s="433"/>
      <c r="WQB5" s="433"/>
      <c r="WQC5" s="433"/>
      <c r="WQD5" s="433"/>
      <c r="WQE5" s="433"/>
      <c r="WQF5" s="433"/>
      <c r="WQG5" s="433"/>
      <c r="WQH5" s="433"/>
      <c r="WQI5" s="433"/>
      <c r="WQJ5" s="433"/>
      <c r="WQK5" s="433"/>
      <c r="WQL5" s="433"/>
      <c r="WQM5" s="433"/>
      <c r="WQN5" s="433"/>
      <c r="WQO5" s="433"/>
      <c r="WQP5" s="433"/>
      <c r="WQQ5" s="433"/>
      <c r="WQR5" s="433"/>
      <c r="WQS5" s="433"/>
      <c r="WQT5" s="433"/>
      <c r="WQU5" s="433"/>
      <c r="WQV5" s="433"/>
      <c r="WQW5" s="433"/>
      <c r="WQX5" s="433"/>
      <c r="WQY5" s="433"/>
      <c r="WQZ5" s="433"/>
      <c r="WRA5" s="433"/>
      <c r="WRB5" s="433"/>
      <c r="WRC5" s="433"/>
      <c r="WRD5" s="433"/>
      <c r="WRE5" s="433"/>
      <c r="WRF5" s="433"/>
      <c r="WRG5" s="433"/>
      <c r="WRH5" s="433"/>
      <c r="WRI5" s="433"/>
      <c r="WRJ5" s="433"/>
      <c r="WRK5" s="433"/>
      <c r="WRL5" s="433"/>
      <c r="WRM5" s="433"/>
      <c r="WRN5" s="433"/>
      <c r="WRO5" s="433"/>
      <c r="WRP5" s="433"/>
      <c r="WRQ5" s="433"/>
      <c r="WRR5" s="433"/>
      <c r="WRS5" s="433"/>
      <c r="WRT5" s="433"/>
      <c r="WRU5" s="433"/>
      <c r="WRV5" s="433"/>
      <c r="WRW5" s="433"/>
      <c r="WRX5" s="433"/>
      <c r="WRY5" s="433"/>
      <c r="WRZ5" s="433"/>
      <c r="WSA5" s="433"/>
      <c r="WSB5" s="433"/>
      <c r="WSC5" s="433"/>
      <c r="WSD5" s="433"/>
      <c r="WSE5" s="433"/>
      <c r="WSF5" s="433"/>
      <c r="WSG5" s="433"/>
      <c r="WSH5" s="433"/>
      <c r="WSI5" s="433"/>
      <c r="WSJ5" s="433"/>
      <c r="WSK5" s="433"/>
      <c r="WSL5" s="433"/>
      <c r="WSM5" s="433"/>
      <c r="WSN5" s="433"/>
      <c r="WSO5" s="433"/>
      <c r="WSP5" s="433"/>
      <c r="WSQ5" s="433"/>
      <c r="WSR5" s="433"/>
      <c r="WSS5" s="433"/>
      <c r="WST5" s="433"/>
      <c r="WSU5" s="433"/>
      <c r="WSV5" s="433"/>
      <c r="WSW5" s="433"/>
      <c r="WSX5" s="433"/>
      <c r="WSY5" s="433"/>
      <c r="WSZ5" s="433"/>
      <c r="WTA5" s="433"/>
      <c r="WTB5" s="433"/>
      <c r="WTC5" s="433"/>
      <c r="WTD5" s="433"/>
      <c r="WTE5" s="433"/>
      <c r="WTF5" s="433"/>
      <c r="WTG5" s="433"/>
      <c r="WTH5" s="433"/>
      <c r="WTI5" s="433"/>
      <c r="WTJ5" s="433"/>
      <c r="WTK5" s="433"/>
      <c r="WTL5" s="433"/>
      <c r="WTM5" s="433"/>
      <c r="WTN5" s="433"/>
      <c r="WTO5" s="433"/>
      <c r="WTP5" s="433"/>
      <c r="WTQ5" s="433"/>
      <c r="WTR5" s="433"/>
      <c r="WTS5" s="433"/>
      <c r="WTT5" s="433"/>
      <c r="WTU5" s="433"/>
      <c r="WTV5" s="433"/>
      <c r="WTW5" s="433"/>
      <c r="WTX5" s="433"/>
      <c r="WTY5" s="433"/>
      <c r="WTZ5" s="433"/>
      <c r="WUA5" s="433"/>
      <c r="WUB5" s="433"/>
      <c r="WUC5" s="433"/>
      <c r="WUD5" s="433"/>
      <c r="WUE5" s="433"/>
      <c r="WUF5" s="433"/>
      <c r="WUG5" s="433"/>
      <c r="WUH5" s="433"/>
      <c r="WUI5" s="433"/>
      <c r="WUJ5" s="433"/>
      <c r="WUK5" s="433"/>
      <c r="WUL5" s="433"/>
      <c r="WUM5" s="433"/>
      <c r="WUN5" s="433"/>
      <c r="WUO5" s="433"/>
      <c r="WUP5" s="433"/>
      <c r="WUQ5" s="433"/>
      <c r="WUR5" s="433"/>
      <c r="WUS5" s="433"/>
      <c r="WUT5" s="433"/>
      <c r="WUU5" s="433"/>
      <c r="WUV5" s="433"/>
      <c r="WUW5" s="433"/>
      <c r="WUX5" s="433"/>
      <c r="WUY5" s="433"/>
      <c r="WUZ5" s="433"/>
      <c r="WVA5" s="433"/>
      <c r="WVB5" s="433"/>
      <c r="WVC5" s="433"/>
      <c r="WVD5" s="433"/>
      <c r="WVE5" s="433"/>
      <c r="WVF5" s="433"/>
      <c r="WVG5" s="433"/>
      <c r="WVH5" s="433"/>
      <c r="WVI5" s="433"/>
      <c r="WVJ5" s="433"/>
      <c r="WVK5" s="433"/>
      <c r="WVL5" s="433"/>
      <c r="WVM5" s="433"/>
      <c r="WVN5" s="433"/>
      <c r="WVO5" s="433"/>
      <c r="WVP5" s="433"/>
      <c r="WVQ5" s="433"/>
      <c r="WVR5" s="433"/>
      <c r="WVS5" s="433"/>
      <c r="WVT5" s="433"/>
      <c r="WVU5" s="433"/>
      <c r="WVV5" s="433"/>
      <c r="WVW5" s="433"/>
      <c r="WVX5" s="433"/>
      <c r="WVY5" s="433"/>
      <c r="WVZ5" s="433"/>
      <c r="WWA5" s="433"/>
      <c r="WWB5" s="433"/>
      <c r="WWC5" s="433"/>
      <c r="WWD5" s="433"/>
      <c r="WWE5" s="433"/>
      <c r="WWF5" s="433"/>
      <c r="WWG5" s="433"/>
      <c r="WWH5" s="433"/>
      <c r="WWI5" s="433"/>
      <c r="WWJ5" s="433"/>
      <c r="WWK5" s="433"/>
      <c r="WWL5" s="433"/>
      <c r="WWM5" s="433"/>
      <c r="WWN5" s="433"/>
      <c r="WWO5" s="433"/>
      <c r="WWP5" s="433"/>
      <c r="WWQ5" s="433"/>
      <c r="WWR5" s="433"/>
      <c r="WWS5" s="433"/>
      <c r="WWT5" s="433"/>
      <c r="WWU5" s="433"/>
      <c r="WWV5" s="433"/>
      <c r="WWW5" s="433"/>
      <c r="WWX5" s="433"/>
      <c r="WWY5" s="433"/>
      <c r="WWZ5" s="433"/>
      <c r="WXA5" s="433"/>
      <c r="WXB5" s="433"/>
      <c r="WXC5" s="433"/>
      <c r="WXD5" s="433"/>
      <c r="WXE5" s="433"/>
      <c r="WXF5" s="433"/>
      <c r="WXG5" s="433"/>
      <c r="WXH5" s="433"/>
      <c r="WXI5" s="433"/>
      <c r="WXJ5" s="433"/>
      <c r="WXK5" s="433"/>
      <c r="WXL5" s="433"/>
      <c r="WXM5" s="433"/>
      <c r="WXN5" s="433"/>
      <c r="WXO5" s="433"/>
      <c r="WXP5" s="433"/>
      <c r="WXQ5" s="433"/>
      <c r="WXR5" s="433"/>
      <c r="WXS5" s="433"/>
      <c r="WXT5" s="433"/>
      <c r="WXU5" s="433"/>
      <c r="WXV5" s="433"/>
      <c r="WXW5" s="433"/>
      <c r="WXX5" s="433"/>
      <c r="WXY5" s="433"/>
      <c r="WXZ5" s="433"/>
      <c r="WYA5" s="433"/>
      <c r="WYB5" s="433"/>
      <c r="WYC5" s="433"/>
      <c r="WYD5" s="433"/>
      <c r="WYE5" s="433"/>
      <c r="WYF5" s="433"/>
      <c r="WYG5" s="433"/>
      <c r="WYH5" s="433"/>
      <c r="WYI5" s="433"/>
      <c r="WYJ5" s="433"/>
      <c r="WYK5" s="433"/>
      <c r="WYL5" s="433"/>
      <c r="WYM5" s="433"/>
      <c r="WYN5" s="433"/>
      <c r="WYO5" s="433"/>
      <c r="WYP5" s="433"/>
      <c r="WYQ5" s="433"/>
      <c r="WYR5" s="433"/>
      <c r="WYS5" s="433"/>
      <c r="WYT5" s="433"/>
      <c r="WYU5" s="433"/>
      <c r="WYV5" s="433"/>
      <c r="WYW5" s="433"/>
      <c r="WYX5" s="433"/>
      <c r="WYY5" s="433"/>
      <c r="WYZ5" s="433"/>
      <c r="WZA5" s="433"/>
      <c r="WZB5" s="433"/>
      <c r="WZC5" s="433"/>
      <c r="WZD5" s="433"/>
      <c r="WZE5" s="433"/>
      <c r="WZF5" s="433"/>
      <c r="WZG5" s="433"/>
      <c r="WZH5" s="433"/>
      <c r="WZI5" s="433"/>
      <c r="WZJ5" s="433"/>
      <c r="WZK5" s="433"/>
      <c r="WZL5" s="433"/>
      <c r="WZM5" s="433"/>
      <c r="WZN5" s="433"/>
      <c r="WZO5" s="433"/>
      <c r="WZP5" s="433"/>
      <c r="WZQ5" s="433"/>
      <c r="WZR5" s="433"/>
      <c r="WZS5" s="433"/>
      <c r="WZT5" s="433"/>
      <c r="WZU5" s="433"/>
      <c r="WZV5" s="433"/>
      <c r="WZW5" s="433"/>
      <c r="WZX5" s="433"/>
      <c r="WZY5" s="433"/>
      <c r="WZZ5" s="433"/>
      <c r="XAA5" s="433"/>
      <c r="XAB5" s="433"/>
      <c r="XAC5" s="433"/>
      <c r="XAD5" s="433"/>
      <c r="XAE5" s="433"/>
      <c r="XAF5" s="433"/>
      <c r="XAG5" s="433"/>
      <c r="XAH5" s="433"/>
      <c r="XAI5" s="433"/>
      <c r="XAJ5" s="433"/>
      <c r="XAK5" s="433"/>
      <c r="XAL5" s="433"/>
      <c r="XAM5" s="433"/>
      <c r="XAN5" s="433"/>
      <c r="XAO5" s="433"/>
      <c r="XAP5" s="433"/>
      <c r="XAQ5" s="433"/>
      <c r="XAR5" s="433"/>
      <c r="XAS5" s="433"/>
      <c r="XAT5" s="433"/>
      <c r="XAU5" s="433"/>
      <c r="XAV5" s="433"/>
      <c r="XAW5" s="433"/>
      <c r="XAX5" s="433"/>
      <c r="XAY5" s="433"/>
      <c r="XAZ5" s="433"/>
      <c r="XBA5" s="433"/>
      <c r="XBB5" s="433"/>
      <c r="XBC5" s="433"/>
      <c r="XBD5" s="433"/>
      <c r="XBE5" s="433"/>
      <c r="XBF5" s="433"/>
      <c r="XBG5" s="433"/>
      <c r="XBH5" s="433"/>
      <c r="XBI5" s="433"/>
      <c r="XBJ5" s="433"/>
      <c r="XBK5" s="433"/>
      <c r="XBL5" s="433"/>
      <c r="XBM5" s="433"/>
      <c r="XBN5" s="433"/>
      <c r="XBO5" s="433"/>
      <c r="XBP5" s="433"/>
      <c r="XBQ5" s="433"/>
      <c r="XBR5" s="433"/>
      <c r="XBS5" s="433"/>
      <c r="XBT5" s="433"/>
      <c r="XBU5" s="433"/>
      <c r="XBV5" s="433"/>
      <c r="XBW5" s="433"/>
      <c r="XBX5" s="433"/>
      <c r="XBY5" s="433"/>
      <c r="XBZ5" s="433"/>
      <c r="XCA5" s="433"/>
      <c r="XCB5" s="433"/>
      <c r="XCC5" s="433"/>
      <c r="XCD5" s="433"/>
      <c r="XCE5" s="433"/>
      <c r="XCF5" s="433"/>
      <c r="XCG5" s="433"/>
      <c r="XCH5" s="433"/>
      <c r="XCI5" s="433"/>
      <c r="XCJ5" s="433"/>
      <c r="XCK5" s="433"/>
      <c r="XCL5" s="433"/>
      <c r="XCM5" s="433"/>
      <c r="XCN5" s="433"/>
      <c r="XCO5" s="433"/>
      <c r="XCP5" s="433"/>
      <c r="XCQ5" s="433"/>
      <c r="XCR5" s="433"/>
      <c r="XCS5" s="433"/>
      <c r="XCT5" s="433"/>
      <c r="XCU5" s="433"/>
      <c r="XCV5" s="433"/>
      <c r="XCW5" s="433"/>
      <c r="XCX5" s="433"/>
      <c r="XCY5" s="433"/>
      <c r="XCZ5" s="433"/>
      <c r="XDA5" s="433"/>
      <c r="XDB5" s="433"/>
      <c r="XDC5" s="433"/>
      <c r="XDD5" s="433"/>
      <c r="XDE5" s="433"/>
      <c r="XDF5" s="433"/>
      <c r="XDG5" s="433"/>
      <c r="XDH5" s="433"/>
      <c r="XDI5" s="433"/>
      <c r="XDJ5" s="433"/>
      <c r="XDK5" s="433"/>
      <c r="XDL5" s="433"/>
      <c r="XDM5" s="433"/>
      <c r="XDN5" s="433"/>
      <c r="XDO5" s="433"/>
      <c r="XDP5" s="433"/>
      <c r="XDQ5" s="433"/>
      <c r="XDR5" s="433"/>
      <c r="XDS5" s="433"/>
      <c r="XDT5" s="433"/>
      <c r="XDU5" s="433"/>
      <c r="XDV5" s="433"/>
      <c r="XDW5" s="433"/>
      <c r="XDX5" s="433"/>
      <c r="XDY5" s="433"/>
      <c r="XDZ5" s="433"/>
      <c r="XEA5" s="433"/>
      <c r="XEB5" s="433"/>
      <c r="XEC5" s="433"/>
      <c r="XED5" s="433"/>
      <c r="XEE5" s="433"/>
      <c r="XEF5" s="433"/>
    </row>
    <row r="6" spans="1:16360" s="226" customFormat="1">
      <c r="A6" s="433" t="s">
        <v>967</v>
      </c>
      <c r="B6" s="433"/>
      <c r="C6" s="433"/>
      <c r="D6" s="433"/>
      <c r="E6" s="433"/>
      <c r="F6" s="433"/>
      <c r="G6" s="433"/>
      <c r="H6" s="433"/>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433"/>
      <c r="AL6" s="433"/>
      <c r="AM6" s="433"/>
      <c r="AN6" s="433"/>
      <c r="AO6" s="433"/>
      <c r="AP6" s="433"/>
      <c r="AQ6" s="433"/>
      <c r="AR6" s="433"/>
      <c r="AS6" s="433"/>
      <c r="AT6" s="433"/>
      <c r="AU6" s="433"/>
      <c r="AV6" s="433"/>
      <c r="AW6" s="433"/>
      <c r="AX6" s="433"/>
      <c r="AY6" s="433"/>
      <c r="AZ6" s="433"/>
      <c r="BA6" s="433"/>
      <c r="BB6" s="433"/>
      <c r="BC6" s="433"/>
      <c r="BD6" s="433"/>
      <c r="BE6" s="433"/>
      <c r="BF6" s="433"/>
      <c r="BG6" s="433"/>
      <c r="BH6" s="433"/>
      <c r="BI6" s="433"/>
      <c r="BJ6" s="433"/>
      <c r="BK6" s="433"/>
      <c r="BL6" s="433"/>
      <c r="BM6" s="433"/>
      <c r="BN6" s="433"/>
      <c r="BO6" s="433"/>
      <c r="BP6" s="433"/>
      <c r="BQ6" s="433"/>
      <c r="BR6" s="433"/>
      <c r="BS6" s="433"/>
      <c r="BT6" s="433"/>
      <c r="BU6" s="433"/>
      <c r="BV6" s="433"/>
      <c r="BW6" s="433"/>
      <c r="BX6" s="433"/>
      <c r="BY6" s="433"/>
      <c r="BZ6" s="433"/>
      <c r="CA6" s="433"/>
      <c r="CB6" s="433"/>
      <c r="CC6" s="433"/>
      <c r="CD6" s="433"/>
      <c r="CE6" s="433"/>
      <c r="CF6" s="433"/>
      <c r="CG6" s="433"/>
      <c r="CH6" s="433"/>
      <c r="CI6" s="433"/>
      <c r="CJ6" s="433"/>
      <c r="CK6" s="433"/>
      <c r="CL6" s="433"/>
      <c r="CM6" s="433"/>
      <c r="CN6" s="433"/>
      <c r="CO6" s="433"/>
      <c r="CP6" s="433"/>
      <c r="CQ6" s="433"/>
      <c r="CR6" s="433"/>
      <c r="CS6" s="433"/>
      <c r="CT6" s="433"/>
      <c r="CU6" s="433"/>
      <c r="CV6" s="433"/>
      <c r="CW6" s="433"/>
      <c r="CX6" s="433"/>
      <c r="CY6" s="433"/>
      <c r="CZ6" s="433"/>
      <c r="DA6" s="433"/>
      <c r="DB6" s="433"/>
      <c r="DC6" s="433"/>
      <c r="DD6" s="433"/>
      <c r="DE6" s="433"/>
      <c r="DF6" s="433"/>
      <c r="DG6" s="433"/>
      <c r="DH6" s="433"/>
      <c r="DI6" s="433"/>
      <c r="DJ6" s="433"/>
      <c r="DK6" s="433"/>
      <c r="DL6" s="433"/>
      <c r="DM6" s="433"/>
      <c r="DN6" s="433"/>
      <c r="DO6" s="433"/>
      <c r="DP6" s="433"/>
      <c r="DQ6" s="433"/>
      <c r="DR6" s="433"/>
      <c r="DS6" s="433"/>
      <c r="DT6" s="433"/>
      <c r="DU6" s="433"/>
      <c r="DV6" s="433"/>
      <c r="DW6" s="433"/>
      <c r="DX6" s="433"/>
      <c r="DY6" s="433"/>
      <c r="DZ6" s="433"/>
      <c r="EA6" s="433"/>
      <c r="EB6" s="433"/>
      <c r="EC6" s="433"/>
      <c r="ED6" s="433"/>
      <c r="EE6" s="433"/>
      <c r="EF6" s="433"/>
      <c r="EG6" s="433"/>
      <c r="EH6" s="433"/>
      <c r="EI6" s="433"/>
      <c r="EJ6" s="433"/>
      <c r="EK6" s="433"/>
      <c r="EL6" s="433"/>
      <c r="EM6" s="433"/>
      <c r="EN6" s="433"/>
      <c r="EO6" s="433"/>
      <c r="EP6" s="433"/>
      <c r="EQ6" s="433"/>
      <c r="ER6" s="433"/>
      <c r="ES6" s="433"/>
      <c r="ET6" s="433"/>
      <c r="EU6" s="433"/>
      <c r="EV6" s="433"/>
      <c r="EW6" s="433"/>
      <c r="EX6" s="433"/>
      <c r="EY6" s="433"/>
      <c r="EZ6" s="433"/>
      <c r="FA6" s="433"/>
      <c r="FB6" s="433"/>
      <c r="FC6" s="433"/>
      <c r="FD6" s="433"/>
      <c r="FE6" s="433"/>
      <c r="FF6" s="433"/>
      <c r="FG6" s="433"/>
      <c r="FH6" s="433"/>
      <c r="FI6" s="433"/>
      <c r="FJ6" s="433"/>
      <c r="FK6" s="433"/>
      <c r="FL6" s="433"/>
      <c r="FM6" s="433"/>
      <c r="FN6" s="433"/>
      <c r="FO6" s="433"/>
      <c r="FP6" s="433"/>
      <c r="FQ6" s="433"/>
      <c r="FR6" s="433"/>
      <c r="FS6" s="433"/>
      <c r="FT6" s="433"/>
      <c r="FU6" s="433"/>
      <c r="FV6" s="433"/>
      <c r="FW6" s="433"/>
      <c r="FX6" s="433"/>
      <c r="FY6" s="433"/>
      <c r="FZ6" s="433"/>
      <c r="GA6" s="433"/>
      <c r="GB6" s="433"/>
      <c r="GC6" s="433"/>
      <c r="GD6" s="433"/>
      <c r="GE6" s="433"/>
      <c r="GF6" s="433"/>
      <c r="GG6" s="433"/>
      <c r="GH6" s="433"/>
      <c r="GI6" s="433"/>
      <c r="GJ6" s="433"/>
      <c r="GK6" s="433"/>
      <c r="GL6" s="433"/>
      <c r="GM6" s="433"/>
      <c r="GN6" s="433"/>
      <c r="GO6" s="433"/>
      <c r="GP6" s="433"/>
      <c r="GQ6" s="433"/>
      <c r="GR6" s="433"/>
      <c r="GS6" s="433"/>
      <c r="GT6" s="433"/>
      <c r="GU6" s="433"/>
      <c r="GV6" s="433"/>
      <c r="GW6" s="433"/>
      <c r="GX6" s="433"/>
      <c r="GY6" s="433"/>
      <c r="GZ6" s="433"/>
      <c r="HA6" s="433"/>
      <c r="HB6" s="433"/>
      <c r="HC6" s="433"/>
      <c r="HD6" s="433"/>
      <c r="HE6" s="433"/>
      <c r="HF6" s="433"/>
      <c r="HG6" s="433"/>
      <c r="HH6" s="433"/>
      <c r="HI6" s="433"/>
      <c r="HJ6" s="433"/>
      <c r="HK6" s="433"/>
      <c r="HL6" s="433"/>
      <c r="HM6" s="433"/>
      <c r="HN6" s="433"/>
      <c r="HO6" s="433"/>
      <c r="HP6" s="433"/>
      <c r="HQ6" s="433"/>
      <c r="HR6" s="433"/>
      <c r="HS6" s="433"/>
      <c r="HT6" s="433"/>
      <c r="HU6" s="433"/>
      <c r="HV6" s="433"/>
      <c r="HW6" s="433"/>
      <c r="HX6" s="433"/>
      <c r="HY6" s="433"/>
      <c r="HZ6" s="433"/>
      <c r="IA6" s="433"/>
      <c r="IB6" s="433"/>
      <c r="IC6" s="433"/>
      <c r="ID6" s="433"/>
      <c r="IE6" s="433"/>
      <c r="IF6" s="433"/>
      <c r="IG6" s="433"/>
      <c r="IH6" s="433"/>
      <c r="II6" s="433"/>
      <c r="IJ6" s="433"/>
      <c r="IK6" s="433"/>
      <c r="IL6" s="433"/>
      <c r="IM6" s="433"/>
      <c r="IN6" s="433"/>
      <c r="IO6" s="433"/>
      <c r="IP6" s="433"/>
      <c r="IQ6" s="433"/>
      <c r="IR6" s="433"/>
      <c r="IS6" s="433"/>
      <c r="IT6" s="433"/>
      <c r="IU6" s="433"/>
      <c r="IV6" s="433"/>
      <c r="IW6" s="433"/>
      <c r="IX6" s="433"/>
      <c r="IY6" s="433"/>
      <c r="IZ6" s="433"/>
      <c r="JA6" s="433"/>
      <c r="JB6" s="433"/>
      <c r="JC6" s="433"/>
      <c r="JD6" s="433"/>
      <c r="JE6" s="433"/>
      <c r="JF6" s="433"/>
      <c r="JG6" s="433"/>
      <c r="JH6" s="433"/>
      <c r="JI6" s="433"/>
      <c r="JJ6" s="433"/>
      <c r="JK6" s="433"/>
      <c r="JL6" s="433"/>
      <c r="JM6" s="433"/>
      <c r="JN6" s="433"/>
      <c r="JO6" s="433"/>
      <c r="JP6" s="433"/>
      <c r="JQ6" s="433"/>
      <c r="JR6" s="433"/>
      <c r="JS6" s="433"/>
      <c r="JT6" s="433"/>
      <c r="JU6" s="433"/>
      <c r="JV6" s="433"/>
      <c r="JW6" s="433"/>
      <c r="JX6" s="433"/>
      <c r="JY6" s="433"/>
      <c r="JZ6" s="433"/>
      <c r="KA6" s="433"/>
      <c r="KB6" s="433"/>
      <c r="KC6" s="433"/>
      <c r="KD6" s="433"/>
      <c r="KE6" s="433"/>
      <c r="KF6" s="433"/>
      <c r="KG6" s="433"/>
      <c r="KH6" s="433"/>
      <c r="KI6" s="433"/>
      <c r="KJ6" s="433"/>
      <c r="KK6" s="433"/>
      <c r="KL6" s="433"/>
      <c r="KM6" s="433"/>
      <c r="KN6" s="433"/>
      <c r="KO6" s="433"/>
      <c r="KP6" s="433"/>
      <c r="KQ6" s="433"/>
      <c r="KR6" s="433"/>
      <c r="KS6" s="433"/>
      <c r="KT6" s="433"/>
      <c r="KU6" s="433"/>
      <c r="KV6" s="433"/>
      <c r="KW6" s="433"/>
      <c r="KX6" s="433"/>
      <c r="KY6" s="433"/>
      <c r="KZ6" s="433"/>
      <c r="LA6" s="433"/>
      <c r="LB6" s="433"/>
      <c r="LC6" s="433"/>
      <c r="LD6" s="433"/>
      <c r="LE6" s="433"/>
      <c r="LF6" s="433"/>
      <c r="LG6" s="433"/>
      <c r="LH6" s="433"/>
      <c r="LI6" s="433"/>
      <c r="LJ6" s="433"/>
      <c r="LK6" s="433"/>
      <c r="LL6" s="433"/>
      <c r="LM6" s="433"/>
      <c r="LN6" s="433"/>
      <c r="LO6" s="433"/>
      <c r="LP6" s="433"/>
      <c r="LQ6" s="433"/>
      <c r="LR6" s="433"/>
      <c r="LS6" s="433"/>
      <c r="LT6" s="433"/>
      <c r="LU6" s="433"/>
      <c r="LV6" s="433"/>
      <c r="LW6" s="433"/>
      <c r="LX6" s="433"/>
      <c r="LY6" s="433"/>
      <c r="LZ6" s="433"/>
      <c r="MA6" s="433"/>
      <c r="MB6" s="433"/>
      <c r="MC6" s="433"/>
      <c r="MD6" s="433"/>
      <c r="ME6" s="433"/>
      <c r="MF6" s="433"/>
      <c r="MG6" s="433"/>
      <c r="MH6" s="433"/>
      <c r="MI6" s="433"/>
      <c r="MJ6" s="433"/>
      <c r="MK6" s="433"/>
      <c r="ML6" s="433"/>
      <c r="MM6" s="433"/>
      <c r="MN6" s="433"/>
      <c r="MO6" s="433"/>
      <c r="MP6" s="433"/>
      <c r="MQ6" s="433"/>
      <c r="MR6" s="433"/>
      <c r="MS6" s="433"/>
      <c r="MT6" s="433"/>
      <c r="MU6" s="433"/>
      <c r="MV6" s="433"/>
      <c r="MW6" s="433"/>
      <c r="MX6" s="433"/>
      <c r="MY6" s="433"/>
      <c r="MZ6" s="433"/>
      <c r="NA6" s="433"/>
      <c r="NB6" s="433"/>
      <c r="NC6" s="433"/>
      <c r="ND6" s="433"/>
      <c r="NE6" s="433"/>
      <c r="NF6" s="433"/>
      <c r="NG6" s="433"/>
      <c r="NH6" s="433"/>
      <c r="NI6" s="433"/>
      <c r="NJ6" s="433"/>
      <c r="NK6" s="433"/>
      <c r="NL6" s="433"/>
      <c r="NM6" s="433"/>
      <c r="NN6" s="433"/>
      <c r="NO6" s="433"/>
      <c r="NP6" s="433"/>
      <c r="NQ6" s="433"/>
      <c r="NR6" s="433"/>
      <c r="NS6" s="433"/>
      <c r="NT6" s="433"/>
      <c r="NU6" s="433"/>
      <c r="NV6" s="433"/>
      <c r="NW6" s="433"/>
      <c r="NX6" s="433"/>
      <c r="NY6" s="433"/>
      <c r="NZ6" s="433"/>
      <c r="OA6" s="433"/>
      <c r="OB6" s="433"/>
      <c r="OC6" s="433"/>
      <c r="OD6" s="433"/>
      <c r="OE6" s="433"/>
      <c r="OF6" s="433"/>
      <c r="OG6" s="433"/>
      <c r="OH6" s="433"/>
      <c r="OI6" s="433"/>
      <c r="OJ6" s="433"/>
      <c r="OK6" s="433"/>
      <c r="OL6" s="433"/>
      <c r="OM6" s="433"/>
      <c r="ON6" s="433"/>
      <c r="OO6" s="433"/>
      <c r="OP6" s="433"/>
      <c r="OQ6" s="433"/>
      <c r="OR6" s="433"/>
      <c r="OS6" s="433"/>
      <c r="OT6" s="433"/>
      <c r="OU6" s="433"/>
      <c r="OV6" s="433"/>
      <c r="OW6" s="433"/>
      <c r="OX6" s="433"/>
      <c r="OY6" s="433"/>
      <c r="OZ6" s="433"/>
      <c r="PA6" s="433"/>
      <c r="PB6" s="433"/>
      <c r="PC6" s="433"/>
      <c r="PD6" s="433"/>
      <c r="PE6" s="433"/>
      <c r="PF6" s="433"/>
      <c r="PG6" s="433"/>
      <c r="PH6" s="433"/>
      <c r="PI6" s="433"/>
      <c r="PJ6" s="433"/>
      <c r="PK6" s="433"/>
      <c r="PL6" s="433"/>
      <c r="PM6" s="433"/>
      <c r="PN6" s="433"/>
      <c r="PO6" s="433"/>
      <c r="PP6" s="433"/>
      <c r="PQ6" s="433"/>
      <c r="PR6" s="433"/>
      <c r="PS6" s="433"/>
      <c r="PT6" s="433"/>
      <c r="PU6" s="433"/>
      <c r="PV6" s="433"/>
      <c r="PW6" s="433"/>
      <c r="PX6" s="433"/>
      <c r="PY6" s="433"/>
      <c r="PZ6" s="433"/>
      <c r="QA6" s="433"/>
      <c r="QB6" s="433"/>
      <c r="QC6" s="433"/>
      <c r="QD6" s="433"/>
      <c r="QE6" s="433"/>
      <c r="QF6" s="433"/>
      <c r="QG6" s="433"/>
      <c r="QH6" s="433"/>
      <c r="QI6" s="433"/>
      <c r="QJ6" s="433"/>
      <c r="QK6" s="433"/>
      <c r="QL6" s="433"/>
      <c r="QM6" s="433"/>
      <c r="QN6" s="433"/>
      <c r="QO6" s="433"/>
      <c r="QP6" s="433"/>
      <c r="QQ6" s="433"/>
      <c r="QR6" s="433"/>
      <c r="QS6" s="433"/>
      <c r="QT6" s="433"/>
      <c r="QU6" s="433"/>
      <c r="QV6" s="433"/>
      <c r="QW6" s="433"/>
      <c r="QX6" s="433"/>
      <c r="QY6" s="433"/>
      <c r="QZ6" s="433"/>
      <c r="RA6" s="433"/>
      <c r="RB6" s="433"/>
      <c r="RC6" s="433"/>
      <c r="RD6" s="433"/>
      <c r="RE6" s="433"/>
      <c r="RF6" s="433"/>
      <c r="RG6" s="433"/>
      <c r="RH6" s="433"/>
      <c r="RI6" s="433"/>
      <c r="RJ6" s="433"/>
      <c r="RK6" s="433"/>
      <c r="RL6" s="433"/>
      <c r="RM6" s="433"/>
      <c r="RN6" s="433"/>
      <c r="RO6" s="433"/>
      <c r="RP6" s="433"/>
      <c r="RQ6" s="433"/>
      <c r="RR6" s="433"/>
      <c r="RS6" s="433"/>
      <c r="RT6" s="433"/>
      <c r="RU6" s="433"/>
      <c r="RV6" s="433"/>
      <c r="RW6" s="433"/>
      <c r="RX6" s="433"/>
      <c r="RY6" s="433"/>
      <c r="RZ6" s="433"/>
      <c r="SA6" s="433"/>
      <c r="SB6" s="433"/>
      <c r="SC6" s="433"/>
      <c r="SD6" s="433"/>
      <c r="SE6" s="433"/>
      <c r="SF6" s="433"/>
      <c r="SG6" s="433"/>
      <c r="SH6" s="433"/>
      <c r="SI6" s="433"/>
      <c r="SJ6" s="433"/>
      <c r="SK6" s="433"/>
      <c r="SL6" s="433"/>
      <c r="SM6" s="433"/>
      <c r="SN6" s="433"/>
      <c r="SO6" s="433"/>
      <c r="SP6" s="433"/>
      <c r="SQ6" s="433"/>
      <c r="SR6" s="433"/>
      <c r="SS6" s="433"/>
      <c r="ST6" s="433"/>
      <c r="SU6" s="433"/>
      <c r="SV6" s="433"/>
      <c r="SW6" s="433"/>
      <c r="SX6" s="433"/>
      <c r="SY6" s="433"/>
      <c r="SZ6" s="433"/>
      <c r="TA6" s="433"/>
      <c r="TB6" s="433"/>
      <c r="TC6" s="433"/>
      <c r="TD6" s="433"/>
      <c r="TE6" s="433"/>
      <c r="TF6" s="433"/>
      <c r="TG6" s="433"/>
      <c r="TH6" s="433"/>
      <c r="TI6" s="433"/>
      <c r="TJ6" s="433"/>
      <c r="TK6" s="433"/>
      <c r="TL6" s="433"/>
      <c r="TM6" s="433"/>
      <c r="TN6" s="433"/>
      <c r="TO6" s="433"/>
      <c r="TP6" s="433"/>
      <c r="TQ6" s="433"/>
      <c r="TR6" s="433"/>
      <c r="TS6" s="433"/>
      <c r="TT6" s="433"/>
      <c r="TU6" s="433"/>
      <c r="TV6" s="433"/>
      <c r="TW6" s="433"/>
      <c r="TX6" s="433"/>
      <c r="TY6" s="433"/>
      <c r="TZ6" s="433"/>
      <c r="UA6" s="433"/>
      <c r="UB6" s="433"/>
      <c r="UC6" s="433"/>
      <c r="UD6" s="433"/>
      <c r="UE6" s="433"/>
      <c r="UF6" s="433"/>
      <c r="UG6" s="433"/>
      <c r="UH6" s="433"/>
      <c r="UI6" s="433"/>
      <c r="UJ6" s="433"/>
      <c r="UK6" s="433"/>
      <c r="UL6" s="433"/>
      <c r="UM6" s="433"/>
      <c r="UN6" s="433"/>
      <c r="UO6" s="433"/>
      <c r="UP6" s="433"/>
      <c r="UQ6" s="433"/>
      <c r="UR6" s="433"/>
      <c r="US6" s="433"/>
      <c r="UT6" s="433"/>
      <c r="UU6" s="433"/>
      <c r="UV6" s="433"/>
      <c r="UW6" s="433"/>
      <c r="UX6" s="433"/>
      <c r="UY6" s="433"/>
      <c r="UZ6" s="433"/>
      <c r="VA6" s="433"/>
      <c r="VB6" s="433"/>
      <c r="VC6" s="433"/>
      <c r="VD6" s="433"/>
      <c r="VE6" s="433"/>
      <c r="VF6" s="433"/>
      <c r="VG6" s="433"/>
      <c r="VH6" s="433"/>
      <c r="VI6" s="433"/>
      <c r="VJ6" s="433"/>
      <c r="VK6" s="433"/>
      <c r="VL6" s="433"/>
      <c r="VM6" s="433"/>
      <c r="VN6" s="433"/>
      <c r="VO6" s="433"/>
      <c r="VP6" s="433"/>
      <c r="VQ6" s="433"/>
      <c r="VR6" s="433"/>
      <c r="VS6" s="433"/>
      <c r="VT6" s="433"/>
      <c r="VU6" s="433"/>
      <c r="VV6" s="433"/>
      <c r="VW6" s="433"/>
      <c r="VX6" s="433"/>
      <c r="VY6" s="433"/>
      <c r="VZ6" s="433"/>
      <c r="WA6" s="433"/>
      <c r="WB6" s="433"/>
      <c r="WC6" s="433"/>
      <c r="WD6" s="433"/>
      <c r="WE6" s="433"/>
      <c r="WF6" s="433"/>
      <c r="WG6" s="433"/>
      <c r="WH6" s="433"/>
      <c r="WI6" s="433"/>
      <c r="WJ6" s="433"/>
      <c r="WK6" s="433"/>
      <c r="WL6" s="433"/>
      <c r="WM6" s="433"/>
      <c r="WN6" s="433"/>
      <c r="WO6" s="433"/>
      <c r="WP6" s="433"/>
      <c r="WQ6" s="433"/>
      <c r="WR6" s="433"/>
      <c r="WS6" s="433"/>
      <c r="WT6" s="433"/>
      <c r="WU6" s="433"/>
      <c r="WV6" s="433"/>
      <c r="WW6" s="433"/>
      <c r="WX6" s="433"/>
      <c r="WY6" s="433"/>
      <c r="WZ6" s="433"/>
      <c r="XA6" s="433"/>
      <c r="XB6" s="433"/>
      <c r="XC6" s="433"/>
      <c r="XD6" s="433"/>
      <c r="XE6" s="433"/>
      <c r="XF6" s="433"/>
      <c r="XG6" s="433"/>
      <c r="XH6" s="433"/>
      <c r="XI6" s="433"/>
      <c r="XJ6" s="433"/>
      <c r="XK6" s="433"/>
      <c r="XL6" s="433"/>
      <c r="XM6" s="433"/>
      <c r="XN6" s="433"/>
      <c r="XO6" s="433"/>
      <c r="XP6" s="433"/>
      <c r="XQ6" s="433"/>
      <c r="XR6" s="433"/>
      <c r="XS6" s="433"/>
      <c r="XT6" s="433"/>
      <c r="XU6" s="433"/>
      <c r="XV6" s="433"/>
      <c r="XW6" s="433"/>
      <c r="XX6" s="433"/>
      <c r="XY6" s="433"/>
      <c r="XZ6" s="433"/>
      <c r="YA6" s="433"/>
      <c r="YB6" s="433"/>
      <c r="YC6" s="433"/>
      <c r="YD6" s="433"/>
      <c r="YE6" s="433"/>
      <c r="YF6" s="433"/>
      <c r="YG6" s="433"/>
      <c r="YH6" s="433"/>
      <c r="YI6" s="433"/>
      <c r="YJ6" s="433"/>
      <c r="YK6" s="433"/>
      <c r="YL6" s="433"/>
      <c r="YM6" s="433"/>
      <c r="YN6" s="433"/>
      <c r="YO6" s="433"/>
      <c r="YP6" s="433"/>
      <c r="YQ6" s="433"/>
      <c r="YR6" s="433"/>
      <c r="YS6" s="433"/>
      <c r="YT6" s="433"/>
      <c r="YU6" s="433"/>
      <c r="YV6" s="433"/>
      <c r="YW6" s="433"/>
      <c r="YX6" s="433"/>
      <c r="YY6" s="433"/>
      <c r="YZ6" s="433"/>
      <c r="ZA6" s="433"/>
      <c r="ZB6" s="433"/>
      <c r="ZC6" s="433"/>
      <c r="ZD6" s="433"/>
      <c r="ZE6" s="433"/>
      <c r="ZF6" s="433"/>
      <c r="ZG6" s="433"/>
      <c r="ZH6" s="433"/>
      <c r="ZI6" s="433"/>
      <c r="ZJ6" s="433"/>
      <c r="ZK6" s="433"/>
      <c r="ZL6" s="433"/>
      <c r="ZM6" s="433"/>
      <c r="ZN6" s="433"/>
      <c r="ZO6" s="433"/>
      <c r="ZP6" s="433"/>
      <c r="ZQ6" s="433"/>
      <c r="ZR6" s="433"/>
      <c r="ZS6" s="433"/>
      <c r="ZT6" s="433"/>
      <c r="ZU6" s="433"/>
      <c r="ZV6" s="433"/>
      <c r="ZW6" s="433"/>
      <c r="ZX6" s="433"/>
      <c r="ZY6" s="433"/>
      <c r="ZZ6" s="433"/>
      <c r="AAA6" s="433"/>
      <c r="AAB6" s="433"/>
      <c r="AAC6" s="433"/>
      <c r="AAD6" s="433"/>
      <c r="AAE6" s="433"/>
      <c r="AAF6" s="433"/>
      <c r="AAG6" s="433"/>
      <c r="AAH6" s="433"/>
      <c r="AAI6" s="433"/>
      <c r="AAJ6" s="433"/>
      <c r="AAK6" s="433"/>
      <c r="AAL6" s="433"/>
      <c r="AAM6" s="433"/>
      <c r="AAN6" s="433"/>
      <c r="AAO6" s="433"/>
      <c r="AAP6" s="433"/>
      <c r="AAQ6" s="433"/>
      <c r="AAR6" s="433"/>
      <c r="AAS6" s="433"/>
      <c r="AAT6" s="433"/>
      <c r="AAU6" s="433"/>
      <c r="AAV6" s="433"/>
      <c r="AAW6" s="433"/>
      <c r="AAX6" s="433"/>
      <c r="AAY6" s="433"/>
      <c r="AAZ6" s="433"/>
      <c r="ABA6" s="433"/>
      <c r="ABB6" s="433"/>
      <c r="ABC6" s="433"/>
      <c r="ABD6" s="433"/>
      <c r="ABE6" s="433"/>
      <c r="ABF6" s="433"/>
      <c r="ABG6" s="433"/>
      <c r="ABH6" s="433"/>
      <c r="ABI6" s="433"/>
      <c r="ABJ6" s="433"/>
      <c r="ABK6" s="433"/>
      <c r="ABL6" s="433"/>
      <c r="ABM6" s="433"/>
      <c r="ABN6" s="433"/>
      <c r="ABO6" s="433"/>
      <c r="ABP6" s="433"/>
      <c r="ABQ6" s="433"/>
      <c r="ABR6" s="433"/>
      <c r="ABS6" s="433"/>
      <c r="ABT6" s="433"/>
      <c r="ABU6" s="433"/>
      <c r="ABV6" s="433"/>
      <c r="ABW6" s="433"/>
      <c r="ABX6" s="433"/>
      <c r="ABY6" s="433"/>
      <c r="ABZ6" s="433"/>
      <c r="ACA6" s="433"/>
      <c r="ACB6" s="433"/>
      <c r="ACC6" s="433"/>
      <c r="ACD6" s="433"/>
      <c r="ACE6" s="433"/>
      <c r="ACF6" s="433"/>
      <c r="ACG6" s="433"/>
      <c r="ACH6" s="433"/>
      <c r="ACI6" s="433"/>
      <c r="ACJ6" s="433"/>
      <c r="ACK6" s="433"/>
      <c r="ACL6" s="433"/>
      <c r="ACM6" s="433"/>
      <c r="ACN6" s="433"/>
      <c r="ACO6" s="433"/>
      <c r="ACP6" s="433"/>
      <c r="ACQ6" s="433"/>
      <c r="ACR6" s="433"/>
      <c r="ACS6" s="433"/>
      <c r="ACT6" s="433"/>
      <c r="ACU6" s="433"/>
      <c r="ACV6" s="433"/>
      <c r="ACW6" s="433"/>
      <c r="ACX6" s="433"/>
      <c r="ACY6" s="433"/>
      <c r="ACZ6" s="433"/>
      <c r="ADA6" s="433"/>
      <c r="ADB6" s="433"/>
      <c r="ADC6" s="433"/>
      <c r="ADD6" s="433"/>
      <c r="ADE6" s="433"/>
      <c r="ADF6" s="433"/>
      <c r="ADG6" s="433"/>
      <c r="ADH6" s="433"/>
      <c r="ADI6" s="433"/>
      <c r="ADJ6" s="433"/>
      <c r="ADK6" s="433"/>
      <c r="ADL6" s="433"/>
      <c r="ADM6" s="433"/>
      <c r="ADN6" s="433"/>
      <c r="ADO6" s="433"/>
      <c r="ADP6" s="433"/>
      <c r="ADQ6" s="433"/>
      <c r="ADR6" s="433"/>
      <c r="ADS6" s="433"/>
      <c r="ADT6" s="433"/>
      <c r="ADU6" s="433"/>
      <c r="ADV6" s="433"/>
      <c r="ADW6" s="433"/>
      <c r="ADX6" s="433"/>
      <c r="ADY6" s="433"/>
      <c r="ADZ6" s="433"/>
      <c r="AEA6" s="433"/>
      <c r="AEB6" s="433"/>
      <c r="AEC6" s="433"/>
      <c r="AED6" s="433"/>
      <c r="AEE6" s="433"/>
      <c r="AEF6" s="433"/>
      <c r="AEG6" s="433"/>
      <c r="AEH6" s="433"/>
      <c r="AEI6" s="433"/>
      <c r="AEJ6" s="433"/>
      <c r="AEK6" s="433"/>
      <c r="AEL6" s="433"/>
      <c r="AEM6" s="433"/>
      <c r="AEN6" s="433"/>
      <c r="AEO6" s="433"/>
      <c r="AEP6" s="433"/>
      <c r="AEQ6" s="433"/>
      <c r="AER6" s="433"/>
      <c r="AES6" s="433"/>
      <c r="AET6" s="433"/>
      <c r="AEU6" s="433"/>
      <c r="AEV6" s="433"/>
      <c r="AEW6" s="433"/>
      <c r="AEX6" s="433"/>
      <c r="AEY6" s="433"/>
      <c r="AEZ6" s="433"/>
      <c r="AFA6" s="433"/>
      <c r="AFB6" s="433"/>
      <c r="AFC6" s="433"/>
      <c r="AFD6" s="433"/>
      <c r="AFE6" s="433"/>
      <c r="AFF6" s="433"/>
      <c r="AFG6" s="433"/>
      <c r="AFH6" s="433"/>
      <c r="AFI6" s="433"/>
      <c r="AFJ6" s="433"/>
      <c r="AFK6" s="433"/>
      <c r="AFL6" s="433"/>
      <c r="AFM6" s="433"/>
      <c r="AFN6" s="433"/>
      <c r="AFO6" s="433"/>
      <c r="AFP6" s="433"/>
      <c r="AFQ6" s="433"/>
      <c r="AFR6" s="433"/>
      <c r="AFS6" s="433"/>
      <c r="AFT6" s="433"/>
      <c r="AFU6" s="433"/>
      <c r="AFV6" s="433"/>
      <c r="AFW6" s="433"/>
      <c r="AFX6" s="433"/>
      <c r="AFY6" s="433"/>
      <c r="AFZ6" s="433"/>
      <c r="AGA6" s="433"/>
      <c r="AGB6" s="433"/>
      <c r="AGC6" s="433"/>
      <c r="AGD6" s="433"/>
      <c r="AGE6" s="433"/>
      <c r="AGF6" s="433"/>
      <c r="AGG6" s="433"/>
      <c r="AGH6" s="433"/>
      <c r="AGI6" s="433"/>
      <c r="AGJ6" s="433"/>
      <c r="AGK6" s="433"/>
      <c r="AGL6" s="433"/>
      <c r="AGM6" s="433"/>
      <c r="AGN6" s="433"/>
      <c r="AGO6" s="433"/>
      <c r="AGP6" s="433"/>
      <c r="AGQ6" s="433"/>
      <c r="AGR6" s="433"/>
      <c r="AGS6" s="433"/>
      <c r="AGT6" s="433"/>
      <c r="AGU6" s="433"/>
      <c r="AGV6" s="433"/>
      <c r="AGW6" s="433"/>
      <c r="AGX6" s="433"/>
      <c r="AGY6" s="433"/>
      <c r="AGZ6" s="433"/>
      <c r="AHA6" s="433"/>
      <c r="AHB6" s="433"/>
      <c r="AHC6" s="433"/>
      <c r="AHD6" s="433"/>
      <c r="AHE6" s="433"/>
      <c r="AHF6" s="433"/>
      <c r="AHG6" s="433"/>
      <c r="AHH6" s="433"/>
      <c r="AHI6" s="433"/>
      <c r="AHJ6" s="433"/>
      <c r="AHK6" s="433"/>
      <c r="AHL6" s="433"/>
      <c r="AHM6" s="433"/>
      <c r="AHN6" s="433"/>
      <c r="AHO6" s="433"/>
      <c r="AHP6" s="433"/>
      <c r="AHQ6" s="433"/>
      <c r="AHR6" s="433"/>
      <c r="AHS6" s="433"/>
      <c r="AHT6" s="433"/>
      <c r="AHU6" s="433"/>
      <c r="AHV6" s="433"/>
      <c r="AHW6" s="433"/>
      <c r="AHX6" s="433"/>
      <c r="AHY6" s="433"/>
      <c r="AHZ6" s="433"/>
      <c r="AIA6" s="433"/>
      <c r="AIB6" s="433"/>
      <c r="AIC6" s="433"/>
      <c r="AID6" s="433"/>
      <c r="AIE6" s="433"/>
      <c r="AIF6" s="433"/>
      <c r="AIG6" s="433"/>
      <c r="AIH6" s="433"/>
      <c r="AII6" s="433"/>
      <c r="AIJ6" s="433"/>
      <c r="AIK6" s="433"/>
      <c r="AIL6" s="433"/>
      <c r="AIM6" s="433"/>
      <c r="AIN6" s="433"/>
      <c r="AIO6" s="433"/>
      <c r="AIP6" s="433"/>
      <c r="AIQ6" s="433"/>
      <c r="AIR6" s="433"/>
      <c r="AIS6" s="433"/>
      <c r="AIT6" s="433"/>
      <c r="AIU6" s="433"/>
      <c r="AIV6" s="433"/>
      <c r="AIW6" s="433"/>
      <c r="AIX6" s="433"/>
      <c r="AIY6" s="433"/>
      <c r="AIZ6" s="433"/>
      <c r="AJA6" s="433"/>
      <c r="AJB6" s="433"/>
      <c r="AJC6" s="433"/>
      <c r="AJD6" s="433"/>
      <c r="AJE6" s="433"/>
      <c r="AJF6" s="433"/>
      <c r="AJG6" s="433"/>
      <c r="AJH6" s="433"/>
      <c r="AJI6" s="433"/>
      <c r="AJJ6" s="433"/>
      <c r="AJK6" s="433"/>
      <c r="AJL6" s="433"/>
      <c r="AJM6" s="433"/>
      <c r="AJN6" s="433"/>
      <c r="AJO6" s="433"/>
      <c r="AJP6" s="433"/>
      <c r="AJQ6" s="433"/>
      <c r="AJR6" s="433"/>
      <c r="AJS6" s="433"/>
      <c r="AJT6" s="433"/>
      <c r="AJU6" s="433"/>
      <c r="AJV6" s="433"/>
      <c r="AJW6" s="433"/>
      <c r="AJX6" s="433"/>
      <c r="AJY6" s="433"/>
      <c r="AJZ6" s="433"/>
      <c r="AKA6" s="433"/>
      <c r="AKB6" s="433"/>
      <c r="AKC6" s="433"/>
      <c r="AKD6" s="433"/>
      <c r="AKE6" s="433"/>
      <c r="AKF6" s="433"/>
      <c r="AKG6" s="433"/>
      <c r="AKH6" s="433"/>
      <c r="AKI6" s="433"/>
      <c r="AKJ6" s="433"/>
      <c r="AKK6" s="433"/>
      <c r="AKL6" s="433"/>
      <c r="AKM6" s="433"/>
      <c r="AKN6" s="433"/>
      <c r="AKO6" s="433"/>
      <c r="AKP6" s="433"/>
      <c r="AKQ6" s="433"/>
      <c r="AKR6" s="433"/>
      <c r="AKS6" s="433"/>
      <c r="AKT6" s="433"/>
      <c r="AKU6" s="433"/>
      <c r="AKV6" s="433"/>
      <c r="AKW6" s="433"/>
      <c r="AKX6" s="433"/>
      <c r="AKY6" s="433"/>
      <c r="AKZ6" s="433"/>
      <c r="ALA6" s="433"/>
      <c r="ALB6" s="433"/>
      <c r="ALC6" s="433"/>
      <c r="ALD6" s="433"/>
      <c r="ALE6" s="433"/>
      <c r="ALF6" s="433"/>
      <c r="ALG6" s="433"/>
      <c r="ALH6" s="433"/>
      <c r="ALI6" s="433"/>
      <c r="ALJ6" s="433"/>
      <c r="ALK6" s="433"/>
      <c r="ALL6" s="433"/>
      <c r="ALM6" s="433"/>
      <c r="ALN6" s="433"/>
      <c r="ALO6" s="433"/>
      <c r="ALP6" s="433"/>
      <c r="ALQ6" s="433"/>
      <c r="ALR6" s="433"/>
      <c r="ALS6" s="433"/>
      <c r="ALT6" s="433"/>
      <c r="ALU6" s="433"/>
      <c r="ALV6" s="433"/>
      <c r="ALW6" s="433"/>
      <c r="ALX6" s="433"/>
      <c r="ALY6" s="433"/>
      <c r="ALZ6" s="433"/>
      <c r="AMA6" s="433"/>
      <c r="AMB6" s="433"/>
      <c r="AMC6" s="433"/>
      <c r="AMD6" s="433"/>
      <c r="AME6" s="433"/>
      <c r="AMF6" s="433"/>
      <c r="AMG6" s="433"/>
      <c r="AMH6" s="433"/>
      <c r="AMI6" s="433"/>
      <c r="AMJ6" s="433"/>
      <c r="AMK6" s="433"/>
      <c r="AML6" s="433"/>
      <c r="AMM6" s="433"/>
      <c r="AMN6" s="433"/>
      <c r="AMO6" s="433"/>
      <c r="AMP6" s="433"/>
      <c r="AMQ6" s="433"/>
      <c r="AMR6" s="433"/>
      <c r="AMS6" s="433"/>
      <c r="AMT6" s="433"/>
      <c r="AMU6" s="433"/>
      <c r="AMV6" s="433"/>
      <c r="AMW6" s="433"/>
      <c r="AMX6" s="433"/>
      <c r="AMY6" s="433"/>
      <c r="AMZ6" s="433"/>
      <c r="ANA6" s="433"/>
      <c r="ANB6" s="433"/>
      <c r="ANC6" s="433"/>
      <c r="AND6" s="433"/>
      <c r="ANE6" s="433"/>
      <c r="ANF6" s="433"/>
      <c r="ANG6" s="433"/>
      <c r="ANH6" s="433"/>
      <c r="ANI6" s="433"/>
      <c r="ANJ6" s="433"/>
      <c r="ANK6" s="433"/>
      <c r="ANL6" s="433"/>
      <c r="ANM6" s="433"/>
      <c r="ANN6" s="433"/>
      <c r="ANO6" s="433"/>
      <c r="ANP6" s="433"/>
      <c r="ANQ6" s="433"/>
      <c r="ANR6" s="433"/>
      <c r="ANS6" s="433"/>
      <c r="ANT6" s="433"/>
      <c r="ANU6" s="433"/>
      <c r="ANV6" s="433"/>
      <c r="ANW6" s="433"/>
      <c r="ANX6" s="433"/>
      <c r="ANY6" s="433"/>
      <c r="ANZ6" s="433"/>
      <c r="AOA6" s="433"/>
      <c r="AOB6" s="433"/>
      <c r="AOC6" s="433"/>
      <c r="AOD6" s="433"/>
      <c r="AOE6" s="433"/>
      <c r="AOF6" s="433"/>
      <c r="AOG6" s="433"/>
      <c r="AOH6" s="433"/>
      <c r="AOI6" s="433"/>
      <c r="AOJ6" s="433"/>
      <c r="AOK6" s="433"/>
      <c r="AOL6" s="433"/>
      <c r="AOM6" s="433"/>
      <c r="AON6" s="433"/>
      <c r="AOO6" s="433"/>
      <c r="AOP6" s="433"/>
      <c r="AOQ6" s="433"/>
      <c r="AOR6" s="433"/>
      <c r="AOS6" s="433"/>
      <c r="AOT6" s="433"/>
      <c r="AOU6" s="433"/>
      <c r="AOV6" s="433"/>
      <c r="AOW6" s="433"/>
      <c r="AOX6" s="433"/>
      <c r="AOY6" s="433"/>
      <c r="AOZ6" s="433"/>
      <c r="APA6" s="433"/>
      <c r="APB6" s="433"/>
      <c r="APC6" s="433"/>
      <c r="APD6" s="433"/>
      <c r="APE6" s="433"/>
      <c r="APF6" s="433"/>
      <c r="APG6" s="433"/>
      <c r="APH6" s="433"/>
      <c r="API6" s="433"/>
      <c r="APJ6" s="433"/>
      <c r="APK6" s="433"/>
      <c r="APL6" s="433"/>
      <c r="APM6" s="433"/>
      <c r="APN6" s="433"/>
      <c r="APO6" s="433"/>
      <c r="APP6" s="433"/>
      <c r="APQ6" s="433"/>
      <c r="APR6" s="433"/>
      <c r="APS6" s="433"/>
      <c r="APT6" s="433"/>
      <c r="APU6" s="433"/>
      <c r="APV6" s="433"/>
      <c r="APW6" s="433"/>
      <c r="APX6" s="433"/>
      <c r="APY6" s="433"/>
      <c r="APZ6" s="433"/>
      <c r="AQA6" s="433"/>
      <c r="AQB6" s="433"/>
      <c r="AQC6" s="433"/>
      <c r="AQD6" s="433"/>
      <c r="AQE6" s="433"/>
      <c r="AQF6" s="433"/>
      <c r="AQG6" s="433"/>
      <c r="AQH6" s="433"/>
      <c r="AQI6" s="433"/>
      <c r="AQJ6" s="433"/>
      <c r="AQK6" s="433"/>
      <c r="AQL6" s="433"/>
      <c r="AQM6" s="433"/>
      <c r="AQN6" s="433"/>
      <c r="AQO6" s="433"/>
      <c r="AQP6" s="433"/>
      <c r="AQQ6" s="433"/>
      <c r="AQR6" s="433"/>
      <c r="AQS6" s="433"/>
      <c r="AQT6" s="433"/>
      <c r="AQU6" s="433"/>
      <c r="AQV6" s="433"/>
      <c r="AQW6" s="433"/>
      <c r="AQX6" s="433"/>
      <c r="AQY6" s="433"/>
      <c r="AQZ6" s="433"/>
      <c r="ARA6" s="433"/>
      <c r="ARB6" s="433"/>
      <c r="ARC6" s="433"/>
      <c r="ARD6" s="433"/>
      <c r="ARE6" s="433"/>
      <c r="ARF6" s="433"/>
      <c r="ARG6" s="433"/>
      <c r="ARH6" s="433"/>
      <c r="ARI6" s="433"/>
      <c r="ARJ6" s="433"/>
      <c r="ARK6" s="433"/>
      <c r="ARL6" s="433"/>
      <c r="ARM6" s="433"/>
      <c r="ARN6" s="433"/>
      <c r="ARO6" s="433"/>
      <c r="ARP6" s="433"/>
      <c r="ARQ6" s="433"/>
      <c r="ARR6" s="433"/>
      <c r="ARS6" s="433"/>
      <c r="ART6" s="433"/>
      <c r="ARU6" s="433"/>
      <c r="ARV6" s="433"/>
      <c r="ARW6" s="433"/>
      <c r="ARX6" s="433"/>
      <c r="ARY6" s="433"/>
      <c r="ARZ6" s="433"/>
      <c r="ASA6" s="433"/>
      <c r="ASB6" s="433"/>
      <c r="ASC6" s="433"/>
      <c r="ASD6" s="433"/>
      <c r="ASE6" s="433"/>
      <c r="ASF6" s="433"/>
      <c r="ASG6" s="433"/>
      <c r="ASH6" s="433"/>
      <c r="ASI6" s="433"/>
      <c r="ASJ6" s="433"/>
      <c r="ASK6" s="433"/>
      <c r="ASL6" s="433"/>
      <c r="ASM6" s="433"/>
      <c r="ASN6" s="433"/>
      <c r="ASO6" s="433"/>
      <c r="ASP6" s="433"/>
      <c r="ASQ6" s="433"/>
      <c r="ASR6" s="433"/>
      <c r="ASS6" s="433"/>
      <c r="AST6" s="433"/>
      <c r="ASU6" s="433"/>
      <c r="ASV6" s="433"/>
      <c r="ASW6" s="433"/>
      <c r="ASX6" s="433"/>
      <c r="ASY6" s="433"/>
      <c r="ASZ6" s="433"/>
      <c r="ATA6" s="433"/>
      <c r="ATB6" s="433"/>
      <c r="ATC6" s="433"/>
      <c r="ATD6" s="433"/>
      <c r="ATE6" s="433"/>
      <c r="ATF6" s="433"/>
      <c r="ATG6" s="433"/>
      <c r="ATH6" s="433"/>
      <c r="ATI6" s="433"/>
      <c r="ATJ6" s="433"/>
      <c r="ATK6" s="433"/>
      <c r="ATL6" s="433"/>
      <c r="ATM6" s="433"/>
      <c r="ATN6" s="433"/>
      <c r="ATO6" s="433"/>
      <c r="ATP6" s="433"/>
      <c r="ATQ6" s="433"/>
      <c r="ATR6" s="433"/>
      <c r="ATS6" s="433"/>
      <c r="ATT6" s="433"/>
      <c r="ATU6" s="433"/>
      <c r="ATV6" s="433"/>
      <c r="ATW6" s="433"/>
      <c r="ATX6" s="433"/>
      <c r="ATY6" s="433"/>
      <c r="ATZ6" s="433"/>
      <c r="AUA6" s="433"/>
      <c r="AUB6" s="433"/>
      <c r="AUC6" s="433"/>
      <c r="AUD6" s="433"/>
      <c r="AUE6" s="433"/>
      <c r="AUF6" s="433"/>
      <c r="AUG6" s="433"/>
      <c r="AUH6" s="433"/>
      <c r="AUI6" s="433"/>
      <c r="AUJ6" s="433"/>
      <c r="AUK6" s="433"/>
      <c r="AUL6" s="433"/>
      <c r="AUM6" s="433"/>
      <c r="AUN6" s="433"/>
      <c r="AUO6" s="433"/>
      <c r="AUP6" s="433"/>
      <c r="AUQ6" s="433"/>
      <c r="AUR6" s="433"/>
      <c r="AUS6" s="433"/>
      <c r="AUT6" s="433"/>
      <c r="AUU6" s="433"/>
      <c r="AUV6" s="433"/>
      <c r="AUW6" s="433"/>
      <c r="AUX6" s="433"/>
      <c r="AUY6" s="433"/>
      <c r="AUZ6" s="433"/>
      <c r="AVA6" s="433"/>
      <c r="AVB6" s="433"/>
      <c r="AVC6" s="433"/>
      <c r="AVD6" s="433"/>
      <c r="AVE6" s="433"/>
      <c r="AVF6" s="433"/>
      <c r="AVG6" s="433"/>
      <c r="AVH6" s="433"/>
      <c r="AVI6" s="433"/>
      <c r="AVJ6" s="433"/>
      <c r="AVK6" s="433"/>
      <c r="AVL6" s="433"/>
      <c r="AVM6" s="433"/>
      <c r="AVN6" s="433"/>
      <c r="AVO6" s="433"/>
      <c r="AVP6" s="433"/>
      <c r="AVQ6" s="433"/>
      <c r="AVR6" s="433"/>
      <c r="AVS6" s="433"/>
      <c r="AVT6" s="433"/>
      <c r="AVU6" s="433"/>
      <c r="AVV6" s="433"/>
      <c r="AVW6" s="433"/>
      <c r="AVX6" s="433"/>
      <c r="AVY6" s="433"/>
      <c r="AVZ6" s="433"/>
      <c r="AWA6" s="433"/>
      <c r="AWB6" s="433"/>
      <c r="AWC6" s="433"/>
      <c r="AWD6" s="433"/>
      <c r="AWE6" s="433"/>
      <c r="AWF6" s="433"/>
      <c r="AWG6" s="433"/>
      <c r="AWH6" s="433"/>
      <c r="AWI6" s="433"/>
      <c r="AWJ6" s="433"/>
      <c r="AWK6" s="433"/>
      <c r="AWL6" s="433"/>
      <c r="AWM6" s="433"/>
      <c r="AWN6" s="433"/>
      <c r="AWO6" s="433"/>
      <c r="AWP6" s="433"/>
      <c r="AWQ6" s="433"/>
      <c r="AWR6" s="433"/>
      <c r="AWS6" s="433"/>
      <c r="AWT6" s="433"/>
      <c r="AWU6" s="433"/>
      <c r="AWV6" s="433"/>
      <c r="AWW6" s="433"/>
      <c r="AWX6" s="433"/>
      <c r="AWY6" s="433"/>
      <c r="AWZ6" s="433"/>
      <c r="AXA6" s="433"/>
      <c r="AXB6" s="433"/>
      <c r="AXC6" s="433"/>
      <c r="AXD6" s="433"/>
      <c r="AXE6" s="433"/>
      <c r="AXF6" s="433"/>
      <c r="AXG6" s="433"/>
      <c r="AXH6" s="433"/>
      <c r="AXI6" s="433"/>
      <c r="AXJ6" s="433"/>
      <c r="AXK6" s="433"/>
      <c r="AXL6" s="433"/>
      <c r="AXM6" s="433"/>
      <c r="AXN6" s="433"/>
      <c r="AXO6" s="433"/>
      <c r="AXP6" s="433"/>
      <c r="AXQ6" s="433"/>
      <c r="AXR6" s="433"/>
      <c r="AXS6" s="433"/>
      <c r="AXT6" s="433"/>
      <c r="AXU6" s="433"/>
      <c r="AXV6" s="433"/>
      <c r="AXW6" s="433"/>
      <c r="AXX6" s="433"/>
      <c r="AXY6" s="433"/>
      <c r="AXZ6" s="433"/>
      <c r="AYA6" s="433"/>
      <c r="AYB6" s="433"/>
      <c r="AYC6" s="433"/>
      <c r="AYD6" s="433"/>
      <c r="AYE6" s="433"/>
      <c r="AYF6" s="433"/>
      <c r="AYG6" s="433"/>
      <c r="AYH6" s="433"/>
      <c r="AYI6" s="433"/>
      <c r="AYJ6" s="433"/>
      <c r="AYK6" s="433"/>
      <c r="AYL6" s="433"/>
      <c r="AYM6" s="433"/>
      <c r="AYN6" s="433"/>
      <c r="AYO6" s="433"/>
      <c r="AYP6" s="433"/>
      <c r="AYQ6" s="433"/>
      <c r="AYR6" s="433"/>
      <c r="AYS6" s="433"/>
      <c r="AYT6" s="433"/>
      <c r="AYU6" s="433"/>
      <c r="AYV6" s="433"/>
      <c r="AYW6" s="433"/>
      <c r="AYX6" s="433"/>
      <c r="AYY6" s="433"/>
      <c r="AYZ6" s="433"/>
      <c r="AZA6" s="433"/>
      <c r="AZB6" s="433"/>
      <c r="AZC6" s="433"/>
      <c r="AZD6" s="433"/>
      <c r="AZE6" s="433"/>
      <c r="AZF6" s="433"/>
      <c r="AZG6" s="433"/>
      <c r="AZH6" s="433"/>
      <c r="AZI6" s="433"/>
      <c r="AZJ6" s="433"/>
      <c r="AZK6" s="433"/>
      <c r="AZL6" s="433"/>
      <c r="AZM6" s="433"/>
      <c r="AZN6" s="433"/>
      <c r="AZO6" s="433"/>
      <c r="AZP6" s="433"/>
      <c r="AZQ6" s="433"/>
      <c r="AZR6" s="433"/>
      <c r="AZS6" s="433"/>
      <c r="AZT6" s="433"/>
      <c r="AZU6" s="433"/>
      <c r="AZV6" s="433"/>
      <c r="AZW6" s="433"/>
      <c r="AZX6" s="433"/>
      <c r="AZY6" s="433"/>
      <c r="AZZ6" s="433"/>
      <c r="BAA6" s="433"/>
      <c r="BAB6" s="433"/>
      <c r="BAC6" s="433"/>
      <c r="BAD6" s="433"/>
      <c r="BAE6" s="433"/>
      <c r="BAF6" s="433"/>
      <c r="BAG6" s="433"/>
      <c r="BAH6" s="433"/>
      <c r="BAI6" s="433"/>
      <c r="BAJ6" s="433"/>
      <c r="BAK6" s="433"/>
      <c r="BAL6" s="433"/>
      <c r="BAM6" s="433"/>
      <c r="BAN6" s="433"/>
      <c r="BAO6" s="433"/>
      <c r="BAP6" s="433"/>
      <c r="BAQ6" s="433"/>
      <c r="BAR6" s="433"/>
      <c r="BAS6" s="433"/>
      <c r="BAT6" s="433"/>
      <c r="BAU6" s="433"/>
      <c r="BAV6" s="433"/>
      <c r="BAW6" s="433"/>
      <c r="BAX6" s="433"/>
      <c r="BAY6" s="433"/>
      <c r="BAZ6" s="433"/>
      <c r="BBA6" s="433"/>
      <c r="BBB6" s="433"/>
      <c r="BBC6" s="433"/>
      <c r="BBD6" s="433"/>
      <c r="BBE6" s="433"/>
      <c r="BBF6" s="433"/>
      <c r="BBG6" s="433"/>
      <c r="BBH6" s="433"/>
      <c r="BBI6" s="433"/>
      <c r="BBJ6" s="433"/>
      <c r="BBK6" s="433"/>
      <c r="BBL6" s="433"/>
      <c r="BBM6" s="433"/>
      <c r="BBN6" s="433"/>
      <c r="BBO6" s="433"/>
      <c r="BBP6" s="433"/>
      <c r="BBQ6" s="433"/>
      <c r="BBR6" s="433"/>
      <c r="BBS6" s="433"/>
      <c r="BBT6" s="433"/>
      <c r="BBU6" s="433"/>
      <c r="BBV6" s="433"/>
      <c r="BBW6" s="433"/>
      <c r="BBX6" s="433"/>
      <c r="BBY6" s="433"/>
      <c r="BBZ6" s="433"/>
      <c r="BCA6" s="433"/>
      <c r="BCB6" s="433"/>
      <c r="BCC6" s="433"/>
      <c r="BCD6" s="433"/>
      <c r="BCE6" s="433"/>
      <c r="BCF6" s="433"/>
      <c r="BCG6" s="433"/>
      <c r="BCH6" s="433"/>
      <c r="BCI6" s="433"/>
      <c r="BCJ6" s="433"/>
      <c r="BCK6" s="433"/>
      <c r="BCL6" s="433"/>
      <c r="BCM6" s="433"/>
      <c r="BCN6" s="433"/>
      <c r="BCO6" s="433"/>
      <c r="BCP6" s="433"/>
      <c r="BCQ6" s="433"/>
      <c r="BCR6" s="433"/>
      <c r="BCS6" s="433"/>
      <c r="BCT6" s="433"/>
      <c r="BCU6" s="433"/>
      <c r="BCV6" s="433"/>
      <c r="BCW6" s="433"/>
      <c r="BCX6" s="433"/>
      <c r="BCY6" s="433"/>
      <c r="BCZ6" s="433"/>
      <c r="BDA6" s="433"/>
      <c r="BDB6" s="433"/>
      <c r="BDC6" s="433"/>
      <c r="BDD6" s="433"/>
      <c r="BDE6" s="433"/>
      <c r="BDF6" s="433"/>
      <c r="BDG6" s="433"/>
      <c r="BDH6" s="433"/>
      <c r="BDI6" s="433"/>
      <c r="BDJ6" s="433"/>
      <c r="BDK6" s="433"/>
      <c r="BDL6" s="433"/>
      <c r="BDM6" s="433"/>
      <c r="BDN6" s="433"/>
      <c r="BDO6" s="433"/>
      <c r="BDP6" s="433"/>
      <c r="BDQ6" s="433"/>
      <c r="BDR6" s="433"/>
      <c r="BDS6" s="433"/>
      <c r="BDT6" s="433"/>
      <c r="BDU6" s="433"/>
      <c r="BDV6" s="433"/>
      <c r="BDW6" s="433"/>
      <c r="BDX6" s="433"/>
      <c r="BDY6" s="433"/>
      <c r="BDZ6" s="433"/>
      <c r="BEA6" s="433"/>
      <c r="BEB6" s="433"/>
      <c r="BEC6" s="433"/>
      <c r="BED6" s="433"/>
      <c r="BEE6" s="433"/>
      <c r="BEF6" s="433"/>
      <c r="BEG6" s="433"/>
      <c r="BEH6" s="433"/>
      <c r="BEI6" s="433"/>
      <c r="BEJ6" s="433"/>
      <c r="BEK6" s="433"/>
      <c r="BEL6" s="433"/>
      <c r="BEM6" s="433"/>
      <c r="BEN6" s="433"/>
      <c r="BEO6" s="433"/>
      <c r="BEP6" s="433"/>
      <c r="BEQ6" s="433"/>
      <c r="BER6" s="433"/>
      <c r="BES6" s="433"/>
      <c r="BET6" s="433"/>
      <c r="BEU6" s="433"/>
      <c r="BEV6" s="433"/>
      <c r="BEW6" s="433"/>
      <c r="BEX6" s="433"/>
      <c r="BEY6" s="433"/>
      <c r="BEZ6" s="433"/>
      <c r="BFA6" s="433"/>
      <c r="BFB6" s="433"/>
      <c r="BFC6" s="433"/>
      <c r="BFD6" s="433"/>
      <c r="BFE6" s="433"/>
      <c r="BFF6" s="433"/>
      <c r="BFG6" s="433"/>
      <c r="BFH6" s="433"/>
      <c r="BFI6" s="433"/>
      <c r="BFJ6" s="433"/>
      <c r="BFK6" s="433"/>
      <c r="BFL6" s="433"/>
      <c r="BFM6" s="433"/>
      <c r="BFN6" s="433"/>
      <c r="BFO6" s="433"/>
      <c r="BFP6" s="433"/>
      <c r="BFQ6" s="433"/>
      <c r="BFR6" s="433"/>
      <c r="BFS6" s="433"/>
      <c r="BFT6" s="433"/>
      <c r="BFU6" s="433"/>
      <c r="BFV6" s="433"/>
      <c r="BFW6" s="433"/>
      <c r="BFX6" s="433"/>
      <c r="BFY6" s="433"/>
      <c r="BFZ6" s="433"/>
      <c r="BGA6" s="433"/>
      <c r="BGB6" s="433"/>
      <c r="BGC6" s="433"/>
      <c r="BGD6" s="433"/>
      <c r="BGE6" s="433"/>
      <c r="BGF6" s="433"/>
      <c r="BGG6" s="433"/>
      <c r="BGH6" s="433"/>
      <c r="BGI6" s="433"/>
      <c r="BGJ6" s="433"/>
      <c r="BGK6" s="433"/>
      <c r="BGL6" s="433"/>
      <c r="BGM6" s="433"/>
      <c r="BGN6" s="433"/>
      <c r="BGO6" s="433"/>
      <c r="BGP6" s="433"/>
      <c r="BGQ6" s="433"/>
      <c r="BGR6" s="433"/>
      <c r="BGS6" s="433"/>
      <c r="BGT6" s="433"/>
      <c r="BGU6" s="433"/>
      <c r="BGV6" s="433"/>
      <c r="BGW6" s="433"/>
      <c r="BGX6" s="433"/>
      <c r="BGY6" s="433"/>
      <c r="BGZ6" s="433"/>
      <c r="BHA6" s="433"/>
      <c r="BHB6" s="433"/>
      <c r="BHC6" s="433"/>
      <c r="BHD6" s="433"/>
      <c r="BHE6" s="433"/>
      <c r="BHF6" s="433"/>
      <c r="BHG6" s="433"/>
      <c r="BHH6" s="433"/>
      <c r="BHI6" s="433"/>
      <c r="BHJ6" s="433"/>
      <c r="BHK6" s="433"/>
      <c r="BHL6" s="433"/>
      <c r="BHM6" s="433"/>
      <c r="BHN6" s="433"/>
      <c r="BHO6" s="433"/>
      <c r="BHP6" s="433"/>
      <c r="BHQ6" s="433"/>
      <c r="BHR6" s="433"/>
      <c r="BHS6" s="433"/>
      <c r="BHT6" s="433"/>
      <c r="BHU6" s="433"/>
      <c r="BHV6" s="433"/>
      <c r="BHW6" s="433"/>
      <c r="BHX6" s="433"/>
      <c r="BHY6" s="433"/>
      <c r="BHZ6" s="433"/>
      <c r="BIA6" s="433"/>
      <c r="BIB6" s="433"/>
      <c r="BIC6" s="433"/>
      <c r="BID6" s="433"/>
      <c r="BIE6" s="433"/>
      <c r="BIF6" s="433"/>
      <c r="BIG6" s="433"/>
      <c r="BIH6" s="433"/>
      <c r="BII6" s="433"/>
      <c r="BIJ6" s="433"/>
      <c r="BIK6" s="433"/>
      <c r="BIL6" s="433"/>
      <c r="BIM6" s="433"/>
      <c r="BIN6" s="433"/>
      <c r="BIO6" s="433"/>
      <c r="BIP6" s="433"/>
      <c r="BIQ6" s="433"/>
      <c r="BIR6" s="433"/>
      <c r="BIS6" s="433"/>
      <c r="BIT6" s="433"/>
      <c r="BIU6" s="433"/>
      <c r="BIV6" s="433"/>
      <c r="BIW6" s="433"/>
      <c r="BIX6" s="433"/>
      <c r="BIY6" s="433"/>
      <c r="BIZ6" s="433"/>
      <c r="BJA6" s="433"/>
      <c r="BJB6" s="433"/>
      <c r="BJC6" s="433"/>
      <c r="BJD6" s="433"/>
      <c r="BJE6" s="433"/>
      <c r="BJF6" s="433"/>
      <c r="BJG6" s="433"/>
      <c r="BJH6" s="433"/>
      <c r="BJI6" s="433"/>
      <c r="BJJ6" s="433"/>
      <c r="BJK6" s="433"/>
      <c r="BJL6" s="433"/>
      <c r="BJM6" s="433"/>
      <c r="BJN6" s="433"/>
      <c r="BJO6" s="433"/>
      <c r="BJP6" s="433"/>
      <c r="BJQ6" s="433"/>
      <c r="BJR6" s="433"/>
      <c r="BJS6" s="433"/>
      <c r="BJT6" s="433"/>
      <c r="BJU6" s="433"/>
      <c r="BJV6" s="433"/>
      <c r="BJW6" s="433"/>
      <c r="BJX6" s="433"/>
      <c r="BJY6" s="433"/>
      <c r="BJZ6" s="433"/>
      <c r="BKA6" s="433"/>
      <c r="BKB6" s="433"/>
      <c r="BKC6" s="433"/>
      <c r="BKD6" s="433"/>
      <c r="BKE6" s="433"/>
      <c r="BKF6" s="433"/>
      <c r="BKG6" s="433"/>
      <c r="BKH6" s="433"/>
      <c r="BKI6" s="433"/>
      <c r="BKJ6" s="433"/>
      <c r="BKK6" s="433"/>
      <c r="BKL6" s="433"/>
      <c r="BKM6" s="433"/>
      <c r="BKN6" s="433"/>
      <c r="BKO6" s="433"/>
      <c r="BKP6" s="433"/>
      <c r="BKQ6" s="433"/>
      <c r="BKR6" s="433"/>
      <c r="BKS6" s="433"/>
      <c r="BKT6" s="433"/>
      <c r="BKU6" s="433"/>
      <c r="BKV6" s="433"/>
      <c r="BKW6" s="433"/>
      <c r="BKX6" s="433"/>
      <c r="BKY6" s="433"/>
      <c r="BKZ6" s="433"/>
      <c r="BLA6" s="433"/>
      <c r="BLB6" s="433"/>
      <c r="BLC6" s="433"/>
      <c r="BLD6" s="433"/>
      <c r="BLE6" s="433"/>
      <c r="BLF6" s="433"/>
      <c r="BLG6" s="433"/>
      <c r="BLH6" s="433"/>
      <c r="BLI6" s="433"/>
      <c r="BLJ6" s="433"/>
      <c r="BLK6" s="433"/>
      <c r="BLL6" s="433"/>
      <c r="BLM6" s="433"/>
      <c r="BLN6" s="433"/>
      <c r="BLO6" s="433"/>
      <c r="BLP6" s="433"/>
      <c r="BLQ6" s="433"/>
      <c r="BLR6" s="433"/>
      <c r="BLS6" s="433"/>
      <c r="BLT6" s="433"/>
      <c r="BLU6" s="433"/>
      <c r="BLV6" s="433"/>
      <c r="BLW6" s="433"/>
      <c r="BLX6" s="433"/>
      <c r="BLY6" s="433"/>
      <c r="BLZ6" s="433"/>
      <c r="BMA6" s="433"/>
      <c r="BMB6" s="433"/>
      <c r="BMC6" s="433"/>
      <c r="BMD6" s="433"/>
      <c r="BME6" s="433"/>
      <c r="BMF6" s="433"/>
      <c r="BMG6" s="433"/>
      <c r="BMH6" s="433"/>
      <c r="BMI6" s="433"/>
      <c r="BMJ6" s="433"/>
      <c r="BMK6" s="433"/>
      <c r="BML6" s="433"/>
      <c r="BMM6" s="433"/>
      <c r="BMN6" s="433"/>
      <c r="BMO6" s="433"/>
      <c r="BMP6" s="433"/>
      <c r="BMQ6" s="433"/>
      <c r="BMR6" s="433"/>
      <c r="BMS6" s="433"/>
      <c r="BMT6" s="433"/>
      <c r="BMU6" s="433"/>
      <c r="BMV6" s="433"/>
      <c r="BMW6" s="433"/>
      <c r="BMX6" s="433"/>
      <c r="BMY6" s="433"/>
      <c r="BMZ6" s="433"/>
      <c r="BNA6" s="433"/>
      <c r="BNB6" s="433"/>
      <c r="BNC6" s="433"/>
      <c r="BND6" s="433"/>
      <c r="BNE6" s="433"/>
      <c r="BNF6" s="433"/>
      <c r="BNG6" s="433"/>
      <c r="BNH6" s="433"/>
      <c r="BNI6" s="433"/>
      <c r="BNJ6" s="433"/>
      <c r="BNK6" s="433"/>
      <c r="BNL6" s="433"/>
      <c r="BNM6" s="433"/>
      <c r="BNN6" s="433"/>
      <c r="BNO6" s="433"/>
      <c r="BNP6" s="433"/>
      <c r="BNQ6" s="433"/>
      <c r="BNR6" s="433"/>
      <c r="BNS6" s="433"/>
      <c r="BNT6" s="433"/>
      <c r="BNU6" s="433"/>
      <c r="BNV6" s="433"/>
      <c r="BNW6" s="433"/>
      <c r="BNX6" s="433"/>
      <c r="BNY6" s="433"/>
      <c r="BNZ6" s="433"/>
      <c r="BOA6" s="433"/>
      <c r="BOB6" s="433"/>
      <c r="BOC6" s="433"/>
      <c r="BOD6" s="433"/>
      <c r="BOE6" s="433"/>
      <c r="BOF6" s="433"/>
      <c r="BOG6" s="433"/>
      <c r="BOH6" s="433"/>
      <c r="BOI6" s="433"/>
      <c r="BOJ6" s="433"/>
      <c r="BOK6" s="433"/>
      <c r="BOL6" s="433"/>
      <c r="BOM6" s="433"/>
      <c r="BON6" s="433"/>
      <c r="BOO6" s="433"/>
      <c r="BOP6" s="433"/>
      <c r="BOQ6" s="433"/>
      <c r="BOR6" s="433"/>
      <c r="BOS6" s="433"/>
      <c r="BOT6" s="433"/>
      <c r="BOU6" s="433"/>
      <c r="BOV6" s="433"/>
      <c r="BOW6" s="433"/>
      <c r="BOX6" s="433"/>
      <c r="BOY6" s="433"/>
      <c r="BOZ6" s="433"/>
      <c r="BPA6" s="433"/>
      <c r="BPB6" s="433"/>
      <c r="BPC6" s="433"/>
      <c r="BPD6" s="433"/>
      <c r="BPE6" s="433"/>
      <c r="BPF6" s="433"/>
      <c r="BPG6" s="433"/>
      <c r="BPH6" s="433"/>
      <c r="BPI6" s="433"/>
      <c r="BPJ6" s="433"/>
      <c r="BPK6" s="433"/>
      <c r="BPL6" s="433"/>
      <c r="BPM6" s="433"/>
      <c r="BPN6" s="433"/>
      <c r="BPO6" s="433"/>
      <c r="BPP6" s="433"/>
      <c r="BPQ6" s="433"/>
      <c r="BPR6" s="433"/>
      <c r="BPS6" s="433"/>
      <c r="BPT6" s="433"/>
      <c r="BPU6" s="433"/>
      <c r="BPV6" s="433"/>
      <c r="BPW6" s="433"/>
      <c r="BPX6" s="433"/>
      <c r="BPY6" s="433"/>
      <c r="BPZ6" s="433"/>
      <c r="BQA6" s="433"/>
      <c r="BQB6" s="433"/>
      <c r="BQC6" s="433"/>
      <c r="BQD6" s="433"/>
      <c r="BQE6" s="433"/>
      <c r="BQF6" s="433"/>
      <c r="BQG6" s="433"/>
      <c r="BQH6" s="433"/>
      <c r="BQI6" s="433"/>
      <c r="BQJ6" s="433"/>
      <c r="BQK6" s="433"/>
      <c r="BQL6" s="433"/>
      <c r="BQM6" s="433"/>
      <c r="BQN6" s="433"/>
      <c r="BQO6" s="433"/>
      <c r="BQP6" s="433"/>
      <c r="BQQ6" s="433"/>
      <c r="BQR6" s="433"/>
      <c r="BQS6" s="433"/>
      <c r="BQT6" s="433"/>
      <c r="BQU6" s="433"/>
      <c r="BQV6" s="433"/>
      <c r="BQW6" s="433"/>
      <c r="BQX6" s="433"/>
      <c r="BQY6" s="433"/>
      <c r="BQZ6" s="433"/>
      <c r="BRA6" s="433"/>
      <c r="BRB6" s="433"/>
      <c r="BRC6" s="433"/>
      <c r="BRD6" s="433"/>
      <c r="BRE6" s="433"/>
      <c r="BRF6" s="433"/>
      <c r="BRG6" s="433"/>
      <c r="BRH6" s="433"/>
      <c r="BRI6" s="433"/>
      <c r="BRJ6" s="433"/>
      <c r="BRK6" s="433"/>
      <c r="BRL6" s="433"/>
      <c r="BRM6" s="433"/>
      <c r="BRN6" s="433"/>
      <c r="BRO6" s="433"/>
      <c r="BRP6" s="433"/>
      <c r="BRQ6" s="433"/>
      <c r="BRR6" s="433"/>
      <c r="BRS6" s="433"/>
      <c r="BRT6" s="433"/>
      <c r="BRU6" s="433"/>
      <c r="BRV6" s="433"/>
      <c r="BRW6" s="433"/>
      <c r="BRX6" s="433"/>
      <c r="BRY6" s="433"/>
      <c r="BRZ6" s="433"/>
      <c r="BSA6" s="433"/>
      <c r="BSB6" s="433"/>
      <c r="BSC6" s="433"/>
      <c r="BSD6" s="433"/>
      <c r="BSE6" s="433"/>
      <c r="BSF6" s="433"/>
      <c r="BSG6" s="433"/>
      <c r="BSH6" s="433"/>
      <c r="BSI6" s="433"/>
      <c r="BSJ6" s="433"/>
      <c r="BSK6" s="433"/>
      <c r="BSL6" s="433"/>
      <c r="BSM6" s="433"/>
      <c r="BSN6" s="433"/>
      <c r="BSO6" s="433"/>
      <c r="BSP6" s="433"/>
      <c r="BSQ6" s="433"/>
      <c r="BSR6" s="433"/>
      <c r="BSS6" s="433"/>
      <c r="BST6" s="433"/>
      <c r="BSU6" s="433"/>
      <c r="BSV6" s="433"/>
      <c r="BSW6" s="433"/>
      <c r="BSX6" s="433"/>
      <c r="BSY6" s="433"/>
      <c r="BSZ6" s="433"/>
      <c r="BTA6" s="433"/>
      <c r="BTB6" s="433"/>
      <c r="BTC6" s="433"/>
      <c r="BTD6" s="433"/>
      <c r="BTE6" s="433"/>
      <c r="BTF6" s="433"/>
      <c r="BTG6" s="433"/>
      <c r="BTH6" s="433"/>
      <c r="BTI6" s="433"/>
      <c r="BTJ6" s="433"/>
      <c r="BTK6" s="433"/>
      <c r="BTL6" s="433"/>
      <c r="BTM6" s="433"/>
      <c r="BTN6" s="433"/>
      <c r="BTO6" s="433"/>
      <c r="BTP6" s="433"/>
      <c r="BTQ6" s="433"/>
      <c r="BTR6" s="433"/>
      <c r="BTS6" s="433"/>
      <c r="BTT6" s="433"/>
      <c r="BTU6" s="433"/>
      <c r="BTV6" s="433"/>
      <c r="BTW6" s="433"/>
      <c r="BTX6" s="433"/>
      <c r="BTY6" s="433"/>
      <c r="BTZ6" s="433"/>
      <c r="BUA6" s="433"/>
      <c r="BUB6" s="433"/>
      <c r="BUC6" s="433"/>
      <c r="BUD6" s="433"/>
      <c r="BUE6" s="433"/>
      <c r="BUF6" s="433"/>
      <c r="BUG6" s="433"/>
      <c r="BUH6" s="433"/>
      <c r="BUI6" s="433"/>
      <c r="BUJ6" s="433"/>
      <c r="BUK6" s="433"/>
      <c r="BUL6" s="433"/>
      <c r="BUM6" s="433"/>
      <c r="BUN6" s="433"/>
      <c r="BUO6" s="433"/>
      <c r="BUP6" s="433"/>
      <c r="BUQ6" s="433"/>
      <c r="BUR6" s="433"/>
      <c r="BUS6" s="433"/>
      <c r="BUT6" s="433"/>
      <c r="BUU6" s="433"/>
      <c r="BUV6" s="433"/>
      <c r="BUW6" s="433"/>
      <c r="BUX6" s="433"/>
      <c r="BUY6" s="433"/>
      <c r="BUZ6" s="433"/>
      <c r="BVA6" s="433"/>
      <c r="BVB6" s="433"/>
      <c r="BVC6" s="433"/>
      <c r="BVD6" s="433"/>
      <c r="BVE6" s="433"/>
      <c r="BVF6" s="433"/>
      <c r="BVG6" s="433"/>
      <c r="BVH6" s="433"/>
      <c r="BVI6" s="433"/>
      <c r="BVJ6" s="433"/>
      <c r="BVK6" s="433"/>
      <c r="BVL6" s="433"/>
      <c r="BVM6" s="433"/>
      <c r="BVN6" s="433"/>
      <c r="BVO6" s="433"/>
      <c r="BVP6" s="433"/>
      <c r="BVQ6" s="433"/>
      <c r="BVR6" s="433"/>
      <c r="BVS6" s="433"/>
      <c r="BVT6" s="433"/>
      <c r="BVU6" s="433"/>
      <c r="BVV6" s="433"/>
      <c r="BVW6" s="433"/>
      <c r="BVX6" s="433"/>
      <c r="BVY6" s="433"/>
      <c r="BVZ6" s="433"/>
      <c r="BWA6" s="433"/>
      <c r="BWB6" s="433"/>
      <c r="BWC6" s="433"/>
      <c r="BWD6" s="433"/>
      <c r="BWE6" s="433"/>
      <c r="BWF6" s="433"/>
      <c r="BWG6" s="433"/>
      <c r="BWH6" s="433"/>
      <c r="BWI6" s="433"/>
      <c r="BWJ6" s="433"/>
      <c r="BWK6" s="433"/>
      <c r="BWL6" s="433"/>
      <c r="BWM6" s="433"/>
      <c r="BWN6" s="433"/>
      <c r="BWO6" s="433"/>
      <c r="BWP6" s="433"/>
      <c r="BWQ6" s="433"/>
      <c r="BWR6" s="433"/>
      <c r="BWS6" s="433"/>
      <c r="BWT6" s="433"/>
      <c r="BWU6" s="433"/>
      <c r="BWV6" s="433"/>
      <c r="BWW6" s="433"/>
      <c r="BWX6" s="433"/>
      <c r="BWY6" s="433"/>
      <c r="BWZ6" s="433"/>
      <c r="BXA6" s="433"/>
      <c r="BXB6" s="433"/>
      <c r="BXC6" s="433"/>
      <c r="BXD6" s="433"/>
      <c r="BXE6" s="433"/>
      <c r="BXF6" s="433"/>
      <c r="BXG6" s="433"/>
      <c r="BXH6" s="433"/>
      <c r="BXI6" s="433"/>
      <c r="BXJ6" s="433"/>
      <c r="BXK6" s="433"/>
      <c r="BXL6" s="433"/>
      <c r="BXM6" s="433"/>
      <c r="BXN6" s="433"/>
      <c r="BXO6" s="433"/>
      <c r="BXP6" s="433"/>
      <c r="BXQ6" s="433"/>
      <c r="BXR6" s="433"/>
      <c r="BXS6" s="433"/>
      <c r="BXT6" s="433"/>
      <c r="BXU6" s="433"/>
      <c r="BXV6" s="433"/>
      <c r="BXW6" s="433"/>
      <c r="BXX6" s="433"/>
      <c r="BXY6" s="433"/>
      <c r="BXZ6" s="433"/>
      <c r="BYA6" s="433"/>
      <c r="BYB6" s="433"/>
      <c r="BYC6" s="433"/>
      <c r="BYD6" s="433"/>
      <c r="BYE6" s="433"/>
      <c r="BYF6" s="433"/>
      <c r="BYG6" s="433"/>
      <c r="BYH6" s="433"/>
      <c r="BYI6" s="433"/>
      <c r="BYJ6" s="433"/>
      <c r="BYK6" s="433"/>
      <c r="BYL6" s="433"/>
      <c r="BYM6" s="433"/>
      <c r="BYN6" s="433"/>
      <c r="BYO6" s="433"/>
      <c r="BYP6" s="433"/>
      <c r="BYQ6" s="433"/>
      <c r="BYR6" s="433"/>
      <c r="BYS6" s="433"/>
      <c r="BYT6" s="433"/>
      <c r="BYU6" s="433"/>
      <c r="BYV6" s="433"/>
      <c r="BYW6" s="433"/>
      <c r="BYX6" s="433"/>
      <c r="BYY6" s="433"/>
      <c r="BYZ6" s="433"/>
      <c r="BZA6" s="433"/>
      <c r="BZB6" s="433"/>
      <c r="BZC6" s="433"/>
      <c r="BZD6" s="433"/>
      <c r="BZE6" s="433"/>
      <c r="BZF6" s="433"/>
      <c r="BZG6" s="433"/>
      <c r="BZH6" s="433"/>
      <c r="BZI6" s="433"/>
      <c r="BZJ6" s="433"/>
      <c r="BZK6" s="433"/>
      <c r="BZL6" s="433"/>
      <c r="BZM6" s="433"/>
      <c r="BZN6" s="433"/>
      <c r="BZO6" s="433"/>
      <c r="BZP6" s="433"/>
      <c r="BZQ6" s="433"/>
      <c r="BZR6" s="433"/>
      <c r="BZS6" s="433"/>
      <c r="BZT6" s="433"/>
      <c r="BZU6" s="433"/>
      <c r="BZV6" s="433"/>
      <c r="BZW6" s="433"/>
      <c r="BZX6" s="433"/>
      <c r="BZY6" s="433"/>
      <c r="BZZ6" s="433"/>
      <c r="CAA6" s="433"/>
      <c r="CAB6" s="433"/>
      <c r="CAC6" s="433"/>
      <c r="CAD6" s="433"/>
      <c r="CAE6" s="433"/>
      <c r="CAF6" s="433"/>
      <c r="CAG6" s="433"/>
      <c r="CAH6" s="433"/>
      <c r="CAI6" s="433"/>
      <c r="CAJ6" s="433"/>
      <c r="CAK6" s="433"/>
      <c r="CAL6" s="433"/>
      <c r="CAM6" s="433"/>
      <c r="CAN6" s="433"/>
      <c r="CAO6" s="433"/>
      <c r="CAP6" s="433"/>
      <c r="CAQ6" s="433"/>
      <c r="CAR6" s="433"/>
      <c r="CAS6" s="433"/>
      <c r="CAT6" s="433"/>
      <c r="CAU6" s="433"/>
      <c r="CAV6" s="433"/>
      <c r="CAW6" s="433"/>
      <c r="CAX6" s="433"/>
      <c r="CAY6" s="433"/>
      <c r="CAZ6" s="433"/>
      <c r="CBA6" s="433"/>
      <c r="CBB6" s="433"/>
      <c r="CBC6" s="433"/>
      <c r="CBD6" s="433"/>
      <c r="CBE6" s="433"/>
      <c r="CBF6" s="433"/>
      <c r="CBG6" s="433"/>
      <c r="CBH6" s="433"/>
      <c r="CBI6" s="433"/>
      <c r="CBJ6" s="433"/>
      <c r="CBK6" s="433"/>
      <c r="CBL6" s="433"/>
      <c r="CBM6" s="433"/>
      <c r="CBN6" s="433"/>
      <c r="CBO6" s="433"/>
      <c r="CBP6" s="433"/>
      <c r="CBQ6" s="433"/>
      <c r="CBR6" s="433"/>
      <c r="CBS6" s="433"/>
      <c r="CBT6" s="433"/>
      <c r="CBU6" s="433"/>
      <c r="CBV6" s="433"/>
      <c r="CBW6" s="433"/>
      <c r="CBX6" s="433"/>
      <c r="CBY6" s="433"/>
      <c r="CBZ6" s="433"/>
      <c r="CCA6" s="433"/>
      <c r="CCB6" s="433"/>
      <c r="CCC6" s="433"/>
      <c r="CCD6" s="433"/>
      <c r="CCE6" s="433"/>
      <c r="CCF6" s="433"/>
      <c r="CCG6" s="433"/>
      <c r="CCH6" s="433"/>
      <c r="CCI6" s="433"/>
      <c r="CCJ6" s="433"/>
      <c r="CCK6" s="433"/>
      <c r="CCL6" s="433"/>
      <c r="CCM6" s="433"/>
      <c r="CCN6" s="433"/>
      <c r="CCO6" s="433"/>
      <c r="CCP6" s="433"/>
      <c r="CCQ6" s="433"/>
      <c r="CCR6" s="433"/>
      <c r="CCS6" s="433"/>
      <c r="CCT6" s="433"/>
      <c r="CCU6" s="433"/>
      <c r="CCV6" s="433"/>
      <c r="CCW6" s="433"/>
      <c r="CCX6" s="433"/>
      <c r="CCY6" s="433"/>
      <c r="CCZ6" s="433"/>
      <c r="CDA6" s="433"/>
      <c r="CDB6" s="433"/>
      <c r="CDC6" s="433"/>
      <c r="CDD6" s="433"/>
      <c r="CDE6" s="433"/>
      <c r="CDF6" s="433"/>
      <c r="CDG6" s="433"/>
      <c r="CDH6" s="433"/>
      <c r="CDI6" s="433"/>
      <c r="CDJ6" s="433"/>
      <c r="CDK6" s="433"/>
      <c r="CDL6" s="433"/>
      <c r="CDM6" s="433"/>
      <c r="CDN6" s="433"/>
      <c r="CDO6" s="433"/>
      <c r="CDP6" s="433"/>
      <c r="CDQ6" s="433"/>
      <c r="CDR6" s="433"/>
      <c r="CDS6" s="433"/>
      <c r="CDT6" s="433"/>
      <c r="CDU6" s="433"/>
      <c r="CDV6" s="433"/>
      <c r="CDW6" s="433"/>
      <c r="CDX6" s="433"/>
      <c r="CDY6" s="433"/>
      <c r="CDZ6" s="433"/>
      <c r="CEA6" s="433"/>
      <c r="CEB6" s="433"/>
      <c r="CEC6" s="433"/>
      <c r="CED6" s="433"/>
      <c r="CEE6" s="433"/>
      <c r="CEF6" s="433"/>
      <c r="CEG6" s="433"/>
      <c r="CEH6" s="433"/>
      <c r="CEI6" s="433"/>
      <c r="CEJ6" s="433"/>
      <c r="CEK6" s="433"/>
      <c r="CEL6" s="433"/>
      <c r="CEM6" s="433"/>
      <c r="CEN6" s="433"/>
      <c r="CEO6" s="433"/>
      <c r="CEP6" s="433"/>
      <c r="CEQ6" s="433"/>
      <c r="CER6" s="433"/>
      <c r="CES6" s="433"/>
      <c r="CET6" s="433"/>
      <c r="CEU6" s="433"/>
      <c r="CEV6" s="433"/>
      <c r="CEW6" s="433"/>
      <c r="CEX6" s="433"/>
      <c r="CEY6" s="433"/>
      <c r="CEZ6" s="433"/>
      <c r="CFA6" s="433"/>
      <c r="CFB6" s="433"/>
      <c r="CFC6" s="433"/>
      <c r="CFD6" s="433"/>
      <c r="CFE6" s="433"/>
      <c r="CFF6" s="433"/>
      <c r="CFG6" s="433"/>
      <c r="CFH6" s="433"/>
      <c r="CFI6" s="433"/>
      <c r="CFJ6" s="433"/>
      <c r="CFK6" s="433"/>
      <c r="CFL6" s="433"/>
      <c r="CFM6" s="433"/>
      <c r="CFN6" s="433"/>
      <c r="CFO6" s="433"/>
      <c r="CFP6" s="433"/>
      <c r="CFQ6" s="433"/>
      <c r="CFR6" s="433"/>
      <c r="CFS6" s="433"/>
      <c r="CFT6" s="433"/>
      <c r="CFU6" s="433"/>
      <c r="CFV6" s="433"/>
      <c r="CFW6" s="433"/>
      <c r="CFX6" s="433"/>
      <c r="CFY6" s="433"/>
      <c r="CFZ6" s="433"/>
      <c r="CGA6" s="433"/>
      <c r="CGB6" s="433"/>
      <c r="CGC6" s="433"/>
      <c r="CGD6" s="433"/>
      <c r="CGE6" s="433"/>
      <c r="CGF6" s="433"/>
      <c r="CGG6" s="433"/>
      <c r="CGH6" s="433"/>
      <c r="CGI6" s="433"/>
      <c r="CGJ6" s="433"/>
      <c r="CGK6" s="433"/>
      <c r="CGL6" s="433"/>
      <c r="CGM6" s="433"/>
      <c r="CGN6" s="433"/>
      <c r="CGO6" s="433"/>
      <c r="CGP6" s="433"/>
      <c r="CGQ6" s="433"/>
      <c r="CGR6" s="433"/>
      <c r="CGS6" s="433"/>
      <c r="CGT6" s="433"/>
      <c r="CGU6" s="433"/>
      <c r="CGV6" s="433"/>
      <c r="CGW6" s="433"/>
      <c r="CGX6" s="433"/>
      <c r="CGY6" s="433"/>
      <c r="CGZ6" s="433"/>
      <c r="CHA6" s="433"/>
      <c r="CHB6" s="433"/>
      <c r="CHC6" s="433"/>
      <c r="CHD6" s="433"/>
      <c r="CHE6" s="433"/>
      <c r="CHF6" s="433"/>
      <c r="CHG6" s="433"/>
      <c r="CHH6" s="433"/>
      <c r="CHI6" s="433"/>
      <c r="CHJ6" s="433"/>
      <c r="CHK6" s="433"/>
      <c r="CHL6" s="433"/>
      <c r="CHM6" s="433"/>
      <c r="CHN6" s="433"/>
      <c r="CHO6" s="433"/>
      <c r="CHP6" s="433"/>
      <c r="CHQ6" s="433"/>
      <c r="CHR6" s="433"/>
      <c r="CHS6" s="433"/>
      <c r="CHT6" s="433"/>
      <c r="CHU6" s="433"/>
      <c r="CHV6" s="433"/>
      <c r="CHW6" s="433"/>
      <c r="CHX6" s="433"/>
      <c r="CHY6" s="433"/>
      <c r="CHZ6" s="433"/>
      <c r="CIA6" s="433"/>
      <c r="CIB6" s="433"/>
      <c r="CIC6" s="433"/>
      <c r="CID6" s="433"/>
      <c r="CIE6" s="433"/>
      <c r="CIF6" s="433"/>
      <c r="CIG6" s="433"/>
      <c r="CIH6" s="433"/>
      <c r="CII6" s="433"/>
      <c r="CIJ6" s="433"/>
      <c r="CIK6" s="433"/>
      <c r="CIL6" s="433"/>
      <c r="CIM6" s="433"/>
      <c r="CIN6" s="433"/>
      <c r="CIO6" s="433"/>
      <c r="CIP6" s="433"/>
      <c r="CIQ6" s="433"/>
      <c r="CIR6" s="433"/>
      <c r="CIS6" s="433"/>
      <c r="CIT6" s="433"/>
      <c r="CIU6" s="433"/>
      <c r="CIV6" s="433"/>
      <c r="CIW6" s="433"/>
      <c r="CIX6" s="433"/>
      <c r="CIY6" s="433"/>
      <c r="CIZ6" s="433"/>
      <c r="CJA6" s="433"/>
      <c r="CJB6" s="433"/>
      <c r="CJC6" s="433"/>
      <c r="CJD6" s="433"/>
      <c r="CJE6" s="433"/>
      <c r="CJF6" s="433"/>
      <c r="CJG6" s="433"/>
      <c r="CJH6" s="433"/>
      <c r="CJI6" s="433"/>
      <c r="CJJ6" s="433"/>
      <c r="CJK6" s="433"/>
      <c r="CJL6" s="433"/>
      <c r="CJM6" s="433"/>
      <c r="CJN6" s="433"/>
      <c r="CJO6" s="433"/>
      <c r="CJP6" s="433"/>
      <c r="CJQ6" s="433"/>
      <c r="CJR6" s="433"/>
      <c r="CJS6" s="433"/>
      <c r="CJT6" s="433"/>
      <c r="CJU6" s="433"/>
      <c r="CJV6" s="433"/>
      <c r="CJW6" s="433"/>
      <c r="CJX6" s="433"/>
      <c r="CJY6" s="433"/>
      <c r="CJZ6" s="433"/>
      <c r="CKA6" s="433"/>
      <c r="CKB6" s="433"/>
      <c r="CKC6" s="433"/>
      <c r="CKD6" s="433"/>
      <c r="CKE6" s="433"/>
      <c r="CKF6" s="433"/>
      <c r="CKG6" s="433"/>
      <c r="CKH6" s="433"/>
      <c r="CKI6" s="433"/>
      <c r="CKJ6" s="433"/>
      <c r="CKK6" s="433"/>
      <c r="CKL6" s="433"/>
      <c r="CKM6" s="433"/>
      <c r="CKN6" s="433"/>
      <c r="CKO6" s="433"/>
      <c r="CKP6" s="433"/>
      <c r="CKQ6" s="433"/>
      <c r="CKR6" s="433"/>
      <c r="CKS6" s="433"/>
      <c r="CKT6" s="433"/>
      <c r="CKU6" s="433"/>
      <c r="CKV6" s="433"/>
      <c r="CKW6" s="433"/>
      <c r="CKX6" s="433"/>
      <c r="CKY6" s="433"/>
      <c r="CKZ6" s="433"/>
      <c r="CLA6" s="433"/>
      <c r="CLB6" s="433"/>
      <c r="CLC6" s="433"/>
      <c r="CLD6" s="433"/>
      <c r="CLE6" s="433"/>
      <c r="CLF6" s="433"/>
      <c r="CLG6" s="433"/>
      <c r="CLH6" s="433"/>
      <c r="CLI6" s="433"/>
      <c r="CLJ6" s="433"/>
      <c r="CLK6" s="433"/>
      <c r="CLL6" s="433"/>
      <c r="CLM6" s="433"/>
      <c r="CLN6" s="433"/>
      <c r="CLO6" s="433"/>
      <c r="CLP6" s="433"/>
      <c r="CLQ6" s="433"/>
      <c r="CLR6" s="433"/>
      <c r="CLS6" s="433"/>
      <c r="CLT6" s="433"/>
      <c r="CLU6" s="433"/>
      <c r="CLV6" s="433"/>
      <c r="CLW6" s="433"/>
      <c r="CLX6" s="433"/>
      <c r="CLY6" s="433"/>
      <c r="CLZ6" s="433"/>
      <c r="CMA6" s="433"/>
      <c r="CMB6" s="433"/>
      <c r="CMC6" s="433"/>
      <c r="CMD6" s="433"/>
      <c r="CME6" s="433"/>
      <c r="CMF6" s="433"/>
      <c r="CMG6" s="433"/>
      <c r="CMH6" s="433"/>
      <c r="CMI6" s="433"/>
      <c r="CMJ6" s="433"/>
      <c r="CMK6" s="433"/>
      <c r="CML6" s="433"/>
      <c r="CMM6" s="433"/>
      <c r="CMN6" s="433"/>
      <c r="CMO6" s="433"/>
      <c r="CMP6" s="433"/>
      <c r="CMQ6" s="433"/>
      <c r="CMR6" s="433"/>
      <c r="CMS6" s="433"/>
      <c r="CMT6" s="433"/>
      <c r="CMU6" s="433"/>
      <c r="CMV6" s="433"/>
      <c r="CMW6" s="433"/>
      <c r="CMX6" s="433"/>
      <c r="CMY6" s="433"/>
      <c r="CMZ6" s="433"/>
      <c r="CNA6" s="433"/>
      <c r="CNB6" s="433"/>
      <c r="CNC6" s="433"/>
      <c r="CND6" s="433"/>
      <c r="CNE6" s="433"/>
      <c r="CNF6" s="433"/>
      <c r="CNG6" s="433"/>
      <c r="CNH6" s="433"/>
      <c r="CNI6" s="433"/>
      <c r="CNJ6" s="433"/>
      <c r="CNK6" s="433"/>
      <c r="CNL6" s="433"/>
      <c r="CNM6" s="433"/>
      <c r="CNN6" s="433"/>
      <c r="CNO6" s="433"/>
      <c r="CNP6" s="433"/>
      <c r="CNQ6" s="433"/>
      <c r="CNR6" s="433"/>
      <c r="CNS6" s="433"/>
      <c r="CNT6" s="433"/>
      <c r="CNU6" s="433"/>
      <c r="CNV6" s="433"/>
      <c r="CNW6" s="433"/>
      <c r="CNX6" s="433"/>
      <c r="CNY6" s="433"/>
      <c r="CNZ6" s="433"/>
      <c r="COA6" s="433"/>
      <c r="COB6" s="433"/>
      <c r="COC6" s="433"/>
      <c r="COD6" s="433"/>
      <c r="COE6" s="433"/>
      <c r="COF6" s="433"/>
      <c r="COG6" s="433"/>
      <c r="COH6" s="433"/>
      <c r="COI6" s="433"/>
      <c r="COJ6" s="433"/>
      <c r="COK6" s="433"/>
      <c r="COL6" s="433"/>
      <c r="COM6" s="433"/>
      <c r="CON6" s="433"/>
      <c r="COO6" s="433"/>
      <c r="COP6" s="433"/>
      <c r="COQ6" s="433"/>
      <c r="COR6" s="433"/>
      <c r="COS6" s="433"/>
      <c r="COT6" s="433"/>
      <c r="COU6" s="433"/>
      <c r="COV6" s="433"/>
      <c r="COW6" s="433"/>
      <c r="COX6" s="433"/>
      <c r="COY6" s="433"/>
      <c r="COZ6" s="433"/>
      <c r="CPA6" s="433"/>
      <c r="CPB6" s="433"/>
      <c r="CPC6" s="433"/>
      <c r="CPD6" s="433"/>
      <c r="CPE6" s="433"/>
      <c r="CPF6" s="433"/>
      <c r="CPG6" s="433"/>
      <c r="CPH6" s="433"/>
      <c r="CPI6" s="433"/>
      <c r="CPJ6" s="433"/>
      <c r="CPK6" s="433"/>
      <c r="CPL6" s="433"/>
      <c r="CPM6" s="433"/>
      <c r="CPN6" s="433"/>
      <c r="CPO6" s="433"/>
      <c r="CPP6" s="433"/>
      <c r="CPQ6" s="433"/>
      <c r="CPR6" s="433"/>
      <c r="CPS6" s="433"/>
      <c r="CPT6" s="433"/>
      <c r="CPU6" s="433"/>
      <c r="CPV6" s="433"/>
      <c r="CPW6" s="433"/>
      <c r="CPX6" s="433"/>
      <c r="CPY6" s="433"/>
      <c r="CPZ6" s="433"/>
      <c r="CQA6" s="433"/>
      <c r="CQB6" s="433"/>
      <c r="CQC6" s="433"/>
      <c r="CQD6" s="433"/>
      <c r="CQE6" s="433"/>
      <c r="CQF6" s="433"/>
      <c r="CQG6" s="433"/>
      <c r="CQH6" s="433"/>
      <c r="CQI6" s="433"/>
      <c r="CQJ6" s="433"/>
      <c r="CQK6" s="433"/>
      <c r="CQL6" s="433"/>
      <c r="CQM6" s="433"/>
      <c r="CQN6" s="433"/>
      <c r="CQO6" s="433"/>
      <c r="CQP6" s="433"/>
      <c r="CQQ6" s="433"/>
      <c r="CQR6" s="433"/>
      <c r="CQS6" s="433"/>
      <c r="CQT6" s="433"/>
      <c r="CQU6" s="433"/>
      <c r="CQV6" s="433"/>
      <c r="CQW6" s="433"/>
      <c r="CQX6" s="433"/>
      <c r="CQY6" s="433"/>
      <c r="CQZ6" s="433"/>
      <c r="CRA6" s="433"/>
      <c r="CRB6" s="433"/>
      <c r="CRC6" s="433"/>
      <c r="CRD6" s="433"/>
      <c r="CRE6" s="433"/>
      <c r="CRF6" s="433"/>
      <c r="CRG6" s="433"/>
      <c r="CRH6" s="433"/>
      <c r="CRI6" s="433"/>
      <c r="CRJ6" s="433"/>
      <c r="CRK6" s="433"/>
      <c r="CRL6" s="433"/>
      <c r="CRM6" s="433"/>
      <c r="CRN6" s="433"/>
      <c r="CRO6" s="433"/>
      <c r="CRP6" s="433"/>
      <c r="CRQ6" s="433"/>
      <c r="CRR6" s="433"/>
      <c r="CRS6" s="433"/>
      <c r="CRT6" s="433"/>
      <c r="CRU6" s="433"/>
      <c r="CRV6" s="433"/>
      <c r="CRW6" s="433"/>
      <c r="CRX6" s="433"/>
      <c r="CRY6" s="433"/>
      <c r="CRZ6" s="433"/>
      <c r="CSA6" s="433"/>
      <c r="CSB6" s="433"/>
      <c r="CSC6" s="433"/>
      <c r="CSD6" s="433"/>
      <c r="CSE6" s="433"/>
      <c r="CSF6" s="433"/>
      <c r="CSG6" s="433"/>
      <c r="CSH6" s="433"/>
      <c r="CSI6" s="433"/>
      <c r="CSJ6" s="433"/>
      <c r="CSK6" s="433"/>
      <c r="CSL6" s="433"/>
      <c r="CSM6" s="433"/>
      <c r="CSN6" s="433"/>
      <c r="CSO6" s="433"/>
      <c r="CSP6" s="433"/>
      <c r="CSQ6" s="433"/>
      <c r="CSR6" s="433"/>
      <c r="CSS6" s="433"/>
      <c r="CST6" s="433"/>
      <c r="CSU6" s="433"/>
      <c r="CSV6" s="433"/>
      <c r="CSW6" s="433"/>
      <c r="CSX6" s="433"/>
      <c r="CSY6" s="433"/>
      <c r="CSZ6" s="433"/>
      <c r="CTA6" s="433"/>
      <c r="CTB6" s="433"/>
      <c r="CTC6" s="433"/>
      <c r="CTD6" s="433"/>
      <c r="CTE6" s="433"/>
      <c r="CTF6" s="433"/>
      <c r="CTG6" s="433"/>
      <c r="CTH6" s="433"/>
      <c r="CTI6" s="433"/>
      <c r="CTJ6" s="433"/>
      <c r="CTK6" s="433"/>
      <c r="CTL6" s="433"/>
      <c r="CTM6" s="433"/>
      <c r="CTN6" s="433"/>
      <c r="CTO6" s="433"/>
      <c r="CTP6" s="433"/>
      <c r="CTQ6" s="433"/>
      <c r="CTR6" s="433"/>
      <c r="CTS6" s="433"/>
      <c r="CTT6" s="433"/>
      <c r="CTU6" s="433"/>
      <c r="CTV6" s="433"/>
      <c r="CTW6" s="433"/>
      <c r="CTX6" s="433"/>
      <c r="CTY6" s="433"/>
      <c r="CTZ6" s="433"/>
      <c r="CUA6" s="433"/>
      <c r="CUB6" s="433"/>
      <c r="CUC6" s="433"/>
      <c r="CUD6" s="433"/>
      <c r="CUE6" s="433"/>
      <c r="CUF6" s="433"/>
      <c r="CUG6" s="433"/>
      <c r="CUH6" s="433"/>
      <c r="CUI6" s="433"/>
      <c r="CUJ6" s="433"/>
      <c r="CUK6" s="433"/>
      <c r="CUL6" s="433"/>
      <c r="CUM6" s="433"/>
      <c r="CUN6" s="433"/>
      <c r="CUO6" s="433"/>
      <c r="CUP6" s="433"/>
      <c r="CUQ6" s="433"/>
      <c r="CUR6" s="433"/>
      <c r="CUS6" s="433"/>
      <c r="CUT6" s="433"/>
      <c r="CUU6" s="433"/>
      <c r="CUV6" s="433"/>
      <c r="CUW6" s="433"/>
      <c r="CUX6" s="433"/>
      <c r="CUY6" s="433"/>
      <c r="CUZ6" s="433"/>
      <c r="CVA6" s="433"/>
      <c r="CVB6" s="433"/>
      <c r="CVC6" s="433"/>
      <c r="CVD6" s="433"/>
      <c r="CVE6" s="433"/>
      <c r="CVF6" s="433"/>
      <c r="CVG6" s="433"/>
      <c r="CVH6" s="433"/>
      <c r="CVI6" s="433"/>
      <c r="CVJ6" s="433"/>
      <c r="CVK6" s="433"/>
      <c r="CVL6" s="433"/>
      <c r="CVM6" s="433"/>
      <c r="CVN6" s="433"/>
      <c r="CVO6" s="433"/>
      <c r="CVP6" s="433"/>
      <c r="CVQ6" s="433"/>
      <c r="CVR6" s="433"/>
      <c r="CVS6" s="433"/>
      <c r="CVT6" s="433"/>
      <c r="CVU6" s="433"/>
      <c r="CVV6" s="433"/>
      <c r="CVW6" s="433"/>
      <c r="CVX6" s="433"/>
      <c r="CVY6" s="433"/>
      <c r="CVZ6" s="433"/>
      <c r="CWA6" s="433"/>
      <c r="CWB6" s="433"/>
      <c r="CWC6" s="433"/>
      <c r="CWD6" s="433"/>
      <c r="CWE6" s="433"/>
      <c r="CWF6" s="433"/>
      <c r="CWG6" s="433"/>
      <c r="CWH6" s="433"/>
      <c r="CWI6" s="433"/>
      <c r="CWJ6" s="433"/>
      <c r="CWK6" s="433"/>
      <c r="CWL6" s="433"/>
      <c r="CWM6" s="433"/>
      <c r="CWN6" s="433"/>
      <c r="CWO6" s="433"/>
      <c r="CWP6" s="433"/>
      <c r="CWQ6" s="433"/>
      <c r="CWR6" s="433"/>
      <c r="CWS6" s="433"/>
      <c r="CWT6" s="433"/>
      <c r="CWU6" s="433"/>
      <c r="CWV6" s="433"/>
      <c r="CWW6" s="433"/>
      <c r="CWX6" s="433"/>
      <c r="CWY6" s="433"/>
      <c r="CWZ6" s="433"/>
      <c r="CXA6" s="433"/>
      <c r="CXB6" s="433"/>
      <c r="CXC6" s="433"/>
      <c r="CXD6" s="433"/>
      <c r="CXE6" s="433"/>
      <c r="CXF6" s="433"/>
      <c r="CXG6" s="433"/>
      <c r="CXH6" s="433"/>
      <c r="CXI6" s="433"/>
      <c r="CXJ6" s="433"/>
      <c r="CXK6" s="433"/>
      <c r="CXL6" s="433"/>
      <c r="CXM6" s="433"/>
      <c r="CXN6" s="433"/>
      <c r="CXO6" s="433"/>
      <c r="CXP6" s="433"/>
      <c r="CXQ6" s="433"/>
      <c r="CXR6" s="433"/>
      <c r="CXS6" s="433"/>
      <c r="CXT6" s="433"/>
      <c r="CXU6" s="433"/>
      <c r="CXV6" s="433"/>
      <c r="CXW6" s="433"/>
      <c r="CXX6" s="433"/>
      <c r="CXY6" s="433"/>
      <c r="CXZ6" s="433"/>
      <c r="CYA6" s="433"/>
      <c r="CYB6" s="433"/>
      <c r="CYC6" s="433"/>
      <c r="CYD6" s="433"/>
      <c r="CYE6" s="433"/>
      <c r="CYF6" s="433"/>
      <c r="CYG6" s="433"/>
      <c r="CYH6" s="433"/>
      <c r="CYI6" s="433"/>
      <c r="CYJ6" s="433"/>
      <c r="CYK6" s="433"/>
      <c r="CYL6" s="433"/>
      <c r="CYM6" s="433"/>
      <c r="CYN6" s="433"/>
      <c r="CYO6" s="433"/>
      <c r="CYP6" s="433"/>
      <c r="CYQ6" s="433"/>
      <c r="CYR6" s="433"/>
      <c r="CYS6" s="433"/>
      <c r="CYT6" s="433"/>
      <c r="CYU6" s="433"/>
      <c r="CYV6" s="433"/>
      <c r="CYW6" s="433"/>
      <c r="CYX6" s="433"/>
      <c r="CYY6" s="433"/>
      <c r="CYZ6" s="433"/>
      <c r="CZA6" s="433"/>
      <c r="CZB6" s="433"/>
      <c r="CZC6" s="433"/>
      <c r="CZD6" s="433"/>
      <c r="CZE6" s="433"/>
      <c r="CZF6" s="433"/>
      <c r="CZG6" s="433"/>
      <c r="CZH6" s="433"/>
      <c r="CZI6" s="433"/>
      <c r="CZJ6" s="433"/>
      <c r="CZK6" s="433"/>
      <c r="CZL6" s="433"/>
      <c r="CZM6" s="433"/>
      <c r="CZN6" s="433"/>
      <c r="CZO6" s="433"/>
      <c r="CZP6" s="433"/>
      <c r="CZQ6" s="433"/>
      <c r="CZR6" s="433"/>
      <c r="CZS6" s="433"/>
      <c r="CZT6" s="433"/>
      <c r="CZU6" s="433"/>
      <c r="CZV6" s="433"/>
      <c r="CZW6" s="433"/>
      <c r="CZX6" s="433"/>
      <c r="CZY6" s="433"/>
      <c r="CZZ6" s="433"/>
      <c r="DAA6" s="433"/>
      <c r="DAB6" s="433"/>
      <c r="DAC6" s="433"/>
      <c r="DAD6" s="433"/>
      <c r="DAE6" s="433"/>
      <c r="DAF6" s="433"/>
      <c r="DAG6" s="433"/>
      <c r="DAH6" s="433"/>
      <c r="DAI6" s="433"/>
      <c r="DAJ6" s="433"/>
      <c r="DAK6" s="433"/>
      <c r="DAL6" s="433"/>
      <c r="DAM6" s="433"/>
      <c r="DAN6" s="433"/>
      <c r="DAO6" s="433"/>
      <c r="DAP6" s="433"/>
      <c r="DAQ6" s="433"/>
      <c r="DAR6" s="433"/>
      <c r="DAS6" s="433"/>
      <c r="DAT6" s="433"/>
      <c r="DAU6" s="433"/>
      <c r="DAV6" s="433"/>
      <c r="DAW6" s="433"/>
      <c r="DAX6" s="433"/>
      <c r="DAY6" s="433"/>
      <c r="DAZ6" s="433"/>
      <c r="DBA6" s="433"/>
      <c r="DBB6" s="433"/>
      <c r="DBC6" s="433"/>
      <c r="DBD6" s="433"/>
      <c r="DBE6" s="433"/>
      <c r="DBF6" s="433"/>
      <c r="DBG6" s="433"/>
      <c r="DBH6" s="433"/>
      <c r="DBI6" s="433"/>
      <c r="DBJ6" s="433"/>
      <c r="DBK6" s="433"/>
      <c r="DBL6" s="433"/>
      <c r="DBM6" s="433"/>
      <c r="DBN6" s="433"/>
      <c r="DBO6" s="433"/>
      <c r="DBP6" s="433"/>
      <c r="DBQ6" s="433"/>
      <c r="DBR6" s="433"/>
      <c r="DBS6" s="433"/>
      <c r="DBT6" s="433"/>
      <c r="DBU6" s="433"/>
      <c r="DBV6" s="433"/>
      <c r="DBW6" s="433"/>
      <c r="DBX6" s="433"/>
      <c r="DBY6" s="433"/>
      <c r="DBZ6" s="433"/>
      <c r="DCA6" s="433"/>
      <c r="DCB6" s="433"/>
      <c r="DCC6" s="433"/>
      <c r="DCD6" s="433"/>
      <c r="DCE6" s="433"/>
      <c r="DCF6" s="433"/>
      <c r="DCG6" s="433"/>
      <c r="DCH6" s="433"/>
      <c r="DCI6" s="433"/>
      <c r="DCJ6" s="433"/>
      <c r="DCK6" s="433"/>
      <c r="DCL6" s="433"/>
      <c r="DCM6" s="433"/>
      <c r="DCN6" s="433"/>
      <c r="DCO6" s="433"/>
      <c r="DCP6" s="433"/>
      <c r="DCQ6" s="433"/>
      <c r="DCR6" s="433"/>
      <c r="DCS6" s="433"/>
      <c r="DCT6" s="433"/>
      <c r="DCU6" s="433"/>
      <c r="DCV6" s="433"/>
      <c r="DCW6" s="433"/>
      <c r="DCX6" s="433"/>
      <c r="DCY6" s="433"/>
      <c r="DCZ6" s="433"/>
      <c r="DDA6" s="433"/>
      <c r="DDB6" s="433"/>
      <c r="DDC6" s="433"/>
      <c r="DDD6" s="433"/>
      <c r="DDE6" s="433"/>
      <c r="DDF6" s="433"/>
      <c r="DDG6" s="433"/>
      <c r="DDH6" s="433"/>
      <c r="DDI6" s="433"/>
      <c r="DDJ6" s="433"/>
      <c r="DDK6" s="433"/>
      <c r="DDL6" s="433"/>
      <c r="DDM6" s="433"/>
      <c r="DDN6" s="433"/>
      <c r="DDO6" s="433"/>
      <c r="DDP6" s="433"/>
      <c r="DDQ6" s="433"/>
      <c r="DDR6" s="433"/>
      <c r="DDS6" s="433"/>
      <c r="DDT6" s="433"/>
      <c r="DDU6" s="433"/>
      <c r="DDV6" s="433"/>
      <c r="DDW6" s="433"/>
      <c r="DDX6" s="433"/>
      <c r="DDY6" s="433"/>
      <c r="DDZ6" s="433"/>
      <c r="DEA6" s="433"/>
      <c r="DEB6" s="433"/>
      <c r="DEC6" s="433"/>
      <c r="DED6" s="433"/>
      <c r="DEE6" s="433"/>
      <c r="DEF6" s="433"/>
      <c r="DEG6" s="433"/>
      <c r="DEH6" s="433"/>
      <c r="DEI6" s="433"/>
      <c r="DEJ6" s="433"/>
      <c r="DEK6" s="433"/>
      <c r="DEL6" s="433"/>
      <c r="DEM6" s="433"/>
      <c r="DEN6" s="433"/>
      <c r="DEO6" s="433"/>
      <c r="DEP6" s="433"/>
      <c r="DEQ6" s="433"/>
      <c r="DER6" s="433"/>
      <c r="DES6" s="433"/>
      <c r="DET6" s="433"/>
      <c r="DEU6" s="433"/>
      <c r="DEV6" s="433"/>
      <c r="DEW6" s="433"/>
      <c r="DEX6" s="433"/>
      <c r="DEY6" s="433"/>
      <c r="DEZ6" s="433"/>
      <c r="DFA6" s="433"/>
      <c r="DFB6" s="433"/>
      <c r="DFC6" s="433"/>
      <c r="DFD6" s="433"/>
      <c r="DFE6" s="433"/>
      <c r="DFF6" s="433"/>
      <c r="DFG6" s="433"/>
      <c r="DFH6" s="433"/>
      <c r="DFI6" s="433"/>
      <c r="DFJ6" s="433"/>
      <c r="DFK6" s="433"/>
      <c r="DFL6" s="433"/>
      <c r="DFM6" s="433"/>
      <c r="DFN6" s="433"/>
      <c r="DFO6" s="433"/>
      <c r="DFP6" s="433"/>
      <c r="DFQ6" s="433"/>
      <c r="DFR6" s="433"/>
      <c r="DFS6" s="433"/>
      <c r="DFT6" s="433"/>
      <c r="DFU6" s="433"/>
      <c r="DFV6" s="433"/>
      <c r="DFW6" s="433"/>
      <c r="DFX6" s="433"/>
      <c r="DFY6" s="433"/>
      <c r="DFZ6" s="433"/>
      <c r="DGA6" s="433"/>
      <c r="DGB6" s="433"/>
      <c r="DGC6" s="433"/>
      <c r="DGD6" s="433"/>
      <c r="DGE6" s="433"/>
      <c r="DGF6" s="433"/>
      <c r="DGG6" s="433"/>
      <c r="DGH6" s="433"/>
      <c r="DGI6" s="433"/>
      <c r="DGJ6" s="433"/>
      <c r="DGK6" s="433"/>
      <c r="DGL6" s="433"/>
      <c r="DGM6" s="433"/>
      <c r="DGN6" s="433"/>
      <c r="DGO6" s="433"/>
      <c r="DGP6" s="433"/>
      <c r="DGQ6" s="433"/>
      <c r="DGR6" s="433"/>
      <c r="DGS6" s="433"/>
      <c r="DGT6" s="433"/>
      <c r="DGU6" s="433"/>
      <c r="DGV6" s="433"/>
      <c r="DGW6" s="433"/>
      <c r="DGX6" s="433"/>
      <c r="DGY6" s="433"/>
      <c r="DGZ6" s="433"/>
      <c r="DHA6" s="433"/>
      <c r="DHB6" s="433"/>
      <c r="DHC6" s="433"/>
      <c r="DHD6" s="433"/>
      <c r="DHE6" s="433"/>
      <c r="DHF6" s="433"/>
      <c r="DHG6" s="433"/>
      <c r="DHH6" s="433"/>
      <c r="DHI6" s="433"/>
      <c r="DHJ6" s="433"/>
      <c r="DHK6" s="433"/>
      <c r="DHL6" s="433"/>
      <c r="DHM6" s="433"/>
      <c r="DHN6" s="433"/>
      <c r="DHO6" s="433"/>
      <c r="DHP6" s="433"/>
      <c r="DHQ6" s="433"/>
      <c r="DHR6" s="433"/>
      <c r="DHS6" s="433"/>
      <c r="DHT6" s="433"/>
      <c r="DHU6" s="433"/>
      <c r="DHV6" s="433"/>
      <c r="DHW6" s="433"/>
      <c r="DHX6" s="433"/>
      <c r="DHY6" s="433"/>
      <c r="DHZ6" s="433"/>
      <c r="DIA6" s="433"/>
      <c r="DIB6" s="433"/>
      <c r="DIC6" s="433"/>
      <c r="DID6" s="433"/>
      <c r="DIE6" s="433"/>
      <c r="DIF6" s="433"/>
      <c r="DIG6" s="433"/>
      <c r="DIH6" s="433"/>
      <c r="DII6" s="433"/>
      <c r="DIJ6" s="433"/>
      <c r="DIK6" s="433"/>
      <c r="DIL6" s="433"/>
      <c r="DIM6" s="433"/>
      <c r="DIN6" s="433"/>
      <c r="DIO6" s="433"/>
      <c r="DIP6" s="433"/>
      <c r="DIQ6" s="433"/>
      <c r="DIR6" s="433"/>
      <c r="DIS6" s="433"/>
      <c r="DIT6" s="433"/>
      <c r="DIU6" s="433"/>
      <c r="DIV6" s="433"/>
      <c r="DIW6" s="433"/>
      <c r="DIX6" s="433"/>
      <c r="DIY6" s="433"/>
      <c r="DIZ6" s="433"/>
      <c r="DJA6" s="433"/>
      <c r="DJB6" s="433"/>
      <c r="DJC6" s="433"/>
      <c r="DJD6" s="433"/>
      <c r="DJE6" s="433"/>
      <c r="DJF6" s="433"/>
      <c r="DJG6" s="433"/>
      <c r="DJH6" s="433"/>
      <c r="DJI6" s="433"/>
      <c r="DJJ6" s="433"/>
      <c r="DJK6" s="433"/>
      <c r="DJL6" s="433"/>
      <c r="DJM6" s="433"/>
      <c r="DJN6" s="433"/>
      <c r="DJO6" s="433"/>
      <c r="DJP6" s="433"/>
      <c r="DJQ6" s="433"/>
      <c r="DJR6" s="433"/>
      <c r="DJS6" s="433"/>
      <c r="DJT6" s="433"/>
      <c r="DJU6" s="433"/>
      <c r="DJV6" s="433"/>
      <c r="DJW6" s="433"/>
      <c r="DJX6" s="433"/>
      <c r="DJY6" s="433"/>
      <c r="DJZ6" s="433"/>
      <c r="DKA6" s="433"/>
      <c r="DKB6" s="433"/>
      <c r="DKC6" s="433"/>
      <c r="DKD6" s="433"/>
      <c r="DKE6" s="433"/>
      <c r="DKF6" s="433"/>
      <c r="DKG6" s="433"/>
      <c r="DKH6" s="433"/>
      <c r="DKI6" s="433"/>
      <c r="DKJ6" s="433"/>
      <c r="DKK6" s="433"/>
      <c r="DKL6" s="433"/>
      <c r="DKM6" s="433"/>
      <c r="DKN6" s="433"/>
      <c r="DKO6" s="433"/>
      <c r="DKP6" s="433"/>
      <c r="DKQ6" s="433"/>
      <c r="DKR6" s="433"/>
      <c r="DKS6" s="433"/>
      <c r="DKT6" s="433"/>
      <c r="DKU6" s="433"/>
      <c r="DKV6" s="433"/>
      <c r="DKW6" s="433"/>
      <c r="DKX6" s="433"/>
      <c r="DKY6" s="433"/>
      <c r="DKZ6" s="433"/>
      <c r="DLA6" s="433"/>
      <c r="DLB6" s="433"/>
      <c r="DLC6" s="433"/>
      <c r="DLD6" s="433"/>
      <c r="DLE6" s="433"/>
      <c r="DLF6" s="433"/>
      <c r="DLG6" s="433"/>
      <c r="DLH6" s="433"/>
      <c r="DLI6" s="433"/>
      <c r="DLJ6" s="433"/>
      <c r="DLK6" s="433"/>
      <c r="DLL6" s="433"/>
      <c r="DLM6" s="433"/>
      <c r="DLN6" s="433"/>
      <c r="DLO6" s="433"/>
      <c r="DLP6" s="433"/>
      <c r="DLQ6" s="433"/>
      <c r="DLR6" s="433"/>
      <c r="DLS6" s="433"/>
      <c r="DLT6" s="433"/>
      <c r="DLU6" s="433"/>
      <c r="DLV6" s="433"/>
      <c r="DLW6" s="433"/>
      <c r="DLX6" s="433"/>
      <c r="DLY6" s="433"/>
      <c r="DLZ6" s="433"/>
      <c r="DMA6" s="433"/>
      <c r="DMB6" s="433"/>
      <c r="DMC6" s="433"/>
      <c r="DMD6" s="433"/>
      <c r="DME6" s="433"/>
      <c r="DMF6" s="433"/>
      <c r="DMG6" s="433"/>
      <c r="DMH6" s="433"/>
      <c r="DMI6" s="433"/>
      <c r="DMJ6" s="433"/>
      <c r="DMK6" s="433"/>
      <c r="DML6" s="433"/>
      <c r="DMM6" s="433"/>
      <c r="DMN6" s="433"/>
      <c r="DMO6" s="433"/>
      <c r="DMP6" s="433"/>
      <c r="DMQ6" s="433"/>
      <c r="DMR6" s="433"/>
      <c r="DMS6" s="433"/>
      <c r="DMT6" s="433"/>
      <c r="DMU6" s="433"/>
      <c r="DMV6" s="433"/>
      <c r="DMW6" s="433"/>
      <c r="DMX6" s="433"/>
      <c r="DMY6" s="433"/>
      <c r="DMZ6" s="433"/>
      <c r="DNA6" s="433"/>
      <c r="DNB6" s="433"/>
      <c r="DNC6" s="433"/>
      <c r="DND6" s="433"/>
      <c r="DNE6" s="433"/>
      <c r="DNF6" s="433"/>
      <c r="DNG6" s="433"/>
      <c r="DNH6" s="433"/>
      <c r="DNI6" s="433"/>
      <c r="DNJ6" s="433"/>
      <c r="DNK6" s="433"/>
      <c r="DNL6" s="433"/>
      <c r="DNM6" s="433"/>
      <c r="DNN6" s="433"/>
      <c r="DNO6" s="433"/>
      <c r="DNP6" s="433"/>
      <c r="DNQ6" s="433"/>
      <c r="DNR6" s="433"/>
      <c r="DNS6" s="433"/>
      <c r="DNT6" s="433"/>
      <c r="DNU6" s="433"/>
      <c r="DNV6" s="433"/>
      <c r="DNW6" s="433"/>
      <c r="DNX6" s="433"/>
      <c r="DNY6" s="433"/>
      <c r="DNZ6" s="433"/>
      <c r="DOA6" s="433"/>
      <c r="DOB6" s="433"/>
      <c r="DOC6" s="433"/>
      <c r="DOD6" s="433"/>
      <c r="DOE6" s="433"/>
      <c r="DOF6" s="433"/>
      <c r="DOG6" s="433"/>
      <c r="DOH6" s="433"/>
      <c r="DOI6" s="433"/>
      <c r="DOJ6" s="433"/>
      <c r="DOK6" s="433"/>
      <c r="DOL6" s="433"/>
      <c r="DOM6" s="433"/>
      <c r="DON6" s="433"/>
      <c r="DOO6" s="433"/>
      <c r="DOP6" s="433"/>
      <c r="DOQ6" s="433"/>
      <c r="DOR6" s="433"/>
      <c r="DOS6" s="433"/>
      <c r="DOT6" s="433"/>
      <c r="DOU6" s="433"/>
      <c r="DOV6" s="433"/>
      <c r="DOW6" s="433"/>
      <c r="DOX6" s="433"/>
      <c r="DOY6" s="433"/>
      <c r="DOZ6" s="433"/>
      <c r="DPA6" s="433"/>
      <c r="DPB6" s="433"/>
      <c r="DPC6" s="433"/>
      <c r="DPD6" s="433"/>
      <c r="DPE6" s="433"/>
      <c r="DPF6" s="433"/>
      <c r="DPG6" s="433"/>
      <c r="DPH6" s="433"/>
      <c r="DPI6" s="433"/>
      <c r="DPJ6" s="433"/>
      <c r="DPK6" s="433"/>
      <c r="DPL6" s="433"/>
      <c r="DPM6" s="433"/>
      <c r="DPN6" s="433"/>
      <c r="DPO6" s="433"/>
      <c r="DPP6" s="433"/>
      <c r="DPQ6" s="433"/>
      <c r="DPR6" s="433"/>
      <c r="DPS6" s="433"/>
      <c r="DPT6" s="433"/>
      <c r="DPU6" s="433"/>
      <c r="DPV6" s="433"/>
      <c r="DPW6" s="433"/>
      <c r="DPX6" s="433"/>
      <c r="DPY6" s="433"/>
      <c r="DPZ6" s="433"/>
      <c r="DQA6" s="433"/>
      <c r="DQB6" s="433"/>
      <c r="DQC6" s="433"/>
      <c r="DQD6" s="433"/>
      <c r="DQE6" s="433"/>
      <c r="DQF6" s="433"/>
      <c r="DQG6" s="433"/>
      <c r="DQH6" s="433"/>
      <c r="DQI6" s="433"/>
      <c r="DQJ6" s="433"/>
      <c r="DQK6" s="433"/>
      <c r="DQL6" s="433"/>
      <c r="DQM6" s="433"/>
      <c r="DQN6" s="433"/>
      <c r="DQO6" s="433"/>
      <c r="DQP6" s="433"/>
      <c r="DQQ6" s="433"/>
      <c r="DQR6" s="433"/>
      <c r="DQS6" s="433"/>
      <c r="DQT6" s="433"/>
      <c r="DQU6" s="433"/>
      <c r="DQV6" s="433"/>
      <c r="DQW6" s="433"/>
      <c r="DQX6" s="433"/>
      <c r="DQY6" s="433"/>
      <c r="DQZ6" s="433"/>
      <c r="DRA6" s="433"/>
      <c r="DRB6" s="433"/>
      <c r="DRC6" s="433"/>
      <c r="DRD6" s="433"/>
      <c r="DRE6" s="433"/>
      <c r="DRF6" s="433"/>
      <c r="DRG6" s="433"/>
      <c r="DRH6" s="433"/>
      <c r="DRI6" s="433"/>
      <c r="DRJ6" s="433"/>
      <c r="DRK6" s="433"/>
      <c r="DRL6" s="433"/>
      <c r="DRM6" s="433"/>
      <c r="DRN6" s="433"/>
      <c r="DRO6" s="433"/>
      <c r="DRP6" s="433"/>
      <c r="DRQ6" s="433"/>
      <c r="DRR6" s="433"/>
      <c r="DRS6" s="433"/>
      <c r="DRT6" s="433"/>
      <c r="DRU6" s="433"/>
      <c r="DRV6" s="433"/>
      <c r="DRW6" s="433"/>
      <c r="DRX6" s="433"/>
      <c r="DRY6" s="433"/>
      <c r="DRZ6" s="433"/>
      <c r="DSA6" s="433"/>
      <c r="DSB6" s="433"/>
      <c r="DSC6" s="433"/>
      <c r="DSD6" s="433"/>
      <c r="DSE6" s="433"/>
      <c r="DSF6" s="433"/>
      <c r="DSG6" s="433"/>
      <c r="DSH6" s="433"/>
      <c r="DSI6" s="433"/>
      <c r="DSJ6" s="433"/>
      <c r="DSK6" s="433"/>
      <c r="DSL6" s="433"/>
      <c r="DSM6" s="433"/>
      <c r="DSN6" s="433"/>
      <c r="DSO6" s="433"/>
      <c r="DSP6" s="433"/>
      <c r="DSQ6" s="433"/>
      <c r="DSR6" s="433"/>
      <c r="DSS6" s="433"/>
      <c r="DST6" s="433"/>
      <c r="DSU6" s="433"/>
      <c r="DSV6" s="433"/>
      <c r="DSW6" s="433"/>
      <c r="DSX6" s="433"/>
      <c r="DSY6" s="433"/>
      <c r="DSZ6" s="433"/>
      <c r="DTA6" s="433"/>
      <c r="DTB6" s="433"/>
      <c r="DTC6" s="433"/>
      <c r="DTD6" s="433"/>
      <c r="DTE6" s="433"/>
      <c r="DTF6" s="433"/>
      <c r="DTG6" s="433"/>
      <c r="DTH6" s="433"/>
      <c r="DTI6" s="433"/>
      <c r="DTJ6" s="433"/>
      <c r="DTK6" s="433"/>
      <c r="DTL6" s="433"/>
      <c r="DTM6" s="433"/>
      <c r="DTN6" s="433"/>
      <c r="DTO6" s="433"/>
      <c r="DTP6" s="433"/>
      <c r="DTQ6" s="433"/>
      <c r="DTR6" s="433"/>
      <c r="DTS6" s="433"/>
      <c r="DTT6" s="433"/>
      <c r="DTU6" s="433"/>
      <c r="DTV6" s="433"/>
      <c r="DTW6" s="433"/>
      <c r="DTX6" s="433"/>
      <c r="DTY6" s="433"/>
      <c r="DTZ6" s="433"/>
      <c r="DUA6" s="433"/>
      <c r="DUB6" s="433"/>
      <c r="DUC6" s="433"/>
      <c r="DUD6" s="433"/>
      <c r="DUE6" s="433"/>
      <c r="DUF6" s="433"/>
      <c r="DUG6" s="433"/>
      <c r="DUH6" s="433"/>
      <c r="DUI6" s="433"/>
      <c r="DUJ6" s="433"/>
      <c r="DUK6" s="433"/>
      <c r="DUL6" s="433"/>
      <c r="DUM6" s="433"/>
      <c r="DUN6" s="433"/>
      <c r="DUO6" s="433"/>
      <c r="DUP6" s="433"/>
      <c r="DUQ6" s="433"/>
      <c r="DUR6" s="433"/>
      <c r="DUS6" s="433"/>
      <c r="DUT6" s="433"/>
      <c r="DUU6" s="433"/>
      <c r="DUV6" s="433"/>
      <c r="DUW6" s="433"/>
      <c r="DUX6" s="433"/>
      <c r="DUY6" s="433"/>
      <c r="DUZ6" s="433"/>
      <c r="DVA6" s="433"/>
      <c r="DVB6" s="433"/>
      <c r="DVC6" s="433"/>
      <c r="DVD6" s="433"/>
      <c r="DVE6" s="433"/>
      <c r="DVF6" s="433"/>
      <c r="DVG6" s="433"/>
      <c r="DVH6" s="433"/>
      <c r="DVI6" s="433"/>
      <c r="DVJ6" s="433"/>
      <c r="DVK6" s="433"/>
      <c r="DVL6" s="433"/>
      <c r="DVM6" s="433"/>
      <c r="DVN6" s="433"/>
      <c r="DVO6" s="433"/>
      <c r="DVP6" s="433"/>
      <c r="DVQ6" s="433"/>
      <c r="DVR6" s="433"/>
      <c r="DVS6" s="433"/>
      <c r="DVT6" s="433"/>
      <c r="DVU6" s="433"/>
      <c r="DVV6" s="433"/>
      <c r="DVW6" s="433"/>
      <c r="DVX6" s="433"/>
      <c r="DVY6" s="433"/>
      <c r="DVZ6" s="433"/>
      <c r="DWA6" s="433"/>
      <c r="DWB6" s="433"/>
      <c r="DWC6" s="433"/>
      <c r="DWD6" s="433"/>
      <c r="DWE6" s="433"/>
      <c r="DWF6" s="433"/>
      <c r="DWG6" s="433"/>
      <c r="DWH6" s="433"/>
      <c r="DWI6" s="433"/>
      <c r="DWJ6" s="433"/>
      <c r="DWK6" s="433"/>
      <c r="DWL6" s="433"/>
      <c r="DWM6" s="433"/>
      <c r="DWN6" s="433"/>
      <c r="DWO6" s="433"/>
      <c r="DWP6" s="433"/>
      <c r="DWQ6" s="433"/>
      <c r="DWR6" s="433"/>
      <c r="DWS6" s="433"/>
      <c r="DWT6" s="433"/>
      <c r="DWU6" s="433"/>
      <c r="DWV6" s="433"/>
      <c r="DWW6" s="433"/>
      <c r="DWX6" s="433"/>
      <c r="DWY6" s="433"/>
      <c r="DWZ6" s="433"/>
      <c r="DXA6" s="433"/>
      <c r="DXB6" s="433"/>
      <c r="DXC6" s="433"/>
      <c r="DXD6" s="433"/>
      <c r="DXE6" s="433"/>
      <c r="DXF6" s="433"/>
      <c r="DXG6" s="433"/>
      <c r="DXH6" s="433"/>
      <c r="DXI6" s="433"/>
      <c r="DXJ6" s="433"/>
      <c r="DXK6" s="433"/>
      <c r="DXL6" s="433"/>
      <c r="DXM6" s="433"/>
      <c r="DXN6" s="433"/>
      <c r="DXO6" s="433"/>
      <c r="DXP6" s="433"/>
      <c r="DXQ6" s="433"/>
      <c r="DXR6" s="433"/>
      <c r="DXS6" s="433"/>
      <c r="DXT6" s="433"/>
      <c r="DXU6" s="433"/>
      <c r="DXV6" s="433"/>
      <c r="DXW6" s="433"/>
      <c r="DXX6" s="433"/>
      <c r="DXY6" s="433"/>
      <c r="DXZ6" s="433"/>
      <c r="DYA6" s="433"/>
      <c r="DYB6" s="433"/>
      <c r="DYC6" s="433"/>
      <c r="DYD6" s="433"/>
      <c r="DYE6" s="433"/>
      <c r="DYF6" s="433"/>
      <c r="DYG6" s="433"/>
      <c r="DYH6" s="433"/>
      <c r="DYI6" s="433"/>
      <c r="DYJ6" s="433"/>
      <c r="DYK6" s="433"/>
      <c r="DYL6" s="433"/>
      <c r="DYM6" s="433"/>
      <c r="DYN6" s="433"/>
      <c r="DYO6" s="433"/>
      <c r="DYP6" s="433"/>
      <c r="DYQ6" s="433"/>
      <c r="DYR6" s="433"/>
      <c r="DYS6" s="433"/>
      <c r="DYT6" s="433"/>
      <c r="DYU6" s="433"/>
      <c r="DYV6" s="433"/>
      <c r="DYW6" s="433"/>
      <c r="DYX6" s="433"/>
      <c r="DYY6" s="433"/>
      <c r="DYZ6" s="433"/>
      <c r="DZA6" s="433"/>
      <c r="DZB6" s="433"/>
      <c r="DZC6" s="433"/>
      <c r="DZD6" s="433"/>
      <c r="DZE6" s="433"/>
      <c r="DZF6" s="433"/>
      <c r="DZG6" s="433"/>
      <c r="DZH6" s="433"/>
      <c r="DZI6" s="433"/>
      <c r="DZJ6" s="433"/>
      <c r="DZK6" s="433"/>
      <c r="DZL6" s="433"/>
      <c r="DZM6" s="433"/>
      <c r="DZN6" s="433"/>
      <c r="DZO6" s="433"/>
      <c r="DZP6" s="433"/>
      <c r="DZQ6" s="433"/>
      <c r="DZR6" s="433"/>
      <c r="DZS6" s="433"/>
      <c r="DZT6" s="433"/>
      <c r="DZU6" s="433"/>
      <c r="DZV6" s="433"/>
      <c r="DZW6" s="433"/>
      <c r="DZX6" s="433"/>
      <c r="DZY6" s="433"/>
      <c r="DZZ6" s="433"/>
      <c r="EAA6" s="433"/>
      <c r="EAB6" s="433"/>
      <c r="EAC6" s="433"/>
      <c r="EAD6" s="433"/>
      <c r="EAE6" s="433"/>
      <c r="EAF6" s="433"/>
      <c r="EAG6" s="433"/>
      <c r="EAH6" s="433"/>
      <c r="EAI6" s="433"/>
      <c r="EAJ6" s="433"/>
      <c r="EAK6" s="433"/>
      <c r="EAL6" s="433"/>
      <c r="EAM6" s="433"/>
      <c r="EAN6" s="433"/>
      <c r="EAO6" s="433"/>
      <c r="EAP6" s="433"/>
      <c r="EAQ6" s="433"/>
      <c r="EAR6" s="433"/>
      <c r="EAS6" s="433"/>
      <c r="EAT6" s="433"/>
      <c r="EAU6" s="433"/>
      <c r="EAV6" s="433"/>
      <c r="EAW6" s="433"/>
      <c r="EAX6" s="433"/>
      <c r="EAY6" s="433"/>
      <c r="EAZ6" s="433"/>
      <c r="EBA6" s="433"/>
      <c r="EBB6" s="433"/>
      <c r="EBC6" s="433"/>
      <c r="EBD6" s="433"/>
      <c r="EBE6" s="433"/>
      <c r="EBF6" s="433"/>
      <c r="EBG6" s="433"/>
      <c r="EBH6" s="433"/>
      <c r="EBI6" s="433"/>
      <c r="EBJ6" s="433"/>
      <c r="EBK6" s="433"/>
      <c r="EBL6" s="433"/>
      <c r="EBM6" s="433"/>
      <c r="EBN6" s="433"/>
      <c r="EBO6" s="433"/>
      <c r="EBP6" s="433"/>
      <c r="EBQ6" s="433"/>
      <c r="EBR6" s="433"/>
      <c r="EBS6" s="433"/>
      <c r="EBT6" s="433"/>
      <c r="EBU6" s="433"/>
      <c r="EBV6" s="433"/>
      <c r="EBW6" s="433"/>
      <c r="EBX6" s="433"/>
      <c r="EBY6" s="433"/>
      <c r="EBZ6" s="433"/>
      <c r="ECA6" s="433"/>
      <c r="ECB6" s="433"/>
      <c r="ECC6" s="433"/>
      <c r="ECD6" s="433"/>
      <c r="ECE6" s="433"/>
      <c r="ECF6" s="433"/>
      <c r="ECG6" s="433"/>
      <c r="ECH6" s="433"/>
      <c r="ECI6" s="433"/>
      <c r="ECJ6" s="433"/>
      <c r="ECK6" s="433"/>
      <c r="ECL6" s="433"/>
      <c r="ECM6" s="433"/>
      <c r="ECN6" s="433"/>
      <c r="ECO6" s="433"/>
      <c r="ECP6" s="433"/>
      <c r="ECQ6" s="433"/>
      <c r="ECR6" s="433"/>
      <c r="ECS6" s="433"/>
      <c r="ECT6" s="433"/>
      <c r="ECU6" s="433"/>
      <c r="ECV6" s="433"/>
      <c r="ECW6" s="433"/>
      <c r="ECX6" s="433"/>
      <c r="ECY6" s="433"/>
      <c r="ECZ6" s="433"/>
      <c r="EDA6" s="433"/>
      <c r="EDB6" s="433"/>
      <c r="EDC6" s="433"/>
      <c r="EDD6" s="433"/>
      <c r="EDE6" s="433"/>
      <c r="EDF6" s="433"/>
      <c r="EDG6" s="433"/>
      <c r="EDH6" s="433"/>
      <c r="EDI6" s="433"/>
      <c r="EDJ6" s="433"/>
      <c r="EDK6" s="433"/>
      <c r="EDL6" s="433"/>
      <c r="EDM6" s="433"/>
      <c r="EDN6" s="433"/>
      <c r="EDO6" s="433"/>
      <c r="EDP6" s="433"/>
      <c r="EDQ6" s="433"/>
      <c r="EDR6" s="433"/>
      <c r="EDS6" s="433"/>
      <c r="EDT6" s="433"/>
      <c r="EDU6" s="433"/>
      <c r="EDV6" s="433"/>
      <c r="EDW6" s="433"/>
      <c r="EDX6" s="433"/>
      <c r="EDY6" s="433"/>
      <c r="EDZ6" s="433"/>
      <c r="EEA6" s="433"/>
      <c r="EEB6" s="433"/>
      <c r="EEC6" s="433"/>
      <c r="EED6" s="433"/>
      <c r="EEE6" s="433"/>
      <c r="EEF6" s="433"/>
      <c r="EEG6" s="433"/>
      <c r="EEH6" s="433"/>
      <c r="EEI6" s="433"/>
      <c r="EEJ6" s="433"/>
      <c r="EEK6" s="433"/>
      <c r="EEL6" s="433"/>
      <c r="EEM6" s="433"/>
      <c r="EEN6" s="433"/>
      <c r="EEO6" s="433"/>
      <c r="EEP6" s="433"/>
      <c r="EEQ6" s="433"/>
      <c r="EER6" s="433"/>
      <c r="EES6" s="433"/>
      <c r="EET6" s="433"/>
      <c r="EEU6" s="433"/>
      <c r="EEV6" s="433"/>
      <c r="EEW6" s="433"/>
      <c r="EEX6" s="433"/>
      <c r="EEY6" s="433"/>
      <c r="EEZ6" s="433"/>
      <c r="EFA6" s="433"/>
      <c r="EFB6" s="433"/>
      <c r="EFC6" s="433"/>
      <c r="EFD6" s="433"/>
      <c r="EFE6" s="433"/>
      <c r="EFF6" s="433"/>
      <c r="EFG6" s="433"/>
      <c r="EFH6" s="433"/>
      <c r="EFI6" s="433"/>
      <c r="EFJ6" s="433"/>
      <c r="EFK6" s="433"/>
      <c r="EFL6" s="433"/>
      <c r="EFM6" s="433"/>
      <c r="EFN6" s="433"/>
      <c r="EFO6" s="433"/>
      <c r="EFP6" s="433"/>
      <c r="EFQ6" s="433"/>
      <c r="EFR6" s="433"/>
      <c r="EFS6" s="433"/>
      <c r="EFT6" s="433"/>
      <c r="EFU6" s="433"/>
      <c r="EFV6" s="433"/>
      <c r="EFW6" s="433"/>
      <c r="EFX6" s="433"/>
      <c r="EFY6" s="433"/>
      <c r="EFZ6" s="433"/>
      <c r="EGA6" s="433"/>
      <c r="EGB6" s="433"/>
      <c r="EGC6" s="433"/>
      <c r="EGD6" s="433"/>
      <c r="EGE6" s="433"/>
      <c r="EGF6" s="433"/>
      <c r="EGG6" s="433"/>
      <c r="EGH6" s="433"/>
      <c r="EGI6" s="433"/>
      <c r="EGJ6" s="433"/>
      <c r="EGK6" s="433"/>
      <c r="EGL6" s="433"/>
      <c r="EGM6" s="433"/>
      <c r="EGN6" s="433"/>
      <c r="EGO6" s="433"/>
      <c r="EGP6" s="433"/>
      <c r="EGQ6" s="433"/>
      <c r="EGR6" s="433"/>
      <c r="EGS6" s="433"/>
      <c r="EGT6" s="433"/>
      <c r="EGU6" s="433"/>
      <c r="EGV6" s="433"/>
      <c r="EGW6" s="433"/>
      <c r="EGX6" s="433"/>
      <c r="EGY6" s="433"/>
      <c r="EGZ6" s="433"/>
      <c r="EHA6" s="433"/>
      <c r="EHB6" s="433"/>
      <c r="EHC6" s="433"/>
      <c r="EHD6" s="433"/>
      <c r="EHE6" s="433"/>
      <c r="EHF6" s="433"/>
      <c r="EHG6" s="433"/>
      <c r="EHH6" s="433"/>
      <c r="EHI6" s="433"/>
      <c r="EHJ6" s="433"/>
      <c r="EHK6" s="433"/>
      <c r="EHL6" s="433"/>
      <c r="EHM6" s="433"/>
      <c r="EHN6" s="433"/>
      <c r="EHO6" s="433"/>
      <c r="EHP6" s="433"/>
      <c r="EHQ6" s="433"/>
      <c r="EHR6" s="433"/>
      <c r="EHS6" s="433"/>
      <c r="EHT6" s="433"/>
      <c r="EHU6" s="433"/>
      <c r="EHV6" s="433"/>
      <c r="EHW6" s="433"/>
      <c r="EHX6" s="433"/>
      <c r="EHY6" s="433"/>
      <c r="EHZ6" s="433"/>
      <c r="EIA6" s="433"/>
      <c r="EIB6" s="433"/>
      <c r="EIC6" s="433"/>
      <c r="EID6" s="433"/>
      <c r="EIE6" s="433"/>
      <c r="EIF6" s="433"/>
      <c r="EIG6" s="433"/>
      <c r="EIH6" s="433"/>
      <c r="EII6" s="433"/>
      <c r="EIJ6" s="433"/>
      <c r="EIK6" s="433"/>
      <c r="EIL6" s="433"/>
      <c r="EIM6" s="433"/>
      <c r="EIN6" s="433"/>
      <c r="EIO6" s="433"/>
      <c r="EIP6" s="433"/>
      <c r="EIQ6" s="433"/>
      <c r="EIR6" s="433"/>
      <c r="EIS6" s="433"/>
      <c r="EIT6" s="433"/>
      <c r="EIU6" s="433"/>
      <c r="EIV6" s="433"/>
      <c r="EIW6" s="433"/>
      <c r="EIX6" s="433"/>
      <c r="EIY6" s="433"/>
      <c r="EIZ6" s="433"/>
      <c r="EJA6" s="433"/>
      <c r="EJB6" s="433"/>
      <c r="EJC6" s="433"/>
      <c r="EJD6" s="433"/>
      <c r="EJE6" s="433"/>
      <c r="EJF6" s="433"/>
      <c r="EJG6" s="433"/>
      <c r="EJH6" s="433"/>
      <c r="EJI6" s="433"/>
      <c r="EJJ6" s="433"/>
      <c r="EJK6" s="433"/>
      <c r="EJL6" s="433"/>
      <c r="EJM6" s="433"/>
      <c r="EJN6" s="433"/>
      <c r="EJO6" s="433"/>
      <c r="EJP6" s="433"/>
      <c r="EJQ6" s="433"/>
      <c r="EJR6" s="433"/>
      <c r="EJS6" s="433"/>
      <c r="EJT6" s="433"/>
      <c r="EJU6" s="433"/>
      <c r="EJV6" s="433"/>
      <c r="EJW6" s="433"/>
      <c r="EJX6" s="433"/>
      <c r="EJY6" s="433"/>
      <c r="EJZ6" s="433"/>
      <c r="EKA6" s="433"/>
      <c r="EKB6" s="433"/>
      <c r="EKC6" s="433"/>
      <c r="EKD6" s="433"/>
      <c r="EKE6" s="433"/>
      <c r="EKF6" s="433"/>
      <c r="EKG6" s="433"/>
      <c r="EKH6" s="433"/>
      <c r="EKI6" s="433"/>
      <c r="EKJ6" s="433"/>
      <c r="EKK6" s="433"/>
      <c r="EKL6" s="433"/>
      <c r="EKM6" s="433"/>
      <c r="EKN6" s="433"/>
      <c r="EKO6" s="433"/>
      <c r="EKP6" s="433"/>
      <c r="EKQ6" s="433"/>
      <c r="EKR6" s="433"/>
      <c r="EKS6" s="433"/>
      <c r="EKT6" s="433"/>
      <c r="EKU6" s="433"/>
      <c r="EKV6" s="433"/>
      <c r="EKW6" s="433"/>
      <c r="EKX6" s="433"/>
      <c r="EKY6" s="433"/>
      <c r="EKZ6" s="433"/>
      <c r="ELA6" s="433"/>
      <c r="ELB6" s="433"/>
      <c r="ELC6" s="433"/>
      <c r="ELD6" s="433"/>
      <c r="ELE6" s="433"/>
      <c r="ELF6" s="433"/>
      <c r="ELG6" s="433"/>
      <c r="ELH6" s="433"/>
      <c r="ELI6" s="433"/>
      <c r="ELJ6" s="433"/>
      <c r="ELK6" s="433"/>
      <c r="ELL6" s="433"/>
      <c r="ELM6" s="433"/>
      <c r="ELN6" s="433"/>
      <c r="ELO6" s="433"/>
      <c r="ELP6" s="433"/>
      <c r="ELQ6" s="433"/>
      <c r="ELR6" s="433"/>
      <c r="ELS6" s="433"/>
      <c r="ELT6" s="433"/>
      <c r="ELU6" s="433"/>
      <c r="ELV6" s="433"/>
      <c r="ELW6" s="433"/>
      <c r="ELX6" s="433"/>
      <c r="ELY6" s="433"/>
      <c r="ELZ6" s="433"/>
      <c r="EMA6" s="433"/>
      <c r="EMB6" s="433"/>
      <c r="EMC6" s="433"/>
      <c r="EMD6" s="433"/>
      <c r="EME6" s="433"/>
      <c r="EMF6" s="433"/>
      <c r="EMG6" s="433"/>
      <c r="EMH6" s="433"/>
      <c r="EMI6" s="433"/>
      <c r="EMJ6" s="433"/>
      <c r="EMK6" s="433"/>
      <c r="EML6" s="433"/>
      <c r="EMM6" s="433"/>
      <c r="EMN6" s="433"/>
      <c r="EMO6" s="433"/>
      <c r="EMP6" s="433"/>
      <c r="EMQ6" s="433"/>
      <c r="EMR6" s="433"/>
      <c r="EMS6" s="433"/>
      <c r="EMT6" s="433"/>
      <c r="EMU6" s="433"/>
      <c r="EMV6" s="433"/>
      <c r="EMW6" s="433"/>
      <c r="EMX6" s="433"/>
      <c r="EMY6" s="433"/>
      <c r="EMZ6" s="433"/>
      <c r="ENA6" s="433"/>
      <c r="ENB6" s="433"/>
      <c r="ENC6" s="433"/>
      <c r="END6" s="433"/>
      <c r="ENE6" s="433"/>
      <c r="ENF6" s="433"/>
      <c r="ENG6" s="433"/>
      <c r="ENH6" s="433"/>
      <c r="ENI6" s="433"/>
      <c r="ENJ6" s="433"/>
      <c r="ENK6" s="433"/>
      <c r="ENL6" s="433"/>
      <c r="ENM6" s="433"/>
      <c r="ENN6" s="433"/>
      <c r="ENO6" s="433"/>
      <c r="ENP6" s="433"/>
      <c r="ENQ6" s="433"/>
      <c r="ENR6" s="433"/>
      <c r="ENS6" s="433"/>
      <c r="ENT6" s="433"/>
      <c r="ENU6" s="433"/>
      <c r="ENV6" s="433"/>
      <c r="ENW6" s="433"/>
      <c r="ENX6" s="433"/>
      <c r="ENY6" s="433"/>
      <c r="ENZ6" s="433"/>
      <c r="EOA6" s="433"/>
      <c r="EOB6" s="433"/>
      <c r="EOC6" s="433"/>
      <c r="EOD6" s="433"/>
      <c r="EOE6" s="433"/>
      <c r="EOF6" s="433"/>
      <c r="EOG6" s="433"/>
      <c r="EOH6" s="433"/>
      <c r="EOI6" s="433"/>
      <c r="EOJ6" s="433"/>
      <c r="EOK6" s="433"/>
      <c r="EOL6" s="433"/>
      <c r="EOM6" s="433"/>
      <c r="EON6" s="433"/>
      <c r="EOO6" s="433"/>
      <c r="EOP6" s="433"/>
      <c r="EOQ6" s="433"/>
      <c r="EOR6" s="433"/>
      <c r="EOS6" s="433"/>
      <c r="EOT6" s="433"/>
      <c r="EOU6" s="433"/>
      <c r="EOV6" s="433"/>
      <c r="EOW6" s="433"/>
      <c r="EOX6" s="433"/>
      <c r="EOY6" s="433"/>
      <c r="EOZ6" s="433"/>
      <c r="EPA6" s="433"/>
      <c r="EPB6" s="433"/>
      <c r="EPC6" s="433"/>
      <c r="EPD6" s="433"/>
      <c r="EPE6" s="433"/>
      <c r="EPF6" s="433"/>
      <c r="EPG6" s="433"/>
      <c r="EPH6" s="433"/>
      <c r="EPI6" s="433"/>
      <c r="EPJ6" s="433"/>
      <c r="EPK6" s="433"/>
      <c r="EPL6" s="433"/>
      <c r="EPM6" s="433"/>
      <c r="EPN6" s="433"/>
      <c r="EPO6" s="433"/>
      <c r="EPP6" s="433"/>
      <c r="EPQ6" s="433"/>
      <c r="EPR6" s="433"/>
      <c r="EPS6" s="433"/>
      <c r="EPT6" s="433"/>
      <c r="EPU6" s="433"/>
      <c r="EPV6" s="433"/>
      <c r="EPW6" s="433"/>
      <c r="EPX6" s="433"/>
      <c r="EPY6" s="433"/>
      <c r="EPZ6" s="433"/>
      <c r="EQA6" s="433"/>
      <c r="EQB6" s="433"/>
      <c r="EQC6" s="433"/>
      <c r="EQD6" s="433"/>
      <c r="EQE6" s="433"/>
      <c r="EQF6" s="433"/>
      <c r="EQG6" s="433"/>
      <c r="EQH6" s="433"/>
      <c r="EQI6" s="433"/>
      <c r="EQJ6" s="433"/>
      <c r="EQK6" s="433"/>
      <c r="EQL6" s="433"/>
      <c r="EQM6" s="433"/>
      <c r="EQN6" s="433"/>
      <c r="EQO6" s="433"/>
      <c r="EQP6" s="433"/>
      <c r="EQQ6" s="433"/>
      <c r="EQR6" s="433"/>
      <c r="EQS6" s="433"/>
      <c r="EQT6" s="433"/>
      <c r="EQU6" s="433"/>
      <c r="EQV6" s="433"/>
      <c r="EQW6" s="433"/>
      <c r="EQX6" s="433"/>
      <c r="EQY6" s="433"/>
      <c r="EQZ6" s="433"/>
      <c r="ERA6" s="433"/>
      <c r="ERB6" s="433"/>
      <c r="ERC6" s="433"/>
      <c r="ERD6" s="433"/>
      <c r="ERE6" s="433"/>
      <c r="ERF6" s="433"/>
      <c r="ERG6" s="433"/>
      <c r="ERH6" s="433"/>
      <c r="ERI6" s="433"/>
      <c r="ERJ6" s="433"/>
      <c r="ERK6" s="433"/>
      <c r="ERL6" s="433"/>
      <c r="ERM6" s="433"/>
      <c r="ERN6" s="433"/>
      <c r="ERO6" s="433"/>
      <c r="ERP6" s="433"/>
      <c r="ERQ6" s="433"/>
      <c r="ERR6" s="433"/>
      <c r="ERS6" s="433"/>
      <c r="ERT6" s="433"/>
      <c r="ERU6" s="433"/>
      <c r="ERV6" s="433"/>
      <c r="ERW6" s="433"/>
      <c r="ERX6" s="433"/>
      <c r="ERY6" s="433"/>
      <c r="ERZ6" s="433"/>
      <c r="ESA6" s="433"/>
      <c r="ESB6" s="433"/>
      <c r="ESC6" s="433"/>
      <c r="ESD6" s="433"/>
      <c r="ESE6" s="433"/>
      <c r="ESF6" s="433"/>
      <c r="ESG6" s="433"/>
      <c r="ESH6" s="433"/>
      <c r="ESI6" s="433"/>
      <c r="ESJ6" s="433"/>
      <c r="ESK6" s="433"/>
      <c r="ESL6" s="433"/>
      <c r="ESM6" s="433"/>
      <c r="ESN6" s="433"/>
      <c r="ESO6" s="433"/>
      <c r="ESP6" s="433"/>
      <c r="ESQ6" s="433"/>
      <c r="ESR6" s="433"/>
      <c r="ESS6" s="433"/>
      <c r="EST6" s="433"/>
      <c r="ESU6" s="433"/>
      <c r="ESV6" s="433"/>
      <c r="ESW6" s="433"/>
      <c r="ESX6" s="433"/>
      <c r="ESY6" s="433"/>
      <c r="ESZ6" s="433"/>
      <c r="ETA6" s="433"/>
      <c r="ETB6" s="433"/>
      <c r="ETC6" s="433"/>
      <c r="ETD6" s="433"/>
      <c r="ETE6" s="433"/>
      <c r="ETF6" s="433"/>
      <c r="ETG6" s="433"/>
      <c r="ETH6" s="433"/>
      <c r="ETI6" s="433"/>
      <c r="ETJ6" s="433"/>
      <c r="ETK6" s="433"/>
      <c r="ETL6" s="433"/>
      <c r="ETM6" s="433"/>
      <c r="ETN6" s="433"/>
      <c r="ETO6" s="433"/>
      <c r="ETP6" s="433"/>
      <c r="ETQ6" s="433"/>
      <c r="ETR6" s="433"/>
      <c r="ETS6" s="433"/>
      <c r="ETT6" s="433"/>
      <c r="ETU6" s="433"/>
      <c r="ETV6" s="433"/>
      <c r="ETW6" s="433"/>
      <c r="ETX6" s="433"/>
      <c r="ETY6" s="433"/>
      <c r="ETZ6" s="433"/>
      <c r="EUA6" s="433"/>
      <c r="EUB6" s="433"/>
      <c r="EUC6" s="433"/>
      <c r="EUD6" s="433"/>
      <c r="EUE6" s="433"/>
      <c r="EUF6" s="433"/>
      <c r="EUG6" s="433"/>
      <c r="EUH6" s="433"/>
      <c r="EUI6" s="433"/>
      <c r="EUJ6" s="433"/>
      <c r="EUK6" s="433"/>
      <c r="EUL6" s="433"/>
      <c r="EUM6" s="433"/>
      <c r="EUN6" s="433"/>
      <c r="EUO6" s="433"/>
      <c r="EUP6" s="433"/>
      <c r="EUQ6" s="433"/>
      <c r="EUR6" s="433"/>
      <c r="EUS6" s="433"/>
      <c r="EUT6" s="433"/>
      <c r="EUU6" s="433"/>
      <c r="EUV6" s="433"/>
      <c r="EUW6" s="433"/>
      <c r="EUX6" s="433"/>
      <c r="EUY6" s="433"/>
      <c r="EUZ6" s="433"/>
      <c r="EVA6" s="433"/>
      <c r="EVB6" s="433"/>
      <c r="EVC6" s="433"/>
      <c r="EVD6" s="433"/>
      <c r="EVE6" s="433"/>
      <c r="EVF6" s="433"/>
      <c r="EVG6" s="433"/>
      <c r="EVH6" s="433"/>
      <c r="EVI6" s="433"/>
      <c r="EVJ6" s="433"/>
      <c r="EVK6" s="433"/>
      <c r="EVL6" s="433"/>
      <c r="EVM6" s="433"/>
      <c r="EVN6" s="433"/>
      <c r="EVO6" s="433"/>
      <c r="EVP6" s="433"/>
      <c r="EVQ6" s="433"/>
      <c r="EVR6" s="433"/>
      <c r="EVS6" s="433"/>
      <c r="EVT6" s="433"/>
      <c r="EVU6" s="433"/>
      <c r="EVV6" s="433"/>
      <c r="EVW6" s="433"/>
      <c r="EVX6" s="433"/>
      <c r="EVY6" s="433"/>
      <c r="EVZ6" s="433"/>
      <c r="EWA6" s="433"/>
      <c r="EWB6" s="433"/>
      <c r="EWC6" s="433"/>
      <c r="EWD6" s="433"/>
      <c r="EWE6" s="433"/>
      <c r="EWF6" s="433"/>
      <c r="EWG6" s="433"/>
      <c r="EWH6" s="433"/>
      <c r="EWI6" s="433"/>
      <c r="EWJ6" s="433"/>
      <c r="EWK6" s="433"/>
      <c r="EWL6" s="433"/>
      <c r="EWM6" s="433"/>
      <c r="EWN6" s="433"/>
      <c r="EWO6" s="433"/>
      <c r="EWP6" s="433"/>
      <c r="EWQ6" s="433"/>
      <c r="EWR6" s="433"/>
      <c r="EWS6" s="433"/>
      <c r="EWT6" s="433"/>
      <c r="EWU6" s="433"/>
      <c r="EWV6" s="433"/>
      <c r="EWW6" s="433"/>
      <c r="EWX6" s="433"/>
      <c r="EWY6" s="433"/>
      <c r="EWZ6" s="433"/>
      <c r="EXA6" s="433"/>
      <c r="EXB6" s="433"/>
      <c r="EXC6" s="433"/>
      <c r="EXD6" s="433"/>
      <c r="EXE6" s="433"/>
      <c r="EXF6" s="433"/>
      <c r="EXG6" s="433"/>
      <c r="EXH6" s="433"/>
      <c r="EXI6" s="433"/>
      <c r="EXJ6" s="433"/>
      <c r="EXK6" s="433"/>
      <c r="EXL6" s="433"/>
      <c r="EXM6" s="433"/>
      <c r="EXN6" s="433"/>
      <c r="EXO6" s="433"/>
      <c r="EXP6" s="433"/>
      <c r="EXQ6" s="433"/>
      <c r="EXR6" s="433"/>
      <c r="EXS6" s="433"/>
      <c r="EXT6" s="433"/>
      <c r="EXU6" s="433"/>
      <c r="EXV6" s="433"/>
      <c r="EXW6" s="433"/>
      <c r="EXX6" s="433"/>
      <c r="EXY6" s="433"/>
      <c r="EXZ6" s="433"/>
      <c r="EYA6" s="433"/>
      <c r="EYB6" s="433"/>
      <c r="EYC6" s="433"/>
      <c r="EYD6" s="433"/>
      <c r="EYE6" s="433"/>
      <c r="EYF6" s="433"/>
      <c r="EYG6" s="433"/>
      <c r="EYH6" s="433"/>
      <c r="EYI6" s="433"/>
      <c r="EYJ6" s="433"/>
      <c r="EYK6" s="433"/>
      <c r="EYL6" s="433"/>
      <c r="EYM6" s="433"/>
      <c r="EYN6" s="433"/>
      <c r="EYO6" s="433"/>
      <c r="EYP6" s="433"/>
      <c r="EYQ6" s="433"/>
      <c r="EYR6" s="433"/>
      <c r="EYS6" s="433"/>
      <c r="EYT6" s="433"/>
      <c r="EYU6" s="433"/>
      <c r="EYV6" s="433"/>
      <c r="EYW6" s="433"/>
      <c r="EYX6" s="433"/>
      <c r="EYY6" s="433"/>
      <c r="EYZ6" s="433"/>
      <c r="EZA6" s="433"/>
      <c r="EZB6" s="433"/>
      <c r="EZC6" s="433"/>
      <c r="EZD6" s="433"/>
      <c r="EZE6" s="433"/>
      <c r="EZF6" s="433"/>
      <c r="EZG6" s="433"/>
      <c r="EZH6" s="433"/>
      <c r="EZI6" s="433"/>
      <c r="EZJ6" s="433"/>
      <c r="EZK6" s="433"/>
      <c r="EZL6" s="433"/>
      <c r="EZM6" s="433"/>
      <c r="EZN6" s="433"/>
      <c r="EZO6" s="433"/>
      <c r="EZP6" s="433"/>
      <c r="EZQ6" s="433"/>
      <c r="EZR6" s="433"/>
      <c r="EZS6" s="433"/>
      <c r="EZT6" s="433"/>
      <c r="EZU6" s="433"/>
      <c r="EZV6" s="433"/>
      <c r="EZW6" s="433"/>
      <c r="EZX6" s="433"/>
      <c r="EZY6" s="433"/>
      <c r="EZZ6" s="433"/>
      <c r="FAA6" s="433"/>
      <c r="FAB6" s="433"/>
      <c r="FAC6" s="433"/>
      <c r="FAD6" s="433"/>
      <c r="FAE6" s="433"/>
      <c r="FAF6" s="433"/>
      <c r="FAG6" s="433"/>
      <c r="FAH6" s="433"/>
      <c r="FAI6" s="433"/>
      <c r="FAJ6" s="433"/>
      <c r="FAK6" s="433"/>
      <c r="FAL6" s="433"/>
      <c r="FAM6" s="433"/>
      <c r="FAN6" s="433"/>
      <c r="FAO6" s="433"/>
      <c r="FAP6" s="433"/>
      <c r="FAQ6" s="433"/>
      <c r="FAR6" s="433"/>
      <c r="FAS6" s="433"/>
      <c r="FAT6" s="433"/>
      <c r="FAU6" s="433"/>
      <c r="FAV6" s="433"/>
      <c r="FAW6" s="433"/>
      <c r="FAX6" s="433"/>
      <c r="FAY6" s="433"/>
      <c r="FAZ6" s="433"/>
      <c r="FBA6" s="433"/>
      <c r="FBB6" s="433"/>
      <c r="FBC6" s="433"/>
      <c r="FBD6" s="433"/>
      <c r="FBE6" s="433"/>
      <c r="FBF6" s="433"/>
      <c r="FBG6" s="433"/>
      <c r="FBH6" s="433"/>
      <c r="FBI6" s="433"/>
      <c r="FBJ6" s="433"/>
      <c r="FBK6" s="433"/>
      <c r="FBL6" s="433"/>
      <c r="FBM6" s="433"/>
      <c r="FBN6" s="433"/>
      <c r="FBO6" s="433"/>
      <c r="FBP6" s="433"/>
      <c r="FBQ6" s="433"/>
      <c r="FBR6" s="433"/>
      <c r="FBS6" s="433"/>
      <c r="FBT6" s="433"/>
      <c r="FBU6" s="433"/>
      <c r="FBV6" s="433"/>
      <c r="FBW6" s="433"/>
      <c r="FBX6" s="433"/>
      <c r="FBY6" s="433"/>
      <c r="FBZ6" s="433"/>
      <c r="FCA6" s="433"/>
      <c r="FCB6" s="433"/>
      <c r="FCC6" s="433"/>
      <c r="FCD6" s="433"/>
      <c r="FCE6" s="433"/>
      <c r="FCF6" s="433"/>
      <c r="FCG6" s="433"/>
      <c r="FCH6" s="433"/>
      <c r="FCI6" s="433"/>
      <c r="FCJ6" s="433"/>
      <c r="FCK6" s="433"/>
      <c r="FCL6" s="433"/>
      <c r="FCM6" s="433"/>
      <c r="FCN6" s="433"/>
      <c r="FCO6" s="433"/>
      <c r="FCP6" s="433"/>
      <c r="FCQ6" s="433"/>
      <c r="FCR6" s="433"/>
      <c r="FCS6" s="433"/>
      <c r="FCT6" s="433"/>
      <c r="FCU6" s="433"/>
      <c r="FCV6" s="433"/>
      <c r="FCW6" s="433"/>
      <c r="FCX6" s="433"/>
      <c r="FCY6" s="433"/>
      <c r="FCZ6" s="433"/>
      <c r="FDA6" s="433"/>
      <c r="FDB6" s="433"/>
      <c r="FDC6" s="433"/>
      <c r="FDD6" s="433"/>
      <c r="FDE6" s="433"/>
      <c r="FDF6" s="433"/>
      <c r="FDG6" s="433"/>
      <c r="FDH6" s="433"/>
      <c r="FDI6" s="433"/>
      <c r="FDJ6" s="433"/>
      <c r="FDK6" s="433"/>
      <c r="FDL6" s="433"/>
      <c r="FDM6" s="433"/>
      <c r="FDN6" s="433"/>
      <c r="FDO6" s="433"/>
      <c r="FDP6" s="433"/>
      <c r="FDQ6" s="433"/>
      <c r="FDR6" s="433"/>
      <c r="FDS6" s="433"/>
      <c r="FDT6" s="433"/>
      <c r="FDU6" s="433"/>
      <c r="FDV6" s="433"/>
      <c r="FDW6" s="433"/>
      <c r="FDX6" s="433"/>
      <c r="FDY6" s="433"/>
      <c r="FDZ6" s="433"/>
      <c r="FEA6" s="433"/>
      <c r="FEB6" s="433"/>
      <c r="FEC6" s="433"/>
      <c r="FED6" s="433"/>
      <c r="FEE6" s="433"/>
      <c r="FEF6" s="433"/>
      <c r="FEG6" s="433"/>
      <c r="FEH6" s="433"/>
      <c r="FEI6" s="433"/>
      <c r="FEJ6" s="433"/>
      <c r="FEK6" s="433"/>
      <c r="FEL6" s="433"/>
      <c r="FEM6" s="433"/>
      <c r="FEN6" s="433"/>
      <c r="FEO6" s="433"/>
      <c r="FEP6" s="433"/>
      <c r="FEQ6" s="433"/>
      <c r="FER6" s="433"/>
      <c r="FES6" s="433"/>
      <c r="FET6" s="433"/>
      <c r="FEU6" s="433"/>
      <c r="FEV6" s="433"/>
      <c r="FEW6" s="433"/>
      <c r="FEX6" s="433"/>
      <c r="FEY6" s="433"/>
      <c r="FEZ6" s="433"/>
      <c r="FFA6" s="433"/>
      <c r="FFB6" s="433"/>
      <c r="FFC6" s="433"/>
      <c r="FFD6" s="433"/>
      <c r="FFE6" s="433"/>
      <c r="FFF6" s="433"/>
      <c r="FFG6" s="433"/>
      <c r="FFH6" s="433"/>
      <c r="FFI6" s="433"/>
      <c r="FFJ6" s="433"/>
      <c r="FFK6" s="433"/>
      <c r="FFL6" s="433"/>
      <c r="FFM6" s="433"/>
      <c r="FFN6" s="433"/>
      <c r="FFO6" s="433"/>
      <c r="FFP6" s="433"/>
      <c r="FFQ6" s="433"/>
      <c r="FFR6" s="433"/>
      <c r="FFS6" s="433"/>
      <c r="FFT6" s="433"/>
      <c r="FFU6" s="433"/>
      <c r="FFV6" s="433"/>
      <c r="FFW6" s="433"/>
      <c r="FFX6" s="433"/>
      <c r="FFY6" s="433"/>
      <c r="FFZ6" s="433"/>
      <c r="FGA6" s="433"/>
      <c r="FGB6" s="433"/>
      <c r="FGC6" s="433"/>
      <c r="FGD6" s="433"/>
      <c r="FGE6" s="433"/>
      <c r="FGF6" s="433"/>
      <c r="FGG6" s="433"/>
      <c r="FGH6" s="433"/>
      <c r="FGI6" s="433"/>
      <c r="FGJ6" s="433"/>
      <c r="FGK6" s="433"/>
      <c r="FGL6" s="433"/>
      <c r="FGM6" s="433"/>
      <c r="FGN6" s="433"/>
      <c r="FGO6" s="433"/>
      <c r="FGP6" s="433"/>
      <c r="FGQ6" s="433"/>
      <c r="FGR6" s="433"/>
      <c r="FGS6" s="433"/>
      <c r="FGT6" s="433"/>
      <c r="FGU6" s="433"/>
      <c r="FGV6" s="433"/>
      <c r="FGW6" s="433"/>
      <c r="FGX6" s="433"/>
      <c r="FGY6" s="433"/>
      <c r="FGZ6" s="433"/>
      <c r="FHA6" s="433"/>
      <c r="FHB6" s="433"/>
      <c r="FHC6" s="433"/>
      <c r="FHD6" s="433"/>
      <c r="FHE6" s="433"/>
      <c r="FHF6" s="433"/>
      <c r="FHG6" s="433"/>
      <c r="FHH6" s="433"/>
      <c r="FHI6" s="433"/>
      <c r="FHJ6" s="433"/>
      <c r="FHK6" s="433"/>
      <c r="FHL6" s="433"/>
      <c r="FHM6" s="433"/>
      <c r="FHN6" s="433"/>
      <c r="FHO6" s="433"/>
      <c r="FHP6" s="433"/>
      <c r="FHQ6" s="433"/>
      <c r="FHR6" s="433"/>
      <c r="FHS6" s="433"/>
      <c r="FHT6" s="433"/>
      <c r="FHU6" s="433"/>
      <c r="FHV6" s="433"/>
      <c r="FHW6" s="433"/>
      <c r="FHX6" s="433"/>
      <c r="FHY6" s="433"/>
      <c r="FHZ6" s="433"/>
      <c r="FIA6" s="433"/>
      <c r="FIB6" s="433"/>
      <c r="FIC6" s="433"/>
      <c r="FID6" s="433"/>
      <c r="FIE6" s="433"/>
      <c r="FIF6" s="433"/>
      <c r="FIG6" s="433"/>
      <c r="FIH6" s="433"/>
      <c r="FII6" s="433"/>
      <c r="FIJ6" s="433"/>
      <c r="FIK6" s="433"/>
      <c r="FIL6" s="433"/>
      <c r="FIM6" s="433"/>
      <c r="FIN6" s="433"/>
      <c r="FIO6" s="433"/>
      <c r="FIP6" s="433"/>
      <c r="FIQ6" s="433"/>
      <c r="FIR6" s="433"/>
      <c r="FIS6" s="433"/>
      <c r="FIT6" s="433"/>
      <c r="FIU6" s="433"/>
      <c r="FIV6" s="433"/>
      <c r="FIW6" s="433"/>
      <c r="FIX6" s="433"/>
      <c r="FIY6" s="433"/>
      <c r="FIZ6" s="433"/>
      <c r="FJA6" s="433"/>
      <c r="FJB6" s="433"/>
      <c r="FJC6" s="433"/>
      <c r="FJD6" s="433"/>
      <c r="FJE6" s="433"/>
      <c r="FJF6" s="433"/>
      <c r="FJG6" s="433"/>
      <c r="FJH6" s="433"/>
      <c r="FJI6" s="433"/>
      <c r="FJJ6" s="433"/>
      <c r="FJK6" s="433"/>
      <c r="FJL6" s="433"/>
      <c r="FJM6" s="433"/>
      <c r="FJN6" s="433"/>
      <c r="FJO6" s="433"/>
      <c r="FJP6" s="433"/>
      <c r="FJQ6" s="433"/>
      <c r="FJR6" s="433"/>
      <c r="FJS6" s="433"/>
      <c r="FJT6" s="433"/>
      <c r="FJU6" s="433"/>
      <c r="FJV6" s="433"/>
      <c r="FJW6" s="433"/>
      <c r="FJX6" s="433"/>
      <c r="FJY6" s="433"/>
      <c r="FJZ6" s="433"/>
      <c r="FKA6" s="433"/>
      <c r="FKB6" s="433"/>
      <c r="FKC6" s="433"/>
      <c r="FKD6" s="433"/>
      <c r="FKE6" s="433"/>
      <c r="FKF6" s="433"/>
      <c r="FKG6" s="433"/>
      <c r="FKH6" s="433"/>
      <c r="FKI6" s="433"/>
      <c r="FKJ6" s="433"/>
      <c r="FKK6" s="433"/>
      <c r="FKL6" s="433"/>
      <c r="FKM6" s="433"/>
      <c r="FKN6" s="433"/>
      <c r="FKO6" s="433"/>
      <c r="FKP6" s="433"/>
      <c r="FKQ6" s="433"/>
      <c r="FKR6" s="433"/>
      <c r="FKS6" s="433"/>
      <c r="FKT6" s="433"/>
      <c r="FKU6" s="433"/>
      <c r="FKV6" s="433"/>
      <c r="FKW6" s="433"/>
      <c r="FKX6" s="433"/>
      <c r="FKY6" s="433"/>
      <c r="FKZ6" s="433"/>
      <c r="FLA6" s="433"/>
      <c r="FLB6" s="433"/>
      <c r="FLC6" s="433"/>
      <c r="FLD6" s="433"/>
      <c r="FLE6" s="433"/>
      <c r="FLF6" s="433"/>
      <c r="FLG6" s="433"/>
      <c r="FLH6" s="433"/>
      <c r="FLI6" s="433"/>
      <c r="FLJ6" s="433"/>
      <c r="FLK6" s="433"/>
      <c r="FLL6" s="433"/>
      <c r="FLM6" s="433"/>
      <c r="FLN6" s="433"/>
      <c r="FLO6" s="433"/>
      <c r="FLP6" s="433"/>
      <c r="FLQ6" s="433"/>
      <c r="FLR6" s="433"/>
      <c r="FLS6" s="433"/>
      <c r="FLT6" s="433"/>
      <c r="FLU6" s="433"/>
      <c r="FLV6" s="433"/>
      <c r="FLW6" s="433"/>
      <c r="FLX6" s="433"/>
      <c r="FLY6" s="433"/>
      <c r="FLZ6" s="433"/>
      <c r="FMA6" s="433"/>
      <c r="FMB6" s="433"/>
      <c r="FMC6" s="433"/>
      <c r="FMD6" s="433"/>
      <c r="FME6" s="433"/>
      <c r="FMF6" s="433"/>
      <c r="FMG6" s="433"/>
      <c r="FMH6" s="433"/>
      <c r="FMI6" s="433"/>
      <c r="FMJ6" s="433"/>
      <c r="FMK6" s="433"/>
      <c r="FML6" s="433"/>
      <c r="FMM6" s="433"/>
      <c r="FMN6" s="433"/>
      <c r="FMO6" s="433"/>
      <c r="FMP6" s="433"/>
      <c r="FMQ6" s="433"/>
      <c r="FMR6" s="433"/>
      <c r="FMS6" s="433"/>
      <c r="FMT6" s="433"/>
      <c r="FMU6" s="433"/>
      <c r="FMV6" s="433"/>
      <c r="FMW6" s="433"/>
      <c r="FMX6" s="433"/>
      <c r="FMY6" s="433"/>
      <c r="FMZ6" s="433"/>
      <c r="FNA6" s="433"/>
      <c r="FNB6" s="433"/>
      <c r="FNC6" s="433"/>
      <c r="FND6" s="433"/>
      <c r="FNE6" s="433"/>
      <c r="FNF6" s="433"/>
      <c r="FNG6" s="433"/>
      <c r="FNH6" s="433"/>
      <c r="FNI6" s="433"/>
      <c r="FNJ6" s="433"/>
      <c r="FNK6" s="433"/>
      <c r="FNL6" s="433"/>
      <c r="FNM6" s="433"/>
      <c r="FNN6" s="433"/>
      <c r="FNO6" s="433"/>
      <c r="FNP6" s="433"/>
      <c r="FNQ6" s="433"/>
      <c r="FNR6" s="433"/>
      <c r="FNS6" s="433"/>
      <c r="FNT6" s="433"/>
      <c r="FNU6" s="433"/>
      <c r="FNV6" s="433"/>
      <c r="FNW6" s="433"/>
      <c r="FNX6" s="433"/>
      <c r="FNY6" s="433"/>
      <c r="FNZ6" s="433"/>
      <c r="FOA6" s="433"/>
      <c r="FOB6" s="433"/>
      <c r="FOC6" s="433"/>
      <c r="FOD6" s="433"/>
      <c r="FOE6" s="433"/>
      <c r="FOF6" s="433"/>
      <c r="FOG6" s="433"/>
      <c r="FOH6" s="433"/>
      <c r="FOI6" s="433"/>
      <c r="FOJ6" s="433"/>
      <c r="FOK6" s="433"/>
      <c r="FOL6" s="433"/>
      <c r="FOM6" s="433"/>
      <c r="FON6" s="433"/>
      <c r="FOO6" s="433"/>
      <c r="FOP6" s="433"/>
      <c r="FOQ6" s="433"/>
      <c r="FOR6" s="433"/>
      <c r="FOS6" s="433"/>
      <c r="FOT6" s="433"/>
      <c r="FOU6" s="433"/>
      <c r="FOV6" s="433"/>
      <c r="FOW6" s="433"/>
      <c r="FOX6" s="433"/>
      <c r="FOY6" s="433"/>
      <c r="FOZ6" s="433"/>
      <c r="FPA6" s="433"/>
      <c r="FPB6" s="433"/>
      <c r="FPC6" s="433"/>
      <c r="FPD6" s="433"/>
      <c r="FPE6" s="433"/>
      <c r="FPF6" s="433"/>
      <c r="FPG6" s="433"/>
      <c r="FPH6" s="433"/>
      <c r="FPI6" s="433"/>
      <c r="FPJ6" s="433"/>
      <c r="FPK6" s="433"/>
      <c r="FPL6" s="433"/>
      <c r="FPM6" s="433"/>
      <c r="FPN6" s="433"/>
      <c r="FPO6" s="433"/>
      <c r="FPP6" s="433"/>
      <c r="FPQ6" s="433"/>
      <c r="FPR6" s="433"/>
      <c r="FPS6" s="433"/>
      <c r="FPT6" s="433"/>
      <c r="FPU6" s="433"/>
      <c r="FPV6" s="433"/>
      <c r="FPW6" s="433"/>
      <c r="FPX6" s="433"/>
      <c r="FPY6" s="433"/>
      <c r="FPZ6" s="433"/>
      <c r="FQA6" s="433"/>
      <c r="FQB6" s="433"/>
      <c r="FQC6" s="433"/>
      <c r="FQD6" s="433"/>
      <c r="FQE6" s="433"/>
      <c r="FQF6" s="433"/>
      <c r="FQG6" s="433"/>
      <c r="FQH6" s="433"/>
      <c r="FQI6" s="433"/>
      <c r="FQJ6" s="433"/>
      <c r="FQK6" s="433"/>
      <c r="FQL6" s="433"/>
      <c r="FQM6" s="433"/>
      <c r="FQN6" s="433"/>
      <c r="FQO6" s="433"/>
      <c r="FQP6" s="433"/>
      <c r="FQQ6" s="433"/>
      <c r="FQR6" s="433"/>
      <c r="FQS6" s="433"/>
      <c r="FQT6" s="433"/>
      <c r="FQU6" s="433"/>
      <c r="FQV6" s="433"/>
      <c r="FQW6" s="433"/>
      <c r="FQX6" s="433"/>
      <c r="FQY6" s="433"/>
      <c r="FQZ6" s="433"/>
      <c r="FRA6" s="433"/>
      <c r="FRB6" s="433"/>
      <c r="FRC6" s="433"/>
      <c r="FRD6" s="433"/>
      <c r="FRE6" s="433"/>
      <c r="FRF6" s="433"/>
      <c r="FRG6" s="433"/>
      <c r="FRH6" s="433"/>
      <c r="FRI6" s="433"/>
      <c r="FRJ6" s="433"/>
      <c r="FRK6" s="433"/>
      <c r="FRL6" s="433"/>
      <c r="FRM6" s="433"/>
      <c r="FRN6" s="433"/>
      <c r="FRO6" s="433"/>
      <c r="FRP6" s="433"/>
      <c r="FRQ6" s="433"/>
      <c r="FRR6" s="433"/>
      <c r="FRS6" s="433"/>
      <c r="FRT6" s="433"/>
      <c r="FRU6" s="433"/>
      <c r="FRV6" s="433"/>
      <c r="FRW6" s="433"/>
      <c r="FRX6" s="433"/>
      <c r="FRY6" s="433"/>
      <c r="FRZ6" s="433"/>
      <c r="FSA6" s="433"/>
      <c r="FSB6" s="433"/>
      <c r="FSC6" s="433"/>
      <c r="FSD6" s="433"/>
      <c r="FSE6" s="433"/>
      <c r="FSF6" s="433"/>
      <c r="FSG6" s="433"/>
      <c r="FSH6" s="433"/>
      <c r="FSI6" s="433"/>
      <c r="FSJ6" s="433"/>
      <c r="FSK6" s="433"/>
      <c r="FSL6" s="433"/>
      <c r="FSM6" s="433"/>
      <c r="FSN6" s="433"/>
      <c r="FSO6" s="433"/>
      <c r="FSP6" s="433"/>
      <c r="FSQ6" s="433"/>
      <c r="FSR6" s="433"/>
      <c r="FSS6" s="433"/>
      <c r="FST6" s="433"/>
      <c r="FSU6" s="433"/>
      <c r="FSV6" s="433"/>
      <c r="FSW6" s="433"/>
      <c r="FSX6" s="433"/>
      <c r="FSY6" s="433"/>
      <c r="FSZ6" s="433"/>
      <c r="FTA6" s="433"/>
      <c r="FTB6" s="433"/>
      <c r="FTC6" s="433"/>
      <c r="FTD6" s="433"/>
      <c r="FTE6" s="433"/>
      <c r="FTF6" s="433"/>
      <c r="FTG6" s="433"/>
      <c r="FTH6" s="433"/>
      <c r="FTI6" s="433"/>
      <c r="FTJ6" s="433"/>
      <c r="FTK6" s="433"/>
      <c r="FTL6" s="433"/>
      <c r="FTM6" s="433"/>
      <c r="FTN6" s="433"/>
      <c r="FTO6" s="433"/>
      <c r="FTP6" s="433"/>
      <c r="FTQ6" s="433"/>
      <c r="FTR6" s="433"/>
      <c r="FTS6" s="433"/>
      <c r="FTT6" s="433"/>
      <c r="FTU6" s="433"/>
      <c r="FTV6" s="433"/>
      <c r="FTW6" s="433"/>
      <c r="FTX6" s="433"/>
      <c r="FTY6" s="433"/>
      <c r="FTZ6" s="433"/>
      <c r="FUA6" s="433"/>
      <c r="FUB6" s="433"/>
      <c r="FUC6" s="433"/>
      <c r="FUD6" s="433"/>
      <c r="FUE6" s="433"/>
      <c r="FUF6" s="433"/>
      <c r="FUG6" s="433"/>
      <c r="FUH6" s="433"/>
      <c r="FUI6" s="433"/>
      <c r="FUJ6" s="433"/>
      <c r="FUK6" s="433"/>
      <c r="FUL6" s="433"/>
      <c r="FUM6" s="433"/>
      <c r="FUN6" s="433"/>
      <c r="FUO6" s="433"/>
      <c r="FUP6" s="433"/>
      <c r="FUQ6" s="433"/>
      <c r="FUR6" s="433"/>
      <c r="FUS6" s="433"/>
      <c r="FUT6" s="433"/>
      <c r="FUU6" s="433"/>
      <c r="FUV6" s="433"/>
      <c r="FUW6" s="433"/>
      <c r="FUX6" s="433"/>
      <c r="FUY6" s="433"/>
      <c r="FUZ6" s="433"/>
      <c r="FVA6" s="433"/>
      <c r="FVB6" s="433"/>
      <c r="FVC6" s="433"/>
      <c r="FVD6" s="433"/>
      <c r="FVE6" s="433"/>
      <c r="FVF6" s="433"/>
      <c r="FVG6" s="433"/>
      <c r="FVH6" s="433"/>
      <c r="FVI6" s="433"/>
      <c r="FVJ6" s="433"/>
      <c r="FVK6" s="433"/>
      <c r="FVL6" s="433"/>
      <c r="FVM6" s="433"/>
      <c r="FVN6" s="433"/>
      <c r="FVO6" s="433"/>
      <c r="FVP6" s="433"/>
      <c r="FVQ6" s="433"/>
      <c r="FVR6" s="433"/>
      <c r="FVS6" s="433"/>
      <c r="FVT6" s="433"/>
      <c r="FVU6" s="433"/>
      <c r="FVV6" s="433"/>
      <c r="FVW6" s="433"/>
      <c r="FVX6" s="433"/>
      <c r="FVY6" s="433"/>
      <c r="FVZ6" s="433"/>
      <c r="FWA6" s="433"/>
      <c r="FWB6" s="433"/>
      <c r="FWC6" s="433"/>
      <c r="FWD6" s="433"/>
      <c r="FWE6" s="433"/>
      <c r="FWF6" s="433"/>
      <c r="FWG6" s="433"/>
      <c r="FWH6" s="433"/>
      <c r="FWI6" s="433"/>
      <c r="FWJ6" s="433"/>
      <c r="FWK6" s="433"/>
      <c r="FWL6" s="433"/>
      <c r="FWM6" s="433"/>
      <c r="FWN6" s="433"/>
      <c r="FWO6" s="433"/>
      <c r="FWP6" s="433"/>
      <c r="FWQ6" s="433"/>
      <c r="FWR6" s="433"/>
      <c r="FWS6" s="433"/>
      <c r="FWT6" s="433"/>
      <c r="FWU6" s="433"/>
      <c r="FWV6" s="433"/>
      <c r="FWW6" s="433"/>
      <c r="FWX6" s="433"/>
      <c r="FWY6" s="433"/>
      <c r="FWZ6" s="433"/>
      <c r="FXA6" s="433"/>
      <c r="FXB6" s="433"/>
      <c r="FXC6" s="433"/>
      <c r="FXD6" s="433"/>
      <c r="FXE6" s="433"/>
      <c r="FXF6" s="433"/>
      <c r="FXG6" s="433"/>
      <c r="FXH6" s="433"/>
      <c r="FXI6" s="433"/>
      <c r="FXJ6" s="433"/>
      <c r="FXK6" s="433"/>
      <c r="FXL6" s="433"/>
      <c r="FXM6" s="433"/>
      <c r="FXN6" s="433"/>
      <c r="FXO6" s="433"/>
      <c r="FXP6" s="433"/>
      <c r="FXQ6" s="433"/>
      <c r="FXR6" s="433"/>
      <c r="FXS6" s="433"/>
      <c r="FXT6" s="433"/>
      <c r="FXU6" s="433"/>
      <c r="FXV6" s="433"/>
      <c r="FXW6" s="433"/>
      <c r="FXX6" s="433"/>
      <c r="FXY6" s="433"/>
      <c r="FXZ6" s="433"/>
      <c r="FYA6" s="433"/>
      <c r="FYB6" s="433"/>
      <c r="FYC6" s="433"/>
      <c r="FYD6" s="433"/>
      <c r="FYE6" s="433"/>
      <c r="FYF6" s="433"/>
      <c r="FYG6" s="433"/>
      <c r="FYH6" s="433"/>
      <c r="FYI6" s="433"/>
      <c r="FYJ6" s="433"/>
      <c r="FYK6" s="433"/>
      <c r="FYL6" s="433"/>
      <c r="FYM6" s="433"/>
      <c r="FYN6" s="433"/>
      <c r="FYO6" s="433"/>
      <c r="FYP6" s="433"/>
      <c r="FYQ6" s="433"/>
      <c r="FYR6" s="433"/>
      <c r="FYS6" s="433"/>
      <c r="FYT6" s="433"/>
      <c r="FYU6" s="433"/>
      <c r="FYV6" s="433"/>
      <c r="FYW6" s="433"/>
      <c r="FYX6" s="433"/>
      <c r="FYY6" s="433"/>
      <c r="FYZ6" s="433"/>
      <c r="FZA6" s="433"/>
      <c r="FZB6" s="433"/>
      <c r="FZC6" s="433"/>
      <c r="FZD6" s="433"/>
      <c r="FZE6" s="433"/>
      <c r="FZF6" s="433"/>
      <c r="FZG6" s="433"/>
      <c r="FZH6" s="433"/>
      <c r="FZI6" s="433"/>
      <c r="FZJ6" s="433"/>
      <c r="FZK6" s="433"/>
      <c r="FZL6" s="433"/>
      <c r="FZM6" s="433"/>
      <c r="FZN6" s="433"/>
      <c r="FZO6" s="433"/>
      <c r="FZP6" s="433"/>
      <c r="FZQ6" s="433"/>
      <c r="FZR6" s="433"/>
      <c r="FZS6" s="433"/>
      <c r="FZT6" s="433"/>
      <c r="FZU6" s="433"/>
      <c r="FZV6" s="433"/>
      <c r="FZW6" s="433"/>
      <c r="FZX6" s="433"/>
      <c r="FZY6" s="433"/>
      <c r="FZZ6" s="433"/>
      <c r="GAA6" s="433"/>
      <c r="GAB6" s="433"/>
      <c r="GAC6" s="433"/>
      <c r="GAD6" s="433"/>
      <c r="GAE6" s="433"/>
      <c r="GAF6" s="433"/>
      <c r="GAG6" s="433"/>
      <c r="GAH6" s="433"/>
      <c r="GAI6" s="433"/>
      <c r="GAJ6" s="433"/>
      <c r="GAK6" s="433"/>
      <c r="GAL6" s="433"/>
      <c r="GAM6" s="433"/>
      <c r="GAN6" s="433"/>
      <c r="GAO6" s="433"/>
      <c r="GAP6" s="433"/>
      <c r="GAQ6" s="433"/>
      <c r="GAR6" s="433"/>
      <c r="GAS6" s="433"/>
      <c r="GAT6" s="433"/>
      <c r="GAU6" s="433"/>
      <c r="GAV6" s="433"/>
      <c r="GAW6" s="433"/>
      <c r="GAX6" s="433"/>
      <c r="GAY6" s="433"/>
      <c r="GAZ6" s="433"/>
      <c r="GBA6" s="433"/>
      <c r="GBB6" s="433"/>
      <c r="GBC6" s="433"/>
      <c r="GBD6" s="433"/>
      <c r="GBE6" s="433"/>
      <c r="GBF6" s="433"/>
      <c r="GBG6" s="433"/>
      <c r="GBH6" s="433"/>
      <c r="GBI6" s="433"/>
      <c r="GBJ6" s="433"/>
      <c r="GBK6" s="433"/>
      <c r="GBL6" s="433"/>
      <c r="GBM6" s="433"/>
      <c r="GBN6" s="433"/>
      <c r="GBO6" s="433"/>
      <c r="GBP6" s="433"/>
      <c r="GBQ6" s="433"/>
      <c r="GBR6" s="433"/>
      <c r="GBS6" s="433"/>
      <c r="GBT6" s="433"/>
      <c r="GBU6" s="433"/>
      <c r="GBV6" s="433"/>
      <c r="GBW6" s="433"/>
      <c r="GBX6" s="433"/>
      <c r="GBY6" s="433"/>
      <c r="GBZ6" s="433"/>
      <c r="GCA6" s="433"/>
      <c r="GCB6" s="433"/>
      <c r="GCC6" s="433"/>
      <c r="GCD6" s="433"/>
      <c r="GCE6" s="433"/>
      <c r="GCF6" s="433"/>
      <c r="GCG6" s="433"/>
      <c r="GCH6" s="433"/>
      <c r="GCI6" s="433"/>
      <c r="GCJ6" s="433"/>
      <c r="GCK6" s="433"/>
      <c r="GCL6" s="433"/>
      <c r="GCM6" s="433"/>
      <c r="GCN6" s="433"/>
      <c r="GCO6" s="433"/>
      <c r="GCP6" s="433"/>
      <c r="GCQ6" s="433"/>
      <c r="GCR6" s="433"/>
      <c r="GCS6" s="433"/>
      <c r="GCT6" s="433"/>
      <c r="GCU6" s="433"/>
      <c r="GCV6" s="433"/>
      <c r="GCW6" s="433"/>
      <c r="GCX6" s="433"/>
      <c r="GCY6" s="433"/>
      <c r="GCZ6" s="433"/>
      <c r="GDA6" s="433"/>
      <c r="GDB6" s="433"/>
      <c r="GDC6" s="433"/>
      <c r="GDD6" s="433"/>
      <c r="GDE6" s="433"/>
      <c r="GDF6" s="433"/>
      <c r="GDG6" s="433"/>
      <c r="GDH6" s="433"/>
      <c r="GDI6" s="433"/>
      <c r="GDJ6" s="433"/>
      <c r="GDK6" s="433"/>
      <c r="GDL6" s="433"/>
      <c r="GDM6" s="433"/>
      <c r="GDN6" s="433"/>
      <c r="GDO6" s="433"/>
      <c r="GDP6" s="433"/>
      <c r="GDQ6" s="433"/>
      <c r="GDR6" s="433"/>
      <c r="GDS6" s="433"/>
      <c r="GDT6" s="433"/>
      <c r="GDU6" s="433"/>
      <c r="GDV6" s="433"/>
      <c r="GDW6" s="433"/>
      <c r="GDX6" s="433"/>
      <c r="GDY6" s="433"/>
      <c r="GDZ6" s="433"/>
      <c r="GEA6" s="433"/>
      <c r="GEB6" s="433"/>
      <c r="GEC6" s="433"/>
      <c r="GED6" s="433"/>
      <c r="GEE6" s="433"/>
      <c r="GEF6" s="433"/>
      <c r="GEG6" s="433"/>
      <c r="GEH6" s="433"/>
      <c r="GEI6" s="433"/>
      <c r="GEJ6" s="433"/>
      <c r="GEK6" s="433"/>
      <c r="GEL6" s="433"/>
      <c r="GEM6" s="433"/>
      <c r="GEN6" s="433"/>
      <c r="GEO6" s="433"/>
      <c r="GEP6" s="433"/>
      <c r="GEQ6" s="433"/>
      <c r="GER6" s="433"/>
      <c r="GES6" s="433"/>
      <c r="GET6" s="433"/>
      <c r="GEU6" s="433"/>
      <c r="GEV6" s="433"/>
      <c r="GEW6" s="433"/>
      <c r="GEX6" s="433"/>
      <c r="GEY6" s="433"/>
      <c r="GEZ6" s="433"/>
      <c r="GFA6" s="433"/>
      <c r="GFB6" s="433"/>
      <c r="GFC6" s="433"/>
      <c r="GFD6" s="433"/>
      <c r="GFE6" s="433"/>
      <c r="GFF6" s="433"/>
      <c r="GFG6" s="433"/>
      <c r="GFH6" s="433"/>
      <c r="GFI6" s="433"/>
      <c r="GFJ6" s="433"/>
      <c r="GFK6" s="433"/>
      <c r="GFL6" s="433"/>
      <c r="GFM6" s="433"/>
      <c r="GFN6" s="433"/>
      <c r="GFO6" s="433"/>
      <c r="GFP6" s="433"/>
      <c r="GFQ6" s="433"/>
      <c r="GFR6" s="433"/>
      <c r="GFS6" s="433"/>
      <c r="GFT6" s="433"/>
      <c r="GFU6" s="433"/>
      <c r="GFV6" s="433"/>
      <c r="GFW6" s="433"/>
      <c r="GFX6" s="433"/>
      <c r="GFY6" s="433"/>
      <c r="GFZ6" s="433"/>
      <c r="GGA6" s="433"/>
      <c r="GGB6" s="433"/>
      <c r="GGC6" s="433"/>
      <c r="GGD6" s="433"/>
      <c r="GGE6" s="433"/>
      <c r="GGF6" s="433"/>
      <c r="GGG6" s="433"/>
      <c r="GGH6" s="433"/>
      <c r="GGI6" s="433"/>
      <c r="GGJ6" s="433"/>
      <c r="GGK6" s="433"/>
      <c r="GGL6" s="433"/>
      <c r="GGM6" s="433"/>
      <c r="GGN6" s="433"/>
      <c r="GGO6" s="433"/>
      <c r="GGP6" s="433"/>
      <c r="GGQ6" s="433"/>
      <c r="GGR6" s="433"/>
      <c r="GGS6" s="433"/>
      <c r="GGT6" s="433"/>
      <c r="GGU6" s="433"/>
      <c r="GGV6" s="433"/>
      <c r="GGW6" s="433"/>
      <c r="GGX6" s="433"/>
      <c r="GGY6" s="433"/>
      <c r="GGZ6" s="433"/>
      <c r="GHA6" s="433"/>
      <c r="GHB6" s="433"/>
      <c r="GHC6" s="433"/>
      <c r="GHD6" s="433"/>
      <c r="GHE6" s="433"/>
      <c r="GHF6" s="433"/>
      <c r="GHG6" s="433"/>
      <c r="GHH6" s="433"/>
      <c r="GHI6" s="433"/>
      <c r="GHJ6" s="433"/>
      <c r="GHK6" s="433"/>
      <c r="GHL6" s="433"/>
      <c r="GHM6" s="433"/>
      <c r="GHN6" s="433"/>
      <c r="GHO6" s="433"/>
      <c r="GHP6" s="433"/>
      <c r="GHQ6" s="433"/>
      <c r="GHR6" s="433"/>
      <c r="GHS6" s="433"/>
      <c r="GHT6" s="433"/>
      <c r="GHU6" s="433"/>
      <c r="GHV6" s="433"/>
      <c r="GHW6" s="433"/>
      <c r="GHX6" s="433"/>
      <c r="GHY6" s="433"/>
      <c r="GHZ6" s="433"/>
      <c r="GIA6" s="433"/>
      <c r="GIB6" s="433"/>
      <c r="GIC6" s="433"/>
      <c r="GID6" s="433"/>
      <c r="GIE6" s="433"/>
      <c r="GIF6" s="433"/>
      <c r="GIG6" s="433"/>
      <c r="GIH6" s="433"/>
      <c r="GII6" s="433"/>
      <c r="GIJ6" s="433"/>
      <c r="GIK6" s="433"/>
      <c r="GIL6" s="433"/>
      <c r="GIM6" s="433"/>
      <c r="GIN6" s="433"/>
      <c r="GIO6" s="433"/>
      <c r="GIP6" s="433"/>
      <c r="GIQ6" s="433"/>
      <c r="GIR6" s="433"/>
      <c r="GIS6" s="433"/>
      <c r="GIT6" s="433"/>
      <c r="GIU6" s="433"/>
      <c r="GIV6" s="433"/>
      <c r="GIW6" s="433"/>
      <c r="GIX6" s="433"/>
      <c r="GIY6" s="433"/>
      <c r="GIZ6" s="433"/>
      <c r="GJA6" s="433"/>
      <c r="GJB6" s="433"/>
      <c r="GJC6" s="433"/>
      <c r="GJD6" s="433"/>
      <c r="GJE6" s="433"/>
      <c r="GJF6" s="433"/>
      <c r="GJG6" s="433"/>
      <c r="GJH6" s="433"/>
      <c r="GJI6" s="433"/>
      <c r="GJJ6" s="433"/>
      <c r="GJK6" s="433"/>
      <c r="GJL6" s="433"/>
      <c r="GJM6" s="433"/>
      <c r="GJN6" s="433"/>
      <c r="GJO6" s="433"/>
      <c r="GJP6" s="433"/>
      <c r="GJQ6" s="433"/>
      <c r="GJR6" s="433"/>
      <c r="GJS6" s="433"/>
      <c r="GJT6" s="433"/>
      <c r="GJU6" s="433"/>
      <c r="GJV6" s="433"/>
      <c r="GJW6" s="433"/>
      <c r="GJX6" s="433"/>
      <c r="GJY6" s="433"/>
      <c r="GJZ6" s="433"/>
      <c r="GKA6" s="433"/>
      <c r="GKB6" s="433"/>
      <c r="GKC6" s="433"/>
      <c r="GKD6" s="433"/>
      <c r="GKE6" s="433"/>
      <c r="GKF6" s="433"/>
      <c r="GKG6" s="433"/>
      <c r="GKH6" s="433"/>
      <c r="GKI6" s="433"/>
      <c r="GKJ6" s="433"/>
      <c r="GKK6" s="433"/>
      <c r="GKL6" s="433"/>
      <c r="GKM6" s="433"/>
      <c r="GKN6" s="433"/>
      <c r="GKO6" s="433"/>
      <c r="GKP6" s="433"/>
      <c r="GKQ6" s="433"/>
      <c r="GKR6" s="433"/>
      <c r="GKS6" s="433"/>
      <c r="GKT6" s="433"/>
      <c r="GKU6" s="433"/>
      <c r="GKV6" s="433"/>
      <c r="GKW6" s="433"/>
      <c r="GKX6" s="433"/>
      <c r="GKY6" s="433"/>
      <c r="GKZ6" s="433"/>
      <c r="GLA6" s="433"/>
      <c r="GLB6" s="433"/>
      <c r="GLC6" s="433"/>
      <c r="GLD6" s="433"/>
      <c r="GLE6" s="433"/>
      <c r="GLF6" s="433"/>
      <c r="GLG6" s="433"/>
      <c r="GLH6" s="433"/>
      <c r="GLI6" s="433"/>
      <c r="GLJ6" s="433"/>
      <c r="GLK6" s="433"/>
      <c r="GLL6" s="433"/>
      <c r="GLM6" s="433"/>
      <c r="GLN6" s="433"/>
      <c r="GLO6" s="433"/>
      <c r="GLP6" s="433"/>
      <c r="GLQ6" s="433"/>
      <c r="GLR6" s="433"/>
      <c r="GLS6" s="433"/>
      <c r="GLT6" s="433"/>
      <c r="GLU6" s="433"/>
      <c r="GLV6" s="433"/>
      <c r="GLW6" s="433"/>
      <c r="GLX6" s="433"/>
      <c r="GLY6" s="433"/>
      <c r="GLZ6" s="433"/>
      <c r="GMA6" s="433"/>
      <c r="GMB6" s="433"/>
      <c r="GMC6" s="433"/>
      <c r="GMD6" s="433"/>
      <c r="GME6" s="433"/>
      <c r="GMF6" s="433"/>
      <c r="GMG6" s="433"/>
      <c r="GMH6" s="433"/>
      <c r="GMI6" s="433"/>
      <c r="GMJ6" s="433"/>
      <c r="GMK6" s="433"/>
      <c r="GML6" s="433"/>
      <c r="GMM6" s="433"/>
      <c r="GMN6" s="433"/>
      <c r="GMO6" s="433"/>
      <c r="GMP6" s="433"/>
      <c r="GMQ6" s="433"/>
      <c r="GMR6" s="433"/>
      <c r="GMS6" s="433"/>
      <c r="GMT6" s="433"/>
      <c r="GMU6" s="433"/>
      <c r="GMV6" s="433"/>
      <c r="GMW6" s="433"/>
      <c r="GMX6" s="433"/>
      <c r="GMY6" s="433"/>
      <c r="GMZ6" s="433"/>
      <c r="GNA6" s="433"/>
      <c r="GNB6" s="433"/>
      <c r="GNC6" s="433"/>
      <c r="GND6" s="433"/>
      <c r="GNE6" s="433"/>
      <c r="GNF6" s="433"/>
      <c r="GNG6" s="433"/>
      <c r="GNH6" s="433"/>
      <c r="GNI6" s="433"/>
      <c r="GNJ6" s="433"/>
      <c r="GNK6" s="433"/>
      <c r="GNL6" s="433"/>
      <c r="GNM6" s="433"/>
      <c r="GNN6" s="433"/>
      <c r="GNO6" s="433"/>
      <c r="GNP6" s="433"/>
      <c r="GNQ6" s="433"/>
      <c r="GNR6" s="433"/>
      <c r="GNS6" s="433"/>
      <c r="GNT6" s="433"/>
      <c r="GNU6" s="433"/>
      <c r="GNV6" s="433"/>
      <c r="GNW6" s="433"/>
      <c r="GNX6" s="433"/>
      <c r="GNY6" s="433"/>
      <c r="GNZ6" s="433"/>
      <c r="GOA6" s="433"/>
      <c r="GOB6" s="433"/>
      <c r="GOC6" s="433"/>
      <c r="GOD6" s="433"/>
      <c r="GOE6" s="433"/>
      <c r="GOF6" s="433"/>
      <c r="GOG6" s="433"/>
      <c r="GOH6" s="433"/>
      <c r="GOI6" s="433"/>
      <c r="GOJ6" s="433"/>
      <c r="GOK6" s="433"/>
      <c r="GOL6" s="433"/>
      <c r="GOM6" s="433"/>
      <c r="GON6" s="433"/>
      <c r="GOO6" s="433"/>
      <c r="GOP6" s="433"/>
      <c r="GOQ6" s="433"/>
      <c r="GOR6" s="433"/>
      <c r="GOS6" s="433"/>
      <c r="GOT6" s="433"/>
      <c r="GOU6" s="433"/>
      <c r="GOV6" s="433"/>
      <c r="GOW6" s="433"/>
      <c r="GOX6" s="433"/>
      <c r="GOY6" s="433"/>
      <c r="GOZ6" s="433"/>
      <c r="GPA6" s="433"/>
      <c r="GPB6" s="433"/>
      <c r="GPC6" s="433"/>
      <c r="GPD6" s="433"/>
      <c r="GPE6" s="433"/>
      <c r="GPF6" s="433"/>
      <c r="GPG6" s="433"/>
      <c r="GPH6" s="433"/>
      <c r="GPI6" s="433"/>
      <c r="GPJ6" s="433"/>
      <c r="GPK6" s="433"/>
      <c r="GPL6" s="433"/>
      <c r="GPM6" s="433"/>
      <c r="GPN6" s="433"/>
      <c r="GPO6" s="433"/>
      <c r="GPP6" s="433"/>
      <c r="GPQ6" s="433"/>
      <c r="GPR6" s="433"/>
      <c r="GPS6" s="433"/>
      <c r="GPT6" s="433"/>
      <c r="GPU6" s="433"/>
      <c r="GPV6" s="433"/>
      <c r="GPW6" s="433"/>
      <c r="GPX6" s="433"/>
      <c r="GPY6" s="433"/>
      <c r="GPZ6" s="433"/>
      <c r="GQA6" s="433"/>
      <c r="GQB6" s="433"/>
      <c r="GQC6" s="433"/>
      <c r="GQD6" s="433"/>
      <c r="GQE6" s="433"/>
      <c r="GQF6" s="433"/>
      <c r="GQG6" s="433"/>
      <c r="GQH6" s="433"/>
      <c r="GQI6" s="433"/>
      <c r="GQJ6" s="433"/>
      <c r="GQK6" s="433"/>
      <c r="GQL6" s="433"/>
      <c r="GQM6" s="433"/>
      <c r="GQN6" s="433"/>
      <c r="GQO6" s="433"/>
      <c r="GQP6" s="433"/>
      <c r="GQQ6" s="433"/>
      <c r="GQR6" s="433"/>
      <c r="GQS6" s="433"/>
      <c r="GQT6" s="433"/>
      <c r="GQU6" s="433"/>
      <c r="GQV6" s="433"/>
      <c r="GQW6" s="433"/>
      <c r="GQX6" s="433"/>
      <c r="GQY6" s="433"/>
      <c r="GQZ6" s="433"/>
      <c r="GRA6" s="433"/>
      <c r="GRB6" s="433"/>
      <c r="GRC6" s="433"/>
      <c r="GRD6" s="433"/>
      <c r="GRE6" s="433"/>
      <c r="GRF6" s="433"/>
      <c r="GRG6" s="433"/>
      <c r="GRH6" s="433"/>
      <c r="GRI6" s="433"/>
      <c r="GRJ6" s="433"/>
      <c r="GRK6" s="433"/>
      <c r="GRL6" s="433"/>
      <c r="GRM6" s="433"/>
      <c r="GRN6" s="433"/>
      <c r="GRO6" s="433"/>
      <c r="GRP6" s="433"/>
      <c r="GRQ6" s="433"/>
      <c r="GRR6" s="433"/>
      <c r="GRS6" s="433"/>
      <c r="GRT6" s="433"/>
      <c r="GRU6" s="433"/>
      <c r="GRV6" s="433"/>
      <c r="GRW6" s="433"/>
      <c r="GRX6" s="433"/>
      <c r="GRY6" s="433"/>
      <c r="GRZ6" s="433"/>
      <c r="GSA6" s="433"/>
      <c r="GSB6" s="433"/>
      <c r="GSC6" s="433"/>
      <c r="GSD6" s="433"/>
      <c r="GSE6" s="433"/>
      <c r="GSF6" s="433"/>
      <c r="GSG6" s="433"/>
      <c r="GSH6" s="433"/>
      <c r="GSI6" s="433"/>
      <c r="GSJ6" s="433"/>
      <c r="GSK6" s="433"/>
      <c r="GSL6" s="433"/>
      <c r="GSM6" s="433"/>
      <c r="GSN6" s="433"/>
      <c r="GSO6" s="433"/>
      <c r="GSP6" s="433"/>
      <c r="GSQ6" s="433"/>
      <c r="GSR6" s="433"/>
      <c r="GSS6" s="433"/>
      <c r="GST6" s="433"/>
      <c r="GSU6" s="433"/>
      <c r="GSV6" s="433"/>
      <c r="GSW6" s="433"/>
      <c r="GSX6" s="433"/>
      <c r="GSY6" s="433"/>
      <c r="GSZ6" s="433"/>
      <c r="GTA6" s="433"/>
      <c r="GTB6" s="433"/>
      <c r="GTC6" s="433"/>
      <c r="GTD6" s="433"/>
      <c r="GTE6" s="433"/>
      <c r="GTF6" s="433"/>
      <c r="GTG6" s="433"/>
      <c r="GTH6" s="433"/>
      <c r="GTI6" s="433"/>
      <c r="GTJ6" s="433"/>
      <c r="GTK6" s="433"/>
      <c r="GTL6" s="433"/>
      <c r="GTM6" s="433"/>
      <c r="GTN6" s="433"/>
      <c r="GTO6" s="433"/>
      <c r="GTP6" s="433"/>
      <c r="GTQ6" s="433"/>
      <c r="GTR6" s="433"/>
      <c r="GTS6" s="433"/>
      <c r="GTT6" s="433"/>
      <c r="GTU6" s="433"/>
      <c r="GTV6" s="433"/>
      <c r="GTW6" s="433"/>
      <c r="GTX6" s="433"/>
      <c r="GTY6" s="433"/>
      <c r="GTZ6" s="433"/>
      <c r="GUA6" s="433"/>
      <c r="GUB6" s="433"/>
      <c r="GUC6" s="433"/>
      <c r="GUD6" s="433"/>
      <c r="GUE6" s="433"/>
      <c r="GUF6" s="433"/>
      <c r="GUG6" s="433"/>
      <c r="GUH6" s="433"/>
      <c r="GUI6" s="433"/>
      <c r="GUJ6" s="433"/>
      <c r="GUK6" s="433"/>
      <c r="GUL6" s="433"/>
      <c r="GUM6" s="433"/>
      <c r="GUN6" s="433"/>
      <c r="GUO6" s="433"/>
      <c r="GUP6" s="433"/>
      <c r="GUQ6" s="433"/>
      <c r="GUR6" s="433"/>
      <c r="GUS6" s="433"/>
      <c r="GUT6" s="433"/>
      <c r="GUU6" s="433"/>
      <c r="GUV6" s="433"/>
      <c r="GUW6" s="433"/>
      <c r="GUX6" s="433"/>
      <c r="GUY6" s="433"/>
      <c r="GUZ6" s="433"/>
      <c r="GVA6" s="433"/>
      <c r="GVB6" s="433"/>
      <c r="GVC6" s="433"/>
      <c r="GVD6" s="433"/>
      <c r="GVE6" s="433"/>
      <c r="GVF6" s="433"/>
      <c r="GVG6" s="433"/>
      <c r="GVH6" s="433"/>
      <c r="GVI6" s="433"/>
      <c r="GVJ6" s="433"/>
      <c r="GVK6" s="433"/>
      <c r="GVL6" s="433"/>
      <c r="GVM6" s="433"/>
      <c r="GVN6" s="433"/>
      <c r="GVO6" s="433"/>
      <c r="GVP6" s="433"/>
      <c r="GVQ6" s="433"/>
      <c r="GVR6" s="433"/>
      <c r="GVS6" s="433"/>
      <c r="GVT6" s="433"/>
      <c r="GVU6" s="433"/>
      <c r="GVV6" s="433"/>
      <c r="GVW6" s="433"/>
      <c r="GVX6" s="433"/>
      <c r="GVY6" s="433"/>
      <c r="GVZ6" s="433"/>
      <c r="GWA6" s="433"/>
      <c r="GWB6" s="433"/>
      <c r="GWC6" s="433"/>
      <c r="GWD6" s="433"/>
      <c r="GWE6" s="433"/>
      <c r="GWF6" s="433"/>
      <c r="GWG6" s="433"/>
      <c r="GWH6" s="433"/>
      <c r="GWI6" s="433"/>
      <c r="GWJ6" s="433"/>
      <c r="GWK6" s="433"/>
      <c r="GWL6" s="433"/>
      <c r="GWM6" s="433"/>
      <c r="GWN6" s="433"/>
      <c r="GWO6" s="433"/>
      <c r="GWP6" s="433"/>
      <c r="GWQ6" s="433"/>
      <c r="GWR6" s="433"/>
      <c r="GWS6" s="433"/>
      <c r="GWT6" s="433"/>
      <c r="GWU6" s="433"/>
      <c r="GWV6" s="433"/>
      <c r="GWW6" s="433"/>
      <c r="GWX6" s="433"/>
      <c r="GWY6" s="433"/>
      <c r="GWZ6" s="433"/>
      <c r="GXA6" s="433"/>
      <c r="GXB6" s="433"/>
      <c r="GXC6" s="433"/>
      <c r="GXD6" s="433"/>
      <c r="GXE6" s="433"/>
      <c r="GXF6" s="433"/>
      <c r="GXG6" s="433"/>
      <c r="GXH6" s="433"/>
      <c r="GXI6" s="433"/>
      <c r="GXJ6" s="433"/>
      <c r="GXK6" s="433"/>
      <c r="GXL6" s="433"/>
      <c r="GXM6" s="433"/>
      <c r="GXN6" s="433"/>
      <c r="GXO6" s="433"/>
      <c r="GXP6" s="433"/>
      <c r="GXQ6" s="433"/>
      <c r="GXR6" s="433"/>
      <c r="GXS6" s="433"/>
      <c r="GXT6" s="433"/>
      <c r="GXU6" s="433"/>
      <c r="GXV6" s="433"/>
      <c r="GXW6" s="433"/>
      <c r="GXX6" s="433"/>
      <c r="GXY6" s="433"/>
      <c r="GXZ6" s="433"/>
      <c r="GYA6" s="433"/>
      <c r="GYB6" s="433"/>
      <c r="GYC6" s="433"/>
      <c r="GYD6" s="433"/>
      <c r="GYE6" s="433"/>
      <c r="GYF6" s="433"/>
      <c r="GYG6" s="433"/>
      <c r="GYH6" s="433"/>
      <c r="GYI6" s="433"/>
      <c r="GYJ6" s="433"/>
      <c r="GYK6" s="433"/>
      <c r="GYL6" s="433"/>
      <c r="GYM6" s="433"/>
      <c r="GYN6" s="433"/>
      <c r="GYO6" s="433"/>
      <c r="GYP6" s="433"/>
      <c r="GYQ6" s="433"/>
      <c r="GYR6" s="433"/>
      <c r="GYS6" s="433"/>
      <c r="GYT6" s="433"/>
      <c r="GYU6" s="433"/>
      <c r="GYV6" s="433"/>
      <c r="GYW6" s="433"/>
      <c r="GYX6" s="433"/>
      <c r="GYY6" s="433"/>
      <c r="GYZ6" s="433"/>
      <c r="GZA6" s="433"/>
      <c r="GZB6" s="433"/>
      <c r="GZC6" s="433"/>
      <c r="GZD6" s="433"/>
      <c r="GZE6" s="433"/>
      <c r="GZF6" s="433"/>
      <c r="GZG6" s="433"/>
      <c r="GZH6" s="433"/>
      <c r="GZI6" s="433"/>
      <c r="GZJ6" s="433"/>
      <c r="GZK6" s="433"/>
      <c r="GZL6" s="433"/>
      <c r="GZM6" s="433"/>
      <c r="GZN6" s="433"/>
      <c r="GZO6" s="433"/>
      <c r="GZP6" s="433"/>
      <c r="GZQ6" s="433"/>
      <c r="GZR6" s="433"/>
      <c r="GZS6" s="433"/>
      <c r="GZT6" s="433"/>
      <c r="GZU6" s="433"/>
      <c r="GZV6" s="433"/>
      <c r="GZW6" s="433"/>
      <c r="GZX6" s="433"/>
      <c r="GZY6" s="433"/>
      <c r="GZZ6" s="433"/>
      <c r="HAA6" s="433"/>
      <c r="HAB6" s="433"/>
      <c r="HAC6" s="433"/>
      <c r="HAD6" s="433"/>
      <c r="HAE6" s="433"/>
      <c r="HAF6" s="433"/>
      <c r="HAG6" s="433"/>
      <c r="HAH6" s="433"/>
      <c r="HAI6" s="433"/>
      <c r="HAJ6" s="433"/>
      <c r="HAK6" s="433"/>
      <c r="HAL6" s="433"/>
      <c r="HAM6" s="433"/>
      <c r="HAN6" s="433"/>
      <c r="HAO6" s="433"/>
      <c r="HAP6" s="433"/>
      <c r="HAQ6" s="433"/>
      <c r="HAR6" s="433"/>
      <c r="HAS6" s="433"/>
      <c r="HAT6" s="433"/>
      <c r="HAU6" s="433"/>
      <c r="HAV6" s="433"/>
      <c r="HAW6" s="433"/>
      <c r="HAX6" s="433"/>
      <c r="HAY6" s="433"/>
      <c r="HAZ6" s="433"/>
      <c r="HBA6" s="433"/>
      <c r="HBB6" s="433"/>
      <c r="HBC6" s="433"/>
      <c r="HBD6" s="433"/>
      <c r="HBE6" s="433"/>
      <c r="HBF6" s="433"/>
      <c r="HBG6" s="433"/>
      <c r="HBH6" s="433"/>
      <c r="HBI6" s="433"/>
      <c r="HBJ6" s="433"/>
      <c r="HBK6" s="433"/>
      <c r="HBL6" s="433"/>
      <c r="HBM6" s="433"/>
      <c r="HBN6" s="433"/>
      <c r="HBO6" s="433"/>
      <c r="HBP6" s="433"/>
      <c r="HBQ6" s="433"/>
      <c r="HBR6" s="433"/>
      <c r="HBS6" s="433"/>
      <c r="HBT6" s="433"/>
      <c r="HBU6" s="433"/>
      <c r="HBV6" s="433"/>
      <c r="HBW6" s="433"/>
      <c r="HBX6" s="433"/>
      <c r="HBY6" s="433"/>
      <c r="HBZ6" s="433"/>
      <c r="HCA6" s="433"/>
      <c r="HCB6" s="433"/>
      <c r="HCC6" s="433"/>
      <c r="HCD6" s="433"/>
      <c r="HCE6" s="433"/>
      <c r="HCF6" s="433"/>
      <c r="HCG6" s="433"/>
      <c r="HCH6" s="433"/>
      <c r="HCI6" s="433"/>
      <c r="HCJ6" s="433"/>
      <c r="HCK6" s="433"/>
      <c r="HCL6" s="433"/>
      <c r="HCM6" s="433"/>
      <c r="HCN6" s="433"/>
      <c r="HCO6" s="433"/>
      <c r="HCP6" s="433"/>
      <c r="HCQ6" s="433"/>
      <c r="HCR6" s="433"/>
      <c r="HCS6" s="433"/>
      <c r="HCT6" s="433"/>
      <c r="HCU6" s="433"/>
      <c r="HCV6" s="433"/>
      <c r="HCW6" s="433"/>
      <c r="HCX6" s="433"/>
      <c r="HCY6" s="433"/>
      <c r="HCZ6" s="433"/>
      <c r="HDA6" s="433"/>
      <c r="HDB6" s="433"/>
      <c r="HDC6" s="433"/>
      <c r="HDD6" s="433"/>
      <c r="HDE6" s="433"/>
      <c r="HDF6" s="433"/>
      <c r="HDG6" s="433"/>
      <c r="HDH6" s="433"/>
      <c r="HDI6" s="433"/>
      <c r="HDJ6" s="433"/>
      <c r="HDK6" s="433"/>
      <c r="HDL6" s="433"/>
      <c r="HDM6" s="433"/>
      <c r="HDN6" s="433"/>
      <c r="HDO6" s="433"/>
      <c r="HDP6" s="433"/>
      <c r="HDQ6" s="433"/>
      <c r="HDR6" s="433"/>
      <c r="HDS6" s="433"/>
      <c r="HDT6" s="433"/>
      <c r="HDU6" s="433"/>
      <c r="HDV6" s="433"/>
      <c r="HDW6" s="433"/>
      <c r="HDX6" s="433"/>
      <c r="HDY6" s="433"/>
      <c r="HDZ6" s="433"/>
      <c r="HEA6" s="433"/>
      <c r="HEB6" s="433"/>
      <c r="HEC6" s="433"/>
      <c r="HED6" s="433"/>
      <c r="HEE6" s="433"/>
      <c r="HEF6" s="433"/>
      <c r="HEG6" s="433"/>
      <c r="HEH6" s="433"/>
      <c r="HEI6" s="433"/>
      <c r="HEJ6" s="433"/>
      <c r="HEK6" s="433"/>
      <c r="HEL6" s="433"/>
      <c r="HEM6" s="433"/>
      <c r="HEN6" s="433"/>
      <c r="HEO6" s="433"/>
      <c r="HEP6" s="433"/>
      <c r="HEQ6" s="433"/>
      <c r="HER6" s="433"/>
      <c r="HES6" s="433"/>
      <c r="HET6" s="433"/>
      <c r="HEU6" s="433"/>
      <c r="HEV6" s="433"/>
      <c r="HEW6" s="433"/>
      <c r="HEX6" s="433"/>
      <c r="HEY6" s="433"/>
      <c r="HEZ6" s="433"/>
      <c r="HFA6" s="433"/>
      <c r="HFB6" s="433"/>
      <c r="HFC6" s="433"/>
      <c r="HFD6" s="433"/>
      <c r="HFE6" s="433"/>
      <c r="HFF6" s="433"/>
      <c r="HFG6" s="433"/>
      <c r="HFH6" s="433"/>
      <c r="HFI6" s="433"/>
      <c r="HFJ6" s="433"/>
      <c r="HFK6" s="433"/>
      <c r="HFL6" s="433"/>
      <c r="HFM6" s="433"/>
      <c r="HFN6" s="433"/>
      <c r="HFO6" s="433"/>
      <c r="HFP6" s="433"/>
      <c r="HFQ6" s="433"/>
      <c r="HFR6" s="433"/>
      <c r="HFS6" s="433"/>
      <c r="HFT6" s="433"/>
      <c r="HFU6" s="433"/>
      <c r="HFV6" s="433"/>
      <c r="HFW6" s="433"/>
      <c r="HFX6" s="433"/>
      <c r="HFY6" s="433"/>
      <c r="HFZ6" s="433"/>
      <c r="HGA6" s="433"/>
      <c r="HGB6" s="433"/>
      <c r="HGC6" s="433"/>
      <c r="HGD6" s="433"/>
      <c r="HGE6" s="433"/>
      <c r="HGF6" s="433"/>
      <c r="HGG6" s="433"/>
      <c r="HGH6" s="433"/>
      <c r="HGI6" s="433"/>
      <c r="HGJ6" s="433"/>
      <c r="HGK6" s="433"/>
      <c r="HGL6" s="433"/>
      <c r="HGM6" s="433"/>
      <c r="HGN6" s="433"/>
      <c r="HGO6" s="433"/>
      <c r="HGP6" s="433"/>
      <c r="HGQ6" s="433"/>
      <c r="HGR6" s="433"/>
      <c r="HGS6" s="433"/>
      <c r="HGT6" s="433"/>
      <c r="HGU6" s="433"/>
      <c r="HGV6" s="433"/>
      <c r="HGW6" s="433"/>
      <c r="HGX6" s="433"/>
      <c r="HGY6" s="433"/>
      <c r="HGZ6" s="433"/>
      <c r="HHA6" s="433"/>
      <c r="HHB6" s="433"/>
      <c r="HHC6" s="433"/>
      <c r="HHD6" s="433"/>
      <c r="HHE6" s="433"/>
      <c r="HHF6" s="433"/>
      <c r="HHG6" s="433"/>
      <c r="HHH6" s="433"/>
      <c r="HHI6" s="433"/>
      <c r="HHJ6" s="433"/>
      <c r="HHK6" s="433"/>
      <c r="HHL6" s="433"/>
      <c r="HHM6" s="433"/>
      <c r="HHN6" s="433"/>
      <c r="HHO6" s="433"/>
      <c r="HHP6" s="433"/>
      <c r="HHQ6" s="433"/>
      <c r="HHR6" s="433"/>
      <c r="HHS6" s="433"/>
      <c r="HHT6" s="433"/>
      <c r="HHU6" s="433"/>
      <c r="HHV6" s="433"/>
      <c r="HHW6" s="433"/>
      <c r="HHX6" s="433"/>
      <c r="HHY6" s="433"/>
      <c r="HHZ6" s="433"/>
      <c r="HIA6" s="433"/>
      <c r="HIB6" s="433"/>
      <c r="HIC6" s="433"/>
      <c r="HID6" s="433"/>
      <c r="HIE6" s="433"/>
      <c r="HIF6" s="433"/>
      <c r="HIG6" s="433"/>
      <c r="HIH6" s="433"/>
      <c r="HII6" s="433"/>
      <c r="HIJ6" s="433"/>
      <c r="HIK6" s="433"/>
      <c r="HIL6" s="433"/>
      <c r="HIM6" s="433"/>
      <c r="HIN6" s="433"/>
      <c r="HIO6" s="433"/>
      <c r="HIP6" s="433"/>
      <c r="HIQ6" s="433"/>
      <c r="HIR6" s="433"/>
      <c r="HIS6" s="433"/>
      <c r="HIT6" s="433"/>
      <c r="HIU6" s="433"/>
      <c r="HIV6" s="433"/>
      <c r="HIW6" s="433"/>
      <c r="HIX6" s="433"/>
      <c r="HIY6" s="433"/>
      <c r="HIZ6" s="433"/>
      <c r="HJA6" s="433"/>
      <c r="HJB6" s="433"/>
      <c r="HJC6" s="433"/>
      <c r="HJD6" s="433"/>
      <c r="HJE6" s="433"/>
      <c r="HJF6" s="433"/>
      <c r="HJG6" s="433"/>
      <c r="HJH6" s="433"/>
      <c r="HJI6" s="433"/>
      <c r="HJJ6" s="433"/>
      <c r="HJK6" s="433"/>
      <c r="HJL6" s="433"/>
      <c r="HJM6" s="433"/>
      <c r="HJN6" s="433"/>
      <c r="HJO6" s="433"/>
      <c r="HJP6" s="433"/>
      <c r="HJQ6" s="433"/>
      <c r="HJR6" s="433"/>
      <c r="HJS6" s="433"/>
      <c r="HJT6" s="433"/>
      <c r="HJU6" s="433"/>
      <c r="HJV6" s="433"/>
      <c r="HJW6" s="433"/>
      <c r="HJX6" s="433"/>
      <c r="HJY6" s="433"/>
      <c r="HJZ6" s="433"/>
      <c r="HKA6" s="433"/>
      <c r="HKB6" s="433"/>
      <c r="HKC6" s="433"/>
      <c r="HKD6" s="433"/>
      <c r="HKE6" s="433"/>
      <c r="HKF6" s="433"/>
      <c r="HKG6" s="433"/>
      <c r="HKH6" s="433"/>
      <c r="HKI6" s="433"/>
      <c r="HKJ6" s="433"/>
      <c r="HKK6" s="433"/>
      <c r="HKL6" s="433"/>
      <c r="HKM6" s="433"/>
      <c r="HKN6" s="433"/>
      <c r="HKO6" s="433"/>
      <c r="HKP6" s="433"/>
      <c r="HKQ6" s="433"/>
      <c r="HKR6" s="433"/>
      <c r="HKS6" s="433"/>
      <c r="HKT6" s="433"/>
      <c r="HKU6" s="433"/>
      <c r="HKV6" s="433"/>
      <c r="HKW6" s="433"/>
      <c r="HKX6" s="433"/>
      <c r="HKY6" s="433"/>
      <c r="HKZ6" s="433"/>
      <c r="HLA6" s="433"/>
      <c r="HLB6" s="433"/>
      <c r="HLC6" s="433"/>
      <c r="HLD6" s="433"/>
      <c r="HLE6" s="433"/>
      <c r="HLF6" s="433"/>
      <c r="HLG6" s="433"/>
      <c r="HLH6" s="433"/>
      <c r="HLI6" s="433"/>
      <c r="HLJ6" s="433"/>
      <c r="HLK6" s="433"/>
      <c r="HLL6" s="433"/>
      <c r="HLM6" s="433"/>
      <c r="HLN6" s="433"/>
      <c r="HLO6" s="433"/>
      <c r="HLP6" s="433"/>
      <c r="HLQ6" s="433"/>
      <c r="HLR6" s="433"/>
      <c r="HLS6" s="433"/>
      <c r="HLT6" s="433"/>
      <c r="HLU6" s="433"/>
      <c r="HLV6" s="433"/>
      <c r="HLW6" s="433"/>
      <c r="HLX6" s="433"/>
      <c r="HLY6" s="433"/>
      <c r="HLZ6" s="433"/>
      <c r="HMA6" s="433"/>
      <c r="HMB6" s="433"/>
      <c r="HMC6" s="433"/>
      <c r="HMD6" s="433"/>
      <c r="HME6" s="433"/>
      <c r="HMF6" s="433"/>
      <c r="HMG6" s="433"/>
      <c r="HMH6" s="433"/>
      <c r="HMI6" s="433"/>
      <c r="HMJ6" s="433"/>
      <c r="HMK6" s="433"/>
      <c r="HML6" s="433"/>
      <c r="HMM6" s="433"/>
      <c r="HMN6" s="433"/>
      <c r="HMO6" s="433"/>
      <c r="HMP6" s="433"/>
      <c r="HMQ6" s="433"/>
      <c r="HMR6" s="433"/>
      <c r="HMS6" s="433"/>
      <c r="HMT6" s="433"/>
      <c r="HMU6" s="433"/>
      <c r="HMV6" s="433"/>
      <c r="HMW6" s="433"/>
      <c r="HMX6" s="433"/>
      <c r="HMY6" s="433"/>
      <c r="HMZ6" s="433"/>
      <c r="HNA6" s="433"/>
      <c r="HNB6" s="433"/>
      <c r="HNC6" s="433"/>
      <c r="HND6" s="433"/>
      <c r="HNE6" s="433"/>
      <c r="HNF6" s="433"/>
      <c r="HNG6" s="433"/>
      <c r="HNH6" s="433"/>
      <c r="HNI6" s="433"/>
      <c r="HNJ6" s="433"/>
      <c r="HNK6" s="433"/>
      <c r="HNL6" s="433"/>
      <c r="HNM6" s="433"/>
      <c r="HNN6" s="433"/>
      <c r="HNO6" s="433"/>
      <c r="HNP6" s="433"/>
      <c r="HNQ6" s="433"/>
      <c r="HNR6" s="433"/>
      <c r="HNS6" s="433"/>
      <c r="HNT6" s="433"/>
      <c r="HNU6" s="433"/>
      <c r="HNV6" s="433"/>
      <c r="HNW6" s="433"/>
      <c r="HNX6" s="433"/>
      <c r="HNY6" s="433"/>
      <c r="HNZ6" s="433"/>
      <c r="HOA6" s="433"/>
      <c r="HOB6" s="433"/>
      <c r="HOC6" s="433"/>
      <c r="HOD6" s="433"/>
      <c r="HOE6" s="433"/>
      <c r="HOF6" s="433"/>
      <c r="HOG6" s="433"/>
      <c r="HOH6" s="433"/>
      <c r="HOI6" s="433"/>
      <c r="HOJ6" s="433"/>
      <c r="HOK6" s="433"/>
      <c r="HOL6" s="433"/>
      <c r="HOM6" s="433"/>
      <c r="HON6" s="433"/>
      <c r="HOO6" s="433"/>
      <c r="HOP6" s="433"/>
      <c r="HOQ6" s="433"/>
      <c r="HOR6" s="433"/>
      <c r="HOS6" s="433"/>
      <c r="HOT6" s="433"/>
      <c r="HOU6" s="433"/>
      <c r="HOV6" s="433"/>
      <c r="HOW6" s="433"/>
      <c r="HOX6" s="433"/>
      <c r="HOY6" s="433"/>
      <c r="HOZ6" s="433"/>
      <c r="HPA6" s="433"/>
      <c r="HPB6" s="433"/>
      <c r="HPC6" s="433"/>
      <c r="HPD6" s="433"/>
      <c r="HPE6" s="433"/>
      <c r="HPF6" s="433"/>
      <c r="HPG6" s="433"/>
      <c r="HPH6" s="433"/>
      <c r="HPI6" s="433"/>
      <c r="HPJ6" s="433"/>
      <c r="HPK6" s="433"/>
      <c r="HPL6" s="433"/>
      <c r="HPM6" s="433"/>
      <c r="HPN6" s="433"/>
      <c r="HPO6" s="433"/>
      <c r="HPP6" s="433"/>
      <c r="HPQ6" s="433"/>
      <c r="HPR6" s="433"/>
      <c r="HPS6" s="433"/>
      <c r="HPT6" s="433"/>
      <c r="HPU6" s="433"/>
      <c r="HPV6" s="433"/>
      <c r="HPW6" s="433"/>
      <c r="HPX6" s="433"/>
      <c r="HPY6" s="433"/>
      <c r="HPZ6" s="433"/>
      <c r="HQA6" s="433"/>
      <c r="HQB6" s="433"/>
      <c r="HQC6" s="433"/>
      <c r="HQD6" s="433"/>
      <c r="HQE6" s="433"/>
      <c r="HQF6" s="433"/>
      <c r="HQG6" s="433"/>
      <c r="HQH6" s="433"/>
      <c r="HQI6" s="433"/>
      <c r="HQJ6" s="433"/>
      <c r="HQK6" s="433"/>
      <c r="HQL6" s="433"/>
      <c r="HQM6" s="433"/>
      <c r="HQN6" s="433"/>
      <c r="HQO6" s="433"/>
      <c r="HQP6" s="433"/>
      <c r="HQQ6" s="433"/>
      <c r="HQR6" s="433"/>
      <c r="HQS6" s="433"/>
      <c r="HQT6" s="433"/>
      <c r="HQU6" s="433"/>
      <c r="HQV6" s="433"/>
      <c r="HQW6" s="433"/>
      <c r="HQX6" s="433"/>
      <c r="HQY6" s="433"/>
      <c r="HQZ6" s="433"/>
      <c r="HRA6" s="433"/>
      <c r="HRB6" s="433"/>
      <c r="HRC6" s="433"/>
      <c r="HRD6" s="433"/>
      <c r="HRE6" s="433"/>
      <c r="HRF6" s="433"/>
      <c r="HRG6" s="433"/>
      <c r="HRH6" s="433"/>
      <c r="HRI6" s="433"/>
      <c r="HRJ6" s="433"/>
      <c r="HRK6" s="433"/>
      <c r="HRL6" s="433"/>
      <c r="HRM6" s="433"/>
      <c r="HRN6" s="433"/>
      <c r="HRO6" s="433"/>
      <c r="HRP6" s="433"/>
      <c r="HRQ6" s="433"/>
      <c r="HRR6" s="433"/>
      <c r="HRS6" s="433"/>
      <c r="HRT6" s="433"/>
      <c r="HRU6" s="433"/>
      <c r="HRV6" s="433"/>
      <c r="HRW6" s="433"/>
      <c r="HRX6" s="433"/>
      <c r="HRY6" s="433"/>
      <c r="HRZ6" s="433"/>
      <c r="HSA6" s="433"/>
      <c r="HSB6" s="433"/>
      <c r="HSC6" s="433"/>
      <c r="HSD6" s="433"/>
      <c r="HSE6" s="433"/>
      <c r="HSF6" s="433"/>
      <c r="HSG6" s="433"/>
      <c r="HSH6" s="433"/>
      <c r="HSI6" s="433"/>
      <c r="HSJ6" s="433"/>
      <c r="HSK6" s="433"/>
      <c r="HSL6" s="433"/>
      <c r="HSM6" s="433"/>
      <c r="HSN6" s="433"/>
      <c r="HSO6" s="433"/>
      <c r="HSP6" s="433"/>
      <c r="HSQ6" s="433"/>
      <c r="HSR6" s="433"/>
      <c r="HSS6" s="433"/>
      <c r="HST6" s="433"/>
      <c r="HSU6" s="433"/>
      <c r="HSV6" s="433"/>
      <c r="HSW6" s="433"/>
      <c r="HSX6" s="433"/>
      <c r="HSY6" s="433"/>
      <c r="HSZ6" s="433"/>
      <c r="HTA6" s="433"/>
      <c r="HTB6" s="433"/>
      <c r="HTC6" s="433"/>
      <c r="HTD6" s="433"/>
      <c r="HTE6" s="433"/>
      <c r="HTF6" s="433"/>
      <c r="HTG6" s="433"/>
      <c r="HTH6" s="433"/>
      <c r="HTI6" s="433"/>
      <c r="HTJ6" s="433"/>
      <c r="HTK6" s="433"/>
      <c r="HTL6" s="433"/>
      <c r="HTM6" s="433"/>
      <c r="HTN6" s="433"/>
      <c r="HTO6" s="433"/>
      <c r="HTP6" s="433"/>
      <c r="HTQ6" s="433"/>
      <c r="HTR6" s="433"/>
      <c r="HTS6" s="433"/>
      <c r="HTT6" s="433"/>
      <c r="HTU6" s="433"/>
      <c r="HTV6" s="433"/>
      <c r="HTW6" s="433"/>
      <c r="HTX6" s="433"/>
      <c r="HTY6" s="433"/>
      <c r="HTZ6" s="433"/>
      <c r="HUA6" s="433"/>
      <c r="HUB6" s="433"/>
      <c r="HUC6" s="433"/>
      <c r="HUD6" s="433"/>
      <c r="HUE6" s="433"/>
      <c r="HUF6" s="433"/>
      <c r="HUG6" s="433"/>
      <c r="HUH6" s="433"/>
      <c r="HUI6" s="433"/>
      <c r="HUJ6" s="433"/>
      <c r="HUK6" s="433"/>
      <c r="HUL6" s="433"/>
      <c r="HUM6" s="433"/>
      <c r="HUN6" s="433"/>
      <c r="HUO6" s="433"/>
      <c r="HUP6" s="433"/>
      <c r="HUQ6" s="433"/>
      <c r="HUR6" s="433"/>
      <c r="HUS6" s="433"/>
      <c r="HUT6" s="433"/>
      <c r="HUU6" s="433"/>
      <c r="HUV6" s="433"/>
      <c r="HUW6" s="433"/>
      <c r="HUX6" s="433"/>
      <c r="HUY6" s="433"/>
      <c r="HUZ6" s="433"/>
      <c r="HVA6" s="433"/>
      <c r="HVB6" s="433"/>
      <c r="HVC6" s="433"/>
      <c r="HVD6" s="433"/>
      <c r="HVE6" s="433"/>
      <c r="HVF6" s="433"/>
      <c r="HVG6" s="433"/>
      <c r="HVH6" s="433"/>
      <c r="HVI6" s="433"/>
      <c r="HVJ6" s="433"/>
      <c r="HVK6" s="433"/>
      <c r="HVL6" s="433"/>
      <c r="HVM6" s="433"/>
      <c r="HVN6" s="433"/>
      <c r="HVO6" s="433"/>
      <c r="HVP6" s="433"/>
      <c r="HVQ6" s="433"/>
      <c r="HVR6" s="433"/>
      <c r="HVS6" s="433"/>
      <c r="HVT6" s="433"/>
      <c r="HVU6" s="433"/>
      <c r="HVV6" s="433"/>
      <c r="HVW6" s="433"/>
      <c r="HVX6" s="433"/>
      <c r="HVY6" s="433"/>
      <c r="HVZ6" s="433"/>
      <c r="HWA6" s="433"/>
      <c r="HWB6" s="433"/>
      <c r="HWC6" s="433"/>
      <c r="HWD6" s="433"/>
      <c r="HWE6" s="433"/>
      <c r="HWF6" s="433"/>
      <c r="HWG6" s="433"/>
      <c r="HWH6" s="433"/>
      <c r="HWI6" s="433"/>
      <c r="HWJ6" s="433"/>
      <c r="HWK6" s="433"/>
      <c r="HWL6" s="433"/>
      <c r="HWM6" s="433"/>
      <c r="HWN6" s="433"/>
      <c r="HWO6" s="433"/>
      <c r="HWP6" s="433"/>
      <c r="HWQ6" s="433"/>
      <c r="HWR6" s="433"/>
      <c r="HWS6" s="433"/>
      <c r="HWT6" s="433"/>
      <c r="HWU6" s="433"/>
      <c r="HWV6" s="433"/>
      <c r="HWW6" s="433"/>
      <c r="HWX6" s="433"/>
      <c r="HWY6" s="433"/>
      <c r="HWZ6" s="433"/>
      <c r="HXA6" s="433"/>
      <c r="HXB6" s="433"/>
      <c r="HXC6" s="433"/>
      <c r="HXD6" s="433"/>
      <c r="HXE6" s="433"/>
      <c r="HXF6" s="433"/>
      <c r="HXG6" s="433"/>
      <c r="HXH6" s="433"/>
      <c r="HXI6" s="433"/>
      <c r="HXJ6" s="433"/>
      <c r="HXK6" s="433"/>
      <c r="HXL6" s="433"/>
      <c r="HXM6" s="433"/>
      <c r="HXN6" s="433"/>
      <c r="HXO6" s="433"/>
      <c r="HXP6" s="433"/>
      <c r="HXQ6" s="433"/>
      <c r="HXR6" s="433"/>
      <c r="HXS6" s="433"/>
      <c r="HXT6" s="433"/>
      <c r="HXU6" s="433"/>
      <c r="HXV6" s="433"/>
      <c r="HXW6" s="433"/>
      <c r="HXX6" s="433"/>
      <c r="HXY6" s="433"/>
      <c r="HXZ6" s="433"/>
      <c r="HYA6" s="433"/>
      <c r="HYB6" s="433"/>
      <c r="HYC6" s="433"/>
      <c r="HYD6" s="433"/>
      <c r="HYE6" s="433"/>
      <c r="HYF6" s="433"/>
      <c r="HYG6" s="433"/>
      <c r="HYH6" s="433"/>
      <c r="HYI6" s="433"/>
      <c r="HYJ6" s="433"/>
      <c r="HYK6" s="433"/>
      <c r="HYL6" s="433"/>
      <c r="HYM6" s="433"/>
      <c r="HYN6" s="433"/>
      <c r="HYO6" s="433"/>
      <c r="HYP6" s="433"/>
      <c r="HYQ6" s="433"/>
      <c r="HYR6" s="433"/>
      <c r="HYS6" s="433"/>
      <c r="HYT6" s="433"/>
      <c r="HYU6" s="433"/>
      <c r="HYV6" s="433"/>
      <c r="HYW6" s="433"/>
      <c r="HYX6" s="433"/>
      <c r="HYY6" s="433"/>
      <c r="HYZ6" s="433"/>
      <c r="HZA6" s="433"/>
      <c r="HZB6" s="433"/>
      <c r="HZC6" s="433"/>
      <c r="HZD6" s="433"/>
      <c r="HZE6" s="433"/>
      <c r="HZF6" s="433"/>
      <c r="HZG6" s="433"/>
      <c r="HZH6" s="433"/>
      <c r="HZI6" s="433"/>
      <c r="HZJ6" s="433"/>
      <c r="HZK6" s="433"/>
      <c r="HZL6" s="433"/>
      <c r="HZM6" s="433"/>
      <c r="HZN6" s="433"/>
      <c r="HZO6" s="433"/>
      <c r="HZP6" s="433"/>
      <c r="HZQ6" s="433"/>
      <c r="HZR6" s="433"/>
      <c r="HZS6" s="433"/>
      <c r="HZT6" s="433"/>
      <c r="HZU6" s="433"/>
      <c r="HZV6" s="433"/>
      <c r="HZW6" s="433"/>
      <c r="HZX6" s="433"/>
      <c r="HZY6" s="433"/>
      <c r="HZZ6" s="433"/>
      <c r="IAA6" s="433"/>
      <c r="IAB6" s="433"/>
      <c r="IAC6" s="433"/>
      <c r="IAD6" s="433"/>
      <c r="IAE6" s="433"/>
      <c r="IAF6" s="433"/>
      <c r="IAG6" s="433"/>
      <c r="IAH6" s="433"/>
      <c r="IAI6" s="433"/>
      <c r="IAJ6" s="433"/>
      <c r="IAK6" s="433"/>
      <c r="IAL6" s="433"/>
      <c r="IAM6" s="433"/>
      <c r="IAN6" s="433"/>
      <c r="IAO6" s="433"/>
      <c r="IAP6" s="433"/>
      <c r="IAQ6" s="433"/>
      <c r="IAR6" s="433"/>
      <c r="IAS6" s="433"/>
      <c r="IAT6" s="433"/>
      <c r="IAU6" s="433"/>
      <c r="IAV6" s="433"/>
      <c r="IAW6" s="433"/>
      <c r="IAX6" s="433"/>
      <c r="IAY6" s="433"/>
      <c r="IAZ6" s="433"/>
      <c r="IBA6" s="433"/>
      <c r="IBB6" s="433"/>
      <c r="IBC6" s="433"/>
      <c r="IBD6" s="433"/>
      <c r="IBE6" s="433"/>
      <c r="IBF6" s="433"/>
      <c r="IBG6" s="433"/>
      <c r="IBH6" s="433"/>
      <c r="IBI6" s="433"/>
      <c r="IBJ6" s="433"/>
      <c r="IBK6" s="433"/>
      <c r="IBL6" s="433"/>
      <c r="IBM6" s="433"/>
      <c r="IBN6" s="433"/>
      <c r="IBO6" s="433"/>
      <c r="IBP6" s="433"/>
      <c r="IBQ6" s="433"/>
      <c r="IBR6" s="433"/>
      <c r="IBS6" s="433"/>
      <c r="IBT6" s="433"/>
      <c r="IBU6" s="433"/>
      <c r="IBV6" s="433"/>
      <c r="IBW6" s="433"/>
      <c r="IBX6" s="433"/>
      <c r="IBY6" s="433"/>
      <c r="IBZ6" s="433"/>
      <c r="ICA6" s="433"/>
      <c r="ICB6" s="433"/>
      <c r="ICC6" s="433"/>
      <c r="ICD6" s="433"/>
      <c r="ICE6" s="433"/>
      <c r="ICF6" s="433"/>
      <c r="ICG6" s="433"/>
      <c r="ICH6" s="433"/>
      <c r="ICI6" s="433"/>
      <c r="ICJ6" s="433"/>
      <c r="ICK6" s="433"/>
      <c r="ICL6" s="433"/>
      <c r="ICM6" s="433"/>
      <c r="ICN6" s="433"/>
      <c r="ICO6" s="433"/>
      <c r="ICP6" s="433"/>
      <c r="ICQ6" s="433"/>
      <c r="ICR6" s="433"/>
      <c r="ICS6" s="433"/>
      <c r="ICT6" s="433"/>
      <c r="ICU6" s="433"/>
      <c r="ICV6" s="433"/>
      <c r="ICW6" s="433"/>
      <c r="ICX6" s="433"/>
      <c r="ICY6" s="433"/>
      <c r="ICZ6" s="433"/>
      <c r="IDA6" s="433"/>
      <c r="IDB6" s="433"/>
      <c r="IDC6" s="433"/>
      <c r="IDD6" s="433"/>
      <c r="IDE6" s="433"/>
      <c r="IDF6" s="433"/>
      <c r="IDG6" s="433"/>
      <c r="IDH6" s="433"/>
      <c r="IDI6" s="433"/>
      <c r="IDJ6" s="433"/>
      <c r="IDK6" s="433"/>
      <c r="IDL6" s="433"/>
      <c r="IDM6" s="433"/>
      <c r="IDN6" s="433"/>
      <c r="IDO6" s="433"/>
      <c r="IDP6" s="433"/>
      <c r="IDQ6" s="433"/>
      <c r="IDR6" s="433"/>
      <c r="IDS6" s="433"/>
      <c r="IDT6" s="433"/>
      <c r="IDU6" s="433"/>
      <c r="IDV6" s="433"/>
      <c r="IDW6" s="433"/>
      <c r="IDX6" s="433"/>
      <c r="IDY6" s="433"/>
      <c r="IDZ6" s="433"/>
      <c r="IEA6" s="433"/>
      <c r="IEB6" s="433"/>
      <c r="IEC6" s="433"/>
      <c r="IED6" s="433"/>
      <c r="IEE6" s="433"/>
      <c r="IEF6" s="433"/>
      <c r="IEG6" s="433"/>
      <c r="IEH6" s="433"/>
      <c r="IEI6" s="433"/>
      <c r="IEJ6" s="433"/>
      <c r="IEK6" s="433"/>
      <c r="IEL6" s="433"/>
      <c r="IEM6" s="433"/>
      <c r="IEN6" s="433"/>
      <c r="IEO6" s="433"/>
      <c r="IEP6" s="433"/>
      <c r="IEQ6" s="433"/>
      <c r="IER6" s="433"/>
      <c r="IES6" s="433"/>
      <c r="IET6" s="433"/>
      <c r="IEU6" s="433"/>
      <c r="IEV6" s="433"/>
      <c r="IEW6" s="433"/>
      <c r="IEX6" s="433"/>
      <c r="IEY6" s="433"/>
      <c r="IEZ6" s="433"/>
      <c r="IFA6" s="433"/>
      <c r="IFB6" s="433"/>
      <c r="IFC6" s="433"/>
      <c r="IFD6" s="433"/>
      <c r="IFE6" s="433"/>
      <c r="IFF6" s="433"/>
      <c r="IFG6" s="433"/>
      <c r="IFH6" s="433"/>
      <c r="IFI6" s="433"/>
      <c r="IFJ6" s="433"/>
      <c r="IFK6" s="433"/>
      <c r="IFL6" s="433"/>
      <c r="IFM6" s="433"/>
      <c r="IFN6" s="433"/>
      <c r="IFO6" s="433"/>
      <c r="IFP6" s="433"/>
      <c r="IFQ6" s="433"/>
      <c r="IFR6" s="433"/>
      <c r="IFS6" s="433"/>
      <c r="IFT6" s="433"/>
      <c r="IFU6" s="433"/>
      <c r="IFV6" s="433"/>
      <c r="IFW6" s="433"/>
      <c r="IFX6" s="433"/>
      <c r="IFY6" s="433"/>
      <c r="IFZ6" s="433"/>
      <c r="IGA6" s="433"/>
      <c r="IGB6" s="433"/>
      <c r="IGC6" s="433"/>
      <c r="IGD6" s="433"/>
      <c r="IGE6" s="433"/>
      <c r="IGF6" s="433"/>
      <c r="IGG6" s="433"/>
      <c r="IGH6" s="433"/>
      <c r="IGI6" s="433"/>
      <c r="IGJ6" s="433"/>
      <c r="IGK6" s="433"/>
      <c r="IGL6" s="433"/>
      <c r="IGM6" s="433"/>
      <c r="IGN6" s="433"/>
      <c r="IGO6" s="433"/>
      <c r="IGP6" s="433"/>
      <c r="IGQ6" s="433"/>
      <c r="IGR6" s="433"/>
      <c r="IGS6" s="433"/>
      <c r="IGT6" s="433"/>
      <c r="IGU6" s="433"/>
      <c r="IGV6" s="433"/>
      <c r="IGW6" s="433"/>
      <c r="IGX6" s="433"/>
      <c r="IGY6" s="433"/>
      <c r="IGZ6" s="433"/>
      <c r="IHA6" s="433"/>
      <c r="IHB6" s="433"/>
      <c r="IHC6" s="433"/>
      <c r="IHD6" s="433"/>
      <c r="IHE6" s="433"/>
      <c r="IHF6" s="433"/>
      <c r="IHG6" s="433"/>
      <c r="IHH6" s="433"/>
      <c r="IHI6" s="433"/>
      <c r="IHJ6" s="433"/>
      <c r="IHK6" s="433"/>
      <c r="IHL6" s="433"/>
      <c r="IHM6" s="433"/>
      <c r="IHN6" s="433"/>
      <c r="IHO6" s="433"/>
      <c r="IHP6" s="433"/>
      <c r="IHQ6" s="433"/>
      <c r="IHR6" s="433"/>
      <c r="IHS6" s="433"/>
      <c r="IHT6" s="433"/>
      <c r="IHU6" s="433"/>
      <c r="IHV6" s="433"/>
      <c r="IHW6" s="433"/>
      <c r="IHX6" s="433"/>
      <c r="IHY6" s="433"/>
      <c r="IHZ6" s="433"/>
      <c r="IIA6" s="433"/>
      <c r="IIB6" s="433"/>
      <c r="IIC6" s="433"/>
      <c r="IID6" s="433"/>
      <c r="IIE6" s="433"/>
      <c r="IIF6" s="433"/>
      <c r="IIG6" s="433"/>
      <c r="IIH6" s="433"/>
      <c r="III6" s="433"/>
      <c r="IIJ6" s="433"/>
      <c r="IIK6" s="433"/>
      <c r="IIL6" s="433"/>
      <c r="IIM6" s="433"/>
      <c r="IIN6" s="433"/>
      <c r="IIO6" s="433"/>
      <c r="IIP6" s="433"/>
      <c r="IIQ6" s="433"/>
      <c r="IIR6" s="433"/>
      <c r="IIS6" s="433"/>
      <c r="IIT6" s="433"/>
      <c r="IIU6" s="433"/>
      <c r="IIV6" s="433"/>
      <c r="IIW6" s="433"/>
      <c r="IIX6" s="433"/>
      <c r="IIY6" s="433"/>
      <c r="IIZ6" s="433"/>
      <c r="IJA6" s="433"/>
      <c r="IJB6" s="433"/>
      <c r="IJC6" s="433"/>
      <c r="IJD6" s="433"/>
      <c r="IJE6" s="433"/>
      <c r="IJF6" s="433"/>
      <c r="IJG6" s="433"/>
      <c r="IJH6" s="433"/>
      <c r="IJI6" s="433"/>
      <c r="IJJ6" s="433"/>
      <c r="IJK6" s="433"/>
      <c r="IJL6" s="433"/>
      <c r="IJM6" s="433"/>
      <c r="IJN6" s="433"/>
      <c r="IJO6" s="433"/>
      <c r="IJP6" s="433"/>
      <c r="IJQ6" s="433"/>
      <c r="IJR6" s="433"/>
      <c r="IJS6" s="433"/>
      <c r="IJT6" s="433"/>
      <c r="IJU6" s="433"/>
      <c r="IJV6" s="433"/>
      <c r="IJW6" s="433"/>
      <c r="IJX6" s="433"/>
      <c r="IJY6" s="433"/>
      <c r="IJZ6" s="433"/>
      <c r="IKA6" s="433"/>
      <c r="IKB6" s="433"/>
      <c r="IKC6" s="433"/>
      <c r="IKD6" s="433"/>
      <c r="IKE6" s="433"/>
      <c r="IKF6" s="433"/>
      <c r="IKG6" s="433"/>
      <c r="IKH6" s="433"/>
      <c r="IKI6" s="433"/>
      <c r="IKJ6" s="433"/>
      <c r="IKK6" s="433"/>
      <c r="IKL6" s="433"/>
      <c r="IKM6" s="433"/>
      <c r="IKN6" s="433"/>
      <c r="IKO6" s="433"/>
      <c r="IKP6" s="433"/>
      <c r="IKQ6" s="433"/>
      <c r="IKR6" s="433"/>
      <c r="IKS6" s="433"/>
      <c r="IKT6" s="433"/>
      <c r="IKU6" s="433"/>
      <c r="IKV6" s="433"/>
      <c r="IKW6" s="433"/>
      <c r="IKX6" s="433"/>
      <c r="IKY6" s="433"/>
      <c r="IKZ6" s="433"/>
      <c r="ILA6" s="433"/>
      <c r="ILB6" s="433"/>
      <c r="ILC6" s="433"/>
      <c r="ILD6" s="433"/>
      <c r="ILE6" s="433"/>
      <c r="ILF6" s="433"/>
      <c r="ILG6" s="433"/>
      <c r="ILH6" s="433"/>
      <c r="ILI6" s="433"/>
      <c r="ILJ6" s="433"/>
      <c r="ILK6" s="433"/>
      <c r="ILL6" s="433"/>
      <c r="ILM6" s="433"/>
      <c r="ILN6" s="433"/>
      <c r="ILO6" s="433"/>
      <c r="ILP6" s="433"/>
      <c r="ILQ6" s="433"/>
      <c r="ILR6" s="433"/>
      <c r="ILS6" s="433"/>
      <c r="ILT6" s="433"/>
      <c r="ILU6" s="433"/>
      <c r="ILV6" s="433"/>
      <c r="ILW6" s="433"/>
      <c r="ILX6" s="433"/>
      <c r="ILY6" s="433"/>
      <c r="ILZ6" s="433"/>
      <c r="IMA6" s="433"/>
      <c r="IMB6" s="433"/>
      <c r="IMC6" s="433"/>
      <c r="IMD6" s="433"/>
      <c r="IME6" s="433"/>
      <c r="IMF6" s="433"/>
      <c r="IMG6" s="433"/>
      <c r="IMH6" s="433"/>
      <c r="IMI6" s="433"/>
      <c r="IMJ6" s="433"/>
      <c r="IMK6" s="433"/>
      <c r="IML6" s="433"/>
      <c r="IMM6" s="433"/>
      <c r="IMN6" s="433"/>
      <c r="IMO6" s="433"/>
      <c r="IMP6" s="433"/>
      <c r="IMQ6" s="433"/>
      <c r="IMR6" s="433"/>
      <c r="IMS6" s="433"/>
      <c r="IMT6" s="433"/>
      <c r="IMU6" s="433"/>
      <c r="IMV6" s="433"/>
      <c r="IMW6" s="433"/>
      <c r="IMX6" s="433"/>
      <c r="IMY6" s="433"/>
      <c r="IMZ6" s="433"/>
      <c r="INA6" s="433"/>
      <c r="INB6" s="433"/>
      <c r="INC6" s="433"/>
      <c r="IND6" s="433"/>
      <c r="INE6" s="433"/>
      <c r="INF6" s="433"/>
      <c r="ING6" s="433"/>
      <c r="INH6" s="433"/>
      <c r="INI6" s="433"/>
      <c r="INJ6" s="433"/>
      <c r="INK6" s="433"/>
      <c r="INL6" s="433"/>
      <c r="INM6" s="433"/>
      <c r="INN6" s="433"/>
      <c r="INO6" s="433"/>
      <c r="INP6" s="433"/>
      <c r="INQ6" s="433"/>
      <c r="INR6" s="433"/>
      <c r="INS6" s="433"/>
      <c r="INT6" s="433"/>
      <c r="INU6" s="433"/>
      <c r="INV6" s="433"/>
      <c r="INW6" s="433"/>
      <c r="INX6" s="433"/>
      <c r="INY6" s="433"/>
      <c r="INZ6" s="433"/>
      <c r="IOA6" s="433"/>
      <c r="IOB6" s="433"/>
      <c r="IOC6" s="433"/>
      <c r="IOD6" s="433"/>
      <c r="IOE6" s="433"/>
      <c r="IOF6" s="433"/>
      <c r="IOG6" s="433"/>
      <c r="IOH6" s="433"/>
      <c r="IOI6" s="433"/>
      <c r="IOJ6" s="433"/>
      <c r="IOK6" s="433"/>
      <c r="IOL6" s="433"/>
      <c r="IOM6" s="433"/>
      <c r="ION6" s="433"/>
      <c r="IOO6" s="433"/>
      <c r="IOP6" s="433"/>
      <c r="IOQ6" s="433"/>
      <c r="IOR6" s="433"/>
      <c r="IOS6" s="433"/>
      <c r="IOT6" s="433"/>
      <c r="IOU6" s="433"/>
      <c r="IOV6" s="433"/>
      <c r="IOW6" s="433"/>
      <c r="IOX6" s="433"/>
      <c r="IOY6" s="433"/>
      <c r="IOZ6" s="433"/>
      <c r="IPA6" s="433"/>
      <c r="IPB6" s="433"/>
      <c r="IPC6" s="433"/>
      <c r="IPD6" s="433"/>
      <c r="IPE6" s="433"/>
      <c r="IPF6" s="433"/>
      <c r="IPG6" s="433"/>
      <c r="IPH6" s="433"/>
      <c r="IPI6" s="433"/>
      <c r="IPJ6" s="433"/>
      <c r="IPK6" s="433"/>
      <c r="IPL6" s="433"/>
      <c r="IPM6" s="433"/>
      <c r="IPN6" s="433"/>
      <c r="IPO6" s="433"/>
      <c r="IPP6" s="433"/>
      <c r="IPQ6" s="433"/>
      <c r="IPR6" s="433"/>
      <c r="IPS6" s="433"/>
      <c r="IPT6" s="433"/>
      <c r="IPU6" s="433"/>
      <c r="IPV6" s="433"/>
      <c r="IPW6" s="433"/>
      <c r="IPX6" s="433"/>
      <c r="IPY6" s="433"/>
      <c r="IPZ6" s="433"/>
      <c r="IQA6" s="433"/>
      <c r="IQB6" s="433"/>
      <c r="IQC6" s="433"/>
      <c r="IQD6" s="433"/>
      <c r="IQE6" s="433"/>
      <c r="IQF6" s="433"/>
      <c r="IQG6" s="433"/>
      <c r="IQH6" s="433"/>
      <c r="IQI6" s="433"/>
      <c r="IQJ6" s="433"/>
      <c r="IQK6" s="433"/>
      <c r="IQL6" s="433"/>
      <c r="IQM6" s="433"/>
      <c r="IQN6" s="433"/>
      <c r="IQO6" s="433"/>
      <c r="IQP6" s="433"/>
      <c r="IQQ6" s="433"/>
      <c r="IQR6" s="433"/>
      <c r="IQS6" s="433"/>
      <c r="IQT6" s="433"/>
      <c r="IQU6" s="433"/>
      <c r="IQV6" s="433"/>
      <c r="IQW6" s="433"/>
      <c r="IQX6" s="433"/>
      <c r="IQY6" s="433"/>
      <c r="IQZ6" s="433"/>
      <c r="IRA6" s="433"/>
      <c r="IRB6" s="433"/>
      <c r="IRC6" s="433"/>
      <c r="IRD6" s="433"/>
      <c r="IRE6" s="433"/>
      <c r="IRF6" s="433"/>
      <c r="IRG6" s="433"/>
      <c r="IRH6" s="433"/>
      <c r="IRI6" s="433"/>
      <c r="IRJ6" s="433"/>
      <c r="IRK6" s="433"/>
      <c r="IRL6" s="433"/>
      <c r="IRM6" s="433"/>
      <c r="IRN6" s="433"/>
      <c r="IRO6" s="433"/>
      <c r="IRP6" s="433"/>
      <c r="IRQ6" s="433"/>
      <c r="IRR6" s="433"/>
      <c r="IRS6" s="433"/>
      <c r="IRT6" s="433"/>
      <c r="IRU6" s="433"/>
      <c r="IRV6" s="433"/>
      <c r="IRW6" s="433"/>
      <c r="IRX6" s="433"/>
      <c r="IRY6" s="433"/>
      <c r="IRZ6" s="433"/>
      <c r="ISA6" s="433"/>
      <c r="ISB6" s="433"/>
      <c r="ISC6" s="433"/>
      <c r="ISD6" s="433"/>
      <c r="ISE6" s="433"/>
      <c r="ISF6" s="433"/>
      <c r="ISG6" s="433"/>
      <c r="ISH6" s="433"/>
      <c r="ISI6" s="433"/>
      <c r="ISJ6" s="433"/>
      <c r="ISK6" s="433"/>
      <c r="ISL6" s="433"/>
      <c r="ISM6" s="433"/>
      <c r="ISN6" s="433"/>
      <c r="ISO6" s="433"/>
      <c r="ISP6" s="433"/>
      <c r="ISQ6" s="433"/>
      <c r="ISR6" s="433"/>
      <c r="ISS6" s="433"/>
      <c r="IST6" s="433"/>
      <c r="ISU6" s="433"/>
      <c r="ISV6" s="433"/>
      <c r="ISW6" s="433"/>
      <c r="ISX6" s="433"/>
      <c r="ISY6" s="433"/>
      <c r="ISZ6" s="433"/>
      <c r="ITA6" s="433"/>
      <c r="ITB6" s="433"/>
      <c r="ITC6" s="433"/>
      <c r="ITD6" s="433"/>
      <c r="ITE6" s="433"/>
      <c r="ITF6" s="433"/>
      <c r="ITG6" s="433"/>
      <c r="ITH6" s="433"/>
      <c r="ITI6" s="433"/>
      <c r="ITJ6" s="433"/>
      <c r="ITK6" s="433"/>
      <c r="ITL6" s="433"/>
      <c r="ITM6" s="433"/>
      <c r="ITN6" s="433"/>
      <c r="ITO6" s="433"/>
      <c r="ITP6" s="433"/>
      <c r="ITQ6" s="433"/>
      <c r="ITR6" s="433"/>
      <c r="ITS6" s="433"/>
      <c r="ITT6" s="433"/>
      <c r="ITU6" s="433"/>
      <c r="ITV6" s="433"/>
      <c r="ITW6" s="433"/>
      <c r="ITX6" s="433"/>
      <c r="ITY6" s="433"/>
      <c r="ITZ6" s="433"/>
      <c r="IUA6" s="433"/>
      <c r="IUB6" s="433"/>
      <c r="IUC6" s="433"/>
      <c r="IUD6" s="433"/>
      <c r="IUE6" s="433"/>
      <c r="IUF6" s="433"/>
      <c r="IUG6" s="433"/>
      <c r="IUH6" s="433"/>
      <c r="IUI6" s="433"/>
      <c r="IUJ6" s="433"/>
      <c r="IUK6" s="433"/>
      <c r="IUL6" s="433"/>
      <c r="IUM6" s="433"/>
      <c r="IUN6" s="433"/>
      <c r="IUO6" s="433"/>
      <c r="IUP6" s="433"/>
      <c r="IUQ6" s="433"/>
      <c r="IUR6" s="433"/>
      <c r="IUS6" s="433"/>
      <c r="IUT6" s="433"/>
      <c r="IUU6" s="433"/>
      <c r="IUV6" s="433"/>
      <c r="IUW6" s="433"/>
      <c r="IUX6" s="433"/>
      <c r="IUY6" s="433"/>
      <c r="IUZ6" s="433"/>
      <c r="IVA6" s="433"/>
      <c r="IVB6" s="433"/>
      <c r="IVC6" s="433"/>
      <c r="IVD6" s="433"/>
      <c r="IVE6" s="433"/>
      <c r="IVF6" s="433"/>
      <c r="IVG6" s="433"/>
      <c r="IVH6" s="433"/>
      <c r="IVI6" s="433"/>
      <c r="IVJ6" s="433"/>
      <c r="IVK6" s="433"/>
      <c r="IVL6" s="433"/>
      <c r="IVM6" s="433"/>
      <c r="IVN6" s="433"/>
      <c r="IVO6" s="433"/>
      <c r="IVP6" s="433"/>
      <c r="IVQ6" s="433"/>
      <c r="IVR6" s="433"/>
      <c r="IVS6" s="433"/>
      <c r="IVT6" s="433"/>
      <c r="IVU6" s="433"/>
      <c r="IVV6" s="433"/>
      <c r="IVW6" s="433"/>
      <c r="IVX6" s="433"/>
      <c r="IVY6" s="433"/>
      <c r="IVZ6" s="433"/>
      <c r="IWA6" s="433"/>
      <c r="IWB6" s="433"/>
      <c r="IWC6" s="433"/>
      <c r="IWD6" s="433"/>
      <c r="IWE6" s="433"/>
      <c r="IWF6" s="433"/>
      <c r="IWG6" s="433"/>
      <c r="IWH6" s="433"/>
      <c r="IWI6" s="433"/>
      <c r="IWJ6" s="433"/>
      <c r="IWK6" s="433"/>
      <c r="IWL6" s="433"/>
      <c r="IWM6" s="433"/>
      <c r="IWN6" s="433"/>
      <c r="IWO6" s="433"/>
      <c r="IWP6" s="433"/>
      <c r="IWQ6" s="433"/>
      <c r="IWR6" s="433"/>
      <c r="IWS6" s="433"/>
      <c r="IWT6" s="433"/>
      <c r="IWU6" s="433"/>
      <c r="IWV6" s="433"/>
      <c r="IWW6" s="433"/>
      <c r="IWX6" s="433"/>
      <c r="IWY6" s="433"/>
      <c r="IWZ6" s="433"/>
      <c r="IXA6" s="433"/>
      <c r="IXB6" s="433"/>
      <c r="IXC6" s="433"/>
      <c r="IXD6" s="433"/>
      <c r="IXE6" s="433"/>
      <c r="IXF6" s="433"/>
      <c r="IXG6" s="433"/>
      <c r="IXH6" s="433"/>
      <c r="IXI6" s="433"/>
      <c r="IXJ6" s="433"/>
      <c r="IXK6" s="433"/>
      <c r="IXL6" s="433"/>
      <c r="IXM6" s="433"/>
      <c r="IXN6" s="433"/>
      <c r="IXO6" s="433"/>
      <c r="IXP6" s="433"/>
      <c r="IXQ6" s="433"/>
      <c r="IXR6" s="433"/>
      <c r="IXS6" s="433"/>
      <c r="IXT6" s="433"/>
      <c r="IXU6" s="433"/>
      <c r="IXV6" s="433"/>
      <c r="IXW6" s="433"/>
      <c r="IXX6" s="433"/>
      <c r="IXY6" s="433"/>
      <c r="IXZ6" s="433"/>
      <c r="IYA6" s="433"/>
      <c r="IYB6" s="433"/>
      <c r="IYC6" s="433"/>
      <c r="IYD6" s="433"/>
      <c r="IYE6" s="433"/>
      <c r="IYF6" s="433"/>
      <c r="IYG6" s="433"/>
      <c r="IYH6" s="433"/>
      <c r="IYI6" s="433"/>
      <c r="IYJ6" s="433"/>
      <c r="IYK6" s="433"/>
      <c r="IYL6" s="433"/>
      <c r="IYM6" s="433"/>
      <c r="IYN6" s="433"/>
      <c r="IYO6" s="433"/>
      <c r="IYP6" s="433"/>
      <c r="IYQ6" s="433"/>
      <c r="IYR6" s="433"/>
      <c r="IYS6" s="433"/>
      <c r="IYT6" s="433"/>
      <c r="IYU6" s="433"/>
      <c r="IYV6" s="433"/>
      <c r="IYW6" s="433"/>
      <c r="IYX6" s="433"/>
      <c r="IYY6" s="433"/>
      <c r="IYZ6" s="433"/>
      <c r="IZA6" s="433"/>
      <c r="IZB6" s="433"/>
      <c r="IZC6" s="433"/>
      <c r="IZD6" s="433"/>
      <c r="IZE6" s="433"/>
      <c r="IZF6" s="433"/>
      <c r="IZG6" s="433"/>
      <c r="IZH6" s="433"/>
      <c r="IZI6" s="433"/>
      <c r="IZJ6" s="433"/>
      <c r="IZK6" s="433"/>
      <c r="IZL6" s="433"/>
      <c r="IZM6" s="433"/>
      <c r="IZN6" s="433"/>
      <c r="IZO6" s="433"/>
      <c r="IZP6" s="433"/>
      <c r="IZQ6" s="433"/>
      <c r="IZR6" s="433"/>
      <c r="IZS6" s="433"/>
      <c r="IZT6" s="433"/>
      <c r="IZU6" s="433"/>
      <c r="IZV6" s="433"/>
      <c r="IZW6" s="433"/>
      <c r="IZX6" s="433"/>
      <c r="IZY6" s="433"/>
      <c r="IZZ6" s="433"/>
      <c r="JAA6" s="433"/>
      <c r="JAB6" s="433"/>
      <c r="JAC6" s="433"/>
      <c r="JAD6" s="433"/>
      <c r="JAE6" s="433"/>
      <c r="JAF6" s="433"/>
      <c r="JAG6" s="433"/>
      <c r="JAH6" s="433"/>
      <c r="JAI6" s="433"/>
      <c r="JAJ6" s="433"/>
      <c r="JAK6" s="433"/>
      <c r="JAL6" s="433"/>
      <c r="JAM6" s="433"/>
      <c r="JAN6" s="433"/>
      <c r="JAO6" s="433"/>
      <c r="JAP6" s="433"/>
      <c r="JAQ6" s="433"/>
      <c r="JAR6" s="433"/>
      <c r="JAS6" s="433"/>
      <c r="JAT6" s="433"/>
      <c r="JAU6" s="433"/>
      <c r="JAV6" s="433"/>
      <c r="JAW6" s="433"/>
      <c r="JAX6" s="433"/>
      <c r="JAY6" s="433"/>
      <c r="JAZ6" s="433"/>
      <c r="JBA6" s="433"/>
      <c r="JBB6" s="433"/>
      <c r="JBC6" s="433"/>
      <c r="JBD6" s="433"/>
      <c r="JBE6" s="433"/>
      <c r="JBF6" s="433"/>
      <c r="JBG6" s="433"/>
      <c r="JBH6" s="433"/>
      <c r="JBI6" s="433"/>
      <c r="JBJ6" s="433"/>
      <c r="JBK6" s="433"/>
      <c r="JBL6" s="433"/>
      <c r="JBM6" s="433"/>
      <c r="JBN6" s="433"/>
      <c r="JBO6" s="433"/>
      <c r="JBP6" s="433"/>
      <c r="JBQ6" s="433"/>
      <c r="JBR6" s="433"/>
      <c r="JBS6" s="433"/>
      <c r="JBT6" s="433"/>
      <c r="JBU6" s="433"/>
      <c r="JBV6" s="433"/>
      <c r="JBW6" s="433"/>
      <c r="JBX6" s="433"/>
      <c r="JBY6" s="433"/>
      <c r="JBZ6" s="433"/>
      <c r="JCA6" s="433"/>
      <c r="JCB6" s="433"/>
      <c r="JCC6" s="433"/>
      <c r="JCD6" s="433"/>
      <c r="JCE6" s="433"/>
      <c r="JCF6" s="433"/>
      <c r="JCG6" s="433"/>
      <c r="JCH6" s="433"/>
      <c r="JCI6" s="433"/>
      <c r="JCJ6" s="433"/>
      <c r="JCK6" s="433"/>
      <c r="JCL6" s="433"/>
      <c r="JCM6" s="433"/>
      <c r="JCN6" s="433"/>
      <c r="JCO6" s="433"/>
      <c r="JCP6" s="433"/>
      <c r="JCQ6" s="433"/>
      <c r="JCR6" s="433"/>
      <c r="JCS6" s="433"/>
      <c r="JCT6" s="433"/>
      <c r="JCU6" s="433"/>
      <c r="JCV6" s="433"/>
      <c r="JCW6" s="433"/>
      <c r="JCX6" s="433"/>
      <c r="JCY6" s="433"/>
      <c r="JCZ6" s="433"/>
      <c r="JDA6" s="433"/>
      <c r="JDB6" s="433"/>
      <c r="JDC6" s="433"/>
      <c r="JDD6" s="433"/>
      <c r="JDE6" s="433"/>
      <c r="JDF6" s="433"/>
      <c r="JDG6" s="433"/>
      <c r="JDH6" s="433"/>
      <c r="JDI6" s="433"/>
      <c r="JDJ6" s="433"/>
      <c r="JDK6" s="433"/>
      <c r="JDL6" s="433"/>
      <c r="JDM6" s="433"/>
      <c r="JDN6" s="433"/>
      <c r="JDO6" s="433"/>
      <c r="JDP6" s="433"/>
      <c r="JDQ6" s="433"/>
      <c r="JDR6" s="433"/>
      <c r="JDS6" s="433"/>
      <c r="JDT6" s="433"/>
      <c r="JDU6" s="433"/>
      <c r="JDV6" s="433"/>
      <c r="JDW6" s="433"/>
      <c r="JDX6" s="433"/>
      <c r="JDY6" s="433"/>
      <c r="JDZ6" s="433"/>
      <c r="JEA6" s="433"/>
      <c r="JEB6" s="433"/>
      <c r="JEC6" s="433"/>
      <c r="JED6" s="433"/>
      <c r="JEE6" s="433"/>
      <c r="JEF6" s="433"/>
      <c r="JEG6" s="433"/>
      <c r="JEH6" s="433"/>
      <c r="JEI6" s="433"/>
      <c r="JEJ6" s="433"/>
      <c r="JEK6" s="433"/>
      <c r="JEL6" s="433"/>
      <c r="JEM6" s="433"/>
      <c r="JEN6" s="433"/>
      <c r="JEO6" s="433"/>
      <c r="JEP6" s="433"/>
      <c r="JEQ6" s="433"/>
      <c r="JER6" s="433"/>
      <c r="JES6" s="433"/>
      <c r="JET6" s="433"/>
      <c r="JEU6" s="433"/>
      <c r="JEV6" s="433"/>
      <c r="JEW6" s="433"/>
      <c r="JEX6" s="433"/>
      <c r="JEY6" s="433"/>
      <c r="JEZ6" s="433"/>
      <c r="JFA6" s="433"/>
      <c r="JFB6" s="433"/>
      <c r="JFC6" s="433"/>
      <c r="JFD6" s="433"/>
      <c r="JFE6" s="433"/>
      <c r="JFF6" s="433"/>
      <c r="JFG6" s="433"/>
      <c r="JFH6" s="433"/>
      <c r="JFI6" s="433"/>
      <c r="JFJ6" s="433"/>
      <c r="JFK6" s="433"/>
      <c r="JFL6" s="433"/>
      <c r="JFM6" s="433"/>
      <c r="JFN6" s="433"/>
      <c r="JFO6" s="433"/>
      <c r="JFP6" s="433"/>
      <c r="JFQ6" s="433"/>
      <c r="JFR6" s="433"/>
      <c r="JFS6" s="433"/>
      <c r="JFT6" s="433"/>
      <c r="JFU6" s="433"/>
      <c r="JFV6" s="433"/>
      <c r="JFW6" s="433"/>
      <c r="JFX6" s="433"/>
      <c r="JFY6" s="433"/>
      <c r="JFZ6" s="433"/>
      <c r="JGA6" s="433"/>
      <c r="JGB6" s="433"/>
      <c r="JGC6" s="433"/>
      <c r="JGD6" s="433"/>
      <c r="JGE6" s="433"/>
      <c r="JGF6" s="433"/>
      <c r="JGG6" s="433"/>
      <c r="JGH6" s="433"/>
      <c r="JGI6" s="433"/>
      <c r="JGJ6" s="433"/>
      <c r="JGK6" s="433"/>
      <c r="JGL6" s="433"/>
      <c r="JGM6" s="433"/>
      <c r="JGN6" s="433"/>
      <c r="JGO6" s="433"/>
      <c r="JGP6" s="433"/>
      <c r="JGQ6" s="433"/>
      <c r="JGR6" s="433"/>
      <c r="JGS6" s="433"/>
      <c r="JGT6" s="433"/>
      <c r="JGU6" s="433"/>
      <c r="JGV6" s="433"/>
      <c r="JGW6" s="433"/>
      <c r="JGX6" s="433"/>
      <c r="JGY6" s="433"/>
      <c r="JGZ6" s="433"/>
      <c r="JHA6" s="433"/>
      <c r="JHB6" s="433"/>
      <c r="JHC6" s="433"/>
      <c r="JHD6" s="433"/>
      <c r="JHE6" s="433"/>
      <c r="JHF6" s="433"/>
      <c r="JHG6" s="433"/>
      <c r="JHH6" s="433"/>
      <c r="JHI6" s="433"/>
      <c r="JHJ6" s="433"/>
      <c r="JHK6" s="433"/>
      <c r="JHL6" s="433"/>
      <c r="JHM6" s="433"/>
      <c r="JHN6" s="433"/>
      <c r="JHO6" s="433"/>
      <c r="JHP6" s="433"/>
      <c r="JHQ6" s="433"/>
      <c r="JHR6" s="433"/>
      <c r="JHS6" s="433"/>
      <c r="JHT6" s="433"/>
      <c r="JHU6" s="433"/>
      <c r="JHV6" s="433"/>
      <c r="JHW6" s="433"/>
      <c r="JHX6" s="433"/>
      <c r="JHY6" s="433"/>
      <c r="JHZ6" s="433"/>
      <c r="JIA6" s="433"/>
      <c r="JIB6" s="433"/>
      <c r="JIC6" s="433"/>
      <c r="JID6" s="433"/>
      <c r="JIE6" s="433"/>
      <c r="JIF6" s="433"/>
      <c r="JIG6" s="433"/>
      <c r="JIH6" s="433"/>
      <c r="JII6" s="433"/>
      <c r="JIJ6" s="433"/>
      <c r="JIK6" s="433"/>
      <c r="JIL6" s="433"/>
      <c r="JIM6" s="433"/>
      <c r="JIN6" s="433"/>
      <c r="JIO6" s="433"/>
      <c r="JIP6" s="433"/>
      <c r="JIQ6" s="433"/>
      <c r="JIR6" s="433"/>
      <c r="JIS6" s="433"/>
      <c r="JIT6" s="433"/>
      <c r="JIU6" s="433"/>
      <c r="JIV6" s="433"/>
      <c r="JIW6" s="433"/>
      <c r="JIX6" s="433"/>
      <c r="JIY6" s="433"/>
      <c r="JIZ6" s="433"/>
      <c r="JJA6" s="433"/>
      <c r="JJB6" s="433"/>
      <c r="JJC6" s="433"/>
      <c r="JJD6" s="433"/>
      <c r="JJE6" s="433"/>
      <c r="JJF6" s="433"/>
      <c r="JJG6" s="433"/>
      <c r="JJH6" s="433"/>
      <c r="JJI6" s="433"/>
      <c r="JJJ6" s="433"/>
      <c r="JJK6" s="433"/>
      <c r="JJL6" s="433"/>
      <c r="JJM6" s="433"/>
      <c r="JJN6" s="433"/>
      <c r="JJO6" s="433"/>
      <c r="JJP6" s="433"/>
      <c r="JJQ6" s="433"/>
      <c r="JJR6" s="433"/>
      <c r="JJS6" s="433"/>
      <c r="JJT6" s="433"/>
      <c r="JJU6" s="433"/>
      <c r="JJV6" s="433"/>
      <c r="JJW6" s="433"/>
      <c r="JJX6" s="433"/>
      <c r="JJY6" s="433"/>
      <c r="JJZ6" s="433"/>
      <c r="JKA6" s="433"/>
      <c r="JKB6" s="433"/>
      <c r="JKC6" s="433"/>
      <c r="JKD6" s="433"/>
      <c r="JKE6" s="433"/>
      <c r="JKF6" s="433"/>
      <c r="JKG6" s="433"/>
      <c r="JKH6" s="433"/>
      <c r="JKI6" s="433"/>
      <c r="JKJ6" s="433"/>
      <c r="JKK6" s="433"/>
      <c r="JKL6" s="433"/>
      <c r="JKM6" s="433"/>
      <c r="JKN6" s="433"/>
      <c r="JKO6" s="433"/>
      <c r="JKP6" s="433"/>
      <c r="JKQ6" s="433"/>
      <c r="JKR6" s="433"/>
      <c r="JKS6" s="433"/>
      <c r="JKT6" s="433"/>
      <c r="JKU6" s="433"/>
      <c r="JKV6" s="433"/>
      <c r="JKW6" s="433"/>
      <c r="JKX6" s="433"/>
      <c r="JKY6" s="433"/>
      <c r="JKZ6" s="433"/>
      <c r="JLA6" s="433"/>
      <c r="JLB6" s="433"/>
      <c r="JLC6" s="433"/>
      <c r="JLD6" s="433"/>
      <c r="JLE6" s="433"/>
      <c r="JLF6" s="433"/>
      <c r="JLG6" s="433"/>
      <c r="JLH6" s="433"/>
      <c r="JLI6" s="433"/>
      <c r="JLJ6" s="433"/>
      <c r="JLK6" s="433"/>
      <c r="JLL6" s="433"/>
      <c r="JLM6" s="433"/>
      <c r="JLN6" s="433"/>
      <c r="JLO6" s="433"/>
      <c r="JLP6" s="433"/>
      <c r="JLQ6" s="433"/>
      <c r="JLR6" s="433"/>
      <c r="JLS6" s="433"/>
      <c r="JLT6" s="433"/>
      <c r="JLU6" s="433"/>
      <c r="JLV6" s="433"/>
      <c r="JLW6" s="433"/>
      <c r="JLX6" s="433"/>
      <c r="JLY6" s="433"/>
      <c r="JLZ6" s="433"/>
      <c r="JMA6" s="433"/>
      <c r="JMB6" s="433"/>
      <c r="JMC6" s="433"/>
      <c r="JMD6" s="433"/>
      <c r="JME6" s="433"/>
      <c r="JMF6" s="433"/>
      <c r="JMG6" s="433"/>
      <c r="JMH6" s="433"/>
      <c r="JMI6" s="433"/>
      <c r="JMJ6" s="433"/>
      <c r="JMK6" s="433"/>
      <c r="JML6" s="433"/>
      <c r="JMM6" s="433"/>
      <c r="JMN6" s="433"/>
      <c r="JMO6" s="433"/>
      <c r="JMP6" s="433"/>
      <c r="JMQ6" s="433"/>
      <c r="JMR6" s="433"/>
      <c r="JMS6" s="433"/>
      <c r="JMT6" s="433"/>
      <c r="JMU6" s="433"/>
      <c r="JMV6" s="433"/>
      <c r="JMW6" s="433"/>
      <c r="JMX6" s="433"/>
      <c r="JMY6" s="433"/>
      <c r="JMZ6" s="433"/>
      <c r="JNA6" s="433"/>
      <c r="JNB6" s="433"/>
      <c r="JNC6" s="433"/>
      <c r="JND6" s="433"/>
      <c r="JNE6" s="433"/>
      <c r="JNF6" s="433"/>
      <c r="JNG6" s="433"/>
      <c r="JNH6" s="433"/>
      <c r="JNI6" s="433"/>
      <c r="JNJ6" s="433"/>
      <c r="JNK6" s="433"/>
      <c r="JNL6" s="433"/>
      <c r="JNM6" s="433"/>
      <c r="JNN6" s="433"/>
      <c r="JNO6" s="433"/>
      <c r="JNP6" s="433"/>
      <c r="JNQ6" s="433"/>
      <c r="JNR6" s="433"/>
      <c r="JNS6" s="433"/>
      <c r="JNT6" s="433"/>
      <c r="JNU6" s="433"/>
      <c r="JNV6" s="433"/>
      <c r="JNW6" s="433"/>
      <c r="JNX6" s="433"/>
      <c r="JNY6" s="433"/>
      <c r="JNZ6" s="433"/>
      <c r="JOA6" s="433"/>
      <c r="JOB6" s="433"/>
      <c r="JOC6" s="433"/>
      <c r="JOD6" s="433"/>
      <c r="JOE6" s="433"/>
      <c r="JOF6" s="433"/>
      <c r="JOG6" s="433"/>
      <c r="JOH6" s="433"/>
      <c r="JOI6" s="433"/>
      <c r="JOJ6" s="433"/>
      <c r="JOK6" s="433"/>
      <c r="JOL6" s="433"/>
      <c r="JOM6" s="433"/>
      <c r="JON6" s="433"/>
      <c r="JOO6" s="433"/>
      <c r="JOP6" s="433"/>
      <c r="JOQ6" s="433"/>
      <c r="JOR6" s="433"/>
      <c r="JOS6" s="433"/>
      <c r="JOT6" s="433"/>
      <c r="JOU6" s="433"/>
      <c r="JOV6" s="433"/>
      <c r="JOW6" s="433"/>
      <c r="JOX6" s="433"/>
      <c r="JOY6" s="433"/>
      <c r="JOZ6" s="433"/>
      <c r="JPA6" s="433"/>
      <c r="JPB6" s="433"/>
      <c r="JPC6" s="433"/>
      <c r="JPD6" s="433"/>
      <c r="JPE6" s="433"/>
      <c r="JPF6" s="433"/>
      <c r="JPG6" s="433"/>
      <c r="JPH6" s="433"/>
      <c r="JPI6" s="433"/>
      <c r="JPJ6" s="433"/>
      <c r="JPK6" s="433"/>
      <c r="JPL6" s="433"/>
      <c r="JPM6" s="433"/>
      <c r="JPN6" s="433"/>
      <c r="JPO6" s="433"/>
      <c r="JPP6" s="433"/>
      <c r="JPQ6" s="433"/>
      <c r="JPR6" s="433"/>
      <c r="JPS6" s="433"/>
      <c r="JPT6" s="433"/>
      <c r="JPU6" s="433"/>
      <c r="JPV6" s="433"/>
      <c r="JPW6" s="433"/>
      <c r="JPX6" s="433"/>
      <c r="JPY6" s="433"/>
      <c r="JPZ6" s="433"/>
      <c r="JQA6" s="433"/>
      <c r="JQB6" s="433"/>
      <c r="JQC6" s="433"/>
      <c r="JQD6" s="433"/>
      <c r="JQE6" s="433"/>
      <c r="JQF6" s="433"/>
      <c r="JQG6" s="433"/>
      <c r="JQH6" s="433"/>
      <c r="JQI6" s="433"/>
      <c r="JQJ6" s="433"/>
      <c r="JQK6" s="433"/>
      <c r="JQL6" s="433"/>
      <c r="JQM6" s="433"/>
      <c r="JQN6" s="433"/>
      <c r="JQO6" s="433"/>
      <c r="JQP6" s="433"/>
      <c r="JQQ6" s="433"/>
      <c r="JQR6" s="433"/>
      <c r="JQS6" s="433"/>
      <c r="JQT6" s="433"/>
      <c r="JQU6" s="433"/>
      <c r="JQV6" s="433"/>
      <c r="JQW6" s="433"/>
      <c r="JQX6" s="433"/>
      <c r="JQY6" s="433"/>
      <c r="JQZ6" s="433"/>
      <c r="JRA6" s="433"/>
      <c r="JRB6" s="433"/>
      <c r="JRC6" s="433"/>
      <c r="JRD6" s="433"/>
      <c r="JRE6" s="433"/>
      <c r="JRF6" s="433"/>
      <c r="JRG6" s="433"/>
      <c r="JRH6" s="433"/>
      <c r="JRI6" s="433"/>
      <c r="JRJ6" s="433"/>
      <c r="JRK6" s="433"/>
      <c r="JRL6" s="433"/>
      <c r="JRM6" s="433"/>
      <c r="JRN6" s="433"/>
      <c r="JRO6" s="433"/>
      <c r="JRP6" s="433"/>
      <c r="JRQ6" s="433"/>
      <c r="JRR6" s="433"/>
      <c r="JRS6" s="433"/>
      <c r="JRT6" s="433"/>
      <c r="JRU6" s="433"/>
      <c r="JRV6" s="433"/>
      <c r="JRW6" s="433"/>
      <c r="JRX6" s="433"/>
      <c r="JRY6" s="433"/>
      <c r="JRZ6" s="433"/>
      <c r="JSA6" s="433"/>
      <c r="JSB6" s="433"/>
      <c r="JSC6" s="433"/>
      <c r="JSD6" s="433"/>
      <c r="JSE6" s="433"/>
      <c r="JSF6" s="433"/>
      <c r="JSG6" s="433"/>
      <c r="JSH6" s="433"/>
      <c r="JSI6" s="433"/>
      <c r="JSJ6" s="433"/>
      <c r="JSK6" s="433"/>
      <c r="JSL6" s="433"/>
      <c r="JSM6" s="433"/>
      <c r="JSN6" s="433"/>
      <c r="JSO6" s="433"/>
      <c r="JSP6" s="433"/>
      <c r="JSQ6" s="433"/>
      <c r="JSR6" s="433"/>
      <c r="JSS6" s="433"/>
      <c r="JST6" s="433"/>
      <c r="JSU6" s="433"/>
      <c r="JSV6" s="433"/>
      <c r="JSW6" s="433"/>
      <c r="JSX6" s="433"/>
      <c r="JSY6" s="433"/>
      <c r="JSZ6" s="433"/>
      <c r="JTA6" s="433"/>
      <c r="JTB6" s="433"/>
      <c r="JTC6" s="433"/>
      <c r="JTD6" s="433"/>
      <c r="JTE6" s="433"/>
      <c r="JTF6" s="433"/>
      <c r="JTG6" s="433"/>
      <c r="JTH6" s="433"/>
      <c r="JTI6" s="433"/>
      <c r="JTJ6" s="433"/>
      <c r="JTK6" s="433"/>
      <c r="JTL6" s="433"/>
      <c r="JTM6" s="433"/>
      <c r="JTN6" s="433"/>
      <c r="JTO6" s="433"/>
      <c r="JTP6" s="433"/>
      <c r="JTQ6" s="433"/>
      <c r="JTR6" s="433"/>
      <c r="JTS6" s="433"/>
      <c r="JTT6" s="433"/>
      <c r="JTU6" s="433"/>
      <c r="JTV6" s="433"/>
      <c r="JTW6" s="433"/>
      <c r="JTX6" s="433"/>
      <c r="JTY6" s="433"/>
      <c r="JTZ6" s="433"/>
      <c r="JUA6" s="433"/>
      <c r="JUB6" s="433"/>
      <c r="JUC6" s="433"/>
      <c r="JUD6" s="433"/>
      <c r="JUE6" s="433"/>
      <c r="JUF6" s="433"/>
      <c r="JUG6" s="433"/>
      <c r="JUH6" s="433"/>
      <c r="JUI6" s="433"/>
      <c r="JUJ6" s="433"/>
      <c r="JUK6" s="433"/>
      <c r="JUL6" s="433"/>
      <c r="JUM6" s="433"/>
      <c r="JUN6" s="433"/>
      <c r="JUO6" s="433"/>
      <c r="JUP6" s="433"/>
      <c r="JUQ6" s="433"/>
      <c r="JUR6" s="433"/>
      <c r="JUS6" s="433"/>
      <c r="JUT6" s="433"/>
      <c r="JUU6" s="433"/>
      <c r="JUV6" s="433"/>
      <c r="JUW6" s="433"/>
      <c r="JUX6" s="433"/>
      <c r="JUY6" s="433"/>
      <c r="JUZ6" s="433"/>
      <c r="JVA6" s="433"/>
      <c r="JVB6" s="433"/>
      <c r="JVC6" s="433"/>
      <c r="JVD6" s="433"/>
      <c r="JVE6" s="433"/>
      <c r="JVF6" s="433"/>
      <c r="JVG6" s="433"/>
      <c r="JVH6" s="433"/>
      <c r="JVI6" s="433"/>
      <c r="JVJ6" s="433"/>
      <c r="JVK6" s="433"/>
      <c r="JVL6" s="433"/>
      <c r="JVM6" s="433"/>
      <c r="JVN6" s="433"/>
      <c r="JVO6" s="433"/>
      <c r="JVP6" s="433"/>
      <c r="JVQ6" s="433"/>
      <c r="JVR6" s="433"/>
      <c r="JVS6" s="433"/>
      <c r="JVT6" s="433"/>
      <c r="JVU6" s="433"/>
      <c r="JVV6" s="433"/>
      <c r="JVW6" s="433"/>
      <c r="JVX6" s="433"/>
      <c r="JVY6" s="433"/>
      <c r="JVZ6" s="433"/>
      <c r="JWA6" s="433"/>
      <c r="JWB6" s="433"/>
      <c r="JWC6" s="433"/>
      <c r="JWD6" s="433"/>
      <c r="JWE6" s="433"/>
      <c r="JWF6" s="433"/>
      <c r="JWG6" s="433"/>
      <c r="JWH6" s="433"/>
      <c r="JWI6" s="433"/>
      <c r="JWJ6" s="433"/>
      <c r="JWK6" s="433"/>
      <c r="JWL6" s="433"/>
      <c r="JWM6" s="433"/>
      <c r="JWN6" s="433"/>
      <c r="JWO6" s="433"/>
      <c r="JWP6" s="433"/>
      <c r="JWQ6" s="433"/>
      <c r="JWR6" s="433"/>
      <c r="JWS6" s="433"/>
      <c r="JWT6" s="433"/>
      <c r="JWU6" s="433"/>
      <c r="JWV6" s="433"/>
      <c r="JWW6" s="433"/>
      <c r="JWX6" s="433"/>
      <c r="JWY6" s="433"/>
      <c r="JWZ6" s="433"/>
      <c r="JXA6" s="433"/>
      <c r="JXB6" s="433"/>
      <c r="JXC6" s="433"/>
      <c r="JXD6" s="433"/>
      <c r="JXE6" s="433"/>
      <c r="JXF6" s="433"/>
      <c r="JXG6" s="433"/>
      <c r="JXH6" s="433"/>
      <c r="JXI6" s="433"/>
      <c r="JXJ6" s="433"/>
      <c r="JXK6" s="433"/>
      <c r="JXL6" s="433"/>
      <c r="JXM6" s="433"/>
      <c r="JXN6" s="433"/>
      <c r="JXO6" s="433"/>
      <c r="JXP6" s="433"/>
      <c r="JXQ6" s="433"/>
      <c r="JXR6" s="433"/>
      <c r="JXS6" s="433"/>
      <c r="JXT6" s="433"/>
      <c r="JXU6" s="433"/>
      <c r="JXV6" s="433"/>
      <c r="JXW6" s="433"/>
      <c r="JXX6" s="433"/>
      <c r="JXY6" s="433"/>
      <c r="JXZ6" s="433"/>
      <c r="JYA6" s="433"/>
      <c r="JYB6" s="433"/>
      <c r="JYC6" s="433"/>
      <c r="JYD6" s="433"/>
      <c r="JYE6" s="433"/>
      <c r="JYF6" s="433"/>
      <c r="JYG6" s="433"/>
      <c r="JYH6" s="433"/>
      <c r="JYI6" s="433"/>
      <c r="JYJ6" s="433"/>
      <c r="JYK6" s="433"/>
      <c r="JYL6" s="433"/>
      <c r="JYM6" s="433"/>
      <c r="JYN6" s="433"/>
      <c r="JYO6" s="433"/>
      <c r="JYP6" s="433"/>
      <c r="JYQ6" s="433"/>
      <c r="JYR6" s="433"/>
      <c r="JYS6" s="433"/>
      <c r="JYT6" s="433"/>
      <c r="JYU6" s="433"/>
      <c r="JYV6" s="433"/>
      <c r="JYW6" s="433"/>
      <c r="JYX6" s="433"/>
      <c r="JYY6" s="433"/>
      <c r="JYZ6" s="433"/>
      <c r="JZA6" s="433"/>
      <c r="JZB6" s="433"/>
      <c r="JZC6" s="433"/>
      <c r="JZD6" s="433"/>
      <c r="JZE6" s="433"/>
      <c r="JZF6" s="433"/>
      <c r="JZG6" s="433"/>
      <c r="JZH6" s="433"/>
      <c r="JZI6" s="433"/>
      <c r="JZJ6" s="433"/>
      <c r="JZK6" s="433"/>
      <c r="JZL6" s="433"/>
      <c r="JZM6" s="433"/>
      <c r="JZN6" s="433"/>
      <c r="JZO6" s="433"/>
      <c r="JZP6" s="433"/>
      <c r="JZQ6" s="433"/>
      <c r="JZR6" s="433"/>
      <c r="JZS6" s="433"/>
      <c r="JZT6" s="433"/>
      <c r="JZU6" s="433"/>
      <c r="JZV6" s="433"/>
      <c r="JZW6" s="433"/>
      <c r="JZX6" s="433"/>
      <c r="JZY6" s="433"/>
      <c r="JZZ6" s="433"/>
      <c r="KAA6" s="433"/>
      <c r="KAB6" s="433"/>
      <c r="KAC6" s="433"/>
      <c r="KAD6" s="433"/>
      <c r="KAE6" s="433"/>
      <c r="KAF6" s="433"/>
      <c r="KAG6" s="433"/>
      <c r="KAH6" s="433"/>
      <c r="KAI6" s="433"/>
      <c r="KAJ6" s="433"/>
      <c r="KAK6" s="433"/>
      <c r="KAL6" s="433"/>
      <c r="KAM6" s="433"/>
      <c r="KAN6" s="433"/>
      <c r="KAO6" s="433"/>
      <c r="KAP6" s="433"/>
      <c r="KAQ6" s="433"/>
      <c r="KAR6" s="433"/>
      <c r="KAS6" s="433"/>
      <c r="KAT6" s="433"/>
      <c r="KAU6" s="433"/>
      <c r="KAV6" s="433"/>
      <c r="KAW6" s="433"/>
      <c r="KAX6" s="433"/>
      <c r="KAY6" s="433"/>
      <c r="KAZ6" s="433"/>
      <c r="KBA6" s="433"/>
      <c r="KBB6" s="433"/>
      <c r="KBC6" s="433"/>
      <c r="KBD6" s="433"/>
      <c r="KBE6" s="433"/>
      <c r="KBF6" s="433"/>
      <c r="KBG6" s="433"/>
      <c r="KBH6" s="433"/>
      <c r="KBI6" s="433"/>
      <c r="KBJ6" s="433"/>
      <c r="KBK6" s="433"/>
      <c r="KBL6" s="433"/>
      <c r="KBM6" s="433"/>
      <c r="KBN6" s="433"/>
      <c r="KBO6" s="433"/>
      <c r="KBP6" s="433"/>
      <c r="KBQ6" s="433"/>
      <c r="KBR6" s="433"/>
      <c r="KBS6" s="433"/>
      <c r="KBT6" s="433"/>
      <c r="KBU6" s="433"/>
      <c r="KBV6" s="433"/>
      <c r="KBW6" s="433"/>
      <c r="KBX6" s="433"/>
      <c r="KBY6" s="433"/>
      <c r="KBZ6" s="433"/>
      <c r="KCA6" s="433"/>
      <c r="KCB6" s="433"/>
      <c r="KCC6" s="433"/>
      <c r="KCD6" s="433"/>
      <c r="KCE6" s="433"/>
      <c r="KCF6" s="433"/>
      <c r="KCG6" s="433"/>
      <c r="KCH6" s="433"/>
      <c r="KCI6" s="433"/>
      <c r="KCJ6" s="433"/>
      <c r="KCK6" s="433"/>
      <c r="KCL6" s="433"/>
      <c r="KCM6" s="433"/>
      <c r="KCN6" s="433"/>
      <c r="KCO6" s="433"/>
      <c r="KCP6" s="433"/>
      <c r="KCQ6" s="433"/>
      <c r="KCR6" s="433"/>
      <c r="KCS6" s="433"/>
      <c r="KCT6" s="433"/>
      <c r="KCU6" s="433"/>
      <c r="KCV6" s="433"/>
      <c r="KCW6" s="433"/>
      <c r="KCX6" s="433"/>
      <c r="KCY6" s="433"/>
      <c r="KCZ6" s="433"/>
      <c r="KDA6" s="433"/>
      <c r="KDB6" s="433"/>
      <c r="KDC6" s="433"/>
      <c r="KDD6" s="433"/>
      <c r="KDE6" s="433"/>
      <c r="KDF6" s="433"/>
      <c r="KDG6" s="433"/>
      <c r="KDH6" s="433"/>
      <c r="KDI6" s="433"/>
      <c r="KDJ6" s="433"/>
      <c r="KDK6" s="433"/>
      <c r="KDL6" s="433"/>
      <c r="KDM6" s="433"/>
      <c r="KDN6" s="433"/>
      <c r="KDO6" s="433"/>
      <c r="KDP6" s="433"/>
      <c r="KDQ6" s="433"/>
      <c r="KDR6" s="433"/>
      <c r="KDS6" s="433"/>
      <c r="KDT6" s="433"/>
      <c r="KDU6" s="433"/>
      <c r="KDV6" s="433"/>
      <c r="KDW6" s="433"/>
      <c r="KDX6" s="433"/>
      <c r="KDY6" s="433"/>
      <c r="KDZ6" s="433"/>
      <c r="KEA6" s="433"/>
      <c r="KEB6" s="433"/>
      <c r="KEC6" s="433"/>
      <c r="KED6" s="433"/>
      <c r="KEE6" s="433"/>
      <c r="KEF6" s="433"/>
      <c r="KEG6" s="433"/>
      <c r="KEH6" s="433"/>
      <c r="KEI6" s="433"/>
      <c r="KEJ6" s="433"/>
      <c r="KEK6" s="433"/>
      <c r="KEL6" s="433"/>
      <c r="KEM6" s="433"/>
      <c r="KEN6" s="433"/>
      <c r="KEO6" s="433"/>
      <c r="KEP6" s="433"/>
      <c r="KEQ6" s="433"/>
      <c r="KER6" s="433"/>
      <c r="KES6" s="433"/>
      <c r="KET6" s="433"/>
      <c r="KEU6" s="433"/>
      <c r="KEV6" s="433"/>
      <c r="KEW6" s="433"/>
      <c r="KEX6" s="433"/>
      <c r="KEY6" s="433"/>
      <c r="KEZ6" s="433"/>
      <c r="KFA6" s="433"/>
      <c r="KFB6" s="433"/>
      <c r="KFC6" s="433"/>
      <c r="KFD6" s="433"/>
      <c r="KFE6" s="433"/>
      <c r="KFF6" s="433"/>
      <c r="KFG6" s="433"/>
      <c r="KFH6" s="433"/>
      <c r="KFI6" s="433"/>
      <c r="KFJ6" s="433"/>
      <c r="KFK6" s="433"/>
      <c r="KFL6" s="433"/>
      <c r="KFM6" s="433"/>
      <c r="KFN6" s="433"/>
      <c r="KFO6" s="433"/>
      <c r="KFP6" s="433"/>
      <c r="KFQ6" s="433"/>
      <c r="KFR6" s="433"/>
      <c r="KFS6" s="433"/>
      <c r="KFT6" s="433"/>
      <c r="KFU6" s="433"/>
      <c r="KFV6" s="433"/>
      <c r="KFW6" s="433"/>
      <c r="KFX6" s="433"/>
      <c r="KFY6" s="433"/>
      <c r="KFZ6" s="433"/>
      <c r="KGA6" s="433"/>
      <c r="KGB6" s="433"/>
      <c r="KGC6" s="433"/>
      <c r="KGD6" s="433"/>
      <c r="KGE6" s="433"/>
      <c r="KGF6" s="433"/>
      <c r="KGG6" s="433"/>
      <c r="KGH6" s="433"/>
      <c r="KGI6" s="433"/>
      <c r="KGJ6" s="433"/>
      <c r="KGK6" s="433"/>
      <c r="KGL6" s="433"/>
      <c r="KGM6" s="433"/>
      <c r="KGN6" s="433"/>
      <c r="KGO6" s="433"/>
      <c r="KGP6" s="433"/>
      <c r="KGQ6" s="433"/>
      <c r="KGR6" s="433"/>
      <c r="KGS6" s="433"/>
      <c r="KGT6" s="433"/>
      <c r="KGU6" s="433"/>
      <c r="KGV6" s="433"/>
      <c r="KGW6" s="433"/>
      <c r="KGX6" s="433"/>
      <c r="KGY6" s="433"/>
      <c r="KGZ6" s="433"/>
      <c r="KHA6" s="433"/>
      <c r="KHB6" s="433"/>
      <c r="KHC6" s="433"/>
      <c r="KHD6" s="433"/>
      <c r="KHE6" s="433"/>
      <c r="KHF6" s="433"/>
      <c r="KHG6" s="433"/>
      <c r="KHH6" s="433"/>
      <c r="KHI6" s="433"/>
      <c r="KHJ6" s="433"/>
      <c r="KHK6" s="433"/>
      <c r="KHL6" s="433"/>
      <c r="KHM6" s="433"/>
      <c r="KHN6" s="433"/>
      <c r="KHO6" s="433"/>
      <c r="KHP6" s="433"/>
      <c r="KHQ6" s="433"/>
      <c r="KHR6" s="433"/>
      <c r="KHS6" s="433"/>
      <c r="KHT6" s="433"/>
      <c r="KHU6" s="433"/>
      <c r="KHV6" s="433"/>
      <c r="KHW6" s="433"/>
      <c r="KHX6" s="433"/>
      <c r="KHY6" s="433"/>
      <c r="KHZ6" s="433"/>
      <c r="KIA6" s="433"/>
      <c r="KIB6" s="433"/>
      <c r="KIC6" s="433"/>
      <c r="KID6" s="433"/>
      <c r="KIE6" s="433"/>
      <c r="KIF6" s="433"/>
      <c r="KIG6" s="433"/>
      <c r="KIH6" s="433"/>
      <c r="KII6" s="433"/>
      <c r="KIJ6" s="433"/>
      <c r="KIK6" s="433"/>
      <c r="KIL6" s="433"/>
      <c r="KIM6" s="433"/>
      <c r="KIN6" s="433"/>
      <c r="KIO6" s="433"/>
      <c r="KIP6" s="433"/>
      <c r="KIQ6" s="433"/>
      <c r="KIR6" s="433"/>
      <c r="KIS6" s="433"/>
      <c r="KIT6" s="433"/>
      <c r="KIU6" s="433"/>
      <c r="KIV6" s="433"/>
      <c r="KIW6" s="433"/>
      <c r="KIX6" s="433"/>
      <c r="KIY6" s="433"/>
      <c r="KIZ6" s="433"/>
      <c r="KJA6" s="433"/>
      <c r="KJB6" s="433"/>
      <c r="KJC6" s="433"/>
      <c r="KJD6" s="433"/>
      <c r="KJE6" s="433"/>
      <c r="KJF6" s="433"/>
      <c r="KJG6" s="433"/>
      <c r="KJH6" s="433"/>
      <c r="KJI6" s="433"/>
      <c r="KJJ6" s="433"/>
      <c r="KJK6" s="433"/>
      <c r="KJL6" s="433"/>
      <c r="KJM6" s="433"/>
      <c r="KJN6" s="433"/>
      <c r="KJO6" s="433"/>
      <c r="KJP6" s="433"/>
      <c r="KJQ6" s="433"/>
      <c r="KJR6" s="433"/>
      <c r="KJS6" s="433"/>
      <c r="KJT6" s="433"/>
      <c r="KJU6" s="433"/>
      <c r="KJV6" s="433"/>
      <c r="KJW6" s="433"/>
      <c r="KJX6" s="433"/>
      <c r="KJY6" s="433"/>
      <c r="KJZ6" s="433"/>
      <c r="KKA6" s="433"/>
      <c r="KKB6" s="433"/>
      <c r="KKC6" s="433"/>
      <c r="KKD6" s="433"/>
      <c r="KKE6" s="433"/>
      <c r="KKF6" s="433"/>
      <c r="KKG6" s="433"/>
      <c r="KKH6" s="433"/>
      <c r="KKI6" s="433"/>
      <c r="KKJ6" s="433"/>
      <c r="KKK6" s="433"/>
      <c r="KKL6" s="433"/>
      <c r="KKM6" s="433"/>
      <c r="KKN6" s="433"/>
      <c r="KKO6" s="433"/>
      <c r="KKP6" s="433"/>
      <c r="KKQ6" s="433"/>
      <c r="KKR6" s="433"/>
      <c r="KKS6" s="433"/>
      <c r="KKT6" s="433"/>
      <c r="KKU6" s="433"/>
      <c r="KKV6" s="433"/>
      <c r="KKW6" s="433"/>
      <c r="KKX6" s="433"/>
      <c r="KKY6" s="433"/>
      <c r="KKZ6" s="433"/>
      <c r="KLA6" s="433"/>
      <c r="KLB6" s="433"/>
      <c r="KLC6" s="433"/>
      <c r="KLD6" s="433"/>
      <c r="KLE6" s="433"/>
      <c r="KLF6" s="433"/>
      <c r="KLG6" s="433"/>
      <c r="KLH6" s="433"/>
      <c r="KLI6" s="433"/>
      <c r="KLJ6" s="433"/>
      <c r="KLK6" s="433"/>
      <c r="KLL6" s="433"/>
      <c r="KLM6" s="433"/>
      <c r="KLN6" s="433"/>
      <c r="KLO6" s="433"/>
      <c r="KLP6" s="433"/>
      <c r="KLQ6" s="433"/>
      <c r="KLR6" s="433"/>
      <c r="KLS6" s="433"/>
      <c r="KLT6" s="433"/>
      <c r="KLU6" s="433"/>
      <c r="KLV6" s="433"/>
      <c r="KLW6" s="433"/>
      <c r="KLX6" s="433"/>
      <c r="KLY6" s="433"/>
      <c r="KLZ6" s="433"/>
      <c r="KMA6" s="433"/>
      <c r="KMB6" s="433"/>
      <c r="KMC6" s="433"/>
      <c r="KMD6" s="433"/>
      <c r="KME6" s="433"/>
      <c r="KMF6" s="433"/>
      <c r="KMG6" s="433"/>
      <c r="KMH6" s="433"/>
      <c r="KMI6" s="433"/>
      <c r="KMJ6" s="433"/>
      <c r="KMK6" s="433"/>
      <c r="KML6" s="433"/>
      <c r="KMM6" s="433"/>
      <c r="KMN6" s="433"/>
      <c r="KMO6" s="433"/>
      <c r="KMP6" s="433"/>
      <c r="KMQ6" s="433"/>
      <c r="KMR6" s="433"/>
      <c r="KMS6" s="433"/>
      <c r="KMT6" s="433"/>
      <c r="KMU6" s="433"/>
      <c r="KMV6" s="433"/>
      <c r="KMW6" s="433"/>
      <c r="KMX6" s="433"/>
      <c r="KMY6" s="433"/>
      <c r="KMZ6" s="433"/>
      <c r="KNA6" s="433"/>
      <c r="KNB6" s="433"/>
      <c r="KNC6" s="433"/>
      <c r="KND6" s="433"/>
      <c r="KNE6" s="433"/>
      <c r="KNF6" s="433"/>
      <c r="KNG6" s="433"/>
      <c r="KNH6" s="433"/>
      <c r="KNI6" s="433"/>
      <c r="KNJ6" s="433"/>
      <c r="KNK6" s="433"/>
      <c r="KNL6" s="433"/>
      <c r="KNM6" s="433"/>
      <c r="KNN6" s="433"/>
      <c r="KNO6" s="433"/>
      <c r="KNP6" s="433"/>
      <c r="KNQ6" s="433"/>
      <c r="KNR6" s="433"/>
      <c r="KNS6" s="433"/>
      <c r="KNT6" s="433"/>
      <c r="KNU6" s="433"/>
      <c r="KNV6" s="433"/>
      <c r="KNW6" s="433"/>
      <c r="KNX6" s="433"/>
      <c r="KNY6" s="433"/>
      <c r="KNZ6" s="433"/>
      <c r="KOA6" s="433"/>
      <c r="KOB6" s="433"/>
      <c r="KOC6" s="433"/>
      <c r="KOD6" s="433"/>
      <c r="KOE6" s="433"/>
      <c r="KOF6" s="433"/>
      <c r="KOG6" s="433"/>
      <c r="KOH6" s="433"/>
      <c r="KOI6" s="433"/>
      <c r="KOJ6" s="433"/>
      <c r="KOK6" s="433"/>
      <c r="KOL6" s="433"/>
      <c r="KOM6" s="433"/>
      <c r="KON6" s="433"/>
      <c r="KOO6" s="433"/>
      <c r="KOP6" s="433"/>
      <c r="KOQ6" s="433"/>
      <c r="KOR6" s="433"/>
      <c r="KOS6" s="433"/>
      <c r="KOT6" s="433"/>
      <c r="KOU6" s="433"/>
      <c r="KOV6" s="433"/>
      <c r="KOW6" s="433"/>
      <c r="KOX6" s="433"/>
      <c r="KOY6" s="433"/>
      <c r="KOZ6" s="433"/>
      <c r="KPA6" s="433"/>
      <c r="KPB6" s="433"/>
      <c r="KPC6" s="433"/>
      <c r="KPD6" s="433"/>
      <c r="KPE6" s="433"/>
      <c r="KPF6" s="433"/>
      <c r="KPG6" s="433"/>
      <c r="KPH6" s="433"/>
      <c r="KPI6" s="433"/>
      <c r="KPJ6" s="433"/>
      <c r="KPK6" s="433"/>
      <c r="KPL6" s="433"/>
      <c r="KPM6" s="433"/>
      <c r="KPN6" s="433"/>
      <c r="KPO6" s="433"/>
      <c r="KPP6" s="433"/>
      <c r="KPQ6" s="433"/>
      <c r="KPR6" s="433"/>
      <c r="KPS6" s="433"/>
      <c r="KPT6" s="433"/>
      <c r="KPU6" s="433"/>
      <c r="KPV6" s="433"/>
      <c r="KPW6" s="433"/>
      <c r="KPX6" s="433"/>
      <c r="KPY6" s="433"/>
      <c r="KPZ6" s="433"/>
      <c r="KQA6" s="433"/>
      <c r="KQB6" s="433"/>
      <c r="KQC6" s="433"/>
      <c r="KQD6" s="433"/>
      <c r="KQE6" s="433"/>
      <c r="KQF6" s="433"/>
      <c r="KQG6" s="433"/>
      <c r="KQH6" s="433"/>
      <c r="KQI6" s="433"/>
      <c r="KQJ6" s="433"/>
      <c r="KQK6" s="433"/>
      <c r="KQL6" s="433"/>
      <c r="KQM6" s="433"/>
      <c r="KQN6" s="433"/>
      <c r="KQO6" s="433"/>
      <c r="KQP6" s="433"/>
      <c r="KQQ6" s="433"/>
      <c r="KQR6" s="433"/>
      <c r="KQS6" s="433"/>
      <c r="KQT6" s="433"/>
      <c r="KQU6" s="433"/>
      <c r="KQV6" s="433"/>
      <c r="KQW6" s="433"/>
      <c r="KQX6" s="433"/>
      <c r="KQY6" s="433"/>
      <c r="KQZ6" s="433"/>
      <c r="KRA6" s="433"/>
      <c r="KRB6" s="433"/>
      <c r="KRC6" s="433"/>
      <c r="KRD6" s="433"/>
      <c r="KRE6" s="433"/>
      <c r="KRF6" s="433"/>
      <c r="KRG6" s="433"/>
      <c r="KRH6" s="433"/>
      <c r="KRI6" s="433"/>
      <c r="KRJ6" s="433"/>
      <c r="KRK6" s="433"/>
      <c r="KRL6" s="433"/>
      <c r="KRM6" s="433"/>
      <c r="KRN6" s="433"/>
      <c r="KRO6" s="433"/>
      <c r="KRP6" s="433"/>
      <c r="KRQ6" s="433"/>
      <c r="KRR6" s="433"/>
      <c r="KRS6" s="433"/>
      <c r="KRT6" s="433"/>
      <c r="KRU6" s="433"/>
      <c r="KRV6" s="433"/>
      <c r="KRW6" s="433"/>
      <c r="KRX6" s="433"/>
      <c r="KRY6" s="433"/>
      <c r="KRZ6" s="433"/>
      <c r="KSA6" s="433"/>
      <c r="KSB6" s="433"/>
      <c r="KSC6" s="433"/>
      <c r="KSD6" s="433"/>
      <c r="KSE6" s="433"/>
      <c r="KSF6" s="433"/>
      <c r="KSG6" s="433"/>
      <c r="KSH6" s="433"/>
      <c r="KSI6" s="433"/>
      <c r="KSJ6" s="433"/>
      <c r="KSK6" s="433"/>
      <c r="KSL6" s="433"/>
      <c r="KSM6" s="433"/>
      <c r="KSN6" s="433"/>
      <c r="KSO6" s="433"/>
      <c r="KSP6" s="433"/>
      <c r="KSQ6" s="433"/>
      <c r="KSR6" s="433"/>
      <c r="KSS6" s="433"/>
      <c r="KST6" s="433"/>
      <c r="KSU6" s="433"/>
      <c r="KSV6" s="433"/>
      <c r="KSW6" s="433"/>
      <c r="KSX6" s="433"/>
      <c r="KSY6" s="433"/>
      <c r="KSZ6" s="433"/>
      <c r="KTA6" s="433"/>
      <c r="KTB6" s="433"/>
      <c r="KTC6" s="433"/>
      <c r="KTD6" s="433"/>
      <c r="KTE6" s="433"/>
      <c r="KTF6" s="433"/>
      <c r="KTG6" s="433"/>
      <c r="KTH6" s="433"/>
      <c r="KTI6" s="433"/>
      <c r="KTJ6" s="433"/>
      <c r="KTK6" s="433"/>
      <c r="KTL6" s="433"/>
      <c r="KTM6" s="433"/>
      <c r="KTN6" s="433"/>
      <c r="KTO6" s="433"/>
      <c r="KTP6" s="433"/>
      <c r="KTQ6" s="433"/>
      <c r="KTR6" s="433"/>
      <c r="KTS6" s="433"/>
      <c r="KTT6" s="433"/>
      <c r="KTU6" s="433"/>
      <c r="KTV6" s="433"/>
      <c r="KTW6" s="433"/>
      <c r="KTX6" s="433"/>
      <c r="KTY6" s="433"/>
      <c r="KTZ6" s="433"/>
      <c r="KUA6" s="433"/>
      <c r="KUB6" s="433"/>
      <c r="KUC6" s="433"/>
      <c r="KUD6" s="433"/>
      <c r="KUE6" s="433"/>
      <c r="KUF6" s="433"/>
      <c r="KUG6" s="433"/>
      <c r="KUH6" s="433"/>
      <c r="KUI6" s="433"/>
      <c r="KUJ6" s="433"/>
      <c r="KUK6" s="433"/>
      <c r="KUL6" s="433"/>
      <c r="KUM6" s="433"/>
      <c r="KUN6" s="433"/>
      <c r="KUO6" s="433"/>
      <c r="KUP6" s="433"/>
      <c r="KUQ6" s="433"/>
      <c r="KUR6" s="433"/>
      <c r="KUS6" s="433"/>
      <c r="KUT6" s="433"/>
      <c r="KUU6" s="433"/>
      <c r="KUV6" s="433"/>
      <c r="KUW6" s="433"/>
      <c r="KUX6" s="433"/>
      <c r="KUY6" s="433"/>
      <c r="KUZ6" s="433"/>
      <c r="KVA6" s="433"/>
      <c r="KVB6" s="433"/>
      <c r="KVC6" s="433"/>
      <c r="KVD6" s="433"/>
      <c r="KVE6" s="433"/>
      <c r="KVF6" s="433"/>
      <c r="KVG6" s="433"/>
      <c r="KVH6" s="433"/>
      <c r="KVI6" s="433"/>
      <c r="KVJ6" s="433"/>
      <c r="KVK6" s="433"/>
      <c r="KVL6" s="433"/>
      <c r="KVM6" s="433"/>
      <c r="KVN6" s="433"/>
      <c r="KVO6" s="433"/>
      <c r="KVP6" s="433"/>
      <c r="KVQ6" s="433"/>
      <c r="KVR6" s="433"/>
      <c r="KVS6" s="433"/>
      <c r="KVT6" s="433"/>
      <c r="KVU6" s="433"/>
      <c r="KVV6" s="433"/>
      <c r="KVW6" s="433"/>
      <c r="KVX6" s="433"/>
      <c r="KVY6" s="433"/>
      <c r="KVZ6" s="433"/>
      <c r="KWA6" s="433"/>
      <c r="KWB6" s="433"/>
      <c r="KWC6" s="433"/>
      <c r="KWD6" s="433"/>
      <c r="KWE6" s="433"/>
      <c r="KWF6" s="433"/>
      <c r="KWG6" s="433"/>
      <c r="KWH6" s="433"/>
      <c r="KWI6" s="433"/>
      <c r="KWJ6" s="433"/>
      <c r="KWK6" s="433"/>
      <c r="KWL6" s="433"/>
      <c r="KWM6" s="433"/>
      <c r="KWN6" s="433"/>
      <c r="KWO6" s="433"/>
      <c r="KWP6" s="433"/>
      <c r="KWQ6" s="433"/>
      <c r="KWR6" s="433"/>
      <c r="KWS6" s="433"/>
      <c r="KWT6" s="433"/>
      <c r="KWU6" s="433"/>
      <c r="KWV6" s="433"/>
      <c r="KWW6" s="433"/>
      <c r="KWX6" s="433"/>
      <c r="KWY6" s="433"/>
      <c r="KWZ6" s="433"/>
      <c r="KXA6" s="433"/>
      <c r="KXB6" s="433"/>
      <c r="KXC6" s="433"/>
      <c r="KXD6" s="433"/>
      <c r="KXE6" s="433"/>
      <c r="KXF6" s="433"/>
      <c r="KXG6" s="433"/>
      <c r="KXH6" s="433"/>
      <c r="KXI6" s="433"/>
      <c r="KXJ6" s="433"/>
      <c r="KXK6" s="433"/>
      <c r="KXL6" s="433"/>
      <c r="KXM6" s="433"/>
      <c r="KXN6" s="433"/>
      <c r="KXO6" s="433"/>
      <c r="KXP6" s="433"/>
      <c r="KXQ6" s="433"/>
      <c r="KXR6" s="433"/>
      <c r="KXS6" s="433"/>
      <c r="KXT6" s="433"/>
      <c r="KXU6" s="433"/>
      <c r="KXV6" s="433"/>
      <c r="KXW6" s="433"/>
      <c r="KXX6" s="433"/>
      <c r="KXY6" s="433"/>
      <c r="KXZ6" s="433"/>
      <c r="KYA6" s="433"/>
      <c r="KYB6" s="433"/>
      <c r="KYC6" s="433"/>
      <c r="KYD6" s="433"/>
      <c r="KYE6" s="433"/>
      <c r="KYF6" s="433"/>
      <c r="KYG6" s="433"/>
      <c r="KYH6" s="433"/>
      <c r="KYI6" s="433"/>
      <c r="KYJ6" s="433"/>
      <c r="KYK6" s="433"/>
      <c r="KYL6" s="433"/>
      <c r="KYM6" s="433"/>
      <c r="KYN6" s="433"/>
      <c r="KYO6" s="433"/>
      <c r="KYP6" s="433"/>
      <c r="KYQ6" s="433"/>
      <c r="KYR6" s="433"/>
      <c r="KYS6" s="433"/>
      <c r="KYT6" s="433"/>
      <c r="KYU6" s="433"/>
      <c r="KYV6" s="433"/>
      <c r="KYW6" s="433"/>
      <c r="KYX6" s="433"/>
      <c r="KYY6" s="433"/>
      <c r="KYZ6" s="433"/>
      <c r="KZA6" s="433"/>
      <c r="KZB6" s="433"/>
      <c r="KZC6" s="433"/>
      <c r="KZD6" s="433"/>
      <c r="KZE6" s="433"/>
      <c r="KZF6" s="433"/>
      <c r="KZG6" s="433"/>
      <c r="KZH6" s="433"/>
      <c r="KZI6" s="433"/>
      <c r="KZJ6" s="433"/>
      <c r="KZK6" s="433"/>
      <c r="KZL6" s="433"/>
      <c r="KZM6" s="433"/>
      <c r="KZN6" s="433"/>
      <c r="KZO6" s="433"/>
      <c r="KZP6" s="433"/>
      <c r="KZQ6" s="433"/>
      <c r="KZR6" s="433"/>
      <c r="KZS6" s="433"/>
      <c r="KZT6" s="433"/>
      <c r="KZU6" s="433"/>
      <c r="KZV6" s="433"/>
      <c r="KZW6" s="433"/>
      <c r="KZX6" s="433"/>
      <c r="KZY6" s="433"/>
      <c r="KZZ6" s="433"/>
      <c r="LAA6" s="433"/>
      <c r="LAB6" s="433"/>
      <c r="LAC6" s="433"/>
      <c r="LAD6" s="433"/>
      <c r="LAE6" s="433"/>
      <c r="LAF6" s="433"/>
      <c r="LAG6" s="433"/>
      <c r="LAH6" s="433"/>
      <c r="LAI6" s="433"/>
      <c r="LAJ6" s="433"/>
      <c r="LAK6" s="433"/>
      <c r="LAL6" s="433"/>
      <c r="LAM6" s="433"/>
      <c r="LAN6" s="433"/>
      <c r="LAO6" s="433"/>
      <c r="LAP6" s="433"/>
      <c r="LAQ6" s="433"/>
      <c r="LAR6" s="433"/>
      <c r="LAS6" s="433"/>
      <c r="LAT6" s="433"/>
      <c r="LAU6" s="433"/>
      <c r="LAV6" s="433"/>
      <c r="LAW6" s="433"/>
      <c r="LAX6" s="433"/>
      <c r="LAY6" s="433"/>
      <c r="LAZ6" s="433"/>
      <c r="LBA6" s="433"/>
      <c r="LBB6" s="433"/>
      <c r="LBC6" s="433"/>
      <c r="LBD6" s="433"/>
      <c r="LBE6" s="433"/>
      <c r="LBF6" s="433"/>
      <c r="LBG6" s="433"/>
      <c r="LBH6" s="433"/>
      <c r="LBI6" s="433"/>
      <c r="LBJ6" s="433"/>
      <c r="LBK6" s="433"/>
      <c r="LBL6" s="433"/>
      <c r="LBM6" s="433"/>
      <c r="LBN6" s="433"/>
      <c r="LBO6" s="433"/>
      <c r="LBP6" s="433"/>
      <c r="LBQ6" s="433"/>
      <c r="LBR6" s="433"/>
      <c r="LBS6" s="433"/>
      <c r="LBT6" s="433"/>
      <c r="LBU6" s="433"/>
      <c r="LBV6" s="433"/>
      <c r="LBW6" s="433"/>
      <c r="LBX6" s="433"/>
      <c r="LBY6" s="433"/>
      <c r="LBZ6" s="433"/>
      <c r="LCA6" s="433"/>
      <c r="LCB6" s="433"/>
      <c r="LCC6" s="433"/>
      <c r="LCD6" s="433"/>
      <c r="LCE6" s="433"/>
      <c r="LCF6" s="433"/>
      <c r="LCG6" s="433"/>
      <c r="LCH6" s="433"/>
      <c r="LCI6" s="433"/>
      <c r="LCJ6" s="433"/>
      <c r="LCK6" s="433"/>
      <c r="LCL6" s="433"/>
      <c r="LCM6" s="433"/>
      <c r="LCN6" s="433"/>
      <c r="LCO6" s="433"/>
      <c r="LCP6" s="433"/>
      <c r="LCQ6" s="433"/>
      <c r="LCR6" s="433"/>
      <c r="LCS6" s="433"/>
      <c r="LCT6" s="433"/>
      <c r="LCU6" s="433"/>
      <c r="LCV6" s="433"/>
      <c r="LCW6" s="433"/>
      <c r="LCX6" s="433"/>
      <c r="LCY6" s="433"/>
      <c r="LCZ6" s="433"/>
      <c r="LDA6" s="433"/>
      <c r="LDB6" s="433"/>
      <c r="LDC6" s="433"/>
      <c r="LDD6" s="433"/>
      <c r="LDE6" s="433"/>
      <c r="LDF6" s="433"/>
      <c r="LDG6" s="433"/>
      <c r="LDH6" s="433"/>
      <c r="LDI6" s="433"/>
      <c r="LDJ6" s="433"/>
      <c r="LDK6" s="433"/>
      <c r="LDL6" s="433"/>
      <c r="LDM6" s="433"/>
      <c r="LDN6" s="433"/>
      <c r="LDO6" s="433"/>
      <c r="LDP6" s="433"/>
      <c r="LDQ6" s="433"/>
      <c r="LDR6" s="433"/>
      <c r="LDS6" s="433"/>
      <c r="LDT6" s="433"/>
      <c r="LDU6" s="433"/>
      <c r="LDV6" s="433"/>
      <c r="LDW6" s="433"/>
      <c r="LDX6" s="433"/>
      <c r="LDY6" s="433"/>
      <c r="LDZ6" s="433"/>
      <c r="LEA6" s="433"/>
      <c r="LEB6" s="433"/>
      <c r="LEC6" s="433"/>
      <c r="LED6" s="433"/>
      <c r="LEE6" s="433"/>
      <c r="LEF6" s="433"/>
      <c r="LEG6" s="433"/>
      <c r="LEH6" s="433"/>
      <c r="LEI6" s="433"/>
      <c r="LEJ6" s="433"/>
      <c r="LEK6" s="433"/>
      <c r="LEL6" s="433"/>
      <c r="LEM6" s="433"/>
      <c r="LEN6" s="433"/>
      <c r="LEO6" s="433"/>
      <c r="LEP6" s="433"/>
      <c r="LEQ6" s="433"/>
      <c r="LER6" s="433"/>
      <c r="LES6" s="433"/>
      <c r="LET6" s="433"/>
      <c r="LEU6" s="433"/>
      <c r="LEV6" s="433"/>
      <c r="LEW6" s="433"/>
      <c r="LEX6" s="433"/>
      <c r="LEY6" s="433"/>
      <c r="LEZ6" s="433"/>
      <c r="LFA6" s="433"/>
      <c r="LFB6" s="433"/>
      <c r="LFC6" s="433"/>
      <c r="LFD6" s="433"/>
      <c r="LFE6" s="433"/>
      <c r="LFF6" s="433"/>
      <c r="LFG6" s="433"/>
      <c r="LFH6" s="433"/>
      <c r="LFI6" s="433"/>
      <c r="LFJ6" s="433"/>
      <c r="LFK6" s="433"/>
      <c r="LFL6" s="433"/>
      <c r="LFM6" s="433"/>
      <c r="LFN6" s="433"/>
      <c r="LFO6" s="433"/>
      <c r="LFP6" s="433"/>
      <c r="LFQ6" s="433"/>
      <c r="LFR6" s="433"/>
      <c r="LFS6" s="433"/>
      <c r="LFT6" s="433"/>
      <c r="LFU6" s="433"/>
      <c r="LFV6" s="433"/>
      <c r="LFW6" s="433"/>
      <c r="LFX6" s="433"/>
      <c r="LFY6" s="433"/>
      <c r="LFZ6" s="433"/>
      <c r="LGA6" s="433"/>
      <c r="LGB6" s="433"/>
      <c r="LGC6" s="433"/>
      <c r="LGD6" s="433"/>
      <c r="LGE6" s="433"/>
      <c r="LGF6" s="433"/>
      <c r="LGG6" s="433"/>
      <c r="LGH6" s="433"/>
      <c r="LGI6" s="433"/>
      <c r="LGJ6" s="433"/>
      <c r="LGK6" s="433"/>
      <c r="LGL6" s="433"/>
      <c r="LGM6" s="433"/>
      <c r="LGN6" s="433"/>
      <c r="LGO6" s="433"/>
      <c r="LGP6" s="433"/>
      <c r="LGQ6" s="433"/>
      <c r="LGR6" s="433"/>
      <c r="LGS6" s="433"/>
      <c r="LGT6" s="433"/>
      <c r="LGU6" s="433"/>
      <c r="LGV6" s="433"/>
      <c r="LGW6" s="433"/>
      <c r="LGX6" s="433"/>
      <c r="LGY6" s="433"/>
      <c r="LGZ6" s="433"/>
      <c r="LHA6" s="433"/>
      <c r="LHB6" s="433"/>
      <c r="LHC6" s="433"/>
      <c r="LHD6" s="433"/>
      <c r="LHE6" s="433"/>
      <c r="LHF6" s="433"/>
      <c r="LHG6" s="433"/>
      <c r="LHH6" s="433"/>
      <c r="LHI6" s="433"/>
      <c r="LHJ6" s="433"/>
      <c r="LHK6" s="433"/>
      <c r="LHL6" s="433"/>
      <c r="LHM6" s="433"/>
      <c r="LHN6" s="433"/>
      <c r="LHO6" s="433"/>
      <c r="LHP6" s="433"/>
      <c r="LHQ6" s="433"/>
      <c r="LHR6" s="433"/>
      <c r="LHS6" s="433"/>
      <c r="LHT6" s="433"/>
      <c r="LHU6" s="433"/>
      <c r="LHV6" s="433"/>
      <c r="LHW6" s="433"/>
      <c r="LHX6" s="433"/>
      <c r="LHY6" s="433"/>
      <c r="LHZ6" s="433"/>
      <c r="LIA6" s="433"/>
      <c r="LIB6" s="433"/>
      <c r="LIC6" s="433"/>
      <c r="LID6" s="433"/>
      <c r="LIE6" s="433"/>
      <c r="LIF6" s="433"/>
      <c r="LIG6" s="433"/>
      <c r="LIH6" s="433"/>
      <c r="LII6" s="433"/>
      <c r="LIJ6" s="433"/>
      <c r="LIK6" s="433"/>
      <c r="LIL6" s="433"/>
      <c r="LIM6" s="433"/>
      <c r="LIN6" s="433"/>
      <c r="LIO6" s="433"/>
      <c r="LIP6" s="433"/>
      <c r="LIQ6" s="433"/>
      <c r="LIR6" s="433"/>
      <c r="LIS6" s="433"/>
      <c r="LIT6" s="433"/>
      <c r="LIU6" s="433"/>
      <c r="LIV6" s="433"/>
      <c r="LIW6" s="433"/>
      <c r="LIX6" s="433"/>
      <c r="LIY6" s="433"/>
      <c r="LIZ6" s="433"/>
      <c r="LJA6" s="433"/>
      <c r="LJB6" s="433"/>
      <c r="LJC6" s="433"/>
      <c r="LJD6" s="433"/>
      <c r="LJE6" s="433"/>
      <c r="LJF6" s="433"/>
      <c r="LJG6" s="433"/>
      <c r="LJH6" s="433"/>
      <c r="LJI6" s="433"/>
      <c r="LJJ6" s="433"/>
      <c r="LJK6" s="433"/>
      <c r="LJL6" s="433"/>
      <c r="LJM6" s="433"/>
      <c r="LJN6" s="433"/>
      <c r="LJO6" s="433"/>
      <c r="LJP6" s="433"/>
      <c r="LJQ6" s="433"/>
      <c r="LJR6" s="433"/>
      <c r="LJS6" s="433"/>
      <c r="LJT6" s="433"/>
      <c r="LJU6" s="433"/>
      <c r="LJV6" s="433"/>
      <c r="LJW6" s="433"/>
      <c r="LJX6" s="433"/>
      <c r="LJY6" s="433"/>
      <c r="LJZ6" s="433"/>
      <c r="LKA6" s="433"/>
      <c r="LKB6" s="433"/>
      <c r="LKC6" s="433"/>
      <c r="LKD6" s="433"/>
      <c r="LKE6" s="433"/>
      <c r="LKF6" s="433"/>
      <c r="LKG6" s="433"/>
      <c r="LKH6" s="433"/>
      <c r="LKI6" s="433"/>
      <c r="LKJ6" s="433"/>
      <c r="LKK6" s="433"/>
      <c r="LKL6" s="433"/>
      <c r="LKM6" s="433"/>
      <c r="LKN6" s="433"/>
      <c r="LKO6" s="433"/>
      <c r="LKP6" s="433"/>
      <c r="LKQ6" s="433"/>
      <c r="LKR6" s="433"/>
      <c r="LKS6" s="433"/>
      <c r="LKT6" s="433"/>
      <c r="LKU6" s="433"/>
      <c r="LKV6" s="433"/>
      <c r="LKW6" s="433"/>
      <c r="LKX6" s="433"/>
      <c r="LKY6" s="433"/>
      <c r="LKZ6" s="433"/>
      <c r="LLA6" s="433"/>
      <c r="LLB6" s="433"/>
      <c r="LLC6" s="433"/>
      <c r="LLD6" s="433"/>
      <c r="LLE6" s="433"/>
      <c r="LLF6" s="433"/>
      <c r="LLG6" s="433"/>
      <c r="LLH6" s="433"/>
      <c r="LLI6" s="433"/>
      <c r="LLJ6" s="433"/>
      <c r="LLK6" s="433"/>
      <c r="LLL6" s="433"/>
      <c r="LLM6" s="433"/>
      <c r="LLN6" s="433"/>
      <c r="LLO6" s="433"/>
      <c r="LLP6" s="433"/>
      <c r="LLQ6" s="433"/>
      <c r="LLR6" s="433"/>
      <c r="LLS6" s="433"/>
      <c r="LLT6" s="433"/>
      <c r="LLU6" s="433"/>
      <c r="LLV6" s="433"/>
      <c r="LLW6" s="433"/>
      <c r="LLX6" s="433"/>
      <c r="LLY6" s="433"/>
      <c r="LLZ6" s="433"/>
      <c r="LMA6" s="433"/>
      <c r="LMB6" s="433"/>
      <c r="LMC6" s="433"/>
      <c r="LMD6" s="433"/>
      <c r="LME6" s="433"/>
      <c r="LMF6" s="433"/>
      <c r="LMG6" s="433"/>
      <c r="LMH6" s="433"/>
      <c r="LMI6" s="433"/>
      <c r="LMJ6" s="433"/>
      <c r="LMK6" s="433"/>
      <c r="LML6" s="433"/>
      <c r="LMM6" s="433"/>
      <c r="LMN6" s="433"/>
      <c r="LMO6" s="433"/>
      <c r="LMP6" s="433"/>
      <c r="LMQ6" s="433"/>
      <c r="LMR6" s="433"/>
      <c r="LMS6" s="433"/>
      <c r="LMT6" s="433"/>
      <c r="LMU6" s="433"/>
      <c r="LMV6" s="433"/>
      <c r="LMW6" s="433"/>
      <c r="LMX6" s="433"/>
      <c r="LMY6" s="433"/>
      <c r="LMZ6" s="433"/>
      <c r="LNA6" s="433"/>
      <c r="LNB6" s="433"/>
      <c r="LNC6" s="433"/>
      <c r="LND6" s="433"/>
      <c r="LNE6" s="433"/>
      <c r="LNF6" s="433"/>
      <c r="LNG6" s="433"/>
      <c r="LNH6" s="433"/>
      <c r="LNI6" s="433"/>
      <c r="LNJ6" s="433"/>
      <c r="LNK6" s="433"/>
      <c r="LNL6" s="433"/>
      <c r="LNM6" s="433"/>
      <c r="LNN6" s="433"/>
      <c r="LNO6" s="433"/>
      <c r="LNP6" s="433"/>
      <c r="LNQ6" s="433"/>
      <c r="LNR6" s="433"/>
      <c r="LNS6" s="433"/>
      <c r="LNT6" s="433"/>
      <c r="LNU6" s="433"/>
      <c r="LNV6" s="433"/>
      <c r="LNW6" s="433"/>
      <c r="LNX6" s="433"/>
      <c r="LNY6" s="433"/>
      <c r="LNZ6" s="433"/>
      <c r="LOA6" s="433"/>
      <c r="LOB6" s="433"/>
      <c r="LOC6" s="433"/>
      <c r="LOD6" s="433"/>
      <c r="LOE6" s="433"/>
      <c r="LOF6" s="433"/>
      <c r="LOG6" s="433"/>
      <c r="LOH6" s="433"/>
      <c r="LOI6" s="433"/>
      <c r="LOJ6" s="433"/>
      <c r="LOK6" s="433"/>
      <c r="LOL6" s="433"/>
      <c r="LOM6" s="433"/>
      <c r="LON6" s="433"/>
      <c r="LOO6" s="433"/>
      <c r="LOP6" s="433"/>
      <c r="LOQ6" s="433"/>
      <c r="LOR6" s="433"/>
      <c r="LOS6" s="433"/>
      <c r="LOT6" s="433"/>
      <c r="LOU6" s="433"/>
      <c r="LOV6" s="433"/>
      <c r="LOW6" s="433"/>
      <c r="LOX6" s="433"/>
      <c r="LOY6" s="433"/>
      <c r="LOZ6" s="433"/>
      <c r="LPA6" s="433"/>
      <c r="LPB6" s="433"/>
      <c r="LPC6" s="433"/>
      <c r="LPD6" s="433"/>
      <c r="LPE6" s="433"/>
      <c r="LPF6" s="433"/>
      <c r="LPG6" s="433"/>
      <c r="LPH6" s="433"/>
      <c r="LPI6" s="433"/>
      <c r="LPJ6" s="433"/>
      <c r="LPK6" s="433"/>
      <c r="LPL6" s="433"/>
      <c r="LPM6" s="433"/>
      <c r="LPN6" s="433"/>
      <c r="LPO6" s="433"/>
      <c r="LPP6" s="433"/>
      <c r="LPQ6" s="433"/>
      <c r="LPR6" s="433"/>
      <c r="LPS6" s="433"/>
      <c r="LPT6" s="433"/>
      <c r="LPU6" s="433"/>
      <c r="LPV6" s="433"/>
      <c r="LPW6" s="433"/>
      <c r="LPX6" s="433"/>
      <c r="LPY6" s="433"/>
      <c r="LPZ6" s="433"/>
      <c r="LQA6" s="433"/>
      <c r="LQB6" s="433"/>
      <c r="LQC6" s="433"/>
      <c r="LQD6" s="433"/>
      <c r="LQE6" s="433"/>
      <c r="LQF6" s="433"/>
      <c r="LQG6" s="433"/>
      <c r="LQH6" s="433"/>
      <c r="LQI6" s="433"/>
      <c r="LQJ6" s="433"/>
      <c r="LQK6" s="433"/>
      <c r="LQL6" s="433"/>
      <c r="LQM6" s="433"/>
      <c r="LQN6" s="433"/>
      <c r="LQO6" s="433"/>
      <c r="LQP6" s="433"/>
      <c r="LQQ6" s="433"/>
      <c r="LQR6" s="433"/>
      <c r="LQS6" s="433"/>
      <c r="LQT6" s="433"/>
      <c r="LQU6" s="433"/>
      <c r="LQV6" s="433"/>
      <c r="LQW6" s="433"/>
      <c r="LQX6" s="433"/>
      <c r="LQY6" s="433"/>
      <c r="LQZ6" s="433"/>
      <c r="LRA6" s="433"/>
      <c r="LRB6" s="433"/>
      <c r="LRC6" s="433"/>
      <c r="LRD6" s="433"/>
      <c r="LRE6" s="433"/>
      <c r="LRF6" s="433"/>
      <c r="LRG6" s="433"/>
      <c r="LRH6" s="433"/>
      <c r="LRI6" s="433"/>
      <c r="LRJ6" s="433"/>
      <c r="LRK6" s="433"/>
      <c r="LRL6" s="433"/>
      <c r="LRM6" s="433"/>
      <c r="LRN6" s="433"/>
      <c r="LRO6" s="433"/>
      <c r="LRP6" s="433"/>
      <c r="LRQ6" s="433"/>
      <c r="LRR6" s="433"/>
      <c r="LRS6" s="433"/>
      <c r="LRT6" s="433"/>
      <c r="LRU6" s="433"/>
      <c r="LRV6" s="433"/>
      <c r="LRW6" s="433"/>
      <c r="LRX6" s="433"/>
      <c r="LRY6" s="433"/>
      <c r="LRZ6" s="433"/>
      <c r="LSA6" s="433"/>
      <c r="LSB6" s="433"/>
      <c r="LSC6" s="433"/>
      <c r="LSD6" s="433"/>
      <c r="LSE6" s="433"/>
      <c r="LSF6" s="433"/>
      <c r="LSG6" s="433"/>
      <c r="LSH6" s="433"/>
      <c r="LSI6" s="433"/>
      <c r="LSJ6" s="433"/>
      <c r="LSK6" s="433"/>
      <c r="LSL6" s="433"/>
      <c r="LSM6" s="433"/>
      <c r="LSN6" s="433"/>
      <c r="LSO6" s="433"/>
      <c r="LSP6" s="433"/>
      <c r="LSQ6" s="433"/>
      <c r="LSR6" s="433"/>
      <c r="LSS6" s="433"/>
      <c r="LST6" s="433"/>
      <c r="LSU6" s="433"/>
      <c r="LSV6" s="433"/>
      <c r="LSW6" s="433"/>
      <c r="LSX6" s="433"/>
      <c r="LSY6" s="433"/>
      <c r="LSZ6" s="433"/>
      <c r="LTA6" s="433"/>
      <c r="LTB6" s="433"/>
      <c r="LTC6" s="433"/>
      <c r="LTD6" s="433"/>
      <c r="LTE6" s="433"/>
      <c r="LTF6" s="433"/>
      <c r="LTG6" s="433"/>
      <c r="LTH6" s="433"/>
      <c r="LTI6" s="433"/>
      <c r="LTJ6" s="433"/>
      <c r="LTK6" s="433"/>
      <c r="LTL6" s="433"/>
      <c r="LTM6" s="433"/>
      <c r="LTN6" s="433"/>
      <c r="LTO6" s="433"/>
      <c r="LTP6" s="433"/>
      <c r="LTQ6" s="433"/>
      <c r="LTR6" s="433"/>
      <c r="LTS6" s="433"/>
      <c r="LTT6" s="433"/>
      <c r="LTU6" s="433"/>
      <c r="LTV6" s="433"/>
      <c r="LTW6" s="433"/>
      <c r="LTX6" s="433"/>
      <c r="LTY6" s="433"/>
      <c r="LTZ6" s="433"/>
      <c r="LUA6" s="433"/>
      <c r="LUB6" s="433"/>
      <c r="LUC6" s="433"/>
      <c r="LUD6" s="433"/>
      <c r="LUE6" s="433"/>
      <c r="LUF6" s="433"/>
      <c r="LUG6" s="433"/>
      <c r="LUH6" s="433"/>
      <c r="LUI6" s="433"/>
      <c r="LUJ6" s="433"/>
      <c r="LUK6" s="433"/>
      <c r="LUL6" s="433"/>
      <c r="LUM6" s="433"/>
      <c r="LUN6" s="433"/>
      <c r="LUO6" s="433"/>
      <c r="LUP6" s="433"/>
      <c r="LUQ6" s="433"/>
      <c r="LUR6" s="433"/>
      <c r="LUS6" s="433"/>
      <c r="LUT6" s="433"/>
      <c r="LUU6" s="433"/>
      <c r="LUV6" s="433"/>
      <c r="LUW6" s="433"/>
      <c r="LUX6" s="433"/>
      <c r="LUY6" s="433"/>
      <c r="LUZ6" s="433"/>
      <c r="LVA6" s="433"/>
      <c r="LVB6" s="433"/>
      <c r="LVC6" s="433"/>
      <c r="LVD6" s="433"/>
      <c r="LVE6" s="433"/>
      <c r="LVF6" s="433"/>
      <c r="LVG6" s="433"/>
      <c r="LVH6" s="433"/>
      <c r="LVI6" s="433"/>
      <c r="LVJ6" s="433"/>
      <c r="LVK6" s="433"/>
      <c r="LVL6" s="433"/>
      <c r="LVM6" s="433"/>
      <c r="LVN6" s="433"/>
      <c r="LVO6" s="433"/>
      <c r="LVP6" s="433"/>
      <c r="LVQ6" s="433"/>
      <c r="LVR6" s="433"/>
      <c r="LVS6" s="433"/>
      <c r="LVT6" s="433"/>
      <c r="LVU6" s="433"/>
      <c r="LVV6" s="433"/>
      <c r="LVW6" s="433"/>
      <c r="LVX6" s="433"/>
      <c r="LVY6" s="433"/>
      <c r="LVZ6" s="433"/>
      <c r="LWA6" s="433"/>
      <c r="LWB6" s="433"/>
      <c r="LWC6" s="433"/>
      <c r="LWD6" s="433"/>
      <c r="LWE6" s="433"/>
      <c r="LWF6" s="433"/>
      <c r="LWG6" s="433"/>
      <c r="LWH6" s="433"/>
      <c r="LWI6" s="433"/>
      <c r="LWJ6" s="433"/>
      <c r="LWK6" s="433"/>
      <c r="LWL6" s="433"/>
      <c r="LWM6" s="433"/>
      <c r="LWN6" s="433"/>
      <c r="LWO6" s="433"/>
      <c r="LWP6" s="433"/>
      <c r="LWQ6" s="433"/>
      <c r="LWR6" s="433"/>
      <c r="LWS6" s="433"/>
      <c r="LWT6" s="433"/>
      <c r="LWU6" s="433"/>
      <c r="LWV6" s="433"/>
      <c r="LWW6" s="433"/>
      <c r="LWX6" s="433"/>
      <c r="LWY6" s="433"/>
      <c r="LWZ6" s="433"/>
      <c r="LXA6" s="433"/>
      <c r="LXB6" s="433"/>
      <c r="LXC6" s="433"/>
      <c r="LXD6" s="433"/>
      <c r="LXE6" s="433"/>
      <c r="LXF6" s="433"/>
      <c r="LXG6" s="433"/>
      <c r="LXH6" s="433"/>
      <c r="LXI6" s="433"/>
      <c r="LXJ6" s="433"/>
      <c r="LXK6" s="433"/>
      <c r="LXL6" s="433"/>
      <c r="LXM6" s="433"/>
      <c r="LXN6" s="433"/>
      <c r="LXO6" s="433"/>
      <c r="LXP6" s="433"/>
      <c r="LXQ6" s="433"/>
      <c r="LXR6" s="433"/>
      <c r="LXS6" s="433"/>
      <c r="LXT6" s="433"/>
      <c r="LXU6" s="433"/>
      <c r="LXV6" s="433"/>
      <c r="LXW6" s="433"/>
      <c r="LXX6" s="433"/>
      <c r="LXY6" s="433"/>
      <c r="LXZ6" s="433"/>
      <c r="LYA6" s="433"/>
      <c r="LYB6" s="433"/>
      <c r="LYC6" s="433"/>
      <c r="LYD6" s="433"/>
      <c r="LYE6" s="433"/>
      <c r="LYF6" s="433"/>
      <c r="LYG6" s="433"/>
      <c r="LYH6" s="433"/>
      <c r="LYI6" s="433"/>
      <c r="LYJ6" s="433"/>
      <c r="LYK6" s="433"/>
      <c r="LYL6" s="433"/>
      <c r="LYM6" s="433"/>
      <c r="LYN6" s="433"/>
      <c r="LYO6" s="433"/>
      <c r="LYP6" s="433"/>
      <c r="LYQ6" s="433"/>
      <c r="LYR6" s="433"/>
      <c r="LYS6" s="433"/>
      <c r="LYT6" s="433"/>
      <c r="LYU6" s="433"/>
      <c r="LYV6" s="433"/>
      <c r="LYW6" s="433"/>
      <c r="LYX6" s="433"/>
      <c r="LYY6" s="433"/>
      <c r="LYZ6" s="433"/>
      <c r="LZA6" s="433"/>
      <c r="LZB6" s="433"/>
      <c r="LZC6" s="433"/>
      <c r="LZD6" s="433"/>
      <c r="LZE6" s="433"/>
      <c r="LZF6" s="433"/>
      <c r="LZG6" s="433"/>
      <c r="LZH6" s="433"/>
      <c r="LZI6" s="433"/>
      <c r="LZJ6" s="433"/>
      <c r="LZK6" s="433"/>
      <c r="LZL6" s="433"/>
      <c r="LZM6" s="433"/>
      <c r="LZN6" s="433"/>
      <c r="LZO6" s="433"/>
      <c r="LZP6" s="433"/>
      <c r="LZQ6" s="433"/>
      <c r="LZR6" s="433"/>
      <c r="LZS6" s="433"/>
      <c r="LZT6" s="433"/>
      <c r="LZU6" s="433"/>
      <c r="LZV6" s="433"/>
      <c r="LZW6" s="433"/>
      <c r="LZX6" s="433"/>
      <c r="LZY6" s="433"/>
      <c r="LZZ6" s="433"/>
      <c r="MAA6" s="433"/>
      <c r="MAB6" s="433"/>
      <c r="MAC6" s="433"/>
      <c r="MAD6" s="433"/>
      <c r="MAE6" s="433"/>
      <c r="MAF6" s="433"/>
      <c r="MAG6" s="433"/>
      <c r="MAH6" s="433"/>
      <c r="MAI6" s="433"/>
      <c r="MAJ6" s="433"/>
      <c r="MAK6" s="433"/>
      <c r="MAL6" s="433"/>
      <c r="MAM6" s="433"/>
      <c r="MAN6" s="433"/>
      <c r="MAO6" s="433"/>
      <c r="MAP6" s="433"/>
      <c r="MAQ6" s="433"/>
      <c r="MAR6" s="433"/>
      <c r="MAS6" s="433"/>
      <c r="MAT6" s="433"/>
      <c r="MAU6" s="433"/>
      <c r="MAV6" s="433"/>
      <c r="MAW6" s="433"/>
      <c r="MAX6" s="433"/>
      <c r="MAY6" s="433"/>
      <c r="MAZ6" s="433"/>
      <c r="MBA6" s="433"/>
      <c r="MBB6" s="433"/>
      <c r="MBC6" s="433"/>
      <c r="MBD6" s="433"/>
      <c r="MBE6" s="433"/>
      <c r="MBF6" s="433"/>
      <c r="MBG6" s="433"/>
      <c r="MBH6" s="433"/>
      <c r="MBI6" s="433"/>
      <c r="MBJ6" s="433"/>
      <c r="MBK6" s="433"/>
      <c r="MBL6" s="433"/>
      <c r="MBM6" s="433"/>
      <c r="MBN6" s="433"/>
      <c r="MBO6" s="433"/>
      <c r="MBP6" s="433"/>
      <c r="MBQ6" s="433"/>
      <c r="MBR6" s="433"/>
      <c r="MBS6" s="433"/>
      <c r="MBT6" s="433"/>
      <c r="MBU6" s="433"/>
      <c r="MBV6" s="433"/>
      <c r="MBW6" s="433"/>
      <c r="MBX6" s="433"/>
      <c r="MBY6" s="433"/>
      <c r="MBZ6" s="433"/>
      <c r="MCA6" s="433"/>
      <c r="MCB6" s="433"/>
      <c r="MCC6" s="433"/>
      <c r="MCD6" s="433"/>
      <c r="MCE6" s="433"/>
      <c r="MCF6" s="433"/>
      <c r="MCG6" s="433"/>
      <c r="MCH6" s="433"/>
      <c r="MCI6" s="433"/>
      <c r="MCJ6" s="433"/>
      <c r="MCK6" s="433"/>
      <c r="MCL6" s="433"/>
      <c r="MCM6" s="433"/>
      <c r="MCN6" s="433"/>
      <c r="MCO6" s="433"/>
      <c r="MCP6" s="433"/>
      <c r="MCQ6" s="433"/>
      <c r="MCR6" s="433"/>
      <c r="MCS6" s="433"/>
      <c r="MCT6" s="433"/>
      <c r="MCU6" s="433"/>
      <c r="MCV6" s="433"/>
      <c r="MCW6" s="433"/>
      <c r="MCX6" s="433"/>
      <c r="MCY6" s="433"/>
      <c r="MCZ6" s="433"/>
      <c r="MDA6" s="433"/>
      <c r="MDB6" s="433"/>
      <c r="MDC6" s="433"/>
      <c r="MDD6" s="433"/>
      <c r="MDE6" s="433"/>
      <c r="MDF6" s="433"/>
      <c r="MDG6" s="433"/>
      <c r="MDH6" s="433"/>
      <c r="MDI6" s="433"/>
      <c r="MDJ6" s="433"/>
      <c r="MDK6" s="433"/>
      <c r="MDL6" s="433"/>
      <c r="MDM6" s="433"/>
      <c r="MDN6" s="433"/>
      <c r="MDO6" s="433"/>
      <c r="MDP6" s="433"/>
      <c r="MDQ6" s="433"/>
      <c r="MDR6" s="433"/>
      <c r="MDS6" s="433"/>
      <c r="MDT6" s="433"/>
      <c r="MDU6" s="433"/>
      <c r="MDV6" s="433"/>
      <c r="MDW6" s="433"/>
      <c r="MDX6" s="433"/>
      <c r="MDY6" s="433"/>
      <c r="MDZ6" s="433"/>
      <c r="MEA6" s="433"/>
      <c r="MEB6" s="433"/>
      <c r="MEC6" s="433"/>
      <c r="MED6" s="433"/>
      <c r="MEE6" s="433"/>
      <c r="MEF6" s="433"/>
      <c r="MEG6" s="433"/>
      <c r="MEH6" s="433"/>
      <c r="MEI6" s="433"/>
      <c r="MEJ6" s="433"/>
      <c r="MEK6" s="433"/>
      <c r="MEL6" s="433"/>
      <c r="MEM6" s="433"/>
      <c r="MEN6" s="433"/>
      <c r="MEO6" s="433"/>
      <c r="MEP6" s="433"/>
      <c r="MEQ6" s="433"/>
      <c r="MER6" s="433"/>
      <c r="MES6" s="433"/>
      <c r="MET6" s="433"/>
      <c r="MEU6" s="433"/>
      <c r="MEV6" s="433"/>
      <c r="MEW6" s="433"/>
      <c r="MEX6" s="433"/>
      <c r="MEY6" s="433"/>
      <c r="MEZ6" s="433"/>
      <c r="MFA6" s="433"/>
      <c r="MFB6" s="433"/>
      <c r="MFC6" s="433"/>
      <c r="MFD6" s="433"/>
      <c r="MFE6" s="433"/>
      <c r="MFF6" s="433"/>
      <c r="MFG6" s="433"/>
      <c r="MFH6" s="433"/>
      <c r="MFI6" s="433"/>
      <c r="MFJ6" s="433"/>
      <c r="MFK6" s="433"/>
      <c r="MFL6" s="433"/>
      <c r="MFM6" s="433"/>
      <c r="MFN6" s="433"/>
      <c r="MFO6" s="433"/>
      <c r="MFP6" s="433"/>
      <c r="MFQ6" s="433"/>
      <c r="MFR6" s="433"/>
      <c r="MFS6" s="433"/>
      <c r="MFT6" s="433"/>
      <c r="MFU6" s="433"/>
      <c r="MFV6" s="433"/>
      <c r="MFW6" s="433"/>
      <c r="MFX6" s="433"/>
      <c r="MFY6" s="433"/>
      <c r="MFZ6" s="433"/>
      <c r="MGA6" s="433"/>
      <c r="MGB6" s="433"/>
      <c r="MGC6" s="433"/>
      <c r="MGD6" s="433"/>
      <c r="MGE6" s="433"/>
      <c r="MGF6" s="433"/>
      <c r="MGG6" s="433"/>
      <c r="MGH6" s="433"/>
      <c r="MGI6" s="433"/>
      <c r="MGJ6" s="433"/>
      <c r="MGK6" s="433"/>
      <c r="MGL6" s="433"/>
      <c r="MGM6" s="433"/>
      <c r="MGN6" s="433"/>
      <c r="MGO6" s="433"/>
      <c r="MGP6" s="433"/>
      <c r="MGQ6" s="433"/>
      <c r="MGR6" s="433"/>
      <c r="MGS6" s="433"/>
      <c r="MGT6" s="433"/>
      <c r="MGU6" s="433"/>
      <c r="MGV6" s="433"/>
      <c r="MGW6" s="433"/>
      <c r="MGX6" s="433"/>
      <c r="MGY6" s="433"/>
      <c r="MGZ6" s="433"/>
      <c r="MHA6" s="433"/>
      <c r="MHB6" s="433"/>
      <c r="MHC6" s="433"/>
      <c r="MHD6" s="433"/>
      <c r="MHE6" s="433"/>
      <c r="MHF6" s="433"/>
      <c r="MHG6" s="433"/>
      <c r="MHH6" s="433"/>
      <c r="MHI6" s="433"/>
      <c r="MHJ6" s="433"/>
      <c r="MHK6" s="433"/>
      <c r="MHL6" s="433"/>
      <c r="MHM6" s="433"/>
      <c r="MHN6" s="433"/>
      <c r="MHO6" s="433"/>
      <c r="MHP6" s="433"/>
      <c r="MHQ6" s="433"/>
      <c r="MHR6" s="433"/>
      <c r="MHS6" s="433"/>
      <c r="MHT6" s="433"/>
      <c r="MHU6" s="433"/>
      <c r="MHV6" s="433"/>
      <c r="MHW6" s="433"/>
      <c r="MHX6" s="433"/>
      <c r="MHY6" s="433"/>
      <c r="MHZ6" s="433"/>
      <c r="MIA6" s="433"/>
      <c r="MIB6" s="433"/>
      <c r="MIC6" s="433"/>
      <c r="MID6" s="433"/>
      <c r="MIE6" s="433"/>
      <c r="MIF6" s="433"/>
      <c r="MIG6" s="433"/>
      <c r="MIH6" s="433"/>
      <c r="MII6" s="433"/>
      <c r="MIJ6" s="433"/>
      <c r="MIK6" s="433"/>
      <c r="MIL6" s="433"/>
      <c r="MIM6" s="433"/>
      <c r="MIN6" s="433"/>
      <c r="MIO6" s="433"/>
      <c r="MIP6" s="433"/>
      <c r="MIQ6" s="433"/>
      <c r="MIR6" s="433"/>
      <c r="MIS6" s="433"/>
      <c r="MIT6" s="433"/>
      <c r="MIU6" s="433"/>
      <c r="MIV6" s="433"/>
      <c r="MIW6" s="433"/>
      <c r="MIX6" s="433"/>
      <c r="MIY6" s="433"/>
      <c r="MIZ6" s="433"/>
      <c r="MJA6" s="433"/>
      <c r="MJB6" s="433"/>
      <c r="MJC6" s="433"/>
      <c r="MJD6" s="433"/>
      <c r="MJE6" s="433"/>
      <c r="MJF6" s="433"/>
      <c r="MJG6" s="433"/>
      <c r="MJH6" s="433"/>
      <c r="MJI6" s="433"/>
      <c r="MJJ6" s="433"/>
      <c r="MJK6" s="433"/>
      <c r="MJL6" s="433"/>
      <c r="MJM6" s="433"/>
      <c r="MJN6" s="433"/>
      <c r="MJO6" s="433"/>
      <c r="MJP6" s="433"/>
      <c r="MJQ6" s="433"/>
      <c r="MJR6" s="433"/>
      <c r="MJS6" s="433"/>
      <c r="MJT6" s="433"/>
      <c r="MJU6" s="433"/>
      <c r="MJV6" s="433"/>
      <c r="MJW6" s="433"/>
      <c r="MJX6" s="433"/>
      <c r="MJY6" s="433"/>
      <c r="MJZ6" s="433"/>
      <c r="MKA6" s="433"/>
      <c r="MKB6" s="433"/>
      <c r="MKC6" s="433"/>
      <c r="MKD6" s="433"/>
      <c r="MKE6" s="433"/>
      <c r="MKF6" s="433"/>
      <c r="MKG6" s="433"/>
      <c r="MKH6" s="433"/>
      <c r="MKI6" s="433"/>
      <c r="MKJ6" s="433"/>
      <c r="MKK6" s="433"/>
      <c r="MKL6" s="433"/>
      <c r="MKM6" s="433"/>
      <c r="MKN6" s="433"/>
      <c r="MKO6" s="433"/>
      <c r="MKP6" s="433"/>
      <c r="MKQ6" s="433"/>
      <c r="MKR6" s="433"/>
      <c r="MKS6" s="433"/>
      <c r="MKT6" s="433"/>
      <c r="MKU6" s="433"/>
      <c r="MKV6" s="433"/>
      <c r="MKW6" s="433"/>
      <c r="MKX6" s="433"/>
      <c r="MKY6" s="433"/>
      <c r="MKZ6" s="433"/>
      <c r="MLA6" s="433"/>
      <c r="MLB6" s="433"/>
      <c r="MLC6" s="433"/>
      <c r="MLD6" s="433"/>
      <c r="MLE6" s="433"/>
      <c r="MLF6" s="433"/>
      <c r="MLG6" s="433"/>
      <c r="MLH6" s="433"/>
      <c r="MLI6" s="433"/>
      <c r="MLJ6" s="433"/>
      <c r="MLK6" s="433"/>
      <c r="MLL6" s="433"/>
      <c r="MLM6" s="433"/>
      <c r="MLN6" s="433"/>
      <c r="MLO6" s="433"/>
      <c r="MLP6" s="433"/>
      <c r="MLQ6" s="433"/>
      <c r="MLR6" s="433"/>
      <c r="MLS6" s="433"/>
      <c r="MLT6" s="433"/>
      <c r="MLU6" s="433"/>
      <c r="MLV6" s="433"/>
      <c r="MLW6" s="433"/>
      <c r="MLX6" s="433"/>
      <c r="MLY6" s="433"/>
      <c r="MLZ6" s="433"/>
      <c r="MMA6" s="433"/>
      <c r="MMB6" s="433"/>
      <c r="MMC6" s="433"/>
      <c r="MMD6" s="433"/>
      <c r="MME6" s="433"/>
      <c r="MMF6" s="433"/>
      <c r="MMG6" s="433"/>
      <c r="MMH6" s="433"/>
      <c r="MMI6" s="433"/>
      <c r="MMJ6" s="433"/>
      <c r="MMK6" s="433"/>
      <c r="MML6" s="433"/>
      <c r="MMM6" s="433"/>
      <c r="MMN6" s="433"/>
      <c r="MMO6" s="433"/>
      <c r="MMP6" s="433"/>
      <c r="MMQ6" s="433"/>
      <c r="MMR6" s="433"/>
      <c r="MMS6" s="433"/>
      <c r="MMT6" s="433"/>
      <c r="MMU6" s="433"/>
      <c r="MMV6" s="433"/>
      <c r="MMW6" s="433"/>
      <c r="MMX6" s="433"/>
      <c r="MMY6" s="433"/>
      <c r="MMZ6" s="433"/>
      <c r="MNA6" s="433"/>
      <c r="MNB6" s="433"/>
      <c r="MNC6" s="433"/>
      <c r="MND6" s="433"/>
      <c r="MNE6" s="433"/>
      <c r="MNF6" s="433"/>
      <c r="MNG6" s="433"/>
      <c r="MNH6" s="433"/>
      <c r="MNI6" s="433"/>
      <c r="MNJ6" s="433"/>
      <c r="MNK6" s="433"/>
      <c r="MNL6" s="433"/>
      <c r="MNM6" s="433"/>
      <c r="MNN6" s="433"/>
      <c r="MNO6" s="433"/>
      <c r="MNP6" s="433"/>
      <c r="MNQ6" s="433"/>
      <c r="MNR6" s="433"/>
      <c r="MNS6" s="433"/>
      <c r="MNT6" s="433"/>
      <c r="MNU6" s="433"/>
      <c r="MNV6" s="433"/>
      <c r="MNW6" s="433"/>
      <c r="MNX6" s="433"/>
      <c r="MNY6" s="433"/>
      <c r="MNZ6" s="433"/>
      <c r="MOA6" s="433"/>
      <c r="MOB6" s="433"/>
      <c r="MOC6" s="433"/>
      <c r="MOD6" s="433"/>
      <c r="MOE6" s="433"/>
      <c r="MOF6" s="433"/>
      <c r="MOG6" s="433"/>
      <c r="MOH6" s="433"/>
      <c r="MOI6" s="433"/>
      <c r="MOJ6" s="433"/>
      <c r="MOK6" s="433"/>
      <c r="MOL6" s="433"/>
      <c r="MOM6" s="433"/>
      <c r="MON6" s="433"/>
      <c r="MOO6" s="433"/>
      <c r="MOP6" s="433"/>
      <c r="MOQ6" s="433"/>
      <c r="MOR6" s="433"/>
      <c r="MOS6" s="433"/>
      <c r="MOT6" s="433"/>
      <c r="MOU6" s="433"/>
      <c r="MOV6" s="433"/>
      <c r="MOW6" s="433"/>
      <c r="MOX6" s="433"/>
      <c r="MOY6" s="433"/>
      <c r="MOZ6" s="433"/>
      <c r="MPA6" s="433"/>
      <c r="MPB6" s="433"/>
      <c r="MPC6" s="433"/>
      <c r="MPD6" s="433"/>
      <c r="MPE6" s="433"/>
      <c r="MPF6" s="433"/>
      <c r="MPG6" s="433"/>
      <c r="MPH6" s="433"/>
      <c r="MPI6" s="433"/>
      <c r="MPJ6" s="433"/>
      <c r="MPK6" s="433"/>
      <c r="MPL6" s="433"/>
      <c r="MPM6" s="433"/>
      <c r="MPN6" s="433"/>
      <c r="MPO6" s="433"/>
      <c r="MPP6" s="433"/>
      <c r="MPQ6" s="433"/>
      <c r="MPR6" s="433"/>
      <c r="MPS6" s="433"/>
      <c r="MPT6" s="433"/>
      <c r="MPU6" s="433"/>
      <c r="MPV6" s="433"/>
      <c r="MPW6" s="433"/>
      <c r="MPX6" s="433"/>
      <c r="MPY6" s="433"/>
      <c r="MPZ6" s="433"/>
      <c r="MQA6" s="433"/>
      <c r="MQB6" s="433"/>
      <c r="MQC6" s="433"/>
      <c r="MQD6" s="433"/>
      <c r="MQE6" s="433"/>
      <c r="MQF6" s="433"/>
      <c r="MQG6" s="433"/>
      <c r="MQH6" s="433"/>
      <c r="MQI6" s="433"/>
      <c r="MQJ6" s="433"/>
      <c r="MQK6" s="433"/>
      <c r="MQL6" s="433"/>
      <c r="MQM6" s="433"/>
      <c r="MQN6" s="433"/>
      <c r="MQO6" s="433"/>
      <c r="MQP6" s="433"/>
      <c r="MQQ6" s="433"/>
      <c r="MQR6" s="433"/>
      <c r="MQS6" s="433"/>
      <c r="MQT6" s="433"/>
      <c r="MQU6" s="433"/>
      <c r="MQV6" s="433"/>
      <c r="MQW6" s="433"/>
      <c r="MQX6" s="433"/>
      <c r="MQY6" s="433"/>
      <c r="MQZ6" s="433"/>
      <c r="MRA6" s="433"/>
      <c r="MRB6" s="433"/>
      <c r="MRC6" s="433"/>
      <c r="MRD6" s="433"/>
      <c r="MRE6" s="433"/>
      <c r="MRF6" s="433"/>
      <c r="MRG6" s="433"/>
      <c r="MRH6" s="433"/>
      <c r="MRI6" s="433"/>
      <c r="MRJ6" s="433"/>
      <c r="MRK6" s="433"/>
      <c r="MRL6" s="433"/>
      <c r="MRM6" s="433"/>
      <c r="MRN6" s="433"/>
      <c r="MRO6" s="433"/>
      <c r="MRP6" s="433"/>
      <c r="MRQ6" s="433"/>
      <c r="MRR6" s="433"/>
      <c r="MRS6" s="433"/>
      <c r="MRT6" s="433"/>
      <c r="MRU6" s="433"/>
      <c r="MRV6" s="433"/>
      <c r="MRW6" s="433"/>
      <c r="MRX6" s="433"/>
      <c r="MRY6" s="433"/>
      <c r="MRZ6" s="433"/>
      <c r="MSA6" s="433"/>
      <c r="MSB6" s="433"/>
      <c r="MSC6" s="433"/>
      <c r="MSD6" s="433"/>
      <c r="MSE6" s="433"/>
      <c r="MSF6" s="433"/>
      <c r="MSG6" s="433"/>
      <c r="MSH6" s="433"/>
      <c r="MSI6" s="433"/>
      <c r="MSJ6" s="433"/>
      <c r="MSK6" s="433"/>
      <c r="MSL6" s="433"/>
      <c r="MSM6" s="433"/>
      <c r="MSN6" s="433"/>
      <c r="MSO6" s="433"/>
      <c r="MSP6" s="433"/>
      <c r="MSQ6" s="433"/>
      <c r="MSR6" s="433"/>
      <c r="MSS6" s="433"/>
      <c r="MST6" s="433"/>
      <c r="MSU6" s="433"/>
      <c r="MSV6" s="433"/>
      <c r="MSW6" s="433"/>
      <c r="MSX6" s="433"/>
      <c r="MSY6" s="433"/>
      <c r="MSZ6" s="433"/>
      <c r="MTA6" s="433"/>
      <c r="MTB6" s="433"/>
      <c r="MTC6" s="433"/>
      <c r="MTD6" s="433"/>
      <c r="MTE6" s="433"/>
      <c r="MTF6" s="433"/>
      <c r="MTG6" s="433"/>
      <c r="MTH6" s="433"/>
      <c r="MTI6" s="433"/>
      <c r="MTJ6" s="433"/>
      <c r="MTK6" s="433"/>
      <c r="MTL6" s="433"/>
      <c r="MTM6" s="433"/>
      <c r="MTN6" s="433"/>
      <c r="MTO6" s="433"/>
      <c r="MTP6" s="433"/>
      <c r="MTQ6" s="433"/>
      <c r="MTR6" s="433"/>
      <c r="MTS6" s="433"/>
      <c r="MTT6" s="433"/>
      <c r="MTU6" s="433"/>
      <c r="MTV6" s="433"/>
      <c r="MTW6" s="433"/>
      <c r="MTX6" s="433"/>
      <c r="MTY6" s="433"/>
      <c r="MTZ6" s="433"/>
      <c r="MUA6" s="433"/>
      <c r="MUB6" s="433"/>
      <c r="MUC6" s="433"/>
      <c r="MUD6" s="433"/>
      <c r="MUE6" s="433"/>
      <c r="MUF6" s="433"/>
      <c r="MUG6" s="433"/>
      <c r="MUH6" s="433"/>
      <c r="MUI6" s="433"/>
      <c r="MUJ6" s="433"/>
      <c r="MUK6" s="433"/>
      <c r="MUL6" s="433"/>
      <c r="MUM6" s="433"/>
      <c r="MUN6" s="433"/>
      <c r="MUO6" s="433"/>
      <c r="MUP6" s="433"/>
      <c r="MUQ6" s="433"/>
      <c r="MUR6" s="433"/>
      <c r="MUS6" s="433"/>
      <c r="MUT6" s="433"/>
      <c r="MUU6" s="433"/>
      <c r="MUV6" s="433"/>
      <c r="MUW6" s="433"/>
      <c r="MUX6" s="433"/>
      <c r="MUY6" s="433"/>
      <c r="MUZ6" s="433"/>
      <c r="MVA6" s="433"/>
      <c r="MVB6" s="433"/>
      <c r="MVC6" s="433"/>
      <c r="MVD6" s="433"/>
      <c r="MVE6" s="433"/>
      <c r="MVF6" s="433"/>
      <c r="MVG6" s="433"/>
      <c r="MVH6" s="433"/>
      <c r="MVI6" s="433"/>
      <c r="MVJ6" s="433"/>
      <c r="MVK6" s="433"/>
      <c r="MVL6" s="433"/>
      <c r="MVM6" s="433"/>
      <c r="MVN6" s="433"/>
      <c r="MVO6" s="433"/>
      <c r="MVP6" s="433"/>
      <c r="MVQ6" s="433"/>
      <c r="MVR6" s="433"/>
      <c r="MVS6" s="433"/>
      <c r="MVT6" s="433"/>
      <c r="MVU6" s="433"/>
      <c r="MVV6" s="433"/>
      <c r="MVW6" s="433"/>
      <c r="MVX6" s="433"/>
      <c r="MVY6" s="433"/>
      <c r="MVZ6" s="433"/>
      <c r="MWA6" s="433"/>
      <c r="MWB6" s="433"/>
      <c r="MWC6" s="433"/>
      <c r="MWD6" s="433"/>
      <c r="MWE6" s="433"/>
      <c r="MWF6" s="433"/>
      <c r="MWG6" s="433"/>
      <c r="MWH6" s="433"/>
      <c r="MWI6" s="433"/>
      <c r="MWJ6" s="433"/>
      <c r="MWK6" s="433"/>
      <c r="MWL6" s="433"/>
      <c r="MWM6" s="433"/>
      <c r="MWN6" s="433"/>
      <c r="MWO6" s="433"/>
      <c r="MWP6" s="433"/>
      <c r="MWQ6" s="433"/>
      <c r="MWR6" s="433"/>
      <c r="MWS6" s="433"/>
      <c r="MWT6" s="433"/>
      <c r="MWU6" s="433"/>
      <c r="MWV6" s="433"/>
      <c r="MWW6" s="433"/>
      <c r="MWX6" s="433"/>
      <c r="MWY6" s="433"/>
      <c r="MWZ6" s="433"/>
      <c r="MXA6" s="433"/>
      <c r="MXB6" s="433"/>
      <c r="MXC6" s="433"/>
      <c r="MXD6" s="433"/>
      <c r="MXE6" s="433"/>
      <c r="MXF6" s="433"/>
      <c r="MXG6" s="433"/>
      <c r="MXH6" s="433"/>
      <c r="MXI6" s="433"/>
      <c r="MXJ6" s="433"/>
      <c r="MXK6" s="433"/>
      <c r="MXL6" s="433"/>
      <c r="MXM6" s="433"/>
      <c r="MXN6" s="433"/>
      <c r="MXO6" s="433"/>
      <c r="MXP6" s="433"/>
      <c r="MXQ6" s="433"/>
      <c r="MXR6" s="433"/>
      <c r="MXS6" s="433"/>
      <c r="MXT6" s="433"/>
      <c r="MXU6" s="433"/>
      <c r="MXV6" s="433"/>
      <c r="MXW6" s="433"/>
      <c r="MXX6" s="433"/>
      <c r="MXY6" s="433"/>
      <c r="MXZ6" s="433"/>
      <c r="MYA6" s="433"/>
      <c r="MYB6" s="433"/>
      <c r="MYC6" s="433"/>
      <c r="MYD6" s="433"/>
      <c r="MYE6" s="433"/>
      <c r="MYF6" s="433"/>
      <c r="MYG6" s="433"/>
      <c r="MYH6" s="433"/>
      <c r="MYI6" s="433"/>
      <c r="MYJ6" s="433"/>
      <c r="MYK6" s="433"/>
      <c r="MYL6" s="433"/>
      <c r="MYM6" s="433"/>
      <c r="MYN6" s="433"/>
      <c r="MYO6" s="433"/>
      <c r="MYP6" s="433"/>
      <c r="MYQ6" s="433"/>
      <c r="MYR6" s="433"/>
      <c r="MYS6" s="433"/>
      <c r="MYT6" s="433"/>
      <c r="MYU6" s="433"/>
      <c r="MYV6" s="433"/>
      <c r="MYW6" s="433"/>
      <c r="MYX6" s="433"/>
      <c r="MYY6" s="433"/>
      <c r="MYZ6" s="433"/>
      <c r="MZA6" s="433"/>
      <c r="MZB6" s="433"/>
      <c r="MZC6" s="433"/>
      <c r="MZD6" s="433"/>
      <c r="MZE6" s="433"/>
      <c r="MZF6" s="433"/>
      <c r="MZG6" s="433"/>
      <c r="MZH6" s="433"/>
      <c r="MZI6" s="433"/>
      <c r="MZJ6" s="433"/>
      <c r="MZK6" s="433"/>
      <c r="MZL6" s="433"/>
      <c r="MZM6" s="433"/>
      <c r="MZN6" s="433"/>
      <c r="MZO6" s="433"/>
      <c r="MZP6" s="433"/>
      <c r="MZQ6" s="433"/>
      <c r="MZR6" s="433"/>
      <c r="MZS6" s="433"/>
      <c r="MZT6" s="433"/>
      <c r="MZU6" s="433"/>
      <c r="MZV6" s="433"/>
      <c r="MZW6" s="433"/>
      <c r="MZX6" s="433"/>
      <c r="MZY6" s="433"/>
      <c r="MZZ6" s="433"/>
      <c r="NAA6" s="433"/>
      <c r="NAB6" s="433"/>
      <c r="NAC6" s="433"/>
      <c r="NAD6" s="433"/>
      <c r="NAE6" s="433"/>
      <c r="NAF6" s="433"/>
      <c r="NAG6" s="433"/>
      <c r="NAH6" s="433"/>
      <c r="NAI6" s="433"/>
      <c r="NAJ6" s="433"/>
      <c r="NAK6" s="433"/>
      <c r="NAL6" s="433"/>
      <c r="NAM6" s="433"/>
      <c r="NAN6" s="433"/>
      <c r="NAO6" s="433"/>
      <c r="NAP6" s="433"/>
      <c r="NAQ6" s="433"/>
      <c r="NAR6" s="433"/>
      <c r="NAS6" s="433"/>
      <c r="NAT6" s="433"/>
      <c r="NAU6" s="433"/>
      <c r="NAV6" s="433"/>
      <c r="NAW6" s="433"/>
      <c r="NAX6" s="433"/>
      <c r="NAY6" s="433"/>
      <c r="NAZ6" s="433"/>
      <c r="NBA6" s="433"/>
      <c r="NBB6" s="433"/>
      <c r="NBC6" s="433"/>
      <c r="NBD6" s="433"/>
      <c r="NBE6" s="433"/>
      <c r="NBF6" s="433"/>
      <c r="NBG6" s="433"/>
      <c r="NBH6" s="433"/>
      <c r="NBI6" s="433"/>
      <c r="NBJ6" s="433"/>
      <c r="NBK6" s="433"/>
      <c r="NBL6" s="433"/>
      <c r="NBM6" s="433"/>
      <c r="NBN6" s="433"/>
      <c r="NBO6" s="433"/>
      <c r="NBP6" s="433"/>
      <c r="NBQ6" s="433"/>
      <c r="NBR6" s="433"/>
      <c r="NBS6" s="433"/>
      <c r="NBT6" s="433"/>
      <c r="NBU6" s="433"/>
      <c r="NBV6" s="433"/>
      <c r="NBW6" s="433"/>
      <c r="NBX6" s="433"/>
      <c r="NBY6" s="433"/>
      <c r="NBZ6" s="433"/>
      <c r="NCA6" s="433"/>
      <c r="NCB6" s="433"/>
      <c r="NCC6" s="433"/>
      <c r="NCD6" s="433"/>
      <c r="NCE6" s="433"/>
      <c r="NCF6" s="433"/>
      <c r="NCG6" s="433"/>
      <c r="NCH6" s="433"/>
      <c r="NCI6" s="433"/>
      <c r="NCJ6" s="433"/>
      <c r="NCK6" s="433"/>
      <c r="NCL6" s="433"/>
      <c r="NCM6" s="433"/>
      <c r="NCN6" s="433"/>
      <c r="NCO6" s="433"/>
      <c r="NCP6" s="433"/>
      <c r="NCQ6" s="433"/>
      <c r="NCR6" s="433"/>
      <c r="NCS6" s="433"/>
      <c r="NCT6" s="433"/>
      <c r="NCU6" s="433"/>
      <c r="NCV6" s="433"/>
      <c r="NCW6" s="433"/>
      <c r="NCX6" s="433"/>
      <c r="NCY6" s="433"/>
      <c r="NCZ6" s="433"/>
      <c r="NDA6" s="433"/>
      <c r="NDB6" s="433"/>
      <c r="NDC6" s="433"/>
      <c r="NDD6" s="433"/>
      <c r="NDE6" s="433"/>
      <c r="NDF6" s="433"/>
      <c r="NDG6" s="433"/>
      <c r="NDH6" s="433"/>
      <c r="NDI6" s="433"/>
      <c r="NDJ6" s="433"/>
      <c r="NDK6" s="433"/>
      <c r="NDL6" s="433"/>
      <c r="NDM6" s="433"/>
      <c r="NDN6" s="433"/>
      <c r="NDO6" s="433"/>
      <c r="NDP6" s="433"/>
      <c r="NDQ6" s="433"/>
      <c r="NDR6" s="433"/>
      <c r="NDS6" s="433"/>
      <c r="NDT6" s="433"/>
      <c r="NDU6" s="433"/>
      <c r="NDV6" s="433"/>
      <c r="NDW6" s="433"/>
      <c r="NDX6" s="433"/>
      <c r="NDY6" s="433"/>
      <c r="NDZ6" s="433"/>
      <c r="NEA6" s="433"/>
      <c r="NEB6" s="433"/>
      <c r="NEC6" s="433"/>
      <c r="NED6" s="433"/>
      <c r="NEE6" s="433"/>
      <c r="NEF6" s="433"/>
      <c r="NEG6" s="433"/>
      <c r="NEH6" s="433"/>
      <c r="NEI6" s="433"/>
      <c r="NEJ6" s="433"/>
      <c r="NEK6" s="433"/>
      <c r="NEL6" s="433"/>
      <c r="NEM6" s="433"/>
      <c r="NEN6" s="433"/>
      <c r="NEO6" s="433"/>
      <c r="NEP6" s="433"/>
      <c r="NEQ6" s="433"/>
      <c r="NER6" s="433"/>
      <c r="NES6" s="433"/>
      <c r="NET6" s="433"/>
      <c r="NEU6" s="433"/>
      <c r="NEV6" s="433"/>
      <c r="NEW6" s="433"/>
      <c r="NEX6" s="433"/>
      <c r="NEY6" s="433"/>
      <c r="NEZ6" s="433"/>
      <c r="NFA6" s="433"/>
      <c r="NFB6" s="433"/>
      <c r="NFC6" s="433"/>
      <c r="NFD6" s="433"/>
      <c r="NFE6" s="433"/>
      <c r="NFF6" s="433"/>
      <c r="NFG6" s="433"/>
      <c r="NFH6" s="433"/>
      <c r="NFI6" s="433"/>
      <c r="NFJ6" s="433"/>
      <c r="NFK6" s="433"/>
      <c r="NFL6" s="433"/>
      <c r="NFM6" s="433"/>
      <c r="NFN6" s="433"/>
      <c r="NFO6" s="433"/>
      <c r="NFP6" s="433"/>
      <c r="NFQ6" s="433"/>
      <c r="NFR6" s="433"/>
      <c r="NFS6" s="433"/>
      <c r="NFT6" s="433"/>
      <c r="NFU6" s="433"/>
      <c r="NFV6" s="433"/>
      <c r="NFW6" s="433"/>
      <c r="NFX6" s="433"/>
      <c r="NFY6" s="433"/>
      <c r="NFZ6" s="433"/>
      <c r="NGA6" s="433"/>
      <c r="NGB6" s="433"/>
      <c r="NGC6" s="433"/>
      <c r="NGD6" s="433"/>
      <c r="NGE6" s="433"/>
      <c r="NGF6" s="433"/>
      <c r="NGG6" s="433"/>
      <c r="NGH6" s="433"/>
      <c r="NGI6" s="433"/>
      <c r="NGJ6" s="433"/>
      <c r="NGK6" s="433"/>
      <c r="NGL6" s="433"/>
      <c r="NGM6" s="433"/>
      <c r="NGN6" s="433"/>
      <c r="NGO6" s="433"/>
      <c r="NGP6" s="433"/>
      <c r="NGQ6" s="433"/>
      <c r="NGR6" s="433"/>
      <c r="NGS6" s="433"/>
      <c r="NGT6" s="433"/>
      <c r="NGU6" s="433"/>
      <c r="NGV6" s="433"/>
      <c r="NGW6" s="433"/>
      <c r="NGX6" s="433"/>
      <c r="NGY6" s="433"/>
      <c r="NGZ6" s="433"/>
      <c r="NHA6" s="433"/>
      <c r="NHB6" s="433"/>
      <c r="NHC6" s="433"/>
      <c r="NHD6" s="433"/>
      <c r="NHE6" s="433"/>
      <c r="NHF6" s="433"/>
      <c r="NHG6" s="433"/>
      <c r="NHH6" s="433"/>
      <c r="NHI6" s="433"/>
      <c r="NHJ6" s="433"/>
      <c r="NHK6" s="433"/>
      <c r="NHL6" s="433"/>
      <c r="NHM6" s="433"/>
      <c r="NHN6" s="433"/>
      <c r="NHO6" s="433"/>
      <c r="NHP6" s="433"/>
      <c r="NHQ6" s="433"/>
      <c r="NHR6" s="433"/>
      <c r="NHS6" s="433"/>
      <c r="NHT6" s="433"/>
      <c r="NHU6" s="433"/>
      <c r="NHV6" s="433"/>
      <c r="NHW6" s="433"/>
      <c r="NHX6" s="433"/>
      <c r="NHY6" s="433"/>
      <c r="NHZ6" s="433"/>
      <c r="NIA6" s="433"/>
      <c r="NIB6" s="433"/>
      <c r="NIC6" s="433"/>
      <c r="NID6" s="433"/>
      <c r="NIE6" s="433"/>
      <c r="NIF6" s="433"/>
      <c r="NIG6" s="433"/>
      <c r="NIH6" s="433"/>
      <c r="NII6" s="433"/>
      <c r="NIJ6" s="433"/>
      <c r="NIK6" s="433"/>
      <c r="NIL6" s="433"/>
      <c r="NIM6" s="433"/>
      <c r="NIN6" s="433"/>
      <c r="NIO6" s="433"/>
      <c r="NIP6" s="433"/>
      <c r="NIQ6" s="433"/>
      <c r="NIR6" s="433"/>
      <c r="NIS6" s="433"/>
      <c r="NIT6" s="433"/>
      <c r="NIU6" s="433"/>
      <c r="NIV6" s="433"/>
      <c r="NIW6" s="433"/>
      <c r="NIX6" s="433"/>
      <c r="NIY6" s="433"/>
      <c r="NIZ6" s="433"/>
      <c r="NJA6" s="433"/>
      <c r="NJB6" s="433"/>
      <c r="NJC6" s="433"/>
      <c r="NJD6" s="433"/>
      <c r="NJE6" s="433"/>
      <c r="NJF6" s="433"/>
      <c r="NJG6" s="433"/>
      <c r="NJH6" s="433"/>
      <c r="NJI6" s="433"/>
      <c r="NJJ6" s="433"/>
      <c r="NJK6" s="433"/>
      <c r="NJL6" s="433"/>
      <c r="NJM6" s="433"/>
      <c r="NJN6" s="433"/>
      <c r="NJO6" s="433"/>
      <c r="NJP6" s="433"/>
      <c r="NJQ6" s="433"/>
      <c r="NJR6" s="433"/>
      <c r="NJS6" s="433"/>
      <c r="NJT6" s="433"/>
      <c r="NJU6" s="433"/>
      <c r="NJV6" s="433"/>
      <c r="NJW6" s="433"/>
      <c r="NJX6" s="433"/>
      <c r="NJY6" s="433"/>
      <c r="NJZ6" s="433"/>
      <c r="NKA6" s="433"/>
      <c r="NKB6" s="433"/>
      <c r="NKC6" s="433"/>
      <c r="NKD6" s="433"/>
      <c r="NKE6" s="433"/>
      <c r="NKF6" s="433"/>
      <c r="NKG6" s="433"/>
      <c r="NKH6" s="433"/>
      <c r="NKI6" s="433"/>
      <c r="NKJ6" s="433"/>
      <c r="NKK6" s="433"/>
      <c r="NKL6" s="433"/>
      <c r="NKM6" s="433"/>
      <c r="NKN6" s="433"/>
      <c r="NKO6" s="433"/>
      <c r="NKP6" s="433"/>
      <c r="NKQ6" s="433"/>
      <c r="NKR6" s="433"/>
      <c r="NKS6" s="433"/>
      <c r="NKT6" s="433"/>
      <c r="NKU6" s="433"/>
      <c r="NKV6" s="433"/>
      <c r="NKW6" s="433"/>
      <c r="NKX6" s="433"/>
      <c r="NKY6" s="433"/>
      <c r="NKZ6" s="433"/>
      <c r="NLA6" s="433"/>
      <c r="NLB6" s="433"/>
      <c r="NLC6" s="433"/>
      <c r="NLD6" s="433"/>
      <c r="NLE6" s="433"/>
      <c r="NLF6" s="433"/>
      <c r="NLG6" s="433"/>
      <c r="NLH6" s="433"/>
      <c r="NLI6" s="433"/>
      <c r="NLJ6" s="433"/>
      <c r="NLK6" s="433"/>
      <c r="NLL6" s="433"/>
      <c r="NLM6" s="433"/>
      <c r="NLN6" s="433"/>
      <c r="NLO6" s="433"/>
      <c r="NLP6" s="433"/>
      <c r="NLQ6" s="433"/>
      <c r="NLR6" s="433"/>
      <c r="NLS6" s="433"/>
      <c r="NLT6" s="433"/>
      <c r="NLU6" s="433"/>
      <c r="NLV6" s="433"/>
      <c r="NLW6" s="433"/>
      <c r="NLX6" s="433"/>
      <c r="NLY6" s="433"/>
      <c r="NLZ6" s="433"/>
      <c r="NMA6" s="433"/>
      <c r="NMB6" s="433"/>
      <c r="NMC6" s="433"/>
      <c r="NMD6" s="433"/>
      <c r="NME6" s="433"/>
      <c r="NMF6" s="433"/>
      <c r="NMG6" s="433"/>
      <c r="NMH6" s="433"/>
      <c r="NMI6" s="433"/>
      <c r="NMJ6" s="433"/>
      <c r="NMK6" s="433"/>
      <c r="NML6" s="433"/>
      <c r="NMM6" s="433"/>
      <c r="NMN6" s="433"/>
      <c r="NMO6" s="433"/>
      <c r="NMP6" s="433"/>
      <c r="NMQ6" s="433"/>
      <c r="NMR6" s="433"/>
      <c r="NMS6" s="433"/>
      <c r="NMT6" s="433"/>
      <c r="NMU6" s="433"/>
      <c r="NMV6" s="433"/>
      <c r="NMW6" s="433"/>
      <c r="NMX6" s="433"/>
      <c r="NMY6" s="433"/>
      <c r="NMZ6" s="433"/>
      <c r="NNA6" s="433"/>
      <c r="NNB6" s="433"/>
      <c r="NNC6" s="433"/>
      <c r="NND6" s="433"/>
      <c r="NNE6" s="433"/>
      <c r="NNF6" s="433"/>
      <c r="NNG6" s="433"/>
      <c r="NNH6" s="433"/>
      <c r="NNI6" s="433"/>
      <c r="NNJ6" s="433"/>
      <c r="NNK6" s="433"/>
      <c r="NNL6" s="433"/>
      <c r="NNM6" s="433"/>
      <c r="NNN6" s="433"/>
      <c r="NNO6" s="433"/>
      <c r="NNP6" s="433"/>
      <c r="NNQ6" s="433"/>
      <c r="NNR6" s="433"/>
      <c r="NNS6" s="433"/>
      <c r="NNT6" s="433"/>
      <c r="NNU6" s="433"/>
      <c r="NNV6" s="433"/>
      <c r="NNW6" s="433"/>
      <c r="NNX6" s="433"/>
      <c r="NNY6" s="433"/>
      <c r="NNZ6" s="433"/>
      <c r="NOA6" s="433"/>
      <c r="NOB6" s="433"/>
      <c r="NOC6" s="433"/>
      <c r="NOD6" s="433"/>
      <c r="NOE6" s="433"/>
      <c r="NOF6" s="433"/>
      <c r="NOG6" s="433"/>
      <c r="NOH6" s="433"/>
      <c r="NOI6" s="433"/>
      <c r="NOJ6" s="433"/>
      <c r="NOK6" s="433"/>
      <c r="NOL6" s="433"/>
      <c r="NOM6" s="433"/>
      <c r="NON6" s="433"/>
      <c r="NOO6" s="433"/>
      <c r="NOP6" s="433"/>
      <c r="NOQ6" s="433"/>
      <c r="NOR6" s="433"/>
      <c r="NOS6" s="433"/>
      <c r="NOT6" s="433"/>
      <c r="NOU6" s="433"/>
      <c r="NOV6" s="433"/>
      <c r="NOW6" s="433"/>
      <c r="NOX6" s="433"/>
      <c r="NOY6" s="433"/>
      <c r="NOZ6" s="433"/>
      <c r="NPA6" s="433"/>
      <c r="NPB6" s="433"/>
      <c r="NPC6" s="433"/>
      <c r="NPD6" s="433"/>
      <c r="NPE6" s="433"/>
      <c r="NPF6" s="433"/>
      <c r="NPG6" s="433"/>
      <c r="NPH6" s="433"/>
      <c r="NPI6" s="433"/>
      <c r="NPJ6" s="433"/>
      <c r="NPK6" s="433"/>
      <c r="NPL6" s="433"/>
      <c r="NPM6" s="433"/>
      <c r="NPN6" s="433"/>
      <c r="NPO6" s="433"/>
      <c r="NPP6" s="433"/>
      <c r="NPQ6" s="433"/>
      <c r="NPR6" s="433"/>
      <c r="NPS6" s="433"/>
      <c r="NPT6" s="433"/>
      <c r="NPU6" s="433"/>
      <c r="NPV6" s="433"/>
      <c r="NPW6" s="433"/>
      <c r="NPX6" s="433"/>
      <c r="NPY6" s="433"/>
      <c r="NPZ6" s="433"/>
      <c r="NQA6" s="433"/>
      <c r="NQB6" s="433"/>
      <c r="NQC6" s="433"/>
      <c r="NQD6" s="433"/>
      <c r="NQE6" s="433"/>
      <c r="NQF6" s="433"/>
      <c r="NQG6" s="433"/>
      <c r="NQH6" s="433"/>
      <c r="NQI6" s="433"/>
      <c r="NQJ6" s="433"/>
      <c r="NQK6" s="433"/>
      <c r="NQL6" s="433"/>
      <c r="NQM6" s="433"/>
      <c r="NQN6" s="433"/>
      <c r="NQO6" s="433"/>
      <c r="NQP6" s="433"/>
      <c r="NQQ6" s="433"/>
      <c r="NQR6" s="433"/>
      <c r="NQS6" s="433"/>
      <c r="NQT6" s="433"/>
      <c r="NQU6" s="433"/>
      <c r="NQV6" s="433"/>
      <c r="NQW6" s="433"/>
      <c r="NQX6" s="433"/>
      <c r="NQY6" s="433"/>
      <c r="NQZ6" s="433"/>
      <c r="NRA6" s="433"/>
      <c r="NRB6" s="433"/>
      <c r="NRC6" s="433"/>
      <c r="NRD6" s="433"/>
      <c r="NRE6" s="433"/>
      <c r="NRF6" s="433"/>
      <c r="NRG6" s="433"/>
      <c r="NRH6" s="433"/>
      <c r="NRI6" s="433"/>
      <c r="NRJ6" s="433"/>
      <c r="NRK6" s="433"/>
      <c r="NRL6" s="433"/>
      <c r="NRM6" s="433"/>
      <c r="NRN6" s="433"/>
      <c r="NRO6" s="433"/>
      <c r="NRP6" s="433"/>
      <c r="NRQ6" s="433"/>
      <c r="NRR6" s="433"/>
      <c r="NRS6" s="433"/>
      <c r="NRT6" s="433"/>
      <c r="NRU6" s="433"/>
      <c r="NRV6" s="433"/>
      <c r="NRW6" s="433"/>
      <c r="NRX6" s="433"/>
      <c r="NRY6" s="433"/>
      <c r="NRZ6" s="433"/>
      <c r="NSA6" s="433"/>
      <c r="NSB6" s="433"/>
      <c r="NSC6" s="433"/>
      <c r="NSD6" s="433"/>
      <c r="NSE6" s="433"/>
      <c r="NSF6" s="433"/>
      <c r="NSG6" s="433"/>
      <c r="NSH6" s="433"/>
      <c r="NSI6" s="433"/>
      <c r="NSJ6" s="433"/>
      <c r="NSK6" s="433"/>
      <c r="NSL6" s="433"/>
      <c r="NSM6" s="433"/>
      <c r="NSN6" s="433"/>
      <c r="NSO6" s="433"/>
      <c r="NSP6" s="433"/>
      <c r="NSQ6" s="433"/>
      <c r="NSR6" s="433"/>
      <c r="NSS6" s="433"/>
      <c r="NST6" s="433"/>
      <c r="NSU6" s="433"/>
      <c r="NSV6" s="433"/>
      <c r="NSW6" s="433"/>
      <c r="NSX6" s="433"/>
      <c r="NSY6" s="433"/>
      <c r="NSZ6" s="433"/>
      <c r="NTA6" s="433"/>
      <c r="NTB6" s="433"/>
      <c r="NTC6" s="433"/>
      <c r="NTD6" s="433"/>
      <c r="NTE6" s="433"/>
      <c r="NTF6" s="433"/>
      <c r="NTG6" s="433"/>
      <c r="NTH6" s="433"/>
      <c r="NTI6" s="433"/>
      <c r="NTJ6" s="433"/>
      <c r="NTK6" s="433"/>
      <c r="NTL6" s="433"/>
      <c r="NTM6" s="433"/>
      <c r="NTN6" s="433"/>
      <c r="NTO6" s="433"/>
      <c r="NTP6" s="433"/>
      <c r="NTQ6" s="433"/>
      <c r="NTR6" s="433"/>
      <c r="NTS6" s="433"/>
      <c r="NTT6" s="433"/>
      <c r="NTU6" s="433"/>
      <c r="NTV6" s="433"/>
      <c r="NTW6" s="433"/>
      <c r="NTX6" s="433"/>
      <c r="NTY6" s="433"/>
      <c r="NTZ6" s="433"/>
      <c r="NUA6" s="433"/>
      <c r="NUB6" s="433"/>
      <c r="NUC6" s="433"/>
      <c r="NUD6" s="433"/>
      <c r="NUE6" s="433"/>
      <c r="NUF6" s="433"/>
      <c r="NUG6" s="433"/>
      <c r="NUH6" s="433"/>
      <c r="NUI6" s="433"/>
      <c r="NUJ6" s="433"/>
      <c r="NUK6" s="433"/>
      <c r="NUL6" s="433"/>
      <c r="NUM6" s="433"/>
      <c r="NUN6" s="433"/>
      <c r="NUO6" s="433"/>
      <c r="NUP6" s="433"/>
      <c r="NUQ6" s="433"/>
      <c r="NUR6" s="433"/>
      <c r="NUS6" s="433"/>
      <c r="NUT6" s="433"/>
      <c r="NUU6" s="433"/>
      <c r="NUV6" s="433"/>
      <c r="NUW6" s="433"/>
      <c r="NUX6" s="433"/>
      <c r="NUY6" s="433"/>
      <c r="NUZ6" s="433"/>
      <c r="NVA6" s="433"/>
      <c r="NVB6" s="433"/>
      <c r="NVC6" s="433"/>
      <c r="NVD6" s="433"/>
      <c r="NVE6" s="433"/>
      <c r="NVF6" s="433"/>
      <c r="NVG6" s="433"/>
      <c r="NVH6" s="433"/>
      <c r="NVI6" s="433"/>
      <c r="NVJ6" s="433"/>
      <c r="NVK6" s="433"/>
      <c r="NVL6" s="433"/>
      <c r="NVM6" s="433"/>
      <c r="NVN6" s="433"/>
      <c r="NVO6" s="433"/>
      <c r="NVP6" s="433"/>
      <c r="NVQ6" s="433"/>
      <c r="NVR6" s="433"/>
      <c r="NVS6" s="433"/>
      <c r="NVT6" s="433"/>
      <c r="NVU6" s="433"/>
      <c r="NVV6" s="433"/>
      <c r="NVW6" s="433"/>
      <c r="NVX6" s="433"/>
      <c r="NVY6" s="433"/>
      <c r="NVZ6" s="433"/>
      <c r="NWA6" s="433"/>
      <c r="NWB6" s="433"/>
      <c r="NWC6" s="433"/>
      <c r="NWD6" s="433"/>
      <c r="NWE6" s="433"/>
      <c r="NWF6" s="433"/>
      <c r="NWG6" s="433"/>
      <c r="NWH6" s="433"/>
      <c r="NWI6" s="433"/>
      <c r="NWJ6" s="433"/>
      <c r="NWK6" s="433"/>
      <c r="NWL6" s="433"/>
      <c r="NWM6" s="433"/>
      <c r="NWN6" s="433"/>
      <c r="NWO6" s="433"/>
      <c r="NWP6" s="433"/>
      <c r="NWQ6" s="433"/>
      <c r="NWR6" s="433"/>
      <c r="NWS6" s="433"/>
      <c r="NWT6" s="433"/>
      <c r="NWU6" s="433"/>
      <c r="NWV6" s="433"/>
      <c r="NWW6" s="433"/>
      <c r="NWX6" s="433"/>
      <c r="NWY6" s="433"/>
      <c r="NWZ6" s="433"/>
      <c r="NXA6" s="433"/>
      <c r="NXB6" s="433"/>
      <c r="NXC6" s="433"/>
      <c r="NXD6" s="433"/>
      <c r="NXE6" s="433"/>
      <c r="NXF6" s="433"/>
      <c r="NXG6" s="433"/>
      <c r="NXH6" s="433"/>
      <c r="NXI6" s="433"/>
      <c r="NXJ6" s="433"/>
      <c r="NXK6" s="433"/>
      <c r="NXL6" s="433"/>
      <c r="NXM6" s="433"/>
      <c r="NXN6" s="433"/>
      <c r="NXO6" s="433"/>
      <c r="NXP6" s="433"/>
      <c r="NXQ6" s="433"/>
      <c r="NXR6" s="433"/>
      <c r="NXS6" s="433"/>
      <c r="NXT6" s="433"/>
      <c r="NXU6" s="433"/>
      <c r="NXV6" s="433"/>
      <c r="NXW6" s="433"/>
      <c r="NXX6" s="433"/>
      <c r="NXY6" s="433"/>
      <c r="NXZ6" s="433"/>
      <c r="NYA6" s="433"/>
      <c r="NYB6" s="433"/>
      <c r="NYC6" s="433"/>
      <c r="NYD6" s="433"/>
      <c r="NYE6" s="433"/>
      <c r="NYF6" s="433"/>
      <c r="NYG6" s="433"/>
      <c r="NYH6" s="433"/>
      <c r="NYI6" s="433"/>
      <c r="NYJ6" s="433"/>
      <c r="NYK6" s="433"/>
      <c r="NYL6" s="433"/>
      <c r="NYM6" s="433"/>
      <c r="NYN6" s="433"/>
      <c r="NYO6" s="433"/>
      <c r="NYP6" s="433"/>
      <c r="NYQ6" s="433"/>
      <c r="NYR6" s="433"/>
      <c r="NYS6" s="433"/>
      <c r="NYT6" s="433"/>
      <c r="NYU6" s="433"/>
      <c r="NYV6" s="433"/>
      <c r="NYW6" s="433"/>
      <c r="NYX6" s="433"/>
      <c r="NYY6" s="433"/>
      <c r="NYZ6" s="433"/>
      <c r="NZA6" s="433"/>
      <c r="NZB6" s="433"/>
      <c r="NZC6" s="433"/>
      <c r="NZD6" s="433"/>
      <c r="NZE6" s="433"/>
      <c r="NZF6" s="433"/>
      <c r="NZG6" s="433"/>
      <c r="NZH6" s="433"/>
      <c r="NZI6" s="433"/>
      <c r="NZJ6" s="433"/>
      <c r="NZK6" s="433"/>
      <c r="NZL6" s="433"/>
      <c r="NZM6" s="433"/>
      <c r="NZN6" s="433"/>
      <c r="NZO6" s="433"/>
      <c r="NZP6" s="433"/>
      <c r="NZQ6" s="433"/>
      <c r="NZR6" s="433"/>
      <c r="NZS6" s="433"/>
      <c r="NZT6" s="433"/>
      <c r="NZU6" s="433"/>
      <c r="NZV6" s="433"/>
      <c r="NZW6" s="433"/>
      <c r="NZX6" s="433"/>
      <c r="NZY6" s="433"/>
      <c r="NZZ6" s="433"/>
      <c r="OAA6" s="433"/>
      <c r="OAB6" s="433"/>
      <c r="OAC6" s="433"/>
      <c r="OAD6" s="433"/>
      <c r="OAE6" s="433"/>
      <c r="OAF6" s="433"/>
      <c r="OAG6" s="433"/>
      <c r="OAH6" s="433"/>
      <c r="OAI6" s="433"/>
      <c r="OAJ6" s="433"/>
      <c r="OAK6" s="433"/>
      <c r="OAL6" s="433"/>
      <c r="OAM6" s="433"/>
      <c r="OAN6" s="433"/>
      <c r="OAO6" s="433"/>
      <c r="OAP6" s="433"/>
      <c r="OAQ6" s="433"/>
      <c r="OAR6" s="433"/>
      <c r="OAS6" s="433"/>
      <c r="OAT6" s="433"/>
      <c r="OAU6" s="433"/>
      <c r="OAV6" s="433"/>
      <c r="OAW6" s="433"/>
      <c r="OAX6" s="433"/>
      <c r="OAY6" s="433"/>
      <c r="OAZ6" s="433"/>
      <c r="OBA6" s="433"/>
      <c r="OBB6" s="433"/>
      <c r="OBC6" s="433"/>
      <c r="OBD6" s="433"/>
      <c r="OBE6" s="433"/>
      <c r="OBF6" s="433"/>
      <c r="OBG6" s="433"/>
      <c r="OBH6" s="433"/>
      <c r="OBI6" s="433"/>
      <c r="OBJ6" s="433"/>
      <c r="OBK6" s="433"/>
      <c r="OBL6" s="433"/>
      <c r="OBM6" s="433"/>
      <c r="OBN6" s="433"/>
      <c r="OBO6" s="433"/>
      <c r="OBP6" s="433"/>
      <c r="OBQ6" s="433"/>
      <c r="OBR6" s="433"/>
      <c r="OBS6" s="433"/>
      <c r="OBT6" s="433"/>
      <c r="OBU6" s="433"/>
      <c r="OBV6" s="433"/>
      <c r="OBW6" s="433"/>
      <c r="OBX6" s="433"/>
      <c r="OBY6" s="433"/>
      <c r="OBZ6" s="433"/>
      <c r="OCA6" s="433"/>
      <c r="OCB6" s="433"/>
      <c r="OCC6" s="433"/>
      <c r="OCD6" s="433"/>
      <c r="OCE6" s="433"/>
      <c r="OCF6" s="433"/>
      <c r="OCG6" s="433"/>
      <c r="OCH6" s="433"/>
      <c r="OCI6" s="433"/>
      <c r="OCJ6" s="433"/>
      <c r="OCK6" s="433"/>
      <c r="OCL6" s="433"/>
      <c r="OCM6" s="433"/>
      <c r="OCN6" s="433"/>
      <c r="OCO6" s="433"/>
      <c r="OCP6" s="433"/>
      <c r="OCQ6" s="433"/>
      <c r="OCR6" s="433"/>
      <c r="OCS6" s="433"/>
      <c r="OCT6" s="433"/>
      <c r="OCU6" s="433"/>
      <c r="OCV6" s="433"/>
      <c r="OCW6" s="433"/>
      <c r="OCX6" s="433"/>
      <c r="OCY6" s="433"/>
      <c r="OCZ6" s="433"/>
      <c r="ODA6" s="433"/>
      <c r="ODB6" s="433"/>
      <c r="ODC6" s="433"/>
      <c r="ODD6" s="433"/>
      <c r="ODE6" s="433"/>
      <c r="ODF6" s="433"/>
      <c r="ODG6" s="433"/>
      <c r="ODH6" s="433"/>
      <c r="ODI6" s="433"/>
      <c r="ODJ6" s="433"/>
      <c r="ODK6" s="433"/>
      <c r="ODL6" s="433"/>
      <c r="ODM6" s="433"/>
      <c r="ODN6" s="433"/>
      <c r="ODO6" s="433"/>
      <c r="ODP6" s="433"/>
      <c r="ODQ6" s="433"/>
      <c r="ODR6" s="433"/>
      <c r="ODS6" s="433"/>
      <c r="ODT6" s="433"/>
      <c r="ODU6" s="433"/>
      <c r="ODV6" s="433"/>
      <c r="ODW6" s="433"/>
      <c r="ODX6" s="433"/>
      <c r="ODY6" s="433"/>
      <c r="ODZ6" s="433"/>
      <c r="OEA6" s="433"/>
      <c r="OEB6" s="433"/>
      <c r="OEC6" s="433"/>
      <c r="OED6" s="433"/>
      <c r="OEE6" s="433"/>
      <c r="OEF6" s="433"/>
      <c r="OEG6" s="433"/>
      <c r="OEH6" s="433"/>
      <c r="OEI6" s="433"/>
      <c r="OEJ6" s="433"/>
      <c r="OEK6" s="433"/>
      <c r="OEL6" s="433"/>
      <c r="OEM6" s="433"/>
      <c r="OEN6" s="433"/>
      <c r="OEO6" s="433"/>
      <c r="OEP6" s="433"/>
      <c r="OEQ6" s="433"/>
      <c r="OER6" s="433"/>
      <c r="OES6" s="433"/>
      <c r="OET6" s="433"/>
      <c r="OEU6" s="433"/>
      <c r="OEV6" s="433"/>
      <c r="OEW6" s="433"/>
      <c r="OEX6" s="433"/>
      <c r="OEY6" s="433"/>
      <c r="OEZ6" s="433"/>
      <c r="OFA6" s="433"/>
      <c r="OFB6" s="433"/>
      <c r="OFC6" s="433"/>
      <c r="OFD6" s="433"/>
      <c r="OFE6" s="433"/>
      <c r="OFF6" s="433"/>
      <c r="OFG6" s="433"/>
      <c r="OFH6" s="433"/>
      <c r="OFI6" s="433"/>
      <c r="OFJ6" s="433"/>
      <c r="OFK6" s="433"/>
      <c r="OFL6" s="433"/>
      <c r="OFM6" s="433"/>
      <c r="OFN6" s="433"/>
      <c r="OFO6" s="433"/>
      <c r="OFP6" s="433"/>
      <c r="OFQ6" s="433"/>
      <c r="OFR6" s="433"/>
      <c r="OFS6" s="433"/>
      <c r="OFT6" s="433"/>
      <c r="OFU6" s="433"/>
      <c r="OFV6" s="433"/>
      <c r="OFW6" s="433"/>
      <c r="OFX6" s="433"/>
      <c r="OFY6" s="433"/>
      <c r="OFZ6" s="433"/>
      <c r="OGA6" s="433"/>
      <c r="OGB6" s="433"/>
      <c r="OGC6" s="433"/>
      <c r="OGD6" s="433"/>
      <c r="OGE6" s="433"/>
      <c r="OGF6" s="433"/>
      <c r="OGG6" s="433"/>
      <c r="OGH6" s="433"/>
      <c r="OGI6" s="433"/>
      <c r="OGJ6" s="433"/>
      <c r="OGK6" s="433"/>
      <c r="OGL6" s="433"/>
      <c r="OGM6" s="433"/>
      <c r="OGN6" s="433"/>
      <c r="OGO6" s="433"/>
      <c r="OGP6" s="433"/>
      <c r="OGQ6" s="433"/>
      <c r="OGR6" s="433"/>
      <c r="OGS6" s="433"/>
      <c r="OGT6" s="433"/>
      <c r="OGU6" s="433"/>
      <c r="OGV6" s="433"/>
      <c r="OGW6" s="433"/>
      <c r="OGX6" s="433"/>
      <c r="OGY6" s="433"/>
      <c r="OGZ6" s="433"/>
      <c r="OHA6" s="433"/>
      <c r="OHB6" s="433"/>
      <c r="OHC6" s="433"/>
      <c r="OHD6" s="433"/>
      <c r="OHE6" s="433"/>
      <c r="OHF6" s="433"/>
      <c r="OHG6" s="433"/>
      <c r="OHH6" s="433"/>
      <c r="OHI6" s="433"/>
      <c r="OHJ6" s="433"/>
      <c r="OHK6" s="433"/>
      <c r="OHL6" s="433"/>
      <c r="OHM6" s="433"/>
      <c r="OHN6" s="433"/>
      <c r="OHO6" s="433"/>
      <c r="OHP6" s="433"/>
      <c r="OHQ6" s="433"/>
      <c r="OHR6" s="433"/>
      <c r="OHS6" s="433"/>
      <c r="OHT6" s="433"/>
      <c r="OHU6" s="433"/>
      <c r="OHV6" s="433"/>
      <c r="OHW6" s="433"/>
      <c r="OHX6" s="433"/>
      <c r="OHY6" s="433"/>
      <c r="OHZ6" s="433"/>
      <c r="OIA6" s="433"/>
      <c r="OIB6" s="433"/>
      <c r="OIC6" s="433"/>
      <c r="OID6" s="433"/>
      <c r="OIE6" s="433"/>
      <c r="OIF6" s="433"/>
      <c r="OIG6" s="433"/>
      <c r="OIH6" s="433"/>
      <c r="OII6" s="433"/>
      <c r="OIJ6" s="433"/>
      <c r="OIK6" s="433"/>
      <c r="OIL6" s="433"/>
      <c r="OIM6" s="433"/>
      <c r="OIN6" s="433"/>
      <c r="OIO6" s="433"/>
      <c r="OIP6" s="433"/>
      <c r="OIQ6" s="433"/>
      <c r="OIR6" s="433"/>
      <c r="OIS6" s="433"/>
      <c r="OIT6" s="433"/>
      <c r="OIU6" s="433"/>
      <c r="OIV6" s="433"/>
      <c r="OIW6" s="433"/>
      <c r="OIX6" s="433"/>
      <c r="OIY6" s="433"/>
      <c r="OIZ6" s="433"/>
      <c r="OJA6" s="433"/>
      <c r="OJB6" s="433"/>
      <c r="OJC6" s="433"/>
      <c r="OJD6" s="433"/>
      <c r="OJE6" s="433"/>
      <c r="OJF6" s="433"/>
      <c r="OJG6" s="433"/>
      <c r="OJH6" s="433"/>
      <c r="OJI6" s="433"/>
      <c r="OJJ6" s="433"/>
      <c r="OJK6" s="433"/>
      <c r="OJL6" s="433"/>
      <c r="OJM6" s="433"/>
      <c r="OJN6" s="433"/>
      <c r="OJO6" s="433"/>
      <c r="OJP6" s="433"/>
      <c r="OJQ6" s="433"/>
      <c r="OJR6" s="433"/>
      <c r="OJS6" s="433"/>
      <c r="OJT6" s="433"/>
      <c r="OJU6" s="433"/>
      <c r="OJV6" s="433"/>
      <c r="OJW6" s="433"/>
      <c r="OJX6" s="433"/>
      <c r="OJY6" s="433"/>
      <c r="OJZ6" s="433"/>
      <c r="OKA6" s="433"/>
      <c r="OKB6" s="433"/>
      <c r="OKC6" s="433"/>
      <c r="OKD6" s="433"/>
      <c r="OKE6" s="433"/>
      <c r="OKF6" s="433"/>
      <c r="OKG6" s="433"/>
      <c r="OKH6" s="433"/>
      <c r="OKI6" s="433"/>
      <c r="OKJ6" s="433"/>
      <c r="OKK6" s="433"/>
      <c r="OKL6" s="433"/>
      <c r="OKM6" s="433"/>
      <c r="OKN6" s="433"/>
      <c r="OKO6" s="433"/>
      <c r="OKP6" s="433"/>
      <c r="OKQ6" s="433"/>
      <c r="OKR6" s="433"/>
      <c r="OKS6" s="433"/>
      <c r="OKT6" s="433"/>
      <c r="OKU6" s="433"/>
      <c r="OKV6" s="433"/>
      <c r="OKW6" s="433"/>
      <c r="OKX6" s="433"/>
      <c r="OKY6" s="433"/>
      <c r="OKZ6" s="433"/>
      <c r="OLA6" s="433"/>
      <c r="OLB6" s="433"/>
      <c r="OLC6" s="433"/>
      <c r="OLD6" s="433"/>
      <c r="OLE6" s="433"/>
      <c r="OLF6" s="433"/>
      <c r="OLG6" s="433"/>
      <c r="OLH6" s="433"/>
      <c r="OLI6" s="433"/>
      <c r="OLJ6" s="433"/>
      <c r="OLK6" s="433"/>
      <c r="OLL6" s="433"/>
      <c r="OLM6" s="433"/>
      <c r="OLN6" s="433"/>
      <c r="OLO6" s="433"/>
      <c r="OLP6" s="433"/>
      <c r="OLQ6" s="433"/>
      <c r="OLR6" s="433"/>
      <c r="OLS6" s="433"/>
      <c r="OLT6" s="433"/>
      <c r="OLU6" s="433"/>
      <c r="OLV6" s="433"/>
      <c r="OLW6" s="433"/>
      <c r="OLX6" s="433"/>
      <c r="OLY6" s="433"/>
      <c r="OLZ6" s="433"/>
      <c r="OMA6" s="433"/>
      <c r="OMB6" s="433"/>
      <c r="OMC6" s="433"/>
      <c r="OMD6" s="433"/>
      <c r="OME6" s="433"/>
      <c r="OMF6" s="433"/>
      <c r="OMG6" s="433"/>
      <c r="OMH6" s="433"/>
      <c r="OMI6" s="433"/>
      <c r="OMJ6" s="433"/>
      <c r="OMK6" s="433"/>
      <c r="OML6" s="433"/>
      <c r="OMM6" s="433"/>
      <c r="OMN6" s="433"/>
      <c r="OMO6" s="433"/>
      <c r="OMP6" s="433"/>
      <c r="OMQ6" s="433"/>
      <c r="OMR6" s="433"/>
      <c r="OMS6" s="433"/>
      <c r="OMT6" s="433"/>
      <c r="OMU6" s="433"/>
      <c r="OMV6" s="433"/>
      <c r="OMW6" s="433"/>
      <c r="OMX6" s="433"/>
      <c r="OMY6" s="433"/>
      <c r="OMZ6" s="433"/>
      <c r="ONA6" s="433"/>
      <c r="ONB6" s="433"/>
      <c r="ONC6" s="433"/>
      <c r="OND6" s="433"/>
      <c r="ONE6" s="433"/>
      <c r="ONF6" s="433"/>
      <c r="ONG6" s="433"/>
      <c r="ONH6" s="433"/>
      <c r="ONI6" s="433"/>
      <c r="ONJ6" s="433"/>
      <c r="ONK6" s="433"/>
      <c r="ONL6" s="433"/>
      <c r="ONM6" s="433"/>
      <c r="ONN6" s="433"/>
      <c r="ONO6" s="433"/>
      <c r="ONP6" s="433"/>
      <c r="ONQ6" s="433"/>
      <c r="ONR6" s="433"/>
      <c r="ONS6" s="433"/>
      <c r="ONT6" s="433"/>
      <c r="ONU6" s="433"/>
      <c r="ONV6" s="433"/>
      <c r="ONW6" s="433"/>
      <c r="ONX6" s="433"/>
      <c r="ONY6" s="433"/>
      <c r="ONZ6" s="433"/>
      <c r="OOA6" s="433"/>
      <c r="OOB6" s="433"/>
      <c r="OOC6" s="433"/>
      <c r="OOD6" s="433"/>
      <c r="OOE6" s="433"/>
      <c r="OOF6" s="433"/>
      <c r="OOG6" s="433"/>
      <c r="OOH6" s="433"/>
      <c r="OOI6" s="433"/>
      <c r="OOJ6" s="433"/>
      <c r="OOK6" s="433"/>
      <c r="OOL6" s="433"/>
      <c r="OOM6" s="433"/>
      <c r="OON6" s="433"/>
      <c r="OOO6" s="433"/>
      <c r="OOP6" s="433"/>
      <c r="OOQ6" s="433"/>
      <c r="OOR6" s="433"/>
      <c r="OOS6" s="433"/>
      <c r="OOT6" s="433"/>
      <c r="OOU6" s="433"/>
      <c r="OOV6" s="433"/>
      <c r="OOW6" s="433"/>
      <c r="OOX6" s="433"/>
      <c r="OOY6" s="433"/>
      <c r="OOZ6" s="433"/>
      <c r="OPA6" s="433"/>
      <c r="OPB6" s="433"/>
      <c r="OPC6" s="433"/>
      <c r="OPD6" s="433"/>
      <c r="OPE6" s="433"/>
      <c r="OPF6" s="433"/>
      <c r="OPG6" s="433"/>
      <c r="OPH6" s="433"/>
      <c r="OPI6" s="433"/>
      <c r="OPJ6" s="433"/>
      <c r="OPK6" s="433"/>
      <c r="OPL6" s="433"/>
      <c r="OPM6" s="433"/>
      <c r="OPN6" s="433"/>
      <c r="OPO6" s="433"/>
      <c r="OPP6" s="433"/>
      <c r="OPQ6" s="433"/>
      <c r="OPR6" s="433"/>
      <c r="OPS6" s="433"/>
      <c r="OPT6" s="433"/>
      <c r="OPU6" s="433"/>
      <c r="OPV6" s="433"/>
      <c r="OPW6" s="433"/>
      <c r="OPX6" s="433"/>
      <c r="OPY6" s="433"/>
      <c r="OPZ6" s="433"/>
      <c r="OQA6" s="433"/>
      <c r="OQB6" s="433"/>
      <c r="OQC6" s="433"/>
      <c r="OQD6" s="433"/>
      <c r="OQE6" s="433"/>
      <c r="OQF6" s="433"/>
      <c r="OQG6" s="433"/>
      <c r="OQH6" s="433"/>
      <c r="OQI6" s="433"/>
      <c r="OQJ6" s="433"/>
      <c r="OQK6" s="433"/>
      <c r="OQL6" s="433"/>
      <c r="OQM6" s="433"/>
      <c r="OQN6" s="433"/>
      <c r="OQO6" s="433"/>
      <c r="OQP6" s="433"/>
      <c r="OQQ6" s="433"/>
      <c r="OQR6" s="433"/>
      <c r="OQS6" s="433"/>
      <c r="OQT6" s="433"/>
      <c r="OQU6" s="433"/>
      <c r="OQV6" s="433"/>
      <c r="OQW6" s="433"/>
      <c r="OQX6" s="433"/>
      <c r="OQY6" s="433"/>
      <c r="OQZ6" s="433"/>
      <c r="ORA6" s="433"/>
      <c r="ORB6" s="433"/>
      <c r="ORC6" s="433"/>
      <c r="ORD6" s="433"/>
      <c r="ORE6" s="433"/>
      <c r="ORF6" s="433"/>
      <c r="ORG6" s="433"/>
      <c r="ORH6" s="433"/>
      <c r="ORI6" s="433"/>
      <c r="ORJ6" s="433"/>
      <c r="ORK6" s="433"/>
      <c r="ORL6" s="433"/>
      <c r="ORM6" s="433"/>
      <c r="ORN6" s="433"/>
      <c r="ORO6" s="433"/>
      <c r="ORP6" s="433"/>
      <c r="ORQ6" s="433"/>
      <c r="ORR6" s="433"/>
      <c r="ORS6" s="433"/>
      <c r="ORT6" s="433"/>
      <c r="ORU6" s="433"/>
      <c r="ORV6" s="433"/>
      <c r="ORW6" s="433"/>
      <c r="ORX6" s="433"/>
      <c r="ORY6" s="433"/>
      <c r="ORZ6" s="433"/>
      <c r="OSA6" s="433"/>
      <c r="OSB6" s="433"/>
      <c r="OSC6" s="433"/>
      <c r="OSD6" s="433"/>
      <c r="OSE6" s="433"/>
      <c r="OSF6" s="433"/>
      <c r="OSG6" s="433"/>
      <c r="OSH6" s="433"/>
      <c r="OSI6" s="433"/>
      <c r="OSJ6" s="433"/>
      <c r="OSK6" s="433"/>
      <c r="OSL6" s="433"/>
      <c r="OSM6" s="433"/>
      <c r="OSN6" s="433"/>
      <c r="OSO6" s="433"/>
      <c r="OSP6" s="433"/>
      <c r="OSQ6" s="433"/>
      <c r="OSR6" s="433"/>
      <c r="OSS6" s="433"/>
      <c r="OST6" s="433"/>
      <c r="OSU6" s="433"/>
      <c r="OSV6" s="433"/>
      <c r="OSW6" s="433"/>
      <c r="OSX6" s="433"/>
      <c r="OSY6" s="433"/>
      <c r="OSZ6" s="433"/>
      <c r="OTA6" s="433"/>
      <c r="OTB6" s="433"/>
      <c r="OTC6" s="433"/>
      <c r="OTD6" s="433"/>
      <c r="OTE6" s="433"/>
      <c r="OTF6" s="433"/>
      <c r="OTG6" s="433"/>
      <c r="OTH6" s="433"/>
      <c r="OTI6" s="433"/>
      <c r="OTJ6" s="433"/>
      <c r="OTK6" s="433"/>
      <c r="OTL6" s="433"/>
      <c r="OTM6" s="433"/>
      <c r="OTN6" s="433"/>
      <c r="OTO6" s="433"/>
      <c r="OTP6" s="433"/>
      <c r="OTQ6" s="433"/>
      <c r="OTR6" s="433"/>
      <c r="OTS6" s="433"/>
      <c r="OTT6" s="433"/>
      <c r="OTU6" s="433"/>
      <c r="OTV6" s="433"/>
      <c r="OTW6" s="433"/>
      <c r="OTX6" s="433"/>
      <c r="OTY6" s="433"/>
      <c r="OTZ6" s="433"/>
      <c r="OUA6" s="433"/>
      <c r="OUB6" s="433"/>
      <c r="OUC6" s="433"/>
      <c r="OUD6" s="433"/>
      <c r="OUE6" s="433"/>
      <c r="OUF6" s="433"/>
      <c r="OUG6" s="433"/>
      <c r="OUH6" s="433"/>
      <c r="OUI6" s="433"/>
      <c r="OUJ6" s="433"/>
      <c r="OUK6" s="433"/>
      <c r="OUL6" s="433"/>
      <c r="OUM6" s="433"/>
      <c r="OUN6" s="433"/>
      <c r="OUO6" s="433"/>
      <c r="OUP6" s="433"/>
      <c r="OUQ6" s="433"/>
      <c r="OUR6" s="433"/>
      <c r="OUS6" s="433"/>
      <c r="OUT6" s="433"/>
      <c r="OUU6" s="433"/>
      <c r="OUV6" s="433"/>
      <c r="OUW6" s="433"/>
      <c r="OUX6" s="433"/>
      <c r="OUY6" s="433"/>
      <c r="OUZ6" s="433"/>
      <c r="OVA6" s="433"/>
      <c r="OVB6" s="433"/>
      <c r="OVC6" s="433"/>
      <c r="OVD6" s="433"/>
      <c r="OVE6" s="433"/>
      <c r="OVF6" s="433"/>
      <c r="OVG6" s="433"/>
      <c r="OVH6" s="433"/>
      <c r="OVI6" s="433"/>
      <c r="OVJ6" s="433"/>
      <c r="OVK6" s="433"/>
      <c r="OVL6" s="433"/>
      <c r="OVM6" s="433"/>
      <c r="OVN6" s="433"/>
      <c r="OVO6" s="433"/>
      <c r="OVP6" s="433"/>
      <c r="OVQ6" s="433"/>
      <c r="OVR6" s="433"/>
      <c r="OVS6" s="433"/>
      <c r="OVT6" s="433"/>
      <c r="OVU6" s="433"/>
      <c r="OVV6" s="433"/>
      <c r="OVW6" s="433"/>
      <c r="OVX6" s="433"/>
      <c r="OVY6" s="433"/>
      <c r="OVZ6" s="433"/>
      <c r="OWA6" s="433"/>
      <c r="OWB6" s="433"/>
      <c r="OWC6" s="433"/>
      <c r="OWD6" s="433"/>
      <c r="OWE6" s="433"/>
      <c r="OWF6" s="433"/>
      <c r="OWG6" s="433"/>
      <c r="OWH6" s="433"/>
      <c r="OWI6" s="433"/>
      <c r="OWJ6" s="433"/>
      <c r="OWK6" s="433"/>
      <c r="OWL6" s="433"/>
      <c r="OWM6" s="433"/>
      <c r="OWN6" s="433"/>
      <c r="OWO6" s="433"/>
      <c r="OWP6" s="433"/>
      <c r="OWQ6" s="433"/>
      <c r="OWR6" s="433"/>
      <c r="OWS6" s="433"/>
      <c r="OWT6" s="433"/>
      <c r="OWU6" s="433"/>
      <c r="OWV6" s="433"/>
      <c r="OWW6" s="433"/>
      <c r="OWX6" s="433"/>
      <c r="OWY6" s="433"/>
      <c r="OWZ6" s="433"/>
      <c r="OXA6" s="433"/>
      <c r="OXB6" s="433"/>
      <c r="OXC6" s="433"/>
      <c r="OXD6" s="433"/>
      <c r="OXE6" s="433"/>
      <c r="OXF6" s="433"/>
      <c r="OXG6" s="433"/>
      <c r="OXH6" s="433"/>
      <c r="OXI6" s="433"/>
      <c r="OXJ6" s="433"/>
      <c r="OXK6" s="433"/>
      <c r="OXL6" s="433"/>
      <c r="OXM6" s="433"/>
      <c r="OXN6" s="433"/>
      <c r="OXO6" s="433"/>
      <c r="OXP6" s="433"/>
      <c r="OXQ6" s="433"/>
      <c r="OXR6" s="433"/>
      <c r="OXS6" s="433"/>
      <c r="OXT6" s="433"/>
      <c r="OXU6" s="433"/>
      <c r="OXV6" s="433"/>
      <c r="OXW6" s="433"/>
      <c r="OXX6" s="433"/>
      <c r="OXY6" s="433"/>
      <c r="OXZ6" s="433"/>
      <c r="OYA6" s="433"/>
      <c r="OYB6" s="433"/>
      <c r="OYC6" s="433"/>
      <c r="OYD6" s="433"/>
      <c r="OYE6" s="433"/>
      <c r="OYF6" s="433"/>
      <c r="OYG6" s="433"/>
      <c r="OYH6" s="433"/>
      <c r="OYI6" s="433"/>
      <c r="OYJ6" s="433"/>
      <c r="OYK6" s="433"/>
      <c r="OYL6" s="433"/>
      <c r="OYM6" s="433"/>
      <c r="OYN6" s="433"/>
      <c r="OYO6" s="433"/>
      <c r="OYP6" s="433"/>
      <c r="OYQ6" s="433"/>
      <c r="OYR6" s="433"/>
      <c r="OYS6" s="433"/>
      <c r="OYT6" s="433"/>
      <c r="OYU6" s="433"/>
      <c r="OYV6" s="433"/>
      <c r="OYW6" s="433"/>
      <c r="OYX6" s="433"/>
      <c r="OYY6" s="433"/>
      <c r="OYZ6" s="433"/>
      <c r="OZA6" s="433"/>
      <c r="OZB6" s="433"/>
      <c r="OZC6" s="433"/>
      <c r="OZD6" s="433"/>
      <c r="OZE6" s="433"/>
      <c r="OZF6" s="433"/>
      <c r="OZG6" s="433"/>
      <c r="OZH6" s="433"/>
      <c r="OZI6" s="433"/>
      <c r="OZJ6" s="433"/>
      <c r="OZK6" s="433"/>
      <c r="OZL6" s="433"/>
      <c r="OZM6" s="433"/>
      <c r="OZN6" s="433"/>
      <c r="OZO6" s="433"/>
      <c r="OZP6" s="433"/>
      <c r="OZQ6" s="433"/>
      <c r="OZR6" s="433"/>
      <c r="OZS6" s="433"/>
      <c r="OZT6" s="433"/>
      <c r="OZU6" s="433"/>
      <c r="OZV6" s="433"/>
      <c r="OZW6" s="433"/>
      <c r="OZX6" s="433"/>
      <c r="OZY6" s="433"/>
      <c r="OZZ6" s="433"/>
      <c r="PAA6" s="433"/>
      <c r="PAB6" s="433"/>
      <c r="PAC6" s="433"/>
      <c r="PAD6" s="433"/>
      <c r="PAE6" s="433"/>
      <c r="PAF6" s="433"/>
      <c r="PAG6" s="433"/>
      <c r="PAH6" s="433"/>
      <c r="PAI6" s="433"/>
      <c r="PAJ6" s="433"/>
      <c r="PAK6" s="433"/>
      <c r="PAL6" s="433"/>
      <c r="PAM6" s="433"/>
      <c r="PAN6" s="433"/>
      <c r="PAO6" s="433"/>
      <c r="PAP6" s="433"/>
      <c r="PAQ6" s="433"/>
      <c r="PAR6" s="433"/>
      <c r="PAS6" s="433"/>
      <c r="PAT6" s="433"/>
      <c r="PAU6" s="433"/>
      <c r="PAV6" s="433"/>
      <c r="PAW6" s="433"/>
      <c r="PAX6" s="433"/>
      <c r="PAY6" s="433"/>
      <c r="PAZ6" s="433"/>
      <c r="PBA6" s="433"/>
      <c r="PBB6" s="433"/>
      <c r="PBC6" s="433"/>
      <c r="PBD6" s="433"/>
      <c r="PBE6" s="433"/>
      <c r="PBF6" s="433"/>
      <c r="PBG6" s="433"/>
      <c r="PBH6" s="433"/>
      <c r="PBI6" s="433"/>
      <c r="PBJ6" s="433"/>
      <c r="PBK6" s="433"/>
      <c r="PBL6" s="433"/>
      <c r="PBM6" s="433"/>
      <c r="PBN6" s="433"/>
      <c r="PBO6" s="433"/>
      <c r="PBP6" s="433"/>
      <c r="PBQ6" s="433"/>
      <c r="PBR6" s="433"/>
      <c r="PBS6" s="433"/>
      <c r="PBT6" s="433"/>
      <c r="PBU6" s="433"/>
      <c r="PBV6" s="433"/>
      <c r="PBW6" s="433"/>
      <c r="PBX6" s="433"/>
      <c r="PBY6" s="433"/>
      <c r="PBZ6" s="433"/>
      <c r="PCA6" s="433"/>
      <c r="PCB6" s="433"/>
      <c r="PCC6" s="433"/>
      <c r="PCD6" s="433"/>
      <c r="PCE6" s="433"/>
      <c r="PCF6" s="433"/>
      <c r="PCG6" s="433"/>
      <c r="PCH6" s="433"/>
      <c r="PCI6" s="433"/>
      <c r="PCJ6" s="433"/>
      <c r="PCK6" s="433"/>
      <c r="PCL6" s="433"/>
      <c r="PCM6" s="433"/>
      <c r="PCN6" s="433"/>
      <c r="PCO6" s="433"/>
      <c r="PCP6" s="433"/>
      <c r="PCQ6" s="433"/>
      <c r="PCR6" s="433"/>
      <c r="PCS6" s="433"/>
      <c r="PCT6" s="433"/>
      <c r="PCU6" s="433"/>
      <c r="PCV6" s="433"/>
      <c r="PCW6" s="433"/>
      <c r="PCX6" s="433"/>
      <c r="PCY6" s="433"/>
      <c r="PCZ6" s="433"/>
      <c r="PDA6" s="433"/>
      <c r="PDB6" s="433"/>
      <c r="PDC6" s="433"/>
      <c r="PDD6" s="433"/>
      <c r="PDE6" s="433"/>
      <c r="PDF6" s="433"/>
      <c r="PDG6" s="433"/>
      <c r="PDH6" s="433"/>
      <c r="PDI6" s="433"/>
      <c r="PDJ6" s="433"/>
      <c r="PDK6" s="433"/>
      <c r="PDL6" s="433"/>
      <c r="PDM6" s="433"/>
      <c r="PDN6" s="433"/>
      <c r="PDO6" s="433"/>
      <c r="PDP6" s="433"/>
      <c r="PDQ6" s="433"/>
      <c r="PDR6" s="433"/>
      <c r="PDS6" s="433"/>
      <c r="PDT6" s="433"/>
      <c r="PDU6" s="433"/>
      <c r="PDV6" s="433"/>
      <c r="PDW6" s="433"/>
      <c r="PDX6" s="433"/>
      <c r="PDY6" s="433"/>
      <c r="PDZ6" s="433"/>
      <c r="PEA6" s="433"/>
      <c r="PEB6" s="433"/>
      <c r="PEC6" s="433"/>
      <c r="PED6" s="433"/>
      <c r="PEE6" s="433"/>
      <c r="PEF6" s="433"/>
      <c r="PEG6" s="433"/>
      <c r="PEH6" s="433"/>
      <c r="PEI6" s="433"/>
      <c r="PEJ6" s="433"/>
      <c r="PEK6" s="433"/>
      <c r="PEL6" s="433"/>
      <c r="PEM6" s="433"/>
      <c r="PEN6" s="433"/>
      <c r="PEO6" s="433"/>
      <c r="PEP6" s="433"/>
      <c r="PEQ6" s="433"/>
      <c r="PER6" s="433"/>
      <c r="PES6" s="433"/>
      <c r="PET6" s="433"/>
      <c r="PEU6" s="433"/>
      <c r="PEV6" s="433"/>
      <c r="PEW6" s="433"/>
      <c r="PEX6" s="433"/>
      <c r="PEY6" s="433"/>
      <c r="PEZ6" s="433"/>
      <c r="PFA6" s="433"/>
      <c r="PFB6" s="433"/>
      <c r="PFC6" s="433"/>
      <c r="PFD6" s="433"/>
      <c r="PFE6" s="433"/>
      <c r="PFF6" s="433"/>
      <c r="PFG6" s="433"/>
      <c r="PFH6" s="433"/>
      <c r="PFI6" s="433"/>
      <c r="PFJ6" s="433"/>
      <c r="PFK6" s="433"/>
      <c r="PFL6" s="433"/>
      <c r="PFM6" s="433"/>
      <c r="PFN6" s="433"/>
      <c r="PFO6" s="433"/>
      <c r="PFP6" s="433"/>
      <c r="PFQ6" s="433"/>
      <c r="PFR6" s="433"/>
      <c r="PFS6" s="433"/>
      <c r="PFT6" s="433"/>
      <c r="PFU6" s="433"/>
      <c r="PFV6" s="433"/>
      <c r="PFW6" s="433"/>
      <c r="PFX6" s="433"/>
      <c r="PFY6" s="433"/>
      <c r="PFZ6" s="433"/>
      <c r="PGA6" s="433"/>
      <c r="PGB6" s="433"/>
      <c r="PGC6" s="433"/>
      <c r="PGD6" s="433"/>
      <c r="PGE6" s="433"/>
      <c r="PGF6" s="433"/>
      <c r="PGG6" s="433"/>
      <c r="PGH6" s="433"/>
      <c r="PGI6" s="433"/>
      <c r="PGJ6" s="433"/>
      <c r="PGK6" s="433"/>
      <c r="PGL6" s="433"/>
      <c r="PGM6" s="433"/>
      <c r="PGN6" s="433"/>
      <c r="PGO6" s="433"/>
      <c r="PGP6" s="433"/>
      <c r="PGQ6" s="433"/>
      <c r="PGR6" s="433"/>
      <c r="PGS6" s="433"/>
      <c r="PGT6" s="433"/>
      <c r="PGU6" s="433"/>
      <c r="PGV6" s="433"/>
      <c r="PGW6" s="433"/>
      <c r="PGX6" s="433"/>
      <c r="PGY6" s="433"/>
      <c r="PGZ6" s="433"/>
      <c r="PHA6" s="433"/>
      <c r="PHB6" s="433"/>
      <c r="PHC6" s="433"/>
      <c r="PHD6" s="433"/>
      <c r="PHE6" s="433"/>
      <c r="PHF6" s="433"/>
      <c r="PHG6" s="433"/>
      <c r="PHH6" s="433"/>
      <c r="PHI6" s="433"/>
      <c r="PHJ6" s="433"/>
      <c r="PHK6" s="433"/>
      <c r="PHL6" s="433"/>
      <c r="PHM6" s="433"/>
      <c r="PHN6" s="433"/>
      <c r="PHO6" s="433"/>
      <c r="PHP6" s="433"/>
      <c r="PHQ6" s="433"/>
      <c r="PHR6" s="433"/>
      <c r="PHS6" s="433"/>
      <c r="PHT6" s="433"/>
      <c r="PHU6" s="433"/>
      <c r="PHV6" s="433"/>
      <c r="PHW6" s="433"/>
      <c r="PHX6" s="433"/>
      <c r="PHY6" s="433"/>
      <c r="PHZ6" s="433"/>
      <c r="PIA6" s="433"/>
      <c r="PIB6" s="433"/>
      <c r="PIC6" s="433"/>
      <c r="PID6" s="433"/>
      <c r="PIE6" s="433"/>
      <c r="PIF6" s="433"/>
      <c r="PIG6" s="433"/>
      <c r="PIH6" s="433"/>
      <c r="PII6" s="433"/>
      <c r="PIJ6" s="433"/>
      <c r="PIK6" s="433"/>
      <c r="PIL6" s="433"/>
      <c r="PIM6" s="433"/>
      <c r="PIN6" s="433"/>
      <c r="PIO6" s="433"/>
      <c r="PIP6" s="433"/>
      <c r="PIQ6" s="433"/>
      <c r="PIR6" s="433"/>
      <c r="PIS6" s="433"/>
      <c r="PIT6" s="433"/>
      <c r="PIU6" s="433"/>
      <c r="PIV6" s="433"/>
      <c r="PIW6" s="433"/>
      <c r="PIX6" s="433"/>
      <c r="PIY6" s="433"/>
      <c r="PIZ6" s="433"/>
      <c r="PJA6" s="433"/>
      <c r="PJB6" s="433"/>
      <c r="PJC6" s="433"/>
      <c r="PJD6" s="433"/>
      <c r="PJE6" s="433"/>
      <c r="PJF6" s="433"/>
      <c r="PJG6" s="433"/>
      <c r="PJH6" s="433"/>
      <c r="PJI6" s="433"/>
      <c r="PJJ6" s="433"/>
      <c r="PJK6" s="433"/>
      <c r="PJL6" s="433"/>
      <c r="PJM6" s="433"/>
      <c r="PJN6" s="433"/>
      <c r="PJO6" s="433"/>
      <c r="PJP6" s="433"/>
      <c r="PJQ6" s="433"/>
      <c r="PJR6" s="433"/>
      <c r="PJS6" s="433"/>
      <c r="PJT6" s="433"/>
      <c r="PJU6" s="433"/>
      <c r="PJV6" s="433"/>
      <c r="PJW6" s="433"/>
      <c r="PJX6" s="433"/>
      <c r="PJY6" s="433"/>
      <c r="PJZ6" s="433"/>
      <c r="PKA6" s="433"/>
      <c r="PKB6" s="433"/>
      <c r="PKC6" s="433"/>
      <c r="PKD6" s="433"/>
      <c r="PKE6" s="433"/>
      <c r="PKF6" s="433"/>
      <c r="PKG6" s="433"/>
      <c r="PKH6" s="433"/>
      <c r="PKI6" s="433"/>
      <c r="PKJ6" s="433"/>
      <c r="PKK6" s="433"/>
      <c r="PKL6" s="433"/>
      <c r="PKM6" s="433"/>
      <c r="PKN6" s="433"/>
      <c r="PKO6" s="433"/>
      <c r="PKP6" s="433"/>
      <c r="PKQ6" s="433"/>
      <c r="PKR6" s="433"/>
      <c r="PKS6" s="433"/>
      <c r="PKT6" s="433"/>
      <c r="PKU6" s="433"/>
      <c r="PKV6" s="433"/>
      <c r="PKW6" s="433"/>
      <c r="PKX6" s="433"/>
      <c r="PKY6" s="433"/>
      <c r="PKZ6" s="433"/>
      <c r="PLA6" s="433"/>
      <c r="PLB6" s="433"/>
      <c r="PLC6" s="433"/>
      <c r="PLD6" s="433"/>
      <c r="PLE6" s="433"/>
      <c r="PLF6" s="433"/>
      <c r="PLG6" s="433"/>
      <c r="PLH6" s="433"/>
      <c r="PLI6" s="433"/>
      <c r="PLJ6" s="433"/>
      <c r="PLK6" s="433"/>
      <c r="PLL6" s="433"/>
      <c r="PLM6" s="433"/>
      <c r="PLN6" s="433"/>
      <c r="PLO6" s="433"/>
      <c r="PLP6" s="433"/>
      <c r="PLQ6" s="433"/>
      <c r="PLR6" s="433"/>
      <c r="PLS6" s="433"/>
      <c r="PLT6" s="433"/>
      <c r="PLU6" s="433"/>
      <c r="PLV6" s="433"/>
      <c r="PLW6" s="433"/>
      <c r="PLX6" s="433"/>
      <c r="PLY6" s="433"/>
      <c r="PLZ6" s="433"/>
      <c r="PMA6" s="433"/>
      <c r="PMB6" s="433"/>
      <c r="PMC6" s="433"/>
      <c r="PMD6" s="433"/>
      <c r="PME6" s="433"/>
      <c r="PMF6" s="433"/>
      <c r="PMG6" s="433"/>
      <c r="PMH6" s="433"/>
      <c r="PMI6" s="433"/>
      <c r="PMJ6" s="433"/>
      <c r="PMK6" s="433"/>
      <c r="PML6" s="433"/>
      <c r="PMM6" s="433"/>
      <c r="PMN6" s="433"/>
      <c r="PMO6" s="433"/>
      <c r="PMP6" s="433"/>
      <c r="PMQ6" s="433"/>
      <c r="PMR6" s="433"/>
      <c r="PMS6" s="433"/>
      <c r="PMT6" s="433"/>
      <c r="PMU6" s="433"/>
      <c r="PMV6" s="433"/>
      <c r="PMW6" s="433"/>
      <c r="PMX6" s="433"/>
      <c r="PMY6" s="433"/>
      <c r="PMZ6" s="433"/>
      <c r="PNA6" s="433"/>
      <c r="PNB6" s="433"/>
      <c r="PNC6" s="433"/>
      <c r="PND6" s="433"/>
      <c r="PNE6" s="433"/>
      <c r="PNF6" s="433"/>
      <c r="PNG6" s="433"/>
      <c r="PNH6" s="433"/>
      <c r="PNI6" s="433"/>
      <c r="PNJ6" s="433"/>
      <c r="PNK6" s="433"/>
      <c r="PNL6" s="433"/>
      <c r="PNM6" s="433"/>
      <c r="PNN6" s="433"/>
      <c r="PNO6" s="433"/>
      <c r="PNP6" s="433"/>
      <c r="PNQ6" s="433"/>
      <c r="PNR6" s="433"/>
      <c r="PNS6" s="433"/>
      <c r="PNT6" s="433"/>
      <c r="PNU6" s="433"/>
      <c r="PNV6" s="433"/>
      <c r="PNW6" s="433"/>
      <c r="PNX6" s="433"/>
      <c r="PNY6" s="433"/>
      <c r="PNZ6" s="433"/>
      <c r="POA6" s="433"/>
      <c r="POB6" s="433"/>
      <c r="POC6" s="433"/>
      <c r="POD6" s="433"/>
      <c r="POE6" s="433"/>
      <c r="POF6" s="433"/>
      <c r="POG6" s="433"/>
      <c r="POH6" s="433"/>
      <c r="POI6" s="433"/>
      <c r="POJ6" s="433"/>
      <c r="POK6" s="433"/>
      <c r="POL6" s="433"/>
      <c r="POM6" s="433"/>
      <c r="PON6" s="433"/>
      <c r="POO6" s="433"/>
      <c r="POP6" s="433"/>
      <c r="POQ6" s="433"/>
      <c r="POR6" s="433"/>
      <c r="POS6" s="433"/>
      <c r="POT6" s="433"/>
      <c r="POU6" s="433"/>
      <c r="POV6" s="433"/>
      <c r="POW6" s="433"/>
      <c r="POX6" s="433"/>
      <c r="POY6" s="433"/>
      <c r="POZ6" s="433"/>
      <c r="PPA6" s="433"/>
      <c r="PPB6" s="433"/>
      <c r="PPC6" s="433"/>
      <c r="PPD6" s="433"/>
      <c r="PPE6" s="433"/>
      <c r="PPF6" s="433"/>
      <c r="PPG6" s="433"/>
      <c r="PPH6" s="433"/>
      <c r="PPI6" s="433"/>
      <c r="PPJ6" s="433"/>
      <c r="PPK6" s="433"/>
      <c r="PPL6" s="433"/>
      <c r="PPM6" s="433"/>
      <c r="PPN6" s="433"/>
      <c r="PPO6" s="433"/>
      <c r="PPP6" s="433"/>
      <c r="PPQ6" s="433"/>
      <c r="PPR6" s="433"/>
      <c r="PPS6" s="433"/>
      <c r="PPT6" s="433"/>
      <c r="PPU6" s="433"/>
      <c r="PPV6" s="433"/>
      <c r="PPW6" s="433"/>
      <c r="PPX6" s="433"/>
      <c r="PPY6" s="433"/>
      <c r="PPZ6" s="433"/>
      <c r="PQA6" s="433"/>
      <c r="PQB6" s="433"/>
      <c r="PQC6" s="433"/>
      <c r="PQD6" s="433"/>
      <c r="PQE6" s="433"/>
      <c r="PQF6" s="433"/>
      <c r="PQG6" s="433"/>
      <c r="PQH6" s="433"/>
      <c r="PQI6" s="433"/>
      <c r="PQJ6" s="433"/>
      <c r="PQK6" s="433"/>
      <c r="PQL6" s="433"/>
      <c r="PQM6" s="433"/>
      <c r="PQN6" s="433"/>
      <c r="PQO6" s="433"/>
      <c r="PQP6" s="433"/>
      <c r="PQQ6" s="433"/>
      <c r="PQR6" s="433"/>
      <c r="PQS6" s="433"/>
      <c r="PQT6" s="433"/>
      <c r="PQU6" s="433"/>
      <c r="PQV6" s="433"/>
      <c r="PQW6" s="433"/>
      <c r="PQX6" s="433"/>
      <c r="PQY6" s="433"/>
      <c r="PQZ6" s="433"/>
      <c r="PRA6" s="433"/>
      <c r="PRB6" s="433"/>
      <c r="PRC6" s="433"/>
      <c r="PRD6" s="433"/>
      <c r="PRE6" s="433"/>
      <c r="PRF6" s="433"/>
      <c r="PRG6" s="433"/>
      <c r="PRH6" s="433"/>
      <c r="PRI6" s="433"/>
      <c r="PRJ6" s="433"/>
      <c r="PRK6" s="433"/>
      <c r="PRL6" s="433"/>
      <c r="PRM6" s="433"/>
      <c r="PRN6" s="433"/>
      <c r="PRO6" s="433"/>
      <c r="PRP6" s="433"/>
      <c r="PRQ6" s="433"/>
      <c r="PRR6" s="433"/>
      <c r="PRS6" s="433"/>
      <c r="PRT6" s="433"/>
      <c r="PRU6" s="433"/>
      <c r="PRV6" s="433"/>
      <c r="PRW6" s="433"/>
      <c r="PRX6" s="433"/>
      <c r="PRY6" s="433"/>
      <c r="PRZ6" s="433"/>
      <c r="PSA6" s="433"/>
      <c r="PSB6" s="433"/>
      <c r="PSC6" s="433"/>
      <c r="PSD6" s="433"/>
      <c r="PSE6" s="433"/>
      <c r="PSF6" s="433"/>
      <c r="PSG6" s="433"/>
      <c r="PSH6" s="433"/>
      <c r="PSI6" s="433"/>
      <c r="PSJ6" s="433"/>
      <c r="PSK6" s="433"/>
      <c r="PSL6" s="433"/>
      <c r="PSM6" s="433"/>
      <c r="PSN6" s="433"/>
      <c r="PSO6" s="433"/>
      <c r="PSP6" s="433"/>
      <c r="PSQ6" s="433"/>
      <c r="PSR6" s="433"/>
      <c r="PSS6" s="433"/>
      <c r="PST6" s="433"/>
      <c r="PSU6" s="433"/>
      <c r="PSV6" s="433"/>
      <c r="PSW6" s="433"/>
      <c r="PSX6" s="433"/>
      <c r="PSY6" s="433"/>
      <c r="PSZ6" s="433"/>
      <c r="PTA6" s="433"/>
      <c r="PTB6" s="433"/>
      <c r="PTC6" s="433"/>
      <c r="PTD6" s="433"/>
      <c r="PTE6" s="433"/>
      <c r="PTF6" s="433"/>
      <c r="PTG6" s="433"/>
      <c r="PTH6" s="433"/>
      <c r="PTI6" s="433"/>
      <c r="PTJ6" s="433"/>
      <c r="PTK6" s="433"/>
      <c r="PTL6" s="433"/>
      <c r="PTM6" s="433"/>
      <c r="PTN6" s="433"/>
      <c r="PTO6" s="433"/>
      <c r="PTP6" s="433"/>
      <c r="PTQ6" s="433"/>
      <c r="PTR6" s="433"/>
      <c r="PTS6" s="433"/>
      <c r="PTT6" s="433"/>
      <c r="PTU6" s="433"/>
      <c r="PTV6" s="433"/>
      <c r="PTW6" s="433"/>
      <c r="PTX6" s="433"/>
      <c r="PTY6" s="433"/>
      <c r="PTZ6" s="433"/>
      <c r="PUA6" s="433"/>
      <c r="PUB6" s="433"/>
      <c r="PUC6" s="433"/>
      <c r="PUD6" s="433"/>
      <c r="PUE6" s="433"/>
      <c r="PUF6" s="433"/>
      <c r="PUG6" s="433"/>
      <c r="PUH6" s="433"/>
      <c r="PUI6" s="433"/>
      <c r="PUJ6" s="433"/>
      <c r="PUK6" s="433"/>
      <c r="PUL6" s="433"/>
      <c r="PUM6" s="433"/>
      <c r="PUN6" s="433"/>
      <c r="PUO6" s="433"/>
      <c r="PUP6" s="433"/>
      <c r="PUQ6" s="433"/>
      <c r="PUR6" s="433"/>
      <c r="PUS6" s="433"/>
      <c r="PUT6" s="433"/>
      <c r="PUU6" s="433"/>
      <c r="PUV6" s="433"/>
      <c r="PUW6" s="433"/>
      <c r="PUX6" s="433"/>
      <c r="PUY6" s="433"/>
      <c r="PUZ6" s="433"/>
      <c r="PVA6" s="433"/>
      <c r="PVB6" s="433"/>
      <c r="PVC6" s="433"/>
      <c r="PVD6" s="433"/>
      <c r="PVE6" s="433"/>
      <c r="PVF6" s="433"/>
      <c r="PVG6" s="433"/>
      <c r="PVH6" s="433"/>
      <c r="PVI6" s="433"/>
      <c r="PVJ6" s="433"/>
      <c r="PVK6" s="433"/>
      <c r="PVL6" s="433"/>
      <c r="PVM6" s="433"/>
      <c r="PVN6" s="433"/>
      <c r="PVO6" s="433"/>
      <c r="PVP6" s="433"/>
      <c r="PVQ6" s="433"/>
      <c r="PVR6" s="433"/>
      <c r="PVS6" s="433"/>
      <c r="PVT6" s="433"/>
      <c r="PVU6" s="433"/>
      <c r="PVV6" s="433"/>
      <c r="PVW6" s="433"/>
      <c r="PVX6" s="433"/>
      <c r="PVY6" s="433"/>
      <c r="PVZ6" s="433"/>
      <c r="PWA6" s="433"/>
      <c r="PWB6" s="433"/>
      <c r="PWC6" s="433"/>
      <c r="PWD6" s="433"/>
      <c r="PWE6" s="433"/>
      <c r="PWF6" s="433"/>
      <c r="PWG6" s="433"/>
      <c r="PWH6" s="433"/>
      <c r="PWI6" s="433"/>
      <c r="PWJ6" s="433"/>
      <c r="PWK6" s="433"/>
      <c r="PWL6" s="433"/>
      <c r="PWM6" s="433"/>
      <c r="PWN6" s="433"/>
      <c r="PWO6" s="433"/>
      <c r="PWP6" s="433"/>
      <c r="PWQ6" s="433"/>
      <c r="PWR6" s="433"/>
      <c r="PWS6" s="433"/>
      <c r="PWT6" s="433"/>
      <c r="PWU6" s="433"/>
      <c r="PWV6" s="433"/>
      <c r="PWW6" s="433"/>
      <c r="PWX6" s="433"/>
      <c r="PWY6" s="433"/>
      <c r="PWZ6" s="433"/>
      <c r="PXA6" s="433"/>
      <c r="PXB6" s="433"/>
      <c r="PXC6" s="433"/>
      <c r="PXD6" s="433"/>
      <c r="PXE6" s="433"/>
      <c r="PXF6" s="433"/>
      <c r="PXG6" s="433"/>
      <c r="PXH6" s="433"/>
      <c r="PXI6" s="433"/>
      <c r="PXJ6" s="433"/>
      <c r="PXK6" s="433"/>
      <c r="PXL6" s="433"/>
      <c r="PXM6" s="433"/>
      <c r="PXN6" s="433"/>
      <c r="PXO6" s="433"/>
      <c r="PXP6" s="433"/>
      <c r="PXQ6" s="433"/>
      <c r="PXR6" s="433"/>
      <c r="PXS6" s="433"/>
      <c r="PXT6" s="433"/>
      <c r="PXU6" s="433"/>
      <c r="PXV6" s="433"/>
      <c r="PXW6" s="433"/>
      <c r="PXX6" s="433"/>
      <c r="PXY6" s="433"/>
      <c r="PXZ6" s="433"/>
      <c r="PYA6" s="433"/>
      <c r="PYB6" s="433"/>
      <c r="PYC6" s="433"/>
      <c r="PYD6" s="433"/>
      <c r="PYE6" s="433"/>
      <c r="PYF6" s="433"/>
      <c r="PYG6" s="433"/>
      <c r="PYH6" s="433"/>
      <c r="PYI6" s="433"/>
      <c r="PYJ6" s="433"/>
      <c r="PYK6" s="433"/>
      <c r="PYL6" s="433"/>
      <c r="PYM6" s="433"/>
      <c r="PYN6" s="433"/>
      <c r="PYO6" s="433"/>
      <c r="PYP6" s="433"/>
      <c r="PYQ6" s="433"/>
      <c r="PYR6" s="433"/>
      <c r="PYS6" s="433"/>
      <c r="PYT6" s="433"/>
      <c r="PYU6" s="433"/>
      <c r="PYV6" s="433"/>
      <c r="PYW6" s="433"/>
      <c r="PYX6" s="433"/>
      <c r="PYY6" s="433"/>
      <c r="PYZ6" s="433"/>
      <c r="PZA6" s="433"/>
      <c r="PZB6" s="433"/>
      <c r="PZC6" s="433"/>
      <c r="PZD6" s="433"/>
      <c r="PZE6" s="433"/>
      <c r="PZF6" s="433"/>
      <c r="PZG6" s="433"/>
      <c r="PZH6" s="433"/>
      <c r="PZI6" s="433"/>
      <c r="PZJ6" s="433"/>
      <c r="PZK6" s="433"/>
      <c r="PZL6" s="433"/>
      <c r="PZM6" s="433"/>
      <c r="PZN6" s="433"/>
      <c r="PZO6" s="433"/>
      <c r="PZP6" s="433"/>
      <c r="PZQ6" s="433"/>
      <c r="PZR6" s="433"/>
      <c r="PZS6" s="433"/>
      <c r="PZT6" s="433"/>
      <c r="PZU6" s="433"/>
      <c r="PZV6" s="433"/>
      <c r="PZW6" s="433"/>
      <c r="PZX6" s="433"/>
      <c r="PZY6" s="433"/>
      <c r="PZZ6" s="433"/>
      <c r="QAA6" s="433"/>
      <c r="QAB6" s="433"/>
      <c r="QAC6" s="433"/>
      <c r="QAD6" s="433"/>
      <c r="QAE6" s="433"/>
      <c r="QAF6" s="433"/>
      <c r="QAG6" s="433"/>
      <c r="QAH6" s="433"/>
      <c r="QAI6" s="433"/>
      <c r="QAJ6" s="433"/>
      <c r="QAK6" s="433"/>
      <c r="QAL6" s="433"/>
      <c r="QAM6" s="433"/>
      <c r="QAN6" s="433"/>
      <c r="QAO6" s="433"/>
      <c r="QAP6" s="433"/>
      <c r="QAQ6" s="433"/>
      <c r="QAR6" s="433"/>
      <c r="QAS6" s="433"/>
      <c r="QAT6" s="433"/>
      <c r="QAU6" s="433"/>
      <c r="QAV6" s="433"/>
      <c r="QAW6" s="433"/>
      <c r="QAX6" s="433"/>
      <c r="QAY6" s="433"/>
      <c r="QAZ6" s="433"/>
      <c r="QBA6" s="433"/>
      <c r="QBB6" s="433"/>
      <c r="QBC6" s="433"/>
      <c r="QBD6" s="433"/>
      <c r="QBE6" s="433"/>
      <c r="QBF6" s="433"/>
      <c r="QBG6" s="433"/>
      <c r="QBH6" s="433"/>
      <c r="QBI6" s="433"/>
      <c r="QBJ6" s="433"/>
      <c r="QBK6" s="433"/>
      <c r="QBL6" s="433"/>
      <c r="QBM6" s="433"/>
      <c r="QBN6" s="433"/>
      <c r="QBO6" s="433"/>
      <c r="QBP6" s="433"/>
      <c r="QBQ6" s="433"/>
      <c r="QBR6" s="433"/>
      <c r="QBS6" s="433"/>
      <c r="QBT6" s="433"/>
      <c r="QBU6" s="433"/>
      <c r="QBV6" s="433"/>
      <c r="QBW6" s="433"/>
      <c r="QBX6" s="433"/>
      <c r="QBY6" s="433"/>
      <c r="QBZ6" s="433"/>
      <c r="QCA6" s="433"/>
      <c r="QCB6" s="433"/>
      <c r="QCC6" s="433"/>
      <c r="QCD6" s="433"/>
      <c r="QCE6" s="433"/>
      <c r="QCF6" s="433"/>
      <c r="QCG6" s="433"/>
      <c r="QCH6" s="433"/>
      <c r="QCI6" s="433"/>
      <c r="QCJ6" s="433"/>
      <c r="QCK6" s="433"/>
      <c r="QCL6" s="433"/>
      <c r="QCM6" s="433"/>
      <c r="QCN6" s="433"/>
      <c r="QCO6" s="433"/>
      <c r="QCP6" s="433"/>
      <c r="QCQ6" s="433"/>
      <c r="QCR6" s="433"/>
      <c r="QCS6" s="433"/>
      <c r="QCT6" s="433"/>
      <c r="QCU6" s="433"/>
      <c r="QCV6" s="433"/>
      <c r="QCW6" s="433"/>
      <c r="QCX6" s="433"/>
      <c r="QCY6" s="433"/>
      <c r="QCZ6" s="433"/>
      <c r="QDA6" s="433"/>
      <c r="QDB6" s="433"/>
      <c r="QDC6" s="433"/>
      <c r="QDD6" s="433"/>
      <c r="QDE6" s="433"/>
      <c r="QDF6" s="433"/>
      <c r="QDG6" s="433"/>
      <c r="QDH6" s="433"/>
      <c r="QDI6" s="433"/>
      <c r="QDJ6" s="433"/>
      <c r="QDK6" s="433"/>
      <c r="QDL6" s="433"/>
      <c r="QDM6" s="433"/>
      <c r="QDN6" s="433"/>
      <c r="QDO6" s="433"/>
      <c r="QDP6" s="433"/>
      <c r="QDQ6" s="433"/>
      <c r="QDR6" s="433"/>
      <c r="QDS6" s="433"/>
      <c r="QDT6" s="433"/>
      <c r="QDU6" s="433"/>
      <c r="QDV6" s="433"/>
      <c r="QDW6" s="433"/>
      <c r="QDX6" s="433"/>
      <c r="QDY6" s="433"/>
      <c r="QDZ6" s="433"/>
      <c r="QEA6" s="433"/>
      <c r="QEB6" s="433"/>
      <c r="QEC6" s="433"/>
      <c r="QED6" s="433"/>
      <c r="QEE6" s="433"/>
      <c r="QEF6" s="433"/>
      <c r="QEG6" s="433"/>
      <c r="QEH6" s="433"/>
      <c r="QEI6" s="433"/>
      <c r="QEJ6" s="433"/>
      <c r="QEK6" s="433"/>
      <c r="QEL6" s="433"/>
      <c r="QEM6" s="433"/>
      <c r="QEN6" s="433"/>
      <c r="QEO6" s="433"/>
      <c r="QEP6" s="433"/>
      <c r="QEQ6" s="433"/>
      <c r="QER6" s="433"/>
      <c r="QES6" s="433"/>
      <c r="QET6" s="433"/>
      <c r="QEU6" s="433"/>
      <c r="QEV6" s="433"/>
      <c r="QEW6" s="433"/>
      <c r="QEX6" s="433"/>
      <c r="QEY6" s="433"/>
      <c r="QEZ6" s="433"/>
      <c r="QFA6" s="433"/>
      <c r="QFB6" s="433"/>
      <c r="QFC6" s="433"/>
      <c r="QFD6" s="433"/>
      <c r="QFE6" s="433"/>
      <c r="QFF6" s="433"/>
      <c r="QFG6" s="433"/>
      <c r="QFH6" s="433"/>
      <c r="QFI6" s="433"/>
      <c r="QFJ6" s="433"/>
      <c r="QFK6" s="433"/>
      <c r="QFL6" s="433"/>
      <c r="QFM6" s="433"/>
      <c r="QFN6" s="433"/>
      <c r="QFO6" s="433"/>
      <c r="QFP6" s="433"/>
      <c r="QFQ6" s="433"/>
      <c r="QFR6" s="433"/>
      <c r="QFS6" s="433"/>
      <c r="QFT6" s="433"/>
      <c r="QFU6" s="433"/>
      <c r="QFV6" s="433"/>
      <c r="QFW6" s="433"/>
      <c r="QFX6" s="433"/>
      <c r="QFY6" s="433"/>
      <c r="QFZ6" s="433"/>
      <c r="QGA6" s="433"/>
      <c r="QGB6" s="433"/>
      <c r="QGC6" s="433"/>
      <c r="QGD6" s="433"/>
      <c r="QGE6" s="433"/>
      <c r="QGF6" s="433"/>
      <c r="QGG6" s="433"/>
      <c r="QGH6" s="433"/>
      <c r="QGI6" s="433"/>
      <c r="QGJ6" s="433"/>
      <c r="QGK6" s="433"/>
      <c r="QGL6" s="433"/>
      <c r="QGM6" s="433"/>
      <c r="QGN6" s="433"/>
      <c r="QGO6" s="433"/>
      <c r="QGP6" s="433"/>
      <c r="QGQ6" s="433"/>
      <c r="QGR6" s="433"/>
      <c r="QGS6" s="433"/>
      <c r="QGT6" s="433"/>
      <c r="QGU6" s="433"/>
      <c r="QGV6" s="433"/>
      <c r="QGW6" s="433"/>
      <c r="QGX6" s="433"/>
      <c r="QGY6" s="433"/>
      <c r="QGZ6" s="433"/>
      <c r="QHA6" s="433"/>
      <c r="QHB6" s="433"/>
      <c r="QHC6" s="433"/>
      <c r="QHD6" s="433"/>
      <c r="QHE6" s="433"/>
      <c r="QHF6" s="433"/>
      <c r="QHG6" s="433"/>
      <c r="QHH6" s="433"/>
      <c r="QHI6" s="433"/>
      <c r="QHJ6" s="433"/>
      <c r="QHK6" s="433"/>
      <c r="QHL6" s="433"/>
      <c r="QHM6" s="433"/>
      <c r="QHN6" s="433"/>
      <c r="QHO6" s="433"/>
      <c r="QHP6" s="433"/>
      <c r="QHQ6" s="433"/>
      <c r="QHR6" s="433"/>
      <c r="QHS6" s="433"/>
      <c r="QHT6" s="433"/>
      <c r="QHU6" s="433"/>
      <c r="QHV6" s="433"/>
      <c r="QHW6" s="433"/>
      <c r="QHX6" s="433"/>
      <c r="QHY6" s="433"/>
      <c r="QHZ6" s="433"/>
      <c r="QIA6" s="433"/>
      <c r="QIB6" s="433"/>
      <c r="QIC6" s="433"/>
      <c r="QID6" s="433"/>
      <c r="QIE6" s="433"/>
      <c r="QIF6" s="433"/>
      <c r="QIG6" s="433"/>
      <c r="QIH6" s="433"/>
      <c r="QII6" s="433"/>
      <c r="QIJ6" s="433"/>
      <c r="QIK6" s="433"/>
      <c r="QIL6" s="433"/>
      <c r="QIM6" s="433"/>
      <c r="QIN6" s="433"/>
      <c r="QIO6" s="433"/>
      <c r="QIP6" s="433"/>
      <c r="QIQ6" s="433"/>
      <c r="QIR6" s="433"/>
      <c r="QIS6" s="433"/>
      <c r="QIT6" s="433"/>
      <c r="QIU6" s="433"/>
      <c r="QIV6" s="433"/>
      <c r="QIW6" s="433"/>
      <c r="QIX6" s="433"/>
      <c r="QIY6" s="433"/>
      <c r="QIZ6" s="433"/>
      <c r="QJA6" s="433"/>
      <c r="QJB6" s="433"/>
      <c r="QJC6" s="433"/>
      <c r="QJD6" s="433"/>
      <c r="QJE6" s="433"/>
      <c r="QJF6" s="433"/>
      <c r="QJG6" s="433"/>
      <c r="QJH6" s="433"/>
      <c r="QJI6" s="433"/>
      <c r="QJJ6" s="433"/>
      <c r="QJK6" s="433"/>
      <c r="QJL6" s="433"/>
      <c r="QJM6" s="433"/>
      <c r="QJN6" s="433"/>
      <c r="QJO6" s="433"/>
      <c r="QJP6" s="433"/>
      <c r="QJQ6" s="433"/>
      <c r="QJR6" s="433"/>
      <c r="QJS6" s="433"/>
      <c r="QJT6" s="433"/>
      <c r="QJU6" s="433"/>
      <c r="QJV6" s="433"/>
      <c r="QJW6" s="433"/>
      <c r="QJX6" s="433"/>
      <c r="QJY6" s="433"/>
      <c r="QJZ6" s="433"/>
      <c r="QKA6" s="433"/>
      <c r="QKB6" s="433"/>
      <c r="QKC6" s="433"/>
      <c r="QKD6" s="433"/>
      <c r="QKE6" s="433"/>
      <c r="QKF6" s="433"/>
      <c r="QKG6" s="433"/>
      <c r="QKH6" s="433"/>
      <c r="QKI6" s="433"/>
      <c r="QKJ6" s="433"/>
      <c r="QKK6" s="433"/>
      <c r="QKL6" s="433"/>
      <c r="QKM6" s="433"/>
      <c r="QKN6" s="433"/>
      <c r="QKO6" s="433"/>
      <c r="QKP6" s="433"/>
      <c r="QKQ6" s="433"/>
      <c r="QKR6" s="433"/>
      <c r="QKS6" s="433"/>
      <c r="QKT6" s="433"/>
      <c r="QKU6" s="433"/>
      <c r="QKV6" s="433"/>
      <c r="QKW6" s="433"/>
      <c r="QKX6" s="433"/>
      <c r="QKY6" s="433"/>
      <c r="QKZ6" s="433"/>
      <c r="QLA6" s="433"/>
      <c r="QLB6" s="433"/>
      <c r="QLC6" s="433"/>
      <c r="QLD6" s="433"/>
      <c r="QLE6" s="433"/>
      <c r="QLF6" s="433"/>
      <c r="QLG6" s="433"/>
      <c r="QLH6" s="433"/>
      <c r="QLI6" s="433"/>
      <c r="QLJ6" s="433"/>
      <c r="QLK6" s="433"/>
      <c r="QLL6" s="433"/>
      <c r="QLM6" s="433"/>
      <c r="QLN6" s="433"/>
      <c r="QLO6" s="433"/>
      <c r="QLP6" s="433"/>
      <c r="QLQ6" s="433"/>
      <c r="QLR6" s="433"/>
      <c r="QLS6" s="433"/>
      <c r="QLT6" s="433"/>
      <c r="QLU6" s="433"/>
      <c r="QLV6" s="433"/>
      <c r="QLW6" s="433"/>
      <c r="QLX6" s="433"/>
      <c r="QLY6" s="433"/>
      <c r="QLZ6" s="433"/>
      <c r="QMA6" s="433"/>
      <c r="QMB6" s="433"/>
      <c r="QMC6" s="433"/>
      <c r="QMD6" s="433"/>
      <c r="QME6" s="433"/>
      <c r="QMF6" s="433"/>
      <c r="QMG6" s="433"/>
      <c r="QMH6" s="433"/>
      <c r="QMI6" s="433"/>
      <c r="QMJ6" s="433"/>
      <c r="QMK6" s="433"/>
      <c r="QML6" s="433"/>
      <c r="QMM6" s="433"/>
      <c r="QMN6" s="433"/>
      <c r="QMO6" s="433"/>
      <c r="QMP6" s="433"/>
      <c r="QMQ6" s="433"/>
      <c r="QMR6" s="433"/>
      <c r="QMS6" s="433"/>
      <c r="QMT6" s="433"/>
      <c r="QMU6" s="433"/>
      <c r="QMV6" s="433"/>
      <c r="QMW6" s="433"/>
      <c r="QMX6" s="433"/>
      <c r="QMY6" s="433"/>
      <c r="QMZ6" s="433"/>
      <c r="QNA6" s="433"/>
      <c r="QNB6" s="433"/>
      <c r="QNC6" s="433"/>
      <c r="QND6" s="433"/>
      <c r="QNE6" s="433"/>
      <c r="QNF6" s="433"/>
      <c r="QNG6" s="433"/>
      <c r="QNH6" s="433"/>
      <c r="QNI6" s="433"/>
      <c r="QNJ6" s="433"/>
      <c r="QNK6" s="433"/>
      <c r="QNL6" s="433"/>
      <c r="QNM6" s="433"/>
      <c r="QNN6" s="433"/>
      <c r="QNO6" s="433"/>
      <c r="QNP6" s="433"/>
      <c r="QNQ6" s="433"/>
      <c r="QNR6" s="433"/>
      <c r="QNS6" s="433"/>
      <c r="QNT6" s="433"/>
      <c r="QNU6" s="433"/>
      <c r="QNV6" s="433"/>
      <c r="QNW6" s="433"/>
      <c r="QNX6" s="433"/>
      <c r="QNY6" s="433"/>
      <c r="QNZ6" s="433"/>
      <c r="QOA6" s="433"/>
      <c r="QOB6" s="433"/>
      <c r="QOC6" s="433"/>
      <c r="QOD6" s="433"/>
      <c r="QOE6" s="433"/>
      <c r="QOF6" s="433"/>
      <c r="QOG6" s="433"/>
      <c r="QOH6" s="433"/>
      <c r="QOI6" s="433"/>
      <c r="QOJ6" s="433"/>
      <c r="QOK6" s="433"/>
      <c r="QOL6" s="433"/>
      <c r="QOM6" s="433"/>
      <c r="QON6" s="433"/>
      <c r="QOO6" s="433"/>
      <c r="QOP6" s="433"/>
      <c r="QOQ6" s="433"/>
      <c r="QOR6" s="433"/>
      <c r="QOS6" s="433"/>
      <c r="QOT6" s="433"/>
      <c r="QOU6" s="433"/>
      <c r="QOV6" s="433"/>
      <c r="QOW6" s="433"/>
      <c r="QOX6" s="433"/>
      <c r="QOY6" s="433"/>
      <c r="QOZ6" s="433"/>
      <c r="QPA6" s="433"/>
      <c r="QPB6" s="433"/>
      <c r="QPC6" s="433"/>
      <c r="QPD6" s="433"/>
      <c r="QPE6" s="433"/>
      <c r="QPF6" s="433"/>
      <c r="QPG6" s="433"/>
      <c r="QPH6" s="433"/>
      <c r="QPI6" s="433"/>
      <c r="QPJ6" s="433"/>
      <c r="QPK6" s="433"/>
      <c r="QPL6" s="433"/>
      <c r="QPM6" s="433"/>
      <c r="QPN6" s="433"/>
      <c r="QPO6" s="433"/>
      <c r="QPP6" s="433"/>
      <c r="QPQ6" s="433"/>
      <c r="QPR6" s="433"/>
      <c r="QPS6" s="433"/>
      <c r="QPT6" s="433"/>
      <c r="QPU6" s="433"/>
      <c r="QPV6" s="433"/>
      <c r="QPW6" s="433"/>
      <c r="QPX6" s="433"/>
      <c r="QPY6" s="433"/>
      <c r="QPZ6" s="433"/>
      <c r="QQA6" s="433"/>
      <c r="QQB6" s="433"/>
      <c r="QQC6" s="433"/>
      <c r="QQD6" s="433"/>
      <c r="QQE6" s="433"/>
      <c r="QQF6" s="433"/>
      <c r="QQG6" s="433"/>
      <c r="QQH6" s="433"/>
      <c r="QQI6" s="433"/>
      <c r="QQJ6" s="433"/>
      <c r="QQK6" s="433"/>
      <c r="QQL6" s="433"/>
      <c r="QQM6" s="433"/>
      <c r="QQN6" s="433"/>
      <c r="QQO6" s="433"/>
      <c r="QQP6" s="433"/>
      <c r="QQQ6" s="433"/>
      <c r="QQR6" s="433"/>
      <c r="QQS6" s="433"/>
      <c r="QQT6" s="433"/>
      <c r="QQU6" s="433"/>
      <c r="QQV6" s="433"/>
      <c r="QQW6" s="433"/>
      <c r="QQX6" s="433"/>
      <c r="QQY6" s="433"/>
      <c r="QQZ6" s="433"/>
      <c r="QRA6" s="433"/>
      <c r="QRB6" s="433"/>
      <c r="QRC6" s="433"/>
      <c r="QRD6" s="433"/>
      <c r="QRE6" s="433"/>
      <c r="QRF6" s="433"/>
      <c r="QRG6" s="433"/>
      <c r="QRH6" s="433"/>
      <c r="QRI6" s="433"/>
      <c r="QRJ6" s="433"/>
      <c r="QRK6" s="433"/>
      <c r="QRL6" s="433"/>
      <c r="QRM6" s="433"/>
      <c r="QRN6" s="433"/>
      <c r="QRO6" s="433"/>
      <c r="QRP6" s="433"/>
      <c r="QRQ6" s="433"/>
      <c r="QRR6" s="433"/>
      <c r="QRS6" s="433"/>
      <c r="QRT6" s="433"/>
      <c r="QRU6" s="433"/>
      <c r="QRV6" s="433"/>
      <c r="QRW6" s="433"/>
      <c r="QRX6" s="433"/>
      <c r="QRY6" s="433"/>
      <c r="QRZ6" s="433"/>
      <c r="QSA6" s="433"/>
      <c r="QSB6" s="433"/>
      <c r="QSC6" s="433"/>
      <c r="QSD6" s="433"/>
      <c r="QSE6" s="433"/>
      <c r="QSF6" s="433"/>
      <c r="QSG6" s="433"/>
      <c r="QSH6" s="433"/>
      <c r="QSI6" s="433"/>
      <c r="QSJ6" s="433"/>
      <c r="QSK6" s="433"/>
      <c r="QSL6" s="433"/>
      <c r="QSM6" s="433"/>
      <c r="QSN6" s="433"/>
      <c r="QSO6" s="433"/>
      <c r="QSP6" s="433"/>
      <c r="QSQ6" s="433"/>
      <c r="QSR6" s="433"/>
      <c r="QSS6" s="433"/>
      <c r="QST6" s="433"/>
      <c r="QSU6" s="433"/>
      <c r="QSV6" s="433"/>
      <c r="QSW6" s="433"/>
      <c r="QSX6" s="433"/>
      <c r="QSY6" s="433"/>
      <c r="QSZ6" s="433"/>
      <c r="QTA6" s="433"/>
      <c r="QTB6" s="433"/>
      <c r="QTC6" s="433"/>
      <c r="QTD6" s="433"/>
      <c r="QTE6" s="433"/>
      <c r="QTF6" s="433"/>
      <c r="QTG6" s="433"/>
      <c r="QTH6" s="433"/>
      <c r="QTI6" s="433"/>
      <c r="QTJ6" s="433"/>
      <c r="QTK6" s="433"/>
      <c r="QTL6" s="433"/>
      <c r="QTM6" s="433"/>
      <c r="QTN6" s="433"/>
      <c r="QTO6" s="433"/>
      <c r="QTP6" s="433"/>
      <c r="QTQ6" s="433"/>
      <c r="QTR6" s="433"/>
      <c r="QTS6" s="433"/>
      <c r="QTT6" s="433"/>
      <c r="QTU6" s="433"/>
      <c r="QTV6" s="433"/>
      <c r="QTW6" s="433"/>
      <c r="QTX6" s="433"/>
      <c r="QTY6" s="433"/>
      <c r="QTZ6" s="433"/>
      <c r="QUA6" s="433"/>
      <c r="QUB6" s="433"/>
      <c r="QUC6" s="433"/>
      <c r="QUD6" s="433"/>
      <c r="QUE6" s="433"/>
      <c r="QUF6" s="433"/>
      <c r="QUG6" s="433"/>
      <c r="QUH6" s="433"/>
      <c r="QUI6" s="433"/>
      <c r="QUJ6" s="433"/>
      <c r="QUK6" s="433"/>
      <c r="QUL6" s="433"/>
      <c r="QUM6" s="433"/>
      <c r="QUN6" s="433"/>
      <c r="QUO6" s="433"/>
      <c r="QUP6" s="433"/>
      <c r="QUQ6" s="433"/>
      <c r="QUR6" s="433"/>
      <c r="QUS6" s="433"/>
      <c r="QUT6" s="433"/>
      <c r="QUU6" s="433"/>
      <c r="QUV6" s="433"/>
      <c r="QUW6" s="433"/>
      <c r="QUX6" s="433"/>
      <c r="QUY6" s="433"/>
      <c r="QUZ6" s="433"/>
      <c r="QVA6" s="433"/>
      <c r="QVB6" s="433"/>
      <c r="QVC6" s="433"/>
      <c r="QVD6" s="433"/>
      <c r="QVE6" s="433"/>
      <c r="QVF6" s="433"/>
      <c r="QVG6" s="433"/>
      <c r="QVH6" s="433"/>
      <c r="QVI6" s="433"/>
      <c r="QVJ6" s="433"/>
      <c r="QVK6" s="433"/>
      <c r="QVL6" s="433"/>
      <c r="QVM6" s="433"/>
      <c r="QVN6" s="433"/>
      <c r="QVO6" s="433"/>
      <c r="QVP6" s="433"/>
      <c r="QVQ6" s="433"/>
      <c r="QVR6" s="433"/>
      <c r="QVS6" s="433"/>
      <c r="QVT6" s="433"/>
      <c r="QVU6" s="433"/>
      <c r="QVV6" s="433"/>
      <c r="QVW6" s="433"/>
      <c r="QVX6" s="433"/>
      <c r="QVY6" s="433"/>
      <c r="QVZ6" s="433"/>
      <c r="QWA6" s="433"/>
      <c r="QWB6" s="433"/>
      <c r="QWC6" s="433"/>
      <c r="QWD6" s="433"/>
      <c r="QWE6" s="433"/>
      <c r="QWF6" s="433"/>
      <c r="QWG6" s="433"/>
      <c r="QWH6" s="433"/>
      <c r="QWI6" s="433"/>
      <c r="QWJ6" s="433"/>
      <c r="QWK6" s="433"/>
      <c r="QWL6" s="433"/>
      <c r="QWM6" s="433"/>
      <c r="QWN6" s="433"/>
      <c r="QWO6" s="433"/>
      <c r="QWP6" s="433"/>
      <c r="QWQ6" s="433"/>
      <c r="QWR6" s="433"/>
      <c r="QWS6" s="433"/>
      <c r="QWT6" s="433"/>
      <c r="QWU6" s="433"/>
      <c r="QWV6" s="433"/>
      <c r="QWW6" s="433"/>
      <c r="QWX6" s="433"/>
      <c r="QWY6" s="433"/>
      <c r="QWZ6" s="433"/>
      <c r="QXA6" s="433"/>
      <c r="QXB6" s="433"/>
      <c r="QXC6" s="433"/>
      <c r="QXD6" s="433"/>
      <c r="QXE6" s="433"/>
      <c r="QXF6" s="433"/>
      <c r="QXG6" s="433"/>
      <c r="QXH6" s="433"/>
      <c r="QXI6" s="433"/>
      <c r="QXJ6" s="433"/>
      <c r="QXK6" s="433"/>
      <c r="QXL6" s="433"/>
      <c r="QXM6" s="433"/>
      <c r="QXN6" s="433"/>
      <c r="QXO6" s="433"/>
      <c r="QXP6" s="433"/>
      <c r="QXQ6" s="433"/>
      <c r="QXR6" s="433"/>
      <c r="QXS6" s="433"/>
      <c r="QXT6" s="433"/>
      <c r="QXU6" s="433"/>
      <c r="QXV6" s="433"/>
      <c r="QXW6" s="433"/>
      <c r="QXX6" s="433"/>
      <c r="QXY6" s="433"/>
      <c r="QXZ6" s="433"/>
      <c r="QYA6" s="433"/>
      <c r="QYB6" s="433"/>
      <c r="QYC6" s="433"/>
      <c r="QYD6" s="433"/>
      <c r="QYE6" s="433"/>
      <c r="QYF6" s="433"/>
      <c r="QYG6" s="433"/>
      <c r="QYH6" s="433"/>
      <c r="QYI6" s="433"/>
      <c r="QYJ6" s="433"/>
      <c r="QYK6" s="433"/>
      <c r="QYL6" s="433"/>
      <c r="QYM6" s="433"/>
      <c r="QYN6" s="433"/>
      <c r="QYO6" s="433"/>
      <c r="QYP6" s="433"/>
      <c r="QYQ6" s="433"/>
      <c r="QYR6" s="433"/>
      <c r="QYS6" s="433"/>
      <c r="QYT6" s="433"/>
      <c r="QYU6" s="433"/>
      <c r="QYV6" s="433"/>
      <c r="QYW6" s="433"/>
      <c r="QYX6" s="433"/>
      <c r="QYY6" s="433"/>
      <c r="QYZ6" s="433"/>
      <c r="QZA6" s="433"/>
      <c r="QZB6" s="433"/>
      <c r="QZC6" s="433"/>
      <c r="QZD6" s="433"/>
      <c r="QZE6" s="433"/>
      <c r="QZF6" s="433"/>
      <c r="QZG6" s="433"/>
      <c r="QZH6" s="433"/>
      <c r="QZI6" s="433"/>
      <c r="QZJ6" s="433"/>
      <c r="QZK6" s="433"/>
      <c r="QZL6" s="433"/>
      <c r="QZM6" s="433"/>
      <c r="QZN6" s="433"/>
      <c r="QZO6" s="433"/>
      <c r="QZP6" s="433"/>
      <c r="QZQ6" s="433"/>
      <c r="QZR6" s="433"/>
      <c r="QZS6" s="433"/>
      <c r="QZT6" s="433"/>
      <c r="QZU6" s="433"/>
      <c r="QZV6" s="433"/>
      <c r="QZW6" s="433"/>
      <c r="QZX6" s="433"/>
      <c r="QZY6" s="433"/>
      <c r="QZZ6" s="433"/>
      <c r="RAA6" s="433"/>
      <c r="RAB6" s="433"/>
      <c r="RAC6" s="433"/>
      <c r="RAD6" s="433"/>
      <c r="RAE6" s="433"/>
      <c r="RAF6" s="433"/>
      <c r="RAG6" s="433"/>
      <c r="RAH6" s="433"/>
      <c r="RAI6" s="433"/>
      <c r="RAJ6" s="433"/>
      <c r="RAK6" s="433"/>
      <c r="RAL6" s="433"/>
      <c r="RAM6" s="433"/>
      <c r="RAN6" s="433"/>
      <c r="RAO6" s="433"/>
      <c r="RAP6" s="433"/>
      <c r="RAQ6" s="433"/>
      <c r="RAR6" s="433"/>
      <c r="RAS6" s="433"/>
      <c r="RAT6" s="433"/>
      <c r="RAU6" s="433"/>
      <c r="RAV6" s="433"/>
      <c r="RAW6" s="433"/>
      <c r="RAX6" s="433"/>
      <c r="RAY6" s="433"/>
      <c r="RAZ6" s="433"/>
      <c r="RBA6" s="433"/>
      <c r="RBB6" s="433"/>
      <c r="RBC6" s="433"/>
      <c r="RBD6" s="433"/>
      <c r="RBE6" s="433"/>
      <c r="RBF6" s="433"/>
      <c r="RBG6" s="433"/>
      <c r="RBH6" s="433"/>
      <c r="RBI6" s="433"/>
      <c r="RBJ6" s="433"/>
      <c r="RBK6" s="433"/>
      <c r="RBL6" s="433"/>
      <c r="RBM6" s="433"/>
      <c r="RBN6" s="433"/>
      <c r="RBO6" s="433"/>
      <c r="RBP6" s="433"/>
      <c r="RBQ6" s="433"/>
      <c r="RBR6" s="433"/>
      <c r="RBS6" s="433"/>
      <c r="RBT6" s="433"/>
      <c r="RBU6" s="433"/>
      <c r="RBV6" s="433"/>
      <c r="RBW6" s="433"/>
      <c r="RBX6" s="433"/>
      <c r="RBY6" s="433"/>
      <c r="RBZ6" s="433"/>
      <c r="RCA6" s="433"/>
      <c r="RCB6" s="433"/>
      <c r="RCC6" s="433"/>
      <c r="RCD6" s="433"/>
      <c r="RCE6" s="433"/>
      <c r="RCF6" s="433"/>
      <c r="RCG6" s="433"/>
      <c r="RCH6" s="433"/>
      <c r="RCI6" s="433"/>
      <c r="RCJ6" s="433"/>
      <c r="RCK6" s="433"/>
      <c r="RCL6" s="433"/>
      <c r="RCM6" s="433"/>
      <c r="RCN6" s="433"/>
      <c r="RCO6" s="433"/>
      <c r="RCP6" s="433"/>
      <c r="RCQ6" s="433"/>
      <c r="RCR6" s="433"/>
      <c r="RCS6" s="433"/>
      <c r="RCT6" s="433"/>
      <c r="RCU6" s="433"/>
      <c r="RCV6" s="433"/>
      <c r="RCW6" s="433"/>
      <c r="RCX6" s="433"/>
      <c r="RCY6" s="433"/>
      <c r="RCZ6" s="433"/>
      <c r="RDA6" s="433"/>
      <c r="RDB6" s="433"/>
      <c r="RDC6" s="433"/>
      <c r="RDD6" s="433"/>
      <c r="RDE6" s="433"/>
      <c r="RDF6" s="433"/>
      <c r="RDG6" s="433"/>
      <c r="RDH6" s="433"/>
      <c r="RDI6" s="433"/>
      <c r="RDJ6" s="433"/>
      <c r="RDK6" s="433"/>
      <c r="RDL6" s="433"/>
      <c r="RDM6" s="433"/>
      <c r="RDN6" s="433"/>
      <c r="RDO6" s="433"/>
      <c r="RDP6" s="433"/>
      <c r="RDQ6" s="433"/>
      <c r="RDR6" s="433"/>
      <c r="RDS6" s="433"/>
      <c r="RDT6" s="433"/>
      <c r="RDU6" s="433"/>
      <c r="RDV6" s="433"/>
      <c r="RDW6" s="433"/>
      <c r="RDX6" s="433"/>
      <c r="RDY6" s="433"/>
      <c r="RDZ6" s="433"/>
      <c r="REA6" s="433"/>
      <c r="REB6" s="433"/>
      <c r="REC6" s="433"/>
      <c r="RED6" s="433"/>
      <c r="REE6" s="433"/>
      <c r="REF6" s="433"/>
      <c r="REG6" s="433"/>
      <c r="REH6" s="433"/>
      <c r="REI6" s="433"/>
      <c r="REJ6" s="433"/>
      <c r="REK6" s="433"/>
      <c r="REL6" s="433"/>
      <c r="REM6" s="433"/>
      <c r="REN6" s="433"/>
      <c r="REO6" s="433"/>
      <c r="REP6" s="433"/>
      <c r="REQ6" s="433"/>
      <c r="RER6" s="433"/>
      <c r="RES6" s="433"/>
      <c r="RET6" s="433"/>
      <c r="REU6" s="433"/>
      <c r="REV6" s="433"/>
      <c r="REW6" s="433"/>
      <c r="REX6" s="433"/>
      <c r="REY6" s="433"/>
      <c r="REZ6" s="433"/>
      <c r="RFA6" s="433"/>
      <c r="RFB6" s="433"/>
      <c r="RFC6" s="433"/>
      <c r="RFD6" s="433"/>
      <c r="RFE6" s="433"/>
      <c r="RFF6" s="433"/>
      <c r="RFG6" s="433"/>
      <c r="RFH6" s="433"/>
      <c r="RFI6" s="433"/>
      <c r="RFJ6" s="433"/>
      <c r="RFK6" s="433"/>
      <c r="RFL6" s="433"/>
      <c r="RFM6" s="433"/>
      <c r="RFN6" s="433"/>
      <c r="RFO6" s="433"/>
      <c r="RFP6" s="433"/>
      <c r="RFQ6" s="433"/>
      <c r="RFR6" s="433"/>
      <c r="RFS6" s="433"/>
      <c r="RFT6" s="433"/>
      <c r="RFU6" s="433"/>
      <c r="RFV6" s="433"/>
      <c r="RFW6" s="433"/>
      <c r="RFX6" s="433"/>
      <c r="RFY6" s="433"/>
      <c r="RFZ6" s="433"/>
      <c r="RGA6" s="433"/>
      <c r="RGB6" s="433"/>
      <c r="RGC6" s="433"/>
      <c r="RGD6" s="433"/>
      <c r="RGE6" s="433"/>
      <c r="RGF6" s="433"/>
      <c r="RGG6" s="433"/>
      <c r="RGH6" s="433"/>
      <c r="RGI6" s="433"/>
      <c r="RGJ6" s="433"/>
      <c r="RGK6" s="433"/>
      <c r="RGL6" s="433"/>
      <c r="RGM6" s="433"/>
      <c r="RGN6" s="433"/>
      <c r="RGO6" s="433"/>
      <c r="RGP6" s="433"/>
      <c r="RGQ6" s="433"/>
      <c r="RGR6" s="433"/>
      <c r="RGS6" s="433"/>
      <c r="RGT6" s="433"/>
      <c r="RGU6" s="433"/>
      <c r="RGV6" s="433"/>
      <c r="RGW6" s="433"/>
      <c r="RGX6" s="433"/>
      <c r="RGY6" s="433"/>
      <c r="RGZ6" s="433"/>
      <c r="RHA6" s="433"/>
      <c r="RHB6" s="433"/>
      <c r="RHC6" s="433"/>
      <c r="RHD6" s="433"/>
      <c r="RHE6" s="433"/>
      <c r="RHF6" s="433"/>
      <c r="RHG6" s="433"/>
      <c r="RHH6" s="433"/>
      <c r="RHI6" s="433"/>
      <c r="RHJ6" s="433"/>
      <c r="RHK6" s="433"/>
      <c r="RHL6" s="433"/>
      <c r="RHM6" s="433"/>
      <c r="RHN6" s="433"/>
      <c r="RHO6" s="433"/>
      <c r="RHP6" s="433"/>
      <c r="RHQ6" s="433"/>
      <c r="RHR6" s="433"/>
      <c r="RHS6" s="433"/>
      <c r="RHT6" s="433"/>
      <c r="RHU6" s="433"/>
      <c r="RHV6" s="433"/>
      <c r="RHW6" s="433"/>
      <c r="RHX6" s="433"/>
      <c r="RHY6" s="433"/>
      <c r="RHZ6" s="433"/>
      <c r="RIA6" s="433"/>
      <c r="RIB6" s="433"/>
      <c r="RIC6" s="433"/>
      <c r="RID6" s="433"/>
      <c r="RIE6" s="433"/>
      <c r="RIF6" s="433"/>
      <c r="RIG6" s="433"/>
      <c r="RIH6" s="433"/>
      <c r="RII6" s="433"/>
      <c r="RIJ6" s="433"/>
      <c r="RIK6" s="433"/>
      <c r="RIL6" s="433"/>
      <c r="RIM6" s="433"/>
      <c r="RIN6" s="433"/>
      <c r="RIO6" s="433"/>
      <c r="RIP6" s="433"/>
      <c r="RIQ6" s="433"/>
      <c r="RIR6" s="433"/>
      <c r="RIS6" s="433"/>
      <c r="RIT6" s="433"/>
      <c r="RIU6" s="433"/>
      <c r="RIV6" s="433"/>
      <c r="RIW6" s="433"/>
      <c r="RIX6" s="433"/>
      <c r="RIY6" s="433"/>
      <c r="RIZ6" s="433"/>
      <c r="RJA6" s="433"/>
      <c r="RJB6" s="433"/>
      <c r="RJC6" s="433"/>
      <c r="RJD6" s="433"/>
      <c r="RJE6" s="433"/>
      <c r="RJF6" s="433"/>
      <c r="RJG6" s="433"/>
      <c r="RJH6" s="433"/>
      <c r="RJI6" s="433"/>
      <c r="RJJ6" s="433"/>
      <c r="RJK6" s="433"/>
      <c r="RJL6" s="433"/>
      <c r="RJM6" s="433"/>
      <c r="RJN6" s="433"/>
      <c r="RJO6" s="433"/>
      <c r="RJP6" s="433"/>
      <c r="RJQ6" s="433"/>
      <c r="RJR6" s="433"/>
      <c r="RJS6" s="433"/>
      <c r="RJT6" s="433"/>
      <c r="RJU6" s="433"/>
      <c r="RJV6" s="433"/>
      <c r="RJW6" s="433"/>
      <c r="RJX6" s="433"/>
      <c r="RJY6" s="433"/>
      <c r="RJZ6" s="433"/>
      <c r="RKA6" s="433"/>
      <c r="RKB6" s="433"/>
      <c r="RKC6" s="433"/>
      <c r="RKD6" s="433"/>
      <c r="RKE6" s="433"/>
      <c r="RKF6" s="433"/>
      <c r="RKG6" s="433"/>
      <c r="RKH6" s="433"/>
      <c r="RKI6" s="433"/>
      <c r="RKJ6" s="433"/>
      <c r="RKK6" s="433"/>
      <c r="RKL6" s="433"/>
      <c r="RKM6" s="433"/>
      <c r="RKN6" s="433"/>
      <c r="RKO6" s="433"/>
      <c r="RKP6" s="433"/>
      <c r="RKQ6" s="433"/>
      <c r="RKR6" s="433"/>
      <c r="RKS6" s="433"/>
      <c r="RKT6" s="433"/>
      <c r="RKU6" s="433"/>
      <c r="RKV6" s="433"/>
      <c r="RKW6" s="433"/>
      <c r="RKX6" s="433"/>
      <c r="RKY6" s="433"/>
      <c r="RKZ6" s="433"/>
      <c r="RLA6" s="433"/>
      <c r="RLB6" s="433"/>
      <c r="RLC6" s="433"/>
      <c r="RLD6" s="433"/>
      <c r="RLE6" s="433"/>
      <c r="RLF6" s="433"/>
      <c r="RLG6" s="433"/>
      <c r="RLH6" s="433"/>
      <c r="RLI6" s="433"/>
      <c r="RLJ6" s="433"/>
      <c r="RLK6" s="433"/>
      <c r="RLL6" s="433"/>
      <c r="RLM6" s="433"/>
      <c r="RLN6" s="433"/>
      <c r="RLO6" s="433"/>
      <c r="RLP6" s="433"/>
      <c r="RLQ6" s="433"/>
      <c r="RLR6" s="433"/>
      <c r="RLS6" s="433"/>
      <c r="RLT6" s="433"/>
      <c r="RLU6" s="433"/>
      <c r="RLV6" s="433"/>
      <c r="RLW6" s="433"/>
      <c r="RLX6" s="433"/>
      <c r="RLY6" s="433"/>
      <c r="RLZ6" s="433"/>
      <c r="RMA6" s="433"/>
      <c r="RMB6" s="433"/>
      <c r="RMC6" s="433"/>
      <c r="RMD6" s="433"/>
      <c r="RME6" s="433"/>
      <c r="RMF6" s="433"/>
      <c r="RMG6" s="433"/>
      <c r="RMH6" s="433"/>
      <c r="RMI6" s="433"/>
      <c r="RMJ6" s="433"/>
      <c r="RMK6" s="433"/>
      <c r="RML6" s="433"/>
      <c r="RMM6" s="433"/>
      <c r="RMN6" s="433"/>
      <c r="RMO6" s="433"/>
      <c r="RMP6" s="433"/>
      <c r="RMQ6" s="433"/>
      <c r="RMR6" s="433"/>
      <c r="RMS6" s="433"/>
      <c r="RMT6" s="433"/>
      <c r="RMU6" s="433"/>
      <c r="RMV6" s="433"/>
      <c r="RMW6" s="433"/>
      <c r="RMX6" s="433"/>
      <c r="RMY6" s="433"/>
      <c r="RMZ6" s="433"/>
      <c r="RNA6" s="433"/>
      <c r="RNB6" s="433"/>
      <c r="RNC6" s="433"/>
      <c r="RND6" s="433"/>
      <c r="RNE6" s="433"/>
      <c r="RNF6" s="433"/>
      <c r="RNG6" s="433"/>
      <c r="RNH6" s="433"/>
      <c r="RNI6" s="433"/>
      <c r="RNJ6" s="433"/>
      <c r="RNK6" s="433"/>
      <c r="RNL6" s="433"/>
      <c r="RNM6" s="433"/>
      <c r="RNN6" s="433"/>
      <c r="RNO6" s="433"/>
      <c r="RNP6" s="433"/>
      <c r="RNQ6" s="433"/>
      <c r="RNR6" s="433"/>
      <c r="RNS6" s="433"/>
      <c r="RNT6" s="433"/>
      <c r="RNU6" s="433"/>
      <c r="RNV6" s="433"/>
      <c r="RNW6" s="433"/>
      <c r="RNX6" s="433"/>
      <c r="RNY6" s="433"/>
      <c r="RNZ6" s="433"/>
      <c r="ROA6" s="433"/>
      <c r="ROB6" s="433"/>
      <c r="ROC6" s="433"/>
      <c r="ROD6" s="433"/>
      <c r="ROE6" s="433"/>
      <c r="ROF6" s="433"/>
      <c r="ROG6" s="433"/>
      <c r="ROH6" s="433"/>
      <c r="ROI6" s="433"/>
      <c r="ROJ6" s="433"/>
      <c r="ROK6" s="433"/>
      <c r="ROL6" s="433"/>
      <c r="ROM6" s="433"/>
      <c r="RON6" s="433"/>
      <c r="ROO6" s="433"/>
      <c r="ROP6" s="433"/>
      <c r="ROQ6" s="433"/>
      <c r="ROR6" s="433"/>
      <c r="ROS6" s="433"/>
      <c r="ROT6" s="433"/>
      <c r="ROU6" s="433"/>
      <c r="ROV6" s="433"/>
      <c r="ROW6" s="433"/>
      <c r="ROX6" s="433"/>
      <c r="ROY6" s="433"/>
      <c r="ROZ6" s="433"/>
      <c r="RPA6" s="433"/>
      <c r="RPB6" s="433"/>
      <c r="RPC6" s="433"/>
      <c r="RPD6" s="433"/>
      <c r="RPE6" s="433"/>
      <c r="RPF6" s="433"/>
      <c r="RPG6" s="433"/>
      <c r="RPH6" s="433"/>
      <c r="RPI6" s="433"/>
      <c r="RPJ6" s="433"/>
      <c r="RPK6" s="433"/>
      <c r="RPL6" s="433"/>
      <c r="RPM6" s="433"/>
      <c r="RPN6" s="433"/>
      <c r="RPO6" s="433"/>
      <c r="RPP6" s="433"/>
      <c r="RPQ6" s="433"/>
      <c r="RPR6" s="433"/>
      <c r="RPS6" s="433"/>
      <c r="RPT6" s="433"/>
      <c r="RPU6" s="433"/>
      <c r="RPV6" s="433"/>
      <c r="RPW6" s="433"/>
      <c r="RPX6" s="433"/>
      <c r="RPY6" s="433"/>
      <c r="RPZ6" s="433"/>
      <c r="RQA6" s="433"/>
      <c r="RQB6" s="433"/>
      <c r="RQC6" s="433"/>
      <c r="RQD6" s="433"/>
      <c r="RQE6" s="433"/>
      <c r="RQF6" s="433"/>
      <c r="RQG6" s="433"/>
      <c r="RQH6" s="433"/>
      <c r="RQI6" s="433"/>
      <c r="RQJ6" s="433"/>
      <c r="RQK6" s="433"/>
      <c r="RQL6" s="433"/>
      <c r="RQM6" s="433"/>
      <c r="RQN6" s="433"/>
      <c r="RQO6" s="433"/>
      <c r="RQP6" s="433"/>
      <c r="RQQ6" s="433"/>
      <c r="RQR6" s="433"/>
      <c r="RQS6" s="433"/>
      <c r="RQT6" s="433"/>
      <c r="RQU6" s="433"/>
      <c r="RQV6" s="433"/>
      <c r="RQW6" s="433"/>
      <c r="RQX6" s="433"/>
      <c r="RQY6" s="433"/>
      <c r="RQZ6" s="433"/>
      <c r="RRA6" s="433"/>
      <c r="RRB6" s="433"/>
      <c r="RRC6" s="433"/>
      <c r="RRD6" s="433"/>
      <c r="RRE6" s="433"/>
      <c r="RRF6" s="433"/>
      <c r="RRG6" s="433"/>
      <c r="RRH6" s="433"/>
      <c r="RRI6" s="433"/>
      <c r="RRJ6" s="433"/>
      <c r="RRK6" s="433"/>
      <c r="RRL6" s="433"/>
      <c r="RRM6" s="433"/>
      <c r="RRN6" s="433"/>
      <c r="RRO6" s="433"/>
      <c r="RRP6" s="433"/>
      <c r="RRQ6" s="433"/>
      <c r="RRR6" s="433"/>
      <c r="RRS6" s="433"/>
      <c r="RRT6" s="433"/>
      <c r="RRU6" s="433"/>
      <c r="RRV6" s="433"/>
      <c r="RRW6" s="433"/>
      <c r="RRX6" s="433"/>
      <c r="RRY6" s="433"/>
      <c r="RRZ6" s="433"/>
      <c r="RSA6" s="433"/>
      <c r="RSB6" s="433"/>
      <c r="RSC6" s="433"/>
      <c r="RSD6" s="433"/>
      <c r="RSE6" s="433"/>
      <c r="RSF6" s="433"/>
      <c r="RSG6" s="433"/>
      <c r="RSH6" s="433"/>
      <c r="RSI6" s="433"/>
      <c r="RSJ6" s="433"/>
      <c r="RSK6" s="433"/>
      <c r="RSL6" s="433"/>
      <c r="RSM6" s="433"/>
      <c r="RSN6" s="433"/>
      <c r="RSO6" s="433"/>
      <c r="RSP6" s="433"/>
      <c r="RSQ6" s="433"/>
      <c r="RSR6" s="433"/>
      <c r="RSS6" s="433"/>
      <c r="RST6" s="433"/>
      <c r="RSU6" s="433"/>
      <c r="RSV6" s="433"/>
      <c r="RSW6" s="433"/>
      <c r="RSX6" s="433"/>
      <c r="RSY6" s="433"/>
      <c r="RSZ6" s="433"/>
      <c r="RTA6" s="433"/>
      <c r="RTB6" s="433"/>
      <c r="RTC6" s="433"/>
      <c r="RTD6" s="433"/>
      <c r="RTE6" s="433"/>
      <c r="RTF6" s="433"/>
      <c r="RTG6" s="433"/>
      <c r="RTH6" s="433"/>
      <c r="RTI6" s="433"/>
      <c r="RTJ6" s="433"/>
      <c r="RTK6" s="433"/>
      <c r="RTL6" s="433"/>
      <c r="RTM6" s="433"/>
      <c r="RTN6" s="433"/>
      <c r="RTO6" s="433"/>
      <c r="RTP6" s="433"/>
      <c r="RTQ6" s="433"/>
      <c r="RTR6" s="433"/>
      <c r="RTS6" s="433"/>
      <c r="RTT6" s="433"/>
      <c r="RTU6" s="433"/>
      <c r="RTV6" s="433"/>
      <c r="RTW6" s="433"/>
      <c r="RTX6" s="433"/>
      <c r="RTY6" s="433"/>
      <c r="RTZ6" s="433"/>
      <c r="RUA6" s="433"/>
      <c r="RUB6" s="433"/>
      <c r="RUC6" s="433"/>
      <c r="RUD6" s="433"/>
      <c r="RUE6" s="433"/>
      <c r="RUF6" s="433"/>
      <c r="RUG6" s="433"/>
      <c r="RUH6" s="433"/>
      <c r="RUI6" s="433"/>
      <c r="RUJ6" s="433"/>
      <c r="RUK6" s="433"/>
      <c r="RUL6" s="433"/>
      <c r="RUM6" s="433"/>
      <c r="RUN6" s="433"/>
      <c r="RUO6" s="433"/>
      <c r="RUP6" s="433"/>
      <c r="RUQ6" s="433"/>
      <c r="RUR6" s="433"/>
      <c r="RUS6" s="433"/>
      <c r="RUT6" s="433"/>
      <c r="RUU6" s="433"/>
      <c r="RUV6" s="433"/>
      <c r="RUW6" s="433"/>
      <c r="RUX6" s="433"/>
      <c r="RUY6" s="433"/>
      <c r="RUZ6" s="433"/>
      <c r="RVA6" s="433"/>
      <c r="RVB6" s="433"/>
      <c r="RVC6" s="433"/>
      <c r="RVD6" s="433"/>
      <c r="RVE6" s="433"/>
      <c r="RVF6" s="433"/>
      <c r="RVG6" s="433"/>
      <c r="RVH6" s="433"/>
      <c r="RVI6" s="433"/>
      <c r="RVJ6" s="433"/>
      <c r="RVK6" s="433"/>
      <c r="RVL6" s="433"/>
      <c r="RVM6" s="433"/>
      <c r="RVN6" s="433"/>
      <c r="RVO6" s="433"/>
      <c r="RVP6" s="433"/>
      <c r="RVQ6" s="433"/>
      <c r="RVR6" s="433"/>
      <c r="RVS6" s="433"/>
      <c r="RVT6" s="433"/>
      <c r="RVU6" s="433"/>
      <c r="RVV6" s="433"/>
      <c r="RVW6" s="433"/>
      <c r="RVX6" s="433"/>
      <c r="RVY6" s="433"/>
      <c r="RVZ6" s="433"/>
      <c r="RWA6" s="433"/>
      <c r="RWB6" s="433"/>
      <c r="RWC6" s="433"/>
      <c r="RWD6" s="433"/>
      <c r="RWE6" s="433"/>
      <c r="RWF6" s="433"/>
      <c r="RWG6" s="433"/>
      <c r="RWH6" s="433"/>
      <c r="RWI6" s="433"/>
      <c r="RWJ6" s="433"/>
      <c r="RWK6" s="433"/>
      <c r="RWL6" s="433"/>
      <c r="RWM6" s="433"/>
      <c r="RWN6" s="433"/>
      <c r="RWO6" s="433"/>
      <c r="RWP6" s="433"/>
      <c r="RWQ6" s="433"/>
      <c r="RWR6" s="433"/>
      <c r="RWS6" s="433"/>
      <c r="RWT6" s="433"/>
      <c r="RWU6" s="433"/>
      <c r="RWV6" s="433"/>
      <c r="RWW6" s="433"/>
      <c r="RWX6" s="433"/>
      <c r="RWY6" s="433"/>
      <c r="RWZ6" s="433"/>
      <c r="RXA6" s="433"/>
      <c r="RXB6" s="433"/>
      <c r="RXC6" s="433"/>
      <c r="RXD6" s="433"/>
      <c r="RXE6" s="433"/>
      <c r="RXF6" s="433"/>
      <c r="RXG6" s="433"/>
      <c r="RXH6" s="433"/>
      <c r="RXI6" s="433"/>
      <c r="RXJ6" s="433"/>
      <c r="RXK6" s="433"/>
      <c r="RXL6" s="433"/>
      <c r="RXM6" s="433"/>
      <c r="RXN6" s="433"/>
      <c r="RXO6" s="433"/>
      <c r="RXP6" s="433"/>
      <c r="RXQ6" s="433"/>
      <c r="RXR6" s="433"/>
      <c r="RXS6" s="433"/>
      <c r="RXT6" s="433"/>
      <c r="RXU6" s="433"/>
      <c r="RXV6" s="433"/>
      <c r="RXW6" s="433"/>
      <c r="RXX6" s="433"/>
      <c r="RXY6" s="433"/>
      <c r="RXZ6" s="433"/>
      <c r="RYA6" s="433"/>
      <c r="RYB6" s="433"/>
      <c r="RYC6" s="433"/>
      <c r="RYD6" s="433"/>
      <c r="RYE6" s="433"/>
      <c r="RYF6" s="433"/>
      <c r="RYG6" s="433"/>
      <c r="RYH6" s="433"/>
      <c r="RYI6" s="433"/>
      <c r="RYJ6" s="433"/>
      <c r="RYK6" s="433"/>
      <c r="RYL6" s="433"/>
      <c r="RYM6" s="433"/>
      <c r="RYN6" s="433"/>
      <c r="RYO6" s="433"/>
      <c r="RYP6" s="433"/>
      <c r="RYQ6" s="433"/>
      <c r="RYR6" s="433"/>
      <c r="RYS6" s="433"/>
      <c r="RYT6" s="433"/>
      <c r="RYU6" s="433"/>
      <c r="RYV6" s="433"/>
      <c r="RYW6" s="433"/>
      <c r="RYX6" s="433"/>
      <c r="RYY6" s="433"/>
      <c r="RYZ6" s="433"/>
      <c r="RZA6" s="433"/>
      <c r="RZB6" s="433"/>
      <c r="RZC6" s="433"/>
      <c r="RZD6" s="433"/>
      <c r="RZE6" s="433"/>
      <c r="RZF6" s="433"/>
      <c r="RZG6" s="433"/>
      <c r="RZH6" s="433"/>
      <c r="RZI6" s="433"/>
      <c r="RZJ6" s="433"/>
      <c r="RZK6" s="433"/>
      <c r="RZL6" s="433"/>
      <c r="RZM6" s="433"/>
      <c r="RZN6" s="433"/>
      <c r="RZO6" s="433"/>
      <c r="RZP6" s="433"/>
      <c r="RZQ6" s="433"/>
      <c r="RZR6" s="433"/>
      <c r="RZS6" s="433"/>
      <c r="RZT6" s="433"/>
      <c r="RZU6" s="433"/>
      <c r="RZV6" s="433"/>
      <c r="RZW6" s="433"/>
      <c r="RZX6" s="433"/>
      <c r="RZY6" s="433"/>
      <c r="RZZ6" s="433"/>
      <c r="SAA6" s="433"/>
      <c r="SAB6" s="433"/>
      <c r="SAC6" s="433"/>
      <c r="SAD6" s="433"/>
      <c r="SAE6" s="433"/>
      <c r="SAF6" s="433"/>
      <c r="SAG6" s="433"/>
      <c r="SAH6" s="433"/>
      <c r="SAI6" s="433"/>
      <c r="SAJ6" s="433"/>
      <c r="SAK6" s="433"/>
      <c r="SAL6" s="433"/>
      <c r="SAM6" s="433"/>
      <c r="SAN6" s="433"/>
      <c r="SAO6" s="433"/>
      <c r="SAP6" s="433"/>
      <c r="SAQ6" s="433"/>
      <c r="SAR6" s="433"/>
      <c r="SAS6" s="433"/>
      <c r="SAT6" s="433"/>
      <c r="SAU6" s="433"/>
      <c r="SAV6" s="433"/>
      <c r="SAW6" s="433"/>
      <c r="SAX6" s="433"/>
      <c r="SAY6" s="433"/>
      <c r="SAZ6" s="433"/>
      <c r="SBA6" s="433"/>
      <c r="SBB6" s="433"/>
      <c r="SBC6" s="433"/>
      <c r="SBD6" s="433"/>
      <c r="SBE6" s="433"/>
      <c r="SBF6" s="433"/>
      <c r="SBG6" s="433"/>
      <c r="SBH6" s="433"/>
      <c r="SBI6" s="433"/>
      <c r="SBJ6" s="433"/>
      <c r="SBK6" s="433"/>
      <c r="SBL6" s="433"/>
      <c r="SBM6" s="433"/>
      <c r="SBN6" s="433"/>
      <c r="SBO6" s="433"/>
      <c r="SBP6" s="433"/>
      <c r="SBQ6" s="433"/>
      <c r="SBR6" s="433"/>
      <c r="SBS6" s="433"/>
      <c r="SBT6" s="433"/>
      <c r="SBU6" s="433"/>
      <c r="SBV6" s="433"/>
      <c r="SBW6" s="433"/>
      <c r="SBX6" s="433"/>
      <c r="SBY6" s="433"/>
      <c r="SBZ6" s="433"/>
      <c r="SCA6" s="433"/>
      <c r="SCB6" s="433"/>
      <c r="SCC6" s="433"/>
      <c r="SCD6" s="433"/>
      <c r="SCE6" s="433"/>
      <c r="SCF6" s="433"/>
      <c r="SCG6" s="433"/>
      <c r="SCH6" s="433"/>
      <c r="SCI6" s="433"/>
      <c r="SCJ6" s="433"/>
      <c r="SCK6" s="433"/>
      <c r="SCL6" s="433"/>
      <c r="SCM6" s="433"/>
      <c r="SCN6" s="433"/>
      <c r="SCO6" s="433"/>
      <c r="SCP6" s="433"/>
      <c r="SCQ6" s="433"/>
      <c r="SCR6" s="433"/>
      <c r="SCS6" s="433"/>
      <c r="SCT6" s="433"/>
      <c r="SCU6" s="433"/>
      <c r="SCV6" s="433"/>
      <c r="SCW6" s="433"/>
      <c r="SCX6" s="433"/>
      <c r="SCY6" s="433"/>
      <c r="SCZ6" s="433"/>
      <c r="SDA6" s="433"/>
      <c r="SDB6" s="433"/>
      <c r="SDC6" s="433"/>
      <c r="SDD6" s="433"/>
      <c r="SDE6" s="433"/>
      <c r="SDF6" s="433"/>
      <c r="SDG6" s="433"/>
      <c r="SDH6" s="433"/>
      <c r="SDI6" s="433"/>
      <c r="SDJ6" s="433"/>
      <c r="SDK6" s="433"/>
      <c r="SDL6" s="433"/>
      <c r="SDM6" s="433"/>
      <c r="SDN6" s="433"/>
      <c r="SDO6" s="433"/>
      <c r="SDP6" s="433"/>
      <c r="SDQ6" s="433"/>
      <c r="SDR6" s="433"/>
      <c r="SDS6" s="433"/>
      <c r="SDT6" s="433"/>
      <c r="SDU6" s="433"/>
      <c r="SDV6" s="433"/>
      <c r="SDW6" s="433"/>
      <c r="SDX6" s="433"/>
      <c r="SDY6" s="433"/>
      <c r="SDZ6" s="433"/>
      <c r="SEA6" s="433"/>
      <c r="SEB6" s="433"/>
      <c r="SEC6" s="433"/>
      <c r="SED6" s="433"/>
      <c r="SEE6" s="433"/>
      <c r="SEF6" s="433"/>
      <c r="SEG6" s="433"/>
      <c r="SEH6" s="433"/>
      <c r="SEI6" s="433"/>
      <c r="SEJ6" s="433"/>
      <c r="SEK6" s="433"/>
      <c r="SEL6" s="433"/>
      <c r="SEM6" s="433"/>
      <c r="SEN6" s="433"/>
      <c r="SEO6" s="433"/>
      <c r="SEP6" s="433"/>
      <c r="SEQ6" s="433"/>
      <c r="SER6" s="433"/>
      <c r="SES6" s="433"/>
      <c r="SET6" s="433"/>
      <c r="SEU6" s="433"/>
      <c r="SEV6" s="433"/>
      <c r="SEW6" s="433"/>
      <c r="SEX6" s="433"/>
      <c r="SEY6" s="433"/>
      <c r="SEZ6" s="433"/>
      <c r="SFA6" s="433"/>
      <c r="SFB6" s="433"/>
      <c r="SFC6" s="433"/>
      <c r="SFD6" s="433"/>
      <c r="SFE6" s="433"/>
      <c r="SFF6" s="433"/>
      <c r="SFG6" s="433"/>
      <c r="SFH6" s="433"/>
      <c r="SFI6" s="433"/>
      <c r="SFJ6" s="433"/>
      <c r="SFK6" s="433"/>
      <c r="SFL6" s="433"/>
      <c r="SFM6" s="433"/>
      <c r="SFN6" s="433"/>
      <c r="SFO6" s="433"/>
      <c r="SFP6" s="433"/>
      <c r="SFQ6" s="433"/>
      <c r="SFR6" s="433"/>
      <c r="SFS6" s="433"/>
      <c r="SFT6" s="433"/>
      <c r="SFU6" s="433"/>
      <c r="SFV6" s="433"/>
      <c r="SFW6" s="433"/>
      <c r="SFX6" s="433"/>
      <c r="SFY6" s="433"/>
      <c r="SFZ6" s="433"/>
      <c r="SGA6" s="433"/>
      <c r="SGB6" s="433"/>
      <c r="SGC6" s="433"/>
      <c r="SGD6" s="433"/>
      <c r="SGE6" s="433"/>
      <c r="SGF6" s="433"/>
      <c r="SGG6" s="433"/>
      <c r="SGH6" s="433"/>
      <c r="SGI6" s="433"/>
      <c r="SGJ6" s="433"/>
      <c r="SGK6" s="433"/>
      <c r="SGL6" s="433"/>
      <c r="SGM6" s="433"/>
      <c r="SGN6" s="433"/>
      <c r="SGO6" s="433"/>
      <c r="SGP6" s="433"/>
      <c r="SGQ6" s="433"/>
      <c r="SGR6" s="433"/>
      <c r="SGS6" s="433"/>
      <c r="SGT6" s="433"/>
      <c r="SGU6" s="433"/>
      <c r="SGV6" s="433"/>
      <c r="SGW6" s="433"/>
      <c r="SGX6" s="433"/>
      <c r="SGY6" s="433"/>
      <c r="SGZ6" s="433"/>
      <c r="SHA6" s="433"/>
      <c r="SHB6" s="433"/>
      <c r="SHC6" s="433"/>
      <c r="SHD6" s="433"/>
      <c r="SHE6" s="433"/>
      <c r="SHF6" s="433"/>
      <c r="SHG6" s="433"/>
      <c r="SHH6" s="433"/>
      <c r="SHI6" s="433"/>
      <c r="SHJ6" s="433"/>
      <c r="SHK6" s="433"/>
      <c r="SHL6" s="433"/>
      <c r="SHM6" s="433"/>
      <c r="SHN6" s="433"/>
      <c r="SHO6" s="433"/>
      <c r="SHP6" s="433"/>
      <c r="SHQ6" s="433"/>
      <c r="SHR6" s="433"/>
      <c r="SHS6" s="433"/>
      <c r="SHT6" s="433"/>
      <c r="SHU6" s="433"/>
      <c r="SHV6" s="433"/>
      <c r="SHW6" s="433"/>
      <c r="SHX6" s="433"/>
      <c r="SHY6" s="433"/>
      <c r="SHZ6" s="433"/>
      <c r="SIA6" s="433"/>
      <c r="SIB6" s="433"/>
      <c r="SIC6" s="433"/>
      <c r="SID6" s="433"/>
      <c r="SIE6" s="433"/>
      <c r="SIF6" s="433"/>
      <c r="SIG6" s="433"/>
      <c r="SIH6" s="433"/>
      <c r="SII6" s="433"/>
      <c r="SIJ6" s="433"/>
      <c r="SIK6" s="433"/>
      <c r="SIL6" s="433"/>
      <c r="SIM6" s="433"/>
      <c r="SIN6" s="433"/>
      <c r="SIO6" s="433"/>
      <c r="SIP6" s="433"/>
      <c r="SIQ6" s="433"/>
      <c r="SIR6" s="433"/>
      <c r="SIS6" s="433"/>
      <c r="SIT6" s="433"/>
      <c r="SIU6" s="433"/>
      <c r="SIV6" s="433"/>
      <c r="SIW6" s="433"/>
      <c r="SIX6" s="433"/>
      <c r="SIY6" s="433"/>
      <c r="SIZ6" s="433"/>
      <c r="SJA6" s="433"/>
      <c r="SJB6" s="433"/>
      <c r="SJC6" s="433"/>
      <c r="SJD6" s="433"/>
      <c r="SJE6" s="433"/>
      <c r="SJF6" s="433"/>
      <c r="SJG6" s="433"/>
      <c r="SJH6" s="433"/>
      <c r="SJI6" s="433"/>
      <c r="SJJ6" s="433"/>
      <c r="SJK6" s="433"/>
      <c r="SJL6" s="433"/>
      <c r="SJM6" s="433"/>
      <c r="SJN6" s="433"/>
      <c r="SJO6" s="433"/>
      <c r="SJP6" s="433"/>
      <c r="SJQ6" s="433"/>
      <c r="SJR6" s="433"/>
      <c r="SJS6" s="433"/>
      <c r="SJT6" s="433"/>
      <c r="SJU6" s="433"/>
      <c r="SJV6" s="433"/>
      <c r="SJW6" s="433"/>
      <c r="SJX6" s="433"/>
      <c r="SJY6" s="433"/>
      <c r="SJZ6" s="433"/>
      <c r="SKA6" s="433"/>
      <c r="SKB6" s="433"/>
      <c r="SKC6" s="433"/>
      <c r="SKD6" s="433"/>
      <c r="SKE6" s="433"/>
      <c r="SKF6" s="433"/>
      <c r="SKG6" s="433"/>
      <c r="SKH6" s="433"/>
      <c r="SKI6" s="433"/>
      <c r="SKJ6" s="433"/>
      <c r="SKK6" s="433"/>
      <c r="SKL6" s="433"/>
      <c r="SKM6" s="433"/>
      <c r="SKN6" s="433"/>
      <c r="SKO6" s="433"/>
      <c r="SKP6" s="433"/>
      <c r="SKQ6" s="433"/>
      <c r="SKR6" s="433"/>
      <c r="SKS6" s="433"/>
      <c r="SKT6" s="433"/>
      <c r="SKU6" s="433"/>
      <c r="SKV6" s="433"/>
      <c r="SKW6" s="433"/>
      <c r="SKX6" s="433"/>
      <c r="SKY6" s="433"/>
      <c r="SKZ6" s="433"/>
      <c r="SLA6" s="433"/>
      <c r="SLB6" s="433"/>
      <c r="SLC6" s="433"/>
      <c r="SLD6" s="433"/>
      <c r="SLE6" s="433"/>
      <c r="SLF6" s="433"/>
      <c r="SLG6" s="433"/>
      <c r="SLH6" s="433"/>
      <c r="SLI6" s="433"/>
      <c r="SLJ6" s="433"/>
      <c r="SLK6" s="433"/>
      <c r="SLL6" s="433"/>
      <c r="SLM6" s="433"/>
      <c r="SLN6" s="433"/>
      <c r="SLO6" s="433"/>
      <c r="SLP6" s="433"/>
      <c r="SLQ6" s="433"/>
      <c r="SLR6" s="433"/>
      <c r="SLS6" s="433"/>
      <c r="SLT6" s="433"/>
      <c r="SLU6" s="433"/>
      <c r="SLV6" s="433"/>
      <c r="SLW6" s="433"/>
      <c r="SLX6" s="433"/>
      <c r="SLY6" s="433"/>
      <c r="SLZ6" s="433"/>
      <c r="SMA6" s="433"/>
      <c r="SMB6" s="433"/>
      <c r="SMC6" s="433"/>
      <c r="SMD6" s="433"/>
      <c r="SME6" s="433"/>
      <c r="SMF6" s="433"/>
      <c r="SMG6" s="433"/>
      <c r="SMH6" s="433"/>
      <c r="SMI6" s="433"/>
      <c r="SMJ6" s="433"/>
      <c r="SMK6" s="433"/>
      <c r="SML6" s="433"/>
      <c r="SMM6" s="433"/>
      <c r="SMN6" s="433"/>
      <c r="SMO6" s="433"/>
      <c r="SMP6" s="433"/>
      <c r="SMQ6" s="433"/>
      <c r="SMR6" s="433"/>
      <c r="SMS6" s="433"/>
      <c r="SMT6" s="433"/>
      <c r="SMU6" s="433"/>
      <c r="SMV6" s="433"/>
      <c r="SMW6" s="433"/>
      <c r="SMX6" s="433"/>
      <c r="SMY6" s="433"/>
      <c r="SMZ6" s="433"/>
      <c r="SNA6" s="433"/>
      <c r="SNB6" s="433"/>
      <c r="SNC6" s="433"/>
      <c r="SND6" s="433"/>
      <c r="SNE6" s="433"/>
      <c r="SNF6" s="433"/>
      <c r="SNG6" s="433"/>
      <c r="SNH6" s="433"/>
      <c r="SNI6" s="433"/>
      <c r="SNJ6" s="433"/>
      <c r="SNK6" s="433"/>
      <c r="SNL6" s="433"/>
      <c r="SNM6" s="433"/>
      <c r="SNN6" s="433"/>
      <c r="SNO6" s="433"/>
      <c r="SNP6" s="433"/>
      <c r="SNQ6" s="433"/>
      <c r="SNR6" s="433"/>
      <c r="SNS6" s="433"/>
      <c r="SNT6" s="433"/>
      <c r="SNU6" s="433"/>
      <c r="SNV6" s="433"/>
      <c r="SNW6" s="433"/>
      <c r="SNX6" s="433"/>
      <c r="SNY6" s="433"/>
      <c r="SNZ6" s="433"/>
      <c r="SOA6" s="433"/>
      <c r="SOB6" s="433"/>
      <c r="SOC6" s="433"/>
      <c r="SOD6" s="433"/>
      <c r="SOE6" s="433"/>
      <c r="SOF6" s="433"/>
      <c r="SOG6" s="433"/>
      <c r="SOH6" s="433"/>
      <c r="SOI6" s="433"/>
      <c r="SOJ6" s="433"/>
      <c r="SOK6" s="433"/>
      <c r="SOL6" s="433"/>
      <c r="SOM6" s="433"/>
      <c r="SON6" s="433"/>
      <c r="SOO6" s="433"/>
      <c r="SOP6" s="433"/>
      <c r="SOQ6" s="433"/>
      <c r="SOR6" s="433"/>
      <c r="SOS6" s="433"/>
      <c r="SOT6" s="433"/>
      <c r="SOU6" s="433"/>
      <c r="SOV6" s="433"/>
      <c r="SOW6" s="433"/>
      <c r="SOX6" s="433"/>
      <c r="SOY6" s="433"/>
      <c r="SOZ6" s="433"/>
      <c r="SPA6" s="433"/>
      <c r="SPB6" s="433"/>
      <c r="SPC6" s="433"/>
      <c r="SPD6" s="433"/>
      <c r="SPE6" s="433"/>
      <c r="SPF6" s="433"/>
      <c r="SPG6" s="433"/>
      <c r="SPH6" s="433"/>
      <c r="SPI6" s="433"/>
      <c r="SPJ6" s="433"/>
      <c r="SPK6" s="433"/>
      <c r="SPL6" s="433"/>
      <c r="SPM6" s="433"/>
      <c r="SPN6" s="433"/>
      <c r="SPO6" s="433"/>
      <c r="SPP6" s="433"/>
      <c r="SPQ6" s="433"/>
      <c r="SPR6" s="433"/>
      <c r="SPS6" s="433"/>
      <c r="SPT6" s="433"/>
      <c r="SPU6" s="433"/>
      <c r="SPV6" s="433"/>
      <c r="SPW6" s="433"/>
      <c r="SPX6" s="433"/>
      <c r="SPY6" s="433"/>
      <c r="SPZ6" s="433"/>
      <c r="SQA6" s="433"/>
      <c r="SQB6" s="433"/>
      <c r="SQC6" s="433"/>
      <c r="SQD6" s="433"/>
      <c r="SQE6" s="433"/>
      <c r="SQF6" s="433"/>
      <c r="SQG6" s="433"/>
      <c r="SQH6" s="433"/>
      <c r="SQI6" s="433"/>
      <c r="SQJ6" s="433"/>
      <c r="SQK6" s="433"/>
      <c r="SQL6" s="433"/>
      <c r="SQM6" s="433"/>
      <c r="SQN6" s="433"/>
      <c r="SQO6" s="433"/>
      <c r="SQP6" s="433"/>
      <c r="SQQ6" s="433"/>
      <c r="SQR6" s="433"/>
      <c r="SQS6" s="433"/>
      <c r="SQT6" s="433"/>
      <c r="SQU6" s="433"/>
      <c r="SQV6" s="433"/>
      <c r="SQW6" s="433"/>
      <c r="SQX6" s="433"/>
      <c r="SQY6" s="433"/>
      <c r="SQZ6" s="433"/>
      <c r="SRA6" s="433"/>
      <c r="SRB6" s="433"/>
      <c r="SRC6" s="433"/>
      <c r="SRD6" s="433"/>
      <c r="SRE6" s="433"/>
      <c r="SRF6" s="433"/>
      <c r="SRG6" s="433"/>
      <c r="SRH6" s="433"/>
      <c r="SRI6" s="433"/>
      <c r="SRJ6" s="433"/>
      <c r="SRK6" s="433"/>
      <c r="SRL6" s="433"/>
      <c r="SRM6" s="433"/>
      <c r="SRN6" s="433"/>
      <c r="SRO6" s="433"/>
      <c r="SRP6" s="433"/>
      <c r="SRQ6" s="433"/>
      <c r="SRR6" s="433"/>
      <c r="SRS6" s="433"/>
      <c r="SRT6" s="433"/>
      <c r="SRU6" s="433"/>
      <c r="SRV6" s="433"/>
      <c r="SRW6" s="433"/>
      <c r="SRX6" s="433"/>
      <c r="SRY6" s="433"/>
      <c r="SRZ6" s="433"/>
      <c r="SSA6" s="433"/>
      <c r="SSB6" s="433"/>
      <c r="SSC6" s="433"/>
      <c r="SSD6" s="433"/>
      <c r="SSE6" s="433"/>
      <c r="SSF6" s="433"/>
      <c r="SSG6" s="433"/>
      <c r="SSH6" s="433"/>
      <c r="SSI6" s="433"/>
      <c r="SSJ6" s="433"/>
      <c r="SSK6" s="433"/>
      <c r="SSL6" s="433"/>
      <c r="SSM6" s="433"/>
      <c r="SSN6" s="433"/>
      <c r="SSO6" s="433"/>
      <c r="SSP6" s="433"/>
      <c r="SSQ6" s="433"/>
      <c r="SSR6" s="433"/>
      <c r="SSS6" s="433"/>
      <c r="SST6" s="433"/>
      <c r="SSU6" s="433"/>
      <c r="SSV6" s="433"/>
      <c r="SSW6" s="433"/>
      <c r="SSX6" s="433"/>
      <c r="SSY6" s="433"/>
      <c r="SSZ6" s="433"/>
      <c r="STA6" s="433"/>
      <c r="STB6" s="433"/>
      <c r="STC6" s="433"/>
      <c r="STD6" s="433"/>
      <c r="STE6" s="433"/>
      <c r="STF6" s="433"/>
      <c r="STG6" s="433"/>
      <c r="STH6" s="433"/>
      <c r="STI6" s="433"/>
      <c r="STJ6" s="433"/>
      <c r="STK6" s="433"/>
      <c r="STL6" s="433"/>
      <c r="STM6" s="433"/>
      <c r="STN6" s="433"/>
      <c r="STO6" s="433"/>
      <c r="STP6" s="433"/>
      <c r="STQ6" s="433"/>
      <c r="STR6" s="433"/>
      <c r="STS6" s="433"/>
      <c r="STT6" s="433"/>
      <c r="STU6" s="433"/>
      <c r="STV6" s="433"/>
      <c r="STW6" s="433"/>
      <c r="STX6" s="433"/>
      <c r="STY6" s="433"/>
      <c r="STZ6" s="433"/>
      <c r="SUA6" s="433"/>
      <c r="SUB6" s="433"/>
      <c r="SUC6" s="433"/>
      <c r="SUD6" s="433"/>
      <c r="SUE6" s="433"/>
      <c r="SUF6" s="433"/>
      <c r="SUG6" s="433"/>
      <c r="SUH6" s="433"/>
      <c r="SUI6" s="433"/>
      <c r="SUJ6" s="433"/>
      <c r="SUK6" s="433"/>
      <c r="SUL6" s="433"/>
      <c r="SUM6" s="433"/>
      <c r="SUN6" s="433"/>
      <c r="SUO6" s="433"/>
      <c r="SUP6" s="433"/>
      <c r="SUQ6" s="433"/>
      <c r="SUR6" s="433"/>
      <c r="SUS6" s="433"/>
      <c r="SUT6" s="433"/>
      <c r="SUU6" s="433"/>
      <c r="SUV6" s="433"/>
      <c r="SUW6" s="433"/>
      <c r="SUX6" s="433"/>
      <c r="SUY6" s="433"/>
      <c r="SUZ6" s="433"/>
      <c r="SVA6" s="433"/>
      <c r="SVB6" s="433"/>
      <c r="SVC6" s="433"/>
      <c r="SVD6" s="433"/>
      <c r="SVE6" s="433"/>
      <c r="SVF6" s="433"/>
      <c r="SVG6" s="433"/>
      <c r="SVH6" s="433"/>
      <c r="SVI6" s="433"/>
      <c r="SVJ6" s="433"/>
      <c r="SVK6" s="433"/>
      <c r="SVL6" s="433"/>
      <c r="SVM6" s="433"/>
      <c r="SVN6" s="433"/>
      <c r="SVO6" s="433"/>
      <c r="SVP6" s="433"/>
      <c r="SVQ6" s="433"/>
      <c r="SVR6" s="433"/>
      <c r="SVS6" s="433"/>
      <c r="SVT6" s="433"/>
      <c r="SVU6" s="433"/>
      <c r="SVV6" s="433"/>
      <c r="SVW6" s="433"/>
      <c r="SVX6" s="433"/>
      <c r="SVY6" s="433"/>
      <c r="SVZ6" s="433"/>
      <c r="SWA6" s="433"/>
      <c r="SWB6" s="433"/>
      <c r="SWC6" s="433"/>
      <c r="SWD6" s="433"/>
      <c r="SWE6" s="433"/>
      <c r="SWF6" s="433"/>
      <c r="SWG6" s="433"/>
      <c r="SWH6" s="433"/>
      <c r="SWI6" s="433"/>
      <c r="SWJ6" s="433"/>
      <c r="SWK6" s="433"/>
      <c r="SWL6" s="433"/>
      <c r="SWM6" s="433"/>
      <c r="SWN6" s="433"/>
      <c r="SWO6" s="433"/>
      <c r="SWP6" s="433"/>
      <c r="SWQ6" s="433"/>
      <c r="SWR6" s="433"/>
      <c r="SWS6" s="433"/>
      <c r="SWT6" s="433"/>
      <c r="SWU6" s="433"/>
      <c r="SWV6" s="433"/>
      <c r="SWW6" s="433"/>
      <c r="SWX6" s="433"/>
      <c r="SWY6" s="433"/>
      <c r="SWZ6" s="433"/>
      <c r="SXA6" s="433"/>
      <c r="SXB6" s="433"/>
      <c r="SXC6" s="433"/>
      <c r="SXD6" s="433"/>
      <c r="SXE6" s="433"/>
      <c r="SXF6" s="433"/>
      <c r="SXG6" s="433"/>
      <c r="SXH6" s="433"/>
      <c r="SXI6" s="433"/>
      <c r="SXJ6" s="433"/>
      <c r="SXK6" s="433"/>
      <c r="SXL6" s="433"/>
      <c r="SXM6" s="433"/>
      <c r="SXN6" s="433"/>
      <c r="SXO6" s="433"/>
      <c r="SXP6" s="433"/>
      <c r="SXQ6" s="433"/>
      <c r="SXR6" s="433"/>
      <c r="SXS6" s="433"/>
      <c r="SXT6" s="433"/>
      <c r="SXU6" s="433"/>
      <c r="SXV6" s="433"/>
      <c r="SXW6" s="433"/>
      <c r="SXX6" s="433"/>
      <c r="SXY6" s="433"/>
      <c r="SXZ6" s="433"/>
      <c r="SYA6" s="433"/>
      <c r="SYB6" s="433"/>
      <c r="SYC6" s="433"/>
      <c r="SYD6" s="433"/>
      <c r="SYE6" s="433"/>
      <c r="SYF6" s="433"/>
      <c r="SYG6" s="433"/>
      <c r="SYH6" s="433"/>
      <c r="SYI6" s="433"/>
      <c r="SYJ6" s="433"/>
      <c r="SYK6" s="433"/>
      <c r="SYL6" s="433"/>
      <c r="SYM6" s="433"/>
      <c r="SYN6" s="433"/>
      <c r="SYO6" s="433"/>
      <c r="SYP6" s="433"/>
      <c r="SYQ6" s="433"/>
      <c r="SYR6" s="433"/>
      <c r="SYS6" s="433"/>
      <c r="SYT6" s="433"/>
      <c r="SYU6" s="433"/>
      <c r="SYV6" s="433"/>
      <c r="SYW6" s="433"/>
      <c r="SYX6" s="433"/>
      <c r="SYY6" s="433"/>
      <c r="SYZ6" s="433"/>
      <c r="SZA6" s="433"/>
      <c r="SZB6" s="433"/>
      <c r="SZC6" s="433"/>
      <c r="SZD6" s="433"/>
      <c r="SZE6" s="433"/>
      <c r="SZF6" s="433"/>
      <c r="SZG6" s="433"/>
      <c r="SZH6" s="433"/>
      <c r="SZI6" s="433"/>
      <c r="SZJ6" s="433"/>
      <c r="SZK6" s="433"/>
      <c r="SZL6" s="433"/>
      <c r="SZM6" s="433"/>
      <c r="SZN6" s="433"/>
      <c r="SZO6" s="433"/>
      <c r="SZP6" s="433"/>
      <c r="SZQ6" s="433"/>
      <c r="SZR6" s="433"/>
      <c r="SZS6" s="433"/>
      <c r="SZT6" s="433"/>
      <c r="SZU6" s="433"/>
      <c r="SZV6" s="433"/>
      <c r="SZW6" s="433"/>
      <c r="SZX6" s="433"/>
      <c r="SZY6" s="433"/>
      <c r="SZZ6" s="433"/>
      <c r="TAA6" s="433"/>
      <c r="TAB6" s="433"/>
      <c r="TAC6" s="433"/>
      <c r="TAD6" s="433"/>
      <c r="TAE6" s="433"/>
      <c r="TAF6" s="433"/>
      <c r="TAG6" s="433"/>
      <c r="TAH6" s="433"/>
      <c r="TAI6" s="433"/>
      <c r="TAJ6" s="433"/>
      <c r="TAK6" s="433"/>
      <c r="TAL6" s="433"/>
      <c r="TAM6" s="433"/>
      <c r="TAN6" s="433"/>
      <c r="TAO6" s="433"/>
      <c r="TAP6" s="433"/>
      <c r="TAQ6" s="433"/>
      <c r="TAR6" s="433"/>
      <c r="TAS6" s="433"/>
      <c r="TAT6" s="433"/>
      <c r="TAU6" s="433"/>
      <c r="TAV6" s="433"/>
      <c r="TAW6" s="433"/>
      <c r="TAX6" s="433"/>
      <c r="TAY6" s="433"/>
      <c r="TAZ6" s="433"/>
      <c r="TBA6" s="433"/>
      <c r="TBB6" s="433"/>
      <c r="TBC6" s="433"/>
      <c r="TBD6" s="433"/>
      <c r="TBE6" s="433"/>
      <c r="TBF6" s="433"/>
      <c r="TBG6" s="433"/>
      <c r="TBH6" s="433"/>
      <c r="TBI6" s="433"/>
      <c r="TBJ6" s="433"/>
      <c r="TBK6" s="433"/>
      <c r="TBL6" s="433"/>
      <c r="TBM6" s="433"/>
      <c r="TBN6" s="433"/>
      <c r="TBO6" s="433"/>
      <c r="TBP6" s="433"/>
      <c r="TBQ6" s="433"/>
      <c r="TBR6" s="433"/>
      <c r="TBS6" s="433"/>
      <c r="TBT6" s="433"/>
      <c r="TBU6" s="433"/>
      <c r="TBV6" s="433"/>
      <c r="TBW6" s="433"/>
      <c r="TBX6" s="433"/>
      <c r="TBY6" s="433"/>
      <c r="TBZ6" s="433"/>
      <c r="TCA6" s="433"/>
      <c r="TCB6" s="433"/>
      <c r="TCC6" s="433"/>
      <c r="TCD6" s="433"/>
      <c r="TCE6" s="433"/>
      <c r="TCF6" s="433"/>
      <c r="TCG6" s="433"/>
      <c r="TCH6" s="433"/>
      <c r="TCI6" s="433"/>
      <c r="TCJ6" s="433"/>
      <c r="TCK6" s="433"/>
      <c r="TCL6" s="433"/>
      <c r="TCM6" s="433"/>
      <c r="TCN6" s="433"/>
      <c r="TCO6" s="433"/>
      <c r="TCP6" s="433"/>
      <c r="TCQ6" s="433"/>
      <c r="TCR6" s="433"/>
      <c r="TCS6" s="433"/>
      <c r="TCT6" s="433"/>
      <c r="TCU6" s="433"/>
      <c r="TCV6" s="433"/>
      <c r="TCW6" s="433"/>
      <c r="TCX6" s="433"/>
      <c r="TCY6" s="433"/>
      <c r="TCZ6" s="433"/>
      <c r="TDA6" s="433"/>
      <c r="TDB6" s="433"/>
      <c r="TDC6" s="433"/>
      <c r="TDD6" s="433"/>
      <c r="TDE6" s="433"/>
      <c r="TDF6" s="433"/>
      <c r="TDG6" s="433"/>
      <c r="TDH6" s="433"/>
      <c r="TDI6" s="433"/>
      <c r="TDJ6" s="433"/>
      <c r="TDK6" s="433"/>
      <c r="TDL6" s="433"/>
      <c r="TDM6" s="433"/>
      <c r="TDN6" s="433"/>
      <c r="TDO6" s="433"/>
      <c r="TDP6" s="433"/>
      <c r="TDQ6" s="433"/>
      <c r="TDR6" s="433"/>
      <c r="TDS6" s="433"/>
      <c r="TDT6" s="433"/>
      <c r="TDU6" s="433"/>
      <c r="TDV6" s="433"/>
      <c r="TDW6" s="433"/>
      <c r="TDX6" s="433"/>
      <c r="TDY6" s="433"/>
      <c r="TDZ6" s="433"/>
      <c r="TEA6" s="433"/>
      <c r="TEB6" s="433"/>
      <c r="TEC6" s="433"/>
      <c r="TED6" s="433"/>
      <c r="TEE6" s="433"/>
      <c r="TEF6" s="433"/>
      <c r="TEG6" s="433"/>
      <c r="TEH6" s="433"/>
      <c r="TEI6" s="433"/>
      <c r="TEJ6" s="433"/>
      <c r="TEK6" s="433"/>
      <c r="TEL6" s="433"/>
      <c r="TEM6" s="433"/>
      <c r="TEN6" s="433"/>
      <c r="TEO6" s="433"/>
      <c r="TEP6" s="433"/>
      <c r="TEQ6" s="433"/>
      <c r="TER6" s="433"/>
      <c r="TES6" s="433"/>
      <c r="TET6" s="433"/>
      <c r="TEU6" s="433"/>
      <c r="TEV6" s="433"/>
      <c r="TEW6" s="433"/>
      <c r="TEX6" s="433"/>
      <c r="TEY6" s="433"/>
      <c r="TEZ6" s="433"/>
      <c r="TFA6" s="433"/>
      <c r="TFB6" s="433"/>
      <c r="TFC6" s="433"/>
      <c r="TFD6" s="433"/>
      <c r="TFE6" s="433"/>
      <c r="TFF6" s="433"/>
      <c r="TFG6" s="433"/>
      <c r="TFH6" s="433"/>
      <c r="TFI6" s="433"/>
      <c r="TFJ6" s="433"/>
      <c r="TFK6" s="433"/>
      <c r="TFL6" s="433"/>
      <c r="TFM6" s="433"/>
      <c r="TFN6" s="433"/>
      <c r="TFO6" s="433"/>
      <c r="TFP6" s="433"/>
      <c r="TFQ6" s="433"/>
      <c r="TFR6" s="433"/>
      <c r="TFS6" s="433"/>
      <c r="TFT6" s="433"/>
      <c r="TFU6" s="433"/>
      <c r="TFV6" s="433"/>
      <c r="TFW6" s="433"/>
      <c r="TFX6" s="433"/>
      <c r="TFY6" s="433"/>
      <c r="TFZ6" s="433"/>
      <c r="TGA6" s="433"/>
      <c r="TGB6" s="433"/>
      <c r="TGC6" s="433"/>
      <c r="TGD6" s="433"/>
      <c r="TGE6" s="433"/>
      <c r="TGF6" s="433"/>
      <c r="TGG6" s="433"/>
      <c r="TGH6" s="433"/>
      <c r="TGI6" s="433"/>
      <c r="TGJ6" s="433"/>
      <c r="TGK6" s="433"/>
      <c r="TGL6" s="433"/>
      <c r="TGM6" s="433"/>
      <c r="TGN6" s="433"/>
      <c r="TGO6" s="433"/>
      <c r="TGP6" s="433"/>
      <c r="TGQ6" s="433"/>
      <c r="TGR6" s="433"/>
      <c r="TGS6" s="433"/>
      <c r="TGT6" s="433"/>
      <c r="TGU6" s="433"/>
      <c r="TGV6" s="433"/>
      <c r="TGW6" s="433"/>
      <c r="TGX6" s="433"/>
      <c r="TGY6" s="433"/>
      <c r="TGZ6" s="433"/>
      <c r="THA6" s="433"/>
      <c r="THB6" s="433"/>
      <c r="THC6" s="433"/>
      <c r="THD6" s="433"/>
      <c r="THE6" s="433"/>
      <c r="THF6" s="433"/>
      <c r="THG6" s="433"/>
      <c r="THH6" s="433"/>
      <c r="THI6" s="433"/>
      <c r="THJ6" s="433"/>
      <c r="THK6" s="433"/>
      <c r="THL6" s="433"/>
      <c r="THM6" s="433"/>
      <c r="THN6" s="433"/>
      <c r="THO6" s="433"/>
      <c r="THP6" s="433"/>
      <c r="THQ6" s="433"/>
      <c r="THR6" s="433"/>
      <c r="THS6" s="433"/>
      <c r="THT6" s="433"/>
      <c r="THU6" s="433"/>
      <c r="THV6" s="433"/>
      <c r="THW6" s="433"/>
      <c r="THX6" s="433"/>
      <c r="THY6" s="433"/>
      <c r="THZ6" s="433"/>
      <c r="TIA6" s="433"/>
      <c r="TIB6" s="433"/>
      <c r="TIC6" s="433"/>
      <c r="TID6" s="433"/>
      <c r="TIE6" s="433"/>
      <c r="TIF6" s="433"/>
      <c r="TIG6" s="433"/>
      <c r="TIH6" s="433"/>
      <c r="TII6" s="433"/>
      <c r="TIJ6" s="433"/>
      <c r="TIK6" s="433"/>
      <c r="TIL6" s="433"/>
      <c r="TIM6" s="433"/>
      <c r="TIN6" s="433"/>
      <c r="TIO6" s="433"/>
      <c r="TIP6" s="433"/>
      <c r="TIQ6" s="433"/>
      <c r="TIR6" s="433"/>
      <c r="TIS6" s="433"/>
      <c r="TIT6" s="433"/>
      <c r="TIU6" s="433"/>
      <c r="TIV6" s="433"/>
      <c r="TIW6" s="433"/>
      <c r="TIX6" s="433"/>
      <c r="TIY6" s="433"/>
      <c r="TIZ6" s="433"/>
      <c r="TJA6" s="433"/>
      <c r="TJB6" s="433"/>
      <c r="TJC6" s="433"/>
      <c r="TJD6" s="433"/>
      <c r="TJE6" s="433"/>
      <c r="TJF6" s="433"/>
      <c r="TJG6" s="433"/>
      <c r="TJH6" s="433"/>
      <c r="TJI6" s="433"/>
      <c r="TJJ6" s="433"/>
      <c r="TJK6" s="433"/>
      <c r="TJL6" s="433"/>
      <c r="TJM6" s="433"/>
      <c r="TJN6" s="433"/>
      <c r="TJO6" s="433"/>
      <c r="TJP6" s="433"/>
      <c r="TJQ6" s="433"/>
      <c r="TJR6" s="433"/>
      <c r="TJS6" s="433"/>
      <c r="TJT6" s="433"/>
      <c r="TJU6" s="433"/>
      <c r="TJV6" s="433"/>
      <c r="TJW6" s="433"/>
      <c r="TJX6" s="433"/>
      <c r="TJY6" s="433"/>
      <c r="TJZ6" s="433"/>
      <c r="TKA6" s="433"/>
      <c r="TKB6" s="433"/>
      <c r="TKC6" s="433"/>
      <c r="TKD6" s="433"/>
      <c r="TKE6" s="433"/>
      <c r="TKF6" s="433"/>
      <c r="TKG6" s="433"/>
      <c r="TKH6" s="433"/>
      <c r="TKI6" s="433"/>
      <c r="TKJ6" s="433"/>
      <c r="TKK6" s="433"/>
      <c r="TKL6" s="433"/>
      <c r="TKM6" s="433"/>
      <c r="TKN6" s="433"/>
      <c r="TKO6" s="433"/>
      <c r="TKP6" s="433"/>
      <c r="TKQ6" s="433"/>
      <c r="TKR6" s="433"/>
      <c r="TKS6" s="433"/>
      <c r="TKT6" s="433"/>
      <c r="TKU6" s="433"/>
      <c r="TKV6" s="433"/>
      <c r="TKW6" s="433"/>
      <c r="TKX6" s="433"/>
      <c r="TKY6" s="433"/>
      <c r="TKZ6" s="433"/>
      <c r="TLA6" s="433"/>
      <c r="TLB6" s="433"/>
      <c r="TLC6" s="433"/>
      <c r="TLD6" s="433"/>
      <c r="TLE6" s="433"/>
      <c r="TLF6" s="433"/>
      <c r="TLG6" s="433"/>
      <c r="TLH6" s="433"/>
      <c r="TLI6" s="433"/>
      <c r="TLJ6" s="433"/>
      <c r="TLK6" s="433"/>
      <c r="TLL6" s="433"/>
      <c r="TLM6" s="433"/>
      <c r="TLN6" s="433"/>
      <c r="TLO6" s="433"/>
      <c r="TLP6" s="433"/>
      <c r="TLQ6" s="433"/>
      <c r="TLR6" s="433"/>
      <c r="TLS6" s="433"/>
      <c r="TLT6" s="433"/>
      <c r="TLU6" s="433"/>
      <c r="TLV6" s="433"/>
      <c r="TLW6" s="433"/>
      <c r="TLX6" s="433"/>
      <c r="TLY6" s="433"/>
      <c r="TLZ6" s="433"/>
      <c r="TMA6" s="433"/>
      <c r="TMB6" s="433"/>
      <c r="TMC6" s="433"/>
      <c r="TMD6" s="433"/>
      <c r="TME6" s="433"/>
      <c r="TMF6" s="433"/>
      <c r="TMG6" s="433"/>
      <c r="TMH6" s="433"/>
      <c r="TMI6" s="433"/>
      <c r="TMJ6" s="433"/>
      <c r="TMK6" s="433"/>
      <c r="TML6" s="433"/>
      <c r="TMM6" s="433"/>
      <c r="TMN6" s="433"/>
      <c r="TMO6" s="433"/>
      <c r="TMP6" s="433"/>
      <c r="TMQ6" s="433"/>
      <c r="TMR6" s="433"/>
      <c r="TMS6" s="433"/>
      <c r="TMT6" s="433"/>
      <c r="TMU6" s="433"/>
      <c r="TMV6" s="433"/>
      <c r="TMW6" s="433"/>
      <c r="TMX6" s="433"/>
      <c r="TMY6" s="433"/>
      <c r="TMZ6" s="433"/>
      <c r="TNA6" s="433"/>
      <c r="TNB6" s="433"/>
      <c r="TNC6" s="433"/>
      <c r="TND6" s="433"/>
      <c r="TNE6" s="433"/>
      <c r="TNF6" s="433"/>
      <c r="TNG6" s="433"/>
      <c r="TNH6" s="433"/>
      <c r="TNI6" s="433"/>
      <c r="TNJ6" s="433"/>
      <c r="TNK6" s="433"/>
      <c r="TNL6" s="433"/>
      <c r="TNM6" s="433"/>
      <c r="TNN6" s="433"/>
      <c r="TNO6" s="433"/>
      <c r="TNP6" s="433"/>
      <c r="TNQ6" s="433"/>
      <c r="TNR6" s="433"/>
      <c r="TNS6" s="433"/>
      <c r="TNT6" s="433"/>
      <c r="TNU6" s="433"/>
      <c r="TNV6" s="433"/>
      <c r="TNW6" s="433"/>
      <c r="TNX6" s="433"/>
      <c r="TNY6" s="433"/>
      <c r="TNZ6" s="433"/>
      <c r="TOA6" s="433"/>
      <c r="TOB6" s="433"/>
      <c r="TOC6" s="433"/>
      <c r="TOD6" s="433"/>
      <c r="TOE6" s="433"/>
      <c r="TOF6" s="433"/>
      <c r="TOG6" s="433"/>
      <c r="TOH6" s="433"/>
      <c r="TOI6" s="433"/>
      <c r="TOJ6" s="433"/>
      <c r="TOK6" s="433"/>
      <c r="TOL6" s="433"/>
      <c r="TOM6" s="433"/>
      <c r="TON6" s="433"/>
      <c r="TOO6" s="433"/>
      <c r="TOP6" s="433"/>
      <c r="TOQ6" s="433"/>
      <c r="TOR6" s="433"/>
      <c r="TOS6" s="433"/>
      <c r="TOT6" s="433"/>
      <c r="TOU6" s="433"/>
      <c r="TOV6" s="433"/>
      <c r="TOW6" s="433"/>
      <c r="TOX6" s="433"/>
      <c r="TOY6" s="433"/>
      <c r="TOZ6" s="433"/>
      <c r="TPA6" s="433"/>
      <c r="TPB6" s="433"/>
      <c r="TPC6" s="433"/>
      <c r="TPD6" s="433"/>
      <c r="TPE6" s="433"/>
      <c r="TPF6" s="433"/>
      <c r="TPG6" s="433"/>
      <c r="TPH6" s="433"/>
      <c r="TPI6" s="433"/>
      <c r="TPJ6" s="433"/>
      <c r="TPK6" s="433"/>
      <c r="TPL6" s="433"/>
      <c r="TPM6" s="433"/>
      <c r="TPN6" s="433"/>
      <c r="TPO6" s="433"/>
      <c r="TPP6" s="433"/>
      <c r="TPQ6" s="433"/>
      <c r="TPR6" s="433"/>
      <c r="TPS6" s="433"/>
      <c r="TPT6" s="433"/>
      <c r="TPU6" s="433"/>
      <c r="TPV6" s="433"/>
      <c r="TPW6" s="433"/>
      <c r="TPX6" s="433"/>
      <c r="TPY6" s="433"/>
      <c r="TPZ6" s="433"/>
      <c r="TQA6" s="433"/>
      <c r="TQB6" s="433"/>
      <c r="TQC6" s="433"/>
      <c r="TQD6" s="433"/>
      <c r="TQE6" s="433"/>
      <c r="TQF6" s="433"/>
      <c r="TQG6" s="433"/>
      <c r="TQH6" s="433"/>
      <c r="TQI6" s="433"/>
      <c r="TQJ6" s="433"/>
      <c r="TQK6" s="433"/>
      <c r="TQL6" s="433"/>
      <c r="TQM6" s="433"/>
      <c r="TQN6" s="433"/>
      <c r="TQO6" s="433"/>
      <c r="TQP6" s="433"/>
      <c r="TQQ6" s="433"/>
      <c r="TQR6" s="433"/>
      <c r="TQS6" s="433"/>
      <c r="TQT6" s="433"/>
      <c r="TQU6" s="433"/>
      <c r="TQV6" s="433"/>
      <c r="TQW6" s="433"/>
      <c r="TQX6" s="433"/>
      <c r="TQY6" s="433"/>
      <c r="TQZ6" s="433"/>
      <c r="TRA6" s="433"/>
      <c r="TRB6" s="433"/>
      <c r="TRC6" s="433"/>
      <c r="TRD6" s="433"/>
      <c r="TRE6" s="433"/>
      <c r="TRF6" s="433"/>
      <c r="TRG6" s="433"/>
      <c r="TRH6" s="433"/>
      <c r="TRI6" s="433"/>
      <c r="TRJ6" s="433"/>
      <c r="TRK6" s="433"/>
      <c r="TRL6" s="433"/>
      <c r="TRM6" s="433"/>
      <c r="TRN6" s="433"/>
      <c r="TRO6" s="433"/>
      <c r="TRP6" s="433"/>
      <c r="TRQ6" s="433"/>
      <c r="TRR6" s="433"/>
      <c r="TRS6" s="433"/>
      <c r="TRT6" s="433"/>
      <c r="TRU6" s="433"/>
      <c r="TRV6" s="433"/>
      <c r="TRW6" s="433"/>
      <c r="TRX6" s="433"/>
      <c r="TRY6" s="433"/>
      <c r="TRZ6" s="433"/>
      <c r="TSA6" s="433"/>
      <c r="TSB6" s="433"/>
      <c r="TSC6" s="433"/>
      <c r="TSD6" s="433"/>
      <c r="TSE6" s="433"/>
      <c r="TSF6" s="433"/>
      <c r="TSG6" s="433"/>
      <c r="TSH6" s="433"/>
      <c r="TSI6" s="433"/>
      <c r="TSJ6" s="433"/>
      <c r="TSK6" s="433"/>
      <c r="TSL6" s="433"/>
      <c r="TSM6" s="433"/>
      <c r="TSN6" s="433"/>
      <c r="TSO6" s="433"/>
      <c r="TSP6" s="433"/>
      <c r="TSQ6" s="433"/>
      <c r="TSR6" s="433"/>
      <c r="TSS6" s="433"/>
      <c r="TST6" s="433"/>
      <c r="TSU6" s="433"/>
      <c r="TSV6" s="433"/>
      <c r="TSW6" s="433"/>
      <c r="TSX6" s="433"/>
      <c r="TSY6" s="433"/>
      <c r="TSZ6" s="433"/>
      <c r="TTA6" s="433"/>
      <c r="TTB6" s="433"/>
      <c r="TTC6" s="433"/>
      <c r="TTD6" s="433"/>
      <c r="TTE6" s="433"/>
      <c r="TTF6" s="433"/>
      <c r="TTG6" s="433"/>
      <c r="TTH6" s="433"/>
      <c r="TTI6" s="433"/>
      <c r="TTJ6" s="433"/>
      <c r="TTK6" s="433"/>
      <c r="TTL6" s="433"/>
      <c r="TTM6" s="433"/>
      <c r="TTN6" s="433"/>
      <c r="TTO6" s="433"/>
      <c r="TTP6" s="433"/>
      <c r="TTQ6" s="433"/>
      <c r="TTR6" s="433"/>
      <c r="TTS6" s="433"/>
      <c r="TTT6" s="433"/>
      <c r="TTU6" s="433"/>
      <c r="TTV6" s="433"/>
      <c r="TTW6" s="433"/>
      <c r="TTX6" s="433"/>
      <c r="TTY6" s="433"/>
      <c r="TTZ6" s="433"/>
      <c r="TUA6" s="433"/>
      <c r="TUB6" s="433"/>
      <c r="TUC6" s="433"/>
      <c r="TUD6" s="433"/>
      <c r="TUE6" s="433"/>
      <c r="TUF6" s="433"/>
      <c r="TUG6" s="433"/>
      <c r="TUH6" s="433"/>
      <c r="TUI6" s="433"/>
      <c r="TUJ6" s="433"/>
      <c r="TUK6" s="433"/>
      <c r="TUL6" s="433"/>
      <c r="TUM6" s="433"/>
      <c r="TUN6" s="433"/>
      <c r="TUO6" s="433"/>
      <c r="TUP6" s="433"/>
      <c r="TUQ6" s="433"/>
      <c r="TUR6" s="433"/>
      <c r="TUS6" s="433"/>
      <c r="TUT6" s="433"/>
      <c r="TUU6" s="433"/>
      <c r="TUV6" s="433"/>
      <c r="TUW6" s="433"/>
      <c r="TUX6" s="433"/>
      <c r="TUY6" s="433"/>
      <c r="TUZ6" s="433"/>
      <c r="TVA6" s="433"/>
      <c r="TVB6" s="433"/>
      <c r="TVC6" s="433"/>
      <c r="TVD6" s="433"/>
      <c r="TVE6" s="433"/>
      <c r="TVF6" s="433"/>
      <c r="TVG6" s="433"/>
      <c r="TVH6" s="433"/>
      <c r="TVI6" s="433"/>
      <c r="TVJ6" s="433"/>
      <c r="TVK6" s="433"/>
      <c r="TVL6" s="433"/>
      <c r="TVM6" s="433"/>
      <c r="TVN6" s="433"/>
      <c r="TVO6" s="433"/>
      <c r="TVP6" s="433"/>
      <c r="TVQ6" s="433"/>
      <c r="TVR6" s="433"/>
      <c r="TVS6" s="433"/>
      <c r="TVT6" s="433"/>
      <c r="TVU6" s="433"/>
      <c r="TVV6" s="433"/>
      <c r="TVW6" s="433"/>
      <c r="TVX6" s="433"/>
      <c r="TVY6" s="433"/>
      <c r="TVZ6" s="433"/>
      <c r="TWA6" s="433"/>
      <c r="TWB6" s="433"/>
      <c r="TWC6" s="433"/>
      <c r="TWD6" s="433"/>
      <c r="TWE6" s="433"/>
      <c r="TWF6" s="433"/>
      <c r="TWG6" s="433"/>
      <c r="TWH6" s="433"/>
      <c r="TWI6" s="433"/>
      <c r="TWJ6" s="433"/>
      <c r="TWK6" s="433"/>
      <c r="TWL6" s="433"/>
      <c r="TWM6" s="433"/>
      <c r="TWN6" s="433"/>
      <c r="TWO6" s="433"/>
      <c r="TWP6" s="433"/>
      <c r="TWQ6" s="433"/>
      <c r="TWR6" s="433"/>
      <c r="TWS6" s="433"/>
      <c r="TWT6" s="433"/>
      <c r="TWU6" s="433"/>
      <c r="TWV6" s="433"/>
      <c r="TWW6" s="433"/>
      <c r="TWX6" s="433"/>
      <c r="TWY6" s="433"/>
      <c r="TWZ6" s="433"/>
      <c r="TXA6" s="433"/>
      <c r="TXB6" s="433"/>
      <c r="TXC6" s="433"/>
      <c r="TXD6" s="433"/>
      <c r="TXE6" s="433"/>
      <c r="TXF6" s="433"/>
      <c r="TXG6" s="433"/>
      <c r="TXH6" s="433"/>
      <c r="TXI6" s="433"/>
      <c r="TXJ6" s="433"/>
      <c r="TXK6" s="433"/>
      <c r="TXL6" s="433"/>
      <c r="TXM6" s="433"/>
      <c r="TXN6" s="433"/>
      <c r="TXO6" s="433"/>
      <c r="TXP6" s="433"/>
      <c r="TXQ6" s="433"/>
      <c r="TXR6" s="433"/>
      <c r="TXS6" s="433"/>
      <c r="TXT6" s="433"/>
      <c r="TXU6" s="433"/>
      <c r="TXV6" s="433"/>
      <c r="TXW6" s="433"/>
      <c r="TXX6" s="433"/>
      <c r="TXY6" s="433"/>
      <c r="TXZ6" s="433"/>
      <c r="TYA6" s="433"/>
      <c r="TYB6" s="433"/>
      <c r="TYC6" s="433"/>
      <c r="TYD6" s="433"/>
      <c r="TYE6" s="433"/>
      <c r="TYF6" s="433"/>
      <c r="TYG6" s="433"/>
      <c r="TYH6" s="433"/>
      <c r="TYI6" s="433"/>
      <c r="TYJ6" s="433"/>
      <c r="TYK6" s="433"/>
      <c r="TYL6" s="433"/>
      <c r="TYM6" s="433"/>
      <c r="TYN6" s="433"/>
      <c r="TYO6" s="433"/>
      <c r="TYP6" s="433"/>
      <c r="TYQ6" s="433"/>
      <c r="TYR6" s="433"/>
      <c r="TYS6" s="433"/>
      <c r="TYT6" s="433"/>
      <c r="TYU6" s="433"/>
      <c r="TYV6" s="433"/>
      <c r="TYW6" s="433"/>
      <c r="TYX6" s="433"/>
      <c r="TYY6" s="433"/>
      <c r="TYZ6" s="433"/>
      <c r="TZA6" s="433"/>
      <c r="TZB6" s="433"/>
      <c r="TZC6" s="433"/>
      <c r="TZD6" s="433"/>
      <c r="TZE6" s="433"/>
      <c r="TZF6" s="433"/>
      <c r="TZG6" s="433"/>
      <c r="TZH6" s="433"/>
      <c r="TZI6" s="433"/>
      <c r="TZJ6" s="433"/>
      <c r="TZK6" s="433"/>
      <c r="TZL6" s="433"/>
      <c r="TZM6" s="433"/>
      <c r="TZN6" s="433"/>
      <c r="TZO6" s="433"/>
      <c r="TZP6" s="433"/>
      <c r="TZQ6" s="433"/>
      <c r="TZR6" s="433"/>
      <c r="TZS6" s="433"/>
      <c r="TZT6" s="433"/>
      <c r="TZU6" s="433"/>
      <c r="TZV6" s="433"/>
      <c r="TZW6" s="433"/>
      <c r="TZX6" s="433"/>
      <c r="TZY6" s="433"/>
      <c r="TZZ6" s="433"/>
      <c r="UAA6" s="433"/>
      <c r="UAB6" s="433"/>
      <c r="UAC6" s="433"/>
      <c r="UAD6" s="433"/>
      <c r="UAE6" s="433"/>
      <c r="UAF6" s="433"/>
      <c r="UAG6" s="433"/>
      <c r="UAH6" s="433"/>
      <c r="UAI6" s="433"/>
      <c r="UAJ6" s="433"/>
      <c r="UAK6" s="433"/>
      <c r="UAL6" s="433"/>
      <c r="UAM6" s="433"/>
      <c r="UAN6" s="433"/>
      <c r="UAO6" s="433"/>
      <c r="UAP6" s="433"/>
      <c r="UAQ6" s="433"/>
      <c r="UAR6" s="433"/>
      <c r="UAS6" s="433"/>
      <c r="UAT6" s="433"/>
      <c r="UAU6" s="433"/>
      <c r="UAV6" s="433"/>
      <c r="UAW6" s="433"/>
      <c r="UAX6" s="433"/>
      <c r="UAY6" s="433"/>
      <c r="UAZ6" s="433"/>
      <c r="UBA6" s="433"/>
      <c r="UBB6" s="433"/>
      <c r="UBC6" s="433"/>
      <c r="UBD6" s="433"/>
      <c r="UBE6" s="433"/>
      <c r="UBF6" s="433"/>
      <c r="UBG6" s="433"/>
      <c r="UBH6" s="433"/>
      <c r="UBI6" s="433"/>
      <c r="UBJ6" s="433"/>
      <c r="UBK6" s="433"/>
      <c r="UBL6" s="433"/>
      <c r="UBM6" s="433"/>
      <c r="UBN6" s="433"/>
      <c r="UBO6" s="433"/>
      <c r="UBP6" s="433"/>
      <c r="UBQ6" s="433"/>
      <c r="UBR6" s="433"/>
      <c r="UBS6" s="433"/>
      <c r="UBT6" s="433"/>
      <c r="UBU6" s="433"/>
      <c r="UBV6" s="433"/>
      <c r="UBW6" s="433"/>
      <c r="UBX6" s="433"/>
      <c r="UBY6" s="433"/>
      <c r="UBZ6" s="433"/>
      <c r="UCA6" s="433"/>
      <c r="UCB6" s="433"/>
      <c r="UCC6" s="433"/>
      <c r="UCD6" s="433"/>
      <c r="UCE6" s="433"/>
      <c r="UCF6" s="433"/>
      <c r="UCG6" s="433"/>
      <c r="UCH6" s="433"/>
      <c r="UCI6" s="433"/>
      <c r="UCJ6" s="433"/>
      <c r="UCK6" s="433"/>
      <c r="UCL6" s="433"/>
      <c r="UCM6" s="433"/>
      <c r="UCN6" s="433"/>
      <c r="UCO6" s="433"/>
      <c r="UCP6" s="433"/>
      <c r="UCQ6" s="433"/>
      <c r="UCR6" s="433"/>
      <c r="UCS6" s="433"/>
      <c r="UCT6" s="433"/>
      <c r="UCU6" s="433"/>
      <c r="UCV6" s="433"/>
      <c r="UCW6" s="433"/>
      <c r="UCX6" s="433"/>
      <c r="UCY6" s="433"/>
      <c r="UCZ6" s="433"/>
      <c r="UDA6" s="433"/>
      <c r="UDB6" s="433"/>
      <c r="UDC6" s="433"/>
      <c r="UDD6" s="433"/>
      <c r="UDE6" s="433"/>
      <c r="UDF6" s="433"/>
      <c r="UDG6" s="433"/>
      <c r="UDH6" s="433"/>
      <c r="UDI6" s="433"/>
      <c r="UDJ6" s="433"/>
      <c r="UDK6" s="433"/>
      <c r="UDL6" s="433"/>
      <c r="UDM6" s="433"/>
      <c r="UDN6" s="433"/>
      <c r="UDO6" s="433"/>
      <c r="UDP6" s="433"/>
      <c r="UDQ6" s="433"/>
      <c r="UDR6" s="433"/>
      <c r="UDS6" s="433"/>
      <c r="UDT6" s="433"/>
      <c r="UDU6" s="433"/>
      <c r="UDV6" s="433"/>
      <c r="UDW6" s="433"/>
      <c r="UDX6" s="433"/>
      <c r="UDY6" s="433"/>
      <c r="UDZ6" s="433"/>
      <c r="UEA6" s="433"/>
      <c r="UEB6" s="433"/>
      <c r="UEC6" s="433"/>
      <c r="UED6" s="433"/>
      <c r="UEE6" s="433"/>
      <c r="UEF6" s="433"/>
      <c r="UEG6" s="433"/>
      <c r="UEH6" s="433"/>
      <c r="UEI6" s="433"/>
      <c r="UEJ6" s="433"/>
      <c r="UEK6" s="433"/>
      <c r="UEL6" s="433"/>
      <c r="UEM6" s="433"/>
      <c r="UEN6" s="433"/>
      <c r="UEO6" s="433"/>
      <c r="UEP6" s="433"/>
      <c r="UEQ6" s="433"/>
      <c r="UER6" s="433"/>
      <c r="UES6" s="433"/>
      <c r="UET6" s="433"/>
      <c r="UEU6" s="433"/>
      <c r="UEV6" s="433"/>
      <c r="UEW6" s="433"/>
      <c r="UEX6" s="433"/>
      <c r="UEY6" s="433"/>
      <c r="UEZ6" s="433"/>
      <c r="UFA6" s="433"/>
      <c r="UFB6" s="433"/>
      <c r="UFC6" s="433"/>
      <c r="UFD6" s="433"/>
      <c r="UFE6" s="433"/>
      <c r="UFF6" s="433"/>
      <c r="UFG6" s="433"/>
      <c r="UFH6" s="433"/>
      <c r="UFI6" s="433"/>
      <c r="UFJ6" s="433"/>
      <c r="UFK6" s="433"/>
      <c r="UFL6" s="433"/>
      <c r="UFM6" s="433"/>
      <c r="UFN6" s="433"/>
      <c r="UFO6" s="433"/>
      <c r="UFP6" s="433"/>
      <c r="UFQ6" s="433"/>
      <c r="UFR6" s="433"/>
      <c r="UFS6" s="433"/>
      <c r="UFT6" s="433"/>
      <c r="UFU6" s="433"/>
      <c r="UFV6" s="433"/>
      <c r="UFW6" s="433"/>
      <c r="UFX6" s="433"/>
      <c r="UFY6" s="433"/>
      <c r="UFZ6" s="433"/>
      <c r="UGA6" s="433"/>
      <c r="UGB6" s="433"/>
      <c r="UGC6" s="433"/>
      <c r="UGD6" s="433"/>
      <c r="UGE6" s="433"/>
      <c r="UGF6" s="433"/>
      <c r="UGG6" s="433"/>
      <c r="UGH6" s="433"/>
      <c r="UGI6" s="433"/>
      <c r="UGJ6" s="433"/>
      <c r="UGK6" s="433"/>
      <c r="UGL6" s="433"/>
      <c r="UGM6" s="433"/>
      <c r="UGN6" s="433"/>
      <c r="UGO6" s="433"/>
      <c r="UGP6" s="433"/>
      <c r="UGQ6" s="433"/>
      <c r="UGR6" s="433"/>
      <c r="UGS6" s="433"/>
      <c r="UGT6" s="433"/>
      <c r="UGU6" s="433"/>
      <c r="UGV6" s="433"/>
      <c r="UGW6" s="433"/>
      <c r="UGX6" s="433"/>
      <c r="UGY6" s="433"/>
      <c r="UGZ6" s="433"/>
      <c r="UHA6" s="433"/>
      <c r="UHB6" s="433"/>
      <c r="UHC6" s="433"/>
      <c r="UHD6" s="433"/>
      <c r="UHE6" s="433"/>
      <c r="UHF6" s="433"/>
      <c r="UHG6" s="433"/>
      <c r="UHH6" s="433"/>
      <c r="UHI6" s="433"/>
      <c r="UHJ6" s="433"/>
      <c r="UHK6" s="433"/>
      <c r="UHL6" s="433"/>
      <c r="UHM6" s="433"/>
      <c r="UHN6" s="433"/>
      <c r="UHO6" s="433"/>
      <c r="UHP6" s="433"/>
      <c r="UHQ6" s="433"/>
      <c r="UHR6" s="433"/>
      <c r="UHS6" s="433"/>
      <c r="UHT6" s="433"/>
      <c r="UHU6" s="433"/>
      <c r="UHV6" s="433"/>
      <c r="UHW6" s="433"/>
      <c r="UHX6" s="433"/>
      <c r="UHY6" s="433"/>
      <c r="UHZ6" s="433"/>
      <c r="UIA6" s="433"/>
      <c r="UIB6" s="433"/>
      <c r="UIC6" s="433"/>
      <c r="UID6" s="433"/>
      <c r="UIE6" s="433"/>
      <c r="UIF6" s="433"/>
      <c r="UIG6" s="433"/>
      <c r="UIH6" s="433"/>
      <c r="UII6" s="433"/>
      <c r="UIJ6" s="433"/>
      <c r="UIK6" s="433"/>
      <c r="UIL6" s="433"/>
      <c r="UIM6" s="433"/>
      <c r="UIN6" s="433"/>
      <c r="UIO6" s="433"/>
      <c r="UIP6" s="433"/>
      <c r="UIQ6" s="433"/>
      <c r="UIR6" s="433"/>
      <c r="UIS6" s="433"/>
      <c r="UIT6" s="433"/>
      <c r="UIU6" s="433"/>
      <c r="UIV6" s="433"/>
      <c r="UIW6" s="433"/>
      <c r="UIX6" s="433"/>
      <c r="UIY6" s="433"/>
      <c r="UIZ6" s="433"/>
      <c r="UJA6" s="433"/>
      <c r="UJB6" s="433"/>
      <c r="UJC6" s="433"/>
      <c r="UJD6" s="433"/>
      <c r="UJE6" s="433"/>
      <c r="UJF6" s="433"/>
      <c r="UJG6" s="433"/>
      <c r="UJH6" s="433"/>
      <c r="UJI6" s="433"/>
      <c r="UJJ6" s="433"/>
      <c r="UJK6" s="433"/>
      <c r="UJL6" s="433"/>
      <c r="UJM6" s="433"/>
      <c r="UJN6" s="433"/>
      <c r="UJO6" s="433"/>
      <c r="UJP6" s="433"/>
      <c r="UJQ6" s="433"/>
      <c r="UJR6" s="433"/>
      <c r="UJS6" s="433"/>
      <c r="UJT6" s="433"/>
      <c r="UJU6" s="433"/>
      <c r="UJV6" s="433"/>
      <c r="UJW6" s="433"/>
      <c r="UJX6" s="433"/>
      <c r="UJY6" s="433"/>
      <c r="UJZ6" s="433"/>
      <c r="UKA6" s="433"/>
      <c r="UKB6" s="433"/>
      <c r="UKC6" s="433"/>
      <c r="UKD6" s="433"/>
      <c r="UKE6" s="433"/>
      <c r="UKF6" s="433"/>
      <c r="UKG6" s="433"/>
      <c r="UKH6" s="433"/>
      <c r="UKI6" s="433"/>
      <c r="UKJ6" s="433"/>
      <c r="UKK6" s="433"/>
      <c r="UKL6" s="433"/>
      <c r="UKM6" s="433"/>
      <c r="UKN6" s="433"/>
      <c r="UKO6" s="433"/>
      <c r="UKP6" s="433"/>
      <c r="UKQ6" s="433"/>
      <c r="UKR6" s="433"/>
      <c r="UKS6" s="433"/>
      <c r="UKT6" s="433"/>
      <c r="UKU6" s="433"/>
      <c r="UKV6" s="433"/>
      <c r="UKW6" s="433"/>
      <c r="UKX6" s="433"/>
      <c r="UKY6" s="433"/>
      <c r="UKZ6" s="433"/>
      <c r="ULA6" s="433"/>
      <c r="ULB6" s="433"/>
      <c r="ULC6" s="433"/>
      <c r="ULD6" s="433"/>
      <c r="ULE6" s="433"/>
      <c r="ULF6" s="433"/>
      <c r="ULG6" s="433"/>
      <c r="ULH6" s="433"/>
      <c r="ULI6" s="433"/>
      <c r="ULJ6" s="433"/>
      <c r="ULK6" s="433"/>
      <c r="ULL6" s="433"/>
      <c r="ULM6" s="433"/>
      <c r="ULN6" s="433"/>
      <c r="ULO6" s="433"/>
      <c r="ULP6" s="433"/>
      <c r="ULQ6" s="433"/>
      <c r="ULR6" s="433"/>
      <c r="ULS6" s="433"/>
      <c r="ULT6" s="433"/>
      <c r="ULU6" s="433"/>
      <c r="ULV6" s="433"/>
      <c r="ULW6" s="433"/>
      <c r="ULX6" s="433"/>
      <c r="ULY6" s="433"/>
      <c r="ULZ6" s="433"/>
      <c r="UMA6" s="433"/>
      <c r="UMB6" s="433"/>
      <c r="UMC6" s="433"/>
      <c r="UMD6" s="433"/>
      <c r="UME6" s="433"/>
      <c r="UMF6" s="433"/>
      <c r="UMG6" s="433"/>
      <c r="UMH6" s="433"/>
      <c r="UMI6" s="433"/>
      <c r="UMJ6" s="433"/>
      <c r="UMK6" s="433"/>
      <c r="UML6" s="433"/>
      <c r="UMM6" s="433"/>
      <c r="UMN6" s="433"/>
      <c r="UMO6" s="433"/>
      <c r="UMP6" s="433"/>
      <c r="UMQ6" s="433"/>
      <c r="UMR6" s="433"/>
      <c r="UMS6" s="433"/>
      <c r="UMT6" s="433"/>
      <c r="UMU6" s="433"/>
      <c r="UMV6" s="433"/>
      <c r="UMW6" s="433"/>
      <c r="UMX6" s="433"/>
      <c r="UMY6" s="433"/>
      <c r="UMZ6" s="433"/>
      <c r="UNA6" s="433"/>
      <c r="UNB6" s="433"/>
      <c r="UNC6" s="433"/>
      <c r="UND6" s="433"/>
      <c r="UNE6" s="433"/>
      <c r="UNF6" s="433"/>
      <c r="UNG6" s="433"/>
      <c r="UNH6" s="433"/>
      <c r="UNI6" s="433"/>
      <c r="UNJ6" s="433"/>
      <c r="UNK6" s="433"/>
      <c r="UNL6" s="433"/>
      <c r="UNM6" s="433"/>
      <c r="UNN6" s="433"/>
      <c r="UNO6" s="433"/>
      <c r="UNP6" s="433"/>
      <c r="UNQ6" s="433"/>
      <c r="UNR6" s="433"/>
      <c r="UNS6" s="433"/>
      <c r="UNT6" s="433"/>
      <c r="UNU6" s="433"/>
      <c r="UNV6" s="433"/>
      <c r="UNW6" s="433"/>
      <c r="UNX6" s="433"/>
      <c r="UNY6" s="433"/>
      <c r="UNZ6" s="433"/>
      <c r="UOA6" s="433"/>
      <c r="UOB6" s="433"/>
      <c r="UOC6" s="433"/>
      <c r="UOD6" s="433"/>
      <c r="UOE6" s="433"/>
      <c r="UOF6" s="433"/>
      <c r="UOG6" s="433"/>
      <c r="UOH6" s="433"/>
      <c r="UOI6" s="433"/>
      <c r="UOJ6" s="433"/>
      <c r="UOK6" s="433"/>
      <c r="UOL6" s="433"/>
      <c r="UOM6" s="433"/>
      <c r="UON6" s="433"/>
      <c r="UOO6" s="433"/>
      <c r="UOP6" s="433"/>
      <c r="UOQ6" s="433"/>
      <c r="UOR6" s="433"/>
      <c r="UOS6" s="433"/>
      <c r="UOT6" s="433"/>
      <c r="UOU6" s="433"/>
      <c r="UOV6" s="433"/>
      <c r="UOW6" s="433"/>
      <c r="UOX6" s="433"/>
      <c r="UOY6" s="433"/>
      <c r="UOZ6" s="433"/>
      <c r="UPA6" s="433"/>
      <c r="UPB6" s="433"/>
      <c r="UPC6" s="433"/>
      <c r="UPD6" s="433"/>
      <c r="UPE6" s="433"/>
      <c r="UPF6" s="433"/>
      <c r="UPG6" s="433"/>
      <c r="UPH6" s="433"/>
      <c r="UPI6" s="433"/>
      <c r="UPJ6" s="433"/>
      <c r="UPK6" s="433"/>
      <c r="UPL6" s="433"/>
      <c r="UPM6" s="433"/>
      <c r="UPN6" s="433"/>
      <c r="UPO6" s="433"/>
      <c r="UPP6" s="433"/>
      <c r="UPQ6" s="433"/>
      <c r="UPR6" s="433"/>
      <c r="UPS6" s="433"/>
      <c r="UPT6" s="433"/>
      <c r="UPU6" s="433"/>
      <c r="UPV6" s="433"/>
      <c r="UPW6" s="433"/>
      <c r="UPX6" s="433"/>
      <c r="UPY6" s="433"/>
      <c r="UPZ6" s="433"/>
      <c r="UQA6" s="433"/>
      <c r="UQB6" s="433"/>
      <c r="UQC6" s="433"/>
      <c r="UQD6" s="433"/>
      <c r="UQE6" s="433"/>
      <c r="UQF6" s="433"/>
      <c r="UQG6" s="433"/>
      <c r="UQH6" s="433"/>
      <c r="UQI6" s="433"/>
      <c r="UQJ6" s="433"/>
      <c r="UQK6" s="433"/>
      <c r="UQL6" s="433"/>
      <c r="UQM6" s="433"/>
      <c r="UQN6" s="433"/>
      <c r="UQO6" s="433"/>
      <c r="UQP6" s="433"/>
      <c r="UQQ6" s="433"/>
      <c r="UQR6" s="433"/>
      <c r="UQS6" s="433"/>
      <c r="UQT6" s="433"/>
      <c r="UQU6" s="433"/>
      <c r="UQV6" s="433"/>
      <c r="UQW6" s="433"/>
      <c r="UQX6" s="433"/>
      <c r="UQY6" s="433"/>
      <c r="UQZ6" s="433"/>
      <c r="URA6" s="433"/>
      <c r="URB6" s="433"/>
      <c r="URC6" s="433"/>
      <c r="URD6" s="433"/>
      <c r="URE6" s="433"/>
      <c r="URF6" s="433"/>
      <c r="URG6" s="433"/>
      <c r="URH6" s="433"/>
      <c r="URI6" s="433"/>
      <c r="URJ6" s="433"/>
      <c r="URK6" s="433"/>
      <c r="URL6" s="433"/>
      <c r="URM6" s="433"/>
      <c r="URN6" s="433"/>
      <c r="URO6" s="433"/>
      <c r="URP6" s="433"/>
      <c r="URQ6" s="433"/>
      <c r="URR6" s="433"/>
      <c r="URS6" s="433"/>
      <c r="URT6" s="433"/>
      <c r="URU6" s="433"/>
      <c r="URV6" s="433"/>
      <c r="URW6" s="433"/>
      <c r="URX6" s="433"/>
      <c r="URY6" s="433"/>
      <c r="URZ6" s="433"/>
      <c r="USA6" s="433"/>
      <c r="USB6" s="433"/>
      <c r="USC6" s="433"/>
      <c r="USD6" s="433"/>
      <c r="USE6" s="433"/>
      <c r="USF6" s="433"/>
      <c r="USG6" s="433"/>
      <c r="USH6" s="433"/>
      <c r="USI6" s="433"/>
      <c r="USJ6" s="433"/>
      <c r="USK6" s="433"/>
      <c r="USL6" s="433"/>
      <c r="USM6" s="433"/>
      <c r="USN6" s="433"/>
      <c r="USO6" s="433"/>
      <c r="USP6" s="433"/>
      <c r="USQ6" s="433"/>
      <c r="USR6" s="433"/>
      <c r="USS6" s="433"/>
      <c r="UST6" s="433"/>
      <c r="USU6" s="433"/>
      <c r="USV6" s="433"/>
      <c r="USW6" s="433"/>
      <c r="USX6" s="433"/>
      <c r="USY6" s="433"/>
      <c r="USZ6" s="433"/>
      <c r="UTA6" s="433"/>
      <c r="UTB6" s="433"/>
      <c r="UTC6" s="433"/>
      <c r="UTD6" s="433"/>
      <c r="UTE6" s="433"/>
      <c r="UTF6" s="433"/>
      <c r="UTG6" s="433"/>
      <c r="UTH6" s="433"/>
      <c r="UTI6" s="433"/>
      <c r="UTJ6" s="433"/>
      <c r="UTK6" s="433"/>
      <c r="UTL6" s="433"/>
      <c r="UTM6" s="433"/>
      <c r="UTN6" s="433"/>
      <c r="UTO6" s="433"/>
      <c r="UTP6" s="433"/>
      <c r="UTQ6" s="433"/>
      <c r="UTR6" s="433"/>
      <c r="UTS6" s="433"/>
      <c r="UTT6" s="433"/>
      <c r="UTU6" s="433"/>
      <c r="UTV6" s="433"/>
      <c r="UTW6" s="433"/>
      <c r="UTX6" s="433"/>
      <c r="UTY6" s="433"/>
      <c r="UTZ6" s="433"/>
      <c r="UUA6" s="433"/>
      <c r="UUB6" s="433"/>
      <c r="UUC6" s="433"/>
      <c r="UUD6" s="433"/>
      <c r="UUE6" s="433"/>
      <c r="UUF6" s="433"/>
      <c r="UUG6" s="433"/>
      <c r="UUH6" s="433"/>
      <c r="UUI6" s="433"/>
      <c r="UUJ6" s="433"/>
      <c r="UUK6" s="433"/>
      <c r="UUL6" s="433"/>
      <c r="UUM6" s="433"/>
      <c r="UUN6" s="433"/>
      <c r="UUO6" s="433"/>
      <c r="UUP6" s="433"/>
      <c r="UUQ6" s="433"/>
      <c r="UUR6" s="433"/>
      <c r="UUS6" s="433"/>
      <c r="UUT6" s="433"/>
      <c r="UUU6" s="433"/>
      <c r="UUV6" s="433"/>
      <c r="UUW6" s="433"/>
      <c r="UUX6" s="433"/>
      <c r="UUY6" s="433"/>
      <c r="UUZ6" s="433"/>
      <c r="UVA6" s="433"/>
      <c r="UVB6" s="433"/>
      <c r="UVC6" s="433"/>
      <c r="UVD6" s="433"/>
      <c r="UVE6" s="433"/>
      <c r="UVF6" s="433"/>
      <c r="UVG6" s="433"/>
      <c r="UVH6" s="433"/>
      <c r="UVI6" s="433"/>
      <c r="UVJ6" s="433"/>
      <c r="UVK6" s="433"/>
      <c r="UVL6" s="433"/>
      <c r="UVM6" s="433"/>
      <c r="UVN6" s="433"/>
      <c r="UVO6" s="433"/>
      <c r="UVP6" s="433"/>
      <c r="UVQ6" s="433"/>
      <c r="UVR6" s="433"/>
      <c r="UVS6" s="433"/>
      <c r="UVT6" s="433"/>
      <c r="UVU6" s="433"/>
      <c r="UVV6" s="433"/>
      <c r="UVW6" s="433"/>
      <c r="UVX6" s="433"/>
      <c r="UVY6" s="433"/>
      <c r="UVZ6" s="433"/>
      <c r="UWA6" s="433"/>
      <c r="UWB6" s="433"/>
      <c r="UWC6" s="433"/>
      <c r="UWD6" s="433"/>
      <c r="UWE6" s="433"/>
      <c r="UWF6" s="433"/>
      <c r="UWG6" s="433"/>
      <c r="UWH6" s="433"/>
      <c r="UWI6" s="433"/>
      <c r="UWJ6" s="433"/>
      <c r="UWK6" s="433"/>
      <c r="UWL6" s="433"/>
      <c r="UWM6" s="433"/>
      <c r="UWN6" s="433"/>
      <c r="UWO6" s="433"/>
      <c r="UWP6" s="433"/>
      <c r="UWQ6" s="433"/>
      <c r="UWR6" s="433"/>
      <c r="UWS6" s="433"/>
      <c r="UWT6" s="433"/>
      <c r="UWU6" s="433"/>
      <c r="UWV6" s="433"/>
      <c r="UWW6" s="433"/>
      <c r="UWX6" s="433"/>
      <c r="UWY6" s="433"/>
      <c r="UWZ6" s="433"/>
      <c r="UXA6" s="433"/>
      <c r="UXB6" s="433"/>
      <c r="UXC6" s="433"/>
      <c r="UXD6" s="433"/>
      <c r="UXE6" s="433"/>
      <c r="UXF6" s="433"/>
      <c r="UXG6" s="433"/>
      <c r="UXH6" s="433"/>
      <c r="UXI6" s="433"/>
      <c r="UXJ6" s="433"/>
      <c r="UXK6" s="433"/>
      <c r="UXL6" s="433"/>
      <c r="UXM6" s="433"/>
      <c r="UXN6" s="433"/>
      <c r="UXO6" s="433"/>
      <c r="UXP6" s="433"/>
      <c r="UXQ6" s="433"/>
      <c r="UXR6" s="433"/>
      <c r="UXS6" s="433"/>
      <c r="UXT6" s="433"/>
      <c r="UXU6" s="433"/>
      <c r="UXV6" s="433"/>
      <c r="UXW6" s="433"/>
      <c r="UXX6" s="433"/>
      <c r="UXY6" s="433"/>
      <c r="UXZ6" s="433"/>
      <c r="UYA6" s="433"/>
      <c r="UYB6" s="433"/>
      <c r="UYC6" s="433"/>
      <c r="UYD6" s="433"/>
      <c r="UYE6" s="433"/>
      <c r="UYF6" s="433"/>
      <c r="UYG6" s="433"/>
      <c r="UYH6" s="433"/>
      <c r="UYI6" s="433"/>
      <c r="UYJ6" s="433"/>
      <c r="UYK6" s="433"/>
      <c r="UYL6" s="433"/>
      <c r="UYM6" s="433"/>
      <c r="UYN6" s="433"/>
      <c r="UYO6" s="433"/>
      <c r="UYP6" s="433"/>
      <c r="UYQ6" s="433"/>
      <c r="UYR6" s="433"/>
      <c r="UYS6" s="433"/>
      <c r="UYT6" s="433"/>
      <c r="UYU6" s="433"/>
      <c r="UYV6" s="433"/>
      <c r="UYW6" s="433"/>
      <c r="UYX6" s="433"/>
      <c r="UYY6" s="433"/>
      <c r="UYZ6" s="433"/>
      <c r="UZA6" s="433"/>
      <c r="UZB6" s="433"/>
      <c r="UZC6" s="433"/>
      <c r="UZD6" s="433"/>
      <c r="UZE6" s="433"/>
      <c r="UZF6" s="433"/>
      <c r="UZG6" s="433"/>
      <c r="UZH6" s="433"/>
      <c r="UZI6" s="433"/>
      <c r="UZJ6" s="433"/>
      <c r="UZK6" s="433"/>
      <c r="UZL6" s="433"/>
      <c r="UZM6" s="433"/>
      <c r="UZN6" s="433"/>
      <c r="UZO6" s="433"/>
      <c r="UZP6" s="433"/>
      <c r="UZQ6" s="433"/>
      <c r="UZR6" s="433"/>
      <c r="UZS6" s="433"/>
      <c r="UZT6" s="433"/>
      <c r="UZU6" s="433"/>
      <c r="UZV6" s="433"/>
      <c r="UZW6" s="433"/>
      <c r="UZX6" s="433"/>
      <c r="UZY6" s="433"/>
      <c r="UZZ6" s="433"/>
      <c r="VAA6" s="433"/>
      <c r="VAB6" s="433"/>
      <c r="VAC6" s="433"/>
      <c r="VAD6" s="433"/>
      <c r="VAE6" s="433"/>
      <c r="VAF6" s="433"/>
      <c r="VAG6" s="433"/>
      <c r="VAH6" s="433"/>
      <c r="VAI6" s="433"/>
      <c r="VAJ6" s="433"/>
      <c r="VAK6" s="433"/>
      <c r="VAL6" s="433"/>
      <c r="VAM6" s="433"/>
      <c r="VAN6" s="433"/>
      <c r="VAO6" s="433"/>
      <c r="VAP6" s="433"/>
      <c r="VAQ6" s="433"/>
      <c r="VAR6" s="433"/>
      <c r="VAS6" s="433"/>
      <c r="VAT6" s="433"/>
      <c r="VAU6" s="433"/>
      <c r="VAV6" s="433"/>
      <c r="VAW6" s="433"/>
      <c r="VAX6" s="433"/>
      <c r="VAY6" s="433"/>
      <c r="VAZ6" s="433"/>
      <c r="VBA6" s="433"/>
      <c r="VBB6" s="433"/>
      <c r="VBC6" s="433"/>
      <c r="VBD6" s="433"/>
      <c r="VBE6" s="433"/>
      <c r="VBF6" s="433"/>
      <c r="VBG6" s="433"/>
      <c r="VBH6" s="433"/>
      <c r="VBI6" s="433"/>
      <c r="VBJ6" s="433"/>
      <c r="VBK6" s="433"/>
      <c r="VBL6" s="433"/>
      <c r="VBM6" s="433"/>
      <c r="VBN6" s="433"/>
      <c r="VBO6" s="433"/>
      <c r="VBP6" s="433"/>
      <c r="VBQ6" s="433"/>
      <c r="VBR6" s="433"/>
      <c r="VBS6" s="433"/>
      <c r="VBT6" s="433"/>
      <c r="VBU6" s="433"/>
      <c r="VBV6" s="433"/>
      <c r="VBW6" s="433"/>
      <c r="VBX6" s="433"/>
      <c r="VBY6" s="433"/>
      <c r="VBZ6" s="433"/>
      <c r="VCA6" s="433"/>
      <c r="VCB6" s="433"/>
      <c r="VCC6" s="433"/>
      <c r="VCD6" s="433"/>
      <c r="VCE6" s="433"/>
      <c r="VCF6" s="433"/>
      <c r="VCG6" s="433"/>
      <c r="VCH6" s="433"/>
      <c r="VCI6" s="433"/>
      <c r="VCJ6" s="433"/>
      <c r="VCK6" s="433"/>
      <c r="VCL6" s="433"/>
      <c r="VCM6" s="433"/>
      <c r="VCN6" s="433"/>
      <c r="VCO6" s="433"/>
      <c r="VCP6" s="433"/>
      <c r="VCQ6" s="433"/>
      <c r="VCR6" s="433"/>
      <c r="VCS6" s="433"/>
      <c r="VCT6" s="433"/>
      <c r="VCU6" s="433"/>
      <c r="VCV6" s="433"/>
      <c r="VCW6" s="433"/>
      <c r="VCX6" s="433"/>
      <c r="VCY6" s="433"/>
      <c r="VCZ6" s="433"/>
      <c r="VDA6" s="433"/>
      <c r="VDB6" s="433"/>
      <c r="VDC6" s="433"/>
      <c r="VDD6" s="433"/>
      <c r="VDE6" s="433"/>
      <c r="VDF6" s="433"/>
      <c r="VDG6" s="433"/>
      <c r="VDH6" s="433"/>
      <c r="VDI6" s="433"/>
      <c r="VDJ6" s="433"/>
      <c r="VDK6" s="433"/>
      <c r="VDL6" s="433"/>
      <c r="VDM6" s="433"/>
      <c r="VDN6" s="433"/>
      <c r="VDO6" s="433"/>
      <c r="VDP6" s="433"/>
      <c r="VDQ6" s="433"/>
      <c r="VDR6" s="433"/>
      <c r="VDS6" s="433"/>
      <c r="VDT6" s="433"/>
      <c r="VDU6" s="433"/>
      <c r="VDV6" s="433"/>
      <c r="VDW6" s="433"/>
      <c r="VDX6" s="433"/>
      <c r="VDY6" s="433"/>
      <c r="VDZ6" s="433"/>
      <c r="VEA6" s="433"/>
      <c r="VEB6" s="433"/>
      <c r="VEC6" s="433"/>
      <c r="VED6" s="433"/>
      <c r="VEE6" s="433"/>
      <c r="VEF6" s="433"/>
      <c r="VEG6" s="433"/>
      <c r="VEH6" s="433"/>
      <c r="VEI6" s="433"/>
      <c r="VEJ6" s="433"/>
      <c r="VEK6" s="433"/>
      <c r="VEL6" s="433"/>
      <c r="VEM6" s="433"/>
      <c r="VEN6" s="433"/>
      <c r="VEO6" s="433"/>
      <c r="VEP6" s="433"/>
      <c r="VEQ6" s="433"/>
      <c r="VER6" s="433"/>
      <c r="VES6" s="433"/>
      <c r="VET6" s="433"/>
      <c r="VEU6" s="433"/>
      <c r="VEV6" s="433"/>
      <c r="VEW6" s="433"/>
      <c r="VEX6" s="433"/>
      <c r="VEY6" s="433"/>
      <c r="VEZ6" s="433"/>
      <c r="VFA6" s="433"/>
      <c r="VFB6" s="433"/>
      <c r="VFC6" s="433"/>
      <c r="VFD6" s="433"/>
      <c r="VFE6" s="433"/>
      <c r="VFF6" s="433"/>
      <c r="VFG6" s="433"/>
      <c r="VFH6" s="433"/>
      <c r="VFI6" s="433"/>
      <c r="VFJ6" s="433"/>
      <c r="VFK6" s="433"/>
      <c r="VFL6" s="433"/>
      <c r="VFM6" s="433"/>
      <c r="VFN6" s="433"/>
      <c r="VFO6" s="433"/>
      <c r="VFP6" s="433"/>
      <c r="VFQ6" s="433"/>
      <c r="VFR6" s="433"/>
      <c r="VFS6" s="433"/>
      <c r="VFT6" s="433"/>
      <c r="VFU6" s="433"/>
      <c r="VFV6" s="433"/>
      <c r="VFW6" s="433"/>
      <c r="VFX6" s="433"/>
      <c r="VFY6" s="433"/>
      <c r="VFZ6" s="433"/>
      <c r="VGA6" s="433"/>
      <c r="VGB6" s="433"/>
      <c r="VGC6" s="433"/>
      <c r="VGD6" s="433"/>
      <c r="VGE6" s="433"/>
      <c r="VGF6" s="433"/>
      <c r="VGG6" s="433"/>
      <c r="VGH6" s="433"/>
      <c r="VGI6" s="433"/>
      <c r="VGJ6" s="433"/>
      <c r="VGK6" s="433"/>
      <c r="VGL6" s="433"/>
      <c r="VGM6" s="433"/>
      <c r="VGN6" s="433"/>
      <c r="VGO6" s="433"/>
      <c r="VGP6" s="433"/>
      <c r="VGQ6" s="433"/>
      <c r="VGR6" s="433"/>
      <c r="VGS6" s="433"/>
      <c r="VGT6" s="433"/>
      <c r="VGU6" s="433"/>
      <c r="VGV6" s="433"/>
      <c r="VGW6" s="433"/>
      <c r="VGX6" s="433"/>
      <c r="VGY6" s="433"/>
      <c r="VGZ6" s="433"/>
      <c r="VHA6" s="433"/>
      <c r="VHB6" s="433"/>
      <c r="VHC6" s="433"/>
      <c r="VHD6" s="433"/>
      <c r="VHE6" s="433"/>
      <c r="VHF6" s="433"/>
      <c r="VHG6" s="433"/>
      <c r="VHH6" s="433"/>
      <c r="VHI6" s="433"/>
      <c r="VHJ6" s="433"/>
      <c r="VHK6" s="433"/>
      <c r="VHL6" s="433"/>
      <c r="VHM6" s="433"/>
      <c r="VHN6" s="433"/>
      <c r="VHO6" s="433"/>
      <c r="VHP6" s="433"/>
      <c r="VHQ6" s="433"/>
      <c r="VHR6" s="433"/>
      <c r="VHS6" s="433"/>
      <c r="VHT6" s="433"/>
      <c r="VHU6" s="433"/>
      <c r="VHV6" s="433"/>
      <c r="VHW6" s="433"/>
      <c r="VHX6" s="433"/>
      <c r="VHY6" s="433"/>
      <c r="VHZ6" s="433"/>
      <c r="VIA6" s="433"/>
      <c r="VIB6" s="433"/>
      <c r="VIC6" s="433"/>
      <c r="VID6" s="433"/>
      <c r="VIE6" s="433"/>
      <c r="VIF6" s="433"/>
      <c r="VIG6" s="433"/>
      <c r="VIH6" s="433"/>
      <c r="VII6" s="433"/>
      <c r="VIJ6" s="433"/>
      <c r="VIK6" s="433"/>
      <c r="VIL6" s="433"/>
      <c r="VIM6" s="433"/>
      <c r="VIN6" s="433"/>
      <c r="VIO6" s="433"/>
      <c r="VIP6" s="433"/>
      <c r="VIQ6" s="433"/>
      <c r="VIR6" s="433"/>
      <c r="VIS6" s="433"/>
      <c r="VIT6" s="433"/>
      <c r="VIU6" s="433"/>
      <c r="VIV6" s="433"/>
      <c r="VIW6" s="433"/>
      <c r="VIX6" s="433"/>
      <c r="VIY6" s="433"/>
      <c r="VIZ6" s="433"/>
      <c r="VJA6" s="433"/>
      <c r="VJB6" s="433"/>
      <c r="VJC6" s="433"/>
      <c r="VJD6" s="433"/>
      <c r="VJE6" s="433"/>
      <c r="VJF6" s="433"/>
      <c r="VJG6" s="433"/>
      <c r="VJH6" s="433"/>
      <c r="VJI6" s="433"/>
      <c r="VJJ6" s="433"/>
      <c r="VJK6" s="433"/>
      <c r="VJL6" s="433"/>
      <c r="VJM6" s="433"/>
      <c r="VJN6" s="433"/>
      <c r="VJO6" s="433"/>
      <c r="VJP6" s="433"/>
      <c r="VJQ6" s="433"/>
      <c r="VJR6" s="433"/>
      <c r="VJS6" s="433"/>
      <c r="VJT6" s="433"/>
      <c r="VJU6" s="433"/>
      <c r="VJV6" s="433"/>
      <c r="VJW6" s="433"/>
      <c r="VJX6" s="433"/>
      <c r="VJY6" s="433"/>
      <c r="VJZ6" s="433"/>
      <c r="VKA6" s="433"/>
      <c r="VKB6" s="433"/>
      <c r="VKC6" s="433"/>
      <c r="VKD6" s="433"/>
      <c r="VKE6" s="433"/>
      <c r="VKF6" s="433"/>
      <c r="VKG6" s="433"/>
      <c r="VKH6" s="433"/>
      <c r="VKI6" s="433"/>
      <c r="VKJ6" s="433"/>
      <c r="VKK6" s="433"/>
      <c r="VKL6" s="433"/>
      <c r="VKM6" s="433"/>
      <c r="VKN6" s="433"/>
      <c r="VKO6" s="433"/>
      <c r="VKP6" s="433"/>
      <c r="VKQ6" s="433"/>
      <c r="VKR6" s="433"/>
      <c r="VKS6" s="433"/>
      <c r="VKT6" s="433"/>
      <c r="VKU6" s="433"/>
      <c r="VKV6" s="433"/>
      <c r="VKW6" s="433"/>
      <c r="VKX6" s="433"/>
      <c r="VKY6" s="433"/>
      <c r="VKZ6" s="433"/>
      <c r="VLA6" s="433"/>
      <c r="VLB6" s="433"/>
      <c r="VLC6" s="433"/>
      <c r="VLD6" s="433"/>
      <c r="VLE6" s="433"/>
      <c r="VLF6" s="433"/>
      <c r="VLG6" s="433"/>
      <c r="VLH6" s="433"/>
      <c r="VLI6" s="433"/>
      <c r="VLJ6" s="433"/>
      <c r="VLK6" s="433"/>
      <c r="VLL6" s="433"/>
      <c r="VLM6" s="433"/>
      <c r="VLN6" s="433"/>
      <c r="VLO6" s="433"/>
      <c r="VLP6" s="433"/>
      <c r="VLQ6" s="433"/>
      <c r="VLR6" s="433"/>
      <c r="VLS6" s="433"/>
      <c r="VLT6" s="433"/>
      <c r="VLU6" s="433"/>
      <c r="VLV6" s="433"/>
      <c r="VLW6" s="433"/>
      <c r="VLX6" s="433"/>
      <c r="VLY6" s="433"/>
      <c r="VLZ6" s="433"/>
      <c r="VMA6" s="433"/>
      <c r="VMB6" s="433"/>
      <c r="VMC6" s="433"/>
      <c r="VMD6" s="433"/>
      <c r="VME6" s="433"/>
      <c r="VMF6" s="433"/>
      <c r="VMG6" s="433"/>
      <c r="VMH6" s="433"/>
      <c r="VMI6" s="433"/>
      <c r="VMJ6" s="433"/>
      <c r="VMK6" s="433"/>
      <c r="VML6" s="433"/>
      <c r="VMM6" s="433"/>
      <c r="VMN6" s="433"/>
      <c r="VMO6" s="433"/>
      <c r="VMP6" s="433"/>
      <c r="VMQ6" s="433"/>
      <c r="VMR6" s="433"/>
      <c r="VMS6" s="433"/>
      <c r="VMT6" s="433"/>
      <c r="VMU6" s="433"/>
      <c r="VMV6" s="433"/>
      <c r="VMW6" s="433"/>
      <c r="VMX6" s="433"/>
      <c r="VMY6" s="433"/>
      <c r="VMZ6" s="433"/>
      <c r="VNA6" s="433"/>
      <c r="VNB6" s="433"/>
      <c r="VNC6" s="433"/>
      <c r="VND6" s="433"/>
      <c r="VNE6" s="433"/>
      <c r="VNF6" s="433"/>
      <c r="VNG6" s="433"/>
      <c r="VNH6" s="433"/>
      <c r="VNI6" s="433"/>
      <c r="VNJ6" s="433"/>
      <c r="VNK6" s="433"/>
      <c r="VNL6" s="433"/>
      <c r="VNM6" s="433"/>
      <c r="VNN6" s="433"/>
      <c r="VNO6" s="433"/>
      <c r="VNP6" s="433"/>
      <c r="VNQ6" s="433"/>
      <c r="VNR6" s="433"/>
      <c r="VNS6" s="433"/>
      <c r="VNT6" s="433"/>
      <c r="VNU6" s="433"/>
      <c r="VNV6" s="433"/>
      <c r="VNW6" s="433"/>
      <c r="VNX6" s="433"/>
      <c r="VNY6" s="433"/>
      <c r="VNZ6" s="433"/>
      <c r="VOA6" s="433"/>
      <c r="VOB6" s="433"/>
      <c r="VOC6" s="433"/>
      <c r="VOD6" s="433"/>
      <c r="VOE6" s="433"/>
      <c r="VOF6" s="433"/>
      <c r="VOG6" s="433"/>
      <c r="VOH6" s="433"/>
      <c r="VOI6" s="433"/>
      <c r="VOJ6" s="433"/>
      <c r="VOK6" s="433"/>
      <c r="VOL6" s="433"/>
      <c r="VOM6" s="433"/>
      <c r="VON6" s="433"/>
      <c r="VOO6" s="433"/>
      <c r="VOP6" s="433"/>
      <c r="VOQ6" s="433"/>
      <c r="VOR6" s="433"/>
      <c r="VOS6" s="433"/>
      <c r="VOT6" s="433"/>
      <c r="VOU6" s="433"/>
      <c r="VOV6" s="433"/>
      <c r="VOW6" s="433"/>
      <c r="VOX6" s="433"/>
      <c r="VOY6" s="433"/>
      <c r="VOZ6" s="433"/>
      <c r="VPA6" s="433"/>
      <c r="VPB6" s="433"/>
      <c r="VPC6" s="433"/>
      <c r="VPD6" s="433"/>
      <c r="VPE6" s="433"/>
      <c r="VPF6" s="433"/>
      <c r="VPG6" s="433"/>
      <c r="VPH6" s="433"/>
      <c r="VPI6" s="433"/>
      <c r="VPJ6" s="433"/>
      <c r="VPK6" s="433"/>
      <c r="VPL6" s="433"/>
      <c r="VPM6" s="433"/>
      <c r="VPN6" s="433"/>
      <c r="VPO6" s="433"/>
      <c r="VPP6" s="433"/>
      <c r="VPQ6" s="433"/>
      <c r="VPR6" s="433"/>
      <c r="VPS6" s="433"/>
      <c r="VPT6" s="433"/>
      <c r="VPU6" s="433"/>
      <c r="VPV6" s="433"/>
      <c r="VPW6" s="433"/>
      <c r="VPX6" s="433"/>
      <c r="VPY6" s="433"/>
      <c r="VPZ6" s="433"/>
      <c r="VQA6" s="433"/>
      <c r="VQB6" s="433"/>
      <c r="VQC6" s="433"/>
      <c r="VQD6" s="433"/>
      <c r="VQE6" s="433"/>
      <c r="VQF6" s="433"/>
      <c r="VQG6" s="433"/>
      <c r="VQH6" s="433"/>
      <c r="VQI6" s="433"/>
      <c r="VQJ6" s="433"/>
      <c r="VQK6" s="433"/>
      <c r="VQL6" s="433"/>
      <c r="VQM6" s="433"/>
      <c r="VQN6" s="433"/>
      <c r="VQO6" s="433"/>
      <c r="VQP6" s="433"/>
      <c r="VQQ6" s="433"/>
      <c r="VQR6" s="433"/>
      <c r="VQS6" s="433"/>
      <c r="VQT6" s="433"/>
      <c r="VQU6" s="433"/>
      <c r="VQV6" s="433"/>
      <c r="VQW6" s="433"/>
      <c r="VQX6" s="433"/>
      <c r="VQY6" s="433"/>
      <c r="VQZ6" s="433"/>
      <c r="VRA6" s="433"/>
      <c r="VRB6" s="433"/>
      <c r="VRC6" s="433"/>
      <c r="VRD6" s="433"/>
      <c r="VRE6" s="433"/>
      <c r="VRF6" s="433"/>
      <c r="VRG6" s="433"/>
      <c r="VRH6" s="433"/>
      <c r="VRI6" s="433"/>
      <c r="VRJ6" s="433"/>
      <c r="VRK6" s="433"/>
      <c r="VRL6" s="433"/>
      <c r="VRM6" s="433"/>
      <c r="VRN6" s="433"/>
      <c r="VRO6" s="433"/>
      <c r="VRP6" s="433"/>
      <c r="VRQ6" s="433"/>
      <c r="VRR6" s="433"/>
      <c r="VRS6" s="433"/>
      <c r="VRT6" s="433"/>
      <c r="VRU6" s="433"/>
      <c r="VRV6" s="433"/>
      <c r="VRW6" s="433"/>
      <c r="VRX6" s="433"/>
      <c r="VRY6" s="433"/>
      <c r="VRZ6" s="433"/>
      <c r="VSA6" s="433"/>
      <c r="VSB6" s="433"/>
      <c r="VSC6" s="433"/>
      <c r="VSD6" s="433"/>
      <c r="VSE6" s="433"/>
      <c r="VSF6" s="433"/>
      <c r="VSG6" s="433"/>
      <c r="VSH6" s="433"/>
      <c r="VSI6" s="433"/>
      <c r="VSJ6" s="433"/>
      <c r="VSK6" s="433"/>
      <c r="VSL6" s="433"/>
      <c r="VSM6" s="433"/>
      <c r="VSN6" s="433"/>
      <c r="VSO6" s="433"/>
      <c r="VSP6" s="433"/>
      <c r="VSQ6" s="433"/>
      <c r="VSR6" s="433"/>
      <c r="VSS6" s="433"/>
      <c r="VST6" s="433"/>
      <c r="VSU6" s="433"/>
      <c r="VSV6" s="433"/>
      <c r="VSW6" s="433"/>
      <c r="VSX6" s="433"/>
      <c r="VSY6" s="433"/>
      <c r="VSZ6" s="433"/>
      <c r="VTA6" s="433"/>
      <c r="VTB6" s="433"/>
      <c r="VTC6" s="433"/>
      <c r="VTD6" s="433"/>
      <c r="VTE6" s="433"/>
      <c r="VTF6" s="433"/>
      <c r="VTG6" s="433"/>
      <c r="VTH6" s="433"/>
      <c r="VTI6" s="433"/>
      <c r="VTJ6" s="433"/>
      <c r="VTK6" s="433"/>
      <c r="VTL6" s="433"/>
      <c r="VTM6" s="433"/>
      <c r="VTN6" s="433"/>
      <c r="VTO6" s="433"/>
      <c r="VTP6" s="433"/>
      <c r="VTQ6" s="433"/>
      <c r="VTR6" s="433"/>
      <c r="VTS6" s="433"/>
      <c r="VTT6" s="433"/>
      <c r="VTU6" s="433"/>
      <c r="VTV6" s="433"/>
      <c r="VTW6" s="433"/>
      <c r="VTX6" s="433"/>
      <c r="VTY6" s="433"/>
      <c r="VTZ6" s="433"/>
      <c r="VUA6" s="433"/>
      <c r="VUB6" s="433"/>
      <c r="VUC6" s="433"/>
      <c r="VUD6" s="433"/>
      <c r="VUE6" s="433"/>
      <c r="VUF6" s="433"/>
      <c r="VUG6" s="433"/>
      <c r="VUH6" s="433"/>
      <c r="VUI6" s="433"/>
      <c r="VUJ6" s="433"/>
      <c r="VUK6" s="433"/>
      <c r="VUL6" s="433"/>
      <c r="VUM6" s="433"/>
      <c r="VUN6" s="433"/>
      <c r="VUO6" s="433"/>
      <c r="VUP6" s="433"/>
      <c r="VUQ6" s="433"/>
      <c r="VUR6" s="433"/>
      <c r="VUS6" s="433"/>
      <c r="VUT6" s="433"/>
      <c r="VUU6" s="433"/>
      <c r="VUV6" s="433"/>
      <c r="VUW6" s="433"/>
      <c r="VUX6" s="433"/>
      <c r="VUY6" s="433"/>
      <c r="VUZ6" s="433"/>
      <c r="VVA6" s="433"/>
      <c r="VVB6" s="433"/>
      <c r="VVC6" s="433"/>
      <c r="VVD6" s="433"/>
      <c r="VVE6" s="433"/>
      <c r="VVF6" s="433"/>
      <c r="VVG6" s="433"/>
      <c r="VVH6" s="433"/>
      <c r="VVI6" s="433"/>
      <c r="VVJ6" s="433"/>
      <c r="VVK6" s="433"/>
      <c r="VVL6" s="433"/>
      <c r="VVM6" s="433"/>
      <c r="VVN6" s="433"/>
      <c r="VVO6" s="433"/>
      <c r="VVP6" s="433"/>
      <c r="VVQ6" s="433"/>
      <c r="VVR6" s="433"/>
      <c r="VVS6" s="433"/>
      <c r="VVT6" s="433"/>
      <c r="VVU6" s="433"/>
      <c r="VVV6" s="433"/>
      <c r="VVW6" s="433"/>
      <c r="VVX6" s="433"/>
      <c r="VVY6" s="433"/>
      <c r="VVZ6" s="433"/>
      <c r="VWA6" s="433"/>
      <c r="VWB6" s="433"/>
      <c r="VWC6" s="433"/>
      <c r="VWD6" s="433"/>
      <c r="VWE6" s="433"/>
      <c r="VWF6" s="433"/>
      <c r="VWG6" s="433"/>
      <c r="VWH6" s="433"/>
      <c r="VWI6" s="433"/>
      <c r="VWJ6" s="433"/>
      <c r="VWK6" s="433"/>
      <c r="VWL6" s="433"/>
      <c r="VWM6" s="433"/>
      <c r="VWN6" s="433"/>
      <c r="VWO6" s="433"/>
      <c r="VWP6" s="433"/>
      <c r="VWQ6" s="433"/>
      <c r="VWR6" s="433"/>
      <c r="VWS6" s="433"/>
      <c r="VWT6" s="433"/>
      <c r="VWU6" s="433"/>
      <c r="VWV6" s="433"/>
      <c r="VWW6" s="433"/>
      <c r="VWX6" s="433"/>
      <c r="VWY6" s="433"/>
      <c r="VWZ6" s="433"/>
      <c r="VXA6" s="433"/>
      <c r="VXB6" s="433"/>
      <c r="VXC6" s="433"/>
      <c r="VXD6" s="433"/>
      <c r="VXE6" s="433"/>
      <c r="VXF6" s="433"/>
      <c r="VXG6" s="433"/>
      <c r="VXH6" s="433"/>
      <c r="VXI6" s="433"/>
      <c r="VXJ6" s="433"/>
      <c r="VXK6" s="433"/>
      <c r="VXL6" s="433"/>
      <c r="VXM6" s="433"/>
      <c r="VXN6" s="433"/>
      <c r="VXO6" s="433"/>
      <c r="VXP6" s="433"/>
      <c r="VXQ6" s="433"/>
      <c r="VXR6" s="433"/>
      <c r="VXS6" s="433"/>
      <c r="VXT6" s="433"/>
      <c r="VXU6" s="433"/>
      <c r="VXV6" s="433"/>
      <c r="VXW6" s="433"/>
      <c r="VXX6" s="433"/>
      <c r="VXY6" s="433"/>
      <c r="VXZ6" s="433"/>
      <c r="VYA6" s="433"/>
      <c r="VYB6" s="433"/>
      <c r="VYC6" s="433"/>
      <c r="VYD6" s="433"/>
      <c r="VYE6" s="433"/>
      <c r="VYF6" s="433"/>
      <c r="VYG6" s="433"/>
      <c r="VYH6" s="433"/>
      <c r="VYI6" s="433"/>
      <c r="VYJ6" s="433"/>
      <c r="VYK6" s="433"/>
      <c r="VYL6" s="433"/>
      <c r="VYM6" s="433"/>
      <c r="VYN6" s="433"/>
      <c r="VYO6" s="433"/>
      <c r="VYP6" s="433"/>
      <c r="VYQ6" s="433"/>
      <c r="VYR6" s="433"/>
      <c r="VYS6" s="433"/>
      <c r="VYT6" s="433"/>
      <c r="VYU6" s="433"/>
      <c r="VYV6" s="433"/>
      <c r="VYW6" s="433"/>
      <c r="VYX6" s="433"/>
      <c r="VYY6" s="433"/>
      <c r="VYZ6" s="433"/>
      <c r="VZA6" s="433"/>
      <c r="VZB6" s="433"/>
      <c r="VZC6" s="433"/>
      <c r="VZD6" s="433"/>
      <c r="VZE6" s="433"/>
      <c r="VZF6" s="433"/>
      <c r="VZG6" s="433"/>
      <c r="VZH6" s="433"/>
      <c r="VZI6" s="433"/>
      <c r="VZJ6" s="433"/>
      <c r="VZK6" s="433"/>
      <c r="VZL6" s="433"/>
      <c r="VZM6" s="433"/>
      <c r="VZN6" s="433"/>
      <c r="VZO6" s="433"/>
      <c r="VZP6" s="433"/>
      <c r="VZQ6" s="433"/>
      <c r="VZR6" s="433"/>
      <c r="VZS6" s="433"/>
      <c r="VZT6" s="433"/>
      <c r="VZU6" s="433"/>
      <c r="VZV6" s="433"/>
      <c r="VZW6" s="433"/>
      <c r="VZX6" s="433"/>
      <c r="VZY6" s="433"/>
      <c r="VZZ6" s="433"/>
      <c r="WAA6" s="433"/>
      <c r="WAB6" s="433"/>
      <c r="WAC6" s="433"/>
      <c r="WAD6" s="433"/>
      <c r="WAE6" s="433"/>
      <c r="WAF6" s="433"/>
      <c r="WAG6" s="433"/>
      <c r="WAH6" s="433"/>
      <c r="WAI6" s="433"/>
      <c r="WAJ6" s="433"/>
      <c r="WAK6" s="433"/>
      <c r="WAL6" s="433"/>
      <c r="WAM6" s="433"/>
      <c r="WAN6" s="433"/>
      <c r="WAO6" s="433"/>
      <c r="WAP6" s="433"/>
      <c r="WAQ6" s="433"/>
      <c r="WAR6" s="433"/>
      <c r="WAS6" s="433"/>
      <c r="WAT6" s="433"/>
      <c r="WAU6" s="433"/>
      <c r="WAV6" s="433"/>
      <c r="WAW6" s="433"/>
      <c r="WAX6" s="433"/>
      <c r="WAY6" s="433"/>
      <c r="WAZ6" s="433"/>
      <c r="WBA6" s="433"/>
      <c r="WBB6" s="433"/>
      <c r="WBC6" s="433"/>
      <c r="WBD6" s="433"/>
      <c r="WBE6" s="433"/>
      <c r="WBF6" s="433"/>
      <c r="WBG6" s="433"/>
      <c r="WBH6" s="433"/>
      <c r="WBI6" s="433"/>
      <c r="WBJ6" s="433"/>
      <c r="WBK6" s="433"/>
      <c r="WBL6" s="433"/>
      <c r="WBM6" s="433"/>
      <c r="WBN6" s="433"/>
      <c r="WBO6" s="433"/>
      <c r="WBP6" s="433"/>
      <c r="WBQ6" s="433"/>
      <c r="WBR6" s="433"/>
      <c r="WBS6" s="433"/>
      <c r="WBT6" s="433"/>
      <c r="WBU6" s="433"/>
      <c r="WBV6" s="433"/>
      <c r="WBW6" s="433"/>
      <c r="WBX6" s="433"/>
      <c r="WBY6" s="433"/>
      <c r="WBZ6" s="433"/>
      <c r="WCA6" s="433"/>
      <c r="WCB6" s="433"/>
      <c r="WCC6" s="433"/>
      <c r="WCD6" s="433"/>
      <c r="WCE6" s="433"/>
      <c r="WCF6" s="433"/>
      <c r="WCG6" s="433"/>
      <c r="WCH6" s="433"/>
      <c r="WCI6" s="433"/>
      <c r="WCJ6" s="433"/>
      <c r="WCK6" s="433"/>
      <c r="WCL6" s="433"/>
      <c r="WCM6" s="433"/>
      <c r="WCN6" s="433"/>
      <c r="WCO6" s="433"/>
      <c r="WCP6" s="433"/>
      <c r="WCQ6" s="433"/>
      <c r="WCR6" s="433"/>
      <c r="WCS6" s="433"/>
      <c r="WCT6" s="433"/>
      <c r="WCU6" s="433"/>
      <c r="WCV6" s="433"/>
      <c r="WCW6" s="433"/>
      <c r="WCX6" s="433"/>
      <c r="WCY6" s="433"/>
      <c r="WCZ6" s="433"/>
      <c r="WDA6" s="433"/>
      <c r="WDB6" s="433"/>
      <c r="WDC6" s="433"/>
      <c r="WDD6" s="433"/>
      <c r="WDE6" s="433"/>
      <c r="WDF6" s="433"/>
      <c r="WDG6" s="433"/>
      <c r="WDH6" s="433"/>
      <c r="WDI6" s="433"/>
      <c r="WDJ6" s="433"/>
      <c r="WDK6" s="433"/>
      <c r="WDL6" s="433"/>
      <c r="WDM6" s="433"/>
      <c r="WDN6" s="433"/>
      <c r="WDO6" s="433"/>
      <c r="WDP6" s="433"/>
      <c r="WDQ6" s="433"/>
      <c r="WDR6" s="433"/>
      <c r="WDS6" s="433"/>
      <c r="WDT6" s="433"/>
      <c r="WDU6" s="433"/>
      <c r="WDV6" s="433"/>
      <c r="WDW6" s="433"/>
      <c r="WDX6" s="433"/>
      <c r="WDY6" s="433"/>
      <c r="WDZ6" s="433"/>
      <c r="WEA6" s="433"/>
      <c r="WEB6" s="433"/>
      <c r="WEC6" s="433"/>
      <c r="WED6" s="433"/>
      <c r="WEE6" s="433"/>
      <c r="WEF6" s="433"/>
      <c r="WEG6" s="433"/>
      <c r="WEH6" s="433"/>
      <c r="WEI6" s="433"/>
      <c r="WEJ6" s="433"/>
      <c r="WEK6" s="433"/>
      <c r="WEL6" s="433"/>
      <c r="WEM6" s="433"/>
      <c r="WEN6" s="433"/>
      <c r="WEO6" s="433"/>
      <c r="WEP6" s="433"/>
      <c r="WEQ6" s="433"/>
      <c r="WER6" s="433"/>
      <c r="WES6" s="433"/>
      <c r="WET6" s="433"/>
      <c r="WEU6" s="433"/>
      <c r="WEV6" s="433"/>
      <c r="WEW6" s="433"/>
      <c r="WEX6" s="433"/>
      <c r="WEY6" s="433"/>
      <c r="WEZ6" s="433"/>
      <c r="WFA6" s="433"/>
      <c r="WFB6" s="433"/>
      <c r="WFC6" s="433"/>
      <c r="WFD6" s="433"/>
      <c r="WFE6" s="433"/>
      <c r="WFF6" s="433"/>
      <c r="WFG6" s="433"/>
      <c r="WFH6" s="433"/>
      <c r="WFI6" s="433"/>
      <c r="WFJ6" s="433"/>
      <c r="WFK6" s="433"/>
      <c r="WFL6" s="433"/>
      <c r="WFM6" s="433"/>
      <c r="WFN6" s="433"/>
      <c r="WFO6" s="433"/>
      <c r="WFP6" s="433"/>
      <c r="WFQ6" s="433"/>
      <c r="WFR6" s="433"/>
      <c r="WFS6" s="433"/>
      <c r="WFT6" s="433"/>
      <c r="WFU6" s="433"/>
      <c r="WFV6" s="433"/>
      <c r="WFW6" s="433"/>
      <c r="WFX6" s="433"/>
      <c r="WFY6" s="433"/>
      <c r="WFZ6" s="433"/>
      <c r="WGA6" s="433"/>
      <c r="WGB6" s="433"/>
      <c r="WGC6" s="433"/>
      <c r="WGD6" s="433"/>
      <c r="WGE6" s="433"/>
      <c r="WGF6" s="433"/>
      <c r="WGG6" s="433"/>
      <c r="WGH6" s="433"/>
      <c r="WGI6" s="433"/>
      <c r="WGJ6" s="433"/>
      <c r="WGK6" s="433"/>
      <c r="WGL6" s="433"/>
      <c r="WGM6" s="433"/>
      <c r="WGN6" s="433"/>
      <c r="WGO6" s="433"/>
      <c r="WGP6" s="433"/>
      <c r="WGQ6" s="433"/>
      <c r="WGR6" s="433"/>
      <c r="WGS6" s="433"/>
      <c r="WGT6" s="433"/>
      <c r="WGU6" s="433"/>
      <c r="WGV6" s="433"/>
      <c r="WGW6" s="433"/>
      <c r="WGX6" s="433"/>
      <c r="WGY6" s="433"/>
      <c r="WGZ6" s="433"/>
      <c r="WHA6" s="433"/>
      <c r="WHB6" s="433"/>
      <c r="WHC6" s="433"/>
      <c r="WHD6" s="433"/>
      <c r="WHE6" s="433"/>
      <c r="WHF6" s="433"/>
      <c r="WHG6" s="433"/>
      <c r="WHH6" s="433"/>
      <c r="WHI6" s="433"/>
      <c r="WHJ6" s="433"/>
      <c r="WHK6" s="433"/>
      <c r="WHL6" s="433"/>
      <c r="WHM6" s="433"/>
      <c r="WHN6" s="433"/>
      <c r="WHO6" s="433"/>
      <c r="WHP6" s="433"/>
      <c r="WHQ6" s="433"/>
      <c r="WHR6" s="433"/>
      <c r="WHS6" s="433"/>
      <c r="WHT6" s="433"/>
      <c r="WHU6" s="433"/>
      <c r="WHV6" s="433"/>
      <c r="WHW6" s="433"/>
      <c r="WHX6" s="433"/>
      <c r="WHY6" s="433"/>
      <c r="WHZ6" s="433"/>
      <c r="WIA6" s="433"/>
      <c r="WIB6" s="433"/>
      <c r="WIC6" s="433"/>
      <c r="WID6" s="433"/>
      <c r="WIE6" s="433"/>
      <c r="WIF6" s="433"/>
      <c r="WIG6" s="433"/>
      <c r="WIH6" s="433"/>
      <c r="WII6" s="433"/>
      <c r="WIJ6" s="433"/>
      <c r="WIK6" s="433"/>
      <c r="WIL6" s="433"/>
      <c r="WIM6" s="433"/>
      <c r="WIN6" s="433"/>
      <c r="WIO6" s="433"/>
      <c r="WIP6" s="433"/>
      <c r="WIQ6" s="433"/>
      <c r="WIR6" s="433"/>
      <c r="WIS6" s="433"/>
      <c r="WIT6" s="433"/>
      <c r="WIU6" s="433"/>
      <c r="WIV6" s="433"/>
      <c r="WIW6" s="433"/>
      <c r="WIX6" s="433"/>
      <c r="WIY6" s="433"/>
      <c r="WIZ6" s="433"/>
      <c r="WJA6" s="433"/>
      <c r="WJB6" s="433"/>
      <c r="WJC6" s="433"/>
      <c r="WJD6" s="433"/>
      <c r="WJE6" s="433"/>
      <c r="WJF6" s="433"/>
      <c r="WJG6" s="433"/>
      <c r="WJH6" s="433"/>
      <c r="WJI6" s="433"/>
      <c r="WJJ6" s="433"/>
      <c r="WJK6" s="433"/>
      <c r="WJL6" s="433"/>
      <c r="WJM6" s="433"/>
      <c r="WJN6" s="433"/>
      <c r="WJO6" s="433"/>
      <c r="WJP6" s="433"/>
      <c r="WJQ6" s="433"/>
      <c r="WJR6" s="433"/>
      <c r="WJS6" s="433"/>
      <c r="WJT6" s="433"/>
      <c r="WJU6" s="433"/>
      <c r="WJV6" s="433"/>
      <c r="WJW6" s="433"/>
      <c r="WJX6" s="433"/>
      <c r="WJY6" s="433"/>
      <c r="WJZ6" s="433"/>
      <c r="WKA6" s="433"/>
      <c r="WKB6" s="433"/>
      <c r="WKC6" s="433"/>
      <c r="WKD6" s="433"/>
      <c r="WKE6" s="433"/>
      <c r="WKF6" s="433"/>
      <c r="WKG6" s="433"/>
      <c r="WKH6" s="433"/>
      <c r="WKI6" s="433"/>
      <c r="WKJ6" s="433"/>
      <c r="WKK6" s="433"/>
      <c r="WKL6" s="433"/>
      <c r="WKM6" s="433"/>
      <c r="WKN6" s="433"/>
      <c r="WKO6" s="433"/>
      <c r="WKP6" s="433"/>
      <c r="WKQ6" s="433"/>
      <c r="WKR6" s="433"/>
      <c r="WKS6" s="433"/>
      <c r="WKT6" s="433"/>
      <c r="WKU6" s="433"/>
      <c r="WKV6" s="433"/>
      <c r="WKW6" s="433"/>
      <c r="WKX6" s="433"/>
      <c r="WKY6" s="433"/>
      <c r="WKZ6" s="433"/>
      <c r="WLA6" s="433"/>
      <c r="WLB6" s="433"/>
      <c r="WLC6" s="433"/>
      <c r="WLD6" s="433"/>
      <c r="WLE6" s="433"/>
      <c r="WLF6" s="433"/>
      <c r="WLG6" s="433"/>
      <c r="WLH6" s="433"/>
      <c r="WLI6" s="433"/>
      <c r="WLJ6" s="433"/>
      <c r="WLK6" s="433"/>
      <c r="WLL6" s="433"/>
      <c r="WLM6" s="433"/>
      <c r="WLN6" s="433"/>
      <c r="WLO6" s="433"/>
      <c r="WLP6" s="433"/>
      <c r="WLQ6" s="433"/>
      <c r="WLR6" s="433"/>
      <c r="WLS6" s="433"/>
      <c r="WLT6" s="433"/>
      <c r="WLU6" s="433"/>
      <c r="WLV6" s="433"/>
      <c r="WLW6" s="433"/>
      <c r="WLX6" s="433"/>
      <c r="WLY6" s="433"/>
      <c r="WLZ6" s="433"/>
      <c r="WMA6" s="433"/>
      <c r="WMB6" s="433"/>
      <c r="WMC6" s="433"/>
      <c r="WMD6" s="433"/>
      <c r="WME6" s="433"/>
      <c r="WMF6" s="433"/>
      <c r="WMG6" s="433"/>
      <c r="WMH6" s="433"/>
      <c r="WMI6" s="433"/>
      <c r="WMJ6" s="433"/>
      <c r="WMK6" s="433"/>
      <c r="WML6" s="433"/>
      <c r="WMM6" s="433"/>
      <c r="WMN6" s="433"/>
      <c r="WMO6" s="433"/>
      <c r="WMP6" s="433"/>
      <c r="WMQ6" s="433"/>
      <c r="WMR6" s="433"/>
      <c r="WMS6" s="433"/>
      <c r="WMT6" s="433"/>
      <c r="WMU6" s="433"/>
      <c r="WMV6" s="433"/>
      <c r="WMW6" s="433"/>
      <c r="WMX6" s="433"/>
      <c r="WMY6" s="433"/>
      <c r="WMZ6" s="433"/>
      <c r="WNA6" s="433"/>
      <c r="WNB6" s="433"/>
      <c r="WNC6" s="433"/>
      <c r="WND6" s="433"/>
      <c r="WNE6" s="433"/>
      <c r="WNF6" s="433"/>
      <c r="WNG6" s="433"/>
      <c r="WNH6" s="433"/>
      <c r="WNI6" s="433"/>
      <c r="WNJ6" s="433"/>
      <c r="WNK6" s="433"/>
      <c r="WNL6" s="433"/>
      <c r="WNM6" s="433"/>
      <c r="WNN6" s="433"/>
      <c r="WNO6" s="433"/>
      <c r="WNP6" s="433"/>
      <c r="WNQ6" s="433"/>
      <c r="WNR6" s="433"/>
      <c r="WNS6" s="433"/>
      <c r="WNT6" s="433"/>
      <c r="WNU6" s="433"/>
      <c r="WNV6" s="433"/>
      <c r="WNW6" s="433"/>
      <c r="WNX6" s="433"/>
      <c r="WNY6" s="433"/>
      <c r="WNZ6" s="433"/>
      <c r="WOA6" s="433"/>
      <c r="WOB6" s="433"/>
      <c r="WOC6" s="433"/>
      <c r="WOD6" s="433"/>
      <c r="WOE6" s="433"/>
      <c r="WOF6" s="433"/>
      <c r="WOG6" s="433"/>
      <c r="WOH6" s="433"/>
      <c r="WOI6" s="433"/>
      <c r="WOJ6" s="433"/>
      <c r="WOK6" s="433"/>
      <c r="WOL6" s="433"/>
      <c r="WOM6" s="433"/>
      <c r="WON6" s="433"/>
      <c r="WOO6" s="433"/>
      <c r="WOP6" s="433"/>
      <c r="WOQ6" s="433"/>
      <c r="WOR6" s="433"/>
      <c r="WOS6" s="433"/>
      <c r="WOT6" s="433"/>
      <c r="WOU6" s="433"/>
      <c r="WOV6" s="433"/>
      <c r="WOW6" s="433"/>
      <c r="WOX6" s="433"/>
      <c r="WOY6" s="433"/>
      <c r="WOZ6" s="433"/>
      <c r="WPA6" s="433"/>
      <c r="WPB6" s="433"/>
      <c r="WPC6" s="433"/>
      <c r="WPD6" s="433"/>
      <c r="WPE6" s="433"/>
      <c r="WPF6" s="433"/>
      <c r="WPG6" s="433"/>
      <c r="WPH6" s="433"/>
      <c r="WPI6" s="433"/>
      <c r="WPJ6" s="433"/>
      <c r="WPK6" s="433"/>
      <c r="WPL6" s="433"/>
      <c r="WPM6" s="433"/>
      <c r="WPN6" s="433"/>
      <c r="WPO6" s="433"/>
      <c r="WPP6" s="433"/>
      <c r="WPQ6" s="433"/>
      <c r="WPR6" s="433"/>
      <c r="WPS6" s="433"/>
      <c r="WPT6" s="433"/>
      <c r="WPU6" s="433"/>
      <c r="WPV6" s="433"/>
      <c r="WPW6" s="433"/>
      <c r="WPX6" s="433"/>
      <c r="WPY6" s="433"/>
      <c r="WPZ6" s="433"/>
      <c r="WQA6" s="433"/>
      <c r="WQB6" s="433"/>
      <c r="WQC6" s="433"/>
      <c r="WQD6" s="433"/>
      <c r="WQE6" s="433"/>
      <c r="WQF6" s="433"/>
      <c r="WQG6" s="433"/>
      <c r="WQH6" s="433"/>
      <c r="WQI6" s="433"/>
      <c r="WQJ6" s="433"/>
      <c r="WQK6" s="433"/>
      <c r="WQL6" s="433"/>
      <c r="WQM6" s="433"/>
      <c r="WQN6" s="433"/>
      <c r="WQO6" s="433"/>
      <c r="WQP6" s="433"/>
      <c r="WQQ6" s="433"/>
      <c r="WQR6" s="433"/>
      <c r="WQS6" s="433"/>
      <c r="WQT6" s="433"/>
      <c r="WQU6" s="433"/>
      <c r="WQV6" s="433"/>
      <c r="WQW6" s="433"/>
      <c r="WQX6" s="433"/>
      <c r="WQY6" s="433"/>
      <c r="WQZ6" s="433"/>
      <c r="WRA6" s="433"/>
      <c r="WRB6" s="433"/>
      <c r="WRC6" s="433"/>
      <c r="WRD6" s="433"/>
      <c r="WRE6" s="433"/>
      <c r="WRF6" s="433"/>
      <c r="WRG6" s="433"/>
      <c r="WRH6" s="433"/>
      <c r="WRI6" s="433"/>
      <c r="WRJ6" s="433"/>
      <c r="WRK6" s="433"/>
      <c r="WRL6" s="433"/>
      <c r="WRM6" s="433"/>
      <c r="WRN6" s="433"/>
      <c r="WRO6" s="433"/>
      <c r="WRP6" s="433"/>
      <c r="WRQ6" s="433"/>
      <c r="WRR6" s="433"/>
      <c r="WRS6" s="433"/>
      <c r="WRT6" s="433"/>
      <c r="WRU6" s="433"/>
      <c r="WRV6" s="433"/>
      <c r="WRW6" s="433"/>
      <c r="WRX6" s="433"/>
      <c r="WRY6" s="433"/>
      <c r="WRZ6" s="433"/>
      <c r="WSA6" s="433"/>
      <c r="WSB6" s="433"/>
      <c r="WSC6" s="433"/>
      <c r="WSD6" s="433"/>
      <c r="WSE6" s="433"/>
      <c r="WSF6" s="433"/>
      <c r="WSG6" s="433"/>
      <c r="WSH6" s="433"/>
      <c r="WSI6" s="433"/>
      <c r="WSJ6" s="433"/>
      <c r="WSK6" s="433"/>
      <c r="WSL6" s="433"/>
      <c r="WSM6" s="433"/>
      <c r="WSN6" s="433"/>
      <c r="WSO6" s="433"/>
      <c r="WSP6" s="433"/>
      <c r="WSQ6" s="433"/>
      <c r="WSR6" s="433"/>
      <c r="WSS6" s="433"/>
      <c r="WST6" s="433"/>
      <c r="WSU6" s="433"/>
      <c r="WSV6" s="433"/>
      <c r="WSW6" s="433"/>
      <c r="WSX6" s="433"/>
      <c r="WSY6" s="433"/>
      <c r="WSZ6" s="433"/>
      <c r="WTA6" s="433"/>
      <c r="WTB6" s="433"/>
      <c r="WTC6" s="433"/>
      <c r="WTD6" s="433"/>
      <c r="WTE6" s="433"/>
      <c r="WTF6" s="433"/>
      <c r="WTG6" s="433"/>
      <c r="WTH6" s="433"/>
      <c r="WTI6" s="433"/>
      <c r="WTJ6" s="433"/>
      <c r="WTK6" s="433"/>
      <c r="WTL6" s="433"/>
      <c r="WTM6" s="433"/>
      <c r="WTN6" s="433"/>
      <c r="WTO6" s="433"/>
      <c r="WTP6" s="433"/>
      <c r="WTQ6" s="433"/>
      <c r="WTR6" s="433"/>
      <c r="WTS6" s="433"/>
      <c r="WTT6" s="433"/>
      <c r="WTU6" s="433"/>
      <c r="WTV6" s="433"/>
      <c r="WTW6" s="433"/>
      <c r="WTX6" s="433"/>
      <c r="WTY6" s="433"/>
      <c r="WTZ6" s="433"/>
      <c r="WUA6" s="433"/>
      <c r="WUB6" s="433"/>
      <c r="WUC6" s="433"/>
      <c r="WUD6" s="433"/>
      <c r="WUE6" s="433"/>
      <c r="WUF6" s="433"/>
      <c r="WUG6" s="433"/>
      <c r="WUH6" s="433"/>
      <c r="WUI6" s="433"/>
      <c r="WUJ6" s="433"/>
      <c r="WUK6" s="433"/>
      <c r="WUL6" s="433"/>
      <c r="WUM6" s="433"/>
      <c r="WUN6" s="433"/>
      <c r="WUO6" s="433"/>
      <c r="WUP6" s="433"/>
      <c r="WUQ6" s="433"/>
      <c r="WUR6" s="433"/>
      <c r="WUS6" s="433"/>
      <c r="WUT6" s="433"/>
      <c r="WUU6" s="433"/>
      <c r="WUV6" s="433"/>
      <c r="WUW6" s="433"/>
      <c r="WUX6" s="433"/>
      <c r="WUY6" s="433"/>
      <c r="WUZ6" s="433"/>
      <c r="WVA6" s="433"/>
      <c r="WVB6" s="433"/>
      <c r="WVC6" s="433"/>
      <c r="WVD6" s="433"/>
      <c r="WVE6" s="433"/>
      <c r="WVF6" s="433"/>
      <c r="WVG6" s="433"/>
      <c r="WVH6" s="433"/>
      <c r="WVI6" s="433"/>
      <c r="WVJ6" s="433"/>
      <c r="WVK6" s="433"/>
      <c r="WVL6" s="433"/>
      <c r="WVM6" s="433"/>
      <c r="WVN6" s="433"/>
      <c r="WVO6" s="433"/>
      <c r="WVP6" s="433"/>
      <c r="WVQ6" s="433"/>
      <c r="WVR6" s="433"/>
      <c r="WVS6" s="433"/>
      <c r="WVT6" s="433"/>
      <c r="WVU6" s="433"/>
      <c r="WVV6" s="433"/>
      <c r="WVW6" s="433"/>
      <c r="WVX6" s="433"/>
      <c r="WVY6" s="433"/>
      <c r="WVZ6" s="433"/>
      <c r="WWA6" s="433"/>
      <c r="WWB6" s="433"/>
      <c r="WWC6" s="433"/>
      <c r="WWD6" s="433"/>
      <c r="WWE6" s="433"/>
      <c r="WWF6" s="433"/>
      <c r="WWG6" s="433"/>
      <c r="WWH6" s="433"/>
      <c r="WWI6" s="433"/>
      <c r="WWJ6" s="433"/>
      <c r="WWK6" s="433"/>
      <c r="WWL6" s="433"/>
      <c r="WWM6" s="433"/>
      <c r="WWN6" s="433"/>
      <c r="WWO6" s="433"/>
      <c r="WWP6" s="433"/>
      <c r="WWQ6" s="433"/>
      <c r="WWR6" s="433"/>
      <c r="WWS6" s="433"/>
      <c r="WWT6" s="433"/>
      <c r="WWU6" s="433"/>
      <c r="WWV6" s="433"/>
      <c r="WWW6" s="433"/>
      <c r="WWX6" s="433"/>
      <c r="WWY6" s="433"/>
      <c r="WWZ6" s="433"/>
      <c r="WXA6" s="433"/>
      <c r="WXB6" s="433"/>
      <c r="WXC6" s="433"/>
      <c r="WXD6" s="433"/>
      <c r="WXE6" s="433"/>
      <c r="WXF6" s="433"/>
      <c r="WXG6" s="433"/>
      <c r="WXH6" s="433"/>
      <c r="WXI6" s="433"/>
      <c r="WXJ6" s="433"/>
      <c r="WXK6" s="433"/>
      <c r="WXL6" s="433"/>
      <c r="WXM6" s="433"/>
      <c r="WXN6" s="433"/>
      <c r="WXO6" s="433"/>
      <c r="WXP6" s="433"/>
      <c r="WXQ6" s="433"/>
      <c r="WXR6" s="433"/>
      <c r="WXS6" s="433"/>
      <c r="WXT6" s="433"/>
      <c r="WXU6" s="433"/>
      <c r="WXV6" s="433"/>
      <c r="WXW6" s="433"/>
      <c r="WXX6" s="433"/>
      <c r="WXY6" s="433"/>
      <c r="WXZ6" s="433"/>
      <c r="WYA6" s="433"/>
      <c r="WYB6" s="433"/>
      <c r="WYC6" s="433"/>
      <c r="WYD6" s="433"/>
      <c r="WYE6" s="433"/>
      <c r="WYF6" s="433"/>
      <c r="WYG6" s="433"/>
      <c r="WYH6" s="433"/>
      <c r="WYI6" s="433"/>
      <c r="WYJ6" s="433"/>
      <c r="WYK6" s="433"/>
      <c r="WYL6" s="433"/>
      <c r="WYM6" s="433"/>
      <c r="WYN6" s="433"/>
      <c r="WYO6" s="433"/>
      <c r="WYP6" s="433"/>
      <c r="WYQ6" s="433"/>
      <c r="WYR6" s="433"/>
      <c r="WYS6" s="433"/>
      <c r="WYT6" s="433"/>
      <c r="WYU6" s="433"/>
      <c r="WYV6" s="433"/>
      <c r="WYW6" s="433"/>
      <c r="WYX6" s="433"/>
      <c r="WYY6" s="433"/>
      <c r="WYZ6" s="433"/>
      <c r="WZA6" s="433"/>
      <c r="WZB6" s="433"/>
      <c r="WZC6" s="433"/>
      <c r="WZD6" s="433"/>
      <c r="WZE6" s="433"/>
      <c r="WZF6" s="433"/>
      <c r="WZG6" s="433"/>
      <c r="WZH6" s="433"/>
      <c r="WZI6" s="433"/>
      <c r="WZJ6" s="433"/>
      <c r="WZK6" s="433"/>
      <c r="WZL6" s="433"/>
      <c r="WZM6" s="433"/>
      <c r="WZN6" s="433"/>
      <c r="WZO6" s="433"/>
      <c r="WZP6" s="433"/>
      <c r="WZQ6" s="433"/>
      <c r="WZR6" s="433"/>
      <c r="WZS6" s="433"/>
      <c r="WZT6" s="433"/>
      <c r="WZU6" s="433"/>
      <c r="WZV6" s="433"/>
      <c r="WZW6" s="433"/>
      <c r="WZX6" s="433"/>
      <c r="WZY6" s="433"/>
      <c r="WZZ6" s="433"/>
      <c r="XAA6" s="433"/>
      <c r="XAB6" s="433"/>
      <c r="XAC6" s="433"/>
      <c r="XAD6" s="433"/>
      <c r="XAE6" s="433"/>
      <c r="XAF6" s="433"/>
      <c r="XAG6" s="433"/>
      <c r="XAH6" s="433"/>
      <c r="XAI6" s="433"/>
      <c r="XAJ6" s="433"/>
      <c r="XAK6" s="433"/>
      <c r="XAL6" s="433"/>
      <c r="XAM6" s="433"/>
      <c r="XAN6" s="433"/>
      <c r="XAO6" s="433"/>
      <c r="XAP6" s="433"/>
      <c r="XAQ6" s="433"/>
      <c r="XAR6" s="433"/>
      <c r="XAS6" s="433"/>
      <c r="XAT6" s="433"/>
      <c r="XAU6" s="433"/>
      <c r="XAV6" s="433"/>
      <c r="XAW6" s="433"/>
      <c r="XAX6" s="433"/>
      <c r="XAY6" s="433"/>
      <c r="XAZ6" s="433"/>
      <c r="XBA6" s="433"/>
      <c r="XBB6" s="433"/>
      <c r="XBC6" s="433"/>
      <c r="XBD6" s="433"/>
      <c r="XBE6" s="433"/>
      <c r="XBF6" s="433"/>
      <c r="XBG6" s="433"/>
      <c r="XBH6" s="433"/>
      <c r="XBI6" s="433"/>
      <c r="XBJ6" s="433"/>
      <c r="XBK6" s="433"/>
      <c r="XBL6" s="433"/>
      <c r="XBM6" s="433"/>
      <c r="XBN6" s="433"/>
      <c r="XBO6" s="433"/>
      <c r="XBP6" s="433"/>
      <c r="XBQ6" s="433"/>
      <c r="XBR6" s="433"/>
      <c r="XBS6" s="433"/>
      <c r="XBT6" s="433"/>
      <c r="XBU6" s="433"/>
      <c r="XBV6" s="433"/>
      <c r="XBW6" s="433"/>
      <c r="XBX6" s="433"/>
      <c r="XBY6" s="433"/>
      <c r="XBZ6" s="433"/>
      <c r="XCA6" s="433"/>
      <c r="XCB6" s="433"/>
      <c r="XCC6" s="433"/>
      <c r="XCD6" s="433"/>
      <c r="XCE6" s="433"/>
      <c r="XCF6" s="433"/>
      <c r="XCG6" s="433"/>
      <c r="XCH6" s="433"/>
      <c r="XCI6" s="433"/>
      <c r="XCJ6" s="433"/>
      <c r="XCK6" s="433"/>
      <c r="XCL6" s="433"/>
      <c r="XCM6" s="433"/>
      <c r="XCN6" s="433"/>
      <c r="XCO6" s="433"/>
      <c r="XCP6" s="433"/>
      <c r="XCQ6" s="433"/>
      <c r="XCR6" s="433"/>
      <c r="XCS6" s="433"/>
      <c r="XCT6" s="433"/>
      <c r="XCU6" s="433"/>
      <c r="XCV6" s="433"/>
      <c r="XCW6" s="433"/>
      <c r="XCX6" s="433"/>
      <c r="XCY6" s="433"/>
      <c r="XCZ6" s="433"/>
      <c r="XDA6" s="433"/>
      <c r="XDB6" s="433"/>
      <c r="XDC6" s="433"/>
      <c r="XDD6" s="433"/>
      <c r="XDE6" s="433"/>
      <c r="XDF6" s="433"/>
      <c r="XDG6" s="433"/>
      <c r="XDH6" s="433"/>
      <c r="XDI6" s="433"/>
      <c r="XDJ6" s="433"/>
      <c r="XDK6" s="433"/>
      <c r="XDL6" s="433"/>
      <c r="XDM6" s="433"/>
      <c r="XDN6" s="433"/>
      <c r="XDO6" s="433"/>
      <c r="XDP6" s="433"/>
      <c r="XDQ6" s="433"/>
      <c r="XDR6" s="433"/>
      <c r="XDS6" s="433"/>
      <c r="XDT6" s="433"/>
      <c r="XDU6" s="433"/>
      <c r="XDV6" s="433"/>
      <c r="XDW6" s="433"/>
      <c r="XDX6" s="433"/>
      <c r="XDY6" s="433"/>
      <c r="XDZ6" s="433"/>
      <c r="XEA6" s="433"/>
      <c r="XEB6" s="433"/>
      <c r="XEC6" s="433"/>
      <c r="XED6" s="433"/>
      <c r="XEE6" s="433"/>
      <c r="XEF6" s="433"/>
    </row>
    <row r="7" spans="1:16360" s="26" customFormat="1" ht="66" customHeight="1">
      <c r="A7" s="433" t="s">
        <v>1350</v>
      </c>
      <c r="B7" s="433"/>
      <c r="C7" s="433"/>
      <c r="D7" s="433"/>
      <c r="E7" s="433"/>
      <c r="F7" s="433"/>
      <c r="G7" s="433"/>
      <c r="H7" s="433"/>
      <c r="I7" s="433"/>
      <c r="J7" s="433"/>
      <c r="K7" s="433"/>
    </row>
    <row r="8" spans="1:16360" s="26" customFormat="1" ht="15.75" customHeight="1">
      <c r="A8" s="135"/>
    </row>
    <row r="9" spans="1:16360">
      <c r="A9" s="134" t="s">
        <v>973</v>
      </c>
    </row>
    <row r="10" spans="1:16360" s="26" customFormat="1">
      <c r="A10" s="416" t="s">
        <v>1215</v>
      </c>
    </row>
    <row r="11" spans="1:16360" s="26" customFormat="1" ht="47.25" customHeight="1">
      <c r="A11" s="433" t="s">
        <v>1362</v>
      </c>
      <c r="B11" s="433"/>
      <c r="C11" s="433"/>
      <c r="D11" s="433"/>
      <c r="E11" s="433"/>
      <c r="F11" s="433"/>
      <c r="G11" s="433"/>
      <c r="H11" s="433"/>
      <c r="I11" s="433"/>
      <c r="J11" s="433"/>
      <c r="K11" s="433"/>
    </row>
    <row r="12" spans="1:16360" s="26" customFormat="1">
      <c r="A12" s="416" t="s">
        <v>968</v>
      </c>
    </row>
    <row r="13" spans="1:16360" s="26" customFormat="1" ht="30" customHeight="1">
      <c r="A13" s="433" t="s">
        <v>969</v>
      </c>
      <c r="B13" s="433"/>
      <c r="C13" s="433"/>
      <c r="D13" s="433"/>
      <c r="E13" s="433"/>
      <c r="F13" s="433"/>
      <c r="G13" s="433"/>
      <c r="H13" s="433"/>
      <c r="I13" s="433"/>
      <c r="J13" s="433"/>
      <c r="K13" s="433"/>
    </row>
    <row r="14" spans="1:16360" s="26" customFormat="1">
      <c r="A14" s="416" t="s">
        <v>1057</v>
      </c>
    </row>
    <row r="15" spans="1:16360" s="26" customFormat="1" ht="63" customHeight="1">
      <c r="A15" s="433" t="s">
        <v>1378</v>
      </c>
      <c r="B15" s="433"/>
      <c r="C15" s="433"/>
      <c r="D15" s="433"/>
      <c r="E15" s="433"/>
      <c r="F15" s="433"/>
      <c r="G15" s="433"/>
      <c r="H15" s="433"/>
      <c r="I15" s="433"/>
      <c r="J15" s="433"/>
      <c r="K15" s="433"/>
    </row>
    <row r="16" spans="1:16360" s="26" customFormat="1">
      <c r="A16" s="416" t="s">
        <v>1347</v>
      </c>
    </row>
    <row r="17" spans="1:11" s="26" customFormat="1" ht="14.55" customHeight="1">
      <c r="A17" s="433" t="s">
        <v>1348</v>
      </c>
      <c r="B17" s="433"/>
      <c r="C17" s="433"/>
      <c r="D17" s="433"/>
      <c r="E17" s="433"/>
      <c r="F17" s="433"/>
      <c r="G17" s="433"/>
      <c r="H17" s="433"/>
      <c r="I17" s="433"/>
      <c r="J17" s="433"/>
      <c r="K17" s="433"/>
    </row>
    <row r="18" spans="1:11" s="26" customFormat="1">
      <c r="A18" s="416" t="s">
        <v>970</v>
      </c>
    </row>
    <row r="19" spans="1:11" s="26" customFormat="1" ht="34.5" customHeight="1">
      <c r="A19" s="433" t="s">
        <v>1349</v>
      </c>
      <c r="B19" s="433"/>
      <c r="C19" s="433"/>
      <c r="D19" s="433"/>
      <c r="E19" s="433"/>
      <c r="F19" s="433"/>
      <c r="G19" s="433"/>
      <c r="H19" s="433"/>
      <c r="I19" s="433"/>
      <c r="J19" s="433"/>
      <c r="K19" s="433"/>
    </row>
    <row r="20" spans="1:11" s="26" customFormat="1" ht="9.75" customHeight="1">
      <c r="A20" s="135"/>
    </row>
    <row r="21" spans="1:11" s="26" customFormat="1">
      <c r="A21" s="138" t="s">
        <v>1351</v>
      </c>
    </row>
    <row r="22" spans="1:11" s="26" customFormat="1">
      <c r="A22" s="441" t="s">
        <v>1026</v>
      </c>
      <c r="B22" s="442"/>
      <c r="C22" s="442"/>
      <c r="D22" s="443"/>
      <c r="E22" s="441" t="s">
        <v>1352</v>
      </c>
      <c r="F22" s="442"/>
      <c r="G22" s="442"/>
      <c r="H22" s="442"/>
      <c r="I22" s="443"/>
    </row>
    <row r="23" spans="1:11" s="26" customFormat="1">
      <c r="A23" s="447" t="s">
        <v>1353</v>
      </c>
      <c r="B23" s="448"/>
      <c r="C23" s="448"/>
      <c r="D23" s="449"/>
      <c r="E23" s="447" t="s">
        <v>1354</v>
      </c>
      <c r="F23" s="450"/>
      <c r="G23" s="450"/>
      <c r="H23" s="450"/>
      <c r="I23" s="451"/>
    </row>
    <row r="24" spans="1:11" s="26" customFormat="1">
      <c r="A24" s="139" t="s">
        <v>1049</v>
      </c>
      <c r="B24" s="140" t="s">
        <v>1050</v>
      </c>
      <c r="C24" s="140" t="s">
        <v>1275</v>
      </c>
      <c r="D24" s="141" t="s">
        <v>1276</v>
      </c>
      <c r="E24" s="139" t="s">
        <v>1049</v>
      </c>
      <c r="F24" s="140" t="s">
        <v>1050</v>
      </c>
      <c r="G24" s="445" t="s">
        <v>1275</v>
      </c>
      <c r="H24" s="445"/>
      <c r="I24" s="141" t="s">
        <v>1276</v>
      </c>
    </row>
    <row r="25" spans="1:11" s="26" customFormat="1">
      <c r="A25" s="229" t="s">
        <v>1355</v>
      </c>
      <c r="B25" s="230">
        <v>0.05</v>
      </c>
      <c r="C25" s="230">
        <v>2.1000000000000001E-2</v>
      </c>
      <c r="D25" s="231">
        <v>2.1999999999999999E-2</v>
      </c>
      <c r="E25" s="229">
        <v>0.02</v>
      </c>
      <c r="F25" s="230" t="s">
        <v>1356</v>
      </c>
      <c r="G25" s="446">
        <v>0.02</v>
      </c>
      <c r="H25" s="446"/>
      <c r="I25" s="231">
        <v>2.1000000000000001E-2</v>
      </c>
    </row>
    <row r="26" spans="1:11" s="26" customFormat="1">
      <c r="A26" s="452" t="s">
        <v>1357</v>
      </c>
      <c r="B26" s="452"/>
      <c r="C26" s="452"/>
      <c r="D26" s="452"/>
      <c r="E26" s="452"/>
      <c r="F26" s="452"/>
      <c r="G26" s="452"/>
      <c r="H26" s="452"/>
      <c r="I26" s="452"/>
    </row>
    <row r="27" spans="1:11" s="26" customFormat="1">
      <c r="A27" s="432" t="s">
        <v>1379</v>
      </c>
      <c r="B27" s="432"/>
      <c r="C27" s="432"/>
      <c r="D27" s="432"/>
      <c r="E27" s="432"/>
      <c r="F27" s="432"/>
      <c r="G27" s="432"/>
      <c r="H27" s="432"/>
      <c r="I27" s="432"/>
      <c r="J27" s="432"/>
      <c r="K27" s="432"/>
    </row>
    <row r="28" spans="1:11" s="26" customFormat="1" ht="15" customHeight="1">
      <c r="A28" s="135"/>
    </row>
    <row r="29" spans="1:11" s="301" customFormat="1" ht="30.75" customHeight="1">
      <c r="B29" s="302"/>
      <c r="C29" s="302"/>
      <c r="D29" s="302" t="s">
        <v>1216</v>
      </c>
      <c r="E29" s="439" t="s">
        <v>1298</v>
      </c>
      <c r="F29" s="439"/>
      <c r="G29" s="440"/>
      <c r="H29" s="352"/>
      <c r="I29" s="439" t="s">
        <v>1300</v>
      </c>
      <c r="J29" s="439"/>
      <c r="K29" s="439"/>
    </row>
    <row r="30" spans="1:11" ht="6.75" customHeight="1">
      <c r="H30" s="353"/>
    </row>
    <row r="31" spans="1:11">
      <c r="A31" s="434" t="s">
        <v>978</v>
      </c>
      <c r="B31" s="434"/>
      <c r="C31" s="434"/>
      <c r="D31" s="182" t="s">
        <v>1021</v>
      </c>
      <c r="E31" s="298" t="s">
        <v>1050</v>
      </c>
      <c r="F31" s="298" t="s">
        <v>1275</v>
      </c>
      <c r="G31" s="298" t="s">
        <v>1276</v>
      </c>
      <c r="H31" s="353"/>
      <c r="I31" s="344" t="s">
        <v>1050</v>
      </c>
      <c r="J31" s="344" t="s">
        <v>1275</v>
      </c>
      <c r="K31" s="344" t="s">
        <v>1276</v>
      </c>
    </row>
    <row r="32" spans="1:11" ht="13.95" customHeight="1">
      <c r="H32" s="353"/>
    </row>
    <row r="33" spans="1:11" ht="15.75" customHeight="1">
      <c r="A33" s="84" t="s">
        <v>1058</v>
      </c>
      <c r="D33" s="116"/>
      <c r="H33" s="353"/>
    </row>
    <row r="34" spans="1:11" ht="16.95" customHeight="1">
      <c r="A34" s="223"/>
      <c r="B34" s="223" t="s">
        <v>1059</v>
      </c>
      <c r="C34" s="223"/>
      <c r="D34" s="31">
        <v>68937</v>
      </c>
      <c r="E34" s="31">
        <v>70866.927599999995</v>
      </c>
      <c r="F34" s="31">
        <v>72284.266151999997</v>
      </c>
      <c r="G34" s="31">
        <v>73802.235741191995</v>
      </c>
      <c r="H34" s="353"/>
      <c r="I34" s="415">
        <v>72728.218500000003</v>
      </c>
      <c r="J34" s="415">
        <v>74182.782869999995</v>
      </c>
      <c r="K34" s="415">
        <v>75740.621310269999</v>
      </c>
    </row>
    <row r="35" spans="1:11">
      <c r="A35" s="223"/>
      <c r="B35" s="223" t="s">
        <v>1060</v>
      </c>
      <c r="C35" s="223"/>
      <c r="D35" s="31">
        <v>49453</v>
      </c>
      <c r="E35" s="31">
        <v>50837.398320960201</v>
      </c>
      <c r="F35" s="31">
        <v>51854.146287379401</v>
      </c>
      <c r="G35" s="31">
        <v>52943.08335941437</v>
      </c>
      <c r="H35" s="353"/>
      <c r="I35" s="415">
        <v>52172.621817716936</v>
      </c>
      <c r="J35" s="415">
        <v>53216.074254071274</v>
      </c>
      <c r="K35" s="415">
        <v>54333.611813406773</v>
      </c>
    </row>
    <row r="36" spans="1:11">
      <c r="A36" s="223"/>
      <c r="B36" s="223" t="s">
        <v>1061</v>
      </c>
      <c r="C36" s="223"/>
      <c r="D36" s="31">
        <v>102327</v>
      </c>
      <c r="E36" s="31">
        <v>105192.34730717266</v>
      </c>
      <c r="F36" s="31">
        <v>107296.19425331612</v>
      </c>
      <c r="G36" s="31">
        <v>109549.41433263576</v>
      </c>
      <c r="H36" s="353"/>
      <c r="I36" s="415">
        <v>107955.18133177739</v>
      </c>
      <c r="J36" s="415">
        <v>110114.28495841293</v>
      </c>
      <c r="K36" s="415">
        <v>112426.68494253961</v>
      </c>
    </row>
    <row r="37" spans="1:11">
      <c r="A37" s="223"/>
      <c r="B37" s="444" t="s">
        <v>1313</v>
      </c>
      <c r="C37" s="444"/>
      <c r="D37" s="444"/>
      <c r="E37" s="444"/>
      <c r="F37" s="444"/>
      <c r="G37" s="444"/>
      <c r="H37" s="444"/>
      <c r="I37" s="444"/>
      <c r="J37" s="444"/>
      <c r="K37" s="444"/>
    </row>
    <row r="38" spans="1:11">
      <c r="A38" s="223"/>
      <c r="B38" s="223" t="s">
        <v>1063</v>
      </c>
      <c r="C38" s="223"/>
      <c r="D38" s="255" t="s">
        <v>1062</v>
      </c>
      <c r="E38" s="255" t="s">
        <v>1062</v>
      </c>
      <c r="F38" s="255" t="s">
        <v>1062</v>
      </c>
      <c r="G38" s="255" t="s">
        <v>1062</v>
      </c>
      <c r="H38" s="353"/>
      <c r="I38" s="255" t="s">
        <v>1062</v>
      </c>
      <c r="J38" s="255" t="s">
        <v>1062</v>
      </c>
      <c r="K38" s="255" t="s">
        <v>1062</v>
      </c>
    </row>
    <row r="39" spans="1:11">
      <c r="A39" s="223"/>
      <c r="B39" s="223"/>
      <c r="C39" s="223"/>
      <c r="D39" s="254"/>
      <c r="E39" s="186"/>
      <c r="F39" s="186"/>
      <c r="G39" s="186"/>
      <c r="H39" s="353"/>
      <c r="I39" s="186"/>
      <c r="J39" s="186"/>
      <c r="K39" s="186"/>
    </row>
    <row r="40" spans="1:11">
      <c r="H40" s="353"/>
    </row>
    <row r="41" spans="1:11">
      <c r="A41" s="434" t="s">
        <v>1014</v>
      </c>
      <c r="B41" s="434"/>
      <c r="C41" s="434"/>
      <c r="D41" s="224" t="s">
        <v>1021</v>
      </c>
      <c r="E41" s="344" t="s">
        <v>1050</v>
      </c>
      <c r="F41" s="344" t="s">
        <v>1275</v>
      </c>
      <c r="G41" s="344" t="s">
        <v>1276</v>
      </c>
      <c r="H41" s="353"/>
      <c r="I41" s="344" t="s">
        <v>1050</v>
      </c>
      <c r="J41" s="344" t="s">
        <v>1275</v>
      </c>
      <c r="K41" s="344" t="s">
        <v>1276</v>
      </c>
    </row>
    <row r="42" spans="1:11" ht="13.95" customHeight="1">
      <c r="H42" s="353"/>
    </row>
    <row r="43" spans="1:11" ht="15.75" customHeight="1">
      <c r="A43" s="84" t="s">
        <v>1015</v>
      </c>
      <c r="H43" s="353"/>
    </row>
    <row r="44" spans="1:11" ht="16.95" customHeight="1">
      <c r="A44" s="223"/>
      <c r="B44" s="223" t="s">
        <v>1016</v>
      </c>
      <c r="C44" s="223"/>
      <c r="D44" s="186">
        <v>0.2271</v>
      </c>
      <c r="E44" s="186">
        <v>0.2271</v>
      </c>
      <c r="F44" s="186">
        <v>0.2271</v>
      </c>
      <c r="G44" s="186">
        <v>0.2271</v>
      </c>
      <c r="H44" s="353"/>
      <c r="I44" s="186">
        <v>0.22979999999999998</v>
      </c>
      <c r="J44" s="186">
        <v>0.22979999999999998</v>
      </c>
      <c r="K44" s="186">
        <v>0.22979999999999998</v>
      </c>
    </row>
    <row r="45" spans="1:11">
      <c r="A45" s="223"/>
      <c r="B45" s="223" t="s">
        <v>1017</v>
      </c>
      <c r="C45" s="223"/>
      <c r="D45" s="186">
        <v>0.2275142</v>
      </c>
      <c r="E45" s="186">
        <v>0.22800000000000001</v>
      </c>
      <c r="F45" s="186">
        <v>0.22800000000000001</v>
      </c>
      <c r="G45" s="186">
        <v>0.22800000000000001</v>
      </c>
      <c r="H45" s="353"/>
      <c r="I45" s="186">
        <v>0.22800000000000001</v>
      </c>
      <c r="J45" s="186">
        <v>0.22800000000000001</v>
      </c>
      <c r="K45" s="186">
        <v>0.22800000000000001</v>
      </c>
    </row>
    <row r="46" spans="1:11">
      <c r="A46" s="223"/>
      <c r="B46" s="223" t="s">
        <v>1018</v>
      </c>
      <c r="C46" s="223"/>
      <c r="D46" s="186">
        <v>0.22070000000000001</v>
      </c>
      <c r="E46" s="186">
        <v>0.22070000000000001</v>
      </c>
      <c r="F46" s="186">
        <v>0.22070000000000001</v>
      </c>
      <c r="G46" s="186">
        <v>0.22070000000000001</v>
      </c>
      <c r="H46" s="353"/>
      <c r="I46" s="186">
        <v>0.22339999999999999</v>
      </c>
      <c r="J46" s="186">
        <v>0.22339999999999999</v>
      </c>
      <c r="K46" s="186">
        <v>0.22339999999999999</v>
      </c>
    </row>
    <row r="47" spans="1:11">
      <c r="A47" s="223"/>
      <c r="B47" s="223" t="s">
        <v>1019</v>
      </c>
      <c r="C47" s="223"/>
      <c r="D47" s="186">
        <v>0.1925142</v>
      </c>
      <c r="E47" s="186">
        <v>0.193</v>
      </c>
      <c r="F47" s="186">
        <v>0.193</v>
      </c>
      <c r="G47" s="186">
        <v>0.193</v>
      </c>
      <c r="H47" s="353"/>
      <c r="I47" s="186">
        <v>0.193</v>
      </c>
      <c r="J47" s="186">
        <v>0.193</v>
      </c>
      <c r="K47" s="186">
        <v>0.193</v>
      </c>
    </row>
    <row r="48" spans="1:11">
      <c r="A48" s="223"/>
      <c r="B48" s="223"/>
      <c r="C48" s="223"/>
      <c r="D48" s="186"/>
      <c r="E48" s="186"/>
      <c r="F48" s="186"/>
      <c r="G48" s="186"/>
      <c r="H48" s="353"/>
      <c r="I48" s="186"/>
      <c r="J48" s="186"/>
      <c r="K48" s="186"/>
    </row>
    <row r="49" spans="1:16" ht="16.2" customHeight="1">
      <c r="A49" s="84" t="s">
        <v>1020</v>
      </c>
      <c r="D49" s="30">
        <v>968</v>
      </c>
      <c r="E49" s="30">
        <v>1023</v>
      </c>
      <c r="F49" s="30">
        <v>1032</v>
      </c>
      <c r="G49" s="30">
        <v>1032</v>
      </c>
      <c r="H49" s="353"/>
      <c r="I49" s="414">
        <v>1026</v>
      </c>
      <c r="J49" s="414">
        <v>1026</v>
      </c>
      <c r="K49" s="414">
        <v>1026</v>
      </c>
    </row>
    <row r="50" spans="1:16" ht="16.2" customHeight="1">
      <c r="A50" s="84" t="s">
        <v>1064</v>
      </c>
      <c r="D50" s="152">
        <v>1.02</v>
      </c>
      <c r="E50" s="152">
        <v>1.02</v>
      </c>
      <c r="F50" s="152">
        <v>1.02</v>
      </c>
      <c r="G50" s="152">
        <v>1.02</v>
      </c>
      <c r="H50" s="353"/>
      <c r="I50" s="152">
        <v>1.02</v>
      </c>
      <c r="J50" s="152">
        <v>1.02</v>
      </c>
      <c r="K50" s="152">
        <v>1.02</v>
      </c>
    </row>
    <row r="51" spans="1:16" ht="16.2" customHeight="1">
      <c r="A51" s="84" t="s">
        <v>1027</v>
      </c>
      <c r="D51" s="152">
        <v>1.43</v>
      </c>
      <c r="E51" s="152">
        <v>1.43</v>
      </c>
      <c r="F51" s="152">
        <v>1.43</v>
      </c>
      <c r="G51" s="152">
        <v>1.43</v>
      </c>
      <c r="H51" s="353"/>
      <c r="I51" s="152">
        <v>1.43</v>
      </c>
      <c r="J51" s="152">
        <v>1.43</v>
      </c>
      <c r="K51" s="152">
        <v>1.43</v>
      </c>
    </row>
    <row r="52" spans="1:16">
      <c r="A52" s="223"/>
      <c r="B52" s="223"/>
      <c r="C52" s="223"/>
      <c r="D52" s="153"/>
      <c r="E52" s="153"/>
      <c r="F52" s="153"/>
      <c r="G52" s="153"/>
      <c r="H52" s="353"/>
      <c r="I52" s="305"/>
      <c r="J52" s="305"/>
      <c r="K52" s="305"/>
    </row>
    <row r="53" spans="1:16">
      <c r="A53" s="434" t="s">
        <v>986</v>
      </c>
      <c r="B53" s="434"/>
      <c r="C53" s="434"/>
      <c r="D53" s="182" t="s">
        <v>1021</v>
      </c>
      <c r="E53" s="344" t="s">
        <v>1050</v>
      </c>
      <c r="F53" s="344" t="s">
        <v>1275</v>
      </c>
      <c r="G53" s="344" t="s">
        <v>1276</v>
      </c>
      <c r="H53" s="353"/>
      <c r="I53" s="344" t="s">
        <v>1050</v>
      </c>
      <c r="J53" s="344" t="s">
        <v>1275</v>
      </c>
      <c r="K53" s="344" t="s">
        <v>1276</v>
      </c>
    </row>
    <row r="54" spans="1:16">
      <c r="H54" s="353"/>
    </row>
    <row r="55" spans="1:16" ht="47.55" customHeight="1">
      <c r="A55" s="437" t="s">
        <v>1359</v>
      </c>
      <c r="B55" s="437"/>
      <c r="C55" s="437"/>
      <c r="D55" s="437"/>
      <c r="E55" s="437"/>
      <c r="F55" s="437"/>
      <c r="G55" s="437"/>
      <c r="H55" s="437"/>
      <c r="I55" s="437"/>
      <c r="J55" s="437"/>
      <c r="K55" s="437"/>
      <c r="L55" s="349"/>
      <c r="M55" s="349"/>
      <c r="N55" s="349"/>
      <c r="O55" s="349"/>
      <c r="P55" s="349"/>
    </row>
    <row r="56" spans="1:16" ht="15" customHeight="1">
      <c r="A56" s="405"/>
      <c r="B56" s="405"/>
      <c r="C56" s="405"/>
      <c r="D56" s="405"/>
      <c r="E56" s="405"/>
      <c r="F56" s="405"/>
      <c r="G56" s="405"/>
      <c r="H56" s="410"/>
      <c r="I56" s="405"/>
      <c r="J56" s="405"/>
      <c r="K56" s="405"/>
      <c r="L56" s="349"/>
      <c r="M56" s="349"/>
      <c r="N56" s="349"/>
      <c r="O56" s="349"/>
      <c r="P56" s="349"/>
    </row>
    <row r="57" spans="1:16" ht="15.75" customHeight="1">
      <c r="A57" s="84" t="s">
        <v>1312</v>
      </c>
      <c r="H57" s="353"/>
    </row>
    <row r="58" spans="1:16" ht="16.95" customHeight="1">
      <c r="A58" s="176"/>
      <c r="B58" s="256" t="s">
        <v>1065</v>
      </c>
      <c r="C58" s="176"/>
      <c r="D58" s="258">
        <v>1.2529999999999999</v>
      </c>
      <c r="E58" s="303">
        <v>1.2529999999999999</v>
      </c>
      <c r="F58" s="303">
        <v>1.2529999999999999</v>
      </c>
      <c r="G58" s="303">
        <v>1.2529999999999999</v>
      </c>
      <c r="H58" s="353"/>
      <c r="I58" s="303">
        <v>1.2529999999999999</v>
      </c>
      <c r="J58" s="303">
        <v>1.2529999999999999</v>
      </c>
      <c r="K58" s="303">
        <v>1.2529999999999999</v>
      </c>
    </row>
    <row r="59" spans="1:16">
      <c r="A59" s="176"/>
      <c r="B59" s="256" t="s">
        <v>1066</v>
      </c>
      <c r="C59" s="176"/>
      <c r="D59" s="258">
        <v>0.66300000000000003</v>
      </c>
      <c r="E59" s="303">
        <v>0.66300000000000003</v>
      </c>
      <c r="F59" s="303">
        <v>0.66300000000000003</v>
      </c>
      <c r="G59" s="303">
        <v>0.66300000000000003</v>
      </c>
      <c r="H59" s="353"/>
      <c r="I59" s="303">
        <v>0.66300000000000003</v>
      </c>
      <c r="J59" s="303">
        <v>0.66300000000000003</v>
      </c>
      <c r="K59" s="303">
        <v>0.66300000000000003</v>
      </c>
    </row>
    <row r="60" spans="1:16">
      <c r="A60" s="176"/>
      <c r="B60" s="256" t="s">
        <v>1067</v>
      </c>
      <c r="C60" s="176"/>
      <c r="D60" s="258">
        <v>0.49299999999999999</v>
      </c>
      <c r="E60" s="303">
        <v>0.49299999999999999</v>
      </c>
      <c r="F60" s="303">
        <v>0.49299999999999999</v>
      </c>
      <c r="G60" s="303">
        <v>0.49299999999999999</v>
      </c>
      <c r="H60" s="353"/>
      <c r="I60" s="413">
        <v>0.65966666666666662</v>
      </c>
      <c r="J60" s="413">
        <v>0.82633333333333336</v>
      </c>
      <c r="K60" s="413">
        <v>0.99299999999999999</v>
      </c>
      <c r="M60" s="152"/>
    </row>
    <row r="61" spans="1:16">
      <c r="A61" s="223"/>
      <c r="B61" s="354" t="s">
        <v>1358</v>
      </c>
      <c r="C61" s="346"/>
      <c r="D61" s="258">
        <v>0.49299999999999999</v>
      </c>
      <c r="E61" s="413">
        <v>0.99299999999999999</v>
      </c>
      <c r="F61" s="413">
        <v>0.99299999999999999</v>
      </c>
      <c r="G61" s="413">
        <v>0.99299999999999999</v>
      </c>
      <c r="H61" s="353"/>
      <c r="I61" s="303">
        <v>0.99299999999999999</v>
      </c>
      <c r="J61" s="303">
        <v>0.99299999999999999</v>
      </c>
      <c r="K61" s="303">
        <v>0.99299999999999999</v>
      </c>
      <c r="M61" s="152"/>
    </row>
    <row r="62" spans="1:16">
      <c r="A62" s="176"/>
      <c r="B62" s="257" t="s">
        <v>1068</v>
      </c>
      <c r="C62" s="176"/>
      <c r="D62" s="258"/>
      <c r="E62" s="303"/>
      <c r="F62" s="303"/>
      <c r="G62" s="303"/>
      <c r="H62" s="353"/>
      <c r="I62" s="303"/>
      <c r="J62" s="303"/>
      <c r="K62" s="303"/>
    </row>
    <row r="63" spans="1:16">
      <c r="A63" s="223"/>
      <c r="B63" s="256"/>
      <c r="C63" s="256" t="s">
        <v>1074</v>
      </c>
      <c r="D63" s="258">
        <v>7.5999999999999998E-2</v>
      </c>
      <c r="E63" s="303">
        <v>7.5999999999999998E-2</v>
      </c>
      <c r="F63" s="303">
        <v>7.5999999999999998E-2</v>
      </c>
      <c r="G63" s="303">
        <v>7.5999999999999998E-2</v>
      </c>
      <c r="H63" s="353"/>
      <c r="I63" s="413">
        <v>0.246</v>
      </c>
      <c r="J63" s="413">
        <v>0.41599999999999998</v>
      </c>
      <c r="K63" s="413">
        <v>0.58499999999999996</v>
      </c>
    </row>
    <row r="64" spans="1:16">
      <c r="A64" s="223"/>
      <c r="B64" s="256"/>
      <c r="C64" s="256" t="s">
        <v>1075</v>
      </c>
      <c r="D64" s="258">
        <v>4.2000000000000003E-2</v>
      </c>
      <c r="E64" s="303">
        <v>4.2000000000000003E-2</v>
      </c>
      <c r="F64" s="303">
        <v>4.2000000000000003E-2</v>
      </c>
      <c r="G64" s="303">
        <v>4.2000000000000003E-2</v>
      </c>
      <c r="H64" s="353"/>
      <c r="I64" s="413">
        <v>0.13166666666666668</v>
      </c>
      <c r="J64" s="413">
        <v>0.22133333333333335</v>
      </c>
      <c r="K64" s="413">
        <v>0.311</v>
      </c>
    </row>
    <row r="65" spans="1:15">
      <c r="A65" s="223"/>
      <c r="B65" s="256"/>
      <c r="C65" s="256" t="s">
        <v>1076</v>
      </c>
      <c r="D65" s="258">
        <v>1.7000000000000001E-2</v>
      </c>
      <c r="E65" s="303">
        <v>1.7000000000000001E-2</v>
      </c>
      <c r="F65" s="303">
        <v>1.7000000000000001E-2</v>
      </c>
      <c r="G65" s="303">
        <v>1.7000000000000001E-2</v>
      </c>
      <c r="H65" s="353"/>
      <c r="I65" s="413">
        <v>4.5999999999999999E-2</v>
      </c>
      <c r="J65" s="413">
        <v>7.4999999999999997E-2</v>
      </c>
      <c r="K65" s="413">
        <v>0.104</v>
      </c>
    </row>
    <row r="66" spans="1:15">
      <c r="A66" s="223"/>
      <c r="B66" s="256" t="s">
        <v>1069</v>
      </c>
      <c r="C66" s="223"/>
      <c r="D66" s="258">
        <v>0.93600000000000005</v>
      </c>
      <c r="E66" s="303">
        <v>0.93600000000000005</v>
      </c>
      <c r="F66" s="303">
        <v>0.93600000000000005</v>
      </c>
      <c r="G66" s="303">
        <v>0.93600000000000005</v>
      </c>
      <c r="H66" s="353"/>
      <c r="I66" s="303">
        <v>0.93600000000000005</v>
      </c>
      <c r="J66" s="303">
        <v>0.93600000000000005</v>
      </c>
      <c r="K66" s="303">
        <v>0.93600000000000005</v>
      </c>
    </row>
    <row r="67" spans="1:15">
      <c r="A67" s="223"/>
      <c r="B67" s="256" t="s">
        <v>1070</v>
      </c>
      <c r="C67" s="223"/>
      <c r="D67" s="258">
        <v>2.012</v>
      </c>
      <c r="E67" s="303">
        <v>2.012</v>
      </c>
      <c r="F67" s="303">
        <v>2.012</v>
      </c>
      <c r="G67" s="303">
        <v>2.012</v>
      </c>
      <c r="H67" s="353"/>
      <c r="I67" s="303">
        <v>2.012</v>
      </c>
      <c r="J67" s="303">
        <v>2.012</v>
      </c>
      <c r="K67" s="303">
        <v>2.012</v>
      </c>
    </row>
    <row r="68" spans="1:15">
      <c r="A68" s="223"/>
      <c r="B68" s="256" t="s">
        <v>1071</v>
      </c>
      <c r="C68" s="223"/>
      <c r="D68" s="258">
        <v>1.657</v>
      </c>
      <c r="E68" s="303">
        <v>1.657</v>
      </c>
      <c r="F68" s="303">
        <v>1.657</v>
      </c>
      <c r="G68" s="303">
        <v>1.657</v>
      </c>
      <c r="H68" s="353"/>
      <c r="I68" s="303">
        <v>1.657</v>
      </c>
      <c r="J68" s="303">
        <v>1.657</v>
      </c>
      <c r="K68" s="303">
        <v>1.657</v>
      </c>
    </row>
    <row r="69" spans="1:15">
      <c r="A69" s="223"/>
      <c r="B69" s="256" t="s">
        <v>1072</v>
      </c>
      <c r="C69" s="223"/>
      <c r="D69" s="258">
        <v>7.9000000000000001E-2</v>
      </c>
      <c r="E69" s="303">
        <v>7.9000000000000001E-2</v>
      </c>
      <c r="F69" s="303">
        <v>7.9000000000000001E-2</v>
      </c>
      <c r="G69" s="303">
        <v>7.9000000000000001E-2</v>
      </c>
      <c r="H69" s="353"/>
      <c r="I69" s="303">
        <v>7.9000000000000001E-2</v>
      </c>
      <c r="J69" s="303">
        <v>7.9000000000000001E-2</v>
      </c>
      <c r="K69" s="303">
        <v>7.9000000000000001E-2</v>
      </c>
    </row>
    <row r="70" spans="1:15">
      <c r="A70" s="223"/>
      <c r="B70" s="256" t="s">
        <v>1073</v>
      </c>
      <c r="C70" s="223"/>
      <c r="D70" s="258">
        <v>8.2500000000000004E-2</v>
      </c>
      <c r="E70" s="303">
        <v>8.2500000000000004E-2</v>
      </c>
      <c r="F70" s="303">
        <v>8.2500000000000004E-2</v>
      </c>
      <c r="G70" s="303">
        <v>8.2500000000000004E-2</v>
      </c>
      <c r="H70" s="353"/>
      <c r="I70" s="303">
        <v>8.2500000000000004E-2</v>
      </c>
      <c r="J70" s="303">
        <v>8.2500000000000004E-2</v>
      </c>
      <c r="K70" s="303">
        <v>8.2500000000000004E-2</v>
      </c>
    </row>
    <row r="71" spans="1:15">
      <c r="A71" s="349"/>
      <c r="B71" s="349"/>
      <c r="C71" s="349"/>
      <c r="D71" s="349"/>
      <c r="E71" s="349"/>
      <c r="F71" s="349"/>
      <c r="G71" s="349"/>
      <c r="H71" s="353"/>
      <c r="I71" s="411"/>
      <c r="J71" s="411"/>
      <c r="K71" s="411"/>
    </row>
    <row r="72" spans="1:15">
      <c r="A72" s="176"/>
      <c r="B72" s="176"/>
      <c r="C72" s="176"/>
      <c r="D72" s="152"/>
      <c r="E72" s="152"/>
      <c r="F72" s="152"/>
      <c r="G72" s="152"/>
      <c r="H72" s="353"/>
      <c r="I72" s="412"/>
      <c r="J72" s="412"/>
      <c r="K72" s="412"/>
      <c r="L72" s="152"/>
      <c r="M72" s="152"/>
      <c r="N72" s="152"/>
      <c r="O72" s="152"/>
    </row>
    <row r="73" spans="1:15" ht="15.75" customHeight="1">
      <c r="A73" s="84" t="s">
        <v>1297</v>
      </c>
      <c r="H73" s="353"/>
      <c r="I73" s="123"/>
      <c r="J73" s="123"/>
      <c r="K73" s="123"/>
    </row>
    <row r="74" spans="1:15" ht="16.95" customHeight="1">
      <c r="A74" s="223"/>
      <c r="B74" s="256" t="s">
        <v>1065</v>
      </c>
      <c r="C74" s="223"/>
      <c r="D74" s="258">
        <v>1.353</v>
      </c>
      <c r="E74" s="303">
        <v>1.353</v>
      </c>
      <c r="F74" s="303">
        <v>1.353</v>
      </c>
      <c r="G74" s="303">
        <v>1.353</v>
      </c>
      <c r="H74" s="353"/>
      <c r="I74" s="303">
        <v>1.353</v>
      </c>
      <c r="J74" s="303">
        <v>1.353</v>
      </c>
      <c r="K74" s="303">
        <v>1.353</v>
      </c>
    </row>
    <row r="75" spans="1:15">
      <c r="A75" s="223"/>
      <c r="B75" s="256" t="s">
        <v>1066</v>
      </c>
      <c r="C75" s="223"/>
      <c r="D75" s="258">
        <v>0.51900000000000002</v>
      </c>
      <c r="E75" s="303">
        <v>0.51900000000000002</v>
      </c>
      <c r="F75" s="303">
        <v>0.51900000000000002</v>
      </c>
      <c r="G75" s="303">
        <v>0.51900000000000002</v>
      </c>
      <c r="H75" s="353"/>
      <c r="I75" s="303">
        <v>0.51900000000000002</v>
      </c>
      <c r="J75" s="303">
        <v>0.51900000000000002</v>
      </c>
      <c r="K75" s="303">
        <v>0.51900000000000002</v>
      </c>
    </row>
    <row r="76" spans="1:15">
      <c r="A76" s="223"/>
      <c r="B76" s="256" t="s">
        <v>1067</v>
      </c>
      <c r="C76" s="223"/>
      <c r="D76" s="258">
        <v>1.216</v>
      </c>
      <c r="E76" s="303">
        <v>1.216</v>
      </c>
      <c r="F76" s="303">
        <v>1.216</v>
      </c>
      <c r="G76" s="303">
        <v>1.216</v>
      </c>
      <c r="H76" s="353"/>
      <c r="I76" s="413">
        <v>1.3826666666666667</v>
      </c>
      <c r="J76" s="413">
        <v>1.5493333333333335</v>
      </c>
      <c r="K76" s="413">
        <v>1.716</v>
      </c>
    </row>
    <row r="77" spans="1:15">
      <c r="A77" s="223"/>
      <c r="B77" s="354" t="s">
        <v>1358</v>
      </c>
      <c r="C77" s="346"/>
      <c r="D77" s="258">
        <v>1.216</v>
      </c>
      <c r="E77" s="413">
        <v>1.716</v>
      </c>
      <c r="F77" s="413">
        <v>1.716</v>
      </c>
      <c r="G77" s="413">
        <v>1.716</v>
      </c>
      <c r="H77" s="353"/>
      <c r="I77" s="303">
        <v>1.716</v>
      </c>
      <c r="J77" s="303">
        <v>1.716</v>
      </c>
      <c r="K77" s="303">
        <v>1.716</v>
      </c>
    </row>
    <row r="78" spans="1:15">
      <c r="A78" s="223"/>
      <c r="B78" s="257" t="s">
        <v>1068</v>
      </c>
      <c r="C78" s="223"/>
      <c r="D78" s="258"/>
      <c r="E78" s="303"/>
      <c r="F78" s="303"/>
      <c r="G78" s="303"/>
      <c r="H78" s="353"/>
      <c r="I78" s="303"/>
      <c r="J78" s="303"/>
      <c r="K78" s="303"/>
    </row>
    <row r="79" spans="1:15">
      <c r="A79" s="223"/>
      <c r="B79" s="256"/>
      <c r="C79" s="256" t="s">
        <v>1074</v>
      </c>
      <c r="D79" s="258">
        <v>0.06</v>
      </c>
      <c r="E79" s="303">
        <v>0.06</v>
      </c>
      <c r="F79" s="303">
        <v>0.06</v>
      </c>
      <c r="G79" s="303">
        <v>0.06</v>
      </c>
      <c r="H79" s="353"/>
      <c r="I79" s="413">
        <v>0.33600000000000002</v>
      </c>
      <c r="J79" s="413">
        <v>0.6120000000000001</v>
      </c>
      <c r="K79" s="413">
        <v>0.88800000000000001</v>
      </c>
    </row>
    <row r="80" spans="1:15">
      <c r="A80" s="223"/>
      <c r="B80" s="256"/>
      <c r="C80" s="256" t="s">
        <v>1075</v>
      </c>
      <c r="D80" s="258">
        <v>6.0000000000000001E-3</v>
      </c>
      <c r="E80" s="303">
        <v>6.0000000000000001E-3</v>
      </c>
      <c r="F80" s="303">
        <v>6.0000000000000001E-3</v>
      </c>
      <c r="G80" s="303">
        <v>6.0000000000000001E-3</v>
      </c>
      <c r="H80" s="353"/>
      <c r="I80" s="413">
        <v>3.3333333333333333E-2</v>
      </c>
      <c r="J80" s="413">
        <v>6.066666666666666E-2</v>
      </c>
      <c r="K80" s="413">
        <v>8.7999999999999995E-2</v>
      </c>
    </row>
    <row r="81" spans="1:15">
      <c r="A81" s="223"/>
      <c r="B81" s="256"/>
      <c r="C81" s="256" t="s">
        <v>1076</v>
      </c>
      <c r="D81" s="258">
        <v>2E-3</v>
      </c>
      <c r="E81" s="303">
        <v>2E-3</v>
      </c>
      <c r="F81" s="303">
        <v>2E-3</v>
      </c>
      <c r="G81" s="303">
        <v>2E-3</v>
      </c>
      <c r="H81" s="353"/>
      <c r="I81" s="413">
        <v>9.3333333333333324E-3</v>
      </c>
      <c r="J81" s="413">
        <v>1.6666666666666666E-2</v>
      </c>
      <c r="K81" s="413">
        <v>2.4E-2</v>
      </c>
    </row>
    <row r="82" spans="1:15">
      <c r="A82" s="223"/>
      <c r="B82" s="256" t="s">
        <v>1069</v>
      </c>
      <c r="C82" s="223"/>
      <c r="D82" s="258">
        <v>0.7</v>
      </c>
      <c r="E82" s="303">
        <v>0.7</v>
      </c>
      <c r="F82" s="303">
        <v>0.7</v>
      </c>
      <c r="G82" s="303">
        <v>0.7</v>
      </c>
      <c r="H82" s="353"/>
      <c r="I82" s="303">
        <v>0.7</v>
      </c>
      <c r="J82" s="303">
        <v>0.7</v>
      </c>
      <c r="K82" s="303">
        <v>0.7</v>
      </c>
    </row>
    <row r="83" spans="1:15">
      <c r="A83" s="223"/>
      <c r="B83" s="256" t="s">
        <v>1070</v>
      </c>
      <c r="C83" s="223"/>
      <c r="D83" s="258">
        <v>2.3250000000000002</v>
      </c>
      <c r="E83" s="303">
        <v>2.3250000000000002</v>
      </c>
      <c r="F83" s="303">
        <v>2.3250000000000002</v>
      </c>
      <c r="G83" s="303">
        <v>2.3250000000000002</v>
      </c>
      <c r="H83" s="353"/>
      <c r="I83" s="303">
        <v>2.3250000000000002</v>
      </c>
      <c r="J83" s="303">
        <v>2.3250000000000002</v>
      </c>
      <c r="K83" s="303">
        <v>2.3250000000000002</v>
      </c>
    </row>
    <row r="84" spans="1:15">
      <c r="A84" s="223"/>
      <c r="B84" s="256" t="s">
        <v>1071</v>
      </c>
      <c r="C84" s="223"/>
      <c r="D84" s="258">
        <v>1.9419999999999999</v>
      </c>
      <c r="E84" s="303">
        <v>1.9419999999999999</v>
      </c>
      <c r="F84" s="303">
        <v>1.9419999999999999</v>
      </c>
      <c r="G84" s="303">
        <v>1.9419999999999999</v>
      </c>
      <c r="H84" s="353"/>
      <c r="I84" s="303">
        <v>1.9419999999999999</v>
      </c>
      <c r="J84" s="303">
        <v>1.9419999999999999</v>
      </c>
      <c r="K84" s="303">
        <v>1.9419999999999999</v>
      </c>
    </row>
    <row r="85" spans="1:15">
      <c r="A85" s="223"/>
      <c r="B85" s="256" t="s">
        <v>1072</v>
      </c>
      <c r="C85" s="223"/>
      <c r="D85" s="258">
        <v>9.1999999999999998E-2</v>
      </c>
      <c r="E85" s="303">
        <v>9.1999999999999998E-2</v>
      </c>
      <c r="F85" s="303">
        <v>9.1999999999999998E-2</v>
      </c>
      <c r="G85" s="303">
        <v>9.1999999999999998E-2</v>
      </c>
      <c r="H85" s="353"/>
      <c r="I85" s="303">
        <v>9.1999999999999998E-2</v>
      </c>
      <c r="J85" s="303">
        <v>9.1999999999999998E-2</v>
      </c>
      <c r="K85" s="303">
        <v>9.1999999999999998E-2</v>
      </c>
    </row>
    <row r="86" spans="1:15">
      <c r="A86" s="223"/>
      <c r="B86" s="256" t="s">
        <v>1073</v>
      </c>
      <c r="C86" s="223"/>
      <c r="D86" s="258">
        <v>0</v>
      </c>
      <c r="E86" s="303">
        <v>0</v>
      </c>
      <c r="F86" s="303">
        <v>0</v>
      </c>
      <c r="G86" s="303">
        <v>0</v>
      </c>
      <c r="H86" s="353"/>
      <c r="I86" s="303">
        <v>0</v>
      </c>
      <c r="J86" s="303">
        <v>0</v>
      </c>
      <c r="K86" s="303">
        <v>0</v>
      </c>
    </row>
    <row r="87" spans="1:15">
      <c r="A87" s="349"/>
      <c r="B87" s="349"/>
      <c r="C87" s="349"/>
      <c r="D87" s="349"/>
      <c r="E87" s="349"/>
      <c r="F87" s="349"/>
      <c r="G87" s="349"/>
      <c r="H87" s="353"/>
      <c r="I87" s="411"/>
      <c r="J87" s="411"/>
      <c r="K87" s="411"/>
    </row>
    <row r="88" spans="1:15">
      <c r="A88" s="223"/>
      <c r="B88" s="223"/>
      <c r="C88" s="223"/>
      <c r="D88" s="152"/>
      <c r="E88" s="152"/>
      <c r="F88" s="152"/>
      <c r="G88" s="152"/>
      <c r="H88" s="353"/>
      <c r="I88" s="412"/>
      <c r="J88" s="412"/>
      <c r="K88" s="412"/>
      <c r="L88" s="152"/>
      <c r="M88" s="152"/>
      <c r="N88" s="152"/>
      <c r="O88" s="152"/>
    </row>
    <row r="89" spans="1:15" ht="15.75" customHeight="1">
      <c r="A89" s="84" t="s">
        <v>1299</v>
      </c>
      <c r="H89" s="353"/>
      <c r="I89" s="123"/>
      <c r="J89" s="123"/>
      <c r="K89" s="123"/>
    </row>
    <row r="90" spans="1:15" ht="16.95" customHeight="1">
      <c r="A90" s="223"/>
      <c r="B90" s="256" t="s">
        <v>1065</v>
      </c>
      <c r="C90" s="223"/>
      <c r="D90" s="258">
        <v>1.88</v>
      </c>
      <c r="E90" s="303">
        <v>1.88</v>
      </c>
      <c r="F90" s="303">
        <v>1.88</v>
      </c>
      <c r="G90" s="303">
        <v>1.88</v>
      </c>
      <c r="H90" s="353"/>
      <c r="I90" s="303">
        <v>1.88</v>
      </c>
      <c r="J90" s="303">
        <v>1.88</v>
      </c>
      <c r="K90" s="303">
        <v>1.88</v>
      </c>
    </row>
    <row r="91" spans="1:15">
      <c r="A91" s="223"/>
      <c r="B91" s="256" t="s">
        <v>1066</v>
      </c>
      <c r="C91" s="223"/>
      <c r="D91" s="258">
        <v>0.52300000000000002</v>
      </c>
      <c r="E91" s="303">
        <v>0.52300000000000002</v>
      </c>
      <c r="F91" s="303">
        <v>0.52300000000000002</v>
      </c>
      <c r="G91" s="303">
        <v>0.52300000000000002</v>
      </c>
      <c r="H91" s="353"/>
      <c r="I91" s="303">
        <v>0.52300000000000002</v>
      </c>
      <c r="J91" s="303">
        <v>0.52300000000000002</v>
      </c>
      <c r="K91" s="303">
        <v>0.52300000000000002</v>
      </c>
    </row>
    <row r="92" spans="1:15">
      <c r="A92" s="223"/>
      <c r="B92" s="256" t="s">
        <v>1067</v>
      </c>
      <c r="C92" s="223"/>
      <c r="D92" s="258">
        <v>2.5390000000000001</v>
      </c>
      <c r="E92" s="303">
        <v>2.5390000000000001</v>
      </c>
      <c r="F92" s="303">
        <v>2.5390000000000001</v>
      </c>
      <c r="G92" s="303">
        <v>2.5390000000000001</v>
      </c>
      <c r="H92" s="353"/>
      <c r="I92" s="413">
        <v>2.7056666666666667</v>
      </c>
      <c r="J92" s="413">
        <v>2.8820000000000001</v>
      </c>
      <c r="K92" s="413">
        <v>3.0390000000000001</v>
      </c>
    </row>
    <row r="93" spans="1:15">
      <c r="A93" s="223"/>
      <c r="B93" s="354" t="s">
        <v>1358</v>
      </c>
      <c r="C93" s="223"/>
      <c r="D93" s="258">
        <v>2.5390000000000001</v>
      </c>
      <c r="E93" s="413">
        <v>3.0390000000000001</v>
      </c>
      <c r="F93" s="413">
        <v>3.0390000000000001</v>
      </c>
      <c r="G93" s="413">
        <v>3.0390000000000001</v>
      </c>
      <c r="H93" s="353"/>
      <c r="I93" s="303">
        <v>3.0390000000000001</v>
      </c>
      <c r="J93" s="303">
        <v>3.0390000000000001</v>
      </c>
      <c r="K93" s="303">
        <v>3.0390000000000001</v>
      </c>
    </row>
    <row r="94" spans="1:15">
      <c r="A94" s="223"/>
      <c r="B94" s="257" t="s">
        <v>1068</v>
      </c>
      <c r="C94" s="223"/>
      <c r="D94" s="258"/>
      <c r="E94" s="303"/>
      <c r="F94" s="303"/>
      <c r="G94" s="303"/>
      <c r="H94" s="353"/>
      <c r="I94" s="303"/>
      <c r="J94" s="303"/>
      <c r="K94" s="303"/>
    </row>
    <row r="95" spans="1:15">
      <c r="A95" s="223"/>
      <c r="B95" s="256"/>
      <c r="C95" s="256" t="s">
        <v>1074</v>
      </c>
      <c r="D95" s="258">
        <v>9.6000000000000002E-2</v>
      </c>
      <c r="E95" s="303">
        <v>9.6000000000000002E-2</v>
      </c>
      <c r="F95" s="303">
        <v>9.6000000000000002E-2</v>
      </c>
      <c r="G95" s="303">
        <v>9.6000000000000002E-2</v>
      </c>
      <c r="H95" s="353"/>
      <c r="I95" s="413">
        <v>0.33900000000000002</v>
      </c>
      <c r="J95" s="413">
        <v>0.58199999999999996</v>
      </c>
      <c r="K95" s="413">
        <v>0.82399999999999995</v>
      </c>
    </row>
    <row r="96" spans="1:15">
      <c r="A96" s="223"/>
      <c r="B96" s="256"/>
      <c r="C96" s="256" t="s">
        <v>1075</v>
      </c>
      <c r="D96" s="258">
        <v>1.4999999999999999E-2</v>
      </c>
      <c r="E96" s="303">
        <v>1.4999999999999999E-2</v>
      </c>
      <c r="F96" s="303">
        <v>1.4999999999999999E-2</v>
      </c>
      <c r="G96" s="303">
        <v>1.4999999999999999E-2</v>
      </c>
      <c r="H96" s="353"/>
      <c r="I96" s="413">
        <v>5.2333333333333336E-2</v>
      </c>
      <c r="J96" s="413">
        <v>8.9666666666666672E-2</v>
      </c>
      <c r="K96" s="413">
        <v>0.127</v>
      </c>
    </row>
    <row r="97" spans="1:11">
      <c r="A97" s="223"/>
      <c r="B97" s="256"/>
      <c r="C97" s="256" t="s">
        <v>1076</v>
      </c>
      <c r="D97" s="258">
        <v>7.0000000000000001E-3</v>
      </c>
      <c r="E97" s="303">
        <v>7.0000000000000001E-3</v>
      </c>
      <c r="F97" s="303">
        <v>7.0000000000000001E-3</v>
      </c>
      <c r="G97" s="303">
        <v>7.0000000000000001E-3</v>
      </c>
      <c r="H97" s="353"/>
      <c r="I97" s="413">
        <v>2.1000000000000001E-2</v>
      </c>
      <c r="J97" s="413">
        <v>3.5000000000000003E-2</v>
      </c>
      <c r="K97" s="413">
        <v>4.9000000000000002E-2</v>
      </c>
    </row>
    <row r="98" spans="1:11">
      <c r="A98" s="223"/>
      <c r="B98" s="256" t="s">
        <v>1069</v>
      </c>
      <c r="C98" s="223"/>
      <c r="D98" s="258">
        <v>0.65200000000000002</v>
      </c>
      <c r="E98" s="303">
        <v>0.65200000000000002</v>
      </c>
      <c r="F98" s="303">
        <v>0.65200000000000002</v>
      </c>
      <c r="G98" s="303">
        <v>0.65200000000000002</v>
      </c>
      <c r="H98" s="353"/>
      <c r="I98" s="303">
        <v>0.65200000000000002</v>
      </c>
      <c r="J98" s="303">
        <v>0.65200000000000002</v>
      </c>
      <c r="K98" s="303">
        <v>0.65200000000000002</v>
      </c>
    </row>
    <row r="99" spans="1:11">
      <c r="A99" s="223"/>
      <c r="B99" s="256" t="s">
        <v>1070</v>
      </c>
      <c r="C99" s="223"/>
      <c r="D99" s="258">
        <v>3.2690000000000001</v>
      </c>
      <c r="E99" s="303">
        <v>3.2690000000000001</v>
      </c>
      <c r="F99" s="303">
        <v>3.2690000000000001</v>
      </c>
      <c r="G99" s="303">
        <v>3.2690000000000001</v>
      </c>
      <c r="H99" s="353"/>
      <c r="I99" s="303">
        <v>3.2690000000000001</v>
      </c>
      <c r="J99" s="303">
        <v>3.2690000000000001</v>
      </c>
      <c r="K99" s="303">
        <v>3.2690000000000001</v>
      </c>
    </row>
    <row r="100" spans="1:11">
      <c r="A100" s="223"/>
      <c r="B100" s="256" t="s">
        <v>1071</v>
      </c>
      <c r="C100" s="223"/>
      <c r="D100" s="258">
        <v>2.9649999999999999</v>
      </c>
      <c r="E100" s="303">
        <v>2.9649999999999999</v>
      </c>
      <c r="F100" s="303">
        <v>2.9649999999999999</v>
      </c>
      <c r="G100" s="303">
        <v>2.9649999999999999</v>
      </c>
      <c r="H100" s="353"/>
      <c r="I100" s="303">
        <v>2.9649999999999999</v>
      </c>
      <c r="J100" s="303">
        <v>2.9649999999999999</v>
      </c>
      <c r="K100" s="303">
        <v>2.9649999999999999</v>
      </c>
    </row>
    <row r="101" spans="1:11">
      <c r="A101" s="223"/>
      <c r="B101" s="256" t="s">
        <v>1072</v>
      </c>
      <c r="C101" s="223"/>
      <c r="D101" s="258">
        <v>0.14099999999999999</v>
      </c>
      <c r="E101" s="303">
        <v>0.14099999999999999</v>
      </c>
      <c r="F101" s="303">
        <v>0.14099999999999999</v>
      </c>
      <c r="G101" s="303">
        <v>0.14099999999999999</v>
      </c>
      <c r="H101" s="353"/>
      <c r="I101" s="303">
        <v>0.14099999999999999</v>
      </c>
      <c r="J101" s="303">
        <v>0.14099999999999999</v>
      </c>
      <c r="K101" s="303">
        <v>0.14099999999999999</v>
      </c>
    </row>
    <row r="102" spans="1:11">
      <c r="A102" s="223"/>
      <c r="B102" s="256" t="s">
        <v>1073</v>
      </c>
      <c r="C102" s="223"/>
      <c r="D102" s="258">
        <v>0</v>
      </c>
      <c r="E102" s="303">
        <v>0</v>
      </c>
      <c r="F102" s="303">
        <v>0</v>
      </c>
      <c r="G102" s="303">
        <v>0</v>
      </c>
      <c r="H102" s="353"/>
      <c r="I102" s="303">
        <v>0</v>
      </c>
      <c r="J102" s="303">
        <v>0</v>
      </c>
      <c r="K102" s="303">
        <v>0</v>
      </c>
    </row>
    <row r="103" spans="1:11">
      <c r="A103" s="349"/>
      <c r="B103" s="349"/>
      <c r="C103" s="349"/>
      <c r="D103" s="349"/>
      <c r="E103" s="349"/>
      <c r="F103" s="349"/>
      <c r="G103" s="349"/>
      <c r="H103" s="353"/>
      <c r="I103" s="349"/>
      <c r="J103" s="349"/>
      <c r="K103" s="349"/>
    </row>
    <row r="104" spans="1:11">
      <c r="A104" s="176"/>
      <c r="B104" s="176"/>
      <c r="C104" s="176"/>
      <c r="D104" s="152"/>
      <c r="E104" s="152"/>
      <c r="F104" s="152"/>
      <c r="G104" s="152"/>
      <c r="H104" s="353"/>
      <c r="I104" s="152"/>
      <c r="J104" s="152"/>
      <c r="K104" s="152"/>
    </row>
    <row r="105" spans="1:11">
      <c r="A105" s="183"/>
      <c r="B105" s="183"/>
      <c r="C105" s="183"/>
      <c r="D105" s="183"/>
      <c r="E105" s="300"/>
      <c r="F105" s="300"/>
      <c r="H105" s="353"/>
      <c r="I105" s="343"/>
      <c r="J105" s="343"/>
    </row>
    <row r="106" spans="1:11" ht="15" customHeight="1">
      <c r="A106" s="435" t="s">
        <v>987</v>
      </c>
      <c r="B106" s="435"/>
      <c r="C106" s="435"/>
      <c r="D106" s="184" t="s">
        <v>974</v>
      </c>
      <c r="E106" s="184" t="s">
        <v>1050</v>
      </c>
      <c r="F106" s="184" t="s">
        <v>1275</v>
      </c>
      <c r="G106" s="184" t="s">
        <v>1276</v>
      </c>
      <c r="H106" s="353"/>
      <c r="I106" s="184" t="s">
        <v>1050</v>
      </c>
      <c r="J106" s="184" t="s">
        <v>1275</v>
      </c>
      <c r="K106" s="184" t="s">
        <v>1276</v>
      </c>
    </row>
    <row r="107" spans="1:11">
      <c r="A107" s="176"/>
      <c r="B107" s="176" t="s">
        <v>988</v>
      </c>
      <c r="C107" s="176"/>
      <c r="D107" s="30">
        <v>1340.13</v>
      </c>
      <c r="E107" s="30">
        <v>1402.6499999999999</v>
      </c>
      <c r="F107" s="30">
        <v>1430.7</v>
      </c>
      <c r="G107" s="30">
        <v>1460.74</v>
      </c>
      <c r="H107" s="353"/>
      <c r="I107" s="414">
        <v>1438.8410000000001</v>
      </c>
      <c r="J107" s="414">
        <v>1467.62</v>
      </c>
      <c r="K107" s="414">
        <v>1498.44</v>
      </c>
    </row>
    <row r="108" spans="1:11">
      <c r="A108" s="176"/>
      <c r="B108" s="176" t="s">
        <v>989</v>
      </c>
      <c r="C108" s="176"/>
      <c r="D108" s="30">
        <v>184.09</v>
      </c>
      <c r="E108" s="30">
        <v>189.24</v>
      </c>
      <c r="F108" s="30">
        <v>193.02</v>
      </c>
      <c r="G108" s="30">
        <v>197.07</v>
      </c>
      <c r="H108" s="353"/>
      <c r="I108" s="414">
        <v>194.21</v>
      </c>
      <c r="J108" s="414">
        <v>198.09</v>
      </c>
      <c r="K108" s="414">
        <v>202.25</v>
      </c>
    </row>
    <row r="109" spans="1:11">
      <c r="A109" s="176"/>
      <c r="B109" s="176"/>
      <c r="C109" s="176"/>
      <c r="D109" s="30"/>
      <c r="E109" s="30"/>
      <c r="F109" s="30"/>
      <c r="G109" s="30"/>
      <c r="H109" s="353"/>
      <c r="I109" s="30"/>
      <c r="J109" s="30"/>
      <c r="K109" s="30"/>
    </row>
    <row r="110" spans="1:11">
      <c r="A110" s="185" t="s">
        <v>990</v>
      </c>
      <c r="B110" s="176"/>
      <c r="C110" s="176"/>
      <c r="D110" s="30">
        <v>12386.8</v>
      </c>
      <c r="E110" s="30">
        <v>12733.6</v>
      </c>
      <c r="F110" s="30">
        <v>12988.3</v>
      </c>
      <c r="G110" s="30">
        <v>13261.1</v>
      </c>
      <c r="H110" s="353"/>
      <c r="I110" s="414">
        <v>13068.1</v>
      </c>
      <c r="J110" s="414">
        <v>13329.5</v>
      </c>
      <c r="K110" s="414">
        <v>13609.4</v>
      </c>
    </row>
    <row r="111" spans="1:11">
      <c r="A111" s="176"/>
      <c r="B111" s="176"/>
      <c r="C111" s="176"/>
      <c r="D111" s="152"/>
      <c r="E111" s="152"/>
      <c r="F111" s="152"/>
      <c r="G111" s="152"/>
      <c r="H111" s="353"/>
      <c r="I111" s="152"/>
      <c r="J111" s="152"/>
      <c r="K111" s="152"/>
    </row>
    <row r="112" spans="1:11">
      <c r="A112" s="185" t="s">
        <v>1077</v>
      </c>
      <c r="B112" s="176"/>
      <c r="C112" s="176"/>
      <c r="H112" s="353"/>
    </row>
    <row r="113" spans="1:13">
      <c r="B113" s="260" t="s">
        <v>1295</v>
      </c>
      <c r="C113" s="223"/>
      <c r="D113" s="261">
        <v>1.0075000000000001</v>
      </c>
      <c r="E113" s="261">
        <v>1.0075000000000001</v>
      </c>
      <c r="F113" s="261">
        <v>1.0075000000000001</v>
      </c>
      <c r="G113" s="261">
        <v>1.0075000000000001</v>
      </c>
      <c r="H113" s="353"/>
      <c r="I113" s="261">
        <v>1.0075000000000001</v>
      </c>
      <c r="J113" s="261">
        <v>1.0075000000000001</v>
      </c>
      <c r="K113" s="261">
        <v>1.0075000000000001</v>
      </c>
    </row>
    <row r="114" spans="1:13">
      <c r="B114" s="260" t="s">
        <v>1296</v>
      </c>
      <c r="C114" s="223"/>
      <c r="D114" s="261">
        <v>0.995</v>
      </c>
      <c r="E114" s="261">
        <v>0.995</v>
      </c>
      <c r="F114" s="261">
        <v>0.995</v>
      </c>
      <c r="G114" s="261">
        <v>0.995</v>
      </c>
      <c r="H114" s="353"/>
      <c r="I114" s="261">
        <v>0.995</v>
      </c>
      <c r="J114" s="261">
        <v>0.995</v>
      </c>
      <c r="K114" s="261">
        <v>0.995</v>
      </c>
    </row>
    <row r="115" spans="1:13">
      <c r="A115" s="259"/>
      <c r="B115" s="223"/>
      <c r="C115" s="223"/>
      <c r="D115" s="225"/>
      <c r="E115" s="225"/>
      <c r="F115" s="225"/>
      <c r="G115" s="225"/>
      <c r="H115" s="353"/>
      <c r="I115" s="225"/>
      <c r="J115" s="225"/>
      <c r="K115" s="225"/>
    </row>
    <row r="116" spans="1:13">
      <c r="A116" s="176"/>
      <c r="B116" s="176"/>
      <c r="C116" s="176"/>
      <c r="D116" s="152"/>
      <c r="E116" s="152"/>
      <c r="F116" s="152"/>
      <c r="G116" s="152"/>
      <c r="H116" s="353"/>
      <c r="I116" s="152"/>
      <c r="J116" s="152"/>
      <c r="K116" s="152"/>
    </row>
    <row r="117" spans="1:13">
      <c r="A117" s="136" t="s">
        <v>1030</v>
      </c>
      <c r="B117" s="223"/>
      <c r="C117" s="223"/>
      <c r="D117" s="30">
        <v>8679.65</v>
      </c>
      <c r="E117" s="30">
        <v>9041.8870986448492</v>
      </c>
      <c r="F117" s="30">
        <v>9209.6133247551261</v>
      </c>
      <c r="G117" s="30">
        <v>9380.1888641568257</v>
      </c>
      <c r="H117" s="353"/>
      <c r="I117" s="30">
        <v>9341.9395257779433</v>
      </c>
      <c r="J117" s="30">
        <v>9585.309514082006</v>
      </c>
      <c r="K117" s="30">
        <v>9840.9201910035754</v>
      </c>
    </row>
    <row r="118" spans="1:13">
      <c r="A118" s="223"/>
      <c r="B118" s="223"/>
      <c r="C118" s="223"/>
      <c r="D118" s="30"/>
      <c r="E118" s="30"/>
      <c r="F118" s="30"/>
      <c r="G118" s="30"/>
      <c r="H118" s="353"/>
      <c r="I118" s="30"/>
      <c r="J118" s="30"/>
      <c r="K118" s="30"/>
    </row>
    <row r="119" spans="1:13">
      <c r="A119" s="136" t="s">
        <v>1031</v>
      </c>
      <c r="D119" s="30"/>
      <c r="E119" s="30"/>
      <c r="F119" s="30"/>
      <c r="G119" s="30"/>
      <c r="H119" s="353"/>
      <c r="I119" s="30"/>
      <c r="J119" s="30"/>
      <c r="K119" s="30"/>
    </row>
    <row r="120" spans="1:13">
      <c r="A120" s="436" t="s">
        <v>1028</v>
      </c>
      <c r="B120" s="436"/>
      <c r="C120" s="436"/>
      <c r="D120" s="30">
        <v>9664.94</v>
      </c>
      <c r="E120" s="30">
        <v>9999.626165635731</v>
      </c>
      <c r="F120" s="30">
        <v>10186.040924260242</v>
      </c>
      <c r="G120" s="30">
        <v>10375.837548119787</v>
      </c>
      <c r="H120" s="353"/>
      <c r="I120" s="30">
        <v>10284.312519179955</v>
      </c>
      <c r="J120" s="30">
        <v>10505.284421937728</v>
      </c>
      <c r="K120" s="30">
        <v>10736.630621996344</v>
      </c>
    </row>
    <row r="121" spans="1:13">
      <c r="A121" s="436" t="s">
        <v>1029</v>
      </c>
      <c r="B121" s="436"/>
      <c r="C121" s="436"/>
      <c r="D121" s="30">
        <v>8679.65</v>
      </c>
      <c r="E121" s="30">
        <v>9041.8870986448492</v>
      </c>
      <c r="F121" s="30">
        <v>9209.6133247551261</v>
      </c>
      <c r="G121" s="30">
        <v>9380.1888641568257</v>
      </c>
      <c r="H121" s="353"/>
      <c r="I121" s="30">
        <v>9341.9395257779433</v>
      </c>
      <c r="J121" s="30">
        <v>9585.309514082006</v>
      </c>
      <c r="K121" s="30">
        <v>9840.9201910035754</v>
      </c>
    </row>
    <row r="122" spans="1:13" ht="33.450000000000003" customHeight="1">
      <c r="A122" s="438" t="s">
        <v>1360</v>
      </c>
      <c r="B122" s="438"/>
      <c r="C122" s="438"/>
      <c r="D122" s="438"/>
      <c r="E122" s="438"/>
      <c r="F122" s="438"/>
      <c r="G122" s="438"/>
      <c r="H122" s="438"/>
      <c r="I122" s="438"/>
      <c r="J122" s="438"/>
      <c r="K122" s="438"/>
      <c r="L122" s="350"/>
      <c r="M122" s="350"/>
    </row>
    <row r="123" spans="1:13">
      <c r="A123" s="234"/>
      <c r="B123" s="234"/>
      <c r="C123" s="234"/>
      <c r="D123" s="153"/>
      <c r="E123" s="153"/>
      <c r="F123" s="153"/>
      <c r="H123" s="353"/>
      <c r="I123" s="153"/>
      <c r="J123" s="153"/>
    </row>
    <row r="124" spans="1:13">
      <c r="A124" s="84" t="s">
        <v>979</v>
      </c>
      <c r="D124" s="152"/>
      <c r="E124" s="152"/>
      <c r="F124" s="152"/>
      <c r="G124" s="152"/>
      <c r="H124" s="353"/>
      <c r="I124" s="152"/>
      <c r="J124" s="152"/>
      <c r="K124" s="152"/>
    </row>
    <row r="125" spans="1:13">
      <c r="A125" s="436" t="s">
        <v>975</v>
      </c>
      <c r="B125" s="436"/>
      <c r="C125" s="436"/>
      <c r="D125" s="30">
        <v>1585.55</v>
      </c>
      <c r="E125" s="30">
        <v>1629.95</v>
      </c>
      <c r="F125" s="30">
        <v>1662.55</v>
      </c>
      <c r="G125" s="30">
        <v>1697.46</v>
      </c>
      <c r="H125" s="353"/>
      <c r="I125" s="414">
        <v>1672.76</v>
      </c>
      <c r="J125" s="414">
        <v>1706.22</v>
      </c>
      <c r="K125" s="414">
        <v>1742.05</v>
      </c>
    </row>
    <row r="126" spans="1:13">
      <c r="A126" s="436" t="s">
        <v>976</v>
      </c>
      <c r="B126" s="436"/>
      <c r="C126" s="436"/>
      <c r="D126" s="262">
        <v>23</v>
      </c>
      <c r="E126" s="262">
        <v>23</v>
      </c>
      <c r="F126" s="262">
        <v>23</v>
      </c>
      <c r="G126" s="262">
        <v>23</v>
      </c>
      <c r="H126" s="353"/>
      <c r="I126" s="262">
        <v>23</v>
      </c>
      <c r="J126" s="262">
        <v>23</v>
      </c>
      <c r="K126" s="262">
        <v>23</v>
      </c>
    </row>
    <row r="127" spans="1:13">
      <c r="H127" s="353"/>
    </row>
    <row r="128" spans="1:13">
      <c r="A128" s="84" t="s">
        <v>980</v>
      </c>
      <c r="D128" s="152"/>
      <c r="E128" s="187"/>
      <c r="F128" s="152"/>
      <c r="G128" s="152"/>
      <c r="H128" s="353"/>
      <c r="I128" s="187"/>
      <c r="J128" s="152"/>
      <c r="K128" s="152"/>
    </row>
    <row r="129" spans="1:14">
      <c r="A129" s="436" t="s">
        <v>975</v>
      </c>
      <c r="B129" s="436"/>
      <c r="C129" s="436"/>
      <c r="D129" s="30">
        <v>1585.55</v>
      </c>
      <c r="E129" s="30">
        <v>1629.95</v>
      </c>
      <c r="F129" s="30">
        <v>1662.55</v>
      </c>
      <c r="G129" s="30">
        <v>1697.46</v>
      </c>
      <c r="H129" s="353"/>
      <c r="I129" s="414">
        <v>1672.76</v>
      </c>
      <c r="J129" s="414">
        <v>1706.22</v>
      </c>
      <c r="K129" s="414">
        <v>1742.05</v>
      </c>
    </row>
    <row r="130" spans="1:14">
      <c r="A130" s="436" t="s">
        <v>977</v>
      </c>
      <c r="B130" s="436"/>
      <c r="C130" s="436"/>
      <c r="D130" s="262">
        <v>19</v>
      </c>
      <c r="E130" s="262">
        <v>19</v>
      </c>
      <c r="F130" s="262">
        <v>19</v>
      </c>
      <c r="G130" s="262">
        <v>19</v>
      </c>
      <c r="H130" s="353"/>
      <c r="I130" s="262">
        <v>19</v>
      </c>
      <c r="J130" s="262">
        <v>19</v>
      </c>
      <c r="K130" s="262">
        <v>19</v>
      </c>
    </row>
    <row r="131" spans="1:14">
      <c r="H131" s="353"/>
    </row>
    <row r="132" spans="1:14">
      <c r="A132" s="84" t="s">
        <v>991</v>
      </c>
      <c r="D132" s="152"/>
      <c r="E132" s="152"/>
      <c r="F132" s="152"/>
      <c r="G132" s="152"/>
      <c r="H132" s="353"/>
      <c r="I132" s="152"/>
      <c r="J132" s="152"/>
      <c r="K132" s="152"/>
    </row>
    <row r="133" spans="1:14">
      <c r="A133" s="84"/>
      <c r="B133" t="s">
        <v>992</v>
      </c>
      <c r="D133" s="263">
        <v>2.3975</v>
      </c>
      <c r="E133" s="263">
        <v>2.3975</v>
      </c>
      <c r="F133" s="263">
        <v>2.3975</v>
      </c>
      <c r="G133" s="263">
        <v>2.3975</v>
      </c>
      <c r="H133" s="353"/>
      <c r="I133" s="263">
        <v>2.3975</v>
      </c>
      <c r="J133" s="263">
        <v>2.3975</v>
      </c>
      <c r="K133" s="263">
        <v>2.3975</v>
      </c>
    </row>
    <row r="134" spans="1:14">
      <c r="A134" s="84"/>
      <c r="B134" t="s">
        <v>993</v>
      </c>
      <c r="D134" s="263">
        <v>1.1000000000000001</v>
      </c>
      <c r="E134" s="263">
        <v>1.1000000000000001</v>
      </c>
      <c r="F134" s="263">
        <v>1.1000000000000001</v>
      </c>
      <c r="G134" s="263">
        <v>1.1000000000000001</v>
      </c>
      <c r="H134" s="353"/>
      <c r="I134" s="263">
        <v>1.1000000000000001</v>
      </c>
      <c r="J134" s="263">
        <v>1.1000000000000001</v>
      </c>
      <c r="K134" s="263">
        <v>1.1000000000000001</v>
      </c>
    </row>
    <row r="135" spans="1:14" ht="118.05" customHeight="1">
      <c r="A135" s="438" t="s">
        <v>1361</v>
      </c>
      <c r="B135" s="438"/>
      <c r="C135" s="438"/>
      <c r="D135" s="438"/>
      <c r="E135" s="438"/>
      <c r="F135" s="438"/>
      <c r="G135" s="438"/>
      <c r="H135" s="438"/>
      <c r="I135" s="438"/>
      <c r="J135" s="438"/>
      <c r="K135" s="438"/>
      <c r="L135" s="351"/>
      <c r="M135" s="351"/>
    </row>
    <row r="136" spans="1:14">
      <c r="A136" s="188"/>
      <c r="B136" s="189"/>
      <c r="C136" s="189"/>
      <c r="D136" s="189"/>
      <c r="E136" s="299"/>
      <c r="F136" s="299"/>
      <c r="G136" s="299"/>
      <c r="H136" s="353"/>
      <c r="I136" s="345"/>
      <c r="J136" s="345"/>
      <c r="K136" s="345"/>
    </row>
    <row r="137" spans="1:14">
      <c r="A137" s="84" t="s">
        <v>994</v>
      </c>
      <c r="D137" s="152"/>
      <c r="E137" s="152"/>
      <c r="F137" s="152"/>
      <c r="G137" s="152"/>
      <c r="H137" s="353"/>
      <c r="I137" s="152"/>
      <c r="J137" s="152"/>
      <c r="K137" s="152"/>
    </row>
    <row r="138" spans="1:14">
      <c r="A138" s="190"/>
      <c r="B138" s="154" t="s">
        <v>995</v>
      </c>
      <c r="C138" s="190"/>
      <c r="D138" s="264">
        <v>4.7779999999999996</v>
      </c>
      <c r="E138" s="264">
        <v>4.7779999999999996</v>
      </c>
      <c r="F138" s="264">
        <v>4.7779999999999996</v>
      </c>
      <c r="G138" s="264">
        <v>4.7779999999999996</v>
      </c>
      <c r="H138" s="353"/>
      <c r="I138" s="264">
        <v>4.7779999999999996</v>
      </c>
      <c r="J138" s="264">
        <v>4.7779999999999996</v>
      </c>
      <c r="K138" s="264">
        <v>4.7779999999999996</v>
      </c>
    </row>
    <row r="139" spans="1:14">
      <c r="B139" t="s">
        <v>996</v>
      </c>
      <c r="D139" s="265">
        <v>6.7779999999999996</v>
      </c>
      <c r="E139" s="265">
        <v>6.7779999999999996</v>
      </c>
      <c r="F139" s="265">
        <v>6.7779999999999996</v>
      </c>
      <c r="G139" s="265">
        <v>6.7779999999999996</v>
      </c>
      <c r="H139" s="353"/>
      <c r="I139" s="265">
        <v>6.7779999999999996</v>
      </c>
      <c r="J139" s="265">
        <v>6.7779999999999996</v>
      </c>
      <c r="K139" s="265">
        <v>6.7779999999999996</v>
      </c>
    </row>
    <row r="140" spans="1:14" ht="21">
      <c r="A140" s="191"/>
      <c r="B140" s="191"/>
      <c r="C140" s="191"/>
      <c r="D140" s="266"/>
      <c r="E140" s="266"/>
      <c r="F140" s="266"/>
      <c r="G140" s="266"/>
      <c r="H140" s="353"/>
      <c r="I140" s="266"/>
      <c r="J140" s="266"/>
      <c r="K140" s="266"/>
    </row>
    <row r="141" spans="1:14">
      <c r="A141" s="84" t="s">
        <v>997</v>
      </c>
      <c r="D141" s="267">
        <v>0.05</v>
      </c>
      <c r="E141" s="267">
        <v>0.05</v>
      </c>
      <c r="F141" s="267">
        <v>0.05</v>
      </c>
      <c r="G141" s="267">
        <v>0.05</v>
      </c>
      <c r="H141" s="353"/>
      <c r="I141" s="267">
        <v>0.05</v>
      </c>
      <c r="J141" s="267">
        <v>0.05</v>
      </c>
      <c r="K141" s="267">
        <v>0.05</v>
      </c>
    </row>
    <row r="143" spans="1:14">
      <c r="A143" s="228"/>
      <c r="B143" s="228"/>
      <c r="C143" s="228"/>
      <c r="D143" s="228"/>
      <c r="E143" s="228"/>
      <c r="F143" s="228"/>
      <c r="G143" s="154"/>
      <c r="H143" s="154"/>
      <c r="I143" s="154"/>
      <c r="L143" s="154"/>
      <c r="M143" s="154"/>
      <c r="N143" s="154"/>
    </row>
  </sheetData>
  <sheetProtection algorithmName="SHA-512" hashValue="7NyB3tdnNNHE/dOHaEIm4gBUaXTZV3KOyvvLpw3mPAgfubw16K4HvPg+a21BsqVR9g3FW1qnCoY/H7+TnZwqsQ==" saltValue="SUcE/nMc0I3B46g/pQq7Ew==" spinCount="100000" sheet="1" objects="1" scenarios="1"/>
  <mergeCells count="2214">
    <mergeCell ref="A53:C53"/>
    <mergeCell ref="A106:C106"/>
    <mergeCell ref="A125:C125"/>
    <mergeCell ref="A126:C126"/>
    <mergeCell ref="A129:C129"/>
    <mergeCell ref="A130:C130"/>
    <mergeCell ref="A41:C41"/>
    <mergeCell ref="A55:K55"/>
    <mergeCell ref="A135:K135"/>
    <mergeCell ref="A122:K122"/>
    <mergeCell ref="A120:C120"/>
    <mergeCell ref="A121:C121"/>
    <mergeCell ref="E29:G29"/>
    <mergeCell ref="I29:K29"/>
    <mergeCell ref="A22:D22"/>
    <mergeCell ref="GC5:GQ5"/>
    <mergeCell ref="GR5:HF5"/>
    <mergeCell ref="B37:K37"/>
    <mergeCell ref="A7:K7"/>
    <mergeCell ref="A11:K11"/>
    <mergeCell ref="A13:K13"/>
    <mergeCell ref="A15:K15"/>
    <mergeCell ref="A17:K17"/>
    <mergeCell ref="A19:K19"/>
    <mergeCell ref="G24:H24"/>
    <mergeCell ref="G25:H25"/>
    <mergeCell ref="E22:I22"/>
    <mergeCell ref="A23:D23"/>
    <mergeCell ref="E23:I23"/>
    <mergeCell ref="A26:I26"/>
    <mergeCell ref="A31:C31"/>
    <mergeCell ref="BM5:CA5"/>
    <mergeCell ref="CB5:CP5"/>
    <mergeCell ref="CQ5:DE5"/>
    <mergeCell ref="DF5:DT5"/>
    <mergeCell ref="DU5:EI5"/>
    <mergeCell ref="A5:H5"/>
    <mergeCell ref="I5:S5"/>
    <mergeCell ref="T5:AH5"/>
    <mergeCell ref="AI5:AW5"/>
    <mergeCell ref="AX5:BL5"/>
    <mergeCell ref="LW6:MK6"/>
    <mergeCell ref="A6:H6"/>
    <mergeCell ref="I6:S6"/>
    <mergeCell ref="T6:AH6"/>
    <mergeCell ref="AI6:AW6"/>
    <mergeCell ref="AX6:BL6"/>
    <mergeCell ref="BM6:CA6"/>
    <mergeCell ref="CB6:CP6"/>
    <mergeCell ref="CQ6:DE6"/>
    <mergeCell ref="DF6:DT6"/>
    <mergeCell ref="DU6:EI6"/>
    <mergeCell ref="EJ6:EX6"/>
    <mergeCell ref="EY6:FM6"/>
    <mergeCell ref="FN6:GB6"/>
    <mergeCell ref="HG6:HU6"/>
    <mergeCell ref="HV6:IJ6"/>
    <mergeCell ref="IK6:IY6"/>
    <mergeCell ref="GC6:GQ6"/>
    <mergeCell ref="GR6:HF6"/>
    <mergeCell ref="EJ5:EX5"/>
    <mergeCell ref="EY5:FM5"/>
    <mergeCell ref="FN5:GB5"/>
    <mergeCell ref="NA5:NO5"/>
    <mergeCell ref="NP5:OD5"/>
    <mergeCell ref="OE5:OS5"/>
    <mergeCell ref="OT5:PH5"/>
    <mergeCell ref="PI5:PW5"/>
    <mergeCell ref="KD5:KR5"/>
    <mergeCell ref="KS5:LG5"/>
    <mergeCell ref="LH5:LV5"/>
    <mergeCell ref="LW5:MK5"/>
    <mergeCell ref="ML5:MZ5"/>
    <mergeCell ref="HG5:HU5"/>
    <mergeCell ref="HV5:IJ5"/>
    <mergeCell ref="IK5:IY5"/>
    <mergeCell ref="IZ5:JN5"/>
    <mergeCell ref="JO5:KC5"/>
    <mergeCell ref="NA6:NO6"/>
    <mergeCell ref="NP6:OD6"/>
    <mergeCell ref="ML6:MZ6"/>
    <mergeCell ref="IZ6:JN6"/>
    <mergeCell ref="JO6:KC6"/>
    <mergeCell ref="KD6:KR6"/>
    <mergeCell ref="KS6:LG6"/>
    <mergeCell ref="LH6:LV6"/>
    <mergeCell ref="OT6:PH6"/>
    <mergeCell ref="PI6:PW6"/>
    <mergeCell ref="ADE6:ADS6"/>
    <mergeCell ref="ADT6:AEH6"/>
    <mergeCell ref="AEI6:AEW6"/>
    <mergeCell ref="AEX6:AFL6"/>
    <mergeCell ref="AFM6:AGA6"/>
    <mergeCell ref="AUM6:AVA6"/>
    <mergeCell ref="AVB6:AVP6"/>
    <mergeCell ref="ALV6:AMJ6"/>
    <mergeCell ref="AEX5:AFL5"/>
    <mergeCell ref="AFM5:AGA5"/>
    <mergeCell ref="AGB5:AGP5"/>
    <mergeCell ref="AGQ5:AHE5"/>
    <mergeCell ref="AST6:ATH6"/>
    <mergeCell ref="ATI6:ATW6"/>
    <mergeCell ref="ATX6:AUL6"/>
    <mergeCell ref="AOS6:APG6"/>
    <mergeCell ref="APH6:APV6"/>
    <mergeCell ref="AIY6:AJM6"/>
    <mergeCell ref="AJN6:AKB6"/>
    <mergeCell ref="AKC6:AKQ6"/>
    <mergeCell ref="AKR6:ALF6"/>
    <mergeCell ref="ALG6:ALU6"/>
    <mergeCell ref="AGB6:AGP6"/>
    <mergeCell ref="AGQ6:AHE6"/>
    <mergeCell ref="AHF6:AHT6"/>
    <mergeCell ref="AHU6:AII6"/>
    <mergeCell ref="AIJ6:AIX6"/>
    <mergeCell ref="AIJ5:AIX5"/>
    <mergeCell ref="AIY5:AJM5"/>
    <mergeCell ref="AJN5:AKB5"/>
    <mergeCell ref="AEI5:AEW5"/>
    <mergeCell ref="ACP5:ADD5"/>
    <mergeCell ref="ADE5:ADS5"/>
    <mergeCell ref="ADT5:AEH5"/>
    <mergeCell ref="YO5:ZC5"/>
    <mergeCell ref="ZD5:ZR5"/>
    <mergeCell ref="ZS5:AAG5"/>
    <mergeCell ref="AAH5:AAV5"/>
    <mergeCell ref="AAW5:ABK5"/>
    <mergeCell ref="VR5:WF5"/>
    <mergeCell ref="WG5:WU5"/>
    <mergeCell ref="AVQ5:AWE5"/>
    <mergeCell ref="AWF5:AWT5"/>
    <mergeCell ref="AWU5:AXI5"/>
    <mergeCell ref="AXJ5:AXX5"/>
    <mergeCell ref="AXY5:AYM5"/>
    <mergeCell ref="AST5:ATH5"/>
    <mergeCell ref="ATI5:ATW5"/>
    <mergeCell ref="ATX5:AUL5"/>
    <mergeCell ref="AUM5:AVA5"/>
    <mergeCell ref="AVB5:AVP5"/>
    <mergeCell ref="APW5:AQK5"/>
    <mergeCell ref="AQL5:AQZ5"/>
    <mergeCell ref="ARA5:ARO5"/>
    <mergeCell ref="ARP5:ASD5"/>
    <mergeCell ref="ASE5:ASS5"/>
    <mergeCell ref="WV5:XJ5"/>
    <mergeCell ref="XK5:XY5"/>
    <mergeCell ref="XZ5:YN5"/>
    <mergeCell ref="ABL5:ABZ5"/>
    <mergeCell ref="ACA5:ACO5"/>
    <mergeCell ref="BBK5:BBY5"/>
    <mergeCell ref="BBZ5:BCN5"/>
    <mergeCell ref="BCO5:BDC5"/>
    <mergeCell ref="BDD5:BDR5"/>
    <mergeCell ref="BDS5:BEG5"/>
    <mergeCell ref="AYN5:AZB5"/>
    <mergeCell ref="AZC5:AZQ5"/>
    <mergeCell ref="AZR5:BAF5"/>
    <mergeCell ref="BAG5:BAU5"/>
    <mergeCell ref="BAV5:BBJ5"/>
    <mergeCell ref="PX5:QL5"/>
    <mergeCell ref="QM5:RA5"/>
    <mergeCell ref="RB5:RP5"/>
    <mergeCell ref="RQ5:SE5"/>
    <mergeCell ref="SF5:ST5"/>
    <mergeCell ref="AMZ5:ANN5"/>
    <mergeCell ref="ANO5:AOC5"/>
    <mergeCell ref="AOD5:AOR5"/>
    <mergeCell ref="AOS5:APG5"/>
    <mergeCell ref="APH5:APV5"/>
    <mergeCell ref="AKC5:AKQ5"/>
    <mergeCell ref="AKR5:ALF5"/>
    <mergeCell ref="ALG5:ALU5"/>
    <mergeCell ref="ALV5:AMJ5"/>
    <mergeCell ref="AMK5:AMY5"/>
    <mergeCell ref="AHF5:AHT5"/>
    <mergeCell ref="AHU5:AII5"/>
    <mergeCell ref="SU5:TI5"/>
    <mergeCell ref="TJ5:TX5"/>
    <mergeCell ref="TY5:UM5"/>
    <mergeCell ref="UN5:VB5"/>
    <mergeCell ref="VC5:VQ5"/>
    <mergeCell ref="BMY5:BNM5"/>
    <mergeCell ref="BNN5:BOB5"/>
    <mergeCell ref="BOC5:BOQ5"/>
    <mergeCell ref="BOR5:BPF5"/>
    <mergeCell ref="BPG5:BPU5"/>
    <mergeCell ref="BKB5:BKP5"/>
    <mergeCell ref="BKQ5:BLE5"/>
    <mergeCell ref="BLF5:BLT5"/>
    <mergeCell ref="BLU5:BMI5"/>
    <mergeCell ref="BMJ5:BMX5"/>
    <mergeCell ref="BHE5:BHS5"/>
    <mergeCell ref="BHT5:BIH5"/>
    <mergeCell ref="BII5:BIW5"/>
    <mergeCell ref="BIX5:BJL5"/>
    <mergeCell ref="BJM5:BKA5"/>
    <mergeCell ref="BEH5:BEV5"/>
    <mergeCell ref="BEW5:BFK5"/>
    <mergeCell ref="BFL5:BFZ5"/>
    <mergeCell ref="BGA5:BGO5"/>
    <mergeCell ref="BGP5:BHD5"/>
    <mergeCell ref="BYM5:BZA5"/>
    <mergeCell ref="BZB5:BZP5"/>
    <mergeCell ref="BZQ5:CAE5"/>
    <mergeCell ref="CAF5:CAT5"/>
    <mergeCell ref="CAU5:CBI5"/>
    <mergeCell ref="BVP5:BWD5"/>
    <mergeCell ref="BWE5:BWS5"/>
    <mergeCell ref="BWT5:BXH5"/>
    <mergeCell ref="BXI5:BXW5"/>
    <mergeCell ref="BXX5:BYL5"/>
    <mergeCell ref="BSS5:BTG5"/>
    <mergeCell ref="BTH5:BTV5"/>
    <mergeCell ref="BTW5:BUK5"/>
    <mergeCell ref="BUL5:BUZ5"/>
    <mergeCell ref="BVA5:BVO5"/>
    <mergeCell ref="BPV5:BQJ5"/>
    <mergeCell ref="BQK5:BQY5"/>
    <mergeCell ref="BQZ5:BRN5"/>
    <mergeCell ref="BRO5:BSC5"/>
    <mergeCell ref="BSD5:BSR5"/>
    <mergeCell ref="CKA5:CKO5"/>
    <mergeCell ref="CKP5:CLD5"/>
    <mergeCell ref="CLE5:CLS5"/>
    <mergeCell ref="CLT5:CMH5"/>
    <mergeCell ref="CMI5:CMW5"/>
    <mergeCell ref="CHD5:CHR5"/>
    <mergeCell ref="CHS5:CIG5"/>
    <mergeCell ref="CIH5:CIV5"/>
    <mergeCell ref="CIW5:CJK5"/>
    <mergeCell ref="CJL5:CJZ5"/>
    <mergeCell ref="CEG5:CEU5"/>
    <mergeCell ref="CEV5:CFJ5"/>
    <mergeCell ref="CFK5:CFY5"/>
    <mergeCell ref="CFZ5:CGN5"/>
    <mergeCell ref="CGO5:CHC5"/>
    <mergeCell ref="CBJ5:CBX5"/>
    <mergeCell ref="CBY5:CCM5"/>
    <mergeCell ref="CCN5:CDB5"/>
    <mergeCell ref="CDC5:CDQ5"/>
    <mergeCell ref="CDR5:CEF5"/>
    <mergeCell ref="CVO5:CWC5"/>
    <mergeCell ref="CWD5:CWR5"/>
    <mergeCell ref="CWS5:CXG5"/>
    <mergeCell ref="CXH5:CXV5"/>
    <mergeCell ref="CXW5:CYK5"/>
    <mergeCell ref="CSR5:CTF5"/>
    <mergeCell ref="CTG5:CTU5"/>
    <mergeCell ref="CTV5:CUJ5"/>
    <mergeCell ref="CUK5:CUY5"/>
    <mergeCell ref="CUZ5:CVN5"/>
    <mergeCell ref="CPU5:CQI5"/>
    <mergeCell ref="CQJ5:CQX5"/>
    <mergeCell ref="CQY5:CRM5"/>
    <mergeCell ref="CRN5:CSB5"/>
    <mergeCell ref="CSC5:CSQ5"/>
    <mergeCell ref="CMX5:CNL5"/>
    <mergeCell ref="CNM5:COA5"/>
    <mergeCell ref="COB5:COP5"/>
    <mergeCell ref="COQ5:CPE5"/>
    <mergeCell ref="CPF5:CPT5"/>
    <mergeCell ref="DHC5:DHQ5"/>
    <mergeCell ref="DHR5:DIF5"/>
    <mergeCell ref="DIG5:DIU5"/>
    <mergeCell ref="DIV5:DJJ5"/>
    <mergeCell ref="DJK5:DJY5"/>
    <mergeCell ref="DEF5:DET5"/>
    <mergeCell ref="DEU5:DFI5"/>
    <mergeCell ref="DFJ5:DFX5"/>
    <mergeCell ref="DFY5:DGM5"/>
    <mergeCell ref="DGN5:DHB5"/>
    <mergeCell ref="DBI5:DBW5"/>
    <mergeCell ref="DBX5:DCL5"/>
    <mergeCell ref="DCM5:DDA5"/>
    <mergeCell ref="DDB5:DDP5"/>
    <mergeCell ref="DDQ5:DEE5"/>
    <mergeCell ref="CYL5:CYZ5"/>
    <mergeCell ref="CZA5:CZO5"/>
    <mergeCell ref="CZP5:DAD5"/>
    <mergeCell ref="DAE5:DAS5"/>
    <mergeCell ref="DAT5:DBH5"/>
    <mergeCell ref="DSQ5:DTE5"/>
    <mergeCell ref="DTF5:DTT5"/>
    <mergeCell ref="DTU5:DUI5"/>
    <mergeCell ref="DUJ5:DUX5"/>
    <mergeCell ref="DUY5:DVM5"/>
    <mergeCell ref="DPT5:DQH5"/>
    <mergeCell ref="DQI5:DQW5"/>
    <mergeCell ref="DQX5:DRL5"/>
    <mergeCell ref="DRM5:DSA5"/>
    <mergeCell ref="DSB5:DSP5"/>
    <mergeCell ref="DMW5:DNK5"/>
    <mergeCell ref="DNL5:DNZ5"/>
    <mergeCell ref="DOA5:DOO5"/>
    <mergeCell ref="DOP5:DPD5"/>
    <mergeCell ref="DPE5:DPS5"/>
    <mergeCell ref="DJZ5:DKN5"/>
    <mergeCell ref="DKO5:DLC5"/>
    <mergeCell ref="DLD5:DLR5"/>
    <mergeCell ref="DLS5:DMG5"/>
    <mergeCell ref="DMH5:DMV5"/>
    <mergeCell ref="EEE5:EES5"/>
    <mergeCell ref="EET5:EFH5"/>
    <mergeCell ref="EFI5:EFW5"/>
    <mergeCell ref="EFX5:EGL5"/>
    <mergeCell ref="EGM5:EHA5"/>
    <mergeCell ref="EBH5:EBV5"/>
    <mergeCell ref="EBW5:ECK5"/>
    <mergeCell ref="ECL5:ECZ5"/>
    <mergeCell ref="EDA5:EDO5"/>
    <mergeCell ref="EDP5:EED5"/>
    <mergeCell ref="DYK5:DYY5"/>
    <mergeCell ref="DYZ5:DZN5"/>
    <mergeCell ref="DZO5:EAC5"/>
    <mergeCell ref="EAD5:EAR5"/>
    <mergeCell ref="EAS5:EBG5"/>
    <mergeCell ref="DVN5:DWB5"/>
    <mergeCell ref="DWC5:DWQ5"/>
    <mergeCell ref="DWR5:DXF5"/>
    <mergeCell ref="DXG5:DXU5"/>
    <mergeCell ref="DXV5:DYJ5"/>
    <mergeCell ref="EPS5:EQG5"/>
    <mergeCell ref="EQH5:EQV5"/>
    <mergeCell ref="EQW5:ERK5"/>
    <mergeCell ref="ERL5:ERZ5"/>
    <mergeCell ref="ESA5:ESO5"/>
    <mergeCell ref="EMV5:ENJ5"/>
    <mergeCell ref="ENK5:ENY5"/>
    <mergeCell ref="ENZ5:EON5"/>
    <mergeCell ref="EOO5:EPC5"/>
    <mergeCell ref="EPD5:EPR5"/>
    <mergeCell ref="EJY5:EKM5"/>
    <mergeCell ref="EKN5:ELB5"/>
    <mergeCell ref="ELC5:ELQ5"/>
    <mergeCell ref="ELR5:EMF5"/>
    <mergeCell ref="EMG5:EMU5"/>
    <mergeCell ref="EHB5:EHP5"/>
    <mergeCell ref="EHQ5:EIE5"/>
    <mergeCell ref="EIF5:EIT5"/>
    <mergeCell ref="EIU5:EJI5"/>
    <mergeCell ref="EJJ5:EJX5"/>
    <mergeCell ref="FBG5:FBU5"/>
    <mergeCell ref="FBV5:FCJ5"/>
    <mergeCell ref="FCK5:FCY5"/>
    <mergeCell ref="FCZ5:FDN5"/>
    <mergeCell ref="FDO5:FEC5"/>
    <mergeCell ref="EYJ5:EYX5"/>
    <mergeCell ref="EYY5:EZM5"/>
    <mergeCell ref="EZN5:FAB5"/>
    <mergeCell ref="FAC5:FAQ5"/>
    <mergeCell ref="FAR5:FBF5"/>
    <mergeCell ref="EVM5:EWA5"/>
    <mergeCell ref="EWB5:EWP5"/>
    <mergeCell ref="EWQ5:EXE5"/>
    <mergeCell ref="EXF5:EXT5"/>
    <mergeCell ref="EXU5:EYI5"/>
    <mergeCell ref="ESP5:ETD5"/>
    <mergeCell ref="ETE5:ETS5"/>
    <mergeCell ref="ETT5:EUH5"/>
    <mergeCell ref="EUI5:EUW5"/>
    <mergeCell ref="EUX5:EVL5"/>
    <mergeCell ref="FMU5:FNI5"/>
    <mergeCell ref="FNJ5:FNX5"/>
    <mergeCell ref="FNY5:FOM5"/>
    <mergeCell ref="FON5:FPB5"/>
    <mergeCell ref="FPC5:FPQ5"/>
    <mergeCell ref="FJX5:FKL5"/>
    <mergeCell ref="FKM5:FLA5"/>
    <mergeCell ref="FLB5:FLP5"/>
    <mergeCell ref="FLQ5:FME5"/>
    <mergeCell ref="FMF5:FMT5"/>
    <mergeCell ref="FHA5:FHO5"/>
    <mergeCell ref="FHP5:FID5"/>
    <mergeCell ref="FIE5:FIS5"/>
    <mergeCell ref="FIT5:FJH5"/>
    <mergeCell ref="FJI5:FJW5"/>
    <mergeCell ref="FED5:FER5"/>
    <mergeCell ref="FES5:FFG5"/>
    <mergeCell ref="FFH5:FFV5"/>
    <mergeCell ref="FFW5:FGK5"/>
    <mergeCell ref="FGL5:FGZ5"/>
    <mergeCell ref="FYI5:FYW5"/>
    <mergeCell ref="FYX5:FZL5"/>
    <mergeCell ref="FZM5:GAA5"/>
    <mergeCell ref="GAB5:GAP5"/>
    <mergeCell ref="GAQ5:GBE5"/>
    <mergeCell ref="FVL5:FVZ5"/>
    <mergeCell ref="FWA5:FWO5"/>
    <mergeCell ref="FWP5:FXD5"/>
    <mergeCell ref="FXE5:FXS5"/>
    <mergeCell ref="FXT5:FYH5"/>
    <mergeCell ref="FSO5:FTC5"/>
    <mergeCell ref="FTD5:FTR5"/>
    <mergeCell ref="FTS5:FUG5"/>
    <mergeCell ref="FUH5:FUV5"/>
    <mergeCell ref="FUW5:FVK5"/>
    <mergeCell ref="FPR5:FQF5"/>
    <mergeCell ref="FQG5:FQU5"/>
    <mergeCell ref="FQV5:FRJ5"/>
    <mergeCell ref="FRK5:FRY5"/>
    <mergeCell ref="FRZ5:FSN5"/>
    <mergeCell ref="GJW5:GKK5"/>
    <mergeCell ref="GKL5:GKZ5"/>
    <mergeCell ref="GLA5:GLO5"/>
    <mergeCell ref="GLP5:GMD5"/>
    <mergeCell ref="GME5:GMS5"/>
    <mergeCell ref="GGZ5:GHN5"/>
    <mergeCell ref="GHO5:GIC5"/>
    <mergeCell ref="GID5:GIR5"/>
    <mergeCell ref="GIS5:GJG5"/>
    <mergeCell ref="GJH5:GJV5"/>
    <mergeCell ref="GEC5:GEQ5"/>
    <mergeCell ref="GER5:GFF5"/>
    <mergeCell ref="GFG5:GFU5"/>
    <mergeCell ref="GFV5:GGJ5"/>
    <mergeCell ref="GGK5:GGY5"/>
    <mergeCell ref="GBF5:GBT5"/>
    <mergeCell ref="GBU5:GCI5"/>
    <mergeCell ref="GCJ5:GCX5"/>
    <mergeCell ref="GCY5:GDM5"/>
    <mergeCell ref="GDN5:GEB5"/>
    <mergeCell ref="GVK5:GVY5"/>
    <mergeCell ref="GVZ5:GWN5"/>
    <mergeCell ref="GWO5:GXC5"/>
    <mergeCell ref="GXD5:GXR5"/>
    <mergeCell ref="GXS5:GYG5"/>
    <mergeCell ref="GSN5:GTB5"/>
    <mergeCell ref="GTC5:GTQ5"/>
    <mergeCell ref="GTR5:GUF5"/>
    <mergeCell ref="GUG5:GUU5"/>
    <mergeCell ref="GUV5:GVJ5"/>
    <mergeCell ref="GPQ5:GQE5"/>
    <mergeCell ref="GQF5:GQT5"/>
    <mergeCell ref="GQU5:GRI5"/>
    <mergeCell ref="GRJ5:GRX5"/>
    <mergeCell ref="GRY5:GSM5"/>
    <mergeCell ref="GMT5:GNH5"/>
    <mergeCell ref="GNI5:GNW5"/>
    <mergeCell ref="GNX5:GOL5"/>
    <mergeCell ref="GOM5:GPA5"/>
    <mergeCell ref="GPB5:GPP5"/>
    <mergeCell ref="HGY5:HHM5"/>
    <mergeCell ref="HHN5:HIB5"/>
    <mergeCell ref="HIC5:HIQ5"/>
    <mergeCell ref="HIR5:HJF5"/>
    <mergeCell ref="HJG5:HJU5"/>
    <mergeCell ref="HEB5:HEP5"/>
    <mergeCell ref="HEQ5:HFE5"/>
    <mergeCell ref="HFF5:HFT5"/>
    <mergeCell ref="HFU5:HGI5"/>
    <mergeCell ref="HGJ5:HGX5"/>
    <mergeCell ref="HBE5:HBS5"/>
    <mergeCell ref="HBT5:HCH5"/>
    <mergeCell ref="HCI5:HCW5"/>
    <mergeCell ref="HCX5:HDL5"/>
    <mergeCell ref="HDM5:HEA5"/>
    <mergeCell ref="GYH5:GYV5"/>
    <mergeCell ref="GYW5:GZK5"/>
    <mergeCell ref="GZL5:GZZ5"/>
    <mergeCell ref="HAA5:HAO5"/>
    <mergeCell ref="HAP5:HBD5"/>
    <mergeCell ref="HSM5:HTA5"/>
    <mergeCell ref="HTB5:HTP5"/>
    <mergeCell ref="HTQ5:HUE5"/>
    <mergeCell ref="HUF5:HUT5"/>
    <mergeCell ref="HUU5:HVI5"/>
    <mergeCell ref="HPP5:HQD5"/>
    <mergeCell ref="HQE5:HQS5"/>
    <mergeCell ref="HQT5:HRH5"/>
    <mergeCell ref="HRI5:HRW5"/>
    <mergeCell ref="HRX5:HSL5"/>
    <mergeCell ref="HMS5:HNG5"/>
    <mergeCell ref="HNH5:HNV5"/>
    <mergeCell ref="HNW5:HOK5"/>
    <mergeCell ref="HOL5:HOZ5"/>
    <mergeCell ref="HPA5:HPO5"/>
    <mergeCell ref="HJV5:HKJ5"/>
    <mergeCell ref="HKK5:HKY5"/>
    <mergeCell ref="HKZ5:HLN5"/>
    <mergeCell ref="HLO5:HMC5"/>
    <mergeCell ref="HMD5:HMR5"/>
    <mergeCell ref="IEA5:IEO5"/>
    <mergeCell ref="IEP5:IFD5"/>
    <mergeCell ref="IFE5:IFS5"/>
    <mergeCell ref="IFT5:IGH5"/>
    <mergeCell ref="IGI5:IGW5"/>
    <mergeCell ref="IBD5:IBR5"/>
    <mergeCell ref="IBS5:ICG5"/>
    <mergeCell ref="ICH5:ICV5"/>
    <mergeCell ref="ICW5:IDK5"/>
    <mergeCell ref="IDL5:IDZ5"/>
    <mergeCell ref="HYG5:HYU5"/>
    <mergeCell ref="HYV5:HZJ5"/>
    <mergeCell ref="HZK5:HZY5"/>
    <mergeCell ref="HZZ5:IAN5"/>
    <mergeCell ref="IAO5:IBC5"/>
    <mergeCell ref="HVJ5:HVX5"/>
    <mergeCell ref="HVY5:HWM5"/>
    <mergeCell ref="HWN5:HXB5"/>
    <mergeCell ref="HXC5:HXQ5"/>
    <mergeCell ref="HXR5:HYF5"/>
    <mergeCell ref="IPO5:IQC5"/>
    <mergeCell ref="IQD5:IQR5"/>
    <mergeCell ref="IQS5:IRG5"/>
    <mergeCell ref="IRH5:IRV5"/>
    <mergeCell ref="IRW5:ISK5"/>
    <mergeCell ref="IMR5:INF5"/>
    <mergeCell ref="ING5:INU5"/>
    <mergeCell ref="INV5:IOJ5"/>
    <mergeCell ref="IOK5:IOY5"/>
    <mergeCell ref="IOZ5:IPN5"/>
    <mergeCell ref="IJU5:IKI5"/>
    <mergeCell ref="IKJ5:IKX5"/>
    <mergeCell ref="IKY5:ILM5"/>
    <mergeCell ref="ILN5:IMB5"/>
    <mergeCell ref="IMC5:IMQ5"/>
    <mergeCell ref="IGX5:IHL5"/>
    <mergeCell ref="IHM5:IIA5"/>
    <mergeCell ref="IIB5:IIP5"/>
    <mergeCell ref="IIQ5:IJE5"/>
    <mergeCell ref="IJF5:IJT5"/>
    <mergeCell ref="JBC5:JBQ5"/>
    <mergeCell ref="JBR5:JCF5"/>
    <mergeCell ref="JCG5:JCU5"/>
    <mergeCell ref="JCV5:JDJ5"/>
    <mergeCell ref="JDK5:JDY5"/>
    <mergeCell ref="IYF5:IYT5"/>
    <mergeCell ref="IYU5:IZI5"/>
    <mergeCell ref="IZJ5:IZX5"/>
    <mergeCell ref="IZY5:JAM5"/>
    <mergeCell ref="JAN5:JBB5"/>
    <mergeCell ref="IVI5:IVW5"/>
    <mergeCell ref="IVX5:IWL5"/>
    <mergeCell ref="IWM5:IXA5"/>
    <mergeCell ref="IXB5:IXP5"/>
    <mergeCell ref="IXQ5:IYE5"/>
    <mergeCell ref="ISL5:ISZ5"/>
    <mergeCell ref="ITA5:ITO5"/>
    <mergeCell ref="ITP5:IUD5"/>
    <mergeCell ref="IUE5:IUS5"/>
    <mergeCell ref="IUT5:IVH5"/>
    <mergeCell ref="JMQ5:JNE5"/>
    <mergeCell ref="JNF5:JNT5"/>
    <mergeCell ref="JNU5:JOI5"/>
    <mergeCell ref="JOJ5:JOX5"/>
    <mergeCell ref="JOY5:JPM5"/>
    <mergeCell ref="JJT5:JKH5"/>
    <mergeCell ref="JKI5:JKW5"/>
    <mergeCell ref="JKX5:JLL5"/>
    <mergeCell ref="JLM5:JMA5"/>
    <mergeCell ref="JMB5:JMP5"/>
    <mergeCell ref="JGW5:JHK5"/>
    <mergeCell ref="JHL5:JHZ5"/>
    <mergeCell ref="JIA5:JIO5"/>
    <mergeCell ref="JIP5:JJD5"/>
    <mergeCell ref="JJE5:JJS5"/>
    <mergeCell ref="JDZ5:JEN5"/>
    <mergeCell ref="JEO5:JFC5"/>
    <mergeCell ref="JFD5:JFR5"/>
    <mergeCell ref="JFS5:JGG5"/>
    <mergeCell ref="JGH5:JGV5"/>
    <mergeCell ref="JYE5:JYS5"/>
    <mergeCell ref="JYT5:JZH5"/>
    <mergeCell ref="JZI5:JZW5"/>
    <mergeCell ref="JZX5:KAL5"/>
    <mergeCell ref="KAM5:KBA5"/>
    <mergeCell ref="JVH5:JVV5"/>
    <mergeCell ref="JVW5:JWK5"/>
    <mergeCell ref="JWL5:JWZ5"/>
    <mergeCell ref="JXA5:JXO5"/>
    <mergeCell ref="JXP5:JYD5"/>
    <mergeCell ref="JSK5:JSY5"/>
    <mergeCell ref="JSZ5:JTN5"/>
    <mergeCell ref="JTO5:JUC5"/>
    <mergeCell ref="JUD5:JUR5"/>
    <mergeCell ref="JUS5:JVG5"/>
    <mergeCell ref="JPN5:JQB5"/>
    <mergeCell ref="JQC5:JQQ5"/>
    <mergeCell ref="JQR5:JRF5"/>
    <mergeCell ref="JRG5:JRU5"/>
    <mergeCell ref="JRV5:JSJ5"/>
    <mergeCell ref="KJS5:KKG5"/>
    <mergeCell ref="KKH5:KKV5"/>
    <mergeCell ref="KKW5:KLK5"/>
    <mergeCell ref="KLL5:KLZ5"/>
    <mergeCell ref="KMA5:KMO5"/>
    <mergeCell ref="KGV5:KHJ5"/>
    <mergeCell ref="KHK5:KHY5"/>
    <mergeCell ref="KHZ5:KIN5"/>
    <mergeCell ref="KIO5:KJC5"/>
    <mergeCell ref="KJD5:KJR5"/>
    <mergeCell ref="KDY5:KEM5"/>
    <mergeCell ref="KEN5:KFB5"/>
    <mergeCell ref="KFC5:KFQ5"/>
    <mergeCell ref="KFR5:KGF5"/>
    <mergeCell ref="KGG5:KGU5"/>
    <mergeCell ref="KBB5:KBP5"/>
    <mergeCell ref="KBQ5:KCE5"/>
    <mergeCell ref="KCF5:KCT5"/>
    <mergeCell ref="KCU5:KDI5"/>
    <mergeCell ref="KDJ5:KDX5"/>
    <mergeCell ref="KVG5:KVU5"/>
    <mergeCell ref="KVV5:KWJ5"/>
    <mergeCell ref="KWK5:KWY5"/>
    <mergeCell ref="KWZ5:KXN5"/>
    <mergeCell ref="KXO5:KYC5"/>
    <mergeCell ref="KSJ5:KSX5"/>
    <mergeCell ref="KSY5:KTM5"/>
    <mergeCell ref="KTN5:KUB5"/>
    <mergeCell ref="KUC5:KUQ5"/>
    <mergeCell ref="KUR5:KVF5"/>
    <mergeCell ref="KPM5:KQA5"/>
    <mergeCell ref="KQB5:KQP5"/>
    <mergeCell ref="KQQ5:KRE5"/>
    <mergeCell ref="KRF5:KRT5"/>
    <mergeCell ref="KRU5:KSI5"/>
    <mergeCell ref="KMP5:KND5"/>
    <mergeCell ref="KNE5:KNS5"/>
    <mergeCell ref="KNT5:KOH5"/>
    <mergeCell ref="KOI5:KOW5"/>
    <mergeCell ref="KOX5:KPL5"/>
    <mergeCell ref="LGU5:LHI5"/>
    <mergeCell ref="LHJ5:LHX5"/>
    <mergeCell ref="LHY5:LIM5"/>
    <mergeCell ref="LIN5:LJB5"/>
    <mergeCell ref="LJC5:LJQ5"/>
    <mergeCell ref="LDX5:LEL5"/>
    <mergeCell ref="LEM5:LFA5"/>
    <mergeCell ref="LFB5:LFP5"/>
    <mergeCell ref="LFQ5:LGE5"/>
    <mergeCell ref="LGF5:LGT5"/>
    <mergeCell ref="LBA5:LBO5"/>
    <mergeCell ref="LBP5:LCD5"/>
    <mergeCell ref="LCE5:LCS5"/>
    <mergeCell ref="LCT5:LDH5"/>
    <mergeCell ref="LDI5:LDW5"/>
    <mergeCell ref="KYD5:KYR5"/>
    <mergeCell ref="KYS5:KZG5"/>
    <mergeCell ref="KZH5:KZV5"/>
    <mergeCell ref="KZW5:LAK5"/>
    <mergeCell ref="LAL5:LAZ5"/>
    <mergeCell ref="LSI5:LSW5"/>
    <mergeCell ref="LSX5:LTL5"/>
    <mergeCell ref="LTM5:LUA5"/>
    <mergeCell ref="LUB5:LUP5"/>
    <mergeCell ref="LUQ5:LVE5"/>
    <mergeCell ref="LPL5:LPZ5"/>
    <mergeCell ref="LQA5:LQO5"/>
    <mergeCell ref="LQP5:LRD5"/>
    <mergeCell ref="LRE5:LRS5"/>
    <mergeCell ref="LRT5:LSH5"/>
    <mergeCell ref="LMO5:LNC5"/>
    <mergeCell ref="LND5:LNR5"/>
    <mergeCell ref="LNS5:LOG5"/>
    <mergeCell ref="LOH5:LOV5"/>
    <mergeCell ref="LOW5:LPK5"/>
    <mergeCell ref="LJR5:LKF5"/>
    <mergeCell ref="LKG5:LKU5"/>
    <mergeCell ref="LKV5:LLJ5"/>
    <mergeCell ref="LLK5:LLY5"/>
    <mergeCell ref="LLZ5:LMN5"/>
    <mergeCell ref="MDW5:MEK5"/>
    <mergeCell ref="MEL5:MEZ5"/>
    <mergeCell ref="MFA5:MFO5"/>
    <mergeCell ref="MFP5:MGD5"/>
    <mergeCell ref="MGE5:MGS5"/>
    <mergeCell ref="MAZ5:MBN5"/>
    <mergeCell ref="MBO5:MCC5"/>
    <mergeCell ref="MCD5:MCR5"/>
    <mergeCell ref="MCS5:MDG5"/>
    <mergeCell ref="MDH5:MDV5"/>
    <mergeCell ref="LYC5:LYQ5"/>
    <mergeCell ref="LYR5:LZF5"/>
    <mergeCell ref="LZG5:LZU5"/>
    <mergeCell ref="LZV5:MAJ5"/>
    <mergeCell ref="MAK5:MAY5"/>
    <mergeCell ref="LVF5:LVT5"/>
    <mergeCell ref="LVU5:LWI5"/>
    <mergeCell ref="LWJ5:LWX5"/>
    <mergeCell ref="LWY5:LXM5"/>
    <mergeCell ref="LXN5:LYB5"/>
    <mergeCell ref="MPK5:MPY5"/>
    <mergeCell ref="MPZ5:MQN5"/>
    <mergeCell ref="MQO5:MRC5"/>
    <mergeCell ref="MRD5:MRR5"/>
    <mergeCell ref="MRS5:MSG5"/>
    <mergeCell ref="MMN5:MNB5"/>
    <mergeCell ref="MNC5:MNQ5"/>
    <mergeCell ref="MNR5:MOF5"/>
    <mergeCell ref="MOG5:MOU5"/>
    <mergeCell ref="MOV5:MPJ5"/>
    <mergeCell ref="MJQ5:MKE5"/>
    <mergeCell ref="MKF5:MKT5"/>
    <mergeCell ref="MKU5:MLI5"/>
    <mergeCell ref="MLJ5:MLX5"/>
    <mergeCell ref="MLY5:MMM5"/>
    <mergeCell ref="MGT5:MHH5"/>
    <mergeCell ref="MHI5:MHW5"/>
    <mergeCell ref="MHX5:MIL5"/>
    <mergeCell ref="MIM5:MJA5"/>
    <mergeCell ref="MJB5:MJP5"/>
    <mergeCell ref="NAY5:NBM5"/>
    <mergeCell ref="NBN5:NCB5"/>
    <mergeCell ref="NCC5:NCQ5"/>
    <mergeCell ref="NCR5:NDF5"/>
    <mergeCell ref="NDG5:NDU5"/>
    <mergeCell ref="MYB5:MYP5"/>
    <mergeCell ref="MYQ5:MZE5"/>
    <mergeCell ref="MZF5:MZT5"/>
    <mergeCell ref="MZU5:NAI5"/>
    <mergeCell ref="NAJ5:NAX5"/>
    <mergeCell ref="MVE5:MVS5"/>
    <mergeCell ref="MVT5:MWH5"/>
    <mergeCell ref="MWI5:MWW5"/>
    <mergeCell ref="MWX5:MXL5"/>
    <mergeCell ref="MXM5:MYA5"/>
    <mergeCell ref="MSH5:MSV5"/>
    <mergeCell ref="MSW5:MTK5"/>
    <mergeCell ref="MTL5:MTZ5"/>
    <mergeCell ref="MUA5:MUO5"/>
    <mergeCell ref="MUP5:MVD5"/>
    <mergeCell ref="NMM5:NNA5"/>
    <mergeCell ref="NNB5:NNP5"/>
    <mergeCell ref="NNQ5:NOE5"/>
    <mergeCell ref="NOF5:NOT5"/>
    <mergeCell ref="NOU5:NPI5"/>
    <mergeCell ref="NJP5:NKD5"/>
    <mergeCell ref="NKE5:NKS5"/>
    <mergeCell ref="NKT5:NLH5"/>
    <mergeCell ref="NLI5:NLW5"/>
    <mergeCell ref="NLX5:NML5"/>
    <mergeCell ref="NGS5:NHG5"/>
    <mergeCell ref="NHH5:NHV5"/>
    <mergeCell ref="NHW5:NIK5"/>
    <mergeCell ref="NIL5:NIZ5"/>
    <mergeCell ref="NJA5:NJO5"/>
    <mergeCell ref="NDV5:NEJ5"/>
    <mergeCell ref="NEK5:NEY5"/>
    <mergeCell ref="NEZ5:NFN5"/>
    <mergeCell ref="NFO5:NGC5"/>
    <mergeCell ref="NGD5:NGR5"/>
    <mergeCell ref="NYA5:NYO5"/>
    <mergeCell ref="NYP5:NZD5"/>
    <mergeCell ref="NZE5:NZS5"/>
    <mergeCell ref="NZT5:OAH5"/>
    <mergeCell ref="OAI5:OAW5"/>
    <mergeCell ref="NVD5:NVR5"/>
    <mergeCell ref="NVS5:NWG5"/>
    <mergeCell ref="NWH5:NWV5"/>
    <mergeCell ref="NWW5:NXK5"/>
    <mergeCell ref="NXL5:NXZ5"/>
    <mergeCell ref="NSG5:NSU5"/>
    <mergeCell ref="NSV5:NTJ5"/>
    <mergeCell ref="NTK5:NTY5"/>
    <mergeCell ref="NTZ5:NUN5"/>
    <mergeCell ref="NUO5:NVC5"/>
    <mergeCell ref="NPJ5:NPX5"/>
    <mergeCell ref="NPY5:NQM5"/>
    <mergeCell ref="NQN5:NRB5"/>
    <mergeCell ref="NRC5:NRQ5"/>
    <mergeCell ref="NRR5:NSF5"/>
    <mergeCell ref="OJO5:OKC5"/>
    <mergeCell ref="OKD5:OKR5"/>
    <mergeCell ref="OKS5:OLG5"/>
    <mergeCell ref="OLH5:OLV5"/>
    <mergeCell ref="OLW5:OMK5"/>
    <mergeCell ref="OGR5:OHF5"/>
    <mergeCell ref="OHG5:OHU5"/>
    <mergeCell ref="OHV5:OIJ5"/>
    <mergeCell ref="OIK5:OIY5"/>
    <mergeCell ref="OIZ5:OJN5"/>
    <mergeCell ref="ODU5:OEI5"/>
    <mergeCell ref="OEJ5:OEX5"/>
    <mergeCell ref="OEY5:OFM5"/>
    <mergeCell ref="OFN5:OGB5"/>
    <mergeCell ref="OGC5:OGQ5"/>
    <mergeCell ref="OAX5:OBL5"/>
    <mergeCell ref="OBM5:OCA5"/>
    <mergeCell ref="OCB5:OCP5"/>
    <mergeCell ref="OCQ5:ODE5"/>
    <mergeCell ref="ODF5:ODT5"/>
    <mergeCell ref="OVC5:OVQ5"/>
    <mergeCell ref="OVR5:OWF5"/>
    <mergeCell ref="OWG5:OWU5"/>
    <mergeCell ref="OWV5:OXJ5"/>
    <mergeCell ref="OXK5:OXY5"/>
    <mergeCell ref="OSF5:OST5"/>
    <mergeCell ref="OSU5:OTI5"/>
    <mergeCell ref="OTJ5:OTX5"/>
    <mergeCell ref="OTY5:OUM5"/>
    <mergeCell ref="OUN5:OVB5"/>
    <mergeCell ref="OPI5:OPW5"/>
    <mergeCell ref="OPX5:OQL5"/>
    <mergeCell ref="OQM5:ORA5"/>
    <mergeCell ref="ORB5:ORP5"/>
    <mergeCell ref="ORQ5:OSE5"/>
    <mergeCell ref="OML5:OMZ5"/>
    <mergeCell ref="ONA5:ONO5"/>
    <mergeCell ref="ONP5:OOD5"/>
    <mergeCell ref="OOE5:OOS5"/>
    <mergeCell ref="OOT5:OPH5"/>
    <mergeCell ref="PGQ5:PHE5"/>
    <mergeCell ref="PHF5:PHT5"/>
    <mergeCell ref="PHU5:PII5"/>
    <mergeCell ref="PIJ5:PIX5"/>
    <mergeCell ref="PIY5:PJM5"/>
    <mergeCell ref="PDT5:PEH5"/>
    <mergeCell ref="PEI5:PEW5"/>
    <mergeCell ref="PEX5:PFL5"/>
    <mergeCell ref="PFM5:PGA5"/>
    <mergeCell ref="PGB5:PGP5"/>
    <mergeCell ref="PAW5:PBK5"/>
    <mergeCell ref="PBL5:PBZ5"/>
    <mergeCell ref="PCA5:PCO5"/>
    <mergeCell ref="PCP5:PDD5"/>
    <mergeCell ref="PDE5:PDS5"/>
    <mergeCell ref="OXZ5:OYN5"/>
    <mergeCell ref="OYO5:OZC5"/>
    <mergeCell ref="OZD5:OZR5"/>
    <mergeCell ref="OZS5:PAG5"/>
    <mergeCell ref="PAH5:PAV5"/>
    <mergeCell ref="PSE5:PSS5"/>
    <mergeCell ref="PST5:PTH5"/>
    <mergeCell ref="PTI5:PTW5"/>
    <mergeCell ref="PTX5:PUL5"/>
    <mergeCell ref="PUM5:PVA5"/>
    <mergeCell ref="PPH5:PPV5"/>
    <mergeCell ref="PPW5:PQK5"/>
    <mergeCell ref="PQL5:PQZ5"/>
    <mergeCell ref="PRA5:PRO5"/>
    <mergeCell ref="PRP5:PSD5"/>
    <mergeCell ref="PMK5:PMY5"/>
    <mergeCell ref="PMZ5:PNN5"/>
    <mergeCell ref="PNO5:POC5"/>
    <mergeCell ref="POD5:POR5"/>
    <mergeCell ref="POS5:PPG5"/>
    <mergeCell ref="PJN5:PKB5"/>
    <mergeCell ref="PKC5:PKQ5"/>
    <mergeCell ref="PKR5:PLF5"/>
    <mergeCell ref="PLG5:PLU5"/>
    <mergeCell ref="PLV5:PMJ5"/>
    <mergeCell ref="QDS5:QEG5"/>
    <mergeCell ref="QEH5:QEV5"/>
    <mergeCell ref="QEW5:QFK5"/>
    <mergeCell ref="QFL5:QFZ5"/>
    <mergeCell ref="QGA5:QGO5"/>
    <mergeCell ref="QAV5:QBJ5"/>
    <mergeCell ref="QBK5:QBY5"/>
    <mergeCell ref="QBZ5:QCN5"/>
    <mergeCell ref="QCO5:QDC5"/>
    <mergeCell ref="QDD5:QDR5"/>
    <mergeCell ref="PXY5:PYM5"/>
    <mergeCell ref="PYN5:PZB5"/>
    <mergeCell ref="PZC5:PZQ5"/>
    <mergeCell ref="PZR5:QAF5"/>
    <mergeCell ref="QAG5:QAU5"/>
    <mergeCell ref="PVB5:PVP5"/>
    <mergeCell ref="PVQ5:PWE5"/>
    <mergeCell ref="PWF5:PWT5"/>
    <mergeCell ref="PWU5:PXI5"/>
    <mergeCell ref="PXJ5:PXX5"/>
    <mergeCell ref="QPG5:QPU5"/>
    <mergeCell ref="QPV5:QQJ5"/>
    <mergeCell ref="QQK5:QQY5"/>
    <mergeCell ref="QQZ5:QRN5"/>
    <mergeCell ref="QRO5:QSC5"/>
    <mergeCell ref="QMJ5:QMX5"/>
    <mergeCell ref="QMY5:QNM5"/>
    <mergeCell ref="QNN5:QOB5"/>
    <mergeCell ref="QOC5:QOQ5"/>
    <mergeCell ref="QOR5:QPF5"/>
    <mergeCell ref="QJM5:QKA5"/>
    <mergeCell ref="QKB5:QKP5"/>
    <mergeCell ref="QKQ5:QLE5"/>
    <mergeCell ref="QLF5:QLT5"/>
    <mergeCell ref="QLU5:QMI5"/>
    <mergeCell ref="QGP5:QHD5"/>
    <mergeCell ref="QHE5:QHS5"/>
    <mergeCell ref="QHT5:QIH5"/>
    <mergeCell ref="QII5:QIW5"/>
    <mergeCell ref="QIX5:QJL5"/>
    <mergeCell ref="RAU5:RBI5"/>
    <mergeCell ref="RBJ5:RBX5"/>
    <mergeCell ref="RBY5:RCM5"/>
    <mergeCell ref="RCN5:RDB5"/>
    <mergeCell ref="RDC5:RDQ5"/>
    <mergeCell ref="QXX5:QYL5"/>
    <mergeCell ref="QYM5:QZA5"/>
    <mergeCell ref="QZB5:QZP5"/>
    <mergeCell ref="QZQ5:RAE5"/>
    <mergeCell ref="RAF5:RAT5"/>
    <mergeCell ref="QVA5:QVO5"/>
    <mergeCell ref="QVP5:QWD5"/>
    <mergeCell ref="QWE5:QWS5"/>
    <mergeCell ref="QWT5:QXH5"/>
    <mergeCell ref="QXI5:QXW5"/>
    <mergeCell ref="QSD5:QSR5"/>
    <mergeCell ref="QSS5:QTG5"/>
    <mergeCell ref="QTH5:QTV5"/>
    <mergeCell ref="QTW5:QUK5"/>
    <mergeCell ref="QUL5:QUZ5"/>
    <mergeCell ref="RMI5:RMW5"/>
    <mergeCell ref="RMX5:RNL5"/>
    <mergeCell ref="RNM5:ROA5"/>
    <mergeCell ref="ROB5:ROP5"/>
    <mergeCell ref="ROQ5:RPE5"/>
    <mergeCell ref="RJL5:RJZ5"/>
    <mergeCell ref="RKA5:RKO5"/>
    <mergeCell ref="RKP5:RLD5"/>
    <mergeCell ref="RLE5:RLS5"/>
    <mergeCell ref="RLT5:RMH5"/>
    <mergeCell ref="RGO5:RHC5"/>
    <mergeCell ref="RHD5:RHR5"/>
    <mergeCell ref="RHS5:RIG5"/>
    <mergeCell ref="RIH5:RIV5"/>
    <mergeCell ref="RIW5:RJK5"/>
    <mergeCell ref="RDR5:REF5"/>
    <mergeCell ref="REG5:REU5"/>
    <mergeCell ref="REV5:RFJ5"/>
    <mergeCell ref="RFK5:RFY5"/>
    <mergeCell ref="RFZ5:RGN5"/>
    <mergeCell ref="RXW5:RYK5"/>
    <mergeCell ref="RYL5:RYZ5"/>
    <mergeCell ref="RZA5:RZO5"/>
    <mergeCell ref="RZP5:SAD5"/>
    <mergeCell ref="SAE5:SAS5"/>
    <mergeCell ref="RUZ5:RVN5"/>
    <mergeCell ref="RVO5:RWC5"/>
    <mergeCell ref="RWD5:RWR5"/>
    <mergeCell ref="RWS5:RXG5"/>
    <mergeCell ref="RXH5:RXV5"/>
    <mergeCell ref="RSC5:RSQ5"/>
    <mergeCell ref="RSR5:RTF5"/>
    <mergeCell ref="RTG5:RTU5"/>
    <mergeCell ref="RTV5:RUJ5"/>
    <mergeCell ref="RUK5:RUY5"/>
    <mergeCell ref="RPF5:RPT5"/>
    <mergeCell ref="RPU5:RQI5"/>
    <mergeCell ref="RQJ5:RQX5"/>
    <mergeCell ref="RQY5:RRM5"/>
    <mergeCell ref="RRN5:RSB5"/>
    <mergeCell ref="SJK5:SJY5"/>
    <mergeCell ref="SJZ5:SKN5"/>
    <mergeCell ref="SKO5:SLC5"/>
    <mergeCell ref="SLD5:SLR5"/>
    <mergeCell ref="SLS5:SMG5"/>
    <mergeCell ref="SGN5:SHB5"/>
    <mergeCell ref="SHC5:SHQ5"/>
    <mergeCell ref="SHR5:SIF5"/>
    <mergeCell ref="SIG5:SIU5"/>
    <mergeCell ref="SIV5:SJJ5"/>
    <mergeCell ref="SDQ5:SEE5"/>
    <mergeCell ref="SEF5:SET5"/>
    <mergeCell ref="SEU5:SFI5"/>
    <mergeCell ref="SFJ5:SFX5"/>
    <mergeCell ref="SFY5:SGM5"/>
    <mergeCell ref="SAT5:SBH5"/>
    <mergeCell ref="SBI5:SBW5"/>
    <mergeCell ref="SBX5:SCL5"/>
    <mergeCell ref="SCM5:SDA5"/>
    <mergeCell ref="SDB5:SDP5"/>
    <mergeCell ref="SUY5:SVM5"/>
    <mergeCell ref="SVN5:SWB5"/>
    <mergeCell ref="SWC5:SWQ5"/>
    <mergeCell ref="SWR5:SXF5"/>
    <mergeCell ref="SXG5:SXU5"/>
    <mergeCell ref="SSB5:SSP5"/>
    <mergeCell ref="SSQ5:STE5"/>
    <mergeCell ref="STF5:STT5"/>
    <mergeCell ref="STU5:SUI5"/>
    <mergeCell ref="SUJ5:SUX5"/>
    <mergeCell ref="SPE5:SPS5"/>
    <mergeCell ref="SPT5:SQH5"/>
    <mergeCell ref="SQI5:SQW5"/>
    <mergeCell ref="SQX5:SRL5"/>
    <mergeCell ref="SRM5:SSA5"/>
    <mergeCell ref="SMH5:SMV5"/>
    <mergeCell ref="SMW5:SNK5"/>
    <mergeCell ref="SNL5:SNZ5"/>
    <mergeCell ref="SOA5:SOO5"/>
    <mergeCell ref="SOP5:SPD5"/>
    <mergeCell ref="TGM5:THA5"/>
    <mergeCell ref="THB5:THP5"/>
    <mergeCell ref="THQ5:TIE5"/>
    <mergeCell ref="TIF5:TIT5"/>
    <mergeCell ref="TIU5:TJI5"/>
    <mergeCell ref="TDP5:TED5"/>
    <mergeCell ref="TEE5:TES5"/>
    <mergeCell ref="TET5:TFH5"/>
    <mergeCell ref="TFI5:TFW5"/>
    <mergeCell ref="TFX5:TGL5"/>
    <mergeCell ref="TAS5:TBG5"/>
    <mergeCell ref="TBH5:TBV5"/>
    <mergeCell ref="TBW5:TCK5"/>
    <mergeCell ref="TCL5:TCZ5"/>
    <mergeCell ref="TDA5:TDO5"/>
    <mergeCell ref="SXV5:SYJ5"/>
    <mergeCell ref="SYK5:SYY5"/>
    <mergeCell ref="SYZ5:SZN5"/>
    <mergeCell ref="SZO5:TAC5"/>
    <mergeCell ref="TAD5:TAR5"/>
    <mergeCell ref="TSA5:TSO5"/>
    <mergeCell ref="TSP5:TTD5"/>
    <mergeCell ref="TTE5:TTS5"/>
    <mergeCell ref="TTT5:TUH5"/>
    <mergeCell ref="TUI5:TUW5"/>
    <mergeCell ref="TPD5:TPR5"/>
    <mergeCell ref="TPS5:TQG5"/>
    <mergeCell ref="TQH5:TQV5"/>
    <mergeCell ref="TQW5:TRK5"/>
    <mergeCell ref="TRL5:TRZ5"/>
    <mergeCell ref="TMG5:TMU5"/>
    <mergeCell ref="TMV5:TNJ5"/>
    <mergeCell ref="TNK5:TNY5"/>
    <mergeCell ref="TNZ5:TON5"/>
    <mergeCell ref="TOO5:TPC5"/>
    <mergeCell ref="TJJ5:TJX5"/>
    <mergeCell ref="TJY5:TKM5"/>
    <mergeCell ref="TKN5:TLB5"/>
    <mergeCell ref="TLC5:TLQ5"/>
    <mergeCell ref="TLR5:TMF5"/>
    <mergeCell ref="UDO5:UEC5"/>
    <mergeCell ref="UED5:UER5"/>
    <mergeCell ref="UES5:UFG5"/>
    <mergeCell ref="UFH5:UFV5"/>
    <mergeCell ref="UFW5:UGK5"/>
    <mergeCell ref="UAR5:UBF5"/>
    <mergeCell ref="UBG5:UBU5"/>
    <mergeCell ref="UBV5:UCJ5"/>
    <mergeCell ref="UCK5:UCY5"/>
    <mergeCell ref="UCZ5:UDN5"/>
    <mergeCell ref="TXU5:TYI5"/>
    <mergeCell ref="TYJ5:TYX5"/>
    <mergeCell ref="TYY5:TZM5"/>
    <mergeCell ref="TZN5:UAB5"/>
    <mergeCell ref="UAC5:UAQ5"/>
    <mergeCell ref="TUX5:TVL5"/>
    <mergeCell ref="TVM5:TWA5"/>
    <mergeCell ref="TWB5:TWP5"/>
    <mergeCell ref="TWQ5:TXE5"/>
    <mergeCell ref="TXF5:TXT5"/>
    <mergeCell ref="UPC5:UPQ5"/>
    <mergeCell ref="UPR5:UQF5"/>
    <mergeCell ref="UQG5:UQU5"/>
    <mergeCell ref="UQV5:URJ5"/>
    <mergeCell ref="URK5:URY5"/>
    <mergeCell ref="UMF5:UMT5"/>
    <mergeCell ref="UMU5:UNI5"/>
    <mergeCell ref="UNJ5:UNX5"/>
    <mergeCell ref="UNY5:UOM5"/>
    <mergeCell ref="UON5:UPB5"/>
    <mergeCell ref="UJI5:UJW5"/>
    <mergeCell ref="UJX5:UKL5"/>
    <mergeCell ref="UKM5:ULA5"/>
    <mergeCell ref="ULB5:ULP5"/>
    <mergeCell ref="ULQ5:UME5"/>
    <mergeCell ref="UGL5:UGZ5"/>
    <mergeCell ref="UHA5:UHO5"/>
    <mergeCell ref="UHP5:UID5"/>
    <mergeCell ref="UIE5:UIS5"/>
    <mergeCell ref="UIT5:UJH5"/>
    <mergeCell ref="WBT5:WCH5"/>
    <mergeCell ref="UWA5:UWO5"/>
    <mergeCell ref="UWP5:UXD5"/>
    <mergeCell ref="UXE5:UXS5"/>
    <mergeCell ref="URZ5:USN5"/>
    <mergeCell ref="USO5:UTC5"/>
    <mergeCell ref="UTD5:UTR5"/>
    <mergeCell ref="UTS5:UUG5"/>
    <mergeCell ref="UUH5:UUV5"/>
    <mergeCell ref="VUV5:VVJ5"/>
    <mergeCell ref="VVK5:VVY5"/>
    <mergeCell ref="VVZ5:VWN5"/>
    <mergeCell ref="VWO5:VXC5"/>
    <mergeCell ref="VXD5:VXR5"/>
    <mergeCell ref="VJH5:VJV5"/>
    <mergeCell ref="VJW5:VKK5"/>
    <mergeCell ref="VKL5:VKZ5"/>
    <mergeCell ref="VLA5:VLO5"/>
    <mergeCell ref="VLP5:VMD5"/>
    <mergeCell ref="UXT5:UYH5"/>
    <mergeCell ref="UYI5:UYW5"/>
    <mergeCell ref="VAB5:VAP5"/>
    <mergeCell ref="VGK5:VGY5"/>
    <mergeCell ref="VGZ5:VHN5"/>
    <mergeCell ref="VHO5:VIC5"/>
    <mergeCell ref="VID5:VIR5"/>
    <mergeCell ref="VIS5:VJG5"/>
    <mergeCell ref="RB6:RP6"/>
    <mergeCell ref="OE6:OS6"/>
    <mergeCell ref="BII6:BIW6"/>
    <mergeCell ref="BDD6:BDR6"/>
    <mergeCell ref="BDS6:BEG6"/>
    <mergeCell ref="BEH6:BEV6"/>
    <mergeCell ref="BEW6:BFK6"/>
    <mergeCell ref="BFL6:BFZ6"/>
    <mergeCell ref="BAG6:BAU6"/>
    <mergeCell ref="BAV6:BBJ6"/>
    <mergeCell ref="BBK6:BBY6"/>
    <mergeCell ref="BBZ6:BCN6"/>
    <mergeCell ref="BCO6:BDC6"/>
    <mergeCell ref="AXJ6:AXX6"/>
    <mergeCell ref="AXY6:AYM6"/>
    <mergeCell ref="APW6:AQK6"/>
    <mergeCell ref="AQL6:AQZ6"/>
    <mergeCell ref="ARA6:ARO6"/>
    <mergeCell ref="AMK6:AMY6"/>
    <mergeCell ref="AMZ6:ANN6"/>
    <mergeCell ref="AVQ6:AWE6"/>
    <mergeCell ref="AWF6:AWT6"/>
    <mergeCell ref="AWU6:AXI6"/>
    <mergeCell ref="ARP6:ASD6"/>
    <mergeCell ref="ASE6:ASS6"/>
    <mergeCell ref="XZ6:YN6"/>
    <mergeCell ref="YO6:ZC6"/>
    <mergeCell ref="ZD6:ZR6"/>
    <mergeCell ref="ZS6:AAG6"/>
    <mergeCell ref="UN6:VB6"/>
    <mergeCell ref="VC6:VQ6"/>
    <mergeCell ref="VR6:WF6"/>
    <mergeCell ref="TJ6:TX6"/>
    <mergeCell ref="TY6:UM6"/>
    <mergeCell ref="CDC6:CDQ6"/>
    <mergeCell ref="CDR6:CEF6"/>
    <mergeCell ref="WIR5:WJF5"/>
    <mergeCell ref="ANO6:AOC6"/>
    <mergeCell ref="AOD6:AOR6"/>
    <mergeCell ref="BGA6:BGO6"/>
    <mergeCell ref="BGP6:BHD6"/>
    <mergeCell ref="BHE6:BHS6"/>
    <mergeCell ref="ACP6:ADD6"/>
    <mergeCell ref="ABL6:ABZ6"/>
    <mergeCell ref="ACA6:ACO6"/>
    <mergeCell ref="BHT6:BIH6"/>
    <mergeCell ref="WCI5:WCW5"/>
    <mergeCell ref="WCX5:WDL5"/>
    <mergeCell ref="VXS5:VYG5"/>
    <mergeCell ref="VYH5:VYV5"/>
    <mergeCell ref="VYW5:VZK5"/>
    <mergeCell ref="VZL5:VZZ5"/>
    <mergeCell ref="WAA5:WAO5"/>
    <mergeCell ref="BIX6:BJL6"/>
    <mergeCell ref="BJM6:BKA6"/>
    <mergeCell ref="UUW5:UVK5"/>
    <mergeCell ref="UVL5:UVZ5"/>
    <mergeCell ref="BLF6:BLT6"/>
    <mergeCell ref="AAH6:AAV6"/>
    <mergeCell ref="AAW6:ABK6"/>
    <mergeCell ref="XK6:XY6"/>
    <mergeCell ref="WG6:WU6"/>
    <mergeCell ref="WV6:XJ6"/>
    <mergeCell ref="VMT5:VNH5"/>
    <mergeCell ref="XDL5:XDZ5"/>
    <mergeCell ref="XEA5:XEF5"/>
    <mergeCell ref="WTB5:WTP5"/>
    <mergeCell ref="WTQ5:WUE5"/>
    <mergeCell ref="WUF5:WUT5"/>
    <mergeCell ref="WPA5:WPO5"/>
    <mergeCell ref="WPP5:WQD5"/>
    <mergeCell ref="WQE5:WQS5"/>
    <mergeCell ref="WQT5:WRH5"/>
    <mergeCell ref="WRI5:WRW5"/>
    <mergeCell ref="WVJ5:WVX5"/>
    <mergeCell ref="WVY5:WWM5"/>
    <mergeCell ref="WWN5:WXB5"/>
    <mergeCell ref="WXC5:WXQ5"/>
    <mergeCell ref="WRX5:WSL5"/>
    <mergeCell ref="WSM5:WTA5"/>
    <mergeCell ref="XAO5:XBC5"/>
    <mergeCell ref="XBD5:XBR5"/>
    <mergeCell ref="CAF6:CAT6"/>
    <mergeCell ref="CAU6:CBI6"/>
    <mergeCell ref="UYX5:UZL5"/>
    <mergeCell ref="UZM5:VAA5"/>
    <mergeCell ref="CBJ6:CBX6"/>
    <mergeCell ref="CBY6:CCM6"/>
    <mergeCell ref="CCN6:CDB6"/>
    <mergeCell ref="BXI6:BXW6"/>
    <mergeCell ref="BXX6:BYL6"/>
    <mergeCell ref="BYM6:BZA6"/>
    <mergeCell ref="XCW5:XDK5"/>
    <mergeCell ref="WXR5:WYF5"/>
    <mergeCell ref="WYG5:WYU5"/>
    <mergeCell ref="WYV5:WZJ5"/>
    <mergeCell ref="WZK5:WZY5"/>
    <mergeCell ref="WZZ5:XAN5"/>
    <mergeCell ref="WUU5:WVI5"/>
    <mergeCell ref="WMD5:WMR5"/>
    <mergeCell ref="WMS5:WNG5"/>
    <mergeCell ref="WNH5:WNV5"/>
    <mergeCell ref="WNW5:WOK5"/>
    <mergeCell ref="WOL5:WOZ5"/>
    <mergeCell ref="WJG5:WJU5"/>
    <mergeCell ref="WJV5:WKJ5"/>
    <mergeCell ref="WKK5:WKY5"/>
    <mergeCell ref="WKZ5:WLN5"/>
    <mergeCell ref="WLO5:WMC5"/>
    <mergeCell ref="VNI5:VNW5"/>
    <mergeCell ref="VNX5:VOL5"/>
    <mergeCell ref="VOM5:VPA5"/>
    <mergeCell ref="VRY5:VSM5"/>
    <mergeCell ref="VSN5:VTB5"/>
    <mergeCell ref="XBS5:XCG5"/>
    <mergeCell ref="XCH5:XCV5"/>
    <mergeCell ref="VME5:VMS5"/>
    <mergeCell ref="WGJ5:WGX5"/>
    <mergeCell ref="WGY5:WHM5"/>
    <mergeCell ref="WHN5:WIB5"/>
    <mergeCell ref="WIC5:WIQ5"/>
    <mergeCell ref="VDN5:VEB5"/>
    <mergeCell ref="VEC5:VEQ5"/>
    <mergeCell ref="VER5:VFF5"/>
    <mergeCell ref="VFG5:VFU5"/>
    <mergeCell ref="VFV5:VGJ5"/>
    <mergeCell ref="VAQ5:VBE5"/>
    <mergeCell ref="VBF5:VBT5"/>
    <mergeCell ref="VBU5:VCI5"/>
    <mergeCell ref="VCJ5:VCX5"/>
    <mergeCell ref="VCY5:VDM5"/>
    <mergeCell ref="VTC5:VTQ5"/>
    <mergeCell ref="VTR5:VUF5"/>
    <mergeCell ref="VUG5:VUU5"/>
    <mergeCell ref="VPB5:VPP5"/>
    <mergeCell ref="VPQ5:VQE5"/>
    <mergeCell ref="VQF5:VQT5"/>
    <mergeCell ref="VQU5:VRI5"/>
    <mergeCell ref="VRJ5:VRX5"/>
    <mergeCell ref="WDM5:WEA5"/>
    <mergeCell ref="WEB5:WEP5"/>
    <mergeCell ref="WEQ5:WFE5"/>
    <mergeCell ref="WFF5:WFT5"/>
    <mergeCell ref="WFU5:WGI5"/>
    <mergeCell ref="WAP5:WBD5"/>
    <mergeCell ref="WBE5:WBS5"/>
    <mergeCell ref="BZB6:BZP6"/>
    <mergeCell ref="BZQ6:CAE6"/>
    <mergeCell ref="BUL6:BUZ6"/>
    <mergeCell ref="BVA6:BVO6"/>
    <mergeCell ref="BVP6:BWD6"/>
    <mergeCell ref="BWE6:BWS6"/>
    <mergeCell ref="BWT6:BXH6"/>
    <mergeCell ref="PX6:QL6"/>
    <mergeCell ref="QM6:RA6"/>
    <mergeCell ref="BRO6:BSC6"/>
    <mergeCell ref="BSD6:BSR6"/>
    <mergeCell ref="BSS6:BTG6"/>
    <mergeCell ref="BTH6:BTV6"/>
    <mergeCell ref="BTW6:BUK6"/>
    <mergeCell ref="BOR6:BPF6"/>
    <mergeCell ref="BPG6:BPU6"/>
    <mergeCell ref="BPV6:BQJ6"/>
    <mergeCell ref="BQK6:BQY6"/>
    <mergeCell ref="BQZ6:BRN6"/>
    <mergeCell ref="BLU6:BMI6"/>
    <mergeCell ref="BMJ6:BMX6"/>
    <mergeCell ref="BMY6:BNM6"/>
    <mergeCell ref="BNN6:BOB6"/>
    <mergeCell ref="BOC6:BOQ6"/>
    <mergeCell ref="BKB6:BKP6"/>
    <mergeCell ref="BKQ6:BLE6"/>
    <mergeCell ref="RQ6:SE6"/>
    <mergeCell ref="SF6:ST6"/>
    <mergeCell ref="SU6:TI6"/>
    <mergeCell ref="AYN6:AZB6"/>
    <mergeCell ref="AZC6:AZQ6"/>
    <mergeCell ref="AZR6:BAF6"/>
    <mergeCell ref="CLT6:CMH6"/>
    <mergeCell ref="CMI6:CMW6"/>
    <mergeCell ref="CMX6:CNL6"/>
    <mergeCell ref="CNM6:COA6"/>
    <mergeCell ref="COB6:COP6"/>
    <mergeCell ref="CIW6:CJK6"/>
    <mergeCell ref="CJL6:CJZ6"/>
    <mergeCell ref="CKA6:CKO6"/>
    <mergeCell ref="CKP6:CLD6"/>
    <mergeCell ref="CLE6:CLS6"/>
    <mergeCell ref="CFZ6:CGN6"/>
    <mergeCell ref="CGO6:CHC6"/>
    <mergeCell ref="CHD6:CHR6"/>
    <mergeCell ref="CHS6:CIG6"/>
    <mergeCell ref="CIH6:CIV6"/>
    <mergeCell ref="CEG6:CEU6"/>
    <mergeCell ref="CEV6:CFJ6"/>
    <mergeCell ref="CFK6:CFY6"/>
    <mergeCell ref="CXH6:CXV6"/>
    <mergeCell ref="CXW6:CYK6"/>
    <mergeCell ref="CYL6:CYZ6"/>
    <mergeCell ref="CZA6:CZO6"/>
    <mergeCell ref="CZP6:DAD6"/>
    <mergeCell ref="CUK6:CUY6"/>
    <mergeCell ref="CUZ6:CVN6"/>
    <mergeCell ref="CVO6:CWC6"/>
    <mergeCell ref="CWD6:CWR6"/>
    <mergeCell ref="CWS6:CXG6"/>
    <mergeCell ref="CRN6:CSB6"/>
    <mergeCell ref="CSC6:CSQ6"/>
    <mergeCell ref="CSR6:CTF6"/>
    <mergeCell ref="CTG6:CTU6"/>
    <mergeCell ref="CTV6:CUJ6"/>
    <mergeCell ref="COQ6:CPE6"/>
    <mergeCell ref="CPF6:CPT6"/>
    <mergeCell ref="CPU6:CQI6"/>
    <mergeCell ref="CQJ6:CQX6"/>
    <mergeCell ref="CQY6:CRM6"/>
    <mergeCell ref="DIV6:DJJ6"/>
    <mergeCell ref="DJK6:DJY6"/>
    <mergeCell ref="DJZ6:DKN6"/>
    <mergeCell ref="DKO6:DLC6"/>
    <mergeCell ref="DLD6:DLR6"/>
    <mergeCell ref="DFY6:DGM6"/>
    <mergeCell ref="DGN6:DHB6"/>
    <mergeCell ref="DHC6:DHQ6"/>
    <mergeCell ref="DHR6:DIF6"/>
    <mergeCell ref="DIG6:DIU6"/>
    <mergeCell ref="DDB6:DDP6"/>
    <mergeCell ref="DDQ6:DEE6"/>
    <mergeCell ref="DEF6:DET6"/>
    <mergeCell ref="DEU6:DFI6"/>
    <mergeCell ref="DFJ6:DFX6"/>
    <mergeCell ref="DAE6:DAS6"/>
    <mergeCell ref="DAT6:DBH6"/>
    <mergeCell ref="DBI6:DBW6"/>
    <mergeCell ref="DBX6:DCL6"/>
    <mergeCell ref="DCM6:DDA6"/>
    <mergeCell ref="DUJ6:DUX6"/>
    <mergeCell ref="DUY6:DVM6"/>
    <mergeCell ref="DVN6:DWB6"/>
    <mergeCell ref="DWC6:DWQ6"/>
    <mergeCell ref="DWR6:DXF6"/>
    <mergeCell ref="DRM6:DSA6"/>
    <mergeCell ref="DSB6:DSP6"/>
    <mergeCell ref="DSQ6:DTE6"/>
    <mergeCell ref="DTF6:DTT6"/>
    <mergeCell ref="DTU6:DUI6"/>
    <mergeCell ref="DOP6:DPD6"/>
    <mergeCell ref="DPE6:DPS6"/>
    <mergeCell ref="DPT6:DQH6"/>
    <mergeCell ref="DQI6:DQW6"/>
    <mergeCell ref="DQX6:DRL6"/>
    <mergeCell ref="DLS6:DMG6"/>
    <mergeCell ref="DMH6:DMV6"/>
    <mergeCell ref="DMW6:DNK6"/>
    <mergeCell ref="DNL6:DNZ6"/>
    <mergeCell ref="DOA6:DOO6"/>
    <mergeCell ref="EFX6:EGL6"/>
    <mergeCell ref="EGM6:EHA6"/>
    <mergeCell ref="EHB6:EHP6"/>
    <mergeCell ref="EHQ6:EIE6"/>
    <mergeCell ref="EIF6:EIT6"/>
    <mergeCell ref="EDA6:EDO6"/>
    <mergeCell ref="EDP6:EED6"/>
    <mergeCell ref="EEE6:EES6"/>
    <mergeCell ref="EET6:EFH6"/>
    <mergeCell ref="EFI6:EFW6"/>
    <mergeCell ref="EAD6:EAR6"/>
    <mergeCell ref="EAS6:EBG6"/>
    <mergeCell ref="EBH6:EBV6"/>
    <mergeCell ref="EBW6:ECK6"/>
    <mergeCell ref="ECL6:ECZ6"/>
    <mergeCell ref="DXG6:DXU6"/>
    <mergeCell ref="DXV6:DYJ6"/>
    <mergeCell ref="DYK6:DYY6"/>
    <mergeCell ref="DYZ6:DZN6"/>
    <mergeCell ref="DZO6:EAC6"/>
    <mergeCell ref="ERL6:ERZ6"/>
    <mergeCell ref="ESA6:ESO6"/>
    <mergeCell ref="ESP6:ETD6"/>
    <mergeCell ref="ETE6:ETS6"/>
    <mergeCell ref="ETT6:EUH6"/>
    <mergeCell ref="EOO6:EPC6"/>
    <mergeCell ref="EPD6:EPR6"/>
    <mergeCell ref="EPS6:EQG6"/>
    <mergeCell ref="EQH6:EQV6"/>
    <mergeCell ref="EQW6:ERK6"/>
    <mergeCell ref="ELR6:EMF6"/>
    <mergeCell ref="EMG6:EMU6"/>
    <mergeCell ref="EMV6:ENJ6"/>
    <mergeCell ref="ENK6:ENY6"/>
    <mergeCell ref="ENZ6:EON6"/>
    <mergeCell ref="EIU6:EJI6"/>
    <mergeCell ref="EJJ6:EJX6"/>
    <mergeCell ref="EJY6:EKM6"/>
    <mergeCell ref="EKN6:ELB6"/>
    <mergeCell ref="ELC6:ELQ6"/>
    <mergeCell ref="FCZ6:FDN6"/>
    <mergeCell ref="FDO6:FEC6"/>
    <mergeCell ref="FED6:FER6"/>
    <mergeCell ref="FES6:FFG6"/>
    <mergeCell ref="FFH6:FFV6"/>
    <mergeCell ref="FAC6:FAQ6"/>
    <mergeCell ref="FAR6:FBF6"/>
    <mergeCell ref="FBG6:FBU6"/>
    <mergeCell ref="FBV6:FCJ6"/>
    <mergeCell ref="FCK6:FCY6"/>
    <mergeCell ref="EXF6:EXT6"/>
    <mergeCell ref="EXU6:EYI6"/>
    <mergeCell ref="EYJ6:EYX6"/>
    <mergeCell ref="EYY6:EZM6"/>
    <mergeCell ref="EZN6:FAB6"/>
    <mergeCell ref="EUI6:EUW6"/>
    <mergeCell ref="EUX6:EVL6"/>
    <mergeCell ref="EVM6:EWA6"/>
    <mergeCell ref="EWB6:EWP6"/>
    <mergeCell ref="EWQ6:EXE6"/>
    <mergeCell ref="FON6:FPB6"/>
    <mergeCell ref="FPC6:FPQ6"/>
    <mergeCell ref="FPR6:FQF6"/>
    <mergeCell ref="FQG6:FQU6"/>
    <mergeCell ref="FQV6:FRJ6"/>
    <mergeCell ref="FLQ6:FME6"/>
    <mergeCell ref="FMF6:FMT6"/>
    <mergeCell ref="FMU6:FNI6"/>
    <mergeCell ref="FNJ6:FNX6"/>
    <mergeCell ref="FNY6:FOM6"/>
    <mergeCell ref="FIT6:FJH6"/>
    <mergeCell ref="FJI6:FJW6"/>
    <mergeCell ref="FJX6:FKL6"/>
    <mergeCell ref="FKM6:FLA6"/>
    <mergeCell ref="FLB6:FLP6"/>
    <mergeCell ref="FFW6:FGK6"/>
    <mergeCell ref="FGL6:FGZ6"/>
    <mergeCell ref="FHA6:FHO6"/>
    <mergeCell ref="FHP6:FID6"/>
    <mergeCell ref="FIE6:FIS6"/>
    <mergeCell ref="GAB6:GAP6"/>
    <mergeCell ref="GAQ6:GBE6"/>
    <mergeCell ref="GBF6:GBT6"/>
    <mergeCell ref="GBU6:GCI6"/>
    <mergeCell ref="GCJ6:GCX6"/>
    <mergeCell ref="FXE6:FXS6"/>
    <mergeCell ref="FXT6:FYH6"/>
    <mergeCell ref="FYI6:FYW6"/>
    <mergeCell ref="FYX6:FZL6"/>
    <mergeCell ref="FZM6:GAA6"/>
    <mergeCell ref="FUH6:FUV6"/>
    <mergeCell ref="FUW6:FVK6"/>
    <mergeCell ref="FVL6:FVZ6"/>
    <mergeCell ref="FWA6:FWO6"/>
    <mergeCell ref="FWP6:FXD6"/>
    <mergeCell ref="FRK6:FRY6"/>
    <mergeCell ref="FRZ6:FSN6"/>
    <mergeCell ref="FSO6:FTC6"/>
    <mergeCell ref="FTD6:FTR6"/>
    <mergeCell ref="FTS6:FUG6"/>
    <mergeCell ref="GLP6:GMD6"/>
    <mergeCell ref="GME6:GMS6"/>
    <mergeCell ref="GMT6:GNH6"/>
    <mergeCell ref="GNI6:GNW6"/>
    <mergeCell ref="GNX6:GOL6"/>
    <mergeCell ref="GIS6:GJG6"/>
    <mergeCell ref="GJH6:GJV6"/>
    <mergeCell ref="GJW6:GKK6"/>
    <mergeCell ref="GKL6:GKZ6"/>
    <mergeCell ref="GLA6:GLO6"/>
    <mergeCell ref="GFV6:GGJ6"/>
    <mergeCell ref="GGK6:GGY6"/>
    <mergeCell ref="GGZ6:GHN6"/>
    <mergeCell ref="GHO6:GIC6"/>
    <mergeCell ref="GID6:GIR6"/>
    <mergeCell ref="GCY6:GDM6"/>
    <mergeCell ref="GDN6:GEB6"/>
    <mergeCell ref="GEC6:GEQ6"/>
    <mergeCell ref="GER6:GFF6"/>
    <mergeCell ref="GFG6:GFU6"/>
    <mergeCell ref="GXD6:GXR6"/>
    <mergeCell ref="GXS6:GYG6"/>
    <mergeCell ref="GYH6:GYV6"/>
    <mergeCell ref="GYW6:GZK6"/>
    <mergeCell ref="GZL6:GZZ6"/>
    <mergeCell ref="GUG6:GUU6"/>
    <mergeCell ref="GUV6:GVJ6"/>
    <mergeCell ref="GVK6:GVY6"/>
    <mergeCell ref="GVZ6:GWN6"/>
    <mergeCell ref="GWO6:GXC6"/>
    <mergeCell ref="GRJ6:GRX6"/>
    <mergeCell ref="GRY6:GSM6"/>
    <mergeCell ref="GSN6:GTB6"/>
    <mergeCell ref="GTC6:GTQ6"/>
    <mergeCell ref="GTR6:GUF6"/>
    <mergeCell ref="GOM6:GPA6"/>
    <mergeCell ref="GPB6:GPP6"/>
    <mergeCell ref="GPQ6:GQE6"/>
    <mergeCell ref="GQF6:GQT6"/>
    <mergeCell ref="GQU6:GRI6"/>
    <mergeCell ref="HIR6:HJF6"/>
    <mergeCell ref="HJG6:HJU6"/>
    <mergeCell ref="HJV6:HKJ6"/>
    <mergeCell ref="HKK6:HKY6"/>
    <mergeCell ref="HKZ6:HLN6"/>
    <mergeCell ref="HFU6:HGI6"/>
    <mergeCell ref="HGJ6:HGX6"/>
    <mergeCell ref="HGY6:HHM6"/>
    <mergeCell ref="HHN6:HIB6"/>
    <mergeCell ref="HIC6:HIQ6"/>
    <mergeCell ref="HCX6:HDL6"/>
    <mergeCell ref="HDM6:HEA6"/>
    <mergeCell ref="HEB6:HEP6"/>
    <mergeCell ref="HEQ6:HFE6"/>
    <mergeCell ref="HFF6:HFT6"/>
    <mergeCell ref="HAA6:HAO6"/>
    <mergeCell ref="HAP6:HBD6"/>
    <mergeCell ref="HBE6:HBS6"/>
    <mergeCell ref="HBT6:HCH6"/>
    <mergeCell ref="HCI6:HCW6"/>
    <mergeCell ref="HUF6:HUT6"/>
    <mergeCell ref="HUU6:HVI6"/>
    <mergeCell ref="HVJ6:HVX6"/>
    <mergeCell ref="HVY6:HWM6"/>
    <mergeCell ref="HWN6:HXB6"/>
    <mergeCell ref="HRI6:HRW6"/>
    <mergeCell ref="HRX6:HSL6"/>
    <mergeCell ref="HSM6:HTA6"/>
    <mergeCell ref="HTB6:HTP6"/>
    <mergeCell ref="HTQ6:HUE6"/>
    <mergeCell ref="HOL6:HOZ6"/>
    <mergeCell ref="HPA6:HPO6"/>
    <mergeCell ref="HPP6:HQD6"/>
    <mergeCell ref="HQE6:HQS6"/>
    <mergeCell ref="HQT6:HRH6"/>
    <mergeCell ref="HLO6:HMC6"/>
    <mergeCell ref="HMD6:HMR6"/>
    <mergeCell ref="HMS6:HNG6"/>
    <mergeCell ref="HNH6:HNV6"/>
    <mergeCell ref="HNW6:HOK6"/>
    <mergeCell ref="IFT6:IGH6"/>
    <mergeCell ref="IGI6:IGW6"/>
    <mergeCell ref="IGX6:IHL6"/>
    <mergeCell ref="IHM6:IIA6"/>
    <mergeCell ref="IIB6:IIP6"/>
    <mergeCell ref="ICW6:IDK6"/>
    <mergeCell ref="IDL6:IDZ6"/>
    <mergeCell ref="IEA6:IEO6"/>
    <mergeCell ref="IEP6:IFD6"/>
    <mergeCell ref="IFE6:IFS6"/>
    <mergeCell ref="HZZ6:IAN6"/>
    <mergeCell ref="IAO6:IBC6"/>
    <mergeCell ref="IBD6:IBR6"/>
    <mergeCell ref="IBS6:ICG6"/>
    <mergeCell ref="ICH6:ICV6"/>
    <mergeCell ref="HXC6:HXQ6"/>
    <mergeCell ref="HXR6:HYF6"/>
    <mergeCell ref="HYG6:HYU6"/>
    <mergeCell ref="HYV6:HZJ6"/>
    <mergeCell ref="HZK6:HZY6"/>
    <mergeCell ref="IRH6:IRV6"/>
    <mergeCell ref="IRW6:ISK6"/>
    <mergeCell ref="ISL6:ISZ6"/>
    <mergeCell ref="ITA6:ITO6"/>
    <mergeCell ref="ITP6:IUD6"/>
    <mergeCell ref="IOK6:IOY6"/>
    <mergeCell ref="IOZ6:IPN6"/>
    <mergeCell ref="IPO6:IQC6"/>
    <mergeCell ref="IQD6:IQR6"/>
    <mergeCell ref="IQS6:IRG6"/>
    <mergeCell ref="ILN6:IMB6"/>
    <mergeCell ref="IMC6:IMQ6"/>
    <mergeCell ref="IMR6:INF6"/>
    <mergeCell ref="ING6:INU6"/>
    <mergeCell ref="INV6:IOJ6"/>
    <mergeCell ref="IIQ6:IJE6"/>
    <mergeCell ref="IJF6:IJT6"/>
    <mergeCell ref="IJU6:IKI6"/>
    <mergeCell ref="IKJ6:IKX6"/>
    <mergeCell ref="IKY6:ILM6"/>
    <mergeCell ref="JCV6:JDJ6"/>
    <mergeCell ref="JDK6:JDY6"/>
    <mergeCell ref="JDZ6:JEN6"/>
    <mergeCell ref="JEO6:JFC6"/>
    <mergeCell ref="JFD6:JFR6"/>
    <mergeCell ref="IZY6:JAM6"/>
    <mergeCell ref="JAN6:JBB6"/>
    <mergeCell ref="JBC6:JBQ6"/>
    <mergeCell ref="JBR6:JCF6"/>
    <mergeCell ref="JCG6:JCU6"/>
    <mergeCell ref="IXB6:IXP6"/>
    <mergeCell ref="IXQ6:IYE6"/>
    <mergeCell ref="IYF6:IYT6"/>
    <mergeCell ref="IYU6:IZI6"/>
    <mergeCell ref="IZJ6:IZX6"/>
    <mergeCell ref="IUE6:IUS6"/>
    <mergeCell ref="IUT6:IVH6"/>
    <mergeCell ref="IVI6:IVW6"/>
    <mergeCell ref="IVX6:IWL6"/>
    <mergeCell ref="IWM6:IXA6"/>
    <mergeCell ref="JOJ6:JOX6"/>
    <mergeCell ref="JOY6:JPM6"/>
    <mergeCell ref="JPN6:JQB6"/>
    <mergeCell ref="JQC6:JQQ6"/>
    <mergeCell ref="JQR6:JRF6"/>
    <mergeCell ref="JLM6:JMA6"/>
    <mergeCell ref="JMB6:JMP6"/>
    <mergeCell ref="JMQ6:JNE6"/>
    <mergeCell ref="JNF6:JNT6"/>
    <mergeCell ref="JNU6:JOI6"/>
    <mergeCell ref="JIP6:JJD6"/>
    <mergeCell ref="JJE6:JJS6"/>
    <mergeCell ref="JJT6:JKH6"/>
    <mergeCell ref="JKI6:JKW6"/>
    <mergeCell ref="JKX6:JLL6"/>
    <mergeCell ref="JFS6:JGG6"/>
    <mergeCell ref="JGH6:JGV6"/>
    <mergeCell ref="JGW6:JHK6"/>
    <mergeCell ref="JHL6:JHZ6"/>
    <mergeCell ref="JIA6:JIO6"/>
    <mergeCell ref="JZX6:KAL6"/>
    <mergeCell ref="KAM6:KBA6"/>
    <mergeCell ref="KBB6:KBP6"/>
    <mergeCell ref="KBQ6:KCE6"/>
    <mergeCell ref="KCF6:KCT6"/>
    <mergeCell ref="JXA6:JXO6"/>
    <mergeCell ref="JXP6:JYD6"/>
    <mergeCell ref="JYE6:JYS6"/>
    <mergeCell ref="JYT6:JZH6"/>
    <mergeCell ref="JZI6:JZW6"/>
    <mergeCell ref="JUD6:JUR6"/>
    <mergeCell ref="JUS6:JVG6"/>
    <mergeCell ref="JVH6:JVV6"/>
    <mergeCell ref="JVW6:JWK6"/>
    <mergeCell ref="JWL6:JWZ6"/>
    <mergeCell ref="JRG6:JRU6"/>
    <mergeCell ref="JRV6:JSJ6"/>
    <mergeCell ref="JSK6:JSY6"/>
    <mergeCell ref="JSZ6:JTN6"/>
    <mergeCell ref="JTO6:JUC6"/>
    <mergeCell ref="KLL6:KLZ6"/>
    <mergeCell ref="KMA6:KMO6"/>
    <mergeCell ref="KMP6:KND6"/>
    <mergeCell ref="KNE6:KNS6"/>
    <mergeCell ref="KNT6:KOH6"/>
    <mergeCell ref="KIO6:KJC6"/>
    <mergeCell ref="KJD6:KJR6"/>
    <mergeCell ref="KJS6:KKG6"/>
    <mergeCell ref="KKH6:KKV6"/>
    <mergeCell ref="KKW6:KLK6"/>
    <mergeCell ref="KFR6:KGF6"/>
    <mergeCell ref="KGG6:KGU6"/>
    <mergeCell ref="KGV6:KHJ6"/>
    <mergeCell ref="KHK6:KHY6"/>
    <mergeCell ref="KHZ6:KIN6"/>
    <mergeCell ref="KCU6:KDI6"/>
    <mergeCell ref="KDJ6:KDX6"/>
    <mergeCell ref="KDY6:KEM6"/>
    <mergeCell ref="KEN6:KFB6"/>
    <mergeCell ref="KFC6:KFQ6"/>
    <mergeCell ref="KWZ6:KXN6"/>
    <mergeCell ref="KXO6:KYC6"/>
    <mergeCell ref="KYD6:KYR6"/>
    <mergeCell ref="KYS6:KZG6"/>
    <mergeCell ref="KZH6:KZV6"/>
    <mergeCell ref="KUC6:KUQ6"/>
    <mergeCell ref="KUR6:KVF6"/>
    <mergeCell ref="KVG6:KVU6"/>
    <mergeCell ref="KVV6:KWJ6"/>
    <mergeCell ref="KWK6:KWY6"/>
    <mergeCell ref="KRF6:KRT6"/>
    <mergeCell ref="KRU6:KSI6"/>
    <mergeCell ref="KSJ6:KSX6"/>
    <mergeCell ref="KSY6:KTM6"/>
    <mergeCell ref="KTN6:KUB6"/>
    <mergeCell ref="KOI6:KOW6"/>
    <mergeCell ref="KOX6:KPL6"/>
    <mergeCell ref="KPM6:KQA6"/>
    <mergeCell ref="KQB6:KQP6"/>
    <mergeCell ref="KQQ6:KRE6"/>
    <mergeCell ref="LIN6:LJB6"/>
    <mergeCell ref="LJC6:LJQ6"/>
    <mergeCell ref="LJR6:LKF6"/>
    <mergeCell ref="LKG6:LKU6"/>
    <mergeCell ref="LKV6:LLJ6"/>
    <mergeCell ref="LFQ6:LGE6"/>
    <mergeCell ref="LGF6:LGT6"/>
    <mergeCell ref="LGU6:LHI6"/>
    <mergeCell ref="LHJ6:LHX6"/>
    <mergeCell ref="LHY6:LIM6"/>
    <mergeCell ref="LCT6:LDH6"/>
    <mergeCell ref="LDI6:LDW6"/>
    <mergeCell ref="LDX6:LEL6"/>
    <mergeCell ref="LEM6:LFA6"/>
    <mergeCell ref="LFB6:LFP6"/>
    <mergeCell ref="KZW6:LAK6"/>
    <mergeCell ref="LAL6:LAZ6"/>
    <mergeCell ref="LBA6:LBO6"/>
    <mergeCell ref="LBP6:LCD6"/>
    <mergeCell ref="LCE6:LCS6"/>
    <mergeCell ref="LUB6:LUP6"/>
    <mergeCell ref="LUQ6:LVE6"/>
    <mergeCell ref="LVF6:LVT6"/>
    <mergeCell ref="LVU6:LWI6"/>
    <mergeCell ref="LWJ6:LWX6"/>
    <mergeCell ref="LRE6:LRS6"/>
    <mergeCell ref="LRT6:LSH6"/>
    <mergeCell ref="LSI6:LSW6"/>
    <mergeCell ref="LSX6:LTL6"/>
    <mergeCell ref="LTM6:LUA6"/>
    <mergeCell ref="LOH6:LOV6"/>
    <mergeCell ref="LOW6:LPK6"/>
    <mergeCell ref="LPL6:LPZ6"/>
    <mergeCell ref="LQA6:LQO6"/>
    <mergeCell ref="LQP6:LRD6"/>
    <mergeCell ref="LLK6:LLY6"/>
    <mergeCell ref="LLZ6:LMN6"/>
    <mergeCell ref="LMO6:LNC6"/>
    <mergeCell ref="LND6:LNR6"/>
    <mergeCell ref="LNS6:LOG6"/>
    <mergeCell ref="MFP6:MGD6"/>
    <mergeCell ref="MGE6:MGS6"/>
    <mergeCell ref="MGT6:MHH6"/>
    <mergeCell ref="MHI6:MHW6"/>
    <mergeCell ref="MHX6:MIL6"/>
    <mergeCell ref="MCS6:MDG6"/>
    <mergeCell ref="MDH6:MDV6"/>
    <mergeCell ref="MDW6:MEK6"/>
    <mergeCell ref="MEL6:MEZ6"/>
    <mergeCell ref="MFA6:MFO6"/>
    <mergeCell ref="LZV6:MAJ6"/>
    <mergeCell ref="MAK6:MAY6"/>
    <mergeCell ref="MAZ6:MBN6"/>
    <mergeCell ref="MBO6:MCC6"/>
    <mergeCell ref="MCD6:MCR6"/>
    <mergeCell ref="LWY6:LXM6"/>
    <mergeCell ref="LXN6:LYB6"/>
    <mergeCell ref="LYC6:LYQ6"/>
    <mergeCell ref="LYR6:LZF6"/>
    <mergeCell ref="LZG6:LZU6"/>
    <mergeCell ref="MRD6:MRR6"/>
    <mergeCell ref="MRS6:MSG6"/>
    <mergeCell ref="MSH6:MSV6"/>
    <mergeCell ref="MSW6:MTK6"/>
    <mergeCell ref="MTL6:MTZ6"/>
    <mergeCell ref="MOG6:MOU6"/>
    <mergeCell ref="MOV6:MPJ6"/>
    <mergeCell ref="MPK6:MPY6"/>
    <mergeCell ref="MPZ6:MQN6"/>
    <mergeCell ref="MQO6:MRC6"/>
    <mergeCell ref="MLJ6:MLX6"/>
    <mergeCell ref="MLY6:MMM6"/>
    <mergeCell ref="MMN6:MNB6"/>
    <mergeCell ref="MNC6:MNQ6"/>
    <mergeCell ref="MNR6:MOF6"/>
    <mergeCell ref="MIM6:MJA6"/>
    <mergeCell ref="MJB6:MJP6"/>
    <mergeCell ref="MJQ6:MKE6"/>
    <mergeCell ref="MKF6:MKT6"/>
    <mergeCell ref="MKU6:MLI6"/>
    <mergeCell ref="NCR6:NDF6"/>
    <mergeCell ref="NDG6:NDU6"/>
    <mergeCell ref="NDV6:NEJ6"/>
    <mergeCell ref="NEK6:NEY6"/>
    <mergeCell ref="NEZ6:NFN6"/>
    <mergeCell ref="MZU6:NAI6"/>
    <mergeCell ref="NAJ6:NAX6"/>
    <mergeCell ref="NAY6:NBM6"/>
    <mergeCell ref="NBN6:NCB6"/>
    <mergeCell ref="NCC6:NCQ6"/>
    <mergeCell ref="MWX6:MXL6"/>
    <mergeCell ref="MXM6:MYA6"/>
    <mergeCell ref="MYB6:MYP6"/>
    <mergeCell ref="MYQ6:MZE6"/>
    <mergeCell ref="MZF6:MZT6"/>
    <mergeCell ref="MUA6:MUO6"/>
    <mergeCell ref="MUP6:MVD6"/>
    <mergeCell ref="MVE6:MVS6"/>
    <mergeCell ref="MVT6:MWH6"/>
    <mergeCell ref="MWI6:MWW6"/>
    <mergeCell ref="NOF6:NOT6"/>
    <mergeCell ref="NOU6:NPI6"/>
    <mergeCell ref="NPJ6:NPX6"/>
    <mergeCell ref="NPY6:NQM6"/>
    <mergeCell ref="NQN6:NRB6"/>
    <mergeCell ref="NLI6:NLW6"/>
    <mergeCell ref="NLX6:NML6"/>
    <mergeCell ref="NMM6:NNA6"/>
    <mergeCell ref="NNB6:NNP6"/>
    <mergeCell ref="NNQ6:NOE6"/>
    <mergeCell ref="NIL6:NIZ6"/>
    <mergeCell ref="NJA6:NJO6"/>
    <mergeCell ref="NJP6:NKD6"/>
    <mergeCell ref="NKE6:NKS6"/>
    <mergeCell ref="NKT6:NLH6"/>
    <mergeCell ref="NFO6:NGC6"/>
    <mergeCell ref="NGD6:NGR6"/>
    <mergeCell ref="NGS6:NHG6"/>
    <mergeCell ref="NHH6:NHV6"/>
    <mergeCell ref="NHW6:NIK6"/>
    <mergeCell ref="NZT6:OAH6"/>
    <mergeCell ref="OAI6:OAW6"/>
    <mergeCell ref="OAX6:OBL6"/>
    <mergeCell ref="OBM6:OCA6"/>
    <mergeCell ref="OCB6:OCP6"/>
    <mergeCell ref="NWW6:NXK6"/>
    <mergeCell ref="NXL6:NXZ6"/>
    <mergeCell ref="NYA6:NYO6"/>
    <mergeCell ref="NYP6:NZD6"/>
    <mergeCell ref="NZE6:NZS6"/>
    <mergeCell ref="NTZ6:NUN6"/>
    <mergeCell ref="NUO6:NVC6"/>
    <mergeCell ref="NVD6:NVR6"/>
    <mergeCell ref="NVS6:NWG6"/>
    <mergeCell ref="NWH6:NWV6"/>
    <mergeCell ref="NRC6:NRQ6"/>
    <mergeCell ref="NRR6:NSF6"/>
    <mergeCell ref="NSG6:NSU6"/>
    <mergeCell ref="NSV6:NTJ6"/>
    <mergeCell ref="NTK6:NTY6"/>
    <mergeCell ref="OLH6:OLV6"/>
    <mergeCell ref="OLW6:OMK6"/>
    <mergeCell ref="OML6:OMZ6"/>
    <mergeCell ref="ONA6:ONO6"/>
    <mergeCell ref="ONP6:OOD6"/>
    <mergeCell ref="OIK6:OIY6"/>
    <mergeCell ref="OIZ6:OJN6"/>
    <mergeCell ref="OJO6:OKC6"/>
    <mergeCell ref="OKD6:OKR6"/>
    <mergeCell ref="OKS6:OLG6"/>
    <mergeCell ref="OFN6:OGB6"/>
    <mergeCell ref="OGC6:OGQ6"/>
    <mergeCell ref="OGR6:OHF6"/>
    <mergeCell ref="OHG6:OHU6"/>
    <mergeCell ref="OHV6:OIJ6"/>
    <mergeCell ref="OCQ6:ODE6"/>
    <mergeCell ref="ODF6:ODT6"/>
    <mergeCell ref="ODU6:OEI6"/>
    <mergeCell ref="OEJ6:OEX6"/>
    <mergeCell ref="OEY6:OFM6"/>
    <mergeCell ref="OWV6:OXJ6"/>
    <mergeCell ref="OXK6:OXY6"/>
    <mergeCell ref="OXZ6:OYN6"/>
    <mergeCell ref="OYO6:OZC6"/>
    <mergeCell ref="OZD6:OZR6"/>
    <mergeCell ref="OTY6:OUM6"/>
    <mergeCell ref="OUN6:OVB6"/>
    <mergeCell ref="OVC6:OVQ6"/>
    <mergeCell ref="OVR6:OWF6"/>
    <mergeCell ref="OWG6:OWU6"/>
    <mergeCell ref="ORB6:ORP6"/>
    <mergeCell ref="ORQ6:OSE6"/>
    <mergeCell ref="OSF6:OST6"/>
    <mergeCell ref="OSU6:OTI6"/>
    <mergeCell ref="OTJ6:OTX6"/>
    <mergeCell ref="OOE6:OOS6"/>
    <mergeCell ref="OOT6:OPH6"/>
    <mergeCell ref="OPI6:OPW6"/>
    <mergeCell ref="OPX6:OQL6"/>
    <mergeCell ref="OQM6:ORA6"/>
    <mergeCell ref="PIJ6:PIX6"/>
    <mergeCell ref="PIY6:PJM6"/>
    <mergeCell ref="PJN6:PKB6"/>
    <mergeCell ref="PKC6:PKQ6"/>
    <mergeCell ref="PKR6:PLF6"/>
    <mergeCell ref="PFM6:PGA6"/>
    <mergeCell ref="PGB6:PGP6"/>
    <mergeCell ref="PGQ6:PHE6"/>
    <mergeCell ref="PHF6:PHT6"/>
    <mergeCell ref="PHU6:PII6"/>
    <mergeCell ref="PCP6:PDD6"/>
    <mergeCell ref="PDE6:PDS6"/>
    <mergeCell ref="PDT6:PEH6"/>
    <mergeCell ref="PEI6:PEW6"/>
    <mergeCell ref="PEX6:PFL6"/>
    <mergeCell ref="OZS6:PAG6"/>
    <mergeCell ref="PAH6:PAV6"/>
    <mergeCell ref="PAW6:PBK6"/>
    <mergeCell ref="PBL6:PBZ6"/>
    <mergeCell ref="PCA6:PCO6"/>
    <mergeCell ref="PTX6:PUL6"/>
    <mergeCell ref="PUM6:PVA6"/>
    <mergeCell ref="PVB6:PVP6"/>
    <mergeCell ref="PVQ6:PWE6"/>
    <mergeCell ref="PWF6:PWT6"/>
    <mergeCell ref="PRA6:PRO6"/>
    <mergeCell ref="PRP6:PSD6"/>
    <mergeCell ref="PSE6:PSS6"/>
    <mergeCell ref="PST6:PTH6"/>
    <mergeCell ref="PTI6:PTW6"/>
    <mergeCell ref="POD6:POR6"/>
    <mergeCell ref="POS6:PPG6"/>
    <mergeCell ref="PPH6:PPV6"/>
    <mergeCell ref="PPW6:PQK6"/>
    <mergeCell ref="PQL6:PQZ6"/>
    <mergeCell ref="PLG6:PLU6"/>
    <mergeCell ref="PLV6:PMJ6"/>
    <mergeCell ref="PMK6:PMY6"/>
    <mergeCell ref="PMZ6:PNN6"/>
    <mergeCell ref="PNO6:POC6"/>
    <mergeCell ref="QFL6:QFZ6"/>
    <mergeCell ref="QGA6:QGO6"/>
    <mergeCell ref="QGP6:QHD6"/>
    <mergeCell ref="QHE6:QHS6"/>
    <mergeCell ref="QHT6:QIH6"/>
    <mergeCell ref="QCO6:QDC6"/>
    <mergeCell ref="QDD6:QDR6"/>
    <mergeCell ref="QDS6:QEG6"/>
    <mergeCell ref="QEH6:QEV6"/>
    <mergeCell ref="QEW6:QFK6"/>
    <mergeCell ref="PZR6:QAF6"/>
    <mergeCell ref="QAG6:QAU6"/>
    <mergeCell ref="QAV6:QBJ6"/>
    <mergeCell ref="QBK6:QBY6"/>
    <mergeCell ref="QBZ6:QCN6"/>
    <mergeCell ref="PWU6:PXI6"/>
    <mergeCell ref="PXJ6:PXX6"/>
    <mergeCell ref="PXY6:PYM6"/>
    <mergeCell ref="PYN6:PZB6"/>
    <mergeCell ref="PZC6:PZQ6"/>
    <mergeCell ref="QQZ6:QRN6"/>
    <mergeCell ref="QRO6:QSC6"/>
    <mergeCell ref="QSD6:QSR6"/>
    <mergeCell ref="QSS6:QTG6"/>
    <mergeCell ref="QTH6:QTV6"/>
    <mergeCell ref="QOC6:QOQ6"/>
    <mergeCell ref="QOR6:QPF6"/>
    <mergeCell ref="QPG6:QPU6"/>
    <mergeCell ref="QPV6:QQJ6"/>
    <mergeCell ref="QQK6:QQY6"/>
    <mergeCell ref="QLF6:QLT6"/>
    <mergeCell ref="QLU6:QMI6"/>
    <mergeCell ref="QMJ6:QMX6"/>
    <mergeCell ref="QMY6:QNM6"/>
    <mergeCell ref="QNN6:QOB6"/>
    <mergeCell ref="QII6:QIW6"/>
    <mergeCell ref="QIX6:QJL6"/>
    <mergeCell ref="QJM6:QKA6"/>
    <mergeCell ref="QKB6:QKP6"/>
    <mergeCell ref="QKQ6:QLE6"/>
    <mergeCell ref="RCN6:RDB6"/>
    <mergeCell ref="RDC6:RDQ6"/>
    <mergeCell ref="RDR6:REF6"/>
    <mergeCell ref="REG6:REU6"/>
    <mergeCell ref="REV6:RFJ6"/>
    <mergeCell ref="QZQ6:RAE6"/>
    <mergeCell ref="RAF6:RAT6"/>
    <mergeCell ref="RAU6:RBI6"/>
    <mergeCell ref="RBJ6:RBX6"/>
    <mergeCell ref="RBY6:RCM6"/>
    <mergeCell ref="QWT6:QXH6"/>
    <mergeCell ref="QXI6:QXW6"/>
    <mergeCell ref="QXX6:QYL6"/>
    <mergeCell ref="QYM6:QZA6"/>
    <mergeCell ref="QZB6:QZP6"/>
    <mergeCell ref="QTW6:QUK6"/>
    <mergeCell ref="QUL6:QUZ6"/>
    <mergeCell ref="QVA6:QVO6"/>
    <mergeCell ref="QVP6:QWD6"/>
    <mergeCell ref="QWE6:QWS6"/>
    <mergeCell ref="ROB6:ROP6"/>
    <mergeCell ref="ROQ6:RPE6"/>
    <mergeCell ref="RPF6:RPT6"/>
    <mergeCell ref="RPU6:RQI6"/>
    <mergeCell ref="RQJ6:RQX6"/>
    <mergeCell ref="RLE6:RLS6"/>
    <mergeCell ref="RLT6:RMH6"/>
    <mergeCell ref="RMI6:RMW6"/>
    <mergeCell ref="RMX6:RNL6"/>
    <mergeCell ref="RNM6:ROA6"/>
    <mergeCell ref="RIH6:RIV6"/>
    <mergeCell ref="RIW6:RJK6"/>
    <mergeCell ref="RJL6:RJZ6"/>
    <mergeCell ref="RKA6:RKO6"/>
    <mergeCell ref="RKP6:RLD6"/>
    <mergeCell ref="RFK6:RFY6"/>
    <mergeCell ref="RFZ6:RGN6"/>
    <mergeCell ref="RGO6:RHC6"/>
    <mergeCell ref="RHD6:RHR6"/>
    <mergeCell ref="RHS6:RIG6"/>
    <mergeCell ref="RZP6:SAD6"/>
    <mergeCell ref="SAE6:SAS6"/>
    <mergeCell ref="SAT6:SBH6"/>
    <mergeCell ref="SBI6:SBW6"/>
    <mergeCell ref="SBX6:SCL6"/>
    <mergeCell ref="RWS6:RXG6"/>
    <mergeCell ref="RXH6:RXV6"/>
    <mergeCell ref="RXW6:RYK6"/>
    <mergeCell ref="RYL6:RYZ6"/>
    <mergeCell ref="RZA6:RZO6"/>
    <mergeCell ref="RTV6:RUJ6"/>
    <mergeCell ref="RUK6:RUY6"/>
    <mergeCell ref="RUZ6:RVN6"/>
    <mergeCell ref="RVO6:RWC6"/>
    <mergeCell ref="RWD6:RWR6"/>
    <mergeCell ref="RQY6:RRM6"/>
    <mergeCell ref="RRN6:RSB6"/>
    <mergeCell ref="RSC6:RSQ6"/>
    <mergeCell ref="RSR6:RTF6"/>
    <mergeCell ref="RTG6:RTU6"/>
    <mergeCell ref="SLD6:SLR6"/>
    <mergeCell ref="SLS6:SMG6"/>
    <mergeCell ref="SMH6:SMV6"/>
    <mergeCell ref="SMW6:SNK6"/>
    <mergeCell ref="SNL6:SNZ6"/>
    <mergeCell ref="SIG6:SIU6"/>
    <mergeCell ref="SIV6:SJJ6"/>
    <mergeCell ref="SJK6:SJY6"/>
    <mergeCell ref="SJZ6:SKN6"/>
    <mergeCell ref="SKO6:SLC6"/>
    <mergeCell ref="SFJ6:SFX6"/>
    <mergeCell ref="SFY6:SGM6"/>
    <mergeCell ref="SGN6:SHB6"/>
    <mergeCell ref="SHC6:SHQ6"/>
    <mergeCell ref="SHR6:SIF6"/>
    <mergeCell ref="SCM6:SDA6"/>
    <mergeCell ref="SDB6:SDP6"/>
    <mergeCell ref="SDQ6:SEE6"/>
    <mergeCell ref="SEF6:SET6"/>
    <mergeCell ref="SEU6:SFI6"/>
    <mergeCell ref="SWR6:SXF6"/>
    <mergeCell ref="SXG6:SXU6"/>
    <mergeCell ref="SXV6:SYJ6"/>
    <mergeCell ref="SYK6:SYY6"/>
    <mergeCell ref="SYZ6:SZN6"/>
    <mergeCell ref="STU6:SUI6"/>
    <mergeCell ref="SUJ6:SUX6"/>
    <mergeCell ref="SUY6:SVM6"/>
    <mergeCell ref="SVN6:SWB6"/>
    <mergeCell ref="SWC6:SWQ6"/>
    <mergeCell ref="SQX6:SRL6"/>
    <mergeCell ref="SRM6:SSA6"/>
    <mergeCell ref="SSB6:SSP6"/>
    <mergeCell ref="SSQ6:STE6"/>
    <mergeCell ref="STF6:STT6"/>
    <mergeCell ref="SOA6:SOO6"/>
    <mergeCell ref="SOP6:SPD6"/>
    <mergeCell ref="SPE6:SPS6"/>
    <mergeCell ref="SPT6:SQH6"/>
    <mergeCell ref="SQI6:SQW6"/>
    <mergeCell ref="TIF6:TIT6"/>
    <mergeCell ref="TIU6:TJI6"/>
    <mergeCell ref="TJJ6:TJX6"/>
    <mergeCell ref="TJY6:TKM6"/>
    <mergeCell ref="TKN6:TLB6"/>
    <mergeCell ref="TFI6:TFW6"/>
    <mergeCell ref="TFX6:TGL6"/>
    <mergeCell ref="TGM6:THA6"/>
    <mergeCell ref="THB6:THP6"/>
    <mergeCell ref="THQ6:TIE6"/>
    <mergeCell ref="TCL6:TCZ6"/>
    <mergeCell ref="TDA6:TDO6"/>
    <mergeCell ref="TDP6:TED6"/>
    <mergeCell ref="TEE6:TES6"/>
    <mergeCell ref="TET6:TFH6"/>
    <mergeCell ref="SZO6:TAC6"/>
    <mergeCell ref="TAD6:TAR6"/>
    <mergeCell ref="TAS6:TBG6"/>
    <mergeCell ref="TBH6:TBV6"/>
    <mergeCell ref="TBW6:TCK6"/>
    <mergeCell ref="TTT6:TUH6"/>
    <mergeCell ref="TUI6:TUW6"/>
    <mergeCell ref="TUX6:TVL6"/>
    <mergeCell ref="TVM6:TWA6"/>
    <mergeCell ref="TWB6:TWP6"/>
    <mergeCell ref="TQW6:TRK6"/>
    <mergeCell ref="TRL6:TRZ6"/>
    <mergeCell ref="TSA6:TSO6"/>
    <mergeCell ref="TSP6:TTD6"/>
    <mergeCell ref="TTE6:TTS6"/>
    <mergeCell ref="TNZ6:TON6"/>
    <mergeCell ref="TOO6:TPC6"/>
    <mergeCell ref="TPD6:TPR6"/>
    <mergeCell ref="TPS6:TQG6"/>
    <mergeCell ref="TQH6:TQV6"/>
    <mergeCell ref="TLC6:TLQ6"/>
    <mergeCell ref="TLR6:TMF6"/>
    <mergeCell ref="TMG6:TMU6"/>
    <mergeCell ref="TMV6:TNJ6"/>
    <mergeCell ref="TNK6:TNY6"/>
    <mergeCell ref="UFH6:UFV6"/>
    <mergeCell ref="UFW6:UGK6"/>
    <mergeCell ref="UGL6:UGZ6"/>
    <mergeCell ref="UHA6:UHO6"/>
    <mergeCell ref="UHP6:UID6"/>
    <mergeCell ref="UCK6:UCY6"/>
    <mergeCell ref="UCZ6:UDN6"/>
    <mergeCell ref="UDO6:UEC6"/>
    <mergeCell ref="UED6:UER6"/>
    <mergeCell ref="UES6:UFG6"/>
    <mergeCell ref="TZN6:UAB6"/>
    <mergeCell ref="UAC6:UAQ6"/>
    <mergeCell ref="UAR6:UBF6"/>
    <mergeCell ref="UBG6:UBU6"/>
    <mergeCell ref="UBV6:UCJ6"/>
    <mergeCell ref="TWQ6:TXE6"/>
    <mergeCell ref="TXF6:TXT6"/>
    <mergeCell ref="TXU6:TYI6"/>
    <mergeCell ref="TYJ6:TYX6"/>
    <mergeCell ref="TYY6:TZM6"/>
    <mergeCell ref="UQV6:URJ6"/>
    <mergeCell ref="URK6:URY6"/>
    <mergeCell ref="URZ6:USN6"/>
    <mergeCell ref="USO6:UTC6"/>
    <mergeCell ref="UTD6:UTR6"/>
    <mergeCell ref="UNY6:UOM6"/>
    <mergeCell ref="UON6:UPB6"/>
    <mergeCell ref="UPC6:UPQ6"/>
    <mergeCell ref="UPR6:UQF6"/>
    <mergeCell ref="UQG6:UQU6"/>
    <mergeCell ref="ULB6:ULP6"/>
    <mergeCell ref="ULQ6:UME6"/>
    <mergeCell ref="UMF6:UMT6"/>
    <mergeCell ref="UMU6:UNI6"/>
    <mergeCell ref="UNJ6:UNX6"/>
    <mergeCell ref="UIE6:UIS6"/>
    <mergeCell ref="UIT6:UJH6"/>
    <mergeCell ref="UJI6:UJW6"/>
    <mergeCell ref="UJX6:UKL6"/>
    <mergeCell ref="UKM6:ULA6"/>
    <mergeCell ref="VCJ6:VCX6"/>
    <mergeCell ref="VCY6:VDM6"/>
    <mergeCell ref="VDN6:VEB6"/>
    <mergeCell ref="VEC6:VEQ6"/>
    <mergeCell ref="VER6:VFF6"/>
    <mergeCell ref="UZM6:VAA6"/>
    <mergeCell ref="VAB6:VAP6"/>
    <mergeCell ref="VAQ6:VBE6"/>
    <mergeCell ref="VBF6:VBT6"/>
    <mergeCell ref="VBU6:VCI6"/>
    <mergeCell ref="UWP6:UXD6"/>
    <mergeCell ref="UXE6:UXS6"/>
    <mergeCell ref="UXT6:UYH6"/>
    <mergeCell ref="UYI6:UYW6"/>
    <mergeCell ref="UYX6:UZL6"/>
    <mergeCell ref="UTS6:UUG6"/>
    <mergeCell ref="UUH6:UUV6"/>
    <mergeCell ref="UUW6:UVK6"/>
    <mergeCell ref="UVL6:UVZ6"/>
    <mergeCell ref="UWA6:UWO6"/>
    <mergeCell ref="VNX6:VOL6"/>
    <mergeCell ref="VOM6:VPA6"/>
    <mergeCell ref="VPB6:VPP6"/>
    <mergeCell ref="VPQ6:VQE6"/>
    <mergeCell ref="VQF6:VQT6"/>
    <mergeCell ref="VLA6:VLO6"/>
    <mergeCell ref="VLP6:VMD6"/>
    <mergeCell ref="VME6:VMS6"/>
    <mergeCell ref="VMT6:VNH6"/>
    <mergeCell ref="VNI6:VNW6"/>
    <mergeCell ref="VID6:VIR6"/>
    <mergeCell ref="VIS6:VJG6"/>
    <mergeCell ref="VJH6:VJV6"/>
    <mergeCell ref="VJW6:VKK6"/>
    <mergeCell ref="VKL6:VKZ6"/>
    <mergeCell ref="VFG6:VFU6"/>
    <mergeCell ref="VFV6:VGJ6"/>
    <mergeCell ref="VGK6:VGY6"/>
    <mergeCell ref="VGZ6:VHN6"/>
    <mergeCell ref="VHO6:VIC6"/>
    <mergeCell ref="VZL6:VZZ6"/>
    <mergeCell ref="WAA6:WAO6"/>
    <mergeCell ref="WAP6:WBD6"/>
    <mergeCell ref="WBE6:WBS6"/>
    <mergeCell ref="WBT6:WCH6"/>
    <mergeCell ref="VWO6:VXC6"/>
    <mergeCell ref="VXD6:VXR6"/>
    <mergeCell ref="VXS6:VYG6"/>
    <mergeCell ref="VYH6:VYV6"/>
    <mergeCell ref="VYW6:VZK6"/>
    <mergeCell ref="VTR6:VUF6"/>
    <mergeCell ref="VUG6:VUU6"/>
    <mergeCell ref="VUV6:VVJ6"/>
    <mergeCell ref="VVK6:VVY6"/>
    <mergeCell ref="VVZ6:VWN6"/>
    <mergeCell ref="VQU6:VRI6"/>
    <mergeCell ref="VRJ6:VRX6"/>
    <mergeCell ref="VRY6:VSM6"/>
    <mergeCell ref="VSN6:VTB6"/>
    <mergeCell ref="VTC6:VTQ6"/>
    <mergeCell ref="WIC6:WIQ6"/>
    <mergeCell ref="WIR6:WJF6"/>
    <mergeCell ref="WJG6:WJU6"/>
    <mergeCell ref="WJV6:WKJ6"/>
    <mergeCell ref="WKK6:WKY6"/>
    <mergeCell ref="WQT6:WRH6"/>
    <mergeCell ref="WRI6:WRW6"/>
    <mergeCell ref="WRX6:WSL6"/>
    <mergeCell ref="WFF6:WFT6"/>
    <mergeCell ref="WFU6:WGI6"/>
    <mergeCell ref="WGJ6:WGX6"/>
    <mergeCell ref="WGY6:WHM6"/>
    <mergeCell ref="WHN6:WIB6"/>
    <mergeCell ref="WCI6:WCW6"/>
    <mergeCell ref="WCX6:WDL6"/>
    <mergeCell ref="WDM6:WEA6"/>
    <mergeCell ref="WEB6:WEP6"/>
    <mergeCell ref="WEQ6:WFE6"/>
    <mergeCell ref="A27:K27"/>
    <mergeCell ref="WSM6:WTA6"/>
    <mergeCell ref="WTB6:WTP6"/>
    <mergeCell ref="WNW6:WOK6"/>
    <mergeCell ref="WOL6:WOZ6"/>
    <mergeCell ref="XCH6:XCV6"/>
    <mergeCell ref="XCW6:XDK6"/>
    <mergeCell ref="XDL6:XDZ6"/>
    <mergeCell ref="XEA6:XEF6"/>
    <mergeCell ref="WZK6:WZY6"/>
    <mergeCell ref="WZZ6:XAN6"/>
    <mergeCell ref="XAO6:XBC6"/>
    <mergeCell ref="XBD6:XBR6"/>
    <mergeCell ref="XBS6:XCG6"/>
    <mergeCell ref="WWN6:WXB6"/>
    <mergeCell ref="WXC6:WXQ6"/>
    <mergeCell ref="WXR6:WYF6"/>
    <mergeCell ref="WYG6:WYU6"/>
    <mergeCell ref="WYV6:WZJ6"/>
    <mergeCell ref="WTQ6:WUE6"/>
    <mergeCell ref="WUF6:WUT6"/>
    <mergeCell ref="WUU6:WVI6"/>
    <mergeCell ref="WVJ6:WVX6"/>
    <mergeCell ref="WVY6:WWM6"/>
    <mergeCell ref="WPA6:WPO6"/>
    <mergeCell ref="WPP6:WQD6"/>
    <mergeCell ref="WQE6:WQS6"/>
    <mergeCell ref="WKZ6:WLN6"/>
    <mergeCell ref="WLO6:WMC6"/>
    <mergeCell ref="WMD6:WMR6"/>
    <mergeCell ref="WMS6:WNG6"/>
    <mergeCell ref="WNH6:WNV6"/>
  </mergeCells>
  <pageMargins left="0.7" right="0.7" top="0.75" bottom="0.75" header="0.3" footer="0.3"/>
  <pageSetup paperSize="17" fitToWidth="0" fitToHeight="0" orientation="landscape" r:id="rId1"/>
  <rowBreaks count="2" manualBreakCount="2">
    <brk id="40" max="22" man="1"/>
    <brk id="127"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0"/>
  <dimension ref="A1:IR33"/>
  <sheetViews>
    <sheetView showOutlineSymbols="0" zoomScale="85" zoomScaleNormal="85" workbookViewId="0">
      <pane xSplit="2" ySplit="2" topLeftCell="C3" activePane="bottomRight" state="frozen"/>
      <selection activeCell="C3" sqref="C3:E3"/>
      <selection pane="topRight" activeCell="C3" sqref="C3:E3"/>
      <selection pane="bottomLeft" activeCell="C3" sqref="C3:E3"/>
      <selection pane="bottomRight" activeCell="C3" sqref="C3:E3"/>
    </sheetView>
  </sheetViews>
  <sheetFormatPr defaultColWidth="12.44140625" defaultRowHeight="13.2"/>
  <cols>
    <col min="1" max="1" width="9.21875" style="205" bestFit="1" customWidth="1"/>
    <col min="2" max="2" width="29.21875" style="206" bestFit="1" customWidth="1"/>
    <col min="3" max="3" width="9.77734375" style="205" bestFit="1" customWidth="1"/>
    <col min="4" max="4" width="12.21875" style="205" bestFit="1" customWidth="1"/>
    <col min="5" max="5" width="12.21875" style="205" customWidth="1"/>
    <col min="6" max="6" width="13.77734375" style="205" bestFit="1" customWidth="1"/>
    <col min="7" max="8" width="10.77734375" style="205" bestFit="1" customWidth="1"/>
    <col min="9" max="9" width="12.21875" style="205" bestFit="1" customWidth="1"/>
    <col min="10" max="10" width="12.21875" style="205" customWidth="1"/>
    <col min="11" max="11" width="17.5546875" style="205" bestFit="1" customWidth="1"/>
    <col min="12" max="12" width="19.44140625" style="205" bestFit="1" customWidth="1"/>
    <col min="13" max="13" width="17.77734375" style="205" bestFit="1" customWidth="1"/>
    <col min="14" max="14" width="20" style="205" customWidth="1"/>
    <col min="15" max="15" width="19.44140625" style="205" customWidth="1"/>
    <col min="16" max="254" width="12.44140625" style="205"/>
    <col min="255" max="255" width="9.21875" style="205" bestFit="1" customWidth="1"/>
    <col min="256" max="256" width="29.21875" style="205" bestFit="1" customWidth="1"/>
    <col min="257" max="257" width="13.21875" style="205" bestFit="1" customWidth="1"/>
    <col min="258" max="259" width="9.77734375" style="205" bestFit="1" customWidth="1"/>
    <col min="260" max="260" width="12.21875" style="205" bestFit="1" customWidth="1"/>
    <col min="261" max="261" width="13.77734375" style="205" bestFit="1" customWidth="1"/>
    <col min="262" max="263" width="10.77734375" style="205" bestFit="1" customWidth="1"/>
    <col min="264" max="265" width="12.21875" style="205" bestFit="1" customWidth="1"/>
    <col min="266" max="266" width="14.44140625" style="205" bestFit="1" customWidth="1"/>
    <col min="267" max="267" width="16.77734375" style="205" customWidth="1"/>
    <col min="268" max="268" width="17.77734375" style="205" bestFit="1" customWidth="1"/>
    <col min="269" max="269" width="20" style="205" customWidth="1"/>
    <col min="270" max="270" width="17.77734375" style="205" bestFit="1" customWidth="1"/>
    <col min="271" max="271" width="15.44140625" style="205" bestFit="1" customWidth="1"/>
    <col min="272" max="510" width="12.44140625" style="205"/>
    <col min="511" max="511" width="9.21875" style="205" bestFit="1" customWidth="1"/>
    <col min="512" max="512" width="29.21875" style="205" bestFit="1" customWidth="1"/>
    <col min="513" max="513" width="13.21875" style="205" bestFit="1" customWidth="1"/>
    <col min="514" max="515" width="9.77734375" style="205" bestFit="1" customWidth="1"/>
    <col min="516" max="516" width="12.21875" style="205" bestFit="1" customWidth="1"/>
    <col min="517" max="517" width="13.77734375" style="205" bestFit="1" customWidth="1"/>
    <col min="518" max="519" width="10.77734375" style="205" bestFit="1" customWidth="1"/>
    <col min="520" max="521" width="12.21875" style="205" bestFit="1" customWidth="1"/>
    <col min="522" max="522" width="14.44140625" style="205" bestFit="1" customWidth="1"/>
    <col min="523" max="523" width="16.77734375" style="205" customWidth="1"/>
    <col min="524" max="524" width="17.77734375" style="205" bestFit="1" customWidth="1"/>
    <col min="525" max="525" width="20" style="205" customWidth="1"/>
    <col min="526" max="526" width="17.77734375" style="205" bestFit="1" customWidth="1"/>
    <col min="527" max="527" width="15.44140625" style="205" bestFit="1" customWidth="1"/>
    <col min="528" max="766" width="12.44140625" style="205"/>
    <col min="767" max="767" width="9.21875" style="205" bestFit="1" customWidth="1"/>
    <col min="768" max="768" width="29.21875" style="205" bestFit="1" customWidth="1"/>
    <col min="769" max="769" width="13.21875" style="205" bestFit="1" customWidth="1"/>
    <col min="770" max="771" width="9.77734375" style="205" bestFit="1" customWidth="1"/>
    <col min="772" max="772" width="12.21875" style="205" bestFit="1" customWidth="1"/>
    <col min="773" max="773" width="13.77734375" style="205" bestFit="1" customWidth="1"/>
    <col min="774" max="775" width="10.77734375" style="205" bestFit="1" customWidth="1"/>
    <col min="776" max="777" width="12.21875" style="205" bestFit="1" customWidth="1"/>
    <col min="778" max="778" width="14.44140625" style="205" bestFit="1" customWidth="1"/>
    <col min="779" max="779" width="16.77734375" style="205" customWidth="1"/>
    <col min="780" max="780" width="17.77734375" style="205" bestFit="1" customWidth="1"/>
    <col min="781" max="781" width="20" style="205" customWidth="1"/>
    <col min="782" max="782" width="17.77734375" style="205" bestFit="1" customWidth="1"/>
    <col min="783" max="783" width="15.44140625" style="205" bestFit="1" customWidth="1"/>
    <col min="784" max="1022" width="12.44140625" style="205"/>
    <col min="1023" max="1023" width="9.21875" style="205" bestFit="1" customWidth="1"/>
    <col min="1024" max="1024" width="29.21875" style="205" bestFit="1" customWidth="1"/>
    <col min="1025" max="1025" width="13.21875" style="205" bestFit="1" customWidth="1"/>
    <col min="1026" max="1027" width="9.77734375" style="205" bestFit="1" customWidth="1"/>
    <col min="1028" max="1028" width="12.21875" style="205" bestFit="1" customWidth="1"/>
    <col min="1029" max="1029" width="13.77734375" style="205" bestFit="1" customWidth="1"/>
    <col min="1030" max="1031" width="10.77734375" style="205" bestFit="1" customWidth="1"/>
    <col min="1032" max="1033" width="12.21875" style="205" bestFit="1" customWidth="1"/>
    <col min="1034" max="1034" width="14.44140625" style="205" bestFit="1" customWidth="1"/>
    <col min="1035" max="1035" width="16.77734375" style="205" customWidth="1"/>
    <col min="1036" max="1036" width="17.77734375" style="205" bestFit="1" customWidth="1"/>
    <col min="1037" max="1037" width="20" style="205" customWidth="1"/>
    <col min="1038" max="1038" width="17.77734375" style="205" bestFit="1" customWidth="1"/>
    <col min="1039" max="1039" width="15.44140625" style="205" bestFit="1" customWidth="1"/>
    <col min="1040" max="1278" width="12.44140625" style="205"/>
    <col min="1279" max="1279" width="9.21875" style="205" bestFit="1" customWidth="1"/>
    <col min="1280" max="1280" width="29.21875" style="205" bestFit="1" customWidth="1"/>
    <col min="1281" max="1281" width="13.21875" style="205" bestFit="1" customWidth="1"/>
    <col min="1282" max="1283" width="9.77734375" style="205" bestFit="1" customWidth="1"/>
    <col min="1284" max="1284" width="12.21875" style="205" bestFit="1" customWidth="1"/>
    <col min="1285" max="1285" width="13.77734375" style="205" bestFit="1" customWidth="1"/>
    <col min="1286" max="1287" width="10.77734375" style="205" bestFit="1" customWidth="1"/>
    <col min="1288" max="1289" width="12.21875" style="205" bestFit="1" customWidth="1"/>
    <col min="1290" max="1290" width="14.44140625" style="205" bestFit="1" customWidth="1"/>
    <col min="1291" max="1291" width="16.77734375" style="205" customWidth="1"/>
    <col min="1292" max="1292" width="17.77734375" style="205" bestFit="1" customWidth="1"/>
    <col min="1293" max="1293" width="20" style="205" customWidth="1"/>
    <col min="1294" max="1294" width="17.77734375" style="205" bestFit="1" customWidth="1"/>
    <col min="1295" max="1295" width="15.44140625" style="205" bestFit="1" customWidth="1"/>
    <col min="1296" max="1534" width="12.44140625" style="205"/>
    <col min="1535" max="1535" width="9.21875" style="205" bestFit="1" customWidth="1"/>
    <col min="1536" max="1536" width="29.21875" style="205" bestFit="1" customWidth="1"/>
    <col min="1537" max="1537" width="13.21875" style="205" bestFit="1" customWidth="1"/>
    <col min="1538" max="1539" width="9.77734375" style="205" bestFit="1" customWidth="1"/>
    <col min="1540" max="1540" width="12.21875" style="205" bestFit="1" customWidth="1"/>
    <col min="1541" max="1541" width="13.77734375" style="205" bestFit="1" customWidth="1"/>
    <col min="1542" max="1543" width="10.77734375" style="205" bestFit="1" customWidth="1"/>
    <col min="1544" max="1545" width="12.21875" style="205" bestFit="1" customWidth="1"/>
    <col min="1546" max="1546" width="14.44140625" style="205" bestFit="1" customWidth="1"/>
    <col min="1547" max="1547" width="16.77734375" style="205" customWidth="1"/>
    <col min="1548" max="1548" width="17.77734375" style="205" bestFit="1" customWidth="1"/>
    <col min="1549" max="1549" width="20" style="205" customWidth="1"/>
    <col min="1550" max="1550" width="17.77734375" style="205" bestFit="1" customWidth="1"/>
    <col min="1551" max="1551" width="15.44140625" style="205" bestFit="1" customWidth="1"/>
    <col min="1552" max="1790" width="12.44140625" style="205"/>
    <col min="1791" max="1791" width="9.21875" style="205" bestFit="1" customWidth="1"/>
    <col min="1792" max="1792" width="29.21875" style="205" bestFit="1" customWidth="1"/>
    <col min="1793" max="1793" width="13.21875" style="205" bestFit="1" customWidth="1"/>
    <col min="1794" max="1795" width="9.77734375" style="205" bestFit="1" customWidth="1"/>
    <col min="1796" max="1796" width="12.21875" style="205" bestFit="1" customWidth="1"/>
    <col min="1797" max="1797" width="13.77734375" style="205" bestFit="1" customWidth="1"/>
    <col min="1798" max="1799" width="10.77734375" style="205" bestFit="1" customWidth="1"/>
    <col min="1800" max="1801" width="12.21875" style="205" bestFit="1" customWidth="1"/>
    <col min="1802" max="1802" width="14.44140625" style="205" bestFit="1" customWidth="1"/>
    <col min="1803" max="1803" width="16.77734375" style="205" customWidth="1"/>
    <col min="1804" max="1804" width="17.77734375" style="205" bestFit="1" customWidth="1"/>
    <col min="1805" max="1805" width="20" style="205" customWidth="1"/>
    <col min="1806" max="1806" width="17.77734375" style="205" bestFit="1" customWidth="1"/>
    <col min="1807" max="1807" width="15.44140625" style="205" bestFit="1" customWidth="1"/>
    <col min="1808" max="2046" width="12.44140625" style="205"/>
    <col min="2047" max="2047" width="9.21875" style="205" bestFit="1" customWidth="1"/>
    <col min="2048" max="2048" width="29.21875" style="205" bestFit="1" customWidth="1"/>
    <col min="2049" max="2049" width="13.21875" style="205" bestFit="1" customWidth="1"/>
    <col min="2050" max="2051" width="9.77734375" style="205" bestFit="1" customWidth="1"/>
    <col min="2052" max="2052" width="12.21875" style="205" bestFit="1" customWidth="1"/>
    <col min="2053" max="2053" width="13.77734375" style="205" bestFit="1" customWidth="1"/>
    <col min="2054" max="2055" width="10.77734375" style="205" bestFit="1" customWidth="1"/>
    <col min="2056" max="2057" width="12.21875" style="205" bestFit="1" customWidth="1"/>
    <col min="2058" max="2058" width="14.44140625" style="205" bestFit="1" customWidth="1"/>
    <col min="2059" max="2059" width="16.77734375" style="205" customWidth="1"/>
    <col min="2060" max="2060" width="17.77734375" style="205" bestFit="1" customWidth="1"/>
    <col min="2061" max="2061" width="20" style="205" customWidth="1"/>
    <col min="2062" max="2062" width="17.77734375" style="205" bestFit="1" customWidth="1"/>
    <col min="2063" max="2063" width="15.44140625" style="205" bestFit="1" customWidth="1"/>
    <col min="2064" max="2302" width="12.44140625" style="205"/>
    <col min="2303" max="2303" width="9.21875" style="205" bestFit="1" customWidth="1"/>
    <col min="2304" max="2304" width="29.21875" style="205" bestFit="1" customWidth="1"/>
    <col min="2305" max="2305" width="13.21875" style="205" bestFit="1" customWidth="1"/>
    <col min="2306" max="2307" width="9.77734375" style="205" bestFit="1" customWidth="1"/>
    <col min="2308" max="2308" width="12.21875" style="205" bestFit="1" customWidth="1"/>
    <col min="2309" max="2309" width="13.77734375" style="205" bestFit="1" customWidth="1"/>
    <col min="2310" max="2311" width="10.77734375" style="205" bestFit="1" customWidth="1"/>
    <col min="2312" max="2313" width="12.21875" style="205" bestFit="1" customWidth="1"/>
    <col min="2314" max="2314" width="14.44140625" style="205" bestFit="1" customWidth="1"/>
    <col min="2315" max="2315" width="16.77734375" style="205" customWidth="1"/>
    <col min="2316" max="2316" width="17.77734375" style="205" bestFit="1" customWidth="1"/>
    <col min="2317" max="2317" width="20" style="205" customWidth="1"/>
    <col min="2318" max="2318" width="17.77734375" style="205" bestFit="1" customWidth="1"/>
    <col min="2319" max="2319" width="15.44140625" style="205" bestFit="1" customWidth="1"/>
    <col min="2320" max="2558" width="12.44140625" style="205"/>
    <col min="2559" max="2559" width="9.21875" style="205" bestFit="1" customWidth="1"/>
    <col min="2560" max="2560" width="29.21875" style="205" bestFit="1" customWidth="1"/>
    <col min="2561" max="2561" width="13.21875" style="205" bestFit="1" customWidth="1"/>
    <col min="2562" max="2563" width="9.77734375" style="205" bestFit="1" customWidth="1"/>
    <col min="2564" max="2564" width="12.21875" style="205" bestFit="1" customWidth="1"/>
    <col min="2565" max="2565" width="13.77734375" style="205" bestFit="1" customWidth="1"/>
    <col min="2566" max="2567" width="10.77734375" style="205" bestFit="1" customWidth="1"/>
    <col min="2568" max="2569" width="12.21875" style="205" bestFit="1" customWidth="1"/>
    <col min="2570" max="2570" width="14.44140625" style="205" bestFit="1" customWidth="1"/>
    <col min="2571" max="2571" width="16.77734375" style="205" customWidth="1"/>
    <col min="2572" max="2572" width="17.77734375" style="205" bestFit="1" customWidth="1"/>
    <col min="2573" max="2573" width="20" style="205" customWidth="1"/>
    <col min="2574" max="2574" width="17.77734375" style="205" bestFit="1" customWidth="1"/>
    <col min="2575" max="2575" width="15.44140625" style="205" bestFit="1" customWidth="1"/>
    <col min="2576" max="2814" width="12.44140625" style="205"/>
    <col min="2815" max="2815" width="9.21875" style="205" bestFit="1" customWidth="1"/>
    <col min="2816" max="2816" width="29.21875" style="205" bestFit="1" customWidth="1"/>
    <col min="2817" max="2817" width="13.21875" style="205" bestFit="1" customWidth="1"/>
    <col min="2818" max="2819" width="9.77734375" style="205" bestFit="1" customWidth="1"/>
    <col min="2820" max="2820" width="12.21875" style="205" bestFit="1" customWidth="1"/>
    <col min="2821" max="2821" width="13.77734375" style="205" bestFit="1" customWidth="1"/>
    <col min="2822" max="2823" width="10.77734375" style="205" bestFit="1" customWidth="1"/>
    <col min="2824" max="2825" width="12.21875" style="205" bestFit="1" customWidth="1"/>
    <col min="2826" max="2826" width="14.44140625" style="205" bestFit="1" customWidth="1"/>
    <col min="2827" max="2827" width="16.77734375" style="205" customWidth="1"/>
    <col min="2828" max="2828" width="17.77734375" style="205" bestFit="1" customWidth="1"/>
    <col min="2829" max="2829" width="20" style="205" customWidth="1"/>
    <col min="2830" max="2830" width="17.77734375" style="205" bestFit="1" customWidth="1"/>
    <col min="2831" max="2831" width="15.44140625" style="205" bestFit="1" customWidth="1"/>
    <col min="2832" max="3070" width="12.44140625" style="205"/>
    <col min="3071" max="3071" width="9.21875" style="205" bestFit="1" customWidth="1"/>
    <col min="3072" max="3072" width="29.21875" style="205" bestFit="1" customWidth="1"/>
    <col min="3073" max="3073" width="13.21875" style="205" bestFit="1" customWidth="1"/>
    <col min="3074" max="3075" width="9.77734375" style="205" bestFit="1" customWidth="1"/>
    <col min="3076" max="3076" width="12.21875" style="205" bestFit="1" customWidth="1"/>
    <col min="3077" max="3077" width="13.77734375" style="205" bestFit="1" customWidth="1"/>
    <col min="3078" max="3079" width="10.77734375" style="205" bestFit="1" customWidth="1"/>
    <col min="3080" max="3081" width="12.21875" style="205" bestFit="1" customWidth="1"/>
    <col min="3082" max="3082" width="14.44140625" style="205" bestFit="1" customWidth="1"/>
    <col min="3083" max="3083" width="16.77734375" style="205" customWidth="1"/>
    <col min="3084" max="3084" width="17.77734375" style="205" bestFit="1" customWidth="1"/>
    <col min="3085" max="3085" width="20" style="205" customWidth="1"/>
    <col min="3086" max="3086" width="17.77734375" style="205" bestFit="1" customWidth="1"/>
    <col min="3087" max="3087" width="15.44140625" style="205" bestFit="1" customWidth="1"/>
    <col min="3088" max="3326" width="12.44140625" style="205"/>
    <col min="3327" max="3327" width="9.21875" style="205" bestFit="1" customWidth="1"/>
    <col min="3328" max="3328" width="29.21875" style="205" bestFit="1" customWidth="1"/>
    <col min="3329" max="3329" width="13.21875" style="205" bestFit="1" customWidth="1"/>
    <col min="3330" max="3331" width="9.77734375" style="205" bestFit="1" customWidth="1"/>
    <col min="3332" max="3332" width="12.21875" style="205" bestFit="1" customWidth="1"/>
    <col min="3333" max="3333" width="13.77734375" style="205" bestFit="1" customWidth="1"/>
    <col min="3334" max="3335" width="10.77734375" style="205" bestFit="1" customWidth="1"/>
    <col min="3336" max="3337" width="12.21875" style="205" bestFit="1" customWidth="1"/>
    <col min="3338" max="3338" width="14.44140625" style="205" bestFit="1" customWidth="1"/>
    <col min="3339" max="3339" width="16.77734375" style="205" customWidth="1"/>
    <col min="3340" max="3340" width="17.77734375" style="205" bestFit="1" customWidth="1"/>
    <col min="3341" max="3341" width="20" style="205" customWidth="1"/>
    <col min="3342" max="3342" width="17.77734375" style="205" bestFit="1" customWidth="1"/>
    <col min="3343" max="3343" width="15.44140625" style="205" bestFit="1" customWidth="1"/>
    <col min="3344" max="3582" width="12.44140625" style="205"/>
    <col min="3583" max="3583" width="9.21875" style="205" bestFit="1" customWidth="1"/>
    <col min="3584" max="3584" width="29.21875" style="205" bestFit="1" customWidth="1"/>
    <col min="3585" max="3585" width="13.21875" style="205" bestFit="1" customWidth="1"/>
    <col min="3586" max="3587" width="9.77734375" style="205" bestFit="1" customWidth="1"/>
    <col min="3588" max="3588" width="12.21875" style="205" bestFit="1" customWidth="1"/>
    <col min="3589" max="3589" width="13.77734375" style="205" bestFit="1" customWidth="1"/>
    <col min="3590" max="3591" width="10.77734375" style="205" bestFit="1" customWidth="1"/>
    <col min="3592" max="3593" width="12.21875" style="205" bestFit="1" customWidth="1"/>
    <col min="3594" max="3594" width="14.44140625" style="205" bestFit="1" customWidth="1"/>
    <col min="3595" max="3595" width="16.77734375" style="205" customWidth="1"/>
    <col min="3596" max="3596" width="17.77734375" style="205" bestFit="1" customWidth="1"/>
    <col min="3597" max="3597" width="20" style="205" customWidth="1"/>
    <col min="3598" max="3598" width="17.77734375" style="205" bestFit="1" customWidth="1"/>
    <col min="3599" max="3599" width="15.44140625" style="205" bestFit="1" customWidth="1"/>
    <col min="3600" max="3838" width="12.44140625" style="205"/>
    <col min="3839" max="3839" width="9.21875" style="205" bestFit="1" customWidth="1"/>
    <col min="3840" max="3840" width="29.21875" style="205" bestFit="1" customWidth="1"/>
    <col min="3841" max="3841" width="13.21875" style="205" bestFit="1" customWidth="1"/>
    <col min="3842" max="3843" width="9.77734375" style="205" bestFit="1" customWidth="1"/>
    <col min="3844" max="3844" width="12.21875" style="205" bestFit="1" customWidth="1"/>
    <col min="3845" max="3845" width="13.77734375" style="205" bestFit="1" customWidth="1"/>
    <col min="3846" max="3847" width="10.77734375" style="205" bestFit="1" customWidth="1"/>
    <col min="3848" max="3849" width="12.21875" style="205" bestFit="1" customWidth="1"/>
    <col min="3850" max="3850" width="14.44140625" style="205" bestFit="1" customWidth="1"/>
    <col min="3851" max="3851" width="16.77734375" style="205" customWidth="1"/>
    <col min="3852" max="3852" width="17.77734375" style="205" bestFit="1" customWidth="1"/>
    <col min="3853" max="3853" width="20" style="205" customWidth="1"/>
    <col min="3854" max="3854" width="17.77734375" style="205" bestFit="1" customWidth="1"/>
    <col min="3855" max="3855" width="15.44140625" style="205" bestFit="1" customWidth="1"/>
    <col min="3856" max="4094" width="12.44140625" style="205"/>
    <col min="4095" max="4095" width="9.21875" style="205" bestFit="1" customWidth="1"/>
    <col min="4096" max="4096" width="29.21875" style="205" bestFit="1" customWidth="1"/>
    <col min="4097" max="4097" width="13.21875" style="205" bestFit="1" customWidth="1"/>
    <col min="4098" max="4099" width="9.77734375" style="205" bestFit="1" customWidth="1"/>
    <col min="4100" max="4100" width="12.21875" style="205" bestFit="1" customWidth="1"/>
    <col min="4101" max="4101" width="13.77734375" style="205" bestFit="1" customWidth="1"/>
    <col min="4102" max="4103" width="10.77734375" style="205" bestFit="1" customWidth="1"/>
    <col min="4104" max="4105" width="12.21875" style="205" bestFit="1" customWidth="1"/>
    <col min="4106" max="4106" width="14.44140625" style="205" bestFit="1" customWidth="1"/>
    <col min="4107" max="4107" width="16.77734375" style="205" customWidth="1"/>
    <col min="4108" max="4108" width="17.77734375" style="205" bestFit="1" customWidth="1"/>
    <col min="4109" max="4109" width="20" style="205" customWidth="1"/>
    <col min="4110" max="4110" width="17.77734375" style="205" bestFit="1" customWidth="1"/>
    <col min="4111" max="4111" width="15.44140625" style="205" bestFit="1" customWidth="1"/>
    <col min="4112" max="4350" width="12.44140625" style="205"/>
    <col min="4351" max="4351" width="9.21875" style="205" bestFit="1" customWidth="1"/>
    <col min="4352" max="4352" width="29.21875" style="205" bestFit="1" customWidth="1"/>
    <col min="4353" max="4353" width="13.21875" style="205" bestFit="1" customWidth="1"/>
    <col min="4354" max="4355" width="9.77734375" style="205" bestFit="1" customWidth="1"/>
    <col min="4356" max="4356" width="12.21875" style="205" bestFit="1" customWidth="1"/>
    <col min="4357" max="4357" width="13.77734375" style="205" bestFit="1" customWidth="1"/>
    <col min="4358" max="4359" width="10.77734375" style="205" bestFit="1" customWidth="1"/>
    <col min="4360" max="4361" width="12.21875" style="205" bestFit="1" customWidth="1"/>
    <col min="4362" max="4362" width="14.44140625" style="205" bestFit="1" customWidth="1"/>
    <col min="4363" max="4363" width="16.77734375" style="205" customWidth="1"/>
    <col min="4364" max="4364" width="17.77734375" style="205" bestFit="1" customWidth="1"/>
    <col min="4365" max="4365" width="20" style="205" customWidth="1"/>
    <col min="4366" max="4366" width="17.77734375" style="205" bestFit="1" customWidth="1"/>
    <col min="4367" max="4367" width="15.44140625" style="205" bestFit="1" customWidth="1"/>
    <col min="4368" max="4606" width="12.44140625" style="205"/>
    <col min="4607" max="4607" width="9.21875" style="205" bestFit="1" customWidth="1"/>
    <col min="4608" max="4608" width="29.21875" style="205" bestFit="1" customWidth="1"/>
    <col min="4609" max="4609" width="13.21875" style="205" bestFit="1" customWidth="1"/>
    <col min="4610" max="4611" width="9.77734375" style="205" bestFit="1" customWidth="1"/>
    <col min="4612" max="4612" width="12.21875" style="205" bestFit="1" customWidth="1"/>
    <col min="4613" max="4613" width="13.77734375" style="205" bestFit="1" customWidth="1"/>
    <col min="4614" max="4615" width="10.77734375" style="205" bestFit="1" customWidth="1"/>
    <col min="4616" max="4617" width="12.21875" style="205" bestFit="1" customWidth="1"/>
    <col min="4618" max="4618" width="14.44140625" style="205" bestFit="1" customWidth="1"/>
    <col min="4619" max="4619" width="16.77734375" style="205" customWidth="1"/>
    <col min="4620" max="4620" width="17.77734375" style="205" bestFit="1" customWidth="1"/>
    <col min="4621" max="4621" width="20" style="205" customWidth="1"/>
    <col min="4622" max="4622" width="17.77734375" style="205" bestFit="1" customWidth="1"/>
    <col min="4623" max="4623" width="15.44140625" style="205" bestFit="1" customWidth="1"/>
    <col min="4624" max="4862" width="12.44140625" style="205"/>
    <col min="4863" max="4863" width="9.21875" style="205" bestFit="1" customWidth="1"/>
    <col min="4864" max="4864" width="29.21875" style="205" bestFit="1" customWidth="1"/>
    <col min="4865" max="4865" width="13.21875" style="205" bestFit="1" customWidth="1"/>
    <col min="4866" max="4867" width="9.77734375" style="205" bestFit="1" customWidth="1"/>
    <col min="4868" max="4868" width="12.21875" style="205" bestFit="1" customWidth="1"/>
    <col min="4869" max="4869" width="13.77734375" style="205" bestFit="1" customWidth="1"/>
    <col min="4870" max="4871" width="10.77734375" style="205" bestFit="1" customWidth="1"/>
    <col min="4872" max="4873" width="12.21875" style="205" bestFit="1" customWidth="1"/>
    <col min="4874" max="4874" width="14.44140625" style="205" bestFit="1" customWidth="1"/>
    <col min="4875" max="4875" width="16.77734375" style="205" customWidth="1"/>
    <col min="4876" max="4876" width="17.77734375" style="205" bestFit="1" customWidth="1"/>
    <col min="4877" max="4877" width="20" style="205" customWidth="1"/>
    <col min="4878" max="4878" width="17.77734375" style="205" bestFit="1" customWidth="1"/>
    <col min="4879" max="4879" width="15.44140625" style="205" bestFit="1" customWidth="1"/>
    <col min="4880" max="5118" width="12.44140625" style="205"/>
    <col min="5119" max="5119" width="9.21875" style="205" bestFit="1" customWidth="1"/>
    <col min="5120" max="5120" width="29.21875" style="205" bestFit="1" customWidth="1"/>
    <col min="5121" max="5121" width="13.21875" style="205" bestFit="1" customWidth="1"/>
    <col min="5122" max="5123" width="9.77734375" style="205" bestFit="1" customWidth="1"/>
    <col min="5124" max="5124" width="12.21875" style="205" bestFit="1" customWidth="1"/>
    <col min="5125" max="5125" width="13.77734375" style="205" bestFit="1" customWidth="1"/>
    <col min="5126" max="5127" width="10.77734375" style="205" bestFit="1" customWidth="1"/>
    <col min="5128" max="5129" width="12.21875" style="205" bestFit="1" customWidth="1"/>
    <col min="5130" max="5130" width="14.44140625" style="205" bestFit="1" customWidth="1"/>
    <col min="5131" max="5131" width="16.77734375" style="205" customWidth="1"/>
    <col min="5132" max="5132" width="17.77734375" style="205" bestFit="1" customWidth="1"/>
    <col min="5133" max="5133" width="20" style="205" customWidth="1"/>
    <col min="5134" max="5134" width="17.77734375" style="205" bestFit="1" customWidth="1"/>
    <col min="5135" max="5135" width="15.44140625" style="205" bestFit="1" customWidth="1"/>
    <col min="5136" max="5374" width="12.44140625" style="205"/>
    <col min="5375" max="5375" width="9.21875" style="205" bestFit="1" customWidth="1"/>
    <col min="5376" max="5376" width="29.21875" style="205" bestFit="1" customWidth="1"/>
    <col min="5377" max="5377" width="13.21875" style="205" bestFit="1" customWidth="1"/>
    <col min="5378" max="5379" width="9.77734375" style="205" bestFit="1" customWidth="1"/>
    <col min="5380" max="5380" width="12.21875" style="205" bestFit="1" customWidth="1"/>
    <col min="5381" max="5381" width="13.77734375" style="205" bestFit="1" customWidth="1"/>
    <col min="5382" max="5383" width="10.77734375" style="205" bestFit="1" customWidth="1"/>
    <col min="5384" max="5385" width="12.21875" style="205" bestFit="1" customWidth="1"/>
    <col min="5386" max="5386" width="14.44140625" style="205" bestFit="1" customWidth="1"/>
    <col min="5387" max="5387" width="16.77734375" style="205" customWidth="1"/>
    <col min="5388" max="5388" width="17.77734375" style="205" bestFit="1" customWidth="1"/>
    <col min="5389" max="5389" width="20" style="205" customWidth="1"/>
    <col min="5390" max="5390" width="17.77734375" style="205" bestFit="1" customWidth="1"/>
    <col min="5391" max="5391" width="15.44140625" style="205" bestFit="1" customWidth="1"/>
    <col min="5392" max="5630" width="12.44140625" style="205"/>
    <col min="5631" max="5631" width="9.21875" style="205" bestFit="1" customWidth="1"/>
    <col min="5632" max="5632" width="29.21875" style="205" bestFit="1" customWidth="1"/>
    <col min="5633" max="5633" width="13.21875" style="205" bestFit="1" customWidth="1"/>
    <col min="5634" max="5635" width="9.77734375" style="205" bestFit="1" customWidth="1"/>
    <col min="5636" max="5636" width="12.21875" style="205" bestFit="1" customWidth="1"/>
    <col min="5637" max="5637" width="13.77734375" style="205" bestFit="1" customWidth="1"/>
    <col min="5638" max="5639" width="10.77734375" style="205" bestFit="1" customWidth="1"/>
    <col min="5640" max="5641" width="12.21875" style="205" bestFit="1" customWidth="1"/>
    <col min="5642" max="5642" width="14.44140625" style="205" bestFit="1" customWidth="1"/>
    <col min="5643" max="5643" width="16.77734375" style="205" customWidth="1"/>
    <col min="5644" max="5644" width="17.77734375" style="205" bestFit="1" customWidth="1"/>
    <col min="5645" max="5645" width="20" style="205" customWidth="1"/>
    <col min="5646" max="5646" width="17.77734375" style="205" bestFit="1" customWidth="1"/>
    <col min="5647" max="5647" width="15.44140625" style="205" bestFit="1" customWidth="1"/>
    <col min="5648" max="5886" width="12.44140625" style="205"/>
    <col min="5887" max="5887" width="9.21875" style="205" bestFit="1" customWidth="1"/>
    <col min="5888" max="5888" width="29.21875" style="205" bestFit="1" customWidth="1"/>
    <col min="5889" max="5889" width="13.21875" style="205" bestFit="1" customWidth="1"/>
    <col min="5890" max="5891" width="9.77734375" style="205" bestFit="1" customWidth="1"/>
    <col min="5892" max="5892" width="12.21875" style="205" bestFit="1" customWidth="1"/>
    <col min="5893" max="5893" width="13.77734375" style="205" bestFit="1" customWidth="1"/>
    <col min="5894" max="5895" width="10.77734375" style="205" bestFit="1" customWidth="1"/>
    <col min="5896" max="5897" width="12.21875" style="205" bestFit="1" customWidth="1"/>
    <col min="5898" max="5898" width="14.44140625" style="205" bestFit="1" customWidth="1"/>
    <col min="5899" max="5899" width="16.77734375" style="205" customWidth="1"/>
    <col min="5900" max="5900" width="17.77734375" style="205" bestFit="1" customWidth="1"/>
    <col min="5901" max="5901" width="20" style="205" customWidth="1"/>
    <col min="5902" max="5902" width="17.77734375" style="205" bestFit="1" customWidth="1"/>
    <col min="5903" max="5903" width="15.44140625" style="205" bestFit="1" customWidth="1"/>
    <col min="5904" max="6142" width="12.44140625" style="205"/>
    <col min="6143" max="6143" width="9.21875" style="205" bestFit="1" customWidth="1"/>
    <col min="6144" max="6144" width="29.21875" style="205" bestFit="1" customWidth="1"/>
    <col min="6145" max="6145" width="13.21875" style="205" bestFit="1" customWidth="1"/>
    <col min="6146" max="6147" width="9.77734375" style="205" bestFit="1" customWidth="1"/>
    <col min="6148" max="6148" width="12.21875" style="205" bestFit="1" customWidth="1"/>
    <col min="6149" max="6149" width="13.77734375" style="205" bestFit="1" customWidth="1"/>
    <col min="6150" max="6151" width="10.77734375" style="205" bestFit="1" customWidth="1"/>
    <col min="6152" max="6153" width="12.21875" style="205" bestFit="1" customWidth="1"/>
    <col min="6154" max="6154" width="14.44140625" style="205" bestFit="1" customWidth="1"/>
    <col min="6155" max="6155" width="16.77734375" style="205" customWidth="1"/>
    <col min="6156" max="6156" width="17.77734375" style="205" bestFit="1" customWidth="1"/>
    <col min="6157" max="6157" width="20" style="205" customWidth="1"/>
    <col min="6158" max="6158" width="17.77734375" style="205" bestFit="1" customWidth="1"/>
    <col min="6159" max="6159" width="15.44140625" style="205" bestFit="1" customWidth="1"/>
    <col min="6160" max="6398" width="12.44140625" style="205"/>
    <col min="6399" max="6399" width="9.21875" style="205" bestFit="1" customWidth="1"/>
    <col min="6400" max="6400" width="29.21875" style="205" bestFit="1" customWidth="1"/>
    <col min="6401" max="6401" width="13.21875" style="205" bestFit="1" customWidth="1"/>
    <col min="6402" max="6403" width="9.77734375" style="205" bestFit="1" customWidth="1"/>
    <col min="6404" max="6404" width="12.21875" style="205" bestFit="1" customWidth="1"/>
    <col min="6405" max="6405" width="13.77734375" style="205" bestFit="1" customWidth="1"/>
    <col min="6406" max="6407" width="10.77734375" style="205" bestFit="1" customWidth="1"/>
    <col min="6408" max="6409" width="12.21875" style="205" bestFit="1" customWidth="1"/>
    <col min="6410" max="6410" width="14.44140625" style="205" bestFit="1" customWidth="1"/>
    <col min="6411" max="6411" width="16.77734375" style="205" customWidth="1"/>
    <col min="6412" max="6412" width="17.77734375" style="205" bestFit="1" customWidth="1"/>
    <col min="6413" max="6413" width="20" style="205" customWidth="1"/>
    <col min="6414" max="6414" width="17.77734375" style="205" bestFit="1" customWidth="1"/>
    <col min="6415" max="6415" width="15.44140625" style="205" bestFit="1" customWidth="1"/>
    <col min="6416" max="6654" width="12.44140625" style="205"/>
    <col min="6655" max="6655" width="9.21875" style="205" bestFit="1" customWidth="1"/>
    <col min="6656" max="6656" width="29.21875" style="205" bestFit="1" customWidth="1"/>
    <col min="6657" max="6657" width="13.21875" style="205" bestFit="1" customWidth="1"/>
    <col min="6658" max="6659" width="9.77734375" style="205" bestFit="1" customWidth="1"/>
    <col min="6660" max="6660" width="12.21875" style="205" bestFit="1" customWidth="1"/>
    <col min="6661" max="6661" width="13.77734375" style="205" bestFit="1" customWidth="1"/>
    <col min="6662" max="6663" width="10.77734375" style="205" bestFit="1" customWidth="1"/>
    <col min="6664" max="6665" width="12.21875" style="205" bestFit="1" customWidth="1"/>
    <col min="6666" max="6666" width="14.44140625" style="205" bestFit="1" customWidth="1"/>
    <col min="6667" max="6667" width="16.77734375" style="205" customWidth="1"/>
    <col min="6668" max="6668" width="17.77734375" style="205" bestFit="1" customWidth="1"/>
    <col min="6669" max="6669" width="20" style="205" customWidth="1"/>
    <col min="6670" max="6670" width="17.77734375" style="205" bestFit="1" customWidth="1"/>
    <col min="6671" max="6671" width="15.44140625" style="205" bestFit="1" customWidth="1"/>
    <col min="6672" max="6910" width="12.44140625" style="205"/>
    <col min="6911" max="6911" width="9.21875" style="205" bestFit="1" customWidth="1"/>
    <col min="6912" max="6912" width="29.21875" style="205" bestFit="1" customWidth="1"/>
    <col min="6913" max="6913" width="13.21875" style="205" bestFit="1" customWidth="1"/>
    <col min="6914" max="6915" width="9.77734375" style="205" bestFit="1" customWidth="1"/>
    <col min="6916" max="6916" width="12.21875" style="205" bestFit="1" customWidth="1"/>
    <col min="6917" max="6917" width="13.77734375" style="205" bestFit="1" customWidth="1"/>
    <col min="6918" max="6919" width="10.77734375" style="205" bestFit="1" customWidth="1"/>
    <col min="6920" max="6921" width="12.21875" style="205" bestFit="1" customWidth="1"/>
    <col min="6922" max="6922" width="14.44140625" style="205" bestFit="1" customWidth="1"/>
    <col min="6923" max="6923" width="16.77734375" style="205" customWidth="1"/>
    <col min="6924" max="6924" width="17.77734375" style="205" bestFit="1" customWidth="1"/>
    <col min="6925" max="6925" width="20" style="205" customWidth="1"/>
    <col min="6926" max="6926" width="17.77734375" style="205" bestFit="1" customWidth="1"/>
    <col min="6927" max="6927" width="15.44140625" style="205" bestFit="1" customWidth="1"/>
    <col min="6928" max="7166" width="12.44140625" style="205"/>
    <col min="7167" max="7167" width="9.21875" style="205" bestFit="1" customWidth="1"/>
    <col min="7168" max="7168" width="29.21875" style="205" bestFit="1" customWidth="1"/>
    <col min="7169" max="7169" width="13.21875" style="205" bestFit="1" customWidth="1"/>
    <col min="7170" max="7171" width="9.77734375" style="205" bestFit="1" customWidth="1"/>
    <col min="7172" max="7172" width="12.21875" style="205" bestFit="1" customWidth="1"/>
    <col min="7173" max="7173" width="13.77734375" style="205" bestFit="1" customWidth="1"/>
    <col min="7174" max="7175" width="10.77734375" style="205" bestFit="1" customWidth="1"/>
    <col min="7176" max="7177" width="12.21875" style="205" bestFit="1" customWidth="1"/>
    <col min="7178" max="7178" width="14.44140625" style="205" bestFit="1" customWidth="1"/>
    <col min="7179" max="7179" width="16.77734375" style="205" customWidth="1"/>
    <col min="7180" max="7180" width="17.77734375" style="205" bestFit="1" customWidth="1"/>
    <col min="7181" max="7181" width="20" style="205" customWidth="1"/>
    <col min="7182" max="7182" width="17.77734375" style="205" bestFit="1" customWidth="1"/>
    <col min="7183" max="7183" width="15.44140625" style="205" bestFit="1" customWidth="1"/>
    <col min="7184" max="7422" width="12.44140625" style="205"/>
    <col min="7423" max="7423" width="9.21875" style="205" bestFit="1" customWidth="1"/>
    <col min="7424" max="7424" width="29.21875" style="205" bestFit="1" customWidth="1"/>
    <col min="7425" max="7425" width="13.21875" style="205" bestFit="1" customWidth="1"/>
    <col min="7426" max="7427" width="9.77734375" style="205" bestFit="1" customWidth="1"/>
    <col min="7428" max="7428" width="12.21875" style="205" bestFit="1" customWidth="1"/>
    <col min="7429" max="7429" width="13.77734375" style="205" bestFit="1" customWidth="1"/>
    <col min="7430" max="7431" width="10.77734375" style="205" bestFit="1" customWidth="1"/>
    <col min="7432" max="7433" width="12.21875" style="205" bestFit="1" customWidth="1"/>
    <col min="7434" max="7434" width="14.44140625" style="205" bestFit="1" customWidth="1"/>
    <col min="7435" max="7435" width="16.77734375" style="205" customWidth="1"/>
    <col min="7436" max="7436" width="17.77734375" style="205" bestFit="1" customWidth="1"/>
    <col min="7437" max="7437" width="20" style="205" customWidth="1"/>
    <col min="7438" max="7438" width="17.77734375" style="205" bestFit="1" customWidth="1"/>
    <col min="7439" max="7439" width="15.44140625" style="205" bestFit="1" customWidth="1"/>
    <col min="7440" max="7678" width="12.44140625" style="205"/>
    <col min="7679" max="7679" width="9.21875" style="205" bestFit="1" customWidth="1"/>
    <col min="7680" max="7680" width="29.21875" style="205" bestFit="1" customWidth="1"/>
    <col min="7681" max="7681" width="13.21875" style="205" bestFit="1" customWidth="1"/>
    <col min="7682" max="7683" width="9.77734375" style="205" bestFit="1" customWidth="1"/>
    <col min="7684" max="7684" width="12.21875" style="205" bestFit="1" customWidth="1"/>
    <col min="7685" max="7685" width="13.77734375" style="205" bestFit="1" customWidth="1"/>
    <col min="7686" max="7687" width="10.77734375" style="205" bestFit="1" customWidth="1"/>
    <col min="7688" max="7689" width="12.21875" style="205" bestFit="1" customWidth="1"/>
    <col min="7690" max="7690" width="14.44140625" style="205" bestFit="1" customWidth="1"/>
    <col min="7691" max="7691" width="16.77734375" style="205" customWidth="1"/>
    <col min="7692" max="7692" width="17.77734375" style="205" bestFit="1" customWidth="1"/>
    <col min="7693" max="7693" width="20" style="205" customWidth="1"/>
    <col min="7694" max="7694" width="17.77734375" style="205" bestFit="1" customWidth="1"/>
    <col min="7695" max="7695" width="15.44140625" style="205" bestFit="1" customWidth="1"/>
    <col min="7696" max="7934" width="12.44140625" style="205"/>
    <col min="7935" max="7935" width="9.21875" style="205" bestFit="1" customWidth="1"/>
    <col min="7936" max="7936" width="29.21875" style="205" bestFit="1" customWidth="1"/>
    <col min="7937" max="7937" width="13.21875" style="205" bestFit="1" customWidth="1"/>
    <col min="7938" max="7939" width="9.77734375" style="205" bestFit="1" customWidth="1"/>
    <col min="7940" max="7940" width="12.21875" style="205" bestFit="1" customWidth="1"/>
    <col min="7941" max="7941" width="13.77734375" style="205" bestFit="1" customWidth="1"/>
    <col min="7942" max="7943" width="10.77734375" style="205" bestFit="1" customWidth="1"/>
    <col min="7944" max="7945" width="12.21875" style="205" bestFit="1" customWidth="1"/>
    <col min="7946" max="7946" width="14.44140625" style="205" bestFit="1" customWidth="1"/>
    <col min="7947" max="7947" width="16.77734375" style="205" customWidth="1"/>
    <col min="7948" max="7948" width="17.77734375" style="205" bestFit="1" customWidth="1"/>
    <col min="7949" max="7949" width="20" style="205" customWidth="1"/>
    <col min="7950" max="7950" width="17.77734375" style="205" bestFit="1" customWidth="1"/>
    <col min="7951" max="7951" width="15.44140625" style="205" bestFit="1" customWidth="1"/>
    <col min="7952" max="8190" width="12.44140625" style="205"/>
    <col min="8191" max="8191" width="9.21875" style="205" bestFit="1" customWidth="1"/>
    <col min="8192" max="8192" width="29.21875" style="205" bestFit="1" customWidth="1"/>
    <col min="8193" max="8193" width="13.21875" style="205" bestFit="1" customWidth="1"/>
    <col min="8194" max="8195" width="9.77734375" style="205" bestFit="1" customWidth="1"/>
    <col min="8196" max="8196" width="12.21875" style="205" bestFit="1" customWidth="1"/>
    <col min="8197" max="8197" width="13.77734375" style="205" bestFit="1" customWidth="1"/>
    <col min="8198" max="8199" width="10.77734375" style="205" bestFit="1" customWidth="1"/>
    <col min="8200" max="8201" width="12.21875" style="205" bestFit="1" customWidth="1"/>
    <col min="8202" max="8202" width="14.44140625" style="205" bestFit="1" customWidth="1"/>
    <col min="8203" max="8203" width="16.77734375" style="205" customWidth="1"/>
    <col min="8204" max="8204" width="17.77734375" style="205" bestFit="1" customWidth="1"/>
    <col min="8205" max="8205" width="20" style="205" customWidth="1"/>
    <col min="8206" max="8206" width="17.77734375" style="205" bestFit="1" customWidth="1"/>
    <col min="8207" max="8207" width="15.44140625" style="205" bestFit="1" customWidth="1"/>
    <col min="8208" max="8446" width="12.44140625" style="205"/>
    <col min="8447" max="8447" width="9.21875" style="205" bestFit="1" customWidth="1"/>
    <col min="8448" max="8448" width="29.21875" style="205" bestFit="1" customWidth="1"/>
    <col min="8449" max="8449" width="13.21875" style="205" bestFit="1" customWidth="1"/>
    <col min="8450" max="8451" width="9.77734375" style="205" bestFit="1" customWidth="1"/>
    <col min="8452" max="8452" width="12.21875" style="205" bestFit="1" customWidth="1"/>
    <col min="8453" max="8453" width="13.77734375" style="205" bestFit="1" customWidth="1"/>
    <col min="8454" max="8455" width="10.77734375" style="205" bestFit="1" customWidth="1"/>
    <col min="8456" max="8457" width="12.21875" style="205" bestFit="1" customWidth="1"/>
    <col min="8458" max="8458" width="14.44140625" style="205" bestFit="1" customWidth="1"/>
    <col min="8459" max="8459" width="16.77734375" style="205" customWidth="1"/>
    <col min="8460" max="8460" width="17.77734375" style="205" bestFit="1" customWidth="1"/>
    <col min="8461" max="8461" width="20" style="205" customWidth="1"/>
    <col min="8462" max="8462" width="17.77734375" style="205" bestFit="1" customWidth="1"/>
    <col min="8463" max="8463" width="15.44140625" style="205" bestFit="1" customWidth="1"/>
    <col min="8464" max="8702" width="12.44140625" style="205"/>
    <col min="8703" max="8703" width="9.21875" style="205" bestFit="1" customWidth="1"/>
    <col min="8704" max="8704" width="29.21875" style="205" bestFit="1" customWidth="1"/>
    <col min="8705" max="8705" width="13.21875" style="205" bestFit="1" customWidth="1"/>
    <col min="8706" max="8707" width="9.77734375" style="205" bestFit="1" customWidth="1"/>
    <col min="8708" max="8708" width="12.21875" style="205" bestFit="1" customWidth="1"/>
    <col min="8709" max="8709" width="13.77734375" style="205" bestFit="1" customWidth="1"/>
    <col min="8710" max="8711" width="10.77734375" style="205" bestFit="1" customWidth="1"/>
    <col min="8712" max="8713" width="12.21875" style="205" bestFit="1" customWidth="1"/>
    <col min="8714" max="8714" width="14.44140625" style="205" bestFit="1" customWidth="1"/>
    <col min="8715" max="8715" width="16.77734375" style="205" customWidth="1"/>
    <col min="8716" max="8716" width="17.77734375" style="205" bestFit="1" customWidth="1"/>
    <col min="8717" max="8717" width="20" style="205" customWidth="1"/>
    <col min="8718" max="8718" width="17.77734375" style="205" bestFit="1" customWidth="1"/>
    <col min="8719" max="8719" width="15.44140625" style="205" bestFit="1" customWidth="1"/>
    <col min="8720" max="8958" width="12.44140625" style="205"/>
    <col min="8959" max="8959" width="9.21875" style="205" bestFit="1" customWidth="1"/>
    <col min="8960" max="8960" width="29.21875" style="205" bestFit="1" customWidth="1"/>
    <col min="8961" max="8961" width="13.21875" style="205" bestFit="1" customWidth="1"/>
    <col min="8962" max="8963" width="9.77734375" style="205" bestFit="1" customWidth="1"/>
    <col min="8964" max="8964" width="12.21875" style="205" bestFit="1" customWidth="1"/>
    <col min="8965" max="8965" width="13.77734375" style="205" bestFit="1" customWidth="1"/>
    <col min="8966" max="8967" width="10.77734375" style="205" bestFit="1" customWidth="1"/>
    <col min="8968" max="8969" width="12.21875" style="205" bestFit="1" customWidth="1"/>
    <col min="8970" max="8970" width="14.44140625" style="205" bestFit="1" customWidth="1"/>
    <col min="8971" max="8971" width="16.77734375" style="205" customWidth="1"/>
    <col min="8972" max="8972" width="17.77734375" style="205" bestFit="1" customWidth="1"/>
    <col min="8973" max="8973" width="20" style="205" customWidth="1"/>
    <col min="8974" max="8974" width="17.77734375" style="205" bestFit="1" customWidth="1"/>
    <col min="8975" max="8975" width="15.44140625" style="205" bestFit="1" customWidth="1"/>
    <col min="8976" max="9214" width="12.44140625" style="205"/>
    <col min="9215" max="9215" width="9.21875" style="205" bestFit="1" customWidth="1"/>
    <col min="9216" max="9216" width="29.21875" style="205" bestFit="1" customWidth="1"/>
    <col min="9217" max="9217" width="13.21875" style="205" bestFit="1" customWidth="1"/>
    <col min="9218" max="9219" width="9.77734375" style="205" bestFit="1" customWidth="1"/>
    <col min="9220" max="9220" width="12.21875" style="205" bestFit="1" customWidth="1"/>
    <col min="9221" max="9221" width="13.77734375" style="205" bestFit="1" customWidth="1"/>
    <col min="9222" max="9223" width="10.77734375" style="205" bestFit="1" customWidth="1"/>
    <col min="9224" max="9225" width="12.21875" style="205" bestFit="1" customWidth="1"/>
    <col min="9226" max="9226" width="14.44140625" style="205" bestFit="1" customWidth="1"/>
    <col min="9227" max="9227" width="16.77734375" style="205" customWidth="1"/>
    <col min="9228" max="9228" width="17.77734375" style="205" bestFit="1" customWidth="1"/>
    <col min="9229" max="9229" width="20" style="205" customWidth="1"/>
    <col min="9230" max="9230" width="17.77734375" style="205" bestFit="1" customWidth="1"/>
    <col min="9231" max="9231" width="15.44140625" style="205" bestFit="1" customWidth="1"/>
    <col min="9232" max="9470" width="12.44140625" style="205"/>
    <col min="9471" max="9471" width="9.21875" style="205" bestFit="1" customWidth="1"/>
    <col min="9472" max="9472" width="29.21875" style="205" bestFit="1" customWidth="1"/>
    <col min="9473" max="9473" width="13.21875" style="205" bestFit="1" customWidth="1"/>
    <col min="9474" max="9475" width="9.77734375" style="205" bestFit="1" customWidth="1"/>
    <col min="9476" max="9476" width="12.21875" style="205" bestFit="1" customWidth="1"/>
    <col min="9477" max="9477" width="13.77734375" style="205" bestFit="1" customWidth="1"/>
    <col min="9478" max="9479" width="10.77734375" style="205" bestFit="1" customWidth="1"/>
    <col min="9480" max="9481" width="12.21875" style="205" bestFit="1" customWidth="1"/>
    <col min="9482" max="9482" width="14.44140625" style="205" bestFit="1" customWidth="1"/>
    <col min="9483" max="9483" width="16.77734375" style="205" customWidth="1"/>
    <col min="9484" max="9484" width="17.77734375" style="205" bestFit="1" customWidth="1"/>
    <col min="9485" max="9485" width="20" style="205" customWidth="1"/>
    <col min="9486" max="9486" width="17.77734375" style="205" bestFit="1" customWidth="1"/>
    <col min="9487" max="9487" width="15.44140625" style="205" bestFit="1" customWidth="1"/>
    <col min="9488" max="9726" width="12.44140625" style="205"/>
    <col min="9727" max="9727" width="9.21875" style="205" bestFit="1" customWidth="1"/>
    <col min="9728" max="9728" width="29.21875" style="205" bestFit="1" customWidth="1"/>
    <col min="9729" max="9729" width="13.21875" style="205" bestFit="1" customWidth="1"/>
    <col min="9730" max="9731" width="9.77734375" style="205" bestFit="1" customWidth="1"/>
    <col min="9732" max="9732" width="12.21875" style="205" bestFit="1" customWidth="1"/>
    <col min="9733" max="9733" width="13.77734375" style="205" bestFit="1" customWidth="1"/>
    <col min="9734" max="9735" width="10.77734375" style="205" bestFit="1" customWidth="1"/>
    <col min="9736" max="9737" width="12.21875" style="205" bestFit="1" customWidth="1"/>
    <col min="9738" max="9738" width="14.44140625" style="205" bestFit="1" customWidth="1"/>
    <col min="9739" max="9739" width="16.77734375" style="205" customWidth="1"/>
    <col min="9740" max="9740" width="17.77734375" style="205" bestFit="1" customWidth="1"/>
    <col min="9741" max="9741" width="20" style="205" customWidth="1"/>
    <col min="9742" max="9742" width="17.77734375" style="205" bestFit="1" customWidth="1"/>
    <col min="9743" max="9743" width="15.44140625" style="205" bestFit="1" customWidth="1"/>
    <col min="9744" max="9982" width="12.44140625" style="205"/>
    <col min="9983" max="9983" width="9.21875" style="205" bestFit="1" customWidth="1"/>
    <col min="9984" max="9984" width="29.21875" style="205" bestFit="1" customWidth="1"/>
    <col min="9985" max="9985" width="13.21875" style="205" bestFit="1" customWidth="1"/>
    <col min="9986" max="9987" width="9.77734375" style="205" bestFit="1" customWidth="1"/>
    <col min="9988" max="9988" width="12.21875" style="205" bestFit="1" customWidth="1"/>
    <col min="9989" max="9989" width="13.77734375" style="205" bestFit="1" customWidth="1"/>
    <col min="9990" max="9991" width="10.77734375" style="205" bestFit="1" customWidth="1"/>
    <col min="9992" max="9993" width="12.21875" style="205" bestFit="1" customWidth="1"/>
    <col min="9994" max="9994" width="14.44140625" style="205" bestFit="1" customWidth="1"/>
    <col min="9995" max="9995" width="16.77734375" style="205" customWidth="1"/>
    <col min="9996" max="9996" width="17.77734375" style="205" bestFit="1" customWidth="1"/>
    <col min="9997" max="9997" width="20" style="205" customWidth="1"/>
    <col min="9998" max="9998" width="17.77734375" style="205" bestFit="1" customWidth="1"/>
    <col min="9999" max="9999" width="15.44140625" style="205" bestFit="1" customWidth="1"/>
    <col min="10000" max="10238" width="12.44140625" style="205"/>
    <col min="10239" max="10239" width="9.21875" style="205" bestFit="1" customWidth="1"/>
    <col min="10240" max="10240" width="29.21875" style="205" bestFit="1" customWidth="1"/>
    <col min="10241" max="10241" width="13.21875" style="205" bestFit="1" customWidth="1"/>
    <col min="10242" max="10243" width="9.77734375" style="205" bestFit="1" customWidth="1"/>
    <col min="10244" max="10244" width="12.21875" style="205" bestFit="1" customWidth="1"/>
    <col min="10245" max="10245" width="13.77734375" style="205" bestFit="1" customWidth="1"/>
    <col min="10246" max="10247" width="10.77734375" style="205" bestFit="1" customWidth="1"/>
    <col min="10248" max="10249" width="12.21875" style="205" bestFit="1" customWidth="1"/>
    <col min="10250" max="10250" width="14.44140625" style="205" bestFit="1" customWidth="1"/>
    <col min="10251" max="10251" width="16.77734375" style="205" customWidth="1"/>
    <col min="10252" max="10252" width="17.77734375" style="205" bestFit="1" customWidth="1"/>
    <col min="10253" max="10253" width="20" style="205" customWidth="1"/>
    <col min="10254" max="10254" width="17.77734375" style="205" bestFit="1" customWidth="1"/>
    <col min="10255" max="10255" width="15.44140625" style="205" bestFit="1" customWidth="1"/>
    <col min="10256" max="10494" width="12.44140625" style="205"/>
    <col min="10495" max="10495" width="9.21875" style="205" bestFit="1" customWidth="1"/>
    <col min="10496" max="10496" width="29.21875" style="205" bestFit="1" customWidth="1"/>
    <col min="10497" max="10497" width="13.21875" style="205" bestFit="1" customWidth="1"/>
    <col min="10498" max="10499" width="9.77734375" style="205" bestFit="1" customWidth="1"/>
    <col min="10500" max="10500" width="12.21875" style="205" bestFit="1" customWidth="1"/>
    <col min="10501" max="10501" width="13.77734375" style="205" bestFit="1" customWidth="1"/>
    <col min="10502" max="10503" width="10.77734375" style="205" bestFit="1" customWidth="1"/>
    <col min="10504" max="10505" width="12.21875" style="205" bestFit="1" customWidth="1"/>
    <col min="10506" max="10506" width="14.44140625" style="205" bestFit="1" customWidth="1"/>
    <col min="10507" max="10507" width="16.77734375" style="205" customWidth="1"/>
    <col min="10508" max="10508" width="17.77734375" style="205" bestFit="1" customWidth="1"/>
    <col min="10509" max="10509" width="20" style="205" customWidth="1"/>
    <col min="10510" max="10510" width="17.77734375" style="205" bestFit="1" customWidth="1"/>
    <col min="10511" max="10511" width="15.44140625" style="205" bestFit="1" customWidth="1"/>
    <col min="10512" max="10750" width="12.44140625" style="205"/>
    <col min="10751" max="10751" width="9.21875" style="205" bestFit="1" customWidth="1"/>
    <col min="10752" max="10752" width="29.21875" style="205" bestFit="1" customWidth="1"/>
    <col min="10753" max="10753" width="13.21875" style="205" bestFit="1" customWidth="1"/>
    <col min="10754" max="10755" width="9.77734375" style="205" bestFit="1" customWidth="1"/>
    <col min="10756" max="10756" width="12.21875" style="205" bestFit="1" customWidth="1"/>
    <col min="10757" max="10757" width="13.77734375" style="205" bestFit="1" customWidth="1"/>
    <col min="10758" max="10759" width="10.77734375" style="205" bestFit="1" customWidth="1"/>
    <col min="10760" max="10761" width="12.21875" style="205" bestFit="1" customWidth="1"/>
    <col min="10762" max="10762" width="14.44140625" style="205" bestFit="1" customWidth="1"/>
    <col min="10763" max="10763" width="16.77734375" style="205" customWidth="1"/>
    <col min="10764" max="10764" width="17.77734375" style="205" bestFit="1" customWidth="1"/>
    <col min="10765" max="10765" width="20" style="205" customWidth="1"/>
    <col min="10766" max="10766" width="17.77734375" style="205" bestFit="1" customWidth="1"/>
    <col min="10767" max="10767" width="15.44140625" style="205" bestFit="1" customWidth="1"/>
    <col min="10768" max="11006" width="12.44140625" style="205"/>
    <col min="11007" max="11007" width="9.21875" style="205" bestFit="1" customWidth="1"/>
    <col min="11008" max="11008" width="29.21875" style="205" bestFit="1" customWidth="1"/>
    <col min="11009" max="11009" width="13.21875" style="205" bestFit="1" customWidth="1"/>
    <col min="11010" max="11011" width="9.77734375" style="205" bestFit="1" customWidth="1"/>
    <col min="11012" max="11012" width="12.21875" style="205" bestFit="1" customWidth="1"/>
    <col min="11013" max="11013" width="13.77734375" style="205" bestFit="1" customWidth="1"/>
    <col min="11014" max="11015" width="10.77734375" style="205" bestFit="1" customWidth="1"/>
    <col min="11016" max="11017" width="12.21875" style="205" bestFit="1" customWidth="1"/>
    <col min="11018" max="11018" width="14.44140625" style="205" bestFit="1" customWidth="1"/>
    <col min="11019" max="11019" width="16.77734375" style="205" customWidth="1"/>
    <col min="11020" max="11020" width="17.77734375" style="205" bestFit="1" customWidth="1"/>
    <col min="11021" max="11021" width="20" style="205" customWidth="1"/>
    <col min="11022" max="11022" width="17.77734375" style="205" bestFit="1" customWidth="1"/>
    <col min="11023" max="11023" width="15.44140625" style="205" bestFit="1" customWidth="1"/>
    <col min="11024" max="11262" width="12.44140625" style="205"/>
    <col min="11263" max="11263" width="9.21875" style="205" bestFit="1" customWidth="1"/>
    <col min="11264" max="11264" width="29.21875" style="205" bestFit="1" customWidth="1"/>
    <col min="11265" max="11265" width="13.21875" style="205" bestFit="1" customWidth="1"/>
    <col min="11266" max="11267" width="9.77734375" style="205" bestFit="1" customWidth="1"/>
    <col min="11268" max="11268" width="12.21875" style="205" bestFit="1" customWidth="1"/>
    <col min="11269" max="11269" width="13.77734375" style="205" bestFit="1" customWidth="1"/>
    <col min="11270" max="11271" width="10.77734375" style="205" bestFit="1" customWidth="1"/>
    <col min="11272" max="11273" width="12.21875" style="205" bestFit="1" customWidth="1"/>
    <col min="11274" max="11274" width="14.44140625" style="205" bestFit="1" customWidth="1"/>
    <col min="11275" max="11275" width="16.77734375" style="205" customWidth="1"/>
    <col min="11276" max="11276" width="17.77734375" style="205" bestFit="1" customWidth="1"/>
    <col min="11277" max="11277" width="20" style="205" customWidth="1"/>
    <col min="11278" max="11278" width="17.77734375" style="205" bestFit="1" customWidth="1"/>
    <col min="11279" max="11279" width="15.44140625" style="205" bestFit="1" customWidth="1"/>
    <col min="11280" max="11518" width="12.44140625" style="205"/>
    <col min="11519" max="11519" width="9.21875" style="205" bestFit="1" customWidth="1"/>
    <col min="11520" max="11520" width="29.21875" style="205" bestFit="1" customWidth="1"/>
    <col min="11521" max="11521" width="13.21875" style="205" bestFit="1" customWidth="1"/>
    <col min="11522" max="11523" width="9.77734375" style="205" bestFit="1" customWidth="1"/>
    <col min="11524" max="11524" width="12.21875" style="205" bestFit="1" customWidth="1"/>
    <col min="11525" max="11525" width="13.77734375" style="205" bestFit="1" customWidth="1"/>
    <col min="11526" max="11527" width="10.77734375" style="205" bestFit="1" customWidth="1"/>
    <col min="11528" max="11529" width="12.21875" style="205" bestFit="1" customWidth="1"/>
    <col min="11530" max="11530" width="14.44140625" style="205" bestFit="1" customWidth="1"/>
    <col min="11531" max="11531" width="16.77734375" style="205" customWidth="1"/>
    <col min="11532" max="11532" width="17.77734375" style="205" bestFit="1" customWidth="1"/>
    <col min="11533" max="11533" width="20" style="205" customWidth="1"/>
    <col min="11534" max="11534" width="17.77734375" style="205" bestFit="1" customWidth="1"/>
    <col min="11535" max="11535" width="15.44140625" style="205" bestFit="1" customWidth="1"/>
    <col min="11536" max="11774" width="12.44140625" style="205"/>
    <col min="11775" max="11775" width="9.21875" style="205" bestFit="1" customWidth="1"/>
    <col min="11776" max="11776" width="29.21875" style="205" bestFit="1" customWidth="1"/>
    <col min="11777" max="11777" width="13.21875" style="205" bestFit="1" customWidth="1"/>
    <col min="11778" max="11779" width="9.77734375" style="205" bestFit="1" customWidth="1"/>
    <col min="11780" max="11780" width="12.21875" style="205" bestFit="1" customWidth="1"/>
    <col min="11781" max="11781" width="13.77734375" style="205" bestFit="1" customWidth="1"/>
    <col min="11782" max="11783" width="10.77734375" style="205" bestFit="1" customWidth="1"/>
    <col min="11784" max="11785" width="12.21875" style="205" bestFit="1" customWidth="1"/>
    <col min="11786" max="11786" width="14.44140625" style="205" bestFit="1" customWidth="1"/>
    <col min="11787" max="11787" width="16.77734375" style="205" customWidth="1"/>
    <col min="11788" max="11788" width="17.77734375" style="205" bestFit="1" customWidth="1"/>
    <col min="11789" max="11789" width="20" style="205" customWidth="1"/>
    <col min="11790" max="11790" width="17.77734375" style="205" bestFit="1" customWidth="1"/>
    <col min="11791" max="11791" width="15.44140625" style="205" bestFit="1" customWidth="1"/>
    <col min="11792" max="12030" width="12.44140625" style="205"/>
    <col min="12031" max="12031" width="9.21875" style="205" bestFit="1" customWidth="1"/>
    <col min="12032" max="12032" width="29.21875" style="205" bestFit="1" customWidth="1"/>
    <col min="12033" max="12033" width="13.21875" style="205" bestFit="1" customWidth="1"/>
    <col min="12034" max="12035" width="9.77734375" style="205" bestFit="1" customWidth="1"/>
    <col min="12036" max="12036" width="12.21875" style="205" bestFit="1" customWidth="1"/>
    <col min="12037" max="12037" width="13.77734375" style="205" bestFit="1" customWidth="1"/>
    <col min="12038" max="12039" width="10.77734375" style="205" bestFit="1" customWidth="1"/>
    <col min="12040" max="12041" width="12.21875" style="205" bestFit="1" customWidth="1"/>
    <col min="12042" max="12042" width="14.44140625" style="205" bestFit="1" customWidth="1"/>
    <col min="12043" max="12043" width="16.77734375" style="205" customWidth="1"/>
    <col min="12044" max="12044" width="17.77734375" style="205" bestFit="1" customWidth="1"/>
    <col min="12045" max="12045" width="20" style="205" customWidth="1"/>
    <col min="12046" max="12046" width="17.77734375" style="205" bestFit="1" customWidth="1"/>
    <col min="12047" max="12047" width="15.44140625" style="205" bestFit="1" customWidth="1"/>
    <col min="12048" max="12286" width="12.44140625" style="205"/>
    <col min="12287" max="12287" width="9.21875" style="205" bestFit="1" customWidth="1"/>
    <col min="12288" max="12288" width="29.21875" style="205" bestFit="1" customWidth="1"/>
    <col min="12289" max="12289" width="13.21875" style="205" bestFit="1" customWidth="1"/>
    <col min="12290" max="12291" width="9.77734375" style="205" bestFit="1" customWidth="1"/>
    <col min="12292" max="12292" width="12.21875" style="205" bestFit="1" customWidth="1"/>
    <col min="12293" max="12293" width="13.77734375" style="205" bestFit="1" customWidth="1"/>
    <col min="12294" max="12295" width="10.77734375" style="205" bestFit="1" customWidth="1"/>
    <col min="12296" max="12297" width="12.21875" style="205" bestFit="1" customWidth="1"/>
    <col min="12298" max="12298" width="14.44140625" style="205" bestFit="1" customWidth="1"/>
    <col min="12299" max="12299" width="16.77734375" style="205" customWidth="1"/>
    <col min="12300" max="12300" width="17.77734375" style="205" bestFit="1" customWidth="1"/>
    <col min="12301" max="12301" width="20" style="205" customWidth="1"/>
    <col min="12302" max="12302" width="17.77734375" style="205" bestFit="1" customWidth="1"/>
    <col min="12303" max="12303" width="15.44140625" style="205" bestFit="1" customWidth="1"/>
    <col min="12304" max="12542" width="12.44140625" style="205"/>
    <col min="12543" max="12543" width="9.21875" style="205" bestFit="1" customWidth="1"/>
    <col min="12544" max="12544" width="29.21875" style="205" bestFit="1" customWidth="1"/>
    <col min="12545" max="12545" width="13.21875" style="205" bestFit="1" customWidth="1"/>
    <col min="12546" max="12547" width="9.77734375" style="205" bestFit="1" customWidth="1"/>
    <col min="12548" max="12548" width="12.21875" style="205" bestFit="1" customWidth="1"/>
    <col min="12549" max="12549" width="13.77734375" style="205" bestFit="1" customWidth="1"/>
    <col min="12550" max="12551" width="10.77734375" style="205" bestFit="1" customWidth="1"/>
    <col min="12552" max="12553" width="12.21875" style="205" bestFit="1" customWidth="1"/>
    <col min="12554" max="12554" width="14.44140625" style="205" bestFit="1" customWidth="1"/>
    <col min="12555" max="12555" width="16.77734375" style="205" customWidth="1"/>
    <col min="12556" max="12556" width="17.77734375" style="205" bestFit="1" customWidth="1"/>
    <col min="12557" max="12557" width="20" style="205" customWidth="1"/>
    <col min="12558" max="12558" width="17.77734375" style="205" bestFit="1" customWidth="1"/>
    <col min="12559" max="12559" width="15.44140625" style="205" bestFit="1" customWidth="1"/>
    <col min="12560" max="12798" width="12.44140625" style="205"/>
    <col min="12799" max="12799" width="9.21875" style="205" bestFit="1" customWidth="1"/>
    <col min="12800" max="12800" width="29.21875" style="205" bestFit="1" customWidth="1"/>
    <col min="12801" max="12801" width="13.21875" style="205" bestFit="1" customWidth="1"/>
    <col min="12802" max="12803" width="9.77734375" style="205" bestFit="1" customWidth="1"/>
    <col min="12804" max="12804" width="12.21875" style="205" bestFit="1" customWidth="1"/>
    <col min="12805" max="12805" width="13.77734375" style="205" bestFit="1" customWidth="1"/>
    <col min="12806" max="12807" width="10.77734375" style="205" bestFit="1" customWidth="1"/>
    <col min="12808" max="12809" width="12.21875" style="205" bestFit="1" customWidth="1"/>
    <col min="12810" max="12810" width="14.44140625" style="205" bestFit="1" customWidth="1"/>
    <col min="12811" max="12811" width="16.77734375" style="205" customWidth="1"/>
    <col min="12812" max="12812" width="17.77734375" style="205" bestFit="1" customWidth="1"/>
    <col min="12813" max="12813" width="20" style="205" customWidth="1"/>
    <col min="12814" max="12814" width="17.77734375" style="205" bestFit="1" customWidth="1"/>
    <col min="12815" max="12815" width="15.44140625" style="205" bestFit="1" customWidth="1"/>
    <col min="12816" max="13054" width="12.44140625" style="205"/>
    <col min="13055" max="13055" width="9.21875" style="205" bestFit="1" customWidth="1"/>
    <col min="13056" max="13056" width="29.21875" style="205" bestFit="1" customWidth="1"/>
    <col min="13057" max="13057" width="13.21875" style="205" bestFit="1" customWidth="1"/>
    <col min="13058" max="13059" width="9.77734375" style="205" bestFit="1" customWidth="1"/>
    <col min="13060" max="13060" width="12.21875" style="205" bestFit="1" customWidth="1"/>
    <col min="13061" max="13061" width="13.77734375" style="205" bestFit="1" customWidth="1"/>
    <col min="13062" max="13063" width="10.77734375" style="205" bestFit="1" customWidth="1"/>
    <col min="13064" max="13065" width="12.21875" style="205" bestFit="1" customWidth="1"/>
    <col min="13066" max="13066" width="14.44140625" style="205" bestFit="1" customWidth="1"/>
    <col min="13067" max="13067" width="16.77734375" style="205" customWidth="1"/>
    <col min="13068" max="13068" width="17.77734375" style="205" bestFit="1" customWidth="1"/>
    <col min="13069" max="13069" width="20" style="205" customWidth="1"/>
    <col min="13070" max="13070" width="17.77734375" style="205" bestFit="1" customWidth="1"/>
    <col min="13071" max="13071" width="15.44140625" style="205" bestFit="1" customWidth="1"/>
    <col min="13072" max="13310" width="12.44140625" style="205"/>
    <col min="13311" max="13311" width="9.21875" style="205" bestFit="1" customWidth="1"/>
    <col min="13312" max="13312" width="29.21875" style="205" bestFit="1" customWidth="1"/>
    <col min="13313" max="13313" width="13.21875" style="205" bestFit="1" customWidth="1"/>
    <col min="13314" max="13315" width="9.77734375" style="205" bestFit="1" customWidth="1"/>
    <col min="13316" max="13316" width="12.21875" style="205" bestFit="1" customWidth="1"/>
    <col min="13317" max="13317" width="13.77734375" style="205" bestFit="1" customWidth="1"/>
    <col min="13318" max="13319" width="10.77734375" style="205" bestFit="1" customWidth="1"/>
    <col min="13320" max="13321" width="12.21875" style="205" bestFit="1" customWidth="1"/>
    <col min="13322" max="13322" width="14.44140625" style="205" bestFit="1" customWidth="1"/>
    <col min="13323" max="13323" width="16.77734375" style="205" customWidth="1"/>
    <col min="13324" max="13324" width="17.77734375" style="205" bestFit="1" customWidth="1"/>
    <col min="13325" max="13325" width="20" style="205" customWidth="1"/>
    <col min="13326" max="13326" width="17.77734375" style="205" bestFit="1" customWidth="1"/>
    <col min="13327" max="13327" width="15.44140625" style="205" bestFit="1" customWidth="1"/>
    <col min="13328" max="13566" width="12.44140625" style="205"/>
    <col min="13567" max="13567" width="9.21875" style="205" bestFit="1" customWidth="1"/>
    <col min="13568" max="13568" width="29.21875" style="205" bestFit="1" customWidth="1"/>
    <col min="13569" max="13569" width="13.21875" style="205" bestFit="1" customWidth="1"/>
    <col min="13570" max="13571" width="9.77734375" style="205" bestFit="1" customWidth="1"/>
    <col min="13572" max="13572" width="12.21875" style="205" bestFit="1" customWidth="1"/>
    <col min="13573" max="13573" width="13.77734375" style="205" bestFit="1" customWidth="1"/>
    <col min="13574" max="13575" width="10.77734375" style="205" bestFit="1" customWidth="1"/>
    <col min="13576" max="13577" width="12.21875" style="205" bestFit="1" customWidth="1"/>
    <col min="13578" max="13578" width="14.44140625" style="205" bestFit="1" customWidth="1"/>
    <col min="13579" max="13579" width="16.77734375" style="205" customWidth="1"/>
    <col min="13580" max="13580" width="17.77734375" style="205" bestFit="1" customWidth="1"/>
    <col min="13581" max="13581" width="20" style="205" customWidth="1"/>
    <col min="13582" max="13582" width="17.77734375" style="205" bestFit="1" customWidth="1"/>
    <col min="13583" max="13583" width="15.44140625" style="205" bestFit="1" customWidth="1"/>
    <col min="13584" max="13822" width="12.44140625" style="205"/>
    <col min="13823" max="13823" width="9.21875" style="205" bestFit="1" customWidth="1"/>
    <col min="13824" max="13824" width="29.21875" style="205" bestFit="1" customWidth="1"/>
    <col min="13825" max="13825" width="13.21875" style="205" bestFit="1" customWidth="1"/>
    <col min="13826" max="13827" width="9.77734375" style="205" bestFit="1" customWidth="1"/>
    <col min="13828" max="13828" width="12.21875" style="205" bestFit="1" customWidth="1"/>
    <col min="13829" max="13829" width="13.77734375" style="205" bestFit="1" customWidth="1"/>
    <col min="13830" max="13831" width="10.77734375" style="205" bestFit="1" customWidth="1"/>
    <col min="13832" max="13833" width="12.21875" style="205" bestFit="1" customWidth="1"/>
    <col min="13834" max="13834" width="14.44140625" style="205" bestFit="1" customWidth="1"/>
    <col min="13835" max="13835" width="16.77734375" style="205" customWidth="1"/>
    <col min="13836" max="13836" width="17.77734375" style="205" bestFit="1" customWidth="1"/>
    <col min="13837" max="13837" width="20" style="205" customWidth="1"/>
    <col min="13838" max="13838" width="17.77734375" style="205" bestFit="1" customWidth="1"/>
    <col min="13839" max="13839" width="15.44140625" style="205" bestFit="1" customWidth="1"/>
    <col min="13840" max="14078" width="12.44140625" style="205"/>
    <col min="14079" max="14079" width="9.21875" style="205" bestFit="1" customWidth="1"/>
    <col min="14080" max="14080" width="29.21875" style="205" bestFit="1" customWidth="1"/>
    <col min="14081" max="14081" width="13.21875" style="205" bestFit="1" customWidth="1"/>
    <col min="14082" max="14083" width="9.77734375" style="205" bestFit="1" customWidth="1"/>
    <col min="14084" max="14084" width="12.21875" style="205" bestFit="1" customWidth="1"/>
    <col min="14085" max="14085" width="13.77734375" style="205" bestFit="1" customWidth="1"/>
    <col min="14086" max="14087" width="10.77734375" style="205" bestFit="1" customWidth="1"/>
    <col min="14088" max="14089" width="12.21875" style="205" bestFit="1" customWidth="1"/>
    <col min="14090" max="14090" width="14.44140625" style="205" bestFit="1" customWidth="1"/>
    <col min="14091" max="14091" width="16.77734375" style="205" customWidth="1"/>
    <col min="14092" max="14092" width="17.77734375" style="205" bestFit="1" customWidth="1"/>
    <col min="14093" max="14093" width="20" style="205" customWidth="1"/>
    <col min="14094" max="14094" width="17.77734375" style="205" bestFit="1" customWidth="1"/>
    <col min="14095" max="14095" width="15.44140625" style="205" bestFit="1" customWidth="1"/>
    <col min="14096" max="14334" width="12.44140625" style="205"/>
    <col min="14335" max="14335" width="9.21875" style="205" bestFit="1" customWidth="1"/>
    <col min="14336" max="14336" width="29.21875" style="205" bestFit="1" customWidth="1"/>
    <col min="14337" max="14337" width="13.21875" style="205" bestFit="1" customWidth="1"/>
    <col min="14338" max="14339" width="9.77734375" style="205" bestFit="1" customWidth="1"/>
    <col min="14340" max="14340" width="12.21875" style="205" bestFit="1" customWidth="1"/>
    <col min="14341" max="14341" width="13.77734375" style="205" bestFit="1" customWidth="1"/>
    <col min="14342" max="14343" width="10.77734375" style="205" bestFit="1" customWidth="1"/>
    <col min="14344" max="14345" width="12.21875" style="205" bestFit="1" customWidth="1"/>
    <col min="14346" max="14346" width="14.44140625" style="205" bestFit="1" customWidth="1"/>
    <col min="14347" max="14347" width="16.77734375" style="205" customWidth="1"/>
    <col min="14348" max="14348" width="17.77734375" style="205" bestFit="1" customWidth="1"/>
    <col min="14349" max="14349" width="20" style="205" customWidth="1"/>
    <col min="14350" max="14350" width="17.77734375" style="205" bestFit="1" customWidth="1"/>
    <col min="14351" max="14351" width="15.44140625" style="205" bestFit="1" customWidth="1"/>
    <col min="14352" max="14590" width="12.44140625" style="205"/>
    <col min="14591" max="14591" width="9.21875" style="205" bestFit="1" customWidth="1"/>
    <col min="14592" max="14592" width="29.21875" style="205" bestFit="1" customWidth="1"/>
    <col min="14593" max="14593" width="13.21875" style="205" bestFit="1" customWidth="1"/>
    <col min="14594" max="14595" width="9.77734375" style="205" bestFit="1" customWidth="1"/>
    <col min="14596" max="14596" width="12.21875" style="205" bestFit="1" customWidth="1"/>
    <col min="14597" max="14597" width="13.77734375" style="205" bestFit="1" customWidth="1"/>
    <col min="14598" max="14599" width="10.77734375" style="205" bestFit="1" customWidth="1"/>
    <col min="14600" max="14601" width="12.21875" style="205" bestFit="1" customWidth="1"/>
    <col min="14602" max="14602" width="14.44140625" style="205" bestFit="1" customWidth="1"/>
    <col min="14603" max="14603" width="16.77734375" style="205" customWidth="1"/>
    <col min="14604" max="14604" width="17.77734375" style="205" bestFit="1" customWidth="1"/>
    <col min="14605" max="14605" width="20" style="205" customWidth="1"/>
    <col min="14606" max="14606" width="17.77734375" style="205" bestFit="1" customWidth="1"/>
    <col min="14607" max="14607" width="15.44140625" style="205" bestFit="1" customWidth="1"/>
    <col min="14608" max="14846" width="12.44140625" style="205"/>
    <col min="14847" max="14847" width="9.21875" style="205" bestFit="1" customWidth="1"/>
    <col min="14848" max="14848" width="29.21875" style="205" bestFit="1" customWidth="1"/>
    <col min="14849" max="14849" width="13.21875" style="205" bestFit="1" customWidth="1"/>
    <col min="14850" max="14851" width="9.77734375" style="205" bestFit="1" customWidth="1"/>
    <col min="14852" max="14852" width="12.21875" style="205" bestFit="1" customWidth="1"/>
    <col min="14853" max="14853" width="13.77734375" style="205" bestFit="1" customWidth="1"/>
    <col min="14854" max="14855" width="10.77734375" style="205" bestFit="1" customWidth="1"/>
    <col min="14856" max="14857" width="12.21875" style="205" bestFit="1" customWidth="1"/>
    <col min="14858" max="14858" width="14.44140625" style="205" bestFit="1" customWidth="1"/>
    <col min="14859" max="14859" width="16.77734375" style="205" customWidth="1"/>
    <col min="14860" max="14860" width="17.77734375" style="205" bestFit="1" customWidth="1"/>
    <col min="14861" max="14861" width="20" style="205" customWidth="1"/>
    <col min="14862" max="14862" width="17.77734375" style="205" bestFit="1" customWidth="1"/>
    <col min="14863" max="14863" width="15.44140625" style="205" bestFit="1" customWidth="1"/>
    <col min="14864" max="15102" width="12.44140625" style="205"/>
    <col min="15103" max="15103" width="9.21875" style="205" bestFit="1" customWidth="1"/>
    <col min="15104" max="15104" width="29.21875" style="205" bestFit="1" customWidth="1"/>
    <col min="15105" max="15105" width="13.21875" style="205" bestFit="1" customWidth="1"/>
    <col min="15106" max="15107" width="9.77734375" style="205" bestFit="1" customWidth="1"/>
    <col min="15108" max="15108" width="12.21875" style="205" bestFit="1" customWidth="1"/>
    <col min="15109" max="15109" width="13.77734375" style="205" bestFit="1" customWidth="1"/>
    <col min="15110" max="15111" width="10.77734375" style="205" bestFit="1" customWidth="1"/>
    <col min="15112" max="15113" width="12.21875" style="205" bestFit="1" customWidth="1"/>
    <col min="15114" max="15114" width="14.44140625" style="205" bestFit="1" customWidth="1"/>
    <col min="15115" max="15115" width="16.77734375" style="205" customWidth="1"/>
    <col min="15116" max="15116" width="17.77734375" style="205" bestFit="1" customWidth="1"/>
    <col min="15117" max="15117" width="20" style="205" customWidth="1"/>
    <col min="15118" max="15118" width="17.77734375" style="205" bestFit="1" customWidth="1"/>
    <col min="15119" max="15119" width="15.44140625" style="205" bestFit="1" customWidth="1"/>
    <col min="15120" max="15358" width="12.44140625" style="205"/>
    <col min="15359" max="15359" width="9.21875" style="205" bestFit="1" customWidth="1"/>
    <col min="15360" max="15360" width="29.21875" style="205" bestFit="1" customWidth="1"/>
    <col min="15361" max="15361" width="13.21875" style="205" bestFit="1" customWidth="1"/>
    <col min="15362" max="15363" width="9.77734375" style="205" bestFit="1" customWidth="1"/>
    <col min="15364" max="15364" width="12.21875" style="205" bestFit="1" customWidth="1"/>
    <col min="15365" max="15365" width="13.77734375" style="205" bestFit="1" customWidth="1"/>
    <col min="15366" max="15367" width="10.77734375" style="205" bestFit="1" customWidth="1"/>
    <col min="15368" max="15369" width="12.21875" style="205" bestFit="1" customWidth="1"/>
    <col min="15370" max="15370" width="14.44140625" style="205" bestFit="1" customWidth="1"/>
    <col min="15371" max="15371" width="16.77734375" style="205" customWidth="1"/>
    <col min="15372" max="15372" width="17.77734375" style="205" bestFit="1" customWidth="1"/>
    <col min="15373" max="15373" width="20" style="205" customWidth="1"/>
    <col min="15374" max="15374" width="17.77734375" style="205" bestFit="1" customWidth="1"/>
    <col min="15375" max="15375" width="15.44140625" style="205" bestFit="1" customWidth="1"/>
    <col min="15376" max="15614" width="12.44140625" style="205"/>
    <col min="15615" max="15615" width="9.21875" style="205" bestFit="1" customWidth="1"/>
    <col min="15616" max="15616" width="29.21875" style="205" bestFit="1" customWidth="1"/>
    <col min="15617" max="15617" width="13.21875" style="205" bestFit="1" customWidth="1"/>
    <col min="15618" max="15619" width="9.77734375" style="205" bestFit="1" customWidth="1"/>
    <col min="15620" max="15620" width="12.21875" style="205" bestFit="1" customWidth="1"/>
    <col min="15621" max="15621" width="13.77734375" style="205" bestFit="1" customWidth="1"/>
    <col min="15622" max="15623" width="10.77734375" style="205" bestFit="1" customWidth="1"/>
    <col min="15624" max="15625" width="12.21875" style="205" bestFit="1" customWidth="1"/>
    <col min="15626" max="15626" width="14.44140625" style="205" bestFit="1" customWidth="1"/>
    <col min="15627" max="15627" width="16.77734375" style="205" customWidth="1"/>
    <col min="15628" max="15628" width="17.77734375" style="205" bestFit="1" customWidth="1"/>
    <col min="15629" max="15629" width="20" style="205" customWidth="1"/>
    <col min="15630" max="15630" width="17.77734375" style="205" bestFit="1" customWidth="1"/>
    <col min="15631" max="15631" width="15.44140625" style="205" bestFit="1" customWidth="1"/>
    <col min="15632" max="15870" width="12.44140625" style="205"/>
    <col min="15871" max="15871" width="9.21875" style="205" bestFit="1" customWidth="1"/>
    <col min="15872" max="15872" width="29.21875" style="205" bestFit="1" customWidth="1"/>
    <col min="15873" max="15873" width="13.21875" style="205" bestFit="1" customWidth="1"/>
    <col min="15874" max="15875" width="9.77734375" style="205" bestFit="1" customWidth="1"/>
    <col min="15876" max="15876" width="12.21875" style="205" bestFit="1" customWidth="1"/>
    <col min="15877" max="15877" width="13.77734375" style="205" bestFit="1" customWidth="1"/>
    <col min="15878" max="15879" width="10.77734375" style="205" bestFit="1" customWidth="1"/>
    <col min="15880" max="15881" width="12.21875" style="205" bestFit="1" customWidth="1"/>
    <col min="15882" max="15882" width="14.44140625" style="205" bestFit="1" customWidth="1"/>
    <col min="15883" max="15883" width="16.77734375" style="205" customWidth="1"/>
    <col min="15884" max="15884" width="17.77734375" style="205" bestFit="1" customWidth="1"/>
    <col min="15885" max="15885" width="20" style="205" customWidth="1"/>
    <col min="15886" max="15886" width="17.77734375" style="205" bestFit="1" customWidth="1"/>
    <col min="15887" max="15887" width="15.44140625" style="205" bestFit="1" customWidth="1"/>
    <col min="15888" max="16126" width="12.44140625" style="205"/>
    <col min="16127" max="16127" width="9.21875" style="205" bestFit="1" customWidth="1"/>
    <col min="16128" max="16128" width="29.21875" style="205" bestFit="1" customWidth="1"/>
    <col min="16129" max="16129" width="13.21875" style="205" bestFit="1" customWidth="1"/>
    <col min="16130" max="16131" width="9.77734375" style="205" bestFit="1" customWidth="1"/>
    <col min="16132" max="16132" width="12.21875" style="205" bestFit="1" customWidth="1"/>
    <col min="16133" max="16133" width="13.77734375" style="205" bestFit="1" customWidth="1"/>
    <col min="16134" max="16135" width="10.77734375" style="205" bestFit="1" customWidth="1"/>
    <col min="16136" max="16137" width="12.21875" style="205" bestFit="1" customWidth="1"/>
    <col min="16138" max="16138" width="14.44140625" style="205" bestFit="1" customWidth="1"/>
    <col min="16139" max="16139" width="16.77734375" style="205" customWidth="1"/>
    <col min="16140" max="16140" width="17.77734375" style="205" bestFit="1" customWidth="1"/>
    <col min="16141" max="16141" width="20" style="205" customWidth="1"/>
    <col min="16142" max="16142" width="17.77734375" style="205" bestFit="1" customWidth="1"/>
    <col min="16143" max="16143" width="15.44140625" style="205" bestFit="1" customWidth="1"/>
    <col min="16144" max="16384" width="12.44140625" style="205"/>
  </cols>
  <sheetData>
    <row r="1" spans="1:16">
      <c r="A1" s="205">
        <v>1</v>
      </c>
      <c r="B1" s="206">
        <v>2</v>
      </c>
      <c r="C1" s="206">
        <v>3</v>
      </c>
      <c r="D1" s="206">
        <v>4</v>
      </c>
      <c r="E1" s="206">
        <v>5</v>
      </c>
      <c r="F1" s="206">
        <v>6</v>
      </c>
      <c r="G1" s="206">
        <v>7</v>
      </c>
      <c r="H1" s="206">
        <v>8</v>
      </c>
      <c r="I1" s="206">
        <v>9</v>
      </c>
      <c r="J1" s="206">
        <v>10</v>
      </c>
      <c r="K1" s="206">
        <v>11</v>
      </c>
      <c r="L1" s="206">
        <v>12</v>
      </c>
      <c r="M1" s="206">
        <v>13</v>
      </c>
      <c r="N1" s="206">
        <v>14</v>
      </c>
      <c r="O1" s="206">
        <v>15</v>
      </c>
      <c r="P1" s="205">
        <v>16</v>
      </c>
    </row>
    <row r="2" spans="1:16" s="325" customFormat="1" ht="24.6" customHeight="1">
      <c r="A2" s="325" t="s">
        <v>1009</v>
      </c>
      <c r="B2" s="326" t="s">
        <v>1010</v>
      </c>
      <c r="C2" s="324" t="s">
        <v>1241</v>
      </c>
      <c r="D2" s="324" t="s">
        <v>1242</v>
      </c>
      <c r="E2" s="324" t="s">
        <v>1243</v>
      </c>
      <c r="F2" s="324" t="s">
        <v>1269</v>
      </c>
      <c r="G2" s="324" t="s">
        <v>1270</v>
      </c>
      <c r="H2" s="324" t="s">
        <v>1271</v>
      </c>
      <c r="I2" s="324" t="s">
        <v>1272</v>
      </c>
      <c r="J2" s="324" t="s">
        <v>1342</v>
      </c>
      <c r="K2" s="324" t="s">
        <v>1255</v>
      </c>
      <c r="L2" s="324" t="s">
        <v>1256</v>
      </c>
      <c r="M2" s="324" t="s">
        <v>1257</v>
      </c>
      <c r="N2" s="324" t="s">
        <v>1273</v>
      </c>
      <c r="O2" s="324" t="s">
        <v>1274</v>
      </c>
      <c r="P2" s="325" t="s">
        <v>629</v>
      </c>
    </row>
    <row r="3" spans="1:16">
      <c r="A3" s="205" t="s">
        <v>61</v>
      </c>
      <c r="B3" s="206" t="s">
        <v>62</v>
      </c>
      <c r="C3" s="208">
        <v>0</v>
      </c>
      <c r="D3" s="209">
        <v>17.5</v>
      </c>
      <c r="E3" s="209">
        <v>3</v>
      </c>
      <c r="F3" s="209">
        <v>153.02000000000001</v>
      </c>
      <c r="G3" s="207">
        <v>0.13400000000000001</v>
      </c>
      <c r="H3" s="207">
        <v>0</v>
      </c>
      <c r="I3" s="210">
        <v>8944.49</v>
      </c>
      <c r="J3" s="209">
        <v>80.819999999999993</v>
      </c>
      <c r="K3" s="211">
        <v>0</v>
      </c>
      <c r="L3" s="209">
        <v>151074.87</v>
      </c>
      <c r="M3" s="209">
        <v>25576.45</v>
      </c>
      <c r="N3" s="209">
        <v>-19550.34</v>
      </c>
      <c r="O3" s="211">
        <v>-157100.98000000001</v>
      </c>
      <c r="P3" s="211">
        <f>N3+M3+L3+K3</f>
        <v>157100.97999999998</v>
      </c>
    </row>
    <row r="4" spans="1:16">
      <c r="A4" s="212" t="s">
        <v>73</v>
      </c>
      <c r="B4" s="206" t="s">
        <v>74</v>
      </c>
      <c r="C4" s="208">
        <v>3</v>
      </c>
      <c r="D4" s="209">
        <v>35.5</v>
      </c>
      <c r="E4" s="209">
        <v>12</v>
      </c>
      <c r="F4" s="209">
        <v>356.89</v>
      </c>
      <c r="G4" s="207">
        <v>0.1331</v>
      </c>
      <c r="H4" s="207">
        <v>0</v>
      </c>
      <c r="I4" s="210">
        <v>8752.76</v>
      </c>
      <c r="J4" s="209">
        <v>77.58</v>
      </c>
      <c r="K4" s="211">
        <v>29633.05</v>
      </c>
      <c r="L4" s="209">
        <v>306466.15999999997</v>
      </c>
      <c r="M4" s="209">
        <v>102305.8</v>
      </c>
      <c r="N4" s="209">
        <v>-45239.58</v>
      </c>
      <c r="O4" s="211">
        <v>-393165.43</v>
      </c>
      <c r="P4" s="211">
        <f t="shared" ref="P4:P30" si="0">N4+M4+L4+K4</f>
        <v>393165.43</v>
      </c>
    </row>
    <row r="5" spans="1:16">
      <c r="A5" s="205" t="s">
        <v>79</v>
      </c>
      <c r="B5" s="206" t="s">
        <v>80</v>
      </c>
      <c r="C5" s="208">
        <v>4.75</v>
      </c>
      <c r="D5" s="209">
        <v>42.75</v>
      </c>
      <c r="E5" s="209">
        <v>61.25</v>
      </c>
      <c r="F5" s="209">
        <v>696.68</v>
      </c>
      <c r="G5" s="207">
        <v>0.14929999999999999</v>
      </c>
      <c r="H5" s="207">
        <v>1.43E-2</v>
      </c>
      <c r="I5" s="210">
        <v>8631.82</v>
      </c>
      <c r="J5" s="209">
        <v>76.42</v>
      </c>
      <c r="K5" s="211">
        <v>46919</v>
      </c>
      <c r="L5" s="209">
        <v>369054.32</v>
      </c>
      <c r="M5" s="209">
        <v>522185.87</v>
      </c>
      <c r="N5" s="209">
        <v>-98635.28</v>
      </c>
      <c r="O5" s="211">
        <v>-839523.91</v>
      </c>
      <c r="P5" s="211">
        <f t="shared" si="0"/>
        <v>839523.90999999992</v>
      </c>
    </row>
    <row r="6" spans="1:16">
      <c r="A6" s="205" t="s">
        <v>83</v>
      </c>
      <c r="B6" s="206" t="s">
        <v>84</v>
      </c>
      <c r="C6" s="208">
        <v>15</v>
      </c>
      <c r="D6" s="209">
        <v>127.25</v>
      </c>
      <c r="E6" s="209">
        <v>55.75</v>
      </c>
      <c r="F6" s="209">
        <v>1043.6099999999999</v>
      </c>
      <c r="G6" s="207">
        <v>0.1754</v>
      </c>
      <c r="H6" s="207">
        <v>4.0399999999999998E-2</v>
      </c>
      <c r="I6" s="210">
        <v>8684.85</v>
      </c>
      <c r="J6" s="209">
        <v>76.650000000000006</v>
      </c>
      <c r="K6" s="211">
        <v>148165.25</v>
      </c>
      <c r="L6" s="209">
        <v>1098530.1200000001</v>
      </c>
      <c r="M6" s="209">
        <v>475295.71</v>
      </c>
      <c r="N6" s="209">
        <v>-174178.35</v>
      </c>
      <c r="O6" s="211">
        <v>-1547812.73</v>
      </c>
      <c r="P6" s="211">
        <f t="shared" si="0"/>
        <v>1547812.73</v>
      </c>
    </row>
    <row r="7" spans="1:16">
      <c r="A7" s="205" t="s">
        <v>89</v>
      </c>
      <c r="B7" s="206" t="s">
        <v>90</v>
      </c>
      <c r="C7" s="208">
        <v>1.75</v>
      </c>
      <c r="D7" s="209">
        <v>12</v>
      </c>
      <c r="E7" s="209">
        <v>2.75</v>
      </c>
      <c r="F7" s="209">
        <v>138.08000000000001</v>
      </c>
      <c r="G7" s="207">
        <v>0.10680000000000001</v>
      </c>
      <c r="H7" s="207">
        <v>0</v>
      </c>
      <c r="I7" s="210">
        <v>8829.65</v>
      </c>
      <c r="J7" s="209">
        <v>79.28</v>
      </c>
      <c r="K7" s="211">
        <v>17285.95</v>
      </c>
      <c r="L7" s="209">
        <v>103594.2</v>
      </c>
      <c r="M7" s="209">
        <v>23445.08</v>
      </c>
      <c r="N7" s="209">
        <v>-14059.68</v>
      </c>
      <c r="O7" s="211">
        <v>-130265.55</v>
      </c>
      <c r="P7" s="211">
        <f t="shared" si="0"/>
        <v>130265.55</v>
      </c>
    </row>
    <row r="8" spans="1:16">
      <c r="A8" s="213" t="s">
        <v>99</v>
      </c>
      <c r="B8" s="206" t="s">
        <v>100</v>
      </c>
      <c r="C8" s="208">
        <v>0.5</v>
      </c>
      <c r="D8" s="209">
        <v>35</v>
      </c>
      <c r="E8" s="209">
        <v>8</v>
      </c>
      <c r="F8" s="209">
        <v>258.76</v>
      </c>
      <c r="G8" s="207">
        <v>0.16619999999999999</v>
      </c>
      <c r="H8" s="207">
        <v>3.1199999999999999E-2</v>
      </c>
      <c r="I8" s="210">
        <v>8612.4</v>
      </c>
      <c r="J8" s="209">
        <v>75.540000000000006</v>
      </c>
      <c r="K8" s="211">
        <v>4938.84</v>
      </c>
      <c r="L8" s="209">
        <v>302149.74</v>
      </c>
      <c r="M8" s="209">
        <v>68203.87</v>
      </c>
      <c r="N8" s="209">
        <v>-40987.75</v>
      </c>
      <c r="O8" s="211">
        <v>-334304.7</v>
      </c>
      <c r="P8" s="211">
        <f t="shared" si="0"/>
        <v>334304.7</v>
      </c>
    </row>
    <row r="9" spans="1:16">
      <c r="A9" s="212" t="s">
        <v>117</v>
      </c>
      <c r="B9" s="206" t="s">
        <v>118</v>
      </c>
      <c r="C9" s="208">
        <v>0.75</v>
      </c>
      <c r="D9" s="209">
        <v>4</v>
      </c>
      <c r="E9" s="209">
        <v>0</v>
      </c>
      <c r="F9" s="209">
        <v>36.4</v>
      </c>
      <c r="G9" s="207">
        <v>0.1099</v>
      </c>
      <c r="H9" s="207">
        <v>0</v>
      </c>
      <c r="I9" s="210">
        <v>9056.68</v>
      </c>
      <c r="J9" s="209">
        <v>81.87</v>
      </c>
      <c r="K9" s="211">
        <v>7408.26</v>
      </c>
      <c r="L9" s="209">
        <v>34531.4</v>
      </c>
      <c r="M9" s="209">
        <v>0</v>
      </c>
      <c r="N9" s="209">
        <v>-3821.66</v>
      </c>
      <c r="O9" s="211">
        <v>-38118</v>
      </c>
      <c r="P9" s="211">
        <f t="shared" si="0"/>
        <v>38118</v>
      </c>
    </row>
    <row r="10" spans="1:16">
      <c r="A10" s="213" t="s">
        <v>155</v>
      </c>
      <c r="B10" s="206" t="s">
        <v>156</v>
      </c>
      <c r="C10" s="208">
        <v>1</v>
      </c>
      <c r="D10" s="209">
        <v>17</v>
      </c>
      <c r="E10" s="209">
        <v>15.5</v>
      </c>
      <c r="F10" s="209">
        <v>174.77</v>
      </c>
      <c r="G10" s="207">
        <v>0.186</v>
      </c>
      <c r="H10" s="207">
        <v>5.0999999999999997E-2</v>
      </c>
      <c r="I10" s="210">
        <v>8635.66</v>
      </c>
      <c r="J10" s="209">
        <v>75.900000000000006</v>
      </c>
      <c r="K10" s="211">
        <v>9877.68</v>
      </c>
      <c r="L10" s="209">
        <v>146758.44</v>
      </c>
      <c r="M10" s="209">
        <v>132145</v>
      </c>
      <c r="N10" s="209">
        <v>-30866.78</v>
      </c>
      <c r="O10" s="211">
        <v>-257914.34</v>
      </c>
      <c r="P10" s="211">
        <f t="shared" si="0"/>
        <v>257914.34</v>
      </c>
    </row>
    <row r="11" spans="1:16">
      <c r="A11" s="205" t="s">
        <v>251</v>
      </c>
      <c r="B11" s="206" t="s">
        <v>252</v>
      </c>
      <c r="C11" s="208">
        <v>1</v>
      </c>
      <c r="D11" s="209">
        <v>5.5</v>
      </c>
      <c r="E11" s="209">
        <v>0</v>
      </c>
      <c r="F11" s="209">
        <v>60.23</v>
      </c>
      <c r="G11" s="207">
        <v>9.1300000000000006E-2</v>
      </c>
      <c r="H11" s="207">
        <v>0</v>
      </c>
      <c r="I11" s="210">
        <v>8612.64</v>
      </c>
      <c r="J11" s="209">
        <v>75.510000000000005</v>
      </c>
      <c r="K11" s="211">
        <v>9877.68</v>
      </c>
      <c r="L11" s="209">
        <v>47480.67</v>
      </c>
      <c r="M11" s="209">
        <v>0</v>
      </c>
      <c r="N11" s="209">
        <v>-5254.78</v>
      </c>
      <c r="O11" s="211">
        <v>-52103.57</v>
      </c>
      <c r="P11" s="211">
        <f t="shared" si="0"/>
        <v>52103.57</v>
      </c>
    </row>
    <row r="12" spans="1:16">
      <c r="A12" s="205" t="s">
        <v>253</v>
      </c>
      <c r="B12" s="206" t="s">
        <v>254</v>
      </c>
      <c r="C12" s="208">
        <v>1</v>
      </c>
      <c r="D12" s="209">
        <v>12.5</v>
      </c>
      <c r="E12" s="209">
        <v>7</v>
      </c>
      <c r="F12" s="209">
        <v>113.4</v>
      </c>
      <c r="G12" s="207">
        <v>0.17199999999999999</v>
      </c>
      <c r="H12" s="207">
        <v>3.6999999999999998E-2</v>
      </c>
      <c r="I12" s="210">
        <v>8634.5499999999993</v>
      </c>
      <c r="J12" s="209">
        <v>75.92</v>
      </c>
      <c r="K12" s="211">
        <v>9877.68</v>
      </c>
      <c r="L12" s="209">
        <v>107910.62</v>
      </c>
      <c r="M12" s="209">
        <v>59678.38</v>
      </c>
      <c r="N12" s="209">
        <v>-18547.400000000001</v>
      </c>
      <c r="O12" s="211">
        <v>-158919.28</v>
      </c>
      <c r="P12" s="211">
        <f t="shared" si="0"/>
        <v>158919.27999999997</v>
      </c>
    </row>
    <row r="13" spans="1:16">
      <c r="A13" s="205" t="s">
        <v>255</v>
      </c>
      <c r="B13" s="206" t="s">
        <v>256</v>
      </c>
      <c r="C13" s="208">
        <v>0</v>
      </c>
      <c r="D13" s="209">
        <v>7</v>
      </c>
      <c r="E13" s="209">
        <v>0.75</v>
      </c>
      <c r="F13" s="209">
        <v>86.8</v>
      </c>
      <c r="G13" s="207">
        <v>8.9300000000000004E-2</v>
      </c>
      <c r="H13" s="207">
        <v>0</v>
      </c>
      <c r="I13" s="210">
        <v>9205.3799999999992</v>
      </c>
      <c r="J13" s="209">
        <v>84.95</v>
      </c>
      <c r="K13" s="211">
        <v>0</v>
      </c>
      <c r="L13" s="209">
        <v>60429.95</v>
      </c>
      <c r="M13" s="209">
        <v>6394.11</v>
      </c>
      <c r="N13" s="209">
        <v>-7395.55</v>
      </c>
      <c r="O13" s="211">
        <v>-59428.51</v>
      </c>
      <c r="P13" s="211">
        <f t="shared" si="0"/>
        <v>59428.509999999995</v>
      </c>
    </row>
    <row r="14" spans="1:16">
      <c r="A14" s="205" t="s">
        <v>257</v>
      </c>
      <c r="B14" s="206" t="s">
        <v>258</v>
      </c>
      <c r="C14" s="208">
        <v>0.5</v>
      </c>
      <c r="D14" s="209">
        <v>10.5</v>
      </c>
      <c r="E14" s="209">
        <v>6.75</v>
      </c>
      <c r="F14" s="209">
        <v>191.13</v>
      </c>
      <c r="G14" s="207">
        <v>9.0300000000000005E-2</v>
      </c>
      <c r="H14" s="207">
        <v>0</v>
      </c>
      <c r="I14" s="210">
        <v>8592.4</v>
      </c>
      <c r="J14" s="209">
        <v>75.260000000000005</v>
      </c>
      <c r="K14" s="211">
        <v>4938.84</v>
      </c>
      <c r="L14" s="209">
        <v>90644.92</v>
      </c>
      <c r="M14" s="209">
        <v>57547.01</v>
      </c>
      <c r="N14" s="209">
        <v>-16400.689999999999</v>
      </c>
      <c r="O14" s="211">
        <v>-136730.07999999999</v>
      </c>
      <c r="P14" s="211">
        <f t="shared" si="0"/>
        <v>136730.07999999999</v>
      </c>
    </row>
    <row r="15" spans="1:16">
      <c r="A15" s="205" t="s">
        <v>259</v>
      </c>
      <c r="B15" s="206" t="s">
        <v>260</v>
      </c>
      <c r="C15" s="208">
        <v>0</v>
      </c>
      <c r="D15" s="209">
        <v>9</v>
      </c>
      <c r="E15" s="209">
        <v>3</v>
      </c>
      <c r="F15" s="209">
        <v>51.97</v>
      </c>
      <c r="G15" s="207">
        <v>0.23089999999999999</v>
      </c>
      <c r="H15" s="207">
        <v>9.5899999999999999E-2</v>
      </c>
      <c r="I15" s="210">
        <v>8646.26</v>
      </c>
      <c r="J15" s="209">
        <v>76.28</v>
      </c>
      <c r="K15" s="211">
        <v>0</v>
      </c>
      <c r="L15" s="209">
        <v>77695.649999999994</v>
      </c>
      <c r="M15" s="209">
        <v>25576.45</v>
      </c>
      <c r="N15" s="209">
        <v>-11429.32</v>
      </c>
      <c r="O15" s="211">
        <v>-91842.78</v>
      </c>
      <c r="P15" s="211">
        <f t="shared" si="0"/>
        <v>91842.78</v>
      </c>
    </row>
    <row r="16" spans="1:16">
      <c r="A16" s="205" t="s">
        <v>261</v>
      </c>
      <c r="B16" s="206" t="s">
        <v>262</v>
      </c>
      <c r="C16" s="208">
        <v>3</v>
      </c>
      <c r="D16" s="209">
        <v>9.25</v>
      </c>
      <c r="E16" s="209">
        <v>0.25</v>
      </c>
      <c r="F16" s="209">
        <v>92.7</v>
      </c>
      <c r="G16" s="207">
        <v>0.10249999999999999</v>
      </c>
      <c r="H16" s="207">
        <v>0</v>
      </c>
      <c r="I16" s="210">
        <v>8826.0499999999993</v>
      </c>
      <c r="J16" s="209">
        <v>79.2</v>
      </c>
      <c r="K16" s="211">
        <v>29633.05</v>
      </c>
      <c r="L16" s="209">
        <v>79853.86</v>
      </c>
      <c r="M16" s="209">
        <v>2131.37</v>
      </c>
      <c r="N16" s="209">
        <v>-9073.4599999999991</v>
      </c>
      <c r="O16" s="211">
        <v>-102544.82</v>
      </c>
      <c r="P16" s="211">
        <f t="shared" si="0"/>
        <v>102544.82</v>
      </c>
    </row>
    <row r="17" spans="1:16">
      <c r="A17" s="212" t="s">
        <v>263</v>
      </c>
      <c r="B17" s="206" t="s">
        <v>264</v>
      </c>
      <c r="C17" s="208">
        <v>1</v>
      </c>
      <c r="D17" s="209">
        <v>4.25</v>
      </c>
      <c r="E17" s="209">
        <v>1</v>
      </c>
      <c r="F17" s="209">
        <v>34.4</v>
      </c>
      <c r="G17" s="207">
        <v>0.15260000000000001</v>
      </c>
      <c r="H17" s="207">
        <v>1.7600000000000001E-2</v>
      </c>
      <c r="I17" s="210">
        <v>8953.2999999999993</v>
      </c>
      <c r="J17" s="209">
        <v>80.97</v>
      </c>
      <c r="K17" s="211">
        <v>9877.68</v>
      </c>
      <c r="L17" s="209">
        <v>36689.61</v>
      </c>
      <c r="M17" s="209">
        <v>8525.48</v>
      </c>
      <c r="N17" s="209">
        <v>-5004.04</v>
      </c>
      <c r="O17" s="211">
        <v>-50088.73</v>
      </c>
      <c r="P17" s="211">
        <f t="shared" si="0"/>
        <v>50088.73</v>
      </c>
    </row>
    <row r="18" spans="1:16">
      <c r="A18" s="205" t="s">
        <v>265</v>
      </c>
      <c r="B18" s="206" t="s">
        <v>266</v>
      </c>
      <c r="C18" s="208">
        <v>6.75</v>
      </c>
      <c r="D18" s="209">
        <v>224.25</v>
      </c>
      <c r="E18" s="209">
        <v>79.75</v>
      </c>
      <c r="F18" s="209">
        <v>2240.66</v>
      </c>
      <c r="G18" s="207">
        <v>0.13569999999999999</v>
      </c>
      <c r="H18" s="207">
        <v>6.9999999999999999E-4</v>
      </c>
      <c r="I18" s="210">
        <v>8326.26</v>
      </c>
      <c r="J18" s="209">
        <v>70.7</v>
      </c>
      <c r="K18" s="211">
        <v>66674.36</v>
      </c>
      <c r="L18" s="209">
        <v>1935916.54</v>
      </c>
      <c r="M18" s="209">
        <v>679907.31</v>
      </c>
      <c r="N18" s="209">
        <v>-289498.28999999998</v>
      </c>
      <c r="O18" s="211">
        <v>-2392999.92</v>
      </c>
      <c r="P18" s="211">
        <f t="shared" si="0"/>
        <v>2392999.92</v>
      </c>
    </row>
    <row r="19" spans="1:16">
      <c r="A19" s="205" t="s">
        <v>267</v>
      </c>
      <c r="B19" s="206" t="s">
        <v>268</v>
      </c>
      <c r="C19" s="208">
        <v>3.75</v>
      </c>
      <c r="D19" s="209">
        <v>101.25</v>
      </c>
      <c r="E19" s="209">
        <v>43</v>
      </c>
      <c r="F19" s="209">
        <v>1106.8599999999999</v>
      </c>
      <c r="G19" s="207">
        <v>0.1303</v>
      </c>
      <c r="H19" s="207">
        <v>0</v>
      </c>
      <c r="I19" s="210">
        <v>8593.91</v>
      </c>
      <c r="J19" s="209">
        <v>75.33</v>
      </c>
      <c r="K19" s="211">
        <v>37041.31</v>
      </c>
      <c r="L19" s="209">
        <v>874076.03</v>
      </c>
      <c r="M19" s="209">
        <v>366595.79</v>
      </c>
      <c r="N19" s="209">
        <v>-137307.54999999999</v>
      </c>
      <c r="O19" s="211">
        <v>-1140405.58</v>
      </c>
      <c r="P19" s="211">
        <f t="shared" si="0"/>
        <v>1140405.58</v>
      </c>
    </row>
    <row r="20" spans="1:16">
      <c r="A20" s="205" t="s">
        <v>269</v>
      </c>
      <c r="B20" s="206" t="s">
        <v>270</v>
      </c>
      <c r="C20" s="208">
        <v>4.25</v>
      </c>
      <c r="D20" s="209">
        <v>35</v>
      </c>
      <c r="E20" s="209">
        <v>4.5</v>
      </c>
      <c r="F20" s="209">
        <v>214.04</v>
      </c>
      <c r="G20" s="207">
        <v>0.1845</v>
      </c>
      <c r="H20" s="207">
        <v>4.9500000000000002E-2</v>
      </c>
      <c r="I20" s="210">
        <v>8640.52</v>
      </c>
      <c r="J20" s="209">
        <v>76</v>
      </c>
      <c r="K20" s="211">
        <v>41980.15</v>
      </c>
      <c r="L20" s="209">
        <v>302149.74</v>
      </c>
      <c r="M20" s="209">
        <v>38364.68</v>
      </c>
      <c r="N20" s="209">
        <v>-37685.39</v>
      </c>
      <c r="O20" s="211">
        <v>-344809.18</v>
      </c>
      <c r="P20" s="211">
        <f t="shared" si="0"/>
        <v>344809.18</v>
      </c>
    </row>
    <row r="21" spans="1:16">
      <c r="A21" s="205" t="s">
        <v>337</v>
      </c>
      <c r="B21" s="206" t="s">
        <v>338</v>
      </c>
      <c r="C21" s="208">
        <v>8</v>
      </c>
      <c r="D21" s="209">
        <v>68.25</v>
      </c>
      <c r="E21" s="209">
        <v>9</v>
      </c>
      <c r="F21" s="209">
        <v>716.16</v>
      </c>
      <c r="G21" s="207">
        <v>0.1079</v>
      </c>
      <c r="H21" s="207">
        <v>0</v>
      </c>
      <c r="I21" s="210">
        <v>8665.23</v>
      </c>
      <c r="J21" s="209">
        <v>76.27</v>
      </c>
      <c r="K21" s="211">
        <v>79021.47</v>
      </c>
      <c r="L21" s="209">
        <v>589191.99</v>
      </c>
      <c r="M21" s="209">
        <v>76729.350000000006</v>
      </c>
      <c r="N21" s="209">
        <v>-73698.8</v>
      </c>
      <c r="O21" s="211">
        <v>-671244.01</v>
      </c>
      <c r="P21" s="211">
        <f t="shared" si="0"/>
        <v>671244.01</v>
      </c>
    </row>
    <row r="22" spans="1:16">
      <c r="A22" s="205" t="s">
        <v>343</v>
      </c>
      <c r="B22" s="206" t="s">
        <v>344</v>
      </c>
      <c r="C22" s="208">
        <v>9.75</v>
      </c>
      <c r="D22" s="209">
        <v>173.75</v>
      </c>
      <c r="E22" s="209">
        <v>56.75</v>
      </c>
      <c r="F22" s="209">
        <v>1024.17</v>
      </c>
      <c r="G22" s="207">
        <v>0.22509999999999999</v>
      </c>
      <c r="H22" s="207">
        <v>9.01E-2</v>
      </c>
      <c r="I22" s="210">
        <v>8570.67</v>
      </c>
      <c r="J22" s="209">
        <v>74.88</v>
      </c>
      <c r="K22" s="211">
        <v>96307.41</v>
      </c>
      <c r="L22" s="209">
        <v>1499957.63</v>
      </c>
      <c r="M22" s="209">
        <v>483821.19</v>
      </c>
      <c r="N22" s="209">
        <v>-219548.64</v>
      </c>
      <c r="O22" s="211">
        <v>-1860537.59</v>
      </c>
      <c r="P22" s="211">
        <f t="shared" si="0"/>
        <v>1860537.5899999999</v>
      </c>
    </row>
    <row r="23" spans="1:16">
      <c r="A23" s="205" t="s">
        <v>345</v>
      </c>
      <c r="B23" s="206" t="s">
        <v>346</v>
      </c>
      <c r="C23" s="208">
        <v>1.25</v>
      </c>
      <c r="D23" s="209">
        <v>50.5</v>
      </c>
      <c r="E23" s="209">
        <v>31</v>
      </c>
      <c r="F23" s="209">
        <v>522.97</v>
      </c>
      <c r="G23" s="207">
        <v>0.15579999999999999</v>
      </c>
      <c r="H23" s="207">
        <v>2.0799999999999999E-2</v>
      </c>
      <c r="I23" s="210">
        <v>8620.57</v>
      </c>
      <c r="J23" s="209">
        <v>75.63</v>
      </c>
      <c r="K23" s="211">
        <v>12347.1</v>
      </c>
      <c r="L23" s="209">
        <v>435958.91</v>
      </c>
      <c r="M23" s="209">
        <v>264289.99</v>
      </c>
      <c r="N23" s="209">
        <v>-77497.899999999994</v>
      </c>
      <c r="O23" s="211">
        <v>-635098.1</v>
      </c>
      <c r="P23" s="211">
        <f t="shared" si="0"/>
        <v>635098.1</v>
      </c>
    </row>
    <row r="24" spans="1:16">
      <c r="A24" s="205" t="s">
        <v>349</v>
      </c>
      <c r="B24" s="206" t="s">
        <v>350</v>
      </c>
      <c r="C24" s="208">
        <v>1.25</v>
      </c>
      <c r="D24" s="209">
        <v>25.5</v>
      </c>
      <c r="E24" s="209">
        <v>16.25</v>
      </c>
      <c r="F24" s="209">
        <v>312.37</v>
      </c>
      <c r="G24" s="207">
        <v>0.13370000000000001</v>
      </c>
      <c r="H24" s="207">
        <v>0</v>
      </c>
      <c r="I24" s="210">
        <v>8569.86</v>
      </c>
      <c r="J24" s="209">
        <v>75.52</v>
      </c>
      <c r="K24" s="211">
        <v>12347.1</v>
      </c>
      <c r="L24" s="209">
        <v>220137.67</v>
      </c>
      <c r="M24" s="209">
        <v>138539.10999999999</v>
      </c>
      <c r="N24" s="209">
        <v>-39695.449999999997</v>
      </c>
      <c r="O24" s="211">
        <v>-331328.43</v>
      </c>
      <c r="P24" s="211">
        <f t="shared" si="0"/>
        <v>331328.43</v>
      </c>
    </row>
    <row r="25" spans="1:16">
      <c r="A25" s="205" t="s">
        <v>415</v>
      </c>
      <c r="B25" s="206" t="s">
        <v>416</v>
      </c>
      <c r="C25" s="208">
        <v>0.25</v>
      </c>
      <c r="D25" s="209">
        <v>9</v>
      </c>
      <c r="E25" s="209">
        <v>0</v>
      </c>
      <c r="F25" s="209">
        <v>65.2</v>
      </c>
      <c r="G25" s="207">
        <v>0.13800000000000001</v>
      </c>
      <c r="H25" s="207">
        <v>3.0000000000000001E-3</v>
      </c>
      <c r="I25" s="210">
        <v>9334.84</v>
      </c>
      <c r="J25" s="209">
        <v>86.12</v>
      </c>
      <c r="K25" s="211">
        <v>2469.42</v>
      </c>
      <c r="L25" s="209">
        <v>77695.649999999994</v>
      </c>
      <c r="M25" s="209">
        <v>0</v>
      </c>
      <c r="N25" s="209">
        <v>-8598.73</v>
      </c>
      <c r="O25" s="211">
        <v>-71566.34</v>
      </c>
      <c r="P25" s="211">
        <f t="shared" si="0"/>
        <v>71566.34</v>
      </c>
    </row>
    <row r="26" spans="1:16">
      <c r="A26" s="205" t="s">
        <v>417</v>
      </c>
      <c r="B26" s="206" t="s">
        <v>418</v>
      </c>
      <c r="C26" s="208">
        <v>0</v>
      </c>
      <c r="D26" s="209">
        <v>4.5</v>
      </c>
      <c r="E26" s="209">
        <v>0</v>
      </c>
      <c r="F26" s="209">
        <v>59.8</v>
      </c>
      <c r="G26" s="207">
        <v>7.5300000000000006E-2</v>
      </c>
      <c r="H26" s="207">
        <v>0</v>
      </c>
      <c r="I26" s="210">
        <v>9302.75</v>
      </c>
      <c r="J26" s="209">
        <v>85.2</v>
      </c>
      <c r="K26" s="211">
        <v>0</v>
      </c>
      <c r="L26" s="209">
        <v>38847.82</v>
      </c>
      <c r="M26" s="209">
        <v>0</v>
      </c>
      <c r="N26" s="209">
        <v>-4299.3599999999997</v>
      </c>
      <c r="O26" s="211">
        <v>-34548.46</v>
      </c>
      <c r="P26" s="211">
        <f t="shared" si="0"/>
        <v>34548.46</v>
      </c>
    </row>
    <row r="27" spans="1:16">
      <c r="A27" s="205" t="s">
        <v>419</v>
      </c>
      <c r="B27" s="206" t="s">
        <v>420</v>
      </c>
      <c r="C27" s="208">
        <v>0</v>
      </c>
      <c r="D27" s="209">
        <v>4.25</v>
      </c>
      <c r="E27" s="209">
        <v>1</v>
      </c>
      <c r="F27" s="209">
        <v>25.99</v>
      </c>
      <c r="G27" s="207">
        <v>0.20200000000000001</v>
      </c>
      <c r="H27" s="207">
        <v>6.7000000000000004E-2</v>
      </c>
      <c r="I27" s="210">
        <v>8842.1200000000008</v>
      </c>
      <c r="J27" s="209">
        <v>79.06</v>
      </c>
      <c r="K27" s="211">
        <v>0</v>
      </c>
      <c r="L27" s="209">
        <v>36689.61</v>
      </c>
      <c r="M27" s="209">
        <v>8525.48</v>
      </c>
      <c r="N27" s="209">
        <v>-5004.04</v>
      </c>
      <c r="O27" s="211">
        <v>-40211.050000000003</v>
      </c>
      <c r="P27" s="211">
        <f t="shared" si="0"/>
        <v>40211.050000000003</v>
      </c>
    </row>
    <row r="28" spans="1:16">
      <c r="A28" s="205" t="s">
        <v>421</v>
      </c>
      <c r="B28" s="206" t="s">
        <v>422</v>
      </c>
      <c r="C28" s="208">
        <v>12</v>
      </c>
      <c r="D28" s="209">
        <v>80.75</v>
      </c>
      <c r="E28" s="209">
        <v>52</v>
      </c>
      <c r="F28" s="209">
        <v>784.61</v>
      </c>
      <c r="G28" s="207">
        <v>0.16919999999999999</v>
      </c>
      <c r="H28" s="207">
        <v>3.4200000000000001E-2</v>
      </c>
      <c r="I28" s="210">
        <v>8560.2199999999993</v>
      </c>
      <c r="J28" s="209">
        <v>74.930000000000007</v>
      </c>
      <c r="K28" s="211">
        <v>118532.2</v>
      </c>
      <c r="L28" s="209">
        <v>697102.61</v>
      </c>
      <c r="M28" s="209">
        <v>443325.14</v>
      </c>
      <c r="N28" s="209">
        <v>-126213.35</v>
      </c>
      <c r="O28" s="211">
        <v>-1132746.6000000001</v>
      </c>
      <c r="P28" s="211">
        <f t="shared" si="0"/>
        <v>1132746.6000000001</v>
      </c>
    </row>
    <row r="29" spans="1:16">
      <c r="A29" s="212" t="s">
        <v>523</v>
      </c>
      <c r="B29" s="206" t="s">
        <v>524</v>
      </c>
      <c r="C29" s="208">
        <v>3.5</v>
      </c>
      <c r="D29" s="209">
        <v>43.75</v>
      </c>
      <c r="E29" s="209">
        <v>32.5</v>
      </c>
      <c r="F29" s="209">
        <v>451.68</v>
      </c>
      <c r="G29" s="207">
        <v>0.16880000000000001</v>
      </c>
      <c r="H29" s="207">
        <v>3.3799999999999997E-2</v>
      </c>
      <c r="I29" s="210">
        <v>8656.31</v>
      </c>
      <c r="J29" s="209">
        <v>76.540000000000006</v>
      </c>
      <c r="K29" s="211">
        <v>34571.89</v>
      </c>
      <c r="L29" s="209">
        <v>377687.17</v>
      </c>
      <c r="M29" s="209">
        <v>277078.21999999997</v>
      </c>
      <c r="N29" s="209">
        <v>-72464.149999999994</v>
      </c>
      <c r="O29" s="211">
        <v>-616873.13</v>
      </c>
      <c r="P29" s="211">
        <f t="shared" si="0"/>
        <v>616873.13</v>
      </c>
    </row>
    <row r="30" spans="1:16">
      <c r="A30" s="205" t="s">
        <v>525</v>
      </c>
      <c r="B30" s="206" t="s">
        <v>526</v>
      </c>
      <c r="C30" s="208">
        <v>0</v>
      </c>
      <c r="D30" s="209">
        <v>2</v>
      </c>
      <c r="E30" s="209">
        <v>0</v>
      </c>
      <c r="F30" s="209">
        <v>17.600000000000001</v>
      </c>
      <c r="G30" s="207">
        <v>0.11360000000000001</v>
      </c>
      <c r="H30" s="207">
        <v>0</v>
      </c>
      <c r="I30" s="210">
        <v>9608.81</v>
      </c>
      <c r="J30" s="209">
        <v>89.81</v>
      </c>
      <c r="K30" s="211">
        <v>0</v>
      </c>
      <c r="L30" s="209">
        <v>17265.7</v>
      </c>
      <c r="M30" s="209">
        <v>0</v>
      </c>
      <c r="N30" s="209">
        <v>-1910.83</v>
      </c>
      <c r="O30" s="211">
        <v>-15354.87</v>
      </c>
      <c r="P30" s="211">
        <f t="shared" si="0"/>
        <v>15354.87</v>
      </c>
    </row>
    <row r="31" spans="1:16" s="214" customFormat="1" ht="17.399999999999999">
      <c r="A31" s="214" t="s">
        <v>1011</v>
      </c>
      <c r="B31" s="215" t="s">
        <v>1012</v>
      </c>
      <c r="C31" s="217">
        <v>84</v>
      </c>
      <c r="D31" s="217">
        <v>1171.75</v>
      </c>
      <c r="E31" s="217">
        <v>502.75</v>
      </c>
      <c r="F31" s="217">
        <v>11030.95</v>
      </c>
      <c r="G31" s="216">
        <v>0.15179999999999999</v>
      </c>
      <c r="H31" s="218">
        <v>1.6799999999999999E-2</v>
      </c>
      <c r="I31" s="217">
        <v>8589.2900000000009</v>
      </c>
      <c r="J31" s="217"/>
      <c r="K31" s="217">
        <v>829725.37</v>
      </c>
      <c r="L31" s="217">
        <v>10115541.6</v>
      </c>
      <c r="M31" s="217">
        <v>4286186.8400000008</v>
      </c>
      <c r="N31" s="217">
        <v>-1593867.1400000001</v>
      </c>
      <c r="O31" s="217">
        <v>-13637586.67</v>
      </c>
      <c r="P31" s="211">
        <f>O31*-1</f>
        <v>13637586.67</v>
      </c>
    </row>
    <row r="32" spans="1:16" ht="22.8">
      <c r="B32" s="219"/>
      <c r="J32" s="209"/>
      <c r="K32" s="209"/>
      <c r="L32" s="209"/>
      <c r="M32" s="209"/>
      <c r="N32" s="209"/>
    </row>
    <row r="33" spans="1:252" ht="13.8">
      <c r="A33" s="220"/>
      <c r="B33" s="246"/>
      <c r="C33" s="278"/>
      <c r="D33" s="220"/>
      <c r="E33" s="220"/>
      <c r="F33" s="220"/>
      <c r="G33" s="220"/>
      <c r="H33" s="220"/>
      <c r="I33" s="220"/>
      <c r="J33" s="220"/>
      <c r="K33" s="220"/>
      <c r="L33" s="220"/>
      <c r="M33" s="221"/>
      <c r="N33" s="221"/>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c r="AV33" s="220"/>
      <c r="AW33" s="220"/>
      <c r="AX33" s="220"/>
      <c r="AY33" s="220"/>
      <c r="AZ33" s="220"/>
      <c r="BA33" s="220"/>
      <c r="BB33" s="220"/>
      <c r="BC33" s="220"/>
      <c r="BD33" s="220"/>
      <c r="BE33" s="220"/>
      <c r="BF33" s="220"/>
      <c r="BG33" s="220"/>
      <c r="BH33" s="220"/>
      <c r="BI33" s="220"/>
      <c r="BJ33" s="220"/>
      <c r="BK33" s="220"/>
      <c r="BL33" s="220"/>
      <c r="BM33" s="220"/>
      <c r="BN33" s="220"/>
      <c r="BO33" s="220"/>
      <c r="BP33" s="220"/>
      <c r="BQ33" s="220"/>
      <c r="BR33" s="220"/>
      <c r="BS33" s="220"/>
      <c r="BT33" s="220"/>
      <c r="BU33" s="220"/>
      <c r="BV33" s="220"/>
      <c r="BW33" s="220"/>
      <c r="BX33" s="220"/>
      <c r="BY33" s="220"/>
      <c r="BZ33" s="220"/>
      <c r="CA33" s="220"/>
      <c r="CB33" s="220"/>
      <c r="CC33" s="220"/>
      <c r="CD33" s="220"/>
      <c r="CE33" s="220"/>
      <c r="CF33" s="220"/>
      <c r="CG33" s="220"/>
      <c r="CH33" s="220"/>
      <c r="CI33" s="220"/>
      <c r="CJ33" s="220"/>
      <c r="CK33" s="220"/>
      <c r="CL33" s="220"/>
      <c r="CM33" s="220"/>
      <c r="CN33" s="220"/>
      <c r="CO33" s="220"/>
      <c r="CP33" s="220"/>
      <c r="CQ33" s="220"/>
      <c r="CR33" s="220"/>
      <c r="CS33" s="220"/>
      <c r="CT33" s="220"/>
      <c r="CU33" s="220"/>
      <c r="CV33" s="220"/>
      <c r="CW33" s="220"/>
      <c r="CX33" s="220"/>
      <c r="CY33" s="220"/>
      <c r="CZ33" s="220"/>
      <c r="DA33" s="220"/>
      <c r="DB33" s="220"/>
      <c r="DC33" s="220"/>
      <c r="DD33" s="220"/>
      <c r="DE33" s="220"/>
      <c r="DF33" s="220"/>
      <c r="DG33" s="220"/>
      <c r="DH33" s="220"/>
      <c r="DI33" s="220"/>
      <c r="DJ33" s="220"/>
      <c r="DK33" s="220"/>
      <c r="DL33" s="220"/>
      <c r="DM33" s="220"/>
      <c r="DN33" s="220"/>
      <c r="DO33" s="220"/>
      <c r="DP33" s="220"/>
      <c r="DQ33" s="220"/>
      <c r="DR33" s="220"/>
      <c r="DS33" s="220"/>
      <c r="DT33" s="220"/>
      <c r="DU33" s="220"/>
      <c r="DV33" s="220"/>
      <c r="DW33" s="220"/>
      <c r="DX33" s="220"/>
      <c r="DY33" s="220"/>
      <c r="DZ33" s="220"/>
      <c r="EA33" s="220"/>
      <c r="EB33" s="220"/>
      <c r="EC33" s="220"/>
      <c r="ED33" s="220"/>
      <c r="EE33" s="220"/>
      <c r="EF33" s="220"/>
      <c r="EG33" s="220"/>
      <c r="EH33" s="220"/>
      <c r="EI33" s="220"/>
      <c r="EJ33" s="220"/>
      <c r="EK33" s="220"/>
      <c r="EL33" s="220"/>
      <c r="EM33" s="220"/>
      <c r="EN33" s="220"/>
      <c r="EO33" s="220"/>
      <c r="EP33" s="220"/>
      <c r="EQ33" s="220"/>
      <c r="ER33" s="220"/>
      <c r="ES33" s="220"/>
      <c r="ET33" s="220"/>
      <c r="EU33" s="220"/>
      <c r="EV33" s="220"/>
      <c r="EW33" s="220"/>
      <c r="EX33" s="220"/>
      <c r="EY33" s="220"/>
      <c r="EZ33" s="220"/>
      <c r="FA33" s="220"/>
      <c r="FB33" s="220"/>
      <c r="FC33" s="220"/>
      <c r="FD33" s="220"/>
      <c r="FE33" s="220"/>
      <c r="FF33" s="220"/>
      <c r="FG33" s="220"/>
      <c r="FH33" s="220"/>
      <c r="FI33" s="220"/>
      <c r="FJ33" s="220"/>
      <c r="FK33" s="220"/>
      <c r="FL33" s="220"/>
      <c r="FM33" s="220"/>
      <c r="FN33" s="220"/>
      <c r="FO33" s="220"/>
      <c r="FP33" s="220"/>
      <c r="FQ33" s="220"/>
      <c r="FR33" s="220"/>
      <c r="FS33" s="220"/>
      <c r="FT33" s="220"/>
      <c r="FU33" s="220"/>
      <c r="FV33" s="220"/>
      <c r="FW33" s="220"/>
      <c r="FX33" s="220"/>
      <c r="FY33" s="220"/>
      <c r="FZ33" s="220"/>
      <c r="GA33" s="220"/>
      <c r="GB33" s="220"/>
      <c r="GC33" s="220"/>
      <c r="GD33" s="220"/>
      <c r="GE33" s="220"/>
      <c r="GF33" s="220"/>
      <c r="GG33" s="220"/>
      <c r="GH33" s="220"/>
      <c r="GI33" s="220"/>
      <c r="GJ33" s="220"/>
      <c r="GK33" s="220"/>
      <c r="GL33" s="220"/>
      <c r="GM33" s="220"/>
      <c r="GN33" s="220"/>
      <c r="GO33" s="220"/>
      <c r="GP33" s="220"/>
      <c r="GQ33" s="220"/>
      <c r="GR33" s="220"/>
      <c r="GS33" s="220"/>
      <c r="GT33" s="220"/>
      <c r="GU33" s="220"/>
      <c r="GV33" s="220"/>
      <c r="GW33" s="220"/>
      <c r="GX33" s="220"/>
      <c r="GY33" s="220"/>
      <c r="GZ33" s="220"/>
      <c r="HA33" s="220"/>
      <c r="HB33" s="220"/>
      <c r="HC33" s="220"/>
      <c r="HD33" s="220"/>
      <c r="HE33" s="220"/>
      <c r="HF33" s="220"/>
      <c r="HG33" s="220"/>
      <c r="HH33" s="220"/>
      <c r="HI33" s="220"/>
      <c r="HJ33" s="220"/>
      <c r="HK33" s="220"/>
      <c r="HL33" s="220"/>
      <c r="HM33" s="220"/>
      <c r="HN33" s="220"/>
      <c r="HO33" s="220"/>
      <c r="HP33" s="220"/>
      <c r="HQ33" s="220"/>
      <c r="HR33" s="220"/>
      <c r="HS33" s="220"/>
      <c r="HT33" s="220"/>
      <c r="HU33" s="220"/>
      <c r="HV33" s="220"/>
      <c r="HW33" s="220"/>
      <c r="HX33" s="220"/>
      <c r="HY33" s="220"/>
      <c r="HZ33" s="220"/>
      <c r="IA33" s="220"/>
      <c r="IB33" s="220"/>
      <c r="IC33" s="220"/>
      <c r="ID33" s="220"/>
      <c r="IE33" s="220"/>
      <c r="IF33" s="220"/>
      <c r="IG33" s="220"/>
      <c r="IH33" s="220"/>
      <c r="II33" s="220"/>
      <c r="IJ33" s="220"/>
      <c r="IK33" s="220"/>
      <c r="IL33" s="220"/>
      <c r="IM33" s="220"/>
      <c r="IN33" s="220"/>
      <c r="IO33" s="220"/>
      <c r="IP33" s="220"/>
      <c r="IQ33" s="220"/>
      <c r="IR33" s="220"/>
    </row>
  </sheetData>
  <printOptions horizontalCentered="1" verticalCentered="1"/>
  <pageMargins left="0.25" right="0.25" top="0.5" bottom="0.5" header="0" footer="0"/>
  <pageSetup scale="7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7030A0"/>
    <pageSetUpPr fitToPage="1"/>
  </sheetPr>
  <dimension ref="B1:AZ328"/>
  <sheetViews>
    <sheetView showGridLines="0" zoomScale="80" zoomScaleNormal="80" workbookViewId="0">
      <selection activeCell="C3" sqref="C3:E3"/>
    </sheetView>
  </sheetViews>
  <sheetFormatPr defaultRowHeight="14.4"/>
  <cols>
    <col min="2" max="2" width="3.77734375" customWidth="1"/>
    <col min="3" max="3" width="71.21875" customWidth="1"/>
    <col min="4" max="5" width="26.77734375" customWidth="1"/>
    <col min="6" max="6" width="30" customWidth="1"/>
    <col min="7" max="7" width="3.77734375" style="27" customWidth="1"/>
    <col min="8" max="8" width="19.21875" bestFit="1" customWidth="1"/>
    <col min="9" max="9" width="17.21875" bestFit="1" customWidth="1"/>
    <col min="10" max="10" width="14.5546875" bestFit="1" customWidth="1"/>
    <col min="11" max="11" width="13.44140625" bestFit="1" customWidth="1"/>
    <col min="12" max="12" width="14.44140625" customWidth="1"/>
    <col min="13" max="13" width="15.77734375" bestFit="1" customWidth="1"/>
    <col min="43" max="43" width="41.77734375" bestFit="1" customWidth="1"/>
    <col min="44" max="44" width="31" bestFit="1" customWidth="1"/>
  </cols>
  <sheetData>
    <row r="1" spans="2:45" ht="49.5" customHeight="1">
      <c r="B1" s="459" t="s">
        <v>1346</v>
      </c>
      <c r="C1" s="460"/>
      <c r="D1" s="460"/>
      <c r="E1" s="460"/>
      <c r="F1" s="460"/>
    </row>
    <row r="2" spans="2:45" ht="9" customHeight="1">
      <c r="B2" s="100"/>
      <c r="C2" s="100"/>
      <c r="D2" s="100"/>
      <c r="E2" s="100"/>
      <c r="F2" s="95"/>
      <c r="AP2" s="99"/>
      <c r="AS2" s="99"/>
    </row>
    <row r="3" spans="2:45" ht="31.5" customHeight="1">
      <c r="B3" s="156" t="str">
        <f>VLOOKUP(C3,'District List'!B:D,3,FALSE)</f>
        <v>00000</v>
      </c>
      <c r="C3" s="461" t="s">
        <v>871</v>
      </c>
      <c r="D3" s="461"/>
      <c r="E3" s="461"/>
      <c r="F3" s="109" t="s">
        <v>956</v>
      </c>
      <c r="G3" s="156"/>
      <c r="AP3" s="21"/>
      <c r="AQ3" s="21"/>
      <c r="AS3" s="21"/>
    </row>
    <row r="4" spans="2:45" ht="18">
      <c r="B4" s="157"/>
      <c r="C4" s="463" t="s">
        <v>1081</v>
      </c>
      <c r="D4" s="463"/>
      <c r="E4" s="271" t="s">
        <v>1050</v>
      </c>
      <c r="F4" s="233" t="s">
        <v>940</v>
      </c>
      <c r="G4" s="156"/>
      <c r="AP4" s="21"/>
      <c r="AQ4" s="21"/>
      <c r="AS4" s="21"/>
    </row>
    <row r="5" spans="2:45" ht="18">
      <c r="B5" s="110"/>
      <c r="C5" s="462" t="s">
        <v>1196</v>
      </c>
      <c r="D5" s="462"/>
      <c r="E5" s="271" t="s">
        <v>1305</v>
      </c>
      <c r="F5" s="109" t="s">
        <v>1080</v>
      </c>
      <c r="G5" s="156"/>
      <c r="H5" s="94"/>
      <c r="AP5" s="42"/>
      <c r="AQ5" s="42"/>
      <c r="AS5" s="21"/>
    </row>
    <row r="6" spans="2:45" ht="18">
      <c r="B6" s="110"/>
      <c r="C6" s="462" t="s">
        <v>1370</v>
      </c>
      <c r="D6" s="462"/>
      <c r="E6" s="237">
        <f>IF(E5="NO",IF(E4="2021-22",(VLOOKUP(B3,SY202021enrollapport,13,FALSE)),IF(E4="2022-23",(VLOOKUP(B3,SY202021enrollapport,13,FALSE)),IF(E4="2023-24",(VLOOKUP(B3,SY202021enrollapport,13,FALSE)),(VLOOKUP(B3,SY202021enrollapport,13,FALSE))))),IF(E5="F195F",IF(E4="2021-22",(VLOOKUP(B3,SY202122F195Fenroll,13,FALSE)),IF(E4="2022-23",(VLOOKUP(B3,SY202223F195Fenroll,13,FALSE)),IF(E4="2023-24",(VLOOKUP(B3,SY202324F195Fenroll,13,FALSE)),(VLOOKUP(B3,SY202425F195Fenroll,13,FALSE))))),IF(E4="2021-22",(VLOOKUP(B3,SY202122enroll,13,FALSE)),IF(E4="2022-23",(VLOOKUP(B3,SY202223enroll,13,FALSE)),IF(E4="2023-24",(VLOOKUP(B3,SY202324enroll,13,FALSE)),(VLOOKUP(B3,SY202425enroll,13,FALSE)))))))</f>
        <v>1062338.2399999993</v>
      </c>
      <c r="F6" s="109"/>
      <c r="G6" s="156"/>
      <c r="H6" s="94"/>
      <c r="AP6" s="42"/>
      <c r="AQ6" s="42"/>
      <c r="AS6" s="21"/>
    </row>
    <row r="7" spans="2:45" ht="22.5" customHeight="1">
      <c r="B7" s="110"/>
      <c r="C7" s="406" t="s">
        <v>1214</v>
      </c>
      <c r="D7" s="406"/>
      <c r="E7" s="406"/>
      <c r="F7" s="109"/>
      <c r="G7" s="156"/>
      <c r="H7" s="94"/>
      <c r="AP7" s="42"/>
      <c r="AQ7" s="42"/>
      <c r="AS7" s="21"/>
    </row>
    <row r="8" spans="2:45" ht="9" customHeight="1">
      <c r="B8" s="110"/>
      <c r="C8" s="110"/>
      <c r="D8" s="110"/>
      <c r="E8" s="110"/>
      <c r="F8" s="283"/>
      <c r="G8" s="156"/>
      <c r="I8" s="76"/>
      <c r="AP8" s="42"/>
      <c r="AQ8" s="42"/>
      <c r="AS8" s="21"/>
    </row>
    <row r="9" spans="2:45" s="94" customFormat="1" ht="29.25" customHeight="1">
      <c r="B9" s="453" t="str">
        <f>CONCATENATE(VLOOKUP(LEFT(B3,5),'District List'!A:C,3,FALSE),": SY ",E4)</f>
        <v>00000 - State Summary: SY 2022-23</v>
      </c>
      <c r="C9" s="453"/>
      <c r="D9" s="453"/>
      <c r="E9" s="453"/>
      <c r="F9" s="453"/>
      <c r="G9" s="453"/>
      <c r="H9"/>
      <c r="AP9" s="42"/>
      <c r="AQ9" s="42"/>
      <c r="AR9"/>
      <c r="AS9" s="21"/>
    </row>
    <row r="10" spans="2:45" ht="15.6">
      <c r="B10" s="456" t="s">
        <v>1213</v>
      </c>
      <c r="C10" s="456"/>
      <c r="D10" s="111" t="s">
        <v>1314</v>
      </c>
      <c r="E10" s="111" t="s">
        <v>1046</v>
      </c>
      <c r="F10" s="201" t="s">
        <v>1217</v>
      </c>
      <c r="G10" s="158"/>
      <c r="AP10" s="42"/>
      <c r="AQ10" s="42"/>
      <c r="AS10" s="21"/>
    </row>
    <row r="11" spans="2:45">
      <c r="B11" s="27" t="s">
        <v>955</v>
      </c>
      <c r="C11" s="72"/>
      <c r="D11" s="72"/>
      <c r="E11" s="72"/>
      <c r="F11" s="72"/>
      <c r="AP11" s="42"/>
      <c r="AQ11" s="42"/>
      <c r="AS11" s="21"/>
    </row>
    <row r="12" spans="2:45" ht="16.2">
      <c r="B12" s="27"/>
      <c r="C12" s="27" t="s">
        <v>1047</v>
      </c>
      <c r="D12" s="72">
        <f>IF(E5="YES","",VLOOKUP(B3,'School Year 2021-22'!A:Q,'School Year 2021-22'!$F$1,FALSE)-D13)</f>
        <v>8797130299.8999996</v>
      </c>
      <c r="E12" s="72">
        <f>IF(E5="NO",IF(E4="2021-22",(VLOOKUP(B3,MaintSY202122,5,FALSE)),IF(E4="2022-23",(VLOOKUP(B3,MaintSY202223,5,FALSE)),IF(E4="2023-24",(VLOOKUP(B3,MaintSY202324,5,FALSE)),(VLOOKUP(B3,MaintSY202425,5,FALSE))))),IF(E5="F195F",IF(E4="2021-22",(VLOOKUP(B3,MaintSY202122F195F,5,FALSE)),IF(E4="2022-23",(VLOOKUP(B3,MaintSY202223F195F,5,FALSE)),IF(E4="2023-24",(VLOOKUP(B3,MaintSY202324F195F,5,FALSE)),(VLOOKUP(B3,MaintSY202425F195F,5,FALSE))))),IF(E4="2021-22",(VLOOKUP(B3,MaintSY202122CL,5,FALSE)),IF(E4="2022-23",(VLOOKUP(B3,MaintSY202223CL,5,FALSE)),IF(E4="2023-24",(VLOOKUP(B3,MaintSY202324CL,5,FALSE)),(VLOOKUP(B3,MaintSY202425CL,5,FALSE)))))))</f>
        <v>9603798563.8853798</v>
      </c>
      <c r="F12" s="179">
        <f>IF(E5="NO",IF(E4="2021-22",(VLOOKUP(B3,EnacSY202122,5,FALSE)),IF(E4="2022-23",(VLOOKUP(B3,EnacSY202223,5,FALSE)),IF(E4="2023-24",(VLOOKUP(B3,EnacSY202324,5,FALSE)),(VLOOKUP(B3,EnacSY202425,5,FALSE))))),IF(E5="F195F",IF(E4="2021-22",(VLOOKUP(B3,EnacSY202122F195F,5,FALSE)),IF(E4="2022-23",(VLOOKUP(B3,EnacSY202223F195F,5,FALSE)),IF(E4="2023-24",(VLOOKUP(B3,EnacSY202324F195F,5,FALSE)),(VLOOKUP(B3,EnacSY202425F195F,5,FALSE))))),IF(E4="2021-22",(VLOOKUP(B3,EnacSY202122CL,5,FALSE)),IF(E4="2022-23",(VLOOKUP(B3,EnacSY202223CL,5,FALSE)),IF(E4="2023-24",(VLOOKUP(B3,EnacSY202324CL,5,FALSE)),(VLOOKUP(B3,EnacSY202425CL,5,FALSE)))))))</f>
        <v>9849520072.9969769</v>
      </c>
      <c r="G12" s="144"/>
      <c r="H12" s="186"/>
      <c r="AP12" s="42"/>
      <c r="AQ12" s="42"/>
      <c r="AS12" s="21"/>
    </row>
    <row r="13" spans="2:45" ht="16.2">
      <c r="B13" s="27"/>
      <c r="C13" s="171" t="s">
        <v>1056</v>
      </c>
      <c r="D13" s="72">
        <f>IF(E5="YES","",0)</f>
        <v>0</v>
      </c>
      <c r="E13" s="72">
        <v>0</v>
      </c>
      <c r="F13" s="179">
        <f>IF(E5="NO",IF(E4="2021-22",(VLOOKUP(B3,EnacProto_Flat,3,FALSE)),IF(E4="2022-23",(VLOOKUP(B3,EnacProto_Flat,4,FALSE)),IF(E4="2023-24",(VLOOKUP(B3,EnacProto_Flat,5,FALSE)),(VLOOKUP(B3,EnacProto_Flat,6,FALSE))))),IF(E5="F195F",IF(E4="2021-22",(VLOOKUP(B3,EnacProto_F195F,3,FALSE)),IF(E4="2022-23",(VLOOKUP(B3,EnacProto_F195F,4,FALSE)),IF(E4="2023-24",(VLOOKUP(B3,EnacProto_F195F,5,FALSE)),(VLOOKUP(B3,EnacProto_F195F,6,FALSE))))),IF(E4="2021-22",(VLOOKUP(B3,EnacProto_CL,3,FALSE)),IF(E4="2022-23",(VLOOKUP(B3,EnacProto_CL,4,FALSE)),IF(E4="2023-24",(VLOOKUP(B3,EnacProto_CL,5,FALSE)),(VLOOKUP(B3,EnacProto_CL,6,FALSE)))))))</f>
        <v>114762068.48636889</v>
      </c>
      <c r="G13" s="144"/>
      <c r="H13" s="186"/>
      <c r="L13" s="232"/>
      <c r="AP13" s="42"/>
      <c r="AQ13" s="42"/>
      <c r="AS13" s="21"/>
    </row>
    <row r="14" spans="2:45">
      <c r="B14" s="27"/>
      <c r="C14" s="27" t="s">
        <v>950</v>
      </c>
      <c r="D14" s="72">
        <f>IF(E5="YES","",VLOOKUP(B3,'School Year 2021-22'!A:Q,'School Year 2021-22'!$E$1,FALSE))</f>
        <v>692004558.68999946</v>
      </c>
      <c r="E14" s="72">
        <f>IF(E5="NO",IF(E4="2021-22",(VLOOKUP(B3,MaintSY202122,11,FALSE)),IF(E4="2022-23",(VLOOKUP(B3,MaintSY202223,11,FALSE)),IF(E4="2023-24",(VLOOKUP(B3,MaintSY202324,11,FALSE)),(VLOOKUP(B3,MaintSY202425,11,FALSE))))),IF(E5="F195",IF(E4="2021-22",(VLOOKUP(B3,MaintSY202122F195F,11,FALSE)),IF(E4="2022-23",(VLOOKUP(B3,MaintSY202223F195F,11,FALSE)),IF(E4="2023-24",(VLOOKUP(B3,MaintSY202324F195F,11,FALSE)),(VLOOKUP(B3,MaintSY202425F195F,11,FALSE))))),IF(E4="2021-22",(VLOOKUP(B3,MaintSY202122CL,11,FALSE)),IF(E4="2022-23",(VLOOKUP(B3,MaintSY202223CL,11,FALSE)),IF(E4="2023-24",(VLOOKUP(B3,MaintSY202324CL,11,FALSE)),(VLOOKUP(B3,MaintSY202425CL,11,FALSE)))))))</f>
        <v>756099772.37893295</v>
      </c>
      <c r="F14" s="179">
        <f>IF(E5="NO",IF(E4="2021-22",(VLOOKUP(B3,EnacSY202122,11,FALSE)),IF(E4="2022-23",(VLOOKUP(B3,EnacSY202223,11,FALSE)),IF(E4="2023-24",(VLOOKUP(B3,EnacSY202324,11,FALSE)),(VLOOKUP(B3,EnacSY202425,11,FALSE))))),IF(E5="F195F",IF(E4="2021-22",(VLOOKUP(B3,EnacSY202122F195F,11,FALSE)),IF(E4="2022-23",(VLOOKUP(B3,EnacSY202223F195F,11,FALSE)),IF(E4="2023-24",(VLOOKUP(B3,EnacSY202324F195F,11,FALSE)),(VLOOKUP(B3,EnacSY202425F195F,11,FALSE))))),IF(E4="2021-22",(VLOOKUP(B3,EnacSY202122CL,11,FALSE)),IF(E4="2022-23",(VLOOKUP(B3,EnacSY202223CL,11,FALSE)),IF(E4="2023-24",(VLOOKUP(B3,EnacSY202324CL,11,FALSE)),(VLOOKUP(B3,EnacSY202425CL,11,FALSE)))))))</f>
        <v>775096155.27584517</v>
      </c>
      <c r="H14" s="186"/>
      <c r="AP14" s="42"/>
      <c r="AQ14" s="42"/>
      <c r="AS14" s="21"/>
    </row>
    <row r="15" spans="2:45">
      <c r="B15" s="27"/>
      <c r="C15" s="27" t="s">
        <v>949</v>
      </c>
      <c r="D15" s="72">
        <f>IF(E5="YES","",VLOOKUP(B3,'School Year 2021-22'!A:Q,'School Year 2021-22'!$N$1,FALSE))</f>
        <v>200909128.83999991</v>
      </c>
      <c r="E15" s="72">
        <f>IF(E5="NO",IF(E4="2021-22",(VLOOKUP(B3,MaintSY202122,7,FALSE)),IF(E4="2022-23",(VLOOKUP(B3,MaintSY202223,7,FALSE)),IF(E4="2023-24",(VLOOKUP(B3,MaintSY202324,7,FALSE)),(VLOOKUP(B3,MaintSY202425,7,FALSE))))),IF(E5="F195F",IF(E4="2021-22",(VLOOKUP(B3,MaintSY202122F195F,7,FALSE)),IF(E4="2022-23",(VLOOKUP(B3,MaintSY202223F195F,7,FALSE)),IF(E4="2023-24",(VLOOKUP(B3,MaintSY202324F195F,7,FALSE)),(VLOOKUP(B3,MaintSY202425F195F,7,FALSE))))),IF(E4="2021-22",(VLOOKUP(B3,MaintSY202122CL,7,FALSE)),IF(E4="2022-23",(VLOOKUP(B3,MaintSY202223CL,7,FALSE)),IF(E4="2023-24",(VLOOKUP(B3,MaintSY202324CL,7,FALSE)),(VLOOKUP(B3,MaintSY202425CL,7,FALSE)))))))</f>
        <v>224361960.29000002</v>
      </c>
      <c r="F15" s="179">
        <f>IF(E5="NO",IF(E4="2021-22",(VLOOKUP(B3,EnacSY202122,7,FALSE)),IF(E4="2022-23",(VLOOKUP(B3,EnacSY202223,7,FALSE)),IF(E4="2023-24",(VLOOKUP(B3,EnacSY202324,7,FALSE)),(VLOOKUP(B3,EnacSY202425,7,FALSE))))),IF(E5="F195F",IF(E4="2021-22",(VLOOKUP(B3,EnacSY202122F195F,7,FALSE)),IF(E4="2022-23",(VLOOKUP(B3,EnacSY202223F195F,7,FALSE)),IF(E4="2023-24",(VLOOKUP(B3,EnacSY202324F195F,7,FALSE)),(VLOOKUP(B3,EnacSY202425F195F,7,FALSE))))),IF(E4="2021-22",(VLOOKUP(B3,EnacSY202122CL,7,FALSE)),IF(E4="2022-23",(VLOOKUP(B3,EnacSY202223CL,7,FALSE)),IF(E4="2023-24",(VLOOKUP(B3,EnacSY202324CL,7,FALSE)),(VLOOKUP(B3,EnacSY202425CL,7,FALSE)))))))</f>
        <v>230138425.35000017</v>
      </c>
      <c r="G15" s="149"/>
      <c r="H15" s="186"/>
      <c r="AP15" s="42"/>
      <c r="AQ15" s="42"/>
      <c r="AS15" s="21"/>
    </row>
    <row r="16" spans="2:45">
      <c r="B16" s="27"/>
      <c r="C16" s="27" t="s">
        <v>948</v>
      </c>
      <c r="D16" s="72">
        <f>IF(E5="YES","",VLOOKUP(B3,'School Year 2021-22'!A:Q,'School Year 2021-22'!$O$1,FALSE))</f>
        <v>27053184.889999993</v>
      </c>
      <c r="E16" s="179">
        <f>IF(E5="NO",IF(E4="2021-22",(VLOOKUP(B3,MaintSY202122,8,FALSE)),IF(E4="2022-23",(VLOOKUP(B3,MaintSY202223,8,FALSE)),IF(E4="2023-24",(VLOOKUP(B3,MaintSY202324,8,FALSE)),(VLOOKUP(B3,MaintSY202425,8,FALSE))))),IF(E5="F195F",IF(E4="2021-22",(VLOOKUP(B3,MaintSY202122F195F,8,FALSE)),IF(E4="2022-23",(VLOOKUP(B3,MaintSY202223F195F,8,FALSE)),IF(E4="2023-24",(VLOOKUP(B3,MaintSY202324F195F,8,FALSE)),(VLOOKUP(B3,MaintSY202425F195F,8,FALSE))))),IF(E4="2021-22",(VLOOKUP(B3,MaintSY202122CL,8,FALSE)),IF(E4="2022-23",(VLOOKUP(B3,MaintSY202223CL,8,FALSE)),IF(E4="2023-24",(VLOOKUP(B3,MaintSY202324CL,8,FALSE)),(VLOOKUP(B3,MaintSY202425CL,8,FALSE)))))))</f>
        <v>29456458.68</v>
      </c>
      <c r="F16" s="179">
        <f>IF(E5="NO",IF(E4="2021-22",(VLOOKUP(B3,EnacSY202122,8,FALSE)),IF(E4="2022-23",(VLOOKUP(B3,EnacSY202223,8,FALSE)),IF(E4="2023-24",(VLOOKUP(B3,EnacSY202324,8,FALSE)),(VLOOKUP(B3,EnacSY202425,8,FALSE))))),IF(E5="F195F",IF(E4="2021-22",(VLOOKUP(B3,EnacSY202122F195F,8,FALSE)),IF(E4="2022-23",(VLOOKUP(B3,EnacSY202223F195F,8,FALSE)),IF(E4="2023-24",(VLOOKUP(B3,EnacSY202324F195F,8,FALSE)),(VLOOKUP(B3,EnacSY202425F195F,8,FALSE))))),IF(E4="2021-22",(VLOOKUP(B3,EnacSY202122CL,8,FALSE)),IF(E4="2022-23",(VLOOKUP(B3,EnacSY202223CL,8,FALSE)),IF(E4="2023-24",(VLOOKUP(B3,EnacSY202324CL,8,FALSE)),(VLOOKUP(B3,EnacSY202425CL,8,FALSE)))))))</f>
        <v>30214813.849999998</v>
      </c>
      <c r="G16" s="147"/>
      <c r="H16" s="186"/>
      <c r="AP16" s="42"/>
      <c r="AQ16" s="42"/>
      <c r="AS16" s="21"/>
    </row>
    <row r="17" spans="2:52" ht="16.2">
      <c r="B17" s="27"/>
      <c r="C17" s="27" t="s">
        <v>1391</v>
      </c>
      <c r="D17" s="72">
        <f>IF(E5="YES","",VLOOKUP(B3,'School Year 2021-22'!A:Q,'School Year 2021-22'!$M$1,FALSE))</f>
        <v>295836936.8599999</v>
      </c>
      <c r="E17" s="72">
        <f>IF(E5="NO",IF(E4="2021-22",(VLOOKUP(B3,MaintSY202122,6,FALSE)),IF(E4="2022-23",(VLOOKUP(B3,MaintSY202223,6,FALSE)),IF(E4="2023-24",(VLOOKUP(B3,MaintSY202324,6,FALSE)),(VLOOKUP(B3,MaintSY202425,6,FALSE))))),IF(E5="F195F",IF(E4="2021-22",(VLOOKUP(B3,MaintSY202122,6,FALSE)),IF(E4="2022-23",(VLOOKUP(B3,MaintSY202223,6,FALSE)),IF(E4="2023-24",(VLOOKUP(B3,MaintSY202324,6,FALSE)),(VLOOKUP(B3,MaintSY202425,6,FALSE))))),IF(E4="2021-22",(VLOOKUP(B3,MaintSY202122CL,6,FALSE)),IF(E4="2022-23",(VLOOKUP(B3,MaintSY202223CL,6,FALSE)),IF(E4="2023-24",(VLOOKUP(B3,MaintSY202324CL,6,FALSE)),(VLOOKUP(B3,MaintSY202425CL,6,FALSE)))))))</f>
        <v>340101357.50000036</v>
      </c>
      <c r="F17" s="179">
        <f>IF(E5="NO",IF(E4="2021-22",(VLOOKUP(B3,EnacSY202122,6,FALSE)),IF(E4="2022-23",(VLOOKUP(B3,EnacSY202223,6,FALSE)),IF(E4="2023-24",(VLOOKUP(B3,EnacSY202324,6,FALSE)),(VLOOKUP(B3,EnacSY202425,6,FALSE))))),IF(E5="F195F",IF(E4="2021-22",(VLOOKUP(B3,EnacSY202122F195F,6,FALSE)),IF(E4="2022-23",(VLOOKUP(B3,EnacSY202223F195F,6,FALSE)),IF(E4="2023-24",(VLOOKUP(B3,EnacSY202324F195F,6,FALSE)),(VLOOKUP(B3,EnacSY202425F195F,6,FALSE))))),IF(E4="2021-22",(VLOOKUP(B3,EnacSY202122CL,6,FALSE)),IF(E4="2022-23",(VLOOKUP(B3,EnacSY202223CL,6,FALSE)),IF(E4="2023-24",(VLOOKUP(B3,EnacSY202324CL,6,FALSE)),(VLOOKUP(B3,EnacSY202425CL,6,FALSE)))))))</f>
        <v>349172841.71000022</v>
      </c>
      <c r="G17" s="356"/>
      <c r="H17" s="359"/>
      <c r="AP17" s="42"/>
      <c r="AQ17" s="42"/>
      <c r="AS17" s="21"/>
    </row>
    <row r="18" spans="2:52" ht="15" customHeight="1">
      <c r="B18" s="27"/>
      <c r="C18" s="27" t="s">
        <v>1390</v>
      </c>
      <c r="D18" s="72">
        <f>IF(E5="YES","",VLOOKUP(B3,'School Year 2021-22'!A:AM,'School Year 2021-22'!$AM$1,FALSE))</f>
        <v>119066943.02000003</v>
      </c>
      <c r="E18" s="72">
        <f>IF(E5="NO",IF(E4="2021-22",(VLOOKUP(B3,MaintSY202122,13,FALSE)),IF(E4="2022-23",(VLOOKUP(B3,MaintSY202223,13,FALSE)),IF(E4="2023-24",(VLOOKUP(B3,MaintSY202324,13,FALSE)),(VLOOKUP(B3,MaintSY202425,13,FALSE))))),IF(E5="F195F",IF(E4="2021-22",(VLOOKUP(B3,MaintSY202122F195F,13,FALSE)),IF(E4="2022-23",(VLOOKUP(B3,MaintSY202223F195F,13,FALSE)),IF(E4="2023-24",(VLOOKUP(B3,MaintSY202324F195F,13,FALSE)),(VLOOKUP(B3,MaintSY202425F195F,13,FALSE))))),IF(E4="2021-22",(VLOOKUP(B3,MaintSY202122CL,13,FALSE)),IF(E4="2022-23",(VLOOKUP(B3,MaintSY202223CL,13,FALSE)),IF(E4="2023-24",(VLOOKUP(B3,MaintSY202324CL,13,FALSE)),(VLOOKUP(B3,MaintSY202425CL,13,FALSE)))))))</f>
        <v>137896776.75999993</v>
      </c>
      <c r="F18" s="179">
        <f>IF(E5="NO",IF(E4="2021-22",(VLOOKUP(B3,EnacSY202122,13,FALSE)),IF(E4="2022-23",(VLOOKUP(B3,EnacSY202223,13,FALSE)),IF(E4="2023-24",(VLOOKUP(B3,EnacSY202324,13,FALSE)),(VLOOKUP(B3,EnacSY202425,13,FALSE))))),IF(E5="F195F",IF(E4="2021-22",(VLOOKUP(B3,EnacSY202122F195F,13,FALSE)),IF(E4="2022-23",(VLOOKUP(B3,EnacSY202223F195F,13,FALSE)),IF(E4="2023-24",(VLOOKUP(B3,EnacSY202324F195F,13,FALSE)),(VLOOKUP(B3,EnacSY202425F195F,13,FALSE))))),IF(E4="2021-22",(VLOOKUP(B3,EnacSY202122CL,13,FALSE)),IF(E4="2022-23",(VLOOKUP(B3,EnacSY202223CL,13,FALSE)),IF(E4="2023-24",(VLOOKUP(B3,EnacSY202324CL,13,FALSE)),(VLOOKUP(B3,EnacSY202425CL,13,FALSE)))))))</f>
        <v>141109843.76999995</v>
      </c>
      <c r="H18" s="186"/>
      <c r="AP18" s="42"/>
      <c r="AQ18" s="42"/>
      <c r="AS18" s="21"/>
    </row>
    <row r="19" spans="2:52">
      <c r="B19" s="27"/>
      <c r="C19" s="27" t="s">
        <v>630</v>
      </c>
      <c r="D19" s="72">
        <f>IF(E5="YES","",VLOOKUP(B3,SpEd_Apport,4,FALSE))</f>
        <v>1302492902.22</v>
      </c>
      <c r="E19" s="72">
        <f>IF(E5="NO",IF(E4="2021-22",(VLOOKUP(B3,SpEd_Maint_Flat,4,FALSE)),IF(E4="2022-23",(VLOOKUP(B3,SpEd_Maint_Flat,6,FALSE)),IF(E4="2023-24",(VLOOKUP(B3,SpEd_Maint_Flat,8,FALSE)),(VLOOKUP(B3,SpEd_Maint_Flat,10,FALSE))))),IF(E5="F195F",IF(E4="2021-22",(VLOOKUP(B3,SpEd_Maint_F195F,4,FALSE)),IF(E4="2022-23",(VLOOKUP(B3,SpEd_Maint_F195F,6,FALSE)),IF(E4="2023-24",(VLOOKUP(B3,SpEd_Maint_F195F,8,FALSE)),(VLOOKUP(B3,SpEd_Maint_F195F,10,FALSE))))),IF(E4="2021-22",(VLOOKUP(B3,SpEd_Maint_CL,4,FALSE)),IF(E4="2022-23",(VLOOKUP(B3,SpEd_Maint_CL,6,FALSE)),IF(E4="2023-24",(VLOOKUP(B3,SpEd_Maint_CL,8,FALSE)),(VLOOKUP(B3,SpEd_Maint_CL,10,FALSE)))))))</f>
        <v>1364105348.9826727</v>
      </c>
      <c r="F19" s="179">
        <f>IF(E5="NO",IF(E4="2021-22",(VLOOKUP(B3,SpEd_Enac_Flat,4,FALSE)),IF(E4="2022-23",(VLOOKUP(B3,SpEd_Enac_Flat,6,FALSE)),IF(E4="2023-24",(VLOOKUP(B3,SpEd_Enac_Flat,8,FALSE)),(VLOOKUP(B3,SpEd_Enac_Flat,10,FALSE))))),IF(E5="F195F",IF(E4="2021-22",(VLOOKUP(B3,SpEd_Enac_F195F,4,FALSE)),IF(E4="2022-23",(VLOOKUP(B3,SpEd_Enac_F195F,6,FALSE)),IF(E4="2023-24",(VLOOKUP(B3,SpEd_Enac_F195F,8,FALSE)),(VLOOKUP(B3,SpEd_Enac_F195F,10,FALSE))))),IF(E4="2021-22",(VLOOKUP(B3,SpEd_Enac_CL,4,FALSE)),IF(E4="2022-23",(VLOOKUP(B3,SpEd_Enac_CL,6,FALSE)),IF(E4="2023-24",(VLOOKUP(B3,SpEd_Enac_CL,8,FALSE)),(VLOOKUP(B3,SpEd_Enac_CL,10,FALSE)))))))</f>
        <v>1397960865.6096988</v>
      </c>
      <c r="G19" s="148"/>
      <c r="H19" s="186"/>
      <c r="AP19" s="42"/>
      <c r="AQ19" s="42"/>
      <c r="AS19" s="21"/>
    </row>
    <row r="20" spans="2:52" ht="16.2">
      <c r="B20" s="27"/>
      <c r="C20" s="171" t="s">
        <v>1302</v>
      </c>
      <c r="D20" s="72">
        <f>IF(E5="YES","",VLOOKUP(B3,SpEd_Apport,3,FALSE))</f>
        <v>13637586.67</v>
      </c>
      <c r="E20" s="72">
        <f>IF(E5="NO",IF(E4="2021-22",(VLOOKUP(B3,SpEd_Maint_Flat,3,FALSE)),IF(E4="2022-23",(VLOOKUP(B3,SpEd_Maint_Flat,5,FALSE)),IF(E4="2023-24",(VLOOKUP(B3,SpEd_Maint_Flat,7,FALSE)),(VLOOKUP(B3,SpEd_Maint_Flat,9,FALSE))))),IF(E5="F195F",IF(E4="2021-22",(VLOOKUP(B3,SpEd_Maint_F195F,3,FALSE)),IF(E4="2022-23",(VLOOKUP(B3,SpEd_Maint_F195F,5,FALSE)),IF(E4="2023-24",(VLOOKUP(B3,SpEd_Maint_F195F,7,FALSE)),(VLOOKUP(B3,SpEd_Maint_F195F,9,FALSE))))),IF(E4="2021-22",(VLOOKUP(B3,SpEd_Maint_CL,3,FALSE)),IF(E4="2022-23",(VLOOKUP(B3,SpEd_Maint_CL,5,FALSE)),IF(E4="2023-24",(VLOOKUP(B3,SpEd_Maint_CL,7,FALSE)),(VLOOKUP(B3,SpEd_Maint_CL,9,FALSE)))))))</f>
        <v>13815781.409686901</v>
      </c>
      <c r="F20" s="179">
        <f>IF(E5="NO",IF(E4="2021-22",(VLOOKUP(B3,SpEd_Enac_Flat,3,FALSE)),IF(E4="2022-23",(VLOOKUP(B3,SpEd_Enac_Flat,5,FALSE)),IF(E4="2023-24",(VLOOKUP(B3,SpEd_Enac_Flat,7,FALSE)),(VLOOKUP(B3,SpEd_Enac_Flat,9,FALSE))))),IF(E5="F195F",IF(E4="2021-22",(VLOOKUP(B3,SpEd_Enac_F195F,3,FALSE)),IF(E4="2022-23",(VLOOKUP(B3,SpEd_Enac_F195F,5,FALSE)),IF(E4="2023-24",(VLOOKUP(B3,SpEd_Enac_F195F,7,FALSE)),(VLOOKUP(B3,SpEd_Enac_F195F,9,FALSE))))),IF(E4="2021-22",(VLOOKUP(B3,SpEd_Enac_CL,3,FALSE)),IF(E4="2022-23",(VLOOKUP(B3,SpEd_Enac_CL,5,FALSE)),IF(E4="2023-24",(VLOOKUP(B3,SpEd_Enac_CL,7,FALSE)),(VLOOKUP(B3,SpEd_Enac_CL,9,FALSE)))))))</f>
        <v>14156021.307258843</v>
      </c>
      <c r="G20" s="150"/>
      <c r="H20" s="186"/>
      <c r="AP20" s="42"/>
      <c r="AQ20" s="42"/>
      <c r="AS20" s="21"/>
    </row>
    <row r="21" spans="2:52" ht="16.2">
      <c r="B21" s="27"/>
      <c r="C21" s="27" t="s">
        <v>1367</v>
      </c>
      <c r="D21" s="72">
        <f>IF(E5="YES","",VLOOKUP(B3,'School Year 2021-22'!A:AM,'School Year 2021-22'!$J$1,FALSE))</f>
        <v>559122814.87999964</v>
      </c>
      <c r="E21" s="72">
        <f>IF(E5="NO",IF(E4="2021-22",(VLOOKUP(B3,MaintSY202122,10,FALSE)),IF(E4="2022-23",(VLOOKUP(B3,MaintSY202223,10,FALSE)),IF(E4="2023-24",(VLOOKUP(B3,MaintSY202324,10,FALSE)),(VLOOKUP(B3,MaintSY202425,10,FALSE))))),IF(E5="F195F",IF(E4="2021-22",(VLOOKUP(B3,MaintSY202122F195F,10,FALSE)),IF(E4="2022-23",(VLOOKUP(B3,MaintSY202223F195F,10,FALSE)),IF(E4="2023-24",(VLOOKUP(B3,MaintSY202223F195F,10,FALSE)),(VLOOKUP(B3,MaintSY202425F195F,10,FALSE))))),IF(E4="2021-22",(VLOOKUP(B3,MaintSY202122CL,10,FALSE)),IF(E4="2022-23",(VLOOKUP(B3,MaintSY202223CL,10,FALSE)),IF(E4="2023-24",(VLOOKUP(B3,MaintSY202324CL,10,FALSE)),(VLOOKUP(B3,MaintSY202425CL,10,FALSE)))))))</f>
        <v>590726943.9611603</v>
      </c>
      <c r="F21" s="179">
        <f>IF(E5="NO",IF(E4="2021-22",(VLOOKUP(B3,EnacSY202122,10,FALSE)),IF(E4="2022-23",(VLOOKUP(B3,EnacSY202223,10,FALSE)),IF(E4="2023-24",(VLOOKUP(B3,EnacSY202324,10,FALSE)),(VLOOKUP(B3,EnacSY202425,10,FALSE))))),IF(E5="F195F",IF(E4="2021-22",(VLOOKUP(B3,EnacSY202122F195F,10,FALSE)),IF(E4="2022-23",(VLOOKUP(B3,EnacSY202223F195F,10,FALSE)),IF(E4="2023-24",(VLOOKUP(B3,EnacSY202324F195F,10,FALSE)),(VLOOKUP(B3,EnacSY202425F195F,10,FALSE))))),IF(E4="2021-22",(VLOOKUP(B3,EnacSY202122CL,10,FALSE)),IF(E4="2022-23",(VLOOKUP(B3,EnacSY202223CL,10,FALSE)),IF(E4="2023-24",(VLOOKUP(B3,EnacSY202324CL,10,FALSE)),(VLOOKUP(B3,EnacSY202425CL,10,FALSE)))))))+IF(B3="00000",stabilization!C6,0)</f>
        <v>604512069.31925452</v>
      </c>
      <c r="G21" s="171"/>
      <c r="H21" s="186"/>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42"/>
      <c r="AQ21" s="42"/>
      <c r="AS21" s="21"/>
      <c r="AT21" s="171"/>
      <c r="AU21" s="171"/>
      <c r="AV21" s="171"/>
      <c r="AW21" s="171"/>
      <c r="AX21" s="171"/>
      <c r="AY21" s="171"/>
      <c r="AZ21" s="171"/>
    </row>
    <row r="22" spans="2:52" ht="16.2">
      <c r="B22" s="158"/>
      <c r="C22" s="159" t="s">
        <v>945</v>
      </c>
      <c r="D22" s="160">
        <f>IF(E5="yes","",SUM(D12:D21))</f>
        <v>12007254355.969997</v>
      </c>
      <c r="E22" s="160">
        <f>SUM(E12:E21)</f>
        <v>13060362963.847834</v>
      </c>
      <c r="F22" s="160">
        <f>SUM(F12:F21)</f>
        <v>13506643177.675404</v>
      </c>
      <c r="G22" s="407"/>
      <c r="AP22" s="42"/>
      <c r="AQ22" s="42"/>
      <c r="AS22" s="21"/>
    </row>
    <row r="23" spans="2:52">
      <c r="B23" s="27" t="s">
        <v>943</v>
      </c>
      <c r="C23" s="96"/>
      <c r="D23" s="73"/>
      <c r="E23" s="73"/>
      <c r="F23" s="73"/>
      <c r="G23" s="144"/>
      <c r="AP23" s="42"/>
      <c r="AQ23" s="42"/>
      <c r="AS23" s="21"/>
    </row>
    <row r="24" spans="2:52" ht="18">
      <c r="B24" s="27"/>
      <c r="C24" s="93" t="s">
        <v>1387</v>
      </c>
      <c r="D24" s="269">
        <f>IF(E5="YES","",IFERROR(VLOOKUP(B3,Stabilization,4,FALSE),0))</f>
        <v>280875000</v>
      </c>
      <c r="E24" s="179">
        <v>0</v>
      </c>
      <c r="F24" s="72">
        <v>0</v>
      </c>
      <c r="G24" s="146"/>
      <c r="AP24" s="42"/>
      <c r="AQ24" s="42"/>
      <c r="AS24" s="21"/>
    </row>
    <row r="25" spans="2:52" ht="16.2">
      <c r="B25" s="27"/>
      <c r="C25" s="93" t="s">
        <v>1363</v>
      </c>
      <c r="D25" s="269">
        <f>IF(E5="YES","",IFERROR(VLOOKUP(B3,Stabilization,6,FALSE),0))</f>
        <v>8340000</v>
      </c>
      <c r="E25" s="179">
        <v>0</v>
      </c>
      <c r="F25" s="72">
        <v>0</v>
      </c>
      <c r="G25" s="146"/>
      <c r="J25" s="419"/>
      <c r="AP25" s="42"/>
      <c r="AQ25" s="42"/>
      <c r="AS25" s="21"/>
    </row>
    <row r="26" spans="2:52" ht="16.2">
      <c r="B26" s="27"/>
      <c r="C26" s="97" t="s">
        <v>1388</v>
      </c>
      <c r="D26" s="72">
        <f>IFERROR(IF(E5="YES","",VLOOKUP(B3,levy,34,FALSE)),0)+IF(E5="YES","",IFERROR(VLOOKUP(B3,Stabilization,5,FALSE),0))</f>
        <v>296278069.18880004</v>
      </c>
      <c r="E26" s="72">
        <f>IFERROR(IF(E5="NO",IF(E4="2021-22",(VLOOKUP(B3,levy,17,FALSE)),IF(E4="2022-23",(VLOOKUP(B3,levy,18,FALSE)),IF(E4="2023-24",(VLOOKUP(B3,levy,19,FALSE)),(VLOOKUP(B3,levy,20,FALSE))))),IF(E5="F195F",IF(E4="2021-22",(VLOOKUP(B3,levyF195F,17,FALSE)),IF(E4="2022-23",(VLOOKUP(B3,levyF195F,18,FALSE)),IF(E4="2023-24",(VLOOKUP(B3,levyF195F,19,FALSE)),(VLOOKUP(B3,levyF195F,20,FALSE))))),IF(E4="2021-22",(VLOOKUP(B3,levyCL,17,FALSE)),IF(E4="2022-23",(VLOOKUP(B3,levyCL,18,FALSE)),IF(E4="2023-24",(VLOOKUP(B3,levyCL,19,FALSE)),(VLOOKUP(B3,levyCL,20,FALSE))))))),0)</f>
        <v>249244471.97000712</v>
      </c>
      <c r="F26" s="72">
        <f>IFERROR(IF(E5="NO",IF(E4="2021-22",(VLOOKUP(B3,levy,34,FALSE)),IF(E4="2022-23",(VLOOKUP(B3,levy,35,FALSE)),IF(E4="2023-24",(VLOOKUP(B3,levy,36,FALSE)),(VLOOKUP(B3,levy,37,FALSE))))),IF(E5="F195F",IF(E4="2021-22",(VLOOKUP(B3,levyF195F,34,FALSE)),IF(E4="2022-23",(VLOOKUP(B3,levyF195F,35,FALSE)),IF(E4="2023-24",(VLOOKUP(B3,levyF195F,36,FALSE)),(VLOOKUP(B3,levyF195F,37,FALSE))))),IF(E4="2021-22",(VLOOKUP(B3,levyCL,34,FALSE)),IF(E4="2022-23",(VLOOKUP(B3,levyCL,35,FALSE)),IF(E4="2023-24",(VLOOKUP(B3,levyCL,36,FALSE)),(VLOOKUP(B3,levyCL,37,FALSE))))))),0)</f>
        <v>274769885.62146658</v>
      </c>
      <c r="G26" s="151"/>
      <c r="AP26" s="42"/>
      <c r="AQ26" s="42"/>
      <c r="AS26" s="21"/>
    </row>
    <row r="27" spans="2:52">
      <c r="B27" s="158"/>
      <c r="C27" s="159" t="s">
        <v>942</v>
      </c>
      <c r="D27" s="160">
        <f>IF(E5="yes","",SUM(D24:D26))</f>
        <v>585493069.1888001</v>
      </c>
      <c r="E27" s="160">
        <f>SUM(E24:E26)</f>
        <v>249244471.97000712</v>
      </c>
      <c r="F27" s="160">
        <f>SUM(F24:F26)</f>
        <v>274769885.62146658</v>
      </c>
      <c r="G27" s="408"/>
      <c r="H27" s="77"/>
      <c r="J27" s="419"/>
      <c r="AP27" s="42"/>
      <c r="AQ27" s="42"/>
      <c r="AS27" s="21"/>
    </row>
    <row r="28" spans="2:52">
      <c r="B28" s="93"/>
      <c r="C28" s="161" t="s">
        <v>1381</v>
      </c>
      <c r="D28" s="72">
        <f>IF(E5="YES","",D27+D22)</f>
        <v>12592747425.158798</v>
      </c>
      <c r="E28" s="73">
        <f>E27+E22</f>
        <v>13309607435.817841</v>
      </c>
      <c r="F28" s="73">
        <f>F27+F22</f>
        <v>13781413063.296869</v>
      </c>
      <c r="H28" s="77"/>
      <c r="AP28" s="42"/>
      <c r="AQ28" s="42"/>
      <c r="AS28" s="21"/>
    </row>
    <row r="29" spans="2:52">
      <c r="B29" s="27" t="s">
        <v>944</v>
      </c>
      <c r="C29" s="96"/>
      <c r="D29" s="98"/>
      <c r="E29" s="98"/>
      <c r="F29" s="98"/>
      <c r="H29" s="77"/>
      <c r="AP29" s="42"/>
      <c r="AQ29" s="42"/>
      <c r="AS29" s="21"/>
    </row>
    <row r="30" spans="2:52" ht="16.2">
      <c r="B30" s="27"/>
      <c r="C30" s="97" t="s">
        <v>1389</v>
      </c>
      <c r="D30" s="72">
        <f>IFERROR(IF(E5="YES","",VLOOKUP(B3,levy,38,FALSE)),0)</f>
        <v>2302289500.6324377</v>
      </c>
      <c r="E30" s="72">
        <f>IFERROR(IF(E5="NO",IF(E4="2021-22",(VLOOKUP(B3,levy,21,FALSE)),IF(E4="2022-23",(VLOOKUP(B3,levy,22,FALSE)),IF(E4="2023-24",(VLOOKUP(B3,levy,23,FALSE)),(VLOOKUP(B3,levy,24,FALSE))))),IF(E5="F195F",IF(E4="2021-22",(VLOOKUP(B3,levyF195F,21,FALSE)),IF(E4="2022-23",(VLOOKUP(B3,levyF195F,22,FALSE)),IF(E4="2023-24",(VLOOKUP(B3,levyF195F,23,FALSE)),(VLOOKUP(B3,levyF195F,24,FALSE))))),IF(E4="2021-22",(VLOOKUP(B3,levyCL,21,FALSE)),IF(E4="2022-23",(VLOOKUP(B3,levyCL,22,FALSE)),IF(E4="2023-24",(VLOOKUP(B3,levyCL,23,FALSE)),(VLOOKUP(B3,levyCL,24,FALSE))))))),0)</f>
        <v>2387759017.3821349</v>
      </c>
      <c r="F30" s="72">
        <f>IFERROR(IF(E5="NO",IF(E4="2021-22",(VLOOKUP(B3,levy,38,FALSE)),IF(E4="2022-23",(VLOOKUP(B3,levy,39,FALSE)),IF(E4="2023-24",(VLOOKUP(B3,levy,40,FALSE)),(VLOOKUP(B3,levy,41,FALSE))))),IF(E5="F195F",IF(E4="2021-22",(VLOOKUP(B3,levyF195F,38,FALSE)),IF(E4="2022-23",(VLOOKUP(B3,levyF195F,39,FALSE)),IF(E4="2023-24",(VLOOKUP(B3,levyF195F,40,FALSE)),(VLOOKUP(B3,levyF195F,41,FALSE))))),IF(E4="2021-22",(VLOOKUP(B3,levyCL,38,FALSE)),IF(E4="2022-23",(VLOOKUP(B3,levyCL,39,FALSE)),IF(E4="2023-24",(VLOOKUP(B3,levyCL,40,FALSE)),(VLOOKUP(B3,levyCL,41,FALSE))))))),0)</f>
        <v>2403227174.696177</v>
      </c>
      <c r="AP30" s="42"/>
      <c r="AQ30" s="42"/>
      <c r="AS30" s="21"/>
    </row>
    <row r="31" spans="2:52">
      <c r="B31" s="162"/>
      <c r="C31" s="163" t="s">
        <v>941</v>
      </c>
      <c r="D31" s="164">
        <f>IF(E5="yes","",SUM(D30:D30))</f>
        <v>2302289500.6324377</v>
      </c>
      <c r="E31" s="164">
        <f>SUM(E30:E30)</f>
        <v>2387759017.3821349</v>
      </c>
      <c r="F31" s="164">
        <f>SUM(F30:F30)</f>
        <v>2403227174.696177</v>
      </c>
      <c r="G31" s="158"/>
      <c r="AP31" s="42"/>
      <c r="AQ31" s="42"/>
      <c r="AS31" s="21"/>
    </row>
    <row r="32" spans="2:52">
      <c r="B32" s="93"/>
      <c r="C32" s="161" t="s">
        <v>1382</v>
      </c>
      <c r="D32" s="73">
        <f>IF(E5="YES","",D31+D28)</f>
        <v>14895036925.791237</v>
      </c>
      <c r="E32" s="73">
        <f>E31+E28</f>
        <v>15697366453.199976</v>
      </c>
      <c r="F32" s="73">
        <f>F31+F28</f>
        <v>16184640237.993046</v>
      </c>
      <c r="AP32" s="42"/>
      <c r="AQ32" s="42"/>
      <c r="AS32" s="21"/>
    </row>
    <row r="33" spans="2:45">
      <c r="B33" s="27"/>
      <c r="C33" s="96" t="s">
        <v>958</v>
      </c>
      <c r="D33" s="167" t="str">
        <f>IF(E5="YES","",".")</f>
        <v>.</v>
      </c>
      <c r="E33" s="165"/>
      <c r="F33" s="253">
        <f>F32-E32</f>
        <v>487273784.79306984</v>
      </c>
      <c r="G33" s="144"/>
      <c r="AP33" s="42"/>
      <c r="AQ33" s="42"/>
      <c r="AS33" s="21"/>
    </row>
    <row r="34" spans="2:45" ht="15.75" customHeight="1">
      <c r="B34" s="27"/>
      <c r="C34" s="96" t="s">
        <v>962</v>
      </c>
      <c r="D34" s="167" t="str">
        <f>IF(E5="YES","",".")</f>
        <v>.</v>
      </c>
      <c r="E34" s="167" t="str">
        <f>IF(E5="YES","",".")</f>
        <v>.</v>
      </c>
      <c r="F34" s="166">
        <f>IF(E5="YES","",F32-D32)</f>
        <v>1289603312.2018089</v>
      </c>
      <c r="G34" s="145"/>
      <c r="H34" s="76"/>
      <c r="I34" s="76"/>
      <c r="AP34" s="42"/>
      <c r="AQ34" s="42"/>
      <c r="AS34" s="21"/>
    </row>
    <row r="35" spans="2:45" ht="9" customHeight="1">
      <c r="E35" s="76"/>
      <c r="F35" s="76"/>
      <c r="G35"/>
      <c r="AP35" s="42"/>
      <c r="AQ35" s="42"/>
      <c r="AS35" s="21"/>
    </row>
    <row r="36" spans="2:45" ht="15.75" customHeight="1">
      <c r="G36"/>
    </row>
    <row r="37" spans="2:45" ht="18">
      <c r="B37" s="457" t="s">
        <v>1235</v>
      </c>
      <c r="C37" s="457"/>
      <c r="D37" s="457"/>
      <c r="E37" s="457"/>
      <c r="F37" s="457"/>
      <c r="G37" s="409"/>
      <c r="AP37" s="42" t="s">
        <v>1038</v>
      </c>
      <c r="AQ37" s="42" t="s">
        <v>1043</v>
      </c>
      <c r="AR37" t="str">
        <f t="shared" ref="AR37:AR45" si="0">CONCATENATE(AP37," - ",AQ37)</f>
        <v>27901 - Chief Leschi Tribal Compact</v>
      </c>
      <c r="AS37" s="21" t="str">
        <f t="shared" ref="AS37:AS45" si="1">AP37</f>
        <v>27901</v>
      </c>
    </row>
    <row r="38" spans="2:45" ht="16.2">
      <c r="B38" t="s">
        <v>1368</v>
      </c>
      <c r="C38" s="313"/>
      <c r="D38" s="314"/>
      <c r="E38" s="314"/>
      <c r="F38" s="314"/>
      <c r="G38"/>
      <c r="H38" s="77"/>
      <c r="AP38" s="42" t="s">
        <v>37</v>
      </c>
      <c r="AQ38" s="42" t="s">
        <v>38</v>
      </c>
      <c r="AR38" t="str">
        <f t="shared" si="0"/>
        <v>04222 - CASHMERE SCHOOL DISTRICT</v>
      </c>
      <c r="AS38" s="21" t="str">
        <f t="shared" si="1"/>
        <v>04222</v>
      </c>
    </row>
    <row r="39" spans="2:45">
      <c r="C39" t="s">
        <v>1236</v>
      </c>
      <c r="D39" s="364">
        <f>IFERROR(VLOOKUP(B3,ESSER,3,FALSE),0)</f>
        <v>192717051.42000008</v>
      </c>
      <c r="E39" s="314">
        <f>IFERROR(IF(E4="2021-22",VLOOKUP(B3,ESSER,3,FALSE),0),0)</f>
        <v>0</v>
      </c>
      <c r="F39" s="314">
        <f>IFERROR(IF(E4="2021-22",VLOOKUP(B3,ESSER,3,FALSE),0),0)</f>
        <v>0</v>
      </c>
      <c r="G39"/>
      <c r="H39" s="77"/>
      <c r="AP39" s="42"/>
      <c r="AQ39" s="42"/>
      <c r="AS39" s="21"/>
    </row>
    <row r="40" spans="2:45">
      <c r="C40" t="s">
        <v>1237</v>
      </c>
      <c r="D40" s="314">
        <f>IFERROR(VLOOKUP(B3,ESSER,4,FALSE),0)</f>
        <v>742654220</v>
      </c>
      <c r="E40" s="314">
        <f>IFERROR(IF(E4="2021-22",VLOOKUP(B3,ESSER,4,FALSE),IF(E4="2022-23",VLOOKUP(B3,ESSER,4,FALSE),0)),0)</f>
        <v>742654220</v>
      </c>
      <c r="F40" s="314">
        <f>IFERROR(IF(E4="2021-22",VLOOKUP(B3,ESSER,4,FALSE),IF(E4="2022-23",VLOOKUP(B3,ESSER,4,FALSE),0)),0)</f>
        <v>742654220</v>
      </c>
      <c r="G40"/>
      <c r="H40" s="77"/>
      <c r="AP40" s="42"/>
      <c r="AQ40" s="42"/>
      <c r="AS40" s="21"/>
    </row>
    <row r="41" spans="2:45">
      <c r="C41" s="315" t="s">
        <v>1238</v>
      </c>
      <c r="D41" s="179">
        <f>IFERROR(VLOOKUP(B3,ESSER,5,FALSE),0)</f>
        <v>1671202095</v>
      </c>
      <c r="E41" s="179">
        <f>IFERROR(IF(E4="2021-22",VLOOKUP(B3,ESSER,5,FALSE),IF(E4="2022-23",VLOOKUP(B3,ESSER,5,FALSE),IF(E4="2023-24",VLOOKUP(B3,ESSER,5,FALSE),0))),0)</f>
        <v>1671202095</v>
      </c>
      <c r="F41" s="179">
        <f>IFERROR(IF(E4="2021-22",VLOOKUP(B3,ESSER,5,FALSE),IF(E4="2022-23",VLOOKUP(B3,ESSER,5,FALSE),IF(E4="2023-24",VLOOKUP(B3,ESSER,5,FALSE),0))),0)</f>
        <v>1671202095</v>
      </c>
      <c r="G41"/>
      <c r="AP41" s="42" t="s">
        <v>81</v>
      </c>
      <c r="AQ41" s="42" t="s">
        <v>82</v>
      </c>
      <c r="AR41" t="str">
        <f t="shared" si="0"/>
        <v>08401 - Castle Rock School District</v>
      </c>
      <c r="AS41" s="21" t="str">
        <f t="shared" si="1"/>
        <v>08401</v>
      </c>
    </row>
    <row r="42" spans="2:45">
      <c r="B42" s="316"/>
      <c r="C42" s="317" t="s">
        <v>1239</v>
      </c>
      <c r="D42" s="318">
        <f>SUM(D39:D41)</f>
        <v>2606573366.4200001</v>
      </c>
      <c r="E42" s="318">
        <f>SUM(E39:E41)</f>
        <v>2413856315</v>
      </c>
      <c r="F42" s="318">
        <f>SUM(F39:F41)</f>
        <v>2413856315</v>
      </c>
      <c r="G42" s="409"/>
      <c r="AP42" s="42" t="s">
        <v>255</v>
      </c>
      <c r="AQ42" s="42" t="s">
        <v>256</v>
      </c>
      <c r="AR42" t="str">
        <f t="shared" si="0"/>
        <v>20215 - Centerville School District</v>
      </c>
      <c r="AS42" s="21" t="str">
        <f t="shared" si="1"/>
        <v>20215</v>
      </c>
    </row>
    <row r="43" spans="2:45">
      <c r="C43" s="161" t="s">
        <v>1383</v>
      </c>
      <c r="D43" s="348">
        <f>D42+D32</f>
        <v>17501610292.211235</v>
      </c>
      <c r="E43" s="348">
        <f>E42+E32</f>
        <v>18111222768.199974</v>
      </c>
      <c r="F43" s="348">
        <f>F42+F32</f>
        <v>18598496552.993046</v>
      </c>
      <c r="G43"/>
      <c r="AP43" s="42" t="s">
        <v>233</v>
      </c>
      <c r="AQ43" s="42" t="s">
        <v>234</v>
      </c>
      <c r="AR43" t="str">
        <f t="shared" si="0"/>
        <v>18401 - Central Kitsap School District</v>
      </c>
      <c r="AS43" s="21" t="str">
        <f t="shared" si="1"/>
        <v>18401</v>
      </c>
    </row>
    <row r="44" spans="2:45">
      <c r="C44" s="319" t="s">
        <v>1240</v>
      </c>
      <c r="D44" s="348">
        <f>D42/$E$6</f>
        <v>2453.6190718504135</v>
      </c>
      <c r="E44" s="348">
        <f>E42/$E$6</f>
        <v>2272.2106991084133</v>
      </c>
      <c r="F44" s="348">
        <f>F42/$E$6</f>
        <v>2272.2106991084133</v>
      </c>
      <c r="G44"/>
      <c r="AP44" s="42"/>
      <c r="AQ44" s="42"/>
      <c r="AS44" s="21"/>
    </row>
    <row r="45" spans="2:45" ht="9" customHeight="1">
      <c r="E45" s="76"/>
      <c r="F45" s="76"/>
      <c r="G45"/>
      <c r="AP45" s="42" t="s">
        <v>291</v>
      </c>
      <c r="AQ45" s="42" t="s">
        <v>292</v>
      </c>
      <c r="AR45" t="str">
        <f t="shared" si="0"/>
        <v>21302 - Chehalis School District</v>
      </c>
      <c r="AS45" s="21" t="str">
        <f t="shared" si="1"/>
        <v>21302</v>
      </c>
    </row>
    <row r="46" spans="2:45" ht="7.5" customHeight="1">
      <c r="B46" s="27"/>
      <c r="C46" s="27"/>
      <c r="D46" s="27"/>
      <c r="E46" s="27"/>
      <c r="F46" s="27"/>
      <c r="G46" s="151"/>
      <c r="AP46" s="42"/>
      <c r="AQ46" s="42"/>
      <c r="AS46" s="21"/>
    </row>
    <row r="47" spans="2:45" ht="11.25" customHeight="1">
      <c r="B47" s="27"/>
      <c r="C47" s="27"/>
      <c r="D47" s="27"/>
      <c r="E47" s="27"/>
      <c r="F47" s="27"/>
      <c r="G47" s="151"/>
      <c r="AP47" s="42"/>
      <c r="AQ47" s="42"/>
      <c r="AS47" s="21"/>
    </row>
    <row r="48" spans="2:45" ht="18">
      <c r="B48" s="454" t="s">
        <v>946</v>
      </c>
      <c r="C48" s="454"/>
      <c r="D48" s="454"/>
      <c r="E48" s="454"/>
      <c r="F48" s="454"/>
      <c r="G48" s="158"/>
      <c r="AP48" s="42"/>
      <c r="AQ48" s="42"/>
      <c r="AS48" s="21"/>
    </row>
    <row r="49" spans="2:45" ht="41.25" customHeight="1">
      <c r="B49" s="458" t="str">
        <f>IF(E5="YES",CONCATENATE(B4," Enrollment: includes Caseload Forecast (if total SY 2020-21 enroll &gt; 100)"),IF(E5="F195F","District Projected Enrollment","SY 2020-21 February 2021 Apportionment Enrollment"))</f>
        <v>SY 2020-21 February 2021 Apportionment Enrollment</v>
      </c>
      <c r="C49" s="458"/>
      <c r="D49" s="240" t="str">
        <f>D10</f>
        <v>School Year 2021-22</v>
      </c>
      <c r="E49" s="240" t="str">
        <f>E10</f>
        <v>Maintenance Level</v>
      </c>
      <c r="F49" s="240" t="str">
        <f>F10</f>
        <v>Enacted Budget</v>
      </c>
      <c r="G49" s="158"/>
      <c r="AP49" s="42"/>
      <c r="AQ49" s="42"/>
      <c r="AS49" s="21"/>
    </row>
    <row r="50" spans="2:45">
      <c r="B50" s="27" t="s">
        <v>953</v>
      </c>
      <c r="C50" s="27"/>
      <c r="D50" s="72"/>
      <c r="E50" s="72"/>
      <c r="F50" s="72"/>
      <c r="AP50" s="42"/>
      <c r="AQ50" s="42"/>
      <c r="AS50" s="21"/>
    </row>
    <row r="51" spans="2:45" ht="16.2">
      <c r="B51" s="27"/>
      <c r="C51" s="27" t="s">
        <v>1303</v>
      </c>
      <c r="D51" s="72">
        <f>IFERROR(IF(E5="YES","",VLOOKUP(B3,'Per Pupil Rate'!A:G,3,FALSE)),0)</f>
        <v>1688.5811492222133</v>
      </c>
      <c r="E51" s="72">
        <f>IFERROR(IF(E4="2021-22",VLOOKUP(B3,'Per Pupil Rate'!A:O,8,FALSE),IF(E4="2022-23",VLOOKUP(B3,'Per Pupil Rate'!A:O,9,FALSE),IF(E4="2023-24",VLOOKUP(B3,'Per Pupil Rate'!A:O,10,FALSE),VLOOKUP(B3,'Per Pupil Rate'!A:O,11,FALSE)))),0)</f>
        <v>1059.6332004032627</v>
      </c>
      <c r="F51" s="72">
        <f>IFERROR(IF(E4="2021-22",VLOOKUP(B3,'Per Pupil Rate'!A:O,12,FALSE),IF(E4="2022-23",VLOOKUP(B3,'Per Pupil Rate'!A:O,13,FALSE),IF(E4="2023-24",VLOOKUP(B3,'Per Pupil Rate'!A:O,14,FALSE),VLOOKUP(B3,'Per Pupil Rate'!A:O,15,FALSE)))),0)</f>
        <v>992.78513558393263</v>
      </c>
      <c r="AP51" s="42"/>
      <c r="AQ51" s="42"/>
      <c r="AS51" s="21"/>
    </row>
    <row r="52" spans="2:45" ht="16.2">
      <c r="B52" s="27"/>
      <c r="C52" s="27" t="s">
        <v>1304</v>
      </c>
      <c r="D52" s="72">
        <f>IFERROR(IF(E5="YES","",(D15/VLOOKUP(B3,'Jan 2022 Apport Enroll'!A:AB,20,FALSE))),0)</f>
        <v>1333.2321709368855</v>
      </c>
      <c r="E52" s="72">
        <f>IFERROR(E15/IF(E5="NO",VLOOKUP(B3,SY202021enrollapport,20,FALSE),IF(E5="F195F",IF(E4="2021-22",VLOOKUP(B3,SY202122F195Fenroll,20,FALSE),IF(E4="2022-23",VLOOKUP(B3,SY202223F195Fenroll,20,FALSE),IF(E4="2023-24",VLOOKUP(B3,SY202324F195Fenroll,20,FALSE),VLOOKUP(B3,SY202425F195Fenroll,20,FALSE)))),IF(E4="2021-22",VLOOKUP(B3,SY202122enroll,20,FALSE),IF(E4="2022-23",VLOOKUP(B3,SY202223enroll,20,FALSE),IF(E4="2023-24",VLOOKUP(B3,SY202324enroll,20,FALSE),VLOOKUP(B3,SY202425enroll,20,FALSE)))))),0)</f>
        <v>1488.8650661131012</v>
      </c>
      <c r="F52" s="72">
        <f>IFERROR(F15/IF(E5="NO",VLOOKUP(B3,SY202021enrollapport,20,FALSE),IF(E5="F195F",IF(E4="2021-22",VLOOKUP(B3,SY202122F195Fenroll,20,FALSE),IF(E4="2022-23",VLOOKUP(B3,SY202223F195Fenroll,20,FALSE),IF(E4="2023-24",VLOOKUP(B3,SY202324F195Fenroll,20,FALSE),VLOOKUP(B3,SY202425F195Fenroll,20,FALSE)))),IF(E4="2021-22",VLOOKUP(B3,SY202122enroll,20,FALSE),IF(E4="2022-23",VLOOKUP(B3,SY202223enroll,20,FALSE),IF(E4="2023-24",VLOOKUP(B3,SY202324enroll,20,FALSE),VLOOKUP(B3,SY202425enroll,20,FALSE)))))),0)</f>
        <v>1527.1976650186407</v>
      </c>
      <c r="G52" s="147"/>
      <c r="AP52" s="42"/>
      <c r="AQ52" s="42"/>
      <c r="AS52" s="21"/>
    </row>
    <row r="53" spans="2:45">
      <c r="B53" s="27"/>
      <c r="C53" s="27" t="s">
        <v>948</v>
      </c>
      <c r="D53" s="72">
        <f>IFERROR(IF(E5="YES","",(D16/VLOOKUP(B3,'Jan 2022 Apport Enroll'!A:AC,22,FALSE))),0)</f>
        <v>578.87017181754095</v>
      </c>
      <c r="E53" s="72">
        <f>IFERROR(E16/IF(E5="NO",VLOOKUP(B3,SY202021enrollapport,22,FALSE),IF(E5="F195",IF(E4="2021-22",VLOOKUP(B3,SY202122F195Fenroll,22,FALSE),IF(E4="2022-23",VLOOKUP(B3,SY202223F195Fenroll,22,FALSE),IF(E4="2023-24",VLOOKUP(B3,SY202324F195Fenroll,22,FALSE),VLOOKUP(B3,SY202425F195Fenroll,22,FALSE)))),IF(E4="2021-22",VLOOKUP(B3,SY202122enroll,22,FALSE),IF(E4="2022-23",VLOOKUP(B3,SY202223enroll,22,FALSE),IF(E4="2023-24",VLOOKUP(B3,SY202324enroll,22,FALSE),VLOOKUP(B3,SY202425enroll,22,FALSE)))))),0)</f>
        <v>630.29419148097577</v>
      </c>
      <c r="F53" s="72">
        <f>IFERROR(F16/IF(E5="NO",VLOOKUP(B3,SY202021enrollapport,22,FALSE),IF(E5="F195",IF(E4="2021-22",VLOOKUP(B3,SY202122F195Fenroll,22,FALSE),IF(E4="2022-23",VLOOKUP(B3,SY202223F195Fenroll,22,FALSE),IF(E4="2023-24",VLOOKUP(B3,SY202324F195Fenroll,22,FALSE),VLOOKUP(B3,SY202425F195Fenroll,22,FALSE)))),IF(E4="2021-22",VLOOKUP(B3,SY202122enroll,22,FALSE),IF(E4="2022-23",VLOOKUP(B3,SY202223enroll,22,FALSE),IF(E4="2023-24",VLOOKUP(B3,SY202324enroll,22,FALSE),VLOOKUP(B3,SY202425enroll,22,FALSE)))))),0)</f>
        <v>646.52108636753258</v>
      </c>
      <c r="G53" s="147"/>
      <c r="AP53" s="42"/>
      <c r="AQ53" s="42"/>
      <c r="AS53" s="21"/>
    </row>
    <row r="54" spans="2:45">
      <c r="B54" s="27"/>
      <c r="C54" s="27" t="s">
        <v>947</v>
      </c>
      <c r="D54" s="72">
        <f>IFERROR(IF(E5="YES","",((D18+D17)/D55)),0)</f>
        <v>848.64857277830754</v>
      </c>
      <c r="E54" s="72">
        <f>IFERROR((E18+E17)/IF(E5="NO",VLOOKUP(B3,SY202021enrollapport,23,FALSE),IF(E5="F195F",IF(E4="2021-22",VLOOKUP(B3,SY202122F195Fenroll,23,FALSE),IF(E4="2022-23",VLOOKUP(B3,SY202223F195Fenroll,23,FALSE),IF(E4="2023-24",VLOOKUP(B3,SY202324F195Fenroll,23,FALSE),VLOOKUP(B3,SY202425F195Fenroll,23,FALSE)))),IF(E4="2021-22",VLOOKUP(B3,SY202122enroll,23,FALSE),IF(E4="2022-23",VLOOKUP(B3,SY202223enroll,23,FALSE),IF(E4="2023-24",VLOOKUP(B3,SY202324enroll,23,FALSE),VLOOKUP(B3,SY202425enroll,23,FALSE)))))),0)</f>
        <v>1790.9795200478461</v>
      </c>
      <c r="F54" s="72">
        <f>IFERROR((F18+F17)/IF(E5="NO",VLOOKUP(B3,SY202021enrollapport,23,FALSE),IF(E5="F195F",IF(E4="2021-22",VLOOKUP(B3,SY202122F195Fenroll,23,FALSE),IF(E4="2022-23",VLOOKUP(B3,SY202223F195Fenroll,23,FALSE),IF(E4="2023-24",VLOOKUP(B3,SY202324F195Fenroll,23,FALSE),VLOOKUP(B3,SY202425F195Fenroll,23,FALSE)))),IF(E4="2021-22",VLOOKUP(B3,SY202122enroll,23,FALSE),IF(E4="2022-23",VLOOKUP(B3,SY202223enroll,23,FALSE),IF(E4="2023-24",VLOOKUP(B3,SY202324enroll,23,FALSE),VLOOKUP(B3,SY202425enroll,23,FALSE)))))),0)</f>
        <v>1837.0076906013974</v>
      </c>
      <c r="G54" s="147"/>
      <c r="AP54" s="42"/>
      <c r="AQ54" s="42"/>
      <c r="AS54" s="21"/>
    </row>
    <row r="55" spans="2:45">
      <c r="B55" s="27"/>
      <c r="C55" s="142" t="s">
        <v>981</v>
      </c>
      <c r="D55" s="143">
        <f>IFERROR(IF(E5="YES","",(VLOOKUP(B3,'Jan 2022 Apport Enroll'!A:AC,21,FALSE))),0)</f>
        <v>488899.52000000037</v>
      </c>
      <c r="E55" s="143">
        <f>IFERROR(IF(E5="NO",VLOOKUP(B3,SY202021enrollapport,21,FALSE),IF(E5="F195F",IF(E4="2021-22",VLOOKUP(B3,SY202122F195Fenroll,21,FALSE),IF(E4="2022-23",VLOOKUP(B3,SY202223F195Fenroll,21,FALSE),IF(E4="2023-24",VLOOKUP(B3,SY202324F195Fenroll,21,FALSE),VLOOKUP(B3,SY202425F195Fenroll,21,FALSE)))),IF(E4="2021-22",VLOOKUP(B3,SY202122enroll,21,FALSE),IF(E4="2022-23",VLOOKUP(B3,SY202223enroll,21,FALSE),IF(E4="2023-24",VLOOKUP(B3,SY202324enroll,21,FALSE),VLOOKUP(B3,SY202425enroll,21,FALSE)))))),0)</f>
        <v>488899.52000000037</v>
      </c>
      <c r="F55" s="143">
        <f>IFERROR(IF(E5="NO",VLOOKUP(B3,SY202021enrollapport,21,FALSE),IF(E5="F195F",IF(E4="2021-22",VLOOKUP(B3,SY202122F195Fenroll,21,FALSE),IF(E4="2022-23",VLOOKUP(B3,SY202223F195Fenroll,21,FALSE),IF(E4="2023-24",VLOOKUP(B3,SY202324F195Fenroll,21,FALSE),VLOOKUP(B3,SY202425F195Fenroll,21,FALSE)))),IF(E4="2021-22",VLOOKUP(B3,SY202122enroll,21,FALSE),IF(E4="2022-23",VLOOKUP(B3,SY202223enroll,21,FALSE),IF(E4="2023-24",VLOOKUP(B3,SY202324enroll,21,FALSE),VLOOKUP(B3,SY202425enroll,21,FALSE)))))),0)</f>
        <v>488899.52000000037</v>
      </c>
      <c r="G55" s="147"/>
      <c r="J55" s="419"/>
      <c r="AP55" s="42"/>
      <c r="AQ55" s="42"/>
      <c r="AS55" s="21"/>
    </row>
    <row r="56" spans="2:45">
      <c r="B56" s="27"/>
      <c r="C56" s="27" t="s">
        <v>630</v>
      </c>
      <c r="D56" s="72">
        <f>IFERROR(IF(E5="YES","",IF(B3="00000",((D19+D20)/VLOOKUP(B3,'Jan 2022 Apport Enroll'!A:AC,24,FALSE)),((D19)/VLOOKUP(B3,'Jan 2022 Apport Enroll'!A:AC,24,FALSE)))),0)</f>
        <v>9618.4484663420953</v>
      </c>
      <c r="E56" s="72">
        <f>IFERROR(IF(B3="00000",(E19+E20)/IF(E5="NO",VLOOKUP(B3,SY202021enrollapport,24,FALSE),IF(E5="F195F",IF(E4="2021-22",VLOOKUP(B3,SY202122F195Fenroll,24,FALSE),IF(E4="2022-23",VLOOKUP(B3,SY202223F195Fenroll,24,FALSE),IF(E4="2023-24",VLOOKUP(B3,SY202324F195Fenroll,24,FALSE),VLOOKUP(B3,SY202425F195Fenroll,24,FALSE)))),IF(E4="2021-22",VLOOKUP(B3,SY202122enroll,24,FALSE),IF(E4="2022-23",VLOOKUP(B3,SY202223enroll,24,FALSE),IF(E4="2023-24",VLOOKUP(B3,SY202324enroll,24,FALSE),VLOOKUP(B3,SY202425enroll,24,FALSE)))))),(E19)/IF(E5="NO",VLOOKUP(B3,SY202021enrollapport,24,FALSE),IF(E5="F195F",IF(E4="2021-22",VLOOKUP(B3,SY202122F195Fenroll,24,FALSE),IF(E4="2022-23",VLOOKUP(B3,SY202223F195Fenroll,24,FALSE),IF(E4="2023-24",VLOOKUP(B3,SY202324F195Fenroll,24,FALSE),VLOOKUP(B3,SY202425F195Fenroll,24,FALSE)))),IF(E4="2021-22",VLOOKUP(B3,SY202122enroll,24,FALSE),IF(E4="2022-23",VLOOKUP(B3,SY202223enroll,24,FALSE),IF(E4="2023-24",VLOOKUP(B3,SY202324enroll,24,FALSE),VLOOKUP(B3,SY202425enroll,24,FALSE))))))),0)</f>
        <v>10070.022308001147</v>
      </c>
      <c r="F56" s="72">
        <f>IFERROR(IF(B3="00000",(F19+F20)/IF(E5="NO",VLOOKUP(B3,SY202021enrollapport,24,FALSE),IF(E5="F195F",IF(E4="2021-22",VLOOKUP(B3,SY202122F195Fenroll,24,FALSE),IF(E4="2022-23",VLOOKUP(B3,SY202223F195Fenroll,24,FALSE),IF(E4="2023-24",VLOOKUP(B3,SY202324F195Fenroll,24,FALSE),VLOOKUP(B3,SY202425F195Fenroll,24,FALSE)))),IF(E4="2021-22",VLOOKUP(B3,SY202122enroll,24,FALSE),IF(E4="2022-23",VLOOKUP(B3,SY202223enroll,24,FALSE),IF(E4="2023-24",VLOOKUP(B3,SY202324enroll,24,FALSE),VLOOKUP(B3,SY202425enroll,24,FALSE)))))),(F19)/IF(E5="NO",VLOOKUP(B3,SY202021enrollapport,24,FALSE),IF(E5="F195F",IF(E4="2021-22",VLOOKUP(B3,SY202122F195Fenroll,24,FALSE),IF(E4="2022-23",VLOOKUP(B3,SY202223F195Fenroll,24,FALSE),IF(E4="2023-24",VLOOKUP(B3,SY202324F195Fenroll,24,FALSE),VLOOKUP(B3,SY202425F195Fenroll,24,FALSE)))),IF(E4="2021-22",VLOOKUP(B3,SY202122enroll,24,FALSE),IF(E4="2022-23",VLOOKUP(B3,SY202223enroll,24,FALSE),IF(E4="2023-24",VLOOKUP(B3,SY202324enroll,24,FALSE),VLOOKUP(B3,SY202425enroll,24,FALSE))))))),0)</f>
        <v>10319.929231878297</v>
      </c>
      <c r="G56" s="147"/>
      <c r="AP56" s="42"/>
      <c r="AQ56" s="42"/>
      <c r="AS56" s="21"/>
    </row>
    <row r="57" spans="2:45">
      <c r="B57" s="93"/>
      <c r="C57" s="161" t="s">
        <v>1385</v>
      </c>
      <c r="D57" s="72">
        <f>IFERROR(IF(E5="yes","",(D32/VLOOKUP(B3,SY202021enrollapport,13,FALSE))),0)</f>
        <v>14020.992905038651</v>
      </c>
      <c r="E57" s="73">
        <f>IFERROR(E32/IF(E5="NO",VLOOKUP(B3,SY202021enrollapport,13,FALSE),IF(E5="F195F",IF(B4="2021-22",VLOOKUP(B3,SY202122F195Fenroll,13,FALSE),IF(B4="2022-23",VLOOKUP(B3,SY202223F195Fenroll,13,FALSE),IF(B4="2023-24",VLOOKUP(B3,SY202324F195Fenroll,13,FALSE),VLOOKUP(B3,SY202425F195Fenroll,13,FALSE)))),IF(B4="2021-22",VLOOKUP(B3,SY202122enroll,13,FALSE),IF(B4="2022-23",VLOOKUP(B3,SY202223enroll,13,FALSE),IF(B4="2023-24",VLOOKUP(B3,SY202324enroll,13,FALSE),VLOOKUP(B3,SY202425enroll,13,FALSE)))))),0)</f>
        <v>14776.241560503353</v>
      </c>
      <c r="F57" s="73">
        <f>IFERROR(F32/IF(E5="NO",VLOOKUP(B3,SY202021enrollapport,13,FALSE),IF(E5="F195F",IF(B4="2021-22",VLOOKUP(B3,SY202122F195Fenroll,13,FALSE),IF(B4="2022-23",VLOOKUP(B3,SY202223F195Fenroll,13,FALSE),IF(B4="2023-24",VLOOKUP(B3,SY202324F195Fenroll,13,FALSE),VLOOKUP(B3,SY202425F195Fenroll,13,FALSE)))),IF(B4="2021-22",VLOOKUP(B3,SY202122enroll,13,FALSE),IF(B4="2022-23",VLOOKUP(B3,SY202223enroll,13,FALSE),IF(B4="2023-24",VLOOKUP(B3,SY202324enroll,13,FALSE),VLOOKUP(B3,SY202425enroll,13,FALSE)))))),0)</f>
        <v>15234.922013155676</v>
      </c>
      <c r="AP57" s="42"/>
      <c r="AQ57" s="42"/>
      <c r="AS57" s="21"/>
    </row>
    <row r="58" spans="2:45">
      <c r="B58" s="27"/>
      <c r="C58" s="96" t="s">
        <v>951</v>
      </c>
      <c r="D58" s="304"/>
      <c r="E58" s="239"/>
      <c r="F58" s="166">
        <f>F57-E57</f>
        <v>458.68045265232286</v>
      </c>
      <c r="AP58" s="42"/>
      <c r="AQ58" s="42"/>
      <c r="AS58" s="21"/>
    </row>
    <row r="59" spans="2:45">
      <c r="B59" s="27"/>
      <c r="C59" s="96" t="s">
        <v>972</v>
      </c>
      <c r="D59" s="167" t="str">
        <f>IF(E5="YES","",".")</f>
        <v>.</v>
      </c>
      <c r="E59" s="167" t="str">
        <f>IF(E5="YES","",".")</f>
        <v>.</v>
      </c>
      <c r="F59" s="166">
        <f>IF(E5="YES","",F57-D57)</f>
        <v>1213.929108117025</v>
      </c>
      <c r="AP59" s="42"/>
      <c r="AQ59" s="42"/>
      <c r="AS59" s="21"/>
    </row>
    <row r="60" spans="2:45">
      <c r="G60"/>
    </row>
    <row r="61" spans="2:45" ht="17.55" customHeight="1">
      <c r="B61" s="320"/>
      <c r="C61" s="316" t="s">
        <v>1384</v>
      </c>
      <c r="D61" s="403">
        <f>D43/E6</f>
        <v>16474.61197688906</v>
      </c>
      <c r="E61" s="321">
        <f>E43/E6</f>
        <v>17048.452259611764</v>
      </c>
      <c r="F61" s="321">
        <f>F43/E6</f>
        <v>17507.132712264087</v>
      </c>
      <c r="G61" s="409"/>
      <c r="AP61" s="42" t="s">
        <v>1038</v>
      </c>
      <c r="AQ61" s="42" t="s">
        <v>1043</v>
      </c>
      <c r="AR61" t="str">
        <f>CONCATENATE(AP61," - ",AQ61)</f>
        <v>27901 - Chief Leschi Tribal Compact</v>
      </c>
      <c r="AS61" s="21" t="str">
        <f>AP61</f>
        <v>27901</v>
      </c>
    </row>
    <row r="62" spans="2:45">
      <c r="F62" s="77"/>
      <c r="G62"/>
      <c r="AP62" s="42" t="s">
        <v>411</v>
      </c>
      <c r="AQ62" s="42" t="s">
        <v>412</v>
      </c>
      <c r="AR62" t="str">
        <f>CONCATENATE(AP62," - ",AQ62)</f>
        <v>29317 - Conway School District</v>
      </c>
      <c r="AS62" s="21" t="str">
        <f>AP62</f>
        <v>29317</v>
      </c>
    </row>
    <row r="63" spans="2:45">
      <c r="F63" s="77"/>
      <c r="AP63" s="42"/>
      <c r="AQ63" s="42"/>
      <c r="AS63" s="21"/>
    </row>
    <row r="64" spans="2:45" s="417" customFormat="1" ht="17.55" customHeight="1">
      <c r="B64" s="455" t="s">
        <v>1306</v>
      </c>
      <c r="C64" s="455"/>
      <c r="D64" s="455"/>
      <c r="E64" s="455"/>
      <c r="F64" s="455"/>
      <c r="G64" s="455"/>
      <c r="AP64" s="418"/>
      <c r="AQ64" s="418"/>
    </row>
    <row r="65" spans="2:45" s="417" customFormat="1" ht="17.55" customHeight="1">
      <c r="B65" s="455" t="s">
        <v>1307</v>
      </c>
      <c r="C65" s="455"/>
      <c r="D65" s="455"/>
      <c r="E65" s="455"/>
      <c r="F65" s="455"/>
      <c r="G65" s="455"/>
      <c r="AP65" s="418"/>
      <c r="AQ65" s="418"/>
    </row>
    <row r="66" spans="2:45" s="417" customFormat="1" ht="17.55" customHeight="1">
      <c r="B66" s="455" t="s">
        <v>1366</v>
      </c>
      <c r="C66" s="455"/>
      <c r="D66" s="455"/>
      <c r="E66" s="455"/>
      <c r="F66" s="455"/>
      <c r="G66" s="455"/>
      <c r="AP66" s="418"/>
      <c r="AQ66" s="418"/>
    </row>
    <row r="67" spans="2:45" s="417" customFormat="1" ht="17.55" customHeight="1">
      <c r="B67" s="455" t="s">
        <v>1308</v>
      </c>
      <c r="C67" s="455"/>
      <c r="D67" s="455"/>
      <c r="E67" s="455"/>
      <c r="F67" s="455"/>
      <c r="G67" s="455"/>
      <c r="AP67" s="418"/>
      <c r="AQ67" s="418"/>
    </row>
    <row r="68" spans="2:45" s="417" customFormat="1" ht="16.05" customHeight="1">
      <c r="B68" s="464" t="s">
        <v>1376</v>
      </c>
      <c r="C68" s="455"/>
      <c r="D68" s="455"/>
      <c r="E68" s="455"/>
      <c r="F68" s="455"/>
      <c r="G68" s="455"/>
      <c r="AP68" s="418"/>
      <c r="AQ68" s="418"/>
    </row>
    <row r="69" spans="2:45" s="417" customFormat="1" ht="17.55" customHeight="1">
      <c r="B69" s="455" t="s">
        <v>1309</v>
      </c>
      <c r="C69" s="455"/>
      <c r="D69" s="455"/>
      <c r="E69" s="455"/>
      <c r="F69" s="455"/>
      <c r="G69" s="455"/>
      <c r="AP69" s="418"/>
      <c r="AQ69" s="418"/>
    </row>
    <row r="70" spans="2:45" s="417" customFormat="1" ht="17.55" customHeight="1">
      <c r="B70" s="455" t="s">
        <v>1310</v>
      </c>
      <c r="C70" s="455"/>
      <c r="D70" s="455"/>
      <c r="E70" s="455"/>
      <c r="F70" s="455"/>
      <c r="G70" s="455"/>
      <c r="AP70" s="418"/>
      <c r="AQ70" s="418"/>
    </row>
    <row r="71" spans="2:45" s="417" customFormat="1" ht="17.55" customHeight="1">
      <c r="B71" s="455" t="s">
        <v>1311</v>
      </c>
      <c r="C71" s="455"/>
      <c r="D71" s="455"/>
      <c r="E71" s="455"/>
      <c r="F71" s="455"/>
      <c r="G71" s="455"/>
      <c r="AP71" s="418"/>
      <c r="AQ71" s="418"/>
    </row>
    <row r="72" spans="2:45" s="417" customFormat="1" ht="17.55" customHeight="1">
      <c r="B72" s="464" t="s">
        <v>1369</v>
      </c>
      <c r="C72" s="455"/>
      <c r="D72" s="455"/>
      <c r="E72" s="455"/>
      <c r="F72" s="455"/>
      <c r="G72" s="455"/>
      <c r="AP72" s="418"/>
      <c r="AQ72" s="418"/>
    </row>
    <row r="73" spans="2:45" s="417" customFormat="1" ht="52.5" customHeight="1">
      <c r="B73" s="464" t="s">
        <v>1386</v>
      </c>
      <c r="C73" s="455"/>
      <c r="D73" s="455"/>
      <c r="E73" s="455"/>
      <c r="F73" s="455"/>
      <c r="G73" s="455"/>
      <c r="AP73" s="418"/>
      <c r="AQ73" s="418"/>
    </row>
    <row r="74" spans="2:45" s="417" customFormat="1" ht="54" customHeight="1">
      <c r="B74" s="464" t="s">
        <v>1392</v>
      </c>
      <c r="C74" s="455"/>
      <c r="D74" s="455"/>
      <c r="E74" s="455"/>
      <c r="F74" s="455"/>
      <c r="G74" s="455"/>
      <c r="AP74" s="418"/>
      <c r="AQ74" s="418"/>
    </row>
    <row r="75" spans="2:45">
      <c r="AP75" s="42"/>
      <c r="AQ75" s="42"/>
      <c r="AS75" s="21"/>
    </row>
    <row r="76" spans="2:45">
      <c r="AP76" s="42"/>
      <c r="AQ76" s="42"/>
      <c r="AS76" s="21"/>
    </row>
    <row r="77" spans="2:45">
      <c r="AP77" s="21"/>
      <c r="AQ77" s="21"/>
      <c r="AS77" s="21"/>
    </row>
    <row r="78" spans="2:45">
      <c r="AP78" s="42"/>
      <c r="AQ78" s="42"/>
      <c r="AS78" s="21"/>
    </row>
    <row r="79" spans="2:45">
      <c r="AP79" s="42"/>
      <c r="AQ79" s="42"/>
      <c r="AS79" s="21"/>
    </row>
    <row r="80" spans="2:45">
      <c r="AP80" s="42"/>
      <c r="AQ80" s="42"/>
      <c r="AS80" s="21"/>
    </row>
    <row r="81" spans="42:45">
      <c r="AP81" s="42"/>
      <c r="AQ81" s="42"/>
      <c r="AS81" s="21"/>
    </row>
    <row r="82" spans="42:45">
      <c r="AP82" s="42"/>
      <c r="AQ82" s="42"/>
      <c r="AS82" s="21"/>
    </row>
    <row r="83" spans="42:45">
      <c r="AP83" s="42"/>
      <c r="AQ83" s="42"/>
      <c r="AS83" s="21"/>
    </row>
    <row r="84" spans="42:45">
      <c r="AP84" s="42"/>
      <c r="AQ84" s="42"/>
      <c r="AS84" s="21"/>
    </row>
    <row r="85" spans="42:45">
      <c r="AP85" s="42"/>
      <c r="AQ85" s="42"/>
      <c r="AS85" s="21"/>
    </row>
    <row r="86" spans="42:45">
      <c r="AP86" s="42"/>
      <c r="AQ86" s="42"/>
      <c r="AS86" s="21"/>
    </row>
    <row r="87" spans="42:45">
      <c r="AP87" s="42"/>
      <c r="AQ87" s="42"/>
      <c r="AS87" s="21"/>
    </row>
    <row r="88" spans="42:45">
      <c r="AP88" s="42"/>
      <c r="AQ88" s="42"/>
      <c r="AS88" s="21"/>
    </row>
    <row r="89" spans="42:45">
      <c r="AP89" s="42"/>
      <c r="AQ89" s="42"/>
      <c r="AS89" s="21"/>
    </row>
    <row r="90" spans="42:45">
      <c r="AP90" s="42"/>
      <c r="AQ90" s="42"/>
      <c r="AS90" s="21"/>
    </row>
    <row r="91" spans="42:45">
      <c r="AP91" s="42"/>
      <c r="AQ91" s="42"/>
      <c r="AS91" s="21"/>
    </row>
    <row r="92" spans="42:45">
      <c r="AP92" s="42"/>
      <c r="AQ92" s="42"/>
      <c r="AS92" s="21"/>
    </row>
    <row r="93" spans="42:45">
      <c r="AP93" s="42"/>
      <c r="AQ93" s="42"/>
      <c r="AS93" s="21"/>
    </row>
    <row r="94" spans="42:45">
      <c r="AP94" s="42"/>
      <c r="AQ94" s="42"/>
      <c r="AS94" s="21"/>
    </row>
    <row r="95" spans="42:45">
      <c r="AP95" s="42"/>
      <c r="AQ95" s="42"/>
      <c r="AS95" s="21"/>
    </row>
    <row r="96" spans="42:45">
      <c r="AP96" s="42"/>
      <c r="AQ96" s="42"/>
      <c r="AS96" s="21"/>
    </row>
    <row r="97" spans="42:45">
      <c r="AP97" s="42"/>
      <c r="AQ97" s="42"/>
      <c r="AS97" s="21"/>
    </row>
    <row r="98" spans="42:45">
      <c r="AP98" s="42"/>
      <c r="AQ98" s="42"/>
      <c r="AS98" s="21"/>
    </row>
    <row r="99" spans="42:45">
      <c r="AP99" s="42"/>
      <c r="AQ99" s="42"/>
      <c r="AS99" s="21"/>
    </row>
    <row r="100" spans="42:45">
      <c r="AP100" s="42"/>
      <c r="AQ100" s="42"/>
      <c r="AS100" s="21"/>
    </row>
    <row r="101" spans="42:45">
      <c r="AP101" s="42"/>
      <c r="AQ101" s="42"/>
      <c r="AS101" s="21"/>
    </row>
    <row r="102" spans="42:45">
      <c r="AP102" s="42"/>
      <c r="AQ102" s="42"/>
      <c r="AS102" s="21"/>
    </row>
    <row r="103" spans="42:45">
      <c r="AP103" s="21"/>
      <c r="AQ103" s="21"/>
      <c r="AS103" s="21"/>
    </row>
    <row r="104" spans="42:45" ht="30.75" customHeight="1">
      <c r="AS104" s="21"/>
    </row>
    <row r="105" spans="42:45">
      <c r="AP105" s="42"/>
      <c r="AQ105" s="42"/>
      <c r="AS105" s="21"/>
    </row>
    <row r="106" spans="42:45">
      <c r="AP106" s="42"/>
      <c r="AQ106" s="42"/>
      <c r="AS106" s="21"/>
    </row>
    <row r="107" spans="42:45">
      <c r="AP107" s="42"/>
      <c r="AQ107" s="42"/>
      <c r="AS107" s="21"/>
    </row>
    <row r="108" spans="42:45">
      <c r="AP108" s="42"/>
      <c r="AQ108" s="42"/>
      <c r="AS108" s="21"/>
    </row>
    <row r="109" spans="42:45">
      <c r="AP109" s="42"/>
      <c r="AQ109" s="42"/>
      <c r="AS109" s="21"/>
    </row>
    <row r="110" spans="42:45">
      <c r="AP110" s="42"/>
      <c r="AQ110" s="42"/>
      <c r="AS110" s="21"/>
    </row>
    <row r="111" spans="42:45">
      <c r="AP111" s="42"/>
      <c r="AQ111" s="42"/>
      <c r="AS111" s="21"/>
    </row>
    <row r="112" spans="42:45">
      <c r="AP112" s="42"/>
      <c r="AQ112" s="42"/>
      <c r="AS112" s="21"/>
    </row>
    <row r="113" spans="42:45">
      <c r="AS113" s="21"/>
    </row>
    <row r="114" spans="42:45">
      <c r="AP114" s="42"/>
      <c r="AQ114" s="42"/>
      <c r="AS114" s="21"/>
    </row>
    <row r="115" spans="42:45">
      <c r="AP115" s="42"/>
      <c r="AQ115" s="42"/>
      <c r="AS115" s="21"/>
    </row>
    <row r="116" spans="42:45">
      <c r="AP116" s="42"/>
      <c r="AQ116" s="42"/>
      <c r="AS116" s="21"/>
    </row>
    <row r="117" spans="42:45">
      <c r="AP117" s="42"/>
      <c r="AQ117" s="42"/>
      <c r="AS117" s="21"/>
    </row>
    <row r="118" spans="42:45">
      <c r="AP118" s="42"/>
      <c r="AQ118" s="42"/>
      <c r="AS118" s="21"/>
    </row>
    <row r="119" spans="42:45">
      <c r="AP119" s="42"/>
      <c r="AQ119" s="42"/>
      <c r="AS119" s="21"/>
    </row>
    <row r="120" spans="42:45">
      <c r="AP120" s="42"/>
      <c r="AQ120" s="42"/>
      <c r="AS120" s="21"/>
    </row>
    <row r="121" spans="42:45">
      <c r="AP121" s="42"/>
      <c r="AQ121" s="42"/>
      <c r="AS121" s="21"/>
    </row>
    <row r="122" spans="42:45">
      <c r="AP122" s="42"/>
      <c r="AQ122" s="42"/>
      <c r="AS122" s="21"/>
    </row>
    <row r="123" spans="42:45">
      <c r="AP123" s="42"/>
      <c r="AQ123" s="42"/>
      <c r="AS123" s="21"/>
    </row>
    <row r="124" spans="42:45">
      <c r="AP124" s="42"/>
      <c r="AQ124" s="42"/>
      <c r="AS124" s="21"/>
    </row>
    <row r="125" spans="42:45">
      <c r="AP125" s="42"/>
      <c r="AQ125" s="42"/>
      <c r="AS125" s="21"/>
    </row>
    <row r="126" spans="42:45">
      <c r="AP126" s="42"/>
      <c r="AQ126" s="42"/>
      <c r="AS126" s="21"/>
    </row>
    <row r="127" spans="42:45">
      <c r="AP127" s="42"/>
      <c r="AQ127" s="42"/>
      <c r="AS127" s="21"/>
    </row>
    <row r="128" spans="42:45">
      <c r="AP128" s="42"/>
      <c r="AQ128" s="42"/>
      <c r="AS128" s="21"/>
    </row>
    <row r="129" spans="42:45">
      <c r="AP129" s="42"/>
      <c r="AQ129" s="42"/>
      <c r="AS129" s="21"/>
    </row>
    <row r="130" spans="42:45">
      <c r="AP130" s="42"/>
      <c r="AQ130" s="42"/>
      <c r="AS130" s="21"/>
    </row>
    <row r="131" spans="42:45">
      <c r="AP131" s="42"/>
      <c r="AQ131" s="42"/>
      <c r="AS131" s="21"/>
    </row>
    <row r="132" spans="42:45">
      <c r="AP132" s="42"/>
      <c r="AQ132" s="42"/>
      <c r="AS132" s="21"/>
    </row>
    <row r="133" spans="42:45">
      <c r="AP133" s="42"/>
      <c r="AQ133" s="42"/>
      <c r="AS133" s="21"/>
    </row>
    <row r="134" spans="42:45">
      <c r="AP134" s="42"/>
      <c r="AQ134" s="42"/>
      <c r="AS134" s="21"/>
    </row>
    <row r="135" spans="42:45">
      <c r="AP135" s="42"/>
      <c r="AQ135" s="42"/>
      <c r="AS135" s="21"/>
    </row>
    <row r="136" spans="42:45">
      <c r="AP136" s="42"/>
      <c r="AQ136" s="42"/>
      <c r="AS136" s="21"/>
    </row>
    <row r="137" spans="42:45">
      <c r="AP137" s="42"/>
      <c r="AQ137" s="42"/>
      <c r="AS137" s="21"/>
    </row>
    <row r="138" spans="42:45">
      <c r="AP138" s="42"/>
      <c r="AQ138" s="42"/>
      <c r="AS138" s="21"/>
    </row>
    <row r="139" spans="42:45">
      <c r="AP139" s="42"/>
      <c r="AQ139" s="42"/>
      <c r="AS139" s="21"/>
    </row>
    <row r="140" spans="42:45">
      <c r="AP140" s="42"/>
      <c r="AQ140" s="42"/>
      <c r="AS140" s="21"/>
    </row>
    <row r="141" spans="42:45">
      <c r="AP141" s="42"/>
      <c r="AQ141" s="42"/>
      <c r="AS141" s="21"/>
    </row>
    <row r="142" spans="42:45">
      <c r="AP142" s="42"/>
      <c r="AQ142" s="42"/>
      <c r="AS142" s="21"/>
    </row>
    <row r="143" spans="42:45">
      <c r="AP143" s="42"/>
      <c r="AQ143" s="42"/>
      <c r="AS143" s="21"/>
    </row>
    <row r="144" spans="42:45">
      <c r="AP144" s="42"/>
      <c r="AQ144" s="42"/>
      <c r="AS144" s="21"/>
    </row>
    <row r="145" spans="42:45">
      <c r="AP145" s="42"/>
      <c r="AQ145" s="42"/>
      <c r="AS145" s="21"/>
    </row>
    <row r="146" spans="42:45">
      <c r="AP146" s="42"/>
      <c r="AQ146" s="42"/>
      <c r="AS146" s="21"/>
    </row>
    <row r="147" spans="42:45">
      <c r="AP147" s="42"/>
      <c r="AQ147" s="42"/>
      <c r="AS147" s="21"/>
    </row>
    <row r="148" spans="42:45">
      <c r="AP148" s="42"/>
      <c r="AQ148" s="42"/>
      <c r="AS148" s="21"/>
    </row>
    <row r="149" spans="42:45">
      <c r="AP149" s="21"/>
      <c r="AQ149" s="21"/>
      <c r="AS149" s="21"/>
    </row>
    <row r="150" spans="42:45">
      <c r="AP150" s="42"/>
      <c r="AQ150" s="42"/>
      <c r="AS150" s="21"/>
    </row>
    <row r="151" spans="42:45">
      <c r="AP151" s="42"/>
      <c r="AQ151" s="42"/>
      <c r="AS151" s="21"/>
    </row>
    <row r="152" spans="42:45">
      <c r="AP152" s="42"/>
      <c r="AQ152" s="42"/>
      <c r="AS152" s="21"/>
    </row>
    <row r="153" spans="42:45">
      <c r="AP153" s="42"/>
      <c r="AQ153" s="42"/>
      <c r="AS153" s="21"/>
    </row>
    <row r="154" spans="42:45">
      <c r="AP154" s="42"/>
      <c r="AQ154" s="42"/>
      <c r="AS154" s="21"/>
    </row>
    <row r="155" spans="42:45">
      <c r="AP155" s="42"/>
      <c r="AQ155" s="42"/>
      <c r="AS155" s="21"/>
    </row>
    <row r="156" spans="42:45">
      <c r="AP156" s="42"/>
      <c r="AQ156" s="42"/>
      <c r="AS156" s="21"/>
    </row>
    <row r="157" spans="42:45">
      <c r="AP157" s="42"/>
      <c r="AQ157" s="42"/>
      <c r="AS157" s="21"/>
    </row>
    <row r="158" spans="42:45">
      <c r="AP158" s="42"/>
      <c r="AQ158" s="42"/>
      <c r="AS158" s="21"/>
    </row>
    <row r="159" spans="42:45">
      <c r="AP159" s="42"/>
      <c r="AQ159" s="42"/>
      <c r="AS159" s="21"/>
    </row>
    <row r="160" spans="42:45">
      <c r="AP160" s="42"/>
      <c r="AQ160" s="42"/>
      <c r="AS160" s="21"/>
    </row>
    <row r="161" spans="42:45">
      <c r="AP161" s="42"/>
      <c r="AQ161" s="42"/>
      <c r="AS161" s="21"/>
    </row>
    <row r="162" spans="42:45">
      <c r="AP162" s="42"/>
      <c r="AQ162" s="42"/>
      <c r="AS162" s="21"/>
    </row>
    <row r="163" spans="42:45">
      <c r="AP163" s="42"/>
      <c r="AQ163" s="42"/>
      <c r="AS163" s="21"/>
    </row>
    <row r="164" spans="42:45">
      <c r="AP164" s="42"/>
      <c r="AQ164" s="42"/>
      <c r="AS164" s="21"/>
    </row>
    <row r="165" spans="42:45">
      <c r="AP165" s="42"/>
      <c r="AQ165" s="42"/>
      <c r="AS165" s="21"/>
    </row>
    <row r="166" spans="42:45">
      <c r="AP166" s="42"/>
      <c r="AQ166" s="42"/>
      <c r="AS166" s="21"/>
    </row>
    <row r="167" spans="42:45">
      <c r="AS167" s="21"/>
    </row>
    <row r="168" spans="42:45">
      <c r="AP168" s="42"/>
      <c r="AQ168" s="42"/>
      <c r="AS168" s="21"/>
    </row>
    <row r="169" spans="42:45">
      <c r="AP169" s="42"/>
      <c r="AQ169" s="42"/>
      <c r="AS169" s="21"/>
    </row>
    <row r="170" spans="42:45">
      <c r="AP170" s="42"/>
      <c r="AQ170" s="42"/>
      <c r="AS170" s="21"/>
    </row>
    <row r="171" spans="42:45">
      <c r="AP171" s="42"/>
      <c r="AQ171" s="42"/>
      <c r="AS171" s="21"/>
    </row>
    <row r="172" spans="42:45">
      <c r="AP172" s="42"/>
      <c r="AQ172" s="42"/>
      <c r="AS172" s="21"/>
    </row>
    <row r="173" spans="42:45">
      <c r="AP173" s="21"/>
      <c r="AQ173" s="21"/>
      <c r="AS173" s="21"/>
    </row>
    <row r="174" spans="42:45">
      <c r="AP174" s="42"/>
      <c r="AQ174" s="42"/>
      <c r="AS174" s="21"/>
    </row>
    <row r="175" spans="42:45">
      <c r="AP175" s="42"/>
      <c r="AQ175" s="42"/>
      <c r="AS175" s="21"/>
    </row>
    <row r="176" spans="42:45">
      <c r="AP176" s="42"/>
      <c r="AQ176" s="42"/>
      <c r="AS176" s="21"/>
    </row>
    <row r="177" spans="42:45">
      <c r="AP177" s="42"/>
      <c r="AQ177" s="42"/>
      <c r="AS177" s="21"/>
    </row>
    <row r="178" spans="42:45">
      <c r="AP178" s="42"/>
      <c r="AQ178" s="42"/>
      <c r="AS178" s="21"/>
    </row>
    <row r="179" spans="42:45">
      <c r="AP179" s="42"/>
      <c r="AQ179" s="42"/>
      <c r="AS179" s="21"/>
    </row>
    <row r="180" spans="42:45">
      <c r="AP180" s="42"/>
      <c r="AQ180" s="42"/>
      <c r="AS180" s="21"/>
    </row>
    <row r="181" spans="42:45">
      <c r="AP181" s="42"/>
      <c r="AQ181" s="42"/>
      <c r="AS181" s="21"/>
    </row>
    <row r="182" spans="42:45">
      <c r="AP182" s="42"/>
      <c r="AQ182" s="42"/>
      <c r="AS182" s="21"/>
    </row>
    <row r="183" spans="42:45">
      <c r="AP183" s="42"/>
      <c r="AQ183" s="42"/>
      <c r="AS183" s="21"/>
    </row>
    <row r="184" spans="42:45">
      <c r="AP184" s="42"/>
      <c r="AQ184" s="42"/>
      <c r="AS184" s="21"/>
    </row>
    <row r="185" spans="42:45">
      <c r="AP185" s="42"/>
      <c r="AQ185" s="42"/>
      <c r="AS185" s="21"/>
    </row>
    <row r="186" spans="42:45">
      <c r="AP186" s="42"/>
      <c r="AQ186" s="42"/>
      <c r="AS186" s="21"/>
    </row>
    <row r="187" spans="42:45">
      <c r="AP187" s="42"/>
      <c r="AQ187" s="42"/>
      <c r="AS187" s="21"/>
    </row>
    <row r="188" spans="42:45">
      <c r="AP188" s="42"/>
      <c r="AQ188" s="42"/>
      <c r="AS188" s="21"/>
    </row>
    <row r="189" spans="42:45">
      <c r="AP189" s="42"/>
      <c r="AQ189" s="42"/>
      <c r="AS189" s="21"/>
    </row>
    <row r="190" spans="42:45">
      <c r="AP190" s="42"/>
      <c r="AQ190" s="42"/>
      <c r="AS190" s="21"/>
    </row>
    <row r="191" spans="42:45">
      <c r="AP191" s="42"/>
      <c r="AQ191" s="42"/>
      <c r="AS191" s="21"/>
    </row>
    <row r="192" spans="42:45">
      <c r="AP192" s="42"/>
      <c r="AQ192" s="42"/>
      <c r="AS192" s="21"/>
    </row>
    <row r="193" spans="42:45">
      <c r="AP193" s="42"/>
      <c r="AQ193" s="42"/>
      <c r="AS193" s="21"/>
    </row>
    <row r="194" spans="42:45">
      <c r="AP194" s="42"/>
      <c r="AQ194" s="42"/>
      <c r="AS194" s="21"/>
    </row>
    <row r="195" spans="42:45">
      <c r="AP195" s="42"/>
      <c r="AQ195" s="42"/>
      <c r="AS195" s="21"/>
    </row>
    <row r="196" spans="42:45">
      <c r="AP196" s="42"/>
      <c r="AQ196" s="42"/>
      <c r="AS196" s="21"/>
    </row>
    <row r="197" spans="42:45">
      <c r="AP197" s="42"/>
      <c r="AQ197" s="42"/>
      <c r="AS197" s="21"/>
    </row>
    <row r="198" spans="42:45">
      <c r="AP198" s="42"/>
      <c r="AQ198" s="42"/>
      <c r="AS198" s="21"/>
    </row>
    <row r="199" spans="42:45">
      <c r="AP199" s="42"/>
      <c r="AQ199" s="42"/>
      <c r="AS199" s="21"/>
    </row>
    <row r="200" spans="42:45">
      <c r="AP200" s="42"/>
      <c r="AQ200" s="42"/>
      <c r="AS200" s="21"/>
    </row>
    <row r="201" spans="42:45">
      <c r="AP201" s="42"/>
      <c r="AQ201" s="42"/>
      <c r="AS201" s="21"/>
    </row>
    <row r="202" spans="42:45">
      <c r="AP202" s="42"/>
      <c r="AQ202" s="42"/>
      <c r="AS202" s="21"/>
    </row>
    <row r="203" spans="42:45">
      <c r="AP203" s="42"/>
      <c r="AQ203" s="42"/>
      <c r="AS203" s="21"/>
    </row>
    <row r="204" spans="42:45">
      <c r="AP204" s="42"/>
      <c r="AQ204" s="42"/>
      <c r="AS204" s="21"/>
    </row>
    <row r="205" spans="42:45">
      <c r="AP205" s="42"/>
      <c r="AQ205" s="42"/>
      <c r="AS205" s="21"/>
    </row>
    <row r="206" spans="42:45">
      <c r="AP206" s="42"/>
      <c r="AQ206" s="42"/>
      <c r="AS206" s="21"/>
    </row>
    <row r="207" spans="42:45">
      <c r="AP207" s="42"/>
      <c r="AQ207" s="42"/>
      <c r="AS207" s="21"/>
    </row>
    <row r="208" spans="42:45">
      <c r="AP208" s="42"/>
      <c r="AQ208" s="42"/>
      <c r="AS208" s="21"/>
    </row>
    <row r="209" spans="42:45">
      <c r="AP209" s="42"/>
      <c r="AQ209" s="42"/>
      <c r="AS209" s="21"/>
    </row>
    <row r="210" spans="42:45">
      <c r="AP210" s="42"/>
      <c r="AQ210" s="42"/>
      <c r="AS210" s="21"/>
    </row>
    <row r="211" spans="42:45">
      <c r="AP211" s="42"/>
      <c r="AQ211" s="42"/>
      <c r="AS211" s="21"/>
    </row>
    <row r="212" spans="42:45">
      <c r="AP212" s="42"/>
      <c r="AQ212" s="42"/>
      <c r="AS212" s="21"/>
    </row>
    <row r="213" spans="42:45">
      <c r="AP213" s="42"/>
      <c r="AQ213" s="42"/>
      <c r="AS213" s="21"/>
    </row>
    <row r="214" spans="42:45">
      <c r="AP214" s="42"/>
      <c r="AQ214" s="42"/>
      <c r="AS214" s="21"/>
    </row>
    <row r="215" spans="42:45">
      <c r="AP215" s="42"/>
      <c r="AQ215" s="42"/>
      <c r="AS215" s="21"/>
    </row>
    <row r="216" spans="42:45">
      <c r="AP216" s="42"/>
      <c r="AQ216" s="42"/>
      <c r="AS216" s="21"/>
    </row>
    <row r="217" spans="42:45">
      <c r="AP217" s="42"/>
      <c r="AQ217" s="42"/>
      <c r="AS217" s="21"/>
    </row>
    <row r="218" spans="42:45">
      <c r="AP218" s="42"/>
      <c r="AQ218" s="42"/>
      <c r="AS218" s="21"/>
    </row>
    <row r="219" spans="42:45">
      <c r="AP219" s="42"/>
      <c r="AQ219" s="42"/>
      <c r="AS219" s="21"/>
    </row>
    <row r="220" spans="42:45">
      <c r="AP220" s="42"/>
      <c r="AQ220" s="42"/>
      <c r="AS220" s="21"/>
    </row>
    <row r="221" spans="42:45">
      <c r="AP221" s="42"/>
      <c r="AQ221" s="42"/>
      <c r="AS221" s="21"/>
    </row>
    <row r="222" spans="42:45">
      <c r="AP222" s="42"/>
      <c r="AQ222" s="42"/>
      <c r="AS222" s="21"/>
    </row>
    <row r="223" spans="42:45">
      <c r="AP223" s="42"/>
      <c r="AQ223" s="42"/>
      <c r="AS223" s="21"/>
    </row>
    <row r="224" spans="42:45">
      <c r="AP224" s="42"/>
      <c r="AQ224" s="42"/>
      <c r="AS224" s="21"/>
    </row>
    <row r="225" spans="42:45">
      <c r="AP225" s="42"/>
      <c r="AQ225" s="42"/>
      <c r="AS225" s="21"/>
    </row>
    <row r="226" spans="42:45">
      <c r="AP226" s="42"/>
      <c r="AQ226" s="42"/>
      <c r="AS226" s="21"/>
    </row>
    <row r="227" spans="42:45">
      <c r="AP227" s="42"/>
      <c r="AQ227" s="42"/>
      <c r="AS227" s="21"/>
    </row>
    <row r="228" spans="42:45">
      <c r="AP228" s="42"/>
      <c r="AQ228" s="42"/>
      <c r="AS228" s="21"/>
    </row>
    <row r="229" spans="42:45">
      <c r="AP229" s="42"/>
      <c r="AQ229" s="42"/>
      <c r="AS229" s="21"/>
    </row>
    <row r="230" spans="42:45">
      <c r="AP230" s="42"/>
      <c r="AQ230" s="42"/>
      <c r="AS230" s="21"/>
    </row>
    <row r="231" spans="42:45">
      <c r="AP231" s="42"/>
      <c r="AQ231" s="42"/>
      <c r="AS231" s="21"/>
    </row>
    <row r="232" spans="42:45">
      <c r="AP232" s="42"/>
      <c r="AQ232" s="42"/>
      <c r="AS232" s="21"/>
    </row>
    <row r="233" spans="42:45">
      <c r="AP233" s="42"/>
      <c r="AQ233" s="42"/>
      <c r="AS233" s="21"/>
    </row>
    <row r="234" spans="42:45">
      <c r="AP234" s="42"/>
      <c r="AQ234" s="42"/>
      <c r="AS234" s="21"/>
    </row>
    <row r="235" spans="42:45">
      <c r="AP235" s="42"/>
      <c r="AQ235" s="42"/>
      <c r="AS235" s="21"/>
    </row>
    <row r="236" spans="42:45">
      <c r="AP236" s="42"/>
      <c r="AQ236" s="42"/>
      <c r="AS236" s="21"/>
    </row>
    <row r="237" spans="42:45">
      <c r="AP237" s="42"/>
      <c r="AQ237" s="42"/>
      <c r="AS237" s="21"/>
    </row>
    <row r="238" spans="42:45">
      <c r="AP238" s="42"/>
      <c r="AQ238" s="42"/>
      <c r="AS238" s="21"/>
    </row>
    <row r="239" spans="42:45">
      <c r="AP239" s="42"/>
      <c r="AQ239" s="42"/>
      <c r="AS239" s="21"/>
    </row>
    <row r="240" spans="42:45">
      <c r="AP240" s="42"/>
      <c r="AQ240" s="42"/>
      <c r="AS240" s="21"/>
    </row>
    <row r="241" spans="42:45">
      <c r="AP241" s="42"/>
      <c r="AQ241" s="42"/>
      <c r="AS241" s="21"/>
    </row>
    <row r="242" spans="42:45">
      <c r="AP242" s="42"/>
      <c r="AQ242" s="42"/>
      <c r="AS242" s="21"/>
    </row>
    <row r="243" spans="42:45">
      <c r="AP243" s="42"/>
      <c r="AQ243" s="42"/>
      <c r="AS243" s="21"/>
    </row>
    <row r="244" spans="42:45">
      <c r="AP244" s="42"/>
      <c r="AQ244" s="42"/>
      <c r="AS244" s="21"/>
    </row>
    <row r="245" spans="42:45">
      <c r="AP245" s="42"/>
      <c r="AQ245" s="42"/>
      <c r="AS245" s="21"/>
    </row>
    <row r="246" spans="42:45">
      <c r="AP246" s="21"/>
      <c r="AQ246" s="21"/>
      <c r="AS246" s="21"/>
    </row>
    <row r="247" spans="42:45">
      <c r="AP247" s="42"/>
      <c r="AQ247" s="42"/>
      <c r="AS247" s="21"/>
    </row>
    <row r="248" spans="42:45">
      <c r="AP248" s="42"/>
      <c r="AQ248" s="42"/>
      <c r="AS248" s="21"/>
    </row>
    <row r="249" spans="42:45">
      <c r="AP249" s="42"/>
      <c r="AQ249" s="42"/>
      <c r="AS249" s="21"/>
    </row>
    <row r="250" spans="42:45">
      <c r="AP250" s="42"/>
      <c r="AQ250" s="42"/>
      <c r="AS250" s="21"/>
    </row>
    <row r="251" spans="42:45">
      <c r="AP251" s="42"/>
      <c r="AQ251" s="42"/>
      <c r="AS251" s="21"/>
    </row>
    <row r="252" spans="42:45">
      <c r="AP252" s="42"/>
      <c r="AQ252" s="42"/>
      <c r="AS252" s="21"/>
    </row>
    <row r="253" spans="42:45">
      <c r="AP253" s="42"/>
      <c r="AQ253" s="42"/>
      <c r="AS253" s="21"/>
    </row>
    <row r="254" spans="42:45">
      <c r="AP254" s="42"/>
      <c r="AQ254" s="42"/>
      <c r="AS254" s="21"/>
    </row>
    <row r="255" spans="42:45">
      <c r="AP255" s="42"/>
      <c r="AQ255" s="42"/>
      <c r="AS255" s="21"/>
    </row>
    <row r="256" spans="42:45">
      <c r="AP256" s="42"/>
      <c r="AQ256" s="42"/>
      <c r="AS256" s="21"/>
    </row>
    <row r="257" spans="42:45">
      <c r="AP257" s="42"/>
      <c r="AQ257" s="42"/>
      <c r="AS257" s="21"/>
    </row>
    <row r="258" spans="42:45">
      <c r="AP258" s="42"/>
      <c r="AQ258" s="42"/>
      <c r="AS258" s="21"/>
    </row>
    <row r="259" spans="42:45">
      <c r="AP259" s="42"/>
      <c r="AQ259" s="42"/>
      <c r="AS259" s="21"/>
    </row>
    <row r="260" spans="42:45">
      <c r="AP260" s="42"/>
      <c r="AQ260" s="42"/>
      <c r="AS260" s="21"/>
    </row>
    <row r="261" spans="42:45">
      <c r="AP261" s="42"/>
      <c r="AQ261" s="42"/>
      <c r="AS261" s="21"/>
    </row>
    <row r="262" spans="42:45">
      <c r="AP262" s="42"/>
      <c r="AQ262" s="42"/>
      <c r="AS262" s="21"/>
    </row>
    <row r="263" spans="42:45">
      <c r="AP263" s="42"/>
      <c r="AQ263" s="42"/>
      <c r="AS263" s="21"/>
    </row>
    <row r="264" spans="42:45">
      <c r="AP264" s="42"/>
      <c r="AQ264" s="42"/>
      <c r="AS264" s="21"/>
    </row>
    <row r="265" spans="42:45">
      <c r="AP265" s="42"/>
      <c r="AQ265" s="42"/>
      <c r="AS265" s="21"/>
    </row>
    <row r="266" spans="42:45">
      <c r="AP266" s="42"/>
      <c r="AQ266" s="42"/>
      <c r="AS266" s="21"/>
    </row>
    <row r="267" spans="42:45">
      <c r="AP267" s="42"/>
      <c r="AQ267" s="42"/>
      <c r="AS267" s="21"/>
    </row>
    <row r="268" spans="42:45">
      <c r="AP268" s="42"/>
      <c r="AQ268" s="42"/>
      <c r="AS268" s="21"/>
    </row>
    <row r="269" spans="42:45">
      <c r="AP269" s="42"/>
      <c r="AQ269" s="42"/>
      <c r="AS269" s="21"/>
    </row>
    <row r="270" spans="42:45">
      <c r="AP270" s="42"/>
      <c r="AQ270" s="42"/>
      <c r="AS270" s="21"/>
    </row>
    <row r="271" spans="42:45">
      <c r="AP271" s="42"/>
      <c r="AQ271" s="42"/>
      <c r="AS271" s="21"/>
    </row>
    <row r="272" spans="42:45">
      <c r="AP272" s="42"/>
      <c r="AQ272" s="42"/>
      <c r="AS272" s="21"/>
    </row>
    <row r="273" spans="42:45">
      <c r="AP273" s="42"/>
      <c r="AQ273" s="42"/>
      <c r="AS273" s="21"/>
    </row>
    <row r="274" spans="42:45">
      <c r="AP274" s="42"/>
      <c r="AQ274" s="42"/>
      <c r="AS274" s="21"/>
    </row>
    <row r="275" spans="42:45">
      <c r="AP275" s="42"/>
      <c r="AQ275" s="42"/>
      <c r="AS275" s="21"/>
    </row>
    <row r="276" spans="42:45">
      <c r="AP276" s="42"/>
      <c r="AQ276" s="42"/>
      <c r="AS276" s="21"/>
    </row>
    <row r="277" spans="42:45">
      <c r="AP277" s="42"/>
      <c r="AQ277" s="42"/>
      <c r="AS277" s="21"/>
    </row>
    <row r="278" spans="42:45">
      <c r="AP278" s="42"/>
      <c r="AQ278" s="42"/>
      <c r="AS278" s="21"/>
    </row>
    <row r="279" spans="42:45">
      <c r="AP279" s="21"/>
      <c r="AQ279" s="21"/>
      <c r="AS279" s="21"/>
    </row>
    <row r="280" spans="42:45">
      <c r="AP280" s="42"/>
      <c r="AQ280" s="42"/>
      <c r="AS280" s="21"/>
    </row>
    <row r="281" spans="42:45">
      <c r="AP281" s="42"/>
      <c r="AQ281" s="42"/>
      <c r="AS281" s="21"/>
    </row>
    <row r="282" spans="42:45">
      <c r="AP282" s="42"/>
      <c r="AQ282" s="42"/>
      <c r="AS282" s="21"/>
    </row>
    <row r="283" spans="42:45">
      <c r="AP283" s="42"/>
      <c r="AQ283" s="42"/>
      <c r="AS283" s="21"/>
    </row>
    <row r="284" spans="42:45">
      <c r="AP284" s="42"/>
      <c r="AQ284" s="42"/>
      <c r="AS284" s="21"/>
    </row>
    <row r="285" spans="42:45">
      <c r="AP285" s="42"/>
      <c r="AQ285" s="42"/>
      <c r="AS285" s="21"/>
    </row>
    <row r="286" spans="42:45">
      <c r="AP286" s="42"/>
      <c r="AQ286" s="42"/>
      <c r="AS286" s="21"/>
    </row>
    <row r="287" spans="42:45">
      <c r="AP287" s="42"/>
      <c r="AQ287" s="42"/>
      <c r="AS287" s="21"/>
    </row>
    <row r="288" spans="42:45">
      <c r="AP288" s="42"/>
      <c r="AQ288" s="42"/>
      <c r="AS288" s="21"/>
    </row>
    <row r="289" spans="42:45">
      <c r="AP289" s="21"/>
      <c r="AQ289" s="21"/>
      <c r="AS289" s="21"/>
    </row>
    <row r="290" spans="42:45">
      <c r="AP290" s="42"/>
      <c r="AQ290" s="42"/>
      <c r="AS290" s="21"/>
    </row>
    <row r="291" spans="42:45">
      <c r="AP291" s="42"/>
      <c r="AQ291" s="42"/>
      <c r="AS291" s="21"/>
    </row>
    <row r="292" spans="42:45">
      <c r="AP292" s="42"/>
      <c r="AQ292" s="42"/>
      <c r="AS292" s="21"/>
    </row>
    <row r="293" spans="42:45">
      <c r="AP293" s="42"/>
      <c r="AQ293" s="42"/>
      <c r="AS293" s="21"/>
    </row>
    <row r="294" spans="42:45">
      <c r="AP294" s="42"/>
      <c r="AQ294" s="42"/>
      <c r="AS294" s="21"/>
    </row>
    <row r="295" spans="42:45">
      <c r="AP295" s="42"/>
      <c r="AQ295" s="42"/>
      <c r="AS295" s="21"/>
    </row>
    <row r="296" spans="42:45">
      <c r="AP296" s="42"/>
      <c r="AQ296" s="42"/>
      <c r="AS296" s="21"/>
    </row>
    <row r="297" spans="42:45">
      <c r="AP297" s="42"/>
      <c r="AQ297" s="42"/>
      <c r="AS297" s="21"/>
    </row>
    <row r="298" spans="42:45">
      <c r="AP298" s="42"/>
      <c r="AQ298" s="42"/>
      <c r="AS298" s="21"/>
    </row>
    <row r="299" spans="42:45">
      <c r="AP299" s="42"/>
      <c r="AQ299" s="42"/>
      <c r="AS299" s="21"/>
    </row>
    <row r="300" spans="42:45">
      <c r="AP300" s="42"/>
      <c r="AQ300" s="42"/>
      <c r="AS300" s="21"/>
    </row>
    <row r="301" spans="42:45">
      <c r="AP301" s="42"/>
      <c r="AQ301" s="42"/>
      <c r="AS301" s="21"/>
    </row>
    <row r="302" spans="42:45">
      <c r="AP302" s="42"/>
      <c r="AQ302" s="42"/>
      <c r="AS302" s="21"/>
    </row>
    <row r="303" spans="42:45">
      <c r="AP303" s="42"/>
      <c r="AQ303" s="42"/>
      <c r="AS303" s="21"/>
    </row>
    <row r="304" spans="42:45">
      <c r="AP304" s="42"/>
      <c r="AQ304" s="42"/>
      <c r="AS304" s="21"/>
    </row>
    <row r="305" spans="42:45">
      <c r="AS305" s="21"/>
    </row>
    <row r="306" spans="42:45">
      <c r="AP306" s="42"/>
      <c r="AQ306" s="42"/>
      <c r="AS306" s="21"/>
    </row>
    <row r="307" spans="42:45">
      <c r="AP307" s="42"/>
      <c r="AQ307" s="42"/>
      <c r="AS307" s="21"/>
    </row>
    <row r="308" spans="42:45">
      <c r="AP308" s="21"/>
      <c r="AQ308" s="21"/>
      <c r="AS308" s="21"/>
    </row>
    <row r="309" spans="42:45">
      <c r="AP309" s="42"/>
      <c r="AQ309" s="42"/>
      <c r="AS309" s="21"/>
    </row>
    <row r="310" spans="42:45">
      <c r="AP310" s="42"/>
      <c r="AQ310" s="42"/>
      <c r="AS310" s="21"/>
    </row>
    <row r="311" spans="42:45">
      <c r="AP311" s="42"/>
      <c r="AQ311" s="42"/>
      <c r="AS311" s="21"/>
    </row>
    <row r="312" spans="42:45">
      <c r="AP312" s="42"/>
      <c r="AQ312" s="42"/>
      <c r="AS312" s="21"/>
    </row>
    <row r="313" spans="42:45">
      <c r="AS313" s="21"/>
    </row>
    <row r="314" spans="42:45">
      <c r="AP314" s="42"/>
      <c r="AQ314" s="42"/>
      <c r="AS314" s="21"/>
    </row>
    <row r="315" spans="42:45">
      <c r="AP315" s="42"/>
      <c r="AQ315" s="42"/>
      <c r="AS315" s="21"/>
    </row>
    <row r="316" spans="42:45">
      <c r="AP316" s="42"/>
      <c r="AQ316" s="42"/>
      <c r="AS316" s="21"/>
    </row>
    <row r="317" spans="42:45">
      <c r="AP317" s="42"/>
      <c r="AQ317" s="42"/>
      <c r="AS317" s="21"/>
    </row>
    <row r="318" spans="42:45">
      <c r="AP318" s="42"/>
      <c r="AQ318" s="42"/>
      <c r="AS318" s="21"/>
    </row>
    <row r="319" spans="42:45">
      <c r="AP319" s="42"/>
      <c r="AQ319" s="42"/>
      <c r="AS319" s="21"/>
    </row>
    <row r="320" spans="42:45">
      <c r="AP320" s="42"/>
      <c r="AQ320" s="42"/>
      <c r="AS320" s="21"/>
    </row>
    <row r="321" spans="42:45">
      <c r="AP321" s="42"/>
      <c r="AQ321" s="42"/>
      <c r="AS321" s="21"/>
    </row>
    <row r="322" spans="42:45">
      <c r="AP322" s="42"/>
      <c r="AQ322" s="42"/>
      <c r="AS322" s="21"/>
    </row>
    <row r="323" spans="42:45">
      <c r="AP323" s="42"/>
      <c r="AQ323" s="42"/>
      <c r="AS323" s="21"/>
    </row>
    <row r="324" spans="42:45">
      <c r="AP324" s="42"/>
      <c r="AQ324" s="42"/>
      <c r="AS324" s="21"/>
    </row>
    <row r="325" spans="42:45">
      <c r="AS325" s="21"/>
    </row>
    <row r="326" spans="42:45">
      <c r="AP326" s="21"/>
      <c r="AQ326" s="21"/>
      <c r="AS326" s="21"/>
    </row>
    <row r="327" spans="42:45">
      <c r="AP327" s="42"/>
      <c r="AQ327" s="42"/>
      <c r="AS327" s="21"/>
    </row>
    <row r="328" spans="42:45">
      <c r="AS328" s="21"/>
    </row>
  </sheetData>
  <sheetProtection algorithmName="SHA-512" hashValue="U7NDNp28iYALPfwCaUcu2n7nCtSt6Efr/baSqjVRJlgSI/iDgFR3S/IrhB8nOBdnD/MyWpw8H8peiAm+TcBqhg==" saltValue="B5SntoCqXH+cx+JT05LZ0g==" spinCount="100000" sheet="1" objects="1" scenarios="1" autoFilter="0"/>
  <sortState xmlns:xlrd2="http://schemas.microsoft.com/office/spreadsheetml/2017/richdata2" ref="AP5:AQ328">
    <sortCondition ref="AQ5:AQ328"/>
  </sortState>
  <mergeCells count="21">
    <mergeCell ref="B74:G74"/>
    <mergeCell ref="B73:G73"/>
    <mergeCell ref="B72:G72"/>
    <mergeCell ref="B68:G68"/>
    <mergeCell ref="B69:G69"/>
    <mergeCell ref="B70:G70"/>
    <mergeCell ref="B71:G71"/>
    <mergeCell ref="B1:F1"/>
    <mergeCell ref="C3:E3"/>
    <mergeCell ref="C6:D6"/>
    <mergeCell ref="C5:D5"/>
    <mergeCell ref="C4:D4"/>
    <mergeCell ref="B9:G9"/>
    <mergeCell ref="B48:F48"/>
    <mergeCell ref="B66:G66"/>
    <mergeCell ref="B67:G67"/>
    <mergeCell ref="B64:G64"/>
    <mergeCell ref="B10:C10"/>
    <mergeCell ref="B37:F37"/>
    <mergeCell ref="B65:G65"/>
    <mergeCell ref="B49:C49"/>
  </mergeCells>
  <conditionalFormatting sqref="D12 D15:D21 F24:F25 E21:F21 D24:D26">
    <cfRule type="containsBlanks" dxfId="13" priority="77">
      <formula>LEN(TRIM(D12))=0</formula>
    </cfRule>
  </conditionalFormatting>
  <conditionalFormatting sqref="D14">
    <cfRule type="containsBlanks" dxfId="12" priority="62">
      <formula>LEN(TRIM(D14))=0</formula>
    </cfRule>
  </conditionalFormatting>
  <conditionalFormatting sqref="E24:E25">
    <cfRule type="containsBlanks" dxfId="11" priority="39">
      <formula>LEN(TRIM(E24))=0</formula>
    </cfRule>
  </conditionalFormatting>
  <conditionalFormatting sqref="F34">
    <cfRule type="containsBlanks" dxfId="10" priority="31">
      <formula>LEN(TRIM(F34))=0</formula>
    </cfRule>
  </conditionalFormatting>
  <conditionalFormatting sqref="D30">
    <cfRule type="containsBlanks" dxfId="9" priority="30">
      <formula>LEN(TRIM(D30))=0</formula>
    </cfRule>
  </conditionalFormatting>
  <conditionalFormatting sqref="D34:E34">
    <cfRule type="containsBlanks" dxfId="8" priority="29">
      <formula>LEN(TRIM(D34))=0</formula>
    </cfRule>
  </conditionalFormatting>
  <conditionalFormatting sqref="D28">
    <cfRule type="containsBlanks" dxfId="7" priority="27">
      <formula>LEN(TRIM(D28))=0</formula>
    </cfRule>
  </conditionalFormatting>
  <conditionalFormatting sqref="D32">
    <cfRule type="containsBlanks" dxfId="6" priority="26">
      <formula>LEN(TRIM(D32))=0</formula>
    </cfRule>
  </conditionalFormatting>
  <conditionalFormatting sqref="F59">
    <cfRule type="containsBlanks" dxfId="5" priority="13">
      <formula>LEN(TRIM(F59))=0</formula>
    </cfRule>
  </conditionalFormatting>
  <conditionalFormatting sqref="D51:D56">
    <cfRule type="containsBlanks" dxfId="4" priority="14">
      <formula>LEN(TRIM(D51))=0</formula>
    </cfRule>
  </conditionalFormatting>
  <conditionalFormatting sqref="D59:E59">
    <cfRule type="containsBlanks" dxfId="3" priority="12">
      <formula>LEN(TRIM(D59))=0</formula>
    </cfRule>
  </conditionalFormatting>
  <conditionalFormatting sqref="D13">
    <cfRule type="containsBlanks" dxfId="2" priority="9">
      <formula>LEN(TRIM(D13))=0</formula>
    </cfRule>
  </conditionalFormatting>
  <conditionalFormatting sqref="D33">
    <cfRule type="containsBlanks" dxfId="1" priority="8">
      <formula>LEN(TRIM(D33))=0</formula>
    </cfRule>
  </conditionalFormatting>
  <conditionalFormatting sqref="D57">
    <cfRule type="containsBlanks" dxfId="0" priority="4">
      <formula>LEN(TRIM(D57))=0</formula>
    </cfRule>
  </conditionalFormatting>
  <dataValidations count="4">
    <dataValidation type="list" allowBlank="1" showInputMessage="1" showErrorMessage="1" sqref="E5" xr:uid="{00000000-0002-0000-0300-000000000000}">
      <formula1>"YES,NO,F195F"</formula1>
    </dataValidation>
    <dataValidation type="list" allowBlank="1" showInputMessage="1" showErrorMessage="1" sqref="B4" xr:uid="{00000000-0002-0000-0300-000001000000}">
      <formula1>"School Year 2018-19, School Year 2019-20, School Year 2020-21"</formula1>
    </dataValidation>
    <dataValidation type="list" allowBlank="1" showInputMessage="1" showErrorMessage="1" sqref="E4" xr:uid="{00000000-0002-0000-0300-000002000000}">
      <formula1>"2022-23,2023-24,2024-25"</formula1>
    </dataValidation>
    <dataValidation type="list" allowBlank="1" showInputMessage="1" showErrorMessage="1" sqref="D2:E2" xr:uid="{00000000-0002-0000-0300-000003000000}">
      <formula1>$AR$3:$AR$319</formula1>
    </dataValidation>
  </dataValidations>
  <printOptions horizontalCentered="1"/>
  <pageMargins left="0.25" right="0.25" top="0.75" bottom="0.75" header="0.3" footer="0.3"/>
  <pageSetup scale="4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'District List'!$B$2:$B$321</xm:f>
          </x14:formula1>
          <xm:sqref>C3:E3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theme="8" tint="0.59999389629810485"/>
    <pageSetUpPr fitToPage="1"/>
  </sheetPr>
  <dimension ref="A1:G325"/>
  <sheetViews>
    <sheetView zoomScaleNormal="100" workbookViewId="0">
      <selection activeCell="C3" sqref="C3:E3"/>
    </sheetView>
  </sheetViews>
  <sheetFormatPr defaultRowHeight="14.4"/>
  <cols>
    <col min="1" max="1" width="3.5546875" style="198" customWidth="1"/>
    <col min="2" max="2" width="54.44140625" customWidth="1"/>
    <col min="3" max="7" width="16.21875" customWidth="1"/>
  </cols>
  <sheetData>
    <row r="1" spans="1:7">
      <c r="A1" s="235">
        <v>1</v>
      </c>
      <c r="B1" s="236">
        <f t="shared" ref="B1" si="0">A1+1</f>
        <v>2</v>
      </c>
      <c r="C1" s="236">
        <f t="shared" ref="C1" si="1">B1+1</f>
        <v>3</v>
      </c>
      <c r="D1" s="236">
        <f t="shared" ref="D1" si="2">C1+1</f>
        <v>4</v>
      </c>
      <c r="E1" s="236">
        <f t="shared" ref="E1" si="3">D1+1</f>
        <v>5</v>
      </c>
      <c r="F1" s="236">
        <f t="shared" ref="F1" si="4">E1+1</f>
        <v>6</v>
      </c>
      <c r="G1" s="236">
        <f t="shared" ref="G1" si="5">F1+1</f>
        <v>7</v>
      </c>
    </row>
    <row r="2" spans="1:7" ht="42.6" customHeight="1">
      <c r="B2" s="468" t="s">
        <v>1371</v>
      </c>
      <c r="C2" s="468"/>
      <c r="D2" s="468"/>
      <c r="E2" s="468"/>
      <c r="F2" s="468"/>
      <c r="G2" s="468"/>
    </row>
    <row r="3" spans="1:7" ht="21">
      <c r="B3" s="465" t="s">
        <v>1284</v>
      </c>
      <c r="C3" s="465"/>
      <c r="D3" s="465"/>
      <c r="E3" s="465"/>
      <c r="F3" s="465"/>
      <c r="G3" s="465"/>
    </row>
    <row r="4" spans="1:7" ht="21">
      <c r="B4" s="341"/>
      <c r="C4" s="466" t="s">
        <v>1301</v>
      </c>
      <c r="D4" s="467"/>
      <c r="E4" s="467"/>
      <c r="F4" s="467"/>
      <c r="G4" s="467"/>
    </row>
    <row r="5" spans="1:7" ht="47.55" customHeight="1">
      <c r="B5" s="196" t="s">
        <v>624</v>
      </c>
      <c r="C5" s="268" t="s">
        <v>1375</v>
      </c>
      <c r="D5" s="177" t="s">
        <v>1374</v>
      </c>
      <c r="E5" s="268" t="s">
        <v>1393</v>
      </c>
      <c r="F5" s="178" t="s">
        <v>1372</v>
      </c>
      <c r="G5" s="178" t="s">
        <v>1373</v>
      </c>
    </row>
    <row r="6" spans="1:7">
      <c r="A6" s="198" t="s">
        <v>627</v>
      </c>
      <c r="B6" s="199" t="s">
        <v>871</v>
      </c>
      <c r="C6" s="166">
        <v>13000000</v>
      </c>
      <c r="D6" s="355">
        <v>280875000</v>
      </c>
      <c r="E6" s="200">
        <f>SUM(E8:E325)</f>
        <v>38411268.450000003</v>
      </c>
      <c r="F6" s="200">
        <f>SUM(F8:F325)</f>
        <v>8340000</v>
      </c>
      <c r="G6" s="200">
        <f>F6+D6</f>
        <v>289215000</v>
      </c>
    </row>
    <row r="7" spans="1:7" ht="8.25" customHeight="1">
      <c r="B7" s="172"/>
      <c r="C7" s="149"/>
      <c r="D7" s="180"/>
      <c r="E7" s="149"/>
      <c r="F7" s="181"/>
      <c r="G7" s="181"/>
    </row>
    <row r="8" spans="1:7">
      <c r="A8" s="198" t="s">
        <v>141</v>
      </c>
      <c r="B8" s="172" t="s">
        <v>142</v>
      </c>
      <c r="C8" s="149">
        <v>0</v>
      </c>
      <c r="D8" s="180">
        <v>0</v>
      </c>
      <c r="E8" s="149">
        <v>402506.1799999997</v>
      </c>
      <c r="F8" s="181">
        <v>0</v>
      </c>
      <c r="G8" s="181">
        <f>F8+D8</f>
        <v>0</v>
      </c>
    </row>
    <row r="9" spans="1:7">
      <c r="A9" s="198" t="s">
        <v>279</v>
      </c>
      <c r="B9" s="172" t="s">
        <v>280</v>
      </c>
      <c r="C9" s="149">
        <v>0</v>
      </c>
      <c r="D9" s="180">
        <v>0</v>
      </c>
      <c r="E9" s="149">
        <v>72015.66</v>
      </c>
      <c r="F9" s="181">
        <v>0</v>
      </c>
      <c r="G9" s="181">
        <f t="shared" ref="G9:G72" si="6">F9+D9</f>
        <v>0</v>
      </c>
    </row>
    <row r="10" spans="1:7">
      <c r="A10" s="198" t="s">
        <v>301</v>
      </c>
      <c r="B10" s="172" t="s">
        <v>302</v>
      </c>
      <c r="C10" s="149">
        <v>0</v>
      </c>
      <c r="D10" s="180">
        <v>0</v>
      </c>
      <c r="E10" s="149">
        <v>8069.4000000000015</v>
      </c>
      <c r="F10" s="181">
        <v>0</v>
      </c>
      <c r="G10" s="181">
        <f t="shared" si="6"/>
        <v>0</v>
      </c>
    </row>
    <row r="11" spans="1:7">
      <c r="A11" s="198" t="s">
        <v>407</v>
      </c>
      <c r="B11" s="172" t="s">
        <v>408</v>
      </c>
      <c r="C11" s="149">
        <v>0</v>
      </c>
      <c r="D11" s="180">
        <v>0</v>
      </c>
      <c r="E11" s="149">
        <v>0</v>
      </c>
      <c r="F11" s="181">
        <v>0</v>
      </c>
      <c r="G11" s="181">
        <f t="shared" si="6"/>
        <v>0</v>
      </c>
    </row>
    <row r="12" spans="1:7">
      <c r="A12" s="198" t="s">
        <v>431</v>
      </c>
      <c r="B12" s="172" t="s">
        <v>432</v>
      </c>
      <c r="C12" s="149">
        <v>0</v>
      </c>
      <c r="D12" s="180">
        <v>0</v>
      </c>
      <c r="E12" s="149">
        <v>336595.58</v>
      </c>
      <c r="F12" s="181">
        <v>0</v>
      </c>
      <c r="G12" s="181">
        <f t="shared" si="6"/>
        <v>0</v>
      </c>
    </row>
    <row r="13" spans="1:7">
      <c r="A13" s="198" t="s">
        <v>15</v>
      </c>
      <c r="B13" s="172" t="s">
        <v>16</v>
      </c>
      <c r="C13" s="149">
        <v>0</v>
      </c>
      <c r="D13" s="180">
        <v>0</v>
      </c>
      <c r="E13" s="149">
        <v>1556.3600000000442</v>
      </c>
      <c r="F13" s="181">
        <v>637000</v>
      </c>
      <c r="G13" s="181">
        <f t="shared" si="6"/>
        <v>637000</v>
      </c>
    </row>
    <row r="14" spans="1:7">
      <c r="A14" s="198" t="s">
        <v>205</v>
      </c>
      <c r="B14" s="172" t="s">
        <v>206</v>
      </c>
      <c r="C14" s="149">
        <v>0</v>
      </c>
      <c r="D14" s="180">
        <v>0</v>
      </c>
      <c r="E14" s="149">
        <v>919219.03000000026</v>
      </c>
      <c r="F14" s="181">
        <v>0</v>
      </c>
      <c r="G14" s="181">
        <f t="shared" si="6"/>
        <v>0</v>
      </c>
    </row>
    <row r="15" spans="1:7">
      <c r="A15" s="198" t="s">
        <v>229</v>
      </c>
      <c r="B15" s="172" t="s">
        <v>230</v>
      </c>
      <c r="C15" s="149">
        <v>0</v>
      </c>
      <c r="D15" s="180">
        <v>0</v>
      </c>
      <c r="E15" s="149">
        <v>0</v>
      </c>
      <c r="F15" s="181">
        <v>0</v>
      </c>
      <c r="G15" s="181">
        <f t="shared" si="6"/>
        <v>0</v>
      </c>
    </row>
    <row r="16" spans="1:7">
      <c r="A16" s="198" t="s">
        <v>69</v>
      </c>
      <c r="B16" s="172" t="s">
        <v>70</v>
      </c>
      <c r="C16" s="149">
        <v>0</v>
      </c>
      <c r="D16" s="180">
        <v>0</v>
      </c>
      <c r="E16" s="149">
        <v>1280905.27</v>
      </c>
      <c r="F16" s="181">
        <v>0</v>
      </c>
      <c r="G16" s="181">
        <f t="shared" si="6"/>
        <v>0</v>
      </c>
    </row>
    <row r="17" spans="1:7">
      <c r="A17" s="198" t="s">
        <v>199</v>
      </c>
      <c r="B17" s="172" t="s">
        <v>200</v>
      </c>
      <c r="C17" s="149">
        <v>0</v>
      </c>
      <c r="D17" s="180">
        <v>0</v>
      </c>
      <c r="E17" s="149">
        <v>0</v>
      </c>
      <c r="F17" s="181">
        <v>0</v>
      </c>
      <c r="G17" s="181">
        <f t="shared" si="6"/>
        <v>0</v>
      </c>
    </row>
    <row r="18" spans="1:7">
      <c r="A18" s="198" t="s">
        <v>539</v>
      </c>
      <c r="B18" s="172" t="s">
        <v>540</v>
      </c>
      <c r="C18" s="149">
        <v>0</v>
      </c>
      <c r="D18" s="180">
        <v>0</v>
      </c>
      <c r="E18" s="149">
        <v>0</v>
      </c>
      <c r="F18" s="181">
        <v>0</v>
      </c>
      <c r="G18" s="181">
        <f t="shared" si="6"/>
        <v>0</v>
      </c>
    </row>
    <row r="19" spans="1:7">
      <c r="A19" s="198" t="s">
        <v>5</v>
      </c>
      <c r="B19" s="172" t="s">
        <v>6</v>
      </c>
      <c r="C19" s="149">
        <v>0</v>
      </c>
      <c r="D19" s="180">
        <v>0</v>
      </c>
      <c r="E19" s="149">
        <v>0</v>
      </c>
      <c r="F19" s="181">
        <v>0</v>
      </c>
      <c r="G19" s="181">
        <f t="shared" si="6"/>
        <v>0</v>
      </c>
    </row>
    <row r="20" spans="1:7">
      <c r="A20" s="198" t="s">
        <v>383</v>
      </c>
      <c r="B20" s="172" t="s">
        <v>384</v>
      </c>
      <c r="C20" s="149">
        <v>0</v>
      </c>
      <c r="D20" s="180">
        <v>0</v>
      </c>
      <c r="E20" s="149">
        <v>1071675.04</v>
      </c>
      <c r="F20" s="181">
        <v>0</v>
      </c>
      <c r="G20" s="181">
        <f t="shared" si="6"/>
        <v>0</v>
      </c>
    </row>
    <row r="21" spans="1:7">
      <c r="A21" s="198" t="s">
        <v>253</v>
      </c>
      <c r="B21" s="172" t="s">
        <v>254</v>
      </c>
      <c r="C21" s="149">
        <v>0</v>
      </c>
      <c r="D21" s="180">
        <v>0</v>
      </c>
      <c r="E21" s="149">
        <v>0</v>
      </c>
      <c r="F21" s="181">
        <v>0</v>
      </c>
      <c r="G21" s="181">
        <f t="shared" si="6"/>
        <v>0</v>
      </c>
    </row>
    <row r="22" spans="1:7">
      <c r="A22" s="198" t="s">
        <v>543</v>
      </c>
      <c r="B22" s="172" t="s">
        <v>544</v>
      </c>
      <c r="C22" s="149">
        <v>0</v>
      </c>
      <c r="D22" s="180">
        <v>0</v>
      </c>
      <c r="E22" s="149">
        <v>0</v>
      </c>
      <c r="F22" s="181">
        <v>0</v>
      </c>
      <c r="G22" s="181">
        <f t="shared" si="6"/>
        <v>0</v>
      </c>
    </row>
    <row r="23" spans="1:7">
      <c r="A23" s="198" t="s">
        <v>283</v>
      </c>
      <c r="B23" s="172" t="s">
        <v>284</v>
      </c>
      <c r="C23" s="149">
        <v>0</v>
      </c>
      <c r="D23" s="180">
        <v>0</v>
      </c>
      <c r="E23" s="149">
        <v>0</v>
      </c>
      <c r="F23" s="181">
        <v>0</v>
      </c>
      <c r="G23" s="181">
        <f t="shared" si="6"/>
        <v>0</v>
      </c>
    </row>
    <row r="24" spans="1:7">
      <c r="A24" s="198" t="s">
        <v>227</v>
      </c>
      <c r="B24" s="172" t="s">
        <v>228</v>
      </c>
      <c r="C24" s="149">
        <v>0</v>
      </c>
      <c r="D24" s="180">
        <v>0</v>
      </c>
      <c r="E24" s="149">
        <v>0</v>
      </c>
      <c r="F24" s="181">
        <v>0</v>
      </c>
      <c r="G24" s="181">
        <f t="shared" si="6"/>
        <v>0</v>
      </c>
    </row>
    <row r="25" spans="1:7">
      <c r="A25" s="198" t="s">
        <v>333</v>
      </c>
      <c r="B25" s="172" t="s">
        <v>334</v>
      </c>
      <c r="C25" s="149">
        <v>0</v>
      </c>
      <c r="D25" s="180">
        <v>0</v>
      </c>
      <c r="E25" s="149">
        <v>51004.760000000009</v>
      </c>
      <c r="F25" s="181">
        <v>0</v>
      </c>
      <c r="G25" s="181">
        <f t="shared" si="6"/>
        <v>0</v>
      </c>
    </row>
    <row r="26" spans="1:7">
      <c r="A26" s="198" t="s">
        <v>91</v>
      </c>
      <c r="B26" s="172" t="s">
        <v>92</v>
      </c>
      <c r="C26" s="149">
        <v>0</v>
      </c>
      <c r="D26" s="180">
        <v>0</v>
      </c>
      <c r="E26" s="149">
        <v>55098.670000000042</v>
      </c>
      <c r="F26" s="181">
        <v>0</v>
      </c>
      <c r="G26" s="181">
        <f t="shared" si="6"/>
        <v>0</v>
      </c>
    </row>
    <row r="27" spans="1:7">
      <c r="A27" s="198" t="s">
        <v>175</v>
      </c>
      <c r="B27" s="172" t="s">
        <v>176</v>
      </c>
      <c r="C27" s="149">
        <v>0</v>
      </c>
      <c r="D27" s="180">
        <v>0</v>
      </c>
      <c r="E27" s="149">
        <v>0</v>
      </c>
      <c r="F27" s="181">
        <v>0</v>
      </c>
      <c r="G27" s="181">
        <f t="shared" si="6"/>
        <v>0</v>
      </c>
    </row>
    <row r="28" spans="1:7">
      <c r="A28" s="198" t="s">
        <v>403</v>
      </c>
      <c r="B28" s="172" t="s">
        <v>404</v>
      </c>
      <c r="C28" s="149">
        <v>0</v>
      </c>
      <c r="D28" s="180">
        <v>0</v>
      </c>
      <c r="E28" s="149">
        <v>0</v>
      </c>
      <c r="F28" s="181">
        <v>0</v>
      </c>
      <c r="G28" s="181">
        <f t="shared" si="6"/>
        <v>0</v>
      </c>
    </row>
    <row r="29" spans="1:7">
      <c r="A29" s="198" t="s">
        <v>67</v>
      </c>
      <c r="B29" s="172" t="s">
        <v>68</v>
      </c>
      <c r="C29" s="149">
        <v>0</v>
      </c>
      <c r="D29" s="180">
        <v>0</v>
      </c>
      <c r="E29" s="149">
        <v>706978.35000000009</v>
      </c>
      <c r="F29" s="181">
        <v>0</v>
      </c>
      <c r="G29" s="181">
        <f t="shared" si="6"/>
        <v>0</v>
      </c>
    </row>
    <row r="30" spans="1:7">
      <c r="A30" s="198" t="s">
        <v>49</v>
      </c>
      <c r="B30" s="172" t="s">
        <v>50</v>
      </c>
      <c r="C30" s="149">
        <v>0</v>
      </c>
      <c r="D30" s="180">
        <v>0</v>
      </c>
      <c r="E30" s="149">
        <v>8813.75</v>
      </c>
      <c r="F30" s="181">
        <v>0</v>
      </c>
      <c r="G30" s="181">
        <f t="shared" si="6"/>
        <v>0</v>
      </c>
    </row>
    <row r="31" spans="1:7">
      <c r="A31" s="198" t="s">
        <v>367</v>
      </c>
      <c r="B31" s="172" t="s">
        <v>368</v>
      </c>
      <c r="C31" s="149">
        <v>0</v>
      </c>
      <c r="D31" s="180">
        <v>0</v>
      </c>
      <c r="E31" s="149">
        <v>8018.6600000000035</v>
      </c>
      <c r="F31" s="181">
        <v>0</v>
      </c>
      <c r="G31" s="181">
        <f t="shared" si="6"/>
        <v>0</v>
      </c>
    </row>
    <row r="32" spans="1:7">
      <c r="A32" s="198" t="s">
        <v>1226</v>
      </c>
      <c r="B32" s="172" t="s">
        <v>1227</v>
      </c>
      <c r="C32" s="149">
        <v>0</v>
      </c>
      <c r="D32" s="180">
        <v>0</v>
      </c>
      <c r="E32" s="149">
        <v>0</v>
      </c>
      <c r="F32" s="181">
        <v>0</v>
      </c>
      <c r="G32" s="181">
        <f t="shared" si="6"/>
        <v>0</v>
      </c>
    </row>
    <row r="33" spans="1:7">
      <c r="A33" s="198" t="s">
        <v>39</v>
      </c>
      <c r="B33" s="172" t="s">
        <v>40</v>
      </c>
      <c r="C33" s="149">
        <v>0</v>
      </c>
      <c r="D33" s="180">
        <v>0</v>
      </c>
      <c r="E33" s="149">
        <v>0</v>
      </c>
      <c r="F33" s="181">
        <v>0</v>
      </c>
      <c r="G33" s="181">
        <f t="shared" si="6"/>
        <v>0</v>
      </c>
    </row>
    <row r="34" spans="1:7">
      <c r="A34" s="198" t="s">
        <v>37</v>
      </c>
      <c r="B34" s="172" t="s">
        <v>38</v>
      </c>
      <c r="C34" s="149">
        <v>0</v>
      </c>
      <c r="D34" s="180">
        <v>0</v>
      </c>
      <c r="E34" s="149">
        <v>40380.880000000005</v>
      </c>
      <c r="F34" s="181">
        <v>0</v>
      </c>
      <c r="G34" s="181">
        <f t="shared" si="6"/>
        <v>0</v>
      </c>
    </row>
    <row r="35" spans="1:7">
      <c r="A35" s="198" t="s">
        <v>81</v>
      </c>
      <c r="B35" s="172" t="s">
        <v>82</v>
      </c>
      <c r="C35" s="149">
        <v>0</v>
      </c>
      <c r="D35" s="180">
        <v>0</v>
      </c>
      <c r="E35" s="149">
        <v>118740.43000000002</v>
      </c>
      <c r="F35" s="181">
        <v>0</v>
      </c>
      <c r="G35" s="181">
        <f t="shared" si="6"/>
        <v>0</v>
      </c>
    </row>
    <row r="36" spans="1:7">
      <c r="A36" s="198" t="s">
        <v>1228</v>
      </c>
      <c r="B36" s="172" t="s">
        <v>1229</v>
      </c>
      <c r="C36" s="149">
        <v>0</v>
      </c>
      <c r="D36" s="180">
        <v>0</v>
      </c>
      <c r="E36" s="149">
        <v>0</v>
      </c>
      <c r="F36" s="181">
        <v>336000</v>
      </c>
      <c r="G36" s="181">
        <f t="shared" si="6"/>
        <v>336000</v>
      </c>
    </row>
    <row r="37" spans="1:7">
      <c r="A37" s="198" t="s">
        <v>255</v>
      </c>
      <c r="B37" s="172" t="s">
        <v>256</v>
      </c>
      <c r="C37" s="149">
        <v>0</v>
      </c>
      <c r="D37" s="180">
        <v>0</v>
      </c>
      <c r="E37" s="149">
        <v>0</v>
      </c>
      <c r="F37" s="181">
        <v>0</v>
      </c>
      <c r="G37" s="181">
        <f t="shared" si="6"/>
        <v>0</v>
      </c>
    </row>
    <row r="38" spans="1:7">
      <c r="A38" s="198" t="s">
        <v>233</v>
      </c>
      <c r="B38" s="172" t="s">
        <v>234</v>
      </c>
      <c r="C38" s="149">
        <v>0</v>
      </c>
      <c r="D38" s="180">
        <v>0</v>
      </c>
      <c r="E38" s="149">
        <v>1233469.2200000002</v>
      </c>
      <c r="F38" s="181">
        <v>0</v>
      </c>
      <c r="G38" s="181">
        <f t="shared" si="6"/>
        <v>0</v>
      </c>
    </row>
    <row r="39" spans="1:7">
      <c r="A39" s="198" t="s">
        <v>463</v>
      </c>
      <c r="B39" s="172" t="s">
        <v>464</v>
      </c>
      <c r="C39" s="149">
        <v>0</v>
      </c>
      <c r="D39" s="180">
        <v>0</v>
      </c>
      <c r="E39" s="149">
        <v>626081.25</v>
      </c>
      <c r="F39" s="181">
        <v>0</v>
      </c>
      <c r="G39" s="181">
        <f t="shared" si="6"/>
        <v>0</v>
      </c>
    </row>
    <row r="40" spans="1:7">
      <c r="A40" s="198" t="s">
        <v>295</v>
      </c>
      <c r="B40" s="172" t="s">
        <v>296</v>
      </c>
      <c r="C40" s="149">
        <v>0</v>
      </c>
      <c r="D40" s="180">
        <v>0</v>
      </c>
      <c r="E40" s="149">
        <v>235208.77999999991</v>
      </c>
      <c r="F40" s="181">
        <v>0</v>
      </c>
      <c r="G40" s="181">
        <f t="shared" si="6"/>
        <v>0</v>
      </c>
    </row>
    <row r="41" spans="1:7">
      <c r="A41" s="198" t="s">
        <v>291</v>
      </c>
      <c r="B41" s="172" t="s">
        <v>292</v>
      </c>
      <c r="C41" s="149">
        <v>0</v>
      </c>
      <c r="D41" s="180">
        <v>0</v>
      </c>
      <c r="E41" s="149">
        <v>129956.39999999991</v>
      </c>
      <c r="F41" s="181">
        <v>0</v>
      </c>
      <c r="G41" s="181">
        <f t="shared" si="6"/>
        <v>0</v>
      </c>
    </row>
    <row r="42" spans="1:7">
      <c r="A42" s="198" t="s">
        <v>467</v>
      </c>
      <c r="B42" s="172" t="s">
        <v>468</v>
      </c>
      <c r="C42" s="149">
        <v>0</v>
      </c>
      <c r="D42" s="180">
        <v>0</v>
      </c>
      <c r="E42" s="149">
        <v>134811.57</v>
      </c>
      <c r="F42" s="181">
        <v>0</v>
      </c>
      <c r="G42" s="181">
        <f t="shared" si="6"/>
        <v>0</v>
      </c>
    </row>
    <row r="43" spans="1:7">
      <c r="A43" s="198" t="s">
        <v>485</v>
      </c>
      <c r="B43" s="172" t="s">
        <v>486</v>
      </c>
      <c r="C43" s="149">
        <v>0</v>
      </c>
      <c r="D43" s="180">
        <v>0</v>
      </c>
      <c r="E43" s="149">
        <v>106035.75</v>
      </c>
      <c r="F43" s="181">
        <v>0</v>
      </c>
      <c r="G43" s="181">
        <f t="shared" si="6"/>
        <v>0</v>
      </c>
    </row>
    <row r="44" spans="1:7">
      <c r="A44" s="198" t="s">
        <v>1038</v>
      </c>
      <c r="B44" s="172" t="s">
        <v>1043</v>
      </c>
      <c r="C44" s="149">
        <v>0</v>
      </c>
      <c r="D44" s="180">
        <v>0</v>
      </c>
      <c r="E44" s="149">
        <v>0</v>
      </c>
      <c r="F44" s="181">
        <v>951000</v>
      </c>
      <c r="G44" s="181">
        <f t="shared" si="6"/>
        <v>951000</v>
      </c>
    </row>
    <row r="45" spans="1:7">
      <c r="A45" s="198" t="s">
        <v>179</v>
      </c>
      <c r="B45" s="172" t="s">
        <v>180</v>
      </c>
      <c r="C45" s="149">
        <v>0</v>
      </c>
      <c r="D45" s="180">
        <v>0</v>
      </c>
      <c r="E45" s="149">
        <v>0</v>
      </c>
      <c r="F45" s="181">
        <v>0</v>
      </c>
      <c r="G45" s="181">
        <f t="shared" si="6"/>
        <v>0</v>
      </c>
    </row>
    <row r="46" spans="1:7">
      <c r="A46" s="198" t="s">
        <v>13</v>
      </c>
      <c r="B46" s="172" t="s">
        <v>14</v>
      </c>
      <c r="C46" s="149">
        <v>0</v>
      </c>
      <c r="D46" s="180">
        <v>0</v>
      </c>
      <c r="E46" s="149">
        <v>208688.10999999987</v>
      </c>
      <c r="F46" s="181">
        <v>0</v>
      </c>
      <c r="G46" s="181">
        <f t="shared" si="6"/>
        <v>0</v>
      </c>
    </row>
    <row r="47" spans="1:7">
      <c r="A47" s="198" t="s">
        <v>249</v>
      </c>
      <c r="B47" s="172" t="s">
        <v>250</v>
      </c>
      <c r="C47" s="149">
        <v>0</v>
      </c>
      <c r="D47" s="180">
        <v>0</v>
      </c>
      <c r="E47" s="149">
        <v>0</v>
      </c>
      <c r="F47" s="181">
        <v>0</v>
      </c>
      <c r="G47" s="181">
        <f t="shared" si="6"/>
        <v>0</v>
      </c>
    </row>
    <row r="48" spans="1:7">
      <c r="A48" s="198" t="s">
        <v>377</v>
      </c>
      <c r="B48" s="172" t="s">
        <v>378</v>
      </c>
      <c r="C48" s="149">
        <v>0</v>
      </c>
      <c r="D48" s="180">
        <v>0</v>
      </c>
      <c r="E48" s="149">
        <v>1155752.5300000003</v>
      </c>
      <c r="F48" s="181">
        <v>0</v>
      </c>
      <c r="G48" s="181">
        <f t="shared" si="6"/>
        <v>0</v>
      </c>
    </row>
    <row r="49" spans="1:7">
      <c r="A49" s="198" t="s">
        <v>563</v>
      </c>
      <c r="B49" s="172" t="s">
        <v>564</v>
      </c>
      <c r="C49" s="149">
        <v>0</v>
      </c>
      <c r="D49" s="180">
        <v>0</v>
      </c>
      <c r="E49" s="149">
        <v>36134.710000000021</v>
      </c>
      <c r="F49" s="181">
        <v>0</v>
      </c>
      <c r="G49" s="181">
        <f t="shared" si="6"/>
        <v>0</v>
      </c>
    </row>
    <row r="50" spans="1:7">
      <c r="A50" s="198" t="s">
        <v>529</v>
      </c>
      <c r="B50" s="172" t="s">
        <v>530</v>
      </c>
      <c r="C50" s="149">
        <v>0</v>
      </c>
      <c r="D50" s="180">
        <v>0</v>
      </c>
      <c r="E50" s="149">
        <v>15276.049999999988</v>
      </c>
      <c r="F50" s="181">
        <v>0</v>
      </c>
      <c r="G50" s="181">
        <f t="shared" si="6"/>
        <v>0</v>
      </c>
    </row>
    <row r="51" spans="1:7">
      <c r="A51" s="198" t="s">
        <v>571</v>
      </c>
      <c r="B51" s="172" t="s">
        <v>572</v>
      </c>
      <c r="C51" s="149">
        <v>0</v>
      </c>
      <c r="D51" s="180">
        <v>0</v>
      </c>
      <c r="E51" s="149">
        <v>25924.14</v>
      </c>
      <c r="F51" s="181">
        <v>0</v>
      </c>
      <c r="G51" s="181">
        <f t="shared" si="6"/>
        <v>0</v>
      </c>
    </row>
    <row r="52" spans="1:7">
      <c r="A52" s="198" t="s">
        <v>499</v>
      </c>
      <c r="B52" s="172" t="s">
        <v>500</v>
      </c>
      <c r="C52" s="149">
        <v>0</v>
      </c>
      <c r="D52" s="180">
        <v>0</v>
      </c>
      <c r="E52" s="149">
        <v>0</v>
      </c>
      <c r="F52" s="181">
        <v>0</v>
      </c>
      <c r="G52" s="181">
        <f t="shared" si="6"/>
        <v>0</v>
      </c>
    </row>
    <row r="53" spans="1:7">
      <c r="A53" s="198" t="s">
        <v>533</v>
      </c>
      <c r="B53" s="172" t="s">
        <v>534</v>
      </c>
      <c r="C53" s="149">
        <v>0</v>
      </c>
      <c r="D53" s="180">
        <v>0</v>
      </c>
      <c r="E53" s="149">
        <v>0</v>
      </c>
      <c r="F53" s="181">
        <v>0</v>
      </c>
      <c r="G53" s="181">
        <f t="shared" si="6"/>
        <v>0</v>
      </c>
    </row>
    <row r="54" spans="1:7">
      <c r="A54" s="198" t="s">
        <v>491</v>
      </c>
      <c r="B54" s="172" t="s">
        <v>492</v>
      </c>
      <c r="C54" s="149">
        <v>0</v>
      </c>
      <c r="D54" s="180">
        <v>0</v>
      </c>
      <c r="E54" s="149">
        <v>234119.43999999994</v>
      </c>
      <c r="F54" s="181">
        <v>0</v>
      </c>
      <c r="G54" s="181">
        <f t="shared" si="6"/>
        <v>0</v>
      </c>
    </row>
    <row r="55" spans="1:7">
      <c r="A55" s="198" t="s">
        <v>401</v>
      </c>
      <c r="B55" s="172" t="s">
        <v>402</v>
      </c>
      <c r="C55" s="149">
        <v>0</v>
      </c>
      <c r="D55" s="180">
        <v>0</v>
      </c>
      <c r="E55" s="149">
        <v>0</v>
      </c>
      <c r="F55" s="181">
        <v>0</v>
      </c>
      <c r="G55" s="181">
        <f t="shared" si="6"/>
        <v>0</v>
      </c>
    </row>
    <row r="56" spans="1:7">
      <c r="A56" s="198" t="s">
        <v>411</v>
      </c>
      <c r="B56" s="172" t="s">
        <v>412</v>
      </c>
      <c r="C56" s="149">
        <v>0</v>
      </c>
      <c r="D56" s="180">
        <v>0</v>
      </c>
      <c r="E56" s="149">
        <v>0</v>
      </c>
      <c r="F56" s="181">
        <v>0</v>
      </c>
      <c r="G56" s="181">
        <f t="shared" si="6"/>
        <v>0</v>
      </c>
    </row>
    <row r="57" spans="1:7">
      <c r="A57" s="198" t="s">
        <v>157</v>
      </c>
      <c r="B57" s="172" t="s">
        <v>158</v>
      </c>
      <c r="C57" s="149">
        <v>0</v>
      </c>
      <c r="D57" s="180">
        <v>0</v>
      </c>
      <c r="E57" s="149">
        <v>18304.190000000002</v>
      </c>
      <c r="F57" s="181">
        <v>0</v>
      </c>
      <c r="G57" s="181">
        <f t="shared" si="6"/>
        <v>0</v>
      </c>
    </row>
    <row r="58" spans="1:7">
      <c r="A58" s="198" t="s">
        <v>127</v>
      </c>
      <c r="B58" s="172" t="s">
        <v>128</v>
      </c>
      <c r="C58" s="149">
        <v>0</v>
      </c>
      <c r="D58" s="180">
        <v>0</v>
      </c>
      <c r="E58" s="149">
        <v>8681.2999999999993</v>
      </c>
      <c r="F58" s="181">
        <v>0</v>
      </c>
      <c r="G58" s="181">
        <f t="shared" si="6"/>
        <v>0</v>
      </c>
    </row>
    <row r="59" spans="1:7">
      <c r="A59" s="198" t="s">
        <v>169</v>
      </c>
      <c r="B59" s="172" t="s">
        <v>170</v>
      </c>
      <c r="C59" s="149">
        <v>0</v>
      </c>
      <c r="D59" s="180">
        <v>0</v>
      </c>
      <c r="E59" s="149">
        <v>0</v>
      </c>
      <c r="F59" s="181">
        <v>0</v>
      </c>
      <c r="G59" s="181">
        <f t="shared" si="6"/>
        <v>0</v>
      </c>
    </row>
    <row r="60" spans="1:7">
      <c r="A60" s="198" t="s">
        <v>45</v>
      </c>
      <c r="B60" s="172" t="s">
        <v>46</v>
      </c>
      <c r="C60" s="149">
        <v>0</v>
      </c>
      <c r="D60" s="180">
        <v>0</v>
      </c>
      <c r="E60" s="149">
        <v>0</v>
      </c>
      <c r="F60" s="181">
        <v>0</v>
      </c>
      <c r="G60" s="181">
        <f t="shared" si="6"/>
        <v>0</v>
      </c>
    </row>
    <row r="61" spans="1:7">
      <c r="A61" s="198" t="s">
        <v>303</v>
      </c>
      <c r="B61" s="172" t="s">
        <v>304</v>
      </c>
      <c r="C61" s="149">
        <v>0</v>
      </c>
      <c r="D61" s="180">
        <v>0</v>
      </c>
      <c r="E61" s="149">
        <v>0</v>
      </c>
      <c r="F61" s="181">
        <v>0</v>
      </c>
      <c r="G61" s="181">
        <f t="shared" si="6"/>
        <v>0</v>
      </c>
    </row>
    <row r="62" spans="1:7">
      <c r="A62" s="198" t="s">
        <v>103</v>
      </c>
      <c r="B62" s="172" t="s">
        <v>104</v>
      </c>
      <c r="C62" s="149">
        <v>0</v>
      </c>
      <c r="D62" s="180">
        <v>0</v>
      </c>
      <c r="E62" s="149">
        <v>0</v>
      </c>
      <c r="F62" s="181">
        <v>0</v>
      </c>
      <c r="G62" s="181">
        <f t="shared" si="6"/>
        <v>0</v>
      </c>
    </row>
    <row r="63" spans="1:7">
      <c r="A63" s="198" t="s">
        <v>357</v>
      </c>
      <c r="B63" s="172" t="s">
        <v>358</v>
      </c>
      <c r="C63" s="149">
        <v>0</v>
      </c>
      <c r="D63" s="180">
        <v>0</v>
      </c>
      <c r="E63" s="149">
        <v>0</v>
      </c>
      <c r="F63" s="181">
        <v>0</v>
      </c>
      <c r="G63" s="181">
        <f t="shared" si="6"/>
        <v>0</v>
      </c>
    </row>
    <row r="64" spans="1:7">
      <c r="A64" s="198" t="s">
        <v>239</v>
      </c>
      <c r="B64" s="172" t="s">
        <v>240</v>
      </c>
      <c r="C64" s="149">
        <v>0</v>
      </c>
      <c r="D64" s="180">
        <v>0</v>
      </c>
      <c r="E64" s="149">
        <v>0</v>
      </c>
      <c r="F64" s="181">
        <v>0</v>
      </c>
      <c r="G64" s="181">
        <f t="shared" si="6"/>
        <v>0</v>
      </c>
    </row>
    <row r="65" spans="1:7">
      <c r="A65" s="198" t="s">
        <v>445</v>
      </c>
      <c r="B65" s="172" t="s">
        <v>446</v>
      </c>
      <c r="C65" s="149">
        <v>0</v>
      </c>
      <c r="D65" s="180">
        <v>0</v>
      </c>
      <c r="E65" s="149">
        <v>0</v>
      </c>
      <c r="F65" s="181">
        <v>0</v>
      </c>
      <c r="G65" s="181">
        <f t="shared" si="6"/>
        <v>0</v>
      </c>
    </row>
    <row r="66" spans="1:7">
      <c r="A66" s="198" t="s">
        <v>311</v>
      </c>
      <c r="B66" s="172" t="s">
        <v>312</v>
      </c>
      <c r="C66" s="149">
        <v>0</v>
      </c>
      <c r="D66" s="180">
        <v>0</v>
      </c>
      <c r="E66" s="149">
        <v>40279.380000000005</v>
      </c>
      <c r="F66" s="181">
        <v>0</v>
      </c>
      <c r="G66" s="181">
        <f t="shared" si="6"/>
        <v>0</v>
      </c>
    </row>
    <row r="67" spans="1:7">
      <c r="A67" s="198" t="s">
        <v>73</v>
      </c>
      <c r="B67" s="172" t="s">
        <v>74</v>
      </c>
      <c r="C67" s="149">
        <v>0</v>
      </c>
      <c r="D67" s="180">
        <v>0</v>
      </c>
      <c r="E67" s="149">
        <v>0</v>
      </c>
      <c r="F67" s="181">
        <v>0</v>
      </c>
      <c r="G67" s="181">
        <f t="shared" si="6"/>
        <v>0</v>
      </c>
    </row>
    <row r="68" spans="1:7">
      <c r="A68" s="198" t="s">
        <v>475</v>
      </c>
      <c r="B68" s="172" t="s">
        <v>476</v>
      </c>
      <c r="C68" s="149">
        <v>0</v>
      </c>
      <c r="D68" s="180">
        <v>0</v>
      </c>
      <c r="E68" s="149">
        <v>83603.810000000056</v>
      </c>
      <c r="F68" s="181">
        <v>0</v>
      </c>
      <c r="G68" s="181">
        <f t="shared" si="6"/>
        <v>0</v>
      </c>
    </row>
    <row r="69" spans="1:7">
      <c r="A69" s="198" t="s">
        <v>373</v>
      </c>
      <c r="B69" s="172" t="s">
        <v>374</v>
      </c>
      <c r="C69" s="149">
        <v>0</v>
      </c>
      <c r="D69" s="180">
        <v>0</v>
      </c>
      <c r="E69" s="149">
        <v>0</v>
      </c>
      <c r="F69" s="181">
        <v>0</v>
      </c>
      <c r="G69" s="181">
        <f t="shared" si="6"/>
        <v>0</v>
      </c>
    </row>
    <row r="70" spans="1:7">
      <c r="A70" s="198" t="s">
        <v>525</v>
      </c>
      <c r="B70" s="172" t="s">
        <v>526</v>
      </c>
      <c r="C70" s="149">
        <v>0</v>
      </c>
      <c r="D70" s="180">
        <v>0</v>
      </c>
      <c r="E70" s="149">
        <v>0</v>
      </c>
      <c r="F70" s="181">
        <v>0</v>
      </c>
      <c r="G70" s="181">
        <f t="shared" si="6"/>
        <v>0</v>
      </c>
    </row>
    <row r="71" spans="1:7">
      <c r="A71" s="198" t="s">
        <v>469</v>
      </c>
      <c r="B71" s="172" t="s">
        <v>470</v>
      </c>
      <c r="C71" s="149">
        <v>0</v>
      </c>
      <c r="D71" s="180">
        <v>0</v>
      </c>
      <c r="E71" s="149">
        <v>0</v>
      </c>
      <c r="F71" s="181">
        <v>0</v>
      </c>
      <c r="G71" s="181">
        <f t="shared" si="6"/>
        <v>0</v>
      </c>
    </row>
    <row r="72" spans="1:7">
      <c r="A72" s="198" t="s">
        <v>587</v>
      </c>
      <c r="B72" s="172" t="s">
        <v>588</v>
      </c>
      <c r="C72" s="149">
        <v>0</v>
      </c>
      <c r="D72" s="180">
        <v>0</v>
      </c>
      <c r="E72" s="149">
        <v>127994.01999999979</v>
      </c>
      <c r="F72" s="181">
        <v>0</v>
      </c>
      <c r="G72" s="181">
        <f t="shared" si="6"/>
        <v>0</v>
      </c>
    </row>
    <row r="73" spans="1:7">
      <c r="A73" s="198" t="s">
        <v>95</v>
      </c>
      <c r="B73" s="172" t="s">
        <v>96</v>
      </c>
      <c r="C73" s="149">
        <v>0</v>
      </c>
      <c r="D73" s="180">
        <v>0</v>
      </c>
      <c r="E73" s="149">
        <v>297451.6100000001</v>
      </c>
      <c r="F73" s="181">
        <v>0</v>
      </c>
      <c r="G73" s="181">
        <f t="shared" ref="G73:G136" si="7">F73+D73</f>
        <v>0</v>
      </c>
    </row>
    <row r="74" spans="1:7">
      <c r="A74" s="198" t="s">
        <v>241</v>
      </c>
      <c r="B74" s="172" t="s">
        <v>242</v>
      </c>
      <c r="C74" s="149">
        <v>0</v>
      </c>
      <c r="D74" s="180">
        <v>0</v>
      </c>
      <c r="E74" s="149">
        <v>0</v>
      </c>
      <c r="F74" s="181">
        <v>0</v>
      </c>
      <c r="G74" s="181">
        <f t="shared" si="7"/>
        <v>0</v>
      </c>
    </row>
    <row r="75" spans="1:7">
      <c r="A75" s="198" t="s">
        <v>385</v>
      </c>
      <c r="B75" s="172" t="s">
        <v>386</v>
      </c>
      <c r="C75" s="149">
        <v>0</v>
      </c>
      <c r="D75" s="180">
        <v>0</v>
      </c>
      <c r="E75" s="149">
        <v>0</v>
      </c>
      <c r="F75" s="181">
        <v>0</v>
      </c>
      <c r="G75" s="181">
        <f t="shared" si="7"/>
        <v>0</v>
      </c>
    </row>
    <row r="76" spans="1:7">
      <c r="A76" s="198" t="s">
        <v>429</v>
      </c>
      <c r="B76" s="172" t="s">
        <v>430</v>
      </c>
      <c r="C76" s="149">
        <v>0</v>
      </c>
      <c r="D76" s="180">
        <v>0</v>
      </c>
      <c r="E76" s="149">
        <v>0</v>
      </c>
      <c r="F76" s="181">
        <v>0</v>
      </c>
      <c r="G76" s="181">
        <f t="shared" si="7"/>
        <v>0</v>
      </c>
    </row>
    <row r="77" spans="1:7">
      <c r="A77" s="198" t="s">
        <v>245</v>
      </c>
      <c r="B77" s="172" t="s">
        <v>246</v>
      </c>
      <c r="C77" s="149">
        <v>0</v>
      </c>
      <c r="D77" s="180">
        <v>0</v>
      </c>
      <c r="E77" s="149">
        <v>0</v>
      </c>
      <c r="F77" s="181">
        <v>0</v>
      </c>
      <c r="G77" s="181">
        <f t="shared" si="7"/>
        <v>0</v>
      </c>
    </row>
    <row r="78" spans="1:7">
      <c r="A78" s="198" t="s">
        <v>151</v>
      </c>
      <c r="B78" s="172" t="s">
        <v>152</v>
      </c>
      <c r="C78" s="149">
        <v>0</v>
      </c>
      <c r="D78" s="180">
        <v>0</v>
      </c>
      <c r="E78" s="149">
        <v>137585.95999999996</v>
      </c>
      <c r="F78" s="181">
        <v>0</v>
      </c>
      <c r="G78" s="181">
        <f t="shared" si="7"/>
        <v>0</v>
      </c>
    </row>
    <row r="79" spans="1:7">
      <c r="A79" s="198" t="s">
        <v>573</v>
      </c>
      <c r="B79" s="172" t="s">
        <v>574</v>
      </c>
      <c r="C79" s="149">
        <v>0</v>
      </c>
      <c r="D79" s="180">
        <v>0</v>
      </c>
      <c r="E79" s="149">
        <v>0</v>
      </c>
      <c r="F79" s="181">
        <v>0</v>
      </c>
      <c r="G79" s="181">
        <f t="shared" si="7"/>
        <v>0</v>
      </c>
    </row>
    <row r="80" spans="1:7">
      <c r="A80" s="198" t="s">
        <v>33</v>
      </c>
      <c r="B80" s="172" t="s">
        <v>34</v>
      </c>
      <c r="C80" s="149">
        <v>0</v>
      </c>
      <c r="D80" s="180">
        <v>0</v>
      </c>
      <c r="E80" s="149">
        <v>0</v>
      </c>
      <c r="F80" s="181">
        <v>0</v>
      </c>
      <c r="G80" s="181">
        <f t="shared" si="7"/>
        <v>0</v>
      </c>
    </row>
    <row r="81" spans="1:7">
      <c r="A81" s="198" t="s">
        <v>187</v>
      </c>
      <c r="B81" s="172" t="s">
        <v>188</v>
      </c>
      <c r="C81" s="149">
        <v>0</v>
      </c>
      <c r="D81" s="180">
        <v>0</v>
      </c>
      <c r="E81" s="149">
        <v>0</v>
      </c>
      <c r="F81" s="181">
        <v>0</v>
      </c>
      <c r="G81" s="181">
        <f t="shared" si="7"/>
        <v>0</v>
      </c>
    </row>
    <row r="82" spans="1:7">
      <c r="A82" s="198" t="s">
        <v>135</v>
      </c>
      <c r="B82" s="172" t="s">
        <v>136</v>
      </c>
      <c r="C82" s="149">
        <v>0</v>
      </c>
      <c r="D82" s="180">
        <v>0</v>
      </c>
      <c r="E82" s="149">
        <v>108691.7200000002</v>
      </c>
      <c r="F82" s="181">
        <v>0</v>
      </c>
      <c r="G82" s="181">
        <f t="shared" si="7"/>
        <v>0</v>
      </c>
    </row>
    <row r="83" spans="1:7">
      <c r="A83" s="198" t="s">
        <v>273</v>
      </c>
      <c r="B83" s="172" t="s">
        <v>274</v>
      </c>
      <c r="C83" s="149">
        <v>0</v>
      </c>
      <c r="D83" s="180">
        <v>0</v>
      </c>
      <c r="E83" s="149">
        <v>0</v>
      </c>
      <c r="F83" s="181">
        <v>0</v>
      </c>
      <c r="G83" s="181">
        <f t="shared" si="7"/>
        <v>0</v>
      </c>
    </row>
    <row r="84" spans="1:7">
      <c r="A84" s="198" t="s">
        <v>423</v>
      </c>
      <c r="B84" s="172" t="s">
        <v>424</v>
      </c>
      <c r="C84" s="149">
        <v>0</v>
      </c>
      <c r="D84" s="180">
        <v>0</v>
      </c>
      <c r="E84" s="149">
        <v>0</v>
      </c>
      <c r="F84" s="181">
        <v>0</v>
      </c>
      <c r="G84" s="181">
        <f t="shared" si="7"/>
        <v>0</v>
      </c>
    </row>
    <row r="85" spans="1:7">
      <c r="A85" s="198" t="s">
        <v>65</v>
      </c>
      <c r="B85" s="172" t="s">
        <v>66</v>
      </c>
      <c r="C85" s="149">
        <v>0</v>
      </c>
      <c r="D85" s="180">
        <v>0</v>
      </c>
      <c r="E85" s="149">
        <v>2430279.2999999989</v>
      </c>
      <c r="F85" s="181">
        <v>0</v>
      </c>
      <c r="G85" s="181">
        <f t="shared" si="7"/>
        <v>0</v>
      </c>
    </row>
    <row r="86" spans="1:7">
      <c r="A86" s="198" t="s">
        <v>497</v>
      </c>
      <c r="B86" s="172" t="s">
        <v>498</v>
      </c>
      <c r="C86" s="149">
        <v>0</v>
      </c>
      <c r="D86" s="180">
        <v>0</v>
      </c>
      <c r="E86" s="149">
        <v>0</v>
      </c>
      <c r="F86" s="181">
        <v>0</v>
      </c>
      <c r="G86" s="181">
        <f t="shared" si="7"/>
        <v>0</v>
      </c>
    </row>
    <row r="87" spans="1:7">
      <c r="A87" s="198" t="s">
        <v>185</v>
      </c>
      <c r="B87" s="172" t="s">
        <v>186</v>
      </c>
      <c r="C87" s="149">
        <v>0</v>
      </c>
      <c r="D87" s="180">
        <v>0</v>
      </c>
      <c r="E87" s="149">
        <v>1952627.8099999996</v>
      </c>
      <c r="F87" s="181">
        <v>0</v>
      </c>
      <c r="G87" s="181">
        <f t="shared" si="7"/>
        <v>0</v>
      </c>
    </row>
    <row r="88" spans="1:7">
      <c r="A88" s="198" t="s">
        <v>541</v>
      </c>
      <c r="B88" s="172" t="s">
        <v>542</v>
      </c>
      <c r="C88" s="149">
        <v>0</v>
      </c>
      <c r="D88" s="180">
        <v>0</v>
      </c>
      <c r="E88" s="149">
        <v>0</v>
      </c>
      <c r="F88" s="181">
        <v>0</v>
      </c>
      <c r="G88" s="181">
        <f t="shared" si="7"/>
        <v>0</v>
      </c>
    </row>
    <row r="89" spans="1:7">
      <c r="A89" s="198" t="s">
        <v>389</v>
      </c>
      <c r="B89" s="172" t="s">
        <v>390</v>
      </c>
      <c r="C89" s="149">
        <v>0</v>
      </c>
      <c r="D89" s="180">
        <v>0</v>
      </c>
      <c r="E89" s="149">
        <v>0</v>
      </c>
      <c r="F89" s="181">
        <v>0</v>
      </c>
      <c r="G89" s="181">
        <f t="shared" si="7"/>
        <v>0</v>
      </c>
    </row>
    <row r="90" spans="1:7">
      <c r="A90" s="198" t="s">
        <v>23</v>
      </c>
      <c r="B90" s="172" t="s">
        <v>24</v>
      </c>
      <c r="C90" s="149">
        <v>0</v>
      </c>
      <c r="D90" s="180">
        <v>0</v>
      </c>
      <c r="E90" s="149">
        <v>0</v>
      </c>
      <c r="F90" s="181">
        <v>0</v>
      </c>
      <c r="G90" s="181">
        <f t="shared" si="7"/>
        <v>0</v>
      </c>
    </row>
    <row r="91" spans="1:7">
      <c r="A91" s="198" t="s">
        <v>381</v>
      </c>
      <c r="B91" s="172" t="s">
        <v>382</v>
      </c>
      <c r="C91" s="149">
        <v>0</v>
      </c>
      <c r="D91" s="180">
        <v>0</v>
      </c>
      <c r="E91" s="149">
        <v>537148.58000000007</v>
      </c>
      <c r="F91" s="181">
        <v>0</v>
      </c>
      <c r="G91" s="181">
        <f t="shared" si="7"/>
        <v>0</v>
      </c>
    </row>
    <row r="92" spans="1:7">
      <c r="A92" s="198" t="s">
        <v>465</v>
      </c>
      <c r="B92" s="172" t="s">
        <v>466</v>
      </c>
      <c r="C92" s="149">
        <v>0</v>
      </c>
      <c r="D92" s="180">
        <v>0</v>
      </c>
      <c r="E92" s="149">
        <v>97412.150000000009</v>
      </c>
      <c r="F92" s="181">
        <v>0</v>
      </c>
      <c r="G92" s="181">
        <f t="shared" si="7"/>
        <v>0</v>
      </c>
    </row>
    <row r="93" spans="1:7">
      <c r="A93" s="198" t="s">
        <v>567</v>
      </c>
      <c r="B93" s="172" t="s">
        <v>568</v>
      </c>
      <c r="C93" s="149">
        <v>0</v>
      </c>
      <c r="D93" s="180">
        <v>0</v>
      </c>
      <c r="E93" s="149">
        <v>35187.359999999993</v>
      </c>
      <c r="F93" s="181">
        <v>0</v>
      </c>
      <c r="G93" s="181">
        <f t="shared" si="7"/>
        <v>0</v>
      </c>
    </row>
    <row r="94" spans="1:7">
      <c r="A94" s="198" t="s">
        <v>259</v>
      </c>
      <c r="B94" s="172" t="s">
        <v>260</v>
      </c>
      <c r="C94" s="149">
        <v>0</v>
      </c>
      <c r="D94" s="180">
        <v>0</v>
      </c>
      <c r="E94" s="149">
        <v>7155.8900000000012</v>
      </c>
      <c r="F94" s="181">
        <v>0</v>
      </c>
      <c r="G94" s="181">
        <f t="shared" si="7"/>
        <v>0</v>
      </c>
    </row>
    <row r="95" spans="1:7">
      <c r="A95" s="198" t="s">
        <v>265</v>
      </c>
      <c r="B95" s="172" t="s">
        <v>266</v>
      </c>
      <c r="C95" s="149">
        <v>0</v>
      </c>
      <c r="D95" s="180">
        <v>0</v>
      </c>
      <c r="E95" s="149">
        <v>0</v>
      </c>
      <c r="F95" s="181">
        <v>0</v>
      </c>
      <c r="G95" s="181">
        <f t="shared" si="7"/>
        <v>0</v>
      </c>
    </row>
    <row r="96" spans="1:7">
      <c r="A96" s="198" t="s">
        <v>139</v>
      </c>
      <c r="B96" s="172" t="s">
        <v>140</v>
      </c>
      <c r="C96" s="149">
        <v>0</v>
      </c>
      <c r="D96" s="180">
        <v>0</v>
      </c>
      <c r="E96" s="149">
        <v>30907.359999999986</v>
      </c>
      <c r="F96" s="181">
        <v>0</v>
      </c>
      <c r="G96" s="181">
        <f t="shared" si="7"/>
        <v>0</v>
      </c>
    </row>
    <row r="97" spans="1:7">
      <c r="A97" s="198" t="s">
        <v>593</v>
      </c>
      <c r="B97" s="172" t="s">
        <v>594</v>
      </c>
      <c r="C97" s="149">
        <v>0</v>
      </c>
      <c r="D97" s="180">
        <v>0</v>
      </c>
      <c r="E97" s="149">
        <v>75094.570000000298</v>
      </c>
      <c r="F97" s="181">
        <v>0</v>
      </c>
      <c r="G97" s="181">
        <f t="shared" si="7"/>
        <v>0</v>
      </c>
    </row>
    <row r="98" spans="1:7">
      <c r="A98" s="198" t="s">
        <v>601</v>
      </c>
      <c r="B98" s="172" t="s">
        <v>602</v>
      </c>
      <c r="C98" s="149">
        <v>0</v>
      </c>
      <c r="D98" s="180">
        <v>0</v>
      </c>
      <c r="E98" s="149">
        <v>14700.869999999879</v>
      </c>
      <c r="F98" s="181">
        <v>0</v>
      </c>
      <c r="G98" s="181">
        <f t="shared" si="7"/>
        <v>0</v>
      </c>
    </row>
    <row r="99" spans="1:7">
      <c r="A99" s="198" t="s">
        <v>447</v>
      </c>
      <c r="B99" s="172" t="s">
        <v>448</v>
      </c>
      <c r="C99" s="149">
        <v>0</v>
      </c>
      <c r="D99" s="180">
        <v>0</v>
      </c>
      <c r="E99" s="149">
        <v>0</v>
      </c>
      <c r="F99" s="181">
        <v>0</v>
      </c>
      <c r="G99" s="181">
        <f t="shared" si="7"/>
        <v>0</v>
      </c>
    </row>
    <row r="100" spans="1:7">
      <c r="A100" s="198" t="s">
        <v>315</v>
      </c>
      <c r="B100" s="172" t="s">
        <v>316</v>
      </c>
      <c r="C100" s="149">
        <v>0</v>
      </c>
      <c r="D100" s="180">
        <v>0</v>
      </c>
      <c r="E100" s="149">
        <v>0</v>
      </c>
      <c r="F100" s="181">
        <v>0</v>
      </c>
      <c r="G100" s="181">
        <f t="shared" si="7"/>
        <v>0</v>
      </c>
    </row>
    <row r="101" spans="1:7">
      <c r="A101" s="198" t="s">
        <v>455</v>
      </c>
      <c r="B101" s="172" t="s">
        <v>456</v>
      </c>
      <c r="C101" s="149">
        <v>0</v>
      </c>
      <c r="D101" s="180">
        <v>0</v>
      </c>
      <c r="E101" s="149">
        <v>0</v>
      </c>
      <c r="F101" s="181">
        <v>0</v>
      </c>
      <c r="G101" s="181">
        <f t="shared" si="7"/>
        <v>0</v>
      </c>
    </row>
    <row r="102" spans="1:7">
      <c r="A102" s="198" t="s">
        <v>1023</v>
      </c>
      <c r="B102" s="172" t="s">
        <v>1041</v>
      </c>
      <c r="C102" s="149">
        <v>0</v>
      </c>
      <c r="D102" s="180">
        <v>0</v>
      </c>
      <c r="E102" s="149">
        <v>0</v>
      </c>
      <c r="F102" s="181">
        <v>0</v>
      </c>
      <c r="G102" s="181">
        <f t="shared" si="7"/>
        <v>0</v>
      </c>
    </row>
    <row r="103" spans="1:7">
      <c r="A103" s="198" t="s">
        <v>61</v>
      </c>
      <c r="B103" s="172" t="s">
        <v>62</v>
      </c>
      <c r="C103" s="149">
        <v>0</v>
      </c>
      <c r="D103" s="180">
        <v>0</v>
      </c>
      <c r="E103" s="149">
        <v>9828.7799999999988</v>
      </c>
      <c r="F103" s="181">
        <v>0</v>
      </c>
      <c r="G103" s="181">
        <f t="shared" si="7"/>
        <v>0</v>
      </c>
    </row>
    <row r="104" spans="1:7">
      <c r="A104" s="198" t="s">
        <v>517</v>
      </c>
      <c r="B104" s="172" t="s">
        <v>518</v>
      </c>
      <c r="C104" s="149">
        <v>0</v>
      </c>
      <c r="D104" s="180">
        <v>0</v>
      </c>
      <c r="E104" s="149">
        <v>0</v>
      </c>
      <c r="F104" s="181">
        <v>0</v>
      </c>
      <c r="G104" s="181">
        <f t="shared" si="7"/>
        <v>0</v>
      </c>
    </row>
    <row r="105" spans="1:7">
      <c r="A105" s="198" t="s">
        <v>309</v>
      </c>
      <c r="B105" s="172" t="s">
        <v>310</v>
      </c>
      <c r="C105" s="149">
        <v>0</v>
      </c>
      <c r="D105" s="180">
        <v>0</v>
      </c>
      <c r="E105" s="149">
        <v>0</v>
      </c>
      <c r="F105" s="181">
        <v>0</v>
      </c>
      <c r="G105" s="181">
        <f t="shared" si="7"/>
        <v>0</v>
      </c>
    </row>
    <row r="106" spans="1:7">
      <c r="A106" s="198" t="s">
        <v>599</v>
      </c>
      <c r="B106" s="172" t="s">
        <v>600</v>
      </c>
      <c r="C106" s="149">
        <v>0</v>
      </c>
      <c r="D106" s="180">
        <v>0</v>
      </c>
      <c r="E106" s="149">
        <v>70459.29999999993</v>
      </c>
      <c r="F106" s="181">
        <v>0</v>
      </c>
      <c r="G106" s="181">
        <f t="shared" si="7"/>
        <v>0</v>
      </c>
    </row>
    <row r="107" spans="1:7">
      <c r="A107" s="198" t="s">
        <v>191</v>
      </c>
      <c r="B107" s="172" t="s">
        <v>192</v>
      </c>
      <c r="C107" s="149">
        <v>0</v>
      </c>
      <c r="D107" s="180">
        <v>0</v>
      </c>
      <c r="E107" s="149">
        <v>0</v>
      </c>
      <c r="F107" s="181">
        <v>0</v>
      </c>
      <c r="G107" s="181">
        <f t="shared" si="7"/>
        <v>0</v>
      </c>
    </row>
    <row r="108" spans="1:7">
      <c r="A108" s="198" t="s">
        <v>57</v>
      </c>
      <c r="B108" s="172" t="s">
        <v>58</v>
      </c>
      <c r="C108" s="149">
        <v>0</v>
      </c>
      <c r="D108" s="180">
        <v>0</v>
      </c>
      <c r="E108" s="149">
        <v>345228.48</v>
      </c>
      <c r="F108" s="181">
        <v>0</v>
      </c>
      <c r="G108" s="181">
        <f t="shared" si="7"/>
        <v>0</v>
      </c>
    </row>
    <row r="109" spans="1:7">
      <c r="A109" s="198" t="s">
        <v>325</v>
      </c>
      <c r="B109" s="172" t="s">
        <v>326</v>
      </c>
      <c r="C109" s="149">
        <v>0</v>
      </c>
      <c r="D109" s="180">
        <v>0</v>
      </c>
      <c r="E109" s="149">
        <v>0</v>
      </c>
      <c r="F109" s="181">
        <v>0</v>
      </c>
      <c r="G109" s="181">
        <f t="shared" si="7"/>
        <v>0</v>
      </c>
    </row>
    <row r="110" spans="1:7">
      <c r="A110" s="198" t="s">
        <v>143</v>
      </c>
      <c r="B110" s="172" t="s">
        <v>144</v>
      </c>
      <c r="C110" s="149">
        <v>0</v>
      </c>
      <c r="D110" s="180">
        <v>0</v>
      </c>
      <c r="E110" s="149">
        <v>19014.699999999953</v>
      </c>
      <c r="F110" s="181">
        <v>0</v>
      </c>
      <c r="G110" s="181">
        <f t="shared" si="7"/>
        <v>0</v>
      </c>
    </row>
    <row r="111" spans="1:7">
      <c r="A111" s="198" t="s">
        <v>1315</v>
      </c>
      <c r="B111" s="172" t="s">
        <v>1316</v>
      </c>
      <c r="C111" s="149">
        <v>0</v>
      </c>
      <c r="D111" s="180">
        <v>0</v>
      </c>
      <c r="E111" s="149">
        <v>0</v>
      </c>
      <c r="F111" s="181">
        <v>130000</v>
      </c>
      <c r="G111" s="181">
        <f t="shared" si="7"/>
        <v>130000</v>
      </c>
    </row>
    <row r="112" spans="1:7">
      <c r="A112" s="198" t="s">
        <v>1230</v>
      </c>
      <c r="B112" s="172" t="s">
        <v>1231</v>
      </c>
      <c r="C112" s="149">
        <v>0</v>
      </c>
      <c r="D112" s="180">
        <v>0</v>
      </c>
      <c r="E112" s="149">
        <v>0</v>
      </c>
      <c r="F112" s="181">
        <v>499000</v>
      </c>
      <c r="G112" s="181">
        <f t="shared" si="7"/>
        <v>499000</v>
      </c>
    </row>
    <row r="113" spans="1:7">
      <c r="A113" s="198" t="s">
        <v>1032</v>
      </c>
      <c r="B113" s="172" t="s">
        <v>1042</v>
      </c>
      <c r="C113" s="149">
        <v>0</v>
      </c>
      <c r="D113" s="180">
        <v>0</v>
      </c>
      <c r="E113" s="149">
        <v>0</v>
      </c>
      <c r="F113" s="181">
        <v>991000</v>
      </c>
      <c r="G113" s="181">
        <f t="shared" si="7"/>
        <v>991000</v>
      </c>
    </row>
    <row r="114" spans="1:7">
      <c r="A114" s="198" t="s">
        <v>107</v>
      </c>
      <c r="B114" s="172" t="s">
        <v>108</v>
      </c>
      <c r="C114" s="149">
        <v>0</v>
      </c>
      <c r="D114" s="180">
        <v>0</v>
      </c>
      <c r="E114" s="149">
        <v>0</v>
      </c>
      <c r="F114" s="181">
        <v>0</v>
      </c>
      <c r="G114" s="181">
        <f t="shared" si="7"/>
        <v>0</v>
      </c>
    </row>
    <row r="115" spans="1:7">
      <c r="A115" s="198" t="s">
        <v>435</v>
      </c>
      <c r="B115" s="172" t="s">
        <v>436</v>
      </c>
      <c r="C115" s="149">
        <v>0</v>
      </c>
      <c r="D115" s="180">
        <v>0</v>
      </c>
      <c r="E115" s="149">
        <v>0</v>
      </c>
      <c r="F115" s="181">
        <v>0</v>
      </c>
      <c r="G115" s="181">
        <f t="shared" si="7"/>
        <v>0</v>
      </c>
    </row>
    <row r="116" spans="1:7">
      <c r="A116" s="198" t="s">
        <v>211</v>
      </c>
      <c r="B116" s="172" t="s">
        <v>212</v>
      </c>
      <c r="C116" s="149">
        <v>0</v>
      </c>
      <c r="D116" s="180">
        <v>0</v>
      </c>
      <c r="E116" s="149">
        <v>0</v>
      </c>
      <c r="F116" s="181">
        <v>0</v>
      </c>
      <c r="G116" s="181">
        <f t="shared" si="7"/>
        <v>0</v>
      </c>
    </row>
    <row r="117" spans="1:7">
      <c r="A117" s="198" t="s">
        <v>117</v>
      </c>
      <c r="B117" s="172" t="s">
        <v>118</v>
      </c>
      <c r="C117" s="149">
        <v>0</v>
      </c>
      <c r="D117" s="180">
        <v>0</v>
      </c>
      <c r="E117" s="149">
        <v>0</v>
      </c>
      <c r="F117" s="181">
        <v>0</v>
      </c>
      <c r="G117" s="181">
        <f t="shared" si="7"/>
        <v>0</v>
      </c>
    </row>
    <row r="118" spans="1:7">
      <c r="A118" s="198" t="s">
        <v>83</v>
      </c>
      <c r="B118" s="172" t="s">
        <v>84</v>
      </c>
      <c r="C118" s="149">
        <v>0</v>
      </c>
      <c r="D118" s="180">
        <v>0</v>
      </c>
      <c r="E118" s="149">
        <v>0</v>
      </c>
      <c r="F118" s="181">
        <v>0</v>
      </c>
      <c r="G118" s="181">
        <f t="shared" si="7"/>
        <v>0</v>
      </c>
    </row>
    <row r="119" spans="1:7">
      <c r="A119" s="198" t="s">
        <v>101</v>
      </c>
      <c r="B119" s="172" t="s">
        <v>102</v>
      </c>
      <c r="C119" s="149">
        <v>0</v>
      </c>
      <c r="D119" s="180">
        <v>0</v>
      </c>
      <c r="E119" s="149">
        <v>969.91000000000349</v>
      </c>
      <c r="F119" s="181">
        <v>0</v>
      </c>
      <c r="G119" s="181">
        <f t="shared" si="7"/>
        <v>0</v>
      </c>
    </row>
    <row r="120" spans="1:7">
      <c r="A120" s="198" t="s">
        <v>87</v>
      </c>
      <c r="B120" s="172" t="s">
        <v>88</v>
      </c>
      <c r="C120" s="149">
        <v>0</v>
      </c>
      <c r="D120" s="180">
        <v>0</v>
      </c>
      <c r="E120" s="149">
        <v>369281.19999999972</v>
      </c>
      <c r="F120" s="181">
        <v>0</v>
      </c>
      <c r="G120" s="181">
        <f t="shared" si="7"/>
        <v>0</v>
      </c>
    </row>
    <row r="121" spans="1:7">
      <c r="A121" s="198" t="s">
        <v>17</v>
      </c>
      <c r="B121" s="172" t="s">
        <v>18</v>
      </c>
      <c r="C121" s="149">
        <v>0</v>
      </c>
      <c r="D121" s="180">
        <v>0</v>
      </c>
      <c r="E121" s="149">
        <v>1012702.3800000008</v>
      </c>
      <c r="F121" s="181">
        <v>0</v>
      </c>
      <c r="G121" s="181">
        <f t="shared" si="7"/>
        <v>0</v>
      </c>
    </row>
    <row r="122" spans="1:7">
      <c r="A122" s="198" t="s">
        <v>217</v>
      </c>
      <c r="B122" s="172" t="s">
        <v>218</v>
      </c>
      <c r="C122" s="149">
        <v>0</v>
      </c>
      <c r="D122" s="180">
        <v>0</v>
      </c>
      <c r="E122" s="149">
        <v>0</v>
      </c>
      <c r="F122" s="181">
        <v>0</v>
      </c>
      <c r="G122" s="181">
        <f t="shared" si="7"/>
        <v>0</v>
      </c>
    </row>
    <row r="123" spans="1:7">
      <c r="A123" s="198" t="s">
        <v>505</v>
      </c>
      <c r="B123" s="172" t="s">
        <v>506</v>
      </c>
      <c r="C123" s="149">
        <v>0</v>
      </c>
      <c r="D123" s="180">
        <v>0</v>
      </c>
      <c r="E123" s="149">
        <v>0</v>
      </c>
      <c r="F123" s="181">
        <v>0</v>
      </c>
      <c r="G123" s="181">
        <f t="shared" si="7"/>
        <v>0</v>
      </c>
    </row>
    <row r="124" spans="1:7">
      <c r="A124" s="198" t="s">
        <v>21</v>
      </c>
      <c r="B124" s="172" t="s">
        <v>22</v>
      </c>
      <c r="C124" s="149">
        <v>0</v>
      </c>
      <c r="D124" s="180">
        <v>0</v>
      </c>
      <c r="E124" s="149">
        <v>19828.979999999981</v>
      </c>
      <c r="F124" s="181">
        <v>0</v>
      </c>
      <c r="G124" s="181">
        <f t="shared" si="7"/>
        <v>0</v>
      </c>
    </row>
    <row r="125" spans="1:7">
      <c r="A125" s="198" t="s">
        <v>247</v>
      </c>
      <c r="B125" s="172" t="s">
        <v>248</v>
      </c>
      <c r="C125" s="149">
        <v>0</v>
      </c>
      <c r="D125" s="180">
        <v>0</v>
      </c>
      <c r="E125" s="149">
        <v>0</v>
      </c>
      <c r="F125" s="181">
        <v>0</v>
      </c>
      <c r="G125" s="181">
        <f t="shared" si="7"/>
        <v>0</v>
      </c>
    </row>
    <row r="126" spans="1:7">
      <c r="A126" s="198" t="s">
        <v>261</v>
      </c>
      <c r="B126" s="172" t="s">
        <v>262</v>
      </c>
      <c r="C126" s="149">
        <v>0</v>
      </c>
      <c r="D126" s="180">
        <v>0</v>
      </c>
      <c r="E126" s="149">
        <v>10234.790000000001</v>
      </c>
      <c r="F126" s="181">
        <v>0</v>
      </c>
      <c r="G126" s="181">
        <f t="shared" si="7"/>
        <v>0</v>
      </c>
    </row>
    <row r="127" spans="1:7">
      <c r="A127" s="198" t="s">
        <v>59</v>
      </c>
      <c r="B127" s="172" t="s">
        <v>60</v>
      </c>
      <c r="C127" s="149">
        <v>0</v>
      </c>
      <c r="D127" s="180">
        <v>0</v>
      </c>
      <c r="E127" s="149">
        <v>207757.67</v>
      </c>
      <c r="F127" s="181">
        <v>0</v>
      </c>
      <c r="G127" s="181">
        <f t="shared" si="7"/>
        <v>0</v>
      </c>
    </row>
    <row r="128" spans="1:7">
      <c r="A128" s="198" t="s">
        <v>409</v>
      </c>
      <c r="B128" s="172" t="s">
        <v>410</v>
      </c>
      <c r="C128" s="149">
        <v>0</v>
      </c>
      <c r="D128" s="180">
        <v>0</v>
      </c>
      <c r="E128" s="149">
        <v>0</v>
      </c>
      <c r="F128" s="181">
        <v>0</v>
      </c>
      <c r="G128" s="181">
        <f t="shared" si="7"/>
        <v>0</v>
      </c>
    </row>
    <row r="129" spans="1:7">
      <c r="A129" s="198" t="s">
        <v>555</v>
      </c>
      <c r="B129" s="172" t="s">
        <v>556</v>
      </c>
      <c r="C129" s="149">
        <v>0</v>
      </c>
      <c r="D129" s="180">
        <v>0</v>
      </c>
      <c r="E129" s="149">
        <v>0</v>
      </c>
      <c r="F129" s="181">
        <v>0</v>
      </c>
      <c r="G129" s="181">
        <f t="shared" si="7"/>
        <v>0</v>
      </c>
    </row>
    <row r="130" spans="1:7">
      <c r="A130" s="198" t="s">
        <v>35</v>
      </c>
      <c r="B130" s="172" t="s">
        <v>36</v>
      </c>
      <c r="C130" s="149">
        <v>0</v>
      </c>
      <c r="D130" s="180">
        <v>0</v>
      </c>
      <c r="E130" s="149">
        <v>0</v>
      </c>
      <c r="F130" s="181">
        <v>0</v>
      </c>
      <c r="G130" s="181">
        <f t="shared" si="7"/>
        <v>0</v>
      </c>
    </row>
    <row r="131" spans="1:7">
      <c r="A131" s="198" t="s">
        <v>155</v>
      </c>
      <c r="B131" s="172" t="s">
        <v>156</v>
      </c>
      <c r="C131" s="149">
        <v>0</v>
      </c>
      <c r="D131" s="180">
        <v>0</v>
      </c>
      <c r="E131" s="149">
        <v>23497.71</v>
      </c>
      <c r="F131" s="181">
        <v>0</v>
      </c>
      <c r="G131" s="181">
        <f t="shared" si="7"/>
        <v>0</v>
      </c>
    </row>
    <row r="132" spans="1:7">
      <c r="A132" s="198" t="s">
        <v>425</v>
      </c>
      <c r="B132" s="172" t="s">
        <v>426</v>
      </c>
      <c r="C132" s="149">
        <v>0</v>
      </c>
      <c r="D132" s="180">
        <v>0</v>
      </c>
      <c r="E132" s="149">
        <v>667764.75</v>
      </c>
      <c r="F132" s="181">
        <v>0</v>
      </c>
      <c r="G132" s="181">
        <f t="shared" si="7"/>
        <v>0</v>
      </c>
    </row>
    <row r="133" spans="1:7">
      <c r="A133" s="198" t="s">
        <v>215</v>
      </c>
      <c r="B133" s="172" t="s">
        <v>216</v>
      </c>
      <c r="C133" s="149">
        <v>0</v>
      </c>
      <c r="D133" s="180">
        <v>0</v>
      </c>
      <c r="E133" s="149">
        <v>0</v>
      </c>
      <c r="F133" s="181">
        <v>0</v>
      </c>
      <c r="G133" s="181">
        <f t="shared" si="7"/>
        <v>0</v>
      </c>
    </row>
    <row r="134" spans="1:7">
      <c r="A134" s="198" t="s">
        <v>441</v>
      </c>
      <c r="B134" s="172" t="s">
        <v>442</v>
      </c>
      <c r="C134" s="149">
        <v>0</v>
      </c>
      <c r="D134" s="180">
        <v>0</v>
      </c>
      <c r="E134" s="149">
        <v>0</v>
      </c>
      <c r="F134" s="181">
        <v>0</v>
      </c>
      <c r="G134" s="181">
        <f t="shared" si="7"/>
        <v>0</v>
      </c>
    </row>
    <row r="135" spans="1:7">
      <c r="A135" s="198" t="s">
        <v>557</v>
      </c>
      <c r="B135" s="172" t="s">
        <v>558</v>
      </c>
      <c r="C135" s="149">
        <v>0</v>
      </c>
      <c r="D135" s="180">
        <v>0</v>
      </c>
      <c r="E135" s="149">
        <v>12104.9</v>
      </c>
      <c r="F135" s="181">
        <v>0</v>
      </c>
      <c r="G135" s="181">
        <f t="shared" si="7"/>
        <v>0</v>
      </c>
    </row>
    <row r="136" spans="1:7">
      <c r="A136" s="198" t="s">
        <v>471</v>
      </c>
      <c r="B136" s="172" t="s">
        <v>472</v>
      </c>
      <c r="C136" s="149">
        <v>0</v>
      </c>
      <c r="D136" s="180">
        <v>0</v>
      </c>
      <c r="E136" s="149">
        <v>0</v>
      </c>
      <c r="F136" s="181">
        <v>0</v>
      </c>
      <c r="G136" s="181">
        <f t="shared" si="7"/>
        <v>0</v>
      </c>
    </row>
    <row r="137" spans="1:7">
      <c r="A137" s="198" t="s">
        <v>9</v>
      </c>
      <c r="B137" s="172" t="s">
        <v>10</v>
      </c>
      <c r="C137" s="149">
        <v>0</v>
      </c>
      <c r="D137" s="180">
        <v>0</v>
      </c>
      <c r="E137" s="149">
        <v>0</v>
      </c>
      <c r="F137" s="181">
        <v>0</v>
      </c>
      <c r="G137" s="181">
        <f t="shared" ref="G137:G200" si="8">F137+D137</f>
        <v>0</v>
      </c>
    </row>
    <row r="138" spans="1:7">
      <c r="A138" s="198" t="s">
        <v>77</v>
      </c>
      <c r="B138" s="172" t="s">
        <v>78</v>
      </c>
      <c r="C138" s="149">
        <v>0</v>
      </c>
      <c r="D138" s="180">
        <v>0</v>
      </c>
      <c r="E138" s="149">
        <v>563843.61</v>
      </c>
      <c r="F138" s="181">
        <v>0</v>
      </c>
      <c r="G138" s="181">
        <f t="shared" si="8"/>
        <v>0</v>
      </c>
    </row>
    <row r="139" spans="1:7">
      <c r="A139" s="198" t="s">
        <v>493</v>
      </c>
      <c r="B139" s="172" t="s">
        <v>494</v>
      </c>
      <c r="C139" s="149">
        <v>0</v>
      </c>
      <c r="D139" s="180">
        <v>0</v>
      </c>
      <c r="E139" s="149">
        <v>0</v>
      </c>
      <c r="F139" s="181">
        <v>0</v>
      </c>
      <c r="G139" s="181">
        <f t="shared" si="8"/>
        <v>0</v>
      </c>
    </row>
    <row r="140" spans="1:7">
      <c r="A140" s="198" t="s">
        <v>397</v>
      </c>
      <c r="B140" s="172" t="s">
        <v>398</v>
      </c>
      <c r="C140" s="149">
        <v>0</v>
      </c>
      <c r="D140" s="180">
        <v>0</v>
      </c>
      <c r="E140" s="149">
        <v>0</v>
      </c>
      <c r="F140" s="181">
        <v>0</v>
      </c>
      <c r="G140" s="181">
        <f t="shared" si="8"/>
        <v>0</v>
      </c>
    </row>
    <row r="141" spans="1:7">
      <c r="A141" s="198" t="s">
        <v>1232</v>
      </c>
      <c r="B141" s="172" t="s">
        <v>1233</v>
      </c>
      <c r="C141" s="149">
        <v>0</v>
      </c>
      <c r="D141" s="180">
        <v>0</v>
      </c>
      <c r="E141" s="149">
        <v>0</v>
      </c>
      <c r="F141" s="181">
        <v>0</v>
      </c>
      <c r="G141" s="181">
        <f t="shared" si="8"/>
        <v>0</v>
      </c>
    </row>
    <row r="142" spans="1:7">
      <c r="A142" s="198" t="s">
        <v>553</v>
      </c>
      <c r="B142" s="172" t="s">
        <v>554</v>
      </c>
      <c r="C142" s="149">
        <v>0</v>
      </c>
      <c r="D142" s="180">
        <v>0</v>
      </c>
      <c r="E142" s="149">
        <v>0</v>
      </c>
      <c r="F142" s="181">
        <v>0</v>
      </c>
      <c r="G142" s="181">
        <f t="shared" si="8"/>
        <v>0</v>
      </c>
    </row>
    <row r="143" spans="1:7">
      <c r="A143" s="198" t="s">
        <v>269</v>
      </c>
      <c r="B143" s="172" t="s">
        <v>270</v>
      </c>
      <c r="C143" s="149">
        <v>0</v>
      </c>
      <c r="D143" s="180">
        <v>0</v>
      </c>
      <c r="E143" s="149">
        <v>0</v>
      </c>
      <c r="F143" s="181">
        <v>0</v>
      </c>
      <c r="G143" s="181">
        <f t="shared" si="8"/>
        <v>0</v>
      </c>
    </row>
    <row r="144" spans="1:7">
      <c r="A144" s="198" t="s">
        <v>545</v>
      </c>
      <c r="B144" s="172" t="s">
        <v>546</v>
      </c>
      <c r="C144" s="149">
        <v>0</v>
      </c>
      <c r="D144" s="180">
        <v>0</v>
      </c>
      <c r="E144" s="149">
        <v>283190.58</v>
      </c>
      <c r="F144" s="181">
        <v>0</v>
      </c>
      <c r="G144" s="181">
        <f t="shared" si="8"/>
        <v>0</v>
      </c>
    </row>
    <row r="145" spans="1:7">
      <c r="A145" s="198" t="s">
        <v>591</v>
      </c>
      <c r="B145" s="172" t="s">
        <v>592</v>
      </c>
      <c r="C145" s="149">
        <v>0</v>
      </c>
      <c r="D145" s="180">
        <v>0</v>
      </c>
      <c r="E145" s="149">
        <v>22753.369999999879</v>
      </c>
      <c r="F145" s="181">
        <v>0</v>
      </c>
      <c r="G145" s="181">
        <f t="shared" si="8"/>
        <v>0</v>
      </c>
    </row>
    <row r="146" spans="1:7">
      <c r="A146" s="198" t="s">
        <v>97</v>
      </c>
      <c r="B146" s="172" t="s">
        <v>98</v>
      </c>
      <c r="C146" s="149">
        <v>0</v>
      </c>
      <c r="D146" s="180">
        <v>0</v>
      </c>
      <c r="E146" s="149">
        <v>9964.11</v>
      </c>
      <c r="F146" s="181">
        <v>0</v>
      </c>
      <c r="G146" s="181">
        <f t="shared" si="8"/>
        <v>0</v>
      </c>
    </row>
    <row r="147" spans="1:7">
      <c r="A147" s="198" t="s">
        <v>29</v>
      </c>
      <c r="B147" s="172" t="s">
        <v>30</v>
      </c>
      <c r="C147" s="149">
        <v>0</v>
      </c>
      <c r="D147" s="180">
        <v>0</v>
      </c>
      <c r="E147" s="149">
        <v>0</v>
      </c>
      <c r="F147" s="181">
        <v>0</v>
      </c>
      <c r="G147" s="181">
        <f t="shared" si="8"/>
        <v>0</v>
      </c>
    </row>
    <row r="148" spans="1:7">
      <c r="A148" s="198" t="s">
        <v>319</v>
      </c>
      <c r="B148" s="172" t="s">
        <v>320</v>
      </c>
      <c r="C148" s="149">
        <v>0</v>
      </c>
      <c r="D148" s="180">
        <v>0</v>
      </c>
      <c r="E148" s="149">
        <v>0</v>
      </c>
      <c r="F148" s="181">
        <v>0</v>
      </c>
      <c r="G148" s="181">
        <f t="shared" si="8"/>
        <v>0</v>
      </c>
    </row>
    <row r="149" spans="1:7">
      <c r="A149" s="198" t="s">
        <v>501</v>
      </c>
      <c r="B149" s="172" t="s">
        <v>502</v>
      </c>
      <c r="C149" s="149">
        <v>0</v>
      </c>
      <c r="D149" s="180">
        <v>0</v>
      </c>
      <c r="E149" s="149">
        <v>39924.789999999979</v>
      </c>
      <c r="F149" s="181">
        <v>0</v>
      </c>
      <c r="G149" s="181">
        <f t="shared" si="8"/>
        <v>0</v>
      </c>
    </row>
    <row r="150" spans="1:7">
      <c r="A150" s="198" t="s">
        <v>433</v>
      </c>
      <c r="B150" s="172" t="s">
        <v>434</v>
      </c>
      <c r="C150" s="149">
        <v>0</v>
      </c>
      <c r="D150" s="180">
        <v>0</v>
      </c>
      <c r="E150" s="149">
        <v>569973.31000000006</v>
      </c>
      <c r="F150" s="181">
        <v>0</v>
      </c>
      <c r="G150" s="181">
        <f t="shared" si="8"/>
        <v>0</v>
      </c>
    </row>
    <row r="151" spans="1:7">
      <c r="A151" s="198" t="s">
        <v>147</v>
      </c>
      <c r="B151" s="172" t="s">
        <v>148</v>
      </c>
      <c r="C151" s="149">
        <v>0</v>
      </c>
      <c r="D151" s="180">
        <v>0</v>
      </c>
      <c r="E151" s="149">
        <v>27963.800000000003</v>
      </c>
      <c r="F151" s="181">
        <v>0</v>
      </c>
      <c r="G151" s="181">
        <f t="shared" si="8"/>
        <v>0</v>
      </c>
    </row>
    <row r="152" spans="1:7">
      <c r="A152" s="198" t="s">
        <v>461</v>
      </c>
      <c r="B152" s="172" t="s">
        <v>462</v>
      </c>
      <c r="C152" s="149">
        <v>0</v>
      </c>
      <c r="D152" s="180">
        <v>0</v>
      </c>
      <c r="E152" s="149">
        <v>665802.36999999918</v>
      </c>
      <c r="F152" s="181">
        <v>0</v>
      </c>
      <c r="G152" s="181">
        <f t="shared" si="8"/>
        <v>0</v>
      </c>
    </row>
    <row r="153" spans="1:7">
      <c r="A153" s="198" t="s">
        <v>459</v>
      </c>
      <c r="B153" s="172" t="s">
        <v>460</v>
      </c>
      <c r="C153" s="149">
        <v>0</v>
      </c>
      <c r="D153" s="180">
        <v>0</v>
      </c>
      <c r="E153" s="149">
        <v>173246.99</v>
      </c>
      <c r="F153" s="181">
        <v>0</v>
      </c>
      <c r="G153" s="181">
        <f t="shared" si="8"/>
        <v>0</v>
      </c>
    </row>
    <row r="154" spans="1:7">
      <c r="A154" s="198" t="s">
        <v>189</v>
      </c>
      <c r="B154" s="172" t="s">
        <v>190</v>
      </c>
      <c r="C154" s="149">
        <v>0</v>
      </c>
      <c r="D154" s="180">
        <v>0</v>
      </c>
      <c r="E154" s="149">
        <v>0</v>
      </c>
      <c r="F154" s="181">
        <v>0</v>
      </c>
      <c r="G154" s="181">
        <f t="shared" si="8"/>
        <v>0</v>
      </c>
    </row>
    <row r="155" spans="1:7">
      <c r="A155" s="198" t="s">
        <v>547</v>
      </c>
      <c r="B155" s="172" t="s">
        <v>548</v>
      </c>
      <c r="C155" s="149">
        <v>0</v>
      </c>
      <c r="D155" s="180">
        <v>0</v>
      </c>
      <c r="E155" s="149">
        <v>0</v>
      </c>
      <c r="F155" s="181">
        <v>0</v>
      </c>
      <c r="G155" s="181">
        <f t="shared" si="8"/>
        <v>0</v>
      </c>
    </row>
    <row r="156" spans="1:7">
      <c r="A156" s="198" t="s">
        <v>337</v>
      </c>
      <c r="B156" s="172" t="s">
        <v>338</v>
      </c>
      <c r="C156" s="149">
        <v>0</v>
      </c>
      <c r="D156" s="180">
        <v>0</v>
      </c>
      <c r="E156" s="149">
        <v>0</v>
      </c>
      <c r="F156" s="181">
        <v>0</v>
      </c>
      <c r="G156" s="181">
        <f t="shared" si="8"/>
        <v>0</v>
      </c>
    </row>
    <row r="157" spans="1:7">
      <c r="A157" s="198" t="s">
        <v>419</v>
      </c>
      <c r="B157" s="172" t="s">
        <v>420</v>
      </c>
      <c r="C157" s="149">
        <v>0</v>
      </c>
      <c r="D157" s="180">
        <v>0</v>
      </c>
      <c r="E157" s="149">
        <v>0</v>
      </c>
      <c r="F157" s="181">
        <v>0</v>
      </c>
      <c r="G157" s="181">
        <f t="shared" si="8"/>
        <v>0</v>
      </c>
    </row>
    <row r="158" spans="1:7">
      <c r="A158" s="198" t="s">
        <v>437</v>
      </c>
      <c r="B158" s="172" t="s">
        <v>438</v>
      </c>
      <c r="C158" s="149">
        <v>0</v>
      </c>
      <c r="D158" s="180">
        <v>0</v>
      </c>
      <c r="E158" s="149">
        <v>0</v>
      </c>
      <c r="F158" s="181">
        <v>0</v>
      </c>
      <c r="G158" s="181">
        <f t="shared" si="8"/>
        <v>0</v>
      </c>
    </row>
    <row r="159" spans="1:7">
      <c r="A159" s="198" t="s">
        <v>149</v>
      </c>
      <c r="B159" s="172" t="s">
        <v>150</v>
      </c>
      <c r="C159" s="149">
        <v>0</v>
      </c>
      <c r="D159" s="180">
        <v>0</v>
      </c>
      <c r="E159" s="149">
        <v>93889.349999999977</v>
      </c>
      <c r="F159" s="181">
        <v>0</v>
      </c>
      <c r="G159" s="181">
        <f t="shared" si="8"/>
        <v>0</v>
      </c>
    </row>
    <row r="160" spans="1:7">
      <c r="A160" s="198" t="s">
        <v>277</v>
      </c>
      <c r="B160" s="172" t="s">
        <v>278</v>
      </c>
      <c r="C160" s="149">
        <v>0</v>
      </c>
      <c r="D160" s="180">
        <v>0</v>
      </c>
      <c r="E160" s="149">
        <v>0</v>
      </c>
      <c r="F160" s="181">
        <v>0</v>
      </c>
      <c r="G160" s="181">
        <f t="shared" si="8"/>
        <v>0</v>
      </c>
    </row>
    <row r="161" spans="1:7">
      <c r="A161" s="198" t="s">
        <v>133</v>
      </c>
      <c r="B161" s="172" t="s">
        <v>134</v>
      </c>
      <c r="C161" s="149">
        <v>0</v>
      </c>
      <c r="D161" s="180">
        <v>0</v>
      </c>
      <c r="E161" s="149">
        <v>1069630.79</v>
      </c>
      <c r="F161" s="181">
        <v>0</v>
      </c>
      <c r="G161" s="181">
        <f t="shared" si="8"/>
        <v>0</v>
      </c>
    </row>
    <row r="162" spans="1:7">
      <c r="A162" s="198" t="s">
        <v>275</v>
      </c>
      <c r="B162" s="172" t="s">
        <v>276</v>
      </c>
      <c r="C162" s="149">
        <v>0</v>
      </c>
      <c r="D162" s="180">
        <v>0</v>
      </c>
      <c r="E162" s="149">
        <v>0</v>
      </c>
      <c r="F162" s="181">
        <v>0</v>
      </c>
      <c r="G162" s="181">
        <f t="shared" si="8"/>
        <v>0</v>
      </c>
    </row>
    <row r="163" spans="1:7">
      <c r="A163" s="198" t="s">
        <v>609</v>
      </c>
      <c r="B163" s="172" t="s">
        <v>610</v>
      </c>
      <c r="C163" s="149">
        <v>0</v>
      </c>
      <c r="D163" s="180">
        <v>0</v>
      </c>
      <c r="E163" s="149">
        <v>11803.100000000093</v>
      </c>
      <c r="F163" s="181">
        <v>0</v>
      </c>
      <c r="G163" s="181">
        <f t="shared" si="8"/>
        <v>0</v>
      </c>
    </row>
    <row r="164" spans="1:7">
      <c r="A164" s="198" t="s">
        <v>551</v>
      </c>
      <c r="B164" s="172" t="s">
        <v>552</v>
      </c>
      <c r="C164" s="149">
        <v>0</v>
      </c>
      <c r="D164" s="180">
        <v>0</v>
      </c>
      <c r="E164" s="149">
        <v>0</v>
      </c>
      <c r="F164" s="181">
        <v>0</v>
      </c>
      <c r="G164" s="181">
        <f t="shared" si="8"/>
        <v>0</v>
      </c>
    </row>
    <row r="165" spans="1:7">
      <c r="A165" s="198" t="s">
        <v>417</v>
      </c>
      <c r="B165" s="172" t="s">
        <v>418</v>
      </c>
      <c r="C165" s="149">
        <v>0</v>
      </c>
      <c r="D165" s="180">
        <v>0</v>
      </c>
      <c r="E165" s="149">
        <v>13787.359999999997</v>
      </c>
      <c r="F165" s="181">
        <v>0</v>
      </c>
      <c r="G165" s="181">
        <f t="shared" si="8"/>
        <v>0</v>
      </c>
    </row>
    <row r="166" spans="1:7">
      <c r="A166" s="198" t="s">
        <v>413</v>
      </c>
      <c r="B166" s="172" t="s">
        <v>414</v>
      </c>
      <c r="C166" s="149">
        <v>0</v>
      </c>
      <c r="D166" s="180">
        <v>0</v>
      </c>
      <c r="E166" s="149">
        <v>476247.37999999989</v>
      </c>
      <c r="F166" s="181">
        <v>0</v>
      </c>
      <c r="G166" s="181">
        <f t="shared" si="8"/>
        <v>0</v>
      </c>
    </row>
    <row r="167" spans="1:7">
      <c r="A167" s="198" t="s">
        <v>223</v>
      </c>
      <c r="B167" s="172" t="s">
        <v>224</v>
      </c>
      <c r="C167" s="149">
        <v>0</v>
      </c>
      <c r="D167" s="180">
        <v>0</v>
      </c>
      <c r="E167" s="149">
        <v>0</v>
      </c>
      <c r="F167" s="181">
        <v>0</v>
      </c>
      <c r="G167" s="181">
        <f t="shared" si="8"/>
        <v>0</v>
      </c>
    </row>
    <row r="168" spans="1:7">
      <c r="A168" s="198" t="s">
        <v>427</v>
      </c>
      <c r="B168" s="172" t="s">
        <v>428</v>
      </c>
      <c r="C168" s="149">
        <v>0</v>
      </c>
      <c r="D168" s="180">
        <v>0</v>
      </c>
      <c r="E168" s="149">
        <v>0</v>
      </c>
      <c r="F168" s="181">
        <v>0</v>
      </c>
      <c r="G168" s="181">
        <f t="shared" si="8"/>
        <v>0</v>
      </c>
    </row>
    <row r="169" spans="1:7">
      <c r="A169" s="198" t="s">
        <v>583</v>
      </c>
      <c r="B169" s="172" t="s">
        <v>584</v>
      </c>
      <c r="C169" s="149">
        <v>0</v>
      </c>
      <c r="D169" s="180">
        <v>0</v>
      </c>
      <c r="E169" s="149">
        <v>82182.790000000037</v>
      </c>
      <c r="F169" s="181">
        <v>0</v>
      </c>
      <c r="G169" s="181">
        <f t="shared" si="8"/>
        <v>0</v>
      </c>
    </row>
    <row r="170" spans="1:7">
      <c r="A170" s="198" t="s">
        <v>271</v>
      </c>
      <c r="B170" s="172" t="s">
        <v>272</v>
      </c>
      <c r="C170" s="149">
        <v>0</v>
      </c>
      <c r="D170" s="180">
        <v>0</v>
      </c>
      <c r="E170" s="149">
        <v>58537.329999999987</v>
      </c>
      <c r="F170" s="181">
        <v>0</v>
      </c>
      <c r="G170" s="181">
        <f t="shared" si="8"/>
        <v>0</v>
      </c>
    </row>
    <row r="171" spans="1:7">
      <c r="A171" s="198" t="s">
        <v>349</v>
      </c>
      <c r="B171" s="172" t="s">
        <v>350</v>
      </c>
      <c r="C171" s="149">
        <v>0</v>
      </c>
      <c r="D171" s="180">
        <v>0</v>
      </c>
      <c r="E171" s="149">
        <v>24607.63</v>
      </c>
      <c r="F171" s="181">
        <v>0</v>
      </c>
      <c r="G171" s="181">
        <f t="shared" si="8"/>
        <v>0</v>
      </c>
    </row>
    <row r="172" spans="1:7">
      <c r="A172" s="198" t="s">
        <v>327</v>
      </c>
      <c r="B172" s="172" t="s">
        <v>328</v>
      </c>
      <c r="C172" s="149">
        <v>0</v>
      </c>
      <c r="D172" s="180">
        <v>0</v>
      </c>
      <c r="E172" s="149">
        <v>0</v>
      </c>
      <c r="F172" s="181">
        <v>0</v>
      </c>
      <c r="G172" s="181">
        <f t="shared" si="8"/>
        <v>0</v>
      </c>
    </row>
    <row r="173" spans="1:7">
      <c r="A173" s="198" t="s">
        <v>355</v>
      </c>
      <c r="B173" s="172" t="s">
        <v>356</v>
      </c>
      <c r="C173" s="149">
        <v>0</v>
      </c>
      <c r="D173" s="180">
        <v>0</v>
      </c>
      <c r="E173" s="149">
        <v>108720.66</v>
      </c>
      <c r="F173" s="181">
        <v>0</v>
      </c>
      <c r="G173" s="181">
        <f t="shared" si="8"/>
        <v>0</v>
      </c>
    </row>
    <row r="174" spans="1:7">
      <c r="A174" s="198" t="s">
        <v>457</v>
      </c>
      <c r="B174" s="172" t="s">
        <v>458</v>
      </c>
      <c r="C174" s="149">
        <v>0</v>
      </c>
      <c r="D174" s="180">
        <v>0</v>
      </c>
      <c r="E174" s="149">
        <v>165245.25999999998</v>
      </c>
      <c r="F174" s="181">
        <v>0</v>
      </c>
      <c r="G174" s="181">
        <f t="shared" si="8"/>
        <v>0</v>
      </c>
    </row>
    <row r="175" spans="1:7">
      <c r="A175" s="198" t="s">
        <v>549</v>
      </c>
      <c r="B175" s="172" t="s">
        <v>550</v>
      </c>
      <c r="C175" s="149">
        <v>0</v>
      </c>
      <c r="D175" s="180">
        <v>0</v>
      </c>
      <c r="E175" s="149">
        <v>83231.639999999898</v>
      </c>
      <c r="F175" s="181">
        <v>0</v>
      </c>
      <c r="G175" s="181">
        <f t="shared" si="8"/>
        <v>0</v>
      </c>
    </row>
    <row r="176" spans="1:7">
      <c r="A176" s="198" t="s">
        <v>145</v>
      </c>
      <c r="B176" s="172" t="s">
        <v>146</v>
      </c>
      <c r="C176" s="149">
        <v>0</v>
      </c>
      <c r="D176" s="180">
        <v>0</v>
      </c>
      <c r="E176" s="149">
        <v>0</v>
      </c>
      <c r="F176" s="181">
        <v>0</v>
      </c>
      <c r="G176" s="181">
        <f t="shared" si="8"/>
        <v>0</v>
      </c>
    </row>
    <row r="177" spans="1:7">
      <c r="A177" s="198" t="s">
        <v>113</v>
      </c>
      <c r="B177" s="172" t="s">
        <v>114</v>
      </c>
      <c r="C177" s="149">
        <v>0</v>
      </c>
      <c r="D177" s="180">
        <v>0</v>
      </c>
      <c r="E177" s="149">
        <v>51343.090000000084</v>
      </c>
      <c r="F177" s="181">
        <v>0</v>
      </c>
      <c r="G177" s="181">
        <f t="shared" si="8"/>
        <v>0</v>
      </c>
    </row>
    <row r="178" spans="1:7">
      <c r="A178" s="198" t="s">
        <v>231</v>
      </c>
      <c r="B178" s="172" t="s">
        <v>232</v>
      </c>
      <c r="C178" s="149">
        <v>0</v>
      </c>
      <c r="D178" s="180">
        <v>0</v>
      </c>
      <c r="E178" s="149">
        <v>0</v>
      </c>
      <c r="F178" s="181">
        <v>0</v>
      </c>
      <c r="G178" s="181">
        <f t="shared" si="8"/>
        <v>0</v>
      </c>
    </row>
    <row r="179" spans="1:7">
      <c r="A179" s="198" t="s">
        <v>323</v>
      </c>
      <c r="B179" s="172" t="s">
        <v>324</v>
      </c>
      <c r="C179" s="149">
        <v>0</v>
      </c>
      <c r="D179" s="180">
        <v>0</v>
      </c>
      <c r="E179" s="149">
        <v>0</v>
      </c>
      <c r="F179" s="181">
        <v>0</v>
      </c>
      <c r="G179" s="181">
        <f t="shared" si="8"/>
        <v>0</v>
      </c>
    </row>
    <row r="180" spans="1:7">
      <c r="A180" s="198" t="s">
        <v>353</v>
      </c>
      <c r="B180" s="172" t="s">
        <v>354</v>
      </c>
      <c r="C180" s="149">
        <v>0</v>
      </c>
      <c r="D180" s="180">
        <v>0</v>
      </c>
      <c r="E180" s="149">
        <v>0</v>
      </c>
      <c r="F180" s="181">
        <v>0</v>
      </c>
      <c r="G180" s="181">
        <f t="shared" si="8"/>
        <v>0</v>
      </c>
    </row>
    <row r="181" spans="1:7">
      <c r="A181" s="198" t="s">
        <v>509</v>
      </c>
      <c r="B181" s="172" t="s">
        <v>510</v>
      </c>
      <c r="C181" s="149">
        <v>0</v>
      </c>
      <c r="D181" s="180">
        <v>0</v>
      </c>
      <c r="E181" s="149">
        <v>0</v>
      </c>
      <c r="F181" s="181">
        <v>0</v>
      </c>
      <c r="G181" s="181">
        <f t="shared" si="8"/>
        <v>0</v>
      </c>
    </row>
    <row r="182" spans="1:7">
      <c r="A182" s="198" t="s">
        <v>503</v>
      </c>
      <c r="B182" s="172" t="s">
        <v>504</v>
      </c>
      <c r="C182" s="149">
        <v>0</v>
      </c>
      <c r="D182" s="180">
        <v>0</v>
      </c>
      <c r="E182" s="149">
        <v>0</v>
      </c>
      <c r="F182" s="181">
        <v>0</v>
      </c>
      <c r="G182" s="181">
        <f t="shared" si="8"/>
        <v>0</v>
      </c>
    </row>
    <row r="183" spans="1:7">
      <c r="A183" s="198" t="s">
        <v>219</v>
      </c>
      <c r="B183" s="172" t="s">
        <v>220</v>
      </c>
      <c r="C183" s="149">
        <v>0</v>
      </c>
      <c r="D183" s="180">
        <v>0</v>
      </c>
      <c r="E183" s="149">
        <v>0</v>
      </c>
      <c r="F183" s="181">
        <v>0</v>
      </c>
      <c r="G183" s="181">
        <f t="shared" si="8"/>
        <v>0</v>
      </c>
    </row>
    <row r="184" spans="1:7">
      <c r="A184" s="198" t="s">
        <v>167</v>
      </c>
      <c r="B184" s="172" t="s">
        <v>168</v>
      </c>
      <c r="C184" s="149">
        <v>0</v>
      </c>
      <c r="D184" s="180">
        <v>0</v>
      </c>
      <c r="E184" s="149">
        <v>587189.07000000007</v>
      </c>
      <c r="F184" s="181">
        <v>0</v>
      </c>
      <c r="G184" s="181">
        <f t="shared" si="8"/>
        <v>0</v>
      </c>
    </row>
    <row r="185" spans="1:7">
      <c r="A185" s="198" t="s">
        <v>579</v>
      </c>
      <c r="B185" s="172" t="s">
        <v>580</v>
      </c>
      <c r="C185" s="149">
        <v>0</v>
      </c>
      <c r="D185" s="180">
        <v>0</v>
      </c>
      <c r="E185" s="149">
        <v>0</v>
      </c>
      <c r="F185" s="181">
        <v>0</v>
      </c>
      <c r="G185" s="181">
        <f t="shared" si="8"/>
        <v>0</v>
      </c>
    </row>
    <row r="186" spans="1:7">
      <c r="A186" s="198" t="s">
        <v>165</v>
      </c>
      <c r="B186" s="172" t="s">
        <v>166</v>
      </c>
      <c r="C186" s="149">
        <v>0</v>
      </c>
      <c r="D186" s="180">
        <v>0</v>
      </c>
      <c r="E186" s="149">
        <v>0</v>
      </c>
      <c r="F186" s="181">
        <v>0</v>
      </c>
      <c r="G186" s="181">
        <f t="shared" si="8"/>
        <v>0</v>
      </c>
    </row>
    <row r="187" spans="1:7">
      <c r="A187" s="198" t="s">
        <v>343</v>
      </c>
      <c r="B187" s="172" t="s">
        <v>344</v>
      </c>
      <c r="C187" s="149">
        <v>0</v>
      </c>
      <c r="D187" s="180">
        <v>0</v>
      </c>
      <c r="E187" s="149">
        <v>0</v>
      </c>
      <c r="F187" s="181">
        <v>0</v>
      </c>
      <c r="G187" s="181">
        <f t="shared" si="8"/>
        <v>0</v>
      </c>
    </row>
    <row r="188" spans="1:7">
      <c r="A188" s="198" t="s">
        <v>163</v>
      </c>
      <c r="B188" s="172" t="s">
        <v>164</v>
      </c>
      <c r="C188" s="149">
        <v>0</v>
      </c>
      <c r="D188" s="180">
        <v>0</v>
      </c>
      <c r="E188" s="149">
        <v>0</v>
      </c>
      <c r="F188" s="181">
        <v>0</v>
      </c>
      <c r="G188" s="181">
        <f t="shared" si="8"/>
        <v>0</v>
      </c>
    </row>
    <row r="189" spans="1:7">
      <c r="A189" s="198" t="s">
        <v>305</v>
      </c>
      <c r="B189" s="172" t="s">
        <v>306</v>
      </c>
      <c r="C189" s="149">
        <v>0</v>
      </c>
      <c r="D189" s="180">
        <v>0</v>
      </c>
      <c r="E189" s="149">
        <v>0</v>
      </c>
      <c r="F189" s="181">
        <v>0</v>
      </c>
      <c r="G189" s="181">
        <f t="shared" si="8"/>
        <v>0</v>
      </c>
    </row>
    <row r="190" spans="1:7">
      <c r="A190" s="198" t="s">
        <v>331</v>
      </c>
      <c r="B190" s="172" t="s">
        <v>332</v>
      </c>
      <c r="C190" s="149">
        <v>0</v>
      </c>
      <c r="D190" s="180">
        <v>0</v>
      </c>
      <c r="E190" s="149">
        <v>100554.64999999991</v>
      </c>
      <c r="F190" s="181">
        <v>0</v>
      </c>
      <c r="G190" s="181">
        <f t="shared" si="8"/>
        <v>0</v>
      </c>
    </row>
    <row r="191" spans="1:7">
      <c r="A191" s="198" t="s">
        <v>513</v>
      </c>
      <c r="B191" s="172" t="s">
        <v>514</v>
      </c>
      <c r="C191" s="149">
        <v>0</v>
      </c>
      <c r="D191" s="180">
        <v>0</v>
      </c>
      <c r="E191" s="149">
        <v>0</v>
      </c>
      <c r="F191" s="181">
        <v>0</v>
      </c>
      <c r="G191" s="181">
        <f t="shared" si="8"/>
        <v>0</v>
      </c>
    </row>
    <row r="192" spans="1:7">
      <c r="A192" s="198" t="s">
        <v>329</v>
      </c>
      <c r="B192" s="172" t="s">
        <v>330</v>
      </c>
      <c r="C192" s="149">
        <v>0</v>
      </c>
      <c r="D192" s="180">
        <v>0</v>
      </c>
      <c r="E192" s="149">
        <v>0</v>
      </c>
      <c r="F192" s="181">
        <v>0</v>
      </c>
      <c r="G192" s="181">
        <f t="shared" si="8"/>
        <v>0</v>
      </c>
    </row>
    <row r="193" spans="1:7">
      <c r="A193" s="198" t="s">
        <v>287</v>
      </c>
      <c r="B193" s="172" t="s">
        <v>288</v>
      </c>
      <c r="C193" s="149">
        <v>0</v>
      </c>
      <c r="D193" s="180">
        <v>0</v>
      </c>
      <c r="E193" s="149">
        <v>0</v>
      </c>
      <c r="F193" s="181">
        <v>0</v>
      </c>
      <c r="G193" s="181">
        <f t="shared" si="8"/>
        <v>0</v>
      </c>
    </row>
    <row r="194" spans="1:7">
      <c r="A194" s="198" t="s">
        <v>483</v>
      </c>
      <c r="B194" s="172" t="s">
        <v>484</v>
      </c>
      <c r="C194" s="149">
        <v>0</v>
      </c>
      <c r="D194" s="180">
        <v>0</v>
      </c>
      <c r="E194" s="149">
        <v>0</v>
      </c>
      <c r="F194" s="181">
        <v>0</v>
      </c>
      <c r="G194" s="181">
        <f t="shared" si="8"/>
        <v>0</v>
      </c>
    </row>
    <row r="195" spans="1:7">
      <c r="A195" s="198" t="s">
        <v>395</v>
      </c>
      <c r="B195" s="172" t="s">
        <v>396</v>
      </c>
      <c r="C195" s="149">
        <v>0</v>
      </c>
      <c r="D195" s="180">
        <v>0</v>
      </c>
      <c r="E195" s="149">
        <v>0</v>
      </c>
      <c r="F195" s="181">
        <v>0</v>
      </c>
      <c r="G195" s="181">
        <f t="shared" si="8"/>
        <v>0</v>
      </c>
    </row>
    <row r="196" spans="1:7">
      <c r="A196" s="198" t="s">
        <v>453</v>
      </c>
      <c r="B196" s="172" t="s">
        <v>454</v>
      </c>
      <c r="C196" s="149">
        <v>0</v>
      </c>
      <c r="D196" s="180">
        <v>0</v>
      </c>
      <c r="E196" s="149">
        <v>0</v>
      </c>
      <c r="F196" s="181">
        <v>0</v>
      </c>
      <c r="G196" s="181">
        <f t="shared" si="8"/>
        <v>0</v>
      </c>
    </row>
    <row r="197" spans="1:7">
      <c r="A197" s="198" t="s">
        <v>105</v>
      </c>
      <c r="B197" s="172" t="s">
        <v>106</v>
      </c>
      <c r="C197" s="149">
        <v>0</v>
      </c>
      <c r="D197" s="180">
        <v>0</v>
      </c>
      <c r="E197" s="149">
        <v>0</v>
      </c>
      <c r="F197" s="181">
        <v>0</v>
      </c>
      <c r="G197" s="181">
        <f t="shared" si="8"/>
        <v>0</v>
      </c>
    </row>
    <row r="198" spans="1:7">
      <c r="A198" s="198" t="s">
        <v>89</v>
      </c>
      <c r="B198" s="172" t="s">
        <v>90</v>
      </c>
      <c r="C198" s="149">
        <v>0</v>
      </c>
      <c r="D198" s="180">
        <v>0</v>
      </c>
      <c r="E198" s="149">
        <v>0</v>
      </c>
      <c r="F198" s="181">
        <v>0</v>
      </c>
      <c r="G198" s="181">
        <f t="shared" si="8"/>
        <v>0</v>
      </c>
    </row>
    <row r="199" spans="1:7">
      <c r="A199" s="198" t="s">
        <v>341</v>
      </c>
      <c r="B199" s="172" t="s">
        <v>342</v>
      </c>
      <c r="C199" s="149">
        <v>0</v>
      </c>
      <c r="D199" s="180">
        <v>0</v>
      </c>
      <c r="E199" s="149">
        <v>48162.700000000012</v>
      </c>
      <c r="F199" s="181">
        <v>0</v>
      </c>
      <c r="G199" s="181">
        <f t="shared" si="8"/>
        <v>0</v>
      </c>
    </row>
    <row r="200" spans="1:7">
      <c r="A200" s="198" t="s">
        <v>375</v>
      </c>
      <c r="B200" s="172" t="s">
        <v>376</v>
      </c>
      <c r="C200" s="149">
        <v>0</v>
      </c>
      <c r="D200" s="180">
        <v>0</v>
      </c>
      <c r="E200" s="149">
        <v>285457.45999999996</v>
      </c>
      <c r="F200" s="181">
        <v>0</v>
      </c>
      <c r="G200" s="181">
        <f t="shared" si="8"/>
        <v>0</v>
      </c>
    </row>
    <row r="201" spans="1:7">
      <c r="A201" s="198" t="s">
        <v>7</v>
      </c>
      <c r="B201" s="172" t="s">
        <v>8</v>
      </c>
      <c r="C201" s="149">
        <v>0</v>
      </c>
      <c r="D201" s="180">
        <v>0</v>
      </c>
      <c r="E201" s="149">
        <v>24157.469999999739</v>
      </c>
      <c r="F201" s="181">
        <v>0</v>
      </c>
      <c r="G201" s="181">
        <f t="shared" ref="G201:G264" si="9">F201+D201</f>
        <v>0</v>
      </c>
    </row>
    <row r="202" spans="1:7">
      <c r="A202" s="198" t="s">
        <v>93</v>
      </c>
      <c r="B202" s="172" t="s">
        <v>94</v>
      </c>
      <c r="C202" s="149">
        <v>0</v>
      </c>
      <c r="D202" s="180">
        <v>0</v>
      </c>
      <c r="E202" s="149">
        <v>0</v>
      </c>
      <c r="F202" s="181">
        <v>0</v>
      </c>
      <c r="G202" s="181">
        <f t="shared" si="9"/>
        <v>0</v>
      </c>
    </row>
    <row r="203" spans="1:7">
      <c r="A203" s="198" t="s">
        <v>565</v>
      </c>
      <c r="B203" s="172" t="s">
        <v>566</v>
      </c>
      <c r="C203" s="149">
        <v>0</v>
      </c>
      <c r="D203" s="180">
        <v>0</v>
      </c>
      <c r="E203" s="149">
        <v>36371.549999999996</v>
      </c>
      <c r="F203" s="181">
        <v>0</v>
      </c>
      <c r="G203" s="181">
        <f t="shared" si="9"/>
        <v>0</v>
      </c>
    </row>
    <row r="204" spans="1:7">
      <c r="A204" s="198" t="s">
        <v>111</v>
      </c>
      <c r="B204" s="172" t="s">
        <v>112</v>
      </c>
      <c r="C204" s="149">
        <v>0</v>
      </c>
      <c r="D204" s="180">
        <v>0</v>
      </c>
      <c r="E204" s="149">
        <v>532341.90999999829</v>
      </c>
      <c r="F204" s="181">
        <v>0</v>
      </c>
      <c r="G204" s="181">
        <f t="shared" si="9"/>
        <v>0</v>
      </c>
    </row>
    <row r="205" spans="1:7">
      <c r="A205" s="198" t="s">
        <v>335</v>
      </c>
      <c r="B205" s="172" t="s">
        <v>336</v>
      </c>
      <c r="C205" s="149">
        <v>0</v>
      </c>
      <c r="D205" s="180">
        <v>0</v>
      </c>
      <c r="E205" s="149">
        <v>13110.670000000013</v>
      </c>
      <c r="F205" s="181">
        <v>0</v>
      </c>
      <c r="G205" s="181">
        <f t="shared" si="9"/>
        <v>0</v>
      </c>
    </row>
    <row r="206" spans="1:7">
      <c r="A206" s="198" t="s">
        <v>19</v>
      </c>
      <c r="B206" s="172" t="s">
        <v>20</v>
      </c>
      <c r="C206" s="149">
        <v>0</v>
      </c>
      <c r="D206" s="180">
        <v>0</v>
      </c>
      <c r="E206" s="149">
        <v>0</v>
      </c>
      <c r="F206" s="181">
        <v>0</v>
      </c>
      <c r="G206" s="181">
        <f t="shared" si="9"/>
        <v>0</v>
      </c>
    </row>
    <row r="207" spans="1:7">
      <c r="A207" s="198" t="s">
        <v>289</v>
      </c>
      <c r="B207" s="172" t="s">
        <v>290</v>
      </c>
      <c r="C207" s="149">
        <v>0</v>
      </c>
      <c r="D207" s="180">
        <v>0</v>
      </c>
      <c r="E207" s="149">
        <v>2974.5700000000006</v>
      </c>
      <c r="F207" s="181">
        <v>0</v>
      </c>
      <c r="G207" s="181">
        <f t="shared" si="9"/>
        <v>0</v>
      </c>
    </row>
    <row r="208" spans="1:7">
      <c r="A208" s="198" t="s">
        <v>379</v>
      </c>
      <c r="B208" s="172" t="s">
        <v>380</v>
      </c>
      <c r="C208" s="149">
        <v>0</v>
      </c>
      <c r="D208" s="180">
        <v>0</v>
      </c>
      <c r="E208" s="149">
        <v>0</v>
      </c>
      <c r="F208" s="181">
        <v>0</v>
      </c>
      <c r="G208" s="181">
        <f t="shared" si="9"/>
        <v>0</v>
      </c>
    </row>
    <row r="209" spans="1:7">
      <c r="A209" s="198" t="s">
        <v>1317</v>
      </c>
      <c r="B209" s="172" t="s">
        <v>1318</v>
      </c>
      <c r="C209" s="149">
        <v>0</v>
      </c>
      <c r="D209" s="180">
        <v>0</v>
      </c>
      <c r="E209" s="149">
        <v>0</v>
      </c>
      <c r="F209" s="181">
        <v>33000</v>
      </c>
      <c r="G209" s="181">
        <f t="shared" si="9"/>
        <v>33000</v>
      </c>
    </row>
    <row r="210" spans="1:7">
      <c r="A210" s="198" t="s">
        <v>321</v>
      </c>
      <c r="B210" s="172" t="s">
        <v>322</v>
      </c>
      <c r="C210" s="149">
        <v>0</v>
      </c>
      <c r="D210" s="180">
        <v>0</v>
      </c>
      <c r="E210" s="149">
        <v>0</v>
      </c>
      <c r="F210" s="181">
        <v>0</v>
      </c>
      <c r="G210" s="181">
        <f t="shared" si="9"/>
        <v>0</v>
      </c>
    </row>
    <row r="211" spans="1:7">
      <c r="A211" s="198" t="s">
        <v>119</v>
      </c>
      <c r="B211" s="172" t="s">
        <v>120</v>
      </c>
      <c r="C211" s="149">
        <v>0</v>
      </c>
      <c r="D211" s="180">
        <v>0</v>
      </c>
      <c r="E211" s="149">
        <v>0</v>
      </c>
      <c r="F211" s="181">
        <v>0</v>
      </c>
      <c r="G211" s="181">
        <f t="shared" si="9"/>
        <v>0</v>
      </c>
    </row>
    <row r="212" spans="1:7">
      <c r="A212" s="198" t="s">
        <v>43</v>
      </c>
      <c r="B212" s="172" t="s">
        <v>44</v>
      </c>
      <c r="C212" s="149">
        <v>0</v>
      </c>
      <c r="D212" s="180">
        <v>0</v>
      </c>
      <c r="E212" s="149">
        <v>0</v>
      </c>
      <c r="F212" s="181">
        <v>0</v>
      </c>
      <c r="G212" s="181">
        <f t="shared" si="9"/>
        <v>0</v>
      </c>
    </row>
    <row r="213" spans="1:7">
      <c r="A213" s="198" t="s">
        <v>181</v>
      </c>
      <c r="B213" s="172" t="s">
        <v>182</v>
      </c>
      <c r="C213" s="149">
        <v>0</v>
      </c>
      <c r="D213" s="180">
        <v>0</v>
      </c>
      <c r="E213" s="149">
        <v>0</v>
      </c>
      <c r="F213" s="181">
        <v>0</v>
      </c>
      <c r="G213" s="181">
        <f t="shared" si="9"/>
        <v>0</v>
      </c>
    </row>
    <row r="214" spans="1:7">
      <c r="A214" s="198" t="s">
        <v>537</v>
      </c>
      <c r="B214" s="172" t="s">
        <v>538</v>
      </c>
      <c r="C214" s="149">
        <v>0</v>
      </c>
      <c r="D214" s="180">
        <v>0</v>
      </c>
      <c r="E214" s="149">
        <v>0</v>
      </c>
      <c r="F214" s="181">
        <v>0</v>
      </c>
      <c r="G214" s="181">
        <f t="shared" si="9"/>
        <v>0</v>
      </c>
    </row>
    <row r="215" spans="1:7">
      <c r="A215" s="198" t="s">
        <v>481</v>
      </c>
      <c r="B215" s="172" t="s">
        <v>482</v>
      </c>
      <c r="C215" s="149">
        <v>0</v>
      </c>
      <c r="D215" s="180">
        <v>0</v>
      </c>
      <c r="E215" s="149">
        <v>0</v>
      </c>
      <c r="F215" s="181">
        <v>1184000</v>
      </c>
      <c r="G215" s="181">
        <f t="shared" si="9"/>
        <v>1184000</v>
      </c>
    </row>
    <row r="216" spans="1:7">
      <c r="A216" s="198" t="s">
        <v>25</v>
      </c>
      <c r="B216" s="172" t="s">
        <v>26</v>
      </c>
      <c r="C216" s="149">
        <v>0</v>
      </c>
      <c r="D216" s="180">
        <v>0</v>
      </c>
      <c r="E216" s="149">
        <v>187068.17999999993</v>
      </c>
      <c r="F216" s="181">
        <v>0</v>
      </c>
      <c r="G216" s="181">
        <f t="shared" si="9"/>
        <v>0</v>
      </c>
    </row>
    <row r="217" spans="1:7">
      <c r="A217" s="198" t="s">
        <v>1319</v>
      </c>
      <c r="B217" s="172" t="s">
        <v>1320</v>
      </c>
      <c r="C217" s="149">
        <v>0</v>
      </c>
      <c r="D217" s="180">
        <v>0</v>
      </c>
      <c r="E217" s="149">
        <v>0</v>
      </c>
      <c r="F217" s="181">
        <v>0</v>
      </c>
      <c r="G217" s="181">
        <f t="shared" si="9"/>
        <v>0</v>
      </c>
    </row>
    <row r="218" spans="1:7">
      <c r="A218" s="198" t="s">
        <v>561</v>
      </c>
      <c r="B218" s="172" t="s">
        <v>562</v>
      </c>
      <c r="C218" s="149">
        <v>0</v>
      </c>
      <c r="D218" s="180">
        <v>0</v>
      </c>
      <c r="E218" s="149">
        <v>305301.09999999998</v>
      </c>
      <c r="F218" s="181">
        <v>0</v>
      </c>
      <c r="G218" s="181">
        <f t="shared" si="9"/>
        <v>0</v>
      </c>
    </row>
    <row r="219" spans="1:7">
      <c r="A219" s="198" t="s">
        <v>363</v>
      </c>
      <c r="B219" s="172" t="s">
        <v>364</v>
      </c>
      <c r="C219" s="149">
        <v>0</v>
      </c>
      <c r="D219" s="180">
        <v>0</v>
      </c>
      <c r="E219" s="149">
        <v>2118634.33</v>
      </c>
      <c r="F219" s="181">
        <v>0</v>
      </c>
      <c r="G219" s="181">
        <f t="shared" si="9"/>
        <v>0</v>
      </c>
    </row>
    <row r="220" spans="1:7">
      <c r="A220" s="198" t="s">
        <v>173</v>
      </c>
      <c r="B220" s="172" t="s">
        <v>174</v>
      </c>
      <c r="C220" s="149">
        <v>0</v>
      </c>
      <c r="D220" s="180">
        <v>0</v>
      </c>
      <c r="E220" s="149">
        <v>0</v>
      </c>
      <c r="F220" s="181">
        <v>0</v>
      </c>
      <c r="G220" s="181">
        <f t="shared" si="9"/>
        <v>0</v>
      </c>
    </row>
    <row r="221" spans="1:7">
      <c r="A221" s="198" t="s">
        <v>177</v>
      </c>
      <c r="B221" s="172" t="s">
        <v>178</v>
      </c>
      <c r="C221" s="149">
        <v>0</v>
      </c>
      <c r="D221" s="180">
        <v>0</v>
      </c>
      <c r="E221" s="149">
        <v>16435.200000000012</v>
      </c>
      <c r="F221" s="181">
        <v>0</v>
      </c>
      <c r="G221" s="181">
        <f t="shared" si="9"/>
        <v>0</v>
      </c>
    </row>
    <row r="222" spans="1:7">
      <c r="A222" s="198" t="s">
        <v>53</v>
      </c>
      <c r="B222" s="172" t="s">
        <v>54</v>
      </c>
      <c r="C222" s="149">
        <v>0</v>
      </c>
      <c r="D222" s="180">
        <v>0</v>
      </c>
      <c r="E222" s="149">
        <v>0</v>
      </c>
      <c r="F222" s="181">
        <v>0</v>
      </c>
      <c r="G222" s="181">
        <f t="shared" si="9"/>
        <v>0</v>
      </c>
    </row>
    <row r="223" spans="1:7">
      <c r="A223" s="198" t="s">
        <v>51</v>
      </c>
      <c r="B223" s="172" t="s">
        <v>52</v>
      </c>
      <c r="C223" s="149">
        <v>0</v>
      </c>
      <c r="D223" s="180">
        <v>0</v>
      </c>
      <c r="E223" s="149">
        <v>0</v>
      </c>
      <c r="F223" s="181">
        <v>0</v>
      </c>
      <c r="G223" s="181">
        <f t="shared" si="9"/>
        <v>0</v>
      </c>
    </row>
    <row r="224" spans="1:7">
      <c r="A224" s="198" t="s">
        <v>123</v>
      </c>
      <c r="B224" s="172" t="s">
        <v>124</v>
      </c>
      <c r="C224" s="149">
        <v>0</v>
      </c>
      <c r="D224" s="180">
        <v>0</v>
      </c>
      <c r="E224" s="149">
        <v>0</v>
      </c>
      <c r="F224" s="181">
        <v>0</v>
      </c>
      <c r="G224" s="181">
        <f t="shared" si="9"/>
        <v>0</v>
      </c>
    </row>
    <row r="225" spans="1:7">
      <c r="A225" s="198" t="s">
        <v>225</v>
      </c>
      <c r="B225" s="172" t="s">
        <v>226</v>
      </c>
      <c r="C225" s="149">
        <v>0</v>
      </c>
      <c r="D225" s="180">
        <v>0</v>
      </c>
      <c r="E225" s="149">
        <v>0</v>
      </c>
      <c r="F225" s="181">
        <v>563000</v>
      </c>
      <c r="G225" s="181">
        <f t="shared" si="9"/>
        <v>563000</v>
      </c>
    </row>
    <row r="226" spans="1:7">
      <c r="A226" s="198" t="s">
        <v>515</v>
      </c>
      <c r="B226" s="172" t="s">
        <v>516</v>
      </c>
      <c r="C226" s="149">
        <v>0</v>
      </c>
      <c r="D226" s="180">
        <v>0</v>
      </c>
      <c r="E226" s="149">
        <v>24242.059999999998</v>
      </c>
      <c r="F226" s="181">
        <v>0</v>
      </c>
      <c r="G226" s="181">
        <f t="shared" si="9"/>
        <v>0</v>
      </c>
    </row>
    <row r="227" spans="1:7">
      <c r="A227" s="198" t="s">
        <v>345</v>
      </c>
      <c r="B227" s="172" t="s">
        <v>346</v>
      </c>
      <c r="C227" s="149">
        <v>0</v>
      </c>
      <c r="D227" s="180">
        <v>0</v>
      </c>
      <c r="E227" s="149">
        <v>26458.190000000002</v>
      </c>
      <c r="F227" s="181">
        <v>0</v>
      </c>
      <c r="G227" s="181">
        <f t="shared" si="9"/>
        <v>0</v>
      </c>
    </row>
    <row r="228" spans="1:7">
      <c r="A228" s="198" t="s">
        <v>299</v>
      </c>
      <c r="B228" s="172" t="s">
        <v>300</v>
      </c>
      <c r="C228" s="149">
        <v>0</v>
      </c>
      <c r="D228" s="180">
        <v>0</v>
      </c>
      <c r="E228" s="149">
        <v>0</v>
      </c>
      <c r="F228" s="181">
        <v>0</v>
      </c>
      <c r="G228" s="181">
        <f t="shared" si="9"/>
        <v>0</v>
      </c>
    </row>
    <row r="229" spans="1:7">
      <c r="A229" s="198" t="s">
        <v>195</v>
      </c>
      <c r="B229" s="172" t="s">
        <v>196</v>
      </c>
      <c r="C229" s="149">
        <v>0</v>
      </c>
      <c r="D229" s="180">
        <v>0</v>
      </c>
      <c r="E229" s="149">
        <v>0</v>
      </c>
      <c r="F229" s="181">
        <v>0</v>
      </c>
      <c r="G229" s="181">
        <f t="shared" si="9"/>
        <v>0</v>
      </c>
    </row>
    <row r="230" spans="1:7">
      <c r="A230" s="198" t="s">
        <v>109</v>
      </c>
      <c r="B230" s="172" t="s">
        <v>110</v>
      </c>
      <c r="C230" s="149">
        <v>0</v>
      </c>
      <c r="D230" s="180">
        <v>0</v>
      </c>
      <c r="E230" s="149">
        <v>0</v>
      </c>
      <c r="F230" s="181">
        <v>0</v>
      </c>
      <c r="G230" s="181">
        <f t="shared" si="9"/>
        <v>0</v>
      </c>
    </row>
    <row r="231" spans="1:7">
      <c r="A231" s="198" t="s">
        <v>27</v>
      </c>
      <c r="B231" s="172" t="s">
        <v>28</v>
      </c>
      <c r="C231" s="149">
        <v>0</v>
      </c>
      <c r="D231" s="180">
        <v>0</v>
      </c>
      <c r="E231" s="149">
        <v>918660.76999999955</v>
      </c>
      <c r="F231" s="181">
        <v>0</v>
      </c>
      <c r="G231" s="181">
        <f t="shared" si="9"/>
        <v>0</v>
      </c>
    </row>
    <row r="232" spans="1:7">
      <c r="A232" s="198" t="s">
        <v>71</v>
      </c>
      <c r="B232" s="172" t="s">
        <v>72</v>
      </c>
      <c r="C232" s="149">
        <v>0</v>
      </c>
      <c r="D232" s="180">
        <v>0</v>
      </c>
      <c r="E232" s="149">
        <v>0</v>
      </c>
      <c r="F232" s="181">
        <v>0</v>
      </c>
      <c r="G232" s="181">
        <f t="shared" si="9"/>
        <v>0</v>
      </c>
    </row>
    <row r="233" spans="1:7">
      <c r="A233" s="198" t="s">
        <v>11</v>
      </c>
      <c r="B233" s="172" t="s">
        <v>12</v>
      </c>
      <c r="C233" s="149">
        <v>0</v>
      </c>
      <c r="D233" s="180">
        <v>0</v>
      </c>
      <c r="E233" s="149">
        <v>0</v>
      </c>
      <c r="F233" s="181">
        <v>0</v>
      </c>
      <c r="G233" s="181">
        <f t="shared" si="9"/>
        <v>0</v>
      </c>
    </row>
    <row r="234" spans="1:7">
      <c r="A234" s="198" t="s">
        <v>477</v>
      </c>
      <c r="B234" s="172" t="s">
        <v>478</v>
      </c>
      <c r="C234" s="149">
        <v>0</v>
      </c>
      <c r="D234" s="180">
        <v>0</v>
      </c>
      <c r="E234" s="149">
        <v>86474.959999999992</v>
      </c>
      <c r="F234" s="181">
        <v>0</v>
      </c>
      <c r="G234" s="181">
        <f t="shared" si="9"/>
        <v>0</v>
      </c>
    </row>
    <row r="235" spans="1:7">
      <c r="A235" s="198" t="s">
        <v>203</v>
      </c>
      <c r="B235" s="172" t="s">
        <v>204</v>
      </c>
      <c r="C235" s="149">
        <v>0</v>
      </c>
      <c r="D235" s="180">
        <v>0</v>
      </c>
      <c r="E235" s="149">
        <v>0</v>
      </c>
      <c r="F235" s="181">
        <v>0</v>
      </c>
      <c r="G235" s="181">
        <f t="shared" si="9"/>
        <v>0</v>
      </c>
    </row>
    <row r="236" spans="1:7">
      <c r="A236" s="198" t="s">
        <v>519</v>
      </c>
      <c r="B236" s="172" t="s">
        <v>520</v>
      </c>
      <c r="C236" s="149">
        <v>0</v>
      </c>
      <c r="D236" s="180">
        <v>0</v>
      </c>
      <c r="E236" s="149">
        <v>94752.110000000102</v>
      </c>
      <c r="F236" s="181">
        <v>0</v>
      </c>
      <c r="G236" s="181">
        <f t="shared" si="9"/>
        <v>0</v>
      </c>
    </row>
    <row r="237" spans="1:7">
      <c r="A237" s="198" t="s">
        <v>263</v>
      </c>
      <c r="B237" s="172" t="s">
        <v>264</v>
      </c>
      <c r="C237" s="149">
        <v>0</v>
      </c>
      <c r="D237" s="180">
        <v>0</v>
      </c>
      <c r="E237" s="149">
        <v>0</v>
      </c>
      <c r="F237" s="181">
        <v>0</v>
      </c>
      <c r="G237" s="181">
        <f t="shared" si="9"/>
        <v>0</v>
      </c>
    </row>
    <row r="238" spans="1:7">
      <c r="A238" s="198" t="s">
        <v>575</v>
      </c>
      <c r="B238" s="172" t="s">
        <v>576</v>
      </c>
      <c r="C238" s="149">
        <v>0</v>
      </c>
      <c r="D238" s="180">
        <v>0</v>
      </c>
      <c r="E238" s="149">
        <v>34104.67</v>
      </c>
      <c r="F238" s="181">
        <v>0</v>
      </c>
      <c r="G238" s="181">
        <f t="shared" si="9"/>
        <v>0</v>
      </c>
    </row>
    <row r="239" spans="1:7">
      <c r="A239" s="198" t="s">
        <v>131</v>
      </c>
      <c r="B239" s="172" t="s">
        <v>132</v>
      </c>
      <c r="C239" s="149">
        <v>0</v>
      </c>
      <c r="D239" s="180">
        <v>0</v>
      </c>
      <c r="E239" s="149">
        <v>0</v>
      </c>
      <c r="F239" s="181">
        <v>0</v>
      </c>
      <c r="G239" s="181">
        <f t="shared" si="9"/>
        <v>0</v>
      </c>
    </row>
    <row r="240" spans="1:7">
      <c r="A240" s="198" t="s">
        <v>399</v>
      </c>
      <c r="B240" s="172" t="s">
        <v>400</v>
      </c>
      <c r="C240" s="149">
        <v>0</v>
      </c>
      <c r="D240" s="180">
        <v>0</v>
      </c>
      <c r="E240" s="149">
        <v>0</v>
      </c>
      <c r="F240" s="181">
        <v>0</v>
      </c>
      <c r="G240" s="181">
        <f t="shared" si="9"/>
        <v>0</v>
      </c>
    </row>
    <row r="241" spans="1:7">
      <c r="A241" s="198" t="s">
        <v>159</v>
      </c>
      <c r="B241" s="172" t="s">
        <v>160</v>
      </c>
      <c r="C241" s="149">
        <v>0</v>
      </c>
      <c r="D241" s="180">
        <v>0</v>
      </c>
      <c r="E241" s="149">
        <v>8281.6600000000035</v>
      </c>
      <c r="F241" s="181">
        <v>0</v>
      </c>
      <c r="G241" s="181">
        <f t="shared" si="9"/>
        <v>0</v>
      </c>
    </row>
    <row r="242" spans="1:7">
      <c r="A242" s="198" t="s">
        <v>183</v>
      </c>
      <c r="B242" s="172" t="s">
        <v>184</v>
      </c>
      <c r="C242" s="149">
        <v>0</v>
      </c>
      <c r="D242" s="180">
        <v>0</v>
      </c>
      <c r="E242" s="149">
        <v>0</v>
      </c>
      <c r="F242" s="181">
        <v>0</v>
      </c>
      <c r="G242" s="181">
        <f t="shared" si="9"/>
        <v>0</v>
      </c>
    </row>
    <row r="243" spans="1:7">
      <c r="A243" s="198" t="s">
        <v>405</v>
      </c>
      <c r="B243" s="172" t="s">
        <v>406</v>
      </c>
      <c r="C243" s="149">
        <v>0</v>
      </c>
      <c r="D243" s="180">
        <v>0</v>
      </c>
      <c r="E243" s="149">
        <v>517880.12</v>
      </c>
      <c r="F243" s="181">
        <v>0</v>
      </c>
      <c r="G243" s="181">
        <f t="shared" si="9"/>
        <v>0</v>
      </c>
    </row>
    <row r="244" spans="1:7">
      <c r="A244" s="198" t="s">
        <v>589</v>
      </c>
      <c r="B244" s="172" t="s">
        <v>590</v>
      </c>
      <c r="C244" s="149">
        <v>0</v>
      </c>
      <c r="D244" s="180">
        <v>0</v>
      </c>
      <c r="E244" s="149">
        <v>199869.39000000013</v>
      </c>
      <c r="F244" s="181">
        <v>0</v>
      </c>
      <c r="G244" s="181">
        <f t="shared" si="9"/>
        <v>0</v>
      </c>
    </row>
    <row r="245" spans="1:7">
      <c r="A245" s="198" t="s">
        <v>359</v>
      </c>
      <c r="B245" s="172" t="s">
        <v>360</v>
      </c>
      <c r="C245" s="149">
        <v>0</v>
      </c>
      <c r="D245" s="180">
        <v>0</v>
      </c>
      <c r="E245" s="149">
        <v>0</v>
      </c>
      <c r="F245" s="181">
        <v>0</v>
      </c>
      <c r="G245" s="181">
        <f t="shared" si="9"/>
        <v>0</v>
      </c>
    </row>
    <row r="246" spans="1:7">
      <c r="A246" s="198" t="s">
        <v>47</v>
      </c>
      <c r="B246" s="172" t="s">
        <v>48</v>
      </c>
      <c r="C246" s="149">
        <v>0</v>
      </c>
      <c r="D246" s="180">
        <v>0</v>
      </c>
      <c r="E246" s="149">
        <v>0</v>
      </c>
      <c r="F246" s="181">
        <v>0</v>
      </c>
      <c r="G246" s="181">
        <f t="shared" si="9"/>
        <v>0</v>
      </c>
    </row>
    <row r="247" spans="1:7">
      <c r="A247" s="198" t="s">
        <v>393</v>
      </c>
      <c r="B247" s="172" t="s">
        <v>394</v>
      </c>
      <c r="C247" s="149">
        <v>0</v>
      </c>
      <c r="D247" s="180">
        <v>0</v>
      </c>
      <c r="E247" s="149">
        <v>0</v>
      </c>
      <c r="F247" s="181">
        <v>0</v>
      </c>
      <c r="G247" s="181">
        <f t="shared" si="9"/>
        <v>0</v>
      </c>
    </row>
    <row r="248" spans="1:7">
      <c r="A248" s="198" t="s">
        <v>317</v>
      </c>
      <c r="B248" s="172" t="s">
        <v>318</v>
      </c>
      <c r="C248" s="149">
        <v>0</v>
      </c>
      <c r="D248" s="180">
        <v>0</v>
      </c>
      <c r="E248" s="149">
        <v>343939.53000000026</v>
      </c>
      <c r="F248" s="181">
        <v>0</v>
      </c>
      <c r="G248" s="181">
        <f t="shared" si="9"/>
        <v>0</v>
      </c>
    </row>
    <row r="249" spans="1:7">
      <c r="A249" s="198" t="s">
        <v>213</v>
      </c>
      <c r="B249" s="172" t="s">
        <v>214</v>
      </c>
      <c r="C249" s="149">
        <v>0</v>
      </c>
      <c r="D249" s="180">
        <v>0</v>
      </c>
      <c r="E249" s="149">
        <v>0</v>
      </c>
      <c r="F249" s="181">
        <v>0</v>
      </c>
      <c r="G249" s="181">
        <f t="shared" si="9"/>
        <v>0</v>
      </c>
    </row>
    <row r="250" spans="1:7">
      <c r="A250" s="198" t="s">
        <v>415</v>
      </c>
      <c r="B250" s="172" t="s">
        <v>416</v>
      </c>
      <c r="C250" s="149">
        <v>0</v>
      </c>
      <c r="D250" s="180">
        <v>0</v>
      </c>
      <c r="E250" s="149">
        <v>0</v>
      </c>
      <c r="F250" s="181">
        <v>0</v>
      </c>
      <c r="G250" s="181">
        <f t="shared" si="9"/>
        <v>0</v>
      </c>
    </row>
    <row r="251" spans="1:7">
      <c r="A251" s="198" t="s">
        <v>197</v>
      </c>
      <c r="B251" s="172" t="s">
        <v>198</v>
      </c>
      <c r="C251" s="149">
        <v>0</v>
      </c>
      <c r="D251" s="180">
        <v>0</v>
      </c>
      <c r="E251" s="149">
        <v>0</v>
      </c>
      <c r="F251" s="181">
        <v>0</v>
      </c>
      <c r="G251" s="181">
        <f t="shared" si="9"/>
        <v>0</v>
      </c>
    </row>
    <row r="252" spans="1:7">
      <c r="A252" s="198" t="s">
        <v>439</v>
      </c>
      <c r="B252" s="172" t="s">
        <v>440</v>
      </c>
      <c r="C252" s="149">
        <v>0</v>
      </c>
      <c r="D252" s="180">
        <v>0</v>
      </c>
      <c r="E252" s="149">
        <v>0</v>
      </c>
      <c r="F252" s="181">
        <v>0</v>
      </c>
      <c r="G252" s="181">
        <f t="shared" si="9"/>
        <v>0</v>
      </c>
    </row>
    <row r="253" spans="1:7">
      <c r="A253" s="198" t="s">
        <v>209</v>
      </c>
      <c r="B253" s="172" t="s">
        <v>210</v>
      </c>
      <c r="C253" s="149">
        <v>0</v>
      </c>
      <c r="D253" s="180">
        <v>0</v>
      </c>
      <c r="E253" s="149">
        <v>0</v>
      </c>
      <c r="F253" s="181">
        <v>0</v>
      </c>
      <c r="G253" s="181">
        <f t="shared" si="9"/>
        <v>0</v>
      </c>
    </row>
    <row r="254" spans="1:7">
      <c r="A254" s="198" t="s">
        <v>129</v>
      </c>
      <c r="B254" s="172" t="s">
        <v>130</v>
      </c>
      <c r="C254" s="149">
        <v>0</v>
      </c>
      <c r="D254" s="180">
        <v>0</v>
      </c>
      <c r="E254" s="149">
        <v>11723.490000000049</v>
      </c>
      <c r="F254" s="181">
        <v>0</v>
      </c>
      <c r="G254" s="181">
        <f t="shared" si="9"/>
        <v>0</v>
      </c>
    </row>
    <row r="255" spans="1:7">
      <c r="A255" s="198" t="s">
        <v>347</v>
      </c>
      <c r="B255" s="172" t="s">
        <v>348</v>
      </c>
      <c r="C255" s="149">
        <v>0</v>
      </c>
      <c r="D255" s="180">
        <v>0</v>
      </c>
      <c r="E255" s="149">
        <v>0</v>
      </c>
      <c r="F255" s="181">
        <v>0</v>
      </c>
      <c r="G255" s="181">
        <f t="shared" si="9"/>
        <v>0</v>
      </c>
    </row>
    <row r="256" spans="1:7">
      <c r="A256" s="198" t="s">
        <v>235</v>
      </c>
      <c r="B256" s="172" t="s">
        <v>236</v>
      </c>
      <c r="C256" s="149">
        <v>0</v>
      </c>
      <c r="D256" s="180">
        <v>0</v>
      </c>
      <c r="E256" s="149">
        <v>0</v>
      </c>
      <c r="F256" s="181">
        <v>0</v>
      </c>
      <c r="G256" s="181">
        <f t="shared" si="9"/>
        <v>0</v>
      </c>
    </row>
    <row r="257" spans="1:7">
      <c r="A257" s="198" t="s">
        <v>171</v>
      </c>
      <c r="B257" s="172" t="s">
        <v>172</v>
      </c>
      <c r="C257" s="149">
        <v>0</v>
      </c>
      <c r="D257" s="180">
        <v>0</v>
      </c>
      <c r="E257" s="149">
        <v>0</v>
      </c>
      <c r="F257" s="181">
        <v>0</v>
      </c>
      <c r="G257" s="181">
        <f t="shared" si="9"/>
        <v>0</v>
      </c>
    </row>
    <row r="258" spans="1:7">
      <c r="A258" s="198" t="s">
        <v>313</v>
      </c>
      <c r="B258" s="172" t="s">
        <v>314</v>
      </c>
      <c r="C258" s="149">
        <v>0</v>
      </c>
      <c r="D258" s="180">
        <v>0</v>
      </c>
      <c r="E258" s="149">
        <v>24157.479999999996</v>
      </c>
      <c r="F258" s="181">
        <v>0</v>
      </c>
      <c r="G258" s="181">
        <f t="shared" si="9"/>
        <v>0</v>
      </c>
    </row>
    <row r="259" spans="1:7">
      <c r="A259" s="198" t="s">
        <v>479</v>
      </c>
      <c r="B259" s="172" t="s">
        <v>480</v>
      </c>
      <c r="C259" s="149">
        <v>0</v>
      </c>
      <c r="D259" s="180">
        <v>0</v>
      </c>
      <c r="E259" s="149">
        <v>0</v>
      </c>
      <c r="F259" s="181">
        <v>1188000</v>
      </c>
      <c r="G259" s="181">
        <f t="shared" si="9"/>
        <v>1188000</v>
      </c>
    </row>
    <row r="260" spans="1:7">
      <c r="A260" s="198" t="s">
        <v>451</v>
      </c>
      <c r="B260" s="172" t="s">
        <v>452</v>
      </c>
      <c r="C260" s="149">
        <v>0</v>
      </c>
      <c r="D260" s="180">
        <v>0</v>
      </c>
      <c r="E260" s="149">
        <v>2894092.6900000004</v>
      </c>
      <c r="F260" s="181">
        <v>0</v>
      </c>
      <c r="G260" s="181">
        <f t="shared" si="9"/>
        <v>0</v>
      </c>
    </row>
    <row r="261" spans="1:7">
      <c r="A261" s="198" t="s">
        <v>297</v>
      </c>
      <c r="B261" s="172" t="s">
        <v>298</v>
      </c>
      <c r="C261" s="149">
        <v>0</v>
      </c>
      <c r="D261" s="180">
        <v>0</v>
      </c>
      <c r="E261" s="149">
        <v>0</v>
      </c>
      <c r="F261" s="181">
        <v>0</v>
      </c>
      <c r="G261" s="181">
        <f t="shared" si="9"/>
        <v>0</v>
      </c>
    </row>
    <row r="262" spans="1:7">
      <c r="A262" s="198" t="s">
        <v>577</v>
      </c>
      <c r="B262" s="172" t="s">
        <v>578</v>
      </c>
      <c r="C262" s="149">
        <v>0</v>
      </c>
      <c r="D262" s="180">
        <v>0</v>
      </c>
      <c r="E262" s="149">
        <v>0</v>
      </c>
      <c r="F262" s="181">
        <v>0</v>
      </c>
      <c r="G262" s="181">
        <f t="shared" si="9"/>
        <v>0</v>
      </c>
    </row>
    <row r="263" spans="1:7">
      <c r="A263" s="198" t="s">
        <v>449</v>
      </c>
      <c r="B263" s="172" t="s">
        <v>450</v>
      </c>
      <c r="C263" s="149">
        <v>0</v>
      </c>
      <c r="D263" s="180">
        <v>0</v>
      </c>
      <c r="E263" s="149">
        <v>0</v>
      </c>
      <c r="F263" s="181">
        <v>0</v>
      </c>
      <c r="G263" s="181">
        <f t="shared" si="9"/>
        <v>0</v>
      </c>
    </row>
    <row r="264" spans="1:7">
      <c r="A264" s="198" t="s">
        <v>115</v>
      </c>
      <c r="B264" s="172" t="s">
        <v>116</v>
      </c>
      <c r="C264" s="149">
        <v>0</v>
      </c>
      <c r="D264" s="180">
        <v>0</v>
      </c>
      <c r="E264" s="149">
        <v>0</v>
      </c>
      <c r="F264" s="181">
        <v>0</v>
      </c>
      <c r="G264" s="181">
        <f t="shared" si="9"/>
        <v>0</v>
      </c>
    </row>
    <row r="265" spans="1:7">
      <c r="A265" s="198" t="s">
        <v>75</v>
      </c>
      <c r="B265" s="172" t="s">
        <v>76</v>
      </c>
      <c r="C265" s="149">
        <v>0</v>
      </c>
      <c r="D265" s="180">
        <v>0</v>
      </c>
      <c r="E265" s="149">
        <v>0</v>
      </c>
      <c r="F265" s="181">
        <v>0</v>
      </c>
      <c r="G265" s="181">
        <f t="shared" ref="G265:G325" si="10">F265+D265</f>
        <v>0</v>
      </c>
    </row>
    <row r="266" spans="1:7">
      <c r="A266" s="198" t="s">
        <v>31</v>
      </c>
      <c r="B266" s="172" t="s">
        <v>32</v>
      </c>
      <c r="C266" s="149">
        <v>0</v>
      </c>
      <c r="D266" s="180">
        <v>0</v>
      </c>
      <c r="E266" s="149">
        <v>0</v>
      </c>
      <c r="F266" s="181">
        <v>0</v>
      </c>
      <c r="G266" s="181">
        <f t="shared" si="10"/>
        <v>0</v>
      </c>
    </row>
    <row r="267" spans="1:7">
      <c r="A267" s="198" t="s">
        <v>361</v>
      </c>
      <c r="B267" s="172" t="s">
        <v>362</v>
      </c>
      <c r="C267" s="149">
        <v>0</v>
      </c>
      <c r="D267" s="180">
        <v>0</v>
      </c>
      <c r="E267" s="149">
        <v>0</v>
      </c>
      <c r="F267" s="181">
        <v>0</v>
      </c>
      <c r="G267" s="181">
        <f t="shared" si="10"/>
        <v>0</v>
      </c>
    </row>
    <row r="268" spans="1:7">
      <c r="A268" s="198" t="s">
        <v>569</v>
      </c>
      <c r="B268" s="172" t="s">
        <v>570</v>
      </c>
      <c r="C268" s="149">
        <v>0</v>
      </c>
      <c r="D268" s="180">
        <v>0</v>
      </c>
      <c r="E268" s="149">
        <v>16747.830000000002</v>
      </c>
      <c r="F268" s="181">
        <v>0</v>
      </c>
      <c r="G268" s="181">
        <f t="shared" si="10"/>
        <v>0</v>
      </c>
    </row>
    <row r="269" spans="1:7">
      <c r="A269" s="198" t="s">
        <v>421</v>
      </c>
      <c r="B269" s="172" t="s">
        <v>422</v>
      </c>
      <c r="C269" s="149">
        <v>0</v>
      </c>
      <c r="D269" s="180">
        <v>0</v>
      </c>
      <c r="E269" s="149">
        <v>0</v>
      </c>
      <c r="F269" s="181">
        <v>0</v>
      </c>
      <c r="G269" s="181">
        <f t="shared" si="10"/>
        <v>0</v>
      </c>
    </row>
    <row r="270" spans="1:7">
      <c r="A270" s="198" t="s">
        <v>443</v>
      </c>
      <c r="B270" s="172" t="s">
        <v>444</v>
      </c>
      <c r="C270" s="149">
        <v>0</v>
      </c>
      <c r="D270" s="180">
        <v>0</v>
      </c>
      <c r="E270" s="149">
        <v>0</v>
      </c>
      <c r="F270" s="181">
        <v>0</v>
      </c>
      <c r="G270" s="181">
        <f t="shared" si="10"/>
        <v>0</v>
      </c>
    </row>
    <row r="271" spans="1:7">
      <c r="A271" s="198" t="s">
        <v>1022</v>
      </c>
      <c r="B271" s="172" t="s">
        <v>1040</v>
      </c>
      <c r="C271" s="149">
        <v>0</v>
      </c>
      <c r="D271" s="180">
        <v>0</v>
      </c>
      <c r="E271" s="149">
        <v>0</v>
      </c>
      <c r="F271" s="181">
        <v>947000</v>
      </c>
      <c r="G271" s="181">
        <f t="shared" si="10"/>
        <v>947000</v>
      </c>
    </row>
    <row r="272" spans="1:7">
      <c r="A272" s="198" t="s">
        <v>391</v>
      </c>
      <c r="B272" s="172" t="s">
        <v>392</v>
      </c>
      <c r="C272" s="149">
        <v>0</v>
      </c>
      <c r="D272" s="180">
        <v>0</v>
      </c>
      <c r="E272" s="149">
        <v>0</v>
      </c>
      <c r="F272" s="181">
        <v>0</v>
      </c>
      <c r="G272" s="181">
        <f t="shared" si="10"/>
        <v>0</v>
      </c>
    </row>
    <row r="273" spans="1:7">
      <c r="A273" s="198" t="s">
        <v>221</v>
      </c>
      <c r="B273" s="172" t="s">
        <v>222</v>
      </c>
      <c r="C273" s="149">
        <v>0</v>
      </c>
      <c r="D273" s="180">
        <v>0</v>
      </c>
      <c r="E273" s="149">
        <v>0</v>
      </c>
      <c r="F273" s="181">
        <v>658000</v>
      </c>
      <c r="G273" s="181">
        <f t="shared" si="10"/>
        <v>658000</v>
      </c>
    </row>
    <row r="274" spans="1:7">
      <c r="A274" s="198" t="s">
        <v>495</v>
      </c>
      <c r="B274" s="172" t="s">
        <v>496</v>
      </c>
      <c r="C274" s="149">
        <v>0</v>
      </c>
      <c r="D274" s="180">
        <v>0</v>
      </c>
      <c r="E274" s="149">
        <v>10742.300000000003</v>
      </c>
      <c r="F274" s="181">
        <v>0</v>
      </c>
      <c r="G274" s="181">
        <f t="shared" si="10"/>
        <v>0</v>
      </c>
    </row>
    <row r="275" spans="1:7">
      <c r="A275" s="198" t="s">
        <v>371</v>
      </c>
      <c r="B275" s="172" t="s">
        <v>372</v>
      </c>
      <c r="C275" s="149">
        <v>0</v>
      </c>
      <c r="D275" s="180">
        <v>0</v>
      </c>
      <c r="E275" s="149">
        <v>0</v>
      </c>
      <c r="F275" s="181">
        <v>0</v>
      </c>
      <c r="G275" s="181">
        <f t="shared" si="10"/>
        <v>0</v>
      </c>
    </row>
    <row r="276" spans="1:7">
      <c r="A276" s="198" t="s">
        <v>595</v>
      </c>
      <c r="B276" s="172" t="s">
        <v>596</v>
      </c>
      <c r="C276" s="149">
        <v>0</v>
      </c>
      <c r="D276" s="180">
        <v>0</v>
      </c>
      <c r="E276" s="149">
        <v>103092.19999999925</v>
      </c>
      <c r="F276" s="181">
        <v>0</v>
      </c>
      <c r="G276" s="181">
        <f t="shared" si="10"/>
        <v>0</v>
      </c>
    </row>
    <row r="277" spans="1:7">
      <c r="A277" s="198" t="s">
        <v>237</v>
      </c>
      <c r="B277" s="172" t="s">
        <v>238</v>
      </c>
      <c r="C277" s="149">
        <v>0</v>
      </c>
      <c r="D277" s="180">
        <v>0</v>
      </c>
      <c r="E277" s="149">
        <v>0</v>
      </c>
      <c r="F277" s="181">
        <v>0</v>
      </c>
      <c r="G277" s="181">
        <f t="shared" si="10"/>
        <v>0</v>
      </c>
    </row>
    <row r="278" spans="1:7">
      <c r="A278" s="198" t="s">
        <v>365</v>
      </c>
      <c r="B278" s="172" t="s">
        <v>366</v>
      </c>
      <c r="C278" s="149">
        <v>0</v>
      </c>
      <c r="D278" s="180">
        <v>0</v>
      </c>
      <c r="E278" s="149">
        <v>0</v>
      </c>
      <c r="F278" s="181">
        <v>0</v>
      </c>
      <c r="G278" s="181">
        <f t="shared" si="10"/>
        <v>0</v>
      </c>
    </row>
    <row r="279" spans="1:7">
      <c r="A279" s="198" t="s">
        <v>153</v>
      </c>
      <c r="B279" s="172" t="s">
        <v>154</v>
      </c>
      <c r="C279" s="149">
        <v>0</v>
      </c>
      <c r="D279" s="180">
        <v>0</v>
      </c>
      <c r="E279" s="149">
        <v>4855.1800000000221</v>
      </c>
      <c r="F279" s="181">
        <v>0</v>
      </c>
      <c r="G279" s="181">
        <f t="shared" si="10"/>
        <v>0</v>
      </c>
    </row>
    <row r="280" spans="1:7">
      <c r="A280" s="198" t="s">
        <v>207</v>
      </c>
      <c r="B280" s="172" t="s">
        <v>208</v>
      </c>
      <c r="C280" s="149">
        <v>0</v>
      </c>
      <c r="D280" s="180">
        <v>0</v>
      </c>
      <c r="E280" s="149">
        <v>739848.07000000007</v>
      </c>
      <c r="F280" s="181">
        <v>0</v>
      </c>
      <c r="G280" s="181">
        <f t="shared" si="10"/>
        <v>0</v>
      </c>
    </row>
    <row r="281" spans="1:7">
      <c r="A281" s="198" t="s">
        <v>559</v>
      </c>
      <c r="B281" s="172" t="s">
        <v>560</v>
      </c>
      <c r="C281" s="149">
        <v>0</v>
      </c>
      <c r="D281" s="180">
        <v>0</v>
      </c>
      <c r="E281" s="149">
        <v>51427.679999999993</v>
      </c>
      <c r="F281" s="181">
        <v>0</v>
      </c>
      <c r="G281" s="181">
        <f t="shared" si="10"/>
        <v>0</v>
      </c>
    </row>
    <row r="282" spans="1:7">
      <c r="A282" s="198" t="s">
        <v>521</v>
      </c>
      <c r="B282" s="172" t="s">
        <v>522</v>
      </c>
      <c r="C282" s="149">
        <v>0</v>
      </c>
      <c r="D282" s="180">
        <v>0</v>
      </c>
      <c r="E282" s="149">
        <v>0</v>
      </c>
      <c r="F282" s="181">
        <v>0</v>
      </c>
      <c r="G282" s="181">
        <f t="shared" si="10"/>
        <v>0</v>
      </c>
    </row>
    <row r="283" spans="1:7">
      <c r="A283" s="198" t="s">
        <v>243</v>
      </c>
      <c r="B283" s="172" t="s">
        <v>244</v>
      </c>
      <c r="C283" s="149">
        <v>0</v>
      </c>
      <c r="D283" s="180">
        <v>0</v>
      </c>
      <c r="E283" s="149">
        <v>0</v>
      </c>
      <c r="F283" s="181">
        <v>0</v>
      </c>
      <c r="G283" s="181">
        <f t="shared" si="10"/>
        <v>0</v>
      </c>
    </row>
    <row r="284" spans="1:7">
      <c r="A284" s="198" t="s">
        <v>285</v>
      </c>
      <c r="B284" s="172" t="s">
        <v>286</v>
      </c>
      <c r="C284" s="149">
        <v>0</v>
      </c>
      <c r="D284" s="180">
        <v>0</v>
      </c>
      <c r="E284" s="149">
        <v>69180.380000000019</v>
      </c>
      <c r="F284" s="181">
        <v>0</v>
      </c>
      <c r="G284" s="181">
        <f t="shared" si="10"/>
        <v>0</v>
      </c>
    </row>
    <row r="285" spans="1:7">
      <c r="A285" s="198" t="s">
        <v>339</v>
      </c>
      <c r="B285" s="172" t="s">
        <v>340</v>
      </c>
      <c r="C285" s="149">
        <v>0</v>
      </c>
      <c r="D285" s="180">
        <v>0</v>
      </c>
      <c r="E285" s="149">
        <v>10332</v>
      </c>
      <c r="F285" s="181">
        <v>0</v>
      </c>
      <c r="G285" s="181">
        <f t="shared" si="10"/>
        <v>0</v>
      </c>
    </row>
    <row r="286" spans="1:7">
      <c r="A286" s="198" t="s">
        <v>597</v>
      </c>
      <c r="B286" s="172" t="s">
        <v>598</v>
      </c>
      <c r="C286" s="149">
        <v>0</v>
      </c>
      <c r="D286" s="180">
        <v>0</v>
      </c>
      <c r="E286" s="149">
        <v>0</v>
      </c>
      <c r="F286" s="181">
        <v>0</v>
      </c>
      <c r="G286" s="181">
        <f t="shared" si="10"/>
        <v>0</v>
      </c>
    </row>
    <row r="287" spans="1:7">
      <c r="A287" s="198" t="s">
        <v>531</v>
      </c>
      <c r="B287" s="172" t="s">
        <v>532</v>
      </c>
      <c r="C287" s="149">
        <v>0</v>
      </c>
      <c r="D287" s="180">
        <v>0</v>
      </c>
      <c r="E287" s="149">
        <v>0</v>
      </c>
      <c r="F287" s="181">
        <v>0</v>
      </c>
      <c r="G287" s="181">
        <f t="shared" si="10"/>
        <v>0</v>
      </c>
    </row>
    <row r="288" spans="1:7">
      <c r="A288" s="198" t="s">
        <v>79</v>
      </c>
      <c r="B288" s="172" t="s">
        <v>80</v>
      </c>
      <c r="C288" s="149">
        <v>0</v>
      </c>
      <c r="D288" s="180">
        <v>0</v>
      </c>
      <c r="E288" s="149">
        <v>46251.08</v>
      </c>
      <c r="F288" s="181">
        <v>0</v>
      </c>
      <c r="G288" s="181">
        <f t="shared" si="10"/>
        <v>0</v>
      </c>
    </row>
    <row r="289" spans="1:7">
      <c r="A289" s="198" t="s">
        <v>257</v>
      </c>
      <c r="B289" s="172" t="s">
        <v>258</v>
      </c>
      <c r="C289" s="149">
        <v>0</v>
      </c>
      <c r="D289" s="180">
        <v>0</v>
      </c>
      <c r="E289" s="149">
        <v>34572.39</v>
      </c>
      <c r="F289" s="181">
        <v>0</v>
      </c>
      <c r="G289" s="181">
        <f t="shared" si="10"/>
        <v>0</v>
      </c>
    </row>
    <row r="290" spans="1:7">
      <c r="A290" s="198" t="s">
        <v>201</v>
      </c>
      <c r="B290" s="172" t="s">
        <v>202</v>
      </c>
      <c r="C290" s="149">
        <v>0</v>
      </c>
      <c r="D290" s="180">
        <v>0</v>
      </c>
      <c r="E290" s="149">
        <v>0</v>
      </c>
      <c r="F290" s="181">
        <v>0</v>
      </c>
      <c r="G290" s="181">
        <f t="shared" si="10"/>
        <v>0</v>
      </c>
    </row>
    <row r="291" spans="1:7">
      <c r="A291" s="198" t="s">
        <v>511</v>
      </c>
      <c r="B291" s="172" t="s">
        <v>512</v>
      </c>
      <c r="C291" s="149">
        <v>0</v>
      </c>
      <c r="D291" s="180">
        <v>0</v>
      </c>
      <c r="E291" s="149">
        <v>269090.53999999998</v>
      </c>
      <c r="F291" s="181">
        <v>0</v>
      </c>
      <c r="G291" s="181">
        <f t="shared" si="10"/>
        <v>0</v>
      </c>
    </row>
    <row r="292" spans="1:7">
      <c r="A292" s="198" t="s">
        <v>581</v>
      </c>
      <c r="B292" s="172" t="s">
        <v>582</v>
      </c>
      <c r="C292" s="149">
        <v>0</v>
      </c>
      <c r="D292" s="180">
        <v>0</v>
      </c>
      <c r="E292" s="149">
        <v>55606.180000000051</v>
      </c>
      <c r="F292" s="181">
        <v>0</v>
      </c>
      <c r="G292" s="181">
        <f t="shared" si="10"/>
        <v>0</v>
      </c>
    </row>
    <row r="293" spans="1:7">
      <c r="A293" s="198" t="s">
        <v>369</v>
      </c>
      <c r="B293" s="172" t="s">
        <v>370</v>
      </c>
      <c r="C293" s="149">
        <v>0</v>
      </c>
      <c r="D293" s="180">
        <v>0</v>
      </c>
      <c r="E293" s="149">
        <v>33614.080000000075</v>
      </c>
      <c r="F293" s="181">
        <v>0</v>
      </c>
      <c r="G293" s="181">
        <f t="shared" si="10"/>
        <v>0</v>
      </c>
    </row>
    <row r="294" spans="1:7">
      <c r="A294" s="198" t="s">
        <v>489</v>
      </c>
      <c r="B294" s="172" t="s">
        <v>490</v>
      </c>
      <c r="C294" s="149">
        <v>0</v>
      </c>
      <c r="D294" s="180">
        <v>0</v>
      </c>
      <c r="E294" s="149">
        <v>0</v>
      </c>
      <c r="F294" s="181">
        <v>0</v>
      </c>
      <c r="G294" s="181">
        <f t="shared" si="10"/>
        <v>0</v>
      </c>
    </row>
    <row r="295" spans="1:7">
      <c r="A295" s="198" t="s">
        <v>55</v>
      </c>
      <c r="B295" s="172" t="s">
        <v>56</v>
      </c>
      <c r="C295" s="149">
        <v>0</v>
      </c>
      <c r="D295" s="180">
        <v>0</v>
      </c>
      <c r="E295" s="149">
        <v>1373560.08</v>
      </c>
      <c r="F295" s="181">
        <v>0</v>
      </c>
      <c r="G295" s="181">
        <f t="shared" si="10"/>
        <v>0</v>
      </c>
    </row>
    <row r="296" spans="1:7">
      <c r="A296" s="198" t="s">
        <v>193</v>
      </c>
      <c r="B296" s="172" t="s">
        <v>194</v>
      </c>
      <c r="C296" s="149">
        <v>0</v>
      </c>
      <c r="D296" s="180">
        <v>0</v>
      </c>
      <c r="E296" s="149">
        <v>0</v>
      </c>
      <c r="F296" s="181">
        <v>0</v>
      </c>
      <c r="G296" s="181">
        <f t="shared" si="10"/>
        <v>0</v>
      </c>
    </row>
    <row r="297" spans="1:7">
      <c r="A297" s="198" t="s">
        <v>1024</v>
      </c>
      <c r="B297" s="172" t="s">
        <v>1044</v>
      </c>
      <c r="C297" s="149">
        <v>0</v>
      </c>
      <c r="D297" s="180">
        <v>0</v>
      </c>
      <c r="E297" s="149">
        <v>0</v>
      </c>
      <c r="F297" s="181">
        <v>223000</v>
      </c>
      <c r="G297" s="181">
        <f t="shared" si="10"/>
        <v>223000</v>
      </c>
    </row>
    <row r="298" spans="1:7">
      <c r="A298" s="198" t="s">
        <v>523</v>
      </c>
      <c r="B298" s="172" t="s">
        <v>524</v>
      </c>
      <c r="C298" s="149">
        <v>0</v>
      </c>
      <c r="D298" s="180">
        <v>0</v>
      </c>
      <c r="E298" s="149">
        <v>0</v>
      </c>
      <c r="F298" s="181">
        <v>0</v>
      </c>
      <c r="G298" s="181">
        <f t="shared" si="10"/>
        <v>0</v>
      </c>
    </row>
    <row r="299" spans="1:7">
      <c r="A299" s="198" t="s">
        <v>121</v>
      </c>
      <c r="B299" s="172" t="s">
        <v>122</v>
      </c>
      <c r="C299" s="149">
        <v>0</v>
      </c>
      <c r="D299" s="180">
        <v>0</v>
      </c>
      <c r="E299" s="149">
        <v>0</v>
      </c>
      <c r="F299" s="181">
        <v>0</v>
      </c>
      <c r="G299" s="181">
        <f t="shared" si="10"/>
        <v>0</v>
      </c>
    </row>
    <row r="300" spans="1:7">
      <c r="A300" s="198" t="s">
        <v>535</v>
      </c>
      <c r="B300" s="172" t="s">
        <v>536</v>
      </c>
      <c r="C300" s="149">
        <v>0</v>
      </c>
      <c r="D300" s="180">
        <v>0</v>
      </c>
      <c r="E300" s="149">
        <v>54591.159999999989</v>
      </c>
      <c r="F300" s="181">
        <v>0</v>
      </c>
      <c r="G300" s="181">
        <f t="shared" si="10"/>
        <v>0</v>
      </c>
    </row>
    <row r="301" spans="1:7">
      <c r="A301" s="198" t="s">
        <v>527</v>
      </c>
      <c r="B301" s="172" t="s">
        <v>528</v>
      </c>
      <c r="C301" s="149">
        <v>0</v>
      </c>
      <c r="D301" s="180">
        <v>0</v>
      </c>
      <c r="E301" s="149">
        <v>308413.8200000003</v>
      </c>
      <c r="F301" s="181">
        <v>0</v>
      </c>
      <c r="G301" s="181">
        <f t="shared" si="10"/>
        <v>0</v>
      </c>
    </row>
    <row r="302" spans="1:7">
      <c r="A302" s="198" t="s">
        <v>605</v>
      </c>
      <c r="B302" s="172" t="s">
        <v>606</v>
      </c>
      <c r="C302" s="149">
        <v>0</v>
      </c>
      <c r="D302" s="180">
        <v>0</v>
      </c>
      <c r="E302" s="149">
        <v>195391.34999999963</v>
      </c>
      <c r="F302" s="181">
        <v>0</v>
      </c>
      <c r="G302" s="181">
        <f t="shared" si="10"/>
        <v>0</v>
      </c>
    </row>
    <row r="303" spans="1:7">
      <c r="A303" s="198" t="s">
        <v>125</v>
      </c>
      <c r="B303" s="172" t="s">
        <v>126</v>
      </c>
      <c r="C303" s="149">
        <v>0</v>
      </c>
      <c r="D303" s="180">
        <v>0</v>
      </c>
      <c r="E303" s="149">
        <v>42326.339999999967</v>
      </c>
      <c r="F303" s="181">
        <v>0</v>
      </c>
      <c r="G303" s="181">
        <f t="shared" si="10"/>
        <v>0</v>
      </c>
    </row>
    <row r="304" spans="1:7">
      <c r="A304" s="198" t="s">
        <v>63</v>
      </c>
      <c r="B304" s="172" t="s">
        <v>64</v>
      </c>
      <c r="C304" s="149">
        <v>0</v>
      </c>
      <c r="D304" s="180">
        <v>0</v>
      </c>
      <c r="E304" s="149">
        <v>0</v>
      </c>
      <c r="F304" s="181">
        <v>0</v>
      </c>
      <c r="G304" s="181">
        <f t="shared" si="10"/>
        <v>0</v>
      </c>
    </row>
    <row r="305" spans="1:7">
      <c r="A305" s="198" t="s">
        <v>3</v>
      </c>
      <c r="B305" s="172" t="s">
        <v>4</v>
      </c>
      <c r="C305" s="149">
        <v>0</v>
      </c>
      <c r="D305" s="180">
        <v>0</v>
      </c>
      <c r="E305" s="149">
        <v>0</v>
      </c>
      <c r="F305" s="181">
        <v>0</v>
      </c>
      <c r="G305" s="181">
        <f t="shared" si="10"/>
        <v>0</v>
      </c>
    </row>
    <row r="306" spans="1:7">
      <c r="A306" s="198" t="s">
        <v>99</v>
      </c>
      <c r="B306" s="172" t="s">
        <v>100</v>
      </c>
      <c r="C306" s="149">
        <v>0</v>
      </c>
      <c r="D306" s="180">
        <v>0</v>
      </c>
      <c r="E306" s="149">
        <v>0</v>
      </c>
      <c r="F306" s="181">
        <v>0</v>
      </c>
      <c r="G306" s="181">
        <f t="shared" si="10"/>
        <v>0</v>
      </c>
    </row>
    <row r="307" spans="1:7">
      <c r="A307" s="198" t="s">
        <v>487</v>
      </c>
      <c r="B307" s="172" t="s">
        <v>488</v>
      </c>
      <c r="C307" s="149">
        <v>0</v>
      </c>
      <c r="D307" s="180">
        <v>0</v>
      </c>
      <c r="E307" s="149">
        <v>12030.350000000035</v>
      </c>
      <c r="F307" s="181">
        <v>0</v>
      </c>
      <c r="G307" s="181">
        <f t="shared" si="10"/>
        <v>0</v>
      </c>
    </row>
    <row r="308" spans="1:7">
      <c r="A308" s="198" t="s">
        <v>41</v>
      </c>
      <c r="B308" s="172" t="s">
        <v>42</v>
      </c>
      <c r="C308" s="149">
        <v>0</v>
      </c>
      <c r="D308" s="180">
        <v>0</v>
      </c>
      <c r="E308" s="149">
        <v>615660.39000000013</v>
      </c>
      <c r="F308" s="181">
        <v>0</v>
      </c>
      <c r="G308" s="181">
        <f t="shared" si="10"/>
        <v>0</v>
      </c>
    </row>
    <row r="309" spans="1:7">
      <c r="A309" s="198" t="s">
        <v>473</v>
      </c>
      <c r="B309" s="172" t="s">
        <v>474</v>
      </c>
      <c r="C309" s="149">
        <v>0</v>
      </c>
      <c r="D309" s="180">
        <v>0</v>
      </c>
      <c r="E309" s="149">
        <v>458264.60999999987</v>
      </c>
      <c r="F309" s="181">
        <v>0</v>
      </c>
      <c r="G309" s="181">
        <f t="shared" si="10"/>
        <v>0</v>
      </c>
    </row>
    <row r="310" spans="1:7">
      <c r="A310" s="198" t="s">
        <v>607</v>
      </c>
      <c r="B310" s="172" t="s">
        <v>608</v>
      </c>
      <c r="C310" s="149">
        <v>0</v>
      </c>
      <c r="D310" s="180">
        <v>0</v>
      </c>
      <c r="E310" s="149">
        <v>362597.61999999965</v>
      </c>
      <c r="F310" s="181">
        <v>0</v>
      </c>
      <c r="G310" s="181">
        <f t="shared" si="10"/>
        <v>0</v>
      </c>
    </row>
    <row r="311" spans="1:7">
      <c r="A311" s="198" t="s">
        <v>1253</v>
      </c>
      <c r="B311" s="172" t="s">
        <v>1254</v>
      </c>
      <c r="C311" s="149">
        <v>0</v>
      </c>
      <c r="D311" s="180">
        <v>0</v>
      </c>
      <c r="E311" s="149">
        <v>0</v>
      </c>
      <c r="F311" s="181">
        <v>0</v>
      </c>
      <c r="G311" s="181">
        <f t="shared" si="10"/>
        <v>0</v>
      </c>
    </row>
    <row r="312" spans="1:7">
      <c r="A312" s="198" t="s">
        <v>293</v>
      </c>
      <c r="B312" s="172" t="s">
        <v>294</v>
      </c>
      <c r="C312" s="149">
        <v>0</v>
      </c>
      <c r="D312" s="180">
        <v>0</v>
      </c>
      <c r="E312" s="149">
        <v>0</v>
      </c>
      <c r="F312" s="181">
        <v>0</v>
      </c>
      <c r="G312" s="181">
        <f t="shared" si="10"/>
        <v>0</v>
      </c>
    </row>
    <row r="313" spans="1:7">
      <c r="A313" s="198" t="s">
        <v>387</v>
      </c>
      <c r="B313" s="172" t="s">
        <v>388</v>
      </c>
      <c r="C313" s="149">
        <v>0</v>
      </c>
      <c r="D313" s="180">
        <v>0</v>
      </c>
      <c r="E313" s="149">
        <v>0</v>
      </c>
      <c r="F313" s="181">
        <v>0</v>
      </c>
      <c r="G313" s="181">
        <f t="shared" si="10"/>
        <v>0</v>
      </c>
    </row>
    <row r="314" spans="1:7">
      <c r="A314" s="198" t="s">
        <v>267</v>
      </c>
      <c r="B314" s="172" t="s">
        <v>268</v>
      </c>
      <c r="C314" s="149">
        <v>0</v>
      </c>
      <c r="D314" s="180">
        <v>0</v>
      </c>
      <c r="E314" s="149">
        <v>0</v>
      </c>
      <c r="F314" s="181">
        <v>0</v>
      </c>
      <c r="G314" s="181">
        <f t="shared" si="10"/>
        <v>0</v>
      </c>
    </row>
    <row r="315" spans="1:7">
      <c r="A315" s="198" t="s">
        <v>307</v>
      </c>
      <c r="B315" s="172" t="s">
        <v>308</v>
      </c>
      <c r="C315" s="149">
        <v>0</v>
      </c>
      <c r="D315" s="180">
        <v>0</v>
      </c>
      <c r="E315" s="149">
        <v>11046.809999999998</v>
      </c>
      <c r="F315" s="181">
        <v>0</v>
      </c>
      <c r="G315" s="181">
        <f t="shared" si="10"/>
        <v>0</v>
      </c>
    </row>
    <row r="316" spans="1:7">
      <c r="A316" s="198" t="s">
        <v>351</v>
      </c>
      <c r="B316" s="172" t="s">
        <v>352</v>
      </c>
      <c r="C316" s="149">
        <v>0</v>
      </c>
      <c r="D316" s="180">
        <v>0</v>
      </c>
      <c r="E316" s="149">
        <v>0</v>
      </c>
      <c r="F316" s="181">
        <v>0</v>
      </c>
      <c r="G316" s="181">
        <f t="shared" si="10"/>
        <v>0</v>
      </c>
    </row>
    <row r="317" spans="1:7">
      <c r="A317" s="198" t="s">
        <v>137</v>
      </c>
      <c r="B317" s="172" t="s">
        <v>138</v>
      </c>
      <c r="C317" s="149">
        <v>0</v>
      </c>
      <c r="D317" s="180">
        <v>0</v>
      </c>
      <c r="E317" s="149">
        <v>16341.82</v>
      </c>
      <c r="F317" s="181">
        <v>0</v>
      </c>
      <c r="G317" s="181">
        <f t="shared" si="10"/>
        <v>0</v>
      </c>
    </row>
    <row r="318" spans="1:7">
      <c r="A318" s="198" t="s">
        <v>281</v>
      </c>
      <c r="B318" s="172" t="s">
        <v>282</v>
      </c>
      <c r="C318" s="149">
        <v>0</v>
      </c>
      <c r="D318" s="180">
        <v>0</v>
      </c>
      <c r="E318" s="149">
        <v>0</v>
      </c>
      <c r="F318" s="181">
        <v>0</v>
      </c>
      <c r="G318" s="181">
        <f t="shared" si="10"/>
        <v>0</v>
      </c>
    </row>
    <row r="319" spans="1:7">
      <c r="A319" s="198" t="s">
        <v>161</v>
      </c>
      <c r="B319" s="172" t="s">
        <v>162</v>
      </c>
      <c r="C319" s="149">
        <v>0</v>
      </c>
      <c r="D319" s="180">
        <v>0</v>
      </c>
      <c r="E319" s="149">
        <v>10877.62999999999</v>
      </c>
      <c r="F319" s="181">
        <v>0</v>
      </c>
      <c r="G319" s="181">
        <f t="shared" si="10"/>
        <v>0</v>
      </c>
    </row>
    <row r="320" spans="1:7">
      <c r="A320" s="198" t="s">
        <v>251</v>
      </c>
      <c r="B320" s="172" t="s">
        <v>252</v>
      </c>
      <c r="C320" s="149">
        <v>0</v>
      </c>
      <c r="D320" s="180">
        <v>0</v>
      </c>
      <c r="E320" s="149">
        <v>1353.0200000000004</v>
      </c>
      <c r="F320" s="181">
        <v>0</v>
      </c>
      <c r="G320" s="181">
        <f t="shared" si="10"/>
        <v>0</v>
      </c>
    </row>
    <row r="321" spans="1:7">
      <c r="A321" s="198" t="s">
        <v>85</v>
      </c>
      <c r="B321" s="172" t="s">
        <v>86</v>
      </c>
      <c r="C321" s="149">
        <v>0</v>
      </c>
      <c r="D321" s="180">
        <v>0</v>
      </c>
      <c r="E321" s="149">
        <v>190586.91999999998</v>
      </c>
      <c r="F321" s="181">
        <v>0</v>
      </c>
      <c r="G321" s="181">
        <f t="shared" si="10"/>
        <v>0</v>
      </c>
    </row>
    <row r="322" spans="1:7">
      <c r="A322" s="198" t="s">
        <v>1039</v>
      </c>
      <c r="B322" s="172" t="s">
        <v>1045</v>
      </c>
      <c r="C322" s="149">
        <v>0</v>
      </c>
      <c r="D322" s="180">
        <v>0</v>
      </c>
      <c r="E322" s="149">
        <v>3445.9500000000044</v>
      </c>
      <c r="F322" s="181">
        <v>0</v>
      </c>
      <c r="G322" s="181">
        <f t="shared" si="10"/>
        <v>0</v>
      </c>
    </row>
    <row r="323" spans="1:7">
      <c r="A323" s="198" t="s">
        <v>585</v>
      </c>
      <c r="B323" s="172" t="s">
        <v>586</v>
      </c>
      <c r="C323" s="149">
        <v>0</v>
      </c>
      <c r="D323" s="180">
        <v>0</v>
      </c>
      <c r="E323" s="149">
        <v>609079.66999999993</v>
      </c>
      <c r="F323" s="181">
        <v>0</v>
      </c>
      <c r="G323" s="181">
        <f t="shared" si="10"/>
        <v>0</v>
      </c>
    </row>
    <row r="324" spans="1:7">
      <c r="A324" s="198" t="s">
        <v>507</v>
      </c>
      <c r="B324" s="172" t="s">
        <v>508</v>
      </c>
      <c r="C324" s="149">
        <v>0</v>
      </c>
      <c r="D324" s="180">
        <v>0</v>
      </c>
      <c r="E324" s="149">
        <v>587341.3200000003</v>
      </c>
      <c r="F324" s="181">
        <v>0</v>
      </c>
      <c r="G324" s="181">
        <f t="shared" si="10"/>
        <v>0</v>
      </c>
    </row>
    <row r="325" spans="1:7">
      <c r="A325" s="198" t="s">
        <v>603</v>
      </c>
      <c r="B325" s="172" t="s">
        <v>604</v>
      </c>
      <c r="C325" s="149">
        <v>0</v>
      </c>
      <c r="D325" s="180">
        <v>0</v>
      </c>
      <c r="E325" s="149">
        <v>79898.989999999991</v>
      </c>
      <c r="F325" s="181">
        <v>0</v>
      </c>
      <c r="G325" s="181">
        <f t="shared" si="10"/>
        <v>0</v>
      </c>
    </row>
  </sheetData>
  <autoFilter ref="A7:G7" xr:uid="{90E02738-1CD1-4EFB-912D-4113B93B6EF1}"/>
  <sortState xmlns:xlrd2="http://schemas.microsoft.com/office/spreadsheetml/2017/richdata2" ref="A8:B325">
    <sortCondition ref="B8:B325"/>
  </sortState>
  <mergeCells count="3">
    <mergeCell ref="B3:G3"/>
    <mergeCell ref="C4:G4"/>
    <mergeCell ref="B2:G2"/>
  </mergeCells>
  <pageMargins left="0.7" right="0.7" top="0.75" bottom="0.75" header="0.3" footer="0.3"/>
  <pageSetup scale="60" fitToHeight="0" orientation="landscape" r:id="rId1"/>
  <headerFooter>
    <oddFooter>&amp;CPage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indexed="45"/>
    <pageSetUpPr fitToPage="1"/>
  </sheetPr>
  <dimension ref="A1:F323"/>
  <sheetViews>
    <sheetView zoomScaleNormal="100" workbookViewId="0">
      <pane ySplit="5" topLeftCell="A6" activePane="bottomLeft" state="frozen"/>
      <selection activeCell="C3" sqref="C3:E3"/>
      <selection pane="bottomLeft" activeCell="C3" sqref="C3:E3"/>
    </sheetView>
  </sheetViews>
  <sheetFormatPr defaultColWidth="9.21875" defaultRowHeight="14.4"/>
  <cols>
    <col min="1" max="1" width="14.5546875" style="331" customWidth="1"/>
    <col min="2" max="2" width="25" style="331" customWidth="1"/>
    <col min="3" max="3" width="14.5546875" style="331" customWidth="1"/>
    <col min="4" max="5" width="14.5546875" style="361" customWidth="1"/>
    <col min="6" max="6" width="14.5546875" style="331" customWidth="1"/>
    <col min="7" max="16384" width="9.21875" style="340"/>
  </cols>
  <sheetData>
    <row r="1" spans="1:6" s="347" customFormat="1" ht="12">
      <c r="A1" s="347">
        <v>1</v>
      </c>
      <c r="B1" s="347">
        <v>2</v>
      </c>
      <c r="C1" s="347">
        <v>3</v>
      </c>
      <c r="D1" s="360">
        <v>4</v>
      </c>
      <c r="E1" s="360">
        <v>5</v>
      </c>
      <c r="F1" s="347">
        <v>6</v>
      </c>
    </row>
    <row r="2" spans="1:6" ht="15.6" customHeight="1">
      <c r="C2" s="473" t="s">
        <v>1283</v>
      </c>
      <c r="D2" s="469" t="s">
        <v>1282</v>
      </c>
      <c r="E2" s="471" t="s">
        <v>1238</v>
      </c>
      <c r="F2" s="474" t="s">
        <v>1281</v>
      </c>
    </row>
    <row r="3" spans="1:6">
      <c r="A3" s="332" t="s">
        <v>1280</v>
      </c>
      <c r="B3" s="332" t="s">
        <v>624</v>
      </c>
      <c r="C3" s="473"/>
      <c r="D3" s="470"/>
      <c r="E3" s="472"/>
      <c r="F3" s="475"/>
    </row>
    <row r="4" spans="1:6" ht="15.6" customHeight="1">
      <c r="A4" s="333" t="s">
        <v>627</v>
      </c>
      <c r="B4" s="332" t="s">
        <v>629</v>
      </c>
      <c r="C4" s="334">
        <f>SUM(C6:C323)</f>
        <v>192717051.42000008</v>
      </c>
      <c r="D4" s="334">
        <f t="shared" ref="D4:F4" si="0">SUM(D6:D323)</f>
        <v>742654220</v>
      </c>
      <c r="E4" s="334">
        <f t="shared" si="0"/>
        <v>1671202095</v>
      </c>
      <c r="F4" s="334">
        <f t="shared" si="0"/>
        <v>2606573366.4200006</v>
      </c>
    </row>
    <row r="5" spans="1:6" ht="6.6" customHeight="1">
      <c r="A5" s="333"/>
      <c r="B5" s="332"/>
      <c r="C5" s="334"/>
      <c r="D5" s="334"/>
      <c r="E5" s="335"/>
      <c r="F5" s="335"/>
    </row>
    <row r="6" spans="1:6">
      <c r="A6" s="331" t="s">
        <v>141</v>
      </c>
      <c r="B6" s="331" t="s">
        <v>142</v>
      </c>
      <c r="C6" s="336">
        <v>1370403</v>
      </c>
      <c r="D6" s="362">
        <v>5297103</v>
      </c>
      <c r="E6" s="363">
        <v>11906535</v>
      </c>
      <c r="F6" s="337">
        <f t="shared" ref="F6:F69" si="1">SUM(C6:E6)</f>
        <v>18574041</v>
      </c>
    </row>
    <row r="7" spans="1:6">
      <c r="A7" s="331" t="s">
        <v>279</v>
      </c>
      <c r="B7" s="331" t="s">
        <v>280</v>
      </c>
      <c r="C7" s="336">
        <v>118327</v>
      </c>
      <c r="D7" s="362">
        <v>392545</v>
      </c>
      <c r="E7" s="363">
        <v>882340</v>
      </c>
      <c r="F7" s="337">
        <f t="shared" si="1"/>
        <v>1393212</v>
      </c>
    </row>
    <row r="8" spans="1:6">
      <c r="A8" s="331" t="s">
        <v>301</v>
      </c>
      <c r="B8" s="331" t="s">
        <v>302</v>
      </c>
      <c r="C8" s="336">
        <v>1421</v>
      </c>
      <c r="D8" s="362">
        <v>4716</v>
      </c>
      <c r="E8" s="363">
        <v>68863</v>
      </c>
      <c r="F8" s="337">
        <f t="shared" si="1"/>
        <v>75000</v>
      </c>
    </row>
    <row r="9" spans="1:6">
      <c r="A9" s="331" t="s">
        <v>407</v>
      </c>
      <c r="B9" s="331" t="s">
        <v>408</v>
      </c>
      <c r="C9" s="336">
        <v>252402</v>
      </c>
      <c r="D9" s="362">
        <v>975673</v>
      </c>
      <c r="E9" s="363">
        <v>2193064</v>
      </c>
      <c r="F9" s="337">
        <f t="shared" si="1"/>
        <v>3421139</v>
      </c>
    </row>
    <row r="10" spans="1:6">
      <c r="A10" s="331" t="s">
        <v>431</v>
      </c>
      <c r="B10" s="331" t="s">
        <v>432</v>
      </c>
      <c r="C10" s="336">
        <v>428451</v>
      </c>
      <c r="D10" s="362">
        <v>1656375</v>
      </c>
      <c r="E10" s="363">
        <v>3723107</v>
      </c>
      <c r="F10" s="337">
        <f t="shared" si="1"/>
        <v>5807933</v>
      </c>
    </row>
    <row r="11" spans="1:6">
      <c r="A11" s="338" t="s">
        <v>15</v>
      </c>
      <c r="B11" s="331" t="s">
        <v>16</v>
      </c>
      <c r="C11" s="336">
        <v>94490</v>
      </c>
      <c r="D11" s="362">
        <v>332972</v>
      </c>
      <c r="E11" s="363">
        <v>748436</v>
      </c>
      <c r="F11" s="337">
        <f t="shared" si="1"/>
        <v>1175898</v>
      </c>
    </row>
    <row r="12" spans="1:6">
      <c r="A12" s="331" t="s">
        <v>205</v>
      </c>
      <c r="B12" s="331" t="s">
        <v>206</v>
      </c>
      <c r="C12" s="336">
        <v>3838559</v>
      </c>
      <c r="D12" s="362">
        <v>14837660</v>
      </c>
      <c r="E12" s="363">
        <v>33351270</v>
      </c>
      <c r="F12" s="337">
        <f t="shared" si="1"/>
        <v>52027489</v>
      </c>
    </row>
    <row r="13" spans="1:6">
      <c r="A13" s="331" t="s">
        <v>229</v>
      </c>
      <c r="B13" s="331" t="s">
        <v>230</v>
      </c>
      <c r="C13" s="336">
        <v>79794</v>
      </c>
      <c r="D13" s="362">
        <v>308593</v>
      </c>
      <c r="E13" s="363">
        <v>693639</v>
      </c>
      <c r="F13" s="337">
        <f t="shared" si="1"/>
        <v>1082026</v>
      </c>
    </row>
    <row r="14" spans="1:6">
      <c r="A14" s="331" t="s">
        <v>69</v>
      </c>
      <c r="B14" s="331" t="s">
        <v>70</v>
      </c>
      <c r="C14" s="336">
        <v>1509436</v>
      </c>
      <c r="D14" s="362">
        <v>5481728</v>
      </c>
      <c r="E14" s="363">
        <v>12321524</v>
      </c>
      <c r="F14" s="337">
        <f t="shared" si="1"/>
        <v>19312688</v>
      </c>
    </row>
    <row r="15" spans="1:6">
      <c r="A15" s="331" t="s">
        <v>199</v>
      </c>
      <c r="B15" s="331" t="s">
        <v>200</v>
      </c>
      <c r="C15" s="336">
        <v>1637596.1599999999</v>
      </c>
      <c r="D15" s="362">
        <v>6335309</v>
      </c>
      <c r="E15" s="363">
        <v>14240155</v>
      </c>
      <c r="F15" s="337">
        <f t="shared" si="1"/>
        <v>22213060.16</v>
      </c>
    </row>
    <row r="16" spans="1:6">
      <c r="A16" s="331" t="s">
        <v>539</v>
      </c>
      <c r="B16" s="331" t="s">
        <v>540</v>
      </c>
      <c r="C16" s="336">
        <v>1654081.74</v>
      </c>
      <c r="D16" s="362">
        <v>6877095</v>
      </c>
      <c r="E16" s="363">
        <v>15457954</v>
      </c>
      <c r="F16" s="337">
        <f t="shared" si="1"/>
        <v>23989130.740000002</v>
      </c>
    </row>
    <row r="17" spans="1:6">
      <c r="A17" s="331" t="s">
        <v>5</v>
      </c>
      <c r="B17" s="331" t="s">
        <v>6</v>
      </c>
      <c r="C17" s="336">
        <v>7544</v>
      </c>
      <c r="D17" s="362">
        <v>0</v>
      </c>
      <c r="E17" s="363">
        <v>67456</v>
      </c>
      <c r="F17" s="337">
        <f t="shared" si="1"/>
        <v>75000</v>
      </c>
    </row>
    <row r="18" spans="1:6">
      <c r="A18" s="331" t="s">
        <v>383</v>
      </c>
      <c r="B18" s="331" t="s">
        <v>384</v>
      </c>
      <c r="C18" s="336">
        <v>2964155</v>
      </c>
      <c r="D18" s="362">
        <v>11389190</v>
      </c>
      <c r="E18" s="363">
        <v>25599991</v>
      </c>
      <c r="F18" s="337">
        <f t="shared" si="1"/>
        <v>39953336</v>
      </c>
    </row>
    <row r="19" spans="1:6">
      <c r="A19" s="331" t="s">
        <v>253</v>
      </c>
      <c r="B19" s="331" t="s">
        <v>254</v>
      </c>
      <c r="C19" s="336">
        <v>0</v>
      </c>
      <c r="D19" s="362">
        <v>0</v>
      </c>
      <c r="E19" s="363">
        <v>61355</v>
      </c>
      <c r="F19" s="337">
        <f t="shared" si="1"/>
        <v>61355</v>
      </c>
    </row>
    <row r="20" spans="1:6">
      <c r="A20" s="331" t="s">
        <v>543</v>
      </c>
      <c r="B20" s="331" t="s">
        <v>544</v>
      </c>
      <c r="C20" s="336">
        <v>460414</v>
      </c>
      <c r="D20" s="362">
        <v>1779823</v>
      </c>
      <c r="E20" s="363">
        <v>4000588</v>
      </c>
      <c r="F20" s="337">
        <f t="shared" si="1"/>
        <v>6240825</v>
      </c>
    </row>
    <row r="21" spans="1:6">
      <c r="A21" s="331" t="s">
        <v>283</v>
      </c>
      <c r="B21" s="331" t="s">
        <v>284</v>
      </c>
      <c r="C21" s="336">
        <v>25927</v>
      </c>
      <c r="D21" s="362">
        <v>107706</v>
      </c>
      <c r="E21" s="363">
        <v>242095</v>
      </c>
      <c r="F21" s="337">
        <f t="shared" si="1"/>
        <v>375728</v>
      </c>
    </row>
    <row r="22" spans="1:6">
      <c r="A22" s="331" t="s">
        <v>227</v>
      </c>
      <c r="B22" s="331" t="s">
        <v>228</v>
      </c>
      <c r="C22" s="336">
        <v>1030175</v>
      </c>
      <c r="D22" s="362">
        <v>4205791</v>
      </c>
      <c r="E22" s="363">
        <v>9453545</v>
      </c>
      <c r="F22" s="337">
        <f t="shared" si="1"/>
        <v>14689511</v>
      </c>
    </row>
    <row r="23" spans="1:6">
      <c r="A23" s="331" t="s">
        <v>333</v>
      </c>
      <c r="B23" s="331" t="s">
        <v>334</v>
      </c>
      <c r="C23" s="336">
        <v>277292</v>
      </c>
      <c r="D23" s="362">
        <v>979205</v>
      </c>
      <c r="E23" s="363">
        <v>2201003</v>
      </c>
      <c r="F23" s="337">
        <f t="shared" si="1"/>
        <v>3457500</v>
      </c>
    </row>
    <row r="24" spans="1:6">
      <c r="A24" s="331" t="s">
        <v>91</v>
      </c>
      <c r="B24" s="331" t="s">
        <v>92</v>
      </c>
      <c r="C24" s="336">
        <v>259236</v>
      </c>
      <c r="D24" s="362">
        <v>995940</v>
      </c>
      <c r="E24" s="363">
        <v>2238619</v>
      </c>
      <c r="F24" s="337">
        <f t="shared" si="1"/>
        <v>3493795</v>
      </c>
    </row>
    <row r="25" spans="1:6">
      <c r="A25" s="331" t="s">
        <v>175</v>
      </c>
      <c r="B25" s="331" t="s">
        <v>176</v>
      </c>
      <c r="C25" s="336">
        <v>29972</v>
      </c>
      <c r="D25" s="362">
        <v>145941</v>
      </c>
      <c r="E25" s="363">
        <v>328037</v>
      </c>
      <c r="F25" s="337">
        <f t="shared" si="1"/>
        <v>503950</v>
      </c>
    </row>
    <row r="26" spans="1:6">
      <c r="A26" s="331" t="s">
        <v>403</v>
      </c>
      <c r="B26" s="331" t="s">
        <v>404</v>
      </c>
      <c r="C26" s="336">
        <v>690250.39</v>
      </c>
      <c r="D26" s="362">
        <v>2741461</v>
      </c>
      <c r="E26" s="363">
        <v>6162103</v>
      </c>
      <c r="F26" s="337">
        <f t="shared" si="1"/>
        <v>9593814.3900000006</v>
      </c>
    </row>
    <row r="27" spans="1:6">
      <c r="A27" s="331" t="s">
        <v>67</v>
      </c>
      <c r="B27" s="331" t="s">
        <v>68</v>
      </c>
      <c r="C27" s="336">
        <v>330916.5</v>
      </c>
      <c r="D27" s="362">
        <v>671767</v>
      </c>
      <c r="E27" s="363">
        <v>1509960</v>
      </c>
      <c r="F27" s="337">
        <f t="shared" si="1"/>
        <v>2512643.5</v>
      </c>
    </row>
    <row r="28" spans="1:6">
      <c r="A28" s="331" t="s">
        <v>49</v>
      </c>
      <c r="B28" s="331" t="s">
        <v>50</v>
      </c>
      <c r="C28" s="336">
        <v>118192</v>
      </c>
      <c r="D28" s="362">
        <v>392366</v>
      </c>
      <c r="E28" s="363">
        <v>881938</v>
      </c>
      <c r="F28" s="337">
        <f t="shared" si="1"/>
        <v>1392496</v>
      </c>
    </row>
    <row r="29" spans="1:6">
      <c r="A29" s="331" t="s">
        <v>367</v>
      </c>
      <c r="B29" s="331" t="s">
        <v>368</v>
      </c>
      <c r="C29" s="336">
        <v>20169</v>
      </c>
      <c r="D29" s="362">
        <v>61199</v>
      </c>
      <c r="E29" s="363">
        <v>137560</v>
      </c>
      <c r="F29" s="337">
        <f t="shared" si="1"/>
        <v>218928</v>
      </c>
    </row>
    <row r="30" spans="1:6">
      <c r="A30" s="331" t="s">
        <v>1226</v>
      </c>
      <c r="B30" s="331" t="s">
        <v>1227</v>
      </c>
      <c r="C30" s="336">
        <v>0</v>
      </c>
      <c r="D30" s="362">
        <v>107797</v>
      </c>
      <c r="E30" s="363">
        <v>416471</v>
      </c>
      <c r="F30" s="337">
        <f t="shared" si="1"/>
        <v>524268</v>
      </c>
    </row>
    <row r="31" spans="1:6">
      <c r="A31" s="331" t="s">
        <v>39</v>
      </c>
      <c r="B31" s="331" t="s">
        <v>40</v>
      </c>
      <c r="C31" s="336">
        <v>456026</v>
      </c>
      <c r="D31" s="362">
        <v>1652397</v>
      </c>
      <c r="E31" s="363">
        <v>3714165</v>
      </c>
      <c r="F31" s="337">
        <f t="shared" si="1"/>
        <v>5822588</v>
      </c>
    </row>
    <row r="32" spans="1:6">
      <c r="A32" s="331" t="s">
        <v>37</v>
      </c>
      <c r="B32" s="331" t="s">
        <v>38</v>
      </c>
      <c r="C32" s="336">
        <v>324900</v>
      </c>
      <c r="D32" s="362">
        <v>1255942</v>
      </c>
      <c r="E32" s="363">
        <v>2823037</v>
      </c>
      <c r="F32" s="337">
        <f t="shared" si="1"/>
        <v>4403879</v>
      </c>
    </row>
    <row r="33" spans="1:6">
      <c r="A33" s="331" t="s">
        <v>81</v>
      </c>
      <c r="B33" s="331" t="s">
        <v>82</v>
      </c>
      <c r="C33" s="336">
        <v>196577</v>
      </c>
      <c r="D33" s="362">
        <v>759920</v>
      </c>
      <c r="E33" s="363">
        <v>1708107</v>
      </c>
      <c r="F33" s="337">
        <f t="shared" si="1"/>
        <v>2664604</v>
      </c>
    </row>
    <row r="34" spans="1:6">
      <c r="A34" s="331" t="s">
        <v>1228</v>
      </c>
      <c r="B34" s="331" t="s">
        <v>1229</v>
      </c>
      <c r="C34" s="336">
        <v>46741</v>
      </c>
      <c r="D34" s="362">
        <v>78223</v>
      </c>
      <c r="E34" s="363">
        <v>175825</v>
      </c>
      <c r="F34" s="337">
        <f t="shared" si="1"/>
        <v>300789</v>
      </c>
    </row>
    <row r="35" spans="1:6">
      <c r="A35" s="331" t="s">
        <v>255</v>
      </c>
      <c r="B35" s="331" t="s">
        <v>256</v>
      </c>
      <c r="C35" s="336">
        <v>23197</v>
      </c>
      <c r="D35" s="362">
        <v>88755</v>
      </c>
      <c r="E35" s="363">
        <v>199500</v>
      </c>
      <c r="F35" s="337">
        <f t="shared" si="1"/>
        <v>311452</v>
      </c>
    </row>
    <row r="36" spans="1:6">
      <c r="A36" s="331" t="s">
        <v>233</v>
      </c>
      <c r="B36" s="331" t="s">
        <v>234</v>
      </c>
      <c r="C36" s="336">
        <v>924686</v>
      </c>
      <c r="D36" s="362">
        <v>4083855</v>
      </c>
      <c r="E36" s="363">
        <v>9179464</v>
      </c>
      <c r="F36" s="337">
        <f t="shared" si="1"/>
        <v>14188005</v>
      </c>
    </row>
    <row r="37" spans="1:6">
      <c r="A37" s="331" t="s">
        <v>463</v>
      </c>
      <c r="B37" s="331" t="s">
        <v>464</v>
      </c>
      <c r="C37" s="336">
        <v>2457199</v>
      </c>
      <c r="D37" s="362">
        <v>9498331</v>
      </c>
      <c r="E37" s="363">
        <v>21349822</v>
      </c>
      <c r="F37" s="337">
        <f t="shared" si="1"/>
        <v>33305352</v>
      </c>
    </row>
    <row r="38" spans="1:6">
      <c r="A38" s="331" t="s">
        <v>295</v>
      </c>
      <c r="B38" s="331" t="s">
        <v>296</v>
      </c>
      <c r="C38" s="336">
        <v>1099915.96</v>
      </c>
      <c r="D38" s="362">
        <v>4220149</v>
      </c>
      <c r="E38" s="363">
        <v>9485816</v>
      </c>
      <c r="F38" s="337">
        <f t="shared" si="1"/>
        <v>14805880.960000001</v>
      </c>
    </row>
    <row r="39" spans="1:6">
      <c r="A39" s="331" t="s">
        <v>291</v>
      </c>
      <c r="B39" s="331" t="s">
        <v>292</v>
      </c>
      <c r="C39" s="336">
        <v>474294</v>
      </c>
      <c r="D39" s="362">
        <v>1747879</v>
      </c>
      <c r="E39" s="363">
        <v>3928785</v>
      </c>
      <c r="F39" s="337">
        <f t="shared" si="1"/>
        <v>6150958</v>
      </c>
    </row>
    <row r="40" spans="1:6">
      <c r="A40" s="331" t="s">
        <v>467</v>
      </c>
      <c r="B40" s="331" t="s">
        <v>468</v>
      </c>
      <c r="C40" s="336">
        <v>688737</v>
      </c>
      <c r="D40" s="362">
        <v>2662509</v>
      </c>
      <c r="E40" s="363">
        <v>5984640</v>
      </c>
      <c r="F40" s="337">
        <f t="shared" si="1"/>
        <v>9335886</v>
      </c>
    </row>
    <row r="41" spans="1:6">
      <c r="A41" s="331" t="s">
        <v>485</v>
      </c>
      <c r="B41" s="331" t="s">
        <v>486</v>
      </c>
      <c r="C41" s="336">
        <v>294158</v>
      </c>
      <c r="D41" s="362">
        <v>1137779</v>
      </c>
      <c r="E41" s="363">
        <v>2557437</v>
      </c>
      <c r="F41" s="337">
        <f t="shared" si="1"/>
        <v>3989374</v>
      </c>
    </row>
    <row r="42" spans="1:6">
      <c r="A42" s="331" t="s">
        <v>1038</v>
      </c>
      <c r="B42" s="331" t="s">
        <v>1043</v>
      </c>
      <c r="C42" s="336">
        <v>0</v>
      </c>
      <c r="D42" s="362">
        <v>0</v>
      </c>
      <c r="E42" s="363">
        <v>0</v>
      </c>
      <c r="F42" s="337">
        <f t="shared" si="1"/>
        <v>0</v>
      </c>
    </row>
    <row r="43" spans="1:6">
      <c r="A43" s="331" t="s">
        <v>179</v>
      </c>
      <c r="B43" s="331" t="s">
        <v>180</v>
      </c>
      <c r="C43" s="336">
        <v>138146</v>
      </c>
      <c r="D43" s="362">
        <v>534423</v>
      </c>
      <c r="E43" s="363">
        <v>1201246</v>
      </c>
      <c r="F43" s="337">
        <f t="shared" si="1"/>
        <v>1873815</v>
      </c>
    </row>
    <row r="44" spans="1:6">
      <c r="A44" s="331" t="s">
        <v>13</v>
      </c>
      <c r="B44" s="331" t="s">
        <v>14</v>
      </c>
      <c r="C44" s="336">
        <v>629268</v>
      </c>
      <c r="D44" s="362">
        <v>2432526</v>
      </c>
      <c r="E44" s="363">
        <v>5467697</v>
      </c>
      <c r="F44" s="337">
        <f t="shared" si="1"/>
        <v>8529491</v>
      </c>
    </row>
    <row r="45" spans="1:6">
      <c r="A45" s="331" t="s">
        <v>249</v>
      </c>
      <c r="B45" s="331" t="s">
        <v>250</v>
      </c>
      <c r="C45" s="336">
        <v>154226</v>
      </c>
      <c r="D45" s="362">
        <v>643468</v>
      </c>
      <c r="E45" s="363">
        <v>1446353</v>
      </c>
      <c r="F45" s="337">
        <f t="shared" si="1"/>
        <v>2244047</v>
      </c>
    </row>
    <row r="46" spans="1:6">
      <c r="A46" s="331" t="s">
        <v>377</v>
      </c>
      <c r="B46" s="331" t="s">
        <v>378</v>
      </c>
      <c r="C46" s="336">
        <v>1986001.25</v>
      </c>
      <c r="D46" s="362">
        <v>12803993</v>
      </c>
      <c r="E46" s="363">
        <v>28780105</v>
      </c>
      <c r="F46" s="337">
        <f t="shared" si="1"/>
        <v>43570099.25</v>
      </c>
    </row>
    <row r="47" spans="1:6">
      <c r="A47" s="331" t="s">
        <v>563</v>
      </c>
      <c r="B47" s="331" t="s">
        <v>564</v>
      </c>
      <c r="C47" s="336">
        <v>93264</v>
      </c>
      <c r="D47" s="362">
        <v>309836</v>
      </c>
      <c r="E47" s="363">
        <v>696432</v>
      </c>
      <c r="F47" s="337">
        <f t="shared" si="1"/>
        <v>1099532</v>
      </c>
    </row>
    <row r="48" spans="1:6">
      <c r="A48" s="331" t="s">
        <v>529</v>
      </c>
      <c r="B48" s="331" t="s">
        <v>530</v>
      </c>
      <c r="C48" s="336">
        <v>352364</v>
      </c>
      <c r="D48" s="362">
        <v>1236608</v>
      </c>
      <c r="E48" s="363">
        <v>2779580</v>
      </c>
      <c r="F48" s="337">
        <f t="shared" si="1"/>
        <v>4368552</v>
      </c>
    </row>
    <row r="49" spans="1:6">
      <c r="A49" s="331" t="s">
        <v>571</v>
      </c>
      <c r="B49" s="331" t="s">
        <v>572</v>
      </c>
      <c r="C49" s="336">
        <v>38943</v>
      </c>
      <c r="D49" s="362">
        <v>129261</v>
      </c>
      <c r="E49" s="363">
        <v>290546</v>
      </c>
      <c r="F49" s="337">
        <f t="shared" si="1"/>
        <v>458750</v>
      </c>
    </row>
    <row r="50" spans="1:6">
      <c r="A50" s="331" t="s">
        <v>499</v>
      </c>
      <c r="B50" s="331" t="s">
        <v>500</v>
      </c>
      <c r="C50" s="336">
        <v>62490</v>
      </c>
      <c r="D50" s="362">
        <v>223247</v>
      </c>
      <c r="E50" s="363">
        <v>501802</v>
      </c>
      <c r="F50" s="337">
        <f t="shared" si="1"/>
        <v>787539</v>
      </c>
    </row>
    <row r="51" spans="1:6">
      <c r="A51" s="331" t="s">
        <v>533</v>
      </c>
      <c r="B51" s="331" t="s">
        <v>534</v>
      </c>
      <c r="C51" s="336">
        <v>198113</v>
      </c>
      <c r="D51" s="362">
        <v>760132</v>
      </c>
      <c r="E51" s="363">
        <v>1708582</v>
      </c>
      <c r="F51" s="337">
        <f t="shared" si="1"/>
        <v>2666827</v>
      </c>
    </row>
    <row r="52" spans="1:6">
      <c r="A52" s="331" t="s">
        <v>491</v>
      </c>
      <c r="B52" s="331" t="s">
        <v>492</v>
      </c>
      <c r="C52" s="336">
        <v>523489</v>
      </c>
      <c r="D52" s="362">
        <v>2003603</v>
      </c>
      <c r="E52" s="363">
        <v>4503588</v>
      </c>
      <c r="F52" s="337">
        <f t="shared" si="1"/>
        <v>7030680</v>
      </c>
    </row>
    <row r="53" spans="1:6">
      <c r="A53" s="331" t="s">
        <v>401</v>
      </c>
      <c r="B53" s="331" t="s">
        <v>402</v>
      </c>
      <c r="C53" s="336">
        <v>134527</v>
      </c>
      <c r="D53" s="362">
        <v>446523</v>
      </c>
      <c r="E53" s="363">
        <v>1003669</v>
      </c>
      <c r="F53" s="337">
        <f t="shared" si="1"/>
        <v>1584719</v>
      </c>
    </row>
    <row r="54" spans="1:6">
      <c r="A54" s="331" t="s">
        <v>411</v>
      </c>
      <c r="B54" s="331" t="s">
        <v>412</v>
      </c>
      <c r="C54" s="336">
        <v>34850</v>
      </c>
      <c r="D54" s="362">
        <v>134732</v>
      </c>
      <c r="E54" s="363">
        <v>302843</v>
      </c>
      <c r="F54" s="337">
        <f t="shared" si="1"/>
        <v>472425</v>
      </c>
    </row>
    <row r="55" spans="1:6">
      <c r="A55" s="331" t="s">
        <v>157</v>
      </c>
      <c r="B55" s="331" t="s">
        <v>158</v>
      </c>
      <c r="C55" s="336">
        <v>42897</v>
      </c>
      <c r="D55" s="362">
        <v>160812</v>
      </c>
      <c r="E55" s="363">
        <v>361464</v>
      </c>
      <c r="F55" s="337">
        <f t="shared" si="1"/>
        <v>565173</v>
      </c>
    </row>
    <row r="56" spans="1:6">
      <c r="A56" s="331" t="s">
        <v>127</v>
      </c>
      <c r="B56" s="331" t="s">
        <v>128</v>
      </c>
      <c r="C56" s="336">
        <v>65358</v>
      </c>
      <c r="D56" s="362">
        <v>249457</v>
      </c>
      <c r="E56" s="363">
        <v>560715</v>
      </c>
      <c r="F56" s="337">
        <f t="shared" si="1"/>
        <v>875530</v>
      </c>
    </row>
    <row r="57" spans="1:6">
      <c r="A57" s="331" t="s">
        <v>169</v>
      </c>
      <c r="B57" s="331" t="s">
        <v>170</v>
      </c>
      <c r="C57" s="336">
        <v>202019</v>
      </c>
      <c r="D57" s="362">
        <v>732045</v>
      </c>
      <c r="E57" s="363">
        <v>1645450</v>
      </c>
      <c r="F57" s="337">
        <f t="shared" si="1"/>
        <v>2579514</v>
      </c>
    </row>
    <row r="58" spans="1:6">
      <c r="A58" s="331" t="s">
        <v>45</v>
      </c>
      <c r="B58" s="331" t="s">
        <v>46</v>
      </c>
      <c r="C58" s="336">
        <v>96702</v>
      </c>
      <c r="D58" s="362">
        <v>321025</v>
      </c>
      <c r="E58" s="363">
        <v>721582</v>
      </c>
      <c r="F58" s="337">
        <f t="shared" si="1"/>
        <v>1139309</v>
      </c>
    </row>
    <row r="59" spans="1:6">
      <c r="A59" s="331" t="s">
        <v>303</v>
      </c>
      <c r="B59" s="331" t="s">
        <v>304</v>
      </c>
      <c r="C59" s="336">
        <v>12198</v>
      </c>
      <c r="D59" s="362">
        <v>45580</v>
      </c>
      <c r="E59" s="363">
        <v>102451</v>
      </c>
      <c r="F59" s="337">
        <f t="shared" si="1"/>
        <v>160229</v>
      </c>
    </row>
    <row r="60" spans="1:6">
      <c r="A60" s="331" t="s">
        <v>103</v>
      </c>
      <c r="B60" s="331" t="s">
        <v>104</v>
      </c>
      <c r="C60" s="336">
        <v>54422</v>
      </c>
      <c r="D60" s="362">
        <v>210366</v>
      </c>
      <c r="E60" s="363">
        <v>472849</v>
      </c>
      <c r="F60" s="337">
        <f t="shared" si="1"/>
        <v>737637</v>
      </c>
    </row>
    <row r="61" spans="1:6">
      <c r="A61" s="331" t="s">
        <v>357</v>
      </c>
      <c r="B61" s="331" t="s">
        <v>358</v>
      </c>
      <c r="C61" s="336">
        <v>113704</v>
      </c>
      <c r="D61" s="362">
        <v>439513</v>
      </c>
      <c r="E61" s="363">
        <v>987913</v>
      </c>
      <c r="F61" s="337">
        <f t="shared" si="1"/>
        <v>1541130</v>
      </c>
    </row>
    <row r="62" spans="1:6">
      <c r="A62" s="331" t="s">
        <v>239</v>
      </c>
      <c r="B62" s="331" t="s">
        <v>240</v>
      </c>
      <c r="C62" s="336">
        <v>14423</v>
      </c>
      <c r="D62" s="362">
        <v>0</v>
      </c>
      <c r="E62" s="363">
        <v>60577</v>
      </c>
      <c r="F62" s="337">
        <f t="shared" si="1"/>
        <v>75000</v>
      </c>
    </row>
    <row r="63" spans="1:6">
      <c r="A63" s="331" t="s">
        <v>445</v>
      </c>
      <c r="B63" s="331" t="s">
        <v>446</v>
      </c>
      <c r="C63" s="336">
        <v>139816</v>
      </c>
      <c r="D63" s="362">
        <v>506974</v>
      </c>
      <c r="E63" s="363">
        <v>1139547</v>
      </c>
      <c r="F63" s="337">
        <f t="shared" si="1"/>
        <v>1786337</v>
      </c>
    </row>
    <row r="64" spans="1:6">
      <c r="A64" s="331" t="s">
        <v>311</v>
      </c>
      <c r="B64" s="331" t="s">
        <v>312</v>
      </c>
      <c r="C64" s="336">
        <v>118827</v>
      </c>
      <c r="D64" s="362">
        <v>459686</v>
      </c>
      <c r="E64" s="363">
        <v>1033257</v>
      </c>
      <c r="F64" s="337">
        <f t="shared" si="1"/>
        <v>1611770</v>
      </c>
    </row>
    <row r="65" spans="1:6">
      <c r="A65" s="331" t="s">
        <v>73</v>
      </c>
      <c r="B65" s="331" t="s">
        <v>74</v>
      </c>
      <c r="C65" s="336">
        <v>122307</v>
      </c>
      <c r="D65" s="362">
        <v>465092</v>
      </c>
      <c r="E65" s="363">
        <v>1045408</v>
      </c>
      <c r="F65" s="337">
        <f t="shared" si="1"/>
        <v>1632807</v>
      </c>
    </row>
    <row r="66" spans="1:6">
      <c r="A66" s="331" t="s">
        <v>475</v>
      </c>
      <c r="B66" s="331" t="s">
        <v>476</v>
      </c>
      <c r="C66" s="336">
        <v>446439</v>
      </c>
      <c r="D66" s="362">
        <v>1617570</v>
      </c>
      <c r="E66" s="363">
        <v>3635885</v>
      </c>
      <c r="F66" s="337">
        <f t="shared" si="1"/>
        <v>5699894</v>
      </c>
    </row>
    <row r="67" spans="1:6">
      <c r="A67" s="331" t="s">
        <v>373</v>
      </c>
      <c r="B67" s="331" t="s">
        <v>374</v>
      </c>
      <c r="C67" s="336">
        <v>50371</v>
      </c>
      <c r="D67" s="362">
        <v>336849</v>
      </c>
      <c r="E67" s="363">
        <v>757151</v>
      </c>
      <c r="F67" s="337">
        <f t="shared" si="1"/>
        <v>1144371</v>
      </c>
    </row>
    <row r="68" spans="1:6">
      <c r="A68" s="331" t="s">
        <v>525</v>
      </c>
      <c r="B68" s="331" t="s">
        <v>526</v>
      </c>
      <c r="C68" s="336">
        <v>4274.3999999999996</v>
      </c>
      <c r="D68" s="362">
        <v>73982</v>
      </c>
      <c r="E68" s="363">
        <v>166292</v>
      </c>
      <c r="F68" s="337">
        <f t="shared" si="1"/>
        <v>244548.4</v>
      </c>
    </row>
    <row r="69" spans="1:6">
      <c r="A69" s="331" t="s">
        <v>469</v>
      </c>
      <c r="B69" s="331" t="s">
        <v>470</v>
      </c>
      <c r="C69" s="336">
        <v>921380</v>
      </c>
      <c r="D69" s="362">
        <v>3561770</v>
      </c>
      <c r="E69" s="363">
        <v>8005949</v>
      </c>
      <c r="F69" s="337">
        <f t="shared" si="1"/>
        <v>12489099</v>
      </c>
    </row>
    <row r="70" spans="1:6">
      <c r="A70" s="331" t="s">
        <v>587</v>
      </c>
      <c r="B70" s="331" t="s">
        <v>588</v>
      </c>
      <c r="C70" s="336">
        <v>508484</v>
      </c>
      <c r="D70" s="362">
        <v>1965674</v>
      </c>
      <c r="E70" s="363">
        <v>4418333</v>
      </c>
      <c r="F70" s="337">
        <f t="shared" ref="F70:F133" si="2">SUM(C70:E70)</f>
        <v>6892491</v>
      </c>
    </row>
    <row r="71" spans="1:6">
      <c r="A71" s="331" t="s">
        <v>95</v>
      </c>
      <c r="B71" s="331" t="s">
        <v>96</v>
      </c>
      <c r="C71" s="336">
        <v>1250145</v>
      </c>
      <c r="D71" s="362">
        <v>4565666</v>
      </c>
      <c r="E71" s="363">
        <v>10262452</v>
      </c>
      <c r="F71" s="337">
        <f t="shared" si="2"/>
        <v>16078263</v>
      </c>
    </row>
    <row r="72" spans="1:6">
      <c r="A72" s="331" t="s">
        <v>241</v>
      </c>
      <c r="B72" s="331" t="s">
        <v>242</v>
      </c>
      <c r="C72" s="336">
        <v>10321</v>
      </c>
      <c r="D72" s="362">
        <v>53155</v>
      </c>
      <c r="E72" s="363">
        <v>119479</v>
      </c>
      <c r="F72" s="337">
        <f t="shared" si="2"/>
        <v>182955</v>
      </c>
    </row>
    <row r="73" spans="1:6">
      <c r="A73" s="331" t="s">
        <v>385</v>
      </c>
      <c r="B73" s="331" t="s">
        <v>386</v>
      </c>
      <c r="C73" s="336">
        <v>152942</v>
      </c>
      <c r="D73" s="362">
        <v>591205</v>
      </c>
      <c r="E73" s="363">
        <v>1328877</v>
      </c>
      <c r="F73" s="337">
        <f t="shared" si="2"/>
        <v>2073024</v>
      </c>
    </row>
    <row r="74" spans="1:6">
      <c r="A74" s="331" t="s">
        <v>429</v>
      </c>
      <c r="B74" s="331" t="s">
        <v>430</v>
      </c>
      <c r="C74" s="336">
        <v>2314449.5499999998</v>
      </c>
      <c r="D74" s="362">
        <v>8993764</v>
      </c>
      <c r="E74" s="363">
        <v>20215685</v>
      </c>
      <c r="F74" s="337">
        <f t="shared" si="2"/>
        <v>31523898.550000001</v>
      </c>
    </row>
    <row r="75" spans="1:6">
      <c r="A75" s="331" t="s">
        <v>245</v>
      </c>
      <c r="B75" s="331" t="s">
        <v>246</v>
      </c>
      <c r="C75" s="336">
        <v>612490</v>
      </c>
      <c r="D75" s="362">
        <v>2227143</v>
      </c>
      <c r="E75" s="363">
        <v>5006048</v>
      </c>
      <c r="F75" s="337">
        <f t="shared" si="2"/>
        <v>7845681</v>
      </c>
    </row>
    <row r="76" spans="1:6">
      <c r="A76" s="331" t="s">
        <v>151</v>
      </c>
      <c r="B76" s="331" t="s">
        <v>152</v>
      </c>
      <c r="C76" s="336">
        <v>359083</v>
      </c>
      <c r="D76" s="362">
        <v>1377764</v>
      </c>
      <c r="E76" s="363">
        <v>3096862</v>
      </c>
      <c r="F76" s="337">
        <f t="shared" si="2"/>
        <v>4833709</v>
      </c>
    </row>
    <row r="77" spans="1:6">
      <c r="A77" s="331" t="s">
        <v>573</v>
      </c>
      <c r="B77" s="331" t="s">
        <v>574</v>
      </c>
      <c r="C77" s="336">
        <v>32717</v>
      </c>
      <c r="D77" s="362">
        <v>0</v>
      </c>
      <c r="E77" s="363">
        <v>42283</v>
      </c>
      <c r="F77" s="337">
        <f t="shared" si="2"/>
        <v>75000</v>
      </c>
    </row>
    <row r="78" spans="1:6">
      <c r="A78" s="331" t="s">
        <v>33</v>
      </c>
      <c r="B78" s="331" t="s">
        <v>34</v>
      </c>
      <c r="C78" s="336">
        <v>143451</v>
      </c>
      <c r="D78" s="362">
        <v>550377</v>
      </c>
      <c r="E78" s="363">
        <v>1237107</v>
      </c>
      <c r="F78" s="337">
        <f t="shared" si="2"/>
        <v>1930935</v>
      </c>
    </row>
    <row r="79" spans="1:6">
      <c r="A79" s="331" t="s">
        <v>187</v>
      </c>
      <c r="B79" s="331" t="s">
        <v>188</v>
      </c>
      <c r="C79" s="336">
        <v>485099</v>
      </c>
      <c r="D79" s="362">
        <v>1756609</v>
      </c>
      <c r="E79" s="363">
        <v>3948408</v>
      </c>
      <c r="F79" s="337">
        <f t="shared" si="2"/>
        <v>6190116</v>
      </c>
    </row>
    <row r="80" spans="1:6">
      <c r="A80" s="331" t="s">
        <v>135</v>
      </c>
      <c r="B80" s="331" t="s">
        <v>136</v>
      </c>
      <c r="C80" s="336">
        <v>467336</v>
      </c>
      <c r="D80" s="362">
        <v>1806586</v>
      </c>
      <c r="E80" s="363">
        <v>4060744</v>
      </c>
      <c r="F80" s="337">
        <f t="shared" si="2"/>
        <v>6334666</v>
      </c>
    </row>
    <row r="81" spans="1:6">
      <c r="A81" s="331" t="s">
        <v>273</v>
      </c>
      <c r="B81" s="331" t="s">
        <v>274</v>
      </c>
      <c r="C81" s="336">
        <v>75860</v>
      </c>
      <c r="D81" s="362">
        <v>293215</v>
      </c>
      <c r="E81" s="363">
        <v>659072</v>
      </c>
      <c r="F81" s="337">
        <f t="shared" si="2"/>
        <v>1028147</v>
      </c>
    </row>
    <row r="82" spans="1:6">
      <c r="A82" s="331" t="s">
        <v>423</v>
      </c>
      <c r="B82" s="331" t="s">
        <v>424</v>
      </c>
      <c r="C82" s="336">
        <v>2633492</v>
      </c>
      <c r="D82" s="362">
        <v>10185603</v>
      </c>
      <c r="E82" s="363">
        <v>22894634</v>
      </c>
      <c r="F82" s="337">
        <f t="shared" si="2"/>
        <v>35713729</v>
      </c>
    </row>
    <row r="83" spans="1:6">
      <c r="A83" s="331" t="s">
        <v>65</v>
      </c>
      <c r="B83" s="331" t="s">
        <v>66</v>
      </c>
      <c r="C83" s="336">
        <v>4940338</v>
      </c>
      <c r="D83" s="362">
        <v>18128132</v>
      </c>
      <c r="E83" s="363">
        <v>40747410</v>
      </c>
      <c r="F83" s="337">
        <f t="shared" si="2"/>
        <v>63815880</v>
      </c>
    </row>
    <row r="84" spans="1:6">
      <c r="A84" s="331" t="s">
        <v>497</v>
      </c>
      <c r="B84" s="331" t="s">
        <v>498</v>
      </c>
      <c r="C84" s="336">
        <v>28093</v>
      </c>
      <c r="D84" s="362">
        <v>8789</v>
      </c>
      <c r="E84" s="363">
        <v>38118</v>
      </c>
      <c r="F84" s="337">
        <f t="shared" si="2"/>
        <v>75000</v>
      </c>
    </row>
    <row r="85" spans="1:6">
      <c r="A85" s="331" t="s">
        <v>185</v>
      </c>
      <c r="B85" s="331" t="s">
        <v>186</v>
      </c>
      <c r="C85" s="336">
        <v>6052254.8200000003</v>
      </c>
      <c r="D85" s="362">
        <v>23421745</v>
      </c>
      <c r="E85" s="363">
        <v>52646100</v>
      </c>
      <c r="F85" s="337">
        <f t="shared" si="2"/>
        <v>82120099.819999993</v>
      </c>
    </row>
    <row r="86" spans="1:6">
      <c r="A86" s="331" t="s">
        <v>541</v>
      </c>
      <c r="B86" s="331" t="s">
        <v>542</v>
      </c>
      <c r="C86" s="336">
        <v>763294</v>
      </c>
      <c r="D86" s="362">
        <v>3148037</v>
      </c>
      <c r="E86" s="363">
        <v>7075984</v>
      </c>
      <c r="F86" s="337">
        <f t="shared" si="2"/>
        <v>10987315</v>
      </c>
    </row>
    <row r="87" spans="1:6">
      <c r="A87" s="331" t="s">
        <v>389</v>
      </c>
      <c r="B87" s="331" t="s">
        <v>390</v>
      </c>
      <c r="C87" s="336">
        <v>444251</v>
      </c>
      <c r="D87" s="362">
        <v>1718595</v>
      </c>
      <c r="E87" s="363">
        <v>3862962</v>
      </c>
      <c r="F87" s="337">
        <f t="shared" si="2"/>
        <v>6025808</v>
      </c>
    </row>
    <row r="88" spans="1:6">
      <c r="A88" s="331" t="s">
        <v>23</v>
      </c>
      <c r="B88" s="331" t="s">
        <v>24</v>
      </c>
      <c r="C88" s="336">
        <v>150294</v>
      </c>
      <c r="D88" s="362">
        <v>580994</v>
      </c>
      <c r="E88" s="363">
        <v>1305927</v>
      </c>
      <c r="F88" s="337">
        <f t="shared" si="2"/>
        <v>2037215</v>
      </c>
    </row>
    <row r="89" spans="1:6">
      <c r="A89" s="331" t="s">
        <v>381</v>
      </c>
      <c r="B89" s="331" t="s">
        <v>382</v>
      </c>
      <c r="C89" s="336">
        <v>1863782</v>
      </c>
      <c r="D89" s="362">
        <v>7210077</v>
      </c>
      <c r="E89" s="363">
        <v>16206412</v>
      </c>
      <c r="F89" s="337">
        <f t="shared" si="2"/>
        <v>25280271</v>
      </c>
    </row>
    <row r="90" spans="1:6">
      <c r="A90" s="331" t="s">
        <v>465</v>
      </c>
      <c r="B90" s="331" t="s">
        <v>466</v>
      </c>
      <c r="C90" s="336">
        <v>58887</v>
      </c>
      <c r="D90" s="362">
        <v>227804</v>
      </c>
      <c r="E90" s="363">
        <v>512045</v>
      </c>
      <c r="F90" s="337">
        <f t="shared" si="2"/>
        <v>798736</v>
      </c>
    </row>
    <row r="91" spans="1:6">
      <c r="A91" s="331" t="s">
        <v>567</v>
      </c>
      <c r="B91" s="331" t="s">
        <v>568</v>
      </c>
      <c r="C91" s="336">
        <v>59007</v>
      </c>
      <c r="D91" s="362">
        <v>226542</v>
      </c>
      <c r="E91" s="363">
        <v>509208</v>
      </c>
      <c r="F91" s="337">
        <f t="shared" si="2"/>
        <v>794757</v>
      </c>
    </row>
    <row r="92" spans="1:6">
      <c r="A92" s="331" t="s">
        <v>259</v>
      </c>
      <c r="B92" s="331" t="s">
        <v>260</v>
      </c>
      <c r="C92" s="336">
        <v>19657.88</v>
      </c>
      <c r="D92" s="362">
        <v>0</v>
      </c>
      <c r="E92" s="363">
        <v>48949</v>
      </c>
      <c r="F92" s="337">
        <f t="shared" si="2"/>
        <v>68606.880000000005</v>
      </c>
    </row>
    <row r="93" spans="1:6">
      <c r="A93" s="331" t="s">
        <v>265</v>
      </c>
      <c r="B93" s="331" t="s">
        <v>266</v>
      </c>
      <c r="C93" s="336">
        <v>320977</v>
      </c>
      <c r="D93" s="362">
        <v>1231521</v>
      </c>
      <c r="E93" s="363">
        <v>2768145</v>
      </c>
      <c r="F93" s="337">
        <f t="shared" si="2"/>
        <v>4320643</v>
      </c>
    </row>
    <row r="94" spans="1:6">
      <c r="A94" s="331" t="s">
        <v>139</v>
      </c>
      <c r="B94" s="331" t="s">
        <v>140</v>
      </c>
      <c r="C94" s="336">
        <v>156752</v>
      </c>
      <c r="D94" s="362">
        <v>605939</v>
      </c>
      <c r="E94" s="363">
        <v>1361996</v>
      </c>
      <c r="F94" s="337">
        <f t="shared" si="2"/>
        <v>2124687</v>
      </c>
    </row>
    <row r="95" spans="1:6">
      <c r="A95" s="331" t="s">
        <v>593</v>
      </c>
      <c r="B95" s="331" t="s">
        <v>594</v>
      </c>
      <c r="C95" s="336">
        <v>928024</v>
      </c>
      <c r="D95" s="362">
        <v>3535316</v>
      </c>
      <c r="E95" s="363">
        <v>7946488</v>
      </c>
      <c r="F95" s="337">
        <f t="shared" si="2"/>
        <v>12409828</v>
      </c>
    </row>
    <row r="96" spans="1:6">
      <c r="A96" s="331" t="s">
        <v>601</v>
      </c>
      <c r="B96" s="331" t="s">
        <v>602</v>
      </c>
      <c r="C96" s="336">
        <v>746793</v>
      </c>
      <c r="D96" s="362">
        <v>2865137</v>
      </c>
      <c r="E96" s="363">
        <v>6440096</v>
      </c>
      <c r="F96" s="337">
        <f t="shared" si="2"/>
        <v>10052026</v>
      </c>
    </row>
    <row r="97" spans="1:6">
      <c r="A97" s="331" t="s">
        <v>447</v>
      </c>
      <c r="B97" s="331" t="s">
        <v>448</v>
      </c>
      <c r="C97" s="336">
        <v>168889.66</v>
      </c>
      <c r="D97" s="362">
        <v>652862</v>
      </c>
      <c r="E97" s="363">
        <v>1467467</v>
      </c>
      <c r="F97" s="337">
        <f t="shared" si="2"/>
        <v>2289218.66</v>
      </c>
    </row>
    <row r="98" spans="1:6">
      <c r="A98" s="331" t="s">
        <v>315</v>
      </c>
      <c r="B98" s="331" t="s">
        <v>316</v>
      </c>
      <c r="C98" s="336">
        <v>51172.32</v>
      </c>
      <c r="D98" s="362">
        <v>202059</v>
      </c>
      <c r="E98" s="363">
        <v>454177</v>
      </c>
      <c r="F98" s="337">
        <f t="shared" si="2"/>
        <v>707408.32000000007</v>
      </c>
    </row>
    <row r="99" spans="1:6">
      <c r="A99" s="331" t="s">
        <v>455</v>
      </c>
      <c r="B99" s="331" t="s">
        <v>456</v>
      </c>
      <c r="C99" s="336">
        <v>19361</v>
      </c>
      <c r="D99" s="362">
        <v>70160</v>
      </c>
      <c r="E99" s="363">
        <v>157702</v>
      </c>
      <c r="F99" s="337">
        <f t="shared" si="2"/>
        <v>247223</v>
      </c>
    </row>
    <row r="100" spans="1:6">
      <c r="A100" s="331" t="s">
        <v>1023</v>
      </c>
      <c r="B100" s="331" t="s">
        <v>1041</v>
      </c>
      <c r="C100" s="336">
        <v>72419.81</v>
      </c>
      <c r="D100" s="362">
        <v>261089</v>
      </c>
      <c r="E100" s="363">
        <v>586861</v>
      </c>
      <c r="F100" s="337">
        <f t="shared" si="2"/>
        <v>920369.81</v>
      </c>
    </row>
    <row r="101" spans="1:6">
      <c r="A101" s="331" t="s">
        <v>61</v>
      </c>
      <c r="B101" s="331" t="s">
        <v>62</v>
      </c>
      <c r="C101" s="336">
        <v>14074</v>
      </c>
      <c r="D101" s="362">
        <v>54404</v>
      </c>
      <c r="E101" s="363">
        <v>122286</v>
      </c>
      <c r="F101" s="337">
        <f t="shared" si="2"/>
        <v>190764</v>
      </c>
    </row>
    <row r="102" spans="1:6">
      <c r="A102" s="331" t="s">
        <v>517</v>
      </c>
      <c r="B102" s="331" t="s">
        <v>518</v>
      </c>
      <c r="C102" s="336">
        <v>68454</v>
      </c>
      <c r="D102" s="362">
        <v>114601</v>
      </c>
      <c r="E102" s="363">
        <v>257594</v>
      </c>
      <c r="F102" s="337">
        <f t="shared" si="2"/>
        <v>440649</v>
      </c>
    </row>
    <row r="103" spans="1:6">
      <c r="A103" s="331" t="s">
        <v>309</v>
      </c>
      <c r="B103" s="331" t="s">
        <v>310</v>
      </c>
      <c r="C103" s="336">
        <v>29706</v>
      </c>
      <c r="D103" s="362">
        <v>114835</v>
      </c>
      <c r="E103" s="363">
        <v>258121</v>
      </c>
      <c r="F103" s="337">
        <f t="shared" si="2"/>
        <v>402662</v>
      </c>
    </row>
    <row r="104" spans="1:6">
      <c r="A104" s="331" t="s">
        <v>599</v>
      </c>
      <c r="B104" s="331" t="s">
        <v>600</v>
      </c>
      <c r="C104" s="336">
        <v>272944.88</v>
      </c>
      <c r="D104" s="362">
        <v>911683</v>
      </c>
      <c r="E104" s="363">
        <v>2049231</v>
      </c>
      <c r="F104" s="337">
        <f t="shared" si="2"/>
        <v>3233858.88</v>
      </c>
    </row>
    <row r="105" spans="1:6">
      <c r="A105" s="331" t="s">
        <v>191</v>
      </c>
      <c r="B105" s="331" t="s">
        <v>192</v>
      </c>
      <c r="C105" s="336">
        <v>6213072.1699999999</v>
      </c>
      <c r="D105" s="362">
        <v>24186671</v>
      </c>
      <c r="E105" s="363">
        <v>54365458</v>
      </c>
      <c r="F105" s="337">
        <f t="shared" si="2"/>
        <v>84765201.170000002</v>
      </c>
    </row>
    <row r="106" spans="1:6">
      <c r="A106" s="331" t="s">
        <v>57</v>
      </c>
      <c r="B106" s="331" t="s">
        <v>58</v>
      </c>
      <c r="C106" s="336">
        <v>113534</v>
      </c>
      <c r="D106" s="362">
        <v>228861</v>
      </c>
      <c r="E106" s="363">
        <v>514421</v>
      </c>
      <c r="F106" s="337">
        <f t="shared" si="2"/>
        <v>856816</v>
      </c>
    </row>
    <row r="107" spans="1:6">
      <c r="A107" s="331" t="s">
        <v>325</v>
      </c>
      <c r="B107" s="331" t="s">
        <v>326</v>
      </c>
      <c r="C107" s="336">
        <v>186647</v>
      </c>
      <c r="D107" s="362">
        <v>619509</v>
      </c>
      <c r="E107" s="363">
        <v>1392499</v>
      </c>
      <c r="F107" s="337">
        <f t="shared" si="2"/>
        <v>2198655</v>
      </c>
    </row>
    <row r="108" spans="1:6">
      <c r="A108" s="331" t="s">
        <v>143</v>
      </c>
      <c r="B108" s="331" t="s">
        <v>144</v>
      </c>
      <c r="C108" s="336">
        <v>533873.06000000006</v>
      </c>
      <c r="D108" s="362">
        <v>2079852</v>
      </c>
      <c r="E108" s="363">
        <v>4674976</v>
      </c>
      <c r="F108" s="337">
        <f t="shared" si="2"/>
        <v>7288701.0600000005</v>
      </c>
    </row>
    <row r="109" spans="1:6">
      <c r="A109" s="331" t="s">
        <v>1315</v>
      </c>
      <c r="B109" s="331" t="s">
        <v>1316</v>
      </c>
      <c r="C109" s="336">
        <v>0</v>
      </c>
      <c r="D109" s="362">
        <v>0</v>
      </c>
      <c r="E109" s="363">
        <v>0</v>
      </c>
      <c r="F109" s="337">
        <f t="shared" si="2"/>
        <v>0</v>
      </c>
    </row>
    <row r="110" spans="1:6">
      <c r="A110" s="331" t="s">
        <v>1230</v>
      </c>
      <c r="B110" s="331" t="s">
        <v>1231</v>
      </c>
      <c r="C110" s="336">
        <v>76457</v>
      </c>
      <c r="D110" s="362">
        <v>241605</v>
      </c>
      <c r="E110" s="363">
        <v>543066</v>
      </c>
      <c r="F110" s="337">
        <f t="shared" si="2"/>
        <v>861128</v>
      </c>
    </row>
    <row r="111" spans="1:6">
      <c r="A111" s="331" t="s">
        <v>1032</v>
      </c>
      <c r="B111" s="331" t="s">
        <v>1042</v>
      </c>
      <c r="C111" s="336">
        <v>120309</v>
      </c>
      <c r="D111" s="362">
        <v>605651</v>
      </c>
      <c r="E111" s="363">
        <v>1361349</v>
      </c>
      <c r="F111" s="337">
        <f t="shared" si="2"/>
        <v>2087309</v>
      </c>
    </row>
    <row r="112" spans="1:6">
      <c r="A112" s="331" t="s">
        <v>107</v>
      </c>
      <c r="B112" s="331" t="s">
        <v>108</v>
      </c>
      <c r="C112" s="336">
        <v>98681</v>
      </c>
      <c r="D112" s="362">
        <v>362145</v>
      </c>
      <c r="E112" s="363">
        <v>814010</v>
      </c>
      <c r="F112" s="337">
        <f t="shared" si="2"/>
        <v>1274836</v>
      </c>
    </row>
    <row r="113" spans="1:6">
      <c r="A113" s="331" t="s">
        <v>435</v>
      </c>
      <c r="B113" s="331" t="s">
        <v>436</v>
      </c>
      <c r="C113" s="336">
        <v>11266</v>
      </c>
      <c r="D113" s="362">
        <v>0</v>
      </c>
      <c r="E113" s="363">
        <v>63734</v>
      </c>
      <c r="F113" s="337">
        <f t="shared" si="2"/>
        <v>75000</v>
      </c>
    </row>
    <row r="114" spans="1:6">
      <c r="A114" s="331" t="s">
        <v>211</v>
      </c>
      <c r="B114" s="331" t="s">
        <v>212</v>
      </c>
      <c r="C114" s="336">
        <v>523835</v>
      </c>
      <c r="D114" s="362">
        <v>2025656</v>
      </c>
      <c r="E114" s="363">
        <v>4553158</v>
      </c>
      <c r="F114" s="337">
        <f t="shared" si="2"/>
        <v>7102649</v>
      </c>
    </row>
    <row r="115" spans="1:6">
      <c r="A115" s="331" t="s">
        <v>117</v>
      </c>
      <c r="B115" s="331" t="s">
        <v>118</v>
      </c>
      <c r="C115" s="336">
        <v>1307.95</v>
      </c>
      <c r="D115" s="362">
        <v>0</v>
      </c>
      <c r="E115" s="363">
        <v>73317</v>
      </c>
      <c r="F115" s="337">
        <f t="shared" si="2"/>
        <v>74624.95</v>
      </c>
    </row>
    <row r="116" spans="1:6">
      <c r="A116" s="331" t="s">
        <v>83</v>
      </c>
      <c r="B116" s="331" t="s">
        <v>84</v>
      </c>
      <c r="C116" s="336">
        <v>96659.5</v>
      </c>
      <c r="D116" s="362">
        <v>484501</v>
      </c>
      <c r="E116" s="363">
        <v>1089034</v>
      </c>
      <c r="F116" s="337">
        <f t="shared" si="2"/>
        <v>1670194.5</v>
      </c>
    </row>
    <row r="117" spans="1:6">
      <c r="A117" s="331" t="s">
        <v>101</v>
      </c>
      <c r="B117" s="331" t="s">
        <v>102</v>
      </c>
      <c r="C117" s="336">
        <v>48793</v>
      </c>
      <c r="D117" s="362">
        <v>171510</v>
      </c>
      <c r="E117" s="363">
        <v>385510</v>
      </c>
      <c r="F117" s="337">
        <f t="shared" si="2"/>
        <v>605813</v>
      </c>
    </row>
    <row r="118" spans="1:6">
      <c r="A118" s="331" t="s">
        <v>87</v>
      </c>
      <c r="B118" s="331" t="s">
        <v>88</v>
      </c>
      <c r="C118" s="336">
        <v>1123991</v>
      </c>
      <c r="D118" s="362">
        <v>4344950</v>
      </c>
      <c r="E118" s="363">
        <v>9766338</v>
      </c>
      <c r="F118" s="337">
        <f t="shared" si="2"/>
        <v>15235279</v>
      </c>
    </row>
    <row r="119" spans="1:6">
      <c r="A119" s="331" t="s">
        <v>17</v>
      </c>
      <c r="B119" s="331" t="s">
        <v>18</v>
      </c>
      <c r="C119" s="336">
        <v>4330767</v>
      </c>
      <c r="D119" s="362">
        <v>16740145</v>
      </c>
      <c r="E119" s="363">
        <v>37627569</v>
      </c>
      <c r="F119" s="337">
        <f t="shared" si="2"/>
        <v>58698481</v>
      </c>
    </row>
    <row r="120" spans="1:6">
      <c r="A120" s="331" t="s">
        <v>217</v>
      </c>
      <c r="B120" s="331" t="s">
        <v>218</v>
      </c>
      <c r="C120" s="336">
        <v>7316630</v>
      </c>
      <c r="D120" s="362">
        <v>28281091</v>
      </c>
      <c r="E120" s="363">
        <v>63568669</v>
      </c>
      <c r="F120" s="337">
        <f t="shared" si="2"/>
        <v>99166390</v>
      </c>
    </row>
    <row r="121" spans="1:6">
      <c r="A121" s="331" t="s">
        <v>505</v>
      </c>
      <c r="B121" s="331" t="s">
        <v>506</v>
      </c>
      <c r="C121" s="336">
        <v>182518</v>
      </c>
      <c r="D121" s="362">
        <v>706076</v>
      </c>
      <c r="E121" s="363">
        <v>1587078</v>
      </c>
      <c r="F121" s="337">
        <f t="shared" si="2"/>
        <v>2475672</v>
      </c>
    </row>
    <row r="122" spans="1:6">
      <c r="A122" s="331" t="s">
        <v>21</v>
      </c>
      <c r="B122" s="331" t="s">
        <v>22</v>
      </c>
      <c r="C122" s="336">
        <v>411378</v>
      </c>
      <c r="D122" s="362">
        <v>1473432</v>
      </c>
      <c r="E122" s="363">
        <v>3311898</v>
      </c>
      <c r="F122" s="337">
        <f t="shared" si="2"/>
        <v>5196708</v>
      </c>
    </row>
    <row r="123" spans="1:6">
      <c r="A123" s="331" t="s">
        <v>247</v>
      </c>
      <c r="B123" s="331" t="s">
        <v>248</v>
      </c>
      <c r="C123" s="336">
        <v>37170.43</v>
      </c>
      <c r="D123" s="362">
        <v>324909</v>
      </c>
      <c r="E123" s="363">
        <v>730312</v>
      </c>
      <c r="F123" s="337">
        <f t="shared" si="2"/>
        <v>1092391.43</v>
      </c>
    </row>
    <row r="124" spans="1:6">
      <c r="A124" s="331" t="s">
        <v>261</v>
      </c>
      <c r="B124" s="331" t="s">
        <v>262</v>
      </c>
      <c r="C124" s="336">
        <v>26503</v>
      </c>
      <c r="D124" s="362">
        <v>90847</v>
      </c>
      <c r="E124" s="363">
        <v>204201</v>
      </c>
      <c r="F124" s="337">
        <f t="shared" si="2"/>
        <v>321551</v>
      </c>
    </row>
    <row r="125" spans="1:6">
      <c r="A125" s="331" t="s">
        <v>59</v>
      </c>
      <c r="B125" s="331" t="s">
        <v>60</v>
      </c>
      <c r="C125" s="336">
        <v>101336</v>
      </c>
      <c r="D125" s="362">
        <v>206996</v>
      </c>
      <c r="E125" s="363">
        <v>465275</v>
      </c>
      <c r="F125" s="337">
        <f t="shared" si="2"/>
        <v>773607</v>
      </c>
    </row>
    <row r="126" spans="1:6">
      <c r="A126" s="331" t="s">
        <v>409</v>
      </c>
      <c r="B126" s="331" t="s">
        <v>410</v>
      </c>
      <c r="C126" s="336">
        <v>92895</v>
      </c>
      <c r="D126" s="362">
        <v>329225</v>
      </c>
      <c r="E126" s="363">
        <v>740014</v>
      </c>
      <c r="F126" s="337">
        <f t="shared" si="2"/>
        <v>1162134</v>
      </c>
    </row>
    <row r="127" spans="1:6">
      <c r="A127" s="331" t="s">
        <v>555</v>
      </c>
      <c r="B127" s="331" t="s">
        <v>556</v>
      </c>
      <c r="C127" s="336">
        <v>27777</v>
      </c>
      <c r="D127" s="362">
        <v>106574</v>
      </c>
      <c r="E127" s="363">
        <v>239550</v>
      </c>
      <c r="F127" s="337">
        <f t="shared" si="2"/>
        <v>373901</v>
      </c>
    </row>
    <row r="128" spans="1:6">
      <c r="A128" s="331" t="s">
        <v>35</v>
      </c>
      <c r="B128" s="331" t="s">
        <v>36</v>
      </c>
      <c r="C128" s="336">
        <v>224975</v>
      </c>
      <c r="D128" s="362">
        <v>746858</v>
      </c>
      <c r="E128" s="363">
        <v>1678745</v>
      </c>
      <c r="F128" s="337">
        <f t="shared" si="2"/>
        <v>2650578</v>
      </c>
    </row>
    <row r="129" spans="1:6">
      <c r="A129" s="331" t="s">
        <v>155</v>
      </c>
      <c r="B129" s="331" t="s">
        <v>156</v>
      </c>
      <c r="C129" s="336">
        <v>46975</v>
      </c>
      <c r="D129" s="362">
        <v>198605</v>
      </c>
      <c r="E129" s="363">
        <v>446412</v>
      </c>
      <c r="F129" s="337">
        <f t="shared" si="2"/>
        <v>691992</v>
      </c>
    </row>
    <row r="130" spans="1:6">
      <c r="A130" s="331" t="s">
        <v>425</v>
      </c>
      <c r="B130" s="331" t="s">
        <v>426</v>
      </c>
      <c r="C130" s="336">
        <v>620213</v>
      </c>
      <c r="D130" s="362">
        <v>2397462</v>
      </c>
      <c r="E130" s="363">
        <v>5388882</v>
      </c>
      <c r="F130" s="337">
        <f t="shared" si="2"/>
        <v>8406557</v>
      </c>
    </row>
    <row r="131" spans="1:6">
      <c r="A131" s="331" t="s">
        <v>215</v>
      </c>
      <c r="B131" s="331" t="s">
        <v>216</v>
      </c>
      <c r="C131" s="336">
        <v>1692887</v>
      </c>
      <c r="D131" s="362">
        <v>3406306</v>
      </c>
      <c r="E131" s="363">
        <v>7656505</v>
      </c>
      <c r="F131" s="337">
        <f t="shared" si="2"/>
        <v>12755698</v>
      </c>
    </row>
    <row r="132" spans="1:6">
      <c r="A132" s="331" t="s">
        <v>441</v>
      </c>
      <c r="B132" s="331" t="s">
        <v>442</v>
      </c>
      <c r="C132" s="336">
        <v>198918</v>
      </c>
      <c r="D132" s="362">
        <v>839760</v>
      </c>
      <c r="E132" s="363">
        <v>1887567</v>
      </c>
      <c r="F132" s="337">
        <f t="shared" si="2"/>
        <v>2926245</v>
      </c>
    </row>
    <row r="133" spans="1:6">
      <c r="A133" s="331" t="s">
        <v>557</v>
      </c>
      <c r="B133" s="331" t="s">
        <v>558</v>
      </c>
      <c r="C133" s="336">
        <v>15725</v>
      </c>
      <c r="D133" s="362">
        <v>0</v>
      </c>
      <c r="E133" s="363">
        <v>59275</v>
      </c>
      <c r="F133" s="337">
        <f t="shared" si="2"/>
        <v>75000</v>
      </c>
    </row>
    <row r="134" spans="1:6">
      <c r="A134" s="331" t="s">
        <v>471</v>
      </c>
      <c r="B134" s="331" t="s">
        <v>472</v>
      </c>
      <c r="C134" s="336">
        <v>75063</v>
      </c>
      <c r="D134" s="362">
        <v>290161</v>
      </c>
      <c r="E134" s="363">
        <v>652207</v>
      </c>
      <c r="F134" s="337">
        <f t="shared" ref="F134:F197" si="3">SUM(C134:E134)</f>
        <v>1017431</v>
      </c>
    </row>
    <row r="135" spans="1:6">
      <c r="A135" s="331" t="s">
        <v>9</v>
      </c>
      <c r="B135" s="331" t="s">
        <v>10</v>
      </c>
      <c r="C135" s="336">
        <v>62389</v>
      </c>
      <c r="D135" s="362">
        <v>215648</v>
      </c>
      <c r="E135" s="363">
        <v>484723</v>
      </c>
      <c r="F135" s="337">
        <f t="shared" si="3"/>
        <v>762760</v>
      </c>
    </row>
    <row r="136" spans="1:6">
      <c r="A136" s="331" t="s">
        <v>77</v>
      </c>
      <c r="B136" s="331" t="s">
        <v>78</v>
      </c>
      <c r="C136" s="336">
        <v>2044021</v>
      </c>
      <c r="D136" s="362">
        <v>7901259</v>
      </c>
      <c r="E136" s="363">
        <v>17760012</v>
      </c>
      <c r="F136" s="337">
        <f t="shared" si="3"/>
        <v>27705292</v>
      </c>
    </row>
    <row r="137" spans="1:6">
      <c r="A137" s="331" t="s">
        <v>493</v>
      </c>
      <c r="B137" s="331" t="s">
        <v>494</v>
      </c>
      <c r="C137" s="336">
        <v>57580</v>
      </c>
      <c r="D137" s="362">
        <v>222586</v>
      </c>
      <c r="E137" s="363">
        <v>500317</v>
      </c>
      <c r="F137" s="337">
        <f t="shared" si="3"/>
        <v>780483</v>
      </c>
    </row>
    <row r="138" spans="1:6">
      <c r="A138" s="331" t="s">
        <v>397</v>
      </c>
      <c r="B138" s="331" t="s">
        <v>398</v>
      </c>
      <c r="C138" s="336">
        <v>65190</v>
      </c>
      <c r="D138" s="362">
        <v>261817</v>
      </c>
      <c r="E138" s="363">
        <v>588497</v>
      </c>
      <c r="F138" s="337">
        <f t="shared" si="3"/>
        <v>915504</v>
      </c>
    </row>
    <row r="139" spans="1:6">
      <c r="A139" s="331" t="s">
        <v>1232</v>
      </c>
      <c r="B139" s="331" t="s">
        <v>1233</v>
      </c>
      <c r="C139" s="336">
        <v>17513</v>
      </c>
      <c r="D139" s="362">
        <v>56787</v>
      </c>
      <c r="E139" s="363">
        <v>127642</v>
      </c>
      <c r="F139" s="337">
        <f t="shared" si="3"/>
        <v>201942</v>
      </c>
    </row>
    <row r="140" spans="1:6">
      <c r="A140" s="331" t="s">
        <v>553</v>
      </c>
      <c r="B140" s="331" t="s">
        <v>554</v>
      </c>
      <c r="C140" s="336">
        <v>0</v>
      </c>
      <c r="D140" s="362">
        <v>0</v>
      </c>
      <c r="E140" s="363">
        <v>0</v>
      </c>
      <c r="F140" s="337">
        <f t="shared" si="3"/>
        <v>0</v>
      </c>
    </row>
    <row r="141" spans="1:6">
      <c r="A141" s="331" t="s">
        <v>269</v>
      </c>
      <c r="B141" s="331" t="s">
        <v>270</v>
      </c>
      <c r="C141" s="336">
        <v>168044</v>
      </c>
      <c r="D141" s="362">
        <v>649551</v>
      </c>
      <c r="E141" s="363">
        <v>1460024</v>
      </c>
      <c r="F141" s="337">
        <f t="shared" si="3"/>
        <v>2277619</v>
      </c>
    </row>
    <row r="142" spans="1:6">
      <c r="A142" s="331" t="s">
        <v>545</v>
      </c>
      <c r="B142" s="331" t="s">
        <v>546</v>
      </c>
      <c r="C142" s="336">
        <v>273982</v>
      </c>
      <c r="D142" s="362">
        <v>1112571</v>
      </c>
      <c r="E142" s="363">
        <v>2500776</v>
      </c>
      <c r="F142" s="337">
        <f t="shared" si="3"/>
        <v>3887329</v>
      </c>
    </row>
    <row r="143" spans="1:6">
      <c r="A143" s="331" t="s">
        <v>591</v>
      </c>
      <c r="B143" s="331" t="s">
        <v>592</v>
      </c>
      <c r="C143" s="336">
        <v>298235.92</v>
      </c>
      <c r="D143" s="362">
        <v>1184569</v>
      </c>
      <c r="E143" s="363">
        <v>2662608</v>
      </c>
      <c r="F143" s="337">
        <f t="shared" si="3"/>
        <v>4145412.92</v>
      </c>
    </row>
    <row r="144" spans="1:6">
      <c r="A144" s="331" t="s">
        <v>97</v>
      </c>
      <c r="B144" s="331" t="s">
        <v>98</v>
      </c>
      <c r="C144" s="336">
        <v>8578.9599999999991</v>
      </c>
      <c r="D144" s="362">
        <v>0</v>
      </c>
      <c r="E144" s="363">
        <v>36949</v>
      </c>
      <c r="F144" s="337">
        <f t="shared" si="3"/>
        <v>45527.96</v>
      </c>
    </row>
    <row r="145" spans="1:6">
      <c r="A145" s="331" t="s">
        <v>29</v>
      </c>
      <c r="B145" s="331" t="s">
        <v>30</v>
      </c>
      <c r="C145" s="336">
        <v>124575</v>
      </c>
      <c r="D145" s="362">
        <v>413557</v>
      </c>
      <c r="E145" s="363">
        <v>929570</v>
      </c>
      <c r="F145" s="337">
        <f t="shared" si="3"/>
        <v>1467702</v>
      </c>
    </row>
    <row r="146" spans="1:6">
      <c r="A146" s="331" t="s">
        <v>319</v>
      </c>
      <c r="B146" s="331" t="s">
        <v>320</v>
      </c>
      <c r="C146" s="336">
        <v>62120</v>
      </c>
      <c r="D146" s="362">
        <v>254934</v>
      </c>
      <c r="E146" s="363">
        <v>573027</v>
      </c>
      <c r="F146" s="337">
        <f t="shared" si="3"/>
        <v>890081</v>
      </c>
    </row>
    <row r="147" spans="1:6">
      <c r="A147" s="331" t="s">
        <v>501</v>
      </c>
      <c r="B147" s="331" t="s">
        <v>502</v>
      </c>
      <c r="C147" s="336">
        <v>166186.07</v>
      </c>
      <c r="D147" s="362">
        <v>722459</v>
      </c>
      <c r="E147" s="363">
        <v>1623904</v>
      </c>
      <c r="F147" s="337">
        <f t="shared" si="3"/>
        <v>2512549.0700000003</v>
      </c>
    </row>
    <row r="148" spans="1:6">
      <c r="A148" s="331" t="s">
        <v>433</v>
      </c>
      <c r="B148" s="331" t="s">
        <v>434</v>
      </c>
      <c r="C148" s="336">
        <v>1328505.22</v>
      </c>
      <c r="D148" s="362">
        <v>5212049</v>
      </c>
      <c r="E148" s="363">
        <v>11715355</v>
      </c>
      <c r="F148" s="337">
        <f t="shared" si="3"/>
        <v>18255909.219999999</v>
      </c>
    </row>
    <row r="149" spans="1:6">
      <c r="A149" s="331" t="s">
        <v>147</v>
      </c>
      <c r="B149" s="331" t="s">
        <v>148</v>
      </c>
      <c r="C149" s="336">
        <v>135033</v>
      </c>
      <c r="D149" s="362">
        <v>466745</v>
      </c>
      <c r="E149" s="363">
        <v>1049123</v>
      </c>
      <c r="F149" s="337">
        <f t="shared" si="3"/>
        <v>1650901</v>
      </c>
    </row>
    <row r="150" spans="1:6">
      <c r="A150" s="331" t="s">
        <v>461</v>
      </c>
      <c r="B150" s="331" t="s">
        <v>462</v>
      </c>
      <c r="C150" s="336">
        <v>963669</v>
      </c>
      <c r="D150" s="362">
        <v>3725012</v>
      </c>
      <c r="E150" s="363">
        <v>8372875</v>
      </c>
      <c r="F150" s="337">
        <f t="shared" si="3"/>
        <v>13061556</v>
      </c>
    </row>
    <row r="151" spans="1:6">
      <c r="A151" s="331" t="s">
        <v>459</v>
      </c>
      <c r="B151" s="331" t="s">
        <v>460</v>
      </c>
      <c r="C151" s="336">
        <v>183906</v>
      </c>
      <c r="D151" s="362">
        <v>710896</v>
      </c>
      <c r="E151" s="363">
        <v>1597913</v>
      </c>
      <c r="F151" s="337">
        <f t="shared" si="3"/>
        <v>2492715</v>
      </c>
    </row>
    <row r="152" spans="1:6">
      <c r="A152" s="331" t="s">
        <v>189</v>
      </c>
      <c r="B152" s="331" t="s">
        <v>190</v>
      </c>
      <c r="C152" s="336">
        <v>84354</v>
      </c>
      <c r="D152" s="362">
        <v>315034</v>
      </c>
      <c r="E152" s="363">
        <v>708115</v>
      </c>
      <c r="F152" s="337">
        <f t="shared" si="3"/>
        <v>1107503</v>
      </c>
    </row>
    <row r="153" spans="1:6">
      <c r="A153" s="331" t="s">
        <v>547</v>
      </c>
      <c r="B153" s="331" t="s">
        <v>548</v>
      </c>
      <c r="C153" s="336">
        <v>231700</v>
      </c>
      <c r="D153" s="362">
        <v>897703</v>
      </c>
      <c r="E153" s="363">
        <v>2017808</v>
      </c>
      <c r="F153" s="337">
        <f t="shared" si="3"/>
        <v>3147211</v>
      </c>
    </row>
    <row r="154" spans="1:6">
      <c r="A154" s="331" t="s">
        <v>337</v>
      </c>
      <c r="B154" s="331" t="s">
        <v>338</v>
      </c>
      <c r="C154" s="336">
        <v>188411</v>
      </c>
      <c r="D154" s="362">
        <v>728304</v>
      </c>
      <c r="E154" s="363">
        <v>1637042</v>
      </c>
      <c r="F154" s="337">
        <f t="shared" si="3"/>
        <v>2553757</v>
      </c>
    </row>
    <row r="155" spans="1:6">
      <c r="A155" s="331" t="s">
        <v>419</v>
      </c>
      <c r="B155" s="331" t="s">
        <v>420</v>
      </c>
      <c r="C155" s="336">
        <v>13620</v>
      </c>
      <c r="D155" s="362">
        <v>52651</v>
      </c>
      <c r="E155" s="363">
        <v>118346</v>
      </c>
      <c r="F155" s="337">
        <f t="shared" si="3"/>
        <v>184617</v>
      </c>
    </row>
    <row r="156" spans="1:6">
      <c r="A156" s="331" t="s">
        <v>437</v>
      </c>
      <c r="B156" s="331" t="s">
        <v>438</v>
      </c>
      <c r="C156" s="336">
        <v>513248</v>
      </c>
      <c r="D156" s="362">
        <v>1894961</v>
      </c>
      <c r="E156" s="363">
        <v>4259388</v>
      </c>
      <c r="F156" s="337">
        <f t="shared" si="3"/>
        <v>6667597</v>
      </c>
    </row>
    <row r="157" spans="1:6">
      <c r="A157" s="331" t="s">
        <v>149</v>
      </c>
      <c r="B157" s="331" t="s">
        <v>150</v>
      </c>
      <c r="C157" s="336">
        <v>172232</v>
      </c>
      <c r="D157" s="362">
        <v>1063801</v>
      </c>
      <c r="E157" s="363">
        <v>2391152</v>
      </c>
      <c r="F157" s="337">
        <f t="shared" si="3"/>
        <v>3627185</v>
      </c>
    </row>
    <row r="158" spans="1:6">
      <c r="A158" s="331" t="s">
        <v>277</v>
      </c>
      <c r="B158" s="339" t="s">
        <v>278</v>
      </c>
      <c r="C158" s="336">
        <v>88093</v>
      </c>
      <c r="D158" s="362">
        <v>309599</v>
      </c>
      <c r="E158" s="363">
        <v>695898</v>
      </c>
      <c r="F158" s="337">
        <f t="shared" si="3"/>
        <v>1093590</v>
      </c>
    </row>
    <row r="159" spans="1:6">
      <c r="A159" s="331" t="s">
        <v>133</v>
      </c>
      <c r="B159" s="331" t="s">
        <v>134</v>
      </c>
      <c r="C159" s="336">
        <v>1647720</v>
      </c>
      <c r="D159" s="362">
        <v>6369383</v>
      </c>
      <c r="E159" s="363">
        <v>14316747</v>
      </c>
      <c r="F159" s="337">
        <f t="shared" si="3"/>
        <v>22333850</v>
      </c>
    </row>
    <row r="160" spans="1:6">
      <c r="A160" s="331" t="s">
        <v>275</v>
      </c>
      <c r="B160" s="331" t="s">
        <v>276</v>
      </c>
      <c r="C160" s="336">
        <v>107903</v>
      </c>
      <c r="D160" s="362">
        <v>417356</v>
      </c>
      <c r="E160" s="363">
        <v>938110</v>
      </c>
      <c r="F160" s="337">
        <f t="shared" si="3"/>
        <v>1463369</v>
      </c>
    </row>
    <row r="161" spans="1:6">
      <c r="A161" s="331" t="s">
        <v>609</v>
      </c>
      <c r="B161" s="331" t="s">
        <v>610</v>
      </c>
      <c r="C161" s="336">
        <v>387624.05</v>
      </c>
      <c r="D161" s="362">
        <v>1568452</v>
      </c>
      <c r="E161" s="363">
        <v>3525479</v>
      </c>
      <c r="F161" s="337">
        <f t="shared" si="3"/>
        <v>5481555.0499999998</v>
      </c>
    </row>
    <row r="162" spans="1:6">
      <c r="A162" s="331" t="s">
        <v>551</v>
      </c>
      <c r="B162" s="331" t="s">
        <v>552</v>
      </c>
      <c r="C162" s="336">
        <v>488092</v>
      </c>
      <c r="D162" s="362">
        <v>2225838</v>
      </c>
      <c r="E162" s="363">
        <v>5003116</v>
      </c>
      <c r="F162" s="337">
        <f t="shared" si="3"/>
        <v>7717046</v>
      </c>
    </row>
    <row r="163" spans="1:6">
      <c r="A163" s="331" t="s">
        <v>417</v>
      </c>
      <c r="B163" s="331" t="s">
        <v>418</v>
      </c>
      <c r="C163" s="336">
        <v>26209</v>
      </c>
      <c r="D163" s="362">
        <v>0</v>
      </c>
      <c r="E163" s="363">
        <v>48791</v>
      </c>
      <c r="F163" s="337">
        <f t="shared" si="3"/>
        <v>75000</v>
      </c>
    </row>
    <row r="164" spans="1:6">
      <c r="A164" s="331" t="s">
        <v>413</v>
      </c>
      <c r="B164" s="331" t="s">
        <v>414</v>
      </c>
      <c r="C164" s="336">
        <v>1318445</v>
      </c>
      <c r="D164" s="362">
        <v>4709236</v>
      </c>
      <c r="E164" s="363">
        <v>10585159</v>
      </c>
      <c r="F164" s="337">
        <f t="shared" si="3"/>
        <v>16612840</v>
      </c>
    </row>
    <row r="165" spans="1:6">
      <c r="A165" s="331" t="s">
        <v>223</v>
      </c>
      <c r="B165" s="331" t="s">
        <v>224</v>
      </c>
      <c r="C165" s="336">
        <v>0</v>
      </c>
      <c r="D165" s="362">
        <v>0</v>
      </c>
      <c r="E165" s="363">
        <v>0</v>
      </c>
      <c r="F165" s="337">
        <f t="shared" si="3"/>
        <v>0</v>
      </c>
    </row>
    <row r="166" spans="1:6">
      <c r="A166" s="331" t="s">
        <v>427</v>
      </c>
      <c r="B166" s="331" t="s">
        <v>428</v>
      </c>
      <c r="C166" s="336">
        <v>2412214.56</v>
      </c>
      <c r="D166" s="362">
        <v>9517154</v>
      </c>
      <c r="E166" s="363">
        <v>21392132</v>
      </c>
      <c r="F166" s="337">
        <f t="shared" si="3"/>
        <v>33321500.560000002</v>
      </c>
    </row>
    <row r="167" spans="1:6">
      <c r="A167" s="331" t="s">
        <v>583</v>
      </c>
      <c r="B167" s="331" t="s">
        <v>584</v>
      </c>
      <c r="C167" s="336">
        <v>273928</v>
      </c>
      <c r="D167" s="362">
        <v>964243</v>
      </c>
      <c r="E167" s="363">
        <v>2167372</v>
      </c>
      <c r="F167" s="337">
        <f t="shared" si="3"/>
        <v>3405543</v>
      </c>
    </row>
    <row r="168" spans="1:6">
      <c r="A168" s="331" t="s">
        <v>271</v>
      </c>
      <c r="B168" s="331" t="s">
        <v>272</v>
      </c>
      <c r="C168" s="336">
        <v>103855</v>
      </c>
      <c r="D168" s="362">
        <v>401473</v>
      </c>
      <c r="E168" s="363">
        <v>902409</v>
      </c>
      <c r="F168" s="337">
        <f t="shared" si="3"/>
        <v>1407737</v>
      </c>
    </row>
    <row r="169" spans="1:6">
      <c r="A169" s="331" t="s">
        <v>349</v>
      </c>
      <c r="B169" s="331" t="s">
        <v>350</v>
      </c>
      <c r="C169" s="336">
        <v>62606</v>
      </c>
      <c r="D169" s="362">
        <v>242190</v>
      </c>
      <c r="E169" s="363">
        <v>544382</v>
      </c>
      <c r="F169" s="337">
        <f t="shared" si="3"/>
        <v>849178</v>
      </c>
    </row>
    <row r="170" spans="1:6">
      <c r="A170" s="331" t="s">
        <v>327</v>
      </c>
      <c r="B170" s="331" t="s">
        <v>328</v>
      </c>
      <c r="C170" s="336">
        <v>126290</v>
      </c>
      <c r="D170" s="362">
        <v>488586</v>
      </c>
      <c r="E170" s="363">
        <v>1098217</v>
      </c>
      <c r="F170" s="337">
        <f t="shared" si="3"/>
        <v>1713093</v>
      </c>
    </row>
    <row r="171" spans="1:6">
      <c r="A171" s="331" t="s">
        <v>355</v>
      </c>
      <c r="B171" s="331" t="s">
        <v>356</v>
      </c>
      <c r="C171" s="336">
        <v>328836</v>
      </c>
      <c r="D171" s="362">
        <v>1271916</v>
      </c>
      <c r="E171" s="363">
        <v>2858942</v>
      </c>
      <c r="F171" s="337">
        <f t="shared" si="3"/>
        <v>4459694</v>
      </c>
    </row>
    <row r="172" spans="1:6">
      <c r="A172" s="331" t="s">
        <v>457</v>
      </c>
      <c r="B172" s="331" t="s">
        <v>458</v>
      </c>
      <c r="C172" s="336">
        <v>418204</v>
      </c>
      <c r="D172" s="362">
        <v>1616614</v>
      </c>
      <c r="E172" s="363">
        <v>3633735</v>
      </c>
      <c r="F172" s="337">
        <f t="shared" si="3"/>
        <v>5668553</v>
      </c>
    </row>
    <row r="173" spans="1:6">
      <c r="A173" s="331" t="s">
        <v>549</v>
      </c>
      <c r="B173" s="331" t="s">
        <v>550</v>
      </c>
      <c r="C173" s="336">
        <v>285267</v>
      </c>
      <c r="D173" s="362">
        <v>1146971</v>
      </c>
      <c r="E173" s="363">
        <v>2578099</v>
      </c>
      <c r="F173" s="337">
        <f t="shared" si="3"/>
        <v>4010337</v>
      </c>
    </row>
    <row r="174" spans="1:6">
      <c r="A174" s="331" t="s">
        <v>145</v>
      </c>
      <c r="B174" s="331" t="s">
        <v>146</v>
      </c>
      <c r="C174" s="336">
        <v>130576</v>
      </c>
      <c r="D174" s="362">
        <v>547469</v>
      </c>
      <c r="E174" s="363">
        <v>1230571</v>
      </c>
      <c r="F174" s="337">
        <f t="shared" si="3"/>
        <v>1908616</v>
      </c>
    </row>
    <row r="175" spans="1:6">
      <c r="A175" s="331" t="s">
        <v>113</v>
      </c>
      <c r="B175" s="331" t="s">
        <v>114</v>
      </c>
      <c r="C175" s="336">
        <v>772044</v>
      </c>
      <c r="D175" s="362">
        <v>2825542</v>
      </c>
      <c r="E175" s="363">
        <v>6351097</v>
      </c>
      <c r="F175" s="337">
        <f t="shared" si="3"/>
        <v>9948683</v>
      </c>
    </row>
    <row r="176" spans="1:6">
      <c r="A176" s="331" t="s">
        <v>231</v>
      </c>
      <c r="B176" s="331" t="s">
        <v>232</v>
      </c>
      <c r="C176" s="336">
        <v>555471</v>
      </c>
      <c r="D176" s="362">
        <v>2147202</v>
      </c>
      <c r="E176" s="363">
        <v>4826361</v>
      </c>
      <c r="F176" s="337">
        <f t="shared" si="3"/>
        <v>7529034</v>
      </c>
    </row>
    <row r="177" spans="1:6">
      <c r="A177" s="331" t="s">
        <v>323</v>
      </c>
      <c r="B177" s="331" t="s">
        <v>324</v>
      </c>
      <c r="C177" s="336">
        <v>490972</v>
      </c>
      <c r="D177" s="362">
        <v>1980786</v>
      </c>
      <c r="E177" s="363">
        <v>4452300</v>
      </c>
      <c r="F177" s="337">
        <f t="shared" si="3"/>
        <v>6924058</v>
      </c>
    </row>
    <row r="178" spans="1:6">
      <c r="A178" s="331" t="s">
        <v>353</v>
      </c>
      <c r="B178" s="331" t="s">
        <v>354</v>
      </c>
      <c r="C178" s="336">
        <v>26148</v>
      </c>
      <c r="D178" s="362">
        <v>55650</v>
      </c>
      <c r="E178" s="363">
        <v>125087</v>
      </c>
      <c r="F178" s="337">
        <f t="shared" si="3"/>
        <v>206885</v>
      </c>
    </row>
    <row r="179" spans="1:6">
      <c r="A179" s="331" t="s">
        <v>509</v>
      </c>
      <c r="B179" s="331" t="s">
        <v>510</v>
      </c>
      <c r="C179" s="336">
        <v>2107760</v>
      </c>
      <c r="D179" s="362">
        <v>7461593</v>
      </c>
      <c r="E179" s="363">
        <v>16771755</v>
      </c>
      <c r="F179" s="337">
        <f t="shared" si="3"/>
        <v>26341108</v>
      </c>
    </row>
    <row r="180" spans="1:6">
      <c r="A180" s="331" t="s">
        <v>503</v>
      </c>
      <c r="B180" s="331" t="s">
        <v>504</v>
      </c>
      <c r="C180" s="336">
        <v>71635</v>
      </c>
      <c r="D180" s="362">
        <v>276948</v>
      </c>
      <c r="E180" s="363">
        <v>622509</v>
      </c>
      <c r="F180" s="337">
        <f t="shared" si="3"/>
        <v>971092</v>
      </c>
    </row>
    <row r="181" spans="1:6">
      <c r="A181" s="331" t="s">
        <v>219</v>
      </c>
      <c r="B181" s="331" t="s">
        <v>220</v>
      </c>
      <c r="C181" s="336">
        <v>543139</v>
      </c>
      <c r="D181" s="362">
        <v>2100308</v>
      </c>
      <c r="E181" s="363">
        <v>4720956</v>
      </c>
      <c r="F181" s="337">
        <f t="shared" si="3"/>
        <v>7364403</v>
      </c>
    </row>
    <row r="182" spans="1:6">
      <c r="A182" s="331" t="s">
        <v>167</v>
      </c>
      <c r="B182" s="331" t="s">
        <v>168</v>
      </c>
      <c r="C182" s="336">
        <v>771228</v>
      </c>
      <c r="D182" s="362">
        <v>2981342</v>
      </c>
      <c r="E182" s="363">
        <v>6701294</v>
      </c>
      <c r="F182" s="337">
        <f t="shared" si="3"/>
        <v>10453864</v>
      </c>
    </row>
    <row r="183" spans="1:6">
      <c r="A183" s="331" t="s">
        <v>579</v>
      </c>
      <c r="B183" s="331" t="s">
        <v>580</v>
      </c>
      <c r="C183" s="336">
        <v>10772</v>
      </c>
      <c r="D183" s="362">
        <v>0</v>
      </c>
      <c r="E183" s="363">
        <v>64228</v>
      </c>
      <c r="F183" s="337">
        <f t="shared" si="3"/>
        <v>75000</v>
      </c>
    </row>
    <row r="184" spans="1:6">
      <c r="A184" s="331" t="s">
        <v>165</v>
      </c>
      <c r="B184" s="331" t="s">
        <v>166</v>
      </c>
      <c r="C184" s="336">
        <v>72609.320000000007</v>
      </c>
      <c r="D184" s="362">
        <v>543533</v>
      </c>
      <c r="E184" s="363">
        <v>1221724</v>
      </c>
      <c r="F184" s="337">
        <f t="shared" si="3"/>
        <v>1837866.32</v>
      </c>
    </row>
    <row r="185" spans="1:6">
      <c r="A185" s="331" t="s">
        <v>343</v>
      </c>
      <c r="B185" s="331" t="s">
        <v>344</v>
      </c>
      <c r="C185" s="336">
        <v>215741</v>
      </c>
      <c r="D185" s="362">
        <v>833971</v>
      </c>
      <c r="E185" s="363">
        <v>1874553</v>
      </c>
      <c r="F185" s="337">
        <f t="shared" si="3"/>
        <v>2924265</v>
      </c>
    </row>
    <row r="186" spans="1:6">
      <c r="A186" s="331" t="s">
        <v>163</v>
      </c>
      <c r="B186" s="331" t="s">
        <v>164</v>
      </c>
      <c r="C186" s="336">
        <v>213689.93</v>
      </c>
      <c r="D186" s="362">
        <v>859878</v>
      </c>
      <c r="E186" s="363">
        <v>1932786</v>
      </c>
      <c r="F186" s="337">
        <f t="shared" si="3"/>
        <v>3006353.9299999997</v>
      </c>
    </row>
    <row r="187" spans="1:6">
      <c r="A187" s="331" t="s">
        <v>305</v>
      </c>
      <c r="B187" s="331" t="s">
        <v>306</v>
      </c>
      <c r="C187" s="336">
        <v>40905</v>
      </c>
      <c r="D187" s="362">
        <v>158132</v>
      </c>
      <c r="E187" s="363">
        <v>355439</v>
      </c>
      <c r="F187" s="337">
        <f t="shared" si="3"/>
        <v>554476</v>
      </c>
    </row>
    <row r="188" spans="1:6">
      <c r="A188" s="331" t="s">
        <v>331</v>
      </c>
      <c r="B188" s="331" t="s">
        <v>332</v>
      </c>
      <c r="C188" s="336">
        <v>341526</v>
      </c>
      <c r="D188" s="362">
        <v>1710418</v>
      </c>
      <c r="E188" s="363">
        <v>3844582</v>
      </c>
      <c r="F188" s="337">
        <f t="shared" si="3"/>
        <v>5896526</v>
      </c>
    </row>
    <row r="189" spans="1:6">
      <c r="A189" s="331" t="s">
        <v>513</v>
      </c>
      <c r="B189" s="331" t="s">
        <v>514</v>
      </c>
      <c r="C189" s="336">
        <v>1233113</v>
      </c>
      <c r="D189" s="362">
        <v>4766473</v>
      </c>
      <c r="E189" s="363">
        <v>10713814</v>
      </c>
      <c r="F189" s="337">
        <f t="shared" si="3"/>
        <v>16713400</v>
      </c>
    </row>
    <row r="190" spans="1:6">
      <c r="A190" s="331" t="s">
        <v>329</v>
      </c>
      <c r="B190" s="331" t="s">
        <v>330</v>
      </c>
      <c r="C190" s="336">
        <v>385741.48</v>
      </c>
      <c r="D190" s="362">
        <v>2036224</v>
      </c>
      <c r="E190" s="363">
        <v>4576912</v>
      </c>
      <c r="F190" s="337">
        <f t="shared" si="3"/>
        <v>6998877.4800000004</v>
      </c>
    </row>
    <row r="191" spans="1:6">
      <c r="A191" s="331" t="s">
        <v>287</v>
      </c>
      <c r="B191" s="331" t="s">
        <v>288</v>
      </c>
      <c r="C191" s="336">
        <v>114472</v>
      </c>
      <c r="D191" s="362">
        <v>430146</v>
      </c>
      <c r="E191" s="363">
        <v>966857</v>
      </c>
      <c r="F191" s="337">
        <f t="shared" si="3"/>
        <v>1511475</v>
      </c>
    </row>
    <row r="192" spans="1:6">
      <c r="A192" s="331" t="s">
        <v>483</v>
      </c>
      <c r="B192" s="331" t="s">
        <v>484</v>
      </c>
      <c r="C192" s="336">
        <v>29344</v>
      </c>
      <c r="D192" s="362">
        <v>103145</v>
      </c>
      <c r="E192" s="363">
        <v>231844</v>
      </c>
      <c r="F192" s="337">
        <f t="shared" si="3"/>
        <v>364333</v>
      </c>
    </row>
    <row r="193" spans="1:6">
      <c r="A193" s="331" t="s">
        <v>395</v>
      </c>
      <c r="B193" s="331" t="s">
        <v>396</v>
      </c>
      <c r="C193" s="336">
        <v>104948</v>
      </c>
      <c r="D193" s="362">
        <v>348780</v>
      </c>
      <c r="E193" s="363">
        <v>783969</v>
      </c>
      <c r="F193" s="337">
        <f t="shared" si="3"/>
        <v>1237697</v>
      </c>
    </row>
    <row r="194" spans="1:6">
      <c r="A194" s="331" t="s">
        <v>453</v>
      </c>
      <c r="B194" s="331" t="s">
        <v>454</v>
      </c>
      <c r="C194" s="336">
        <v>21331</v>
      </c>
      <c r="D194" s="362">
        <v>82517</v>
      </c>
      <c r="E194" s="363">
        <v>185477</v>
      </c>
      <c r="F194" s="337">
        <f t="shared" si="3"/>
        <v>289325</v>
      </c>
    </row>
    <row r="195" spans="1:6">
      <c r="A195" s="331" t="s">
        <v>105</v>
      </c>
      <c r="B195" s="331" t="s">
        <v>106</v>
      </c>
      <c r="C195" s="336">
        <v>36155</v>
      </c>
      <c r="D195" s="362">
        <v>135649</v>
      </c>
      <c r="E195" s="363">
        <v>304905</v>
      </c>
      <c r="F195" s="337">
        <f t="shared" si="3"/>
        <v>476709</v>
      </c>
    </row>
    <row r="196" spans="1:6">
      <c r="A196" s="331" t="s">
        <v>89</v>
      </c>
      <c r="B196" s="331" t="s">
        <v>90</v>
      </c>
      <c r="C196" s="336">
        <v>79679</v>
      </c>
      <c r="D196" s="362">
        <v>308014</v>
      </c>
      <c r="E196" s="363">
        <v>692338</v>
      </c>
      <c r="F196" s="337">
        <f t="shared" si="3"/>
        <v>1080031</v>
      </c>
    </row>
    <row r="197" spans="1:6">
      <c r="A197" s="331" t="s">
        <v>341</v>
      </c>
      <c r="B197" s="331" t="s">
        <v>342</v>
      </c>
      <c r="C197" s="336">
        <v>298427</v>
      </c>
      <c r="D197" s="362">
        <v>1445020</v>
      </c>
      <c r="E197" s="363">
        <v>3248035</v>
      </c>
      <c r="F197" s="337">
        <f t="shared" si="3"/>
        <v>4991482</v>
      </c>
    </row>
    <row r="198" spans="1:6">
      <c r="A198" s="331" t="s">
        <v>375</v>
      </c>
      <c r="B198" s="331" t="s">
        <v>376</v>
      </c>
      <c r="C198" s="336">
        <v>325495</v>
      </c>
      <c r="D198" s="362">
        <v>1183037</v>
      </c>
      <c r="E198" s="363">
        <v>2659165</v>
      </c>
      <c r="F198" s="337">
        <f t="shared" ref="F198:F261" si="4">SUM(C198:E198)</f>
        <v>4167697</v>
      </c>
    </row>
    <row r="199" spans="1:6">
      <c r="A199" s="331" t="s">
        <v>7</v>
      </c>
      <c r="B199" s="331" t="s">
        <v>8</v>
      </c>
      <c r="C199" s="336">
        <v>1170074</v>
      </c>
      <c r="D199" s="362">
        <v>4526452</v>
      </c>
      <c r="E199" s="363">
        <v>10174308</v>
      </c>
      <c r="F199" s="337">
        <f t="shared" si="4"/>
        <v>15870834</v>
      </c>
    </row>
    <row r="200" spans="1:6">
      <c r="A200" s="331" t="s">
        <v>93</v>
      </c>
      <c r="B200" s="331" t="s">
        <v>94</v>
      </c>
      <c r="C200" s="336">
        <v>24703</v>
      </c>
      <c r="D200" s="362">
        <v>8776</v>
      </c>
      <c r="E200" s="363">
        <v>41521</v>
      </c>
      <c r="F200" s="337">
        <f t="shared" si="4"/>
        <v>75000</v>
      </c>
    </row>
    <row r="201" spans="1:6">
      <c r="A201" s="331" t="s">
        <v>565</v>
      </c>
      <c r="B201" s="331" t="s">
        <v>566</v>
      </c>
      <c r="C201" s="336">
        <v>48916</v>
      </c>
      <c r="D201" s="362">
        <v>93778</v>
      </c>
      <c r="E201" s="363">
        <v>210788</v>
      </c>
      <c r="F201" s="337">
        <f t="shared" si="4"/>
        <v>353482</v>
      </c>
    </row>
    <row r="202" spans="1:6">
      <c r="A202" s="331" t="s">
        <v>111</v>
      </c>
      <c r="B202" s="331" t="s">
        <v>112</v>
      </c>
      <c r="C202" s="336">
        <v>4226988</v>
      </c>
      <c r="D202" s="362">
        <v>16339019</v>
      </c>
      <c r="E202" s="363">
        <v>36725942</v>
      </c>
      <c r="F202" s="337">
        <f t="shared" si="4"/>
        <v>57291949</v>
      </c>
    </row>
    <row r="203" spans="1:6">
      <c r="A203" s="331" t="s">
        <v>335</v>
      </c>
      <c r="B203" s="331" t="s">
        <v>336</v>
      </c>
      <c r="C203" s="336">
        <v>73036</v>
      </c>
      <c r="D203" s="362">
        <v>282497</v>
      </c>
      <c r="E203" s="363">
        <v>634982</v>
      </c>
      <c r="F203" s="337">
        <f t="shared" si="4"/>
        <v>990515</v>
      </c>
    </row>
    <row r="204" spans="1:6">
      <c r="A204" s="331" t="s">
        <v>19</v>
      </c>
      <c r="B204" s="331" t="s">
        <v>20</v>
      </c>
      <c r="C204" s="336">
        <v>13512</v>
      </c>
      <c r="D204" s="362">
        <v>49340</v>
      </c>
      <c r="E204" s="363">
        <v>110903</v>
      </c>
      <c r="F204" s="337">
        <f t="shared" si="4"/>
        <v>173755</v>
      </c>
    </row>
    <row r="205" spans="1:6">
      <c r="A205" s="331" t="s">
        <v>289</v>
      </c>
      <c r="B205" s="331" t="s">
        <v>290</v>
      </c>
      <c r="C205" s="336">
        <v>34938</v>
      </c>
      <c r="D205" s="362">
        <v>125787</v>
      </c>
      <c r="E205" s="363">
        <v>282737</v>
      </c>
      <c r="F205" s="337">
        <f t="shared" si="4"/>
        <v>443462</v>
      </c>
    </row>
    <row r="206" spans="1:6">
      <c r="A206" s="331" t="s">
        <v>379</v>
      </c>
      <c r="B206" s="331" t="s">
        <v>380</v>
      </c>
      <c r="C206" s="336">
        <v>628655.28</v>
      </c>
      <c r="D206" s="362">
        <v>1265905</v>
      </c>
      <c r="E206" s="363">
        <v>2845431</v>
      </c>
      <c r="F206" s="337">
        <f t="shared" si="4"/>
        <v>4739991.28</v>
      </c>
    </row>
    <row r="207" spans="1:6">
      <c r="A207" s="331" t="s">
        <v>1317</v>
      </c>
      <c r="B207" s="331" t="s">
        <v>1318</v>
      </c>
      <c r="C207" s="336">
        <v>0</v>
      </c>
      <c r="D207" s="362">
        <v>0</v>
      </c>
      <c r="E207" s="363">
        <v>242035</v>
      </c>
      <c r="F207" s="337">
        <f t="shared" si="4"/>
        <v>242035</v>
      </c>
    </row>
    <row r="208" spans="1:6">
      <c r="A208" s="331" t="s">
        <v>321</v>
      </c>
      <c r="B208" s="331" t="s">
        <v>322</v>
      </c>
      <c r="C208" s="336">
        <v>301564</v>
      </c>
      <c r="D208" s="362">
        <v>1416406</v>
      </c>
      <c r="E208" s="363">
        <v>3183719</v>
      </c>
      <c r="F208" s="337">
        <f t="shared" si="4"/>
        <v>4901689</v>
      </c>
    </row>
    <row r="209" spans="1:6">
      <c r="A209" s="331" t="s">
        <v>119</v>
      </c>
      <c r="B209" s="331" t="s">
        <v>120</v>
      </c>
      <c r="C209" s="336">
        <v>75043</v>
      </c>
      <c r="D209" s="362">
        <v>290086</v>
      </c>
      <c r="E209" s="363">
        <v>652039</v>
      </c>
      <c r="F209" s="337">
        <f t="shared" si="4"/>
        <v>1017168</v>
      </c>
    </row>
    <row r="210" spans="1:6">
      <c r="A210" s="331" t="s">
        <v>43</v>
      </c>
      <c r="B210" s="331" t="s">
        <v>44</v>
      </c>
      <c r="C210" s="336">
        <v>1256511.28</v>
      </c>
      <c r="D210" s="362">
        <v>4857076</v>
      </c>
      <c r="E210" s="363">
        <v>10917466</v>
      </c>
      <c r="F210" s="337">
        <f t="shared" si="4"/>
        <v>17031053.280000001</v>
      </c>
    </row>
    <row r="211" spans="1:6">
      <c r="A211" s="331" t="s">
        <v>181</v>
      </c>
      <c r="B211" s="331" t="s">
        <v>182</v>
      </c>
      <c r="C211" s="336">
        <v>368513</v>
      </c>
      <c r="D211" s="362">
        <v>1489708</v>
      </c>
      <c r="E211" s="363">
        <v>3348483</v>
      </c>
      <c r="F211" s="337">
        <f t="shared" si="4"/>
        <v>5206704</v>
      </c>
    </row>
    <row r="212" spans="1:6">
      <c r="A212" s="331" t="s">
        <v>537</v>
      </c>
      <c r="B212" s="331" t="s">
        <v>538</v>
      </c>
      <c r="C212" s="336">
        <v>61730</v>
      </c>
      <c r="D212" s="362">
        <v>238801</v>
      </c>
      <c r="E212" s="363">
        <v>536764</v>
      </c>
      <c r="F212" s="337">
        <f t="shared" si="4"/>
        <v>837295</v>
      </c>
    </row>
    <row r="213" spans="1:6">
      <c r="A213" s="331" t="s">
        <v>481</v>
      </c>
      <c r="B213" s="331" t="s">
        <v>482</v>
      </c>
      <c r="C213" s="336">
        <v>169681</v>
      </c>
      <c r="D213" s="362">
        <v>816554</v>
      </c>
      <c r="E213" s="363">
        <v>1835405</v>
      </c>
      <c r="F213" s="337">
        <f t="shared" si="4"/>
        <v>2821640</v>
      </c>
    </row>
    <row r="214" spans="1:6">
      <c r="A214" s="331" t="s">
        <v>25</v>
      </c>
      <c r="B214" s="331" t="s">
        <v>26</v>
      </c>
      <c r="C214" s="336">
        <v>649366</v>
      </c>
      <c r="D214" s="362">
        <v>2349915</v>
      </c>
      <c r="E214" s="363">
        <v>5282008</v>
      </c>
      <c r="F214" s="337">
        <f t="shared" si="4"/>
        <v>8281289</v>
      </c>
    </row>
    <row r="215" spans="1:6">
      <c r="A215" s="331" t="s">
        <v>1319</v>
      </c>
      <c r="B215" s="331" t="s">
        <v>1320</v>
      </c>
      <c r="C215" s="336">
        <v>0</v>
      </c>
      <c r="D215" s="362">
        <v>0</v>
      </c>
      <c r="E215" s="363">
        <v>144956</v>
      </c>
      <c r="F215" s="337">
        <f t="shared" si="4"/>
        <v>144956</v>
      </c>
    </row>
    <row r="216" spans="1:6">
      <c r="A216" s="331" t="s">
        <v>561</v>
      </c>
      <c r="B216" s="331" t="s">
        <v>562</v>
      </c>
      <c r="C216" s="336">
        <v>386787</v>
      </c>
      <c r="D216" s="362">
        <v>1495198</v>
      </c>
      <c r="E216" s="363">
        <v>3360824</v>
      </c>
      <c r="F216" s="337">
        <f t="shared" si="4"/>
        <v>5242809</v>
      </c>
    </row>
    <row r="217" spans="1:6">
      <c r="A217" s="331" t="s">
        <v>363</v>
      </c>
      <c r="B217" s="331" t="s">
        <v>364</v>
      </c>
      <c r="C217" s="336">
        <v>2412933</v>
      </c>
      <c r="D217" s="362">
        <v>9326750</v>
      </c>
      <c r="E217" s="363">
        <v>20964151</v>
      </c>
      <c r="F217" s="337">
        <f t="shared" si="4"/>
        <v>32703834</v>
      </c>
    </row>
    <row r="218" spans="1:6">
      <c r="A218" s="331" t="s">
        <v>173</v>
      </c>
      <c r="B218" s="331" t="s">
        <v>174</v>
      </c>
      <c r="C218" s="336">
        <v>21319</v>
      </c>
      <c r="D218" s="362">
        <v>91029</v>
      </c>
      <c r="E218" s="363">
        <v>204610</v>
      </c>
      <c r="F218" s="337">
        <f t="shared" si="4"/>
        <v>316958</v>
      </c>
    </row>
    <row r="219" spans="1:6">
      <c r="A219" s="331" t="s">
        <v>177</v>
      </c>
      <c r="B219" s="331" t="s">
        <v>178</v>
      </c>
      <c r="C219" s="336">
        <v>34290</v>
      </c>
      <c r="D219" s="362">
        <v>155087</v>
      </c>
      <c r="E219" s="363">
        <v>348596</v>
      </c>
      <c r="F219" s="337">
        <f t="shared" si="4"/>
        <v>537973</v>
      </c>
    </row>
    <row r="220" spans="1:6">
      <c r="A220" s="331" t="s">
        <v>53</v>
      </c>
      <c r="B220" s="331" t="s">
        <v>54</v>
      </c>
      <c r="C220" s="336">
        <v>0</v>
      </c>
      <c r="D220" s="362">
        <v>0</v>
      </c>
      <c r="E220" s="363">
        <v>0</v>
      </c>
      <c r="F220" s="337">
        <f t="shared" si="4"/>
        <v>0</v>
      </c>
    </row>
    <row r="221" spans="1:6">
      <c r="A221" s="331" t="s">
        <v>51</v>
      </c>
      <c r="B221" s="331" t="s">
        <v>52</v>
      </c>
      <c r="C221" s="336">
        <v>388732</v>
      </c>
      <c r="D221" s="362">
        <v>1657259</v>
      </c>
      <c r="E221" s="363">
        <v>3725096</v>
      </c>
      <c r="F221" s="337">
        <f t="shared" si="4"/>
        <v>5771087</v>
      </c>
    </row>
    <row r="222" spans="1:6">
      <c r="A222" s="331" t="s">
        <v>123</v>
      </c>
      <c r="B222" s="331" t="s">
        <v>124</v>
      </c>
      <c r="C222" s="336">
        <v>825222</v>
      </c>
      <c r="D222" s="362">
        <v>3189942</v>
      </c>
      <c r="E222" s="363">
        <v>7170174</v>
      </c>
      <c r="F222" s="337">
        <f t="shared" si="4"/>
        <v>11185338</v>
      </c>
    </row>
    <row r="223" spans="1:6">
      <c r="A223" s="331" t="s">
        <v>225</v>
      </c>
      <c r="B223" s="331" t="s">
        <v>226</v>
      </c>
      <c r="C223" s="336">
        <v>121415</v>
      </c>
      <c r="D223" s="362">
        <v>409157</v>
      </c>
      <c r="E223" s="363">
        <v>919681</v>
      </c>
      <c r="F223" s="337">
        <f t="shared" si="4"/>
        <v>1450253</v>
      </c>
    </row>
    <row r="224" spans="1:6">
      <c r="A224" s="331" t="s">
        <v>515</v>
      </c>
      <c r="B224" s="331" t="s">
        <v>516</v>
      </c>
      <c r="C224" s="336">
        <v>91953</v>
      </c>
      <c r="D224" s="362">
        <v>355451</v>
      </c>
      <c r="E224" s="363">
        <v>798964</v>
      </c>
      <c r="F224" s="337">
        <f t="shared" si="4"/>
        <v>1246368</v>
      </c>
    </row>
    <row r="225" spans="1:6">
      <c r="A225" s="331" t="s">
        <v>345</v>
      </c>
      <c r="B225" s="331" t="s">
        <v>346</v>
      </c>
      <c r="C225" s="336">
        <v>180451</v>
      </c>
      <c r="D225" s="362">
        <v>697528</v>
      </c>
      <c r="E225" s="363">
        <v>1567864</v>
      </c>
      <c r="F225" s="337">
        <f t="shared" si="4"/>
        <v>2445843</v>
      </c>
    </row>
    <row r="226" spans="1:6">
      <c r="A226" s="331" t="s">
        <v>299</v>
      </c>
      <c r="B226" s="331" t="s">
        <v>300</v>
      </c>
      <c r="C226" s="336">
        <v>101424</v>
      </c>
      <c r="D226" s="362">
        <v>400875</v>
      </c>
      <c r="E226" s="363">
        <v>901064</v>
      </c>
      <c r="F226" s="337">
        <f t="shared" si="4"/>
        <v>1403363</v>
      </c>
    </row>
    <row r="227" spans="1:6">
      <c r="A227" s="331" t="s">
        <v>195</v>
      </c>
      <c r="B227" s="331" t="s">
        <v>196</v>
      </c>
      <c r="C227" s="336">
        <v>3894111.51</v>
      </c>
      <c r="D227" s="362">
        <v>15171797</v>
      </c>
      <c r="E227" s="363">
        <v>34102324</v>
      </c>
      <c r="F227" s="337">
        <f t="shared" si="4"/>
        <v>53168232.509999998</v>
      </c>
    </row>
    <row r="228" spans="1:6">
      <c r="A228" s="331" t="s">
        <v>109</v>
      </c>
      <c r="B228" s="331" t="s">
        <v>110</v>
      </c>
      <c r="C228" s="336">
        <v>33056.400000000001</v>
      </c>
      <c r="D228" s="362">
        <v>305923</v>
      </c>
      <c r="E228" s="363">
        <v>687637</v>
      </c>
      <c r="F228" s="337">
        <f t="shared" si="4"/>
        <v>1026616.4</v>
      </c>
    </row>
    <row r="229" spans="1:6">
      <c r="A229" s="331" t="s">
        <v>27</v>
      </c>
      <c r="B229" s="331" t="s">
        <v>28</v>
      </c>
      <c r="C229" s="336">
        <v>1570204</v>
      </c>
      <c r="D229" s="362">
        <v>6069406</v>
      </c>
      <c r="E229" s="363">
        <v>13642475</v>
      </c>
      <c r="F229" s="337">
        <f t="shared" si="4"/>
        <v>21282085</v>
      </c>
    </row>
    <row r="230" spans="1:6">
      <c r="A230" s="331" t="s">
        <v>71</v>
      </c>
      <c r="B230" s="331" t="s">
        <v>72</v>
      </c>
      <c r="C230" s="336">
        <v>214870</v>
      </c>
      <c r="D230" s="362">
        <v>778259</v>
      </c>
      <c r="E230" s="363">
        <v>1749327</v>
      </c>
      <c r="F230" s="337">
        <f t="shared" si="4"/>
        <v>2742456</v>
      </c>
    </row>
    <row r="231" spans="1:6">
      <c r="A231" s="331" t="s">
        <v>11</v>
      </c>
      <c r="B231" s="331" t="s">
        <v>12</v>
      </c>
      <c r="C231" s="336">
        <v>47071</v>
      </c>
      <c r="D231" s="362">
        <v>182097</v>
      </c>
      <c r="E231" s="363">
        <v>409308</v>
      </c>
      <c r="F231" s="337">
        <f t="shared" si="4"/>
        <v>638476</v>
      </c>
    </row>
    <row r="232" spans="1:6">
      <c r="A232" s="331" t="s">
        <v>477</v>
      </c>
      <c r="B232" s="331" t="s">
        <v>478</v>
      </c>
      <c r="C232" s="336">
        <v>332900</v>
      </c>
      <c r="D232" s="362">
        <v>1287067</v>
      </c>
      <c r="E232" s="363">
        <v>2892998</v>
      </c>
      <c r="F232" s="337">
        <f t="shared" si="4"/>
        <v>4512965</v>
      </c>
    </row>
    <row r="233" spans="1:6">
      <c r="A233" s="331" t="s">
        <v>203</v>
      </c>
      <c r="B233" s="331" t="s">
        <v>204</v>
      </c>
      <c r="C233" s="336">
        <v>243616</v>
      </c>
      <c r="D233" s="362">
        <v>482510</v>
      </c>
      <c r="E233" s="363">
        <v>1084560</v>
      </c>
      <c r="F233" s="337">
        <f t="shared" si="4"/>
        <v>1810686</v>
      </c>
    </row>
    <row r="234" spans="1:6">
      <c r="A234" s="331" t="s">
        <v>519</v>
      </c>
      <c r="B234" s="331" t="s">
        <v>520</v>
      </c>
      <c r="C234" s="336">
        <v>423679</v>
      </c>
      <c r="D234" s="362">
        <v>1639009</v>
      </c>
      <c r="E234" s="363">
        <v>3684073</v>
      </c>
      <c r="F234" s="337">
        <f t="shared" si="4"/>
        <v>5746761</v>
      </c>
    </row>
    <row r="235" spans="1:6">
      <c r="A235" s="331" t="s">
        <v>263</v>
      </c>
      <c r="B235" s="331" t="s">
        <v>264</v>
      </c>
      <c r="C235" s="336">
        <v>7440.68</v>
      </c>
      <c r="D235" s="362">
        <v>0</v>
      </c>
      <c r="E235" s="363">
        <v>62783</v>
      </c>
      <c r="F235" s="337">
        <f t="shared" si="4"/>
        <v>70223.679999999993</v>
      </c>
    </row>
    <row r="236" spans="1:6">
      <c r="A236" s="331" t="s">
        <v>575</v>
      </c>
      <c r="B236" s="331" t="s">
        <v>576</v>
      </c>
      <c r="C236" s="336">
        <v>45295</v>
      </c>
      <c r="D236" s="362">
        <v>165496</v>
      </c>
      <c r="E236" s="363">
        <v>371992</v>
      </c>
      <c r="F236" s="337">
        <f t="shared" si="4"/>
        <v>582783</v>
      </c>
    </row>
    <row r="237" spans="1:6">
      <c r="A237" s="331" t="s">
        <v>131</v>
      </c>
      <c r="B237" s="331" t="s">
        <v>132</v>
      </c>
      <c r="C237" s="336">
        <v>503500</v>
      </c>
      <c r="D237" s="362">
        <v>1946294</v>
      </c>
      <c r="E237" s="363">
        <v>4374773</v>
      </c>
      <c r="F237" s="337">
        <f t="shared" si="4"/>
        <v>6824567</v>
      </c>
    </row>
    <row r="238" spans="1:6">
      <c r="A238" s="331" t="s">
        <v>399</v>
      </c>
      <c r="B238" s="331" t="s">
        <v>400</v>
      </c>
      <c r="C238" s="336">
        <v>82570</v>
      </c>
      <c r="D238" s="362">
        <v>319174</v>
      </c>
      <c r="E238" s="363">
        <v>717422</v>
      </c>
      <c r="F238" s="337">
        <f t="shared" si="4"/>
        <v>1119166</v>
      </c>
    </row>
    <row r="239" spans="1:6">
      <c r="A239" s="331" t="s">
        <v>159</v>
      </c>
      <c r="B239" s="331" t="s">
        <v>160</v>
      </c>
      <c r="C239" s="336">
        <v>18274</v>
      </c>
      <c r="D239" s="362">
        <v>70641</v>
      </c>
      <c r="E239" s="363">
        <v>158784</v>
      </c>
      <c r="F239" s="337">
        <f t="shared" si="4"/>
        <v>247699</v>
      </c>
    </row>
    <row r="240" spans="1:6">
      <c r="A240" s="331" t="s">
        <v>183</v>
      </c>
      <c r="B240" s="331" t="s">
        <v>184</v>
      </c>
      <c r="C240" s="336">
        <v>10709835</v>
      </c>
      <c r="D240" s="362">
        <v>41396439</v>
      </c>
      <c r="E240" s="363">
        <v>93048616</v>
      </c>
      <c r="F240" s="337">
        <f t="shared" si="4"/>
        <v>145154890</v>
      </c>
    </row>
    <row r="241" spans="1:6">
      <c r="A241" s="331" t="s">
        <v>405</v>
      </c>
      <c r="B241" s="331" t="s">
        <v>406</v>
      </c>
      <c r="C241" s="336">
        <v>646556</v>
      </c>
      <c r="D241" s="362">
        <v>2225770</v>
      </c>
      <c r="E241" s="363">
        <v>5002962</v>
      </c>
      <c r="F241" s="337">
        <f t="shared" si="4"/>
        <v>7875288</v>
      </c>
    </row>
    <row r="242" spans="1:6">
      <c r="A242" s="331" t="s">
        <v>589</v>
      </c>
      <c r="B242" s="331" t="s">
        <v>590</v>
      </c>
      <c r="C242" s="336">
        <v>641506</v>
      </c>
      <c r="D242" s="362">
        <v>2479904</v>
      </c>
      <c r="E242" s="363">
        <v>5574191</v>
      </c>
      <c r="F242" s="337">
        <f t="shared" si="4"/>
        <v>8695601</v>
      </c>
    </row>
    <row r="243" spans="1:6">
      <c r="A243" s="331" t="s">
        <v>359</v>
      </c>
      <c r="B243" s="331" t="s">
        <v>360</v>
      </c>
      <c r="C243" s="336">
        <v>106663</v>
      </c>
      <c r="D243" s="362">
        <v>409231</v>
      </c>
      <c r="E243" s="363">
        <v>919847</v>
      </c>
      <c r="F243" s="337">
        <f t="shared" si="4"/>
        <v>1435741</v>
      </c>
    </row>
    <row r="244" spans="1:6">
      <c r="A244" s="331" t="s">
        <v>47</v>
      </c>
      <c r="B244" s="331" t="s">
        <v>48</v>
      </c>
      <c r="C244" s="336">
        <v>481541.25</v>
      </c>
      <c r="D244" s="362">
        <v>2702123</v>
      </c>
      <c r="E244" s="363">
        <v>6073682</v>
      </c>
      <c r="F244" s="337">
        <f t="shared" si="4"/>
        <v>9257346.25</v>
      </c>
    </row>
    <row r="245" spans="1:6">
      <c r="A245" s="331" t="s">
        <v>393</v>
      </c>
      <c r="B245" s="331" t="s">
        <v>394</v>
      </c>
      <c r="C245" s="336">
        <v>2016</v>
      </c>
      <c r="D245" s="362">
        <v>0</v>
      </c>
      <c r="E245" s="363">
        <v>72984</v>
      </c>
      <c r="F245" s="337">
        <f t="shared" si="4"/>
        <v>75000</v>
      </c>
    </row>
    <row r="246" spans="1:6">
      <c r="A246" s="331" t="s">
        <v>317</v>
      </c>
      <c r="B246" s="331" t="s">
        <v>318</v>
      </c>
      <c r="C246" s="336">
        <v>975237</v>
      </c>
      <c r="D246" s="362">
        <v>4104308</v>
      </c>
      <c r="E246" s="363">
        <v>9225436</v>
      </c>
      <c r="F246" s="337">
        <f t="shared" si="4"/>
        <v>14304981</v>
      </c>
    </row>
    <row r="247" spans="1:6">
      <c r="A247" s="331" t="s">
        <v>213</v>
      </c>
      <c r="B247" s="331" t="s">
        <v>214</v>
      </c>
      <c r="C247" s="336">
        <v>823522.8</v>
      </c>
      <c r="D247" s="362">
        <v>3184334</v>
      </c>
      <c r="E247" s="363">
        <v>7157569</v>
      </c>
      <c r="F247" s="337">
        <f t="shared" si="4"/>
        <v>11165425.800000001</v>
      </c>
    </row>
    <row r="248" spans="1:6">
      <c r="A248" s="331" t="s">
        <v>415</v>
      </c>
      <c r="B248" s="331" t="s">
        <v>416</v>
      </c>
      <c r="C248" s="336">
        <v>13501</v>
      </c>
      <c r="D248" s="362">
        <v>4694</v>
      </c>
      <c r="E248" s="363">
        <v>56805</v>
      </c>
      <c r="F248" s="337">
        <f t="shared" si="4"/>
        <v>75000</v>
      </c>
    </row>
    <row r="249" spans="1:6">
      <c r="A249" s="331" t="s">
        <v>197</v>
      </c>
      <c r="B249" s="331" t="s">
        <v>198</v>
      </c>
      <c r="C249" s="336">
        <v>1481</v>
      </c>
      <c r="D249" s="362">
        <v>0</v>
      </c>
      <c r="E249" s="363">
        <v>73519</v>
      </c>
      <c r="F249" s="337">
        <f t="shared" si="4"/>
        <v>75000</v>
      </c>
    </row>
    <row r="250" spans="1:6">
      <c r="A250" s="331" t="s">
        <v>439</v>
      </c>
      <c r="B250" s="331" t="s">
        <v>440</v>
      </c>
      <c r="C250" s="336">
        <v>265032</v>
      </c>
      <c r="D250" s="362">
        <v>1024983</v>
      </c>
      <c r="E250" s="363">
        <v>2303901</v>
      </c>
      <c r="F250" s="337">
        <f t="shared" si="4"/>
        <v>3593916</v>
      </c>
    </row>
    <row r="251" spans="1:6">
      <c r="A251" s="331" t="s">
        <v>209</v>
      </c>
      <c r="B251" s="331" t="s">
        <v>210</v>
      </c>
      <c r="C251" s="336">
        <v>425986</v>
      </c>
      <c r="D251" s="362">
        <v>1646675</v>
      </c>
      <c r="E251" s="363">
        <v>3701305</v>
      </c>
      <c r="F251" s="337">
        <f t="shared" si="4"/>
        <v>5773966</v>
      </c>
    </row>
    <row r="252" spans="1:6">
      <c r="A252" s="331" t="s">
        <v>129</v>
      </c>
      <c r="B252" s="331" t="s">
        <v>130</v>
      </c>
      <c r="C252" s="336">
        <v>165260</v>
      </c>
      <c r="D252" s="362">
        <v>580803</v>
      </c>
      <c r="E252" s="363">
        <v>1305496</v>
      </c>
      <c r="F252" s="337">
        <f t="shared" si="4"/>
        <v>2051559</v>
      </c>
    </row>
    <row r="253" spans="1:6">
      <c r="A253" s="331" t="s">
        <v>347</v>
      </c>
      <c r="B253" s="331" t="s">
        <v>348</v>
      </c>
      <c r="C253" s="336">
        <v>199460</v>
      </c>
      <c r="D253" s="362">
        <v>765238</v>
      </c>
      <c r="E253" s="363">
        <v>1720061</v>
      </c>
      <c r="F253" s="337">
        <f t="shared" si="4"/>
        <v>2684759</v>
      </c>
    </row>
    <row r="254" spans="1:6">
      <c r="A254" s="331" t="s">
        <v>235</v>
      </c>
      <c r="B254" s="331" t="s">
        <v>236</v>
      </c>
      <c r="C254" s="336">
        <v>1517377</v>
      </c>
      <c r="D254" s="362">
        <v>5865513</v>
      </c>
      <c r="E254" s="363">
        <v>13184175</v>
      </c>
      <c r="F254" s="337">
        <f t="shared" si="4"/>
        <v>20567065</v>
      </c>
    </row>
    <row r="255" spans="1:6">
      <c r="A255" s="331" t="s">
        <v>171</v>
      </c>
      <c r="B255" s="331" t="s">
        <v>172</v>
      </c>
      <c r="C255" s="336">
        <v>152004</v>
      </c>
      <c r="D255" s="362">
        <v>587578</v>
      </c>
      <c r="E255" s="363">
        <v>1320725</v>
      </c>
      <c r="F255" s="337">
        <f t="shared" si="4"/>
        <v>2060307</v>
      </c>
    </row>
    <row r="256" spans="1:6">
      <c r="A256" s="331" t="s">
        <v>313</v>
      </c>
      <c r="B256" s="331" t="s">
        <v>314</v>
      </c>
      <c r="C256" s="336">
        <v>39065.53</v>
      </c>
      <c r="D256" s="362">
        <v>282936</v>
      </c>
      <c r="E256" s="363">
        <v>635969</v>
      </c>
      <c r="F256" s="337">
        <f t="shared" si="4"/>
        <v>957970.53</v>
      </c>
    </row>
    <row r="257" spans="1:6">
      <c r="A257" s="331" t="s">
        <v>479</v>
      </c>
      <c r="B257" s="331" t="s">
        <v>480</v>
      </c>
      <c r="C257" s="336">
        <v>97834</v>
      </c>
      <c r="D257" s="362">
        <v>546328</v>
      </c>
      <c r="E257" s="363">
        <v>1228005</v>
      </c>
      <c r="F257" s="337">
        <f t="shared" si="4"/>
        <v>1872167</v>
      </c>
    </row>
    <row r="258" spans="1:6">
      <c r="A258" s="331" t="s">
        <v>451</v>
      </c>
      <c r="B258" s="331" t="s">
        <v>452</v>
      </c>
      <c r="C258" s="336">
        <v>8998005.5199999996</v>
      </c>
      <c r="D258" s="362">
        <v>35431017</v>
      </c>
      <c r="E258" s="363">
        <v>79639876</v>
      </c>
      <c r="F258" s="337">
        <f t="shared" si="4"/>
        <v>124068898.52</v>
      </c>
    </row>
    <row r="259" spans="1:6">
      <c r="A259" s="331" t="s">
        <v>297</v>
      </c>
      <c r="B259" s="331" t="s">
        <v>298</v>
      </c>
      <c r="C259" s="336">
        <v>20543</v>
      </c>
      <c r="D259" s="362">
        <v>79414</v>
      </c>
      <c r="E259" s="363">
        <v>178502</v>
      </c>
      <c r="F259" s="337">
        <f t="shared" si="4"/>
        <v>278459</v>
      </c>
    </row>
    <row r="260" spans="1:6">
      <c r="A260" s="331" t="s">
        <v>577</v>
      </c>
      <c r="B260" s="331" t="s">
        <v>578</v>
      </c>
      <c r="C260" s="336">
        <v>34112</v>
      </c>
      <c r="D260" s="362">
        <v>131437</v>
      </c>
      <c r="E260" s="363">
        <v>295437</v>
      </c>
      <c r="F260" s="337">
        <f t="shared" si="4"/>
        <v>460986</v>
      </c>
    </row>
    <row r="261" spans="1:6">
      <c r="A261" s="331" t="s">
        <v>449</v>
      </c>
      <c r="B261" s="331" t="s">
        <v>450</v>
      </c>
      <c r="C261" s="336">
        <v>379071</v>
      </c>
      <c r="D261" s="362">
        <v>1465320</v>
      </c>
      <c r="E261" s="363">
        <v>3293664</v>
      </c>
      <c r="F261" s="337">
        <f t="shared" si="4"/>
        <v>5138055</v>
      </c>
    </row>
    <row r="262" spans="1:6">
      <c r="A262" s="331" t="s">
        <v>115</v>
      </c>
      <c r="B262" s="331" t="s">
        <v>116</v>
      </c>
      <c r="C262" s="336">
        <v>6048</v>
      </c>
      <c r="D262" s="362">
        <v>0</v>
      </c>
      <c r="E262" s="363">
        <v>68952</v>
      </c>
      <c r="F262" s="337">
        <f t="shared" ref="F262:F316" si="5">SUM(C262:E262)</f>
        <v>75000</v>
      </c>
    </row>
    <row r="263" spans="1:6">
      <c r="A263" s="331" t="s">
        <v>75</v>
      </c>
      <c r="B263" s="331" t="s">
        <v>76</v>
      </c>
      <c r="C263" s="336">
        <v>11520</v>
      </c>
      <c r="D263" s="362">
        <v>66143</v>
      </c>
      <c r="E263" s="363">
        <v>148672</v>
      </c>
      <c r="F263" s="337">
        <f t="shared" si="5"/>
        <v>226335</v>
      </c>
    </row>
    <row r="264" spans="1:6">
      <c r="A264" s="331" t="s">
        <v>31</v>
      </c>
      <c r="B264" s="331" t="s">
        <v>32</v>
      </c>
      <c r="C264" s="336">
        <v>0</v>
      </c>
      <c r="D264" s="362">
        <v>0</v>
      </c>
      <c r="E264" s="363">
        <v>71169</v>
      </c>
      <c r="F264" s="337">
        <f t="shared" si="5"/>
        <v>71169</v>
      </c>
    </row>
    <row r="265" spans="1:6">
      <c r="A265" s="331" t="s">
        <v>361</v>
      </c>
      <c r="B265" s="331" t="s">
        <v>362</v>
      </c>
      <c r="C265" s="336">
        <v>264453</v>
      </c>
      <c r="D265" s="362">
        <v>1023042</v>
      </c>
      <c r="E265" s="363">
        <v>2299536</v>
      </c>
      <c r="F265" s="337">
        <f t="shared" si="5"/>
        <v>3587031</v>
      </c>
    </row>
    <row r="266" spans="1:6">
      <c r="A266" s="331" t="s">
        <v>569</v>
      </c>
      <c r="B266" s="331" t="s">
        <v>570</v>
      </c>
      <c r="C266" s="336">
        <v>20334</v>
      </c>
      <c r="D266" s="362">
        <v>0</v>
      </c>
      <c r="E266" s="363">
        <v>54666</v>
      </c>
      <c r="F266" s="337">
        <f t="shared" si="5"/>
        <v>75000</v>
      </c>
    </row>
    <row r="267" spans="1:6">
      <c r="A267" s="331" t="s">
        <v>421</v>
      </c>
      <c r="B267" s="331" t="s">
        <v>422</v>
      </c>
      <c r="C267" s="336">
        <v>213868</v>
      </c>
      <c r="D267" s="362">
        <v>827355</v>
      </c>
      <c r="E267" s="363">
        <v>1859682</v>
      </c>
      <c r="F267" s="337">
        <f t="shared" si="5"/>
        <v>2900905</v>
      </c>
    </row>
    <row r="268" spans="1:6">
      <c r="A268" s="331" t="s">
        <v>443</v>
      </c>
      <c r="B268" s="331" t="s">
        <v>444</v>
      </c>
      <c r="C268" s="336">
        <v>220376</v>
      </c>
      <c r="D268" s="362">
        <v>789487</v>
      </c>
      <c r="E268" s="363">
        <v>1774565</v>
      </c>
      <c r="F268" s="337">
        <f t="shared" si="5"/>
        <v>2784428</v>
      </c>
    </row>
    <row r="269" spans="1:6">
      <c r="A269" s="331" t="s">
        <v>1022</v>
      </c>
      <c r="B269" s="331" t="s">
        <v>1040</v>
      </c>
      <c r="C269" s="336">
        <v>112476</v>
      </c>
      <c r="D269" s="362">
        <v>413391</v>
      </c>
      <c r="E269" s="363">
        <v>929196</v>
      </c>
      <c r="F269" s="337">
        <f t="shared" si="5"/>
        <v>1455063</v>
      </c>
    </row>
    <row r="270" spans="1:6">
      <c r="A270" s="331" t="s">
        <v>391</v>
      </c>
      <c r="B270" s="331" t="s">
        <v>392</v>
      </c>
      <c r="C270" s="336">
        <v>61322</v>
      </c>
      <c r="D270" s="362">
        <v>226453</v>
      </c>
      <c r="E270" s="363">
        <v>509009</v>
      </c>
      <c r="F270" s="337">
        <f t="shared" si="5"/>
        <v>796784</v>
      </c>
    </row>
    <row r="271" spans="1:6">
      <c r="A271" s="331" t="s">
        <v>221</v>
      </c>
      <c r="B271" s="331" t="s">
        <v>222</v>
      </c>
      <c r="C271" s="336">
        <v>88464</v>
      </c>
      <c r="D271" s="362">
        <v>241309</v>
      </c>
      <c r="E271" s="363">
        <v>542402</v>
      </c>
      <c r="F271" s="337">
        <f t="shared" si="5"/>
        <v>872175</v>
      </c>
    </row>
    <row r="272" spans="1:6">
      <c r="A272" s="331" t="s">
        <v>495</v>
      </c>
      <c r="B272" s="331" t="s">
        <v>496</v>
      </c>
      <c r="C272" s="336">
        <v>41903</v>
      </c>
      <c r="D272" s="362">
        <v>160770</v>
      </c>
      <c r="E272" s="363">
        <v>361369</v>
      </c>
      <c r="F272" s="337">
        <f t="shared" si="5"/>
        <v>564042</v>
      </c>
    </row>
    <row r="273" spans="1:6">
      <c r="A273" s="331" t="s">
        <v>371</v>
      </c>
      <c r="B273" s="331" t="s">
        <v>372</v>
      </c>
      <c r="C273" s="336">
        <v>729885</v>
      </c>
      <c r="D273" s="362">
        <v>2823574</v>
      </c>
      <c r="E273" s="363">
        <v>6346674</v>
      </c>
      <c r="F273" s="337">
        <f t="shared" si="5"/>
        <v>9900133</v>
      </c>
    </row>
    <row r="274" spans="1:6">
      <c r="A274" s="331" t="s">
        <v>595</v>
      </c>
      <c r="B274" s="331" t="s">
        <v>596</v>
      </c>
      <c r="C274" s="336">
        <v>2054024.34</v>
      </c>
      <c r="D274" s="362">
        <v>7992330</v>
      </c>
      <c r="E274" s="363">
        <v>17964717</v>
      </c>
      <c r="F274" s="337">
        <f t="shared" si="5"/>
        <v>28011071.34</v>
      </c>
    </row>
    <row r="275" spans="1:6">
      <c r="A275" s="331" t="s">
        <v>237</v>
      </c>
      <c r="B275" s="331" t="s">
        <v>238</v>
      </c>
      <c r="C275" s="336">
        <v>17614.8</v>
      </c>
      <c r="D275" s="362">
        <v>60643</v>
      </c>
      <c r="E275" s="363">
        <v>136309</v>
      </c>
      <c r="F275" s="337">
        <f t="shared" si="5"/>
        <v>214566.8</v>
      </c>
    </row>
    <row r="276" spans="1:6">
      <c r="A276" s="331" t="s">
        <v>365</v>
      </c>
      <c r="B276" s="331" t="s">
        <v>366</v>
      </c>
      <c r="C276" s="336">
        <v>8277138</v>
      </c>
      <c r="D276" s="362">
        <v>31521316</v>
      </c>
      <c r="E276" s="363">
        <v>70851866</v>
      </c>
      <c r="F276" s="337">
        <f t="shared" si="5"/>
        <v>110650320</v>
      </c>
    </row>
    <row r="277" spans="1:6">
      <c r="A277" s="331" t="s">
        <v>153</v>
      </c>
      <c r="B277" s="331" t="s">
        <v>154</v>
      </c>
      <c r="C277" s="336">
        <v>85908</v>
      </c>
      <c r="D277" s="362">
        <v>329602</v>
      </c>
      <c r="E277" s="363">
        <v>740862</v>
      </c>
      <c r="F277" s="337">
        <f t="shared" si="5"/>
        <v>1156372</v>
      </c>
    </row>
    <row r="278" spans="1:6">
      <c r="A278" s="331" t="s">
        <v>207</v>
      </c>
      <c r="B278" s="331" t="s">
        <v>208</v>
      </c>
      <c r="C278" s="336">
        <v>194611</v>
      </c>
      <c r="D278" s="362">
        <v>752556</v>
      </c>
      <c r="E278" s="363">
        <v>1691554</v>
      </c>
      <c r="F278" s="337">
        <f t="shared" si="5"/>
        <v>2638721</v>
      </c>
    </row>
    <row r="279" spans="1:6">
      <c r="A279" s="331" t="s">
        <v>559</v>
      </c>
      <c r="B279" s="331" t="s">
        <v>560</v>
      </c>
      <c r="C279" s="336">
        <v>21581</v>
      </c>
      <c r="D279" s="362">
        <v>83424</v>
      </c>
      <c r="E279" s="363">
        <v>187517</v>
      </c>
      <c r="F279" s="337">
        <f t="shared" si="5"/>
        <v>292522</v>
      </c>
    </row>
    <row r="280" spans="1:6">
      <c r="A280" s="331" t="s">
        <v>521</v>
      </c>
      <c r="B280" s="331" t="s">
        <v>522</v>
      </c>
      <c r="C280" s="336">
        <v>201712</v>
      </c>
      <c r="D280" s="362">
        <v>711950</v>
      </c>
      <c r="E280" s="363">
        <v>1600282</v>
      </c>
      <c r="F280" s="337">
        <f t="shared" si="5"/>
        <v>2513944</v>
      </c>
    </row>
    <row r="281" spans="1:6">
      <c r="A281" s="331" t="s">
        <v>243</v>
      </c>
      <c r="B281" s="331" t="s">
        <v>244</v>
      </c>
      <c r="C281" s="336">
        <v>25334</v>
      </c>
      <c r="D281" s="362">
        <v>97928</v>
      </c>
      <c r="E281" s="363">
        <v>220117</v>
      </c>
      <c r="F281" s="337">
        <f t="shared" si="5"/>
        <v>343379</v>
      </c>
    </row>
    <row r="282" spans="1:6">
      <c r="A282" s="331" t="s">
        <v>285</v>
      </c>
      <c r="B282" s="331" t="s">
        <v>286</v>
      </c>
      <c r="C282" s="336">
        <v>108803</v>
      </c>
      <c r="D282" s="362">
        <v>403692</v>
      </c>
      <c r="E282" s="363">
        <v>907396</v>
      </c>
      <c r="F282" s="337">
        <f t="shared" si="5"/>
        <v>1419891</v>
      </c>
    </row>
    <row r="283" spans="1:6">
      <c r="A283" s="331" t="s">
        <v>339</v>
      </c>
      <c r="B283" s="331" t="s">
        <v>340</v>
      </c>
      <c r="C283" s="336">
        <v>268004</v>
      </c>
      <c r="D283" s="362">
        <v>1071080</v>
      </c>
      <c r="E283" s="363">
        <v>2407515</v>
      </c>
      <c r="F283" s="337">
        <f t="shared" si="5"/>
        <v>3746599</v>
      </c>
    </row>
    <row r="284" spans="1:6">
      <c r="A284" s="331" t="s">
        <v>597</v>
      </c>
      <c r="B284" s="331" t="s">
        <v>598</v>
      </c>
      <c r="C284" s="336">
        <v>1638068</v>
      </c>
      <c r="D284" s="362">
        <v>6317608</v>
      </c>
      <c r="E284" s="363">
        <v>14200368</v>
      </c>
      <c r="F284" s="337">
        <f t="shared" si="5"/>
        <v>22156044</v>
      </c>
    </row>
    <row r="285" spans="1:6">
      <c r="A285" s="331" t="s">
        <v>531</v>
      </c>
      <c r="B285" s="331" t="s">
        <v>532</v>
      </c>
      <c r="C285" s="336">
        <v>21671</v>
      </c>
      <c r="D285" s="362">
        <v>88586</v>
      </c>
      <c r="E285" s="363">
        <v>199120</v>
      </c>
      <c r="F285" s="337">
        <f t="shared" si="5"/>
        <v>309377</v>
      </c>
    </row>
    <row r="286" spans="1:6">
      <c r="A286" s="331" t="s">
        <v>79</v>
      </c>
      <c r="B286" s="331" t="s">
        <v>80</v>
      </c>
      <c r="C286" s="336">
        <v>70124.08</v>
      </c>
      <c r="D286" s="362">
        <v>272027</v>
      </c>
      <c r="E286" s="363">
        <v>611447</v>
      </c>
      <c r="F286" s="337">
        <f t="shared" si="5"/>
        <v>953598.08000000007</v>
      </c>
    </row>
    <row r="287" spans="1:6">
      <c r="A287" s="331" t="s">
        <v>257</v>
      </c>
      <c r="B287" s="331" t="s">
        <v>258</v>
      </c>
      <c r="C287" s="336">
        <v>49618</v>
      </c>
      <c r="D287" s="362">
        <v>191800</v>
      </c>
      <c r="E287" s="363">
        <v>431117</v>
      </c>
      <c r="F287" s="337">
        <f t="shared" si="5"/>
        <v>672535</v>
      </c>
    </row>
    <row r="288" spans="1:6">
      <c r="A288" s="331" t="s">
        <v>201</v>
      </c>
      <c r="B288" s="331" t="s">
        <v>202</v>
      </c>
      <c r="C288" s="336">
        <v>1327981</v>
      </c>
      <c r="D288" s="362">
        <v>5248199</v>
      </c>
      <c r="E288" s="363">
        <v>11796611</v>
      </c>
      <c r="F288" s="337">
        <f t="shared" si="5"/>
        <v>18372791</v>
      </c>
    </row>
    <row r="289" spans="1:6">
      <c r="A289" s="331" t="s">
        <v>511</v>
      </c>
      <c r="B289" s="331" t="s">
        <v>512</v>
      </c>
      <c r="C289" s="336">
        <v>550923</v>
      </c>
      <c r="D289" s="362">
        <v>2130181</v>
      </c>
      <c r="E289" s="363">
        <v>4788102</v>
      </c>
      <c r="F289" s="337">
        <f t="shared" si="5"/>
        <v>7469206</v>
      </c>
    </row>
    <row r="290" spans="1:6">
      <c r="A290" s="331" t="s">
        <v>581</v>
      </c>
      <c r="B290" s="331" t="s">
        <v>582</v>
      </c>
      <c r="C290" s="336">
        <v>265695.78000000003</v>
      </c>
      <c r="D290" s="362">
        <v>1027023</v>
      </c>
      <c r="E290" s="363">
        <v>2308485</v>
      </c>
      <c r="F290" s="337">
        <f t="shared" si="5"/>
        <v>3601203.7800000003</v>
      </c>
    </row>
    <row r="291" spans="1:6">
      <c r="A291" s="331" t="s">
        <v>369</v>
      </c>
      <c r="B291" s="331" t="s">
        <v>370</v>
      </c>
      <c r="C291" s="336">
        <v>630782</v>
      </c>
      <c r="D291" s="362">
        <v>2438420</v>
      </c>
      <c r="E291" s="363">
        <v>5480944</v>
      </c>
      <c r="F291" s="337">
        <f t="shared" si="5"/>
        <v>8550146</v>
      </c>
    </row>
    <row r="292" spans="1:6">
      <c r="A292" s="331" t="s">
        <v>489</v>
      </c>
      <c r="B292" s="331" t="s">
        <v>490</v>
      </c>
      <c r="C292" s="336">
        <v>62481</v>
      </c>
      <c r="D292" s="362">
        <v>209169</v>
      </c>
      <c r="E292" s="363">
        <v>470159</v>
      </c>
      <c r="F292" s="337">
        <f t="shared" si="5"/>
        <v>741809</v>
      </c>
    </row>
    <row r="293" spans="1:6">
      <c r="A293" s="331" t="s">
        <v>55</v>
      </c>
      <c r="B293" s="331" t="s">
        <v>56</v>
      </c>
      <c r="C293" s="336">
        <v>5417225.0899999999</v>
      </c>
      <c r="D293" s="362">
        <v>19872625</v>
      </c>
      <c r="E293" s="363">
        <v>44668584</v>
      </c>
      <c r="F293" s="337">
        <f t="shared" si="5"/>
        <v>69958434.090000004</v>
      </c>
    </row>
    <row r="294" spans="1:6">
      <c r="A294" s="331" t="s">
        <v>193</v>
      </c>
      <c r="B294" s="331" t="s">
        <v>194</v>
      </c>
      <c r="C294" s="336">
        <v>121979</v>
      </c>
      <c r="D294" s="362">
        <v>471516</v>
      </c>
      <c r="E294" s="363">
        <v>1059848</v>
      </c>
      <c r="F294" s="337">
        <f t="shared" si="5"/>
        <v>1653343</v>
      </c>
    </row>
    <row r="295" spans="1:6">
      <c r="A295" s="331" t="s">
        <v>1024</v>
      </c>
      <c r="B295" s="331" t="s">
        <v>1044</v>
      </c>
      <c r="C295" s="336">
        <v>0</v>
      </c>
      <c r="D295" s="362">
        <v>0</v>
      </c>
      <c r="E295" s="363">
        <v>0</v>
      </c>
      <c r="F295" s="337">
        <f t="shared" si="5"/>
        <v>0</v>
      </c>
    </row>
    <row r="296" spans="1:6">
      <c r="A296" s="331" t="s">
        <v>523</v>
      </c>
      <c r="B296" s="331" t="s">
        <v>524</v>
      </c>
      <c r="C296" s="336">
        <v>113108.25</v>
      </c>
      <c r="D296" s="362">
        <v>430507</v>
      </c>
      <c r="E296" s="363">
        <v>967669</v>
      </c>
      <c r="F296" s="337">
        <f t="shared" si="5"/>
        <v>1511284.25</v>
      </c>
    </row>
    <row r="297" spans="1:6">
      <c r="A297" s="331" t="s">
        <v>121</v>
      </c>
      <c r="B297" s="331" t="s">
        <v>122</v>
      </c>
      <c r="C297" s="336">
        <v>539036.87</v>
      </c>
      <c r="D297" s="362">
        <v>2068230</v>
      </c>
      <c r="E297" s="363">
        <v>4648854</v>
      </c>
      <c r="F297" s="337">
        <f t="shared" si="5"/>
        <v>7256120.8700000001</v>
      </c>
    </row>
    <row r="298" spans="1:6">
      <c r="A298" s="331" t="s">
        <v>535</v>
      </c>
      <c r="B298" s="331" t="s">
        <v>536</v>
      </c>
      <c r="C298" s="336">
        <v>57292.69</v>
      </c>
      <c r="D298" s="362">
        <v>242259</v>
      </c>
      <c r="E298" s="363">
        <v>544535</v>
      </c>
      <c r="F298" s="337">
        <f t="shared" si="5"/>
        <v>844086.69</v>
      </c>
    </row>
    <row r="299" spans="1:6">
      <c r="A299" s="331" t="s">
        <v>527</v>
      </c>
      <c r="B299" s="331" t="s">
        <v>528</v>
      </c>
      <c r="C299" s="336">
        <v>1142234</v>
      </c>
      <c r="D299" s="362">
        <v>4267647</v>
      </c>
      <c r="E299" s="363">
        <v>9592581</v>
      </c>
      <c r="F299" s="337">
        <f t="shared" si="5"/>
        <v>15002462</v>
      </c>
    </row>
    <row r="300" spans="1:6">
      <c r="A300" s="331" t="s">
        <v>605</v>
      </c>
      <c r="B300" s="331" t="s">
        <v>606</v>
      </c>
      <c r="C300" s="336">
        <v>1202059.92</v>
      </c>
      <c r="D300" s="362">
        <v>4721570</v>
      </c>
      <c r="E300" s="363">
        <v>10612883</v>
      </c>
      <c r="F300" s="337">
        <f t="shared" si="5"/>
        <v>16536512.92</v>
      </c>
    </row>
    <row r="301" spans="1:6">
      <c r="A301" s="331" t="s">
        <v>125</v>
      </c>
      <c r="B301" s="331" t="s">
        <v>126</v>
      </c>
      <c r="C301" s="336">
        <v>337725</v>
      </c>
      <c r="D301" s="362">
        <v>1302764</v>
      </c>
      <c r="E301" s="363">
        <v>2928281</v>
      </c>
      <c r="F301" s="337">
        <f t="shared" si="5"/>
        <v>4568770</v>
      </c>
    </row>
    <row r="302" spans="1:6">
      <c r="A302" s="331" t="s">
        <v>63</v>
      </c>
      <c r="B302" s="331" t="s">
        <v>64</v>
      </c>
      <c r="C302" s="336">
        <v>366874</v>
      </c>
      <c r="D302" s="362">
        <v>1418172</v>
      </c>
      <c r="E302" s="363">
        <v>3187689</v>
      </c>
      <c r="F302" s="337">
        <f t="shared" si="5"/>
        <v>4972735</v>
      </c>
    </row>
    <row r="303" spans="1:6">
      <c r="A303" s="331" t="s">
        <v>3</v>
      </c>
      <c r="B303" s="331" t="s">
        <v>4</v>
      </c>
      <c r="C303" s="336">
        <v>22697</v>
      </c>
      <c r="D303" s="362">
        <v>0</v>
      </c>
      <c r="E303" s="363">
        <v>52303</v>
      </c>
      <c r="F303" s="337">
        <f t="shared" si="5"/>
        <v>75000</v>
      </c>
    </row>
    <row r="304" spans="1:6">
      <c r="A304" s="331" t="s">
        <v>99</v>
      </c>
      <c r="B304" s="331" t="s">
        <v>100</v>
      </c>
      <c r="C304" s="336">
        <v>80867</v>
      </c>
      <c r="D304" s="362">
        <v>265570</v>
      </c>
      <c r="E304" s="363">
        <v>596934</v>
      </c>
      <c r="F304" s="337">
        <f t="shared" si="5"/>
        <v>943371</v>
      </c>
    </row>
    <row r="305" spans="1:6">
      <c r="A305" s="331" t="s">
        <v>487</v>
      </c>
      <c r="B305" s="331" t="s">
        <v>488</v>
      </c>
      <c r="C305" s="336">
        <v>92322</v>
      </c>
      <c r="D305" s="362">
        <v>373487</v>
      </c>
      <c r="E305" s="363">
        <v>839504</v>
      </c>
      <c r="F305" s="337">
        <f t="shared" si="5"/>
        <v>1305313</v>
      </c>
    </row>
    <row r="306" spans="1:6">
      <c r="A306" s="331" t="s">
        <v>41</v>
      </c>
      <c r="B306" s="331" t="s">
        <v>42</v>
      </c>
      <c r="C306" s="336">
        <v>1493532</v>
      </c>
      <c r="D306" s="362">
        <v>5773384</v>
      </c>
      <c r="E306" s="363">
        <v>12977094</v>
      </c>
      <c r="F306" s="337">
        <f t="shared" si="5"/>
        <v>20244010</v>
      </c>
    </row>
    <row r="307" spans="1:6">
      <c r="A307" s="331" t="s">
        <v>473</v>
      </c>
      <c r="B307" s="331" t="s">
        <v>474</v>
      </c>
      <c r="C307" s="336">
        <v>450983.01</v>
      </c>
      <c r="D307" s="362">
        <v>1855295</v>
      </c>
      <c r="E307" s="363">
        <v>4170228</v>
      </c>
      <c r="F307" s="337">
        <f t="shared" si="5"/>
        <v>6476506.0099999998</v>
      </c>
    </row>
    <row r="308" spans="1:6">
      <c r="A308" s="331" t="s">
        <v>607</v>
      </c>
      <c r="B308" s="331" t="s">
        <v>608</v>
      </c>
      <c r="C308" s="336">
        <v>642733</v>
      </c>
      <c r="D308" s="362">
        <v>2484520</v>
      </c>
      <c r="E308" s="363">
        <v>5584565</v>
      </c>
      <c r="F308" s="337">
        <f t="shared" si="5"/>
        <v>8711818</v>
      </c>
    </row>
    <row r="309" spans="1:6">
      <c r="A309" s="331" t="s">
        <v>1253</v>
      </c>
      <c r="B309" s="331" t="s">
        <v>1254</v>
      </c>
      <c r="C309" s="336">
        <v>0</v>
      </c>
      <c r="D309" s="362">
        <v>0</v>
      </c>
      <c r="E309" s="363">
        <v>100626</v>
      </c>
      <c r="F309" s="337">
        <f t="shared" si="5"/>
        <v>100626</v>
      </c>
    </row>
    <row r="310" spans="1:6">
      <c r="A310" s="331" t="s">
        <v>293</v>
      </c>
      <c r="B310" s="331" t="s">
        <v>294</v>
      </c>
      <c r="C310" s="336">
        <v>111334</v>
      </c>
      <c r="D310" s="362">
        <v>427176</v>
      </c>
      <c r="E310" s="363">
        <v>960182</v>
      </c>
      <c r="F310" s="337">
        <f t="shared" si="5"/>
        <v>1498692</v>
      </c>
    </row>
    <row r="311" spans="1:6">
      <c r="A311" s="331" t="s">
        <v>387</v>
      </c>
      <c r="B311" s="331" t="s">
        <v>388</v>
      </c>
      <c r="C311" s="336">
        <v>304678</v>
      </c>
      <c r="D311" s="362">
        <v>565652</v>
      </c>
      <c r="E311" s="363">
        <v>1271440</v>
      </c>
      <c r="F311" s="337">
        <f t="shared" si="5"/>
        <v>2141770</v>
      </c>
    </row>
    <row r="312" spans="1:6">
      <c r="A312" s="331" t="s">
        <v>267</v>
      </c>
      <c r="B312" s="331" t="s">
        <v>268</v>
      </c>
      <c r="C312" s="336">
        <v>177584</v>
      </c>
      <c r="D312" s="362">
        <v>686501</v>
      </c>
      <c r="E312" s="363">
        <v>1543079</v>
      </c>
      <c r="F312" s="337">
        <f t="shared" si="5"/>
        <v>2407164</v>
      </c>
    </row>
    <row r="313" spans="1:6">
      <c r="A313" s="331" t="s">
        <v>307</v>
      </c>
      <c r="B313" s="331" t="s">
        <v>308</v>
      </c>
      <c r="C313" s="336">
        <v>26273</v>
      </c>
      <c r="D313" s="362">
        <v>101558</v>
      </c>
      <c r="E313" s="363">
        <v>228276</v>
      </c>
      <c r="F313" s="337">
        <f t="shared" si="5"/>
        <v>356107</v>
      </c>
    </row>
    <row r="314" spans="1:6">
      <c r="A314" s="331" t="s">
        <v>351</v>
      </c>
      <c r="B314" s="331" t="s">
        <v>352</v>
      </c>
      <c r="C314" s="336">
        <v>142659.04</v>
      </c>
      <c r="D314" s="362">
        <v>547336</v>
      </c>
      <c r="E314" s="363">
        <v>1230271</v>
      </c>
      <c r="F314" s="337">
        <f t="shared" si="5"/>
        <v>1920266.04</v>
      </c>
    </row>
    <row r="315" spans="1:6">
      <c r="A315" s="331" t="s">
        <v>137</v>
      </c>
      <c r="B315" s="331" t="s">
        <v>138</v>
      </c>
      <c r="C315" s="336">
        <v>19217</v>
      </c>
      <c r="D315" s="362">
        <v>74343</v>
      </c>
      <c r="E315" s="363">
        <v>167104</v>
      </c>
      <c r="F315" s="337">
        <f t="shared" si="5"/>
        <v>260664</v>
      </c>
    </row>
    <row r="316" spans="1:6">
      <c r="A316" s="331" t="s">
        <v>281</v>
      </c>
      <c r="B316" s="331" t="s">
        <v>282</v>
      </c>
      <c r="C316" s="336">
        <v>245674.8</v>
      </c>
      <c r="D316" s="362">
        <v>1012119</v>
      </c>
      <c r="E316" s="363">
        <v>2274985</v>
      </c>
      <c r="F316" s="337">
        <f t="shared" si="5"/>
        <v>3532778.8</v>
      </c>
    </row>
    <row r="317" spans="1:6">
      <c r="A317" s="331" t="s">
        <v>161</v>
      </c>
      <c r="B317" s="331" t="s">
        <v>162</v>
      </c>
      <c r="C317" s="336">
        <v>17408</v>
      </c>
      <c r="D317" s="362">
        <v>80194</v>
      </c>
      <c r="E317" s="363">
        <v>180257</v>
      </c>
      <c r="F317" s="337">
        <f t="shared" ref="F317:F323" si="6">SUM(C317:E317)</f>
        <v>277859</v>
      </c>
    </row>
    <row r="318" spans="1:6">
      <c r="A318" s="331" t="s">
        <v>251</v>
      </c>
      <c r="B318" s="331" t="s">
        <v>252</v>
      </c>
      <c r="C318" s="336">
        <v>30944</v>
      </c>
      <c r="D318" s="362">
        <v>8834</v>
      </c>
      <c r="E318" s="363">
        <v>35222</v>
      </c>
      <c r="F318" s="337">
        <f t="shared" si="6"/>
        <v>75000</v>
      </c>
    </row>
    <row r="319" spans="1:6">
      <c r="A319" s="331" t="s">
        <v>85</v>
      </c>
      <c r="B319" s="331" t="s">
        <v>86</v>
      </c>
      <c r="C319" s="336">
        <v>390290</v>
      </c>
      <c r="D319" s="362">
        <v>1509627</v>
      </c>
      <c r="E319" s="363">
        <v>3393257</v>
      </c>
      <c r="F319" s="337">
        <f t="shared" si="6"/>
        <v>5293174</v>
      </c>
    </row>
    <row r="320" spans="1:6">
      <c r="A320" s="331" t="s">
        <v>1039</v>
      </c>
      <c r="B320" s="331" t="s">
        <v>1045</v>
      </c>
      <c r="C320" s="336">
        <v>0</v>
      </c>
      <c r="D320" s="362">
        <v>0</v>
      </c>
      <c r="E320" s="363">
        <v>0</v>
      </c>
      <c r="F320" s="337">
        <f t="shared" si="6"/>
        <v>0</v>
      </c>
    </row>
    <row r="321" spans="1:6">
      <c r="A321" s="331" t="s">
        <v>585</v>
      </c>
      <c r="B321" s="331" t="s">
        <v>586</v>
      </c>
      <c r="C321" s="336">
        <v>6450653.5599999996</v>
      </c>
      <c r="D321" s="362">
        <v>24963213</v>
      </c>
      <c r="E321" s="363">
        <v>56110925</v>
      </c>
      <c r="F321" s="337">
        <f t="shared" si="6"/>
        <v>87524791.560000002</v>
      </c>
    </row>
    <row r="322" spans="1:6">
      <c r="A322" s="331" t="s">
        <v>507</v>
      </c>
      <c r="B322" s="331" t="s">
        <v>508</v>
      </c>
      <c r="C322" s="336">
        <v>1042242</v>
      </c>
      <c r="D322" s="362">
        <v>3456299</v>
      </c>
      <c r="E322" s="363">
        <v>7768877</v>
      </c>
      <c r="F322" s="337">
        <f t="shared" si="6"/>
        <v>12267418</v>
      </c>
    </row>
    <row r="323" spans="1:6">
      <c r="A323" s="331" t="s">
        <v>603</v>
      </c>
      <c r="B323" s="331" t="s">
        <v>604</v>
      </c>
      <c r="C323" s="336">
        <v>261542</v>
      </c>
      <c r="D323" s="362">
        <v>1011781</v>
      </c>
      <c r="E323" s="363">
        <v>2274225</v>
      </c>
      <c r="F323" s="337">
        <f t="shared" si="6"/>
        <v>3547548</v>
      </c>
    </row>
  </sheetData>
  <autoFilter ref="A5:F316" xr:uid="{0B5EDF09-32CA-4B32-8482-A09E5E06DC30}"/>
  <mergeCells count="4">
    <mergeCell ref="D2:D3"/>
    <mergeCell ref="E2:E3"/>
    <mergeCell ref="C2:C3"/>
    <mergeCell ref="F2:F3"/>
  </mergeCells>
  <printOptions horizontalCentered="1"/>
  <pageMargins left="0.25" right="0.25" top="0.75" bottom="0.75" header="0.3" footer="0.3"/>
  <pageSetup fitToHeight="1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1">
    <tabColor theme="8" tint="0.59999389629810485"/>
  </sheetPr>
  <dimension ref="A1:O322"/>
  <sheetViews>
    <sheetView zoomScaleNormal="100" workbookViewId="0">
      <pane xSplit="2" ySplit="4" topLeftCell="C14" activePane="bottomRight" state="frozen"/>
      <selection activeCell="C3" sqref="C3:E3"/>
      <selection pane="topRight" activeCell="C3" sqref="C3:E3"/>
      <selection pane="bottomLeft" activeCell="C3" sqref="C3:E3"/>
      <selection pane="bottomRight" activeCell="C3" sqref="C3:E3"/>
    </sheetView>
  </sheetViews>
  <sheetFormatPr defaultRowHeight="14.4"/>
  <cols>
    <col min="2" max="2" width="54.21875" bestFit="1" customWidth="1"/>
    <col min="3" max="3" width="14.21875" bestFit="1" customWidth="1"/>
    <col min="4" max="4" width="14.21875" customWidth="1"/>
    <col min="5" max="5" width="14.77734375" bestFit="1" customWidth="1"/>
    <col min="6" max="6" width="14.77734375" customWidth="1"/>
    <col min="7" max="7" width="13.44140625" bestFit="1" customWidth="1"/>
    <col min="8" max="8" width="14.21875" bestFit="1" customWidth="1"/>
    <col min="9" max="9" width="14.77734375" bestFit="1" customWidth="1"/>
    <col min="10" max="10" width="14.77734375" customWidth="1"/>
    <col min="11" max="11" width="11.5546875" bestFit="1" customWidth="1"/>
    <col min="12" max="12" width="14.21875" bestFit="1" customWidth="1"/>
    <col min="13" max="13" width="14.77734375" bestFit="1" customWidth="1"/>
    <col min="14" max="14" width="14.77734375" customWidth="1"/>
    <col min="15" max="15" width="11.5546875" bestFit="1" customWidth="1"/>
  </cols>
  <sheetData>
    <row r="1" spans="1:15">
      <c r="A1">
        <v>1</v>
      </c>
      <c r="B1">
        <f t="shared" ref="B1:L1" si="0">A1+1</f>
        <v>2</v>
      </c>
      <c r="C1">
        <f t="shared" si="0"/>
        <v>3</v>
      </c>
      <c r="D1">
        <f t="shared" si="0"/>
        <v>4</v>
      </c>
      <c r="E1">
        <f t="shared" si="0"/>
        <v>5</v>
      </c>
      <c r="F1">
        <f t="shared" si="0"/>
        <v>6</v>
      </c>
      <c r="G1">
        <f t="shared" si="0"/>
        <v>7</v>
      </c>
      <c r="H1">
        <f t="shared" si="0"/>
        <v>8</v>
      </c>
      <c r="I1">
        <f t="shared" si="0"/>
        <v>9</v>
      </c>
      <c r="J1">
        <f t="shared" si="0"/>
        <v>10</v>
      </c>
      <c r="K1">
        <f t="shared" si="0"/>
        <v>11</v>
      </c>
      <c r="L1">
        <f t="shared" si="0"/>
        <v>12</v>
      </c>
      <c r="M1">
        <f>L1+1</f>
        <v>13</v>
      </c>
      <c r="N1">
        <f>M1+1</f>
        <v>14</v>
      </c>
      <c r="O1">
        <f>N1+1</f>
        <v>15</v>
      </c>
    </row>
    <row r="2" spans="1:15">
      <c r="C2" s="478" t="s">
        <v>971</v>
      </c>
      <c r="D2" s="476"/>
      <c r="E2" s="476"/>
      <c r="F2" s="476"/>
      <c r="G2" s="477"/>
      <c r="H2" s="476" t="s">
        <v>957</v>
      </c>
      <c r="I2" s="476"/>
      <c r="J2" s="476"/>
      <c r="K2" s="477"/>
      <c r="L2" s="476" t="s">
        <v>1218</v>
      </c>
      <c r="M2" s="476"/>
      <c r="N2" s="476"/>
      <c r="O2" s="477"/>
    </row>
    <row r="3" spans="1:15" s="84" customFormat="1">
      <c r="A3" s="112" t="s">
        <v>623</v>
      </c>
      <c r="B3" s="84" t="s">
        <v>624</v>
      </c>
      <c r="C3" s="247" t="s">
        <v>912</v>
      </c>
      <c r="D3" s="247" t="s">
        <v>1049</v>
      </c>
      <c r="E3" s="248" t="s">
        <v>1050</v>
      </c>
      <c r="F3" s="248" t="s">
        <v>1275</v>
      </c>
      <c r="G3" s="133" t="s">
        <v>1276</v>
      </c>
      <c r="H3" s="327" t="s">
        <v>1049</v>
      </c>
      <c r="I3" s="328" t="s">
        <v>1050</v>
      </c>
      <c r="J3" s="328" t="s">
        <v>1275</v>
      </c>
      <c r="K3" s="328" t="s">
        <v>1276</v>
      </c>
      <c r="L3" s="327" t="s">
        <v>1049</v>
      </c>
      <c r="M3" s="328" t="s">
        <v>1050</v>
      </c>
      <c r="N3" s="328" t="s">
        <v>1275</v>
      </c>
      <c r="O3" s="328" t="s">
        <v>1276</v>
      </c>
    </row>
    <row r="4" spans="1:15" s="84" customFormat="1">
      <c r="A4" s="84" t="s">
        <v>627</v>
      </c>
      <c r="B4" s="84" t="s">
        <v>871</v>
      </c>
      <c r="C4" s="113">
        <f>AVERAGEIF(C5:C318,"&gt;0")</f>
        <v>1688.5811492222133</v>
      </c>
      <c r="D4" s="113">
        <f t="shared" ref="D4:K4" si="1">AVERAGEIF(D5:D311,"&gt;0")</f>
        <v>1713.0616649141195</v>
      </c>
      <c r="E4" s="113">
        <f t="shared" si="1"/>
        <v>1713.0616649141195</v>
      </c>
      <c r="F4" s="113">
        <f t="shared" si="1"/>
        <v>1713.0616649141195</v>
      </c>
      <c r="G4" s="113">
        <f t="shared" si="1"/>
        <v>1713.0616649141195</v>
      </c>
      <c r="H4" s="113">
        <f t="shared" si="1"/>
        <v>1023.7850645156987</v>
      </c>
      <c r="I4" s="113">
        <f t="shared" si="1"/>
        <v>1059.6332004032627</v>
      </c>
      <c r="J4" s="113">
        <f t="shared" si="1"/>
        <v>1079.3320225222155</v>
      </c>
      <c r="K4" s="113">
        <f t="shared" si="1"/>
        <v>1098.1134756978747</v>
      </c>
      <c r="L4" s="113">
        <f>AVERAGEIF(L5:L311,"&gt;0")</f>
        <v>1023.7850645156987</v>
      </c>
      <c r="M4" s="113">
        <f>AVERAGEIF(M5:M311,"&gt;0")</f>
        <v>992.78513558393263</v>
      </c>
      <c r="N4" s="113">
        <f>AVERAGEIF(N5:N311,"&gt;0")</f>
        <v>913.02101678516112</v>
      </c>
      <c r="O4" s="113">
        <f>AVERAGEIF(O5:O311,"&gt;0")</f>
        <v>834.81680854723788</v>
      </c>
    </row>
    <row r="5" spans="1:15">
      <c r="A5" t="s">
        <v>141</v>
      </c>
      <c r="B5" t="s">
        <v>142</v>
      </c>
      <c r="C5" s="114">
        <f>IF(VLOOKUP(A5,'School Year 2021-22'!A:AN,'School Year 2021-22'!$R$1,FALSE)&gt;0,VLOOKUP(A5,'School Year 2021-22'!A:AN,'School Year 2021-22'!$U$1,FALSE)-VLOOKUP(A5,'School Year 2021-22'!A:AN,'School Year 2021-22'!$W$1,FALSE),0)+IF((VLOOKUP(A5,'School Year 2021-22'!A:AN,'School Year 2021-22'!$S$1,FALSE)+(VLOOKUP(A5,'School Year 2021-22'!A:AN,'School Year 2021-22'!$T$1,FALSE)))&gt;0,VLOOKUP(A5,'School Year 2021-22'!A:AN,'School Year 2021-22'!$V$1,FALSE)-VLOOKUP(A5,'School Year 2021-22'!A:AN,'School Year 2021-22'!$W$1,FALSE),0)</f>
        <v>2868.6123075523483</v>
      </c>
      <c r="D5" s="72">
        <f>C5</f>
        <v>2868.6123075523483</v>
      </c>
      <c r="E5" s="72">
        <f>D5</f>
        <v>2868.6123075523483</v>
      </c>
      <c r="F5" s="72">
        <f>E5</f>
        <v>2868.6123075523483</v>
      </c>
      <c r="G5" s="115">
        <f>F5</f>
        <v>2868.6123075523483</v>
      </c>
      <c r="H5" s="114">
        <v>2743.8562285484904</v>
      </c>
      <c r="I5" s="72">
        <v>2845.5334694006287</v>
      </c>
      <c r="J5" s="72">
        <v>2898.9966826168311</v>
      </c>
      <c r="K5" s="115">
        <v>2949.7474321938844</v>
      </c>
      <c r="L5" s="114">
        <v>2743.8562285484904</v>
      </c>
      <c r="M5" s="72">
        <v>2751.7557090623432</v>
      </c>
      <c r="N5" s="72">
        <v>2627.9152272959072</v>
      </c>
      <c r="O5" s="115">
        <v>2508.1074202995442</v>
      </c>
    </row>
    <row r="6" spans="1:15">
      <c r="A6" t="s">
        <v>279</v>
      </c>
      <c r="B6" t="s">
        <v>280</v>
      </c>
      <c r="C6" s="114">
        <f>IF(VLOOKUP(A6,'School Year 2021-22'!A:AN,'School Year 2021-22'!$R$1,FALSE)&gt;0,VLOOKUP(A6,'School Year 2021-22'!A:AN,'School Year 2021-22'!$U$1,FALSE)-VLOOKUP(A6,'School Year 2021-22'!A:AN,'School Year 2021-22'!$W$1,FALSE),0)+IF((VLOOKUP(A6,'School Year 2021-22'!A:AN,'School Year 2021-22'!$S$1,FALSE)+(VLOOKUP(A6,'School Year 2021-22'!A:AN,'School Year 2021-22'!$T$1,FALSE)))&gt;0,VLOOKUP(A6,'School Year 2021-22'!A:AN,'School Year 2021-22'!$V$1,FALSE)-VLOOKUP(A6,'School Year 2021-22'!A:AN,'School Year 2021-22'!$W$1,FALSE),0)</f>
        <v>1022.0821187325027</v>
      </c>
      <c r="D6" s="72">
        <f t="shared" ref="D6:D69" si="2">C6</f>
        <v>1022.0821187325027</v>
      </c>
      <c r="E6" s="72">
        <f t="shared" ref="E6:E69" si="3">D6</f>
        <v>1022.0821187325027</v>
      </c>
      <c r="F6" s="72">
        <f t="shared" ref="F6:F69" si="4">E6</f>
        <v>1022.0821187325027</v>
      </c>
      <c r="G6" s="115">
        <f t="shared" ref="G6:G69" si="5">F6</f>
        <v>1022.0821187325027</v>
      </c>
      <c r="H6" s="114">
        <v>862.04304353640327</v>
      </c>
      <c r="I6" s="72">
        <v>893.28445406684841</v>
      </c>
      <c r="J6" s="72">
        <v>909.80500215221946</v>
      </c>
      <c r="K6" s="115">
        <v>925.52868253675024</v>
      </c>
      <c r="L6" s="114">
        <v>862.04304353640327</v>
      </c>
      <c r="M6" s="72">
        <v>829.83962665257786</v>
      </c>
      <c r="N6" s="72">
        <v>755.15663200327708</v>
      </c>
      <c r="O6" s="115">
        <v>681.80660469410941</v>
      </c>
    </row>
    <row r="7" spans="1:15">
      <c r="A7" t="s">
        <v>301</v>
      </c>
      <c r="B7" t="s">
        <v>302</v>
      </c>
      <c r="C7" s="114">
        <f>IF(VLOOKUP(A7,'School Year 2021-22'!A:AN,'School Year 2021-22'!$R$1,FALSE)&gt;0,VLOOKUP(A7,'School Year 2021-22'!A:AN,'School Year 2021-22'!$U$1,FALSE)-VLOOKUP(A7,'School Year 2021-22'!A:AN,'School Year 2021-22'!$W$1,FALSE),0)+IF((VLOOKUP(A7,'School Year 2021-22'!A:AN,'School Year 2021-22'!$S$1,FALSE)+(VLOOKUP(A7,'School Year 2021-22'!A:AN,'School Year 2021-22'!$T$1,FALSE)))&gt;0,VLOOKUP(A7,'School Year 2021-22'!A:AN,'School Year 2021-22'!$V$1,FALSE)-VLOOKUP(A7,'School Year 2021-22'!A:AN,'School Year 2021-22'!$W$1,FALSE),0)</f>
        <v>1015.2354222689582</v>
      </c>
      <c r="D7" s="72">
        <f t="shared" si="2"/>
        <v>1015.2354222689582</v>
      </c>
      <c r="E7" s="72">
        <f t="shared" si="3"/>
        <v>1015.2354222689582</v>
      </c>
      <c r="F7" s="72">
        <f t="shared" si="4"/>
        <v>1015.2354222689582</v>
      </c>
      <c r="G7" s="115">
        <f t="shared" si="5"/>
        <v>1015.2354222689582</v>
      </c>
      <c r="H7" s="114">
        <v>862.04304353640327</v>
      </c>
      <c r="I7" s="72">
        <v>893.28445406684841</v>
      </c>
      <c r="J7" s="72">
        <v>909.80500215221946</v>
      </c>
      <c r="K7" s="115">
        <v>925.52868253675024</v>
      </c>
      <c r="L7" s="114">
        <v>862.04304353640327</v>
      </c>
      <c r="M7" s="72">
        <v>829.83962665257786</v>
      </c>
      <c r="N7" s="72">
        <v>755.15663200327708</v>
      </c>
      <c r="O7" s="115">
        <v>681.80660469410941</v>
      </c>
    </row>
    <row r="8" spans="1:15">
      <c r="A8" t="s">
        <v>407</v>
      </c>
      <c r="B8" t="s">
        <v>408</v>
      </c>
      <c r="C8" s="114">
        <f>IF(VLOOKUP(A8,'School Year 2021-22'!A:AN,'School Year 2021-22'!$R$1,FALSE)&gt;0,VLOOKUP(A8,'School Year 2021-22'!A:AN,'School Year 2021-22'!$U$1,FALSE)-VLOOKUP(A8,'School Year 2021-22'!A:AN,'School Year 2021-22'!$W$1,FALSE),0)+IF((VLOOKUP(A8,'School Year 2021-22'!A:AN,'School Year 2021-22'!$S$1,FALSE)+(VLOOKUP(A8,'School Year 2021-22'!A:AN,'School Year 2021-22'!$T$1,FALSE)))&gt;0,VLOOKUP(A8,'School Year 2021-22'!A:AN,'School Year 2021-22'!$V$1,FALSE)-VLOOKUP(A8,'School Year 2021-22'!A:AN,'School Year 2021-22'!$W$1,FALSE),0)</f>
        <v>696.26101461760118</v>
      </c>
      <c r="D8" s="72">
        <f t="shared" si="2"/>
        <v>696.26101461760118</v>
      </c>
      <c r="E8" s="72">
        <f t="shared" si="3"/>
        <v>696.26101461760118</v>
      </c>
      <c r="F8" s="72">
        <f t="shared" si="4"/>
        <v>696.26101461760118</v>
      </c>
      <c r="G8" s="115">
        <f t="shared" si="5"/>
        <v>696.26101461760118</v>
      </c>
      <c r="H8" s="114">
        <v>912.10839418059186</v>
      </c>
      <c r="I8" s="72">
        <v>944.79540068727511</v>
      </c>
      <c r="J8" s="72">
        <v>962.37675881647738</v>
      </c>
      <c r="K8" s="115">
        <v>979.23656675794882</v>
      </c>
      <c r="L8" s="114">
        <v>912.10839418059186</v>
      </c>
      <c r="M8" s="72">
        <v>877.05303579440988</v>
      </c>
      <c r="N8" s="72">
        <v>797.29384300178936</v>
      </c>
      <c r="O8" s="115">
        <v>718.9286509368485</v>
      </c>
    </row>
    <row r="9" spans="1:15">
      <c r="A9" t="s">
        <v>431</v>
      </c>
      <c r="B9" t="s">
        <v>432</v>
      </c>
      <c r="C9" s="114">
        <f>IF(VLOOKUP(A9,'School Year 2021-22'!A:AN,'School Year 2021-22'!$R$1,FALSE)&gt;0,VLOOKUP(A9,'School Year 2021-22'!A:AN,'School Year 2021-22'!$U$1,FALSE)-VLOOKUP(A9,'School Year 2021-22'!A:AN,'School Year 2021-22'!$W$1,FALSE),0)+IF((VLOOKUP(A9,'School Year 2021-22'!A:AN,'School Year 2021-22'!$S$1,FALSE)+(VLOOKUP(A9,'School Year 2021-22'!A:AN,'School Year 2021-22'!$T$1,FALSE)))&gt;0,VLOOKUP(A9,'School Year 2021-22'!A:AN,'School Year 2021-22'!$V$1,FALSE)-VLOOKUP(A9,'School Year 2021-22'!A:AN,'School Year 2021-22'!$W$1,FALSE),0)</f>
        <v>725.40202591439629</v>
      </c>
      <c r="D9" s="72">
        <f t="shared" si="2"/>
        <v>725.40202591439629</v>
      </c>
      <c r="E9" s="72">
        <f t="shared" si="3"/>
        <v>725.40202591439629</v>
      </c>
      <c r="F9" s="72">
        <f t="shared" si="4"/>
        <v>725.40202591439629</v>
      </c>
      <c r="G9" s="115">
        <f t="shared" si="5"/>
        <v>725.40202591439629</v>
      </c>
      <c r="H9" s="114">
        <v>938.99479477031036</v>
      </c>
      <c r="I9" s="72">
        <v>965.53467978740809</v>
      </c>
      <c r="J9" s="72">
        <v>983.53770178069317</v>
      </c>
      <c r="K9" s="115">
        <v>1000.8491117205995</v>
      </c>
      <c r="L9" s="114">
        <v>938.99479477031036</v>
      </c>
      <c r="M9" s="72">
        <v>896.24311386302543</v>
      </c>
      <c r="N9" s="72">
        <v>814.63513226877149</v>
      </c>
      <c r="O9" s="115">
        <v>734.44675119115345</v>
      </c>
    </row>
    <row r="10" spans="1:15">
      <c r="A10" t="s">
        <v>15</v>
      </c>
      <c r="B10" t="s">
        <v>16</v>
      </c>
      <c r="C10" s="114">
        <f>IF(VLOOKUP(A10,'School Year 2021-22'!A:AN,'School Year 2021-22'!$R$1,FALSE)&gt;0,VLOOKUP(A10,'School Year 2021-22'!A:AN,'School Year 2021-22'!$U$1,FALSE)-VLOOKUP(A10,'School Year 2021-22'!A:AN,'School Year 2021-22'!$W$1,FALSE),0)+IF((VLOOKUP(A10,'School Year 2021-22'!A:AN,'School Year 2021-22'!$S$1,FALSE)+(VLOOKUP(A10,'School Year 2021-22'!A:AN,'School Year 2021-22'!$T$1,FALSE)))&gt;0,VLOOKUP(A10,'School Year 2021-22'!A:AN,'School Year 2021-22'!$V$1,FALSE)-VLOOKUP(A10,'School Year 2021-22'!A:AN,'School Year 2021-22'!$W$1,FALSE),0)</f>
        <v>834.39253399056997</v>
      </c>
      <c r="D10" s="72">
        <f t="shared" si="2"/>
        <v>834.39253399056997</v>
      </c>
      <c r="E10" s="72">
        <f t="shared" si="3"/>
        <v>834.39253399056997</v>
      </c>
      <c r="F10" s="72">
        <f t="shared" si="4"/>
        <v>834.39253399056997</v>
      </c>
      <c r="G10" s="115">
        <f t="shared" si="5"/>
        <v>834.39253399056997</v>
      </c>
      <c r="H10" s="114">
        <v>831.44919241143998</v>
      </c>
      <c r="I10" s="72">
        <v>861.83828428673223</v>
      </c>
      <c r="J10" s="72">
        <v>877.73298695960329</v>
      </c>
      <c r="K10" s="115">
        <v>892.78638690734897</v>
      </c>
      <c r="L10" s="114">
        <v>831.44919241143998</v>
      </c>
      <c r="M10" s="72">
        <v>800.29272351994859</v>
      </c>
      <c r="N10" s="72">
        <v>727.92868593385083</v>
      </c>
      <c r="O10" s="115">
        <v>656.85624991961959</v>
      </c>
    </row>
    <row r="11" spans="1:15">
      <c r="A11" t="s">
        <v>205</v>
      </c>
      <c r="B11" t="s">
        <v>206</v>
      </c>
      <c r="C11" s="114">
        <f>IF(VLOOKUP(A11,'School Year 2021-22'!A:AN,'School Year 2021-22'!$R$1,FALSE)&gt;0,VLOOKUP(A11,'School Year 2021-22'!A:AN,'School Year 2021-22'!$U$1,FALSE)-VLOOKUP(A11,'School Year 2021-22'!A:AN,'School Year 2021-22'!$W$1,FALSE),0)+IF((VLOOKUP(A11,'School Year 2021-22'!A:AN,'School Year 2021-22'!$S$1,FALSE)+(VLOOKUP(A11,'School Year 2021-22'!A:AN,'School Year 2021-22'!$T$1,FALSE)))&gt;0,VLOOKUP(A11,'School Year 2021-22'!A:AN,'School Year 2021-22'!$V$1,FALSE)-VLOOKUP(A11,'School Year 2021-22'!A:AN,'School Year 2021-22'!$W$1,FALSE),0)</f>
        <v>835.50042947280417</v>
      </c>
      <c r="D11" s="72">
        <f t="shared" si="2"/>
        <v>835.50042947280417</v>
      </c>
      <c r="E11" s="72">
        <f t="shared" si="3"/>
        <v>835.50042947280417</v>
      </c>
      <c r="F11" s="72">
        <f t="shared" si="4"/>
        <v>835.50042947280417</v>
      </c>
      <c r="G11" s="115">
        <f t="shared" si="5"/>
        <v>835.50042947280417</v>
      </c>
      <c r="H11" s="114">
        <v>938.99479477031036</v>
      </c>
      <c r="I11" s="72">
        <v>965.53467978740809</v>
      </c>
      <c r="J11" s="72">
        <v>983.53770178069317</v>
      </c>
      <c r="K11" s="115">
        <v>1000.8491117205995</v>
      </c>
      <c r="L11" s="114">
        <v>938.99479477031036</v>
      </c>
      <c r="M11" s="72">
        <v>896.24311386302543</v>
      </c>
      <c r="N11" s="72">
        <v>814.63513226877149</v>
      </c>
      <c r="O11" s="115">
        <v>734.44675119115345</v>
      </c>
    </row>
    <row r="12" spans="1:15">
      <c r="A12" t="s">
        <v>229</v>
      </c>
      <c r="B12" t="s">
        <v>230</v>
      </c>
      <c r="C12" s="114">
        <f>IF(VLOOKUP(A12,'School Year 2021-22'!A:AN,'School Year 2021-22'!$R$1,FALSE)&gt;0,VLOOKUP(A12,'School Year 2021-22'!A:AN,'School Year 2021-22'!$U$1,FALSE)-VLOOKUP(A12,'School Year 2021-22'!A:AN,'School Year 2021-22'!$W$1,FALSE),0)+IF((VLOOKUP(A12,'School Year 2021-22'!A:AN,'School Year 2021-22'!$S$1,FALSE)+(VLOOKUP(A12,'School Year 2021-22'!A:AN,'School Year 2021-22'!$T$1,FALSE)))&gt;0,VLOOKUP(A12,'School Year 2021-22'!A:AN,'School Year 2021-22'!$V$1,FALSE)-VLOOKUP(A12,'School Year 2021-22'!A:AN,'School Year 2021-22'!$W$1,FALSE),0)</f>
        <v>7600.6427260789515</v>
      </c>
      <c r="D12" s="72">
        <f t="shared" si="2"/>
        <v>7600.6427260789515</v>
      </c>
      <c r="E12" s="72">
        <f t="shared" si="3"/>
        <v>7600.6427260789515</v>
      </c>
      <c r="F12" s="72">
        <f t="shared" si="4"/>
        <v>7600.6427260789515</v>
      </c>
      <c r="G12" s="115">
        <f t="shared" si="5"/>
        <v>7600.6427260789515</v>
      </c>
      <c r="H12" s="114">
        <v>952.43799506516825</v>
      </c>
      <c r="I12" s="72">
        <v>986.27395888754472</v>
      </c>
      <c r="J12" s="72">
        <v>1004.6986447449126</v>
      </c>
      <c r="K12" s="115">
        <v>1022.4616566832483</v>
      </c>
      <c r="L12" s="114">
        <v>952.43799506516825</v>
      </c>
      <c r="M12" s="72">
        <v>915.43319193164098</v>
      </c>
      <c r="N12" s="72">
        <v>831.97642153575725</v>
      </c>
      <c r="O12" s="115">
        <v>749.96485144546386</v>
      </c>
    </row>
    <row r="13" spans="1:15">
      <c r="A13" t="s">
        <v>69</v>
      </c>
      <c r="B13" t="s">
        <v>70</v>
      </c>
      <c r="C13" s="114">
        <f>IF(VLOOKUP(A13,'School Year 2021-22'!A:AN,'School Year 2021-22'!$R$1,FALSE)&gt;0,VLOOKUP(A13,'School Year 2021-22'!A:AN,'School Year 2021-22'!$U$1,FALSE)-VLOOKUP(A13,'School Year 2021-22'!A:AN,'School Year 2021-22'!$W$1,FALSE),0)+IF((VLOOKUP(A13,'School Year 2021-22'!A:AN,'School Year 2021-22'!$S$1,FALSE)+(VLOOKUP(A13,'School Year 2021-22'!A:AN,'School Year 2021-22'!$T$1,FALSE)))&gt;0,VLOOKUP(A13,'School Year 2021-22'!A:AN,'School Year 2021-22'!$V$1,FALSE)-VLOOKUP(A13,'School Year 2021-22'!A:AN,'School Year 2021-22'!$W$1,FALSE),0)</f>
        <v>880.00657186316494</v>
      </c>
      <c r="D13" s="72">
        <f t="shared" si="2"/>
        <v>880.00657186316494</v>
      </c>
      <c r="E13" s="72">
        <f t="shared" si="3"/>
        <v>880.00657186316494</v>
      </c>
      <c r="F13" s="72">
        <f t="shared" si="4"/>
        <v>880.00657186316494</v>
      </c>
      <c r="G13" s="115">
        <f t="shared" si="5"/>
        <v>880.00657186316494</v>
      </c>
      <c r="H13" s="114">
        <v>871.77879329601546</v>
      </c>
      <c r="I13" s="72">
        <v>903.31684248700276</v>
      </c>
      <c r="J13" s="72">
        <v>920.05487288803943</v>
      </c>
      <c r="K13" s="115">
        <v>936.01147683264753</v>
      </c>
      <c r="L13" s="114">
        <v>871.77879329601546</v>
      </c>
      <c r="M13" s="72">
        <v>838.67287965718151</v>
      </c>
      <c r="N13" s="72">
        <v>762.61126446782146</v>
      </c>
      <c r="O13" s="115">
        <v>687.89245042823313</v>
      </c>
    </row>
    <row r="14" spans="1:15">
      <c r="A14" t="s">
        <v>199</v>
      </c>
      <c r="B14" t="s">
        <v>200</v>
      </c>
      <c r="C14" s="114">
        <f>IF(VLOOKUP(A14,'School Year 2021-22'!A:AN,'School Year 2021-22'!$R$1,FALSE)&gt;0,VLOOKUP(A14,'School Year 2021-22'!A:AN,'School Year 2021-22'!$U$1,FALSE)-VLOOKUP(A14,'School Year 2021-22'!A:AN,'School Year 2021-22'!$W$1,FALSE),0)+IF((VLOOKUP(A14,'School Year 2021-22'!A:AN,'School Year 2021-22'!$S$1,FALSE)+(VLOOKUP(A14,'School Year 2021-22'!A:AN,'School Year 2021-22'!$T$1,FALSE)))&gt;0,VLOOKUP(A14,'School Year 2021-22'!A:AN,'School Year 2021-22'!$V$1,FALSE)-VLOOKUP(A14,'School Year 2021-22'!A:AN,'School Year 2021-22'!$W$1,FALSE),0)</f>
        <v>961.43787834481191</v>
      </c>
      <c r="D14" s="72">
        <f t="shared" si="2"/>
        <v>961.43787834481191</v>
      </c>
      <c r="E14" s="72">
        <f t="shared" si="3"/>
        <v>961.43787834481191</v>
      </c>
      <c r="F14" s="72">
        <f t="shared" si="4"/>
        <v>961.43787834481191</v>
      </c>
      <c r="G14" s="115">
        <f t="shared" si="5"/>
        <v>961.43787834481191</v>
      </c>
      <c r="H14" s="114">
        <v>952.43799506516825</v>
      </c>
      <c r="I14" s="72">
        <v>986.27395888754472</v>
      </c>
      <c r="J14" s="72">
        <v>1004.6986447449126</v>
      </c>
      <c r="K14" s="115">
        <v>1022.4616566832483</v>
      </c>
      <c r="L14" s="114">
        <v>952.43799506516825</v>
      </c>
      <c r="M14" s="72">
        <v>915.43319193164098</v>
      </c>
      <c r="N14" s="72">
        <v>831.97642153575725</v>
      </c>
      <c r="O14" s="115">
        <v>749.96485144546386</v>
      </c>
    </row>
    <row r="15" spans="1:15">
      <c r="A15" t="s">
        <v>539</v>
      </c>
      <c r="B15" t="s">
        <v>540</v>
      </c>
      <c r="C15" s="114">
        <f>IF(VLOOKUP(A15,'School Year 2021-22'!A:AN,'School Year 2021-22'!$R$1,FALSE)&gt;0,VLOOKUP(A15,'School Year 2021-22'!A:AN,'School Year 2021-22'!$U$1,FALSE)-VLOOKUP(A15,'School Year 2021-22'!A:AN,'School Year 2021-22'!$W$1,FALSE),0)+IF((VLOOKUP(A15,'School Year 2021-22'!A:AN,'School Year 2021-22'!$S$1,FALSE)+(VLOOKUP(A15,'School Year 2021-22'!A:AN,'School Year 2021-22'!$T$1,FALSE)))&gt;0,VLOOKUP(A15,'School Year 2021-22'!A:AN,'School Year 2021-22'!$V$1,FALSE)-VLOOKUP(A15,'School Year 2021-22'!A:AN,'School Year 2021-22'!$W$1,FALSE),0)</f>
        <v>1467.3274390417564</v>
      </c>
      <c r="D15" s="72">
        <f t="shared" si="2"/>
        <v>1467.3274390417564</v>
      </c>
      <c r="E15" s="72">
        <f t="shared" si="3"/>
        <v>1467.3274390417564</v>
      </c>
      <c r="F15" s="72">
        <f t="shared" si="4"/>
        <v>1467.3274390417564</v>
      </c>
      <c r="G15" s="115">
        <f t="shared" si="5"/>
        <v>1467.3274390417564</v>
      </c>
      <c r="H15" s="114">
        <v>898.66519388573306</v>
      </c>
      <c r="I15" s="72">
        <v>924.05612158713666</v>
      </c>
      <c r="J15" s="72">
        <v>941.21581585225886</v>
      </c>
      <c r="K15" s="115">
        <v>957.6240217953</v>
      </c>
      <c r="L15" s="114">
        <v>898.66519388573306</v>
      </c>
      <c r="M15" s="72">
        <v>857.86295772579615</v>
      </c>
      <c r="N15" s="72">
        <v>779.95255373480722</v>
      </c>
      <c r="O15" s="115">
        <v>703.41055068253991</v>
      </c>
    </row>
    <row r="16" spans="1:15">
      <c r="A16" t="s">
        <v>5</v>
      </c>
      <c r="B16" t="s">
        <v>6</v>
      </c>
      <c r="C16" s="114">
        <f>IF(VLOOKUP(A16,'School Year 2021-22'!A:AN,'School Year 2021-22'!$R$1,FALSE)&gt;0,VLOOKUP(A16,'School Year 2021-22'!A:AN,'School Year 2021-22'!$U$1,FALSE)-VLOOKUP(A16,'School Year 2021-22'!A:AN,'School Year 2021-22'!$W$1,FALSE),0)+IF((VLOOKUP(A16,'School Year 2021-22'!A:AN,'School Year 2021-22'!$S$1,FALSE)+(VLOOKUP(A16,'School Year 2021-22'!A:AN,'School Year 2021-22'!$T$1,FALSE)))&gt;0,VLOOKUP(A16,'School Year 2021-22'!A:AN,'School Year 2021-22'!$V$1,FALSE)-VLOOKUP(A16,'School Year 2021-22'!A:AN,'School Year 2021-22'!$W$1,FALSE),0)</f>
        <v>0</v>
      </c>
      <c r="D16" s="72">
        <f t="shared" si="2"/>
        <v>0</v>
      </c>
      <c r="E16" s="72">
        <f t="shared" si="3"/>
        <v>0</v>
      </c>
      <c r="F16" s="72">
        <f t="shared" si="4"/>
        <v>0</v>
      </c>
      <c r="G16" s="115">
        <f t="shared" si="5"/>
        <v>0</v>
      </c>
      <c r="H16" s="114">
        <v>0</v>
      </c>
      <c r="I16" s="72">
        <v>0</v>
      </c>
      <c r="J16" s="72">
        <v>0</v>
      </c>
      <c r="K16" s="115">
        <v>0</v>
      </c>
      <c r="L16" s="114">
        <v>0</v>
      </c>
      <c r="M16" s="72">
        <v>0</v>
      </c>
      <c r="N16" s="72">
        <v>0</v>
      </c>
      <c r="O16" s="115">
        <v>0</v>
      </c>
    </row>
    <row r="17" spans="1:15">
      <c r="A17" t="s">
        <v>383</v>
      </c>
      <c r="B17" t="s">
        <v>384</v>
      </c>
      <c r="C17" s="114">
        <f>IF(VLOOKUP(A17,'School Year 2021-22'!A:AN,'School Year 2021-22'!$R$1,FALSE)&gt;0,VLOOKUP(A17,'School Year 2021-22'!A:AN,'School Year 2021-22'!$U$1,FALSE)-VLOOKUP(A17,'School Year 2021-22'!A:AN,'School Year 2021-22'!$W$1,FALSE),0)+IF((VLOOKUP(A17,'School Year 2021-22'!A:AN,'School Year 2021-22'!$S$1,FALSE)+(VLOOKUP(A17,'School Year 2021-22'!A:AN,'School Year 2021-22'!$T$1,FALSE)))&gt;0,VLOOKUP(A17,'School Year 2021-22'!A:AN,'School Year 2021-22'!$V$1,FALSE)-VLOOKUP(A17,'School Year 2021-22'!A:AN,'School Year 2021-22'!$W$1,FALSE),0)</f>
        <v>1527.9157260722022</v>
      </c>
      <c r="D17" s="72">
        <f t="shared" si="2"/>
        <v>1527.9157260722022</v>
      </c>
      <c r="E17" s="72">
        <f t="shared" si="3"/>
        <v>1527.9157260722022</v>
      </c>
      <c r="F17" s="72">
        <f t="shared" si="4"/>
        <v>1527.9157260722022</v>
      </c>
      <c r="G17" s="115">
        <f t="shared" si="5"/>
        <v>1527.9157260722022</v>
      </c>
      <c r="H17" s="114">
        <v>2743.8562285484904</v>
      </c>
      <c r="I17" s="72">
        <v>2845.5334694006287</v>
      </c>
      <c r="J17" s="72">
        <v>2898.9966826168311</v>
      </c>
      <c r="K17" s="115">
        <v>2949.7474321938844</v>
      </c>
      <c r="L17" s="114">
        <v>2743.8562285484904</v>
      </c>
      <c r="M17" s="72">
        <v>2751.7557090623432</v>
      </c>
      <c r="N17" s="72">
        <v>2627.9152272959072</v>
      </c>
      <c r="O17" s="115">
        <v>2508.1074202995442</v>
      </c>
    </row>
    <row r="18" spans="1:15">
      <c r="A18" t="s">
        <v>253</v>
      </c>
      <c r="B18" t="s">
        <v>254</v>
      </c>
      <c r="C18" s="114">
        <f>IF(VLOOKUP(A18,'School Year 2021-22'!A:AN,'School Year 2021-22'!$R$1,FALSE)&gt;0,VLOOKUP(A18,'School Year 2021-22'!A:AN,'School Year 2021-22'!$U$1,FALSE)-VLOOKUP(A18,'School Year 2021-22'!A:AN,'School Year 2021-22'!$W$1,FALSE),0)+IF((VLOOKUP(A18,'School Year 2021-22'!A:AN,'School Year 2021-22'!$S$1,FALSE)+(VLOOKUP(A18,'School Year 2021-22'!A:AN,'School Year 2021-22'!$T$1,FALSE)))&gt;0,VLOOKUP(A18,'School Year 2021-22'!A:AN,'School Year 2021-22'!$V$1,FALSE)-VLOOKUP(A18,'School Year 2021-22'!A:AN,'School Year 2021-22'!$W$1,FALSE),0)</f>
        <v>0</v>
      </c>
      <c r="D18" s="72">
        <f t="shared" si="2"/>
        <v>0</v>
      </c>
      <c r="E18" s="72">
        <f t="shared" si="3"/>
        <v>0</v>
      </c>
      <c r="F18" s="72">
        <f t="shared" si="4"/>
        <v>0</v>
      </c>
      <c r="G18" s="115">
        <f t="shared" si="5"/>
        <v>0</v>
      </c>
      <c r="H18" s="114">
        <v>0</v>
      </c>
      <c r="I18" s="72">
        <v>0</v>
      </c>
      <c r="J18" s="72">
        <v>0</v>
      </c>
      <c r="K18" s="115">
        <v>0</v>
      </c>
      <c r="L18" s="114">
        <v>0</v>
      </c>
      <c r="M18" s="72">
        <v>0</v>
      </c>
      <c r="N18" s="72">
        <v>0</v>
      </c>
      <c r="O18" s="115">
        <v>0</v>
      </c>
    </row>
    <row r="19" spans="1:15">
      <c r="A19" t="s">
        <v>543</v>
      </c>
      <c r="B19" t="s">
        <v>544</v>
      </c>
      <c r="C19" s="114">
        <f>IF(VLOOKUP(A19,'School Year 2021-22'!A:AN,'School Year 2021-22'!$R$1,FALSE)&gt;0,VLOOKUP(A19,'School Year 2021-22'!A:AN,'School Year 2021-22'!$U$1,FALSE)-VLOOKUP(A19,'School Year 2021-22'!A:AN,'School Year 2021-22'!$W$1,FALSE),0)+IF((VLOOKUP(A19,'School Year 2021-22'!A:AN,'School Year 2021-22'!$S$1,FALSE)+(VLOOKUP(A19,'School Year 2021-22'!A:AN,'School Year 2021-22'!$T$1,FALSE)))&gt;0,VLOOKUP(A19,'School Year 2021-22'!A:AN,'School Year 2021-22'!$V$1,FALSE)-VLOOKUP(A19,'School Year 2021-22'!A:AN,'School Year 2021-22'!$W$1,FALSE),0)</f>
        <v>1221.9526327499407</v>
      </c>
      <c r="D19" s="72">
        <f t="shared" si="2"/>
        <v>1221.9526327499407</v>
      </c>
      <c r="E19" s="72">
        <f t="shared" si="3"/>
        <v>1221.9526327499407</v>
      </c>
      <c r="F19" s="72">
        <f t="shared" si="4"/>
        <v>1221.9526327499407</v>
      </c>
      <c r="G19" s="115">
        <f t="shared" si="5"/>
        <v>1221.9526327499407</v>
      </c>
      <c r="H19" s="114">
        <v>942.70224530555515</v>
      </c>
      <c r="I19" s="72">
        <v>976.2415704673931</v>
      </c>
      <c r="J19" s="72">
        <v>994.4487740090899</v>
      </c>
      <c r="K19" s="115">
        <v>1011.9788623873501</v>
      </c>
      <c r="L19" s="114">
        <v>942.70224530555515</v>
      </c>
      <c r="M19" s="72">
        <v>906.59993892704006</v>
      </c>
      <c r="N19" s="72">
        <v>824.52178907121561</v>
      </c>
      <c r="O19" s="115">
        <v>743.87900571133832</v>
      </c>
    </row>
    <row r="20" spans="1:15">
      <c r="A20" t="s">
        <v>283</v>
      </c>
      <c r="B20" t="s">
        <v>284</v>
      </c>
      <c r="C20" s="114">
        <f>IF(VLOOKUP(A20,'School Year 2021-22'!A:AN,'School Year 2021-22'!$R$1,FALSE)&gt;0,VLOOKUP(A20,'School Year 2021-22'!A:AN,'School Year 2021-22'!$U$1,FALSE)-VLOOKUP(A20,'School Year 2021-22'!A:AN,'School Year 2021-22'!$W$1,FALSE),0)+IF((VLOOKUP(A20,'School Year 2021-22'!A:AN,'School Year 2021-22'!$S$1,FALSE)+(VLOOKUP(A20,'School Year 2021-22'!A:AN,'School Year 2021-22'!$T$1,FALSE)))&gt;0,VLOOKUP(A20,'School Year 2021-22'!A:AN,'School Year 2021-22'!$V$1,FALSE)-VLOOKUP(A20,'School Year 2021-22'!A:AN,'School Year 2021-22'!$W$1,FALSE),0)</f>
        <v>0</v>
      </c>
      <c r="D20" s="72">
        <f t="shared" si="2"/>
        <v>0</v>
      </c>
      <c r="E20" s="72">
        <f t="shared" si="3"/>
        <v>0</v>
      </c>
      <c r="F20" s="72">
        <f t="shared" si="4"/>
        <v>0</v>
      </c>
      <c r="G20" s="115">
        <f t="shared" si="5"/>
        <v>0</v>
      </c>
      <c r="H20" s="114">
        <v>0</v>
      </c>
      <c r="I20" s="72">
        <v>0</v>
      </c>
      <c r="J20" s="72">
        <v>0</v>
      </c>
      <c r="K20" s="115">
        <v>0</v>
      </c>
      <c r="L20" s="114">
        <v>0</v>
      </c>
      <c r="M20" s="72">
        <v>0</v>
      </c>
      <c r="N20" s="72">
        <v>0</v>
      </c>
      <c r="O20" s="115">
        <v>0</v>
      </c>
    </row>
    <row r="21" spans="1:15">
      <c r="A21" t="s">
        <v>227</v>
      </c>
      <c r="B21" t="s">
        <v>228</v>
      </c>
      <c r="C21" s="114">
        <f>IF(VLOOKUP(A21,'School Year 2021-22'!A:AN,'School Year 2021-22'!$R$1,FALSE)&gt;0,VLOOKUP(A21,'School Year 2021-22'!A:AN,'School Year 2021-22'!$U$1,FALSE)-VLOOKUP(A21,'School Year 2021-22'!A:AN,'School Year 2021-22'!$W$1,FALSE),0)+IF((VLOOKUP(A21,'School Year 2021-22'!A:AN,'School Year 2021-22'!$S$1,FALSE)+(VLOOKUP(A21,'School Year 2021-22'!A:AN,'School Year 2021-22'!$T$1,FALSE)))&gt;0,VLOOKUP(A21,'School Year 2021-22'!A:AN,'School Year 2021-22'!$V$1,FALSE)-VLOOKUP(A21,'School Year 2021-22'!A:AN,'School Year 2021-22'!$W$1,FALSE),0)</f>
        <v>16588.027967543268</v>
      </c>
      <c r="D21" s="72">
        <f t="shared" si="2"/>
        <v>16588.027967543268</v>
      </c>
      <c r="E21" s="72">
        <f t="shared" si="3"/>
        <v>16588.027967543268</v>
      </c>
      <c r="F21" s="72">
        <f t="shared" si="4"/>
        <v>16588.027967543268</v>
      </c>
      <c r="G21" s="115">
        <f t="shared" si="5"/>
        <v>16588.027967543268</v>
      </c>
      <c r="H21" s="114">
        <v>3158.4201404148171</v>
      </c>
      <c r="I21" s="72">
        <v>3271.7147029627758</v>
      </c>
      <c r="J21" s="72">
        <v>3333.7074539230234</v>
      </c>
      <c r="K21" s="115">
        <v>3393.5933384239397</v>
      </c>
      <c r="L21" s="114">
        <v>3158.4201404148171</v>
      </c>
      <c r="M21" s="72">
        <v>3164.389764429181</v>
      </c>
      <c r="N21" s="72">
        <v>3022.0324579930402</v>
      </c>
      <c r="O21" s="115">
        <v>2884.2796481101523</v>
      </c>
    </row>
    <row r="22" spans="1:15">
      <c r="A22" t="s">
        <v>333</v>
      </c>
      <c r="B22" t="s">
        <v>334</v>
      </c>
      <c r="C22" s="114">
        <f>IF(VLOOKUP(A22,'School Year 2021-22'!A:AN,'School Year 2021-22'!$R$1,FALSE)&gt;0,VLOOKUP(A22,'School Year 2021-22'!A:AN,'School Year 2021-22'!$U$1,FALSE)-VLOOKUP(A22,'School Year 2021-22'!A:AN,'School Year 2021-22'!$W$1,FALSE),0)+IF((VLOOKUP(A22,'School Year 2021-22'!A:AN,'School Year 2021-22'!$S$1,FALSE)+(VLOOKUP(A22,'School Year 2021-22'!A:AN,'School Year 2021-22'!$T$1,FALSE)))&gt;0,VLOOKUP(A22,'School Year 2021-22'!A:AN,'School Year 2021-22'!$V$1,FALSE)-VLOOKUP(A22,'School Year 2021-22'!A:AN,'School Year 2021-22'!$W$1,FALSE),0)</f>
        <v>839.13034959340712</v>
      </c>
      <c r="D22" s="72">
        <f t="shared" si="2"/>
        <v>839.13034959340712</v>
      </c>
      <c r="E22" s="72">
        <f t="shared" si="3"/>
        <v>839.13034959340712</v>
      </c>
      <c r="F22" s="72">
        <f t="shared" si="4"/>
        <v>839.13034959340712</v>
      </c>
      <c r="G22" s="115">
        <f t="shared" si="5"/>
        <v>839.13034959340712</v>
      </c>
      <c r="H22" s="114">
        <v>831.44919241143998</v>
      </c>
      <c r="I22" s="72">
        <v>861.83828428673223</v>
      </c>
      <c r="J22" s="72">
        <v>877.73298695960329</v>
      </c>
      <c r="K22" s="115">
        <v>892.78638690734897</v>
      </c>
      <c r="L22" s="114">
        <v>831.44919241143998</v>
      </c>
      <c r="M22" s="72">
        <v>800.29272351994859</v>
      </c>
      <c r="N22" s="72">
        <v>727.92868593385083</v>
      </c>
      <c r="O22" s="115">
        <v>656.85624991961959</v>
      </c>
    </row>
    <row r="23" spans="1:15">
      <c r="A23" t="s">
        <v>91</v>
      </c>
      <c r="B23" t="s">
        <v>92</v>
      </c>
      <c r="C23" s="114">
        <f>IF(VLOOKUP(A23,'School Year 2021-22'!A:AN,'School Year 2021-22'!$R$1,FALSE)&gt;0,VLOOKUP(A23,'School Year 2021-22'!A:AN,'School Year 2021-22'!$U$1,FALSE)-VLOOKUP(A23,'School Year 2021-22'!A:AN,'School Year 2021-22'!$W$1,FALSE),0)+IF((VLOOKUP(A23,'School Year 2021-22'!A:AN,'School Year 2021-22'!$S$1,FALSE)+(VLOOKUP(A23,'School Year 2021-22'!A:AN,'School Year 2021-22'!$T$1,FALSE)))&gt;0,VLOOKUP(A23,'School Year 2021-22'!A:AN,'School Year 2021-22'!$V$1,FALSE)-VLOOKUP(A23,'School Year 2021-22'!A:AN,'School Year 2021-22'!$W$1,FALSE),0)</f>
        <v>6467.3593787287336</v>
      </c>
      <c r="D23" s="72">
        <f t="shared" si="2"/>
        <v>6467.3593787287336</v>
      </c>
      <c r="E23" s="72">
        <f t="shared" si="3"/>
        <v>6467.3593787287336</v>
      </c>
      <c r="F23" s="72">
        <f t="shared" si="4"/>
        <v>6467.3593787287336</v>
      </c>
      <c r="G23" s="115">
        <f t="shared" si="5"/>
        <v>6467.3593787287336</v>
      </c>
      <c r="H23" s="114">
        <v>831.44919241143998</v>
      </c>
      <c r="I23" s="72">
        <v>861.83828428673223</v>
      </c>
      <c r="J23" s="72">
        <v>877.73298695960329</v>
      </c>
      <c r="K23" s="115">
        <v>892.78638690734897</v>
      </c>
      <c r="L23" s="114">
        <v>831.44919241143998</v>
      </c>
      <c r="M23" s="72">
        <v>800.29272351994859</v>
      </c>
      <c r="N23" s="72">
        <v>727.92868593385083</v>
      </c>
      <c r="O23" s="115">
        <v>656.85624991961959</v>
      </c>
    </row>
    <row r="24" spans="1:15">
      <c r="A24" t="s">
        <v>175</v>
      </c>
      <c r="B24" t="s">
        <v>176</v>
      </c>
      <c r="C24" s="114">
        <f>IF(VLOOKUP(A24,'School Year 2021-22'!A:AN,'School Year 2021-22'!$R$1,FALSE)&gt;0,VLOOKUP(A24,'School Year 2021-22'!A:AN,'School Year 2021-22'!$U$1,FALSE)-VLOOKUP(A24,'School Year 2021-22'!A:AN,'School Year 2021-22'!$W$1,FALSE),0)+IF((VLOOKUP(A24,'School Year 2021-22'!A:AN,'School Year 2021-22'!$S$1,FALSE)+(VLOOKUP(A24,'School Year 2021-22'!A:AN,'School Year 2021-22'!$T$1,FALSE)))&gt;0,VLOOKUP(A24,'School Year 2021-22'!A:AN,'School Year 2021-22'!$V$1,FALSE)-VLOOKUP(A24,'School Year 2021-22'!A:AN,'School Year 2021-22'!$W$1,FALSE),0)</f>
        <v>0</v>
      </c>
      <c r="D24" s="72">
        <f t="shared" si="2"/>
        <v>0</v>
      </c>
      <c r="E24" s="72">
        <f t="shared" si="3"/>
        <v>0</v>
      </c>
      <c r="F24" s="72">
        <f t="shared" si="4"/>
        <v>0</v>
      </c>
      <c r="G24" s="115">
        <f t="shared" si="5"/>
        <v>0</v>
      </c>
      <c r="H24" s="114">
        <v>0</v>
      </c>
      <c r="I24" s="72">
        <v>0</v>
      </c>
      <c r="J24" s="72">
        <v>0</v>
      </c>
      <c r="K24" s="115">
        <v>0</v>
      </c>
      <c r="L24" s="114">
        <v>0</v>
      </c>
      <c r="M24" s="72">
        <v>0</v>
      </c>
      <c r="N24" s="72">
        <v>0</v>
      </c>
      <c r="O24" s="115">
        <v>0</v>
      </c>
    </row>
    <row r="25" spans="1:15">
      <c r="A25" t="s">
        <v>403</v>
      </c>
      <c r="B25" t="s">
        <v>404</v>
      </c>
      <c r="C25" s="114">
        <f>IF(VLOOKUP(A25,'School Year 2021-22'!A:AN,'School Year 2021-22'!$R$1,FALSE)&gt;0,VLOOKUP(A25,'School Year 2021-22'!A:AN,'School Year 2021-22'!$U$1,FALSE)-VLOOKUP(A25,'School Year 2021-22'!A:AN,'School Year 2021-22'!$W$1,FALSE),0)+IF((VLOOKUP(A25,'School Year 2021-22'!A:AN,'School Year 2021-22'!$S$1,FALSE)+(VLOOKUP(A25,'School Year 2021-22'!A:AN,'School Year 2021-22'!$T$1,FALSE)))&gt;0,VLOOKUP(A25,'School Year 2021-22'!A:AN,'School Year 2021-22'!$V$1,FALSE)-VLOOKUP(A25,'School Year 2021-22'!A:AN,'School Year 2021-22'!$W$1,FALSE),0)</f>
        <v>1171.5968543582694</v>
      </c>
      <c r="D25" s="72">
        <f t="shared" si="2"/>
        <v>1171.5968543582694</v>
      </c>
      <c r="E25" s="72">
        <f t="shared" si="3"/>
        <v>1171.5968543582694</v>
      </c>
      <c r="F25" s="72">
        <f t="shared" si="4"/>
        <v>1171.5968543582694</v>
      </c>
      <c r="G25" s="115">
        <f t="shared" si="5"/>
        <v>1171.5968543582694</v>
      </c>
      <c r="H25" s="114">
        <v>938.99479477031036</v>
      </c>
      <c r="I25" s="72">
        <v>965.53467978740809</v>
      </c>
      <c r="J25" s="72">
        <v>983.53770178069317</v>
      </c>
      <c r="K25" s="115">
        <v>1000.8491117205995</v>
      </c>
      <c r="L25" s="114">
        <v>938.99479477031036</v>
      </c>
      <c r="M25" s="72">
        <v>896.24311386302543</v>
      </c>
      <c r="N25" s="72">
        <v>814.63513226877149</v>
      </c>
      <c r="O25" s="115">
        <v>734.44675119115345</v>
      </c>
    </row>
    <row r="26" spans="1:15">
      <c r="A26" t="s">
        <v>67</v>
      </c>
      <c r="B26" t="s">
        <v>68</v>
      </c>
      <c r="C26" s="114">
        <f>IF(VLOOKUP(A26,'School Year 2021-22'!A:AN,'School Year 2021-22'!$R$1,FALSE)&gt;0,VLOOKUP(A26,'School Year 2021-22'!A:AN,'School Year 2021-22'!$U$1,FALSE)-VLOOKUP(A26,'School Year 2021-22'!A:AN,'School Year 2021-22'!$W$1,FALSE),0)+IF((VLOOKUP(A26,'School Year 2021-22'!A:AN,'School Year 2021-22'!$S$1,FALSE)+(VLOOKUP(A26,'School Year 2021-22'!A:AN,'School Year 2021-22'!$T$1,FALSE)))&gt;0,VLOOKUP(A26,'School Year 2021-22'!A:AN,'School Year 2021-22'!$V$1,FALSE)-VLOOKUP(A26,'School Year 2021-22'!A:AN,'School Year 2021-22'!$W$1,FALSE),0)</f>
        <v>1132.3121778592104</v>
      </c>
      <c r="D26" s="72">
        <f t="shared" si="2"/>
        <v>1132.3121778592104</v>
      </c>
      <c r="E26" s="72">
        <f t="shared" si="3"/>
        <v>1132.3121778592104</v>
      </c>
      <c r="F26" s="72">
        <f t="shared" si="4"/>
        <v>1132.3121778592104</v>
      </c>
      <c r="G26" s="115">
        <f t="shared" si="5"/>
        <v>1132.3121778592104</v>
      </c>
      <c r="H26" s="114">
        <v>898.66519388573306</v>
      </c>
      <c r="I26" s="72">
        <v>924.05612158713666</v>
      </c>
      <c r="J26" s="72">
        <v>941.21581585225886</v>
      </c>
      <c r="K26" s="115">
        <v>957.6240217953</v>
      </c>
      <c r="L26" s="114">
        <v>898.66519388573306</v>
      </c>
      <c r="M26" s="72">
        <v>857.86295772579615</v>
      </c>
      <c r="N26" s="72">
        <v>779.95255373480722</v>
      </c>
      <c r="O26" s="115">
        <v>703.41055068253991</v>
      </c>
    </row>
    <row r="27" spans="1:15">
      <c r="A27" t="s">
        <v>49</v>
      </c>
      <c r="B27" t="s">
        <v>50</v>
      </c>
      <c r="C27" s="114">
        <f>IF(VLOOKUP(A27,'School Year 2021-22'!A:AN,'School Year 2021-22'!$R$1,FALSE)&gt;0,VLOOKUP(A27,'School Year 2021-22'!A:AN,'School Year 2021-22'!$U$1,FALSE)-VLOOKUP(A27,'School Year 2021-22'!A:AN,'School Year 2021-22'!$W$1,FALSE),0)+IF((VLOOKUP(A27,'School Year 2021-22'!A:AN,'School Year 2021-22'!$S$1,FALSE)+(VLOOKUP(A27,'School Year 2021-22'!A:AN,'School Year 2021-22'!$T$1,FALSE)))&gt;0,VLOOKUP(A27,'School Year 2021-22'!A:AN,'School Year 2021-22'!$V$1,FALSE)-VLOOKUP(A27,'School Year 2021-22'!A:AN,'School Year 2021-22'!$W$1,FALSE),0)</f>
        <v>834.4028622764572</v>
      </c>
      <c r="D27" s="72">
        <f t="shared" si="2"/>
        <v>834.4028622764572</v>
      </c>
      <c r="E27" s="72">
        <f t="shared" si="3"/>
        <v>834.4028622764572</v>
      </c>
      <c r="F27" s="72">
        <f t="shared" si="4"/>
        <v>834.4028622764572</v>
      </c>
      <c r="G27" s="115">
        <f t="shared" si="5"/>
        <v>834.4028622764572</v>
      </c>
      <c r="H27" s="114">
        <v>831.44919241143998</v>
      </c>
      <c r="I27" s="72">
        <v>861.83828428673223</v>
      </c>
      <c r="J27" s="72">
        <v>877.73298695960329</v>
      </c>
      <c r="K27" s="115">
        <v>892.78638690734897</v>
      </c>
      <c r="L27" s="114">
        <v>831.44919241143998</v>
      </c>
      <c r="M27" s="72">
        <v>800.29272351994859</v>
      </c>
      <c r="N27" s="72">
        <v>727.92868593385083</v>
      </c>
      <c r="O27" s="115">
        <v>656.85624991961959</v>
      </c>
    </row>
    <row r="28" spans="1:15">
      <c r="A28" t="s">
        <v>367</v>
      </c>
      <c r="B28" t="s">
        <v>368</v>
      </c>
      <c r="C28" s="114">
        <f>IF(VLOOKUP(A28,'School Year 2021-22'!A:AN,'School Year 2021-22'!$R$1,FALSE)&gt;0,VLOOKUP(A28,'School Year 2021-22'!A:AN,'School Year 2021-22'!$U$1,FALSE)-VLOOKUP(A28,'School Year 2021-22'!A:AN,'School Year 2021-22'!$W$1,FALSE),0)+IF((VLOOKUP(A28,'School Year 2021-22'!A:AN,'School Year 2021-22'!$S$1,FALSE)+(VLOOKUP(A28,'School Year 2021-22'!A:AN,'School Year 2021-22'!$T$1,FALSE)))&gt;0,VLOOKUP(A28,'School Year 2021-22'!A:AN,'School Year 2021-22'!$V$1,FALSE)-VLOOKUP(A28,'School Year 2021-22'!A:AN,'School Year 2021-22'!$W$1,FALSE),0)</f>
        <v>0</v>
      </c>
      <c r="D28" s="72">
        <f t="shared" si="2"/>
        <v>0</v>
      </c>
      <c r="E28" s="72">
        <f t="shared" si="3"/>
        <v>0</v>
      </c>
      <c r="F28" s="72">
        <f t="shared" si="4"/>
        <v>0</v>
      </c>
      <c r="G28" s="115">
        <f t="shared" si="5"/>
        <v>0</v>
      </c>
      <c r="H28" s="114">
        <v>0</v>
      </c>
      <c r="I28" s="72">
        <v>0</v>
      </c>
      <c r="J28" s="72">
        <v>0</v>
      </c>
      <c r="K28" s="115">
        <v>0</v>
      </c>
      <c r="L28" s="114">
        <v>0</v>
      </c>
      <c r="M28" s="72">
        <v>0</v>
      </c>
      <c r="N28" s="72">
        <v>0</v>
      </c>
      <c r="O28" s="115">
        <v>0</v>
      </c>
    </row>
    <row r="29" spans="1:15">
      <c r="A29" t="s">
        <v>1226</v>
      </c>
      <c r="B29" t="s">
        <v>1227</v>
      </c>
      <c r="C29" s="114">
        <f>IF(VLOOKUP(A29,'School Year 2021-22'!A:AN,'School Year 2021-22'!$R$1,FALSE)&gt;0,VLOOKUP(A29,'School Year 2021-22'!A:AN,'School Year 2021-22'!$U$1,FALSE)-VLOOKUP(A29,'School Year 2021-22'!A:AN,'School Year 2021-22'!$W$1,FALSE),0)+IF((VLOOKUP(A29,'School Year 2021-22'!A:AN,'School Year 2021-22'!$S$1,FALSE)+(VLOOKUP(A29,'School Year 2021-22'!A:AN,'School Year 2021-22'!$T$1,FALSE)))&gt;0,VLOOKUP(A29,'School Year 2021-22'!A:AN,'School Year 2021-22'!$V$1,FALSE)-VLOOKUP(A29,'School Year 2021-22'!A:AN,'School Year 2021-22'!$W$1,FALSE),0)</f>
        <v>0</v>
      </c>
      <c r="D29" s="72">
        <f t="shared" si="2"/>
        <v>0</v>
      </c>
      <c r="E29" s="72">
        <f t="shared" si="3"/>
        <v>0</v>
      </c>
      <c r="F29" s="72">
        <f t="shared" si="4"/>
        <v>0</v>
      </c>
      <c r="G29" s="115">
        <f t="shared" si="5"/>
        <v>0</v>
      </c>
      <c r="H29" s="114">
        <v>0</v>
      </c>
      <c r="I29" s="72">
        <v>0</v>
      </c>
      <c r="J29" s="72">
        <v>0</v>
      </c>
      <c r="K29" s="115">
        <v>0</v>
      </c>
      <c r="L29" s="114">
        <v>0</v>
      </c>
      <c r="M29" s="72">
        <v>0</v>
      </c>
      <c r="N29" s="72">
        <v>0</v>
      </c>
      <c r="O29" s="115">
        <v>0</v>
      </c>
    </row>
    <row r="30" spans="1:15">
      <c r="A30" t="s">
        <v>39</v>
      </c>
      <c r="B30" t="s">
        <v>40</v>
      </c>
      <c r="C30" s="114">
        <f>IF(VLOOKUP(A30,'School Year 2021-22'!A:AN,'School Year 2021-22'!$R$1,FALSE)&gt;0,VLOOKUP(A30,'School Year 2021-22'!A:AN,'School Year 2021-22'!$U$1,FALSE)-VLOOKUP(A30,'School Year 2021-22'!A:AN,'School Year 2021-22'!$W$1,FALSE),0)+IF((VLOOKUP(A30,'School Year 2021-22'!A:AN,'School Year 2021-22'!$S$1,FALSE)+(VLOOKUP(A30,'School Year 2021-22'!A:AN,'School Year 2021-22'!$T$1,FALSE)))&gt;0,VLOOKUP(A30,'School Year 2021-22'!A:AN,'School Year 2021-22'!$V$1,FALSE)-VLOOKUP(A30,'School Year 2021-22'!A:AN,'School Year 2021-22'!$W$1,FALSE),0)</f>
        <v>836.40459216361978</v>
      </c>
      <c r="D30" s="72">
        <f t="shared" si="2"/>
        <v>836.40459216361978</v>
      </c>
      <c r="E30" s="72">
        <f t="shared" si="3"/>
        <v>836.40459216361978</v>
      </c>
      <c r="F30" s="72">
        <f t="shared" si="4"/>
        <v>836.40459216361978</v>
      </c>
      <c r="G30" s="115">
        <f t="shared" si="5"/>
        <v>836.40459216361978</v>
      </c>
      <c r="H30" s="114">
        <v>831.44919241143998</v>
      </c>
      <c r="I30" s="72">
        <v>861.83828428673223</v>
      </c>
      <c r="J30" s="72">
        <v>877.73298695960329</v>
      </c>
      <c r="K30" s="115">
        <v>892.78638690734897</v>
      </c>
      <c r="L30" s="114">
        <v>831.44919241143998</v>
      </c>
      <c r="M30" s="72">
        <v>800.29272351994859</v>
      </c>
      <c r="N30" s="72">
        <v>727.92868593385083</v>
      </c>
      <c r="O30" s="115">
        <v>656.85624991961959</v>
      </c>
    </row>
    <row r="31" spans="1:15">
      <c r="A31" t="s">
        <v>37</v>
      </c>
      <c r="B31" t="s">
        <v>38</v>
      </c>
      <c r="C31" s="114">
        <f>IF(VLOOKUP(A31,'School Year 2021-22'!A:AN,'School Year 2021-22'!$R$1,FALSE)&gt;0,VLOOKUP(A31,'School Year 2021-22'!A:AN,'School Year 2021-22'!$U$1,FALSE)-VLOOKUP(A31,'School Year 2021-22'!A:AN,'School Year 2021-22'!$W$1,FALSE),0)+IF((VLOOKUP(A31,'School Year 2021-22'!A:AN,'School Year 2021-22'!$S$1,FALSE)+(VLOOKUP(A31,'School Year 2021-22'!A:AN,'School Year 2021-22'!$T$1,FALSE)))&gt;0,VLOOKUP(A31,'School Year 2021-22'!A:AN,'School Year 2021-22'!$V$1,FALSE)-VLOOKUP(A31,'School Year 2021-22'!A:AN,'School Year 2021-22'!$W$1,FALSE),0)</f>
        <v>1024.7135755165591</v>
      </c>
      <c r="D31" s="72">
        <f t="shared" si="2"/>
        <v>1024.7135755165591</v>
      </c>
      <c r="E31" s="72">
        <f t="shared" si="3"/>
        <v>1024.7135755165591</v>
      </c>
      <c r="F31" s="72">
        <f t="shared" si="4"/>
        <v>1024.7135755165591</v>
      </c>
      <c r="G31" s="115">
        <f t="shared" si="5"/>
        <v>1024.7135755165591</v>
      </c>
      <c r="H31" s="114">
        <v>862.04304353640327</v>
      </c>
      <c r="I31" s="72">
        <v>893.28445406684841</v>
      </c>
      <c r="J31" s="72">
        <v>909.80500215221946</v>
      </c>
      <c r="K31" s="115">
        <v>925.52868253675024</v>
      </c>
      <c r="L31" s="114">
        <v>862.04304353640327</v>
      </c>
      <c r="M31" s="72">
        <v>829.83962665257786</v>
      </c>
      <c r="N31" s="72">
        <v>755.15663200327708</v>
      </c>
      <c r="O31" s="115">
        <v>681.80660469410941</v>
      </c>
    </row>
    <row r="32" spans="1:15">
      <c r="A32" t="s">
        <v>81</v>
      </c>
      <c r="B32" t="s">
        <v>82</v>
      </c>
      <c r="C32" s="114">
        <f>IF(VLOOKUP(A32,'School Year 2021-22'!A:AN,'School Year 2021-22'!$R$1,FALSE)&gt;0,VLOOKUP(A32,'School Year 2021-22'!A:AN,'School Year 2021-22'!$U$1,FALSE)-VLOOKUP(A32,'School Year 2021-22'!A:AN,'School Year 2021-22'!$W$1,FALSE),0)+IF((VLOOKUP(A32,'School Year 2021-22'!A:AN,'School Year 2021-22'!$S$1,FALSE)+(VLOOKUP(A32,'School Year 2021-22'!A:AN,'School Year 2021-22'!$T$1,FALSE)))&gt;0,VLOOKUP(A32,'School Year 2021-22'!A:AN,'School Year 2021-22'!$V$1,FALSE)-VLOOKUP(A32,'School Year 2021-22'!A:AN,'School Year 2021-22'!$W$1,FALSE),0)</f>
        <v>838.22666345264315</v>
      </c>
      <c r="D32" s="72">
        <f t="shared" si="2"/>
        <v>838.22666345264315</v>
      </c>
      <c r="E32" s="72">
        <f t="shared" si="3"/>
        <v>838.22666345264315</v>
      </c>
      <c r="F32" s="72">
        <f t="shared" si="4"/>
        <v>838.22666345264315</v>
      </c>
      <c r="G32" s="115">
        <f t="shared" si="5"/>
        <v>838.22666345264315</v>
      </c>
      <c r="H32" s="114">
        <v>831.44919241143998</v>
      </c>
      <c r="I32" s="72">
        <v>861.83828428673223</v>
      </c>
      <c r="J32" s="72">
        <v>877.73298695960329</v>
      </c>
      <c r="K32" s="115">
        <v>892.78638690734897</v>
      </c>
      <c r="L32" s="114">
        <v>831.44919241143998</v>
      </c>
      <c r="M32" s="72">
        <v>800.29272351994859</v>
      </c>
      <c r="N32" s="72">
        <v>727.92868593385083</v>
      </c>
      <c r="O32" s="115">
        <v>656.85624991961959</v>
      </c>
    </row>
    <row r="33" spans="1:15">
      <c r="A33" t="s">
        <v>1228</v>
      </c>
      <c r="B33" t="s">
        <v>1229</v>
      </c>
      <c r="C33" s="114">
        <f>IF(VLOOKUP(A33,'School Year 2021-22'!A:AN,'School Year 2021-22'!$R$1,FALSE)&gt;0,VLOOKUP(A33,'School Year 2021-22'!A:AN,'School Year 2021-22'!$U$1,FALSE)-VLOOKUP(A33,'School Year 2021-22'!A:AN,'School Year 2021-22'!$W$1,FALSE),0)+IF((VLOOKUP(A33,'School Year 2021-22'!A:AN,'School Year 2021-22'!$S$1,FALSE)+(VLOOKUP(A33,'School Year 2021-22'!A:AN,'School Year 2021-22'!$T$1,FALSE)))&gt;0,VLOOKUP(A33,'School Year 2021-22'!A:AN,'School Year 2021-22'!$V$1,FALSE)-VLOOKUP(A33,'School Year 2021-22'!A:AN,'School Year 2021-22'!$W$1,FALSE),0)</f>
        <v>0</v>
      </c>
      <c r="D33" s="72">
        <f t="shared" si="2"/>
        <v>0</v>
      </c>
      <c r="E33" s="72">
        <f t="shared" si="3"/>
        <v>0</v>
      </c>
      <c r="F33" s="72">
        <f t="shared" si="4"/>
        <v>0</v>
      </c>
      <c r="G33" s="115">
        <f t="shared" si="5"/>
        <v>0</v>
      </c>
      <c r="H33" s="114">
        <v>0</v>
      </c>
      <c r="I33" s="72">
        <v>0</v>
      </c>
      <c r="J33" s="72">
        <v>0</v>
      </c>
      <c r="K33" s="115">
        <v>0</v>
      </c>
      <c r="L33" s="114">
        <v>0</v>
      </c>
      <c r="M33" s="72">
        <v>0</v>
      </c>
      <c r="N33" s="72">
        <v>0</v>
      </c>
      <c r="O33" s="115">
        <v>0</v>
      </c>
    </row>
    <row r="34" spans="1:15">
      <c r="A34" t="s">
        <v>255</v>
      </c>
      <c r="B34" t="s">
        <v>256</v>
      </c>
      <c r="C34" s="114">
        <f>IF(VLOOKUP(A34,'School Year 2021-22'!A:AN,'School Year 2021-22'!$R$1,FALSE)&gt;0,VLOOKUP(A34,'School Year 2021-22'!A:AN,'School Year 2021-22'!$U$1,FALSE)-VLOOKUP(A34,'School Year 2021-22'!A:AN,'School Year 2021-22'!$W$1,FALSE),0)+IF((VLOOKUP(A34,'School Year 2021-22'!A:AN,'School Year 2021-22'!$S$1,FALSE)+(VLOOKUP(A34,'School Year 2021-22'!A:AN,'School Year 2021-22'!$T$1,FALSE)))&gt;0,VLOOKUP(A34,'School Year 2021-22'!A:AN,'School Year 2021-22'!$V$1,FALSE)-VLOOKUP(A34,'School Year 2021-22'!A:AN,'School Year 2021-22'!$W$1,FALSE),0)</f>
        <v>0</v>
      </c>
      <c r="D34" s="72">
        <f t="shared" si="2"/>
        <v>0</v>
      </c>
      <c r="E34" s="72">
        <f t="shared" si="3"/>
        <v>0</v>
      </c>
      <c r="F34" s="72">
        <f t="shared" si="4"/>
        <v>0</v>
      </c>
      <c r="G34" s="115">
        <f t="shared" si="5"/>
        <v>0</v>
      </c>
      <c r="H34" s="114">
        <v>0</v>
      </c>
      <c r="I34" s="72">
        <v>0</v>
      </c>
      <c r="J34" s="72">
        <v>0</v>
      </c>
      <c r="K34" s="115">
        <v>0</v>
      </c>
      <c r="L34" s="114">
        <v>0</v>
      </c>
      <c r="M34" s="72">
        <v>0</v>
      </c>
      <c r="N34" s="72">
        <v>0</v>
      </c>
      <c r="O34" s="115">
        <v>0</v>
      </c>
    </row>
    <row r="35" spans="1:15">
      <c r="A35" t="s">
        <v>233</v>
      </c>
      <c r="B35" t="s">
        <v>234</v>
      </c>
      <c r="C35" s="114">
        <f>IF(VLOOKUP(A35,'School Year 2021-22'!A:AN,'School Year 2021-22'!$R$1,FALSE)&gt;0,VLOOKUP(A35,'School Year 2021-22'!A:AN,'School Year 2021-22'!$U$1,FALSE)-VLOOKUP(A35,'School Year 2021-22'!A:AN,'School Year 2021-22'!$W$1,FALSE),0)+IF((VLOOKUP(A35,'School Year 2021-22'!A:AN,'School Year 2021-22'!$S$1,FALSE)+(VLOOKUP(A35,'School Year 2021-22'!A:AN,'School Year 2021-22'!$T$1,FALSE)))&gt;0,VLOOKUP(A35,'School Year 2021-22'!A:AN,'School Year 2021-22'!$V$1,FALSE)-VLOOKUP(A35,'School Year 2021-22'!A:AN,'School Year 2021-22'!$W$1,FALSE),0)</f>
        <v>962.93912573702437</v>
      </c>
      <c r="D35" s="72">
        <f t="shared" si="2"/>
        <v>962.93912573702437</v>
      </c>
      <c r="E35" s="72">
        <f t="shared" si="3"/>
        <v>962.93912573702437</v>
      </c>
      <c r="F35" s="72">
        <f t="shared" si="4"/>
        <v>962.93912573702437</v>
      </c>
      <c r="G35" s="115">
        <f t="shared" si="5"/>
        <v>962.93912573702437</v>
      </c>
      <c r="H35" s="114">
        <v>952.43799506516825</v>
      </c>
      <c r="I35" s="72">
        <v>986.27395888754472</v>
      </c>
      <c r="J35" s="72">
        <v>1004.6986447449126</v>
      </c>
      <c r="K35" s="115">
        <v>1022.4616566832483</v>
      </c>
      <c r="L35" s="114">
        <v>952.43799506516825</v>
      </c>
      <c r="M35" s="72">
        <v>915.43319193164098</v>
      </c>
      <c r="N35" s="72">
        <v>831.97642153575725</v>
      </c>
      <c r="O35" s="115">
        <v>749.96485144546386</v>
      </c>
    </row>
    <row r="36" spans="1:15">
      <c r="A36" t="s">
        <v>463</v>
      </c>
      <c r="B36" t="s">
        <v>464</v>
      </c>
      <c r="C36" s="114">
        <f>IF(VLOOKUP(A36,'School Year 2021-22'!A:AN,'School Year 2021-22'!$R$1,FALSE)&gt;0,VLOOKUP(A36,'School Year 2021-22'!A:AN,'School Year 2021-22'!$U$1,FALSE)-VLOOKUP(A36,'School Year 2021-22'!A:AN,'School Year 2021-22'!$W$1,FALSE),0)+IF((VLOOKUP(A36,'School Year 2021-22'!A:AN,'School Year 2021-22'!$S$1,FALSE)+(VLOOKUP(A36,'School Year 2021-22'!A:AN,'School Year 2021-22'!$T$1,FALSE)))&gt;0,VLOOKUP(A36,'School Year 2021-22'!A:AN,'School Year 2021-22'!$V$1,FALSE)-VLOOKUP(A36,'School Year 2021-22'!A:AN,'School Year 2021-22'!$W$1,FALSE),0)</f>
        <v>2872.0151219570416</v>
      </c>
      <c r="D36" s="72">
        <f t="shared" si="2"/>
        <v>2872.0151219570416</v>
      </c>
      <c r="E36" s="72">
        <f t="shared" si="3"/>
        <v>2872.0151219570416</v>
      </c>
      <c r="F36" s="72">
        <f t="shared" si="4"/>
        <v>2872.0151219570416</v>
      </c>
      <c r="G36" s="115">
        <f t="shared" si="5"/>
        <v>2872.0151219570416</v>
      </c>
      <c r="H36" s="114">
        <v>2743.8562285484904</v>
      </c>
      <c r="I36" s="72">
        <v>2845.5334694006287</v>
      </c>
      <c r="J36" s="72">
        <v>2898.9966826168311</v>
      </c>
      <c r="K36" s="115">
        <v>2949.7474321938844</v>
      </c>
      <c r="L36" s="114">
        <v>2743.8562285484904</v>
      </c>
      <c r="M36" s="72">
        <v>2751.7557090623432</v>
      </c>
      <c r="N36" s="72">
        <v>2627.9152272959072</v>
      </c>
      <c r="O36" s="115">
        <v>2508.1074202995442</v>
      </c>
    </row>
    <row r="37" spans="1:15">
      <c r="A37" t="s">
        <v>295</v>
      </c>
      <c r="B37" t="s">
        <v>296</v>
      </c>
      <c r="C37" s="114">
        <f>IF(VLOOKUP(A37,'School Year 2021-22'!A:AN,'School Year 2021-22'!$R$1,FALSE)&gt;0,VLOOKUP(A37,'School Year 2021-22'!A:AN,'School Year 2021-22'!$U$1,FALSE)-VLOOKUP(A37,'School Year 2021-22'!A:AN,'School Year 2021-22'!$W$1,FALSE),0)+IF((VLOOKUP(A37,'School Year 2021-22'!A:AN,'School Year 2021-22'!$S$1,FALSE)+(VLOOKUP(A37,'School Year 2021-22'!A:AN,'School Year 2021-22'!$T$1,FALSE)))&gt;0,VLOOKUP(A37,'School Year 2021-22'!A:AN,'School Year 2021-22'!$V$1,FALSE)-VLOOKUP(A37,'School Year 2021-22'!A:AN,'School Year 2021-22'!$W$1,FALSE),0)</f>
        <v>836.9695238742197</v>
      </c>
      <c r="D37" s="72">
        <f t="shared" si="2"/>
        <v>836.9695238742197</v>
      </c>
      <c r="E37" s="72">
        <f t="shared" si="3"/>
        <v>836.9695238742197</v>
      </c>
      <c r="F37" s="72">
        <f t="shared" si="4"/>
        <v>836.9695238742197</v>
      </c>
      <c r="G37" s="115">
        <f t="shared" si="5"/>
        <v>836.9695238742197</v>
      </c>
      <c r="H37" s="114">
        <v>831.44919241143998</v>
      </c>
      <c r="I37" s="72">
        <v>861.83828428673223</v>
      </c>
      <c r="J37" s="72">
        <v>877.73298695960329</v>
      </c>
      <c r="K37" s="115">
        <v>892.78638690734897</v>
      </c>
      <c r="L37" s="114">
        <v>831.44919241143998</v>
      </c>
      <c r="M37" s="72">
        <v>800.29272351994859</v>
      </c>
      <c r="N37" s="72">
        <v>727.92868593385083</v>
      </c>
      <c r="O37" s="115">
        <v>656.85624991961959</v>
      </c>
    </row>
    <row r="38" spans="1:15">
      <c r="A38" t="s">
        <v>291</v>
      </c>
      <c r="B38" t="s">
        <v>292</v>
      </c>
      <c r="C38" s="114">
        <f>IF(VLOOKUP(A38,'School Year 2021-22'!A:AN,'School Year 2021-22'!$R$1,FALSE)&gt;0,VLOOKUP(A38,'School Year 2021-22'!A:AN,'School Year 2021-22'!$U$1,FALSE)-VLOOKUP(A38,'School Year 2021-22'!A:AN,'School Year 2021-22'!$W$1,FALSE),0)+IF((VLOOKUP(A38,'School Year 2021-22'!A:AN,'School Year 2021-22'!$S$1,FALSE)+(VLOOKUP(A38,'School Year 2021-22'!A:AN,'School Year 2021-22'!$T$1,FALSE)))&gt;0,VLOOKUP(A38,'School Year 2021-22'!A:AN,'School Year 2021-22'!$V$1,FALSE)-VLOOKUP(A38,'School Year 2021-22'!A:AN,'School Year 2021-22'!$W$1,FALSE),0)</f>
        <v>1028.3612894411226</v>
      </c>
      <c r="D38" s="72">
        <f t="shared" si="2"/>
        <v>1028.3612894411226</v>
      </c>
      <c r="E38" s="72">
        <f t="shared" si="3"/>
        <v>1028.3612894411226</v>
      </c>
      <c r="F38" s="72">
        <f t="shared" si="4"/>
        <v>1028.3612894411226</v>
      </c>
      <c r="G38" s="115">
        <f t="shared" si="5"/>
        <v>1028.3612894411226</v>
      </c>
      <c r="H38" s="114">
        <v>862.04304353640327</v>
      </c>
      <c r="I38" s="72">
        <v>893.28445406684841</v>
      </c>
      <c r="J38" s="72">
        <v>909.80500215221946</v>
      </c>
      <c r="K38" s="115">
        <v>925.52868253675024</v>
      </c>
      <c r="L38" s="114">
        <v>862.04304353640327</v>
      </c>
      <c r="M38" s="72">
        <v>829.83962665257786</v>
      </c>
      <c r="N38" s="72">
        <v>755.15663200327708</v>
      </c>
      <c r="O38" s="115">
        <v>681.80660469410941</v>
      </c>
    </row>
    <row r="39" spans="1:15">
      <c r="A39" t="s">
        <v>467</v>
      </c>
      <c r="B39" t="s">
        <v>468</v>
      </c>
      <c r="C39" s="114">
        <f>IF(VLOOKUP(A39,'School Year 2021-22'!A:AN,'School Year 2021-22'!$R$1,FALSE)&gt;0,VLOOKUP(A39,'School Year 2021-22'!A:AN,'School Year 2021-22'!$U$1,FALSE)-VLOOKUP(A39,'School Year 2021-22'!A:AN,'School Year 2021-22'!$W$1,FALSE),0)+IF((VLOOKUP(A39,'School Year 2021-22'!A:AN,'School Year 2021-22'!$S$1,FALSE)+(VLOOKUP(A39,'School Year 2021-22'!A:AN,'School Year 2021-22'!$T$1,FALSE)))&gt;0,VLOOKUP(A39,'School Year 2021-22'!A:AN,'School Year 2021-22'!$V$1,FALSE)-VLOOKUP(A39,'School Year 2021-22'!A:AN,'School Year 2021-22'!$W$1,FALSE),0)</f>
        <v>836.91282882066571</v>
      </c>
      <c r="D39" s="72">
        <f t="shared" si="2"/>
        <v>836.91282882066571</v>
      </c>
      <c r="E39" s="72">
        <f t="shared" si="3"/>
        <v>836.91282882066571</v>
      </c>
      <c r="F39" s="72">
        <f t="shared" si="4"/>
        <v>836.91282882066571</v>
      </c>
      <c r="G39" s="115">
        <f t="shared" si="5"/>
        <v>836.91282882066571</v>
      </c>
      <c r="H39" s="114">
        <v>831.44919241143998</v>
      </c>
      <c r="I39" s="72">
        <v>861.83828428673223</v>
      </c>
      <c r="J39" s="72">
        <v>877.73298695960329</v>
      </c>
      <c r="K39" s="115">
        <v>892.78638690734897</v>
      </c>
      <c r="L39" s="114">
        <v>831.44919241143998</v>
      </c>
      <c r="M39" s="72">
        <v>800.29272351994859</v>
      </c>
      <c r="N39" s="72">
        <v>727.92868593385083</v>
      </c>
      <c r="O39" s="115">
        <v>656.85624991961959</v>
      </c>
    </row>
    <row r="40" spans="1:15">
      <c r="A40" t="s">
        <v>485</v>
      </c>
      <c r="B40" t="s">
        <v>486</v>
      </c>
      <c r="C40" s="114">
        <f>IF(VLOOKUP(A40,'School Year 2021-22'!A:AN,'School Year 2021-22'!$R$1,FALSE)&gt;0,VLOOKUP(A40,'School Year 2021-22'!A:AN,'School Year 2021-22'!$U$1,FALSE)-VLOOKUP(A40,'School Year 2021-22'!A:AN,'School Year 2021-22'!$W$1,FALSE),0)+IF((VLOOKUP(A40,'School Year 2021-22'!A:AN,'School Year 2021-22'!$S$1,FALSE)+(VLOOKUP(A40,'School Year 2021-22'!A:AN,'School Year 2021-22'!$T$1,FALSE)))&gt;0,VLOOKUP(A40,'School Year 2021-22'!A:AN,'School Year 2021-22'!$V$1,FALSE)-VLOOKUP(A40,'School Year 2021-22'!A:AN,'School Year 2021-22'!$W$1,FALSE),0)</f>
        <v>6468.8383953639604</v>
      </c>
      <c r="D40" s="72">
        <f t="shared" si="2"/>
        <v>6468.8383953639604</v>
      </c>
      <c r="E40" s="72">
        <f t="shared" si="3"/>
        <v>6468.8383953639604</v>
      </c>
      <c r="F40" s="72">
        <f t="shared" si="4"/>
        <v>6468.8383953639604</v>
      </c>
      <c r="G40" s="115">
        <f t="shared" si="5"/>
        <v>6468.8383953639604</v>
      </c>
      <c r="H40" s="114">
        <v>831.44919241143998</v>
      </c>
      <c r="I40" s="72">
        <v>861.83828428673223</v>
      </c>
      <c r="J40" s="72">
        <v>877.73298695960329</v>
      </c>
      <c r="K40" s="115">
        <v>892.78638690734897</v>
      </c>
      <c r="L40" s="114">
        <v>831.44919241143998</v>
      </c>
      <c r="M40" s="72">
        <v>800.29272351994859</v>
      </c>
      <c r="N40" s="72">
        <v>727.92868593385083</v>
      </c>
      <c r="O40" s="115">
        <v>656.85624991961959</v>
      </c>
    </row>
    <row r="41" spans="1:15">
      <c r="A41" t="s">
        <v>1038</v>
      </c>
      <c r="B41" t="s">
        <v>1043</v>
      </c>
      <c r="C41" s="114">
        <f>IF(VLOOKUP(A41,'School Year 2021-22'!A:AN,'School Year 2021-22'!$R$1,FALSE)&gt;0,VLOOKUP(A41,'School Year 2021-22'!A:AN,'School Year 2021-22'!$U$1,FALSE)-VLOOKUP(A41,'School Year 2021-22'!A:AN,'School Year 2021-22'!$W$1,FALSE),0)+IF((VLOOKUP(A41,'School Year 2021-22'!A:AN,'School Year 2021-22'!$S$1,FALSE)+(VLOOKUP(A41,'School Year 2021-22'!A:AN,'School Year 2021-22'!$T$1,FALSE)))&gt;0,VLOOKUP(A41,'School Year 2021-22'!A:AN,'School Year 2021-22'!$V$1,FALSE)-VLOOKUP(A41,'School Year 2021-22'!A:AN,'School Year 2021-22'!$W$1,FALSE),0)</f>
        <v>879.178429576903</v>
      </c>
      <c r="D41" s="72">
        <f t="shared" si="2"/>
        <v>879.178429576903</v>
      </c>
      <c r="E41" s="72">
        <f t="shared" si="3"/>
        <v>879.178429576903</v>
      </c>
      <c r="F41" s="72">
        <f t="shared" si="4"/>
        <v>879.178429576903</v>
      </c>
      <c r="G41" s="115">
        <f t="shared" si="5"/>
        <v>879.178429576903</v>
      </c>
      <c r="H41" s="114">
        <v>871.77879329601546</v>
      </c>
      <c r="I41" s="72">
        <v>903.31684248700276</v>
      </c>
      <c r="J41" s="72">
        <v>920.05487288803943</v>
      </c>
      <c r="K41" s="115">
        <v>936.01147683264753</v>
      </c>
      <c r="L41" s="114">
        <v>871.77879329601546</v>
      </c>
      <c r="M41" s="72">
        <v>838.67287965718151</v>
      </c>
      <c r="N41" s="72">
        <v>762.61126446782146</v>
      </c>
      <c r="O41" s="115">
        <v>687.89245042823313</v>
      </c>
    </row>
    <row r="42" spans="1:15">
      <c r="A42" t="s">
        <v>179</v>
      </c>
      <c r="B42" t="s">
        <v>180</v>
      </c>
      <c r="C42" s="114">
        <f>IF(VLOOKUP(A42,'School Year 2021-22'!A:AN,'School Year 2021-22'!$R$1,FALSE)&gt;0,VLOOKUP(A42,'School Year 2021-22'!A:AN,'School Year 2021-22'!$U$1,FALSE)-VLOOKUP(A42,'School Year 2021-22'!A:AN,'School Year 2021-22'!$W$1,FALSE),0)+IF((VLOOKUP(A42,'School Year 2021-22'!A:AN,'School Year 2021-22'!$S$1,FALSE)+(VLOOKUP(A42,'School Year 2021-22'!A:AN,'School Year 2021-22'!$T$1,FALSE)))&gt;0,VLOOKUP(A42,'School Year 2021-22'!A:AN,'School Year 2021-22'!$V$1,FALSE)-VLOOKUP(A42,'School Year 2021-22'!A:AN,'School Year 2021-22'!$W$1,FALSE),0)</f>
        <v>1589.4908875333103</v>
      </c>
      <c r="D42" s="72">
        <f t="shared" si="2"/>
        <v>1589.4908875333103</v>
      </c>
      <c r="E42" s="72">
        <f t="shared" si="3"/>
        <v>1589.4908875333103</v>
      </c>
      <c r="F42" s="72">
        <f t="shared" si="4"/>
        <v>1589.4908875333103</v>
      </c>
      <c r="G42" s="115">
        <f t="shared" si="5"/>
        <v>1589.4908875333103</v>
      </c>
      <c r="H42" s="114">
        <v>912.10839418059186</v>
      </c>
      <c r="I42" s="72">
        <v>944.79540068727511</v>
      </c>
      <c r="J42" s="72">
        <v>962.37675881647738</v>
      </c>
      <c r="K42" s="115">
        <v>979.23656675794882</v>
      </c>
      <c r="L42" s="114">
        <v>912.10839418059186</v>
      </c>
      <c r="M42" s="72">
        <v>877.05303579440988</v>
      </c>
      <c r="N42" s="72">
        <v>797.29384300178936</v>
      </c>
      <c r="O42" s="115">
        <v>718.9286509368485</v>
      </c>
    </row>
    <row r="43" spans="1:15">
      <c r="A43" t="s">
        <v>13</v>
      </c>
      <c r="B43" t="s">
        <v>14</v>
      </c>
      <c r="C43" s="114">
        <f>IF(VLOOKUP(A43,'School Year 2021-22'!A:AN,'School Year 2021-22'!$R$1,FALSE)&gt;0,VLOOKUP(A43,'School Year 2021-22'!A:AN,'School Year 2021-22'!$U$1,FALSE)-VLOOKUP(A43,'School Year 2021-22'!A:AN,'School Year 2021-22'!$W$1,FALSE),0)+IF((VLOOKUP(A43,'School Year 2021-22'!A:AN,'School Year 2021-22'!$S$1,FALSE)+(VLOOKUP(A43,'School Year 2021-22'!A:AN,'School Year 2021-22'!$T$1,FALSE)))&gt;0,VLOOKUP(A43,'School Year 2021-22'!A:AN,'School Year 2021-22'!$V$1,FALSE)-VLOOKUP(A43,'School Year 2021-22'!A:AN,'School Year 2021-22'!$W$1,FALSE),0)</f>
        <v>840.13027224560483</v>
      </c>
      <c r="D43" s="72">
        <f t="shared" si="2"/>
        <v>840.13027224560483</v>
      </c>
      <c r="E43" s="72">
        <f t="shared" si="3"/>
        <v>840.13027224560483</v>
      </c>
      <c r="F43" s="72">
        <f t="shared" si="4"/>
        <v>840.13027224560483</v>
      </c>
      <c r="G43" s="115">
        <f t="shared" si="5"/>
        <v>840.13027224560483</v>
      </c>
      <c r="H43" s="114">
        <v>831.44919241143998</v>
      </c>
      <c r="I43" s="72">
        <v>861.83828428673223</v>
      </c>
      <c r="J43" s="72">
        <v>877.73298695960329</v>
      </c>
      <c r="K43" s="115">
        <v>892.78638690734897</v>
      </c>
      <c r="L43" s="114">
        <v>831.44919241143998</v>
      </c>
      <c r="M43" s="72">
        <v>800.29272351994859</v>
      </c>
      <c r="N43" s="72">
        <v>727.92868593385083</v>
      </c>
      <c r="O43" s="115">
        <v>656.85624991961959</v>
      </c>
    </row>
    <row r="44" spans="1:15">
      <c r="A44" t="s">
        <v>249</v>
      </c>
      <c r="B44" t="s">
        <v>250</v>
      </c>
      <c r="C44" s="114">
        <f>IF(VLOOKUP(A44,'School Year 2021-22'!A:AN,'School Year 2021-22'!$R$1,FALSE)&gt;0,VLOOKUP(A44,'School Year 2021-22'!A:AN,'School Year 2021-22'!$U$1,FALSE)-VLOOKUP(A44,'School Year 2021-22'!A:AN,'School Year 2021-22'!$W$1,FALSE),0)+IF((VLOOKUP(A44,'School Year 2021-22'!A:AN,'School Year 2021-22'!$S$1,FALSE)+(VLOOKUP(A44,'School Year 2021-22'!A:AN,'School Year 2021-22'!$T$1,FALSE)))&gt;0,VLOOKUP(A44,'School Year 2021-22'!A:AN,'School Year 2021-22'!$V$1,FALSE)-VLOOKUP(A44,'School Year 2021-22'!A:AN,'School Year 2021-22'!$W$1,FALSE),0)</f>
        <v>838.41788681665184</v>
      </c>
      <c r="D44" s="72">
        <f t="shared" si="2"/>
        <v>838.41788681665184</v>
      </c>
      <c r="E44" s="72">
        <f t="shared" si="3"/>
        <v>838.41788681665184</v>
      </c>
      <c r="F44" s="72">
        <f t="shared" si="4"/>
        <v>838.41788681665184</v>
      </c>
      <c r="G44" s="115">
        <f t="shared" si="5"/>
        <v>838.41788681665184</v>
      </c>
      <c r="H44" s="114">
        <v>831.44919241143998</v>
      </c>
      <c r="I44" s="72">
        <v>861.83828428673223</v>
      </c>
      <c r="J44" s="72">
        <v>877.73298695960329</v>
      </c>
      <c r="K44" s="115">
        <v>892.78638690734897</v>
      </c>
      <c r="L44" s="114">
        <v>831.44919241143998</v>
      </c>
      <c r="M44" s="72">
        <v>800.29272351994859</v>
      </c>
      <c r="N44" s="72">
        <v>727.92868593385083</v>
      </c>
      <c r="O44" s="115">
        <v>656.85624991961959</v>
      </c>
    </row>
    <row r="45" spans="1:15">
      <c r="A45" t="s">
        <v>377</v>
      </c>
      <c r="B45" t="s">
        <v>378</v>
      </c>
      <c r="C45" s="114">
        <f>IF(VLOOKUP(A45,'School Year 2021-22'!A:AN,'School Year 2021-22'!$R$1,FALSE)&gt;0,VLOOKUP(A45,'School Year 2021-22'!A:AN,'School Year 2021-22'!$U$1,FALSE)-VLOOKUP(A45,'School Year 2021-22'!A:AN,'School Year 2021-22'!$W$1,FALSE),0)+IF((VLOOKUP(A45,'School Year 2021-22'!A:AN,'School Year 2021-22'!$S$1,FALSE)+(VLOOKUP(A45,'School Year 2021-22'!A:AN,'School Year 2021-22'!$T$1,FALSE)))&gt;0,VLOOKUP(A45,'School Year 2021-22'!A:AN,'School Year 2021-22'!$V$1,FALSE)-VLOOKUP(A45,'School Year 2021-22'!A:AN,'School Year 2021-22'!$W$1,FALSE),0)</f>
        <v>540.1489414001353</v>
      </c>
      <c r="D45" s="72">
        <f t="shared" si="2"/>
        <v>540.1489414001353</v>
      </c>
      <c r="E45" s="72">
        <f t="shared" si="3"/>
        <v>540.1489414001353</v>
      </c>
      <c r="F45" s="72">
        <f t="shared" si="4"/>
        <v>540.1489414001353</v>
      </c>
      <c r="G45" s="115">
        <f t="shared" si="5"/>
        <v>540.1489414001353</v>
      </c>
      <c r="H45" s="114">
        <v>871.77879329601546</v>
      </c>
      <c r="I45" s="72">
        <v>903.31684248700276</v>
      </c>
      <c r="J45" s="72">
        <v>920.05487288803943</v>
      </c>
      <c r="K45" s="115">
        <v>936.01147683264753</v>
      </c>
      <c r="L45" s="114">
        <v>871.77879329601546</v>
      </c>
      <c r="M45" s="72">
        <v>838.67287965718151</v>
      </c>
      <c r="N45" s="72">
        <v>762.61126446782146</v>
      </c>
      <c r="O45" s="115">
        <v>687.89245042823313</v>
      </c>
    </row>
    <row r="46" spans="1:15">
      <c r="A46" t="s">
        <v>563</v>
      </c>
      <c r="B46" t="s">
        <v>564</v>
      </c>
      <c r="C46" s="114">
        <f>IF(VLOOKUP(A46,'School Year 2021-22'!A:AN,'School Year 2021-22'!$R$1,FALSE)&gt;0,VLOOKUP(A46,'School Year 2021-22'!A:AN,'School Year 2021-22'!$U$1,FALSE)-VLOOKUP(A46,'School Year 2021-22'!A:AN,'School Year 2021-22'!$W$1,FALSE),0)+IF((VLOOKUP(A46,'School Year 2021-22'!A:AN,'School Year 2021-22'!$S$1,FALSE)+(VLOOKUP(A46,'School Year 2021-22'!A:AN,'School Year 2021-22'!$T$1,FALSE)))&gt;0,VLOOKUP(A46,'School Year 2021-22'!A:AN,'School Year 2021-22'!$V$1,FALSE)-VLOOKUP(A46,'School Year 2021-22'!A:AN,'School Year 2021-22'!$W$1,FALSE),0)</f>
        <v>837.54280055135041</v>
      </c>
      <c r="D46" s="72">
        <f t="shared" si="2"/>
        <v>837.54280055135041</v>
      </c>
      <c r="E46" s="72">
        <f t="shared" si="3"/>
        <v>837.54280055135041</v>
      </c>
      <c r="F46" s="72">
        <f t="shared" si="4"/>
        <v>837.54280055135041</v>
      </c>
      <c r="G46" s="115">
        <f t="shared" si="5"/>
        <v>837.54280055135041</v>
      </c>
      <c r="H46" s="114">
        <v>831.44919241143998</v>
      </c>
      <c r="I46" s="72">
        <v>861.83828428673223</v>
      </c>
      <c r="J46" s="72">
        <v>877.73298695960329</v>
      </c>
      <c r="K46" s="115">
        <v>892.78638690734897</v>
      </c>
      <c r="L46" s="114">
        <v>831.44919241143998</v>
      </c>
      <c r="M46" s="72">
        <v>800.29272351994859</v>
      </c>
      <c r="N46" s="72">
        <v>727.92868593385083</v>
      </c>
      <c r="O46" s="115">
        <v>656.85624991961959</v>
      </c>
    </row>
    <row r="47" spans="1:15">
      <c r="A47" t="s">
        <v>529</v>
      </c>
      <c r="B47" t="s">
        <v>530</v>
      </c>
      <c r="C47" s="114">
        <f>IF(VLOOKUP(A47,'School Year 2021-22'!A:AN,'School Year 2021-22'!$R$1,FALSE)&gt;0,VLOOKUP(A47,'School Year 2021-22'!A:AN,'School Year 2021-22'!$U$1,FALSE)-VLOOKUP(A47,'School Year 2021-22'!A:AN,'School Year 2021-22'!$W$1,FALSE),0)+IF((VLOOKUP(A47,'School Year 2021-22'!A:AN,'School Year 2021-22'!$S$1,FALSE)+(VLOOKUP(A47,'School Year 2021-22'!A:AN,'School Year 2021-22'!$T$1,FALSE)))&gt;0,VLOOKUP(A47,'School Year 2021-22'!A:AN,'School Year 2021-22'!$V$1,FALSE)-VLOOKUP(A47,'School Year 2021-22'!A:AN,'School Year 2021-22'!$W$1,FALSE),0)</f>
        <v>839.62714606654026</v>
      </c>
      <c r="D47" s="72">
        <f t="shared" si="2"/>
        <v>839.62714606654026</v>
      </c>
      <c r="E47" s="72">
        <f t="shared" si="3"/>
        <v>839.62714606654026</v>
      </c>
      <c r="F47" s="72">
        <f t="shared" si="4"/>
        <v>839.62714606654026</v>
      </c>
      <c r="G47" s="115">
        <f t="shared" si="5"/>
        <v>839.62714606654026</v>
      </c>
      <c r="H47" s="114">
        <v>831.44919241143998</v>
      </c>
      <c r="I47" s="72">
        <v>861.83828428673223</v>
      </c>
      <c r="J47" s="72">
        <v>877.73298695960329</v>
      </c>
      <c r="K47" s="115">
        <v>892.78638690734897</v>
      </c>
      <c r="L47" s="114">
        <v>831.44919241143998</v>
      </c>
      <c r="M47" s="72">
        <v>800.29272351994859</v>
      </c>
      <c r="N47" s="72">
        <v>727.92868593385083</v>
      </c>
      <c r="O47" s="115">
        <v>656.85624991961959</v>
      </c>
    </row>
    <row r="48" spans="1:15">
      <c r="A48" t="s">
        <v>571</v>
      </c>
      <c r="B48" t="s">
        <v>572</v>
      </c>
      <c r="C48" s="114">
        <f>IF(VLOOKUP(A48,'School Year 2021-22'!A:AN,'School Year 2021-22'!$R$1,FALSE)&gt;0,VLOOKUP(A48,'School Year 2021-22'!A:AN,'School Year 2021-22'!$U$1,FALSE)-VLOOKUP(A48,'School Year 2021-22'!A:AN,'School Year 2021-22'!$W$1,FALSE),0)+IF((VLOOKUP(A48,'School Year 2021-22'!A:AN,'School Year 2021-22'!$S$1,FALSE)+(VLOOKUP(A48,'School Year 2021-22'!A:AN,'School Year 2021-22'!$T$1,FALSE)))&gt;0,VLOOKUP(A48,'School Year 2021-22'!A:AN,'School Year 2021-22'!$V$1,FALSE)-VLOOKUP(A48,'School Year 2021-22'!A:AN,'School Year 2021-22'!$W$1,FALSE),0)</f>
        <v>1036.0624068154202</v>
      </c>
      <c r="D48" s="72">
        <f t="shared" si="2"/>
        <v>1036.0624068154202</v>
      </c>
      <c r="E48" s="72">
        <f t="shared" si="3"/>
        <v>1036.0624068154202</v>
      </c>
      <c r="F48" s="72">
        <f t="shared" si="4"/>
        <v>1036.0624068154202</v>
      </c>
      <c r="G48" s="115">
        <f t="shared" si="5"/>
        <v>1036.0624068154202</v>
      </c>
      <c r="H48" s="114">
        <v>862.04304353640327</v>
      </c>
      <c r="I48" s="72">
        <v>893.28445406684841</v>
      </c>
      <c r="J48" s="72">
        <v>909.80500215221946</v>
      </c>
      <c r="K48" s="115">
        <v>925.52868253675024</v>
      </c>
      <c r="L48" s="114">
        <v>862.04304353640327</v>
      </c>
      <c r="M48" s="72">
        <v>829.83962665257786</v>
      </c>
      <c r="N48" s="72">
        <v>755.15663200327708</v>
      </c>
      <c r="O48" s="115">
        <v>681.80660469410941</v>
      </c>
    </row>
    <row r="49" spans="1:15">
      <c r="A49" t="s">
        <v>499</v>
      </c>
      <c r="B49" t="s">
        <v>500</v>
      </c>
      <c r="C49" s="114">
        <f>IF(VLOOKUP(A49,'School Year 2021-22'!A:AN,'School Year 2021-22'!$R$1,FALSE)&gt;0,VLOOKUP(A49,'School Year 2021-22'!A:AN,'School Year 2021-22'!$U$1,FALSE)-VLOOKUP(A49,'School Year 2021-22'!A:AN,'School Year 2021-22'!$W$1,FALSE),0)+IF((VLOOKUP(A49,'School Year 2021-22'!A:AN,'School Year 2021-22'!$S$1,FALSE)+(VLOOKUP(A49,'School Year 2021-22'!A:AN,'School Year 2021-22'!$T$1,FALSE)))&gt;0,VLOOKUP(A49,'School Year 2021-22'!A:AN,'School Year 2021-22'!$V$1,FALSE)-VLOOKUP(A49,'School Year 2021-22'!A:AN,'School Year 2021-22'!$W$1,FALSE),0)</f>
        <v>825.93325470382024</v>
      </c>
      <c r="D49" s="72">
        <f t="shared" si="2"/>
        <v>825.93325470382024</v>
      </c>
      <c r="E49" s="72">
        <f t="shared" si="3"/>
        <v>825.93325470382024</v>
      </c>
      <c r="F49" s="72">
        <f t="shared" si="4"/>
        <v>825.93325470382024</v>
      </c>
      <c r="G49" s="115">
        <f t="shared" si="5"/>
        <v>825.93325470382024</v>
      </c>
      <c r="H49" s="114">
        <v>831.44919241143998</v>
      </c>
      <c r="I49" s="72">
        <v>861.83828428673223</v>
      </c>
      <c r="J49" s="72">
        <v>877.73298695960329</v>
      </c>
      <c r="K49" s="115">
        <v>892.78638690734897</v>
      </c>
      <c r="L49" s="114">
        <v>831.44919241143998</v>
      </c>
      <c r="M49" s="72">
        <v>800.29272351994859</v>
      </c>
      <c r="N49" s="72">
        <v>727.92868593385083</v>
      </c>
      <c r="O49" s="115">
        <v>656.85624991961959</v>
      </c>
    </row>
    <row r="50" spans="1:15">
      <c r="A50" t="s">
        <v>533</v>
      </c>
      <c r="B50" t="s">
        <v>534</v>
      </c>
      <c r="C50" s="114">
        <f>IF(VLOOKUP(A50,'School Year 2021-22'!A:AN,'School Year 2021-22'!$R$1,FALSE)&gt;0,VLOOKUP(A50,'School Year 2021-22'!A:AN,'School Year 2021-22'!$U$1,FALSE)-VLOOKUP(A50,'School Year 2021-22'!A:AN,'School Year 2021-22'!$W$1,FALSE),0)+IF((VLOOKUP(A50,'School Year 2021-22'!A:AN,'School Year 2021-22'!$S$1,FALSE)+(VLOOKUP(A50,'School Year 2021-22'!A:AN,'School Year 2021-22'!$T$1,FALSE)))&gt;0,VLOOKUP(A50,'School Year 2021-22'!A:AN,'School Year 2021-22'!$V$1,FALSE)-VLOOKUP(A50,'School Year 2021-22'!A:AN,'School Year 2021-22'!$W$1,FALSE),0)</f>
        <v>1028.616897930141</v>
      </c>
      <c r="D50" s="72">
        <f t="shared" si="2"/>
        <v>1028.616897930141</v>
      </c>
      <c r="E50" s="72">
        <f t="shared" si="3"/>
        <v>1028.616897930141</v>
      </c>
      <c r="F50" s="72">
        <f t="shared" si="4"/>
        <v>1028.616897930141</v>
      </c>
      <c r="G50" s="115">
        <f t="shared" si="5"/>
        <v>1028.616897930141</v>
      </c>
      <c r="H50" s="114">
        <v>862.04304353640327</v>
      </c>
      <c r="I50" s="72">
        <v>893.28445406684841</v>
      </c>
      <c r="J50" s="72">
        <v>909.80500215221946</v>
      </c>
      <c r="K50" s="115">
        <v>925.52868253675024</v>
      </c>
      <c r="L50" s="114">
        <v>862.04304353640327</v>
      </c>
      <c r="M50" s="72">
        <v>829.83962665257786</v>
      </c>
      <c r="N50" s="72">
        <v>755.15663200327708</v>
      </c>
      <c r="O50" s="115">
        <v>681.80660469410941</v>
      </c>
    </row>
    <row r="51" spans="1:15">
      <c r="A51" t="s">
        <v>491</v>
      </c>
      <c r="B51" t="s">
        <v>492</v>
      </c>
      <c r="C51" s="114">
        <f>IF(VLOOKUP(A51,'School Year 2021-22'!A:AN,'School Year 2021-22'!$R$1,FALSE)&gt;0,VLOOKUP(A51,'School Year 2021-22'!A:AN,'School Year 2021-22'!$U$1,FALSE)-VLOOKUP(A51,'School Year 2021-22'!A:AN,'School Year 2021-22'!$W$1,FALSE),0)+IF((VLOOKUP(A51,'School Year 2021-22'!A:AN,'School Year 2021-22'!$S$1,FALSE)+(VLOOKUP(A51,'School Year 2021-22'!A:AN,'School Year 2021-22'!$T$1,FALSE)))&gt;0,VLOOKUP(A51,'School Year 2021-22'!A:AN,'School Year 2021-22'!$V$1,FALSE)-VLOOKUP(A51,'School Year 2021-22'!A:AN,'School Year 2021-22'!$W$1,FALSE),0)</f>
        <v>3290.1565945626953</v>
      </c>
      <c r="D51" s="72">
        <f t="shared" si="2"/>
        <v>3290.1565945626953</v>
      </c>
      <c r="E51" s="72">
        <f t="shared" si="3"/>
        <v>3290.1565945626953</v>
      </c>
      <c r="F51" s="72">
        <f t="shared" si="4"/>
        <v>3290.1565945626953</v>
      </c>
      <c r="G51" s="115">
        <f t="shared" si="5"/>
        <v>3290.1565945626953</v>
      </c>
      <c r="H51" s="114">
        <v>2842.8227796749325</v>
      </c>
      <c r="I51" s="72">
        <v>2947.257144415029</v>
      </c>
      <c r="J51" s="72">
        <v>3002.7448743146742</v>
      </c>
      <c r="K51" s="115">
        <v>3055.6638812596957</v>
      </c>
      <c r="L51" s="114">
        <v>2842.8227796749325</v>
      </c>
      <c r="M51" s="72">
        <v>2850.7834619264431</v>
      </c>
      <c r="N51" s="72">
        <v>2723.0999441149415</v>
      </c>
      <c r="O51" s="115">
        <v>2599.588268953823</v>
      </c>
    </row>
    <row r="52" spans="1:15">
      <c r="A52" t="s">
        <v>401</v>
      </c>
      <c r="B52" t="s">
        <v>402</v>
      </c>
      <c r="C52" s="114">
        <f>IF(VLOOKUP(A52,'School Year 2021-22'!A:AN,'School Year 2021-22'!$R$1,FALSE)&gt;0,VLOOKUP(A52,'School Year 2021-22'!A:AN,'School Year 2021-22'!$U$1,FALSE)-VLOOKUP(A52,'School Year 2021-22'!A:AN,'School Year 2021-22'!$W$1,FALSE),0)+IF((VLOOKUP(A52,'School Year 2021-22'!A:AN,'School Year 2021-22'!$S$1,FALSE)+(VLOOKUP(A52,'School Year 2021-22'!A:AN,'School Year 2021-22'!$T$1,FALSE)))&gt;0,VLOOKUP(A52,'School Year 2021-22'!A:AN,'School Year 2021-22'!$V$1,FALSE)-VLOOKUP(A52,'School Year 2021-22'!A:AN,'School Year 2021-22'!$W$1,FALSE),0)</f>
        <v>919.00352303222462</v>
      </c>
      <c r="D52" s="72">
        <f t="shared" si="2"/>
        <v>919.00352303222462</v>
      </c>
      <c r="E52" s="72">
        <f t="shared" si="3"/>
        <v>919.00352303222462</v>
      </c>
      <c r="F52" s="72">
        <f t="shared" si="4"/>
        <v>919.00352303222462</v>
      </c>
      <c r="G52" s="115">
        <f t="shared" si="5"/>
        <v>919.00352303222462</v>
      </c>
      <c r="H52" s="114">
        <v>912.10839418059186</v>
      </c>
      <c r="I52" s="72">
        <v>944.79540068727511</v>
      </c>
      <c r="J52" s="72">
        <v>962.37675881647738</v>
      </c>
      <c r="K52" s="115">
        <v>979.23656675794882</v>
      </c>
      <c r="L52" s="114">
        <v>912.10839418059186</v>
      </c>
      <c r="M52" s="72">
        <v>877.05303579440988</v>
      </c>
      <c r="N52" s="72">
        <v>797.29384300178936</v>
      </c>
      <c r="O52" s="115">
        <v>718.9286509368485</v>
      </c>
    </row>
    <row r="53" spans="1:15">
      <c r="A53" t="s">
        <v>411</v>
      </c>
      <c r="B53" t="s">
        <v>412</v>
      </c>
      <c r="C53" s="114">
        <f>IF(VLOOKUP(A53,'School Year 2021-22'!A:AN,'School Year 2021-22'!$R$1,FALSE)&gt;0,VLOOKUP(A53,'School Year 2021-22'!A:AN,'School Year 2021-22'!$U$1,FALSE)-VLOOKUP(A53,'School Year 2021-22'!A:AN,'School Year 2021-22'!$W$1,FALSE),0)+IF((VLOOKUP(A53,'School Year 2021-22'!A:AN,'School Year 2021-22'!$S$1,FALSE)+(VLOOKUP(A53,'School Year 2021-22'!A:AN,'School Year 2021-22'!$T$1,FALSE)))&gt;0,VLOOKUP(A53,'School Year 2021-22'!A:AN,'School Year 2021-22'!$V$1,FALSE)-VLOOKUP(A53,'School Year 2021-22'!A:AN,'School Year 2021-22'!$W$1,FALSE),0)</f>
        <v>0</v>
      </c>
      <c r="D53" s="72">
        <f t="shared" si="2"/>
        <v>0</v>
      </c>
      <c r="E53" s="72">
        <f t="shared" si="3"/>
        <v>0</v>
      </c>
      <c r="F53" s="72">
        <f t="shared" si="4"/>
        <v>0</v>
      </c>
      <c r="G53" s="115">
        <f t="shared" si="5"/>
        <v>0</v>
      </c>
      <c r="H53" s="114">
        <v>0</v>
      </c>
      <c r="I53" s="72">
        <v>0</v>
      </c>
      <c r="J53" s="72">
        <v>0</v>
      </c>
      <c r="K53" s="115">
        <v>0</v>
      </c>
      <c r="L53" s="114">
        <v>0</v>
      </c>
      <c r="M53" s="72">
        <v>0</v>
      </c>
      <c r="N53" s="72">
        <v>0</v>
      </c>
      <c r="O53" s="115">
        <v>0</v>
      </c>
    </row>
    <row r="54" spans="1:15">
      <c r="A54" t="s">
        <v>157</v>
      </c>
      <c r="B54" t="s">
        <v>158</v>
      </c>
      <c r="C54" s="114">
        <f>IF(VLOOKUP(A54,'School Year 2021-22'!A:AN,'School Year 2021-22'!$R$1,FALSE)&gt;0,VLOOKUP(A54,'School Year 2021-22'!A:AN,'School Year 2021-22'!$U$1,FALSE)-VLOOKUP(A54,'School Year 2021-22'!A:AN,'School Year 2021-22'!$W$1,FALSE),0)+IF((VLOOKUP(A54,'School Year 2021-22'!A:AN,'School Year 2021-22'!$S$1,FALSE)+(VLOOKUP(A54,'School Year 2021-22'!A:AN,'School Year 2021-22'!$T$1,FALSE)))&gt;0,VLOOKUP(A54,'School Year 2021-22'!A:AN,'School Year 2021-22'!$V$1,FALSE)-VLOOKUP(A54,'School Year 2021-22'!A:AN,'School Year 2021-22'!$W$1,FALSE),0)</f>
        <v>0</v>
      </c>
      <c r="D54" s="72">
        <f t="shared" si="2"/>
        <v>0</v>
      </c>
      <c r="E54" s="72">
        <f t="shared" si="3"/>
        <v>0</v>
      </c>
      <c r="F54" s="72">
        <f t="shared" si="4"/>
        <v>0</v>
      </c>
      <c r="G54" s="115">
        <f t="shared" si="5"/>
        <v>0</v>
      </c>
      <c r="H54" s="114">
        <v>0</v>
      </c>
      <c r="I54" s="72">
        <v>0</v>
      </c>
      <c r="J54" s="72">
        <v>0</v>
      </c>
      <c r="K54" s="115">
        <v>0</v>
      </c>
      <c r="L54" s="114">
        <v>0</v>
      </c>
      <c r="M54" s="72">
        <v>0</v>
      </c>
      <c r="N54" s="72">
        <v>0</v>
      </c>
      <c r="O54" s="115">
        <v>0</v>
      </c>
    </row>
    <row r="55" spans="1:15">
      <c r="A55" t="s">
        <v>127</v>
      </c>
      <c r="B55" t="s">
        <v>128</v>
      </c>
      <c r="C55" s="114">
        <f>IF(VLOOKUP(A55,'School Year 2021-22'!A:AN,'School Year 2021-22'!$R$1,FALSE)&gt;0,VLOOKUP(A55,'School Year 2021-22'!A:AN,'School Year 2021-22'!$U$1,FALSE)-VLOOKUP(A55,'School Year 2021-22'!A:AN,'School Year 2021-22'!$W$1,FALSE),0)+IF((VLOOKUP(A55,'School Year 2021-22'!A:AN,'School Year 2021-22'!$S$1,FALSE)+(VLOOKUP(A55,'School Year 2021-22'!A:AN,'School Year 2021-22'!$T$1,FALSE)))&gt;0,VLOOKUP(A55,'School Year 2021-22'!A:AN,'School Year 2021-22'!$V$1,FALSE)-VLOOKUP(A55,'School Year 2021-22'!A:AN,'School Year 2021-22'!$W$1,FALSE),0)</f>
        <v>841.53387548582123</v>
      </c>
      <c r="D55" s="72">
        <f t="shared" si="2"/>
        <v>841.53387548582123</v>
      </c>
      <c r="E55" s="72">
        <f t="shared" si="3"/>
        <v>841.53387548582123</v>
      </c>
      <c r="F55" s="72">
        <f t="shared" si="4"/>
        <v>841.53387548582123</v>
      </c>
      <c r="G55" s="115">
        <f t="shared" si="5"/>
        <v>841.53387548582123</v>
      </c>
      <c r="H55" s="114">
        <v>831.44919241143998</v>
      </c>
      <c r="I55" s="72">
        <v>861.83828428673223</v>
      </c>
      <c r="J55" s="72">
        <v>877.73298695960329</v>
      </c>
      <c r="K55" s="115">
        <v>892.78638690734897</v>
      </c>
      <c r="L55" s="114">
        <v>831.44919241143998</v>
      </c>
      <c r="M55" s="72">
        <v>800.29272351994859</v>
      </c>
      <c r="N55" s="72">
        <v>727.92868593385083</v>
      </c>
      <c r="O55" s="115">
        <v>656.85624991961959</v>
      </c>
    </row>
    <row r="56" spans="1:15">
      <c r="A56" t="s">
        <v>169</v>
      </c>
      <c r="B56" t="s">
        <v>170</v>
      </c>
      <c r="C56" s="114">
        <f>IF(VLOOKUP(A56,'School Year 2021-22'!A:AN,'School Year 2021-22'!$R$1,FALSE)&gt;0,VLOOKUP(A56,'School Year 2021-22'!A:AN,'School Year 2021-22'!$U$1,FALSE)-VLOOKUP(A56,'School Year 2021-22'!A:AN,'School Year 2021-22'!$W$1,FALSE),0)+IF((VLOOKUP(A56,'School Year 2021-22'!A:AN,'School Year 2021-22'!$S$1,FALSE)+(VLOOKUP(A56,'School Year 2021-22'!A:AN,'School Year 2021-22'!$T$1,FALSE)))&gt;0,VLOOKUP(A56,'School Year 2021-22'!A:AN,'School Year 2021-22'!$V$1,FALSE)-VLOOKUP(A56,'School Year 2021-22'!A:AN,'School Year 2021-22'!$W$1,FALSE),0)</f>
        <v>7413.7487854717565</v>
      </c>
      <c r="D56" s="72">
        <f t="shared" si="2"/>
        <v>7413.7487854717565</v>
      </c>
      <c r="E56" s="72">
        <f t="shared" si="3"/>
        <v>7413.7487854717565</v>
      </c>
      <c r="F56" s="72">
        <f t="shared" si="4"/>
        <v>7413.7487854717565</v>
      </c>
      <c r="G56" s="115">
        <f t="shared" si="5"/>
        <v>7413.7487854717565</v>
      </c>
      <c r="H56" s="114">
        <v>942.70224530555515</v>
      </c>
      <c r="I56" s="72">
        <v>976.2415704673931</v>
      </c>
      <c r="J56" s="72">
        <v>994.4487740090899</v>
      </c>
      <c r="K56" s="115">
        <v>1011.9788623873501</v>
      </c>
      <c r="L56" s="114">
        <v>942.70224530555515</v>
      </c>
      <c r="M56" s="72">
        <v>906.59993892704006</v>
      </c>
      <c r="N56" s="72">
        <v>824.52178907121561</v>
      </c>
      <c r="O56" s="115">
        <v>743.87900571133832</v>
      </c>
    </row>
    <row r="57" spans="1:15">
      <c r="A57" t="s">
        <v>45</v>
      </c>
      <c r="B57" t="s">
        <v>46</v>
      </c>
      <c r="C57" s="114">
        <f>IF(VLOOKUP(A57,'School Year 2021-22'!A:AN,'School Year 2021-22'!$R$1,FALSE)&gt;0,VLOOKUP(A57,'School Year 2021-22'!A:AN,'School Year 2021-22'!$U$1,FALSE)-VLOOKUP(A57,'School Year 2021-22'!A:AN,'School Year 2021-22'!$W$1,FALSE),0)+IF((VLOOKUP(A57,'School Year 2021-22'!A:AN,'School Year 2021-22'!$S$1,FALSE)+(VLOOKUP(A57,'School Year 2021-22'!A:AN,'School Year 2021-22'!$T$1,FALSE)))&gt;0,VLOOKUP(A57,'School Year 2021-22'!A:AN,'School Year 2021-22'!$V$1,FALSE)-VLOOKUP(A57,'School Year 2021-22'!A:AN,'School Year 2021-22'!$W$1,FALSE),0)</f>
        <v>6471.7234119461064</v>
      </c>
      <c r="D57" s="72">
        <f t="shared" si="2"/>
        <v>6471.7234119461064</v>
      </c>
      <c r="E57" s="72">
        <f t="shared" si="3"/>
        <v>6471.7234119461064</v>
      </c>
      <c r="F57" s="72">
        <f t="shared" si="4"/>
        <v>6471.7234119461064</v>
      </c>
      <c r="G57" s="115">
        <f t="shared" si="5"/>
        <v>6471.7234119461064</v>
      </c>
      <c r="H57" s="114">
        <v>831.44919241143998</v>
      </c>
      <c r="I57" s="72">
        <v>861.83828428673223</v>
      </c>
      <c r="J57" s="72">
        <v>877.73298695960329</v>
      </c>
      <c r="K57" s="115">
        <v>892.78638690734897</v>
      </c>
      <c r="L57" s="114">
        <v>831.44919241143998</v>
      </c>
      <c r="M57" s="72">
        <v>800.29272351994859</v>
      </c>
      <c r="N57" s="72">
        <v>727.92868593385083</v>
      </c>
      <c r="O57" s="115">
        <v>656.85624991961959</v>
      </c>
    </row>
    <row r="58" spans="1:15">
      <c r="A58" t="s">
        <v>303</v>
      </c>
      <c r="B58" t="s">
        <v>304</v>
      </c>
      <c r="C58" s="114">
        <f>IF(VLOOKUP(A58,'School Year 2021-22'!A:AN,'School Year 2021-22'!$R$1,FALSE)&gt;0,VLOOKUP(A58,'School Year 2021-22'!A:AN,'School Year 2021-22'!$U$1,FALSE)-VLOOKUP(A58,'School Year 2021-22'!A:AN,'School Year 2021-22'!$W$1,FALSE),0)+IF((VLOOKUP(A58,'School Year 2021-22'!A:AN,'School Year 2021-22'!$S$1,FALSE)+(VLOOKUP(A58,'School Year 2021-22'!A:AN,'School Year 2021-22'!$T$1,FALSE)))&gt;0,VLOOKUP(A58,'School Year 2021-22'!A:AN,'School Year 2021-22'!$V$1,FALSE)-VLOOKUP(A58,'School Year 2021-22'!A:AN,'School Year 2021-22'!$W$1,FALSE),0)</f>
        <v>1008.1733117561917</v>
      </c>
      <c r="D58" s="72">
        <f t="shared" si="2"/>
        <v>1008.1733117561917</v>
      </c>
      <c r="E58" s="72">
        <f t="shared" si="3"/>
        <v>1008.1733117561917</v>
      </c>
      <c r="F58" s="72">
        <f t="shared" si="4"/>
        <v>1008.1733117561917</v>
      </c>
      <c r="G58" s="115">
        <f t="shared" si="5"/>
        <v>1008.1733117561917</v>
      </c>
      <c r="H58" s="114">
        <v>862.04304353640327</v>
      </c>
      <c r="I58" s="72">
        <v>893.28445406684841</v>
      </c>
      <c r="J58" s="72">
        <v>909.80500215221946</v>
      </c>
      <c r="K58" s="115">
        <v>925.52868253675024</v>
      </c>
      <c r="L58" s="114">
        <v>862.04304353640327</v>
      </c>
      <c r="M58" s="72">
        <v>829.83962665257786</v>
      </c>
      <c r="N58" s="72">
        <v>755.15663200327708</v>
      </c>
      <c r="O58" s="115">
        <v>681.80660469410941</v>
      </c>
    </row>
    <row r="59" spans="1:15">
      <c r="A59" t="s">
        <v>103</v>
      </c>
      <c r="B59" t="s">
        <v>104</v>
      </c>
      <c r="C59" s="114">
        <f>IF(VLOOKUP(A59,'School Year 2021-22'!A:AN,'School Year 2021-22'!$R$1,FALSE)&gt;0,VLOOKUP(A59,'School Year 2021-22'!A:AN,'School Year 2021-22'!$U$1,FALSE)-VLOOKUP(A59,'School Year 2021-22'!A:AN,'School Year 2021-22'!$W$1,FALSE),0)+IF((VLOOKUP(A59,'School Year 2021-22'!A:AN,'School Year 2021-22'!$S$1,FALSE)+(VLOOKUP(A59,'School Year 2021-22'!A:AN,'School Year 2021-22'!$T$1,FALSE)))&gt;0,VLOOKUP(A59,'School Year 2021-22'!A:AN,'School Year 2021-22'!$V$1,FALSE)-VLOOKUP(A59,'School Year 2021-22'!A:AN,'School Year 2021-22'!$W$1,FALSE),0)</f>
        <v>1024.9490132950477</v>
      </c>
      <c r="D59" s="72">
        <f t="shared" si="2"/>
        <v>1024.9490132950477</v>
      </c>
      <c r="E59" s="72">
        <f t="shared" si="3"/>
        <v>1024.9490132950477</v>
      </c>
      <c r="F59" s="72">
        <f t="shared" si="4"/>
        <v>1024.9490132950477</v>
      </c>
      <c r="G59" s="115">
        <f t="shared" si="5"/>
        <v>1024.9490132950477</v>
      </c>
      <c r="H59" s="114">
        <v>862.04304353640327</v>
      </c>
      <c r="I59" s="72">
        <v>893.28445406684841</v>
      </c>
      <c r="J59" s="72">
        <v>909.80500215221946</v>
      </c>
      <c r="K59" s="115">
        <v>925.52868253675024</v>
      </c>
      <c r="L59" s="114">
        <v>862.04304353640327</v>
      </c>
      <c r="M59" s="72">
        <v>829.83962665257786</v>
      </c>
      <c r="N59" s="72">
        <v>755.15663200327708</v>
      </c>
      <c r="O59" s="115">
        <v>681.80660469410941</v>
      </c>
    </row>
    <row r="60" spans="1:15">
      <c r="A60" t="s">
        <v>357</v>
      </c>
      <c r="B60" t="s">
        <v>358</v>
      </c>
      <c r="C60" s="114">
        <f>IF(VLOOKUP(A60,'School Year 2021-22'!A:AN,'School Year 2021-22'!$R$1,FALSE)&gt;0,VLOOKUP(A60,'School Year 2021-22'!A:AN,'School Year 2021-22'!$U$1,FALSE)-VLOOKUP(A60,'School Year 2021-22'!A:AN,'School Year 2021-22'!$W$1,FALSE),0)+IF((VLOOKUP(A60,'School Year 2021-22'!A:AN,'School Year 2021-22'!$S$1,FALSE)+(VLOOKUP(A60,'School Year 2021-22'!A:AN,'School Year 2021-22'!$T$1,FALSE)))&gt;0,VLOOKUP(A60,'School Year 2021-22'!A:AN,'School Year 2021-22'!$V$1,FALSE)-VLOOKUP(A60,'School Year 2021-22'!A:AN,'School Year 2021-22'!$W$1,FALSE),0)</f>
        <v>826.43113244958204</v>
      </c>
      <c r="D60" s="72">
        <f t="shared" si="2"/>
        <v>826.43113244958204</v>
      </c>
      <c r="E60" s="72">
        <f t="shared" si="3"/>
        <v>826.43113244958204</v>
      </c>
      <c r="F60" s="72">
        <f t="shared" si="4"/>
        <v>826.43113244958204</v>
      </c>
      <c r="G60" s="115">
        <f t="shared" si="5"/>
        <v>826.43113244958204</v>
      </c>
      <c r="H60" s="114">
        <v>831.44919241143998</v>
      </c>
      <c r="I60" s="72">
        <v>861.83828428673223</v>
      </c>
      <c r="J60" s="72">
        <v>877.73298695960329</v>
      </c>
      <c r="K60" s="115">
        <v>892.78638690734897</v>
      </c>
      <c r="L60" s="114">
        <v>831.44919241143998</v>
      </c>
      <c r="M60" s="72">
        <v>800.29272351994859</v>
      </c>
      <c r="N60" s="72">
        <v>727.92868593385083</v>
      </c>
      <c r="O60" s="115">
        <v>656.85624991961959</v>
      </c>
    </row>
    <row r="61" spans="1:15">
      <c r="A61" t="s">
        <v>239</v>
      </c>
      <c r="B61" t="s">
        <v>240</v>
      </c>
      <c r="C61" s="114">
        <f>IF(VLOOKUP(A61,'School Year 2021-22'!A:AN,'School Year 2021-22'!$R$1,FALSE)&gt;0,VLOOKUP(A61,'School Year 2021-22'!A:AN,'School Year 2021-22'!$U$1,FALSE)-VLOOKUP(A61,'School Year 2021-22'!A:AN,'School Year 2021-22'!$W$1,FALSE),0)+IF((VLOOKUP(A61,'School Year 2021-22'!A:AN,'School Year 2021-22'!$S$1,FALSE)+(VLOOKUP(A61,'School Year 2021-22'!A:AN,'School Year 2021-22'!$T$1,FALSE)))&gt;0,VLOOKUP(A61,'School Year 2021-22'!A:AN,'School Year 2021-22'!$V$1,FALSE)-VLOOKUP(A61,'School Year 2021-22'!A:AN,'School Year 2021-22'!$W$1,FALSE),0)</f>
        <v>0</v>
      </c>
      <c r="D61" s="72">
        <f t="shared" si="2"/>
        <v>0</v>
      </c>
      <c r="E61" s="72">
        <f t="shared" si="3"/>
        <v>0</v>
      </c>
      <c r="F61" s="72">
        <f t="shared" si="4"/>
        <v>0</v>
      </c>
      <c r="G61" s="115">
        <f t="shared" si="5"/>
        <v>0</v>
      </c>
      <c r="H61" s="114">
        <v>0</v>
      </c>
      <c r="I61" s="72">
        <v>0</v>
      </c>
      <c r="J61" s="72">
        <v>0</v>
      </c>
      <c r="K61" s="115">
        <v>0</v>
      </c>
      <c r="L61" s="114">
        <v>0</v>
      </c>
      <c r="M61" s="72">
        <v>0</v>
      </c>
      <c r="N61" s="72">
        <v>0</v>
      </c>
      <c r="O61" s="115">
        <v>0</v>
      </c>
    </row>
    <row r="62" spans="1:15">
      <c r="A62" t="s">
        <v>445</v>
      </c>
      <c r="B62" t="s">
        <v>446</v>
      </c>
      <c r="C62" s="114">
        <f>IF(VLOOKUP(A62,'School Year 2021-22'!A:AN,'School Year 2021-22'!$R$1,FALSE)&gt;0,VLOOKUP(A62,'School Year 2021-22'!A:AN,'School Year 2021-22'!$U$1,FALSE)-VLOOKUP(A62,'School Year 2021-22'!A:AN,'School Year 2021-22'!$W$1,FALSE),0)+IF((VLOOKUP(A62,'School Year 2021-22'!A:AN,'School Year 2021-22'!$S$1,FALSE)+(VLOOKUP(A62,'School Year 2021-22'!A:AN,'School Year 2021-22'!$T$1,FALSE)))&gt;0,VLOOKUP(A62,'School Year 2021-22'!A:AN,'School Year 2021-22'!$V$1,FALSE)-VLOOKUP(A62,'School Year 2021-22'!A:AN,'School Year 2021-22'!$W$1,FALSE),0)</f>
        <v>697.71588453372351</v>
      </c>
      <c r="D62" s="72">
        <f t="shared" si="2"/>
        <v>697.71588453372351</v>
      </c>
      <c r="E62" s="72">
        <f t="shared" si="3"/>
        <v>697.71588453372351</v>
      </c>
      <c r="F62" s="72">
        <f t="shared" si="4"/>
        <v>697.71588453372351</v>
      </c>
      <c r="G62" s="115">
        <f t="shared" si="5"/>
        <v>697.71588453372351</v>
      </c>
      <c r="H62" s="114">
        <v>912.10839418059186</v>
      </c>
      <c r="I62" s="72">
        <v>944.79540068727511</v>
      </c>
      <c r="J62" s="72">
        <v>962.37675881647738</v>
      </c>
      <c r="K62" s="115">
        <v>979.23656675794882</v>
      </c>
      <c r="L62" s="114">
        <v>912.10839418059186</v>
      </c>
      <c r="M62" s="72">
        <v>877.05303579440988</v>
      </c>
      <c r="N62" s="72">
        <v>797.29384300178936</v>
      </c>
      <c r="O62" s="115">
        <v>718.9286509368485</v>
      </c>
    </row>
    <row r="63" spans="1:15">
      <c r="A63" t="s">
        <v>311</v>
      </c>
      <c r="B63" t="s">
        <v>312</v>
      </c>
      <c r="C63" s="114">
        <f>IF(VLOOKUP(A63,'School Year 2021-22'!A:AN,'School Year 2021-22'!$R$1,FALSE)&gt;0,VLOOKUP(A63,'School Year 2021-22'!A:AN,'School Year 2021-22'!$U$1,FALSE)-VLOOKUP(A63,'School Year 2021-22'!A:AN,'School Year 2021-22'!$W$1,FALSE),0)+IF((VLOOKUP(A63,'School Year 2021-22'!A:AN,'School Year 2021-22'!$S$1,FALSE)+(VLOOKUP(A63,'School Year 2021-22'!A:AN,'School Year 2021-22'!$T$1,FALSE)))&gt;0,VLOOKUP(A63,'School Year 2021-22'!A:AN,'School Year 2021-22'!$V$1,FALSE)-VLOOKUP(A63,'School Year 2021-22'!A:AN,'School Year 2021-22'!$W$1,FALSE),0)</f>
        <v>2854.0801031249339</v>
      </c>
      <c r="D63" s="72">
        <f t="shared" si="2"/>
        <v>2854.0801031249339</v>
      </c>
      <c r="E63" s="72">
        <f t="shared" si="3"/>
        <v>2854.0801031249339</v>
      </c>
      <c r="F63" s="72">
        <f t="shared" si="4"/>
        <v>2854.0801031249339</v>
      </c>
      <c r="G63" s="115">
        <f t="shared" si="5"/>
        <v>2854.0801031249339</v>
      </c>
      <c r="H63" s="114">
        <v>2743.8562285484904</v>
      </c>
      <c r="I63" s="72">
        <v>2845.5334694006287</v>
      </c>
      <c r="J63" s="72">
        <v>2898.9966826168311</v>
      </c>
      <c r="K63" s="115">
        <v>2949.7474321938844</v>
      </c>
      <c r="L63" s="114">
        <v>2743.8562285484904</v>
      </c>
      <c r="M63" s="72">
        <v>2751.7557090623432</v>
      </c>
      <c r="N63" s="72">
        <v>2627.9152272959072</v>
      </c>
      <c r="O63" s="115">
        <v>2508.1074202995442</v>
      </c>
    </row>
    <row r="64" spans="1:15">
      <c r="A64" t="s">
        <v>73</v>
      </c>
      <c r="B64" t="s">
        <v>74</v>
      </c>
      <c r="C64" s="114">
        <f>IF(VLOOKUP(A64,'School Year 2021-22'!A:AN,'School Year 2021-22'!$R$1,FALSE)&gt;0,VLOOKUP(A64,'School Year 2021-22'!A:AN,'School Year 2021-22'!$U$1,FALSE)-VLOOKUP(A64,'School Year 2021-22'!A:AN,'School Year 2021-22'!$W$1,FALSE),0)+IF((VLOOKUP(A64,'School Year 2021-22'!A:AN,'School Year 2021-22'!$S$1,FALSE)+(VLOOKUP(A64,'School Year 2021-22'!A:AN,'School Year 2021-22'!$T$1,FALSE)))&gt;0,VLOOKUP(A64,'School Year 2021-22'!A:AN,'School Year 2021-22'!$V$1,FALSE)-VLOOKUP(A64,'School Year 2021-22'!A:AN,'School Year 2021-22'!$W$1,FALSE),0)</f>
        <v>6466.8737705901112</v>
      </c>
      <c r="D64" s="72">
        <f t="shared" si="2"/>
        <v>6466.8737705901112</v>
      </c>
      <c r="E64" s="72">
        <f t="shared" si="3"/>
        <v>6466.8737705901112</v>
      </c>
      <c r="F64" s="72">
        <f t="shared" si="4"/>
        <v>6466.8737705901112</v>
      </c>
      <c r="G64" s="115">
        <f t="shared" si="5"/>
        <v>6466.8737705901112</v>
      </c>
      <c r="H64" s="114">
        <v>831.44919241143998</v>
      </c>
      <c r="I64" s="72">
        <v>861.83828428673223</v>
      </c>
      <c r="J64" s="72">
        <v>877.73298695960329</v>
      </c>
      <c r="K64" s="115">
        <v>892.78638690734897</v>
      </c>
      <c r="L64" s="114">
        <v>831.44919241143998</v>
      </c>
      <c r="M64" s="72">
        <v>800.29272351994859</v>
      </c>
      <c r="N64" s="72">
        <v>727.92868593385083</v>
      </c>
      <c r="O64" s="115">
        <v>656.85624991961959</v>
      </c>
    </row>
    <row r="65" spans="1:15">
      <c r="A65" t="s">
        <v>475</v>
      </c>
      <c r="B65" t="s">
        <v>476</v>
      </c>
      <c r="C65" s="114">
        <f>IF(VLOOKUP(A65,'School Year 2021-22'!A:AN,'School Year 2021-22'!$R$1,FALSE)&gt;0,VLOOKUP(A65,'School Year 2021-22'!A:AN,'School Year 2021-22'!$U$1,FALSE)-VLOOKUP(A65,'School Year 2021-22'!A:AN,'School Year 2021-22'!$W$1,FALSE),0)+IF((VLOOKUP(A65,'School Year 2021-22'!A:AN,'School Year 2021-22'!$S$1,FALSE)+(VLOOKUP(A65,'School Year 2021-22'!A:AN,'School Year 2021-22'!$T$1,FALSE)))&gt;0,VLOOKUP(A65,'School Year 2021-22'!A:AN,'School Year 2021-22'!$V$1,FALSE)-VLOOKUP(A65,'School Year 2021-22'!A:AN,'School Year 2021-22'!$W$1,FALSE),0)</f>
        <v>839.43312022422015</v>
      </c>
      <c r="D65" s="72">
        <f t="shared" si="2"/>
        <v>839.43312022422015</v>
      </c>
      <c r="E65" s="72">
        <f t="shared" si="3"/>
        <v>839.43312022422015</v>
      </c>
      <c r="F65" s="72">
        <f t="shared" si="4"/>
        <v>839.43312022422015</v>
      </c>
      <c r="G65" s="115">
        <f t="shared" si="5"/>
        <v>839.43312022422015</v>
      </c>
      <c r="H65" s="114">
        <v>831.44919241143998</v>
      </c>
      <c r="I65" s="72">
        <v>861.83828428673223</v>
      </c>
      <c r="J65" s="72">
        <v>877.73298695960329</v>
      </c>
      <c r="K65" s="115">
        <v>892.78638690734897</v>
      </c>
      <c r="L65" s="114">
        <v>831.44919241143998</v>
      </c>
      <c r="M65" s="72">
        <v>800.29272351994859</v>
      </c>
      <c r="N65" s="72">
        <v>727.92868593385083</v>
      </c>
      <c r="O65" s="115">
        <v>656.85624991961959</v>
      </c>
    </row>
    <row r="66" spans="1:15">
      <c r="A66" t="s">
        <v>373</v>
      </c>
      <c r="B66" t="s">
        <v>374</v>
      </c>
      <c r="C66" s="114">
        <f>IF(VLOOKUP(A66,'School Year 2021-22'!A:AN,'School Year 2021-22'!$R$1,FALSE)&gt;0,VLOOKUP(A66,'School Year 2021-22'!A:AN,'School Year 2021-22'!$U$1,FALSE)-VLOOKUP(A66,'School Year 2021-22'!A:AN,'School Year 2021-22'!$W$1,FALSE),0)+IF((VLOOKUP(A66,'School Year 2021-22'!A:AN,'School Year 2021-22'!$S$1,FALSE)+(VLOOKUP(A66,'School Year 2021-22'!A:AN,'School Year 2021-22'!$T$1,FALSE)))&gt;0,VLOOKUP(A66,'School Year 2021-22'!A:AN,'School Year 2021-22'!$V$1,FALSE)-VLOOKUP(A66,'School Year 2021-22'!A:AN,'School Year 2021-22'!$W$1,FALSE),0)</f>
        <v>1432.546913532793</v>
      </c>
      <c r="D66" s="72">
        <f t="shared" si="2"/>
        <v>1432.546913532793</v>
      </c>
      <c r="E66" s="72">
        <f t="shared" si="3"/>
        <v>1432.546913532793</v>
      </c>
      <c r="F66" s="72">
        <f t="shared" si="4"/>
        <v>1432.546913532793</v>
      </c>
      <c r="G66" s="115">
        <f t="shared" si="5"/>
        <v>1432.546913532793</v>
      </c>
      <c r="H66" s="114">
        <v>942.70224530555515</v>
      </c>
      <c r="I66" s="72">
        <v>976.2415704673931</v>
      </c>
      <c r="J66" s="72">
        <v>994.4487740090899</v>
      </c>
      <c r="K66" s="115">
        <v>1011.9788623873501</v>
      </c>
      <c r="L66" s="114">
        <v>942.70224530555515</v>
      </c>
      <c r="M66" s="72">
        <v>906.59993892704006</v>
      </c>
      <c r="N66" s="72">
        <v>824.52178907121561</v>
      </c>
      <c r="O66" s="115">
        <v>743.87900571133832</v>
      </c>
    </row>
    <row r="67" spans="1:15">
      <c r="A67" t="s">
        <v>525</v>
      </c>
      <c r="B67" t="s">
        <v>526</v>
      </c>
      <c r="C67" s="114">
        <f>IF(VLOOKUP(A67,'School Year 2021-22'!A:AN,'School Year 2021-22'!$R$1,FALSE)&gt;0,VLOOKUP(A67,'School Year 2021-22'!A:AN,'School Year 2021-22'!$U$1,FALSE)-VLOOKUP(A67,'School Year 2021-22'!A:AN,'School Year 2021-22'!$W$1,FALSE),0)+IF((VLOOKUP(A67,'School Year 2021-22'!A:AN,'School Year 2021-22'!$S$1,FALSE)+(VLOOKUP(A67,'School Year 2021-22'!A:AN,'School Year 2021-22'!$T$1,FALSE)))&gt;0,VLOOKUP(A67,'School Year 2021-22'!A:AN,'School Year 2021-22'!$V$1,FALSE)-VLOOKUP(A67,'School Year 2021-22'!A:AN,'School Year 2021-22'!$W$1,FALSE),0)</f>
        <v>0</v>
      </c>
      <c r="D67" s="72">
        <f t="shared" si="2"/>
        <v>0</v>
      </c>
      <c r="E67" s="72">
        <f t="shared" si="3"/>
        <v>0</v>
      </c>
      <c r="F67" s="72">
        <f t="shared" si="4"/>
        <v>0</v>
      </c>
      <c r="G67" s="115">
        <f t="shared" si="5"/>
        <v>0</v>
      </c>
      <c r="H67" s="114">
        <v>0</v>
      </c>
      <c r="I67" s="72">
        <v>0</v>
      </c>
      <c r="J67" s="72">
        <v>0</v>
      </c>
      <c r="K67" s="115">
        <v>0</v>
      </c>
      <c r="L67" s="114">
        <v>0</v>
      </c>
      <c r="M67" s="72">
        <v>0</v>
      </c>
      <c r="N67" s="72">
        <v>0</v>
      </c>
      <c r="O67" s="115">
        <v>0</v>
      </c>
    </row>
    <row r="68" spans="1:15">
      <c r="A68" t="s">
        <v>469</v>
      </c>
      <c r="B68" t="s">
        <v>470</v>
      </c>
      <c r="C68" s="114">
        <f>IF(VLOOKUP(A68,'School Year 2021-22'!A:AN,'School Year 2021-22'!$R$1,FALSE)&gt;0,VLOOKUP(A68,'School Year 2021-22'!A:AN,'School Year 2021-22'!$U$1,FALSE)-VLOOKUP(A68,'School Year 2021-22'!A:AN,'School Year 2021-22'!$W$1,FALSE),0)+IF((VLOOKUP(A68,'School Year 2021-22'!A:AN,'School Year 2021-22'!$S$1,FALSE)+(VLOOKUP(A68,'School Year 2021-22'!A:AN,'School Year 2021-22'!$T$1,FALSE)))&gt;0,VLOOKUP(A68,'School Year 2021-22'!A:AN,'School Year 2021-22'!$V$1,FALSE)-VLOOKUP(A68,'School Year 2021-22'!A:AN,'School Year 2021-22'!$W$1,FALSE),0)</f>
        <v>1026.7694610987301</v>
      </c>
      <c r="D68" s="72">
        <f t="shared" si="2"/>
        <v>1026.7694610987301</v>
      </c>
      <c r="E68" s="72">
        <f t="shared" si="3"/>
        <v>1026.7694610987301</v>
      </c>
      <c r="F68" s="72">
        <f t="shared" si="4"/>
        <v>1026.7694610987301</v>
      </c>
      <c r="G68" s="115">
        <f t="shared" si="5"/>
        <v>1026.7694610987301</v>
      </c>
      <c r="H68" s="114">
        <v>862.04304353640327</v>
      </c>
      <c r="I68" s="72">
        <v>893.28445406684841</v>
      </c>
      <c r="J68" s="72">
        <v>909.80500215221946</v>
      </c>
      <c r="K68" s="115">
        <v>925.52868253675024</v>
      </c>
      <c r="L68" s="114">
        <v>862.04304353640327</v>
      </c>
      <c r="M68" s="72">
        <v>829.83962665257786</v>
      </c>
      <c r="N68" s="72">
        <v>755.15663200327708</v>
      </c>
      <c r="O68" s="115">
        <v>681.80660469410941</v>
      </c>
    </row>
    <row r="69" spans="1:15">
      <c r="A69" t="s">
        <v>587</v>
      </c>
      <c r="B69" t="s">
        <v>588</v>
      </c>
      <c r="C69" s="114">
        <f>IF(VLOOKUP(A69,'School Year 2021-22'!A:AN,'School Year 2021-22'!$R$1,FALSE)&gt;0,VLOOKUP(A69,'School Year 2021-22'!A:AN,'School Year 2021-22'!$U$1,FALSE)-VLOOKUP(A69,'School Year 2021-22'!A:AN,'School Year 2021-22'!$W$1,FALSE),0)+IF((VLOOKUP(A69,'School Year 2021-22'!A:AN,'School Year 2021-22'!$S$1,FALSE)+(VLOOKUP(A69,'School Year 2021-22'!A:AN,'School Year 2021-22'!$T$1,FALSE)))&gt;0,VLOOKUP(A69,'School Year 2021-22'!A:AN,'School Year 2021-22'!$V$1,FALSE)-VLOOKUP(A69,'School Year 2021-22'!A:AN,'School Year 2021-22'!$W$1,FALSE),0)</f>
        <v>837.7890478939471</v>
      </c>
      <c r="D69" s="72">
        <f t="shared" si="2"/>
        <v>837.7890478939471</v>
      </c>
      <c r="E69" s="72">
        <f t="shared" si="3"/>
        <v>837.7890478939471</v>
      </c>
      <c r="F69" s="72">
        <f t="shared" si="4"/>
        <v>837.7890478939471</v>
      </c>
      <c r="G69" s="115">
        <f t="shared" si="5"/>
        <v>837.7890478939471</v>
      </c>
      <c r="H69" s="114">
        <v>831.44919241143998</v>
      </c>
      <c r="I69" s="72">
        <v>861.83828428673223</v>
      </c>
      <c r="J69" s="72">
        <v>877.73298695960329</v>
      </c>
      <c r="K69" s="115">
        <v>892.78638690734897</v>
      </c>
      <c r="L69" s="114">
        <v>831.44919241143998</v>
      </c>
      <c r="M69" s="72">
        <v>800.29272351994859</v>
      </c>
      <c r="N69" s="72">
        <v>727.92868593385083</v>
      </c>
      <c r="O69" s="115">
        <v>656.85624991961959</v>
      </c>
    </row>
    <row r="70" spans="1:15">
      <c r="A70" t="s">
        <v>95</v>
      </c>
      <c r="B70" t="s">
        <v>96</v>
      </c>
      <c r="C70" s="114">
        <f>IF(VLOOKUP(A70,'School Year 2021-22'!A:AN,'School Year 2021-22'!$R$1,FALSE)&gt;0,VLOOKUP(A70,'School Year 2021-22'!A:AN,'School Year 2021-22'!$U$1,FALSE)-VLOOKUP(A70,'School Year 2021-22'!A:AN,'School Year 2021-22'!$W$1,FALSE),0)+IF((VLOOKUP(A70,'School Year 2021-22'!A:AN,'School Year 2021-22'!$S$1,FALSE)+(VLOOKUP(A70,'School Year 2021-22'!A:AN,'School Year 2021-22'!$T$1,FALSE)))&gt;0,VLOOKUP(A70,'School Year 2021-22'!A:AN,'School Year 2021-22'!$V$1,FALSE)-VLOOKUP(A70,'School Year 2021-22'!A:AN,'School Year 2021-22'!$W$1,FALSE),0)</f>
        <v>835.49405440234386</v>
      </c>
      <c r="D70" s="72">
        <f t="shared" ref="D70:D133" si="6">C70</f>
        <v>835.49405440234386</v>
      </c>
      <c r="E70" s="72">
        <f t="shared" ref="E70:E133" si="7">D70</f>
        <v>835.49405440234386</v>
      </c>
      <c r="F70" s="72">
        <f t="shared" ref="F70:F133" si="8">E70</f>
        <v>835.49405440234386</v>
      </c>
      <c r="G70" s="115">
        <f t="shared" ref="G70:G133" si="9">F70</f>
        <v>835.49405440234386</v>
      </c>
      <c r="H70" s="114">
        <v>831.44919241143998</v>
      </c>
      <c r="I70" s="72">
        <v>861.83828428673223</v>
      </c>
      <c r="J70" s="72">
        <v>877.73298695960329</v>
      </c>
      <c r="K70" s="115">
        <v>892.78638690734897</v>
      </c>
      <c r="L70" s="114">
        <v>831.44919241143998</v>
      </c>
      <c r="M70" s="72">
        <v>800.29272351994859</v>
      </c>
      <c r="N70" s="72">
        <v>727.92868593385083</v>
      </c>
      <c r="O70" s="115">
        <v>656.85624991961959</v>
      </c>
    </row>
    <row r="71" spans="1:15">
      <c r="A71" t="s">
        <v>241</v>
      </c>
      <c r="B71" t="s">
        <v>242</v>
      </c>
      <c r="C71" s="114">
        <f>IF(VLOOKUP(A71,'School Year 2021-22'!A:AN,'School Year 2021-22'!$R$1,FALSE)&gt;0,VLOOKUP(A71,'School Year 2021-22'!A:AN,'School Year 2021-22'!$U$1,FALSE)-VLOOKUP(A71,'School Year 2021-22'!A:AN,'School Year 2021-22'!$W$1,FALSE),0)+IF((VLOOKUP(A71,'School Year 2021-22'!A:AN,'School Year 2021-22'!$S$1,FALSE)+(VLOOKUP(A71,'School Year 2021-22'!A:AN,'School Year 2021-22'!$T$1,FALSE)))&gt;0,VLOOKUP(A71,'School Year 2021-22'!A:AN,'School Year 2021-22'!$V$1,FALSE)-VLOOKUP(A71,'School Year 2021-22'!A:AN,'School Year 2021-22'!$W$1,FALSE),0)</f>
        <v>0</v>
      </c>
      <c r="D71" s="72">
        <f t="shared" si="6"/>
        <v>0</v>
      </c>
      <c r="E71" s="72">
        <f t="shared" si="7"/>
        <v>0</v>
      </c>
      <c r="F71" s="72">
        <f t="shared" si="8"/>
        <v>0</v>
      </c>
      <c r="G71" s="115">
        <f t="shared" si="9"/>
        <v>0</v>
      </c>
      <c r="H71" s="114">
        <v>0</v>
      </c>
      <c r="I71" s="72">
        <v>0</v>
      </c>
      <c r="J71" s="72">
        <v>0</v>
      </c>
      <c r="K71" s="115">
        <v>0</v>
      </c>
      <c r="L71" s="114">
        <v>0</v>
      </c>
      <c r="M71" s="72">
        <v>0</v>
      </c>
      <c r="N71" s="72">
        <v>0</v>
      </c>
      <c r="O71" s="115">
        <v>0</v>
      </c>
    </row>
    <row r="72" spans="1:15">
      <c r="A72" t="s">
        <v>385</v>
      </c>
      <c r="B72" t="s">
        <v>386</v>
      </c>
      <c r="C72" s="114">
        <f>IF(VLOOKUP(A72,'School Year 2021-22'!A:AN,'School Year 2021-22'!$R$1,FALSE)&gt;0,VLOOKUP(A72,'School Year 2021-22'!A:AN,'School Year 2021-22'!$U$1,FALSE)-VLOOKUP(A72,'School Year 2021-22'!A:AN,'School Year 2021-22'!$W$1,FALSE),0)+IF((VLOOKUP(A72,'School Year 2021-22'!A:AN,'School Year 2021-22'!$S$1,FALSE)+(VLOOKUP(A72,'School Year 2021-22'!A:AN,'School Year 2021-22'!$T$1,FALSE)))&gt;0,VLOOKUP(A72,'School Year 2021-22'!A:AN,'School Year 2021-22'!$V$1,FALSE)-VLOOKUP(A72,'School Year 2021-22'!A:AN,'School Year 2021-22'!$W$1,FALSE),0)</f>
        <v>501.30086795473835</v>
      </c>
      <c r="D72" s="72">
        <f t="shared" si="6"/>
        <v>501.30086795473835</v>
      </c>
      <c r="E72" s="72">
        <f t="shared" si="7"/>
        <v>501.30086795473835</v>
      </c>
      <c r="F72" s="72">
        <f t="shared" si="8"/>
        <v>501.30086795473835</v>
      </c>
      <c r="G72" s="115">
        <f t="shared" si="9"/>
        <v>501.30086795473835</v>
      </c>
      <c r="H72" s="114">
        <v>831.44919241143998</v>
      </c>
      <c r="I72" s="72">
        <v>861.83828428673223</v>
      </c>
      <c r="J72" s="72">
        <v>877.73298695960329</v>
      </c>
      <c r="K72" s="115">
        <v>892.78638690734897</v>
      </c>
      <c r="L72" s="114">
        <v>831.44919241143998</v>
      </c>
      <c r="M72" s="72">
        <v>800.29272351994859</v>
      </c>
      <c r="N72" s="72">
        <v>727.92868593385083</v>
      </c>
      <c r="O72" s="115">
        <v>656.85624991961959</v>
      </c>
    </row>
    <row r="73" spans="1:15">
      <c r="A73" t="s">
        <v>429</v>
      </c>
      <c r="B73" t="s">
        <v>430</v>
      </c>
      <c r="C73" s="114">
        <f>IF(VLOOKUP(A73,'School Year 2021-22'!A:AN,'School Year 2021-22'!$R$1,FALSE)&gt;0,VLOOKUP(A73,'School Year 2021-22'!A:AN,'School Year 2021-22'!$U$1,FALSE)-VLOOKUP(A73,'School Year 2021-22'!A:AN,'School Year 2021-22'!$W$1,FALSE),0)+IF((VLOOKUP(A73,'School Year 2021-22'!A:AN,'School Year 2021-22'!$S$1,FALSE)+(VLOOKUP(A73,'School Year 2021-22'!A:AN,'School Year 2021-22'!$T$1,FALSE)))&gt;0,VLOOKUP(A73,'School Year 2021-22'!A:AN,'School Year 2021-22'!$V$1,FALSE)-VLOOKUP(A73,'School Year 2021-22'!A:AN,'School Year 2021-22'!$W$1,FALSE),0)</f>
        <v>850.95415974283242</v>
      </c>
      <c r="D73" s="72">
        <f t="shared" si="6"/>
        <v>850.95415974283242</v>
      </c>
      <c r="E73" s="72">
        <f t="shared" si="7"/>
        <v>850.95415974283242</v>
      </c>
      <c r="F73" s="72">
        <f t="shared" si="8"/>
        <v>850.95415974283242</v>
      </c>
      <c r="G73" s="115">
        <f t="shared" si="9"/>
        <v>850.95415974283242</v>
      </c>
      <c r="H73" s="114">
        <v>952.43799506516825</v>
      </c>
      <c r="I73" s="72">
        <v>986.27395888754472</v>
      </c>
      <c r="J73" s="72">
        <v>1004.6986447449126</v>
      </c>
      <c r="K73" s="115">
        <v>1022.4616566832483</v>
      </c>
      <c r="L73" s="114">
        <v>952.43799506516825</v>
      </c>
      <c r="M73" s="72">
        <v>915.43319193164098</v>
      </c>
      <c r="N73" s="72">
        <v>831.97642153575725</v>
      </c>
      <c r="O73" s="115">
        <v>749.96485144546386</v>
      </c>
    </row>
    <row r="74" spans="1:15">
      <c r="A74" t="s">
        <v>245</v>
      </c>
      <c r="B74" t="s">
        <v>246</v>
      </c>
      <c r="C74" s="114">
        <f>IF(VLOOKUP(A74,'School Year 2021-22'!A:AN,'School Year 2021-22'!$R$1,FALSE)&gt;0,VLOOKUP(A74,'School Year 2021-22'!A:AN,'School Year 2021-22'!$U$1,FALSE)-VLOOKUP(A74,'School Year 2021-22'!A:AN,'School Year 2021-22'!$W$1,FALSE),0)+IF((VLOOKUP(A74,'School Year 2021-22'!A:AN,'School Year 2021-22'!$S$1,FALSE)+(VLOOKUP(A74,'School Year 2021-22'!A:AN,'School Year 2021-22'!$T$1,FALSE)))&gt;0,VLOOKUP(A74,'School Year 2021-22'!A:AN,'School Year 2021-22'!$V$1,FALSE)-VLOOKUP(A74,'School Year 2021-22'!A:AN,'School Year 2021-22'!$W$1,FALSE),0)</f>
        <v>838.58736033397781</v>
      </c>
      <c r="D74" s="72">
        <f t="shared" si="6"/>
        <v>838.58736033397781</v>
      </c>
      <c r="E74" s="72">
        <f t="shared" si="7"/>
        <v>838.58736033397781</v>
      </c>
      <c r="F74" s="72">
        <f t="shared" si="8"/>
        <v>838.58736033397781</v>
      </c>
      <c r="G74" s="115">
        <f t="shared" si="9"/>
        <v>838.58736033397781</v>
      </c>
      <c r="H74" s="114">
        <v>831.44919241143998</v>
      </c>
      <c r="I74" s="72">
        <v>861.83828428673223</v>
      </c>
      <c r="J74" s="72">
        <v>877.73298695960329</v>
      </c>
      <c r="K74" s="115">
        <v>892.78638690734897</v>
      </c>
      <c r="L74" s="114">
        <v>831.44919241143998</v>
      </c>
      <c r="M74" s="72">
        <v>800.29272351994859</v>
      </c>
      <c r="N74" s="72">
        <v>727.92868593385083</v>
      </c>
      <c r="O74" s="115">
        <v>656.85624991961959</v>
      </c>
    </row>
    <row r="75" spans="1:15">
      <c r="A75" t="s">
        <v>151</v>
      </c>
      <c r="B75" t="s">
        <v>152</v>
      </c>
      <c r="C75" s="114">
        <f>IF(VLOOKUP(A75,'School Year 2021-22'!A:AN,'School Year 2021-22'!$R$1,FALSE)&gt;0,VLOOKUP(A75,'School Year 2021-22'!A:AN,'School Year 2021-22'!$U$1,FALSE)-VLOOKUP(A75,'School Year 2021-22'!A:AN,'School Year 2021-22'!$W$1,FALSE),0)+IF((VLOOKUP(A75,'School Year 2021-22'!A:AN,'School Year 2021-22'!$S$1,FALSE)+(VLOOKUP(A75,'School Year 2021-22'!A:AN,'School Year 2021-22'!$T$1,FALSE)))&gt;0,VLOOKUP(A75,'School Year 2021-22'!A:AN,'School Year 2021-22'!$V$1,FALSE)-VLOOKUP(A75,'School Year 2021-22'!A:AN,'School Year 2021-22'!$W$1,FALSE),0)</f>
        <v>1025.0229462803973</v>
      </c>
      <c r="D75" s="72">
        <f t="shared" si="6"/>
        <v>1025.0229462803973</v>
      </c>
      <c r="E75" s="72">
        <f t="shared" si="7"/>
        <v>1025.0229462803973</v>
      </c>
      <c r="F75" s="72">
        <f t="shared" si="8"/>
        <v>1025.0229462803973</v>
      </c>
      <c r="G75" s="115">
        <f t="shared" si="9"/>
        <v>1025.0229462803973</v>
      </c>
      <c r="H75" s="114">
        <v>862.04304353640327</v>
      </c>
      <c r="I75" s="72">
        <v>893.28445406684841</v>
      </c>
      <c r="J75" s="72">
        <v>909.80500215221946</v>
      </c>
      <c r="K75" s="115">
        <v>925.52868253675024</v>
      </c>
      <c r="L75" s="114">
        <v>862.04304353640327</v>
      </c>
      <c r="M75" s="72">
        <v>829.83962665257786</v>
      </c>
      <c r="N75" s="72">
        <v>755.15663200327708</v>
      </c>
      <c r="O75" s="115">
        <v>681.80660469410941</v>
      </c>
    </row>
    <row r="76" spans="1:15">
      <c r="A76" t="s">
        <v>573</v>
      </c>
      <c r="B76" t="s">
        <v>574</v>
      </c>
      <c r="C76" s="114">
        <f>IF(VLOOKUP(A76,'School Year 2021-22'!A:AN,'School Year 2021-22'!$R$1,FALSE)&gt;0,VLOOKUP(A76,'School Year 2021-22'!A:AN,'School Year 2021-22'!$U$1,FALSE)-VLOOKUP(A76,'School Year 2021-22'!A:AN,'School Year 2021-22'!$W$1,FALSE),0)+IF((VLOOKUP(A76,'School Year 2021-22'!A:AN,'School Year 2021-22'!$S$1,FALSE)+(VLOOKUP(A76,'School Year 2021-22'!A:AN,'School Year 2021-22'!$T$1,FALSE)))&gt;0,VLOOKUP(A76,'School Year 2021-22'!A:AN,'School Year 2021-22'!$V$1,FALSE)-VLOOKUP(A76,'School Year 2021-22'!A:AN,'School Year 2021-22'!$W$1,FALSE),0)</f>
        <v>0</v>
      </c>
      <c r="D76" s="72">
        <f t="shared" si="6"/>
        <v>0</v>
      </c>
      <c r="E76" s="72">
        <f t="shared" si="7"/>
        <v>0</v>
      </c>
      <c r="F76" s="72">
        <f t="shared" si="8"/>
        <v>0</v>
      </c>
      <c r="G76" s="115">
        <f t="shared" si="9"/>
        <v>0</v>
      </c>
      <c r="H76" s="114">
        <v>0</v>
      </c>
      <c r="I76" s="72">
        <v>0</v>
      </c>
      <c r="J76" s="72">
        <v>0</v>
      </c>
      <c r="K76" s="115">
        <v>0</v>
      </c>
      <c r="L76" s="114">
        <v>0</v>
      </c>
      <c r="M76" s="72">
        <v>0</v>
      </c>
      <c r="N76" s="72">
        <v>0</v>
      </c>
      <c r="O76" s="115">
        <v>0</v>
      </c>
    </row>
    <row r="77" spans="1:15">
      <c r="A77" t="s">
        <v>33</v>
      </c>
      <c r="B77" t="s">
        <v>34</v>
      </c>
      <c r="C77" s="114">
        <f>IF(VLOOKUP(A77,'School Year 2021-22'!A:AN,'School Year 2021-22'!$R$1,FALSE)&gt;0,VLOOKUP(A77,'School Year 2021-22'!A:AN,'School Year 2021-22'!$U$1,FALSE)-VLOOKUP(A77,'School Year 2021-22'!A:AN,'School Year 2021-22'!$W$1,FALSE),0)+IF((VLOOKUP(A77,'School Year 2021-22'!A:AN,'School Year 2021-22'!$S$1,FALSE)+(VLOOKUP(A77,'School Year 2021-22'!A:AN,'School Year 2021-22'!$T$1,FALSE)))&gt;0,VLOOKUP(A77,'School Year 2021-22'!A:AN,'School Year 2021-22'!$V$1,FALSE)-VLOOKUP(A77,'School Year 2021-22'!A:AN,'School Year 2021-22'!$W$1,FALSE),0)</f>
        <v>0</v>
      </c>
      <c r="D77" s="72">
        <f t="shared" si="6"/>
        <v>0</v>
      </c>
      <c r="E77" s="72">
        <f t="shared" si="7"/>
        <v>0</v>
      </c>
      <c r="F77" s="72">
        <f t="shared" si="8"/>
        <v>0</v>
      </c>
      <c r="G77" s="115">
        <f t="shared" si="9"/>
        <v>0</v>
      </c>
      <c r="H77" s="114">
        <v>0</v>
      </c>
      <c r="I77" s="72">
        <v>0</v>
      </c>
      <c r="J77" s="72">
        <v>0</v>
      </c>
      <c r="K77" s="115">
        <v>0</v>
      </c>
      <c r="L77" s="114">
        <v>0</v>
      </c>
      <c r="M77" s="72">
        <v>0</v>
      </c>
      <c r="N77" s="72">
        <v>0</v>
      </c>
      <c r="O77" s="115">
        <v>0</v>
      </c>
    </row>
    <row r="78" spans="1:15">
      <c r="A78" t="s">
        <v>187</v>
      </c>
      <c r="B78" t="s">
        <v>188</v>
      </c>
      <c r="C78" s="114">
        <f>IF(VLOOKUP(A78,'School Year 2021-22'!A:AN,'School Year 2021-22'!$R$1,FALSE)&gt;0,VLOOKUP(A78,'School Year 2021-22'!A:AN,'School Year 2021-22'!$U$1,FALSE)-VLOOKUP(A78,'School Year 2021-22'!A:AN,'School Year 2021-22'!$W$1,FALSE),0)+IF((VLOOKUP(A78,'School Year 2021-22'!A:AN,'School Year 2021-22'!$S$1,FALSE)+(VLOOKUP(A78,'School Year 2021-22'!A:AN,'School Year 2021-22'!$T$1,FALSE)))&gt;0,VLOOKUP(A78,'School Year 2021-22'!A:AN,'School Year 2021-22'!$V$1,FALSE)-VLOOKUP(A78,'School Year 2021-22'!A:AN,'School Year 2021-22'!$W$1,FALSE),0)</f>
        <v>775.08751052569642</v>
      </c>
      <c r="D78" s="72">
        <f t="shared" si="6"/>
        <v>775.08751052569642</v>
      </c>
      <c r="E78" s="72">
        <f t="shared" si="7"/>
        <v>775.08751052569642</v>
      </c>
      <c r="F78" s="72">
        <f t="shared" si="8"/>
        <v>775.08751052569642</v>
      </c>
      <c r="G78" s="115">
        <f t="shared" si="9"/>
        <v>775.08751052569642</v>
      </c>
      <c r="H78" s="114">
        <v>942.70224530555515</v>
      </c>
      <c r="I78" s="72">
        <v>976.2415704673931</v>
      </c>
      <c r="J78" s="72">
        <v>994.4487740090899</v>
      </c>
      <c r="K78" s="115">
        <v>1011.9788623873501</v>
      </c>
      <c r="L78" s="114">
        <v>942.70224530555515</v>
      </c>
      <c r="M78" s="72">
        <v>906.59993892704006</v>
      </c>
      <c r="N78" s="72">
        <v>824.52178907121561</v>
      </c>
      <c r="O78" s="115">
        <v>743.87900571133832</v>
      </c>
    </row>
    <row r="79" spans="1:15">
      <c r="A79" t="s">
        <v>135</v>
      </c>
      <c r="B79" t="s">
        <v>136</v>
      </c>
      <c r="C79" s="114">
        <f>IF(VLOOKUP(A79,'School Year 2021-22'!A:AN,'School Year 2021-22'!$R$1,FALSE)&gt;0,VLOOKUP(A79,'School Year 2021-22'!A:AN,'School Year 2021-22'!$U$1,FALSE)-VLOOKUP(A79,'School Year 2021-22'!A:AN,'School Year 2021-22'!$W$1,FALSE),0)+IF((VLOOKUP(A79,'School Year 2021-22'!A:AN,'School Year 2021-22'!$S$1,FALSE)+(VLOOKUP(A79,'School Year 2021-22'!A:AN,'School Year 2021-22'!$T$1,FALSE)))&gt;0,VLOOKUP(A79,'School Year 2021-22'!A:AN,'School Year 2021-22'!$V$1,FALSE)-VLOOKUP(A79,'School Year 2021-22'!A:AN,'School Year 2021-22'!$W$1,FALSE),0)</f>
        <v>1026.1805402710261</v>
      </c>
      <c r="D79" s="72">
        <f t="shared" si="6"/>
        <v>1026.1805402710261</v>
      </c>
      <c r="E79" s="72">
        <f t="shared" si="7"/>
        <v>1026.1805402710261</v>
      </c>
      <c r="F79" s="72">
        <f t="shared" si="8"/>
        <v>1026.1805402710261</v>
      </c>
      <c r="G79" s="115">
        <f t="shared" si="9"/>
        <v>1026.1805402710261</v>
      </c>
      <c r="H79" s="114">
        <v>862.04304353640327</v>
      </c>
      <c r="I79" s="72">
        <v>893.28445406684841</v>
      </c>
      <c r="J79" s="72">
        <v>909.80500215221946</v>
      </c>
      <c r="K79" s="115">
        <v>925.52868253675024</v>
      </c>
      <c r="L79" s="114">
        <v>862.04304353640327</v>
      </c>
      <c r="M79" s="72">
        <v>829.83962665257786</v>
      </c>
      <c r="N79" s="72">
        <v>755.15663200327708</v>
      </c>
      <c r="O79" s="115">
        <v>681.80660469410941</v>
      </c>
    </row>
    <row r="80" spans="1:15">
      <c r="A80" t="s">
        <v>273</v>
      </c>
      <c r="B80" t="s">
        <v>274</v>
      </c>
      <c r="C80" s="114">
        <f>IF(VLOOKUP(A80,'School Year 2021-22'!A:AN,'School Year 2021-22'!$R$1,FALSE)&gt;0,VLOOKUP(A80,'School Year 2021-22'!A:AN,'School Year 2021-22'!$U$1,FALSE)-VLOOKUP(A80,'School Year 2021-22'!A:AN,'School Year 2021-22'!$W$1,FALSE),0)+IF((VLOOKUP(A80,'School Year 2021-22'!A:AN,'School Year 2021-22'!$S$1,FALSE)+(VLOOKUP(A80,'School Year 2021-22'!A:AN,'School Year 2021-22'!$T$1,FALSE)))&gt;0,VLOOKUP(A80,'School Year 2021-22'!A:AN,'School Year 2021-22'!$V$1,FALSE)-VLOOKUP(A80,'School Year 2021-22'!A:AN,'School Year 2021-22'!$W$1,FALSE),0)</f>
        <v>0</v>
      </c>
      <c r="D80" s="72">
        <f t="shared" si="6"/>
        <v>0</v>
      </c>
      <c r="E80" s="72">
        <f t="shared" si="7"/>
        <v>0</v>
      </c>
      <c r="F80" s="72">
        <f t="shared" si="8"/>
        <v>0</v>
      </c>
      <c r="G80" s="115">
        <f t="shared" si="9"/>
        <v>0</v>
      </c>
      <c r="H80" s="114">
        <v>0</v>
      </c>
      <c r="I80" s="72">
        <v>0</v>
      </c>
      <c r="J80" s="72">
        <v>0</v>
      </c>
      <c r="K80" s="115">
        <v>0</v>
      </c>
      <c r="L80" s="114">
        <v>0</v>
      </c>
      <c r="M80" s="72">
        <v>0</v>
      </c>
      <c r="N80" s="72">
        <v>0</v>
      </c>
      <c r="O80" s="115">
        <v>0</v>
      </c>
    </row>
    <row r="81" spans="1:15">
      <c r="A81" t="s">
        <v>423</v>
      </c>
      <c r="B81" t="s">
        <v>424</v>
      </c>
      <c r="C81" s="114">
        <f>IF(VLOOKUP(A81,'School Year 2021-22'!A:AN,'School Year 2021-22'!$R$1,FALSE)&gt;0,VLOOKUP(A81,'School Year 2021-22'!A:AN,'School Year 2021-22'!$U$1,FALSE)-VLOOKUP(A81,'School Year 2021-22'!A:AN,'School Year 2021-22'!$W$1,FALSE),0)+IF((VLOOKUP(A81,'School Year 2021-22'!A:AN,'School Year 2021-22'!$S$1,FALSE)+(VLOOKUP(A81,'School Year 2021-22'!A:AN,'School Year 2021-22'!$T$1,FALSE)))&gt;0,VLOOKUP(A81,'School Year 2021-22'!A:AN,'School Year 2021-22'!$V$1,FALSE)-VLOOKUP(A81,'School Year 2021-22'!A:AN,'School Year 2021-22'!$W$1,FALSE),0)</f>
        <v>2094.5746792675736</v>
      </c>
      <c r="D81" s="72">
        <f t="shared" si="6"/>
        <v>2094.5746792675736</v>
      </c>
      <c r="E81" s="72">
        <f t="shared" si="7"/>
        <v>2094.5746792675736</v>
      </c>
      <c r="F81" s="72">
        <f t="shared" si="8"/>
        <v>2094.5746792675736</v>
      </c>
      <c r="G81" s="115">
        <f t="shared" si="9"/>
        <v>2094.5746792675736</v>
      </c>
      <c r="H81" s="114">
        <v>965.88119536002887</v>
      </c>
      <c r="I81" s="72">
        <v>986.27395888754472</v>
      </c>
      <c r="J81" s="72">
        <v>1004.6986447449126</v>
      </c>
      <c r="K81" s="115">
        <v>1022.4616566832483</v>
      </c>
      <c r="L81" s="114">
        <v>965.88119536002887</v>
      </c>
      <c r="M81" s="72">
        <v>915.43319193164098</v>
      </c>
      <c r="N81" s="72">
        <v>831.97642153575725</v>
      </c>
      <c r="O81" s="115">
        <v>749.96485144546386</v>
      </c>
    </row>
    <row r="82" spans="1:15">
      <c r="A82" t="s">
        <v>65</v>
      </c>
      <c r="B82" t="s">
        <v>66</v>
      </c>
      <c r="C82" s="114">
        <f>IF(VLOOKUP(A82,'School Year 2021-22'!A:AN,'School Year 2021-22'!$R$1,FALSE)&gt;0,VLOOKUP(A82,'School Year 2021-22'!A:AN,'School Year 2021-22'!$U$1,FALSE)-VLOOKUP(A82,'School Year 2021-22'!A:AN,'School Year 2021-22'!$W$1,FALSE),0)+IF((VLOOKUP(A82,'School Year 2021-22'!A:AN,'School Year 2021-22'!$S$1,FALSE)+(VLOOKUP(A82,'School Year 2021-22'!A:AN,'School Year 2021-22'!$T$1,FALSE)))&gt;0,VLOOKUP(A82,'School Year 2021-22'!A:AN,'School Year 2021-22'!$V$1,FALSE)-VLOOKUP(A82,'School Year 2021-22'!A:AN,'School Year 2021-22'!$W$1,FALSE),0)</f>
        <v>3691.718963062438</v>
      </c>
      <c r="D82" s="72">
        <f t="shared" si="6"/>
        <v>3691.718963062438</v>
      </c>
      <c r="E82" s="72">
        <f t="shared" si="7"/>
        <v>3691.718963062438</v>
      </c>
      <c r="F82" s="72">
        <f t="shared" si="8"/>
        <v>3691.718963062438</v>
      </c>
      <c r="G82" s="115">
        <f t="shared" si="9"/>
        <v>3691.718963062438</v>
      </c>
      <c r="H82" s="114">
        <v>2882.0441991705993</v>
      </c>
      <c r="I82" s="72">
        <v>2987.5938805880105</v>
      </c>
      <c r="J82" s="72">
        <v>3043.9002730522279</v>
      </c>
      <c r="K82" s="115">
        <v>3097.6960676039016</v>
      </c>
      <c r="L82" s="114">
        <v>2882.0441991705993</v>
      </c>
      <c r="M82" s="72">
        <v>2889.3003941846237</v>
      </c>
      <c r="N82" s="72">
        <v>2759.2876375282867</v>
      </c>
      <c r="O82" s="115">
        <v>2633.498162903079</v>
      </c>
    </row>
    <row r="83" spans="1:15">
      <c r="A83" t="s">
        <v>497</v>
      </c>
      <c r="B83" t="s">
        <v>498</v>
      </c>
      <c r="C83" s="114">
        <f>IF(VLOOKUP(A83,'School Year 2021-22'!A:AN,'School Year 2021-22'!$R$1,FALSE)&gt;0,VLOOKUP(A83,'School Year 2021-22'!A:AN,'School Year 2021-22'!$U$1,FALSE)-VLOOKUP(A83,'School Year 2021-22'!A:AN,'School Year 2021-22'!$W$1,FALSE),0)+IF((VLOOKUP(A83,'School Year 2021-22'!A:AN,'School Year 2021-22'!$S$1,FALSE)+(VLOOKUP(A83,'School Year 2021-22'!A:AN,'School Year 2021-22'!$T$1,FALSE)))&gt;0,VLOOKUP(A83,'School Year 2021-22'!A:AN,'School Year 2021-22'!$V$1,FALSE)-VLOOKUP(A83,'School Year 2021-22'!A:AN,'School Year 2021-22'!$W$1,FALSE),0)</f>
        <v>0</v>
      </c>
      <c r="D83" s="72">
        <f t="shared" si="6"/>
        <v>0</v>
      </c>
      <c r="E83" s="72">
        <f t="shared" si="7"/>
        <v>0</v>
      </c>
      <c r="F83" s="72">
        <f t="shared" si="8"/>
        <v>0</v>
      </c>
      <c r="G83" s="115">
        <f t="shared" si="9"/>
        <v>0</v>
      </c>
      <c r="H83" s="114">
        <v>0</v>
      </c>
      <c r="I83" s="72">
        <v>0</v>
      </c>
      <c r="J83" s="72">
        <v>0</v>
      </c>
      <c r="K83" s="115">
        <v>0</v>
      </c>
      <c r="L83" s="114">
        <v>0</v>
      </c>
      <c r="M83" s="72">
        <v>0</v>
      </c>
      <c r="N83" s="72">
        <v>0</v>
      </c>
      <c r="O83" s="115">
        <v>0</v>
      </c>
    </row>
    <row r="84" spans="1:15">
      <c r="A84" t="s">
        <v>185</v>
      </c>
      <c r="B84" t="s">
        <v>186</v>
      </c>
      <c r="C84" s="114">
        <f>IF(VLOOKUP(A84,'School Year 2021-22'!A:AN,'School Year 2021-22'!$R$1,FALSE)&gt;0,VLOOKUP(A84,'School Year 2021-22'!A:AN,'School Year 2021-22'!$U$1,FALSE)-VLOOKUP(A84,'School Year 2021-22'!A:AN,'School Year 2021-22'!$W$1,FALSE),0)+IF((VLOOKUP(A84,'School Year 2021-22'!A:AN,'School Year 2021-22'!$S$1,FALSE)+(VLOOKUP(A84,'School Year 2021-22'!A:AN,'School Year 2021-22'!$T$1,FALSE)))&gt;0,VLOOKUP(A84,'School Year 2021-22'!A:AN,'School Year 2021-22'!$V$1,FALSE)-VLOOKUP(A84,'School Year 2021-22'!A:AN,'School Year 2021-22'!$W$1,FALSE),0)</f>
        <v>1258.1054062803159</v>
      </c>
      <c r="D84" s="72">
        <f t="shared" si="6"/>
        <v>1258.1054062803159</v>
      </c>
      <c r="E84" s="72">
        <f t="shared" si="7"/>
        <v>1258.1054062803159</v>
      </c>
      <c r="F84" s="72">
        <f t="shared" si="8"/>
        <v>1258.1054062803159</v>
      </c>
      <c r="G84" s="115">
        <f t="shared" si="9"/>
        <v>1258.1054062803159</v>
      </c>
      <c r="H84" s="114">
        <v>912.10839418059186</v>
      </c>
      <c r="I84" s="72">
        <v>944.79540068727511</v>
      </c>
      <c r="J84" s="72">
        <v>962.37675881647738</v>
      </c>
      <c r="K84" s="115">
        <v>979.23656675794882</v>
      </c>
      <c r="L84" s="114">
        <v>912.10839418059186</v>
      </c>
      <c r="M84" s="72">
        <v>877.05303579440988</v>
      </c>
      <c r="N84" s="72">
        <v>797.29384300178936</v>
      </c>
      <c r="O84" s="115">
        <v>718.9286509368485</v>
      </c>
    </row>
    <row r="85" spans="1:15">
      <c r="A85" t="s">
        <v>541</v>
      </c>
      <c r="B85" t="s">
        <v>542</v>
      </c>
      <c r="C85" s="114">
        <f>IF(VLOOKUP(A85,'School Year 2021-22'!A:AN,'School Year 2021-22'!$R$1,FALSE)&gt;0,VLOOKUP(A85,'School Year 2021-22'!A:AN,'School Year 2021-22'!$U$1,FALSE)-VLOOKUP(A85,'School Year 2021-22'!A:AN,'School Year 2021-22'!$W$1,FALSE),0)+IF((VLOOKUP(A85,'School Year 2021-22'!A:AN,'School Year 2021-22'!$S$1,FALSE)+(VLOOKUP(A85,'School Year 2021-22'!A:AN,'School Year 2021-22'!$T$1,FALSE)))&gt;0,VLOOKUP(A85,'School Year 2021-22'!A:AN,'School Year 2021-22'!$V$1,FALSE)-VLOOKUP(A85,'School Year 2021-22'!A:AN,'School Year 2021-22'!$W$1,FALSE),0)</f>
        <v>7098.6313426263841</v>
      </c>
      <c r="D85" s="72">
        <f t="shared" si="6"/>
        <v>7098.6313426263841</v>
      </c>
      <c r="E85" s="72">
        <f t="shared" si="7"/>
        <v>7098.6313426263841</v>
      </c>
      <c r="F85" s="72">
        <f t="shared" si="8"/>
        <v>7098.6313426263841</v>
      </c>
      <c r="G85" s="115">
        <f t="shared" si="9"/>
        <v>7098.6313426263841</v>
      </c>
      <c r="H85" s="114">
        <v>898.66519388573306</v>
      </c>
      <c r="I85" s="72">
        <v>924.05612158713666</v>
      </c>
      <c r="J85" s="72">
        <v>941.21581585225886</v>
      </c>
      <c r="K85" s="115">
        <v>957.6240217953</v>
      </c>
      <c r="L85" s="114">
        <v>898.66519388573306</v>
      </c>
      <c r="M85" s="72">
        <v>857.86295772579615</v>
      </c>
      <c r="N85" s="72">
        <v>779.95255373480722</v>
      </c>
      <c r="O85" s="115">
        <v>703.41055068253991</v>
      </c>
    </row>
    <row r="86" spans="1:15">
      <c r="A86" t="s">
        <v>389</v>
      </c>
      <c r="B86" t="s">
        <v>390</v>
      </c>
      <c r="C86" s="114">
        <f>IF(VLOOKUP(A86,'School Year 2021-22'!A:AN,'School Year 2021-22'!$R$1,FALSE)&gt;0,VLOOKUP(A86,'School Year 2021-22'!A:AN,'School Year 2021-22'!$U$1,FALSE)-VLOOKUP(A86,'School Year 2021-22'!A:AN,'School Year 2021-22'!$W$1,FALSE),0)+IF((VLOOKUP(A86,'School Year 2021-22'!A:AN,'School Year 2021-22'!$S$1,FALSE)+(VLOOKUP(A86,'School Year 2021-22'!A:AN,'School Year 2021-22'!$T$1,FALSE)))&gt;0,VLOOKUP(A86,'School Year 2021-22'!A:AN,'School Year 2021-22'!$V$1,FALSE)-VLOOKUP(A86,'School Year 2021-22'!A:AN,'School Year 2021-22'!$W$1,FALSE),0)</f>
        <v>1592.7496069880572</v>
      </c>
      <c r="D86" s="72">
        <f t="shared" si="6"/>
        <v>1592.7496069880572</v>
      </c>
      <c r="E86" s="72">
        <f t="shared" si="7"/>
        <v>1592.7496069880572</v>
      </c>
      <c r="F86" s="72">
        <f t="shared" si="8"/>
        <v>1592.7496069880572</v>
      </c>
      <c r="G86" s="115">
        <f t="shared" si="9"/>
        <v>1592.7496069880572</v>
      </c>
      <c r="H86" s="114">
        <v>912.10839418059186</v>
      </c>
      <c r="I86" s="72">
        <v>944.79540068727511</v>
      </c>
      <c r="J86" s="72">
        <v>962.37675881647738</v>
      </c>
      <c r="K86" s="115">
        <v>979.23656675794882</v>
      </c>
      <c r="L86" s="114">
        <v>912.10839418059186</v>
      </c>
      <c r="M86" s="72">
        <v>877.05303579440988</v>
      </c>
      <c r="N86" s="72">
        <v>797.29384300178936</v>
      </c>
      <c r="O86" s="115">
        <v>718.9286509368485</v>
      </c>
    </row>
    <row r="87" spans="1:15">
      <c r="A87" t="s">
        <v>23</v>
      </c>
      <c r="B87" t="s">
        <v>24</v>
      </c>
      <c r="C87" s="114">
        <f>IF(VLOOKUP(A87,'School Year 2021-22'!A:AN,'School Year 2021-22'!$R$1,FALSE)&gt;0,VLOOKUP(A87,'School Year 2021-22'!A:AN,'School Year 2021-22'!$U$1,FALSE)-VLOOKUP(A87,'School Year 2021-22'!A:AN,'School Year 2021-22'!$W$1,FALSE),0)+IF((VLOOKUP(A87,'School Year 2021-22'!A:AN,'School Year 2021-22'!$S$1,FALSE)+(VLOOKUP(A87,'School Year 2021-22'!A:AN,'School Year 2021-22'!$T$1,FALSE)))&gt;0,VLOOKUP(A87,'School Year 2021-22'!A:AN,'School Year 2021-22'!$V$1,FALSE)-VLOOKUP(A87,'School Year 2021-22'!A:AN,'School Year 2021-22'!$W$1,FALSE),0)</f>
        <v>836.79949814867086</v>
      </c>
      <c r="D87" s="72">
        <f t="shared" si="6"/>
        <v>836.79949814867086</v>
      </c>
      <c r="E87" s="72">
        <f t="shared" si="7"/>
        <v>836.79949814867086</v>
      </c>
      <c r="F87" s="72">
        <f t="shared" si="8"/>
        <v>836.79949814867086</v>
      </c>
      <c r="G87" s="115">
        <f t="shared" si="9"/>
        <v>836.79949814867086</v>
      </c>
      <c r="H87" s="114">
        <v>831.44919241143998</v>
      </c>
      <c r="I87" s="72">
        <v>861.83828428673223</v>
      </c>
      <c r="J87" s="72">
        <v>877.73298695960329</v>
      </c>
      <c r="K87" s="115">
        <v>892.78638690734897</v>
      </c>
      <c r="L87" s="114">
        <v>831.44919241143998</v>
      </c>
      <c r="M87" s="72">
        <v>800.29272351994859</v>
      </c>
      <c r="N87" s="72">
        <v>727.92868593385083</v>
      </c>
      <c r="O87" s="115">
        <v>656.85624991961959</v>
      </c>
    </row>
    <row r="88" spans="1:15">
      <c r="A88" t="s">
        <v>381</v>
      </c>
      <c r="B88" t="s">
        <v>382</v>
      </c>
      <c r="C88" s="114">
        <f>IF(VLOOKUP(A88,'School Year 2021-22'!A:AN,'School Year 2021-22'!$R$1,FALSE)&gt;0,VLOOKUP(A88,'School Year 2021-22'!A:AN,'School Year 2021-22'!$U$1,FALSE)-VLOOKUP(A88,'School Year 2021-22'!A:AN,'School Year 2021-22'!$W$1,FALSE),0)+IF((VLOOKUP(A88,'School Year 2021-22'!A:AN,'School Year 2021-22'!$S$1,FALSE)+(VLOOKUP(A88,'School Year 2021-22'!A:AN,'School Year 2021-22'!$T$1,FALSE)))&gt;0,VLOOKUP(A88,'School Year 2021-22'!A:AN,'School Year 2021-22'!$V$1,FALSE)-VLOOKUP(A88,'School Year 2021-22'!A:AN,'School Year 2021-22'!$W$1,FALSE),0)</f>
        <v>878.70532214567356</v>
      </c>
      <c r="D88" s="72">
        <f t="shared" si="6"/>
        <v>878.70532214567356</v>
      </c>
      <c r="E88" s="72">
        <f t="shared" si="7"/>
        <v>878.70532214567356</v>
      </c>
      <c r="F88" s="72">
        <f t="shared" si="8"/>
        <v>878.70532214567356</v>
      </c>
      <c r="G88" s="115">
        <f t="shared" si="9"/>
        <v>878.70532214567356</v>
      </c>
      <c r="H88" s="114">
        <v>871.77879329601546</v>
      </c>
      <c r="I88" s="72">
        <v>903.31684248700276</v>
      </c>
      <c r="J88" s="72">
        <v>920.05487288803943</v>
      </c>
      <c r="K88" s="115">
        <v>936.01147683264753</v>
      </c>
      <c r="L88" s="114">
        <v>871.77879329601546</v>
      </c>
      <c r="M88" s="72">
        <v>838.67287965718151</v>
      </c>
      <c r="N88" s="72">
        <v>762.61126446782146</v>
      </c>
      <c r="O88" s="115">
        <v>687.89245042823313</v>
      </c>
    </row>
    <row r="89" spans="1:15">
      <c r="A89" t="s">
        <v>465</v>
      </c>
      <c r="B89" t="s">
        <v>466</v>
      </c>
      <c r="C89" s="114">
        <f>IF(VLOOKUP(A89,'School Year 2021-22'!A:AN,'School Year 2021-22'!$R$1,FALSE)&gt;0,VLOOKUP(A89,'School Year 2021-22'!A:AN,'School Year 2021-22'!$U$1,FALSE)-VLOOKUP(A89,'School Year 2021-22'!A:AN,'School Year 2021-22'!$W$1,FALSE),0)+IF((VLOOKUP(A89,'School Year 2021-22'!A:AN,'School Year 2021-22'!$S$1,FALSE)+(VLOOKUP(A89,'School Year 2021-22'!A:AN,'School Year 2021-22'!$T$1,FALSE)))&gt;0,VLOOKUP(A89,'School Year 2021-22'!A:AN,'School Year 2021-22'!$V$1,FALSE)-VLOOKUP(A89,'School Year 2021-22'!A:AN,'School Year 2021-22'!$W$1,FALSE),0)</f>
        <v>801.17713030622872</v>
      </c>
      <c r="D89" s="72">
        <f t="shared" si="6"/>
        <v>801.17713030622872</v>
      </c>
      <c r="E89" s="72">
        <f t="shared" si="7"/>
        <v>801.17713030622872</v>
      </c>
      <c r="F89" s="72">
        <f t="shared" si="8"/>
        <v>801.17713030622872</v>
      </c>
      <c r="G89" s="115">
        <f t="shared" si="9"/>
        <v>801.17713030622872</v>
      </c>
      <c r="H89" s="114">
        <v>862.04304353640327</v>
      </c>
      <c r="I89" s="72">
        <v>893.28445406684841</v>
      </c>
      <c r="J89" s="72">
        <v>909.80500215221946</v>
      </c>
      <c r="K89" s="115">
        <v>925.52868253675024</v>
      </c>
      <c r="L89" s="114">
        <v>862.04304353640327</v>
      </c>
      <c r="M89" s="72">
        <v>829.83962665257786</v>
      </c>
      <c r="N89" s="72">
        <v>755.15663200327708</v>
      </c>
      <c r="O89" s="115">
        <v>681.80660469410941</v>
      </c>
    </row>
    <row r="90" spans="1:15">
      <c r="A90" t="s">
        <v>567</v>
      </c>
      <c r="B90" t="s">
        <v>568</v>
      </c>
      <c r="C90" s="114">
        <f>IF(VLOOKUP(A90,'School Year 2021-22'!A:AN,'School Year 2021-22'!$R$1,FALSE)&gt;0,VLOOKUP(A90,'School Year 2021-22'!A:AN,'School Year 2021-22'!$U$1,FALSE)-VLOOKUP(A90,'School Year 2021-22'!A:AN,'School Year 2021-22'!$W$1,FALSE),0)+IF((VLOOKUP(A90,'School Year 2021-22'!A:AN,'School Year 2021-22'!$S$1,FALSE)+(VLOOKUP(A90,'School Year 2021-22'!A:AN,'School Year 2021-22'!$T$1,FALSE)))&gt;0,VLOOKUP(A90,'School Year 2021-22'!A:AN,'School Year 2021-22'!$V$1,FALSE)-VLOOKUP(A90,'School Year 2021-22'!A:AN,'School Year 2021-22'!$W$1,FALSE),0)</f>
        <v>863.07756194824015</v>
      </c>
      <c r="D90" s="72">
        <f t="shared" si="6"/>
        <v>863.07756194824015</v>
      </c>
      <c r="E90" s="72">
        <f t="shared" si="7"/>
        <v>863.07756194824015</v>
      </c>
      <c r="F90" s="72">
        <f t="shared" si="8"/>
        <v>863.07756194824015</v>
      </c>
      <c r="G90" s="115">
        <f t="shared" si="9"/>
        <v>863.07756194824015</v>
      </c>
      <c r="H90" s="114">
        <v>831.44919241143998</v>
      </c>
      <c r="I90" s="72">
        <v>861.83828428673223</v>
      </c>
      <c r="J90" s="72">
        <v>877.73298695960329</v>
      </c>
      <c r="K90" s="115">
        <v>892.78638690734897</v>
      </c>
      <c r="L90" s="114">
        <v>831.44919241143998</v>
      </c>
      <c r="M90" s="72">
        <v>800.29272351994859</v>
      </c>
      <c r="N90" s="72">
        <v>727.92868593385083</v>
      </c>
      <c r="O90" s="115">
        <v>656.85624991961959</v>
      </c>
    </row>
    <row r="91" spans="1:15">
      <c r="A91" t="s">
        <v>259</v>
      </c>
      <c r="B91" t="s">
        <v>260</v>
      </c>
      <c r="C91" s="114">
        <f>IF(VLOOKUP(A91,'School Year 2021-22'!A:AN,'School Year 2021-22'!$R$1,FALSE)&gt;0,VLOOKUP(A91,'School Year 2021-22'!A:AN,'School Year 2021-22'!$U$1,FALSE)-VLOOKUP(A91,'School Year 2021-22'!A:AN,'School Year 2021-22'!$W$1,FALSE),0)+IF((VLOOKUP(A91,'School Year 2021-22'!A:AN,'School Year 2021-22'!$S$1,FALSE)+(VLOOKUP(A91,'School Year 2021-22'!A:AN,'School Year 2021-22'!$T$1,FALSE)))&gt;0,VLOOKUP(A91,'School Year 2021-22'!A:AN,'School Year 2021-22'!$V$1,FALSE)-VLOOKUP(A91,'School Year 2021-22'!A:AN,'School Year 2021-22'!$W$1,FALSE),0)</f>
        <v>0</v>
      </c>
      <c r="D91" s="72">
        <f t="shared" si="6"/>
        <v>0</v>
      </c>
      <c r="E91" s="72">
        <f t="shared" si="7"/>
        <v>0</v>
      </c>
      <c r="F91" s="72">
        <f t="shared" si="8"/>
        <v>0</v>
      </c>
      <c r="G91" s="115">
        <f t="shared" si="9"/>
        <v>0</v>
      </c>
      <c r="H91" s="114">
        <v>0</v>
      </c>
      <c r="I91" s="72">
        <v>0</v>
      </c>
      <c r="J91" s="72">
        <v>0</v>
      </c>
      <c r="K91" s="115">
        <v>0</v>
      </c>
      <c r="L91" s="114">
        <v>0</v>
      </c>
      <c r="M91" s="72">
        <v>0</v>
      </c>
      <c r="N91" s="72">
        <v>0</v>
      </c>
      <c r="O91" s="115">
        <v>0</v>
      </c>
    </row>
    <row r="92" spans="1:15">
      <c r="A92" t="s">
        <v>265</v>
      </c>
      <c r="B92" t="s">
        <v>266</v>
      </c>
      <c r="C92" s="114">
        <f>IF(VLOOKUP(A92,'School Year 2021-22'!A:AN,'School Year 2021-22'!$R$1,FALSE)&gt;0,VLOOKUP(A92,'School Year 2021-22'!A:AN,'School Year 2021-22'!$U$1,FALSE)-VLOOKUP(A92,'School Year 2021-22'!A:AN,'School Year 2021-22'!$W$1,FALSE),0)+IF((VLOOKUP(A92,'School Year 2021-22'!A:AN,'School Year 2021-22'!$S$1,FALSE)+(VLOOKUP(A92,'School Year 2021-22'!A:AN,'School Year 2021-22'!$T$1,FALSE)))&gt;0,VLOOKUP(A92,'School Year 2021-22'!A:AN,'School Year 2021-22'!$V$1,FALSE)-VLOOKUP(A92,'School Year 2021-22'!A:AN,'School Year 2021-22'!$W$1,FALSE),0)</f>
        <v>836.12968101567549</v>
      </c>
      <c r="D92" s="72">
        <f t="shared" si="6"/>
        <v>836.12968101567549</v>
      </c>
      <c r="E92" s="72">
        <f t="shared" si="7"/>
        <v>836.12968101567549</v>
      </c>
      <c r="F92" s="72">
        <f t="shared" si="8"/>
        <v>836.12968101567549</v>
      </c>
      <c r="G92" s="115">
        <f t="shared" si="9"/>
        <v>836.12968101567549</v>
      </c>
      <c r="H92" s="114">
        <v>831.44919241143998</v>
      </c>
      <c r="I92" s="72">
        <v>861.83828428673223</v>
      </c>
      <c r="J92" s="72">
        <v>877.73298695960329</v>
      </c>
      <c r="K92" s="115">
        <v>892.78638690734897</v>
      </c>
      <c r="L92" s="114">
        <v>831.44919241143998</v>
      </c>
      <c r="M92" s="72">
        <v>800.29272351994859</v>
      </c>
      <c r="N92" s="72">
        <v>727.92868593385083</v>
      </c>
      <c r="O92" s="115">
        <v>656.85624991961959</v>
      </c>
    </row>
    <row r="93" spans="1:15">
      <c r="A93" t="s">
        <v>139</v>
      </c>
      <c r="B93" t="s">
        <v>140</v>
      </c>
      <c r="C93" s="114">
        <f>IF(VLOOKUP(A93,'School Year 2021-22'!A:AN,'School Year 2021-22'!$R$1,FALSE)&gt;0,VLOOKUP(A93,'School Year 2021-22'!A:AN,'School Year 2021-22'!$U$1,FALSE)-VLOOKUP(A93,'School Year 2021-22'!A:AN,'School Year 2021-22'!$W$1,FALSE),0)+IF((VLOOKUP(A93,'School Year 2021-22'!A:AN,'School Year 2021-22'!$S$1,FALSE)+(VLOOKUP(A93,'School Year 2021-22'!A:AN,'School Year 2021-22'!$T$1,FALSE)))&gt;0,VLOOKUP(A93,'School Year 2021-22'!A:AN,'School Year 2021-22'!$V$1,FALSE)-VLOOKUP(A93,'School Year 2021-22'!A:AN,'School Year 2021-22'!$W$1,FALSE),0)</f>
        <v>830.77081679867024</v>
      </c>
      <c r="D93" s="72">
        <f t="shared" si="6"/>
        <v>830.77081679867024</v>
      </c>
      <c r="E93" s="72">
        <f t="shared" si="7"/>
        <v>830.77081679867024</v>
      </c>
      <c r="F93" s="72">
        <f t="shared" si="8"/>
        <v>830.77081679867024</v>
      </c>
      <c r="G93" s="115">
        <f t="shared" si="9"/>
        <v>830.77081679867024</v>
      </c>
      <c r="H93" s="114">
        <v>831.44919241143998</v>
      </c>
      <c r="I93" s="72">
        <v>861.83828428673223</v>
      </c>
      <c r="J93" s="72">
        <v>877.73298695960329</v>
      </c>
      <c r="K93" s="115">
        <v>892.78638690734897</v>
      </c>
      <c r="L93" s="114">
        <v>831.44919241143998</v>
      </c>
      <c r="M93" s="72">
        <v>800.29272351994859</v>
      </c>
      <c r="N93" s="72">
        <v>727.92868593385083</v>
      </c>
      <c r="O93" s="115">
        <v>656.85624991961959</v>
      </c>
    </row>
    <row r="94" spans="1:15">
      <c r="A94" t="s">
        <v>593</v>
      </c>
      <c r="B94" t="s">
        <v>594</v>
      </c>
      <c r="C94" s="114">
        <f>IF(VLOOKUP(A94,'School Year 2021-22'!A:AN,'School Year 2021-22'!$R$1,FALSE)&gt;0,VLOOKUP(A94,'School Year 2021-22'!A:AN,'School Year 2021-22'!$U$1,FALSE)-VLOOKUP(A94,'School Year 2021-22'!A:AN,'School Year 2021-22'!$W$1,FALSE),0)+IF((VLOOKUP(A94,'School Year 2021-22'!A:AN,'School Year 2021-22'!$S$1,FALSE)+(VLOOKUP(A94,'School Year 2021-22'!A:AN,'School Year 2021-22'!$T$1,FALSE)))&gt;0,VLOOKUP(A94,'School Year 2021-22'!A:AN,'School Year 2021-22'!$V$1,FALSE)-VLOOKUP(A94,'School Year 2021-22'!A:AN,'School Year 2021-22'!$W$1,FALSE),0)</f>
        <v>838.01347432018611</v>
      </c>
      <c r="D94" s="72">
        <f t="shared" si="6"/>
        <v>838.01347432018611</v>
      </c>
      <c r="E94" s="72">
        <f t="shared" si="7"/>
        <v>838.01347432018611</v>
      </c>
      <c r="F94" s="72">
        <f t="shared" si="8"/>
        <v>838.01347432018611</v>
      </c>
      <c r="G94" s="115">
        <f t="shared" si="9"/>
        <v>838.01347432018611</v>
      </c>
      <c r="H94" s="114">
        <v>831.44919241143998</v>
      </c>
      <c r="I94" s="72">
        <v>861.83828428673223</v>
      </c>
      <c r="J94" s="72">
        <v>877.73298695960329</v>
      </c>
      <c r="K94" s="115">
        <v>892.78638690734897</v>
      </c>
      <c r="L94" s="114">
        <v>831.44919241143998</v>
      </c>
      <c r="M94" s="72">
        <v>800.29272351994859</v>
      </c>
      <c r="N94" s="72">
        <v>727.92868593385083</v>
      </c>
      <c r="O94" s="115">
        <v>656.85624991961959</v>
      </c>
    </row>
    <row r="95" spans="1:15">
      <c r="A95" t="s">
        <v>601</v>
      </c>
      <c r="B95" t="s">
        <v>602</v>
      </c>
      <c r="C95" s="114">
        <f>IF(VLOOKUP(A95,'School Year 2021-22'!A:AN,'School Year 2021-22'!$R$1,FALSE)&gt;0,VLOOKUP(A95,'School Year 2021-22'!A:AN,'School Year 2021-22'!$U$1,FALSE)-VLOOKUP(A95,'School Year 2021-22'!A:AN,'School Year 2021-22'!$W$1,FALSE),0)+IF((VLOOKUP(A95,'School Year 2021-22'!A:AN,'School Year 2021-22'!$S$1,FALSE)+(VLOOKUP(A95,'School Year 2021-22'!A:AN,'School Year 2021-22'!$T$1,FALSE)))&gt;0,VLOOKUP(A95,'School Year 2021-22'!A:AN,'School Year 2021-22'!$V$1,FALSE)-VLOOKUP(A95,'School Year 2021-22'!A:AN,'School Year 2021-22'!$W$1,FALSE),0)</f>
        <v>838.64717336651574</v>
      </c>
      <c r="D95" s="72">
        <f t="shared" si="6"/>
        <v>838.64717336651574</v>
      </c>
      <c r="E95" s="72">
        <f t="shared" si="7"/>
        <v>838.64717336651574</v>
      </c>
      <c r="F95" s="72">
        <f t="shared" si="8"/>
        <v>838.64717336651574</v>
      </c>
      <c r="G95" s="115">
        <f t="shared" si="9"/>
        <v>838.64717336651574</v>
      </c>
      <c r="H95" s="114">
        <v>831.44919241143998</v>
      </c>
      <c r="I95" s="72">
        <v>861.83828428673223</v>
      </c>
      <c r="J95" s="72">
        <v>877.73298695960329</v>
      </c>
      <c r="K95" s="115">
        <v>892.78638690734897</v>
      </c>
      <c r="L95" s="114">
        <v>831.44919241143998</v>
      </c>
      <c r="M95" s="72">
        <v>800.29272351994859</v>
      </c>
      <c r="N95" s="72">
        <v>727.92868593385083</v>
      </c>
      <c r="O95" s="115">
        <v>656.85624991961959</v>
      </c>
    </row>
    <row r="96" spans="1:15">
      <c r="A96" t="s">
        <v>447</v>
      </c>
      <c r="B96" t="s">
        <v>448</v>
      </c>
      <c r="C96" s="114">
        <f>IF(VLOOKUP(A96,'School Year 2021-22'!A:AN,'School Year 2021-22'!$R$1,FALSE)&gt;0,VLOOKUP(A96,'School Year 2021-22'!A:AN,'School Year 2021-22'!$U$1,FALSE)-VLOOKUP(A96,'School Year 2021-22'!A:AN,'School Year 2021-22'!$W$1,FALSE),0)+IF((VLOOKUP(A96,'School Year 2021-22'!A:AN,'School Year 2021-22'!$S$1,FALSE)+(VLOOKUP(A96,'School Year 2021-22'!A:AN,'School Year 2021-22'!$T$1,FALSE)))&gt;0,VLOOKUP(A96,'School Year 2021-22'!A:AN,'School Year 2021-22'!$V$1,FALSE)-VLOOKUP(A96,'School Year 2021-22'!A:AN,'School Year 2021-22'!$W$1,FALSE),0)</f>
        <v>582.13903557321828</v>
      </c>
      <c r="D96" s="72">
        <f t="shared" si="6"/>
        <v>582.13903557321828</v>
      </c>
      <c r="E96" s="72">
        <f t="shared" si="7"/>
        <v>582.13903557321828</v>
      </c>
      <c r="F96" s="72">
        <f t="shared" si="8"/>
        <v>582.13903557321828</v>
      </c>
      <c r="G96" s="115">
        <f t="shared" si="9"/>
        <v>582.13903557321828</v>
      </c>
      <c r="H96" s="114">
        <v>912.10839418059186</v>
      </c>
      <c r="I96" s="72">
        <v>944.79540068727511</v>
      </c>
      <c r="J96" s="72">
        <v>962.37675881647738</v>
      </c>
      <c r="K96" s="115">
        <v>979.23656675794882</v>
      </c>
      <c r="L96" s="114">
        <v>912.10839418059186</v>
      </c>
      <c r="M96" s="72">
        <v>877.05303579440988</v>
      </c>
      <c r="N96" s="72">
        <v>797.29384300178936</v>
      </c>
      <c r="O96" s="115">
        <v>718.9286509368485</v>
      </c>
    </row>
    <row r="97" spans="1:15">
      <c r="A97" t="s">
        <v>315</v>
      </c>
      <c r="B97" t="s">
        <v>316</v>
      </c>
      <c r="C97" s="114">
        <f>IF(VLOOKUP(A97,'School Year 2021-22'!A:AN,'School Year 2021-22'!$R$1,FALSE)&gt;0,VLOOKUP(A97,'School Year 2021-22'!A:AN,'School Year 2021-22'!$U$1,FALSE)-VLOOKUP(A97,'School Year 2021-22'!A:AN,'School Year 2021-22'!$W$1,FALSE),0)+IF((VLOOKUP(A97,'School Year 2021-22'!A:AN,'School Year 2021-22'!$S$1,FALSE)+(VLOOKUP(A97,'School Year 2021-22'!A:AN,'School Year 2021-22'!$T$1,FALSE)))&gt;0,VLOOKUP(A97,'School Year 2021-22'!A:AN,'School Year 2021-22'!$V$1,FALSE)-VLOOKUP(A97,'School Year 2021-22'!A:AN,'School Year 2021-22'!$W$1,FALSE),0)</f>
        <v>0</v>
      </c>
      <c r="D97" s="72">
        <f t="shared" si="6"/>
        <v>0</v>
      </c>
      <c r="E97" s="72">
        <f t="shared" si="7"/>
        <v>0</v>
      </c>
      <c r="F97" s="72">
        <f t="shared" si="8"/>
        <v>0</v>
      </c>
      <c r="G97" s="115">
        <f t="shared" si="9"/>
        <v>0</v>
      </c>
      <c r="H97" s="114">
        <v>0</v>
      </c>
      <c r="I97" s="72">
        <v>0</v>
      </c>
      <c r="J97" s="72">
        <v>0</v>
      </c>
      <c r="K97" s="115">
        <v>0</v>
      </c>
      <c r="L97" s="114">
        <v>0</v>
      </c>
      <c r="M97" s="72">
        <v>0</v>
      </c>
      <c r="N97" s="72">
        <v>0</v>
      </c>
      <c r="O97" s="115">
        <v>0</v>
      </c>
    </row>
    <row r="98" spans="1:15">
      <c r="A98" t="s">
        <v>455</v>
      </c>
      <c r="B98" t="s">
        <v>456</v>
      </c>
      <c r="C98" s="114">
        <f>IF(VLOOKUP(A98,'School Year 2021-22'!A:AN,'School Year 2021-22'!$R$1,FALSE)&gt;0,VLOOKUP(A98,'School Year 2021-22'!A:AN,'School Year 2021-22'!$U$1,FALSE)-VLOOKUP(A98,'School Year 2021-22'!A:AN,'School Year 2021-22'!$W$1,FALSE),0)+IF((VLOOKUP(A98,'School Year 2021-22'!A:AN,'School Year 2021-22'!$S$1,FALSE)+(VLOOKUP(A98,'School Year 2021-22'!A:AN,'School Year 2021-22'!$T$1,FALSE)))&gt;0,VLOOKUP(A98,'School Year 2021-22'!A:AN,'School Year 2021-22'!$V$1,FALSE)-VLOOKUP(A98,'School Year 2021-22'!A:AN,'School Year 2021-22'!$W$1,FALSE),0)</f>
        <v>0</v>
      </c>
      <c r="D98" s="72">
        <f t="shared" si="6"/>
        <v>0</v>
      </c>
      <c r="E98" s="72">
        <f t="shared" si="7"/>
        <v>0</v>
      </c>
      <c r="F98" s="72">
        <f t="shared" si="8"/>
        <v>0</v>
      </c>
      <c r="G98" s="115">
        <f t="shared" si="9"/>
        <v>0</v>
      </c>
      <c r="H98" s="114">
        <v>0</v>
      </c>
      <c r="I98" s="72">
        <v>0</v>
      </c>
      <c r="J98" s="72">
        <v>0</v>
      </c>
      <c r="K98" s="115">
        <v>0</v>
      </c>
      <c r="L98" s="114">
        <v>0</v>
      </c>
      <c r="M98" s="72">
        <v>0</v>
      </c>
      <c r="N98" s="72">
        <v>0</v>
      </c>
      <c r="O98" s="115">
        <v>0</v>
      </c>
    </row>
    <row r="99" spans="1:15">
      <c r="A99" t="s">
        <v>1023</v>
      </c>
      <c r="B99" t="s">
        <v>1041</v>
      </c>
      <c r="C99" s="114">
        <f>IF(VLOOKUP(A99,'School Year 2021-22'!A:AN,'School Year 2021-22'!$R$1,FALSE)&gt;0,VLOOKUP(A99,'School Year 2021-22'!A:AN,'School Year 2021-22'!$U$1,FALSE)-VLOOKUP(A99,'School Year 2021-22'!A:AN,'School Year 2021-22'!$W$1,FALSE),0)+IF((VLOOKUP(A99,'School Year 2021-22'!A:AN,'School Year 2021-22'!$S$1,FALSE)+(VLOOKUP(A99,'School Year 2021-22'!A:AN,'School Year 2021-22'!$T$1,FALSE)))&gt;0,VLOOKUP(A99,'School Year 2021-22'!A:AN,'School Year 2021-22'!$V$1,FALSE)-VLOOKUP(A99,'School Year 2021-22'!A:AN,'School Year 2021-22'!$W$1,FALSE),0)</f>
        <v>0</v>
      </c>
      <c r="D99" s="72">
        <f t="shared" si="6"/>
        <v>0</v>
      </c>
      <c r="E99" s="72">
        <f t="shared" si="7"/>
        <v>0</v>
      </c>
      <c r="F99" s="72">
        <f t="shared" si="8"/>
        <v>0</v>
      </c>
      <c r="G99" s="115">
        <f t="shared" si="9"/>
        <v>0</v>
      </c>
      <c r="H99" s="114">
        <v>0</v>
      </c>
      <c r="I99" s="72">
        <v>0</v>
      </c>
      <c r="J99" s="72">
        <v>0</v>
      </c>
      <c r="K99" s="115">
        <v>0</v>
      </c>
      <c r="L99" s="114">
        <v>0</v>
      </c>
      <c r="M99" s="72">
        <v>0</v>
      </c>
      <c r="N99" s="72">
        <v>0</v>
      </c>
      <c r="O99" s="115">
        <v>0</v>
      </c>
    </row>
    <row r="100" spans="1:15">
      <c r="A100" t="s">
        <v>61</v>
      </c>
      <c r="B100" t="s">
        <v>62</v>
      </c>
      <c r="C100" s="114">
        <f>IF(VLOOKUP(A100,'School Year 2021-22'!A:AN,'School Year 2021-22'!$R$1,FALSE)&gt;0,VLOOKUP(A100,'School Year 2021-22'!A:AN,'School Year 2021-22'!$U$1,FALSE)-VLOOKUP(A100,'School Year 2021-22'!A:AN,'School Year 2021-22'!$W$1,FALSE),0)+IF((VLOOKUP(A100,'School Year 2021-22'!A:AN,'School Year 2021-22'!$S$1,FALSE)+(VLOOKUP(A100,'School Year 2021-22'!A:AN,'School Year 2021-22'!$T$1,FALSE)))&gt;0,VLOOKUP(A100,'School Year 2021-22'!A:AN,'School Year 2021-22'!$V$1,FALSE)-VLOOKUP(A100,'School Year 2021-22'!A:AN,'School Year 2021-22'!$W$1,FALSE),0)</f>
        <v>0</v>
      </c>
      <c r="D100" s="72">
        <f t="shared" si="6"/>
        <v>0</v>
      </c>
      <c r="E100" s="72">
        <f t="shared" si="7"/>
        <v>0</v>
      </c>
      <c r="F100" s="72">
        <f t="shared" si="8"/>
        <v>0</v>
      </c>
      <c r="G100" s="115">
        <f t="shared" si="9"/>
        <v>0</v>
      </c>
      <c r="H100" s="114">
        <v>0</v>
      </c>
      <c r="I100" s="72">
        <v>0</v>
      </c>
      <c r="J100" s="72">
        <v>0</v>
      </c>
      <c r="K100" s="115">
        <v>0</v>
      </c>
      <c r="L100" s="114">
        <v>0</v>
      </c>
      <c r="M100" s="72">
        <v>0</v>
      </c>
      <c r="N100" s="72">
        <v>0</v>
      </c>
      <c r="O100" s="115">
        <v>0</v>
      </c>
    </row>
    <row r="101" spans="1:15">
      <c r="A101" t="s">
        <v>517</v>
      </c>
      <c r="B101" t="s">
        <v>518</v>
      </c>
      <c r="C101" s="114">
        <f>IF(VLOOKUP(A101,'School Year 2021-22'!A:AN,'School Year 2021-22'!$R$1,FALSE)&gt;0,VLOOKUP(A101,'School Year 2021-22'!A:AN,'School Year 2021-22'!$U$1,FALSE)-VLOOKUP(A101,'School Year 2021-22'!A:AN,'School Year 2021-22'!$W$1,FALSE),0)+IF((VLOOKUP(A101,'School Year 2021-22'!A:AN,'School Year 2021-22'!$S$1,FALSE)+(VLOOKUP(A101,'School Year 2021-22'!A:AN,'School Year 2021-22'!$T$1,FALSE)))&gt;0,VLOOKUP(A101,'School Year 2021-22'!A:AN,'School Year 2021-22'!$V$1,FALSE)-VLOOKUP(A101,'School Year 2021-22'!A:AN,'School Year 2021-22'!$W$1,FALSE),0)</f>
        <v>0</v>
      </c>
      <c r="D101" s="72">
        <f t="shared" si="6"/>
        <v>0</v>
      </c>
      <c r="E101" s="72">
        <f t="shared" si="7"/>
        <v>0</v>
      </c>
      <c r="F101" s="72">
        <f t="shared" si="8"/>
        <v>0</v>
      </c>
      <c r="G101" s="115">
        <f t="shared" si="9"/>
        <v>0</v>
      </c>
      <c r="H101" s="114">
        <v>0</v>
      </c>
      <c r="I101" s="72">
        <v>0</v>
      </c>
      <c r="J101" s="72">
        <v>0</v>
      </c>
      <c r="K101" s="115">
        <v>0</v>
      </c>
      <c r="L101" s="114">
        <v>0</v>
      </c>
      <c r="M101" s="72">
        <v>0</v>
      </c>
      <c r="N101" s="72">
        <v>0</v>
      </c>
      <c r="O101" s="115">
        <v>0</v>
      </c>
    </row>
    <row r="102" spans="1:15">
      <c r="A102" t="s">
        <v>309</v>
      </c>
      <c r="B102" t="s">
        <v>310</v>
      </c>
      <c r="C102" s="114">
        <f>IF(VLOOKUP(A102,'School Year 2021-22'!A:AN,'School Year 2021-22'!$R$1,FALSE)&gt;0,VLOOKUP(A102,'School Year 2021-22'!A:AN,'School Year 2021-22'!$U$1,FALSE)-VLOOKUP(A102,'School Year 2021-22'!A:AN,'School Year 2021-22'!$W$1,FALSE),0)+IF((VLOOKUP(A102,'School Year 2021-22'!A:AN,'School Year 2021-22'!$S$1,FALSE)+(VLOOKUP(A102,'School Year 2021-22'!A:AN,'School Year 2021-22'!$T$1,FALSE)))&gt;0,VLOOKUP(A102,'School Year 2021-22'!A:AN,'School Year 2021-22'!$V$1,FALSE)-VLOOKUP(A102,'School Year 2021-22'!A:AN,'School Year 2021-22'!$W$1,FALSE),0)</f>
        <v>763.17767276283485</v>
      </c>
      <c r="D102" s="72">
        <f t="shared" si="6"/>
        <v>763.17767276283485</v>
      </c>
      <c r="E102" s="72">
        <f t="shared" si="7"/>
        <v>763.17767276283485</v>
      </c>
      <c r="F102" s="72">
        <f t="shared" si="8"/>
        <v>763.17767276283485</v>
      </c>
      <c r="G102" s="115">
        <f t="shared" si="9"/>
        <v>763.17767276283485</v>
      </c>
      <c r="H102" s="114">
        <v>862.04304353640327</v>
      </c>
      <c r="I102" s="72">
        <v>893.28445406684841</v>
      </c>
      <c r="J102" s="72">
        <v>909.80500215221946</v>
      </c>
      <c r="K102" s="115">
        <v>925.52868253675024</v>
      </c>
      <c r="L102" s="114">
        <v>862.04304353640327</v>
      </c>
      <c r="M102" s="72">
        <v>829.83962665257786</v>
      </c>
      <c r="N102" s="72">
        <v>755.15663200327708</v>
      </c>
      <c r="O102" s="115">
        <v>681.80660469410941</v>
      </c>
    </row>
    <row r="103" spans="1:15">
      <c r="A103" t="s">
        <v>599</v>
      </c>
      <c r="B103" t="s">
        <v>600</v>
      </c>
      <c r="C103" s="114">
        <f>IF(VLOOKUP(A103,'School Year 2021-22'!A:AN,'School Year 2021-22'!$R$1,FALSE)&gt;0,VLOOKUP(A103,'School Year 2021-22'!A:AN,'School Year 2021-22'!$U$1,FALSE)-VLOOKUP(A103,'School Year 2021-22'!A:AN,'School Year 2021-22'!$W$1,FALSE),0)+IF((VLOOKUP(A103,'School Year 2021-22'!A:AN,'School Year 2021-22'!$S$1,FALSE)+(VLOOKUP(A103,'School Year 2021-22'!A:AN,'School Year 2021-22'!$T$1,FALSE)))&gt;0,VLOOKUP(A103,'School Year 2021-22'!A:AN,'School Year 2021-22'!$V$1,FALSE)-VLOOKUP(A103,'School Year 2021-22'!A:AN,'School Year 2021-22'!$W$1,FALSE),0)</f>
        <v>842.4368582969355</v>
      </c>
      <c r="D103" s="72">
        <f t="shared" si="6"/>
        <v>842.4368582969355</v>
      </c>
      <c r="E103" s="72">
        <f t="shared" si="7"/>
        <v>842.4368582969355</v>
      </c>
      <c r="F103" s="72">
        <f t="shared" si="8"/>
        <v>842.4368582969355</v>
      </c>
      <c r="G103" s="115">
        <f t="shared" si="9"/>
        <v>842.4368582969355</v>
      </c>
      <c r="H103" s="114">
        <v>831.44919241143998</v>
      </c>
      <c r="I103" s="72">
        <v>861.83828428673223</v>
      </c>
      <c r="J103" s="72">
        <v>877.73298695960329</v>
      </c>
      <c r="K103" s="115">
        <v>892.78638690734897</v>
      </c>
      <c r="L103" s="114">
        <v>831.44919241143998</v>
      </c>
      <c r="M103" s="72">
        <v>800.29272351994859</v>
      </c>
      <c r="N103" s="72">
        <v>727.92868593385083</v>
      </c>
      <c r="O103" s="115">
        <v>656.85624991961959</v>
      </c>
    </row>
    <row r="104" spans="1:15">
      <c r="A104" t="s">
        <v>191</v>
      </c>
      <c r="B104" t="s">
        <v>192</v>
      </c>
      <c r="C104" s="114">
        <f>IF(VLOOKUP(A104,'School Year 2021-22'!A:AN,'School Year 2021-22'!$R$1,FALSE)&gt;0,VLOOKUP(A104,'School Year 2021-22'!A:AN,'School Year 2021-22'!$U$1,FALSE)-VLOOKUP(A104,'School Year 2021-22'!A:AN,'School Year 2021-22'!$W$1,FALSE),0)+IF((VLOOKUP(A104,'School Year 2021-22'!A:AN,'School Year 2021-22'!$S$1,FALSE)+(VLOOKUP(A104,'School Year 2021-22'!A:AN,'School Year 2021-22'!$T$1,FALSE)))&gt;0,VLOOKUP(A104,'School Year 2021-22'!A:AN,'School Year 2021-22'!$V$1,FALSE)-VLOOKUP(A104,'School Year 2021-22'!A:AN,'School Year 2021-22'!$W$1,FALSE),0)</f>
        <v>3983.8314572736563</v>
      </c>
      <c r="D104" s="72">
        <f t="shared" si="6"/>
        <v>3983.8314572736563</v>
      </c>
      <c r="E104" s="72">
        <f t="shared" si="7"/>
        <v>3983.8314572736563</v>
      </c>
      <c r="F104" s="72">
        <f t="shared" si="8"/>
        <v>3983.8314572736563</v>
      </c>
      <c r="G104" s="115">
        <f t="shared" si="9"/>
        <v>3983.8314572736563</v>
      </c>
      <c r="H104" s="114">
        <v>3158.4201404148171</v>
      </c>
      <c r="I104" s="72">
        <v>3271.7147029627758</v>
      </c>
      <c r="J104" s="72">
        <v>3333.7074539230234</v>
      </c>
      <c r="K104" s="115">
        <v>3393.5933384239397</v>
      </c>
      <c r="L104" s="114">
        <v>3158.4201404148171</v>
      </c>
      <c r="M104" s="72">
        <v>3164.389764429181</v>
      </c>
      <c r="N104" s="72">
        <v>3022.0324579930402</v>
      </c>
      <c r="O104" s="115">
        <v>2884.2796481101523</v>
      </c>
    </row>
    <row r="105" spans="1:15">
      <c r="A105" t="s">
        <v>57</v>
      </c>
      <c r="B105" t="s">
        <v>58</v>
      </c>
      <c r="C105" s="114">
        <f>IF(VLOOKUP(A105,'School Year 2021-22'!A:AN,'School Year 2021-22'!$R$1,FALSE)&gt;0,VLOOKUP(A105,'School Year 2021-22'!A:AN,'School Year 2021-22'!$U$1,FALSE)-VLOOKUP(A105,'School Year 2021-22'!A:AN,'School Year 2021-22'!$W$1,FALSE),0)+IF((VLOOKUP(A105,'School Year 2021-22'!A:AN,'School Year 2021-22'!$S$1,FALSE)+(VLOOKUP(A105,'School Year 2021-22'!A:AN,'School Year 2021-22'!$T$1,FALSE)))&gt;0,VLOOKUP(A105,'School Year 2021-22'!A:AN,'School Year 2021-22'!$V$1,FALSE)-VLOOKUP(A105,'School Year 2021-22'!A:AN,'School Year 2021-22'!$W$1,FALSE),0)</f>
        <v>6850.6132683400938</v>
      </c>
      <c r="D105" s="72">
        <f t="shared" si="6"/>
        <v>6850.6132683400938</v>
      </c>
      <c r="E105" s="72">
        <f t="shared" si="7"/>
        <v>6850.6132683400938</v>
      </c>
      <c r="F105" s="72">
        <f t="shared" si="8"/>
        <v>6850.6132683400938</v>
      </c>
      <c r="G105" s="115">
        <f t="shared" si="9"/>
        <v>6850.6132683400938</v>
      </c>
      <c r="H105" s="114">
        <v>871.77879329601546</v>
      </c>
      <c r="I105" s="72">
        <v>903.31684248700276</v>
      </c>
      <c r="J105" s="72">
        <v>920.05487288803943</v>
      </c>
      <c r="K105" s="115">
        <v>936.01147683264753</v>
      </c>
      <c r="L105" s="114">
        <v>871.77879329601546</v>
      </c>
      <c r="M105" s="72">
        <v>838.67287965718151</v>
      </c>
      <c r="N105" s="72">
        <v>762.61126446782146</v>
      </c>
      <c r="O105" s="115">
        <v>687.89245042823313</v>
      </c>
    </row>
    <row r="106" spans="1:15">
      <c r="A106" t="s">
        <v>325</v>
      </c>
      <c r="B106" t="s">
        <v>326</v>
      </c>
      <c r="C106" s="114">
        <f>IF(VLOOKUP(A106,'School Year 2021-22'!A:AN,'School Year 2021-22'!$R$1,FALSE)&gt;0,VLOOKUP(A106,'School Year 2021-22'!A:AN,'School Year 2021-22'!$U$1,FALSE)-VLOOKUP(A106,'School Year 2021-22'!A:AN,'School Year 2021-22'!$W$1,FALSE),0)+IF((VLOOKUP(A106,'School Year 2021-22'!A:AN,'School Year 2021-22'!$S$1,FALSE)+(VLOOKUP(A106,'School Year 2021-22'!A:AN,'School Year 2021-22'!$T$1,FALSE)))&gt;0,VLOOKUP(A106,'School Year 2021-22'!A:AN,'School Year 2021-22'!$V$1,FALSE)-VLOOKUP(A106,'School Year 2021-22'!A:AN,'School Year 2021-22'!$W$1,FALSE),0)</f>
        <v>0</v>
      </c>
      <c r="D106" s="72">
        <f t="shared" si="6"/>
        <v>0</v>
      </c>
      <c r="E106" s="72">
        <f t="shared" si="7"/>
        <v>0</v>
      </c>
      <c r="F106" s="72">
        <f t="shared" si="8"/>
        <v>0</v>
      </c>
      <c r="G106" s="115">
        <f t="shared" si="9"/>
        <v>0</v>
      </c>
      <c r="H106" s="114">
        <v>0</v>
      </c>
      <c r="I106" s="72">
        <v>0</v>
      </c>
      <c r="J106" s="72">
        <v>0</v>
      </c>
      <c r="K106" s="115">
        <v>0</v>
      </c>
      <c r="L106" s="114">
        <v>0</v>
      </c>
      <c r="M106" s="72">
        <v>0</v>
      </c>
      <c r="N106" s="72">
        <v>0</v>
      </c>
      <c r="O106" s="115">
        <v>0</v>
      </c>
    </row>
    <row r="107" spans="1:15">
      <c r="A107" t="s">
        <v>143</v>
      </c>
      <c r="B107" t="s">
        <v>144</v>
      </c>
      <c r="C107" s="114">
        <f>IF(VLOOKUP(A107,'School Year 2021-22'!A:AN,'School Year 2021-22'!$R$1,FALSE)&gt;0,VLOOKUP(A107,'School Year 2021-22'!A:AN,'School Year 2021-22'!$U$1,FALSE)-VLOOKUP(A107,'School Year 2021-22'!A:AN,'School Year 2021-22'!$W$1,FALSE),0)+IF((VLOOKUP(A107,'School Year 2021-22'!A:AN,'School Year 2021-22'!$S$1,FALSE)+(VLOOKUP(A107,'School Year 2021-22'!A:AN,'School Year 2021-22'!$T$1,FALSE)))&gt;0,VLOOKUP(A107,'School Year 2021-22'!A:AN,'School Year 2021-22'!$V$1,FALSE)-VLOOKUP(A107,'School Year 2021-22'!A:AN,'School Year 2021-22'!$W$1,FALSE),0)</f>
        <v>6469.1012962202858</v>
      </c>
      <c r="D107" s="72">
        <f t="shared" si="6"/>
        <v>6469.1012962202858</v>
      </c>
      <c r="E107" s="72">
        <f t="shared" si="7"/>
        <v>6469.1012962202858</v>
      </c>
      <c r="F107" s="72">
        <f t="shared" si="8"/>
        <v>6469.1012962202858</v>
      </c>
      <c r="G107" s="115">
        <f t="shared" si="9"/>
        <v>6469.1012962202858</v>
      </c>
      <c r="H107" s="114">
        <v>831.44919241143998</v>
      </c>
      <c r="I107" s="72">
        <v>861.83828428673223</v>
      </c>
      <c r="J107" s="72">
        <v>877.73298695960329</v>
      </c>
      <c r="K107" s="115">
        <v>892.78638690734897</v>
      </c>
      <c r="L107" s="114">
        <v>831.44919241143998</v>
      </c>
      <c r="M107" s="72">
        <v>800.29272351994859</v>
      </c>
      <c r="N107" s="72">
        <v>727.92868593385083</v>
      </c>
      <c r="O107" s="115">
        <v>656.85624991961959</v>
      </c>
    </row>
    <row r="108" spans="1:15">
      <c r="A108" t="s">
        <v>1315</v>
      </c>
      <c r="B108" t="s">
        <v>1316</v>
      </c>
      <c r="C108" s="114">
        <f>IF(VLOOKUP(A108,'School Year 2021-22'!A:AN,'School Year 2021-22'!$R$1,FALSE)&gt;0,VLOOKUP(A108,'School Year 2021-22'!A:AN,'School Year 2021-22'!$U$1,FALSE)-VLOOKUP(A108,'School Year 2021-22'!A:AN,'School Year 2021-22'!$W$1,FALSE),0)+IF((VLOOKUP(A108,'School Year 2021-22'!A:AN,'School Year 2021-22'!$S$1,FALSE)+(VLOOKUP(A108,'School Year 2021-22'!A:AN,'School Year 2021-22'!$T$1,FALSE)))&gt;0,VLOOKUP(A108,'School Year 2021-22'!A:AN,'School Year 2021-22'!$V$1,FALSE)-VLOOKUP(A108,'School Year 2021-22'!A:AN,'School Year 2021-22'!$W$1,FALSE),0)</f>
        <v>0</v>
      </c>
      <c r="D108" s="72">
        <f t="shared" si="6"/>
        <v>0</v>
      </c>
      <c r="E108" s="72">
        <f t="shared" si="7"/>
        <v>0</v>
      </c>
      <c r="F108" s="72">
        <f t="shared" si="8"/>
        <v>0</v>
      </c>
      <c r="G108" s="115">
        <f t="shared" si="9"/>
        <v>0</v>
      </c>
      <c r="H108" s="114">
        <v>0</v>
      </c>
      <c r="I108" s="72">
        <v>0</v>
      </c>
      <c r="J108" s="72">
        <v>0</v>
      </c>
      <c r="K108" s="115">
        <v>0</v>
      </c>
      <c r="L108" s="114">
        <v>0</v>
      </c>
      <c r="M108" s="72">
        <v>0</v>
      </c>
      <c r="N108" s="72">
        <v>0</v>
      </c>
      <c r="O108" s="115">
        <v>0</v>
      </c>
    </row>
    <row r="109" spans="1:15">
      <c r="A109" t="s">
        <v>1230</v>
      </c>
      <c r="B109" t="s">
        <v>1231</v>
      </c>
      <c r="C109" s="114">
        <f>IF(VLOOKUP(A109,'School Year 2021-22'!A:AN,'School Year 2021-22'!$R$1,FALSE)&gt;0,VLOOKUP(A109,'School Year 2021-22'!A:AN,'School Year 2021-22'!$U$1,FALSE)-VLOOKUP(A109,'School Year 2021-22'!A:AN,'School Year 2021-22'!$W$1,FALSE),0)+IF((VLOOKUP(A109,'School Year 2021-22'!A:AN,'School Year 2021-22'!$S$1,FALSE)+(VLOOKUP(A109,'School Year 2021-22'!A:AN,'School Year 2021-22'!$T$1,FALSE)))&gt;0,VLOOKUP(A109,'School Year 2021-22'!A:AN,'School Year 2021-22'!$V$1,FALSE)-VLOOKUP(A109,'School Year 2021-22'!A:AN,'School Year 2021-22'!$W$1,FALSE),0)</f>
        <v>0</v>
      </c>
      <c r="D109" s="72">
        <f t="shared" si="6"/>
        <v>0</v>
      </c>
      <c r="E109" s="72">
        <f t="shared" si="7"/>
        <v>0</v>
      </c>
      <c r="F109" s="72">
        <f t="shared" si="8"/>
        <v>0</v>
      </c>
      <c r="G109" s="115">
        <f t="shared" si="9"/>
        <v>0</v>
      </c>
      <c r="H109" s="114">
        <v>0</v>
      </c>
      <c r="I109" s="72">
        <v>0</v>
      </c>
      <c r="J109" s="72">
        <v>0</v>
      </c>
      <c r="K109" s="115">
        <v>0</v>
      </c>
      <c r="L109" s="114">
        <v>0</v>
      </c>
      <c r="M109" s="72">
        <v>0</v>
      </c>
      <c r="N109" s="72">
        <v>0</v>
      </c>
      <c r="O109" s="115">
        <v>0</v>
      </c>
    </row>
    <row r="110" spans="1:15">
      <c r="A110" t="s">
        <v>1032</v>
      </c>
      <c r="B110" t="s">
        <v>1042</v>
      </c>
      <c r="C110" s="114">
        <f>IF(VLOOKUP(A110,'School Year 2021-22'!A:AN,'School Year 2021-22'!$R$1,FALSE)&gt;0,VLOOKUP(A110,'School Year 2021-22'!A:AN,'School Year 2021-22'!$U$1,FALSE)-VLOOKUP(A110,'School Year 2021-22'!A:AN,'School Year 2021-22'!$W$1,FALSE),0)+IF((VLOOKUP(A110,'School Year 2021-22'!A:AN,'School Year 2021-22'!$S$1,FALSE)+(VLOOKUP(A110,'School Year 2021-22'!A:AN,'School Year 2021-22'!$T$1,FALSE)))&gt;0,VLOOKUP(A110,'School Year 2021-22'!A:AN,'School Year 2021-22'!$V$1,FALSE)-VLOOKUP(A110,'School Year 2021-22'!A:AN,'School Year 2021-22'!$W$1,FALSE),0)</f>
        <v>0</v>
      </c>
      <c r="D110" s="72">
        <f t="shared" si="6"/>
        <v>0</v>
      </c>
      <c r="E110" s="72">
        <f t="shared" si="7"/>
        <v>0</v>
      </c>
      <c r="F110" s="72">
        <f t="shared" si="8"/>
        <v>0</v>
      </c>
      <c r="G110" s="115">
        <f t="shared" si="9"/>
        <v>0</v>
      </c>
      <c r="H110" s="114">
        <v>0</v>
      </c>
      <c r="I110" s="72">
        <v>0</v>
      </c>
      <c r="J110" s="72">
        <v>0</v>
      </c>
      <c r="K110" s="115">
        <v>0</v>
      </c>
      <c r="L110" s="114">
        <v>0</v>
      </c>
      <c r="M110" s="72">
        <v>0</v>
      </c>
      <c r="N110" s="72">
        <v>0</v>
      </c>
      <c r="O110" s="115">
        <v>0</v>
      </c>
    </row>
    <row r="111" spans="1:15">
      <c r="A111" t="s">
        <v>107</v>
      </c>
      <c r="B111" t="s">
        <v>108</v>
      </c>
      <c r="C111" s="114">
        <f>IF(VLOOKUP(A111,'School Year 2021-22'!A:AN,'School Year 2021-22'!$R$1,FALSE)&gt;0,VLOOKUP(A111,'School Year 2021-22'!A:AN,'School Year 2021-22'!$U$1,FALSE)-VLOOKUP(A111,'School Year 2021-22'!A:AN,'School Year 2021-22'!$W$1,FALSE),0)+IF((VLOOKUP(A111,'School Year 2021-22'!A:AN,'School Year 2021-22'!$S$1,FALSE)+(VLOOKUP(A111,'School Year 2021-22'!A:AN,'School Year 2021-22'!$T$1,FALSE)))&gt;0,VLOOKUP(A111,'School Year 2021-22'!A:AN,'School Year 2021-22'!$V$1,FALSE)-VLOOKUP(A111,'School Year 2021-22'!A:AN,'School Year 2021-22'!$W$1,FALSE),0)</f>
        <v>0</v>
      </c>
      <c r="D111" s="72">
        <f t="shared" si="6"/>
        <v>0</v>
      </c>
      <c r="E111" s="72">
        <f t="shared" si="7"/>
        <v>0</v>
      </c>
      <c r="F111" s="72">
        <f t="shared" si="8"/>
        <v>0</v>
      </c>
      <c r="G111" s="115">
        <f t="shared" si="9"/>
        <v>0</v>
      </c>
      <c r="H111" s="114">
        <v>0</v>
      </c>
      <c r="I111" s="72">
        <v>0</v>
      </c>
      <c r="J111" s="72">
        <v>0</v>
      </c>
      <c r="K111" s="115">
        <v>0</v>
      </c>
      <c r="L111" s="114">
        <v>0</v>
      </c>
      <c r="M111" s="72">
        <v>0</v>
      </c>
      <c r="N111" s="72">
        <v>0</v>
      </c>
      <c r="O111" s="115">
        <v>0</v>
      </c>
    </row>
    <row r="112" spans="1:15">
      <c r="A112" t="s">
        <v>435</v>
      </c>
      <c r="B112" t="s">
        <v>436</v>
      </c>
      <c r="C112" s="114">
        <f>IF(VLOOKUP(A112,'School Year 2021-22'!A:AN,'School Year 2021-22'!$R$1,FALSE)&gt;0,VLOOKUP(A112,'School Year 2021-22'!A:AN,'School Year 2021-22'!$U$1,FALSE)-VLOOKUP(A112,'School Year 2021-22'!A:AN,'School Year 2021-22'!$W$1,FALSE),0)+IF((VLOOKUP(A112,'School Year 2021-22'!A:AN,'School Year 2021-22'!$S$1,FALSE)+(VLOOKUP(A112,'School Year 2021-22'!A:AN,'School Year 2021-22'!$T$1,FALSE)))&gt;0,VLOOKUP(A112,'School Year 2021-22'!A:AN,'School Year 2021-22'!$V$1,FALSE)-VLOOKUP(A112,'School Year 2021-22'!A:AN,'School Year 2021-22'!$W$1,FALSE),0)</f>
        <v>0</v>
      </c>
      <c r="D112" s="72">
        <f t="shared" si="6"/>
        <v>0</v>
      </c>
      <c r="E112" s="72">
        <f t="shared" si="7"/>
        <v>0</v>
      </c>
      <c r="F112" s="72">
        <f t="shared" si="8"/>
        <v>0</v>
      </c>
      <c r="G112" s="115">
        <f t="shared" si="9"/>
        <v>0</v>
      </c>
      <c r="H112" s="114">
        <v>0</v>
      </c>
      <c r="I112" s="72">
        <v>0</v>
      </c>
      <c r="J112" s="72">
        <v>0</v>
      </c>
      <c r="K112" s="115">
        <v>0</v>
      </c>
      <c r="L112" s="114">
        <v>0</v>
      </c>
      <c r="M112" s="72">
        <v>0</v>
      </c>
      <c r="N112" s="72">
        <v>0</v>
      </c>
      <c r="O112" s="115">
        <v>0</v>
      </c>
    </row>
    <row r="113" spans="1:15">
      <c r="A113" t="s">
        <v>211</v>
      </c>
      <c r="B113" t="s">
        <v>212</v>
      </c>
      <c r="C113" s="114">
        <f>IF(VLOOKUP(A113,'School Year 2021-22'!A:AN,'School Year 2021-22'!$R$1,FALSE)&gt;0,VLOOKUP(A113,'School Year 2021-22'!A:AN,'School Year 2021-22'!$U$1,FALSE)-VLOOKUP(A113,'School Year 2021-22'!A:AN,'School Year 2021-22'!$W$1,FALSE),0)+IF((VLOOKUP(A113,'School Year 2021-22'!A:AN,'School Year 2021-22'!$S$1,FALSE)+(VLOOKUP(A113,'School Year 2021-22'!A:AN,'School Year 2021-22'!$T$1,FALSE)))&gt;0,VLOOKUP(A113,'School Year 2021-22'!A:AN,'School Year 2021-22'!$V$1,FALSE)-VLOOKUP(A113,'School Year 2021-22'!A:AN,'School Year 2021-22'!$W$1,FALSE),0)</f>
        <v>963.32099851662133</v>
      </c>
      <c r="D113" s="72">
        <f t="shared" si="6"/>
        <v>963.32099851662133</v>
      </c>
      <c r="E113" s="72">
        <f t="shared" si="7"/>
        <v>963.32099851662133</v>
      </c>
      <c r="F113" s="72">
        <f t="shared" si="8"/>
        <v>963.32099851662133</v>
      </c>
      <c r="G113" s="115">
        <f t="shared" si="9"/>
        <v>963.32099851662133</v>
      </c>
      <c r="H113" s="114">
        <v>952.43799506516825</v>
      </c>
      <c r="I113" s="72">
        <v>986.27395888754472</v>
      </c>
      <c r="J113" s="72">
        <v>1004.6986447449126</v>
      </c>
      <c r="K113" s="115">
        <v>1022.4616566832483</v>
      </c>
      <c r="L113" s="114">
        <v>952.43799506516825</v>
      </c>
      <c r="M113" s="72">
        <v>915.43319193164098</v>
      </c>
      <c r="N113" s="72">
        <v>831.97642153575725</v>
      </c>
      <c r="O113" s="115">
        <v>749.96485144546386</v>
      </c>
    </row>
    <row r="114" spans="1:15">
      <c r="A114" t="s">
        <v>117</v>
      </c>
      <c r="B114" t="s">
        <v>118</v>
      </c>
      <c r="C114" s="114">
        <f>IF(VLOOKUP(A114,'School Year 2021-22'!A:AN,'School Year 2021-22'!$R$1,FALSE)&gt;0,VLOOKUP(A114,'School Year 2021-22'!A:AN,'School Year 2021-22'!$U$1,FALSE)-VLOOKUP(A114,'School Year 2021-22'!A:AN,'School Year 2021-22'!$W$1,FALSE),0)+IF((VLOOKUP(A114,'School Year 2021-22'!A:AN,'School Year 2021-22'!$S$1,FALSE)+(VLOOKUP(A114,'School Year 2021-22'!A:AN,'School Year 2021-22'!$T$1,FALSE)))&gt;0,VLOOKUP(A114,'School Year 2021-22'!A:AN,'School Year 2021-22'!$V$1,FALSE)-VLOOKUP(A114,'School Year 2021-22'!A:AN,'School Year 2021-22'!$W$1,FALSE),0)</f>
        <v>1039.6606293082959</v>
      </c>
      <c r="D114" s="72">
        <f t="shared" si="6"/>
        <v>1039.6606293082959</v>
      </c>
      <c r="E114" s="72">
        <f t="shared" si="7"/>
        <v>1039.6606293082959</v>
      </c>
      <c r="F114" s="72">
        <f t="shared" si="8"/>
        <v>1039.6606293082959</v>
      </c>
      <c r="G114" s="115">
        <f t="shared" si="9"/>
        <v>1039.6606293082959</v>
      </c>
      <c r="H114" s="114">
        <v>862.04304353640327</v>
      </c>
      <c r="I114" s="72">
        <v>893.28445406684841</v>
      </c>
      <c r="J114" s="72">
        <v>909.80500215221946</v>
      </c>
      <c r="K114" s="115">
        <v>925.52868253675024</v>
      </c>
      <c r="L114" s="114">
        <v>862.04304353640327</v>
      </c>
      <c r="M114" s="72">
        <v>829.83962665257786</v>
      </c>
      <c r="N114" s="72">
        <v>755.15663200327708</v>
      </c>
      <c r="O114" s="115">
        <v>681.80660469410941</v>
      </c>
    </row>
    <row r="115" spans="1:15">
      <c r="A115" t="s">
        <v>83</v>
      </c>
      <c r="B115" t="s">
        <v>84</v>
      </c>
      <c r="C115" s="114">
        <f>IF(VLOOKUP(A115,'School Year 2021-22'!A:AN,'School Year 2021-22'!$R$1,FALSE)&gt;0,VLOOKUP(A115,'School Year 2021-22'!A:AN,'School Year 2021-22'!$U$1,FALSE)-VLOOKUP(A115,'School Year 2021-22'!A:AN,'School Year 2021-22'!$W$1,FALSE),0)+IF((VLOOKUP(A115,'School Year 2021-22'!A:AN,'School Year 2021-22'!$S$1,FALSE)+(VLOOKUP(A115,'School Year 2021-22'!A:AN,'School Year 2021-22'!$T$1,FALSE)))&gt;0,VLOOKUP(A115,'School Year 2021-22'!A:AN,'School Year 2021-22'!$V$1,FALSE)-VLOOKUP(A115,'School Year 2021-22'!A:AN,'School Year 2021-22'!$W$1,FALSE),0)</f>
        <v>838.59320276471863</v>
      </c>
      <c r="D115" s="72">
        <f t="shared" si="6"/>
        <v>838.59320276471863</v>
      </c>
      <c r="E115" s="72">
        <f t="shared" si="7"/>
        <v>838.59320276471863</v>
      </c>
      <c r="F115" s="72">
        <f t="shared" si="8"/>
        <v>838.59320276471863</v>
      </c>
      <c r="G115" s="115">
        <f t="shared" si="9"/>
        <v>838.59320276471863</v>
      </c>
      <c r="H115" s="114">
        <v>831.44919241143998</v>
      </c>
      <c r="I115" s="72">
        <v>861.83828428673223</v>
      </c>
      <c r="J115" s="72">
        <v>877.73298695960329</v>
      </c>
      <c r="K115" s="115">
        <v>892.78638690734897</v>
      </c>
      <c r="L115" s="114">
        <v>831.44919241143998</v>
      </c>
      <c r="M115" s="72">
        <v>800.29272351994859</v>
      </c>
      <c r="N115" s="72">
        <v>727.92868593385083</v>
      </c>
      <c r="O115" s="115">
        <v>656.85624991961959</v>
      </c>
    </row>
    <row r="116" spans="1:15">
      <c r="A116" t="s">
        <v>101</v>
      </c>
      <c r="B116" t="s">
        <v>102</v>
      </c>
      <c r="C116" s="114">
        <f>IF(VLOOKUP(A116,'School Year 2021-22'!A:AN,'School Year 2021-22'!$R$1,FALSE)&gt;0,VLOOKUP(A116,'School Year 2021-22'!A:AN,'School Year 2021-22'!$U$1,FALSE)-VLOOKUP(A116,'School Year 2021-22'!A:AN,'School Year 2021-22'!$W$1,FALSE),0)+IF((VLOOKUP(A116,'School Year 2021-22'!A:AN,'School Year 2021-22'!$S$1,FALSE)+(VLOOKUP(A116,'School Year 2021-22'!A:AN,'School Year 2021-22'!$T$1,FALSE)))&gt;0,VLOOKUP(A116,'School Year 2021-22'!A:AN,'School Year 2021-22'!$V$1,FALSE)-VLOOKUP(A116,'School Year 2021-22'!A:AN,'School Year 2021-22'!$W$1,FALSE),0)</f>
        <v>0</v>
      </c>
      <c r="D116" s="72">
        <f t="shared" si="6"/>
        <v>0</v>
      </c>
      <c r="E116" s="72">
        <f t="shared" si="7"/>
        <v>0</v>
      </c>
      <c r="F116" s="72">
        <f t="shared" si="8"/>
        <v>0</v>
      </c>
      <c r="G116" s="115">
        <f t="shared" si="9"/>
        <v>0</v>
      </c>
      <c r="H116" s="114">
        <v>0</v>
      </c>
      <c r="I116" s="72">
        <v>0</v>
      </c>
      <c r="J116" s="72">
        <v>0</v>
      </c>
      <c r="K116" s="115">
        <v>0</v>
      </c>
      <c r="L116" s="114">
        <v>0</v>
      </c>
      <c r="M116" s="72">
        <v>0</v>
      </c>
      <c r="N116" s="72">
        <v>0</v>
      </c>
      <c r="O116" s="115">
        <v>0</v>
      </c>
    </row>
    <row r="117" spans="1:15">
      <c r="A117" t="s">
        <v>87</v>
      </c>
      <c r="B117" t="s">
        <v>88</v>
      </c>
      <c r="C117" s="114">
        <f>IF(VLOOKUP(A117,'School Year 2021-22'!A:AN,'School Year 2021-22'!$R$1,FALSE)&gt;0,VLOOKUP(A117,'School Year 2021-22'!A:AN,'School Year 2021-22'!$U$1,FALSE)-VLOOKUP(A117,'School Year 2021-22'!A:AN,'School Year 2021-22'!$W$1,FALSE),0)+IF((VLOOKUP(A117,'School Year 2021-22'!A:AN,'School Year 2021-22'!$S$1,FALSE)+(VLOOKUP(A117,'School Year 2021-22'!A:AN,'School Year 2021-22'!$T$1,FALSE)))&gt;0,VLOOKUP(A117,'School Year 2021-22'!A:AN,'School Year 2021-22'!$V$1,FALSE)-VLOOKUP(A117,'School Year 2021-22'!A:AN,'School Year 2021-22'!$W$1,FALSE),0)</f>
        <v>837.87910080986967</v>
      </c>
      <c r="D117" s="72">
        <f t="shared" si="6"/>
        <v>837.87910080986967</v>
      </c>
      <c r="E117" s="72">
        <f t="shared" si="7"/>
        <v>837.87910080986967</v>
      </c>
      <c r="F117" s="72">
        <f t="shared" si="8"/>
        <v>837.87910080986967</v>
      </c>
      <c r="G117" s="115">
        <f t="shared" si="9"/>
        <v>837.87910080986967</v>
      </c>
      <c r="H117" s="114">
        <v>831.44919241143998</v>
      </c>
      <c r="I117" s="72">
        <v>861.83828428673223</v>
      </c>
      <c r="J117" s="72">
        <v>877.73298695960329</v>
      </c>
      <c r="K117" s="115">
        <v>892.78638690734897</v>
      </c>
      <c r="L117" s="114">
        <v>831.44919241143998</v>
      </c>
      <c r="M117" s="72">
        <v>800.29272351994859</v>
      </c>
      <c r="N117" s="72">
        <v>727.92868593385083</v>
      </c>
      <c r="O117" s="115">
        <v>656.85624991961959</v>
      </c>
    </row>
    <row r="118" spans="1:15">
      <c r="A118" t="s">
        <v>17</v>
      </c>
      <c r="B118" t="s">
        <v>18</v>
      </c>
      <c r="C118" s="114">
        <f>IF(VLOOKUP(A118,'School Year 2021-22'!A:AN,'School Year 2021-22'!$R$1,FALSE)&gt;0,VLOOKUP(A118,'School Year 2021-22'!A:AN,'School Year 2021-22'!$U$1,FALSE)-VLOOKUP(A118,'School Year 2021-22'!A:AN,'School Year 2021-22'!$W$1,FALSE),0)+IF((VLOOKUP(A118,'School Year 2021-22'!A:AN,'School Year 2021-22'!$S$1,FALSE)+(VLOOKUP(A118,'School Year 2021-22'!A:AN,'School Year 2021-22'!$T$1,FALSE)))&gt;0,VLOOKUP(A118,'School Year 2021-22'!A:AN,'School Year 2021-22'!$V$1,FALSE)-VLOOKUP(A118,'School Year 2021-22'!A:AN,'School Year 2021-22'!$W$1,FALSE),0)</f>
        <v>2872.1436897603671</v>
      </c>
      <c r="D118" s="72">
        <f t="shared" si="6"/>
        <v>2872.1436897603671</v>
      </c>
      <c r="E118" s="72">
        <f t="shared" si="7"/>
        <v>2872.1436897603671</v>
      </c>
      <c r="F118" s="72">
        <f t="shared" si="8"/>
        <v>2872.1436897603671</v>
      </c>
      <c r="G118" s="115">
        <f t="shared" si="9"/>
        <v>2872.1436897603671</v>
      </c>
      <c r="H118" s="114">
        <v>2743.8562285484904</v>
      </c>
      <c r="I118" s="72">
        <v>2845.5334694006287</v>
      </c>
      <c r="J118" s="72">
        <v>2898.9966826168311</v>
      </c>
      <c r="K118" s="115">
        <v>2949.7474321938844</v>
      </c>
      <c r="L118" s="114">
        <v>2743.8562285484904</v>
      </c>
      <c r="M118" s="72">
        <v>2751.7557090623432</v>
      </c>
      <c r="N118" s="72">
        <v>2627.9152272959072</v>
      </c>
      <c r="O118" s="115">
        <v>2508.1074202995442</v>
      </c>
    </row>
    <row r="119" spans="1:15">
      <c r="A119" t="s">
        <v>217</v>
      </c>
      <c r="B119" t="s">
        <v>218</v>
      </c>
      <c r="C119" s="114">
        <f>IF(VLOOKUP(A119,'School Year 2021-22'!A:AN,'School Year 2021-22'!$R$1,FALSE)&gt;0,VLOOKUP(A119,'School Year 2021-22'!A:AN,'School Year 2021-22'!$U$1,FALSE)-VLOOKUP(A119,'School Year 2021-22'!A:AN,'School Year 2021-22'!$W$1,FALSE),0)+IF((VLOOKUP(A119,'School Year 2021-22'!A:AN,'School Year 2021-22'!$S$1,FALSE)+(VLOOKUP(A119,'School Year 2021-22'!A:AN,'School Year 2021-22'!$T$1,FALSE)))&gt;0,VLOOKUP(A119,'School Year 2021-22'!A:AN,'School Year 2021-22'!$V$1,FALSE)-VLOOKUP(A119,'School Year 2021-22'!A:AN,'School Year 2021-22'!$W$1,FALSE),0)</f>
        <v>851.05949861021691</v>
      </c>
      <c r="D119" s="72">
        <f t="shared" si="6"/>
        <v>851.05949861021691</v>
      </c>
      <c r="E119" s="72">
        <f t="shared" si="7"/>
        <v>851.05949861021691</v>
      </c>
      <c r="F119" s="72">
        <f t="shared" si="8"/>
        <v>851.05949861021691</v>
      </c>
      <c r="G119" s="115">
        <f t="shared" si="9"/>
        <v>851.05949861021691</v>
      </c>
      <c r="H119" s="114">
        <v>952.43799506516825</v>
      </c>
      <c r="I119" s="72">
        <v>986.27395888754472</v>
      </c>
      <c r="J119" s="72">
        <v>1004.6986447449126</v>
      </c>
      <c r="K119" s="115">
        <v>1022.4616566832483</v>
      </c>
      <c r="L119" s="114">
        <v>952.43799506516825</v>
      </c>
      <c r="M119" s="72">
        <v>915.43319193164098</v>
      </c>
      <c r="N119" s="72">
        <v>831.97642153575725</v>
      </c>
      <c r="O119" s="115">
        <v>749.96485144546386</v>
      </c>
    </row>
    <row r="120" spans="1:15">
      <c r="A120" t="s">
        <v>505</v>
      </c>
      <c r="B120" t="s">
        <v>506</v>
      </c>
      <c r="C120" s="114">
        <f>IF(VLOOKUP(A120,'School Year 2021-22'!A:AN,'School Year 2021-22'!$R$1,FALSE)&gt;0,VLOOKUP(A120,'School Year 2021-22'!A:AN,'School Year 2021-22'!$U$1,FALSE)-VLOOKUP(A120,'School Year 2021-22'!A:AN,'School Year 2021-22'!$W$1,FALSE),0)+IF((VLOOKUP(A120,'School Year 2021-22'!A:AN,'School Year 2021-22'!$S$1,FALSE)+(VLOOKUP(A120,'School Year 2021-22'!A:AN,'School Year 2021-22'!$T$1,FALSE)))&gt;0,VLOOKUP(A120,'School Year 2021-22'!A:AN,'School Year 2021-22'!$V$1,FALSE)-VLOOKUP(A120,'School Year 2021-22'!A:AN,'School Year 2021-22'!$W$1,FALSE),0)</f>
        <v>1028.7286063887614</v>
      </c>
      <c r="D120" s="72">
        <f t="shared" si="6"/>
        <v>1028.7286063887614</v>
      </c>
      <c r="E120" s="72">
        <f t="shared" si="7"/>
        <v>1028.7286063887614</v>
      </c>
      <c r="F120" s="72">
        <f t="shared" si="8"/>
        <v>1028.7286063887614</v>
      </c>
      <c r="G120" s="115">
        <f t="shared" si="9"/>
        <v>1028.7286063887614</v>
      </c>
      <c r="H120" s="114">
        <v>862.04304353640327</v>
      </c>
      <c r="I120" s="72">
        <v>893.28445406684841</v>
      </c>
      <c r="J120" s="72">
        <v>909.80500215221946</v>
      </c>
      <c r="K120" s="115">
        <v>925.52868253675024</v>
      </c>
      <c r="L120" s="114">
        <v>862.04304353640327</v>
      </c>
      <c r="M120" s="72">
        <v>829.83962665257786</v>
      </c>
      <c r="N120" s="72">
        <v>755.15663200327708</v>
      </c>
      <c r="O120" s="115">
        <v>681.80660469410941</v>
      </c>
    </row>
    <row r="121" spans="1:15">
      <c r="A121" t="s">
        <v>21</v>
      </c>
      <c r="B121" t="s">
        <v>22</v>
      </c>
      <c r="C121" s="114">
        <f>IF(VLOOKUP(A121,'School Year 2021-22'!A:AN,'School Year 2021-22'!$R$1,FALSE)&gt;0,VLOOKUP(A121,'School Year 2021-22'!A:AN,'School Year 2021-22'!$U$1,FALSE)-VLOOKUP(A121,'School Year 2021-22'!A:AN,'School Year 2021-22'!$W$1,FALSE),0)+IF((VLOOKUP(A121,'School Year 2021-22'!A:AN,'School Year 2021-22'!$S$1,FALSE)+(VLOOKUP(A121,'School Year 2021-22'!A:AN,'School Year 2021-22'!$T$1,FALSE)))&gt;0,VLOOKUP(A121,'School Year 2021-22'!A:AN,'School Year 2021-22'!$V$1,FALSE)-VLOOKUP(A121,'School Year 2021-22'!A:AN,'School Year 2021-22'!$W$1,FALSE),0)</f>
        <v>839.67414029405245</v>
      </c>
      <c r="D121" s="72">
        <f t="shared" si="6"/>
        <v>839.67414029405245</v>
      </c>
      <c r="E121" s="72">
        <f t="shared" si="7"/>
        <v>839.67414029405245</v>
      </c>
      <c r="F121" s="72">
        <f t="shared" si="8"/>
        <v>839.67414029405245</v>
      </c>
      <c r="G121" s="115">
        <f t="shared" si="9"/>
        <v>839.67414029405245</v>
      </c>
      <c r="H121" s="114">
        <v>831.44919241143998</v>
      </c>
      <c r="I121" s="72">
        <v>861.83828428673223</v>
      </c>
      <c r="J121" s="72">
        <v>877.73298695960329</v>
      </c>
      <c r="K121" s="115">
        <v>892.78638690734897</v>
      </c>
      <c r="L121" s="114">
        <v>831.44919241143998</v>
      </c>
      <c r="M121" s="72">
        <v>800.29272351994859</v>
      </c>
      <c r="N121" s="72">
        <v>727.92868593385083</v>
      </c>
      <c r="O121" s="115">
        <v>656.85624991961959</v>
      </c>
    </row>
    <row r="122" spans="1:15">
      <c r="A122" t="s">
        <v>247</v>
      </c>
      <c r="B122" t="s">
        <v>248</v>
      </c>
      <c r="C122" s="114">
        <f>IF(VLOOKUP(A122,'School Year 2021-22'!A:AN,'School Year 2021-22'!$R$1,FALSE)&gt;0,VLOOKUP(A122,'School Year 2021-22'!A:AN,'School Year 2021-22'!$U$1,FALSE)-VLOOKUP(A122,'School Year 2021-22'!A:AN,'School Year 2021-22'!$W$1,FALSE),0)+IF((VLOOKUP(A122,'School Year 2021-22'!A:AN,'School Year 2021-22'!$S$1,FALSE)+(VLOOKUP(A122,'School Year 2021-22'!A:AN,'School Year 2021-22'!$T$1,FALSE)))&gt;0,VLOOKUP(A122,'School Year 2021-22'!A:AN,'School Year 2021-22'!$V$1,FALSE)-VLOOKUP(A122,'School Year 2021-22'!A:AN,'School Year 2021-22'!$W$1,FALSE),0)</f>
        <v>835.26328876786374</v>
      </c>
      <c r="D122" s="72">
        <f t="shared" si="6"/>
        <v>835.26328876786374</v>
      </c>
      <c r="E122" s="72">
        <f t="shared" si="7"/>
        <v>835.26328876786374</v>
      </c>
      <c r="F122" s="72">
        <f t="shared" si="8"/>
        <v>835.26328876786374</v>
      </c>
      <c r="G122" s="115">
        <f t="shared" si="9"/>
        <v>835.26328876786374</v>
      </c>
      <c r="H122" s="114">
        <v>831.44919241143998</v>
      </c>
      <c r="I122" s="72">
        <v>861.83828428673223</v>
      </c>
      <c r="J122" s="72">
        <v>877.73298695960329</v>
      </c>
      <c r="K122" s="115">
        <v>892.78638690734897</v>
      </c>
      <c r="L122" s="114">
        <v>831.44919241143998</v>
      </c>
      <c r="M122" s="72">
        <v>800.29272351994859</v>
      </c>
      <c r="N122" s="72">
        <v>727.92868593385083</v>
      </c>
      <c r="O122" s="115">
        <v>656.85624991961959</v>
      </c>
    </row>
    <row r="123" spans="1:15">
      <c r="A123" t="s">
        <v>261</v>
      </c>
      <c r="B123" t="s">
        <v>262</v>
      </c>
      <c r="C123" s="114">
        <f>IF(VLOOKUP(A123,'School Year 2021-22'!A:AN,'School Year 2021-22'!$R$1,FALSE)&gt;0,VLOOKUP(A123,'School Year 2021-22'!A:AN,'School Year 2021-22'!$U$1,FALSE)-VLOOKUP(A123,'School Year 2021-22'!A:AN,'School Year 2021-22'!$W$1,FALSE),0)+IF((VLOOKUP(A123,'School Year 2021-22'!A:AN,'School Year 2021-22'!$S$1,FALSE)+(VLOOKUP(A123,'School Year 2021-22'!A:AN,'School Year 2021-22'!$T$1,FALSE)))&gt;0,VLOOKUP(A123,'School Year 2021-22'!A:AN,'School Year 2021-22'!$V$1,FALSE)-VLOOKUP(A123,'School Year 2021-22'!A:AN,'School Year 2021-22'!$W$1,FALSE),0)</f>
        <v>0</v>
      </c>
      <c r="D123" s="72">
        <f t="shared" si="6"/>
        <v>0</v>
      </c>
      <c r="E123" s="72">
        <f t="shared" si="7"/>
        <v>0</v>
      </c>
      <c r="F123" s="72">
        <f t="shared" si="8"/>
        <v>0</v>
      </c>
      <c r="G123" s="115">
        <f t="shared" si="9"/>
        <v>0</v>
      </c>
      <c r="H123" s="114">
        <v>0</v>
      </c>
      <c r="I123" s="72">
        <v>0</v>
      </c>
      <c r="J123" s="72">
        <v>0</v>
      </c>
      <c r="K123" s="115">
        <v>0</v>
      </c>
      <c r="L123" s="114">
        <v>0</v>
      </c>
      <c r="M123" s="72">
        <v>0</v>
      </c>
      <c r="N123" s="72">
        <v>0</v>
      </c>
      <c r="O123" s="115">
        <v>0</v>
      </c>
    </row>
    <row r="124" spans="1:15">
      <c r="A124" t="s">
        <v>59</v>
      </c>
      <c r="B124" t="s">
        <v>60</v>
      </c>
      <c r="C124" s="114">
        <f>IF(VLOOKUP(A124,'School Year 2021-22'!A:AN,'School Year 2021-22'!$R$1,FALSE)&gt;0,VLOOKUP(A124,'School Year 2021-22'!A:AN,'School Year 2021-22'!$U$1,FALSE)-VLOOKUP(A124,'School Year 2021-22'!A:AN,'School Year 2021-22'!$W$1,FALSE),0)+IF((VLOOKUP(A124,'School Year 2021-22'!A:AN,'School Year 2021-22'!$S$1,FALSE)+(VLOOKUP(A124,'School Year 2021-22'!A:AN,'School Year 2021-22'!$T$1,FALSE)))&gt;0,VLOOKUP(A124,'School Year 2021-22'!A:AN,'School Year 2021-22'!$V$1,FALSE)-VLOOKUP(A124,'School Year 2021-22'!A:AN,'School Year 2021-22'!$W$1,FALSE),0)</f>
        <v>1071.0640418113417</v>
      </c>
      <c r="D124" s="72">
        <f t="shared" si="6"/>
        <v>1071.0640418113417</v>
      </c>
      <c r="E124" s="72">
        <f t="shared" si="7"/>
        <v>1071.0640418113417</v>
      </c>
      <c r="F124" s="72">
        <f t="shared" si="8"/>
        <v>1071.0640418113417</v>
      </c>
      <c r="G124" s="115">
        <f t="shared" si="9"/>
        <v>1071.0640418113417</v>
      </c>
      <c r="H124" s="114">
        <v>902.37264442098058</v>
      </c>
      <c r="I124" s="72">
        <v>934.76301226712076</v>
      </c>
      <c r="J124" s="72">
        <v>952.12688808065559</v>
      </c>
      <c r="K124" s="115">
        <v>968.75377246205062</v>
      </c>
      <c r="L124" s="114">
        <v>902.37264442098058</v>
      </c>
      <c r="M124" s="72">
        <v>868.21978278981078</v>
      </c>
      <c r="N124" s="72">
        <v>789.83921053724589</v>
      </c>
      <c r="O124" s="115">
        <v>712.84280520272478</v>
      </c>
    </row>
    <row r="125" spans="1:15">
      <c r="A125" t="s">
        <v>409</v>
      </c>
      <c r="B125" t="s">
        <v>410</v>
      </c>
      <c r="C125" s="114">
        <f>IF(VLOOKUP(A125,'School Year 2021-22'!A:AN,'School Year 2021-22'!$R$1,FALSE)&gt;0,VLOOKUP(A125,'School Year 2021-22'!A:AN,'School Year 2021-22'!$U$1,FALSE)-VLOOKUP(A125,'School Year 2021-22'!A:AN,'School Year 2021-22'!$W$1,FALSE),0)+IF((VLOOKUP(A125,'School Year 2021-22'!A:AN,'School Year 2021-22'!$S$1,FALSE)+(VLOOKUP(A125,'School Year 2021-22'!A:AN,'School Year 2021-22'!$T$1,FALSE)))&gt;0,VLOOKUP(A125,'School Year 2021-22'!A:AN,'School Year 2021-22'!$V$1,FALSE)-VLOOKUP(A125,'School Year 2021-22'!A:AN,'School Year 2021-22'!$W$1,FALSE),0)</f>
        <v>1117.0949379930935</v>
      </c>
      <c r="D125" s="72">
        <f t="shared" si="6"/>
        <v>1117.0949379930935</v>
      </c>
      <c r="E125" s="72">
        <f t="shared" si="7"/>
        <v>1117.0949379930935</v>
      </c>
      <c r="F125" s="72">
        <f t="shared" si="8"/>
        <v>1117.0949379930935</v>
      </c>
      <c r="G125" s="115">
        <f t="shared" si="9"/>
        <v>1117.0949379930935</v>
      </c>
      <c r="H125" s="114">
        <v>942.70224530555515</v>
      </c>
      <c r="I125" s="72">
        <v>976.2415704673931</v>
      </c>
      <c r="J125" s="72">
        <v>994.4487740090899</v>
      </c>
      <c r="K125" s="115">
        <v>1011.9788623873501</v>
      </c>
      <c r="L125" s="114">
        <v>942.70224530555515</v>
      </c>
      <c r="M125" s="72">
        <v>906.59993892704006</v>
      </c>
      <c r="N125" s="72">
        <v>824.52178907121561</v>
      </c>
      <c r="O125" s="115">
        <v>743.87900571133832</v>
      </c>
    </row>
    <row r="126" spans="1:15">
      <c r="A126" t="s">
        <v>555</v>
      </c>
      <c r="B126" t="s">
        <v>556</v>
      </c>
      <c r="C126" s="114">
        <f>IF(VLOOKUP(A126,'School Year 2021-22'!A:AN,'School Year 2021-22'!$R$1,FALSE)&gt;0,VLOOKUP(A126,'School Year 2021-22'!A:AN,'School Year 2021-22'!$U$1,FALSE)-VLOOKUP(A126,'School Year 2021-22'!A:AN,'School Year 2021-22'!$W$1,FALSE),0)+IF((VLOOKUP(A126,'School Year 2021-22'!A:AN,'School Year 2021-22'!$S$1,FALSE)+(VLOOKUP(A126,'School Year 2021-22'!A:AN,'School Year 2021-22'!$T$1,FALSE)))&gt;0,VLOOKUP(A126,'School Year 2021-22'!A:AN,'School Year 2021-22'!$V$1,FALSE)-VLOOKUP(A126,'School Year 2021-22'!A:AN,'School Year 2021-22'!$W$1,FALSE),0)</f>
        <v>6652.1639692216468</v>
      </c>
      <c r="D126" s="72">
        <f t="shared" si="6"/>
        <v>6652.1639692216468</v>
      </c>
      <c r="E126" s="72">
        <f t="shared" si="7"/>
        <v>6652.1639692216468</v>
      </c>
      <c r="F126" s="72">
        <f t="shared" si="8"/>
        <v>6652.1639692216468</v>
      </c>
      <c r="G126" s="115">
        <f t="shared" si="9"/>
        <v>6652.1639692216468</v>
      </c>
      <c r="H126" s="114">
        <v>862.04304353640327</v>
      </c>
      <c r="I126" s="72">
        <v>893.28445406684841</v>
      </c>
      <c r="J126" s="72">
        <v>909.80500215221946</v>
      </c>
      <c r="K126" s="115">
        <v>925.52868253675024</v>
      </c>
      <c r="L126" s="114">
        <v>862.04304353640327</v>
      </c>
      <c r="M126" s="72">
        <v>829.83962665257786</v>
      </c>
      <c r="N126" s="72">
        <v>755.15663200327708</v>
      </c>
      <c r="O126" s="115">
        <v>681.80660469410941</v>
      </c>
    </row>
    <row r="127" spans="1:15">
      <c r="A127" t="s">
        <v>35</v>
      </c>
      <c r="B127" t="s">
        <v>36</v>
      </c>
      <c r="C127" s="114">
        <f>IF(VLOOKUP(A127,'School Year 2021-22'!A:AN,'School Year 2021-22'!$R$1,FALSE)&gt;0,VLOOKUP(A127,'School Year 2021-22'!A:AN,'School Year 2021-22'!$U$1,FALSE)-VLOOKUP(A127,'School Year 2021-22'!A:AN,'School Year 2021-22'!$W$1,FALSE),0)+IF((VLOOKUP(A127,'School Year 2021-22'!A:AN,'School Year 2021-22'!$S$1,FALSE)+(VLOOKUP(A127,'School Year 2021-22'!A:AN,'School Year 2021-22'!$T$1,FALSE)))&gt;0,VLOOKUP(A127,'School Year 2021-22'!A:AN,'School Year 2021-22'!$V$1,FALSE)-VLOOKUP(A127,'School Year 2021-22'!A:AN,'School Year 2021-22'!$W$1,FALSE),0)</f>
        <v>616.32938811329223</v>
      </c>
      <c r="D127" s="72">
        <f t="shared" si="6"/>
        <v>616.32938811329223</v>
      </c>
      <c r="E127" s="72">
        <f t="shared" si="7"/>
        <v>616.32938811329223</v>
      </c>
      <c r="F127" s="72">
        <f t="shared" si="8"/>
        <v>616.32938811329223</v>
      </c>
      <c r="G127" s="115">
        <f t="shared" si="9"/>
        <v>616.32938811329223</v>
      </c>
      <c r="H127" s="114">
        <v>831.44919241143998</v>
      </c>
      <c r="I127" s="72">
        <v>861.83828428673223</v>
      </c>
      <c r="J127" s="72">
        <v>877.73298695960329</v>
      </c>
      <c r="K127" s="115">
        <v>892.78638690734897</v>
      </c>
      <c r="L127" s="114">
        <v>831.44919241143998</v>
      </c>
      <c r="M127" s="72">
        <v>800.29272351994859</v>
      </c>
      <c r="N127" s="72">
        <v>727.92868593385083</v>
      </c>
      <c r="O127" s="115">
        <v>656.85624991961959</v>
      </c>
    </row>
    <row r="128" spans="1:15">
      <c r="A128" t="s">
        <v>155</v>
      </c>
      <c r="B128" t="s">
        <v>156</v>
      </c>
      <c r="C128" s="114">
        <f>IF(VLOOKUP(A128,'School Year 2021-22'!A:AN,'School Year 2021-22'!$R$1,FALSE)&gt;0,VLOOKUP(A128,'School Year 2021-22'!A:AN,'School Year 2021-22'!$U$1,FALSE)-VLOOKUP(A128,'School Year 2021-22'!A:AN,'School Year 2021-22'!$W$1,FALSE),0)+IF((VLOOKUP(A128,'School Year 2021-22'!A:AN,'School Year 2021-22'!$S$1,FALSE)+(VLOOKUP(A128,'School Year 2021-22'!A:AN,'School Year 2021-22'!$T$1,FALSE)))&gt;0,VLOOKUP(A128,'School Year 2021-22'!A:AN,'School Year 2021-22'!$V$1,FALSE)-VLOOKUP(A128,'School Year 2021-22'!A:AN,'School Year 2021-22'!$W$1,FALSE),0)</f>
        <v>824.96530322134004</v>
      </c>
      <c r="D128" s="72">
        <f t="shared" si="6"/>
        <v>824.96530322134004</v>
      </c>
      <c r="E128" s="72">
        <f t="shared" si="7"/>
        <v>824.96530322134004</v>
      </c>
      <c r="F128" s="72">
        <f t="shared" si="8"/>
        <v>824.96530322134004</v>
      </c>
      <c r="G128" s="115">
        <f t="shared" si="9"/>
        <v>824.96530322134004</v>
      </c>
      <c r="H128" s="114">
        <v>831.44919241143998</v>
      </c>
      <c r="I128" s="72">
        <v>861.83828428673223</v>
      </c>
      <c r="J128" s="72">
        <v>877.73298695960329</v>
      </c>
      <c r="K128" s="115">
        <v>892.78638690734897</v>
      </c>
      <c r="L128" s="114">
        <v>831.44919241143998</v>
      </c>
      <c r="M128" s="72">
        <v>800.29272351994859</v>
      </c>
      <c r="N128" s="72">
        <v>727.92868593385083</v>
      </c>
      <c r="O128" s="115">
        <v>656.85624991961959</v>
      </c>
    </row>
    <row r="129" spans="1:15">
      <c r="A129" t="s">
        <v>425</v>
      </c>
      <c r="B129" t="s">
        <v>426</v>
      </c>
      <c r="C129" s="114">
        <f>IF(VLOOKUP(A129,'School Year 2021-22'!A:AN,'School Year 2021-22'!$R$1,FALSE)&gt;0,VLOOKUP(A129,'School Year 2021-22'!A:AN,'School Year 2021-22'!$U$1,FALSE)-VLOOKUP(A129,'School Year 2021-22'!A:AN,'School Year 2021-22'!$W$1,FALSE),0)+IF((VLOOKUP(A129,'School Year 2021-22'!A:AN,'School Year 2021-22'!$S$1,FALSE)+(VLOOKUP(A129,'School Year 2021-22'!A:AN,'School Year 2021-22'!$T$1,FALSE)))&gt;0,VLOOKUP(A129,'School Year 2021-22'!A:AN,'School Year 2021-22'!$V$1,FALSE)-VLOOKUP(A129,'School Year 2021-22'!A:AN,'School Year 2021-22'!$W$1,FALSE),0)</f>
        <v>2095.1025557187722</v>
      </c>
      <c r="D129" s="72">
        <f t="shared" si="6"/>
        <v>2095.1025557187722</v>
      </c>
      <c r="E129" s="72">
        <f t="shared" si="7"/>
        <v>2095.1025557187722</v>
      </c>
      <c r="F129" s="72">
        <f t="shared" si="8"/>
        <v>2095.1025557187722</v>
      </c>
      <c r="G129" s="115">
        <f t="shared" si="9"/>
        <v>2095.1025557187722</v>
      </c>
      <c r="H129" s="114">
        <v>965.88119536002887</v>
      </c>
      <c r="I129" s="72">
        <v>986.27395888754472</v>
      </c>
      <c r="J129" s="72">
        <v>1004.6986447449126</v>
      </c>
      <c r="K129" s="115">
        <v>1022.4616566832483</v>
      </c>
      <c r="L129" s="114">
        <v>965.88119536002887</v>
      </c>
      <c r="M129" s="72">
        <v>915.43319193164098</v>
      </c>
      <c r="N129" s="72">
        <v>831.97642153575725</v>
      </c>
      <c r="O129" s="115">
        <v>749.96485144546386</v>
      </c>
    </row>
    <row r="130" spans="1:15">
      <c r="A130" t="s">
        <v>215</v>
      </c>
      <c r="B130" t="s">
        <v>216</v>
      </c>
      <c r="C130" s="114">
        <f>IF(VLOOKUP(A130,'School Year 2021-22'!A:AN,'School Year 2021-22'!$R$1,FALSE)&gt;0,VLOOKUP(A130,'School Year 2021-22'!A:AN,'School Year 2021-22'!$U$1,FALSE)-VLOOKUP(A130,'School Year 2021-22'!A:AN,'School Year 2021-22'!$W$1,FALSE),0)+IF((VLOOKUP(A130,'School Year 2021-22'!A:AN,'School Year 2021-22'!$S$1,FALSE)+(VLOOKUP(A130,'School Year 2021-22'!A:AN,'School Year 2021-22'!$T$1,FALSE)))&gt;0,VLOOKUP(A130,'School Year 2021-22'!A:AN,'School Year 2021-22'!$V$1,FALSE)-VLOOKUP(A130,'School Year 2021-22'!A:AN,'School Year 2021-22'!$W$1,FALSE),0)</f>
        <v>3311.528011103961</v>
      </c>
      <c r="D130" s="72">
        <f t="shared" si="6"/>
        <v>3311.528011103961</v>
      </c>
      <c r="E130" s="72">
        <f t="shared" si="7"/>
        <v>3311.528011103961</v>
      </c>
      <c r="F130" s="72">
        <f t="shared" si="8"/>
        <v>3311.528011103961</v>
      </c>
      <c r="G130" s="115">
        <f t="shared" si="9"/>
        <v>3311.528011103961</v>
      </c>
      <c r="H130" s="114">
        <v>3158.4201404148171</v>
      </c>
      <c r="I130" s="72">
        <v>3271.7147029627758</v>
      </c>
      <c r="J130" s="72">
        <v>3333.7074539230234</v>
      </c>
      <c r="K130" s="115">
        <v>3393.5933384239397</v>
      </c>
      <c r="L130" s="114">
        <v>3158.4201404148171</v>
      </c>
      <c r="M130" s="72">
        <v>3164.389764429181</v>
      </c>
      <c r="N130" s="72">
        <v>3022.0324579930402</v>
      </c>
      <c r="O130" s="115">
        <v>2884.2796481101523</v>
      </c>
    </row>
    <row r="131" spans="1:15">
      <c r="A131" t="s">
        <v>441</v>
      </c>
      <c r="B131" t="s">
        <v>442</v>
      </c>
      <c r="C131" s="114">
        <f>IF(VLOOKUP(A131,'School Year 2021-22'!A:AN,'School Year 2021-22'!$R$1,FALSE)&gt;0,VLOOKUP(A131,'School Year 2021-22'!A:AN,'School Year 2021-22'!$U$1,FALSE)-VLOOKUP(A131,'School Year 2021-22'!A:AN,'School Year 2021-22'!$W$1,FALSE),0)+IF((VLOOKUP(A131,'School Year 2021-22'!A:AN,'School Year 2021-22'!$S$1,FALSE)+(VLOOKUP(A131,'School Year 2021-22'!A:AN,'School Year 2021-22'!$T$1,FALSE)))&gt;0,VLOOKUP(A131,'School Year 2021-22'!A:AN,'School Year 2021-22'!$V$1,FALSE)-VLOOKUP(A131,'School Year 2021-22'!A:AN,'School Year 2021-22'!$W$1,FALSE),0)</f>
        <v>838.28968465727485</v>
      </c>
      <c r="D131" s="72">
        <f t="shared" si="6"/>
        <v>838.28968465727485</v>
      </c>
      <c r="E131" s="72">
        <f t="shared" si="7"/>
        <v>838.28968465727485</v>
      </c>
      <c r="F131" s="72">
        <f t="shared" si="8"/>
        <v>838.28968465727485</v>
      </c>
      <c r="G131" s="115">
        <f t="shared" si="9"/>
        <v>838.28968465727485</v>
      </c>
      <c r="H131" s="114">
        <v>938.99479477031036</v>
      </c>
      <c r="I131" s="72">
        <v>965.53467978740809</v>
      </c>
      <c r="J131" s="72">
        <v>983.53770178069317</v>
      </c>
      <c r="K131" s="115">
        <v>1000.8491117205995</v>
      </c>
      <c r="L131" s="114">
        <v>938.99479477031036</v>
      </c>
      <c r="M131" s="72">
        <v>896.24311386302543</v>
      </c>
      <c r="N131" s="72">
        <v>814.63513226877149</v>
      </c>
      <c r="O131" s="115">
        <v>734.44675119115345</v>
      </c>
    </row>
    <row r="132" spans="1:15">
      <c r="A132" t="s">
        <v>557</v>
      </c>
      <c r="B132" t="s">
        <v>558</v>
      </c>
      <c r="C132" s="114">
        <f>IF(VLOOKUP(A132,'School Year 2021-22'!A:AN,'School Year 2021-22'!$R$1,FALSE)&gt;0,VLOOKUP(A132,'School Year 2021-22'!A:AN,'School Year 2021-22'!$U$1,FALSE)-VLOOKUP(A132,'School Year 2021-22'!A:AN,'School Year 2021-22'!$W$1,FALSE),0)+IF((VLOOKUP(A132,'School Year 2021-22'!A:AN,'School Year 2021-22'!$S$1,FALSE)+(VLOOKUP(A132,'School Year 2021-22'!A:AN,'School Year 2021-22'!$T$1,FALSE)))&gt;0,VLOOKUP(A132,'School Year 2021-22'!A:AN,'School Year 2021-22'!$V$1,FALSE)-VLOOKUP(A132,'School Year 2021-22'!A:AN,'School Year 2021-22'!$W$1,FALSE),0)</f>
        <v>0</v>
      </c>
      <c r="D132" s="72">
        <f t="shared" si="6"/>
        <v>0</v>
      </c>
      <c r="E132" s="72">
        <f t="shared" si="7"/>
        <v>0</v>
      </c>
      <c r="F132" s="72">
        <f t="shared" si="8"/>
        <v>0</v>
      </c>
      <c r="G132" s="115">
        <f t="shared" si="9"/>
        <v>0</v>
      </c>
      <c r="H132" s="114">
        <v>0</v>
      </c>
      <c r="I132" s="72">
        <v>0</v>
      </c>
      <c r="J132" s="72">
        <v>0</v>
      </c>
      <c r="K132" s="115">
        <v>0</v>
      </c>
      <c r="L132" s="114">
        <v>0</v>
      </c>
      <c r="M132" s="72">
        <v>0</v>
      </c>
      <c r="N132" s="72">
        <v>0</v>
      </c>
      <c r="O132" s="115">
        <v>0</v>
      </c>
    </row>
    <row r="133" spans="1:15">
      <c r="A133" t="s">
        <v>471</v>
      </c>
      <c r="B133" t="s">
        <v>472</v>
      </c>
      <c r="C133" s="114">
        <f>IF(VLOOKUP(A133,'School Year 2021-22'!A:AN,'School Year 2021-22'!$R$1,FALSE)&gt;0,VLOOKUP(A133,'School Year 2021-22'!A:AN,'School Year 2021-22'!$U$1,FALSE)-VLOOKUP(A133,'School Year 2021-22'!A:AN,'School Year 2021-22'!$W$1,FALSE),0)+IF((VLOOKUP(A133,'School Year 2021-22'!A:AN,'School Year 2021-22'!$S$1,FALSE)+(VLOOKUP(A133,'School Year 2021-22'!A:AN,'School Year 2021-22'!$T$1,FALSE)))&gt;0,VLOOKUP(A133,'School Year 2021-22'!A:AN,'School Year 2021-22'!$V$1,FALSE)-VLOOKUP(A133,'School Year 2021-22'!A:AN,'School Year 2021-22'!$W$1,FALSE),0)</f>
        <v>839.22636705112654</v>
      </c>
      <c r="D133" s="72">
        <f t="shared" si="6"/>
        <v>839.22636705112654</v>
      </c>
      <c r="E133" s="72">
        <f t="shared" si="7"/>
        <v>839.22636705112654</v>
      </c>
      <c r="F133" s="72">
        <f t="shared" si="8"/>
        <v>839.22636705112654</v>
      </c>
      <c r="G133" s="115">
        <f t="shared" si="9"/>
        <v>839.22636705112654</v>
      </c>
      <c r="H133" s="114">
        <v>831.44919241143998</v>
      </c>
      <c r="I133" s="72">
        <v>861.83828428673223</v>
      </c>
      <c r="J133" s="72">
        <v>877.73298695960329</v>
      </c>
      <c r="K133" s="115">
        <v>892.78638690734897</v>
      </c>
      <c r="L133" s="114">
        <v>831.44919241143998</v>
      </c>
      <c r="M133" s="72">
        <v>800.29272351994859</v>
      </c>
      <c r="N133" s="72">
        <v>727.92868593385083</v>
      </c>
      <c r="O133" s="115">
        <v>656.85624991961959</v>
      </c>
    </row>
    <row r="134" spans="1:15">
      <c r="A134" t="s">
        <v>9</v>
      </c>
      <c r="B134" t="s">
        <v>10</v>
      </c>
      <c r="C134" s="114">
        <f>IF(VLOOKUP(A134,'School Year 2021-22'!A:AN,'School Year 2021-22'!$R$1,FALSE)&gt;0,VLOOKUP(A134,'School Year 2021-22'!A:AN,'School Year 2021-22'!$U$1,FALSE)-VLOOKUP(A134,'School Year 2021-22'!A:AN,'School Year 2021-22'!$W$1,FALSE),0)+IF((VLOOKUP(A134,'School Year 2021-22'!A:AN,'School Year 2021-22'!$S$1,FALSE)+(VLOOKUP(A134,'School Year 2021-22'!A:AN,'School Year 2021-22'!$T$1,FALSE)))&gt;0,VLOOKUP(A134,'School Year 2021-22'!A:AN,'School Year 2021-22'!$V$1,FALSE)-VLOOKUP(A134,'School Year 2021-22'!A:AN,'School Year 2021-22'!$W$1,FALSE),0)</f>
        <v>832.26331672724973</v>
      </c>
      <c r="D134" s="72">
        <f t="shared" ref="D134:D197" si="10">C134</f>
        <v>832.26331672724973</v>
      </c>
      <c r="E134" s="72">
        <f t="shared" ref="E134:E197" si="11">D134</f>
        <v>832.26331672724973</v>
      </c>
      <c r="F134" s="72">
        <f t="shared" ref="F134:F197" si="12">E134</f>
        <v>832.26331672724973</v>
      </c>
      <c r="G134" s="115">
        <f t="shared" ref="G134:G197" si="13">F134</f>
        <v>832.26331672724973</v>
      </c>
      <c r="H134" s="114">
        <v>831.44919241143998</v>
      </c>
      <c r="I134" s="72">
        <v>861.83828428673223</v>
      </c>
      <c r="J134" s="72">
        <v>877.73298695960329</v>
      </c>
      <c r="K134" s="115">
        <v>892.78638690734897</v>
      </c>
      <c r="L134" s="114">
        <v>831.44919241143998</v>
      </c>
      <c r="M134" s="72">
        <v>800.29272351994859</v>
      </c>
      <c r="N134" s="72">
        <v>727.92868593385083</v>
      </c>
      <c r="O134" s="115">
        <v>656.85624991961959</v>
      </c>
    </row>
    <row r="135" spans="1:15">
      <c r="A135" t="s">
        <v>77</v>
      </c>
      <c r="B135" t="s">
        <v>78</v>
      </c>
      <c r="C135" s="114">
        <f>IF(VLOOKUP(A135,'School Year 2021-22'!A:AN,'School Year 2021-22'!$R$1,FALSE)&gt;0,VLOOKUP(A135,'School Year 2021-22'!A:AN,'School Year 2021-22'!$U$1,FALSE)-VLOOKUP(A135,'School Year 2021-22'!A:AN,'School Year 2021-22'!$W$1,FALSE),0)+IF((VLOOKUP(A135,'School Year 2021-22'!A:AN,'School Year 2021-22'!$S$1,FALSE)+(VLOOKUP(A135,'School Year 2021-22'!A:AN,'School Year 2021-22'!$T$1,FALSE)))&gt;0,VLOOKUP(A135,'School Year 2021-22'!A:AN,'School Year 2021-22'!$V$1,FALSE)-VLOOKUP(A135,'School Year 2021-22'!A:AN,'School Year 2021-22'!$W$1,FALSE),0)</f>
        <v>837.97938311531925</v>
      </c>
      <c r="D135" s="72">
        <f t="shared" si="10"/>
        <v>837.97938311531925</v>
      </c>
      <c r="E135" s="72">
        <f t="shared" si="11"/>
        <v>837.97938311531925</v>
      </c>
      <c r="F135" s="72">
        <f t="shared" si="12"/>
        <v>837.97938311531925</v>
      </c>
      <c r="G135" s="115">
        <f t="shared" si="13"/>
        <v>837.97938311531925</v>
      </c>
      <c r="H135" s="114">
        <v>831.44919241143998</v>
      </c>
      <c r="I135" s="72">
        <v>861.83828428673223</v>
      </c>
      <c r="J135" s="72">
        <v>877.73298695960329</v>
      </c>
      <c r="K135" s="115">
        <v>892.78638690734897</v>
      </c>
      <c r="L135" s="114">
        <v>831.44919241143998</v>
      </c>
      <c r="M135" s="72">
        <v>800.29272351994859</v>
      </c>
      <c r="N135" s="72">
        <v>727.92868593385083</v>
      </c>
      <c r="O135" s="115">
        <v>656.85624991961959</v>
      </c>
    </row>
    <row r="136" spans="1:15">
      <c r="A136" t="s">
        <v>493</v>
      </c>
      <c r="B136" t="s">
        <v>494</v>
      </c>
      <c r="C136" s="114">
        <f>IF(VLOOKUP(A136,'School Year 2021-22'!A:AN,'School Year 2021-22'!$R$1,FALSE)&gt;0,VLOOKUP(A136,'School Year 2021-22'!A:AN,'School Year 2021-22'!$U$1,FALSE)-VLOOKUP(A136,'School Year 2021-22'!A:AN,'School Year 2021-22'!$W$1,FALSE),0)+IF((VLOOKUP(A136,'School Year 2021-22'!A:AN,'School Year 2021-22'!$S$1,FALSE)+(VLOOKUP(A136,'School Year 2021-22'!A:AN,'School Year 2021-22'!$T$1,FALSE)))&gt;0,VLOOKUP(A136,'School Year 2021-22'!A:AN,'School Year 2021-22'!$V$1,FALSE)-VLOOKUP(A136,'School Year 2021-22'!A:AN,'School Year 2021-22'!$W$1,FALSE),0)</f>
        <v>0</v>
      </c>
      <c r="D136" s="72">
        <f t="shared" si="10"/>
        <v>0</v>
      </c>
      <c r="E136" s="72">
        <f t="shared" si="11"/>
        <v>0</v>
      </c>
      <c r="F136" s="72">
        <f t="shared" si="12"/>
        <v>0</v>
      </c>
      <c r="G136" s="115">
        <f t="shared" si="13"/>
        <v>0</v>
      </c>
      <c r="H136" s="114">
        <v>0</v>
      </c>
      <c r="I136" s="72">
        <v>0</v>
      </c>
      <c r="J136" s="72">
        <v>0</v>
      </c>
      <c r="K136" s="115">
        <v>0</v>
      </c>
      <c r="L136" s="114">
        <v>0</v>
      </c>
      <c r="M136" s="72">
        <v>0</v>
      </c>
      <c r="N136" s="72">
        <v>0</v>
      </c>
      <c r="O136" s="115">
        <v>0</v>
      </c>
    </row>
    <row r="137" spans="1:15">
      <c r="A137" t="s">
        <v>397</v>
      </c>
      <c r="B137" t="s">
        <v>398</v>
      </c>
      <c r="C137" s="114">
        <f>IF(VLOOKUP(A137,'School Year 2021-22'!A:AN,'School Year 2021-22'!$R$1,FALSE)&gt;0,VLOOKUP(A137,'School Year 2021-22'!A:AN,'School Year 2021-22'!$U$1,FALSE)-VLOOKUP(A137,'School Year 2021-22'!A:AN,'School Year 2021-22'!$W$1,FALSE),0)+IF((VLOOKUP(A137,'School Year 2021-22'!A:AN,'School Year 2021-22'!$S$1,FALSE)+(VLOOKUP(A137,'School Year 2021-22'!A:AN,'School Year 2021-22'!$T$1,FALSE)))&gt;0,VLOOKUP(A137,'School Year 2021-22'!A:AN,'School Year 2021-22'!$V$1,FALSE)-VLOOKUP(A137,'School Year 2021-22'!A:AN,'School Year 2021-22'!$W$1,FALSE),0)</f>
        <v>931.37788376416211</v>
      </c>
      <c r="D137" s="72">
        <f t="shared" si="10"/>
        <v>931.37788376416211</v>
      </c>
      <c r="E137" s="72">
        <f t="shared" si="11"/>
        <v>931.37788376416211</v>
      </c>
      <c r="F137" s="72">
        <f t="shared" si="12"/>
        <v>931.37788376416211</v>
      </c>
      <c r="G137" s="115">
        <f t="shared" si="13"/>
        <v>931.37788376416211</v>
      </c>
      <c r="H137" s="114">
        <v>912.10839418059186</v>
      </c>
      <c r="I137" s="72">
        <v>944.79540068727511</v>
      </c>
      <c r="J137" s="72">
        <v>962.37675881647738</v>
      </c>
      <c r="K137" s="115">
        <v>979.23656675794882</v>
      </c>
      <c r="L137" s="114">
        <v>912.10839418059186</v>
      </c>
      <c r="M137" s="72">
        <v>877.05303579440988</v>
      </c>
      <c r="N137" s="72">
        <v>797.29384300178936</v>
      </c>
      <c r="O137" s="115">
        <v>718.9286509368485</v>
      </c>
    </row>
    <row r="138" spans="1:15">
      <c r="A138" t="s">
        <v>1232</v>
      </c>
      <c r="B138" t="s">
        <v>1233</v>
      </c>
      <c r="C138" s="114">
        <f>IF(VLOOKUP(A138,'School Year 2021-22'!A:AN,'School Year 2021-22'!$R$1,FALSE)&gt;0,VLOOKUP(A138,'School Year 2021-22'!A:AN,'School Year 2021-22'!$U$1,FALSE)-VLOOKUP(A138,'School Year 2021-22'!A:AN,'School Year 2021-22'!$W$1,FALSE),0)+IF((VLOOKUP(A138,'School Year 2021-22'!A:AN,'School Year 2021-22'!$S$1,FALSE)+(VLOOKUP(A138,'School Year 2021-22'!A:AN,'School Year 2021-22'!$T$1,FALSE)))&gt;0,VLOOKUP(A138,'School Year 2021-22'!A:AN,'School Year 2021-22'!$V$1,FALSE)-VLOOKUP(A138,'School Year 2021-22'!A:AN,'School Year 2021-22'!$W$1,FALSE),0)</f>
        <v>0</v>
      </c>
      <c r="D138" s="72">
        <f t="shared" si="10"/>
        <v>0</v>
      </c>
      <c r="E138" s="72">
        <f t="shared" si="11"/>
        <v>0</v>
      </c>
      <c r="F138" s="72">
        <f t="shared" si="12"/>
        <v>0</v>
      </c>
      <c r="G138" s="115">
        <f t="shared" si="13"/>
        <v>0</v>
      </c>
      <c r="H138" s="114">
        <v>0</v>
      </c>
      <c r="I138" s="72">
        <v>0</v>
      </c>
      <c r="J138" s="72">
        <v>0</v>
      </c>
      <c r="K138" s="115">
        <v>0</v>
      </c>
      <c r="L138" s="114">
        <v>0</v>
      </c>
      <c r="M138" s="72">
        <v>0</v>
      </c>
      <c r="N138" s="72">
        <v>0</v>
      </c>
      <c r="O138" s="115">
        <v>0</v>
      </c>
    </row>
    <row r="139" spans="1:15">
      <c r="A139" t="s">
        <v>553</v>
      </c>
      <c r="B139" t="s">
        <v>554</v>
      </c>
      <c r="C139" s="114">
        <f>IF(VLOOKUP(A139,'School Year 2021-22'!A:AN,'School Year 2021-22'!$R$1,FALSE)&gt;0,VLOOKUP(A139,'School Year 2021-22'!A:AN,'School Year 2021-22'!$U$1,FALSE)-VLOOKUP(A139,'School Year 2021-22'!A:AN,'School Year 2021-22'!$W$1,FALSE),0)+IF((VLOOKUP(A139,'School Year 2021-22'!A:AN,'School Year 2021-22'!$S$1,FALSE)+(VLOOKUP(A139,'School Year 2021-22'!A:AN,'School Year 2021-22'!$T$1,FALSE)))&gt;0,VLOOKUP(A139,'School Year 2021-22'!A:AN,'School Year 2021-22'!$V$1,FALSE)-VLOOKUP(A139,'School Year 2021-22'!A:AN,'School Year 2021-22'!$W$1,FALSE),0)</f>
        <v>0</v>
      </c>
      <c r="D139" s="72">
        <f t="shared" si="10"/>
        <v>0</v>
      </c>
      <c r="E139" s="72">
        <f t="shared" si="11"/>
        <v>0</v>
      </c>
      <c r="F139" s="72">
        <f t="shared" si="12"/>
        <v>0</v>
      </c>
      <c r="G139" s="115">
        <f t="shared" si="13"/>
        <v>0</v>
      </c>
      <c r="H139" s="114">
        <v>0</v>
      </c>
      <c r="I139" s="72">
        <v>0</v>
      </c>
      <c r="J139" s="72">
        <v>0</v>
      </c>
      <c r="K139" s="115">
        <v>0</v>
      </c>
      <c r="L139" s="114">
        <v>0</v>
      </c>
      <c r="M139" s="72">
        <v>0</v>
      </c>
      <c r="N139" s="72">
        <v>0</v>
      </c>
      <c r="O139" s="115">
        <v>0</v>
      </c>
    </row>
    <row r="140" spans="1:15">
      <c r="A140" t="s">
        <v>269</v>
      </c>
      <c r="B140" t="s">
        <v>270</v>
      </c>
      <c r="C140" s="114">
        <f>IF(VLOOKUP(A140,'School Year 2021-22'!A:AN,'School Year 2021-22'!$R$1,FALSE)&gt;0,VLOOKUP(A140,'School Year 2021-22'!A:AN,'School Year 2021-22'!$U$1,FALSE)-VLOOKUP(A140,'School Year 2021-22'!A:AN,'School Year 2021-22'!$W$1,FALSE),0)+IF((VLOOKUP(A140,'School Year 2021-22'!A:AN,'School Year 2021-22'!$S$1,FALSE)+(VLOOKUP(A140,'School Year 2021-22'!A:AN,'School Year 2021-22'!$T$1,FALSE)))&gt;0,VLOOKUP(A140,'School Year 2021-22'!A:AN,'School Year 2021-22'!$V$1,FALSE)-VLOOKUP(A140,'School Year 2021-22'!A:AN,'School Year 2021-22'!$W$1,FALSE),0)</f>
        <v>0</v>
      </c>
      <c r="D140" s="72">
        <f t="shared" si="10"/>
        <v>0</v>
      </c>
      <c r="E140" s="72">
        <f t="shared" si="11"/>
        <v>0</v>
      </c>
      <c r="F140" s="72">
        <f t="shared" si="12"/>
        <v>0</v>
      </c>
      <c r="G140" s="115">
        <f t="shared" si="13"/>
        <v>0</v>
      </c>
      <c r="H140" s="114">
        <v>0</v>
      </c>
      <c r="I140" s="72">
        <v>0</v>
      </c>
      <c r="J140" s="72">
        <v>0</v>
      </c>
      <c r="K140" s="115">
        <v>0</v>
      </c>
      <c r="L140" s="114">
        <v>0</v>
      </c>
      <c r="M140" s="72">
        <v>0</v>
      </c>
      <c r="N140" s="72">
        <v>0</v>
      </c>
      <c r="O140" s="115">
        <v>0</v>
      </c>
    </row>
    <row r="141" spans="1:15">
      <c r="A141" t="s">
        <v>545</v>
      </c>
      <c r="B141" t="s">
        <v>546</v>
      </c>
      <c r="C141" s="114">
        <f>IF(VLOOKUP(A141,'School Year 2021-22'!A:AN,'School Year 2021-22'!$R$1,FALSE)&gt;0,VLOOKUP(A141,'School Year 2021-22'!A:AN,'School Year 2021-22'!$U$1,FALSE)-VLOOKUP(A141,'School Year 2021-22'!A:AN,'School Year 2021-22'!$W$1,FALSE),0)+IF((VLOOKUP(A141,'School Year 2021-22'!A:AN,'School Year 2021-22'!$S$1,FALSE)+(VLOOKUP(A141,'School Year 2021-22'!A:AN,'School Year 2021-22'!$T$1,FALSE)))&gt;0,VLOOKUP(A141,'School Year 2021-22'!A:AN,'School Year 2021-22'!$V$1,FALSE)-VLOOKUP(A141,'School Year 2021-22'!A:AN,'School Year 2021-22'!$W$1,FALSE),0)</f>
        <v>655.50716016233309</v>
      </c>
      <c r="D141" s="72">
        <f t="shared" si="10"/>
        <v>655.50716016233309</v>
      </c>
      <c r="E141" s="72">
        <f t="shared" si="11"/>
        <v>655.50716016233309</v>
      </c>
      <c r="F141" s="72">
        <f t="shared" si="12"/>
        <v>655.50716016233309</v>
      </c>
      <c r="G141" s="115">
        <f t="shared" si="13"/>
        <v>655.50716016233309</v>
      </c>
      <c r="H141" s="114">
        <v>871.77879329601546</v>
      </c>
      <c r="I141" s="72">
        <v>903.31684248700276</v>
      </c>
      <c r="J141" s="72">
        <v>920.05487288803943</v>
      </c>
      <c r="K141" s="115">
        <v>936.01147683264753</v>
      </c>
      <c r="L141" s="114">
        <v>871.77879329601546</v>
      </c>
      <c r="M141" s="72">
        <v>838.67287965718151</v>
      </c>
      <c r="N141" s="72">
        <v>762.61126446782146</v>
      </c>
      <c r="O141" s="115">
        <v>687.89245042823313</v>
      </c>
    </row>
    <row r="142" spans="1:15">
      <c r="A142" t="s">
        <v>591</v>
      </c>
      <c r="B142" t="s">
        <v>592</v>
      </c>
      <c r="C142" s="114">
        <f>IF(VLOOKUP(A142,'School Year 2021-22'!A:AN,'School Year 2021-22'!$R$1,FALSE)&gt;0,VLOOKUP(A142,'School Year 2021-22'!A:AN,'School Year 2021-22'!$U$1,FALSE)-VLOOKUP(A142,'School Year 2021-22'!A:AN,'School Year 2021-22'!$W$1,FALSE),0)+IF((VLOOKUP(A142,'School Year 2021-22'!A:AN,'School Year 2021-22'!$S$1,FALSE)+(VLOOKUP(A142,'School Year 2021-22'!A:AN,'School Year 2021-22'!$T$1,FALSE)))&gt;0,VLOOKUP(A142,'School Year 2021-22'!A:AN,'School Year 2021-22'!$V$1,FALSE)-VLOOKUP(A142,'School Year 2021-22'!A:AN,'School Year 2021-22'!$W$1,FALSE),0)</f>
        <v>838.84351206083284</v>
      </c>
      <c r="D142" s="72">
        <f t="shared" si="10"/>
        <v>838.84351206083284</v>
      </c>
      <c r="E142" s="72">
        <f t="shared" si="11"/>
        <v>838.84351206083284</v>
      </c>
      <c r="F142" s="72">
        <f t="shared" si="12"/>
        <v>838.84351206083284</v>
      </c>
      <c r="G142" s="115">
        <f t="shared" si="13"/>
        <v>838.84351206083284</v>
      </c>
      <c r="H142" s="114">
        <v>831.44919241143998</v>
      </c>
      <c r="I142" s="72">
        <v>861.83828428673223</v>
      </c>
      <c r="J142" s="72">
        <v>877.73298695960329</v>
      </c>
      <c r="K142" s="115">
        <v>892.78638690734897</v>
      </c>
      <c r="L142" s="114">
        <v>831.44919241143998</v>
      </c>
      <c r="M142" s="72">
        <v>800.29272351994859</v>
      </c>
      <c r="N142" s="72">
        <v>727.92868593385083</v>
      </c>
      <c r="O142" s="115">
        <v>656.85624991961959</v>
      </c>
    </row>
    <row r="143" spans="1:15">
      <c r="A143" t="s">
        <v>97</v>
      </c>
      <c r="B143" t="s">
        <v>98</v>
      </c>
      <c r="C143" s="114">
        <f>IF(VLOOKUP(A143,'School Year 2021-22'!A:AN,'School Year 2021-22'!$R$1,FALSE)&gt;0,VLOOKUP(A143,'School Year 2021-22'!A:AN,'School Year 2021-22'!$U$1,FALSE)-VLOOKUP(A143,'School Year 2021-22'!A:AN,'School Year 2021-22'!$W$1,FALSE),0)+IF((VLOOKUP(A143,'School Year 2021-22'!A:AN,'School Year 2021-22'!$S$1,FALSE)+(VLOOKUP(A143,'School Year 2021-22'!A:AN,'School Year 2021-22'!$T$1,FALSE)))&gt;0,VLOOKUP(A143,'School Year 2021-22'!A:AN,'School Year 2021-22'!$V$1,FALSE)-VLOOKUP(A143,'School Year 2021-22'!A:AN,'School Year 2021-22'!$W$1,FALSE),0)</f>
        <v>859.36885160843576</v>
      </c>
      <c r="D143" s="72">
        <f t="shared" si="10"/>
        <v>859.36885160843576</v>
      </c>
      <c r="E143" s="72">
        <f t="shared" si="11"/>
        <v>859.36885160843576</v>
      </c>
      <c r="F143" s="72">
        <f t="shared" si="12"/>
        <v>859.36885160843576</v>
      </c>
      <c r="G143" s="115">
        <f t="shared" si="13"/>
        <v>859.36885160843576</v>
      </c>
      <c r="H143" s="114">
        <v>831.44919241143998</v>
      </c>
      <c r="I143" s="72">
        <v>861.83828428673223</v>
      </c>
      <c r="J143" s="72">
        <v>877.73298695960329</v>
      </c>
      <c r="K143" s="115">
        <v>892.78638690734897</v>
      </c>
      <c r="L143" s="114">
        <v>831.44919241143998</v>
      </c>
      <c r="M143" s="72">
        <v>800.29272351994859</v>
      </c>
      <c r="N143" s="72">
        <v>727.92868593385083</v>
      </c>
      <c r="O143" s="115">
        <v>656.85624991961959</v>
      </c>
    </row>
    <row r="144" spans="1:15">
      <c r="A144" t="s">
        <v>29</v>
      </c>
      <c r="B144" t="s">
        <v>30</v>
      </c>
      <c r="C144" s="114">
        <f>IF(VLOOKUP(A144,'School Year 2021-22'!A:AN,'School Year 2021-22'!$R$1,FALSE)&gt;0,VLOOKUP(A144,'School Year 2021-22'!A:AN,'School Year 2021-22'!$U$1,FALSE)-VLOOKUP(A144,'School Year 2021-22'!A:AN,'School Year 2021-22'!$W$1,FALSE),0)+IF((VLOOKUP(A144,'School Year 2021-22'!A:AN,'School Year 2021-22'!$S$1,FALSE)+(VLOOKUP(A144,'School Year 2021-22'!A:AN,'School Year 2021-22'!$T$1,FALSE)))&gt;0,VLOOKUP(A144,'School Year 2021-22'!A:AN,'School Year 2021-22'!$V$1,FALSE)-VLOOKUP(A144,'School Year 2021-22'!A:AN,'School Year 2021-22'!$W$1,FALSE),0)</f>
        <v>835.38945416473598</v>
      </c>
      <c r="D144" s="72">
        <f t="shared" si="10"/>
        <v>835.38945416473598</v>
      </c>
      <c r="E144" s="72">
        <f t="shared" si="11"/>
        <v>835.38945416473598</v>
      </c>
      <c r="F144" s="72">
        <f t="shared" si="12"/>
        <v>835.38945416473598</v>
      </c>
      <c r="G144" s="115">
        <f t="shared" si="13"/>
        <v>835.38945416473598</v>
      </c>
      <c r="H144" s="114">
        <v>831.44919241143998</v>
      </c>
      <c r="I144" s="72">
        <v>861.83828428673223</v>
      </c>
      <c r="J144" s="72">
        <v>877.73298695960329</v>
      </c>
      <c r="K144" s="115">
        <v>892.78638690734897</v>
      </c>
      <c r="L144" s="114">
        <v>831.44919241143998</v>
      </c>
      <c r="M144" s="72">
        <v>800.29272351994859</v>
      </c>
      <c r="N144" s="72">
        <v>727.92868593385083</v>
      </c>
      <c r="O144" s="115">
        <v>656.85624991961959</v>
      </c>
    </row>
    <row r="145" spans="1:15">
      <c r="A145" t="s">
        <v>319</v>
      </c>
      <c r="B145" t="s">
        <v>320</v>
      </c>
      <c r="C145" s="114">
        <f>IF(VLOOKUP(A145,'School Year 2021-22'!A:AN,'School Year 2021-22'!$R$1,FALSE)&gt;0,VLOOKUP(A145,'School Year 2021-22'!A:AN,'School Year 2021-22'!$U$1,FALSE)-VLOOKUP(A145,'School Year 2021-22'!A:AN,'School Year 2021-22'!$W$1,FALSE),0)+IF((VLOOKUP(A145,'School Year 2021-22'!A:AN,'School Year 2021-22'!$S$1,FALSE)+(VLOOKUP(A145,'School Year 2021-22'!A:AN,'School Year 2021-22'!$T$1,FALSE)))&gt;0,VLOOKUP(A145,'School Year 2021-22'!A:AN,'School Year 2021-22'!$V$1,FALSE)-VLOOKUP(A145,'School Year 2021-22'!A:AN,'School Year 2021-22'!$W$1,FALSE),0)</f>
        <v>842.87019248880188</v>
      </c>
      <c r="D145" s="72">
        <f t="shared" si="10"/>
        <v>842.87019248880188</v>
      </c>
      <c r="E145" s="72">
        <f t="shared" si="11"/>
        <v>842.87019248880188</v>
      </c>
      <c r="F145" s="72">
        <f t="shared" si="12"/>
        <v>842.87019248880188</v>
      </c>
      <c r="G145" s="115">
        <f t="shared" si="13"/>
        <v>842.87019248880188</v>
      </c>
      <c r="H145" s="114">
        <v>831.44919241143998</v>
      </c>
      <c r="I145" s="72">
        <v>861.83828428673223</v>
      </c>
      <c r="J145" s="72">
        <v>877.73298695960329</v>
      </c>
      <c r="K145" s="115">
        <v>892.78638690734897</v>
      </c>
      <c r="L145" s="114">
        <v>831.44919241143998</v>
      </c>
      <c r="M145" s="72">
        <v>800.29272351994859</v>
      </c>
      <c r="N145" s="72">
        <v>727.92868593385083</v>
      </c>
      <c r="O145" s="115">
        <v>656.85624991961959</v>
      </c>
    </row>
    <row r="146" spans="1:15">
      <c r="A146" t="s">
        <v>501</v>
      </c>
      <c r="B146" t="s">
        <v>502</v>
      </c>
      <c r="C146" s="114">
        <f>IF(VLOOKUP(A146,'School Year 2021-22'!A:AN,'School Year 2021-22'!$R$1,FALSE)&gt;0,VLOOKUP(A146,'School Year 2021-22'!A:AN,'School Year 2021-22'!$U$1,FALSE)-VLOOKUP(A146,'School Year 2021-22'!A:AN,'School Year 2021-22'!$W$1,FALSE),0)+IF((VLOOKUP(A146,'School Year 2021-22'!A:AN,'School Year 2021-22'!$S$1,FALSE)+(VLOOKUP(A146,'School Year 2021-22'!A:AN,'School Year 2021-22'!$T$1,FALSE)))&gt;0,VLOOKUP(A146,'School Year 2021-22'!A:AN,'School Year 2021-22'!$V$1,FALSE)-VLOOKUP(A146,'School Year 2021-22'!A:AN,'School Year 2021-22'!$W$1,FALSE),0)</f>
        <v>841.35496251450149</v>
      </c>
      <c r="D146" s="72">
        <f t="shared" si="10"/>
        <v>841.35496251450149</v>
      </c>
      <c r="E146" s="72">
        <f t="shared" si="11"/>
        <v>841.35496251450149</v>
      </c>
      <c r="F146" s="72">
        <f t="shared" si="12"/>
        <v>841.35496251450149</v>
      </c>
      <c r="G146" s="115">
        <f t="shared" si="13"/>
        <v>841.35496251450149</v>
      </c>
      <c r="H146" s="114">
        <v>831.44919241143998</v>
      </c>
      <c r="I146" s="72">
        <v>861.83828428673223</v>
      </c>
      <c r="J146" s="72">
        <v>877.73298695960329</v>
      </c>
      <c r="K146" s="115">
        <v>892.78638690734897</v>
      </c>
      <c r="L146" s="114">
        <v>831.44919241143998</v>
      </c>
      <c r="M146" s="72">
        <v>800.29272351994859</v>
      </c>
      <c r="N146" s="72">
        <v>727.92868593385083</v>
      </c>
      <c r="O146" s="115">
        <v>656.85624991961959</v>
      </c>
    </row>
    <row r="147" spans="1:15">
      <c r="A147" t="s">
        <v>433</v>
      </c>
      <c r="B147" t="s">
        <v>434</v>
      </c>
      <c r="C147" s="114">
        <f>IF(VLOOKUP(A147,'School Year 2021-22'!A:AN,'School Year 2021-22'!$R$1,FALSE)&gt;0,VLOOKUP(A147,'School Year 2021-22'!A:AN,'School Year 2021-22'!$U$1,FALSE)-VLOOKUP(A147,'School Year 2021-22'!A:AN,'School Year 2021-22'!$W$1,FALSE),0)+IF((VLOOKUP(A147,'School Year 2021-22'!A:AN,'School Year 2021-22'!$S$1,FALSE)+(VLOOKUP(A147,'School Year 2021-22'!A:AN,'School Year 2021-22'!$T$1,FALSE)))&gt;0,VLOOKUP(A147,'School Year 2021-22'!A:AN,'School Year 2021-22'!$V$1,FALSE)-VLOOKUP(A147,'School Year 2021-22'!A:AN,'School Year 2021-22'!$W$1,FALSE),0)</f>
        <v>835.03537040175797</v>
      </c>
      <c r="D147" s="72">
        <f t="shared" si="10"/>
        <v>835.03537040175797</v>
      </c>
      <c r="E147" s="72">
        <f t="shared" si="11"/>
        <v>835.03537040175797</v>
      </c>
      <c r="F147" s="72">
        <f t="shared" si="12"/>
        <v>835.03537040175797</v>
      </c>
      <c r="G147" s="115">
        <f t="shared" si="13"/>
        <v>835.03537040175797</v>
      </c>
      <c r="H147" s="114">
        <v>938.99479477031036</v>
      </c>
      <c r="I147" s="72">
        <v>965.53467978740809</v>
      </c>
      <c r="J147" s="72">
        <v>983.53770178069317</v>
      </c>
      <c r="K147" s="115">
        <v>1000.8491117205995</v>
      </c>
      <c r="L147" s="114">
        <v>938.99479477031036</v>
      </c>
      <c r="M147" s="72">
        <v>896.24311386302543</v>
      </c>
      <c r="N147" s="72">
        <v>814.63513226877149</v>
      </c>
      <c r="O147" s="115">
        <v>734.44675119115345</v>
      </c>
    </row>
    <row r="148" spans="1:15">
      <c r="A148" t="s">
        <v>147</v>
      </c>
      <c r="B148" t="s">
        <v>148</v>
      </c>
      <c r="C148" s="114">
        <f>IF(VLOOKUP(A148,'School Year 2021-22'!A:AN,'School Year 2021-22'!$R$1,FALSE)&gt;0,VLOOKUP(A148,'School Year 2021-22'!A:AN,'School Year 2021-22'!$U$1,FALSE)-VLOOKUP(A148,'School Year 2021-22'!A:AN,'School Year 2021-22'!$W$1,FALSE),0)+IF((VLOOKUP(A148,'School Year 2021-22'!A:AN,'School Year 2021-22'!$S$1,FALSE)+(VLOOKUP(A148,'School Year 2021-22'!A:AN,'School Year 2021-22'!$T$1,FALSE)))&gt;0,VLOOKUP(A148,'School Year 2021-22'!A:AN,'School Year 2021-22'!$V$1,FALSE)-VLOOKUP(A148,'School Year 2021-22'!A:AN,'School Year 2021-22'!$W$1,FALSE),0)</f>
        <v>0</v>
      </c>
      <c r="D148" s="72">
        <f t="shared" si="10"/>
        <v>0</v>
      </c>
      <c r="E148" s="72">
        <f t="shared" si="11"/>
        <v>0</v>
      </c>
      <c r="F148" s="72">
        <f t="shared" si="12"/>
        <v>0</v>
      </c>
      <c r="G148" s="115">
        <f t="shared" si="13"/>
        <v>0</v>
      </c>
      <c r="H148" s="114">
        <v>0</v>
      </c>
      <c r="I148" s="72">
        <v>0</v>
      </c>
      <c r="J148" s="72">
        <v>0</v>
      </c>
      <c r="K148" s="115">
        <v>0</v>
      </c>
      <c r="L148" s="114">
        <v>0</v>
      </c>
      <c r="M148" s="72">
        <v>0</v>
      </c>
      <c r="N148" s="72">
        <v>0</v>
      </c>
      <c r="O148" s="115">
        <v>0</v>
      </c>
    </row>
    <row r="149" spans="1:15">
      <c r="A149" t="s">
        <v>461</v>
      </c>
      <c r="B149" t="s">
        <v>462</v>
      </c>
      <c r="C149" s="114">
        <f>IF(VLOOKUP(A149,'School Year 2021-22'!A:AN,'School Year 2021-22'!$R$1,FALSE)&gt;0,VLOOKUP(A149,'School Year 2021-22'!A:AN,'School Year 2021-22'!$U$1,FALSE)-VLOOKUP(A149,'School Year 2021-22'!A:AN,'School Year 2021-22'!$W$1,FALSE),0)+IF((VLOOKUP(A149,'School Year 2021-22'!A:AN,'School Year 2021-22'!$S$1,FALSE)+(VLOOKUP(A149,'School Year 2021-22'!A:AN,'School Year 2021-22'!$T$1,FALSE)))&gt;0,VLOOKUP(A149,'School Year 2021-22'!A:AN,'School Year 2021-22'!$V$1,FALSE)-VLOOKUP(A149,'School Year 2021-22'!A:AN,'School Year 2021-22'!$W$1,FALSE),0)</f>
        <v>1084.3698194299041</v>
      </c>
      <c r="D149" s="72">
        <f t="shared" si="10"/>
        <v>1084.3698194299041</v>
      </c>
      <c r="E149" s="72">
        <f t="shared" si="11"/>
        <v>1084.3698194299041</v>
      </c>
      <c r="F149" s="72">
        <f t="shared" si="12"/>
        <v>1084.3698194299041</v>
      </c>
      <c r="G149" s="115">
        <f t="shared" si="13"/>
        <v>1084.3698194299041</v>
      </c>
      <c r="H149" s="114">
        <v>858.33559300115849</v>
      </c>
      <c r="I149" s="72">
        <v>882.57756338686795</v>
      </c>
      <c r="J149" s="72">
        <v>898.89392992382182</v>
      </c>
      <c r="K149" s="115">
        <v>914.39893186999961</v>
      </c>
      <c r="L149" s="114">
        <v>858.33559300115849</v>
      </c>
      <c r="M149" s="72">
        <v>819.48280158856596</v>
      </c>
      <c r="N149" s="72">
        <v>745.26997520083478</v>
      </c>
      <c r="O149" s="115">
        <v>672.37435017392636</v>
      </c>
    </row>
    <row r="150" spans="1:15">
      <c r="A150" t="s">
        <v>459</v>
      </c>
      <c r="B150" t="s">
        <v>460</v>
      </c>
      <c r="C150" s="114">
        <f>IF(VLOOKUP(A150,'School Year 2021-22'!A:AN,'School Year 2021-22'!$R$1,FALSE)&gt;0,VLOOKUP(A150,'School Year 2021-22'!A:AN,'School Year 2021-22'!$U$1,FALSE)-VLOOKUP(A150,'School Year 2021-22'!A:AN,'School Year 2021-22'!$W$1,FALSE),0)+IF((VLOOKUP(A150,'School Year 2021-22'!A:AN,'School Year 2021-22'!$S$1,FALSE)+(VLOOKUP(A150,'School Year 2021-22'!A:AN,'School Year 2021-22'!$T$1,FALSE)))&gt;0,VLOOKUP(A150,'School Year 2021-22'!A:AN,'School Year 2021-22'!$V$1,FALSE)-VLOOKUP(A150,'School Year 2021-22'!A:AN,'School Year 2021-22'!$W$1,FALSE),0)</f>
        <v>840.17590165620186</v>
      </c>
      <c r="D150" s="72">
        <f t="shared" si="10"/>
        <v>840.17590165620186</v>
      </c>
      <c r="E150" s="72">
        <f t="shared" si="11"/>
        <v>840.17590165620186</v>
      </c>
      <c r="F150" s="72">
        <f t="shared" si="12"/>
        <v>840.17590165620186</v>
      </c>
      <c r="G150" s="115">
        <f t="shared" si="13"/>
        <v>840.17590165620186</v>
      </c>
      <c r="H150" s="114">
        <v>831.44919241143998</v>
      </c>
      <c r="I150" s="72">
        <v>861.83828428673223</v>
      </c>
      <c r="J150" s="72">
        <v>877.73298695960329</v>
      </c>
      <c r="K150" s="115">
        <v>892.78638690734897</v>
      </c>
      <c r="L150" s="114">
        <v>831.44919241143998</v>
      </c>
      <c r="M150" s="72">
        <v>800.29272351994859</v>
      </c>
      <c r="N150" s="72">
        <v>727.92868593385083</v>
      </c>
      <c r="O150" s="115">
        <v>656.85624991961959</v>
      </c>
    </row>
    <row r="151" spans="1:15">
      <c r="A151" t="s">
        <v>189</v>
      </c>
      <c r="B151" t="s">
        <v>190</v>
      </c>
      <c r="C151" s="114">
        <f>IF(VLOOKUP(A151,'School Year 2021-22'!A:AN,'School Year 2021-22'!$R$1,FALSE)&gt;0,VLOOKUP(A151,'School Year 2021-22'!A:AN,'School Year 2021-22'!$U$1,FALSE)-VLOOKUP(A151,'School Year 2021-22'!A:AN,'School Year 2021-22'!$W$1,FALSE),0)+IF((VLOOKUP(A151,'School Year 2021-22'!A:AN,'School Year 2021-22'!$S$1,FALSE)+(VLOOKUP(A151,'School Year 2021-22'!A:AN,'School Year 2021-22'!$T$1,FALSE)))&gt;0,VLOOKUP(A151,'School Year 2021-22'!A:AN,'School Year 2021-22'!$V$1,FALSE)-VLOOKUP(A151,'School Year 2021-22'!A:AN,'School Year 2021-22'!$W$1,FALSE),0)</f>
        <v>1300.206419989343</v>
      </c>
      <c r="D151" s="72">
        <f t="shared" si="10"/>
        <v>1300.206419989343</v>
      </c>
      <c r="E151" s="72">
        <f t="shared" si="11"/>
        <v>1300.206419989343</v>
      </c>
      <c r="F151" s="72">
        <f t="shared" si="12"/>
        <v>1300.206419989343</v>
      </c>
      <c r="G151" s="115">
        <f t="shared" si="13"/>
        <v>1300.206419989343</v>
      </c>
      <c r="H151" s="114">
        <v>952.43799506516825</v>
      </c>
      <c r="I151" s="72">
        <v>986.27395888754472</v>
      </c>
      <c r="J151" s="72">
        <v>1004.6986447449126</v>
      </c>
      <c r="K151" s="115">
        <v>1022.4616566832483</v>
      </c>
      <c r="L151" s="114">
        <v>952.43799506516825</v>
      </c>
      <c r="M151" s="72">
        <v>915.43319193164098</v>
      </c>
      <c r="N151" s="72">
        <v>831.97642153575725</v>
      </c>
      <c r="O151" s="115">
        <v>749.96485144546386</v>
      </c>
    </row>
    <row r="152" spans="1:15">
      <c r="A152" t="s">
        <v>547</v>
      </c>
      <c r="B152" t="s">
        <v>548</v>
      </c>
      <c r="C152" s="114">
        <f>IF(VLOOKUP(A152,'School Year 2021-22'!A:AN,'School Year 2021-22'!$R$1,FALSE)&gt;0,VLOOKUP(A152,'School Year 2021-22'!A:AN,'School Year 2021-22'!$U$1,FALSE)-VLOOKUP(A152,'School Year 2021-22'!A:AN,'School Year 2021-22'!$W$1,FALSE),0)+IF((VLOOKUP(A152,'School Year 2021-22'!A:AN,'School Year 2021-22'!$S$1,FALSE)+(VLOOKUP(A152,'School Year 2021-22'!A:AN,'School Year 2021-22'!$T$1,FALSE)))&gt;0,VLOOKUP(A152,'School Year 2021-22'!A:AN,'School Year 2021-22'!$V$1,FALSE)-VLOOKUP(A152,'School Year 2021-22'!A:AN,'School Year 2021-22'!$W$1,FALSE),0)</f>
        <v>544.45060828470559</v>
      </c>
      <c r="D152" s="72">
        <f t="shared" si="10"/>
        <v>544.45060828470559</v>
      </c>
      <c r="E152" s="72">
        <f t="shared" si="11"/>
        <v>544.45060828470559</v>
      </c>
      <c r="F152" s="72">
        <f t="shared" si="12"/>
        <v>544.45060828470559</v>
      </c>
      <c r="G152" s="115">
        <f t="shared" si="13"/>
        <v>544.45060828470559</v>
      </c>
      <c r="H152" s="114">
        <v>871.77879329601546</v>
      </c>
      <c r="I152" s="72">
        <v>903.31684248700276</v>
      </c>
      <c r="J152" s="72">
        <v>920.05487288803943</v>
      </c>
      <c r="K152" s="115">
        <v>936.01147683264753</v>
      </c>
      <c r="L152" s="114">
        <v>871.77879329601546</v>
      </c>
      <c r="M152" s="72">
        <v>838.67287965718151</v>
      </c>
      <c r="N152" s="72">
        <v>762.61126446782146</v>
      </c>
      <c r="O152" s="115">
        <v>687.89245042823313</v>
      </c>
    </row>
    <row r="153" spans="1:15">
      <c r="A153" t="s">
        <v>337</v>
      </c>
      <c r="B153" t="s">
        <v>338</v>
      </c>
      <c r="C153" s="114">
        <f>IF(VLOOKUP(A153,'School Year 2021-22'!A:AN,'School Year 2021-22'!$R$1,FALSE)&gt;0,VLOOKUP(A153,'School Year 2021-22'!A:AN,'School Year 2021-22'!$U$1,FALSE)-VLOOKUP(A153,'School Year 2021-22'!A:AN,'School Year 2021-22'!$W$1,FALSE),0)+IF((VLOOKUP(A153,'School Year 2021-22'!A:AN,'School Year 2021-22'!$S$1,FALSE)+(VLOOKUP(A153,'School Year 2021-22'!A:AN,'School Year 2021-22'!$T$1,FALSE)))&gt;0,VLOOKUP(A153,'School Year 2021-22'!A:AN,'School Year 2021-22'!$V$1,FALSE)-VLOOKUP(A153,'School Year 2021-22'!A:AN,'School Year 2021-22'!$W$1,FALSE),0)</f>
        <v>839.79901904040435</v>
      </c>
      <c r="D153" s="72">
        <f t="shared" si="10"/>
        <v>839.79901904040435</v>
      </c>
      <c r="E153" s="72">
        <f t="shared" si="11"/>
        <v>839.79901904040435</v>
      </c>
      <c r="F153" s="72">
        <f t="shared" si="12"/>
        <v>839.79901904040435</v>
      </c>
      <c r="G153" s="115">
        <f t="shared" si="13"/>
        <v>839.79901904040435</v>
      </c>
      <c r="H153" s="114">
        <v>831.44919241143998</v>
      </c>
      <c r="I153" s="72">
        <v>861.83828428673223</v>
      </c>
      <c r="J153" s="72">
        <v>877.73298695960329</v>
      </c>
      <c r="K153" s="115">
        <v>892.78638690734897</v>
      </c>
      <c r="L153" s="114">
        <v>831.44919241143998</v>
      </c>
      <c r="M153" s="72">
        <v>800.29272351994859</v>
      </c>
      <c r="N153" s="72">
        <v>727.92868593385083</v>
      </c>
      <c r="O153" s="115">
        <v>656.85624991961959</v>
      </c>
    </row>
    <row r="154" spans="1:15">
      <c r="A154" t="s">
        <v>419</v>
      </c>
      <c r="B154" t="s">
        <v>420</v>
      </c>
      <c r="C154" s="114">
        <f>IF(VLOOKUP(A154,'School Year 2021-22'!A:AN,'School Year 2021-22'!$R$1,FALSE)&gt;0,VLOOKUP(A154,'School Year 2021-22'!A:AN,'School Year 2021-22'!$U$1,FALSE)-VLOOKUP(A154,'School Year 2021-22'!A:AN,'School Year 2021-22'!$W$1,FALSE),0)+IF((VLOOKUP(A154,'School Year 2021-22'!A:AN,'School Year 2021-22'!$S$1,FALSE)+(VLOOKUP(A154,'School Year 2021-22'!A:AN,'School Year 2021-22'!$T$1,FALSE)))&gt;0,VLOOKUP(A154,'School Year 2021-22'!A:AN,'School Year 2021-22'!$V$1,FALSE)-VLOOKUP(A154,'School Year 2021-22'!A:AN,'School Year 2021-22'!$W$1,FALSE),0)</f>
        <v>0</v>
      </c>
      <c r="D154" s="72">
        <f t="shared" si="10"/>
        <v>0</v>
      </c>
      <c r="E154" s="72">
        <f t="shared" si="11"/>
        <v>0</v>
      </c>
      <c r="F154" s="72">
        <f t="shared" si="12"/>
        <v>0</v>
      </c>
      <c r="G154" s="115">
        <f t="shared" si="13"/>
        <v>0</v>
      </c>
      <c r="H154" s="114">
        <v>0</v>
      </c>
      <c r="I154" s="72">
        <v>0</v>
      </c>
      <c r="J154" s="72">
        <v>0</v>
      </c>
      <c r="K154" s="115">
        <v>0</v>
      </c>
      <c r="L154" s="114">
        <v>0</v>
      </c>
      <c r="M154" s="72">
        <v>0</v>
      </c>
      <c r="N154" s="72">
        <v>0</v>
      </c>
      <c r="O154" s="115">
        <v>0</v>
      </c>
    </row>
    <row r="155" spans="1:15">
      <c r="A155" t="s">
        <v>437</v>
      </c>
      <c r="B155" t="s">
        <v>438</v>
      </c>
      <c r="C155" s="114">
        <f>IF(VLOOKUP(A155,'School Year 2021-22'!A:AN,'School Year 2021-22'!$R$1,FALSE)&gt;0,VLOOKUP(A155,'School Year 2021-22'!A:AN,'School Year 2021-22'!$U$1,FALSE)-VLOOKUP(A155,'School Year 2021-22'!A:AN,'School Year 2021-22'!$W$1,FALSE),0)+IF((VLOOKUP(A155,'School Year 2021-22'!A:AN,'School Year 2021-22'!$S$1,FALSE)+(VLOOKUP(A155,'School Year 2021-22'!A:AN,'School Year 2021-22'!$T$1,FALSE)))&gt;0,VLOOKUP(A155,'School Year 2021-22'!A:AN,'School Year 2021-22'!$V$1,FALSE)-VLOOKUP(A155,'School Year 2021-22'!A:AN,'School Year 2021-22'!$W$1,FALSE),0)</f>
        <v>1074.6251171287367</v>
      </c>
      <c r="D155" s="72">
        <f t="shared" si="10"/>
        <v>1074.6251171287367</v>
      </c>
      <c r="E155" s="72">
        <f t="shared" si="11"/>
        <v>1074.6251171287367</v>
      </c>
      <c r="F155" s="72">
        <f t="shared" si="12"/>
        <v>1074.6251171287367</v>
      </c>
      <c r="G155" s="115">
        <f t="shared" si="13"/>
        <v>1074.6251171287367</v>
      </c>
      <c r="H155" s="114">
        <v>952.43799506516825</v>
      </c>
      <c r="I155" s="72">
        <v>986.27395888754472</v>
      </c>
      <c r="J155" s="72">
        <v>1004.6986447449126</v>
      </c>
      <c r="K155" s="115">
        <v>1022.4616566832483</v>
      </c>
      <c r="L155" s="114">
        <v>952.43799506516825</v>
      </c>
      <c r="M155" s="72">
        <v>915.43319193164098</v>
      </c>
      <c r="N155" s="72">
        <v>831.97642153575725</v>
      </c>
      <c r="O155" s="115">
        <v>749.96485144546386</v>
      </c>
    </row>
    <row r="156" spans="1:15">
      <c r="A156" t="s">
        <v>149</v>
      </c>
      <c r="B156" t="s">
        <v>150</v>
      </c>
      <c r="C156" s="114">
        <f>IF(VLOOKUP(A156,'School Year 2021-22'!A:AN,'School Year 2021-22'!$R$1,FALSE)&gt;0,VLOOKUP(A156,'School Year 2021-22'!A:AN,'School Year 2021-22'!$U$1,FALSE)-VLOOKUP(A156,'School Year 2021-22'!A:AN,'School Year 2021-22'!$W$1,FALSE),0)+IF((VLOOKUP(A156,'School Year 2021-22'!A:AN,'School Year 2021-22'!$S$1,FALSE)+(VLOOKUP(A156,'School Year 2021-22'!A:AN,'School Year 2021-22'!$T$1,FALSE)))&gt;0,VLOOKUP(A156,'School Year 2021-22'!A:AN,'School Year 2021-22'!$V$1,FALSE)-VLOOKUP(A156,'School Year 2021-22'!A:AN,'School Year 2021-22'!$W$1,FALSE),0)</f>
        <v>1025.9787391980362</v>
      </c>
      <c r="D156" s="72">
        <f t="shared" si="10"/>
        <v>1025.9787391980362</v>
      </c>
      <c r="E156" s="72">
        <f t="shared" si="11"/>
        <v>1025.9787391980362</v>
      </c>
      <c r="F156" s="72">
        <f t="shared" si="12"/>
        <v>1025.9787391980362</v>
      </c>
      <c r="G156" s="115">
        <f t="shared" si="13"/>
        <v>1025.9787391980362</v>
      </c>
      <c r="H156" s="114">
        <v>862.04304353640327</v>
      </c>
      <c r="I156" s="72">
        <v>893.28445406684841</v>
      </c>
      <c r="J156" s="72">
        <v>909.80500215221946</v>
      </c>
      <c r="K156" s="115">
        <v>925.52868253675024</v>
      </c>
      <c r="L156" s="114">
        <v>862.04304353640327</v>
      </c>
      <c r="M156" s="72">
        <v>829.83962665257786</v>
      </c>
      <c r="N156" s="72">
        <v>755.15663200327708</v>
      </c>
      <c r="O156" s="115">
        <v>681.80660469410941</v>
      </c>
    </row>
    <row r="157" spans="1:15">
      <c r="A157" t="s">
        <v>277</v>
      </c>
      <c r="B157" t="s">
        <v>278</v>
      </c>
      <c r="C157" s="114">
        <f>IF(VLOOKUP(A157,'School Year 2021-22'!A:AN,'School Year 2021-22'!$R$1,FALSE)&gt;0,VLOOKUP(A157,'School Year 2021-22'!A:AN,'School Year 2021-22'!$U$1,FALSE)-VLOOKUP(A157,'School Year 2021-22'!A:AN,'School Year 2021-22'!$W$1,FALSE),0)+IF((VLOOKUP(A157,'School Year 2021-22'!A:AN,'School Year 2021-22'!$S$1,FALSE)+(VLOOKUP(A157,'School Year 2021-22'!A:AN,'School Year 2021-22'!$T$1,FALSE)))&gt;0,VLOOKUP(A157,'School Year 2021-22'!A:AN,'School Year 2021-22'!$V$1,FALSE)-VLOOKUP(A157,'School Year 2021-22'!A:AN,'School Year 2021-22'!$W$1,FALSE),0)</f>
        <v>836.39924876649729</v>
      </c>
      <c r="D157" s="72">
        <f t="shared" si="10"/>
        <v>836.39924876649729</v>
      </c>
      <c r="E157" s="72">
        <f t="shared" si="11"/>
        <v>836.39924876649729</v>
      </c>
      <c r="F157" s="72">
        <f t="shared" si="12"/>
        <v>836.39924876649729</v>
      </c>
      <c r="G157" s="115">
        <f t="shared" si="13"/>
        <v>836.39924876649729</v>
      </c>
      <c r="H157" s="114">
        <v>831.44919241143998</v>
      </c>
      <c r="I157" s="72">
        <v>861.83828428673223</v>
      </c>
      <c r="J157" s="72">
        <v>877.73298695960329</v>
      </c>
      <c r="K157" s="115">
        <v>892.78638690734897</v>
      </c>
      <c r="L157" s="114">
        <v>831.44919241143998</v>
      </c>
      <c r="M157" s="72">
        <v>800.29272351994859</v>
      </c>
      <c r="N157" s="72">
        <v>727.92868593385083</v>
      </c>
      <c r="O157" s="115">
        <v>656.85624991961959</v>
      </c>
    </row>
    <row r="158" spans="1:15">
      <c r="A158" t="s">
        <v>133</v>
      </c>
      <c r="B158" t="s">
        <v>134</v>
      </c>
      <c r="C158" s="114">
        <f>IF(VLOOKUP(A158,'School Year 2021-22'!A:AN,'School Year 2021-22'!$R$1,FALSE)&gt;0,VLOOKUP(A158,'School Year 2021-22'!A:AN,'School Year 2021-22'!$U$1,FALSE)-VLOOKUP(A158,'School Year 2021-22'!A:AN,'School Year 2021-22'!$W$1,FALSE),0)+IF((VLOOKUP(A158,'School Year 2021-22'!A:AN,'School Year 2021-22'!$S$1,FALSE)+(VLOOKUP(A158,'School Year 2021-22'!A:AN,'School Year 2021-22'!$T$1,FALSE)))&gt;0,VLOOKUP(A158,'School Year 2021-22'!A:AN,'School Year 2021-22'!$V$1,FALSE)-VLOOKUP(A158,'School Year 2021-22'!A:AN,'School Year 2021-22'!$W$1,FALSE),0)</f>
        <v>3418.7536933708889</v>
      </c>
      <c r="D158" s="72">
        <f t="shared" si="10"/>
        <v>3418.7536933708889</v>
      </c>
      <c r="E158" s="72">
        <f t="shared" si="11"/>
        <v>3418.7536933708889</v>
      </c>
      <c r="F158" s="72">
        <f t="shared" si="12"/>
        <v>3418.7536933708889</v>
      </c>
      <c r="G158" s="115">
        <f t="shared" si="13"/>
        <v>3418.7536933708889</v>
      </c>
      <c r="H158" s="114">
        <v>2835.9815422965639</v>
      </c>
      <c r="I158" s="72">
        <v>2916.5636749943205</v>
      </c>
      <c r="J158" s="72">
        <v>2971.4484778345304</v>
      </c>
      <c r="K158" s="115">
        <v>3023.7217498988957</v>
      </c>
      <c r="L158" s="114">
        <v>2835.9815422965639</v>
      </c>
      <c r="M158" s="72">
        <v>2820.5280516234852</v>
      </c>
      <c r="N158" s="72">
        <v>2693.6014324120952</v>
      </c>
      <c r="O158" s="115">
        <v>2570.8027916013125</v>
      </c>
    </row>
    <row r="159" spans="1:15">
      <c r="A159" t="s">
        <v>275</v>
      </c>
      <c r="B159" t="s">
        <v>276</v>
      </c>
      <c r="C159" s="114">
        <f>IF(VLOOKUP(A159,'School Year 2021-22'!A:AN,'School Year 2021-22'!$R$1,FALSE)&gt;0,VLOOKUP(A159,'School Year 2021-22'!A:AN,'School Year 2021-22'!$U$1,FALSE)-VLOOKUP(A159,'School Year 2021-22'!A:AN,'School Year 2021-22'!$W$1,FALSE),0)+IF((VLOOKUP(A159,'School Year 2021-22'!A:AN,'School Year 2021-22'!$S$1,FALSE)+(VLOOKUP(A159,'School Year 2021-22'!A:AN,'School Year 2021-22'!$T$1,FALSE)))&gt;0,VLOOKUP(A159,'School Year 2021-22'!A:AN,'School Year 2021-22'!$V$1,FALSE)-VLOOKUP(A159,'School Year 2021-22'!A:AN,'School Year 2021-22'!$W$1,FALSE),0)</f>
        <v>6469.196283621608</v>
      </c>
      <c r="D159" s="72">
        <f t="shared" si="10"/>
        <v>6469.196283621608</v>
      </c>
      <c r="E159" s="72">
        <f t="shared" si="11"/>
        <v>6469.196283621608</v>
      </c>
      <c r="F159" s="72">
        <f t="shared" si="12"/>
        <v>6469.196283621608</v>
      </c>
      <c r="G159" s="115">
        <f t="shared" si="13"/>
        <v>6469.196283621608</v>
      </c>
      <c r="H159" s="114">
        <v>831.44919241143998</v>
      </c>
      <c r="I159" s="72">
        <v>861.83828428673223</v>
      </c>
      <c r="J159" s="72">
        <v>877.73298695960329</v>
      </c>
      <c r="K159" s="115">
        <v>892.78638690734897</v>
      </c>
      <c r="L159" s="114">
        <v>831.44919241143998</v>
      </c>
      <c r="M159" s="72">
        <v>800.29272351994859</v>
      </c>
      <c r="N159" s="72">
        <v>727.92868593385083</v>
      </c>
      <c r="O159" s="115">
        <v>656.85624991961959</v>
      </c>
    </row>
    <row r="160" spans="1:15">
      <c r="A160" t="s">
        <v>609</v>
      </c>
      <c r="B160" t="s">
        <v>610</v>
      </c>
      <c r="C160" s="114">
        <f>IF(VLOOKUP(A160,'School Year 2021-22'!A:AN,'School Year 2021-22'!$R$1,FALSE)&gt;0,VLOOKUP(A160,'School Year 2021-22'!A:AN,'School Year 2021-22'!$U$1,FALSE)-VLOOKUP(A160,'School Year 2021-22'!A:AN,'School Year 2021-22'!$W$1,FALSE),0)+IF((VLOOKUP(A160,'School Year 2021-22'!A:AN,'School Year 2021-22'!$S$1,FALSE)+(VLOOKUP(A160,'School Year 2021-22'!A:AN,'School Year 2021-22'!$T$1,FALSE)))&gt;0,VLOOKUP(A160,'School Year 2021-22'!A:AN,'School Year 2021-22'!$V$1,FALSE)-VLOOKUP(A160,'School Year 2021-22'!A:AN,'School Year 2021-22'!$W$1,FALSE),0)</f>
        <v>836.66909303025659</v>
      </c>
      <c r="D160" s="72">
        <f t="shared" si="10"/>
        <v>836.66909303025659</v>
      </c>
      <c r="E160" s="72">
        <f t="shared" si="11"/>
        <v>836.66909303025659</v>
      </c>
      <c r="F160" s="72">
        <f t="shared" si="12"/>
        <v>836.66909303025659</v>
      </c>
      <c r="G160" s="115">
        <f t="shared" si="13"/>
        <v>836.66909303025659</v>
      </c>
      <c r="H160" s="114">
        <v>831.44919241143998</v>
      </c>
      <c r="I160" s="72">
        <v>861.83828428673223</v>
      </c>
      <c r="J160" s="72">
        <v>877.73298695960329</v>
      </c>
      <c r="K160" s="115">
        <v>892.78638690734897</v>
      </c>
      <c r="L160" s="114">
        <v>831.44919241143998</v>
      </c>
      <c r="M160" s="72">
        <v>800.29272351994859</v>
      </c>
      <c r="N160" s="72">
        <v>727.92868593385083</v>
      </c>
      <c r="O160" s="115">
        <v>656.85624991961959</v>
      </c>
    </row>
    <row r="161" spans="1:15">
      <c r="A161" t="s">
        <v>551</v>
      </c>
      <c r="B161" t="s">
        <v>552</v>
      </c>
      <c r="C161" s="114">
        <f>IF(VLOOKUP(A161,'School Year 2021-22'!A:AN,'School Year 2021-22'!$R$1,FALSE)&gt;0,VLOOKUP(A161,'School Year 2021-22'!A:AN,'School Year 2021-22'!$U$1,FALSE)-VLOOKUP(A161,'School Year 2021-22'!A:AN,'School Year 2021-22'!$W$1,FALSE),0)+IF((VLOOKUP(A161,'School Year 2021-22'!A:AN,'School Year 2021-22'!$S$1,FALSE)+(VLOOKUP(A161,'School Year 2021-22'!A:AN,'School Year 2021-22'!$T$1,FALSE)))&gt;0,VLOOKUP(A161,'School Year 2021-22'!A:AN,'School Year 2021-22'!$V$1,FALSE)-VLOOKUP(A161,'School Year 2021-22'!A:AN,'School Year 2021-22'!$W$1,FALSE),0)</f>
        <v>1258.0484688896995</v>
      </c>
      <c r="D161" s="72">
        <f t="shared" si="10"/>
        <v>1258.0484688896995</v>
      </c>
      <c r="E161" s="72">
        <f t="shared" si="11"/>
        <v>1258.0484688896995</v>
      </c>
      <c r="F161" s="72">
        <f t="shared" si="12"/>
        <v>1258.0484688896995</v>
      </c>
      <c r="G161" s="115">
        <f t="shared" si="13"/>
        <v>1258.0484688896995</v>
      </c>
      <c r="H161" s="114">
        <v>912.10839418059186</v>
      </c>
      <c r="I161" s="72">
        <v>944.79540068727511</v>
      </c>
      <c r="J161" s="72">
        <v>962.37675881647738</v>
      </c>
      <c r="K161" s="115">
        <v>979.23656675794882</v>
      </c>
      <c r="L161" s="114">
        <v>912.10839418059186</v>
      </c>
      <c r="M161" s="72">
        <v>877.05303579440988</v>
      </c>
      <c r="N161" s="72">
        <v>797.29384300178936</v>
      </c>
      <c r="O161" s="115">
        <v>718.9286509368485</v>
      </c>
    </row>
    <row r="162" spans="1:15">
      <c r="A162" t="s">
        <v>417</v>
      </c>
      <c r="B162" t="s">
        <v>418</v>
      </c>
      <c r="C162" s="114">
        <f>IF(VLOOKUP(A162,'School Year 2021-22'!A:AN,'School Year 2021-22'!$R$1,FALSE)&gt;0,VLOOKUP(A162,'School Year 2021-22'!A:AN,'School Year 2021-22'!$U$1,FALSE)-VLOOKUP(A162,'School Year 2021-22'!A:AN,'School Year 2021-22'!$W$1,FALSE),0)+IF((VLOOKUP(A162,'School Year 2021-22'!A:AN,'School Year 2021-22'!$S$1,FALSE)+(VLOOKUP(A162,'School Year 2021-22'!A:AN,'School Year 2021-22'!$T$1,FALSE)))&gt;0,VLOOKUP(A162,'School Year 2021-22'!A:AN,'School Year 2021-22'!$V$1,FALSE)-VLOOKUP(A162,'School Year 2021-22'!A:AN,'School Year 2021-22'!$W$1,FALSE),0)</f>
        <v>0</v>
      </c>
      <c r="D162" s="72">
        <f t="shared" si="10"/>
        <v>0</v>
      </c>
      <c r="E162" s="72">
        <f t="shared" si="11"/>
        <v>0</v>
      </c>
      <c r="F162" s="72">
        <f t="shared" si="12"/>
        <v>0</v>
      </c>
      <c r="G162" s="115">
        <f t="shared" si="13"/>
        <v>0</v>
      </c>
      <c r="H162" s="114">
        <v>0</v>
      </c>
      <c r="I162" s="72">
        <v>0</v>
      </c>
      <c r="J162" s="72">
        <v>0</v>
      </c>
      <c r="K162" s="115">
        <v>0</v>
      </c>
      <c r="L162" s="114">
        <v>0</v>
      </c>
      <c r="M162" s="72">
        <v>0</v>
      </c>
      <c r="N162" s="72">
        <v>0</v>
      </c>
      <c r="O162" s="115">
        <v>0</v>
      </c>
    </row>
    <row r="163" spans="1:15">
      <c r="A163" t="s">
        <v>413</v>
      </c>
      <c r="B163" t="s">
        <v>414</v>
      </c>
      <c r="C163" s="114">
        <f>IF(VLOOKUP(A163,'School Year 2021-22'!A:AN,'School Year 2021-22'!$R$1,FALSE)&gt;0,VLOOKUP(A163,'School Year 2021-22'!A:AN,'School Year 2021-22'!$U$1,FALSE)-VLOOKUP(A163,'School Year 2021-22'!A:AN,'School Year 2021-22'!$W$1,FALSE),0)+IF((VLOOKUP(A163,'School Year 2021-22'!A:AN,'School Year 2021-22'!$S$1,FALSE)+(VLOOKUP(A163,'School Year 2021-22'!A:AN,'School Year 2021-22'!$T$1,FALSE)))&gt;0,VLOOKUP(A163,'School Year 2021-22'!A:AN,'School Year 2021-22'!$V$1,FALSE)-VLOOKUP(A163,'School Year 2021-22'!A:AN,'School Year 2021-22'!$W$1,FALSE),0)</f>
        <v>3167.4451584829203</v>
      </c>
      <c r="D163" s="72">
        <f t="shared" si="10"/>
        <v>3167.4451584829203</v>
      </c>
      <c r="E163" s="72">
        <f t="shared" si="11"/>
        <v>3167.4451584829203</v>
      </c>
      <c r="F163" s="72">
        <f t="shared" si="12"/>
        <v>3167.4451584829203</v>
      </c>
      <c r="G163" s="115">
        <f t="shared" si="13"/>
        <v>3167.4451584829203</v>
      </c>
      <c r="H163" s="114">
        <v>3020.2321697927073</v>
      </c>
      <c r="I163" s="72">
        <v>3129.6542917753941</v>
      </c>
      <c r="J163" s="72">
        <v>3188.8038634876266</v>
      </c>
      <c r="K163" s="115">
        <v>3245.6447030139207</v>
      </c>
      <c r="L163" s="114">
        <v>3020.2321697927073</v>
      </c>
      <c r="M163" s="72">
        <v>3026.8450793069005</v>
      </c>
      <c r="N163" s="72">
        <v>2890.6600477606644</v>
      </c>
      <c r="O163" s="115">
        <v>2758.8889055066156</v>
      </c>
    </row>
    <row r="164" spans="1:15">
      <c r="A164" t="s">
        <v>223</v>
      </c>
      <c r="B164" t="s">
        <v>224</v>
      </c>
      <c r="C164" s="114">
        <f>IF(VLOOKUP(A164,'School Year 2021-22'!A:AN,'School Year 2021-22'!$R$1,FALSE)&gt;0,VLOOKUP(A164,'School Year 2021-22'!A:AN,'School Year 2021-22'!$U$1,FALSE)-VLOOKUP(A164,'School Year 2021-22'!A:AN,'School Year 2021-22'!$W$1,FALSE),0)+IF((VLOOKUP(A164,'School Year 2021-22'!A:AN,'School Year 2021-22'!$S$1,FALSE)+(VLOOKUP(A164,'School Year 2021-22'!A:AN,'School Year 2021-22'!$T$1,FALSE)))&gt;0,VLOOKUP(A164,'School Year 2021-22'!A:AN,'School Year 2021-22'!$V$1,FALSE)-VLOOKUP(A164,'School Year 2021-22'!A:AN,'School Year 2021-22'!$W$1,FALSE),0)</f>
        <v>7605.6976597178345</v>
      </c>
      <c r="D164" s="72">
        <f t="shared" si="10"/>
        <v>7605.6976597178345</v>
      </c>
      <c r="E164" s="72">
        <f t="shared" si="11"/>
        <v>7605.6976597178345</v>
      </c>
      <c r="F164" s="72">
        <f t="shared" si="12"/>
        <v>7605.6976597178345</v>
      </c>
      <c r="G164" s="115">
        <f t="shared" si="13"/>
        <v>7605.6976597178345</v>
      </c>
      <c r="H164" s="114">
        <v>952.43799506516825</v>
      </c>
      <c r="I164" s="72">
        <v>986.27395888754472</v>
      </c>
      <c r="J164" s="72">
        <v>1004.6986447449126</v>
      </c>
      <c r="K164" s="115">
        <v>1022.4616566832483</v>
      </c>
      <c r="L164" s="114">
        <v>952.43799506516825</v>
      </c>
      <c r="M164" s="72">
        <v>915.43319193164098</v>
      </c>
      <c r="N164" s="72">
        <v>831.97642153575725</v>
      </c>
      <c r="O164" s="115">
        <v>749.96485144546386</v>
      </c>
    </row>
    <row r="165" spans="1:15">
      <c r="A165" t="s">
        <v>427</v>
      </c>
      <c r="B165" t="s">
        <v>428</v>
      </c>
      <c r="C165" s="114">
        <f>IF(VLOOKUP(A165,'School Year 2021-22'!A:AN,'School Year 2021-22'!$R$1,FALSE)&gt;0,VLOOKUP(A165,'School Year 2021-22'!A:AN,'School Year 2021-22'!$U$1,FALSE)-VLOOKUP(A165,'School Year 2021-22'!A:AN,'School Year 2021-22'!$W$1,FALSE),0)+IF((VLOOKUP(A165,'School Year 2021-22'!A:AN,'School Year 2021-22'!$S$1,FALSE)+(VLOOKUP(A165,'School Year 2021-22'!A:AN,'School Year 2021-22'!$T$1,FALSE)))&gt;0,VLOOKUP(A165,'School Year 2021-22'!A:AN,'School Year 2021-22'!$V$1,FALSE)-VLOOKUP(A165,'School Year 2021-22'!A:AN,'School Year 2021-22'!$W$1,FALSE),0)</f>
        <v>3359.4263032402923</v>
      </c>
      <c r="D165" s="72">
        <f t="shared" si="10"/>
        <v>3359.4263032402923</v>
      </c>
      <c r="E165" s="72">
        <f t="shared" si="11"/>
        <v>3359.4263032402923</v>
      </c>
      <c r="F165" s="72">
        <f t="shared" si="12"/>
        <v>3359.4263032402923</v>
      </c>
      <c r="G165" s="115">
        <f t="shared" si="13"/>
        <v>3359.4263032402923</v>
      </c>
      <c r="H165" s="114">
        <v>3204.4827972888561</v>
      </c>
      <c r="I165" s="72">
        <v>3271.7147029627758</v>
      </c>
      <c r="J165" s="72">
        <v>3333.7074539230234</v>
      </c>
      <c r="K165" s="115">
        <v>3393.5933384239397</v>
      </c>
      <c r="L165" s="114">
        <v>3204.4827972888561</v>
      </c>
      <c r="M165" s="72">
        <v>3164.389764429181</v>
      </c>
      <c r="N165" s="72">
        <v>3022.0324579930402</v>
      </c>
      <c r="O165" s="115">
        <v>2884.2796481101523</v>
      </c>
    </row>
    <row r="166" spans="1:15">
      <c r="A166" t="s">
        <v>583</v>
      </c>
      <c r="B166" t="s">
        <v>584</v>
      </c>
      <c r="C166" s="114">
        <f>IF(VLOOKUP(A166,'School Year 2021-22'!A:AN,'School Year 2021-22'!$R$1,FALSE)&gt;0,VLOOKUP(A166,'School Year 2021-22'!A:AN,'School Year 2021-22'!$U$1,FALSE)-VLOOKUP(A166,'School Year 2021-22'!A:AN,'School Year 2021-22'!$W$1,FALSE),0)+IF((VLOOKUP(A166,'School Year 2021-22'!A:AN,'School Year 2021-22'!$S$1,FALSE)+(VLOOKUP(A166,'School Year 2021-22'!A:AN,'School Year 2021-22'!$T$1,FALSE)))&gt;0,VLOOKUP(A166,'School Year 2021-22'!A:AN,'School Year 2021-22'!$V$1,FALSE)-VLOOKUP(A166,'School Year 2021-22'!A:AN,'School Year 2021-22'!$W$1,FALSE),0)</f>
        <v>6467.3922789226162</v>
      </c>
      <c r="D166" s="72">
        <f t="shared" si="10"/>
        <v>6467.3922789226162</v>
      </c>
      <c r="E166" s="72">
        <f t="shared" si="11"/>
        <v>6467.3922789226162</v>
      </c>
      <c r="F166" s="72">
        <f t="shared" si="12"/>
        <v>6467.3922789226162</v>
      </c>
      <c r="G166" s="115">
        <f t="shared" si="13"/>
        <v>6467.3922789226162</v>
      </c>
      <c r="H166" s="114">
        <v>831.44919241143998</v>
      </c>
      <c r="I166" s="72">
        <v>861.83828428673223</v>
      </c>
      <c r="J166" s="72">
        <v>877.73298695960329</v>
      </c>
      <c r="K166" s="115">
        <v>892.78638690734897</v>
      </c>
      <c r="L166" s="114">
        <v>831.44919241143998</v>
      </c>
      <c r="M166" s="72">
        <v>800.29272351994859</v>
      </c>
      <c r="N166" s="72">
        <v>727.92868593385083</v>
      </c>
      <c r="O166" s="115">
        <v>656.85624991961959</v>
      </c>
    </row>
    <row r="167" spans="1:15">
      <c r="A167" t="s">
        <v>271</v>
      </c>
      <c r="B167" t="s">
        <v>272</v>
      </c>
      <c r="C167" s="114">
        <f>IF(VLOOKUP(A167,'School Year 2021-22'!A:AN,'School Year 2021-22'!$R$1,FALSE)&gt;0,VLOOKUP(A167,'School Year 2021-22'!A:AN,'School Year 2021-22'!$U$1,FALSE)-VLOOKUP(A167,'School Year 2021-22'!A:AN,'School Year 2021-22'!$W$1,FALSE),0)+IF((VLOOKUP(A167,'School Year 2021-22'!A:AN,'School Year 2021-22'!$S$1,FALSE)+(VLOOKUP(A167,'School Year 2021-22'!A:AN,'School Year 2021-22'!$T$1,FALSE)))&gt;0,VLOOKUP(A167,'School Year 2021-22'!A:AN,'School Year 2021-22'!$V$1,FALSE)-VLOOKUP(A167,'School Year 2021-22'!A:AN,'School Year 2021-22'!$W$1,FALSE),0)</f>
        <v>833.3866866862345</v>
      </c>
      <c r="D167" s="72">
        <f t="shared" si="10"/>
        <v>833.3866866862345</v>
      </c>
      <c r="E167" s="72">
        <f t="shared" si="11"/>
        <v>833.3866866862345</v>
      </c>
      <c r="F167" s="72">
        <f t="shared" si="12"/>
        <v>833.3866866862345</v>
      </c>
      <c r="G167" s="115">
        <f t="shared" si="13"/>
        <v>833.3866866862345</v>
      </c>
      <c r="H167" s="114">
        <v>831.44919241143998</v>
      </c>
      <c r="I167" s="72">
        <v>861.83828428673223</v>
      </c>
      <c r="J167" s="72">
        <v>877.73298695960329</v>
      </c>
      <c r="K167" s="115">
        <v>892.78638690734897</v>
      </c>
      <c r="L167" s="114">
        <v>831.44919241143998</v>
      </c>
      <c r="M167" s="72">
        <v>800.29272351994859</v>
      </c>
      <c r="N167" s="72">
        <v>727.92868593385083</v>
      </c>
      <c r="O167" s="115">
        <v>656.85624991961959</v>
      </c>
    </row>
    <row r="168" spans="1:15">
      <c r="A168" t="s">
        <v>349</v>
      </c>
      <c r="B168" t="s">
        <v>350</v>
      </c>
      <c r="C168" s="114">
        <f>IF(VLOOKUP(A168,'School Year 2021-22'!A:AN,'School Year 2021-22'!$R$1,FALSE)&gt;0,VLOOKUP(A168,'School Year 2021-22'!A:AN,'School Year 2021-22'!$U$1,FALSE)-VLOOKUP(A168,'School Year 2021-22'!A:AN,'School Year 2021-22'!$W$1,FALSE),0)+IF((VLOOKUP(A168,'School Year 2021-22'!A:AN,'School Year 2021-22'!$S$1,FALSE)+(VLOOKUP(A168,'School Year 2021-22'!A:AN,'School Year 2021-22'!$T$1,FALSE)))&gt;0,VLOOKUP(A168,'School Year 2021-22'!A:AN,'School Year 2021-22'!$V$1,FALSE)-VLOOKUP(A168,'School Year 2021-22'!A:AN,'School Year 2021-22'!$W$1,FALSE),0)</f>
        <v>1020.7888546232107</v>
      </c>
      <c r="D168" s="72">
        <f t="shared" si="10"/>
        <v>1020.7888546232107</v>
      </c>
      <c r="E168" s="72">
        <f t="shared" si="11"/>
        <v>1020.7888546232107</v>
      </c>
      <c r="F168" s="72">
        <f t="shared" si="12"/>
        <v>1020.7888546232107</v>
      </c>
      <c r="G168" s="115">
        <f t="shared" si="13"/>
        <v>1020.7888546232107</v>
      </c>
      <c r="H168" s="114">
        <v>862.04304353640327</v>
      </c>
      <c r="I168" s="72">
        <v>893.28445406684841</v>
      </c>
      <c r="J168" s="72">
        <v>909.80500215221946</v>
      </c>
      <c r="K168" s="115">
        <v>925.52868253675024</v>
      </c>
      <c r="L168" s="114">
        <v>862.04304353640327</v>
      </c>
      <c r="M168" s="72">
        <v>829.83962665257786</v>
      </c>
      <c r="N168" s="72">
        <v>755.15663200327708</v>
      </c>
      <c r="O168" s="115">
        <v>681.80660469410941</v>
      </c>
    </row>
    <row r="169" spans="1:15">
      <c r="A169" t="s">
        <v>327</v>
      </c>
      <c r="B169" t="s">
        <v>328</v>
      </c>
      <c r="C169" s="114">
        <f>IF(VLOOKUP(A169,'School Year 2021-22'!A:AN,'School Year 2021-22'!$R$1,FALSE)&gt;0,VLOOKUP(A169,'School Year 2021-22'!A:AN,'School Year 2021-22'!$U$1,FALSE)-VLOOKUP(A169,'School Year 2021-22'!A:AN,'School Year 2021-22'!$W$1,FALSE),0)+IF((VLOOKUP(A169,'School Year 2021-22'!A:AN,'School Year 2021-22'!$S$1,FALSE)+(VLOOKUP(A169,'School Year 2021-22'!A:AN,'School Year 2021-22'!$T$1,FALSE)))&gt;0,VLOOKUP(A169,'School Year 2021-22'!A:AN,'School Year 2021-22'!$V$1,FALSE)-VLOOKUP(A169,'School Year 2021-22'!A:AN,'School Year 2021-22'!$W$1,FALSE),0)</f>
        <v>0</v>
      </c>
      <c r="D169" s="72">
        <f t="shared" si="10"/>
        <v>0</v>
      </c>
      <c r="E169" s="72">
        <f t="shared" si="11"/>
        <v>0</v>
      </c>
      <c r="F169" s="72">
        <f t="shared" si="12"/>
        <v>0</v>
      </c>
      <c r="G169" s="115">
        <f t="shared" si="13"/>
        <v>0</v>
      </c>
      <c r="H169" s="114">
        <v>0</v>
      </c>
      <c r="I169" s="72">
        <v>0</v>
      </c>
      <c r="J169" s="72">
        <v>0</v>
      </c>
      <c r="K169" s="115">
        <v>0</v>
      </c>
      <c r="L169" s="114">
        <v>0</v>
      </c>
      <c r="M169" s="72">
        <v>0</v>
      </c>
      <c r="N169" s="72">
        <v>0</v>
      </c>
      <c r="O169" s="115">
        <v>0</v>
      </c>
    </row>
    <row r="170" spans="1:15">
      <c r="A170" t="s">
        <v>355</v>
      </c>
      <c r="B170" t="s">
        <v>356</v>
      </c>
      <c r="C170" s="114">
        <f>IF(VLOOKUP(A170,'School Year 2021-22'!A:AN,'School Year 2021-22'!$R$1,FALSE)&gt;0,VLOOKUP(A170,'School Year 2021-22'!A:AN,'School Year 2021-22'!$U$1,FALSE)-VLOOKUP(A170,'School Year 2021-22'!A:AN,'School Year 2021-22'!$W$1,FALSE),0)+IF((VLOOKUP(A170,'School Year 2021-22'!A:AN,'School Year 2021-22'!$S$1,FALSE)+(VLOOKUP(A170,'School Year 2021-22'!A:AN,'School Year 2021-22'!$T$1,FALSE)))&gt;0,VLOOKUP(A170,'School Year 2021-22'!A:AN,'School Year 2021-22'!$V$1,FALSE)-VLOOKUP(A170,'School Year 2021-22'!A:AN,'School Year 2021-22'!$W$1,FALSE),0)</f>
        <v>836.76013762865205</v>
      </c>
      <c r="D170" s="72">
        <f t="shared" si="10"/>
        <v>836.76013762865205</v>
      </c>
      <c r="E170" s="72">
        <f t="shared" si="11"/>
        <v>836.76013762865205</v>
      </c>
      <c r="F170" s="72">
        <f t="shared" si="12"/>
        <v>836.76013762865205</v>
      </c>
      <c r="G170" s="115">
        <f t="shared" si="13"/>
        <v>836.76013762865205</v>
      </c>
      <c r="H170" s="114">
        <v>831.44919241143998</v>
      </c>
      <c r="I170" s="72">
        <v>861.83828428673223</v>
      </c>
      <c r="J170" s="72">
        <v>877.73298695960329</v>
      </c>
      <c r="K170" s="115">
        <v>892.78638690734897</v>
      </c>
      <c r="L170" s="114">
        <v>831.44919241143998</v>
      </c>
      <c r="M170" s="72">
        <v>800.29272351994859</v>
      </c>
      <c r="N170" s="72">
        <v>727.92868593385083</v>
      </c>
      <c r="O170" s="115">
        <v>656.85624991961959</v>
      </c>
    </row>
    <row r="171" spans="1:15">
      <c r="A171" t="s">
        <v>457</v>
      </c>
      <c r="B171" t="s">
        <v>458</v>
      </c>
      <c r="C171" s="114">
        <f>IF(VLOOKUP(A171,'School Year 2021-22'!A:AN,'School Year 2021-22'!$R$1,FALSE)&gt;0,VLOOKUP(A171,'School Year 2021-22'!A:AN,'School Year 2021-22'!$U$1,FALSE)-VLOOKUP(A171,'School Year 2021-22'!A:AN,'School Year 2021-22'!$W$1,FALSE),0)+IF((VLOOKUP(A171,'School Year 2021-22'!A:AN,'School Year 2021-22'!$S$1,FALSE)+(VLOOKUP(A171,'School Year 2021-22'!A:AN,'School Year 2021-22'!$T$1,FALSE)))&gt;0,VLOOKUP(A171,'School Year 2021-22'!A:AN,'School Year 2021-22'!$V$1,FALSE)-VLOOKUP(A171,'School Year 2021-22'!A:AN,'School Year 2021-22'!$W$1,FALSE),0)</f>
        <v>838.37621194508665</v>
      </c>
      <c r="D171" s="72">
        <f t="shared" si="10"/>
        <v>838.37621194508665</v>
      </c>
      <c r="E171" s="72">
        <f t="shared" si="11"/>
        <v>838.37621194508665</v>
      </c>
      <c r="F171" s="72">
        <f t="shared" si="12"/>
        <v>838.37621194508665</v>
      </c>
      <c r="G171" s="115">
        <f t="shared" si="13"/>
        <v>838.37621194508665</v>
      </c>
      <c r="H171" s="114">
        <v>831.44919241143998</v>
      </c>
      <c r="I171" s="72">
        <v>861.83828428673223</v>
      </c>
      <c r="J171" s="72">
        <v>877.73298695960329</v>
      </c>
      <c r="K171" s="115">
        <v>892.78638690734897</v>
      </c>
      <c r="L171" s="114">
        <v>831.44919241143998</v>
      </c>
      <c r="M171" s="72">
        <v>800.29272351994859</v>
      </c>
      <c r="N171" s="72">
        <v>727.92868593385083</v>
      </c>
      <c r="O171" s="115">
        <v>656.85624991961959</v>
      </c>
    </row>
    <row r="172" spans="1:15">
      <c r="A172" t="s">
        <v>549</v>
      </c>
      <c r="B172" t="s">
        <v>550</v>
      </c>
      <c r="C172" s="114">
        <f>IF(VLOOKUP(A172,'School Year 2021-22'!A:AN,'School Year 2021-22'!$R$1,FALSE)&gt;0,VLOOKUP(A172,'School Year 2021-22'!A:AN,'School Year 2021-22'!$U$1,FALSE)-VLOOKUP(A172,'School Year 2021-22'!A:AN,'School Year 2021-22'!$W$1,FALSE),0)+IF((VLOOKUP(A172,'School Year 2021-22'!A:AN,'School Year 2021-22'!$S$1,FALSE)+(VLOOKUP(A172,'School Year 2021-22'!A:AN,'School Year 2021-22'!$T$1,FALSE)))&gt;0,VLOOKUP(A172,'School Year 2021-22'!A:AN,'School Year 2021-22'!$V$1,FALSE)-VLOOKUP(A172,'School Year 2021-22'!A:AN,'School Year 2021-22'!$W$1,FALSE),0)</f>
        <v>878.06213668665259</v>
      </c>
      <c r="D172" s="72">
        <f t="shared" si="10"/>
        <v>878.06213668665259</v>
      </c>
      <c r="E172" s="72">
        <f t="shared" si="11"/>
        <v>878.06213668665259</v>
      </c>
      <c r="F172" s="72">
        <f t="shared" si="12"/>
        <v>878.06213668665259</v>
      </c>
      <c r="G172" s="115">
        <f t="shared" si="13"/>
        <v>878.06213668665259</v>
      </c>
      <c r="H172" s="114">
        <v>871.77879329601546</v>
      </c>
      <c r="I172" s="72">
        <v>903.31684248700276</v>
      </c>
      <c r="J172" s="72">
        <v>920.05487288803943</v>
      </c>
      <c r="K172" s="115">
        <v>936.01147683264753</v>
      </c>
      <c r="L172" s="114">
        <v>871.77879329601546</v>
      </c>
      <c r="M172" s="72">
        <v>838.67287965718151</v>
      </c>
      <c r="N172" s="72">
        <v>762.61126446782146</v>
      </c>
      <c r="O172" s="115">
        <v>687.89245042823313</v>
      </c>
    </row>
    <row r="173" spans="1:15">
      <c r="A173" t="s">
        <v>145</v>
      </c>
      <c r="B173" t="s">
        <v>146</v>
      </c>
      <c r="C173" s="114">
        <f>IF(VLOOKUP(A173,'School Year 2021-22'!A:AN,'School Year 2021-22'!$R$1,FALSE)&gt;0,VLOOKUP(A173,'School Year 2021-22'!A:AN,'School Year 2021-22'!$U$1,FALSE)-VLOOKUP(A173,'School Year 2021-22'!A:AN,'School Year 2021-22'!$W$1,FALSE),0)+IF((VLOOKUP(A173,'School Year 2021-22'!A:AN,'School Year 2021-22'!$S$1,FALSE)+(VLOOKUP(A173,'School Year 2021-22'!A:AN,'School Year 2021-22'!$T$1,FALSE)))&gt;0,VLOOKUP(A173,'School Year 2021-22'!A:AN,'School Year 2021-22'!$V$1,FALSE)-VLOOKUP(A173,'School Year 2021-22'!A:AN,'School Year 2021-22'!$W$1,FALSE),0)</f>
        <v>830.64398285286461</v>
      </c>
      <c r="D173" s="72">
        <f t="shared" si="10"/>
        <v>830.64398285286461</v>
      </c>
      <c r="E173" s="72">
        <f t="shared" si="11"/>
        <v>830.64398285286461</v>
      </c>
      <c r="F173" s="72">
        <f t="shared" si="12"/>
        <v>830.64398285286461</v>
      </c>
      <c r="G173" s="115">
        <f t="shared" si="13"/>
        <v>830.64398285286461</v>
      </c>
      <c r="H173" s="114">
        <v>831.44919241143998</v>
      </c>
      <c r="I173" s="72">
        <v>861.83828428673223</v>
      </c>
      <c r="J173" s="72">
        <v>877.73298695960329</v>
      </c>
      <c r="K173" s="115">
        <v>892.78638690734897</v>
      </c>
      <c r="L173" s="114">
        <v>831.44919241143998</v>
      </c>
      <c r="M173" s="72">
        <v>800.29272351994859</v>
      </c>
      <c r="N173" s="72">
        <v>727.92868593385083</v>
      </c>
      <c r="O173" s="115">
        <v>656.85624991961959</v>
      </c>
    </row>
    <row r="174" spans="1:15">
      <c r="A174" t="s">
        <v>113</v>
      </c>
      <c r="B174" t="s">
        <v>114</v>
      </c>
      <c r="C174" s="114">
        <f>IF(VLOOKUP(A174,'School Year 2021-22'!A:AN,'School Year 2021-22'!$R$1,FALSE)&gt;0,VLOOKUP(A174,'School Year 2021-22'!A:AN,'School Year 2021-22'!$U$1,FALSE)-VLOOKUP(A174,'School Year 2021-22'!A:AN,'School Year 2021-22'!$W$1,FALSE),0)+IF((VLOOKUP(A174,'School Year 2021-22'!A:AN,'School Year 2021-22'!$S$1,FALSE)+(VLOOKUP(A174,'School Year 2021-22'!A:AN,'School Year 2021-22'!$T$1,FALSE)))&gt;0,VLOOKUP(A174,'School Year 2021-22'!A:AN,'School Year 2021-22'!$V$1,FALSE)-VLOOKUP(A174,'School Year 2021-22'!A:AN,'School Year 2021-22'!$W$1,FALSE),0)</f>
        <v>838.83703493960002</v>
      </c>
      <c r="D174" s="72">
        <f t="shared" si="10"/>
        <v>838.83703493960002</v>
      </c>
      <c r="E174" s="72">
        <f t="shared" si="11"/>
        <v>838.83703493960002</v>
      </c>
      <c r="F174" s="72">
        <f t="shared" si="12"/>
        <v>838.83703493960002</v>
      </c>
      <c r="G174" s="115">
        <f t="shared" si="13"/>
        <v>838.83703493960002</v>
      </c>
      <c r="H174" s="114">
        <v>831.44919241143998</v>
      </c>
      <c r="I174" s="72">
        <v>861.83828428673223</v>
      </c>
      <c r="J174" s="72">
        <v>877.73298695960329</v>
      </c>
      <c r="K174" s="115">
        <v>892.78638690734897</v>
      </c>
      <c r="L174" s="114">
        <v>831.44919241143998</v>
      </c>
      <c r="M174" s="72">
        <v>800.29272351994859</v>
      </c>
      <c r="N174" s="72">
        <v>727.92868593385083</v>
      </c>
      <c r="O174" s="115">
        <v>656.85624991961959</v>
      </c>
    </row>
    <row r="175" spans="1:15">
      <c r="A175" t="s">
        <v>231</v>
      </c>
      <c r="B175" t="s">
        <v>232</v>
      </c>
      <c r="C175" s="114">
        <f>IF(VLOOKUP(A175,'School Year 2021-22'!A:AN,'School Year 2021-22'!$R$1,FALSE)&gt;0,VLOOKUP(A175,'School Year 2021-22'!A:AN,'School Year 2021-22'!$U$1,FALSE)-VLOOKUP(A175,'School Year 2021-22'!A:AN,'School Year 2021-22'!$W$1,FALSE),0)+IF((VLOOKUP(A175,'School Year 2021-22'!A:AN,'School Year 2021-22'!$S$1,FALSE)+(VLOOKUP(A175,'School Year 2021-22'!A:AN,'School Year 2021-22'!$T$1,FALSE)))&gt;0,VLOOKUP(A175,'School Year 2021-22'!A:AN,'School Year 2021-22'!$V$1,FALSE)-VLOOKUP(A175,'School Year 2021-22'!A:AN,'School Year 2021-22'!$W$1,FALSE),0)</f>
        <v>961.05646379663631</v>
      </c>
      <c r="D175" s="72">
        <f t="shared" si="10"/>
        <v>961.05646379663631</v>
      </c>
      <c r="E175" s="72">
        <f t="shared" si="11"/>
        <v>961.05646379663631</v>
      </c>
      <c r="F175" s="72">
        <f t="shared" si="12"/>
        <v>961.05646379663631</v>
      </c>
      <c r="G175" s="115">
        <f t="shared" si="13"/>
        <v>961.05646379663631</v>
      </c>
      <c r="H175" s="114">
        <v>952.43799506516825</v>
      </c>
      <c r="I175" s="72">
        <v>986.27395888754472</v>
      </c>
      <c r="J175" s="72">
        <v>1004.6986447449126</v>
      </c>
      <c r="K175" s="115">
        <v>1022.4616566832483</v>
      </c>
      <c r="L175" s="114">
        <v>952.43799506516825</v>
      </c>
      <c r="M175" s="72">
        <v>915.43319193164098</v>
      </c>
      <c r="N175" s="72">
        <v>831.97642153575725</v>
      </c>
      <c r="O175" s="115">
        <v>749.96485144546386</v>
      </c>
    </row>
    <row r="176" spans="1:15">
      <c r="A176" t="s">
        <v>323</v>
      </c>
      <c r="B176" t="s">
        <v>324</v>
      </c>
      <c r="C176" s="114">
        <f>IF(VLOOKUP(A176,'School Year 2021-22'!A:AN,'School Year 2021-22'!$R$1,FALSE)&gt;0,VLOOKUP(A176,'School Year 2021-22'!A:AN,'School Year 2021-22'!$U$1,FALSE)-VLOOKUP(A176,'School Year 2021-22'!A:AN,'School Year 2021-22'!$W$1,FALSE),0)+IF((VLOOKUP(A176,'School Year 2021-22'!A:AN,'School Year 2021-22'!$S$1,FALSE)+(VLOOKUP(A176,'School Year 2021-22'!A:AN,'School Year 2021-22'!$T$1,FALSE)))&gt;0,VLOOKUP(A176,'School Year 2021-22'!A:AN,'School Year 2021-22'!$V$1,FALSE)-VLOOKUP(A176,'School Year 2021-22'!A:AN,'School Year 2021-22'!$W$1,FALSE),0)</f>
        <v>1212.0253486448246</v>
      </c>
      <c r="D176" s="72">
        <f t="shared" si="10"/>
        <v>1212.0253486448246</v>
      </c>
      <c r="E176" s="72">
        <f t="shared" si="11"/>
        <v>1212.0253486448246</v>
      </c>
      <c r="F176" s="72">
        <f t="shared" si="12"/>
        <v>1212.0253486448246</v>
      </c>
      <c r="G176" s="115">
        <f t="shared" si="13"/>
        <v>1212.0253486448246</v>
      </c>
      <c r="H176" s="114">
        <v>871.77879329601546</v>
      </c>
      <c r="I176" s="72">
        <v>903.31684248700276</v>
      </c>
      <c r="J176" s="72">
        <v>920.05487288803943</v>
      </c>
      <c r="K176" s="115">
        <v>936.01147683264753</v>
      </c>
      <c r="L176" s="114">
        <v>871.77879329601546</v>
      </c>
      <c r="M176" s="72">
        <v>838.67287965718151</v>
      </c>
      <c r="N176" s="72">
        <v>762.61126446782146</v>
      </c>
      <c r="O176" s="115">
        <v>687.89245042823313</v>
      </c>
    </row>
    <row r="177" spans="1:15">
      <c r="A177" t="s">
        <v>353</v>
      </c>
      <c r="B177" t="s">
        <v>354</v>
      </c>
      <c r="C177" s="114">
        <f>IF(VLOOKUP(A177,'School Year 2021-22'!A:AN,'School Year 2021-22'!$R$1,FALSE)&gt;0,VLOOKUP(A177,'School Year 2021-22'!A:AN,'School Year 2021-22'!$U$1,FALSE)-VLOOKUP(A177,'School Year 2021-22'!A:AN,'School Year 2021-22'!$W$1,FALSE),0)+IF((VLOOKUP(A177,'School Year 2021-22'!A:AN,'School Year 2021-22'!$S$1,FALSE)+(VLOOKUP(A177,'School Year 2021-22'!A:AN,'School Year 2021-22'!$T$1,FALSE)))&gt;0,VLOOKUP(A177,'School Year 2021-22'!A:AN,'School Year 2021-22'!$V$1,FALSE)-VLOOKUP(A177,'School Year 2021-22'!A:AN,'School Year 2021-22'!$W$1,FALSE),0)</f>
        <v>0</v>
      </c>
      <c r="D177" s="72">
        <f t="shared" si="10"/>
        <v>0</v>
      </c>
      <c r="E177" s="72">
        <f t="shared" si="11"/>
        <v>0</v>
      </c>
      <c r="F177" s="72">
        <f t="shared" si="12"/>
        <v>0</v>
      </c>
      <c r="G177" s="115">
        <f t="shared" si="13"/>
        <v>0</v>
      </c>
      <c r="H177" s="114">
        <v>0</v>
      </c>
      <c r="I177" s="72">
        <v>0</v>
      </c>
      <c r="J177" s="72">
        <v>0</v>
      </c>
      <c r="K177" s="115">
        <v>0</v>
      </c>
      <c r="L177" s="114">
        <v>0</v>
      </c>
      <c r="M177" s="72">
        <v>0</v>
      </c>
      <c r="N177" s="72">
        <v>0</v>
      </c>
      <c r="O177" s="115">
        <v>0</v>
      </c>
    </row>
    <row r="178" spans="1:15">
      <c r="A178" t="s">
        <v>509</v>
      </c>
      <c r="B178" t="s">
        <v>510</v>
      </c>
      <c r="C178" s="114">
        <f>IF(VLOOKUP(A178,'School Year 2021-22'!A:AN,'School Year 2021-22'!$R$1,FALSE)&gt;0,VLOOKUP(A178,'School Year 2021-22'!A:AN,'School Year 2021-22'!$U$1,FALSE)-VLOOKUP(A178,'School Year 2021-22'!A:AN,'School Year 2021-22'!$W$1,FALSE),0)+IF((VLOOKUP(A178,'School Year 2021-22'!A:AN,'School Year 2021-22'!$S$1,FALSE)+(VLOOKUP(A178,'School Year 2021-22'!A:AN,'School Year 2021-22'!$T$1,FALSE)))&gt;0,VLOOKUP(A178,'School Year 2021-22'!A:AN,'School Year 2021-22'!$V$1,FALSE)-VLOOKUP(A178,'School Year 2021-22'!A:AN,'School Year 2021-22'!$W$1,FALSE),0)</f>
        <v>1088.1570304113002</v>
      </c>
      <c r="D178" s="72">
        <f t="shared" si="10"/>
        <v>1088.1570304113002</v>
      </c>
      <c r="E178" s="72">
        <f t="shared" si="11"/>
        <v>1088.1570304113002</v>
      </c>
      <c r="F178" s="72">
        <f t="shared" si="12"/>
        <v>1088.1570304113002</v>
      </c>
      <c r="G178" s="115">
        <f t="shared" si="13"/>
        <v>1088.1570304113002</v>
      </c>
      <c r="H178" s="114">
        <v>858.33559300115849</v>
      </c>
      <c r="I178" s="72">
        <v>882.57756338686795</v>
      </c>
      <c r="J178" s="72">
        <v>898.89392992382182</v>
      </c>
      <c r="K178" s="115">
        <v>914.39893186999961</v>
      </c>
      <c r="L178" s="114">
        <v>858.33559300115849</v>
      </c>
      <c r="M178" s="72">
        <v>819.48280158856596</v>
      </c>
      <c r="N178" s="72">
        <v>745.26997520083478</v>
      </c>
      <c r="O178" s="115">
        <v>672.37435017392636</v>
      </c>
    </row>
    <row r="179" spans="1:15">
      <c r="A179" t="s">
        <v>503</v>
      </c>
      <c r="B179" t="s">
        <v>504</v>
      </c>
      <c r="C179" s="114">
        <f>IF(VLOOKUP(A179,'School Year 2021-22'!A:AN,'School Year 2021-22'!$R$1,FALSE)&gt;0,VLOOKUP(A179,'School Year 2021-22'!A:AN,'School Year 2021-22'!$U$1,FALSE)-VLOOKUP(A179,'School Year 2021-22'!A:AN,'School Year 2021-22'!$W$1,FALSE),0)+IF((VLOOKUP(A179,'School Year 2021-22'!A:AN,'School Year 2021-22'!$S$1,FALSE)+(VLOOKUP(A179,'School Year 2021-22'!A:AN,'School Year 2021-22'!$T$1,FALSE)))&gt;0,VLOOKUP(A179,'School Year 2021-22'!A:AN,'School Year 2021-22'!$V$1,FALSE)-VLOOKUP(A179,'School Year 2021-22'!A:AN,'School Year 2021-22'!$W$1,FALSE),0)</f>
        <v>825.21151011789243</v>
      </c>
      <c r="D179" s="72">
        <f t="shared" si="10"/>
        <v>825.21151011789243</v>
      </c>
      <c r="E179" s="72">
        <f t="shared" si="11"/>
        <v>825.21151011789243</v>
      </c>
      <c r="F179" s="72">
        <f t="shared" si="12"/>
        <v>825.21151011789243</v>
      </c>
      <c r="G179" s="115">
        <f t="shared" si="13"/>
        <v>825.21151011789243</v>
      </c>
      <c r="H179" s="114">
        <v>831.44919241143998</v>
      </c>
      <c r="I179" s="72">
        <v>861.83828428673223</v>
      </c>
      <c r="J179" s="72">
        <v>877.73298695960329</v>
      </c>
      <c r="K179" s="115">
        <v>892.78638690734897</v>
      </c>
      <c r="L179" s="114">
        <v>831.44919241143998</v>
      </c>
      <c r="M179" s="72">
        <v>800.29272351994859</v>
      </c>
      <c r="N179" s="72">
        <v>727.92868593385083</v>
      </c>
      <c r="O179" s="115">
        <v>656.85624991961959</v>
      </c>
    </row>
    <row r="180" spans="1:15">
      <c r="A180" t="s">
        <v>219</v>
      </c>
      <c r="B180" t="s">
        <v>220</v>
      </c>
      <c r="C180" s="114">
        <f>IF(VLOOKUP(A180,'School Year 2021-22'!A:AN,'School Year 2021-22'!$R$1,FALSE)&gt;0,VLOOKUP(A180,'School Year 2021-22'!A:AN,'School Year 2021-22'!$U$1,FALSE)-VLOOKUP(A180,'School Year 2021-22'!A:AN,'School Year 2021-22'!$W$1,FALSE),0)+IF((VLOOKUP(A180,'School Year 2021-22'!A:AN,'School Year 2021-22'!$S$1,FALSE)+(VLOOKUP(A180,'School Year 2021-22'!A:AN,'School Year 2021-22'!$T$1,FALSE)))&gt;0,VLOOKUP(A180,'School Year 2021-22'!A:AN,'School Year 2021-22'!$V$1,FALSE)-VLOOKUP(A180,'School Year 2021-22'!A:AN,'School Year 2021-22'!$W$1,FALSE),0)</f>
        <v>962.08202918981988</v>
      </c>
      <c r="D180" s="72">
        <f t="shared" si="10"/>
        <v>962.08202918981988</v>
      </c>
      <c r="E180" s="72">
        <f t="shared" si="11"/>
        <v>962.08202918981988</v>
      </c>
      <c r="F180" s="72">
        <f t="shared" si="12"/>
        <v>962.08202918981988</v>
      </c>
      <c r="G180" s="115">
        <f t="shared" si="13"/>
        <v>962.08202918981988</v>
      </c>
      <c r="H180" s="114">
        <v>952.43799506516825</v>
      </c>
      <c r="I180" s="72">
        <v>986.27395888754472</v>
      </c>
      <c r="J180" s="72">
        <v>1004.6986447449126</v>
      </c>
      <c r="K180" s="115">
        <v>1022.4616566832483</v>
      </c>
      <c r="L180" s="114">
        <v>952.43799506516825</v>
      </c>
      <c r="M180" s="72">
        <v>915.43319193164098</v>
      </c>
      <c r="N180" s="72">
        <v>831.97642153575725</v>
      </c>
      <c r="O180" s="115">
        <v>749.96485144546386</v>
      </c>
    </row>
    <row r="181" spans="1:15">
      <c r="A181" t="s">
        <v>167</v>
      </c>
      <c r="B181" t="s">
        <v>168</v>
      </c>
      <c r="C181" s="114">
        <f>IF(VLOOKUP(A181,'School Year 2021-22'!A:AN,'School Year 2021-22'!$R$1,FALSE)&gt;0,VLOOKUP(A181,'School Year 2021-22'!A:AN,'School Year 2021-22'!$U$1,FALSE)-VLOOKUP(A181,'School Year 2021-22'!A:AN,'School Year 2021-22'!$W$1,FALSE),0)+IF((VLOOKUP(A181,'School Year 2021-22'!A:AN,'School Year 2021-22'!$S$1,FALSE)+(VLOOKUP(A181,'School Year 2021-22'!A:AN,'School Year 2021-22'!$T$1,FALSE)))&gt;0,VLOOKUP(A181,'School Year 2021-22'!A:AN,'School Year 2021-22'!$V$1,FALSE)-VLOOKUP(A181,'School Year 2021-22'!A:AN,'School Year 2021-22'!$W$1,FALSE),0)</f>
        <v>1593.9100316076592</v>
      </c>
      <c r="D181" s="72">
        <f t="shared" si="10"/>
        <v>1593.9100316076592</v>
      </c>
      <c r="E181" s="72">
        <f t="shared" si="11"/>
        <v>1593.9100316076592</v>
      </c>
      <c r="F181" s="72">
        <f t="shared" si="12"/>
        <v>1593.9100316076592</v>
      </c>
      <c r="G181" s="115">
        <f t="shared" si="13"/>
        <v>1593.9100316076592</v>
      </c>
      <c r="H181" s="114">
        <v>912.10839418059186</v>
      </c>
      <c r="I181" s="72">
        <v>944.79540068727511</v>
      </c>
      <c r="J181" s="72">
        <v>962.37675881647738</v>
      </c>
      <c r="K181" s="115">
        <v>979.23656675794882</v>
      </c>
      <c r="L181" s="114">
        <v>912.10839418059186</v>
      </c>
      <c r="M181" s="72">
        <v>877.05303579440988</v>
      </c>
      <c r="N181" s="72">
        <v>797.29384300178936</v>
      </c>
      <c r="O181" s="115">
        <v>718.9286509368485</v>
      </c>
    </row>
    <row r="182" spans="1:15">
      <c r="A182" t="s">
        <v>579</v>
      </c>
      <c r="B182" t="s">
        <v>580</v>
      </c>
      <c r="C182" s="114">
        <f>IF(VLOOKUP(A182,'School Year 2021-22'!A:AN,'School Year 2021-22'!$R$1,FALSE)&gt;0,VLOOKUP(A182,'School Year 2021-22'!A:AN,'School Year 2021-22'!$U$1,FALSE)-VLOOKUP(A182,'School Year 2021-22'!A:AN,'School Year 2021-22'!$W$1,FALSE),0)+IF((VLOOKUP(A182,'School Year 2021-22'!A:AN,'School Year 2021-22'!$S$1,FALSE)+(VLOOKUP(A182,'School Year 2021-22'!A:AN,'School Year 2021-22'!$T$1,FALSE)))&gt;0,VLOOKUP(A182,'School Year 2021-22'!A:AN,'School Year 2021-22'!$V$1,FALSE)-VLOOKUP(A182,'School Year 2021-22'!A:AN,'School Year 2021-22'!$W$1,FALSE),0)</f>
        <v>1048.2250528039776</v>
      </c>
      <c r="D182" s="72">
        <f t="shared" si="10"/>
        <v>1048.2250528039776</v>
      </c>
      <c r="E182" s="72">
        <f t="shared" si="11"/>
        <v>1048.2250528039776</v>
      </c>
      <c r="F182" s="72">
        <f t="shared" si="12"/>
        <v>1048.2250528039776</v>
      </c>
      <c r="G182" s="115">
        <f t="shared" si="13"/>
        <v>1048.2250528039776</v>
      </c>
      <c r="H182" s="114">
        <v>862.04304353640327</v>
      </c>
      <c r="I182" s="72">
        <v>893.28445406684841</v>
      </c>
      <c r="J182" s="72">
        <v>909.80500215221946</v>
      </c>
      <c r="K182" s="115">
        <v>925.52868253675024</v>
      </c>
      <c r="L182" s="114">
        <v>862.04304353640327</v>
      </c>
      <c r="M182" s="72">
        <v>829.83962665257786</v>
      </c>
      <c r="N182" s="72">
        <v>755.15663200327708</v>
      </c>
      <c r="O182" s="115">
        <v>681.80660469410941</v>
      </c>
    </row>
    <row r="183" spans="1:15">
      <c r="A183" t="s">
        <v>165</v>
      </c>
      <c r="B183" t="s">
        <v>166</v>
      </c>
      <c r="C183" s="114">
        <f>IF(VLOOKUP(A183,'School Year 2021-22'!A:AN,'School Year 2021-22'!$R$1,FALSE)&gt;0,VLOOKUP(A183,'School Year 2021-22'!A:AN,'School Year 2021-22'!$U$1,FALSE)-VLOOKUP(A183,'School Year 2021-22'!A:AN,'School Year 2021-22'!$W$1,FALSE),0)+IF((VLOOKUP(A183,'School Year 2021-22'!A:AN,'School Year 2021-22'!$S$1,FALSE)+(VLOOKUP(A183,'School Year 2021-22'!A:AN,'School Year 2021-22'!$T$1,FALSE)))&gt;0,VLOOKUP(A183,'School Year 2021-22'!A:AN,'School Year 2021-22'!$V$1,FALSE)-VLOOKUP(A183,'School Year 2021-22'!A:AN,'School Year 2021-22'!$W$1,FALSE),0)</f>
        <v>829.80099065607737</v>
      </c>
      <c r="D183" s="72">
        <f t="shared" si="10"/>
        <v>829.80099065607737</v>
      </c>
      <c r="E183" s="72">
        <f t="shared" si="11"/>
        <v>829.80099065607737</v>
      </c>
      <c r="F183" s="72">
        <f t="shared" si="12"/>
        <v>829.80099065607737</v>
      </c>
      <c r="G183" s="115">
        <f t="shared" si="13"/>
        <v>829.80099065607737</v>
      </c>
      <c r="H183" s="114">
        <v>831.44919241143998</v>
      </c>
      <c r="I183" s="72">
        <v>861.83828428673223</v>
      </c>
      <c r="J183" s="72">
        <v>877.73298695960329</v>
      </c>
      <c r="K183" s="115">
        <v>892.78638690734897</v>
      </c>
      <c r="L183" s="114">
        <v>831.44919241143998</v>
      </c>
      <c r="M183" s="72">
        <v>800.29272351994859</v>
      </c>
      <c r="N183" s="72">
        <v>727.92868593385083</v>
      </c>
      <c r="O183" s="115">
        <v>656.85624991961959</v>
      </c>
    </row>
    <row r="184" spans="1:15">
      <c r="A184" t="s">
        <v>343</v>
      </c>
      <c r="B184" t="s">
        <v>344</v>
      </c>
      <c r="C184" s="114">
        <f>IF(VLOOKUP(A184,'School Year 2021-22'!A:AN,'School Year 2021-22'!$R$1,FALSE)&gt;0,VLOOKUP(A184,'School Year 2021-22'!A:AN,'School Year 2021-22'!$U$1,FALSE)-VLOOKUP(A184,'School Year 2021-22'!A:AN,'School Year 2021-22'!$W$1,FALSE),0)+IF((VLOOKUP(A184,'School Year 2021-22'!A:AN,'School Year 2021-22'!$S$1,FALSE)+(VLOOKUP(A184,'School Year 2021-22'!A:AN,'School Year 2021-22'!$T$1,FALSE)))&gt;0,VLOOKUP(A184,'School Year 2021-22'!A:AN,'School Year 2021-22'!$V$1,FALSE)-VLOOKUP(A184,'School Year 2021-22'!A:AN,'School Year 2021-22'!$W$1,FALSE),0)</f>
        <v>839.85371531057081</v>
      </c>
      <c r="D184" s="72">
        <f t="shared" si="10"/>
        <v>839.85371531057081</v>
      </c>
      <c r="E184" s="72">
        <f t="shared" si="11"/>
        <v>839.85371531057081</v>
      </c>
      <c r="F184" s="72">
        <f t="shared" si="12"/>
        <v>839.85371531057081</v>
      </c>
      <c r="G184" s="115">
        <f t="shared" si="13"/>
        <v>839.85371531057081</v>
      </c>
      <c r="H184" s="114">
        <v>831.44919241143998</v>
      </c>
      <c r="I184" s="72">
        <v>861.83828428673223</v>
      </c>
      <c r="J184" s="72">
        <v>877.73298695960329</v>
      </c>
      <c r="K184" s="115">
        <v>892.78638690734897</v>
      </c>
      <c r="L184" s="114">
        <v>831.44919241143998</v>
      </c>
      <c r="M184" s="72">
        <v>800.29272351994859</v>
      </c>
      <c r="N184" s="72">
        <v>727.92868593385083</v>
      </c>
      <c r="O184" s="115">
        <v>656.85624991961959</v>
      </c>
    </row>
    <row r="185" spans="1:15">
      <c r="A185" t="s">
        <v>163</v>
      </c>
      <c r="B185" t="s">
        <v>164</v>
      </c>
      <c r="C185" s="114">
        <f>IF(VLOOKUP(A185,'School Year 2021-22'!A:AN,'School Year 2021-22'!$R$1,FALSE)&gt;0,VLOOKUP(A185,'School Year 2021-22'!A:AN,'School Year 2021-22'!$U$1,FALSE)-VLOOKUP(A185,'School Year 2021-22'!A:AN,'School Year 2021-22'!$W$1,FALSE),0)+IF((VLOOKUP(A185,'School Year 2021-22'!A:AN,'School Year 2021-22'!$S$1,FALSE)+(VLOOKUP(A185,'School Year 2021-22'!A:AN,'School Year 2021-22'!$T$1,FALSE)))&gt;0,VLOOKUP(A185,'School Year 2021-22'!A:AN,'School Year 2021-22'!$V$1,FALSE)-VLOOKUP(A185,'School Year 2021-22'!A:AN,'School Year 2021-22'!$W$1,FALSE),0)</f>
        <v>831.97652882279272</v>
      </c>
      <c r="D185" s="72">
        <f t="shared" si="10"/>
        <v>831.97652882279272</v>
      </c>
      <c r="E185" s="72">
        <f t="shared" si="11"/>
        <v>831.97652882279272</v>
      </c>
      <c r="F185" s="72">
        <f t="shared" si="12"/>
        <v>831.97652882279272</v>
      </c>
      <c r="G185" s="115">
        <f t="shared" si="13"/>
        <v>831.97652882279272</v>
      </c>
      <c r="H185" s="114">
        <v>831.44919241143998</v>
      </c>
      <c r="I185" s="72">
        <v>861.83828428673223</v>
      </c>
      <c r="J185" s="72">
        <v>877.73298695960329</v>
      </c>
      <c r="K185" s="115">
        <v>892.78638690734897</v>
      </c>
      <c r="L185" s="114">
        <v>831.44919241143998</v>
      </c>
      <c r="M185" s="72">
        <v>800.29272351994859</v>
      </c>
      <c r="N185" s="72">
        <v>727.92868593385083</v>
      </c>
      <c r="O185" s="115">
        <v>656.85624991961959</v>
      </c>
    </row>
    <row r="186" spans="1:15">
      <c r="A186" t="s">
        <v>305</v>
      </c>
      <c r="B186" t="s">
        <v>306</v>
      </c>
      <c r="C186" s="114">
        <f>IF(VLOOKUP(A186,'School Year 2021-22'!A:AN,'School Year 2021-22'!$R$1,FALSE)&gt;0,VLOOKUP(A186,'School Year 2021-22'!A:AN,'School Year 2021-22'!$U$1,FALSE)-VLOOKUP(A186,'School Year 2021-22'!A:AN,'School Year 2021-22'!$W$1,FALSE),0)+IF((VLOOKUP(A186,'School Year 2021-22'!A:AN,'School Year 2021-22'!$S$1,FALSE)+(VLOOKUP(A186,'School Year 2021-22'!A:AN,'School Year 2021-22'!$T$1,FALSE)))&gt;0,VLOOKUP(A186,'School Year 2021-22'!A:AN,'School Year 2021-22'!$V$1,FALSE)-VLOOKUP(A186,'School Year 2021-22'!A:AN,'School Year 2021-22'!$W$1,FALSE),0)</f>
        <v>1283.7129126102818</v>
      </c>
      <c r="D186" s="72">
        <f t="shared" si="10"/>
        <v>1283.7129126102818</v>
      </c>
      <c r="E186" s="72">
        <f t="shared" si="11"/>
        <v>1283.7129126102818</v>
      </c>
      <c r="F186" s="72">
        <f t="shared" si="12"/>
        <v>1283.7129126102818</v>
      </c>
      <c r="G186" s="115">
        <f t="shared" si="13"/>
        <v>1283.7129126102818</v>
      </c>
      <c r="H186" s="114">
        <v>888.92944412612178</v>
      </c>
      <c r="I186" s="72">
        <v>914.02373316698413</v>
      </c>
      <c r="J186" s="72">
        <v>930.96594511643616</v>
      </c>
      <c r="K186" s="115">
        <v>947.14122749939997</v>
      </c>
      <c r="L186" s="114">
        <v>888.92944412612178</v>
      </c>
      <c r="M186" s="72">
        <v>849.02970472119341</v>
      </c>
      <c r="N186" s="72">
        <v>772.49792127026194</v>
      </c>
      <c r="O186" s="115">
        <v>697.32470494841618</v>
      </c>
    </row>
    <row r="187" spans="1:15">
      <c r="A187" t="s">
        <v>331</v>
      </c>
      <c r="B187" t="s">
        <v>332</v>
      </c>
      <c r="C187" s="114">
        <f>IF(VLOOKUP(A187,'School Year 2021-22'!A:AN,'School Year 2021-22'!$R$1,FALSE)&gt;0,VLOOKUP(A187,'School Year 2021-22'!A:AN,'School Year 2021-22'!$U$1,FALSE)-VLOOKUP(A187,'School Year 2021-22'!A:AN,'School Year 2021-22'!$W$1,FALSE),0)+IF((VLOOKUP(A187,'School Year 2021-22'!A:AN,'School Year 2021-22'!$S$1,FALSE)+(VLOOKUP(A187,'School Year 2021-22'!A:AN,'School Year 2021-22'!$T$1,FALSE)))&gt;0,VLOOKUP(A187,'School Year 2021-22'!A:AN,'School Year 2021-22'!$V$1,FALSE)-VLOOKUP(A187,'School Year 2021-22'!A:AN,'School Year 2021-22'!$W$1,FALSE),0)</f>
        <v>1029.3092704002911</v>
      </c>
      <c r="D187" s="72">
        <f t="shared" si="10"/>
        <v>1029.3092704002911</v>
      </c>
      <c r="E187" s="72">
        <f t="shared" si="11"/>
        <v>1029.3092704002911</v>
      </c>
      <c r="F187" s="72">
        <f t="shared" si="12"/>
        <v>1029.3092704002911</v>
      </c>
      <c r="G187" s="115">
        <f t="shared" si="13"/>
        <v>1029.3092704002911</v>
      </c>
      <c r="H187" s="114">
        <v>862.04304353640327</v>
      </c>
      <c r="I187" s="72">
        <v>893.28445406684841</v>
      </c>
      <c r="J187" s="72">
        <v>909.80500215221946</v>
      </c>
      <c r="K187" s="115">
        <v>925.52868253675024</v>
      </c>
      <c r="L187" s="114">
        <v>862.04304353640327</v>
      </c>
      <c r="M187" s="72">
        <v>829.83962665257786</v>
      </c>
      <c r="N187" s="72">
        <v>755.15663200327708</v>
      </c>
      <c r="O187" s="115">
        <v>681.80660469410941</v>
      </c>
    </row>
    <row r="188" spans="1:15">
      <c r="A188" t="s">
        <v>513</v>
      </c>
      <c r="B188" t="s">
        <v>514</v>
      </c>
      <c r="C188" s="114">
        <f>IF(VLOOKUP(A188,'School Year 2021-22'!A:AN,'School Year 2021-22'!$R$1,FALSE)&gt;0,VLOOKUP(A188,'School Year 2021-22'!A:AN,'School Year 2021-22'!$U$1,FALSE)-VLOOKUP(A188,'School Year 2021-22'!A:AN,'School Year 2021-22'!$W$1,FALSE),0)+IF((VLOOKUP(A188,'School Year 2021-22'!A:AN,'School Year 2021-22'!$S$1,FALSE)+(VLOOKUP(A188,'School Year 2021-22'!A:AN,'School Year 2021-22'!$T$1,FALSE)))&gt;0,VLOOKUP(A188,'School Year 2021-22'!A:AN,'School Year 2021-22'!$V$1,FALSE)-VLOOKUP(A188,'School Year 2021-22'!A:AN,'School Year 2021-22'!$W$1,FALSE),0)</f>
        <v>802.17708176548695</v>
      </c>
      <c r="D188" s="72">
        <f t="shared" si="10"/>
        <v>802.17708176548695</v>
      </c>
      <c r="E188" s="72">
        <f t="shared" si="11"/>
        <v>802.17708176548695</v>
      </c>
      <c r="F188" s="72">
        <f t="shared" si="12"/>
        <v>802.17708176548695</v>
      </c>
      <c r="G188" s="115">
        <f t="shared" si="13"/>
        <v>802.17708176548695</v>
      </c>
      <c r="H188" s="114">
        <v>862.04304353640327</v>
      </c>
      <c r="I188" s="72">
        <v>893.28445406684841</v>
      </c>
      <c r="J188" s="72">
        <v>909.80500215221946</v>
      </c>
      <c r="K188" s="115">
        <v>925.52868253675024</v>
      </c>
      <c r="L188" s="114">
        <v>862.04304353640327</v>
      </c>
      <c r="M188" s="72">
        <v>829.83962665257786</v>
      </c>
      <c r="N188" s="72">
        <v>755.15663200327708</v>
      </c>
      <c r="O188" s="115">
        <v>681.80660469410941</v>
      </c>
    </row>
    <row r="189" spans="1:15">
      <c r="A189" t="s">
        <v>329</v>
      </c>
      <c r="B189" t="s">
        <v>330</v>
      </c>
      <c r="C189" s="114">
        <f>IF(VLOOKUP(A189,'School Year 2021-22'!A:AN,'School Year 2021-22'!$R$1,FALSE)&gt;0,VLOOKUP(A189,'School Year 2021-22'!A:AN,'School Year 2021-22'!$U$1,FALSE)-VLOOKUP(A189,'School Year 2021-22'!A:AN,'School Year 2021-22'!$W$1,FALSE),0)+IF((VLOOKUP(A189,'School Year 2021-22'!A:AN,'School Year 2021-22'!$S$1,FALSE)+(VLOOKUP(A189,'School Year 2021-22'!A:AN,'School Year 2021-22'!$T$1,FALSE)))&gt;0,VLOOKUP(A189,'School Year 2021-22'!A:AN,'School Year 2021-22'!$V$1,FALSE)-VLOOKUP(A189,'School Year 2021-22'!A:AN,'School Year 2021-22'!$W$1,FALSE),0)</f>
        <v>838.17943174195261</v>
      </c>
      <c r="D189" s="72">
        <f t="shared" si="10"/>
        <v>838.17943174195261</v>
      </c>
      <c r="E189" s="72">
        <f t="shared" si="11"/>
        <v>838.17943174195261</v>
      </c>
      <c r="F189" s="72">
        <f t="shared" si="12"/>
        <v>838.17943174195261</v>
      </c>
      <c r="G189" s="115">
        <f t="shared" si="13"/>
        <v>838.17943174195261</v>
      </c>
      <c r="H189" s="114">
        <v>831.44919241143998</v>
      </c>
      <c r="I189" s="72">
        <v>861.83828428673223</v>
      </c>
      <c r="J189" s="72">
        <v>877.73298695960329</v>
      </c>
      <c r="K189" s="115">
        <v>892.78638690734897</v>
      </c>
      <c r="L189" s="114">
        <v>831.44919241143998</v>
      </c>
      <c r="M189" s="72">
        <v>800.29272351994859</v>
      </c>
      <c r="N189" s="72">
        <v>727.92868593385083</v>
      </c>
      <c r="O189" s="115">
        <v>656.85624991961959</v>
      </c>
    </row>
    <row r="190" spans="1:15">
      <c r="A190" t="s">
        <v>287</v>
      </c>
      <c r="B190" t="s">
        <v>288</v>
      </c>
      <c r="C190" s="114">
        <f>IF(VLOOKUP(A190,'School Year 2021-22'!A:AN,'School Year 2021-22'!$R$1,FALSE)&gt;0,VLOOKUP(A190,'School Year 2021-22'!A:AN,'School Year 2021-22'!$U$1,FALSE)-VLOOKUP(A190,'School Year 2021-22'!A:AN,'School Year 2021-22'!$W$1,FALSE),0)+IF((VLOOKUP(A190,'School Year 2021-22'!A:AN,'School Year 2021-22'!$S$1,FALSE)+(VLOOKUP(A190,'School Year 2021-22'!A:AN,'School Year 2021-22'!$T$1,FALSE)))&gt;0,VLOOKUP(A190,'School Year 2021-22'!A:AN,'School Year 2021-22'!$V$1,FALSE)-VLOOKUP(A190,'School Year 2021-22'!A:AN,'School Year 2021-22'!$W$1,FALSE),0)</f>
        <v>839.07325369894443</v>
      </c>
      <c r="D190" s="72">
        <f t="shared" si="10"/>
        <v>839.07325369894443</v>
      </c>
      <c r="E190" s="72">
        <f t="shared" si="11"/>
        <v>839.07325369894443</v>
      </c>
      <c r="F190" s="72">
        <f t="shared" si="12"/>
        <v>839.07325369894443</v>
      </c>
      <c r="G190" s="115">
        <f t="shared" si="13"/>
        <v>839.07325369894443</v>
      </c>
      <c r="H190" s="114">
        <v>831.44919241143998</v>
      </c>
      <c r="I190" s="72">
        <v>861.83828428673223</v>
      </c>
      <c r="J190" s="72">
        <v>877.73298695960329</v>
      </c>
      <c r="K190" s="115">
        <v>892.78638690734897</v>
      </c>
      <c r="L190" s="114">
        <v>831.44919241143998</v>
      </c>
      <c r="M190" s="72">
        <v>800.29272351994859</v>
      </c>
      <c r="N190" s="72">
        <v>727.92868593385083</v>
      </c>
      <c r="O190" s="115">
        <v>656.85624991961959</v>
      </c>
    </row>
    <row r="191" spans="1:15">
      <c r="A191" t="s">
        <v>483</v>
      </c>
      <c r="B191" t="s">
        <v>484</v>
      </c>
      <c r="C191" s="114">
        <f>IF(VLOOKUP(A191,'School Year 2021-22'!A:AN,'School Year 2021-22'!$R$1,FALSE)&gt;0,VLOOKUP(A191,'School Year 2021-22'!A:AN,'School Year 2021-22'!$U$1,FALSE)-VLOOKUP(A191,'School Year 2021-22'!A:AN,'School Year 2021-22'!$W$1,FALSE),0)+IF((VLOOKUP(A191,'School Year 2021-22'!A:AN,'School Year 2021-22'!$S$1,FALSE)+(VLOOKUP(A191,'School Year 2021-22'!A:AN,'School Year 2021-22'!$T$1,FALSE)))&gt;0,VLOOKUP(A191,'School Year 2021-22'!A:AN,'School Year 2021-22'!$V$1,FALSE)-VLOOKUP(A191,'School Year 2021-22'!A:AN,'School Year 2021-22'!$W$1,FALSE),0)</f>
        <v>0</v>
      </c>
      <c r="D191" s="72">
        <f t="shared" si="10"/>
        <v>0</v>
      </c>
      <c r="E191" s="72">
        <f t="shared" si="11"/>
        <v>0</v>
      </c>
      <c r="F191" s="72">
        <f t="shared" si="12"/>
        <v>0</v>
      </c>
      <c r="G191" s="115">
        <f t="shared" si="13"/>
        <v>0</v>
      </c>
      <c r="H191" s="114">
        <v>0</v>
      </c>
      <c r="I191" s="72">
        <v>0</v>
      </c>
      <c r="J191" s="72">
        <v>0</v>
      </c>
      <c r="K191" s="115">
        <v>0</v>
      </c>
      <c r="L191" s="114">
        <v>0</v>
      </c>
      <c r="M191" s="72">
        <v>0</v>
      </c>
      <c r="N191" s="72">
        <v>0</v>
      </c>
      <c r="O191" s="115">
        <v>0</v>
      </c>
    </row>
    <row r="192" spans="1:15">
      <c r="A192" t="s">
        <v>395</v>
      </c>
      <c r="B192" t="s">
        <v>396</v>
      </c>
      <c r="C192" s="114">
        <f>IF(VLOOKUP(A192,'School Year 2021-22'!A:AN,'School Year 2021-22'!$R$1,FALSE)&gt;0,VLOOKUP(A192,'School Year 2021-22'!A:AN,'School Year 2021-22'!$U$1,FALSE)-VLOOKUP(A192,'School Year 2021-22'!A:AN,'School Year 2021-22'!$W$1,FALSE),0)+IF((VLOOKUP(A192,'School Year 2021-22'!A:AN,'School Year 2021-22'!$S$1,FALSE)+(VLOOKUP(A192,'School Year 2021-22'!A:AN,'School Year 2021-22'!$T$1,FALSE)))&gt;0,VLOOKUP(A192,'School Year 2021-22'!A:AN,'School Year 2021-22'!$V$1,FALSE)-VLOOKUP(A192,'School Year 2021-22'!A:AN,'School Year 2021-22'!$W$1,FALSE),0)</f>
        <v>7236.2238068769984</v>
      </c>
      <c r="D192" s="72">
        <f t="shared" si="10"/>
        <v>7236.2238068769984</v>
      </c>
      <c r="E192" s="72">
        <f t="shared" si="11"/>
        <v>7236.2238068769984</v>
      </c>
      <c r="F192" s="72">
        <f t="shared" si="12"/>
        <v>7236.2238068769984</v>
      </c>
      <c r="G192" s="115">
        <f t="shared" si="13"/>
        <v>7236.2238068769984</v>
      </c>
      <c r="H192" s="114">
        <v>912.10839418059186</v>
      </c>
      <c r="I192" s="72">
        <v>944.79540068727511</v>
      </c>
      <c r="J192" s="72">
        <v>962.37675881647738</v>
      </c>
      <c r="K192" s="115">
        <v>979.23656675794882</v>
      </c>
      <c r="L192" s="114">
        <v>912.10839418059186</v>
      </c>
      <c r="M192" s="72">
        <v>877.05303579440988</v>
      </c>
      <c r="N192" s="72">
        <v>797.29384300178936</v>
      </c>
      <c r="O192" s="115">
        <v>718.9286509368485</v>
      </c>
    </row>
    <row r="193" spans="1:15">
      <c r="A193" t="s">
        <v>453</v>
      </c>
      <c r="B193" t="s">
        <v>454</v>
      </c>
      <c r="C193" s="114">
        <f>IF(VLOOKUP(A193,'School Year 2021-22'!A:AN,'School Year 2021-22'!$R$1,FALSE)&gt;0,VLOOKUP(A193,'School Year 2021-22'!A:AN,'School Year 2021-22'!$U$1,FALSE)-VLOOKUP(A193,'School Year 2021-22'!A:AN,'School Year 2021-22'!$W$1,FALSE),0)+IF((VLOOKUP(A193,'School Year 2021-22'!A:AN,'School Year 2021-22'!$S$1,FALSE)+(VLOOKUP(A193,'School Year 2021-22'!A:AN,'School Year 2021-22'!$T$1,FALSE)))&gt;0,VLOOKUP(A193,'School Year 2021-22'!A:AN,'School Year 2021-22'!$V$1,FALSE)-VLOOKUP(A193,'School Year 2021-22'!A:AN,'School Year 2021-22'!$W$1,FALSE),0)</f>
        <v>0</v>
      </c>
      <c r="D193" s="72">
        <f t="shared" si="10"/>
        <v>0</v>
      </c>
      <c r="E193" s="72">
        <f t="shared" si="11"/>
        <v>0</v>
      </c>
      <c r="F193" s="72">
        <f t="shared" si="12"/>
        <v>0</v>
      </c>
      <c r="G193" s="115">
        <f t="shared" si="13"/>
        <v>0</v>
      </c>
      <c r="H193" s="114">
        <v>0</v>
      </c>
      <c r="I193" s="72">
        <v>0</v>
      </c>
      <c r="J193" s="72">
        <v>0</v>
      </c>
      <c r="K193" s="115">
        <v>0</v>
      </c>
      <c r="L193" s="114">
        <v>0</v>
      </c>
      <c r="M193" s="72">
        <v>0</v>
      </c>
      <c r="N193" s="72">
        <v>0</v>
      </c>
      <c r="O193" s="115">
        <v>0</v>
      </c>
    </row>
    <row r="194" spans="1:15">
      <c r="A194" t="s">
        <v>105</v>
      </c>
      <c r="B194" t="s">
        <v>106</v>
      </c>
      <c r="C194" s="114">
        <f>IF(VLOOKUP(A194,'School Year 2021-22'!A:AN,'School Year 2021-22'!$R$1,FALSE)&gt;0,VLOOKUP(A194,'School Year 2021-22'!A:AN,'School Year 2021-22'!$U$1,FALSE)-VLOOKUP(A194,'School Year 2021-22'!A:AN,'School Year 2021-22'!$W$1,FALSE),0)+IF((VLOOKUP(A194,'School Year 2021-22'!A:AN,'School Year 2021-22'!$S$1,FALSE)+(VLOOKUP(A194,'School Year 2021-22'!A:AN,'School Year 2021-22'!$T$1,FALSE)))&gt;0,VLOOKUP(A194,'School Year 2021-22'!A:AN,'School Year 2021-22'!$V$1,FALSE)-VLOOKUP(A194,'School Year 2021-22'!A:AN,'School Year 2021-22'!$W$1,FALSE),0)</f>
        <v>0</v>
      </c>
      <c r="D194" s="72">
        <f t="shared" si="10"/>
        <v>0</v>
      </c>
      <c r="E194" s="72">
        <f t="shared" si="11"/>
        <v>0</v>
      </c>
      <c r="F194" s="72">
        <f t="shared" si="12"/>
        <v>0</v>
      </c>
      <c r="G194" s="115">
        <f t="shared" si="13"/>
        <v>0</v>
      </c>
      <c r="H194" s="114">
        <v>0</v>
      </c>
      <c r="I194" s="72">
        <v>0</v>
      </c>
      <c r="J194" s="72">
        <v>0</v>
      </c>
      <c r="K194" s="115">
        <v>0</v>
      </c>
      <c r="L194" s="114">
        <v>0</v>
      </c>
      <c r="M194" s="72">
        <v>0</v>
      </c>
      <c r="N194" s="72">
        <v>0</v>
      </c>
      <c r="O194" s="115">
        <v>0</v>
      </c>
    </row>
    <row r="195" spans="1:15">
      <c r="A195" t="s">
        <v>89</v>
      </c>
      <c r="B195" t="s">
        <v>90</v>
      </c>
      <c r="C195" s="114">
        <f>IF(VLOOKUP(A195,'School Year 2021-22'!A:AN,'School Year 2021-22'!$R$1,FALSE)&gt;0,VLOOKUP(A195,'School Year 2021-22'!A:AN,'School Year 2021-22'!$U$1,FALSE)-VLOOKUP(A195,'School Year 2021-22'!A:AN,'School Year 2021-22'!$W$1,FALSE),0)+IF((VLOOKUP(A195,'School Year 2021-22'!A:AN,'School Year 2021-22'!$S$1,FALSE)+(VLOOKUP(A195,'School Year 2021-22'!A:AN,'School Year 2021-22'!$T$1,FALSE)))&gt;0,VLOOKUP(A195,'School Year 2021-22'!A:AN,'School Year 2021-22'!$V$1,FALSE)-VLOOKUP(A195,'School Year 2021-22'!A:AN,'School Year 2021-22'!$W$1,FALSE),0)</f>
        <v>815.08363655467383</v>
      </c>
      <c r="D195" s="72">
        <f t="shared" si="10"/>
        <v>815.08363655467383</v>
      </c>
      <c r="E195" s="72">
        <f t="shared" si="11"/>
        <v>815.08363655467383</v>
      </c>
      <c r="F195" s="72">
        <f t="shared" si="12"/>
        <v>815.08363655467383</v>
      </c>
      <c r="G195" s="115">
        <f t="shared" si="13"/>
        <v>815.08363655467383</v>
      </c>
      <c r="H195" s="114">
        <v>831.44919241143998</v>
      </c>
      <c r="I195" s="72">
        <v>861.83828428673223</v>
      </c>
      <c r="J195" s="72">
        <v>877.73298695960329</v>
      </c>
      <c r="K195" s="115">
        <v>892.78638690734897</v>
      </c>
      <c r="L195" s="114">
        <v>831.44919241143998</v>
      </c>
      <c r="M195" s="72">
        <v>800.29272351994859</v>
      </c>
      <c r="N195" s="72">
        <v>727.92868593385083</v>
      </c>
      <c r="O195" s="115">
        <v>656.85624991961959</v>
      </c>
    </row>
    <row r="196" spans="1:15">
      <c r="A196" t="s">
        <v>341</v>
      </c>
      <c r="B196" t="s">
        <v>342</v>
      </c>
      <c r="C196" s="114">
        <f>IF(VLOOKUP(A196,'School Year 2021-22'!A:AN,'School Year 2021-22'!$R$1,FALSE)&gt;0,VLOOKUP(A196,'School Year 2021-22'!A:AN,'School Year 2021-22'!$U$1,FALSE)-VLOOKUP(A196,'School Year 2021-22'!A:AN,'School Year 2021-22'!$W$1,FALSE),0)+IF((VLOOKUP(A196,'School Year 2021-22'!A:AN,'School Year 2021-22'!$S$1,FALSE)+(VLOOKUP(A196,'School Year 2021-22'!A:AN,'School Year 2021-22'!$T$1,FALSE)))&gt;0,VLOOKUP(A196,'School Year 2021-22'!A:AN,'School Year 2021-22'!$V$1,FALSE)-VLOOKUP(A196,'School Year 2021-22'!A:AN,'School Year 2021-22'!$W$1,FALSE),0)</f>
        <v>843.96974766578478</v>
      </c>
      <c r="D196" s="72">
        <f t="shared" si="10"/>
        <v>843.96974766578478</v>
      </c>
      <c r="E196" s="72">
        <f t="shared" si="11"/>
        <v>843.96974766578478</v>
      </c>
      <c r="F196" s="72">
        <f t="shared" si="12"/>
        <v>843.96974766578478</v>
      </c>
      <c r="G196" s="115">
        <f t="shared" si="13"/>
        <v>843.96974766578478</v>
      </c>
      <c r="H196" s="114">
        <v>831.44919241143998</v>
      </c>
      <c r="I196" s="72">
        <v>861.83828428673223</v>
      </c>
      <c r="J196" s="72">
        <v>877.73298695960329</v>
      </c>
      <c r="K196" s="115">
        <v>892.78638690734897</v>
      </c>
      <c r="L196" s="114">
        <v>831.44919241143998</v>
      </c>
      <c r="M196" s="72">
        <v>800.29272351994859</v>
      </c>
      <c r="N196" s="72">
        <v>727.92868593385083</v>
      </c>
      <c r="O196" s="115">
        <v>656.85624991961959</v>
      </c>
    </row>
    <row r="197" spans="1:15">
      <c r="A197" t="s">
        <v>375</v>
      </c>
      <c r="B197" t="s">
        <v>376</v>
      </c>
      <c r="C197" s="114">
        <f>IF(VLOOKUP(A197,'School Year 2021-22'!A:AN,'School Year 2021-22'!$R$1,FALSE)&gt;0,VLOOKUP(A197,'School Year 2021-22'!A:AN,'School Year 2021-22'!$U$1,FALSE)-VLOOKUP(A197,'School Year 2021-22'!A:AN,'School Year 2021-22'!$W$1,FALSE),0)+IF((VLOOKUP(A197,'School Year 2021-22'!A:AN,'School Year 2021-22'!$S$1,FALSE)+(VLOOKUP(A197,'School Year 2021-22'!A:AN,'School Year 2021-22'!$T$1,FALSE)))&gt;0,VLOOKUP(A197,'School Year 2021-22'!A:AN,'School Year 2021-22'!$V$1,FALSE)-VLOOKUP(A197,'School Year 2021-22'!A:AN,'School Year 2021-22'!$W$1,FALSE),0)</f>
        <v>542.3922656558334</v>
      </c>
      <c r="D197" s="72">
        <f t="shared" si="10"/>
        <v>542.3922656558334</v>
      </c>
      <c r="E197" s="72">
        <f t="shared" si="11"/>
        <v>542.3922656558334</v>
      </c>
      <c r="F197" s="72">
        <f t="shared" si="12"/>
        <v>542.3922656558334</v>
      </c>
      <c r="G197" s="115">
        <f t="shared" si="13"/>
        <v>542.3922656558334</v>
      </c>
      <c r="H197" s="114">
        <v>871.77879329601546</v>
      </c>
      <c r="I197" s="72">
        <v>903.31684248700276</v>
      </c>
      <c r="J197" s="72">
        <v>920.05487288803943</v>
      </c>
      <c r="K197" s="115">
        <v>936.01147683264753</v>
      </c>
      <c r="L197" s="114">
        <v>871.77879329601546</v>
      </c>
      <c r="M197" s="72">
        <v>838.67287965718151</v>
      </c>
      <c r="N197" s="72">
        <v>762.61126446782146</v>
      </c>
      <c r="O197" s="115">
        <v>687.89245042823313</v>
      </c>
    </row>
    <row r="198" spans="1:15">
      <c r="A198" t="s">
        <v>7</v>
      </c>
      <c r="B198" t="s">
        <v>8</v>
      </c>
      <c r="C198" s="114">
        <f>IF(VLOOKUP(A198,'School Year 2021-22'!A:AN,'School Year 2021-22'!$R$1,FALSE)&gt;0,VLOOKUP(A198,'School Year 2021-22'!A:AN,'School Year 2021-22'!$U$1,FALSE)-VLOOKUP(A198,'School Year 2021-22'!A:AN,'School Year 2021-22'!$W$1,FALSE),0)+IF((VLOOKUP(A198,'School Year 2021-22'!A:AN,'School Year 2021-22'!$S$1,FALSE)+(VLOOKUP(A198,'School Year 2021-22'!A:AN,'School Year 2021-22'!$T$1,FALSE)))&gt;0,VLOOKUP(A198,'School Year 2021-22'!A:AN,'School Year 2021-22'!$V$1,FALSE)-VLOOKUP(A198,'School Year 2021-22'!A:AN,'School Year 2021-22'!$W$1,FALSE),0)</f>
        <v>838.15507240507668</v>
      </c>
      <c r="D198" s="72">
        <f t="shared" ref="D198:D261" si="14">C198</f>
        <v>838.15507240507668</v>
      </c>
      <c r="E198" s="72">
        <f t="shared" ref="E198:E261" si="15">D198</f>
        <v>838.15507240507668</v>
      </c>
      <c r="F198" s="72">
        <f t="shared" ref="F198:F261" si="16">E198</f>
        <v>838.15507240507668</v>
      </c>
      <c r="G198" s="115">
        <f t="shared" ref="G198:G261" si="17">F198</f>
        <v>838.15507240507668</v>
      </c>
      <c r="H198" s="114">
        <v>831.44919241143998</v>
      </c>
      <c r="I198" s="72">
        <v>861.83828428673223</v>
      </c>
      <c r="J198" s="72">
        <v>877.73298695960329</v>
      </c>
      <c r="K198" s="115">
        <v>892.78638690734897</v>
      </c>
      <c r="L198" s="114">
        <v>831.44919241143998</v>
      </c>
      <c r="M198" s="72">
        <v>800.29272351994859</v>
      </c>
      <c r="N198" s="72">
        <v>727.92868593385083</v>
      </c>
      <c r="O198" s="115">
        <v>656.85624991961959</v>
      </c>
    </row>
    <row r="199" spans="1:15">
      <c r="A199" t="s">
        <v>93</v>
      </c>
      <c r="B199" t="s">
        <v>94</v>
      </c>
      <c r="C199" s="114">
        <f>IF(VLOOKUP(A199,'School Year 2021-22'!A:AN,'School Year 2021-22'!$R$1,FALSE)&gt;0,VLOOKUP(A199,'School Year 2021-22'!A:AN,'School Year 2021-22'!$U$1,FALSE)-VLOOKUP(A199,'School Year 2021-22'!A:AN,'School Year 2021-22'!$W$1,FALSE),0)+IF((VLOOKUP(A199,'School Year 2021-22'!A:AN,'School Year 2021-22'!$S$1,FALSE)+(VLOOKUP(A199,'School Year 2021-22'!A:AN,'School Year 2021-22'!$T$1,FALSE)))&gt;0,VLOOKUP(A199,'School Year 2021-22'!A:AN,'School Year 2021-22'!$V$1,FALSE)-VLOOKUP(A199,'School Year 2021-22'!A:AN,'School Year 2021-22'!$W$1,FALSE),0)</f>
        <v>0</v>
      </c>
      <c r="D199" s="72">
        <f t="shared" si="14"/>
        <v>0</v>
      </c>
      <c r="E199" s="72">
        <f t="shared" si="15"/>
        <v>0</v>
      </c>
      <c r="F199" s="72">
        <f t="shared" si="16"/>
        <v>0</v>
      </c>
      <c r="G199" s="115">
        <f t="shared" si="17"/>
        <v>0</v>
      </c>
      <c r="H199" s="114">
        <v>0</v>
      </c>
      <c r="I199" s="72">
        <v>0</v>
      </c>
      <c r="J199" s="72">
        <v>0</v>
      </c>
      <c r="K199" s="115">
        <v>0</v>
      </c>
      <c r="L199" s="114">
        <v>0</v>
      </c>
      <c r="M199" s="72">
        <v>0</v>
      </c>
      <c r="N199" s="72">
        <v>0</v>
      </c>
      <c r="O199" s="115">
        <v>0</v>
      </c>
    </row>
    <row r="200" spans="1:15">
      <c r="A200" t="s">
        <v>565</v>
      </c>
      <c r="B200" t="s">
        <v>566</v>
      </c>
      <c r="C200" s="114">
        <f>IF(VLOOKUP(A200,'School Year 2021-22'!A:AN,'School Year 2021-22'!$R$1,FALSE)&gt;0,VLOOKUP(A200,'School Year 2021-22'!A:AN,'School Year 2021-22'!$U$1,FALSE)-VLOOKUP(A200,'School Year 2021-22'!A:AN,'School Year 2021-22'!$W$1,FALSE),0)+IF((VLOOKUP(A200,'School Year 2021-22'!A:AN,'School Year 2021-22'!$S$1,FALSE)+(VLOOKUP(A200,'School Year 2021-22'!A:AN,'School Year 2021-22'!$T$1,FALSE)))&gt;0,VLOOKUP(A200,'School Year 2021-22'!A:AN,'School Year 2021-22'!$V$1,FALSE)-VLOOKUP(A200,'School Year 2021-22'!A:AN,'School Year 2021-22'!$W$1,FALSE),0)</f>
        <v>841.94821988800777</v>
      </c>
      <c r="D200" s="72">
        <f t="shared" si="14"/>
        <v>841.94821988800777</v>
      </c>
      <c r="E200" s="72">
        <f t="shared" si="15"/>
        <v>841.94821988800777</v>
      </c>
      <c r="F200" s="72">
        <f t="shared" si="16"/>
        <v>841.94821988800777</v>
      </c>
      <c r="G200" s="115">
        <f t="shared" si="17"/>
        <v>841.94821988800777</v>
      </c>
      <c r="H200" s="114">
        <v>831.44919241143998</v>
      </c>
      <c r="I200" s="72">
        <v>861.83828428673223</v>
      </c>
      <c r="J200" s="72">
        <v>877.73298695960329</v>
      </c>
      <c r="K200" s="115">
        <v>892.78638690734897</v>
      </c>
      <c r="L200" s="114">
        <v>831.44919241143998</v>
      </c>
      <c r="M200" s="72">
        <v>800.29272351994859</v>
      </c>
      <c r="N200" s="72">
        <v>727.92868593385083</v>
      </c>
      <c r="O200" s="115">
        <v>656.85624991961959</v>
      </c>
    </row>
    <row r="201" spans="1:15">
      <c r="A201" t="s">
        <v>111</v>
      </c>
      <c r="B201" t="s">
        <v>112</v>
      </c>
      <c r="C201" s="114">
        <f>IF(VLOOKUP(A201,'School Year 2021-22'!A:AN,'School Year 2021-22'!$R$1,FALSE)&gt;0,VLOOKUP(A201,'School Year 2021-22'!A:AN,'School Year 2021-22'!$U$1,FALSE)-VLOOKUP(A201,'School Year 2021-22'!A:AN,'School Year 2021-22'!$W$1,FALSE),0)+IF((VLOOKUP(A201,'School Year 2021-22'!A:AN,'School Year 2021-22'!$S$1,FALSE)+(VLOOKUP(A201,'School Year 2021-22'!A:AN,'School Year 2021-22'!$T$1,FALSE)))&gt;0,VLOOKUP(A201,'School Year 2021-22'!A:AN,'School Year 2021-22'!$V$1,FALSE)-VLOOKUP(A201,'School Year 2021-22'!A:AN,'School Year 2021-22'!$W$1,FALSE),0)</f>
        <v>837.59390814582821</v>
      </c>
      <c r="D201" s="72">
        <f t="shared" si="14"/>
        <v>837.59390814582821</v>
      </c>
      <c r="E201" s="72">
        <f t="shared" si="15"/>
        <v>837.59390814582821</v>
      </c>
      <c r="F201" s="72">
        <f t="shared" si="16"/>
        <v>837.59390814582821</v>
      </c>
      <c r="G201" s="115">
        <f t="shared" si="17"/>
        <v>837.59390814582821</v>
      </c>
      <c r="H201" s="114">
        <v>831.44919241143998</v>
      </c>
      <c r="I201" s="72">
        <v>861.83828428673223</v>
      </c>
      <c r="J201" s="72">
        <v>877.73298695960329</v>
      </c>
      <c r="K201" s="115">
        <v>892.78638690734897</v>
      </c>
      <c r="L201" s="114">
        <v>831.44919241143998</v>
      </c>
      <c r="M201" s="72">
        <v>800.29272351994859</v>
      </c>
      <c r="N201" s="72">
        <v>727.92868593385083</v>
      </c>
      <c r="O201" s="115">
        <v>656.85624991961959</v>
      </c>
    </row>
    <row r="202" spans="1:15">
      <c r="A202" t="s">
        <v>335</v>
      </c>
      <c r="B202" t="s">
        <v>336</v>
      </c>
      <c r="C202" s="114">
        <f>IF(VLOOKUP(A202,'School Year 2021-22'!A:AN,'School Year 2021-22'!$R$1,FALSE)&gt;0,VLOOKUP(A202,'School Year 2021-22'!A:AN,'School Year 2021-22'!$U$1,FALSE)-VLOOKUP(A202,'School Year 2021-22'!A:AN,'School Year 2021-22'!$W$1,FALSE),0)+IF((VLOOKUP(A202,'School Year 2021-22'!A:AN,'School Year 2021-22'!$S$1,FALSE)+(VLOOKUP(A202,'School Year 2021-22'!A:AN,'School Year 2021-22'!$T$1,FALSE)))&gt;0,VLOOKUP(A202,'School Year 2021-22'!A:AN,'School Year 2021-22'!$V$1,FALSE)-VLOOKUP(A202,'School Year 2021-22'!A:AN,'School Year 2021-22'!$W$1,FALSE),0)</f>
        <v>1022.5852676341519</v>
      </c>
      <c r="D202" s="72">
        <f t="shared" si="14"/>
        <v>1022.5852676341519</v>
      </c>
      <c r="E202" s="72">
        <f t="shared" si="15"/>
        <v>1022.5852676341519</v>
      </c>
      <c r="F202" s="72">
        <f t="shared" si="16"/>
        <v>1022.5852676341519</v>
      </c>
      <c r="G202" s="115">
        <f t="shared" si="17"/>
        <v>1022.5852676341519</v>
      </c>
      <c r="H202" s="114">
        <v>862.04304353640327</v>
      </c>
      <c r="I202" s="72">
        <v>893.28445406684841</v>
      </c>
      <c r="J202" s="72">
        <v>909.80500215221946</v>
      </c>
      <c r="K202" s="115">
        <v>925.52868253675024</v>
      </c>
      <c r="L202" s="114">
        <v>862.04304353640327</v>
      </c>
      <c r="M202" s="72">
        <v>829.83962665257786</v>
      </c>
      <c r="N202" s="72">
        <v>755.15663200327708</v>
      </c>
      <c r="O202" s="115">
        <v>681.80660469410941</v>
      </c>
    </row>
    <row r="203" spans="1:15">
      <c r="A203" t="s">
        <v>19</v>
      </c>
      <c r="B203" t="s">
        <v>20</v>
      </c>
      <c r="C203" s="114">
        <f>IF(VLOOKUP(A203,'School Year 2021-22'!A:AN,'School Year 2021-22'!$R$1,FALSE)&gt;0,VLOOKUP(A203,'School Year 2021-22'!A:AN,'School Year 2021-22'!$U$1,FALSE)-VLOOKUP(A203,'School Year 2021-22'!A:AN,'School Year 2021-22'!$W$1,FALSE),0)+IF((VLOOKUP(A203,'School Year 2021-22'!A:AN,'School Year 2021-22'!$S$1,FALSE)+(VLOOKUP(A203,'School Year 2021-22'!A:AN,'School Year 2021-22'!$T$1,FALSE)))&gt;0,VLOOKUP(A203,'School Year 2021-22'!A:AN,'School Year 2021-22'!$V$1,FALSE)-VLOOKUP(A203,'School Year 2021-22'!A:AN,'School Year 2021-22'!$W$1,FALSE),0)</f>
        <v>0</v>
      </c>
      <c r="D203" s="72">
        <f t="shared" si="14"/>
        <v>0</v>
      </c>
      <c r="E203" s="72">
        <f t="shared" si="15"/>
        <v>0</v>
      </c>
      <c r="F203" s="72">
        <f t="shared" si="16"/>
        <v>0</v>
      </c>
      <c r="G203" s="115">
        <f t="shared" si="17"/>
        <v>0</v>
      </c>
      <c r="H203" s="114">
        <v>0</v>
      </c>
      <c r="I203" s="72">
        <v>0</v>
      </c>
      <c r="J203" s="72">
        <v>0</v>
      </c>
      <c r="K203" s="115">
        <v>0</v>
      </c>
      <c r="L203" s="114">
        <v>0</v>
      </c>
      <c r="M203" s="72">
        <v>0</v>
      </c>
      <c r="N203" s="72">
        <v>0</v>
      </c>
      <c r="O203" s="115">
        <v>0</v>
      </c>
    </row>
    <row r="204" spans="1:15">
      <c r="A204" t="s">
        <v>289</v>
      </c>
      <c r="B204" t="s">
        <v>290</v>
      </c>
      <c r="C204" s="114">
        <f>IF(VLOOKUP(A204,'School Year 2021-22'!A:AN,'School Year 2021-22'!$R$1,FALSE)&gt;0,VLOOKUP(A204,'School Year 2021-22'!A:AN,'School Year 2021-22'!$U$1,FALSE)-VLOOKUP(A204,'School Year 2021-22'!A:AN,'School Year 2021-22'!$W$1,FALSE),0)+IF((VLOOKUP(A204,'School Year 2021-22'!A:AN,'School Year 2021-22'!$S$1,FALSE)+(VLOOKUP(A204,'School Year 2021-22'!A:AN,'School Year 2021-22'!$T$1,FALSE)))&gt;0,VLOOKUP(A204,'School Year 2021-22'!A:AN,'School Year 2021-22'!$V$1,FALSE)-VLOOKUP(A204,'School Year 2021-22'!A:AN,'School Year 2021-22'!$W$1,FALSE),0)</f>
        <v>1020.2091809628228</v>
      </c>
      <c r="D204" s="72">
        <f t="shared" si="14"/>
        <v>1020.2091809628228</v>
      </c>
      <c r="E204" s="72">
        <f t="shared" si="15"/>
        <v>1020.2091809628228</v>
      </c>
      <c r="F204" s="72">
        <f t="shared" si="16"/>
        <v>1020.2091809628228</v>
      </c>
      <c r="G204" s="115">
        <f t="shared" si="17"/>
        <v>1020.2091809628228</v>
      </c>
      <c r="H204" s="114">
        <v>862.04304353640327</v>
      </c>
      <c r="I204" s="72">
        <v>893.28445406684841</v>
      </c>
      <c r="J204" s="72">
        <v>909.80500215221946</v>
      </c>
      <c r="K204" s="115">
        <v>925.52868253675024</v>
      </c>
      <c r="L204" s="114">
        <v>862.04304353640327</v>
      </c>
      <c r="M204" s="72">
        <v>829.83962665257786</v>
      </c>
      <c r="N204" s="72">
        <v>755.15663200327708</v>
      </c>
      <c r="O204" s="115">
        <v>681.80660469410941</v>
      </c>
    </row>
    <row r="205" spans="1:15">
      <c r="A205" t="s">
        <v>379</v>
      </c>
      <c r="B205" t="s">
        <v>380</v>
      </c>
      <c r="C205" s="114">
        <f>IF(VLOOKUP(A205,'School Year 2021-22'!A:AN,'School Year 2021-22'!$R$1,FALSE)&gt;0,VLOOKUP(A205,'School Year 2021-22'!A:AN,'School Year 2021-22'!$U$1,FALSE)-VLOOKUP(A205,'School Year 2021-22'!A:AN,'School Year 2021-22'!$W$1,FALSE),0)+IF((VLOOKUP(A205,'School Year 2021-22'!A:AN,'School Year 2021-22'!$S$1,FALSE)+(VLOOKUP(A205,'School Year 2021-22'!A:AN,'School Year 2021-22'!$T$1,FALSE)))&gt;0,VLOOKUP(A205,'School Year 2021-22'!A:AN,'School Year 2021-22'!$V$1,FALSE)-VLOOKUP(A205,'School Year 2021-22'!A:AN,'School Year 2021-22'!$W$1,FALSE),0)</f>
        <v>1446.250432648565</v>
      </c>
      <c r="D205" s="72">
        <f t="shared" si="14"/>
        <v>1446.250432648565</v>
      </c>
      <c r="E205" s="72">
        <f t="shared" si="15"/>
        <v>1446.250432648565</v>
      </c>
      <c r="F205" s="72">
        <f t="shared" si="16"/>
        <v>1446.250432648565</v>
      </c>
      <c r="G205" s="115">
        <f t="shared" si="17"/>
        <v>1446.250432648565</v>
      </c>
      <c r="H205" s="114">
        <v>942.70224530555515</v>
      </c>
      <c r="I205" s="72">
        <v>976.2415704673931</v>
      </c>
      <c r="J205" s="72">
        <v>994.4487740090899</v>
      </c>
      <c r="K205" s="115">
        <v>1011.9788623873501</v>
      </c>
      <c r="L205" s="114">
        <v>942.70224530555515</v>
      </c>
      <c r="M205" s="72">
        <v>906.59993892704006</v>
      </c>
      <c r="N205" s="72">
        <v>824.52178907121561</v>
      </c>
      <c r="O205" s="115">
        <v>743.87900571133832</v>
      </c>
    </row>
    <row r="206" spans="1:15">
      <c r="A206" t="s">
        <v>1317</v>
      </c>
      <c r="B206" t="s">
        <v>1318</v>
      </c>
      <c r="C206" s="114">
        <f>IF(VLOOKUP(A206,'School Year 2021-22'!A:AN,'School Year 2021-22'!$R$1,FALSE)&gt;0,VLOOKUP(A206,'School Year 2021-22'!A:AN,'School Year 2021-22'!$U$1,FALSE)-VLOOKUP(A206,'School Year 2021-22'!A:AN,'School Year 2021-22'!$W$1,FALSE),0)+IF((VLOOKUP(A206,'School Year 2021-22'!A:AN,'School Year 2021-22'!$S$1,FALSE)+(VLOOKUP(A206,'School Year 2021-22'!A:AN,'School Year 2021-22'!$T$1,FALSE)))&gt;0,VLOOKUP(A206,'School Year 2021-22'!A:AN,'School Year 2021-22'!$V$1,FALSE)-VLOOKUP(A206,'School Year 2021-22'!A:AN,'School Year 2021-22'!$W$1,FALSE),0)</f>
        <v>0</v>
      </c>
      <c r="D206" s="72">
        <f t="shared" si="14"/>
        <v>0</v>
      </c>
      <c r="E206" s="72">
        <f t="shared" si="15"/>
        <v>0</v>
      </c>
      <c r="F206" s="72">
        <f t="shared" si="16"/>
        <v>0</v>
      </c>
      <c r="G206" s="115">
        <f t="shared" si="17"/>
        <v>0</v>
      </c>
      <c r="H206" s="114">
        <v>0</v>
      </c>
      <c r="I206" s="72">
        <v>0</v>
      </c>
      <c r="J206" s="72">
        <v>0</v>
      </c>
      <c r="K206" s="115">
        <v>0</v>
      </c>
      <c r="L206" s="114">
        <v>0</v>
      </c>
      <c r="M206" s="72">
        <v>0</v>
      </c>
      <c r="N206" s="72">
        <v>0</v>
      </c>
      <c r="O206" s="115">
        <v>0</v>
      </c>
    </row>
    <row r="207" spans="1:15">
      <c r="A207" t="s">
        <v>321</v>
      </c>
      <c r="B207" t="s">
        <v>322</v>
      </c>
      <c r="C207" s="114">
        <f>IF(VLOOKUP(A207,'School Year 2021-22'!A:AN,'School Year 2021-22'!$R$1,FALSE)&gt;0,VLOOKUP(A207,'School Year 2021-22'!A:AN,'School Year 2021-22'!$U$1,FALSE)-VLOOKUP(A207,'School Year 2021-22'!A:AN,'School Year 2021-22'!$W$1,FALSE),0)+IF((VLOOKUP(A207,'School Year 2021-22'!A:AN,'School Year 2021-22'!$S$1,FALSE)+(VLOOKUP(A207,'School Year 2021-22'!A:AN,'School Year 2021-22'!$T$1,FALSE)))&gt;0,VLOOKUP(A207,'School Year 2021-22'!A:AN,'School Year 2021-22'!$V$1,FALSE)-VLOOKUP(A207,'School Year 2021-22'!A:AN,'School Year 2021-22'!$W$1,FALSE),0)</f>
        <v>0</v>
      </c>
      <c r="D207" s="72">
        <f t="shared" si="14"/>
        <v>0</v>
      </c>
      <c r="E207" s="72">
        <f t="shared" si="15"/>
        <v>0</v>
      </c>
      <c r="F207" s="72">
        <f t="shared" si="16"/>
        <v>0</v>
      </c>
      <c r="G207" s="115">
        <f t="shared" si="17"/>
        <v>0</v>
      </c>
      <c r="H207" s="114">
        <v>0</v>
      </c>
      <c r="I207" s="72">
        <v>0</v>
      </c>
      <c r="J207" s="72">
        <v>0</v>
      </c>
      <c r="K207" s="115">
        <v>0</v>
      </c>
      <c r="L207" s="114">
        <v>0</v>
      </c>
      <c r="M207" s="72">
        <v>0</v>
      </c>
      <c r="N207" s="72">
        <v>0</v>
      </c>
      <c r="O207" s="115">
        <v>0</v>
      </c>
    </row>
    <row r="208" spans="1:15">
      <c r="A208" t="s">
        <v>119</v>
      </c>
      <c r="B208" t="s">
        <v>120</v>
      </c>
      <c r="C208" s="114">
        <f>IF(VLOOKUP(A208,'School Year 2021-22'!A:AN,'School Year 2021-22'!$R$1,FALSE)&gt;0,VLOOKUP(A208,'School Year 2021-22'!A:AN,'School Year 2021-22'!$U$1,FALSE)-VLOOKUP(A208,'School Year 2021-22'!A:AN,'School Year 2021-22'!$W$1,FALSE),0)+IF((VLOOKUP(A208,'School Year 2021-22'!A:AN,'School Year 2021-22'!$S$1,FALSE)+(VLOOKUP(A208,'School Year 2021-22'!A:AN,'School Year 2021-22'!$T$1,FALSE)))&gt;0,VLOOKUP(A208,'School Year 2021-22'!A:AN,'School Year 2021-22'!$V$1,FALSE)-VLOOKUP(A208,'School Year 2021-22'!A:AN,'School Year 2021-22'!$W$1,FALSE),0)</f>
        <v>6657.5826678617668</v>
      </c>
      <c r="D208" s="72">
        <f t="shared" si="14"/>
        <v>6657.5826678617668</v>
      </c>
      <c r="E208" s="72">
        <f t="shared" si="15"/>
        <v>6657.5826678617668</v>
      </c>
      <c r="F208" s="72">
        <f t="shared" si="16"/>
        <v>6657.5826678617668</v>
      </c>
      <c r="G208" s="115">
        <f t="shared" si="17"/>
        <v>6657.5826678617668</v>
      </c>
      <c r="H208" s="114">
        <v>862.04304353640327</v>
      </c>
      <c r="I208" s="72">
        <v>893.28445406684841</v>
      </c>
      <c r="J208" s="72">
        <v>909.80500215221946</v>
      </c>
      <c r="K208" s="115">
        <v>925.52868253675024</v>
      </c>
      <c r="L208" s="114">
        <v>862.04304353640327</v>
      </c>
      <c r="M208" s="72">
        <v>829.83962665257786</v>
      </c>
      <c r="N208" s="72">
        <v>755.15663200327708</v>
      </c>
      <c r="O208" s="115">
        <v>681.80660469410941</v>
      </c>
    </row>
    <row r="209" spans="1:15">
      <c r="A209" t="s">
        <v>43</v>
      </c>
      <c r="B209" t="s">
        <v>44</v>
      </c>
      <c r="C209" s="114">
        <f>IF(VLOOKUP(A209,'School Year 2021-22'!A:AN,'School Year 2021-22'!$R$1,FALSE)&gt;0,VLOOKUP(A209,'School Year 2021-22'!A:AN,'School Year 2021-22'!$U$1,FALSE)-VLOOKUP(A209,'School Year 2021-22'!A:AN,'School Year 2021-22'!$W$1,FALSE),0)+IF((VLOOKUP(A209,'School Year 2021-22'!A:AN,'School Year 2021-22'!$S$1,FALSE)+(VLOOKUP(A209,'School Year 2021-22'!A:AN,'School Year 2021-22'!$T$1,FALSE)))&gt;0,VLOOKUP(A209,'School Year 2021-22'!A:AN,'School Year 2021-22'!$V$1,FALSE)-VLOOKUP(A209,'School Year 2021-22'!A:AN,'School Year 2021-22'!$W$1,FALSE),0)</f>
        <v>864.16747930418933</v>
      </c>
      <c r="D209" s="72">
        <f t="shared" si="14"/>
        <v>864.16747930418933</v>
      </c>
      <c r="E209" s="72">
        <f t="shared" si="15"/>
        <v>864.16747930418933</v>
      </c>
      <c r="F209" s="72">
        <f t="shared" si="16"/>
        <v>864.16747930418933</v>
      </c>
      <c r="G209" s="115">
        <f t="shared" si="17"/>
        <v>864.16747930418933</v>
      </c>
      <c r="H209" s="114">
        <v>858.33559300115849</v>
      </c>
      <c r="I209" s="72">
        <v>882.57756338686795</v>
      </c>
      <c r="J209" s="72">
        <v>898.89392992382182</v>
      </c>
      <c r="K209" s="115">
        <v>914.39893186999961</v>
      </c>
      <c r="L209" s="114">
        <v>858.33559300115849</v>
      </c>
      <c r="M209" s="72">
        <v>819.48280158856596</v>
      </c>
      <c r="N209" s="72">
        <v>745.26997520083478</v>
      </c>
      <c r="O209" s="115">
        <v>672.37435017392636</v>
      </c>
    </row>
    <row r="210" spans="1:15">
      <c r="A210" t="s">
        <v>181</v>
      </c>
      <c r="B210" t="s">
        <v>182</v>
      </c>
      <c r="C210" s="114">
        <f>IF(VLOOKUP(A210,'School Year 2021-22'!A:AN,'School Year 2021-22'!$R$1,FALSE)&gt;0,VLOOKUP(A210,'School Year 2021-22'!A:AN,'School Year 2021-22'!$U$1,FALSE)-VLOOKUP(A210,'School Year 2021-22'!A:AN,'School Year 2021-22'!$W$1,FALSE),0)+IF((VLOOKUP(A210,'School Year 2021-22'!A:AN,'School Year 2021-22'!$S$1,FALSE)+(VLOOKUP(A210,'School Year 2021-22'!A:AN,'School Year 2021-22'!$T$1,FALSE)))&gt;0,VLOOKUP(A210,'School Year 2021-22'!A:AN,'School Year 2021-22'!$V$1,FALSE)-VLOOKUP(A210,'School Year 2021-22'!A:AN,'School Year 2021-22'!$W$1,FALSE),0)</f>
        <v>1071.1567831118355</v>
      </c>
      <c r="D210" s="72">
        <f t="shared" si="14"/>
        <v>1071.1567831118355</v>
      </c>
      <c r="E210" s="72">
        <f t="shared" si="15"/>
        <v>1071.1567831118355</v>
      </c>
      <c r="F210" s="72">
        <f t="shared" si="16"/>
        <v>1071.1567831118355</v>
      </c>
      <c r="G210" s="115">
        <f t="shared" si="17"/>
        <v>1071.1567831118355</v>
      </c>
      <c r="H210" s="114">
        <v>902.37264442098058</v>
      </c>
      <c r="I210" s="72">
        <v>934.76301226712076</v>
      </c>
      <c r="J210" s="72">
        <v>952.12688808065559</v>
      </c>
      <c r="K210" s="115">
        <v>968.75377246205062</v>
      </c>
      <c r="L210" s="114">
        <v>902.37264442098058</v>
      </c>
      <c r="M210" s="72">
        <v>868.21978278981078</v>
      </c>
      <c r="N210" s="72">
        <v>789.83921053724589</v>
      </c>
      <c r="O210" s="115">
        <v>712.84280520272478</v>
      </c>
    </row>
    <row r="211" spans="1:15">
      <c r="A211" t="s">
        <v>537</v>
      </c>
      <c r="B211" t="s">
        <v>538</v>
      </c>
      <c r="C211" s="114">
        <f>IF(VLOOKUP(A211,'School Year 2021-22'!A:AN,'School Year 2021-22'!$R$1,FALSE)&gt;0,VLOOKUP(A211,'School Year 2021-22'!A:AN,'School Year 2021-22'!$U$1,FALSE)-VLOOKUP(A211,'School Year 2021-22'!A:AN,'School Year 2021-22'!$W$1,FALSE),0)+IF((VLOOKUP(A211,'School Year 2021-22'!A:AN,'School Year 2021-22'!$S$1,FALSE)+(VLOOKUP(A211,'School Year 2021-22'!A:AN,'School Year 2021-22'!$T$1,FALSE)))&gt;0,VLOOKUP(A211,'School Year 2021-22'!A:AN,'School Year 2021-22'!$V$1,FALSE)-VLOOKUP(A211,'School Year 2021-22'!A:AN,'School Year 2021-22'!$W$1,FALSE),0)</f>
        <v>833.63102841217824</v>
      </c>
      <c r="D211" s="72">
        <f t="shared" si="14"/>
        <v>833.63102841217824</v>
      </c>
      <c r="E211" s="72">
        <f t="shared" si="15"/>
        <v>833.63102841217824</v>
      </c>
      <c r="F211" s="72">
        <f t="shared" si="16"/>
        <v>833.63102841217824</v>
      </c>
      <c r="G211" s="115">
        <f t="shared" si="17"/>
        <v>833.63102841217824</v>
      </c>
      <c r="H211" s="114">
        <v>831.44919241143998</v>
      </c>
      <c r="I211" s="72">
        <v>861.83828428673223</v>
      </c>
      <c r="J211" s="72">
        <v>877.73298695960329</v>
      </c>
      <c r="K211" s="115">
        <v>892.78638690734897</v>
      </c>
      <c r="L211" s="114">
        <v>831.44919241143998</v>
      </c>
      <c r="M211" s="72">
        <v>800.29272351994859</v>
      </c>
      <c r="N211" s="72">
        <v>727.92868593385083</v>
      </c>
      <c r="O211" s="115">
        <v>656.85624991961959</v>
      </c>
    </row>
    <row r="212" spans="1:15">
      <c r="A212" t="s">
        <v>481</v>
      </c>
      <c r="B212" t="s">
        <v>482</v>
      </c>
      <c r="C212" s="114">
        <f>IF(VLOOKUP(A212,'School Year 2021-22'!A:AN,'School Year 2021-22'!$R$1,FALSE)&gt;0,VLOOKUP(A212,'School Year 2021-22'!A:AN,'School Year 2021-22'!$U$1,FALSE)-VLOOKUP(A212,'School Year 2021-22'!A:AN,'School Year 2021-22'!$W$1,FALSE),0)+IF((VLOOKUP(A212,'School Year 2021-22'!A:AN,'School Year 2021-22'!$S$1,FALSE)+(VLOOKUP(A212,'School Year 2021-22'!A:AN,'School Year 2021-22'!$T$1,FALSE)))&gt;0,VLOOKUP(A212,'School Year 2021-22'!A:AN,'School Year 2021-22'!$V$1,FALSE)-VLOOKUP(A212,'School Year 2021-22'!A:AN,'School Year 2021-22'!$W$1,FALSE),0)</f>
        <v>6728.3517032963009</v>
      </c>
      <c r="D212" s="72">
        <f t="shared" si="14"/>
        <v>6728.3517032963009</v>
      </c>
      <c r="E212" s="72">
        <f t="shared" si="15"/>
        <v>6728.3517032963009</v>
      </c>
      <c r="F212" s="72">
        <f t="shared" si="16"/>
        <v>6728.3517032963009</v>
      </c>
      <c r="G212" s="115">
        <f t="shared" si="17"/>
        <v>6728.3517032963009</v>
      </c>
      <c r="H212" s="114">
        <v>858.33559300115849</v>
      </c>
      <c r="I212" s="72">
        <v>882.57756338686795</v>
      </c>
      <c r="J212" s="72">
        <v>898.89392992382182</v>
      </c>
      <c r="K212" s="115">
        <v>914.39893186999961</v>
      </c>
      <c r="L212" s="114">
        <v>858.33559300115849</v>
      </c>
      <c r="M212" s="72">
        <v>819.48280158856596</v>
      </c>
      <c r="N212" s="72">
        <v>745.26997520083478</v>
      </c>
      <c r="O212" s="115">
        <v>672.37435017392636</v>
      </c>
    </row>
    <row r="213" spans="1:15">
      <c r="A213" t="s">
        <v>25</v>
      </c>
      <c r="B213" t="s">
        <v>26</v>
      </c>
      <c r="C213" s="114">
        <f>IF(VLOOKUP(A213,'School Year 2021-22'!A:AN,'School Year 2021-22'!$R$1,FALSE)&gt;0,VLOOKUP(A213,'School Year 2021-22'!A:AN,'School Year 2021-22'!$U$1,FALSE)-VLOOKUP(A213,'School Year 2021-22'!A:AN,'School Year 2021-22'!$W$1,FALSE),0)+IF((VLOOKUP(A213,'School Year 2021-22'!A:AN,'School Year 2021-22'!$S$1,FALSE)+(VLOOKUP(A213,'School Year 2021-22'!A:AN,'School Year 2021-22'!$T$1,FALSE)))&gt;0,VLOOKUP(A213,'School Year 2021-22'!A:AN,'School Year 2021-22'!$V$1,FALSE)-VLOOKUP(A213,'School Year 2021-22'!A:AN,'School Year 2021-22'!$W$1,FALSE),0)</f>
        <v>837.97949805312146</v>
      </c>
      <c r="D213" s="72">
        <f t="shared" si="14"/>
        <v>837.97949805312146</v>
      </c>
      <c r="E213" s="72">
        <f t="shared" si="15"/>
        <v>837.97949805312146</v>
      </c>
      <c r="F213" s="72">
        <f t="shared" si="16"/>
        <v>837.97949805312146</v>
      </c>
      <c r="G213" s="115">
        <f t="shared" si="17"/>
        <v>837.97949805312146</v>
      </c>
      <c r="H213" s="114">
        <v>831.44919241143998</v>
      </c>
      <c r="I213" s="72">
        <v>861.83828428673223</v>
      </c>
      <c r="J213" s="72">
        <v>877.73298695960329</v>
      </c>
      <c r="K213" s="115">
        <v>892.78638690734897</v>
      </c>
      <c r="L213" s="114">
        <v>831.44919241143998</v>
      </c>
      <c r="M213" s="72">
        <v>800.29272351994859</v>
      </c>
      <c r="N213" s="72">
        <v>727.92868593385083</v>
      </c>
      <c r="O213" s="115">
        <v>656.85624991961959</v>
      </c>
    </row>
    <row r="214" spans="1:15">
      <c r="A214" t="s">
        <v>1319</v>
      </c>
      <c r="B214" t="s">
        <v>1320</v>
      </c>
      <c r="C214" s="114">
        <f>IF(VLOOKUP(A214,'School Year 2021-22'!A:AN,'School Year 2021-22'!$R$1,FALSE)&gt;0,VLOOKUP(A214,'School Year 2021-22'!A:AN,'School Year 2021-22'!$U$1,FALSE)-VLOOKUP(A214,'School Year 2021-22'!A:AN,'School Year 2021-22'!$W$1,FALSE),0)+IF((VLOOKUP(A214,'School Year 2021-22'!A:AN,'School Year 2021-22'!$S$1,FALSE)+(VLOOKUP(A214,'School Year 2021-22'!A:AN,'School Year 2021-22'!$T$1,FALSE)))&gt;0,VLOOKUP(A214,'School Year 2021-22'!A:AN,'School Year 2021-22'!$V$1,FALSE)-VLOOKUP(A214,'School Year 2021-22'!A:AN,'School Year 2021-22'!$W$1,FALSE),0)</f>
        <v>0</v>
      </c>
      <c r="D214" s="72">
        <f t="shared" si="14"/>
        <v>0</v>
      </c>
      <c r="E214" s="72">
        <f t="shared" si="15"/>
        <v>0</v>
      </c>
      <c r="F214" s="72">
        <f t="shared" si="16"/>
        <v>0</v>
      </c>
      <c r="G214" s="115">
        <f t="shared" si="17"/>
        <v>0</v>
      </c>
      <c r="H214" s="114">
        <v>0</v>
      </c>
      <c r="I214" s="72">
        <v>0</v>
      </c>
      <c r="J214" s="72">
        <v>0</v>
      </c>
      <c r="K214" s="115">
        <v>0</v>
      </c>
      <c r="L214" s="114">
        <v>0</v>
      </c>
      <c r="M214" s="72">
        <v>0</v>
      </c>
      <c r="N214" s="72">
        <v>0</v>
      </c>
      <c r="O214" s="115">
        <v>0</v>
      </c>
    </row>
    <row r="215" spans="1:15">
      <c r="A215" t="s">
        <v>561</v>
      </c>
      <c r="B215" t="s">
        <v>562</v>
      </c>
      <c r="C215" s="114">
        <f>IF(VLOOKUP(A215,'School Year 2021-22'!A:AN,'School Year 2021-22'!$R$1,FALSE)&gt;0,VLOOKUP(A215,'School Year 2021-22'!A:AN,'School Year 2021-22'!$U$1,FALSE)-VLOOKUP(A215,'School Year 2021-22'!A:AN,'School Year 2021-22'!$W$1,FALSE),0)+IF((VLOOKUP(A215,'School Year 2021-22'!A:AN,'School Year 2021-22'!$S$1,FALSE)+(VLOOKUP(A215,'School Year 2021-22'!A:AN,'School Year 2021-22'!$T$1,FALSE)))&gt;0,VLOOKUP(A215,'School Year 2021-22'!A:AN,'School Year 2021-22'!$V$1,FALSE)-VLOOKUP(A215,'School Year 2021-22'!A:AN,'School Year 2021-22'!$W$1,FALSE),0)</f>
        <v>836.07716763778353</v>
      </c>
      <c r="D215" s="72">
        <f t="shared" si="14"/>
        <v>836.07716763778353</v>
      </c>
      <c r="E215" s="72">
        <f t="shared" si="15"/>
        <v>836.07716763778353</v>
      </c>
      <c r="F215" s="72">
        <f t="shared" si="16"/>
        <v>836.07716763778353</v>
      </c>
      <c r="G215" s="115">
        <f t="shared" si="17"/>
        <v>836.07716763778353</v>
      </c>
      <c r="H215" s="114">
        <v>831.44919241143998</v>
      </c>
      <c r="I215" s="72">
        <v>861.83828428673223</v>
      </c>
      <c r="J215" s="72">
        <v>877.73298695960329</v>
      </c>
      <c r="K215" s="115">
        <v>892.78638690734897</v>
      </c>
      <c r="L215" s="114">
        <v>831.44919241143998</v>
      </c>
      <c r="M215" s="72">
        <v>800.29272351994859</v>
      </c>
      <c r="N215" s="72">
        <v>727.92868593385083</v>
      </c>
      <c r="O215" s="115">
        <v>656.85624991961959</v>
      </c>
    </row>
    <row r="216" spans="1:15">
      <c r="A216" t="s">
        <v>363</v>
      </c>
      <c r="B216" t="s">
        <v>364</v>
      </c>
      <c r="C216" s="114">
        <f>IF(VLOOKUP(A216,'School Year 2021-22'!A:AN,'School Year 2021-22'!$R$1,FALSE)&gt;0,VLOOKUP(A216,'School Year 2021-22'!A:AN,'School Year 2021-22'!$U$1,FALSE)-VLOOKUP(A216,'School Year 2021-22'!A:AN,'School Year 2021-22'!$W$1,FALSE),0)+IF((VLOOKUP(A216,'School Year 2021-22'!A:AN,'School Year 2021-22'!$S$1,FALSE)+(VLOOKUP(A216,'School Year 2021-22'!A:AN,'School Year 2021-22'!$T$1,FALSE)))&gt;0,VLOOKUP(A216,'School Year 2021-22'!A:AN,'School Year 2021-22'!$V$1,FALSE)-VLOOKUP(A216,'School Year 2021-22'!A:AN,'School Year 2021-22'!$W$1,FALSE),0)</f>
        <v>1214.1587416867615</v>
      </c>
      <c r="D216" s="72">
        <f t="shared" si="14"/>
        <v>1214.1587416867615</v>
      </c>
      <c r="E216" s="72">
        <f t="shared" si="15"/>
        <v>1214.1587416867615</v>
      </c>
      <c r="F216" s="72">
        <f t="shared" si="16"/>
        <v>1214.1587416867615</v>
      </c>
      <c r="G216" s="115">
        <f t="shared" si="17"/>
        <v>1214.1587416867615</v>
      </c>
      <c r="H216" s="114">
        <v>871.77879329601546</v>
      </c>
      <c r="I216" s="72">
        <v>903.31684248700276</v>
      </c>
      <c r="J216" s="72">
        <v>920.05487288803943</v>
      </c>
      <c r="K216" s="115">
        <v>936.01147683264753</v>
      </c>
      <c r="L216" s="114">
        <v>871.77879329601546</v>
      </c>
      <c r="M216" s="72">
        <v>838.67287965718151</v>
      </c>
      <c r="N216" s="72">
        <v>762.61126446782146</v>
      </c>
      <c r="O216" s="115">
        <v>687.89245042823313</v>
      </c>
    </row>
    <row r="217" spans="1:15">
      <c r="A217" t="s">
        <v>173</v>
      </c>
      <c r="B217" t="s">
        <v>174</v>
      </c>
      <c r="C217" s="114">
        <f>IF(VLOOKUP(A217,'School Year 2021-22'!A:AN,'School Year 2021-22'!$R$1,FALSE)&gt;0,VLOOKUP(A217,'School Year 2021-22'!A:AN,'School Year 2021-22'!$U$1,FALSE)-VLOOKUP(A217,'School Year 2021-22'!A:AN,'School Year 2021-22'!$W$1,FALSE),0)+IF((VLOOKUP(A217,'School Year 2021-22'!A:AN,'School Year 2021-22'!$S$1,FALSE)+(VLOOKUP(A217,'School Year 2021-22'!A:AN,'School Year 2021-22'!$T$1,FALSE)))&gt;0,VLOOKUP(A217,'School Year 2021-22'!A:AN,'School Year 2021-22'!$V$1,FALSE)-VLOOKUP(A217,'School Year 2021-22'!A:AN,'School Year 2021-22'!$W$1,FALSE),0)</f>
        <v>0</v>
      </c>
      <c r="D217" s="72">
        <f t="shared" si="14"/>
        <v>0</v>
      </c>
      <c r="E217" s="72">
        <f t="shared" si="15"/>
        <v>0</v>
      </c>
      <c r="F217" s="72">
        <f t="shared" si="16"/>
        <v>0</v>
      </c>
      <c r="G217" s="115">
        <f t="shared" si="17"/>
        <v>0</v>
      </c>
      <c r="H217" s="114">
        <v>0</v>
      </c>
      <c r="I217" s="72">
        <v>0</v>
      </c>
      <c r="J217" s="72">
        <v>0</v>
      </c>
      <c r="K217" s="115">
        <v>0</v>
      </c>
      <c r="L217" s="114">
        <v>0</v>
      </c>
      <c r="M217" s="72">
        <v>0</v>
      </c>
      <c r="N217" s="72">
        <v>0</v>
      </c>
      <c r="O217" s="115">
        <v>0</v>
      </c>
    </row>
    <row r="218" spans="1:15">
      <c r="A218" t="s">
        <v>177</v>
      </c>
      <c r="B218" t="s">
        <v>178</v>
      </c>
      <c r="C218" s="114">
        <f>IF(VLOOKUP(A218,'School Year 2021-22'!A:AN,'School Year 2021-22'!$R$1,FALSE)&gt;0,VLOOKUP(A218,'School Year 2021-22'!A:AN,'School Year 2021-22'!$U$1,FALSE)-VLOOKUP(A218,'School Year 2021-22'!A:AN,'School Year 2021-22'!$W$1,FALSE),0)+IF((VLOOKUP(A218,'School Year 2021-22'!A:AN,'School Year 2021-22'!$S$1,FALSE)+(VLOOKUP(A218,'School Year 2021-22'!A:AN,'School Year 2021-22'!$T$1,FALSE)))&gt;0,VLOOKUP(A218,'School Year 2021-22'!A:AN,'School Year 2021-22'!$V$1,FALSE)-VLOOKUP(A218,'School Year 2021-22'!A:AN,'School Year 2021-22'!$W$1,FALSE),0)</f>
        <v>1241.6380486172957</v>
      </c>
      <c r="D218" s="72">
        <f t="shared" si="14"/>
        <v>1241.6380486172957</v>
      </c>
      <c r="E218" s="72">
        <f t="shared" si="15"/>
        <v>1241.6380486172957</v>
      </c>
      <c r="F218" s="72">
        <f t="shared" si="16"/>
        <v>1241.6380486172957</v>
      </c>
      <c r="G218" s="115">
        <f t="shared" si="17"/>
        <v>1241.6380486172957</v>
      </c>
      <c r="H218" s="114">
        <v>871.77879329601546</v>
      </c>
      <c r="I218" s="72">
        <v>903.31684248700276</v>
      </c>
      <c r="J218" s="72">
        <v>920.05487288803943</v>
      </c>
      <c r="K218" s="115">
        <v>936.01147683264753</v>
      </c>
      <c r="L218" s="114">
        <v>871.77879329601546</v>
      </c>
      <c r="M218" s="72">
        <v>838.67287965718151</v>
      </c>
      <c r="N218" s="72">
        <v>762.61126446782146</v>
      </c>
      <c r="O218" s="115">
        <v>687.89245042823313</v>
      </c>
    </row>
    <row r="219" spans="1:15">
      <c r="A219" t="s">
        <v>53</v>
      </c>
      <c r="B219" t="s">
        <v>54</v>
      </c>
      <c r="C219" s="114">
        <f>IF(VLOOKUP(A219,'School Year 2021-22'!A:AN,'School Year 2021-22'!$R$1,FALSE)&gt;0,VLOOKUP(A219,'School Year 2021-22'!A:AN,'School Year 2021-22'!$U$1,FALSE)-VLOOKUP(A219,'School Year 2021-22'!A:AN,'School Year 2021-22'!$W$1,FALSE),0)+IF((VLOOKUP(A219,'School Year 2021-22'!A:AN,'School Year 2021-22'!$S$1,FALSE)+(VLOOKUP(A219,'School Year 2021-22'!A:AN,'School Year 2021-22'!$T$1,FALSE)))&gt;0,VLOOKUP(A219,'School Year 2021-22'!A:AN,'School Year 2021-22'!$V$1,FALSE)-VLOOKUP(A219,'School Year 2021-22'!A:AN,'School Year 2021-22'!$W$1,FALSE),0)</f>
        <v>837.48737218685801</v>
      </c>
      <c r="D219" s="72">
        <f t="shared" si="14"/>
        <v>837.48737218685801</v>
      </c>
      <c r="E219" s="72">
        <f t="shared" si="15"/>
        <v>837.48737218685801</v>
      </c>
      <c r="F219" s="72">
        <f t="shared" si="16"/>
        <v>837.48737218685801</v>
      </c>
      <c r="G219" s="115">
        <f t="shared" si="17"/>
        <v>837.48737218685801</v>
      </c>
      <c r="H219" s="114">
        <v>831.44919241143998</v>
      </c>
      <c r="I219" s="72">
        <v>861.83828428673223</v>
      </c>
      <c r="J219" s="72">
        <v>877.73298695960329</v>
      </c>
      <c r="K219" s="115">
        <v>892.78638690734897</v>
      </c>
      <c r="L219" s="114">
        <v>831.44919241143998</v>
      </c>
      <c r="M219" s="72">
        <v>800.29272351994859</v>
      </c>
      <c r="N219" s="72">
        <v>727.92868593385083</v>
      </c>
      <c r="O219" s="115">
        <v>656.85624991961959</v>
      </c>
    </row>
    <row r="220" spans="1:15">
      <c r="A220" t="s">
        <v>51</v>
      </c>
      <c r="B220" t="s">
        <v>52</v>
      </c>
      <c r="C220" s="114">
        <f>IF(VLOOKUP(A220,'School Year 2021-22'!A:AN,'School Year 2021-22'!$R$1,FALSE)&gt;0,VLOOKUP(A220,'School Year 2021-22'!A:AN,'School Year 2021-22'!$U$1,FALSE)-VLOOKUP(A220,'School Year 2021-22'!A:AN,'School Year 2021-22'!$W$1,FALSE),0)+IF((VLOOKUP(A220,'School Year 2021-22'!A:AN,'School Year 2021-22'!$S$1,FALSE)+(VLOOKUP(A220,'School Year 2021-22'!A:AN,'School Year 2021-22'!$T$1,FALSE)))&gt;0,VLOOKUP(A220,'School Year 2021-22'!A:AN,'School Year 2021-22'!$V$1,FALSE)-VLOOKUP(A220,'School Year 2021-22'!A:AN,'School Year 2021-22'!$W$1,FALSE),0)</f>
        <v>498.90878959596012</v>
      </c>
      <c r="D220" s="72">
        <f t="shared" si="14"/>
        <v>498.90878959596012</v>
      </c>
      <c r="E220" s="72">
        <f t="shared" si="15"/>
        <v>498.90878959596012</v>
      </c>
      <c r="F220" s="72">
        <f t="shared" si="16"/>
        <v>498.90878959596012</v>
      </c>
      <c r="G220" s="115">
        <f t="shared" si="17"/>
        <v>498.90878959596012</v>
      </c>
      <c r="H220" s="114">
        <v>831.44919241143998</v>
      </c>
      <c r="I220" s="72">
        <v>861.83828428673223</v>
      </c>
      <c r="J220" s="72">
        <v>877.73298695960329</v>
      </c>
      <c r="K220" s="115">
        <v>892.78638690734897</v>
      </c>
      <c r="L220" s="114">
        <v>831.44919241143998</v>
      </c>
      <c r="M220" s="72">
        <v>800.29272351994859</v>
      </c>
      <c r="N220" s="72">
        <v>727.92868593385083</v>
      </c>
      <c r="O220" s="115">
        <v>656.85624991961959</v>
      </c>
    </row>
    <row r="221" spans="1:15">
      <c r="A221" t="s">
        <v>123</v>
      </c>
      <c r="B221" t="s">
        <v>124</v>
      </c>
      <c r="C221" s="114">
        <f>IF(VLOOKUP(A221,'School Year 2021-22'!A:AN,'School Year 2021-22'!$R$1,FALSE)&gt;0,VLOOKUP(A221,'School Year 2021-22'!A:AN,'School Year 2021-22'!$U$1,FALSE)-VLOOKUP(A221,'School Year 2021-22'!A:AN,'School Year 2021-22'!$W$1,FALSE),0)+IF((VLOOKUP(A221,'School Year 2021-22'!A:AN,'School Year 2021-22'!$S$1,FALSE)+(VLOOKUP(A221,'School Year 2021-22'!A:AN,'School Year 2021-22'!$T$1,FALSE)))&gt;0,VLOOKUP(A221,'School Year 2021-22'!A:AN,'School Year 2021-22'!$V$1,FALSE)-VLOOKUP(A221,'School Year 2021-22'!A:AN,'School Year 2021-22'!$W$1,FALSE),0)</f>
        <v>837.01130991079026</v>
      </c>
      <c r="D221" s="72">
        <f t="shared" si="14"/>
        <v>837.01130991079026</v>
      </c>
      <c r="E221" s="72">
        <f t="shared" si="15"/>
        <v>837.01130991079026</v>
      </c>
      <c r="F221" s="72">
        <f t="shared" si="16"/>
        <v>837.01130991079026</v>
      </c>
      <c r="G221" s="115">
        <f t="shared" si="17"/>
        <v>837.01130991079026</v>
      </c>
      <c r="H221" s="114">
        <v>831.44919241143998</v>
      </c>
      <c r="I221" s="72">
        <v>861.83828428673223</v>
      </c>
      <c r="J221" s="72">
        <v>877.73298695960329</v>
      </c>
      <c r="K221" s="115">
        <v>892.78638690734897</v>
      </c>
      <c r="L221" s="114">
        <v>831.44919241143998</v>
      </c>
      <c r="M221" s="72">
        <v>800.29272351994859</v>
      </c>
      <c r="N221" s="72">
        <v>727.92868593385083</v>
      </c>
      <c r="O221" s="115">
        <v>656.85624991961959</v>
      </c>
    </row>
    <row r="222" spans="1:15">
      <c r="A222" t="s">
        <v>225</v>
      </c>
      <c r="B222" t="s">
        <v>226</v>
      </c>
      <c r="C222" s="114">
        <f>IF(VLOOKUP(A222,'School Year 2021-22'!A:AN,'School Year 2021-22'!$R$1,FALSE)&gt;0,VLOOKUP(A222,'School Year 2021-22'!A:AN,'School Year 2021-22'!$U$1,FALSE)-VLOOKUP(A222,'School Year 2021-22'!A:AN,'School Year 2021-22'!$W$1,FALSE),0)+IF((VLOOKUP(A222,'School Year 2021-22'!A:AN,'School Year 2021-22'!$S$1,FALSE)+(VLOOKUP(A222,'School Year 2021-22'!A:AN,'School Year 2021-22'!$T$1,FALSE)))&gt;0,VLOOKUP(A222,'School Year 2021-22'!A:AN,'School Year 2021-22'!$V$1,FALSE)-VLOOKUP(A222,'School Year 2021-22'!A:AN,'School Year 2021-22'!$W$1,FALSE),0)</f>
        <v>0</v>
      </c>
      <c r="D222" s="72">
        <f t="shared" si="14"/>
        <v>0</v>
      </c>
      <c r="E222" s="72">
        <f t="shared" si="15"/>
        <v>0</v>
      </c>
      <c r="F222" s="72">
        <f t="shared" si="16"/>
        <v>0</v>
      </c>
      <c r="G222" s="115">
        <f t="shared" si="17"/>
        <v>0</v>
      </c>
      <c r="H222" s="114">
        <v>0</v>
      </c>
      <c r="I222" s="72">
        <v>0</v>
      </c>
      <c r="J222" s="72">
        <v>0</v>
      </c>
      <c r="K222" s="115">
        <v>0</v>
      </c>
      <c r="L222" s="114">
        <v>0</v>
      </c>
      <c r="M222" s="72">
        <v>0</v>
      </c>
      <c r="N222" s="72">
        <v>0</v>
      </c>
      <c r="O222" s="115">
        <v>0</v>
      </c>
    </row>
    <row r="223" spans="1:15">
      <c r="A223" t="s">
        <v>515</v>
      </c>
      <c r="B223" t="s">
        <v>516</v>
      </c>
      <c r="C223" s="114">
        <f>IF(VLOOKUP(A223,'School Year 2021-22'!A:AN,'School Year 2021-22'!$R$1,FALSE)&gt;0,VLOOKUP(A223,'School Year 2021-22'!A:AN,'School Year 2021-22'!$U$1,FALSE)-VLOOKUP(A223,'School Year 2021-22'!A:AN,'School Year 2021-22'!$W$1,FALSE),0)+IF((VLOOKUP(A223,'School Year 2021-22'!A:AN,'School Year 2021-22'!$S$1,FALSE)+(VLOOKUP(A223,'School Year 2021-22'!A:AN,'School Year 2021-22'!$T$1,FALSE)))&gt;0,VLOOKUP(A223,'School Year 2021-22'!A:AN,'School Year 2021-22'!$V$1,FALSE)-VLOOKUP(A223,'School Year 2021-22'!A:AN,'School Year 2021-22'!$W$1,FALSE),0)</f>
        <v>834.74476323152794</v>
      </c>
      <c r="D223" s="72">
        <f t="shared" si="14"/>
        <v>834.74476323152794</v>
      </c>
      <c r="E223" s="72">
        <f t="shared" si="15"/>
        <v>834.74476323152794</v>
      </c>
      <c r="F223" s="72">
        <f t="shared" si="16"/>
        <v>834.74476323152794</v>
      </c>
      <c r="G223" s="115">
        <f t="shared" si="17"/>
        <v>834.74476323152794</v>
      </c>
      <c r="H223" s="114">
        <v>831.44919241143998</v>
      </c>
      <c r="I223" s="72">
        <v>861.83828428673223</v>
      </c>
      <c r="J223" s="72">
        <v>877.73298695960329</v>
      </c>
      <c r="K223" s="115">
        <v>892.78638690734897</v>
      </c>
      <c r="L223" s="114">
        <v>831.44919241143998</v>
      </c>
      <c r="M223" s="72">
        <v>800.29272351994859</v>
      </c>
      <c r="N223" s="72">
        <v>727.92868593385083</v>
      </c>
      <c r="O223" s="115">
        <v>656.85624991961959</v>
      </c>
    </row>
    <row r="224" spans="1:15">
      <c r="A224" t="s">
        <v>345</v>
      </c>
      <c r="B224" t="s">
        <v>346</v>
      </c>
      <c r="C224" s="114">
        <f>IF(VLOOKUP(A224,'School Year 2021-22'!A:AN,'School Year 2021-22'!$R$1,FALSE)&gt;0,VLOOKUP(A224,'School Year 2021-22'!A:AN,'School Year 2021-22'!$U$1,FALSE)-VLOOKUP(A224,'School Year 2021-22'!A:AN,'School Year 2021-22'!$W$1,FALSE),0)+IF((VLOOKUP(A224,'School Year 2021-22'!A:AN,'School Year 2021-22'!$S$1,FALSE)+(VLOOKUP(A224,'School Year 2021-22'!A:AN,'School Year 2021-22'!$T$1,FALSE)))&gt;0,VLOOKUP(A224,'School Year 2021-22'!A:AN,'School Year 2021-22'!$V$1,FALSE)-VLOOKUP(A224,'School Year 2021-22'!A:AN,'School Year 2021-22'!$W$1,FALSE),0)</f>
        <v>838.9552775473976</v>
      </c>
      <c r="D224" s="72">
        <f t="shared" si="14"/>
        <v>838.9552775473976</v>
      </c>
      <c r="E224" s="72">
        <f t="shared" si="15"/>
        <v>838.9552775473976</v>
      </c>
      <c r="F224" s="72">
        <f t="shared" si="16"/>
        <v>838.9552775473976</v>
      </c>
      <c r="G224" s="115">
        <f t="shared" si="17"/>
        <v>838.9552775473976</v>
      </c>
      <c r="H224" s="114">
        <v>831.44919241143998</v>
      </c>
      <c r="I224" s="72">
        <v>861.83828428673223</v>
      </c>
      <c r="J224" s="72">
        <v>877.73298695960329</v>
      </c>
      <c r="K224" s="115">
        <v>892.78638690734897</v>
      </c>
      <c r="L224" s="114">
        <v>831.44919241143998</v>
      </c>
      <c r="M224" s="72">
        <v>800.29272351994859</v>
      </c>
      <c r="N224" s="72">
        <v>727.92868593385083</v>
      </c>
      <c r="O224" s="115">
        <v>656.85624991961959</v>
      </c>
    </row>
    <row r="225" spans="1:15">
      <c r="A225" t="s">
        <v>299</v>
      </c>
      <c r="B225" t="s">
        <v>300</v>
      </c>
      <c r="C225" s="114">
        <f>IF(VLOOKUP(A225,'School Year 2021-22'!A:AN,'School Year 2021-22'!$R$1,FALSE)&gt;0,VLOOKUP(A225,'School Year 2021-22'!A:AN,'School Year 2021-22'!$U$1,FALSE)-VLOOKUP(A225,'School Year 2021-22'!A:AN,'School Year 2021-22'!$W$1,FALSE),0)+IF((VLOOKUP(A225,'School Year 2021-22'!A:AN,'School Year 2021-22'!$S$1,FALSE)+(VLOOKUP(A225,'School Year 2021-22'!A:AN,'School Year 2021-22'!$T$1,FALSE)))&gt;0,VLOOKUP(A225,'School Year 2021-22'!A:AN,'School Year 2021-22'!$V$1,FALSE)-VLOOKUP(A225,'School Year 2021-22'!A:AN,'School Year 2021-22'!$W$1,FALSE),0)</f>
        <v>6469.9455159866939</v>
      </c>
      <c r="D225" s="72">
        <f t="shared" si="14"/>
        <v>6469.9455159866939</v>
      </c>
      <c r="E225" s="72">
        <f t="shared" si="15"/>
        <v>6469.9455159866939</v>
      </c>
      <c r="F225" s="72">
        <f t="shared" si="16"/>
        <v>6469.9455159866939</v>
      </c>
      <c r="G225" s="115">
        <f t="shared" si="17"/>
        <v>6469.9455159866939</v>
      </c>
      <c r="H225" s="114">
        <v>831.44919241143998</v>
      </c>
      <c r="I225" s="72">
        <v>861.83828428673223</v>
      </c>
      <c r="J225" s="72">
        <v>877.73298695960329</v>
      </c>
      <c r="K225" s="115">
        <v>892.78638690734897</v>
      </c>
      <c r="L225" s="114">
        <v>831.44919241143998</v>
      </c>
      <c r="M225" s="72">
        <v>800.29272351994859</v>
      </c>
      <c r="N225" s="72">
        <v>727.92868593385083</v>
      </c>
      <c r="O225" s="115">
        <v>656.85624991961959</v>
      </c>
    </row>
    <row r="226" spans="1:15">
      <c r="A226" t="s">
        <v>195</v>
      </c>
      <c r="B226" t="s">
        <v>196</v>
      </c>
      <c r="C226" s="114">
        <f>IF(VLOOKUP(A226,'School Year 2021-22'!A:AN,'School Year 2021-22'!$R$1,FALSE)&gt;0,VLOOKUP(A226,'School Year 2021-22'!A:AN,'School Year 2021-22'!$U$1,FALSE)-VLOOKUP(A226,'School Year 2021-22'!A:AN,'School Year 2021-22'!$W$1,FALSE),0)+IF((VLOOKUP(A226,'School Year 2021-22'!A:AN,'School Year 2021-22'!$S$1,FALSE)+(VLOOKUP(A226,'School Year 2021-22'!A:AN,'School Year 2021-22'!$T$1,FALSE)))&gt;0,VLOOKUP(A226,'School Year 2021-22'!A:AN,'School Year 2021-22'!$V$1,FALSE)-VLOOKUP(A226,'School Year 2021-22'!A:AN,'School Year 2021-22'!$W$1,FALSE),0)</f>
        <v>962.76432217521869</v>
      </c>
      <c r="D226" s="72">
        <f t="shared" si="14"/>
        <v>962.76432217521869</v>
      </c>
      <c r="E226" s="72">
        <f t="shared" si="15"/>
        <v>962.76432217521869</v>
      </c>
      <c r="F226" s="72">
        <f t="shared" si="16"/>
        <v>962.76432217521869</v>
      </c>
      <c r="G226" s="115">
        <f t="shared" si="17"/>
        <v>962.76432217521869</v>
      </c>
      <c r="H226" s="114">
        <v>952.43799506516825</v>
      </c>
      <c r="I226" s="72">
        <v>986.27395888754472</v>
      </c>
      <c r="J226" s="72">
        <v>1004.6986447449126</v>
      </c>
      <c r="K226" s="115">
        <v>1022.4616566832483</v>
      </c>
      <c r="L226" s="114">
        <v>952.43799506516825</v>
      </c>
      <c r="M226" s="72">
        <v>915.43319193164098</v>
      </c>
      <c r="N226" s="72">
        <v>831.97642153575725</v>
      </c>
      <c r="O226" s="115">
        <v>749.96485144546386</v>
      </c>
    </row>
    <row r="227" spans="1:15">
      <c r="A227" t="s">
        <v>109</v>
      </c>
      <c r="B227" t="s">
        <v>110</v>
      </c>
      <c r="C227" s="114">
        <f>IF(VLOOKUP(A227,'School Year 2021-22'!A:AN,'School Year 2021-22'!$R$1,FALSE)&gt;0,VLOOKUP(A227,'School Year 2021-22'!A:AN,'School Year 2021-22'!$U$1,FALSE)-VLOOKUP(A227,'School Year 2021-22'!A:AN,'School Year 2021-22'!$W$1,FALSE),0)+IF((VLOOKUP(A227,'School Year 2021-22'!A:AN,'School Year 2021-22'!$S$1,FALSE)+(VLOOKUP(A227,'School Year 2021-22'!A:AN,'School Year 2021-22'!$T$1,FALSE)))&gt;0,VLOOKUP(A227,'School Year 2021-22'!A:AN,'School Year 2021-22'!$V$1,FALSE)-VLOOKUP(A227,'School Year 2021-22'!A:AN,'School Year 2021-22'!$W$1,FALSE),0)</f>
        <v>1024.8538156180339</v>
      </c>
      <c r="D227" s="72">
        <f t="shared" si="14"/>
        <v>1024.8538156180339</v>
      </c>
      <c r="E227" s="72">
        <f t="shared" si="15"/>
        <v>1024.8538156180339</v>
      </c>
      <c r="F227" s="72">
        <f t="shared" si="16"/>
        <v>1024.8538156180339</v>
      </c>
      <c r="G227" s="115">
        <f t="shared" si="17"/>
        <v>1024.8538156180339</v>
      </c>
      <c r="H227" s="114">
        <v>862.04304353640327</v>
      </c>
      <c r="I227" s="72">
        <v>893.28445406684841</v>
      </c>
      <c r="J227" s="72">
        <v>909.80500215221946</v>
      </c>
      <c r="K227" s="115">
        <v>925.52868253675024</v>
      </c>
      <c r="L227" s="114">
        <v>862.04304353640327</v>
      </c>
      <c r="M227" s="72">
        <v>829.83962665257786</v>
      </c>
      <c r="N227" s="72">
        <v>755.15663200327708</v>
      </c>
      <c r="O227" s="115">
        <v>681.80660469410941</v>
      </c>
    </row>
    <row r="228" spans="1:15">
      <c r="A228" t="s">
        <v>27</v>
      </c>
      <c r="B228" t="s">
        <v>28</v>
      </c>
      <c r="C228" s="114">
        <f>IF(VLOOKUP(A228,'School Year 2021-22'!A:AN,'School Year 2021-22'!$R$1,FALSE)&gt;0,VLOOKUP(A228,'School Year 2021-22'!A:AN,'School Year 2021-22'!$U$1,FALSE)-VLOOKUP(A228,'School Year 2021-22'!A:AN,'School Year 2021-22'!$W$1,FALSE),0)+IF((VLOOKUP(A228,'School Year 2021-22'!A:AN,'School Year 2021-22'!$S$1,FALSE)+(VLOOKUP(A228,'School Year 2021-22'!A:AN,'School Year 2021-22'!$T$1,FALSE)))&gt;0,VLOOKUP(A228,'School Year 2021-22'!A:AN,'School Year 2021-22'!$V$1,FALSE)-VLOOKUP(A228,'School Year 2021-22'!A:AN,'School Year 2021-22'!$W$1,FALSE),0)</f>
        <v>1089.858389312124</v>
      </c>
      <c r="D228" s="72">
        <f t="shared" si="14"/>
        <v>1089.858389312124</v>
      </c>
      <c r="E228" s="72">
        <f t="shared" si="15"/>
        <v>1089.858389312124</v>
      </c>
      <c r="F228" s="72">
        <f t="shared" si="16"/>
        <v>1089.858389312124</v>
      </c>
      <c r="G228" s="115">
        <f t="shared" si="17"/>
        <v>1089.858389312124</v>
      </c>
      <c r="H228" s="114">
        <v>858.33559300115849</v>
      </c>
      <c r="I228" s="72">
        <v>882.57756338686795</v>
      </c>
      <c r="J228" s="72">
        <v>898.89392992382182</v>
      </c>
      <c r="K228" s="115">
        <v>914.39893186999961</v>
      </c>
      <c r="L228" s="114">
        <v>858.33559300115849</v>
      </c>
      <c r="M228" s="72">
        <v>819.48280158856596</v>
      </c>
      <c r="N228" s="72">
        <v>745.26997520083478</v>
      </c>
      <c r="O228" s="115">
        <v>672.37435017392636</v>
      </c>
    </row>
    <row r="229" spans="1:15">
      <c r="A229" t="s">
        <v>71</v>
      </c>
      <c r="B229" t="s">
        <v>72</v>
      </c>
      <c r="C229" s="114">
        <f>IF(VLOOKUP(A229,'School Year 2021-22'!A:AN,'School Year 2021-22'!$R$1,FALSE)&gt;0,VLOOKUP(A229,'School Year 2021-22'!A:AN,'School Year 2021-22'!$U$1,FALSE)-VLOOKUP(A229,'School Year 2021-22'!A:AN,'School Year 2021-22'!$W$1,FALSE),0)+IF((VLOOKUP(A229,'School Year 2021-22'!A:AN,'School Year 2021-22'!$S$1,FALSE)+(VLOOKUP(A229,'School Year 2021-22'!A:AN,'School Year 2021-22'!$T$1,FALSE)))&gt;0,VLOOKUP(A229,'School Year 2021-22'!A:AN,'School Year 2021-22'!$V$1,FALSE)-VLOOKUP(A229,'School Year 2021-22'!A:AN,'School Year 2021-22'!$W$1,FALSE),0)</f>
        <v>653.52742928256885</v>
      </c>
      <c r="D229" s="72">
        <f t="shared" si="14"/>
        <v>653.52742928256885</v>
      </c>
      <c r="E229" s="72">
        <f t="shared" si="15"/>
        <v>653.52742928256885</v>
      </c>
      <c r="F229" s="72">
        <f t="shared" si="16"/>
        <v>653.52742928256885</v>
      </c>
      <c r="G229" s="115">
        <f t="shared" si="17"/>
        <v>653.52742928256885</v>
      </c>
      <c r="H229" s="114">
        <v>871.77879329601546</v>
      </c>
      <c r="I229" s="72">
        <v>903.31684248700276</v>
      </c>
      <c r="J229" s="72">
        <v>920.05487288803943</v>
      </c>
      <c r="K229" s="115">
        <v>936.01147683264753</v>
      </c>
      <c r="L229" s="114">
        <v>871.77879329601546</v>
      </c>
      <c r="M229" s="72">
        <v>838.67287965718151</v>
      </c>
      <c r="N229" s="72">
        <v>762.61126446782146</v>
      </c>
      <c r="O229" s="115">
        <v>687.89245042823313</v>
      </c>
    </row>
    <row r="230" spans="1:15">
      <c r="A230" t="s">
        <v>11</v>
      </c>
      <c r="B230" t="s">
        <v>12</v>
      </c>
      <c r="C230" s="114">
        <f>IF(VLOOKUP(A230,'School Year 2021-22'!A:AN,'School Year 2021-22'!$R$1,FALSE)&gt;0,VLOOKUP(A230,'School Year 2021-22'!A:AN,'School Year 2021-22'!$U$1,FALSE)-VLOOKUP(A230,'School Year 2021-22'!A:AN,'School Year 2021-22'!$W$1,FALSE),0)+IF((VLOOKUP(A230,'School Year 2021-22'!A:AN,'School Year 2021-22'!$S$1,FALSE)+(VLOOKUP(A230,'School Year 2021-22'!A:AN,'School Year 2021-22'!$T$1,FALSE)))&gt;0,VLOOKUP(A230,'School Year 2021-22'!A:AN,'School Year 2021-22'!$V$1,FALSE)-VLOOKUP(A230,'School Year 2021-22'!A:AN,'School Year 2021-22'!$W$1,FALSE),0)</f>
        <v>1023.1847035454894</v>
      </c>
      <c r="D230" s="72">
        <f t="shared" si="14"/>
        <v>1023.1847035454894</v>
      </c>
      <c r="E230" s="72">
        <f t="shared" si="15"/>
        <v>1023.1847035454894</v>
      </c>
      <c r="F230" s="72">
        <f t="shared" si="16"/>
        <v>1023.1847035454894</v>
      </c>
      <c r="G230" s="115">
        <f t="shared" si="17"/>
        <v>1023.1847035454894</v>
      </c>
      <c r="H230" s="114">
        <v>862.04304353640327</v>
      </c>
      <c r="I230" s="72">
        <v>893.28445406684841</v>
      </c>
      <c r="J230" s="72">
        <v>909.80500215221946</v>
      </c>
      <c r="K230" s="115">
        <v>925.52868253675024</v>
      </c>
      <c r="L230" s="114">
        <v>862.04304353640327</v>
      </c>
      <c r="M230" s="72">
        <v>829.83962665257786</v>
      </c>
      <c r="N230" s="72">
        <v>755.15663200327708</v>
      </c>
      <c r="O230" s="115">
        <v>681.80660469410941</v>
      </c>
    </row>
    <row r="231" spans="1:15">
      <c r="A231" t="s">
        <v>477</v>
      </c>
      <c r="B231" t="s">
        <v>478</v>
      </c>
      <c r="C231" s="114">
        <f>IF(VLOOKUP(A231,'School Year 2021-22'!A:AN,'School Year 2021-22'!$R$1,FALSE)&gt;0,VLOOKUP(A231,'School Year 2021-22'!A:AN,'School Year 2021-22'!$U$1,FALSE)-VLOOKUP(A231,'School Year 2021-22'!A:AN,'School Year 2021-22'!$W$1,FALSE),0)+IF((VLOOKUP(A231,'School Year 2021-22'!A:AN,'School Year 2021-22'!$S$1,FALSE)+(VLOOKUP(A231,'School Year 2021-22'!A:AN,'School Year 2021-22'!$T$1,FALSE)))&gt;0,VLOOKUP(A231,'School Year 2021-22'!A:AN,'School Year 2021-22'!$V$1,FALSE)-VLOOKUP(A231,'School Year 2021-22'!A:AN,'School Year 2021-22'!$W$1,FALSE),0)</f>
        <v>834.81860584359401</v>
      </c>
      <c r="D231" s="72">
        <f t="shared" si="14"/>
        <v>834.81860584359401</v>
      </c>
      <c r="E231" s="72">
        <f t="shared" si="15"/>
        <v>834.81860584359401</v>
      </c>
      <c r="F231" s="72">
        <f t="shared" si="16"/>
        <v>834.81860584359401</v>
      </c>
      <c r="G231" s="115">
        <f t="shared" si="17"/>
        <v>834.81860584359401</v>
      </c>
      <c r="H231" s="114">
        <v>831.44919241143998</v>
      </c>
      <c r="I231" s="72">
        <v>861.83828428673223</v>
      </c>
      <c r="J231" s="72">
        <v>877.73298695960329</v>
      </c>
      <c r="K231" s="115">
        <v>892.78638690734897</v>
      </c>
      <c r="L231" s="114">
        <v>831.44919241143998</v>
      </c>
      <c r="M231" s="72">
        <v>800.29272351994859</v>
      </c>
      <c r="N231" s="72">
        <v>727.92868593385083</v>
      </c>
      <c r="O231" s="115">
        <v>656.85624991961959</v>
      </c>
    </row>
    <row r="232" spans="1:15">
      <c r="A232" t="s">
        <v>203</v>
      </c>
      <c r="B232" t="s">
        <v>204</v>
      </c>
      <c r="C232" s="114">
        <f>IF(VLOOKUP(A232,'School Year 2021-22'!A:AN,'School Year 2021-22'!$R$1,FALSE)&gt;0,VLOOKUP(A232,'School Year 2021-22'!A:AN,'School Year 2021-22'!$U$1,FALSE)-VLOOKUP(A232,'School Year 2021-22'!A:AN,'School Year 2021-22'!$W$1,FALSE),0)+IF((VLOOKUP(A232,'School Year 2021-22'!A:AN,'School Year 2021-22'!$S$1,FALSE)+(VLOOKUP(A232,'School Year 2021-22'!A:AN,'School Year 2021-22'!$T$1,FALSE)))&gt;0,VLOOKUP(A232,'School Year 2021-22'!A:AN,'School Year 2021-22'!$V$1,FALSE)-VLOOKUP(A232,'School Year 2021-22'!A:AN,'School Year 2021-22'!$W$1,FALSE),0)</f>
        <v>962.64167882446782</v>
      </c>
      <c r="D232" s="72">
        <f t="shared" si="14"/>
        <v>962.64167882446782</v>
      </c>
      <c r="E232" s="72">
        <f t="shared" si="15"/>
        <v>962.64167882446782</v>
      </c>
      <c r="F232" s="72">
        <f t="shared" si="16"/>
        <v>962.64167882446782</v>
      </c>
      <c r="G232" s="115">
        <f t="shared" si="17"/>
        <v>962.64167882446782</v>
      </c>
      <c r="H232" s="114">
        <v>952.43799506516825</v>
      </c>
      <c r="I232" s="72">
        <v>986.27395888754472</v>
      </c>
      <c r="J232" s="72">
        <v>1004.6986447449126</v>
      </c>
      <c r="K232" s="115">
        <v>1022.4616566832483</v>
      </c>
      <c r="L232" s="114">
        <v>952.43799506516825</v>
      </c>
      <c r="M232" s="72">
        <v>915.43319193164098</v>
      </c>
      <c r="N232" s="72">
        <v>831.97642153575725</v>
      </c>
      <c r="O232" s="115">
        <v>749.96485144546386</v>
      </c>
    </row>
    <row r="233" spans="1:15">
      <c r="A233" t="s">
        <v>519</v>
      </c>
      <c r="B233" t="s">
        <v>520</v>
      </c>
      <c r="C233" s="114">
        <f>IF(VLOOKUP(A233,'School Year 2021-22'!A:AN,'School Year 2021-22'!$R$1,FALSE)&gt;0,VLOOKUP(A233,'School Year 2021-22'!A:AN,'School Year 2021-22'!$U$1,FALSE)-VLOOKUP(A233,'School Year 2021-22'!A:AN,'School Year 2021-22'!$W$1,FALSE),0)+IF((VLOOKUP(A233,'School Year 2021-22'!A:AN,'School Year 2021-22'!$S$1,FALSE)+(VLOOKUP(A233,'School Year 2021-22'!A:AN,'School Year 2021-22'!$T$1,FALSE)))&gt;0,VLOOKUP(A233,'School Year 2021-22'!A:AN,'School Year 2021-22'!$V$1,FALSE)-VLOOKUP(A233,'School Year 2021-22'!A:AN,'School Year 2021-22'!$W$1,FALSE),0)</f>
        <v>839.12144089388767</v>
      </c>
      <c r="D233" s="72">
        <f t="shared" si="14"/>
        <v>839.12144089388767</v>
      </c>
      <c r="E233" s="72">
        <f t="shared" si="15"/>
        <v>839.12144089388767</v>
      </c>
      <c r="F233" s="72">
        <f t="shared" si="16"/>
        <v>839.12144089388767</v>
      </c>
      <c r="G233" s="115">
        <f t="shared" si="17"/>
        <v>839.12144089388767</v>
      </c>
      <c r="H233" s="114">
        <v>831.44919241143998</v>
      </c>
      <c r="I233" s="72">
        <v>861.83828428673223</v>
      </c>
      <c r="J233" s="72">
        <v>877.73298695960329</v>
      </c>
      <c r="K233" s="115">
        <v>892.78638690734897</v>
      </c>
      <c r="L233" s="114">
        <v>831.44919241143998</v>
      </c>
      <c r="M233" s="72">
        <v>800.29272351994859</v>
      </c>
      <c r="N233" s="72">
        <v>727.92868593385083</v>
      </c>
      <c r="O233" s="115">
        <v>656.85624991961959</v>
      </c>
    </row>
    <row r="234" spans="1:15">
      <c r="A234" t="s">
        <v>263</v>
      </c>
      <c r="B234" t="s">
        <v>264</v>
      </c>
      <c r="C234" s="114">
        <f>IF(VLOOKUP(A234,'School Year 2021-22'!A:AN,'School Year 2021-22'!$R$1,FALSE)&gt;0,VLOOKUP(A234,'School Year 2021-22'!A:AN,'School Year 2021-22'!$U$1,FALSE)-VLOOKUP(A234,'School Year 2021-22'!A:AN,'School Year 2021-22'!$W$1,FALSE),0)+IF((VLOOKUP(A234,'School Year 2021-22'!A:AN,'School Year 2021-22'!$S$1,FALSE)+(VLOOKUP(A234,'School Year 2021-22'!A:AN,'School Year 2021-22'!$T$1,FALSE)))&gt;0,VLOOKUP(A234,'School Year 2021-22'!A:AN,'School Year 2021-22'!$V$1,FALSE)-VLOOKUP(A234,'School Year 2021-22'!A:AN,'School Year 2021-22'!$W$1,FALSE),0)</f>
        <v>0</v>
      </c>
      <c r="D234" s="72">
        <f t="shared" si="14"/>
        <v>0</v>
      </c>
      <c r="E234" s="72">
        <f t="shared" si="15"/>
        <v>0</v>
      </c>
      <c r="F234" s="72">
        <f t="shared" si="16"/>
        <v>0</v>
      </c>
      <c r="G234" s="115">
        <f t="shared" si="17"/>
        <v>0</v>
      </c>
      <c r="H234" s="114">
        <v>0</v>
      </c>
      <c r="I234" s="72">
        <v>0</v>
      </c>
      <c r="J234" s="72">
        <v>0</v>
      </c>
      <c r="K234" s="115">
        <v>0</v>
      </c>
      <c r="L234" s="114">
        <v>0</v>
      </c>
      <c r="M234" s="72">
        <v>0</v>
      </c>
      <c r="N234" s="72">
        <v>0</v>
      </c>
      <c r="O234" s="115">
        <v>0</v>
      </c>
    </row>
    <row r="235" spans="1:15">
      <c r="A235" t="s">
        <v>575</v>
      </c>
      <c r="B235" t="s">
        <v>576</v>
      </c>
      <c r="C235" s="114">
        <f>IF(VLOOKUP(A235,'School Year 2021-22'!A:AN,'School Year 2021-22'!$R$1,FALSE)&gt;0,VLOOKUP(A235,'School Year 2021-22'!A:AN,'School Year 2021-22'!$U$1,FALSE)-VLOOKUP(A235,'School Year 2021-22'!A:AN,'School Year 2021-22'!$W$1,FALSE),0)+IF((VLOOKUP(A235,'School Year 2021-22'!A:AN,'School Year 2021-22'!$S$1,FALSE)+(VLOOKUP(A235,'School Year 2021-22'!A:AN,'School Year 2021-22'!$T$1,FALSE)))&gt;0,VLOOKUP(A235,'School Year 2021-22'!A:AN,'School Year 2021-22'!$V$1,FALSE)-VLOOKUP(A235,'School Year 2021-22'!A:AN,'School Year 2021-22'!$W$1,FALSE),0)</f>
        <v>1030.7112509337576</v>
      </c>
      <c r="D235" s="72">
        <f t="shared" si="14"/>
        <v>1030.7112509337576</v>
      </c>
      <c r="E235" s="72">
        <f t="shared" si="15"/>
        <v>1030.7112509337576</v>
      </c>
      <c r="F235" s="72">
        <f t="shared" si="16"/>
        <v>1030.7112509337576</v>
      </c>
      <c r="G235" s="115">
        <f t="shared" si="17"/>
        <v>1030.7112509337576</v>
      </c>
      <c r="H235" s="114">
        <v>862.04304353640327</v>
      </c>
      <c r="I235" s="72">
        <v>893.28445406684841</v>
      </c>
      <c r="J235" s="72">
        <v>909.80500215221946</v>
      </c>
      <c r="K235" s="115">
        <v>925.52868253675024</v>
      </c>
      <c r="L235" s="114">
        <v>862.04304353640327</v>
      </c>
      <c r="M235" s="72">
        <v>829.83962665257786</v>
      </c>
      <c r="N235" s="72">
        <v>755.15663200327708</v>
      </c>
      <c r="O235" s="115">
        <v>681.80660469410941</v>
      </c>
    </row>
    <row r="236" spans="1:15">
      <c r="A236" t="s">
        <v>131</v>
      </c>
      <c r="B236" t="s">
        <v>132</v>
      </c>
      <c r="C236" s="114">
        <f>IF(VLOOKUP(A236,'School Year 2021-22'!A:AN,'School Year 2021-22'!$R$1,FALSE)&gt;0,VLOOKUP(A236,'School Year 2021-22'!A:AN,'School Year 2021-22'!$U$1,FALSE)-VLOOKUP(A236,'School Year 2021-22'!A:AN,'School Year 2021-22'!$W$1,FALSE),0)+IF((VLOOKUP(A236,'School Year 2021-22'!A:AN,'School Year 2021-22'!$S$1,FALSE)+(VLOOKUP(A236,'School Year 2021-22'!A:AN,'School Year 2021-22'!$T$1,FALSE)))&gt;0,VLOOKUP(A236,'School Year 2021-22'!A:AN,'School Year 2021-22'!$V$1,FALSE)-VLOOKUP(A236,'School Year 2021-22'!A:AN,'School Year 2021-22'!$W$1,FALSE),0)</f>
        <v>835.54670298608562</v>
      </c>
      <c r="D236" s="72">
        <f t="shared" si="14"/>
        <v>835.54670298608562</v>
      </c>
      <c r="E236" s="72">
        <f t="shared" si="15"/>
        <v>835.54670298608562</v>
      </c>
      <c r="F236" s="72">
        <f t="shared" si="16"/>
        <v>835.54670298608562</v>
      </c>
      <c r="G236" s="115">
        <f t="shared" si="17"/>
        <v>835.54670298608562</v>
      </c>
      <c r="H236" s="114">
        <v>831.44919241143998</v>
      </c>
      <c r="I236" s="72">
        <v>861.83828428673223</v>
      </c>
      <c r="J236" s="72">
        <v>877.73298695960329</v>
      </c>
      <c r="K236" s="115">
        <v>892.78638690734897</v>
      </c>
      <c r="L236" s="114">
        <v>831.44919241143998</v>
      </c>
      <c r="M236" s="72">
        <v>800.29272351994859</v>
      </c>
      <c r="N236" s="72">
        <v>727.92868593385083</v>
      </c>
      <c r="O236" s="115">
        <v>656.85624991961959</v>
      </c>
    </row>
    <row r="237" spans="1:15">
      <c r="A237" t="s">
        <v>399</v>
      </c>
      <c r="B237" t="s">
        <v>400</v>
      </c>
      <c r="C237" s="114">
        <f>IF(VLOOKUP(A237,'School Year 2021-22'!A:AN,'School Year 2021-22'!$R$1,FALSE)&gt;0,VLOOKUP(A237,'School Year 2021-22'!A:AN,'School Year 2021-22'!$U$1,FALSE)-VLOOKUP(A237,'School Year 2021-22'!A:AN,'School Year 2021-22'!$W$1,FALSE),0)+IF((VLOOKUP(A237,'School Year 2021-22'!A:AN,'School Year 2021-22'!$S$1,FALSE)+(VLOOKUP(A237,'School Year 2021-22'!A:AN,'School Year 2021-22'!$T$1,FALSE)))&gt;0,VLOOKUP(A237,'School Year 2021-22'!A:AN,'School Year 2021-22'!$V$1,FALSE)-VLOOKUP(A237,'School Year 2021-22'!A:AN,'School Year 2021-22'!$W$1,FALSE),0)</f>
        <v>923.51894889305549</v>
      </c>
      <c r="D237" s="72">
        <f t="shared" si="14"/>
        <v>923.51894889305549</v>
      </c>
      <c r="E237" s="72">
        <f t="shared" si="15"/>
        <v>923.51894889305549</v>
      </c>
      <c r="F237" s="72">
        <f t="shared" si="16"/>
        <v>923.51894889305549</v>
      </c>
      <c r="G237" s="115">
        <f t="shared" si="17"/>
        <v>923.51894889305549</v>
      </c>
      <c r="H237" s="114">
        <v>912.10839418059186</v>
      </c>
      <c r="I237" s="72">
        <v>944.79540068727511</v>
      </c>
      <c r="J237" s="72">
        <v>962.37675881647738</v>
      </c>
      <c r="K237" s="115">
        <v>979.23656675794882</v>
      </c>
      <c r="L237" s="114">
        <v>912.10839418059186</v>
      </c>
      <c r="M237" s="72">
        <v>877.05303579440988</v>
      </c>
      <c r="N237" s="72">
        <v>797.29384300178936</v>
      </c>
      <c r="O237" s="115">
        <v>718.9286509368485</v>
      </c>
    </row>
    <row r="238" spans="1:15">
      <c r="A238" t="s">
        <v>159</v>
      </c>
      <c r="B238" t="s">
        <v>160</v>
      </c>
      <c r="C238" s="114">
        <f>IF(VLOOKUP(A238,'School Year 2021-22'!A:AN,'School Year 2021-22'!$R$1,FALSE)&gt;0,VLOOKUP(A238,'School Year 2021-22'!A:AN,'School Year 2021-22'!$U$1,FALSE)-VLOOKUP(A238,'School Year 2021-22'!A:AN,'School Year 2021-22'!$W$1,FALSE),0)+IF((VLOOKUP(A238,'School Year 2021-22'!A:AN,'School Year 2021-22'!$S$1,FALSE)+(VLOOKUP(A238,'School Year 2021-22'!A:AN,'School Year 2021-22'!$T$1,FALSE)))&gt;0,VLOOKUP(A238,'School Year 2021-22'!A:AN,'School Year 2021-22'!$V$1,FALSE)-VLOOKUP(A238,'School Year 2021-22'!A:AN,'School Year 2021-22'!$W$1,FALSE),0)</f>
        <v>0</v>
      </c>
      <c r="D238" s="72">
        <f t="shared" si="14"/>
        <v>0</v>
      </c>
      <c r="E238" s="72">
        <f t="shared" si="15"/>
        <v>0</v>
      </c>
      <c r="F238" s="72">
        <f t="shared" si="16"/>
        <v>0</v>
      </c>
      <c r="G238" s="115">
        <f t="shared" si="17"/>
        <v>0</v>
      </c>
      <c r="H238" s="114">
        <v>0</v>
      </c>
      <c r="I238" s="72">
        <v>0</v>
      </c>
      <c r="J238" s="72">
        <v>0</v>
      </c>
      <c r="K238" s="115">
        <v>0</v>
      </c>
      <c r="L238" s="114">
        <v>0</v>
      </c>
      <c r="M238" s="72">
        <v>0</v>
      </c>
      <c r="N238" s="72">
        <v>0</v>
      </c>
      <c r="O238" s="115">
        <v>0</v>
      </c>
    </row>
    <row r="239" spans="1:15">
      <c r="A239" t="s">
        <v>183</v>
      </c>
      <c r="B239" t="s">
        <v>184</v>
      </c>
      <c r="C239" s="114">
        <f>IF(VLOOKUP(A239,'School Year 2021-22'!A:AN,'School Year 2021-22'!$R$1,FALSE)&gt;0,VLOOKUP(A239,'School Year 2021-22'!A:AN,'School Year 2021-22'!$U$1,FALSE)-VLOOKUP(A239,'School Year 2021-22'!A:AN,'School Year 2021-22'!$W$1,FALSE),0)+IF((VLOOKUP(A239,'School Year 2021-22'!A:AN,'School Year 2021-22'!$S$1,FALSE)+(VLOOKUP(A239,'School Year 2021-22'!A:AN,'School Year 2021-22'!$T$1,FALSE)))&gt;0,VLOOKUP(A239,'School Year 2021-22'!A:AN,'School Year 2021-22'!$V$1,FALSE)-VLOOKUP(A239,'School Year 2021-22'!A:AN,'School Year 2021-22'!$W$1,FALSE),0)</f>
        <v>3983.2463088999903</v>
      </c>
      <c r="D239" s="72">
        <f t="shared" si="14"/>
        <v>3983.2463088999903</v>
      </c>
      <c r="E239" s="72">
        <f t="shared" si="15"/>
        <v>3983.2463088999903</v>
      </c>
      <c r="F239" s="72">
        <f t="shared" si="16"/>
        <v>3983.2463088999903</v>
      </c>
      <c r="G239" s="115">
        <f t="shared" si="17"/>
        <v>3983.2463088999903</v>
      </c>
      <c r="H239" s="114">
        <v>3158.4201404148171</v>
      </c>
      <c r="I239" s="72">
        <v>3271.7147029627758</v>
      </c>
      <c r="J239" s="72">
        <v>3333.7074539230234</v>
      </c>
      <c r="K239" s="115">
        <v>3393.5933384239397</v>
      </c>
      <c r="L239" s="114">
        <v>3158.4201404148171</v>
      </c>
      <c r="M239" s="72">
        <v>3164.389764429181</v>
      </c>
      <c r="N239" s="72">
        <v>3022.0324579930402</v>
      </c>
      <c r="O239" s="115">
        <v>2884.2796481101523</v>
      </c>
    </row>
    <row r="240" spans="1:15">
      <c r="A240" t="s">
        <v>405</v>
      </c>
      <c r="B240" t="s">
        <v>406</v>
      </c>
      <c r="C240" s="114">
        <f>IF(VLOOKUP(A240,'School Year 2021-22'!A:AN,'School Year 2021-22'!$R$1,FALSE)&gt;0,VLOOKUP(A240,'School Year 2021-22'!A:AN,'School Year 2021-22'!$U$1,FALSE)-VLOOKUP(A240,'School Year 2021-22'!A:AN,'School Year 2021-22'!$W$1,FALSE),0)+IF((VLOOKUP(A240,'School Year 2021-22'!A:AN,'School Year 2021-22'!$S$1,FALSE)+(VLOOKUP(A240,'School Year 2021-22'!A:AN,'School Year 2021-22'!$T$1,FALSE)))&gt;0,VLOOKUP(A240,'School Year 2021-22'!A:AN,'School Year 2021-22'!$V$1,FALSE)-VLOOKUP(A240,'School Year 2021-22'!A:AN,'School Year 2021-22'!$W$1,FALSE),0)</f>
        <v>922.74372645152835</v>
      </c>
      <c r="D240" s="72">
        <f t="shared" si="14"/>
        <v>922.74372645152835</v>
      </c>
      <c r="E240" s="72">
        <f t="shared" si="15"/>
        <v>922.74372645152835</v>
      </c>
      <c r="F240" s="72">
        <f t="shared" si="16"/>
        <v>922.74372645152835</v>
      </c>
      <c r="G240" s="115">
        <f t="shared" si="17"/>
        <v>922.74372645152835</v>
      </c>
      <c r="H240" s="114">
        <v>912.10839418059186</v>
      </c>
      <c r="I240" s="72">
        <v>944.79540068727511</v>
      </c>
      <c r="J240" s="72">
        <v>962.37675881647738</v>
      </c>
      <c r="K240" s="115">
        <v>979.23656675794882</v>
      </c>
      <c r="L240" s="114">
        <v>912.10839418059186</v>
      </c>
      <c r="M240" s="72">
        <v>877.05303579440988</v>
      </c>
      <c r="N240" s="72">
        <v>797.29384300178936</v>
      </c>
      <c r="O240" s="115">
        <v>718.9286509368485</v>
      </c>
    </row>
    <row r="241" spans="1:15">
      <c r="A241" t="s">
        <v>589</v>
      </c>
      <c r="B241" t="s">
        <v>590</v>
      </c>
      <c r="C241" s="114">
        <f>IF(VLOOKUP(A241,'School Year 2021-22'!A:AN,'School Year 2021-22'!$R$1,FALSE)&gt;0,VLOOKUP(A241,'School Year 2021-22'!A:AN,'School Year 2021-22'!$U$1,FALSE)-VLOOKUP(A241,'School Year 2021-22'!A:AN,'School Year 2021-22'!$W$1,FALSE),0)+IF((VLOOKUP(A241,'School Year 2021-22'!A:AN,'School Year 2021-22'!$S$1,FALSE)+(VLOOKUP(A241,'School Year 2021-22'!A:AN,'School Year 2021-22'!$T$1,FALSE)))&gt;0,VLOOKUP(A241,'School Year 2021-22'!A:AN,'School Year 2021-22'!$V$1,FALSE)-VLOOKUP(A241,'School Year 2021-22'!A:AN,'School Year 2021-22'!$W$1,FALSE),0)</f>
        <v>838.4682078551532</v>
      </c>
      <c r="D241" s="72">
        <f t="shared" si="14"/>
        <v>838.4682078551532</v>
      </c>
      <c r="E241" s="72">
        <f t="shared" si="15"/>
        <v>838.4682078551532</v>
      </c>
      <c r="F241" s="72">
        <f t="shared" si="16"/>
        <v>838.4682078551532</v>
      </c>
      <c r="G241" s="115">
        <f t="shared" si="17"/>
        <v>838.4682078551532</v>
      </c>
      <c r="H241" s="114">
        <v>831.44919241143998</v>
      </c>
      <c r="I241" s="72">
        <v>861.83828428673223</v>
      </c>
      <c r="J241" s="72">
        <v>877.73298695960329</v>
      </c>
      <c r="K241" s="115">
        <v>892.78638690734897</v>
      </c>
      <c r="L241" s="114">
        <v>831.44919241143998</v>
      </c>
      <c r="M241" s="72">
        <v>800.29272351994859</v>
      </c>
      <c r="N241" s="72">
        <v>727.92868593385083</v>
      </c>
      <c r="O241" s="115">
        <v>656.85624991961959</v>
      </c>
    </row>
    <row r="242" spans="1:15">
      <c r="A242" t="s">
        <v>359</v>
      </c>
      <c r="B242" t="s">
        <v>360</v>
      </c>
      <c r="C242" s="114">
        <f>IF(VLOOKUP(A242,'School Year 2021-22'!A:AN,'School Year 2021-22'!$R$1,FALSE)&gt;0,VLOOKUP(A242,'School Year 2021-22'!A:AN,'School Year 2021-22'!$U$1,FALSE)-VLOOKUP(A242,'School Year 2021-22'!A:AN,'School Year 2021-22'!$W$1,FALSE),0)+IF((VLOOKUP(A242,'School Year 2021-22'!A:AN,'School Year 2021-22'!$S$1,FALSE)+(VLOOKUP(A242,'School Year 2021-22'!A:AN,'School Year 2021-22'!$T$1,FALSE)))&gt;0,VLOOKUP(A242,'School Year 2021-22'!A:AN,'School Year 2021-22'!$V$1,FALSE)-VLOOKUP(A242,'School Year 2021-22'!A:AN,'School Year 2021-22'!$W$1,FALSE),0)</f>
        <v>840.4677727672979</v>
      </c>
      <c r="D242" s="72">
        <f t="shared" si="14"/>
        <v>840.4677727672979</v>
      </c>
      <c r="E242" s="72">
        <f t="shared" si="15"/>
        <v>840.4677727672979</v>
      </c>
      <c r="F242" s="72">
        <f t="shared" si="16"/>
        <v>840.4677727672979</v>
      </c>
      <c r="G242" s="115">
        <f t="shared" si="17"/>
        <v>840.4677727672979</v>
      </c>
      <c r="H242" s="114">
        <v>831.44919241143998</v>
      </c>
      <c r="I242" s="72">
        <v>861.83828428673223</v>
      </c>
      <c r="J242" s="72">
        <v>877.73298695960329</v>
      </c>
      <c r="K242" s="115">
        <v>892.78638690734897</v>
      </c>
      <c r="L242" s="114">
        <v>831.44919241143998</v>
      </c>
      <c r="M242" s="72">
        <v>800.29272351994859</v>
      </c>
      <c r="N242" s="72">
        <v>727.92868593385083</v>
      </c>
      <c r="O242" s="115">
        <v>656.85624991961959</v>
      </c>
    </row>
    <row r="243" spans="1:15">
      <c r="A243" t="s">
        <v>47</v>
      </c>
      <c r="B243" t="s">
        <v>48</v>
      </c>
      <c r="C243" s="114">
        <f>IF(VLOOKUP(A243,'School Year 2021-22'!A:AN,'School Year 2021-22'!$R$1,FALSE)&gt;0,VLOOKUP(A243,'School Year 2021-22'!A:AN,'School Year 2021-22'!$U$1,FALSE)-VLOOKUP(A243,'School Year 2021-22'!A:AN,'School Year 2021-22'!$W$1,FALSE),0)+IF((VLOOKUP(A243,'School Year 2021-22'!A:AN,'School Year 2021-22'!$S$1,FALSE)+(VLOOKUP(A243,'School Year 2021-22'!A:AN,'School Year 2021-22'!$T$1,FALSE)))&gt;0,VLOOKUP(A243,'School Year 2021-22'!A:AN,'School Year 2021-22'!$V$1,FALSE)-VLOOKUP(A243,'School Year 2021-22'!A:AN,'School Year 2021-22'!$W$1,FALSE),0)</f>
        <v>992.03141414852325</v>
      </c>
      <c r="D243" s="72">
        <f t="shared" si="14"/>
        <v>992.03141414852325</v>
      </c>
      <c r="E243" s="72">
        <f t="shared" si="15"/>
        <v>992.03141414852325</v>
      </c>
      <c r="F243" s="72">
        <f t="shared" si="16"/>
        <v>992.03141414852325</v>
      </c>
      <c r="G243" s="115">
        <f t="shared" si="17"/>
        <v>992.03141414852325</v>
      </c>
      <c r="H243" s="114">
        <v>871.77879329601546</v>
      </c>
      <c r="I243" s="72">
        <v>903.31684248700276</v>
      </c>
      <c r="J243" s="72">
        <v>920.05487288803943</v>
      </c>
      <c r="K243" s="115">
        <v>936.01147683264753</v>
      </c>
      <c r="L243" s="114">
        <v>871.77879329601546</v>
      </c>
      <c r="M243" s="72">
        <v>838.67287965718151</v>
      </c>
      <c r="N243" s="72">
        <v>762.61126446782146</v>
      </c>
      <c r="O243" s="115">
        <v>687.89245042823313</v>
      </c>
    </row>
    <row r="244" spans="1:15">
      <c r="A244" t="s">
        <v>393</v>
      </c>
      <c r="B244" t="s">
        <v>394</v>
      </c>
      <c r="C244" s="114">
        <f>IF(VLOOKUP(A244,'School Year 2021-22'!A:AN,'School Year 2021-22'!$R$1,FALSE)&gt;0,VLOOKUP(A244,'School Year 2021-22'!A:AN,'School Year 2021-22'!$U$1,FALSE)-VLOOKUP(A244,'School Year 2021-22'!A:AN,'School Year 2021-22'!$W$1,FALSE),0)+IF((VLOOKUP(A244,'School Year 2021-22'!A:AN,'School Year 2021-22'!$S$1,FALSE)+(VLOOKUP(A244,'School Year 2021-22'!A:AN,'School Year 2021-22'!$T$1,FALSE)))&gt;0,VLOOKUP(A244,'School Year 2021-22'!A:AN,'School Year 2021-22'!$V$1,FALSE)-VLOOKUP(A244,'School Year 2021-22'!A:AN,'School Year 2021-22'!$W$1,FALSE),0)</f>
        <v>0</v>
      </c>
      <c r="D244" s="72">
        <f t="shared" si="14"/>
        <v>0</v>
      </c>
      <c r="E244" s="72">
        <f t="shared" si="15"/>
        <v>0</v>
      </c>
      <c r="F244" s="72">
        <f t="shared" si="16"/>
        <v>0</v>
      </c>
      <c r="G244" s="115">
        <f t="shared" si="17"/>
        <v>0</v>
      </c>
      <c r="H244" s="114">
        <v>0</v>
      </c>
      <c r="I244" s="72">
        <v>0</v>
      </c>
      <c r="J244" s="72">
        <v>0</v>
      </c>
      <c r="K244" s="115">
        <v>0</v>
      </c>
      <c r="L244" s="114">
        <v>0</v>
      </c>
      <c r="M244" s="72">
        <v>0</v>
      </c>
      <c r="N244" s="72">
        <v>0</v>
      </c>
      <c r="O244" s="115">
        <v>0</v>
      </c>
    </row>
    <row r="245" spans="1:15">
      <c r="A245" t="s">
        <v>317</v>
      </c>
      <c r="B245" t="s">
        <v>318</v>
      </c>
      <c r="C245" s="114">
        <f>IF(VLOOKUP(A245,'School Year 2021-22'!A:AN,'School Year 2021-22'!$R$1,FALSE)&gt;0,VLOOKUP(A245,'School Year 2021-22'!A:AN,'School Year 2021-22'!$U$1,FALSE)-VLOOKUP(A245,'School Year 2021-22'!A:AN,'School Year 2021-22'!$W$1,FALSE),0)+IF((VLOOKUP(A245,'School Year 2021-22'!A:AN,'School Year 2021-22'!$S$1,FALSE)+(VLOOKUP(A245,'School Year 2021-22'!A:AN,'School Year 2021-22'!$T$1,FALSE)))&gt;0,VLOOKUP(A245,'School Year 2021-22'!A:AN,'School Year 2021-22'!$V$1,FALSE)-VLOOKUP(A245,'School Year 2021-22'!A:AN,'School Year 2021-22'!$W$1,FALSE),0)</f>
        <v>837.46771376007291</v>
      </c>
      <c r="D245" s="72">
        <f t="shared" si="14"/>
        <v>837.46771376007291</v>
      </c>
      <c r="E245" s="72">
        <f t="shared" si="15"/>
        <v>837.46771376007291</v>
      </c>
      <c r="F245" s="72">
        <f t="shared" si="16"/>
        <v>837.46771376007291</v>
      </c>
      <c r="G245" s="115">
        <f t="shared" si="17"/>
        <v>837.46771376007291</v>
      </c>
      <c r="H245" s="114">
        <v>831.44919241143998</v>
      </c>
      <c r="I245" s="72">
        <v>861.83828428673223</v>
      </c>
      <c r="J245" s="72">
        <v>877.73298695960329</v>
      </c>
      <c r="K245" s="115">
        <v>892.78638690734897</v>
      </c>
      <c r="L245" s="114">
        <v>831.44919241143998</v>
      </c>
      <c r="M245" s="72">
        <v>800.29272351994859</v>
      </c>
      <c r="N245" s="72">
        <v>727.92868593385083</v>
      </c>
      <c r="O245" s="115">
        <v>656.85624991961959</v>
      </c>
    </row>
    <row r="246" spans="1:15">
      <c r="A246" t="s">
        <v>213</v>
      </c>
      <c r="B246" t="s">
        <v>214</v>
      </c>
      <c r="C246" s="114">
        <f>IF(VLOOKUP(A246,'School Year 2021-22'!A:AN,'School Year 2021-22'!$R$1,FALSE)&gt;0,VLOOKUP(A246,'School Year 2021-22'!A:AN,'School Year 2021-22'!$U$1,FALSE)-VLOOKUP(A246,'School Year 2021-22'!A:AN,'School Year 2021-22'!$W$1,FALSE),0)+IF((VLOOKUP(A246,'School Year 2021-22'!A:AN,'School Year 2021-22'!$S$1,FALSE)+(VLOOKUP(A246,'School Year 2021-22'!A:AN,'School Year 2021-22'!$T$1,FALSE)))&gt;0,VLOOKUP(A246,'School Year 2021-22'!A:AN,'School Year 2021-22'!$V$1,FALSE)-VLOOKUP(A246,'School Year 2021-22'!A:AN,'School Year 2021-22'!$W$1,FALSE),0)</f>
        <v>1089.343137119582</v>
      </c>
      <c r="D246" s="72">
        <f t="shared" si="14"/>
        <v>1089.343137119582</v>
      </c>
      <c r="E246" s="72">
        <f t="shared" si="15"/>
        <v>1089.343137119582</v>
      </c>
      <c r="F246" s="72">
        <f t="shared" si="16"/>
        <v>1089.343137119582</v>
      </c>
      <c r="G246" s="115">
        <f t="shared" si="17"/>
        <v>1089.343137119582</v>
      </c>
      <c r="H246" s="114">
        <v>965.88119536002887</v>
      </c>
      <c r="I246" s="72">
        <v>986.27395888754472</v>
      </c>
      <c r="J246" s="72">
        <v>1004.6986447449126</v>
      </c>
      <c r="K246" s="115">
        <v>1022.4616566832483</v>
      </c>
      <c r="L246" s="114">
        <v>965.88119536002887</v>
      </c>
      <c r="M246" s="72">
        <v>915.43319193164098</v>
      </c>
      <c r="N246" s="72">
        <v>831.97642153575725</v>
      </c>
      <c r="O246" s="115">
        <v>749.96485144546386</v>
      </c>
    </row>
    <row r="247" spans="1:15">
      <c r="A247" t="s">
        <v>415</v>
      </c>
      <c r="B247" t="s">
        <v>416</v>
      </c>
      <c r="C247" s="114">
        <f>IF(VLOOKUP(A247,'School Year 2021-22'!A:AN,'School Year 2021-22'!$R$1,FALSE)&gt;0,VLOOKUP(A247,'School Year 2021-22'!A:AN,'School Year 2021-22'!$U$1,FALSE)-VLOOKUP(A247,'School Year 2021-22'!A:AN,'School Year 2021-22'!$W$1,FALSE),0)+IF((VLOOKUP(A247,'School Year 2021-22'!A:AN,'School Year 2021-22'!$S$1,FALSE)+(VLOOKUP(A247,'School Year 2021-22'!A:AN,'School Year 2021-22'!$T$1,FALSE)))&gt;0,VLOOKUP(A247,'School Year 2021-22'!A:AN,'School Year 2021-22'!$V$1,FALSE)-VLOOKUP(A247,'School Year 2021-22'!A:AN,'School Year 2021-22'!$W$1,FALSE),0)</f>
        <v>0</v>
      </c>
      <c r="D247" s="72">
        <f t="shared" si="14"/>
        <v>0</v>
      </c>
      <c r="E247" s="72">
        <f t="shared" si="15"/>
        <v>0</v>
      </c>
      <c r="F247" s="72">
        <f t="shared" si="16"/>
        <v>0</v>
      </c>
      <c r="G247" s="115">
        <f t="shared" si="17"/>
        <v>0</v>
      </c>
      <c r="H247" s="114">
        <v>0</v>
      </c>
      <c r="I247" s="72">
        <v>0</v>
      </c>
      <c r="J247" s="72">
        <v>0</v>
      </c>
      <c r="K247" s="115">
        <v>0</v>
      </c>
      <c r="L247" s="114">
        <v>0</v>
      </c>
      <c r="M247" s="72">
        <v>0</v>
      </c>
      <c r="N247" s="72">
        <v>0</v>
      </c>
      <c r="O247" s="115">
        <v>0</v>
      </c>
    </row>
    <row r="248" spans="1:15">
      <c r="A248" t="s">
        <v>197</v>
      </c>
      <c r="B248" t="s">
        <v>198</v>
      </c>
      <c r="C248" s="114">
        <f>IF(VLOOKUP(A248,'School Year 2021-22'!A:AN,'School Year 2021-22'!$R$1,FALSE)&gt;0,VLOOKUP(A248,'School Year 2021-22'!A:AN,'School Year 2021-22'!$U$1,FALSE)-VLOOKUP(A248,'School Year 2021-22'!A:AN,'School Year 2021-22'!$W$1,FALSE),0)+IF((VLOOKUP(A248,'School Year 2021-22'!A:AN,'School Year 2021-22'!$S$1,FALSE)+(VLOOKUP(A248,'School Year 2021-22'!A:AN,'School Year 2021-22'!$T$1,FALSE)))&gt;0,VLOOKUP(A248,'School Year 2021-22'!A:AN,'School Year 2021-22'!$V$1,FALSE)-VLOOKUP(A248,'School Year 2021-22'!A:AN,'School Year 2021-22'!$W$1,FALSE),0)</f>
        <v>0</v>
      </c>
      <c r="D248" s="72">
        <f t="shared" si="14"/>
        <v>0</v>
      </c>
      <c r="E248" s="72">
        <f t="shared" si="15"/>
        <v>0</v>
      </c>
      <c r="F248" s="72">
        <f t="shared" si="16"/>
        <v>0</v>
      </c>
      <c r="G248" s="115">
        <f t="shared" si="17"/>
        <v>0</v>
      </c>
      <c r="H248" s="114">
        <v>0</v>
      </c>
      <c r="I248" s="72">
        <v>0</v>
      </c>
      <c r="J248" s="72">
        <v>0</v>
      </c>
      <c r="K248" s="115">
        <v>0</v>
      </c>
      <c r="L248" s="114">
        <v>0</v>
      </c>
      <c r="M248" s="72">
        <v>0</v>
      </c>
      <c r="N248" s="72">
        <v>0</v>
      </c>
      <c r="O248" s="115">
        <v>0</v>
      </c>
    </row>
    <row r="249" spans="1:15">
      <c r="A249" t="s">
        <v>439</v>
      </c>
      <c r="B249" t="s">
        <v>440</v>
      </c>
      <c r="C249" s="114">
        <f>IF(VLOOKUP(A249,'School Year 2021-22'!A:AN,'School Year 2021-22'!$R$1,FALSE)&gt;0,VLOOKUP(A249,'School Year 2021-22'!A:AN,'School Year 2021-22'!$U$1,FALSE)-VLOOKUP(A249,'School Year 2021-22'!A:AN,'School Year 2021-22'!$W$1,FALSE),0)+IF((VLOOKUP(A249,'School Year 2021-22'!A:AN,'School Year 2021-22'!$S$1,FALSE)+(VLOOKUP(A249,'School Year 2021-22'!A:AN,'School Year 2021-22'!$T$1,FALSE)))&gt;0,VLOOKUP(A249,'School Year 2021-22'!A:AN,'School Year 2021-22'!$V$1,FALSE)-VLOOKUP(A249,'School Year 2021-22'!A:AN,'School Year 2021-22'!$W$1,FALSE),0)</f>
        <v>1423.6887783478851</v>
      </c>
      <c r="D249" s="72">
        <f t="shared" si="14"/>
        <v>1423.6887783478851</v>
      </c>
      <c r="E249" s="72">
        <f t="shared" si="15"/>
        <v>1423.6887783478851</v>
      </c>
      <c r="F249" s="72">
        <f t="shared" si="16"/>
        <v>1423.6887783478851</v>
      </c>
      <c r="G249" s="115">
        <f t="shared" si="17"/>
        <v>1423.6887783478851</v>
      </c>
      <c r="H249" s="114">
        <v>965.88119536002887</v>
      </c>
      <c r="I249" s="72">
        <v>986.27395888754472</v>
      </c>
      <c r="J249" s="72">
        <v>1004.6986447449126</v>
      </c>
      <c r="K249" s="115">
        <v>1022.4616566832483</v>
      </c>
      <c r="L249" s="114">
        <v>965.88119536002887</v>
      </c>
      <c r="M249" s="72">
        <v>915.43319193164098</v>
      </c>
      <c r="N249" s="72">
        <v>831.97642153575725</v>
      </c>
      <c r="O249" s="115">
        <v>749.96485144546386</v>
      </c>
    </row>
    <row r="250" spans="1:15">
      <c r="A250" t="s">
        <v>209</v>
      </c>
      <c r="B250" t="s">
        <v>210</v>
      </c>
      <c r="C250" s="114">
        <f>IF(VLOOKUP(A250,'School Year 2021-22'!A:AN,'School Year 2021-22'!$R$1,FALSE)&gt;0,VLOOKUP(A250,'School Year 2021-22'!A:AN,'School Year 2021-22'!$U$1,FALSE)-VLOOKUP(A250,'School Year 2021-22'!A:AN,'School Year 2021-22'!$W$1,FALSE),0)+IF((VLOOKUP(A250,'School Year 2021-22'!A:AN,'School Year 2021-22'!$S$1,FALSE)+(VLOOKUP(A250,'School Year 2021-22'!A:AN,'School Year 2021-22'!$T$1,FALSE)))&gt;0,VLOOKUP(A250,'School Year 2021-22'!A:AN,'School Year 2021-22'!$V$1,FALSE)-VLOOKUP(A250,'School Year 2021-22'!A:AN,'School Year 2021-22'!$W$1,FALSE),0)</f>
        <v>1075.0875740118117</v>
      </c>
      <c r="D250" s="72">
        <f t="shared" si="14"/>
        <v>1075.0875740118117</v>
      </c>
      <c r="E250" s="72">
        <f t="shared" si="15"/>
        <v>1075.0875740118117</v>
      </c>
      <c r="F250" s="72">
        <f t="shared" si="16"/>
        <v>1075.0875740118117</v>
      </c>
      <c r="G250" s="115">
        <f t="shared" si="17"/>
        <v>1075.0875740118117</v>
      </c>
      <c r="H250" s="114">
        <v>952.43799506516825</v>
      </c>
      <c r="I250" s="72">
        <v>986.27395888754472</v>
      </c>
      <c r="J250" s="72">
        <v>1004.6986447449126</v>
      </c>
      <c r="K250" s="115">
        <v>1022.4616566832483</v>
      </c>
      <c r="L250" s="114">
        <v>952.43799506516825</v>
      </c>
      <c r="M250" s="72">
        <v>915.43319193164098</v>
      </c>
      <c r="N250" s="72">
        <v>831.97642153575725</v>
      </c>
      <c r="O250" s="115">
        <v>749.96485144546386</v>
      </c>
    </row>
    <row r="251" spans="1:15">
      <c r="A251" t="s">
        <v>129</v>
      </c>
      <c r="B251" t="s">
        <v>130</v>
      </c>
      <c r="C251" s="114">
        <f>IF(VLOOKUP(A251,'School Year 2021-22'!A:AN,'School Year 2021-22'!$R$1,FALSE)&gt;0,VLOOKUP(A251,'School Year 2021-22'!A:AN,'School Year 2021-22'!$U$1,FALSE)-VLOOKUP(A251,'School Year 2021-22'!A:AN,'School Year 2021-22'!$W$1,FALSE),0)+IF((VLOOKUP(A251,'School Year 2021-22'!A:AN,'School Year 2021-22'!$S$1,FALSE)+(VLOOKUP(A251,'School Year 2021-22'!A:AN,'School Year 2021-22'!$T$1,FALSE)))&gt;0,VLOOKUP(A251,'School Year 2021-22'!A:AN,'School Year 2021-22'!$V$1,FALSE)-VLOOKUP(A251,'School Year 2021-22'!A:AN,'School Year 2021-22'!$W$1,FALSE),0)</f>
        <v>842.18489572043745</v>
      </c>
      <c r="D251" s="72">
        <f t="shared" si="14"/>
        <v>842.18489572043745</v>
      </c>
      <c r="E251" s="72">
        <f t="shared" si="15"/>
        <v>842.18489572043745</v>
      </c>
      <c r="F251" s="72">
        <f t="shared" si="16"/>
        <v>842.18489572043745</v>
      </c>
      <c r="G251" s="115">
        <f t="shared" si="17"/>
        <v>842.18489572043745</v>
      </c>
      <c r="H251" s="114">
        <v>831.44919241143998</v>
      </c>
      <c r="I251" s="72">
        <v>861.83828428673223</v>
      </c>
      <c r="J251" s="72">
        <v>877.73298695960329</v>
      </c>
      <c r="K251" s="115">
        <v>892.78638690734897</v>
      </c>
      <c r="L251" s="114">
        <v>831.44919241143998</v>
      </c>
      <c r="M251" s="72">
        <v>800.29272351994859</v>
      </c>
      <c r="N251" s="72">
        <v>727.92868593385083</v>
      </c>
      <c r="O251" s="115">
        <v>656.85624991961959</v>
      </c>
    </row>
    <row r="252" spans="1:15">
      <c r="A252" t="s">
        <v>347</v>
      </c>
      <c r="B252" t="s">
        <v>348</v>
      </c>
      <c r="C252" s="114">
        <f>IF(VLOOKUP(A252,'School Year 2021-22'!A:AN,'School Year 2021-22'!$R$1,FALSE)&gt;0,VLOOKUP(A252,'School Year 2021-22'!A:AN,'School Year 2021-22'!$U$1,FALSE)-VLOOKUP(A252,'School Year 2021-22'!A:AN,'School Year 2021-22'!$W$1,FALSE),0)+IF((VLOOKUP(A252,'School Year 2021-22'!A:AN,'School Year 2021-22'!$S$1,FALSE)+(VLOOKUP(A252,'School Year 2021-22'!A:AN,'School Year 2021-22'!$T$1,FALSE)))&gt;0,VLOOKUP(A252,'School Year 2021-22'!A:AN,'School Year 2021-22'!$V$1,FALSE)-VLOOKUP(A252,'School Year 2021-22'!A:AN,'School Year 2021-22'!$W$1,FALSE),0)</f>
        <v>839.09228435341447</v>
      </c>
      <c r="D252" s="72">
        <f t="shared" si="14"/>
        <v>839.09228435341447</v>
      </c>
      <c r="E252" s="72">
        <f t="shared" si="15"/>
        <v>839.09228435341447</v>
      </c>
      <c r="F252" s="72">
        <f t="shared" si="16"/>
        <v>839.09228435341447</v>
      </c>
      <c r="G252" s="115">
        <f t="shared" si="17"/>
        <v>839.09228435341447</v>
      </c>
      <c r="H252" s="114">
        <v>831.44919241143998</v>
      </c>
      <c r="I252" s="72">
        <v>861.83828428673223</v>
      </c>
      <c r="J252" s="72">
        <v>877.73298695960329</v>
      </c>
      <c r="K252" s="115">
        <v>892.78638690734897</v>
      </c>
      <c r="L252" s="114">
        <v>831.44919241143998</v>
      </c>
      <c r="M252" s="72">
        <v>800.29272351994859</v>
      </c>
      <c r="N252" s="72">
        <v>727.92868593385083</v>
      </c>
      <c r="O252" s="115">
        <v>656.85624991961959</v>
      </c>
    </row>
    <row r="253" spans="1:15">
      <c r="A253" t="s">
        <v>235</v>
      </c>
      <c r="B253" t="s">
        <v>236</v>
      </c>
      <c r="C253" s="114">
        <f>IF(VLOOKUP(A253,'School Year 2021-22'!A:AN,'School Year 2021-22'!$R$1,FALSE)&gt;0,VLOOKUP(A253,'School Year 2021-22'!A:AN,'School Year 2021-22'!$U$1,FALSE)-VLOOKUP(A253,'School Year 2021-22'!A:AN,'School Year 2021-22'!$W$1,FALSE),0)+IF((VLOOKUP(A253,'School Year 2021-22'!A:AN,'School Year 2021-22'!$S$1,FALSE)+(VLOOKUP(A253,'School Year 2021-22'!A:AN,'School Year 2021-22'!$T$1,FALSE)))&gt;0,VLOOKUP(A253,'School Year 2021-22'!A:AN,'School Year 2021-22'!$V$1,FALSE)-VLOOKUP(A253,'School Year 2021-22'!A:AN,'School Year 2021-22'!$W$1,FALSE),0)</f>
        <v>960.73139829774118</v>
      </c>
      <c r="D253" s="72">
        <f t="shared" si="14"/>
        <v>960.73139829774118</v>
      </c>
      <c r="E253" s="72">
        <f t="shared" si="15"/>
        <v>960.73139829774118</v>
      </c>
      <c r="F253" s="72">
        <f t="shared" si="16"/>
        <v>960.73139829774118</v>
      </c>
      <c r="G253" s="115">
        <f t="shared" si="17"/>
        <v>960.73139829774118</v>
      </c>
      <c r="H253" s="114">
        <v>952.43799506516825</v>
      </c>
      <c r="I253" s="72">
        <v>986.27395888754472</v>
      </c>
      <c r="J253" s="72">
        <v>1004.6986447449126</v>
      </c>
      <c r="K253" s="115">
        <v>1022.4616566832483</v>
      </c>
      <c r="L253" s="114">
        <v>952.43799506516825</v>
      </c>
      <c r="M253" s="72">
        <v>915.43319193164098</v>
      </c>
      <c r="N253" s="72">
        <v>831.97642153575725</v>
      </c>
      <c r="O253" s="115">
        <v>749.96485144546386</v>
      </c>
    </row>
    <row r="254" spans="1:15">
      <c r="A254" t="s">
        <v>171</v>
      </c>
      <c r="B254" t="s">
        <v>172</v>
      </c>
      <c r="C254" s="114">
        <f>IF(VLOOKUP(A254,'School Year 2021-22'!A:AN,'School Year 2021-22'!$R$1,FALSE)&gt;0,VLOOKUP(A254,'School Year 2021-22'!A:AN,'School Year 2021-22'!$U$1,FALSE)-VLOOKUP(A254,'School Year 2021-22'!A:AN,'School Year 2021-22'!$W$1,FALSE),0)+IF((VLOOKUP(A254,'School Year 2021-22'!A:AN,'School Year 2021-22'!$S$1,FALSE)+(VLOOKUP(A254,'School Year 2021-22'!A:AN,'School Year 2021-22'!$T$1,FALSE)))&gt;0,VLOOKUP(A254,'School Year 2021-22'!A:AN,'School Year 2021-22'!$V$1,FALSE)-VLOOKUP(A254,'School Year 2021-22'!A:AN,'School Year 2021-22'!$W$1,FALSE),0)</f>
        <v>1615.5104970372286</v>
      </c>
      <c r="D254" s="72">
        <f t="shared" si="14"/>
        <v>1615.5104970372286</v>
      </c>
      <c r="E254" s="72">
        <f t="shared" si="15"/>
        <v>1615.5104970372286</v>
      </c>
      <c r="F254" s="72">
        <f t="shared" si="16"/>
        <v>1615.5104970372286</v>
      </c>
      <c r="G254" s="115">
        <f t="shared" si="17"/>
        <v>1615.5104970372286</v>
      </c>
      <c r="H254" s="114">
        <v>996.47504648499125</v>
      </c>
      <c r="I254" s="72">
        <v>1017.7201286676609</v>
      </c>
      <c r="J254" s="72">
        <v>1036.7706599375269</v>
      </c>
      <c r="K254" s="115">
        <v>1055.2039523126496</v>
      </c>
      <c r="L254" s="114">
        <v>996.47504648499125</v>
      </c>
      <c r="M254" s="72">
        <v>944.98009506427115</v>
      </c>
      <c r="N254" s="72">
        <v>859.20436760518351</v>
      </c>
      <c r="O254" s="115">
        <v>774.91520621995369</v>
      </c>
    </row>
    <row r="255" spans="1:15">
      <c r="A255" t="s">
        <v>313</v>
      </c>
      <c r="B255" t="s">
        <v>314</v>
      </c>
      <c r="C255" s="114">
        <f>IF(VLOOKUP(A255,'School Year 2021-22'!A:AN,'School Year 2021-22'!$R$1,FALSE)&gt;0,VLOOKUP(A255,'School Year 2021-22'!A:AN,'School Year 2021-22'!$U$1,FALSE)-VLOOKUP(A255,'School Year 2021-22'!A:AN,'School Year 2021-22'!$W$1,FALSE),0)+IF((VLOOKUP(A255,'School Year 2021-22'!A:AN,'School Year 2021-22'!$S$1,FALSE)+(VLOOKUP(A255,'School Year 2021-22'!A:AN,'School Year 2021-22'!$T$1,FALSE)))&gt;0,VLOOKUP(A255,'School Year 2021-22'!A:AN,'School Year 2021-22'!$V$1,FALSE)-VLOOKUP(A255,'School Year 2021-22'!A:AN,'School Year 2021-22'!$W$1,FALSE),0)</f>
        <v>0</v>
      </c>
      <c r="D255" s="72">
        <f t="shared" si="14"/>
        <v>0</v>
      </c>
      <c r="E255" s="72">
        <f t="shared" si="15"/>
        <v>0</v>
      </c>
      <c r="F255" s="72">
        <f t="shared" si="16"/>
        <v>0</v>
      </c>
      <c r="G255" s="115">
        <f t="shared" si="17"/>
        <v>0</v>
      </c>
      <c r="H255" s="114">
        <v>0</v>
      </c>
      <c r="I255" s="72">
        <v>0</v>
      </c>
      <c r="J255" s="72">
        <v>0</v>
      </c>
      <c r="K255" s="115">
        <v>0</v>
      </c>
      <c r="L255" s="114">
        <v>0</v>
      </c>
      <c r="M255" s="72">
        <v>0</v>
      </c>
      <c r="N255" s="72">
        <v>0</v>
      </c>
      <c r="O255" s="115">
        <v>0</v>
      </c>
    </row>
    <row r="256" spans="1:15">
      <c r="A256" t="s">
        <v>479</v>
      </c>
      <c r="B256" t="s">
        <v>480</v>
      </c>
      <c r="C256" s="114">
        <f>IF(VLOOKUP(A256,'School Year 2021-22'!A:AN,'School Year 2021-22'!$R$1,FALSE)&gt;0,VLOOKUP(A256,'School Year 2021-22'!A:AN,'School Year 2021-22'!$U$1,FALSE)-VLOOKUP(A256,'School Year 2021-22'!A:AN,'School Year 2021-22'!$W$1,FALSE),0)+IF((VLOOKUP(A256,'School Year 2021-22'!A:AN,'School Year 2021-22'!$S$1,FALSE)+(VLOOKUP(A256,'School Year 2021-22'!A:AN,'School Year 2021-22'!$T$1,FALSE)))&gt;0,VLOOKUP(A256,'School Year 2021-22'!A:AN,'School Year 2021-22'!$V$1,FALSE)-VLOOKUP(A256,'School Year 2021-22'!A:AN,'School Year 2021-22'!$W$1,FALSE),0)</f>
        <v>0</v>
      </c>
      <c r="D256" s="72">
        <f t="shared" si="14"/>
        <v>0</v>
      </c>
      <c r="E256" s="72">
        <f t="shared" si="15"/>
        <v>0</v>
      </c>
      <c r="F256" s="72">
        <f t="shared" si="16"/>
        <v>0</v>
      </c>
      <c r="G256" s="115">
        <f t="shared" si="17"/>
        <v>0</v>
      </c>
      <c r="H256" s="114">
        <v>0</v>
      </c>
      <c r="I256" s="72">
        <v>0</v>
      </c>
      <c r="J256" s="72">
        <v>0</v>
      </c>
      <c r="K256" s="115">
        <v>0</v>
      </c>
      <c r="L256" s="114">
        <v>0</v>
      </c>
      <c r="M256" s="72">
        <v>0</v>
      </c>
      <c r="N256" s="72">
        <v>0</v>
      </c>
      <c r="O256" s="115">
        <v>0</v>
      </c>
    </row>
    <row r="257" spans="1:15">
      <c r="A257" t="s">
        <v>451</v>
      </c>
      <c r="B257" t="s">
        <v>452</v>
      </c>
      <c r="C257" s="114">
        <f>IF(VLOOKUP(A257,'School Year 2021-22'!A:AN,'School Year 2021-22'!$R$1,FALSE)&gt;0,VLOOKUP(A257,'School Year 2021-22'!A:AN,'School Year 2021-22'!$U$1,FALSE)-VLOOKUP(A257,'School Year 2021-22'!A:AN,'School Year 2021-22'!$W$1,FALSE),0)+IF((VLOOKUP(A257,'School Year 2021-22'!A:AN,'School Year 2021-22'!$S$1,FALSE)+(VLOOKUP(A257,'School Year 2021-22'!A:AN,'School Year 2021-22'!$T$1,FALSE)))&gt;0,VLOOKUP(A257,'School Year 2021-22'!A:AN,'School Year 2021-22'!$V$1,FALSE)-VLOOKUP(A257,'School Year 2021-22'!A:AN,'School Year 2021-22'!$W$1,FALSE),0)</f>
        <v>14679.809649680274</v>
      </c>
      <c r="D257" s="72">
        <f t="shared" si="14"/>
        <v>14679.809649680274</v>
      </c>
      <c r="E257" s="72">
        <f t="shared" si="15"/>
        <v>14679.809649680274</v>
      </c>
      <c r="F257" s="72">
        <f t="shared" si="16"/>
        <v>14679.809649680274</v>
      </c>
      <c r="G257" s="115">
        <f t="shared" si="17"/>
        <v>14679.809649680274</v>
      </c>
      <c r="H257" s="114">
        <v>2835.9815422965639</v>
      </c>
      <c r="I257" s="72">
        <v>2916.5636749943205</v>
      </c>
      <c r="J257" s="72">
        <v>2971.4484778345304</v>
      </c>
      <c r="K257" s="115">
        <v>3023.7217498988957</v>
      </c>
      <c r="L257" s="114">
        <v>2835.9815422965639</v>
      </c>
      <c r="M257" s="72">
        <v>2820.5280516234852</v>
      </c>
      <c r="N257" s="72">
        <v>2693.6014324120952</v>
      </c>
      <c r="O257" s="115">
        <v>2570.8027916013125</v>
      </c>
    </row>
    <row r="258" spans="1:15">
      <c r="A258" t="s">
        <v>297</v>
      </c>
      <c r="B258" t="s">
        <v>298</v>
      </c>
      <c r="C258" s="114">
        <f>IF(VLOOKUP(A258,'School Year 2021-22'!A:AN,'School Year 2021-22'!$R$1,FALSE)&gt;0,VLOOKUP(A258,'School Year 2021-22'!A:AN,'School Year 2021-22'!$U$1,FALSE)-VLOOKUP(A258,'School Year 2021-22'!A:AN,'School Year 2021-22'!$W$1,FALSE),0)+IF((VLOOKUP(A258,'School Year 2021-22'!A:AN,'School Year 2021-22'!$S$1,FALSE)+(VLOOKUP(A258,'School Year 2021-22'!A:AN,'School Year 2021-22'!$T$1,FALSE)))&gt;0,VLOOKUP(A258,'School Year 2021-22'!A:AN,'School Year 2021-22'!$V$1,FALSE)-VLOOKUP(A258,'School Year 2021-22'!A:AN,'School Year 2021-22'!$W$1,FALSE),0)</f>
        <v>834.965197463408</v>
      </c>
      <c r="D258" s="72">
        <f t="shared" si="14"/>
        <v>834.965197463408</v>
      </c>
      <c r="E258" s="72">
        <f t="shared" si="15"/>
        <v>834.965197463408</v>
      </c>
      <c r="F258" s="72">
        <f t="shared" si="16"/>
        <v>834.965197463408</v>
      </c>
      <c r="G258" s="115">
        <f t="shared" si="17"/>
        <v>834.965197463408</v>
      </c>
      <c r="H258" s="114">
        <v>831.44919241143998</v>
      </c>
      <c r="I258" s="72">
        <v>861.83828428673223</v>
      </c>
      <c r="J258" s="72">
        <v>877.73298695960329</v>
      </c>
      <c r="K258" s="115">
        <v>892.78638690734897</v>
      </c>
      <c r="L258" s="114">
        <v>831.44919241143998</v>
      </c>
      <c r="M258" s="72">
        <v>800.29272351994859</v>
      </c>
      <c r="N258" s="72">
        <v>727.92868593385083</v>
      </c>
      <c r="O258" s="115">
        <v>656.85624991961959</v>
      </c>
    </row>
    <row r="259" spans="1:15">
      <c r="A259" t="s">
        <v>577</v>
      </c>
      <c r="B259" t="s">
        <v>578</v>
      </c>
      <c r="C259" s="114">
        <f>IF(VLOOKUP(A259,'School Year 2021-22'!A:AN,'School Year 2021-22'!$R$1,FALSE)&gt;0,VLOOKUP(A259,'School Year 2021-22'!A:AN,'School Year 2021-22'!$U$1,FALSE)-VLOOKUP(A259,'School Year 2021-22'!A:AN,'School Year 2021-22'!$W$1,FALSE),0)+IF((VLOOKUP(A259,'School Year 2021-22'!A:AN,'School Year 2021-22'!$S$1,FALSE)+(VLOOKUP(A259,'School Year 2021-22'!A:AN,'School Year 2021-22'!$T$1,FALSE)))&gt;0,VLOOKUP(A259,'School Year 2021-22'!A:AN,'School Year 2021-22'!$V$1,FALSE)-VLOOKUP(A259,'School Year 2021-22'!A:AN,'School Year 2021-22'!$W$1,FALSE),0)</f>
        <v>843.97819130798143</v>
      </c>
      <c r="D259" s="72">
        <f t="shared" si="14"/>
        <v>843.97819130798143</v>
      </c>
      <c r="E259" s="72">
        <f t="shared" si="15"/>
        <v>843.97819130798143</v>
      </c>
      <c r="F259" s="72">
        <f t="shared" si="16"/>
        <v>843.97819130798143</v>
      </c>
      <c r="G259" s="115">
        <f t="shared" si="17"/>
        <v>843.97819130798143</v>
      </c>
      <c r="H259" s="114">
        <v>831.44919241143998</v>
      </c>
      <c r="I259" s="72">
        <v>861.83828428673223</v>
      </c>
      <c r="J259" s="72">
        <v>877.73298695960329</v>
      </c>
      <c r="K259" s="115">
        <v>892.78638690734897</v>
      </c>
      <c r="L259" s="114">
        <v>831.44919241143998</v>
      </c>
      <c r="M259" s="72">
        <v>800.29272351994859</v>
      </c>
      <c r="N259" s="72">
        <v>727.92868593385083</v>
      </c>
      <c r="O259" s="115">
        <v>656.85624991961959</v>
      </c>
    </row>
    <row r="260" spans="1:15">
      <c r="A260" t="s">
        <v>449</v>
      </c>
      <c r="B260" t="s">
        <v>450</v>
      </c>
      <c r="C260" s="114">
        <f>IF(VLOOKUP(A260,'School Year 2021-22'!A:AN,'School Year 2021-22'!$R$1,FALSE)&gt;0,VLOOKUP(A260,'School Year 2021-22'!A:AN,'School Year 2021-22'!$U$1,FALSE)-VLOOKUP(A260,'School Year 2021-22'!A:AN,'School Year 2021-22'!$W$1,FALSE),0)+IF((VLOOKUP(A260,'School Year 2021-22'!A:AN,'School Year 2021-22'!$S$1,FALSE)+(VLOOKUP(A260,'School Year 2021-22'!A:AN,'School Year 2021-22'!$T$1,FALSE)))&gt;0,VLOOKUP(A260,'School Year 2021-22'!A:AN,'School Year 2021-22'!$V$1,FALSE)-VLOOKUP(A260,'School Year 2021-22'!A:AN,'School Year 2021-22'!$W$1,FALSE),0)</f>
        <v>1361.3163740917498</v>
      </c>
      <c r="D260" s="72">
        <f t="shared" si="14"/>
        <v>1361.3163740917498</v>
      </c>
      <c r="E260" s="72">
        <f t="shared" si="15"/>
        <v>1361.3163740917498</v>
      </c>
      <c r="F260" s="72">
        <f t="shared" si="16"/>
        <v>1361.3163740917498</v>
      </c>
      <c r="G260" s="115">
        <f t="shared" si="17"/>
        <v>1361.3163740917498</v>
      </c>
      <c r="H260" s="114">
        <v>969.58864589527366</v>
      </c>
      <c r="I260" s="72">
        <v>996.98084956752609</v>
      </c>
      <c r="J260" s="72">
        <v>1015.6097169733093</v>
      </c>
      <c r="K260" s="115">
        <v>1033.5914073500007</v>
      </c>
      <c r="L260" s="114">
        <v>969.58864589527366</v>
      </c>
      <c r="M260" s="72">
        <v>925.79001699565561</v>
      </c>
      <c r="N260" s="72">
        <v>841.86307833819774</v>
      </c>
      <c r="O260" s="115">
        <v>759.39710596564692</v>
      </c>
    </row>
    <row r="261" spans="1:15">
      <c r="A261" t="s">
        <v>115</v>
      </c>
      <c r="B261" t="s">
        <v>116</v>
      </c>
      <c r="C261" s="114">
        <f>IF(VLOOKUP(A261,'School Year 2021-22'!A:AN,'School Year 2021-22'!$R$1,FALSE)&gt;0,VLOOKUP(A261,'School Year 2021-22'!A:AN,'School Year 2021-22'!$U$1,FALSE)-VLOOKUP(A261,'School Year 2021-22'!A:AN,'School Year 2021-22'!$W$1,FALSE),0)+IF((VLOOKUP(A261,'School Year 2021-22'!A:AN,'School Year 2021-22'!$S$1,FALSE)+(VLOOKUP(A261,'School Year 2021-22'!A:AN,'School Year 2021-22'!$T$1,FALSE)))&gt;0,VLOOKUP(A261,'School Year 2021-22'!A:AN,'School Year 2021-22'!$V$1,FALSE)-VLOOKUP(A261,'School Year 2021-22'!A:AN,'School Year 2021-22'!$W$1,FALSE),0)</f>
        <v>0</v>
      </c>
      <c r="D261" s="72">
        <f t="shared" si="14"/>
        <v>0</v>
      </c>
      <c r="E261" s="72">
        <f t="shared" si="15"/>
        <v>0</v>
      </c>
      <c r="F261" s="72">
        <f t="shared" si="16"/>
        <v>0</v>
      </c>
      <c r="G261" s="115">
        <f t="shared" si="17"/>
        <v>0</v>
      </c>
      <c r="H261" s="114">
        <v>0</v>
      </c>
      <c r="I261" s="72">
        <v>0</v>
      </c>
      <c r="J261" s="72">
        <v>0</v>
      </c>
      <c r="K261" s="115">
        <v>0</v>
      </c>
      <c r="L261" s="114">
        <v>0</v>
      </c>
      <c r="M261" s="72">
        <v>0</v>
      </c>
      <c r="N261" s="72">
        <v>0</v>
      </c>
      <c r="O261" s="115">
        <v>0</v>
      </c>
    </row>
    <row r="262" spans="1:15">
      <c r="A262" t="s">
        <v>75</v>
      </c>
      <c r="B262" t="s">
        <v>76</v>
      </c>
      <c r="C262" s="114">
        <f>IF(VLOOKUP(A262,'School Year 2021-22'!A:AN,'School Year 2021-22'!$R$1,FALSE)&gt;0,VLOOKUP(A262,'School Year 2021-22'!A:AN,'School Year 2021-22'!$U$1,FALSE)-VLOOKUP(A262,'School Year 2021-22'!A:AN,'School Year 2021-22'!$W$1,FALSE),0)+IF((VLOOKUP(A262,'School Year 2021-22'!A:AN,'School Year 2021-22'!$S$1,FALSE)+(VLOOKUP(A262,'School Year 2021-22'!A:AN,'School Year 2021-22'!$T$1,FALSE)))&gt;0,VLOOKUP(A262,'School Year 2021-22'!A:AN,'School Year 2021-22'!$V$1,FALSE)-VLOOKUP(A262,'School Year 2021-22'!A:AN,'School Year 2021-22'!$W$1,FALSE),0)</f>
        <v>0</v>
      </c>
      <c r="D262" s="72">
        <f t="shared" ref="D262:D322" si="18">C262</f>
        <v>0</v>
      </c>
      <c r="E262" s="72">
        <f t="shared" ref="E262:E322" si="19">D262</f>
        <v>0</v>
      </c>
      <c r="F262" s="72">
        <f t="shared" ref="F262:F322" si="20">E262</f>
        <v>0</v>
      </c>
      <c r="G262" s="115">
        <f t="shared" ref="G262:G322" si="21">F262</f>
        <v>0</v>
      </c>
      <c r="H262" s="114">
        <v>0</v>
      </c>
      <c r="I262" s="72">
        <v>0</v>
      </c>
      <c r="J262" s="72">
        <v>0</v>
      </c>
      <c r="K262" s="115">
        <v>0</v>
      </c>
      <c r="L262" s="114">
        <v>0</v>
      </c>
      <c r="M262" s="72">
        <v>0</v>
      </c>
      <c r="N262" s="72">
        <v>0</v>
      </c>
      <c r="O262" s="115">
        <v>0</v>
      </c>
    </row>
    <row r="263" spans="1:15">
      <c r="A263" t="s">
        <v>31</v>
      </c>
      <c r="B263" t="s">
        <v>32</v>
      </c>
      <c r="C263" s="114">
        <f>IF(VLOOKUP(A263,'School Year 2021-22'!A:AN,'School Year 2021-22'!$R$1,FALSE)&gt;0,VLOOKUP(A263,'School Year 2021-22'!A:AN,'School Year 2021-22'!$U$1,FALSE)-VLOOKUP(A263,'School Year 2021-22'!A:AN,'School Year 2021-22'!$W$1,FALSE),0)+IF((VLOOKUP(A263,'School Year 2021-22'!A:AN,'School Year 2021-22'!$S$1,FALSE)+(VLOOKUP(A263,'School Year 2021-22'!A:AN,'School Year 2021-22'!$T$1,FALSE)))&gt;0,VLOOKUP(A263,'School Year 2021-22'!A:AN,'School Year 2021-22'!$V$1,FALSE)-VLOOKUP(A263,'School Year 2021-22'!A:AN,'School Year 2021-22'!$W$1,FALSE),0)</f>
        <v>0</v>
      </c>
      <c r="D263" s="72">
        <f t="shared" si="18"/>
        <v>0</v>
      </c>
      <c r="E263" s="72">
        <f t="shared" si="19"/>
        <v>0</v>
      </c>
      <c r="F263" s="72">
        <f t="shared" si="20"/>
        <v>0</v>
      </c>
      <c r="G263" s="115">
        <f t="shared" si="21"/>
        <v>0</v>
      </c>
      <c r="H263" s="114">
        <v>0</v>
      </c>
      <c r="I263" s="72">
        <v>0</v>
      </c>
      <c r="J263" s="72">
        <v>0</v>
      </c>
      <c r="K263" s="115">
        <v>0</v>
      </c>
      <c r="L263" s="114">
        <v>0</v>
      </c>
      <c r="M263" s="72">
        <v>0</v>
      </c>
      <c r="N263" s="72">
        <v>0</v>
      </c>
      <c r="O263" s="115">
        <v>0</v>
      </c>
    </row>
    <row r="264" spans="1:15">
      <c r="A264" t="s">
        <v>361</v>
      </c>
      <c r="B264" t="s">
        <v>362</v>
      </c>
      <c r="C264" s="114">
        <f>IF(VLOOKUP(A264,'School Year 2021-22'!A:AN,'School Year 2021-22'!$R$1,FALSE)&gt;0,VLOOKUP(A264,'School Year 2021-22'!A:AN,'School Year 2021-22'!$U$1,FALSE)-VLOOKUP(A264,'School Year 2021-22'!A:AN,'School Year 2021-22'!$W$1,FALSE),0)+IF((VLOOKUP(A264,'School Year 2021-22'!A:AN,'School Year 2021-22'!$S$1,FALSE)+(VLOOKUP(A264,'School Year 2021-22'!A:AN,'School Year 2021-22'!$T$1,FALSE)))&gt;0,VLOOKUP(A264,'School Year 2021-22'!A:AN,'School Year 2021-22'!$V$1,FALSE)-VLOOKUP(A264,'School Year 2021-22'!A:AN,'School Year 2021-22'!$W$1,FALSE),0)</f>
        <v>1089.6182023669799</v>
      </c>
      <c r="D264" s="72">
        <f t="shared" si="18"/>
        <v>1089.6182023669799</v>
      </c>
      <c r="E264" s="72">
        <f t="shared" si="19"/>
        <v>1089.6182023669799</v>
      </c>
      <c r="F264" s="72">
        <f t="shared" si="20"/>
        <v>1089.6182023669799</v>
      </c>
      <c r="G264" s="115">
        <f t="shared" si="21"/>
        <v>1089.6182023669799</v>
      </c>
      <c r="H264" s="114">
        <v>858.33559300115849</v>
      </c>
      <c r="I264" s="72">
        <v>882.57756338686795</v>
      </c>
      <c r="J264" s="72">
        <v>898.89392992382182</v>
      </c>
      <c r="K264" s="115">
        <v>914.39893186999961</v>
      </c>
      <c r="L264" s="114">
        <v>858.33559300115849</v>
      </c>
      <c r="M264" s="72">
        <v>819.48280158856596</v>
      </c>
      <c r="N264" s="72">
        <v>745.26997520083478</v>
      </c>
      <c r="O264" s="115">
        <v>672.37435017392636</v>
      </c>
    </row>
    <row r="265" spans="1:15">
      <c r="A265" t="s">
        <v>569</v>
      </c>
      <c r="B265" t="s">
        <v>570</v>
      </c>
      <c r="C265" s="114">
        <f>IF(VLOOKUP(A265,'School Year 2021-22'!A:AN,'School Year 2021-22'!$R$1,FALSE)&gt;0,VLOOKUP(A265,'School Year 2021-22'!A:AN,'School Year 2021-22'!$U$1,FALSE)-VLOOKUP(A265,'School Year 2021-22'!A:AN,'School Year 2021-22'!$W$1,FALSE),0)+IF((VLOOKUP(A265,'School Year 2021-22'!A:AN,'School Year 2021-22'!$S$1,FALSE)+(VLOOKUP(A265,'School Year 2021-22'!A:AN,'School Year 2021-22'!$T$1,FALSE)))&gt;0,VLOOKUP(A265,'School Year 2021-22'!A:AN,'School Year 2021-22'!$V$1,FALSE)-VLOOKUP(A265,'School Year 2021-22'!A:AN,'School Year 2021-22'!$W$1,FALSE),0)</f>
        <v>0</v>
      </c>
      <c r="D265" s="72">
        <f t="shared" si="18"/>
        <v>0</v>
      </c>
      <c r="E265" s="72">
        <f t="shared" si="19"/>
        <v>0</v>
      </c>
      <c r="F265" s="72">
        <f t="shared" si="20"/>
        <v>0</v>
      </c>
      <c r="G265" s="115">
        <f t="shared" si="21"/>
        <v>0</v>
      </c>
      <c r="H265" s="114">
        <v>0</v>
      </c>
      <c r="I265" s="72">
        <v>0</v>
      </c>
      <c r="J265" s="72">
        <v>0</v>
      </c>
      <c r="K265" s="115">
        <v>0</v>
      </c>
      <c r="L265" s="114">
        <v>0</v>
      </c>
      <c r="M265" s="72">
        <v>0</v>
      </c>
      <c r="N265" s="72">
        <v>0</v>
      </c>
      <c r="O265" s="115">
        <v>0</v>
      </c>
    </row>
    <row r="266" spans="1:15">
      <c r="A266" t="s">
        <v>421</v>
      </c>
      <c r="B266" t="s">
        <v>422</v>
      </c>
      <c r="C266" s="114">
        <f>IF(VLOOKUP(A266,'School Year 2021-22'!A:AN,'School Year 2021-22'!$R$1,FALSE)&gt;0,VLOOKUP(A266,'School Year 2021-22'!A:AN,'School Year 2021-22'!$U$1,FALSE)-VLOOKUP(A266,'School Year 2021-22'!A:AN,'School Year 2021-22'!$W$1,FALSE),0)+IF((VLOOKUP(A266,'School Year 2021-22'!A:AN,'School Year 2021-22'!$S$1,FALSE)+(VLOOKUP(A266,'School Year 2021-22'!A:AN,'School Year 2021-22'!$T$1,FALSE)))&gt;0,VLOOKUP(A266,'School Year 2021-22'!A:AN,'School Year 2021-22'!$V$1,FALSE)-VLOOKUP(A266,'School Year 2021-22'!A:AN,'School Year 2021-22'!$W$1,FALSE),0)</f>
        <v>499.07832429827795</v>
      </c>
      <c r="D266" s="72">
        <f t="shared" si="18"/>
        <v>499.07832429827795</v>
      </c>
      <c r="E266" s="72">
        <f t="shared" si="19"/>
        <v>499.07832429827795</v>
      </c>
      <c r="F266" s="72">
        <f t="shared" si="20"/>
        <v>499.07832429827795</v>
      </c>
      <c r="G266" s="115">
        <f t="shared" si="21"/>
        <v>499.07832429827795</v>
      </c>
      <c r="H266" s="114">
        <v>831.44919241143998</v>
      </c>
      <c r="I266" s="72">
        <v>861.83828428673223</v>
      </c>
      <c r="J266" s="72">
        <v>877.73298695960329</v>
      </c>
      <c r="K266" s="115">
        <v>892.78638690734897</v>
      </c>
      <c r="L266" s="114">
        <v>831.44919241143998</v>
      </c>
      <c r="M266" s="72">
        <v>800.29272351994859</v>
      </c>
      <c r="N266" s="72">
        <v>727.92868593385083</v>
      </c>
      <c r="O266" s="115">
        <v>656.85624991961959</v>
      </c>
    </row>
    <row r="267" spans="1:15">
      <c r="A267" t="s">
        <v>443</v>
      </c>
      <c r="B267" t="s">
        <v>444</v>
      </c>
      <c r="C267" s="114">
        <f>IF(VLOOKUP(A267,'School Year 2021-22'!A:AN,'School Year 2021-22'!$R$1,FALSE)&gt;0,VLOOKUP(A267,'School Year 2021-22'!A:AN,'School Year 2021-22'!$U$1,FALSE)-VLOOKUP(A267,'School Year 2021-22'!A:AN,'School Year 2021-22'!$W$1,FALSE),0)+IF((VLOOKUP(A267,'School Year 2021-22'!A:AN,'School Year 2021-22'!$S$1,FALSE)+(VLOOKUP(A267,'School Year 2021-22'!A:AN,'School Year 2021-22'!$T$1,FALSE)))&gt;0,VLOOKUP(A267,'School Year 2021-22'!A:AN,'School Year 2021-22'!$V$1,FALSE)-VLOOKUP(A267,'School Year 2021-22'!A:AN,'School Year 2021-22'!$W$1,FALSE),0)</f>
        <v>852.70632472394209</v>
      </c>
      <c r="D267" s="72">
        <f t="shared" si="18"/>
        <v>852.70632472394209</v>
      </c>
      <c r="E267" s="72">
        <f t="shared" si="19"/>
        <v>852.70632472394209</v>
      </c>
      <c r="F267" s="72">
        <f t="shared" si="20"/>
        <v>852.70632472394209</v>
      </c>
      <c r="G267" s="115">
        <f t="shared" si="21"/>
        <v>852.70632472394209</v>
      </c>
      <c r="H267" s="114">
        <v>952.43799506516825</v>
      </c>
      <c r="I267" s="72">
        <v>986.27395888754472</v>
      </c>
      <c r="J267" s="72">
        <v>1004.6986447449126</v>
      </c>
      <c r="K267" s="115">
        <v>1022.4616566832483</v>
      </c>
      <c r="L267" s="114">
        <v>952.43799506516825</v>
      </c>
      <c r="M267" s="72">
        <v>915.43319193164098</v>
      </c>
      <c r="N267" s="72">
        <v>831.97642153575725</v>
      </c>
      <c r="O267" s="115">
        <v>749.96485144546386</v>
      </c>
    </row>
    <row r="268" spans="1:15">
      <c r="A268" t="s">
        <v>1022</v>
      </c>
      <c r="B268" t="s">
        <v>1040</v>
      </c>
      <c r="C268" s="114">
        <f>IF(VLOOKUP(A268,'School Year 2021-22'!A:AN,'School Year 2021-22'!$R$1,FALSE)&gt;0,VLOOKUP(A268,'School Year 2021-22'!A:AN,'School Year 2021-22'!$U$1,FALSE)-VLOOKUP(A268,'School Year 2021-22'!A:AN,'School Year 2021-22'!$W$1,FALSE),0)+IF((VLOOKUP(A268,'School Year 2021-22'!A:AN,'School Year 2021-22'!$S$1,FALSE)+(VLOOKUP(A268,'School Year 2021-22'!A:AN,'School Year 2021-22'!$T$1,FALSE)))&gt;0,VLOOKUP(A268,'School Year 2021-22'!A:AN,'School Year 2021-22'!$V$1,FALSE)-VLOOKUP(A268,'School Year 2021-22'!A:AN,'School Year 2021-22'!$W$1,FALSE),0)</f>
        <v>0</v>
      </c>
      <c r="D268" s="72">
        <f t="shared" si="18"/>
        <v>0</v>
      </c>
      <c r="E268" s="72">
        <f t="shared" si="19"/>
        <v>0</v>
      </c>
      <c r="F268" s="72">
        <f t="shared" si="20"/>
        <v>0</v>
      </c>
      <c r="G268" s="115">
        <f t="shared" si="21"/>
        <v>0</v>
      </c>
      <c r="H268" s="114">
        <v>0</v>
      </c>
      <c r="I268" s="72">
        <v>0</v>
      </c>
      <c r="J268" s="72">
        <v>0</v>
      </c>
      <c r="K268" s="115">
        <v>0</v>
      </c>
      <c r="L268" s="114">
        <v>0</v>
      </c>
      <c r="M268" s="72">
        <v>0</v>
      </c>
      <c r="N268" s="72">
        <v>0</v>
      </c>
      <c r="O268" s="115">
        <v>0</v>
      </c>
    </row>
    <row r="269" spans="1:15">
      <c r="A269" t="s">
        <v>391</v>
      </c>
      <c r="B269" t="s">
        <v>392</v>
      </c>
      <c r="C269" s="114">
        <f>IF(VLOOKUP(A269,'School Year 2021-22'!A:AN,'School Year 2021-22'!$R$1,FALSE)&gt;0,VLOOKUP(A269,'School Year 2021-22'!A:AN,'School Year 2021-22'!$U$1,FALSE)-VLOOKUP(A269,'School Year 2021-22'!A:AN,'School Year 2021-22'!$W$1,FALSE),0)+IF((VLOOKUP(A269,'School Year 2021-22'!A:AN,'School Year 2021-22'!$S$1,FALSE)+(VLOOKUP(A269,'School Year 2021-22'!A:AN,'School Year 2021-22'!$T$1,FALSE)))&gt;0,VLOOKUP(A269,'School Year 2021-22'!A:AN,'School Year 2021-22'!$V$1,FALSE)-VLOOKUP(A269,'School Year 2021-22'!A:AN,'School Year 2021-22'!$W$1,FALSE),0)</f>
        <v>0</v>
      </c>
      <c r="D269" s="72">
        <f t="shared" si="18"/>
        <v>0</v>
      </c>
      <c r="E269" s="72">
        <f t="shared" si="19"/>
        <v>0</v>
      </c>
      <c r="F269" s="72">
        <f t="shared" si="20"/>
        <v>0</v>
      </c>
      <c r="G269" s="115">
        <f t="shared" si="21"/>
        <v>0</v>
      </c>
      <c r="H269" s="114">
        <v>0</v>
      </c>
      <c r="I269" s="72">
        <v>0</v>
      </c>
      <c r="J269" s="72">
        <v>0</v>
      </c>
      <c r="K269" s="115">
        <v>0</v>
      </c>
      <c r="L269" s="114">
        <v>0</v>
      </c>
      <c r="M269" s="72">
        <v>0</v>
      </c>
      <c r="N269" s="72">
        <v>0</v>
      </c>
      <c r="O269" s="115">
        <v>0</v>
      </c>
    </row>
    <row r="270" spans="1:15">
      <c r="A270" t="s">
        <v>221</v>
      </c>
      <c r="B270" t="s">
        <v>222</v>
      </c>
      <c r="C270" s="114">
        <f>IF(VLOOKUP(A270,'School Year 2021-22'!A:AN,'School Year 2021-22'!$R$1,FALSE)&gt;0,VLOOKUP(A270,'School Year 2021-22'!A:AN,'School Year 2021-22'!$U$1,FALSE)-VLOOKUP(A270,'School Year 2021-22'!A:AN,'School Year 2021-22'!$W$1,FALSE),0)+IF((VLOOKUP(A270,'School Year 2021-22'!A:AN,'School Year 2021-22'!$S$1,FALSE)+(VLOOKUP(A270,'School Year 2021-22'!A:AN,'School Year 2021-22'!$T$1,FALSE)))&gt;0,VLOOKUP(A270,'School Year 2021-22'!A:AN,'School Year 2021-22'!$V$1,FALSE)-VLOOKUP(A270,'School Year 2021-22'!A:AN,'School Year 2021-22'!$W$1,FALSE),0)</f>
        <v>0</v>
      </c>
      <c r="D270" s="72">
        <f t="shared" si="18"/>
        <v>0</v>
      </c>
      <c r="E270" s="72">
        <f t="shared" si="19"/>
        <v>0</v>
      </c>
      <c r="F270" s="72">
        <f t="shared" si="20"/>
        <v>0</v>
      </c>
      <c r="G270" s="115">
        <f t="shared" si="21"/>
        <v>0</v>
      </c>
      <c r="H270" s="114">
        <v>0</v>
      </c>
      <c r="I270" s="72">
        <v>0</v>
      </c>
      <c r="J270" s="72">
        <v>0</v>
      </c>
      <c r="K270" s="115">
        <v>0</v>
      </c>
      <c r="L270" s="114">
        <v>0</v>
      </c>
      <c r="M270" s="72">
        <v>0</v>
      </c>
      <c r="N270" s="72">
        <v>0</v>
      </c>
      <c r="O270" s="115">
        <v>0</v>
      </c>
    </row>
    <row r="271" spans="1:15">
      <c r="A271" t="s">
        <v>495</v>
      </c>
      <c r="B271" t="s">
        <v>496</v>
      </c>
      <c r="C271" s="114">
        <f>IF(VLOOKUP(A271,'School Year 2021-22'!A:AN,'School Year 2021-22'!$R$1,FALSE)&gt;0,VLOOKUP(A271,'School Year 2021-22'!A:AN,'School Year 2021-22'!$U$1,FALSE)-VLOOKUP(A271,'School Year 2021-22'!A:AN,'School Year 2021-22'!$W$1,FALSE),0)+IF((VLOOKUP(A271,'School Year 2021-22'!A:AN,'School Year 2021-22'!$S$1,FALSE)+(VLOOKUP(A271,'School Year 2021-22'!A:AN,'School Year 2021-22'!$T$1,FALSE)))&gt;0,VLOOKUP(A271,'School Year 2021-22'!A:AN,'School Year 2021-22'!$V$1,FALSE)-VLOOKUP(A271,'School Year 2021-22'!A:AN,'School Year 2021-22'!$W$1,FALSE),0)</f>
        <v>0</v>
      </c>
      <c r="D271" s="72">
        <f t="shared" si="18"/>
        <v>0</v>
      </c>
      <c r="E271" s="72">
        <f t="shared" si="19"/>
        <v>0</v>
      </c>
      <c r="F271" s="72">
        <f t="shared" si="20"/>
        <v>0</v>
      </c>
      <c r="G271" s="115">
        <f t="shared" si="21"/>
        <v>0</v>
      </c>
      <c r="H271" s="114">
        <v>0</v>
      </c>
      <c r="I271" s="72">
        <v>0</v>
      </c>
      <c r="J271" s="72">
        <v>0</v>
      </c>
      <c r="K271" s="115">
        <v>0</v>
      </c>
      <c r="L271" s="114">
        <v>0</v>
      </c>
      <c r="M271" s="72">
        <v>0</v>
      </c>
      <c r="N271" s="72">
        <v>0</v>
      </c>
      <c r="O271" s="115">
        <v>0</v>
      </c>
    </row>
    <row r="272" spans="1:15">
      <c r="A272" t="s">
        <v>371</v>
      </c>
      <c r="B272" t="s">
        <v>372</v>
      </c>
      <c r="C272" s="114">
        <f>IF(VLOOKUP(A272,'School Year 2021-22'!A:AN,'School Year 2021-22'!$R$1,FALSE)&gt;0,VLOOKUP(A272,'School Year 2021-22'!A:AN,'School Year 2021-22'!$U$1,FALSE)-VLOOKUP(A272,'School Year 2021-22'!A:AN,'School Year 2021-22'!$W$1,FALSE),0)+IF((VLOOKUP(A272,'School Year 2021-22'!A:AN,'School Year 2021-22'!$S$1,FALSE)+(VLOOKUP(A272,'School Year 2021-22'!A:AN,'School Year 2021-22'!$T$1,FALSE)))&gt;0,VLOOKUP(A272,'School Year 2021-22'!A:AN,'School Year 2021-22'!$V$1,FALSE)-VLOOKUP(A272,'School Year 2021-22'!A:AN,'School Year 2021-22'!$W$1,FALSE),0)</f>
        <v>1256.7885400573341</v>
      </c>
      <c r="D272" s="72">
        <f t="shared" si="18"/>
        <v>1256.7885400573341</v>
      </c>
      <c r="E272" s="72">
        <f t="shared" si="19"/>
        <v>1256.7885400573341</v>
      </c>
      <c r="F272" s="72">
        <f t="shared" si="20"/>
        <v>1256.7885400573341</v>
      </c>
      <c r="G272" s="115">
        <f t="shared" si="21"/>
        <v>1256.7885400573341</v>
      </c>
      <c r="H272" s="114">
        <v>912.10839418059186</v>
      </c>
      <c r="I272" s="72">
        <v>944.79540068727511</v>
      </c>
      <c r="J272" s="72">
        <v>962.37675881647738</v>
      </c>
      <c r="K272" s="115">
        <v>979.23656675794882</v>
      </c>
      <c r="L272" s="114">
        <v>912.10839418059186</v>
      </c>
      <c r="M272" s="72">
        <v>877.05303579440988</v>
      </c>
      <c r="N272" s="72">
        <v>797.29384300178936</v>
      </c>
      <c r="O272" s="115">
        <v>718.9286509368485</v>
      </c>
    </row>
    <row r="273" spans="1:15">
      <c r="A273" t="s">
        <v>595</v>
      </c>
      <c r="B273" t="s">
        <v>596</v>
      </c>
      <c r="C273" s="114">
        <f>IF(VLOOKUP(A273,'School Year 2021-22'!A:AN,'School Year 2021-22'!$R$1,FALSE)&gt;0,VLOOKUP(A273,'School Year 2021-22'!A:AN,'School Year 2021-22'!$U$1,FALSE)-VLOOKUP(A273,'School Year 2021-22'!A:AN,'School Year 2021-22'!$W$1,FALSE),0)+IF((VLOOKUP(A273,'School Year 2021-22'!A:AN,'School Year 2021-22'!$S$1,FALSE)+(VLOOKUP(A273,'School Year 2021-22'!A:AN,'School Year 2021-22'!$T$1,FALSE)))&gt;0,VLOOKUP(A273,'School Year 2021-22'!A:AN,'School Year 2021-22'!$V$1,FALSE)-VLOOKUP(A273,'School Year 2021-22'!A:AN,'School Year 2021-22'!$W$1,FALSE),0)</f>
        <v>839.55962317295325</v>
      </c>
      <c r="D273" s="72">
        <f t="shared" si="18"/>
        <v>839.55962317295325</v>
      </c>
      <c r="E273" s="72">
        <f t="shared" si="19"/>
        <v>839.55962317295325</v>
      </c>
      <c r="F273" s="72">
        <f t="shared" si="20"/>
        <v>839.55962317295325</v>
      </c>
      <c r="G273" s="115">
        <f t="shared" si="21"/>
        <v>839.55962317295325</v>
      </c>
      <c r="H273" s="114">
        <v>831.44919241143998</v>
      </c>
      <c r="I273" s="72">
        <v>861.83828428673223</v>
      </c>
      <c r="J273" s="72">
        <v>877.73298695960329</v>
      </c>
      <c r="K273" s="115">
        <v>892.78638690734897</v>
      </c>
      <c r="L273" s="114">
        <v>831.44919241143998</v>
      </c>
      <c r="M273" s="72">
        <v>800.29272351994859</v>
      </c>
      <c r="N273" s="72">
        <v>727.92868593385083</v>
      </c>
      <c r="O273" s="115">
        <v>656.85624991961959</v>
      </c>
    </row>
    <row r="274" spans="1:15">
      <c r="A274" t="s">
        <v>237</v>
      </c>
      <c r="B274" t="s">
        <v>238</v>
      </c>
      <c r="C274" s="114">
        <f>IF(VLOOKUP(A274,'School Year 2021-22'!A:AN,'School Year 2021-22'!$R$1,FALSE)&gt;0,VLOOKUP(A274,'School Year 2021-22'!A:AN,'School Year 2021-22'!$U$1,FALSE)-VLOOKUP(A274,'School Year 2021-22'!A:AN,'School Year 2021-22'!$W$1,FALSE),0)+IF((VLOOKUP(A274,'School Year 2021-22'!A:AN,'School Year 2021-22'!$S$1,FALSE)+(VLOOKUP(A274,'School Year 2021-22'!A:AN,'School Year 2021-22'!$T$1,FALSE)))&gt;0,VLOOKUP(A274,'School Year 2021-22'!A:AN,'School Year 2021-22'!$V$1,FALSE)-VLOOKUP(A274,'School Year 2021-22'!A:AN,'School Year 2021-22'!$W$1,FALSE),0)</f>
        <v>7618.6571390689096</v>
      </c>
      <c r="D274" s="72">
        <f t="shared" si="18"/>
        <v>7618.6571390689096</v>
      </c>
      <c r="E274" s="72">
        <f t="shared" si="19"/>
        <v>7618.6571390689096</v>
      </c>
      <c r="F274" s="72">
        <f t="shared" si="20"/>
        <v>7618.6571390689096</v>
      </c>
      <c r="G274" s="115">
        <f t="shared" si="21"/>
        <v>7618.6571390689096</v>
      </c>
      <c r="H274" s="114">
        <v>952.43799506516825</v>
      </c>
      <c r="I274" s="72">
        <v>986.27395888754472</v>
      </c>
      <c r="J274" s="72">
        <v>1004.6986447449126</v>
      </c>
      <c r="K274" s="115">
        <v>1022.4616566832483</v>
      </c>
      <c r="L274" s="114">
        <v>952.43799506516825</v>
      </c>
      <c r="M274" s="72">
        <v>915.43319193164098</v>
      </c>
      <c r="N274" s="72">
        <v>831.97642153575725</v>
      </c>
      <c r="O274" s="115">
        <v>749.96485144546386</v>
      </c>
    </row>
    <row r="275" spans="1:15">
      <c r="A275" t="s">
        <v>365</v>
      </c>
      <c r="B275" t="s">
        <v>366</v>
      </c>
      <c r="C275" s="114">
        <f>IF(VLOOKUP(A275,'School Year 2021-22'!A:AN,'School Year 2021-22'!$R$1,FALSE)&gt;0,VLOOKUP(A275,'School Year 2021-22'!A:AN,'School Year 2021-22'!$U$1,FALSE)-VLOOKUP(A275,'School Year 2021-22'!A:AN,'School Year 2021-22'!$W$1,FALSE),0)+IF((VLOOKUP(A275,'School Year 2021-22'!A:AN,'School Year 2021-22'!$S$1,FALSE)+(VLOOKUP(A275,'School Year 2021-22'!A:AN,'School Year 2021-22'!$T$1,FALSE)))&gt;0,VLOOKUP(A275,'School Year 2021-22'!A:AN,'School Year 2021-22'!$V$1,FALSE)-VLOOKUP(A275,'School Year 2021-22'!A:AN,'School Year 2021-22'!$W$1,FALSE),0)</f>
        <v>1368.8513037195444</v>
      </c>
      <c r="D275" s="72">
        <f t="shared" si="18"/>
        <v>1368.8513037195444</v>
      </c>
      <c r="E275" s="72">
        <f t="shared" si="19"/>
        <v>1368.8513037195444</v>
      </c>
      <c r="F275" s="72">
        <f t="shared" si="20"/>
        <v>1368.8513037195444</v>
      </c>
      <c r="G275" s="115">
        <f t="shared" si="21"/>
        <v>1368.8513037195444</v>
      </c>
      <c r="H275" s="114">
        <v>912.10839418059186</v>
      </c>
      <c r="I275" s="72">
        <v>944.79540068727511</v>
      </c>
      <c r="J275" s="72">
        <v>962.37675881647738</v>
      </c>
      <c r="K275" s="115">
        <v>979.23656675794882</v>
      </c>
      <c r="L275" s="114">
        <v>912.10839418059186</v>
      </c>
      <c r="M275" s="72">
        <v>877.05303579440988</v>
      </c>
      <c r="N275" s="72">
        <v>797.29384300178936</v>
      </c>
      <c r="O275" s="115">
        <v>718.9286509368485</v>
      </c>
    </row>
    <row r="276" spans="1:15">
      <c r="A276" t="s">
        <v>153</v>
      </c>
      <c r="B276" t="s">
        <v>154</v>
      </c>
      <c r="C276" s="114">
        <f>IF(VLOOKUP(A276,'School Year 2021-22'!A:AN,'School Year 2021-22'!$R$1,FALSE)&gt;0,VLOOKUP(A276,'School Year 2021-22'!A:AN,'School Year 2021-22'!$U$1,FALSE)-VLOOKUP(A276,'School Year 2021-22'!A:AN,'School Year 2021-22'!$W$1,FALSE),0)+IF((VLOOKUP(A276,'School Year 2021-22'!A:AN,'School Year 2021-22'!$S$1,FALSE)+(VLOOKUP(A276,'School Year 2021-22'!A:AN,'School Year 2021-22'!$T$1,FALSE)))&gt;0,VLOOKUP(A276,'School Year 2021-22'!A:AN,'School Year 2021-22'!$V$1,FALSE)-VLOOKUP(A276,'School Year 2021-22'!A:AN,'School Year 2021-22'!$W$1,FALSE),0)</f>
        <v>837.11831998111575</v>
      </c>
      <c r="D276" s="72">
        <f t="shared" si="18"/>
        <v>837.11831998111575</v>
      </c>
      <c r="E276" s="72">
        <f t="shared" si="19"/>
        <v>837.11831998111575</v>
      </c>
      <c r="F276" s="72">
        <f t="shared" si="20"/>
        <v>837.11831998111575</v>
      </c>
      <c r="G276" s="115">
        <f t="shared" si="21"/>
        <v>837.11831998111575</v>
      </c>
      <c r="H276" s="114">
        <v>831.44919241143998</v>
      </c>
      <c r="I276" s="72">
        <v>861.83828428673223</v>
      </c>
      <c r="J276" s="72">
        <v>877.73298695960329</v>
      </c>
      <c r="K276" s="115">
        <v>892.78638690734897</v>
      </c>
      <c r="L276" s="114">
        <v>831.44919241143998</v>
      </c>
      <c r="M276" s="72">
        <v>800.29272351994859</v>
      </c>
      <c r="N276" s="72">
        <v>727.92868593385083</v>
      </c>
      <c r="O276" s="115">
        <v>656.85624991961959</v>
      </c>
    </row>
    <row r="277" spans="1:15">
      <c r="A277" t="s">
        <v>207</v>
      </c>
      <c r="B277" t="s">
        <v>208</v>
      </c>
      <c r="C277" s="114">
        <f>IF(VLOOKUP(A277,'School Year 2021-22'!A:AN,'School Year 2021-22'!$R$1,FALSE)&gt;0,VLOOKUP(A277,'School Year 2021-22'!A:AN,'School Year 2021-22'!$U$1,FALSE)-VLOOKUP(A277,'School Year 2021-22'!A:AN,'School Year 2021-22'!$W$1,FALSE),0)+IF((VLOOKUP(A277,'School Year 2021-22'!A:AN,'School Year 2021-22'!$S$1,FALSE)+(VLOOKUP(A277,'School Year 2021-22'!A:AN,'School Year 2021-22'!$T$1,FALSE)))&gt;0,VLOOKUP(A277,'School Year 2021-22'!A:AN,'School Year 2021-22'!$V$1,FALSE)-VLOOKUP(A277,'School Year 2021-22'!A:AN,'School Year 2021-22'!$W$1,FALSE),0)</f>
        <v>1152.8031048747234</v>
      </c>
      <c r="D277" s="72">
        <f t="shared" si="18"/>
        <v>1152.8031048747234</v>
      </c>
      <c r="E277" s="72">
        <f t="shared" si="19"/>
        <v>1152.8031048747234</v>
      </c>
      <c r="F277" s="72">
        <f t="shared" si="20"/>
        <v>1152.8031048747234</v>
      </c>
      <c r="G277" s="115">
        <f t="shared" si="21"/>
        <v>1152.8031048747234</v>
      </c>
      <c r="H277" s="114">
        <v>983.03184619013155</v>
      </c>
      <c r="I277" s="72">
        <v>1017.7201286676609</v>
      </c>
      <c r="J277" s="72">
        <v>1036.7706599375269</v>
      </c>
      <c r="K277" s="115">
        <v>1055.2039523126496</v>
      </c>
      <c r="L277" s="114">
        <v>983.03184619013155</v>
      </c>
      <c r="M277" s="72">
        <v>944.98009506427115</v>
      </c>
      <c r="N277" s="72">
        <v>859.20436760518351</v>
      </c>
      <c r="O277" s="115">
        <v>774.91520621995369</v>
      </c>
    </row>
    <row r="278" spans="1:15">
      <c r="A278" t="s">
        <v>559</v>
      </c>
      <c r="B278" t="s">
        <v>560</v>
      </c>
      <c r="C278" s="114">
        <f>IF(VLOOKUP(A278,'School Year 2021-22'!A:AN,'School Year 2021-22'!$R$1,FALSE)&gt;0,VLOOKUP(A278,'School Year 2021-22'!A:AN,'School Year 2021-22'!$U$1,FALSE)-VLOOKUP(A278,'School Year 2021-22'!A:AN,'School Year 2021-22'!$W$1,FALSE),0)+IF((VLOOKUP(A278,'School Year 2021-22'!A:AN,'School Year 2021-22'!$S$1,FALSE)+(VLOOKUP(A278,'School Year 2021-22'!A:AN,'School Year 2021-22'!$T$1,FALSE)))&gt;0,VLOOKUP(A278,'School Year 2021-22'!A:AN,'School Year 2021-22'!$V$1,FALSE)-VLOOKUP(A278,'School Year 2021-22'!A:AN,'School Year 2021-22'!$W$1,FALSE),0)</f>
        <v>1026.0449280700695</v>
      </c>
      <c r="D278" s="72">
        <f t="shared" si="18"/>
        <v>1026.0449280700695</v>
      </c>
      <c r="E278" s="72">
        <f t="shared" si="19"/>
        <v>1026.0449280700695</v>
      </c>
      <c r="F278" s="72">
        <f t="shared" si="20"/>
        <v>1026.0449280700695</v>
      </c>
      <c r="G278" s="115">
        <f t="shared" si="21"/>
        <v>1026.0449280700695</v>
      </c>
      <c r="H278" s="114">
        <v>862.04304353640327</v>
      </c>
      <c r="I278" s="72">
        <v>893.28445406684841</v>
      </c>
      <c r="J278" s="72">
        <v>909.80500215221946</v>
      </c>
      <c r="K278" s="115">
        <v>925.52868253675024</v>
      </c>
      <c r="L278" s="114">
        <v>862.04304353640327</v>
      </c>
      <c r="M278" s="72">
        <v>829.83962665257786</v>
      </c>
      <c r="N278" s="72">
        <v>755.15663200327708</v>
      </c>
      <c r="O278" s="115">
        <v>681.80660469410941</v>
      </c>
    </row>
    <row r="279" spans="1:15">
      <c r="A279" t="s">
        <v>521</v>
      </c>
      <c r="B279" t="s">
        <v>522</v>
      </c>
      <c r="C279" s="114">
        <f>IF(VLOOKUP(A279,'School Year 2021-22'!A:AN,'School Year 2021-22'!$R$1,FALSE)&gt;0,VLOOKUP(A279,'School Year 2021-22'!A:AN,'School Year 2021-22'!$U$1,FALSE)-VLOOKUP(A279,'School Year 2021-22'!A:AN,'School Year 2021-22'!$W$1,FALSE),0)+IF((VLOOKUP(A279,'School Year 2021-22'!A:AN,'School Year 2021-22'!$S$1,FALSE)+(VLOOKUP(A279,'School Year 2021-22'!A:AN,'School Year 2021-22'!$T$1,FALSE)))&gt;0,VLOOKUP(A279,'School Year 2021-22'!A:AN,'School Year 2021-22'!$V$1,FALSE)-VLOOKUP(A279,'School Year 2021-22'!A:AN,'School Year 2021-22'!$W$1,FALSE),0)</f>
        <v>837.98020277207343</v>
      </c>
      <c r="D279" s="72">
        <f t="shared" si="18"/>
        <v>837.98020277207343</v>
      </c>
      <c r="E279" s="72">
        <f t="shared" si="19"/>
        <v>837.98020277207343</v>
      </c>
      <c r="F279" s="72">
        <f t="shared" si="20"/>
        <v>837.98020277207343</v>
      </c>
      <c r="G279" s="115">
        <f t="shared" si="21"/>
        <v>837.98020277207343</v>
      </c>
      <c r="H279" s="114">
        <v>831.44919241143998</v>
      </c>
      <c r="I279" s="72">
        <v>861.83828428673223</v>
      </c>
      <c r="J279" s="72">
        <v>877.73298695960329</v>
      </c>
      <c r="K279" s="115">
        <v>892.78638690734897</v>
      </c>
      <c r="L279" s="114">
        <v>831.44919241143998</v>
      </c>
      <c r="M279" s="72">
        <v>800.29272351994859</v>
      </c>
      <c r="N279" s="72">
        <v>727.92868593385083</v>
      </c>
      <c r="O279" s="115">
        <v>656.85624991961959</v>
      </c>
    </row>
    <row r="280" spans="1:15">
      <c r="A280" t="s">
        <v>243</v>
      </c>
      <c r="B280" t="s">
        <v>244</v>
      </c>
      <c r="C280" s="114">
        <f>IF(VLOOKUP(A280,'School Year 2021-22'!A:AN,'School Year 2021-22'!$R$1,FALSE)&gt;0,VLOOKUP(A280,'School Year 2021-22'!A:AN,'School Year 2021-22'!$U$1,FALSE)-VLOOKUP(A280,'School Year 2021-22'!A:AN,'School Year 2021-22'!$W$1,FALSE),0)+IF((VLOOKUP(A280,'School Year 2021-22'!A:AN,'School Year 2021-22'!$S$1,FALSE)+(VLOOKUP(A280,'School Year 2021-22'!A:AN,'School Year 2021-22'!$T$1,FALSE)))&gt;0,VLOOKUP(A280,'School Year 2021-22'!A:AN,'School Year 2021-22'!$V$1,FALSE)-VLOOKUP(A280,'School Year 2021-22'!A:AN,'School Year 2021-22'!$W$1,FALSE),0)</f>
        <v>828.33385244413785</v>
      </c>
      <c r="D280" s="72">
        <f t="shared" si="18"/>
        <v>828.33385244413785</v>
      </c>
      <c r="E280" s="72">
        <f t="shared" si="19"/>
        <v>828.33385244413785</v>
      </c>
      <c r="F280" s="72">
        <f t="shared" si="20"/>
        <v>828.33385244413785</v>
      </c>
      <c r="G280" s="115">
        <f t="shared" si="21"/>
        <v>828.33385244413785</v>
      </c>
      <c r="H280" s="114">
        <v>831.44919241143998</v>
      </c>
      <c r="I280" s="72">
        <v>861.83828428673223</v>
      </c>
      <c r="J280" s="72">
        <v>877.73298695960329</v>
      </c>
      <c r="K280" s="115">
        <v>892.78638690734897</v>
      </c>
      <c r="L280" s="114">
        <v>831.44919241143998</v>
      </c>
      <c r="M280" s="72">
        <v>800.29272351994859</v>
      </c>
      <c r="N280" s="72">
        <v>727.92868593385083</v>
      </c>
      <c r="O280" s="115">
        <v>656.85624991961959</v>
      </c>
    </row>
    <row r="281" spans="1:15">
      <c r="A281" t="s">
        <v>285</v>
      </c>
      <c r="B281" t="s">
        <v>286</v>
      </c>
      <c r="C281" s="114">
        <f>IF(VLOOKUP(A281,'School Year 2021-22'!A:AN,'School Year 2021-22'!$R$1,FALSE)&gt;0,VLOOKUP(A281,'School Year 2021-22'!A:AN,'School Year 2021-22'!$U$1,FALSE)-VLOOKUP(A281,'School Year 2021-22'!A:AN,'School Year 2021-22'!$W$1,FALSE),0)+IF((VLOOKUP(A281,'School Year 2021-22'!A:AN,'School Year 2021-22'!$S$1,FALSE)+(VLOOKUP(A281,'School Year 2021-22'!A:AN,'School Year 2021-22'!$T$1,FALSE)))&gt;0,VLOOKUP(A281,'School Year 2021-22'!A:AN,'School Year 2021-22'!$V$1,FALSE)-VLOOKUP(A281,'School Year 2021-22'!A:AN,'School Year 2021-22'!$W$1,FALSE),0)</f>
        <v>1023.2012803353255</v>
      </c>
      <c r="D281" s="72">
        <f t="shared" si="18"/>
        <v>1023.2012803353255</v>
      </c>
      <c r="E281" s="72">
        <f t="shared" si="19"/>
        <v>1023.2012803353255</v>
      </c>
      <c r="F281" s="72">
        <f t="shared" si="20"/>
        <v>1023.2012803353255</v>
      </c>
      <c r="G281" s="115">
        <f t="shared" si="21"/>
        <v>1023.2012803353255</v>
      </c>
      <c r="H281" s="114">
        <v>862.04304353640327</v>
      </c>
      <c r="I281" s="72">
        <v>893.28445406684841</v>
      </c>
      <c r="J281" s="72">
        <v>909.80500215221946</v>
      </c>
      <c r="K281" s="115">
        <v>925.52868253675024</v>
      </c>
      <c r="L281" s="114">
        <v>862.04304353640327</v>
      </c>
      <c r="M281" s="72">
        <v>829.83962665257786</v>
      </c>
      <c r="N281" s="72">
        <v>755.15663200327708</v>
      </c>
      <c r="O281" s="115">
        <v>681.80660469410941</v>
      </c>
    </row>
    <row r="282" spans="1:15">
      <c r="A282" t="s">
        <v>339</v>
      </c>
      <c r="B282" t="s">
        <v>340</v>
      </c>
      <c r="C282" s="114">
        <f>IF(VLOOKUP(A282,'School Year 2021-22'!A:AN,'School Year 2021-22'!$R$1,FALSE)&gt;0,VLOOKUP(A282,'School Year 2021-22'!A:AN,'School Year 2021-22'!$U$1,FALSE)-VLOOKUP(A282,'School Year 2021-22'!A:AN,'School Year 2021-22'!$W$1,FALSE),0)+IF((VLOOKUP(A282,'School Year 2021-22'!A:AN,'School Year 2021-22'!$S$1,FALSE)+(VLOOKUP(A282,'School Year 2021-22'!A:AN,'School Year 2021-22'!$T$1,FALSE)))&gt;0,VLOOKUP(A282,'School Year 2021-22'!A:AN,'School Year 2021-22'!$V$1,FALSE)-VLOOKUP(A282,'School Year 2021-22'!A:AN,'School Year 2021-22'!$W$1,FALSE),0)</f>
        <v>836.00229478647725</v>
      </c>
      <c r="D282" s="72">
        <f t="shared" si="18"/>
        <v>836.00229478647725</v>
      </c>
      <c r="E282" s="72">
        <f t="shared" si="19"/>
        <v>836.00229478647725</v>
      </c>
      <c r="F282" s="72">
        <f t="shared" si="20"/>
        <v>836.00229478647725</v>
      </c>
      <c r="G282" s="115">
        <f t="shared" si="21"/>
        <v>836.00229478647725</v>
      </c>
      <c r="H282" s="114">
        <v>831.44919241143998</v>
      </c>
      <c r="I282" s="72">
        <v>861.83828428673223</v>
      </c>
      <c r="J282" s="72">
        <v>877.73298695960329</v>
      </c>
      <c r="K282" s="115">
        <v>892.78638690734897</v>
      </c>
      <c r="L282" s="114">
        <v>831.44919241143998</v>
      </c>
      <c r="M282" s="72">
        <v>800.29272351994859</v>
      </c>
      <c r="N282" s="72">
        <v>727.92868593385083</v>
      </c>
      <c r="O282" s="115">
        <v>656.85624991961959</v>
      </c>
    </row>
    <row r="283" spans="1:15">
      <c r="A283" t="s">
        <v>597</v>
      </c>
      <c r="B283" t="s">
        <v>598</v>
      </c>
      <c r="C283" s="114">
        <f>IF(VLOOKUP(A283,'School Year 2021-22'!A:AN,'School Year 2021-22'!$R$1,FALSE)&gt;0,VLOOKUP(A283,'School Year 2021-22'!A:AN,'School Year 2021-22'!$U$1,FALSE)-VLOOKUP(A283,'School Year 2021-22'!A:AN,'School Year 2021-22'!$W$1,FALSE),0)+IF((VLOOKUP(A283,'School Year 2021-22'!A:AN,'School Year 2021-22'!$S$1,FALSE)+(VLOOKUP(A283,'School Year 2021-22'!A:AN,'School Year 2021-22'!$T$1,FALSE)))&gt;0,VLOOKUP(A283,'School Year 2021-22'!A:AN,'School Year 2021-22'!$V$1,FALSE)-VLOOKUP(A283,'School Year 2021-22'!A:AN,'School Year 2021-22'!$W$1,FALSE),0)</f>
        <v>836.61717773645341</v>
      </c>
      <c r="D283" s="72">
        <f t="shared" si="18"/>
        <v>836.61717773645341</v>
      </c>
      <c r="E283" s="72">
        <f t="shared" si="19"/>
        <v>836.61717773645341</v>
      </c>
      <c r="F283" s="72">
        <f t="shared" si="20"/>
        <v>836.61717773645341</v>
      </c>
      <c r="G283" s="115">
        <f t="shared" si="21"/>
        <v>836.61717773645341</v>
      </c>
      <c r="H283" s="114">
        <v>831.44919241143998</v>
      </c>
      <c r="I283" s="72">
        <v>861.83828428673223</v>
      </c>
      <c r="J283" s="72">
        <v>877.73298695960329</v>
      </c>
      <c r="K283" s="115">
        <v>892.78638690734897</v>
      </c>
      <c r="L283" s="114">
        <v>831.44919241143998</v>
      </c>
      <c r="M283" s="72">
        <v>800.29272351994859</v>
      </c>
      <c r="N283" s="72">
        <v>727.92868593385083</v>
      </c>
      <c r="O283" s="115">
        <v>656.85624991961959</v>
      </c>
    </row>
    <row r="284" spans="1:15">
      <c r="A284" t="s">
        <v>531</v>
      </c>
      <c r="B284" t="s">
        <v>532</v>
      </c>
      <c r="C284" s="114">
        <f>IF(VLOOKUP(A284,'School Year 2021-22'!A:AN,'School Year 2021-22'!$R$1,FALSE)&gt;0,VLOOKUP(A284,'School Year 2021-22'!A:AN,'School Year 2021-22'!$U$1,FALSE)-VLOOKUP(A284,'School Year 2021-22'!A:AN,'School Year 2021-22'!$W$1,FALSE),0)+IF((VLOOKUP(A284,'School Year 2021-22'!A:AN,'School Year 2021-22'!$S$1,FALSE)+(VLOOKUP(A284,'School Year 2021-22'!A:AN,'School Year 2021-22'!$T$1,FALSE)))&gt;0,VLOOKUP(A284,'School Year 2021-22'!A:AN,'School Year 2021-22'!$V$1,FALSE)-VLOOKUP(A284,'School Year 2021-22'!A:AN,'School Year 2021-22'!$W$1,FALSE),0)</f>
        <v>850.42519927123521</v>
      </c>
      <c r="D284" s="72">
        <f t="shared" si="18"/>
        <v>850.42519927123521</v>
      </c>
      <c r="E284" s="72">
        <f t="shared" si="19"/>
        <v>850.42519927123521</v>
      </c>
      <c r="F284" s="72">
        <f t="shared" si="20"/>
        <v>850.42519927123521</v>
      </c>
      <c r="G284" s="115">
        <f t="shared" si="21"/>
        <v>850.42519927123521</v>
      </c>
      <c r="H284" s="114">
        <v>831.44919241143998</v>
      </c>
      <c r="I284" s="72">
        <v>861.83828428673223</v>
      </c>
      <c r="J284" s="72">
        <v>877.73298695960329</v>
      </c>
      <c r="K284" s="115">
        <v>892.78638690734897</v>
      </c>
      <c r="L284" s="114">
        <v>831.44919241143998</v>
      </c>
      <c r="M284" s="72">
        <v>800.29272351994859</v>
      </c>
      <c r="N284" s="72">
        <v>727.92868593385083</v>
      </c>
      <c r="O284" s="115">
        <v>656.85624991961959</v>
      </c>
    </row>
    <row r="285" spans="1:15">
      <c r="A285" t="s">
        <v>79</v>
      </c>
      <c r="B285" t="s">
        <v>80</v>
      </c>
      <c r="C285" s="114">
        <f>IF(VLOOKUP(A285,'School Year 2021-22'!A:AN,'School Year 2021-22'!$R$1,FALSE)&gt;0,VLOOKUP(A285,'School Year 2021-22'!A:AN,'School Year 2021-22'!$U$1,FALSE)-VLOOKUP(A285,'School Year 2021-22'!A:AN,'School Year 2021-22'!$W$1,FALSE),0)+IF((VLOOKUP(A285,'School Year 2021-22'!A:AN,'School Year 2021-22'!$S$1,FALSE)+(VLOOKUP(A285,'School Year 2021-22'!A:AN,'School Year 2021-22'!$T$1,FALSE)))&gt;0,VLOOKUP(A285,'School Year 2021-22'!A:AN,'School Year 2021-22'!$V$1,FALSE)-VLOOKUP(A285,'School Year 2021-22'!A:AN,'School Year 2021-22'!$W$1,FALSE),0)</f>
        <v>1025.9796173433506</v>
      </c>
      <c r="D285" s="72">
        <f t="shared" si="18"/>
        <v>1025.9796173433506</v>
      </c>
      <c r="E285" s="72">
        <f t="shared" si="19"/>
        <v>1025.9796173433506</v>
      </c>
      <c r="F285" s="72">
        <f t="shared" si="20"/>
        <v>1025.9796173433506</v>
      </c>
      <c r="G285" s="115">
        <f t="shared" si="21"/>
        <v>1025.9796173433506</v>
      </c>
      <c r="H285" s="114">
        <v>862.04304353640327</v>
      </c>
      <c r="I285" s="72">
        <v>893.28445406684841</v>
      </c>
      <c r="J285" s="72">
        <v>909.80500215221946</v>
      </c>
      <c r="K285" s="115">
        <v>925.52868253675024</v>
      </c>
      <c r="L285" s="114">
        <v>862.04304353640327</v>
      </c>
      <c r="M285" s="72">
        <v>829.83962665257786</v>
      </c>
      <c r="N285" s="72">
        <v>755.15663200327708</v>
      </c>
      <c r="O285" s="115">
        <v>681.80660469410941</v>
      </c>
    </row>
    <row r="286" spans="1:15">
      <c r="A286" t="s">
        <v>257</v>
      </c>
      <c r="B286" t="s">
        <v>258</v>
      </c>
      <c r="C286" s="114">
        <f>IF(VLOOKUP(A286,'School Year 2021-22'!A:AN,'School Year 2021-22'!$R$1,FALSE)&gt;0,VLOOKUP(A286,'School Year 2021-22'!A:AN,'School Year 2021-22'!$U$1,FALSE)-VLOOKUP(A286,'School Year 2021-22'!A:AN,'School Year 2021-22'!$W$1,FALSE),0)+IF((VLOOKUP(A286,'School Year 2021-22'!A:AN,'School Year 2021-22'!$S$1,FALSE)+(VLOOKUP(A286,'School Year 2021-22'!A:AN,'School Year 2021-22'!$T$1,FALSE)))&gt;0,VLOOKUP(A286,'School Year 2021-22'!A:AN,'School Year 2021-22'!$V$1,FALSE)-VLOOKUP(A286,'School Year 2021-22'!A:AN,'School Year 2021-22'!$W$1,FALSE),0)</f>
        <v>0</v>
      </c>
      <c r="D286" s="72">
        <f t="shared" si="18"/>
        <v>0</v>
      </c>
      <c r="E286" s="72">
        <f t="shared" si="19"/>
        <v>0</v>
      </c>
      <c r="F286" s="72">
        <f t="shared" si="20"/>
        <v>0</v>
      </c>
      <c r="G286" s="115">
        <f t="shared" si="21"/>
        <v>0</v>
      </c>
      <c r="H286" s="114">
        <v>0</v>
      </c>
      <c r="I286" s="72">
        <v>0</v>
      </c>
      <c r="J286" s="72">
        <v>0</v>
      </c>
      <c r="K286" s="115">
        <v>0</v>
      </c>
      <c r="L286" s="114">
        <v>0</v>
      </c>
      <c r="M286" s="72">
        <v>0</v>
      </c>
      <c r="N286" s="72">
        <v>0</v>
      </c>
      <c r="O286" s="115">
        <v>0</v>
      </c>
    </row>
    <row r="287" spans="1:15">
      <c r="A287" t="s">
        <v>201</v>
      </c>
      <c r="B287" t="s">
        <v>202</v>
      </c>
      <c r="C287" s="114">
        <f>IF(VLOOKUP(A287,'School Year 2021-22'!A:AN,'School Year 2021-22'!$R$1,FALSE)&gt;0,VLOOKUP(A287,'School Year 2021-22'!A:AN,'School Year 2021-22'!$U$1,FALSE)-VLOOKUP(A287,'School Year 2021-22'!A:AN,'School Year 2021-22'!$W$1,FALSE),0)+IF((VLOOKUP(A287,'School Year 2021-22'!A:AN,'School Year 2021-22'!$S$1,FALSE)+(VLOOKUP(A287,'School Year 2021-22'!A:AN,'School Year 2021-22'!$T$1,FALSE)))&gt;0,VLOOKUP(A287,'School Year 2021-22'!A:AN,'School Year 2021-22'!$V$1,FALSE)-VLOOKUP(A287,'School Year 2021-22'!A:AN,'School Year 2021-22'!$W$1,FALSE),0)</f>
        <v>964.76962171343075</v>
      </c>
      <c r="D287" s="72">
        <f t="shared" si="18"/>
        <v>964.76962171343075</v>
      </c>
      <c r="E287" s="72">
        <f t="shared" si="19"/>
        <v>964.76962171343075</v>
      </c>
      <c r="F287" s="72">
        <f t="shared" si="20"/>
        <v>964.76962171343075</v>
      </c>
      <c r="G287" s="115">
        <f t="shared" si="21"/>
        <v>964.76962171343075</v>
      </c>
      <c r="H287" s="114">
        <v>952.43799506516825</v>
      </c>
      <c r="I287" s="72">
        <v>986.27395888754472</v>
      </c>
      <c r="J287" s="72">
        <v>1004.6986447449126</v>
      </c>
      <c r="K287" s="115">
        <v>1022.4616566832483</v>
      </c>
      <c r="L287" s="114">
        <v>952.43799506516825</v>
      </c>
      <c r="M287" s="72">
        <v>915.43319193164098</v>
      </c>
      <c r="N287" s="72">
        <v>831.97642153575725</v>
      </c>
      <c r="O287" s="115">
        <v>749.96485144546386</v>
      </c>
    </row>
    <row r="288" spans="1:15">
      <c r="A288" t="s">
        <v>511</v>
      </c>
      <c r="B288" t="s">
        <v>512</v>
      </c>
      <c r="C288" s="114">
        <f>IF(VLOOKUP(A288,'School Year 2021-22'!A:AN,'School Year 2021-22'!$R$1,FALSE)&gt;0,VLOOKUP(A288,'School Year 2021-22'!A:AN,'School Year 2021-22'!$U$1,FALSE)-VLOOKUP(A288,'School Year 2021-22'!A:AN,'School Year 2021-22'!$W$1,FALSE),0)+IF((VLOOKUP(A288,'School Year 2021-22'!A:AN,'School Year 2021-22'!$S$1,FALSE)+(VLOOKUP(A288,'School Year 2021-22'!A:AN,'School Year 2021-22'!$T$1,FALSE)))&gt;0,VLOOKUP(A288,'School Year 2021-22'!A:AN,'School Year 2021-22'!$V$1,FALSE)-VLOOKUP(A288,'School Year 2021-22'!A:AN,'School Year 2021-22'!$W$1,FALSE),0)</f>
        <v>2870.2252867816005</v>
      </c>
      <c r="D288" s="72">
        <f t="shared" si="18"/>
        <v>2870.2252867816005</v>
      </c>
      <c r="E288" s="72">
        <f t="shared" si="19"/>
        <v>2870.2252867816005</v>
      </c>
      <c r="F288" s="72">
        <f t="shared" si="20"/>
        <v>2870.2252867816005</v>
      </c>
      <c r="G288" s="115">
        <f t="shared" si="21"/>
        <v>2870.2252867816005</v>
      </c>
      <c r="H288" s="114">
        <v>2743.8562285484904</v>
      </c>
      <c r="I288" s="72">
        <v>2845.5334694006287</v>
      </c>
      <c r="J288" s="72">
        <v>2898.9966826168311</v>
      </c>
      <c r="K288" s="115">
        <v>2949.7474321938844</v>
      </c>
      <c r="L288" s="114">
        <v>2743.8562285484904</v>
      </c>
      <c r="M288" s="72">
        <v>2751.7557090623432</v>
      </c>
      <c r="N288" s="72">
        <v>2627.9152272959072</v>
      </c>
      <c r="O288" s="115">
        <v>2508.1074202995442</v>
      </c>
    </row>
    <row r="289" spans="1:15">
      <c r="A289" t="s">
        <v>581</v>
      </c>
      <c r="B289" t="s">
        <v>582</v>
      </c>
      <c r="C289" s="114">
        <f>IF(VLOOKUP(A289,'School Year 2021-22'!A:AN,'School Year 2021-22'!$R$1,FALSE)&gt;0,VLOOKUP(A289,'School Year 2021-22'!A:AN,'School Year 2021-22'!$U$1,FALSE)-VLOOKUP(A289,'School Year 2021-22'!A:AN,'School Year 2021-22'!$W$1,FALSE),0)+IF((VLOOKUP(A289,'School Year 2021-22'!A:AN,'School Year 2021-22'!$S$1,FALSE)+(VLOOKUP(A289,'School Year 2021-22'!A:AN,'School Year 2021-22'!$T$1,FALSE)))&gt;0,VLOOKUP(A289,'School Year 2021-22'!A:AN,'School Year 2021-22'!$V$1,FALSE)-VLOOKUP(A289,'School Year 2021-22'!A:AN,'School Year 2021-22'!$W$1,FALSE),0)</f>
        <v>0</v>
      </c>
      <c r="D289" s="72">
        <f t="shared" si="18"/>
        <v>0</v>
      </c>
      <c r="E289" s="72">
        <f t="shared" si="19"/>
        <v>0</v>
      </c>
      <c r="F289" s="72">
        <f t="shared" si="20"/>
        <v>0</v>
      </c>
      <c r="G289" s="115">
        <f t="shared" si="21"/>
        <v>0</v>
      </c>
      <c r="H289" s="114">
        <v>0</v>
      </c>
      <c r="I289" s="72">
        <v>0</v>
      </c>
      <c r="J289" s="72">
        <v>0</v>
      </c>
      <c r="K289" s="115">
        <v>0</v>
      </c>
      <c r="L289" s="114">
        <v>0</v>
      </c>
      <c r="M289" s="72">
        <v>0</v>
      </c>
      <c r="N289" s="72">
        <v>0</v>
      </c>
      <c r="O289" s="115">
        <v>0</v>
      </c>
    </row>
    <row r="290" spans="1:15">
      <c r="A290" t="s">
        <v>369</v>
      </c>
      <c r="B290" t="s">
        <v>370</v>
      </c>
      <c r="C290" s="114">
        <f>IF(VLOOKUP(A290,'School Year 2021-22'!A:AN,'School Year 2021-22'!$R$1,FALSE)&gt;0,VLOOKUP(A290,'School Year 2021-22'!A:AN,'School Year 2021-22'!$U$1,FALSE)-VLOOKUP(A290,'School Year 2021-22'!A:AN,'School Year 2021-22'!$W$1,FALSE),0)+IF((VLOOKUP(A290,'School Year 2021-22'!A:AN,'School Year 2021-22'!$S$1,FALSE)+(VLOOKUP(A290,'School Year 2021-22'!A:AN,'School Year 2021-22'!$T$1,FALSE)))&gt;0,VLOOKUP(A290,'School Year 2021-22'!A:AN,'School Year 2021-22'!$V$1,FALSE)-VLOOKUP(A290,'School Year 2021-22'!A:AN,'School Year 2021-22'!$W$1,FALSE),0)</f>
        <v>734.24968942527084</v>
      </c>
      <c r="D290" s="72">
        <f t="shared" si="18"/>
        <v>734.24968942527084</v>
      </c>
      <c r="E290" s="72">
        <f t="shared" si="19"/>
        <v>734.24968942527084</v>
      </c>
      <c r="F290" s="72">
        <f t="shared" si="20"/>
        <v>734.24968942527084</v>
      </c>
      <c r="G290" s="115">
        <f t="shared" si="21"/>
        <v>734.24968942527084</v>
      </c>
      <c r="H290" s="114">
        <v>902.37264442098058</v>
      </c>
      <c r="I290" s="72">
        <v>934.76301226712076</v>
      </c>
      <c r="J290" s="72">
        <v>952.12688808065559</v>
      </c>
      <c r="K290" s="115">
        <v>968.75377246205062</v>
      </c>
      <c r="L290" s="114">
        <v>902.37264442098058</v>
      </c>
      <c r="M290" s="72">
        <v>868.21978278981078</v>
      </c>
      <c r="N290" s="72">
        <v>789.83921053724589</v>
      </c>
      <c r="O290" s="115">
        <v>712.84280520272478</v>
      </c>
    </row>
    <row r="291" spans="1:15">
      <c r="A291" t="s">
        <v>489</v>
      </c>
      <c r="B291" t="s">
        <v>490</v>
      </c>
      <c r="C291" s="114">
        <f>IF(VLOOKUP(A291,'School Year 2021-22'!A:AN,'School Year 2021-22'!$R$1,FALSE)&gt;0,VLOOKUP(A291,'School Year 2021-22'!A:AN,'School Year 2021-22'!$U$1,FALSE)-VLOOKUP(A291,'School Year 2021-22'!A:AN,'School Year 2021-22'!$W$1,FALSE),0)+IF((VLOOKUP(A291,'School Year 2021-22'!A:AN,'School Year 2021-22'!$S$1,FALSE)+(VLOOKUP(A291,'School Year 2021-22'!A:AN,'School Year 2021-22'!$T$1,FALSE)))&gt;0,VLOOKUP(A291,'School Year 2021-22'!A:AN,'School Year 2021-22'!$V$1,FALSE)-VLOOKUP(A291,'School Year 2021-22'!A:AN,'School Year 2021-22'!$W$1,FALSE),0)</f>
        <v>0</v>
      </c>
      <c r="D291" s="72">
        <f t="shared" si="18"/>
        <v>0</v>
      </c>
      <c r="E291" s="72">
        <f t="shared" si="19"/>
        <v>0</v>
      </c>
      <c r="F291" s="72">
        <f t="shared" si="20"/>
        <v>0</v>
      </c>
      <c r="G291" s="115">
        <f t="shared" si="21"/>
        <v>0</v>
      </c>
      <c r="H291" s="114">
        <v>0</v>
      </c>
      <c r="I291" s="72">
        <v>0</v>
      </c>
      <c r="J291" s="72">
        <v>0</v>
      </c>
      <c r="K291" s="115">
        <v>0</v>
      </c>
      <c r="L291" s="114">
        <v>0</v>
      </c>
      <c r="M291" s="72">
        <v>0</v>
      </c>
      <c r="N291" s="72">
        <v>0</v>
      </c>
      <c r="O291" s="115">
        <v>0</v>
      </c>
    </row>
    <row r="292" spans="1:15">
      <c r="A292" t="s">
        <v>55</v>
      </c>
      <c r="B292" t="s">
        <v>56</v>
      </c>
      <c r="C292" s="114">
        <f>IF(VLOOKUP(A292,'School Year 2021-22'!A:AN,'School Year 2021-22'!$R$1,FALSE)&gt;0,VLOOKUP(A292,'School Year 2021-22'!A:AN,'School Year 2021-22'!$U$1,FALSE)-VLOOKUP(A292,'School Year 2021-22'!A:AN,'School Year 2021-22'!$W$1,FALSE),0)+IF((VLOOKUP(A292,'School Year 2021-22'!A:AN,'School Year 2021-22'!$S$1,FALSE)+(VLOOKUP(A292,'School Year 2021-22'!A:AN,'School Year 2021-22'!$T$1,FALSE)))&gt;0,VLOOKUP(A292,'School Year 2021-22'!A:AN,'School Year 2021-22'!$V$1,FALSE)-VLOOKUP(A292,'School Year 2021-22'!A:AN,'School Year 2021-22'!$W$1,FALSE),0)</f>
        <v>1215.0190413095379</v>
      </c>
      <c r="D292" s="72">
        <f t="shared" si="18"/>
        <v>1215.0190413095379</v>
      </c>
      <c r="E292" s="72">
        <f t="shared" si="19"/>
        <v>1215.0190413095379</v>
      </c>
      <c r="F292" s="72">
        <f t="shared" si="20"/>
        <v>1215.0190413095379</v>
      </c>
      <c r="G292" s="115">
        <f t="shared" si="21"/>
        <v>1215.0190413095379</v>
      </c>
      <c r="H292" s="114">
        <v>871.77879329601546</v>
      </c>
      <c r="I292" s="72">
        <v>903.31684248700276</v>
      </c>
      <c r="J292" s="72">
        <v>920.05487288803943</v>
      </c>
      <c r="K292" s="115">
        <v>936.01147683264753</v>
      </c>
      <c r="L292" s="114">
        <v>871.77879329601546</v>
      </c>
      <c r="M292" s="72">
        <v>838.67287965718151</v>
      </c>
      <c r="N292" s="72">
        <v>762.61126446782146</v>
      </c>
      <c r="O292" s="115">
        <v>687.89245042823313</v>
      </c>
    </row>
    <row r="293" spans="1:15">
      <c r="A293" t="s">
        <v>193</v>
      </c>
      <c r="B293" t="s">
        <v>194</v>
      </c>
      <c r="C293" s="114">
        <f>IF(VLOOKUP(A293,'School Year 2021-22'!A:AN,'School Year 2021-22'!$R$1,FALSE)&gt;0,VLOOKUP(A293,'School Year 2021-22'!A:AN,'School Year 2021-22'!$U$1,FALSE)-VLOOKUP(A293,'School Year 2021-22'!A:AN,'School Year 2021-22'!$W$1,FALSE),0)+IF((VLOOKUP(A293,'School Year 2021-22'!A:AN,'School Year 2021-22'!$S$1,FALSE)+(VLOOKUP(A293,'School Year 2021-22'!A:AN,'School Year 2021-22'!$T$1,FALSE)))&gt;0,VLOOKUP(A293,'School Year 2021-22'!A:AN,'School Year 2021-22'!$V$1,FALSE)-VLOOKUP(A293,'School Year 2021-22'!A:AN,'School Year 2021-22'!$W$1,FALSE),0)</f>
        <v>583.98492908789012</v>
      </c>
      <c r="D293" s="72">
        <f t="shared" si="18"/>
        <v>583.98492908789012</v>
      </c>
      <c r="E293" s="72">
        <f t="shared" si="19"/>
        <v>583.98492908789012</v>
      </c>
      <c r="F293" s="72">
        <f t="shared" si="20"/>
        <v>583.98492908789012</v>
      </c>
      <c r="G293" s="115">
        <f t="shared" si="21"/>
        <v>583.98492908789012</v>
      </c>
      <c r="H293" s="114">
        <v>912.10839418059186</v>
      </c>
      <c r="I293" s="72">
        <v>944.79540068727511</v>
      </c>
      <c r="J293" s="72">
        <v>962.37675881647738</v>
      </c>
      <c r="K293" s="115">
        <v>979.23656675794882</v>
      </c>
      <c r="L293" s="114">
        <v>912.10839418059186</v>
      </c>
      <c r="M293" s="72">
        <v>877.05303579440988</v>
      </c>
      <c r="N293" s="72">
        <v>797.29384300178936</v>
      </c>
      <c r="O293" s="115">
        <v>718.9286509368485</v>
      </c>
    </row>
    <row r="294" spans="1:15">
      <c r="A294" t="s">
        <v>1024</v>
      </c>
      <c r="B294" t="s">
        <v>1044</v>
      </c>
      <c r="C294" s="114">
        <f>IF(VLOOKUP(A294,'School Year 2021-22'!A:AN,'School Year 2021-22'!$R$1,FALSE)&gt;0,VLOOKUP(A294,'School Year 2021-22'!A:AN,'School Year 2021-22'!$U$1,FALSE)-VLOOKUP(A294,'School Year 2021-22'!A:AN,'School Year 2021-22'!$W$1,FALSE),0)+IF((VLOOKUP(A294,'School Year 2021-22'!A:AN,'School Year 2021-22'!$S$1,FALSE)+(VLOOKUP(A294,'School Year 2021-22'!A:AN,'School Year 2021-22'!$T$1,FALSE)))&gt;0,VLOOKUP(A294,'School Year 2021-22'!A:AN,'School Year 2021-22'!$V$1,FALSE)-VLOOKUP(A294,'School Year 2021-22'!A:AN,'School Year 2021-22'!$W$1,FALSE),0)</f>
        <v>0</v>
      </c>
      <c r="D294" s="72">
        <f t="shared" si="18"/>
        <v>0</v>
      </c>
      <c r="E294" s="72">
        <f t="shared" si="19"/>
        <v>0</v>
      </c>
      <c r="F294" s="72">
        <f t="shared" si="20"/>
        <v>0</v>
      </c>
      <c r="G294" s="115">
        <f t="shared" si="21"/>
        <v>0</v>
      </c>
      <c r="H294" s="114">
        <v>0</v>
      </c>
      <c r="I294" s="72">
        <v>0</v>
      </c>
      <c r="J294" s="72">
        <v>0</v>
      </c>
      <c r="K294" s="115">
        <v>0</v>
      </c>
      <c r="L294" s="114">
        <v>0</v>
      </c>
      <c r="M294" s="72">
        <v>0</v>
      </c>
      <c r="N294" s="72">
        <v>0</v>
      </c>
      <c r="O294" s="115">
        <v>0</v>
      </c>
    </row>
    <row r="295" spans="1:15">
      <c r="A295" t="s">
        <v>523</v>
      </c>
      <c r="B295" t="s">
        <v>524</v>
      </c>
      <c r="C295" s="114">
        <f>IF(VLOOKUP(A295,'School Year 2021-22'!A:AN,'School Year 2021-22'!$R$1,FALSE)&gt;0,VLOOKUP(A295,'School Year 2021-22'!A:AN,'School Year 2021-22'!$U$1,FALSE)-VLOOKUP(A295,'School Year 2021-22'!A:AN,'School Year 2021-22'!$W$1,FALSE),0)+IF((VLOOKUP(A295,'School Year 2021-22'!A:AN,'School Year 2021-22'!$S$1,FALSE)+(VLOOKUP(A295,'School Year 2021-22'!A:AN,'School Year 2021-22'!$T$1,FALSE)))&gt;0,VLOOKUP(A295,'School Year 2021-22'!A:AN,'School Year 2021-22'!$V$1,FALSE)-VLOOKUP(A295,'School Year 2021-22'!A:AN,'School Year 2021-22'!$W$1,FALSE),0)</f>
        <v>6661.0745818803407</v>
      </c>
      <c r="D295" s="72">
        <f t="shared" si="18"/>
        <v>6661.0745818803407</v>
      </c>
      <c r="E295" s="72">
        <f t="shared" si="19"/>
        <v>6661.0745818803407</v>
      </c>
      <c r="F295" s="72">
        <f t="shared" si="20"/>
        <v>6661.0745818803407</v>
      </c>
      <c r="G295" s="115">
        <f t="shared" si="21"/>
        <v>6661.0745818803407</v>
      </c>
      <c r="H295" s="114">
        <v>862.04304353640327</v>
      </c>
      <c r="I295" s="72">
        <v>893.28445406684841</v>
      </c>
      <c r="J295" s="72">
        <v>909.80500215221946</v>
      </c>
      <c r="K295" s="115">
        <v>925.52868253675024</v>
      </c>
      <c r="L295" s="114">
        <v>862.04304353640327</v>
      </c>
      <c r="M295" s="72">
        <v>829.83962665257786</v>
      </c>
      <c r="N295" s="72">
        <v>755.15663200327708</v>
      </c>
      <c r="O295" s="115">
        <v>681.80660469410941</v>
      </c>
    </row>
    <row r="296" spans="1:15">
      <c r="A296" t="s">
        <v>121</v>
      </c>
      <c r="B296" t="s">
        <v>122</v>
      </c>
      <c r="C296" s="114">
        <f>IF(VLOOKUP(A296,'School Year 2021-22'!A:AN,'School Year 2021-22'!$R$1,FALSE)&gt;0,VLOOKUP(A296,'School Year 2021-22'!A:AN,'School Year 2021-22'!$U$1,FALSE)-VLOOKUP(A296,'School Year 2021-22'!A:AN,'School Year 2021-22'!$W$1,FALSE),0)+IF((VLOOKUP(A296,'School Year 2021-22'!A:AN,'School Year 2021-22'!$S$1,FALSE)+(VLOOKUP(A296,'School Year 2021-22'!A:AN,'School Year 2021-22'!$T$1,FALSE)))&gt;0,VLOOKUP(A296,'School Year 2021-22'!A:AN,'School Year 2021-22'!$V$1,FALSE)-VLOOKUP(A296,'School Year 2021-22'!A:AN,'School Year 2021-22'!$W$1,FALSE),0)</f>
        <v>6467.419971183579</v>
      </c>
      <c r="D296" s="72">
        <f t="shared" si="18"/>
        <v>6467.419971183579</v>
      </c>
      <c r="E296" s="72">
        <f t="shared" si="19"/>
        <v>6467.419971183579</v>
      </c>
      <c r="F296" s="72">
        <f t="shared" si="20"/>
        <v>6467.419971183579</v>
      </c>
      <c r="G296" s="115">
        <f t="shared" si="21"/>
        <v>6467.419971183579</v>
      </c>
      <c r="H296" s="114">
        <v>831.44919241143998</v>
      </c>
      <c r="I296" s="72">
        <v>861.83828428673223</v>
      </c>
      <c r="J296" s="72">
        <v>877.73298695960329</v>
      </c>
      <c r="K296" s="115">
        <v>892.78638690734897</v>
      </c>
      <c r="L296" s="114">
        <v>831.44919241143998</v>
      </c>
      <c r="M296" s="72">
        <v>800.29272351994859</v>
      </c>
      <c r="N296" s="72">
        <v>727.92868593385083</v>
      </c>
      <c r="O296" s="115">
        <v>656.85624991961959</v>
      </c>
    </row>
    <row r="297" spans="1:15">
      <c r="A297" t="s">
        <v>535</v>
      </c>
      <c r="B297" t="s">
        <v>536</v>
      </c>
      <c r="C297" s="114">
        <f>IF(VLOOKUP(A297,'School Year 2021-22'!A:AN,'School Year 2021-22'!$R$1,FALSE)&gt;0,VLOOKUP(A297,'School Year 2021-22'!A:AN,'School Year 2021-22'!$U$1,FALSE)-VLOOKUP(A297,'School Year 2021-22'!A:AN,'School Year 2021-22'!$W$1,FALSE),0)+IF((VLOOKUP(A297,'School Year 2021-22'!A:AN,'School Year 2021-22'!$S$1,FALSE)+(VLOOKUP(A297,'School Year 2021-22'!A:AN,'School Year 2021-22'!$T$1,FALSE)))&gt;0,VLOOKUP(A297,'School Year 2021-22'!A:AN,'School Year 2021-22'!$V$1,FALSE)-VLOOKUP(A297,'School Year 2021-22'!A:AN,'School Year 2021-22'!$W$1,FALSE),0)</f>
        <v>823.01215958990269</v>
      </c>
      <c r="D297" s="72">
        <f t="shared" si="18"/>
        <v>823.01215958990269</v>
      </c>
      <c r="E297" s="72">
        <f t="shared" si="19"/>
        <v>823.01215958990269</v>
      </c>
      <c r="F297" s="72">
        <f t="shared" si="20"/>
        <v>823.01215958990269</v>
      </c>
      <c r="G297" s="115">
        <f t="shared" si="21"/>
        <v>823.01215958990269</v>
      </c>
      <c r="H297" s="114">
        <v>831.44919241143998</v>
      </c>
      <c r="I297" s="72">
        <v>861.83828428673223</v>
      </c>
      <c r="J297" s="72">
        <v>877.73298695960329</v>
      </c>
      <c r="K297" s="115">
        <v>892.78638690734897</v>
      </c>
      <c r="L297" s="114">
        <v>831.44919241143998</v>
      </c>
      <c r="M297" s="72">
        <v>800.29272351994859</v>
      </c>
      <c r="N297" s="72">
        <v>727.92868593385083</v>
      </c>
      <c r="O297" s="115">
        <v>656.85624991961959</v>
      </c>
    </row>
    <row r="298" spans="1:15">
      <c r="A298" t="s">
        <v>527</v>
      </c>
      <c r="B298" t="s">
        <v>528</v>
      </c>
      <c r="C298" s="114">
        <f>IF(VLOOKUP(A298,'School Year 2021-22'!A:AN,'School Year 2021-22'!$R$1,FALSE)&gt;0,VLOOKUP(A298,'School Year 2021-22'!A:AN,'School Year 2021-22'!$U$1,FALSE)-VLOOKUP(A298,'School Year 2021-22'!A:AN,'School Year 2021-22'!$W$1,FALSE),0)+IF((VLOOKUP(A298,'School Year 2021-22'!A:AN,'School Year 2021-22'!$S$1,FALSE)+(VLOOKUP(A298,'School Year 2021-22'!A:AN,'School Year 2021-22'!$T$1,FALSE)))&gt;0,VLOOKUP(A298,'School Year 2021-22'!A:AN,'School Year 2021-22'!$V$1,FALSE)-VLOOKUP(A298,'School Year 2021-22'!A:AN,'School Year 2021-22'!$W$1,FALSE),0)</f>
        <v>3288.9070726470054</v>
      </c>
      <c r="D298" s="72">
        <f t="shared" si="18"/>
        <v>3288.9070726470054</v>
      </c>
      <c r="E298" s="72">
        <f t="shared" si="19"/>
        <v>3288.9070726470054</v>
      </c>
      <c r="F298" s="72">
        <f t="shared" si="20"/>
        <v>3288.9070726470054</v>
      </c>
      <c r="G298" s="115">
        <f t="shared" si="21"/>
        <v>3288.9070726470054</v>
      </c>
      <c r="H298" s="114">
        <v>2842.8227796749325</v>
      </c>
      <c r="I298" s="72">
        <v>2947.257144415029</v>
      </c>
      <c r="J298" s="72">
        <v>3002.7448743146742</v>
      </c>
      <c r="K298" s="115">
        <v>3055.6638812596957</v>
      </c>
      <c r="L298" s="114">
        <v>2842.8227796749325</v>
      </c>
      <c r="M298" s="72">
        <v>2850.7834619264431</v>
      </c>
      <c r="N298" s="72">
        <v>2723.0999441149415</v>
      </c>
      <c r="O298" s="115">
        <v>2599.588268953823</v>
      </c>
    </row>
    <row r="299" spans="1:15">
      <c r="A299" t="s">
        <v>605</v>
      </c>
      <c r="B299" t="s">
        <v>606</v>
      </c>
      <c r="C299" s="114">
        <f>IF(VLOOKUP(A299,'School Year 2021-22'!A:AN,'School Year 2021-22'!$R$1,FALSE)&gt;0,VLOOKUP(A299,'School Year 2021-22'!A:AN,'School Year 2021-22'!$U$1,FALSE)-VLOOKUP(A299,'School Year 2021-22'!A:AN,'School Year 2021-22'!$W$1,FALSE),0)+IF((VLOOKUP(A299,'School Year 2021-22'!A:AN,'School Year 2021-22'!$S$1,FALSE)+(VLOOKUP(A299,'School Year 2021-22'!A:AN,'School Year 2021-22'!$T$1,FALSE)))&gt;0,VLOOKUP(A299,'School Year 2021-22'!A:AN,'School Year 2021-22'!$V$1,FALSE)-VLOOKUP(A299,'School Year 2021-22'!A:AN,'School Year 2021-22'!$W$1,FALSE),0)</f>
        <v>837.2667953637656</v>
      </c>
      <c r="D299" s="72">
        <f t="shared" si="18"/>
        <v>837.2667953637656</v>
      </c>
      <c r="E299" s="72">
        <f t="shared" si="19"/>
        <v>837.2667953637656</v>
      </c>
      <c r="F299" s="72">
        <f t="shared" si="20"/>
        <v>837.2667953637656</v>
      </c>
      <c r="G299" s="115">
        <f t="shared" si="21"/>
        <v>837.2667953637656</v>
      </c>
      <c r="H299" s="114">
        <v>831.44919241143998</v>
      </c>
      <c r="I299" s="72">
        <v>861.83828428673223</v>
      </c>
      <c r="J299" s="72">
        <v>877.73298695960329</v>
      </c>
      <c r="K299" s="115">
        <v>892.78638690734897</v>
      </c>
      <c r="L299" s="114">
        <v>831.44919241143998</v>
      </c>
      <c r="M299" s="72">
        <v>800.29272351994859</v>
      </c>
      <c r="N299" s="72">
        <v>727.92868593385083</v>
      </c>
      <c r="O299" s="115">
        <v>656.85624991961959</v>
      </c>
    </row>
    <row r="300" spans="1:15">
      <c r="A300" t="s">
        <v>125</v>
      </c>
      <c r="B300" t="s">
        <v>126</v>
      </c>
      <c r="C300" s="114">
        <f>IF(VLOOKUP(A300,'School Year 2021-22'!A:AN,'School Year 2021-22'!$R$1,FALSE)&gt;0,VLOOKUP(A300,'School Year 2021-22'!A:AN,'School Year 2021-22'!$U$1,FALSE)-VLOOKUP(A300,'School Year 2021-22'!A:AN,'School Year 2021-22'!$W$1,FALSE),0)+IF((VLOOKUP(A300,'School Year 2021-22'!A:AN,'School Year 2021-22'!$S$1,FALSE)+(VLOOKUP(A300,'School Year 2021-22'!A:AN,'School Year 2021-22'!$T$1,FALSE)))&gt;0,VLOOKUP(A300,'School Year 2021-22'!A:AN,'School Year 2021-22'!$V$1,FALSE)-VLOOKUP(A300,'School Year 2021-22'!A:AN,'School Year 2021-22'!$W$1,FALSE),0)</f>
        <v>839.36014378589698</v>
      </c>
      <c r="D300" s="72">
        <f t="shared" si="18"/>
        <v>839.36014378589698</v>
      </c>
      <c r="E300" s="72">
        <f t="shared" si="19"/>
        <v>839.36014378589698</v>
      </c>
      <c r="F300" s="72">
        <f t="shared" si="20"/>
        <v>839.36014378589698</v>
      </c>
      <c r="G300" s="115">
        <f t="shared" si="21"/>
        <v>839.36014378589698</v>
      </c>
      <c r="H300" s="114">
        <v>831.44919241143998</v>
      </c>
      <c r="I300" s="72">
        <v>861.83828428673223</v>
      </c>
      <c r="J300" s="72">
        <v>877.73298695960329</v>
      </c>
      <c r="K300" s="115">
        <v>892.78638690734897</v>
      </c>
      <c r="L300" s="114">
        <v>831.44919241143998</v>
      </c>
      <c r="M300" s="72">
        <v>800.29272351994859</v>
      </c>
      <c r="N300" s="72">
        <v>727.92868593385083</v>
      </c>
      <c r="O300" s="115">
        <v>656.85624991961959</v>
      </c>
    </row>
    <row r="301" spans="1:15">
      <c r="A301" t="s">
        <v>63</v>
      </c>
      <c r="B301" t="s">
        <v>64</v>
      </c>
      <c r="C301" s="114">
        <f>IF(VLOOKUP(A301,'School Year 2021-22'!A:AN,'School Year 2021-22'!$R$1,FALSE)&gt;0,VLOOKUP(A301,'School Year 2021-22'!A:AN,'School Year 2021-22'!$U$1,FALSE)-VLOOKUP(A301,'School Year 2021-22'!A:AN,'School Year 2021-22'!$W$1,FALSE),0)+IF((VLOOKUP(A301,'School Year 2021-22'!A:AN,'School Year 2021-22'!$S$1,FALSE)+(VLOOKUP(A301,'School Year 2021-22'!A:AN,'School Year 2021-22'!$T$1,FALSE)))&gt;0,VLOOKUP(A301,'School Year 2021-22'!A:AN,'School Year 2021-22'!$V$1,FALSE)-VLOOKUP(A301,'School Year 2021-22'!A:AN,'School Year 2021-22'!$W$1,FALSE),0)</f>
        <v>878.90883429188034</v>
      </c>
      <c r="D301" s="72">
        <f t="shared" si="18"/>
        <v>878.90883429188034</v>
      </c>
      <c r="E301" s="72">
        <f t="shared" si="19"/>
        <v>878.90883429188034</v>
      </c>
      <c r="F301" s="72">
        <f t="shared" si="20"/>
        <v>878.90883429188034</v>
      </c>
      <c r="G301" s="115">
        <f t="shared" si="21"/>
        <v>878.90883429188034</v>
      </c>
      <c r="H301" s="114">
        <v>871.77879329601546</v>
      </c>
      <c r="I301" s="72">
        <v>903.31684248700276</v>
      </c>
      <c r="J301" s="72">
        <v>920.05487288803943</v>
      </c>
      <c r="K301" s="115">
        <v>936.01147683264753</v>
      </c>
      <c r="L301" s="114">
        <v>871.77879329601546</v>
      </c>
      <c r="M301" s="72">
        <v>838.67287965718151</v>
      </c>
      <c r="N301" s="72">
        <v>762.61126446782146</v>
      </c>
      <c r="O301" s="115">
        <v>687.89245042823313</v>
      </c>
    </row>
    <row r="302" spans="1:15">
      <c r="A302" t="s">
        <v>3</v>
      </c>
      <c r="B302" t="s">
        <v>4</v>
      </c>
      <c r="C302" s="114">
        <f>IF(VLOOKUP(A302,'School Year 2021-22'!A:AN,'School Year 2021-22'!$R$1,FALSE)&gt;0,VLOOKUP(A302,'School Year 2021-22'!A:AN,'School Year 2021-22'!$U$1,FALSE)-VLOOKUP(A302,'School Year 2021-22'!A:AN,'School Year 2021-22'!$W$1,FALSE),0)+IF((VLOOKUP(A302,'School Year 2021-22'!A:AN,'School Year 2021-22'!$S$1,FALSE)+(VLOOKUP(A302,'School Year 2021-22'!A:AN,'School Year 2021-22'!$T$1,FALSE)))&gt;0,VLOOKUP(A302,'School Year 2021-22'!A:AN,'School Year 2021-22'!$V$1,FALSE)-VLOOKUP(A302,'School Year 2021-22'!A:AN,'School Year 2021-22'!$W$1,FALSE),0)</f>
        <v>862.59703405565506</v>
      </c>
      <c r="D302" s="72">
        <f t="shared" si="18"/>
        <v>862.59703405565506</v>
      </c>
      <c r="E302" s="72">
        <f t="shared" si="19"/>
        <v>862.59703405565506</v>
      </c>
      <c r="F302" s="72">
        <f t="shared" si="20"/>
        <v>862.59703405565506</v>
      </c>
      <c r="G302" s="115">
        <f t="shared" si="21"/>
        <v>862.59703405565506</v>
      </c>
      <c r="H302" s="114">
        <v>831.44919241143998</v>
      </c>
      <c r="I302" s="72">
        <v>861.83828428673223</v>
      </c>
      <c r="J302" s="72">
        <v>877.73298695960329</v>
      </c>
      <c r="K302" s="115">
        <v>892.78638690734897</v>
      </c>
      <c r="L302" s="114">
        <v>831.44919241143998</v>
      </c>
      <c r="M302" s="72">
        <v>800.29272351994859</v>
      </c>
      <c r="N302" s="72">
        <v>727.92868593385083</v>
      </c>
      <c r="O302" s="115">
        <v>656.85624991961959</v>
      </c>
    </row>
    <row r="303" spans="1:15">
      <c r="A303" t="s">
        <v>99</v>
      </c>
      <c r="B303" t="s">
        <v>100</v>
      </c>
      <c r="C303" s="114">
        <f>IF(VLOOKUP(A303,'School Year 2021-22'!A:AN,'School Year 2021-22'!$R$1,FALSE)&gt;0,VLOOKUP(A303,'School Year 2021-22'!A:AN,'School Year 2021-22'!$U$1,FALSE)-VLOOKUP(A303,'School Year 2021-22'!A:AN,'School Year 2021-22'!$W$1,FALSE),0)+IF((VLOOKUP(A303,'School Year 2021-22'!A:AN,'School Year 2021-22'!$S$1,FALSE)+(VLOOKUP(A303,'School Year 2021-22'!A:AN,'School Year 2021-22'!$T$1,FALSE)))&gt;0,VLOOKUP(A303,'School Year 2021-22'!A:AN,'School Year 2021-22'!$V$1,FALSE)-VLOOKUP(A303,'School Year 2021-22'!A:AN,'School Year 2021-22'!$W$1,FALSE),0)</f>
        <v>828.54678810964378</v>
      </c>
      <c r="D303" s="72">
        <f t="shared" si="18"/>
        <v>828.54678810964378</v>
      </c>
      <c r="E303" s="72">
        <f t="shared" si="19"/>
        <v>828.54678810964378</v>
      </c>
      <c r="F303" s="72">
        <f t="shared" si="20"/>
        <v>828.54678810964378</v>
      </c>
      <c r="G303" s="115">
        <f t="shared" si="21"/>
        <v>828.54678810964378</v>
      </c>
      <c r="H303" s="114">
        <v>831.44919241143998</v>
      </c>
      <c r="I303" s="72">
        <v>861.83828428673223</v>
      </c>
      <c r="J303" s="72">
        <v>877.73298695960329</v>
      </c>
      <c r="K303" s="115">
        <v>892.78638690734897</v>
      </c>
      <c r="L303" s="114">
        <v>831.44919241143998</v>
      </c>
      <c r="M303" s="72">
        <v>800.29272351994859</v>
      </c>
      <c r="N303" s="72">
        <v>727.92868593385083</v>
      </c>
      <c r="O303" s="115">
        <v>656.85624991961959</v>
      </c>
    </row>
    <row r="304" spans="1:15">
      <c r="A304" t="s">
        <v>487</v>
      </c>
      <c r="B304" t="s">
        <v>488</v>
      </c>
      <c r="C304" s="114">
        <f>IF(VLOOKUP(A304,'School Year 2021-22'!A:AN,'School Year 2021-22'!$R$1,FALSE)&gt;0,VLOOKUP(A304,'School Year 2021-22'!A:AN,'School Year 2021-22'!$U$1,FALSE)-VLOOKUP(A304,'School Year 2021-22'!A:AN,'School Year 2021-22'!$W$1,FALSE),0)+IF((VLOOKUP(A304,'School Year 2021-22'!A:AN,'School Year 2021-22'!$S$1,FALSE)+(VLOOKUP(A304,'School Year 2021-22'!A:AN,'School Year 2021-22'!$T$1,FALSE)))&gt;0,VLOOKUP(A304,'School Year 2021-22'!A:AN,'School Year 2021-22'!$V$1,FALSE)-VLOOKUP(A304,'School Year 2021-22'!A:AN,'School Year 2021-22'!$W$1,FALSE),0)</f>
        <v>835.37833352437065</v>
      </c>
      <c r="D304" s="72">
        <f t="shared" si="18"/>
        <v>835.37833352437065</v>
      </c>
      <c r="E304" s="72">
        <f t="shared" si="19"/>
        <v>835.37833352437065</v>
      </c>
      <c r="F304" s="72">
        <f t="shared" si="20"/>
        <v>835.37833352437065</v>
      </c>
      <c r="G304" s="115">
        <f t="shared" si="21"/>
        <v>835.37833352437065</v>
      </c>
      <c r="H304" s="114">
        <v>831.44919241143998</v>
      </c>
      <c r="I304" s="72">
        <v>861.83828428673223</v>
      </c>
      <c r="J304" s="72">
        <v>877.73298695960329</v>
      </c>
      <c r="K304" s="115">
        <v>892.78638690734897</v>
      </c>
      <c r="L304" s="114">
        <v>831.44919241143998</v>
      </c>
      <c r="M304" s="72">
        <v>800.29272351994859</v>
      </c>
      <c r="N304" s="72">
        <v>727.92868593385083</v>
      </c>
      <c r="O304" s="115">
        <v>656.85624991961959</v>
      </c>
    </row>
    <row r="305" spans="1:15">
      <c r="A305" t="s">
        <v>41</v>
      </c>
      <c r="B305" t="s">
        <v>42</v>
      </c>
      <c r="C305" s="114">
        <f>IF(VLOOKUP(A305,'School Year 2021-22'!A:AN,'School Year 2021-22'!$R$1,FALSE)&gt;0,VLOOKUP(A305,'School Year 2021-22'!A:AN,'School Year 2021-22'!$U$1,FALSE)-VLOOKUP(A305,'School Year 2021-22'!A:AN,'School Year 2021-22'!$W$1,FALSE),0)+IF((VLOOKUP(A305,'School Year 2021-22'!A:AN,'School Year 2021-22'!$S$1,FALSE)+(VLOOKUP(A305,'School Year 2021-22'!A:AN,'School Year 2021-22'!$T$1,FALSE)))&gt;0,VLOOKUP(A305,'School Year 2021-22'!A:AN,'School Year 2021-22'!$V$1,FALSE)-VLOOKUP(A305,'School Year 2021-22'!A:AN,'School Year 2021-22'!$W$1,FALSE),0)</f>
        <v>3416.8876934617856</v>
      </c>
      <c r="D305" s="72">
        <f t="shared" si="18"/>
        <v>3416.8876934617856</v>
      </c>
      <c r="E305" s="72">
        <f t="shared" si="19"/>
        <v>3416.8876934617856</v>
      </c>
      <c r="F305" s="72">
        <f t="shared" si="20"/>
        <v>3416.8876934617856</v>
      </c>
      <c r="G305" s="115">
        <f t="shared" si="21"/>
        <v>3416.8876934617856</v>
      </c>
      <c r="H305" s="114">
        <v>2835.9815422965639</v>
      </c>
      <c r="I305" s="72">
        <v>2916.5636749943205</v>
      </c>
      <c r="J305" s="72">
        <v>2971.4484778345304</v>
      </c>
      <c r="K305" s="115">
        <v>3023.7217498988957</v>
      </c>
      <c r="L305" s="114">
        <v>2835.9815422965639</v>
      </c>
      <c r="M305" s="72">
        <v>2820.5280516234852</v>
      </c>
      <c r="N305" s="72">
        <v>2693.6014324120952</v>
      </c>
      <c r="O305" s="115">
        <v>2570.8027916013125</v>
      </c>
    </row>
    <row r="306" spans="1:15">
      <c r="A306" t="s">
        <v>473</v>
      </c>
      <c r="B306" t="s">
        <v>474</v>
      </c>
      <c r="C306" s="114">
        <f>IF(VLOOKUP(A306,'School Year 2021-22'!A:AN,'School Year 2021-22'!$R$1,FALSE)&gt;0,VLOOKUP(A306,'School Year 2021-22'!A:AN,'School Year 2021-22'!$U$1,FALSE)-VLOOKUP(A306,'School Year 2021-22'!A:AN,'School Year 2021-22'!$W$1,FALSE),0)+IF((VLOOKUP(A306,'School Year 2021-22'!A:AN,'School Year 2021-22'!$S$1,FALSE)+(VLOOKUP(A306,'School Year 2021-22'!A:AN,'School Year 2021-22'!$T$1,FALSE)))&gt;0,VLOOKUP(A306,'School Year 2021-22'!A:AN,'School Year 2021-22'!$V$1,FALSE)-VLOOKUP(A306,'School Year 2021-22'!A:AN,'School Year 2021-22'!$W$1,FALSE),0)</f>
        <v>836.55031887569294</v>
      </c>
      <c r="D306" s="72">
        <f t="shared" si="18"/>
        <v>836.55031887569294</v>
      </c>
      <c r="E306" s="72">
        <f t="shared" si="19"/>
        <v>836.55031887569294</v>
      </c>
      <c r="F306" s="72">
        <f t="shared" si="20"/>
        <v>836.55031887569294</v>
      </c>
      <c r="G306" s="115">
        <f t="shared" si="21"/>
        <v>836.55031887569294</v>
      </c>
      <c r="H306" s="114">
        <v>831.44919241143998</v>
      </c>
      <c r="I306" s="72">
        <v>861.83828428673223</v>
      </c>
      <c r="J306" s="72">
        <v>877.73298695960329</v>
      </c>
      <c r="K306" s="115">
        <v>892.78638690734897</v>
      </c>
      <c r="L306" s="114">
        <v>831.44919241143998</v>
      </c>
      <c r="M306" s="72">
        <v>800.29272351994859</v>
      </c>
      <c r="N306" s="72">
        <v>727.92868593385083</v>
      </c>
      <c r="O306" s="115">
        <v>656.85624991961959</v>
      </c>
    </row>
    <row r="307" spans="1:15">
      <c r="A307" t="s">
        <v>607</v>
      </c>
      <c r="B307" t="s">
        <v>608</v>
      </c>
      <c r="C307" s="114">
        <f>IF(VLOOKUP(A307,'School Year 2021-22'!A:AN,'School Year 2021-22'!$R$1,FALSE)&gt;0,VLOOKUP(A307,'School Year 2021-22'!A:AN,'School Year 2021-22'!$U$1,FALSE)-VLOOKUP(A307,'School Year 2021-22'!A:AN,'School Year 2021-22'!$W$1,FALSE),0)+IF((VLOOKUP(A307,'School Year 2021-22'!A:AN,'School Year 2021-22'!$S$1,FALSE)+(VLOOKUP(A307,'School Year 2021-22'!A:AN,'School Year 2021-22'!$T$1,FALSE)))&gt;0,VLOOKUP(A307,'School Year 2021-22'!A:AN,'School Year 2021-22'!$V$1,FALSE)-VLOOKUP(A307,'School Year 2021-22'!A:AN,'School Year 2021-22'!$W$1,FALSE),0)</f>
        <v>1084.8404691752539</v>
      </c>
      <c r="D307" s="72">
        <f t="shared" si="18"/>
        <v>1084.8404691752539</v>
      </c>
      <c r="E307" s="72">
        <f t="shared" si="19"/>
        <v>1084.8404691752539</v>
      </c>
      <c r="F307" s="72">
        <f t="shared" si="20"/>
        <v>1084.8404691752539</v>
      </c>
      <c r="G307" s="115">
        <f t="shared" si="21"/>
        <v>1084.8404691752539</v>
      </c>
      <c r="H307" s="114">
        <v>858.33559300115849</v>
      </c>
      <c r="I307" s="72">
        <v>882.57756338686795</v>
      </c>
      <c r="J307" s="72">
        <v>898.89392992382182</v>
      </c>
      <c r="K307" s="115">
        <v>914.39893186999961</v>
      </c>
      <c r="L307" s="114">
        <v>858.33559300115849</v>
      </c>
      <c r="M307" s="72">
        <v>819.48280158856596</v>
      </c>
      <c r="N307" s="72">
        <v>745.26997520083478</v>
      </c>
      <c r="O307" s="115">
        <v>672.37435017392636</v>
      </c>
    </row>
    <row r="308" spans="1:15">
      <c r="A308" t="s">
        <v>1253</v>
      </c>
      <c r="B308" t="s">
        <v>1254</v>
      </c>
      <c r="C308" s="114">
        <f>IF(VLOOKUP(A308,'School Year 2021-22'!A:AN,'School Year 2021-22'!$R$1,FALSE)&gt;0,VLOOKUP(A308,'School Year 2021-22'!A:AN,'School Year 2021-22'!$U$1,FALSE)-VLOOKUP(A308,'School Year 2021-22'!A:AN,'School Year 2021-22'!$W$1,FALSE),0)+IF((VLOOKUP(A308,'School Year 2021-22'!A:AN,'School Year 2021-22'!$S$1,FALSE)+(VLOOKUP(A308,'School Year 2021-22'!A:AN,'School Year 2021-22'!$T$1,FALSE)))&gt;0,VLOOKUP(A308,'School Year 2021-22'!A:AN,'School Year 2021-22'!$V$1,FALSE)-VLOOKUP(A308,'School Year 2021-22'!A:AN,'School Year 2021-22'!$W$1,FALSE),0)</f>
        <v>0</v>
      </c>
      <c r="D308" s="72">
        <f t="shared" si="18"/>
        <v>0</v>
      </c>
      <c r="E308" s="72">
        <f t="shared" si="19"/>
        <v>0</v>
      </c>
      <c r="F308" s="72">
        <f t="shared" si="20"/>
        <v>0</v>
      </c>
      <c r="G308" s="115">
        <f t="shared" si="21"/>
        <v>0</v>
      </c>
      <c r="H308" s="114">
        <v>0</v>
      </c>
      <c r="I308" s="72">
        <v>0</v>
      </c>
      <c r="J308" s="72">
        <v>0</v>
      </c>
      <c r="K308" s="115">
        <v>0</v>
      </c>
      <c r="L308" s="114">
        <v>0</v>
      </c>
      <c r="M308" s="72">
        <v>0</v>
      </c>
      <c r="N308" s="72">
        <v>0</v>
      </c>
      <c r="O308" s="115">
        <v>0</v>
      </c>
    </row>
    <row r="309" spans="1:15">
      <c r="A309" t="s">
        <v>293</v>
      </c>
      <c r="B309" t="s">
        <v>294</v>
      </c>
      <c r="C309" s="114">
        <f>IF(VLOOKUP(A309,'School Year 2021-22'!A:AN,'School Year 2021-22'!$R$1,FALSE)&gt;0,VLOOKUP(A309,'School Year 2021-22'!A:AN,'School Year 2021-22'!$U$1,FALSE)-VLOOKUP(A309,'School Year 2021-22'!A:AN,'School Year 2021-22'!$W$1,FALSE),0)+IF((VLOOKUP(A309,'School Year 2021-22'!A:AN,'School Year 2021-22'!$S$1,FALSE)+(VLOOKUP(A309,'School Year 2021-22'!A:AN,'School Year 2021-22'!$T$1,FALSE)))&gt;0,VLOOKUP(A309,'School Year 2021-22'!A:AN,'School Year 2021-22'!$V$1,FALSE)-VLOOKUP(A309,'School Year 2021-22'!A:AN,'School Year 2021-22'!$W$1,FALSE),0)</f>
        <v>836.04676988800657</v>
      </c>
      <c r="D309" s="72">
        <f t="shared" si="18"/>
        <v>836.04676988800657</v>
      </c>
      <c r="E309" s="72">
        <f t="shared" si="19"/>
        <v>836.04676988800657</v>
      </c>
      <c r="F309" s="72">
        <f t="shared" si="20"/>
        <v>836.04676988800657</v>
      </c>
      <c r="G309" s="115">
        <f t="shared" si="21"/>
        <v>836.04676988800657</v>
      </c>
      <c r="H309" s="114">
        <v>831.44919241143998</v>
      </c>
      <c r="I309" s="72">
        <v>861.83828428673223</v>
      </c>
      <c r="J309" s="72">
        <v>877.73298695960329</v>
      </c>
      <c r="K309" s="115">
        <v>892.78638690734897</v>
      </c>
      <c r="L309" s="114">
        <v>831.44919241143998</v>
      </c>
      <c r="M309" s="72">
        <v>800.29272351994859</v>
      </c>
      <c r="N309" s="72">
        <v>727.92868593385083</v>
      </c>
      <c r="O309" s="115">
        <v>656.85624991961959</v>
      </c>
    </row>
    <row r="310" spans="1:15">
      <c r="A310" t="s">
        <v>387</v>
      </c>
      <c r="B310" t="s">
        <v>388</v>
      </c>
      <c r="C310" s="114">
        <f>IF(VLOOKUP(A310,'School Year 2021-22'!A:AN,'School Year 2021-22'!$R$1,FALSE)&gt;0,VLOOKUP(A310,'School Year 2021-22'!A:AN,'School Year 2021-22'!$U$1,FALSE)-VLOOKUP(A310,'School Year 2021-22'!A:AN,'School Year 2021-22'!$W$1,FALSE),0)+IF((VLOOKUP(A310,'School Year 2021-22'!A:AN,'School Year 2021-22'!$S$1,FALSE)+(VLOOKUP(A310,'School Year 2021-22'!A:AN,'School Year 2021-22'!$T$1,FALSE)))&gt;0,VLOOKUP(A310,'School Year 2021-22'!A:AN,'School Year 2021-22'!$V$1,FALSE)-VLOOKUP(A310,'School Year 2021-22'!A:AN,'School Year 2021-22'!$W$1,FALSE),0)</f>
        <v>1215.8474793530922</v>
      </c>
      <c r="D310" s="72">
        <f t="shared" si="18"/>
        <v>1215.8474793530922</v>
      </c>
      <c r="E310" s="72">
        <f t="shared" si="19"/>
        <v>1215.8474793530922</v>
      </c>
      <c r="F310" s="72">
        <f t="shared" si="20"/>
        <v>1215.8474793530922</v>
      </c>
      <c r="G310" s="115">
        <f t="shared" si="21"/>
        <v>1215.8474793530922</v>
      </c>
      <c r="H310" s="114">
        <v>871.77879329601546</v>
      </c>
      <c r="I310" s="72">
        <v>903.31684248700276</v>
      </c>
      <c r="J310" s="72">
        <v>920.05487288803943</v>
      </c>
      <c r="K310" s="115">
        <v>936.01147683264753</v>
      </c>
      <c r="L310" s="114">
        <v>871.77879329601546</v>
      </c>
      <c r="M310" s="72">
        <v>838.67287965718151</v>
      </c>
      <c r="N310" s="72">
        <v>762.61126446782146</v>
      </c>
      <c r="O310" s="115">
        <v>687.89245042823313</v>
      </c>
    </row>
    <row r="311" spans="1:15">
      <c r="A311" t="s">
        <v>267</v>
      </c>
      <c r="B311" t="s">
        <v>268</v>
      </c>
      <c r="C311" s="114">
        <f>IF(VLOOKUP(A311,'School Year 2021-22'!A:AN,'School Year 2021-22'!$R$1,FALSE)&gt;0,VLOOKUP(A311,'School Year 2021-22'!A:AN,'School Year 2021-22'!$U$1,FALSE)-VLOOKUP(A311,'School Year 2021-22'!A:AN,'School Year 2021-22'!$W$1,FALSE),0)+IF((VLOOKUP(A311,'School Year 2021-22'!A:AN,'School Year 2021-22'!$S$1,FALSE)+(VLOOKUP(A311,'School Year 2021-22'!A:AN,'School Year 2021-22'!$T$1,FALSE)))&gt;0,VLOOKUP(A311,'School Year 2021-22'!A:AN,'School Year 2021-22'!$V$1,FALSE)-VLOOKUP(A311,'School Year 2021-22'!A:AN,'School Year 2021-22'!$W$1,FALSE),0)</f>
        <v>838.6052755970295</v>
      </c>
      <c r="D311" s="72">
        <f t="shared" si="18"/>
        <v>838.6052755970295</v>
      </c>
      <c r="E311" s="72">
        <f t="shared" si="19"/>
        <v>838.6052755970295</v>
      </c>
      <c r="F311" s="72">
        <f t="shared" si="20"/>
        <v>838.6052755970295</v>
      </c>
      <c r="G311" s="115">
        <f t="shared" si="21"/>
        <v>838.6052755970295</v>
      </c>
      <c r="H311" s="114">
        <v>831.44919241143998</v>
      </c>
      <c r="I311" s="72">
        <v>861.83828428673223</v>
      </c>
      <c r="J311" s="72">
        <v>877.73298695960329</v>
      </c>
      <c r="K311" s="115">
        <v>892.78638690734897</v>
      </c>
      <c r="L311" s="114">
        <v>831.44919241143998</v>
      </c>
      <c r="M311" s="72">
        <v>800.29272351994859</v>
      </c>
      <c r="N311" s="72">
        <v>727.92868593385083</v>
      </c>
      <c r="O311" s="115">
        <v>656.85624991961959</v>
      </c>
    </row>
    <row r="312" spans="1:15">
      <c r="A312" t="s">
        <v>307</v>
      </c>
      <c r="B312" t="s">
        <v>308</v>
      </c>
      <c r="C312" s="114">
        <f>IF(VLOOKUP(A312,'School Year 2021-22'!A:AN,'School Year 2021-22'!$R$1,FALSE)&gt;0,VLOOKUP(A312,'School Year 2021-22'!A:AN,'School Year 2021-22'!$U$1,FALSE)-VLOOKUP(A312,'School Year 2021-22'!A:AN,'School Year 2021-22'!$W$1,FALSE),0)+IF((VLOOKUP(A312,'School Year 2021-22'!A:AN,'School Year 2021-22'!$S$1,FALSE)+(VLOOKUP(A312,'School Year 2021-22'!A:AN,'School Year 2021-22'!$T$1,FALSE)))&gt;0,VLOOKUP(A312,'School Year 2021-22'!A:AN,'School Year 2021-22'!$V$1,FALSE)-VLOOKUP(A312,'School Year 2021-22'!A:AN,'School Year 2021-22'!$W$1,FALSE),0)</f>
        <v>833.42800844522117</v>
      </c>
      <c r="D312" s="72">
        <f t="shared" si="18"/>
        <v>833.42800844522117</v>
      </c>
      <c r="E312" s="72">
        <f t="shared" si="19"/>
        <v>833.42800844522117</v>
      </c>
      <c r="F312" s="72">
        <f t="shared" si="20"/>
        <v>833.42800844522117</v>
      </c>
      <c r="G312" s="115">
        <f t="shared" si="21"/>
        <v>833.42800844522117</v>
      </c>
      <c r="H312" s="114">
        <v>831.44919241143998</v>
      </c>
      <c r="I312" s="72">
        <v>861.83828428673223</v>
      </c>
      <c r="J312" s="72">
        <v>877.73298695960329</v>
      </c>
      <c r="K312" s="115">
        <v>892.78638690734897</v>
      </c>
      <c r="L312" s="114">
        <v>831.44919241143998</v>
      </c>
      <c r="M312" s="72">
        <v>800.29272351994859</v>
      </c>
      <c r="N312" s="72">
        <v>727.92868593385083</v>
      </c>
      <c r="O312" s="115">
        <v>656.85624991961959</v>
      </c>
    </row>
    <row r="313" spans="1:15">
      <c r="A313" t="s">
        <v>351</v>
      </c>
      <c r="B313" t="s">
        <v>352</v>
      </c>
      <c r="C313" s="114">
        <f>IF(VLOOKUP(A313,'School Year 2021-22'!A:AN,'School Year 2021-22'!$R$1,FALSE)&gt;0,VLOOKUP(A313,'School Year 2021-22'!A:AN,'School Year 2021-22'!$U$1,FALSE)-VLOOKUP(A313,'School Year 2021-22'!A:AN,'School Year 2021-22'!$W$1,FALSE),0)+IF((VLOOKUP(A313,'School Year 2021-22'!A:AN,'School Year 2021-22'!$S$1,FALSE)+(VLOOKUP(A313,'School Year 2021-22'!A:AN,'School Year 2021-22'!$T$1,FALSE)))&gt;0,VLOOKUP(A313,'School Year 2021-22'!A:AN,'School Year 2021-22'!$V$1,FALSE)-VLOOKUP(A313,'School Year 2021-22'!A:AN,'School Year 2021-22'!$W$1,FALSE),0)</f>
        <v>837.55058777418617</v>
      </c>
      <c r="D313" s="72">
        <f t="shared" si="18"/>
        <v>837.55058777418617</v>
      </c>
      <c r="E313" s="72">
        <f t="shared" si="19"/>
        <v>837.55058777418617</v>
      </c>
      <c r="F313" s="72">
        <f t="shared" si="20"/>
        <v>837.55058777418617</v>
      </c>
      <c r="G313" s="115">
        <f t="shared" si="21"/>
        <v>837.55058777418617</v>
      </c>
      <c r="H313" s="114">
        <v>831.44919241143998</v>
      </c>
      <c r="I313" s="72">
        <v>861.83828428673223</v>
      </c>
      <c r="J313" s="72">
        <v>877.73298695960329</v>
      </c>
      <c r="K313" s="115">
        <v>892.78638690734897</v>
      </c>
      <c r="L313" s="114">
        <v>831.44919241143998</v>
      </c>
      <c r="M313" s="72">
        <v>800.29272351994859</v>
      </c>
      <c r="N313" s="72">
        <v>727.92868593385083</v>
      </c>
      <c r="O313" s="115">
        <v>656.85624991961959</v>
      </c>
    </row>
    <row r="314" spans="1:15">
      <c r="A314" t="s">
        <v>137</v>
      </c>
      <c r="B314" t="s">
        <v>138</v>
      </c>
      <c r="C314" s="114">
        <f>IF(VLOOKUP(A314,'School Year 2021-22'!A:AN,'School Year 2021-22'!$R$1,FALSE)&gt;0,VLOOKUP(A314,'School Year 2021-22'!A:AN,'School Year 2021-22'!$U$1,FALSE)-VLOOKUP(A314,'School Year 2021-22'!A:AN,'School Year 2021-22'!$W$1,FALSE),0)+IF((VLOOKUP(A314,'School Year 2021-22'!A:AN,'School Year 2021-22'!$S$1,FALSE)+(VLOOKUP(A314,'School Year 2021-22'!A:AN,'School Year 2021-22'!$T$1,FALSE)))&gt;0,VLOOKUP(A314,'School Year 2021-22'!A:AN,'School Year 2021-22'!$V$1,FALSE)-VLOOKUP(A314,'School Year 2021-22'!A:AN,'School Year 2021-22'!$W$1,FALSE),0)</f>
        <v>805.56259310671521</v>
      </c>
      <c r="D314" s="72">
        <f t="shared" si="18"/>
        <v>805.56259310671521</v>
      </c>
      <c r="E314" s="72">
        <f t="shared" si="19"/>
        <v>805.56259310671521</v>
      </c>
      <c r="F314" s="72">
        <f t="shared" si="20"/>
        <v>805.56259310671521</v>
      </c>
      <c r="G314" s="115">
        <f t="shared" si="21"/>
        <v>805.56259310671521</v>
      </c>
      <c r="H314" s="114">
        <v>862.04304353640327</v>
      </c>
      <c r="I314" s="72">
        <v>893.28445406684841</v>
      </c>
      <c r="J314" s="72">
        <v>909.80500215221946</v>
      </c>
      <c r="K314" s="115">
        <v>925.52868253675024</v>
      </c>
      <c r="L314" s="114">
        <v>862.04304353640327</v>
      </c>
      <c r="M314" s="72">
        <v>829.83962665257786</v>
      </c>
      <c r="N314" s="72">
        <v>755.15663200327708</v>
      </c>
      <c r="O314" s="115">
        <v>681.80660469410941</v>
      </c>
    </row>
    <row r="315" spans="1:15">
      <c r="A315" t="s">
        <v>281</v>
      </c>
      <c r="B315" t="s">
        <v>282</v>
      </c>
      <c r="C315" s="114">
        <f>IF(VLOOKUP(A315,'School Year 2021-22'!A:AN,'School Year 2021-22'!$R$1,FALSE)&gt;0,VLOOKUP(A315,'School Year 2021-22'!A:AN,'School Year 2021-22'!$U$1,FALSE)-VLOOKUP(A315,'School Year 2021-22'!A:AN,'School Year 2021-22'!$W$1,FALSE),0)+IF((VLOOKUP(A315,'School Year 2021-22'!A:AN,'School Year 2021-22'!$S$1,FALSE)+(VLOOKUP(A315,'School Year 2021-22'!A:AN,'School Year 2021-22'!$T$1,FALSE)))&gt;0,VLOOKUP(A315,'School Year 2021-22'!A:AN,'School Year 2021-22'!$V$1,FALSE)-VLOOKUP(A315,'School Year 2021-22'!A:AN,'School Year 2021-22'!$W$1,FALSE),0)</f>
        <v>1023.1812524776824</v>
      </c>
      <c r="D315" s="72">
        <f t="shared" si="18"/>
        <v>1023.1812524776824</v>
      </c>
      <c r="E315" s="72">
        <f t="shared" si="19"/>
        <v>1023.1812524776824</v>
      </c>
      <c r="F315" s="72">
        <f t="shared" si="20"/>
        <v>1023.1812524776824</v>
      </c>
      <c r="G315" s="115">
        <f t="shared" si="21"/>
        <v>1023.1812524776824</v>
      </c>
      <c r="H315" s="114">
        <v>862.04304353640327</v>
      </c>
      <c r="I315" s="72">
        <v>893.28445406684841</v>
      </c>
      <c r="J315" s="72">
        <v>909.80500215221946</v>
      </c>
      <c r="K315" s="115">
        <v>925.52868253675024</v>
      </c>
      <c r="L315" s="114">
        <v>862.04304353640327</v>
      </c>
      <c r="M315" s="72">
        <v>829.83962665257786</v>
      </c>
      <c r="N315" s="72">
        <v>755.15663200327708</v>
      </c>
      <c r="O315" s="115">
        <v>681.80660469410941</v>
      </c>
    </row>
    <row r="316" spans="1:15">
      <c r="A316" t="s">
        <v>161</v>
      </c>
      <c r="B316" t="s">
        <v>162</v>
      </c>
      <c r="C316" s="114">
        <f>IF(VLOOKUP(A316,'School Year 2021-22'!A:AN,'School Year 2021-22'!$R$1,FALSE)&gt;0,VLOOKUP(A316,'School Year 2021-22'!A:AN,'School Year 2021-22'!$U$1,FALSE)-VLOOKUP(A316,'School Year 2021-22'!A:AN,'School Year 2021-22'!$W$1,FALSE),0)+IF((VLOOKUP(A316,'School Year 2021-22'!A:AN,'School Year 2021-22'!$S$1,FALSE)+(VLOOKUP(A316,'School Year 2021-22'!A:AN,'School Year 2021-22'!$T$1,FALSE)))&gt;0,VLOOKUP(A316,'School Year 2021-22'!A:AN,'School Year 2021-22'!$V$1,FALSE)-VLOOKUP(A316,'School Year 2021-22'!A:AN,'School Year 2021-22'!$W$1,FALSE),0)</f>
        <v>843.26870882206185</v>
      </c>
      <c r="D316" s="72">
        <f t="shared" si="18"/>
        <v>843.26870882206185</v>
      </c>
      <c r="E316" s="72">
        <f t="shared" si="19"/>
        <v>843.26870882206185</v>
      </c>
      <c r="F316" s="72">
        <f t="shared" si="20"/>
        <v>843.26870882206185</v>
      </c>
      <c r="G316" s="115">
        <f t="shared" si="21"/>
        <v>843.26870882206185</v>
      </c>
      <c r="H316" s="114">
        <v>831.44919241143998</v>
      </c>
      <c r="I316" s="72">
        <v>861.83828428673223</v>
      </c>
      <c r="J316" s="72">
        <v>877.73298695960329</v>
      </c>
      <c r="K316" s="115">
        <v>892.78638690734897</v>
      </c>
      <c r="L316" s="114">
        <v>831.44919241143998</v>
      </c>
      <c r="M316" s="72">
        <v>800.29272351994859</v>
      </c>
      <c r="N316" s="72">
        <v>727.92868593385083</v>
      </c>
      <c r="O316" s="115">
        <v>656.85624991961959</v>
      </c>
    </row>
    <row r="317" spans="1:15">
      <c r="A317" t="s">
        <v>251</v>
      </c>
      <c r="B317" t="s">
        <v>252</v>
      </c>
      <c r="C317" s="114">
        <f>IF(VLOOKUP(A317,'School Year 2021-22'!A:AN,'School Year 2021-22'!$R$1,FALSE)&gt;0,VLOOKUP(A317,'School Year 2021-22'!A:AN,'School Year 2021-22'!$U$1,FALSE)-VLOOKUP(A317,'School Year 2021-22'!A:AN,'School Year 2021-22'!$W$1,FALSE),0)+IF((VLOOKUP(A317,'School Year 2021-22'!A:AN,'School Year 2021-22'!$S$1,FALSE)+(VLOOKUP(A317,'School Year 2021-22'!A:AN,'School Year 2021-22'!$T$1,FALSE)))&gt;0,VLOOKUP(A317,'School Year 2021-22'!A:AN,'School Year 2021-22'!$V$1,FALSE)-VLOOKUP(A317,'School Year 2021-22'!A:AN,'School Year 2021-22'!$W$1,FALSE),0)</f>
        <v>861.54904839508617</v>
      </c>
      <c r="D317" s="72">
        <f t="shared" si="18"/>
        <v>861.54904839508617</v>
      </c>
      <c r="E317" s="72">
        <f t="shared" si="19"/>
        <v>861.54904839508617</v>
      </c>
      <c r="F317" s="72">
        <f t="shared" si="20"/>
        <v>861.54904839508617</v>
      </c>
      <c r="G317" s="115">
        <f t="shared" si="21"/>
        <v>861.54904839508617</v>
      </c>
      <c r="H317" s="114">
        <v>831.44919241143998</v>
      </c>
      <c r="I317" s="72">
        <v>861.83828428673223</v>
      </c>
      <c r="J317" s="72">
        <v>877.73298695960329</v>
      </c>
      <c r="K317" s="115">
        <v>892.78638690734897</v>
      </c>
      <c r="L317" s="114">
        <v>831.44919241143998</v>
      </c>
      <c r="M317" s="72">
        <v>800.29272351994859</v>
      </c>
      <c r="N317" s="72">
        <v>727.92868593385083</v>
      </c>
      <c r="O317" s="115">
        <v>656.85624991961959</v>
      </c>
    </row>
    <row r="318" spans="1:15">
      <c r="A318" t="s">
        <v>85</v>
      </c>
      <c r="B318" t="s">
        <v>86</v>
      </c>
      <c r="C318" s="114">
        <f>IF(VLOOKUP(A318,'School Year 2021-22'!A:AN,'School Year 2021-22'!$R$1,FALSE)&gt;0,VLOOKUP(A318,'School Year 2021-22'!A:AN,'School Year 2021-22'!$U$1,FALSE)-VLOOKUP(A318,'School Year 2021-22'!A:AN,'School Year 2021-22'!$W$1,FALSE),0)+IF((VLOOKUP(A318,'School Year 2021-22'!A:AN,'School Year 2021-22'!$S$1,FALSE)+(VLOOKUP(A318,'School Year 2021-22'!A:AN,'School Year 2021-22'!$T$1,FALSE)))&gt;0,VLOOKUP(A318,'School Year 2021-22'!A:AN,'School Year 2021-22'!$V$1,FALSE)-VLOOKUP(A318,'School Year 2021-22'!A:AN,'School Year 2021-22'!$W$1,FALSE),0)</f>
        <v>838.1261422446014</v>
      </c>
      <c r="D318" s="72">
        <f t="shared" si="18"/>
        <v>838.1261422446014</v>
      </c>
      <c r="E318" s="72">
        <f t="shared" si="19"/>
        <v>838.1261422446014</v>
      </c>
      <c r="F318" s="72">
        <f t="shared" si="20"/>
        <v>838.1261422446014</v>
      </c>
      <c r="G318" s="115">
        <f t="shared" si="21"/>
        <v>838.1261422446014</v>
      </c>
      <c r="H318" s="114">
        <v>831.44919241143998</v>
      </c>
      <c r="I318" s="72">
        <v>861.83828428673223</v>
      </c>
      <c r="J318" s="72">
        <v>877.73298695960329</v>
      </c>
      <c r="K318" s="115">
        <v>892.78638690734897</v>
      </c>
      <c r="L318" s="114">
        <v>831.44919241143998</v>
      </c>
      <c r="M318" s="72">
        <v>800.29272351994859</v>
      </c>
      <c r="N318" s="72">
        <v>727.92868593385083</v>
      </c>
      <c r="O318" s="115">
        <v>656.85624991961959</v>
      </c>
    </row>
    <row r="319" spans="1:15">
      <c r="A319" t="s">
        <v>1039</v>
      </c>
      <c r="B319" t="s">
        <v>1045</v>
      </c>
      <c r="C319" s="114">
        <f>IF(VLOOKUP(A319,'School Year 2021-22'!A:AN,'School Year 2021-22'!$R$1,FALSE)&gt;0,VLOOKUP(A319,'School Year 2021-22'!A:AN,'School Year 2021-22'!$U$1,FALSE)-VLOOKUP(A319,'School Year 2021-22'!A:AN,'School Year 2021-22'!$W$1,FALSE),0)+IF((VLOOKUP(A319,'School Year 2021-22'!A:AN,'School Year 2021-22'!$S$1,FALSE)+(VLOOKUP(A319,'School Year 2021-22'!A:AN,'School Year 2021-22'!$T$1,FALSE)))&gt;0,VLOOKUP(A319,'School Year 2021-22'!A:AN,'School Year 2021-22'!$V$1,FALSE)-VLOOKUP(A319,'School Year 2021-22'!A:AN,'School Year 2021-22'!$W$1,FALSE),0)</f>
        <v>0</v>
      </c>
      <c r="D319" s="72">
        <f t="shared" si="18"/>
        <v>0</v>
      </c>
      <c r="E319" s="72">
        <f t="shared" si="19"/>
        <v>0</v>
      </c>
      <c r="F319" s="72">
        <f t="shared" si="20"/>
        <v>0</v>
      </c>
      <c r="G319" s="115">
        <f t="shared" si="21"/>
        <v>0</v>
      </c>
      <c r="H319" s="114">
        <v>0</v>
      </c>
      <c r="I319" s="72">
        <v>0</v>
      </c>
      <c r="J319" s="72">
        <v>0</v>
      </c>
      <c r="K319" s="115">
        <v>0</v>
      </c>
      <c r="L319" s="114">
        <v>0</v>
      </c>
      <c r="M319" s="72">
        <v>0</v>
      </c>
      <c r="N319" s="72">
        <v>0</v>
      </c>
      <c r="O319" s="115">
        <v>0</v>
      </c>
    </row>
    <row r="320" spans="1:15">
      <c r="A320" t="s">
        <v>585</v>
      </c>
      <c r="B320" t="s">
        <v>586</v>
      </c>
      <c r="C320" s="114">
        <f>IF(VLOOKUP(A320,'School Year 2021-22'!A:AN,'School Year 2021-22'!$R$1,FALSE)&gt;0,VLOOKUP(A320,'School Year 2021-22'!A:AN,'School Year 2021-22'!$U$1,FALSE)-VLOOKUP(A320,'School Year 2021-22'!A:AN,'School Year 2021-22'!$W$1,FALSE),0)+IF((VLOOKUP(A320,'School Year 2021-22'!A:AN,'School Year 2021-22'!$S$1,FALSE)+(VLOOKUP(A320,'School Year 2021-22'!A:AN,'School Year 2021-22'!$T$1,FALSE)))&gt;0,VLOOKUP(A320,'School Year 2021-22'!A:AN,'School Year 2021-22'!$V$1,FALSE)-VLOOKUP(A320,'School Year 2021-22'!A:AN,'School Year 2021-22'!$W$1,FALSE),0)</f>
        <v>2871.6667129279813</v>
      </c>
      <c r="D320" s="72">
        <f t="shared" si="18"/>
        <v>2871.6667129279813</v>
      </c>
      <c r="E320" s="72">
        <f t="shared" si="19"/>
        <v>2871.6667129279813</v>
      </c>
      <c r="F320" s="72">
        <f t="shared" si="20"/>
        <v>2871.6667129279813</v>
      </c>
      <c r="G320" s="115">
        <f t="shared" si="21"/>
        <v>2871.6667129279813</v>
      </c>
      <c r="H320" s="114">
        <v>2743.8562285484904</v>
      </c>
      <c r="I320" s="72">
        <v>2845.5334694006287</v>
      </c>
      <c r="J320" s="72">
        <v>2898.9966826168311</v>
      </c>
      <c r="K320" s="115">
        <v>2949.7474321938844</v>
      </c>
      <c r="L320" s="114">
        <v>2743.8562285484904</v>
      </c>
      <c r="M320" s="72">
        <v>2751.7557090623432</v>
      </c>
      <c r="N320" s="72">
        <v>2627.9152272959072</v>
      </c>
      <c r="O320" s="115">
        <v>2508.1074202995442</v>
      </c>
    </row>
    <row r="321" spans="1:15">
      <c r="A321" t="s">
        <v>507</v>
      </c>
      <c r="B321" t="s">
        <v>508</v>
      </c>
      <c r="C321" s="114">
        <f>IF(VLOOKUP(A321,'School Year 2021-22'!A:AN,'School Year 2021-22'!$R$1,FALSE)&gt;0,VLOOKUP(A321,'School Year 2021-22'!A:AN,'School Year 2021-22'!$U$1,FALSE)-VLOOKUP(A321,'School Year 2021-22'!A:AN,'School Year 2021-22'!$W$1,FALSE),0)+IF((VLOOKUP(A321,'School Year 2021-22'!A:AN,'School Year 2021-22'!$S$1,FALSE)+(VLOOKUP(A321,'School Year 2021-22'!A:AN,'School Year 2021-22'!$T$1,FALSE)))&gt;0,VLOOKUP(A321,'School Year 2021-22'!A:AN,'School Year 2021-22'!$V$1,FALSE)-VLOOKUP(A321,'School Year 2021-22'!A:AN,'School Year 2021-22'!$W$1,FALSE),0)</f>
        <v>838.27163068012396</v>
      </c>
      <c r="D321" s="72">
        <f t="shared" si="18"/>
        <v>838.27163068012396</v>
      </c>
      <c r="E321" s="72">
        <f t="shared" si="19"/>
        <v>838.27163068012396</v>
      </c>
      <c r="F321" s="72">
        <f t="shared" si="20"/>
        <v>838.27163068012396</v>
      </c>
      <c r="G321" s="115">
        <f t="shared" si="21"/>
        <v>838.27163068012396</v>
      </c>
      <c r="H321" s="114">
        <v>831.44919241143998</v>
      </c>
      <c r="I321" s="72">
        <v>861.83828428673223</v>
      </c>
      <c r="J321" s="72">
        <v>877.73298695960329</v>
      </c>
      <c r="K321" s="115">
        <v>892.78638690734897</v>
      </c>
      <c r="L321" s="114">
        <v>831.44919241143998</v>
      </c>
      <c r="M321" s="72">
        <v>800.29272351994859</v>
      </c>
      <c r="N321" s="72">
        <v>727.92868593385083</v>
      </c>
      <c r="O321" s="115">
        <v>656.85624991961959</v>
      </c>
    </row>
    <row r="322" spans="1:15">
      <c r="A322" t="s">
        <v>603</v>
      </c>
      <c r="B322" t="s">
        <v>604</v>
      </c>
      <c r="C322" s="114">
        <f>IF(VLOOKUP(A322,'School Year 2021-22'!A:AN,'School Year 2021-22'!$R$1,FALSE)&gt;0,VLOOKUP(A322,'School Year 2021-22'!A:AN,'School Year 2021-22'!$U$1,FALSE)-VLOOKUP(A322,'School Year 2021-22'!A:AN,'School Year 2021-22'!$W$1,FALSE),0)+IF((VLOOKUP(A322,'School Year 2021-22'!A:AN,'School Year 2021-22'!$S$1,FALSE)+(VLOOKUP(A322,'School Year 2021-22'!A:AN,'School Year 2021-22'!$T$1,FALSE)))&gt;0,VLOOKUP(A322,'School Year 2021-22'!A:AN,'School Year 2021-22'!$V$1,FALSE)-VLOOKUP(A322,'School Year 2021-22'!A:AN,'School Year 2021-22'!$W$1,FALSE),0)</f>
        <v>841.39257437850665</v>
      </c>
      <c r="D322" s="72">
        <f t="shared" si="18"/>
        <v>841.39257437850665</v>
      </c>
      <c r="E322" s="72">
        <f t="shared" si="19"/>
        <v>841.39257437850665</v>
      </c>
      <c r="F322" s="72">
        <f t="shared" si="20"/>
        <v>841.39257437850665</v>
      </c>
      <c r="G322" s="115">
        <f t="shared" si="21"/>
        <v>841.39257437850665</v>
      </c>
      <c r="H322" s="114">
        <v>831.44919241143998</v>
      </c>
      <c r="I322" s="72">
        <v>861.83828428673223</v>
      </c>
      <c r="J322" s="72">
        <v>877.73298695960329</v>
      </c>
      <c r="K322" s="115">
        <v>892.78638690734897</v>
      </c>
      <c r="L322" s="114">
        <v>831.44919241143998</v>
      </c>
      <c r="M322" s="72">
        <v>800.29272351994859</v>
      </c>
      <c r="N322" s="72">
        <v>727.92868593385083</v>
      </c>
      <c r="O322" s="115">
        <v>656.85624991961959</v>
      </c>
    </row>
  </sheetData>
  <mergeCells count="3">
    <mergeCell ref="L2:O2"/>
    <mergeCell ref="C2:G2"/>
    <mergeCell ref="H2:K2"/>
  </mergeCells>
  <pageMargins left="0.7" right="0.7" top="0.75" bottom="0.75" header="0.3" footer="0.3"/>
  <pageSetup scale="68" fitToWidth="3" fitToHeight="0" orientation="landscape" r:id="rId1"/>
  <colBreaks count="1" manualBreakCount="1">
    <brk id="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8" tint="0.59999389629810485"/>
  </sheetPr>
  <dimension ref="A1:BV322"/>
  <sheetViews>
    <sheetView zoomScaleNormal="100" workbookViewId="0">
      <pane ySplit="3" topLeftCell="A163" activePane="bottomLeft" state="frozen"/>
      <selection activeCell="C3" sqref="C3:E3"/>
      <selection pane="bottomLeft" activeCell="C3" sqref="C3:E3"/>
    </sheetView>
  </sheetViews>
  <sheetFormatPr defaultRowHeight="14.4"/>
  <cols>
    <col min="2" max="2" width="33.44140625" bestFit="1" customWidth="1"/>
    <col min="3" max="3" width="5.77734375" customWidth="1"/>
    <col min="6" max="6" width="46.77734375" bestFit="1" customWidth="1"/>
    <col min="7" max="8" width="12.5546875" bestFit="1" customWidth="1"/>
    <col min="9" max="9" width="7.5546875" customWidth="1"/>
    <col min="11" max="11" width="46.77734375" bestFit="1" customWidth="1"/>
    <col min="12" max="14" width="12.5546875" customWidth="1"/>
    <col min="15" max="15" width="12.5546875" bestFit="1" customWidth="1"/>
    <col min="16" max="16" width="12.77734375" customWidth="1"/>
    <col min="17" max="18" width="12.5546875" customWidth="1"/>
    <col min="19" max="19" width="12.5546875" bestFit="1" customWidth="1"/>
    <col min="20" max="20" width="7.5546875" customWidth="1"/>
    <col min="22" max="22" width="46.77734375" bestFit="1" customWidth="1"/>
    <col min="23" max="23" width="12.5546875" customWidth="1"/>
    <col min="24" max="24" width="12.5546875" bestFit="1" customWidth="1"/>
    <col min="25" max="25" width="12.5546875" customWidth="1"/>
    <col min="26" max="26" width="12.5546875" bestFit="1" customWidth="1"/>
    <col min="27" max="29" width="12.5546875" customWidth="1"/>
    <col min="30" max="30" width="12.5546875" bestFit="1" customWidth="1"/>
    <col min="33" max="33" width="46.77734375" bestFit="1" customWidth="1"/>
    <col min="34" max="34" width="12.5546875" customWidth="1"/>
    <col min="35" max="35" width="12.5546875" bestFit="1" customWidth="1"/>
    <col min="36" max="36" width="12.5546875" customWidth="1"/>
    <col min="37" max="37" width="12.5546875" bestFit="1" customWidth="1"/>
    <col min="38" max="40" width="12.5546875" customWidth="1"/>
    <col min="41" max="41" width="12.5546875" bestFit="1" customWidth="1"/>
    <col min="44" max="44" width="46.77734375" bestFit="1" customWidth="1"/>
    <col min="45" max="45" width="12.5546875" customWidth="1"/>
    <col min="46" max="46" width="12.5546875" bestFit="1" customWidth="1"/>
    <col min="47" max="47" width="12.5546875" customWidth="1"/>
    <col min="48" max="48" width="12.5546875" bestFit="1" customWidth="1"/>
    <col min="49" max="51" width="12.5546875" customWidth="1"/>
    <col min="52" max="52" width="12.5546875" bestFit="1" customWidth="1"/>
    <col min="55" max="55" width="46.77734375" bestFit="1" customWidth="1"/>
    <col min="56" max="56" width="12.5546875" customWidth="1"/>
    <col min="57" max="57" width="12.5546875" bestFit="1" customWidth="1"/>
    <col min="58" max="58" width="12.5546875" customWidth="1"/>
    <col min="59" max="59" width="12.5546875" bestFit="1" customWidth="1"/>
    <col min="60" max="62" width="12.5546875" customWidth="1"/>
    <col min="63" max="63" width="12.5546875" bestFit="1" customWidth="1"/>
    <col min="66" max="66" width="46.77734375" bestFit="1" customWidth="1"/>
    <col min="67" max="67" width="12.5546875" customWidth="1"/>
    <col min="68" max="68" width="12.5546875" bestFit="1" customWidth="1"/>
    <col min="69" max="69" width="12.5546875" customWidth="1"/>
    <col min="70" max="70" width="12.5546875" bestFit="1" customWidth="1"/>
    <col min="71" max="73" width="12.5546875" customWidth="1"/>
    <col min="74" max="74" width="12.5546875" bestFit="1" customWidth="1"/>
  </cols>
  <sheetData>
    <row r="1" spans="1:74">
      <c r="A1" s="479" t="s">
        <v>1000</v>
      </c>
      <c r="B1" s="479"/>
      <c r="C1" s="192"/>
      <c r="E1" s="479" t="s">
        <v>1380</v>
      </c>
      <c r="F1" s="479"/>
      <c r="G1" s="479"/>
      <c r="H1" s="479"/>
      <c r="J1" s="479" t="s">
        <v>983</v>
      </c>
      <c r="K1" s="479"/>
      <c r="L1" s="479"/>
      <c r="M1" s="479"/>
      <c r="N1" s="479"/>
      <c r="O1" s="479"/>
      <c r="P1" s="479"/>
      <c r="Q1" s="479"/>
      <c r="R1" s="479"/>
      <c r="S1" s="479"/>
      <c r="U1" s="479" t="s">
        <v>984</v>
      </c>
      <c r="V1" s="479"/>
      <c r="W1" s="479"/>
      <c r="X1" s="479"/>
      <c r="Y1" s="479"/>
      <c r="Z1" s="479"/>
      <c r="AA1" s="479"/>
      <c r="AB1" s="479"/>
      <c r="AC1" s="479"/>
      <c r="AD1" s="479"/>
      <c r="AF1" s="479" t="s">
        <v>1079</v>
      </c>
      <c r="AG1" s="479"/>
      <c r="AH1" s="479"/>
      <c r="AI1" s="479"/>
      <c r="AJ1" s="479"/>
      <c r="AK1" s="479"/>
      <c r="AL1" s="479"/>
      <c r="AM1" s="479"/>
      <c r="AN1" s="479"/>
      <c r="AO1" s="479"/>
      <c r="AQ1" s="479" t="s">
        <v>1219</v>
      </c>
      <c r="AR1" s="479"/>
      <c r="AS1" s="479"/>
      <c r="AT1" s="479"/>
      <c r="AU1" s="479"/>
      <c r="AV1" s="479"/>
      <c r="AW1" s="479"/>
      <c r="AX1" s="479"/>
      <c r="AY1" s="479"/>
      <c r="AZ1" s="479"/>
      <c r="BB1" s="479" t="s">
        <v>1220</v>
      </c>
      <c r="BC1" s="479"/>
      <c r="BD1" s="479"/>
      <c r="BE1" s="479"/>
      <c r="BF1" s="479"/>
      <c r="BG1" s="479"/>
      <c r="BH1" s="479"/>
      <c r="BI1" s="479"/>
      <c r="BJ1" s="479"/>
      <c r="BK1" s="479"/>
      <c r="BM1" s="479" t="s">
        <v>1221</v>
      </c>
      <c r="BN1" s="479"/>
      <c r="BO1" s="479"/>
      <c r="BP1" s="479"/>
      <c r="BQ1" s="479"/>
      <c r="BR1" s="479"/>
      <c r="BS1" s="479"/>
      <c r="BT1" s="479"/>
      <c r="BU1" s="479"/>
      <c r="BV1" s="479"/>
    </row>
    <row r="2" spans="1:74" ht="28.2" thickBot="1">
      <c r="A2" s="85" t="s">
        <v>623</v>
      </c>
      <c r="B2" s="85" t="s">
        <v>999</v>
      </c>
      <c r="C2" s="85"/>
      <c r="E2" s="85" t="s">
        <v>623</v>
      </c>
      <c r="F2" s="85" t="s">
        <v>911</v>
      </c>
      <c r="G2" s="86" t="s">
        <v>982</v>
      </c>
      <c r="H2" s="86" t="s">
        <v>912</v>
      </c>
      <c r="J2" s="85" t="s">
        <v>623</v>
      </c>
      <c r="K2" s="85" t="s">
        <v>911</v>
      </c>
      <c r="L2" s="86" t="s">
        <v>1277</v>
      </c>
      <c r="M2" s="86" t="s">
        <v>1049</v>
      </c>
      <c r="N2" s="86" t="s">
        <v>1051</v>
      </c>
      <c r="O2" s="86" t="s">
        <v>1050</v>
      </c>
      <c r="P2" s="86" t="s">
        <v>1279</v>
      </c>
      <c r="Q2" s="86" t="s">
        <v>1275</v>
      </c>
      <c r="R2" s="86" t="s">
        <v>1278</v>
      </c>
      <c r="S2" s="86" t="s">
        <v>1276</v>
      </c>
      <c r="U2" s="85" t="s">
        <v>623</v>
      </c>
      <c r="V2" s="85" t="s">
        <v>911</v>
      </c>
      <c r="W2" s="86" t="s">
        <v>1277</v>
      </c>
      <c r="X2" s="86" t="s">
        <v>1049</v>
      </c>
      <c r="Y2" s="86" t="s">
        <v>1051</v>
      </c>
      <c r="Z2" s="86" t="s">
        <v>1050</v>
      </c>
      <c r="AA2" s="86" t="s">
        <v>1279</v>
      </c>
      <c r="AB2" s="86" t="s">
        <v>1275</v>
      </c>
      <c r="AC2" s="86" t="s">
        <v>1278</v>
      </c>
      <c r="AD2" s="86" t="s">
        <v>1276</v>
      </c>
      <c r="AF2" s="85" t="s">
        <v>623</v>
      </c>
      <c r="AG2" s="85" t="s">
        <v>911</v>
      </c>
      <c r="AH2" s="86" t="s">
        <v>1277</v>
      </c>
      <c r="AI2" s="86" t="s">
        <v>1049</v>
      </c>
      <c r="AJ2" s="86" t="s">
        <v>1051</v>
      </c>
      <c r="AK2" s="86" t="s">
        <v>1050</v>
      </c>
      <c r="AL2" s="86" t="s">
        <v>1279</v>
      </c>
      <c r="AM2" s="86" t="s">
        <v>1275</v>
      </c>
      <c r="AN2" s="86" t="s">
        <v>1278</v>
      </c>
      <c r="AO2" s="86" t="s">
        <v>1276</v>
      </c>
      <c r="AQ2" s="85" t="s">
        <v>623</v>
      </c>
      <c r="AR2" s="85" t="s">
        <v>911</v>
      </c>
      <c r="AS2" s="86" t="s">
        <v>1277</v>
      </c>
      <c r="AT2" s="86" t="s">
        <v>1049</v>
      </c>
      <c r="AU2" s="86" t="s">
        <v>1051</v>
      </c>
      <c r="AV2" s="86" t="s">
        <v>1050</v>
      </c>
      <c r="AW2" s="86" t="s">
        <v>1279</v>
      </c>
      <c r="AX2" s="86" t="s">
        <v>1275</v>
      </c>
      <c r="AY2" s="86" t="s">
        <v>1278</v>
      </c>
      <c r="AZ2" s="86" t="s">
        <v>1276</v>
      </c>
      <c r="BB2" s="85" t="s">
        <v>623</v>
      </c>
      <c r="BC2" s="85" t="s">
        <v>911</v>
      </c>
      <c r="BD2" s="86" t="s">
        <v>1277</v>
      </c>
      <c r="BE2" s="86" t="s">
        <v>1049</v>
      </c>
      <c r="BF2" s="86" t="s">
        <v>1051</v>
      </c>
      <c r="BG2" s="86" t="s">
        <v>1050</v>
      </c>
      <c r="BH2" s="86" t="s">
        <v>1279</v>
      </c>
      <c r="BI2" s="86" t="s">
        <v>1275</v>
      </c>
      <c r="BJ2" s="86" t="s">
        <v>1278</v>
      </c>
      <c r="BK2" s="86" t="s">
        <v>1276</v>
      </c>
      <c r="BM2" s="85" t="s">
        <v>623</v>
      </c>
      <c r="BN2" s="85" t="s">
        <v>911</v>
      </c>
      <c r="BO2" s="86" t="s">
        <v>1277</v>
      </c>
      <c r="BP2" s="86" t="s">
        <v>1049</v>
      </c>
      <c r="BQ2" s="86" t="s">
        <v>1051</v>
      </c>
      <c r="BR2" s="86" t="s">
        <v>1050</v>
      </c>
      <c r="BS2" s="86" t="s">
        <v>1279</v>
      </c>
      <c r="BT2" s="86" t="s">
        <v>1275</v>
      </c>
      <c r="BU2" s="86" t="s">
        <v>1278</v>
      </c>
      <c r="BV2" s="86" t="s">
        <v>1276</v>
      </c>
    </row>
    <row r="3" spans="1:74" ht="6.75" customHeight="1">
      <c r="A3" s="193"/>
      <c r="B3" s="193"/>
      <c r="C3" s="193"/>
      <c r="E3" s="193"/>
      <c r="F3" s="193"/>
      <c r="G3" s="194"/>
      <c r="H3" s="194"/>
      <c r="J3" s="193"/>
      <c r="K3" s="193"/>
      <c r="L3" s="194"/>
      <c r="M3" s="194"/>
      <c r="N3" s="194"/>
      <c r="O3" s="194"/>
      <c r="P3" s="194"/>
      <c r="Q3" s="194"/>
      <c r="R3" s="194"/>
      <c r="S3" s="194"/>
      <c r="U3" s="193"/>
      <c r="V3" s="193"/>
      <c r="W3" s="194"/>
      <c r="X3" s="194"/>
      <c r="Y3" s="194"/>
      <c r="Z3" s="194"/>
      <c r="AA3" s="194"/>
      <c r="AB3" s="194"/>
      <c r="AC3" s="194"/>
      <c r="AD3" s="194"/>
      <c r="AF3" s="193"/>
      <c r="AG3" s="193"/>
      <c r="AH3" s="194"/>
      <c r="AI3" s="194"/>
      <c r="AJ3" s="194"/>
      <c r="AK3" s="194"/>
      <c r="AL3" s="194"/>
      <c r="AM3" s="194"/>
      <c r="AN3" s="194"/>
      <c r="AO3" s="194"/>
      <c r="AQ3" s="193"/>
      <c r="AR3" s="193"/>
      <c r="AS3" s="194"/>
      <c r="AT3" s="194"/>
      <c r="AU3" s="194"/>
      <c r="AV3" s="194"/>
      <c r="AW3" s="194"/>
      <c r="AX3" s="194"/>
      <c r="AY3" s="194"/>
      <c r="AZ3" s="194"/>
      <c r="BB3" s="193"/>
      <c r="BC3" s="193"/>
      <c r="BD3" s="194"/>
      <c r="BE3" s="194"/>
      <c r="BF3" s="194"/>
      <c r="BG3" s="194"/>
      <c r="BH3" s="194"/>
      <c r="BI3" s="194"/>
      <c r="BJ3" s="194"/>
      <c r="BK3" s="194"/>
      <c r="BM3" s="193"/>
      <c r="BN3" s="193"/>
      <c r="BO3" s="194"/>
      <c r="BP3" s="194"/>
      <c r="BQ3" s="194"/>
      <c r="BR3" s="194"/>
      <c r="BS3" s="194"/>
      <c r="BT3" s="194"/>
      <c r="BU3" s="194"/>
      <c r="BV3" s="194"/>
    </row>
    <row r="4" spans="1:74">
      <c r="A4" s="87" t="s">
        <v>61</v>
      </c>
      <c r="B4" s="87" t="s">
        <v>62</v>
      </c>
      <c r="C4" s="87" t="s">
        <v>998</v>
      </c>
      <c r="E4" s="89" t="s">
        <v>627</v>
      </c>
      <c r="F4" s="90" t="s">
        <v>871</v>
      </c>
      <c r="G4" s="91">
        <f>SUM(G5:G322)</f>
        <v>13637586.67</v>
      </c>
      <c r="H4" s="91">
        <f>SUM(H5:H322)</f>
        <v>1302492902.22</v>
      </c>
      <c r="J4" s="89" t="s">
        <v>627</v>
      </c>
      <c r="K4" s="90" t="s">
        <v>871</v>
      </c>
      <c r="L4" s="91">
        <f t="shared" ref="L4:S4" si="0">SUM(L5:L322)</f>
        <v>13363139.130438736</v>
      </c>
      <c r="M4" s="91">
        <f t="shared" si="0"/>
        <v>1322413800.1718302</v>
      </c>
      <c r="N4" s="91">
        <f t="shared" si="0"/>
        <v>13815781.409686901</v>
      </c>
      <c r="O4" s="91">
        <f t="shared" si="0"/>
        <v>1364105348.9826727</v>
      </c>
      <c r="P4" s="91">
        <f t="shared" si="0"/>
        <v>14071790.741072852</v>
      </c>
      <c r="Q4" s="91">
        <f t="shared" si="0"/>
        <v>1389482218.7855666</v>
      </c>
      <c r="R4" s="91">
        <f t="shared" si="0"/>
        <v>14331106.574903071</v>
      </c>
      <c r="S4" s="91">
        <f t="shared" si="0"/>
        <v>1415275660.0511608</v>
      </c>
      <c r="U4" s="89" t="s">
        <v>627</v>
      </c>
      <c r="V4" s="90" t="s">
        <v>871</v>
      </c>
      <c r="W4" s="91">
        <f t="shared" ref="W4:AD4" si="1">SUM(W5:W322)</f>
        <v>13363139.130438736</v>
      </c>
      <c r="X4" s="91">
        <f t="shared" si="1"/>
        <v>1322413800.1718302</v>
      </c>
      <c r="Y4" s="91">
        <f t="shared" si="1"/>
        <v>13880595.478282114</v>
      </c>
      <c r="Z4" s="91">
        <f t="shared" si="1"/>
        <v>1370781821.7671783</v>
      </c>
      <c r="AA4" s="91">
        <f t="shared" si="1"/>
        <v>14147877.525432723</v>
      </c>
      <c r="AB4" s="91">
        <f t="shared" si="1"/>
        <v>1397321928.0767045</v>
      </c>
      <c r="AC4" s="91">
        <f t="shared" si="1"/>
        <v>14432328.23994696</v>
      </c>
      <c r="AD4" s="91">
        <f t="shared" si="1"/>
        <v>1425711048.7996078</v>
      </c>
      <c r="AF4" s="89" t="s">
        <v>627</v>
      </c>
      <c r="AG4" s="90" t="s">
        <v>871</v>
      </c>
      <c r="AH4" s="91">
        <f t="shared" ref="AH4:AO4" si="2">SUM(AH5:AH322)</f>
        <v>13363139.130438736</v>
      </c>
      <c r="AI4" s="91">
        <f t="shared" si="2"/>
        <v>1322413800.1718302</v>
      </c>
      <c r="AJ4" s="91">
        <f t="shared" si="2"/>
        <v>13799823.202877626</v>
      </c>
      <c r="AK4" s="91">
        <f t="shared" si="2"/>
        <v>1364435592.2527032</v>
      </c>
      <c r="AL4" s="91">
        <f t="shared" si="2"/>
        <v>14064100.570939923</v>
      </c>
      <c r="AM4" s="91">
        <f t="shared" si="2"/>
        <v>1390474728.8669803</v>
      </c>
      <c r="AN4" s="91">
        <f t="shared" si="2"/>
        <v>14342789.439723011</v>
      </c>
      <c r="AO4" s="91">
        <f t="shared" si="2"/>
        <v>1417755052.1973236</v>
      </c>
      <c r="AQ4" s="89" t="s">
        <v>627</v>
      </c>
      <c r="AR4" s="90" t="s">
        <v>871</v>
      </c>
      <c r="AS4" s="91">
        <f t="shared" ref="AS4:AZ4" si="3">SUM(AS5:AS322)</f>
        <v>13363139.130438736</v>
      </c>
      <c r="AT4" s="91">
        <f t="shared" si="3"/>
        <v>1322413800.1718302</v>
      </c>
      <c r="AU4" s="91">
        <f t="shared" si="3"/>
        <v>14156021.307258843</v>
      </c>
      <c r="AV4" s="91">
        <f t="shared" si="3"/>
        <v>1397960865.6096988</v>
      </c>
      <c r="AW4" s="91">
        <f t="shared" si="3"/>
        <v>14404868.142730171</v>
      </c>
      <c r="AX4" s="91">
        <f t="shared" si="3"/>
        <v>1422713762.7272706</v>
      </c>
      <c r="AY4" s="91">
        <f t="shared" si="3"/>
        <v>14671382.352165049</v>
      </c>
      <c r="AZ4" s="91">
        <f t="shared" si="3"/>
        <v>1449224012.6148946</v>
      </c>
      <c r="BB4" s="89" t="s">
        <v>627</v>
      </c>
      <c r="BC4" s="90" t="s">
        <v>871</v>
      </c>
      <c r="BD4" s="91">
        <f t="shared" ref="BD4:BK4" si="4">SUM(BD5:BD322)</f>
        <v>13363139.130438736</v>
      </c>
      <c r="BE4" s="91">
        <f t="shared" si="4"/>
        <v>1322413800.1718302</v>
      </c>
      <c r="BF4" s="91">
        <f t="shared" si="4"/>
        <v>14222431.438404305</v>
      </c>
      <c r="BG4" s="91">
        <f t="shared" si="4"/>
        <v>1404803042.5004079</v>
      </c>
      <c r="BH4" s="91">
        <f t="shared" si="4"/>
        <v>14482755.749550778</v>
      </c>
      <c r="BI4" s="91">
        <f t="shared" si="4"/>
        <v>1430740973.1322927</v>
      </c>
      <c r="BJ4" s="91">
        <f t="shared" si="4"/>
        <v>14775007.199359432</v>
      </c>
      <c r="BK4" s="91">
        <f t="shared" si="4"/>
        <v>1459909719.5624857</v>
      </c>
      <c r="BM4" s="89" t="s">
        <v>627</v>
      </c>
      <c r="BN4" s="90" t="s">
        <v>871</v>
      </c>
      <c r="BO4" s="91">
        <f t="shared" ref="BO4:BV4" si="5">SUM(BO5:BO322)</f>
        <v>13363139.130438736</v>
      </c>
      <c r="BP4" s="91">
        <f t="shared" si="5"/>
        <v>1322413800.1718302</v>
      </c>
      <c r="BQ4" s="91">
        <f t="shared" si="5"/>
        <v>14139669.170110047</v>
      </c>
      <c r="BR4" s="91">
        <f t="shared" si="5"/>
        <v>1398299520.537606</v>
      </c>
      <c r="BS4" s="91">
        <f t="shared" si="5"/>
        <v>14397005.365616474</v>
      </c>
      <c r="BT4" s="91">
        <f t="shared" si="5"/>
        <v>1423730568.6724801</v>
      </c>
      <c r="BU4" s="91">
        <f t="shared" si="5"/>
        <v>14683358.430024147</v>
      </c>
      <c r="BV4" s="91">
        <f t="shared" si="5"/>
        <v>1451763965.4389889</v>
      </c>
    </row>
    <row r="5" spans="1:74">
      <c r="A5" s="87" t="s">
        <v>73</v>
      </c>
      <c r="B5" s="87" t="s">
        <v>74</v>
      </c>
      <c r="C5" s="87" t="s">
        <v>998</v>
      </c>
      <c r="E5" s="87" t="s">
        <v>141</v>
      </c>
      <c r="F5" s="87" t="s">
        <v>142</v>
      </c>
      <c r="G5" s="173">
        <f>IFERROR(IF(VLOOKUP(E5,A:C,3,FALSE)="YES",VLOOKUP(E5,'School Year 2021-22 SPED coop'!A:P,16,FALSE),0),0)</f>
        <v>0</v>
      </c>
      <c r="H5" s="173">
        <f>IF(G5=0,VLOOKUP(E5,SY202122Apport,9,FALSE),0)</f>
        <v>4010100.3</v>
      </c>
      <c r="J5" s="87" t="s">
        <v>141</v>
      </c>
      <c r="K5" s="87" t="s">
        <v>142</v>
      </c>
      <c r="L5" s="173">
        <f t="shared" ref="L5:L68" si="6">IFERROR(IF(VLOOKUP(J5,A:C,3,FALSE)="YES",VLOOKUP(J5,MaintSY202122,9,FALSE),0),0)</f>
        <v>0</v>
      </c>
      <c r="M5" s="173">
        <f t="shared" ref="M5:M68" si="7">IF(L5=0,VLOOKUP(J5,MaintSY202122,9,FALSE),0)</f>
        <v>4058166.9319256772</v>
      </c>
      <c r="N5" s="173">
        <f t="shared" ref="N5:N68" si="8">IFERROR(IF(VLOOKUP(J5,A:C,3,FALSE)="YES",VLOOKUP(J5,MaintSY202223,9,FALSE),0),0)</f>
        <v>0</v>
      </c>
      <c r="O5" s="173">
        <f t="shared" ref="O5:O68" si="9">IF(N5=0,VLOOKUP(J5,MaintSY202223,9,FALSE),0)</f>
        <v>4195692.0635010302</v>
      </c>
      <c r="P5" s="173">
        <f t="shared" ref="P5:P68" si="10">IFERROR(IF(VLOOKUP(J5,A:C,3,FALSE)="YES",VLOOKUP(J5,MaintSY202324,9,FALSE),0),0)</f>
        <v>0</v>
      </c>
      <c r="Q5" s="173">
        <f t="shared" ref="Q5:Q68" si="11">IF(P5=0,VLOOKUP(J5,MaintSY202324,9,FALSE),0)</f>
        <v>4273410.8503992958</v>
      </c>
      <c r="R5" s="173">
        <f t="shared" ref="R5:R68" si="12">IFERROR(IF(VLOOKUP(J5,A:C,3,FALSE)="YES",VLOOKUP(J5,MaintSY202425,9,FALSE),0),0)</f>
        <v>0</v>
      </c>
      <c r="S5" s="173">
        <f t="shared" ref="S5:S68" si="13">IF(R5=0,VLOOKUP(J5,MaintSY202425,9,FALSE),0)</f>
        <v>4352109.7885805527</v>
      </c>
      <c r="U5" s="87" t="s">
        <v>141</v>
      </c>
      <c r="V5" s="87" t="s">
        <v>142</v>
      </c>
      <c r="W5" s="173">
        <f t="shared" ref="W5:W68" si="14">IFERROR(IF(VLOOKUP(U5,$A:$C,3,FALSE)="YES",VLOOKUP(U5,MaintSY202122CL,9,FALSE),0),0)</f>
        <v>0</v>
      </c>
      <c r="X5" s="173">
        <f>IF(W5=0,VLOOKUP(U5,MaintSY202122CL,9,FALSE),0)</f>
        <v>4058166.9319256772</v>
      </c>
      <c r="Y5" s="173">
        <f>IFERROR(IF(VLOOKUP(U5,A:C,3,FALSE)="YES",VLOOKUP(U5,MaintSY202223CL,9,FALSE),0),0)</f>
        <v>0</v>
      </c>
      <c r="Z5" s="173">
        <f>IF(Y5=0,VLOOKUP(U5,MaintSY202223CL,9,FALSE),0)</f>
        <v>4216264.7167838393</v>
      </c>
      <c r="AA5" s="173">
        <f>IFERROR(IF(VLOOKUP(U5,A:C,3,FALSE)="YES",VLOOKUP(U5,MaintSY202324CL,9,FALSE),0),0)</f>
        <v>0</v>
      </c>
      <c r="AB5" s="173">
        <f>IF(AA5=0,VLOOKUP(U5,MaintSY202324CL,9,FALSE),0)</f>
        <v>4297553.7488400657</v>
      </c>
      <c r="AC5" s="173">
        <f>IFERROR(IF(VLOOKUP(U5,A:C,3,FALSE)="YES",VLOOKUP(U5,MaintSY202425CL,9,FALSE),0),0)</f>
        <v>0</v>
      </c>
      <c r="AD5" s="173">
        <f>IF(AC5=0,VLOOKUP(U5,MaintSY202425CL,9,FALSE),0)</f>
        <v>4384243.7697272208</v>
      </c>
      <c r="AF5" s="87" t="s">
        <v>141</v>
      </c>
      <c r="AG5" s="87" t="s">
        <v>142</v>
      </c>
      <c r="AH5" s="173">
        <f t="shared" ref="AH5:AH68" si="15">IFERROR(IF(VLOOKUP(AF5,$A:$C,3,FALSE)="YES",VLOOKUP(AF5,MaintSY202122F195F,9,FALSE),0),0)</f>
        <v>0</v>
      </c>
      <c r="AI5" s="173">
        <f t="shared" ref="AI5:AI68" si="16">IF(AH5=0,VLOOKUP(AF5,MaintSY202122F195F,9,FALSE),0)</f>
        <v>4058166.9319256772</v>
      </c>
      <c r="AJ5" s="173">
        <f t="shared" ref="AJ5:AJ68" si="17">IFERROR(IF(VLOOKUP(AF5,$A:$C,3,FALSE)="YES",VLOOKUP(AF5,MaintSY202223F195F,9,FALSE),0),0)</f>
        <v>0</v>
      </c>
      <c r="AK5" s="173">
        <f t="shared" ref="AK5:AK68" si="18">IF(AJ5=0,VLOOKUP(AF5,MaintSY202223F195F,9,FALSE),0)</f>
        <v>4180174.0764666577</v>
      </c>
      <c r="AL5" s="173">
        <f t="shared" ref="AL5:AL68" si="19">IFERROR(IF(VLOOKUP(AF5,$A:$C,3,FALSE)="YES",VLOOKUP(AF5,MaintSY202324F195F,9,FALSE),0),0)</f>
        <v>0</v>
      </c>
      <c r="AM5" s="173">
        <f t="shared" ref="AM5:AM68" si="20">IF(AL5=0,VLOOKUP(AF5,MaintSY202324F195F,9,FALSE),0)</f>
        <v>4275729.1702089021</v>
      </c>
      <c r="AN5" s="173">
        <f t="shared" ref="AN5:AN68" si="21">IFERROR(IF(VLOOKUP(AF5,$A:$C,3,FALSE)="YES",VLOOKUP(AF5,MaintSY202425F195F,9,FALSE),0),0)</f>
        <v>0</v>
      </c>
      <c r="AO5" s="173">
        <f t="shared" ref="AO5:AO68" si="22">IF(AN5=0,VLOOKUP(AF5,MaintSY202425F195F,9,FALSE),0)</f>
        <v>4378818.1450493885</v>
      </c>
      <c r="AQ5" s="87" t="s">
        <v>141</v>
      </c>
      <c r="AR5" s="87" t="s">
        <v>142</v>
      </c>
      <c r="AS5" s="173">
        <f t="shared" ref="AS5:AS68" si="23">IFERROR(IF(VLOOKUP(AQ5,$A:$C,3,FALSE)="YES",VLOOKUP(AQ5,EnacSY202122,9,FALSE),0),0)</f>
        <v>0</v>
      </c>
      <c r="AT5" s="173">
        <f t="shared" ref="AT5:AT68" si="24">IF(AS5=0,VLOOKUP(AQ5,EnacSY202122,9,FALSE),0)</f>
        <v>4058166.9319256772</v>
      </c>
      <c r="AU5" s="173">
        <f t="shared" ref="AU5:AU68" si="25">IFERROR(IF(VLOOKUP(AQ5,$A:$C,3,FALSE)="YES",VLOOKUP(AQ5,EnacSY202223,9,FALSE),0),0)</f>
        <v>0</v>
      </c>
      <c r="AV5" s="173">
        <f t="shared" ref="AV5:AV68" si="26">IF(AU5=0,VLOOKUP(AQ5,EnacSY202223,9,FALSE),0)</f>
        <v>4298963.2060636953</v>
      </c>
      <c r="AW5" s="173">
        <f t="shared" ref="AW5:AW68" si="27">IFERROR(IF(VLOOKUP(AQ5,$A:$C,3,FALSE)="YES",VLOOKUP(AQ5,EnacSY202324,9,FALSE),0),0)</f>
        <v>0</v>
      </c>
      <c r="AX5" s="173">
        <f t="shared" ref="AX5:AX68" si="28">IF(AW5=0,VLOOKUP(AQ5,EnacSY202324,9,FALSE),0)</f>
        <v>4374485.0645186622</v>
      </c>
      <c r="AY5" s="173">
        <f t="shared" ref="AY5:AY68" si="29">IFERROR(IF(VLOOKUP(AQ5,$A:$C,3,FALSE)="YES",VLOOKUP(AQ5,EnacSY202425,9,FALSE),0),0)</f>
        <v>0</v>
      </c>
      <c r="AZ5" s="173">
        <f t="shared" ref="AZ5:AZ68" si="30">IF(AY5=0,VLOOKUP(AQ5,EnacSY202425,9,FALSE),0)</f>
        <v>4455368.6509575183</v>
      </c>
      <c r="BB5" s="87" t="s">
        <v>141</v>
      </c>
      <c r="BC5" s="87" t="s">
        <v>142</v>
      </c>
      <c r="BD5" s="173">
        <f t="shared" ref="BD5:BD68" si="31">IFERROR(IF(VLOOKUP(BB5,$A:$C,3,FALSE)="YES",VLOOKUP(BB5,EnacSY202122CL,9,FALSE),0),0)</f>
        <v>0</v>
      </c>
      <c r="BE5" s="173">
        <f t="shared" ref="BE5:BE68" si="32">IF(BD5=0,VLOOKUP(BB5,EnacSY202122CL,9,FALSE),0)</f>
        <v>4058166.9319256772</v>
      </c>
      <c r="BF5" s="173">
        <f t="shared" ref="BF5:BF68" si="33">IFERROR(IF(VLOOKUP(BB5,$A:$C,3,FALSE)="YES",VLOOKUP(BB5,EnacSY202223CL,9,FALSE),0),0)</f>
        <v>0</v>
      </c>
      <c r="BG5" s="173">
        <f t="shared" ref="BG5:BG68" si="34">IF(BF5=0,VLOOKUP(BB5,EnacSY202223CL,9,FALSE),0)</f>
        <v>4320042.2275578557</v>
      </c>
      <c r="BH5" s="173">
        <f t="shared" ref="BH5:BH68" si="35">IFERROR(IF(VLOOKUP(BB5,$A:$C,3,FALSE)="YES",VLOOKUP(BB5,EnacSY202324CL,9,FALSE),0),0)</f>
        <v>0</v>
      </c>
      <c r="BI5" s="173">
        <f t="shared" ref="BI5:BI68" si="36">IF(BH5=0,VLOOKUP(BB5,EnacSY202324CL,9,FALSE),0)</f>
        <v>4399198.9830830805</v>
      </c>
      <c r="BJ5" s="173">
        <f t="shared" ref="BJ5:BJ68" si="37">IFERROR(IF(VLOOKUP(BB5,$A:$C,3,FALSE)="YES",VLOOKUP(BB5,EnacSY202425CL,9,FALSE),0),0)</f>
        <v>0</v>
      </c>
      <c r="BK5" s="173">
        <f t="shared" ref="BK5:BK68" si="38">IF(BJ5=0,VLOOKUP(BB5,EnacSY202425CL,9,FALSE),0)</f>
        <v>4488265.0426025232</v>
      </c>
      <c r="BM5" s="87" t="s">
        <v>141</v>
      </c>
      <c r="BN5" s="87" t="s">
        <v>142</v>
      </c>
      <c r="BO5" s="173">
        <f t="shared" ref="BO5:BO68" si="39">IFERROR(IF(VLOOKUP(BM5,$A:$C,3,FALSE)="YES",VLOOKUP(BM5,EnacSY202122F195F,9,FALSE),0),0)</f>
        <v>0</v>
      </c>
      <c r="BP5" s="173">
        <f t="shared" ref="BP5:BP68" si="40">IF(BO5=0,VLOOKUP(BM5,EnacSY202122F195F,9,FALSE),0)</f>
        <v>4058166.9319256772</v>
      </c>
      <c r="BQ5" s="173">
        <f t="shared" ref="BQ5:BQ68" si="41">IFERROR(IF(VLOOKUP(BM5,$A:$C,3,FALSE)="YES",VLOOKUP(BM5,EnacSY202223F195F,9,FALSE),0),0)</f>
        <v>0</v>
      </c>
      <c r="BR5" s="173">
        <f t="shared" ref="BR5:BR68" si="42">IF(BQ5=0,VLOOKUP(BM5,EnacSY202223F195F,9,FALSE),0)</f>
        <v>4283059.8676583553</v>
      </c>
      <c r="BS5" s="173">
        <f t="shared" ref="BS5:BS68" si="43">IFERROR(IF(VLOOKUP(BM5,$A:$C,3,FALSE)="YES",VLOOKUP(BM5,EnacSY202324F195F,9,FALSE),0),0)</f>
        <v>0</v>
      </c>
      <c r="BT5" s="173">
        <f t="shared" ref="BT5:BT68" si="44">IF(BS5=0,VLOOKUP(BM5,EnacSY202324F195F,9,FALSE),0)</f>
        <v>4376865.005288275</v>
      </c>
      <c r="BU5" s="173">
        <f t="shared" ref="BU5:BU68" si="45">IFERROR(IF(VLOOKUP(BM5,$A:$C,3,FALSE)="YES",VLOOKUP(BM5,EnacSY202425F195F,9,FALSE),0),0)</f>
        <v>0</v>
      </c>
      <c r="BV5" s="173">
        <f t="shared" ref="BV5:BV68" si="46">IF(BU5=0,VLOOKUP(BM5,EnacSY202425F195F,9,FALSE),0)</f>
        <v>4482723.5031139934</v>
      </c>
    </row>
    <row r="6" spans="1:74">
      <c r="A6" s="87" t="s">
        <v>79</v>
      </c>
      <c r="B6" s="87" t="s">
        <v>80</v>
      </c>
      <c r="C6" s="87" t="s">
        <v>998</v>
      </c>
      <c r="E6" s="87" t="s">
        <v>279</v>
      </c>
      <c r="F6" s="87" t="s">
        <v>280</v>
      </c>
      <c r="G6" s="173">
        <f>IFERROR(IF(VLOOKUP(E6,A:C,3,FALSE)="YES",VLOOKUP(E6,'School Year 2021-22 SPED coop'!A:P,16,FALSE),0),0)</f>
        <v>0</v>
      </c>
      <c r="H6" s="173">
        <f t="shared" ref="H6:H69" si="47">IF(G6=0,VLOOKUP(E6,SY202122Apport,9,FALSE),0)</f>
        <v>657971.06000000006</v>
      </c>
      <c r="J6" s="87" t="s">
        <v>279</v>
      </c>
      <c r="K6" s="87" t="s">
        <v>280</v>
      </c>
      <c r="L6" s="173">
        <f t="shared" si="6"/>
        <v>0</v>
      </c>
      <c r="M6" s="173">
        <f t="shared" si="7"/>
        <v>679387.56522808468</v>
      </c>
      <c r="N6" s="173">
        <f t="shared" si="8"/>
        <v>0</v>
      </c>
      <c r="O6" s="173">
        <f t="shared" si="9"/>
        <v>702325.87872113334</v>
      </c>
      <c r="P6" s="173">
        <f t="shared" si="10"/>
        <v>0</v>
      </c>
      <c r="Q6" s="173">
        <f t="shared" si="11"/>
        <v>715355.95794765244</v>
      </c>
      <c r="R6" s="173">
        <f t="shared" si="12"/>
        <v>0</v>
      </c>
      <c r="S6" s="173">
        <f t="shared" si="13"/>
        <v>728567.67978785746</v>
      </c>
      <c r="U6" s="87" t="s">
        <v>279</v>
      </c>
      <c r="V6" s="87" t="s">
        <v>280</v>
      </c>
      <c r="W6" s="173">
        <f t="shared" si="14"/>
        <v>0</v>
      </c>
      <c r="X6" s="173">
        <f t="shared" ref="X6:X69" si="48">IF(W6=0,VLOOKUP(U6,MaintSY202122CL,9,FALSE),0)</f>
        <v>679387.56522808468</v>
      </c>
      <c r="Y6" s="173">
        <f t="shared" ref="Y6:Y69" si="49">IFERROR(IF(VLOOKUP(U6,A:C,3,FALSE)="YES",VLOOKUP(U6,MaintSY202223CL,9,FALSE),0),0)</f>
        <v>0</v>
      </c>
      <c r="Z6" s="173">
        <f t="shared" ref="Z6:Z69" si="50">IF(Y6=0,VLOOKUP(U6,MaintSY202223CL,9,FALSE),0)</f>
        <v>705769.36580908368</v>
      </c>
      <c r="AA6" s="173">
        <f t="shared" ref="AA6:AA69" si="51">IFERROR(IF(VLOOKUP(U6,A:C,3,FALSE)="YES",VLOOKUP(U6,MaintSY202324CL,9,FALSE),0),0)</f>
        <v>0</v>
      </c>
      <c r="AB6" s="173">
        <f t="shared" ref="AB6:AB69" si="52">IF(AA6=0,VLOOKUP(U6,MaintSY202324CL,9,FALSE),0)</f>
        <v>719411.00612520601</v>
      </c>
      <c r="AC6" s="173">
        <f t="shared" ref="AC6:AC69" si="53">IFERROR(IF(VLOOKUP(U6,A:C,3,FALSE)="YES",VLOOKUP(U6,MaintSY202425CL,9,FALSE),0),0)</f>
        <v>0</v>
      </c>
      <c r="AD6" s="173">
        <f t="shared" ref="AD6:AD69" si="54">IF(AC6=0,VLOOKUP(U6,MaintSY202425CL,9,FALSE),0)</f>
        <v>733953.58308795793</v>
      </c>
      <c r="AF6" s="87" t="s">
        <v>279</v>
      </c>
      <c r="AG6" s="87" t="s">
        <v>280</v>
      </c>
      <c r="AH6" s="173">
        <f t="shared" si="15"/>
        <v>0</v>
      </c>
      <c r="AI6" s="173">
        <f t="shared" si="16"/>
        <v>679387.56522808468</v>
      </c>
      <c r="AJ6" s="173">
        <f t="shared" si="17"/>
        <v>0</v>
      </c>
      <c r="AK6" s="173">
        <f t="shared" si="18"/>
        <v>698734.91609909583</v>
      </c>
      <c r="AL6" s="173">
        <f t="shared" si="19"/>
        <v>0</v>
      </c>
      <c r="AM6" s="173">
        <f t="shared" si="20"/>
        <v>715437.45736152912</v>
      </c>
      <c r="AN6" s="173">
        <f t="shared" si="21"/>
        <v>0</v>
      </c>
      <c r="AO6" s="173">
        <f t="shared" si="22"/>
        <v>728617.29324463056</v>
      </c>
      <c r="AQ6" s="87" t="s">
        <v>279</v>
      </c>
      <c r="AR6" s="87" t="s">
        <v>280</v>
      </c>
      <c r="AS6" s="173">
        <f t="shared" si="23"/>
        <v>0</v>
      </c>
      <c r="AT6" s="173">
        <f t="shared" si="24"/>
        <v>679387.56522808468</v>
      </c>
      <c r="AU6" s="173">
        <f t="shared" si="25"/>
        <v>0</v>
      </c>
      <c r="AV6" s="173">
        <f t="shared" si="26"/>
        <v>719668.41509034613</v>
      </c>
      <c r="AW6" s="173">
        <f t="shared" si="27"/>
        <v>0</v>
      </c>
      <c r="AX6" s="173">
        <f t="shared" si="28"/>
        <v>732346.99581961264</v>
      </c>
      <c r="AY6" s="173">
        <f t="shared" si="29"/>
        <v>0</v>
      </c>
      <c r="AZ6" s="173">
        <f t="shared" si="30"/>
        <v>745925.70362425339</v>
      </c>
      <c r="BB6" s="87" t="s">
        <v>279</v>
      </c>
      <c r="BC6" s="87" t="s">
        <v>280</v>
      </c>
      <c r="BD6" s="173">
        <f t="shared" si="31"/>
        <v>0</v>
      </c>
      <c r="BE6" s="173">
        <f t="shared" si="32"/>
        <v>679387.56522808468</v>
      </c>
      <c r="BF6" s="173">
        <f t="shared" si="33"/>
        <v>0</v>
      </c>
      <c r="BG6" s="173">
        <f t="shared" si="34"/>
        <v>723196.93225686473</v>
      </c>
      <c r="BH6" s="173">
        <f t="shared" si="35"/>
        <v>0</v>
      </c>
      <c r="BI6" s="173">
        <f t="shared" si="36"/>
        <v>736498.3651104006</v>
      </c>
      <c r="BJ6" s="173">
        <f t="shared" si="37"/>
        <v>0</v>
      </c>
      <c r="BK6" s="173">
        <f t="shared" si="38"/>
        <v>751439.92770270281</v>
      </c>
      <c r="BM6" s="87" t="s">
        <v>279</v>
      </c>
      <c r="BN6" s="87" t="s">
        <v>280</v>
      </c>
      <c r="BO6" s="173">
        <f t="shared" si="39"/>
        <v>0</v>
      </c>
      <c r="BP6" s="173">
        <f t="shared" si="40"/>
        <v>679387.56522808468</v>
      </c>
      <c r="BQ6" s="173">
        <f t="shared" si="41"/>
        <v>0</v>
      </c>
      <c r="BR6" s="173">
        <f t="shared" si="42"/>
        <v>715987.66212425544</v>
      </c>
      <c r="BS6" s="173">
        <f t="shared" si="43"/>
        <v>0</v>
      </c>
      <c r="BT6" s="173">
        <f t="shared" si="44"/>
        <v>732432.17132739222</v>
      </c>
      <c r="BU6" s="173">
        <f t="shared" si="45"/>
        <v>0</v>
      </c>
      <c r="BV6" s="173">
        <f t="shared" si="46"/>
        <v>745977.2646898157</v>
      </c>
    </row>
    <row r="7" spans="1:74">
      <c r="A7" s="87" t="s">
        <v>83</v>
      </c>
      <c r="B7" s="87" t="s">
        <v>84</v>
      </c>
      <c r="C7" s="87" t="s">
        <v>998</v>
      </c>
      <c r="E7" s="87" t="s">
        <v>301</v>
      </c>
      <c r="F7" s="87" t="s">
        <v>302</v>
      </c>
      <c r="G7" s="173">
        <f>IFERROR(IF(VLOOKUP(E7,A:C,3,FALSE)="YES",VLOOKUP(E7,'School Year 2021-22 SPED coop'!A:P,16,FALSE),0),0)</f>
        <v>0</v>
      </c>
      <c r="H7" s="173">
        <f t="shared" si="47"/>
        <v>81932.789999999994</v>
      </c>
      <c r="J7" s="87" t="s">
        <v>301</v>
      </c>
      <c r="K7" s="87" t="s">
        <v>302</v>
      </c>
      <c r="L7" s="173">
        <f t="shared" si="6"/>
        <v>0</v>
      </c>
      <c r="M7" s="173">
        <f t="shared" si="7"/>
        <v>82898.691177076049</v>
      </c>
      <c r="N7" s="173">
        <f t="shared" si="8"/>
        <v>0</v>
      </c>
      <c r="O7" s="173">
        <f t="shared" si="9"/>
        <v>85691.780625405503</v>
      </c>
      <c r="P7" s="173">
        <f t="shared" si="10"/>
        <v>0</v>
      </c>
      <c r="Q7" s="173">
        <f t="shared" si="11"/>
        <v>87280.903761288748</v>
      </c>
      <c r="R7" s="173">
        <f t="shared" si="12"/>
        <v>0</v>
      </c>
      <c r="S7" s="173">
        <f t="shared" si="13"/>
        <v>88891.609395019943</v>
      </c>
      <c r="U7" s="87" t="s">
        <v>301</v>
      </c>
      <c r="V7" s="87" t="s">
        <v>302</v>
      </c>
      <c r="W7" s="173">
        <f t="shared" si="14"/>
        <v>0</v>
      </c>
      <c r="X7" s="173">
        <f t="shared" si="48"/>
        <v>82898.691177076049</v>
      </c>
      <c r="Y7" s="173">
        <f t="shared" si="49"/>
        <v>0</v>
      </c>
      <c r="Z7" s="173">
        <f t="shared" si="50"/>
        <v>85691.780625405503</v>
      </c>
      <c r="AA7" s="173">
        <f t="shared" si="51"/>
        <v>0</v>
      </c>
      <c r="AB7" s="173">
        <f t="shared" si="52"/>
        <v>87280.903761288748</v>
      </c>
      <c r="AC7" s="173">
        <f t="shared" si="53"/>
        <v>0</v>
      </c>
      <c r="AD7" s="173">
        <f t="shared" si="54"/>
        <v>88891.609395019943</v>
      </c>
      <c r="AF7" s="87" t="s">
        <v>301</v>
      </c>
      <c r="AG7" s="87" t="s">
        <v>302</v>
      </c>
      <c r="AH7" s="173">
        <f t="shared" si="15"/>
        <v>0</v>
      </c>
      <c r="AI7" s="173">
        <f t="shared" si="16"/>
        <v>82898.691177076049</v>
      </c>
      <c r="AJ7" s="173">
        <f t="shared" si="17"/>
        <v>0</v>
      </c>
      <c r="AK7" s="173">
        <f t="shared" si="18"/>
        <v>83562.739008186574</v>
      </c>
      <c r="AL7" s="173">
        <f t="shared" si="19"/>
        <v>0</v>
      </c>
      <c r="AM7" s="173">
        <f t="shared" si="20"/>
        <v>83899.373974791757</v>
      </c>
      <c r="AN7" s="173">
        <f t="shared" si="21"/>
        <v>0</v>
      </c>
      <c r="AO7" s="173">
        <f t="shared" si="22"/>
        <v>84256.672243815963</v>
      </c>
      <c r="AQ7" s="87" t="s">
        <v>301</v>
      </c>
      <c r="AR7" s="87" t="s">
        <v>302</v>
      </c>
      <c r="AS7" s="173">
        <f t="shared" si="23"/>
        <v>0</v>
      </c>
      <c r="AT7" s="173">
        <f t="shared" si="24"/>
        <v>82898.691177076049</v>
      </c>
      <c r="AU7" s="173">
        <f t="shared" si="25"/>
        <v>0</v>
      </c>
      <c r="AV7" s="173">
        <f t="shared" si="26"/>
        <v>87808.498768428515</v>
      </c>
      <c r="AW7" s="173">
        <f t="shared" si="27"/>
        <v>0</v>
      </c>
      <c r="AX7" s="173">
        <f t="shared" si="28"/>
        <v>89354.250513487437</v>
      </c>
      <c r="AY7" s="173">
        <f t="shared" si="29"/>
        <v>0</v>
      </c>
      <c r="AZ7" s="173">
        <f t="shared" si="30"/>
        <v>91009.737785035555</v>
      </c>
      <c r="BB7" s="87" t="s">
        <v>301</v>
      </c>
      <c r="BC7" s="87" t="s">
        <v>302</v>
      </c>
      <c r="BD7" s="173">
        <f t="shared" si="31"/>
        <v>0</v>
      </c>
      <c r="BE7" s="173">
        <f t="shared" si="32"/>
        <v>82898.691177076049</v>
      </c>
      <c r="BF7" s="173">
        <f t="shared" si="33"/>
        <v>0</v>
      </c>
      <c r="BG7" s="173">
        <f t="shared" si="34"/>
        <v>87808.498768428515</v>
      </c>
      <c r="BH7" s="173">
        <f t="shared" si="35"/>
        <v>0</v>
      </c>
      <c r="BI7" s="173">
        <f t="shared" si="36"/>
        <v>89354.250513487437</v>
      </c>
      <c r="BJ7" s="173">
        <f t="shared" si="37"/>
        <v>0</v>
      </c>
      <c r="BK7" s="173">
        <f t="shared" si="38"/>
        <v>91009.737785035555</v>
      </c>
      <c r="BM7" s="87" t="s">
        <v>301</v>
      </c>
      <c r="BN7" s="87" t="s">
        <v>302</v>
      </c>
      <c r="BO7" s="173">
        <f t="shared" si="39"/>
        <v>0</v>
      </c>
      <c r="BP7" s="173">
        <f t="shared" si="40"/>
        <v>82898.691177076049</v>
      </c>
      <c r="BQ7" s="173">
        <f t="shared" si="41"/>
        <v>0</v>
      </c>
      <c r="BR7" s="173">
        <f t="shared" si="42"/>
        <v>85625.997050485312</v>
      </c>
      <c r="BS7" s="173">
        <f t="shared" si="43"/>
        <v>0</v>
      </c>
      <c r="BT7" s="173">
        <f t="shared" si="44"/>
        <v>85891.332098180079</v>
      </c>
      <c r="BU7" s="173">
        <f t="shared" si="45"/>
        <v>0</v>
      </c>
      <c r="BV7" s="173">
        <f t="shared" si="46"/>
        <v>86263.148696778546</v>
      </c>
    </row>
    <row r="8" spans="1:74">
      <c r="A8" s="87" t="s">
        <v>89</v>
      </c>
      <c r="B8" s="87" t="s">
        <v>90</v>
      </c>
      <c r="C8" s="87" t="s">
        <v>998</v>
      </c>
      <c r="E8" s="87" t="s">
        <v>407</v>
      </c>
      <c r="F8" s="87" t="s">
        <v>408</v>
      </c>
      <c r="G8" s="173">
        <f>IFERROR(IF(VLOOKUP(E8,A:C,3,FALSE)="YES",VLOOKUP(E8,'School Year 2021-22 SPED coop'!A:P,16,FALSE),0),0)</f>
        <v>0</v>
      </c>
      <c r="H8" s="173">
        <f t="shared" si="47"/>
        <v>2980293.31</v>
      </c>
      <c r="J8" s="87" t="s">
        <v>407</v>
      </c>
      <c r="K8" s="87" t="s">
        <v>408</v>
      </c>
      <c r="L8" s="173">
        <f t="shared" si="6"/>
        <v>0</v>
      </c>
      <c r="M8" s="173">
        <f t="shared" si="7"/>
        <v>3030597.5501745851</v>
      </c>
      <c r="N8" s="173">
        <f t="shared" si="8"/>
        <v>0</v>
      </c>
      <c r="O8" s="173">
        <f t="shared" si="9"/>
        <v>3131800.5652882103</v>
      </c>
      <c r="P8" s="173">
        <f t="shared" si="10"/>
        <v>0</v>
      </c>
      <c r="Q8" s="173">
        <f t="shared" si="11"/>
        <v>3190133.2110779043</v>
      </c>
      <c r="R8" s="173">
        <f t="shared" si="12"/>
        <v>0</v>
      </c>
      <c r="S8" s="173">
        <f t="shared" si="13"/>
        <v>3249486.4086239277</v>
      </c>
      <c r="U8" s="87" t="s">
        <v>407</v>
      </c>
      <c r="V8" s="87" t="s">
        <v>408</v>
      </c>
      <c r="W8" s="173">
        <f t="shared" si="14"/>
        <v>0</v>
      </c>
      <c r="X8" s="173">
        <f t="shared" si="48"/>
        <v>3030597.5501745851</v>
      </c>
      <c r="Y8" s="173">
        <f t="shared" si="49"/>
        <v>0</v>
      </c>
      <c r="Z8" s="173">
        <f t="shared" si="50"/>
        <v>3147157.7374282507</v>
      </c>
      <c r="AA8" s="173">
        <f t="shared" si="51"/>
        <v>0</v>
      </c>
      <c r="AB8" s="173">
        <f t="shared" si="52"/>
        <v>3208168.3020351497</v>
      </c>
      <c r="AC8" s="173">
        <f t="shared" si="53"/>
        <v>0</v>
      </c>
      <c r="AD8" s="173">
        <f t="shared" si="54"/>
        <v>3273487.4632375878</v>
      </c>
      <c r="AF8" s="87" t="s">
        <v>407</v>
      </c>
      <c r="AG8" s="87" t="s">
        <v>408</v>
      </c>
      <c r="AH8" s="173">
        <f t="shared" si="15"/>
        <v>0</v>
      </c>
      <c r="AI8" s="173">
        <f t="shared" si="16"/>
        <v>3030597.5501745851</v>
      </c>
      <c r="AJ8" s="173">
        <f t="shared" si="17"/>
        <v>0</v>
      </c>
      <c r="AK8" s="173">
        <f t="shared" si="18"/>
        <v>3109484.4750107056</v>
      </c>
      <c r="AL8" s="173">
        <f t="shared" si="19"/>
        <v>0</v>
      </c>
      <c r="AM8" s="173">
        <f t="shared" si="20"/>
        <v>3165683.6416455004</v>
      </c>
      <c r="AN8" s="173">
        <f t="shared" si="21"/>
        <v>0</v>
      </c>
      <c r="AO8" s="173">
        <f t="shared" si="22"/>
        <v>3226873.7631438095</v>
      </c>
      <c r="AQ8" s="87" t="s">
        <v>407</v>
      </c>
      <c r="AR8" s="87" t="s">
        <v>408</v>
      </c>
      <c r="AS8" s="173">
        <f t="shared" si="23"/>
        <v>0</v>
      </c>
      <c r="AT8" s="173">
        <f t="shared" si="24"/>
        <v>3030597.5501745851</v>
      </c>
      <c r="AU8" s="173">
        <f t="shared" si="25"/>
        <v>0</v>
      </c>
      <c r="AV8" s="173">
        <f t="shared" si="26"/>
        <v>3209711.4223585259</v>
      </c>
      <c r="AW8" s="173">
        <f t="shared" si="27"/>
        <v>0</v>
      </c>
      <c r="AX8" s="173">
        <f t="shared" si="28"/>
        <v>3266670.7195539623</v>
      </c>
      <c r="AY8" s="173">
        <f t="shared" si="29"/>
        <v>0</v>
      </c>
      <c r="AZ8" s="173">
        <f t="shared" si="30"/>
        <v>3327673.8716901094</v>
      </c>
      <c r="BB8" s="87" t="s">
        <v>407</v>
      </c>
      <c r="BC8" s="87" t="s">
        <v>408</v>
      </c>
      <c r="BD8" s="173">
        <f t="shared" si="31"/>
        <v>0</v>
      </c>
      <c r="BE8" s="173">
        <f t="shared" si="32"/>
        <v>3030597.5501745851</v>
      </c>
      <c r="BF8" s="173">
        <f t="shared" si="33"/>
        <v>0</v>
      </c>
      <c r="BG8" s="173">
        <f t="shared" si="34"/>
        <v>3225450.6413698592</v>
      </c>
      <c r="BH8" s="173">
        <f t="shared" si="35"/>
        <v>0</v>
      </c>
      <c r="BI8" s="173">
        <f t="shared" si="36"/>
        <v>3285138.5099167712</v>
      </c>
      <c r="BJ8" s="173">
        <f t="shared" si="37"/>
        <v>0</v>
      </c>
      <c r="BK8" s="173">
        <f t="shared" si="38"/>
        <v>3352252.4271114357</v>
      </c>
      <c r="BM8" s="87" t="s">
        <v>407</v>
      </c>
      <c r="BN8" s="87" t="s">
        <v>408</v>
      </c>
      <c r="BO8" s="173">
        <f t="shared" si="39"/>
        <v>0</v>
      </c>
      <c r="BP8" s="173">
        <f t="shared" si="40"/>
        <v>3030597.5501745851</v>
      </c>
      <c r="BQ8" s="173">
        <f t="shared" si="41"/>
        <v>0</v>
      </c>
      <c r="BR8" s="173">
        <f t="shared" si="42"/>
        <v>3186831.326850621</v>
      </c>
      <c r="BS8" s="173">
        <f t="shared" si="43"/>
        <v>0</v>
      </c>
      <c r="BT8" s="173">
        <f t="shared" si="44"/>
        <v>3241628.8397281016</v>
      </c>
      <c r="BU8" s="173">
        <f t="shared" si="45"/>
        <v>0</v>
      </c>
      <c r="BV8" s="173">
        <f t="shared" si="46"/>
        <v>3304512.6668648408</v>
      </c>
    </row>
    <row r="9" spans="1:74">
      <c r="A9" s="87" t="s">
        <v>99</v>
      </c>
      <c r="B9" s="87" t="s">
        <v>100</v>
      </c>
      <c r="C9" s="87" t="s">
        <v>998</v>
      </c>
      <c r="E9" s="87" t="s">
        <v>431</v>
      </c>
      <c r="F9" s="87" t="s">
        <v>432</v>
      </c>
      <c r="G9" s="173">
        <f>IFERROR(IF(VLOOKUP(E9,A:C,3,FALSE)="YES",VLOOKUP(E9,'School Year 2021-22 SPED coop'!A:P,16,FALSE),0),0)</f>
        <v>0</v>
      </c>
      <c r="H9" s="173">
        <f t="shared" si="47"/>
        <v>7488561.4699999997</v>
      </c>
      <c r="J9" s="87" t="s">
        <v>431</v>
      </c>
      <c r="K9" s="87" t="s">
        <v>432</v>
      </c>
      <c r="L9" s="173">
        <f t="shared" si="6"/>
        <v>0</v>
      </c>
      <c r="M9" s="173">
        <f t="shared" si="7"/>
        <v>7576316.1276263483</v>
      </c>
      <c r="N9" s="173">
        <f t="shared" si="8"/>
        <v>0</v>
      </c>
      <c r="O9" s="173">
        <f t="shared" si="9"/>
        <v>7777886.9886079459</v>
      </c>
      <c r="P9" s="173">
        <f t="shared" si="10"/>
        <v>0</v>
      </c>
      <c r="Q9" s="173">
        <f t="shared" si="11"/>
        <v>7922948.2015752252</v>
      </c>
      <c r="R9" s="173">
        <f t="shared" si="12"/>
        <v>0</v>
      </c>
      <c r="S9" s="173">
        <f t="shared" si="13"/>
        <v>8070715.3567919824</v>
      </c>
      <c r="U9" s="87" t="s">
        <v>431</v>
      </c>
      <c r="V9" s="87" t="s">
        <v>432</v>
      </c>
      <c r="W9" s="173">
        <f t="shared" si="14"/>
        <v>0</v>
      </c>
      <c r="X9" s="173">
        <f t="shared" si="48"/>
        <v>7576316.1276263483</v>
      </c>
      <c r="Y9" s="173">
        <f t="shared" si="49"/>
        <v>0</v>
      </c>
      <c r="Z9" s="173">
        <f t="shared" si="50"/>
        <v>7816018.2256977204</v>
      </c>
      <c r="AA9" s="173">
        <f t="shared" si="51"/>
        <v>0</v>
      </c>
      <c r="AB9" s="173">
        <f t="shared" si="52"/>
        <v>7967720.295134577</v>
      </c>
      <c r="AC9" s="173">
        <f t="shared" si="53"/>
        <v>0</v>
      </c>
      <c r="AD9" s="173">
        <f t="shared" si="54"/>
        <v>8130330.1106037749</v>
      </c>
      <c r="AF9" s="87" t="s">
        <v>431</v>
      </c>
      <c r="AG9" s="87" t="s">
        <v>432</v>
      </c>
      <c r="AH9" s="173">
        <f t="shared" si="15"/>
        <v>0</v>
      </c>
      <c r="AI9" s="173">
        <f t="shared" si="16"/>
        <v>7576316.1276263483</v>
      </c>
      <c r="AJ9" s="173">
        <f t="shared" si="17"/>
        <v>0</v>
      </c>
      <c r="AK9" s="173">
        <f t="shared" si="18"/>
        <v>7822135.8053722959</v>
      </c>
      <c r="AL9" s="173">
        <f t="shared" si="19"/>
        <v>0</v>
      </c>
      <c r="AM9" s="173">
        <f t="shared" si="20"/>
        <v>7984764.2568047401</v>
      </c>
      <c r="AN9" s="173">
        <f t="shared" si="21"/>
        <v>0</v>
      </c>
      <c r="AO9" s="173">
        <f t="shared" si="22"/>
        <v>8142796.9101986354</v>
      </c>
      <c r="AQ9" s="87" t="s">
        <v>431</v>
      </c>
      <c r="AR9" s="87" t="s">
        <v>432</v>
      </c>
      <c r="AS9" s="173">
        <f t="shared" si="23"/>
        <v>0</v>
      </c>
      <c r="AT9" s="173">
        <f t="shared" si="24"/>
        <v>7576316.1276263483</v>
      </c>
      <c r="AU9" s="173">
        <f t="shared" si="25"/>
        <v>0</v>
      </c>
      <c r="AV9" s="173">
        <f t="shared" si="26"/>
        <v>7971827.7167665306</v>
      </c>
      <c r="AW9" s="173">
        <f t="shared" si="27"/>
        <v>0</v>
      </c>
      <c r="AX9" s="173">
        <f t="shared" si="28"/>
        <v>8113635.3935977835</v>
      </c>
      <c r="AY9" s="173">
        <f t="shared" si="29"/>
        <v>0</v>
      </c>
      <c r="AZ9" s="173">
        <f t="shared" si="30"/>
        <v>8265510.8935213899</v>
      </c>
      <c r="BB9" s="87" t="s">
        <v>431</v>
      </c>
      <c r="BC9" s="87" t="s">
        <v>432</v>
      </c>
      <c r="BD9" s="173">
        <f t="shared" si="31"/>
        <v>0</v>
      </c>
      <c r="BE9" s="173">
        <f t="shared" si="32"/>
        <v>7576316.1276263483</v>
      </c>
      <c r="BF9" s="173">
        <f t="shared" si="33"/>
        <v>0</v>
      </c>
      <c r="BG9" s="173">
        <f t="shared" si="34"/>
        <v>8010909.7502356451</v>
      </c>
      <c r="BH9" s="173">
        <f t="shared" si="35"/>
        <v>0</v>
      </c>
      <c r="BI9" s="173">
        <f t="shared" si="36"/>
        <v>8159485.0442187991</v>
      </c>
      <c r="BJ9" s="173">
        <f t="shared" si="37"/>
        <v>0</v>
      </c>
      <c r="BK9" s="173">
        <f t="shared" si="38"/>
        <v>8326564.5161465127</v>
      </c>
      <c r="BM9" s="87" t="s">
        <v>431</v>
      </c>
      <c r="BN9" s="87" t="s">
        <v>432</v>
      </c>
      <c r="BO9" s="173">
        <f t="shared" si="39"/>
        <v>0</v>
      </c>
      <c r="BP9" s="173">
        <f t="shared" si="40"/>
        <v>7576316.1276263483</v>
      </c>
      <c r="BQ9" s="173">
        <f t="shared" si="41"/>
        <v>0</v>
      </c>
      <c r="BR9" s="173">
        <f t="shared" si="42"/>
        <v>8017197.3407722022</v>
      </c>
      <c r="BS9" s="173">
        <f t="shared" si="43"/>
        <v>0</v>
      </c>
      <c r="BT9" s="173">
        <f t="shared" si="44"/>
        <v>8176958.0395043306</v>
      </c>
      <c r="BU9" s="173">
        <f t="shared" si="45"/>
        <v>0</v>
      </c>
      <c r="BV9" s="173">
        <f t="shared" si="46"/>
        <v>8339351.5226108739</v>
      </c>
    </row>
    <row r="10" spans="1:74">
      <c r="A10" s="87" t="s">
        <v>117</v>
      </c>
      <c r="B10" s="87" t="s">
        <v>118</v>
      </c>
      <c r="C10" s="87" t="s">
        <v>998</v>
      </c>
      <c r="E10" s="87" t="s">
        <v>15</v>
      </c>
      <c r="F10" s="87" t="s">
        <v>16</v>
      </c>
      <c r="G10" s="173">
        <f>IFERROR(IF(VLOOKUP(E10,A:C,3,FALSE)="YES",VLOOKUP(E10,'School Year 2021-22 SPED coop'!A:P,16,FALSE),0),0)</f>
        <v>0</v>
      </c>
      <c r="H10" s="173">
        <f t="shared" si="47"/>
        <v>736055.74</v>
      </c>
      <c r="J10" s="87" t="s">
        <v>15</v>
      </c>
      <c r="K10" s="87" t="s">
        <v>16</v>
      </c>
      <c r="L10" s="173">
        <f t="shared" si="6"/>
        <v>0</v>
      </c>
      <c r="M10" s="173">
        <f t="shared" si="7"/>
        <v>744226.44108178397</v>
      </c>
      <c r="N10" s="173">
        <f t="shared" si="8"/>
        <v>0</v>
      </c>
      <c r="O10" s="173">
        <f t="shared" si="9"/>
        <v>769414.17321459658</v>
      </c>
      <c r="P10" s="173">
        <f t="shared" si="10"/>
        <v>0</v>
      </c>
      <c r="Q10" s="173">
        <f t="shared" si="11"/>
        <v>783662.78607935039</v>
      </c>
      <c r="R10" s="173">
        <f t="shared" si="12"/>
        <v>0</v>
      </c>
      <c r="S10" s="173">
        <f t="shared" si="13"/>
        <v>798088.11421823688</v>
      </c>
      <c r="U10" s="87" t="s">
        <v>15</v>
      </c>
      <c r="V10" s="87" t="s">
        <v>16</v>
      </c>
      <c r="W10" s="173">
        <f t="shared" si="14"/>
        <v>0</v>
      </c>
      <c r="X10" s="173">
        <f t="shared" si="48"/>
        <v>744226.44108178397</v>
      </c>
      <c r="Y10" s="173">
        <f t="shared" si="49"/>
        <v>0</v>
      </c>
      <c r="Z10" s="173">
        <f t="shared" si="50"/>
        <v>773175.83190925943</v>
      </c>
      <c r="AA10" s="173">
        <f t="shared" si="51"/>
        <v>0</v>
      </c>
      <c r="AB10" s="173">
        <f t="shared" si="52"/>
        <v>788084.31363335496</v>
      </c>
      <c r="AC10" s="173">
        <f t="shared" si="53"/>
        <v>0</v>
      </c>
      <c r="AD10" s="173">
        <f t="shared" si="54"/>
        <v>803978.73136489163</v>
      </c>
      <c r="AF10" s="87" t="s">
        <v>15</v>
      </c>
      <c r="AG10" s="87" t="s">
        <v>16</v>
      </c>
      <c r="AH10" s="173">
        <f t="shared" si="15"/>
        <v>0</v>
      </c>
      <c r="AI10" s="173">
        <f t="shared" si="16"/>
        <v>744226.44108178397</v>
      </c>
      <c r="AJ10" s="173">
        <f t="shared" si="17"/>
        <v>0</v>
      </c>
      <c r="AK10" s="173">
        <f t="shared" si="18"/>
        <v>772303.90423276613</v>
      </c>
      <c r="AL10" s="173">
        <f t="shared" si="19"/>
        <v>0</v>
      </c>
      <c r="AM10" s="173">
        <f t="shared" si="20"/>
        <v>797545.25098052958</v>
      </c>
      <c r="AN10" s="173">
        <f t="shared" si="21"/>
        <v>0</v>
      </c>
      <c r="AO10" s="173">
        <f t="shared" si="22"/>
        <v>816556.05152348604</v>
      </c>
      <c r="AQ10" s="87" t="s">
        <v>15</v>
      </c>
      <c r="AR10" s="87" t="s">
        <v>16</v>
      </c>
      <c r="AS10" s="173">
        <f t="shared" si="23"/>
        <v>0</v>
      </c>
      <c r="AT10" s="173">
        <f t="shared" si="24"/>
        <v>744226.44108178397</v>
      </c>
      <c r="AU10" s="173">
        <f t="shared" si="25"/>
        <v>0</v>
      </c>
      <c r="AV10" s="173">
        <f t="shared" si="26"/>
        <v>788356.25983207126</v>
      </c>
      <c r="AW10" s="173">
        <f t="shared" si="27"/>
        <v>0</v>
      </c>
      <c r="AX10" s="173">
        <f t="shared" si="28"/>
        <v>802199.46808779286</v>
      </c>
      <c r="AY10" s="173">
        <f t="shared" si="29"/>
        <v>0</v>
      </c>
      <c r="AZ10" s="173">
        <f t="shared" si="30"/>
        <v>817025.45617896167</v>
      </c>
      <c r="BB10" s="87" t="s">
        <v>15</v>
      </c>
      <c r="BC10" s="87" t="s">
        <v>16</v>
      </c>
      <c r="BD10" s="173">
        <f t="shared" si="31"/>
        <v>0</v>
      </c>
      <c r="BE10" s="173">
        <f t="shared" si="32"/>
        <v>744226.44108178397</v>
      </c>
      <c r="BF10" s="173">
        <f t="shared" si="33"/>
        <v>0</v>
      </c>
      <c r="BG10" s="173">
        <f t="shared" si="34"/>
        <v>792210.52057903691</v>
      </c>
      <c r="BH10" s="173">
        <f t="shared" si="35"/>
        <v>0</v>
      </c>
      <c r="BI10" s="173">
        <f t="shared" si="36"/>
        <v>806725.57837461098</v>
      </c>
      <c r="BJ10" s="173">
        <f t="shared" si="37"/>
        <v>0</v>
      </c>
      <c r="BK10" s="173">
        <f t="shared" si="38"/>
        <v>823055.84614314779</v>
      </c>
      <c r="BM10" s="87" t="s">
        <v>15</v>
      </c>
      <c r="BN10" s="87" t="s">
        <v>16</v>
      </c>
      <c r="BO10" s="173">
        <f t="shared" si="39"/>
        <v>0</v>
      </c>
      <c r="BP10" s="173">
        <f t="shared" si="40"/>
        <v>744226.44108178397</v>
      </c>
      <c r="BQ10" s="173">
        <f t="shared" si="41"/>
        <v>0</v>
      </c>
      <c r="BR10" s="173">
        <f t="shared" si="42"/>
        <v>791318.43205148738</v>
      </c>
      <c r="BS10" s="173">
        <f t="shared" si="43"/>
        <v>0</v>
      </c>
      <c r="BT10" s="173">
        <f t="shared" si="44"/>
        <v>816414.63024194632</v>
      </c>
      <c r="BU10" s="173">
        <f t="shared" si="45"/>
        <v>0</v>
      </c>
      <c r="BV10" s="173">
        <f t="shared" si="46"/>
        <v>835937.08877658902</v>
      </c>
    </row>
    <row r="11" spans="1:74">
      <c r="A11" s="87" t="s">
        <v>155</v>
      </c>
      <c r="B11" s="87" t="s">
        <v>156</v>
      </c>
      <c r="C11" s="87" t="s">
        <v>998</v>
      </c>
      <c r="E11" s="87" t="s">
        <v>205</v>
      </c>
      <c r="F11" s="87" t="s">
        <v>206</v>
      </c>
      <c r="G11" s="173">
        <f>IFERROR(IF(VLOOKUP(E11,A:C,3,FALSE)="YES",VLOOKUP(E11,'School Year 2021-22 SPED coop'!A:P,16,FALSE),0),0)</f>
        <v>0</v>
      </c>
      <c r="H11" s="173">
        <f t="shared" si="47"/>
        <v>18651468.609999999</v>
      </c>
      <c r="J11" s="87" t="s">
        <v>205</v>
      </c>
      <c r="K11" s="87" t="s">
        <v>206</v>
      </c>
      <c r="L11" s="173">
        <f t="shared" si="6"/>
        <v>0</v>
      </c>
      <c r="M11" s="173">
        <f t="shared" si="7"/>
        <v>18959632.789758548</v>
      </c>
      <c r="N11" s="173">
        <f t="shared" si="8"/>
        <v>0</v>
      </c>
      <c r="O11" s="173">
        <f t="shared" si="9"/>
        <v>19463650.307253897</v>
      </c>
      <c r="P11" s="173">
        <f t="shared" si="10"/>
        <v>0</v>
      </c>
      <c r="Q11" s="173">
        <f t="shared" si="11"/>
        <v>19826632.306442507</v>
      </c>
      <c r="R11" s="173">
        <f t="shared" si="12"/>
        <v>0</v>
      </c>
      <c r="S11" s="173">
        <f t="shared" si="13"/>
        <v>20196365.241013754</v>
      </c>
      <c r="U11" s="87" t="s">
        <v>205</v>
      </c>
      <c r="V11" s="87" t="s">
        <v>206</v>
      </c>
      <c r="W11" s="173">
        <f t="shared" si="14"/>
        <v>0</v>
      </c>
      <c r="X11" s="173">
        <f t="shared" si="48"/>
        <v>18959632.789758548</v>
      </c>
      <c r="Y11" s="173">
        <f t="shared" si="49"/>
        <v>0</v>
      </c>
      <c r="Z11" s="173">
        <f t="shared" si="50"/>
        <v>19559064.282280557</v>
      </c>
      <c r="AA11" s="173">
        <f t="shared" si="51"/>
        <v>0</v>
      </c>
      <c r="AB11" s="173">
        <f t="shared" si="52"/>
        <v>19938696.297324277</v>
      </c>
      <c r="AC11" s="173">
        <f t="shared" si="53"/>
        <v>0</v>
      </c>
      <c r="AD11" s="173">
        <f t="shared" si="54"/>
        <v>20345530.462736398</v>
      </c>
      <c r="AF11" s="87" t="s">
        <v>205</v>
      </c>
      <c r="AG11" s="87" t="s">
        <v>206</v>
      </c>
      <c r="AH11" s="173">
        <f t="shared" si="15"/>
        <v>0</v>
      </c>
      <c r="AI11" s="173">
        <f t="shared" si="16"/>
        <v>18959632.789758548</v>
      </c>
      <c r="AJ11" s="173">
        <f t="shared" si="17"/>
        <v>0</v>
      </c>
      <c r="AK11" s="173">
        <f t="shared" si="18"/>
        <v>19432540.45346142</v>
      </c>
      <c r="AL11" s="173">
        <f t="shared" si="19"/>
        <v>0</v>
      </c>
      <c r="AM11" s="173">
        <f t="shared" si="20"/>
        <v>19794397.680680532</v>
      </c>
      <c r="AN11" s="173">
        <f t="shared" si="21"/>
        <v>0</v>
      </c>
      <c r="AO11" s="173">
        <f t="shared" si="22"/>
        <v>20162473.638203651</v>
      </c>
      <c r="AQ11" s="87" t="s">
        <v>205</v>
      </c>
      <c r="AR11" s="87" t="s">
        <v>206</v>
      </c>
      <c r="AS11" s="173">
        <f t="shared" si="23"/>
        <v>0</v>
      </c>
      <c r="AT11" s="173">
        <f t="shared" si="24"/>
        <v>18959632.789758548</v>
      </c>
      <c r="AU11" s="173">
        <f t="shared" si="25"/>
        <v>0</v>
      </c>
      <c r="AV11" s="173">
        <f t="shared" si="26"/>
        <v>19949008.579684254</v>
      </c>
      <c r="AW11" s="173">
        <f t="shared" si="27"/>
        <v>0</v>
      </c>
      <c r="AX11" s="173">
        <f t="shared" si="28"/>
        <v>20303831.841501992</v>
      </c>
      <c r="AY11" s="173">
        <f t="shared" si="29"/>
        <v>0</v>
      </c>
      <c r="AZ11" s="173">
        <f t="shared" si="30"/>
        <v>20683845.955597512</v>
      </c>
      <c r="BB11" s="87" t="s">
        <v>205</v>
      </c>
      <c r="BC11" s="87" t="s">
        <v>206</v>
      </c>
      <c r="BD11" s="173">
        <f t="shared" si="31"/>
        <v>0</v>
      </c>
      <c r="BE11" s="173">
        <f t="shared" si="32"/>
        <v>18959632.789758548</v>
      </c>
      <c r="BF11" s="173">
        <f t="shared" si="33"/>
        <v>0</v>
      </c>
      <c r="BG11" s="173">
        <f t="shared" si="34"/>
        <v>20046801.851530477</v>
      </c>
      <c r="BH11" s="173">
        <f t="shared" si="35"/>
        <v>0</v>
      </c>
      <c r="BI11" s="173">
        <f t="shared" si="36"/>
        <v>20418593.05959785</v>
      </c>
      <c r="BJ11" s="173">
        <f t="shared" si="37"/>
        <v>0</v>
      </c>
      <c r="BK11" s="173">
        <f t="shared" si="38"/>
        <v>20836611.580885351</v>
      </c>
      <c r="BM11" s="87" t="s">
        <v>205</v>
      </c>
      <c r="BN11" s="87" t="s">
        <v>206</v>
      </c>
      <c r="BO11" s="173">
        <f t="shared" si="39"/>
        <v>0</v>
      </c>
      <c r="BP11" s="173">
        <f t="shared" si="40"/>
        <v>18959632.789758548</v>
      </c>
      <c r="BQ11" s="173">
        <f t="shared" si="41"/>
        <v>0</v>
      </c>
      <c r="BR11" s="173">
        <f t="shared" si="42"/>
        <v>19917110.303297933</v>
      </c>
      <c r="BS11" s="173">
        <f t="shared" si="43"/>
        <v>0</v>
      </c>
      <c r="BT11" s="173">
        <f t="shared" si="44"/>
        <v>20270811.54727713</v>
      </c>
      <c r="BU11" s="173">
        <f t="shared" si="45"/>
        <v>0</v>
      </c>
      <c r="BV11" s="173">
        <f t="shared" si="46"/>
        <v>20649125.631297853</v>
      </c>
    </row>
    <row r="12" spans="1:74">
      <c r="A12" s="87" t="s">
        <v>251</v>
      </c>
      <c r="B12" s="87" t="s">
        <v>252</v>
      </c>
      <c r="C12" s="87" t="s">
        <v>998</v>
      </c>
      <c r="E12" s="87" t="s">
        <v>229</v>
      </c>
      <c r="F12" s="87" t="s">
        <v>230</v>
      </c>
      <c r="G12" s="173">
        <f>IFERROR(IF(VLOOKUP(E12,A:C,3,FALSE)="YES",VLOOKUP(E12,'School Year 2021-22 SPED coop'!A:P,16,FALSE),0),0)</f>
        <v>0</v>
      </c>
      <c r="H12" s="173">
        <f t="shared" si="47"/>
        <v>4379557.58</v>
      </c>
      <c r="J12" s="87" t="s">
        <v>229</v>
      </c>
      <c r="K12" s="87" t="s">
        <v>230</v>
      </c>
      <c r="L12" s="173">
        <f t="shared" si="6"/>
        <v>0</v>
      </c>
      <c r="M12" s="173">
        <f t="shared" si="7"/>
        <v>4428634.9932812192</v>
      </c>
      <c r="N12" s="173">
        <f t="shared" si="8"/>
        <v>0</v>
      </c>
      <c r="O12" s="173">
        <f t="shared" si="9"/>
        <v>4575685.9187147571</v>
      </c>
      <c r="P12" s="173">
        <f t="shared" si="10"/>
        <v>0</v>
      </c>
      <c r="Q12" s="173">
        <f t="shared" si="11"/>
        <v>4661134.5101805897</v>
      </c>
      <c r="R12" s="173">
        <f t="shared" si="12"/>
        <v>0</v>
      </c>
      <c r="S12" s="173">
        <f t="shared" si="13"/>
        <v>4748273.5725281676</v>
      </c>
      <c r="U12" s="87" t="s">
        <v>229</v>
      </c>
      <c r="V12" s="87" t="s">
        <v>230</v>
      </c>
      <c r="W12" s="173">
        <f t="shared" si="14"/>
        <v>0</v>
      </c>
      <c r="X12" s="173">
        <f t="shared" si="48"/>
        <v>4428634.9932812192</v>
      </c>
      <c r="Y12" s="173">
        <f t="shared" si="49"/>
        <v>0</v>
      </c>
      <c r="Z12" s="173">
        <f t="shared" si="50"/>
        <v>4598127.6648339732</v>
      </c>
      <c r="AA12" s="173">
        <f t="shared" si="51"/>
        <v>0</v>
      </c>
      <c r="AB12" s="173">
        <f t="shared" si="52"/>
        <v>4687477.6881263023</v>
      </c>
      <c r="AC12" s="173">
        <f t="shared" si="53"/>
        <v>0</v>
      </c>
      <c r="AD12" s="173">
        <f t="shared" si="54"/>
        <v>4783349.3519382346</v>
      </c>
      <c r="AF12" s="87" t="s">
        <v>229</v>
      </c>
      <c r="AG12" s="87" t="s">
        <v>230</v>
      </c>
      <c r="AH12" s="173">
        <f t="shared" si="15"/>
        <v>0</v>
      </c>
      <c r="AI12" s="173">
        <f t="shared" si="16"/>
        <v>4428634.9932812192</v>
      </c>
      <c r="AJ12" s="173">
        <f t="shared" si="17"/>
        <v>0</v>
      </c>
      <c r="AK12" s="173">
        <f t="shared" si="18"/>
        <v>4577396.273236339</v>
      </c>
      <c r="AL12" s="173">
        <f t="shared" si="19"/>
        <v>0</v>
      </c>
      <c r="AM12" s="173">
        <f t="shared" si="20"/>
        <v>4671610.5990934288</v>
      </c>
      <c r="AN12" s="173">
        <f t="shared" si="21"/>
        <v>0</v>
      </c>
      <c r="AO12" s="173">
        <f t="shared" si="22"/>
        <v>4774484.8175465129</v>
      </c>
      <c r="AQ12" s="87" t="s">
        <v>229</v>
      </c>
      <c r="AR12" s="87" t="s">
        <v>230</v>
      </c>
      <c r="AS12" s="173">
        <f t="shared" si="23"/>
        <v>0</v>
      </c>
      <c r="AT12" s="173">
        <f t="shared" si="24"/>
        <v>4428634.9932812192</v>
      </c>
      <c r="AU12" s="173">
        <f t="shared" si="25"/>
        <v>0</v>
      </c>
      <c r="AV12" s="173">
        <f t="shared" si="26"/>
        <v>4690029.6353998808</v>
      </c>
      <c r="AW12" s="173">
        <f t="shared" si="27"/>
        <v>0</v>
      </c>
      <c r="AX12" s="173">
        <f t="shared" si="28"/>
        <v>4773654.4508837387</v>
      </c>
      <c r="AY12" s="173">
        <f t="shared" si="29"/>
        <v>0</v>
      </c>
      <c r="AZ12" s="173">
        <f t="shared" si="30"/>
        <v>4863216.4106468745</v>
      </c>
      <c r="BB12" s="87" t="s">
        <v>229</v>
      </c>
      <c r="BC12" s="87" t="s">
        <v>230</v>
      </c>
      <c r="BD12" s="173">
        <f t="shared" si="31"/>
        <v>0</v>
      </c>
      <c r="BE12" s="173">
        <f t="shared" si="32"/>
        <v>4428634.9932812192</v>
      </c>
      <c r="BF12" s="173">
        <f t="shared" si="33"/>
        <v>0</v>
      </c>
      <c r="BG12" s="173">
        <f t="shared" si="34"/>
        <v>4713032.1922234828</v>
      </c>
      <c r="BH12" s="173">
        <f t="shared" si="35"/>
        <v>0</v>
      </c>
      <c r="BI12" s="173">
        <f t="shared" si="36"/>
        <v>4800633.5531988638</v>
      </c>
      <c r="BJ12" s="173">
        <f t="shared" si="37"/>
        <v>0</v>
      </c>
      <c r="BK12" s="173">
        <f t="shared" si="38"/>
        <v>4899141.2819608515</v>
      </c>
      <c r="BM12" s="87" t="s">
        <v>229</v>
      </c>
      <c r="BN12" s="87" t="s">
        <v>230</v>
      </c>
      <c r="BO12" s="173">
        <f t="shared" si="39"/>
        <v>0</v>
      </c>
      <c r="BP12" s="173">
        <f t="shared" si="40"/>
        <v>4428634.9932812192</v>
      </c>
      <c r="BQ12" s="173">
        <f t="shared" si="41"/>
        <v>0</v>
      </c>
      <c r="BR12" s="173">
        <f t="shared" si="42"/>
        <v>4691783.9202561509</v>
      </c>
      <c r="BS12" s="173">
        <f t="shared" si="43"/>
        <v>0</v>
      </c>
      <c r="BT12" s="173">
        <f t="shared" si="44"/>
        <v>4784386.1303542033</v>
      </c>
      <c r="BU12" s="173">
        <f t="shared" si="45"/>
        <v>0</v>
      </c>
      <c r="BV12" s="173">
        <f t="shared" si="46"/>
        <v>4890070.7713752044</v>
      </c>
    </row>
    <row r="13" spans="1:74">
      <c r="A13" s="87" t="s">
        <v>253</v>
      </c>
      <c r="B13" s="87" t="s">
        <v>254</v>
      </c>
      <c r="C13" s="87" t="s">
        <v>998</v>
      </c>
      <c r="E13" s="87" t="s">
        <v>69</v>
      </c>
      <c r="F13" s="87" t="s">
        <v>70</v>
      </c>
      <c r="G13" s="173">
        <f>IFERROR(IF(VLOOKUP(E13,A:C,3,FALSE)="YES",VLOOKUP(E13,'School Year 2021-22 SPED coop'!A:P,16,FALSE),0),0)</f>
        <v>0</v>
      </c>
      <c r="H13" s="173">
        <f t="shared" si="47"/>
        <v>14896991.439999999</v>
      </c>
      <c r="J13" s="87" t="s">
        <v>69</v>
      </c>
      <c r="K13" s="87" t="s">
        <v>70</v>
      </c>
      <c r="L13" s="173">
        <f t="shared" si="6"/>
        <v>0</v>
      </c>
      <c r="M13" s="173">
        <f t="shared" si="7"/>
        <v>15068084.789676208</v>
      </c>
      <c r="N13" s="173">
        <f t="shared" si="8"/>
        <v>0</v>
      </c>
      <c r="O13" s="173">
        <f t="shared" si="9"/>
        <v>15575006.418287914</v>
      </c>
      <c r="P13" s="173">
        <f t="shared" si="10"/>
        <v>0</v>
      </c>
      <c r="Q13" s="173">
        <f t="shared" si="11"/>
        <v>15864384.939760676</v>
      </c>
      <c r="R13" s="173">
        <f t="shared" si="12"/>
        <v>0</v>
      </c>
      <c r="S13" s="173">
        <f t="shared" si="13"/>
        <v>16158187.211874122</v>
      </c>
      <c r="U13" s="87" t="s">
        <v>69</v>
      </c>
      <c r="V13" s="87" t="s">
        <v>70</v>
      </c>
      <c r="W13" s="173">
        <f t="shared" si="14"/>
        <v>0</v>
      </c>
      <c r="X13" s="173">
        <f t="shared" si="48"/>
        <v>15068084.789676208</v>
      </c>
      <c r="Y13" s="173">
        <f t="shared" si="49"/>
        <v>0</v>
      </c>
      <c r="Z13" s="173">
        <f t="shared" si="50"/>
        <v>15651380.60608154</v>
      </c>
      <c r="AA13" s="173">
        <f t="shared" si="51"/>
        <v>0</v>
      </c>
      <c r="AB13" s="173">
        <f t="shared" si="52"/>
        <v>15954059.56729771</v>
      </c>
      <c r="AC13" s="173">
        <f t="shared" si="53"/>
        <v>0</v>
      </c>
      <c r="AD13" s="173">
        <f t="shared" si="54"/>
        <v>16277543.927727729</v>
      </c>
      <c r="AF13" s="87" t="s">
        <v>69</v>
      </c>
      <c r="AG13" s="87" t="s">
        <v>70</v>
      </c>
      <c r="AH13" s="173">
        <f t="shared" si="15"/>
        <v>0</v>
      </c>
      <c r="AI13" s="173">
        <f t="shared" si="16"/>
        <v>15068084.789676208</v>
      </c>
      <c r="AJ13" s="173">
        <f t="shared" si="17"/>
        <v>0</v>
      </c>
      <c r="AK13" s="173">
        <f t="shared" si="18"/>
        <v>15555048.741612539</v>
      </c>
      <c r="AL13" s="173">
        <f t="shared" si="19"/>
        <v>0</v>
      </c>
      <c r="AM13" s="173">
        <f t="shared" si="20"/>
        <v>15858315.372832123</v>
      </c>
      <c r="AN13" s="173">
        <f t="shared" si="21"/>
        <v>0</v>
      </c>
      <c r="AO13" s="173">
        <f t="shared" si="22"/>
        <v>16165872.973069362</v>
      </c>
      <c r="AQ13" s="87" t="s">
        <v>69</v>
      </c>
      <c r="AR13" s="87" t="s">
        <v>70</v>
      </c>
      <c r="AS13" s="173">
        <f t="shared" si="23"/>
        <v>0</v>
      </c>
      <c r="AT13" s="173">
        <f t="shared" si="24"/>
        <v>15068084.789676208</v>
      </c>
      <c r="AU13" s="173">
        <f t="shared" si="25"/>
        <v>0</v>
      </c>
      <c r="AV13" s="173">
        <f t="shared" si="26"/>
        <v>15960489.460948788</v>
      </c>
      <c r="AW13" s="173">
        <f t="shared" si="27"/>
        <v>0</v>
      </c>
      <c r="AX13" s="173">
        <f t="shared" si="28"/>
        <v>16242434.383351006</v>
      </c>
      <c r="AY13" s="173">
        <f t="shared" si="29"/>
        <v>0</v>
      </c>
      <c r="AZ13" s="173">
        <f t="shared" si="30"/>
        <v>16544396.709298592</v>
      </c>
      <c r="BB13" s="87" t="s">
        <v>69</v>
      </c>
      <c r="BC13" s="87" t="s">
        <v>70</v>
      </c>
      <c r="BD13" s="173">
        <f t="shared" si="31"/>
        <v>0</v>
      </c>
      <c r="BE13" s="173">
        <f t="shared" si="32"/>
        <v>15068084.789676208</v>
      </c>
      <c r="BF13" s="173">
        <f t="shared" si="33"/>
        <v>0</v>
      </c>
      <c r="BG13" s="173">
        <f t="shared" si="34"/>
        <v>16038753.92441237</v>
      </c>
      <c r="BH13" s="173">
        <f t="shared" si="35"/>
        <v>0</v>
      </c>
      <c r="BI13" s="173">
        <f t="shared" si="36"/>
        <v>16334245.968613785</v>
      </c>
      <c r="BJ13" s="173">
        <f t="shared" si="37"/>
        <v>0</v>
      </c>
      <c r="BK13" s="173">
        <f t="shared" si="38"/>
        <v>16666606.268227523</v>
      </c>
      <c r="BM13" s="87" t="s">
        <v>69</v>
      </c>
      <c r="BN13" s="87" t="s">
        <v>70</v>
      </c>
      <c r="BO13" s="173">
        <f t="shared" si="39"/>
        <v>0</v>
      </c>
      <c r="BP13" s="173">
        <f t="shared" si="40"/>
        <v>15068084.789676208</v>
      </c>
      <c r="BQ13" s="173">
        <f t="shared" si="41"/>
        <v>0</v>
      </c>
      <c r="BR13" s="173">
        <f t="shared" si="42"/>
        <v>15940030.18467726</v>
      </c>
      <c r="BS13" s="173">
        <f t="shared" si="43"/>
        <v>0</v>
      </c>
      <c r="BT13" s="173">
        <f t="shared" si="44"/>
        <v>16236213.232780868</v>
      </c>
      <c r="BU13" s="173">
        <f t="shared" si="45"/>
        <v>0</v>
      </c>
      <c r="BV13" s="173">
        <f t="shared" si="46"/>
        <v>16552257.996276651</v>
      </c>
    </row>
    <row r="14" spans="1:74">
      <c r="A14" s="87" t="s">
        <v>255</v>
      </c>
      <c r="B14" s="87" t="s">
        <v>256</v>
      </c>
      <c r="C14" s="87" t="s">
        <v>998</v>
      </c>
      <c r="E14" s="87" t="s">
        <v>199</v>
      </c>
      <c r="F14" s="87" t="s">
        <v>200</v>
      </c>
      <c r="G14" s="173">
        <f>IFERROR(IF(VLOOKUP(E14,A:C,3,FALSE)="YES",VLOOKUP(E14,'School Year 2021-22 SPED coop'!A:P,16,FALSE),0),0)</f>
        <v>0</v>
      </c>
      <c r="H14" s="173">
        <f t="shared" si="47"/>
        <v>15666117.25</v>
      </c>
      <c r="J14" s="87" t="s">
        <v>199</v>
      </c>
      <c r="K14" s="87" t="s">
        <v>200</v>
      </c>
      <c r="L14" s="173">
        <f t="shared" si="6"/>
        <v>0</v>
      </c>
      <c r="M14" s="173">
        <f t="shared" si="7"/>
        <v>17020425.07177471</v>
      </c>
      <c r="N14" s="173">
        <f t="shared" si="8"/>
        <v>0</v>
      </c>
      <c r="O14" s="173">
        <f t="shared" si="9"/>
        <v>17585547.728685115</v>
      </c>
      <c r="P14" s="173">
        <f t="shared" si="10"/>
        <v>0</v>
      </c>
      <c r="Q14" s="173">
        <f t="shared" si="11"/>
        <v>17913932.202357959</v>
      </c>
      <c r="R14" s="173">
        <f t="shared" si="12"/>
        <v>0</v>
      </c>
      <c r="S14" s="173">
        <f t="shared" si="13"/>
        <v>18248799.813985609</v>
      </c>
      <c r="U14" s="87" t="s">
        <v>199</v>
      </c>
      <c r="V14" s="87" t="s">
        <v>200</v>
      </c>
      <c r="W14" s="173">
        <f t="shared" si="14"/>
        <v>0</v>
      </c>
      <c r="X14" s="173">
        <f t="shared" si="48"/>
        <v>17020425.07177471</v>
      </c>
      <c r="Y14" s="173">
        <f t="shared" si="49"/>
        <v>0</v>
      </c>
      <c r="Z14" s="173">
        <f t="shared" si="50"/>
        <v>17671774.152450666</v>
      </c>
      <c r="AA14" s="173">
        <f t="shared" si="51"/>
        <v>0</v>
      </c>
      <c r="AB14" s="173">
        <f t="shared" si="52"/>
        <v>18015180.90654375</v>
      </c>
      <c r="AC14" s="173">
        <f t="shared" si="53"/>
        <v>0</v>
      </c>
      <c r="AD14" s="173">
        <f t="shared" si="54"/>
        <v>18383599.024317566</v>
      </c>
      <c r="AF14" s="87" t="s">
        <v>199</v>
      </c>
      <c r="AG14" s="87" t="s">
        <v>200</v>
      </c>
      <c r="AH14" s="173">
        <f t="shared" si="15"/>
        <v>0</v>
      </c>
      <c r="AI14" s="173">
        <f t="shared" si="16"/>
        <v>17020425.07177471</v>
      </c>
      <c r="AJ14" s="173">
        <f t="shared" si="17"/>
        <v>0</v>
      </c>
      <c r="AK14" s="173">
        <f t="shared" si="18"/>
        <v>17601158.952604085</v>
      </c>
      <c r="AL14" s="173">
        <f t="shared" si="19"/>
        <v>0</v>
      </c>
      <c r="AM14" s="173">
        <f t="shared" si="20"/>
        <v>17929828.532036882</v>
      </c>
      <c r="AN14" s="173">
        <f t="shared" si="21"/>
        <v>0</v>
      </c>
      <c r="AO14" s="173">
        <f t="shared" si="22"/>
        <v>18264981.673973568</v>
      </c>
      <c r="AQ14" s="87" t="s">
        <v>199</v>
      </c>
      <c r="AR14" s="87" t="s">
        <v>200</v>
      </c>
      <c r="AS14" s="173">
        <f t="shared" si="23"/>
        <v>0</v>
      </c>
      <c r="AT14" s="173">
        <f t="shared" si="24"/>
        <v>17020425.07177471</v>
      </c>
      <c r="AU14" s="173">
        <f t="shared" si="25"/>
        <v>0</v>
      </c>
      <c r="AV14" s="173">
        <f t="shared" si="26"/>
        <v>18025002.269239444</v>
      </c>
      <c r="AW14" s="173">
        <f t="shared" si="27"/>
        <v>0</v>
      </c>
      <c r="AX14" s="173">
        <f t="shared" si="28"/>
        <v>18346365.730256617</v>
      </c>
      <c r="AY14" s="173">
        <f t="shared" si="29"/>
        <v>0</v>
      </c>
      <c r="AZ14" s="173">
        <f t="shared" si="30"/>
        <v>18690544.911098398</v>
      </c>
      <c r="BB14" s="87" t="s">
        <v>199</v>
      </c>
      <c r="BC14" s="87" t="s">
        <v>200</v>
      </c>
      <c r="BD14" s="173">
        <f t="shared" si="31"/>
        <v>0</v>
      </c>
      <c r="BE14" s="173">
        <f t="shared" si="32"/>
        <v>17020425.07177471</v>
      </c>
      <c r="BF14" s="173">
        <f t="shared" si="33"/>
        <v>0</v>
      </c>
      <c r="BG14" s="173">
        <f t="shared" si="34"/>
        <v>18113383.454512231</v>
      </c>
      <c r="BH14" s="173">
        <f t="shared" si="35"/>
        <v>0</v>
      </c>
      <c r="BI14" s="173">
        <f t="shared" si="36"/>
        <v>18450058.528230377</v>
      </c>
      <c r="BJ14" s="173">
        <f t="shared" si="37"/>
        <v>0</v>
      </c>
      <c r="BK14" s="173">
        <f t="shared" si="38"/>
        <v>18828607.184959732</v>
      </c>
      <c r="BM14" s="87" t="s">
        <v>199</v>
      </c>
      <c r="BN14" s="87" t="s">
        <v>200</v>
      </c>
      <c r="BO14" s="173">
        <f t="shared" si="39"/>
        <v>0</v>
      </c>
      <c r="BP14" s="173">
        <f t="shared" si="40"/>
        <v>17020425.07177471</v>
      </c>
      <c r="BQ14" s="173">
        <f t="shared" si="41"/>
        <v>0</v>
      </c>
      <c r="BR14" s="173">
        <f t="shared" si="42"/>
        <v>18041006.200409211</v>
      </c>
      <c r="BS14" s="173">
        <f t="shared" si="43"/>
        <v>0</v>
      </c>
      <c r="BT14" s="173">
        <f t="shared" si="44"/>
        <v>18362644.011283655</v>
      </c>
      <c r="BU14" s="173">
        <f t="shared" si="45"/>
        <v>0</v>
      </c>
      <c r="BV14" s="173">
        <f t="shared" si="46"/>
        <v>18707116.935204577</v>
      </c>
    </row>
    <row r="15" spans="1:74">
      <c r="A15" s="87" t="s">
        <v>257</v>
      </c>
      <c r="B15" s="87" t="s">
        <v>258</v>
      </c>
      <c r="C15" s="87" t="s">
        <v>998</v>
      </c>
      <c r="E15" s="87" t="s">
        <v>539</v>
      </c>
      <c r="F15" s="87" t="s">
        <v>540</v>
      </c>
      <c r="G15" s="173">
        <f>IFERROR(IF(VLOOKUP(E15,A:C,3,FALSE)="YES",VLOOKUP(E15,'School Year 2021-22 SPED coop'!A:P,16,FALSE),0),0)</f>
        <v>0</v>
      </c>
      <c r="H15" s="173">
        <f t="shared" si="47"/>
        <v>15138019.27</v>
      </c>
      <c r="J15" s="87" t="s">
        <v>539</v>
      </c>
      <c r="K15" s="87" t="s">
        <v>540</v>
      </c>
      <c r="L15" s="173">
        <f t="shared" si="6"/>
        <v>0</v>
      </c>
      <c r="M15" s="173">
        <f t="shared" si="7"/>
        <v>15305919.41801808</v>
      </c>
      <c r="N15" s="173">
        <f t="shared" si="8"/>
        <v>0</v>
      </c>
      <c r="O15" s="173">
        <f t="shared" si="9"/>
        <v>15712345.226848112</v>
      </c>
      <c r="P15" s="173">
        <f t="shared" si="10"/>
        <v>0</v>
      </c>
      <c r="Q15" s="173">
        <f t="shared" si="11"/>
        <v>16004642.39465207</v>
      </c>
      <c r="R15" s="173">
        <f t="shared" si="12"/>
        <v>0</v>
      </c>
      <c r="S15" s="173">
        <f t="shared" si="13"/>
        <v>16301734.590252129</v>
      </c>
      <c r="U15" s="87" t="s">
        <v>539</v>
      </c>
      <c r="V15" s="87" t="s">
        <v>540</v>
      </c>
      <c r="W15" s="173">
        <f t="shared" si="14"/>
        <v>0</v>
      </c>
      <c r="X15" s="173">
        <f t="shared" si="48"/>
        <v>15305919.41801808</v>
      </c>
      <c r="Y15" s="173">
        <f t="shared" si="49"/>
        <v>0</v>
      </c>
      <c r="Z15" s="173">
        <f t="shared" si="50"/>
        <v>15789376.076350193</v>
      </c>
      <c r="AA15" s="173">
        <f t="shared" si="51"/>
        <v>0</v>
      </c>
      <c r="AB15" s="173">
        <f t="shared" si="52"/>
        <v>16095089.005135026</v>
      </c>
      <c r="AC15" s="173">
        <f t="shared" si="53"/>
        <v>0</v>
      </c>
      <c r="AD15" s="173">
        <f t="shared" si="54"/>
        <v>16422139.635395736</v>
      </c>
      <c r="AF15" s="87" t="s">
        <v>539</v>
      </c>
      <c r="AG15" s="87" t="s">
        <v>540</v>
      </c>
      <c r="AH15" s="173">
        <f t="shared" si="15"/>
        <v>0</v>
      </c>
      <c r="AI15" s="173">
        <f t="shared" si="16"/>
        <v>15305919.41801808</v>
      </c>
      <c r="AJ15" s="173">
        <f t="shared" si="17"/>
        <v>0</v>
      </c>
      <c r="AK15" s="173">
        <f t="shared" si="18"/>
        <v>15725795.010078568</v>
      </c>
      <c r="AL15" s="173">
        <f t="shared" si="19"/>
        <v>0</v>
      </c>
      <c r="AM15" s="173">
        <f t="shared" si="20"/>
        <v>16018337.295163691</v>
      </c>
      <c r="AN15" s="173">
        <f t="shared" si="21"/>
        <v>0</v>
      </c>
      <c r="AO15" s="173">
        <f t="shared" si="22"/>
        <v>16315674.467677118</v>
      </c>
      <c r="AQ15" s="87" t="s">
        <v>539</v>
      </c>
      <c r="AR15" s="87" t="s">
        <v>540</v>
      </c>
      <c r="AS15" s="173">
        <f t="shared" si="23"/>
        <v>0</v>
      </c>
      <c r="AT15" s="173">
        <f t="shared" si="24"/>
        <v>15305919.41801808</v>
      </c>
      <c r="AU15" s="173">
        <f t="shared" si="25"/>
        <v>0</v>
      </c>
      <c r="AV15" s="173">
        <f t="shared" si="26"/>
        <v>16102246.94414494</v>
      </c>
      <c r="AW15" s="173">
        <f t="shared" si="27"/>
        <v>0</v>
      </c>
      <c r="AX15" s="173">
        <f t="shared" si="28"/>
        <v>16387352.992387092</v>
      </c>
      <c r="AY15" s="173">
        <f t="shared" si="29"/>
        <v>0</v>
      </c>
      <c r="AZ15" s="173">
        <f t="shared" si="30"/>
        <v>16692700.527860938</v>
      </c>
      <c r="BB15" s="87" t="s">
        <v>539</v>
      </c>
      <c r="BC15" s="87" t="s">
        <v>540</v>
      </c>
      <c r="BD15" s="173">
        <f t="shared" si="31"/>
        <v>0</v>
      </c>
      <c r="BE15" s="173">
        <f t="shared" si="32"/>
        <v>15305919.41801808</v>
      </c>
      <c r="BF15" s="173">
        <f t="shared" si="33"/>
        <v>0</v>
      </c>
      <c r="BG15" s="173">
        <f t="shared" si="34"/>
        <v>16181189.310698222</v>
      </c>
      <c r="BH15" s="173">
        <f t="shared" si="35"/>
        <v>0</v>
      </c>
      <c r="BI15" s="173">
        <f t="shared" si="36"/>
        <v>16479962.399210909</v>
      </c>
      <c r="BJ15" s="173">
        <f t="shared" si="37"/>
        <v>0</v>
      </c>
      <c r="BK15" s="173">
        <f t="shared" si="38"/>
        <v>16815993.256300788</v>
      </c>
      <c r="BM15" s="87" t="s">
        <v>539</v>
      </c>
      <c r="BN15" s="87" t="s">
        <v>540</v>
      </c>
      <c r="BO15" s="173">
        <f t="shared" si="39"/>
        <v>0</v>
      </c>
      <c r="BP15" s="173">
        <f t="shared" si="40"/>
        <v>15305919.41801808</v>
      </c>
      <c r="BQ15" s="173">
        <f t="shared" si="41"/>
        <v>0</v>
      </c>
      <c r="BR15" s="173">
        <f t="shared" si="42"/>
        <v>16116032.966911275</v>
      </c>
      <c r="BS15" s="173">
        <f t="shared" si="43"/>
        <v>0</v>
      </c>
      <c r="BT15" s="173">
        <f t="shared" si="44"/>
        <v>16401374.379705133</v>
      </c>
      <c r="BU15" s="173">
        <f t="shared" si="45"/>
        <v>0</v>
      </c>
      <c r="BV15" s="173">
        <f t="shared" si="46"/>
        <v>16706973.930106521</v>
      </c>
    </row>
    <row r="16" spans="1:74">
      <c r="A16" s="87" t="s">
        <v>259</v>
      </c>
      <c r="B16" s="87" t="s">
        <v>260</v>
      </c>
      <c r="C16" s="87" t="s">
        <v>998</v>
      </c>
      <c r="E16" s="87" t="s">
        <v>5</v>
      </c>
      <c r="F16" s="87" t="s">
        <v>6</v>
      </c>
      <c r="G16" s="173">
        <f>IFERROR(IF(VLOOKUP(E16,A:C,3,FALSE)="YES",VLOOKUP(E16,'School Year 2021-22 SPED coop'!A:P,16,FALSE),0),0)</f>
        <v>0</v>
      </c>
      <c r="H16" s="173">
        <f t="shared" si="47"/>
        <v>0</v>
      </c>
      <c r="J16" s="87" t="s">
        <v>5</v>
      </c>
      <c r="K16" s="87" t="s">
        <v>6</v>
      </c>
      <c r="L16" s="173">
        <f t="shared" si="6"/>
        <v>0</v>
      </c>
      <c r="M16" s="173">
        <f t="shared" si="7"/>
        <v>0</v>
      </c>
      <c r="N16" s="173">
        <f t="shared" si="8"/>
        <v>0</v>
      </c>
      <c r="O16" s="173">
        <f t="shared" si="9"/>
        <v>0</v>
      </c>
      <c r="P16" s="173">
        <f t="shared" si="10"/>
        <v>0</v>
      </c>
      <c r="Q16" s="173">
        <f t="shared" si="11"/>
        <v>0</v>
      </c>
      <c r="R16" s="173">
        <f t="shared" si="12"/>
        <v>0</v>
      </c>
      <c r="S16" s="173">
        <f t="shared" si="13"/>
        <v>0</v>
      </c>
      <c r="U16" s="87" t="s">
        <v>5</v>
      </c>
      <c r="V16" s="87" t="s">
        <v>6</v>
      </c>
      <c r="W16" s="173">
        <f t="shared" si="14"/>
        <v>0</v>
      </c>
      <c r="X16" s="173">
        <f t="shared" si="48"/>
        <v>0</v>
      </c>
      <c r="Y16" s="173">
        <f t="shared" si="49"/>
        <v>0</v>
      </c>
      <c r="Z16" s="173">
        <f t="shared" si="50"/>
        <v>0</v>
      </c>
      <c r="AA16" s="173">
        <f t="shared" si="51"/>
        <v>0</v>
      </c>
      <c r="AB16" s="173">
        <f t="shared" si="52"/>
        <v>0</v>
      </c>
      <c r="AC16" s="173">
        <f t="shared" si="53"/>
        <v>0</v>
      </c>
      <c r="AD16" s="173">
        <f t="shared" si="54"/>
        <v>0</v>
      </c>
      <c r="AF16" s="87" t="s">
        <v>5</v>
      </c>
      <c r="AG16" s="87" t="s">
        <v>6</v>
      </c>
      <c r="AH16" s="173">
        <f t="shared" si="15"/>
        <v>0</v>
      </c>
      <c r="AI16" s="173">
        <f t="shared" si="16"/>
        <v>0</v>
      </c>
      <c r="AJ16" s="173">
        <f t="shared" si="17"/>
        <v>0</v>
      </c>
      <c r="AK16" s="173">
        <f t="shared" si="18"/>
        <v>0</v>
      </c>
      <c r="AL16" s="173">
        <f t="shared" si="19"/>
        <v>0</v>
      </c>
      <c r="AM16" s="173">
        <f t="shared" si="20"/>
        <v>0</v>
      </c>
      <c r="AN16" s="173">
        <f t="shared" si="21"/>
        <v>0</v>
      </c>
      <c r="AO16" s="173">
        <f t="shared" si="22"/>
        <v>0</v>
      </c>
      <c r="AQ16" s="87" t="s">
        <v>5</v>
      </c>
      <c r="AR16" s="87" t="s">
        <v>6</v>
      </c>
      <c r="AS16" s="173">
        <f t="shared" si="23"/>
        <v>0</v>
      </c>
      <c r="AT16" s="173">
        <f t="shared" si="24"/>
        <v>0</v>
      </c>
      <c r="AU16" s="173">
        <f t="shared" si="25"/>
        <v>0</v>
      </c>
      <c r="AV16" s="173">
        <f t="shared" si="26"/>
        <v>0</v>
      </c>
      <c r="AW16" s="173">
        <f t="shared" si="27"/>
        <v>0</v>
      </c>
      <c r="AX16" s="173">
        <f t="shared" si="28"/>
        <v>0</v>
      </c>
      <c r="AY16" s="173">
        <f t="shared" si="29"/>
        <v>0</v>
      </c>
      <c r="AZ16" s="173">
        <f t="shared" si="30"/>
        <v>0</v>
      </c>
      <c r="BB16" s="87" t="s">
        <v>5</v>
      </c>
      <c r="BC16" s="87" t="s">
        <v>6</v>
      </c>
      <c r="BD16" s="173">
        <f t="shared" si="31"/>
        <v>0</v>
      </c>
      <c r="BE16" s="173">
        <f t="shared" si="32"/>
        <v>0</v>
      </c>
      <c r="BF16" s="173">
        <f t="shared" si="33"/>
        <v>0</v>
      </c>
      <c r="BG16" s="173">
        <f t="shared" si="34"/>
        <v>0</v>
      </c>
      <c r="BH16" s="173">
        <f t="shared" si="35"/>
        <v>0</v>
      </c>
      <c r="BI16" s="173">
        <f t="shared" si="36"/>
        <v>0</v>
      </c>
      <c r="BJ16" s="173">
        <f t="shared" si="37"/>
        <v>0</v>
      </c>
      <c r="BK16" s="173">
        <f t="shared" si="38"/>
        <v>0</v>
      </c>
      <c r="BM16" s="87" t="s">
        <v>5</v>
      </c>
      <c r="BN16" s="87" t="s">
        <v>6</v>
      </c>
      <c r="BO16" s="173">
        <f t="shared" si="39"/>
        <v>0</v>
      </c>
      <c r="BP16" s="173">
        <f t="shared" si="40"/>
        <v>0</v>
      </c>
      <c r="BQ16" s="173">
        <f t="shared" si="41"/>
        <v>0</v>
      </c>
      <c r="BR16" s="173">
        <f t="shared" si="42"/>
        <v>0</v>
      </c>
      <c r="BS16" s="173">
        <f t="shared" si="43"/>
        <v>0</v>
      </c>
      <c r="BT16" s="173">
        <f t="shared" si="44"/>
        <v>0</v>
      </c>
      <c r="BU16" s="173">
        <f t="shared" si="45"/>
        <v>0</v>
      </c>
      <c r="BV16" s="173">
        <f t="shared" si="46"/>
        <v>0</v>
      </c>
    </row>
    <row r="17" spans="1:74">
      <c r="A17" s="87" t="s">
        <v>261</v>
      </c>
      <c r="B17" s="87" t="s">
        <v>262</v>
      </c>
      <c r="C17" s="87" t="s">
        <v>998</v>
      </c>
      <c r="E17" s="87" t="s">
        <v>383</v>
      </c>
      <c r="F17" s="87" t="s">
        <v>384</v>
      </c>
      <c r="G17" s="173">
        <f>IFERROR(IF(VLOOKUP(E17,A:C,3,FALSE)="YES",VLOOKUP(E17,'School Year 2021-22 SPED coop'!A:P,16,FALSE),0),0)</f>
        <v>0</v>
      </c>
      <c r="H17" s="173">
        <f t="shared" si="47"/>
        <v>23947711.579999998</v>
      </c>
      <c r="J17" s="87" t="s">
        <v>383</v>
      </c>
      <c r="K17" s="87" t="s">
        <v>384</v>
      </c>
      <c r="L17" s="173">
        <f t="shared" si="6"/>
        <v>0</v>
      </c>
      <c r="M17" s="173">
        <f t="shared" si="7"/>
        <v>24222147.444630902</v>
      </c>
      <c r="N17" s="173">
        <f t="shared" si="8"/>
        <v>0</v>
      </c>
      <c r="O17" s="173">
        <f t="shared" si="9"/>
        <v>25042708.139630735</v>
      </c>
      <c r="P17" s="173">
        <f t="shared" si="10"/>
        <v>0</v>
      </c>
      <c r="Q17" s="173">
        <f t="shared" si="11"/>
        <v>25506561.392382994</v>
      </c>
      <c r="R17" s="173">
        <f t="shared" si="12"/>
        <v>0</v>
      </c>
      <c r="S17" s="173">
        <f t="shared" si="13"/>
        <v>25976244.134937655</v>
      </c>
      <c r="U17" s="87" t="s">
        <v>383</v>
      </c>
      <c r="V17" s="87" t="s">
        <v>384</v>
      </c>
      <c r="W17" s="173">
        <f t="shared" si="14"/>
        <v>0</v>
      </c>
      <c r="X17" s="173">
        <f t="shared" si="48"/>
        <v>24222147.444630902</v>
      </c>
      <c r="Y17" s="173">
        <f t="shared" si="49"/>
        <v>0</v>
      </c>
      <c r="Z17" s="173">
        <f t="shared" si="50"/>
        <v>25165489.178223055</v>
      </c>
      <c r="AA17" s="173">
        <f t="shared" si="51"/>
        <v>0</v>
      </c>
      <c r="AB17" s="173">
        <f t="shared" si="52"/>
        <v>25650724.100076508</v>
      </c>
      <c r="AC17" s="173">
        <f t="shared" si="53"/>
        <v>0</v>
      </c>
      <c r="AD17" s="173">
        <f t="shared" si="54"/>
        <v>26168115.857937641</v>
      </c>
      <c r="AF17" s="87" t="s">
        <v>383</v>
      </c>
      <c r="AG17" s="87" t="s">
        <v>384</v>
      </c>
      <c r="AH17" s="173">
        <f t="shared" si="15"/>
        <v>0</v>
      </c>
      <c r="AI17" s="173">
        <f t="shared" si="16"/>
        <v>24222147.444630902</v>
      </c>
      <c r="AJ17" s="173">
        <f t="shared" si="17"/>
        <v>0</v>
      </c>
      <c r="AK17" s="173">
        <f t="shared" si="18"/>
        <v>25048375.134357311</v>
      </c>
      <c r="AL17" s="173">
        <f t="shared" si="19"/>
        <v>0</v>
      </c>
      <c r="AM17" s="173">
        <f t="shared" si="20"/>
        <v>25514143.175197735</v>
      </c>
      <c r="AN17" s="173">
        <f t="shared" si="21"/>
        <v>0</v>
      </c>
      <c r="AO17" s="173">
        <f t="shared" si="22"/>
        <v>25984886.825052213</v>
      </c>
      <c r="AQ17" s="87" t="s">
        <v>383</v>
      </c>
      <c r="AR17" s="87" t="s">
        <v>384</v>
      </c>
      <c r="AS17" s="173">
        <f t="shared" si="23"/>
        <v>0</v>
      </c>
      <c r="AT17" s="173">
        <f t="shared" si="24"/>
        <v>24222147.444630902</v>
      </c>
      <c r="AU17" s="173">
        <f t="shared" si="25"/>
        <v>0</v>
      </c>
      <c r="AV17" s="173">
        <f t="shared" si="26"/>
        <v>25659136.101284795</v>
      </c>
      <c r="AW17" s="173">
        <f t="shared" si="27"/>
        <v>0</v>
      </c>
      <c r="AX17" s="173">
        <f t="shared" si="28"/>
        <v>26109859.461893212</v>
      </c>
      <c r="AY17" s="173">
        <f t="shared" si="29"/>
        <v>0</v>
      </c>
      <c r="AZ17" s="173">
        <f t="shared" si="30"/>
        <v>26592582.10952862</v>
      </c>
      <c r="BB17" s="87" t="s">
        <v>383</v>
      </c>
      <c r="BC17" s="87" t="s">
        <v>384</v>
      </c>
      <c r="BD17" s="173">
        <f t="shared" si="31"/>
        <v>0</v>
      </c>
      <c r="BE17" s="173">
        <f t="shared" si="32"/>
        <v>24222147.444630902</v>
      </c>
      <c r="BF17" s="173">
        <f t="shared" si="33"/>
        <v>0</v>
      </c>
      <c r="BG17" s="173">
        <f t="shared" si="34"/>
        <v>25784939.4031923</v>
      </c>
      <c r="BH17" s="173">
        <f t="shared" si="35"/>
        <v>0</v>
      </c>
      <c r="BI17" s="173">
        <f t="shared" si="36"/>
        <v>26257432.001478858</v>
      </c>
      <c r="BJ17" s="173">
        <f t="shared" si="37"/>
        <v>0</v>
      </c>
      <c r="BK17" s="173">
        <f t="shared" si="38"/>
        <v>26789006.373002943</v>
      </c>
      <c r="BM17" s="87" t="s">
        <v>383</v>
      </c>
      <c r="BN17" s="87" t="s">
        <v>384</v>
      </c>
      <c r="BO17" s="173">
        <f t="shared" si="39"/>
        <v>0</v>
      </c>
      <c r="BP17" s="173">
        <f t="shared" si="40"/>
        <v>24222147.444630902</v>
      </c>
      <c r="BQ17" s="173">
        <f t="shared" si="41"/>
        <v>0</v>
      </c>
      <c r="BR17" s="173">
        <f t="shared" si="42"/>
        <v>25664935.559512675</v>
      </c>
      <c r="BS17" s="173">
        <f t="shared" si="43"/>
        <v>0</v>
      </c>
      <c r="BT17" s="173">
        <f t="shared" si="44"/>
        <v>26117606.282665584</v>
      </c>
      <c r="BU17" s="173">
        <f t="shared" si="45"/>
        <v>0</v>
      </c>
      <c r="BV17" s="173">
        <f t="shared" si="46"/>
        <v>26601415.395914275</v>
      </c>
    </row>
    <row r="18" spans="1:74">
      <c r="A18" s="87" t="s">
        <v>263</v>
      </c>
      <c r="B18" s="87" t="s">
        <v>264</v>
      </c>
      <c r="C18" s="87" t="s">
        <v>998</v>
      </c>
      <c r="E18" s="87" t="s">
        <v>253</v>
      </c>
      <c r="F18" s="87" t="s">
        <v>254</v>
      </c>
      <c r="G18" s="173">
        <f>IFERROR(IF(VLOOKUP(E18,A:C,3,FALSE)="YES",VLOOKUP(E18,'School Year 2021-22 SPED coop'!A:P,16,FALSE),0),0)</f>
        <v>158919.27999999997</v>
      </c>
      <c r="H18" s="173">
        <f t="shared" si="47"/>
        <v>0</v>
      </c>
      <c r="J18" s="87" t="s">
        <v>253</v>
      </c>
      <c r="K18" s="87" t="s">
        <v>254</v>
      </c>
      <c r="L18" s="173">
        <f t="shared" si="6"/>
        <v>143796.12253377982</v>
      </c>
      <c r="M18" s="173">
        <f t="shared" si="7"/>
        <v>0</v>
      </c>
      <c r="N18" s="173">
        <f t="shared" si="8"/>
        <v>148668.31010539396</v>
      </c>
      <c r="O18" s="173">
        <f t="shared" si="9"/>
        <v>0</v>
      </c>
      <c r="P18" s="173">
        <f t="shared" si="10"/>
        <v>151421.89487949977</v>
      </c>
      <c r="Q18" s="173">
        <f t="shared" si="11"/>
        <v>0</v>
      </c>
      <c r="R18" s="173">
        <f t="shared" si="12"/>
        <v>154209.98707488488</v>
      </c>
      <c r="S18" s="173">
        <f t="shared" si="13"/>
        <v>0</v>
      </c>
      <c r="U18" s="87" t="s">
        <v>253</v>
      </c>
      <c r="V18" s="87" t="s">
        <v>254</v>
      </c>
      <c r="W18" s="173">
        <f t="shared" si="14"/>
        <v>143796.12253377982</v>
      </c>
      <c r="X18" s="173">
        <f t="shared" si="48"/>
        <v>0</v>
      </c>
      <c r="Y18" s="173">
        <f t="shared" si="49"/>
        <v>149408.581628994</v>
      </c>
      <c r="Z18" s="173">
        <f t="shared" si="50"/>
        <v>0</v>
      </c>
      <c r="AA18" s="173">
        <f t="shared" si="51"/>
        <v>152277.08739665823</v>
      </c>
      <c r="AB18" s="173">
        <f t="shared" si="52"/>
        <v>0</v>
      </c>
      <c r="AC18" s="173">
        <f t="shared" si="53"/>
        <v>155350.63127047854</v>
      </c>
      <c r="AD18" s="173">
        <f t="shared" si="54"/>
        <v>0</v>
      </c>
      <c r="AF18" s="87" t="s">
        <v>253</v>
      </c>
      <c r="AG18" s="87" t="s">
        <v>254</v>
      </c>
      <c r="AH18" s="173">
        <f t="shared" si="15"/>
        <v>143796.12253377982</v>
      </c>
      <c r="AI18" s="173">
        <f t="shared" si="16"/>
        <v>0</v>
      </c>
      <c r="AJ18" s="173">
        <f t="shared" si="17"/>
        <v>149838.89192858007</v>
      </c>
      <c r="AK18" s="173">
        <f t="shared" si="18"/>
        <v>0</v>
      </c>
      <c r="AL18" s="173">
        <f t="shared" si="19"/>
        <v>152897.83133832231</v>
      </c>
      <c r="AM18" s="173">
        <f t="shared" si="20"/>
        <v>0</v>
      </c>
      <c r="AN18" s="173">
        <f t="shared" si="21"/>
        <v>157409.10334318137</v>
      </c>
      <c r="AO18" s="173">
        <f t="shared" si="22"/>
        <v>0</v>
      </c>
      <c r="AQ18" s="87" t="s">
        <v>253</v>
      </c>
      <c r="AR18" s="87" t="s">
        <v>254</v>
      </c>
      <c r="AS18" s="173">
        <f t="shared" si="23"/>
        <v>143796.12253377982</v>
      </c>
      <c r="AT18" s="173">
        <f t="shared" si="24"/>
        <v>0</v>
      </c>
      <c r="AU18" s="173">
        <f t="shared" si="25"/>
        <v>152327.57979538685</v>
      </c>
      <c r="AV18" s="173">
        <f t="shared" si="26"/>
        <v>0</v>
      </c>
      <c r="AW18" s="173">
        <f t="shared" si="27"/>
        <v>155003.12845021425</v>
      </c>
      <c r="AX18" s="173">
        <f t="shared" si="28"/>
        <v>0</v>
      </c>
      <c r="AY18" s="173">
        <f t="shared" si="29"/>
        <v>157868.6265011715</v>
      </c>
      <c r="AZ18" s="173">
        <f t="shared" si="30"/>
        <v>0</v>
      </c>
      <c r="BB18" s="87" t="s">
        <v>253</v>
      </c>
      <c r="BC18" s="87" t="s">
        <v>254</v>
      </c>
      <c r="BD18" s="173">
        <f t="shared" si="31"/>
        <v>143796.12253377982</v>
      </c>
      <c r="BE18" s="173">
        <f t="shared" si="32"/>
        <v>0</v>
      </c>
      <c r="BF18" s="173">
        <f t="shared" si="33"/>
        <v>153086.07814941116</v>
      </c>
      <c r="BG18" s="173">
        <f t="shared" si="34"/>
        <v>0</v>
      </c>
      <c r="BH18" s="173">
        <f t="shared" si="35"/>
        <v>155878.54656337068</v>
      </c>
      <c r="BI18" s="173">
        <f t="shared" si="36"/>
        <v>0</v>
      </c>
      <c r="BJ18" s="173">
        <f t="shared" si="37"/>
        <v>159036.33331248962</v>
      </c>
      <c r="BK18" s="173">
        <f t="shared" si="38"/>
        <v>0</v>
      </c>
      <c r="BM18" s="87" t="s">
        <v>253</v>
      </c>
      <c r="BN18" s="87" t="s">
        <v>254</v>
      </c>
      <c r="BO18" s="173">
        <f t="shared" si="39"/>
        <v>143796.12253377982</v>
      </c>
      <c r="BP18" s="173">
        <f t="shared" si="40"/>
        <v>0</v>
      </c>
      <c r="BQ18" s="173">
        <f t="shared" si="41"/>
        <v>153527.57727418354</v>
      </c>
      <c r="BR18" s="173">
        <f t="shared" si="42"/>
        <v>0</v>
      </c>
      <c r="BS18" s="173">
        <f t="shared" si="43"/>
        <v>156514.54368225764</v>
      </c>
      <c r="BT18" s="173">
        <f t="shared" si="44"/>
        <v>0</v>
      </c>
      <c r="BU18" s="173">
        <f t="shared" si="45"/>
        <v>161144.43768993745</v>
      </c>
      <c r="BV18" s="173">
        <f t="shared" si="46"/>
        <v>0</v>
      </c>
    </row>
    <row r="19" spans="1:74">
      <c r="A19" s="87" t="s">
        <v>265</v>
      </c>
      <c r="B19" s="87" t="s">
        <v>266</v>
      </c>
      <c r="C19" s="87" t="s">
        <v>998</v>
      </c>
      <c r="E19" s="87" t="s">
        <v>543</v>
      </c>
      <c r="F19" s="87" t="s">
        <v>544</v>
      </c>
      <c r="G19" s="173">
        <f>IFERROR(IF(VLOOKUP(E19,A:C,3,FALSE)="YES",VLOOKUP(E19,'School Year 2021-22 SPED coop'!A:P,16,FALSE),0),0)</f>
        <v>0</v>
      </c>
      <c r="H19" s="173">
        <f t="shared" si="47"/>
        <v>3011326.8099999996</v>
      </c>
      <c r="J19" s="87" t="s">
        <v>543</v>
      </c>
      <c r="K19" s="87" t="s">
        <v>544</v>
      </c>
      <c r="L19" s="173">
        <f t="shared" si="6"/>
        <v>0</v>
      </c>
      <c r="M19" s="173">
        <f t="shared" si="7"/>
        <v>3045027.1744312509</v>
      </c>
      <c r="N19" s="173">
        <f t="shared" si="8"/>
        <v>0</v>
      </c>
      <c r="O19" s="173">
        <f t="shared" si="9"/>
        <v>3146372.4564503771</v>
      </c>
      <c r="P19" s="173">
        <f t="shared" si="10"/>
        <v>0</v>
      </c>
      <c r="Q19" s="173">
        <f t="shared" si="11"/>
        <v>3205054.7192530325</v>
      </c>
      <c r="R19" s="173">
        <f t="shared" si="12"/>
        <v>0</v>
      </c>
      <c r="S19" s="173">
        <f t="shared" si="13"/>
        <v>3264828.8100388269</v>
      </c>
      <c r="U19" s="87" t="s">
        <v>543</v>
      </c>
      <c r="V19" s="87" t="s">
        <v>544</v>
      </c>
      <c r="W19" s="173">
        <f t="shared" si="14"/>
        <v>0</v>
      </c>
      <c r="X19" s="173">
        <f t="shared" si="48"/>
        <v>3045027.1744312509</v>
      </c>
      <c r="Y19" s="173">
        <f t="shared" si="49"/>
        <v>0</v>
      </c>
      <c r="Z19" s="173">
        <f t="shared" si="50"/>
        <v>3161786.3217851613</v>
      </c>
      <c r="AA19" s="173">
        <f t="shared" si="51"/>
        <v>0</v>
      </c>
      <c r="AB19" s="173">
        <f t="shared" si="52"/>
        <v>3223150.0228112843</v>
      </c>
      <c r="AC19" s="173">
        <f t="shared" si="53"/>
        <v>0</v>
      </c>
      <c r="AD19" s="173">
        <f t="shared" si="54"/>
        <v>3288930.4057912803</v>
      </c>
      <c r="AF19" s="87" t="s">
        <v>543</v>
      </c>
      <c r="AG19" s="87" t="s">
        <v>544</v>
      </c>
      <c r="AH19" s="173">
        <f t="shared" si="15"/>
        <v>0</v>
      </c>
      <c r="AI19" s="173">
        <f t="shared" si="16"/>
        <v>3045027.1744312509</v>
      </c>
      <c r="AJ19" s="173">
        <f t="shared" si="17"/>
        <v>0</v>
      </c>
      <c r="AK19" s="173">
        <f t="shared" si="18"/>
        <v>3142288.0880281273</v>
      </c>
      <c r="AL19" s="173">
        <f t="shared" si="19"/>
        <v>0</v>
      </c>
      <c r="AM19" s="173">
        <f t="shared" si="20"/>
        <v>3200917.4858190641</v>
      </c>
      <c r="AN19" s="173">
        <f t="shared" si="21"/>
        <v>0</v>
      </c>
      <c r="AO19" s="173">
        <f t="shared" si="22"/>
        <v>3260604.7318386515</v>
      </c>
      <c r="AQ19" s="87" t="s">
        <v>543</v>
      </c>
      <c r="AR19" s="87" t="s">
        <v>544</v>
      </c>
      <c r="AS19" s="173">
        <f t="shared" si="23"/>
        <v>0</v>
      </c>
      <c r="AT19" s="173">
        <f t="shared" si="24"/>
        <v>3045027.1744312509</v>
      </c>
      <c r="AU19" s="173">
        <f t="shared" si="25"/>
        <v>0</v>
      </c>
      <c r="AV19" s="173">
        <f t="shared" si="26"/>
        <v>3224863.5335561833</v>
      </c>
      <c r="AW19" s="173">
        <f t="shared" si="27"/>
        <v>0</v>
      </c>
      <c r="AX19" s="173">
        <f t="shared" si="28"/>
        <v>3282227.682265731</v>
      </c>
      <c r="AY19" s="173">
        <f t="shared" si="29"/>
        <v>0</v>
      </c>
      <c r="AZ19" s="173">
        <f t="shared" si="30"/>
        <v>3343664.4358183988</v>
      </c>
      <c r="BB19" s="87" t="s">
        <v>543</v>
      </c>
      <c r="BC19" s="87" t="s">
        <v>544</v>
      </c>
      <c r="BD19" s="173">
        <f t="shared" si="31"/>
        <v>0</v>
      </c>
      <c r="BE19" s="173">
        <f t="shared" si="32"/>
        <v>3045027.1744312509</v>
      </c>
      <c r="BF19" s="173">
        <f t="shared" si="33"/>
        <v>0</v>
      </c>
      <c r="BG19" s="173">
        <f t="shared" si="34"/>
        <v>3240661.9139196514</v>
      </c>
      <c r="BH19" s="173">
        <f t="shared" si="35"/>
        <v>0</v>
      </c>
      <c r="BI19" s="173">
        <f t="shared" si="36"/>
        <v>3300758.6826881696</v>
      </c>
      <c r="BJ19" s="173">
        <f t="shared" si="37"/>
        <v>0</v>
      </c>
      <c r="BK19" s="173">
        <f t="shared" si="38"/>
        <v>3368348.0038408563</v>
      </c>
      <c r="BM19" s="87" t="s">
        <v>543</v>
      </c>
      <c r="BN19" s="87" t="s">
        <v>544</v>
      </c>
      <c r="BO19" s="173">
        <f t="shared" si="39"/>
        <v>0</v>
      </c>
      <c r="BP19" s="173">
        <f t="shared" si="40"/>
        <v>3045027.1744312509</v>
      </c>
      <c r="BQ19" s="173">
        <f t="shared" si="41"/>
        <v>0</v>
      </c>
      <c r="BR19" s="173">
        <f t="shared" si="42"/>
        <v>3220676.3031449062</v>
      </c>
      <c r="BS19" s="173">
        <f t="shared" si="43"/>
        <v>0</v>
      </c>
      <c r="BT19" s="173">
        <f t="shared" si="44"/>
        <v>3277991.0078568948</v>
      </c>
      <c r="BU19" s="173">
        <f t="shared" si="45"/>
        <v>0</v>
      </c>
      <c r="BV19" s="173">
        <f t="shared" si="46"/>
        <v>3339338.3427284411</v>
      </c>
    </row>
    <row r="20" spans="1:74">
      <c r="A20" s="87" t="s">
        <v>267</v>
      </c>
      <c r="B20" s="87" t="s">
        <v>268</v>
      </c>
      <c r="C20" s="87" t="s">
        <v>998</v>
      </c>
      <c r="E20" s="87" t="s">
        <v>283</v>
      </c>
      <c r="F20" s="87" t="s">
        <v>284</v>
      </c>
      <c r="G20" s="173">
        <f>IFERROR(IF(VLOOKUP(E20,A:C,3,FALSE)="YES",VLOOKUP(E20,'School Year 2021-22 SPED coop'!A:P,16,FALSE),0),0)</f>
        <v>0</v>
      </c>
      <c r="H20" s="173">
        <f t="shared" si="47"/>
        <v>116563.72999999998</v>
      </c>
      <c r="J20" s="87" t="s">
        <v>283</v>
      </c>
      <c r="K20" s="87" t="s">
        <v>284</v>
      </c>
      <c r="L20" s="173">
        <f t="shared" si="6"/>
        <v>0</v>
      </c>
      <c r="M20" s="173">
        <f t="shared" si="7"/>
        <v>121492.51273492345</v>
      </c>
      <c r="N20" s="173">
        <f t="shared" si="8"/>
        <v>0</v>
      </c>
      <c r="O20" s="173">
        <f t="shared" si="9"/>
        <v>125611.1208791237</v>
      </c>
      <c r="P20" s="173">
        <f t="shared" si="10"/>
        <v>0</v>
      </c>
      <c r="Q20" s="173">
        <f t="shared" si="11"/>
        <v>127936.24126963617</v>
      </c>
      <c r="R20" s="173">
        <f t="shared" si="12"/>
        <v>0</v>
      </c>
      <c r="S20" s="173">
        <f t="shared" si="13"/>
        <v>130289.36067362179</v>
      </c>
      <c r="U20" s="87" t="s">
        <v>283</v>
      </c>
      <c r="V20" s="87" t="s">
        <v>284</v>
      </c>
      <c r="W20" s="173">
        <f t="shared" si="14"/>
        <v>0</v>
      </c>
      <c r="X20" s="173">
        <f t="shared" si="48"/>
        <v>121492.51273492345</v>
      </c>
      <c r="Y20" s="173">
        <f t="shared" si="49"/>
        <v>0</v>
      </c>
      <c r="Z20" s="173">
        <f t="shared" si="50"/>
        <v>125611.1208791237</v>
      </c>
      <c r="AA20" s="173">
        <f t="shared" si="51"/>
        <v>0</v>
      </c>
      <c r="AB20" s="173">
        <f t="shared" si="52"/>
        <v>127936.24126963617</v>
      </c>
      <c r="AC20" s="173">
        <f t="shared" si="53"/>
        <v>0</v>
      </c>
      <c r="AD20" s="173">
        <f t="shared" si="54"/>
        <v>130289.36067362179</v>
      </c>
      <c r="AF20" s="87" t="s">
        <v>283</v>
      </c>
      <c r="AG20" s="87" t="s">
        <v>284</v>
      </c>
      <c r="AH20" s="173">
        <f t="shared" si="15"/>
        <v>0</v>
      </c>
      <c r="AI20" s="173">
        <f t="shared" si="16"/>
        <v>121492.51273492345</v>
      </c>
      <c r="AJ20" s="173">
        <f t="shared" si="17"/>
        <v>0</v>
      </c>
      <c r="AK20" s="173">
        <f t="shared" si="18"/>
        <v>125823.96549520476</v>
      </c>
      <c r="AL20" s="173">
        <f t="shared" si="19"/>
        <v>0</v>
      </c>
      <c r="AM20" s="173">
        <f t="shared" si="20"/>
        <v>127688.87830226237</v>
      </c>
      <c r="AN20" s="173">
        <f t="shared" si="21"/>
        <v>0</v>
      </c>
      <c r="AO20" s="173">
        <f t="shared" si="22"/>
        <v>132427.9280165839</v>
      </c>
      <c r="AQ20" s="87" t="s">
        <v>283</v>
      </c>
      <c r="AR20" s="87" t="s">
        <v>284</v>
      </c>
      <c r="AS20" s="173">
        <f t="shared" si="23"/>
        <v>0</v>
      </c>
      <c r="AT20" s="173">
        <f t="shared" si="24"/>
        <v>121492.51273492345</v>
      </c>
      <c r="AU20" s="173">
        <f t="shared" si="25"/>
        <v>0</v>
      </c>
      <c r="AV20" s="173">
        <f t="shared" si="26"/>
        <v>128701.66816231207</v>
      </c>
      <c r="AW20" s="173">
        <f t="shared" si="27"/>
        <v>0</v>
      </c>
      <c r="AX20" s="173">
        <f t="shared" si="28"/>
        <v>130959.84178802118</v>
      </c>
      <c r="AY20" s="173">
        <f t="shared" si="29"/>
        <v>0</v>
      </c>
      <c r="AZ20" s="173">
        <f t="shared" si="30"/>
        <v>133378.31360692455</v>
      </c>
      <c r="BB20" s="87" t="s">
        <v>283</v>
      </c>
      <c r="BC20" s="87" t="s">
        <v>284</v>
      </c>
      <c r="BD20" s="173">
        <f t="shared" si="31"/>
        <v>0</v>
      </c>
      <c r="BE20" s="173">
        <f t="shared" si="32"/>
        <v>121492.51273492345</v>
      </c>
      <c r="BF20" s="173">
        <f t="shared" si="33"/>
        <v>0</v>
      </c>
      <c r="BG20" s="173">
        <f t="shared" si="34"/>
        <v>128701.66816231207</v>
      </c>
      <c r="BH20" s="173">
        <f t="shared" si="35"/>
        <v>0</v>
      </c>
      <c r="BI20" s="173">
        <f t="shared" si="36"/>
        <v>130959.84178802118</v>
      </c>
      <c r="BJ20" s="173">
        <f t="shared" si="37"/>
        <v>0</v>
      </c>
      <c r="BK20" s="173">
        <f t="shared" si="38"/>
        <v>133378.31360692455</v>
      </c>
      <c r="BM20" s="87" t="s">
        <v>283</v>
      </c>
      <c r="BN20" s="87" t="s">
        <v>284</v>
      </c>
      <c r="BO20" s="173">
        <f t="shared" si="39"/>
        <v>0</v>
      </c>
      <c r="BP20" s="173">
        <f t="shared" si="40"/>
        <v>121492.51273492345</v>
      </c>
      <c r="BQ20" s="173">
        <f t="shared" si="41"/>
        <v>0</v>
      </c>
      <c r="BR20" s="173">
        <f t="shared" si="42"/>
        <v>128919.91321837259</v>
      </c>
      <c r="BS20" s="173">
        <f t="shared" si="43"/>
        <v>0</v>
      </c>
      <c r="BT20" s="173">
        <f t="shared" si="44"/>
        <v>130706.72475140955</v>
      </c>
      <c r="BU20" s="173">
        <f t="shared" si="45"/>
        <v>0</v>
      </c>
      <c r="BV20" s="173">
        <f t="shared" si="46"/>
        <v>135568.43273715224</v>
      </c>
    </row>
    <row r="21" spans="1:74">
      <c r="A21" s="87" t="s">
        <v>269</v>
      </c>
      <c r="B21" s="87" t="s">
        <v>270</v>
      </c>
      <c r="C21" s="87" t="s">
        <v>998</v>
      </c>
      <c r="E21" s="87" t="s">
        <v>227</v>
      </c>
      <c r="F21" s="87" t="s">
        <v>228</v>
      </c>
      <c r="G21" s="173">
        <f>IFERROR(IF(VLOOKUP(E21,A:C,3,FALSE)="YES",VLOOKUP(E21,'School Year 2021-22 SPED coop'!A:P,16,FALSE),0),0)</f>
        <v>0</v>
      </c>
      <c r="H21" s="173">
        <f t="shared" si="47"/>
        <v>6623631.6699999999</v>
      </c>
      <c r="J21" s="87" t="s">
        <v>227</v>
      </c>
      <c r="K21" s="87" t="s">
        <v>228</v>
      </c>
      <c r="L21" s="173">
        <f t="shared" si="6"/>
        <v>0</v>
      </c>
      <c r="M21" s="173">
        <f t="shared" si="7"/>
        <v>6700103.1409654683</v>
      </c>
      <c r="N21" s="173">
        <f t="shared" si="8"/>
        <v>0</v>
      </c>
      <c r="O21" s="173">
        <f t="shared" si="9"/>
        <v>6922296.2691742014</v>
      </c>
      <c r="P21" s="173">
        <f t="shared" si="10"/>
        <v>0</v>
      </c>
      <c r="Q21" s="173">
        <f t="shared" si="11"/>
        <v>7051555.6077265795</v>
      </c>
      <c r="R21" s="173">
        <f t="shared" si="12"/>
        <v>0</v>
      </c>
      <c r="S21" s="173">
        <f t="shared" si="13"/>
        <v>7183362.4215277322</v>
      </c>
      <c r="U21" s="87" t="s">
        <v>227</v>
      </c>
      <c r="V21" s="87" t="s">
        <v>228</v>
      </c>
      <c r="W21" s="173">
        <f t="shared" si="14"/>
        <v>0</v>
      </c>
      <c r="X21" s="173">
        <f t="shared" si="48"/>
        <v>6700103.1409654683</v>
      </c>
      <c r="Y21" s="173">
        <f t="shared" si="49"/>
        <v>0</v>
      </c>
      <c r="Z21" s="173">
        <f t="shared" si="50"/>
        <v>6956249.9335673098</v>
      </c>
      <c r="AA21" s="173">
        <f t="shared" si="51"/>
        <v>0</v>
      </c>
      <c r="AB21" s="173">
        <f t="shared" si="52"/>
        <v>7091435.4713652926</v>
      </c>
      <c r="AC21" s="173">
        <f t="shared" si="53"/>
        <v>0</v>
      </c>
      <c r="AD21" s="173">
        <f t="shared" si="54"/>
        <v>7236429.6396765942</v>
      </c>
      <c r="AF21" s="87" t="s">
        <v>227</v>
      </c>
      <c r="AG21" s="87" t="s">
        <v>228</v>
      </c>
      <c r="AH21" s="173">
        <f t="shared" si="15"/>
        <v>0</v>
      </c>
      <c r="AI21" s="173">
        <f t="shared" si="16"/>
        <v>6700103.1409654683</v>
      </c>
      <c r="AJ21" s="173">
        <f t="shared" si="17"/>
        <v>0</v>
      </c>
      <c r="AK21" s="173">
        <f t="shared" si="18"/>
        <v>6901700.1115210801</v>
      </c>
      <c r="AL21" s="173">
        <f t="shared" si="19"/>
        <v>0</v>
      </c>
      <c r="AM21" s="173">
        <f t="shared" si="20"/>
        <v>7053951.7879592981</v>
      </c>
      <c r="AN21" s="173">
        <f t="shared" si="21"/>
        <v>0</v>
      </c>
      <c r="AO21" s="173">
        <f t="shared" si="22"/>
        <v>7249662.6470829789</v>
      </c>
      <c r="AQ21" s="87" t="s">
        <v>227</v>
      </c>
      <c r="AR21" s="87" t="s">
        <v>228</v>
      </c>
      <c r="AS21" s="173">
        <f t="shared" si="23"/>
        <v>0</v>
      </c>
      <c r="AT21" s="173">
        <f t="shared" si="24"/>
        <v>6700103.1409654683</v>
      </c>
      <c r="AU21" s="173">
        <f t="shared" si="25"/>
        <v>0</v>
      </c>
      <c r="AV21" s="173">
        <f t="shared" si="26"/>
        <v>7095334.8018136183</v>
      </c>
      <c r="AW21" s="173">
        <f t="shared" si="27"/>
        <v>0</v>
      </c>
      <c r="AX21" s="173">
        <f t="shared" si="28"/>
        <v>7221827.4646470994</v>
      </c>
      <c r="AY21" s="173">
        <f t="shared" si="29"/>
        <v>0</v>
      </c>
      <c r="AZ21" s="173">
        <f t="shared" si="30"/>
        <v>7357300.7318279427</v>
      </c>
      <c r="BB21" s="87" t="s">
        <v>227</v>
      </c>
      <c r="BC21" s="87" t="s">
        <v>228</v>
      </c>
      <c r="BD21" s="173">
        <f t="shared" si="31"/>
        <v>0</v>
      </c>
      <c r="BE21" s="173">
        <f t="shared" si="32"/>
        <v>6700103.1409654683</v>
      </c>
      <c r="BF21" s="173">
        <f t="shared" si="33"/>
        <v>0</v>
      </c>
      <c r="BG21" s="173">
        <f t="shared" si="34"/>
        <v>7130137.2237474015</v>
      </c>
      <c r="BH21" s="173">
        <f t="shared" si="35"/>
        <v>0</v>
      </c>
      <c r="BI21" s="173">
        <f t="shared" si="36"/>
        <v>7262670.3095375486</v>
      </c>
      <c r="BJ21" s="173">
        <f t="shared" si="37"/>
        <v>0</v>
      </c>
      <c r="BK21" s="173">
        <f t="shared" si="38"/>
        <v>7411652.9276710283</v>
      </c>
      <c r="BM21" s="87" t="s">
        <v>227</v>
      </c>
      <c r="BN21" s="87" t="s">
        <v>228</v>
      </c>
      <c r="BO21" s="173">
        <f t="shared" si="39"/>
        <v>0</v>
      </c>
      <c r="BP21" s="173">
        <f t="shared" si="40"/>
        <v>6700103.1409654683</v>
      </c>
      <c r="BQ21" s="173">
        <f t="shared" si="41"/>
        <v>0</v>
      </c>
      <c r="BR21" s="173">
        <f t="shared" si="42"/>
        <v>7074216.9093375672</v>
      </c>
      <c r="BS21" s="173">
        <f t="shared" si="43"/>
        <v>0</v>
      </c>
      <c r="BT21" s="173">
        <f t="shared" si="44"/>
        <v>7224288.2967085587</v>
      </c>
      <c r="BU21" s="173">
        <f t="shared" si="45"/>
        <v>0</v>
      </c>
      <c r="BV21" s="173">
        <f t="shared" si="46"/>
        <v>7425234.0914361533</v>
      </c>
    </row>
    <row r="22" spans="1:74">
      <c r="A22" s="87" t="s">
        <v>337</v>
      </c>
      <c r="B22" s="87" t="s">
        <v>338</v>
      </c>
      <c r="C22" s="87" t="s">
        <v>998</v>
      </c>
      <c r="E22" s="87" t="s">
        <v>333</v>
      </c>
      <c r="F22" s="87" t="s">
        <v>334</v>
      </c>
      <c r="G22" s="173">
        <f>IFERROR(IF(VLOOKUP(E22,A:C,3,FALSE)="YES",VLOOKUP(E22,'School Year 2021-22 SPED coop'!A:P,16,FALSE),0),0)</f>
        <v>0</v>
      </c>
      <c r="H22" s="173">
        <f t="shared" si="47"/>
        <v>964248.14</v>
      </c>
      <c r="J22" s="87" t="s">
        <v>333</v>
      </c>
      <c r="K22" s="87" t="s">
        <v>334</v>
      </c>
      <c r="L22" s="173">
        <f t="shared" si="6"/>
        <v>0</v>
      </c>
      <c r="M22" s="173">
        <f t="shared" si="7"/>
        <v>975017.96678022982</v>
      </c>
      <c r="N22" s="173">
        <f t="shared" si="8"/>
        <v>0</v>
      </c>
      <c r="O22" s="173">
        <f t="shared" si="9"/>
        <v>1008049.5191907118</v>
      </c>
      <c r="P22" s="173">
        <f t="shared" si="10"/>
        <v>0</v>
      </c>
      <c r="Q22" s="173">
        <f t="shared" si="11"/>
        <v>1026719.8239230607</v>
      </c>
      <c r="R22" s="173">
        <f t="shared" si="12"/>
        <v>0</v>
      </c>
      <c r="S22" s="173">
        <f t="shared" si="13"/>
        <v>1045623.7283630553</v>
      </c>
      <c r="U22" s="87" t="s">
        <v>333</v>
      </c>
      <c r="V22" s="87" t="s">
        <v>334</v>
      </c>
      <c r="W22" s="173">
        <f t="shared" si="14"/>
        <v>0</v>
      </c>
      <c r="X22" s="173">
        <f t="shared" si="48"/>
        <v>975017.96678022982</v>
      </c>
      <c r="Y22" s="173">
        <f t="shared" si="49"/>
        <v>0</v>
      </c>
      <c r="Z22" s="173">
        <f t="shared" si="50"/>
        <v>1012979.9287389301</v>
      </c>
      <c r="AA22" s="173">
        <f t="shared" si="51"/>
        <v>0</v>
      </c>
      <c r="AB22" s="173">
        <f t="shared" si="52"/>
        <v>1032522.227950472</v>
      </c>
      <c r="AC22" s="173">
        <f t="shared" si="53"/>
        <v>0</v>
      </c>
      <c r="AD22" s="173">
        <f t="shared" si="54"/>
        <v>1053342.9411842611</v>
      </c>
      <c r="AF22" s="87" t="s">
        <v>333</v>
      </c>
      <c r="AG22" s="87" t="s">
        <v>334</v>
      </c>
      <c r="AH22" s="173">
        <f t="shared" si="15"/>
        <v>0</v>
      </c>
      <c r="AI22" s="173">
        <f t="shared" si="16"/>
        <v>975017.96678022982</v>
      </c>
      <c r="AJ22" s="173">
        <f t="shared" si="17"/>
        <v>0</v>
      </c>
      <c r="AK22" s="173">
        <f t="shared" si="18"/>
        <v>1013797.575260058</v>
      </c>
      <c r="AL22" s="173">
        <f t="shared" si="19"/>
        <v>0</v>
      </c>
      <c r="AM22" s="173">
        <f t="shared" si="20"/>
        <v>1041733.2797558567</v>
      </c>
      <c r="AN22" s="173">
        <f t="shared" si="21"/>
        <v>0</v>
      </c>
      <c r="AO22" s="173">
        <f t="shared" si="22"/>
        <v>1070771.8519354318</v>
      </c>
      <c r="AQ22" s="87" t="s">
        <v>333</v>
      </c>
      <c r="AR22" s="87" t="s">
        <v>334</v>
      </c>
      <c r="AS22" s="173">
        <f t="shared" si="23"/>
        <v>0</v>
      </c>
      <c r="AT22" s="173">
        <f t="shared" si="24"/>
        <v>975017.96678022982</v>
      </c>
      <c r="AU22" s="173">
        <f t="shared" si="25"/>
        <v>0</v>
      </c>
      <c r="AV22" s="173">
        <f t="shared" si="26"/>
        <v>1032861.8573906661</v>
      </c>
      <c r="AW22" s="173">
        <f t="shared" si="27"/>
        <v>0</v>
      </c>
      <c r="AX22" s="173">
        <f t="shared" si="28"/>
        <v>1051002.7206972337</v>
      </c>
      <c r="AY22" s="173">
        <f t="shared" si="29"/>
        <v>0</v>
      </c>
      <c r="AZ22" s="173">
        <f t="shared" si="30"/>
        <v>1070431.4834659072</v>
      </c>
      <c r="BB22" s="87" t="s">
        <v>333</v>
      </c>
      <c r="BC22" s="87" t="s">
        <v>334</v>
      </c>
      <c r="BD22" s="173">
        <f t="shared" si="31"/>
        <v>0</v>
      </c>
      <c r="BE22" s="173">
        <f t="shared" si="32"/>
        <v>975017.96678022982</v>
      </c>
      <c r="BF22" s="173">
        <f t="shared" si="33"/>
        <v>0</v>
      </c>
      <c r="BG22" s="173">
        <f t="shared" si="34"/>
        <v>1037913.6187070931</v>
      </c>
      <c r="BH22" s="173">
        <f t="shared" si="35"/>
        <v>0</v>
      </c>
      <c r="BI22" s="173">
        <f t="shared" si="36"/>
        <v>1056942.3567978526</v>
      </c>
      <c r="BJ22" s="173">
        <f t="shared" si="37"/>
        <v>0</v>
      </c>
      <c r="BK22" s="173">
        <f t="shared" si="38"/>
        <v>1078333.8351557385</v>
      </c>
      <c r="BM22" s="87" t="s">
        <v>333</v>
      </c>
      <c r="BN22" s="87" t="s">
        <v>334</v>
      </c>
      <c r="BO22" s="173">
        <f t="shared" si="39"/>
        <v>0</v>
      </c>
      <c r="BP22" s="173">
        <f t="shared" si="40"/>
        <v>975017.96678022982</v>
      </c>
      <c r="BQ22" s="173">
        <f t="shared" si="41"/>
        <v>0</v>
      </c>
      <c r="BR22" s="173">
        <f t="shared" si="42"/>
        <v>1038753.4086835877</v>
      </c>
      <c r="BS22" s="173">
        <f t="shared" si="43"/>
        <v>0</v>
      </c>
      <c r="BT22" s="173">
        <f t="shared" si="44"/>
        <v>1066376.2746940013</v>
      </c>
      <c r="BU22" s="173">
        <f t="shared" si="45"/>
        <v>0</v>
      </c>
      <c r="BV22" s="173">
        <f t="shared" si="46"/>
        <v>1096184.579015156</v>
      </c>
    </row>
    <row r="23" spans="1:74">
      <c r="A23" s="87" t="s">
        <v>343</v>
      </c>
      <c r="B23" s="87" t="s">
        <v>344</v>
      </c>
      <c r="C23" s="87" t="s">
        <v>998</v>
      </c>
      <c r="E23" s="87" t="s">
        <v>91</v>
      </c>
      <c r="F23" s="87" t="s">
        <v>92</v>
      </c>
      <c r="G23" s="173">
        <f>IFERROR(IF(VLOOKUP(E23,A:C,3,FALSE)="YES",VLOOKUP(E23,'School Year 2021-22 SPED coop'!A:P,16,FALSE),0),0)</f>
        <v>0</v>
      </c>
      <c r="H23" s="173">
        <f t="shared" si="47"/>
        <v>640492.41999999993</v>
      </c>
      <c r="J23" s="87" t="s">
        <v>91</v>
      </c>
      <c r="K23" s="87" t="s">
        <v>92</v>
      </c>
      <c r="L23" s="173">
        <f t="shared" si="6"/>
        <v>0</v>
      </c>
      <c r="M23" s="173">
        <f t="shared" si="7"/>
        <v>647627.22401884221</v>
      </c>
      <c r="N23" s="173">
        <f t="shared" si="8"/>
        <v>0</v>
      </c>
      <c r="O23" s="173">
        <f t="shared" si="9"/>
        <v>669576.70501481346</v>
      </c>
      <c r="P23" s="173">
        <f t="shared" si="10"/>
        <v>0</v>
      </c>
      <c r="Q23" s="173">
        <f t="shared" si="11"/>
        <v>681978.6241856782</v>
      </c>
      <c r="R23" s="173">
        <f t="shared" si="12"/>
        <v>0</v>
      </c>
      <c r="S23" s="173">
        <f t="shared" si="13"/>
        <v>694536.16793988633</v>
      </c>
      <c r="U23" s="87" t="s">
        <v>91</v>
      </c>
      <c r="V23" s="87" t="s">
        <v>92</v>
      </c>
      <c r="W23" s="173">
        <f t="shared" si="14"/>
        <v>0</v>
      </c>
      <c r="X23" s="173">
        <f t="shared" si="48"/>
        <v>647627.22401884221</v>
      </c>
      <c r="Y23" s="173">
        <f t="shared" si="49"/>
        <v>0</v>
      </c>
      <c r="Z23" s="173">
        <f t="shared" si="50"/>
        <v>672858.89044202247</v>
      </c>
      <c r="AA23" s="173">
        <f t="shared" si="51"/>
        <v>0</v>
      </c>
      <c r="AB23" s="173">
        <f t="shared" si="52"/>
        <v>685839.20113414596</v>
      </c>
      <c r="AC23" s="173">
        <f t="shared" si="53"/>
        <v>0</v>
      </c>
      <c r="AD23" s="173">
        <f t="shared" si="54"/>
        <v>699668.00912075036</v>
      </c>
      <c r="AF23" s="87" t="s">
        <v>91</v>
      </c>
      <c r="AG23" s="87" t="s">
        <v>92</v>
      </c>
      <c r="AH23" s="173">
        <f t="shared" si="15"/>
        <v>0</v>
      </c>
      <c r="AI23" s="173">
        <f t="shared" si="16"/>
        <v>647627.22401884221</v>
      </c>
      <c r="AJ23" s="173">
        <f t="shared" si="17"/>
        <v>0</v>
      </c>
      <c r="AK23" s="173">
        <f t="shared" si="18"/>
        <v>668732.60956352111</v>
      </c>
      <c r="AL23" s="173">
        <f t="shared" si="19"/>
        <v>0</v>
      </c>
      <c r="AM23" s="173">
        <f t="shared" si="20"/>
        <v>681120.22245968296</v>
      </c>
      <c r="AN23" s="173">
        <f t="shared" si="21"/>
        <v>0</v>
      </c>
      <c r="AO23" s="173">
        <f t="shared" si="22"/>
        <v>693866.80502811912</v>
      </c>
      <c r="AQ23" s="87" t="s">
        <v>91</v>
      </c>
      <c r="AR23" s="87" t="s">
        <v>92</v>
      </c>
      <c r="AS23" s="173">
        <f t="shared" si="23"/>
        <v>0</v>
      </c>
      <c r="AT23" s="173">
        <f t="shared" si="24"/>
        <v>647627.22401884221</v>
      </c>
      <c r="AU23" s="173">
        <f t="shared" si="25"/>
        <v>0</v>
      </c>
      <c r="AV23" s="173">
        <f t="shared" si="26"/>
        <v>686056.47044558835</v>
      </c>
      <c r="AW23" s="173">
        <f t="shared" si="27"/>
        <v>0</v>
      </c>
      <c r="AX23" s="173">
        <f t="shared" si="28"/>
        <v>698107.0910460694</v>
      </c>
      <c r="AY23" s="173">
        <f t="shared" si="29"/>
        <v>0</v>
      </c>
      <c r="AZ23" s="173">
        <f t="shared" si="30"/>
        <v>711013.23951612331</v>
      </c>
      <c r="BB23" s="87" t="s">
        <v>91</v>
      </c>
      <c r="BC23" s="87" t="s">
        <v>92</v>
      </c>
      <c r="BD23" s="173">
        <f t="shared" si="31"/>
        <v>0</v>
      </c>
      <c r="BE23" s="173">
        <f t="shared" si="32"/>
        <v>647627.22401884221</v>
      </c>
      <c r="BF23" s="173">
        <f t="shared" si="33"/>
        <v>0</v>
      </c>
      <c r="BG23" s="173">
        <f t="shared" si="34"/>
        <v>689419.43736486766</v>
      </c>
      <c r="BH23" s="173">
        <f t="shared" si="35"/>
        <v>0</v>
      </c>
      <c r="BI23" s="173">
        <f t="shared" si="36"/>
        <v>702058.97166839323</v>
      </c>
      <c r="BJ23" s="173">
        <f t="shared" si="37"/>
        <v>0</v>
      </c>
      <c r="BK23" s="173">
        <f t="shared" si="38"/>
        <v>716266.82861881587</v>
      </c>
      <c r="BM23" s="87" t="s">
        <v>91</v>
      </c>
      <c r="BN23" s="87" t="s">
        <v>92</v>
      </c>
      <c r="BO23" s="173">
        <f t="shared" si="39"/>
        <v>0</v>
      </c>
      <c r="BP23" s="173">
        <f t="shared" si="40"/>
        <v>647627.22401884221</v>
      </c>
      <c r="BQ23" s="173">
        <f t="shared" si="41"/>
        <v>0</v>
      </c>
      <c r="BR23" s="173">
        <f t="shared" si="42"/>
        <v>685191.48310648941</v>
      </c>
      <c r="BS23" s="173">
        <f t="shared" si="43"/>
        <v>0</v>
      </c>
      <c r="BT23" s="173">
        <f t="shared" si="44"/>
        <v>697228.51967571373</v>
      </c>
      <c r="BU23" s="173">
        <f t="shared" si="45"/>
        <v>0</v>
      </c>
      <c r="BV23" s="173">
        <f t="shared" si="46"/>
        <v>710328.07580153306</v>
      </c>
    </row>
    <row r="24" spans="1:74">
      <c r="A24" s="87" t="s">
        <v>345</v>
      </c>
      <c r="B24" s="87" t="s">
        <v>346</v>
      </c>
      <c r="C24" s="87" t="s">
        <v>998</v>
      </c>
      <c r="E24" s="87" t="s">
        <v>175</v>
      </c>
      <c r="F24" s="87" t="s">
        <v>176</v>
      </c>
      <c r="G24" s="173">
        <f>IFERROR(IF(VLOOKUP(E24,A:C,3,FALSE)="YES",VLOOKUP(E24,'School Year 2021-22 SPED coop'!A:P,16,FALSE),0),0)</f>
        <v>0</v>
      </c>
      <c r="H24" s="173">
        <f t="shared" si="47"/>
        <v>71184.72</v>
      </c>
      <c r="J24" s="87" t="s">
        <v>175</v>
      </c>
      <c r="K24" s="87" t="s">
        <v>176</v>
      </c>
      <c r="L24" s="173">
        <f t="shared" si="6"/>
        <v>0</v>
      </c>
      <c r="M24" s="173">
        <f t="shared" si="7"/>
        <v>71998.760080828826</v>
      </c>
      <c r="N24" s="173">
        <f t="shared" si="8"/>
        <v>0</v>
      </c>
      <c r="O24" s="173">
        <f t="shared" si="9"/>
        <v>74436.406057939515</v>
      </c>
      <c r="P24" s="173">
        <f t="shared" si="10"/>
        <v>0</v>
      </c>
      <c r="Q24" s="173">
        <f t="shared" si="11"/>
        <v>75814.148017313113</v>
      </c>
      <c r="R24" s="173">
        <f t="shared" si="12"/>
        <v>0</v>
      </c>
      <c r="S24" s="173">
        <f t="shared" si="13"/>
        <v>77208.386624649924</v>
      </c>
      <c r="U24" s="87" t="s">
        <v>175</v>
      </c>
      <c r="V24" s="87" t="s">
        <v>176</v>
      </c>
      <c r="W24" s="173">
        <f t="shared" si="14"/>
        <v>0</v>
      </c>
      <c r="X24" s="173">
        <f t="shared" si="48"/>
        <v>71998.760080828826</v>
      </c>
      <c r="Y24" s="173">
        <f t="shared" si="49"/>
        <v>0</v>
      </c>
      <c r="Z24" s="173">
        <f t="shared" si="50"/>
        <v>74436.406057939515</v>
      </c>
      <c r="AA24" s="173">
        <f t="shared" si="51"/>
        <v>0</v>
      </c>
      <c r="AB24" s="173">
        <f t="shared" si="52"/>
        <v>75814.148017313113</v>
      </c>
      <c r="AC24" s="173">
        <f t="shared" si="53"/>
        <v>0</v>
      </c>
      <c r="AD24" s="173">
        <f t="shared" si="54"/>
        <v>77208.386624649924</v>
      </c>
      <c r="AF24" s="87" t="s">
        <v>175</v>
      </c>
      <c r="AG24" s="87" t="s">
        <v>176</v>
      </c>
      <c r="AH24" s="173">
        <f t="shared" si="15"/>
        <v>0</v>
      </c>
      <c r="AI24" s="173">
        <f t="shared" si="16"/>
        <v>71998.760080828826</v>
      </c>
      <c r="AJ24" s="173">
        <f t="shared" si="17"/>
        <v>0</v>
      </c>
      <c r="AK24" s="173">
        <f t="shared" si="18"/>
        <v>74718.478755852775</v>
      </c>
      <c r="AL24" s="173">
        <f t="shared" si="19"/>
        <v>0</v>
      </c>
      <c r="AM24" s="173">
        <f t="shared" si="20"/>
        <v>76489.753384883326</v>
      </c>
      <c r="AN24" s="173">
        <f t="shared" si="21"/>
        <v>0</v>
      </c>
      <c r="AO24" s="173">
        <f t="shared" si="22"/>
        <v>78649.352926415231</v>
      </c>
      <c r="AQ24" s="87" t="s">
        <v>175</v>
      </c>
      <c r="AR24" s="87" t="s">
        <v>176</v>
      </c>
      <c r="AS24" s="173">
        <f t="shared" si="23"/>
        <v>0</v>
      </c>
      <c r="AT24" s="173">
        <f t="shared" si="24"/>
        <v>71998.760080828826</v>
      </c>
      <c r="AU24" s="173">
        <f t="shared" si="25"/>
        <v>0</v>
      </c>
      <c r="AV24" s="173">
        <f t="shared" si="26"/>
        <v>76268.332432090581</v>
      </c>
      <c r="AW24" s="173">
        <f t="shared" si="27"/>
        <v>0</v>
      </c>
      <c r="AX24" s="173">
        <f t="shared" si="28"/>
        <v>77606.328655254008</v>
      </c>
      <c r="AY24" s="173">
        <f t="shared" si="29"/>
        <v>0</v>
      </c>
      <c r="AZ24" s="173">
        <f t="shared" si="30"/>
        <v>79039.304074264364</v>
      </c>
      <c r="BB24" s="87" t="s">
        <v>175</v>
      </c>
      <c r="BC24" s="87" t="s">
        <v>176</v>
      </c>
      <c r="BD24" s="173">
        <f t="shared" si="31"/>
        <v>0</v>
      </c>
      <c r="BE24" s="173">
        <f t="shared" si="32"/>
        <v>71998.760080828826</v>
      </c>
      <c r="BF24" s="173">
        <f t="shared" si="33"/>
        <v>0</v>
      </c>
      <c r="BG24" s="173">
        <f t="shared" si="34"/>
        <v>76268.332432090581</v>
      </c>
      <c r="BH24" s="173">
        <f t="shared" si="35"/>
        <v>0</v>
      </c>
      <c r="BI24" s="173">
        <f t="shared" si="36"/>
        <v>77606.328655254008</v>
      </c>
      <c r="BJ24" s="173">
        <f t="shared" si="37"/>
        <v>0</v>
      </c>
      <c r="BK24" s="173">
        <f t="shared" si="38"/>
        <v>79039.304074264364</v>
      </c>
      <c r="BM24" s="87" t="s">
        <v>175</v>
      </c>
      <c r="BN24" s="87" t="s">
        <v>176</v>
      </c>
      <c r="BO24" s="173">
        <f t="shared" si="39"/>
        <v>0</v>
      </c>
      <c r="BP24" s="173">
        <f t="shared" si="40"/>
        <v>71998.760080828826</v>
      </c>
      <c r="BQ24" s="173">
        <f t="shared" si="41"/>
        <v>0</v>
      </c>
      <c r="BR24" s="173">
        <f t="shared" si="42"/>
        <v>76557.508369863601</v>
      </c>
      <c r="BS24" s="173">
        <f t="shared" si="43"/>
        <v>0</v>
      </c>
      <c r="BT24" s="173">
        <f t="shared" si="44"/>
        <v>78298.246385139282</v>
      </c>
      <c r="BU24" s="173">
        <f t="shared" si="45"/>
        <v>0</v>
      </c>
      <c r="BV24" s="173">
        <f t="shared" si="46"/>
        <v>80515.048206318897</v>
      </c>
    </row>
    <row r="25" spans="1:74">
      <c r="A25" s="87" t="s">
        <v>349</v>
      </c>
      <c r="B25" s="87" t="s">
        <v>350</v>
      </c>
      <c r="C25" s="87" t="s">
        <v>998</v>
      </c>
      <c r="E25" s="87" t="s">
        <v>403</v>
      </c>
      <c r="F25" s="87" t="s">
        <v>404</v>
      </c>
      <c r="G25" s="173">
        <f>IFERROR(IF(VLOOKUP(E25,A:C,3,FALSE)="YES",VLOOKUP(E25,'School Year 2021-22 SPED coop'!A:P,16,FALSE),0),0)</f>
        <v>0</v>
      </c>
      <c r="H25" s="173">
        <f t="shared" si="47"/>
        <v>4551506.9800000004</v>
      </c>
      <c r="J25" s="87" t="s">
        <v>403</v>
      </c>
      <c r="K25" s="87" t="s">
        <v>404</v>
      </c>
      <c r="L25" s="173">
        <f t="shared" si="6"/>
        <v>0</v>
      </c>
      <c r="M25" s="173">
        <f t="shared" si="7"/>
        <v>4625190.9548425321</v>
      </c>
      <c r="N25" s="173">
        <f t="shared" si="8"/>
        <v>0</v>
      </c>
      <c r="O25" s="173">
        <f t="shared" si="9"/>
        <v>4748253.4100535512</v>
      </c>
      <c r="P25" s="173">
        <f t="shared" si="10"/>
        <v>0</v>
      </c>
      <c r="Q25" s="173">
        <f t="shared" si="11"/>
        <v>4836808.0473697213</v>
      </c>
      <c r="R25" s="173">
        <f t="shared" si="12"/>
        <v>0</v>
      </c>
      <c r="S25" s="173">
        <f t="shared" si="13"/>
        <v>4927012.5939648496</v>
      </c>
      <c r="U25" s="87" t="s">
        <v>403</v>
      </c>
      <c r="V25" s="87" t="s">
        <v>404</v>
      </c>
      <c r="W25" s="173">
        <f t="shared" si="14"/>
        <v>0</v>
      </c>
      <c r="X25" s="173">
        <f t="shared" si="48"/>
        <v>4625190.9548425321</v>
      </c>
      <c r="Y25" s="173">
        <f t="shared" si="49"/>
        <v>0</v>
      </c>
      <c r="Z25" s="173">
        <f t="shared" si="50"/>
        <v>4771546.412497161</v>
      </c>
      <c r="AA25" s="173">
        <f t="shared" si="51"/>
        <v>0</v>
      </c>
      <c r="AB25" s="173">
        <f t="shared" si="52"/>
        <v>4864164.7207213687</v>
      </c>
      <c r="AC25" s="173">
        <f t="shared" si="53"/>
        <v>0</v>
      </c>
      <c r="AD25" s="173">
        <f t="shared" si="54"/>
        <v>4963416.3303203043</v>
      </c>
      <c r="AF25" s="87" t="s">
        <v>403</v>
      </c>
      <c r="AG25" s="87" t="s">
        <v>404</v>
      </c>
      <c r="AH25" s="173">
        <f t="shared" si="15"/>
        <v>0</v>
      </c>
      <c r="AI25" s="173">
        <f t="shared" si="16"/>
        <v>4625190.9548425321</v>
      </c>
      <c r="AJ25" s="173">
        <f t="shared" si="17"/>
        <v>0</v>
      </c>
      <c r="AK25" s="173">
        <f t="shared" si="18"/>
        <v>4743679.1675425963</v>
      </c>
      <c r="AL25" s="173">
        <f t="shared" si="19"/>
        <v>0</v>
      </c>
      <c r="AM25" s="173">
        <f t="shared" si="20"/>
        <v>4832148.5857576244</v>
      </c>
      <c r="AN25" s="173">
        <f t="shared" si="21"/>
        <v>0</v>
      </c>
      <c r="AO25" s="173">
        <f t="shared" si="22"/>
        <v>4922266.4314354593</v>
      </c>
      <c r="AQ25" s="87" t="s">
        <v>403</v>
      </c>
      <c r="AR25" s="87" t="s">
        <v>404</v>
      </c>
      <c r="AS25" s="173">
        <f t="shared" si="23"/>
        <v>0</v>
      </c>
      <c r="AT25" s="173">
        <f t="shared" si="24"/>
        <v>4625190.9548425321</v>
      </c>
      <c r="AU25" s="173">
        <f t="shared" si="25"/>
        <v>0</v>
      </c>
      <c r="AV25" s="173">
        <f t="shared" si="26"/>
        <v>4866646.6582745118</v>
      </c>
      <c r="AW25" s="173">
        <f t="shared" si="27"/>
        <v>0</v>
      </c>
      <c r="AX25" s="173">
        <f t="shared" si="28"/>
        <v>4953213.2786046779</v>
      </c>
      <c r="AY25" s="173">
        <f t="shared" si="29"/>
        <v>0</v>
      </c>
      <c r="AZ25" s="173">
        <f t="shared" si="30"/>
        <v>5045925.7605583966</v>
      </c>
      <c r="BB25" s="87" t="s">
        <v>403</v>
      </c>
      <c r="BC25" s="87" t="s">
        <v>404</v>
      </c>
      <c r="BD25" s="173">
        <f t="shared" si="31"/>
        <v>0</v>
      </c>
      <c r="BE25" s="173">
        <f t="shared" si="32"/>
        <v>4625190.9548425321</v>
      </c>
      <c r="BF25" s="173">
        <f t="shared" si="33"/>
        <v>0</v>
      </c>
      <c r="BG25" s="173">
        <f t="shared" si="34"/>
        <v>4890520.457456721</v>
      </c>
      <c r="BH25" s="173">
        <f t="shared" si="35"/>
        <v>0</v>
      </c>
      <c r="BI25" s="173">
        <f t="shared" si="36"/>
        <v>4981228.3430434614</v>
      </c>
      <c r="BJ25" s="173">
        <f t="shared" si="37"/>
        <v>0</v>
      </c>
      <c r="BK25" s="173">
        <f t="shared" si="38"/>
        <v>5083208.1056018434</v>
      </c>
      <c r="BM25" s="87" t="s">
        <v>403</v>
      </c>
      <c r="BN25" s="87" t="s">
        <v>404</v>
      </c>
      <c r="BO25" s="173">
        <f t="shared" si="39"/>
        <v>0</v>
      </c>
      <c r="BP25" s="173">
        <f t="shared" si="40"/>
        <v>4625190.9548425321</v>
      </c>
      <c r="BQ25" s="173">
        <f t="shared" si="41"/>
        <v>0</v>
      </c>
      <c r="BR25" s="173">
        <f t="shared" si="42"/>
        <v>4861956.0906383982</v>
      </c>
      <c r="BS25" s="173">
        <f t="shared" si="43"/>
        <v>0</v>
      </c>
      <c r="BT25" s="173">
        <f t="shared" si="44"/>
        <v>4948439.4604324847</v>
      </c>
      <c r="BU25" s="173">
        <f t="shared" si="45"/>
        <v>0</v>
      </c>
      <c r="BV25" s="173">
        <f t="shared" si="46"/>
        <v>5041062.7773156669</v>
      </c>
    </row>
    <row r="26" spans="1:74">
      <c r="A26" s="87" t="s">
        <v>415</v>
      </c>
      <c r="B26" s="87" t="s">
        <v>416</v>
      </c>
      <c r="C26" s="87" t="s">
        <v>998</v>
      </c>
      <c r="E26" s="87" t="s">
        <v>67</v>
      </c>
      <c r="F26" s="87" t="s">
        <v>68</v>
      </c>
      <c r="G26" s="173">
        <f>IFERROR(IF(VLOOKUP(E26,A:C,3,FALSE)="YES",VLOOKUP(E26,'School Year 2021-22 SPED coop'!A:P,16,FALSE),0),0)</f>
        <v>0</v>
      </c>
      <c r="H26" s="173">
        <f t="shared" si="47"/>
        <v>7230626.4299999997</v>
      </c>
      <c r="J26" s="87" t="s">
        <v>67</v>
      </c>
      <c r="K26" s="87" t="s">
        <v>68</v>
      </c>
      <c r="L26" s="173">
        <f t="shared" si="6"/>
        <v>0</v>
      </c>
      <c r="M26" s="173">
        <f t="shared" si="7"/>
        <v>7341555.980055741</v>
      </c>
      <c r="N26" s="173">
        <f t="shared" si="8"/>
        <v>0</v>
      </c>
      <c r="O26" s="173">
        <f t="shared" si="9"/>
        <v>7536604.9737491198</v>
      </c>
      <c r="P26" s="173">
        <f t="shared" si="10"/>
        <v>0</v>
      </c>
      <c r="Q26" s="173">
        <f t="shared" si="11"/>
        <v>7676807.1907654954</v>
      </c>
      <c r="R26" s="173">
        <f t="shared" si="12"/>
        <v>0</v>
      </c>
      <c r="S26" s="173">
        <f t="shared" si="13"/>
        <v>7819308.4354173429</v>
      </c>
      <c r="U26" s="87" t="s">
        <v>67</v>
      </c>
      <c r="V26" s="87" t="s">
        <v>68</v>
      </c>
      <c r="W26" s="173">
        <f t="shared" si="14"/>
        <v>0</v>
      </c>
      <c r="X26" s="173">
        <f t="shared" si="48"/>
        <v>7341555.980055741</v>
      </c>
      <c r="Y26" s="173">
        <f t="shared" si="49"/>
        <v>0</v>
      </c>
      <c r="Z26" s="173">
        <f t="shared" si="50"/>
        <v>7573567.6119593065</v>
      </c>
      <c r="AA26" s="173">
        <f t="shared" si="51"/>
        <v>0</v>
      </c>
      <c r="AB26" s="173">
        <f t="shared" si="52"/>
        <v>7720200.6195421889</v>
      </c>
      <c r="AC26" s="173">
        <f t="shared" si="53"/>
        <v>0</v>
      </c>
      <c r="AD26" s="173">
        <f t="shared" si="54"/>
        <v>7877079.371994311</v>
      </c>
      <c r="AF26" s="87" t="s">
        <v>67</v>
      </c>
      <c r="AG26" s="87" t="s">
        <v>68</v>
      </c>
      <c r="AH26" s="173">
        <f t="shared" si="15"/>
        <v>0</v>
      </c>
      <c r="AI26" s="173">
        <f t="shared" si="16"/>
        <v>7341555.980055741</v>
      </c>
      <c r="AJ26" s="173">
        <f t="shared" si="17"/>
        <v>0</v>
      </c>
      <c r="AK26" s="173">
        <f t="shared" si="18"/>
        <v>7519726.6307436684</v>
      </c>
      <c r="AL26" s="173">
        <f t="shared" si="19"/>
        <v>0</v>
      </c>
      <c r="AM26" s="173">
        <f t="shared" si="20"/>
        <v>7667856.4772180496</v>
      </c>
      <c r="AN26" s="173">
        <f t="shared" si="21"/>
        <v>0</v>
      </c>
      <c r="AO26" s="173">
        <f t="shared" si="22"/>
        <v>7810508.5201742295</v>
      </c>
      <c r="AQ26" s="87" t="s">
        <v>67</v>
      </c>
      <c r="AR26" s="87" t="s">
        <v>68</v>
      </c>
      <c r="AS26" s="173">
        <f t="shared" si="23"/>
        <v>0</v>
      </c>
      <c r="AT26" s="173">
        <f t="shared" si="24"/>
        <v>7341555.980055741</v>
      </c>
      <c r="AU26" s="173">
        <f t="shared" si="25"/>
        <v>0</v>
      </c>
      <c r="AV26" s="173">
        <f t="shared" si="26"/>
        <v>7723607.7045571227</v>
      </c>
      <c r="AW26" s="173">
        <f t="shared" si="27"/>
        <v>0</v>
      </c>
      <c r="AX26" s="173">
        <f t="shared" si="28"/>
        <v>7860359.481877544</v>
      </c>
      <c r="AY26" s="173">
        <f t="shared" si="29"/>
        <v>0</v>
      </c>
      <c r="AZ26" s="173">
        <f t="shared" si="30"/>
        <v>8006820.0769647341</v>
      </c>
      <c r="BB26" s="87" t="s">
        <v>67</v>
      </c>
      <c r="BC26" s="87" t="s">
        <v>68</v>
      </c>
      <c r="BD26" s="173">
        <f t="shared" si="31"/>
        <v>0</v>
      </c>
      <c r="BE26" s="173">
        <f t="shared" si="32"/>
        <v>7341555.980055741</v>
      </c>
      <c r="BF26" s="173">
        <f t="shared" si="33"/>
        <v>0</v>
      </c>
      <c r="BG26" s="173">
        <f t="shared" si="34"/>
        <v>7761487.488317959</v>
      </c>
      <c r="BH26" s="173">
        <f t="shared" si="35"/>
        <v>0</v>
      </c>
      <c r="BI26" s="173">
        <f t="shared" si="36"/>
        <v>7904790.4488563277</v>
      </c>
      <c r="BJ26" s="173">
        <f t="shared" si="37"/>
        <v>0</v>
      </c>
      <c r="BK26" s="173">
        <f t="shared" si="38"/>
        <v>8065976.4032463469</v>
      </c>
      <c r="BM26" s="87" t="s">
        <v>67</v>
      </c>
      <c r="BN26" s="87" t="s">
        <v>68</v>
      </c>
      <c r="BO26" s="173">
        <f t="shared" si="39"/>
        <v>0</v>
      </c>
      <c r="BP26" s="173">
        <f t="shared" si="40"/>
        <v>7341555.980055741</v>
      </c>
      <c r="BQ26" s="173">
        <f t="shared" si="41"/>
        <v>0</v>
      </c>
      <c r="BR26" s="173">
        <f t="shared" si="42"/>
        <v>7706306.7640154585</v>
      </c>
      <c r="BS26" s="173">
        <f t="shared" si="43"/>
        <v>0</v>
      </c>
      <c r="BT26" s="173">
        <f t="shared" si="44"/>
        <v>7851199.0131607037</v>
      </c>
      <c r="BU26" s="173">
        <f t="shared" si="45"/>
        <v>0</v>
      </c>
      <c r="BV26" s="173">
        <f t="shared" si="46"/>
        <v>7997813.1331744511</v>
      </c>
    </row>
    <row r="27" spans="1:74">
      <c r="A27" s="87" t="s">
        <v>417</v>
      </c>
      <c r="B27" s="87" t="s">
        <v>418</v>
      </c>
      <c r="C27" s="87" t="s">
        <v>998</v>
      </c>
      <c r="E27" s="87" t="s">
        <v>49</v>
      </c>
      <c r="F27" s="87" t="s">
        <v>50</v>
      </c>
      <c r="G27" s="173">
        <f>IFERROR(IF(VLOOKUP(E27,A:C,3,FALSE)="YES",VLOOKUP(E27,'School Year 2021-22 SPED coop'!A:P,16,FALSE),0),0)</f>
        <v>0</v>
      </c>
      <c r="H27" s="173">
        <f t="shared" si="47"/>
        <v>599955.77999999991</v>
      </c>
      <c r="J27" s="87" t="s">
        <v>49</v>
      </c>
      <c r="K27" s="87" t="s">
        <v>50</v>
      </c>
      <c r="L27" s="173">
        <f t="shared" si="6"/>
        <v>0</v>
      </c>
      <c r="M27" s="173">
        <f t="shared" si="7"/>
        <v>606879.84933551261</v>
      </c>
      <c r="N27" s="173">
        <f t="shared" si="8"/>
        <v>0</v>
      </c>
      <c r="O27" s="173">
        <f t="shared" si="9"/>
        <v>627428.52251960372</v>
      </c>
      <c r="P27" s="173">
        <f t="shared" si="10"/>
        <v>0</v>
      </c>
      <c r="Q27" s="173">
        <f t="shared" si="11"/>
        <v>639047.57000633818</v>
      </c>
      <c r="R27" s="173">
        <f t="shared" si="12"/>
        <v>0</v>
      </c>
      <c r="S27" s="173">
        <f t="shared" si="13"/>
        <v>650810.60432907066</v>
      </c>
      <c r="U27" s="87" t="s">
        <v>49</v>
      </c>
      <c r="V27" s="87" t="s">
        <v>50</v>
      </c>
      <c r="W27" s="173">
        <f t="shared" si="14"/>
        <v>0</v>
      </c>
      <c r="X27" s="173">
        <f t="shared" si="48"/>
        <v>606879.84933551261</v>
      </c>
      <c r="Y27" s="173">
        <f t="shared" si="49"/>
        <v>0</v>
      </c>
      <c r="Z27" s="173">
        <f t="shared" si="50"/>
        <v>630495.08543450595</v>
      </c>
      <c r="AA27" s="173">
        <f t="shared" si="51"/>
        <v>0</v>
      </c>
      <c r="AB27" s="173">
        <f t="shared" si="52"/>
        <v>642663.49219074973</v>
      </c>
      <c r="AC27" s="173">
        <f t="shared" si="53"/>
        <v>0</v>
      </c>
      <c r="AD27" s="173">
        <f t="shared" si="54"/>
        <v>655630.43482412689</v>
      </c>
      <c r="AF27" s="87" t="s">
        <v>49</v>
      </c>
      <c r="AG27" s="87" t="s">
        <v>50</v>
      </c>
      <c r="AH27" s="173">
        <f t="shared" si="15"/>
        <v>0</v>
      </c>
      <c r="AI27" s="173">
        <f t="shared" si="16"/>
        <v>606879.84933551261</v>
      </c>
      <c r="AJ27" s="173">
        <f t="shared" si="17"/>
        <v>0</v>
      </c>
      <c r="AK27" s="173">
        <f t="shared" si="18"/>
        <v>624760.91494530276</v>
      </c>
      <c r="AL27" s="173">
        <f t="shared" si="19"/>
        <v>0</v>
      </c>
      <c r="AM27" s="173">
        <f t="shared" si="20"/>
        <v>634167.78215566743</v>
      </c>
      <c r="AN27" s="173">
        <f t="shared" si="21"/>
        <v>0</v>
      </c>
      <c r="AO27" s="173">
        <f t="shared" si="22"/>
        <v>645065.54534533632</v>
      </c>
      <c r="AQ27" s="87" t="s">
        <v>49</v>
      </c>
      <c r="AR27" s="87" t="s">
        <v>50</v>
      </c>
      <c r="AS27" s="173">
        <f t="shared" si="23"/>
        <v>0</v>
      </c>
      <c r="AT27" s="173">
        <f t="shared" si="24"/>
        <v>606879.84933551261</v>
      </c>
      <c r="AU27" s="173">
        <f t="shared" si="25"/>
        <v>0</v>
      </c>
      <c r="AV27" s="173">
        <f t="shared" si="26"/>
        <v>642873.13189200743</v>
      </c>
      <c r="AW27" s="173">
        <f t="shared" si="27"/>
        <v>0</v>
      </c>
      <c r="AX27" s="173">
        <f t="shared" si="28"/>
        <v>654161.45170922775</v>
      </c>
      <c r="AY27" s="173">
        <f t="shared" si="29"/>
        <v>0</v>
      </c>
      <c r="AZ27" s="173">
        <f t="shared" si="30"/>
        <v>666251.16371115926</v>
      </c>
      <c r="BB27" s="87" t="s">
        <v>49</v>
      </c>
      <c r="BC27" s="87" t="s">
        <v>50</v>
      </c>
      <c r="BD27" s="173">
        <f t="shared" si="31"/>
        <v>0</v>
      </c>
      <c r="BE27" s="173">
        <f t="shared" si="32"/>
        <v>606879.84933551261</v>
      </c>
      <c r="BF27" s="173">
        <f t="shared" si="33"/>
        <v>0</v>
      </c>
      <c r="BG27" s="173">
        <f t="shared" si="34"/>
        <v>646015.17537100927</v>
      </c>
      <c r="BH27" s="173">
        <f t="shared" si="35"/>
        <v>0</v>
      </c>
      <c r="BI27" s="173">
        <f t="shared" si="36"/>
        <v>657862.89467577683</v>
      </c>
      <c r="BJ27" s="173">
        <f t="shared" si="37"/>
        <v>0</v>
      </c>
      <c r="BK27" s="173">
        <f t="shared" si="38"/>
        <v>671185.35141095764</v>
      </c>
      <c r="BM27" s="87" t="s">
        <v>49</v>
      </c>
      <c r="BN27" s="87" t="s">
        <v>50</v>
      </c>
      <c r="BO27" s="173">
        <f t="shared" si="39"/>
        <v>0</v>
      </c>
      <c r="BP27" s="173">
        <f t="shared" si="40"/>
        <v>606879.84933551261</v>
      </c>
      <c r="BQ27" s="173">
        <f t="shared" si="41"/>
        <v>0</v>
      </c>
      <c r="BR27" s="173">
        <f t="shared" si="42"/>
        <v>640139.10105376726</v>
      </c>
      <c r="BS27" s="173">
        <f t="shared" si="43"/>
        <v>0</v>
      </c>
      <c r="BT27" s="173">
        <f t="shared" si="44"/>
        <v>649165.17563383351</v>
      </c>
      <c r="BU27" s="173">
        <f t="shared" si="45"/>
        <v>0</v>
      </c>
      <c r="BV27" s="173">
        <f t="shared" si="46"/>
        <v>660368.57576764864</v>
      </c>
    </row>
    <row r="28" spans="1:74">
      <c r="A28" s="87" t="s">
        <v>419</v>
      </c>
      <c r="B28" s="87" t="s">
        <v>420</v>
      </c>
      <c r="C28" s="87" t="s">
        <v>998</v>
      </c>
      <c r="E28" s="87" t="s">
        <v>367</v>
      </c>
      <c r="F28" s="87" t="s">
        <v>368</v>
      </c>
      <c r="G28" s="173">
        <f>IFERROR(IF(VLOOKUP(E28,A:C,3,FALSE)="YES",VLOOKUP(E28,'School Year 2021-22 SPED coop'!A:P,16,FALSE),0),0)</f>
        <v>0</v>
      </c>
      <c r="H28" s="173">
        <f t="shared" si="47"/>
        <v>252707.68</v>
      </c>
      <c r="J28" s="87" t="s">
        <v>367</v>
      </c>
      <c r="K28" s="87" t="s">
        <v>368</v>
      </c>
      <c r="L28" s="173">
        <f t="shared" si="6"/>
        <v>0</v>
      </c>
      <c r="M28" s="173">
        <f t="shared" si="7"/>
        <v>257049.6078094382</v>
      </c>
      <c r="N28" s="173">
        <f t="shared" si="8"/>
        <v>0</v>
      </c>
      <c r="O28" s="173">
        <f t="shared" si="9"/>
        <v>265649.20247987786</v>
      </c>
      <c r="P28" s="173">
        <f t="shared" si="10"/>
        <v>0</v>
      </c>
      <c r="Q28" s="173">
        <f t="shared" si="11"/>
        <v>270587.92698411917</v>
      </c>
      <c r="R28" s="173">
        <f t="shared" si="12"/>
        <v>0</v>
      </c>
      <c r="S28" s="173">
        <f t="shared" si="13"/>
        <v>275604.79259816825</v>
      </c>
      <c r="U28" s="87" t="s">
        <v>367</v>
      </c>
      <c r="V28" s="87" t="s">
        <v>368</v>
      </c>
      <c r="W28" s="173">
        <f t="shared" si="14"/>
        <v>0</v>
      </c>
      <c r="X28" s="173">
        <f t="shared" si="48"/>
        <v>257049.6078094382</v>
      </c>
      <c r="Y28" s="173">
        <f t="shared" si="49"/>
        <v>0</v>
      </c>
      <c r="Z28" s="173">
        <f t="shared" si="50"/>
        <v>266952.77015722072</v>
      </c>
      <c r="AA28" s="173">
        <f t="shared" si="51"/>
        <v>0</v>
      </c>
      <c r="AB28" s="173">
        <f t="shared" si="52"/>
        <v>272101.60592784698</v>
      </c>
      <c r="AC28" s="173">
        <f t="shared" si="53"/>
        <v>0</v>
      </c>
      <c r="AD28" s="173">
        <f t="shared" si="54"/>
        <v>277631.95812799304</v>
      </c>
      <c r="AF28" s="87" t="s">
        <v>367</v>
      </c>
      <c r="AG28" s="87" t="s">
        <v>368</v>
      </c>
      <c r="AH28" s="173">
        <f t="shared" si="15"/>
        <v>0</v>
      </c>
      <c r="AI28" s="173">
        <f t="shared" si="16"/>
        <v>257049.6078094382</v>
      </c>
      <c r="AJ28" s="173">
        <f t="shared" si="17"/>
        <v>0</v>
      </c>
      <c r="AK28" s="173">
        <f t="shared" si="18"/>
        <v>263574.98408192</v>
      </c>
      <c r="AL28" s="173">
        <f t="shared" si="19"/>
        <v>0</v>
      </c>
      <c r="AM28" s="173">
        <f t="shared" si="20"/>
        <v>268475.27483967604</v>
      </c>
      <c r="AN28" s="173">
        <f t="shared" si="21"/>
        <v>0</v>
      </c>
      <c r="AO28" s="173">
        <f t="shared" si="22"/>
        <v>273453.21188800264</v>
      </c>
      <c r="AQ28" s="87" t="s">
        <v>367</v>
      </c>
      <c r="AR28" s="87" t="s">
        <v>368</v>
      </c>
      <c r="AS28" s="173">
        <f t="shared" si="23"/>
        <v>0</v>
      </c>
      <c r="AT28" s="173">
        <f t="shared" si="24"/>
        <v>257049.6078094382</v>
      </c>
      <c r="AU28" s="173">
        <f t="shared" si="25"/>
        <v>0</v>
      </c>
      <c r="AV28" s="173">
        <f t="shared" si="26"/>
        <v>272245.34914965299</v>
      </c>
      <c r="AW28" s="173">
        <f t="shared" si="27"/>
        <v>0</v>
      </c>
      <c r="AX28" s="173">
        <f t="shared" si="28"/>
        <v>277060.03574004077</v>
      </c>
      <c r="AY28" s="173">
        <f t="shared" si="29"/>
        <v>0</v>
      </c>
      <c r="AZ28" s="173">
        <f t="shared" si="30"/>
        <v>282216.50303883455</v>
      </c>
      <c r="BB28" s="87" t="s">
        <v>367</v>
      </c>
      <c r="BC28" s="87" t="s">
        <v>368</v>
      </c>
      <c r="BD28" s="173">
        <f t="shared" si="31"/>
        <v>0</v>
      </c>
      <c r="BE28" s="173">
        <f t="shared" si="32"/>
        <v>257049.6078094382</v>
      </c>
      <c r="BF28" s="173">
        <f t="shared" si="33"/>
        <v>0</v>
      </c>
      <c r="BG28" s="173">
        <f t="shared" si="34"/>
        <v>273581.28543533629</v>
      </c>
      <c r="BH28" s="173">
        <f t="shared" si="35"/>
        <v>0</v>
      </c>
      <c r="BI28" s="173">
        <f t="shared" si="36"/>
        <v>278609.91126413888</v>
      </c>
      <c r="BJ28" s="173">
        <f t="shared" si="37"/>
        <v>0</v>
      </c>
      <c r="BK28" s="173">
        <f t="shared" si="38"/>
        <v>284292.29520341317</v>
      </c>
      <c r="BM28" s="87" t="s">
        <v>367</v>
      </c>
      <c r="BN28" s="87" t="s">
        <v>368</v>
      </c>
      <c r="BO28" s="173">
        <f t="shared" si="39"/>
        <v>0</v>
      </c>
      <c r="BP28" s="173">
        <f t="shared" si="40"/>
        <v>257049.6078094382</v>
      </c>
      <c r="BQ28" s="173">
        <f t="shared" si="41"/>
        <v>0</v>
      </c>
      <c r="BR28" s="173">
        <f t="shared" si="42"/>
        <v>270118.68390461046</v>
      </c>
      <c r="BS28" s="173">
        <f t="shared" si="43"/>
        <v>0</v>
      </c>
      <c r="BT28" s="173">
        <f t="shared" si="44"/>
        <v>274895.98759676417</v>
      </c>
      <c r="BU28" s="173">
        <f t="shared" si="45"/>
        <v>0</v>
      </c>
      <c r="BV28" s="173">
        <f t="shared" si="46"/>
        <v>280012.41781154927</v>
      </c>
    </row>
    <row r="29" spans="1:74">
      <c r="A29" s="87" t="s">
        <v>421</v>
      </c>
      <c r="B29" s="87" t="s">
        <v>422</v>
      </c>
      <c r="C29" s="87" t="s">
        <v>998</v>
      </c>
      <c r="E29" s="87" t="s">
        <v>1226</v>
      </c>
      <c r="F29" s="87" t="s">
        <v>1227</v>
      </c>
      <c r="G29" s="173">
        <f>IFERROR(IF(VLOOKUP(E29,A:C,3,FALSE)="YES",VLOOKUP(E29,'School Year 2021-22 SPED coop'!A:P,16,FALSE),0),0)</f>
        <v>0</v>
      </c>
      <c r="H29" s="173">
        <f t="shared" si="47"/>
        <v>129939.47000000002</v>
      </c>
      <c r="J29" s="87" t="s">
        <v>1226</v>
      </c>
      <c r="K29" s="87" t="s">
        <v>1227</v>
      </c>
      <c r="L29" s="173">
        <f t="shared" si="6"/>
        <v>0</v>
      </c>
      <c r="M29" s="173">
        <f t="shared" si="7"/>
        <v>131410.50776088261</v>
      </c>
      <c r="N29" s="173">
        <f t="shared" si="8"/>
        <v>0</v>
      </c>
      <c r="O29" s="173">
        <f t="shared" si="9"/>
        <v>135785.12159716076</v>
      </c>
      <c r="P29" s="173">
        <f t="shared" si="10"/>
        <v>0</v>
      </c>
      <c r="Q29" s="173">
        <f t="shared" si="11"/>
        <v>138323.55142505307</v>
      </c>
      <c r="R29" s="173">
        <f t="shared" si="12"/>
        <v>0</v>
      </c>
      <c r="S29" s="173">
        <f t="shared" si="13"/>
        <v>140914.4114919077</v>
      </c>
      <c r="U29" s="87" t="s">
        <v>1226</v>
      </c>
      <c r="V29" s="87" t="s">
        <v>1227</v>
      </c>
      <c r="W29" s="173">
        <f t="shared" si="14"/>
        <v>0</v>
      </c>
      <c r="X29" s="173">
        <f t="shared" si="48"/>
        <v>131410.50776088261</v>
      </c>
      <c r="Y29" s="173">
        <f t="shared" si="49"/>
        <v>0</v>
      </c>
      <c r="Z29" s="173">
        <f t="shared" si="50"/>
        <v>136450.86078219587</v>
      </c>
      <c r="AA29" s="173">
        <f t="shared" si="51"/>
        <v>0</v>
      </c>
      <c r="AB29" s="173">
        <f t="shared" si="52"/>
        <v>139105.35263308915</v>
      </c>
      <c r="AC29" s="173">
        <f t="shared" si="53"/>
        <v>0</v>
      </c>
      <c r="AD29" s="173">
        <f t="shared" si="54"/>
        <v>141955.23383432988</v>
      </c>
      <c r="AF29" s="87" t="s">
        <v>1226</v>
      </c>
      <c r="AG29" s="87" t="s">
        <v>1227</v>
      </c>
      <c r="AH29" s="173">
        <f t="shared" si="15"/>
        <v>0</v>
      </c>
      <c r="AI29" s="173">
        <f t="shared" si="16"/>
        <v>131410.50776088261</v>
      </c>
      <c r="AJ29" s="173">
        <f t="shared" si="17"/>
        <v>0</v>
      </c>
      <c r="AK29" s="173">
        <f t="shared" si="18"/>
        <v>135785.12159716076</v>
      </c>
      <c r="AL29" s="173">
        <f t="shared" si="19"/>
        <v>0</v>
      </c>
      <c r="AM29" s="173">
        <f t="shared" si="20"/>
        <v>138323.55142505307</v>
      </c>
      <c r="AN29" s="173">
        <f t="shared" si="21"/>
        <v>0</v>
      </c>
      <c r="AO29" s="173">
        <f t="shared" si="22"/>
        <v>140914.4114919077</v>
      </c>
      <c r="AQ29" s="87" t="s">
        <v>1226</v>
      </c>
      <c r="AR29" s="87" t="s">
        <v>1227</v>
      </c>
      <c r="AS29" s="173">
        <f t="shared" si="23"/>
        <v>0</v>
      </c>
      <c r="AT29" s="173">
        <f t="shared" si="24"/>
        <v>131410.50776088261</v>
      </c>
      <c r="AU29" s="173">
        <f t="shared" si="25"/>
        <v>0</v>
      </c>
      <c r="AV29" s="173">
        <f t="shared" si="26"/>
        <v>139176.8623433582</v>
      </c>
      <c r="AW29" s="173">
        <f t="shared" si="27"/>
        <v>0</v>
      </c>
      <c r="AX29" s="173">
        <f t="shared" si="28"/>
        <v>141663.08618380898</v>
      </c>
      <c r="AY29" s="173">
        <f t="shared" si="29"/>
        <v>0</v>
      </c>
      <c r="AZ29" s="173">
        <f t="shared" si="30"/>
        <v>144325.86319219007</v>
      </c>
      <c r="BB29" s="87" t="s">
        <v>1226</v>
      </c>
      <c r="BC29" s="87" t="s">
        <v>1227</v>
      </c>
      <c r="BD29" s="173">
        <f t="shared" si="31"/>
        <v>0</v>
      </c>
      <c r="BE29" s="173">
        <f t="shared" si="32"/>
        <v>131410.50776088261</v>
      </c>
      <c r="BF29" s="173">
        <f t="shared" si="33"/>
        <v>0</v>
      </c>
      <c r="BG29" s="173">
        <f t="shared" si="34"/>
        <v>139859.23085194262</v>
      </c>
      <c r="BH29" s="173">
        <f t="shared" si="35"/>
        <v>0</v>
      </c>
      <c r="BI29" s="173">
        <f t="shared" si="36"/>
        <v>142463.76235768985</v>
      </c>
      <c r="BJ29" s="173">
        <f t="shared" si="37"/>
        <v>0</v>
      </c>
      <c r="BK29" s="173">
        <f t="shared" si="38"/>
        <v>145391.88320681735</v>
      </c>
      <c r="BM29" s="87" t="s">
        <v>1226</v>
      </c>
      <c r="BN29" s="87" t="s">
        <v>1227</v>
      </c>
      <c r="BO29" s="173">
        <f t="shared" si="39"/>
        <v>0</v>
      </c>
      <c r="BP29" s="173">
        <f t="shared" si="40"/>
        <v>131410.50776088261</v>
      </c>
      <c r="BQ29" s="173">
        <f t="shared" si="41"/>
        <v>0</v>
      </c>
      <c r="BR29" s="173">
        <f t="shared" si="42"/>
        <v>139176.8623433582</v>
      </c>
      <c r="BS29" s="173">
        <f t="shared" si="43"/>
        <v>0</v>
      </c>
      <c r="BT29" s="173">
        <f t="shared" si="44"/>
        <v>141663.08618380898</v>
      </c>
      <c r="BU29" s="173">
        <f t="shared" si="45"/>
        <v>0</v>
      </c>
      <c r="BV29" s="173">
        <f t="shared" si="46"/>
        <v>144325.86319219007</v>
      </c>
    </row>
    <row r="30" spans="1:74">
      <c r="A30" s="87" t="s">
        <v>523</v>
      </c>
      <c r="B30" s="87" t="s">
        <v>524</v>
      </c>
      <c r="C30" s="87" t="s">
        <v>998</v>
      </c>
      <c r="E30" s="87" t="s">
        <v>39</v>
      </c>
      <c r="F30" s="87" t="s">
        <v>40</v>
      </c>
      <c r="G30" s="173">
        <f>IFERROR(IF(VLOOKUP(E30,A:C,3,FALSE)="YES",VLOOKUP(E30,'School Year 2021-22 SPED coop'!A:P,16,FALSE),0),0)</f>
        <v>0</v>
      </c>
      <c r="H30" s="173">
        <f t="shared" si="47"/>
        <v>972595.51</v>
      </c>
      <c r="J30" s="87" t="s">
        <v>39</v>
      </c>
      <c r="K30" s="87" t="s">
        <v>40</v>
      </c>
      <c r="L30" s="173">
        <f t="shared" si="6"/>
        <v>0</v>
      </c>
      <c r="M30" s="173">
        <f t="shared" si="7"/>
        <v>983613.64915245574</v>
      </c>
      <c r="N30" s="173">
        <f t="shared" si="8"/>
        <v>0</v>
      </c>
      <c r="O30" s="173">
        <f t="shared" si="9"/>
        <v>1016948.4496090055</v>
      </c>
      <c r="P30" s="173">
        <f t="shared" si="10"/>
        <v>0</v>
      </c>
      <c r="Q30" s="173">
        <f t="shared" si="11"/>
        <v>1035786.4038078269</v>
      </c>
      <c r="R30" s="173">
        <f t="shared" si="12"/>
        <v>0</v>
      </c>
      <c r="S30" s="173">
        <f t="shared" si="13"/>
        <v>1054862.3724616577</v>
      </c>
      <c r="U30" s="87" t="s">
        <v>39</v>
      </c>
      <c r="V30" s="87" t="s">
        <v>40</v>
      </c>
      <c r="W30" s="173">
        <f t="shared" si="14"/>
        <v>0</v>
      </c>
      <c r="X30" s="173">
        <f t="shared" si="48"/>
        <v>983613.64915245574</v>
      </c>
      <c r="Y30" s="173">
        <f t="shared" si="49"/>
        <v>0</v>
      </c>
      <c r="Z30" s="173">
        <f t="shared" si="50"/>
        <v>1021938.0412148345</v>
      </c>
      <c r="AA30" s="173">
        <f t="shared" si="51"/>
        <v>0</v>
      </c>
      <c r="AB30" s="173">
        <f t="shared" si="52"/>
        <v>1041642.4697641088</v>
      </c>
      <c r="AC30" s="173">
        <f t="shared" si="53"/>
        <v>0</v>
      </c>
      <c r="AD30" s="173">
        <f t="shared" si="54"/>
        <v>1062655.9978730197</v>
      </c>
      <c r="AF30" s="87" t="s">
        <v>39</v>
      </c>
      <c r="AG30" s="87" t="s">
        <v>40</v>
      </c>
      <c r="AH30" s="173">
        <f t="shared" si="15"/>
        <v>0</v>
      </c>
      <c r="AI30" s="173">
        <f t="shared" si="16"/>
        <v>983613.64915245574</v>
      </c>
      <c r="AJ30" s="173">
        <f t="shared" si="17"/>
        <v>0</v>
      </c>
      <c r="AK30" s="173">
        <f t="shared" si="18"/>
        <v>1021152.3492677185</v>
      </c>
      <c r="AL30" s="173">
        <f t="shared" si="19"/>
        <v>0</v>
      </c>
      <c r="AM30" s="173">
        <f t="shared" si="20"/>
        <v>1042609.1657573023</v>
      </c>
      <c r="AN30" s="173">
        <f t="shared" si="21"/>
        <v>0</v>
      </c>
      <c r="AO30" s="173">
        <f t="shared" si="22"/>
        <v>1062983.5242987648</v>
      </c>
      <c r="AQ30" s="87" t="s">
        <v>39</v>
      </c>
      <c r="AR30" s="87" t="s">
        <v>40</v>
      </c>
      <c r="AS30" s="173">
        <f t="shared" si="23"/>
        <v>0</v>
      </c>
      <c r="AT30" s="173">
        <f t="shared" si="24"/>
        <v>983613.64915245574</v>
      </c>
      <c r="AU30" s="173">
        <f t="shared" si="25"/>
        <v>0</v>
      </c>
      <c r="AV30" s="173">
        <f t="shared" si="26"/>
        <v>1041979.2100745796</v>
      </c>
      <c r="AW30" s="173">
        <f t="shared" si="27"/>
        <v>0</v>
      </c>
      <c r="AX30" s="173">
        <f t="shared" si="28"/>
        <v>1060285.0571064656</v>
      </c>
      <c r="AY30" s="173">
        <f t="shared" si="29"/>
        <v>0</v>
      </c>
      <c r="AZ30" s="173">
        <f t="shared" si="30"/>
        <v>1079890.5470555504</v>
      </c>
      <c r="BB30" s="87" t="s">
        <v>39</v>
      </c>
      <c r="BC30" s="87" t="s">
        <v>40</v>
      </c>
      <c r="BD30" s="173">
        <f t="shared" si="31"/>
        <v>0</v>
      </c>
      <c r="BE30" s="173">
        <f t="shared" si="32"/>
        <v>983613.64915245574</v>
      </c>
      <c r="BF30" s="173">
        <f t="shared" si="33"/>
        <v>0</v>
      </c>
      <c r="BG30" s="173">
        <f t="shared" si="34"/>
        <v>1047091.6154022344</v>
      </c>
      <c r="BH30" s="173">
        <f t="shared" si="35"/>
        <v>0</v>
      </c>
      <c r="BI30" s="173">
        <f t="shared" si="36"/>
        <v>1066279.6329195213</v>
      </c>
      <c r="BJ30" s="173">
        <f t="shared" si="37"/>
        <v>0</v>
      </c>
      <c r="BK30" s="173">
        <f t="shared" si="38"/>
        <v>1087869.0888434455</v>
      </c>
      <c r="BM30" s="87" t="s">
        <v>39</v>
      </c>
      <c r="BN30" s="87" t="s">
        <v>40</v>
      </c>
      <c r="BO30" s="173">
        <f t="shared" si="39"/>
        <v>0</v>
      </c>
      <c r="BP30" s="173">
        <f t="shared" si="40"/>
        <v>983613.64915245574</v>
      </c>
      <c r="BQ30" s="173">
        <f t="shared" si="41"/>
        <v>0</v>
      </c>
      <c r="BR30" s="173">
        <f t="shared" si="42"/>
        <v>1046289.219449529</v>
      </c>
      <c r="BS30" s="173">
        <f t="shared" si="43"/>
        <v>0</v>
      </c>
      <c r="BT30" s="173">
        <f t="shared" si="44"/>
        <v>1067272.0343728394</v>
      </c>
      <c r="BU30" s="173">
        <f t="shared" si="45"/>
        <v>0</v>
      </c>
      <c r="BV30" s="173">
        <f t="shared" si="46"/>
        <v>1088207.2050123063</v>
      </c>
    </row>
    <row r="31" spans="1:74">
      <c r="A31" s="87" t="s">
        <v>525</v>
      </c>
      <c r="B31" s="87" t="s">
        <v>526</v>
      </c>
      <c r="C31" s="87" t="s">
        <v>998</v>
      </c>
      <c r="E31" s="87" t="s">
        <v>37</v>
      </c>
      <c r="F31" s="87" t="s">
        <v>38</v>
      </c>
      <c r="G31" s="173">
        <f>IFERROR(IF(VLOOKUP(E31,A:C,3,FALSE)="YES",VLOOKUP(E31,'School Year 2021-22 SPED coop'!A:P,16,FALSE),0),0)</f>
        <v>0</v>
      </c>
      <c r="H31" s="173">
        <f t="shared" si="47"/>
        <v>1826175.5500000003</v>
      </c>
      <c r="J31" s="87" t="s">
        <v>37</v>
      </c>
      <c r="K31" s="87" t="s">
        <v>38</v>
      </c>
      <c r="L31" s="173">
        <f t="shared" si="6"/>
        <v>0</v>
      </c>
      <c r="M31" s="173">
        <f t="shared" si="7"/>
        <v>1848344.4327993318</v>
      </c>
      <c r="N31" s="173">
        <f t="shared" si="8"/>
        <v>0</v>
      </c>
      <c r="O31" s="173">
        <f t="shared" si="9"/>
        <v>1910721.4003995073</v>
      </c>
      <c r="P31" s="173">
        <f t="shared" si="10"/>
        <v>0</v>
      </c>
      <c r="Q31" s="173">
        <f t="shared" si="11"/>
        <v>1946166.0321634801</v>
      </c>
      <c r="R31" s="173">
        <f t="shared" si="12"/>
        <v>0</v>
      </c>
      <c r="S31" s="173">
        <f t="shared" si="13"/>
        <v>1982101.081500933</v>
      </c>
      <c r="U31" s="87" t="s">
        <v>37</v>
      </c>
      <c r="V31" s="87" t="s">
        <v>38</v>
      </c>
      <c r="W31" s="173">
        <f t="shared" si="14"/>
        <v>0</v>
      </c>
      <c r="X31" s="173">
        <f t="shared" si="48"/>
        <v>1848344.4327993318</v>
      </c>
      <c r="Y31" s="173">
        <f t="shared" si="49"/>
        <v>0</v>
      </c>
      <c r="Z31" s="173">
        <f t="shared" si="50"/>
        <v>1920101.7415224793</v>
      </c>
      <c r="AA31" s="173">
        <f t="shared" si="51"/>
        <v>0</v>
      </c>
      <c r="AB31" s="173">
        <f t="shared" si="52"/>
        <v>1957173.5648151869</v>
      </c>
      <c r="AC31" s="173">
        <f t="shared" si="53"/>
        <v>0</v>
      </c>
      <c r="AD31" s="173">
        <f t="shared" si="54"/>
        <v>1996760.6647715867</v>
      </c>
      <c r="AF31" s="87" t="s">
        <v>37</v>
      </c>
      <c r="AG31" s="87" t="s">
        <v>38</v>
      </c>
      <c r="AH31" s="173">
        <f t="shared" si="15"/>
        <v>0</v>
      </c>
      <c r="AI31" s="173">
        <f t="shared" si="16"/>
        <v>1848344.4327993318</v>
      </c>
      <c r="AJ31" s="173">
        <f t="shared" si="17"/>
        <v>0</v>
      </c>
      <c r="AK31" s="173">
        <f t="shared" si="18"/>
        <v>1905593.6566605917</v>
      </c>
      <c r="AL31" s="173">
        <f t="shared" si="19"/>
        <v>0</v>
      </c>
      <c r="AM31" s="173">
        <f t="shared" si="20"/>
        <v>1946223.7723750884</v>
      </c>
      <c r="AN31" s="173">
        <f t="shared" si="21"/>
        <v>0</v>
      </c>
      <c r="AO31" s="173">
        <f t="shared" si="22"/>
        <v>1984033.1473462582</v>
      </c>
      <c r="AQ31" s="87" t="s">
        <v>37</v>
      </c>
      <c r="AR31" s="87" t="s">
        <v>38</v>
      </c>
      <c r="AS31" s="173">
        <f t="shared" si="23"/>
        <v>0</v>
      </c>
      <c r="AT31" s="173">
        <f t="shared" si="24"/>
        <v>1848344.4327993318</v>
      </c>
      <c r="AU31" s="173">
        <f t="shared" si="25"/>
        <v>0</v>
      </c>
      <c r="AV31" s="173">
        <f t="shared" si="26"/>
        <v>1957905.9663868356</v>
      </c>
      <c r="AW31" s="173">
        <f t="shared" si="27"/>
        <v>0</v>
      </c>
      <c r="AX31" s="173">
        <f t="shared" si="28"/>
        <v>1992391.1611059173</v>
      </c>
      <c r="AY31" s="173">
        <f t="shared" si="29"/>
        <v>0</v>
      </c>
      <c r="AZ31" s="173">
        <f t="shared" si="30"/>
        <v>2029324.6159047475</v>
      </c>
      <c r="BB31" s="87" t="s">
        <v>37</v>
      </c>
      <c r="BC31" s="87" t="s">
        <v>38</v>
      </c>
      <c r="BD31" s="173">
        <f t="shared" si="31"/>
        <v>0</v>
      </c>
      <c r="BE31" s="173">
        <f t="shared" si="32"/>
        <v>1848344.4327993318</v>
      </c>
      <c r="BF31" s="173">
        <f t="shared" si="33"/>
        <v>0</v>
      </c>
      <c r="BG31" s="173">
        <f t="shared" si="34"/>
        <v>1967517.9584918539</v>
      </c>
      <c r="BH31" s="173">
        <f t="shared" si="35"/>
        <v>0</v>
      </c>
      <c r="BI31" s="173">
        <f t="shared" si="36"/>
        <v>2003660.1475757814</v>
      </c>
      <c r="BJ31" s="173">
        <f t="shared" si="37"/>
        <v>0</v>
      </c>
      <c r="BK31" s="173">
        <f t="shared" si="38"/>
        <v>2044333.4736952092</v>
      </c>
      <c r="BM31" s="87" t="s">
        <v>37</v>
      </c>
      <c r="BN31" s="87" t="s">
        <v>38</v>
      </c>
      <c r="BO31" s="173">
        <f t="shared" si="39"/>
        <v>0</v>
      </c>
      <c r="BP31" s="173">
        <f t="shared" si="40"/>
        <v>1848344.4327993318</v>
      </c>
      <c r="BQ31" s="173">
        <f t="shared" si="41"/>
        <v>0</v>
      </c>
      <c r="BR31" s="173">
        <f t="shared" si="42"/>
        <v>1952650.3535793629</v>
      </c>
      <c r="BS31" s="173">
        <f t="shared" si="43"/>
        <v>0</v>
      </c>
      <c r="BT31" s="173">
        <f t="shared" si="44"/>
        <v>1992452.2634862007</v>
      </c>
      <c r="BU31" s="173">
        <f t="shared" si="45"/>
        <v>0</v>
      </c>
      <c r="BV31" s="173">
        <f t="shared" si="46"/>
        <v>2031304.7388057727</v>
      </c>
    </row>
    <row r="32" spans="1:74">
      <c r="E32" s="87" t="s">
        <v>81</v>
      </c>
      <c r="F32" s="87" t="s">
        <v>82</v>
      </c>
      <c r="G32" s="173">
        <f>IFERROR(IF(VLOOKUP(E32,A:C,3,FALSE)="YES",VLOOKUP(E32,'School Year 2021-22 SPED coop'!A:P,16,FALSE),0),0)</f>
        <v>0</v>
      </c>
      <c r="H32" s="173">
        <f t="shared" si="47"/>
        <v>1784387.9499999997</v>
      </c>
      <c r="J32" s="87" t="s">
        <v>81</v>
      </c>
      <c r="K32" s="87" t="s">
        <v>82</v>
      </c>
      <c r="L32" s="173">
        <f t="shared" si="6"/>
        <v>0</v>
      </c>
      <c r="M32" s="173">
        <f t="shared" si="7"/>
        <v>1819293.8537274187</v>
      </c>
      <c r="N32" s="173">
        <f t="shared" si="8"/>
        <v>0</v>
      </c>
      <c r="O32" s="173">
        <f t="shared" si="9"/>
        <v>1880912.4870593939</v>
      </c>
      <c r="P32" s="173">
        <f t="shared" si="10"/>
        <v>0</v>
      </c>
      <c r="Q32" s="173">
        <f t="shared" si="11"/>
        <v>1915751.5149173955</v>
      </c>
      <c r="R32" s="173">
        <f t="shared" si="12"/>
        <v>0</v>
      </c>
      <c r="S32" s="173">
        <f t="shared" si="13"/>
        <v>1951028.241281854</v>
      </c>
      <c r="U32" s="87" t="s">
        <v>81</v>
      </c>
      <c r="V32" s="87" t="s">
        <v>82</v>
      </c>
      <c r="W32" s="173">
        <f t="shared" si="14"/>
        <v>0</v>
      </c>
      <c r="X32" s="173">
        <f t="shared" si="48"/>
        <v>1819293.8537274187</v>
      </c>
      <c r="Y32" s="173">
        <f t="shared" si="49"/>
        <v>0</v>
      </c>
      <c r="Z32" s="173">
        <f t="shared" si="50"/>
        <v>1890136.6787558943</v>
      </c>
      <c r="AA32" s="173">
        <f t="shared" si="51"/>
        <v>0</v>
      </c>
      <c r="AB32" s="173">
        <f t="shared" si="52"/>
        <v>1926577.0184075795</v>
      </c>
      <c r="AC32" s="173">
        <f t="shared" si="53"/>
        <v>0</v>
      </c>
      <c r="AD32" s="173">
        <f t="shared" si="54"/>
        <v>1965444.1418137948</v>
      </c>
      <c r="AF32" s="87" t="s">
        <v>81</v>
      </c>
      <c r="AG32" s="87" t="s">
        <v>82</v>
      </c>
      <c r="AH32" s="173">
        <f t="shared" si="15"/>
        <v>0</v>
      </c>
      <c r="AI32" s="173">
        <f t="shared" si="16"/>
        <v>1819293.8537274187</v>
      </c>
      <c r="AJ32" s="173">
        <f t="shared" si="17"/>
        <v>0</v>
      </c>
      <c r="AK32" s="173">
        <f t="shared" si="18"/>
        <v>1870760.2113050071</v>
      </c>
      <c r="AL32" s="173">
        <f t="shared" si="19"/>
        <v>0</v>
      </c>
      <c r="AM32" s="173">
        <f t="shared" si="20"/>
        <v>1913274.7049082776</v>
      </c>
      <c r="AN32" s="173">
        <f t="shared" si="21"/>
        <v>0</v>
      </c>
      <c r="AO32" s="173">
        <f t="shared" si="22"/>
        <v>1959506.1228013895</v>
      </c>
      <c r="AQ32" s="87" t="s">
        <v>81</v>
      </c>
      <c r="AR32" s="87" t="s">
        <v>82</v>
      </c>
      <c r="AS32" s="173">
        <f t="shared" si="23"/>
        <v>0</v>
      </c>
      <c r="AT32" s="173">
        <f t="shared" si="24"/>
        <v>1819293.8537274187</v>
      </c>
      <c r="AU32" s="173">
        <f t="shared" si="25"/>
        <v>0</v>
      </c>
      <c r="AV32" s="173">
        <f t="shared" si="26"/>
        <v>1927213.5377313872</v>
      </c>
      <c r="AW32" s="173">
        <f t="shared" si="27"/>
        <v>0</v>
      </c>
      <c r="AX32" s="173">
        <f t="shared" si="28"/>
        <v>1961066.3189425641</v>
      </c>
      <c r="AY32" s="173">
        <f t="shared" si="29"/>
        <v>0</v>
      </c>
      <c r="AZ32" s="173">
        <f t="shared" si="30"/>
        <v>1997322.4972701331</v>
      </c>
      <c r="BB32" s="87" t="s">
        <v>81</v>
      </c>
      <c r="BC32" s="87" t="s">
        <v>82</v>
      </c>
      <c r="BD32" s="173">
        <f t="shared" si="31"/>
        <v>0</v>
      </c>
      <c r="BE32" s="173">
        <f t="shared" si="32"/>
        <v>1819293.8537274187</v>
      </c>
      <c r="BF32" s="173">
        <f t="shared" si="33"/>
        <v>0</v>
      </c>
      <c r="BG32" s="173">
        <f t="shared" si="34"/>
        <v>1936664.7958380207</v>
      </c>
      <c r="BH32" s="173">
        <f t="shared" si="35"/>
        <v>0</v>
      </c>
      <c r="BI32" s="173">
        <f t="shared" si="36"/>
        <v>1972147.8856573312</v>
      </c>
      <c r="BJ32" s="173">
        <f t="shared" si="37"/>
        <v>0</v>
      </c>
      <c r="BK32" s="173">
        <f t="shared" si="38"/>
        <v>2012080.4626812758</v>
      </c>
      <c r="BM32" s="87" t="s">
        <v>81</v>
      </c>
      <c r="BN32" s="87" t="s">
        <v>82</v>
      </c>
      <c r="BO32" s="173">
        <f t="shared" si="39"/>
        <v>0</v>
      </c>
      <c r="BP32" s="173">
        <f t="shared" si="40"/>
        <v>1819293.8537274187</v>
      </c>
      <c r="BQ32" s="173">
        <f t="shared" si="41"/>
        <v>0</v>
      </c>
      <c r="BR32" s="173">
        <f t="shared" si="42"/>
        <v>1916808.0456939111</v>
      </c>
      <c r="BS32" s="173">
        <f t="shared" si="43"/>
        <v>0</v>
      </c>
      <c r="BT32" s="173">
        <f t="shared" si="44"/>
        <v>1958531.3833149844</v>
      </c>
      <c r="BU32" s="173">
        <f t="shared" si="45"/>
        <v>0</v>
      </c>
      <c r="BV32" s="173">
        <f t="shared" si="46"/>
        <v>2006004.0703913313</v>
      </c>
    </row>
    <row r="33" spans="5:74">
      <c r="E33" s="87" t="s">
        <v>1228</v>
      </c>
      <c r="F33" s="87" t="s">
        <v>1229</v>
      </c>
      <c r="G33" s="173">
        <f>IFERROR(IF(VLOOKUP(E33,A:C,3,FALSE)="YES",VLOOKUP(E33,'School Year 2021-22 SPED coop'!A:P,16,FALSE),0),0)</f>
        <v>0</v>
      </c>
      <c r="H33" s="173">
        <f t="shared" si="47"/>
        <v>317707.49</v>
      </c>
      <c r="J33" s="87" t="s">
        <v>1228</v>
      </c>
      <c r="K33" s="87" t="s">
        <v>1229</v>
      </c>
      <c r="L33" s="173">
        <f t="shared" si="6"/>
        <v>0</v>
      </c>
      <c r="M33" s="173">
        <f t="shared" si="7"/>
        <v>321473.46905599075</v>
      </c>
      <c r="N33" s="173">
        <f t="shared" si="8"/>
        <v>0</v>
      </c>
      <c r="O33" s="173">
        <f t="shared" si="9"/>
        <v>332076.35131217842</v>
      </c>
      <c r="P33" s="173">
        <f t="shared" si="10"/>
        <v>0</v>
      </c>
      <c r="Q33" s="173">
        <f t="shared" si="11"/>
        <v>338272.3182561447</v>
      </c>
      <c r="R33" s="173">
        <f t="shared" si="12"/>
        <v>0</v>
      </c>
      <c r="S33" s="173">
        <f t="shared" si="13"/>
        <v>344586.30949903576</v>
      </c>
      <c r="U33" s="87" t="s">
        <v>1228</v>
      </c>
      <c r="V33" s="87" t="s">
        <v>1229</v>
      </c>
      <c r="W33" s="173">
        <f t="shared" si="14"/>
        <v>0</v>
      </c>
      <c r="X33" s="173">
        <f t="shared" si="48"/>
        <v>321473.46905599075</v>
      </c>
      <c r="Y33" s="173">
        <f t="shared" si="49"/>
        <v>0</v>
      </c>
      <c r="Z33" s="173">
        <f t="shared" si="50"/>
        <v>333707.15428259154</v>
      </c>
      <c r="AA33" s="173">
        <f t="shared" si="51"/>
        <v>0</v>
      </c>
      <c r="AB33" s="173">
        <f t="shared" si="52"/>
        <v>340182.04337551782</v>
      </c>
      <c r="AC33" s="173">
        <f t="shared" si="53"/>
        <v>0</v>
      </c>
      <c r="AD33" s="173">
        <f t="shared" si="54"/>
        <v>347134.40022590652</v>
      </c>
      <c r="AF33" s="87" t="s">
        <v>1228</v>
      </c>
      <c r="AG33" s="87" t="s">
        <v>1229</v>
      </c>
      <c r="AH33" s="173">
        <f t="shared" si="15"/>
        <v>0</v>
      </c>
      <c r="AI33" s="173">
        <f t="shared" si="16"/>
        <v>321473.46905599075</v>
      </c>
      <c r="AJ33" s="173">
        <f t="shared" si="17"/>
        <v>0</v>
      </c>
      <c r="AK33" s="173">
        <f t="shared" si="18"/>
        <v>317369.36973010976</v>
      </c>
      <c r="AL33" s="173">
        <f t="shared" si="19"/>
        <v>0</v>
      </c>
      <c r="AM33" s="173">
        <f t="shared" si="20"/>
        <v>323303.20032331598</v>
      </c>
      <c r="AN33" s="173">
        <f t="shared" si="21"/>
        <v>0</v>
      </c>
      <c r="AO33" s="173">
        <f t="shared" si="22"/>
        <v>320795.45877569716</v>
      </c>
      <c r="AQ33" s="87" t="s">
        <v>1228</v>
      </c>
      <c r="AR33" s="87" t="s">
        <v>1229</v>
      </c>
      <c r="AS33" s="173">
        <f t="shared" si="23"/>
        <v>0</v>
      </c>
      <c r="AT33" s="173">
        <f t="shared" si="24"/>
        <v>321473.46905599075</v>
      </c>
      <c r="AU33" s="173">
        <f t="shared" si="25"/>
        <v>0</v>
      </c>
      <c r="AV33" s="173">
        <f t="shared" si="26"/>
        <v>340387.83422585094</v>
      </c>
      <c r="AW33" s="173">
        <f t="shared" si="27"/>
        <v>0</v>
      </c>
      <c r="AX33" s="173">
        <f t="shared" si="28"/>
        <v>346447.67407015496</v>
      </c>
      <c r="AY33" s="173">
        <f t="shared" si="29"/>
        <v>0</v>
      </c>
      <c r="AZ33" s="173">
        <f t="shared" si="30"/>
        <v>352937.69393868512</v>
      </c>
      <c r="BB33" s="87" t="s">
        <v>1228</v>
      </c>
      <c r="BC33" s="87" t="s">
        <v>1229</v>
      </c>
      <c r="BD33" s="173">
        <f t="shared" si="31"/>
        <v>0</v>
      </c>
      <c r="BE33" s="173">
        <f t="shared" si="32"/>
        <v>321473.46905599075</v>
      </c>
      <c r="BF33" s="173">
        <f t="shared" si="33"/>
        <v>0</v>
      </c>
      <c r="BG33" s="173">
        <f t="shared" si="34"/>
        <v>342059.45577894739</v>
      </c>
      <c r="BH33" s="173">
        <f t="shared" si="35"/>
        <v>0</v>
      </c>
      <c r="BI33" s="173">
        <f t="shared" si="36"/>
        <v>348403.55219605012</v>
      </c>
      <c r="BJ33" s="173">
        <f t="shared" si="37"/>
        <v>0</v>
      </c>
      <c r="BK33" s="173">
        <f t="shared" si="38"/>
        <v>355547.54169606412</v>
      </c>
      <c r="BM33" s="87" t="s">
        <v>1228</v>
      </c>
      <c r="BN33" s="87" t="s">
        <v>1229</v>
      </c>
      <c r="BO33" s="173">
        <f t="shared" si="39"/>
        <v>0</v>
      </c>
      <c r="BP33" s="173">
        <f t="shared" si="40"/>
        <v>321473.46905599075</v>
      </c>
      <c r="BQ33" s="173">
        <f t="shared" si="41"/>
        <v>0</v>
      </c>
      <c r="BR33" s="173">
        <f t="shared" si="42"/>
        <v>325306.30110341194</v>
      </c>
      <c r="BS33" s="173">
        <f t="shared" si="43"/>
        <v>0</v>
      </c>
      <c r="BT33" s="173">
        <f t="shared" si="44"/>
        <v>331110.9062402597</v>
      </c>
      <c r="BU33" s="173">
        <f t="shared" si="45"/>
        <v>0</v>
      </c>
      <c r="BV33" s="173">
        <f t="shared" si="46"/>
        <v>328560.8148485134</v>
      </c>
    </row>
    <row r="34" spans="5:74">
      <c r="E34" s="87" t="s">
        <v>255</v>
      </c>
      <c r="F34" s="87" t="s">
        <v>256</v>
      </c>
      <c r="G34" s="173">
        <f>IFERROR(IF(VLOOKUP(E34,A:C,3,FALSE)="YES",VLOOKUP(E34,'School Year 2021-22 SPED coop'!A:P,16,FALSE),0),0)</f>
        <v>59428.509999999995</v>
      </c>
      <c r="H34" s="173">
        <f t="shared" si="47"/>
        <v>0</v>
      </c>
      <c r="J34" s="87" t="s">
        <v>255</v>
      </c>
      <c r="K34" s="87" t="s">
        <v>256</v>
      </c>
      <c r="L34" s="173">
        <f t="shared" si="6"/>
        <v>72461.669974238175</v>
      </c>
      <c r="M34" s="173">
        <f t="shared" si="7"/>
        <v>0</v>
      </c>
      <c r="N34" s="173">
        <f t="shared" si="8"/>
        <v>74901.027295182692</v>
      </c>
      <c r="O34" s="173">
        <f t="shared" si="9"/>
        <v>0</v>
      </c>
      <c r="P34" s="173">
        <f t="shared" si="10"/>
        <v>76289.477211308171</v>
      </c>
      <c r="Q34" s="173">
        <f t="shared" si="11"/>
        <v>0</v>
      </c>
      <c r="R34" s="173">
        <f t="shared" si="12"/>
        <v>77696.325566785643</v>
      </c>
      <c r="S34" s="173">
        <f t="shared" si="13"/>
        <v>0</v>
      </c>
      <c r="U34" s="87" t="s">
        <v>255</v>
      </c>
      <c r="V34" s="87" t="s">
        <v>256</v>
      </c>
      <c r="W34" s="173">
        <f>IFERROR(IF(VLOOKUP(U34,$A:$C,3,FALSE)="YES",VLOOKUP(U34,MaintSY202122CL,9,FALSE),0),0)</f>
        <v>72461.669974238175</v>
      </c>
      <c r="X34" s="173">
        <f t="shared" si="48"/>
        <v>0</v>
      </c>
      <c r="Y34" s="173">
        <f t="shared" si="49"/>
        <v>74901.027295182692</v>
      </c>
      <c r="Z34" s="173">
        <f t="shared" si="50"/>
        <v>0</v>
      </c>
      <c r="AA34" s="173">
        <f t="shared" si="51"/>
        <v>76289.477211308171</v>
      </c>
      <c r="AB34" s="173">
        <f t="shared" si="52"/>
        <v>0</v>
      </c>
      <c r="AC34" s="173">
        <f t="shared" si="53"/>
        <v>77696.325566785643</v>
      </c>
      <c r="AD34" s="173">
        <f t="shared" si="54"/>
        <v>0</v>
      </c>
      <c r="AF34" s="87" t="s">
        <v>255</v>
      </c>
      <c r="AG34" s="87" t="s">
        <v>256</v>
      </c>
      <c r="AH34" s="173">
        <f t="shared" si="15"/>
        <v>72461.669974238175</v>
      </c>
      <c r="AI34" s="173">
        <f t="shared" si="16"/>
        <v>0</v>
      </c>
      <c r="AJ34" s="173">
        <f t="shared" si="17"/>
        <v>73217.8761375506</v>
      </c>
      <c r="AK34" s="173">
        <f t="shared" si="18"/>
        <v>0</v>
      </c>
      <c r="AL34" s="173">
        <f t="shared" si="19"/>
        <v>75870.824767470403</v>
      </c>
      <c r="AM34" s="173">
        <f t="shared" si="20"/>
        <v>0</v>
      </c>
      <c r="AN34" s="173">
        <f t="shared" si="21"/>
        <v>76747.768023091296</v>
      </c>
      <c r="AO34" s="173">
        <f t="shared" si="22"/>
        <v>0</v>
      </c>
      <c r="AQ34" s="87" t="s">
        <v>255</v>
      </c>
      <c r="AR34" s="87" t="s">
        <v>256</v>
      </c>
      <c r="AS34" s="173">
        <f t="shared" si="23"/>
        <v>72461.669974238175</v>
      </c>
      <c r="AT34" s="173">
        <f t="shared" si="24"/>
        <v>0</v>
      </c>
      <c r="AU34" s="173">
        <f t="shared" si="25"/>
        <v>76751.314284256834</v>
      </c>
      <c r="AV34" s="173">
        <f t="shared" si="26"/>
        <v>0</v>
      </c>
      <c r="AW34" s="173">
        <f t="shared" si="27"/>
        <v>78101.45657540315</v>
      </c>
      <c r="AX34" s="173">
        <f t="shared" si="28"/>
        <v>0</v>
      </c>
      <c r="AY34" s="173">
        <f t="shared" si="29"/>
        <v>79547.440961907123</v>
      </c>
      <c r="AZ34" s="173">
        <f t="shared" si="30"/>
        <v>0</v>
      </c>
      <c r="BB34" s="87" t="s">
        <v>255</v>
      </c>
      <c r="BC34" s="87" t="s">
        <v>256</v>
      </c>
      <c r="BD34" s="173">
        <f t="shared" si="31"/>
        <v>72461.669974238175</v>
      </c>
      <c r="BE34" s="173">
        <f t="shared" si="32"/>
        <v>0</v>
      </c>
      <c r="BF34" s="173">
        <f t="shared" si="33"/>
        <v>76751.314284256834</v>
      </c>
      <c r="BG34" s="173">
        <f t="shared" si="34"/>
        <v>0</v>
      </c>
      <c r="BH34" s="173">
        <f t="shared" si="35"/>
        <v>78101.45657540315</v>
      </c>
      <c r="BI34" s="173">
        <f t="shared" si="36"/>
        <v>0</v>
      </c>
      <c r="BJ34" s="173">
        <f t="shared" si="37"/>
        <v>79547.440961907123</v>
      </c>
      <c r="BK34" s="173">
        <f t="shared" si="38"/>
        <v>0</v>
      </c>
      <c r="BM34" s="87" t="s">
        <v>255</v>
      </c>
      <c r="BN34" s="87" t="s">
        <v>256</v>
      </c>
      <c r="BO34" s="173">
        <f t="shared" si="39"/>
        <v>72461.669974238175</v>
      </c>
      <c r="BP34" s="173">
        <f t="shared" si="40"/>
        <v>0</v>
      </c>
      <c r="BQ34" s="173">
        <f t="shared" si="41"/>
        <v>75025.858579610242</v>
      </c>
      <c r="BR34" s="173">
        <f t="shared" si="42"/>
        <v>0</v>
      </c>
      <c r="BS34" s="173">
        <f t="shared" si="43"/>
        <v>77672.708862571802</v>
      </c>
      <c r="BT34" s="173">
        <f t="shared" si="44"/>
        <v>0</v>
      </c>
      <c r="BU34" s="173">
        <f t="shared" si="45"/>
        <v>78575.918162594418</v>
      </c>
      <c r="BV34" s="173">
        <f t="shared" si="46"/>
        <v>0</v>
      </c>
    </row>
    <row r="35" spans="5:74">
      <c r="E35" s="87" t="s">
        <v>233</v>
      </c>
      <c r="F35" s="87" t="s">
        <v>234</v>
      </c>
      <c r="G35" s="173">
        <f>IFERROR(IF(VLOOKUP(E35,A:C,3,FALSE)="YES",VLOOKUP(E35,'School Year 2021-22 SPED coop'!A:P,16,FALSE),0),0)</f>
        <v>0</v>
      </c>
      <c r="H35" s="173">
        <f t="shared" si="47"/>
        <v>16054168.060000001</v>
      </c>
      <c r="J35" s="87" t="s">
        <v>233</v>
      </c>
      <c r="K35" s="87" t="s">
        <v>234</v>
      </c>
      <c r="L35" s="173">
        <f t="shared" si="6"/>
        <v>0</v>
      </c>
      <c r="M35" s="173">
        <f t="shared" si="7"/>
        <v>16234883.168405313</v>
      </c>
      <c r="N35" s="173">
        <f t="shared" si="8"/>
        <v>0</v>
      </c>
      <c r="O35" s="173">
        <f t="shared" si="9"/>
        <v>16773616.721249051</v>
      </c>
      <c r="P35" s="173">
        <f t="shared" si="10"/>
        <v>0</v>
      </c>
      <c r="Q35" s="173">
        <f t="shared" si="11"/>
        <v>17086824.402537141</v>
      </c>
      <c r="R35" s="173">
        <f t="shared" si="12"/>
        <v>0</v>
      </c>
      <c r="S35" s="173">
        <f t="shared" si="13"/>
        <v>17406202.429460596</v>
      </c>
      <c r="U35" s="87" t="s">
        <v>233</v>
      </c>
      <c r="V35" s="87" t="s">
        <v>234</v>
      </c>
      <c r="W35" s="173">
        <f t="shared" si="14"/>
        <v>0</v>
      </c>
      <c r="X35" s="173">
        <f t="shared" si="48"/>
        <v>16234883.168405313</v>
      </c>
      <c r="Y35" s="173">
        <f t="shared" si="49"/>
        <v>0</v>
      </c>
      <c r="Z35" s="173">
        <f t="shared" si="50"/>
        <v>16855861.61183396</v>
      </c>
      <c r="AA35" s="173">
        <f t="shared" si="51"/>
        <v>0</v>
      </c>
      <c r="AB35" s="173">
        <f t="shared" si="52"/>
        <v>17183400.877304211</v>
      </c>
      <c r="AC35" s="173">
        <f t="shared" si="53"/>
        <v>0</v>
      </c>
      <c r="AD35" s="173">
        <f t="shared" si="54"/>
        <v>17534774.207886137</v>
      </c>
      <c r="AF35" s="87" t="s">
        <v>233</v>
      </c>
      <c r="AG35" s="87" t="s">
        <v>234</v>
      </c>
      <c r="AH35" s="173">
        <f t="shared" si="15"/>
        <v>0</v>
      </c>
      <c r="AI35" s="173">
        <f t="shared" si="16"/>
        <v>16234883.168405313</v>
      </c>
      <c r="AJ35" s="173">
        <f t="shared" si="17"/>
        <v>0</v>
      </c>
      <c r="AK35" s="173">
        <f t="shared" si="18"/>
        <v>16774813.829091864</v>
      </c>
      <c r="AL35" s="173">
        <f t="shared" si="19"/>
        <v>0</v>
      </c>
      <c r="AM35" s="173">
        <f t="shared" si="20"/>
        <v>17140037.878366496</v>
      </c>
      <c r="AN35" s="173">
        <f t="shared" si="21"/>
        <v>0</v>
      </c>
      <c r="AO35" s="173">
        <f t="shared" si="22"/>
        <v>17501498.574569426</v>
      </c>
      <c r="AQ35" s="87" t="s">
        <v>233</v>
      </c>
      <c r="AR35" s="87" t="s">
        <v>234</v>
      </c>
      <c r="AS35" s="173">
        <f t="shared" si="23"/>
        <v>0</v>
      </c>
      <c r="AT35" s="173">
        <f t="shared" si="24"/>
        <v>16234883.168405313</v>
      </c>
      <c r="AU35" s="173">
        <f t="shared" si="25"/>
        <v>0</v>
      </c>
      <c r="AV35" s="173">
        <f t="shared" si="26"/>
        <v>17192840.470282853</v>
      </c>
      <c r="AW35" s="173">
        <f t="shared" si="27"/>
        <v>0</v>
      </c>
      <c r="AX35" s="173">
        <f t="shared" si="28"/>
        <v>17499340.776593324</v>
      </c>
      <c r="AY35" s="173">
        <f t="shared" si="29"/>
        <v>0</v>
      </c>
      <c r="AZ35" s="173">
        <f t="shared" si="30"/>
        <v>17827601.466527272</v>
      </c>
      <c r="BB35" s="87" t="s">
        <v>233</v>
      </c>
      <c r="BC35" s="87" t="s">
        <v>234</v>
      </c>
      <c r="BD35" s="173">
        <f t="shared" si="31"/>
        <v>0</v>
      </c>
      <c r="BE35" s="173">
        <f t="shared" si="32"/>
        <v>16234883.168405313</v>
      </c>
      <c r="BF35" s="173">
        <f t="shared" si="33"/>
        <v>0</v>
      </c>
      <c r="BG35" s="173">
        <f t="shared" si="34"/>
        <v>17277140.914483637</v>
      </c>
      <c r="BH35" s="173">
        <f t="shared" si="35"/>
        <v>0</v>
      </c>
      <c r="BI35" s="173">
        <f t="shared" si="36"/>
        <v>17598248.83722157</v>
      </c>
      <c r="BJ35" s="173">
        <f t="shared" si="37"/>
        <v>0</v>
      </c>
      <c r="BK35" s="173">
        <f t="shared" si="38"/>
        <v>17959285.933292743</v>
      </c>
      <c r="BM35" s="87" t="s">
        <v>233</v>
      </c>
      <c r="BN35" s="87" t="s">
        <v>234</v>
      </c>
      <c r="BO35" s="173">
        <f t="shared" si="39"/>
        <v>0</v>
      </c>
      <c r="BP35" s="173">
        <f t="shared" si="40"/>
        <v>16234883.168405313</v>
      </c>
      <c r="BQ35" s="173">
        <f t="shared" si="41"/>
        <v>0</v>
      </c>
      <c r="BR35" s="173">
        <f t="shared" si="42"/>
        <v>17194070.046164304</v>
      </c>
      <c r="BS35" s="173">
        <f t="shared" si="43"/>
        <v>0</v>
      </c>
      <c r="BT35" s="173">
        <f t="shared" si="44"/>
        <v>17553850.715299923</v>
      </c>
      <c r="BU35" s="173">
        <f t="shared" si="45"/>
        <v>0</v>
      </c>
      <c r="BV35" s="173">
        <f t="shared" si="46"/>
        <v>17925232.904869825</v>
      </c>
    </row>
    <row r="36" spans="5:74">
      <c r="E36" s="87" t="s">
        <v>463</v>
      </c>
      <c r="F36" s="87" t="s">
        <v>464</v>
      </c>
      <c r="G36" s="173">
        <f>IFERROR(IF(VLOOKUP(E36,A:C,3,FALSE)="YES",VLOOKUP(E36,'School Year 2021-22 SPED coop'!A:P,16,FALSE),0),0)</f>
        <v>0</v>
      </c>
      <c r="H36" s="173">
        <f t="shared" si="47"/>
        <v>18211402.939999998</v>
      </c>
      <c r="J36" s="87" t="s">
        <v>463</v>
      </c>
      <c r="K36" s="87" t="s">
        <v>464</v>
      </c>
      <c r="L36" s="173">
        <f t="shared" si="6"/>
        <v>0</v>
      </c>
      <c r="M36" s="173">
        <f t="shared" si="7"/>
        <v>18413126.553750012</v>
      </c>
      <c r="N36" s="173">
        <f t="shared" si="8"/>
        <v>0</v>
      </c>
      <c r="O36" s="173">
        <f t="shared" si="9"/>
        <v>19036875.068171743</v>
      </c>
      <c r="P36" s="173">
        <f t="shared" si="10"/>
        <v>0</v>
      </c>
      <c r="Q36" s="173">
        <f t="shared" si="11"/>
        <v>19389470.307595093</v>
      </c>
      <c r="R36" s="173">
        <f t="shared" si="12"/>
        <v>0</v>
      </c>
      <c r="S36" s="173">
        <f t="shared" si="13"/>
        <v>19746484.530356001</v>
      </c>
      <c r="U36" s="87" t="s">
        <v>463</v>
      </c>
      <c r="V36" s="87" t="s">
        <v>464</v>
      </c>
      <c r="W36" s="173">
        <f t="shared" si="14"/>
        <v>0</v>
      </c>
      <c r="X36" s="173">
        <f t="shared" si="48"/>
        <v>18413126.553750012</v>
      </c>
      <c r="Y36" s="173">
        <f t="shared" si="49"/>
        <v>0</v>
      </c>
      <c r="Z36" s="173">
        <f t="shared" si="50"/>
        <v>19130213.639557373</v>
      </c>
      <c r="AA36" s="173">
        <f t="shared" si="51"/>
        <v>0</v>
      </c>
      <c r="AB36" s="173">
        <f t="shared" si="52"/>
        <v>19499065.065512754</v>
      </c>
      <c r="AC36" s="173">
        <f t="shared" si="53"/>
        <v>0</v>
      </c>
      <c r="AD36" s="173">
        <f t="shared" si="54"/>
        <v>19892335.969944697</v>
      </c>
      <c r="AF36" s="87" t="s">
        <v>463</v>
      </c>
      <c r="AG36" s="87" t="s">
        <v>464</v>
      </c>
      <c r="AH36" s="173">
        <f t="shared" si="15"/>
        <v>0</v>
      </c>
      <c r="AI36" s="173">
        <f t="shared" si="16"/>
        <v>18413126.553750012</v>
      </c>
      <c r="AJ36" s="173">
        <f t="shared" si="17"/>
        <v>0</v>
      </c>
      <c r="AK36" s="173">
        <f t="shared" si="18"/>
        <v>18981923.300731912</v>
      </c>
      <c r="AL36" s="173">
        <f t="shared" si="19"/>
        <v>0</v>
      </c>
      <c r="AM36" s="173">
        <f t="shared" si="20"/>
        <v>19334271.588313632</v>
      </c>
      <c r="AN36" s="173">
        <f t="shared" si="21"/>
        <v>0</v>
      </c>
      <c r="AO36" s="173">
        <f t="shared" si="22"/>
        <v>19691035.48132398</v>
      </c>
      <c r="AQ36" s="87" t="s">
        <v>463</v>
      </c>
      <c r="AR36" s="87" t="s">
        <v>464</v>
      </c>
      <c r="AS36" s="173">
        <f t="shared" si="23"/>
        <v>0</v>
      </c>
      <c r="AT36" s="173">
        <f t="shared" si="24"/>
        <v>18413126.553750012</v>
      </c>
      <c r="AU36" s="173">
        <f t="shared" si="25"/>
        <v>0</v>
      </c>
      <c r="AV36" s="173">
        <f t="shared" si="26"/>
        <v>19505465.463411715</v>
      </c>
      <c r="AW36" s="173">
        <f t="shared" si="27"/>
        <v>0</v>
      </c>
      <c r="AX36" s="173">
        <f t="shared" si="28"/>
        <v>19848068.918421656</v>
      </c>
      <c r="AY36" s="173">
        <f t="shared" si="29"/>
        <v>0</v>
      </c>
      <c r="AZ36" s="173">
        <f t="shared" si="30"/>
        <v>20214995.453931879</v>
      </c>
      <c r="BB36" s="87" t="s">
        <v>463</v>
      </c>
      <c r="BC36" s="87" t="s">
        <v>464</v>
      </c>
      <c r="BD36" s="173">
        <f t="shared" si="31"/>
        <v>0</v>
      </c>
      <c r="BE36" s="173">
        <f t="shared" si="32"/>
        <v>18413126.553750012</v>
      </c>
      <c r="BF36" s="173">
        <f t="shared" si="33"/>
        <v>0</v>
      </c>
      <c r="BG36" s="173">
        <f t="shared" si="34"/>
        <v>19601101.554076687</v>
      </c>
      <c r="BH36" s="173">
        <f t="shared" si="35"/>
        <v>0</v>
      </c>
      <c r="BI36" s="173">
        <f t="shared" si="36"/>
        <v>19960255.80793209</v>
      </c>
      <c r="BJ36" s="173">
        <f t="shared" si="37"/>
        <v>0</v>
      </c>
      <c r="BK36" s="173">
        <f t="shared" si="38"/>
        <v>20364307.407807171</v>
      </c>
      <c r="BM36" s="87" t="s">
        <v>463</v>
      </c>
      <c r="BN36" s="87" t="s">
        <v>464</v>
      </c>
      <c r="BO36" s="173">
        <f t="shared" si="39"/>
        <v>0</v>
      </c>
      <c r="BP36" s="173">
        <f t="shared" si="40"/>
        <v>18413126.553750012</v>
      </c>
      <c r="BQ36" s="173">
        <f t="shared" si="41"/>
        <v>0</v>
      </c>
      <c r="BR36" s="173">
        <f t="shared" si="42"/>
        <v>19449140.451416433</v>
      </c>
      <c r="BS36" s="173">
        <f t="shared" si="43"/>
        <v>0</v>
      </c>
      <c r="BT36" s="173">
        <f t="shared" si="44"/>
        <v>19791549.032900617</v>
      </c>
      <c r="BU36" s="173">
        <f t="shared" si="45"/>
        <v>0</v>
      </c>
      <c r="BV36" s="173">
        <f t="shared" si="46"/>
        <v>20158214.328956164</v>
      </c>
    </row>
    <row r="37" spans="5:74">
      <c r="E37" s="87" t="s">
        <v>295</v>
      </c>
      <c r="F37" s="87" t="s">
        <v>296</v>
      </c>
      <c r="G37" s="173">
        <f>IFERROR(IF(VLOOKUP(E37,A:C,3,FALSE)="YES",VLOOKUP(E37,'School Year 2021-22 SPED coop'!A:P,16,FALSE),0),0)</f>
        <v>0</v>
      </c>
      <c r="H37" s="173">
        <f t="shared" si="47"/>
        <v>4251659.51</v>
      </c>
      <c r="J37" s="87" t="s">
        <v>295</v>
      </c>
      <c r="K37" s="87" t="s">
        <v>296</v>
      </c>
      <c r="L37" s="173">
        <f t="shared" si="6"/>
        <v>0</v>
      </c>
      <c r="M37" s="173">
        <f t="shared" si="7"/>
        <v>4300637.4243836282</v>
      </c>
      <c r="N37" s="173">
        <f t="shared" si="8"/>
        <v>0</v>
      </c>
      <c r="O37" s="173">
        <f t="shared" si="9"/>
        <v>4446296.6194172017</v>
      </c>
      <c r="P37" s="173">
        <f t="shared" si="10"/>
        <v>0</v>
      </c>
      <c r="Q37" s="173">
        <f t="shared" si="11"/>
        <v>4528644.1810965361</v>
      </c>
      <c r="R37" s="173">
        <f t="shared" si="12"/>
        <v>0</v>
      </c>
      <c r="S37" s="173">
        <f t="shared" si="13"/>
        <v>4612019.3632137198</v>
      </c>
      <c r="U37" s="87" t="s">
        <v>295</v>
      </c>
      <c r="V37" s="87" t="s">
        <v>296</v>
      </c>
      <c r="W37" s="173">
        <f t="shared" si="14"/>
        <v>0</v>
      </c>
      <c r="X37" s="173">
        <f t="shared" si="48"/>
        <v>4300637.4243836282</v>
      </c>
      <c r="Y37" s="173">
        <f t="shared" si="49"/>
        <v>0</v>
      </c>
      <c r="Z37" s="173">
        <f t="shared" si="50"/>
        <v>4468092.8304928159</v>
      </c>
      <c r="AA37" s="173">
        <f t="shared" si="51"/>
        <v>0</v>
      </c>
      <c r="AB37" s="173">
        <f t="shared" si="52"/>
        <v>4554243.2680501612</v>
      </c>
      <c r="AC37" s="173">
        <f t="shared" si="53"/>
        <v>0</v>
      </c>
      <c r="AD37" s="173">
        <f t="shared" si="54"/>
        <v>4646085.6648381157</v>
      </c>
      <c r="AF37" s="87" t="s">
        <v>295</v>
      </c>
      <c r="AG37" s="87" t="s">
        <v>296</v>
      </c>
      <c r="AH37" s="173">
        <f t="shared" si="15"/>
        <v>0</v>
      </c>
      <c r="AI37" s="173">
        <f t="shared" si="16"/>
        <v>4300637.4243836282</v>
      </c>
      <c r="AJ37" s="173">
        <f t="shared" si="17"/>
        <v>0</v>
      </c>
      <c r="AK37" s="173">
        <f t="shared" si="18"/>
        <v>4441755.8600466177</v>
      </c>
      <c r="AL37" s="173">
        <f t="shared" si="19"/>
        <v>0</v>
      </c>
      <c r="AM37" s="173">
        <f t="shared" si="20"/>
        <v>4524085.8007105999</v>
      </c>
      <c r="AN37" s="173">
        <f t="shared" si="21"/>
        <v>0</v>
      </c>
      <c r="AO37" s="173">
        <f t="shared" si="22"/>
        <v>4607911.7925338475</v>
      </c>
      <c r="AQ37" s="87" t="s">
        <v>295</v>
      </c>
      <c r="AR37" s="87" t="s">
        <v>296</v>
      </c>
      <c r="AS37" s="173">
        <f t="shared" si="23"/>
        <v>0</v>
      </c>
      <c r="AT37" s="173">
        <f t="shared" si="24"/>
        <v>4300637.4243836282</v>
      </c>
      <c r="AU37" s="173">
        <f t="shared" si="25"/>
        <v>0</v>
      </c>
      <c r="AV37" s="173">
        <f t="shared" si="26"/>
        <v>4555743.1936469506</v>
      </c>
      <c r="AW37" s="173">
        <f t="shared" si="27"/>
        <v>0</v>
      </c>
      <c r="AX37" s="173">
        <f t="shared" si="28"/>
        <v>4635753.2260469887</v>
      </c>
      <c r="AY37" s="173">
        <f t="shared" si="29"/>
        <v>0</v>
      </c>
      <c r="AZ37" s="173">
        <f t="shared" si="30"/>
        <v>4721443.5030666972</v>
      </c>
      <c r="BB37" s="87" t="s">
        <v>295</v>
      </c>
      <c r="BC37" s="87" t="s">
        <v>296</v>
      </c>
      <c r="BD37" s="173">
        <f t="shared" si="31"/>
        <v>0</v>
      </c>
      <c r="BE37" s="173">
        <f t="shared" si="32"/>
        <v>4300637.4243836282</v>
      </c>
      <c r="BF37" s="173">
        <f t="shared" si="33"/>
        <v>0</v>
      </c>
      <c r="BG37" s="173">
        <f t="shared" si="34"/>
        <v>4578075.921430368</v>
      </c>
      <c r="BH37" s="173">
        <f t="shared" si="35"/>
        <v>0</v>
      </c>
      <c r="BI37" s="173">
        <f t="shared" si="36"/>
        <v>4661957.7703402564</v>
      </c>
      <c r="BJ37" s="173">
        <f t="shared" si="37"/>
        <v>0</v>
      </c>
      <c r="BK37" s="173">
        <f t="shared" si="38"/>
        <v>4756318.0575748254</v>
      </c>
      <c r="BM37" s="87" t="s">
        <v>295</v>
      </c>
      <c r="BN37" s="87" t="s">
        <v>296</v>
      </c>
      <c r="BO37" s="173">
        <f t="shared" si="39"/>
        <v>0</v>
      </c>
      <c r="BP37" s="173">
        <f t="shared" si="40"/>
        <v>4300637.4243836282</v>
      </c>
      <c r="BQ37" s="173">
        <f t="shared" si="41"/>
        <v>0</v>
      </c>
      <c r="BR37" s="173">
        <f t="shared" si="42"/>
        <v>4551088.0611143187</v>
      </c>
      <c r="BS37" s="173">
        <f t="shared" si="43"/>
        <v>0</v>
      </c>
      <c r="BT37" s="173">
        <f t="shared" si="44"/>
        <v>4631084.1338043343</v>
      </c>
      <c r="BU37" s="173">
        <f t="shared" si="45"/>
        <v>0</v>
      </c>
      <c r="BV37" s="173">
        <f t="shared" si="46"/>
        <v>4717235.526997718</v>
      </c>
    </row>
    <row r="38" spans="5:74">
      <c r="E38" s="87" t="s">
        <v>291</v>
      </c>
      <c r="F38" s="87" t="s">
        <v>292</v>
      </c>
      <c r="G38" s="173">
        <f>IFERROR(IF(VLOOKUP(E38,A:C,3,FALSE)="YES",VLOOKUP(E38,'School Year 2021-22 SPED coop'!A:P,16,FALSE),0),0)</f>
        <v>0</v>
      </c>
      <c r="H38" s="173">
        <f t="shared" si="47"/>
        <v>3606591.67</v>
      </c>
      <c r="J38" s="87" t="s">
        <v>291</v>
      </c>
      <c r="K38" s="87" t="s">
        <v>292</v>
      </c>
      <c r="L38" s="173">
        <f t="shared" si="6"/>
        <v>0</v>
      </c>
      <c r="M38" s="173">
        <f t="shared" si="7"/>
        <v>3648495.1463529528</v>
      </c>
      <c r="N38" s="173">
        <f t="shared" si="8"/>
        <v>0</v>
      </c>
      <c r="O38" s="173">
        <f t="shared" si="9"/>
        <v>3771644.1904659625</v>
      </c>
      <c r="P38" s="173">
        <f t="shared" si="10"/>
        <v>0</v>
      </c>
      <c r="Q38" s="173">
        <f t="shared" si="11"/>
        <v>3841615.1777381576</v>
      </c>
      <c r="R38" s="173">
        <f t="shared" si="12"/>
        <v>0</v>
      </c>
      <c r="S38" s="173">
        <f t="shared" si="13"/>
        <v>3912558.7856784351</v>
      </c>
      <c r="U38" s="87" t="s">
        <v>291</v>
      </c>
      <c r="V38" s="87" t="s">
        <v>292</v>
      </c>
      <c r="W38" s="173">
        <f t="shared" si="14"/>
        <v>0</v>
      </c>
      <c r="X38" s="173">
        <f t="shared" si="48"/>
        <v>3648495.1463529528</v>
      </c>
      <c r="Y38" s="173">
        <f t="shared" si="49"/>
        <v>0</v>
      </c>
      <c r="Z38" s="173">
        <f t="shared" si="50"/>
        <v>3790132.6722092782</v>
      </c>
      <c r="AA38" s="173">
        <f t="shared" si="51"/>
        <v>0</v>
      </c>
      <c r="AB38" s="173">
        <f t="shared" si="52"/>
        <v>3863323.5886424296</v>
      </c>
      <c r="AC38" s="173">
        <f t="shared" si="53"/>
        <v>0</v>
      </c>
      <c r="AD38" s="173">
        <f t="shared" si="54"/>
        <v>3941446.7240288514</v>
      </c>
      <c r="AF38" s="87" t="s">
        <v>291</v>
      </c>
      <c r="AG38" s="87" t="s">
        <v>292</v>
      </c>
      <c r="AH38" s="173">
        <f t="shared" si="15"/>
        <v>0</v>
      </c>
      <c r="AI38" s="173">
        <f t="shared" si="16"/>
        <v>3648495.1463529528</v>
      </c>
      <c r="AJ38" s="173">
        <f t="shared" si="17"/>
        <v>0</v>
      </c>
      <c r="AK38" s="173">
        <f t="shared" si="18"/>
        <v>3771346.2224311074</v>
      </c>
      <c r="AL38" s="173">
        <f t="shared" si="19"/>
        <v>0</v>
      </c>
      <c r="AM38" s="173">
        <f t="shared" si="20"/>
        <v>3845855.8253680626</v>
      </c>
      <c r="AN38" s="173">
        <f t="shared" si="21"/>
        <v>0</v>
      </c>
      <c r="AO38" s="173">
        <f t="shared" si="22"/>
        <v>3924274.2015856854</v>
      </c>
      <c r="AQ38" s="87" t="s">
        <v>291</v>
      </c>
      <c r="AR38" s="87" t="s">
        <v>292</v>
      </c>
      <c r="AS38" s="173">
        <f t="shared" si="23"/>
        <v>0</v>
      </c>
      <c r="AT38" s="173">
        <f t="shared" si="24"/>
        <v>3648495.1463529528</v>
      </c>
      <c r="AU38" s="173">
        <f t="shared" si="25"/>
        <v>0</v>
      </c>
      <c r="AV38" s="173">
        <f t="shared" si="26"/>
        <v>3864782.1508547813</v>
      </c>
      <c r="AW38" s="173">
        <f t="shared" si="27"/>
        <v>0</v>
      </c>
      <c r="AX38" s="173">
        <f t="shared" si="28"/>
        <v>3932863.1610424891</v>
      </c>
      <c r="AY38" s="173">
        <f t="shared" si="29"/>
        <v>0</v>
      </c>
      <c r="AZ38" s="173">
        <f t="shared" si="30"/>
        <v>4005777.6164065655</v>
      </c>
      <c r="BB38" s="87" t="s">
        <v>291</v>
      </c>
      <c r="BC38" s="87" t="s">
        <v>292</v>
      </c>
      <c r="BD38" s="173">
        <f t="shared" si="31"/>
        <v>0</v>
      </c>
      <c r="BE38" s="173">
        <f t="shared" si="32"/>
        <v>3648495.1463529528</v>
      </c>
      <c r="BF38" s="173">
        <f t="shared" si="33"/>
        <v>0</v>
      </c>
      <c r="BG38" s="173">
        <f t="shared" si="34"/>
        <v>3883727.1900197826</v>
      </c>
      <c r="BH38" s="173">
        <f t="shared" si="35"/>
        <v>0</v>
      </c>
      <c r="BI38" s="173">
        <f t="shared" si="36"/>
        <v>3955087.1988554345</v>
      </c>
      <c r="BJ38" s="173">
        <f t="shared" si="37"/>
        <v>0</v>
      </c>
      <c r="BK38" s="173">
        <f t="shared" si="38"/>
        <v>4035353.8197777336</v>
      </c>
      <c r="BM38" s="87" t="s">
        <v>291</v>
      </c>
      <c r="BN38" s="87" t="s">
        <v>292</v>
      </c>
      <c r="BO38" s="173">
        <f t="shared" si="39"/>
        <v>0</v>
      </c>
      <c r="BP38" s="173">
        <f t="shared" si="40"/>
        <v>3648495.1463529528</v>
      </c>
      <c r="BQ38" s="173">
        <f t="shared" si="41"/>
        <v>0</v>
      </c>
      <c r="BR38" s="173">
        <f t="shared" si="42"/>
        <v>3864477.7506946921</v>
      </c>
      <c r="BS38" s="173">
        <f t="shared" si="43"/>
        <v>0</v>
      </c>
      <c r="BT38" s="173">
        <f t="shared" si="44"/>
        <v>3937206.1667568022</v>
      </c>
      <c r="BU38" s="173">
        <f t="shared" si="45"/>
        <v>0</v>
      </c>
      <c r="BV38" s="173">
        <f t="shared" si="46"/>
        <v>4017776.1580777103</v>
      </c>
    </row>
    <row r="39" spans="5:74">
      <c r="E39" s="87" t="s">
        <v>467</v>
      </c>
      <c r="F39" s="87" t="s">
        <v>468</v>
      </c>
      <c r="G39" s="173">
        <f>IFERROR(IF(VLOOKUP(E39,A:C,3,FALSE)="YES",VLOOKUP(E39,'School Year 2021-22 SPED coop'!A:P,16,FALSE),0),0)</f>
        <v>0</v>
      </c>
      <c r="H39" s="173">
        <f t="shared" si="47"/>
        <v>6672965.0899999999</v>
      </c>
      <c r="J39" s="87" t="s">
        <v>467</v>
      </c>
      <c r="K39" s="87" t="s">
        <v>468</v>
      </c>
      <c r="L39" s="173">
        <f t="shared" si="6"/>
        <v>0</v>
      </c>
      <c r="M39" s="173">
        <f t="shared" si="7"/>
        <v>6779568.6987778274</v>
      </c>
      <c r="N39" s="173">
        <f t="shared" si="8"/>
        <v>0</v>
      </c>
      <c r="O39" s="173">
        <f t="shared" si="9"/>
        <v>7009225.9304099018</v>
      </c>
      <c r="P39" s="173">
        <f t="shared" si="10"/>
        <v>0</v>
      </c>
      <c r="Q39" s="173">
        <f t="shared" si="11"/>
        <v>7139051.8613468288</v>
      </c>
      <c r="R39" s="173">
        <f t="shared" si="12"/>
        <v>0</v>
      </c>
      <c r="S39" s="173">
        <f t="shared" si="13"/>
        <v>7270507.4263980808</v>
      </c>
      <c r="U39" s="87" t="s">
        <v>467</v>
      </c>
      <c r="V39" s="87" t="s">
        <v>468</v>
      </c>
      <c r="W39" s="173">
        <f t="shared" si="14"/>
        <v>0</v>
      </c>
      <c r="X39" s="173">
        <f t="shared" si="48"/>
        <v>6779568.6987778274</v>
      </c>
      <c r="Y39" s="173">
        <f t="shared" si="49"/>
        <v>0</v>
      </c>
      <c r="Z39" s="173">
        <f t="shared" si="50"/>
        <v>7043594.4135018736</v>
      </c>
      <c r="AA39" s="173">
        <f t="shared" si="51"/>
        <v>0</v>
      </c>
      <c r="AB39" s="173">
        <f t="shared" si="52"/>
        <v>7179393.3070988096</v>
      </c>
      <c r="AC39" s="173">
        <f t="shared" si="53"/>
        <v>0</v>
      </c>
      <c r="AD39" s="173">
        <f t="shared" si="54"/>
        <v>7324205.2365879314</v>
      </c>
      <c r="AF39" s="87" t="s">
        <v>467</v>
      </c>
      <c r="AG39" s="87" t="s">
        <v>468</v>
      </c>
      <c r="AH39" s="173">
        <f t="shared" si="15"/>
        <v>0</v>
      </c>
      <c r="AI39" s="173">
        <f t="shared" si="16"/>
        <v>6779568.6987778274</v>
      </c>
      <c r="AJ39" s="173">
        <f t="shared" si="17"/>
        <v>0</v>
      </c>
      <c r="AK39" s="173">
        <f t="shared" si="18"/>
        <v>6989741.0322802281</v>
      </c>
      <c r="AL39" s="173">
        <f t="shared" si="19"/>
        <v>0</v>
      </c>
      <c r="AM39" s="173">
        <f t="shared" si="20"/>
        <v>7124370.1328904815</v>
      </c>
      <c r="AN39" s="173">
        <f t="shared" si="21"/>
        <v>0</v>
      </c>
      <c r="AO39" s="173">
        <f t="shared" si="22"/>
        <v>7264465.974209751</v>
      </c>
      <c r="AQ39" s="87" t="s">
        <v>467</v>
      </c>
      <c r="AR39" s="87" t="s">
        <v>468</v>
      </c>
      <c r="AS39" s="173">
        <f t="shared" si="23"/>
        <v>0</v>
      </c>
      <c r="AT39" s="173">
        <f t="shared" si="24"/>
        <v>6779568.6987778274</v>
      </c>
      <c r="AU39" s="173">
        <f t="shared" si="25"/>
        <v>0</v>
      </c>
      <c r="AV39" s="173">
        <f t="shared" si="26"/>
        <v>7181759.9262069128</v>
      </c>
      <c r="AW39" s="173">
        <f t="shared" si="27"/>
        <v>0</v>
      </c>
      <c r="AX39" s="173">
        <f t="shared" si="28"/>
        <v>7307909.2412378434</v>
      </c>
      <c r="AY39" s="173">
        <f t="shared" si="29"/>
        <v>0</v>
      </c>
      <c r="AZ39" s="173">
        <f t="shared" si="30"/>
        <v>7443014.5480721025</v>
      </c>
      <c r="BB39" s="87" t="s">
        <v>467</v>
      </c>
      <c r="BC39" s="87" t="s">
        <v>468</v>
      </c>
      <c r="BD39" s="173">
        <f t="shared" si="31"/>
        <v>0</v>
      </c>
      <c r="BE39" s="173">
        <f t="shared" si="32"/>
        <v>6779568.6987778274</v>
      </c>
      <c r="BF39" s="173">
        <f t="shared" si="33"/>
        <v>0</v>
      </c>
      <c r="BG39" s="173">
        <f t="shared" si="34"/>
        <v>7216974.4004343273</v>
      </c>
      <c r="BH39" s="173">
        <f t="shared" si="35"/>
        <v>0</v>
      </c>
      <c r="BI39" s="173">
        <f t="shared" si="36"/>
        <v>7349204.8645094084</v>
      </c>
      <c r="BJ39" s="173">
        <f t="shared" si="37"/>
        <v>0</v>
      </c>
      <c r="BK39" s="173">
        <f t="shared" si="38"/>
        <v>7497986.442932969</v>
      </c>
      <c r="BM39" s="87" t="s">
        <v>467</v>
      </c>
      <c r="BN39" s="87" t="s">
        <v>468</v>
      </c>
      <c r="BO39" s="173">
        <f t="shared" si="39"/>
        <v>0</v>
      </c>
      <c r="BP39" s="173">
        <f t="shared" si="40"/>
        <v>6779568.6987778274</v>
      </c>
      <c r="BQ39" s="173">
        <f t="shared" si="41"/>
        <v>0</v>
      </c>
      <c r="BR39" s="173">
        <f t="shared" si="42"/>
        <v>7161795.951519615</v>
      </c>
      <c r="BS39" s="173">
        <f t="shared" si="43"/>
        <v>0</v>
      </c>
      <c r="BT39" s="173">
        <f t="shared" si="44"/>
        <v>7292893.6079118159</v>
      </c>
      <c r="BU39" s="173">
        <f t="shared" si="45"/>
        <v>0</v>
      </c>
      <c r="BV39" s="173">
        <f t="shared" si="46"/>
        <v>7436845.0480086785</v>
      </c>
    </row>
    <row r="40" spans="5:74">
      <c r="E40" s="87" t="s">
        <v>485</v>
      </c>
      <c r="F40" s="87" t="s">
        <v>486</v>
      </c>
      <c r="G40" s="173">
        <f>IFERROR(IF(VLOOKUP(E40,A:C,3,FALSE)="YES",VLOOKUP(E40,'School Year 2021-22 SPED coop'!A:P,16,FALSE),0),0)</f>
        <v>0</v>
      </c>
      <c r="H40" s="173">
        <f t="shared" si="47"/>
        <v>932550.33</v>
      </c>
      <c r="J40" s="87" t="s">
        <v>485</v>
      </c>
      <c r="K40" s="87" t="s">
        <v>486</v>
      </c>
      <c r="L40" s="173">
        <f t="shared" si="6"/>
        <v>0</v>
      </c>
      <c r="M40" s="173">
        <f t="shared" si="7"/>
        <v>942991.21989566379</v>
      </c>
      <c r="N40" s="173">
        <f t="shared" si="8"/>
        <v>0</v>
      </c>
      <c r="O40" s="173">
        <f t="shared" si="9"/>
        <v>974948.6225029804</v>
      </c>
      <c r="P40" s="173">
        <f t="shared" si="10"/>
        <v>0</v>
      </c>
      <c r="Q40" s="173">
        <f t="shared" si="11"/>
        <v>993012.21729373699</v>
      </c>
      <c r="R40" s="173">
        <f t="shared" si="12"/>
        <v>0</v>
      </c>
      <c r="S40" s="173">
        <f t="shared" si="13"/>
        <v>1011307.004828764</v>
      </c>
      <c r="U40" s="87" t="s">
        <v>485</v>
      </c>
      <c r="V40" s="87" t="s">
        <v>486</v>
      </c>
      <c r="W40" s="173">
        <f t="shared" si="14"/>
        <v>0</v>
      </c>
      <c r="X40" s="173">
        <f t="shared" si="48"/>
        <v>942991.21989566379</v>
      </c>
      <c r="Y40" s="173">
        <f t="shared" si="49"/>
        <v>0</v>
      </c>
      <c r="Z40" s="173">
        <f t="shared" si="50"/>
        <v>979728.3931462944</v>
      </c>
      <c r="AA40" s="173">
        <f t="shared" si="51"/>
        <v>0</v>
      </c>
      <c r="AB40" s="173">
        <f t="shared" si="52"/>
        <v>998620.20867459569</v>
      </c>
      <c r="AC40" s="173">
        <f t="shared" si="53"/>
        <v>0</v>
      </c>
      <c r="AD40" s="173">
        <f t="shared" si="54"/>
        <v>1018773.501954484</v>
      </c>
      <c r="AF40" s="87" t="s">
        <v>485</v>
      </c>
      <c r="AG40" s="87" t="s">
        <v>486</v>
      </c>
      <c r="AH40" s="173">
        <f t="shared" si="15"/>
        <v>0</v>
      </c>
      <c r="AI40" s="173">
        <f t="shared" si="16"/>
        <v>942991.21989566379</v>
      </c>
      <c r="AJ40" s="173">
        <f t="shared" si="17"/>
        <v>0</v>
      </c>
      <c r="AK40" s="173">
        <f t="shared" si="18"/>
        <v>967093.09964173299</v>
      </c>
      <c r="AL40" s="173">
        <f t="shared" si="19"/>
        <v>0</v>
      </c>
      <c r="AM40" s="173">
        <f t="shared" si="20"/>
        <v>986993.31071502238</v>
      </c>
      <c r="AN40" s="173">
        <f t="shared" si="21"/>
        <v>0</v>
      </c>
      <c r="AO40" s="173">
        <f t="shared" si="22"/>
        <v>1005959.3626630708</v>
      </c>
      <c r="AQ40" s="87" t="s">
        <v>485</v>
      </c>
      <c r="AR40" s="87" t="s">
        <v>486</v>
      </c>
      <c r="AS40" s="173">
        <f t="shared" si="23"/>
        <v>0</v>
      </c>
      <c r="AT40" s="173">
        <f t="shared" si="24"/>
        <v>942991.21989566379</v>
      </c>
      <c r="AU40" s="173">
        <f t="shared" si="25"/>
        <v>0</v>
      </c>
      <c r="AV40" s="173">
        <f t="shared" si="26"/>
        <v>998947.67118201964</v>
      </c>
      <c r="AW40" s="173">
        <f t="shared" si="27"/>
        <v>0</v>
      </c>
      <c r="AX40" s="173">
        <f t="shared" si="28"/>
        <v>1016503.7516373373</v>
      </c>
      <c r="AY40" s="173">
        <f t="shared" si="29"/>
        <v>0</v>
      </c>
      <c r="AZ40" s="173">
        <f t="shared" si="30"/>
        <v>1035306.2941348918</v>
      </c>
      <c r="BB40" s="87" t="s">
        <v>485</v>
      </c>
      <c r="BC40" s="87" t="s">
        <v>486</v>
      </c>
      <c r="BD40" s="173">
        <f t="shared" si="31"/>
        <v>0</v>
      </c>
      <c r="BE40" s="173">
        <f t="shared" si="32"/>
        <v>942991.21989566379</v>
      </c>
      <c r="BF40" s="173">
        <f t="shared" si="33"/>
        <v>0</v>
      </c>
      <c r="BG40" s="173">
        <f t="shared" si="34"/>
        <v>1003845.0990991832</v>
      </c>
      <c r="BH40" s="173">
        <f t="shared" si="35"/>
        <v>0</v>
      </c>
      <c r="BI40" s="173">
        <f t="shared" si="36"/>
        <v>1022244.408285036</v>
      </c>
      <c r="BJ40" s="173">
        <f t="shared" si="37"/>
        <v>0</v>
      </c>
      <c r="BK40" s="173">
        <f t="shared" si="38"/>
        <v>1042949.9769017173</v>
      </c>
      <c r="BM40" s="87" t="s">
        <v>485</v>
      </c>
      <c r="BN40" s="87" t="s">
        <v>486</v>
      </c>
      <c r="BO40" s="173">
        <f t="shared" si="39"/>
        <v>0</v>
      </c>
      <c r="BP40" s="173">
        <f t="shared" si="40"/>
        <v>942991.21989566379</v>
      </c>
      <c r="BQ40" s="173">
        <f t="shared" si="41"/>
        <v>0</v>
      </c>
      <c r="BR40" s="173">
        <f t="shared" si="42"/>
        <v>990896.63886119775</v>
      </c>
      <c r="BS40" s="173">
        <f t="shared" si="43"/>
        <v>0</v>
      </c>
      <c r="BT40" s="173">
        <f t="shared" si="44"/>
        <v>1010342.1558724935</v>
      </c>
      <c r="BU40" s="173">
        <f t="shared" si="45"/>
        <v>0</v>
      </c>
      <c r="BV40" s="173">
        <f t="shared" si="46"/>
        <v>1029831.8095931616</v>
      </c>
    </row>
    <row r="41" spans="5:74">
      <c r="E41" s="87" t="s">
        <v>1038</v>
      </c>
      <c r="F41" s="87" t="s">
        <v>1043</v>
      </c>
      <c r="G41" s="173">
        <f>IFERROR(IF(VLOOKUP(E41,A:C,3,FALSE)="YES",VLOOKUP(E41,'School Year 2021-22 SPED coop'!A:P,16,FALSE),0),0)</f>
        <v>0</v>
      </c>
      <c r="H41" s="173">
        <f t="shared" si="47"/>
        <v>0</v>
      </c>
      <c r="J41" s="87" t="s">
        <v>1038</v>
      </c>
      <c r="K41" s="87" t="s">
        <v>1043</v>
      </c>
      <c r="L41" s="173">
        <f t="shared" si="6"/>
        <v>0</v>
      </c>
      <c r="M41" s="173">
        <f t="shared" si="7"/>
        <v>0</v>
      </c>
      <c r="N41" s="173">
        <f t="shared" si="8"/>
        <v>0</v>
      </c>
      <c r="O41" s="173">
        <f t="shared" si="9"/>
        <v>0</v>
      </c>
      <c r="P41" s="173">
        <f t="shared" si="10"/>
        <v>0</v>
      </c>
      <c r="Q41" s="173">
        <f t="shared" si="11"/>
        <v>0</v>
      </c>
      <c r="R41" s="173">
        <f t="shared" si="12"/>
        <v>0</v>
      </c>
      <c r="S41" s="173">
        <f t="shared" si="13"/>
        <v>0</v>
      </c>
      <c r="U41" s="87" t="s">
        <v>1038</v>
      </c>
      <c r="V41" s="87" t="s">
        <v>1043</v>
      </c>
      <c r="W41" s="173">
        <f t="shared" si="14"/>
        <v>0</v>
      </c>
      <c r="X41" s="173">
        <f t="shared" si="48"/>
        <v>0</v>
      </c>
      <c r="Y41" s="173">
        <f t="shared" si="49"/>
        <v>0</v>
      </c>
      <c r="Z41" s="173">
        <f t="shared" si="50"/>
        <v>0</v>
      </c>
      <c r="AA41" s="173">
        <f t="shared" si="51"/>
        <v>0</v>
      </c>
      <c r="AB41" s="173">
        <f t="shared" si="52"/>
        <v>0</v>
      </c>
      <c r="AC41" s="173">
        <f t="shared" si="53"/>
        <v>0</v>
      </c>
      <c r="AD41" s="173">
        <f t="shared" si="54"/>
        <v>0</v>
      </c>
      <c r="AF41" s="87" t="s">
        <v>1038</v>
      </c>
      <c r="AG41" s="87" t="s">
        <v>1043</v>
      </c>
      <c r="AH41" s="173">
        <f t="shared" si="15"/>
        <v>0</v>
      </c>
      <c r="AI41" s="173">
        <f t="shared" si="16"/>
        <v>0</v>
      </c>
      <c r="AJ41" s="173">
        <f t="shared" si="17"/>
        <v>0</v>
      </c>
      <c r="AK41" s="173">
        <f t="shared" si="18"/>
        <v>0</v>
      </c>
      <c r="AL41" s="173">
        <f t="shared" si="19"/>
        <v>0</v>
      </c>
      <c r="AM41" s="173">
        <f t="shared" si="20"/>
        <v>0</v>
      </c>
      <c r="AN41" s="173">
        <f t="shared" si="21"/>
        <v>0</v>
      </c>
      <c r="AO41" s="173">
        <f t="shared" si="22"/>
        <v>0</v>
      </c>
      <c r="AQ41" s="87" t="s">
        <v>1038</v>
      </c>
      <c r="AR41" s="87" t="s">
        <v>1043</v>
      </c>
      <c r="AS41" s="173">
        <f t="shared" si="23"/>
        <v>0</v>
      </c>
      <c r="AT41" s="173">
        <f t="shared" si="24"/>
        <v>0</v>
      </c>
      <c r="AU41" s="173">
        <f t="shared" si="25"/>
        <v>0</v>
      </c>
      <c r="AV41" s="173">
        <f t="shared" si="26"/>
        <v>0</v>
      </c>
      <c r="AW41" s="173">
        <f t="shared" si="27"/>
        <v>0</v>
      </c>
      <c r="AX41" s="173">
        <f t="shared" si="28"/>
        <v>0</v>
      </c>
      <c r="AY41" s="173">
        <f t="shared" si="29"/>
        <v>0</v>
      </c>
      <c r="AZ41" s="173">
        <f t="shared" si="30"/>
        <v>0</v>
      </c>
      <c r="BB41" s="87" t="s">
        <v>1038</v>
      </c>
      <c r="BC41" s="87" t="s">
        <v>1043</v>
      </c>
      <c r="BD41" s="173">
        <f t="shared" si="31"/>
        <v>0</v>
      </c>
      <c r="BE41" s="173">
        <f t="shared" si="32"/>
        <v>0</v>
      </c>
      <c r="BF41" s="173">
        <f t="shared" si="33"/>
        <v>0</v>
      </c>
      <c r="BG41" s="173">
        <f t="shared" si="34"/>
        <v>0</v>
      </c>
      <c r="BH41" s="173">
        <f t="shared" si="35"/>
        <v>0</v>
      </c>
      <c r="BI41" s="173">
        <f t="shared" si="36"/>
        <v>0</v>
      </c>
      <c r="BJ41" s="173">
        <f t="shared" si="37"/>
        <v>0</v>
      </c>
      <c r="BK41" s="173">
        <f t="shared" si="38"/>
        <v>0</v>
      </c>
      <c r="BM41" s="87" t="s">
        <v>1038</v>
      </c>
      <c r="BN41" s="87" t="s">
        <v>1043</v>
      </c>
      <c r="BO41" s="173">
        <f t="shared" si="39"/>
        <v>0</v>
      </c>
      <c r="BP41" s="173">
        <f t="shared" si="40"/>
        <v>0</v>
      </c>
      <c r="BQ41" s="173">
        <f t="shared" si="41"/>
        <v>0</v>
      </c>
      <c r="BR41" s="173">
        <f t="shared" si="42"/>
        <v>0</v>
      </c>
      <c r="BS41" s="173">
        <f t="shared" si="43"/>
        <v>0</v>
      </c>
      <c r="BT41" s="173">
        <f t="shared" si="44"/>
        <v>0</v>
      </c>
      <c r="BU41" s="173">
        <f t="shared" si="45"/>
        <v>0</v>
      </c>
      <c r="BV41" s="173">
        <f t="shared" si="46"/>
        <v>0</v>
      </c>
    </row>
    <row r="42" spans="5:74">
      <c r="E42" s="87" t="s">
        <v>179</v>
      </c>
      <c r="F42" s="87" t="s">
        <v>180</v>
      </c>
      <c r="G42" s="173">
        <f>IFERROR(IF(VLOOKUP(E42,A:C,3,FALSE)="YES",VLOOKUP(E42,'School Year 2021-22 SPED coop'!A:P,16,FALSE),0),0)</f>
        <v>0</v>
      </c>
      <c r="H42" s="173">
        <f t="shared" si="47"/>
        <v>978242.3600000001</v>
      </c>
      <c r="J42" s="87" t="s">
        <v>179</v>
      </c>
      <c r="K42" s="87" t="s">
        <v>180</v>
      </c>
      <c r="L42" s="173">
        <f t="shared" si="6"/>
        <v>0</v>
      </c>
      <c r="M42" s="173">
        <f t="shared" si="7"/>
        <v>989307.09997019242</v>
      </c>
      <c r="N42" s="173">
        <f t="shared" si="8"/>
        <v>0</v>
      </c>
      <c r="O42" s="173">
        <f t="shared" si="9"/>
        <v>1022358.3431356286</v>
      </c>
      <c r="P42" s="173">
        <f t="shared" si="10"/>
        <v>0</v>
      </c>
      <c r="Q42" s="173">
        <f t="shared" si="11"/>
        <v>1041402.0281115092</v>
      </c>
      <c r="R42" s="173">
        <f t="shared" si="12"/>
        <v>0</v>
      </c>
      <c r="S42" s="173">
        <f t="shared" si="13"/>
        <v>1060779.9972431459</v>
      </c>
      <c r="U42" s="87" t="s">
        <v>179</v>
      </c>
      <c r="V42" s="87" t="s">
        <v>180</v>
      </c>
      <c r="W42" s="173">
        <f t="shared" si="14"/>
        <v>0</v>
      </c>
      <c r="X42" s="173">
        <f t="shared" si="48"/>
        <v>989307.09997019242</v>
      </c>
      <c r="Y42" s="173">
        <f t="shared" si="49"/>
        <v>0</v>
      </c>
      <c r="Z42" s="173">
        <f t="shared" si="50"/>
        <v>1027379.7955211682</v>
      </c>
      <c r="AA42" s="173">
        <f t="shared" si="51"/>
        <v>0</v>
      </c>
      <c r="AB42" s="173">
        <f t="shared" si="52"/>
        <v>1047285.1992360081</v>
      </c>
      <c r="AC42" s="173">
        <f t="shared" si="53"/>
        <v>0</v>
      </c>
      <c r="AD42" s="173">
        <f t="shared" si="54"/>
        <v>1068616.197338596</v>
      </c>
      <c r="AF42" s="87" t="s">
        <v>179</v>
      </c>
      <c r="AG42" s="87" t="s">
        <v>180</v>
      </c>
      <c r="AH42" s="173">
        <f t="shared" si="15"/>
        <v>0</v>
      </c>
      <c r="AI42" s="173">
        <f t="shared" si="16"/>
        <v>989307.09997019242</v>
      </c>
      <c r="AJ42" s="173">
        <f t="shared" si="17"/>
        <v>0</v>
      </c>
      <c r="AK42" s="173">
        <f t="shared" si="18"/>
        <v>1033454.8199929302</v>
      </c>
      <c r="AL42" s="173">
        <f t="shared" si="19"/>
        <v>0</v>
      </c>
      <c r="AM42" s="173">
        <f t="shared" si="20"/>
        <v>1051179.9345733731</v>
      </c>
      <c r="AN42" s="173">
        <f t="shared" si="21"/>
        <v>0</v>
      </c>
      <c r="AO42" s="173">
        <f t="shared" si="22"/>
        <v>1071765.9209830444</v>
      </c>
      <c r="AQ42" s="87" t="s">
        <v>179</v>
      </c>
      <c r="AR42" s="87" t="s">
        <v>180</v>
      </c>
      <c r="AS42" s="173">
        <f t="shared" si="23"/>
        <v>0</v>
      </c>
      <c r="AT42" s="173">
        <f t="shared" si="24"/>
        <v>989307.09997019242</v>
      </c>
      <c r="AU42" s="173">
        <f t="shared" si="25"/>
        <v>0</v>
      </c>
      <c r="AV42" s="173">
        <f t="shared" si="26"/>
        <v>1047789.5210329369</v>
      </c>
      <c r="AW42" s="173">
        <f t="shared" si="27"/>
        <v>0</v>
      </c>
      <c r="AX42" s="173">
        <f t="shared" si="28"/>
        <v>1066385.8127676281</v>
      </c>
      <c r="AY42" s="173">
        <f t="shared" si="29"/>
        <v>0</v>
      </c>
      <c r="AZ42" s="173">
        <f t="shared" si="30"/>
        <v>1086302.3705168676</v>
      </c>
      <c r="BB42" s="87" t="s">
        <v>179</v>
      </c>
      <c r="BC42" s="87" t="s">
        <v>180</v>
      </c>
      <c r="BD42" s="173">
        <f t="shared" si="31"/>
        <v>0</v>
      </c>
      <c r="BE42" s="173">
        <f t="shared" si="32"/>
        <v>989307.09997019242</v>
      </c>
      <c r="BF42" s="173">
        <f t="shared" si="33"/>
        <v>0</v>
      </c>
      <c r="BG42" s="173">
        <f t="shared" si="34"/>
        <v>1052935.8872934557</v>
      </c>
      <c r="BH42" s="173">
        <f t="shared" si="35"/>
        <v>0</v>
      </c>
      <c r="BI42" s="173">
        <f t="shared" si="36"/>
        <v>1072410.1227552539</v>
      </c>
      <c r="BJ42" s="173">
        <f t="shared" si="37"/>
        <v>0</v>
      </c>
      <c r="BK42" s="173">
        <f t="shared" si="38"/>
        <v>1094327.110214649</v>
      </c>
      <c r="BM42" s="87" t="s">
        <v>179</v>
      </c>
      <c r="BN42" s="87" t="s">
        <v>180</v>
      </c>
      <c r="BO42" s="173">
        <f t="shared" si="39"/>
        <v>0</v>
      </c>
      <c r="BP42" s="173">
        <f t="shared" si="40"/>
        <v>989307.09997019242</v>
      </c>
      <c r="BQ42" s="173">
        <f t="shared" si="41"/>
        <v>0</v>
      </c>
      <c r="BR42" s="173">
        <f t="shared" si="42"/>
        <v>1059167.3441994495</v>
      </c>
      <c r="BS42" s="173">
        <f t="shared" si="43"/>
        <v>0</v>
      </c>
      <c r="BT42" s="173">
        <f t="shared" si="44"/>
        <v>1076403.4884482382</v>
      </c>
      <c r="BU42" s="173">
        <f t="shared" si="45"/>
        <v>0</v>
      </c>
      <c r="BV42" s="173">
        <f t="shared" si="46"/>
        <v>1097557.0752761895</v>
      </c>
    </row>
    <row r="43" spans="5:74">
      <c r="E43" s="87" t="s">
        <v>13</v>
      </c>
      <c r="F43" s="87" t="s">
        <v>14</v>
      </c>
      <c r="G43" s="173">
        <f>IFERROR(IF(VLOOKUP(E43,A:C,3,FALSE)="YES",VLOOKUP(E43,'School Year 2021-22 SPED coop'!A:P,16,FALSE),0),0)</f>
        <v>0</v>
      </c>
      <c r="H43" s="173">
        <f t="shared" si="47"/>
        <v>3055140.39</v>
      </c>
      <c r="J43" s="87" t="s">
        <v>13</v>
      </c>
      <c r="K43" s="87" t="s">
        <v>14</v>
      </c>
      <c r="L43" s="173">
        <f t="shared" si="6"/>
        <v>0</v>
      </c>
      <c r="M43" s="173">
        <f t="shared" si="7"/>
        <v>3143610.2215422094</v>
      </c>
      <c r="N43" s="173">
        <f t="shared" si="8"/>
        <v>0</v>
      </c>
      <c r="O43" s="173">
        <f t="shared" si="9"/>
        <v>3250065.5196507731</v>
      </c>
      <c r="P43" s="173">
        <f t="shared" si="10"/>
        <v>0</v>
      </c>
      <c r="Q43" s="173">
        <f t="shared" si="11"/>
        <v>3310266.6931816535</v>
      </c>
      <c r="R43" s="173">
        <f t="shared" si="12"/>
        <v>0</v>
      </c>
      <c r="S43" s="173">
        <f t="shared" si="13"/>
        <v>3371225.9143954176</v>
      </c>
      <c r="U43" s="87" t="s">
        <v>13</v>
      </c>
      <c r="V43" s="87" t="s">
        <v>14</v>
      </c>
      <c r="W43" s="173">
        <f t="shared" si="14"/>
        <v>0</v>
      </c>
      <c r="X43" s="173">
        <f t="shared" si="48"/>
        <v>3143610.2215422094</v>
      </c>
      <c r="Y43" s="173">
        <f t="shared" si="49"/>
        <v>0</v>
      </c>
      <c r="Z43" s="173">
        <f t="shared" si="50"/>
        <v>3266004.611723118</v>
      </c>
      <c r="AA43" s="173">
        <f t="shared" si="51"/>
        <v>0</v>
      </c>
      <c r="AB43" s="173">
        <f t="shared" si="52"/>
        <v>3328972.3770221667</v>
      </c>
      <c r="AC43" s="173">
        <f t="shared" si="53"/>
        <v>0</v>
      </c>
      <c r="AD43" s="173">
        <f t="shared" si="54"/>
        <v>3396138.6161331418</v>
      </c>
      <c r="AF43" s="87" t="s">
        <v>13</v>
      </c>
      <c r="AG43" s="87" t="s">
        <v>14</v>
      </c>
      <c r="AH43" s="173">
        <f t="shared" si="15"/>
        <v>0</v>
      </c>
      <c r="AI43" s="173">
        <f t="shared" si="16"/>
        <v>3143610.2215422094</v>
      </c>
      <c r="AJ43" s="173">
        <f t="shared" si="17"/>
        <v>0</v>
      </c>
      <c r="AK43" s="173">
        <f t="shared" si="18"/>
        <v>3253604.6969384118</v>
      </c>
      <c r="AL43" s="173">
        <f t="shared" si="19"/>
        <v>0</v>
      </c>
      <c r="AM43" s="173">
        <f t="shared" si="20"/>
        <v>3317364.4819406085</v>
      </c>
      <c r="AN43" s="173">
        <f t="shared" si="21"/>
        <v>0</v>
      </c>
      <c r="AO43" s="173">
        <f t="shared" si="22"/>
        <v>3389534.750590235</v>
      </c>
      <c r="AQ43" s="87" t="s">
        <v>13</v>
      </c>
      <c r="AR43" s="87" t="s">
        <v>14</v>
      </c>
      <c r="AS43" s="173">
        <f t="shared" si="23"/>
        <v>0</v>
      </c>
      <c r="AT43" s="173">
        <f t="shared" si="24"/>
        <v>3143610.2215422094</v>
      </c>
      <c r="AU43" s="173">
        <f t="shared" si="25"/>
        <v>0</v>
      </c>
      <c r="AV43" s="173">
        <f t="shared" si="26"/>
        <v>3330074.160229289</v>
      </c>
      <c r="AW43" s="173">
        <f t="shared" si="27"/>
        <v>0</v>
      </c>
      <c r="AX43" s="173">
        <f t="shared" si="28"/>
        <v>3388572.7433893825</v>
      </c>
      <c r="AY43" s="173">
        <f t="shared" si="29"/>
        <v>0</v>
      </c>
      <c r="AZ43" s="173">
        <f t="shared" si="30"/>
        <v>3451224.5060678166</v>
      </c>
      <c r="BB43" s="87" t="s">
        <v>13</v>
      </c>
      <c r="BC43" s="87" t="s">
        <v>14</v>
      </c>
      <c r="BD43" s="173">
        <f t="shared" si="31"/>
        <v>0</v>
      </c>
      <c r="BE43" s="173">
        <f t="shared" si="32"/>
        <v>3143610.2215422094</v>
      </c>
      <c r="BF43" s="173">
        <f t="shared" si="33"/>
        <v>0</v>
      </c>
      <c r="BG43" s="173">
        <f t="shared" si="34"/>
        <v>3346405.635965351</v>
      </c>
      <c r="BH43" s="173">
        <f t="shared" si="35"/>
        <v>0</v>
      </c>
      <c r="BI43" s="173">
        <f t="shared" si="36"/>
        <v>3407720.917923816</v>
      </c>
      <c r="BJ43" s="173">
        <f t="shared" si="37"/>
        <v>0</v>
      </c>
      <c r="BK43" s="173">
        <f t="shared" si="38"/>
        <v>3476728.3875623289</v>
      </c>
      <c r="BM43" s="87" t="s">
        <v>13</v>
      </c>
      <c r="BN43" s="87" t="s">
        <v>14</v>
      </c>
      <c r="BO43" s="173">
        <f t="shared" si="39"/>
        <v>0</v>
      </c>
      <c r="BP43" s="173">
        <f t="shared" si="40"/>
        <v>3143610.2215422094</v>
      </c>
      <c r="BQ43" s="173">
        <f t="shared" si="41"/>
        <v>0</v>
      </c>
      <c r="BR43" s="173">
        <f t="shared" si="42"/>
        <v>3333701.4005343225</v>
      </c>
      <c r="BS43" s="173">
        <f t="shared" si="43"/>
        <v>0</v>
      </c>
      <c r="BT43" s="173">
        <f t="shared" si="44"/>
        <v>3395839.1275598444</v>
      </c>
      <c r="BU43" s="173">
        <f t="shared" si="45"/>
        <v>0</v>
      </c>
      <c r="BV43" s="173">
        <f t="shared" si="46"/>
        <v>3469967.149746119</v>
      </c>
    </row>
    <row r="44" spans="5:74">
      <c r="E44" s="87" t="s">
        <v>249</v>
      </c>
      <c r="F44" s="87" t="s">
        <v>250</v>
      </c>
      <c r="G44" s="173">
        <f>IFERROR(IF(VLOOKUP(E44,A:C,3,FALSE)="YES",VLOOKUP(E44,'School Year 2021-22 SPED coop'!A:P,16,FALSE),0),0)</f>
        <v>0</v>
      </c>
      <c r="H44" s="173">
        <f t="shared" si="47"/>
        <v>1143093.94</v>
      </c>
      <c r="J44" s="87" t="s">
        <v>249</v>
      </c>
      <c r="K44" s="87" t="s">
        <v>250</v>
      </c>
      <c r="L44" s="173">
        <f t="shared" si="6"/>
        <v>0</v>
      </c>
      <c r="M44" s="173">
        <f t="shared" si="7"/>
        <v>1178767.8008160098</v>
      </c>
      <c r="N44" s="173">
        <f t="shared" si="8"/>
        <v>0</v>
      </c>
      <c r="O44" s="173">
        <f t="shared" si="9"/>
        <v>1218698.8132967793</v>
      </c>
      <c r="P44" s="173">
        <f t="shared" si="10"/>
        <v>0</v>
      </c>
      <c r="Q44" s="173">
        <f t="shared" si="11"/>
        <v>1241270.0451550032</v>
      </c>
      <c r="R44" s="173">
        <f t="shared" si="12"/>
        <v>0</v>
      </c>
      <c r="S44" s="173">
        <f t="shared" si="13"/>
        <v>1264123.2293260579</v>
      </c>
      <c r="U44" s="87" t="s">
        <v>249</v>
      </c>
      <c r="V44" s="87" t="s">
        <v>250</v>
      </c>
      <c r="W44" s="173">
        <f t="shared" si="14"/>
        <v>0</v>
      </c>
      <c r="X44" s="173">
        <f t="shared" si="48"/>
        <v>1178767.8008160098</v>
      </c>
      <c r="Y44" s="173">
        <f t="shared" si="49"/>
        <v>0</v>
      </c>
      <c r="Z44" s="173">
        <f t="shared" si="50"/>
        <v>1224679.4474448224</v>
      </c>
      <c r="AA44" s="173">
        <f t="shared" si="51"/>
        <v>0</v>
      </c>
      <c r="AB44" s="173">
        <f t="shared" si="52"/>
        <v>1248285.4558890541</v>
      </c>
      <c r="AC44" s="173">
        <f t="shared" si="53"/>
        <v>0</v>
      </c>
      <c r="AD44" s="173">
        <f t="shared" si="54"/>
        <v>1273480.7063495531</v>
      </c>
      <c r="AF44" s="87" t="s">
        <v>249</v>
      </c>
      <c r="AG44" s="87" t="s">
        <v>250</v>
      </c>
      <c r="AH44" s="173">
        <f t="shared" si="15"/>
        <v>0</v>
      </c>
      <c r="AI44" s="173">
        <f t="shared" si="16"/>
        <v>1178767.8008160098</v>
      </c>
      <c r="AJ44" s="173">
        <f t="shared" si="17"/>
        <v>0</v>
      </c>
      <c r="AK44" s="173">
        <f t="shared" si="18"/>
        <v>1219550.1457571862</v>
      </c>
      <c r="AL44" s="173">
        <f t="shared" si="19"/>
        <v>0</v>
      </c>
      <c r="AM44" s="173">
        <f t="shared" si="20"/>
        <v>1234020.9413629924</v>
      </c>
      <c r="AN44" s="173">
        <f t="shared" si="21"/>
        <v>0</v>
      </c>
      <c r="AO44" s="173">
        <f t="shared" si="22"/>
        <v>1258340.4549857695</v>
      </c>
      <c r="AQ44" s="87" t="s">
        <v>249</v>
      </c>
      <c r="AR44" s="87" t="s">
        <v>250</v>
      </c>
      <c r="AS44" s="173">
        <f t="shared" si="23"/>
        <v>0</v>
      </c>
      <c r="AT44" s="173">
        <f t="shared" si="24"/>
        <v>1178767.8008160098</v>
      </c>
      <c r="AU44" s="173">
        <f t="shared" si="25"/>
        <v>0</v>
      </c>
      <c r="AV44" s="173">
        <f t="shared" si="26"/>
        <v>1248696.3886752091</v>
      </c>
      <c r="AW44" s="173">
        <f t="shared" si="27"/>
        <v>0</v>
      </c>
      <c r="AX44" s="173">
        <f t="shared" si="28"/>
        <v>1270627.151418085</v>
      </c>
      <c r="AY44" s="173">
        <f t="shared" si="29"/>
        <v>0</v>
      </c>
      <c r="AZ44" s="173">
        <f t="shared" si="30"/>
        <v>1294114.8696665023</v>
      </c>
      <c r="BB44" s="87" t="s">
        <v>249</v>
      </c>
      <c r="BC44" s="87" t="s">
        <v>250</v>
      </c>
      <c r="BD44" s="173">
        <f t="shared" si="31"/>
        <v>0</v>
      </c>
      <c r="BE44" s="173">
        <f t="shared" si="32"/>
        <v>1178767.8008160098</v>
      </c>
      <c r="BF44" s="173">
        <f t="shared" si="33"/>
        <v>0</v>
      </c>
      <c r="BG44" s="173">
        <f t="shared" si="34"/>
        <v>1254824.2356340974</v>
      </c>
      <c r="BH44" s="173">
        <f t="shared" si="35"/>
        <v>0</v>
      </c>
      <c r="BI44" s="173">
        <f t="shared" si="36"/>
        <v>1277808.4825590048</v>
      </c>
      <c r="BJ44" s="173">
        <f t="shared" si="37"/>
        <v>0</v>
      </c>
      <c r="BK44" s="173">
        <f t="shared" si="38"/>
        <v>1303694.3649704137</v>
      </c>
      <c r="BM44" s="87" t="s">
        <v>249</v>
      </c>
      <c r="BN44" s="87" t="s">
        <v>250</v>
      </c>
      <c r="BO44" s="173">
        <f t="shared" si="39"/>
        <v>0</v>
      </c>
      <c r="BP44" s="173">
        <f t="shared" si="40"/>
        <v>1178767.8008160098</v>
      </c>
      <c r="BQ44" s="173">
        <f t="shared" si="41"/>
        <v>0</v>
      </c>
      <c r="BR44" s="173">
        <f t="shared" si="42"/>
        <v>1249569.3623598001</v>
      </c>
      <c r="BS44" s="173">
        <f t="shared" si="43"/>
        <v>0</v>
      </c>
      <c r="BT44" s="173">
        <f t="shared" si="44"/>
        <v>1263210.1272347327</v>
      </c>
      <c r="BU44" s="173">
        <f t="shared" si="45"/>
        <v>0</v>
      </c>
      <c r="BV44" s="173">
        <f t="shared" si="46"/>
        <v>1288198.986804317</v>
      </c>
    </row>
    <row r="45" spans="5:74">
      <c r="E45" s="87" t="s">
        <v>377</v>
      </c>
      <c r="F45" s="87" t="s">
        <v>378</v>
      </c>
      <c r="G45" s="173">
        <f>IFERROR(IF(VLOOKUP(E45,A:C,3,FALSE)="YES",VLOOKUP(E45,'School Year 2021-22 SPED coop'!A:P,16,FALSE),0),0)</f>
        <v>0</v>
      </c>
      <c r="H45" s="173">
        <f t="shared" si="47"/>
        <v>16225988.09</v>
      </c>
      <c r="J45" s="87" t="s">
        <v>377</v>
      </c>
      <c r="K45" s="87" t="s">
        <v>378</v>
      </c>
      <c r="L45" s="173">
        <f t="shared" si="6"/>
        <v>0</v>
      </c>
      <c r="M45" s="173">
        <f t="shared" si="7"/>
        <v>16873765.356205255</v>
      </c>
      <c r="N45" s="173">
        <f t="shared" si="8"/>
        <v>0</v>
      </c>
      <c r="O45" s="173">
        <f t="shared" si="9"/>
        <v>17440463.702681679</v>
      </c>
      <c r="P45" s="173">
        <f t="shared" si="10"/>
        <v>0</v>
      </c>
      <c r="Q45" s="173">
        <f t="shared" si="11"/>
        <v>17764390.617400102</v>
      </c>
      <c r="R45" s="173">
        <f t="shared" si="12"/>
        <v>0</v>
      </c>
      <c r="S45" s="173">
        <f t="shared" si="13"/>
        <v>18093177.562930223</v>
      </c>
      <c r="U45" s="87" t="s">
        <v>377</v>
      </c>
      <c r="V45" s="87" t="s">
        <v>378</v>
      </c>
      <c r="W45" s="173">
        <f t="shared" si="14"/>
        <v>0</v>
      </c>
      <c r="X45" s="173">
        <f t="shared" si="48"/>
        <v>16873765.356205255</v>
      </c>
      <c r="Y45" s="173">
        <f t="shared" si="49"/>
        <v>0</v>
      </c>
      <c r="Z45" s="173">
        <f t="shared" si="50"/>
        <v>17525971.086605988</v>
      </c>
      <c r="AA45" s="173">
        <f t="shared" si="51"/>
        <v>0</v>
      </c>
      <c r="AB45" s="173">
        <f t="shared" si="52"/>
        <v>17864805.509143878</v>
      </c>
      <c r="AC45" s="173">
        <f t="shared" si="53"/>
        <v>0</v>
      </c>
      <c r="AD45" s="173">
        <f t="shared" si="54"/>
        <v>18226821.82673708</v>
      </c>
      <c r="AF45" s="87" t="s">
        <v>377</v>
      </c>
      <c r="AG45" s="87" t="s">
        <v>378</v>
      </c>
      <c r="AH45" s="173">
        <f t="shared" si="15"/>
        <v>0</v>
      </c>
      <c r="AI45" s="173">
        <f t="shared" si="16"/>
        <v>16873765.356205255</v>
      </c>
      <c r="AJ45" s="173">
        <f t="shared" si="17"/>
        <v>0</v>
      </c>
      <c r="AK45" s="173">
        <f t="shared" si="18"/>
        <v>17427633.90892734</v>
      </c>
      <c r="AL45" s="173">
        <f t="shared" si="19"/>
        <v>0</v>
      </c>
      <c r="AM45" s="173">
        <f t="shared" si="20"/>
        <v>17752227.668548875</v>
      </c>
      <c r="AN45" s="173">
        <f t="shared" si="21"/>
        <v>0</v>
      </c>
      <c r="AO45" s="173">
        <f t="shared" si="22"/>
        <v>18081299.506113999</v>
      </c>
      <c r="AQ45" s="87" t="s">
        <v>377</v>
      </c>
      <c r="AR45" s="87" t="s">
        <v>378</v>
      </c>
      <c r="AS45" s="173">
        <f t="shared" si="23"/>
        <v>0</v>
      </c>
      <c r="AT45" s="173">
        <f t="shared" si="24"/>
        <v>16873765.356205255</v>
      </c>
      <c r="AU45" s="173">
        <f t="shared" si="25"/>
        <v>0</v>
      </c>
      <c r="AV45" s="173">
        <f t="shared" si="26"/>
        <v>17872246.391620431</v>
      </c>
      <c r="AW45" s="173">
        <f t="shared" si="27"/>
        <v>0</v>
      </c>
      <c r="AX45" s="173">
        <f t="shared" si="28"/>
        <v>18187771.349548921</v>
      </c>
      <c r="AY45" s="173">
        <f t="shared" si="29"/>
        <v>0</v>
      </c>
      <c r="AZ45" s="173">
        <f t="shared" si="30"/>
        <v>18525696.78490134</v>
      </c>
      <c r="BB45" s="87" t="s">
        <v>377</v>
      </c>
      <c r="BC45" s="87" t="s">
        <v>378</v>
      </c>
      <c r="BD45" s="173">
        <f t="shared" si="31"/>
        <v>0</v>
      </c>
      <c r="BE45" s="173">
        <f t="shared" si="32"/>
        <v>16873765.356205255</v>
      </c>
      <c r="BF45" s="173">
        <f t="shared" si="33"/>
        <v>0</v>
      </c>
      <c r="BG45" s="173">
        <f t="shared" si="34"/>
        <v>17959870.725919932</v>
      </c>
      <c r="BH45" s="173">
        <f t="shared" si="35"/>
        <v>0</v>
      </c>
      <c r="BI45" s="173">
        <f t="shared" si="36"/>
        <v>18290579.446340859</v>
      </c>
      <c r="BJ45" s="173">
        <f t="shared" si="37"/>
        <v>0</v>
      </c>
      <c r="BK45" s="173">
        <f t="shared" si="38"/>
        <v>18662535.830461591</v>
      </c>
      <c r="BM45" s="87" t="s">
        <v>377</v>
      </c>
      <c r="BN45" s="87" t="s">
        <v>378</v>
      </c>
      <c r="BO45" s="173">
        <f t="shared" si="39"/>
        <v>0</v>
      </c>
      <c r="BP45" s="173">
        <f t="shared" si="40"/>
        <v>16873765.356205255</v>
      </c>
      <c r="BQ45" s="173">
        <f t="shared" si="41"/>
        <v>0</v>
      </c>
      <c r="BR45" s="173">
        <f t="shared" si="42"/>
        <v>17859095.429199584</v>
      </c>
      <c r="BS45" s="173">
        <f t="shared" si="43"/>
        <v>0</v>
      </c>
      <c r="BT45" s="173">
        <f t="shared" si="44"/>
        <v>18175316.94072894</v>
      </c>
      <c r="BU45" s="173">
        <f t="shared" si="45"/>
        <v>0</v>
      </c>
      <c r="BV45" s="173">
        <f t="shared" si="46"/>
        <v>18513532.938655138</v>
      </c>
    </row>
    <row r="46" spans="5:74">
      <c r="E46" s="87" t="s">
        <v>563</v>
      </c>
      <c r="F46" s="87" t="s">
        <v>564</v>
      </c>
      <c r="G46" s="173">
        <f>IFERROR(IF(VLOOKUP(E46,A:C,3,FALSE)="YES",VLOOKUP(E46,'School Year 2021-22 SPED coop'!A:P,16,FALSE),0),0)</f>
        <v>0</v>
      </c>
      <c r="H46" s="173">
        <f t="shared" si="47"/>
        <v>659274.56999999995</v>
      </c>
      <c r="J46" s="87" t="s">
        <v>563</v>
      </c>
      <c r="K46" s="87" t="s">
        <v>564</v>
      </c>
      <c r="L46" s="173">
        <f t="shared" si="6"/>
        <v>0</v>
      </c>
      <c r="M46" s="173">
        <f t="shared" si="7"/>
        <v>666655.21119231952</v>
      </c>
      <c r="N46" s="173">
        <f t="shared" si="8"/>
        <v>0</v>
      </c>
      <c r="O46" s="173">
        <f t="shared" si="9"/>
        <v>689254.52430542419</v>
      </c>
      <c r="P46" s="173">
        <f t="shared" si="10"/>
        <v>0</v>
      </c>
      <c r="Q46" s="173">
        <f t="shared" si="11"/>
        <v>702021.69163075183</v>
      </c>
      <c r="R46" s="173">
        <f t="shared" si="12"/>
        <v>0</v>
      </c>
      <c r="S46" s="173">
        <f t="shared" si="13"/>
        <v>714949.70734728454</v>
      </c>
      <c r="U46" s="87" t="s">
        <v>563</v>
      </c>
      <c r="V46" s="87" t="s">
        <v>564</v>
      </c>
      <c r="W46" s="173">
        <f t="shared" si="14"/>
        <v>0</v>
      </c>
      <c r="X46" s="173">
        <f t="shared" si="48"/>
        <v>666655.21119231952</v>
      </c>
      <c r="Y46" s="173">
        <f t="shared" si="49"/>
        <v>0</v>
      </c>
      <c r="Z46" s="173">
        <f t="shared" si="50"/>
        <v>692618.17237798218</v>
      </c>
      <c r="AA46" s="173">
        <f t="shared" si="51"/>
        <v>0</v>
      </c>
      <c r="AB46" s="173">
        <f t="shared" si="52"/>
        <v>705969.12857739429</v>
      </c>
      <c r="AC46" s="173">
        <f t="shared" si="53"/>
        <v>0</v>
      </c>
      <c r="AD46" s="173">
        <f t="shared" si="54"/>
        <v>720211.11001079076</v>
      </c>
      <c r="AF46" s="87" t="s">
        <v>563</v>
      </c>
      <c r="AG46" s="87" t="s">
        <v>564</v>
      </c>
      <c r="AH46" s="173">
        <f t="shared" si="15"/>
        <v>0</v>
      </c>
      <c r="AI46" s="173">
        <f t="shared" si="16"/>
        <v>666655.21119231952</v>
      </c>
      <c r="AJ46" s="173">
        <f t="shared" si="17"/>
        <v>0</v>
      </c>
      <c r="AK46" s="173">
        <f t="shared" si="18"/>
        <v>691166.74657907872</v>
      </c>
      <c r="AL46" s="173">
        <f t="shared" si="19"/>
        <v>0</v>
      </c>
      <c r="AM46" s="173">
        <f t="shared" si="20"/>
        <v>706644.97480242001</v>
      </c>
      <c r="AN46" s="173">
        <f t="shared" si="21"/>
        <v>0</v>
      </c>
      <c r="AO46" s="173">
        <f t="shared" si="22"/>
        <v>720797.98154117179</v>
      </c>
      <c r="AQ46" s="87" t="s">
        <v>563</v>
      </c>
      <c r="AR46" s="87" t="s">
        <v>564</v>
      </c>
      <c r="AS46" s="173">
        <f t="shared" si="23"/>
        <v>0</v>
      </c>
      <c r="AT46" s="173">
        <f t="shared" si="24"/>
        <v>666655.21119231952</v>
      </c>
      <c r="AU46" s="173">
        <f t="shared" si="25"/>
        <v>0</v>
      </c>
      <c r="AV46" s="173">
        <f t="shared" si="26"/>
        <v>706217.97593734786</v>
      </c>
      <c r="AW46" s="173">
        <f t="shared" si="27"/>
        <v>0</v>
      </c>
      <c r="AX46" s="173">
        <f t="shared" si="28"/>
        <v>718624.06735288759</v>
      </c>
      <c r="AY46" s="173">
        <f t="shared" si="29"/>
        <v>0</v>
      </c>
      <c r="AZ46" s="173">
        <f t="shared" si="30"/>
        <v>731910.93143410387</v>
      </c>
      <c r="BB46" s="87" t="s">
        <v>563</v>
      </c>
      <c r="BC46" s="87" t="s">
        <v>564</v>
      </c>
      <c r="BD46" s="173">
        <f t="shared" si="31"/>
        <v>0</v>
      </c>
      <c r="BE46" s="173">
        <f t="shared" si="32"/>
        <v>666655.21119231952</v>
      </c>
      <c r="BF46" s="173">
        <f t="shared" si="33"/>
        <v>0</v>
      </c>
      <c r="BG46" s="173">
        <f t="shared" si="34"/>
        <v>709664.39938807278</v>
      </c>
      <c r="BH46" s="173">
        <f t="shared" si="35"/>
        <v>0</v>
      </c>
      <c r="BI46" s="173">
        <f t="shared" si="36"/>
        <v>722664.84901369491</v>
      </c>
      <c r="BJ46" s="173">
        <f t="shared" si="37"/>
        <v>0</v>
      </c>
      <c r="BK46" s="173">
        <f t="shared" si="38"/>
        <v>737297.14450583619</v>
      </c>
      <c r="BM46" s="87" t="s">
        <v>563</v>
      </c>
      <c r="BN46" s="87" t="s">
        <v>564</v>
      </c>
      <c r="BO46" s="173">
        <f t="shared" si="39"/>
        <v>0</v>
      </c>
      <c r="BP46" s="173">
        <f t="shared" si="40"/>
        <v>666655.21119231952</v>
      </c>
      <c r="BQ46" s="173">
        <f t="shared" si="41"/>
        <v>0</v>
      </c>
      <c r="BR46" s="173">
        <f t="shared" si="42"/>
        <v>708178.22333476134</v>
      </c>
      <c r="BS46" s="173">
        <f t="shared" si="43"/>
        <v>0</v>
      </c>
      <c r="BT46" s="173">
        <f t="shared" si="44"/>
        <v>723357.50233432767</v>
      </c>
      <c r="BU46" s="173">
        <f t="shared" si="45"/>
        <v>0</v>
      </c>
      <c r="BV46" s="173">
        <f t="shared" si="46"/>
        <v>737899.80724939855</v>
      </c>
    </row>
    <row r="47" spans="5:74">
      <c r="E47" s="87" t="s">
        <v>529</v>
      </c>
      <c r="F47" s="87" t="s">
        <v>530</v>
      </c>
      <c r="G47" s="173">
        <f>IFERROR(IF(VLOOKUP(E47,A:C,3,FALSE)="YES",VLOOKUP(E47,'School Year 2021-22 SPED coop'!A:P,16,FALSE),0),0)</f>
        <v>0</v>
      </c>
      <c r="H47" s="173">
        <f t="shared" si="47"/>
        <v>2057051.18</v>
      </c>
      <c r="J47" s="87" t="s">
        <v>529</v>
      </c>
      <c r="K47" s="87" t="s">
        <v>530</v>
      </c>
      <c r="L47" s="173">
        <f t="shared" si="6"/>
        <v>0</v>
      </c>
      <c r="M47" s="173">
        <f t="shared" si="7"/>
        <v>2078968.5525369041</v>
      </c>
      <c r="N47" s="173">
        <f t="shared" si="8"/>
        <v>0</v>
      </c>
      <c r="O47" s="173">
        <f t="shared" si="9"/>
        <v>2149419.9858985632</v>
      </c>
      <c r="P47" s="173">
        <f t="shared" si="10"/>
        <v>0</v>
      </c>
      <c r="Q47" s="173">
        <f t="shared" si="11"/>
        <v>2189232.3689682274</v>
      </c>
      <c r="R47" s="173">
        <f t="shared" si="12"/>
        <v>0</v>
      </c>
      <c r="S47" s="173">
        <f t="shared" si="13"/>
        <v>2229544.936111222</v>
      </c>
      <c r="U47" s="87" t="s">
        <v>529</v>
      </c>
      <c r="V47" s="87" t="s">
        <v>530</v>
      </c>
      <c r="W47" s="173">
        <f t="shared" si="14"/>
        <v>0</v>
      </c>
      <c r="X47" s="173">
        <f t="shared" si="48"/>
        <v>2078968.5525369041</v>
      </c>
      <c r="Y47" s="173">
        <f t="shared" si="49"/>
        <v>0</v>
      </c>
      <c r="Z47" s="173">
        <f t="shared" si="50"/>
        <v>2159972.4669540557</v>
      </c>
      <c r="AA47" s="173">
        <f t="shared" si="51"/>
        <v>0</v>
      </c>
      <c r="AB47" s="173">
        <f t="shared" si="52"/>
        <v>2201619.9055743804</v>
      </c>
      <c r="AC47" s="173">
        <f t="shared" si="53"/>
        <v>0</v>
      </c>
      <c r="AD47" s="173">
        <f t="shared" si="54"/>
        <v>2246018.5298813512</v>
      </c>
      <c r="AF47" s="87" t="s">
        <v>529</v>
      </c>
      <c r="AG47" s="87" t="s">
        <v>530</v>
      </c>
      <c r="AH47" s="173">
        <f t="shared" si="15"/>
        <v>0</v>
      </c>
      <c r="AI47" s="173">
        <f t="shared" si="16"/>
        <v>2078968.5525369041</v>
      </c>
      <c r="AJ47" s="173">
        <f t="shared" si="17"/>
        <v>0</v>
      </c>
      <c r="AK47" s="173">
        <f t="shared" si="18"/>
        <v>2162885.5276831952</v>
      </c>
      <c r="AL47" s="173">
        <f t="shared" si="19"/>
        <v>0</v>
      </c>
      <c r="AM47" s="173">
        <f t="shared" si="20"/>
        <v>2194175.1725868867</v>
      </c>
      <c r="AN47" s="173">
        <f t="shared" si="21"/>
        <v>0</v>
      </c>
      <c r="AO47" s="173">
        <f t="shared" si="22"/>
        <v>2236525.3119134069</v>
      </c>
      <c r="AQ47" s="87" t="s">
        <v>529</v>
      </c>
      <c r="AR47" s="87" t="s">
        <v>530</v>
      </c>
      <c r="AS47" s="173">
        <f t="shared" si="23"/>
        <v>0</v>
      </c>
      <c r="AT47" s="173">
        <f t="shared" si="24"/>
        <v>2078968.5525369041</v>
      </c>
      <c r="AU47" s="173">
        <f t="shared" si="25"/>
        <v>0</v>
      </c>
      <c r="AV47" s="173">
        <f t="shared" si="26"/>
        <v>2202324.4036472328</v>
      </c>
      <c r="AW47" s="173">
        <f t="shared" si="27"/>
        <v>0</v>
      </c>
      <c r="AX47" s="173">
        <f t="shared" si="28"/>
        <v>2241009.6440605191</v>
      </c>
      <c r="AY47" s="173">
        <f t="shared" si="29"/>
        <v>0</v>
      </c>
      <c r="AZ47" s="173">
        <f t="shared" si="30"/>
        <v>2282441.3381545171</v>
      </c>
      <c r="BB47" s="87" t="s">
        <v>529</v>
      </c>
      <c r="BC47" s="87" t="s">
        <v>530</v>
      </c>
      <c r="BD47" s="173">
        <f t="shared" si="31"/>
        <v>0</v>
      </c>
      <c r="BE47" s="173">
        <f t="shared" si="32"/>
        <v>2078968.5525369041</v>
      </c>
      <c r="BF47" s="173">
        <f t="shared" si="33"/>
        <v>0</v>
      </c>
      <c r="BG47" s="173">
        <f t="shared" si="34"/>
        <v>2213136.6240828545</v>
      </c>
      <c r="BH47" s="173">
        <f t="shared" si="35"/>
        <v>0</v>
      </c>
      <c r="BI47" s="173">
        <f t="shared" si="36"/>
        <v>2253690.1635021642</v>
      </c>
      <c r="BJ47" s="173">
        <f t="shared" si="37"/>
        <v>0</v>
      </c>
      <c r="BK47" s="173">
        <f t="shared" si="38"/>
        <v>2299305.7739974624</v>
      </c>
      <c r="BM47" s="87" t="s">
        <v>529</v>
      </c>
      <c r="BN47" s="87" t="s">
        <v>530</v>
      </c>
      <c r="BO47" s="173">
        <f t="shared" si="39"/>
        <v>0</v>
      </c>
      <c r="BP47" s="173">
        <f t="shared" si="40"/>
        <v>2078968.5525369041</v>
      </c>
      <c r="BQ47" s="173">
        <f t="shared" si="41"/>
        <v>0</v>
      </c>
      <c r="BR47" s="173">
        <f t="shared" si="42"/>
        <v>2216127.8881155574</v>
      </c>
      <c r="BS47" s="173">
        <f t="shared" si="43"/>
        <v>0</v>
      </c>
      <c r="BT47" s="173">
        <f t="shared" si="44"/>
        <v>2246072.6826246772</v>
      </c>
      <c r="BU47" s="173">
        <f t="shared" si="45"/>
        <v>0</v>
      </c>
      <c r="BV47" s="173">
        <f t="shared" si="46"/>
        <v>2289591.0206108</v>
      </c>
    </row>
    <row r="48" spans="5:74">
      <c r="E48" s="87" t="s">
        <v>571</v>
      </c>
      <c r="F48" s="87" t="s">
        <v>572</v>
      </c>
      <c r="G48" s="173">
        <f>IFERROR(IF(VLOOKUP(E48,A:C,3,FALSE)="YES",VLOOKUP(E48,'School Year 2021-22 SPED coop'!A:P,16,FALSE),0),0)</f>
        <v>0</v>
      </c>
      <c r="H48" s="173">
        <f t="shared" si="47"/>
        <v>200857.27</v>
      </c>
      <c r="J48" s="87" t="s">
        <v>571</v>
      </c>
      <c r="K48" s="87" t="s">
        <v>572</v>
      </c>
      <c r="L48" s="173">
        <f t="shared" si="6"/>
        <v>0</v>
      </c>
      <c r="M48" s="173">
        <f t="shared" si="7"/>
        <v>203244.91047961198</v>
      </c>
      <c r="N48" s="173">
        <f t="shared" si="8"/>
        <v>0</v>
      </c>
      <c r="O48" s="173">
        <f t="shared" si="9"/>
        <v>210089.84915523982</v>
      </c>
      <c r="P48" s="173">
        <f t="shared" si="10"/>
        <v>0</v>
      </c>
      <c r="Q48" s="173">
        <f t="shared" si="11"/>
        <v>213986.07385520687</v>
      </c>
      <c r="R48" s="173">
        <f t="shared" si="12"/>
        <v>0</v>
      </c>
      <c r="S48" s="173">
        <f t="shared" si="13"/>
        <v>217935.35970879049</v>
      </c>
      <c r="U48" s="87" t="s">
        <v>571</v>
      </c>
      <c r="V48" s="87" t="s">
        <v>572</v>
      </c>
      <c r="W48" s="173">
        <f t="shared" si="14"/>
        <v>0</v>
      </c>
      <c r="X48" s="173">
        <f t="shared" si="48"/>
        <v>203244.91047961198</v>
      </c>
      <c r="Y48" s="173">
        <f t="shared" si="49"/>
        <v>0</v>
      </c>
      <c r="Z48" s="173">
        <f t="shared" si="50"/>
        <v>211123.44759911302</v>
      </c>
      <c r="AA48" s="173">
        <f t="shared" si="51"/>
        <v>0</v>
      </c>
      <c r="AB48" s="173">
        <f t="shared" si="52"/>
        <v>215183.49546707168</v>
      </c>
      <c r="AC48" s="173">
        <f t="shared" si="53"/>
        <v>0</v>
      </c>
      <c r="AD48" s="173">
        <f t="shared" si="54"/>
        <v>219542.21319673042</v>
      </c>
      <c r="AF48" s="87" t="s">
        <v>571</v>
      </c>
      <c r="AG48" s="87" t="s">
        <v>572</v>
      </c>
      <c r="AH48" s="173">
        <f t="shared" si="15"/>
        <v>0</v>
      </c>
      <c r="AI48" s="173">
        <f t="shared" si="16"/>
        <v>203244.91047961198</v>
      </c>
      <c r="AJ48" s="173">
        <f t="shared" si="17"/>
        <v>0</v>
      </c>
      <c r="AK48" s="173">
        <f t="shared" si="18"/>
        <v>203973.29165359025</v>
      </c>
      <c r="AL48" s="173">
        <f t="shared" si="19"/>
        <v>0</v>
      </c>
      <c r="AM48" s="173">
        <f t="shared" si="20"/>
        <v>205851.74474554791</v>
      </c>
      <c r="AN48" s="173">
        <f t="shared" si="21"/>
        <v>0</v>
      </c>
      <c r="AO48" s="173">
        <f t="shared" si="22"/>
        <v>209345.45344863748</v>
      </c>
      <c r="AQ48" s="87" t="s">
        <v>571</v>
      </c>
      <c r="AR48" s="87" t="s">
        <v>572</v>
      </c>
      <c r="AS48" s="173">
        <f t="shared" si="23"/>
        <v>0</v>
      </c>
      <c r="AT48" s="173">
        <f t="shared" si="24"/>
        <v>203244.91047961198</v>
      </c>
      <c r="AU48" s="173">
        <f t="shared" si="25"/>
        <v>0</v>
      </c>
      <c r="AV48" s="173">
        <f t="shared" si="26"/>
        <v>215280.05922972286</v>
      </c>
      <c r="AW48" s="173">
        <f t="shared" si="27"/>
        <v>0</v>
      </c>
      <c r="AX48" s="173">
        <f t="shared" si="28"/>
        <v>219070.08893802395</v>
      </c>
      <c r="AY48" s="173">
        <f t="shared" si="29"/>
        <v>0</v>
      </c>
      <c r="AZ48" s="173">
        <f t="shared" si="30"/>
        <v>223129.18325126893</v>
      </c>
      <c r="BB48" s="87" t="s">
        <v>571</v>
      </c>
      <c r="BC48" s="87" t="s">
        <v>572</v>
      </c>
      <c r="BD48" s="173">
        <f t="shared" si="31"/>
        <v>0</v>
      </c>
      <c r="BE48" s="173">
        <f t="shared" si="32"/>
        <v>203244.91047961198</v>
      </c>
      <c r="BF48" s="173">
        <f t="shared" si="33"/>
        <v>0</v>
      </c>
      <c r="BG48" s="173">
        <f t="shared" si="34"/>
        <v>216339.19438500263</v>
      </c>
      <c r="BH48" s="173">
        <f t="shared" si="35"/>
        <v>0</v>
      </c>
      <c r="BI48" s="173">
        <f t="shared" si="36"/>
        <v>220295.95348879709</v>
      </c>
      <c r="BJ48" s="173">
        <f t="shared" si="37"/>
        <v>0</v>
      </c>
      <c r="BK48" s="173">
        <f t="shared" si="38"/>
        <v>224774.32970884404</v>
      </c>
      <c r="BM48" s="87" t="s">
        <v>571</v>
      </c>
      <c r="BN48" s="87" t="s">
        <v>572</v>
      </c>
      <c r="BO48" s="173">
        <f t="shared" si="39"/>
        <v>0</v>
      </c>
      <c r="BP48" s="173">
        <f t="shared" si="40"/>
        <v>203244.91047961198</v>
      </c>
      <c r="BQ48" s="173">
        <f t="shared" si="41"/>
        <v>0</v>
      </c>
      <c r="BR48" s="173">
        <f t="shared" si="42"/>
        <v>209010.0096278128</v>
      </c>
      <c r="BS48" s="173">
        <f t="shared" si="43"/>
        <v>0</v>
      </c>
      <c r="BT48" s="173">
        <f t="shared" si="44"/>
        <v>210740.25516473953</v>
      </c>
      <c r="BU48" s="173">
        <f t="shared" si="45"/>
        <v>0</v>
      </c>
      <c r="BV48" s="173">
        <f t="shared" si="46"/>
        <v>214332.11528434712</v>
      </c>
    </row>
    <row r="49" spans="5:74">
      <c r="E49" s="87" t="s">
        <v>499</v>
      </c>
      <c r="F49" s="87" t="s">
        <v>500</v>
      </c>
      <c r="G49" s="173">
        <f>IFERROR(IF(VLOOKUP(E49,A:C,3,FALSE)="YES",VLOOKUP(E49,'School Year 2021-22 SPED coop'!A:P,16,FALSE),0),0)</f>
        <v>0</v>
      </c>
      <c r="H49" s="173">
        <f t="shared" si="47"/>
        <v>129412.25</v>
      </c>
      <c r="J49" s="87" t="s">
        <v>499</v>
      </c>
      <c r="K49" s="87" t="s">
        <v>500</v>
      </c>
      <c r="L49" s="173">
        <f t="shared" si="6"/>
        <v>0</v>
      </c>
      <c r="M49" s="173">
        <f t="shared" si="7"/>
        <v>130916.18449914776</v>
      </c>
      <c r="N49" s="173">
        <f t="shared" si="8"/>
        <v>0</v>
      </c>
      <c r="O49" s="173">
        <f t="shared" si="9"/>
        <v>135352.12506322865</v>
      </c>
      <c r="P49" s="173">
        <f t="shared" si="10"/>
        <v>0</v>
      </c>
      <c r="Q49" s="173">
        <f t="shared" si="11"/>
        <v>137859.47232335695</v>
      </c>
      <c r="R49" s="173">
        <f t="shared" si="12"/>
        <v>0</v>
      </c>
      <c r="S49" s="173">
        <f t="shared" si="13"/>
        <v>140398.56669109667</v>
      </c>
      <c r="U49" s="87" t="s">
        <v>499</v>
      </c>
      <c r="V49" s="87" t="s">
        <v>500</v>
      </c>
      <c r="W49" s="173">
        <f t="shared" si="14"/>
        <v>0</v>
      </c>
      <c r="X49" s="173">
        <f t="shared" si="48"/>
        <v>130916.18449914776</v>
      </c>
      <c r="Y49" s="173">
        <f t="shared" si="49"/>
        <v>0</v>
      </c>
      <c r="Z49" s="173">
        <f t="shared" si="50"/>
        <v>136030.20998894764</v>
      </c>
      <c r="AA49" s="173">
        <f t="shared" si="51"/>
        <v>0</v>
      </c>
      <c r="AB49" s="173">
        <f t="shared" si="52"/>
        <v>138644.08879655125</v>
      </c>
      <c r="AC49" s="173">
        <f t="shared" si="53"/>
        <v>0</v>
      </c>
      <c r="AD49" s="173">
        <f t="shared" si="54"/>
        <v>141434.59258761324</v>
      </c>
      <c r="AF49" s="87" t="s">
        <v>499</v>
      </c>
      <c r="AG49" s="87" t="s">
        <v>500</v>
      </c>
      <c r="AH49" s="173">
        <f t="shared" si="15"/>
        <v>0</v>
      </c>
      <c r="AI49" s="173">
        <f t="shared" si="16"/>
        <v>130916.18449914776</v>
      </c>
      <c r="AJ49" s="173">
        <f t="shared" si="17"/>
        <v>0</v>
      </c>
      <c r="AK49" s="173">
        <f t="shared" si="18"/>
        <v>135421.13206740646</v>
      </c>
      <c r="AL49" s="173">
        <f t="shared" si="19"/>
        <v>0</v>
      </c>
      <c r="AM49" s="173">
        <f t="shared" si="20"/>
        <v>138723.90233046524</v>
      </c>
      <c r="AN49" s="173">
        <f t="shared" si="21"/>
        <v>0</v>
      </c>
      <c r="AO49" s="173">
        <f t="shared" si="22"/>
        <v>141212.97467615659</v>
      </c>
      <c r="AQ49" s="87" t="s">
        <v>499</v>
      </c>
      <c r="AR49" s="87" t="s">
        <v>500</v>
      </c>
      <c r="AS49" s="173">
        <f t="shared" si="23"/>
        <v>0</v>
      </c>
      <c r="AT49" s="173">
        <f t="shared" si="24"/>
        <v>130916.18449914776</v>
      </c>
      <c r="AU49" s="173">
        <f t="shared" si="25"/>
        <v>0</v>
      </c>
      <c r="AV49" s="173">
        <f t="shared" si="26"/>
        <v>138683.82962523165</v>
      </c>
      <c r="AW49" s="173">
        <f t="shared" si="27"/>
        <v>0</v>
      </c>
      <c r="AX49" s="173">
        <f t="shared" si="28"/>
        <v>141120.41743847434</v>
      </c>
      <c r="AY49" s="173">
        <f t="shared" si="29"/>
        <v>0</v>
      </c>
      <c r="AZ49" s="173">
        <f t="shared" si="30"/>
        <v>143729.99496692931</v>
      </c>
      <c r="BB49" s="87" t="s">
        <v>499</v>
      </c>
      <c r="BC49" s="87" t="s">
        <v>500</v>
      </c>
      <c r="BD49" s="173">
        <f t="shared" si="31"/>
        <v>0</v>
      </c>
      <c r="BE49" s="173">
        <f t="shared" si="32"/>
        <v>130916.18449914776</v>
      </c>
      <c r="BF49" s="173">
        <f t="shared" si="33"/>
        <v>0</v>
      </c>
      <c r="BG49" s="173">
        <f t="shared" si="34"/>
        <v>139378.613346803</v>
      </c>
      <c r="BH49" s="173">
        <f t="shared" si="35"/>
        <v>0</v>
      </c>
      <c r="BI49" s="173">
        <f t="shared" si="36"/>
        <v>141923.59589383029</v>
      </c>
      <c r="BJ49" s="173">
        <f t="shared" si="37"/>
        <v>0</v>
      </c>
      <c r="BK49" s="173">
        <f t="shared" si="38"/>
        <v>144790.60359262049</v>
      </c>
      <c r="BM49" s="87" t="s">
        <v>499</v>
      </c>
      <c r="BN49" s="87" t="s">
        <v>500</v>
      </c>
      <c r="BO49" s="173">
        <f t="shared" si="39"/>
        <v>0</v>
      </c>
      <c r="BP49" s="173">
        <f t="shared" si="40"/>
        <v>130916.18449914776</v>
      </c>
      <c r="BQ49" s="173">
        <f t="shared" si="41"/>
        <v>0</v>
      </c>
      <c r="BR49" s="173">
        <f t="shared" si="42"/>
        <v>138754.5841553325</v>
      </c>
      <c r="BS49" s="173">
        <f t="shared" si="43"/>
        <v>0</v>
      </c>
      <c r="BT49" s="173">
        <f t="shared" si="44"/>
        <v>142005.57675295955</v>
      </c>
      <c r="BU49" s="173">
        <f t="shared" si="45"/>
        <v>0</v>
      </c>
      <c r="BV49" s="173">
        <f t="shared" si="46"/>
        <v>144563.52304597592</v>
      </c>
    </row>
    <row r="50" spans="5:74">
      <c r="E50" s="87" t="s">
        <v>533</v>
      </c>
      <c r="F50" s="87" t="s">
        <v>534</v>
      </c>
      <c r="G50" s="173">
        <f>IFERROR(IF(VLOOKUP(E50,A:C,3,FALSE)="YES",VLOOKUP(E50,'School Year 2021-22 SPED coop'!A:P,16,FALSE),0),0)</f>
        <v>0</v>
      </c>
      <c r="H50" s="173">
        <f t="shared" si="47"/>
        <v>951890.06</v>
      </c>
      <c r="J50" s="87" t="s">
        <v>533</v>
      </c>
      <c r="K50" s="87" t="s">
        <v>534</v>
      </c>
      <c r="L50" s="173">
        <f t="shared" si="6"/>
        <v>0</v>
      </c>
      <c r="M50" s="173">
        <f t="shared" si="7"/>
        <v>962898.01659741835</v>
      </c>
      <c r="N50" s="173">
        <f t="shared" si="8"/>
        <v>0</v>
      </c>
      <c r="O50" s="173">
        <f t="shared" si="9"/>
        <v>995402.46655941673</v>
      </c>
      <c r="P50" s="173">
        <f t="shared" si="10"/>
        <v>0</v>
      </c>
      <c r="Q50" s="173">
        <f t="shared" si="11"/>
        <v>1013866.8630917115</v>
      </c>
      <c r="R50" s="173">
        <f t="shared" si="12"/>
        <v>0</v>
      </c>
      <c r="S50" s="173">
        <f t="shared" si="13"/>
        <v>1032586.1734109221</v>
      </c>
      <c r="U50" s="87" t="s">
        <v>533</v>
      </c>
      <c r="V50" s="87" t="s">
        <v>534</v>
      </c>
      <c r="W50" s="173">
        <f t="shared" si="14"/>
        <v>0</v>
      </c>
      <c r="X50" s="173">
        <f t="shared" si="48"/>
        <v>962898.01659741835</v>
      </c>
      <c r="Y50" s="173">
        <f t="shared" si="49"/>
        <v>0</v>
      </c>
      <c r="Z50" s="173">
        <f t="shared" si="50"/>
        <v>1000275.527015266</v>
      </c>
      <c r="AA50" s="173">
        <f t="shared" si="51"/>
        <v>0</v>
      </c>
      <c r="AB50" s="173">
        <f t="shared" si="52"/>
        <v>1019577.8476701963</v>
      </c>
      <c r="AC50" s="173">
        <f t="shared" si="53"/>
        <v>0</v>
      </c>
      <c r="AD50" s="173">
        <f t="shared" si="54"/>
        <v>1040206.0537388697</v>
      </c>
      <c r="AF50" s="87" t="s">
        <v>533</v>
      </c>
      <c r="AG50" s="87" t="s">
        <v>534</v>
      </c>
      <c r="AH50" s="173">
        <f t="shared" si="15"/>
        <v>0</v>
      </c>
      <c r="AI50" s="173">
        <f t="shared" si="16"/>
        <v>962898.01659741835</v>
      </c>
      <c r="AJ50" s="173">
        <f t="shared" si="17"/>
        <v>0</v>
      </c>
      <c r="AK50" s="173">
        <f t="shared" si="18"/>
        <v>990840.02188651287</v>
      </c>
      <c r="AL50" s="173">
        <f t="shared" si="19"/>
        <v>0</v>
      </c>
      <c r="AM50" s="173">
        <f t="shared" si="20"/>
        <v>1008895.6562415427</v>
      </c>
      <c r="AN50" s="173">
        <f t="shared" si="21"/>
        <v>0</v>
      </c>
      <c r="AO50" s="173">
        <f t="shared" si="22"/>
        <v>1034858.3564018031</v>
      </c>
      <c r="AQ50" s="87" t="s">
        <v>533</v>
      </c>
      <c r="AR50" s="87" t="s">
        <v>534</v>
      </c>
      <c r="AS50" s="173">
        <f t="shared" si="23"/>
        <v>0</v>
      </c>
      <c r="AT50" s="173">
        <f t="shared" si="24"/>
        <v>962898.01659741835</v>
      </c>
      <c r="AU50" s="173">
        <f t="shared" si="25"/>
        <v>0</v>
      </c>
      <c r="AV50" s="173">
        <f t="shared" si="26"/>
        <v>1019981.4788881917</v>
      </c>
      <c r="AW50" s="173">
        <f t="shared" si="27"/>
        <v>0</v>
      </c>
      <c r="AX50" s="173">
        <f t="shared" si="28"/>
        <v>1037945.5230457968</v>
      </c>
      <c r="AY50" s="173">
        <f t="shared" si="29"/>
        <v>0</v>
      </c>
      <c r="AZ50" s="173">
        <f t="shared" si="30"/>
        <v>1057184.9015056153</v>
      </c>
      <c r="BB50" s="87" t="s">
        <v>533</v>
      </c>
      <c r="BC50" s="87" t="s">
        <v>534</v>
      </c>
      <c r="BD50" s="173">
        <f t="shared" si="31"/>
        <v>0</v>
      </c>
      <c r="BE50" s="173">
        <f t="shared" si="32"/>
        <v>962898.01659741835</v>
      </c>
      <c r="BF50" s="173">
        <f t="shared" si="33"/>
        <v>0</v>
      </c>
      <c r="BG50" s="173">
        <f t="shared" si="34"/>
        <v>1024974.863470077</v>
      </c>
      <c r="BH50" s="173">
        <f t="shared" si="35"/>
        <v>0</v>
      </c>
      <c r="BI50" s="173">
        <f t="shared" si="36"/>
        <v>1043792.1295971416</v>
      </c>
      <c r="BJ50" s="173">
        <f t="shared" si="37"/>
        <v>0</v>
      </c>
      <c r="BK50" s="173">
        <f t="shared" si="38"/>
        <v>1064986.3023398786</v>
      </c>
      <c r="BM50" s="87" t="s">
        <v>533</v>
      </c>
      <c r="BN50" s="87" t="s">
        <v>534</v>
      </c>
      <c r="BO50" s="173">
        <f t="shared" si="39"/>
        <v>0</v>
      </c>
      <c r="BP50" s="173">
        <f t="shared" si="40"/>
        <v>962898.01659741835</v>
      </c>
      <c r="BQ50" s="173">
        <f t="shared" si="41"/>
        <v>0</v>
      </c>
      <c r="BR50" s="173">
        <f t="shared" si="42"/>
        <v>1015305.9280659966</v>
      </c>
      <c r="BS50" s="173">
        <f t="shared" si="43"/>
        <v>0</v>
      </c>
      <c r="BT50" s="173">
        <f t="shared" si="44"/>
        <v>1032857.9522696293</v>
      </c>
      <c r="BU50" s="173">
        <f t="shared" si="45"/>
        <v>0</v>
      </c>
      <c r="BV50" s="173">
        <f t="shared" si="46"/>
        <v>1059515.7354738938</v>
      </c>
    </row>
    <row r="51" spans="5:74">
      <c r="E51" s="87" t="s">
        <v>491</v>
      </c>
      <c r="F51" s="87" t="s">
        <v>492</v>
      </c>
      <c r="G51" s="173">
        <f>IFERROR(IF(VLOOKUP(E51,A:C,3,FALSE)="YES",VLOOKUP(E51,'School Year 2021-22 SPED coop'!A:P,16,FALSE),0),0)</f>
        <v>0</v>
      </c>
      <c r="H51" s="173">
        <f t="shared" si="47"/>
        <v>2118953.8199999998</v>
      </c>
      <c r="J51" s="87" t="s">
        <v>491</v>
      </c>
      <c r="K51" s="87" t="s">
        <v>492</v>
      </c>
      <c r="L51" s="173">
        <f t="shared" si="6"/>
        <v>0</v>
      </c>
      <c r="M51" s="173">
        <f t="shared" si="7"/>
        <v>2142681.5994578665</v>
      </c>
      <c r="N51" s="173">
        <f t="shared" si="8"/>
        <v>0</v>
      </c>
      <c r="O51" s="173">
        <f t="shared" si="9"/>
        <v>2215029.4619854884</v>
      </c>
      <c r="P51" s="173">
        <f t="shared" si="10"/>
        <v>0</v>
      </c>
      <c r="Q51" s="173">
        <f t="shared" si="11"/>
        <v>2256125.6028435384</v>
      </c>
      <c r="R51" s="173">
        <f t="shared" si="12"/>
        <v>0</v>
      </c>
      <c r="S51" s="173">
        <f t="shared" si="13"/>
        <v>2297795.6495364369</v>
      </c>
      <c r="U51" s="87" t="s">
        <v>491</v>
      </c>
      <c r="V51" s="87" t="s">
        <v>492</v>
      </c>
      <c r="W51" s="173">
        <f t="shared" si="14"/>
        <v>0</v>
      </c>
      <c r="X51" s="173">
        <f t="shared" si="48"/>
        <v>2142681.5994578665</v>
      </c>
      <c r="Y51" s="173">
        <f t="shared" si="49"/>
        <v>0</v>
      </c>
      <c r="Z51" s="173">
        <f t="shared" si="50"/>
        <v>2225879.3117888817</v>
      </c>
      <c r="AA51" s="173">
        <f t="shared" si="51"/>
        <v>0</v>
      </c>
      <c r="AB51" s="173">
        <f t="shared" si="52"/>
        <v>2268881.2590974937</v>
      </c>
      <c r="AC51" s="173">
        <f t="shared" si="53"/>
        <v>0</v>
      </c>
      <c r="AD51" s="173">
        <f t="shared" si="54"/>
        <v>2314760.4125047433</v>
      </c>
      <c r="AF51" s="87" t="s">
        <v>491</v>
      </c>
      <c r="AG51" s="87" t="s">
        <v>492</v>
      </c>
      <c r="AH51" s="173">
        <f t="shared" si="15"/>
        <v>0</v>
      </c>
      <c r="AI51" s="173">
        <f t="shared" si="16"/>
        <v>2142681.5994578665</v>
      </c>
      <c r="AJ51" s="173">
        <f t="shared" si="17"/>
        <v>0</v>
      </c>
      <c r="AK51" s="173">
        <f t="shared" si="18"/>
        <v>2213664.9532641661</v>
      </c>
      <c r="AL51" s="173">
        <f t="shared" si="19"/>
        <v>0</v>
      </c>
      <c r="AM51" s="173">
        <f t="shared" si="20"/>
        <v>2254323.9374593594</v>
      </c>
      <c r="AN51" s="173">
        <f t="shared" si="21"/>
        <v>0</v>
      </c>
      <c r="AO51" s="173">
        <f t="shared" si="22"/>
        <v>2296499.0099763642</v>
      </c>
      <c r="AQ51" s="87" t="s">
        <v>491</v>
      </c>
      <c r="AR51" s="87" t="s">
        <v>492</v>
      </c>
      <c r="AS51" s="173">
        <f t="shared" si="23"/>
        <v>0</v>
      </c>
      <c r="AT51" s="173">
        <f t="shared" si="24"/>
        <v>2142681.5994578665</v>
      </c>
      <c r="AU51" s="173">
        <f t="shared" si="25"/>
        <v>0</v>
      </c>
      <c r="AV51" s="173">
        <f t="shared" si="26"/>
        <v>2269724.9463185938</v>
      </c>
      <c r="AW51" s="173">
        <f t="shared" si="27"/>
        <v>0</v>
      </c>
      <c r="AX51" s="173">
        <f t="shared" si="28"/>
        <v>2309713.3949978179</v>
      </c>
      <c r="AY51" s="173">
        <f t="shared" si="29"/>
        <v>0</v>
      </c>
      <c r="AZ51" s="173">
        <f t="shared" si="30"/>
        <v>2352540.8749171016</v>
      </c>
      <c r="BB51" s="87" t="s">
        <v>491</v>
      </c>
      <c r="BC51" s="87" t="s">
        <v>492</v>
      </c>
      <c r="BD51" s="173">
        <f t="shared" si="31"/>
        <v>0</v>
      </c>
      <c r="BE51" s="173">
        <f t="shared" si="32"/>
        <v>2142681.5994578665</v>
      </c>
      <c r="BF51" s="173">
        <f t="shared" si="33"/>
        <v>0</v>
      </c>
      <c r="BG51" s="173">
        <f t="shared" si="34"/>
        <v>2280842.7045655758</v>
      </c>
      <c r="BH51" s="173">
        <f t="shared" si="35"/>
        <v>0</v>
      </c>
      <c r="BI51" s="173">
        <f t="shared" si="36"/>
        <v>2322772.0273980564</v>
      </c>
      <c r="BJ51" s="173">
        <f t="shared" si="37"/>
        <v>0</v>
      </c>
      <c r="BK51" s="173">
        <f t="shared" si="38"/>
        <v>2369909.8213941865</v>
      </c>
      <c r="BM51" s="87" t="s">
        <v>491</v>
      </c>
      <c r="BN51" s="87" t="s">
        <v>492</v>
      </c>
      <c r="BO51" s="173">
        <f t="shared" si="39"/>
        <v>0</v>
      </c>
      <c r="BP51" s="173">
        <f t="shared" si="40"/>
        <v>2142681.5994578665</v>
      </c>
      <c r="BQ51" s="173">
        <f t="shared" si="41"/>
        <v>0</v>
      </c>
      <c r="BR51" s="173">
        <f t="shared" si="42"/>
        <v>2268326.740362165</v>
      </c>
      <c r="BS51" s="173">
        <f t="shared" si="43"/>
        <v>0</v>
      </c>
      <c r="BT51" s="173">
        <f t="shared" si="44"/>
        <v>2307869.2861362053</v>
      </c>
      <c r="BU51" s="173">
        <f t="shared" si="45"/>
        <v>0</v>
      </c>
      <c r="BV51" s="173">
        <f t="shared" si="46"/>
        <v>2351213.7880530045</v>
      </c>
    </row>
    <row r="52" spans="5:74">
      <c r="E52" s="87" t="s">
        <v>401</v>
      </c>
      <c r="F52" s="87" t="s">
        <v>402</v>
      </c>
      <c r="G52" s="173">
        <f>IFERROR(IF(VLOOKUP(E52,A:C,3,FALSE)="YES",VLOOKUP(E52,'School Year 2021-22 SPED coop'!A:P,16,FALSE),0),0)</f>
        <v>0</v>
      </c>
      <c r="H52" s="173">
        <f t="shared" si="47"/>
        <v>651221.05999999994</v>
      </c>
      <c r="J52" s="87" t="s">
        <v>401</v>
      </c>
      <c r="K52" s="87" t="s">
        <v>402</v>
      </c>
      <c r="L52" s="173">
        <f t="shared" si="6"/>
        <v>0</v>
      </c>
      <c r="M52" s="173">
        <f t="shared" si="7"/>
        <v>658433.69628310541</v>
      </c>
      <c r="N52" s="173">
        <f t="shared" si="8"/>
        <v>0</v>
      </c>
      <c r="O52" s="173">
        <f t="shared" si="9"/>
        <v>680402.18880849145</v>
      </c>
      <c r="P52" s="173">
        <f t="shared" si="10"/>
        <v>0</v>
      </c>
      <c r="Q52" s="173">
        <f t="shared" si="11"/>
        <v>693073.13314861595</v>
      </c>
      <c r="R52" s="173">
        <f t="shared" si="12"/>
        <v>0</v>
      </c>
      <c r="S52" s="173">
        <f t="shared" si="13"/>
        <v>705963.96589501284</v>
      </c>
      <c r="U52" s="87" t="s">
        <v>401</v>
      </c>
      <c r="V52" s="87" t="s">
        <v>402</v>
      </c>
      <c r="W52" s="173">
        <f t="shared" si="14"/>
        <v>0</v>
      </c>
      <c r="X52" s="173">
        <f t="shared" si="48"/>
        <v>658433.69628310541</v>
      </c>
      <c r="Y52" s="173">
        <f t="shared" si="49"/>
        <v>0</v>
      </c>
      <c r="Z52" s="173">
        <f t="shared" si="50"/>
        <v>683733.42814362783</v>
      </c>
      <c r="AA52" s="173">
        <f t="shared" si="51"/>
        <v>0</v>
      </c>
      <c r="AB52" s="173">
        <f t="shared" si="52"/>
        <v>696987.78551525774</v>
      </c>
      <c r="AC52" s="173">
        <f t="shared" si="53"/>
        <v>0</v>
      </c>
      <c r="AD52" s="173">
        <f t="shared" si="54"/>
        <v>711193.18306838709</v>
      </c>
      <c r="AF52" s="87" t="s">
        <v>401</v>
      </c>
      <c r="AG52" s="87" t="s">
        <v>402</v>
      </c>
      <c r="AH52" s="173">
        <f t="shared" si="15"/>
        <v>0</v>
      </c>
      <c r="AI52" s="173">
        <f t="shared" si="16"/>
        <v>658433.69628310541</v>
      </c>
      <c r="AJ52" s="173">
        <f t="shared" si="17"/>
        <v>0</v>
      </c>
      <c r="AK52" s="173">
        <f t="shared" si="18"/>
        <v>680124.2315473347</v>
      </c>
      <c r="AL52" s="173">
        <f t="shared" si="19"/>
        <v>0</v>
      </c>
      <c r="AM52" s="173">
        <f t="shared" si="20"/>
        <v>693066.44311561075</v>
      </c>
      <c r="AN52" s="173">
        <f t="shared" si="21"/>
        <v>0</v>
      </c>
      <c r="AO52" s="173">
        <f t="shared" si="22"/>
        <v>706605.35898389411</v>
      </c>
      <c r="AQ52" s="87" t="s">
        <v>401</v>
      </c>
      <c r="AR52" s="87" t="s">
        <v>402</v>
      </c>
      <c r="AS52" s="173">
        <f t="shared" si="23"/>
        <v>0</v>
      </c>
      <c r="AT52" s="173">
        <f t="shared" si="24"/>
        <v>658433.69628310541</v>
      </c>
      <c r="AU52" s="173">
        <f t="shared" si="25"/>
        <v>0</v>
      </c>
      <c r="AV52" s="173">
        <f t="shared" si="26"/>
        <v>697331.63405545498</v>
      </c>
      <c r="AW52" s="173">
        <f t="shared" si="27"/>
        <v>0</v>
      </c>
      <c r="AX52" s="173">
        <f t="shared" si="28"/>
        <v>709702.68841492431</v>
      </c>
      <c r="AY52" s="173">
        <f t="shared" si="29"/>
        <v>0</v>
      </c>
      <c r="AZ52" s="173">
        <f t="shared" si="30"/>
        <v>722952.00975542516</v>
      </c>
      <c r="BB52" s="87" t="s">
        <v>401</v>
      </c>
      <c r="BC52" s="87" t="s">
        <v>402</v>
      </c>
      <c r="BD52" s="173">
        <f t="shared" si="31"/>
        <v>0</v>
      </c>
      <c r="BE52" s="173">
        <f t="shared" si="32"/>
        <v>658433.69628310541</v>
      </c>
      <c r="BF52" s="173">
        <f t="shared" si="33"/>
        <v>0</v>
      </c>
      <c r="BG52" s="173">
        <f t="shared" si="34"/>
        <v>700745.75702332892</v>
      </c>
      <c r="BH52" s="173">
        <f t="shared" si="35"/>
        <v>0</v>
      </c>
      <c r="BI52" s="173">
        <f t="shared" si="36"/>
        <v>713711.26732869225</v>
      </c>
      <c r="BJ52" s="173">
        <f t="shared" si="37"/>
        <v>0</v>
      </c>
      <c r="BK52" s="173">
        <f t="shared" si="38"/>
        <v>728307.06880849937</v>
      </c>
      <c r="BM52" s="87" t="s">
        <v>401</v>
      </c>
      <c r="BN52" s="87" t="s">
        <v>402</v>
      </c>
      <c r="BO52" s="173">
        <f t="shared" si="39"/>
        <v>0</v>
      </c>
      <c r="BP52" s="173">
        <f t="shared" si="40"/>
        <v>658433.69628310541</v>
      </c>
      <c r="BQ52" s="173">
        <f t="shared" si="41"/>
        <v>0</v>
      </c>
      <c r="BR52" s="173">
        <f t="shared" si="42"/>
        <v>697046.64181381965</v>
      </c>
      <c r="BS52" s="173">
        <f t="shared" si="43"/>
        <v>0</v>
      </c>
      <c r="BT52" s="173">
        <f t="shared" si="44"/>
        <v>709696.17497933318</v>
      </c>
      <c r="BU52" s="173">
        <f t="shared" si="45"/>
        <v>0</v>
      </c>
      <c r="BV52" s="173">
        <f t="shared" si="46"/>
        <v>723609.35269139078</v>
      </c>
    </row>
    <row r="53" spans="5:74">
      <c r="E53" s="87" t="s">
        <v>411</v>
      </c>
      <c r="F53" s="87" t="s">
        <v>412</v>
      </c>
      <c r="G53" s="173">
        <f>IFERROR(IF(VLOOKUP(E53,A:C,3,FALSE)="YES",VLOOKUP(E53,'School Year 2021-22 SPED coop'!A:P,16,FALSE),0),0)</f>
        <v>0</v>
      </c>
      <c r="H53" s="173">
        <f t="shared" si="47"/>
        <v>441134.88999999996</v>
      </c>
      <c r="J53" s="87" t="s">
        <v>411</v>
      </c>
      <c r="K53" s="87" t="s">
        <v>412</v>
      </c>
      <c r="L53" s="173">
        <f t="shared" si="6"/>
        <v>0</v>
      </c>
      <c r="M53" s="173">
        <f t="shared" si="7"/>
        <v>452357.01402670756</v>
      </c>
      <c r="N53" s="173">
        <f t="shared" si="8"/>
        <v>0</v>
      </c>
      <c r="O53" s="173">
        <f t="shared" si="9"/>
        <v>464301.12051590689</v>
      </c>
      <c r="P53" s="173">
        <f t="shared" si="10"/>
        <v>0</v>
      </c>
      <c r="Q53" s="173">
        <f t="shared" si="11"/>
        <v>472944.49294073746</v>
      </c>
      <c r="R53" s="173">
        <f t="shared" si="12"/>
        <v>0</v>
      </c>
      <c r="S53" s="173">
        <f t="shared" si="13"/>
        <v>481734.74837712181</v>
      </c>
      <c r="U53" s="87" t="s">
        <v>411</v>
      </c>
      <c r="V53" s="87" t="s">
        <v>412</v>
      </c>
      <c r="W53" s="173">
        <f t="shared" si="14"/>
        <v>0</v>
      </c>
      <c r="X53" s="173">
        <f t="shared" si="48"/>
        <v>452357.01402670756</v>
      </c>
      <c r="Y53" s="173">
        <f t="shared" si="49"/>
        <v>0</v>
      </c>
      <c r="Z53" s="173">
        <f t="shared" si="50"/>
        <v>466578.4433580786</v>
      </c>
      <c r="AA53" s="173">
        <f t="shared" si="51"/>
        <v>0</v>
      </c>
      <c r="AB53" s="173">
        <f t="shared" si="52"/>
        <v>475613.5189299325</v>
      </c>
      <c r="AC53" s="173">
        <f t="shared" si="53"/>
        <v>0</v>
      </c>
      <c r="AD53" s="173">
        <f t="shared" si="54"/>
        <v>485298.11850002996</v>
      </c>
      <c r="AF53" s="87" t="s">
        <v>411</v>
      </c>
      <c r="AG53" s="87" t="s">
        <v>412</v>
      </c>
      <c r="AH53" s="173">
        <f t="shared" si="15"/>
        <v>0</v>
      </c>
      <c r="AI53" s="173">
        <f t="shared" si="16"/>
        <v>452357.01402670756</v>
      </c>
      <c r="AJ53" s="173">
        <f t="shared" si="17"/>
        <v>0</v>
      </c>
      <c r="AK53" s="173">
        <f t="shared" si="18"/>
        <v>464760.62627980526</v>
      </c>
      <c r="AL53" s="173">
        <f t="shared" si="19"/>
        <v>0</v>
      </c>
      <c r="AM53" s="173">
        <f t="shared" si="20"/>
        <v>474703.6288132859</v>
      </c>
      <c r="AN53" s="173">
        <f t="shared" si="21"/>
        <v>0</v>
      </c>
      <c r="AO53" s="173">
        <f t="shared" si="22"/>
        <v>484041.10187911935</v>
      </c>
      <c r="AQ53" s="87" t="s">
        <v>411</v>
      </c>
      <c r="AR53" s="87" t="s">
        <v>412</v>
      </c>
      <c r="AS53" s="173">
        <f t="shared" si="23"/>
        <v>0</v>
      </c>
      <c r="AT53" s="173">
        <f t="shared" si="24"/>
        <v>452357.01402670756</v>
      </c>
      <c r="AU53" s="173">
        <f t="shared" si="25"/>
        <v>0</v>
      </c>
      <c r="AV53" s="173">
        <f t="shared" si="26"/>
        <v>475860.02170272527</v>
      </c>
      <c r="AW53" s="173">
        <f t="shared" si="27"/>
        <v>0</v>
      </c>
      <c r="AX53" s="173">
        <f t="shared" si="28"/>
        <v>484296.11935155693</v>
      </c>
      <c r="AY53" s="173">
        <f t="shared" si="29"/>
        <v>0</v>
      </c>
      <c r="AZ53" s="173">
        <f t="shared" si="30"/>
        <v>493331.07421156135</v>
      </c>
      <c r="BB53" s="87" t="s">
        <v>411</v>
      </c>
      <c r="BC53" s="87" t="s">
        <v>412</v>
      </c>
      <c r="BD53" s="173">
        <f t="shared" si="31"/>
        <v>0</v>
      </c>
      <c r="BE53" s="173">
        <f t="shared" si="32"/>
        <v>452357.01402670756</v>
      </c>
      <c r="BF53" s="173">
        <f t="shared" si="33"/>
        <v>0</v>
      </c>
      <c r="BG53" s="173">
        <f t="shared" si="34"/>
        <v>478194.03963651846</v>
      </c>
      <c r="BH53" s="173">
        <f t="shared" si="35"/>
        <v>0</v>
      </c>
      <c r="BI53" s="173">
        <f t="shared" si="36"/>
        <v>487029.20510873914</v>
      </c>
      <c r="BJ53" s="173">
        <f t="shared" si="37"/>
        <v>0</v>
      </c>
      <c r="BK53" s="173">
        <f t="shared" si="38"/>
        <v>496980.22474514408</v>
      </c>
      <c r="BM53" s="87" t="s">
        <v>411</v>
      </c>
      <c r="BN53" s="87" t="s">
        <v>412</v>
      </c>
      <c r="BO53" s="173">
        <f t="shared" si="39"/>
        <v>0</v>
      </c>
      <c r="BP53" s="173">
        <f t="shared" si="40"/>
        <v>452357.01402670756</v>
      </c>
      <c r="BQ53" s="173">
        <f t="shared" si="41"/>
        <v>0</v>
      </c>
      <c r="BR53" s="173">
        <f t="shared" si="42"/>
        <v>476331.21562747943</v>
      </c>
      <c r="BS53" s="173">
        <f t="shared" si="43"/>
        <v>0</v>
      </c>
      <c r="BT53" s="173">
        <f t="shared" si="44"/>
        <v>486098.08484396816</v>
      </c>
      <c r="BU53" s="173">
        <f t="shared" si="45"/>
        <v>0</v>
      </c>
      <c r="BV53" s="173">
        <f t="shared" si="46"/>
        <v>495693.72687525896</v>
      </c>
    </row>
    <row r="54" spans="5:74">
      <c r="E54" s="87" t="s">
        <v>157</v>
      </c>
      <c r="F54" s="87" t="s">
        <v>158</v>
      </c>
      <c r="G54" s="173">
        <f>IFERROR(IF(VLOOKUP(E54,A:C,3,FALSE)="YES",VLOOKUP(E54,'School Year 2021-22 SPED coop'!A:P,16,FALSE),0),0)</f>
        <v>0</v>
      </c>
      <c r="H54" s="173">
        <f t="shared" si="47"/>
        <v>208146.47</v>
      </c>
      <c r="J54" s="87" t="s">
        <v>157</v>
      </c>
      <c r="K54" s="87" t="s">
        <v>158</v>
      </c>
      <c r="L54" s="173">
        <f t="shared" si="6"/>
        <v>0</v>
      </c>
      <c r="M54" s="173">
        <f t="shared" si="7"/>
        <v>210533.79901758637</v>
      </c>
      <c r="N54" s="173">
        <f t="shared" si="8"/>
        <v>0</v>
      </c>
      <c r="O54" s="173">
        <f t="shared" si="9"/>
        <v>217625.70898063382</v>
      </c>
      <c r="P54" s="173">
        <f t="shared" si="10"/>
        <v>0</v>
      </c>
      <c r="Q54" s="173">
        <f t="shared" si="11"/>
        <v>221652.280440253</v>
      </c>
      <c r="R54" s="173">
        <f t="shared" si="12"/>
        <v>0</v>
      </c>
      <c r="S54" s="173">
        <f t="shared" si="13"/>
        <v>225725.82906822098</v>
      </c>
      <c r="U54" s="87" t="s">
        <v>157</v>
      </c>
      <c r="V54" s="87" t="s">
        <v>158</v>
      </c>
      <c r="W54" s="173">
        <f t="shared" si="14"/>
        <v>0</v>
      </c>
      <c r="X54" s="173">
        <f t="shared" si="48"/>
        <v>210533.79901758637</v>
      </c>
      <c r="Y54" s="173">
        <f t="shared" si="49"/>
        <v>0</v>
      </c>
      <c r="Z54" s="173">
        <f t="shared" si="50"/>
        <v>218700.25488780631</v>
      </c>
      <c r="AA54" s="173">
        <f t="shared" si="51"/>
        <v>0</v>
      </c>
      <c r="AB54" s="173">
        <f t="shared" si="52"/>
        <v>222899.91931502547</v>
      </c>
      <c r="AC54" s="173">
        <f t="shared" si="53"/>
        <v>0</v>
      </c>
      <c r="AD54" s="173">
        <f t="shared" si="54"/>
        <v>227381.97912593459</v>
      </c>
      <c r="AF54" s="87" t="s">
        <v>157</v>
      </c>
      <c r="AG54" s="87" t="s">
        <v>158</v>
      </c>
      <c r="AH54" s="173">
        <f t="shared" si="15"/>
        <v>0</v>
      </c>
      <c r="AI54" s="173">
        <f t="shared" si="16"/>
        <v>210533.79901758637</v>
      </c>
      <c r="AJ54" s="173">
        <f t="shared" si="17"/>
        <v>0</v>
      </c>
      <c r="AK54" s="173">
        <f t="shared" si="18"/>
        <v>216387.18157389766</v>
      </c>
      <c r="AL54" s="173">
        <f t="shared" si="19"/>
        <v>0</v>
      </c>
      <c r="AM54" s="173">
        <f t="shared" si="20"/>
        <v>219999.50120270092</v>
      </c>
      <c r="AN54" s="173">
        <f t="shared" si="21"/>
        <v>0</v>
      </c>
      <c r="AO54" s="173">
        <f t="shared" si="22"/>
        <v>223805.79772072667</v>
      </c>
      <c r="AQ54" s="87" t="s">
        <v>157</v>
      </c>
      <c r="AR54" s="87" t="s">
        <v>158</v>
      </c>
      <c r="AS54" s="173">
        <f t="shared" si="23"/>
        <v>0</v>
      </c>
      <c r="AT54" s="173">
        <f t="shared" si="24"/>
        <v>210533.79901758637</v>
      </c>
      <c r="AU54" s="173">
        <f t="shared" si="25"/>
        <v>0</v>
      </c>
      <c r="AV54" s="173">
        <f t="shared" si="26"/>
        <v>222987.22857008048</v>
      </c>
      <c r="AW54" s="173">
        <f t="shared" si="27"/>
        <v>0</v>
      </c>
      <c r="AX54" s="173">
        <f t="shared" si="28"/>
        <v>226896.61916333879</v>
      </c>
      <c r="AY54" s="173">
        <f t="shared" si="29"/>
        <v>0</v>
      </c>
      <c r="AZ54" s="173">
        <f t="shared" si="30"/>
        <v>231083.52526885486</v>
      </c>
      <c r="BB54" s="87" t="s">
        <v>157</v>
      </c>
      <c r="BC54" s="87" t="s">
        <v>158</v>
      </c>
      <c r="BD54" s="173">
        <f t="shared" si="31"/>
        <v>0</v>
      </c>
      <c r="BE54" s="173">
        <f t="shared" si="32"/>
        <v>210533.79901758637</v>
      </c>
      <c r="BF54" s="173">
        <f t="shared" si="33"/>
        <v>0</v>
      </c>
      <c r="BG54" s="173">
        <f t="shared" si="34"/>
        <v>224088.25129232462</v>
      </c>
      <c r="BH54" s="173">
        <f t="shared" si="35"/>
        <v>0</v>
      </c>
      <c r="BI54" s="173">
        <f t="shared" si="36"/>
        <v>228173.77503975583</v>
      </c>
      <c r="BJ54" s="173">
        <f t="shared" si="37"/>
        <v>0</v>
      </c>
      <c r="BK54" s="173">
        <f t="shared" si="38"/>
        <v>232778.97951806601</v>
      </c>
      <c r="BM54" s="87" t="s">
        <v>157</v>
      </c>
      <c r="BN54" s="87" t="s">
        <v>158</v>
      </c>
      <c r="BO54" s="173">
        <f t="shared" si="39"/>
        <v>0</v>
      </c>
      <c r="BP54" s="173">
        <f t="shared" si="40"/>
        <v>210533.79901758637</v>
      </c>
      <c r="BQ54" s="173">
        <f t="shared" si="41"/>
        <v>0</v>
      </c>
      <c r="BR54" s="173">
        <f t="shared" si="42"/>
        <v>221717.70146022949</v>
      </c>
      <c r="BS54" s="173">
        <f t="shared" si="43"/>
        <v>0</v>
      </c>
      <c r="BT54" s="173">
        <f t="shared" si="44"/>
        <v>225204.18790524459</v>
      </c>
      <c r="BU54" s="173">
        <f t="shared" si="45"/>
        <v>0</v>
      </c>
      <c r="BV54" s="173">
        <f t="shared" si="46"/>
        <v>229117.27557504375</v>
      </c>
    </row>
    <row r="55" spans="5:74">
      <c r="E55" s="87" t="s">
        <v>127</v>
      </c>
      <c r="F55" s="87" t="s">
        <v>128</v>
      </c>
      <c r="G55" s="173">
        <f>IFERROR(IF(VLOOKUP(E55,A:C,3,FALSE)="YES",VLOOKUP(E55,'School Year 2021-22 SPED coop'!A:P,16,FALSE),0),0)</f>
        <v>0</v>
      </c>
      <c r="H55" s="173">
        <f t="shared" si="47"/>
        <v>191498.53</v>
      </c>
      <c r="J55" s="87" t="s">
        <v>127</v>
      </c>
      <c r="K55" s="87" t="s">
        <v>128</v>
      </c>
      <c r="L55" s="173">
        <f t="shared" si="6"/>
        <v>0</v>
      </c>
      <c r="M55" s="173">
        <f t="shared" si="7"/>
        <v>193612.51293849712</v>
      </c>
      <c r="N55" s="173">
        <f t="shared" si="8"/>
        <v>0</v>
      </c>
      <c r="O55" s="173">
        <f t="shared" si="9"/>
        <v>200176.54903431277</v>
      </c>
      <c r="P55" s="173">
        <f t="shared" si="10"/>
        <v>0</v>
      </c>
      <c r="Q55" s="173">
        <f t="shared" si="11"/>
        <v>203884.60762301029</v>
      </c>
      <c r="R55" s="173">
        <f t="shared" si="12"/>
        <v>0</v>
      </c>
      <c r="S55" s="173">
        <f t="shared" si="13"/>
        <v>207639.5109663211</v>
      </c>
      <c r="U55" s="87" t="s">
        <v>127</v>
      </c>
      <c r="V55" s="87" t="s">
        <v>128</v>
      </c>
      <c r="W55" s="173">
        <f t="shared" si="14"/>
        <v>0</v>
      </c>
      <c r="X55" s="173">
        <f t="shared" si="48"/>
        <v>193612.51293849712</v>
      </c>
      <c r="Y55" s="173">
        <f t="shared" si="49"/>
        <v>0</v>
      </c>
      <c r="Z55" s="173">
        <f t="shared" si="50"/>
        <v>201162.07064037095</v>
      </c>
      <c r="AA55" s="173">
        <f t="shared" si="51"/>
        <v>0</v>
      </c>
      <c r="AB55" s="173">
        <f t="shared" si="52"/>
        <v>205034.40806344379</v>
      </c>
      <c r="AC55" s="173">
        <f t="shared" si="53"/>
        <v>0</v>
      </c>
      <c r="AD55" s="173">
        <f t="shared" si="54"/>
        <v>209162.29687225036</v>
      </c>
      <c r="AF55" s="87" t="s">
        <v>127</v>
      </c>
      <c r="AG55" s="87" t="s">
        <v>128</v>
      </c>
      <c r="AH55" s="173">
        <f t="shared" si="15"/>
        <v>0</v>
      </c>
      <c r="AI55" s="173">
        <f t="shared" si="16"/>
        <v>193612.51293849712</v>
      </c>
      <c r="AJ55" s="173">
        <f t="shared" si="17"/>
        <v>0</v>
      </c>
      <c r="AK55" s="173">
        <f t="shared" si="18"/>
        <v>199022.77684982723</v>
      </c>
      <c r="AL55" s="173">
        <f t="shared" si="19"/>
        <v>0</v>
      </c>
      <c r="AM55" s="173">
        <f t="shared" si="20"/>
        <v>203728.39626544944</v>
      </c>
      <c r="AN55" s="173">
        <f t="shared" si="21"/>
        <v>0</v>
      </c>
      <c r="AO55" s="173">
        <f t="shared" si="22"/>
        <v>210127.73685580929</v>
      </c>
      <c r="AQ55" s="87" t="s">
        <v>127</v>
      </c>
      <c r="AR55" s="87" t="s">
        <v>128</v>
      </c>
      <c r="AS55" s="173">
        <f t="shared" si="23"/>
        <v>0</v>
      </c>
      <c r="AT55" s="173">
        <f t="shared" si="24"/>
        <v>193612.51293849712</v>
      </c>
      <c r="AU55" s="173">
        <f t="shared" si="25"/>
        <v>0</v>
      </c>
      <c r="AV55" s="173">
        <f t="shared" si="26"/>
        <v>205103.14953951738</v>
      </c>
      <c r="AW55" s="173">
        <f t="shared" si="27"/>
        <v>0</v>
      </c>
      <c r="AX55" s="173">
        <f t="shared" si="28"/>
        <v>208706.45463154159</v>
      </c>
      <c r="AY55" s="173">
        <f t="shared" si="29"/>
        <v>0</v>
      </c>
      <c r="AZ55" s="173">
        <f t="shared" si="30"/>
        <v>212565.57856059508</v>
      </c>
      <c r="BB55" s="87" t="s">
        <v>127</v>
      </c>
      <c r="BC55" s="87" t="s">
        <v>128</v>
      </c>
      <c r="BD55" s="173">
        <f t="shared" si="31"/>
        <v>0</v>
      </c>
      <c r="BE55" s="173">
        <f t="shared" si="32"/>
        <v>193612.51293849712</v>
      </c>
      <c r="BF55" s="173">
        <f t="shared" si="33"/>
        <v>0</v>
      </c>
      <c r="BG55" s="173">
        <f t="shared" si="34"/>
        <v>206112.92826993502</v>
      </c>
      <c r="BH55" s="173">
        <f t="shared" si="35"/>
        <v>0</v>
      </c>
      <c r="BI55" s="173">
        <f t="shared" si="36"/>
        <v>209883.44650293025</v>
      </c>
      <c r="BJ55" s="173">
        <f t="shared" si="37"/>
        <v>0</v>
      </c>
      <c r="BK55" s="173">
        <f t="shared" si="38"/>
        <v>214124.48600924938</v>
      </c>
      <c r="BM55" s="87" t="s">
        <v>127</v>
      </c>
      <c r="BN55" s="87" t="s">
        <v>128</v>
      </c>
      <c r="BO55" s="173">
        <f t="shared" si="39"/>
        <v>0</v>
      </c>
      <c r="BP55" s="173">
        <f t="shared" si="40"/>
        <v>193612.51293849712</v>
      </c>
      <c r="BQ55" s="173">
        <f t="shared" si="41"/>
        <v>0</v>
      </c>
      <c r="BR55" s="173">
        <f t="shared" si="42"/>
        <v>203920.6020502171</v>
      </c>
      <c r="BS55" s="173">
        <f t="shared" si="43"/>
        <v>0</v>
      </c>
      <c r="BT55" s="173">
        <f t="shared" si="44"/>
        <v>208546.72905025145</v>
      </c>
      <c r="BU55" s="173">
        <f t="shared" si="45"/>
        <v>0</v>
      </c>
      <c r="BV55" s="173">
        <f t="shared" si="46"/>
        <v>215113.77342324919</v>
      </c>
    </row>
    <row r="56" spans="5:74">
      <c r="E56" s="87" t="s">
        <v>169</v>
      </c>
      <c r="F56" s="87" t="s">
        <v>170</v>
      </c>
      <c r="G56" s="173">
        <f>IFERROR(IF(VLOOKUP(E56,A:C,3,FALSE)="YES",VLOOKUP(E56,'School Year 2021-22 SPED coop'!A:P,16,FALSE),0),0)</f>
        <v>0</v>
      </c>
      <c r="H56" s="173">
        <f t="shared" si="47"/>
        <v>1352556.49</v>
      </c>
      <c r="J56" s="87" t="s">
        <v>169</v>
      </c>
      <c r="K56" s="87" t="s">
        <v>170</v>
      </c>
      <c r="L56" s="173">
        <f t="shared" si="6"/>
        <v>0</v>
      </c>
      <c r="M56" s="173">
        <f t="shared" si="7"/>
        <v>1370074.2391633033</v>
      </c>
      <c r="N56" s="173">
        <f t="shared" si="8"/>
        <v>0</v>
      </c>
      <c r="O56" s="173">
        <f t="shared" si="9"/>
        <v>1415671.8006399213</v>
      </c>
      <c r="P56" s="173">
        <f t="shared" si="10"/>
        <v>0</v>
      </c>
      <c r="Q56" s="173">
        <f t="shared" si="11"/>
        <v>1442075.9331481094</v>
      </c>
      <c r="R56" s="173">
        <f t="shared" si="12"/>
        <v>0</v>
      </c>
      <c r="S56" s="173">
        <f t="shared" si="13"/>
        <v>1468971.9500878402</v>
      </c>
      <c r="U56" s="87" t="s">
        <v>169</v>
      </c>
      <c r="V56" s="87" t="s">
        <v>170</v>
      </c>
      <c r="W56" s="173">
        <f t="shared" si="14"/>
        <v>0</v>
      </c>
      <c r="X56" s="173">
        <f t="shared" si="48"/>
        <v>1370074.2391633033</v>
      </c>
      <c r="Y56" s="173">
        <f t="shared" si="49"/>
        <v>0</v>
      </c>
      <c r="Z56" s="173">
        <f t="shared" si="50"/>
        <v>1422607.3076499165</v>
      </c>
      <c r="AA56" s="173">
        <f t="shared" si="51"/>
        <v>0</v>
      </c>
      <c r="AB56" s="173">
        <f t="shared" si="52"/>
        <v>1450202.206138592</v>
      </c>
      <c r="AC56" s="173">
        <f t="shared" si="53"/>
        <v>0</v>
      </c>
      <c r="AD56" s="173">
        <f t="shared" si="54"/>
        <v>1479808.3450211009</v>
      </c>
      <c r="AF56" s="87" t="s">
        <v>169</v>
      </c>
      <c r="AG56" s="87" t="s">
        <v>170</v>
      </c>
      <c r="AH56" s="173">
        <f t="shared" si="15"/>
        <v>0</v>
      </c>
      <c r="AI56" s="173">
        <f t="shared" si="16"/>
        <v>1370074.2391633033</v>
      </c>
      <c r="AJ56" s="173">
        <f t="shared" si="17"/>
        <v>0</v>
      </c>
      <c r="AK56" s="173">
        <f t="shared" si="18"/>
        <v>1418248.9623929504</v>
      </c>
      <c r="AL56" s="173">
        <f t="shared" si="19"/>
        <v>0</v>
      </c>
      <c r="AM56" s="173">
        <f t="shared" si="20"/>
        <v>1451270.3314803012</v>
      </c>
      <c r="AN56" s="173">
        <f t="shared" si="21"/>
        <v>0</v>
      </c>
      <c r="AO56" s="173">
        <f t="shared" si="22"/>
        <v>1477037.7713190112</v>
      </c>
      <c r="AQ56" s="87" t="s">
        <v>169</v>
      </c>
      <c r="AR56" s="87" t="s">
        <v>170</v>
      </c>
      <c r="AS56" s="173">
        <f t="shared" si="23"/>
        <v>0</v>
      </c>
      <c r="AT56" s="173">
        <f t="shared" si="24"/>
        <v>1370074.2391633033</v>
      </c>
      <c r="AU56" s="173">
        <f t="shared" si="25"/>
        <v>0</v>
      </c>
      <c r="AV56" s="173">
        <f t="shared" si="26"/>
        <v>1450988.3058930882</v>
      </c>
      <c r="AW56" s="173">
        <f t="shared" si="27"/>
        <v>0</v>
      </c>
      <c r="AX56" s="173">
        <f t="shared" si="28"/>
        <v>1476799.9152327718</v>
      </c>
      <c r="AY56" s="173">
        <f t="shared" si="29"/>
        <v>0</v>
      </c>
      <c r="AZ56" s="173">
        <f t="shared" si="30"/>
        <v>1504444.0500881085</v>
      </c>
      <c r="BB56" s="87" t="s">
        <v>169</v>
      </c>
      <c r="BC56" s="87" t="s">
        <v>170</v>
      </c>
      <c r="BD56" s="173">
        <f t="shared" si="31"/>
        <v>0</v>
      </c>
      <c r="BE56" s="173">
        <f t="shared" si="32"/>
        <v>1370074.2391633033</v>
      </c>
      <c r="BF56" s="173">
        <f t="shared" si="33"/>
        <v>0</v>
      </c>
      <c r="BG56" s="173">
        <f t="shared" si="34"/>
        <v>1458096.828518067</v>
      </c>
      <c r="BH56" s="173">
        <f t="shared" si="35"/>
        <v>0</v>
      </c>
      <c r="BI56" s="173">
        <f t="shared" si="36"/>
        <v>1485121.8481937933</v>
      </c>
      <c r="BJ56" s="173">
        <f t="shared" si="37"/>
        <v>0</v>
      </c>
      <c r="BK56" s="173">
        <f t="shared" si="38"/>
        <v>1515542.1097266956</v>
      </c>
      <c r="BM56" s="87" t="s">
        <v>169</v>
      </c>
      <c r="BN56" s="87" t="s">
        <v>170</v>
      </c>
      <c r="BO56" s="173">
        <f t="shared" si="39"/>
        <v>0</v>
      </c>
      <c r="BP56" s="173">
        <f t="shared" si="40"/>
        <v>1370074.2391633033</v>
      </c>
      <c r="BQ56" s="173">
        <f t="shared" si="41"/>
        <v>0</v>
      </c>
      <c r="BR56" s="173">
        <f t="shared" si="42"/>
        <v>1453631.4295302301</v>
      </c>
      <c r="BS56" s="173">
        <f t="shared" si="43"/>
        <v>0</v>
      </c>
      <c r="BT56" s="173">
        <f t="shared" si="44"/>
        <v>1486219.1943110365</v>
      </c>
      <c r="BU56" s="173">
        <f t="shared" si="45"/>
        <v>0</v>
      </c>
      <c r="BV56" s="173">
        <f t="shared" si="46"/>
        <v>1512707.5846540448</v>
      </c>
    </row>
    <row r="57" spans="5:74">
      <c r="E57" s="87" t="s">
        <v>45</v>
      </c>
      <c r="F57" s="87" t="s">
        <v>46</v>
      </c>
      <c r="G57" s="173">
        <f>IFERROR(IF(VLOOKUP(E57,A:C,3,FALSE)="YES",VLOOKUP(E57,'School Year 2021-22 SPED coop'!A:P,16,FALSE),0),0)</f>
        <v>0</v>
      </c>
      <c r="H57" s="173">
        <f t="shared" si="47"/>
        <v>274656.55000000005</v>
      </c>
      <c r="J57" s="87" t="s">
        <v>45</v>
      </c>
      <c r="K57" s="87" t="s">
        <v>46</v>
      </c>
      <c r="L57" s="173">
        <f t="shared" si="6"/>
        <v>0</v>
      </c>
      <c r="M57" s="173">
        <f t="shared" si="7"/>
        <v>277731.14619303163</v>
      </c>
      <c r="N57" s="173">
        <f t="shared" si="8"/>
        <v>0</v>
      </c>
      <c r="O57" s="173">
        <f t="shared" si="9"/>
        <v>287152.12591022789</v>
      </c>
      <c r="P57" s="173">
        <f t="shared" si="10"/>
        <v>0</v>
      </c>
      <c r="Q57" s="173">
        <f t="shared" si="11"/>
        <v>292473.63156531338</v>
      </c>
      <c r="R57" s="173">
        <f t="shared" si="12"/>
        <v>0</v>
      </c>
      <c r="S57" s="173">
        <f t="shared" si="13"/>
        <v>297864.25413298729</v>
      </c>
      <c r="U57" s="87" t="s">
        <v>45</v>
      </c>
      <c r="V57" s="87" t="s">
        <v>46</v>
      </c>
      <c r="W57" s="173">
        <f t="shared" si="14"/>
        <v>0</v>
      </c>
      <c r="X57" s="173">
        <f t="shared" si="48"/>
        <v>277731.14619303163</v>
      </c>
      <c r="Y57" s="173">
        <f t="shared" si="49"/>
        <v>0</v>
      </c>
      <c r="Z57" s="173">
        <f t="shared" si="50"/>
        <v>288558.27272788982</v>
      </c>
      <c r="AA57" s="173">
        <f t="shared" si="51"/>
        <v>0</v>
      </c>
      <c r="AB57" s="173">
        <f t="shared" si="52"/>
        <v>294129.88903257548</v>
      </c>
      <c r="AC57" s="173">
        <f t="shared" si="53"/>
        <v>0</v>
      </c>
      <c r="AD57" s="173">
        <f t="shared" si="54"/>
        <v>300060.90687913192</v>
      </c>
      <c r="AF57" s="87" t="s">
        <v>45</v>
      </c>
      <c r="AG57" s="87" t="s">
        <v>46</v>
      </c>
      <c r="AH57" s="173">
        <f t="shared" si="15"/>
        <v>0</v>
      </c>
      <c r="AI57" s="173">
        <f t="shared" si="16"/>
        <v>277731.14619303163</v>
      </c>
      <c r="AJ57" s="173">
        <f t="shared" si="17"/>
        <v>0</v>
      </c>
      <c r="AK57" s="173">
        <f t="shared" si="18"/>
        <v>285078.8779944877</v>
      </c>
      <c r="AL57" s="173">
        <f t="shared" si="19"/>
        <v>0</v>
      </c>
      <c r="AM57" s="173">
        <f t="shared" si="20"/>
        <v>290190.13006196701</v>
      </c>
      <c r="AN57" s="173">
        <f t="shared" si="21"/>
        <v>0</v>
      </c>
      <c r="AO57" s="173">
        <f t="shared" si="22"/>
        <v>296601.01536499313</v>
      </c>
      <c r="AQ57" s="87" t="s">
        <v>45</v>
      </c>
      <c r="AR57" s="87" t="s">
        <v>46</v>
      </c>
      <c r="AS57" s="173">
        <f t="shared" si="23"/>
        <v>0</v>
      </c>
      <c r="AT57" s="173">
        <f t="shared" si="24"/>
        <v>277731.14619303163</v>
      </c>
      <c r="AU57" s="173">
        <f t="shared" si="25"/>
        <v>0</v>
      </c>
      <c r="AV57" s="173">
        <f t="shared" si="26"/>
        <v>294219.67310138885</v>
      </c>
      <c r="AW57" s="173">
        <f t="shared" si="27"/>
        <v>0</v>
      </c>
      <c r="AX57" s="173">
        <f t="shared" si="28"/>
        <v>299392.56303337734</v>
      </c>
      <c r="AY57" s="173">
        <f t="shared" si="29"/>
        <v>0</v>
      </c>
      <c r="AZ57" s="173">
        <f t="shared" si="30"/>
        <v>304932.73327468097</v>
      </c>
      <c r="BB57" s="87" t="s">
        <v>45</v>
      </c>
      <c r="BC57" s="87" t="s">
        <v>46</v>
      </c>
      <c r="BD57" s="173">
        <f t="shared" si="31"/>
        <v>0</v>
      </c>
      <c r="BE57" s="173">
        <f t="shared" si="32"/>
        <v>277731.14619303163</v>
      </c>
      <c r="BF57" s="173">
        <f t="shared" si="33"/>
        <v>0</v>
      </c>
      <c r="BG57" s="173">
        <f t="shared" si="34"/>
        <v>295660.42786254454</v>
      </c>
      <c r="BH57" s="173">
        <f t="shared" si="35"/>
        <v>0</v>
      </c>
      <c r="BI57" s="173">
        <f t="shared" si="36"/>
        <v>301088.00342374574</v>
      </c>
      <c r="BJ57" s="173">
        <f t="shared" si="37"/>
        <v>0</v>
      </c>
      <c r="BK57" s="173">
        <f t="shared" si="38"/>
        <v>307181.51214402</v>
      </c>
      <c r="BM57" s="87" t="s">
        <v>45</v>
      </c>
      <c r="BN57" s="87" t="s">
        <v>46</v>
      </c>
      <c r="BO57" s="173">
        <f t="shared" si="39"/>
        <v>0</v>
      </c>
      <c r="BP57" s="173">
        <f t="shared" si="40"/>
        <v>277731.14619303163</v>
      </c>
      <c r="BQ57" s="173">
        <f t="shared" si="41"/>
        <v>0</v>
      </c>
      <c r="BR57" s="173">
        <f t="shared" si="42"/>
        <v>292094.9827580764</v>
      </c>
      <c r="BS57" s="173">
        <f t="shared" si="43"/>
        <v>0</v>
      </c>
      <c r="BT57" s="173">
        <f t="shared" si="44"/>
        <v>297054.97417345614</v>
      </c>
      <c r="BU57" s="173">
        <f t="shared" si="45"/>
        <v>0</v>
      </c>
      <c r="BV57" s="173">
        <f t="shared" si="46"/>
        <v>303639.78475082724</v>
      </c>
    </row>
    <row r="58" spans="5:74">
      <c r="E58" s="87" t="s">
        <v>303</v>
      </c>
      <c r="F58" s="87" t="s">
        <v>304</v>
      </c>
      <c r="G58" s="173">
        <f>IFERROR(IF(VLOOKUP(E58,A:C,3,FALSE)="YES",VLOOKUP(E58,'School Year 2021-22 SPED coop'!A:P,16,FALSE),0),0)</f>
        <v>0</v>
      </c>
      <c r="H58" s="173">
        <f t="shared" si="47"/>
        <v>101596.62000000001</v>
      </c>
      <c r="J58" s="87" t="s">
        <v>303</v>
      </c>
      <c r="K58" s="87" t="s">
        <v>304</v>
      </c>
      <c r="L58" s="173">
        <f t="shared" si="6"/>
        <v>0</v>
      </c>
      <c r="M58" s="173">
        <f t="shared" si="7"/>
        <v>102795.59651943565</v>
      </c>
      <c r="N58" s="173">
        <f t="shared" si="8"/>
        <v>0</v>
      </c>
      <c r="O58" s="173">
        <f t="shared" si="9"/>
        <v>106270.49528755242</v>
      </c>
      <c r="P58" s="173">
        <f t="shared" si="10"/>
        <v>0</v>
      </c>
      <c r="Q58" s="173">
        <f t="shared" si="11"/>
        <v>108242.24289966472</v>
      </c>
      <c r="R58" s="173">
        <f t="shared" si="12"/>
        <v>0</v>
      </c>
      <c r="S58" s="173">
        <f t="shared" si="13"/>
        <v>110241.59379981935</v>
      </c>
      <c r="U58" s="87" t="s">
        <v>303</v>
      </c>
      <c r="V58" s="87" t="s">
        <v>304</v>
      </c>
      <c r="W58" s="173">
        <f t="shared" si="14"/>
        <v>0</v>
      </c>
      <c r="X58" s="173">
        <f t="shared" si="48"/>
        <v>102795.59651943565</v>
      </c>
      <c r="Y58" s="173">
        <f t="shared" si="49"/>
        <v>0</v>
      </c>
      <c r="Z58" s="173">
        <f t="shared" si="50"/>
        <v>106270.49528755242</v>
      </c>
      <c r="AA58" s="173">
        <f t="shared" si="51"/>
        <v>0</v>
      </c>
      <c r="AB58" s="173">
        <f t="shared" si="52"/>
        <v>108242.24289966472</v>
      </c>
      <c r="AC58" s="173">
        <f t="shared" si="53"/>
        <v>0</v>
      </c>
      <c r="AD58" s="173">
        <f t="shared" si="54"/>
        <v>110241.59379981935</v>
      </c>
      <c r="AF58" s="87" t="s">
        <v>303</v>
      </c>
      <c r="AG58" s="87" t="s">
        <v>304</v>
      </c>
      <c r="AH58" s="173">
        <f t="shared" si="15"/>
        <v>0</v>
      </c>
      <c r="AI58" s="173">
        <f t="shared" si="16"/>
        <v>102795.59651943565</v>
      </c>
      <c r="AJ58" s="173">
        <f t="shared" si="17"/>
        <v>0</v>
      </c>
      <c r="AK58" s="173">
        <f t="shared" si="18"/>
        <v>106630.17775904151</v>
      </c>
      <c r="AL58" s="173">
        <f t="shared" si="19"/>
        <v>0</v>
      </c>
      <c r="AM58" s="173">
        <f t="shared" si="20"/>
        <v>110014.48997465485</v>
      </c>
      <c r="AN58" s="173">
        <f t="shared" si="21"/>
        <v>0</v>
      </c>
      <c r="AO58" s="173">
        <f t="shared" si="22"/>
        <v>113588.34767760328</v>
      </c>
      <c r="AQ58" s="87" t="s">
        <v>303</v>
      </c>
      <c r="AR58" s="87" t="s">
        <v>304</v>
      </c>
      <c r="AS58" s="173">
        <f t="shared" si="23"/>
        <v>0</v>
      </c>
      <c r="AT58" s="173">
        <f t="shared" si="24"/>
        <v>102795.59651943565</v>
      </c>
      <c r="AU58" s="173">
        <f t="shared" si="25"/>
        <v>0</v>
      </c>
      <c r="AV58" s="173">
        <f t="shared" si="26"/>
        <v>108893.91248667118</v>
      </c>
      <c r="AW58" s="173">
        <f t="shared" si="27"/>
        <v>0</v>
      </c>
      <c r="AX58" s="173">
        <f t="shared" si="28"/>
        <v>110812.56306851436</v>
      </c>
      <c r="AY58" s="173">
        <f t="shared" si="29"/>
        <v>0</v>
      </c>
      <c r="AZ58" s="173">
        <f t="shared" si="30"/>
        <v>112867.42966076569</v>
      </c>
      <c r="BB58" s="87" t="s">
        <v>303</v>
      </c>
      <c r="BC58" s="87" t="s">
        <v>304</v>
      </c>
      <c r="BD58" s="173">
        <f t="shared" si="31"/>
        <v>0</v>
      </c>
      <c r="BE58" s="173">
        <f t="shared" si="32"/>
        <v>102795.59651943565</v>
      </c>
      <c r="BF58" s="173">
        <f t="shared" si="33"/>
        <v>0</v>
      </c>
      <c r="BG58" s="173">
        <f t="shared" si="34"/>
        <v>108893.91248667118</v>
      </c>
      <c r="BH58" s="173">
        <f t="shared" si="35"/>
        <v>0</v>
      </c>
      <c r="BI58" s="173">
        <f t="shared" si="36"/>
        <v>110812.56306851436</v>
      </c>
      <c r="BJ58" s="173">
        <f t="shared" si="37"/>
        <v>0</v>
      </c>
      <c r="BK58" s="173">
        <f t="shared" si="38"/>
        <v>112867.42966076569</v>
      </c>
      <c r="BM58" s="87" t="s">
        <v>303</v>
      </c>
      <c r="BN58" s="87" t="s">
        <v>304</v>
      </c>
      <c r="BO58" s="173">
        <f t="shared" si="39"/>
        <v>0</v>
      </c>
      <c r="BP58" s="173">
        <f t="shared" si="40"/>
        <v>102795.59651943565</v>
      </c>
      <c r="BQ58" s="173">
        <f t="shared" si="41"/>
        <v>0</v>
      </c>
      <c r="BR58" s="173">
        <f t="shared" si="42"/>
        <v>109262.74371251566</v>
      </c>
      <c r="BS58" s="173">
        <f t="shared" si="43"/>
        <v>0</v>
      </c>
      <c r="BT58" s="173">
        <f t="shared" si="44"/>
        <v>112627.81567359208</v>
      </c>
      <c r="BU58" s="173">
        <f t="shared" si="45"/>
        <v>0</v>
      </c>
      <c r="BV58" s="173">
        <f t="shared" si="46"/>
        <v>116295.38412732653</v>
      </c>
    </row>
    <row r="59" spans="5:74">
      <c r="E59" s="87" t="s">
        <v>103</v>
      </c>
      <c r="F59" s="87" t="s">
        <v>104</v>
      </c>
      <c r="G59" s="173">
        <f>IFERROR(IF(VLOOKUP(E59,A:C,3,FALSE)="YES",VLOOKUP(E59,'School Year 2021-22 SPED coop'!A:P,16,FALSE),0),0)</f>
        <v>0</v>
      </c>
      <c r="H59" s="173">
        <f t="shared" si="47"/>
        <v>237593.85</v>
      </c>
      <c r="J59" s="87" t="s">
        <v>103</v>
      </c>
      <c r="K59" s="87" t="s">
        <v>104</v>
      </c>
      <c r="L59" s="173">
        <f t="shared" si="6"/>
        <v>0</v>
      </c>
      <c r="M59" s="173">
        <f t="shared" si="7"/>
        <v>240388.16719346348</v>
      </c>
      <c r="N59" s="173">
        <f t="shared" si="8"/>
        <v>0</v>
      </c>
      <c r="O59" s="173">
        <f t="shared" si="9"/>
        <v>248513.2785626206</v>
      </c>
      <c r="P59" s="173">
        <f t="shared" si="10"/>
        <v>0</v>
      </c>
      <c r="Q59" s="173">
        <f t="shared" si="11"/>
        <v>253125.39876905468</v>
      </c>
      <c r="R59" s="173">
        <f t="shared" si="12"/>
        <v>0</v>
      </c>
      <c r="S59" s="173">
        <f t="shared" si="13"/>
        <v>257803.05094590571</v>
      </c>
      <c r="U59" s="87" t="s">
        <v>103</v>
      </c>
      <c r="V59" s="87" t="s">
        <v>104</v>
      </c>
      <c r="W59" s="173">
        <f t="shared" si="14"/>
        <v>0</v>
      </c>
      <c r="X59" s="173">
        <f t="shared" si="48"/>
        <v>240388.16719346348</v>
      </c>
      <c r="Y59" s="173">
        <f t="shared" si="49"/>
        <v>0</v>
      </c>
      <c r="Z59" s="173">
        <f t="shared" si="50"/>
        <v>249728.89288894983</v>
      </c>
      <c r="AA59" s="173">
        <f t="shared" si="51"/>
        <v>0</v>
      </c>
      <c r="AB59" s="173">
        <f t="shared" si="52"/>
        <v>254548.11028532955</v>
      </c>
      <c r="AC59" s="173">
        <f t="shared" si="53"/>
        <v>0</v>
      </c>
      <c r="AD59" s="173">
        <f t="shared" si="54"/>
        <v>259695.79977589473</v>
      </c>
      <c r="AF59" s="87" t="s">
        <v>103</v>
      </c>
      <c r="AG59" s="87" t="s">
        <v>104</v>
      </c>
      <c r="AH59" s="173">
        <f t="shared" si="15"/>
        <v>0</v>
      </c>
      <c r="AI59" s="173">
        <f t="shared" si="16"/>
        <v>240388.16719346348</v>
      </c>
      <c r="AJ59" s="173">
        <f t="shared" si="17"/>
        <v>0</v>
      </c>
      <c r="AK59" s="173">
        <f t="shared" si="18"/>
        <v>247111.79162436604</v>
      </c>
      <c r="AL59" s="173">
        <f t="shared" si="19"/>
        <v>0</v>
      </c>
      <c r="AM59" s="173">
        <f t="shared" si="20"/>
        <v>251945.40022629307</v>
      </c>
      <c r="AN59" s="173">
        <f t="shared" si="21"/>
        <v>0</v>
      </c>
      <c r="AO59" s="173">
        <f t="shared" si="22"/>
        <v>258227.5289996606</v>
      </c>
      <c r="AQ59" s="87" t="s">
        <v>103</v>
      </c>
      <c r="AR59" s="87" t="s">
        <v>104</v>
      </c>
      <c r="AS59" s="173">
        <f t="shared" si="23"/>
        <v>0</v>
      </c>
      <c r="AT59" s="173">
        <f t="shared" si="24"/>
        <v>240388.16719346348</v>
      </c>
      <c r="AU59" s="173">
        <f t="shared" si="25"/>
        <v>0</v>
      </c>
      <c r="AV59" s="173">
        <f t="shared" si="26"/>
        <v>254648.91678290436</v>
      </c>
      <c r="AW59" s="173">
        <f t="shared" si="27"/>
        <v>0</v>
      </c>
      <c r="AX59" s="173">
        <f t="shared" si="28"/>
        <v>259137.72539381898</v>
      </c>
      <c r="AY59" s="173">
        <f t="shared" si="29"/>
        <v>0</v>
      </c>
      <c r="AZ59" s="173">
        <f t="shared" si="30"/>
        <v>263945.23737104097</v>
      </c>
      <c r="BB59" s="87" t="s">
        <v>103</v>
      </c>
      <c r="BC59" s="87" t="s">
        <v>104</v>
      </c>
      <c r="BD59" s="173">
        <f t="shared" si="31"/>
        <v>0</v>
      </c>
      <c r="BE59" s="173">
        <f t="shared" si="32"/>
        <v>240388.16719346348</v>
      </c>
      <c r="BF59" s="173">
        <f t="shared" si="33"/>
        <v>0</v>
      </c>
      <c r="BG59" s="173">
        <f t="shared" si="34"/>
        <v>255894.54227570762</v>
      </c>
      <c r="BH59" s="173">
        <f t="shared" si="35"/>
        <v>0</v>
      </c>
      <c r="BI59" s="173">
        <f t="shared" si="36"/>
        <v>260594.22555486625</v>
      </c>
      <c r="BJ59" s="173">
        <f t="shared" si="37"/>
        <v>0</v>
      </c>
      <c r="BK59" s="173">
        <f t="shared" si="38"/>
        <v>265883.07518051728</v>
      </c>
      <c r="BM59" s="87" t="s">
        <v>103</v>
      </c>
      <c r="BN59" s="87" t="s">
        <v>104</v>
      </c>
      <c r="BO59" s="173">
        <f t="shared" si="39"/>
        <v>0</v>
      </c>
      <c r="BP59" s="173">
        <f t="shared" si="40"/>
        <v>240388.16719346348</v>
      </c>
      <c r="BQ59" s="173">
        <f t="shared" si="41"/>
        <v>0</v>
      </c>
      <c r="BR59" s="173">
        <f t="shared" si="42"/>
        <v>253212.67202729566</v>
      </c>
      <c r="BS59" s="173">
        <f t="shared" si="43"/>
        <v>0</v>
      </c>
      <c r="BT59" s="173">
        <f t="shared" si="44"/>
        <v>257929.61819541379</v>
      </c>
      <c r="BU59" s="173">
        <f t="shared" si="45"/>
        <v>0</v>
      </c>
      <c r="BV59" s="173">
        <f t="shared" si="46"/>
        <v>264380.52773787465</v>
      </c>
    </row>
    <row r="60" spans="5:74">
      <c r="E60" s="87" t="s">
        <v>357</v>
      </c>
      <c r="F60" s="87" t="s">
        <v>358</v>
      </c>
      <c r="G60" s="173">
        <f>IFERROR(IF(VLOOKUP(E60,A:C,3,FALSE)="YES",VLOOKUP(E60,'School Year 2021-22 SPED coop'!A:P,16,FALSE),0),0)</f>
        <v>0</v>
      </c>
      <c r="H60" s="173">
        <f t="shared" si="47"/>
        <v>386728.77</v>
      </c>
      <c r="J60" s="87" t="s">
        <v>357</v>
      </c>
      <c r="K60" s="87" t="s">
        <v>358</v>
      </c>
      <c r="L60" s="173">
        <f t="shared" si="6"/>
        <v>0</v>
      </c>
      <c r="M60" s="173">
        <f t="shared" si="7"/>
        <v>391045.89287423418</v>
      </c>
      <c r="N60" s="173">
        <f t="shared" si="8"/>
        <v>0</v>
      </c>
      <c r="O60" s="173">
        <f t="shared" si="9"/>
        <v>404304.8910486169</v>
      </c>
      <c r="P60" s="173">
        <f t="shared" si="10"/>
        <v>0</v>
      </c>
      <c r="Q60" s="173">
        <f t="shared" si="11"/>
        <v>411797.76111273671</v>
      </c>
      <c r="R60" s="173">
        <f t="shared" si="12"/>
        <v>0</v>
      </c>
      <c r="S60" s="173">
        <f t="shared" si="13"/>
        <v>419388.17556678999</v>
      </c>
      <c r="U60" s="87" t="s">
        <v>357</v>
      </c>
      <c r="V60" s="87" t="s">
        <v>358</v>
      </c>
      <c r="W60" s="173">
        <f t="shared" si="14"/>
        <v>0</v>
      </c>
      <c r="X60" s="173">
        <f t="shared" si="48"/>
        <v>391045.89287423418</v>
      </c>
      <c r="Y60" s="173">
        <f t="shared" si="49"/>
        <v>0</v>
      </c>
      <c r="Z60" s="173">
        <f t="shared" si="50"/>
        <v>406284.33769806573</v>
      </c>
      <c r="AA60" s="173">
        <f t="shared" si="51"/>
        <v>0</v>
      </c>
      <c r="AB60" s="173">
        <f t="shared" si="52"/>
        <v>414103.74612782913</v>
      </c>
      <c r="AC60" s="173">
        <f t="shared" si="53"/>
        <v>0</v>
      </c>
      <c r="AD60" s="173">
        <f t="shared" si="54"/>
        <v>422480.67620745918</v>
      </c>
      <c r="AF60" s="87" t="s">
        <v>357</v>
      </c>
      <c r="AG60" s="87" t="s">
        <v>358</v>
      </c>
      <c r="AH60" s="173">
        <f t="shared" si="15"/>
        <v>0</v>
      </c>
      <c r="AI60" s="173">
        <f t="shared" si="16"/>
        <v>391045.89287423418</v>
      </c>
      <c r="AJ60" s="173">
        <f t="shared" si="17"/>
        <v>0</v>
      </c>
      <c r="AK60" s="173">
        <f t="shared" si="18"/>
        <v>404278.39344099257</v>
      </c>
      <c r="AL60" s="173">
        <f t="shared" si="19"/>
        <v>0</v>
      </c>
      <c r="AM60" s="173">
        <f t="shared" si="20"/>
        <v>410437.94789505575</v>
      </c>
      <c r="AN60" s="173">
        <f t="shared" si="21"/>
        <v>0</v>
      </c>
      <c r="AO60" s="173">
        <f t="shared" si="22"/>
        <v>417515.69261355384</v>
      </c>
      <c r="AQ60" s="87" t="s">
        <v>357</v>
      </c>
      <c r="AR60" s="87" t="s">
        <v>358</v>
      </c>
      <c r="AS60" s="173">
        <f t="shared" si="23"/>
        <v>0</v>
      </c>
      <c r="AT60" s="173">
        <f t="shared" si="24"/>
        <v>391045.89287423418</v>
      </c>
      <c r="AU60" s="173">
        <f t="shared" si="25"/>
        <v>0</v>
      </c>
      <c r="AV60" s="173">
        <f t="shared" si="26"/>
        <v>414257.0886929945</v>
      </c>
      <c r="AW60" s="173">
        <f t="shared" si="27"/>
        <v>0</v>
      </c>
      <c r="AX60" s="173">
        <f t="shared" si="28"/>
        <v>421540.92831582273</v>
      </c>
      <c r="AY60" s="173">
        <f t="shared" si="29"/>
        <v>0</v>
      </c>
      <c r="AZ60" s="173">
        <f t="shared" si="30"/>
        <v>429341.93497365306</v>
      </c>
      <c r="BB60" s="87" t="s">
        <v>357</v>
      </c>
      <c r="BC60" s="87" t="s">
        <v>358</v>
      </c>
      <c r="BD60" s="173">
        <f t="shared" si="31"/>
        <v>0</v>
      </c>
      <c r="BE60" s="173">
        <f t="shared" si="32"/>
        <v>391045.89287423418</v>
      </c>
      <c r="BF60" s="173">
        <f t="shared" si="33"/>
        <v>0</v>
      </c>
      <c r="BG60" s="173">
        <f t="shared" si="34"/>
        <v>416285.25906945439</v>
      </c>
      <c r="BH60" s="173">
        <f t="shared" si="35"/>
        <v>0</v>
      </c>
      <c r="BI60" s="173">
        <f t="shared" si="36"/>
        <v>423901.46310483344</v>
      </c>
      <c r="BJ60" s="173">
        <f t="shared" si="37"/>
        <v>0</v>
      </c>
      <c r="BK60" s="173">
        <f t="shared" si="38"/>
        <v>432507.83058477665</v>
      </c>
      <c r="BM60" s="87" t="s">
        <v>357</v>
      </c>
      <c r="BN60" s="87" t="s">
        <v>358</v>
      </c>
      <c r="BO60" s="173">
        <f t="shared" si="39"/>
        <v>0</v>
      </c>
      <c r="BP60" s="173">
        <f t="shared" si="40"/>
        <v>391045.89287423418</v>
      </c>
      <c r="BQ60" s="173">
        <f t="shared" si="41"/>
        <v>0</v>
      </c>
      <c r="BR60" s="173">
        <f t="shared" si="42"/>
        <v>414229.46061887109</v>
      </c>
      <c r="BS60" s="173">
        <f t="shared" si="43"/>
        <v>0</v>
      </c>
      <c r="BT60" s="173">
        <f t="shared" si="44"/>
        <v>420147.68243348971</v>
      </c>
      <c r="BU60" s="173">
        <f t="shared" si="45"/>
        <v>0</v>
      </c>
      <c r="BV60" s="173">
        <f t="shared" si="46"/>
        <v>427423.39129483007</v>
      </c>
    </row>
    <row r="61" spans="5:74">
      <c r="E61" s="87" t="s">
        <v>239</v>
      </c>
      <c r="F61" s="87" t="s">
        <v>240</v>
      </c>
      <c r="G61" s="173">
        <f>IFERROR(IF(VLOOKUP(E61,A:C,3,FALSE)="YES",VLOOKUP(E61,'School Year 2021-22 SPED coop'!A:P,16,FALSE),0),0)</f>
        <v>0</v>
      </c>
      <c r="H61" s="173">
        <f t="shared" si="47"/>
        <v>46959.58</v>
      </c>
      <c r="J61" s="87" t="s">
        <v>239</v>
      </c>
      <c r="K61" s="87" t="s">
        <v>240</v>
      </c>
      <c r="L61" s="173">
        <f t="shared" si="6"/>
        <v>0</v>
      </c>
      <c r="M61" s="173">
        <f t="shared" si="7"/>
        <v>51164.771231945269</v>
      </c>
      <c r="N61" s="173">
        <f t="shared" si="8"/>
        <v>0</v>
      </c>
      <c r="O61" s="173">
        <f t="shared" si="9"/>
        <v>52888.944051886268</v>
      </c>
      <c r="P61" s="173">
        <f t="shared" si="10"/>
        <v>0</v>
      </c>
      <c r="Q61" s="173">
        <f t="shared" si="11"/>
        <v>53867.534538157517</v>
      </c>
      <c r="R61" s="173">
        <f t="shared" si="12"/>
        <v>0</v>
      </c>
      <c r="S61" s="173">
        <f t="shared" si="13"/>
        <v>54857.562991681749</v>
      </c>
      <c r="U61" s="87" t="s">
        <v>239</v>
      </c>
      <c r="V61" s="87" t="s">
        <v>240</v>
      </c>
      <c r="W61" s="173">
        <f t="shared" si="14"/>
        <v>0</v>
      </c>
      <c r="X61" s="173">
        <f t="shared" si="48"/>
        <v>51164.771231945269</v>
      </c>
      <c r="Y61" s="173">
        <f t="shared" si="49"/>
        <v>0</v>
      </c>
      <c r="Z61" s="173">
        <f t="shared" si="50"/>
        <v>52888.944051886268</v>
      </c>
      <c r="AA61" s="173">
        <f t="shared" si="51"/>
        <v>0</v>
      </c>
      <c r="AB61" s="173">
        <f t="shared" si="52"/>
        <v>53867.534538157517</v>
      </c>
      <c r="AC61" s="173">
        <f t="shared" si="53"/>
        <v>0</v>
      </c>
      <c r="AD61" s="173">
        <f t="shared" si="54"/>
        <v>54857.562991681749</v>
      </c>
      <c r="AF61" s="87" t="s">
        <v>239</v>
      </c>
      <c r="AG61" s="87" t="s">
        <v>240</v>
      </c>
      <c r="AH61" s="173">
        <f t="shared" si="15"/>
        <v>0</v>
      </c>
      <c r="AI61" s="173">
        <f t="shared" si="16"/>
        <v>51164.771231945269</v>
      </c>
      <c r="AJ61" s="173">
        <f t="shared" si="17"/>
        <v>0</v>
      </c>
      <c r="AK61" s="173">
        <f t="shared" si="18"/>
        <v>54346.193490726211</v>
      </c>
      <c r="AL61" s="173">
        <f t="shared" si="19"/>
        <v>0</v>
      </c>
      <c r="AM61" s="173">
        <f t="shared" si="20"/>
        <v>56587.18519839755</v>
      </c>
      <c r="AN61" s="173">
        <f t="shared" si="21"/>
        <v>0</v>
      </c>
      <c r="AO61" s="173">
        <f t="shared" si="22"/>
        <v>55826.615129515696</v>
      </c>
      <c r="AQ61" s="87" t="s">
        <v>239</v>
      </c>
      <c r="AR61" s="87" t="s">
        <v>240</v>
      </c>
      <c r="AS61" s="173">
        <f t="shared" si="23"/>
        <v>0</v>
      </c>
      <c r="AT61" s="173">
        <f t="shared" si="24"/>
        <v>51164.771231945269</v>
      </c>
      <c r="AU61" s="173">
        <f t="shared" si="25"/>
        <v>0</v>
      </c>
      <c r="AV61" s="173">
        <f t="shared" si="26"/>
        <v>54191.829256296231</v>
      </c>
      <c r="AW61" s="173">
        <f t="shared" si="27"/>
        <v>0</v>
      </c>
      <c r="AX61" s="173">
        <f t="shared" si="28"/>
        <v>55141.957948875672</v>
      </c>
      <c r="AY61" s="173">
        <f t="shared" si="29"/>
        <v>0</v>
      </c>
      <c r="AZ61" s="173">
        <f t="shared" si="30"/>
        <v>56159.533265291393</v>
      </c>
      <c r="BB61" s="87" t="s">
        <v>239</v>
      </c>
      <c r="BC61" s="87" t="s">
        <v>240</v>
      </c>
      <c r="BD61" s="173">
        <f t="shared" si="31"/>
        <v>0</v>
      </c>
      <c r="BE61" s="173">
        <f t="shared" si="32"/>
        <v>51164.771231945269</v>
      </c>
      <c r="BF61" s="173">
        <f t="shared" si="33"/>
        <v>0</v>
      </c>
      <c r="BG61" s="173">
        <f t="shared" si="34"/>
        <v>54191.829256296231</v>
      </c>
      <c r="BH61" s="173">
        <f t="shared" si="35"/>
        <v>0</v>
      </c>
      <c r="BI61" s="173">
        <f t="shared" si="36"/>
        <v>55141.957948875672</v>
      </c>
      <c r="BJ61" s="173">
        <f t="shared" si="37"/>
        <v>0</v>
      </c>
      <c r="BK61" s="173">
        <f t="shared" si="38"/>
        <v>56159.533265291393</v>
      </c>
      <c r="BM61" s="87" t="s">
        <v>239</v>
      </c>
      <c r="BN61" s="87" t="s">
        <v>240</v>
      </c>
      <c r="BO61" s="173">
        <f t="shared" si="39"/>
        <v>0</v>
      </c>
      <c r="BP61" s="173">
        <f t="shared" si="40"/>
        <v>51164.771231945269</v>
      </c>
      <c r="BQ61" s="173">
        <f t="shared" si="41"/>
        <v>0</v>
      </c>
      <c r="BR61" s="173">
        <f t="shared" si="42"/>
        <v>55685.552218568475</v>
      </c>
      <c r="BS61" s="173">
        <f t="shared" si="43"/>
        <v>0</v>
      </c>
      <c r="BT61" s="173">
        <f t="shared" si="44"/>
        <v>57926.855101095345</v>
      </c>
      <c r="BU61" s="173">
        <f t="shared" si="45"/>
        <v>0</v>
      </c>
      <c r="BV61" s="173">
        <f t="shared" si="46"/>
        <v>57151.91168715572</v>
      </c>
    </row>
    <row r="62" spans="5:74">
      <c r="E62" s="87" t="s">
        <v>445</v>
      </c>
      <c r="F62" s="87" t="s">
        <v>446</v>
      </c>
      <c r="G62" s="173">
        <f>IFERROR(IF(VLOOKUP(E62,A:C,3,FALSE)="YES",VLOOKUP(E62,'School Year 2021-22 SPED coop'!A:P,16,FALSE),0),0)</f>
        <v>0</v>
      </c>
      <c r="H62" s="173">
        <f t="shared" si="47"/>
        <v>566734.4</v>
      </c>
      <c r="J62" s="87" t="s">
        <v>445</v>
      </c>
      <c r="K62" s="87" t="s">
        <v>446</v>
      </c>
      <c r="L62" s="173">
        <f t="shared" si="6"/>
        <v>0</v>
      </c>
      <c r="M62" s="173">
        <f t="shared" si="7"/>
        <v>573153.62381470762</v>
      </c>
      <c r="N62" s="173">
        <f t="shared" si="8"/>
        <v>0</v>
      </c>
      <c r="O62" s="173">
        <f t="shared" si="9"/>
        <v>592262.36378033995</v>
      </c>
      <c r="P62" s="173">
        <f t="shared" si="10"/>
        <v>0</v>
      </c>
      <c r="Q62" s="173">
        <f t="shared" si="11"/>
        <v>603292.13685878331</v>
      </c>
      <c r="R62" s="173">
        <f t="shared" si="12"/>
        <v>0</v>
      </c>
      <c r="S62" s="173">
        <f t="shared" si="13"/>
        <v>614513.46605303639</v>
      </c>
      <c r="U62" s="87" t="s">
        <v>445</v>
      </c>
      <c r="V62" s="87" t="s">
        <v>446</v>
      </c>
      <c r="W62" s="173">
        <f t="shared" si="14"/>
        <v>0</v>
      </c>
      <c r="X62" s="173">
        <f t="shared" si="48"/>
        <v>573153.62381470762</v>
      </c>
      <c r="Y62" s="173">
        <f t="shared" si="49"/>
        <v>0</v>
      </c>
      <c r="Z62" s="173">
        <f t="shared" si="50"/>
        <v>595158.83902607835</v>
      </c>
      <c r="AA62" s="173">
        <f t="shared" si="51"/>
        <v>0</v>
      </c>
      <c r="AB62" s="173">
        <f t="shared" si="52"/>
        <v>606700.16329480766</v>
      </c>
      <c r="AC62" s="173">
        <f t="shared" si="53"/>
        <v>0</v>
      </c>
      <c r="AD62" s="173">
        <f t="shared" si="54"/>
        <v>619064.95233202423</v>
      </c>
      <c r="AF62" s="87" t="s">
        <v>445</v>
      </c>
      <c r="AG62" s="87" t="s">
        <v>446</v>
      </c>
      <c r="AH62" s="173">
        <f t="shared" si="15"/>
        <v>0</v>
      </c>
      <c r="AI62" s="173">
        <f t="shared" si="16"/>
        <v>573153.62381470762</v>
      </c>
      <c r="AJ62" s="173">
        <f t="shared" si="17"/>
        <v>0</v>
      </c>
      <c r="AK62" s="173">
        <f t="shared" si="18"/>
        <v>583901.02315834141</v>
      </c>
      <c r="AL62" s="173">
        <f t="shared" si="19"/>
        <v>0</v>
      </c>
      <c r="AM62" s="173">
        <f t="shared" si="20"/>
        <v>595650.8625845057</v>
      </c>
      <c r="AN62" s="173">
        <f t="shared" si="21"/>
        <v>0</v>
      </c>
      <c r="AO62" s="173">
        <f t="shared" si="22"/>
        <v>606730.99921878288</v>
      </c>
      <c r="AQ62" s="87" t="s">
        <v>445</v>
      </c>
      <c r="AR62" s="87" t="s">
        <v>446</v>
      </c>
      <c r="AS62" s="173">
        <f t="shared" si="23"/>
        <v>0</v>
      </c>
      <c r="AT62" s="173">
        <f t="shared" si="24"/>
        <v>573153.62381470762</v>
      </c>
      <c r="AU62" s="173">
        <f t="shared" si="25"/>
        <v>0</v>
      </c>
      <c r="AV62" s="173">
        <f t="shared" si="26"/>
        <v>607001.73960153514</v>
      </c>
      <c r="AW62" s="173">
        <f t="shared" si="27"/>
        <v>0</v>
      </c>
      <c r="AX62" s="173">
        <f t="shared" si="28"/>
        <v>617770.65235619352</v>
      </c>
      <c r="AY62" s="173">
        <f t="shared" si="29"/>
        <v>0</v>
      </c>
      <c r="AZ62" s="173">
        <f t="shared" si="30"/>
        <v>629304.10063427058</v>
      </c>
      <c r="BB62" s="87" t="s">
        <v>445</v>
      </c>
      <c r="BC62" s="87" t="s">
        <v>446</v>
      </c>
      <c r="BD62" s="173">
        <f t="shared" si="31"/>
        <v>0</v>
      </c>
      <c r="BE62" s="173">
        <f t="shared" si="32"/>
        <v>573153.62381470762</v>
      </c>
      <c r="BF62" s="173">
        <f t="shared" si="33"/>
        <v>0</v>
      </c>
      <c r="BG62" s="173">
        <f t="shared" si="34"/>
        <v>609970.29401375086</v>
      </c>
      <c r="BH62" s="173">
        <f t="shared" si="35"/>
        <v>0</v>
      </c>
      <c r="BI62" s="173">
        <f t="shared" si="36"/>
        <v>621260.46768561681</v>
      </c>
      <c r="BJ62" s="173">
        <f t="shared" si="37"/>
        <v>0</v>
      </c>
      <c r="BK62" s="173">
        <f t="shared" si="38"/>
        <v>633965.14270163467</v>
      </c>
      <c r="BM62" s="87" t="s">
        <v>445</v>
      </c>
      <c r="BN62" s="87" t="s">
        <v>446</v>
      </c>
      <c r="BO62" s="173">
        <f t="shared" si="39"/>
        <v>0</v>
      </c>
      <c r="BP62" s="173">
        <f t="shared" si="40"/>
        <v>573153.62381470762</v>
      </c>
      <c r="BQ62" s="173">
        <f t="shared" si="41"/>
        <v>0</v>
      </c>
      <c r="BR62" s="173">
        <f t="shared" si="42"/>
        <v>598428.65311713237</v>
      </c>
      <c r="BS62" s="173">
        <f t="shared" si="43"/>
        <v>0</v>
      </c>
      <c r="BT62" s="173">
        <f t="shared" si="44"/>
        <v>609942.94350912573</v>
      </c>
      <c r="BU62" s="173">
        <f t="shared" si="45"/>
        <v>0</v>
      </c>
      <c r="BV62" s="173">
        <f t="shared" si="46"/>
        <v>621331.18008638197</v>
      </c>
    </row>
    <row r="63" spans="5:74">
      <c r="E63" s="87" t="s">
        <v>311</v>
      </c>
      <c r="F63" s="87" t="s">
        <v>312</v>
      </c>
      <c r="G63" s="173">
        <f>IFERROR(IF(VLOOKUP(E63,A:C,3,FALSE)="YES",VLOOKUP(E63,'School Year 2021-22 SPED coop'!A:P,16,FALSE),0),0)</f>
        <v>0</v>
      </c>
      <c r="H63" s="173">
        <f t="shared" si="47"/>
        <v>679467.95000000007</v>
      </c>
      <c r="J63" s="87" t="s">
        <v>311</v>
      </c>
      <c r="K63" s="87" t="s">
        <v>312</v>
      </c>
      <c r="L63" s="173">
        <f t="shared" si="6"/>
        <v>0</v>
      </c>
      <c r="M63" s="173">
        <f t="shared" si="7"/>
        <v>687046.57864156016</v>
      </c>
      <c r="N63" s="173">
        <f t="shared" si="8"/>
        <v>0</v>
      </c>
      <c r="O63" s="173">
        <f t="shared" si="9"/>
        <v>710300.62278908549</v>
      </c>
      <c r="P63" s="173">
        <f t="shared" si="10"/>
        <v>0</v>
      </c>
      <c r="Q63" s="173">
        <f t="shared" si="11"/>
        <v>723455.94567362836</v>
      </c>
      <c r="R63" s="173">
        <f t="shared" si="12"/>
        <v>0</v>
      </c>
      <c r="S63" s="173">
        <f t="shared" si="13"/>
        <v>736775.58179653739</v>
      </c>
      <c r="U63" s="87" t="s">
        <v>311</v>
      </c>
      <c r="V63" s="87" t="s">
        <v>312</v>
      </c>
      <c r="W63" s="173">
        <f t="shared" si="14"/>
        <v>0</v>
      </c>
      <c r="X63" s="173">
        <f t="shared" si="48"/>
        <v>687046.57864156016</v>
      </c>
      <c r="Y63" s="173">
        <f t="shared" si="49"/>
        <v>0</v>
      </c>
      <c r="Z63" s="173">
        <f t="shared" si="50"/>
        <v>713794.50597005046</v>
      </c>
      <c r="AA63" s="173">
        <f t="shared" si="51"/>
        <v>0</v>
      </c>
      <c r="AB63" s="173">
        <f t="shared" si="52"/>
        <v>727553.07497221814</v>
      </c>
      <c r="AC63" s="173">
        <f t="shared" si="53"/>
        <v>0</v>
      </c>
      <c r="AD63" s="173">
        <f t="shared" si="54"/>
        <v>742233.22125727101</v>
      </c>
      <c r="AF63" s="87" t="s">
        <v>311</v>
      </c>
      <c r="AG63" s="87" t="s">
        <v>312</v>
      </c>
      <c r="AH63" s="173">
        <f t="shared" si="15"/>
        <v>0</v>
      </c>
      <c r="AI63" s="173">
        <f t="shared" si="16"/>
        <v>687046.57864156016</v>
      </c>
      <c r="AJ63" s="173">
        <f t="shared" si="17"/>
        <v>0</v>
      </c>
      <c r="AK63" s="173">
        <f t="shared" si="18"/>
        <v>711179.1250059111</v>
      </c>
      <c r="AL63" s="173">
        <f t="shared" si="19"/>
        <v>0</v>
      </c>
      <c r="AM63" s="173">
        <f t="shared" si="20"/>
        <v>724897.52572392789</v>
      </c>
      <c r="AN63" s="173">
        <f t="shared" si="21"/>
        <v>0</v>
      </c>
      <c r="AO63" s="173">
        <f t="shared" si="22"/>
        <v>738683.27479611337</v>
      </c>
      <c r="AQ63" s="87" t="s">
        <v>311</v>
      </c>
      <c r="AR63" s="87" t="s">
        <v>312</v>
      </c>
      <c r="AS63" s="173">
        <f t="shared" si="23"/>
        <v>0</v>
      </c>
      <c r="AT63" s="173">
        <f t="shared" si="24"/>
        <v>687046.57864156016</v>
      </c>
      <c r="AU63" s="173">
        <f t="shared" si="25"/>
        <v>0</v>
      </c>
      <c r="AV63" s="173">
        <f t="shared" si="26"/>
        <v>727787.89240281284</v>
      </c>
      <c r="AW63" s="173">
        <f t="shared" si="27"/>
        <v>0</v>
      </c>
      <c r="AX63" s="173">
        <f t="shared" si="28"/>
        <v>740569.97427067137</v>
      </c>
      <c r="AY63" s="173">
        <f t="shared" si="29"/>
        <v>0</v>
      </c>
      <c r="AZ63" s="173">
        <f t="shared" si="30"/>
        <v>754259.52092146466</v>
      </c>
      <c r="BB63" s="87" t="s">
        <v>311</v>
      </c>
      <c r="BC63" s="87" t="s">
        <v>312</v>
      </c>
      <c r="BD63" s="173">
        <f t="shared" si="31"/>
        <v>0</v>
      </c>
      <c r="BE63" s="173">
        <f t="shared" si="32"/>
        <v>687046.57864156016</v>
      </c>
      <c r="BF63" s="173">
        <f t="shared" si="33"/>
        <v>0</v>
      </c>
      <c r="BG63" s="173">
        <f t="shared" si="34"/>
        <v>731367.79933123395</v>
      </c>
      <c r="BH63" s="173">
        <f t="shared" si="35"/>
        <v>0</v>
      </c>
      <c r="BI63" s="173">
        <f t="shared" si="36"/>
        <v>744764.02884668543</v>
      </c>
      <c r="BJ63" s="173">
        <f t="shared" si="37"/>
        <v>0</v>
      </c>
      <c r="BK63" s="173">
        <f t="shared" si="38"/>
        <v>759846.6794907006</v>
      </c>
      <c r="BM63" s="87" t="s">
        <v>311</v>
      </c>
      <c r="BN63" s="87" t="s">
        <v>312</v>
      </c>
      <c r="BO63" s="173">
        <f t="shared" si="39"/>
        <v>0</v>
      </c>
      <c r="BP63" s="173">
        <f t="shared" si="40"/>
        <v>687046.57864156016</v>
      </c>
      <c r="BQ63" s="173">
        <f t="shared" si="41"/>
        <v>0</v>
      </c>
      <c r="BR63" s="173">
        <f t="shared" si="42"/>
        <v>728688.38929942006</v>
      </c>
      <c r="BS63" s="173">
        <f t="shared" si="43"/>
        <v>0</v>
      </c>
      <c r="BT63" s="173">
        <f t="shared" si="44"/>
        <v>742045.84644807107</v>
      </c>
      <c r="BU63" s="173">
        <f t="shared" si="45"/>
        <v>0</v>
      </c>
      <c r="BV63" s="173">
        <f t="shared" si="46"/>
        <v>756212.47122049646</v>
      </c>
    </row>
    <row r="64" spans="5:74">
      <c r="E64" s="87" t="s">
        <v>73</v>
      </c>
      <c r="F64" s="87" t="s">
        <v>74</v>
      </c>
      <c r="G64" s="173">
        <f>IFERROR(IF(VLOOKUP(E64,A:C,3,FALSE)="YES",VLOOKUP(E64,'School Year 2021-22 SPED coop'!A:P,16,FALSE),0),0)</f>
        <v>393165.43</v>
      </c>
      <c r="H64" s="173">
        <f t="shared" si="47"/>
        <v>0</v>
      </c>
      <c r="J64" s="87" t="s">
        <v>73</v>
      </c>
      <c r="K64" s="87" t="s">
        <v>74</v>
      </c>
      <c r="L64" s="173">
        <f t="shared" si="6"/>
        <v>451705.33406930225</v>
      </c>
      <c r="M64" s="173">
        <f t="shared" si="7"/>
        <v>0</v>
      </c>
      <c r="N64" s="173">
        <f t="shared" si="8"/>
        <v>466995.16896837612</v>
      </c>
      <c r="O64" s="173">
        <f t="shared" si="9"/>
        <v>0</v>
      </c>
      <c r="P64" s="173">
        <f t="shared" si="10"/>
        <v>475643.54637207853</v>
      </c>
      <c r="Q64" s="173">
        <f t="shared" si="11"/>
        <v>0</v>
      </c>
      <c r="R64" s="173">
        <f t="shared" si="12"/>
        <v>484399.3474296265</v>
      </c>
      <c r="S64" s="173">
        <f t="shared" si="13"/>
        <v>0</v>
      </c>
      <c r="U64" s="87" t="s">
        <v>73</v>
      </c>
      <c r="V64" s="87" t="s">
        <v>74</v>
      </c>
      <c r="W64" s="173">
        <f t="shared" si="14"/>
        <v>451705.33406930225</v>
      </c>
      <c r="X64" s="173">
        <f t="shared" si="48"/>
        <v>0</v>
      </c>
      <c r="Y64" s="173">
        <f t="shared" si="49"/>
        <v>469282.21004397533</v>
      </c>
      <c r="Z64" s="173">
        <f t="shared" si="50"/>
        <v>0</v>
      </c>
      <c r="AA64" s="173">
        <f t="shared" si="51"/>
        <v>478334.89917929529</v>
      </c>
      <c r="AB64" s="173">
        <f t="shared" si="52"/>
        <v>0</v>
      </c>
      <c r="AC64" s="173">
        <f t="shared" si="53"/>
        <v>487979.15228141012</v>
      </c>
      <c r="AD64" s="173">
        <f t="shared" si="54"/>
        <v>0</v>
      </c>
      <c r="AF64" s="87" t="s">
        <v>73</v>
      </c>
      <c r="AG64" s="87" t="s">
        <v>74</v>
      </c>
      <c r="AH64" s="173">
        <f t="shared" si="15"/>
        <v>451705.33406930225</v>
      </c>
      <c r="AI64" s="173">
        <f t="shared" si="16"/>
        <v>0</v>
      </c>
      <c r="AJ64" s="173">
        <f t="shared" si="17"/>
        <v>460951.87960728485</v>
      </c>
      <c r="AK64" s="173">
        <f t="shared" si="18"/>
        <v>0</v>
      </c>
      <c r="AL64" s="173">
        <f t="shared" si="19"/>
        <v>469873.65358095511</v>
      </c>
      <c r="AM64" s="173">
        <f t="shared" si="20"/>
        <v>0</v>
      </c>
      <c r="AN64" s="173">
        <f t="shared" si="21"/>
        <v>478012.32392086327</v>
      </c>
      <c r="AO64" s="173">
        <f t="shared" si="22"/>
        <v>0</v>
      </c>
      <c r="AQ64" s="87" t="s">
        <v>73</v>
      </c>
      <c r="AR64" s="87" t="s">
        <v>74</v>
      </c>
      <c r="AS64" s="173">
        <f t="shared" si="23"/>
        <v>451705.33406930225</v>
      </c>
      <c r="AT64" s="173">
        <f t="shared" si="24"/>
        <v>0</v>
      </c>
      <c r="AU64" s="173">
        <f t="shared" si="25"/>
        <v>478491.68869682291</v>
      </c>
      <c r="AV64" s="173">
        <f t="shared" si="26"/>
        <v>0</v>
      </c>
      <c r="AW64" s="173">
        <f t="shared" si="27"/>
        <v>486894.14267740177</v>
      </c>
      <c r="AX64" s="173">
        <f t="shared" si="28"/>
        <v>0</v>
      </c>
      <c r="AY64" s="173">
        <f t="shared" si="29"/>
        <v>495893.11915628286</v>
      </c>
      <c r="AZ64" s="173">
        <f t="shared" si="30"/>
        <v>0</v>
      </c>
      <c r="BB64" s="87" t="s">
        <v>73</v>
      </c>
      <c r="BC64" s="87" t="s">
        <v>74</v>
      </c>
      <c r="BD64" s="173">
        <f t="shared" si="31"/>
        <v>451705.33406930225</v>
      </c>
      <c r="BE64" s="173">
        <f t="shared" si="32"/>
        <v>0</v>
      </c>
      <c r="BF64" s="173">
        <f t="shared" si="33"/>
        <v>480835.03094665916</v>
      </c>
      <c r="BG64" s="173">
        <f t="shared" si="34"/>
        <v>0</v>
      </c>
      <c r="BH64" s="173">
        <f t="shared" si="35"/>
        <v>489649.15661233955</v>
      </c>
      <c r="BI64" s="173">
        <f t="shared" si="36"/>
        <v>0</v>
      </c>
      <c r="BJ64" s="173">
        <f t="shared" si="37"/>
        <v>499557.86612653069</v>
      </c>
      <c r="BK64" s="173">
        <f t="shared" si="38"/>
        <v>0</v>
      </c>
      <c r="BM64" s="87" t="s">
        <v>73</v>
      </c>
      <c r="BN64" s="87" t="s">
        <v>74</v>
      </c>
      <c r="BO64" s="173">
        <f t="shared" si="39"/>
        <v>451705.33406930225</v>
      </c>
      <c r="BP64" s="173">
        <f t="shared" si="40"/>
        <v>0</v>
      </c>
      <c r="BQ64" s="173">
        <f t="shared" si="41"/>
        <v>472297.79443829483</v>
      </c>
      <c r="BR64" s="173">
        <f t="shared" si="42"/>
        <v>0</v>
      </c>
      <c r="BS64" s="173">
        <f t="shared" si="43"/>
        <v>480987.60695681314</v>
      </c>
      <c r="BT64" s="173">
        <f t="shared" si="44"/>
        <v>0</v>
      </c>
      <c r="BU64" s="173">
        <f t="shared" si="45"/>
        <v>489354.13999479695</v>
      </c>
      <c r="BV64" s="173">
        <f t="shared" si="46"/>
        <v>0</v>
      </c>
    </row>
    <row r="65" spans="5:74">
      <c r="E65" s="87" t="s">
        <v>475</v>
      </c>
      <c r="F65" s="87" t="s">
        <v>476</v>
      </c>
      <c r="G65" s="173">
        <f>IFERROR(IF(VLOOKUP(E65,A:C,3,FALSE)="YES",VLOOKUP(E65,'School Year 2021-22 SPED coop'!A:P,16,FALSE),0),0)</f>
        <v>0</v>
      </c>
      <c r="H65" s="173">
        <f t="shared" si="47"/>
        <v>2613612.42</v>
      </c>
      <c r="J65" s="87" t="s">
        <v>475</v>
      </c>
      <c r="K65" s="87" t="s">
        <v>476</v>
      </c>
      <c r="L65" s="173">
        <f t="shared" si="6"/>
        <v>0</v>
      </c>
      <c r="M65" s="173">
        <f t="shared" si="7"/>
        <v>2642414.0780187803</v>
      </c>
      <c r="N65" s="173">
        <f t="shared" si="8"/>
        <v>0</v>
      </c>
      <c r="O65" s="173">
        <f t="shared" si="9"/>
        <v>2731997.8764320128</v>
      </c>
      <c r="P65" s="173">
        <f t="shared" si="10"/>
        <v>0</v>
      </c>
      <c r="Q65" s="173">
        <f t="shared" si="11"/>
        <v>2782617.3588618753</v>
      </c>
      <c r="R65" s="173">
        <f t="shared" si="12"/>
        <v>0</v>
      </c>
      <c r="S65" s="173">
        <f t="shared" si="13"/>
        <v>2833886.1659516478</v>
      </c>
      <c r="U65" s="87" t="s">
        <v>475</v>
      </c>
      <c r="V65" s="87" t="s">
        <v>476</v>
      </c>
      <c r="W65" s="173">
        <f t="shared" si="14"/>
        <v>0</v>
      </c>
      <c r="X65" s="173">
        <f t="shared" si="48"/>
        <v>2642414.0780187803</v>
      </c>
      <c r="Y65" s="173">
        <f t="shared" si="49"/>
        <v>0</v>
      </c>
      <c r="Z65" s="173">
        <f t="shared" si="50"/>
        <v>2745394.7992739622</v>
      </c>
      <c r="AA65" s="173">
        <f t="shared" si="51"/>
        <v>0</v>
      </c>
      <c r="AB65" s="173">
        <f t="shared" si="52"/>
        <v>2798333.7680509826</v>
      </c>
      <c r="AC65" s="173">
        <f t="shared" si="53"/>
        <v>0</v>
      </c>
      <c r="AD65" s="173">
        <f t="shared" si="54"/>
        <v>2854813.5402575638</v>
      </c>
      <c r="AF65" s="87" t="s">
        <v>475</v>
      </c>
      <c r="AG65" s="87" t="s">
        <v>476</v>
      </c>
      <c r="AH65" s="173">
        <f t="shared" si="15"/>
        <v>0</v>
      </c>
      <c r="AI65" s="173">
        <f t="shared" si="16"/>
        <v>2642414.0780187803</v>
      </c>
      <c r="AJ65" s="173">
        <f t="shared" si="17"/>
        <v>0</v>
      </c>
      <c r="AK65" s="173">
        <f t="shared" si="18"/>
        <v>2728682.9510913342</v>
      </c>
      <c r="AL65" s="173">
        <f t="shared" si="19"/>
        <v>0</v>
      </c>
      <c r="AM65" s="173">
        <f t="shared" si="20"/>
        <v>2777072.2815329661</v>
      </c>
      <c r="AN65" s="173">
        <f t="shared" si="21"/>
        <v>0</v>
      </c>
      <c r="AO65" s="173">
        <f t="shared" si="22"/>
        <v>2828935.1245134068</v>
      </c>
      <c r="AQ65" s="87" t="s">
        <v>475</v>
      </c>
      <c r="AR65" s="87" t="s">
        <v>476</v>
      </c>
      <c r="AS65" s="173">
        <f t="shared" si="23"/>
        <v>0</v>
      </c>
      <c r="AT65" s="173">
        <f t="shared" si="24"/>
        <v>2642414.0780187803</v>
      </c>
      <c r="AU65" s="173">
        <f t="shared" si="25"/>
        <v>0</v>
      </c>
      <c r="AV65" s="173">
        <f t="shared" si="26"/>
        <v>2799242.9228887092</v>
      </c>
      <c r="AW65" s="173">
        <f t="shared" si="27"/>
        <v>0</v>
      </c>
      <c r="AX65" s="173">
        <f t="shared" si="28"/>
        <v>2848441.4314495549</v>
      </c>
      <c r="AY65" s="173">
        <f t="shared" si="29"/>
        <v>0</v>
      </c>
      <c r="AZ65" s="173">
        <f t="shared" si="30"/>
        <v>2901132.9805843504</v>
      </c>
      <c r="BB65" s="87" t="s">
        <v>475</v>
      </c>
      <c r="BC65" s="87" t="s">
        <v>476</v>
      </c>
      <c r="BD65" s="173">
        <f t="shared" si="31"/>
        <v>0</v>
      </c>
      <c r="BE65" s="173">
        <f t="shared" si="32"/>
        <v>2642414.0780187803</v>
      </c>
      <c r="BF65" s="173">
        <f t="shared" si="33"/>
        <v>0</v>
      </c>
      <c r="BG65" s="173">
        <f t="shared" si="34"/>
        <v>2812969.5970700863</v>
      </c>
      <c r="BH65" s="173">
        <f t="shared" si="35"/>
        <v>0</v>
      </c>
      <c r="BI65" s="173">
        <f t="shared" si="36"/>
        <v>2864529.6142916051</v>
      </c>
      <c r="BJ65" s="173">
        <f t="shared" si="37"/>
        <v>0</v>
      </c>
      <c r="BK65" s="173">
        <f t="shared" si="38"/>
        <v>2922556.9498156621</v>
      </c>
      <c r="BM65" s="87" t="s">
        <v>475</v>
      </c>
      <c r="BN65" s="87" t="s">
        <v>476</v>
      </c>
      <c r="BO65" s="173">
        <f t="shared" si="39"/>
        <v>0</v>
      </c>
      <c r="BP65" s="173">
        <f t="shared" si="40"/>
        <v>2642414.0780187803</v>
      </c>
      <c r="BQ65" s="173">
        <f t="shared" si="41"/>
        <v>0</v>
      </c>
      <c r="BR65" s="173">
        <f t="shared" si="42"/>
        <v>2795846.3824089281</v>
      </c>
      <c r="BS65" s="173">
        <f t="shared" si="43"/>
        <v>0</v>
      </c>
      <c r="BT65" s="173">
        <f t="shared" si="44"/>
        <v>2842765.5957276803</v>
      </c>
      <c r="BU65" s="173">
        <f t="shared" si="45"/>
        <v>0</v>
      </c>
      <c r="BV65" s="173">
        <f t="shared" si="46"/>
        <v>2896064.7967146374</v>
      </c>
    </row>
    <row r="66" spans="5:74">
      <c r="E66" s="87" t="s">
        <v>373</v>
      </c>
      <c r="F66" s="87" t="s">
        <v>374</v>
      </c>
      <c r="G66" s="173">
        <f>IFERROR(IF(VLOOKUP(E66,A:C,3,FALSE)="YES",VLOOKUP(E66,'School Year 2021-22 SPED coop'!A:P,16,FALSE),0),0)</f>
        <v>0</v>
      </c>
      <c r="H66" s="173">
        <f t="shared" si="47"/>
        <v>1712306.8699999999</v>
      </c>
      <c r="J66" s="87" t="s">
        <v>373</v>
      </c>
      <c r="K66" s="87" t="s">
        <v>374</v>
      </c>
      <c r="L66" s="173">
        <f t="shared" si="6"/>
        <v>0</v>
      </c>
      <c r="M66" s="173">
        <f t="shared" si="7"/>
        <v>1732082.9783211304</v>
      </c>
      <c r="N66" s="173">
        <f t="shared" si="8"/>
        <v>0</v>
      </c>
      <c r="O66" s="173">
        <f t="shared" si="9"/>
        <v>1789692.3148420979</v>
      </c>
      <c r="P66" s="173">
        <f t="shared" si="10"/>
        <v>0</v>
      </c>
      <c r="Q66" s="173">
        <f t="shared" si="11"/>
        <v>1823053.3519365834</v>
      </c>
      <c r="R66" s="173">
        <f t="shared" si="12"/>
        <v>0</v>
      </c>
      <c r="S66" s="173">
        <f t="shared" si="13"/>
        <v>1857020.4705217821</v>
      </c>
      <c r="U66" s="87" t="s">
        <v>373</v>
      </c>
      <c r="V66" s="87" t="s">
        <v>374</v>
      </c>
      <c r="W66" s="173">
        <f t="shared" si="14"/>
        <v>0</v>
      </c>
      <c r="X66" s="173">
        <f t="shared" si="48"/>
        <v>1732082.9783211304</v>
      </c>
      <c r="Y66" s="173">
        <f t="shared" si="49"/>
        <v>0</v>
      </c>
      <c r="Z66" s="173">
        <f t="shared" si="50"/>
        <v>1798464.3156417287</v>
      </c>
      <c r="AA66" s="173">
        <f t="shared" si="51"/>
        <v>0</v>
      </c>
      <c r="AB66" s="173">
        <f t="shared" si="52"/>
        <v>1833362.8347364112</v>
      </c>
      <c r="AC66" s="173">
        <f t="shared" si="53"/>
        <v>0</v>
      </c>
      <c r="AD66" s="173">
        <f t="shared" si="54"/>
        <v>1870745.866899804</v>
      </c>
      <c r="AF66" s="87" t="s">
        <v>373</v>
      </c>
      <c r="AG66" s="87" t="s">
        <v>374</v>
      </c>
      <c r="AH66" s="173">
        <f t="shared" si="15"/>
        <v>0</v>
      </c>
      <c r="AI66" s="173">
        <f t="shared" si="16"/>
        <v>1732082.9783211304</v>
      </c>
      <c r="AJ66" s="173">
        <f t="shared" si="17"/>
        <v>0</v>
      </c>
      <c r="AK66" s="173">
        <f t="shared" si="18"/>
        <v>1773997.8117454255</v>
      </c>
      <c r="AL66" s="173">
        <f t="shared" si="19"/>
        <v>0</v>
      </c>
      <c r="AM66" s="173">
        <f t="shared" si="20"/>
        <v>1812371.559173502</v>
      </c>
      <c r="AN66" s="173">
        <f t="shared" si="21"/>
        <v>0</v>
      </c>
      <c r="AO66" s="173">
        <f t="shared" si="22"/>
        <v>1859392.7412661153</v>
      </c>
      <c r="AQ66" s="87" t="s">
        <v>373</v>
      </c>
      <c r="AR66" s="87" t="s">
        <v>374</v>
      </c>
      <c r="AS66" s="173">
        <f t="shared" si="23"/>
        <v>0</v>
      </c>
      <c r="AT66" s="173">
        <f t="shared" si="24"/>
        <v>1732082.9783211304</v>
      </c>
      <c r="AU66" s="173">
        <f t="shared" si="25"/>
        <v>0</v>
      </c>
      <c r="AV66" s="173">
        <f t="shared" si="26"/>
        <v>1834340.4243133513</v>
      </c>
      <c r="AW66" s="173">
        <f t="shared" si="27"/>
        <v>0</v>
      </c>
      <c r="AX66" s="173">
        <f t="shared" si="28"/>
        <v>1866938.9128138004</v>
      </c>
      <c r="AY66" s="173">
        <f t="shared" si="29"/>
        <v>0</v>
      </c>
      <c r="AZ66" s="173">
        <f t="shared" si="30"/>
        <v>1901851.4878042729</v>
      </c>
      <c r="BB66" s="87" t="s">
        <v>373</v>
      </c>
      <c r="BC66" s="87" t="s">
        <v>374</v>
      </c>
      <c r="BD66" s="173">
        <f t="shared" si="31"/>
        <v>0</v>
      </c>
      <c r="BE66" s="173">
        <f t="shared" si="32"/>
        <v>1732082.9783211304</v>
      </c>
      <c r="BF66" s="173">
        <f t="shared" si="33"/>
        <v>0</v>
      </c>
      <c r="BG66" s="173">
        <f t="shared" si="34"/>
        <v>1843331.2618419465</v>
      </c>
      <c r="BH66" s="173">
        <f t="shared" si="35"/>
        <v>0</v>
      </c>
      <c r="BI66" s="173">
        <f t="shared" si="36"/>
        <v>1877496.5745095778</v>
      </c>
      <c r="BJ66" s="173">
        <f t="shared" si="37"/>
        <v>0</v>
      </c>
      <c r="BK66" s="173">
        <f t="shared" si="38"/>
        <v>1915908.2393065786</v>
      </c>
      <c r="BM66" s="87" t="s">
        <v>373</v>
      </c>
      <c r="BN66" s="87" t="s">
        <v>374</v>
      </c>
      <c r="BO66" s="173">
        <f t="shared" si="39"/>
        <v>0</v>
      </c>
      <c r="BP66" s="173">
        <f t="shared" si="40"/>
        <v>1732082.9783211304</v>
      </c>
      <c r="BQ66" s="173">
        <f t="shared" si="41"/>
        <v>0</v>
      </c>
      <c r="BR66" s="173">
        <f t="shared" si="42"/>
        <v>1818246.7232846783</v>
      </c>
      <c r="BS66" s="173">
        <f t="shared" si="43"/>
        <v>0</v>
      </c>
      <c r="BT66" s="173">
        <f t="shared" si="44"/>
        <v>1855995.4076404269</v>
      </c>
      <c r="BU66" s="173">
        <f t="shared" si="45"/>
        <v>0</v>
      </c>
      <c r="BV66" s="173">
        <f t="shared" si="46"/>
        <v>1904282.3730027531</v>
      </c>
    </row>
    <row r="67" spans="5:74">
      <c r="E67" s="87" t="s">
        <v>525</v>
      </c>
      <c r="F67" s="87" t="s">
        <v>526</v>
      </c>
      <c r="G67" s="173">
        <f>IFERROR(IF(VLOOKUP(E67,A:C,3,FALSE)="YES",VLOOKUP(E67,'School Year 2021-22 SPED coop'!A:P,16,FALSE),0),0)</f>
        <v>15354.87</v>
      </c>
      <c r="H67" s="173">
        <f t="shared" si="47"/>
        <v>0</v>
      </c>
      <c r="J67" s="87" t="s">
        <v>525</v>
      </c>
      <c r="K67" s="87" t="s">
        <v>526</v>
      </c>
      <c r="L67" s="173">
        <f t="shared" si="6"/>
        <v>19542.514764255699</v>
      </c>
      <c r="M67" s="173">
        <f t="shared" si="7"/>
        <v>0</v>
      </c>
      <c r="N67" s="173">
        <f t="shared" si="8"/>
        <v>20199.775819888106</v>
      </c>
      <c r="O67" s="173">
        <f t="shared" si="9"/>
        <v>0</v>
      </c>
      <c r="P67" s="173">
        <f t="shared" si="10"/>
        <v>20573.479813030426</v>
      </c>
      <c r="Q67" s="173">
        <f t="shared" si="11"/>
        <v>0</v>
      </c>
      <c r="R67" s="173">
        <f t="shared" si="12"/>
        <v>20951.511342221198</v>
      </c>
      <c r="S67" s="173">
        <f t="shared" si="13"/>
        <v>0</v>
      </c>
      <c r="U67" s="87" t="s">
        <v>525</v>
      </c>
      <c r="V67" s="87" t="s">
        <v>526</v>
      </c>
      <c r="W67" s="173">
        <f t="shared" si="14"/>
        <v>19542.514764255699</v>
      </c>
      <c r="X67" s="173">
        <f t="shared" si="48"/>
        <v>0</v>
      </c>
      <c r="Y67" s="173">
        <f t="shared" si="49"/>
        <v>20199.775819888106</v>
      </c>
      <c r="Z67" s="173">
        <f t="shared" si="50"/>
        <v>0</v>
      </c>
      <c r="AA67" s="173">
        <f t="shared" si="51"/>
        <v>20573.479813030426</v>
      </c>
      <c r="AB67" s="173">
        <f t="shared" si="52"/>
        <v>0</v>
      </c>
      <c r="AC67" s="173">
        <f t="shared" si="53"/>
        <v>20951.511342221198</v>
      </c>
      <c r="AD67" s="173">
        <f t="shared" si="54"/>
        <v>0</v>
      </c>
      <c r="AF67" s="87" t="s">
        <v>525</v>
      </c>
      <c r="AG67" s="87" t="s">
        <v>526</v>
      </c>
      <c r="AH67" s="173">
        <f t="shared" si="15"/>
        <v>19542.514764255699</v>
      </c>
      <c r="AI67" s="173">
        <f t="shared" si="16"/>
        <v>0</v>
      </c>
      <c r="AJ67" s="173">
        <f t="shared" si="17"/>
        <v>20114.808867204378</v>
      </c>
      <c r="AK67" s="173">
        <f t="shared" si="18"/>
        <v>0</v>
      </c>
      <c r="AL67" s="173">
        <f t="shared" si="19"/>
        <v>20690.116276520792</v>
      </c>
      <c r="AM67" s="173">
        <f t="shared" si="20"/>
        <v>0</v>
      </c>
      <c r="AN67" s="173">
        <f t="shared" si="21"/>
        <v>20674.529049680288</v>
      </c>
      <c r="AO67" s="173">
        <f t="shared" si="22"/>
        <v>0</v>
      </c>
      <c r="AQ67" s="87" t="s">
        <v>525</v>
      </c>
      <c r="AR67" s="87" t="s">
        <v>526</v>
      </c>
      <c r="AS67" s="173">
        <f t="shared" si="23"/>
        <v>19542.514764255699</v>
      </c>
      <c r="AT67" s="173">
        <f t="shared" si="24"/>
        <v>0</v>
      </c>
      <c r="AU67" s="173">
        <f t="shared" si="25"/>
        <v>20697.595938122671</v>
      </c>
      <c r="AV67" s="173">
        <f t="shared" si="26"/>
        <v>0</v>
      </c>
      <c r="AW67" s="173">
        <f t="shared" si="27"/>
        <v>21060.398106801753</v>
      </c>
      <c r="AX67" s="173">
        <f t="shared" si="28"/>
        <v>0</v>
      </c>
      <c r="AY67" s="173">
        <f t="shared" si="29"/>
        <v>21448.954576822052</v>
      </c>
      <c r="AZ67" s="173">
        <f t="shared" si="30"/>
        <v>0</v>
      </c>
      <c r="BB67" s="87" t="s">
        <v>525</v>
      </c>
      <c r="BC67" s="87" t="s">
        <v>526</v>
      </c>
      <c r="BD67" s="173">
        <f t="shared" si="31"/>
        <v>19542.514764255699</v>
      </c>
      <c r="BE67" s="173">
        <f t="shared" si="32"/>
        <v>0</v>
      </c>
      <c r="BF67" s="173">
        <f t="shared" si="33"/>
        <v>20697.595938122671</v>
      </c>
      <c r="BG67" s="173">
        <f t="shared" si="34"/>
        <v>0</v>
      </c>
      <c r="BH67" s="173">
        <f t="shared" si="35"/>
        <v>21060.398106801753</v>
      </c>
      <c r="BI67" s="173">
        <f t="shared" si="36"/>
        <v>0</v>
      </c>
      <c r="BJ67" s="173">
        <f t="shared" si="37"/>
        <v>21448.954576822052</v>
      </c>
      <c r="BK67" s="173">
        <f t="shared" si="38"/>
        <v>0</v>
      </c>
      <c r="BM67" s="87" t="s">
        <v>525</v>
      </c>
      <c r="BN67" s="87" t="s">
        <v>526</v>
      </c>
      <c r="BO67" s="173">
        <f t="shared" si="39"/>
        <v>19542.514764255699</v>
      </c>
      <c r="BP67" s="173">
        <f t="shared" si="40"/>
        <v>0</v>
      </c>
      <c r="BQ67" s="173">
        <f t="shared" si="41"/>
        <v>20610.502530882437</v>
      </c>
      <c r="BR67" s="173">
        <f t="shared" si="42"/>
        <v>0</v>
      </c>
      <c r="BS67" s="173">
        <f t="shared" si="43"/>
        <v>21179.832781780791</v>
      </c>
      <c r="BT67" s="173">
        <f t="shared" si="44"/>
        <v>0</v>
      </c>
      <c r="BU67" s="173">
        <f t="shared" si="45"/>
        <v>21165.305325782625</v>
      </c>
      <c r="BV67" s="173">
        <f t="shared" si="46"/>
        <v>0</v>
      </c>
    </row>
    <row r="68" spans="5:74">
      <c r="E68" s="87" t="s">
        <v>469</v>
      </c>
      <c r="F68" s="87" t="s">
        <v>470</v>
      </c>
      <c r="G68" s="173">
        <f>IFERROR(IF(VLOOKUP(E68,A:C,3,FALSE)="YES",VLOOKUP(E68,'School Year 2021-22 SPED coop'!A:P,16,FALSE),0),0)</f>
        <v>0</v>
      </c>
      <c r="H68" s="173">
        <f t="shared" si="47"/>
        <v>4829775.5299999993</v>
      </c>
      <c r="J68" s="87" t="s">
        <v>469</v>
      </c>
      <c r="K68" s="87" t="s">
        <v>470</v>
      </c>
      <c r="L68" s="173">
        <f t="shared" si="6"/>
        <v>0</v>
      </c>
      <c r="M68" s="173">
        <f t="shared" si="7"/>
        <v>4885557.0036764331</v>
      </c>
      <c r="N68" s="173">
        <f t="shared" si="8"/>
        <v>0</v>
      </c>
      <c r="O68" s="173">
        <f t="shared" si="9"/>
        <v>5050467.6494146707</v>
      </c>
      <c r="P68" s="173">
        <f t="shared" si="10"/>
        <v>0</v>
      </c>
      <c r="Q68" s="173">
        <f t="shared" si="11"/>
        <v>5144165.6120374277</v>
      </c>
      <c r="R68" s="173">
        <f t="shared" si="12"/>
        <v>0</v>
      </c>
      <c r="S68" s="173">
        <f t="shared" si="13"/>
        <v>5239167.9853376653</v>
      </c>
      <c r="U68" s="87" t="s">
        <v>469</v>
      </c>
      <c r="V68" s="87" t="s">
        <v>470</v>
      </c>
      <c r="W68" s="173">
        <f t="shared" si="14"/>
        <v>0</v>
      </c>
      <c r="X68" s="173">
        <f t="shared" si="48"/>
        <v>4885557.0036764331</v>
      </c>
      <c r="Y68" s="173">
        <f t="shared" si="49"/>
        <v>0</v>
      </c>
      <c r="Z68" s="173">
        <f t="shared" si="50"/>
        <v>5075227.7145591974</v>
      </c>
      <c r="AA68" s="173">
        <f t="shared" si="51"/>
        <v>0</v>
      </c>
      <c r="AB68" s="173">
        <f t="shared" si="52"/>
        <v>5173235.7979512829</v>
      </c>
      <c r="AC68" s="173">
        <f t="shared" si="53"/>
        <v>0</v>
      </c>
      <c r="AD68" s="173">
        <f t="shared" si="54"/>
        <v>5277862.2424924616</v>
      </c>
      <c r="AF68" s="87" t="s">
        <v>469</v>
      </c>
      <c r="AG68" s="87" t="s">
        <v>470</v>
      </c>
      <c r="AH68" s="173">
        <f t="shared" si="15"/>
        <v>0</v>
      </c>
      <c r="AI68" s="173">
        <f t="shared" si="16"/>
        <v>4885557.0036764331</v>
      </c>
      <c r="AJ68" s="173">
        <f t="shared" si="17"/>
        <v>0</v>
      </c>
      <c r="AK68" s="173">
        <f t="shared" si="18"/>
        <v>5047739.5541323293</v>
      </c>
      <c r="AL68" s="173">
        <f t="shared" si="19"/>
        <v>0</v>
      </c>
      <c r="AM68" s="173">
        <f t="shared" si="20"/>
        <v>5146312.1317851022</v>
      </c>
      <c r="AN68" s="173">
        <f t="shared" si="21"/>
        <v>0</v>
      </c>
      <c r="AO68" s="173">
        <f t="shared" si="22"/>
        <v>5264179.3560843132</v>
      </c>
      <c r="AQ68" s="87" t="s">
        <v>469</v>
      </c>
      <c r="AR68" s="87" t="s">
        <v>470</v>
      </c>
      <c r="AS68" s="173">
        <f t="shared" si="23"/>
        <v>0</v>
      </c>
      <c r="AT68" s="173">
        <f t="shared" si="24"/>
        <v>4885557.0036764331</v>
      </c>
      <c r="AU68" s="173">
        <f t="shared" si="25"/>
        <v>0</v>
      </c>
      <c r="AV68" s="173">
        <f t="shared" si="26"/>
        <v>5175185.19967678</v>
      </c>
      <c r="AW68" s="173">
        <f t="shared" si="27"/>
        <v>0</v>
      </c>
      <c r="AX68" s="173">
        <f t="shared" si="28"/>
        <v>5266354.0888391435</v>
      </c>
      <c r="AY68" s="173">
        <f t="shared" si="29"/>
        <v>0</v>
      </c>
      <c r="AZ68" s="173">
        <f t="shared" si="30"/>
        <v>5363995.5889334911</v>
      </c>
      <c r="BB68" s="87" t="s">
        <v>469</v>
      </c>
      <c r="BC68" s="87" t="s">
        <v>470</v>
      </c>
      <c r="BD68" s="173">
        <f t="shared" si="31"/>
        <v>0</v>
      </c>
      <c r="BE68" s="173">
        <f t="shared" si="32"/>
        <v>4885557.0036764331</v>
      </c>
      <c r="BF68" s="173">
        <f t="shared" si="33"/>
        <v>0</v>
      </c>
      <c r="BG68" s="173">
        <f t="shared" si="34"/>
        <v>5200556.6952383146</v>
      </c>
      <c r="BH68" s="173">
        <f t="shared" si="35"/>
        <v>0</v>
      </c>
      <c r="BI68" s="173">
        <f t="shared" si="36"/>
        <v>5296114.7715219688</v>
      </c>
      <c r="BJ68" s="173">
        <f t="shared" si="37"/>
        <v>0</v>
      </c>
      <c r="BK68" s="173">
        <f t="shared" si="38"/>
        <v>5403611.7677366873</v>
      </c>
      <c r="BM68" s="87" t="s">
        <v>469</v>
      </c>
      <c r="BN68" s="87" t="s">
        <v>470</v>
      </c>
      <c r="BO68" s="173">
        <f t="shared" si="39"/>
        <v>0</v>
      </c>
      <c r="BP68" s="173">
        <f t="shared" si="40"/>
        <v>4885557.0036764331</v>
      </c>
      <c r="BQ68" s="173">
        <f t="shared" si="41"/>
        <v>0</v>
      </c>
      <c r="BR68" s="173">
        <f t="shared" si="42"/>
        <v>5172389.9959125929</v>
      </c>
      <c r="BS68" s="173">
        <f t="shared" si="43"/>
        <v>0</v>
      </c>
      <c r="BT68" s="173">
        <f t="shared" si="44"/>
        <v>5268555.3575195745</v>
      </c>
      <c r="BU68" s="173">
        <f t="shared" si="45"/>
        <v>0</v>
      </c>
      <c r="BV68" s="173">
        <f t="shared" si="46"/>
        <v>5389614.9785343092</v>
      </c>
    </row>
    <row r="69" spans="5:74">
      <c r="E69" s="87" t="s">
        <v>587</v>
      </c>
      <c r="F69" s="87" t="s">
        <v>588</v>
      </c>
      <c r="G69" s="173">
        <f>IFERROR(IF(VLOOKUP(E69,A:C,3,FALSE)="YES",VLOOKUP(E69,'School Year 2021-22 SPED coop'!A:P,16,FALSE),0),0)</f>
        <v>0</v>
      </c>
      <c r="H69" s="173">
        <f t="shared" si="47"/>
        <v>3626726.7</v>
      </c>
      <c r="J69" s="87" t="s">
        <v>587</v>
      </c>
      <c r="K69" s="87" t="s">
        <v>588</v>
      </c>
      <c r="L69" s="173">
        <f t="shared" ref="L69:L132" si="55">IFERROR(IF(VLOOKUP(J69,A:C,3,FALSE)="YES",VLOOKUP(J69,MaintSY202122,9,FALSE),0),0)</f>
        <v>0</v>
      </c>
      <c r="M69" s="173">
        <f t="shared" ref="M69:M132" si="56">IF(L69=0,VLOOKUP(J69,MaintSY202122,9,FALSE),0)</f>
        <v>3678180.6928263046</v>
      </c>
      <c r="N69" s="173">
        <f t="shared" ref="N69:N132" si="57">IFERROR(IF(VLOOKUP(J69,A:C,3,FALSE)="YES",VLOOKUP(J69,MaintSY202223,9,FALSE),0),0)</f>
        <v>0</v>
      </c>
      <c r="O69" s="173">
        <f t="shared" ref="O69:O132" si="58">IF(N69=0,VLOOKUP(J69,MaintSY202223,9,FALSE),0)</f>
        <v>3802782.4223046601</v>
      </c>
      <c r="P69" s="173">
        <f t="shared" ref="P69:P132" si="59">IFERROR(IF(VLOOKUP(J69,A:C,3,FALSE)="YES",VLOOKUP(J69,MaintSY202324,9,FALSE),0),0)</f>
        <v>0</v>
      </c>
      <c r="Q69" s="173">
        <f t="shared" ref="Q69:Q132" si="60">IF(P69=0,VLOOKUP(J69,MaintSY202324,9,FALSE),0)</f>
        <v>3873212.7463977481</v>
      </c>
      <c r="R69" s="173">
        <f t="shared" ref="R69:R132" si="61">IFERROR(IF(VLOOKUP(J69,A:C,3,FALSE)="YES",VLOOKUP(J69,MaintSY202425,9,FALSE),0),0)</f>
        <v>0</v>
      </c>
      <c r="S69" s="173">
        <f t="shared" ref="S69:S132" si="62">IF(R69=0,VLOOKUP(J69,MaintSY202425,9,FALSE),0)</f>
        <v>3944522.7825211245</v>
      </c>
      <c r="U69" s="87" t="s">
        <v>587</v>
      </c>
      <c r="V69" s="87" t="s">
        <v>588</v>
      </c>
      <c r="W69" s="173">
        <f t="shared" ref="W69:W132" si="63">IFERROR(IF(VLOOKUP(U69,$A:$C,3,FALSE)="YES",VLOOKUP(U69,MaintSY202122CL,9,FALSE),0),0)</f>
        <v>0</v>
      </c>
      <c r="X69" s="173">
        <f t="shared" si="48"/>
        <v>3678180.6928263046</v>
      </c>
      <c r="Y69" s="173">
        <f t="shared" si="49"/>
        <v>0</v>
      </c>
      <c r="Z69" s="173">
        <f t="shared" si="50"/>
        <v>3821426.6373586059</v>
      </c>
      <c r="AA69" s="173">
        <f t="shared" si="51"/>
        <v>0</v>
      </c>
      <c r="AB69" s="173">
        <f t="shared" si="52"/>
        <v>3895099.613446536</v>
      </c>
      <c r="AC69" s="173">
        <f t="shared" si="53"/>
        <v>0</v>
      </c>
      <c r="AD69" s="173">
        <f t="shared" si="54"/>
        <v>3973663.6314842752</v>
      </c>
      <c r="AF69" s="87" t="s">
        <v>587</v>
      </c>
      <c r="AG69" s="87" t="s">
        <v>588</v>
      </c>
      <c r="AH69" s="173">
        <f t="shared" ref="AH69:AH132" si="64">IFERROR(IF(VLOOKUP(AF69,$A:$C,3,FALSE)="YES",VLOOKUP(AF69,MaintSY202122F195F,9,FALSE),0),0)</f>
        <v>0</v>
      </c>
      <c r="AI69" s="173">
        <f t="shared" ref="AI69:AI132" si="65">IF(AH69=0,VLOOKUP(AF69,MaintSY202122F195F,9,FALSE),0)</f>
        <v>3678180.6928263046</v>
      </c>
      <c r="AJ69" s="173">
        <f t="shared" ref="AJ69:AJ132" si="66">IFERROR(IF(VLOOKUP(AF69,$A:$C,3,FALSE)="YES",VLOOKUP(AF69,MaintSY202223F195F,9,FALSE),0),0)</f>
        <v>0</v>
      </c>
      <c r="AK69" s="173">
        <f t="shared" ref="AK69:AK132" si="67">IF(AJ69=0,VLOOKUP(AF69,MaintSY202223F195F,9,FALSE),0)</f>
        <v>3803222.1048947452</v>
      </c>
      <c r="AL69" s="173">
        <f t="shared" ref="AL69:AL132" si="68">IFERROR(IF(VLOOKUP(AF69,$A:$C,3,FALSE)="YES",VLOOKUP(AF69,MaintSY202324F195F,9,FALSE),0),0)</f>
        <v>0</v>
      </c>
      <c r="AM69" s="173">
        <f t="shared" ref="AM69:AM132" si="69">IF(AL69=0,VLOOKUP(AF69,MaintSY202324F195F,9,FALSE),0)</f>
        <v>3874087.7285067723</v>
      </c>
      <c r="AN69" s="173">
        <f t="shared" ref="AN69:AN132" si="70">IFERROR(IF(VLOOKUP(AF69,$A:$C,3,FALSE)="YES",VLOOKUP(AF69,MaintSY202425F195F,9,FALSE),0),0)</f>
        <v>0</v>
      </c>
      <c r="AO69" s="173">
        <f t="shared" ref="AO69:AO132" si="71">IF(AN69=0,VLOOKUP(AF69,MaintSY202425F195F,9,FALSE),0)</f>
        <v>3945074.6103659403</v>
      </c>
      <c r="AQ69" s="87" t="s">
        <v>587</v>
      </c>
      <c r="AR69" s="87" t="s">
        <v>588</v>
      </c>
      <c r="AS69" s="173">
        <f t="shared" ref="AS69:AS132" si="72">IFERROR(IF(VLOOKUP(AQ69,$A:$C,3,FALSE)="YES",VLOOKUP(AQ69,EnacSY202122,9,FALSE),0),0)</f>
        <v>0</v>
      </c>
      <c r="AT69" s="173">
        <f t="shared" ref="AT69:AT132" si="73">IF(AS69=0,VLOOKUP(AQ69,EnacSY202122,9,FALSE),0)</f>
        <v>3678180.6928263046</v>
      </c>
      <c r="AU69" s="173">
        <f t="shared" ref="AU69:AU132" si="74">IFERROR(IF(VLOOKUP(AQ69,$A:$C,3,FALSE)="YES",VLOOKUP(AQ69,EnacSY202223,9,FALSE),0),0)</f>
        <v>0</v>
      </c>
      <c r="AV69" s="173">
        <f t="shared" ref="AV69:AV132" si="75">IF(AU69=0,VLOOKUP(AQ69,EnacSY202223,9,FALSE),0)</f>
        <v>3896385.0519443168</v>
      </c>
      <c r="AW69" s="173">
        <f t="shared" ref="AW69:AW132" si="76">IFERROR(IF(VLOOKUP(AQ69,$A:$C,3,FALSE)="YES",VLOOKUP(AQ69,EnacSY202324,9,FALSE),0),0)</f>
        <v>0</v>
      </c>
      <c r="AX69" s="173">
        <f t="shared" ref="AX69:AX132" si="77">IF(AW69=0,VLOOKUP(AQ69,EnacSY202324,9,FALSE),0)</f>
        <v>3964816.797885044</v>
      </c>
      <c r="AY69" s="173">
        <f t="shared" ref="AY69:AY132" si="78">IFERROR(IF(VLOOKUP(AQ69,$A:$C,3,FALSE)="YES",VLOOKUP(AQ69,EnacSY202425,9,FALSE),0),0)</f>
        <v>0</v>
      </c>
      <c r="AZ69" s="173">
        <f t="shared" ref="AZ69:AZ132" si="79">IF(AY69=0,VLOOKUP(AQ69,EnacSY202425,9,FALSE),0)</f>
        <v>4038106.7943149195</v>
      </c>
      <c r="BB69" s="87" t="s">
        <v>587</v>
      </c>
      <c r="BC69" s="87" t="s">
        <v>588</v>
      </c>
      <c r="BD69" s="173">
        <f t="shared" ref="BD69:BD132" si="80">IFERROR(IF(VLOOKUP(BB69,$A:$C,3,FALSE)="YES",VLOOKUP(BB69,EnacSY202122CL,9,FALSE),0),0)</f>
        <v>0</v>
      </c>
      <c r="BE69" s="173">
        <f t="shared" ref="BE69:BE132" si="81">IF(BD69=0,VLOOKUP(BB69,EnacSY202122CL,9,FALSE),0)</f>
        <v>3678180.6928263046</v>
      </c>
      <c r="BF69" s="173">
        <f t="shared" ref="BF69:BF132" si="82">IFERROR(IF(VLOOKUP(BB69,$A:$C,3,FALSE)="YES",VLOOKUP(BB69,EnacSY202223CL,9,FALSE),0),0)</f>
        <v>0</v>
      </c>
      <c r="BG69" s="173">
        <f t="shared" ref="BG69:BG132" si="83">IF(BF69=0,VLOOKUP(BB69,EnacSY202223CL,9,FALSE),0)</f>
        <v>3915488.1801190758</v>
      </c>
      <c r="BH69" s="173">
        <f t="shared" ref="BH69:BH132" si="84">IFERROR(IF(VLOOKUP(BB69,$A:$C,3,FALSE)="YES",VLOOKUP(BB69,EnacSY202324CL,9,FALSE),0),0)</f>
        <v>0</v>
      </c>
      <c r="BI69" s="173">
        <f t="shared" ref="BI69:BI132" si="85">IF(BH69=0,VLOOKUP(BB69,EnacSY202324CL,9,FALSE),0)</f>
        <v>3987221.3017548393</v>
      </c>
      <c r="BJ69" s="173">
        <f t="shared" ref="BJ69:BJ132" si="86">IFERROR(IF(VLOOKUP(BB69,$A:$C,3,FALSE)="YES",VLOOKUP(BB69,EnacSY202425CL,9,FALSE),0),0)</f>
        <v>0</v>
      </c>
      <c r="BK69" s="173">
        <f t="shared" ref="BK69:BK132" si="87">IF(BJ69=0,VLOOKUP(BB69,EnacSY202425CL,9,FALSE),0)</f>
        <v>4067939.0142495576</v>
      </c>
      <c r="BM69" s="87" t="s">
        <v>587</v>
      </c>
      <c r="BN69" s="87" t="s">
        <v>588</v>
      </c>
      <c r="BO69" s="173">
        <f t="shared" ref="BO69:BO132" si="88">IFERROR(IF(VLOOKUP(BM69,$A:$C,3,FALSE)="YES",VLOOKUP(BM69,EnacSY202122F195F,9,FALSE),0),0)</f>
        <v>0</v>
      </c>
      <c r="BP69" s="173">
        <f t="shared" ref="BP69:BP132" si="89">IF(BO69=0,VLOOKUP(BM69,EnacSY202122F195F,9,FALSE),0)</f>
        <v>3678180.6928263046</v>
      </c>
      <c r="BQ69" s="173">
        <f t="shared" ref="BQ69:BQ132" si="90">IFERROR(IF(VLOOKUP(BM69,$A:$C,3,FALSE)="YES",VLOOKUP(BM69,EnacSY202223F195F,9,FALSE),0),0)</f>
        <v>0</v>
      </c>
      <c r="BR69" s="173">
        <f t="shared" ref="BR69:BR132" si="91">IF(BQ69=0,VLOOKUP(BM69,EnacSY202223F195F,9,FALSE),0)</f>
        <v>3896834.6821318008</v>
      </c>
      <c r="BS69" s="173">
        <f t="shared" ref="BS69:BS132" si="92">IFERROR(IF(VLOOKUP(BM69,$A:$C,3,FALSE)="YES",VLOOKUP(BM69,EnacSY202324F195F,9,FALSE),0),0)</f>
        <v>0</v>
      </c>
      <c r="BT69" s="173">
        <f t="shared" ref="BT69:BT132" si="93">IF(BS69=0,VLOOKUP(BM69,EnacSY202324F195F,9,FALSE),0)</f>
        <v>3965710.9916960131</v>
      </c>
      <c r="BU69" s="173">
        <f t="shared" ref="BU69:BU132" si="94">IFERROR(IF(VLOOKUP(BM69,$A:$C,3,FALSE)="YES",VLOOKUP(BM69,EnacSY202425F195F,9,FALSE),0),0)</f>
        <v>0</v>
      </c>
      <c r="BV69" s="173">
        <f t="shared" ref="BV69:BV132" si="95">IF(BU69=0,VLOOKUP(BM69,EnacSY202425F195F,9,FALSE),0)</f>
        <v>4038670.1559194308</v>
      </c>
    </row>
    <row r="70" spans="5:74">
      <c r="E70" s="87" t="s">
        <v>95</v>
      </c>
      <c r="F70" s="87" t="s">
        <v>96</v>
      </c>
      <c r="G70" s="173">
        <f>IFERROR(IF(VLOOKUP(E70,A:C,3,FALSE)="YES",VLOOKUP(E70,'School Year 2021-22 SPED coop'!A:P,16,FALSE),0),0)</f>
        <v>0</v>
      </c>
      <c r="H70" s="173">
        <f t="shared" ref="H70:H133" si="96">IF(G70=0,VLOOKUP(E70,SY202122Apport,9,FALSE),0)</f>
        <v>6112851.0800000001</v>
      </c>
      <c r="J70" s="87" t="s">
        <v>95</v>
      </c>
      <c r="K70" s="87" t="s">
        <v>96</v>
      </c>
      <c r="L70" s="173">
        <f t="shared" si="55"/>
        <v>0</v>
      </c>
      <c r="M70" s="173">
        <f t="shared" si="56"/>
        <v>6266505.0426672148</v>
      </c>
      <c r="N70" s="173">
        <f t="shared" si="57"/>
        <v>0</v>
      </c>
      <c r="O70" s="173">
        <f t="shared" si="58"/>
        <v>6478904.1671497962</v>
      </c>
      <c r="P70" s="173">
        <f t="shared" si="59"/>
        <v>0</v>
      </c>
      <c r="Q70" s="173">
        <f t="shared" si="60"/>
        <v>6598912.065586308</v>
      </c>
      <c r="R70" s="173">
        <f t="shared" si="61"/>
        <v>0</v>
      </c>
      <c r="S70" s="173">
        <f t="shared" si="62"/>
        <v>6720430.3266889174</v>
      </c>
      <c r="U70" s="87" t="s">
        <v>95</v>
      </c>
      <c r="V70" s="87" t="s">
        <v>96</v>
      </c>
      <c r="W70" s="173">
        <f t="shared" si="63"/>
        <v>0</v>
      </c>
      <c r="X70" s="173">
        <f t="shared" ref="X70:X133" si="97">IF(W70=0,VLOOKUP(U70,MaintSY202122CL,9,FALSE),0)</f>
        <v>6266505.0426672148</v>
      </c>
      <c r="Y70" s="173">
        <f t="shared" ref="Y70:Y133" si="98">IFERROR(IF(VLOOKUP(U70,A:C,3,FALSE)="YES",VLOOKUP(U70,MaintSY202223CL,9,FALSE),0),0)</f>
        <v>0</v>
      </c>
      <c r="Z70" s="173">
        <f t="shared" ref="Z70:Z133" si="99">IF(Y70=0,VLOOKUP(U70,MaintSY202223CL,9,FALSE),0)</f>
        <v>6510671.4749989705</v>
      </c>
      <c r="AA70" s="173">
        <f t="shared" ref="AA70:AA133" si="100">IFERROR(IF(VLOOKUP(U70,A:C,3,FALSE)="YES",VLOOKUP(U70,MaintSY202324CL,9,FALSE),0),0)</f>
        <v>0</v>
      </c>
      <c r="AB70" s="173">
        <f t="shared" ref="AB70:AB133" si="101">IF(AA70=0,VLOOKUP(U70,MaintSY202324CL,9,FALSE),0)</f>
        <v>6636200.0307221236</v>
      </c>
      <c r="AC70" s="173">
        <f t="shared" ref="AC70:AC133" si="102">IFERROR(IF(VLOOKUP(U70,A:C,3,FALSE)="YES",VLOOKUP(U70,MaintSY202425CL,9,FALSE),0),0)</f>
        <v>0</v>
      </c>
      <c r="AD70" s="173">
        <f t="shared" ref="AD70:AD133" si="103">IF(AC70=0,VLOOKUP(U70,MaintSY202425CL,9,FALSE),0)</f>
        <v>6770074.7609027429</v>
      </c>
      <c r="AF70" s="87" t="s">
        <v>95</v>
      </c>
      <c r="AG70" s="87" t="s">
        <v>96</v>
      </c>
      <c r="AH70" s="173">
        <f t="shared" si="64"/>
        <v>0</v>
      </c>
      <c r="AI70" s="173">
        <f t="shared" si="65"/>
        <v>6266505.0426672148</v>
      </c>
      <c r="AJ70" s="173">
        <f t="shared" si="66"/>
        <v>0</v>
      </c>
      <c r="AK70" s="173">
        <f t="shared" si="67"/>
        <v>6454714.6707237605</v>
      </c>
      <c r="AL70" s="173">
        <f t="shared" si="68"/>
        <v>0</v>
      </c>
      <c r="AM70" s="173">
        <f t="shared" si="69"/>
        <v>6571319.6631908659</v>
      </c>
      <c r="AN70" s="173">
        <f t="shared" si="70"/>
        <v>0</v>
      </c>
      <c r="AO70" s="173">
        <f t="shared" si="71"/>
        <v>6720615.395203881</v>
      </c>
      <c r="AQ70" s="87" t="s">
        <v>95</v>
      </c>
      <c r="AR70" s="87" t="s">
        <v>96</v>
      </c>
      <c r="AS70" s="173">
        <f t="shared" si="72"/>
        <v>0</v>
      </c>
      <c r="AT70" s="173">
        <f t="shared" si="73"/>
        <v>6266505.0426672148</v>
      </c>
      <c r="AU70" s="173">
        <f t="shared" si="74"/>
        <v>0</v>
      </c>
      <c r="AV70" s="173">
        <f t="shared" si="75"/>
        <v>6638364.5651267646</v>
      </c>
      <c r="AW70" s="173">
        <f t="shared" si="76"/>
        <v>0</v>
      </c>
      <c r="AX70" s="173">
        <f t="shared" si="77"/>
        <v>6754977.1391106751</v>
      </c>
      <c r="AY70" s="173">
        <f t="shared" si="78"/>
        <v>0</v>
      </c>
      <c r="AZ70" s="173">
        <f t="shared" si="79"/>
        <v>6879868.6314555947</v>
      </c>
      <c r="BB70" s="87" t="s">
        <v>95</v>
      </c>
      <c r="BC70" s="87" t="s">
        <v>96</v>
      </c>
      <c r="BD70" s="173">
        <f t="shared" si="80"/>
        <v>0</v>
      </c>
      <c r="BE70" s="173">
        <f t="shared" si="81"/>
        <v>6266505.0426672148</v>
      </c>
      <c r="BF70" s="173">
        <f t="shared" si="82"/>
        <v>0</v>
      </c>
      <c r="BG70" s="173">
        <f t="shared" si="83"/>
        <v>6670913.7388942428</v>
      </c>
      <c r="BH70" s="173">
        <f t="shared" si="84"/>
        <v>0</v>
      </c>
      <c r="BI70" s="173">
        <f t="shared" si="85"/>
        <v>6793146.9649157049</v>
      </c>
      <c r="BJ70" s="173">
        <f t="shared" si="86"/>
        <v>0</v>
      </c>
      <c r="BK70" s="173">
        <f t="shared" si="87"/>
        <v>6930690.8538997173</v>
      </c>
      <c r="BM70" s="87" t="s">
        <v>95</v>
      </c>
      <c r="BN70" s="87" t="s">
        <v>96</v>
      </c>
      <c r="BO70" s="173">
        <f t="shared" si="88"/>
        <v>0</v>
      </c>
      <c r="BP70" s="173">
        <f t="shared" si="89"/>
        <v>6266505.0426672148</v>
      </c>
      <c r="BQ70" s="173">
        <f t="shared" si="90"/>
        <v>0</v>
      </c>
      <c r="BR70" s="173">
        <f t="shared" si="91"/>
        <v>6613578.0484760338</v>
      </c>
      <c r="BS70" s="173">
        <f t="shared" si="92"/>
        <v>0</v>
      </c>
      <c r="BT70" s="173">
        <f t="shared" si="93"/>
        <v>6726741.3397886492</v>
      </c>
      <c r="BU70" s="173">
        <f t="shared" si="94"/>
        <v>0</v>
      </c>
      <c r="BV70" s="173">
        <f t="shared" si="95"/>
        <v>6880075.0701561486</v>
      </c>
    </row>
    <row r="71" spans="5:74">
      <c r="E71" s="87" t="s">
        <v>241</v>
      </c>
      <c r="F71" s="87" t="s">
        <v>242</v>
      </c>
      <c r="G71" s="173">
        <f>IFERROR(IF(VLOOKUP(E71,A:C,3,FALSE)="YES",VLOOKUP(E71,'School Year 2021-22 SPED coop'!A:P,16,FALSE),0),0)</f>
        <v>0</v>
      </c>
      <c r="H71" s="173">
        <f t="shared" si="96"/>
        <v>93752.489999999991</v>
      </c>
      <c r="J71" s="87" t="s">
        <v>241</v>
      </c>
      <c r="K71" s="87" t="s">
        <v>242</v>
      </c>
      <c r="L71" s="173">
        <f t="shared" si="55"/>
        <v>0</v>
      </c>
      <c r="M71" s="173">
        <f t="shared" si="56"/>
        <v>95661.212467181642</v>
      </c>
      <c r="N71" s="173">
        <f t="shared" si="57"/>
        <v>0</v>
      </c>
      <c r="O71" s="173">
        <f t="shared" si="58"/>
        <v>98908.396607239847</v>
      </c>
      <c r="P71" s="173">
        <f t="shared" si="59"/>
        <v>0</v>
      </c>
      <c r="Q71" s="173">
        <f t="shared" si="60"/>
        <v>100740.56850348873</v>
      </c>
      <c r="R71" s="173">
        <f t="shared" si="61"/>
        <v>0</v>
      </c>
      <c r="S71" s="173">
        <f t="shared" si="62"/>
        <v>102595.89103947733</v>
      </c>
      <c r="U71" s="87" t="s">
        <v>241</v>
      </c>
      <c r="V71" s="87" t="s">
        <v>242</v>
      </c>
      <c r="W71" s="173">
        <f t="shared" si="63"/>
        <v>0</v>
      </c>
      <c r="X71" s="173">
        <f t="shared" si="97"/>
        <v>95661.212467181642</v>
      </c>
      <c r="Y71" s="173">
        <f t="shared" si="98"/>
        <v>0</v>
      </c>
      <c r="Z71" s="173">
        <f t="shared" si="99"/>
        <v>98908.396607239847</v>
      </c>
      <c r="AA71" s="173">
        <f t="shared" si="100"/>
        <v>0</v>
      </c>
      <c r="AB71" s="173">
        <f t="shared" si="101"/>
        <v>100740.56850348873</v>
      </c>
      <c r="AC71" s="173">
        <f t="shared" si="102"/>
        <v>0</v>
      </c>
      <c r="AD71" s="173">
        <f t="shared" si="103"/>
        <v>102595.89103947733</v>
      </c>
      <c r="AF71" s="87" t="s">
        <v>241</v>
      </c>
      <c r="AG71" s="87" t="s">
        <v>242</v>
      </c>
      <c r="AH71" s="173">
        <f t="shared" si="64"/>
        <v>0</v>
      </c>
      <c r="AI71" s="173">
        <f t="shared" si="65"/>
        <v>95661.212467181642</v>
      </c>
      <c r="AJ71" s="173">
        <f t="shared" si="66"/>
        <v>0</v>
      </c>
      <c r="AK71" s="173">
        <f t="shared" si="67"/>
        <v>101840.50531075054</v>
      </c>
      <c r="AL71" s="173">
        <f t="shared" si="68"/>
        <v>0</v>
      </c>
      <c r="AM71" s="173">
        <f t="shared" si="69"/>
        <v>104883.76502501877</v>
      </c>
      <c r="AN71" s="173">
        <f t="shared" si="70"/>
        <v>0</v>
      </c>
      <c r="AO71" s="173">
        <f t="shared" si="71"/>
        <v>106450.90886147058</v>
      </c>
      <c r="AQ71" s="87" t="s">
        <v>241</v>
      </c>
      <c r="AR71" s="87" t="s">
        <v>242</v>
      </c>
      <c r="AS71" s="173">
        <f t="shared" si="72"/>
        <v>0</v>
      </c>
      <c r="AT71" s="173">
        <f t="shared" si="73"/>
        <v>95661.212467181642</v>
      </c>
      <c r="AU71" s="173">
        <f t="shared" si="74"/>
        <v>0</v>
      </c>
      <c r="AV71" s="173">
        <f t="shared" si="75"/>
        <v>101341.94801180768</v>
      </c>
      <c r="AW71" s="173">
        <f t="shared" si="76"/>
        <v>0</v>
      </c>
      <c r="AX71" s="173">
        <f t="shared" si="77"/>
        <v>103122.3520708189</v>
      </c>
      <c r="AY71" s="173">
        <f t="shared" si="78"/>
        <v>0</v>
      </c>
      <c r="AZ71" s="173">
        <f t="shared" si="79"/>
        <v>105029.15450435709</v>
      </c>
      <c r="BB71" s="87" t="s">
        <v>241</v>
      </c>
      <c r="BC71" s="87" t="s">
        <v>242</v>
      </c>
      <c r="BD71" s="173">
        <f t="shared" si="80"/>
        <v>0</v>
      </c>
      <c r="BE71" s="173">
        <f t="shared" si="81"/>
        <v>95661.212467181642</v>
      </c>
      <c r="BF71" s="173">
        <f t="shared" si="82"/>
        <v>0</v>
      </c>
      <c r="BG71" s="173">
        <f t="shared" si="83"/>
        <v>101341.94801180768</v>
      </c>
      <c r="BH71" s="173">
        <f t="shared" si="84"/>
        <v>0</v>
      </c>
      <c r="BI71" s="173">
        <f t="shared" si="85"/>
        <v>103122.3520708189</v>
      </c>
      <c r="BJ71" s="173">
        <f t="shared" si="86"/>
        <v>0</v>
      </c>
      <c r="BK71" s="173">
        <f t="shared" si="87"/>
        <v>105029.15450435709</v>
      </c>
      <c r="BM71" s="87" t="s">
        <v>241</v>
      </c>
      <c r="BN71" s="87" t="s">
        <v>242</v>
      </c>
      <c r="BO71" s="173">
        <f t="shared" si="88"/>
        <v>0</v>
      </c>
      <c r="BP71" s="173">
        <f t="shared" si="89"/>
        <v>95661.212467181642</v>
      </c>
      <c r="BQ71" s="173">
        <f t="shared" si="90"/>
        <v>0</v>
      </c>
      <c r="BR71" s="173">
        <f t="shared" si="91"/>
        <v>104347.60351796198</v>
      </c>
      <c r="BS71" s="173">
        <f t="shared" si="92"/>
        <v>0</v>
      </c>
      <c r="BT71" s="173">
        <f t="shared" si="93"/>
        <v>107365.31641485046</v>
      </c>
      <c r="BU71" s="173">
        <f t="shared" si="94"/>
        <v>0</v>
      </c>
      <c r="BV71" s="173">
        <f t="shared" si="95"/>
        <v>108977.32076027116</v>
      </c>
    </row>
    <row r="72" spans="5:74">
      <c r="E72" s="87" t="s">
        <v>385</v>
      </c>
      <c r="F72" s="87" t="s">
        <v>386</v>
      </c>
      <c r="G72" s="173">
        <f>IFERROR(IF(VLOOKUP(E72,A:C,3,FALSE)="YES",VLOOKUP(E72,'School Year 2021-22 SPED coop'!A:P,16,FALSE),0),0)</f>
        <v>0</v>
      </c>
      <c r="H72" s="173">
        <f t="shared" si="96"/>
        <v>2001384.74</v>
      </c>
      <c r="J72" s="87" t="s">
        <v>385</v>
      </c>
      <c r="K72" s="87" t="s">
        <v>386</v>
      </c>
      <c r="L72" s="173">
        <f t="shared" si="55"/>
        <v>0</v>
      </c>
      <c r="M72" s="173">
        <f t="shared" si="56"/>
        <v>2074772.7654096165</v>
      </c>
      <c r="N72" s="173">
        <f t="shared" si="57"/>
        <v>0</v>
      </c>
      <c r="O72" s="173">
        <f t="shared" si="58"/>
        <v>2145046.9087809105</v>
      </c>
      <c r="P72" s="173">
        <f t="shared" si="59"/>
        <v>0</v>
      </c>
      <c r="Q72" s="173">
        <f t="shared" si="60"/>
        <v>2184776.8860048344</v>
      </c>
      <c r="R72" s="173">
        <f t="shared" si="61"/>
        <v>0</v>
      </c>
      <c r="S72" s="173">
        <f t="shared" si="62"/>
        <v>2225004.8294755188</v>
      </c>
      <c r="U72" s="87" t="s">
        <v>385</v>
      </c>
      <c r="V72" s="87" t="s">
        <v>386</v>
      </c>
      <c r="W72" s="173">
        <f t="shared" si="63"/>
        <v>0</v>
      </c>
      <c r="X72" s="173">
        <f t="shared" si="97"/>
        <v>2074772.7654096165</v>
      </c>
      <c r="Y72" s="173">
        <f t="shared" si="98"/>
        <v>0</v>
      </c>
      <c r="Z72" s="173">
        <f t="shared" si="99"/>
        <v>2155574.2273717327</v>
      </c>
      <c r="AA72" s="173">
        <f t="shared" si="100"/>
        <v>0</v>
      </c>
      <c r="AB72" s="173">
        <f t="shared" si="101"/>
        <v>2197133.5835365276</v>
      </c>
      <c r="AC72" s="173">
        <f t="shared" si="102"/>
        <v>0</v>
      </c>
      <c r="AD72" s="173">
        <f t="shared" si="103"/>
        <v>2241454.5351826558</v>
      </c>
      <c r="AF72" s="87" t="s">
        <v>385</v>
      </c>
      <c r="AG72" s="87" t="s">
        <v>386</v>
      </c>
      <c r="AH72" s="173">
        <f t="shared" si="64"/>
        <v>0</v>
      </c>
      <c r="AI72" s="173">
        <f t="shared" si="65"/>
        <v>2074772.7654096165</v>
      </c>
      <c r="AJ72" s="173">
        <f t="shared" si="66"/>
        <v>0</v>
      </c>
      <c r="AK72" s="173">
        <f t="shared" si="67"/>
        <v>2130843.8909605336</v>
      </c>
      <c r="AL72" s="173">
        <f t="shared" si="68"/>
        <v>0</v>
      </c>
      <c r="AM72" s="173">
        <f t="shared" si="69"/>
        <v>2167831.8228160911</v>
      </c>
      <c r="AN72" s="173">
        <f t="shared" si="70"/>
        <v>0</v>
      </c>
      <c r="AO72" s="173">
        <f t="shared" si="71"/>
        <v>2211912.0356527623</v>
      </c>
      <c r="AQ72" s="87" t="s">
        <v>385</v>
      </c>
      <c r="AR72" s="87" t="s">
        <v>386</v>
      </c>
      <c r="AS72" s="173">
        <f t="shared" si="72"/>
        <v>0</v>
      </c>
      <c r="AT72" s="173">
        <f t="shared" si="73"/>
        <v>2074772.7654096165</v>
      </c>
      <c r="AU72" s="173">
        <f t="shared" si="74"/>
        <v>0</v>
      </c>
      <c r="AV72" s="173">
        <f t="shared" si="75"/>
        <v>2197848.7090056082</v>
      </c>
      <c r="AW72" s="173">
        <f t="shared" si="76"/>
        <v>0</v>
      </c>
      <c r="AX72" s="173">
        <f t="shared" si="77"/>
        <v>2236452.8925356553</v>
      </c>
      <c r="AY72" s="173">
        <f t="shared" si="78"/>
        <v>0</v>
      </c>
      <c r="AZ72" s="173">
        <f t="shared" si="79"/>
        <v>2277797.7805804447</v>
      </c>
      <c r="BB72" s="87" t="s">
        <v>385</v>
      </c>
      <c r="BC72" s="87" t="s">
        <v>386</v>
      </c>
      <c r="BD72" s="173">
        <f t="shared" si="80"/>
        <v>0</v>
      </c>
      <c r="BE72" s="173">
        <f t="shared" si="81"/>
        <v>2074772.7654096165</v>
      </c>
      <c r="BF72" s="173">
        <f t="shared" si="82"/>
        <v>0</v>
      </c>
      <c r="BG72" s="173">
        <f t="shared" si="83"/>
        <v>2208635.1702686427</v>
      </c>
      <c r="BH72" s="173">
        <f t="shared" si="84"/>
        <v>0</v>
      </c>
      <c r="BI72" s="173">
        <f t="shared" si="85"/>
        <v>2249101.8640592941</v>
      </c>
      <c r="BJ72" s="173">
        <f t="shared" si="86"/>
        <v>0</v>
      </c>
      <c r="BK72" s="173">
        <f t="shared" si="87"/>
        <v>2294637.7977357879</v>
      </c>
      <c r="BM72" s="87" t="s">
        <v>385</v>
      </c>
      <c r="BN72" s="87" t="s">
        <v>386</v>
      </c>
      <c r="BO72" s="173">
        <f t="shared" si="88"/>
        <v>0</v>
      </c>
      <c r="BP72" s="173">
        <f t="shared" si="89"/>
        <v>2074772.7654096165</v>
      </c>
      <c r="BQ72" s="173">
        <f t="shared" si="90"/>
        <v>0</v>
      </c>
      <c r="BR72" s="173">
        <f t="shared" si="91"/>
        <v>2183291.6296730535</v>
      </c>
      <c r="BS72" s="173">
        <f t="shared" si="92"/>
        <v>0</v>
      </c>
      <c r="BT72" s="173">
        <f t="shared" si="93"/>
        <v>2219103.1309779384</v>
      </c>
      <c r="BU72" s="173">
        <f t="shared" si="94"/>
        <v>0</v>
      </c>
      <c r="BV72" s="173">
        <f t="shared" si="95"/>
        <v>2264390.0093617756</v>
      </c>
    </row>
    <row r="73" spans="5:74">
      <c r="E73" s="87" t="s">
        <v>429</v>
      </c>
      <c r="F73" s="87" t="s">
        <v>430</v>
      </c>
      <c r="G73" s="173">
        <f>IFERROR(IF(VLOOKUP(E73,A:C,3,FALSE)="YES",VLOOKUP(E73,'School Year 2021-22 SPED coop'!A:P,16,FALSE),0),0)</f>
        <v>0</v>
      </c>
      <c r="H73" s="173">
        <f t="shared" si="96"/>
        <v>29191350.209999997</v>
      </c>
      <c r="J73" s="87" t="s">
        <v>429</v>
      </c>
      <c r="K73" s="87" t="s">
        <v>430</v>
      </c>
      <c r="L73" s="173">
        <f t="shared" si="55"/>
        <v>0</v>
      </c>
      <c r="M73" s="173">
        <f t="shared" si="56"/>
        <v>29526751.608861737</v>
      </c>
      <c r="N73" s="173">
        <f t="shared" si="57"/>
        <v>0</v>
      </c>
      <c r="O73" s="173">
        <f t="shared" si="58"/>
        <v>30506302.17862948</v>
      </c>
      <c r="P73" s="173">
        <f t="shared" si="59"/>
        <v>0</v>
      </c>
      <c r="Q73" s="173">
        <f t="shared" si="60"/>
        <v>31075913.766956873</v>
      </c>
      <c r="R73" s="173">
        <f t="shared" si="61"/>
        <v>0</v>
      </c>
      <c r="S73" s="173">
        <f t="shared" si="62"/>
        <v>31656728.875330258</v>
      </c>
      <c r="U73" s="87" t="s">
        <v>429</v>
      </c>
      <c r="V73" s="87" t="s">
        <v>430</v>
      </c>
      <c r="W73" s="173">
        <f t="shared" si="63"/>
        <v>0</v>
      </c>
      <c r="X73" s="173">
        <f t="shared" si="97"/>
        <v>29526751.608861737</v>
      </c>
      <c r="Y73" s="173">
        <f t="shared" si="98"/>
        <v>0</v>
      </c>
      <c r="Z73" s="173">
        <f t="shared" si="99"/>
        <v>30655870.046303418</v>
      </c>
      <c r="AA73" s="173">
        <f t="shared" si="100"/>
        <v>0</v>
      </c>
      <c r="AB73" s="173">
        <f t="shared" si="101"/>
        <v>31251564.434724696</v>
      </c>
      <c r="AC73" s="173">
        <f t="shared" si="102"/>
        <v>0</v>
      </c>
      <c r="AD73" s="173">
        <f t="shared" si="103"/>
        <v>31890562.23573165</v>
      </c>
      <c r="AF73" s="87" t="s">
        <v>429</v>
      </c>
      <c r="AG73" s="87" t="s">
        <v>430</v>
      </c>
      <c r="AH73" s="173">
        <f t="shared" si="64"/>
        <v>0</v>
      </c>
      <c r="AI73" s="173">
        <f t="shared" si="65"/>
        <v>29526751.608861737</v>
      </c>
      <c r="AJ73" s="173">
        <f t="shared" si="66"/>
        <v>0</v>
      </c>
      <c r="AK73" s="173">
        <f t="shared" si="67"/>
        <v>30493121.489358384</v>
      </c>
      <c r="AL73" s="173">
        <f t="shared" si="68"/>
        <v>0</v>
      </c>
      <c r="AM73" s="173">
        <f t="shared" si="69"/>
        <v>31087801.989456926</v>
      </c>
      <c r="AN73" s="173">
        <f t="shared" si="70"/>
        <v>0</v>
      </c>
      <c r="AO73" s="173">
        <f t="shared" si="71"/>
        <v>31765497.385002568</v>
      </c>
      <c r="AQ73" s="87" t="s">
        <v>429</v>
      </c>
      <c r="AR73" s="87" t="s">
        <v>430</v>
      </c>
      <c r="AS73" s="173">
        <f t="shared" si="72"/>
        <v>0</v>
      </c>
      <c r="AT73" s="173">
        <f t="shared" si="73"/>
        <v>29526751.608861737</v>
      </c>
      <c r="AU73" s="173">
        <f t="shared" si="74"/>
        <v>0</v>
      </c>
      <c r="AV73" s="173">
        <f t="shared" si="75"/>
        <v>31268793.137491416</v>
      </c>
      <c r="AW73" s="173">
        <f t="shared" si="76"/>
        <v>0</v>
      </c>
      <c r="AX73" s="173">
        <f t="shared" si="77"/>
        <v>31826190.875007804</v>
      </c>
      <c r="AY73" s="173">
        <f t="shared" si="78"/>
        <v>0</v>
      </c>
      <c r="AZ73" s="173">
        <f t="shared" si="79"/>
        <v>32423161.56096416</v>
      </c>
      <c r="BB73" s="87" t="s">
        <v>429</v>
      </c>
      <c r="BC73" s="87" t="s">
        <v>430</v>
      </c>
      <c r="BD73" s="173">
        <f t="shared" si="80"/>
        <v>0</v>
      </c>
      <c r="BE73" s="173">
        <f t="shared" si="81"/>
        <v>29526751.608861737</v>
      </c>
      <c r="BF73" s="173">
        <f t="shared" si="82"/>
        <v>0</v>
      </c>
      <c r="BG73" s="173">
        <f t="shared" si="83"/>
        <v>31422099.384410638</v>
      </c>
      <c r="BH73" s="173">
        <f t="shared" si="84"/>
        <v>0</v>
      </c>
      <c r="BI73" s="173">
        <f t="shared" si="85"/>
        <v>32006082.346700504</v>
      </c>
      <c r="BJ73" s="173">
        <f t="shared" si="86"/>
        <v>0</v>
      </c>
      <c r="BK73" s="173">
        <f t="shared" si="87"/>
        <v>32662656.204842858</v>
      </c>
      <c r="BM73" s="87" t="s">
        <v>429</v>
      </c>
      <c r="BN73" s="87" t="s">
        <v>430</v>
      </c>
      <c r="BO73" s="173">
        <f t="shared" si="88"/>
        <v>0</v>
      </c>
      <c r="BP73" s="173">
        <f t="shared" si="89"/>
        <v>29526751.608861737</v>
      </c>
      <c r="BQ73" s="173">
        <f t="shared" si="90"/>
        <v>0</v>
      </c>
      <c r="BR73" s="173">
        <f t="shared" si="91"/>
        <v>31255286.180868477</v>
      </c>
      <c r="BS73" s="173">
        <f t="shared" si="92"/>
        <v>0</v>
      </c>
      <c r="BT73" s="173">
        <f t="shared" si="93"/>
        <v>31838392.610310074</v>
      </c>
      <c r="BU73" s="173">
        <f t="shared" si="94"/>
        <v>0</v>
      </c>
      <c r="BV73" s="173">
        <f t="shared" si="95"/>
        <v>32534629.353038363</v>
      </c>
    </row>
    <row r="74" spans="5:74">
      <c r="E74" s="87" t="s">
        <v>245</v>
      </c>
      <c r="F74" s="87" t="s">
        <v>246</v>
      </c>
      <c r="G74" s="173">
        <f>IFERROR(IF(VLOOKUP(E74,A:C,3,FALSE)="YES",VLOOKUP(E74,'School Year 2021-22 SPED coop'!A:P,16,FALSE),0),0)</f>
        <v>0</v>
      </c>
      <c r="H74" s="173">
        <f t="shared" si="96"/>
        <v>3623989.1900000004</v>
      </c>
      <c r="J74" s="87" t="s">
        <v>245</v>
      </c>
      <c r="K74" s="87" t="s">
        <v>246</v>
      </c>
      <c r="L74" s="173">
        <f t="shared" si="55"/>
        <v>0</v>
      </c>
      <c r="M74" s="173">
        <f t="shared" si="56"/>
        <v>3664280.1141184592</v>
      </c>
      <c r="N74" s="173">
        <f t="shared" si="57"/>
        <v>0</v>
      </c>
      <c r="O74" s="173">
        <f t="shared" si="58"/>
        <v>3788438.866975762</v>
      </c>
      <c r="P74" s="173">
        <f t="shared" si="59"/>
        <v>0</v>
      </c>
      <c r="Q74" s="173">
        <f t="shared" si="60"/>
        <v>3858608.4742519637</v>
      </c>
      <c r="R74" s="173">
        <f t="shared" si="61"/>
        <v>0</v>
      </c>
      <c r="S74" s="173">
        <f t="shared" si="62"/>
        <v>3929658.5913396478</v>
      </c>
      <c r="U74" s="87" t="s">
        <v>245</v>
      </c>
      <c r="V74" s="87" t="s">
        <v>246</v>
      </c>
      <c r="W74" s="173">
        <f t="shared" si="63"/>
        <v>0</v>
      </c>
      <c r="X74" s="173">
        <f t="shared" si="97"/>
        <v>3664280.1141184592</v>
      </c>
      <c r="Y74" s="173">
        <f t="shared" si="98"/>
        <v>0</v>
      </c>
      <c r="Z74" s="173">
        <f t="shared" si="99"/>
        <v>3807017.0268728295</v>
      </c>
      <c r="AA74" s="173">
        <f t="shared" si="100"/>
        <v>0</v>
      </c>
      <c r="AB74" s="173">
        <f t="shared" si="101"/>
        <v>3880419.864500931</v>
      </c>
      <c r="AC74" s="173">
        <f t="shared" si="102"/>
        <v>0</v>
      </c>
      <c r="AD74" s="173">
        <f t="shared" si="103"/>
        <v>3958689.5145770367</v>
      </c>
      <c r="AF74" s="87" t="s">
        <v>245</v>
      </c>
      <c r="AG74" s="87" t="s">
        <v>246</v>
      </c>
      <c r="AH74" s="173">
        <f t="shared" si="64"/>
        <v>0</v>
      </c>
      <c r="AI74" s="173">
        <f t="shared" si="65"/>
        <v>3664280.1141184592</v>
      </c>
      <c r="AJ74" s="173">
        <f t="shared" si="66"/>
        <v>0</v>
      </c>
      <c r="AK74" s="173">
        <f t="shared" si="67"/>
        <v>3780298.7926998711</v>
      </c>
      <c r="AL74" s="173">
        <f t="shared" si="68"/>
        <v>0</v>
      </c>
      <c r="AM74" s="173">
        <f t="shared" si="69"/>
        <v>3857193.6504596118</v>
      </c>
      <c r="AN74" s="173">
        <f t="shared" si="70"/>
        <v>0</v>
      </c>
      <c r="AO74" s="173">
        <f t="shared" si="71"/>
        <v>3931312.1597419013</v>
      </c>
      <c r="AQ74" s="87" t="s">
        <v>245</v>
      </c>
      <c r="AR74" s="87" t="s">
        <v>246</v>
      </c>
      <c r="AS74" s="173">
        <f t="shared" si="72"/>
        <v>0</v>
      </c>
      <c r="AT74" s="173">
        <f t="shared" si="73"/>
        <v>3664280.1141184592</v>
      </c>
      <c r="AU74" s="173">
        <f t="shared" si="74"/>
        <v>0</v>
      </c>
      <c r="AV74" s="173">
        <f t="shared" si="75"/>
        <v>3881685.9820839274</v>
      </c>
      <c r="AW74" s="173">
        <f t="shared" si="76"/>
        <v>0</v>
      </c>
      <c r="AX74" s="173">
        <f t="shared" si="77"/>
        <v>3949868.0387208788</v>
      </c>
      <c r="AY74" s="173">
        <f t="shared" si="78"/>
        <v>0</v>
      </c>
      <c r="AZ74" s="173">
        <f t="shared" si="79"/>
        <v>4022890.6692153742</v>
      </c>
      <c r="BB74" s="87" t="s">
        <v>245</v>
      </c>
      <c r="BC74" s="87" t="s">
        <v>246</v>
      </c>
      <c r="BD74" s="173">
        <f t="shared" si="80"/>
        <v>0</v>
      </c>
      <c r="BE74" s="173">
        <f t="shared" si="81"/>
        <v>3664280.1141184592</v>
      </c>
      <c r="BF74" s="173">
        <f t="shared" si="82"/>
        <v>0</v>
      </c>
      <c r="BG74" s="173">
        <f t="shared" si="83"/>
        <v>3900721.4194175988</v>
      </c>
      <c r="BH74" s="173">
        <f t="shared" si="84"/>
        <v>0</v>
      </c>
      <c r="BI74" s="173">
        <f t="shared" si="85"/>
        <v>3972195.2892379025</v>
      </c>
      <c r="BJ74" s="173">
        <f t="shared" si="86"/>
        <v>0</v>
      </c>
      <c r="BK74" s="173">
        <f t="shared" si="87"/>
        <v>4052610.3606820102</v>
      </c>
      <c r="BM74" s="87" t="s">
        <v>245</v>
      </c>
      <c r="BN74" s="87" t="s">
        <v>246</v>
      </c>
      <c r="BO74" s="173">
        <f t="shared" si="88"/>
        <v>0</v>
      </c>
      <c r="BP74" s="173">
        <f t="shared" si="89"/>
        <v>3664280.1141184592</v>
      </c>
      <c r="BQ74" s="173">
        <f t="shared" si="90"/>
        <v>0</v>
      </c>
      <c r="BR74" s="173">
        <f t="shared" si="91"/>
        <v>3873343.3090715772</v>
      </c>
      <c r="BS74" s="173">
        <f t="shared" si="92"/>
        <v>0</v>
      </c>
      <c r="BT74" s="173">
        <f t="shared" si="93"/>
        <v>3948422.2535202107</v>
      </c>
      <c r="BU74" s="173">
        <f t="shared" si="94"/>
        <v>0</v>
      </c>
      <c r="BV74" s="173">
        <f t="shared" si="95"/>
        <v>4024588.5467390744</v>
      </c>
    </row>
    <row r="75" spans="5:74">
      <c r="E75" s="87" t="s">
        <v>151</v>
      </c>
      <c r="F75" s="87" t="s">
        <v>152</v>
      </c>
      <c r="G75" s="173">
        <f>IFERROR(IF(VLOOKUP(E75,A:C,3,FALSE)="YES",VLOOKUP(E75,'School Year 2021-22 SPED coop'!A:P,16,FALSE),0),0)</f>
        <v>0</v>
      </c>
      <c r="H75" s="173">
        <f t="shared" si="96"/>
        <v>2012379.6</v>
      </c>
      <c r="J75" s="87" t="s">
        <v>151</v>
      </c>
      <c r="K75" s="87" t="s">
        <v>152</v>
      </c>
      <c r="L75" s="173">
        <f t="shared" si="55"/>
        <v>0</v>
      </c>
      <c r="M75" s="173">
        <f t="shared" si="56"/>
        <v>2034711.3325883052</v>
      </c>
      <c r="N75" s="173">
        <f t="shared" si="57"/>
        <v>0</v>
      </c>
      <c r="O75" s="173">
        <f t="shared" si="58"/>
        <v>2103398.7014155285</v>
      </c>
      <c r="P75" s="173">
        <f t="shared" si="59"/>
        <v>0</v>
      </c>
      <c r="Q75" s="173">
        <f t="shared" si="60"/>
        <v>2142423.5765924258</v>
      </c>
      <c r="R75" s="173">
        <f t="shared" si="61"/>
        <v>0</v>
      </c>
      <c r="S75" s="173">
        <f t="shared" si="62"/>
        <v>2181993.2958251848</v>
      </c>
      <c r="U75" s="87" t="s">
        <v>151</v>
      </c>
      <c r="V75" s="87" t="s">
        <v>152</v>
      </c>
      <c r="W75" s="173">
        <f t="shared" si="63"/>
        <v>0</v>
      </c>
      <c r="X75" s="173">
        <f t="shared" si="97"/>
        <v>2034711.3325883052</v>
      </c>
      <c r="Y75" s="173">
        <f t="shared" si="98"/>
        <v>0</v>
      </c>
      <c r="Z75" s="173">
        <f t="shared" si="99"/>
        <v>2113704.5538307084</v>
      </c>
      <c r="AA75" s="173">
        <f t="shared" si="100"/>
        <v>0</v>
      </c>
      <c r="AB75" s="173">
        <f t="shared" si="101"/>
        <v>2154523.0919128256</v>
      </c>
      <c r="AC75" s="173">
        <f t="shared" si="102"/>
        <v>0</v>
      </c>
      <c r="AD75" s="173">
        <f t="shared" si="103"/>
        <v>2198108.4709108211</v>
      </c>
      <c r="AF75" s="87" t="s">
        <v>151</v>
      </c>
      <c r="AG75" s="87" t="s">
        <v>152</v>
      </c>
      <c r="AH75" s="173">
        <f t="shared" si="64"/>
        <v>0</v>
      </c>
      <c r="AI75" s="173">
        <f t="shared" si="65"/>
        <v>2034711.3325883052</v>
      </c>
      <c r="AJ75" s="173">
        <f t="shared" si="66"/>
        <v>0</v>
      </c>
      <c r="AK75" s="173">
        <f t="shared" si="67"/>
        <v>2090683.9145596698</v>
      </c>
      <c r="AL75" s="173">
        <f t="shared" si="68"/>
        <v>0</v>
      </c>
      <c r="AM75" s="173">
        <f t="shared" si="69"/>
        <v>2127739.1880849656</v>
      </c>
      <c r="AN75" s="173">
        <f t="shared" si="70"/>
        <v>0</v>
      </c>
      <c r="AO75" s="173">
        <f t="shared" si="71"/>
        <v>2165318.7143577761</v>
      </c>
      <c r="AQ75" s="87" t="s">
        <v>151</v>
      </c>
      <c r="AR75" s="87" t="s">
        <v>152</v>
      </c>
      <c r="AS75" s="173">
        <f t="shared" si="72"/>
        <v>0</v>
      </c>
      <c r="AT75" s="173">
        <f t="shared" si="73"/>
        <v>2034711.3325883052</v>
      </c>
      <c r="AU75" s="173">
        <f t="shared" si="74"/>
        <v>0</v>
      </c>
      <c r="AV75" s="173">
        <f t="shared" si="75"/>
        <v>2155340.4220605819</v>
      </c>
      <c r="AW75" s="173">
        <f t="shared" si="76"/>
        <v>0</v>
      </c>
      <c r="AX75" s="173">
        <f t="shared" si="77"/>
        <v>2193313.3582888376</v>
      </c>
      <c r="AY75" s="173">
        <f t="shared" si="78"/>
        <v>0</v>
      </c>
      <c r="AZ75" s="173">
        <f t="shared" si="79"/>
        <v>2233982.2376947473</v>
      </c>
      <c r="BB75" s="87" t="s">
        <v>151</v>
      </c>
      <c r="BC75" s="87" t="s">
        <v>152</v>
      </c>
      <c r="BD75" s="173">
        <f t="shared" si="80"/>
        <v>0</v>
      </c>
      <c r="BE75" s="173">
        <f t="shared" si="81"/>
        <v>2034711.3325883052</v>
      </c>
      <c r="BF75" s="173">
        <f t="shared" si="82"/>
        <v>0</v>
      </c>
      <c r="BG75" s="173">
        <f t="shared" si="83"/>
        <v>2165900.7652639928</v>
      </c>
      <c r="BH75" s="173">
        <f t="shared" si="84"/>
        <v>0</v>
      </c>
      <c r="BI75" s="173">
        <f t="shared" si="85"/>
        <v>2205700.2730186535</v>
      </c>
      <c r="BJ75" s="173">
        <f t="shared" si="86"/>
        <v>0</v>
      </c>
      <c r="BK75" s="173">
        <f t="shared" si="87"/>
        <v>2250481.3778607529</v>
      </c>
      <c r="BM75" s="87" t="s">
        <v>151</v>
      </c>
      <c r="BN75" s="87" t="s">
        <v>152</v>
      </c>
      <c r="BO75" s="173">
        <f t="shared" si="88"/>
        <v>0</v>
      </c>
      <c r="BP75" s="173">
        <f t="shared" si="89"/>
        <v>2034711.3325883052</v>
      </c>
      <c r="BQ75" s="173">
        <f t="shared" si="90"/>
        <v>0</v>
      </c>
      <c r="BR75" s="173">
        <f t="shared" si="91"/>
        <v>2142307.2249582517</v>
      </c>
      <c r="BS75" s="173">
        <f t="shared" si="92"/>
        <v>0</v>
      </c>
      <c r="BT75" s="173">
        <f t="shared" si="93"/>
        <v>2178276.3828848451</v>
      </c>
      <c r="BU75" s="173">
        <f t="shared" si="94"/>
        <v>0</v>
      </c>
      <c r="BV75" s="173">
        <f t="shared" si="95"/>
        <v>2216905.4105977444</v>
      </c>
    </row>
    <row r="76" spans="5:74">
      <c r="E76" s="87" t="s">
        <v>573</v>
      </c>
      <c r="F76" s="87" t="s">
        <v>574</v>
      </c>
      <c r="G76" s="173">
        <f>IFERROR(IF(VLOOKUP(E76,A:C,3,FALSE)="YES",VLOOKUP(E76,'School Year 2021-22 SPED coop'!A:P,16,FALSE),0),0)</f>
        <v>0</v>
      </c>
      <c r="H76" s="173">
        <f t="shared" si="96"/>
        <v>89221.98</v>
      </c>
      <c r="J76" s="87" t="s">
        <v>573</v>
      </c>
      <c r="K76" s="87" t="s">
        <v>574</v>
      </c>
      <c r="L76" s="173">
        <f t="shared" si="55"/>
        <v>0</v>
      </c>
      <c r="M76" s="173">
        <f t="shared" si="56"/>
        <v>90213.333926510473</v>
      </c>
      <c r="N76" s="173">
        <f t="shared" si="57"/>
        <v>0</v>
      </c>
      <c r="O76" s="173">
        <f t="shared" si="58"/>
        <v>93272.009849751848</v>
      </c>
      <c r="P76" s="173">
        <f t="shared" si="59"/>
        <v>0</v>
      </c>
      <c r="Q76" s="173">
        <f t="shared" si="60"/>
        <v>94999.372270094391</v>
      </c>
      <c r="R76" s="173">
        <f t="shared" si="61"/>
        <v>0</v>
      </c>
      <c r="S76" s="173">
        <f t="shared" si="62"/>
        <v>96748.230204777123</v>
      </c>
      <c r="U76" s="87" t="s">
        <v>573</v>
      </c>
      <c r="V76" s="87" t="s">
        <v>574</v>
      </c>
      <c r="W76" s="173">
        <f t="shared" si="63"/>
        <v>0</v>
      </c>
      <c r="X76" s="173">
        <f t="shared" si="97"/>
        <v>90213.333926510473</v>
      </c>
      <c r="Y76" s="173">
        <f t="shared" si="98"/>
        <v>0</v>
      </c>
      <c r="Z76" s="173">
        <f t="shared" si="99"/>
        <v>93272.009849751848</v>
      </c>
      <c r="AA76" s="173">
        <f t="shared" si="100"/>
        <v>0</v>
      </c>
      <c r="AB76" s="173">
        <f t="shared" si="101"/>
        <v>94999.372270094391</v>
      </c>
      <c r="AC76" s="173">
        <f t="shared" si="102"/>
        <v>0</v>
      </c>
      <c r="AD76" s="173">
        <f t="shared" si="103"/>
        <v>96748.230204777123</v>
      </c>
      <c r="AF76" s="87" t="s">
        <v>573</v>
      </c>
      <c r="AG76" s="87" t="s">
        <v>574</v>
      </c>
      <c r="AH76" s="173">
        <f t="shared" si="64"/>
        <v>0</v>
      </c>
      <c r="AI76" s="173">
        <f t="shared" si="65"/>
        <v>90213.333926510473</v>
      </c>
      <c r="AJ76" s="173">
        <f t="shared" si="66"/>
        <v>0</v>
      </c>
      <c r="AK76" s="173">
        <f t="shared" si="67"/>
        <v>94677.563387661154</v>
      </c>
      <c r="AL76" s="173">
        <f t="shared" si="68"/>
        <v>0</v>
      </c>
      <c r="AM76" s="173">
        <f t="shared" si="69"/>
        <v>96491.718657162884</v>
      </c>
      <c r="AN76" s="173">
        <f t="shared" si="70"/>
        <v>0</v>
      </c>
      <c r="AO76" s="173">
        <f t="shared" si="71"/>
        <v>96924.717741156681</v>
      </c>
      <c r="AQ76" s="87" t="s">
        <v>573</v>
      </c>
      <c r="AR76" s="87" t="s">
        <v>574</v>
      </c>
      <c r="AS76" s="173">
        <f t="shared" si="72"/>
        <v>0</v>
      </c>
      <c r="AT76" s="173">
        <f t="shared" si="73"/>
        <v>90213.333926510473</v>
      </c>
      <c r="AU76" s="173">
        <f t="shared" si="74"/>
        <v>0</v>
      </c>
      <c r="AV76" s="173">
        <f t="shared" si="75"/>
        <v>95567.285723321082</v>
      </c>
      <c r="AW76" s="173">
        <f t="shared" si="76"/>
        <v>0</v>
      </c>
      <c r="AX76" s="173">
        <f t="shared" si="77"/>
        <v>97245.549052941453</v>
      </c>
      <c r="AY76" s="173">
        <f t="shared" si="78"/>
        <v>0</v>
      </c>
      <c r="AZ76" s="173">
        <f t="shared" si="79"/>
        <v>99042.956296322693</v>
      </c>
      <c r="BB76" s="87" t="s">
        <v>573</v>
      </c>
      <c r="BC76" s="87" t="s">
        <v>574</v>
      </c>
      <c r="BD76" s="173">
        <f t="shared" si="80"/>
        <v>0</v>
      </c>
      <c r="BE76" s="173">
        <f t="shared" si="81"/>
        <v>90213.333926510473</v>
      </c>
      <c r="BF76" s="173">
        <f t="shared" si="82"/>
        <v>0</v>
      </c>
      <c r="BG76" s="173">
        <f t="shared" si="83"/>
        <v>95567.285723321082</v>
      </c>
      <c r="BH76" s="173">
        <f t="shared" si="84"/>
        <v>0</v>
      </c>
      <c r="BI76" s="173">
        <f t="shared" si="85"/>
        <v>97245.549052941453</v>
      </c>
      <c r="BJ76" s="173">
        <f t="shared" si="86"/>
        <v>0</v>
      </c>
      <c r="BK76" s="173">
        <f t="shared" si="87"/>
        <v>99042.956296322693</v>
      </c>
      <c r="BM76" s="87" t="s">
        <v>573</v>
      </c>
      <c r="BN76" s="87" t="s">
        <v>574</v>
      </c>
      <c r="BO76" s="173">
        <f t="shared" si="88"/>
        <v>0</v>
      </c>
      <c r="BP76" s="173">
        <f t="shared" si="89"/>
        <v>90213.333926510473</v>
      </c>
      <c r="BQ76" s="173">
        <f t="shared" si="90"/>
        <v>0</v>
      </c>
      <c r="BR76" s="173">
        <f t="shared" si="91"/>
        <v>97008.137202588041</v>
      </c>
      <c r="BS76" s="173">
        <f t="shared" si="92"/>
        <v>0</v>
      </c>
      <c r="BT76" s="173">
        <f t="shared" si="93"/>
        <v>98773.943894509212</v>
      </c>
      <c r="BU76" s="173">
        <f t="shared" si="94"/>
        <v>0</v>
      </c>
      <c r="BV76" s="173">
        <f t="shared" si="95"/>
        <v>99224.29702930068</v>
      </c>
    </row>
    <row r="77" spans="5:74">
      <c r="E77" s="87" t="s">
        <v>33</v>
      </c>
      <c r="F77" s="87" t="s">
        <v>34</v>
      </c>
      <c r="G77" s="173">
        <f>IFERROR(IF(VLOOKUP(E77,A:C,3,FALSE)="YES",VLOOKUP(E77,'School Year 2021-22 SPED coop'!A:P,16,FALSE),0),0)</f>
        <v>0</v>
      </c>
      <c r="H77" s="173">
        <f t="shared" si="96"/>
        <v>348181.75</v>
      </c>
      <c r="J77" s="87" t="s">
        <v>33</v>
      </c>
      <c r="K77" s="87" t="s">
        <v>34</v>
      </c>
      <c r="L77" s="173">
        <f t="shared" si="55"/>
        <v>0</v>
      </c>
      <c r="M77" s="173">
        <f t="shared" si="56"/>
        <v>352259.71179496264</v>
      </c>
      <c r="N77" s="173">
        <f t="shared" si="57"/>
        <v>0</v>
      </c>
      <c r="O77" s="173">
        <f t="shared" si="58"/>
        <v>364132.37690098025</v>
      </c>
      <c r="P77" s="173">
        <f t="shared" si="59"/>
        <v>0</v>
      </c>
      <c r="Q77" s="173">
        <f t="shared" si="60"/>
        <v>370885.94408840185</v>
      </c>
      <c r="R77" s="173">
        <f t="shared" si="61"/>
        <v>0</v>
      </c>
      <c r="S77" s="173">
        <f t="shared" si="62"/>
        <v>377731.93742167682</v>
      </c>
      <c r="U77" s="87" t="s">
        <v>33</v>
      </c>
      <c r="V77" s="87" t="s">
        <v>34</v>
      </c>
      <c r="W77" s="173">
        <f t="shared" si="63"/>
        <v>0</v>
      </c>
      <c r="X77" s="173">
        <f t="shared" si="97"/>
        <v>352259.71179496264</v>
      </c>
      <c r="Y77" s="173">
        <f t="shared" si="98"/>
        <v>0</v>
      </c>
      <c r="Z77" s="173">
        <f t="shared" si="99"/>
        <v>365927.4078436651</v>
      </c>
      <c r="AA77" s="173">
        <f t="shared" si="100"/>
        <v>0</v>
      </c>
      <c r="AB77" s="173">
        <f t="shared" si="101"/>
        <v>372991.73977051413</v>
      </c>
      <c r="AC77" s="173">
        <f t="shared" si="102"/>
        <v>0</v>
      </c>
      <c r="AD77" s="173">
        <f t="shared" si="103"/>
        <v>380535.90155025979</v>
      </c>
      <c r="AF77" s="87" t="s">
        <v>33</v>
      </c>
      <c r="AG77" s="87" t="s">
        <v>34</v>
      </c>
      <c r="AH77" s="173">
        <f t="shared" si="64"/>
        <v>0</v>
      </c>
      <c r="AI77" s="173">
        <f t="shared" si="65"/>
        <v>352259.71179496264</v>
      </c>
      <c r="AJ77" s="173">
        <f t="shared" si="66"/>
        <v>0</v>
      </c>
      <c r="AK77" s="173">
        <f t="shared" si="67"/>
        <v>357118.88921586488</v>
      </c>
      <c r="AL77" s="173">
        <f t="shared" si="68"/>
        <v>0</v>
      </c>
      <c r="AM77" s="173">
        <f t="shared" si="69"/>
        <v>365819.89504494361</v>
      </c>
      <c r="AN77" s="173">
        <f t="shared" si="70"/>
        <v>0</v>
      </c>
      <c r="AO77" s="173">
        <f t="shared" si="71"/>
        <v>368740.66712182388</v>
      </c>
      <c r="AQ77" s="87" t="s">
        <v>33</v>
      </c>
      <c r="AR77" s="87" t="s">
        <v>34</v>
      </c>
      <c r="AS77" s="173">
        <f t="shared" si="72"/>
        <v>0</v>
      </c>
      <c r="AT77" s="173">
        <f t="shared" si="73"/>
        <v>352259.71179496264</v>
      </c>
      <c r="AU77" s="173">
        <f t="shared" si="74"/>
        <v>0</v>
      </c>
      <c r="AV77" s="173">
        <f t="shared" si="75"/>
        <v>373126.7533433371</v>
      </c>
      <c r="AW77" s="173">
        <f t="shared" si="76"/>
        <v>0</v>
      </c>
      <c r="AX77" s="173">
        <f t="shared" si="77"/>
        <v>379696.63026109582</v>
      </c>
      <c r="AY77" s="173">
        <f t="shared" si="78"/>
        <v>0</v>
      </c>
      <c r="AZ77" s="173">
        <f t="shared" si="79"/>
        <v>386732.92326466809</v>
      </c>
      <c r="BB77" s="87" t="s">
        <v>33</v>
      </c>
      <c r="BC77" s="87" t="s">
        <v>34</v>
      </c>
      <c r="BD77" s="173">
        <f t="shared" si="80"/>
        <v>0</v>
      </c>
      <c r="BE77" s="173">
        <f t="shared" si="81"/>
        <v>352259.71179496264</v>
      </c>
      <c r="BF77" s="173">
        <f t="shared" si="82"/>
        <v>0</v>
      </c>
      <c r="BG77" s="173">
        <f t="shared" si="83"/>
        <v>374966.1284574258</v>
      </c>
      <c r="BH77" s="173">
        <f t="shared" si="84"/>
        <v>0</v>
      </c>
      <c r="BI77" s="173">
        <f t="shared" si="85"/>
        <v>381852.45568843873</v>
      </c>
      <c r="BJ77" s="173">
        <f t="shared" si="86"/>
        <v>0</v>
      </c>
      <c r="BK77" s="173">
        <f t="shared" si="87"/>
        <v>389603.71037508443</v>
      </c>
      <c r="BM77" s="87" t="s">
        <v>33</v>
      </c>
      <c r="BN77" s="87" t="s">
        <v>34</v>
      </c>
      <c r="BO77" s="173">
        <f t="shared" si="88"/>
        <v>0</v>
      </c>
      <c r="BP77" s="173">
        <f t="shared" si="89"/>
        <v>352259.71179496264</v>
      </c>
      <c r="BQ77" s="173">
        <f t="shared" si="90"/>
        <v>0</v>
      </c>
      <c r="BR77" s="173">
        <f t="shared" si="91"/>
        <v>365937.22417560406</v>
      </c>
      <c r="BS77" s="173">
        <f t="shared" si="92"/>
        <v>0</v>
      </c>
      <c r="BT77" s="173">
        <f t="shared" si="93"/>
        <v>374509.4761326955</v>
      </c>
      <c r="BU77" s="173">
        <f t="shared" si="94"/>
        <v>0</v>
      </c>
      <c r="BV77" s="173">
        <f t="shared" si="95"/>
        <v>377525.31093802664</v>
      </c>
    </row>
    <row r="78" spans="5:74">
      <c r="E78" s="87" t="s">
        <v>187</v>
      </c>
      <c r="F78" s="87" t="s">
        <v>188</v>
      </c>
      <c r="G78" s="173">
        <f>IFERROR(IF(VLOOKUP(E78,A:C,3,FALSE)="YES",VLOOKUP(E78,'School Year 2021-22 SPED coop'!A:P,16,FALSE),0),0)</f>
        <v>0</v>
      </c>
      <c r="H78" s="173">
        <f t="shared" si="96"/>
        <v>5957996.9799999995</v>
      </c>
      <c r="J78" s="87" t="s">
        <v>187</v>
      </c>
      <c r="K78" s="87" t="s">
        <v>188</v>
      </c>
      <c r="L78" s="173">
        <f t="shared" si="55"/>
        <v>0</v>
      </c>
      <c r="M78" s="173">
        <f t="shared" si="56"/>
        <v>6024407.9697946459</v>
      </c>
      <c r="N78" s="173">
        <f t="shared" si="57"/>
        <v>0</v>
      </c>
      <c r="O78" s="173">
        <f t="shared" si="58"/>
        <v>6224934.5124485092</v>
      </c>
      <c r="P78" s="173">
        <f t="shared" si="59"/>
        <v>0</v>
      </c>
      <c r="Q78" s="173">
        <f t="shared" si="60"/>
        <v>6341031.7177847009</v>
      </c>
      <c r="R78" s="173">
        <f t="shared" si="61"/>
        <v>0</v>
      </c>
      <c r="S78" s="173">
        <f t="shared" si="62"/>
        <v>6459286.9553721379</v>
      </c>
      <c r="U78" s="87" t="s">
        <v>187</v>
      </c>
      <c r="V78" s="87" t="s">
        <v>188</v>
      </c>
      <c r="W78" s="173">
        <f t="shared" si="63"/>
        <v>0</v>
      </c>
      <c r="X78" s="173">
        <f t="shared" si="97"/>
        <v>6024407.9697946459</v>
      </c>
      <c r="Y78" s="173">
        <f t="shared" si="98"/>
        <v>0</v>
      </c>
      <c r="Z78" s="173">
        <f t="shared" si="99"/>
        <v>6255466.460312603</v>
      </c>
      <c r="AA78" s="173">
        <f t="shared" si="100"/>
        <v>0</v>
      </c>
      <c r="AB78" s="173">
        <f t="shared" si="101"/>
        <v>6376876.0403196374</v>
      </c>
      <c r="AC78" s="173">
        <f t="shared" si="102"/>
        <v>0</v>
      </c>
      <c r="AD78" s="173">
        <f t="shared" si="103"/>
        <v>6507000.9935760321</v>
      </c>
      <c r="AF78" s="87" t="s">
        <v>187</v>
      </c>
      <c r="AG78" s="87" t="s">
        <v>188</v>
      </c>
      <c r="AH78" s="173">
        <f t="shared" si="64"/>
        <v>0</v>
      </c>
      <c r="AI78" s="173">
        <f t="shared" si="65"/>
        <v>6024407.9697946459</v>
      </c>
      <c r="AJ78" s="173">
        <f t="shared" si="66"/>
        <v>0</v>
      </c>
      <c r="AK78" s="173">
        <f t="shared" si="67"/>
        <v>6236624.6276952783</v>
      </c>
      <c r="AL78" s="173">
        <f t="shared" si="68"/>
        <v>0</v>
      </c>
      <c r="AM78" s="173">
        <f t="shared" si="69"/>
        <v>6358924.3086123308</v>
      </c>
      <c r="AN78" s="173">
        <f t="shared" si="70"/>
        <v>0</v>
      </c>
      <c r="AO78" s="173">
        <f t="shared" si="71"/>
        <v>6494350.6607131204</v>
      </c>
      <c r="AQ78" s="87" t="s">
        <v>187</v>
      </c>
      <c r="AR78" s="87" t="s">
        <v>188</v>
      </c>
      <c r="AS78" s="173">
        <f t="shared" si="72"/>
        <v>0</v>
      </c>
      <c r="AT78" s="173">
        <f t="shared" si="73"/>
        <v>6024407.9697946459</v>
      </c>
      <c r="AU78" s="173">
        <f t="shared" si="74"/>
        <v>0</v>
      </c>
      <c r="AV78" s="173">
        <f t="shared" si="75"/>
        <v>6380220.0216535861</v>
      </c>
      <c r="AW78" s="173">
        <f t="shared" si="76"/>
        <v>0</v>
      </c>
      <c r="AX78" s="173">
        <f t="shared" si="77"/>
        <v>6493707.527401153</v>
      </c>
      <c r="AY78" s="173">
        <f t="shared" si="78"/>
        <v>0</v>
      </c>
      <c r="AZ78" s="173">
        <f t="shared" si="79"/>
        <v>6615252.1015447127</v>
      </c>
      <c r="BB78" s="87" t="s">
        <v>187</v>
      </c>
      <c r="BC78" s="87" t="s">
        <v>188</v>
      </c>
      <c r="BD78" s="173">
        <f t="shared" si="80"/>
        <v>0</v>
      </c>
      <c r="BE78" s="173">
        <f t="shared" si="81"/>
        <v>6024407.9697946459</v>
      </c>
      <c r="BF78" s="173">
        <f t="shared" si="82"/>
        <v>0</v>
      </c>
      <c r="BG78" s="173">
        <f t="shared" si="83"/>
        <v>6411513.6181725133</v>
      </c>
      <c r="BH78" s="173">
        <f t="shared" si="84"/>
        <v>0</v>
      </c>
      <c r="BI78" s="173">
        <f t="shared" si="85"/>
        <v>6530414.8923040945</v>
      </c>
      <c r="BJ78" s="173">
        <f t="shared" si="86"/>
        <v>0</v>
      </c>
      <c r="BK78" s="173">
        <f t="shared" si="87"/>
        <v>6664118.2395845931</v>
      </c>
      <c r="BM78" s="87" t="s">
        <v>187</v>
      </c>
      <c r="BN78" s="87" t="s">
        <v>188</v>
      </c>
      <c r="BO78" s="173">
        <f t="shared" si="88"/>
        <v>0</v>
      </c>
      <c r="BP78" s="173">
        <f t="shared" si="89"/>
        <v>6024407.9697946459</v>
      </c>
      <c r="BQ78" s="173">
        <f t="shared" si="90"/>
        <v>0</v>
      </c>
      <c r="BR78" s="173">
        <f t="shared" si="91"/>
        <v>6392208.6131718699</v>
      </c>
      <c r="BS78" s="173">
        <f t="shared" si="92"/>
        <v>0</v>
      </c>
      <c r="BT78" s="173">
        <f t="shared" si="93"/>
        <v>6512042.5605375944</v>
      </c>
      <c r="BU78" s="173">
        <f t="shared" si="94"/>
        <v>0</v>
      </c>
      <c r="BV78" s="173">
        <f t="shared" si="95"/>
        <v>6651180.2279979363</v>
      </c>
    </row>
    <row r="79" spans="5:74">
      <c r="E79" s="87" t="s">
        <v>135</v>
      </c>
      <c r="F79" s="87" t="s">
        <v>136</v>
      </c>
      <c r="G79" s="173">
        <f>IFERROR(IF(VLOOKUP(E79,A:C,3,FALSE)="YES",VLOOKUP(E79,'School Year 2021-22 SPED coop'!A:P,16,FALSE),0),0)</f>
        <v>0</v>
      </c>
      <c r="H79" s="173">
        <f t="shared" si="96"/>
        <v>3124548.1100000003</v>
      </c>
      <c r="J79" s="87" t="s">
        <v>135</v>
      </c>
      <c r="K79" s="87" t="s">
        <v>136</v>
      </c>
      <c r="L79" s="173">
        <f t="shared" si="55"/>
        <v>0</v>
      </c>
      <c r="M79" s="173">
        <f t="shared" si="56"/>
        <v>3175990.3474239316</v>
      </c>
      <c r="N79" s="173">
        <f t="shared" si="57"/>
        <v>0</v>
      </c>
      <c r="O79" s="173">
        <f t="shared" si="58"/>
        <v>3283207.972802755</v>
      </c>
      <c r="P79" s="173">
        <f t="shared" si="59"/>
        <v>0</v>
      </c>
      <c r="Q79" s="173">
        <f t="shared" si="60"/>
        <v>3344116.3888066253</v>
      </c>
      <c r="R79" s="173">
        <f t="shared" si="61"/>
        <v>0</v>
      </c>
      <c r="S79" s="173">
        <f t="shared" si="62"/>
        <v>3405870.5182239418</v>
      </c>
      <c r="U79" s="87" t="s">
        <v>135</v>
      </c>
      <c r="V79" s="87" t="s">
        <v>136</v>
      </c>
      <c r="W79" s="173">
        <f t="shared" si="63"/>
        <v>0</v>
      </c>
      <c r="X79" s="173">
        <f t="shared" si="97"/>
        <v>3175990.3474239316</v>
      </c>
      <c r="Y79" s="173">
        <f t="shared" si="98"/>
        <v>0</v>
      </c>
      <c r="Z79" s="173">
        <f t="shared" si="99"/>
        <v>3299306.7923484514</v>
      </c>
      <c r="AA79" s="173">
        <f t="shared" si="100"/>
        <v>0</v>
      </c>
      <c r="AB79" s="173">
        <f t="shared" si="101"/>
        <v>3363001.4120774656</v>
      </c>
      <c r="AC79" s="173">
        <f t="shared" si="102"/>
        <v>0</v>
      </c>
      <c r="AD79" s="173">
        <f t="shared" si="103"/>
        <v>3431025.3149130791</v>
      </c>
      <c r="AF79" s="87" t="s">
        <v>135</v>
      </c>
      <c r="AG79" s="87" t="s">
        <v>136</v>
      </c>
      <c r="AH79" s="173">
        <f t="shared" si="64"/>
        <v>0</v>
      </c>
      <c r="AI79" s="173">
        <f t="shared" si="65"/>
        <v>3175990.3474239316</v>
      </c>
      <c r="AJ79" s="173">
        <f t="shared" si="66"/>
        <v>0</v>
      </c>
      <c r="AK79" s="173">
        <f t="shared" si="67"/>
        <v>3294530.5201660562</v>
      </c>
      <c r="AL79" s="173">
        <f t="shared" si="68"/>
        <v>0</v>
      </c>
      <c r="AM79" s="173">
        <f t="shared" si="69"/>
        <v>3352317.5669521</v>
      </c>
      <c r="AN79" s="173">
        <f t="shared" si="70"/>
        <v>0</v>
      </c>
      <c r="AO79" s="173">
        <f t="shared" si="71"/>
        <v>3414028.5339958351</v>
      </c>
      <c r="AQ79" s="87" t="s">
        <v>135</v>
      </c>
      <c r="AR79" s="87" t="s">
        <v>136</v>
      </c>
      <c r="AS79" s="173">
        <f t="shared" si="72"/>
        <v>0</v>
      </c>
      <c r="AT79" s="173">
        <f t="shared" si="73"/>
        <v>3175990.3474239316</v>
      </c>
      <c r="AU79" s="173">
        <f t="shared" si="74"/>
        <v>0</v>
      </c>
      <c r="AV79" s="173">
        <f t="shared" si="75"/>
        <v>3364280.8041673368</v>
      </c>
      <c r="AW79" s="173">
        <f t="shared" si="76"/>
        <v>0</v>
      </c>
      <c r="AX79" s="173">
        <f t="shared" si="77"/>
        <v>3423543.1219948139</v>
      </c>
      <c r="AY79" s="173">
        <f t="shared" si="78"/>
        <v>0</v>
      </c>
      <c r="AZ79" s="173">
        <f t="shared" si="79"/>
        <v>3487012.7705121408</v>
      </c>
      <c r="BB79" s="87" t="s">
        <v>135</v>
      </c>
      <c r="BC79" s="87" t="s">
        <v>136</v>
      </c>
      <c r="BD79" s="173">
        <f t="shared" si="80"/>
        <v>0</v>
      </c>
      <c r="BE79" s="173">
        <f t="shared" si="81"/>
        <v>3175990.3474239316</v>
      </c>
      <c r="BF79" s="173">
        <f t="shared" si="82"/>
        <v>0</v>
      </c>
      <c r="BG79" s="173">
        <f t="shared" si="83"/>
        <v>3380777.155603379</v>
      </c>
      <c r="BH79" s="173">
        <f t="shared" si="84"/>
        <v>0</v>
      </c>
      <c r="BI79" s="173">
        <f t="shared" si="85"/>
        <v>3442876.6787580089</v>
      </c>
      <c r="BJ79" s="173">
        <f t="shared" si="86"/>
        <v>0</v>
      </c>
      <c r="BK79" s="173">
        <f t="shared" si="87"/>
        <v>3512766.8600709024</v>
      </c>
      <c r="BM79" s="87" t="s">
        <v>135</v>
      </c>
      <c r="BN79" s="87" t="s">
        <v>136</v>
      </c>
      <c r="BO79" s="173">
        <f t="shared" si="88"/>
        <v>0</v>
      </c>
      <c r="BP79" s="173">
        <f t="shared" si="89"/>
        <v>3175990.3474239316</v>
      </c>
      <c r="BQ79" s="173">
        <f t="shared" si="90"/>
        <v>0</v>
      </c>
      <c r="BR79" s="173">
        <f t="shared" si="91"/>
        <v>3375889.2487213602</v>
      </c>
      <c r="BS79" s="173">
        <f t="shared" si="92"/>
        <v>0</v>
      </c>
      <c r="BT79" s="173">
        <f t="shared" si="93"/>
        <v>3431946.0180964489</v>
      </c>
      <c r="BU79" s="173">
        <f t="shared" si="94"/>
        <v>0</v>
      </c>
      <c r="BV79" s="173">
        <f t="shared" si="95"/>
        <v>3495370.4684791532</v>
      </c>
    </row>
    <row r="80" spans="5:74">
      <c r="E80" s="87" t="s">
        <v>273</v>
      </c>
      <c r="F80" s="87" t="s">
        <v>274</v>
      </c>
      <c r="G80" s="173">
        <f>IFERROR(IF(VLOOKUP(E80,A:C,3,FALSE)="YES",VLOOKUP(E80,'School Year 2021-22 SPED coop'!A:P,16,FALSE),0),0)</f>
        <v>0</v>
      </c>
      <c r="H80" s="173">
        <f t="shared" si="96"/>
        <v>64113.36</v>
      </c>
      <c r="J80" s="87" t="s">
        <v>273</v>
      </c>
      <c r="K80" s="87" t="s">
        <v>274</v>
      </c>
      <c r="L80" s="173">
        <f t="shared" si="55"/>
        <v>0</v>
      </c>
      <c r="M80" s="173">
        <f t="shared" si="56"/>
        <v>64829.507592904702</v>
      </c>
      <c r="N80" s="173">
        <f t="shared" si="57"/>
        <v>0</v>
      </c>
      <c r="O80" s="173">
        <f t="shared" si="58"/>
        <v>67021.580432951581</v>
      </c>
      <c r="P80" s="173">
        <f t="shared" si="59"/>
        <v>0</v>
      </c>
      <c r="Q80" s="173">
        <f t="shared" si="60"/>
        <v>68261.93509270667</v>
      </c>
      <c r="R80" s="173">
        <f t="shared" si="61"/>
        <v>0</v>
      </c>
      <c r="S80" s="173">
        <f t="shared" si="62"/>
        <v>69517.019503218617</v>
      </c>
      <c r="U80" s="87" t="s">
        <v>273</v>
      </c>
      <c r="V80" s="87" t="s">
        <v>274</v>
      </c>
      <c r="W80" s="173">
        <f t="shared" si="63"/>
        <v>0</v>
      </c>
      <c r="X80" s="173">
        <f t="shared" si="97"/>
        <v>64829.507592904702</v>
      </c>
      <c r="Y80" s="173">
        <f t="shared" si="98"/>
        <v>0</v>
      </c>
      <c r="Z80" s="173">
        <f t="shared" si="99"/>
        <v>67021.580432951581</v>
      </c>
      <c r="AA80" s="173">
        <f t="shared" si="100"/>
        <v>0</v>
      </c>
      <c r="AB80" s="173">
        <f t="shared" si="101"/>
        <v>68261.93509270667</v>
      </c>
      <c r="AC80" s="173">
        <f t="shared" si="102"/>
        <v>0</v>
      </c>
      <c r="AD80" s="173">
        <f t="shared" si="103"/>
        <v>69517.019503218617</v>
      </c>
      <c r="AF80" s="87" t="s">
        <v>273</v>
      </c>
      <c r="AG80" s="87" t="s">
        <v>274</v>
      </c>
      <c r="AH80" s="173">
        <f t="shared" si="64"/>
        <v>0</v>
      </c>
      <c r="AI80" s="173">
        <f t="shared" si="65"/>
        <v>64829.507592904702</v>
      </c>
      <c r="AJ80" s="173">
        <f t="shared" si="66"/>
        <v>0</v>
      </c>
      <c r="AK80" s="173">
        <f t="shared" si="67"/>
        <v>67978.543120759015</v>
      </c>
      <c r="AL80" s="173">
        <f t="shared" si="68"/>
        <v>0</v>
      </c>
      <c r="AM80" s="173">
        <f t="shared" si="69"/>
        <v>69906.843537477311</v>
      </c>
      <c r="AN80" s="173">
        <f t="shared" si="70"/>
        <v>0</v>
      </c>
      <c r="AO80" s="173">
        <f t="shared" si="71"/>
        <v>71468.476281219177</v>
      </c>
      <c r="AQ80" s="87" t="s">
        <v>273</v>
      </c>
      <c r="AR80" s="87" t="s">
        <v>274</v>
      </c>
      <c r="AS80" s="173">
        <f t="shared" si="72"/>
        <v>0</v>
      </c>
      <c r="AT80" s="173">
        <f t="shared" si="73"/>
        <v>64829.507592904702</v>
      </c>
      <c r="AU80" s="173">
        <f t="shared" si="74"/>
        <v>0</v>
      </c>
      <c r="AV80" s="173">
        <f t="shared" si="75"/>
        <v>68671.398508185506</v>
      </c>
      <c r="AW80" s="173">
        <f t="shared" si="76"/>
        <v>0</v>
      </c>
      <c r="AX80" s="173">
        <f t="shared" si="77"/>
        <v>69875.866916066225</v>
      </c>
      <c r="AY80" s="173">
        <f t="shared" si="78"/>
        <v>0</v>
      </c>
      <c r="AZ80" s="173">
        <f t="shared" si="79"/>
        <v>71165.835996513953</v>
      </c>
      <c r="BB80" s="87" t="s">
        <v>273</v>
      </c>
      <c r="BC80" s="87" t="s">
        <v>274</v>
      </c>
      <c r="BD80" s="173">
        <f t="shared" si="80"/>
        <v>0</v>
      </c>
      <c r="BE80" s="173">
        <f t="shared" si="81"/>
        <v>64829.507592904702</v>
      </c>
      <c r="BF80" s="173">
        <f t="shared" si="82"/>
        <v>0</v>
      </c>
      <c r="BG80" s="173">
        <f t="shared" si="83"/>
        <v>68671.398508185506</v>
      </c>
      <c r="BH80" s="173">
        <f t="shared" si="84"/>
        <v>0</v>
      </c>
      <c r="BI80" s="173">
        <f t="shared" si="85"/>
        <v>69875.866916066225</v>
      </c>
      <c r="BJ80" s="173">
        <f t="shared" si="86"/>
        <v>0</v>
      </c>
      <c r="BK80" s="173">
        <f t="shared" si="87"/>
        <v>71165.835996513953</v>
      </c>
      <c r="BM80" s="87" t="s">
        <v>273</v>
      </c>
      <c r="BN80" s="87" t="s">
        <v>274</v>
      </c>
      <c r="BO80" s="173">
        <f t="shared" si="88"/>
        <v>0</v>
      </c>
      <c r="BP80" s="173">
        <f t="shared" si="89"/>
        <v>64829.507592904702</v>
      </c>
      <c r="BQ80" s="173">
        <f t="shared" si="90"/>
        <v>0</v>
      </c>
      <c r="BR80" s="173">
        <f t="shared" si="91"/>
        <v>69652.31480048965</v>
      </c>
      <c r="BS80" s="173">
        <f t="shared" si="92"/>
        <v>0</v>
      </c>
      <c r="BT80" s="173">
        <f t="shared" si="93"/>
        <v>71560.237708301196</v>
      </c>
      <c r="BU80" s="173">
        <f t="shared" si="94"/>
        <v>0</v>
      </c>
      <c r="BV80" s="173">
        <f t="shared" si="95"/>
        <v>73164.26653059473</v>
      </c>
    </row>
    <row r="81" spans="5:74">
      <c r="E81" s="87" t="s">
        <v>423</v>
      </c>
      <c r="F81" s="87" t="s">
        <v>424</v>
      </c>
      <c r="G81" s="173">
        <f>IFERROR(IF(VLOOKUP(E81,A:C,3,FALSE)="YES",VLOOKUP(E81,'School Year 2021-22 SPED coop'!A:P,16,FALSE),0),0)</f>
        <v>0</v>
      </c>
      <c r="H81" s="173">
        <f t="shared" si="96"/>
        <v>25959164.950000003</v>
      </c>
      <c r="J81" s="87" t="s">
        <v>423</v>
      </c>
      <c r="K81" s="87" t="s">
        <v>424</v>
      </c>
      <c r="L81" s="173">
        <f t="shared" si="55"/>
        <v>0</v>
      </c>
      <c r="M81" s="173">
        <f t="shared" si="56"/>
        <v>26399373.720740926</v>
      </c>
      <c r="N81" s="173">
        <f t="shared" si="57"/>
        <v>0</v>
      </c>
      <c r="O81" s="173">
        <f t="shared" si="58"/>
        <v>26929468.383026648</v>
      </c>
      <c r="P81" s="173">
        <f t="shared" si="59"/>
        <v>0</v>
      </c>
      <c r="Q81" s="173">
        <f t="shared" si="60"/>
        <v>27432251.624602906</v>
      </c>
      <c r="R81" s="173">
        <f t="shared" si="61"/>
        <v>0</v>
      </c>
      <c r="S81" s="173">
        <f t="shared" si="62"/>
        <v>27944889.570932597</v>
      </c>
      <c r="U81" s="87" t="s">
        <v>423</v>
      </c>
      <c r="V81" s="87" t="s">
        <v>424</v>
      </c>
      <c r="W81" s="173">
        <f t="shared" si="63"/>
        <v>0</v>
      </c>
      <c r="X81" s="173">
        <f t="shared" si="97"/>
        <v>26399373.720740926</v>
      </c>
      <c r="Y81" s="173">
        <f t="shared" si="98"/>
        <v>0</v>
      </c>
      <c r="Z81" s="173">
        <f t="shared" si="99"/>
        <v>27061504.144500095</v>
      </c>
      <c r="AA81" s="173">
        <f t="shared" si="100"/>
        <v>0</v>
      </c>
      <c r="AB81" s="173">
        <f t="shared" si="101"/>
        <v>27587288.699662592</v>
      </c>
      <c r="AC81" s="173">
        <f t="shared" si="102"/>
        <v>0</v>
      </c>
      <c r="AD81" s="173">
        <f t="shared" si="103"/>
        <v>28151282.714534525</v>
      </c>
      <c r="AF81" s="87" t="s">
        <v>423</v>
      </c>
      <c r="AG81" s="87" t="s">
        <v>424</v>
      </c>
      <c r="AH81" s="173">
        <f t="shared" si="64"/>
        <v>0</v>
      </c>
      <c r="AI81" s="173">
        <f t="shared" si="65"/>
        <v>26399373.720740926</v>
      </c>
      <c r="AJ81" s="173">
        <f t="shared" si="66"/>
        <v>0</v>
      </c>
      <c r="AK81" s="173">
        <f t="shared" si="67"/>
        <v>26989132.994206596</v>
      </c>
      <c r="AL81" s="173">
        <f t="shared" si="68"/>
        <v>0</v>
      </c>
      <c r="AM81" s="173">
        <f t="shared" si="69"/>
        <v>27517513.28295441</v>
      </c>
      <c r="AN81" s="173">
        <f t="shared" si="70"/>
        <v>0</v>
      </c>
      <c r="AO81" s="173">
        <f t="shared" si="71"/>
        <v>28032012.16908592</v>
      </c>
      <c r="AQ81" s="87" t="s">
        <v>423</v>
      </c>
      <c r="AR81" s="87" t="s">
        <v>424</v>
      </c>
      <c r="AS81" s="173">
        <f t="shared" si="72"/>
        <v>0</v>
      </c>
      <c r="AT81" s="173">
        <f t="shared" si="73"/>
        <v>26399373.720740926</v>
      </c>
      <c r="AU81" s="173">
        <f t="shared" si="74"/>
        <v>0</v>
      </c>
      <c r="AV81" s="173">
        <f t="shared" si="75"/>
        <v>27602592.025029045</v>
      </c>
      <c r="AW81" s="173">
        <f t="shared" si="76"/>
        <v>0</v>
      </c>
      <c r="AX81" s="173">
        <f t="shared" si="77"/>
        <v>28094563.896331444</v>
      </c>
      <c r="AY81" s="173">
        <f t="shared" si="78"/>
        <v>0</v>
      </c>
      <c r="AZ81" s="173">
        <f t="shared" si="79"/>
        <v>28621463.189494208</v>
      </c>
      <c r="BB81" s="87" t="s">
        <v>423</v>
      </c>
      <c r="BC81" s="87" t="s">
        <v>424</v>
      </c>
      <c r="BD81" s="173">
        <f t="shared" si="80"/>
        <v>0</v>
      </c>
      <c r="BE81" s="173">
        <f t="shared" si="81"/>
        <v>26399373.720740926</v>
      </c>
      <c r="BF81" s="173">
        <f t="shared" si="82"/>
        <v>0</v>
      </c>
      <c r="BG81" s="173">
        <f t="shared" si="83"/>
        <v>27737928.128298596</v>
      </c>
      <c r="BH81" s="173">
        <f t="shared" si="84"/>
        <v>0</v>
      </c>
      <c r="BI81" s="173">
        <f t="shared" si="85"/>
        <v>28253344.113396678</v>
      </c>
      <c r="BJ81" s="173">
        <f t="shared" si="86"/>
        <v>0</v>
      </c>
      <c r="BK81" s="173">
        <f t="shared" si="87"/>
        <v>28832853.309115022</v>
      </c>
      <c r="BM81" s="87" t="s">
        <v>423</v>
      </c>
      <c r="BN81" s="87" t="s">
        <v>424</v>
      </c>
      <c r="BO81" s="173">
        <f t="shared" si="88"/>
        <v>0</v>
      </c>
      <c r="BP81" s="173">
        <f t="shared" si="89"/>
        <v>26399373.720740926</v>
      </c>
      <c r="BQ81" s="173">
        <f t="shared" si="90"/>
        <v>0</v>
      </c>
      <c r="BR81" s="173">
        <f t="shared" si="91"/>
        <v>27663773.581654988</v>
      </c>
      <c r="BS81" s="173">
        <f t="shared" si="92"/>
        <v>0</v>
      </c>
      <c r="BT81" s="173">
        <f t="shared" si="93"/>
        <v>28181919.463110238</v>
      </c>
      <c r="BU81" s="173">
        <f t="shared" si="94"/>
        <v>0</v>
      </c>
      <c r="BV81" s="173">
        <f t="shared" si="95"/>
        <v>28710727.033413514</v>
      </c>
    </row>
    <row r="82" spans="5:74">
      <c r="E82" s="87" t="s">
        <v>65</v>
      </c>
      <c r="F82" s="87" t="s">
        <v>66</v>
      </c>
      <c r="G82" s="173">
        <f>IFERROR(IF(VLOOKUP(E82,A:C,3,FALSE)="YES",VLOOKUP(E82,'School Year 2021-22 SPED coop'!A:P,16,FALSE),0),0)</f>
        <v>0</v>
      </c>
      <c r="H82" s="173">
        <f t="shared" si="96"/>
        <v>28984238.239999998</v>
      </c>
      <c r="J82" s="87" t="s">
        <v>65</v>
      </c>
      <c r="K82" s="87" t="s">
        <v>66</v>
      </c>
      <c r="L82" s="173">
        <f t="shared" si="55"/>
        <v>0</v>
      </c>
      <c r="M82" s="173">
        <f t="shared" si="56"/>
        <v>29313166.775507834</v>
      </c>
      <c r="N82" s="173">
        <f t="shared" si="57"/>
        <v>0</v>
      </c>
      <c r="O82" s="173">
        <f t="shared" si="58"/>
        <v>30299299.135304317</v>
      </c>
      <c r="P82" s="173">
        <f t="shared" si="59"/>
        <v>0</v>
      </c>
      <c r="Q82" s="173">
        <f t="shared" si="60"/>
        <v>30862214.109822392</v>
      </c>
      <c r="R82" s="173">
        <f t="shared" si="61"/>
        <v>0</v>
      </c>
      <c r="S82" s="173">
        <f t="shared" si="62"/>
        <v>31433705.218275961</v>
      </c>
      <c r="U82" s="87" t="s">
        <v>65</v>
      </c>
      <c r="V82" s="87" t="s">
        <v>66</v>
      </c>
      <c r="W82" s="173">
        <f t="shared" si="63"/>
        <v>0</v>
      </c>
      <c r="X82" s="173">
        <f t="shared" si="97"/>
        <v>29313166.775507834</v>
      </c>
      <c r="Y82" s="173">
        <f t="shared" si="98"/>
        <v>0</v>
      </c>
      <c r="Z82" s="173">
        <f t="shared" si="99"/>
        <v>30447851.874232069</v>
      </c>
      <c r="AA82" s="173">
        <f t="shared" si="100"/>
        <v>0</v>
      </c>
      <c r="AB82" s="173">
        <f t="shared" si="101"/>
        <v>31036633.207539029</v>
      </c>
      <c r="AC82" s="173">
        <f t="shared" si="102"/>
        <v>0</v>
      </c>
      <c r="AD82" s="173">
        <f t="shared" si="103"/>
        <v>31665868.23317799</v>
      </c>
      <c r="AF82" s="87" t="s">
        <v>65</v>
      </c>
      <c r="AG82" s="87" t="s">
        <v>66</v>
      </c>
      <c r="AH82" s="173">
        <f t="shared" si="64"/>
        <v>0</v>
      </c>
      <c r="AI82" s="173">
        <f t="shared" si="65"/>
        <v>29313166.775507834</v>
      </c>
      <c r="AJ82" s="173">
        <f t="shared" si="66"/>
        <v>0</v>
      </c>
      <c r="AK82" s="173">
        <f t="shared" si="67"/>
        <v>30350831.595612131</v>
      </c>
      <c r="AL82" s="173">
        <f t="shared" si="68"/>
        <v>0</v>
      </c>
      <c r="AM82" s="173">
        <f t="shared" si="69"/>
        <v>30939250.453050174</v>
      </c>
      <c r="AN82" s="173">
        <f t="shared" si="70"/>
        <v>0</v>
      </c>
      <c r="AO82" s="173">
        <f t="shared" si="71"/>
        <v>31554995.277359493</v>
      </c>
      <c r="AQ82" s="87" t="s">
        <v>65</v>
      </c>
      <c r="AR82" s="87" t="s">
        <v>66</v>
      </c>
      <c r="AS82" s="173">
        <f t="shared" si="72"/>
        <v>0</v>
      </c>
      <c r="AT82" s="173">
        <f t="shared" si="73"/>
        <v>29313166.775507834</v>
      </c>
      <c r="AU82" s="173">
        <f t="shared" si="74"/>
        <v>0</v>
      </c>
      <c r="AV82" s="173">
        <f t="shared" si="75"/>
        <v>31049195.70213658</v>
      </c>
      <c r="AW82" s="173">
        <f t="shared" si="76"/>
        <v>0</v>
      </c>
      <c r="AX82" s="173">
        <f t="shared" si="77"/>
        <v>31597623.750550952</v>
      </c>
      <c r="AY82" s="173">
        <f t="shared" si="78"/>
        <v>0</v>
      </c>
      <c r="AZ82" s="173">
        <f t="shared" si="79"/>
        <v>32184988.367224805</v>
      </c>
      <c r="BB82" s="87" t="s">
        <v>65</v>
      </c>
      <c r="BC82" s="87" t="s">
        <v>66</v>
      </c>
      <c r="BD82" s="173">
        <f t="shared" si="80"/>
        <v>0</v>
      </c>
      <c r="BE82" s="173">
        <f t="shared" si="81"/>
        <v>29313166.775507834</v>
      </c>
      <c r="BF82" s="173">
        <f t="shared" si="82"/>
        <v>0</v>
      </c>
      <c r="BG82" s="173">
        <f t="shared" si="83"/>
        <v>31201425.066260844</v>
      </c>
      <c r="BH82" s="173">
        <f t="shared" si="84"/>
        <v>0</v>
      </c>
      <c r="BI82" s="173">
        <f t="shared" si="85"/>
        <v>31776199.039888699</v>
      </c>
      <c r="BJ82" s="173">
        <f t="shared" si="86"/>
        <v>0</v>
      </c>
      <c r="BK82" s="173">
        <f t="shared" si="87"/>
        <v>32422700.201604463</v>
      </c>
      <c r="BM82" s="87" t="s">
        <v>65</v>
      </c>
      <c r="BN82" s="87" t="s">
        <v>66</v>
      </c>
      <c r="BO82" s="173">
        <f t="shared" si="88"/>
        <v>0</v>
      </c>
      <c r="BP82" s="173">
        <f t="shared" si="89"/>
        <v>29313166.775507834</v>
      </c>
      <c r="BQ82" s="173">
        <f t="shared" si="90"/>
        <v>0</v>
      </c>
      <c r="BR82" s="173">
        <f t="shared" si="91"/>
        <v>31102018.015406307</v>
      </c>
      <c r="BS82" s="173">
        <f t="shared" si="92"/>
        <v>0</v>
      </c>
      <c r="BT82" s="173">
        <f t="shared" si="93"/>
        <v>31676511.885776214</v>
      </c>
      <c r="BU82" s="173">
        <f t="shared" si="94"/>
        <v>0</v>
      </c>
      <c r="BV82" s="173">
        <f t="shared" si="95"/>
        <v>32309211.933362048</v>
      </c>
    </row>
    <row r="83" spans="5:74">
      <c r="E83" s="87" t="s">
        <v>497</v>
      </c>
      <c r="F83" s="87" t="s">
        <v>498</v>
      </c>
      <c r="G83" s="173">
        <f>IFERROR(IF(VLOOKUP(E83,A:C,3,FALSE)="YES",VLOOKUP(E83,'School Year 2021-22 SPED coop'!A:P,16,FALSE),0),0)</f>
        <v>0</v>
      </c>
      <c r="H83" s="173">
        <f t="shared" si="96"/>
        <v>9122.19</v>
      </c>
      <c r="J83" s="87" t="s">
        <v>497</v>
      </c>
      <c r="K83" s="87" t="s">
        <v>498</v>
      </c>
      <c r="L83" s="173">
        <f t="shared" si="55"/>
        <v>0</v>
      </c>
      <c r="M83" s="173">
        <f t="shared" si="56"/>
        <v>9228.2530419587183</v>
      </c>
      <c r="N83" s="173">
        <f t="shared" si="57"/>
        <v>0</v>
      </c>
      <c r="O83" s="173">
        <f t="shared" si="58"/>
        <v>9539.9367261733787</v>
      </c>
      <c r="P83" s="173">
        <f t="shared" si="59"/>
        <v>0</v>
      </c>
      <c r="Q83" s="173">
        <f t="shared" si="60"/>
        <v>9716.4775525727655</v>
      </c>
      <c r="R83" s="173">
        <f t="shared" si="61"/>
        <v>0</v>
      </c>
      <c r="S83" s="173">
        <f t="shared" si="62"/>
        <v>9895.1039143323051</v>
      </c>
      <c r="U83" s="87" t="s">
        <v>497</v>
      </c>
      <c r="V83" s="87" t="s">
        <v>498</v>
      </c>
      <c r="W83" s="173">
        <f t="shared" si="63"/>
        <v>0</v>
      </c>
      <c r="X83" s="173">
        <f t="shared" si="97"/>
        <v>9228.2530419587183</v>
      </c>
      <c r="Y83" s="173">
        <f t="shared" si="98"/>
        <v>0</v>
      </c>
      <c r="Z83" s="173">
        <f t="shared" si="99"/>
        <v>9539.9367261733787</v>
      </c>
      <c r="AA83" s="173">
        <f t="shared" si="100"/>
        <v>0</v>
      </c>
      <c r="AB83" s="173">
        <f t="shared" si="101"/>
        <v>9716.4775525727655</v>
      </c>
      <c r="AC83" s="173">
        <f t="shared" si="102"/>
        <v>0</v>
      </c>
      <c r="AD83" s="173">
        <f t="shared" si="103"/>
        <v>9895.1039143323051</v>
      </c>
      <c r="AF83" s="87" t="s">
        <v>497</v>
      </c>
      <c r="AG83" s="87" t="s">
        <v>498</v>
      </c>
      <c r="AH83" s="173">
        <f t="shared" si="64"/>
        <v>0</v>
      </c>
      <c r="AI83" s="173">
        <f t="shared" si="65"/>
        <v>9228.2530419587183</v>
      </c>
      <c r="AJ83" s="173">
        <f t="shared" si="66"/>
        <v>0</v>
      </c>
      <c r="AK83" s="173">
        <f t="shared" si="67"/>
        <v>9767.6573206982885</v>
      </c>
      <c r="AL83" s="173">
        <f t="shared" si="68"/>
        <v>0</v>
      </c>
      <c r="AM83" s="173">
        <f t="shared" si="69"/>
        <v>9682.5887370834898</v>
      </c>
      <c r="AN83" s="173">
        <f t="shared" si="70"/>
        <v>0</v>
      </c>
      <c r="AO83" s="173">
        <f t="shared" si="71"/>
        <v>9948.572397836846</v>
      </c>
      <c r="AQ83" s="87" t="s">
        <v>497</v>
      </c>
      <c r="AR83" s="87" t="s">
        <v>498</v>
      </c>
      <c r="AS83" s="173">
        <f t="shared" si="72"/>
        <v>0</v>
      </c>
      <c r="AT83" s="173">
        <f t="shared" si="73"/>
        <v>9228.2530419587183</v>
      </c>
      <c r="AU83" s="173">
        <f t="shared" si="74"/>
        <v>0</v>
      </c>
      <c r="AV83" s="173">
        <f t="shared" si="75"/>
        <v>9774.831260691537</v>
      </c>
      <c r="AW83" s="173">
        <f t="shared" si="76"/>
        <v>0</v>
      </c>
      <c r="AX83" s="173">
        <f t="shared" si="77"/>
        <v>9946.2554483893327</v>
      </c>
      <c r="AY83" s="173">
        <f t="shared" si="78"/>
        <v>0</v>
      </c>
      <c r="AZ83" s="173">
        <f t="shared" si="79"/>
        <v>10129.848427096178</v>
      </c>
      <c r="BB83" s="87" t="s">
        <v>497</v>
      </c>
      <c r="BC83" s="87" t="s">
        <v>498</v>
      </c>
      <c r="BD83" s="173">
        <f t="shared" si="80"/>
        <v>0</v>
      </c>
      <c r="BE83" s="173">
        <f t="shared" si="81"/>
        <v>9228.2530419587183</v>
      </c>
      <c r="BF83" s="173">
        <f t="shared" si="82"/>
        <v>0</v>
      </c>
      <c r="BG83" s="173">
        <f t="shared" si="83"/>
        <v>9774.831260691537</v>
      </c>
      <c r="BH83" s="173">
        <f t="shared" si="84"/>
        <v>0</v>
      </c>
      <c r="BI83" s="173">
        <f t="shared" si="85"/>
        <v>9946.2554483893327</v>
      </c>
      <c r="BJ83" s="173">
        <f t="shared" si="86"/>
        <v>0</v>
      </c>
      <c r="BK83" s="173">
        <f t="shared" si="87"/>
        <v>10129.848427096178</v>
      </c>
      <c r="BM83" s="87" t="s">
        <v>497</v>
      </c>
      <c r="BN83" s="87" t="s">
        <v>498</v>
      </c>
      <c r="BO83" s="173">
        <f t="shared" si="88"/>
        <v>0</v>
      </c>
      <c r="BP83" s="173">
        <f t="shared" si="89"/>
        <v>9228.2530419587183</v>
      </c>
      <c r="BQ83" s="173">
        <f t="shared" si="90"/>
        <v>0</v>
      </c>
      <c r="BR83" s="173">
        <f t="shared" si="91"/>
        <v>10008.251982645195</v>
      </c>
      <c r="BS83" s="173">
        <f t="shared" si="92"/>
        <v>0</v>
      </c>
      <c r="BT83" s="173">
        <f t="shared" si="93"/>
        <v>9911.5534084062292</v>
      </c>
      <c r="BU83" s="173">
        <f t="shared" si="94"/>
        <v>0</v>
      </c>
      <c r="BV83" s="173">
        <f t="shared" si="95"/>
        <v>10184.603663830065</v>
      </c>
    </row>
    <row r="84" spans="5:74">
      <c r="E84" s="87" t="s">
        <v>185</v>
      </c>
      <c r="F84" s="87" t="s">
        <v>186</v>
      </c>
      <c r="G84" s="173">
        <f>IFERROR(IF(VLOOKUP(E84,A:C,3,FALSE)="YES",VLOOKUP(E84,'School Year 2021-22 SPED coop'!A:P,16,FALSE),0),0)</f>
        <v>0</v>
      </c>
      <c r="H84" s="173">
        <f t="shared" si="96"/>
        <v>27305629.140000001</v>
      </c>
      <c r="J84" s="87" t="s">
        <v>185</v>
      </c>
      <c r="K84" s="87" t="s">
        <v>186</v>
      </c>
      <c r="L84" s="173">
        <f t="shared" si="55"/>
        <v>0</v>
      </c>
      <c r="M84" s="173">
        <f t="shared" si="56"/>
        <v>27615229.700525362</v>
      </c>
      <c r="N84" s="173">
        <f t="shared" si="57"/>
        <v>0</v>
      </c>
      <c r="O84" s="173">
        <f t="shared" si="58"/>
        <v>28537545.6750517</v>
      </c>
      <c r="P84" s="173">
        <f t="shared" si="59"/>
        <v>0</v>
      </c>
      <c r="Q84" s="173">
        <f t="shared" si="60"/>
        <v>29069102.53067195</v>
      </c>
      <c r="R84" s="173">
        <f t="shared" si="61"/>
        <v>0</v>
      </c>
      <c r="S84" s="173">
        <f t="shared" si="62"/>
        <v>29609974.856412232</v>
      </c>
      <c r="U84" s="87" t="s">
        <v>185</v>
      </c>
      <c r="V84" s="87" t="s">
        <v>186</v>
      </c>
      <c r="W84" s="173">
        <f t="shared" si="63"/>
        <v>0</v>
      </c>
      <c r="X84" s="173">
        <f t="shared" si="97"/>
        <v>27615229.700525362</v>
      </c>
      <c r="Y84" s="173">
        <f t="shared" si="98"/>
        <v>0</v>
      </c>
      <c r="Z84" s="173">
        <f t="shared" si="99"/>
        <v>28677458.114821464</v>
      </c>
      <c r="AA84" s="173">
        <f t="shared" si="100"/>
        <v>0</v>
      </c>
      <c r="AB84" s="173">
        <f t="shared" si="101"/>
        <v>29233386.442367338</v>
      </c>
      <c r="AC84" s="173">
        <f t="shared" si="102"/>
        <v>0</v>
      </c>
      <c r="AD84" s="173">
        <f t="shared" si="103"/>
        <v>29828674.29418302</v>
      </c>
      <c r="AF84" s="87" t="s">
        <v>185</v>
      </c>
      <c r="AG84" s="87" t="s">
        <v>186</v>
      </c>
      <c r="AH84" s="173">
        <f t="shared" si="64"/>
        <v>0</v>
      </c>
      <c r="AI84" s="173">
        <f t="shared" si="65"/>
        <v>27615229.700525362</v>
      </c>
      <c r="AJ84" s="173">
        <f t="shared" si="66"/>
        <v>0</v>
      </c>
      <c r="AK84" s="173">
        <f t="shared" si="67"/>
        <v>28595707.217701182</v>
      </c>
      <c r="AL84" s="173">
        <f t="shared" si="68"/>
        <v>0</v>
      </c>
      <c r="AM84" s="173">
        <f t="shared" si="69"/>
        <v>29128322.336630777</v>
      </c>
      <c r="AN84" s="173">
        <f t="shared" si="70"/>
        <v>0</v>
      </c>
      <c r="AO84" s="173">
        <f t="shared" si="71"/>
        <v>29670251.025286131</v>
      </c>
      <c r="AQ84" s="87" t="s">
        <v>185</v>
      </c>
      <c r="AR84" s="87" t="s">
        <v>186</v>
      </c>
      <c r="AS84" s="173">
        <f t="shared" si="72"/>
        <v>0</v>
      </c>
      <c r="AT84" s="173">
        <f t="shared" si="73"/>
        <v>27615229.700525362</v>
      </c>
      <c r="AU84" s="173">
        <f t="shared" si="74"/>
        <v>0</v>
      </c>
      <c r="AV84" s="173">
        <f t="shared" si="75"/>
        <v>29247463.298853159</v>
      </c>
      <c r="AW84" s="173">
        <f t="shared" si="76"/>
        <v>0</v>
      </c>
      <c r="AX84" s="173">
        <f t="shared" si="77"/>
        <v>29766519.321288496</v>
      </c>
      <c r="AY84" s="173">
        <f t="shared" si="78"/>
        <v>0</v>
      </c>
      <c r="AZ84" s="173">
        <f t="shared" si="79"/>
        <v>30322426.211725894</v>
      </c>
      <c r="BB84" s="87" t="s">
        <v>185</v>
      </c>
      <c r="BC84" s="87" t="s">
        <v>186</v>
      </c>
      <c r="BD84" s="173">
        <f t="shared" si="80"/>
        <v>0</v>
      </c>
      <c r="BE84" s="173">
        <f t="shared" si="81"/>
        <v>27615229.700525362</v>
      </c>
      <c r="BF84" s="173">
        <f t="shared" si="82"/>
        <v>0</v>
      </c>
      <c r="BG84" s="173">
        <f t="shared" si="83"/>
        <v>29390856.284673933</v>
      </c>
      <c r="BH84" s="173">
        <f t="shared" si="84"/>
        <v>0</v>
      </c>
      <c r="BI84" s="173">
        <f t="shared" si="85"/>
        <v>29934744.673548661</v>
      </c>
      <c r="BJ84" s="173">
        <f t="shared" si="86"/>
        <v>0</v>
      </c>
      <c r="BK84" s="173">
        <f t="shared" si="87"/>
        <v>30546387.815975264</v>
      </c>
      <c r="BM84" s="87" t="s">
        <v>185</v>
      </c>
      <c r="BN84" s="87" t="s">
        <v>186</v>
      </c>
      <c r="BO84" s="173">
        <f t="shared" si="88"/>
        <v>0</v>
      </c>
      <c r="BP84" s="173">
        <f t="shared" si="89"/>
        <v>27615229.700525362</v>
      </c>
      <c r="BQ84" s="173">
        <f t="shared" si="90"/>
        <v>0</v>
      </c>
      <c r="BR84" s="173">
        <f t="shared" si="91"/>
        <v>29307080.759290487</v>
      </c>
      <c r="BS84" s="173">
        <f t="shared" si="92"/>
        <v>0</v>
      </c>
      <c r="BT84" s="173">
        <f t="shared" si="93"/>
        <v>29827151.820145562</v>
      </c>
      <c r="BU84" s="173">
        <f t="shared" si="94"/>
        <v>0</v>
      </c>
      <c r="BV84" s="173">
        <f t="shared" si="95"/>
        <v>30384145.491731249</v>
      </c>
    </row>
    <row r="85" spans="5:74">
      <c r="E85" s="87" t="s">
        <v>541</v>
      </c>
      <c r="F85" s="87" t="s">
        <v>542</v>
      </c>
      <c r="G85" s="173">
        <f>IFERROR(IF(VLOOKUP(E85,A:C,3,FALSE)="YES",VLOOKUP(E85,'School Year 2021-22 SPED coop'!A:P,16,FALSE),0),0)</f>
        <v>0</v>
      </c>
      <c r="H85" s="173">
        <f t="shared" si="96"/>
        <v>5966729.3699999992</v>
      </c>
      <c r="J85" s="87" t="s">
        <v>541</v>
      </c>
      <c r="K85" s="87" t="s">
        <v>542</v>
      </c>
      <c r="L85" s="173">
        <f t="shared" si="55"/>
        <v>0</v>
      </c>
      <c r="M85" s="173">
        <f t="shared" si="56"/>
        <v>6032406.234308891</v>
      </c>
      <c r="N85" s="173">
        <f t="shared" si="57"/>
        <v>0</v>
      </c>
      <c r="O85" s="173">
        <f t="shared" si="58"/>
        <v>6192371.5060373843</v>
      </c>
      <c r="P85" s="173">
        <f t="shared" si="59"/>
        <v>0</v>
      </c>
      <c r="Q85" s="173">
        <f t="shared" si="60"/>
        <v>6307556.7486990308</v>
      </c>
      <c r="R85" s="173">
        <f t="shared" si="61"/>
        <v>0</v>
      </c>
      <c r="S85" s="173">
        <f t="shared" si="62"/>
        <v>6424621.9173370581</v>
      </c>
      <c r="U85" s="87" t="s">
        <v>541</v>
      </c>
      <c r="V85" s="87" t="s">
        <v>542</v>
      </c>
      <c r="W85" s="173">
        <f t="shared" si="63"/>
        <v>0</v>
      </c>
      <c r="X85" s="173">
        <f t="shared" si="97"/>
        <v>6032406.234308891</v>
      </c>
      <c r="Y85" s="173">
        <f t="shared" si="98"/>
        <v>0</v>
      </c>
      <c r="Z85" s="173">
        <f t="shared" si="99"/>
        <v>6222737.6399261365</v>
      </c>
      <c r="AA85" s="173">
        <f t="shared" si="100"/>
        <v>0</v>
      </c>
      <c r="AB85" s="173">
        <f t="shared" si="101"/>
        <v>6343219.4824267132</v>
      </c>
      <c r="AC85" s="173">
        <f t="shared" si="102"/>
        <v>0</v>
      </c>
      <c r="AD85" s="173">
        <f t="shared" si="103"/>
        <v>6472079.8644254031</v>
      </c>
      <c r="AF85" s="87" t="s">
        <v>541</v>
      </c>
      <c r="AG85" s="87" t="s">
        <v>542</v>
      </c>
      <c r="AH85" s="173">
        <f t="shared" si="64"/>
        <v>0</v>
      </c>
      <c r="AI85" s="173">
        <f t="shared" si="65"/>
        <v>6032406.234308891</v>
      </c>
      <c r="AJ85" s="173">
        <f t="shared" si="66"/>
        <v>0</v>
      </c>
      <c r="AK85" s="173">
        <f t="shared" si="67"/>
        <v>6178471.821484942</v>
      </c>
      <c r="AL85" s="173">
        <f t="shared" si="68"/>
        <v>0</v>
      </c>
      <c r="AM85" s="173">
        <f t="shared" si="69"/>
        <v>6285414.3043513307</v>
      </c>
      <c r="AN85" s="173">
        <f t="shared" si="70"/>
        <v>0</v>
      </c>
      <c r="AO85" s="173">
        <f t="shared" si="71"/>
        <v>6402068.9432393527</v>
      </c>
      <c r="AQ85" s="87" t="s">
        <v>541</v>
      </c>
      <c r="AR85" s="87" t="s">
        <v>542</v>
      </c>
      <c r="AS85" s="173">
        <f t="shared" si="72"/>
        <v>0</v>
      </c>
      <c r="AT85" s="173">
        <f t="shared" si="73"/>
        <v>6032406.234308891</v>
      </c>
      <c r="AU85" s="173">
        <f t="shared" si="74"/>
        <v>0</v>
      </c>
      <c r="AV85" s="173">
        <f t="shared" si="75"/>
        <v>6346052.3091518022</v>
      </c>
      <c r="AW85" s="173">
        <f t="shared" si="76"/>
        <v>0</v>
      </c>
      <c r="AX85" s="173">
        <f t="shared" si="77"/>
        <v>6458395.3328327034</v>
      </c>
      <c r="AY85" s="173">
        <f t="shared" si="78"/>
        <v>0</v>
      </c>
      <c r="AZ85" s="173">
        <f t="shared" si="79"/>
        <v>6578714.1843310362</v>
      </c>
      <c r="BB85" s="87" t="s">
        <v>541</v>
      </c>
      <c r="BC85" s="87" t="s">
        <v>542</v>
      </c>
      <c r="BD85" s="173">
        <f t="shared" si="80"/>
        <v>0</v>
      </c>
      <c r="BE85" s="173">
        <f t="shared" si="81"/>
        <v>6032406.234308891</v>
      </c>
      <c r="BF85" s="173">
        <f t="shared" si="82"/>
        <v>0</v>
      </c>
      <c r="BG85" s="173">
        <f t="shared" si="83"/>
        <v>6377172.0657089464</v>
      </c>
      <c r="BH85" s="173">
        <f t="shared" si="84"/>
        <v>0</v>
      </c>
      <c r="BI85" s="173">
        <f t="shared" si="85"/>
        <v>6494910.9099117098</v>
      </c>
      <c r="BJ85" s="173">
        <f t="shared" si="86"/>
        <v>0</v>
      </c>
      <c r="BK85" s="173">
        <f t="shared" si="87"/>
        <v>6627310.3956820089</v>
      </c>
      <c r="BM85" s="87" t="s">
        <v>541</v>
      </c>
      <c r="BN85" s="87" t="s">
        <v>542</v>
      </c>
      <c r="BO85" s="173">
        <f t="shared" si="88"/>
        <v>0</v>
      </c>
      <c r="BP85" s="173">
        <f t="shared" si="89"/>
        <v>6032406.234308891</v>
      </c>
      <c r="BQ85" s="173">
        <f t="shared" si="90"/>
        <v>0</v>
      </c>
      <c r="BR85" s="173">
        <f t="shared" si="91"/>
        <v>6331799.2338240221</v>
      </c>
      <c r="BS85" s="173">
        <f t="shared" si="92"/>
        <v>0</v>
      </c>
      <c r="BT85" s="173">
        <f t="shared" si="93"/>
        <v>6435712.0830780091</v>
      </c>
      <c r="BU85" s="173">
        <f t="shared" si="94"/>
        <v>0</v>
      </c>
      <c r="BV85" s="173">
        <f t="shared" si="95"/>
        <v>6555608.7371715857</v>
      </c>
    </row>
    <row r="86" spans="5:74">
      <c r="E86" s="87" t="s">
        <v>389</v>
      </c>
      <c r="F86" s="87" t="s">
        <v>390</v>
      </c>
      <c r="G86" s="173">
        <f>IFERROR(IF(VLOOKUP(E86,A:C,3,FALSE)="YES",VLOOKUP(E86,'School Year 2021-22 SPED coop'!A:P,16,FALSE),0),0)</f>
        <v>0</v>
      </c>
      <c r="H86" s="173">
        <f t="shared" si="96"/>
        <v>4057902.84</v>
      </c>
      <c r="J86" s="87" t="s">
        <v>389</v>
      </c>
      <c r="K86" s="87" t="s">
        <v>390</v>
      </c>
      <c r="L86" s="173">
        <f t="shared" si="55"/>
        <v>0</v>
      </c>
      <c r="M86" s="173">
        <f t="shared" si="56"/>
        <v>4129633.4162087026</v>
      </c>
      <c r="N86" s="173">
        <f t="shared" si="57"/>
        <v>0</v>
      </c>
      <c r="O86" s="173">
        <f t="shared" si="58"/>
        <v>4267551.952217672</v>
      </c>
      <c r="P86" s="173">
        <f t="shared" si="59"/>
        <v>0</v>
      </c>
      <c r="Q86" s="173">
        <f t="shared" si="60"/>
        <v>4347035.9139609886</v>
      </c>
      <c r="R86" s="173">
        <f t="shared" si="61"/>
        <v>0</v>
      </c>
      <c r="S86" s="173">
        <f t="shared" si="62"/>
        <v>4427908.0379504366</v>
      </c>
      <c r="U86" s="87" t="s">
        <v>389</v>
      </c>
      <c r="V86" s="87" t="s">
        <v>390</v>
      </c>
      <c r="W86" s="173">
        <f t="shared" si="63"/>
        <v>0</v>
      </c>
      <c r="X86" s="173">
        <f t="shared" si="97"/>
        <v>4129633.4162087026</v>
      </c>
      <c r="Y86" s="173">
        <f t="shared" si="98"/>
        <v>0</v>
      </c>
      <c r="Z86" s="173">
        <f t="shared" si="99"/>
        <v>4288482.8611068781</v>
      </c>
      <c r="AA86" s="173">
        <f t="shared" si="100"/>
        <v>0</v>
      </c>
      <c r="AB86" s="173">
        <f t="shared" si="101"/>
        <v>4371611.6751890928</v>
      </c>
      <c r="AC86" s="173">
        <f t="shared" si="102"/>
        <v>0</v>
      </c>
      <c r="AD86" s="173">
        <f t="shared" si="103"/>
        <v>4460615.0232414957</v>
      </c>
      <c r="AF86" s="87" t="s">
        <v>389</v>
      </c>
      <c r="AG86" s="87" t="s">
        <v>390</v>
      </c>
      <c r="AH86" s="173">
        <f t="shared" si="64"/>
        <v>0</v>
      </c>
      <c r="AI86" s="173">
        <f t="shared" si="65"/>
        <v>4129633.4162087026</v>
      </c>
      <c r="AJ86" s="173">
        <f t="shared" si="66"/>
        <v>0</v>
      </c>
      <c r="AK86" s="173">
        <f t="shared" si="67"/>
        <v>4272261.5985470545</v>
      </c>
      <c r="AL86" s="173">
        <f t="shared" si="68"/>
        <v>0</v>
      </c>
      <c r="AM86" s="173">
        <f t="shared" si="69"/>
        <v>4351417.5942613129</v>
      </c>
      <c r="AN86" s="173">
        <f t="shared" si="70"/>
        <v>0</v>
      </c>
      <c r="AO86" s="173">
        <f t="shared" si="71"/>
        <v>4444408.0867317682</v>
      </c>
      <c r="AQ86" s="87" t="s">
        <v>389</v>
      </c>
      <c r="AR86" s="87" t="s">
        <v>390</v>
      </c>
      <c r="AS86" s="173">
        <f t="shared" si="72"/>
        <v>0</v>
      </c>
      <c r="AT86" s="173">
        <f t="shared" si="73"/>
        <v>4129633.4162087026</v>
      </c>
      <c r="AU86" s="173">
        <f t="shared" si="74"/>
        <v>0</v>
      </c>
      <c r="AV86" s="173">
        <f t="shared" si="75"/>
        <v>4373712.7489330871</v>
      </c>
      <c r="AW86" s="173">
        <f t="shared" si="76"/>
        <v>0</v>
      </c>
      <c r="AX86" s="173">
        <f t="shared" si="77"/>
        <v>4451323.0996172838</v>
      </c>
      <c r="AY86" s="173">
        <f t="shared" si="78"/>
        <v>0</v>
      </c>
      <c r="AZ86" s="173">
        <f t="shared" si="79"/>
        <v>4534443.3862623917</v>
      </c>
      <c r="BB86" s="87" t="s">
        <v>389</v>
      </c>
      <c r="BC86" s="87" t="s">
        <v>390</v>
      </c>
      <c r="BD86" s="173">
        <f t="shared" si="80"/>
        <v>0</v>
      </c>
      <c r="BE86" s="173">
        <f t="shared" si="81"/>
        <v>4129633.4162087026</v>
      </c>
      <c r="BF86" s="173">
        <f t="shared" si="82"/>
        <v>0</v>
      </c>
      <c r="BG86" s="173">
        <f t="shared" si="83"/>
        <v>4395164.3452506978</v>
      </c>
      <c r="BH86" s="173">
        <f t="shared" si="84"/>
        <v>0</v>
      </c>
      <c r="BI86" s="173">
        <f t="shared" si="85"/>
        <v>4476488.4469781816</v>
      </c>
      <c r="BJ86" s="173">
        <f t="shared" si="86"/>
        <v>0</v>
      </c>
      <c r="BK86" s="173">
        <f t="shared" si="87"/>
        <v>4567937.3015901232</v>
      </c>
      <c r="BM86" s="87" t="s">
        <v>389</v>
      </c>
      <c r="BN86" s="87" t="s">
        <v>390</v>
      </c>
      <c r="BO86" s="173">
        <f t="shared" si="88"/>
        <v>0</v>
      </c>
      <c r="BP86" s="173">
        <f t="shared" si="89"/>
        <v>4129633.4162087026</v>
      </c>
      <c r="BQ86" s="173">
        <f t="shared" si="90"/>
        <v>0</v>
      </c>
      <c r="BR86" s="173">
        <f t="shared" si="91"/>
        <v>4378542.2090014778</v>
      </c>
      <c r="BS86" s="173">
        <f t="shared" si="92"/>
        <v>0</v>
      </c>
      <c r="BT86" s="173">
        <f t="shared" si="93"/>
        <v>4455814.2708485248</v>
      </c>
      <c r="BU86" s="173">
        <f t="shared" si="94"/>
        <v>0</v>
      </c>
      <c r="BV86" s="173">
        <f t="shared" si="95"/>
        <v>4551348.4409362599</v>
      </c>
    </row>
    <row r="87" spans="5:74">
      <c r="E87" s="87" t="s">
        <v>23</v>
      </c>
      <c r="F87" s="87" t="s">
        <v>24</v>
      </c>
      <c r="G87" s="173">
        <f>IFERROR(IF(VLOOKUP(E87,A:C,3,FALSE)="YES",VLOOKUP(E87,'School Year 2021-22 SPED coop'!A:P,16,FALSE),0),0)</f>
        <v>0</v>
      </c>
      <c r="H87" s="173">
        <f t="shared" si="96"/>
        <v>977021.27</v>
      </c>
      <c r="J87" s="87" t="s">
        <v>23</v>
      </c>
      <c r="K87" s="87" t="s">
        <v>24</v>
      </c>
      <c r="L87" s="173">
        <f t="shared" si="55"/>
        <v>0</v>
      </c>
      <c r="M87" s="173">
        <f t="shared" si="56"/>
        <v>987822.41987919831</v>
      </c>
      <c r="N87" s="173">
        <f t="shared" si="57"/>
        <v>0</v>
      </c>
      <c r="O87" s="173">
        <f t="shared" si="58"/>
        <v>1021311.9540795138</v>
      </c>
      <c r="P87" s="173">
        <f t="shared" si="59"/>
        <v>0</v>
      </c>
      <c r="Q87" s="173">
        <f t="shared" si="60"/>
        <v>1040229.866127011</v>
      </c>
      <c r="R87" s="173">
        <f t="shared" si="61"/>
        <v>0</v>
      </c>
      <c r="S87" s="173">
        <f t="shared" si="62"/>
        <v>1059386.1114376171</v>
      </c>
      <c r="U87" s="87" t="s">
        <v>23</v>
      </c>
      <c r="V87" s="87" t="s">
        <v>24</v>
      </c>
      <c r="W87" s="173">
        <f t="shared" si="63"/>
        <v>0</v>
      </c>
      <c r="X87" s="173">
        <f t="shared" si="97"/>
        <v>987822.41987919831</v>
      </c>
      <c r="Y87" s="173">
        <f t="shared" si="98"/>
        <v>0</v>
      </c>
      <c r="Z87" s="173">
        <f t="shared" si="99"/>
        <v>1026314.1141213779</v>
      </c>
      <c r="AA87" s="173">
        <f t="shared" si="100"/>
        <v>0</v>
      </c>
      <c r="AB87" s="173">
        <f t="shared" si="101"/>
        <v>1046115.6756891279</v>
      </c>
      <c r="AC87" s="173">
        <f t="shared" si="102"/>
        <v>0</v>
      </c>
      <c r="AD87" s="173">
        <f t="shared" si="103"/>
        <v>1067213.4693405114</v>
      </c>
      <c r="AF87" s="87" t="s">
        <v>23</v>
      </c>
      <c r="AG87" s="87" t="s">
        <v>24</v>
      </c>
      <c r="AH87" s="173">
        <f t="shared" si="64"/>
        <v>0</v>
      </c>
      <c r="AI87" s="173">
        <f t="shared" si="65"/>
        <v>987822.41987919831</v>
      </c>
      <c r="AJ87" s="173">
        <f t="shared" si="66"/>
        <v>0</v>
      </c>
      <c r="AK87" s="173">
        <f t="shared" si="67"/>
        <v>1022660.0193038142</v>
      </c>
      <c r="AL87" s="173">
        <f t="shared" si="68"/>
        <v>0</v>
      </c>
      <c r="AM87" s="173">
        <f t="shared" si="69"/>
        <v>1037838.9696771478</v>
      </c>
      <c r="AN87" s="173">
        <f t="shared" si="70"/>
        <v>0</v>
      </c>
      <c r="AO87" s="173">
        <f t="shared" si="71"/>
        <v>1059474.9133257568</v>
      </c>
      <c r="AQ87" s="87" t="s">
        <v>23</v>
      </c>
      <c r="AR87" s="87" t="s">
        <v>24</v>
      </c>
      <c r="AS87" s="173">
        <f t="shared" si="72"/>
        <v>0</v>
      </c>
      <c r="AT87" s="173">
        <f t="shared" si="73"/>
        <v>987822.41987919831</v>
      </c>
      <c r="AU87" s="173">
        <f t="shared" si="74"/>
        <v>0</v>
      </c>
      <c r="AV87" s="173">
        <f t="shared" si="75"/>
        <v>1046447.4863488482</v>
      </c>
      <c r="AW87" s="173">
        <f t="shared" si="76"/>
        <v>0</v>
      </c>
      <c r="AX87" s="173">
        <f t="shared" si="77"/>
        <v>1064830.3598223242</v>
      </c>
      <c r="AY87" s="173">
        <f t="shared" si="78"/>
        <v>0</v>
      </c>
      <c r="AZ87" s="173">
        <f t="shared" si="79"/>
        <v>1084518.325598344</v>
      </c>
      <c r="BB87" s="87" t="s">
        <v>23</v>
      </c>
      <c r="BC87" s="87" t="s">
        <v>24</v>
      </c>
      <c r="BD87" s="173">
        <f t="shared" si="80"/>
        <v>0</v>
      </c>
      <c r="BE87" s="173">
        <f t="shared" si="81"/>
        <v>987822.41987919831</v>
      </c>
      <c r="BF87" s="173">
        <f t="shared" si="82"/>
        <v>0</v>
      </c>
      <c r="BG87" s="173">
        <f t="shared" si="83"/>
        <v>1051572.7518788683</v>
      </c>
      <c r="BH87" s="173">
        <f t="shared" si="84"/>
        <v>0</v>
      </c>
      <c r="BI87" s="173">
        <f t="shared" si="85"/>
        <v>1070855.3665265576</v>
      </c>
      <c r="BJ87" s="173">
        <f t="shared" si="86"/>
        <v>0</v>
      </c>
      <c r="BK87" s="173">
        <f t="shared" si="87"/>
        <v>1092531.376062321</v>
      </c>
      <c r="BM87" s="87" t="s">
        <v>23</v>
      </c>
      <c r="BN87" s="87" t="s">
        <v>24</v>
      </c>
      <c r="BO87" s="173">
        <f t="shared" si="88"/>
        <v>0</v>
      </c>
      <c r="BP87" s="173">
        <f t="shared" si="89"/>
        <v>987822.41987919831</v>
      </c>
      <c r="BQ87" s="173">
        <f t="shared" si="90"/>
        <v>0</v>
      </c>
      <c r="BR87" s="173">
        <f t="shared" si="91"/>
        <v>1047830.4820195835</v>
      </c>
      <c r="BS87" s="173">
        <f t="shared" si="92"/>
        <v>0</v>
      </c>
      <c r="BT87" s="173">
        <f t="shared" si="93"/>
        <v>1062384.2658417644</v>
      </c>
      <c r="BU87" s="173">
        <f t="shared" si="94"/>
        <v>0</v>
      </c>
      <c r="BV87" s="173">
        <f t="shared" si="95"/>
        <v>1084611.7607871734</v>
      </c>
    </row>
    <row r="88" spans="5:74">
      <c r="E88" s="87" t="s">
        <v>381</v>
      </c>
      <c r="F88" s="87" t="s">
        <v>382</v>
      </c>
      <c r="G88" s="173">
        <f>IFERROR(IF(VLOOKUP(E88,A:C,3,FALSE)="YES",VLOOKUP(E88,'School Year 2021-22 SPED coop'!A:P,16,FALSE),0),0)</f>
        <v>0</v>
      </c>
      <c r="H88" s="173">
        <f t="shared" si="96"/>
        <v>9372247.3900000006</v>
      </c>
      <c r="J88" s="87" t="s">
        <v>381</v>
      </c>
      <c r="K88" s="87" t="s">
        <v>382</v>
      </c>
      <c r="L88" s="173">
        <f t="shared" si="55"/>
        <v>0</v>
      </c>
      <c r="M88" s="173">
        <f t="shared" si="56"/>
        <v>9534636.2268059608</v>
      </c>
      <c r="N88" s="173">
        <f t="shared" si="57"/>
        <v>0</v>
      </c>
      <c r="O88" s="173">
        <f t="shared" si="58"/>
        <v>9855214.2512788847</v>
      </c>
      <c r="P88" s="173">
        <f t="shared" si="59"/>
        <v>0</v>
      </c>
      <c r="Q88" s="173">
        <f t="shared" si="60"/>
        <v>10038279.503300795</v>
      </c>
      <c r="R88" s="173">
        <f t="shared" si="61"/>
        <v>0</v>
      </c>
      <c r="S88" s="173">
        <f t="shared" si="62"/>
        <v>10224109.43349045</v>
      </c>
      <c r="U88" s="87" t="s">
        <v>381</v>
      </c>
      <c r="V88" s="87" t="s">
        <v>382</v>
      </c>
      <c r="W88" s="173">
        <f t="shared" si="63"/>
        <v>0</v>
      </c>
      <c r="X88" s="173">
        <f t="shared" si="97"/>
        <v>9534636.2268059608</v>
      </c>
      <c r="Y88" s="173">
        <f t="shared" si="98"/>
        <v>0</v>
      </c>
      <c r="Z88" s="173">
        <f t="shared" si="99"/>
        <v>9903534.1290385053</v>
      </c>
      <c r="AA88" s="173">
        <f t="shared" si="100"/>
        <v>0</v>
      </c>
      <c r="AB88" s="173">
        <f t="shared" si="101"/>
        <v>10095006.731320558</v>
      </c>
      <c r="AC88" s="173">
        <f t="shared" si="102"/>
        <v>0</v>
      </c>
      <c r="AD88" s="173">
        <f t="shared" si="103"/>
        <v>10299631.640090495</v>
      </c>
      <c r="AF88" s="87" t="s">
        <v>381</v>
      </c>
      <c r="AG88" s="87" t="s">
        <v>382</v>
      </c>
      <c r="AH88" s="173">
        <f t="shared" si="64"/>
        <v>0</v>
      </c>
      <c r="AI88" s="173">
        <f t="shared" si="65"/>
        <v>9534636.2268059608</v>
      </c>
      <c r="AJ88" s="173">
        <f t="shared" si="66"/>
        <v>0</v>
      </c>
      <c r="AK88" s="173">
        <f t="shared" si="67"/>
        <v>9835082.0679811705</v>
      </c>
      <c r="AL88" s="173">
        <f t="shared" si="68"/>
        <v>0</v>
      </c>
      <c r="AM88" s="173">
        <f t="shared" si="69"/>
        <v>10017838.084814461</v>
      </c>
      <c r="AN88" s="173">
        <f t="shared" si="70"/>
        <v>0</v>
      </c>
      <c r="AO88" s="173">
        <f t="shared" si="71"/>
        <v>10203370.035013907</v>
      </c>
      <c r="AQ88" s="87" t="s">
        <v>381</v>
      </c>
      <c r="AR88" s="87" t="s">
        <v>382</v>
      </c>
      <c r="AS88" s="173">
        <f t="shared" si="72"/>
        <v>0</v>
      </c>
      <c r="AT88" s="173">
        <f t="shared" si="73"/>
        <v>9534636.2268059608</v>
      </c>
      <c r="AU88" s="173">
        <f t="shared" si="74"/>
        <v>0</v>
      </c>
      <c r="AV88" s="173">
        <f t="shared" si="75"/>
        <v>10099147.241983637</v>
      </c>
      <c r="AW88" s="173">
        <f t="shared" si="76"/>
        <v>0</v>
      </c>
      <c r="AX88" s="173">
        <f t="shared" si="77"/>
        <v>10277479.510763444</v>
      </c>
      <c r="AY88" s="173">
        <f t="shared" si="78"/>
        <v>0</v>
      </c>
      <c r="AZ88" s="173">
        <f t="shared" si="79"/>
        <v>10468472.456235461</v>
      </c>
      <c r="BB88" s="87" t="s">
        <v>381</v>
      </c>
      <c r="BC88" s="87" t="s">
        <v>382</v>
      </c>
      <c r="BD88" s="173">
        <f t="shared" si="80"/>
        <v>0</v>
      </c>
      <c r="BE88" s="173">
        <f t="shared" si="81"/>
        <v>9534636.2268059608</v>
      </c>
      <c r="BF88" s="173">
        <f t="shared" si="82"/>
        <v>0</v>
      </c>
      <c r="BG88" s="173">
        <f t="shared" si="83"/>
        <v>10148663.117796503</v>
      </c>
      <c r="BH88" s="173">
        <f t="shared" si="84"/>
        <v>0</v>
      </c>
      <c r="BI88" s="173">
        <f t="shared" si="85"/>
        <v>10335558.475194853</v>
      </c>
      <c r="BJ88" s="173">
        <f t="shared" si="86"/>
        <v>0</v>
      </c>
      <c r="BK88" s="173">
        <f t="shared" si="87"/>
        <v>10545799.696358807</v>
      </c>
      <c r="BM88" s="87" t="s">
        <v>381</v>
      </c>
      <c r="BN88" s="87" t="s">
        <v>382</v>
      </c>
      <c r="BO88" s="173">
        <f t="shared" si="88"/>
        <v>0</v>
      </c>
      <c r="BP88" s="173">
        <f t="shared" si="89"/>
        <v>9534636.2268059608</v>
      </c>
      <c r="BQ88" s="173">
        <f t="shared" si="90"/>
        <v>0</v>
      </c>
      <c r="BR88" s="173">
        <f t="shared" si="91"/>
        <v>10078506.527902611</v>
      </c>
      <c r="BS88" s="173">
        <f t="shared" si="92"/>
        <v>0</v>
      </c>
      <c r="BT88" s="173">
        <f t="shared" si="93"/>
        <v>10256540.537591573</v>
      </c>
      <c r="BU88" s="173">
        <f t="shared" si="94"/>
        <v>0</v>
      </c>
      <c r="BV88" s="173">
        <f t="shared" si="95"/>
        <v>10447226.716563635</v>
      </c>
    </row>
    <row r="89" spans="5:74">
      <c r="E89" s="87" t="s">
        <v>465</v>
      </c>
      <c r="F89" s="87" t="s">
        <v>466</v>
      </c>
      <c r="G89" s="173">
        <f>IFERROR(IF(VLOOKUP(E89,A:C,3,FALSE)="YES",VLOOKUP(E89,'School Year 2021-22 SPED coop'!A:P,16,FALSE),0),0)</f>
        <v>0</v>
      </c>
      <c r="H89" s="173">
        <f t="shared" si="96"/>
        <v>1002734.04</v>
      </c>
      <c r="J89" s="87" t="s">
        <v>465</v>
      </c>
      <c r="K89" s="87" t="s">
        <v>466</v>
      </c>
      <c r="L89" s="173">
        <f t="shared" si="55"/>
        <v>0</v>
      </c>
      <c r="M89" s="173">
        <f t="shared" si="56"/>
        <v>1013986.9416784635</v>
      </c>
      <c r="N89" s="173">
        <f t="shared" si="57"/>
        <v>0</v>
      </c>
      <c r="O89" s="173">
        <f t="shared" si="58"/>
        <v>1048243.9590218788</v>
      </c>
      <c r="P89" s="173">
        <f t="shared" si="59"/>
        <v>0</v>
      </c>
      <c r="Q89" s="173">
        <f t="shared" si="60"/>
        <v>1067692.047960595</v>
      </c>
      <c r="R89" s="173">
        <f t="shared" si="61"/>
        <v>0</v>
      </c>
      <c r="S89" s="173">
        <f t="shared" si="62"/>
        <v>1087411.4981647071</v>
      </c>
      <c r="U89" s="87" t="s">
        <v>465</v>
      </c>
      <c r="V89" s="87" t="s">
        <v>466</v>
      </c>
      <c r="W89" s="173">
        <f t="shared" si="63"/>
        <v>0</v>
      </c>
      <c r="X89" s="173">
        <f t="shared" si="97"/>
        <v>1013986.9416784635</v>
      </c>
      <c r="Y89" s="173">
        <f t="shared" si="98"/>
        <v>0</v>
      </c>
      <c r="Z89" s="173">
        <f t="shared" si="99"/>
        <v>1053374.2216575607</v>
      </c>
      <c r="AA89" s="173">
        <f t="shared" si="100"/>
        <v>0</v>
      </c>
      <c r="AB89" s="173">
        <f t="shared" si="101"/>
        <v>1073716.4654524568</v>
      </c>
      <c r="AC89" s="173">
        <f t="shared" si="102"/>
        <v>0</v>
      </c>
      <c r="AD89" s="173">
        <f t="shared" si="103"/>
        <v>1095447.5347388403</v>
      </c>
      <c r="AF89" s="87" t="s">
        <v>465</v>
      </c>
      <c r="AG89" s="87" t="s">
        <v>466</v>
      </c>
      <c r="AH89" s="173">
        <f t="shared" si="64"/>
        <v>0</v>
      </c>
      <c r="AI89" s="173">
        <f t="shared" si="65"/>
        <v>1013986.9416784635</v>
      </c>
      <c r="AJ89" s="173">
        <f t="shared" si="66"/>
        <v>0</v>
      </c>
      <c r="AK89" s="173">
        <f t="shared" si="67"/>
        <v>1050276.5046297801</v>
      </c>
      <c r="AL89" s="173">
        <f t="shared" si="68"/>
        <v>0</v>
      </c>
      <c r="AM89" s="173">
        <f t="shared" si="69"/>
        <v>1069762.4235603556</v>
      </c>
      <c r="AN89" s="173">
        <f t="shared" si="70"/>
        <v>0</v>
      </c>
      <c r="AO89" s="173">
        <f t="shared" si="71"/>
        <v>1089520.3235041562</v>
      </c>
      <c r="AQ89" s="87" t="s">
        <v>465</v>
      </c>
      <c r="AR89" s="87" t="s">
        <v>466</v>
      </c>
      <c r="AS89" s="173">
        <f t="shared" si="72"/>
        <v>0</v>
      </c>
      <c r="AT89" s="173">
        <f t="shared" si="73"/>
        <v>1013986.9416784635</v>
      </c>
      <c r="AU89" s="173">
        <f t="shared" si="74"/>
        <v>0</v>
      </c>
      <c r="AV89" s="173">
        <f t="shared" si="75"/>
        <v>1074124.4358440065</v>
      </c>
      <c r="AW89" s="173">
        <f t="shared" si="76"/>
        <v>0</v>
      </c>
      <c r="AX89" s="173">
        <f t="shared" si="77"/>
        <v>1093048.0527945079</v>
      </c>
      <c r="AY89" s="173">
        <f t="shared" si="78"/>
        <v>0</v>
      </c>
      <c r="AZ89" s="173">
        <f t="shared" si="79"/>
        <v>1113315.1605973255</v>
      </c>
      <c r="BB89" s="87" t="s">
        <v>465</v>
      </c>
      <c r="BC89" s="87" t="s">
        <v>466</v>
      </c>
      <c r="BD89" s="173">
        <f t="shared" si="80"/>
        <v>0</v>
      </c>
      <c r="BE89" s="173">
        <f t="shared" si="81"/>
        <v>1013986.9416784635</v>
      </c>
      <c r="BF89" s="173">
        <f t="shared" si="82"/>
        <v>0</v>
      </c>
      <c r="BG89" s="173">
        <f t="shared" si="83"/>
        <v>1079381.3562185897</v>
      </c>
      <c r="BH89" s="173">
        <f t="shared" si="84"/>
        <v>0</v>
      </c>
      <c r="BI89" s="173">
        <f t="shared" si="85"/>
        <v>1099215.5354160927</v>
      </c>
      <c r="BJ89" s="173">
        <f t="shared" si="86"/>
        <v>0</v>
      </c>
      <c r="BK89" s="173">
        <f t="shared" si="87"/>
        <v>1121542.6290060156</v>
      </c>
      <c r="BM89" s="87" t="s">
        <v>465</v>
      </c>
      <c r="BN89" s="87" t="s">
        <v>466</v>
      </c>
      <c r="BO89" s="173">
        <f t="shared" si="88"/>
        <v>0</v>
      </c>
      <c r="BP89" s="173">
        <f t="shared" si="89"/>
        <v>1013986.9416784635</v>
      </c>
      <c r="BQ89" s="173">
        <f t="shared" si="90"/>
        <v>0</v>
      </c>
      <c r="BR89" s="173">
        <f t="shared" si="91"/>
        <v>1076208.2249649521</v>
      </c>
      <c r="BS89" s="173">
        <f t="shared" si="92"/>
        <v>0</v>
      </c>
      <c r="BT89" s="173">
        <f t="shared" si="93"/>
        <v>1095168.7536324484</v>
      </c>
      <c r="BU89" s="173">
        <f t="shared" si="94"/>
        <v>0</v>
      </c>
      <c r="BV89" s="173">
        <f t="shared" si="95"/>
        <v>1115475.3991547229</v>
      </c>
    </row>
    <row r="90" spans="5:74">
      <c r="E90" s="87" t="s">
        <v>567</v>
      </c>
      <c r="F90" s="87" t="s">
        <v>568</v>
      </c>
      <c r="G90" s="173">
        <f>IFERROR(IF(VLOOKUP(E90,A:C,3,FALSE)="YES",VLOOKUP(E90,'School Year 2021-22 SPED coop'!A:P,16,FALSE),0),0)</f>
        <v>0</v>
      </c>
      <c r="H90" s="173">
        <f t="shared" si="96"/>
        <v>128791.35</v>
      </c>
      <c r="J90" s="87" t="s">
        <v>567</v>
      </c>
      <c r="K90" s="87" t="s">
        <v>568</v>
      </c>
      <c r="L90" s="173">
        <f t="shared" si="55"/>
        <v>0</v>
      </c>
      <c r="M90" s="173">
        <f t="shared" si="56"/>
        <v>130256.8708251879</v>
      </c>
      <c r="N90" s="173">
        <f t="shared" si="57"/>
        <v>0</v>
      </c>
      <c r="O90" s="173">
        <f t="shared" si="58"/>
        <v>134665.63295585054</v>
      </c>
      <c r="P90" s="173">
        <f t="shared" si="59"/>
        <v>0</v>
      </c>
      <c r="Q90" s="173">
        <f t="shared" si="60"/>
        <v>137159.29420933779</v>
      </c>
      <c r="R90" s="173">
        <f t="shared" si="61"/>
        <v>0</v>
      </c>
      <c r="S90" s="173">
        <f t="shared" si="62"/>
        <v>139683.73500027577</v>
      </c>
      <c r="U90" s="87" t="s">
        <v>567</v>
      </c>
      <c r="V90" s="87" t="s">
        <v>568</v>
      </c>
      <c r="W90" s="173">
        <f t="shared" si="63"/>
        <v>0</v>
      </c>
      <c r="X90" s="173">
        <f t="shared" si="97"/>
        <v>130256.8708251879</v>
      </c>
      <c r="Y90" s="173">
        <f t="shared" si="98"/>
        <v>0</v>
      </c>
      <c r="Z90" s="173">
        <f t="shared" si="99"/>
        <v>135329.61002735939</v>
      </c>
      <c r="AA90" s="173">
        <f t="shared" si="100"/>
        <v>0</v>
      </c>
      <c r="AB90" s="173">
        <f t="shared" si="101"/>
        <v>137927.69185450854</v>
      </c>
      <c r="AC90" s="173">
        <f t="shared" si="102"/>
        <v>0</v>
      </c>
      <c r="AD90" s="173">
        <f t="shared" si="103"/>
        <v>140713.34086386074</v>
      </c>
      <c r="AF90" s="87" t="s">
        <v>567</v>
      </c>
      <c r="AG90" s="87" t="s">
        <v>568</v>
      </c>
      <c r="AH90" s="173">
        <f t="shared" si="64"/>
        <v>0</v>
      </c>
      <c r="AI90" s="173">
        <f t="shared" si="65"/>
        <v>130256.8708251879</v>
      </c>
      <c r="AJ90" s="173">
        <f t="shared" si="66"/>
        <v>0</v>
      </c>
      <c r="AK90" s="173">
        <f t="shared" si="67"/>
        <v>135459.23051203624</v>
      </c>
      <c r="AL90" s="173">
        <f t="shared" si="68"/>
        <v>0</v>
      </c>
      <c r="AM90" s="173">
        <f t="shared" si="69"/>
        <v>137922.90000790916</v>
      </c>
      <c r="AN90" s="173">
        <f t="shared" si="70"/>
        <v>0</v>
      </c>
      <c r="AO90" s="173">
        <f t="shared" si="71"/>
        <v>140778.05451955719</v>
      </c>
      <c r="AQ90" s="87" t="s">
        <v>567</v>
      </c>
      <c r="AR90" s="87" t="s">
        <v>568</v>
      </c>
      <c r="AS90" s="173">
        <f t="shared" si="72"/>
        <v>0</v>
      </c>
      <c r="AT90" s="173">
        <f t="shared" si="73"/>
        <v>130256.8708251879</v>
      </c>
      <c r="AU90" s="173">
        <f t="shared" si="74"/>
        <v>0</v>
      </c>
      <c r="AV90" s="173">
        <f t="shared" si="75"/>
        <v>137980.78557952688</v>
      </c>
      <c r="AW90" s="173">
        <f t="shared" si="76"/>
        <v>0</v>
      </c>
      <c r="AX90" s="173">
        <f t="shared" si="77"/>
        <v>140403.3601497483</v>
      </c>
      <c r="AY90" s="173">
        <f t="shared" si="78"/>
        <v>0</v>
      </c>
      <c r="AZ90" s="173">
        <f t="shared" si="79"/>
        <v>142997.91949271443</v>
      </c>
      <c r="BB90" s="87" t="s">
        <v>567</v>
      </c>
      <c r="BC90" s="87" t="s">
        <v>568</v>
      </c>
      <c r="BD90" s="173">
        <f t="shared" si="80"/>
        <v>0</v>
      </c>
      <c r="BE90" s="173">
        <f t="shared" si="81"/>
        <v>130256.8708251879</v>
      </c>
      <c r="BF90" s="173">
        <f t="shared" si="82"/>
        <v>0</v>
      </c>
      <c r="BG90" s="173">
        <f t="shared" si="83"/>
        <v>138661.11017942632</v>
      </c>
      <c r="BH90" s="173">
        <f t="shared" si="84"/>
        <v>0</v>
      </c>
      <c r="BI90" s="173">
        <f t="shared" si="85"/>
        <v>141189.92855627759</v>
      </c>
      <c r="BJ90" s="173">
        <f t="shared" si="86"/>
        <v>0</v>
      </c>
      <c r="BK90" s="173">
        <f t="shared" si="87"/>
        <v>144051.95312209925</v>
      </c>
      <c r="BM90" s="87" t="s">
        <v>567</v>
      </c>
      <c r="BN90" s="87" t="s">
        <v>568</v>
      </c>
      <c r="BO90" s="173">
        <f t="shared" si="88"/>
        <v>0</v>
      </c>
      <c r="BP90" s="173">
        <f t="shared" si="89"/>
        <v>130256.8708251879</v>
      </c>
      <c r="BQ90" s="173">
        <f t="shared" si="90"/>
        <v>0</v>
      </c>
      <c r="BR90" s="173">
        <f t="shared" si="91"/>
        <v>138794.46712339445</v>
      </c>
      <c r="BS90" s="173">
        <f t="shared" si="92"/>
        <v>0</v>
      </c>
      <c r="BT90" s="173">
        <f t="shared" si="93"/>
        <v>141185.68387943934</v>
      </c>
      <c r="BU90" s="173">
        <f t="shared" si="94"/>
        <v>0</v>
      </c>
      <c r="BV90" s="173">
        <f t="shared" si="95"/>
        <v>144118.94325780173</v>
      </c>
    </row>
    <row r="91" spans="5:74">
      <c r="E91" s="87" t="s">
        <v>259</v>
      </c>
      <c r="F91" s="87" t="s">
        <v>260</v>
      </c>
      <c r="G91" s="173">
        <f>IFERROR(IF(VLOOKUP(E91,A:C,3,FALSE)="YES",VLOOKUP(E91,'School Year 2021-22 SPED coop'!A:P,16,FALSE),0),0)</f>
        <v>91842.78</v>
      </c>
      <c r="H91" s="173">
        <f t="shared" si="96"/>
        <v>0</v>
      </c>
      <c r="J91" s="87" t="s">
        <v>259</v>
      </c>
      <c r="K91" s="87" t="s">
        <v>260</v>
      </c>
      <c r="L91" s="173">
        <f t="shared" si="55"/>
        <v>61495.652379815343</v>
      </c>
      <c r="M91" s="173">
        <f t="shared" si="56"/>
        <v>0</v>
      </c>
      <c r="N91" s="173">
        <f t="shared" si="57"/>
        <v>63574.114231717809</v>
      </c>
      <c r="O91" s="173">
        <f t="shared" si="58"/>
        <v>0</v>
      </c>
      <c r="P91" s="173">
        <f t="shared" si="59"/>
        <v>64753.861839698802</v>
      </c>
      <c r="Q91" s="173">
        <f t="shared" si="60"/>
        <v>0</v>
      </c>
      <c r="R91" s="173">
        <f t="shared" si="61"/>
        <v>65950.279147848545</v>
      </c>
      <c r="S91" s="173">
        <f t="shared" si="62"/>
        <v>0</v>
      </c>
      <c r="U91" s="87" t="s">
        <v>259</v>
      </c>
      <c r="V91" s="87" t="s">
        <v>260</v>
      </c>
      <c r="W91" s="173">
        <f t="shared" si="63"/>
        <v>61495.652379815343</v>
      </c>
      <c r="X91" s="173">
        <f t="shared" si="97"/>
        <v>0</v>
      </c>
      <c r="Y91" s="173">
        <f t="shared" si="98"/>
        <v>63574.114231717809</v>
      </c>
      <c r="Z91" s="173">
        <f t="shared" si="99"/>
        <v>0</v>
      </c>
      <c r="AA91" s="173">
        <f t="shared" si="100"/>
        <v>64753.861839698802</v>
      </c>
      <c r="AB91" s="173">
        <f t="shared" si="101"/>
        <v>0</v>
      </c>
      <c r="AC91" s="173">
        <f t="shared" si="102"/>
        <v>65950.279147848545</v>
      </c>
      <c r="AD91" s="173">
        <f t="shared" si="103"/>
        <v>0</v>
      </c>
      <c r="AF91" s="87" t="s">
        <v>259</v>
      </c>
      <c r="AG91" s="87" t="s">
        <v>260</v>
      </c>
      <c r="AH91" s="173">
        <f t="shared" si="64"/>
        <v>61495.652379815343</v>
      </c>
      <c r="AI91" s="173">
        <f t="shared" si="65"/>
        <v>0</v>
      </c>
      <c r="AJ91" s="173">
        <f t="shared" si="66"/>
        <v>64617.66520505277</v>
      </c>
      <c r="AK91" s="173">
        <f t="shared" si="67"/>
        <v>0</v>
      </c>
      <c r="AL91" s="173">
        <f t="shared" si="68"/>
        <v>65571.688539279159</v>
      </c>
      <c r="AM91" s="173">
        <f t="shared" si="69"/>
        <v>0</v>
      </c>
      <c r="AN91" s="173">
        <f t="shared" si="70"/>
        <v>66386.323797666002</v>
      </c>
      <c r="AO91" s="173">
        <f t="shared" si="71"/>
        <v>0</v>
      </c>
      <c r="AQ91" s="87" t="s">
        <v>259</v>
      </c>
      <c r="AR91" s="87" t="s">
        <v>260</v>
      </c>
      <c r="AS91" s="173">
        <f t="shared" si="72"/>
        <v>61495.652379815343</v>
      </c>
      <c r="AT91" s="173">
        <f t="shared" si="73"/>
        <v>0</v>
      </c>
      <c r="AU91" s="173">
        <f t="shared" si="74"/>
        <v>65143.675393697362</v>
      </c>
      <c r="AV91" s="173">
        <f t="shared" si="75"/>
        <v>0</v>
      </c>
      <c r="AW91" s="173">
        <f t="shared" si="76"/>
        <v>66291.79584698641</v>
      </c>
      <c r="AX91" s="173">
        <f t="shared" si="77"/>
        <v>0</v>
      </c>
      <c r="AY91" s="173">
        <f t="shared" si="78"/>
        <v>67521.430800331436</v>
      </c>
      <c r="AZ91" s="173">
        <f t="shared" si="79"/>
        <v>0</v>
      </c>
      <c r="BB91" s="87" t="s">
        <v>259</v>
      </c>
      <c r="BC91" s="87" t="s">
        <v>260</v>
      </c>
      <c r="BD91" s="173">
        <f t="shared" si="80"/>
        <v>61495.652379815343</v>
      </c>
      <c r="BE91" s="173">
        <f t="shared" si="81"/>
        <v>0</v>
      </c>
      <c r="BF91" s="173">
        <f t="shared" si="82"/>
        <v>65143.675393697362</v>
      </c>
      <c r="BG91" s="173">
        <f t="shared" si="83"/>
        <v>0</v>
      </c>
      <c r="BH91" s="173">
        <f t="shared" si="84"/>
        <v>66291.79584698641</v>
      </c>
      <c r="BI91" s="173">
        <f t="shared" si="85"/>
        <v>0</v>
      </c>
      <c r="BJ91" s="173">
        <f t="shared" si="86"/>
        <v>67521.430800331436</v>
      </c>
      <c r="BK91" s="173">
        <f t="shared" si="87"/>
        <v>0</v>
      </c>
      <c r="BM91" s="87" t="s">
        <v>259</v>
      </c>
      <c r="BN91" s="87" t="s">
        <v>260</v>
      </c>
      <c r="BO91" s="173">
        <f t="shared" si="88"/>
        <v>61495.652379815343</v>
      </c>
      <c r="BP91" s="173">
        <f t="shared" si="89"/>
        <v>0</v>
      </c>
      <c r="BQ91" s="173">
        <f t="shared" si="90"/>
        <v>66213.334698276856</v>
      </c>
      <c r="BR91" s="173">
        <f t="shared" si="91"/>
        <v>0</v>
      </c>
      <c r="BS91" s="173">
        <f t="shared" si="92"/>
        <v>67129.354532990081</v>
      </c>
      <c r="BT91" s="173">
        <f t="shared" si="93"/>
        <v>0</v>
      </c>
      <c r="BU91" s="173">
        <f t="shared" si="94"/>
        <v>67968.09683659063</v>
      </c>
      <c r="BV91" s="173">
        <f t="shared" si="95"/>
        <v>0</v>
      </c>
    </row>
    <row r="92" spans="5:74">
      <c r="E92" s="87" t="s">
        <v>265</v>
      </c>
      <c r="F92" s="87" t="s">
        <v>266</v>
      </c>
      <c r="G92" s="173">
        <f>IFERROR(IF(VLOOKUP(E92,A:C,3,FALSE)="YES",VLOOKUP(E92,'School Year 2021-22 SPED coop'!A:P,16,FALSE),0),0)</f>
        <v>2392999.92</v>
      </c>
      <c r="H92" s="173">
        <f t="shared" si="96"/>
        <v>0</v>
      </c>
      <c r="J92" s="87" t="s">
        <v>265</v>
      </c>
      <c r="K92" s="87" t="s">
        <v>266</v>
      </c>
      <c r="L92" s="173">
        <f t="shared" si="55"/>
        <v>2616339.1519687646</v>
      </c>
      <c r="M92" s="173">
        <f t="shared" si="56"/>
        <v>0</v>
      </c>
      <c r="N92" s="173">
        <f t="shared" si="57"/>
        <v>2705162.1180200856</v>
      </c>
      <c r="O92" s="173">
        <f t="shared" si="58"/>
        <v>0</v>
      </c>
      <c r="P92" s="173">
        <f t="shared" si="59"/>
        <v>2755320.0927863754</v>
      </c>
      <c r="Q92" s="173">
        <f t="shared" si="60"/>
        <v>0</v>
      </c>
      <c r="R92" s="173">
        <f t="shared" si="61"/>
        <v>2806150.6585459304</v>
      </c>
      <c r="S92" s="173">
        <f t="shared" si="62"/>
        <v>0</v>
      </c>
      <c r="U92" s="87" t="s">
        <v>265</v>
      </c>
      <c r="V92" s="87" t="s">
        <v>266</v>
      </c>
      <c r="W92" s="173">
        <f t="shared" si="63"/>
        <v>2616339.1519687646</v>
      </c>
      <c r="X92" s="173">
        <f t="shared" si="97"/>
        <v>0</v>
      </c>
      <c r="Y92" s="173">
        <f t="shared" si="98"/>
        <v>2718431.3572136988</v>
      </c>
      <c r="Z92" s="173">
        <f t="shared" si="99"/>
        <v>0</v>
      </c>
      <c r="AA92" s="173">
        <f t="shared" si="100"/>
        <v>2770896.4428999978</v>
      </c>
      <c r="AB92" s="173">
        <f t="shared" si="101"/>
        <v>0</v>
      </c>
      <c r="AC92" s="173">
        <f t="shared" si="102"/>
        <v>2826890.502282952</v>
      </c>
      <c r="AD92" s="173">
        <f t="shared" si="103"/>
        <v>0</v>
      </c>
      <c r="AF92" s="87" t="s">
        <v>265</v>
      </c>
      <c r="AG92" s="87" t="s">
        <v>266</v>
      </c>
      <c r="AH92" s="173">
        <f t="shared" si="64"/>
        <v>2616339.1519687646</v>
      </c>
      <c r="AI92" s="173">
        <f t="shared" si="65"/>
        <v>0</v>
      </c>
      <c r="AJ92" s="173">
        <f t="shared" si="66"/>
        <v>2717500.5293689473</v>
      </c>
      <c r="AK92" s="173">
        <f t="shared" si="67"/>
        <v>0</v>
      </c>
      <c r="AL92" s="173">
        <f t="shared" si="68"/>
        <v>2764778.9989548898</v>
      </c>
      <c r="AM92" s="173">
        <f t="shared" si="69"/>
        <v>0</v>
      </c>
      <c r="AN92" s="173">
        <f t="shared" si="70"/>
        <v>2820686.7027479024</v>
      </c>
      <c r="AO92" s="173">
        <f t="shared" si="71"/>
        <v>0</v>
      </c>
      <c r="AQ92" s="87" t="s">
        <v>265</v>
      </c>
      <c r="AR92" s="87" t="s">
        <v>266</v>
      </c>
      <c r="AS92" s="173">
        <f t="shared" si="72"/>
        <v>2616339.1519687646</v>
      </c>
      <c r="AT92" s="173">
        <f t="shared" si="73"/>
        <v>0</v>
      </c>
      <c r="AU92" s="173">
        <f t="shared" si="74"/>
        <v>2771744.0058280025</v>
      </c>
      <c r="AV92" s="173">
        <f t="shared" si="75"/>
        <v>0</v>
      </c>
      <c r="AW92" s="173">
        <f t="shared" si="76"/>
        <v>2820520.357803945</v>
      </c>
      <c r="AX92" s="173">
        <f t="shared" si="77"/>
        <v>0</v>
      </c>
      <c r="AY92" s="173">
        <f t="shared" si="78"/>
        <v>2872760.1804231452</v>
      </c>
      <c r="AZ92" s="173">
        <f t="shared" si="79"/>
        <v>0</v>
      </c>
      <c r="BB92" s="87" t="s">
        <v>265</v>
      </c>
      <c r="BC92" s="87" t="s">
        <v>266</v>
      </c>
      <c r="BD92" s="173">
        <f t="shared" si="80"/>
        <v>2616339.1519687646</v>
      </c>
      <c r="BE92" s="173">
        <f t="shared" si="81"/>
        <v>0</v>
      </c>
      <c r="BF92" s="173">
        <f t="shared" si="82"/>
        <v>2785339.8427613038</v>
      </c>
      <c r="BG92" s="173">
        <f t="shared" si="83"/>
        <v>0</v>
      </c>
      <c r="BH92" s="173">
        <f t="shared" si="84"/>
        <v>2836465.2990040998</v>
      </c>
      <c r="BI92" s="173">
        <f t="shared" si="85"/>
        <v>0</v>
      </c>
      <c r="BJ92" s="173">
        <f t="shared" si="86"/>
        <v>2893992.3313755956</v>
      </c>
      <c r="BK92" s="173">
        <f t="shared" si="87"/>
        <v>0</v>
      </c>
      <c r="BM92" s="87" t="s">
        <v>265</v>
      </c>
      <c r="BN92" s="87" t="s">
        <v>266</v>
      </c>
      <c r="BO92" s="173">
        <f t="shared" si="88"/>
        <v>2616339.1519687646</v>
      </c>
      <c r="BP92" s="173">
        <f t="shared" si="89"/>
        <v>0</v>
      </c>
      <c r="BQ92" s="173">
        <f t="shared" si="90"/>
        <v>2784390.2803650945</v>
      </c>
      <c r="BR92" s="173">
        <f t="shared" si="91"/>
        <v>0</v>
      </c>
      <c r="BS92" s="173">
        <f t="shared" si="92"/>
        <v>2830204.7203017413</v>
      </c>
      <c r="BT92" s="173">
        <f t="shared" si="93"/>
        <v>0</v>
      </c>
      <c r="BU92" s="173">
        <f t="shared" si="94"/>
        <v>2887643.2804030376</v>
      </c>
      <c r="BV92" s="173">
        <f t="shared" si="95"/>
        <v>0</v>
      </c>
    </row>
    <row r="93" spans="5:74">
      <c r="E93" s="87" t="s">
        <v>139</v>
      </c>
      <c r="F93" s="87" t="s">
        <v>140</v>
      </c>
      <c r="G93" s="173">
        <f>IFERROR(IF(VLOOKUP(E93,A:C,3,FALSE)="YES",VLOOKUP(E93,'School Year 2021-22 SPED coop'!A:P,16,FALSE),0),0)</f>
        <v>0</v>
      </c>
      <c r="H93" s="173">
        <f t="shared" si="96"/>
        <v>844904.89999999991</v>
      </c>
      <c r="J93" s="87" t="s">
        <v>139</v>
      </c>
      <c r="K93" s="87" t="s">
        <v>140</v>
      </c>
      <c r="L93" s="173">
        <f t="shared" si="55"/>
        <v>0</v>
      </c>
      <c r="M93" s="173">
        <f t="shared" si="56"/>
        <v>870886.80414785841</v>
      </c>
      <c r="N93" s="173">
        <f t="shared" si="57"/>
        <v>0</v>
      </c>
      <c r="O93" s="173">
        <f t="shared" si="58"/>
        <v>900396.86939674499</v>
      </c>
      <c r="P93" s="173">
        <f t="shared" si="59"/>
        <v>0</v>
      </c>
      <c r="Q93" s="173">
        <f t="shared" si="60"/>
        <v>917075.89695154491</v>
      </c>
      <c r="R93" s="173">
        <f t="shared" si="61"/>
        <v>0</v>
      </c>
      <c r="S93" s="173">
        <f t="shared" si="62"/>
        <v>933965.71589459083</v>
      </c>
      <c r="U93" s="87" t="s">
        <v>139</v>
      </c>
      <c r="V93" s="87" t="s">
        <v>140</v>
      </c>
      <c r="W93" s="173">
        <f t="shared" si="63"/>
        <v>0</v>
      </c>
      <c r="X93" s="173">
        <f t="shared" si="97"/>
        <v>870886.80414785841</v>
      </c>
      <c r="Y93" s="173">
        <f t="shared" si="98"/>
        <v>0</v>
      </c>
      <c r="Z93" s="173">
        <f t="shared" si="99"/>
        <v>904808.87090152514</v>
      </c>
      <c r="AA93" s="173">
        <f t="shared" si="100"/>
        <v>0</v>
      </c>
      <c r="AB93" s="173">
        <f t="shared" si="101"/>
        <v>922262.28548439289</v>
      </c>
      <c r="AC93" s="173">
        <f t="shared" si="102"/>
        <v>0</v>
      </c>
      <c r="AD93" s="173">
        <f t="shared" si="103"/>
        <v>940857.30113065382</v>
      </c>
      <c r="AF93" s="87" t="s">
        <v>139</v>
      </c>
      <c r="AG93" s="87" t="s">
        <v>140</v>
      </c>
      <c r="AH93" s="173">
        <f t="shared" si="64"/>
        <v>0</v>
      </c>
      <c r="AI93" s="173">
        <f t="shared" si="65"/>
        <v>870886.80414785841</v>
      </c>
      <c r="AJ93" s="173">
        <f t="shared" si="66"/>
        <v>0</v>
      </c>
      <c r="AK93" s="173">
        <f t="shared" si="67"/>
        <v>899402.80137418373</v>
      </c>
      <c r="AL93" s="173">
        <f t="shared" si="68"/>
        <v>0</v>
      </c>
      <c r="AM93" s="173">
        <f t="shared" si="69"/>
        <v>918046.24084679945</v>
      </c>
      <c r="AN93" s="173">
        <f t="shared" si="70"/>
        <v>0</v>
      </c>
      <c r="AO93" s="173">
        <f t="shared" si="71"/>
        <v>937310.91309989069</v>
      </c>
      <c r="AQ93" s="87" t="s">
        <v>139</v>
      </c>
      <c r="AR93" s="87" t="s">
        <v>140</v>
      </c>
      <c r="AS93" s="173">
        <f t="shared" si="72"/>
        <v>0</v>
      </c>
      <c r="AT93" s="173">
        <f t="shared" si="73"/>
        <v>870886.80414785841</v>
      </c>
      <c r="AU93" s="173">
        <f t="shared" si="74"/>
        <v>0</v>
      </c>
      <c r="AV93" s="173">
        <f t="shared" si="75"/>
        <v>922559.70901794091</v>
      </c>
      <c r="AW93" s="173">
        <f t="shared" si="76"/>
        <v>0</v>
      </c>
      <c r="AX93" s="173">
        <f t="shared" si="77"/>
        <v>938767.67583704041</v>
      </c>
      <c r="AY93" s="173">
        <f t="shared" si="78"/>
        <v>0</v>
      </c>
      <c r="AZ93" s="173">
        <f t="shared" si="79"/>
        <v>956126.34805388167</v>
      </c>
      <c r="BB93" s="87" t="s">
        <v>139</v>
      </c>
      <c r="BC93" s="87" t="s">
        <v>140</v>
      </c>
      <c r="BD93" s="173">
        <f t="shared" si="80"/>
        <v>0</v>
      </c>
      <c r="BE93" s="173">
        <f t="shared" si="81"/>
        <v>870886.80414785841</v>
      </c>
      <c r="BF93" s="173">
        <f t="shared" si="82"/>
        <v>0</v>
      </c>
      <c r="BG93" s="173">
        <f t="shared" si="83"/>
        <v>927080.30848557397</v>
      </c>
      <c r="BH93" s="173">
        <f t="shared" si="84"/>
        <v>0</v>
      </c>
      <c r="BI93" s="173">
        <f t="shared" si="85"/>
        <v>944076.74051634048</v>
      </c>
      <c r="BJ93" s="173">
        <f t="shared" si="86"/>
        <v>0</v>
      </c>
      <c r="BK93" s="173">
        <f t="shared" si="87"/>
        <v>963181.44980426307</v>
      </c>
      <c r="BM93" s="87" t="s">
        <v>139</v>
      </c>
      <c r="BN93" s="87" t="s">
        <v>140</v>
      </c>
      <c r="BO93" s="173">
        <f t="shared" si="88"/>
        <v>0</v>
      </c>
      <c r="BP93" s="173">
        <f t="shared" si="89"/>
        <v>870886.80414785841</v>
      </c>
      <c r="BQ93" s="173">
        <f t="shared" si="90"/>
        <v>0</v>
      </c>
      <c r="BR93" s="173">
        <f t="shared" si="91"/>
        <v>921541.02446985198</v>
      </c>
      <c r="BS93" s="173">
        <f t="shared" si="92"/>
        <v>0</v>
      </c>
      <c r="BT93" s="173">
        <f t="shared" si="93"/>
        <v>939761.42114493565</v>
      </c>
      <c r="BU93" s="173">
        <f t="shared" si="94"/>
        <v>0</v>
      </c>
      <c r="BV93" s="173">
        <f t="shared" si="95"/>
        <v>959551.49325519241</v>
      </c>
    </row>
    <row r="94" spans="5:74">
      <c r="E94" s="87" t="s">
        <v>593</v>
      </c>
      <c r="F94" s="87" t="s">
        <v>594</v>
      </c>
      <c r="G94" s="173">
        <f>IFERROR(IF(VLOOKUP(E94,A:C,3,FALSE)="YES",VLOOKUP(E94,'School Year 2021-22 SPED coop'!A:P,16,FALSE),0),0)</f>
        <v>0</v>
      </c>
      <c r="H94" s="173">
        <f t="shared" si="96"/>
        <v>4321604.4399999995</v>
      </c>
      <c r="J94" s="87" t="s">
        <v>593</v>
      </c>
      <c r="K94" s="87" t="s">
        <v>594</v>
      </c>
      <c r="L94" s="173">
        <f t="shared" si="55"/>
        <v>0</v>
      </c>
      <c r="M94" s="173">
        <f t="shared" si="56"/>
        <v>4371075.3524244875</v>
      </c>
      <c r="N94" s="173">
        <f t="shared" si="57"/>
        <v>0</v>
      </c>
      <c r="O94" s="173">
        <f t="shared" si="58"/>
        <v>4519219.3349246802</v>
      </c>
      <c r="P94" s="173">
        <f t="shared" si="59"/>
        <v>0</v>
      </c>
      <c r="Q94" s="173">
        <f t="shared" si="60"/>
        <v>4602924.9478888651</v>
      </c>
      <c r="R94" s="173">
        <f t="shared" si="61"/>
        <v>0</v>
      </c>
      <c r="S94" s="173">
        <f t="shared" si="62"/>
        <v>4687681.3496207613</v>
      </c>
      <c r="U94" s="87" t="s">
        <v>593</v>
      </c>
      <c r="V94" s="87" t="s">
        <v>594</v>
      </c>
      <c r="W94" s="173">
        <f t="shared" si="63"/>
        <v>0</v>
      </c>
      <c r="X94" s="173">
        <f t="shared" si="97"/>
        <v>4371075.3524244875</v>
      </c>
      <c r="Y94" s="173">
        <f t="shared" si="98"/>
        <v>0</v>
      </c>
      <c r="Z94" s="173">
        <f t="shared" si="99"/>
        <v>4541371.0033000764</v>
      </c>
      <c r="AA94" s="173">
        <f t="shared" si="100"/>
        <v>0</v>
      </c>
      <c r="AB94" s="173">
        <f t="shared" si="101"/>
        <v>4628940.2902938239</v>
      </c>
      <c r="AC94" s="173">
        <f t="shared" si="102"/>
        <v>0</v>
      </c>
      <c r="AD94" s="173">
        <f t="shared" si="103"/>
        <v>4722294.8239188623</v>
      </c>
      <c r="AF94" s="87" t="s">
        <v>593</v>
      </c>
      <c r="AG94" s="87" t="s">
        <v>594</v>
      </c>
      <c r="AH94" s="173">
        <f t="shared" si="64"/>
        <v>0</v>
      </c>
      <c r="AI94" s="173">
        <f t="shared" si="65"/>
        <v>4371075.3524244875</v>
      </c>
      <c r="AJ94" s="173">
        <f t="shared" si="66"/>
        <v>0</v>
      </c>
      <c r="AK94" s="173">
        <f t="shared" si="67"/>
        <v>4525147.5805762829</v>
      </c>
      <c r="AL94" s="173">
        <f t="shared" si="68"/>
        <v>0</v>
      </c>
      <c r="AM94" s="173">
        <f t="shared" si="69"/>
        <v>4617013.4933229797</v>
      </c>
      <c r="AN94" s="173">
        <f t="shared" si="70"/>
        <v>0</v>
      </c>
      <c r="AO94" s="173">
        <f t="shared" si="71"/>
        <v>4708756.0130754402</v>
      </c>
      <c r="AQ94" s="87" t="s">
        <v>593</v>
      </c>
      <c r="AR94" s="87" t="s">
        <v>594</v>
      </c>
      <c r="AS94" s="173">
        <f t="shared" si="72"/>
        <v>0</v>
      </c>
      <c r="AT94" s="173">
        <f t="shared" si="73"/>
        <v>4371075.3524244875</v>
      </c>
      <c r="AU94" s="173">
        <f t="shared" si="74"/>
        <v>0</v>
      </c>
      <c r="AV94" s="173">
        <f t="shared" si="75"/>
        <v>4630447.4013643526</v>
      </c>
      <c r="AW94" s="173">
        <f t="shared" si="76"/>
        <v>0</v>
      </c>
      <c r="AX94" s="173">
        <f t="shared" si="77"/>
        <v>4711782.3330023084</v>
      </c>
      <c r="AY94" s="173">
        <f t="shared" si="78"/>
        <v>0</v>
      </c>
      <c r="AZ94" s="173">
        <f t="shared" si="79"/>
        <v>4798891.6078435201</v>
      </c>
      <c r="BB94" s="87" t="s">
        <v>593</v>
      </c>
      <c r="BC94" s="87" t="s">
        <v>594</v>
      </c>
      <c r="BD94" s="173">
        <f t="shared" si="80"/>
        <v>0</v>
      </c>
      <c r="BE94" s="173">
        <f t="shared" si="81"/>
        <v>4371075.3524244875</v>
      </c>
      <c r="BF94" s="173">
        <f t="shared" si="82"/>
        <v>0</v>
      </c>
      <c r="BG94" s="173">
        <f t="shared" si="83"/>
        <v>4653144.2687371885</v>
      </c>
      <c r="BH94" s="173">
        <f t="shared" si="84"/>
        <v>0</v>
      </c>
      <c r="BI94" s="173">
        <f t="shared" si="85"/>
        <v>4738412.9280087948</v>
      </c>
      <c r="BJ94" s="173">
        <f t="shared" si="86"/>
        <v>0</v>
      </c>
      <c r="BK94" s="173">
        <f t="shared" si="87"/>
        <v>4834326.2448907737</v>
      </c>
      <c r="BM94" s="87" t="s">
        <v>593</v>
      </c>
      <c r="BN94" s="87" t="s">
        <v>594</v>
      </c>
      <c r="BO94" s="173">
        <f t="shared" si="88"/>
        <v>0</v>
      </c>
      <c r="BP94" s="173">
        <f t="shared" si="89"/>
        <v>4371075.3524244875</v>
      </c>
      <c r="BQ94" s="173">
        <f t="shared" si="90"/>
        <v>0</v>
      </c>
      <c r="BR94" s="173">
        <f t="shared" si="91"/>
        <v>4636524.3621107033</v>
      </c>
      <c r="BS94" s="173">
        <f t="shared" si="92"/>
        <v>0</v>
      </c>
      <c r="BT94" s="173">
        <f t="shared" si="93"/>
        <v>4726213.1025160234</v>
      </c>
      <c r="BU94" s="173">
        <f t="shared" si="94"/>
        <v>0</v>
      </c>
      <c r="BV94" s="173">
        <f t="shared" si="95"/>
        <v>4820477.3214774281</v>
      </c>
    </row>
    <row r="95" spans="5:74">
      <c r="E95" s="87" t="s">
        <v>601</v>
      </c>
      <c r="F95" s="87" t="s">
        <v>602</v>
      </c>
      <c r="G95" s="173">
        <f>IFERROR(IF(VLOOKUP(E95,A:C,3,FALSE)="YES",VLOOKUP(E95,'School Year 2021-22 SPED coop'!A:P,16,FALSE),0),0)</f>
        <v>0</v>
      </c>
      <c r="H95" s="173">
        <f t="shared" si="96"/>
        <v>1822380.32</v>
      </c>
      <c r="J95" s="87" t="s">
        <v>601</v>
      </c>
      <c r="K95" s="87" t="s">
        <v>602</v>
      </c>
      <c r="L95" s="173">
        <f t="shared" si="55"/>
        <v>0</v>
      </c>
      <c r="M95" s="173">
        <f t="shared" si="56"/>
        <v>1842467.0536756071</v>
      </c>
      <c r="N95" s="173">
        <f t="shared" si="57"/>
        <v>0</v>
      </c>
      <c r="O95" s="173">
        <f t="shared" si="58"/>
        <v>1904885.4152638549</v>
      </c>
      <c r="P95" s="173">
        <f t="shared" si="59"/>
        <v>0</v>
      </c>
      <c r="Q95" s="173">
        <f t="shared" si="60"/>
        <v>1940166.8977472554</v>
      </c>
      <c r="R95" s="173">
        <f t="shared" si="61"/>
        <v>0</v>
      </c>
      <c r="S95" s="173">
        <f t="shared" si="62"/>
        <v>1975890.3738965418</v>
      </c>
      <c r="U95" s="87" t="s">
        <v>601</v>
      </c>
      <c r="V95" s="87" t="s">
        <v>602</v>
      </c>
      <c r="W95" s="173">
        <f t="shared" si="63"/>
        <v>0</v>
      </c>
      <c r="X95" s="173">
        <f t="shared" si="97"/>
        <v>1842467.0536756071</v>
      </c>
      <c r="Y95" s="173">
        <f t="shared" si="98"/>
        <v>0</v>
      </c>
      <c r="Z95" s="173">
        <f t="shared" si="99"/>
        <v>1914235.7701074036</v>
      </c>
      <c r="AA95" s="173">
        <f t="shared" si="100"/>
        <v>0</v>
      </c>
      <c r="AB95" s="173">
        <f t="shared" si="101"/>
        <v>1951134.9333125099</v>
      </c>
      <c r="AC95" s="173">
        <f t="shared" si="102"/>
        <v>0</v>
      </c>
      <c r="AD95" s="173">
        <f t="shared" si="103"/>
        <v>1990494.7168801492</v>
      </c>
      <c r="AF95" s="87" t="s">
        <v>601</v>
      </c>
      <c r="AG95" s="87" t="s">
        <v>602</v>
      </c>
      <c r="AH95" s="173">
        <f t="shared" si="64"/>
        <v>0</v>
      </c>
      <c r="AI95" s="173">
        <f t="shared" si="65"/>
        <v>1842467.0536756071</v>
      </c>
      <c r="AJ95" s="173">
        <f t="shared" si="66"/>
        <v>0</v>
      </c>
      <c r="AK95" s="173">
        <f t="shared" si="67"/>
        <v>1896459.5375291051</v>
      </c>
      <c r="AL95" s="173">
        <f t="shared" si="68"/>
        <v>0</v>
      </c>
      <c r="AM95" s="173">
        <f t="shared" si="69"/>
        <v>1932318.5861269063</v>
      </c>
      <c r="AN95" s="173">
        <f t="shared" si="70"/>
        <v>0</v>
      </c>
      <c r="AO95" s="173">
        <f t="shared" si="71"/>
        <v>1971460.9516856631</v>
      </c>
      <c r="AQ95" s="87" t="s">
        <v>601</v>
      </c>
      <c r="AR95" s="87" t="s">
        <v>602</v>
      </c>
      <c r="AS95" s="173">
        <f t="shared" si="72"/>
        <v>0</v>
      </c>
      <c r="AT95" s="173">
        <f t="shared" si="73"/>
        <v>1842467.0536756071</v>
      </c>
      <c r="AU95" s="173">
        <f t="shared" si="74"/>
        <v>0</v>
      </c>
      <c r="AV95" s="173">
        <f t="shared" si="75"/>
        <v>1951773.0363434085</v>
      </c>
      <c r="AW95" s="173">
        <f t="shared" si="76"/>
        <v>0</v>
      </c>
      <c r="AX95" s="173">
        <f t="shared" si="77"/>
        <v>1986054.5392058701</v>
      </c>
      <c r="AY95" s="173">
        <f t="shared" si="78"/>
        <v>0</v>
      </c>
      <c r="AZ95" s="173">
        <f t="shared" si="79"/>
        <v>2022769.8463568212</v>
      </c>
      <c r="BB95" s="87" t="s">
        <v>601</v>
      </c>
      <c r="BC95" s="87" t="s">
        <v>602</v>
      </c>
      <c r="BD95" s="173">
        <f t="shared" si="80"/>
        <v>0</v>
      </c>
      <c r="BE95" s="173">
        <f t="shared" si="81"/>
        <v>1842467.0536756071</v>
      </c>
      <c r="BF95" s="173">
        <f t="shared" si="82"/>
        <v>0</v>
      </c>
      <c r="BG95" s="173">
        <f t="shared" si="83"/>
        <v>1961353.5504059508</v>
      </c>
      <c r="BH95" s="173">
        <f t="shared" si="84"/>
        <v>0</v>
      </c>
      <c r="BI95" s="173">
        <f t="shared" si="85"/>
        <v>1997281.9851170653</v>
      </c>
      <c r="BJ95" s="173">
        <f t="shared" si="86"/>
        <v>0</v>
      </c>
      <c r="BK95" s="173">
        <f t="shared" si="87"/>
        <v>2037720.6930698585</v>
      </c>
      <c r="BM95" s="87" t="s">
        <v>601</v>
      </c>
      <c r="BN95" s="87" t="s">
        <v>602</v>
      </c>
      <c r="BO95" s="173">
        <f t="shared" si="88"/>
        <v>0</v>
      </c>
      <c r="BP95" s="173">
        <f t="shared" si="89"/>
        <v>1842467.0536756071</v>
      </c>
      <c r="BQ95" s="173">
        <f t="shared" si="90"/>
        <v>0</v>
      </c>
      <c r="BR95" s="173">
        <f t="shared" si="91"/>
        <v>1943136.0149131191</v>
      </c>
      <c r="BS95" s="173">
        <f t="shared" si="92"/>
        <v>0</v>
      </c>
      <c r="BT95" s="173">
        <f t="shared" si="93"/>
        <v>1978018.328825346</v>
      </c>
      <c r="BU95" s="173">
        <f t="shared" si="94"/>
        <v>0</v>
      </c>
      <c r="BV95" s="173">
        <f t="shared" si="95"/>
        <v>2018235.3013484848</v>
      </c>
    </row>
    <row r="96" spans="5:74">
      <c r="E96" s="87" t="s">
        <v>447</v>
      </c>
      <c r="F96" s="87" t="s">
        <v>448</v>
      </c>
      <c r="G96" s="173">
        <f>IFERROR(IF(VLOOKUP(E96,A:C,3,FALSE)="YES",VLOOKUP(E96,'School Year 2021-22 SPED coop'!A:P,16,FALSE),0),0)</f>
        <v>0</v>
      </c>
      <c r="H96" s="173">
        <f t="shared" si="96"/>
        <v>3172124.5</v>
      </c>
      <c r="J96" s="87" t="s">
        <v>447</v>
      </c>
      <c r="K96" s="87" t="s">
        <v>448</v>
      </c>
      <c r="L96" s="173">
        <f t="shared" si="55"/>
        <v>0</v>
      </c>
      <c r="M96" s="173">
        <f t="shared" si="56"/>
        <v>3208117.1660679472</v>
      </c>
      <c r="N96" s="173">
        <f t="shared" si="57"/>
        <v>0</v>
      </c>
      <c r="O96" s="173">
        <f t="shared" si="58"/>
        <v>3315230.1996545084</v>
      </c>
      <c r="P96" s="173">
        <f t="shared" si="59"/>
        <v>0</v>
      </c>
      <c r="Q96" s="173">
        <f t="shared" si="60"/>
        <v>3376981.5549778892</v>
      </c>
      <c r="R96" s="173">
        <f t="shared" si="61"/>
        <v>0</v>
      </c>
      <c r="S96" s="173">
        <f t="shared" si="62"/>
        <v>3439814.962510563</v>
      </c>
      <c r="U96" s="87" t="s">
        <v>447</v>
      </c>
      <c r="V96" s="87" t="s">
        <v>448</v>
      </c>
      <c r="W96" s="173">
        <f t="shared" si="63"/>
        <v>0</v>
      </c>
      <c r="X96" s="173">
        <f t="shared" si="97"/>
        <v>3208117.1660679472</v>
      </c>
      <c r="Y96" s="173">
        <f t="shared" si="98"/>
        <v>0</v>
      </c>
      <c r="Z96" s="173">
        <f t="shared" si="99"/>
        <v>3331487.0610456769</v>
      </c>
      <c r="AA96" s="173">
        <f t="shared" si="100"/>
        <v>0</v>
      </c>
      <c r="AB96" s="173">
        <f t="shared" si="101"/>
        <v>3396084.0573841729</v>
      </c>
      <c r="AC96" s="173">
        <f t="shared" si="102"/>
        <v>0</v>
      </c>
      <c r="AD96" s="173">
        <f t="shared" si="103"/>
        <v>3465225.0856435769</v>
      </c>
      <c r="AF96" s="87" t="s">
        <v>447</v>
      </c>
      <c r="AG96" s="87" t="s">
        <v>448</v>
      </c>
      <c r="AH96" s="173">
        <f t="shared" si="64"/>
        <v>0</v>
      </c>
      <c r="AI96" s="173">
        <f t="shared" si="65"/>
        <v>3208117.1660679472</v>
      </c>
      <c r="AJ96" s="173">
        <f t="shared" si="66"/>
        <v>0</v>
      </c>
      <c r="AK96" s="173">
        <f t="shared" si="67"/>
        <v>3308481.9077618849</v>
      </c>
      <c r="AL96" s="173">
        <f t="shared" si="68"/>
        <v>0</v>
      </c>
      <c r="AM96" s="173">
        <f t="shared" si="69"/>
        <v>3367832.807972888</v>
      </c>
      <c r="AN96" s="173">
        <f t="shared" si="70"/>
        <v>0</v>
      </c>
      <c r="AO96" s="173">
        <f t="shared" si="71"/>
        <v>3446042.095380018</v>
      </c>
      <c r="AQ96" s="87" t="s">
        <v>447</v>
      </c>
      <c r="AR96" s="87" t="s">
        <v>448</v>
      </c>
      <c r="AS96" s="173">
        <f t="shared" si="72"/>
        <v>0</v>
      </c>
      <c r="AT96" s="173">
        <f t="shared" si="73"/>
        <v>3208117.1660679472</v>
      </c>
      <c r="AU96" s="173">
        <f t="shared" si="74"/>
        <v>0</v>
      </c>
      <c r="AV96" s="173">
        <f t="shared" si="75"/>
        <v>3397708.9772327798</v>
      </c>
      <c r="AW96" s="173">
        <f t="shared" si="76"/>
        <v>0</v>
      </c>
      <c r="AX96" s="173">
        <f t="shared" si="77"/>
        <v>3458008.1074870871</v>
      </c>
      <c r="AY96" s="173">
        <f t="shared" si="78"/>
        <v>0</v>
      </c>
      <c r="AZ96" s="173">
        <f t="shared" si="79"/>
        <v>3522588.2458563093</v>
      </c>
      <c r="BB96" s="87" t="s">
        <v>447</v>
      </c>
      <c r="BC96" s="87" t="s">
        <v>448</v>
      </c>
      <c r="BD96" s="173">
        <f t="shared" si="80"/>
        <v>0</v>
      </c>
      <c r="BE96" s="173">
        <f t="shared" si="81"/>
        <v>3208117.1660679472</v>
      </c>
      <c r="BF96" s="173">
        <f t="shared" si="82"/>
        <v>0</v>
      </c>
      <c r="BG96" s="173">
        <f t="shared" si="83"/>
        <v>3414370.2905161828</v>
      </c>
      <c r="BH96" s="173">
        <f t="shared" si="84"/>
        <v>0</v>
      </c>
      <c r="BI96" s="173">
        <f t="shared" si="85"/>
        <v>3477568.959682086</v>
      </c>
      <c r="BJ96" s="173">
        <f t="shared" si="86"/>
        <v>0</v>
      </c>
      <c r="BK96" s="173">
        <f t="shared" si="87"/>
        <v>3548609.8218859043</v>
      </c>
      <c r="BM96" s="87" t="s">
        <v>447</v>
      </c>
      <c r="BN96" s="87" t="s">
        <v>448</v>
      </c>
      <c r="BO96" s="173">
        <f t="shared" si="88"/>
        <v>0</v>
      </c>
      <c r="BP96" s="173">
        <f t="shared" si="89"/>
        <v>3208117.1660679472</v>
      </c>
      <c r="BQ96" s="173">
        <f t="shared" si="90"/>
        <v>0</v>
      </c>
      <c r="BR96" s="173">
        <f t="shared" si="91"/>
        <v>3390790.6387257222</v>
      </c>
      <c r="BS96" s="173">
        <f t="shared" si="92"/>
        <v>0</v>
      </c>
      <c r="BT96" s="173">
        <f t="shared" si="93"/>
        <v>3448639.7737038219</v>
      </c>
      <c r="BU96" s="173">
        <f t="shared" si="94"/>
        <v>0</v>
      </c>
      <c r="BV96" s="173">
        <f t="shared" si="95"/>
        <v>3528971.2374630501</v>
      </c>
    </row>
    <row r="97" spans="5:74">
      <c r="E97" s="87" t="s">
        <v>315</v>
      </c>
      <c r="F97" s="87" t="s">
        <v>316</v>
      </c>
      <c r="G97" s="173">
        <f>IFERROR(IF(VLOOKUP(E97,A:C,3,FALSE)="YES",VLOOKUP(E97,'School Year 2021-22 SPED coop'!A:P,16,FALSE),0),0)</f>
        <v>0</v>
      </c>
      <c r="H97" s="173">
        <f t="shared" si="96"/>
        <v>198246.13</v>
      </c>
      <c r="J97" s="87" t="s">
        <v>315</v>
      </c>
      <c r="K97" s="87" t="s">
        <v>316</v>
      </c>
      <c r="L97" s="173">
        <f t="shared" si="55"/>
        <v>0</v>
      </c>
      <c r="M97" s="173">
        <f t="shared" si="56"/>
        <v>223096.85187945142</v>
      </c>
      <c r="N97" s="173">
        <f t="shared" si="57"/>
        <v>0</v>
      </c>
      <c r="O97" s="173">
        <f t="shared" si="58"/>
        <v>230639.38000595718</v>
      </c>
      <c r="P97" s="173">
        <f t="shared" si="59"/>
        <v>0</v>
      </c>
      <c r="Q97" s="173">
        <f t="shared" si="60"/>
        <v>234907.86619650913</v>
      </c>
      <c r="R97" s="173">
        <f t="shared" si="61"/>
        <v>0</v>
      </c>
      <c r="S97" s="173">
        <f t="shared" si="62"/>
        <v>239227.10774188477</v>
      </c>
      <c r="U97" s="87" t="s">
        <v>315</v>
      </c>
      <c r="V97" s="87" t="s">
        <v>316</v>
      </c>
      <c r="W97" s="173">
        <f t="shared" si="63"/>
        <v>0</v>
      </c>
      <c r="X97" s="173">
        <f t="shared" si="97"/>
        <v>223096.85187945142</v>
      </c>
      <c r="Y97" s="173">
        <f t="shared" si="98"/>
        <v>0</v>
      </c>
      <c r="Z97" s="173">
        <f t="shared" si="99"/>
        <v>231767.59367812733</v>
      </c>
      <c r="AA97" s="173">
        <f t="shared" si="100"/>
        <v>0</v>
      </c>
      <c r="AB97" s="173">
        <f t="shared" si="101"/>
        <v>236242.90559251656</v>
      </c>
      <c r="AC97" s="173">
        <f t="shared" si="102"/>
        <v>0</v>
      </c>
      <c r="AD97" s="173">
        <f t="shared" si="103"/>
        <v>241001.20861444459</v>
      </c>
      <c r="AF97" s="87" t="s">
        <v>315</v>
      </c>
      <c r="AG97" s="87" t="s">
        <v>316</v>
      </c>
      <c r="AH97" s="173">
        <f t="shared" si="64"/>
        <v>0</v>
      </c>
      <c r="AI97" s="173">
        <f t="shared" si="65"/>
        <v>223096.85187945142</v>
      </c>
      <c r="AJ97" s="173">
        <f t="shared" si="66"/>
        <v>0</v>
      </c>
      <c r="AK97" s="173">
        <f t="shared" si="67"/>
        <v>231129.18226930752</v>
      </c>
      <c r="AL97" s="173">
        <f t="shared" si="68"/>
        <v>0</v>
      </c>
      <c r="AM97" s="173">
        <f t="shared" si="69"/>
        <v>235084.74686253458</v>
      </c>
      <c r="AN97" s="173">
        <f t="shared" si="70"/>
        <v>0</v>
      </c>
      <c r="AO97" s="173">
        <f t="shared" si="71"/>
        <v>239559.66370041418</v>
      </c>
      <c r="AQ97" s="87" t="s">
        <v>315</v>
      </c>
      <c r="AR97" s="87" t="s">
        <v>316</v>
      </c>
      <c r="AS97" s="173">
        <f t="shared" si="72"/>
        <v>0</v>
      </c>
      <c r="AT97" s="173">
        <f t="shared" si="73"/>
        <v>223096.85187945142</v>
      </c>
      <c r="AU97" s="173">
        <f t="shared" si="74"/>
        <v>0</v>
      </c>
      <c r="AV97" s="173">
        <f t="shared" si="75"/>
        <v>236317.38660246573</v>
      </c>
      <c r="AW97" s="173">
        <f t="shared" si="76"/>
        <v>0</v>
      </c>
      <c r="AX97" s="173">
        <f t="shared" si="77"/>
        <v>240462.44528948778</v>
      </c>
      <c r="AY97" s="173">
        <f t="shared" si="78"/>
        <v>0</v>
      </c>
      <c r="AZ97" s="173">
        <f t="shared" si="79"/>
        <v>244901.74614850976</v>
      </c>
      <c r="BB97" s="87" t="s">
        <v>315</v>
      </c>
      <c r="BC97" s="87" t="s">
        <v>316</v>
      </c>
      <c r="BD97" s="173">
        <f t="shared" si="80"/>
        <v>0</v>
      </c>
      <c r="BE97" s="173">
        <f t="shared" si="81"/>
        <v>223096.85187945142</v>
      </c>
      <c r="BF97" s="173">
        <f t="shared" si="82"/>
        <v>0</v>
      </c>
      <c r="BG97" s="173">
        <f t="shared" si="83"/>
        <v>237473.37389434714</v>
      </c>
      <c r="BH97" s="173">
        <f t="shared" si="84"/>
        <v>0</v>
      </c>
      <c r="BI97" s="173">
        <f t="shared" si="85"/>
        <v>241829.05625790777</v>
      </c>
      <c r="BJ97" s="173">
        <f t="shared" si="86"/>
        <v>0</v>
      </c>
      <c r="BK97" s="173">
        <f t="shared" si="87"/>
        <v>246717.93341467637</v>
      </c>
      <c r="BM97" s="87" t="s">
        <v>315</v>
      </c>
      <c r="BN97" s="87" t="s">
        <v>316</v>
      </c>
      <c r="BO97" s="173">
        <f t="shared" si="88"/>
        <v>0</v>
      </c>
      <c r="BP97" s="173">
        <f t="shared" si="89"/>
        <v>223096.85187945142</v>
      </c>
      <c r="BQ97" s="173">
        <f t="shared" si="90"/>
        <v>0</v>
      </c>
      <c r="BR97" s="173">
        <f t="shared" si="91"/>
        <v>236819.47258683373</v>
      </c>
      <c r="BS97" s="173">
        <f t="shared" si="92"/>
        <v>0</v>
      </c>
      <c r="BT97" s="173">
        <f t="shared" si="93"/>
        <v>240643.57708576208</v>
      </c>
      <c r="BU97" s="173">
        <f t="shared" si="94"/>
        <v>0</v>
      </c>
      <c r="BV97" s="173">
        <f t="shared" si="95"/>
        <v>245242.29639285462</v>
      </c>
    </row>
    <row r="98" spans="5:74">
      <c r="E98" s="87" t="s">
        <v>455</v>
      </c>
      <c r="F98" s="87" t="s">
        <v>456</v>
      </c>
      <c r="G98" s="173">
        <f>IFERROR(IF(VLOOKUP(E98,A:C,3,FALSE)="YES",VLOOKUP(E98,'School Year 2021-22 SPED coop'!A:P,16,FALSE),0),0)</f>
        <v>0</v>
      </c>
      <c r="H98" s="173">
        <f t="shared" si="96"/>
        <v>25876.01</v>
      </c>
      <c r="J98" s="87" t="s">
        <v>455</v>
      </c>
      <c r="K98" s="87" t="s">
        <v>456</v>
      </c>
      <c r="L98" s="173">
        <f t="shared" si="55"/>
        <v>0</v>
      </c>
      <c r="M98" s="173">
        <f t="shared" si="56"/>
        <v>26174.992485148319</v>
      </c>
      <c r="N98" s="173">
        <f t="shared" si="57"/>
        <v>0</v>
      </c>
      <c r="O98" s="173">
        <f t="shared" si="58"/>
        <v>27057.006124787502</v>
      </c>
      <c r="P98" s="173">
        <f t="shared" si="59"/>
        <v>0</v>
      </c>
      <c r="Q98" s="173">
        <f t="shared" si="60"/>
        <v>27557.633191176603</v>
      </c>
      <c r="R98" s="173">
        <f t="shared" si="61"/>
        <v>0</v>
      </c>
      <c r="S98" s="173">
        <f t="shared" si="62"/>
        <v>28064.110219700342</v>
      </c>
      <c r="U98" s="87" t="s">
        <v>455</v>
      </c>
      <c r="V98" s="87" t="s">
        <v>456</v>
      </c>
      <c r="W98" s="173">
        <f t="shared" si="63"/>
        <v>0</v>
      </c>
      <c r="X98" s="173">
        <f t="shared" si="97"/>
        <v>26174.992485148319</v>
      </c>
      <c r="Y98" s="173">
        <f t="shared" si="98"/>
        <v>0</v>
      </c>
      <c r="Z98" s="173">
        <f t="shared" si="99"/>
        <v>27057.006124787502</v>
      </c>
      <c r="AA98" s="173">
        <f t="shared" si="100"/>
        <v>0</v>
      </c>
      <c r="AB98" s="173">
        <f t="shared" si="101"/>
        <v>27557.633191176603</v>
      </c>
      <c r="AC98" s="173">
        <f t="shared" si="102"/>
        <v>0</v>
      </c>
      <c r="AD98" s="173">
        <f t="shared" si="103"/>
        <v>28064.110219700342</v>
      </c>
      <c r="AF98" s="87" t="s">
        <v>455</v>
      </c>
      <c r="AG98" s="87" t="s">
        <v>456</v>
      </c>
      <c r="AH98" s="173">
        <f t="shared" si="64"/>
        <v>0</v>
      </c>
      <c r="AI98" s="173">
        <f t="shared" si="65"/>
        <v>26174.992485148319</v>
      </c>
      <c r="AJ98" s="173">
        <f t="shared" si="66"/>
        <v>0</v>
      </c>
      <c r="AK98" s="173">
        <f t="shared" si="67"/>
        <v>26523.735573380411</v>
      </c>
      <c r="AL98" s="173">
        <f t="shared" si="68"/>
        <v>0</v>
      </c>
      <c r="AM98" s="173">
        <f t="shared" si="69"/>
        <v>26824.461345074586</v>
      </c>
      <c r="AN98" s="173">
        <f t="shared" si="70"/>
        <v>0</v>
      </c>
      <c r="AO98" s="173">
        <f t="shared" si="71"/>
        <v>28292.697348060847</v>
      </c>
      <c r="AQ98" s="87" t="s">
        <v>455</v>
      </c>
      <c r="AR98" s="87" t="s">
        <v>456</v>
      </c>
      <c r="AS98" s="173">
        <f t="shared" si="72"/>
        <v>0</v>
      </c>
      <c r="AT98" s="173">
        <f t="shared" si="73"/>
        <v>26174.992485148319</v>
      </c>
      <c r="AU98" s="173">
        <f t="shared" si="74"/>
        <v>0</v>
      </c>
      <c r="AV98" s="173">
        <f t="shared" si="75"/>
        <v>27723.544549261431</v>
      </c>
      <c r="AW98" s="173">
        <f t="shared" si="76"/>
        <v>0</v>
      </c>
      <c r="AX98" s="173">
        <f t="shared" si="77"/>
        <v>28209.609919720784</v>
      </c>
      <c r="AY98" s="173">
        <f t="shared" si="78"/>
        <v>0</v>
      </c>
      <c r="AZ98" s="173">
        <f t="shared" si="79"/>
        <v>28730.179534109611</v>
      </c>
      <c r="BB98" s="87" t="s">
        <v>455</v>
      </c>
      <c r="BC98" s="87" t="s">
        <v>456</v>
      </c>
      <c r="BD98" s="173">
        <f t="shared" si="80"/>
        <v>0</v>
      </c>
      <c r="BE98" s="173">
        <f t="shared" si="81"/>
        <v>26174.992485148319</v>
      </c>
      <c r="BF98" s="173">
        <f t="shared" si="82"/>
        <v>0</v>
      </c>
      <c r="BG98" s="173">
        <f t="shared" si="83"/>
        <v>27723.544549261431</v>
      </c>
      <c r="BH98" s="173">
        <f t="shared" si="84"/>
        <v>0</v>
      </c>
      <c r="BI98" s="173">
        <f t="shared" si="85"/>
        <v>28209.609919720784</v>
      </c>
      <c r="BJ98" s="173">
        <f t="shared" si="86"/>
        <v>0</v>
      </c>
      <c r="BK98" s="173">
        <f t="shared" si="87"/>
        <v>28730.179534109611</v>
      </c>
      <c r="BM98" s="87" t="s">
        <v>455</v>
      </c>
      <c r="BN98" s="87" t="s">
        <v>456</v>
      </c>
      <c r="BO98" s="173">
        <f t="shared" si="88"/>
        <v>0</v>
      </c>
      <c r="BP98" s="173">
        <f t="shared" si="89"/>
        <v>26174.992485148319</v>
      </c>
      <c r="BQ98" s="173">
        <f t="shared" si="90"/>
        <v>0</v>
      </c>
      <c r="BR98" s="173">
        <f t="shared" si="91"/>
        <v>27176.926883270851</v>
      </c>
      <c r="BS98" s="173">
        <f t="shared" si="92"/>
        <v>0</v>
      </c>
      <c r="BT98" s="173">
        <f t="shared" si="93"/>
        <v>27458.849392398028</v>
      </c>
      <c r="BU98" s="173">
        <f t="shared" si="94"/>
        <v>0</v>
      </c>
      <c r="BV98" s="173">
        <f t="shared" si="95"/>
        <v>28964.269778981059</v>
      </c>
    </row>
    <row r="99" spans="5:74">
      <c r="E99" s="87" t="s">
        <v>1023</v>
      </c>
      <c r="F99" s="87" t="s">
        <v>1041</v>
      </c>
      <c r="G99" s="173">
        <f>IFERROR(IF(VLOOKUP(E99,A:C,3,FALSE)="YES",VLOOKUP(E99,'School Year 2021-22 SPED coop'!A:P,16,FALSE),0),0)</f>
        <v>0</v>
      </c>
      <c r="H99" s="173">
        <f t="shared" si="96"/>
        <v>194754.02</v>
      </c>
      <c r="J99" s="87" t="s">
        <v>1023</v>
      </c>
      <c r="K99" s="87" t="s">
        <v>1041</v>
      </c>
      <c r="L99" s="173">
        <f t="shared" si="55"/>
        <v>0</v>
      </c>
      <c r="M99" s="173">
        <f t="shared" si="56"/>
        <v>197015.1047303337</v>
      </c>
      <c r="N99" s="173">
        <f t="shared" si="57"/>
        <v>0</v>
      </c>
      <c r="O99" s="173">
        <f t="shared" si="58"/>
        <v>203591.34395400842</v>
      </c>
      <c r="P99" s="173">
        <f t="shared" si="59"/>
        <v>0</v>
      </c>
      <c r="Q99" s="173">
        <f t="shared" si="60"/>
        <v>207395.06323179961</v>
      </c>
      <c r="R99" s="173">
        <f t="shared" si="61"/>
        <v>0</v>
      </c>
      <c r="S99" s="173">
        <f t="shared" si="62"/>
        <v>211275.54779334003</v>
      </c>
      <c r="U99" s="87" t="s">
        <v>1023</v>
      </c>
      <c r="V99" s="87" t="s">
        <v>1041</v>
      </c>
      <c r="W99" s="173">
        <f t="shared" si="63"/>
        <v>0</v>
      </c>
      <c r="X99" s="173">
        <f t="shared" si="97"/>
        <v>197015.1047303337</v>
      </c>
      <c r="Y99" s="173">
        <f t="shared" si="98"/>
        <v>0</v>
      </c>
      <c r="Z99" s="173">
        <f t="shared" si="99"/>
        <v>204590.46411853158</v>
      </c>
      <c r="AA99" s="173">
        <f t="shared" si="100"/>
        <v>0</v>
      </c>
      <c r="AB99" s="173">
        <f t="shared" si="101"/>
        <v>208574.72732886596</v>
      </c>
      <c r="AC99" s="173">
        <f t="shared" si="102"/>
        <v>0</v>
      </c>
      <c r="AD99" s="173">
        <f t="shared" si="103"/>
        <v>212837.09860301562</v>
      </c>
      <c r="AF99" s="87" t="s">
        <v>1023</v>
      </c>
      <c r="AG99" s="87" t="s">
        <v>1041</v>
      </c>
      <c r="AH99" s="173">
        <f t="shared" si="64"/>
        <v>0</v>
      </c>
      <c r="AI99" s="173">
        <f t="shared" si="65"/>
        <v>197015.1047303337</v>
      </c>
      <c r="AJ99" s="173">
        <f t="shared" si="66"/>
        <v>0</v>
      </c>
      <c r="AK99" s="173">
        <f t="shared" si="67"/>
        <v>202720.34039047171</v>
      </c>
      <c r="AL99" s="173">
        <f t="shared" si="68"/>
        <v>0</v>
      </c>
      <c r="AM99" s="173">
        <f t="shared" si="69"/>
        <v>205969.48955405055</v>
      </c>
      <c r="AN99" s="173">
        <f t="shared" si="70"/>
        <v>0</v>
      </c>
      <c r="AO99" s="173">
        <f t="shared" si="71"/>
        <v>208995.5953072031</v>
      </c>
      <c r="AQ99" s="87" t="s">
        <v>1023</v>
      </c>
      <c r="AR99" s="87" t="s">
        <v>1041</v>
      </c>
      <c r="AS99" s="173">
        <f t="shared" si="72"/>
        <v>0</v>
      </c>
      <c r="AT99" s="173">
        <f t="shared" si="73"/>
        <v>197015.1047303337</v>
      </c>
      <c r="AU99" s="173">
        <f t="shared" si="74"/>
        <v>0</v>
      </c>
      <c r="AV99" s="173">
        <f t="shared" si="75"/>
        <v>208672.57195191472</v>
      </c>
      <c r="AW99" s="173">
        <f t="shared" si="76"/>
        <v>0</v>
      </c>
      <c r="AX99" s="173">
        <f t="shared" si="77"/>
        <v>212396.36183068115</v>
      </c>
      <c r="AY99" s="173">
        <f t="shared" si="78"/>
        <v>0</v>
      </c>
      <c r="AZ99" s="173">
        <f t="shared" si="79"/>
        <v>216384.54229142173</v>
      </c>
      <c r="BB99" s="87" t="s">
        <v>1023</v>
      </c>
      <c r="BC99" s="87" t="s">
        <v>1041</v>
      </c>
      <c r="BD99" s="173">
        <f t="shared" si="80"/>
        <v>0</v>
      </c>
      <c r="BE99" s="173">
        <f t="shared" si="81"/>
        <v>197015.1047303337</v>
      </c>
      <c r="BF99" s="173">
        <f t="shared" si="82"/>
        <v>0</v>
      </c>
      <c r="BG99" s="173">
        <f t="shared" si="83"/>
        <v>209696.62872216242</v>
      </c>
      <c r="BH99" s="173">
        <f t="shared" si="84"/>
        <v>0</v>
      </c>
      <c r="BI99" s="173">
        <f t="shared" si="85"/>
        <v>213604.47776349922</v>
      </c>
      <c r="BJ99" s="173">
        <f t="shared" si="86"/>
        <v>0</v>
      </c>
      <c r="BK99" s="173">
        <f t="shared" si="87"/>
        <v>217983.85461095345</v>
      </c>
      <c r="BM99" s="87" t="s">
        <v>1023</v>
      </c>
      <c r="BN99" s="87" t="s">
        <v>1041</v>
      </c>
      <c r="BO99" s="173">
        <f t="shared" si="88"/>
        <v>0</v>
      </c>
      <c r="BP99" s="173">
        <f t="shared" si="89"/>
        <v>197015.1047303337</v>
      </c>
      <c r="BQ99" s="173">
        <f t="shared" si="90"/>
        <v>0</v>
      </c>
      <c r="BR99" s="173">
        <f t="shared" si="91"/>
        <v>207778.73226716794</v>
      </c>
      <c r="BS99" s="173">
        <f t="shared" si="92"/>
        <v>0</v>
      </c>
      <c r="BT99" s="173">
        <f t="shared" si="93"/>
        <v>210934.51348299903</v>
      </c>
      <c r="BU99" s="173">
        <f t="shared" si="94"/>
        <v>0</v>
      </c>
      <c r="BV99" s="173">
        <f t="shared" si="95"/>
        <v>214046.69393058401</v>
      </c>
    </row>
    <row r="100" spans="5:74">
      <c r="E100" s="87" t="s">
        <v>61</v>
      </c>
      <c r="F100" s="87" t="s">
        <v>62</v>
      </c>
      <c r="G100" s="173">
        <f>IFERROR(IF(VLOOKUP(E100,A:C,3,FALSE)="YES",VLOOKUP(E100,'School Year 2021-22 SPED coop'!A:P,16,FALSE),0),0)</f>
        <v>157100.97999999998</v>
      </c>
      <c r="H100" s="173">
        <f t="shared" si="96"/>
        <v>0</v>
      </c>
      <c r="J100" s="87" t="s">
        <v>61</v>
      </c>
      <c r="K100" s="87" t="s">
        <v>62</v>
      </c>
      <c r="L100" s="173">
        <f t="shared" si="55"/>
        <v>186065.36220417946</v>
      </c>
      <c r="M100" s="173">
        <f t="shared" si="56"/>
        <v>0</v>
      </c>
      <c r="N100" s="173">
        <f t="shared" si="57"/>
        <v>192356.62611317349</v>
      </c>
      <c r="O100" s="173">
        <f t="shared" si="58"/>
        <v>0</v>
      </c>
      <c r="P100" s="173">
        <f t="shared" si="59"/>
        <v>195916.62693330616</v>
      </c>
      <c r="Q100" s="173">
        <f t="shared" si="60"/>
        <v>0</v>
      </c>
      <c r="R100" s="173">
        <f t="shared" si="61"/>
        <v>199518.97691405864</v>
      </c>
      <c r="S100" s="173">
        <f t="shared" si="62"/>
        <v>0</v>
      </c>
      <c r="U100" s="87" t="s">
        <v>61</v>
      </c>
      <c r="V100" s="87" t="s">
        <v>62</v>
      </c>
      <c r="W100" s="173">
        <f t="shared" si="63"/>
        <v>186065.36220417946</v>
      </c>
      <c r="X100" s="173">
        <f t="shared" si="97"/>
        <v>0</v>
      </c>
      <c r="Y100" s="173">
        <f t="shared" si="98"/>
        <v>193304.45941122971</v>
      </c>
      <c r="Z100" s="173">
        <f t="shared" si="99"/>
        <v>0</v>
      </c>
      <c r="AA100" s="173">
        <f t="shared" si="100"/>
        <v>197034.00682398348</v>
      </c>
      <c r="AB100" s="173">
        <f t="shared" si="101"/>
        <v>0</v>
      </c>
      <c r="AC100" s="173">
        <f t="shared" si="102"/>
        <v>200991.83603391011</v>
      </c>
      <c r="AD100" s="173">
        <f t="shared" si="103"/>
        <v>0</v>
      </c>
      <c r="AF100" s="87" t="s">
        <v>61</v>
      </c>
      <c r="AG100" s="87" t="s">
        <v>62</v>
      </c>
      <c r="AH100" s="173">
        <f t="shared" si="64"/>
        <v>186065.36220417946</v>
      </c>
      <c r="AI100" s="173">
        <f t="shared" si="65"/>
        <v>0</v>
      </c>
      <c r="AJ100" s="173">
        <f t="shared" si="66"/>
        <v>192288.84929400258</v>
      </c>
      <c r="AK100" s="173">
        <f t="shared" si="67"/>
        <v>0</v>
      </c>
      <c r="AL100" s="173">
        <f t="shared" si="68"/>
        <v>196254.22811598107</v>
      </c>
      <c r="AM100" s="173">
        <f t="shared" si="69"/>
        <v>0</v>
      </c>
      <c r="AN100" s="173">
        <f t="shared" si="70"/>
        <v>200313.75022340158</v>
      </c>
      <c r="AO100" s="173">
        <f t="shared" si="71"/>
        <v>0</v>
      </c>
      <c r="AQ100" s="87" t="s">
        <v>61</v>
      </c>
      <c r="AR100" s="87" t="s">
        <v>62</v>
      </c>
      <c r="AS100" s="173">
        <f t="shared" si="72"/>
        <v>186065.36220417946</v>
      </c>
      <c r="AT100" s="173">
        <f t="shared" si="73"/>
        <v>0</v>
      </c>
      <c r="AU100" s="173">
        <f t="shared" si="74"/>
        <v>197092.03595855058</v>
      </c>
      <c r="AV100" s="173">
        <f t="shared" si="75"/>
        <v>0</v>
      </c>
      <c r="AW100" s="173">
        <f t="shared" si="76"/>
        <v>200549.10996692086</v>
      </c>
      <c r="AX100" s="173">
        <f t="shared" si="77"/>
        <v>0</v>
      </c>
      <c r="AY100" s="173">
        <f t="shared" si="78"/>
        <v>204251.58862696419</v>
      </c>
      <c r="AZ100" s="173">
        <f t="shared" si="79"/>
        <v>0</v>
      </c>
      <c r="BB100" s="87" t="s">
        <v>61</v>
      </c>
      <c r="BC100" s="87" t="s">
        <v>62</v>
      </c>
      <c r="BD100" s="173">
        <f t="shared" si="80"/>
        <v>186065.36220417946</v>
      </c>
      <c r="BE100" s="173">
        <f t="shared" si="81"/>
        <v>0</v>
      </c>
      <c r="BF100" s="173">
        <f t="shared" si="82"/>
        <v>198063.20538692124</v>
      </c>
      <c r="BG100" s="173">
        <f t="shared" si="83"/>
        <v>0</v>
      </c>
      <c r="BH100" s="173">
        <f t="shared" si="84"/>
        <v>201692.91534084425</v>
      </c>
      <c r="BI100" s="173">
        <f t="shared" si="85"/>
        <v>0</v>
      </c>
      <c r="BJ100" s="173">
        <f t="shared" si="86"/>
        <v>205759.38372263539</v>
      </c>
      <c r="BK100" s="173">
        <f t="shared" si="87"/>
        <v>0</v>
      </c>
      <c r="BM100" s="87" t="s">
        <v>61</v>
      </c>
      <c r="BN100" s="87" t="s">
        <v>62</v>
      </c>
      <c r="BO100" s="173">
        <f t="shared" si="88"/>
        <v>186065.36220417946</v>
      </c>
      <c r="BP100" s="173">
        <f t="shared" si="89"/>
        <v>0</v>
      </c>
      <c r="BQ100" s="173">
        <f t="shared" si="90"/>
        <v>197022.55881046655</v>
      </c>
      <c r="BR100" s="173">
        <f t="shared" si="91"/>
        <v>0</v>
      </c>
      <c r="BS100" s="173">
        <f t="shared" si="92"/>
        <v>200894.77414865425</v>
      </c>
      <c r="BT100" s="173">
        <f t="shared" si="93"/>
        <v>0</v>
      </c>
      <c r="BU100" s="173">
        <f t="shared" si="94"/>
        <v>205065.44938532426</v>
      </c>
      <c r="BV100" s="173">
        <f t="shared" si="95"/>
        <v>0</v>
      </c>
    </row>
    <row r="101" spans="5:74">
      <c r="E101" s="87" t="s">
        <v>517</v>
      </c>
      <c r="F101" s="87" t="s">
        <v>518</v>
      </c>
      <c r="G101" s="173">
        <f>IFERROR(IF(VLOOKUP(E101,A:C,3,FALSE)="YES",VLOOKUP(E101,'School Year 2021-22 SPED coop'!A:P,16,FALSE),0),0)</f>
        <v>0</v>
      </c>
      <c r="H101" s="173">
        <f t="shared" si="96"/>
        <v>781838.68</v>
      </c>
      <c r="J101" s="87" t="s">
        <v>517</v>
      </c>
      <c r="K101" s="87" t="s">
        <v>518</v>
      </c>
      <c r="L101" s="173">
        <f t="shared" si="55"/>
        <v>0</v>
      </c>
      <c r="M101" s="173">
        <f t="shared" si="56"/>
        <v>795840.51088336494</v>
      </c>
      <c r="N101" s="173">
        <f t="shared" si="57"/>
        <v>0</v>
      </c>
      <c r="O101" s="173">
        <f t="shared" si="58"/>
        <v>822788.24197095004</v>
      </c>
      <c r="P101" s="173">
        <f t="shared" si="59"/>
        <v>0</v>
      </c>
      <c r="Q101" s="173">
        <f t="shared" si="60"/>
        <v>838017.38727503177</v>
      </c>
      <c r="R101" s="173">
        <f t="shared" si="61"/>
        <v>0</v>
      </c>
      <c r="S101" s="173">
        <f t="shared" si="62"/>
        <v>853429.01605232852</v>
      </c>
      <c r="U101" s="87" t="s">
        <v>517</v>
      </c>
      <c r="V101" s="87" t="s">
        <v>518</v>
      </c>
      <c r="W101" s="173">
        <f t="shared" si="63"/>
        <v>0</v>
      </c>
      <c r="X101" s="173">
        <f t="shared" si="97"/>
        <v>795840.51088336494</v>
      </c>
      <c r="Y101" s="173">
        <f t="shared" si="98"/>
        <v>0</v>
      </c>
      <c r="Z101" s="173">
        <f t="shared" si="99"/>
        <v>826808.17762523843</v>
      </c>
      <c r="AA101" s="173">
        <f t="shared" si="100"/>
        <v>0</v>
      </c>
      <c r="AB101" s="173">
        <f t="shared" si="101"/>
        <v>842733.15751732804</v>
      </c>
      <c r="AC101" s="173">
        <f t="shared" si="102"/>
        <v>0</v>
      </c>
      <c r="AD101" s="173">
        <f t="shared" si="103"/>
        <v>859714.29549076373</v>
      </c>
      <c r="AF101" s="87" t="s">
        <v>517</v>
      </c>
      <c r="AG101" s="87" t="s">
        <v>518</v>
      </c>
      <c r="AH101" s="173">
        <f t="shared" si="64"/>
        <v>0</v>
      </c>
      <c r="AI101" s="173">
        <f t="shared" si="65"/>
        <v>795840.51088336494</v>
      </c>
      <c r="AJ101" s="173">
        <f t="shared" si="66"/>
        <v>0</v>
      </c>
      <c r="AK101" s="173">
        <f t="shared" si="67"/>
        <v>824379.89124766993</v>
      </c>
      <c r="AL101" s="173">
        <f t="shared" si="68"/>
        <v>0</v>
      </c>
      <c r="AM101" s="173">
        <f t="shared" si="69"/>
        <v>839219.67377966677</v>
      </c>
      <c r="AN101" s="173">
        <f t="shared" si="70"/>
        <v>0</v>
      </c>
      <c r="AO101" s="173">
        <f t="shared" si="71"/>
        <v>855069.39313667174</v>
      </c>
      <c r="AQ101" s="87" t="s">
        <v>517</v>
      </c>
      <c r="AR101" s="87" t="s">
        <v>518</v>
      </c>
      <c r="AS101" s="173">
        <f t="shared" si="72"/>
        <v>0</v>
      </c>
      <c r="AT101" s="173">
        <f t="shared" si="73"/>
        <v>795840.51088336494</v>
      </c>
      <c r="AU101" s="173">
        <f t="shared" si="74"/>
        <v>0</v>
      </c>
      <c r="AV101" s="173">
        <f t="shared" si="75"/>
        <v>843037.61602665309</v>
      </c>
      <c r="AW101" s="173">
        <f t="shared" si="76"/>
        <v>0</v>
      </c>
      <c r="AX101" s="173">
        <f t="shared" si="77"/>
        <v>857827.54790254426</v>
      </c>
      <c r="AY101" s="173">
        <f t="shared" si="78"/>
        <v>0</v>
      </c>
      <c r="AZ101" s="173">
        <f t="shared" si="79"/>
        <v>873667.3575068356</v>
      </c>
      <c r="BB101" s="87" t="s">
        <v>517</v>
      </c>
      <c r="BC101" s="87" t="s">
        <v>518</v>
      </c>
      <c r="BD101" s="173">
        <f t="shared" si="80"/>
        <v>0</v>
      </c>
      <c r="BE101" s="173">
        <f t="shared" si="81"/>
        <v>795840.51088336494</v>
      </c>
      <c r="BF101" s="173">
        <f t="shared" si="82"/>
        <v>0</v>
      </c>
      <c r="BG101" s="173">
        <f t="shared" si="83"/>
        <v>847156.47746772331</v>
      </c>
      <c r="BH101" s="173">
        <f t="shared" si="84"/>
        <v>0</v>
      </c>
      <c r="BI101" s="173">
        <f t="shared" si="85"/>
        <v>862654.7856764911</v>
      </c>
      <c r="BJ101" s="173">
        <f t="shared" si="86"/>
        <v>0</v>
      </c>
      <c r="BK101" s="173">
        <f t="shared" si="87"/>
        <v>880101.67799289781</v>
      </c>
      <c r="BM101" s="87" t="s">
        <v>517</v>
      </c>
      <c r="BN101" s="87" t="s">
        <v>518</v>
      </c>
      <c r="BO101" s="173">
        <f t="shared" si="88"/>
        <v>0</v>
      </c>
      <c r="BP101" s="173">
        <f t="shared" si="89"/>
        <v>795840.51088336494</v>
      </c>
      <c r="BQ101" s="173">
        <f t="shared" si="90"/>
        <v>0</v>
      </c>
      <c r="BR101" s="173">
        <f t="shared" si="91"/>
        <v>844669.00448716758</v>
      </c>
      <c r="BS101" s="173">
        <f t="shared" si="92"/>
        <v>0</v>
      </c>
      <c r="BT101" s="173">
        <f t="shared" si="93"/>
        <v>859058.4643889087</v>
      </c>
      <c r="BU101" s="173">
        <f t="shared" si="94"/>
        <v>0</v>
      </c>
      <c r="BV101" s="173">
        <f t="shared" si="95"/>
        <v>875346.97798748524</v>
      </c>
    </row>
    <row r="102" spans="5:74">
      <c r="E102" s="87" t="s">
        <v>309</v>
      </c>
      <c r="F102" s="87" t="s">
        <v>310</v>
      </c>
      <c r="G102" s="173">
        <f>IFERROR(IF(VLOOKUP(E102,A:C,3,FALSE)="YES",VLOOKUP(E102,'School Year 2021-22 SPED coop'!A:P,16,FALSE),0),0)</f>
        <v>0</v>
      </c>
      <c r="H102" s="173">
        <f t="shared" si="96"/>
        <v>148173.31</v>
      </c>
      <c r="J102" s="87" t="s">
        <v>309</v>
      </c>
      <c r="K102" s="87" t="s">
        <v>310</v>
      </c>
      <c r="L102" s="173">
        <f t="shared" si="55"/>
        <v>0</v>
      </c>
      <c r="M102" s="173">
        <f t="shared" si="56"/>
        <v>149848.77340297698</v>
      </c>
      <c r="N102" s="173">
        <f t="shared" si="57"/>
        <v>0</v>
      </c>
      <c r="O102" s="173">
        <f t="shared" si="58"/>
        <v>154898.55768670636</v>
      </c>
      <c r="P102" s="173">
        <f t="shared" si="59"/>
        <v>0</v>
      </c>
      <c r="Q102" s="173">
        <f t="shared" si="60"/>
        <v>157771.14929848301</v>
      </c>
      <c r="R102" s="173">
        <f t="shared" si="61"/>
        <v>0</v>
      </c>
      <c r="S102" s="173">
        <f t="shared" si="62"/>
        <v>160682.8000690593</v>
      </c>
      <c r="U102" s="87" t="s">
        <v>309</v>
      </c>
      <c r="V102" s="87" t="s">
        <v>310</v>
      </c>
      <c r="W102" s="173">
        <f t="shared" si="63"/>
        <v>0</v>
      </c>
      <c r="X102" s="173">
        <f t="shared" si="97"/>
        <v>149848.77340297698</v>
      </c>
      <c r="Y102" s="173">
        <f t="shared" si="98"/>
        <v>0</v>
      </c>
      <c r="Z102" s="173">
        <f t="shared" si="99"/>
        <v>155663.17425124897</v>
      </c>
      <c r="AA102" s="173">
        <f t="shared" si="100"/>
        <v>0</v>
      </c>
      <c r="AB102" s="173">
        <f t="shared" si="101"/>
        <v>158667.83249621783</v>
      </c>
      <c r="AC102" s="173">
        <f t="shared" si="102"/>
        <v>0</v>
      </c>
      <c r="AD102" s="173">
        <f t="shared" si="103"/>
        <v>161885.0423281377</v>
      </c>
      <c r="AF102" s="87" t="s">
        <v>309</v>
      </c>
      <c r="AG102" s="87" t="s">
        <v>310</v>
      </c>
      <c r="AH102" s="173">
        <f t="shared" si="64"/>
        <v>0</v>
      </c>
      <c r="AI102" s="173">
        <f t="shared" si="65"/>
        <v>149848.77340297698</v>
      </c>
      <c r="AJ102" s="173">
        <f t="shared" si="66"/>
        <v>0</v>
      </c>
      <c r="AK102" s="173">
        <f t="shared" si="67"/>
        <v>151661.79607523567</v>
      </c>
      <c r="AL102" s="173">
        <f t="shared" si="68"/>
        <v>0</v>
      </c>
      <c r="AM102" s="173">
        <f t="shared" si="69"/>
        <v>155453.56053706538</v>
      </c>
      <c r="AN102" s="173">
        <f t="shared" si="70"/>
        <v>0</v>
      </c>
      <c r="AO102" s="173">
        <f t="shared" si="71"/>
        <v>155982.67592655914</v>
      </c>
      <c r="AQ102" s="87" t="s">
        <v>309</v>
      </c>
      <c r="AR102" s="87" t="s">
        <v>310</v>
      </c>
      <c r="AS102" s="173">
        <f t="shared" si="72"/>
        <v>0</v>
      </c>
      <c r="AT102" s="173">
        <f t="shared" si="73"/>
        <v>149848.77340297698</v>
      </c>
      <c r="AU102" s="173">
        <f t="shared" si="74"/>
        <v>0</v>
      </c>
      <c r="AV102" s="173">
        <f t="shared" si="75"/>
        <v>158724.6085122817</v>
      </c>
      <c r="AW102" s="173">
        <f t="shared" si="76"/>
        <v>0</v>
      </c>
      <c r="AX102" s="173">
        <f t="shared" si="77"/>
        <v>161518.83725149429</v>
      </c>
      <c r="AY102" s="173">
        <f t="shared" si="78"/>
        <v>0</v>
      </c>
      <c r="AZ102" s="173">
        <f t="shared" si="79"/>
        <v>164511.43341248459</v>
      </c>
      <c r="BB102" s="87" t="s">
        <v>309</v>
      </c>
      <c r="BC102" s="87" t="s">
        <v>310</v>
      </c>
      <c r="BD102" s="173">
        <f t="shared" si="80"/>
        <v>0</v>
      </c>
      <c r="BE102" s="173">
        <f t="shared" si="81"/>
        <v>149848.77340297698</v>
      </c>
      <c r="BF102" s="173">
        <f t="shared" si="82"/>
        <v>0</v>
      </c>
      <c r="BG102" s="173">
        <f t="shared" si="83"/>
        <v>159508.11425145995</v>
      </c>
      <c r="BH102" s="173">
        <f t="shared" si="84"/>
        <v>0</v>
      </c>
      <c r="BI102" s="173">
        <f t="shared" si="85"/>
        <v>162436.82278108745</v>
      </c>
      <c r="BJ102" s="173">
        <f t="shared" si="86"/>
        <v>0</v>
      </c>
      <c r="BK102" s="173">
        <f t="shared" si="87"/>
        <v>165742.3298412615</v>
      </c>
      <c r="BM102" s="87" t="s">
        <v>309</v>
      </c>
      <c r="BN102" s="87" t="s">
        <v>310</v>
      </c>
      <c r="BO102" s="173">
        <f t="shared" si="88"/>
        <v>0</v>
      </c>
      <c r="BP102" s="173">
        <f t="shared" si="89"/>
        <v>149848.77340297698</v>
      </c>
      <c r="BQ102" s="173">
        <f t="shared" si="90"/>
        <v>0</v>
      </c>
      <c r="BR102" s="173">
        <f t="shared" si="91"/>
        <v>155406.89543793496</v>
      </c>
      <c r="BS102" s="173">
        <f t="shared" si="92"/>
        <v>0</v>
      </c>
      <c r="BT102" s="173">
        <f t="shared" si="93"/>
        <v>159145.78425802133</v>
      </c>
      <c r="BU102" s="173">
        <f t="shared" si="94"/>
        <v>0</v>
      </c>
      <c r="BV102" s="173">
        <f t="shared" si="95"/>
        <v>159698.18819093661</v>
      </c>
    </row>
    <row r="103" spans="5:74">
      <c r="E103" s="87" t="s">
        <v>599</v>
      </c>
      <c r="F103" s="87" t="s">
        <v>600</v>
      </c>
      <c r="G103" s="173">
        <f>IFERROR(IF(VLOOKUP(E103,A:C,3,FALSE)="YES",VLOOKUP(E103,'School Year 2021-22 SPED coop'!A:P,16,FALSE),0),0)</f>
        <v>0</v>
      </c>
      <c r="H103" s="173">
        <f t="shared" si="96"/>
        <v>1144088.8400000001</v>
      </c>
      <c r="J103" s="87" t="s">
        <v>599</v>
      </c>
      <c r="K103" s="87" t="s">
        <v>600</v>
      </c>
      <c r="L103" s="173">
        <f t="shared" si="55"/>
        <v>0</v>
      </c>
      <c r="M103" s="173">
        <f t="shared" si="56"/>
        <v>1156986.6995734496</v>
      </c>
      <c r="N103" s="173">
        <f t="shared" si="57"/>
        <v>0</v>
      </c>
      <c r="O103" s="173">
        <f t="shared" si="58"/>
        <v>1196221.0945011592</v>
      </c>
      <c r="P103" s="173">
        <f t="shared" si="59"/>
        <v>0</v>
      </c>
      <c r="Q103" s="173">
        <f t="shared" si="60"/>
        <v>1218379.5392832994</v>
      </c>
      <c r="R103" s="173">
        <f t="shared" si="61"/>
        <v>0</v>
      </c>
      <c r="S103" s="173">
        <f t="shared" si="62"/>
        <v>1240817.6965010602</v>
      </c>
      <c r="U103" s="87" t="s">
        <v>599</v>
      </c>
      <c r="V103" s="87" t="s">
        <v>600</v>
      </c>
      <c r="W103" s="173">
        <f t="shared" si="63"/>
        <v>0</v>
      </c>
      <c r="X103" s="173">
        <f t="shared" si="97"/>
        <v>1156986.6995734496</v>
      </c>
      <c r="Y103" s="173">
        <f t="shared" si="98"/>
        <v>0</v>
      </c>
      <c r="Z103" s="173">
        <f t="shared" si="99"/>
        <v>1202088.2673688508</v>
      </c>
      <c r="AA103" s="173">
        <f t="shared" si="100"/>
        <v>0</v>
      </c>
      <c r="AB103" s="173">
        <f t="shared" si="101"/>
        <v>1225259.7023603059</v>
      </c>
      <c r="AC103" s="173">
        <f t="shared" si="102"/>
        <v>0</v>
      </c>
      <c r="AD103" s="173">
        <f t="shared" si="103"/>
        <v>1249981.6089470836</v>
      </c>
      <c r="AF103" s="87" t="s">
        <v>599</v>
      </c>
      <c r="AG103" s="87" t="s">
        <v>600</v>
      </c>
      <c r="AH103" s="173">
        <f t="shared" si="64"/>
        <v>0</v>
      </c>
      <c r="AI103" s="173">
        <f t="shared" si="65"/>
        <v>1156986.6995734496</v>
      </c>
      <c r="AJ103" s="173">
        <f t="shared" si="66"/>
        <v>0</v>
      </c>
      <c r="AK103" s="173">
        <f t="shared" si="67"/>
        <v>1196585.3860413965</v>
      </c>
      <c r="AL103" s="173">
        <f t="shared" si="68"/>
        <v>0</v>
      </c>
      <c r="AM103" s="173">
        <f t="shared" si="69"/>
        <v>1218751.1000576892</v>
      </c>
      <c r="AN103" s="173">
        <f t="shared" si="70"/>
        <v>0</v>
      </c>
      <c r="AO103" s="173">
        <f t="shared" si="71"/>
        <v>1241197.0388079588</v>
      </c>
      <c r="AQ103" s="87" t="s">
        <v>599</v>
      </c>
      <c r="AR103" s="87" t="s">
        <v>600</v>
      </c>
      <c r="AS103" s="173">
        <f t="shared" si="72"/>
        <v>0</v>
      </c>
      <c r="AT103" s="173">
        <f t="shared" si="73"/>
        <v>1156986.6995734496</v>
      </c>
      <c r="AU103" s="173">
        <f t="shared" si="74"/>
        <v>0</v>
      </c>
      <c r="AV103" s="173">
        <f t="shared" si="75"/>
        <v>1225659.9321259507</v>
      </c>
      <c r="AW103" s="173">
        <f t="shared" si="76"/>
        <v>0</v>
      </c>
      <c r="AX103" s="173">
        <f t="shared" si="77"/>
        <v>1247192.1666310444</v>
      </c>
      <c r="AY103" s="173">
        <f t="shared" si="78"/>
        <v>0</v>
      </c>
      <c r="AZ103" s="173">
        <f t="shared" si="79"/>
        <v>1270253.085229551</v>
      </c>
      <c r="BB103" s="87" t="s">
        <v>599</v>
      </c>
      <c r="BC103" s="87" t="s">
        <v>600</v>
      </c>
      <c r="BD103" s="173">
        <f t="shared" si="80"/>
        <v>0</v>
      </c>
      <c r="BE103" s="173">
        <f t="shared" si="81"/>
        <v>1156986.6995734496</v>
      </c>
      <c r="BF103" s="173">
        <f t="shared" si="82"/>
        <v>0</v>
      </c>
      <c r="BG103" s="173">
        <f t="shared" si="83"/>
        <v>1231671.4965134035</v>
      </c>
      <c r="BH103" s="173">
        <f t="shared" si="84"/>
        <v>0</v>
      </c>
      <c r="BI103" s="173">
        <f t="shared" si="85"/>
        <v>1254235.0310874654</v>
      </c>
      <c r="BJ103" s="173">
        <f t="shared" si="86"/>
        <v>0</v>
      </c>
      <c r="BK103" s="173">
        <f t="shared" si="87"/>
        <v>1279634.3887688043</v>
      </c>
      <c r="BM103" s="87" t="s">
        <v>599</v>
      </c>
      <c r="BN103" s="87" t="s">
        <v>600</v>
      </c>
      <c r="BO103" s="173">
        <f t="shared" si="88"/>
        <v>0</v>
      </c>
      <c r="BP103" s="173">
        <f t="shared" si="89"/>
        <v>1156986.6995734496</v>
      </c>
      <c r="BQ103" s="173">
        <f t="shared" si="90"/>
        <v>0</v>
      </c>
      <c r="BR103" s="173">
        <f t="shared" si="91"/>
        <v>1226033.8466181811</v>
      </c>
      <c r="BS103" s="173">
        <f t="shared" si="92"/>
        <v>0</v>
      </c>
      <c r="BT103" s="173">
        <f t="shared" si="93"/>
        <v>1247573.5375479816</v>
      </c>
      <c r="BU103" s="173">
        <f t="shared" si="94"/>
        <v>0</v>
      </c>
      <c r="BV103" s="173">
        <f t="shared" si="95"/>
        <v>1270642.4502097273</v>
      </c>
    </row>
    <row r="104" spans="5:74">
      <c r="E104" s="87" t="s">
        <v>191</v>
      </c>
      <c r="F104" s="87" t="s">
        <v>192</v>
      </c>
      <c r="G104" s="173">
        <f>IFERROR(IF(VLOOKUP(E104,A:C,3,FALSE)="YES",VLOOKUP(E104,'School Year 2021-22 SPED coop'!A:P,16,FALSE),0),0)</f>
        <v>0</v>
      </c>
      <c r="H104" s="173">
        <f t="shared" si="96"/>
        <v>24984110.219999999</v>
      </c>
      <c r="J104" s="87" t="s">
        <v>191</v>
      </c>
      <c r="K104" s="87" t="s">
        <v>192</v>
      </c>
      <c r="L104" s="173">
        <f t="shared" si="55"/>
        <v>0</v>
      </c>
      <c r="M104" s="173">
        <f t="shared" si="56"/>
        <v>25266163.584082298</v>
      </c>
      <c r="N104" s="173">
        <f t="shared" si="57"/>
        <v>0</v>
      </c>
      <c r="O104" s="173">
        <f t="shared" si="58"/>
        <v>26104305.018688388</v>
      </c>
      <c r="P104" s="173">
        <f t="shared" si="59"/>
        <v>0</v>
      </c>
      <c r="Q104" s="173">
        <f t="shared" si="60"/>
        <v>26591732.455006681</v>
      </c>
      <c r="R104" s="173">
        <f t="shared" si="61"/>
        <v>0</v>
      </c>
      <c r="S104" s="173">
        <f t="shared" si="62"/>
        <v>27088754.506392747</v>
      </c>
      <c r="U104" s="87" t="s">
        <v>191</v>
      </c>
      <c r="V104" s="87" t="s">
        <v>192</v>
      </c>
      <c r="W104" s="173">
        <f t="shared" si="63"/>
        <v>0</v>
      </c>
      <c r="X104" s="173">
        <f t="shared" si="97"/>
        <v>25266163.584082298</v>
      </c>
      <c r="Y104" s="173">
        <f t="shared" si="98"/>
        <v>0</v>
      </c>
      <c r="Z104" s="173">
        <f t="shared" si="99"/>
        <v>26232309.100616671</v>
      </c>
      <c r="AA104" s="173">
        <f t="shared" si="100"/>
        <v>0</v>
      </c>
      <c r="AB104" s="173">
        <f t="shared" si="101"/>
        <v>26742025.612497795</v>
      </c>
      <c r="AC104" s="173">
        <f t="shared" si="102"/>
        <v>0</v>
      </c>
      <c r="AD104" s="173">
        <f t="shared" si="103"/>
        <v>27288836.784078274</v>
      </c>
      <c r="AF104" s="87" t="s">
        <v>191</v>
      </c>
      <c r="AG104" s="87" t="s">
        <v>192</v>
      </c>
      <c r="AH104" s="173">
        <f t="shared" si="64"/>
        <v>0</v>
      </c>
      <c r="AI104" s="173">
        <f t="shared" si="65"/>
        <v>25266163.584082298</v>
      </c>
      <c r="AJ104" s="173">
        <f t="shared" si="66"/>
        <v>0</v>
      </c>
      <c r="AK104" s="173">
        <f t="shared" si="67"/>
        <v>26124577.165624492</v>
      </c>
      <c r="AL104" s="173">
        <f t="shared" si="68"/>
        <v>0</v>
      </c>
      <c r="AM104" s="173">
        <f t="shared" si="69"/>
        <v>26647752.3433742</v>
      </c>
      <c r="AN104" s="173">
        <f t="shared" si="70"/>
        <v>0</v>
      </c>
      <c r="AO104" s="173">
        <f t="shared" si="71"/>
        <v>27155794.469422065</v>
      </c>
      <c r="AQ104" s="87" t="s">
        <v>191</v>
      </c>
      <c r="AR104" s="87" t="s">
        <v>192</v>
      </c>
      <c r="AS104" s="173">
        <f t="shared" si="72"/>
        <v>0</v>
      </c>
      <c r="AT104" s="173">
        <f t="shared" si="73"/>
        <v>25266163.584082298</v>
      </c>
      <c r="AU104" s="173">
        <f t="shared" si="74"/>
        <v>0</v>
      </c>
      <c r="AV104" s="173">
        <f t="shared" si="75"/>
        <v>26756785.417311322</v>
      </c>
      <c r="AW104" s="173">
        <f t="shared" si="76"/>
        <v>0</v>
      </c>
      <c r="AX104" s="173">
        <f t="shared" si="77"/>
        <v>27233768.326020263</v>
      </c>
      <c r="AY104" s="173">
        <f t="shared" si="78"/>
        <v>0</v>
      </c>
      <c r="AZ104" s="173">
        <f t="shared" si="79"/>
        <v>27744615.247607484</v>
      </c>
      <c r="BB104" s="87" t="s">
        <v>191</v>
      </c>
      <c r="BC104" s="87" t="s">
        <v>192</v>
      </c>
      <c r="BD104" s="173">
        <f t="shared" si="80"/>
        <v>0</v>
      </c>
      <c r="BE104" s="173">
        <f t="shared" si="81"/>
        <v>25266163.584082298</v>
      </c>
      <c r="BF104" s="173">
        <f t="shared" si="82"/>
        <v>0</v>
      </c>
      <c r="BG104" s="173">
        <f t="shared" si="83"/>
        <v>26887988.987847369</v>
      </c>
      <c r="BH104" s="173">
        <f t="shared" si="84"/>
        <v>0</v>
      </c>
      <c r="BI104" s="173">
        <f t="shared" si="85"/>
        <v>27387690.188745718</v>
      </c>
      <c r="BJ104" s="173">
        <f t="shared" si="86"/>
        <v>0</v>
      </c>
      <c r="BK104" s="173">
        <f t="shared" si="87"/>
        <v>27949541.826995898</v>
      </c>
      <c r="BM104" s="87" t="s">
        <v>191</v>
      </c>
      <c r="BN104" s="87" t="s">
        <v>192</v>
      </c>
      <c r="BO104" s="173">
        <f t="shared" si="88"/>
        <v>0</v>
      </c>
      <c r="BP104" s="173">
        <f t="shared" si="89"/>
        <v>25266163.584082298</v>
      </c>
      <c r="BQ104" s="173">
        <f t="shared" si="90"/>
        <v>0</v>
      </c>
      <c r="BR104" s="173">
        <f t="shared" si="91"/>
        <v>26777573.424730666</v>
      </c>
      <c r="BS104" s="173">
        <f t="shared" si="92"/>
        <v>0</v>
      </c>
      <c r="BT104" s="173">
        <f t="shared" si="93"/>
        <v>27291166.241428342</v>
      </c>
      <c r="BU104" s="173">
        <f t="shared" si="94"/>
        <v>0</v>
      </c>
      <c r="BV104" s="173">
        <f t="shared" si="95"/>
        <v>27813306.214023054</v>
      </c>
    </row>
    <row r="105" spans="5:74">
      <c r="E105" s="87" t="s">
        <v>57</v>
      </c>
      <c r="F105" s="87" t="s">
        <v>58</v>
      </c>
      <c r="G105" s="173">
        <f>IFERROR(IF(VLOOKUP(E105,A:C,3,FALSE)="YES",VLOOKUP(E105,'School Year 2021-22 SPED coop'!A:P,16,FALSE),0),0)</f>
        <v>0</v>
      </c>
      <c r="H105" s="173">
        <f t="shared" si="96"/>
        <v>1710460.2499999998</v>
      </c>
      <c r="J105" s="87" t="s">
        <v>57</v>
      </c>
      <c r="K105" s="87" t="s">
        <v>58</v>
      </c>
      <c r="L105" s="173">
        <f t="shared" si="55"/>
        <v>0</v>
      </c>
      <c r="M105" s="173">
        <f t="shared" si="56"/>
        <v>1730041.8072024474</v>
      </c>
      <c r="N105" s="173">
        <f t="shared" si="57"/>
        <v>0</v>
      </c>
      <c r="O105" s="173">
        <f t="shared" si="58"/>
        <v>1788227.7127026741</v>
      </c>
      <c r="P105" s="173">
        <f t="shared" si="59"/>
        <v>0</v>
      </c>
      <c r="Q105" s="173">
        <f t="shared" si="60"/>
        <v>1821446.939983052</v>
      </c>
      <c r="R105" s="173">
        <f t="shared" si="61"/>
        <v>0</v>
      </c>
      <c r="S105" s="173">
        <f t="shared" si="62"/>
        <v>1855169.5438267246</v>
      </c>
      <c r="U105" s="87" t="s">
        <v>57</v>
      </c>
      <c r="V105" s="87" t="s">
        <v>58</v>
      </c>
      <c r="W105" s="173">
        <f t="shared" si="63"/>
        <v>0</v>
      </c>
      <c r="X105" s="173">
        <f t="shared" si="97"/>
        <v>1730041.8072024474</v>
      </c>
      <c r="Y105" s="173">
        <f t="shared" si="98"/>
        <v>0</v>
      </c>
      <c r="Z105" s="173">
        <f t="shared" si="99"/>
        <v>1796994.382529377</v>
      </c>
      <c r="AA105" s="173">
        <f t="shared" si="100"/>
        <v>0</v>
      </c>
      <c r="AB105" s="173">
        <f t="shared" si="101"/>
        <v>1831748.5131052404</v>
      </c>
      <c r="AC105" s="173">
        <f t="shared" si="102"/>
        <v>0</v>
      </c>
      <c r="AD105" s="173">
        <f t="shared" si="103"/>
        <v>1868870.2051104675</v>
      </c>
      <c r="AF105" s="87" t="s">
        <v>57</v>
      </c>
      <c r="AG105" s="87" t="s">
        <v>58</v>
      </c>
      <c r="AH105" s="173">
        <f t="shared" si="64"/>
        <v>0</v>
      </c>
      <c r="AI105" s="173">
        <f t="shared" si="65"/>
        <v>1730041.8072024474</v>
      </c>
      <c r="AJ105" s="173">
        <f t="shared" si="66"/>
        <v>0</v>
      </c>
      <c r="AK105" s="173">
        <f t="shared" si="67"/>
        <v>1789015.9038142089</v>
      </c>
      <c r="AL105" s="173">
        <f t="shared" si="68"/>
        <v>0</v>
      </c>
      <c r="AM105" s="173">
        <f t="shared" si="69"/>
        <v>1833790.3904413816</v>
      </c>
      <c r="AN105" s="173">
        <f t="shared" si="70"/>
        <v>0</v>
      </c>
      <c r="AO105" s="173">
        <f t="shared" si="71"/>
        <v>1878195.8137128775</v>
      </c>
      <c r="AQ105" s="87" t="s">
        <v>57</v>
      </c>
      <c r="AR105" s="87" t="s">
        <v>58</v>
      </c>
      <c r="AS105" s="173">
        <f t="shared" si="72"/>
        <v>0</v>
      </c>
      <c r="AT105" s="173">
        <f t="shared" si="73"/>
        <v>1730041.8072024474</v>
      </c>
      <c r="AU105" s="173">
        <f t="shared" si="74"/>
        <v>0</v>
      </c>
      <c r="AV105" s="173">
        <f t="shared" si="75"/>
        <v>1832487.0778324702</v>
      </c>
      <c r="AW105" s="173">
        <f t="shared" si="76"/>
        <v>0</v>
      </c>
      <c r="AX105" s="173">
        <f t="shared" si="77"/>
        <v>1864848.9473747413</v>
      </c>
      <c r="AY105" s="173">
        <f t="shared" si="78"/>
        <v>0</v>
      </c>
      <c r="AZ105" s="173">
        <f t="shared" si="79"/>
        <v>1899508.3623976461</v>
      </c>
      <c r="BB105" s="87" t="s">
        <v>57</v>
      </c>
      <c r="BC105" s="87" t="s">
        <v>58</v>
      </c>
      <c r="BD105" s="173">
        <f t="shared" si="80"/>
        <v>0</v>
      </c>
      <c r="BE105" s="173">
        <f t="shared" si="81"/>
        <v>1730041.8072024474</v>
      </c>
      <c r="BF105" s="173">
        <f t="shared" si="82"/>
        <v>0</v>
      </c>
      <c r="BG105" s="173">
        <f t="shared" si="83"/>
        <v>1841470.7258615026</v>
      </c>
      <c r="BH105" s="173">
        <f t="shared" si="84"/>
        <v>0</v>
      </c>
      <c r="BI105" s="173">
        <f t="shared" si="85"/>
        <v>1875395.9930769578</v>
      </c>
      <c r="BJ105" s="173">
        <f t="shared" si="86"/>
        <v>0</v>
      </c>
      <c r="BK105" s="173">
        <f t="shared" si="87"/>
        <v>1913536.4704265567</v>
      </c>
      <c r="BM105" s="87" t="s">
        <v>57</v>
      </c>
      <c r="BN105" s="87" t="s">
        <v>58</v>
      </c>
      <c r="BO105" s="173">
        <f t="shared" si="88"/>
        <v>0</v>
      </c>
      <c r="BP105" s="173">
        <f t="shared" si="89"/>
        <v>1730041.8072024474</v>
      </c>
      <c r="BQ105" s="173">
        <f t="shared" si="90"/>
        <v>0</v>
      </c>
      <c r="BR105" s="173">
        <f t="shared" si="91"/>
        <v>1833296.3468281738</v>
      </c>
      <c r="BS105" s="173">
        <f t="shared" si="92"/>
        <v>0</v>
      </c>
      <c r="BT105" s="173">
        <f t="shared" si="93"/>
        <v>1877493.6902167443</v>
      </c>
      <c r="BU105" s="173">
        <f t="shared" si="94"/>
        <v>0</v>
      </c>
      <c r="BV105" s="173">
        <f t="shared" si="95"/>
        <v>1923095.0897337333</v>
      </c>
    </row>
    <row r="106" spans="5:74">
      <c r="E106" s="87" t="s">
        <v>325</v>
      </c>
      <c r="F106" s="87" t="s">
        <v>326</v>
      </c>
      <c r="G106" s="173">
        <f>IFERROR(IF(VLOOKUP(E106,A:C,3,FALSE)="YES",VLOOKUP(E106,'School Year 2021-22 SPED coop'!A:P,16,FALSE),0),0)</f>
        <v>0</v>
      </c>
      <c r="H106" s="173">
        <f t="shared" si="96"/>
        <v>326836.08</v>
      </c>
      <c r="J106" s="87" t="s">
        <v>325</v>
      </c>
      <c r="K106" s="87" t="s">
        <v>326</v>
      </c>
      <c r="L106" s="173">
        <f t="shared" si="55"/>
        <v>0</v>
      </c>
      <c r="M106" s="173">
        <f t="shared" si="56"/>
        <v>330567.63728040882</v>
      </c>
      <c r="N106" s="173">
        <f t="shared" si="57"/>
        <v>0</v>
      </c>
      <c r="O106" s="173">
        <f t="shared" si="58"/>
        <v>341752.43057102209</v>
      </c>
      <c r="P106" s="173">
        <f t="shared" si="59"/>
        <v>0</v>
      </c>
      <c r="Q106" s="173">
        <f t="shared" si="60"/>
        <v>348077.65964871173</v>
      </c>
      <c r="R106" s="173">
        <f t="shared" si="61"/>
        <v>0</v>
      </c>
      <c r="S106" s="173">
        <f t="shared" si="62"/>
        <v>354478.39911195985</v>
      </c>
      <c r="U106" s="87" t="s">
        <v>325</v>
      </c>
      <c r="V106" s="87" t="s">
        <v>326</v>
      </c>
      <c r="W106" s="173">
        <f t="shared" si="63"/>
        <v>0</v>
      </c>
      <c r="X106" s="173">
        <f t="shared" si="97"/>
        <v>330567.63728040882</v>
      </c>
      <c r="Y106" s="173">
        <f t="shared" si="98"/>
        <v>0</v>
      </c>
      <c r="Z106" s="173">
        <f t="shared" si="99"/>
        <v>343437.94193382305</v>
      </c>
      <c r="AA106" s="173">
        <f t="shared" si="100"/>
        <v>0</v>
      </c>
      <c r="AB106" s="173">
        <f t="shared" si="101"/>
        <v>350053.96641075477</v>
      </c>
      <c r="AC106" s="173">
        <f t="shared" si="102"/>
        <v>0</v>
      </c>
      <c r="AD106" s="173">
        <f t="shared" si="103"/>
        <v>357103.82182482746</v>
      </c>
      <c r="AF106" s="87" t="s">
        <v>325</v>
      </c>
      <c r="AG106" s="87" t="s">
        <v>326</v>
      </c>
      <c r="AH106" s="173">
        <f t="shared" si="64"/>
        <v>0</v>
      </c>
      <c r="AI106" s="173">
        <f t="shared" si="65"/>
        <v>330567.63728040882</v>
      </c>
      <c r="AJ106" s="173">
        <f t="shared" si="66"/>
        <v>0</v>
      </c>
      <c r="AK106" s="173">
        <f t="shared" si="67"/>
        <v>341535.47389930463</v>
      </c>
      <c r="AL106" s="173">
        <f t="shared" si="68"/>
        <v>0</v>
      </c>
      <c r="AM106" s="173">
        <f t="shared" si="69"/>
        <v>347856.70983639138</v>
      </c>
      <c r="AN106" s="173">
        <f t="shared" si="70"/>
        <v>0</v>
      </c>
      <c r="AO106" s="173">
        <f t="shared" si="71"/>
        <v>354253.42737042368</v>
      </c>
      <c r="AQ106" s="87" t="s">
        <v>325</v>
      </c>
      <c r="AR106" s="87" t="s">
        <v>326</v>
      </c>
      <c r="AS106" s="173">
        <f t="shared" si="72"/>
        <v>0</v>
      </c>
      <c r="AT106" s="173">
        <f t="shared" si="73"/>
        <v>330567.63728040882</v>
      </c>
      <c r="AU106" s="173">
        <f t="shared" si="74"/>
        <v>0</v>
      </c>
      <c r="AV106" s="173">
        <f t="shared" si="75"/>
        <v>350164.5103442166</v>
      </c>
      <c r="AW106" s="173">
        <f t="shared" si="76"/>
        <v>0</v>
      </c>
      <c r="AX106" s="173">
        <f t="shared" si="77"/>
        <v>356307.08582903462</v>
      </c>
      <c r="AY106" s="173">
        <f t="shared" si="78"/>
        <v>0</v>
      </c>
      <c r="AZ106" s="173">
        <f t="shared" si="79"/>
        <v>362885.69884706603</v>
      </c>
      <c r="BB106" s="87" t="s">
        <v>325</v>
      </c>
      <c r="BC106" s="87" t="s">
        <v>326</v>
      </c>
      <c r="BD106" s="173">
        <f t="shared" si="80"/>
        <v>0</v>
      </c>
      <c r="BE106" s="173">
        <f t="shared" si="81"/>
        <v>330567.63728040882</v>
      </c>
      <c r="BF106" s="173">
        <f t="shared" si="82"/>
        <v>0</v>
      </c>
      <c r="BG106" s="173">
        <f t="shared" si="83"/>
        <v>351891.5150754053</v>
      </c>
      <c r="BH106" s="173">
        <f t="shared" si="84"/>
        <v>0</v>
      </c>
      <c r="BI106" s="173">
        <f t="shared" si="85"/>
        <v>358330.12176695734</v>
      </c>
      <c r="BJ106" s="173">
        <f t="shared" si="86"/>
        <v>0</v>
      </c>
      <c r="BK106" s="173">
        <f t="shared" si="87"/>
        <v>365573.393213387</v>
      </c>
      <c r="BM106" s="87" t="s">
        <v>325</v>
      </c>
      <c r="BN106" s="87" t="s">
        <v>326</v>
      </c>
      <c r="BO106" s="173">
        <f t="shared" si="88"/>
        <v>0</v>
      </c>
      <c r="BP106" s="173">
        <f t="shared" si="89"/>
        <v>330567.63728040882</v>
      </c>
      <c r="BQ106" s="173">
        <f t="shared" si="90"/>
        <v>0</v>
      </c>
      <c r="BR106" s="173">
        <f t="shared" si="91"/>
        <v>349942.13015589485</v>
      </c>
      <c r="BS106" s="173">
        <f t="shared" si="92"/>
        <v>0</v>
      </c>
      <c r="BT106" s="173">
        <f t="shared" si="93"/>
        <v>356080.84345324407</v>
      </c>
      <c r="BU106" s="173">
        <f t="shared" si="94"/>
        <v>0</v>
      </c>
      <c r="BV106" s="173">
        <f t="shared" si="95"/>
        <v>362655.32006849616</v>
      </c>
    </row>
    <row r="107" spans="5:74">
      <c r="E107" s="87" t="s">
        <v>143</v>
      </c>
      <c r="F107" s="87" t="s">
        <v>144</v>
      </c>
      <c r="G107" s="173">
        <f>IFERROR(IF(VLOOKUP(E107,A:C,3,FALSE)="YES",VLOOKUP(E107,'School Year 2021-22 SPED coop'!A:P,16,FALSE),0),0)</f>
        <v>0</v>
      </c>
      <c r="H107" s="173">
        <f t="shared" si="96"/>
        <v>1924370.42</v>
      </c>
      <c r="J107" s="87" t="s">
        <v>143</v>
      </c>
      <c r="K107" s="87" t="s">
        <v>144</v>
      </c>
      <c r="L107" s="173">
        <f t="shared" si="55"/>
        <v>0</v>
      </c>
      <c r="M107" s="173">
        <f t="shared" si="56"/>
        <v>1946280.1728292361</v>
      </c>
      <c r="N107" s="173">
        <f t="shared" si="57"/>
        <v>0</v>
      </c>
      <c r="O107" s="173">
        <f t="shared" si="58"/>
        <v>2012234.7128668004</v>
      </c>
      <c r="P107" s="173">
        <f t="shared" si="59"/>
        <v>0</v>
      </c>
      <c r="Q107" s="173">
        <f t="shared" si="60"/>
        <v>2049509.4495487788</v>
      </c>
      <c r="R107" s="173">
        <f t="shared" si="61"/>
        <v>0</v>
      </c>
      <c r="S107" s="173">
        <f t="shared" si="62"/>
        <v>2087255.2213821486</v>
      </c>
      <c r="U107" s="87" t="s">
        <v>143</v>
      </c>
      <c r="V107" s="87" t="s">
        <v>144</v>
      </c>
      <c r="W107" s="173">
        <f t="shared" si="63"/>
        <v>0</v>
      </c>
      <c r="X107" s="173">
        <f t="shared" si="97"/>
        <v>1946280.1728292361</v>
      </c>
      <c r="Y107" s="173">
        <f t="shared" si="98"/>
        <v>0</v>
      </c>
      <c r="Z107" s="173">
        <f t="shared" si="99"/>
        <v>2022095.5955251954</v>
      </c>
      <c r="AA107" s="173">
        <f t="shared" si="100"/>
        <v>0</v>
      </c>
      <c r="AB107" s="173">
        <f t="shared" si="101"/>
        <v>2061094.3545786645</v>
      </c>
      <c r="AC107" s="173">
        <f t="shared" si="102"/>
        <v>0</v>
      </c>
      <c r="AD107" s="173">
        <f t="shared" si="103"/>
        <v>2102680.5237510866</v>
      </c>
      <c r="AF107" s="87" t="s">
        <v>143</v>
      </c>
      <c r="AG107" s="87" t="s">
        <v>144</v>
      </c>
      <c r="AH107" s="173">
        <f t="shared" si="64"/>
        <v>0</v>
      </c>
      <c r="AI107" s="173">
        <f t="shared" si="65"/>
        <v>1946280.1728292361</v>
      </c>
      <c r="AJ107" s="173">
        <f t="shared" si="66"/>
        <v>0</v>
      </c>
      <c r="AK107" s="173">
        <f t="shared" si="67"/>
        <v>2019377.52090645</v>
      </c>
      <c r="AL107" s="173">
        <f t="shared" si="68"/>
        <v>0</v>
      </c>
      <c r="AM107" s="173">
        <f t="shared" si="69"/>
        <v>2053986.5112649621</v>
      </c>
      <c r="AN107" s="173">
        <f t="shared" si="70"/>
        <v>0</v>
      </c>
      <c r="AO107" s="173">
        <f t="shared" si="71"/>
        <v>2094342.4731085121</v>
      </c>
      <c r="AQ107" s="87" t="s">
        <v>143</v>
      </c>
      <c r="AR107" s="87" t="s">
        <v>144</v>
      </c>
      <c r="AS107" s="173">
        <f t="shared" si="72"/>
        <v>0</v>
      </c>
      <c r="AT107" s="173">
        <f t="shared" si="73"/>
        <v>1946280.1728292361</v>
      </c>
      <c r="AU107" s="173">
        <f t="shared" si="74"/>
        <v>0</v>
      </c>
      <c r="AV107" s="173">
        <f t="shared" si="75"/>
        <v>2061763.9334792078</v>
      </c>
      <c r="AW107" s="173">
        <f t="shared" si="76"/>
        <v>0</v>
      </c>
      <c r="AX107" s="173">
        <f t="shared" si="77"/>
        <v>2097985.870837749</v>
      </c>
      <c r="AY107" s="173">
        <f t="shared" si="78"/>
        <v>0</v>
      </c>
      <c r="AZ107" s="173">
        <f t="shared" si="79"/>
        <v>2136779.4278802969</v>
      </c>
      <c r="BB107" s="87" t="s">
        <v>143</v>
      </c>
      <c r="BC107" s="87" t="s">
        <v>144</v>
      </c>
      <c r="BD107" s="173">
        <f t="shared" si="80"/>
        <v>0</v>
      </c>
      <c r="BE107" s="173">
        <f t="shared" si="81"/>
        <v>1946280.1728292361</v>
      </c>
      <c r="BF107" s="173">
        <f t="shared" si="82"/>
        <v>0</v>
      </c>
      <c r="BG107" s="173">
        <f t="shared" si="83"/>
        <v>2071867.529680067</v>
      </c>
      <c r="BH107" s="173">
        <f t="shared" si="84"/>
        <v>0</v>
      </c>
      <c r="BI107" s="173">
        <f t="shared" si="85"/>
        <v>2109844.7906240826</v>
      </c>
      <c r="BJ107" s="173">
        <f t="shared" si="86"/>
        <v>0</v>
      </c>
      <c r="BK107" s="173">
        <f t="shared" si="87"/>
        <v>2152570.7296964736</v>
      </c>
      <c r="BM107" s="87" t="s">
        <v>143</v>
      </c>
      <c r="BN107" s="87" t="s">
        <v>144</v>
      </c>
      <c r="BO107" s="173">
        <f t="shared" si="88"/>
        <v>0</v>
      </c>
      <c r="BP107" s="173">
        <f t="shared" si="89"/>
        <v>1946280.1728292361</v>
      </c>
      <c r="BQ107" s="173">
        <f t="shared" si="90"/>
        <v>0</v>
      </c>
      <c r="BR107" s="173">
        <f t="shared" si="91"/>
        <v>2069086.046244124</v>
      </c>
      <c r="BS107" s="173">
        <f t="shared" si="92"/>
        <v>0</v>
      </c>
      <c r="BT107" s="173">
        <f t="shared" si="93"/>
        <v>2102571.5116488775</v>
      </c>
      <c r="BU107" s="173">
        <f t="shared" si="94"/>
        <v>0</v>
      </c>
      <c r="BV107" s="173">
        <f t="shared" si="95"/>
        <v>2144038.1055308459</v>
      </c>
    </row>
    <row r="108" spans="5:74">
      <c r="E108" s="87" t="s">
        <v>1315</v>
      </c>
      <c r="F108" s="87" t="s">
        <v>1316</v>
      </c>
      <c r="G108" s="173">
        <f>IFERROR(IF(VLOOKUP(E108,A:C,3,FALSE)="YES",VLOOKUP(E108,'School Year 2021-22 SPED coop'!A:P,16,FALSE),0),0)</f>
        <v>0</v>
      </c>
      <c r="H108" s="173">
        <f t="shared" si="96"/>
        <v>28145.03</v>
      </c>
      <c r="J108" s="87" t="s">
        <v>1315</v>
      </c>
      <c r="K108" s="87" t="s">
        <v>1316</v>
      </c>
      <c r="L108" s="173">
        <f t="shared" si="55"/>
        <v>0</v>
      </c>
      <c r="M108" s="173">
        <f t="shared" si="56"/>
        <v>28920.383798683935</v>
      </c>
      <c r="N108" s="173">
        <f t="shared" si="57"/>
        <v>0</v>
      </c>
      <c r="O108" s="173">
        <f t="shared" si="58"/>
        <v>29874.526046923522</v>
      </c>
      <c r="P108" s="173">
        <f t="shared" si="59"/>
        <v>0</v>
      </c>
      <c r="Q108" s="173">
        <f t="shared" si="60"/>
        <v>30430.351098049043</v>
      </c>
      <c r="R108" s="173">
        <f t="shared" si="61"/>
        <v>0</v>
      </c>
      <c r="S108" s="173">
        <f t="shared" si="62"/>
        <v>30995.373912891886</v>
      </c>
      <c r="U108" s="87" t="s">
        <v>1315</v>
      </c>
      <c r="V108" s="87" t="s">
        <v>1316</v>
      </c>
      <c r="W108" s="173">
        <f t="shared" si="63"/>
        <v>0</v>
      </c>
      <c r="X108" s="173">
        <f t="shared" si="97"/>
        <v>28920.383798683935</v>
      </c>
      <c r="Y108" s="173">
        <f t="shared" si="98"/>
        <v>0</v>
      </c>
      <c r="Z108" s="173">
        <f t="shared" si="99"/>
        <v>30020.99748937503</v>
      </c>
      <c r="AA108" s="173">
        <f t="shared" si="100"/>
        <v>0</v>
      </c>
      <c r="AB108" s="173">
        <f t="shared" si="101"/>
        <v>30602.342671460217</v>
      </c>
      <c r="AC108" s="173">
        <f t="shared" si="102"/>
        <v>0</v>
      </c>
      <c r="AD108" s="173">
        <f t="shared" si="103"/>
        <v>31224.312013251631</v>
      </c>
      <c r="AF108" s="87" t="s">
        <v>1315</v>
      </c>
      <c r="AG108" s="87" t="s">
        <v>1316</v>
      </c>
      <c r="AH108" s="173">
        <f t="shared" si="64"/>
        <v>0</v>
      </c>
      <c r="AI108" s="173">
        <f t="shared" si="65"/>
        <v>28920.383798683935</v>
      </c>
      <c r="AJ108" s="173">
        <f t="shared" si="66"/>
        <v>0</v>
      </c>
      <c r="AK108" s="173">
        <f t="shared" si="67"/>
        <v>29874.526046923522</v>
      </c>
      <c r="AL108" s="173">
        <f t="shared" si="68"/>
        <v>0</v>
      </c>
      <c r="AM108" s="173">
        <f t="shared" si="69"/>
        <v>30430.351098049046</v>
      </c>
      <c r="AN108" s="173">
        <f t="shared" si="70"/>
        <v>0</v>
      </c>
      <c r="AO108" s="173">
        <f t="shared" si="71"/>
        <v>29693.133957574399</v>
      </c>
      <c r="AQ108" s="87" t="s">
        <v>1315</v>
      </c>
      <c r="AR108" s="87" t="s">
        <v>1316</v>
      </c>
      <c r="AS108" s="173">
        <f t="shared" si="72"/>
        <v>0</v>
      </c>
      <c r="AT108" s="173">
        <f t="shared" si="73"/>
        <v>28920.383798683935</v>
      </c>
      <c r="AU108" s="173">
        <f t="shared" si="74"/>
        <v>0</v>
      </c>
      <c r="AV108" s="173">
        <f t="shared" si="75"/>
        <v>30619.794185310271</v>
      </c>
      <c r="AW108" s="173">
        <f t="shared" si="76"/>
        <v>0</v>
      </c>
      <c r="AX108" s="173">
        <f t="shared" si="77"/>
        <v>31162.093655951376</v>
      </c>
      <c r="AY108" s="173">
        <f t="shared" si="78"/>
        <v>0</v>
      </c>
      <c r="AZ108" s="173">
        <f t="shared" si="79"/>
        <v>31742.890526687883</v>
      </c>
      <c r="BB108" s="87" t="s">
        <v>1315</v>
      </c>
      <c r="BC108" s="87" t="s">
        <v>1316</v>
      </c>
      <c r="BD108" s="173">
        <f t="shared" si="80"/>
        <v>0</v>
      </c>
      <c r="BE108" s="173">
        <f t="shared" si="81"/>
        <v>28920.383798683935</v>
      </c>
      <c r="BF108" s="173">
        <f t="shared" si="82"/>
        <v>0</v>
      </c>
      <c r="BG108" s="173">
        <f t="shared" si="83"/>
        <v>30769.919593654697</v>
      </c>
      <c r="BH108" s="173">
        <f t="shared" si="84"/>
        <v>0</v>
      </c>
      <c r="BI108" s="173">
        <f t="shared" si="85"/>
        <v>31338.221019760105</v>
      </c>
      <c r="BJ108" s="173">
        <f t="shared" si="86"/>
        <v>0</v>
      </c>
      <c r="BK108" s="173">
        <f t="shared" si="87"/>
        <v>31977.349935938139</v>
      </c>
      <c r="BM108" s="87" t="s">
        <v>1315</v>
      </c>
      <c r="BN108" s="87" t="s">
        <v>1316</v>
      </c>
      <c r="BO108" s="173">
        <f t="shared" si="88"/>
        <v>0</v>
      </c>
      <c r="BP108" s="173">
        <f t="shared" si="89"/>
        <v>28920.383798683935</v>
      </c>
      <c r="BQ108" s="173">
        <f t="shared" si="90"/>
        <v>0</v>
      </c>
      <c r="BR108" s="173">
        <f t="shared" si="91"/>
        <v>30619.794185310271</v>
      </c>
      <c r="BS108" s="173">
        <f t="shared" si="92"/>
        <v>0</v>
      </c>
      <c r="BT108" s="173">
        <f t="shared" si="93"/>
        <v>31162.093655951376</v>
      </c>
      <c r="BU108" s="173">
        <f t="shared" si="94"/>
        <v>0</v>
      </c>
      <c r="BV108" s="173">
        <f t="shared" si="95"/>
        <v>30408.777482395159</v>
      </c>
    </row>
    <row r="109" spans="5:74">
      <c r="E109" s="92" t="s">
        <v>1230</v>
      </c>
      <c r="F109" s="92" t="s">
        <v>1231</v>
      </c>
      <c r="G109" s="173">
        <f>IFERROR(IF(VLOOKUP(E109,A:C,3,FALSE)="YES",VLOOKUP(E109,'School Year 2021-22 SPED coop'!A:P,16,FALSE),0),0)</f>
        <v>0</v>
      </c>
      <c r="H109" s="173">
        <f t="shared" si="96"/>
        <v>101522.98</v>
      </c>
      <c r="J109" s="92" t="s">
        <v>1230</v>
      </c>
      <c r="K109" s="92" t="s">
        <v>1231</v>
      </c>
      <c r="L109" s="173">
        <f t="shared" si="55"/>
        <v>0</v>
      </c>
      <c r="M109" s="173">
        <f t="shared" si="56"/>
        <v>102749.24875892818</v>
      </c>
      <c r="N109" s="173">
        <f t="shared" si="57"/>
        <v>0</v>
      </c>
      <c r="O109" s="173">
        <f t="shared" si="58"/>
        <v>106118.03501935626</v>
      </c>
      <c r="P109" s="173">
        <f t="shared" si="59"/>
        <v>0</v>
      </c>
      <c r="Q109" s="173">
        <f t="shared" si="60"/>
        <v>108097.58740961067</v>
      </c>
      <c r="R109" s="173">
        <f t="shared" si="61"/>
        <v>0</v>
      </c>
      <c r="S109" s="173">
        <f t="shared" si="62"/>
        <v>110114.43866378453</v>
      </c>
      <c r="U109" s="92" t="s">
        <v>1230</v>
      </c>
      <c r="V109" s="92" t="s">
        <v>1231</v>
      </c>
      <c r="W109" s="173">
        <f t="shared" si="63"/>
        <v>0</v>
      </c>
      <c r="X109" s="173">
        <f t="shared" si="97"/>
        <v>102749.24875892818</v>
      </c>
      <c r="Y109" s="173">
        <f t="shared" si="98"/>
        <v>0</v>
      </c>
      <c r="Z109" s="173">
        <f t="shared" si="99"/>
        <v>106638.3198143348</v>
      </c>
      <c r="AA109" s="173">
        <f t="shared" si="100"/>
        <v>0</v>
      </c>
      <c r="AB109" s="173">
        <f t="shared" si="101"/>
        <v>108708.55223484806</v>
      </c>
      <c r="AC109" s="173">
        <f t="shared" si="102"/>
        <v>0</v>
      </c>
      <c r="AD109" s="173">
        <f t="shared" si="103"/>
        <v>110927.76617777784</v>
      </c>
      <c r="AF109" s="92" t="s">
        <v>1230</v>
      </c>
      <c r="AG109" s="92" t="s">
        <v>1231</v>
      </c>
      <c r="AH109" s="173">
        <f t="shared" si="64"/>
        <v>0</v>
      </c>
      <c r="AI109" s="173">
        <f t="shared" si="65"/>
        <v>102749.24875892818</v>
      </c>
      <c r="AJ109" s="173">
        <f t="shared" si="66"/>
        <v>0</v>
      </c>
      <c r="AK109" s="173">
        <f t="shared" si="67"/>
        <v>106118.03501935626</v>
      </c>
      <c r="AL109" s="173">
        <f t="shared" si="68"/>
        <v>0</v>
      </c>
      <c r="AM109" s="173">
        <f t="shared" si="69"/>
        <v>108097.58740961067</v>
      </c>
      <c r="AN109" s="173">
        <f t="shared" si="70"/>
        <v>0</v>
      </c>
      <c r="AO109" s="173">
        <f t="shared" si="71"/>
        <v>105461.00303495296</v>
      </c>
      <c r="AQ109" s="92" t="s">
        <v>1230</v>
      </c>
      <c r="AR109" s="92" t="s">
        <v>1231</v>
      </c>
      <c r="AS109" s="173">
        <f t="shared" si="72"/>
        <v>0</v>
      </c>
      <c r="AT109" s="173">
        <f t="shared" si="73"/>
        <v>102749.24875892818</v>
      </c>
      <c r="AU109" s="173">
        <f t="shared" si="74"/>
        <v>0</v>
      </c>
      <c r="AV109" s="173">
        <f t="shared" si="75"/>
        <v>108778.14380401419</v>
      </c>
      <c r="AW109" s="173">
        <f t="shared" si="76"/>
        <v>0</v>
      </c>
      <c r="AX109" s="173">
        <f t="shared" si="77"/>
        <v>110713.90852899017</v>
      </c>
      <c r="AY109" s="173">
        <f t="shared" si="78"/>
        <v>0</v>
      </c>
      <c r="AZ109" s="173">
        <f t="shared" si="79"/>
        <v>112787.09255061316</v>
      </c>
      <c r="BB109" s="92" t="s">
        <v>1230</v>
      </c>
      <c r="BC109" s="92" t="s">
        <v>1231</v>
      </c>
      <c r="BD109" s="173">
        <f t="shared" si="80"/>
        <v>0</v>
      </c>
      <c r="BE109" s="173">
        <f t="shared" si="81"/>
        <v>102749.24875892818</v>
      </c>
      <c r="BF109" s="173">
        <f t="shared" si="82"/>
        <v>0</v>
      </c>
      <c r="BG109" s="173">
        <f t="shared" si="83"/>
        <v>109311.4708132911</v>
      </c>
      <c r="BH109" s="173">
        <f t="shared" si="84"/>
        <v>0</v>
      </c>
      <c r="BI109" s="173">
        <f t="shared" si="85"/>
        <v>111339.66073490615</v>
      </c>
      <c r="BJ109" s="173">
        <f t="shared" si="86"/>
        <v>0</v>
      </c>
      <c r="BK109" s="173">
        <f t="shared" si="87"/>
        <v>113620.16082674376</v>
      </c>
      <c r="BM109" s="92" t="s">
        <v>1230</v>
      </c>
      <c r="BN109" s="92" t="s">
        <v>1231</v>
      </c>
      <c r="BO109" s="173">
        <f t="shared" si="88"/>
        <v>0</v>
      </c>
      <c r="BP109" s="173">
        <f t="shared" si="89"/>
        <v>102749.24875892818</v>
      </c>
      <c r="BQ109" s="173">
        <f t="shared" si="90"/>
        <v>0</v>
      </c>
      <c r="BR109" s="173">
        <f t="shared" si="91"/>
        <v>108778.14380401419</v>
      </c>
      <c r="BS109" s="173">
        <f t="shared" si="92"/>
        <v>0</v>
      </c>
      <c r="BT109" s="173">
        <f t="shared" si="93"/>
        <v>110713.90852899017</v>
      </c>
      <c r="BU109" s="173">
        <f t="shared" si="94"/>
        <v>0</v>
      </c>
      <c r="BV109" s="173">
        <f t="shared" si="95"/>
        <v>108018.94854974013</v>
      </c>
    </row>
    <row r="110" spans="5:74">
      <c r="E110" s="87" t="s">
        <v>1032</v>
      </c>
      <c r="F110" s="87" t="s">
        <v>1042</v>
      </c>
      <c r="G110" s="173">
        <f>IFERROR(IF(VLOOKUP(E110,A:C,3,FALSE)="YES",VLOOKUP(E110,'School Year 2021-22 SPED coop'!A:P,16,FALSE),0),0)</f>
        <v>0</v>
      </c>
      <c r="H110" s="173">
        <f t="shared" si="96"/>
        <v>269798.23</v>
      </c>
      <c r="J110" s="87" t="s">
        <v>1032</v>
      </c>
      <c r="K110" s="87" t="s">
        <v>1042</v>
      </c>
      <c r="L110" s="173">
        <f t="shared" si="55"/>
        <v>0</v>
      </c>
      <c r="M110" s="173">
        <f t="shared" si="56"/>
        <v>273094.09519344935</v>
      </c>
      <c r="N110" s="173">
        <f t="shared" si="57"/>
        <v>0</v>
      </c>
      <c r="O110" s="173">
        <f t="shared" si="58"/>
        <v>282065.42238769704</v>
      </c>
      <c r="P110" s="173">
        <f t="shared" si="59"/>
        <v>0</v>
      </c>
      <c r="Q110" s="173">
        <f t="shared" si="60"/>
        <v>287327.49382396368</v>
      </c>
      <c r="R110" s="173">
        <f t="shared" si="61"/>
        <v>0</v>
      </c>
      <c r="S110" s="173">
        <f t="shared" si="62"/>
        <v>292689.05661900801</v>
      </c>
      <c r="U110" s="87" t="s">
        <v>1032</v>
      </c>
      <c r="V110" s="87" t="s">
        <v>1042</v>
      </c>
      <c r="W110" s="173">
        <f t="shared" si="63"/>
        <v>0</v>
      </c>
      <c r="X110" s="173">
        <f t="shared" si="97"/>
        <v>273094.09519344935</v>
      </c>
      <c r="Y110" s="173">
        <f t="shared" si="98"/>
        <v>0</v>
      </c>
      <c r="Z110" s="173">
        <f t="shared" si="99"/>
        <v>283448.66877323936</v>
      </c>
      <c r="AA110" s="173">
        <f t="shared" si="100"/>
        <v>0</v>
      </c>
      <c r="AB110" s="173">
        <f t="shared" si="101"/>
        <v>288950.42096588539</v>
      </c>
      <c r="AC110" s="173">
        <f t="shared" si="102"/>
        <v>0</v>
      </c>
      <c r="AD110" s="173">
        <f t="shared" si="103"/>
        <v>294848.47060371278</v>
      </c>
      <c r="AF110" s="87" t="s">
        <v>1032</v>
      </c>
      <c r="AG110" s="87" t="s">
        <v>1042</v>
      </c>
      <c r="AH110" s="173">
        <f t="shared" si="64"/>
        <v>0</v>
      </c>
      <c r="AI110" s="173">
        <f t="shared" si="65"/>
        <v>273094.09519344935</v>
      </c>
      <c r="AJ110" s="173">
        <f t="shared" si="66"/>
        <v>0</v>
      </c>
      <c r="AK110" s="173">
        <f t="shared" si="67"/>
        <v>269843.85489987989</v>
      </c>
      <c r="AL110" s="173">
        <f t="shared" si="68"/>
        <v>0</v>
      </c>
      <c r="AM110" s="173">
        <f t="shared" si="69"/>
        <v>272419.86203924374</v>
      </c>
      <c r="AN110" s="173">
        <f t="shared" si="70"/>
        <v>0</v>
      </c>
      <c r="AO110" s="173">
        <f t="shared" si="71"/>
        <v>280003.73420262814</v>
      </c>
      <c r="AQ110" s="87" t="s">
        <v>1032</v>
      </c>
      <c r="AR110" s="87" t="s">
        <v>1042</v>
      </c>
      <c r="AS110" s="173">
        <f t="shared" si="72"/>
        <v>0</v>
      </c>
      <c r="AT110" s="173">
        <f t="shared" si="73"/>
        <v>273094.09519344935</v>
      </c>
      <c r="AU110" s="173">
        <f t="shared" si="74"/>
        <v>0</v>
      </c>
      <c r="AV110" s="173">
        <f t="shared" si="75"/>
        <v>289132.45203570172</v>
      </c>
      <c r="AW110" s="173">
        <f t="shared" si="76"/>
        <v>0</v>
      </c>
      <c r="AX110" s="173">
        <f t="shared" si="77"/>
        <v>294278.37167336565</v>
      </c>
      <c r="AY110" s="173">
        <f t="shared" si="78"/>
        <v>0</v>
      </c>
      <c r="AZ110" s="173">
        <f t="shared" si="79"/>
        <v>299789.5967723261</v>
      </c>
      <c r="BB110" s="87" t="s">
        <v>1032</v>
      </c>
      <c r="BC110" s="87" t="s">
        <v>1042</v>
      </c>
      <c r="BD110" s="173">
        <f t="shared" si="80"/>
        <v>0</v>
      </c>
      <c r="BE110" s="173">
        <f t="shared" si="81"/>
        <v>273094.09519344935</v>
      </c>
      <c r="BF110" s="173">
        <f t="shared" si="82"/>
        <v>0</v>
      </c>
      <c r="BG110" s="173">
        <f t="shared" si="83"/>
        <v>290550.35523915035</v>
      </c>
      <c r="BH110" s="173">
        <f t="shared" si="84"/>
        <v>0</v>
      </c>
      <c r="BI110" s="173">
        <f t="shared" si="85"/>
        <v>295940.55929121742</v>
      </c>
      <c r="BJ110" s="173">
        <f t="shared" si="86"/>
        <v>0</v>
      </c>
      <c r="BK110" s="173">
        <f t="shared" si="87"/>
        <v>302001.39616340998</v>
      </c>
      <c r="BM110" s="87" t="s">
        <v>1032</v>
      </c>
      <c r="BN110" s="87" t="s">
        <v>1042</v>
      </c>
      <c r="BO110" s="173">
        <f t="shared" si="88"/>
        <v>0</v>
      </c>
      <c r="BP110" s="173">
        <f t="shared" si="89"/>
        <v>273094.09519344935</v>
      </c>
      <c r="BQ110" s="173">
        <f t="shared" si="90"/>
        <v>0</v>
      </c>
      <c r="BR110" s="173">
        <f t="shared" si="91"/>
        <v>276599.52796401409</v>
      </c>
      <c r="BS110" s="173">
        <f t="shared" si="92"/>
        <v>0</v>
      </c>
      <c r="BT110" s="173">
        <f t="shared" si="93"/>
        <v>279004.32269199472</v>
      </c>
      <c r="BU110" s="173">
        <f t="shared" si="94"/>
        <v>0</v>
      </c>
      <c r="BV110" s="173">
        <f t="shared" si="95"/>
        <v>286791.57761701109</v>
      </c>
    </row>
    <row r="111" spans="5:74">
      <c r="E111" s="87" t="s">
        <v>107</v>
      </c>
      <c r="F111" s="87" t="s">
        <v>108</v>
      </c>
      <c r="G111" s="173">
        <f>IFERROR(IF(VLOOKUP(E111,A:C,3,FALSE)="YES",VLOOKUP(E111,'School Year 2021-22 SPED coop'!A:P,16,FALSE),0),0)</f>
        <v>0</v>
      </c>
      <c r="H111" s="173">
        <f t="shared" si="96"/>
        <v>212551.97999999998</v>
      </c>
      <c r="J111" s="87" t="s">
        <v>107</v>
      </c>
      <c r="K111" s="87" t="s">
        <v>108</v>
      </c>
      <c r="L111" s="173">
        <f t="shared" si="55"/>
        <v>0</v>
      </c>
      <c r="M111" s="173">
        <f t="shared" si="56"/>
        <v>214940.78815853238</v>
      </c>
      <c r="N111" s="173">
        <f t="shared" si="57"/>
        <v>0</v>
      </c>
      <c r="O111" s="173">
        <f t="shared" si="58"/>
        <v>222223.30943455166</v>
      </c>
      <c r="P111" s="173">
        <f t="shared" si="59"/>
        <v>0</v>
      </c>
      <c r="Q111" s="173">
        <f t="shared" si="60"/>
        <v>226339.11321265972</v>
      </c>
      <c r="R111" s="173">
        <f t="shared" si="61"/>
        <v>0</v>
      </c>
      <c r="S111" s="173">
        <f t="shared" si="62"/>
        <v>230506.38011294563</v>
      </c>
      <c r="U111" s="87" t="s">
        <v>107</v>
      </c>
      <c r="V111" s="87" t="s">
        <v>108</v>
      </c>
      <c r="W111" s="173">
        <f t="shared" si="63"/>
        <v>0</v>
      </c>
      <c r="X111" s="173">
        <f t="shared" si="97"/>
        <v>214940.78815853238</v>
      </c>
      <c r="Y111" s="173">
        <f t="shared" si="98"/>
        <v>0</v>
      </c>
      <c r="Z111" s="173">
        <f t="shared" si="99"/>
        <v>223319.47294244863</v>
      </c>
      <c r="AA111" s="173">
        <f t="shared" si="100"/>
        <v>0</v>
      </c>
      <c r="AB111" s="173">
        <f t="shared" si="101"/>
        <v>227616.63843000273</v>
      </c>
      <c r="AC111" s="173">
        <f t="shared" si="102"/>
        <v>0</v>
      </c>
      <c r="AD111" s="173">
        <f t="shared" si="103"/>
        <v>232218.39409244142</v>
      </c>
      <c r="AF111" s="87" t="s">
        <v>107</v>
      </c>
      <c r="AG111" s="87" t="s">
        <v>108</v>
      </c>
      <c r="AH111" s="173">
        <f t="shared" si="64"/>
        <v>0</v>
      </c>
      <c r="AI111" s="173">
        <f t="shared" si="65"/>
        <v>214940.78815853238</v>
      </c>
      <c r="AJ111" s="173">
        <f t="shared" si="66"/>
        <v>0</v>
      </c>
      <c r="AK111" s="173">
        <f t="shared" si="67"/>
        <v>222052.13557798928</v>
      </c>
      <c r="AL111" s="173">
        <f t="shared" si="68"/>
        <v>0</v>
      </c>
      <c r="AM111" s="173">
        <f t="shared" si="69"/>
        <v>226164.98981765821</v>
      </c>
      <c r="AN111" s="173">
        <f t="shared" si="70"/>
        <v>0</v>
      </c>
      <c r="AO111" s="173">
        <f t="shared" si="71"/>
        <v>230329.44984600798</v>
      </c>
      <c r="AQ111" s="87" t="s">
        <v>107</v>
      </c>
      <c r="AR111" s="87" t="s">
        <v>108</v>
      </c>
      <c r="AS111" s="173">
        <f t="shared" si="72"/>
        <v>0</v>
      </c>
      <c r="AT111" s="173">
        <f t="shared" si="73"/>
        <v>214940.78815853238</v>
      </c>
      <c r="AU111" s="173">
        <f t="shared" si="74"/>
        <v>0</v>
      </c>
      <c r="AV111" s="173">
        <f t="shared" si="75"/>
        <v>227692.98119822182</v>
      </c>
      <c r="AW111" s="173">
        <f t="shared" si="76"/>
        <v>0</v>
      </c>
      <c r="AX111" s="173">
        <f t="shared" si="77"/>
        <v>231692.03825073937</v>
      </c>
      <c r="AY111" s="173">
        <f t="shared" si="78"/>
        <v>0</v>
      </c>
      <c r="AZ111" s="173">
        <f t="shared" si="79"/>
        <v>235975.00494467828</v>
      </c>
      <c r="BB111" s="87" t="s">
        <v>107</v>
      </c>
      <c r="BC111" s="87" t="s">
        <v>108</v>
      </c>
      <c r="BD111" s="173">
        <f t="shared" si="80"/>
        <v>0</v>
      </c>
      <c r="BE111" s="173">
        <f t="shared" si="81"/>
        <v>214940.78815853238</v>
      </c>
      <c r="BF111" s="173">
        <f t="shared" si="82"/>
        <v>0</v>
      </c>
      <c r="BG111" s="173">
        <f t="shared" si="83"/>
        <v>228816.12854671749</v>
      </c>
      <c r="BH111" s="173">
        <f t="shared" si="84"/>
        <v>0</v>
      </c>
      <c r="BI111" s="173">
        <f t="shared" si="85"/>
        <v>232999.77614054648</v>
      </c>
      <c r="BJ111" s="173">
        <f t="shared" si="86"/>
        <v>0</v>
      </c>
      <c r="BK111" s="173">
        <f t="shared" si="87"/>
        <v>237727.63996503712</v>
      </c>
      <c r="BM111" s="87" t="s">
        <v>107</v>
      </c>
      <c r="BN111" s="87" t="s">
        <v>108</v>
      </c>
      <c r="BO111" s="173">
        <f t="shared" si="88"/>
        <v>0</v>
      </c>
      <c r="BP111" s="173">
        <f t="shared" si="89"/>
        <v>214940.78815853238</v>
      </c>
      <c r="BQ111" s="173">
        <f t="shared" si="90"/>
        <v>0</v>
      </c>
      <c r="BR111" s="173">
        <f t="shared" si="91"/>
        <v>227517.70419112151</v>
      </c>
      <c r="BS111" s="173">
        <f t="shared" si="92"/>
        <v>0</v>
      </c>
      <c r="BT111" s="173">
        <f t="shared" si="93"/>
        <v>231514.05996914514</v>
      </c>
      <c r="BU111" s="173">
        <f t="shared" si="94"/>
        <v>0</v>
      </c>
      <c r="BV111" s="173">
        <f t="shared" si="95"/>
        <v>235794.13657478424</v>
      </c>
    </row>
    <row r="112" spans="5:74">
      <c r="E112" s="87" t="s">
        <v>435</v>
      </c>
      <c r="F112" s="87" t="s">
        <v>436</v>
      </c>
      <c r="G112" s="173">
        <f>IFERROR(IF(VLOOKUP(E112,A:C,3,FALSE)="YES",VLOOKUP(E112,'School Year 2021-22 SPED coop'!A:P,16,FALSE),0),0)</f>
        <v>0</v>
      </c>
      <c r="H112" s="173">
        <f t="shared" si="96"/>
        <v>33718.880000000005</v>
      </c>
      <c r="J112" s="87" t="s">
        <v>435</v>
      </c>
      <c r="K112" s="87" t="s">
        <v>436</v>
      </c>
      <c r="L112" s="173">
        <f t="shared" si="55"/>
        <v>0</v>
      </c>
      <c r="M112" s="173">
        <f t="shared" si="56"/>
        <v>34133.292587697448</v>
      </c>
      <c r="N112" s="173">
        <f t="shared" si="57"/>
        <v>0</v>
      </c>
      <c r="O112" s="173">
        <f t="shared" si="58"/>
        <v>35264.534105023282</v>
      </c>
      <c r="P112" s="173">
        <f t="shared" si="59"/>
        <v>0</v>
      </c>
      <c r="Q112" s="173">
        <f t="shared" si="60"/>
        <v>35920.777019003785</v>
      </c>
      <c r="R112" s="173">
        <f t="shared" si="61"/>
        <v>0</v>
      </c>
      <c r="S112" s="173">
        <f t="shared" si="62"/>
        <v>36588.002135321294</v>
      </c>
      <c r="U112" s="87" t="s">
        <v>435</v>
      </c>
      <c r="V112" s="87" t="s">
        <v>436</v>
      </c>
      <c r="W112" s="173">
        <f t="shared" si="63"/>
        <v>0</v>
      </c>
      <c r="X112" s="173">
        <f t="shared" si="97"/>
        <v>34133.292587697448</v>
      </c>
      <c r="Y112" s="173">
        <f t="shared" si="98"/>
        <v>0</v>
      </c>
      <c r="Z112" s="173">
        <f t="shared" si="99"/>
        <v>35264.534105023282</v>
      </c>
      <c r="AA112" s="173">
        <f t="shared" si="100"/>
        <v>0</v>
      </c>
      <c r="AB112" s="173">
        <f t="shared" si="101"/>
        <v>35920.777019003785</v>
      </c>
      <c r="AC112" s="173">
        <f t="shared" si="102"/>
        <v>0</v>
      </c>
      <c r="AD112" s="173">
        <f t="shared" si="103"/>
        <v>36588.002135321294</v>
      </c>
      <c r="AF112" s="87" t="s">
        <v>435</v>
      </c>
      <c r="AG112" s="87" t="s">
        <v>436</v>
      </c>
      <c r="AH112" s="173">
        <f t="shared" si="64"/>
        <v>0</v>
      </c>
      <c r="AI112" s="173">
        <f t="shared" si="65"/>
        <v>34133.292587697448</v>
      </c>
      <c r="AJ112" s="173">
        <f t="shared" si="66"/>
        <v>0</v>
      </c>
      <c r="AK112" s="173">
        <f t="shared" si="67"/>
        <v>33539.974684893634</v>
      </c>
      <c r="AL112" s="173">
        <f t="shared" si="68"/>
        <v>0</v>
      </c>
      <c r="AM112" s="173">
        <f t="shared" si="69"/>
        <v>32215.322520226888</v>
      </c>
      <c r="AN112" s="173">
        <f t="shared" si="70"/>
        <v>0</v>
      </c>
      <c r="AO112" s="173">
        <f t="shared" si="71"/>
        <v>31611.655376237959</v>
      </c>
      <c r="AQ112" s="87" t="s">
        <v>435</v>
      </c>
      <c r="AR112" s="87" t="s">
        <v>436</v>
      </c>
      <c r="AS112" s="173">
        <f t="shared" si="72"/>
        <v>0</v>
      </c>
      <c r="AT112" s="173">
        <f t="shared" si="73"/>
        <v>34133.292587697448</v>
      </c>
      <c r="AU112" s="173">
        <f t="shared" si="74"/>
        <v>0</v>
      </c>
      <c r="AV112" s="173">
        <f t="shared" si="75"/>
        <v>36143.294080982108</v>
      </c>
      <c r="AW112" s="173">
        <f t="shared" si="76"/>
        <v>0</v>
      </c>
      <c r="AX112" s="173">
        <f t="shared" si="77"/>
        <v>36783.661560598935</v>
      </c>
      <c r="AY112" s="173">
        <f t="shared" si="78"/>
        <v>0</v>
      </c>
      <c r="AZ112" s="173">
        <f t="shared" si="79"/>
        <v>37469.487717563679</v>
      </c>
      <c r="BB112" s="87" t="s">
        <v>435</v>
      </c>
      <c r="BC112" s="87" t="s">
        <v>436</v>
      </c>
      <c r="BD112" s="173">
        <f t="shared" si="80"/>
        <v>0</v>
      </c>
      <c r="BE112" s="173">
        <f t="shared" si="81"/>
        <v>34133.292587697448</v>
      </c>
      <c r="BF112" s="173">
        <f t="shared" si="82"/>
        <v>0</v>
      </c>
      <c r="BG112" s="173">
        <f t="shared" si="83"/>
        <v>36143.294080982108</v>
      </c>
      <c r="BH112" s="173">
        <f t="shared" si="84"/>
        <v>0</v>
      </c>
      <c r="BI112" s="173">
        <f t="shared" si="85"/>
        <v>36783.661560598935</v>
      </c>
      <c r="BJ112" s="173">
        <f t="shared" si="86"/>
        <v>0</v>
      </c>
      <c r="BK112" s="173">
        <f t="shared" si="87"/>
        <v>37469.487717563679</v>
      </c>
      <c r="BM112" s="87" t="s">
        <v>435</v>
      </c>
      <c r="BN112" s="87" t="s">
        <v>436</v>
      </c>
      <c r="BO112" s="173">
        <f t="shared" si="88"/>
        <v>0</v>
      </c>
      <c r="BP112" s="173">
        <f t="shared" si="89"/>
        <v>34133.292587697448</v>
      </c>
      <c r="BQ112" s="173">
        <f t="shared" si="90"/>
        <v>0</v>
      </c>
      <c r="BR112" s="173">
        <f t="shared" si="91"/>
        <v>34375.040305105285</v>
      </c>
      <c r="BS112" s="173">
        <f t="shared" si="92"/>
        <v>0</v>
      </c>
      <c r="BT112" s="173">
        <f t="shared" si="93"/>
        <v>32987.811788180174</v>
      </c>
      <c r="BU112" s="173">
        <f t="shared" si="94"/>
        <v>0</v>
      </c>
      <c r="BV112" s="173">
        <f t="shared" si="95"/>
        <v>32371.353537832372</v>
      </c>
    </row>
    <row r="113" spans="5:74">
      <c r="E113" s="87" t="s">
        <v>211</v>
      </c>
      <c r="F113" s="87" t="s">
        <v>212</v>
      </c>
      <c r="G113" s="173">
        <f>IFERROR(IF(VLOOKUP(E113,A:C,3,FALSE)="YES",VLOOKUP(E113,'School Year 2021-22 SPED coop'!A:P,16,FALSE),0),0)</f>
        <v>0</v>
      </c>
      <c r="H113" s="173">
        <f t="shared" si="96"/>
        <v>16609146.560000001</v>
      </c>
      <c r="J113" s="87" t="s">
        <v>211</v>
      </c>
      <c r="K113" s="87" t="s">
        <v>212</v>
      </c>
      <c r="L113" s="173">
        <f t="shared" si="55"/>
        <v>0</v>
      </c>
      <c r="M113" s="173">
        <f t="shared" si="56"/>
        <v>16798344.095787942</v>
      </c>
      <c r="N113" s="173">
        <f t="shared" si="57"/>
        <v>0</v>
      </c>
      <c r="O113" s="173">
        <f t="shared" si="58"/>
        <v>17355982.254007474</v>
      </c>
      <c r="P113" s="173">
        <f t="shared" si="59"/>
        <v>0</v>
      </c>
      <c r="Q113" s="173">
        <f t="shared" si="60"/>
        <v>17680054.718849845</v>
      </c>
      <c r="R113" s="173">
        <f t="shared" si="61"/>
        <v>0</v>
      </c>
      <c r="S113" s="173">
        <f t="shared" si="62"/>
        <v>18010504.639500245</v>
      </c>
      <c r="U113" s="87" t="s">
        <v>211</v>
      </c>
      <c r="V113" s="87" t="s">
        <v>212</v>
      </c>
      <c r="W113" s="173">
        <f t="shared" si="63"/>
        <v>0</v>
      </c>
      <c r="X113" s="173">
        <f t="shared" si="97"/>
        <v>16798344.095787942</v>
      </c>
      <c r="Y113" s="173">
        <f t="shared" si="98"/>
        <v>0</v>
      </c>
      <c r="Z113" s="173">
        <f t="shared" si="99"/>
        <v>17441076.908940699</v>
      </c>
      <c r="AA113" s="173">
        <f t="shared" si="100"/>
        <v>0</v>
      </c>
      <c r="AB113" s="173">
        <f t="shared" si="101"/>
        <v>17779978.977531873</v>
      </c>
      <c r="AC113" s="173">
        <f t="shared" si="102"/>
        <v>0</v>
      </c>
      <c r="AD113" s="173">
        <f t="shared" si="103"/>
        <v>18143537.725318216</v>
      </c>
      <c r="AF113" s="87" t="s">
        <v>211</v>
      </c>
      <c r="AG113" s="87" t="s">
        <v>212</v>
      </c>
      <c r="AH113" s="173">
        <f t="shared" si="64"/>
        <v>0</v>
      </c>
      <c r="AI113" s="173">
        <f t="shared" si="65"/>
        <v>16798344.095787942</v>
      </c>
      <c r="AJ113" s="173">
        <f t="shared" si="66"/>
        <v>0</v>
      </c>
      <c r="AK113" s="173">
        <f t="shared" si="67"/>
        <v>17462074.802981704</v>
      </c>
      <c r="AL113" s="173">
        <f t="shared" si="68"/>
        <v>0</v>
      </c>
      <c r="AM113" s="173">
        <f t="shared" si="69"/>
        <v>17748960.016656805</v>
      </c>
      <c r="AN113" s="173">
        <f t="shared" si="70"/>
        <v>0</v>
      </c>
      <c r="AO113" s="173">
        <f t="shared" si="71"/>
        <v>18142027.291573711</v>
      </c>
      <c r="AQ113" s="87" t="s">
        <v>211</v>
      </c>
      <c r="AR113" s="87" t="s">
        <v>212</v>
      </c>
      <c r="AS113" s="173">
        <f t="shared" si="72"/>
        <v>0</v>
      </c>
      <c r="AT113" s="173">
        <f t="shared" si="73"/>
        <v>16798344.095787942</v>
      </c>
      <c r="AU113" s="173">
        <f t="shared" si="74"/>
        <v>0</v>
      </c>
      <c r="AV113" s="173">
        <f t="shared" si="75"/>
        <v>17789714.140156358</v>
      </c>
      <c r="AW113" s="173">
        <f t="shared" si="76"/>
        <v>0</v>
      </c>
      <c r="AX113" s="173">
        <f t="shared" si="77"/>
        <v>18106839.45504063</v>
      </c>
      <c r="AY113" s="173">
        <f t="shared" si="78"/>
        <v>0</v>
      </c>
      <c r="AZ113" s="173">
        <f t="shared" si="79"/>
        <v>18446479.252772257</v>
      </c>
      <c r="BB113" s="87" t="s">
        <v>211</v>
      </c>
      <c r="BC113" s="87" t="s">
        <v>212</v>
      </c>
      <c r="BD113" s="173">
        <f t="shared" si="80"/>
        <v>0</v>
      </c>
      <c r="BE113" s="173">
        <f t="shared" si="81"/>
        <v>16798344.095787942</v>
      </c>
      <c r="BF113" s="173">
        <f t="shared" si="82"/>
        <v>0</v>
      </c>
      <c r="BG113" s="173">
        <f t="shared" si="83"/>
        <v>17876935.339527015</v>
      </c>
      <c r="BH113" s="173">
        <f t="shared" si="84"/>
        <v>0</v>
      </c>
      <c r="BI113" s="173">
        <f t="shared" si="85"/>
        <v>18209175.817040127</v>
      </c>
      <c r="BJ113" s="173">
        <f t="shared" si="86"/>
        <v>0</v>
      </c>
      <c r="BK113" s="173">
        <f t="shared" si="87"/>
        <v>18582732.630798485</v>
      </c>
      <c r="BM113" s="87" t="s">
        <v>211</v>
      </c>
      <c r="BN113" s="87" t="s">
        <v>212</v>
      </c>
      <c r="BO113" s="173">
        <f t="shared" si="88"/>
        <v>0</v>
      </c>
      <c r="BP113" s="173">
        <f t="shared" si="89"/>
        <v>16798344.095787942</v>
      </c>
      <c r="BQ113" s="173">
        <f t="shared" si="90"/>
        <v>0</v>
      </c>
      <c r="BR113" s="173">
        <f t="shared" si="91"/>
        <v>17898505.672067821</v>
      </c>
      <c r="BS113" s="173">
        <f t="shared" si="92"/>
        <v>0</v>
      </c>
      <c r="BT113" s="173">
        <f t="shared" si="93"/>
        <v>18177436.970903467</v>
      </c>
      <c r="BU113" s="173">
        <f t="shared" si="94"/>
        <v>0</v>
      </c>
      <c r="BV113" s="173">
        <f t="shared" si="95"/>
        <v>18581240.721134942</v>
      </c>
    </row>
    <row r="114" spans="5:74">
      <c r="E114" s="87" t="s">
        <v>117</v>
      </c>
      <c r="F114" s="87" t="s">
        <v>118</v>
      </c>
      <c r="G114" s="173">
        <f>IFERROR(IF(VLOOKUP(E114,A:C,3,FALSE)="YES",VLOOKUP(E114,'School Year 2021-22 SPED coop'!A:P,16,FALSE),0),0)</f>
        <v>38118</v>
      </c>
      <c r="H114" s="173">
        <f t="shared" si="96"/>
        <v>0</v>
      </c>
      <c r="J114" s="87" t="s">
        <v>117</v>
      </c>
      <c r="K114" s="87" t="s">
        <v>118</v>
      </c>
      <c r="L114" s="173">
        <f t="shared" si="55"/>
        <v>44726.633909913333</v>
      </c>
      <c r="M114" s="173">
        <f t="shared" si="56"/>
        <v>0</v>
      </c>
      <c r="N114" s="173">
        <f t="shared" si="57"/>
        <v>46232.895649745515</v>
      </c>
      <c r="O114" s="173">
        <f t="shared" si="58"/>
        <v>0</v>
      </c>
      <c r="P114" s="173">
        <f t="shared" si="59"/>
        <v>47090.621699011739</v>
      </c>
      <c r="Q114" s="173">
        <f t="shared" si="60"/>
        <v>0</v>
      </c>
      <c r="R114" s="173">
        <f t="shared" si="61"/>
        <v>47960.282697745439</v>
      </c>
      <c r="S114" s="173">
        <f t="shared" si="62"/>
        <v>0</v>
      </c>
      <c r="U114" s="87" t="s">
        <v>117</v>
      </c>
      <c r="V114" s="87" t="s">
        <v>118</v>
      </c>
      <c r="W114" s="173">
        <f t="shared" si="63"/>
        <v>44726.633909913333</v>
      </c>
      <c r="X114" s="173">
        <f t="shared" si="97"/>
        <v>0</v>
      </c>
      <c r="Y114" s="173">
        <f t="shared" si="98"/>
        <v>46232.895649745515</v>
      </c>
      <c r="Z114" s="173">
        <f t="shared" si="99"/>
        <v>0</v>
      </c>
      <c r="AA114" s="173">
        <f t="shared" si="100"/>
        <v>47090.621699011739</v>
      </c>
      <c r="AB114" s="173">
        <f t="shared" si="101"/>
        <v>0</v>
      </c>
      <c r="AC114" s="173">
        <f t="shared" si="102"/>
        <v>47960.282697745439</v>
      </c>
      <c r="AD114" s="173">
        <f t="shared" si="103"/>
        <v>0</v>
      </c>
      <c r="AF114" s="87" t="s">
        <v>117</v>
      </c>
      <c r="AG114" s="87" t="s">
        <v>118</v>
      </c>
      <c r="AH114" s="173">
        <f t="shared" si="64"/>
        <v>44726.633909913333</v>
      </c>
      <c r="AI114" s="173">
        <f t="shared" si="65"/>
        <v>0</v>
      </c>
      <c r="AJ114" s="173">
        <f t="shared" si="66"/>
        <v>45797.076835018306</v>
      </c>
      <c r="AK114" s="173">
        <f t="shared" si="67"/>
        <v>0</v>
      </c>
      <c r="AL114" s="173">
        <f t="shared" si="68"/>
        <v>46646.685153802711</v>
      </c>
      <c r="AM114" s="173">
        <f t="shared" si="69"/>
        <v>0</v>
      </c>
      <c r="AN114" s="173">
        <f t="shared" si="70"/>
        <v>47508.0907922767</v>
      </c>
      <c r="AO114" s="173">
        <f t="shared" si="71"/>
        <v>0</v>
      </c>
      <c r="AQ114" s="87" t="s">
        <v>117</v>
      </c>
      <c r="AR114" s="87" t="s">
        <v>118</v>
      </c>
      <c r="AS114" s="173">
        <f t="shared" si="72"/>
        <v>44726.633909913333</v>
      </c>
      <c r="AT114" s="173">
        <f t="shared" si="73"/>
        <v>0</v>
      </c>
      <c r="AU114" s="173">
        <f t="shared" si="74"/>
        <v>47375.218225996548</v>
      </c>
      <c r="AV114" s="173">
        <f t="shared" si="75"/>
        <v>0</v>
      </c>
      <c r="AW114" s="173">
        <f t="shared" si="76"/>
        <v>48209.798782101425</v>
      </c>
      <c r="AX114" s="173">
        <f t="shared" si="77"/>
        <v>0</v>
      </c>
      <c r="AY114" s="173">
        <f t="shared" si="78"/>
        <v>49103.632981390751</v>
      </c>
      <c r="AZ114" s="173">
        <f t="shared" si="79"/>
        <v>0</v>
      </c>
      <c r="BB114" s="87" t="s">
        <v>117</v>
      </c>
      <c r="BC114" s="87" t="s">
        <v>118</v>
      </c>
      <c r="BD114" s="173">
        <f t="shared" si="80"/>
        <v>44726.633909913333</v>
      </c>
      <c r="BE114" s="173">
        <f t="shared" si="81"/>
        <v>0</v>
      </c>
      <c r="BF114" s="173">
        <f t="shared" si="82"/>
        <v>47375.218225996548</v>
      </c>
      <c r="BG114" s="173">
        <f t="shared" si="83"/>
        <v>0</v>
      </c>
      <c r="BH114" s="173">
        <f t="shared" si="84"/>
        <v>48209.798782101425</v>
      </c>
      <c r="BI114" s="173">
        <f t="shared" si="85"/>
        <v>0</v>
      </c>
      <c r="BJ114" s="173">
        <f t="shared" si="86"/>
        <v>49103.632981390751</v>
      </c>
      <c r="BK114" s="173">
        <f t="shared" si="87"/>
        <v>0</v>
      </c>
      <c r="BM114" s="87" t="s">
        <v>117</v>
      </c>
      <c r="BN114" s="87" t="s">
        <v>118</v>
      </c>
      <c r="BO114" s="173">
        <f t="shared" si="88"/>
        <v>44726.633909913333</v>
      </c>
      <c r="BP114" s="173">
        <f t="shared" si="89"/>
        <v>0</v>
      </c>
      <c r="BQ114" s="173">
        <f t="shared" si="90"/>
        <v>46928.389113677236</v>
      </c>
      <c r="BR114" s="173">
        <f t="shared" si="91"/>
        <v>0</v>
      </c>
      <c r="BS114" s="173">
        <f t="shared" si="92"/>
        <v>47755.044337393352</v>
      </c>
      <c r="BT114" s="173">
        <f t="shared" si="93"/>
        <v>0</v>
      </c>
      <c r="BU114" s="173">
        <f t="shared" si="94"/>
        <v>48640.389385138609</v>
      </c>
      <c r="BV114" s="173">
        <f t="shared" si="95"/>
        <v>0</v>
      </c>
    </row>
    <row r="115" spans="5:74">
      <c r="E115" s="87" t="s">
        <v>83</v>
      </c>
      <c r="F115" s="87" t="s">
        <v>84</v>
      </c>
      <c r="G115" s="173">
        <f>IFERROR(IF(VLOOKUP(E115,A:C,3,FALSE)="YES",VLOOKUP(E115,'School Year 2021-22 SPED coop'!A:P,16,FALSE),0),0)</f>
        <v>1547812.73</v>
      </c>
      <c r="H115" s="173">
        <f t="shared" si="96"/>
        <v>0</v>
      </c>
      <c r="J115" s="87" t="s">
        <v>83</v>
      </c>
      <c r="K115" s="87" t="s">
        <v>84</v>
      </c>
      <c r="L115" s="173">
        <f t="shared" si="55"/>
        <v>1390202.5460782247</v>
      </c>
      <c r="M115" s="173">
        <f t="shared" si="56"/>
        <v>0</v>
      </c>
      <c r="N115" s="173">
        <f t="shared" si="57"/>
        <v>1437287.5965303832</v>
      </c>
      <c r="O115" s="173">
        <f t="shared" si="58"/>
        <v>0</v>
      </c>
      <c r="P115" s="173">
        <f t="shared" si="59"/>
        <v>1463906.3870370463</v>
      </c>
      <c r="Q115" s="173">
        <f t="shared" si="60"/>
        <v>0</v>
      </c>
      <c r="R115" s="173">
        <f t="shared" si="61"/>
        <v>1490856.9721376959</v>
      </c>
      <c r="S115" s="173">
        <f t="shared" si="62"/>
        <v>0</v>
      </c>
      <c r="U115" s="87" t="s">
        <v>83</v>
      </c>
      <c r="V115" s="87" t="s">
        <v>84</v>
      </c>
      <c r="W115" s="173">
        <f t="shared" si="63"/>
        <v>1390202.5460782247</v>
      </c>
      <c r="X115" s="173">
        <f t="shared" si="97"/>
        <v>0</v>
      </c>
      <c r="Y115" s="173">
        <f t="shared" si="98"/>
        <v>1444326.2356196626</v>
      </c>
      <c r="Z115" s="173">
        <f t="shared" si="99"/>
        <v>0</v>
      </c>
      <c r="AA115" s="173">
        <f t="shared" si="100"/>
        <v>1472174.0176621708</v>
      </c>
      <c r="AB115" s="173">
        <f t="shared" si="101"/>
        <v>0</v>
      </c>
      <c r="AC115" s="173">
        <f t="shared" si="102"/>
        <v>1501858.6389945375</v>
      </c>
      <c r="AD115" s="173">
        <f t="shared" si="103"/>
        <v>0</v>
      </c>
      <c r="AF115" s="87" t="s">
        <v>83</v>
      </c>
      <c r="AG115" s="87" t="s">
        <v>84</v>
      </c>
      <c r="AH115" s="173">
        <f t="shared" si="64"/>
        <v>1390202.5460782247</v>
      </c>
      <c r="AI115" s="173">
        <f t="shared" si="65"/>
        <v>0</v>
      </c>
      <c r="AJ115" s="173">
        <f t="shared" si="66"/>
        <v>1431282.1419305524</v>
      </c>
      <c r="AK115" s="173">
        <f t="shared" si="67"/>
        <v>0</v>
      </c>
      <c r="AL115" s="173">
        <f t="shared" si="68"/>
        <v>1458742.6338071418</v>
      </c>
      <c r="AM115" s="173">
        <f t="shared" si="69"/>
        <v>0</v>
      </c>
      <c r="AN115" s="173">
        <f t="shared" si="70"/>
        <v>1487583.3902732362</v>
      </c>
      <c r="AO115" s="173">
        <f t="shared" si="71"/>
        <v>0</v>
      </c>
      <c r="AQ115" s="87" t="s">
        <v>83</v>
      </c>
      <c r="AR115" s="87" t="s">
        <v>84</v>
      </c>
      <c r="AS115" s="173">
        <f t="shared" si="72"/>
        <v>1390202.5460782247</v>
      </c>
      <c r="AT115" s="173">
        <f t="shared" si="73"/>
        <v>0</v>
      </c>
      <c r="AU115" s="173">
        <f t="shared" si="74"/>
        <v>1472666.5313277051</v>
      </c>
      <c r="AV115" s="173">
        <f t="shared" si="75"/>
        <v>0</v>
      </c>
      <c r="AW115" s="173">
        <f t="shared" si="76"/>
        <v>1498529.366457521</v>
      </c>
      <c r="AX115" s="173">
        <f t="shared" si="77"/>
        <v>0</v>
      </c>
      <c r="AY115" s="173">
        <f t="shared" si="78"/>
        <v>1526228.3051994981</v>
      </c>
      <c r="AZ115" s="173">
        <f t="shared" si="79"/>
        <v>0</v>
      </c>
      <c r="BB115" s="87" t="s">
        <v>83</v>
      </c>
      <c r="BC115" s="87" t="s">
        <v>84</v>
      </c>
      <c r="BD115" s="173">
        <f t="shared" si="80"/>
        <v>1390202.5460782247</v>
      </c>
      <c r="BE115" s="173">
        <f t="shared" si="81"/>
        <v>0</v>
      </c>
      <c r="BF115" s="173">
        <f t="shared" si="82"/>
        <v>1479878.4226499922</v>
      </c>
      <c r="BG115" s="173">
        <f t="shared" si="83"/>
        <v>0</v>
      </c>
      <c r="BH115" s="173">
        <f t="shared" si="84"/>
        <v>1506992.5325386175</v>
      </c>
      <c r="BI115" s="173">
        <f t="shared" si="85"/>
        <v>0</v>
      </c>
      <c r="BJ115" s="173">
        <f t="shared" si="86"/>
        <v>1537490.9873008714</v>
      </c>
      <c r="BK115" s="173">
        <f t="shared" si="87"/>
        <v>0</v>
      </c>
      <c r="BM115" s="87" t="s">
        <v>83</v>
      </c>
      <c r="BN115" s="87" t="s">
        <v>84</v>
      </c>
      <c r="BO115" s="173">
        <f t="shared" si="88"/>
        <v>1390202.5460782247</v>
      </c>
      <c r="BP115" s="173">
        <f t="shared" si="89"/>
        <v>0</v>
      </c>
      <c r="BQ115" s="173">
        <f t="shared" si="90"/>
        <v>1466513.0852422328</v>
      </c>
      <c r="BR115" s="173">
        <f t="shared" si="91"/>
        <v>0</v>
      </c>
      <c r="BS115" s="173">
        <f t="shared" si="92"/>
        <v>1493245.0908452859</v>
      </c>
      <c r="BT115" s="173">
        <f t="shared" si="93"/>
        <v>0</v>
      </c>
      <c r="BU115" s="173">
        <f t="shared" si="94"/>
        <v>1522879.3024453665</v>
      </c>
      <c r="BV115" s="173">
        <f t="shared" si="95"/>
        <v>0</v>
      </c>
    </row>
    <row r="116" spans="5:74">
      <c r="E116" s="87" t="s">
        <v>101</v>
      </c>
      <c r="F116" s="87" t="s">
        <v>102</v>
      </c>
      <c r="G116" s="173">
        <f>IFERROR(IF(VLOOKUP(E116,A:C,3,FALSE)="YES",VLOOKUP(E116,'School Year 2021-22 SPED coop'!A:P,16,FALSE),0),0)</f>
        <v>0</v>
      </c>
      <c r="H116" s="173">
        <f t="shared" si="96"/>
        <v>27963.85</v>
      </c>
      <c r="J116" s="87" t="s">
        <v>101</v>
      </c>
      <c r="K116" s="87" t="s">
        <v>102</v>
      </c>
      <c r="L116" s="173">
        <f t="shared" si="55"/>
        <v>0</v>
      </c>
      <c r="M116" s="173">
        <f t="shared" si="56"/>
        <v>33719.872121661443</v>
      </c>
      <c r="N116" s="173">
        <f t="shared" si="57"/>
        <v>0</v>
      </c>
      <c r="O116" s="173">
        <f t="shared" si="58"/>
        <v>34855.113349964107</v>
      </c>
      <c r="P116" s="173">
        <f t="shared" si="59"/>
        <v>0</v>
      </c>
      <c r="Q116" s="173">
        <f t="shared" si="60"/>
        <v>35499.98942787783</v>
      </c>
      <c r="R116" s="173">
        <f t="shared" si="61"/>
        <v>0</v>
      </c>
      <c r="S116" s="173">
        <f t="shared" si="62"/>
        <v>36152.369537405029</v>
      </c>
      <c r="U116" s="87" t="s">
        <v>101</v>
      </c>
      <c r="V116" s="87" t="s">
        <v>102</v>
      </c>
      <c r="W116" s="173">
        <f t="shared" si="63"/>
        <v>0</v>
      </c>
      <c r="X116" s="173">
        <f t="shared" si="97"/>
        <v>33719.872121661443</v>
      </c>
      <c r="Y116" s="173">
        <f t="shared" si="98"/>
        <v>0</v>
      </c>
      <c r="Z116" s="173">
        <f t="shared" si="99"/>
        <v>34855.113349964107</v>
      </c>
      <c r="AA116" s="173">
        <f t="shared" si="100"/>
        <v>0</v>
      </c>
      <c r="AB116" s="173">
        <f t="shared" si="101"/>
        <v>35499.98942787783</v>
      </c>
      <c r="AC116" s="173">
        <f t="shared" si="102"/>
        <v>0</v>
      </c>
      <c r="AD116" s="173">
        <f t="shared" si="103"/>
        <v>36152.369537405029</v>
      </c>
      <c r="AF116" s="87" t="s">
        <v>101</v>
      </c>
      <c r="AG116" s="87" t="s">
        <v>102</v>
      </c>
      <c r="AH116" s="173">
        <f t="shared" si="64"/>
        <v>0</v>
      </c>
      <c r="AI116" s="173">
        <f t="shared" si="65"/>
        <v>33719.872121661443</v>
      </c>
      <c r="AJ116" s="173">
        <f t="shared" si="66"/>
        <v>0</v>
      </c>
      <c r="AK116" s="173">
        <f t="shared" si="67"/>
        <v>34866.03799722738</v>
      </c>
      <c r="AL116" s="173">
        <f t="shared" si="68"/>
        <v>0</v>
      </c>
      <c r="AM116" s="173">
        <f t="shared" si="69"/>
        <v>34208.54296851284</v>
      </c>
      <c r="AN116" s="173">
        <f t="shared" si="70"/>
        <v>0</v>
      </c>
      <c r="AO116" s="173">
        <f t="shared" si="71"/>
        <v>34521.501424760485</v>
      </c>
      <c r="AQ116" s="87" t="s">
        <v>101</v>
      </c>
      <c r="AR116" s="87" t="s">
        <v>102</v>
      </c>
      <c r="AS116" s="173">
        <f t="shared" si="72"/>
        <v>0</v>
      </c>
      <c r="AT116" s="173">
        <f t="shared" si="73"/>
        <v>33719.872121661443</v>
      </c>
      <c r="AU116" s="173">
        <f t="shared" si="74"/>
        <v>0</v>
      </c>
      <c r="AV116" s="173">
        <f t="shared" si="75"/>
        <v>35713.921072760277</v>
      </c>
      <c r="AW116" s="173">
        <f t="shared" si="76"/>
        <v>0</v>
      </c>
      <c r="AX116" s="173">
        <f t="shared" si="77"/>
        <v>36340.014090003984</v>
      </c>
      <c r="AY116" s="173">
        <f t="shared" si="78"/>
        <v>0</v>
      </c>
      <c r="AZ116" s="173">
        <f t="shared" si="79"/>
        <v>37010.551569360752</v>
      </c>
      <c r="BB116" s="87" t="s">
        <v>101</v>
      </c>
      <c r="BC116" s="87" t="s">
        <v>102</v>
      </c>
      <c r="BD116" s="173">
        <f t="shared" si="80"/>
        <v>0</v>
      </c>
      <c r="BE116" s="173">
        <f t="shared" si="81"/>
        <v>33719.872121661443</v>
      </c>
      <c r="BF116" s="173">
        <f t="shared" si="82"/>
        <v>0</v>
      </c>
      <c r="BG116" s="173">
        <f t="shared" si="83"/>
        <v>35713.921072760277</v>
      </c>
      <c r="BH116" s="173">
        <f t="shared" si="84"/>
        <v>0</v>
      </c>
      <c r="BI116" s="173">
        <f t="shared" si="85"/>
        <v>36340.014090003984</v>
      </c>
      <c r="BJ116" s="173">
        <f t="shared" si="86"/>
        <v>0</v>
      </c>
      <c r="BK116" s="173">
        <f t="shared" si="87"/>
        <v>37010.551569360752</v>
      </c>
      <c r="BM116" s="87" t="s">
        <v>101</v>
      </c>
      <c r="BN116" s="87" t="s">
        <v>102</v>
      </c>
      <c r="BO116" s="173">
        <f t="shared" si="88"/>
        <v>0</v>
      </c>
      <c r="BP116" s="173">
        <f t="shared" si="89"/>
        <v>33719.872121661443</v>
      </c>
      <c r="BQ116" s="173">
        <f t="shared" si="90"/>
        <v>0</v>
      </c>
      <c r="BR116" s="173">
        <f t="shared" si="91"/>
        <v>35725.118211646353</v>
      </c>
      <c r="BS116" s="173">
        <f t="shared" si="92"/>
        <v>0</v>
      </c>
      <c r="BT116" s="173">
        <f t="shared" si="93"/>
        <v>35017.583232564313</v>
      </c>
      <c r="BU116" s="173">
        <f t="shared" si="94"/>
        <v>0</v>
      </c>
      <c r="BV116" s="173">
        <f t="shared" si="95"/>
        <v>35340.427150269606</v>
      </c>
    </row>
    <row r="117" spans="5:74">
      <c r="E117" s="87" t="s">
        <v>87</v>
      </c>
      <c r="F117" s="87" t="s">
        <v>88</v>
      </c>
      <c r="G117" s="173">
        <f>IFERROR(IF(VLOOKUP(E117,A:C,3,FALSE)="YES",VLOOKUP(E117,'School Year 2021-22 SPED coop'!A:P,16,FALSE),0),0)</f>
        <v>0</v>
      </c>
      <c r="H117" s="173">
        <f t="shared" si="96"/>
        <v>5973038.3899999997</v>
      </c>
      <c r="J117" s="87" t="s">
        <v>87</v>
      </c>
      <c r="K117" s="87" t="s">
        <v>88</v>
      </c>
      <c r="L117" s="173">
        <f t="shared" si="55"/>
        <v>0</v>
      </c>
      <c r="M117" s="173">
        <f t="shared" si="56"/>
        <v>6040227.4989624843</v>
      </c>
      <c r="N117" s="173">
        <f t="shared" si="57"/>
        <v>0</v>
      </c>
      <c r="O117" s="173">
        <f t="shared" si="58"/>
        <v>6244871.0529302321</v>
      </c>
      <c r="P117" s="173">
        <f t="shared" si="59"/>
        <v>0</v>
      </c>
      <c r="Q117" s="173">
        <f t="shared" si="60"/>
        <v>6360543.9025836149</v>
      </c>
      <c r="R117" s="173">
        <f t="shared" si="61"/>
        <v>0</v>
      </c>
      <c r="S117" s="173">
        <f t="shared" si="62"/>
        <v>6477672.3588709673</v>
      </c>
      <c r="U117" s="87" t="s">
        <v>87</v>
      </c>
      <c r="V117" s="87" t="s">
        <v>88</v>
      </c>
      <c r="W117" s="173">
        <f t="shared" si="63"/>
        <v>0</v>
      </c>
      <c r="X117" s="173">
        <f t="shared" si="97"/>
        <v>6040227.4989624843</v>
      </c>
      <c r="Y117" s="173">
        <f t="shared" si="98"/>
        <v>0</v>
      </c>
      <c r="Z117" s="173">
        <f t="shared" si="99"/>
        <v>6275502.9576692414</v>
      </c>
      <c r="AA117" s="173">
        <f t="shared" si="100"/>
        <v>0</v>
      </c>
      <c r="AB117" s="173">
        <f t="shared" si="101"/>
        <v>6396509.953731237</v>
      </c>
      <c r="AC117" s="173">
        <f t="shared" si="102"/>
        <v>0</v>
      </c>
      <c r="AD117" s="173">
        <f t="shared" si="103"/>
        <v>6525533.3908808529</v>
      </c>
      <c r="AF117" s="87" t="s">
        <v>87</v>
      </c>
      <c r="AG117" s="87" t="s">
        <v>88</v>
      </c>
      <c r="AH117" s="173">
        <f t="shared" si="64"/>
        <v>0</v>
      </c>
      <c r="AI117" s="173">
        <f t="shared" si="65"/>
        <v>6040227.4989624843</v>
      </c>
      <c r="AJ117" s="173">
        <f t="shared" si="66"/>
        <v>0</v>
      </c>
      <c r="AK117" s="173">
        <f t="shared" si="67"/>
        <v>6238597.9485694617</v>
      </c>
      <c r="AL117" s="173">
        <f t="shared" si="68"/>
        <v>0</v>
      </c>
      <c r="AM117" s="173">
        <f t="shared" si="69"/>
        <v>6354155.6877583899</v>
      </c>
      <c r="AN117" s="173">
        <f t="shared" si="70"/>
        <v>0</v>
      </c>
      <c r="AO117" s="173">
        <f t="shared" si="71"/>
        <v>6471168.4895401727</v>
      </c>
      <c r="AQ117" s="87" t="s">
        <v>87</v>
      </c>
      <c r="AR117" s="87" t="s">
        <v>88</v>
      </c>
      <c r="AS117" s="173">
        <f t="shared" si="72"/>
        <v>0</v>
      </c>
      <c r="AT117" s="173">
        <f t="shared" si="73"/>
        <v>6040227.4989624843</v>
      </c>
      <c r="AU117" s="173">
        <f t="shared" si="74"/>
        <v>0</v>
      </c>
      <c r="AV117" s="173">
        <f t="shared" si="75"/>
        <v>6398587.1678105295</v>
      </c>
      <c r="AW117" s="173">
        <f t="shared" si="76"/>
        <v>0</v>
      </c>
      <c r="AX117" s="173">
        <f t="shared" si="77"/>
        <v>6510987.4441755349</v>
      </c>
      <c r="AY117" s="173">
        <f t="shared" si="78"/>
        <v>0</v>
      </c>
      <c r="AZ117" s="173">
        <f t="shared" si="79"/>
        <v>6631367.6360611366</v>
      </c>
      <c r="BB117" s="87" t="s">
        <v>87</v>
      </c>
      <c r="BC117" s="87" t="s">
        <v>88</v>
      </c>
      <c r="BD117" s="173">
        <f t="shared" si="80"/>
        <v>0</v>
      </c>
      <c r="BE117" s="173">
        <f t="shared" si="81"/>
        <v>6040227.4989624843</v>
      </c>
      <c r="BF117" s="173">
        <f t="shared" si="82"/>
        <v>0</v>
      </c>
      <c r="BG117" s="173">
        <f t="shared" si="83"/>
        <v>6429973.0775189102</v>
      </c>
      <c r="BH117" s="173">
        <f t="shared" si="84"/>
        <v>0</v>
      </c>
      <c r="BI117" s="173">
        <f t="shared" si="85"/>
        <v>6547804.1945140315</v>
      </c>
      <c r="BJ117" s="173">
        <f t="shared" si="86"/>
        <v>0</v>
      </c>
      <c r="BK117" s="173">
        <f t="shared" si="87"/>
        <v>6680364.2708932133</v>
      </c>
      <c r="BM117" s="87" t="s">
        <v>87</v>
      </c>
      <c r="BN117" s="87" t="s">
        <v>88</v>
      </c>
      <c r="BO117" s="173">
        <f t="shared" si="88"/>
        <v>0</v>
      </c>
      <c r="BP117" s="173">
        <f t="shared" si="89"/>
        <v>6040227.4989624843</v>
      </c>
      <c r="BQ117" s="173">
        <f t="shared" si="90"/>
        <v>0</v>
      </c>
      <c r="BR117" s="173">
        <f t="shared" si="91"/>
        <v>6392157.4517725883</v>
      </c>
      <c r="BS117" s="173">
        <f t="shared" si="92"/>
        <v>0</v>
      </c>
      <c r="BT117" s="173">
        <f t="shared" si="93"/>
        <v>6504446.6548200836</v>
      </c>
      <c r="BU117" s="173">
        <f t="shared" si="94"/>
        <v>0</v>
      </c>
      <c r="BV117" s="173">
        <f t="shared" si="95"/>
        <v>6624707.8929185793</v>
      </c>
    </row>
    <row r="118" spans="5:74">
      <c r="E118" s="87" t="s">
        <v>17</v>
      </c>
      <c r="F118" s="87" t="s">
        <v>18</v>
      </c>
      <c r="G118" s="173">
        <f>IFERROR(IF(VLOOKUP(E118,A:C,3,FALSE)="YES",VLOOKUP(E118,'School Year 2021-22 SPED coop'!A:P,16,FALSE),0),0)</f>
        <v>0</v>
      </c>
      <c r="H118" s="173">
        <f t="shared" si="96"/>
        <v>20383235.07</v>
      </c>
      <c r="J118" s="87" t="s">
        <v>17</v>
      </c>
      <c r="K118" s="87" t="s">
        <v>18</v>
      </c>
      <c r="L118" s="173">
        <f t="shared" si="55"/>
        <v>0</v>
      </c>
      <c r="M118" s="173">
        <f t="shared" si="56"/>
        <v>20616345.450004131</v>
      </c>
      <c r="N118" s="173">
        <f t="shared" si="57"/>
        <v>0</v>
      </c>
      <c r="O118" s="173">
        <f t="shared" si="58"/>
        <v>21314835.278609175</v>
      </c>
      <c r="P118" s="173">
        <f t="shared" si="59"/>
        <v>0</v>
      </c>
      <c r="Q118" s="173">
        <f t="shared" si="60"/>
        <v>21709655.54551683</v>
      </c>
      <c r="R118" s="173">
        <f t="shared" si="61"/>
        <v>0</v>
      </c>
      <c r="S118" s="173">
        <f t="shared" si="62"/>
        <v>22109451.255960189</v>
      </c>
      <c r="U118" s="87" t="s">
        <v>17</v>
      </c>
      <c r="V118" s="87" t="s">
        <v>18</v>
      </c>
      <c r="W118" s="173">
        <f t="shared" si="63"/>
        <v>0</v>
      </c>
      <c r="X118" s="173">
        <f t="shared" si="97"/>
        <v>20616345.450004131</v>
      </c>
      <c r="Y118" s="173">
        <f t="shared" si="98"/>
        <v>0</v>
      </c>
      <c r="Z118" s="173">
        <f t="shared" si="99"/>
        <v>21419346.008481659</v>
      </c>
      <c r="AA118" s="173">
        <f t="shared" si="100"/>
        <v>0</v>
      </c>
      <c r="AB118" s="173">
        <f t="shared" si="101"/>
        <v>21832370.396253262</v>
      </c>
      <c r="AC118" s="173">
        <f t="shared" si="102"/>
        <v>0</v>
      </c>
      <c r="AD118" s="173">
        <f t="shared" si="103"/>
        <v>22272759.744538307</v>
      </c>
      <c r="AF118" s="87" t="s">
        <v>17</v>
      </c>
      <c r="AG118" s="87" t="s">
        <v>18</v>
      </c>
      <c r="AH118" s="173">
        <f t="shared" si="64"/>
        <v>0</v>
      </c>
      <c r="AI118" s="173">
        <f t="shared" si="65"/>
        <v>20616345.450004131</v>
      </c>
      <c r="AJ118" s="173">
        <f t="shared" si="66"/>
        <v>0</v>
      </c>
      <c r="AK118" s="173">
        <f t="shared" si="67"/>
        <v>21354052.470554758</v>
      </c>
      <c r="AL118" s="173">
        <f t="shared" si="68"/>
        <v>0</v>
      </c>
      <c r="AM118" s="173">
        <f t="shared" si="69"/>
        <v>21759176.215668064</v>
      </c>
      <c r="AN118" s="173">
        <f t="shared" si="70"/>
        <v>0</v>
      </c>
      <c r="AO118" s="173">
        <f t="shared" si="71"/>
        <v>22156205.485552073</v>
      </c>
      <c r="AQ118" s="87" t="s">
        <v>17</v>
      </c>
      <c r="AR118" s="87" t="s">
        <v>18</v>
      </c>
      <c r="AS118" s="173">
        <f t="shared" si="72"/>
        <v>0</v>
      </c>
      <c r="AT118" s="173">
        <f t="shared" si="73"/>
        <v>20616345.450004131</v>
      </c>
      <c r="AU118" s="173">
        <f t="shared" si="74"/>
        <v>0</v>
      </c>
      <c r="AV118" s="173">
        <f t="shared" si="75"/>
        <v>21839495.366564937</v>
      </c>
      <c r="AW118" s="173">
        <f t="shared" si="76"/>
        <v>0</v>
      </c>
      <c r="AX118" s="173">
        <f t="shared" si="77"/>
        <v>22223151.94624928</v>
      </c>
      <c r="AY118" s="173">
        <f t="shared" si="78"/>
        <v>0</v>
      </c>
      <c r="AZ118" s="173">
        <f t="shared" si="79"/>
        <v>22634046.553951584</v>
      </c>
      <c r="BB118" s="87" t="s">
        <v>17</v>
      </c>
      <c r="BC118" s="87" t="s">
        <v>18</v>
      </c>
      <c r="BD118" s="173">
        <f t="shared" si="80"/>
        <v>0</v>
      </c>
      <c r="BE118" s="173">
        <f t="shared" si="81"/>
        <v>20616345.450004131</v>
      </c>
      <c r="BF118" s="173">
        <f t="shared" si="82"/>
        <v>0</v>
      </c>
      <c r="BG118" s="173">
        <f t="shared" si="83"/>
        <v>21946578.609028872</v>
      </c>
      <c r="BH118" s="173">
        <f t="shared" si="84"/>
        <v>0</v>
      </c>
      <c r="BI118" s="173">
        <f t="shared" si="85"/>
        <v>22348769.365462355</v>
      </c>
      <c r="BJ118" s="173">
        <f t="shared" si="86"/>
        <v>0</v>
      </c>
      <c r="BK118" s="173">
        <f t="shared" si="87"/>
        <v>22801229.896879897</v>
      </c>
      <c r="BM118" s="87" t="s">
        <v>17</v>
      </c>
      <c r="BN118" s="87" t="s">
        <v>18</v>
      </c>
      <c r="BO118" s="173">
        <f t="shared" si="88"/>
        <v>0</v>
      </c>
      <c r="BP118" s="173">
        <f t="shared" si="89"/>
        <v>20616345.450004131</v>
      </c>
      <c r="BQ118" s="173">
        <f t="shared" si="90"/>
        <v>0</v>
      </c>
      <c r="BR118" s="173">
        <f t="shared" si="91"/>
        <v>21879687.011449683</v>
      </c>
      <c r="BS118" s="173">
        <f t="shared" si="92"/>
        <v>0</v>
      </c>
      <c r="BT118" s="173">
        <f t="shared" si="93"/>
        <v>22273850.772137344</v>
      </c>
      <c r="BU118" s="173">
        <f t="shared" si="94"/>
        <v>0</v>
      </c>
      <c r="BV118" s="173">
        <f t="shared" si="95"/>
        <v>22681915.392207354</v>
      </c>
    </row>
    <row r="119" spans="5:74">
      <c r="E119" s="87" t="s">
        <v>217</v>
      </c>
      <c r="F119" s="87" t="s">
        <v>218</v>
      </c>
      <c r="G119" s="173">
        <f>IFERROR(IF(VLOOKUP(E119,A:C,3,FALSE)="YES",VLOOKUP(E119,'School Year 2021-22 SPED coop'!A:P,16,FALSE),0),0)</f>
        <v>0</v>
      </c>
      <c r="H119" s="173">
        <f t="shared" si="96"/>
        <v>28488673.32</v>
      </c>
      <c r="J119" s="87" t="s">
        <v>217</v>
      </c>
      <c r="K119" s="87" t="s">
        <v>218</v>
      </c>
      <c r="L119" s="173">
        <f t="shared" si="55"/>
        <v>0</v>
      </c>
      <c r="M119" s="173">
        <f t="shared" si="56"/>
        <v>28806044.02240482</v>
      </c>
      <c r="N119" s="173">
        <f t="shared" si="57"/>
        <v>0</v>
      </c>
      <c r="O119" s="173">
        <f t="shared" si="58"/>
        <v>29761783.876569711</v>
      </c>
      <c r="P119" s="173">
        <f t="shared" si="59"/>
        <v>0</v>
      </c>
      <c r="Q119" s="173">
        <f t="shared" si="60"/>
        <v>30317478.219788827</v>
      </c>
      <c r="R119" s="173">
        <f t="shared" si="61"/>
        <v>0</v>
      </c>
      <c r="S119" s="173">
        <f t="shared" si="62"/>
        <v>30884090.057002638</v>
      </c>
      <c r="U119" s="87" t="s">
        <v>217</v>
      </c>
      <c r="V119" s="87" t="s">
        <v>218</v>
      </c>
      <c r="W119" s="173">
        <f t="shared" si="63"/>
        <v>0</v>
      </c>
      <c r="X119" s="173">
        <f t="shared" si="97"/>
        <v>28806044.02240482</v>
      </c>
      <c r="Y119" s="173">
        <f t="shared" si="98"/>
        <v>0</v>
      </c>
      <c r="Z119" s="173">
        <f t="shared" si="99"/>
        <v>29907705.189329974</v>
      </c>
      <c r="AA119" s="173">
        <f t="shared" si="100"/>
        <v>0</v>
      </c>
      <c r="AB119" s="173">
        <f t="shared" si="101"/>
        <v>30488839.786709782</v>
      </c>
      <c r="AC119" s="173">
        <f t="shared" si="102"/>
        <v>0</v>
      </c>
      <c r="AD119" s="173">
        <f t="shared" si="103"/>
        <v>31112206.96291915</v>
      </c>
      <c r="AF119" s="87" t="s">
        <v>217</v>
      </c>
      <c r="AG119" s="87" t="s">
        <v>218</v>
      </c>
      <c r="AH119" s="173">
        <f t="shared" si="64"/>
        <v>0</v>
      </c>
      <c r="AI119" s="173">
        <f t="shared" si="65"/>
        <v>28806044.02240482</v>
      </c>
      <c r="AJ119" s="173">
        <f t="shared" si="66"/>
        <v>0</v>
      </c>
      <c r="AK119" s="173">
        <f t="shared" si="67"/>
        <v>29589366.485348064</v>
      </c>
      <c r="AL119" s="173">
        <f t="shared" si="68"/>
        <v>0</v>
      </c>
      <c r="AM119" s="173">
        <f t="shared" si="69"/>
        <v>30166218.541417159</v>
      </c>
      <c r="AN119" s="173">
        <f t="shared" si="70"/>
        <v>0</v>
      </c>
      <c r="AO119" s="173">
        <f t="shared" si="71"/>
        <v>30707934.538818248</v>
      </c>
      <c r="AQ119" s="87" t="s">
        <v>217</v>
      </c>
      <c r="AR119" s="87" t="s">
        <v>218</v>
      </c>
      <c r="AS119" s="173">
        <f t="shared" si="72"/>
        <v>0</v>
      </c>
      <c r="AT119" s="173">
        <f t="shared" si="73"/>
        <v>28806044.02240482</v>
      </c>
      <c r="AU119" s="173">
        <f t="shared" si="74"/>
        <v>0</v>
      </c>
      <c r="AV119" s="173">
        <f t="shared" si="75"/>
        <v>30505642.883304182</v>
      </c>
      <c r="AW119" s="173">
        <f t="shared" si="76"/>
        <v>0</v>
      </c>
      <c r="AX119" s="173">
        <f t="shared" si="77"/>
        <v>31049410.278492693</v>
      </c>
      <c r="AY119" s="173">
        <f t="shared" si="78"/>
        <v>0</v>
      </c>
      <c r="AZ119" s="173">
        <f t="shared" si="79"/>
        <v>31631782.619839419</v>
      </c>
      <c r="BB119" s="87" t="s">
        <v>217</v>
      </c>
      <c r="BC119" s="87" t="s">
        <v>218</v>
      </c>
      <c r="BD119" s="173">
        <f t="shared" si="80"/>
        <v>0</v>
      </c>
      <c r="BE119" s="173">
        <f t="shared" si="81"/>
        <v>28806044.02240482</v>
      </c>
      <c r="BF119" s="173">
        <f t="shared" si="82"/>
        <v>0</v>
      </c>
      <c r="BG119" s="173">
        <f t="shared" si="83"/>
        <v>30655211.320501208</v>
      </c>
      <c r="BH119" s="173">
        <f t="shared" si="84"/>
        <v>0</v>
      </c>
      <c r="BI119" s="173">
        <f t="shared" si="85"/>
        <v>31224908.903240968</v>
      </c>
      <c r="BJ119" s="173">
        <f t="shared" si="86"/>
        <v>0</v>
      </c>
      <c r="BK119" s="173">
        <f t="shared" si="87"/>
        <v>31865422.153335433</v>
      </c>
      <c r="BM119" s="87" t="s">
        <v>217</v>
      </c>
      <c r="BN119" s="87" t="s">
        <v>218</v>
      </c>
      <c r="BO119" s="173">
        <f t="shared" si="88"/>
        <v>0</v>
      </c>
      <c r="BP119" s="173">
        <f t="shared" si="89"/>
        <v>28806044.02240482</v>
      </c>
      <c r="BQ119" s="173">
        <f t="shared" si="90"/>
        <v>0</v>
      </c>
      <c r="BR119" s="173">
        <f t="shared" si="91"/>
        <v>30328847.993140791</v>
      </c>
      <c r="BS119" s="173">
        <f t="shared" si="92"/>
        <v>0</v>
      </c>
      <c r="BT119" s="173">
        <f t="shared" si="93"/>
        <v>30894462.962781277</v>
      </c>
      <c r="BU119" s="173">
        <f t="shared" si="94"/>
        <v>0</v>
      </c>
      <c r="BV119" s="173">
        <f t="shared" si="95"/>
        <v>31451313.961599402</v>
      </c>
    </row>
    <row r="120" spans="5:74">
      <c r="E120" s="87" t="s">
        <v>505</v>
      </c>
      <c r="F120" s="87" t="s">
        <v>506</v>
      </c>
      <c r="G120" s="173">
        <f>IFERROR(IF(VLOOKUP(E120,A:C,3,FALSE)="YES",VLOOKUP(E120,'School Year 2021-22 SPED coop'!A:P,16,FALSE),0),0)</f>
        <v>0</v>
      </c>
      <c r="H120" s="173">
        <f t="shared" si="96"/>
        <v>1303392.26</v>
      </c>
      <c r="J120" s="87" t="s">
        <v>505</v>
      </c>
      <c r="K120" s="87" t="s">
        <v>506</v>
      </c>
      <c r="L120" s="173">
        <f t="shared" si="55"/>
        <v>0</v>
      </c>
      <c r="M120" s="173">
        <f t="shared" si="56"/>
        <v>1318287.4116704226</v>
      </c>
      <c r="N120" s="173">
        <f t="shared" si="57"/>
        <v>0</v>
      </c>
      <c r="O120" s="173">
        <f t="shared" si="58"/>
        <v>1362814.5024641815</v>
      </c>
      <c r="P120" s="173">
        <f t="shared" si="59"/>
        <v>0</v>
      </c>
      <c r="Q120" s="173">
        <f t="shared" si="60"/>
        <v>1388107.7152701144</v>
      </c>
      <c r="R120" s="173">
        <f t="shared" si="61"/>
        <v>0</v>
      </c>
      <c r="S120" s="173">
        <f t="shared" si="62"/>
        <v>1413761.0340292039</v>
      </c>
      <c r="U120" s="87" t="s">
        <v>505</v>
      </c>
      <c r="V120" s="87" t="s">
        <v>506</v>
      </c>
      <c r="W120" s="173">
        <f t="shared" si="63"/>
        <v>0</v>
      </c>
      <c r="X120" s="173">
        <f t="shared" si="97"/>
        <v>1318287.4116704226</v>
      </c>
      <c r="Y120" s="173">
        <f t="shared" si="98"/>
        <v>0</v>
      </c>
      <c r="Z120" s="173">
        <f t="shared" si="99"/>
        <v>1369491.3673833464</v>
      </c>
      <c r="AA120" s="173">
        <f t="shared" si="100"/>
        <v>0</v>
      </c>
      <c r="AB120" s="173">
        <f t="shared" si="101"/>
        <v>1395956.3850294864</v>
      </c>
      <c r="AC120" s="173">
        <f t="shared" si="102"/>
        <v>0</v>
      </c>
      <c r="AD120" s="173">
        <f t="shared" si="103"/>
        <v>1424200.6822134627</v>
      </c>
      <c r="AF120" s="87" t="s">
        <v>505</v>
      </c>
      <c r="AG120" s="87" t="s">
        <v>506</v>
      </c>
      <c r="AH120" s="173">
        <f t="shared" si="64"/>
        <v>0</v>
      </c>
      <c r="AI120" s="173">
        <f t="shared" si="65"/>
        <v>1318287.4116704226</v>
      </c>
      <c r="AJ120" s="173">
        <f t="shared" si="66"/>
        <v>0</v>
      </c>
      <c r="AK120" s="173">
        <f t="shared" si="67"/>
        <v>1364638.1155164416</v>
      </c>
      <c r="AL120" s="173">
        <f t="shared" si="68"/>
        <v>0</v>
      </c>
      <c r="AM120" s="173">
        <f t="shared" si="69"/>
        <v>1390707.4343682174</v>
      </c>
      <c r="AN120" s="173">
        <f t="shared" si="70"/>
        <v>0</v>
      </c>
      <c r="AO120" s="173">
        <f t="shared" si="71"/>
        <v>1415224.9529516292</v>
      </c>
      <c r="AQ120" s="87" t="s">
        <v>505</v>
      </c>
      <c r="AR120" s="87" t="s">
        <v>506</v>
      </c>
      <c r="AS120" s="173">
        <f t="shared" si="72"/>
        <v>0</v>
      </c>
      <c r="AT120" s="173">
        <f t="shared" si="73"/>
        <v>1318287.4116704226</v>
      </c>
      <c r="AU120" s="173">
        <f t="shared" si="74"/>
        <v>0</v>
      </c>
      <c r="AV120" s="173">
        <f t="shared" si="75"/>
        <v>1396467.9069794687</v>
      </c>
      <c r="AW120" s="173">
        <f t="shared" si="76"/>
        <v>0</v>
      </c>
      <c r="AX120" s="173">
        <f t="shared" si="77"/>
        <v>1421085.6390378948</v>
      </c>
      <c r="AY120" s="173">
        <f t="shared" si="78"/>
        <v>0</v>
      </c>
      <c r="AZ120" s="173">
        <f t="shared" si="79"/>
        <v>1447451.2479768642</v>
      </c>
      <c r="BB120" s="87" t="s">
        <v>505</v>
      </c>
      <c r="BC120" s="87" t="s">
        <v>506</v>
      </c>
      <c r="BD120" s="173">
        <f t="shared" si="80"/>
        <v>0</v>
      </c>
      <c r="BE120" s="173">
        <f t="shared" si="81"/>
        <v>1318287.4116704226</v>
      </c>
      <c r="BF120" s="173">
        <f t="shared" si="82"/>
        <v>0</v>
      </c>
      <c r="BG120" s="173">
        <f t="shared" si="83"/>
        <v>1403309.6479822285</v>
      </c>
      <c r="BH120" s="173">
        <f t="shared" si="84"/>
        <v>0</v>
      </c>
      <c r="BI120" s="173">
        <f t="shared" si="85"/>
        <v>1429120.7749136249</v>
      </c>
      <c r="BJ120" s="173">
        <f t="shared" si="86"/>
        <v>0</v>
      </c>
      <c r="BK120" s="173">
        <f t="shared" si="87"/>
        <v>1458139.673723581</v>
      </c>
      <c r="BM120" s="87" t="s">
        <v>505</v>
      </c>
      <c r="BN120" s="87" t="s">
        <v>506</v>
      </c>
      <c r="BO120" s="173">
        <f t="shared" si="88"/>
        <v>0</v>
      </c>
      <c r="BP120" s="173">
        <f t="shared" si="89"/>
        <v>1318287.4116704226</v>
      </c>
      <c r="BQ120" s="173">
        <f t="shared" si="90"/>
        <v>0</v>
      </c>
      <c r="BR120" s="173">
        <f t="shared" si="91"/>
        <v>1398337.3572451111</v>
      </c>
      <c r="BS120" s="173">
        <f t="shared" si="92"/>
        <v>0</v>
      </c>
      <c r="BT120" s="173">
        <f t="shared" si="93"/>
        <v>1423747.2641672175</v>
      </c>
      <c r="BU120" s="173">
        <f t="shared" si="94"/>
        <v>0</v>
      </c>
      <c r="BV120" s="173">
        <f t="shared" si="95"/>
        <v>1448950.017074384</v>
      </c>
    </row>
    <row r="121" spans="5:74">
      <c r="E121" s="87" t="s">
        <v>21</v>
      </c>
      <c r="F121" s="87" t="s">
        <v>22</v>
      </c>
      <c r="G121" s="173">
        <f>IFERROR(IF(VLOOKUP(E121,A:C,3,FALSE)="YES",VLOOKUP(E121,'School Year 2021-22 SPED coop'!A:P,16,FALSE),0),0)</f>
        <v>0</v>
      </c>
      <c r="H121" s="173">
        <f t="shared" si="96"/>
        <v>1625962.3900000001</v>
      </c>
      <c r="J121" s="87" t="s">
        <v>21</v>
      </c>
      <c r="K121" s="87" t="s">
        <v>22</v>
      </c>
      <c r="L121" s="173">
        <f t="shared" si="55"/>
        <v>0</v>
      </c>
      <c r="M121" s="173">
        <f t="shared" si="56"/>
        <v>1644237.8240866514</v>
      </c>
      <c r="N121" s="173">
        <f t="shared" si="57"/>
        <v>0</v>
      </c>
      <c r="O121" s="173">
        <f t="shared" si="58"/>
        <v>1699929.0803152553</v>
      </c>
      <c r="P121" s="173">
        <f t="shared" si="59"/>
        <v>0</v>
      </c>
      <c r="Q121" s="173">
        <f t="shared" si="60"/>
        <v>1731411.8313515463</v>
      </c>
      <c r="R121" s="173">
        <f t="shared" si="61"/>
        <v>0</v>
      </c>
      <c r="S121" s="173">
        <f t="shared" si="62"/>
        <v>1763286.8436529241</v>
      </c>
      <c r="U121" s="87" t="s">
        <v>21</v>
      </c>
      <c r="V121" s="87" t="s">
        <v>22</v>
      </c>
      <c r="W121" s="173">
        <f t="shared" si="63"/>
        <v>0</v>
      </c>
      <c r="X121" s="173">
        <f t="shared" si="97"/>
        <v>1644237.8240866514</v>
      </c>
      <c r="Y121" s="173">
        <f t="shared" si="98"/>
        <v>0</v>
      </c>
      <c r="Z121" s="173">
        <f t="shared" si="99"/>
        <v>1708244.5399632929</v>
      </c>
      <c r="AA121" s="173">
        <f t="shared" si="100"/>
        <v>0</v>
      </c>
      <c r="AB121" s="173">
        <f t="shared" si="101"/>
        <v>1741186.0967586918</v>
      </c>
      <c r="AC121" s="173">
        <f t="shared" si="102"/>
        <v>0</v>
      </c>
      <c r="AD121" s="173">
        <f t="shared" si="103"/>
        <v>1776296.3223024979</v>
      </c>
      <c r="AF121" s="87" t="s">
        <v>21</v>
      </c>
      <c r="AG121" s="87" t="s">
        <v>22</v>
      </c>
      <c r="AH121" s="173">
        <f t="shared" si="64"/>
        <v>0</v>
      </c>
      <c r="AI121" s="173">
        <f t="shared" si="65"/>
        <v>1644237.8240866514</v>
      </c>
      <c r="AJ121" s="173">
        <f t="shared" si="66"/>
        <v>0</v>
      </c>
      <c r="AK121" s="173">
        <f t="shared" si="67"/>
        <v>1687671.5901656135</v>
      </c>
      <c r="AL121" s="173">
        <f t="shared" si="68"/>
        <v>0</v>
      </c>
      <c r="AM121" s="173">
        <f t="shared" si="69"/>
        <v>1726050.703868632</v>
      </c>
      <c r="AN121" s="173">
        <f t="shared" si="70"/>
        <v>0</v>
      </c>
      <c r="AO121" s="173">
        <f t="shared" si="71"/>
        <v>1756635.5847603988</v>
      </c>
      <c r="AQ121" s="87" t="s">
        <v>21</v>
      </c>
      <c r="AR121" s="87" t="s">
        <v>22</v>
      </c>
      <c r="AS121" s="173">
        <f t="shared" si="72"/>
        <v>0</v>
      </c>
      <c r="AT121" s="173">
        <f t="shared" si="73"/>
        <v>1644237.8240866514</v>
      </c>
      <c r="AU121" s="173">
        <f t="shared" si="74"/>
        <v>0</v>
      </c>
      <c r="AV121" s="173">
        <f t="shared" si="75"/>
        <v>1741772.490940022</v>
      </c>
      <c r="AW121" s="173">
        <f t="shared" si="76"/>
        <v>0</v>
      </c>
      <c r="AX121" s="173">
        <f t="shared" si="77"/>
        <v>1772360.9995309773</v>
      </c>
      <c r="AY121" s="173">
        <f t="shared" si="78"/>
        <v>0</v>
      </c>
      <c r="AZ121" s="173">
        <f t="shared" si="79"/>
        <v>1805121.1014039875</v>
      </c>
      <c r="BB121" s="87" t="s">
        <v>21</v>
      </c>
      <c r="BC121" s="87" t="s">
        <v>22</v>
      </c>
      <c r="BD121" s="173">
        <f t="shared" si="80"/>
        <v>0</v>
      </c>
      <c r="BE121" s="173">
        <f t="shared" si="81"/>
        <v>1644237.8240866514</v>
      </c>
      <c r="BF121" s="173">
        <f t="shared" si="82"/>
        <v>0</v>
      </c>
      <c r="BG121" s="173">
        <f t="shared" si="83"/>
        <v>1750292.6238076673</v>
      </c>
      <c r="BH121" s="173">
        <f t="shared" si="84"/>
        <v>0</v>
      </c>
      <c r="BI121" s="173">
        <f t="shared" si="85"/>
        <v>1782366.4280036138</v>
      </c>
      <c r="BJ121" s="173">
        <f t="shared" si="86"/>
        <v>0</v>
      </c>
      <c r="BK121" s="173">
        <f t="shared" si="87"/>
        <v>1818439.2250140733</v>
      </c>
      <c r="BM121" s="87" t="s">
        <v>21</v>
      </c>
      <c r="BN121" s="87" t="s">
        <v>22</v>
      </c>
      <c r="BO121" s="173">
        <f t="shared" si="88"/>
        <v>0</v>
      </c>
      <c r="BP121" s="173">
        <f t="shared" si="89"/>
        <v>1644237.8240866514</v>
      </c>
      <c r="BQ121" s="173">
        <f t="shared" si="90"/>
        <v>0</v>
      </c>
      <c r="BR121" s="173">
        <f t="shared" si="91"/>
        <v>1729209.9105518963</v>
      </c>
      <c r="BS121" s="173">
        <f t="shared" si="92"/>
        <v>0</v>
      </c>
      <c r="BT121" s="173">
        <f t="shared" si="93"/>
        <v>1766875.7840195154</v>
      </c>
      <c r="BU121" s="173">
        <f t="shared" si="94"/>
        <v>0</v>
      </c>
      <c r="BV121" s="173">
        <f t="shared" si="95"/>
        <v>1798314.0678295826</v>
      </c>
    </row>
    <row r="122" spans="5:74">
      <c r="E122" s="87" t="s">
        <v>247</v>
      </c>
      <c r="F122" s="87" t="s">
        <v>248</v>
      </c>
      <c r="G122" s="173">
        <f>IFERROR(IF(VLOOKUP(E122,A:C,3,FALSE)="YES",VLOOKUP(E122,'School Year 2021-22 SPED coop'!A:P,16,FALSE),0),0)</f>
        <v>0</v>
      </c>
      <c r="H122" s="173">
        <f t="shared" si="96"/>
        <v>714434.04</v>
      </c>
      <c r="J122" s="87" t="s">
        <v>247</v>
      </c>
      <c r="K122" s="87" t="s">
        <v>248</v>
      </c>
      <c r="L122" s="173">
        <f t="shared" si="55"/>
        <v>0</v>
      </c>
      <c r="M122" s="173">
        <f t="shared" si="56"/>
        <v>724780.13679404021</v>
      </c>
      <c r="N122" s="173">
        <f t="shared" si="57"/>
        <v>0</v>
      </c>
      <c r="O122" s="173">
        <f t="shared" si="58"/>
        <v>749346.27438564587</v>
      </c>
      <c r="P122" s="173">
        <f t="shared" si="59"/>
        <v>0</v>
      </c>
      <c r="Q122" s="173">
        <f t="shared" si="60"/>
        <v>763226.22088870732</v>
      </c>
      <c r="R122" s="173">
        <f t="shared" si="61"/>
        <v>0</v>
      </c>
      <c r="S122" s="173">
        <f t="shared" si="62"/>
        <v>777280.77549797983</v>
      </c>
      <c r="U122" s="87" t="s">
        <v>247</v>
      </c>
      <c r="V122" s="87" t="s">
        <v>248</v>
      </c>
      <c r="W122" s="173">
        <f t="shared" si="63"/>
        <v>0</v>
      </c>
      <c r="X122" s="173">
        <f t="shared" si="97"/>
        <v>724780.13679404021</v>
      </c>
      <c r="Y122" s="173">
        <f t="shared" si="98"/>
        <v>0</v>
      </c>
      <c r="Z122" s="173">
        <f t="shared" si="99"/>
        <v>752995.70834156428</v>
      </c>
      <c r="AA122" s="173">
        <f t="shared" si="100"/>
        <v>0</v>
      </c>
      <c r="AB122" s="173">
        <f t="shared" si="101"/>
        <v>767526.74198118318</v>
      </c>
      <c r="AC122" s="173">
        <f t="shared" si="102"/>
        <v>0</v>
      </c>
      <c r="AD122" s="173">
        <f t="shared" si="103"/>
        <v>783011.88033056317</v>
      </c>
      <c r="AF122" s="87" t="s">
        <v>247</v>
      </c>
      <c r="AG122" s="87" t="s">
        <v>248</v>
      </c>
      <c r="AH122" s="173">
        <f t="shared" si="64"/>
        <v>0</v>
      </c>
      <c r="AI122" s="173">
        <f t="shared" si="65"/>
        <v>724780.13679404021</v>
      </c>
      <c r="AJ122" s="173">
        <f t="shared" si="66"/>
        <v>0</v>
      </c>
      <c r="AK122" s="173">
        <f t="shared" si="67"/>
        <v>748021.01588968909</v>
      </c>
      <c r="AL122" s="173">
        <f t="shared" si="68"/>
        <v>0</v>
      </c>
      <c r="AM122" s="173">
        <f t="shared" si="69"/>
        <v>767498.74836822553</v>
      </c>
      <c r="AN122" s="173">
        <f t="shared" si="70"/>
        <v>0</v>
      </c>
      <c r="AO122" s="173">
        <f t="shared" si="71"/>
        <v>783420.39778373658</v>
      </c>
      <c r="AQ122" s="87" t="s">
        <v>247</v>
      </c>
      <c r="AR122" s="87" t="s">
        <v>248</v>
      </c>
      <c r="AS122" s="173">
        <f t="shared" si="72"/>
        <v>0</v>
      </c>
      <c r="AT122" s="173">
        <f t="shared" si="73"/>
        <v>724780.13679404021</v>
      </c>
      <c r="AU122" s="173">
        <f t="shared" si="74"/>
        <v>0</v>
      </c>
      <c r="AV122" s="173">
        <f t="shared" si="75"/>
        <v>767789.27618357155</v>
      </c>
      <c r="AW122" s="173">
        <f t="shared" si="76"/>
        <v>0</v>
      </c>
      <c r="AX122" s="173">
        <f t="shared" si="77"/>
        <v>781276.45151512453</v>
      </c>
      <c r="AY122" s="173">
        <f t="shared" si="78"/>
        <v>0</v>
      </c>
      <c r="AZ122" s="173">
        <f t="shared" si="79"/>
        <v>795721.1485007233</v>
      </c>
      <c r="BB122" s="87" t="s">
        <v>247</v>
      </c>
      <c r="BC122" s="87" t="s">
        <v>248</v>
      </c>
      <c r="BD122" s="173">
        <f t="shared" si="80"/>
        <v>0</v>
      </c>
      <c r="BE122" s="173">
        <f t="shared" si="81"/>
        <v>724780.13679404021</v>
      </c>
      <c r="BF122" s="173">
        <f t="shared" si="82"/>
        <v>0</v>
      </c>
      <c r="BG122" s="173">
        <f t="shared" si="83"/>
        <v>771528.51736911805</v>
      </c>
      <c r="BH122" s="173">
        <f t="shared" si="84"/>
        <v>0</v>
      </c>
      <c r="BI122" s="173">
        <f t="shared" si="85"/>
        <v>785678.67324798566</v>
      </c>
      <c r="BJ122" s="173">
        <f t="shared" si="86"/>
        <v>0</v>
      </c>
      <c r="BK122" s="173">
        <f t="shared" si="87"/>
        <v>801588.2144400978</v>
      </c>
      <c r="BM122" s="87" t="s">
        <v>247</v>
      </c>
      <c r="BN122" s="87" t="s">
        <v>248</v>
      </c>
      <c r="BO122" s="173">
        <f t="shared" si="88"/>
        <v>0</v>
      </c>
      <c r="BP122" s="173">
        <f t="shared" si="89"/>
        <v>724780.13679404021</v>
      </c>
      <c r="BQ122" s="173">
        <f t="shared" si="90"/>
        <v>0</v>
      </c>
      <c r="BR122" s="173">
        <f t="shared" si="91"/>
        <v>766431.50133790553</v>
      </c>
      <c r="BS122" s="173">
        <f t="shared" si="92"/>
        <v>0</v>
      </c>
      <c r="BT122" s="173">
        <f t="shared" si="93"/>
        <v>785652.95975776936</v>
      </c>
      <c r="BU122" s="173">
        <f t="shared" si="94"/>
        <v>0</v>
      </c>
      <c r="BV122" s="173">
        <f t="shared" si="95"/>
        <v>802009.40874642588</v>
      </c>
    </row>
    <row r="123" spans="5:74">
      <c r="E123" s="87" t="s">
        <v>261</v>
      </c>
      <c r="F123" s="87" t="s">
        <v>262</v>
      </c>
      <c r="G123" s="173">
        <f>IFERROR(IF(VLOOKUP(E123,A:C,3,FALSE)="YES",VLOOKUP(E123,'School Year 2021-22 SPED coop'!A:P,16,FALSE),0),0)</f>
        <v>102544.82</v>
      </c>
      <c r="H123" s="173">
        <f t="shared" si="96"/>
        <v>0</v>
      </c>
      <c r="J123" s="87" t="s">
        <v>261</v>
      </c>
      <c r="K123" s="87" t="s">
        <v>262</v>
      </c>
      <c r="L123" s="173">
        <f t="shared" si="55"/>
        <v>116007.66203102519</v>
      </c>
      <c r="M123" s="173">
        <f t="shared" si="56"/>
        <v>0</v>
      </c>
      <c r="N123" s="173">
        <f t="shared" si="57"/>
        <v>119923.58108203112</v>
      </c>
      <c r="O123" s="173">
        <f t="shared" si="58"/>
        <v>0</v>
      </c>
      <c r="P123" s="173">
        <f t="shared" si="59"/>
        <v>122148.0260760142</v>
      </c>
      <c r="Q123" s="173">
        <f t="shared" si="60"/>
        <v>0</v>
      </c>
      <c r="R123" s="173">
        <f t="shared" si="61"/>
        <v>124403.10032348329</v>
      </c>
      <c r="S123" s="173">
        <f t="shared" si="62"/>
        <v>0</v>
      </c>
      <c r="U123" s="87" t="s">
        <v>261</v>
      </c>
      <c r="V123" s="87" t="s">
        <v>262</v>
      </c>
      <c r="W123" s="173">
        <f t="shared" si="63"/>
        <v>116007.66203102519</v>
      </c>
      <c r="X123" s="173">
        <f t="shared" si="97"/>
        <v>0</v>
      </c>
      <c r="Y123" s="173">
        <f t="shared" si="98"/>
        <v>119923.58108203112</v>
      </c>
      <c r="Z123" s="173">
        <f t="shared" si="99"/>
        <v>0</v>
      </c>
      <c r="AA123" s="173">
        <f t="shared" si="100"/>
        <v>122148.0260760142</v>
      </c>
      <c r="AB123" s="173">
        <f t="shared" si="101"/>
        <v>0</v>
      </c>
      <c r="AC123" s="173">
        <f t="shared" si="102"/>
        <v>124403.10032348329</v>
      </c>
      <c r="AD123" s="173">
        <f t="shared" si="103"/>
        <v>0</v>
      </c>
      <c r="AF123" s="87" t="s">
        <v>261</v>
      </c>
      <c r="AG123" s="87" t="s">
        <v>262</v>
      </c>
      <c r="AH123" s="173">
        <f t="shared" si="64"/>
        <v>116007.66203102519</v>
      </c>
      <c r="AI123" s="173">
        <f t="shared" si="65"/>
        <v>0</v>
      </c>
      <c r="AJ123" s="173">
        <f t="shared" si="66"/>
        <v>119969.52342453587</v>
      </c>
      <c r="AK123" s="173">
        <f t="shared" si="67"/>
        <v>0</v>
      </c>
      <c r="AL123" s="173">
        <f t="shared" si="68"/>
        <v>121946.1797254804</v>
      </c>
      <c r="AM123" s="173">
        <f t="shared" si="69"/>
        <v>0</v>
      </c>
      <c r="AN123" s="173">
        <f t="shared" si="70"/>
        <v>123947.06611483921</v>
      </c>
      <c r="AO123" s="173">
        <f t="shared" si="71"/>
        <v>0</v>
      </c>
      <c r="AQ123" s="87" t="s">
        <v>261</v>
      </c>
      <c r="AR123" s="87" t="s">
        <v>262</v>
      </c>
      <c r="AS123" s="173">
        <f t="shared" si="72"/>
        <v>116007.66203102519</v>
      </c>
      <c r="AT123" s="173">
        <f t="shared" si="73"/>
        <v>0</v>
      </c>
      <c r="AU123" s="173">
        <f t="shared" si="74"/>
        <v>122884.79507217648</v>
      </c>
      <c r="AV123" s="173">
        <f t="shared" si="75"/>
        <v>0</v>
      </c>
      <c r="AW123" s="173">
        <f t="shared" si="76"/>
        <v>125048.88843120573</v>
      </c>
      <c r="AX123" s="173">
        <f t="shared" si="77"/>
        <v>0</v>
      </c>
      <c r="AY123" s="173">
        <f t="shared" si="78"/>
        <v>127366.6174036038</v>
      </c>
      <c r="AZ123" s="173">
        <f t="shared" si="79"/>
        <v>0</v>
      </c>
      <c r="BB123" s="87" t="s">
        <v>261</v>
      </c>
      <c r="BC123" s="87" t="s">
        <v>262</v>
      </c>
      <c r="BD123" s="173">
        <f t="shared" si="80"/>
        <v>116007.66203102519</v>
      </c>
      <c r="BE123" s="173">
        <f t="shared" si="81"/>
        <v>0</v>
      </c>
      <c r="BF123" s="173">
        <f t="shared" si="82"/>
        <v>122884.79507217648</v>
      </c>
      <c r="BG123" s="173">
        <f t="shared" si="83"/>
        <v>0</v>
      </c>
      <c r="BH123" s="173">
        <f t="shared" si="84"/>
        <v>125048.88843120573</v>
      </c>
      <c r="BI123" s="173">
        <f t="shared" si="85"/>
        <v>0</v>
      </c>
      <c r="BJ123" s="173">
        <f t="shared" si="86"/>
        <v>127366.6174036038</v>
      </c>
      <c r="BK123" s="173">
        <f t="shared" si="87"/>
        <v>0</v>
      </c>
      <c r="BM123" s="87" t="s">
        <v>261</v>
      </c>
      <c r="BN123" s="87" t="s">
        <v>262</v>
      </c>
      <c r="BO123" s="173">
        <f t="shared" si="88"/>
        <v>116007.66203102519</v>
      </c>
      <c r="BP123" s="173">
        <f t="shared" si="89"/>
        <v>0</v>
      </c>
      <c r="BQ123" s="173">
        <f t="shared" si="90"/>
        <v>122932.18411572796</v>
      </c>
      <c r="BR123" s="173">
        <f t="shared" si="91"/>
        <v>0</v>
      </c>
      <c r="BS123" s="173">
        <f t="shared" si="92"/>
        <v>124843.01823064315</v>
      </c>
      <c r="BT123" s="173">
        <f t="shared" si="93"/>
        <v>0</v>
      </c>
      <c r="BU123" s="173">
        <f t="shared" si="94"/>
        <v>126900.22297335454</v>
      </c>
      <c r="BV123" s="173">
        <f t="shared" si="95"/>
        <v>0</v>
      </c>
    </row>
    <row r="124" spans="5:74">
      <c r="E124" s="87" t="s">
        <v>59</v>
      </c>
      <c r="F124" s="87" t="s">
        <v>60</v>
      </c>
      <c r="G124" s="173">
        <f>IFERROR(IF(VLOOKUP(E124,A:C,3,FALSE)="YES",VLOOKUP(E124,'School Year 2021-22 SPED coop'!A:P,16,FALSE),0),0)</f>
        <v>0</v>
      </c>
      <c r="H124" s="173">
        <f t="shared" si="96"/>
        <v>2124677.09</v>
      </c>
      <c r="J124" s="87" t="s">
        <v>59</v>
      </c>
      <c r="K124" s="87" t="s">
        <v>60</v>
      </c>
      <c r="L124" s="173">
        <f t="shared" si="55"/>
        <v>0</v>
      </c>
      <c r="M124" s="173">
        <f t="shared" si="56"/>
        <v>2152277.0076281372</v>
      </c>
      <c r="N124" s="173">
        <f t="shared" si="57"/>
        <v>0</v>
      </c>
      <c r="O124" s="173">
        <f t="shared" si="58"/>
        <v>2224413.8841226762</v>
      </c>
      <c r="P124" s="173">
        <f t="shared" si="59"/>
        <v>0</v>
      </c>
      <c r="Q124" s="173">
        <f t="shared" si="60"/>
        <v>2265796.0169160785</v>
      </c>
      <c r="R124" s="173">
        <f t="shared" si="61"/>
        <v>0</v>
      </c>
      <c r="S124" s="173">
        <f t="shared" si="62"/>
        <v>2307855.5059738168</v>
      </c>
      <c r="U124" s="87" t="s">
        <v>59</v>
      </c>
      <c r="V124" s="87" t="s">
        <v>60</v>
      </c>
      <c r="W124" s="173">
        <f t="shared" si="63"/>
        <v>0</v>
      </c>
      <c r="X124" s="173">
        <f t="shared" si="97"/>
        <v>2152277.0076281372</v>
      </c>
      <c r="Y124" s="173">
        <f t="shared" si="98"/>
        <v>0</v>
      </c>
      <c r="Z124" s="173">
        <f t="shared" si="99"/>
        <v>2235319.4127662871</v>
      </c>
      <c r="AA124" s="173">
        <f t="shared" si="100"/>
        <v>0</v>
      </c>
      <c r="AB124" s="173">
        <f t="shared" si="101"/>
        <v>2278596.7768867691</v>
      </c>
      <c r="AC124" s="173">
        <f t="shared" si="102"/>
        <v>0</v>
      </c>
      <c r="AD124" s="173">
        <f t="shared" si="103"/>
        <v>2324893.2167559038</v>
      </c>
      <c r="AF124" s="87" t="s">
        <v>59</v>
      </c>
      <c r="AG124" s="87" t="s">
        <v>60</v>
      </c>
      <c r="AH124" s="173">
        <f t="shared" si="64"/>
        <v>0</v>
      </c>
      <c r="AI124" s="173">
        <f t="shared" si="65"/>
        <v>2152277.0076281372</v>
      </c>
      <c r="AJ124" s="173">
        <f t="shared" si="66"/>
        <v>0</v>
      </c>
      <c r="AK124" s="173">
        <f t="shared" si="67"/>
        <v>2217768.6113958363</v>
      </c>
      <c r="AL124" s="173">
        <f t="shared" si="68"/>
        <v>0</v>
      </c>
      <c r="AM124" s="173">
        <f t="shared" si="69"/>
        <v>2259483.5230906927</v>
      </c>
      <c r="AN124" s="173">
        <f t="shared" si="70"/>
        <v>0</v>
      </c>
      <c r="AO124" s="173">
        <f t="shared" si="71"/>
        <v>2301481.650989112</v>
      </c>
      <c r="AQ124" s="87" t="s">
        <v>59</v>
      </c>
      <c r="AR124" s="87" t="s">
        <v>60</v>
      </c>
      <c r="AS124" s="173">
        <f t="shared" si="72"/>
        <v>0</v>
      </c>
      <c r="AT124" s="173">
        <f t="shared" si="73"/>
        <v>2152277.0076281372</v>
      </c>
      <c r="AU124" s="173">
        <f t="shared" si="74"/>
        <v>0</v>
      </c>
      <c r="AV124" s="173">
        <f t="shared" si="75"/>
        <v>2279632.9272866589</v>
      </c>
      <c r="AW124" s="173">
        <f t="shared" si="76"/>
        <v>0</v>
      </c>
      <c r="AX124" s="173">
        <f t="shared" si="77"/>
        <v>2319995.936405852</v>
      </c>
      <c r="AY124" s="173">
        <f t="shared" si="78"/>
        <v>0</v>
      </c>
      <c r="AZ124" s="173">
        <f t="shared" si="79"/>
        <v>2363224.5413975418</v>
      </c>
      <c r="BB124" s="87" t="s">
        <v>59</v>
      </c>
      <c r="BC124" s="87" t="s">
        <v>60</v>
      </c>
      <c r="BD124" s="173">
        <f t="shared" si="80"/>
        <v>0</v>
      </c>
      <c r="BE124" s="173">
        <f t="shared" si="81"/>
        <v>2152277.0076281372</v>
      </c>
      <c r="BF124" s="173">
        <f t="shared" si="82"/>
        <v>0</v>
      </c>
      <c r="BG124" s="173">
        <f t="shared" si="83"/>
        <v>2290809.1754146656</v>
      </c>
      <c r="BH124" s="173">
        <f t="shared" si="84"/>
        <v>0</v>
      </c>
      <c r="BI124" s="173">
        <f t="shared" si="85"/>
        <v>2333102.8993022707</v>
      </c>
      <c r="BJ124" s="173">
        <f t="shared" si="86"/>
        <v>0</v>
      </c>
      <c r="BK124" s="173">
        <f t="shared" si="87"/>
        <v>2380671.0085711498</v>
      </c>
      <c r="BM124" s="87" t="s">
        <v>59</v>
      </c>
      <c r="BN124" s="87" t="s">
        <v>60</v>
      </c>
      <c r="BO124" s="173">
        <f t="shared" si="88"/>
        <v>0</v>
      </c>
      <c r="BP124" s="173">
        <f t="shared" si="89"/>
        <v>2152277.0076281372</v>
      </c>
      <c r="BQ124" s="173">
        <f t="shared" si="90"/>
        <v>0</v>
      </c>
      <c r="BR124" s="173">
        <f t="shared" si="91"/>
        <v>2272820.6747215628</v>
      </c>
      <c r="BS124" s="173">
        <f t="shared" si="92"/>
        <v>0</v>
      </c>
      <c r="BT124" s="173">
        <f t="shared" si="93"/>
        <v>2313531.7463743053</v>
      </c>
      <c r="BU124" s="173">
        <f t="shared" si="94"/>
        <v>0</v>
      </c>
      <c r="BV124" s="173">
        <f t="shared" si="95"/>
        <v>2356697.038182891</v>
      </c>
    </row>
    <row r="125" spans="5:74">
      <c r="E125" s="87" t="s">
        <v>409</v>
      </c>
      <c r="F125" s="87" t="s">
        <v>410</v>
      </c>
      <c r="G125" s="173">
        <f>IFERROR(IF(VLOOKUP(E125,A:C,3,FALSE)="YES",VLOOKUP(E125,'School Year 2021-22 SPED coop'!A:P,16,FALSE),0),0)</f>
        <v>0</v>
      </c>
      <c r="H125" s="173">
        <f t="shared" si="96"/>
        <v>783790.3</v>
      </c>
      <c r="J125" s="87" t="s">
        <v>409</v>
      </c>
      <c r="K125" s="87" t="s">
        <v>410</v>
      </c>
      <c r="L125" s="173">
        <f t="shared" si="55"/>
        <v>0</v>
      </c>
      <c r="M125" s="173">
        <f t="shared" si="56"/>
        <v>802992.76765904401</v>
      </c>
      <c r="N125" s="173">
        <f t="shared" si="57"/>
        <v>0</v>
      </c>
      <c r="O125" s="173">
        <f t="shared" si="58"/>
        <v>829732.15281959483</v>
      </c>
      <c r="P125" s="173">
        <f t="shared" si="59"/>
        <v>0</v>
      </c>
      <c r="Q125" s="173">
        <f t="shared" si="60"/>
        <v>845208.46626027592</v>
      </c>
      <c r="R125" s="173">
        <f t="shared" si="61"/>
        <v>0</v>
      </c>
      <c r="S125" s="173">
        <f t="shared" si="62"/>
        <v>860973.7047081053</v>
      </c>
      <c r="U125" s="87" t="s">
        <v>409</v>
      </c>
      <c r="V125" s="87" t="s">
        <v>410</v>
      </c>
      <c r="W125" s="173">
        <f t="shared" si="63"/>
        <v>0</v>
      </c>
      <c r="X125" s="173">
        <f t="shared" si="97"/>
        <v>802992.76765904401</v>
      </c>
      <c r="Y125" s="173">
        <f t="shared" si="98"/>
        <v>0</v>
      </c>
      <c r="Z125" s="173">
        <f t="shared" si="99"/>
        <v>833817.03960315627</v>
      </c>
      <c r="AA125" s="173">
        <f t="shared" si="100"/>
        <v>0</v>
      </c>
      <c r="AB125" s="173">
        <f t="shared" si="101"/>
        <v>850000.488448316</v>
      </c>
      <c r="AC125" s="173">
        <f t="shared" si="102"/>
        <v>0</v>
      </c>
      <c r="AD125" s="173">
        <f t="shared" si="103"/>
        <v>867338.47959668236</v>
      </c>
      <c r="AF125" s="87" t="s">
        <v>409</v>
      </c>
      <c r="AG125" s="87" t="s">
        <v>410</v>
      </c>
      <c r="AH125" s="173">
        <f t="shared" si="64"/>
        <v>0</v>
      </c>
      <c r="AI125" s="173">
        <f t="shared" si="65"/>
        <v>802992.76765904401</v>
      </c>
      <c r="AJ125" s="173">
        <f t="shared" si="66"/>
        <v>0</v>
      </c>
      <c r="AK125" s="173">
        <f t="shared" si="67"/>
        <v>834080.53334715532</v>
      </c>
      <c r="AL125" s="173">
        <f t="shared" si="68"/>
        <v>0</v>
      </c>
      <c r="AM125" s="173">
        <f t="shared" si="69"/>
        <v>854973.15823606215</v>
      </c>
      <c r="AN125" s="173">
        <f t="shared" si="70"/>
        <v>0</v>
      </c>
      <c r="AO125" s="173">
        <f t="shared" si="71"/>
        <v>879891.45107468159</v>
      </c>
      <c r="AQ125" s="87" t="s">
        <v>409</v>
      </c>
      <c r="AR125" s="87" t="s">
        <v>410</v>
      </c>
      <c r="AS125" s="173">
        <f t="shared" si="72"/>
        <v>0</v>
      </c>
      <c r="AT125" s="173">
        <f t="shared" si="73"/>
        <v>802992.76765904401</v>
      </c>
      <c r="AU125" s="173">
        <f t="shared" si="74"/>
        <v>0</v>
      </c>
      <c r="AV125" s="173">
        <f t="shared" si="75"/>
        <v>850428.58355481166</v>
      </c>
      <c r="AW125" s="173">
        <f t="shared" si="76"/>
        <v>0</v>
      </c>
      <c r="AX125" s="173">
        <f t="shared" si="77"/>
        <v>865558.10758858535</v>
      </c>
      <c r="AY125" s="173">
        <f t="shared" si="78"/>
        <v>0</v>
      </c>
      <c r="AZ125" s="173">
        <f t="shared" si="79"/>
        <v>881761.77440997725</v>
      </c>
      <c r="BB125" s="87" t="s">
        <v>409</v>
      </c>
      <c r="BC125" s="87" t="s">
        <v>410</v>
      </c>
      <c r="BD125" s="173">
        <f t="shared" si="80"/>
        <v>0</v>
      </c>
      <c r="BE125" s="173">
        <f t="shared" si="81"/>
        <v>802992.76765904401</v>
      </c>
      <c r="BF125" s="173">
        <f t="shared" si="82"/>
        <v>0</v>
      </c>
      <c r="BG125" s="173">
        <f t="shared" si="83"/>
        <v>854615.37183641968</v>
      </c>
      <c r="BH125" s="173">
        <f t="shared" si="84"/>
        <v>0</v>
      </c>
      <c r="BI125" s="173">
        <f t="shared" si="85"/>
        <v>870465.51335081761</v>
      </c>
      <c r="BJ125" s="173">
        <f t="shared" si="86"/>
        <v>0</v>
      </c>
      <c r="BK125" s="173">
        <f t="shared" si="87"/>
        <v>888280.22889188805</v>
      </c>
      <c r="BM125" s="87" t="s">
        <v>409</v>
      </c>
      <c r="BN125" s="87" t="s">
        <v>410</v>
      </c>
      <c r="BO125" s="173">
        <f t="shared" si="88"/>
        <v>0</v>
      </c>
      <c r="BP125" s="173">
        <f t="shared" si="89"/>
        <v>802992.76765904401</v>
      </c>
      <c r="BQ125" s="173">
        <f t="shared" si="90"/>
        <v>0</v>
      </c>
      <c r="BR125" s="173">
        <f t="shared" si="91"/>
        <v>854887.76845668023</v>
      </c>
      <c r="BS125" s="173">
        <f t="shared" si="92"/>
        <v>0</v>
      </c>
      <c r="BT125" s="173">
        <f t="shared" si="93"/>
        <v>875561.53431560262</v>
      </c>
      <c r="BU125" s="173">
        <f t="shared" si="94"/>
        <v>0</v>
      </c>
      <c r="BV125" s="173">
        <f t="shared" si="95"/>
        <v>901143.78000687121</v>
      </c>
    </row>
    <row r="126" spans="5:74">
      <c r="E126" s="87" t="s">
        <v>555</v>
      </c>
      <c r="F126" s="87" t="s">
        <v>556</v>
      </c>
      <c r="G126" s="173">
        <f>IFERROR(IF(VLOOKUP(E126,A:C,3,FALSE)="YES",VLOOKUP(E126,'School Year 2021-22 SPED coop'!A:P,16,FALSE),0),0)</f>
        <v>0</v>
      </c>
      <c r="H126" s="173">
        <f t="shared" si="96"/>
        <v>114596.18000000001</v>
      </c>
      <c r="J126" s="87" t="s">
        <v>555</v>
      </c>
      <c r="K126" s="87" t="s">
        <v>556</v>
      </c>
      <c r="L126" s="173">
        <f t="shared" si="55"/>
        <v>0</v>
      </c>
      <c r="M126" s="173">
        <f t="shared" si="56"/>
        <v>115869.15710561308</v>
      </c>
      <c r="N126" s="173">
        <f t="shared" si="57"/>
        <v>0</v>
      </c>
      <c r="O126" s="173">
        <f t="shared" si="58"/>
        <v>119776.2865638237</v>
      </c>
      <c r="P126" s="173">
        <f t="shared" si="59"/>
        <v>0</v>
      </c>
      <c r="Q126" s="173">
        <f t="shared" si="60"/>
        <v>121998.1764980771</v>
      </c>
      <c r="R126" s="173">
        <f t="shared" si="61"/>
        <v>0</v>
      </c>
      <c r="S126" s="173">
        <f t="shared" si="62"/>
        <v>124250.79910095759</v>
      </c>
      <c r="U126" s="87" t="s">
        <v>555</v>
      </c>
      <c r="V126" s="87" t="s">
        <v>556</v>
      </c>
      <c r="W126" s="173">
        <f t="shared" si="63"/>
        <v>0</v>
      </c>
      <c r="X126" s="173">
        <f t="shared" si="97"/>
        <v>115869.15710561308</v>
      </c>
      <c r="Y126" s="173">
        <f t="shared" si="98"/>
        <v>0</v>
      </c>
      <c r="Z126" s="173">
        <f t="shared" si="99"/>
        <v>119776.2865638237</v>
      </c>
      <c r="AA126" s="173">
        <f t="shared" si="100"/>
        <v>0</v>
      </c>
      <c r="AB126" s="173">
        <f t="shared" si="101"/>
        <v>121998.1764980771</v>
      </c>
      <c r="AC126" s="173">
        <f t="shared" si="102"/>
        <v>0</v>
      </c>
      <c r="AD126" s="173">
        <f t="shared" si="103"/>
        <v>124250.79910095759</v>
      </c>
      <c r="AF126" s="87" t="s">
        <v>555</v>
      </c>
      <c r="AG126" s="87" t="s">
        <v>556</v>
      </c>
      <c r="AH126" s="173">
        <f t="shared" si="64"/>
        <v>0</v>
      </c>
      <c r="AI126" s="173">
        <f t="shared" si="65"/>
        <v>115869.15710561308</v>
      </c>
      <c r="AJ126" s="173">
        <f t="shared" si="66"/>
        <v>0</v>
      </c>
      <c r="AK126" s="173">
        <f t="shared" si="67"/>
        <v>119692.80532575042</v>
      </c>
      <c r="AL126" s="173">
        <f t="shared" si="68"/>
        <v>0</v>
      </c>
      <c r="AM126" s="173">
        <f t="shared" si="69"/>
        <v>121913.07787995483</v>
      </c>
      <c r="AN126" s="173">
        <f t="shared" si="70"/>
        <v>0</v>
      </c>
      <c r="AO126" s="173">
        <f t="shared" si="71"/>
        <v>124164.00544493669</v>
      </c>
      <c r="AQ126" s="87" t="s">
        <v>555</v>
      </c>
      <c r="AR126" s="87" t="s">
        <v>556</v>
      </c>
      <c r="AS126" s="173">
        <f t="shared" si="72"/>
        <v>0</v>
      </c>
      <c r="AT126" s="173">
        <f t="shared" si="73"/>
        <v>115869.15710561308</v>
      </c>
      <c r="AU126" s="173">
        <f t="shared" si="74"/>
        <v>0</v>
      </c>
      <c r="AV126" s="173">
        <f t="shared" si="75"/>
        <v>122734.7014248552</v>
      </c>
      <c r="AW126" s="173">
        <f t="shared" si="76"/>
        <v>0</v>
      </c>
      <c r="AX126" s="173">
        <f t="shared" si="77"/>
        <v>124896.44946374305</v>
      </c>
      <c r="AY126" s="173">
        <f t="shared" si="78"/>
        <v>0</v>
      </c>
      <c r="AZ126" s="173">
        <f t="shared" si="79"/>
        <v>127211.67139796309</v>
      </c>
      <c r="BB126" s="87" t="s">
        <v>555</v>
      </c>
      <c r="BC126" s="87" t="s">
        <v>556</v>
      </c>
      <c r="BD126" s="173">
        <f t="shared" si="80"/>
        <v>0</v>
      </c>
      <c r="BE126" s="173">
        <f t="shared" si="81"/>
        <v>115869.15710561308</v>
      </c>
      <c r="BF126" s="173">
        <f t="shared" si="82"/>
        <v>0</v>
      </c>
      <c r="BG126" s="173">
        <f t="shared" si="83"/>
        <v>122734.7014248552</v>
      </c>
      <c r="BH126" s="173">
        <f t="shared" si="84"/>
        <v>0</v>
      </c>
      <c r="BI126" s="173">
        <f t="shared" si="85"/>
        <v>124896.44946374305</v>
      </c>
      <c r="BJ126" s="173">
        <f t="shared" si="86"/>
        <v>0</v>
      </c>
      <c r="BK126" s="173">
        <f t="shared" si="87"/>
        <v>127211.67139796309</v>
      </c>
      <c r="BM126" s="87" t="s">
        <v>555</v>
      </c>
      <c r="BN126" s="87" t="s">
        <v>556</v>
      </c>
      <c r="BO126" s="173">
        <f t="shared" si="88"/>
        <v>0</v>
      </c>
      <c r="BP126" s="173">
        <f t="shared" si="89"/>
        <v>115869.15710561308</v>
      </c>
      <c r="BQ126" s="173">
        <f t="shared" si="90"/>
        <v>0</v>
      </c>
      <c r="BR126" s="173">
        <f t="shared" si="91"/>
        <v>122649.05757915444</v>
      </c>
      <c r="BS126" s="173">
        <f t="shared" si="92"/>
        <v>0</v>
      </c>
      <c r="BT126" s="173">
        <f t="shared" si="93"/>
        <v>124809.18016539828</v>
      </c>
      <c r="BU126" s="173">
        <f t="shared" si="94"/>
        <v>0</v>
      </c>
      <c r="BV126" s="173">
        <f t="shared" si="95"/>
        <v>127122.66008110534</v>
      </c>
    </row>
    <row r="127" spans="5:74">
      <c r="E127" s="87" t="s">
        <v>35</v>
      </c>
      <c r="F127" s="87" t="s">
        <v>36</v>
      </c>
      <c r="G127" s="173">
        <f>IFERROR(IF(VLOOKUP(E127,A:C,3,FALSE)="YES",VLOOKUP(E127,'School Year 2021-22 SPED coop'!A:P,16,FALSE),0),0)</f>
        <v>0</v>
      </c>
      <c r="H127" s="173">
        <f t="shared" si="96"/>
        <v>1143609.71</v>
      </c>
      <c r="J127" s="87" t="s">
        <v>35</v>
      </c>
      <c r="K127" s="87" t="s">
        <v>36</v>
      </c>
      <c r="L127" s="173">
        <f t="shared" si="55"/>
        <v>0</v>
      </c>
      <c r="M127" s="173">
        <f t="shared" si="56"/>
        <v>1156519.6690649325</v>
      </c>
      <c r="N127" s="173">
        <f t="shared" si="57"/>
        <v>0</v>
      </c>
      <c r="O127" s="173">
        <f t="shared" si="58"/>
        <v>1195734.7868678225</v>
      </c>
      <c r="P127" s="173">
        <f t="shared" si="59"/>
        <v>0</v>
      </c>
      <c r="Q127" s="173">
        <f t="shared" si="60"/>
        <v>1217885.176672122</v>
      </c>
      <c r="R127" s="173">
        <f t="shared" si="61"/>
        <v>0</v>
      </c>
      <c r="S127" s="173">
        <f t="shared" si="62"/>
        <v>1240315.9492347795</v>
      </c>
      <c r="U127" s="87" t="s">
        <v>35</v>
      </c>
      <c r="V127" s="87" t="s">
        <v>36</v>
      </c>
      <c r="W127" s="173">
        <f t="shared" si="63"/>
        <v>0</v>
      </c>
      <c r="X127" s="173">
        <f t="shared" si="97"/>
        <v>1156519.6690649325</v>
      </c>
      <c r="Y127" s="173">
        <f t="shared" si="98"/>
        <v>0</v>
      </c>
      <c r="Z127" s="173">
        <f t="shared" si="99"/>
        <v>1201597.9146402609</v>
      </c>
      <c r="AA127" s="173">
        <f t="shared" si="100"/>
        <v>0</v>
      </c>
      <c r="AB127" s="173">
        <f t="shared" si="101"/>
        <v>1224765.7219717638</v>
      </c>
      <c r="AC127" s="173">
        <f t="shared" si="102"/>
        <v>0</v>
      </c>
      <c r="AD127" s="173">
        <f t="shared" si="103"/>
        <v>1249479.2523045565</v>
      </c>
      <c r="AF127" s="87" t="s">
        <v>35</v>
      </c>
      <c r="AG127" s="87" t="s">
        <v>36</v>
      </c>
      <c r="AH127" s="173">
        <f t="shared" si="64"/>
        <v>0</v>
      </c>
      <c r="AI127" s="173">
        <f t="shared" si="65"/>
        <v>1156519.6690649325</v>
      </c>
      <c r="AJ127" s="173">
        <f t="shared" si="66"/>
        <v>0</v>
      </c>
      <c r="AK127" s="173">
        <f t="shared" si="67"/>
        <v>1198810.3843796209</v>
      </c>
      <c r="AL127" s="173">
        <f t="shared" si="68"/>
        <v>0</v>
      </c>
      <c r="AM127" s="173">
        <f t="shared" si="69"/>
        <v>1221412.986005964</v>
      </c>
      <c r="AN127" s="173">
        <f t="shared" si="70"/>
        <v>0</v>
      </c>
      <c r="AO127" s="173">
        <f t="shared" si="71"/>
        <v>1248378.4158881821</v>
      </c>
      <c r="AQ127" s="87" t="s">
        <v>35</v>
      </c>
      <c r="AR127" s="87" t="s">
        <v>36</v>
      </c>
      <c r="AS127" s="173">
        <f t="shared" si="72"/>
        <v>0</v>
      </c>
      <c r="AT127" s="173">
        <f t="shared" si="73"/>
        <v>1156519.6690649325</v>
      </c>
      <c r="AU127" s="173">
        <f t="shared" si="74"/>
        <v>0</v>
      </c>
      <c r="AV127" s="173">
        <f t="shared" si="75"/>
        <v>1225162.6880613777</v>
      </c>
      <c r="AW127" s="173">
        <f t="shared" si="76"/>
        <v>0</v>
      </c>
      <c r="AX127" s="173">
        <f t="shared" si="77"/>
        <v>1246687.8125934917</v>
      </c>
      <c r="AY127" s="173">
        <f t="shared" si="78"/>
        <v>0</v>
      </c>
      <c r="AZ127" s="173">
        <f t="shared" si="79"/>
        <v>1269741.131934341</v>
      </c>
      <c r="BB127" s="87" t="s">
        <v>35</v>
      </c>
      <c r="BC127" s="87" t="s">
        <v>36</v>
      </c>
      <c r="BD127" s="173">
        <f t="shared" si="80"/>
        <v>0</v>
      </c>
      <c r="BE127" s="173">
        <f t="shared" si="81"/>
        <v>1156519.6690649325</v>
      </c>
      <c r="BF127" s="173">
        <f t="shared" si="82"/>
        <v>0</v>
      </c>
      <c r="BG127" s="173">
        <f t="shared" si="83"/>
        <v>1231170.1119721434</v>
      </c>
      <c r="BH127" s="173">
        <f t="shared" si="84"/>
        <v>0</v>
      </c>
      <c r="BI127" s="173">
        <f t="shared" si="85"/>
        <v>1253731.0794339911</v>
      </c>
      <c r="BJ127" s="173">
        <f t="shared" si="86"/>
        <v>0</v>
      </c>
      <c r="BK127" s="173">
        <f t="shared" si="87"/>
        <v>1279121.8256679804</v>
      </c>
      <c r="BM127" s="87" t="s">
        <v>35</v>
      </c>
      <c r="BN127" s="87" t="s">
        <v>36</v>
      </c>
      <c r="BO127" s="173">
        <f t="shared" si="88"/>
        <v>0</v>
      </c>
      <c r="BP127" s="173">
        <f t="shared" si="89"/>
        <v>1156519.6690649325</v>
      </c>
      <c r="BQ127" s="173">
        <f t="shared" si="90"/>
        <v>0</v>
      </c>
      <c r="BR127" s="173">
        <f t="shared" si="91"/>
        <v>1228315.4823914012</v>
      </c>
      <c r="BS127" s="173">
        <f t="shared" si="92"/>
        <v>0</v>
      </c>
      <c r="BT127" s="173">
        <f t="shared" si="93"/>
        <v>1250300.0007031779</v>
      </c>
      <c r="BU127" s="173">
        <f t="shared" si="94"/>
        <v>0</v>
      </c>
      <c r="BV127" s="173">
        <f t="shared" si="95"/>
        <v>1277997.1039872454</v>
      </c>
    </row>
    <row r="128" spans="5:74">
      <c r="E128" s="87" t="s">
        <v>155</v>
      </c>
      <c r="F128" s="87" t="s">
        <v>156</v>
      </c>
      <c r="G128" s="173">
        <f>IFERROR(IF(VLOOKUP(E128,A:C,3,FALSE)="YES",VLOOKUP(E128,'School Year 2021-22 SPED coop'!A:P,16,FALSE),0),0)</f>
        <v>257914.34</v>
      </c>
      <c r="H128" s="173">
        <f t="shared" si="96"/>
        <v>0</v>
      </c>
      <c r="J128" s="87" t="s">
        <v>155</v>
      </c>
      <c r="K128" s="87" t="s">
        <v>156</v>
      </c>
      <c r="L128" s="173">
        <f t="shared" si="55"/>
        <v>215892.21302987021</v>
      </c>
      <c r="M128" s="173">
        <f t="shared" si="56"/>
        <v>0</v>
      </c>
      <c r="N128" s="173">
        <f t="shared" si="57"/>
        <v>223207.03304707663</v>
      </c>
      <c r="O128" s="173">
        <f t="shared" si="58"/>
        <v>0</v>
      </c>
      <c r="P128" s="173">
        <f t="shared" si="59"/>
        <v>227341.28190689447</v>
      </c>
      <c r="Q128" s="173">
        <f t="shared" si="60"/>
        <v>0</v>
      </c>
      <c r="R128" s="173">
        <f t="shared" si="61"/>
        <v>231527.40768742352</v>
      </c>
      <c r="S128" s="173">
        <f t="shared" si="62"/>
        <v>0</v>
      </c>
      <c r="U128" s="87" t="s">
        <v>155</v>
      </c>
      <c r="V128" s="87" t="s">
        <v>156</v>
      </c>
      <c r="W128" s="173">
        <f t="shared" si="63"/>
        <v>215892.21302987021</v>
      </c>
      <c r="X128" s="173">
        <f t="shared" si="97"/>
        <v>0</v>
      </c>
      <c r="Y128" s="173">
        <f t="shared" si="98"/>
        <v>224298.15016785695</v>
      </c>
      <c r="Z128" s="173">
        <f t="shared" si="99"/>
        <v>0</v>
      </c>
      <c r="AA128" s="173">
        <f t="shared" si="100"/>
        <v>228619.09927147551</v>
      </c>
      <c r="AB128" s="173">
        <f t="shared" si="101"/>
        <v>0</v>
      </c>
      <c r="AC128" s="173">
        <f t="shared" si="102"/>
        <v>233231.66406843383</v>
      </c>
      <c r="AD128" s="173">
        <f t="shared" si="103"/>
        <v>0</v>
      </c>
      <c r="AF128" s="87" t="s">
        <v>155</v>
      </c>
      <c r="AG128" s="87" t="s">
        <v>156</v>
      </c>
      <c r="AH128" s="173">
        <f t="shared" si="64"/>
        <v>215892.21302987021</v>
      </c>
      <c r="AI128" s="173">
        <f t="shared" si="65"/>
        <v>0</v>
      </c>
      <c r="AJ128" s="173">
        <f t="shared" si="66"/>
        <v>222634.50269048347</v>
      </c>
      <c r="AK128" s="173">
        <f t="shared" si="67"/>
        <v>0</v>
      </c>
      <c r="AL128" s="173">
        <f t="shared" si="68"/>
        <v>226271.36399927142</v>
      </c>
      <c r="AM128" s="173">
        <f t="shared" si="69"/>
        <v>0</v>
      </c>
      <c r="AN128" s="173">
        <f t="shared" si="70"/>
        <v>230380.03824877893</v>
      </c>
      <c r="AO128" s="173">
        <f t="shared" si="71"/>
        <v>0</v>
      </c>
      <c r="AQ128" s="87" t="s">
        <v>155</v>
      </c>
      <c r="AR128" s="87" t="s">
        <v>156</v>
      </c>
      <c r="AS128" s="173">
        <f t="shared" si="72"/>
        <v>215892.21302987021</v>
      </c>
      <c r="AT128" s="173">
        <f t="shared" si="73"/>
        <v>0</v>
      </c>
      <c r="AU128" s="173">
        <f t="shared" si="74"/>
        <v>228701.03724254679</v>
      </c>
      <c r="AV128" s="173">
        <f t="shared" si="75"/>
        <v>0</v>
      </c>
      <c r="AW128" s="173">
        <f t="shared" si="76"/>
        <v>232718.18425393669</v>
      </c>
      <c r="AX128" s="173">
        <f t="shared" si="77"/>
        <v>0</v>
      </c>
      <c r="AY128" s="173">
        <f t="shared" si="78"/>
        <v>237020.5281246923</v>
      </c>
      <c r="AZ128" s="173">
        <f t="shared" si="79"/>
        <v>0</v>
      </c>
      <c r="BB128" s="87" t="s">
        <v>155</v>
      </c>
      <c r="BC128" s="87" t="s">
        <v>156</v>
      </c>
      <c r="BD128" s="173">
        <f t="shared" si="80"/>
        <v>215892.21302987021</v>
      </c>
      <c r="BE128" s="173">
        <f t="shared" si="81"/>
        <v>0</v>
      </c>
      <c r="BF128" s="173">
        <f t="shared" si="82"/>
        <v>229819.00932963108</v>
      </c>
      <c r="BG128" s="173">
        <f t="shared" si="83"/>
        <v>0</v>
      </c>
      <c r="BH128" s="173">
        <f t="shared" si="84"/>
        <v>234026.2202029184</v>
      </c>
      <c r="BI128" s="173">
        <f t="shared" si="85"/>
        <v>0</v>
      </c>
      <c r="BJ128" s="173">
        <f t="shared" si="86"/>
        <v>238765.21615860035</v>
      </c>
      <c r="BK128" s="173">
        <f t="shared" si="87"/>
        <v>0</v>
      </c>
      <c r="BM128" s="87" t="s">
        <v>155</v>
      </c>
      <c r="BN128" s="87" t="s">
        <v>156</v>
      </c>
      <c r="BO128" s="173">
        <f t="shared" si="88"/>
        <v>215892.21302987021</v>
      </c>
      <c r="BP128" s="173">
        <f t="shared" si="89"/>
        <v>0</v>
      </c>
      <c r="BQ128" s="173">
        <f t="shared" si="90"/>
        <v>228114.2572069928</v>
      </c>
      <c r="BR128" s="173">
        <f t="shared" si="91"/>
        <v>0</v>
      </c>
      <c r="BS128" s="173">
        <f t="shared" si="92"/>
        <v>231622.73464865788</v>
      </c>
      <c r="BT128" s="173">
        <f t="shared" si="93"/>
        <v>0</v>
      </c>
      <c r="BU128" s="173">
        <f t="shared" si="94"/>
        <v>235845.60715548019</v>
      </c>
      <c r="BV128" s="173">
        <f t="shared" si="95"/>
        <v>0</v>
      </c>
    </row>
    <row r="129" spans="5:74">
      <c r="E129" s="87" t="s">
        <v>425</v>
      </c>
      <c r="F129" s="87" t="s">
        <v>426</v>
      </c>
      <c r="G129" s="173">
        <f>IFERROR(IF(VLOOKUP(E129,A:C,3,FALSE)="YES",VLOOKUP(E129,'School Year 2021-22 SPED coop'!A:P,16,FALSE),0),0)</f>
        <v>0</v>
      </c>
      <c r="H129" s="173">
        <f t="shared" si="96"/>
        <v>13632541.720000001</v>
      </c>
      <c r="J129" s="87" t="s">
        <v>425</v>
      </c>
      <c r="K129" s="87" t="s">
        <v>426</v>
      </c>
      <c r="L129" s="173">
        <f t="shared" si="55"/>
        <v>0</v>
      </c>
      <c r="M129" s="173">
        <f t="shared" si="56"/>
        <v>13991170.61229125</v>
      </c>
      <c r="N129" s="173">
        <f t="shared" si="57"/>
        <v>0</v>
      </c>
      <c r="O129" s="173">
        <f t="shared" si="58"/>
        <v>14272301.586204657</v>
      </c>
      <c r="P129" s="173">
        <f t="shared" si="59"/>
        <v>0</v>
      </c>
      <c r="Q129" s="173">
        <f t="shared" si="60"/>
        <v>14538777.350399107</v>
      </c>
      <c r="R129" s="173">
        <f t="shared" si="61"/>
        <v>0</v>
      </c>
      <c r="S129" s="173">
        <f t="shared" si="62"/>
        <v>14810481.608667001</v>
      </c>
      <c r="U129" s="87" t="s">
        <v>425</v>
      </c>
      <c r="V129" s="87" t="s">
        <v>426</v>
      </c>
      <c r="W129" s="173">
        <f t="shared" si="63"/>
        <v>0</v>
      </c>
      <c r="X129" s="173">
        <f t="shared" si="97"/>
        <v>13991170.61229125</v>
      </c>
      <c r="Y129" s="173">
        <f t="shared" si="98"/>
        <v>0</v>
      </c>
      <c r="Z129" s="173">
        <f t="shared" si="99"/>
        <v>14342284.332006557</v>
      </c>
      <c r="AA129" s="173">
        <f t="shared" si="100"/>
        <v>0</v>
      </c>
      <c r="AB129" s="173">
        <f t="shared" si="101"/>
        <v>14620974.291571541</v>
      </c>
      <c r="AC129" s="173">
        <f t="shared" si="102"/>
        <v>0</v>
      </c>
      <c r="AD129" s="173">
        <f t="shared" si="103"/>
        <v>14919888.032634033</v>
      </c>
      <c r="AF129" s="87" t="s">
        <v>425</v>
      </c>
      <c r="AG129" s="87" t="s">
        <v>426</v>
      </c>
      <c r="AH129" s="173">
        <f t="shared" si="64"/>
        <v>0</v>
      </c>
      <c r="AI129" s="173">
        <f t="shared" si="65"/>
        <v>13991170.61229125</v>
      </c>
      <c r="AJ129" s="173">
        <f t="shared" si="66"/>
        <v>0</v>
      </c>
      <c r="AK129" s="173">
        <f t="shared" si="67"/>
        <v>14179053.297541687</v>
      </c>
      <c r="AL129" s="173">
        <f t="shared" si="68"/>
        <v>0</v>
      </c>
      <c r="AM129" s="173">
        <f t="shared" si="69"/>
        <v>14443664.787464006</v>
      </c>
      <c r="AN129" s="173">
        <f t="shared" si="70"/>
        <v>0</v>
      </c>
      <c r="AO129" s="173">
        <f t="shared" si="71"/>
        <v>14714222.512544384</v>
      </c>
      <c r="AQ129" s="87" t="s">
        <v>425</v>
      </c>
      <c r="AR129" s="87" t="s">
        <v>426</v>
      </c>
      <c r="AS129" s="173">
        <f t="shared" si="72"/>
        <v>0</v>
      </c>
      <c r="AT129" s="173">
        <f t="shared" si="73"/>
        <v>13991170.61229125</v>
      </c>
      <c r="AU129" s="173">
        <f t="shared" si="74"/>
        <v>0</v>
      </c>
      <c r="AV129" s="173">
        <f t="shared" si="75"/>
        <v>14629036.947513759</v>
      </c>
      <c r="AW129" s="173">
        <f t="shared" si="76"/>
        <v>0</v>
      </c>
      <c r="AX129" s="173">
        <f t="shared" si="77"/>
        <v>14889787.413744707</v>
      </c>
      <c r="AY129" s="173">
        <f t="shared" si="78"/>
        <v>0</v>
      </c>
      <c r="AZ129" s="173">
        <f t="shared" si="79"/>
        <v>15169049.869140275</v>
      </c>
      <c r="BB129" s="87" t="s">
        <v>425</v>
      </c>
      <c r="BC129" s="87" t="s">
        <v>426</v>
      </c>
      <c r="BD129" s="173">
        <f t="shared" si="80"/>
        <v>0</v>
      </c>
      <c r="BE129" s="173">
        <f t="shared" si="81"/>
        <v>13991170.61229125</v>
      </c>
      <c r="BF129" s="173">
        <f t="shared" si="82"/>
        <v>0</v>
      </c>
      <c r="BG129" s="173">
        <f t="shared" si="83"/>
        <v>14700768.912338253</v>
      </c>
      <c r="BH129" s="173">
        <f t="shared" si="84"/>
        <v>0</v>
      </c>
      <c r="BI129" s="173">
        <f t="shared" si="85"/>
        <v>14973968.851330303</v>
      </c>
      <c r="BJ129" s="173">
        <f t="shared" si="86"/>
        <v>0</v>
      </c>
      <c r="BK129" s="173">
        <f t="shared" si="87"/>
        <v>15281105.078139603</v>
      </c>
      <c r="BM129" s="87" t="s">
        <v>425</v>
      </c>
      <c r="BN129" s="87" t="s">
        <v>426</v>
      </c>
      <c r="BO129" s="173">
        <f t="shared" si="88"/>
        <v>0</v>
      </c>
      <c r="BP129" s="173">
        <f t="shared" si="89"/>
        <v>13991170.61229125</v>
      </c>
      <c r="BQ129" s="173">
        <f t="shared" si="90"/>
        <v>0</v>
      </c>
      <c r="BR129" s="173">
        <f t="shared" si="91"/>
        <v>14533418.771554537</v>
      </c>
      <c r="BS129" s="173">
        <f t="shared" si="92"/>
        <v>0</v>
      </c>
      <c r="BT129" s="173">
        <f t="shared" si="93"/>
        <v>14792346.958307978</v>
      </c>
      <c r="BU129" s="173">
        <f t="shared" si="94"/>
        <v>0</v>
      </c>
      <c r="BV129" s="173">
        <f t="shared" si="95"/>
        <v>15070427.660628976</v>
      </c>
    </row>
    <row r="130" spans="5:74">
      <c r="E130" s="87" t="s">
        <v>215</v>
      </c>
      <c r="F130" s="87" t="s">
        <v>216</v>
      </c>
      <c r="G130" s="173">
        <f>IFERROR(IF(VLOOKUP(E130,A:C,3,FALSE)="YES",VLOOKUP(E130,'School Year 2021-22 SPED coop'!A:P,16,FALSE),0),0)</f>
        <v>0</v>
      </c>
      <c r="H130" s="173">
        <f t="shared" si="96"/>
        <v>29345913.100000001</v>
      </c>
      <c r="J130" s="87" t="s">
        <v>215</v>
      </c>
      <c r="K130" s="87" t="s">
        <v>216</v>
      </c>
      <c r="L130" s="173">
        <f t="shared" si="55"/>
        <v>0</v>
      </c>
      <c r="M130" s="173">
        <f t="shared" si="56"/>
        <v>29682763.197865915</v>
      </c>
      <c r="N130" s="173">
        <f t="shared" si="57"/>
        <v>0</v>
      </c>
      <c r="O130" s="173">
        <f t="shared" si="58"/>
        <v>30667441.10093493</v>
      </c>
      <c r="P130" s="173">
        <f t="shared" si="59"/>
        <v>0</v>
      </c>
      <c r="Q130" s="173">
        <f t="shared" si="60"/>
        <v>31240030.08385526</v>
      </c>
      <c r="R130" s="173">
        <f t="shared" si="61"/>
        <v>0</v>
      </c>
      <c r="S130" s="173">
        <f t="shared" si="62"/>
        <v>31823855.88127489</v>
      </c>
      <c r="U130" s="87" t="s">
        <v>215</v>
      </c>
      <c r="V130" s="87" t="s">
        <v>216</v>
      </c>
      <c r="W130" s="173">
        <f t="shared" si="63"/>
        <v>0</v>
      </c>
      <c r="X130" s="173">
        <f t="shared" si="97"/>
        <v>29682763.197865915</v>
      </c>
      <c r="Y130" s="173">
        <f t="shared" si="98"/>
        <v>0</v>
      </c>
      <c r="Z130" s="173">
        <f t="shared" si="99"/>
        <v>30817800.88594006</v>
      </c>
      <c r="AA130" s="173">
        <f t="shared" si="100"/>
        <v>0</v>
      </c>
      <c r="AB130" s="173">
        <f t="shared" si="101"/>
        <v>31416597.890492588</v>
      </c>
      <c r="AC130" s="173">
        <f t="shared" si="102"/>
        <v>0</v>
      </c>
      <c r="AD130" s="173">
        <f t="shared" si="103"/>
        <v>32058909.982329898</v>
      </c>
      <c r="AF130" s="87" t="s">
        <v>215</v>
      </c>
      <c r="AG130" s="87" t="s">
        <v>216</v>
      </c>
      <c r="AH130" s="173">
        <f t="shared" si="64"/>
        <v>0</v>
      </c>
      <c r="AI130" s="173">
        <f t="shared" si="65"/>
        <v>29682763.197865915</v>
      </c>
      <c r="AJ130" s="173">
        <f t="shared" si="66"/>
        <v>0</v>
      </c>
      <c r="AK130" s="173">
        <f t="shared" si="67"/>
        <v>30587659.67977852</v>
      </c>
      <c r="AL130" s="173">
        <f t="shared" si="68"/>
        <v>0</v>
      </c>
      <c r="AM130" s="173">
        <f t="shared" si="69"/>
        <v>31158997.567351382</v>
      </c>
      <c r="AN130" s="173">
        <f t="shared" si="70"/>
        <v>0</v>
      </c>
      <c r="AO130" s="173">
        <f t="shared" si="71"/>
        <v>31741504.446889065</v>
      </c>
      <c r="AQ130" s="87" t="s">
        <v>215</v>
      </c>
      <c r="AR130" s="87" t="s">
        <v>216</v>
      </c>
      <c r="AS130" s="173">
        <f t="shared" si="72"/>
        <v>0</v>
      </c>
      <c r="AT130" s="173">
        <f t="shared" si="73"/>
        <v>29682763.197865915</v>
      </c>
      <c r="AU130" s="173">
        <f t="shared" si="74"/>
        <v>0</v>
      </c>
      <c r="AV130" s="173">
        <f t="shared" si="75"/>
        <v>31433957.598703656</v>
      </c>
      <c r="AW130" s="173">
        <f t="shared" si="76"/>
        <v>0</v>
      </c>
      <c r="AX130" s="173">
        <f t="shared" si="77"/>
        <v>31994246.006048493</v>
      </c>
      <c r="AY130" s="173">
        <f t="shared" si="78"/>
        <v>0</v>
      </c>
      <c r="AZ130" s="173">
        <f t="shared" si="79"/>
        <v>32594312.126274861</v>
      </c>
      <c r="BB130" s="87" t="s">
        <v>215</v>
      </c>
      <c r="BC130" s="87" t="s">
        <v>216</v>
      </c>
      <c r="BD130" s="173">
        <f t="shared" si="80"/>
        <v>0</v>
      </c>
      <c r="BE130" s="173">
        <f t="shared" si="81"/>
        <v>29682763.197865915</v>
      </c>
      <c r="BF130" s="173">
        <f t="shared" si="82"/>
        <v>0</v>
      </c>
      <c r="BG130" s="173">
        <f t="shared" si="83"/>
        <v>31588075.547600184</v>
      </c>
      <c r="BH130" s="173">
        <f t="shared" si="84"/>
        <v>0</v>
      </c>
      <c r="BI130" s="173">
        <f t="shared" si="85"/>
        <v>32175076.620686959</v>
      </c>
      <c r="BJ130" s="173">
        <f t="shared" si="86"/>
        <v>0</v>
      </c>
      <c r="BK130" s="173">
        <f t="shared" si="87"/>
        <v>32835056.890352137</v>
      </c>
      <c r="BM130" s="87" t="s">
        <v>215</v>
      </c>
      <c r="BN130" s="87" t="s">
        <v>216</v>
      </c>
      <c r="BO130" s="173">
        <f t="shared" si="88"/>
        <v>0</v>
      </c>
      <c r="BP130" s="173">
        <f t="shared" si="89"/>
        <v>29682763.197865915</v>
      </c>
      <c r="BQ130" s="173">
        <f t="shared" si="90"/>
        <v>0</v>
      </c>
      <c r="BR130" s="173">
        <f t="shared" si="91"/>
        <v>31352140.952860441</v>
      </c>
      <c r="BS130" s="173">
        <f t="shared" si="92"/>
        <v>0</v>
      </c>
      <c r="BT130" s="173">
        <f t="shared" si="93"/>
        <v>31911216.279422443</v>
      </c>
      <c r="BU130" s="173">
        <f t="shared" si="94"/>
        <v>0</v>
      </c>
      <c r="BV130" s="173">
        <f t="shared" si="95"/>
        <v>32509925.091056399</v>
      </c>
    </row>
    <row r="131" spans="5:74">
      <c r="E131" s="87" t="s">
        <v>441</v>
      </c>
      <c r="F131" s="87" t="s">
        <v>442</v>
      </c>
      <c r="G131" s="173">
        <f>IFERROR(IF(VLOOKUP(E131,A:C,3,FALSE)="YES",VLOOKUP(E131,'School Year 2021-22 SPED coop'!A:P,16,FALSE),0),0)</f>
        <v>0</v>
      </c>
      <c r="H131" s="173">
        <f t="shared" si="96"/>
        <v>3656027</v>
      </c>
      <c r="J131" s="87" t="s">
        <v>441</v>
      </c>
      <c r="K131" s="87" t="s">
        <v>442</v>
      </c>
      <c r="L131" s="173">
        <f t="shared" si="55"/>
        <v>0</v>
      </c>
      <c r="M131" s="173">
        <f t="shared" si="56"/>
        <v>3696900.4842654062</v>
      </c>
      <c r="N131" s="173">
        <f t="shared" si="57"/>
        <v>0</v>
      </c>
      <c r="O131" s="173">
        <f t="shared" si="58"/>
        <v>3795218.0487527344</v>
      </c>
      <c r="P131" s="173">
        <f t="shared" si="59"/>
        <v>0</v>
      </c>
      <c r="Q131" s="173">
        <f t="shared" si="60"/>
        <v>3865997.8765930147</v>
      </c>
      <c r="R131" s="173">
        <f t="shared" si="61"/>
        <v>0</v>
      </c>
      <c r="S131" s="173">
        <f t="shared" si="62"/>
        <v>3938095.751569482</v>
      </c>
      <c r="U131" s="87" t="s">
        <v>441</v>
      </c>
      <c r="V131" s="87" t="s">
        <v>442</v>
      </c>
      <c r="W131" s="173">
        <f t="shared" si="63"/>
        <v>0</v>
      </c>
      <c r="X131" s="173">
        <f t="shared" si="97"/>
        <v>3696900.4842654062</v>
      </c>
      <c r="Y131" s="173">
        <f t="shared" si="98"/>
        <v>0</v>
      </c>
      <c r="Z131" s="173">
        <f t="shared" si="99"/>
        <v>3813820.8211840428</v>
      </c>
      <c r="AA131" s="173">
        <f t="shared" si="100"/>
        <v>0</v>
      </c>
      <c r="AB131" s="173">
        <f t="shared" si="101"/>
        <v>3887854.6392932069</v>
      </c>
      <c r="AC131" s="173">
        <f t="shared" si="102"/>
        <v>0</v>
      </c>
      <c r="AD131" s="173">
        <f t="shared" si="103"/>
        <v>3967179.8696021256</v>
      </c>
      <c r="AF131" s="87" t="s">
        <v>441</v>
      </c>
      <c r="AG131" s="87" t="s">
        <v>442</v>
      </c>
      <c r="AH131" s="173">
        <f t="shared" si="64"/>
        <v>0</v>
      </c>
      <c r="AI131" s="173">
        <f t="shared" si="65"/>
        <v>3696900.4842654062</v>
      </c>
      <c r="AJ131" s="173">
        <f t="shared" si="66"/>
        <v>0</v>
      </c>
      <c r="AK131" s="173">
        <f t="shared" si="67"/>
        <v>3792281.212582509</v>
      </c>
      <c r="AL131" s="173">
        <f t="shared" si="68"/>
        <v>0</v>
      </c>
      <c r="AM131" s="173">
        <f t="shared" si="69"/>
        <v>3856855.2615253506</v>
      </c>
      <c r="AN131" s="173">
        <f t="shared" si="70"/>
        <v>0</v>
      </c>
      <c r="AO131" s="173">
        <f t="shared" si="71"/>
        <v>3954483.2915756647</v>
      </c>
      <c r="AQ131" s="87" t="s">
        <v>441</v>
      </c>
      <c r="AR131" s="87" t="s">
        <v>442</v>
      </c>
      <c r="AS131" s="173">
        <f t="shared" si="72"/>
        <v>0</v>
      </c>
      <c r="AT131" s="173">
        <f t="shared" si="73"/>
        <v>3696900.4842654062</v>
      </c>
      <c r="AU131" s="173">
        <f t="shared" si="74"/>
        <v>0</v>
      </c>
      <c r="AV131" s="173">
        <f t="shared" si="75"/>
        <v>3889853.9564131396</v>
      </c>
      <c r="AW131" s="173">
        <f t="shared" si="76"/>
        <v>0</v>
      </c>
      <c r="AX131" s="173">
        <f t="shared" si="77"/>
        <v>3959044.2810542858</v>
      </c>
      <c r="AY131" s="173">
        <f t="shared" si="78"/>
        <v>0</v>
      </c>
      <c r="AZ131" s="173">
        <f t="shared" si="79"/>
        <v>4033146.8306177147</v>
      </c>
      <c r="BB131" s="87" t="s">
        <v>441</v>
      </c>
      <c r="BC131" s="87" t="s">
        <v>442</v>
      </c>
      <c r="BD131" s="173">
        <f t="shared" si="80"/>
        <v>0</v>
      </c>
      <c r="BE131" s="173">
        <f t="shared" si="81"/>
        <v>3696900.4842654062</v>
      </c>
      <c r="BF131" s="173">
        <f t="shared" si="82"/>
        <v>0</v>
      </c>
      <c r="BG131" s="173">
        <f t="shared" si="83"/>
        <v>3908920.5967034101</v>
      </c>
      <c r="BH131" s="173">
        <f t="shared" si="84"/>
        <v>0</v>
      </c>
      <c r="BI131" s="173">
        <f t="shared" si="85"/>
        <v>3981427.093329235</v>
      </c>
      <c r="BJ131" s="173">
        <f t="shared" si="86"/>
        <v>0</v>
      </c>
      <c r="BK131" s="173">
        <f t="shared" si="87"/>
        <v>4062932.9298633514</v>
      </c>
      <c r="BM131" s="87" t="s">
        <v>441</v>
      </c>
      <c r="BN131" s="87" t="s">
        <v>442</v>
      </c>
      <c r="BO131" s="173">
        <f t="shared" si="88"/>
        <v>0</v>
      </c>
      <c r="BP131" s="173">
        <f t="shared" si="89"/>
        <v>3696900.4842654062</v>
      </c>
      <c r="BQ131" s="173">
        <f t="shared" si="90"/>
        <v>0</v>
      </c>
      <c r="BR131" s="173">
        <f t="shared" si="91"/>
        <v>3886843.6401770823</v>
      </c>
      <c r="BS131" s="173">
        <f t="shared" si="92"/>
        <v>0</v>
      </c>
      <c r="BT131" s="173">
        <f t="shared" si="93"/>
        <v>3949679.3375601247</v>
      </c>
      <c r="BU131" s="173">
        <f t="shared" si="94"/>
        <v>0</v>
      </c>
      <c r="BV131" s="173">
        <f t="shared" si="95"/>
        <v>4049937.3870150247</v>
      </c>
    </row>
    <row r="132" spans="5:74">
      <c r="E132" s="87" t="s">
        <v>557</v>
      </c>
      <c r="F132" s="87" t="s">
        <v>558</v>
      </c>
      <c r="G132" s="173">
        <f>IFERROR(IF(VLOOKUP(E132,A:C,3,FALSE)="YES",VLOOKUP(E132,'School Year 2021-22 SPED coop'!A:P,16,FALSE),0),0)</f>
        <v>0</v>
      </c>
      <c r="H132" s="173">
        <f t="shared" si="96"/>
        <v>38425.550000000003</v>
      </c>
      <c r="J132" s="87" t="s">
        <v>557</v>
      </c>
      <c r="K132" s="87" t="s">
        <v>558</v>
      </c>
      <c r="L132" s="173">
        <f t="shared" si="55"/>
        <v>0</v>
      </c>
      <c r="M132" s="173">
        <f t="shared" si="56"/>
        <v>38850.418631978362</v>
      </c>
      <c r="N132" s="173">
        <f t="shared" si="57"/>
        <v>0</v>
      </c>
      <c r="O132" s="173">
        <f t="shared" si="58"/>
        <v>40179.666535418932</v>
      </c>
      <c r="P132" s="173">
        <f t="shared" si="59"/>
        <v>0</v>
      </c>
      <c r="Q132" s="173">
        <f t="shared" si="60"/>
        <v>40923.884998603549</v>
      </c>
      <c r="R132" s="173">
        <f t="shared" si="61"/>
        <v>0</v>
      </c>
      <c r="S132" s="173">
        <f t="shared" si="62"/>
        <v>41677.467906926649</v>
      </c>
      <c r="U132" s="87" t="s">
        <v>557</v>
      </c>
      <c r="V132" s="87" t="s">
        <v>558</v>
      </c>
      <c r="W132" s="173">
        <f t="shared" si="63"/>
        <v>0</v>
      </c>
      <c r="X132" s="173">
        <f t="shared" si="97"/>
        <v>38850.418631978362</v>
      </c>
      <c r="Y132" s="173">
        <f t="shared" si="98"/>
        <v>0</v>
      </c>
      <c r="Z132" s="173">
        <f t="shared" si="99"/>
        <v>40179.666535418932</v>
      </c>
      <c r="AA132" s="173">
        <f t="shared" si="100"/>
        <v>0</v>
      </c>
      <c r="AB132" s="173">
        <f t="shared" si="101"/>
        <v>40923.884998603549</v>
      </c>
      <c r="AC132" s="173">
        <f t="shared" si="102"/>
        <v>0</v>
      </c>
      <c r="AD132" s="173">
        <f t="shared" si="103"/>
        <v>41677.467906926649</v>
      </c>
      <c r="AF132" s="87" t="s">
        <v>557</v>
      </c>
      <c r="AG132" s="87" t="s">
        <v>558</v>
      </c>
      <c r="AH132" s="173">
        <f t="shared" si="64"/>
        <v>0</v>
      </c>
      <c r="AI132" s="173">
        <f t="shared" si="65"/>
        <v>38850.418631978362</v>
      </c>
      <c r="AJ132" s="173">
        <f t="shared" si="66"/>
        <v>0</v>
      </c>
      <c r="AK132" s="173">
        <f t="shared" si="67"/>
        <v>40191.16391270802</v>
      </c>
      <c r="AL132" s="173">
        <f t="shared" si="68"/>
        <v>0</v>
      </c>
      <c r="AM132" s="173">
        <f t="shared" si="69"/>
        <v>40932.842261438302</v>
      </c>
      <c r="AN132" s="173">
        <f t="shared" si="70"/>
        <v>0</v>
      </c>
      <c r="AO132" s="173">
        <f t="shared" si="71"/>
        <v>41698.00698780673</v>
      </c>
      <c r="AQ132" s="87" t="s">
        <v>557</v>
      </c>
      <c r="AR132" s="87" t="s">
        <v>558</v>
      </c>
      <c r="AS132" s="173">
        <f t="shared" si="72"/>
        <v>0</v>
      </c>
      <c r="AT132" s="173">
        <f t="shared" si="73"/>
        <v>38850.418631978362</v>
      </c>
      <c r="AU132" s="173">
        <f t="shared" si="74"/>
        <v>0</v>
      </c>
      <c r="AV132" s="173">
        <f t="shared" si="75"/>
        <v>41166.327875302391</v>
      </c>
      <c r="AW132" s="173">
        <f t="shared" si="76"/>
        <v>0</v>
      </c>
      <c r="AX132" s="173">
        <f t="shared" si="77"/>
        <v>41889.448980723479</v>
      </c>
      <c r="AY132" s="173">
        <f t="shared" si="78"/>
        <v>0</v>
      </c>
      <c r="AZ132" s="173">
        <f t="shared" si="79"/>
        <v>42663.900203659476</v>
      </c>
      <c r="BB132" s="87" t="s">
        <v>557</v>
      </c>
      <c r="BC132" s="87" t="s">
        <v>558</v>
      </c>
      <c r="BD132" s="173">
        <f t="shared" si="80"/>
        <v>0</v>
      </c>
      <c r="BE132" s="173">
        <f t="shared" si="81"/>
        <v>38850.418631978362</v>
      </c>
      <c r="BF132" s="173">
        <f t="shared" si="82"/>
        <v>0</v>
      </c>
      <c r="BG132" s="173">
        <f t="shared" si="83"/>
        <v>41166.327875302391</v>
      </c>
      <c r="BH132" s="173">
        <f t="shared" si="84"/>
        <v>0</v>
      </c>
      <c r="BI132" s="173">
        <f t="shared" si="85"/>
        <v>41889.448980723479</v>
      </c>
      <c r="BJ132" s="173">
        <f t="shared" si="86"/>
        <v>0</v>
      </c>
      <c r="BK132" s="173">
        <f t="shared" si="87"/>
        <v>42663.900203659476</v>
      </c>
      <c r="BM132" s="87" t="s">
        <v>557</v>
      </c>
      <c r="BN132" s="87" t="s">
        <v>558</v>
      </c>
      <c r="BO132" s="173">
        <f t="shared" si="88"/>
        <v>0</v>
      </c>
      <c r="BP132" s="173">
        <f t="shared" si="89"/>
        <v>38850.418631978362</v>
      </c>
      <c r="BQ132" s="173">
        <f t="shared" si="90"/>
        <v>0</v>
      </c>
      <c r="BR132" s="173">
        <f t="shared" si="91"/>
        <v>41178.119985951809</v>
      </c>
      <c r="BS132" s="173">
        <f t="shared" si="92"/>
        <v>0</v>
      </c>
      <c r="BT132" s="173">
        <f t="shared" si="93"/>
        <v>41898.696057817462</v>
      </c>
      <c r="BU132" s="173">
        <f t="shared" si="94"/>
        <v>0</v>
      </c>
      <c r="BV132" s="173">
        <f t="shared" si="95"/>
        <v>42685.034024815366</v>
      </c>
    </row>
    <row r="133" spans="5:74">
      <c r="E133" s="87" t="s">
        <v>471</v>
      </c>
      <c r="F133" s="87" t="s">
        <v>472</v>
      </c>
      <c r="G133" s="173">
        <f>IFERROR(IF(VLOOKUP(E133,A:C,3,FALSE)="YES",VLOOKUP(E133,'School Year 2021-22 SPED coop'!A:P,16,FALSE),0),0)</f>
        <v>0</v>
      </c>
      <c r="H133" s="173">
        <f t="shared" si="96"/>
        <v>587207.6</v>
      </c>
      <c r="J133" s="87" t="s">
        <v>471</v>
      </c>
      <c r="K133" s="87" t="s">
        <v>472</v>
      </c>
      <c r="L133" s="173">
        <f t="shared" ref="L133:L196" si="104">IFERROR(IF(VLOOKUP(J133,A:C,3,FALSE)="YES",VLOOKUP(J133,MaintSY202122,9,FALSE),0),0)</f>
        <v>0</v>
      </c>
      <c r="M133" s="173">
        <f t="shared" ref="M133:M196" si="105">IF(L133=0,VLOOKUP(J133,MaintSY202122,9,FALSE),0)</f>
        <v>593854.47848630731</v>
      </c>
      <c r="N133" s="173">
        <f t="shared" ref="N133:N196" si="106">IFERROR(IF(VLOOKUP(J133,A:C,3,FALSE)="YES",VLOOKUP(J133,MaintSY202223,9,FALSE),0),0)</f>
        <v>0</v>
      </c>
      <c r="O133" s="173">
        <f t="shared" ref="O133:O196" si="107">IF(N133=0,VLOOKUP(J133,MaintSY202223,9,FALSE),0)</f>
        <v>613957.65761304926</v>
      </c>
      <c r="P133" s="173">
        <f t="shared" ref="P133:P196" si="108">IFERROR(IF(VLOOKUP(J133,A:C,3,FALSE)="YES",VLOOKUP(J133,MaintSY202324,9,FALSE),0),0)</f>
        <v>0</v>
      </c>
      <c r="Q133" s="173">
        <f t="shared" ref="Q133:Q196" si="109">IF(P133=0,VLOOKUP(J133,MaintSY202324,9,FALSE),0)</f>
        <v>625328.30734729778</v>
      </c>
      <c r="R133" s="173">
        <f t="shared" ref="R133:R196" si="110">IFERROR(IF(VLOOKUP(J133,A:C,3,FALSE)="YES",VLOOKUP(J133,MaintSY202425,9,FALSE),0),0)</f>
        <v>0</v>
      </c>
      <c r="S133" s="173">
        <f t="shared" ref="S133:S196" si="111">IF(R133=0,VLOOKUP(J133,MaintSY202425,9,FALSE),0)</f>
        <v>636840.72009074711</v>
      </c>
      <c r="U133" s="87" t="s">
        <v>471</v>
      </c>
      <c r="V133" s="87" t="s">
        <v>472</v>
      </c>
      <c r="W133" s="173">
        <f t="shared" ref="W133:W196" si="112">IFERROR(IF(VLOOKUP(U133,$A:$C,3,FALSE)="YES",VLOOKUP(U133,MaintSY202122CL,9,FALSE),0),0)</f>
        <v>0</v>
      </c>
      <c r="X133" s="173">
        <f t="shared" si="97"/>
        <v>593854.47848630731</v>
      </c>
      <c r="Y133" s="173">
        <f t="shared" si="98"/>
        <v>0</v>
      </c>
      <c r="Z133" s="173">
        <f t="shared" si="99"/>
        <v>616968.12674891285</v>
      </c>
      <c r="AA133" s="173">
        <f t="shared" si="100"/>
        <v>0</v>
      </c>
      <c r="AB133" s="173">
        <f t="shared" si="101"/>
        <v>628867.14648060361</v>
      </c>
      <c r="AC133" s="173">
        <f t="shared" si="102"/>
        <v>0</v>
      </c>
      <c r="AD133" s="173">
        <f t="shared" si="103"/>
        <v>641555.71545120736</v>
      </c>
      <c r="AF133" s="87" t="s">
        <v>471</v>
      </c>
      <c r="AG133" s="87" t="s">
        <v>472</v>
      </c>
      <c r="AH133" s="173">
        <f t="shared" ref="AH133:AH196" si="113">IFERROR(IF(VLOOKUP(AF133,$A:$C,3,FALSE)="YES",VLOOKUP(AF133,MaintSY202122F195F,9,FALSE),0),0)</f>
        <v>0</v>
      </c>
      <c r="AI133" s="173">
        <f t="shared" ref="AI133:AI196" si="114">IF(AH133=0,VLOOKUP(AF133,MaintSY202122F195F,9,FALSE),0)</f>
        <v>593854.47848630731</v>
      </c>
      <c r="AJ133" s="173">
        <f t="shared" ref="AJ133:AJ196" si="115">IFERROR(IF(VLOOKUP(AF133,$A:$C,3,FALSE)="YES",VLOOKUP(AF133,MaintSY202223F195F,9,FALSE),0),0)</f>
        <v>0</v>
      </c>
      <c r="AK133" s="173">
        <f t="shared" ref="AK133:AK196" si="116">IF(AJ133=0,VLOOKUP(AF133,MaintSY202223F195F,9,FALSE),0)</f>
        <v>610046.087922576</v>
      </c>
      <c r="AL133" s="173">
        <f t="shared" ref="AL133:AL196" si="117">IFERROR(IF(VLOOKUP(AF133,$A:$C,3,FALSE)="YES",VLOOKUP(AF133,MaintSY202324F195F,9,FALSE),0),0)</f>
        <v>0</v>
      </c>
      <c r="AM133" s="173">
        <f t="shared" ref="AM133:AM196" si="118">IF(AL133=0,VLOOKUP(AF133,MaintSY202324F195F,9,FALSE),0)</f>
        <v>623321.31702401256</v>
      </c>
      <c r="AN133" s="173">
        <f t="shared" ref="AN133:AN196" si="119">IFERROR(IF(VLOOKUP(AF133,$A:$C,3,FALSE)="YES",VLOOKUP(AF133,MaintSY202425F195F,9,FALSE),0),0)</f>
        <v>0</v>
      </c>
      <c r="AO133" s="173">
        <f t="shared" ref="AO133:AO196" si="120">IF(AN133=0,VLOOKUP(AF133,MaintSY202425F195F,9,FALSE),0)</f>
        <v>637872.93028636498</v>
      </c>
      <c r="AQ133" s="87" t="s">
        <v>471</v>
      </c>
      <c r="AR133" s="87" t="s">
        <v>472</v>
      </c>
      <c r="AS133" s="173">
        <f t="shared" ref="AS133:AS196" si="121">IFERROR(IF(VLOOKUP(AQ133,$A:$C,3,FALSE)="YES",VLOOKUP(AQ133,EnacSY202122,9,FALSE),0),0)</f>
        <v>0</v>
      </c>
      <c r="AT133" s="173">
        <f t="shared" ref="AT133:AT196" si="122">IF(AS133=0,VLOOKUP(AQ133,EnacSY202122,9,FALSE),0)</f>
        <v>593854.47848630731</v>
      </c>
      <c r="AU133" s="173">
        <f t="shared" ref="AU133:AU196" si="123">IFERROR(IF(VLOOKUP(AQ133,$A:$C,3,FALSE)="YES",VLOOKUP(AQ133,EnacSY202223,9,FALSE),0),0)</f>
        <v>0</v>
      </c>
      <c r="AV133" s="173">
        <f t="shared" ref="AV133:AV196" si="124">IF(AU133=0,VLOOKUP(AQ133,EnacSY202223,9,FALSE),0)</f>
        <v>629072.18380139919</v>
      </c>
      <c r="AW133" s="173">
        <f t="shared" ref="AW133:AW196" si="125">IFERROR(IF(VLOOKUP(AQ133,$A:$C,3,FALSE)="YES",VLOOKUP(AQ133,EnacSY202324,9,FALSE),0),0)</f>
        <v>0</v>
      </c>
      <c r="AX133" s="173">
        <f t="shared" ref="AX133:AX196" si="126">IF(AW133=0,VLOOKUP(AQ133,EnacSY202324,9,FALSE),0)</f>
        <v>640119.97747449588</v>
      </c>
      <c r="AY133" s="173">
        <f t="shared" ref="AY133:AY196" si="127">IFERROR(IF(VLOOKUP(AQ133,$A:$C,3,FALSE)="YES",VLOOKUP(AQ133,EnacSY202425,9,FALSE),0),0)</f>
        <v>0</v>
      </c>
      <c r="AZ133" s="173">
        <f t="shared" ref="AZ133:AZ196" si="128">IF(AY133=0,VLOOKUP(AQ133,EnacSY202425,9,FALSE),0)</f>
        <v>651952.10386100248</v>
      </c>
      <c r="BB133" s="87" t="s">
        <v>471</v>
      </c>
      <c r="BC133" s="87" t="s">
        <v>472</v>
      </c>
      <c r="BD133" s="173">
        <f t="shared" ref="BD133:BD196" si="129">IFERROR(IF(VLOOKUP(BB133,$A:$C,3,FALSE)="YES",VLOOKUP(BB133,EnacSY202122CL,9,FALSE),0),0)</f>
        <v>0</v>
      </c>
      <c r="BE133" s="173">
        <f t="shared" ref="BE133:BE196" si="130">IF(BD133=0,VLOOKUP(BB133,EnacSY202122CL,9,FALSE),0)</f>
        <v>593854.47848630731</v>
      </c>
      <c r="BF133" s="173">
        <f t="shared" ref="BF133:BF196" si="131">IFERROR(IF(VLOOKUP(BB133,$A:$C,3,FALSE)="YES",VLOOKUP(BB133,EnacSY202223CL,9,FALSE),0),0)</f>
        <v>0</v>
      </c>
      <c r="BG133" s="173">
        <f t="shared" ref="BG133:BG196" si="132">IF(BF133=0,VLOOKUP(BB133,EnacSY202223CL,9,FALSE),0)</f>
        <v>632156.76539825136</v>
      </c>
      <c r="BH133" s="173">
        <f t="shared" ref="BH133:BH196" si="133">IFERROR(IF(VLOOKUP(BB133,$A:$C,3,FALSE)="YES",VLOOKUP(BB133,EnacSY202324CL,9,FALSE),0),0)</f>
        <v>0</v>
      </c>
      <c r="BI133" s="173">
        <f t="shared" ref="BI133:BI196" si="134">IF(BH133=0,VLOOKUP(BB133,EnacSY202324CL,9,FALSE),0)</f>
        <v>643742.52730496612</v>
      </c>
      <c r="BJ133" s="173">
        <f t="shared" ref="BJ133:BJ196" si="135">IFERROR(IF(VLOOKUP(BB133,$A:$C,3,FALSE)="YES",VLOOKUP(BB133,EnacSY202425CL,9,FALSE),0),0)</f>
        <v>0</v>
      </c>
      <c r="BK133" s="173">
        <f t="shared" ref="BK133:BK196" si="136">IF(BJ133=0,VLOOKUP(BB133,EnacSY202425CL,9,FALSE),0)</f>
        <v>656778.98511203879</v>
      </c>
      <c r="BM133" s="87" t="s">
        <v>471</v>
      </c>
      <c r="BN133" s="87" t="s">
        <v>472</v>
      </c>
      <c r="BO133" s="173">
        <f t="shared" ref="BO133:BO196" si="137">IFERROR(IF(VLOOKUP(BM133,$A:$C,3,FALSE)="YES",VLOOKUP(BM133,EnacSY202122F195F,9,FALSE),0),0)</f>
        <v>0</v>
      </c>
      <c r="BP133" s="173">
        <f t="shared" ref="BP133:BP196" si="138">IF(BO133=0,VLOOKUP(BM133,EnacSY202122F195F,9,FALSE),0)</f>
        <v>593854.47848630731</v>
      </c>
      <c r="BQ133" s="173">
        <f t="shared" ref="BQ133:BQ196" si="139">IFERROR(IF(VLOOKUP(BM133,$A:$C,3,FALSE)="YES",VLOOKUP(BM133,EnacSY202223F195F,9,FALSE),0),0)</f>
        <v>0</v>
      </c>
      <c r="BR133" s="173">
        <f t="shared" ref="BR133:BR196" si="140">IF(BQ133=0,VLOOKUP(BM133,EnacSY202223F195F,9,FALSE),0)</f>
        <v>625063.54574629304</v>
      </c>
      <c r="BS133" s="173">
        <f t="shared" ref="BS133:BS196" si="141">IFERROR(IF(VLOOKUP(BM133,$A:$C,3,FALSE)="YES",VLOOKUP(BM133,EnacSY202324F195F,9,FALSE),0),0)</f>
        <v>0</v>
      </c>
      <c r="BT133" s="173">
        <f t="shared" ref="BT133:BT196" si="142">IF(BS133=0,VLOOKUP(BM133,EnacSY202324F195F,9,FALSE),0)</f>
        <v>638066.41508887825</v>
      </c>
      <c r="BU133" s="173">
        <f t="shared" ref="BU133:BU196" si="143">IFERROR(IF(VLOOKUP(BM133,$A:$C,3,FALSE)="YES",VLOOKUP(BM133,EnacSY202425F195F,9,FALSE),0),0)</f>
        <v>0</v>
      </c>
      <c r="BV133" s="173">
        <f t="shared" ref="BV133:BV196" si="144">IF(BU133=0,VLOOKUP(BM133,EnacSY202425F195F,9,FALSE),0)</f>
        <v>653009.97510312439</v>
      </c>
    </row>
    <row r="134" spans="5:74">
      <c r="E134" s="87" t="s">
        <v>9</v>
      </c>
      <c r="F134" s="87" t="s">
        <v>10</v>
      </c>
      <c r="G134" s="173">
        <f>IFERROR(IF(VLOOKUP(E134,A:C,3,FALSE)="YES",VLOOKUP(E134,'School Year 2021-22 SPED coop'!A:P,16,FALSE),0),0)</f>
        <v>0</v>
      </c>
      <c r="H134" s="173">
        <f t="shared" ref="H134:H197" si="145">IF(G134=0,VLOOKUP(E134,SY202122Apport,9,FALSE),0)</f>
        <v>189018.37000000002</v>
      </c>
      <c r="J134" s="87" t="s">
        <v>9</v>
      </c>
      <c r="K134" s="87" t="s">
        <v>10</v>
      </c>
      <c r="L134" s="173">
        <f t="shared" si="104"/>
        <v>0</v>
      </c>
      <c r="M134" s="173">
        <f t="shared" si="105"/>
        <v>191074.63870119199</v>
      </c>
      <c r="N134" s="173">
        <f t="shared" si="106"/>
        <v>0</v>
      </c>
      <c r="O134" s="173">
        <f t="shared" si="107"/>
        <v>197552.19977325201</v>
      </c>
      <c r="P134" s="173">
        <f t="shared" si="108"/>
        <v>0</v>
      </c>
      <c r="Q134" s="173">
        <f t="shared" si="109"/>
        <v>201211.05510994396</v>
      </c>
      <c r="R134" s="173">
        <f t="shared" si="110"/>
        <v>0</v>
      </c>
      <c r="S134" s="173">
        <f t="shared" si="111"/>
        <v>204915.65436848471</v>
      </c>
      <c r="U134" s="87" t="s">
        <v>9</v>
      </c>
      <c r="V134" s="87" t="s">
        <v>10</v>
      </c>
      <c r="W134" s="173">
        <f t="shared" si="112"/>
        <v>0</v>
      </c>
      <c r="X134" s="173">
        <f t="shared" ref="X134:X197" si="146">IF(W134=0,VLOOKUP(U134,MaintSY202122CL,9,FALSE),0)</f>
        <v>191074.63870119199</v>
      </c>
      <c r="Y134" s="173">
        <f t="shared" ref="Y134:Y197" si="147">IFERROR(IF(VLOOKUP(U134,A:C,3,FALSE)="YES",VLOOKUP(U134,MaintSY202223CL,9,FALSE),0),0)</f>
        <v>0</v>
      </c>
      <c r="Z134" s="173">
        <f t="shared" ref="Z134:Z197" si="148">IF(Y134=0,VLOOKUP(U134,MaintSY202223CL,9,FALSE),0)</f>
        <v>198516.84738101804</v>
      </c>
      <c r="AA134" s="173">
        <f t="shared" ref="AA134:AA197" si="149">IFERROR(IF(VLOOKUP(U134,A:C,3,FALSE)="YES",VLOOKUP(U134,MaintSY202324CL,9,FALSE),0),0)</f>
        <v>0</v>
      </c>
      <c r="AB134" s="173">
        <f t="shared" ref="AB134:AB197" si="150">IF(AA134=0,VLOOKUP(U134,MaintSY202324CL,9,FALSE),0)</f>
        <v>202359.89181952266</v>
      </c>
      <c r="AC134" s="173">
        <f t="shared" ref="AC134:AC197" si="151">IFERROR(IF(VLOOKUP(U134,A:C,3,FALSE)="YES",VLOOKUP(U134,MaintSY202425CL,9,FALSE),0),0)</f>
        <v>0</v>
      </c>
      <c r="AD134" s="173">
        <f t="shared" ref="AD134:AD197" si="152">IF(AC134=0,VLOOKUP(U134,MaintSY202425CL,9,FALSE),0)</f>
        <v>206428.4256142168</v>
      </c>
      <c r="AF134" s="87" t="s">
        <v>9</v>
      </c>
      <c r="AG134" s="87" t="s">
        <v>10</v>
      </c>
      <c r="AH134" s="173">
        <f t="shared" si="113"/>
        <v>0</v>
      </c>
      <c r="AI134" s="173">
        <f t="shared" si="114"/>
        <v>191074.63870119199</v>
      </c>
      <c r="AJ134" s="173">
        <f t="shared" si="115"/>
        <v>0</v>
      </c>
      <c r="AK134" s="173">
        <f t="shared" si="116"/>
        <v>197292.55562608803</v>
      </c>
      <c r="AL134" s="173">
        <f t="shared" si="117"/>
        <v>0</v>
      </c>
      <c r="AM134" s="173">
        <f t="shared" si="118"/>
        <v>200051.37941888429</v>
      </c>
      <c r="AN134" s="173">
        <f t="shared" si="119"/>
        <v>0</v>
      </c>
      <c r="AO134" s="173">
        <f t="shared" si="120"/>
        <v>204119.35621643261</v>
      </c>
      <c r="AQ134" s="87" t="s">
        <v>9</v>
      </c>
      <c r="AR134" s="87" t="s">
        <v>10</v>
      </c>
      <c r="AS134" s="173">
        <f t="shared" si="121"/>
        <v>0</v>
      </c>
      <c r="AT134" s="173">
        <f t="shared" si="122"/>
        <v>191074.63870119199</v>
      </c>
      <c r="AU134" s="173">
        <f t="shared" si="123"/>
        <v>0</v>
      </c>
      <c r="AV134" s="173">
        <f t="shared" si="124"/>
        <v>202413.93593934382</v>
      </c>
      <c r="AW134" s="173">
        <f t="shared" si="125"/>
        <v>0</v>
      </c>
      <c r="AX134" s="173">
        <f t="shared" si="126"/>
        <v>205968.98864112832</v>
      </c>
      <c r="AY134" s="173">
        <f t="shared" si="127"/>
        <v>0</v>
      </c>
      <c r="AZ134" s="173">
        <f t="shared" si="128"/>
        <v>209776.42701908754</v>
      </c>
      <c r="BB134" s="87" t="s">
        <v>9</v>
      </c>
      <c r="BC134" s="87" t="s">
        <v>10</v>
      </c>
      <c r="BD134" s="173">
        <f t="shared" si="129"/>
        <v>0</v>
      </c>
      <c r="BE134" s="173">
        <f t="shared" si="130"/>
        <v>191074.63870119199</v>
      </c>
      <c r="BF134" s="173">
        <f t="shared" si="131"/>
        <v>0</v>
      </c>
      <c r="BG134" s="173">
        <f t="shared" si="132"/>
        <v>203402.32130563972</v>
      </c>
      <c r="BH134" s="173">
        <f t="shared" si="133"/>
        <v>0</v>
      </c>
      <c r="BI134" s="173">
        <f t="shared" si="134"/>
        <v>207144.99685848714</v>
      </c>
      <c r="BJ134" s="173">
        <f t="shared" si="135"/>
        <v>0</v>
      </c>
      <c r="BK134" s="173">
        <f t="shared" si="136"/>
        <v>211325.08210193794</v>
      </c>
      <c r="BM134" s="87" t="s">
        <v>9</v>
      </c>
      <c r="BN134" s="87" t="s">
        <v>10</v>
      </c>
      <c r="BO134" s="173">
        <f t="shared" si="137"/>
        <v>0</v>
      </c>
      <c r="BP134" s="173">
        <f t="shared" si="138"/>
        <v>191074.63870119199</v>
      </c>
      <c r="BQ134" s="173">
        <f t="shared" si="139"/>
        <v>0</v>
      </c>
      <c r="BR134" s="173">
        <f t="shared" si="140"/>
        <v>202147.81538445587</v>
      </c>
      <c r="BS134" s="173">
        <f t="shared" si="141"/>
        <v>0</v>
      </c>
      <c r="BT134" s="173">
        <f t="shared" si="142"/>
        <v>204781.67665379206</v>
      </c>
      <c r="BU134" s="173">
        <f t="shared" si="143"/>
        <v>0</v>
      </c>
      <c r="BV134" s="173">
        <f t="shared" si="144"/>
        <v>208961.57528076661</v>
      </c>
    </row>
    <row r="135" spans="5:74">
      <c r="E135" s="87" t="s">
        <v>77</v>
      </c>
      <c r="F135" s="87" t="s">
        <v>78</v>
      </c>
      <c r="G135" s="173">
        <f>IFERROR(IF(VLOOKUP(E135,A:C,3,FALSE)="YES",VLOOKUP(E135,'School Year 2021-22 SPED coop'!A:P,16,FALSE),0),0)</f>
        <v>0</v>
      </c>
      <c r="H135" s="173">
        <f t="shared" si="145"/>
        <v>8195881.8799999999</v>
      </c>
      <c r="J135" s="87" t="s">
        <v>77</v>
      </c>
      <c r="K135" s="87" t="s">
        <v>78</v>
      </c>
      <c r="L135" s="173">
        <f t="shared" si="104"/>
        <v>0</v>
      </c>
      <c r="M135" s="173">
        <f t="shared" si="105"/>
        <v>8283157.7234295616</v>
      </c>
      <c r="N135" s="173">
        <f t="shared" si="106"/>
        <v>0</v>
      </c>
      <c r="O135" s="173">
        <f t="shared" si="107"/>
        <v>8563716.2587153036</v>
      </c>
      <c r="P135" s="173">
        <f t="shared" si="108"/>
        <v>0</v>
      </c>
      <c r="Q135" s="173">
        <f t="shared" si="109"/>
        <v>8722330.0739461593</v>
      </c>
      <c r="R135" s="173">
        <f t="shared" si="110"/>
        <v>0</v>
      </c>
      <c r="S135" s="173">
        <f t="shared" si="111"/>
        <v>8882931.0818299074</v>
      </c>
      <c r="U135" s="87" t="s">
        <v>77</v>
      </c>
      <c r="V135" s="87" t="s">
        <v>78</v>
      </c>
      <c r="W135" s="173">
        <f t="shared" si="112"/>
        <v>0</v>
      </c>
      <c r="X135" s="173">
        <f t="shared" si="146"/>
        <v>8283157.7234295616</v>
      </c>
      <c r="Y135" s="173">
        <f t="shared" si="147"/>
        <v>0</v>
      </c>
      <c r="Z135" s="173">
        <f t="shared" si="148"/>
        <v>8605705.0624755155</v>
      </c>
      <c r="AA135" s="173">
        <f t="shared" si="149"/>
        <v>0</v>
      </c>
      <c r="AB135" s="173">
        <f t="shared" si="150"/>
        <v>8771642.9116692785</v>
      </c>
      <c r="AC135" s="173">
        <f t="shared" si="151"/>
        <v>0</v>
      </c>
      <c r="AD135" s="173">
        <f t="shared" si="152"/>
        <v>8948539.5578487199</v>
      </c>
      <c r="AF135" s="87" t="s">
        <v>77</v>
      </c>
      <c r="AG135" s="87" t="s">
        <v>78</v>
      </c>
      <c r="AH135" s="173">
        <f t="shared" si="113"/>
        <v>0</v>
      </c>
      <c r="AI135" s="173">
        <f t="shared" si="114"/>
        <v>8283157.7234295616</v>
      </c>
      <c r="AJ135" s="173">
        <f t="shared" si="115"/>
        <v>0</v>
      </c>
      <c r="AK135" s="173">
        <f t="shared" si="116"/>
        <v>8580428.362264093</v>
      </c>
      <c r="AL135" s="173">
        <f t="shared" si="117"/>
        <v>0</v>
      </c>
      <c r="AM135" s="173">
        <f t="shared" si="118"/>
        <v>8724846.1325511709</v>
      </c>
      <c r="AN135" s="173">
        <f t="shared" si="119"/>
        <v>0</v>
      </c>
      <c r="AO135" s="173">
        <f t="shared" si="120"/>
        <v>8885487.2293706853</v>
      </c>
      <c r="AQ135" s="87" t="s">
        <v>77</v>
      </c>
      <c r="AR135" s="87" t="s">
        <v>78</v>
      </c>
      <c r="AS135" s="173">
        <f t="shared" si="121"/>
        <v>0</v>
      </c>
      <c r="AT135" s="173">
        <f t="shared" si="122"/>
        <v>8283157.7234295616</v>
      </c>
      <c r="AU135" s="173">
        <f t="shared" si="123"/>
        <v>0</v>
      </c>
      <c r="AV135" s="173">
        <f t="shared" si="124"/>
        <v>8774517.8687038291</v>
      </c>
      <c r="AW135" s="173">
        <f t="shared" si="125"/>
        <v>0</v>
      </c>
      <c r="AX135" s="173">
        <f t="shared" si="126"/>
        <v>8928636.4249931499</v>
      </c>
      <c r="AY135" s="173">
        <f t="shared" si="127"/>
        <v>0</v>
      </c>
      <c r="AZ135" s="173">
        <f t="shared" si="128"/>
        <v>9093696.6118144728</v>
      </c>
      <c r="BB135" s="87" t="s">
        <v>77</v>
      </c>
      <c r="BC135" s="87" t="s">
        <v>78</v>
      </c>
      <c r="BD135" s="173">
        <f t="shared" si="129"/>
        <v>0</v>
      </c>
      <c r="BE135" s="173">
        <f t="shared" si="130"/>
        <v>8283157.7234295616</v>
      </c>
      <c r="BF135" s="173">
        <f t="shared" si="131"/>
        <v>0</v>
      </c>
      <c r="BG135" s="173">
        <f t="shared" si="132"/>
        <v>8817540.2559730299</v>
      </c>
      <c r="BH135" s="173">
        <f t="shared" si="133"/>
        <v>0</v>
      </c>
      <c r="BI135" s="173">
        <f t="shared" si="134"/>
        <v>8979115.6495859958</v>
      </c>
      <c r="BJ135" s="173">
        <f t="shared" si="135"/>
        <v>0</v>
      </c>
      <c r="BK135" s="173">
        <f t="shared" si="136"/>
        <v>9160861.7805329543</v>
      </c>
      <c r="BM135" s="87" t="s">
        <v>77</v>
      </c>
      <c r="BN135" s="87" t="s">
        <v>78</v>
      </c>
      <c r="BO135" s="173">
        <f t="shared" si="137"/>
        <v>0</v>
      </c>
      <c r="BP135" s="173">
        <f t="shared" si="138"/>
        <v>8283157.7234295616</v>
      </c>
      <c r="BQ135" s="173">
        <f t="shared" si="139"/>
        <v>0</v>
      </c>
      <c r="BR135" s="173">
        <f t="shared" si="140"/>
        <v>8791650.1089444906</v>
      </c>
      <c r="BS135" s="173">
        <f t="shared" si="141"/>
        <v>0</v>
      </c>
      <c r="BT135" s="173">
        <f t="shared" si="142"/>
        <v>8931207.9150763582</v>
      </c>
      <c r="BU135" s="173">
        <f t="shared" si="143"/>
        <v>0</v>
      </c>
      <c r="BV135" s="173">
        <f t="shared" si="144"/>
        <v>9096309.3865432851</v>
      </c>
    </row>
    <row r="136" spans="5:74">
      <c r="E136" s="87" t="s">
        <v>493</v>
      </c>
      <c r="F136" s="87" t="s">
        <v>494</v>
      </c>
      <c r="G136" s="173">
        <f>IFERROR(IF(VLOOKUP(E136,A:C,3,FALSE)="YES",VLOOKUP(E136,'School Year 2021-22 SPED coop'!A:P,16,FALSE),0),0)</f>
        <v>0</v>
      </c>
      <c r="H136" s="173">
        <f t="shared" si="145"/>
        <v>168717.01</v>
      </c>
      <c r="J136" s="87" t="s">
        <v>493</v>
      </c>
      <c r="K136" s="87" t="s">
        <v>494</v>
      </c>
      <c r="L136" s="173">
        <f t="shared" si="104"/>
        <v>0</v>
      </c>
      <c r="M136" s="173">
        <f t="shared" si="105"/>
        <v>170554.54292502906</v>
      </c>
      <c r="N136" s="173">
        <f t="shared" si="106"/>
        <v>0</v>
      </c>
      <c r="O136" s="173">
        <f t="shared" si="107"/>
        <v>176330.09535318663</v>
      </c>
      <c r="P136" s="173">
        <f t="shared" si="108"/>
        <v>0</v>
      </c>
      <c r="Q136" s="173">
        <f t="shared" si="109"/>
        <v>179597.35729111661</v>
      </c>
      <c r="R136" s="173">
        <f t="shared" si="110"/>
        <v>0</v>
      </c>
      <c r="S136" s="173">
        <f t="shared" si="111"/>
        <v>182906.64606566037</v>
      </c>
      <c r="U136" s="87" t="s">
        <v>493</v>
      </c>
      <c r="V136" s="87" t="s">
        <v>494</v>
      </c>
      <c r="W136" s="173">
        <f t="shared" si="112"/>
        <v>0</v>
      </c>
      <c r="X136" s="173">
        <f t="shared" si="146"/>
        <v>170554.54292502906</v>
      </c>
      <c r="Y136" s="173">
        <f t="shared" si="147"/>
        <v>0</v>
      </c>
      <c r="Z136" s="173">
        <f t="shared" si="148"/>
        <v>177198.06394432648</v>
      </c>
      <c r="AA136" s="173">
        <f t="shared" si="149"/>
        <v>0</v>
      </c>
      <c r="AB136" s="173">
        <f t="shared" si="150"/>
        <v>180611.79649357882</v>
      </c>
      <c r="AC136" s="173">
        <f t="shared" si="151"/>
        <v>0</v>
      </c>
      <c r="AD136" s="173">
        <f t="shared" si="152"/>
        <v>184253.39079560759</v>
      </c>
      <c r="AF136" s="87" t="s">
        <v>493</v>
      </c>
      <c r="AG136" s="87" t="s">
        <v>494</v>
      </c>
      <c r="AH136" s="173">
        <f t="shared" si="113"/>
        <v>0</v>
      </c>
      <c r="AI136" s="173">
        <f t="shared" si="114"/>
        <v>170554.54292502906</v>
      </c>
      <c r="AJ136" s="173">
        <f t="shared" si="115"/>
        <v>0</v>
      </c>
      <c r="AK136" s="173">
        <f t="shared" si="116"/>
        <v>176562.2361790424</v>
      </c>
      <c r="AL136" s="173">
        <f t="shared" si="117"/>
        <v>0</v>
      </c>
      <c r="AM136" s="173">
        <f t="shared" si="118"/>
        <v>179608.77030957444</v>
      </c>
      <c r="AN136" s="173">
        <f t="shared" si="119"/>
        <v>0</v>
      </c>
      <c r="AO136" s="173">
        <f t="shared" si="120"/>
        <v>182091.81547412433</v>
      </c>
      <c r="AQ136" s="87" t="s">
        <v>493</v>
      </c>
      <c r="AR136" s="87" t="s">
        <v>494</v>
      </c>
      <c r="AS136" s="173">
        <f t="shared" si="121"/>
        <v>0</v>
      </c>
      <c r="AT136" s="173">
        <f t="shared" si="122"/>
        <v>170554.54292502906</v>
      </c>
      <c r="AU136" s="173">
        <f t="shared" si="123"/>
        <v>0</v>
      </c>
      <c r="AV136" s="173">
        <f t="shared" si="124"/>
        <v>180671.44598139354</v>
      </c>
      <c r="AW136" s="173">
        <f t="shared" si="125"/>
        <v>0</v>
      </c>
      <c r="AX136" s="173">
        <f t="shared" si="126"/>
        <v>183847.11601476677</v>
      </c>
      <c r="AY136" s="173">
        <f t="shared" si="127"/>
        <v>0</v>
      </c>
      <c r="AZ136" s="173">
        <f t="shared" si="128"/>
        <v>187248.26177355455</v>
      </c>
      <c r="BB136" s="87" t="s">
        <v>493</v>
      </c>
      <c r="BC136" s="87" t="s">
        <v>494</v>
      </c>
      <c r="BD136" s="173">
        <f t="shared" si="129"/>
        <v>0</v>
      </c>
      <c r="BE136" s="173">
        <f t="shared" si="130"/>
        <v>170554.54292502906</v>
      </c>
      <c r="BF136" s="173">
        <f t="shared" si="131"/>
        <v>0</v>
      </c>
      <c r="BG136" s="173">
        <f t="shared" si="132"/>
        <v>181560.78627654994</v>
      </c>
      <c r="BH136" s="173">
        <f t="shared" si="133"/>
        <v>0</v>
      </c>
      <c r="BI136" s="173">
        <f t="shared" si="134"/>
        <v>184885.55929286851</v>
      </c>
      <c r="BJ136" s="173">
        <f t="shared" si="135"/>
        <v>0</v>
      </c>
      <c r="BK136" s="173">
        <f t="shared" si="136"/>
        <v>188626.97190717736</v>
      </c>
      <c r="BM136" s="87" t="s">
        <v>493</v>
      </c>
      <c r="BN136" s="87" t="s">
        <v>494</v>
      </c>
      <c r="BO136" s="173">
        <f t="shared" si="137"/>
        <v>0</v>
      </c>
      <c r="BP136" s="173">
        <f t="shared" si="138"/>
        <v>170554.54292502906</v>
      </c>
      <c r="BQ136" s="173">
        <f t="shared" si="139"/>
        <v>0</v>
      </c>
      <c r="BR136" s="173">
        <f t="shared" si="140"/>
        <v>180909.43854635052</v>
      </c>
      <c r="BS136" s="173">
        <f t="shared" si="141"/>
        <v>0</v>
      </c>
      <c r="BT136" s="173">
        <f t="shared" si="142"/>
        <v>183859.02735360659</v>
      </c>
      <c r="BU136" s="173">
        <f t="shared" si="143"/>
        <v>0</v>
      </c>
      <c r="BV136" s="173">
        <f t="shared" si="144"/>
        <v>186414.01435694145</v>
      </c>
    </row>
    <row r="137" spans="5:74">
      <c r="E137" s="87" t="s">
        <v>397</v>
      </c>
      <c r="F137" s="87" t="s">
        <v>398</v>
      </c>
      <c r="G137" s="173">
        <f>IFERROR(IF(VLOOKUP(E137,A:C,3,FALSE)="YES",VLOOKUP(E137,'School Year 2021-22 SPED coop'!A:P,16,FALSE),0),0)</f>
        <v>0</v>
      </c>
      <c r="H137" s="173">
        <f t="shared" si="145"/>
        <v>305471.86</v>
      </c>
      <c r="J137" s="87" t="s">
        <v>397</v>
      </c>
      <c r="K137" s="87" t="s">
        <v>398</v>
      </c>
      <c r="L137" s="173">
        <f t="shared" si="104"/>
        <v>0</v>
      </c>
      <c r="M137" s="173">
        <f t="shared" si="105"/>
        <v>308920.87603469315</v>
      </c>
      <c r="N137" s="173">
        <f t="shared" si="106"/>
        <v>0</v>
      </c>
      <c r="O137" s="173">
        <f t="shared" si="107"/>
        <v>319242.82085420215</v>
      </c>
      <c r="P137" s="173">
        <f t="shared" si="108"/>
        <v>0</v>
      </c>
      <c r="Q137" s="173">
        <f t="shared" si="109"/>
        <v>325189.38895798812</v>
      </c>
      <c r="R137" s="173">
        <f t="shared" si="110"/>
        <v>0</v>
      </c>
      <c r="S137" s="173">
        <f t="shared" si="111"/>
        <v>331240.31550425751</v>
      </c>
      <c r="U137" s="87" t="s">
        <v>397</v>
      </c>
      <c r="V137" s="87" t="s">
        <v>398</v>
      </c>
      <c r="W137" s="173">
        <f t="shared" si="112"/>
        <v>0</v>
      </c>
      <c r="X137" s="173">
        <f t="shared" si="146"/>
        <v>308920.87603469315</v>
      </c>
      <c r="Y137" s="173">
        <f t="shared" si="147"/>
        <v>0</v>
      </c>
      <c r="Z137" s="173">
        <f t="shared" si="148"/>
        <v>320820.03724967455</v>
      </c>
      <c r="AA137" s="173">
        <f t="shared" si="149"/>
        <v>0</v>
      </c>
      <c r="AB137" s="173">
        <f t="shared" si="150"/>
        <v>327028.33639937826</v>
      </c>
      <c r="AC137" s="173">
        <f t="shared" si="151"/>
        <v>0</v>
      </c>
      <c r="AD137" s="173">
        <f t="shared" si="152"/>
        <v>333688.41330614372</v>
      </c>
      <c r="AF137" s="87" t="s">
        <v>397</v>
      </c>
      <c r="AG137" s="87" t="s">
        <v>398</v>
      </c>
      <c r="AH137" s="173">
        <f t="shared" si="113"/>
        <v>0</v>
      </c>
      <c r="AI137" s="173">
        <f t="shared" si="114"/>
        <v>308920.87603469315</v>
      </c>
      <c r="AJ137" s="173">
        <f t="shared" si="115"/>
        <v>0</v>
      </c>
      <c r="AK137" s="173">
        <f t="shared" si="116"/>
        <v>321317.6021556409</v>
      </c>
      <c r="AL137" s="173">
        <f t="shared" si="117"/>
        <v>0</v>
      </c>
      <c r="AM137" s="173">
        <f t="shared" si="118"/>
        <v>326178.60777759162</v>
      </c>
      <c r="AN137" s="173">
        <f t="shared" si="119"/>
        <v>0</v>
      </c>
      <c r="AO137" s="173">
        <f t="shared" si="120"/>
        <v>331809.77245941968</v>
      </c>
      <c r="AQ137" s="87" t="s">
        <v>397</v>
      </c>
      <c r="AR137" s="87" t="s">
        <v>398</v>
      </c>
      <c r="AS137" s="173">
        <f t="shared" si="121"/>
        <v>0</v>
      </c>
      <c r="AT137" s="173">
        <f t="shared" si="122"/>
        <v>308920.87603469315</v>
      </c>
      <c r="AU137" s="173">
        <f t="shared" si="123"/>
        <v>0</v>
      </c>
      <c r="AV137" s="173">
        <f t="shared" si="124"/>
        <v>327183.70581321494</v>
      </c>
      <c r="AW137" s="173">
        <f t="shared" si="125"/>
        <v>0</v>
      </c>
      <c r="AX137" s="173">
        <f t="shared" si="126"/>
        <v>332990.5436253646</v>
      </c>
      <c r="AY137" s="173">
        <f t="shared" si="127"/>
        <v>0</v>
      </c>
      <c r="AZ137" s="173">
        <f t="shared" si="128"/>
        <v>339209.64362265047</v>
      </c>
      <c r="BB137" s="87" t="s">
        <v>397</v>
      </c>
      <c r="BC137" s="87" t="s">
        <v>398</v>
      </c>
      <c r="BD137" s="173">
        <f t="shared" si="129"/>
        <v>0</v>
      </c>
      <c r="BE137" s="173">
        <f t="shared" si="130"/>
        <v>308920.87603469315</v>
      </c>
      <c r="BF137" s="173">
        <f t="shared" si="131"/>
        <v>0</v>
      </c>
      <c r="BG137" s="173">
        <f t="shared" si="132"/>
        <v>328800.16104196606</v>
      </c>
      <c r="BH137" s="173">
        <f t="shared" si="133"/>
        <v>0</v>
      </c>
      <c r="BI137" s="173">
        <f t="shared" si="134"/>
        <v>334873.60716535535</v>
      </c>
      <c r="BJ137" s="173">
        <f t="shared" si="135"/>
        <v>0</v>
      </c>
      <c r="BK137" s="173">
        <f t="shared" si="136"/>
        <v>341716.64115069353</v>
      </c>
      <c r="BM137" s="87" t="s">
        <v>397</v>
      </c>
      <c r="BN137" s="87" t="s">
        <v>398</v>
      </c>
      <c r="BO137" s="173">
        <f t="shared" si="137"/>
        <v>0</v>
      </c>
      <c r="BP137" s="173">
        <f t="shared" si="138"/>
        <v>308920.87603469315</v>
      </c>
      <c r="BQ137" s="173">
        <f t="shared" si="139"/>
        <v>0</v>
      </c>
      <c r="BR137" s="173">
        <f t="shared" si="140"/>
        <v>329311.29595781717</v>
      </c>
      <c r="BS137" s="173">
        <f t="shared" si="141"/>
        <v>0</v>
      </c>
      <c r="BT137" s="173">
        <f t="shared" si="142"/>
        <v>334004.52288397093</v>
      </c>
      <c r="BU137" s="173">
        <f t="shared" si="143"/>
        <v>0</v>
      </c>
      <c r="BV137" s="173">
        <f t="shared" si="144"/>
        <v>339793.79112378362</v>
      </c>
    </row>
    <row r="138" spans="5:74">
      <c r="E138" s="87" t="s">
        <v>1232</v>
      </c>
      <c r="F138" s="87" t="s">
        <v>1233</v>
      </c>
      <c r="G138" s="173">
        <f>IFERROR(IF(VLOOKUP(E138,A:C,3,FALSE)="YES",VLOOKUP(E138,'School Year 2021-22 SPED coop'!A:P,16,FALSE),0),0)</f>
        <v>0</v>
      </c>
      <c r="H138" s="173">
        <f t="shared" si="145"/>
        <v>39446.730000000003</v>
      </c>
      <c r="J138" s="87" t="s">
        <v>1232</v>
      </c>
      <c r="K138" s="87" t="s">
        <v>1233</v>
      </c>
      <c r="L138" s="173">
        <f t="shared" si="104"/>
        <v>0</v>
      </c>
      <c r="M138" s="173">
        <f t="shared" si="105"/>
        <v>39886.637169416528</v>
      </c>
      <c r="N138" s="173">
        <f t="shared" si="106"/>
        <v>0</v>
      </c>
      <c r="O138" s="173">
        <f t="shared" si="107"/>
        <v>40955.409941323756</v>
      </c>
      <c r="P138" s="173">
        <f t="shared" si="108"/>
        <v>0</v>
      </c>
      <c r="Q138" s="173">
        <f t="shared" si="109"/>
        <v>41716.310465118542</v>
      </c>
      <c r="R138" s="173">
        <f t="shared" si="110"/>
        <v>0</v>
      </c>
      <c r="S138" s="173">
        <f t="shared" si="111"/>
        <v>42488.736959302223</v>
      </c>
      <c r="U138" s="87" t="s">
        <v>1232</v>
      </c>
      <c r="V138" s="87" t="s">
        <v>1233</v>
      </c>
      <c r="W138" s="173">
        <f t="shared" si="112"/>
        <v>0</v>
      </c>
      <c r="X138" s="173">
        <f t="shared" si="146"/>
        <v>39886.637169416528</v>
      </c>
      <c r="Y138" s="173">
        <f t="shared" si="147"/>
        <v>0</v>
      </c>
      <c r="Z138" s="173">
        <f t="shared" si="148"/>
        <v>40955.409941323756</v>
      </c>
      <c r="AA138" s="173">
        <f t="shared" si="149"/>
        <v>0</v>
      </c>
      <c r="AB138" s="173">
        <f t="shared" si="150"/>
        <v>41716.310465118542</v>
      </c>
      <c r="AC138" s="173">
        <f t="shared" si="151"/>
        <v>0</v>
      </c>
      <c r="AD138" s="173">
        <f t="shared" si="152"/>
        <v>42488.736959302223</v>
      </c>
      <c r="AF138" s="87" t="s">
        <v>1232</v>
      </c>
      <c r="AG138" s="87" t="s">
        <v>1233</v>
      </c>
      <c r="AH138" s="173">
        <f t="shared" si="113"/>
        <v>0</v>
      </c>
      <c r="AI138" s="173">
        <f t="shared" si="114"/>
        <v>39886.637169416528</v>
      </c>
      <c r="AJ138" s="173">
        <f t="shared" si="115"/>
        <v>0</v>
      </c>
      <c r="AK138" s="173">
        <f t="shared" si="116"/>
        <v>40955.409941323756</v>
      </c>
      <c r="AL138" s="173">
        <f t="shared" si="117"/>
        <v>0</v>
      </c>
      <c r="AM138" s="173">
        <f t="shared" si="118"/>
        <v>41716.310465118557</v>
      </c>
      <c r="AN138" s="173">
        <f t="shared" si="119"/>
        <v>0</v>
      </c>
      <c r="AO138" s="173">
        <f t="shared" si="120"/>
        <v>42488.736959302223</v>
      </c>
      <c r="AQ138" s="87" t="s">
        <v>1232</v>
      </c>
      <c r="AR138" s="87" t="s">
        <v>1233</v>
      </c>
      <c r="AS138" s="173">
        <f t="shared" si="121"/>
        <v>0</v>
      </c>
      <c r="AT138" s="173">
        <f t="shared" si="122"/>
        <v>39886.637169416528</v>
      </c>
      <c r="AU138" s="173">
        <f t="shared" si="123"/>
        <v>0</v>
      </c>
      <c r="AV138" s="173">
        <f t="shared" si="124"/>
        <v>41966.215540544625</v>
      </c>
      <c r="AW138" s="173">
        <f t="shared" si="125"/>
        <v>0</v>
      </c>
      <c r="AX138" s="173">
        <f t="shared" si="126"/>
        <v>42707.413876321509</v>
      </c>
      <c r="AY138" s="173">
        <f t="shared" si="127"/>
        <v>0</v>
      </c>
      <c r="AZ138" s="173">
        <f t="shared" si="128"/>
        <v>43501.247694195132</v>
      </c>
      <c r="BB138" s="87" t="s">
        <v>1232</v>
      </c>
      <c r="BC138" s="87" t="s">
        <v>1233</v>
      </c>
      <c r="BD138" s="173">
        <f t="shared" si="129"/>
        <v>0</v>
      </c>
      <c r="BE138" s="173">
        <f t="shared" si="130"/>
        <v>39886.637169416528</v>
      </c>
      <c r="BF138" s="173">
        <f t="shared" si="131"/>
        <v>0</v>
      </c>
      <c r="BG138" s="173">
        <f t="shared" si="132"/>
        <v>41966.215540544625</v>
      </c>
      <c r="BH138" s="173">
        <f t="shared" si="133"/>
        <v>0</v>
      </c>
      <c r="BI138" s="173">
        <f t="shared" si="134"/>
        <v>42707.413876321509</v>
      </c>
      <c r="BJ138" s="173">
        <f t="shared" si="135"/>
        <v>0</v>
      </c>
      <c r="BK138" s="173">
        <f t="shared" si="136"/>
        <v>43501.247694195132</v>
      </c>
      <c r="BM138" s="87" t="s">
        <v>1232</v>
      </c>
      <c r="BN138" s="87" t="s">
        <v>1233</v>
      </c>
      <c r="BO138" s="173">
        <f t="shared" si="137"/>
        <v>0</v>
      </c>
      <c r="BP138" s="173">
        <f t="shared" si="138"/>
        <v>39886.637169416528</v>
      </c>
      <c r="BQ138" s="173">
        <f t="shared" si="139"/>
        <v>0</v>
      </c>
      <c r="BR138" s="173">
        <f t="shared" si="140"/>
        <v>41966.215540544625</v>
      </c>
      <c r="BS138" s="173">
        <f t="shared" si="141"/>
        <v>0</v>
      </c>
      <c r="BT138" s="173">
        <f t="shared" si="142"/>
        <v>42707.413876321516</v>
      </c>
      <c r="BU138" s="173">
        <f t="shared" si="143"/>
        <v>0</v>
      </c>
      <c r="BV138" s="173">
        <f t="shared" si="144"/>
        <v>43501.247694195132</v>
      </c>
    </row>
    <row r="139" spans="5:74">
      <c r="E139" s="87" t="s">
        <v>553</v>
      </c>
      <c r="F139" s="87" t="s">
        <v>554</v>
      </c>
      <c r="G139" s="173">
        <f>IFERROR(IF(VLOOKUP(E139,A:C,3,FALSE)="YES",VLOOKUP(E139,'School Year 2021-22 SPED coop'!A:P,16,FALSE),0),0)</f>
        <v>0</v>
      </c>
      <c r="H139" s="173">
        <f t="shared" si="145"/>
        <v>655978.35999999987</v>
      </c>
      <c r="J139" s="87" t="s">
        <v>553</v>
      </c>
      <c r="K139" s="87" t="s">
        <v>554</v>
      </c>
      <c r="L139" s="173">
        <f t="shared" si="104"/>
        <v>0</v>
      </c>
      <c r="M139" s="173">
        <f t="shared" si="105"/>
        <v>663130.58193999005</v>
      </c>
      <c r="N139" s="173">
        <f t="shared" si="106"/>
        <v>0</v>
      </c>
      <c r="O139" s="173">
        <f t="shared" si="107"/>
        <v>680713.77828387206</v>
      </c>
      <c r="P139" s="173">
        <f t="shared" si="108"/>
        <v>0</v>
      </c>
      <c r="Q139" s="173">
        <f t="shared" si="109"/>
        <v>693375.78821247048</v>
      </c>
      <c r="R139" s="173">
        <f t="shared" si="110"/>
        <v>0</v>
      </c>
      <c r="S139" s="173">
        <f t="shared" si="111"/>
        <v>706244.4148460076</v>
      </c>
      <c r="U139" s="87" t="s">
        <v>553</v>
      </c>
      <c r="V139" s="87" t="s">
        <v>554</v>
      </c>
      <c r="W139" s="173">
        <f t="shared" si="112"/>
        <v>0</v>
      </c>
      <c r="X139" s="173">
        <f t="shared" si="146"/>
        <v>663130.58193999005</v>
      </c>
      <c r="Y139" s="173">
        <f t="shared" si="147"/>
        <v>0</v>
      </c>
      <c r="Z139" s="173">
        <f t="shared" si="148"/>
        <v>684054.63717201247</v>
      </c>
      <c r="AA139" s="173">
        <f t="shared" si="149"/>
        <v>0</v>
      </c>
      <c r="AB139" s="173">
        <f t="shared" si="150"/>
        <v>697303.71055017994</v>
      </c>
      <c r="AC139" s="173">
        <f t="shared" si="151"/>
        <v>0</v>
      </c>
      <c r="AD139" s="173">
        <f t="shared" si="152"/>
        <v>711463.80463504267</v>
      </c>
      <c r="AF139" s="87" t="s">
        <v>553</v>
      </c>
      <c r="AG139" s="87" t="s">
        <v>554</v>
      </c>
      <c r="AH139" s="173">
        <f t="shared" si="113"/>
        <v>0</v>
      </c>
      <c r="AI139" s="173">
        <f t="shared" si="114"/>
        <v>663130.58193999005</v>
      </c>
      <c r="AJ139" s="173">
        <f t="shared" si="115"/>
        <v>0</v>
      </c>
      <c r="AK139" s="173">
        <f t="shared" si="116"/>
        <v>680713.77828387206</v>
      </c>
      <c r="AL139" s="173">
        <f t="shared" si="117"/>
        <v>0</v>
      </c>
      <c r="AM139" s="173">
        <f t="shared" si="118"/>
        <v>693375.78821247048</v>
      </c>
      <c r="AN139" s="173">
        <f t="shared" si="119"/>
        <v>0</v>
      </c>
      <c r="AO139" s="173">
        <f t="shared" si="120"/>
        <v>706244.4148460076</v>
      </c>
      <c r="AQ139" s="87" t="s">
        <v>553</v>
      </c>
      <c r="AR139" s="87" t="s">
        <v>554</v>
      </c>
      <c r="AS139" s="173">
        <f t="shared" si="121"/>
        <v>0</v>
      </c>
      <c r="AT139" s="173">
        <f t="shared" si="122"/>
        <v>663130.58193999005</v>
      </c>
      <c r="AU139" s="173">
        <f t="shared" si="123"/>
        <v>0</v>
      </c>
      <c r="AV139" s="173">
        <f t="shared" si="124"/>
        <v>697607.56977690756</v>
      </c>
      <c r="AW139" s="173">
        <f t="shared" si="125"/>
        <v>0</v>
      </c>
      <c r="AX139" s="173">
        <f t="shared" si="126"/>
        <v>709957.10657161544</v>
      </c>
      <c r="AY139" s="173">
        <f t="shared" si="127"/>
        <v>0</v>
      </c>
      <c r="AZ139" s="173">
        <f t="shared" si="128"/>
        <v>723183.40363882657</v>
      </c>
      <c r="BB139" s="87" t="s">
        <v>553</v>
      </c>
      <c r="BC139" s="87" t="s">
        <v>554</v>
      </c>
      <c r="BD139" s="173">
        <f t="shared" si="129"/>
        <v>0</v>
      </c>
      <c r="BE139" s="173">
        <f t="shared" si="130"/>
        <v>663130.58193999005</v>
      </c>
      <c r="BF139" s="173">
        <f t="shared" si="131"/>
        <v>0</v>
      </c>
      <c r="BG139" s="173">
        <f t="shared" si="132"/>
        <v>701031.34321810352</v>
      </c>
      <c r="BH139" s="173">
        <f t="shared" si="133"/>
        <v>0</v>
      </c>
      <c r="BI139" s="173">
        <f t="shared" si="134"/>
        <v>713978.96555058472</v>
      </c>
      <c r="BJ139" s="173">
        <f t="shared" si="135"/>
        <v>0</v>
      </c>
      <c r="BK139" s="173">
        <f t="shared" si="136"/>
        <v>728527.97993995377</v>
      </c>
      <c r="BM139" s="87" t="s">
        <v>553</v>
      </c>
      <c r="BN139" s="87" t="s">
        <v>554</v>
      </c>
      <c r="BO139" s="173">
        <f t="shared" si="137"/>
        <v>0</v>
      </c>
      <c r="BP139" s="173">
        <f t="shared" si="138"/>
        <v>663130.58193999005</v>
      </c>
      <c r="BQ139" s="173">
        <f t="shared" si="139"/>
        <v>0</v>
      </c>
      <c r="BR139" s="173">
        <f t="shared" si="140"/>
        <v>697607.56977690756</v>
      </c>
      <c r="BS139" s="173">
        <f t="shared" si="141"/>
        <v>0</v>
      </c>
      <c r="BT139" s="173">
        <f t="shared" si="142"/>
        <v>709957.10657161544</v>
      </c>
      <c r="BU139" s="173">
        <f t="shared" si="143"/>
        <v>0</v>
      </c>
      <c r="BV139" s="173">
        <f t="shared" si="144"/>
        <v>723183.40363882657</v>
      </c>
    </row>
    <row r="140" spans="5:74">
      <c r="E140" s="87" t="s">
        <v>269</v>
      </c>
      <c r="F140" s="87" t="s">
        <v>270</v>
      </c>
      <c r="G140" s="173">
        <f>IFERROR(IF(VLOOKUP(E140,A:C,3,FALSE)="YES",VLOOKUP(E140,'School Year 2021-22 SPED coop'!A:P,16,FALSE),0),0)</f>
        <v>344809.18</v>
      </c>
      <c r="H140" s="173">
        <f t="shared" si="145"/>
        <v>0</v>
      </c>
      <c r="J140" s="87" t="s">
        <v>269</v>
      </c>
      <c r="K140" s="87" t="s">
        <v>270</v>
      </c>
      <c r="L140" s="173">
        <f t="shared" si="104"/>
        <v>296072.29918646178</v>
      </c>
      <c r="M140" s="173">
        <f t="shared" si="105"/>
        <v>0</v>
      </c>
      <c r="N140" s="173">
        <f t="shared" si="106"/>
        <v>306103.43403655378</v>
      </c>
      <c r="O140" s="173">
        <f t="shared" si="107"/>
        <v>0</v>
      </c>
      <c r="P140" s="173">
        <f t="shared" si="108"/>
        <v>311772.94599815452</v>
      </c>
      <c r="Q140" s="173">
        <f t="shared" si="109"/>
        <v>0</v>
      </c>
      <c r="R140" s="173">
        <f t="shared" si="110"/>
        <v>317513.47983350139</v>
      </c>
      <c r="S140" s="173">
        <f t="shared" si="111"/>
        <v>0</v>
      </c>
      <c r="U140" s="87" t="s">
        <v>269</v>
      </c>
      <c r="V140" s="87" t="s">
        <v>270</v>
      </c>
      <c r="W140" s="173">
        <f t="shared" si="112"/>
        <v>296072.29918646178</v>
      </c>
      <c r="X140" s="173">
        <f t="shared" si="146"/>
        <v>0</v>
      </c>
      <c r="Y140" s="173">
        <f t="shared" si="147"/>
        <v>307611.2363111212</v>
      </c>
      <c r="Z140" s="173">
        <f t="shared" si="148"/>
        <v>0</v>
      </c>
      <c r="AA140" s="173">
        <f t="shared" si="149"/>
        <v>313531.99114182644</v>
      </c>
      <c r="AB140" s="173">
        <f t="shared" si="150"/>
        <v>0</v>
      </c>
      <c r="AC140" s="173">
        <f t="shared" si="151"/>
        <v>319859.9746104232</v>
      </c>
      <c r="AD140" s="173">
        <f t="shared" si="152"/>
        <v>0</v>
      </c>
      <c r="AF140" s="87" t="s">
        <v>269</v>
      </c>
      <c r="AG140" s="87" t="s">
        <v>270</v>
      </c>
      <c r="AH140" s="173">
        <f t="shared" si="113"/>
        <v>296072.29918646178</v>
      </c>
      <c r="AI140" s="173">
        <f t="shared" si="114"/>
        <v>0</v>
      </c>
      <c r="AJ140" s="173">
        <f t="shared" si="115"/>
        <v>314172.30166114005</v>
      </c>
      <c r="AK140" s="173">
        <f t="shared" si="116"/>
        <v>0</v>
      </c>
      <c r="AL140" s="173">
        <f t="shared" si="117"/>
        <v>319685.89009421831</v>
      </c>
      <c r="AM140" s="173">
        <f t="shared" si="118"/>
        <v>0</v>
      </c>
      <c r="AN140" s="173">
        <f t="shared" si="119"/>
        <v>324386.00309656782</v>
      </c>
      <c r="AO140" s="173">
        <f t="shared" si="120"/>
        <v>0</v>
      </c>
      <c r="AQ140" s="87" t="s">
        <v>269</v>
      </c>
      <c r="AR140" s="87" t="s">
        <v>270</v>
      </c>
      <c r="AS140" s="173">
        <f t="shared" si="121"/>
        <v>296072.29918646178</v>
      </c>
      <c r="AT140" s="173">
        <f t="shared" si="122"/>
        <v>0</v>
      </c>
      <c r="AU140" s="173">
        <f t="shared" si="123"/>
        <v>313637.81024933746</v>
      </c>
      <c r="AV140" s="173">
        <f t="shared" si="124"/>
        <v>0</v>
      </c>
      <c r="AW140" s="173">
        <f t="shared" si="125"/>
        <v>319146.62524452124</v>
      </c>
      <c r="AX140" s="173">
        <f t="shared" si="126"/>
        <v>0</v>
      </c>
      <c r="AY140" s="173">
        <f t="shared" si="127"/>
        <v>325046.53620022989</v>
      </c>
      <c r="AZ140" s="173">
        <f t="shared" si="128"/>
        <v>0</v>
      </c>
      <c r="BB140" s="87" t="s">
        <v>269</v>
      </c>
      <c r="BC140" s="87" t="s">
        <v>270</v>
      </c>
      <c r="BD140" s="173">
        <f t="shared" si="129"/>
        <v>296072.29918646178</v>
      </c>
      <c r="BE140" s="173">
        <f t="shared" si="130"/>
        <v>0</v>
      </c>
      <c r="BF140" s="173">
        <f t="shared" si="131"/>
        <v>315182.72903283121</v>
      </c>
      <c r="BG140" s="173">
        <f t="shared" si="132"/>
        <v>0</v>
      </c>
      <c r="BH140" s="173">
        <f t="shared" si="133"/>
        <v>320947.2717437126</v>
      </c>
      <c r="BI140" s="173">
        <f t="shared" si="134"/>
        <v>0</v>
      </c>
      <c r="BJ140" s="173">
        <f t="shared" si="135"/>
        <v>327448.70254076348</v>
      </c>
      <c r="BK140" s="173">
        <f t="shared" si="136"/>
        <v>0</v>
      </c>
      <c r="BM140" s="87" t="s">
        <v>269</v>
      </c>
      <c r="BN140" s="87" t="s">
        <v>270</v>
      </c>
      <c r="BO140" s="173">
        <f t="shared" si="137"/>
        <v>296072.29918646178</v>
      </c>
      <c r="BP140" s="173">
        <f t="shared" si="138"/>
        <v>0</v>
      </c>
      <c r="BQ140" s="173">
        <f t="shared" si="139"/>
        <v>321908.03263929725</v>
      </c>
      <c r="BR140" s="173">
        <f t="shared" si="140"/>
        <v>0</v>
      </c>
      <c r="BS140" s="173">
        <f t="shared" si="141"/>
        <v>327248.49543446163</v>
      </c>
      <c r="BT140" s="173">
        <f t="shared" si="142"/>
        <v>0</v>
      </c>
      <c r="BU140" s="173">
        <f t="shared" si="143"/>
        <v>332083.78214707953</v>
      </c>
      <c r="BV140" s="173">
        <f t="shared" si="144"/>
        <v>0</v>
      </c>
    </row>
    <row r="141" spans="5:74">
      <c r="E141" s="87" t="s">
        <v>545</v>
      </c>
      <c r="F141" s="87" t="s">
        <v>546</v>
      </c>
      <c r="G141" s="173">
        <f>IFERROR(IF(VLOOKUP(E141,A:C,3,FALSE)="YES",VLOOKUP(E141,'School Year 2021-22 SPED coop'!A:P,16,FALSE),0),0)</f>
        <v>0</v>
      </c>
      <c r="H141" s="173">
        <f t="shared" si="145"/>
        <v>4562747.75</v>
      </c>
      <c r="J141" s="87" t="s">
        <v>545</v>
      </c>
      <c r="K141" s="87" t="s">
        <v>546</v>
      </c>
      <c r="L141" s="173">
        <f t="shared" si="104"/>
        <v>0</v>
      </c>
      <c r="M141" s="173">
        <f t="shared" si="105"/>
        <v>4611648.0675613014</v>
      </c>
      <c r="N141" s="173">
        <f t="shared" si="106"/>
        <v>0</v>
      </c>
      <c r="O141" s="173">
        <f t="shared" si="107"/>
        <v>4766756.5666539306</v>
      </c>
      <c r="P141" s="173">
        <f t="shared" si="108"/>
        <v>0</v>
      </c>
      <c r="Q141" s="173">
        <f t="shared" si="109"/>
        <v>4855318.0723463017</v>
      </c>
      <c r="R141" s="173">
        <f t="shared" si="110"/>
        <v>0</v>
      </c>
      <c r="S141" s="173">
        <f t="shared" si="111"/>
        <v>4945230.6942106932</v>
      </c>
      <c r="U141" s="87" t="s">
        <v>545</v>
      </c>
      <c r="V141" s="87" t="s">
        <v>546</v>
      </c>
      <c r="W141" s="173">
        <f t="shared" si="112"/>
        <v>0</v>
      </c>
      <c r="X141" s="173">
        <f t="shared" si="146"/>
        <v>4611648.0675613014</v>
      </c>
      <c r="Y141" s="173">
        <f t="shared" si="147"/>
        <v>0</v>
      </c>
      <c r="Z141" s="173">
        <f t="shared" si="148"/>
        <v>4790135.0542265056</v>
      </c>
      <c r="AA141" s="173">
        <f t="shared" si="149"/>
        <v>0</v>
      </c>
      <c r="AB141" s="173">
        <f t="shared" si="150"/>
        <v>4882771.7177265594</v>
      </c>
      <c r="AC141" s="173">
        <f t="shared" si="151"/>
        <v>0</v>
      </c>
      <c r="AD141" s="173">
        <f t="shared" si="152"/>
        <v>4981761.6656969618</v>
      </c>
      <c r="AF141" s="87" t="s">
        <v>545</v>
      </c>
      <c r="AG141" s="87" t="s">
        <v>546</v>
      </c>
      <c r="AH141" s="173">
        <f t="shared" si="113"/>
        <v>0</v>
      </c>
      <c r="AI141" s="173">
        <f t="shared" si="114"/>
        <v>4611648.0675613014</v>
      </c>
      <c r="AJ141" s="173">
        <f t="shared" si="115"/>
        <v>0</v>
      </c>
      <c r="AK141" s="173">
        <f t="shared" si="116"/>
        <v>4760050.3693979876</v>
      </c>
      <c r="AL141" s="173">
        <f t="shared" si="117"/>
        <v>0</v>
      </c>
      <c r="AM141" s="173">
        <f t="shared" si="118"/>
        <v>4869646.1385789262</v>
      </c>
      <c r="AN141" s="173">
        <f t="shared" si="119"/>
        <v>0</v>
      </c>
      <c r="AO141" s="173">
        <f t="shared" si="120"/>
        <v>4964755.6719668657</v>
      </c>
      <c r="AQ141" s="87" t="s">
        <v>545</v>
      </c>
      <c r="AR141" s="87" t="s">
        <v>546</v>
      </c>
      <c r="AS141" s="173">
        <f t="shared" si="121"/>
        <v>0</v>
      </c>
      <c r="AT141" s="173">
        <f t="shared" si="122"/>
        <v>4611648.0675613014</v>
      </c>
      <c r="AU141" s="173">
        <f t="shared" si="123"/>
        <v>0</v>
      </c>
      <c r="AV141" s="173">
        <f t="shared" si="124"/>
        <v>4884740.2127820831</v>
      </c>
      <c r="AW141" s="173">
        <f t="shared" si="125"/>
        <v>0</v>
      </c>
      <c r="AX141" s="173">
        <f t="shared" si="126"/>
        <v>4971024.3719553323</v>
      </c>
      <c r="AY141" s="173">
        <f t="shared" si="127"/>
        <v>0</v>
      </c>
      <c r="AZ141" s="173">
        <f t="shared" si="128"/>
        <v>5063434.4682273194</v>
      </c>
      <c r="BB141" s="87" t="s">
        <v>545</v>
      </c>
      <c r="BC141" s="87" t="s">
        <v>546</v>
      </c>
      <c r="BD141" s="173">
        <f t="shared" si="129"/>
        <v>0</v>
      </c>
      <c r="BE141" s="173">
        <f t="shared" si="130"/>
        <v>4611648.0675613014</v>
      </c>
      <c r="BF141" s="173">
        <f t="shared" si="131"/>
        <v>0</v>
      </c>
      <c r="BG141" s="173">
        <f t="shared" si="132"/>
        <v>4908697.353649158</v>
      </c>
      <c r="BH141" s="173">
        <f t="shared" si="133"/>
        <v>0</v>
      </c>
      <c r="BI141" s="173">
        <f t="shared" si="134"/>
        <v>4999132.2665676801</v>
      </c>
      <c r="BJ141" s="173">
        <f t="shared" si="135"/>
        <v>0</v>
      </c>
      <c r="BK141" s="173">
        <f t="shared" si="136"/>
        <v>5100838.626498729</v>
      </c>
      <c r="BM141" s="87" t="s">
        <v>545</v>
      </c>
      <c r="BN141" s="87" t="s">
        <v>546</v>
      </c>
      <c r="BO141" s="173">
        <f t="shared" si="137"/>
        <v>0</v>
      </c>
      <c r="BP141" s="173">
        <f t="shared" si="138"/>
        <v>4611648.0675613014</v>
      </c>
      <c r="BQ141" s="173">
        <f t="shared" si="139"/>
        <v>0</v>
      </c>
      <c r="BR141" s="173">
        <f t="shared" si="140"/>
        <v>4877865.4357398665</v>
      </c>
      <c r="BS141" s="173">
        <f t="shared" si="141"/>
        <v>0</v>
      </c>
      <c r="BT141" s="173">
        <f t="shared" si="142"/>
        <v>4985692.002897203</v>
      </c>
      <c r="BU141" s="173">
        <f t="shared" si="143"/>
        <v>0</v>
      </c>
      <c r="BV141" s="173">
        <f t="shared" si="144"/>
        <v>5083425.1488847965</v>
      </c>
    </row>
    <row r="142" spans="5:74">
      <c r="E142" s="87" t="s">
        <v>591</v>
      </c>
      <c r="F142" s="87" t="s">
        <v>592</v>
      </c>
      <c r="G142" s="173">
        <f>IFERROR(IF(VLOOKUP(E142,A:C,3,FALSE)="YES",VLOOKUP(E142,'School Year 2021-22 SPED coop'!A:P,16,FALSE),0),0)</f>
        <v>0</v>
      </c>
      <c r="H142" s="173">
        <f t="shared" si="145"/>
        <v>739720.23</v>
      </c>
      <c r="J142" s="87" t="s">
        <v>591</v>
      </c>
      <c r="K142" s="87" t="s">
        <v>592</v>
      </c>
      <c r="L142" s="173">
        <f t="shared" si="104"/>
        <v>0</v>
      </c>
      <c r="M142" s="173">
        <f t="shared" si="105"/>
        <v>748142.82838201756</v>
      </c>
      <c r="N142" s="173">
        <f t="shared" si="106"/>
        <v>0</v>
      </c>
      <c r="O142" s="173">
        <f t="shared" si="107"/>
        <v>773489.99064737209</v>
      </c>
      <c r="P142" s="173">
        <f t="shared" si="108"/>
        <v>0</v>
      </c>
      <c r="Q142" s="173">
        <f t="shared" si="109"/>
        <v>787816.03035499563</v>
      </c>
      <c r="R142" s="173">
        <f t="shared" si="110"/>
        <v>0</v>
      </c>
      <c r="S142" s="173">
        <f t="shared" si="111"/>
        <v>802321.36918466643</v>
      </c>
      <c r="U142" s="87" t="s">
        <v>591</v>
      </c>
      <c r="V142" s="87" t="s">
        <v>592</v>
      </c>
      <c r="W142" s="173">
        <f t="shared" si="112"/>
        <v>0</v>
      </c>
      <c r="X142" s="173">
        <f t="shared" si="146"/>
        <v>748142.82838201756</v>
      </c>
      <c r="Y142" s="173">
        <f t="shared" si="147"/>
        <v>0</v>
      </c>
      <c r="Z142" s="173">
        <f t="shared" si="148"/>
        <v>777283.15492652077</v>
      </c>
      <c r="AA142" s="173">
        <f t="shared" si="149"/>
        <v>0</v>
      </c>
      <c r="AB142" s="173">
        <f t="shared" si="150"/>
        <v>792281.30486696342</v>
      </c>
      <c r="AC142" s="173">
        <f t="shared" si="151"/>
        <v>0</v>
      </c>
      <c r="AD142" s="173">
        <f t="shared" si="152"/>
        <v>808251.56540440687</v>
      </c>
      <c r="AF142" s="87" t="s">
        <v>591</v>
      </c>
      <c r="AG142" s="87" t="s">
        <v>592</v>
      </c>
      <c r="AH142" s="173">
        <f t="shared" si="113"/>
        <v>0</v>
      </c>
      <c r="AI142" s="173">
        <f t="shared" si="114"/>
        <v>748142.82838201756</v>
      </c>
      <c r="AJ142" s="173">
        <f t="shared" si="115"/>
        <v>0</v>
      </c>
      <c r="AK142" s="173">
        <f t="shared" si="116"/>
        <v>777387.41004509421</v>
      </c>
      <c r="AL142" s="173">
        <f t="shared" si="117"/>
        <v>0</v>
      </c>
      <c r="AM142" s="173">
        <f t="shared" si="118"/>
        <v>789703.6165588015</v>
      </c>
      <c r="AN142" s="173">
        <f t="shared" si="119"/>
        <v>0</v>
      </c>
      <c r="AO142" s="173">
        <f t="shared" si="120"/>
        <v>807938.90826015733</v>
      </c>
      <c r="AQ142" s="87" t="s">
        <v>591</v>
      </c>
      <c r="AR142" s="87" t="s">
        <v>592</v>
      </c>
      <c r="AS142" s="173">
        <f t="shared" si="121"/>
        <v>0</v>
      </c>
      <c r="AT142" s="173">
        <f t="shared" si="122"/>
        <v>748142.82838201756</v>
      </c>
      <c r="AU142" s="173">
        <f t="shared" si="123"/>
        <v>0</v>
      </c>
      <c r="AV142" s="173">
        <f t="shared" si="124"/>
        <v>792528.54660035821</v>
      </c>
      <c r="AW142" s="173">
        <f t="shared" si="125"/>
        <v>0</v>
      </c>
      <c r="AX142" s="173">
        <f t="shared" si="126"/>
        <v>806448.38089830533</v>
      </c>
      <c r="AY142" s="173">
        <f t="shared" si="127"/>
        <v>0</v>
      </c>
      <c r="AZ142" s="173">
        <f t="shared" si="128"/>
        <v>821356.4452475427</v>
      </c>
      <c r="BB142" s="87" t="s">
        <v>591</v>
      </c>
      <c r="BC142" s="87" t="s">
        <v>592</v>
      </c>
      <c r="BD142" s="173">
        <f t="shared" si="129"/>
        <v>0</v>
      </c>
      <c r="BE142" s="173">
        <f t="shared" si="130"/>
        <v>748142.82838201756</v>
      </c>
      <c r="BF142" s="173">
        <f t="shared" si="131"/>
        <v>0</v>
      </c>
      <c r="BG142" s="173">
        <f t="shared" si="132"/>
        <v>796415.07564509276</v>
      </c>
      <c r="BH142" s="173">
        <f t="shared" si="133"/>
        <v>0</v>
      </c>
      <c r="BI142" s="173">
        <f t="shared" si="134"/>
        <v>811019.26796493318</v>
      </c>
      <c r="BJ142" s="173">
        <f t="shared" si="135"/>
        <v>0</v>
      </c>
      <c r="BK142" s="173">
        <f t="shared" si="136"/>
        <v>827427.33734729281</v>
      </c>
      <c r="BM142" s="87" t="s">
        <v>591</v>
      </c>
      <c r="BN142" s="87" t="s">
        <v>592</v>
      </c>
      <c r="BO142" s="173">
        <f t="shared" si="137"/>
        <v>0</v>
      </c>
      <c r="BP142" s="173">
        <f t="shared" si="138"/>
        <v>748142.82838201756</v>
      </c>
      <c r="BQ142" s="173">
        <f t="shared" si="139"/>
        <v>0</v>
      </c>
      <c r="BR142" s="173">
        <f t="shared" si="140"/>
        <v>796523.68254099553</v>
      </c>
      <c r="BS142" s="173">
        <f t="shared" si="141"/>
        <v>0</v>
      </c>
      <c r="BT142" s="173">
        <f t="shared" si="142"/>
        <v>808382.08975023311</v>
      </c>
      <c r="BU142" s="173">
        <f t="shared" si="143"/>
        <v>0</v>
      </c>
      <c r="BV142" s="173">
        <f t="shared" si="144"/>
        <v>827110.29723744525</v>
      </c>
    </row>
    <row r="143" spans="5:74">
      <c r="E143" s="87" t="s">
        <v>97</v>
      </c>
      <c r="F143" s="87" t="s">
        <v>98</v>
      </c>
      <c r="G143" s="173">
        <f>IFERROR(IF(VLOOKUP(E143,A:C,3,FALSE)="YES",VLOOKUP(E143,'School Year 2021-22 SPED coop'!A:P,16,FALSE),0),0)</f>
        <v>0</v>
      </c>
      <c r="H143" s="173">
        <f t="shared" si="145"/>
        <v>84318.75</v>
      </c>
      <c r="J143" s="87" t="s">
        <v>97</v>
      </c>
      <c r="K143" s="87" t="s">
        <v>98</v>
      </c>
      <c r="L143" s="173">
        <f t="shared" si="104"/>
        <v>0</v>
      </c>
      <c r="M143" s="173">
        <f t="shared" si="105"/>
        <v>85276.131561814007</v>
      </c>
      <c r="N143" s="173">
        <f t="shared" si="106"/>
        <v>0</v>
      </c>
      <c r="O143" s="173">
        <f t="shared" si="107"/>
        <v>88165.700407938013</v>
      </c>
      <c r="P143" s="173">
        <f t="shared" si="108"/>
        <v>0</v>
      </c>
      <c r="Q143" s="173">
        <f t="shared" si="109"/>
        <v>89798.706465868512</v>
      </c>
      <c r="R143" s="173">
        <f t="shared" si="110"/>
        <v>0</v>
      </c>
      <c r="S143" s="173">
        <f t="shared" si="111"/>
        <v>91452.202658635739</v>
      </c>
      <c r="U143" s="87" t="s">
        <v>97</v>
      </c>
      <c r="V143" s="87" t="s">
        <v>98</v>
      </c>
      <c r="W143" s="173">
        <f t="shared" si="112"/>
        <v>0</v>
      </c>
      <c r="X143" s="173">
        <f t="shared" si="146"/>
        <v>85276.131561814007</v>
      </c>
      <c r="Y143" s="173">
        <f t="shared" si="147"/>
        <v>0</v>
      </c>
      <c r="Z143" s="173">
        <f t="shared" si="148"/>
        <v>88165.700407938013</v>
      </c>
      <c r="AA143" s="173">
        <f t="shared" si="149"/>
        <v>0</v>
      </c>
      <c r="AB143" s="173">
        <f t="shared" si="150"/>
        <v>89798.706465868512</v>
      </c>
      <c r="AC143" s="173">
        <f t="shared" si="151"/>
        <v>0</v>
      </c>
      <c r="AD143" s="173">
        <f t="shared" si="152"/>
        <v>91452.202658635739</v>
      </c>
      <c r="AF143" s="87" t="s">
        <v>97</v>
      </c>
      <c r="AG143" s="87" t="s">
        <v>98</v>
      </c>
      <c r="AH143" s="173">
        <f t="shared" si="113"/>
        <v>0</v>
      </c>
      <c r="AI143" s="173">
        <f t="shared" si="114"/>
        <v>85276.131561814007</v>
      </c>
      <c r="AJ143" s="173">
        <f t="shared" si="115"/>
        <v>0</v>
      </c>
      <c r="AK143" s="173">
        <f t="shared" si="116"/>
        <v>88641.421612536578</v>
      </c>
      <c r="AL143" s="173">
        <f t="shared" si="117"/>
        <v>0</v>
      </c>
      <c r="AM143" s="173">
        <f t="shared" si="118"/>
        <v>90900.214601140469</v>
      </c>
      <c r="AN143" s="173">
        <f t="shared" si="119"/>
        <v>0</v>
      </c>
      <c r="AO143" s="173">
        <f t="shared" si="120"/>
        <v>93046.142670155226</v>
      </c>
      <c r="AQ143" s="87" t="s">
        <v>97</v>
      </c>
      <c r="AR143" s="87" t="s">
        <v>98</v>
      </c>
      <c r="AS143" s="173">
        <f t="shared" si="121"/>
        <v>0</v>
      </c>
      <c r="AT143" s="173">
        <f t="shared" si="122"/>
        <v>85276.131561814007</v>
      </c>
      <c r="AU143" s="173">
        <f t="shared" si="123"/>
        <v>0</v>
      </c>
      <c r="AV143" s="173">
        <f t="shared" si="124"/>
        <v>90335.734761241722</v>
      </c>
      <c r="AW143" s="173">
        <f t="shared" si="125"/>
        <v>0</v>
      </c>
      <c r="AX143" s="173">
        <f t="shared" si="126"/>
        <v>91922.484026057224</v>
      </c>
      <c r="AY143" s="173">
        <f t="shared" si="127"/>
        <v>0</v>
      </c>
      <c r="AZ143" s="173">
        <f t="shared" si="128"/>
        <v>93621.884304281528</v>
      </c>
      <c r="BB143" s="87" t="s">
        <v>97</v>
      </c>
      <c r="BC143" s="87" t="s">
        <v>98</v>
      </c>
      <c r="BD143" s="173">
        <f t="shared" si="129"/>
        <v>0</v>
      </c>
      <c r="BE143" s="173">
        <f t="shared" si="130"/>
        <v>85276.131561814007</v>
      </c>
      <c r="BF143" s="173">
        <f t="shared" si="131"/>
        <v>0</v>
      </c>
      <c r="BG143" s="173">
        <f t="shared" si="132"/>
        <v>90335.734761241722</v>
      </c>
      <c r="BH143" s="173">
        <f t="shared" si="133"/>
        <v>0</v>
      </c>
      <c r="BI143" s="173">
        <f t="shared" si="134"/>
        <v>91922.484026057224</v>
      </c>
      <c r="BJ143" s="173">
        <f t="shared" si="135"/>
        <v>0</v>
      </c>
      <c r="BK143" s="173">
        <f t="shared" si="136"/>
        <v>93621.884304281528</v>
      </c>
      <c r="BM143" s="87" t="s">
        <v>97</v>
      </c>
      <c r="BN143" s="87" t="s">
        <v>98</v>
      </c>
      <c r="BO143" s="173">
        <f t="shared" si="137"/>
        <v>0</v>
      </c>
      <c r="BP143" s="173">
        <f t="shared" si="138"/>
        <v>85276.131561814007</v>
      </c>
      <c r="BQ143" s="173">
        <f t="shared" si="139"/>
        <v>0</v>
      </c>
      <c r="BR143" s="173">
        <f t="shared" si="140"/>
        <v>90823.401018255056</v>
      </c>
      <c r="BS143" s="173">
        <f t="shared" si="141"/>
        <v>0</v>
      </c>
      <c r="BT143" s="173">
        <f t="shared" si="142"/>
        <v>93050.427195456286</v>
      </c>
      <c r="BU143" s="173">
        <f t="shared" si="143"/>
        <v>0</v>
      </c>
      <c r="BV143" s="173">
        <f t="shared" si="144"/>
        <v>95253.988584802137</v>
      </c>
    </row>
    <row r="144" spans="5:74">
      <c r="E144" s="87" t="s">
        <v>29</v>
      </c>
      <c r="F144" s="87" t="s">
        <v>30</v>
      </c>
      <c r="G144" s="173">
        <f>IFERROR(IF(VLOOKUP(E144,A:C,3,FALSE)="YES",VLOOKUP(E144,'School Year 2021-22 SPED coop'!A:P,16,FALSE),0),0)</f>
        <v>0</v>
      </c>
      <c r="H144" s="173">
        <f t="shared" si="145"/>
        <v>657535.12999999989</v>
      </c>
      <c r="J144" s="87" t="s">
        <v>29</v>
      </c>
      <c r="K144" s="87" t="s">
        <v>30</v>
      </c>
      <c r="L144" s="173">
        <f t="shared" si="104"/>
        <v>0</v>
      </c>
      <c r="M144" s="173">
        <f t="shared" si="105"/>
        <v>664895.35109236941</v>
      </c>
      <c r="N144" s="173">
        <f t="shared" si="106"/>
        <v>0</v>
      </c>
      <c r="O144" s="173">
        <f t="shared" si="107"/>
        <v>687431.09895394125</v>
      </c>
      <c r="P144" s="173">
        <f t="shared" si="108"/>
        <v>0</v>
      </c>
      <c r="Q144" s="173">
        <f t="shared" si="109"/>
        <v>700164.28271118028</v>
      </c>
      <c r="R144" s="173">
        <f t="shared" si="110"/>
        <v>0</v>
      </c>
      <c r="S144" s="173">
        <f t="shared" si="111"/>
        <v>713057.7076606832</v>
      </c>
      <c r="U144" s="87" t="s">
        <v>29</v>
      </c>
      <c r="V144" s="87" t="s">
        <v>30</v>
      </c>
      <c r="W144" s="173">
        <f t="shared" si="112"/>
        <v>0</v>
      </c>
      <c r="X144" s="173">
        <f t="shared" si="146"/>
        <v>664895.35109236941</v>
      </c>
      <c r="Y144" s="173">
        <f t="shared" si="147"/>
        <v>0</v>
      </c>
      <c r="Z144" s="173">
        <f t="shared" si="148"/>
        <v>690797.48899944313</v>
      </c>
      <c r="AA144" s="173">
        <f t="shared" si="149"/>
        <v>0</v>
      </c>
      <c r="AB144" s="173">
        <f t="shared" si="150"/>
        <v>704117.25913474278</v>
      </c>
      <c r="AC144" s="173">
        <f t="shared" si="151"/>
        <v>0</v>
      </c>
      <c r="AD144" s="173">
        <f t="shared" si="152"/>
        <v>718315.92481227103</v>
      </c>
      <c r="AF144" s="87" t="s">
        <v>29</v>
      </c>
      <c r="AG144" s="87" t="s">
        <v>30</v>
      </c>
      <c r="AH144" s="173">
        <f t="shared" si="113"/>
        <v>0</v>
      </c>
      <c r="AI144" s="173">
        <f t="shared" si="114"/>
        <v>664895.35109236941</v>
      </c>
      <c r="AJ144" s="173">
        <f t="shared" si="115"/>
        <v>0</v>
      </c>
      <c r="AK144" s="173">
        <f t="shared" si="116"/>
        <v>691393.93332108902</v>
      </c>
      <c r="AL144" s="173">
        <f t="shared" si="117"/>
        <v>0</v>
      </c>
      <c r="AM144" s="173">
        <f t="shared" si="118"/>
        <v>703531.80997615494</v>
      </c>
      <c r="AN144" s="173">
        <f t="shared" si="119"/>
        <v>0</v>
      </c>
      <c r="AO144" s="173">
        <f t="shared" si="120"/>
        <v>719270.36778283108</v>
      </c>
      <c r="AQ144" s="87" t="s">
        <v>29</v>
      </c>
      <c r="AR144" s="87" t="s">
        <v>30</v>
      </c>
      <c r="AS144" s="173">
        <f t="shared" si="121"/>
        <v>0</v>
      </c>
      <c r="AT144" s="173">
        <f t="shared" si="122"/>
        <v>664895.35109236941</v>
      </c>
      <c r="AU144" s="173">
        <f t="shared" si="123"/>
        <v>0</v>
      </c>
      <c r="AV144" s="173">
        <f t="shared" si="124"/>
        <v>704350.46133752225</v>
      </c>
      <c r="AW144" s="173">
        <f t="shared" si="125"/>
        <v>0</v>
      </c>
      <c r="AX144" s="173">
        <f t="shared" si="126"/>
        <v>716723.38254481717</v>
      </c>
      <c r="AY144" s="173">
        <f t="shared" si="127"/>
        <v>0</v>
      </c>
      <c r="AZ144" s="173">
        <f t="shared" si="128"/>
        <v>729974.71994431387</v>
      </c>
      <c r="BB144" s="87" t="s">
        <v>29</v>
      </c>
      <c r="BC144" s="87" t="s">
        <v>30</v>
      </c>
      <c r="BD144" s="173">
        <f t="shared" si="129"/>
        <v>0</v>
      </c>
      <c r="BE144" s="173">
        <f t="shared" si="130"/>
        <v>664895.35109236941</v>
      </c>
      <c r="BF144" s="173">
        <f t="shared" si="131"/>
        <v>0</v>
      </c>
      <c r="BG144" s="173">
        <f t="shared" si="132"/>
        <v>707799.70434760244</v>
      </c>
      <c r="BH144" s="173">
        <f t="shared" si="133"/>
        <v>0</v>
      </c>
      <c r="BI144" s="173">
        <f t="shared" si="134"/>
        <v>720769.84601002524</v>
      </c>
      <c r="BJ144" s="173">
        <f t="shared" si="135"/>
        <v>0</v>
      </c>
      <c r="BK144" s="173">
        <f t="shared" si="136"/>
        <v>735357.68210060638</v>
      </c>
      <c r="BM144" s="87" t="s">
        <v>29</v>
      </c>
      <c r="BN144" s="87" t="s">
        <v>30</v>
      </c>
      <c r="BO144" s="173">
        <f t="shared" si="137"/>
        <v>0</v>
      </c>
      <c r="BP144" s="173">
        <f t="shared" si="138"/>
        <v>664895.35109236941</v>
      </c>
      <c r="BQ144" s="173">
        <f t="shared" si="139"/>
        <v>0</v>
      </c>
      <c r="BR144" s="173">
        <f t="shared" si="140"/>
        <v>708413.51556420873</v>
      </c>
      <c r="BS144" s="173">
        <f t="shared" si="141"/>
        <v>0</v>
      </c>
      <c r="BT144" s="173">
        <f t="shared" si="142"/>
        <v>720173.82508723286</v>
      </c>
      <c r="BU144" s="173">
        <f t="shared" si="143"/>
        <v>0</v>
      </c>
      <c r="BV144" s="173">
        <f t="shared" si="144"/>
        <v>736338.14456310566</v>
      </c>
    </row>
    <row r="145" spans="5:74">
      <c r="E145" s="87" t="s">
        <v>319</v>
      </c>
      <c r="F145" s="87" t="s">
        <v>320</v>
      </c>
      <c r="G145" s="173">
        <f>IFERROR(IF(VLOOKUP(E145,A:C,3,FALSE)="YES",VLOOKUP(E145,'School Year 2021-22 SPED coop'!A:P,16,FALSE),0),0)</f>
        <v>0</v>
      </c>
      <c r="H145" s="173">
        <f t="shared" si="145"/>
        <v>1610926.76</v>
      </c>
      <c r="J145" s="87" t="s">
        <v>319</v>
      </c>
      <c r="K145" s="87" t="s">
        <v>320</v>
      </c>
      <c r="L145" s="173">
        <f t="shared" si="104"/>
        <v>0</v>
      </c>
      <c r="M145" s="173">
        <f t="shared" si="105"/>
        <v>1628522.2810486942</v>
      </c>
      <c r="N145" s="173">
        <f t="shared" si="106"/>
        <v>0</v>
      </c>
      <c r="O145" s="173">
        <f t="shared" si="107"/>
        <v>1683833.7475403491</v>
      </c>
      <c r="P145" s="173">
        <f t="shared" si="108"/>
        <v>0</v>
      </c>
      <c r="Q145" s="173">
        <f t="shared" si="109"/>
        <v>1715066.1684745536</v>
      </c>
      <c r="R145" s="173">
        <f t="shared" si="110"/>
        <v>0</v>
      </c>
      <c r="S145" s="173">
        <f t="shared" si="111"/>
        <v>1746726.7558619524</v>
      </c>
      <c r="U145" s="87" t="s">
        <v>319</v>
      </c>
      <c r="V145" s="87" t="s">
        <v>320</v>
      </c>
      <c r="W145" s="173">
        <f t="shared" si="112"/>
        <v>0</v>
      </c>
      <c r="X145" s="173">
        <f t="shared" si="146"/>
        <v>1628522.2810486942</v>
      </c>
      <c r="Y145" s="173">
        <f t="shared" si="147"/>
        <v>0</v>
      </c>
      <c r="Z145" s="173">
        <f t="shared" si="148"/>
        <v>1692095.6131051676</v>
      </c>
      <c r="AA145" s="173">
        <f t="shared" si="149"/>
        <v>0</v>
      </c>
      <c r="AB145" s="173">
        <f t="shared" si="150"/>
        <v>1724761.6353216381</v>
      </c>
      <c r="AC145" s="173">
        <f t="shared" si="151"/>
        <v>0</v>
      </c>
      <c r="AD145" s="173">
        <f t="shared" si="152"/>
        <v>1759630.0444940696</v>
      </c>
      <c r="AF145" s="87" t="s">
        <v>319</v>
      </c>
      <c r="AG145" s="87" t="s">
        <v>320</v>
      </c>
      <c r="AH145" s="173">
        <f t="shared" si="113"/>
        <v>0</v>
      </c>
      <c r="AI145" s="173">
        <f t="shared" si="114"/>
        <v>1628522.2810486942</v>
      </c>
      <c r="AJ145" s="173">
        <f t="shared" si="115"/>
        <v>0</v>
      </c>
      <c r="AK145" s="173">
        <f t="shared" si="116"/>
        <v>1681404.6028353986</v>
      </c>
      <c r="AL145" s="173">
        <f t="shared" si="117"/>
        <v>0</v>
      </c>
      <c r="AM145" s="173">
        <f t="shared" si="118"/>
        <v>1711471.8145808387</v>
      </c>
      <c r="AN145" s="173">
        <f t="shared" si="119"/>
        <v>0</v>
      </c>
      <c r="AO145" s="173">
        <f t="shared" si="120"/>
        <v>1742747.9010831234</v>
      </c>
      <c r="AQ145" s="87" t="s">
        <v>319</v>
      </c>
      <c r="AR145" s="87" t="s">
        <v>320</v>
      </c>
      <c r="AS145" s="173">
        <f t="shared" si="121"/>
        <v>0</v>
      </c>
      <c r="AT145" s="173">
        <f t="shared" si="122"/>
        <v>1628522.2810486942</v>
      </c>
      <c r="AU145" s="173">
        <f t="shared" si="123"/>
        <v>0</v>
      </c>
      <c r="AV145" s="173">
        <f t="shared" si="124"/>
        <v>1725279.7386402381</v>
      </c>
      <c r="AW145" s="173">
        <f t="shared" si="125"/>
        <v>0</v>
      </c>
      <c r="AX145" s="173">
        <f t="shared" si="126"/>
        <v>1755660.3609971616</v>
      </c>
      <c r="AY145" s="173">
        <f t="shared" si="127"/>
        <v>0</v>
      </c>
      <c r="AZ145" s="173">
        <f t="shared" si="128"/>
        <v>1788198.3638738701</v>
      </c>
      <c r="BB145" s="87" t="s">
        <v>319</v>
      </c>
      <c r="BC145" s="87" t="s">
        <v>320</v>
      </c>
      <c r="BD145" s="173">
        <f t="shared" si="129"/>
        <v>0</v>
      </c>
      <c r="BE145" s="173">
        <f t="shared" si="130"/>
        <v>1628522.2810486942</v>
      </c>
      <c r="BF145" s="173">
        <f t="shared" si="131"/>
        <v>0</v>
      </c>
      <c r="BG145" s="173">
        <f t="shared" si="132"/>
        <v>1733744.9655951143</v>
      </c>
      <c r="BH145" s="173">
        <f t="shared" si="133"/>
        <v>0</v>
      </c>
      <c r="BI145" s="173">
        <f t="shared" si="134"/>
        <v>1765585.3123900688</v>
      </c>
      <c r="BJ145" s="173">
        <f t="shared" si="135"/>
        <v>0</v>
      </c>
      <c r="BK145" s="173">
        <f t="shared" si="136"/>
        <v>1801408.0091979257</v>
      </c>
      <c r="BM145" s="87" t="s">
        <v>319</v>
      </c>
      <c r="BN145" s="87" t="s">
        <v>320</v>
      </c>
      <c r="BO145" s="173">
        <f t="shared" si="137"/>
        <v>0</v>
      </c>
      <c r="BP145" s="173">
        <f t="shared" si="138"/>
        <v>1628522.2810486942</v>
      </c>
      <c r="BQ145" s="173">
        <f t="shared" si="139"/>
        <v>0</v>
      </c>
      <c r="BR145" s="173">
        <f t="shared" si="140"/>
        <v>1722790.4511912535</v>
      </c>
      <c r="BS145" s="173">
        <f t="shared" si="141"/>
        <v>0</v>
      </c>
      <c r="BT145" s="173">
        <f t="shared" si="142"/>
        <v>1751980.950894447</v>
      </c>
      <c r="BU145" s="173">
        <f t="shared" si="143"/>
        <v>0</v>
      </c>
      <c r="BV145" s="173">
        <f t="shared" si="144"/>
        <v>1784125.0081566349</v>
      </c>
    </row>
    <row r="146" spans="5:74">
      <c r="E146" s="87" t="s">
        <v>501</v>
      </c>
      <c r="F146" s="87" t="s">
        <v>502</v>
      </c>
      <c r="G146" s="173">
        <f>IFERROR(IF(VLOOKUP(E146,A:C,3,FALSE)="YES",VLOOKUP(E146,'School Year 2021-22 SPED coop'!A:P,16,FALSE),0),0)</f>
        <v>0</v>
      </c>
      <c r="H146" s="173">
        <f t="shared" si="145"/>
        <v>513120.35</v>
      </c>
      <c r="J146" s="87" t="s">
        <v>501</v>
      </c>
      <c r="K146" s="87" t="s">
        <v>502</v>
      </c>
      <c r="L146" s="173">
        <f t="shared" si="104"/>
        <v>0</v>
      </c>
      <c r="M146" s="173">
        <f t="shared" si="105"/>
        <v>550302.51504864742</v>
      </c>
      <c r="N146" s="173">
        <f t="shared" si="106"/>
        <v>0</v>
      </c>
      <c r="O146" s="173">
        <f t="shared" si="107"/>
        <v>568950.18900720263</v>
      </c>
      <c r="P146" s="173">
        <f t="shared" si="108"/>
        <v>0</v>
      </c>
      <c r="Q146" s="173">
        <f t="shared" si="109"/>
        <v>579490.05551298801</v>
      </c>
      <c r="R146" s="173">
        <f t="shared" si="110"/>
        <v>0</v>
      </c>
      <c r="S146" s="173">
        <f t="shared" si="111"/>
        <v>590163.60198415047</v>
      </c>
      <c r="U146" s="87" t="s">
        <v>501</v>
      </c>
      <c r="V146" s="87" t="s">
        <v>502</v>
      </c>
      <c r="W146" s="173">
        <f t="shared" si="112"/>
        <v>0</v>
      </c>
      <c r="X146" s="173">
        <f t="shared" si="146"/>
        <v>550302.51504864742</v>
      </c>
      <c r="Y146" s="173">
        <f t="shared" si="147"/>
        <v>0</v>
      </c>
      <c r="Z146" s="173">
        <f t="shared" si="148"/>
        <v>571731.90404748137</v>
      </c>
      <c r="AA146" s="173">
        <f t="shared" si="149"/>
        <v>0</v>
      </c>
      <c r="AB146" s="173">
        <f t="shared" si="150"/>
        <v>582747.37227996904</v>
      </c>
      <c r="AC146" s="173">
        <f t="shared" si="151"/>
        <v>0</v>
      </c>
      <c r="AD146" s="173">
        <f t="shared" si="152"/>
        <v>594516.35696339794</v>
      </c>
      <c r="AF146" s="87" t="s">
        <v>501</v>
      </c>
      <c r="AG146" s="87" t="s">
        <v>502</v>
      </c>
      <c r="AH146" s="173">
        <f t="shared" si="113"/>
        <v>0</v>
      </c>
      <c r="AI146" s="173">
        <f t="shared" si="114"/>
        <v>550302.51504864742</v>
      </c>
      <c r="AJ146" s="173">
        <f t="shared" si="115"/>
        <v>0</v>
      </c>
      <c r="AK146" s="173">
        <f t="shared" si="116"/>
        <v>568895.78705672326</v>
      </c>
      <c r="AL146" s="173">
        <f t="shared" si="117"/>
        <v>0</v>
      </c>
      <c r="AM146" s="173">
        <f t="shared" si="118"/>
        <v>577134.75877946452</v>
      </c>
      <c r="AN146" s="173">
        <f t="shared" si="119"/>
        <v>0</v>
      </c>
      <c r="AO146" s="173">
        <f t="shared" si="120"/>
        <v>583683.64178297576</v>
      </c>
      <c r="AQ146" s="87" t="s">
        <v>501</v>
      </c>
      <c r="AR146" s="87" t="s">
        <v>502</v>
      </c>
      <c r="AS146" s="173">
        <f t="shared" si="121"/>
        <v>0</v>
      </c>
      <c r="AT146" s="173">
        <f t="shared" si="122"/>
        <v>550302.51504864742</v>
      </c>
      <c r="AU146" s="173">
        <f t="shared" si="123"/>
        <v>0</v>
      </c>
      <c r="AV146" s="173">
        <f t="shared" si="124"/>
        <v>582954.85056731105</v>
      </c>
      <c r="AW146" s="173">
        <f t="shared" si="125"/>
        <v>0</v>
      </c>
      <c r="AX146" s="173">
        <f t="shared" si="126"/>
        <v>593197.47803536744</v>
      </c>
      <c r="AY146" s="173">
        <f t="shared" si="127"/>
        <v>0</v>
      </c>
      <c r="AZ146" s="173">
        <f t="shared" si="128"/>
        <v>604167.30132787477</v>
      </c>
      <c r="BB146" s="87" t="s">
        <v>501</v>
      </c>
      <c r="BC146" s="87" t="s">
        <v>502</v>
      </c>
      <c r="BD146" s="173">
        <f t="shared" si="129"/>
        <v>0</v>
      </c>
      <c r="BE146" s="173">
        <f t="shared" si="130"/>
        <v>550302.51504864742</v>
      </c>
      <c r="BF146" s="173">
        <f t="shared" si="131"/>
        <v>0</v>
      </c>
      <c r="BG146" s="173">
        <f t="shared" si="132"/>
        <v>585805.03316140606</v>
      </c>
      <c r="BH146" s="173">
        <f t="shared" si="133"/>
        <v>0</v>
      </c>
      <c r="BI146" s="173">
        <f t="shared" si="134"/>
        <v>596531.83583267813</v>
      </c>
      <c r="BJ146" s="173">
        <f t="shared" si="135"/>
        <v>0</v>
      </c>
      <c r="BK146" s="173">
        <f t="shared" si="136"/>
        <v>608623.33766173036</v>
      </c>
      <c r="BM146" s="87" t="s">
        <v>501</v>
      </c>
      <c r="BN146" s="87" t="s">
        <v>502</v>
      </c>
      <c r="BO146" s="173">
        <f t="shared" si="137"/>
        <v>0</v>
      </c>
      <c r="BP146" s="173">
        <f t="shared" si="138"/>
        <v>550302.51504864742</v>
      </c>
      <c r="BQ146" s="173">
        <f t="shared" si="139"/>
        <v>0</v>
      </c>
      <c r="BR146" s="173">
        <f t="shared" si="140"/>
        <v>582899.01351025247</v>
      </c>
      <c r="BS146" s="173">
        <f t="shared" si="141"/>
        <v>0</v>
      </c>
      <c r="BT146" s="173">
        <f t="shared" si="142"/>
        <v>590786.19702843949</v>
      </c>
      <c r="BU146" s="173">
        <f t="shared" si="143"/>
        <v>0</v>
      </c>
      <c r="BV146" s="173">
        <f t="shared" si="144"/>
        <v>597532.33998460579</v>
      </c>
    </row>
    <row r="147" spans="5:74">
      <c r="E147" s="87" t="s">
        <v>433</v>
      </c>
      <c r="F147" s="87" t="s">
        <v>434</v>
      </c>
      <c r="G147" s="173">
        <f>IFERROR(IF(VLOOKUP(E147,A:C,3,FALSE)="YES",VLOOKUP(E147,'School Year 2021-22 SPED coop'!A:P,16,FALSE),0),0)</f>
        <v>0</v>
      </c>
      <c r="H147" s="173">
        <f t="shared" si="145"/>
        <v>14420908.540000001</v>
      </c>
      <c r="J147" s="87" t="s">
        <v>433</v>
      </c>
      <c r="K147" s="87" t="s">
        <v>434</v>
      </c>
      <c r="L147" s="173">
        <f t="shared" si="104"/>
        <v>0</v>
      </c>
      <c r="M147" s="173">
        <f t="shared" si="105"/>
        <v>14588795.008414406</v>
      </c>
      <c r="N147" s="173">
        <f t="shared" si="106"/>
        <v>0</v>
      </c>
      <c r="O147" s="173">
        <f t="shared" si="107"/>
        <v>14976669.180321764</v>
      </c>
      <c r="P147" s="173">
        <f t="shared" si="108"/>
        <v>0</v>
      </c>
      <c r="Q147" s="173">
        <f t="shared" si="109"/>
        <v>15255973.870016932</v>
      </c>
      <c r="R147" s="173">
        <f t="shared" si="110"/>
        <v>0</v>
      </c>
      <c r="S147" s="173">
        <f t="shared" si="111"/>
        <v>15540474.495493546</v>
      </c>
      <c r="U147" s="87" t="s">
        <v>433</v>
      </c>
      <c r="V147" s="87" t="s">
        <v>434</v>
      </c>
      <c r="W147" s="173">
        <f t="shared" si="112"/>
        <v>0</v>
      </c>
      <c r="X147" s="173">
        <f t="shared" si="146"/>
        <v>14588795.008414406</v>
      </c>
      <c r="Y147" s="173">
        <f t="shared" si="147"/>
        <v>0</v>
      </c>
      <c r="Z147" s="173">
        <f t="shared" si="148"/>
        <v>15050107.92443024</v>
      </c>
      <c r="AA147" s="173">
        <f t="shared" si="149"/>
        <v>0</v>
      </c>
      <c r="AB147" s="173">
        <f t="shared" si="150"/>
        <v>15342212.464314302</v>
      </c>
      <c r="AC147" s="173">
        <f t="shared" si="151"/>
        <v>0</v>
      </c>
      <c r="AD147" s="173">
        <f t="shared" si="152"/>
        <v>15655264.677861849</v>
      </c>
      <c r="AF147" s="87" t="s">
        <v>433</v>
      </c>
      <c r="AG147" s="87" t="s">
        <v>434</v>
      </c>
      <c r="AH147" s="173">
        <f t="shared" si="113"/>
        <v>0</v>
      </c>
      <c r="AI147" s="173">
        <f t="shared" si="114"/>
        <v>14588795.008414406</v>
      </c>
      <c r="AJ147" s="173">
        <f t="shared" si="115"/>
        <v>0</v>
      </c>
      <c r="AK147" s="173">
        <f t="shared" si="116"/>
        <v>14920896.786094163</v>
      </c>
      <c r="AL147" s="173">
        <f t="shared" si="117"/>
        <v>0</v>
      </c>
      <c r="AM147" s="173">
        <f t="shared" si="118"/>
        <v>15198395.544275213</v>
      </c>
      <c r="AN147" s="173">
        <f t="shared" si="119"/>
        <v>0</v>
      </c>
      <c r="AO147" s="173">
        <f t="shared" si="120"/>
        <v>15481366.026155155</v>
      </c>
      <c r="AQ147" s="87" t="s">
        <v>433</v>
      </c>
      <c r="AR147" s="87" t="s">
        <v>434</v>
      </c>
      <c r="AS147" s="173">
        <f t="shared" si="121"/>
        <v>0</v>
      </c>
      <c r="AT147" s="173">
        <f t="shared" si="122"/>
        <v>14588795.008414406</v>
      </c>
      <c r="AU147" s="173">
        <f t="shared" si="123"/>
        <v>0</v>
      </c>
      <c r="AV147" s="173">
        <f t="shared" si="124"/>
        <v>15350129.722830798</v>
      </c>
      <c r="AW147" s="173">
        <f t="shared" si="125"/>
        <v>0</v>
      </c>
      <c r="AX147" s="173">
        <f t="shared" si="126"/>
        <v>15623157.503960293</v>
      </c>
      <c r="AY147" s="173">
        <f t="shared" si="127"/>
        <v>0</v>
      </c>
      <c r="AZ147" s="173">
        <f t="shared" si="128"/>
        <v>15915569.048286997</v>
      </c>
      <c r="BB147" s="87" t="s">
        <v>433</v>
      </c>
      <c r="BC147" s="87" t="s">
        <v>434</v>
      </c>
      <c r="BD147" s="173">
        <f t="shared" si="129"/>
        <v>0</v>
      </c>
      <c r="BE147" s="173">
        <f t="shared" si="130"/>
        <v>14588795.008414406</v>
      </c>
      <c r="BF147" s="173">
        <f t="shared" si="131"/>
        <v>0</v>
      </c>
      <c r="BG147" s="173">
        <f t="shared" si="132"/>
        <v>15425399.752590431</v>
      </c>
      <c r="BH147" s="173">
        <f t="shared" si="133"/>
        <v>0</v>
      </c>
      <c r="BI147" s="173">
        <f t="shared" si="134"/>
        <v>15711471.711642509</v>
      </c>
      <c r="BJ147" s="173">
        <f t="shared" si="135"/>
        <v>0</v>
      </c>
      <c r="BK147" s="173">
        <f t="shared" si="136"/>
        <v>16033129.880687462</v>
      </c>
      <c r="BM147" s="87" t="s">
        <v>433</v>
      </c>
      <c r="BN147" s="87" t="s">
        <v>434</v>
      </c>
      <c r="BO147" s="173">
        <f t="shared" si="137"/>
        <v>0</v>
      </c>
      <c r="BP147" s="173">
        <f t="shared" si="138"/>
        <v>14588795.008414406</v>
      </c>
      <c r="BQ147" s="173">
        <f t="shared" si="139"/>
        <v>0</v>
      </c>
      <c r="BR147" s="173">
        <f t="shared" si="140"/>
        <v>15292943.503111197</v>
      </c>
      <c r="BS147" s="173">
        <f t="shared" si="141"/>
        <v>0</v>
      </c>
      <c r="BT147" s="173">
        <f t="shared" si="142"/>
        <v>15564174.848503727</v>
      </c>
      <c r="BU147" s="173">
        <f t="shared" si="143"/>
        <v>0</v>
      </c>
      <c r="BV147" s="173">
        <f t="shared" si="144"/>
        <v>15855014.965299271</v>
      </c>
    </row>
    <row r="148" spans="5:74">
      <c r="E148" s="87" t="s">
        <v>147</v>
      </c>
      <c r="F148" s="87" t="s">
        <v>148</v>
      </c>
      <c r="G148" s="173">
        <f>IFERROR(IF(VLOOKUP(E148,A:C,3,FALSE)="YES",VLOOKUP(E148,'School Year 2021-22 SPED coop'!A:P,16,FALSE),0),0)</f>
        <v>0</v>
      </c>
      <c r="H148" s="173">
        <f t="shared" si="145"/>
        <v>390924.82</v>
      </c>
      <c r="J148" s="87" t="s">
        <v>147</v>
      </c>
      <c r="K148" s="87" t="s">
        <v>148</v>
      </c>
      <c r="L148" s="173">
        <f t="shared" si="104"/>
        <v>0</v>
      </c>
      <c r="M148" s="173">
        <f t="shared" si="105"/>
        <v>395401.78571019846</v>
      </c>
      <c r="N148" s="173">
        <f t="shared" si="106"/>
        <v>0</v>
      </c>
      <c r="O148" s="173">
        <f t="shared" si="107"/>
        <v>408780.33274249779</v>
      </c>
      <c r="P148" s="173">
        <f t="shared" si="108"/>
        <v>0</v>
      </c>
      <c r="Q148" s="173">
        <f t="shared" si="109"/>
        <v>416346.08894215513</v>
      </c>
      <c r="R148" s="173">
        <f t="shared" si="110"/>
        <v>0</v>
      </c>
      <c r="S148" s="173">
        <f t="shared" si="111"/>
        <v>424002.1347653158</v>
      </c>
      <c r="U148" s="87" t="s">
        <v>147</v>
      </c>
      <c r="V148" s="87" t="s">
        <v>148</v>
      </c>
      <c r="W148" s="173">
        <f t="shared" si="112"/>
        <v>0</v>
      </c>
      <c r="X148" s="173">
        <f t="shared" si="146"/>
        <v>395401.78571019846</v>
      </c>
      <c r="Y148" s="173">
        <f t="shared" si="147"/>
        <v>0</v>
      </c>
      <c r="Z148" s="173">
        <f t="shared" si="148"/>
        <v>410782.25470928696</v>
      </c>
      <c r="AA148" s="173">
        <f t="shared" si="149"/>
        <v>0</v>
      </c>
      <c r="AB148" s="173">
        <f t="shared" si="150"/>
        <v>418706.73124184867</v>
      </c>
      <c r="AC148" s="173">
        <f t="shared" si="151"/>
        <v>0</v>
      </c>
      <c r="AD148" s="173">
        <f t="shared" si="152"/>
        <v>427144.19390273048</v>
      </c>
      <c r="AF148" s="87" t="s">
        <v>147</v>
      </c>
      <c r="AG148" s="87" t="s">
        <v>148</v>
      </c>
      <c r="AH148" s="173">
        <f t="shared" si="113"/>
        <v>0</v>
      </c>
      <c r="AI148" s="173">
        <f t="shared" si="114"/>
        <v>395401.78571019846</v>
      </c>
      <c r="AJ148" s="173">
        <f t="shared" si="115"/>
        <v>0</v>
      </c>
      <c r="AK148" s="173">
        <f t="shared" si="116"/>
        <v>408574.63569687307</v>
      </c>
      <c r="AL148" s="173">
        <f t="shared" si="117"/>
        <v>0</v>
      </c>
      <c r="AM148" s="173">
        <f t="shared" si="118"/>
        <v>419458.1112920983</v>
      </c>
      <c r="AN148" s="173">
        <f t="shared" si="119"/>
        <v>0</v>
      </c>
      <c r="AO148" s="173">
        <f t="shared" si="120"/>
        <v>429145.59213725827</v>
      </c>
      <c r="AQ148" s="87" t="s">
        <v>147</v>
      </c>
      <c r="AR148" s="87" t="s">
        <v>148</v>
      </c>
      <c r="AS148" s="173">
        <f t="shared" si="121"/>
        <v>0</v>
      </c>
      <c r="AT148" s="173">
        <f t="shared" si="122"/>
        <v>395401.78571019846</v>
      </c>
      <c r="AU148" s="173">
        <f t="shared" si="123"/>
        <v>0</v>
      </c>
      <c r="AV148" s="173">
        <f t="shared" si="124"/>
        <v>418842.13566468336</v>
      </c>
      <c r="AW148" s="173">
        <f t="shared" si="125"/>
        <v>0</v>
      </c>
      <c r="AX148" s="173">
        <f t="shared" si="126"/>
        <v>426189.38556002633</v>
      </c>
      <c r="AY148" s="173">
        <f t="shared" si="127"/>
        <v>0</v>
      </c>
      <c r="AZ148" s="173">
        <f t="shared" si="128"/>
        <v>434058.18813645927</v>
      </c>
      <c r="BB148" s="87" t="s">
        <v>147</v>
      </c>
      <c r="BC148" s="87" t="s">
        <v>148</v>
      </c>
      <c r="BD148" s="173">
        <f t="shared" si="129"/>
        <v>0</v>
      </c>
      <c r="BE148" s="173">
        <f t="shared" si="130"/>
        <v>395401.78571019846</v>
      </c>
      <c r="BF148" s="173">
        <f t="shared" si="131"/>
        <v>0</v>
      </c>
      <c r="BG148" s="173">
        <f t="shared" si="132"/>
        <v>420893.33213663136</v>
      </c>
      <c r="BH148" s="173">
        <f t="shared" si="133"/>
        <v>0</v>
      </c>
      <c r="BI148" s="173">
        <f t="shared" si="134"/>
        <v>428605.84201785782</v>
      </c>
      <c r="BJ148" s="173">
        <f t="shared" si="135"/>
        <v>0</v>
      </c>
      <c r="BK148" s="173">
        <f t="shared" si="136"/>
        <v>437274.77247648611</v>
      </c>
      <c r="BM148" s="87" t="s">
        <v>147</v>
      </c>
      <c r="BN148" s="87" t="s">
        <v>148</v>
      </c>
      <c r="BO148" s="173">
        <f t="shared" si="137"/>
        <v>0</v>
      </c>
      <c r="BP148" s="173">
        <f t="shared" si="138"/>
        <v>395401.78571019846</v>
      </c>
      <c r="BQ148" s="173">
        <f t="shared" si="139"/>
        <v>0</v>
      </c>
      <c r="BR148" s="173">
        <f t="shared" si="140"/>
        <v>418631.30461880961</v>
      </c>
      <c r="BS148" s="173">
        <f t="shared" si="141"/>
        <v>0</v>
      </c>
      <c r="BT148" s="173">
        <f t="shared" si="142"/>
        <v>429376.07901082555</v>
      </c>
      <c r="BU148" s="173">
        <f t="shared" si="143"/>
        <v>0</v>
      </c>
      <c r="BV148" s="173">
        <f t="shared" si="144"/>
        <v>439325.4575920449</v>
      </c>
    </row>
    <row r="149" spans="5:74">
      <c r="E149" s="87" t="s">
        <v>461</v>
      </c>
      <c r="F149" s="87" t="s">
        <v>462</v>
      </c>
      <c r="G149" s="173">
        <f>IFERROR(IF(VLOOKUP(E149,A:C,3,FALSE)="YES",VLOOKUP(E149,'School Year 2021-22 SPED coop'!A:P,16,FALSE),0),0)</f>
        <v>0</v>
      </c>
      <c r="H149" s="173">
        <f t="shared" si="145"/>
        <v>12750174.59</v>
      </c>
      <c r="J149" s="87" t="s">
        <v>461</v>
      </c>
      <c r="K149" s="87" t="s">
        <v>462</v>
      </c>
      <c r="L149" s="173">
        <f t="shared" si="104"/>
        <v>0</v>
      </c>
      <c r="M149" s="173">
        <f t="shared" si="105"/>
        <v>12890212.239045991</v>
      </c>
      <c r="N149" s="173">
        <f t="shared" si="106"/>
        <v>0</v>
      </c>
      <c r="O149" s="173">
        <f t="shared" si="107"/>
        <v>13232019.619284572</v>
      </c>
      <c r="P149" s="173">
        <f t="shared" si="108"/>
        <v>0</v>
      </c>
      <c r="Q149" s="173">
        <f t="shared" si="109"/>
        <v>13477499.947865771</v>
      </c>
      <c r="R149" s="173">
        <f t="shared" si="110"/>
        <v>0</v>
      </c>
      <c r="S149" s="173">
        <f t="shared" si="111"/>
        <v>13726410.187945344</v>
      </c>
      <c r="U149" s="87" t="s">
        <v>461</v>
      </c>
      <c r="V149" s="87" t="s">
        <v>462</v>
      </c>
      <c r="W149" s="173">
        <f t="shared" si="112"/>
        <v>0</v>
      </c>
      <c r="X149" s="173">
        <f t="shared" si="146"/>
        <v>12890212.239045991</v>
      </c>
      <c r="Y149" s="173">
        <f t="shared" si="147"/>
        <v>0</v>
      </c>
      <c r="Z149" s="173">
        <f t="shared" si="148"/>
        <v>13296891.1780688</v>
      </c>
      <c r="AA149" s="173">
        <f t="shared" si="149"/>
        <v>0</v>
      </c>
      <c r="AB149" s="173">
        <f t="shared" si="150"/>
        <v>13553683.384003498</v>
      </c>
      <c r="AC149" s="173">
        <f t="shared" si="151"/>
        <v>0</v>
      </c>
      <c r="AD149" s="173">
        <f t="shared" si="152"/>
        <v>13827792.258285834</v>
      </c>
      <c r="AF149" s="87" t="s">
        <v>461</v>
      </c>
      <c r="AG149" s="87" t="s">
        <v>462</v>
      </c>
      <c r="AH149" s="173">
        <f t="shared" si="113"/>
        <v>0</v>
      </c>
      <c r="AI149" s="173">
        <f t="shared" si="114"/>
        <v>12890212.239045991</v>
      </c>
      <c r="AJ149" s="173">
        <f t="shared" si="115"/>
        <v>0</v>
      </c>
      <c r="AK149" s="173">
        <f t="shared" si="116"/>
        <v>13163976.778105939</v>
      </c>
      <c r="AL149" s="173">
        <f t="shared" si="117"/>
        <v>0</v>
      </c>
      <c r="AM149" s="173">
        <f t="shared" si="118"/>
        <v>13423406.499055872</v>
      </c>
      <c r="AN149" s="173">
        <f t="shared" si="119"/>
        <v>0</v>
      </c>
      <c r="AO149" s="173">
        <f t="shared" si="120"/>
        <v>13686199.95499989</v>
      </c>
      <c r="AQ149" s="87" t="s">
        <v>461</v>
      </c>
      <c r="AR149" s="87" t="s">
        <v>462</v>
      </c>
      <c r="AS149" s="173">
        <f t="shared" si="121"/>
        <v>0</v>
      </c>
      <c r="AT149" s="173">
        <f t="shared" si="122"/>
        <v>12890212.239045991</v>
      </c>
      <c r="AU149" s="173">
        <f t="shared" si="123"/>
        <v>0</v>
      </c>
      <c r="AV149" s="173">
        <f t="shared" si="124"/>
        <v>13558621.148321735</v>
      </c>
      <c r="AW149" s="173">
        <f t="shared" si="125"/>
        <v>0</v>
      </c>
      <c r="AX149" s="173">
        <f t="shared" si="126"/>
        <v>13797484.325617671</v>
      </c>
      <c r="AY149" s="173">
        <f t="shared" si="127"/>
        <v>0</v>
      </c>
      <c r="AZ149" s="173">
        <f t="shared" si="128"/>
        <v>14053305.920812618</v>
      </c>
      <c r="BB149" s="87" t="s">
        <v>461</v>
      </c>
      <c r="BC149" s="87" t="s">
        <v>462</v>
      </c>
      <c r="BD149" s="173">
        <f t="shared" si="129"/>
        <v>0</v>
      </c>
      <c r="BE149" s="173">
        <f t="shared" si="130"/>
        <v>12890212.239045991</v>
      </c>
      <c r="BF149" s="173">
        <f t="shared" si="131"/>
        <v>0</v>
      </c>
      <c r="BG149" s="173">
        <f t="shared" si="132"/>
        <v>13625093.908229336</v>
      </c>
      <c r="BH149" s="173">
        <f t="shared" si="133"/>
        <v>0</v>
      </c>
      <c r="BI149" s="173">
        <f t="shared" si="134"/>
        <v>13875476.522206074</v>
      </c>
      <c r="BJ149" s="173">
        <f t="shared" si="135"/>
        <v>0</v>
      </c>
      <c r="BK149" s="173">
        <f t="shared" si="136"/>
        <v>14157102.412593529</v>
      </c>
      <c r="BM149" s="87" t="s">
        <v>461</v>
      </c>
      <c r="BN149" s="87" t="s">
        <v>462</v>
      </c>
      <c r="BO149" s="173">
        <f t="shared" si="137"/>
        <v>0</v>
      </c>
      <c r="BP149" s="173">
        <f t="shared" si="138"/>
        <v>12890212.239045991</v>
      </c>
      <c r="BQ149" s="173">
        <f t="shared" si="139"/>
        <v>0</v>
      </c>
      <c r="BR149" s="173">
        <f t="shared" si="140"/>
        <v>13488878.680666307</v>
      </c>
      <c r="BS149" s="173">
        <f t="shared" si="141"/>
        <v>0</v>
      </c>
      <c r="BT149" s="173">
        <f t="shared" si="142"/>
        <v>13742111.039948283</v>
      </c>
      <c r="BU149" s="173">
        <f t="shared" si="143"/>
        <v>0</v>
      </c>
      <c r="BV149" s="173">
        <f t="shared" si="144"/>
        <v>14012142.761203956</v>
      </c>
    </row>
    <row r="150" spans="5:74">
      <c r="E150" s="87" t="s">
        <v>459</v>
      </c>
      <c r="F150" s="87" t="s">
        <v>460</v>
      </c>
      <c r="G150" s="173">
        <f>IFERROR(IF(VLOOKUP(E150,A:C,3,FALSE)="YES",VLOOKUP(E150,'School Year 2021-22 SPED coop'!A:P,16,FALSE),0),0)</f>
        <v>0</v>
      </c>
      <c r="H150" s="173">
        <f t="shared" si="145"/>
        <v>2243361.2799999998</v>
      </c>
      <c r="J150" s="87" t="s">
        <v>459</v>
      </c>
      <c r="K150" s="87" t="s">
        <v>460</v>
      </c>
      <c r="L150" s="173">
        <f t="shared" si="104"/>
        <v>0</v>
      </c>
      <c r="M150" s="173">
        <f t="shared" si="105"/>
        <v>2275776.646159648</v>
      </c>
      <c r="N150" s="173">
        <f t="shared" si="106"/>
        <v>0</v>
      </c>
      <c r="O150" s="173">
        <f t="shared" si="107"/>
        <v>2352827.797347974</v>
      </c>
      <c r="P150" s="173">
        <f t="shared" si="108"/>
        <v>0</v>
      </c>
      <c r="Q150" s="173">
        <f t="shared" si="109"/>
        <v>2396403.2539631696</v>
      </c>
      <c r="R150" s="173">
        <f t="shared" si="110"/>
        <v>0</v>
      </c>
      <c r="S150" s="173">
        <f t="shared" si="111"/>
        <v>2440522.4107741769</v>
      </c>
      <c r="U150" s="87" t="s">
        <v>459</v>
      </c>
      <c r="V150" s="87" t="s">
        <v>460</v>
      </c>
      <c r="W150" s="173">
        <f t="shared" si="112"/>
        <v>0</v>
      </c>
      <c r="X150" s="173">
        <f t="shared" si="146"/>
        <v>2275776.646159648</v>
      </c>
      <c r="Y150" s="173">
        <f t="shared" si="147"/>
        <v>0</v>
      </c>
      <c r="Z150" s="173">
        <f t="shared" si="148"/>
        <v>2364348.7191341291</v>
      </c>
      <c r="AA150" s="173">
        <f t="shared" si="149"/>
        <v>0</v>
      </c>
      <c r="AB150" s="173">
        <f t="shared" si="150"/>
        <v>2409955.457038756</v>
      </c>
      <c r="AC150" s="173">
        <f t="shared" si="151"/>
        <v>0</v>
      </c>
      <c r="AD150" s="173">
        <f t="shared" si="152"/>
        <v>2458540.899365834</v>
      </c>
      <c r="AF150" s="87" t="s">
        <v>459</v>
      </c>
      <c r="AG150" s="87" t="s">
        <v>460</v>
      </c>
      <c r="AH150" s="173">
        <f t="shared" si="113"/>
        <v>0</v>
      </c>
      <c r="AI150" s="173">
        <f t="shared" si="114"/>
        <v>2275776.646159648</v>
      </c>
      <c r="AJ150" s="173">
        <f t="shared" si="115"/>
        <v>0</v>
      </c>
      <c r="AK150" s="173">
        <f t="shared" si="116"/>
        <v>2347409.3088964843</v>
      </c>
      <c r="AL150" s="173">
        <f t="shared" si="117"/>
        <v>0</v>
      </c>
      <c r="AM150" s="173">
        <f t="shared" si="118"/>
        <v>2390886.4313630494</v>
      </c>
      <c r="AN150" s="173">
        <f t="shared" si="119"/>
        <v>0</v>
      </c>
      <c r="AO150" s="173">
        <f t="shared" si="120"/>
        <v>2434907.6853076611</v>
      </c>
      <c r="AQ150" s="87" t="s">
        <v>459</v>
      </c>
      <c r="AR150" s="87" t="s">
        <v>460</v>
      </c>
      <c r="AS150" s="173">
        <f t="shared" si="121"/>
        <v>0</v>
      </c>
      <c r="AT150" s="173">
        <f t="shared" si="122"/>
        <v>2275776.646159648</v>
      </c>
      <c r="AU150" s="173">
        <f t="shared" si="123"/>
        <v>0</v>
      </c>
      <c r="AV150" s="173">
        <f t="shared" si="124"/>
        <v>2410748.1019321159</v>
      </c>
      <c r="AW150" s="173">
        <f t="shared" si="125"/>
        <v>0</v>
      </c>
      <c r="AX150" s="173">
        <f t="shared" si="126"/>
        <v>2453086.6336223241</v>
      </c>
      <c r="AY150" s="173">
        <f t="shared" si="127"/>
        <v>0</v>
      </c>
      <c r="AZ150" s="173">
        <f t="shared" si="128"/>
        <v>2498430.9698128263</v>
      </c>
      <c r="BB150" s="87" t="s">
        <v>459</v>
      </c>
      <c r="BC150" s="87" t="s">
        <v>460</v>
      </c>
      <c r="BD150" s="173">
        <f t="shared" si="129"/>
        <v>0</v>
      </c>
      <c r="BE150" s="173">
        <f t="shared" si="130"/>
        <v>2275776.646159648</v>
      </c>
      <c r="BF150" s="173">
        <f t="shared" si="131"/>
        <v>0</v>
      </c>
      <c r="BG150" s="173">
        <f t="shared" si="132"/>
        <v>2422552.6301063546</v>
      </c>
      <c r="BH150" s="173">
        <f t="shared" si="133"/>
        <v>0</v>
      </c>
      <c r="BI150" s="173">
        <f t="shared" si="134"/>
        <v>2466959.3977282867</v>
      </c>
      <c r="BJ150" s="173">
        <f t="shared" si="135"/>
        <v>0</v>
      </c>
      <c r="BK150" s="173">
        <f t="shared" si="136"/>
        <v>2516876.9962684074</v>
      </c>
      <c r="BM150" s="87" t="s">
        <v>459</v>
      </c>
      <c r="BN150" s="87" t="s">
        <v>460</v>
      </c>
      <c r="BO150" s="173">
        <f t="shared" si="137"/>
        <v>0</v>
      </c>
      <c r="BP150" s="173">
        <f t="shared" si="138"/>
        <v>2275776.646159648</v>
      </c>
      <c r="BQ150" s="173">
        <f t="shared" si="139"/>
        <v>0</v>
      </c>
      <c r="BR150" s="173">
        <f t="shared" si="140"/>
        <v>2405195.2613876211</v>
      </c>
      <c r="BS150" s="173">
        <f t="shared" si="141"/>
        <v>0</v>
      </c>
      <c r="BT150" s="173">
        <f t="shared" si="142"/>
        <v>2447439.7352478108</v>
      </c>
      <c r="BU150" s="173">
        <f t="shared" si="143"/>
        <v>0</v>
      </c>
      <c r="BV150" s="173">
        <f t="shared" si="144"/>
        <v>2492683.3568526041</v>
      </c>
    </row>
    <row r="151" spans="5:74">
      <c r="E151" s="87" t="s">
        <v>189</v>
      </c>
      <c r="F151" s="87" t="s">
        <v>190</v>
      </c>
      <c r="G151" s="173">
        <f>IFERROR(IF(VLOOKUP(E151,A:C,3,FALSE)="YES",VLOOKUP(E151,'School Year 2021-22 SPED coop'!A:P,16,FALSE),0),0)</f>
        <v>0</v>
      </c>
      <c r="H151" s="173">
        <f t="shared" si="145"/>
        <v>3978128.06</v>
      </c>
      <c r="J151" s="87" t="s">
        <v>189</v>
      </c>
      <c r="K151" s="87" t="s">
        <v>190</v>
      </c>
      <c r="L151" s="173">
        <f t="shared" si="104"/>
        <v>0</v>
      </c>
      <c r="M151" s="173">
        <f t="shared" si="105"/>
        <v>4023710.8173615173</v>
      </c>
      <c r="N151" s="173">
        <f t="shared" si="106"/>
        <v>0</v>
      </c>
      <c r="O151" s="173">
        <f t="shared" si="107"/>
        <v>4157348.6723210765</v>
      </c>
      <c r="P151" s="173">
        <f t="shared" si="108"/>
        <v>0</v>
      </c>
      <c r="Q151" s="173">
        <f t="shared" si="109"/>
        <v>4234982.6216310989</v>
      </c>
      <c r="R151" s="173">
        <f t="shared" si="110"/>
        <v>0</v>
      </c>
      <c r="S151" s="173">
        <f t="shared" si="111"/>
        <v>4314150.6149052829</v>
      </c>
      <c r="U151" s="87" t="s">
        <v>189</v>
      </c>
      <c r="V151" s="87" t="s">
        <v>190</v>
      </c>
      <c r="W151" s="173">
        <f t="shared" si="112"/>
        <v>0</v>
      </c>
      <c r="X151" s="173">
        <f t="shared" si="146"/>
        <v>4023710.8173615173</v>
      </c>
      <c r="Y151" s="173">
        <f t="shared" si="147"/>
        <v>0</v>
      </c>
      <c r="Z151" s="173">
        <f t="shared" si="148"/>
        <v>4177723.1382577335</v>
      </c>
      <c r="AA151" s="173">
        <f t="shared" si="149"/>
        <v>0</v>
      </c>
      <c r="AB151" s="173">
        <f t="shared" si="150"/>
        <v>4258907.1844662996</v>
      </c>
      <c r="AC151" s="173">
        <f t="shared" si="151"/>
        <v>0</v>
      </c>
      <c r="AD151" s="173">
        <f t="shared" si="152"/>
        <v>4345999.9293155745</v>
      </c>
      <c r="AF151" s="87" t="s">
        <v>189</v>
      </c>
      <c r="AG151" s="87" t="s">
        <v>190</v>
      </c>
      <c r="AH151" s="173">
        <f t="shared" si="113"/>
        <v>0</v>
      </c>
      <c r="AI151" s="173">
        <f t="shared" si="114"/>
        <v>4023710.8173615173</v>
      </c>
      <c r="AJ151" s="173">
        <f t="shared" si="115"/>
        <v>0</v>
      </c>
      <c r="AK151" s="173">
        <f t="shared" si="116"/>
        <v>4149655.2102659331</v>
      </c>
      <c r="AL151" s="173">
        <f t="shared" si="117"/>
        <v>0</v>
      </c>
      <c r="AM151" s="173">
        <f t="shared" si="118"/>
        <v>4224701.7034487855</v>
      </c>
      <c r="AN151" s="173">
        <f t="shared" si="119"/>
        <v>0</v>
      </c>
      <c r="AO151" s="173">
        <f t="shared" si="120"/>
        <v>4313736.9912695996</v>
      </c>
      <c r="AQ151" s="87" t="s">
        <v>189</v>
      </c>
      <c r="AR151" s="87" t="s">
        <v>190</v>
      </c>
      <c r="AS151" s="173">
        <f t="shared" si="121"/>
        <v>0</v>
      </c>
      <c r="AT151" s="173">
        <f t="shared" si="122"/>
        <v>4023710.8173615173</v>
      </c>
      <c r="AU151" s="173">
        <f t="shared" si="123"/>
        <v>0</v>
      </c>
      <c r="AV151" s="173">
        <f t="shared" si="124"/>
        <v>4261230.919202867</v>
      </c>
      <c r="AW151" s="173">
        <f t="shared" si="125"/>
        <v>0</v>
      </c>
      <c r="AX151" s="173">
        <f t="shared" si="126"/>
        <v>4337206.100967939</v>
      </c>
      <c r="AY151" s="173">
        <f t="shared" si="127"/>
        <v>0</v>
      </c>
      <c r="AZ151" s="173">
        <f t="shared" si="128"/>
        <v>4418575.2705245949</v>
      </c>
      <c r="BB151" s="87" t="s">
        <v>189</v>
      </c>
      <c r="BC151" s="87" t="s">
        <v>190</v>
      </c>
      <c r="BD151" s="173">
        <f t="shared" si="129"/>
        <v>0</v>
      </c>
      <c r="BE151" s="173">
        <f t="shared" si="130"/>
        <v>4023710.8173615173</v>
      </c>
      <c r="BF151" s="173">
        <f t="shared" si="131"/>
        <v>0</v>
      </c>
      <c r="BG151" s="173">
        <f t="shared" si="132"/>
        <v>4282114.4894186035</v>
      </c>
      <c r="BH151" s="173">
        <f t="shared" si="133"/>
        <v>0</v>
      </c>
      <c r="BI151" s="173">
        <f t="shared" si="134"/>
        <v>4361708.1453813203</v>
      </c>
      <c r="BJ151" s="173">
        <f t="shared" si="135"/>
        <v>0</v>
      </c>
      <c r="BK151" s="173">
        <f t="shared" si="136"/>
        <v>4451195.4932352547</v>
      </c>
      <c r="BM151" s="87" t="s">
        <v>189</v>
      </c>
      <c r="BN151" s="87" t="s">
        <v>190</v>
      </c>
      <c r="BO151" s="173">
        <f t="shared" si="137"/>
        <v>0</v>
      </c>
      <c r="BP151" s="173">
        <f t="shared" si="138"/>
        <v>4023710.8173615173</v>
      </c>
      <c r="BQ151" s="173">
        <f t="shared" si="139"/>
        <v>0</v>
      </c>
      <c r="BR151" s="173">
        <f t="shared" si="140"/>
        <v>4253341.6614059834</v>
      </c>
      <c r="BS151" s="173">
        <f t="shared" si="141"/>
        <v>0</v>
      </c>
      <c r="BT151" s="173">
        <f t="shared" si="142"/>
        <v>4326672.8888875172</v>
      </c>
      <c r="BU151" s="173">
        <f t="shared" si="143"/>
        <v>0</v>
      </c>
      <c r="BV151" s="173">
        <f t="shared" si="144"/>
        <v>4418151.4554661941</v>
      </c>
    </row>
    <row r="152" spans="5:74">
      <c r="E152" s="87" t="s">
        <v>547</v>
      </c>
      <c r="F152" s="87" t="s">
        <v>548</v>
      </c>
      <c r="G152" s="173">
        <f>IFERROR(IF(VLOOKUP(E152,A:C,3,FALSE)="YES",VLOOKUP(E152,'School Year 2021-22 SPED coop'!A:P,16,FALSE),0),0)</f>
        <v>0</v>
      </c>
      <c r="H152" s="173">
        <f t="shared" si="145"/>
        <v>1857536.22</v>
      </c>
      <c r="J152" s="87" t="s">
        <v>547</v>
      </c>
      <c r="K152" s="87" t="s">
        <v>548</v>
      </c>
      <c r="L152" s="173">
        <f t="shared" si="104"/>
        <v>0</v>
      </c>
      <c r="M152" s="173">
        <f t="shared" si="105"/>
        <v>1877838.7227489632</v>
      </c>
      <c r="N152" s="173">
        <f t="shared" si="106"/>
        <v>0</v>
      </c>
      <c r="O152" s="173">
        <f t="shared" si="107"/>
        <v>1941007.2534701661</v>
      </c>
      <c r="P152" s="173">
        <f t="shared" si="108"/>
        <v>0</v>
      </c>
      <c r="Q152" s="173">
        <f t="shared" si="109"/>
        <v>1977070.0850246907</v>
      </c>
      <c r="R152" s="173">
        <f t="shared" si="110"/>
        <v>0</v>
      </c>
      <c r="S152" s="173">
        <f t="shared" si="111"/>
        <v>2013683.8297527777</v>
      </c>
      <c r="U152" s="87" t="s">
        <v>547</v>
      </c>
      <c r="V152" s="87" t="s">
        <v>548</v>
      </c>
      <c r="W152" s="173">
        <f t="shared" si="112"/>
        <v>0</v>
      </c>
      <c r="X152" s="173">
        <f t="shared" si="146"/>
        <v>1877838.7227489632</v>
      </c>
      <c r="Y152" s="173">
        <f t="shared" si="147"/>
        <v>0</v>
      </c>
      <c r="Z152" s="173">
        <f t="shared" si="148"/>
        <v>1950521.4028757398</v>
      </c>
      <c r="AA152" s="173">
        <f t="shared" si="149"/>
        <v>0</v>
      </c>
      <c r="AB152" s="173">
        <f t="shared" si="150"/>
        <v>1988243.6319351124</v>
      </c>
      <c r="AC152" s="173">
        <f t="shared" si="151"/>
        <v>0</v>
      </c>
      <c r="AD152" s="173">
        <f t="shared" si="152"/>
        <v>2028554.0852560527</v>
      </c>
      <c r="AF152" s="87" t="s">
        <v>547</v>
      </c>
      <c r="AG152" s="87" t="s">
        <v>548</v>
      </c>
      <c r="AH152" s="173">
        <f t="shared" si="113"/>
        <v>0</v>
      </c>
      <c r="AI152" s="173">
        <f t="shared" si="114"/>
        <v>1877838.7227489632</v>
      </c>
      <c r="AJ152" s="173">
        <f t="shared" si="115"/>
        <v>0</v>
      </c>
      <c r="AK152" s="173">
        <f t="shared" si="116"/>
        <v>1942862.022750488</v>
      </c>
      <c r="AL152" s="173">
        <f t="shared" si="117"/>
        <v>0</v>
      </c>
      <c r="AM152" s="173">
        <f t="shared" si="118"/>
        <v>1977099.6520795571</v>
      </c>
      <c r="AN152" s="173">
        <f t="shared" si="119"/>
        <v>0</v>
      </c>
      <c r="AO152" s="173">
        <f t="shared" si="120"/>
        <v>2015588.2653045319</v>
      </c>
      <c r="AQ152" s="87" t="s">
        <v>547</v>
      </c>
      <c r="AR152" s="87" t="s">
        <v>548</v>
      </c>
      <c r="AS152" s="173">
        <f t="shared" si="121"/>
        <v>0</v>
      </c>
      <c r="AT152" s="173">
        <f t="shared" si="122"/>
        <v>1877838.7227489632</v>
      </c>
      <c r="AU152" s="173">
        <f t="shared" si="123"/>
        <v>0</v>
      </c>
      <c r="AV152" s="173">
        <f t="shared" si="124"/>
        <v>1989048.6481081152</v>
      </c>
      <c r="AW152" s="173">
        <f t="shared" si="125"/>
        <v>0</v>
      </c>
      <c r="AX152" s="173">
        <f t="shared" si="126"/>
        <v>2024184.769741636</v>
      </c>
      <c r="AY152" s="173">
        <f t="shared" si="127"/>
        <v>0</v>
      </c>
      <c r="AZ152" s="173">
        <f t="shared" si="128"/>
        <v>2061815.4654859421</v>
      </c>
      <c r="BB152" s="87" t="s">
        <v>547</v>
      </c>
      <c r="BC152" s="87" t="s">
        <v>548</v>
      </c>
      <c r="BD152" s="173">
        <f t="shared" si="129"/>
        <v>0</v>
      </c>
      <c r="BE152" s="173">
        <f t="shared" si="130"/>
        <v>1877838.7227489632</v>
      </c>
      <c r="BF152" s="173">
        <f t="shared" si="131"/>
        <v>0</v>
      </c>
      <c r="BG152" s="173">
        <f t="shared" si="132"/>
        <v>1998798.2785620783</v>
      </c>
      <c r="BH152" s="173">
        <f t="shared" si="133"/>
        <v>0</v>
      </c>
      <c r="BI152" s="173">
        <f t="shared" si="134"/>
        <v>2035624.5881092276</v>
      </c>
      <c r="BJ152" s="173">
        <f t="shared" si="135"/>
        <v>0</v>
      </c>
      <c r="BK152" s="173">
        <f t="shared" si="136"/>
        <v>2077041.1523565706</v>
      </c>
      <c r="BM152" s="87" t="s">
        <v>547</v>
      </c>
      <c r="BN152" s="87" t="s">
        <v>548</v>
      </c>
      <c r="BO152" s="173">
        <f t="shared" si="137"/>
        <v>0</v>
      </c>
      <c r="BP152" s="173">
        <f t="shared" si="138"/>
        <v>1877838.7227489632</v>
      </c>
      <c r="BQ152" s="173">
        <f t="shared" si="139"/>
        <v>0</v>
      </c>
      <c r="BR152" s="173">
        <f t="shared" si="140"/>
        <v>1990951.3474053727</v>
      </c>
      <c r="BS152" s="173">
        <f t="shared" si="141"/>
        <v>0</v>
      </c>
      <c r="BT152" s="173">
        <f t="shared" si="142"/>
        <v>2024216.7940542428</v>
      </c>
      <c r="BU152" s="173">
        <f t="shared" si="143"/>
        <v>0</v>
      </c>
      <c r="BV152" s="173">
        <f t="shared" si="144"/>
        <v>2063767.9916659603</v>
      </c>
    </row>
    <row r="153" spans="5:74">
      <c r="E153" s="87" t="s">
        <v>337</v>
      </c>
      <c r="F153" s="87" t="s">
        <v>338</v>
      </c>
      <c r="G153" s="173">
        <f>IFERROR(IF(VLOOKUP(E153,A:C,3,FALSE)="YES",VLOOKUP(E153,'School Year 2021-22 SPED coop'!A:P,16,FALSE),0),0)</f>
        <v>671244.01</v>
      </c>
      <c r="H153" s="173">
        <f t="shared" si="145"/>
        <v>0</v>
      </c>
      <c r="J153" s="87" t="s">
        <v>337</v>
      </c>
      <c r="K153" s="87" t="s">
        <v>338</v>
      </c>
      <c r="L153" s="173">
        <f t="shared" si="104"/>
        <v>759823.98901455023</v>
      </c>
      <c r="M153" s="173">
        <f t="shared" si="105"/>
        <v>0</v>
      </c>
      <c r="N153" s="173">
        <f t="shared" si="106"/>
        <v>785560.84243942355</v>
      </c>
      <c r="O153" s="173">
        <f t="shared" si="107"/>
        <v>0</v>
      </c>
      <c r="P153" s="173">
        <f t="shared" si="108"/>
        <v>800110.97362280288</v>
      </c>
      <c r="Q153" s="173">
        <f t="shared" si="109"/>
        <v>0</v>
      </c>
      <c r="R153" s="173">
        <f t="shared" si="110"/>
        <v>814843.62723709259</v>
      </c>
      <c r="S153" s="173">
        <f t="shared" si="111"/>
        <v>0</v>
      </c>
      <c r="U153" s="87" t="s">
        <v>337</v>
      </c>
      <c r="V153" s="87" t="s">
        <v>338</v>
      </c>
      <c r="W153" s="173">
        <f t="shared" si="112"/>
        <v>759823.98901455023</v>
      </c>
      <c r="X153" s="173">
        <f t="shared" si="146"/>
        <v>0</v>
      </c>
      <c r="Y153" s="173">
        <f t="shared" si="147"/>
        <v>789419.93200491206</v>
      </c>
      <c r="Z153" s="173">
        <f t="shared" si="148"/>
        <v>0</v>
      </c>
      <c r="AA153" s="173">
        <f t="shared" si="149"/>
        <v>804637.65112936217</v>
      </c>
      <c r="AB153" s="173">
        <f t="shared" si="150"/>
        <v>0</v>
      </c>
      <c r="AC153" s="173">
        <f t="shared" si="151"/>
        <v>820877.5885870466</v>
      </c>
      <c r="AD153" s="173">
        <f t="shared" si="152"/>
        <v>0</v>
      </c>
      <c r="AF153" s="87" t="s">
        <v>337</v>
      </c>
      <c r="AG153" s="87" t="s">
        <v>338</v>
      </c>
      <c r="AH153" s="173">
        <f t="shared" si="113"/>
        <v>759823.98901455023</v>
      </c>
      <c r="AI153" s="173">
        <f t="shared" si="114"/>
        <v>0</v>
      </c>
      <c r="AJ153" s="173">
        <f t="shared" si="115"/>
        <v>770982.64888079476</v>
      </c>
      <c r="AK153" s="173">
        <f t="shared" si="116"/>
        <v>0</v>
      </c>
      <c r="AL153" s="173">
        <f t="shared" si="117"/>
        <v>783428.03285676125</v>
      </c>
      <c r="AM153" s="173">
        <f t="shared" si="118"/>
        <v>0</v>
      </c>
      <c r="AN153" s="173">
        <f t="shared" si="119"/>
        <v>796475.92561182461</v>
      </c>
      <c r="AO153" s="173">
        <f t="shared" si="120"/>
        <v>0</v>
      </c>
      <c r="AQ153" s="87" t="s">
        <v>337</v>
      </c>
      <c r="AR153" s="87" t="s">
        <v>338</v>
      </c>
      <c r="AS153" s="173">
        <f t="shared" si="121"/>
        <v>759823.98901455023</v>
      </c>
      <c r="AT153" s="173">
        <f t="shared" si="122"/>
        <v>0</v>
      </c>
      <c r="AU153" s="173">
        <f t="shared" si="123"/>
        <v>804897.80339514452</v>
      </c>
      <c r="AV153" s="173">
        <f t="shared" si="124"/>
        <v>0</v>
      </c>
      <c r="AW153" s="173">
        <f t="shared" si="125"/>
        <v>819035.77718042408</v>
      </c>
      <c r="AX153" s="173">
        <f t="shared" si="126"/>
        <v>0</v>
      </c>
      <c r="AY153" s="173">
        <f t="shared" si="127"/>
        <v>834177.4788895424</v>
      </c>
      <c r="AZ153" s="173">
        <f t="shared" si="128"/>
        <v>0</v>
      </c>
      <c r="BB153" s="87" t="s">
        <v>337</v>
      </c>
      <c r="BC153" s="87" t="s">
        <v>338</v>
      </c>
      <c r="BD153" s="173">
        <f t="shared" si="129"/>
        <v>759823.98901455023</v>
      </c>
      <c r="BE153" s="173">
        <f t="shared" si="130"/>
        <v>0</v>
      </c>
      <c r="BF153" s="173">
        <f t="shared" si="131"/>
        <v>808851.89033539954</v>
      </c>
      <c r="BG153" s="173">
        <f t="shared" si="132"/>
        <v>0</v>
      </c>
      <c r="BH153" s="173">
        <f t="shared" si="133"/>
        <v>823669.52505406784</v>
      </c>
      <c r="BI153" s="173">
        <f t="shared" si="134"/>
        <v>0</v>
      </c>
      <c r="BJ153" s="173">
        <f t="shared" si="135"/>
        <v>840354.61580599716</v>
      </c>
      <c r="BK153" s="173">
        <f t="shared" si="136"/>
        <v>0</v>
      </c>
      <c r="BM153" s="87" t="s">
        <v>337</v>
      </c>
      <c r="BN153" s="87" t="s">
        <v>338</v>
      </c>
      <c r="BO153" s="173">
        <f t="shared" si="137"/>
        <v>759823.98901455023</v>
      </c>
      <c r="BP153" s="173">
        <f t="shared" si="138"/>
        <v>0</v>
      </c>
      <c r="BQ153" s="173">
        <f t="shared" si="139"/>
        <v>789955.34383142262</v>
      </c>
      <c r="BR153" s="173">
        <f t="shared" si="140"/>
        <v>0</v>
      </c>
      <c r="BS153" s="173">
        <f t="shared" si="141"/>
        <v>801953.61210200179</v>
      </c>
      <c r="BT153" s="173">
        <f t="shared" si="142"/>
        <v>0</v>
      </c>
      <c r="BU153" s="173">
        <f t="shared" si="143"/>
        <v>815368.80855589197</v>
      </c>
      <c r="BV153" s="173">
        <f t="shared" si="144"/>
        <v>0</v>
      </c>
    </row>
    <row r="154" spans="5:74">
      <c r="E154" s="87" t="s">
        <v>419</v>
      </c>
      <c r="F154" s="87" t="s">
        <v>420</v>
      </c>
      <c r="G154" s="173">
        <f>IFERROR(IF(VLOOKUP(E154,A:C,3,FALSE)="YES",VLOOKUP(E154,'School Year 2021-22 SPED coop'!A:P,16,FALSE),0),0)</f>
        <v>40211.050000000003</v>
      </c>
      <c r="H154" s="173">
        <f t="shared" si="145"/>
        <v>0</v>
      </c>
      <c r="J154" s="87" t="s">
        <v>419</v>
      </c>
      <c r="K154" s="87" t="s">
        <v>420</v>
      </c>
      <c r="L154" s="173">
        <f t="shared" si="104"/>
        <v>31456.565223040318</v>
      </c>
      <c r="M154" s="173">
        <f t="shared" si="105"/>
        <v>0</v>
      </c>
      <c r="N154" s="173">
        <f t="shared" si="106"/>
        <v>32520.818703036493</v>
      </c>
      <c r="O154" s="173">
        <f t="shared" si="107"/>
        <v>0</v>
      </c>
      <c r="P154" s="173">
        <f t="shared" si="108"/>
        <v>33122.888985632162</v>
      </c>
      <c r="Q154" s="173">
        <f t="shared" si="109"/>
        <v>0</v>
      </c>
      <c r="R154" s="173">
        <f t="shared" si="110"/>
        <v>33732.283443814435</v>
      </c>
      <c r="S154" s="173">
        <f t="shared" si="111"/>
        <v>0</v>
      </c>
      <c r="U154" s="87" t="s">
        <v>419</v>
      </c>
      <c r="V154" s="87" t="s">
        <v>420</v>
      </c>
      <c r="W154" s="173">
        <f t="shared" si="112"/>
        <v>31456.565223040318</v>
      </c>
      <c r="X154" s="173">
        <f t="shared" si="146"/>
        <v>0</v>
      </c>
      <c r="Y154" s="173">
        <f t="shared" si="147"/>
        <v>32520.818703036493</v>
      </c>
      <c r="Z154" s="173">
        <f t="shared" si="148"/>
        <v>0</v>
      </c>
      <c r="AA154" s="173">
        <f t="shared" si="149"/>
        <v>33122.888985632162</v>
      </c>
      <c r="AB154" s="173">
        <f t="shared" si="150"/>
        <v>0</v>
      </c>
      <c r="AC154" s="173">
        <f t="shared" si="151"/>
        <v>33732.283443814435</v>
      </c>
      <c r="AD154" s="173">
        <f t="shared" si="152"/>
        <v>0</v>
      </c>
      <c r="AF154" s="87" t="s">
        <v>419</v>
      </c>
      <c r="AG154" s="87" t="s">
        <v>420</v>
      </c>
      <c r="AH154" s="173">
        <f t="shared" si="113"/>
        <v>31456.565223040318</v>
      </c>
      <c r="AI154" s="173">
        <f t="shared" si="114"/>
        <v>0</v>
      </c>
      <c r="AJ154" s="173">
        <f t="shared" si="115"/>
        <v>31590.392468737446</v>
      </c>
      <c r="AK154" s="173">
        <f t="shared" si="116"/>
        <v>0</v>
      </c>
      <c r="AL154" s="173">
        <f t="shared" si="117"/>
        <v>31922.799854897148</v>
      </c>
      <c r="AM154" s="173">
        <f t="shared" si="118"/>
        <v>0</v>
      </c>
      <c r="AN154" s="173">
        <f t="shared" si="119"/>
        <v>32587.062474824554</v>
      </c>
      <c r="AO154" s="173">
        <f t="shared" si="120"/>
        <v>0</v>
      </c>
      <c r="AQ154" s="87" t="s">
        <v>419</v>
      </c>
      <c r="AR154" s="87" t="s">
        <v>420</v>
      </c>
      <c r="AS154" s="173">
        <f t="shared" si="121"/>
        <v>31456.565223040318</v>
      </c>
      <c r="AT154" s="173">
        <f t="shared" si="122"/>
        <v>0</v>
      </c>
      <c r="AU154" s="173">
        <f t="shared" si="123"/>
        <v>33321.395837411561</v>
      </c>
      <c r="AV154" s="173">
        <f t="shared" si="124"/>
        <v>0</v>
      </c>
      <c r="AW154" s="173">
        <f t="shared" si="125"/>
        <v>33906.205557506684</v>
      </c>
      <c r="AX154" s="173">
        <f t="shared" si="126"/>
        <v>0</v>
      </c>
      <c r="AY154" s="173">
        <f t="shared" si="127"/>
        <v>34532.531029012564</v>
      </c>
      <c r="AZ154" s="173">
        <f t="shared" si="128"/>
        <v>0</v>
      </c>
      <c r="BB154" s="87" t="s">
        <v>419</v>
      </c>
      <c r="BC154" s="87" t="s">
        <v>420</v>
      </c>
      <c r="BD154" s="173">
        <f t="shared" si="129"/>
        <v>31456.565223040318</v>
      </c>
      <c r="BE154" s="173">
        <f t="shared" si="130"/>
        <v>0</v>
      </c>
      <c r="BF154" s="173">
        <f t="shared" si="131"/>
        <v>33321.395837411561</v>
      </c>
      <c r="BG154" s="173">
        <f t="shared" si="132"/>
        <v>0</v>
      </c>
      <c r="BH154" s="173">
        <f t="shared" si="133"/>
        <v>33906.205557506684</v>
      </c>
      <c r="BI154" s="173">
        <f t="shared" si="134"/>
        <v>0</v>
      </c>
      <c r="BJ154" s="173">
        <f t="shared" si="135"/>
        <v>34532.531029012564</v>
      </c>
      <c r="BK154" s="173">
        <f t="shared" si="136"/>
        <v>0</v>
      </c>
      <c r="BM154" s="87" t="s">
        <v>419</v>
      </c>
      <c r="BN154" s="87" t="s">
        <v>420</v>
      </c>
      <c r="BO154" s="173">
        <f t="shared" si="137"/>
        <v>31456.565223040318</v>
      </c>
      <c r="BP154" s="173">
        <f t="shared" si="138"/>
        <v>0</v>
      </c>
      <c r="BQ154" s="173">
        <f t="shared" si="139"/>
        <v>32367.843414901217</v>
      </c>
      <c r="BR154" s="173">
        <f t="shared" si="140"/>
        <v>0</v>
      </c>
      <c r="BS154" s="173">
        <f t="shared" si="141"/>
        <v>32677.642770471401</v>
      </c>
      <c r="BT154" s="173">
        <f t="shared" si="142"/>
        <v>0</v>
      </c>
      <c r="BU154" s="173">
        <f t="shared" si="143"/>
        <v>33360.207178480385</v>
      </c>
      <c r="BV154" s="173">
        <f t="shared" si="144"/>
        <v>0</v>
      </c>
    </row>
    <row r="155" spans="5:74">
      <c r="E155" s="87" t="s">
        <v>437</v>
      </c>
      <c r="F155" s="87" t="s">
        <v>438</v>
      </c>
      <c r="G155" s="173">
        <f>IFERROR(IF(VLOOKUP(E155,A:C,3,FALSE)="YES",VLOOKUP(E155,'School Year 2021-22 SPED coop'!A:P,16,FALSE),0),0)</f>
        <v>0</v>
      </c>
      <c r="H155" s="173">
        <f t="shared" si="145"/>
        <v>7160057.5499999998</v>
      </c>
      <c r="J155" s="87" t="s">
        <v>437</v>
      </c>
      <c r="K155" s="87" t="s">
        <v>438</v>
      </c>
      <c r="L155" s="173">
        <f t="shared" si="104"/>
        <v>0</v>
      </c>
      <c r="M155" s="173">
        <f t="shared" si="105"/>
        <v>7266986.8934142021</v>
      </c>
      <c r="N155" s="173">
        <f t="shared" si="106"/>
        <v>0</v>
      </c>
      <c r="O155" s="173">
        <f t="shared" si="107"/>
        <v>7508238.4642196987</v>
      </c>
      <c r="P155" s="173">
        <f t="shared" si="108"/>
        <v>0</v>
      </c>
      <c r="Q155" s="173">
        <f t="shared" si="109"/>
        <v>7648460.2563203098</v>
      </c>
      <c r="R155" s="173">
        <f t="shared" si="110"/>
        <v>0</v>
      </c>
      <c r="S155" s="173">
        <f t="shared" si="111"/>
        <v>7791463.4124390446</v>
      </c>
      <c r="U155" s="87" t="s">
        <v>437</v>
      </c>
      <c r="V155" s="87" t="s">
        <v>438</v>
      </c>
      <c r="W155" s="173">
        <f t="shared" si="112"/>
        <v>0</v>
      </c>
      <c r="X155" s="173">
        <f t="shared" si="146"/>
        <v>7266986.8934142021</v>
      </c>
      <c r="Y155" s="173">
        <f t="shared" si="147"/>
        <v>0</v>
      </c>
      <c r="Z155" s="173">
        <f t="shared" si="148"/>
        <v>7545041.5652272627</v>
      </c>
      <c r="AA155" s="173">
        <f t="shared" si="149"/>
        <v>0</v>
      </c>
      <c r="AB155" s="173">
        <f t="shared" si="150"/>
        <v>7691670.1818108298</v>
      </c>
      <c r="AC155" s="173">
        <f t="shared" si="151"/>
        <v>0</v>
      </c>
      <c r="AD155" s="173">
        <f t="shared" si="152"/>
        <v>7849000.5829016594</v>
      </c>
      <c r="AF155" s="87" t="s">
        <v>437</v>
      </c>
      <c r="AG155" s="87" t="s">
        <v>438</v>
      </c>
      <c r="AH155" s="173">
        <f t="shared" si="113"/>
        <v>0</v>
      </c>
      <c r="AI155" s="173">
        <f t="shared" si="114"/>
        <v>7266986.8934142021</v>
      </c>
      <c r="AJ155" s="173">
        <f t="shared" si="115"/>
        <v>0</v>
      </c>
      <c r="AK155" s="173">
        <f t="shared" si="116"/>
        <v>7474766.3723975206</v>
      </c>
      <c r="AL155" s="173">
        <f t="shared" si="117"/>
        <v>0</v>
      </c>
      <c r="AM155" s="173">
        <f t="shared" si="118"/>
        <v>7614371.3541545961</v>
      </c>
      <c r="AN155" s="173">
        <f t="shared" si="119"/>
        <v>0</v>
      </c>
      <c r="AO155" s="173">
        <f t="shared" si="120"/>
        <v>7756752.3380751712</v>
      </c>
      <c r="AQ155" s="87" t="s">
        <v>437</v>
      </c>
      <c r="AR155" s="87" t="s">
        <v>438</v>
      </c>
      <c r="AS155" s="173">
        <f t="shared" si="121"/>
        <v>0</v>
      </c>
      <c r="AT155" s="173">
        <f t="shared" si="122"/>
        <v>7266986.8934142021</v>
      </c>
      <c r="AU155" s="173">
        <f t="shared" si="123"/>
        <v>0</v>
      </c>
      <c r="AV155" s="173">
        <f t="shared" si="124"/>
        <v>7695877.6538886223</v>
      </c>
      <c r="AW155" s="173">
        <f t="shared" si="125"/>
        <v>0</v>
      </c>
      <c r="AX155" s="173">
        <f t="shared" si="126"/>
        <v>7833113.4310517851</v>
      </c>
      <c r="AY155" s="173">
        <f t="shared" si="127"/>
        <v>0</v>
      </c>
      <c r="AZ155" s="173">
        <f t="shared" si="128"/>
        <v>7980092.7565013049</v>
      </c>
      <c r="BB155" s="87" t="s">
        <v>437</v>
      </c>
      <c r="BC155" s="87" t="s">
        <v>438</v>
      </c>
      <c r="BD155" s="173">
        <f t="shared" si="129"/>
        <v>0</v>
      </c>
      <c r="BE155" s="173">
        <f t="shared" si="130"/>
        <v>7266986.8934142021</v>
      </c>
      <c r="BF155" s="173">
        <f t="shared" si="131"/>
        <v>0</v>
      </c>
      <c r="BG155" s="173">
        <f t="shared" si="132"/>
        <v>7733600.4997926662</v>
      </c>
      <c r="BH155" s="173">
        <f t="shared" si="133"/>
        <v>0</v>
      </c>
      <c r="BI155" s="173">
        <f t="shared" si="134"/>
        <v>7877366.5427135024</v>
      </c>
      <c r="BJ155" s="173">
        <f t="shared" si="135"/>
        <v>0</v>
      </c>
      <c r="BK155" s="173">
        <f t="shared" si="136"/>
        <v>8039022.8803053722</v>
      </c>
      <c r="BM155" s="87" t="s">
        <v>437</v>
      </c>
      <c r="BN155" s="87" t="s">
        <v>438</v>
      </c>
      <c r="BO155" s="173">
        <f t="shared" si="137"/>
        <v>0</v>
      </c>
      <c r="BP155" s="173">
        <f t="shared" si="138"/>
        <v>7266986.8934142021</v>
      </c>
      <c r="BQ155" s="173">
        <f t="shared" si="139"/>
        <v>0</v>
      </c>
      <c r="BR155" s="173">
        <f t="shared" si="140"/>
        <v>7661557.9863029318</v>
      </c>
      <c r="BS155" s="173">
        <f t="shared" si="141"/>
        <v>0</v>
      </c>
      <c r="BT155" s="173">
        <f t="shared" si="142"/>
        <v>7798196.1041719476</v>
      </c>
      <c r="BU155" s="173">
        <f t="shared" si="143"/>
        <v>0</v>
      </c>
      <c r="BV155" s="173">
        <f t="shared" si="144"/>
        <v>7944535.4373470759</v>
      </c>
    </row>
    <row r="156" spans="5:74">
      <c r="E156" s="87" t="s">
        <v>149</v>
      </c>
      <c r="F156" s="87" t="s">
        <v>150</v>
      </c>
      <c r="G156" s="173">
        <f>IFERROR(IF(VLOOKUP(E156,A:C,3,FALSE)="YES",VLOOKUP(E156,'School Year 2021-22 SPED coop'!A:P,16,FALSE),0),0)</f>
        <v>0</v>
      </c>
      <c r="H156" s="173">
        <f t="shared" si="145"/>
        <v>1847883.95</v>
      </c>
      <c r="J156" s="87" t="s">
        <v>149</v>
      </c>
      <c r="K156" s="87" t="s">
        <v>150</v>
      </c>
      <c r="L156" s="173">
        <f t="shared" si="104"/>
        <v>0</v>
      </c>
      <c r="M156" s="173">
        <f t="shared" si="105"/>
        <v>1869143.542256271</v>
      </c>
      <c r="N156" s="173">
        <f t="shared" si="106"/>
        <v>0</v>
      </c>
      <c r="O156" s="173">
        <f t="shared" si="107"/>
        <v>1932266.9788651979</v>
      </c>
      <c r="P156" s="173">
        <f t="shared" si="108"/>
        <v>0</v>
      </c>
      <c r="Q156" s="173">
        <f t="shared" si="109"/>
        <v>1968113.9111142082</v>
      </c>
      <c r="R156" s="173">
        <f t="shared" si="110"/>
        <v>0</v>
      </c>
      <c r="S156" s="173">
        <f t="shared" si="111"/>
        <v>2004459.0093060222</v>
      </c>
      <c r="U156" s="87" t="s">
        <v>149</v>
      </c>
      <c r="V156" s="87" t="s">
        <v>150</v>
      </c>
      <c r="W156" s="173">
        <f t="shared" si="112"/>
        <v>0</v>
      </c>
      <c r="X156" s="173">
        <f t="shared" si="146"/>
        <v>1869143.542256271</v>
      </c>
      <c r="Y156" s="173">
        <f t="shared" si="147"/>
        <v>0</v>
      </c>
      <c r="Z156" s="173">
        <f t="shared" si="148"/>
        <v>1941746.8786882651</v>
      </c>
      <c r="AA156" s="173">
        <f t="shared" si="149"/>
        <v>0</v>
      </c>
      <c r="AB156" s="173">
        <f t="shared" si="150"/>
        <v>1979250.0940710036</v>
      </c>
      <c r="AC156" s="173">
        <f t="shared" si="151"/>
        <v>0</v>
      </c>
      <c r="AD156" s="173">
        <f t="shared" si="152"/>
        <v>2019283.4416643293</v>
      </c>
      <c r="AF156" s="87" t="s">
        <v>149</v>
      </c>
      <c r="AG156" s="87" t="s">
        <v>150</v>
      </c>
      <c r="AH156" s="173">
        <f t="shared" si="113"/>
        <v>0</v>
      </c>
      <c r="AI156" s="173">
        <f t="shared" si="114"/>
        <v>1869143.542256271</v>
      </c>
      <c r="AJ156" s="173">
        <f t="shared" si="115"/>
        <v>0</v>
      </c>
      <c r="AK156" s="173">
        <f t="shared" si="116"/>
        <v>1935630.1435423377</v>
      </c>
      <c r="AL156" s="173">
        <f t="shared" si="117"/>
        <v>0</v>
      </c>
      <c r="AM156" s="173">
        <f t="shared" si="118"/>
        <v>1971541.2828008446</v>
      </c>
      <c r="AN156" s="173">
        <f t="shared" si="119"/>
        <v>0</v>
      </c>
      <c r="AO156" s="173">
        <f t="shared" si="120"/>
        <v>2007952.9321097769</v>
      </c>
      <c r="AQ156" s="87" t="s">
        <v>149</v>
      </c>
      <c r="AR156" s="87" t="s">
        <v>150</v>
      </c>
      <c r="AS156" s="173">
        <f t="shared" si="121"/>
        <v>0</v>
      </c>
      <c r="AT156" s="173">
        <f t="shared" si="122"/>
        <v>1869143.542256271</v>
      </c>
      <c r="AU156" s="173">
        <f t="shared" si="123"/>
        <v>0</v>
      </c>
      <c r="AV156" s="173">
        <f t="shared" si="124"/>
        <v>1979976.4857283207</v>
      </c>
      <c r="AW156" s="173">
        <f t="shared" si="125"/>
        <v>0</v>
      </c>
      <c r="AX156" s="173">
        <f t="shared" si="126"/>
        <v>2014854.9393584761</v>
      </c>
      <c r="AY156" s="173">
        <f t="shared" si="127"/>
        <v>0</v>
      </c>
      <c r="AZ156" s="173">
        <f t="shared" si="128"/>
        <v>2052209.5856162547</v>
      </c>
      <c r="BB156" s="87" t="s">
        <v>149</v>
      </c>
      <c r="BC156" s="87" t="s">
        <v>150</v>
      </c>
      <c r="BD156" s="173">
        <f t="shared" si="129"/>
        <v>0</v>
      </c>
      <c r="BE156" s="173">
        <f t="shared" si="130"/>
        <v>1869143.542256271</v>
      </c>
      <c r="BF156" s="173">
        <f t="shared" si="131"/>
        <v>0</v>
      </c>
      <c r="BG156" s="173">
        <f t="shared" si="132"/>
        <v>1989690.4567870745</v>
      </c>
      <c r="BH156" s="173">
        <f t="shared" si="133"/>
        <v>0</v>
      </c>
      <c r="BI156" s="173">
        <f t="shared" si="134"/>
        <v>2026255.6036624438</v>
      </c>
      <c r="BJ156" s="173">
        <f t="shared" si="135"/>
        <v>0</v>
      </c>
      <c r="BK156" s="173">
        <f t="shared" si="136"/>
        <v>2067387.1782452469</v>
      </c>
      <c r="BM156" s="87" t="s">
        <v>149</v>
      </c>
      <c r="BN156" s="87" t="s">
        <v>150</v>
      </c>
      <c r="BO156" s="173">
        <f t="shared" si="137"/>
        <v>0</v>
      </c>
      <c r="BP156" s="173">
        <f t="shared" si="138"/>
        <v>1869143.542256271</v>
      </c>
      <c r="BQ156" s="173">
        <f t="shared" si="139"/>
        <v>0</v>
      </c>
      <c r="BR156" s="173">
        <f t="shared" si="140"/>
        <v>1983426.0716715318</v>
      </c>
      <c r="BS156" s="173">
        <f t="shared" si="141"/>
        <v>0</v>
      </c>
      <c r="BT156" s="173">
        <f t="shared" si="142"/>
        <v>2018368.3727249624</v>
      </c>
      <c r="BU156" s="173">
        <f t="shared" si="143"/>
        <v>0</v>
      </c>
      <c r="BV156" s="173">
        <f t="shared" si="144"/>
        <v>2055791.4311626481</v>
      </c>
    </row>
    <row r="157" spans="5:74">
      <c r="E157" s="87" t="s">
        <v>277</v>
      </c>
      <c r="F157" s="87" t="s">
        <v>278</v>
      </c>
      <c r="G157" s="173">
        <f>IFERROR(IF(VLOOKUP(E157,A:C,3,FALSE)="YES",VLOOKUP(E157,'School Year 2021-22 SPED coop'!A:P,16,FALSE),0),0)</f>
        <v>0</v>
      </c>
      <c r="H157" s="173">
        <f t="shared" si="145"/>
        <v>426840.27</v>
      </c>
      <c r="J157" s="87" t="s">
        <v>277</v>
      </c>
      <c r="K157" s="87" t="s">
        <v>278</v>
      </c>
      <c r="L157" s="173">
        <f t="shared" si="104"/>
        <v>0</v>
      </c>
      <c r="M157" s="173">
        <f t="shared" si="105"/>
        <v>435725.09957905917</v>
      </c>
      <c r="N157" s="173">
        <f t="shared" si="106"/>
        <v>0</v>
      </c>
      <c r="O157" s="173">
        <f t="shared" si="107"/>
        <v>450470.70757111622</v>
      </c>
      <c r="P157" s="173">
        <f t="shared" si="108"/>
        <v>0</v>
      </c>
      <c r="Q157" s="173">
        <f t="shared" si="109"/>
        <v>458813.53143967321</v>
      </c>
      <c r="R157" s="173">
        <f t="shared" si="110"/>
        <v>0</v>
      </c>
      <c r="S157" s="173">
        <f t="shared" si="111"/>
        <v>467260.35720579815</v>
      </c>
      <c r="U157" s="87" t="s">
        <v>277</v>
      </c>
      <c r="V157" s="87" t="s">
        <v>278</v>
      </c>
      <c r="W157" s="173">
        <f t="shared" si="112"/>
        <v>0</v>
      </c>
      <c r="X157" s="173">
        <f t="shared" si="146"/>
        <v>435725.09957905917</v>
      </c>
      <c r="Y157" s="173">
        <f t="shared" si="147"/>
        <v>0</v>
      </c>
      <c r="Z157" s="173">
        <f t="shared" si="148"/>
        <v>452677.97078491189</v>
      </c>
      <c r="AA157" s="173">
        <f t="shared" si="149"/>
        <v>0</v>
      </c>
      <c r="AB157" s="173">
        <f t="shared" si="150"/>
        <v>461414.76435720391</v>
      </c>
      <c r="AC157" s="173">
        <f t="shared" si="151"/>
        <v>0</v>
      </c>
      <c r="AD157" s="173">
        <f t="shared" si="152"/>
        <v>470701.28252358036</v>
      </c>
      <c r="AF157" s="87" t="s">
        <v>277</v>
      </c>
      <c r="AG157" s="87" t="s">
        <v>278</v>
      </c>
      <c r="AH157" s="173">
        <f t="shared" si="113"/>
        <v>0</v>
      </c>
      <c r="AI157" s="173">
        <f t="shared" si="114"/>
        <v>435725.09957905917</v>
      </c>
      <c r="AJ157" s="173">
        <f t="shared" si="115"/>
        <v>0</v>
      </c>
      <c r="AK157" s="173">
        <f t="shared" si="116"/>
        <v>444727.83020798716</v>
      </c>
      <c r="AL157" s="173">
        <f t="shared" si="117"/>
        <v>0</v>
      </c>
      <c r="AM157" s="173">
        <f t="shared" si="118"/>
        <v>454475.1821751399</v>
      </c>
      <c r="AN157" s="173">
        <f t="shared" si="119"/>
        <v>0</v>
      </c>
      <c r="AO157" s="173">
        <f t="shared" si="120"/>
        <v>463672.20285010379</v>
      </c>
      <c r="AQ157" s="87" t="s">
        <v>277</v>
      </c>
      <c r="AR157" s="87" t="s">
        <v>278</v>
      </c>
      <c r="AS157" s="173">
        <f t="shared" si="121"/>
        <v>0</v>
      </c>
      <c r="AT157" s="173">
        <f t="shared" si="122"/>
        <v>435725.09957905917</v>
      </c>
      <c r="AU157" s="173">
        <f t="shared" si="123"/>
        <v>0</v>
      </c>
      <c r="AV157" s="173">
        <f t="shared" si="124"/>
        <v>461561.29843636858</v>
      </c>
      <c r="AW157" s="173">
        <f t="shared" si="125"/>
        <v>0</v>
      </c>
      <c r="AX157" s="173">
        <f t="shared" si="126"/>
        <v>469667.24147591344</v>
      </c>
      <c r="AY157" s="173">
        <f t="shared" si="127"/>
        <v>0</v>
      </c>
      <c r="AZ157" s="173">
        <f t="shared" si="128"/>
        <v>478348.66469039791</v>
      </c>
      <c r="BB157" s="87" t="s">
        <v>277</v>
      </c>
      <c r="BC157" s="87" t="s">
        <v>278</v>
      </c>
      <c r="BD157" s="173">
        <f t="shared" si="129"/>
        <v>0</v>
      </c>
      <c r="BE157" s="173">
        <f t="shared" si="130"/>
        <v>435725.09957905917</v>
      </c>
      <c r="BF157" s="173">
        <f t="shared" si="131"/>
        <v>0</v>
      </c>
      <c r="BG157" s="173">
        <f t="shared" si="132"/>
        <v>463822.90377414593</v>
      </c>
      <c r="BH157" s="173">
        <f t="shared" si="133"/>
        <v>0</v>
      </c>
      <c r="BI157" s="173">
        <f t="shared" si="134"/>
        <v>472330.01303094369</v>
      </c>
      <c r="BJ157" s="173">
        <f t="shared" si="135"/>
        <v>0</v>
      </c>
      <c r="BK157" s="173">
        <f t="shared" si="136"/>
        <v>481871.23986523162</v>
      </c>
      <c r="BM157" s="87" t="s">
        <v>277</v>
      </c>
      <c r="BN157" s="87" t="s">
        <v>278</v>
      </c>
      <c r="BO157" s="173">
        <f t="shared" si="137"/>
        <v>0</v>
      </c>
      <c r="BP157" s="173">
        <f t="shared" si="138"/>
        <v>435725.09957905917</v>
      </c>
      <c r="BQ157" s="173">
        <f t="shared" si="139"/>
        <v>0</v>
      </c>
      <c r="BR157" s="173">
        <f t="shared" si="140"/>
        <v>455675.20085111551</v>
      </c>
      <c r="BS157" s="173">
        <f t="shared" si="141"/>
        <v>0</v>
      </c>
      <c r="BT157" s="173">
        <f t="shared" si="142"/>
        <v>465225.46399564802</v>
      </c>
      <c r="BU157" s="173">
        <f t="shared" si="143"/>
        <v>0</v>
      </c>
      <c r="BV157" s="173">
        <f t="shared" si="144"/>
        <v>474674.28705184074</v>
      </c>
    </row>
    <row r="158" spans="5:74">
      <c r="E158" s="87" t="s">
        <v>133</v>
      </c>
      <c r="F158" s="87" t="s">
        <v>134</v>
      </c>
      <c r="G158" s="173">
        <f>IFERROR(IF(VLOOKUP(E158,A:C,3,FALSE)="YES",VLOOKUP(E158,'School Year 2021-22 SPED coop'!A:P,16,FALSE),0),0)</f>
        <v>0</v>
      </c>
      <c r="H158" s="173">
        <f t="shared" si="145"/>
        <v>11030277.1</v>
      </c>
      <c r="J158" s="87" t="s">
        <v>133</v>
      </c>
      <c r="K158" s="87" t="s">
        <v>134</v>
      </c>
      <c r="L158" s="173">
        <f t="shared" si="104"/>
        <v>0</v>
      </c>
      <c r="M158" s="173">
        <f t="shared" si="105"/>
        <v>11155260.835700126</v>
      </c>
      <c r="N158" s="173">
        <f t="shared" si="106"/>
        <v>0</v>
      </c>
      <c r="O158" s="173">
        <f t="shared" si="107"/>
        <v>11450512.009544302</v>
      </c>
      <c r="P158" s="173">
        <f t="shared" si="108"/>
        <v>0</v>
      </c>
      <c r="Q158" s="173">
        <f t="shared" si="109"/>
        <v>11662907.235310527</v>
      </c>
      <c r="R158" s="173">
        <f t="shared" si="110"/>
        <v>0</v>
      </c>
      <c r="S158" s="173">
        <f t="shared" si="111"/>
        <v>11878241.646863393</v>
      </c>
      <c r="U158" s="87" t="s">
        <v>133</v>
      </c>
      <c r="V158" s="87" t="s">
        <v>134</v>
      </c>
      <c r="W158" s="173">
        <f t="shared" si="112"/>
        <v>0</v>
      </c>
      <c r="X158" s="173">
        <f t="shared" si="146"/>
        <v>11155260.835700126</v>
      </c>
      <c r="Y158" s="173">
        <f t="shared" si="147"/>
        <v>0</v>
      </c>
      <c r="Z158" s="173">
        <f t="shared" si="148"/>
        <v>11506650.771639649</v>
      </c>
      <c r="AA158" s="173">
        <f t="shared" si="149"/>
        <v>0</v>
      </c>
      <c r="AB158" s="173">
        <f t="shared" si="150"/>
        <v>11728825.51052474</v>
      </c>
      <c r="AC158" s="173">
        <f t="shared" si="151"/>
        <v>0</v>
      </c>
      <c r="AD158" s="173">
        <f t="shared" si="152"/>
        <v>11965971.760422183</v>
      </c>
      <c r="AF158" s="87" t="s">
        <v>133</v>
      </c>
      <c r="AG158" s="87" t="s">
        <v>134</v>
      </c>
      <c r="AH158" s="173">
        <f t="shared" si="113"/>
        <v>0</v>
      </c>
      <c r="AI158" s="173">
        <f t="shared" si="114"/>
        <v>11155260.835700126</v>
      </c>
      <c r="AJ158" s="173">
        <f t="shared" si="115"/>
        <v>0</v>
      </c>
      <c r="AK158" s="173">
        <f t="shared" si="116"/>
        <v>11367535.349338671</v>
      </c>
      <c r="AL158" s="173">
        <f t="shared" si="117"/>
        <v>0</v>
      </c>
      <c r="AM158" s="173">
        <f t="shared" si="118"/>
        <v>11562050.354386032</v>
      </c>
      <c r="AN158" s="173">
        <f t="shared" si="119"/>
        <v>0</v>
      </c>
      <c r="AO158" s="173">
        <f t="shared" si="120"/>
        <v>11790787.34494474</v>
      </c>
      <c r="AQ158" s="87" t="s">
        <v>133</v>
      </c>
      <c r="AR158" s="87" t="s">
        <v>134</v>
      </c>
      <c r="AS158" s="173">
        <f t="shared" si="121"/>
        <v>0</v>
      </c>
      <c r="AT158" s="173">
        <f t="shared" si="122"/>
        <v>11155260.835700126</v>
      </c>
      <c r="AU158" s="173">
        <f t="shared" si="123"/>
        <v>0</v>
      </c>
      <c r="AV158" s="173">
        <f t="shared" si="124"/>
        <v>11733170.409339143</v>
      </c>
      <c r="AW158" s="173">
        <f t="shared" si="125"/>
        <v>0</v>
      </c>
      <c r="AX158" s="173">
        <f t="shared" si="126"/>
        <v>11939815.068733752</v>
      </c>
      <c r="AY158" s="173">
        <f t="shared" si="127"/>
        <v>0</v>
      </c>
      <c r="AZ158" s="173">
        <f t="shared" si="128"/>
        <v>12161130.436016181</v>
      </c>
      <c r="BB158" s="87" t="s">
        <v>133</v>
      </c>
      <c r="BC158" s="87" t="s">
        <v>134</v>
      </c>
      <c r="BD158" s="173">
        <f t="shared" si="129"/>
        <v>0</v>
      </c>
      <c r="BE158" s="173">
        <f t="shared" si="130"/>
        <v>11155260.835700126</v>
      </c>
      <c r="BF158" s="173">
        <f t="shared" si="131"/>
        <v>0</v>
      </c>
      <c r="BG158" s="173">
        <f t="shared" si="132"/>
        <v>11790694.968102861</v>
      </c>
      <c r="BH158" s="173">
        <f t="shared" si="133"/>
        <v>0</v>
      </c>
      <c r="BI158" s="173">
        <f t="shared" si="134"/>
        <v>12007298.415620439</v>
      </c>
      <c r="BJ158" s="173">
        <f t="shared" si="135"/>
        <v>0</v>
      </c>
      <c r="BK158" s="173">
        <f t="shared" si="136"/>
        <v>12250949.902269358</v>
      </c>
      <c r="BM158" s="87" t="s">
        <v>133</v>
      </c>
      <c r="BN158" s="87" t="s">
        <v>134</v>
      </c>
      <c r="BO158" s="173">
        <f t="shared" si="137"/>
        <v>0</v>
      </c>
      <c r="BP158" s="173">
        <f t="shared" si="138"/>
        <v>11155260.835700126</v>
      </c>
      <c r="BQ158" s="173">
        <f t="shared" si="139"/>
        <v>0</v>
      </c>
      <c r="BR158" s="173">
        <f t="shared" si="140"/>
        <v>11648125.572810385</v>
      </c>
      <c r="BS158" s="173">
        <f t="shared" si="141"/>
        <v>0</v>
      </c>
      <c r="BT158" s="173">
        <f t="shared" si="142"/>
        <v>11836556.26126967</v>
      </c>
      <c r="BU158" s="173">
        <f t="shared" si="143"/>
        <v>0</v>
      </c>
      <c r="BV158" s="173">
        <f t="shared" si="144"/>
        <v>12071591.796050802</v>
      </c>
    </row>
    <row r="159" spans="5:74">
      <c r="E159" s="87" t="s">
        <v>275</v>
      </c>
      <c r="F159" s="87" t="s">
        <v>276</v>
      </c>
      <c r="G159" s="173">
        <f>IFERROR(IF(VLOOKUP(E159,A:C,3,FALSE)="YES",VLOOKUP(E159,'School Year 2021-22 SPED coop'!A:P,16,FALSE),0),0)</f>
        <v>0</v>
      </c>
      <c r="H159" s="173">
        <f t="shared" si="145"/>
        <v>693169.33000000007</v>
      </c>
      <c r="J159" s="87" t="s">
        <v>275</v>
      </c>
      <c r="K159" s="87" t="s">
        <v>276</v>
      </c>
      <c r="L159" s="173">
        <f t="shared" si="104"/>
        <v>0</v>
      </c>
      <c r="M159" s="173">
        <f t="shared" si="105"/>
        <v>701295.64029573591</v>
      </c>
      <c r="N159" s="173">
        <f t="shared" si="106"/>
        <v>0</v>
      </c>
      <c r="O159" s="173">
        <f t="shared" si="107"/>
        <v>725052.2970513982</v>
      </c>
      <c r="P159" s="173">
        <f t="shared" si="108"/>
        <v>0</v>
      </c>
      <c r="Q159" s="173">
        <f t="shared" si="109"/>
        <v>738480.88967036968</v>
      </c>
      <c r="R159" s="173">
        <f t="shared" si="110"/>
        <v>0</v>
      </c>
      <c r="S159" s="173">
        <f t="shared" si="111"/>
        <v>752077.28445373138</v>
      </c>
      <c r="U159" s="87" t="s">
        <v>275</v>
      </c>
      <c r="V159" s="87" t="s">
        <v>276</v>
      </c>
      <c r="W159" s="173">
        <f t="shared" si="112"/>
        <v>0</v>
      </c>
      <c r="X159" s="173">
        <f t="shared" si="146"/>
        <v>701295.64029573591</v>
      </c>
      <c r="Y159" s="173">
        <f t="shared" si="147"/>
        <v>0</v>
      </c>
      <c r="Z159" s="173">
        <f t="shared" si="148"/>
        <v>728595.70793762605</v>
      </c>
      <c r="AA159" s="173">
        <f t="shared" si="149"/>
        <v>0</v>
      </c>
      <c r="AB159" s="173">
        <f t="shared" si="150"/>
        <v>742658.54589319217</v>
      </c>
      <c r="AC159" s="173">
        <f t="shared" si="151"/>
        <v>0</v>
      </c>
      <c r="AD159" s="173">
        <f t="shared" si="152"/>
        <v>757634.26599680283</v>
      </c>
      <c r="AF159" s="87" t="s">
        <v>275</v>
      </c>
      <c r="AG159" s="87" t="s">
        <v>276</v>
      </c>
      <c r="AH159" s="173">
        <f t="shared" si="113"/>
        <v>0</v>
      </c>
      <c r="AI159" s="173">
        <f t="shared" si="114"/>
        <v>701295.64029573591</v>
      </c>
      <c r="AJ159" s="173">
        <f t="shared" si="115"/>
        <v>0</v>
      </c>
      <c r="AK159" s="173">
        <f t="shared" si="116"/>
        <v>722046.35138369084</v>
      </c>
      <c r="AL159" s="173">
        <f t="shared" si="117"/>
        <v>0</v>
      </c>
      <c r="AM159" s="173">
        <f t="shared" si="118"/>
        <v>735696.99887741101</v>
      </c>
      <c r="AN159" s="173">
        <f t="shared" si="119"/>
        <v>0</v>
      </c>
      <c r="AO159" s="173">
        <f t="shared" si="120"/>
        <v>750291.76452238997</v>
      </c>
      <c r="AQ159" s="87" t="s">
        <v>275</v>
      </c>
      <c r="AR159" s="87" t="s">
        <v>276</v>
      </c>
      <c r="AS159" s="173">
        <f t="shared" si="121"/>
        <v>0</v>
      </c>
      <c r="AT159" s="173">
        <f t="shared" si="122"/>
        <v>701295.64029573591</v>
      </c>
      <c r="AU159" s="173">
        <f t="shared" si="123"/>
        <v>0</v>
      </c>
      <c r="AV159" s="173">
        <f t="shared" si="124"/>
        <v>742899.11248225195</v>
      </c>
      <c r="AW159" s="173">
        <f t="shared" si="125"/>
        <v>0</v>
      </c>
      <c r="AX159" s="173">
        <f t="shared" si="126"/>
        <v>755946.7152436754</v>
      </c>
      <c r="AY159" s="173">
        <f t="shared" si="127"/>
        <v>0</v>
      </c>
      <c r="AZ159" s="173">
        <f t="shared" si="128"/>
        <v>769920.62185525196</v>
      </c>
      <c r="BB159" s="87" t="s">
        <v>275</v>
      </c>
      <c r="BC159" s="87" t="s">
        <v>276</v>
      </c>
      <c r="BD159" s="173">
        <f t="shared" si="129"/>
        <v>0</v>
      </c>
      <c r="BE159" s="173">
        <f t="shared" si="130"/>
        <v>701295.64029573591</v>
      </c>
      <c r="BF159" s="173">
        <f t="shared" si="131"/>
        <v>0</v>
      </c>
      <c r="BG159" s="173">
        <f t="shared" si="132"/>
        <v>746529.73665770015</v>
      </c>
      <c r="BH159" s="173">
        <f t="shared" si="133"/>
        <v>0</v>
      </c>
      <c r="BI159" s="173">
        <f t="shared" si="134"/>
        <v>760223.17908939475</v>
      </c>
      <c r="BJ159" s="173">
        <f t="shared" si="135"/>
        <v>0</v>
      </c>
      <c r="BK159" s="173">
        <f t="shared" si="136"/>
        <v>775609.44598345354</v>
      </c>
      <c r="BM159" s="87" t="s">
        <v>275</v>
      </c>
      <c r="BN159" s="87" t="s">
        <v>276</v>
      </c>
      <c r="BO159" s="173">
        <f t="shared" si="137"/>
        <v>0</v>
      </c>
      <c r="BP159" s="173">
        <f t="shared" si="138"/>
        <v>701295.64029573591</v>
      </c>
      <c r="BQ159" s="173">
        <f t="shared" si="139"/>
        <v>0</v>
      </c>
      <c r="BR159" s="173">
        <f t="shared" si="140"/>
        <v>739818.7429853616</v>
      </c>
      <c r="BS159" s="173">
        <f t="shared" si="141"/>
        <v>0</v>
      </c>
      <c r="BT159" s="173">
        <f t="shared" si="142"/>
        <v>753097.76371083898</v>
      </c>
      <c r="BU159" s="173">
        <f t="shared" si="143"/>
        <v>0</v>
      </c>
      <c r="BV159" s="173">
        <f t="shared" si="144"/>
        <v>768093.64350078802</v>
      </c>
    </row>
    <row r="160" spans="5:74">
      <c r="E160" s="87" t="s">
        <v>609</v>
      </c>
      <c r="F160" s="87" t="s">
        <v>610</v>
      </c>
      <c r="G160" s="173">
        <f>IFERROR(IF(VLOOKUP(E160,A:C,3,FALSE)="YES",VLOOKUP(E160,'School Year 2021-22 SPED coop'!A:P,16,FALSE),0),0)</f>
        <v>0</v>
      </c>
      <c r="H160" s="173">
        <f t="shared" si="145"/>
        <v>997898.14999999991</v>
      </c>
      <c r="J160" s="87" t="s">
        <v>609</v>
      </c>
      <c r="K160" s="87" t="s">
        <v>610</v>
      </c>
      <c r="L160" s="173">
        <f t="shared" si="104"/>
        <v>0</v>
      </c>
      <c r="M160" s="173">
        <f t="shared" si="105"/>
        <v>1034088.0899749969</v>
      </c>
      <c r="N160" s="173">
        <f t="shared" si="106"/>
        <v>0</v>
      </c>
      <c r="O160" s="173">
        <f t="shared" si="107"/>
        <v>1069121.5454035003</v>
      </c>
      <c r="P160" s="173">
        <f t="shared" si="108"/>
        <v>0</v>
      </c>
      <c r="Q160" s="173">
        <f t="shared" si="109"/>
        <v>1088923.7444355632</v>
      </c>
      <c r="R160" s="173">
        <f t="shared" si="110"/>
        <v>0</v>
      </c>
      <c r="S160" s="173">
        <f t="shared" si="111"/>
        <v>1108974.3296630296</v>
      </c>
      <c r="U160" s="87" t="s">
        <v>609</v>
      </c>
      <c r="V160" s="87" t="s">
        <v>610</v>
      </c>
      <c r="W160" s="173">
        <f t="shared" si="112"/>
        <v>0</v>
      </c>
      <c r="X160" s="173">
        <f t="shared" si="146"/>
        <v>1034088.0899749969</v>
      </c>
      <c r="Y160" s="173">
        <f t="shared" si="147"/>
        <v>0</v>
      </c>
      <c r="Z160" s="173">
        <f t="shared" si="148"/>
        <v>1074357.6938542712</v>
      </c>
      <c r="AA160" s="173">
        <f t="shared" si="149"/>
        <v>0</v>
      </c>
      <c r="AB160" s="173">
        <f t="shared" si="150"/>
        <v>1095074.632584607</v>
      </c>
      <c r="AC160" s="173">
        <f t="shared" si="151"/>
        <v>0</v>
      </c>
      <c r="AD160" s="173">
        <f t="shared" si="152"/>
        <v>1117168.2199804923</v>
      </c>
      <c r="AF160" s="87" t="s">
        <v>609</v>
      </c>
      <c r="AG160" s="87" t="s">
        <v>610</v>
      </c>
      <c r="AH160" s="173">
        <f t="shared" si="113"/>
        <v>0</v>
      </c>
      <c r="AI160" s="173">
        <f t="shared" si="114"/>
        <v>1034088.0899749969</v>
      </c>
      <c r="AJ160" s="173">
        <f t="shared" si="115"/>
        <v>0</v>
      </c>
      <c r="AK160" s="173">
        <f t="shared" si="116"/>
        <v>1070539.0448353102</v>
      </c>
      <c r="AL160" s="173">
        <f t="shared" si="117"/>
        <v>0</v>
      </c>
      <c r="AM160" s="173">
        <f t="shared" si="118"/>
        <v>1090509.2372334779</v>
      </c>
      <c r="AN160" s="173">
        <f t="shared" si="119"/>
        <v>0</v>
      </c>
      <c r="AO160" s="173">
        <f t="shared" si="120"/>
        <v>1110563.8984283519</v>
      </c>
      <c r="AQ160" s="87" t="s">
        <v>609</v>
      </c>
      <c r="AR160" s="87" t="s">
        <v>610</v>
      </c>
      <c r="AS160" s="173">
        <f t="shared" si="121"/>
        <v>0</v>
      </c>
      <c r="AT160" s="173">
        <f t="shared" si="122"/>
        <v>1034088.0899749969</v>
      </c>
      <c r="AU160" s="173">
        <f t="shared" si="123"/>
        <v>0</v>
      </c>
      <c r="AV160" s="173">
        <f t="shared" si="124"/>
        <v>1095437.3684318603</v>
      </c>
      <c r="AW160" s="173">
        <f t="shared" si="125"/>
        <v>0</v>
      </c>
      <c r="AX160" s="173">
        <f t="shared" si="126"/>
        <v>1114678.5983850665</v>
      </c>
      <c r="AY160" s="173">
        <f t="shared" si="127"/>
        <v>0</v>
      </c>
      <c r="AZ160" s="173">
        <f t="shared" si="128"/>
        <v>1135285.8577057328</v>
      </c>
      <c r="BB160" s="87" t="s">
        <v>609</v>
      </c>
      <c r="BC160" s="87" t="s">
        <v>610</v>
      </c>
      <c r="BD160" s="173">
        <f t="shared" si="129"/>
        <v>0</v>
      </c>
      <c r="BE160" s="173">
        <f t="shared" si="130"/>
        <v>1034088.0899749969</v>
      </c>
      <c r="BF160" s="173">
        <f t="shared" si="131"/>
        <v>0</v>
      </c>
      <c r="BG160" s="173">
        <f t="shared" si="132"/>
        <v>1100802.3987269781</v>
      </c>
      <c r="BH160" s="173">
        <f t="shared" si="133"/>
        <v>0</v>
      </c>
      <c r="BI160" s="173">
        <f t="shared" si="134"/>
        <v>1120974.963501699</v>
      </c>
      <c r="BJ160" s="173">
        <f t="shared" si="135"/>
        <v>0</v>
      </c>
      <c r="BK160" s="173">
        <f t="shared" si="136"/>
        <v>1143674.1576205811</v>
      </c>
      <c r="BM160" s="87" t="s">
        <v>609</v>
      </c>
      <c r="BN160" s="87" t="s">
        <v>610</v>
      </c>
      <c r="BO160" s="173">
        <f t="shared" si="137"/>
        <v>0</v>
      </c>
      <c r="BP160" s="173">
        <f t="shared" si="138"/>
        <v>1034088.0899749969</v>
      </c>
      <c r="BQ160" s="173">
        <f t="shared" si="139"/>
        <v>0</v>
      </c>
      <c r="BR160" s="173">
        <f t="shared" si="140"/>
        <v>1096889.8034008807</v>
      </c>
      <c r="BS160" s="173">
        <f t="shared" si="141"/>
        <v>0</v>
      </c>
      <c r="BT160" s="173">
        <f t="shared" si="142"/>
        <v>1116301.0818277053</v>
      </c>
      <c r="BU160" s="173">
        <f t="shared" si="143"/>
        <v>0</v>
      </c>
      <c r="BV160" s="173">
        <f t="shared" si="144"/>
        <v>1136912.6543880794</v>
      </c>
    </row>
    <row r="161" spans="5:74">
      <c r="E161" s="87" t="s">
        <v>551</v>
      </c>
      <c r="F161" s="87" t="s">
        <v>552</v>
      </c>
      <c r="G161" s="173">
        <f>IFERROR(IF(VLOOKUP(E161,A:C,3,FALSE)="YES",VLOOKUP(E161,'School Year 2021-22 SPED coop'!A:P,16,FALSE),0),0)</f>
        <v>0</v>
      </c>
      <c r="H161" s="173">
        <f t="shared" si="145"/>
        <v>2318130.5299999998</v>
      </c>
      <c r="J161" s="87" t="s">
        <v>551</v>
      </c>
      <c r="K161" s="87" t="s">
        <v>552</v>
      </c>
      <c r="L161" s="173">
        <f t="shared" si="104"/>
        <v>0</v>
      </c>
      <c r="M161" s="173">
        <f t="shared" si="105"/>
        <v>2343696.0587622183</v>
      </c>
      <c r="N161" s="173">
        <f t="shared" si="106"/>
        <v>0</v>
      </c>
      <c r="O161" s="173">
        <f t="shared" si="107"/>
        <v>2421995.9374510637</v>
      </c>
      <c r="P161" s="173">
        <f t="shared" si="108"/>
        <v>0</v>
      </c>
      <c r="Q161" s="173">
        <f t="shared" si="109"/>
        <v>2467110.2802975038</v>
      </c>
      <c r="R161" s="173">
        <f t="shared" si="110"/>
        <v>0</v>
      </c>
      <c r="S161" s="173">
        <f t="shared" si="111"/>
        <v>2513015.9776288117</v>
      </c>
      <c r="U161" s="87" t="s">
        <v>551</v>
      </c>
      <c r="V161" s="87" t="s">
        <v>552</v>
      </c>
      <c r="W161" s="173">
        <f t="shared" si="112"/>
        <v>0</v>
      </c>
      <c r="X161" s="173">
        <f t="shared" si="146"/>
        <v>2343696.0587622183</v>
      </c>
      <c r="Y161" s="173">
        <f t="shared" si="147"/>
        <v>0</v>
      </c>
      <c r="Z161" s="173">
        <f t="shared" si="148"/>
        <v>2433853.9231602531</v>
      </c>
      <c r="AA161" s="173">
        <f t="shared" si="149"/>
        <v>0</v>
      </c>
      <c r="AB161" s="173">
        <f t="shared" si="150"/>
        <v>2481052.1495384318</v>
      </c>
      <c r="AC161" s="173">
        <f t="shared" si="151"/>
        <v>0</v>
      </c>
      <c r="AD161" s="173">
        <f t="shared" si="152"/>
        <v>2531560.8903842675</v>
      </c>
      <c r="AF161" s="87" t="s">
        <v>551</v>
      </c>
      <c r="AG161" s="87" t="s">
        <v>552</v>
      </c>
      <c r="AH161" s="173">
        <f t="shared" si="113"/>
        <v>0</v>
      </c>
      <c r="AI161" s="173">
        <f t="shared" si="114"/>
        <v>2343696.0587622183</v>
      </c>
      <c r="AJ161" s="173">
        <f t="shared" si="115"/>
        <v>0</v>
      </c>
      <c r="AK161" s="173">
        <f t="shared" si="116"/>
        <v>2427853.3670202037</v>
      </c>
      <c r="AL161" s="173">
        <f t="shared" si="117"/>
        <v>0</v>
      </c>
      <c r="AM161" s="173">
        <f t="shared" si="118"/>
        <v>2475565.3170218207</v>
      </c>
      <c r="AN161" s="173">
        <f t="shared" si="119"/>
        <v>0</v>
      </c>
      <c r="AO161" s="173">
        <f t="shared" si="120"/>
        <v>2527595.6797607904</v>
      </c>
      <c r="AQ161" s="87" t="s">
        <v>551</v>
      </c>
      <c r="AR161" s="87" t="s">
        <v>552</v>
      </c>
      <c r="AS161" s="173">
        <f t="shared" si="121"/>
        <v>0</v>
      </c>
      <c r="AT161" s="173">
        <f t="shared" si="122"/>
        <v>2343696.0587622183</v>
      </c>
      <c r="AU161" s="173">
        <f t="shared" si="123"/>
        <v>0</v>
      </c>
      <c r="AV161" s="173">
        <f t="shared" si="124"/>
        <v>2482243.137375236</v>
      </c>
      <c r="AW161" s="173">
        <f t="shared" si="125"/>
        <v>0</v>
      </c>
      <c r="AX161" s="173">
        <f t="shared" si="126"/>
        <v>2526297.1018979186</v>
      </c>
      <c r="AY161" s="173">
        <f t="shared" si="127"/>
        <v>0</v>
      </c>
      <c r="AZ161" s="173">
        <f t="shared" si="128"/>
        <v>2573478.7176025263</v>
      </c>
      <c r="BB161" s="87" t="s">
        <v>551</v>
      </c>
      <c r="BC161" s="87" t="s">
        <v>552</v>
      </c>
      <c r="BD161" s="173">
        <f t="shared" si="129"/>
        <v>0</v>
      </c>
      <c r="BE161" s="173">
        <f t="shared" si="130"/>
        <v>2343696.0587622183</v>
      </c>
      <c r="BF161" s="173">
        <f t="shared" si="131"/>
        <v>0</v>
      </c>
      <c r="BG161" s="173">
        <f t="shared" si="132"/>
        <v>2494396.0810106467</v>
      </c>
      <c r="BH161" s="173">
        <f t="shared" si="133"/>
        <v>0</v>
      </c>
      <c r="BI161" s="173">
        <f t="shared" si="134"/>
        <v>2540573.4401846193</v>
      </c>
      <c r="BJ161" s="173">
        <f t="shared" si="135"/>
        <v>0</v>
      </c>
      <c r="BK161" s="173">
        <f t="shared" si="136"/>
        <v>2592469.8087118068</v>
      </c>
      <c r="BM161" s="87" t="s">
        <v>551</v>
      </c>
      <c r="BN161" s="87" t="s">
        <v>552</v>
      </c>
      <c r="BO161" s="173">
        <f t="shared" si="137"/>
        <v>0</v>
      </c>
      <c r="BP161" s="173">
        <f t="shared" si="138"/>
        <v>2343696.0587622183</v>
      </c>
      <c r="BQ161" s="173">
        <f t="shared" si="139"/>
        <v>0</v>
      </c>
      <c r="BR161" s="173">
        <f t="shared" si="140"/>
        <v>2488248.4766036253</v>
      </c>
      <c r="BS161" s="173">
        <f t="shared" si="141"/>
        <v>0</v>
      </c>
      <c r="BT161" s="173">
        <f t="shared" si="142"/>
        <v>2534958.6689377939</v>
      </c>
      <c r="BU161" s="173">
        <f t="shared" si="143"/>
        <v>0</v>
      </c>
      <c r="BV161" s="173">
        <f t="shared" si="144"/>
        <v>2588415.069004002</v>
      </c>
    </row>
    <row r="162" spans="5:74">
      <c r="E162" s="87" t="s">
        <v>417</v>
      </c>
      <c r="F162" s="87" t="s">
        <v>418</v>
      </c>
      <c r="G162" s="173">
        <f>IFERROR(IF(VLOOKUP(E162,A:C,3,FALSE)="YES",VLOOKUP(E162,'School Year 2021-22 SPED coop'!A:P,16,FALSE),0),0)</f>
        <v>34548.46</v>
      </c>
      <c r="H162" s="173">
        <f t="shared" si="145"/>
        <v>0</v>
      </c>
      <c r="J162" s="87" t="s">
        <v>417</v>
      </c>
      <c r="K162" s="87" t="s">
        <v>418</v>
      </c>
      <c r="L162" s="173">
        <f t="shared" si="104"/>
        <v>42566.034649388181</v>
      </c>
      <c r="M162" s="173">
        <f t="shared" si="105"/>
        <v>0</v>
      </c>
      <c r="N162" s="173">
        <f t="shared" si="106"/>
        <v>43994.921549824881</v>
      </c>
      <c r="O162" s="173">
        <f t="shared" si="107"/>
        <v>0</v>
      </c>
      <c r="P162" s="173">
        <f t="shared" si="108"/>
        <v>44811.600477561595</v>
      </c>
      <c r="Q162" s="173">
        <f t="shared" si="109"/>
        <v>0</v>
      </c>
      <c r="R162" s="173">
        <f t="shared" si="110"/>
        <v>45640.165910840435</v>
      </c>
      <c r="S162" s="173">
        <f t="shared" si="111"/>
        <v>0</v>
      </c>
      <c r="U162" s="87" t="s">
        <v>417</v>
      </c>
      <c r="V162" s="87" t="s">
        <v>418</v>
      </c>
      <c r="W162" s="173">
        <f t="shared" si="112"/>
        <v>42566.034649388181</v>
      </c>
      <c r="X162" s="173">
        <f t="shared" si="146"/>
        <v>0</v>
      </c>
      <c r="Y162" s="173">
        <f t="shared" si="147"/>
        <v>43994.921549824881</v>
      </c>
      <c r="Z162" s="173">
        <f t="shared" si="148"/>
        <v>0</v>
      </c>
      <c r="AA162" s="173">
        <f t="shared" si="149"/>
        <v>44811.600477561595</v>
      </c>
      <c r="AB162" s="173">
        <f t="shared" si="150"/>
        <v>0</v>
      </c>
      <c r="AC162" s="173">
        <f t="shared" si="151"/>
        <v>45640.165910840435</v>
      </c>
      <c r="AD162" s="173">
        <f t="shared" si="152"/>
        <v>0</v>
      </c>
      <c r="AF162" s="87" t="s">
        <v>417</v>
      </c>
      <c r="AG162" s="87" t="s">
        <v>418</v>
      </c>
      <c r="AH162" s="173">
        <f t="shared" si="113"/>
        <v>42566.034649388181</v>
      </c>
      <c r="AI162" s="173">
        <f t="shared" si="114"/>
        <v>0</v>
      </c>
      <c r="AJ162" s="173">
        <f t="shared" si="115"/>
        <v>43945.573335291469</v>
      </c>
      <c r="AK162" s="173">
        <f t="shared" si="116"/>
        <v>0</v>
      </c>
      <c r="AL162" s="173">
        <f t="shared" si="117"/>
        <v>45392.745494701252</v>
      </c>
      <c r="AM162" s="173">
        <f t="shared" si="118"/>
        <v>0</v>
      </c>
      <c r="AN162" s="173">
        <f t="shared" si="119"/>
        <v>46017.908775800577</v>
      </c>
      <c r="AO162" s="173">
        <f t="shared" si="120"/>
        <v>0</v>
      </c>
      <c r="AQ162" s="87" t="s">
        <v>417</v>
      </c>
      <c r="AR162" s="87" t="s">
        <v>418</v>
      </c>
      <c r="AS162" s="173">
        <f t="shared" si="121"/>
        <v>42566.034649388181</v>
      </c>
      <c r="AT162" s="173">
        <f t="shared" si="122"/>
        <v>0</v>
      </c>
      <c r="AU162" s="173">
        <f t="shared" si="123"/>
        <v>45084.026645728474</v>
      </c>
      <c r="AV162" s="173">
        <f t="shared" si="124"/>
        <v>0</v>
      </c>
      <c r="AW162" s="173">
        <f t="shared" si="125"/>
        <v>45879.189085367208</v>
      </c>
      <c r="AX162" s="173">
        <f t="shared" si="126"/>
        <v>0</v>
      </c>
      <c r="AY162" s="173">
        <f t="shared" si="127"/>
        <v>46730.797589791538</v>
      </c>
      <c r="AZ162" s="173">
        <f t="shared" si="128"/>
        <v>0</v>
      </c>
      <c r="BB162" s="87" t="s">
        <v>417</v>
      </c>
      <c r="BC162" s="87" t="s">
        <v>418</v>
      </c>
      <c r="BD162" s="173">
        <f t="shared" si="129"/>
        <v>42566.034649388181</v>
      </c>
      <c r="BE162" s="173">
        <f t="shared" si="130"/>
        <v>0</v>
      </c>
      <c r="BF162" s="173">
        <f t="shared" si="131"/>
        <v>45084.026645728474</v>
      </c>
      <c r="BG162" s="173">
        <f t="shared" si="132"/>
        <v>0</v>
      </c>
      <c r="BH162" s="173">
        <f t="shared" si="133"/>
        <v>45879.189085367208</v>
      </c>
      <c r="BI162" s="173">
        <f t="shared" si="134"/>
        <v>0</v>
      </c>
      <c r="BJ162" s="173">
        <f t="shared" si="135"/>
        <v>46730.797589791538</v>
      </c>
      <c r="BK162" s="173">
        <f t="shared" si="136"/>
        <v>0</v>
      </c>
      <c r="BM162" s="87" t="s">
        <v>417</v>
      </c>
      <c r="BN162" s="87" t="s">
        <v>418</v>
      </c>
      <c r="BO162" s="173">
        <f t="shared" si="137"/>
        <v>42566.034649388181</v>
      </c>
      <c r="BP162" s="173">
        <f t="shared" si="138"/>
        <v>0</v>
      </c>
      <c r="BQ162" s="173">
        <f t="shared" si="139"/>
        <v>45033.438817294373</v>
      </c>
      <c r="BR162" s="173">
        <f t="shared" si="140"/>
        <v>0</v>
      </c>
      <c r="BS162" s="173">
        <f t="shared" si="141"/>
        <v>46474.406316543842</v>
      </c>
      <c r="BT162" s="173">
        <f t="shared" si="142"/>
        <v>0</v>
      </c>
      <c r="BU162" s="173">
        <f t="shared" si="143"/>
        <v>47117.731496410306</v>
      </c>
      <c r="BV162" s="173">
        <f t="shared" si="144"/>
        <v>0</v>
      </c>
    </row>
    <row r="163" spans="5:74">
      <c r="E163" s="87" t="s">
        <v>413</v>
      </c>
      <c r="F163" s="87" t="s">
        <v>414</v>
      </c>
      <c r="G163" s="173">
        <f>IFERROR(IF(VLOOKUP(E163,A:C,3,FALSE)="YES",VLOOKUP(E163,'School Year 2021-22 SPED coop'!A:P,16,FALSE),0),0)</f>
        <v>0</v>
      </c>
      <c r="H163" s="173">
        <f t="shared" si="145"/>
        <v>8916174.4399999995</v>
      </c>
      <c r="J163" s="87" t="s">
        <v>413</v>
      </c>
      <c r="K163" s="87" t="s">
        <v>414</v>
      </c>
      <c r="L163" s="173">
        <f t="shared" si="104"/>
        <v>0</v>
      </c>
      <c r="M163" s="173">
        <f t="shared" si="105"/>
        <v>9018612.6032267157</v>
      </c>
      <c r="N163" s="173">
        <f t="shared" si="106"/>
        <v>0</v>
      </c>
      <c r="O163" s="173">
        <f t="shared" si="107"/>
        <v>9319797.8373795524</v>
      </c>
      <c r="P163" s="173">
        <f t="shared" si="108"/>
        <v>0</v>
      </c>
      <c r="Q163" s="173">
        <f t="shared" si="109"/>
        <v>9493408.4050203152</v>
      </c>
      <c r="R163" s="173">
        <f t="shared" si="110"/>
        <v>0</v>
      </c>
      <c r="S163" s="173">
        <f t="shared" si="111"/>
        <v>9670073.1871960536</v>
      </c>
      <c r="U163" s="87" t="s">
        <v>413</v>
      </c>
      <c r="V163" s="87" t="s">
        <v>414</v>
      </c>
      <c r="W163" s="173">
        <f t="shared" si="112"/>
        <v>0</v>
      </c>
      <c r="X163" s="173">
        <f t="shared" si="146"/>
        <v>9018612.6032267157</v>
      </c>
      <c r="Y163" s="173">
        <f t="shared" si="147"/>
        <v>0</v>
      </c>
      <c r="Z163" s="173">
        <f t="shared" si="148"/>
        <v>9365494.3933289293</v>
      </c>
      <c r="AA163" s="173">
        <f t="shared" si="149"/>
        <v>0</v>
      </c>
      <c r="AB163" s="173">
        <f t="shared" si="150"/>
        <v>9547066.3395256642</v>
      </c>
      <c r="AC163" s="173">
        <f t="shared" si="151"/>
        <v>0</v>
      </c>
      <c r="AD163" s="173">
        <f t="shared" si="152"/>
        <v>9741498.17312585</v>
      </c>
      <c r="AF163" s="87" t="s">
        <v>413</v>
      </c>
      <c r="AG163" s="87" t="s">
        <v>414</v>
      </c>
      <c r="AH163" s="173">
        <f t="shared" si="113"/>
        <v>0</v>
      </c>
      <c r="AI163" s="173">
        <f t="shared" si="114"/>
        <v>9018612.6032267157</v>
      </c>
      <c r="AJ163" s="173">
        <f t="shared" si="115"/>
        <v>0</v>
      </c>
      <c r="AK163" s="173">
        <f t="shared" si="116"/>
        <v>9326188.9966918286</v>
      </c>
      <c r="AL163" s="173">
        <f t="shared" si="117"/>
        <v>0</v>
      </c>
      <c r="AM163" s="173">
        <f t="shared" si="118"/>
        <v>9499916.3421070464</v>
      </c>
      <c r="AN163" s="173">
        <f t="shared" si="119"/>
        <v>0</v>
      </c>
      <c r="AO163" s="173">
        <f t="shared" si="120"/>
        <v>9676698.0890361015</v>
      </c>
      <c r="AQ163" s="87" t="s">
        <v>413</v>
      </c>
      <c r="AR163" s="87" t="s">
        <v>414</v>
      </c>
      <c r="AS163" s="173">
        <f t="shared" si="121"/>
        <v>0</v>
      </c>
      <c r="AT163" s="173">
        <f t="shared" si="122"/>
        <v>9018612.6032267157</v>
      </c>
      <c r="AU163" s="173">
        <f t="shared" si="123"/>
        <v>0</v>
      </c>
      <c r="AV163" s="173">
        <f t="shared" si="124"/>
        <v>9551653.4268214982</v>
      </c>
      <c r="AW163" s="173">
        <f t="shared" si="125"/>
        <v>0</v>
      </c>
      <c r="AX163" s="173">
        <f t="shared" si="126"/>
        <v>9721191.9057258815</v>
      </c>
      <c r="AY163" s="173">
        <f t="shared" si="127"/>
        <v>0</v>
      </c>
      <c r="AZ163" s="173">
        <f t="shared" si="128"/>
        <v>9902767.1614414491</v>
      </c>
      <c r="BB163" s="87" t="s">
        <v>413</v>
      </c>
      <c r="BC163" s="87" t="s">
        <v>414</v>
      </c>
      <c r="BD163" s="173">
        <f t="shared" si="129"/>
        <v>0</v>
      </c>
      <c r="BE163" s="173">
        <f t="shared" si="130"/>
        <v>9018612.6032267157</v>
      </c>
      <c r="BF163" s="173">
        <f t="shared" si="131"/>
        <v>0</v>
      </c>
      <c r="BG163" s="173">
        <f t="shared" si="132"/>
        <v>9598486.8117287736</v>
      </c>
      <c r="BH163" s="173">
        <f t="shared" si="133"/>
        <v>0</v>
      </c>
      <c r="BI163" s="173">
        <f t="shared" si="134"/>
        <v>9776137.3019043859</v>
      </c>
      <c r="BJ163" s="173">
        <f t="shared" si="135"/>
        <v>0</v>
      </c>
      <c r="BK163" s="173">
        <f t="shared" si="136"/>
        <v>9975910.868918892</v>
      </c>
      <c r="BM163" s="87" t="s">
        <v>413</v>
      </c>
      <c r="BN163" s="87" t="s">
        <v>414</v>
      </c>
      <c r="BO163" s="173">
        <f t="shared" si="137"/>
        <v>0</v>
      </c>
      <c r="BP163" s="173">
        <f t="shared" si="138"/>
        <v>9018612.6032267157</v>
      </c>
      <c r="BQ163" s="173">
        <f t="shared" si="139"/>
        <v>0</v>
      </c>
      <c r="BR163" s="173">
        <f t="shared" si="140"/>
        <v>9558205.1103432961</v>
      </c>
      <c r="BS163" s="173">
        <f t="shared" si="141"/>
        <v>0</v>
      </c>
      <c r="BT163" s="173">
        <f t="shared" si="142"/>
        <v>9727855.9659498669</v>
      </c>
      <c r="BU163" s="173">
        <f t="shared" si="143"/>
        <v>0</v>
      </c>
      <c r="BV163" s="173">
        <f t="shared" si="144"/>
        <v>9909551.5483228676</v>
      </c>
    </row>
    <row r="164" spans="5:74">
      <c r="E164" s="87" t="s">
        <v>223</v>
      </c>
      <c r="F164" s="87" t="s">
        <v>224</v>
      </c>
      <c r="G164" s="173">
        <f>IFERROR(IF(VLOOKUP(E164,A:C,3,FALSE)="YES",VLOOKUP(E164,'School Year 2021-22 SPED coop'!A:P,16,FALSE),0),0)</f>
        <v>0</v>
      </c>
      <c r="H164" s="173">
        <f t="shared" si="145"/>
        <v>0</v>
      </c>
      <c r="J164" s="87" t="s">
        <v>223</v>
      </c>
      <c r="K164" s="87" t="s">
        <v>224</v>
      </c>
      <c r="L164" s="173">
        <f t="shared" si="104"/>
        <v>0</v>
      </c>
      <c r="M164" s="173">
        <f t="shared" si="105"/>
        <v>0</v>
      </c>
      <c r="N164" s="173">
        <f t="shared" si="106"/>
        <v>0</v>
      </c>
      <c r="O164" s="173">
        <f t="shared" si="107"/>
        <v>0</v>
      </c>
      <c r="P164" s="173">
        <f t="shared" si="108"/>
        <v>0</v>
      </c>
      <c r="Q164" s="173">
        <f t="shared" si="109"/>
        <v>0</v>
      </c>
      <c r="R164" s="173">
        <f t="shared" si="110"/>
        <v>0</v>
      </c>
      <c r="S164" s="173">
        <f t="shared" si="111"/>
        <v>0</v>
      </c>
      <c r="U164" s="87" t="s">
        <v>223</v>
      </c>
      <c r="V164" s="87" t="s">
        <v>224</v>
      </c>
      <c r="W164" s="173">
        <f t="shared" si="112"/>
        <v>0</v>
      </c>
      <c r="X164" s="173">
        <f t="shared" si="146"/>
        <v>0</v>
      </c>
      <c r="Y164" s="173">
        <f t="shared" si="147"/>
        <v>0</v>
      </c>
      <c r="Z164" s="173">
        <f t="shared" si="148"/>
        <v>0</v>
      </c>
      <c r="AA164" s="173">
        <f t="shared" si="149"/>
        <v>0</v>
      </c>
      <c r="AB164" s="173">
        <f t="shared" si="150"/>
        <v>0</v>
      </c>
      <c r="AC164" s="173">
        <f t="shared" si="151"/>
        <v>0</v>
      </c>
      <c r="AD164" s="173">
        <f t="shared" si="152"/>
        <v>0</v>
      </c>
      <c r="AF164" s="87" t="s">
        <v>223</v>
      </c>
      <c r="AG164" s="87" t="s">
        <v>224</v>
      </c>
      <c r="AH164" s="173">
        <f t="shared" si="113"/>
        <v>0</v>
      </c>
      <c r="AI164" s="173">
        <f t="shared" si="114"/>
        <v>0</v>
      </c>
      <c r="AJ164" s="173">
        <f t="shared" si="115"/>
        <v>0</v>
      </c>
      <c r="AK164" s="173">
        <f t="shared" si="116"/>
        <v>0</v>
      </c>
      <c r="AL164" s="173">
        <f t="shared" si="117"/>
        <v>0</v>
      </c>
      <c r="AM164" s="173">
        <f t="shared" si="118"/>
        <v>0</v>
      </c>
      <c r="AN164" s="173">
        <f t="shared" si="119"/>
        <v>0</v>
      </c>
      <c r="AO164" s="173">
        <f t="shared" si="120"/>
        <v>0</v>
      </c>
      <c r="AQ164" s="87" t="s">
        <v>223</v>
      </c>
      <c r="AR164" s="87" t="s">
        <v>224</v>
      </c>
      <c r="AS164" s="173">
        <f t="shared" si="121"/>
        <v>0</v>
      </c>
      <c r="AT164" s="173">
        <f t="shared" si="122"/>
        <v>0</v>
      </c>
      <c r="AU164" s="173">
        <f t="shared" si="123"/>
        <v>0</v>
      </c>
      <c r="AV164" s="173">
        <f t="shared" si="124"/>
        <v>0</v>
      </c>
      <c r="AW164" s="173">
        <f t="shared" si="125"/>
        <v>0</v>
      </c>
      <c r="AX164" s="173">
        <f t="shared" si="126"/>
        <v>0</v>
      </c>
      <c r="AY164" s="173">
        <f t="shared" si="127"/>
        <v>0</v>
      </c>
      <c r="AZ164" s="173">
        <f t="shared" si="128"/>
        <v>0</v>
      </c>
      <c r="BB164" s="87" t="s">
        <v>223</v>
      </c>
      <c r="BC164" s="87" t="s">
        <v>224</v>
      </c>
      <c r="BD164" s="173">
        <f t="shared" si="129"/>
        <v>0</v>
      </c>
      <c r="BE164" s="173">
        <f t="shared" si="130"/>
        <v>0</v>
      </c>
      <c r="BF164" s="173">
        <f t="shared" si="131"/>
        <v>0</v>
      </c>
      <c r="BG164" s="173">
        <f t="shared" si="132"/>
        <v>0</v>
      </c>
      <c r="BH164" s="173">
        <f t="shared" si="133"/>
        <v>0</v>
      </c>
      <c r="BI164" s="173">
        <f t="shared" si="134"/>
        <v>0</v>
      </c>
      <c r="BJ164" s="173">
        <f t="shared" si="135"/>
        <v>0</v>
      </c>
      <c r="BK164" s="173">
        <f t="shared" si="136"/>
        <v>0</v>
      </c>
      <c r="BM164" s="87" t="s">
        <v>223</v>
      </c>
      <c r="BN164" s="87" t="s">
        <v>224</v>
      </c>
      <c r="BO164" s="173">
        <f t="shared" si="137"/>
        <v>0</v>
      </c>
      <c r="BP164" s="173">
        <f t="shared" si="138"/>
        <v>0</v>
      </c>
      <c r="BQ164" s="173">
        <f t="shared" si="139"/>
        <v>0</v>
      </c>
      <c r="BR164" s="173">
        <f t="shared" si="140"/>
        <v>0</v>
      </c>
      <c r="BS164" s="173">
        <f t="shared" si="141"/>
        <v>0</v>
      </c>
      <c r="BT164" s="173">
        <f t="shared" si="142"/>
        <v>0</v>
      </c>
      <c r="BU164" s="173">
        <f t="shared" si="143"/>
        <v>0</v>
      </c>
      <c r="BV164" s="173">
        <f t="shared" si="144"/>
        <v>0</v>
      </c>
    </row>
    <row r="165" spans="5:74">
      <c r="E165" s="87" t="s">
        <v>427</v>
      </c>
      <c r="F165" s="87" t="s">
        <v>428</v>
      </c>
      <c r="G165" s="173">
        <f>IFERROR(IF(VLOOKUP(E165,A:C,3,FALSE)="YES",VLOOKUP(E165,'School Year 2021-22 SPED coop'!A:P,16,FALSE),0),0)</f>
        <v>0</v>
      </c>
      <c r="H165" s="173">
        <f t="shared" si="145"/>
        <v>21363025.830000002</v>
      </c>
      <c r="J165" s="87" t="s">
        <v>427</v>
      </c>
      <c r="K165" s="87" t="s">
        <v>428</v>
      </c>
      <c r="L165" s="173">
        <f t="shared" si="104"/>
        <v>0</v>
      </c>
      <c r="M165" s="173">
        <f t="shared" si="105"/>
        <v>21610811.315077849</v>
      </c>
      <c r="N165" s="173">
        <f t="shared" si="106"/>
        <v>0</v>
      </c>
      <c r="O165" s="173">
        <f t="shared" si="107"/>
        <v>22045590.775030654</v>
      </c>
      <c r="P165" s="173">
        <f t="shared" si="108"/>
        <v>0</v>
      </c>
      <c r="Q165" s="173">
        <f t="shared" si="109"/>
        <v>22457228.007823411</v>
      </c>
      <c r="R165" s="173">
        <f t="shared" si="110"/>
        <v>0</v>
      </c>
      <c r="S165" s="173">
        <f t="shared" si="111"/>
        <v>22876964.577007726</v>
      </c>
      <c r="U165" s="87" t="s">
        <v>427</v>
      </c>
      <c r="V165" s="87" t="s">
        <v>428</v>
      </c>
      <c r="W165" s="173">
        <f t="shared" si="112"/>
        <v>0</v>
      </c>
      <c r="X165" s="173">
        <f t="shared" si="146"/>
        <v>21610811.315077849</v>
      </c>
      <c r="Y165" s="173">
        <f t="shared" si="147"/>
        <v>0</v>
      </c>
      <c r="Z165" s="173">
        <f t="shared" si="148"/>
        <v>22153662.250696402</v>
      </c>
      <c r="AA165" s="173">
        <f t="shared" si="149"/>
        <v>0</v>
      </c>
      <c r="AB165" s="173">
        <f t="shared" si="150"/>
        <v>22584155.488986071</v>
      </c>
      <c r="AC165" s="173">
        <f t="shared" si="151"/>
        <v>0</v>
      </c>
      <c r="AD165" s="173">
        <f t="shared" si="152"/>
        <v>23045914.721901454</v>
      </c>
      <c r="AF165" s="87" t="s">
        <v>427</v>
      </c>
      <c r="AG165" s="87" t="s">
        <v>428</v>
      </c>
      <c r="AH165" s="173">
        <f t="shared" si="113"/>
        <v>0</v>
      </c>
      <c r="AI165" s="173">
        <f t="shared" si="114"/>
        <v>21610811.315077849</v>
      </c>
      <c r="AJ165" s="173">
        <f t="shared" si="115"/>
        <v>0</v>
      </c>
      <c r="AK165" s="173">
        <f t="shared" si="116"/>
        <v>22094122.151752912</v>
      </c>
      <c r="AL165" s="173">
        <f t="shared" si="117"/>
        <v>0</v>
      </c>
      <c r="AM165" s="173">
        <f t="shared" si="118"/>
        <v>22506612.805441551</v>
      </c>
      <c r="AN165" s="173">
        <f t="shared" si="119"/>
        <v>0</v>
      </c>
      <c r="AO165" s="173">
        <f t="shared" si="120"/>
        <v>22927212.458446905</v>
      </c>
      <c r="AQ165" s="87" t="s">
        <v>427</v>
      </c>
      <c r="AR165" s="87" t="s">
        <v>428</v>
      </c>
      <c r="AS165" s="173">
        <f t="shared" si="121"/>
        <v>0</v>
      </c>
      <c r="AT165" s="173">
        <f t="shared" si="122"/>
        <v>21610811.315077849</v>
      </c>
      <c r="AU165" s="173">
        <f t="shared" si="123"/>
        <v>0</v>
      </c>
      <c r="AV165" s="173">
        <f t="shared" si="124"/>
        <v>22596600.192548271</v>
      </c>
      <c r="AW165" s="173">
        <f t="shared" si="125"/>
        <v>0</v>
      </c>
      <c r="AX165" s="173">
        <f t="shared" si="126"/>
        <v>22999413.42939752</v>
      </c>
      <c r="AY165" s="173">
        <f t="shared" si="127"/>
        <v>0</v>
      </c>
      <c r="AZ165" s="173">
        <f t="shared" si="128"/>
        <v>23430824.78810817</v>
      </c>
      <c r="BB165" s="87" t="s">
        <v>427</v>
      </c>
      <c r="BC165" s="87" t="s">
        <v>428</v>
      </c>
      <c r="BD165" s="173">
        <f t="shared" si="129"/>
        <v>0</v>
      </c>
      <c r="BE165" s="173">
        <f t="shared" si="130"/>
        <v>21610811.315077849</v>
      </c>
      <c r="BF165" s="173">
        <f t="shared" si="131"/>
        <v>0</v>
      </c>
      <c r="BG165" s="173">
        <f t="shared" si="132"/>
        <v>22707372.806859672</v>
      </c>
      <c r="BH165" s="173">
        <f t="shared" si="133"/>
        <v>0</v>
      </c>
      <c r="BI165" s="173">
        <f t="shared" si="134"/>
        <v>23129405.323821414</v>
      </c>
      <c r="BJ165" s="173">
        <f t="shared" si="135"/>
        <v>0</v>
      </c>
      <c r="BK165" s="173">
        <f t="shared" si="136"/>
        <v>23603865.268272854</v>
      </c>
      <c r="BM165" s="87" t="s">
        <v>427</v>
      </c>
      <c r="BN165" s="87" t="s">
        <v>428</v>
      </c>
      <c r="BO165" s="173">
        <f t="shared" si="137"/>
        <v>0</v>
      </c>
      <c r="BP165" s="173">
        <f t="shared" si="138"/>
        <v>21610811.315077849</v>
      </c>
      <c r="BQ165" s="173">
        <f t="shared" si="139"/>
        <v>0</v>
      </c>
      <c r="BR165" s="173">
        <f t="shared" si="140"/>
        <v>22646363.857822619</v>
      </c>
      <c r="BS165" s="173">
        <f t="shared" si="141"/>
        <v>0</v>
      </c>
      <c r="BT165" s="173">
        <f t="shared" si="142"/>
        <v>23050004.622187488</v>
      </c>
      <c r="BU165" s="173">
        <f t="shared" si="143"/>
        <v>0</v>
      </c>
      <c r="BV165" s="173">
        <f t="shared" si="144"/>
        <v>23482303.892150186</v>
      </c>
    </row>
    <row r="166" spans="5:74">
      <c r="E166" s="87" t="s">
        <v>583</v>
      </c>
      <c r="F166" s="87" t="s">
        <v>584</v>
      </c>
      <c r="G166" s="173">
        <f>IFERROR(IF(VLOOKUP(E166,A:C,3,FALSE)="YES",VLOOKUP(E166,'School Year 2021-22 SPED coop'!A:P,16,FALSE),0),0)</f>
        <v>0</v>
      </c>
      <c r="H166" s="173">
        <f t="shared" si="145"/>
        <v>1493429.25</v>
      </c>
      <c r="J166" s="87" t="s">
        <v>583</v>
      </c>
      <c r="K166" s="87" t="s">
        <v>584</v>
      </c>
      <c r="L166" s="173">
        <f t="shared" si="104"/>
        <v>0</v>
      </c>
      <c r="M166" s="173">
        <f t="shared" si="105"/>
        <v>1510256.247462132</v>
      </c>
      <c r="N166" s="173">
        <f t="shared" si="106"/>
        <v>0</v>
      </c>
      <c r="O166" s="173">
        <f t="shared" si="107"/>
        <v>1561420.7549673014</v>
      </c>
      <c r="P166" s="173">
        <f t="shared" si="108"/>
        <v>0</v>
      </c>
      <c r="Q166" s="173">
        <f t="shared" si="109"/>
        <v>1590340.620446532</v>
      </c>
      <c r="R166" s="173">
        <f t="shared" si="110"/>
        <v>0</v>
      </c>
      <c r="S166" s="173">
        <f t="shared" si="111"/>
        <v>1619622.6951380537</v>
      </c>
      <c r="U166" s="87" t="s">
        <v>583</v>
      </c>
      <c r="V166" s="87" t="s">
        <v>584</v>
      </c>
      <c r="W166" s="173">
        <f t="shared" si="112"/>
        <v>0</v>
      </c>
      <c r="X166" s="173">
        <f t="shared" si="146"/>
        <v>1510256.247462132</v>
      </c>
      <c r="Y166" s="173">
        <f t="shared" si="147"/>
        <v>0</v>
      </c>
      <c r="Z166" s="173">
        <f t="shared" si="148"/>
        <v>1569085.8393635617</v>
      </c>
      <c r="AA166" s="173">
        <f t="shared" si="149"/>
        <v>0</v>
      </c>
      <c r="AB166" s="173">
        <f t="shared" si="150"/>
        <v>1599325.4373514282</v>
      </c>
      <c r="AC166" s="173">
        <f t="shared" si="151"/>
        <v>0</v>
      </c>
      <c r="AD166" s="173">
        <f t="shared" si="152"/>
        <v>1631587.2401061684</v>
      </c>
      <c r="AF166" s="87" t="s">
        <v>583</v>
      </c>
      <c r="AG166" s="87" t="s">
        <v>584</v>
      </c>
      <c r="AH166" s="173">
        <f t="shared" si="113"/>
        <v>0</v>
      </c>
      <c r="AI166" s="173">
        <f t="shared" si="114"/>
        <v>1510256.247462132</v>
      </c>
      <c r="AJ166" s="173">
        <f t="shared" si="115"/>
        <v>0</v>
      </c>
      <c r="AK166" s="173">
        <f t="shared" si="116"/>
        <v>1564786.4012388089</v>
      </c>
      <c r="AL166" s="173">
        <f t="shared" si="117"/>
        <v>0</v>
      </c>
      <c r="AM166" s="173">
        <f t="shared" si="118"/>
        <v>1590690.0917411519</v>
      </c>
      <c r="AN166" s="173">
        <f t="shared" si="119"/>
        <v>0</v>
      </c>
      <c r="AO166" s="173">
        <f t="shared" si="120"/>
        <v>1620047.6673153979</v>
      </c>
      <c r="AQ166" s="87" t="s">
        <v>583</v>
      </c>
      <c r="AR166" s="87" t="s">
        <v>584</v>
      </c>
      <c r="AS166" s="173">
        <f t="shared" si="121"/>
        <v>0</v>
      </c>
      <c r="AT166" s="173">
        <f t="shared" si="122"/>
        <v>1510256.247462132</v>
      </c>
      <c r="AU166" s="173">
        <f t="shared" si="123"/>
        <v>0</v>
      </c>
      <c r="AV166" s="173">
        <f t="shared" si="124"/>
        <v>1599854.0284107956</v>
      </c>
      <c r="AW166" s="173">
        <f t="shared" si="125"/>
        <v>0</v>
      </c>
      <c r="AX166" s="173">
        <f t="shared" si="126"/>
        <v>1627954.1378845666</v>
      </c>
      <c r="AY166" s="173">
        <f t="shared" si="127"/>
        <v>0</v>
      </c>
      <c r="AZ166" s="173">
        <f t="shared" si="128"/>
        <v>1658049.2036973964</v>
      </c>
      <c r="BB166" s="87" t="s">
        <v>583</v>
      </c>
      <c r="BC166" s="87" t="s">
        <v>584</v>
      </c>
      <c r="BD166" s="173">
        <f t="shared" si="129"/>
        <v>0</v>
      </c>
      <c r="BE166" s="173">
        <f t="shared" si="130"/>
        <v>1510256.247462132</v>
      </c>
      <c r="BF166" s="173">
        <f t="shared" si="131"/>
        <v>0</v>
      </c>
      <c r="BG166" s="173">
        <f t="shared" si="132"/>
        <v>1607707.7885747727</v>
      </c>
      <c r="BH166" s="173">
        <f t="shared" si="133"/>
        <v>0</v>
      </c>
      <c r="BI166" s="173">
        <f t="shared" si="134"/>
        <v>1637151.455012864</v>
      </c>
      <c r="BJ166" s="173">
        <f t="shared" si="135"/>
        <v>0</v>
      </c>
      <c r="BK166" s="173">
        <f t="shared" si="136"/>
        <v>1670297.6153951699</v>
      </c>
      <c r="BM166" s="87" t="s">
        <v>583</v>
      </c>
      <c r="BN166" s="87" t="s">
        <v>584</v>
      </c>
      <c r="BO166" s="173">
        <f t="shared" si="137"/>
        <v>0</v>
      </c>
      <c r="BP166" s="173">
        <f t="shared" si="138"/>
        <v>1510256.247462132</v>
      </c>
      <c r="BQ166" s="173">
        <f t="shared" si="139"/>
        <v>0</v>
      </c>
      <c r="BR166" s="173">
        <f t="shared" si="140"/>
        <v>1603302.8878724494</v>
      </c>
      <c r="BS166" s="173">
        <f t="shared" si="141"/>
        <v>0</v>
      </c>
      <c r="BT166" s="173">
        <f t="shared" si="142"/>
        <v>1628310.8034890669</v>
      </c>
      <c r="BU166" s="173">
        <f t="shared" si="143"/>
        <v>0</v>
      </c>
      <c r="BV166" s="173">
        <f t="shared" si="144"/>
        <v>1658483.213711021</v>
      </c>
    </row>
    <row r="167" spans="5:74">
      <c r="E167" s="87" t="s">
        <v>271</v>
      </c>
      <c r="F167" s="87" t="s">
        <v>272</v>
      </c>
      <c r="G167" s="173">
        <f>IFERROR(IF(VLOOKUP(E167,A:C,3,FALSE)="YES",VLOOKUP(E167,'School Year 2021-22 SPED coop'!A:P,16,FALSE),0),0)</f>
        <v>0</v>
      </c>
      <c r="H167" s="173">
        <f t="shared" si="145"/>
        <v>739406.40999999992</v>
      </c>
      <c r="J167" s="87" t="s">
        <v>271</v>
      </c>
      <c r="K167" s="87" t="s">
        <v>272</v>
      </c>
      <c r="L167" s="173">
        <f t="shared" si="104"/>
        <v>0</v>
      </c>
      <c r="M167" s="173">
        <f t="shared" si="105"/>
        <v>747561.83150082373</v>
      </c>
      <c r="N167" s="173">
        <f t="shared" si="106"/>
        <v>0</v>
      </c>
      <c r="O167" s="173">
        <f t="shared" si="107"/>
        <v>772907.34125077887</v>
      </c>
      <c r="P167" s="173">
        <f t="shared" si="108"/>
        <v>0</v>
      </c>
      <c r="Q167" s="173">
        <f t="shared" si="109"/>
        <v>787223.70222511236</v>
      </c>
      <c r="R167" s="173">
        <f t="shared" si="110"/>
        <v>0</v>
      </c>
      <c r="S167" s="173">
        <f t="shared" si="111"/>
        <v>801720.16774176154</v>
      </c>
      <c r="U167" s="87" t="s">
        <v>271</v>
      </c>
      <c r="V167" s="87" t="s">
        <v>272</v>
      </c>
      <c r="W167" s="173">
        <f t="shared" si="112"/>
        <v>0</v>
      </c>
      <c r="X167" s="173">
        <f t="shared" si="146"/>
        <v>747561.83150082373</v>
      </c>
      <c r="Y167" s="173">
        <f t="shared" si="147"/>
        <v>0</v>
      </c>
      <c r="Z167" s="173">
        <f t="shared" si="148"/>
        <v>776706.75842779537</v>
      </c>
      <c r="AA167" s="173">
        <f t="shared" si="149"/>
        <v>0</v>
      </c>
      <c r="AB167" s="173">
        <f t="shared" si="150"/>
        <v>791668.81072051881</v>
      </c>
      <c r="AC167" s="173">
        <f t="shared" si="151"/>
        <v>0</v>
      </c>
      <c r="AD167" s="173">
        <f t="shared" si="152"/>
        <v>807648.6060290453</v>
      </c>
      <c r="AF167" s="87" t="s">
        <v>271</v>
      </c>
      <c r="AG167" s="87" t="s">
        <v>272</v>
      </c>
      <c r="AH167" s="173">
        <f t="shared" si="113"/>
        <v>0</v>
      </c>
      <c r="AI167" s="173">
        <f t="shared" si="114"/>
        <v>747561.83150082373</v>
      </c>
      <c r="AJ167" s="173">
        <f t="shared" si="115"/>
        <v>0</v>
      </c>
      <c r="AK167" s="173">
        <f t="shared" si="116"/>
        <v>771307.7217957502</v>
      </c>
      <c r="AL167" s="173">
        <f t="shared" si="117"/>
        <v>0</v>
      </c>
      <c r="AM167" s="173">
        <f t="shared" si="118"/>
        <v>785522.55065484578</v>
      </c>
      <c r="AN167" s="173">
        <f t="shared" si="119"/>
        <v>0</v>
      </c>
      <c r="AO167" s="173">
        <f t="shared" si="120"/>
        <v>799926.10986039415</v>
      </c>
      <c r="AQ167" s="87" t="s">
        <v>271</v>
      </c>
      <c r="AR167" s="87" t="s">
        <v>272</v>
      </c>
      <c r="AS167" s="173">
        <f t="shared" si="121"/>
        <v>0</v>
      </c>
      <c r="AT167" s="173">
        <f t="shared" si="122"/>
        <v>747561.83150082373</v>
      </c>
      <c r="AU167" s="173">
        <f t="shared" si="123"/>
        <v>0</v>
      </c>
      <c r="AV167" s="173">
        <f t="shared" si="124"/>
        <v>791929.07031072211</v>
      </c>
      <c r="AW167" s="173">
        <f t="shared" si="125"/>
        <v>0</v>
      </c>
      <c r="AX167" s="173">
        <f t="shared" si="126"/>
        <v>805840.29620504705</v>
      </c>
      <c r="AY167" s="173">
        <f t="shared" si="127"/>
        <v>0</v>
      </c>
      <c r="AZ167" s="173">
        <f t="shared" si="128"/>
        <v>820739.14402657608</v>
      </c>
      <c r="BB167" s="87" t="s">
        <v>271</v>
      </c>
      <c r="BC167" s="87" t="s">
        <v>272</v>
      </c>
      <c r="BD167" s="173">
        <f t="shared" si="129"/>
        <v>0</v>
      </c>
      <c r="BE167" s="173">
        <f t="shared" si="130"/>
        <v>747561.83150082373</v>
      </c>
      <c r="BF167" s="173">
        <f t="shared" si="131"/>
        <v>0</v>
      </c>
      <c r="BG167" s="173">
        <f t="shared" si="132"/>
        <v>795821.99881804036</v>
      </c>
      <c r="BH167" s="173">
        <f t="shared" si="133"/>
        <v>0</v>
      </c>
      <c r="BI167" s="173">
        <f t="shared" si="134"/>
        <v>810390.52244279231</v>
      </c>
      <c r="BJ167" s="173">
        <f t="shared" si="135"/>
        <v>0</v>
      </c>
      <c r="BK167" s="173">
        <f t="shared" si="136"/>
        <v>826808.22421192972</v>
      </c>
      <c r="BM167" s="87" t="s">
        <v>271</v>
      </c>
      <c r="BN167" s="87" t="s">
        <v>272</v>
      </c>
      <c r="BO167" s="173">
        <f t="shared" si="137"/>
        <v>0</v>
      </c>
      <c r="BP167" s="173">
        <f t="shared" si="138"/>
        <v>747561.83150082373</v>
      </c>
      <c r="BQ167" s="173">
        <f t="shared" si="139"/>
        <v>0</v>
      </c>
      <c r="BR167" s="173">
        <f t="shared" si="140"/>
        <v>790289.68228809652</v>
      </c>
      <c r="BS167" s="173">
        <f t="shared" si="141"/>
        <v>0</v>
      </c>
      <c r="BT167" s="173">
        <f t="shared" si="142"/>
        <v>804098.82557314401</v>
      </c>
      <c r="BU167" s="173">
        <f t="shared" si="143"/>
        <v>0</v>
      </c>
      <c r="BV167" s="173">
        <f t="shared" si="144"/>
        <v>818902.41238116997</v>
      </c>
    </row>
    <row r="168" spans="5:74">
      <c r="E168" s="87" t="s">
        <v>349</v>
      </c>
      <c r="F168" s="87" t="s">
        <v>350</v>
      </c>
      <c r="G168" s="173">
        <f>IFERROR(IF(VLOOKUP(E168,A:C,3,FALSE)="YES",VLOOKUP(E168,'School Year 2021-22 SPED coop'!A:P,16,FALSE),0),0)</f>
        <v>331328.43</v>
      </c>
      <c r="H168" s="173">
        <f t="shared" si="145"/>
        <v>0</v>
      </c>
      <c r="J168" s="87" t="s">
        <v>349</v>
      </c>
      <c r="K168" s="87" t="s">
        <v>350</v>
      </c>
      <c r="L168" s="173">
        <f t="shared" si="104"/>
        <v>380688.20842747437</v>
      </c>
      <c r="M168" s="173">
        <f t="shared" si="105"/>
        <v>0</v>
      </c>
      <c r="N168" s="173">
        <f t="shared" si="106"/>
        <v>393550.69546911918</v>
      </c>
      <c r="O168" s="173">
        <f t="shared" si="107"/>
        <v>0</v>
      </c>
      <c r="P168" s="173">
        <f t="shared" si="108"/>
        <v>400851.84872206027</v>
      </c>
      <c r="Q168" s="173">
        <f t="shared" si="109"/>
        <v>0</v>
      </c>
      <c r="R168" s="173">
        <f t="shared" si="110"/>
        <v>408254.55362606829</v>
      </c>
      <c r="S168" s="173">
        <f t="shared" si="111"/>
        <v>0</v>
      </c>
      <c r="U168" s="87" t="s">
        <v>349</v>
      </c>
      <c r="V168" s="87" t="s">
        <v>350</v>
      </c>
      <c r="W168" s="173">
        <f t="shared" si="112"/>
        <v>380688.20842747437</v>
      </c>
      <c r="X168" s="173">
        <f t="shared" si="146"/>
        <v>0</v>
      </c>
      <c r="Y168" s="173">
        <f t="shared" si="147"/>
        <v>395468.60607952526</v>
      </c>
      <c r="Z168" s="173">
        <f t="shared" si="148"/>
        <v>0</v>
      </c>
      <c r="AA168" s="173">
        <f t="shared" si="149"/>
        <v>403114.45531487366</v>
      </c>
      <c r="AB168" s="173">
        <f t="shared" si="150"/>
        <v>0</v>
      </c>
      <c r="AC168" s="173">
        <f t="shared" si="151"/>
        <v>411258.00484714459</v>
      </c>
      <c r="AD168" s="173">
        <f t="shared" si="152"/>
        <v>0</v>
      </c>
      <c r="AF168" s="87" t="s">
        <v>349</v>
      </c>
      <c r="AG168" s="87" t="s">
        <v>350</v>
      </c>
      <c r="AH168" s="173">
        <f t="shared" si="113"/>
        <v>380688.20842747437</v>
      </c>
      <c r="AI168" s="173">
        <f t="shared" si="114"/>
        <v>0</v>
      </c>
      <c r="AJ168" s="173">
        <f t="shared" si="115"/>
        <v>389415.98746487923</v>
      </c>
      <c r="AK168" s="173">
        <f t="shared" si="116"/>
        <v>0</v>
      </c>
      <c r="AL168" s="173">
        <f t="shared" si="117"/>
        <v>400028.04458292498</v>
      </c>
      <c r="AM168" s="173">
        <f t="shared" si="118"/>
        <v>0</v>
      </c>
      <c r="AN168" s="173">
        <f t="shared" si="119"/>
        <v>411939.0615445851</v>
      </c>
      <c r="AO168" s="173">
        <f t="shared" si="120"/>
        <v>0</v>
      </c>
      <c r="AQ168" s="87" t="s">
        <v>349</v>
      </c>
      <c r="AR168" s="87" t="s">
        <v>350</v>
      </c>
      <c r="AS168" s="173">
        <f t="shared" si="121"/>
        <v>380688.20842747437</v>
      </c>
      <c r="AT168" s="173">
        <f t="shared" si="122"/>
        <v>0</v>
      </c>
      <c r="AU168" s="173">
        <f t="shared" si="123"/>
        <v>403266.78947467299</v>
      </c>
      <c r="AV168" s="173">
        <f t="shared" si="124"/>
        <v>0</v>
      </c>
      <c r="AW168" s="173">
        <f t="shared" si="125"/>
        <v>410370.7475204473</v>
      </c>
      <c r="AX168" s="173">
        <f t="shared" si="126"/>
        <v>0</v>
      </c>
      <c r="AY168" s="173">
        <f t="shared" si="127"/>
        <v>417979.0482062996</v>
      </c>
      <c r="AZ168" s="173">
        <f t="shared" si="128"/>
        <v>0</v>
      </c>
      <c r="BB168" s="87" t="s">
        <v>349</v>
      </c>
      <c r="BC168" s="87" t="s">
        <v>350</v>
      </c>
      <c r="BD168" s="173">
        <f t="shared" si="129"/>
        <v>380688.20842747437</v>
      </c>
      <c r="BE168" s="173">
        <f t="shared" si="130"/>
        <v>0</v>
      </c>
      <c r="BF168" s="173">
        <f t="shared" si="131"/>
        <v>405232.04342923296</v>
      </c>
      <c r="BG168" s="173">
        <f t="shared" si="132"/>
        <v>0</v>
      </c>
      <c r="BH168" s="173">
        <f t="shared" si="133"/>
        <v>412687.08192771999</v>
      </c>
      <c r="BI168" s="173">
        <f t="shared" si="134"/>
        <v>0</v>
      </c>
      <c r="BJ168" s="173">
        <f t="shared" si="135"/>
        <v>421054.03435585543</v>
      </c>
      <c r="BK168" s="173">
        <f t="shared" si="136"/>
        <v>0</v>
      </c>
      <c r="BM168" s="87" t="s">
        <v>349</v>
      </c>
      <c r="BN168" s="87" t="s">
        <v>350</v>
      </c>
      <c r="BO168" s="173">
        <f t="shared" si="137"/>
        <v>380688.20842747437</v>
      </c>
      <c r="BP168" s="173">
        <f t="shared" si="138"/>
        <v>0</v>
      </c>
      <c r="BQ168" s="173">
        <f t="shared" si="139"/>
        <v>399028.85193565005</v>
      </c>
      <c r="BR168" s="173">
        <f t="shared" si="140"/>
        <v>0</v>
      </c>
      <c r="BS168" s="173">
        <f t="shared" si="141"/>
        <v>409528.65941069234</v>
      </c>
      <c r="BT168" s="173">
        <f t="shared" si="142"/>
        <v>0</v>
      </c>
      <c r="BU168" s="173">
        <f t="shared" si="143"/>
        <v>421754.36021588754</v>
      </c>
      <c r="BV168" s="173">
        <f t="shared" si="144"/>
        <v>0</v>
      </c>
    </row>
    <row r="169" spans="5:74">
      <c r="E169" s="87" t="s">
        <v>327</v>
      </c>
      <c r="F169" s="87" t="s">
        <v>328</v>
      </c>
      <c r="G169" s="173">
        <f>IFERROR(IF(VLOOKUP(E169,A:C,3,FALSE)="YES",VLOOKUP(E169,'School Year 2021-22 SPED coop'!A:P,16,FALSE),0),0)</f>
        <v>0</v>
      </c>
      <c r="H169" s="173">
        <f t="shared" si="145"/>
        <v>172760.49000000002</v>
      </c>
      <c r="J169" s="87" t="s">
        <v>327</v>
      </c>
      <c r="K169" s="87" t="s">
        <v>328</v>
      </c>
      <c r="L169" s="173">
        <f t="shared" si="104"/>
        <v>0</v>
      </c>
      <c r="M169" s="173">
        <f t="shared" si="105"/>
        <v>174682.23429234681</v>
      </c>
      <c r="N169" s="173">
        <f t="shared" si="106"/>
        <v>0</v>
      </c>
      <c r="O169" s="173">
        <f t="shared" si="107"/>
        <v>180584.61970373269</v>
      </c>
      <c r="P169" s="173">
        <f t="shared" si="108"/>
        <v>0</v>
      </c>
      <c r="Q169" s="173">
        <f t="shared" si="109"/>
        <v>183926.60146369287</v>
      </c>
      <c r="R169" s="173">
        <f t="shared" si="110"/>
        <v>0</v>
      </c>
      <c r="S169" s="173">
        <f t="shared" si="111"/>
        <v>187308.21022069675</v>
      </c>
      <c r="U169" s="87" t="s">
        <v>327</v>
      </c>
      <c r="V169" s="87" t="s">
        <v>328</v>
      </c>
      <c r="W169" s="173">
        <f t="shared" si="112"/>
        <v>0</v>
      </c>
      <c r="X169" s="173">
        <f t="shared" si="146"/>
        <v>174682.23429234681</v>
      </c>
      <c r="Y169" s="173">
        <f t="shared" si="147"/>
        <v>0</v>
      </c>
      <c r="Z169" s="173">
        <f t="shared" si="148"/>
        <v>181480.08314788924</v>
      </c>
      <c r="AA169" s="173">
        <f t="shared" si="149"/>
        <v>0</v>
      </c>
      <c r="AB169" s="173">
        <f t="shared" si="150"/>
        <v>184972.10691534181</v>
      </c>
      <c r="AC169" s="173">
        <f t="shared" si="151"/>
        <v>0</v>
      </c>
      <c r="AD169" s="173">
        <f t="shared" si="152"/>
        <v>188698.54336435389</v>
      </c>
      <c r="AF169" s="87" t="s">
        <v>327</v>
      </c>
      <c r="AG169" s="87" t="s">
        <v>328</v>
      </c>
      <c r="AH169" s="173">
        <f t="shared" si="113"/>
        <v>0</v>
      </c>
      <c r="AI169" s="173">
        <f t="shared" si="114"/>
        <v>174682.23429234681</v>
      </c>
      <c r="AJ169" s="173">
        <f t="shared" si="115"/>
        <v>0</v>
      </c>
      <c r="AK169" s="173">
        <f t="shared" si="116"/>
        <v>175881.7274673958</v>
      </c>
      <c r="AL169" s="173">
        <f t="shared" si="117"/>
        <v>0</v>
      </c>
      <c r="AM169" s="173">
        <f t="shared" si="118"/>
        <v>179583.84293819586</v>
      </c>
      <c r="AN169" s="173">
        <f t="shared" si="119"/>
        <v>0</v>
      </c>
      <c r="AO169" s="173">
        <f t="shared" si="120"/>
        <v>187119.95177067045</v>
      </c>
      <c r="AQ169" s="87" t="s">
        <v>327</v>
      </c>
      <c r="AR169" s="87" t="s">
        <v>328</v>
      </c>
      <c r="AS169" s="173">
        <f t="shared" si="121"/>
        <v>0</v>
      </c>
      <c r="AT169" s="173">
        <f t="shared" si="122"/>
        <v>174682.23429234681</v>
      </c>
      <c r="AU169" s="173">
        <f t="shared" si="123"/>
        <v>0</v>
      </c>
      <c r="AV169" s="173">
        <f t="shared" si="124"/>
        <v>185030.86713545458</v>
      </c>
      <c r="AW169" s="173">
        <f t="shared" si="125"/>
        <v>0</v>
      </c>
      <c r="AX169" s="173">
        <f t="shared" si="126"/>
        <v>188276.12021951485</v>
      </c>
      <c r="AY169" s="173">
        <f t="shared" si="127"/>
        <v>0</v>
      </c>
      <c r="AZ169" s="173">
        <f t="shared" si="128"/>
        <v>191751.74197494073</v>
      </c>
      <c r="BB169" s="87" t="s">
        <v>327</v>
      </c>
      <c r="BC169" s="87" t="s">
        <v>328</v>
      </c>
      <c r="BD169" s="173">
        <f t="shared" si="129"/>
        <v>0</v>
      </c>
      <c r="BE169" s="173">
        <f t="shared" si="130"/>
        <v>174682.23429234681</v>
      </c>
      <c r="BF169" s="173">
        <f t="shared" si="131"/>
        <v>0</v>
      </c>
      <c r="BG169" s="173">
        <f t="shared" si="132"/>
        <v>185948.38343169677</v>
      </c>
      <c r="BH169" s="173">
        <f t="shared" si="133"/>
        <v>0</v>
      </c>
      <c r="BI169" s="173">
        <f t="shared" si="134"/>
        <v>189346.35275891158</v>
      </c>
      <c r="BJ169" s="173">
        <f t="shared" si="135"/>
        <v>0</v>
      </c>
      <c r="BK169" s="173">
        <f t="shared" si="136"/>
        <v>193175.06142913358</v>
      </c>
      <c r="BM169" s="87" t="s">
        <v>327</v>
      </c>
      <c r="BN169" s="87" t="s">
        <v>328</v>
      </c>
      <c r="BO169" s="173">
        <f t="shared" si="137"/>
        <v>0</v>
      </c>
      <c r="BP169" s="173">
        <f t="shared" si="138"/>
        <v>174682.23429234681</v>
      </c>
      <c r="BQ169" s="173">
        <f t="shared" si="139"/>
        <v>0</v>
      </c>
      <c r="BR169" s="173">
        <f t="shared" si="140"/>
        <v>180210.37870449512</v>
      </c>
      <c r="BS169" s="173">
        <f t="shared" si="141"/>
        <v>0</v>
      </c>
      <c r="BT169" s="173">
        <f t="shared" si="142"/>
        <v>183829.17686288839</v>
      </c>
      <c r="BU169" s="173">
        <f t="shared" si="143"/>
        <v>0</v>
      </c>
      <c r="BV169" s="173">
        <f t="shared" si="144"/>
        <v>191558.9393837188</v>
      </c>
    </row>
    <row r="170" spans="5:74">
      <c r="E170" s="87" t="s">
        <v>355</v>
      </c>
      <c r="F170" s="87" t="s">
        <v>356</v>
      </c>
      <c r="G170" s="173">
        <f>IFERROR(IF(VLOOKUP(E170,A:C,3,FALSE)="YES",VLOOKUP(E170,'School Year 2021-22 SPED coop'!A:P,16,FALSE),0),0)</f>
        <v>0</v>
      </c>
      <c r="H170" s="173">
        <f t="shared" si="145"/>
        <v>1245912.53</v>
      </c>
      <c r="J170" s="87" t="s">
        <v>355</v>
      </c>
      <c r="K170" s="87" t="s">
        <v>356</v>
      </c>
      <c r="L170" s="173">
        <f t="shared" si="104"/>
        <v>0</v>
      </c>
      <c r="M170" s="173">
        <f t="shared" si="105"/>
        <v>1259800.8254742215</v>
      </c>
      <c r="N170" s="173">
        <f t="shared" si="106"/>
        <v>0</v>
      </c>
      <c r="O170" s="173">
        <f t="shared" si="107"/>
        <v>1302505.6041700377</v>
      </c>
      <c r="P170" s="173">
        <f t="shared" si="108"/>
        <v>0</v>
      </c>
      <c r="Q170" s="173">
        <f t="shared" si="109"/>
        <v>1326636.0290566399</v>
      </c>
      <c r="R170" s="173">
        <f t="shared" si="110"/>
        <v>0</v>
      </c>
      <c r="S170" s="173">
        <f t="shared" si="111"/>
        <v>1351073.6354727976</v>
      </c>
      <c r="U170" s="87" t="s">
        <v>355</v>
      </c>
      <c r="V170" s="87" t="s">
        <v>356</v>
      </c>
      <c r="W170" s="173">
        <f t="shared" si="112"/>
        <v>0</v>
      </c>
      <c r="X170" s="173">
        <f t="shared" si="146"/>
        <v>1259800.8254742215</v>
      </c>
      <c r="Y170" s="173">
        <f t="shared" si="147"/>
        <v>0</v>
      </c>
      <c r="Z170" s="173">
        <f t="shared" si="148"/>
        <v>1308892.1734544334</v>
      </c>
      <c r="AA170" s="173">
        <f t="shared" si="149"/>
        <v>0</v>
      </c>
      <c r="AB170" s="173">
        <f t="shared" si="150"/>
        <v>1334128.5367776447</v>
      </c>
      <c r="AC170" s="173">
        <f t="shared" si="151"/>
        <v>0</v>
      </c>
      <c r="AD170" s="173">
        <f t="shared" si="152"/>
        <v>1361064.82586397</v>
      </c>
      <c r="AF170" s="87" t="s">
        <v>355</v>
      </c>
      <c r="AG170" s="87" t="s">
        <v>356</v>
      </c>
      <c r="AH170" s="173">
        <f t="shared" si="113"/>
        <v>0</v>
      </c>
      <c r="AI170" s="173">
        <f t="shared" si="114"/>
        <v>1259800.8254742215</v>
      </c>
      <c r="AJ170" s="173">
        <f t="shared" si="115"/>
        <v>0</v>
      </c>
      <c r="AK170" s="173">
        <f t="shared" si="116"/>
        <v>1301214.5978228378</v>
      </c>
      <c r="AL170" s="173">
        <f t="shared" si="117"/>
        <v>0</v>
      </c>
      <c r="AM170" s="173">
        <f t="shared" si="118"/>
        <v>1325294.0978313803</v>
      </c>
      <c r="AN170" s="173">
        <f t="shared" si="119"/>
        <v>0</v>
      </c>
      <c r="AO170" s="173">
        <f t="shared" si="120"/>
        <v>1352629.79485182</v>
      </c>
      <c r="AQ170" s="87" t="s">
        <v>355</v>
      </c>
      <c r="AR170" s="87" t="s">
        <v>356</v>
      </c>
      <c r="AS170" s="173">
        <f t="shared" si="121"/>
        <v>0</v>
      </c>
      <c r="AT170" s="173">
        <f t="shared" si="122"/>
        <v>1259800.8254742215</v>
      </c>
      <c r="AU170" s="173">
        <f t="shared" si="123"/>
        <v>0</v>
      </c>
      <c r="AV170" s="173">
        <f t="shared" si="124"/>
        <v>1334564.6707988286</v>
      </c>
      <c r="AW170" s="173">
        <f t="shared" si="125"/>
        <v>0</v>
      </c>
      <c r="AX170" s="173">
        <f t="shared" si="126"/>
        <v>1358015.5709736503</v>
      </c>
      <c r="AY170" s="173">
        <f t="shared" si="127"/>
        <v>0</v>
      </c>
      <c r="AZ170" s="173">
        <f t="shared" si="128"/>
        <v>1383131.4242335616</v>
      </c>
      <c r="BB170" s="87" t="s">
        <v>355</v>
      </c>
      <c r="BC170" s="87" t="s">
        <v>356</v>
      </c>
      <c r="BD170" s="173">
        <f t="shared" si="129"/>
        <v>0</v>
      </c>
      <c r="BE170" s="173">
        <f t="shared" si="130"/>
        <v>1259800.8254742215</v>
      </c>
      <c r="BF170" s="173">
        <f t="shared" si="131"/>
        <v>0</v>
      </c>
      <c r="BG170" s="173">
        <f t="shared" si="132"/>
        <v>1341108.4354284576</v>
      </c>
      <c r="BH170" s="173">
        <f t="shared" si="133"/>
        <v>0</v>
      </c>
      <c r="BI170" s="173">
        <f t="shared" si="134"/>
        <v>1365685.2998318586</v>
      </c>
      <c r="BJ170" s="173">
        <f t="shared" si="135"/>
        <v>0</v>
      </c>
      <c r="BK170" s="173">
        <f t="shared" si="136"/>
        <v>1393359.6876693184</v>
      </c>
      <c r="BM170" s="87" t="s">
        <v>355</v>
      </c>
      <c r="BN170" s="87" t="s">
        <v>356</v>
      </c>
      <c r="BO170" s="173">
        <f t="shared" si="137"/>
        <v>0</v>
      </c>
      <c r="BP170" s="173">
        <f t="shared" si="138"/>
        <v>1259800.8254742215</v>
      </c>
      <c r="BQ170" s="173">
        <f t="shared" si="139"/>
        <v>0</v>
      </c>
      <c r="BR170" s="173">
        <f t="shared" si="140"/>
        <v>1333242.1597043255</v>
      </c>
      <c r="BS170" s="173">
        <f t="shared" si="141"/>
        <v>0</v>
      </c>
      <c r="BT170" s="173">
        <f t="shared" si="142"/>
        <v>1356643.1257145195</v>
      </c>
      <c r="BU170" s="173">
        <f t="shared" si="143"/>
        <v>0</v>
      </c>
      <c r="BV170" s="173">
        <f t="shared" si="144"/>
        <v>1384726.330944855</v>
      </c>
    </row>
    <row r="171" spans="5:74">
      <c r="E171" s="87" t="s">
        <v>457</v>
      </c>
      <c r="F171" s="87" t="s">
        <v>458</v>
      </c>
      <c r="G171" s="173">
        <f>IFERROR(IF(VLOOKUP(E171,A:C,3,FALSE)="YES",VLOOKUP(E171,'School Year 2021-22 SPED coop'!A:P,16,FALSE),0),0)</f>
        <v>0</v>
      </c>
      <c r="H171" s="173">
        <f t="shared" si="145"/>
        <v>1654285.5</v>
      </c>
      <c r="J171" s="87" t="s">
        <v>457</v>
      </c>
      <c r="K171" s="87" t="s">
        <v>458</v>
      </c>
      <c r="L171" s="173">
        <f t="shared" si="104"/>
        <v>0</v>
      </c>
      <c r="M171" s="173">
        <f t="shared" si="105"/>
        <v>1672889.8607153418</v>
      </c>
      <c r="N171" s="173">
        <f t="shared" si="106"/>
        <v>0</v>
      </c>
      <c r="O171" s="173">
        <f t="shared" si="107"/>
        <v>1729603.3420989404</v>
      </c>
      <c r="P171" s="173">
        <f t="shared" si="108"/>
        <v>0</v>
      </c>
      <c r="Q171" s="173">
        <f t="shared" si="109"/>
        <v>1761644.5087696647</v>
      </c>
      <c r="R171" s="173">
        <f t="shared" si="110"/>
        <v>0</v>
      </c>
      <c r="S171" s="173">
        <f t="shared" si="111"/>
        <v>1794092.1558883477</v>
      </c>
      <c r="U171" s="87" t="s">
        <v>457</v>
      </c>
      <c r="V171" s="87" t="s">
        <v>458</v>
      </c>
      <c r="W171" s="173">
        <f t="shared" si="112"/>
        <v>0</v>
      </c>
      <c r="X171" s="173">
        <f t="shared" si="146"/>
        <v>1672889.8607153418</v>
      </c>
      <c r="Y171" s="173">
        <f t="shared" si="147"/>
        <v>0</v>
      </c>
      <c r="Z171" s="173">
        <f t="shared" si="148"/>
        <v>1738096.8649298721</v>
      </c>
      <c r="AA171" s="173">
        <f t="shared" si="149"/>
        <v>0</v>
      </c>
      <c r="AB171" s="173">
        <f t="shared" si="150"/>
        <v>1771612.4248843163</v>
      </c>
      <c r="AC171" s="173">
        <f t="shared" si="151"/>
        <v>0</v>
      </c>
      <c r="AD171" s="173">
        <f t="shared" si="152"/>
        <v>1807366.2696891525</v>
      </c>
      <c r="AF171" s="87" t="s">
        <v>457</v>
      </c>
      <c r="AG171" s="87" t="s">
        <v>458</v>
      </c>
      <c r="AH171" s="173">
        <f t="shared" si="113"/>
        <v>0</v>
      </c>
      <c r="AI171" s="173">
        <f t="shared" si="114"/>
        <v>1672889.8607153418</v>
      </c>
      <c r="AJ171" s="173">
        <f t="shared" si="115"/>
        <v>0</v>
      </c>
      <c r="AK171" s="173">
        <f t="shared" si="116"/>
        <v>1731100.8285480593</v>
      </c>
      <c r="AL171" s="173">
        <f t="shared" si="117"/>
        <v>0</v>
      </c>
      <c r="AM171" s="173">
        <f t="shared" si="118"/>
        <v>1766633.6704943499</v>
      </c>
      <c r="AN171" s="173">
        <f t="shared" si="119"/>
        <v>0</v>
      </c>
      <c r="AO171" s="173">
        <f t="shared" si="120"/>
        <v>1802828.8146850402</v>
      </c>
      <c r="AQ171" s="87" t="s">
        <v>457</v>
      </c>
      <c r="AR171" s="87" t="s">
        <v>458</v>
      </c>
      <c r="AS171" s="173">
        <f t="shared" si="121"/>
        <v>0</v>
      </c>
      <c r="AT171" s="173">
        <f t="shared" si="122"/>
        <v>1672889.8607153418</v>
      </c>
      <c r="AU171" s="173">
        <f t="shared" si="123"/>
        <v>0</v>
      </c>
      <c r="AV171" s="173">
        <f t="shared" si="124"/>
        <v>1772172.7901550136</v>
      </c>
      <c r="AW171" s="173">
        <f t="shared" si="125"/>
        <v>0</v>
      </c>
      <c r="AX171" s="173">
        <f t="shared" si="126"/>
        <v>1803310.3544860617</v>
      </c>
      <c r="AY171" s="173">
        <f t="shared" si="127"/>
        <v>0</v>
      </c>
      <c r="AZ171" s="173">
        <f t="shared" si="128"/>
        <v>1836658.5779967392</v>
      </c>
      <c r="BB171" s="87" t="s">
        <v>457</v>
      </c>
      <c r="BC171" s="87" t="s">
        <v>458</v>
      </c>
      <c r="BD171" s="173">
        <f t="shared" si="129"/>
        <v>0</v>
      </c>
      <c r="BE171" s="173">
        <f t="shared" si="130"/>
        <v>1672889.8607153418</v>
      </c>
      <c r="BF171" s="173">
        <f t="shared" si="131"/>
        <v>0</v>
      </c>
      <c r="BG171" s="173">
        <f t="shared" si="132"/>
        <v>1780875.3649673276</v>
      </c>
      <c r="BH171" s="173">
        <f t="shared" si="133"/>
        <v>0</v>
      </c>
      <c r="BI171" s="173">
        <f t="shared" si="134"/>
        <v>1813514.0338136663</v>
      </c>
      <c r="BJ171" s="173">
        <f t="shared" si="135"/>
        <v>0</v>
      </c>
      <c r="BK171" s="173">
        <f t="shared" si="136"/>
        <v>1850247.6427047942</v>
      </c>
      <c r="BM171" s="87" t="s">
        <v>457</v>
      </c>
      <c r="BN171" s="87" t="s">
        <v>458</v>
      </c>
      <c r="BO171" s="173">
        <f t="shared" si="137"/>
        <v>0</v>
      </c>
      <c r="BP171" s="173">
        <f t="shared" si="138"/>
        <v>1672889.8607153418</v>
      </c>
      <c r="BQ171" s="173">
        <f t="shared" si="139"/>
        <v>0</v>
      </c>
      <c r="BR171" s="173">
        <f t="shared" si="140"/>
        <v>1773707.2872147136</v>
      </c>
      <c r="BS171" s="173">
        <f t="shared" si="141"/>
        <v>0</v>
      </c>
      <c r="BT171" s="173">
        <f t="shared" si="142"/>
        <v>1808418.6712986135</v>
      </c>
      <c r="BU171" s="173">
        <f t="shared" si="143"/>
        <v>0</v>
      </c>
      <c r="BV171" s="173">
        <f t="shared" si="144"/>
        <v>1845604.5888108399</v>
      </c>
    </row>
    <row r="172" spans="5:74">
      <c r="E172" s="87" t="s">
        <v>549</v>
      </c>
      <c r="F172" s="87" t="s">
        <v>550</v>
      </c>
      <c r="G172" s="173">
        <f>IFERROR(IF(VLOOKUP(E172,A:C,3,FALSE)="YES",VLOOKUP(E172,'School Year 2021-22 SPED coop'!A:P,16,FALSE),0),0)</f>
        <v>0</v>
      </c>
      <c r="H172" s="173">
        <f t="shared" si="145"/>
        <v>2489175.81</v>
      </c>
      <c r="J172" s="87" t="s">
        <v>549</v>
      </c>
      <c r="K172" s="87" t="s">
        <v>550</v>
      </c>
      <c r="L172" s="173">
        <f t="shared" si="104"/>
        <v>0</v>
      </c>
      <c r="M172" s="173">
        <f t="shared" si="105"/>
        <v>2515480.3160548015</v>
      </c>
      <c r="N172" s="173">
        <f t="shared" si="106"/>
        <v>0</v>
      </c>
      <c r="O172" s="173">
        <f t="shared" si="107"/>
        <v>2600022.2714326531</v>
      </c>
      <c r="P172" s="173">
        <f t="shared" si="108"/>
        <v>0</v>
      </c>
      <c r="Q172" s="173">
        <f t="shared" si="109"/>
        <v>2648312.5046113674</v>
      </c>
      <c r="R172" s="173">
        <f t="shared" si="110"/>
        <v>0</v>
      </c>
      <c r="S172" s="173">
        <f t="shared" si="111"/>
        <v>2697326.7645320166</v>
      </c>
      <c r="U172" s="87" t="s">
        <v>549</v>
      </c>
      <c r="V172" s="87" t="s">
        <v>550</v>
      </c>
      <c r="W172" s="173">
        <f t="shared" si="112"/>
        <v>0</v>
      </c>
      <c r="X172" s="173">
        <f t="shared" si="146"/>
        <v>2515480.3160548015</v>
      </c>
      <c r="Y172" s="173">
        <f t="shared" si="147"/>
        <v>0</v>
      </c>
      <c r="Z172" s="173">
        <f t="shared" si="148"/>
        <v>2612773.2203401932</v>
      </c>
      <c r="AA172" s="173">
        <f t="shared" si="149"/>
        <v>0</v>
      </c>
      <c r="AB172" s="173">
        <f t="shared" si="150"/>
        <v>2663270.8530628695</v>
      </c>
      <c r="AC172" s="173">
        <f t="shared" si="151"/>
        <v>0</v>
      </c>
      <c r="AD172" s="173">
        <f t="shared" si="152"/>
        <v>2717252.7419347875</v>
      </c>
      <c r="AF172" s="87" t="s">
        <v>549</v>
      </c>
      <c r="AG172" s="87" t="s">
        <v>550</v>
      </c>
      <c r="AH172" s="173">
        <f t="shared" si="113"/>
        <v>0</v>
      </c>
      <c r="AI172" s="173">
        <f t="shared" si="114"/>
        <v>2515480.3160548015</v>
      </c>
      <c r="AJ172" s="173">
        <f t="shared" si="115"/>
        <v>0</v>
      </c>
      <c r="AK172" s="173">
        <f t="shared" si="116"/>
        <v>2611101.7711220998</v>
      </c>
      <c r="AL172" s="173">
        <f t="shared" si="117"/>
        <v>0</v>
      </c>
      <c r="AM172" s="173">
        <f t="shared" si="118"/>
        <v>2648019.0805109157</v>
      </c>
      <c r="AN172" s="173">
        <f t="shared" si="119"/>
        <v>0</v>
      </c>
      <c r="AO172" s="173">
        <f t="shared" si="120"/>
        <v>2699066.5085206376</v>
      </c>
      <c r="AQ172" s="87" t="s">
        <v>549</v>
      </c>
      <c r="AR172" s="87" t="s">
        <v>550</v>
      </c>
      <c r="AS172" s="173">
        <f t="shared" si="121"/>
        <v>0</v>
      </c>
      <c r="AT172" s="173">
        <f t="shared" si="122"/>
        <v>2515480.3160548015</v>
      </c>
      <c r="AU172" s="173">
        <f t="shared" si="123"/>
        <v>0</v>
      </c>
      <c r="AV172" s="173">
        <f t="shared" si="124"/>
        <v>2664381.0230756854</v>
      </c>
      <c r="AW172" s="173">
        <f t="shared" si="125"/>
        <v>0</v>
      </c>
      <c r="AX172" s="173">
        <f t="shared" si="126"/>
        <v>2711418.0648831464</v>
      </c>
      <c r="AY172" s="173">
        <f t="shared" si="127"/>
        <v>0</v>
      </c>
      <c r="AZ172" s="173">
        <f t="shared" si="128"/>
        <v>2761794.4222793188</v>
      </c>
      <c r="BB172" s="87" t="s">
        <v>549</v>
      </c>
      <c r="BC172" s="87" t="s">
        <v>550</v>
      </c>
      <c r="BD172" s="173">
        <f t="shared" si="129"/>
        <v>0</v>
      </c>
      <c r="BE172" s="173">
        <f t="shared" si="130"/>
        <v>2515480.3160548015</v>
      </c>
      <c r="BF172" s="173">
        <f t="shared" si="131"/>
        <v>0</v>
      </c>
      <c r="BG172" s="173">
        <f t="shared" si="132"/>
        <v>2677447.6000316995</v>
      </c>
      <c r="BH172" s="173">
        <f t="shared" si="133"/>
        <v>0</v>
      </c>
      <c r="BI172" s="173">
        <f t="shared" si="134"/>
        <v>2726732.8447025232</v>
      </c>
      <c r="BJ172" s="173">
        <f t="shared" si="135"/>
        <v>0</v>
      </c>
      <c r="BK172" s="173">
        <f t="shared" si="136"/>
        <v>2782196.6435088324</v>
      </c>
      <c r="BM172" s="87" t="s">
        <v>549</v>
      </c>
      <c r="BN172" s="87" t="s">
        <v>550</v>
      </c>
      <c r="BO172" s="173">
        <f t="shared" si="137"/>
        <v>0</v>
      </c>
      <c r="BP172" s="173">
        <f t="shared" si="138"/>
        <v>2515480.3160548015</v>
      </c>
      <c r="BQ172" s="173">
        <f t="shared" si="139"/>
        <v>0</v>
      </c>
      <c r="BR172" s="173">
        <f t="shared" si="140"/>
        <v>2675741.201549625</v>
      </c>
      <c r="BS172" s="173">
        <f t="shared" si="141"/>
        <v>0</v>
      </c>
      <c r="BT172" s="173">
        <f t="shared" si="142"/>
        <v>2711121.3329367242</v>
      </c>
      <c r="BU172" s="173">
        <f t="shared" si="143"/>
        <v>0</v>
      </c>
      <c r="BV172" s="173">
        <f t="shared" si="144"/>
        <v>2763581.2615681584</v>
      </c>
    </row>
    <row r="173" spans="5:74">
      <c r="E173" s="87" t="s">
        <v>145</v>
      </c>
      <c r="F173" s="87" t="s">
        <v>146</v>
      </c>
      <c r="G173" s="173">
        <f>IFERROR(IF(VLOOKUP(E173,A:C,3,FALSE)="YES",VLOOKUP(E173,'School Year 2021-22 SPED coop'!A:P,16,FALSE),0),0)</f>
        <v>0</v>
      </c>
      <c r="H173" s="173">
        <f t="shared" si="145"/>
        <v>888105.70999999985</v>
      </c>
      <c r="J173" s="87" t="s">
        <v>145</v>
      </c>
      <c r="K173" s="87" t="s">
        <v>146</v>
      </c>
      <c r="L173" s="173">
        <f t="shared" si="104"/>
        <v>0</v>
      </c>
      <c r="M173" s="173">
        <f t="shared" si="105"/>
        <v>898107.67840627523</v>
      </c>
      <c r="N173" s="173">
        <f t="shared" si="106"/>
        <v>0</v>
      </c>
      <c r="O173" s="173">
        <f t="shared" si="107"/>
        <v>928514.18159834994</v>
      </c>
      <c r="P173" s="173">
        <f t="shared" si="108"/>
        <v>0</v>
      </c>
      <c r="Q173" s="173">
        <f t="shared" si="109"/>
        <v>945709.06692648248</v>
      </c>
      <c r="R173" s="173">
        <f t="shared" si="110"/>
        <v>0</v>
      </c>
      <c r="S173" s="173">
        <f t="shared" si="111"/>
        <v>963117.17651016545</v>
      </c>
      <c r="U173" s="87" t="s">
        <v>145</v>
      </c>
      <c r="V173" s="87" t="s">
        <v>146</v>
      </c>
      <c r="W173" s="173">
        <f t="shared" si="112"/>
        <v>0</v>
      </c>
      <c r="X173" s="173">
        <f t="shared" si="146"/>
        <v>898107.67840627523</v>
      </c>
      <c r="Y173" s="173">
        <f t="shared" si="147"/>
        <v>0</v>
      </c>
      <c r="Z173" s="173">
        <f t="shared" si="148"/>
        <v>933061.85977067624</v>
      </c>
      <c r="AA173" s="173">
        <f t="shared" si="149"/>
        <v>0</v>
      </c>
      <c r="AB173" s="173">
        <f t="shared" si="150"/>
        <v>951049.25672714587</v>
      </c>
      <c r="AC173" s="173">
        <f t="shared" si="151"/>
        <v>0</v>
      </c>
      <c r="AD173" s="173">
        <f t="shared" si="152"/>
        <v>970227.27893504256</v>
      </c>
      <c r="AF173" s="87" t="s">
        <v>145</v>
      </c>
      <c r="AG173" s="87" t="s">
        <v>146</v>
      </c>
      <c r="AH173" s="173">
        <f t="shared" si="113"/>
        <v>0</v>
      </c>
      <c r="AI173" s="173">
        <f t="shared" si="114"/>
        <v>898107.67840627523</v>
      </c>
      <c r="AJ173" s="173">
        <f t="shared" si="115"/>
        <v>0</v>
      </c>
      <c r="AK173" s="173">
        <f t="shared" si="116"/>
        <v>922014.11753079318</v>
      </c>
      <c r="AL173" s="173">
        <f t="shared" si="117"/>
        <v>0</v>
      </c>
      <c r="AM173" s="173">
        <f t="shared" si="118"/>
        <v>939790.24426355492</v>
      </c>
      <c r="AN173" s="173">
        <f t="shared" si="119"/>
        <v>0</v>
      </c>
      <c r="AO173" s="173">
        <f t="shared" si="120"/>
        <v>948243.81310019572</v>
      </c>
      <c r="AQ173" s="87" t="s">
        <v>145</v>
      </c>
      <c r="AR173" s="87" t="s">
        <v>146</v>
      </c>
      <c r="AS173" s="173">
        <f t="shared" si="121"/>
        <v>0</v>
      </c>
      <c r="AT173" s="173">
        <f t="shared" si="122"/>
        <v>898107.67840627523</v>
      </c>
      <c r="AU173" s="173">
        <f t="shared" si="123"/>
        <v>0</v>
      </c>
      <c r="AV173" s="173">
        <f t="shared" si="124"/>
        <v>951370.85971890308</v>
      </c>
      <c r="AW173" s="173">
        <f t="shared" si="125"/>
        <v>0</v>
      </c>
      <c r="AX173" s="173">
        <f t="shared" si="126"/>
        <v>968076.44303691434</v>
      </c>
      <c r="AY173" s="173">
        <f t="shared" si="127"/>
        <v>0</v>
      </c>
      <c r="AZ173" s="173">
        <f t="shared" si="128"/>
        <v>985968.01084529632</v>
      </c>
      <c r="BB173" s="87" t="s">
        <v>145</v>
      </c>
      <c r="BC173" s="87" t="s">
        <v>146</v>
      </c>
      <c r="BD173" s="173">
        <f t="shared" si="129"/>
        <v>0</v>
      </c>
      <c r="BE173" s="173">
        <f t="shared" si="130"/>
        <v>898107.67840627523</v>
      </c>
      <c r="BF173" s="173">
        <f t="shared" si="131"/>
        <v>0</v>
      </c>
      <c r="BG173" s="173">
        <f t="shared" si="132"/>
        <v>956030.48286517756</v>
      </c>
      <c r="BH173" s="173">
        <f t="shared" si="133"/>
        <v>0</v>
      </c>
      <c r="BI173" s="173">
        <f t="shared" si="134"/>
        <v>973542.9336454774</v>
      </c>
      <c r="BJ173" s="173">
        <f t="shared" si="135"/>
        <v>0</v>
      </c>
      <c r="BK173" s="173">
        <f t="shared" si="136"/>
        <v>993246.80518008606</v>
      </c>
      <c r="BM173" s="87" t="s">
        <v>145</v>
      </c>
      <c r="BN173" s="87" t="s">
        <v>146</v>
      </c>
      <c r="BO173" s="173">
        <f t="shared" si="137"/>
        <v>0</v>
      </c>
      <c r="BP173" s="173">
        <f t="shared" si="138"/>
        <v>898107.67840627523</v>
      </c>
      <c r="BQ173" s="173">
        <f t="shared" si="139"/>
        <v>0</v>
      </c>
      <c r="BR173" s="173">
        <f t="shared" si="140"/>
        <v>944708.90850159479</v>
      </c>
      <c r="BS173" s="173">
        <f t="shared" si="141"/>
        <v>0</v>
      </c>
      <c r="BT173" s="173">
        <f t="shared" si="142"/>
        <v>962017.33410268754</v>
      </c>
      <c r="BU173" s="173">
        <f t="shared" si="143"/>
        <v>0</v>
      </c>
      <c r="BV173" s="173">
        <f t="shared" si="144"/>
        <v>970739.7190275524</v>
      </c>
    </row>
    <row r="174" spans="5:74">
      <c r="E174" s="87" t="s">
        <v>113</v>
      </c>
      <c r="F174" s="87" t="s">
        <v>114</v>
      </c>
      <c r="G174" s="173">
        <f>IFERROR(IF(VLOOKUP(E174,A:C,3,FALSE)="YES",VLOOKUP(E174,'School Year 2021-22 SPED coop'!A:P,16,FALSE),0),0)</f>
        <v>0</v>
      </c>
      <c r="H174" s="173">
        <f t="shared" si="145"/>
        <v>2662129.5299999998</v>
      </c>
      <c r="J174" s="87" t="s">
        <v>113</v>
      </c>
      <c r="K174" s="87" t="s">
        <v>114</v>
      </c>
      <c r="L174" s="173">
        <f t="shared" si="104"/>
        <v>0</v>
      </c>
      <c r="M174" s="173">
        <f t="shared" si="105"/>
        <v>2692651.9099983489</v>
      </c>
      <c r="N174" s="173">
        <f t="shared" si="106"/>
        <v>0</v>
      </c>
      <c r="O174" s="173">
        <f t="shared" si="107"/>
        <v>2783870.6176099</v>
      </c>
      <c r="P174" s="173">
        <f t="shared" si="108"/>
        <v>0</v>
      </c>
      <c r="Q174" s="173">
        <f t="shared" si="109"/>
        <v>2835433.6235394822</v>
      </c>
      <c r="R174" s="173">
        <f t="shared" si="110"/>
        <v>0</v>
      </c>
      <c r="S174" s="173">
        <f t="shared" si="111"/>
        <v>2887643.6710258001</v>
      </c>
      <c r="U174" s="87" t="s">
        <v>113</v>
      </c>
      <c r="V174" s="87" t="s">
        <v>114</v>
      </c>
      <c r="W174" s="173">
        <f t="shared" si="112"/>
        <v>0</v>
      </c>
      <c r="X174" s="173">
        <f t="shared" si="146"/>
        <v>2692651.9099983489</v>
      </c>
      <c r="Y174" s="173">
        <f t="shared" si="147"/>
        <v>0</v>
      </c>
      <c r="Z174" s="173">
        <f t="shared" si="148"/>
        <v>2797500.398663559</v>
      </c>
      <c r="AA174" s="173">
        <f t="shared" si="149"/>
        <v>0</v>
      </c>
      <c r="AB174" s="173">
        <f t="shared" si="150"/>
        <v>2851449.4080144982</v>
      </c>
      <c r="AC174" s="173">
        <f t="shared" si="151"/>
        <v>0</v>
      </c>
      <c r="AD174" s="173">
        <f t="shared" si="152"/>
        <v>2908956.8302397509</v>
      </c>
      <c r="AF174" s="87" t="s">
        <v>113</v>
      </c>
      <c r="AG174" s="87" t="s">
        <v>114</v>
      </c>
      <c r="AH174" s="173">
        <f t="shared" si="113"/>
        <v>0</v>
      </c>
      <c r="AI174" s="173">
        <f t="shared" si="114"/>
        <v>2692651.9099983489</v>
      </c>
      <c r="AJ174" s="173">
        <f t="shared" si="115"/>
        <v>0</v>
      </c>
      <c r="AK174" s="173">
        <f t="shared" si="116"/>
        <v>2782368.7088984996</v>
      </c>
      <c r="AL174" s="173">
        <f t="shared" si="117"/>
        <v>0</v>
      </c>
      <c r="AM174" s="173">
        <f t="shared" si="118"/>
        <v>2836568.5885180836</v>
      </c>
      <c r="AN174" s="173">
        <f t="shared" si="119"/>
        <v>0</v>
      </c>
      <c r="AO174" s="173">
        <f t="shared" si="120"/>
        <v>2887247.3077642303</v>
      </c>
      <c r="AQ174" s="87" t="s">
        <v>113</v>
      </c>
      <c r="AR174" s="87" t="s">
        <v>114</v>
      </c>
      <c r="AS174" s="173">
        <f t="shared" si="121"/>
        <v>0</v>
      </c>
      <c r="AT174" s="173">
        <f t="shared" si="122"/>
        <v>2692651.9099983489</v>
      </c>
      <c r="AU174" s="173">
        <f t="shared" si="123"/>
        <v>0</v>
      </c>
      <c r="AV174" s="173">
        <f t="shared" si="124"/>
        <v>2852395.0043617366</v>
      </c>
      <c r="AW174" s="173">
        <f t="shared" si="125"/>
        <v>0</v>
      </c>
      <c r="AX174" s="173">
        <f t="shared" si="126"/>
        <v>2902497.5613410911</v>
      </c>
      <c r="AY174" s="173">
        <f t="shared" si="127"/>
        <v>0</v>
      </c>
      <c r="AZ174" s="173">
        <f t="shared" si="128"/>
        <v>2956157.1522193337</v>
      </c>
      <c r="BB174" s="87" t="s">
        <v>113</v>
      </c>
      <c r="BC174" s="87" t="s">
        <v>114</v>
      </c>
      <c r="BD174" s="173">
        <f t="shared" si="129"/>
        <v>0</v>
      </c>
      <c r="BE174" s="173">
        <f t="shared" si="130"/>
        <v>2692651.9099983489</v>
      </c>
      <c r="BF174" s="173">
        <f t="shared" si="131"/>
        <v>0</v>
      </c>
      <c r="BG174" s="173">
        <f t="shared" si="132"/>
        <v>2866360.2693913351</v>
      </c>
      <c r="BH174" s="173">
        <f t="shared" si="133"/>
        <v>0</v>
      </c>
      <c r="BI174" s="173">
        <f t="shared" si="134"/>
        <v>2918892.1478824238</v>
      </c>
      <c r="BJ174" s="173">
        <f t="shared" si="135"/>
        <v>0</v>
      </c>
      <c r="BK174" s="173">
        <f t="shared" si="136"/>
        <v>2977975.9892066205</v>
      </c>
      <c r="BM174" s="87" t="s">
        <v>113</v>
      </c>
      <c r="BN174" s="87" t="s">
        <v>114</v>
      </c>
      <c r="BO174" s="173">
        <f t="shared" si="137"/>
        <v>0</v>
      </c>
      <c r="BP174" s="173">
        <f t="shared" si="138"/>
        <v>2692651.9099983489</v>
      </c>
      <c r="BQ174" s="173">
        <f t="shared" si="139"/>
        <v>0</v>
      </c>
      <c r="BR174" s="173">
        <f t="shared" si="140"/>
        <v>2850855.3964784616</v>
      </c>
      <c r="BS174" s="173">
        <f t="shared" si="141"/>
        <v>0</v>
      </c>
      <c r="BT174" s="173">
        <f t="shared" si="142"/>
        <v>2903659.6435957681</v>
      </c>
      <c r="BU174" s="173">
        <f t="shared" si="143"/>
        <v>0</v>
      </c>
      <c r="BV174" s="173">
        <f t="shared" si="144"/>
        <v>2955750.9620622722</v>
      </c>
    </row>
    <row r="175" spans="5:74">
      <c r="E175" s="87" t="s">
        <v>231</v>
      </c>
      <c r="F175" s="87" t="s">
        <v>232</v>
      </c>
      <c r="G175" s="173">
        <f>IFERROR(IF(VLOOKUP(E175,A:C,3,FALSE)="YES",VLOOKUP(E175,'School Year 2021-22 SPED coop'!A:P,16,FALSE),0),0)</f>
        <v>0</v>
      </c>
      <c r="H175" s="173">
        <f t="shared" si="145"/>
        <v>7516489.6999999993</v>
      </c>
      <c r="J175" s="87" t="s">
        <v>231</v>
      </c>
      <c r="K175" s="87" t="s">
        <v>232</v>
      </c>
      <c r="L175" s="173">
        <f t="shared" si="104"/>
        <v>0</v>
      </c>
      <c r="M175" s="173">
        <f t="shared" si="105"/>
        <v>7601825.8501590816</v>
      </c>
      <c r="N175" s="173">
        <f t="shared" si="106"/>
        <v>0</v>
      </c>
      <c r="O175" s="173">
        <f t="shared" si="107"/>
        <v>7854126.5254468098</v>
      </c>
      <c r="P175" s="173">
        <f t="shared" si="108"/>
        <v>0</v>
      </c>
      <c r="Q175" s="173">
        <f t="shared" si="109"/>
        <v>8000784.8496036818</v>
      </c>
      <c r="R175" s="173">
        <f t="shared" si="110"/>
        <v>0</v>
      </c>
      <c r="S175" s="173">
        <f t="shared" si="111"/>
        <v>8150333.4211584665</v>
      </c>
      <c r="U175" s="87" t="s">
        <v>231</v>
      </c>
      <c r="V175" s="87" t="s">
        <v>232</v>
      </c>
      <c r="W175" s="173">
        <f t="shared" si="112"/>
        <v>0</v>
      </c>
      <c r="X175" s="173">
        <f t="shared" si="146"/>
        <v>7601825.8501590816</v>
      </c>
      <c r="Y175" s="173">
        <f t="shared" si="147"/>
        <v>0</v>
      </c>
      <c r="Z175" s="173">
        <f t="shared" si="148"/>
        <v>7892633.7849170249</v>
      </c>
      <c r="AA175" s="173">
        <f t="shared" si="149"/>
        <v>0</v>
      </c>
      <c r="AB175" s="173">
        <f t="shared" si="150"/>
        <v>8046015.6014557611</v>
      </c>
      <c r="AC175" s="173">
        <f t="shared" si="151"/>
        <v>0</v>
      </c>
      <c r="AD175" s="173">
        <f t="shared" si="152"/>
        <v>8210530.11112737</v>
      </c>
      <c r="AF175" s="87" t="s">
        <v>231</v>
      </c>
      <c r="AG175" s="87" t="s">
        <v>232</v>
      </c>
      <c r="AH175" s="173">
        <f t="shared" si="113"/>
        <v>0</v>
      </c>
      <c r="AI175" s="173">
        <f t="shared" si="114"/>
        <v>7601825.8501590816</v>
      </c>
      <c r="AJ175" s="173">
        <f t="shared" si="115"/>
        <v>0</v>
      </c>
      <c r="AK175" s="173">
        <f t="shared" si="116"/>
        <v>7926607.1798843518</v>
      </c>
      <c r="AL175" s="173">
        <f t="shared" si="117"/>
        <v>0</v>
      </c>
      <c r="AM175" s="173">
        <f t="shared" si="118"/>
        <v>8090102.8139075926</v>
      </c>
      <c r="AN175" s="173">
        <f t="shared" si="119"/>
        <v>0</v>
      </c>
      <c r="AO175" s="173">
        <f t="shared" si="120"/>
        <v>8254896.5545040555</v>
      </c>
      <c r="AQ175" s="87" t="s">
        <v>231</v>
      </c>
      <c r="AR175" s="87" t="s">
        <v>232</v>
      </c>
      <c r="AS175" s="173">
        <f t="shared" si="121"/>
        <v>0</v>
      </c>
      <c r="AT175" s="173">
        <f t="shared" si="122"/>
        <v>7601825.8501590816</v>
      </c>
      <c r="AU175" s="173">
        <f t="shared" si="123"/>
        <v>0</v>
      </c>
      <c r="AV175" s="173">
        <f t="shared" si="124"/>
        <v>8050415.7888420485</v>
      </c>
      <c r="AW175" s="173">
        <f t="shared" si="125"/>
        <v>0</v>
      </c>
      <c r="AX175" s="173">
        <f t="shared" si="126"/>
        <v>8193934.1530189868</v>
      </c>
      <c r="AY175" s="173">
        <f t="shared" si="127"/>
        <v>0</v>
      </c>
      <c r="AZ175" s="173">
        <f t="shared" si="128"/>
        <v>8347641.7880501682</v>
      </c>
      <c r="BB175" s="87" t="s">
        <v>231</v>
      </c>
      <c r="BC175" s="87" t="s">
        <v>232</v>
      </c>
      <c r="BD175" s="173">
        <f t="shared" si="129"/>
        <v>0</v>
      </c>
      <c r="BE175" s="173">
        <f t="shared" si="130"/>
        <v>7601825.8501590816</v>
      </c>
      <c r="BF175" s="173">
        <f t="shared" si="131"/>
        <v>0</v>
      </c>
      <c r="BG175" s="173">
        <f t="shared" si="132"/>
        <v>8089885.4161301134</v>
      </c>
      <c r="BH175" s="173">
        <f t="shared" si="133"/>
        <v>0</v>
      </c>
      <c r="BI175" s="173">
        <f t="shared" si="134"/>
        <v>8240256.8397243507</v>
      </c>
      <c r="BJ175" s="173">
        <f t="shared" si="135"/>
        <v>0</v>
      </c>
      <c r="BK175" s="173">
        <f t="shared" si="136"/>
        <v>8409295.7552356906</v>
      </c>
      <c r="BM175" s="87" t="s">
        <v>231</v>
      </c>
      <c r="BN175" s="87" t="s">
        <v>232</v>
      </c>
      <c r="BO175" s="173">
        <f t="shared" si="137"/>
        <v>0</v>
      </c>
      <c r="BP175" s="173">
        <f t="shared" si="138"/>
        <v>7601825.8501590816</v>
      </c>
      <c r="BQ175" s="173">
        <f t="shared" si="139"/>
        <v>0</v>
      </c>
      <c r="BR175" s="173">
        <f t="shared" si="140"/>
        <v>8124740.0669664629</v>
      </c>
      <c r="BS175" s="173">
        <f t="shared" si="141"/>
        <v>0</v>
      </c>
      <c r="BT175" s="173">
        <f t="shared" si="142"/>
        <v>8285442.9922466567</v>
      </c>
      <c r="BU175" s="173">
        <f t="shared" si="143"/>
        <v>0</v>
      </c>
      <c r="BV175" s="173">
        <f t="shared" si="144"/>
        <v>8454775.9919397552</v>
      </c>
    </row>
    <row r="176" spans="5:74">
      <c r="E176" s="87" t="s">
        <v>323</v>
      </c>
      <c r="F176" s="87" t="s">
        <v>324</v>
      </c>
      <c r="G176" s="173">
        <f>IFERROR(IF(VLOOKUP(E176,A:C,3,FALSE)="YES",VLOOKUP(E176,'School Year 2021-22 SPED coop'!A:P,16,FALSE),0),0)</f>
        <v>0</v>
      </c>
      <c r="H176" s="173">
        <f t="shared" si="145"/>
        <v>3088276.42</v>
      </c>
      <c r="J176" s="87" t="s">
        <v>323</v>
      </c>
      <c r="K176" s="87" t="s">
        <v>324</v>
      </c>
      <c r="L176" s="173">
        <f t="shared" si="104"/>
        <v>0</v>
      </c>
      <c r="M176" s="173">
        <f t="shared" si="105"/>
        <v>3123279.1372091332</v>
      </c>
      <c r="N176" s="173">
        <f t="shared" si="106"/>
        <v>0</v>
      </c>
      <c r="O176" s="173">
        <f t="shared" si="107"/>
        <v>3228293.1332138707</v>
      </c>
      <c r="P176" s="173">
        <f t="shared" si="108"/>
        <v>0</v>
      </c>
      <c r="Q176" s="173">
        <f t="shared" si="109"/>
        <v>3288267.4515482993</v>
      </c>
      <c r="R176" s="173">
        <f t="shared" si="110"/>
        <v>0</v>
      </c>
      <c r="S176" s="173">
        <f t="shared" si="111"/>
        <v>3349153.374065991</v>
      </c>
      <c r="U176" s="87" t="s">
        <v>323</v>
      </c>
      <c r="V176" s="87" t="s">
        <v>324</v>
      </c>
      <c r="W176" s="173">
        <f t="shared" si="112"/>
        <v>0</v>
      </c>
      <c r="X176" s="173">
        <f t="shared" si="146"/>
        <v>3123279.1372091332</v>
      </c>
      <c r="Y176" s="173">
        <f t="shared" si="147"/>
        <v>0</v>
      </c>
      <c r="Z176" s="173">
        <f t="shared" si="148"/>
        <v>3244109.0462718173</v>
      </c>
      <c r="AA176" s="173">
        <f t="shared" si="149"/>
        <v>0</v>
      </c>
      <c r="AB176" s="173">
        <f t="shared" si="150"/>
        <v>3306842.6876902576</v>
      </c>
      <c r="AC176" s="173">
        <f t="shared" si="151"/>
        <v>0</v>
      </c>
      <c r="AD176" s="173">
        <f t="shared" si="152"/>
        <v>3373879.1505777715</v>
      </c>
      <c r="AF176" s="87" t="s">
        <v>323</v>
      </c>
      <c r="AG176" s="87" t="s">
        <v>324</v>
      </c>
      <c r="AH176" s="173">
        <f t="shared" si="113"/>
        <v>0</v>
      </c>
      <c r="AI176" s="173">
        <f t="shared" si="114"/>
        <v>3123279.1372091332</v>
      </c>
      <c r="AJ176" s="173">
        <f t="shared" si="115"/>
        <v>0</v>
      </c>
      <c r="AK176" s="173">
        <f t="shared" si="116"/>
        <v>3212546.1728978707</v>
      </c>
      <c r="AL176" s="173">
        <f t="shared" si="117"/>
        <v>0</v>
      </c>
      <c r="AM176" s="173">
        <f t="shared" si="118"/>
        <v>3272231.7966051176</v>
      </c>
      <c r="AN176" s="173">
        <f t="shared" si="119"/>
        <v>0</v>
      </c>
      <c r="AO176" s="173">
        <f t="shared" si="120"/>
        <v>3332827.8198118163</v>
      </c>
      <c r="AQ176" s="87" t="s">
        <v>323</v>
      </c>
      <c r="AR176" s="87" t="s">
        <v>324</v>
      </c>
      <c r="AS176" s="173">
        <f t="shared" si="121"/>
        <v>0</v>
      </c>
      <c r="AT176" s="173">
        <f t="shared" si="122"/>
        <v>3123279.1372091332</v>
      </c>
      <c r="AU176" s="173">
        <f t="shared" si="123"/>
        <v>0</v>
      </c>
      <c r="AV176" s="173">
        <f t="shared" si="124"/>
        <v>3308202.0903508272</v>
      </c>
      <c r="AW176" s="173">
        <f t="shared" si="125"/>
        <v>0</v>
      </c>
      <c r="AX176" s="173">
        <f t="shared" si="126"/>
        <v>3366631.1953306757</v>
      </c>
      <c r="AY176" s="173">
        <f t="shared" si="127"/>
        <v>0</v>
      </c>
      <c r="AZ176" s="173">
        <f t="shared" si="128"/>
        <v>3429208.5678914981</v>
      </c>
      <c r="BB176" s="87" t="s">
        <v>323</v>
      </c>
      <c r="BC176" s="87" t="s">
        <v>324</v>
      </c>
      <c r="BD176" s="173">
        <f t="shared" si="129"/>
        <v>0</v>
      </c>
      <c r="BE176" s="173">
        <f t="shared" si="130"/>
        <v>3123279.1372091332</v>
      </c>
      <c r="BF176" s="173">
        <f t="shared" si="131"/>
        <v>0</v>
      </c>
      <c r="BG176" s="173">
        <f t="shared" si="132"/>
        <v>3324409.483208403</v>
      </c>
      <c r="BH176" s="173">
        <f t="shared" si="133"/>
        <v>0</v>
      </c>
      <c r="BI176" s="173">
        <f t="shared" si="134"/>
        <v>3385649.0987510113</v>
      </c>
      <c r="BJ176" s="173">
        <f t="shared" si="135"/>
        <v>0</v>
      </c>
      <c r="BK176" s="173">
        <f t="shared" si="136"/>
        <v>3454525.3614382292</v>
      </c>
      <c r="BM176" s="87" t="s">
        <v>323</v>
      </c>
      <c r="BN176" s="87" t="s">
        <v>324</v>
      </c>
      <c r="BO176" s="173">
        <f t="shared" si="137"/>
        <v>0</v>
      </c>
      <c r="BP176" s="173">
        <f t="shared" si="138"/>
        <v>3123279.1372091332</v>
      </c>
      <c r="BQ176" s="173">
        <f t="shared" si="139"/>
        <v>0</v>
      </c>
      <c r="BR176" s="173">
        <f t="shared" si="140"/>
        <v>3292060.6067403299</v>
      </c>
      <c r="BS176" s="173">
        <f t="shared" si="141"/>
        <v>0</v>
      </c>
      <c r="BT176" s="173">
        <f t="shared" si="142"/>
        <v>3350211.2529412988</v>
      </c>
      <c r="BU176" s="173">
        <f t="shared" si="143"/>
        <v>0</v>
      </c>
      <c r="BV176" s="173">
        <f t="shared" si="144"/>
        <v>3412490.4326035115</v>
      </c>
    </row>
    <row r="177" spans="5:74">
      <c r="E177" s="87" t="s">
        <v>353</v>
      </c>
      <c r="F177" s="87" t="s">
        <v>354</v>
      </c>
      <c r="G177" s="173">
        <f>IFERROR(IF(VLOOKUP(E177,A:C,3,FALSE)="YES",VLOOKUP(E177,'School Year 2021-22 SPED coop'!A:P,16,FALSE),0),0)</f>
        <v>0</v>
      </c>
      <c r="H177" s="173">
        <f t="shared" si="145"/>
        <v>73900.11</v>
      </c>
      <c r="J177" s="87" t="s">
        <v>353</v>
      </c>
      <c r="K177" s="87" t="s">
        <v>354</v>
      </c>
      <c r="L177" s="173">
        <f t="shared" si="104"/>
        <v>0</v>
      </c>
      <c r="M177" s="173">
        <f t="shared" si="105"/>
        <v>74725.554338031492</v>
      </c>
      <c r="N177" s="173">
        <f t="shared" si="106"/>
        <v>0</v>
      </c>
      <c r="O177" s="173">
        <f t="shared" si="107"/>
        <v>77257.32033826111</v>
      </c>
      <c r="P177" s="173">
        <f t="shared" si="108"/>
        <v>0</v>
      </c>
      <c r="Q177" s="173">
        <f t="shared" si="109"/>
        <v>78688.113108702251</v>
      </c>
      <c r="R177" s="173">
        <f t="shared" si="110"/>
        <v>0</v>
      </c>
      <c r="S177" s="173">
        <f t="shared" si="111"/>
        <v>80136.720880170091</v>
      </c>
      <c r="U177" s="87" t="s">
        <v>353</v>
      </c>
      <c r="V177" s="87" t="s">
        <v>354</v>
      </c>
      <c r="W177" s="173">
        <f t="shared" si="112"/>
        <v>0</v>
      </c>
      <c r="X177" s="173">
        <f t="shared" si="146"/>
        <v>74725.554338031492</v>
      </c>
      <c r="Y177" s="173">
        <f t="shared" si="147"/>
        <v>0</v>
      </c>
      <c r="Z177" s="173">
        <f t="shared" si="148"/>
        <v>77257.32033826111</v>
      </c>
      <c r="AA177" s="173">
        <f t="shared" si="149"/>
        <v>0</v>
      </c>
      <c r="AB177" s="173">
        <f t="shared" si="150"/>
        <v>78688.113108702251</v>
      </c>
      <c r="AC177" s="173">
        <f t="shared" si="151"/>
        <v>0</v>
      </c>
      <c r="AD177" s="173">
        <f t="shared" si="152"/>
        <v>80136.720880170091</v>
      </c>
      <c r="AF177" s="87" t="s">
        <v>353</v>
      </c>
      <c r="AG177" s="87" t="s">
        <v>354</v>
      </c>
      <c r="AH177" s="173">
        <f t="shared" si="113"/>
        <v>0</v>
      </c>
      <c r="AI177" s="173">
        <f t="shared" si="114"/>
        <v>74725.554338031492</v>
      </c>
      <c r="AJ177" s="173">
        <f t="shared" si="115"/>
        <v>0</v>
      </c>
      <c r="AK177" s="173">
        <f t="shared" si="116"/>
        <v>76242.13877433275</v>
      </c>
      <c r="AL177" s="173">
        <f t="shared" si="117"/>
        <v>0</v>
      </c>
      <c r="AM177" s="173">
        <f t="shared" si="118"/>
        <v>77590.009618022101</v>
      </c>
      <c r="AN177" s="173">
        <f t="shared" si="119"/>
        <v>0</v>
      </c>
      <c r="AO177" s="173">
        <f t="shared" si="120"/>
        <v>78857.137587005971</v>
      </c>
      <c r="AQ177" s="87" t="s">
        <v>353</v>
      </c>
      <c r="AR177" s="87" t="s">
        <v>354</v>
      </c>
      <c r="AS177" s="173">
        <f t="shared" si="121"/>
        <v>0</v>
      </c>
      <c r="AT177" s="173">
        <f t="shared" si="122"/>
        <v>74725.554338031492</v>
      </c>
      <c r="AU177" s="173">
        <f t="shared" si="123"/>
        <v>0</v>
      </c>
      <c r="AV177" s="173">
        <f t="shared" si="124"/>
        <v>79158.862974724412</v>
      </c>
      <c r="AW177" s="173">
        <f t="shared" si="125"/>
        <v>0</v>
      </c>
      <c r="AX177" s="173">
        <f t="shared" si="126"/>
        <v>80549.00203476561</v>
      </c>
      <c r="AY177" s="173">
        <f t="shared" si="127"/>
        <v>0</v>
      </c>
      <c r="AZ177" s="173">
        <f t="shared" si="128"/>
        <v>82037.831520888663</v>
      </c>
      <c r="BB177" s="87" t="s">
        <v>353</v>
      </c>
      <c r="BC177" s="87" t="s">
        <v>354</v>
      </c>
      <c r="BD177" s="173">
        <f t="shared" si="129"/>
        <v>0</v>
      </c>
      <c r="BE177" s="173">
        <f t="shared" si="130"/>
        <v>74725.554338031492</v>
      </c>
      <c r="BF177" s="173">
        <f t="shared" si="131"/>
        <v>0</v>
      </c>
      <c r="BG177" s="173">
        <f t="shared" si="132"/>
        <v>79158.862974724412</v>
      </c>
      <c r="BH177" s="173">
        <f t="shared" si="133"/>
        <v>0</v>
      </c>
      <c r="BI177" s="173">
        <f t="shared" si="134"/>
        <v>80549.00203476561</v>
      </c>
      <c r="BJ177" s="173">
        <f t="shared" si="135"/>
        <v>0</v>
      </c>
      <c r="BK177" s="173">
        <f t="shared" si="136"/>
        <v>82037.831520888663</v>
      </c>
      <c r="BM177" s="87" t="s">
        <v>353</v>
      </c>
      <c r="BN177" s="87" t="s">
        <v>354</v>
      </c>
      <c r="BO177" s="173">
        <f t="shared" si="137"/>
        <v>0</v>
      </c>
      <c r="BP177" s="173">
        <f t="shared" si="138"/>
        <v>74725.554338031492</v>
      </c>
      <c r="BQ177" s="173">
        <f t="shared" si="139"/>
        <v>0</v>
      </c>
      <c r="BR177" s="173">
        <f t="shared" si="140"/>
        <v>78118.376666316355</v>
      </c>
      <c r="BS177" s="173">
        <f t="shared" si="141"/>
        <v>0</v>
      </c>
      <c r="BT177" s="173">
        <f t="shared" si="142"/>
        <v>79424.897879292781</v>
      </c>
      <c r="BU177" s="173">
        <f t="shared" si="143"/>
        <v>0</v>
      </c>
      <c r="BV177" s="173">
        <f t="shared" si="144"/>
        <v>80727.930556902502</v>
      </c>
    </row>
    <row r="178" spans="5:74">
      <c r="E178" s="87" t="s">
        <v>509</v>
      </c>
      <c r="F178" s="87" t="s">
        <v>510</v>
      </c>
      <c r="G178" s="173">
        <f>IFERROR(IF(VLOOKUP(E178,A:C,3,FALSE)="YES",VLOOKUP(E178,'School Year 2021-22 SPED coop'!A:P,16,FALSE),0),0)</f>
        <v>0</v>
      </c>
      <c r="H178" s="173">
        <f t="shared" si="145"/>
        <v>19811539.440000001</v>
      </c>
      <c r="J178" s="87" t="s">
        <v>509</v>
      </c>
      <c r="K178" s="87" t="s">
        <v>510</v>
      </c>
      <c r="L178" s="173">
        <f t="shared" si="104"/>
        <v>0</v>
      </c>
      <c r="M178" s="173">
        <f t="shared" si="105"/>
        <v>20149568.994290508</v>
      </c>
      <c r="N178" s="173">
        <f t="shared" si="106"/>
        <v>0</v>
      </c>
      <c r="O178" s="173">
        <f t="shared" si="107"/>
        <v>20683161.849551558</v>
      </c>
      <c r="P178" s="173">
        <f t="shared" si="108"/>
        <v>0</v>
      </c>
      <c r="Q178" s="173">
        <f t="shared" si="109"/>
        <v>21066834.643118769</v>
      </c>
      <c r="R178" s="173">
        <f t="shared" si="110"/>
        <v>0</v>
      </c>
      <c r="S178" s="173">
        <f t="shared" si="111"/>
        <v>21455834.347239569</v>
      </c>
      <c r="U178" s="87" t="s">
        <v>509</v>
      </c>
      <c r="V178" s="87" t="s">
        <v>510</v>
      </c>
      <c r="W178" s="173">
        <f t="shared" si="112"/>
        <v>0</v>
      </c>
      <c r="X178" s="173">
        <f t="shared" si="146"/>
        <v>20149568.994290508</v>
      </c>
      <c r="Y178" s="173">
        <f t="shared" si="147"/>
        <v>0</v>
      </c>
      <c r="Z178" s="173">
        <f t="shared" si="148"/>
        <v>20784559.180688132</v>
      </c>
      <c r="AA178" s="173">
        <f t="shared" si="149"/>
        <v>0</v>
      </c>
      <c r="AB178" s="173">
        <f t="shared" si="150"/>
        <v>21185887.64847273</v>
      </c>
      <c r="AC178" s="173">
        <f t="shared" si="151"/>
        <v>0</v>
      </c>
      <c r="AD178" s="173">
        <f t="shared" si="152"/>
        <v>21614306.080196176</v>
      </c>
      <c r="AF178" s="87" t="s">
        <v>509</v>
      </c>
      <c r="AG178" s="87" t="s">
        <v>510</v>
      </c>
      <c r="AH178" s="173">
        <f t="shared" si="113"/>
        <v>0</v>
      </c>
      <c r="AI178" s="173">
        <f t="shared" si="114"/>
        <v>20149568.994290508</v>
      </c>
      <c r="AJ178" s="173">
        <f t="shared" si="115"/>
        <v>0</v>
      </c>
      <c r="AK178" s="173">
        <f t="shared" si="116"/>
        <v>20725236.678286873</v>
      </c>
      <c r="AL178" s="173">
        <f t="shared" si="117"/>
        <v>0</v>
      </c>
      <c r="AM178" s="173">
        <f t="shared" si="118"/>
        <v>21119349.955524381</v>
      </c>
      <c r="AN178" s="173">
        <f t="shared" si="119"/>
        <v>0</v>
      </c>
      <c r="AO178" s="173">
        <f t="shared" si="120"/>
        <v>21508227.64497561</v>
      </c>
      <c r="AQ178" s="87" t="s">
        <v>509</v>
      </c>
      <c r="AR178" s="87" t="s">
        <v>510</v>
      </c>
      <c r="AS178" s="173">
        <f t="shared" si="121"/>
        <v>0</v>
      </c>
      <c r="AT178" s="173">
        <f t="shared" si="122"/>
        <v>20149568.994290508</v>
      </c>
      <c r="AU178" s="173">
        <f t="shared" si="123"/>
        <v>0</v>
      </c>
      <c r="AV178" s="173">
        <f t="shared" si="124"/>
        <v>21193719.873964343</v>
      </c>
      <c r="AW178" s="173">
        <f t="shared" si="125"/>
        <v>0</v>
      </c>
      <c r="AX178" s="173">
        <f t="shared" si="126"/>
        <v>21567020.490250975</v>
      </c>
      <c r="AY178" s="173">
        <f t="shared" si="127"/>
        <v>0</v>
      </c>
      <c r="AZ178" s="173">
        <f t="shared" si="128"/>
        <v>21966823.747585353</v>
      </c>
      <c r="BB178" s="87" t="s">
        <v>509</v>
      </c>
      <c r="BC178" s="87" t="s">
        <v>510</v>
      </c>
      <c r="BD178" s="173">
        <f t="shared" si="129"/>
        <v>0</v>
      </c>
      <c r="BE178" s="173">
        <f t="shared" si="130"/>
        <v>20149568.994290508</v>
      </c>
      <c r="BF178" s="173">
        <f t="shared" si="131"/>
        <v>0</v>
      </c>
      <c r="BG178" s="173">
        <f t="shared" si="132"/>
        <v>21297620.164283089</v>
      </c>
      <c r="BH178" s="173">
        <f t="shared" si="133"/>
        <v>0</v>
      </c>
      <c r="BI178" s="173">
        <f t="shared" si="134"/>
        <v>21688900.140479214</v>
      </c>
      <c r="BJ178" s="173">
        <f t="shared" si="135"/>
        <v>0</v>
      </c>
      <c r="BK178" s="173">
        <f t="shared" si="136"/>
        <v>22129069.620336957</v>
      </c>
      <c r="BM178" s="87" t="s">
        <v>509</v>
      </c>
      <c r="BN178" s="87" t="s">
        <v>510</v>
      </c>
      <c r="BO178" s="173">
        <f t="shared" si="137"/>
        <v>0</v>
      </c>
      <c r="BP178" s="173">
        <f t="shared" si="138"/>
        <v>20149568.994290508</v>
      </c>
      <c r="BQ178" s="173">
        <f t="shared" si="139"/>
        <v>0</v>
      </c>
      <c r="BR178" s="173">
        <f t="shared" si="140"/>
        <v>21236853.751767706</v>
      </c>
      <c r="BS178" s="173">
        <f t="shared" si="141"/>
        <v>0</v>
      </c>
      <c r="BT178" s="173">
        <f t="shared" si="142"/>
        <v>21620807.305221211</v>
      </c>
      <c r="BU178" s="173">
        <f t="shared" si="143"/>
        <v>0</v>
      </c>
      <c r="BV178" s="173">
        <f t="shared" si="144"/>
        <v>22020486.142361164</v>
      </c>
    </row>
    <row r="179" spans="5:74">
      <c r="E179" s="87" t="s">
        <v>503</v>
      </c>
      <c r="F179" s="87" t="s">
        <v>504</v>
      </c>
      <c r="G179" s="173">
        <f>IFERROR(IF(VLOOKUP(E179,A:C,3,FALSE)="YES",VLOOKUP(E179,'School Year 2021-22 SPED coop'!A:P,16,FALSE),0),0)</f>
        <v>0</v>
      </c>
      <c r="H179" s="173">
        <f t="shared" si="145"/>
        <v>205077.86000000002</v>
      </c>
      <c r="J179" s="87" t="s">
        <v>503</v>
      </c>
      <c r="K179" s="87" t="s">
        <v>504</v>
      </c>
      <c r="L179" s="173">
        <f t="shared" si="104"/>
        <v>0</v>
      </c>
      <c r="M179" s="173">
        <f t="shared" si="105"/>
        <v>207434.68508498417</v>
      </c>
      <c r="N179" s="173">
        <f t="shared" si="106"/>
        <v>0</v>
      </c>
      <c r="O179" s="173">
        <f t="shared" si="107"/>
        <v>214472.2929076789</v>
      </c>
      <c r="P179" s="173">
        <f t="shared" si="108"/>
        <v>0</v>
      </c>
      <c r="Q179" s="173">
        <f t="shared" si="109"/>
        <v>218447.36450622446</v>
      </c>
      <c r="R179" s="173">
        <f t="shared" si="110"/>
        <v>0</v>
      </c>
      <c r="S179" s="173">
        <f t="shared" si="111"/>
        <v>222474.44822433594</v>
      </c>
      <c r="U179" s="87" t="s">
        <v>503</v>
      </c>
      <c r="V179" s="87" t="s">
        <v>504</v>
      </c>
      <c r="W179" s="173">
        <f t="shared" si="112"/>
        <v>0</v>
      </c>
      <c r="X179" s="173">
        <f t="shared" si="146"/>
        <v>207434.68508498417</v>
      </c>
      <c r="Y179" s="173">
        <f t="shared" si="147"/>
        <v>0</v>
      </c>
      <c r="Z179" s="173">
        <f t="shared" si="148"/>
        <v>215525.37461544212</v>
      </c>
      <c r="AA179" s="173">
        <f t="shared" si="149"/>
        <v>0</v>
      </c>
      <c r="AB179" s="173">
        <f t="shared" si="150"/>
        <v>219681.58551319549</v>
      </c>
      <c r="AC179" s="173">
        <f t="shared" si="151"/>
        <v>0</v>
      </c>
      <c r="AD179" s="173">
        <f t="shared" si="152"/>
        <v>224109.23792790013</v>
      </c>
      <c r="AF179" s="87" t="s">
        <v>503</v>
      </c>
      <c r="AG179" s="87" t="s">
        <v>504</v>
      </c>
      <c r="AH179" s="173">
        <f t="shared" si="113"/>
        <v>0</v>
      </c>
      <c r="AI179" s="173">
        <f t="shared" si="114"/>
        <v>207434.68508498417</v>
      </c>
      <c r="AJ179" s="173">
        <f t="shared" si="115"/>
        <v>0</v>
      </c>
      <c r="AK179" s="173">
        <f t="shared" si="116"/>
        <v>212551.89865430622</v>
      </c>
      <c r="AL179" s="173">
        <f t="shared" si="117"/>
        <v>0</v>
      </c>
      <c r="AM179" s="173">
        <f t="shared" si="118"/>
        <v>216109.89701891239</v>
      </c>
      <c r="AN179" s="173">
        <f t="shared" si="119"/>
        <v>0</v>
      </c>
      <c r="AO179" s="173">
        <f t="shared" si="120"/>
        <v>220286.26786309466</v>
      </c>
      <c r="AQ179" s="87" t="s">
        <v>503</v>
      </c>
      <c r="AR179" s="87" t="s">
        <v>504</v>
      </c>
      <c r="AS179" s="173">
        <f t="shared" si="121"/>
        <v>0</v>
      </c>
      <c r="AT179" s="173">
        <f t="shared" si="122"/>
        <v>207434.68508498417</v>
      </c>
      <c r="AU179" s="173">
        <f t="shared" si="123"/>
        <v>0</v>
      </c>
      <c r="AV179" s="173">
        <f t="shared" si="124"/>
        <v>219751.03847271783</v>
      </c>
      <c r="AW179" s="173">
        <f t="shared" si="125"/>
        <v>0</v>
      </c>
      <c r="AX179" s="173">
        <f t="shared" si="126"/>
        <v>223615.44429546286</v>
      </c>
      <c r="AY179" s="173">
        <f t="shared" si="127"/>
        <v>0</v>
      </c>
      <c r="AZ179" s="173">
        <f t="shared" si="128"/>
        <v>227754.2323889868</v>
      </c>
      <c r="BB179" s="87" t="s">
        <v>503</v>
      </c>
      <c r="BC179" s="87" t="s">
        <v>504</v>
      </c>
      <c r="BD179" s="173">
        <f t="shared" si="129"/>
        <v>0</v>
      </c>
      <c r="BE179" s="173">
        <f t="shared" si="130"/>
        <v>207434.68508498417</v>
      </c>
      <c r="BF179" s="173">
        <f t="shared" si="131"/>
        <v>0</v>
      </c>
      <c r="BG179" s="173">
        <f t="shared" si="132"/>
        <v>220830.04020607308</v>
      </c>
      <c r="BH179" s="173">
        <f t="shared" si="133"/>
        <v>0</v>
      </c>
      <c r="BI179" s="173">
        <f t="shared" si="134"/>
        <v>224878.86459215422</v>
      </c>
      <c r="BJ179" s="173">
        <f t="shared" si="135"/>
        <v>0</v>
      </c>
      <c r="BK179" s="173">
        <f t="shared" si="136"/>
        <v>229427.81507474009</v>
      </c>
      <c r="BM179" s="87" t="s">
        <v>503</v>
      </c>
      <c r="BN179" s="87" t="s">
        <v>504</v>
      </c>
      <c r="BO179" s="173">
        <f t="shared" si="137"/>
        <v>0</v>
      </c>
      <c r="BP179" s="173">
        <f t="shared" si="138"/>
        <v>207434.68508498417</v>
      </c>
      <c r="BQ179" s="173">
        <f t="shared" si="139"/>
        <v>0</v>
      </c>
      <c r="BR179" s="173">
        <f t="shared" si="140"/>
        <v>217782.89801444192</v>
      </c>
      <c r="BS179" s="173">
        <f t="shared" si="141"/>
        <v>0</v>
      </c>
      <c r="BT179" s="173">
        <f t="shared" si="142"/>
        <v>221222.47155561089</v>
      </c>
      <c r="BU179" s="173">
        <f t="shared" si="143"/>
        <v>0</v>
      </c>
      <c r="BV179" s="173">
        <f t="shared" si="144"/>
        <v>225514.19739044347</v>
      </c>
    </row>
    <row r="180" spans="5:74">
      <c r="E180" s="87" t="s">
        <v>219</v>
      </c>
      <c r="F180" s="87" t="s">
        <v>220</v>
      </c>
      <c r="G180" s="173">
        <f>IFERROR(IF(VLOOKUP(E180,A:C,3,FALSE)="YES",VLOOKUP(E180,'School Year 2021-22 SPED coop'!A:P,16,FALSE),0),0)</f>
        <v>0</v>
      </c>
      <c r="H180" s="173">
        <f t="shared" si="145"/>
        <v>27649553.27</v>
      </c>
      <c r="J180" s="87" t="s">
        <v>219</v>
      </c>
      <c r="K180" s="87" t="s">
        <v>220</v>
      </c>
      <c r="L180" s="173">
        <f t="shared" si="104"/>
        <v>0</v>
      </c>
      <c r="M180" s="173">
        <f t="shared" si="105"/>
        <v>27960204.93074733</v>
      </c>
      <c r="N180" s="173">
        <f t="shared" si="106"/>
        <v>0</v>
      </c>
      <c r="O180" s="173">
        <f t="shared" si="107"/>
        <v>28887869.725417875</v>
      </c>
      <c r="P180" s="173">
        <f t="shared" si="108"/>
        <v>0</v>
      </c>
      <c r="Q180" s="173">
        <f t="shared" si="109"/>
        <v>29427255.151485752</v>
      </c>
      <c r="R180" s="173">
        <f t="shared" si="110"/>
        <v>0</v>
      </c>
      <c r="S180" s="173">
        <f t="shared" si="111"/>
        <v>29977244.356736291</v>
      </c>
      <c r="U180" s="87" t="s">
        <v>219</v>
      </c>
      <c r="V180" s="87" t="s">
        <v>220</v>
      </c>
      <c r="W180" s="173">
        <f t="shared" si="112"/>
        <v>0</v>
      </c>
      <c r="X180" s="173">
        <f t="shared" si="146"/>
        <v>27960204.93074733</v>
      </c>
      <c r="Y180" s="173">
        <f t="shared" si="147"/>
        <v>0</v>
      </c>
      <c r="Z180" s="173">
        <f t="shared" si="148"/>
        <v>29029509.670851566</v>
      </c>
      <c r="AA180" s="173">
        <f t="shared" si="149"/>
        <v>0</v>
      </c>
      <c r="AB180" s="173">
        <f t="shared" si="150"/>
        <v>29593580.319971316</v>
      </c>
      <c r="AC180" s="173">
        <f t="shared" si="151"/>
        <v>0</v>
      </c>
      <c r="AD180" s="173">
        <f t="shared" si="152"/>
        <v>30198657.595887464</v>
      </c>
      <c r="AF180" s="87" t="s">
        <v>219</v>
      </c>
      <c r="AG180" s="87" t="s">
        <v>220</v>
      </c>
      <c r="AH180" s="173">
        <f t="shared" si="113"/>
        <v>0</v>
      </c>
      <c r="AI180" s="173">
        <f t="shared" si="114"/>
        <v>27960204.93074733</v>
      </c>
      <c r="AJ180" s="173">
        <f t="shared" si="115"/>
        <v>0</v>
      </c>
      <c r="AK180" s="173">
        <f t="shared" si="116"/>
        <v>28876543.703670368</v>
      </c>
      <c r="AL180" s="173">
        <f t="shared" si="117"/>
        <v>0</v>
      </c>
      <c r="AM180" s="173">
        <f t="shared" si="118"/>
        <v>29453042.323770132</v>
      </c>
      <c r="AN180" s="173">
        <f t="shared" si="119"/>
        <v>0</v>
      </c>
      <c r="AO180" s="173">
        <f t="shared" si="120"/>
        <v>30040566.126629133</v>
      </c>
      <c r="AQ180" s="87" t="s">
        <v>219</v>
      </c>
      <c r="AR180" s="87" t="s">
        <v>220</v>
      </c>
      <c r="AS180" s="173">
        <f t="shared" si="121"/>
        <v>0</v>
      </c>
      <c r="AT180" s="173">
        <f t="shared" si="122"/>
        <v>27960204.93074733</v>
      </c>
      <c r="AU180" s="173">
        <f t="shared" si="123"/>
        <v>0</v>
      </c>
      <c r="AV180" s="173">
        <f t="shared" si="124"/>
        <v>29609887.951665465</v>
      </c>
      <c r="AW180" s="173">
        <f t="shared" si="125"/>
        <v>0</v>
      </c>
      <c r="AX180" s="173">
        <f t="shared" si="126"/>
        <v>30137702.547585044</v>
      </c>
      <c r="AY180" s="173">
        <f t="shared" si="127"/>
        <v>0</v>
      </c>
      <c r="AZ180" s="173">
        <f t="shared" si="128"/>
        <v>30702989.669883557</v>
      </c>
      <c r="BB180" s="87" t="s">
        <v>219</v>
      </c>
      <c r="BC180" s="87" t="s">
        <v>220</v>
      </c>
      <c r="BD180" s="173">
        <f t="shared" si="129"/>
        <v>0</v>
      </c>
      <c r="BE180" s="173">
        <f t="shared" si="130"/>
        <v>27960204.93074733</v>
      </c>
      <c r="BF180" s="173">
        <f t="shared" si="131"/>
        <v>0</v>
      </c>
      <c r="BG180" s="173">
        <f t="shared" si="132"/>
        <v>29755068.02399059</v>
      </c>
      <c r="BH180" s="173">
        <f t="shared" si="133"/>
        <v>0</v>
      </c>
      <c r="BI180" s="173">
        <f t="shared" si="134"/>
        <v>30308043.222553365</v>
      </c>
      <c r="BJ180" s="173">
        <f t="shared" si="135"/>
        <v>0</v>
      </c>
      <c r="BK180" s="173">
        <f t="shared" si="136"/>
        <v>30929763.292994436</v>
      </c>
      <c r="BM180" s="87" t="s">
        <v>219</v>
      </c>
      <c r="BN180" s="87" t="s">
        <v>220</v>
      </c>
      <c r="BO180" s="173">
        <f t="shared" si="137"/>
        <v>0</v>
      </c>
      <c r="BP180" s="173">
        <f t="shared" si="138"/>
        <v>27960204.93074733</v>
      </c>
      <c r="BQ180" s="173">
        <f t="shared" si="139"/>
        <v>0</v>
      </c>
      <c r="BR180" s="173">
        <f t="shared" si="140"/>
        <v>29598268.954395588</v>
      </c>
      <c r="BS180" s="173">
        <f t="shared" si="141"/>
        <v>0</v>
      </c>
      <c r="BT180" s="173">
        <f t="shared" si="142"/>
        <v>30164109.35475098</v>
      </c>
      <c r="BU180" s="173">
        <f t="shared" si="143"/>
        <v>0</v>
      </c>
      <c r="BV180" s="173">
        <f t="shared" si="144"/>
        <v>30767852.895021897</v>
      </c>
    </row>
    <row r="181" spans="5:74">
      <c r="E181" s="87" t="s">
        <v>167</v>
      </c>
      <c r="F181" s="87" t="s">
        <v>168</v>
      </c>
      <c r="G181" s="173">
        <f>IFERROR(IF(VLOOKUP(E181,A:C,3,FALSE)="YES",VLOOKUP(E181,'School Year 2021-22 SPED coop'!A:P,16,FALSE),0),0)</f>
        <v>0</v>
      </c>
      <c r="H181" s="173">
        <f t="shared" si="145"/>
        <v>8414786.4199999999</v>
      </c>
      <c r="J181" s="87" t="s">
        <v>167</v>
      </c>
      <c r="K181" s="87" t="s">
        <v>168</v>
      </c>
      <c r="L181" s="173">
        <f t="shared" si="104"/>
        <v>0</v>
      </c>
      <c r="M181" s="173">
        <f t="shared" si="105"/>
        <v>8510074.0109630115</v>
      </c>
      <c r="N181" s="173">
        <f t="shared" si="106"/>
        <v>0</v>
      </c>
      <c r="O181" s="173">
        <f t="shared" si="107"/>
        <v>8794123.0970001817</v>
      </c>
      <c r="P181" s="173">
        <f t="shared" si="108"/>
        <v>0</v>
      </c>
      <c r="Q181" s="173">
        <f t="shared" si="109"/>
        <v>8957919.5246929247</v>
      </c>
      <c r="R181" s="173">
        <f t="shared" si="110"/>
        <v>0</v>
      </c>
      <c r="S181" s="173">
        <f t="shared" si="111"/>
        <v>9124579.5504031051</v>
      </c>
      <c r="U181" s="87" t="s">
        <v>167</v>
      </c>
      <c r="V181" s="87" t="s">
        <v>168</v>
      </c>
      <c r="W181" s="173">
        <f t="shared" si="112"/>
        <v>0</v>
      </c>
      <c r="X181" s="173">
        <f t="shared" si="146"/>
        <v>8510074.0109630115</v>
      </c>
      <c r="Y181" s="173">
        <f t="shared" si="147"/>
        <v>0</v>
      </c>
      <c r="Z181" s="173">
        <f t="shared" si="148"/>
        <v>8837244.3763285875</v>
      </c>
      <c r="AA181" s="173">
        <f t="shared" si="149"/>
        <v>0</v>
      </c>
      <c r="AB181" s="173">
        <f t="shared" si="150"/>
        <v>9008548.1466734037</v>
      </c>
      <c r="AC181" s="173">
        <f t="shared" si="151"/>
        <v>0</v>
      </c>
      <c r="AD181" s="173">
        <f t="shared" si="152"/>
        <v>9191991.5178531539</v>
      </c>
      <c r="AF181" s="87" t="s">
        <v>167</v>
      </c>
      <c r="AG181" s="87" t="s">
        <v>168</v>
      </c>
      <c r="AH181" s="173">
        <f t="shared" si="113"/>
        <v>0</v>
      </c>
      <c r="AI181" s="173">
        <f t="shared" si="114"/>
        <v>8510074.0109630115</v>
      </c>
      <c r="AJ181" s="173">
        <f t="shared" si="115"/>
        <v>0</v>
      </c>
      <c r="AK181" s="173">
        <f t="shared" si="116"/>
        <v>8757830.6890282147</v>
      </c>
      <c r="AL181" s="173">
        <f t="shared" si="117"/>
        <v>0</v>
      </c>
      <c r="AM181" s="173">
        <f t="shared" si="118"/>
        <v>8920955.9513661899</v>
      </c>
      <c r="AN181" s="173">
        <f t="shared" si="119"/>
        <v>0</v>
      </c>
      <c r="AO181" s="173">
        <f t="shared" si="120"/>
        <v>9086937.172775425</v>
      </c>
      <c r="AQ181" s="87" t="s">
        <v>167</v>
      </c>
      <c r="AR181" s="87" t="s">
        <v>168</v>
      </c>
      <c r="AS181" s="173">
        <f t="shared" si="121"/>
        <v>0</v>
      </c>
      <c r="AT181" s="173">
        <f t="shared" si="122"/>
        <v>8510074.0109630115</v>
      </c>
      <c r="AU181" s="173">
        <f t="shared" si="123"/>
        <v>0</v>
      </c>
      <c r="AV181" s="173">
        <f t="shared" si="124"/>
        <v>9012923.0944644026</v>
      </c>
      <c r="AW181" s="173">
        <f t="shared" si="125"/>
        <v>0</v>
      </c>
      <c r="AX181" s="173">
        <f t="shared" si="126"/>
        <v>9172861.7693898194</v>
      </c>
      <c r="AY181" s="173">
        <f t="shared" si="127"/>
        <v>0</v>
      </c>
      <c r="AZ181" s="173">
        <f t="shared" si="128"/>
        <v>9344155.4096295554</v>
      </c>
      <c r="BB181" s="87" t="s">
        <v>167</v>
      </c>
      <c r="BC181" s="87" t="s">
        <v>168</v>
      </c>
      <c r="BD181" s="173">
        <f t="shared" si="129"/>
        <v>0</v>
      </c>
      <c r="BE181" s="173">
        <f t="shared" si="130"/>
        <v>8510074.0109630115</v>
      </c>
      <c r="BF181" s="173">
        <f t="shared" si="131"/>
        <v>0</v>
      </c>
      <c r="BG181" s="173">
        <f t="shared" si="132"/>
        <v>9057117.2447686456</v>
      </c>
      <c r="BH181" s="173">
        <f t="shared" si="133"/>
        <v>0</v>
      </c>
      <c r="BI181" s="173">
        <f t="shared" si="134"/>
        <v>9224705.2073005345</v>
      </c>
      <c r="BJ181" s="173">
        <f t="shared" si="135"/>
        <v>0</v>
      </c>
      <c r="BK181" s="173">
        <f t="shared" si="136"/>
        <v>9413189.6019037645</v>
      </c>
      <c r="BM181" s="87" t="s">
        <v>167</v>
      </c>
      <c r="BN181" s="87" t="s">
        <v>168</v>
      </c>
      <c r="BO181" s="173">
        <f t="shared" si="137"/>
        <v>0</v>
      </c>
      <c r="BP181" s="173">
        <f t="shared" si="138"/>
        <v>8510074.0109630115</v>
      </c>
      <c r="BQ181" s="173">
        <f t="shared" si="139"/>
        <v>0</v>
      </c>
      <c r="BR181" s="173">
        <f t="shared" si="140"/>
        <v>8975712.9754680544</v>
      </c>
      <c r="BS181" s="173">
        <f t="shared" si="141"/>
        <v>0</v>
      </c>
      <c r="BT181" s="173">
        <f t="shared" si="142"/>
        <v>9134999.7341203149</v>
      </c>
      <c r="BU181" s="173">
        <f t="shared" si="143"/>
        <v>0</v>
      </c>
      <c r="BV181" s="173">
        <f t="shared" si="144"/>
        <v>9305595.2059524879</v>
      </c>
    </row>
    <row r="182" spans="5:74">
      <c r="E182" s="87" t="s">
        <v>579</v>
      </c>
      <c r="F182" s="87" t="s">
        <v>580</v>
      </c>
      <c r="G182" s="173">
        <f>IFERROR(IF(VLOOKUP(E182,A:C,3,FALSE)="YES",VLOOKUP(E182,'School Year 2021-22 SPED coop'!A:P,16,FALSE),0),0)</f>
        <v>0</v>
      </c>
      <c r="H182" s="173">
        <f t="shared" si="145"/>
        <v>173040.37</v>
      </c>
      <c r="J182" s="87" t="s">
        <v>579</v>
      </c>
      <c r="K182" s="87" t="s">
        <v>580</v>
      </c>
      <c r="L182" s="173">
        <f t="shared" si="104"/>
        <v>0</v>
      </c>
      <c r="M182" s="173">
        <f t="shared" si="105"/>
        <v>175051.28276503447</v>
      </c>
      <c r="N182" s="173">
        <f t="shared" si="106"/>
        <v>0</v>
      </c>
      <c r="O182" s="173">
        <f t="shared" si="107"/>
        <v>180951.43831696946</v>
      </c>
      <c r="P182" s="173">
        <f t="shared" si="108"/>
        <v>0</v>
      </c>
      <c r="Q182" s="173">
        <f t="shared" si="109"/>
        <v>184307.76062244072</v>
      </c>
      <c r="R182" s="173">
        <f t="shared" si="110"/>
        <v>0</v>
      </c>
      <c r="S182" s="173">
        <f t="shared" si="111"/>
        <v>187710.19035310461</v>
      </c>
      <c r="U182" s="87" t="s">
        <v>579</v>
      </c>
      <c r="V182" s="87" t="s">
        <v>580</v>
      </c>
      <c r="W182" s="173">
        <f t="shared" si="112"/>
        <v>0</v>
      </c>
      <c r="X182" s="173">
        <f t="shared" si="146"/>
        <v>175051.28276503447</v>
      </c>
      <c r="Y182" s="173">
        <f t="shared" si="147"/>
        <v>0</v>
      </c>
      <c r="Z182" s="173">
        <f t="shared" si="148"/>
        <v>181840.78963352929</v>
      </c>
      <c r="AA182" s="173">
        <f t="shared" si="149"/>
        <v>0</v>
      </c>
      <c r="AB182" s="173">
        <f t="shared" si="150"/>
        <v>185365.20715278364</v>
      </c>
      <c r="AC182" s="173">
        <f t="shared" si="151"/>
        <v>0</v>
      </c>
      <c r="AD182" s="173">
        <f t="shared" si="152"/>
        <v>189092.16107935997</v>
      </c>
      <c r="AF182" s="87" t="s">
        <v>579</v>
      </c>
      <c r="AG182" s="87" t="s">
        <v>580</v>
      </c>
      <c r="AH182" s="173">
        <f t="shared" si="113"/>
        <v>0</v>
      </c>
      <c r="AI182" s="173">
        <f t="shared" si="114"/>
        <v>175051.28276503447</v>
      </c>
      <c r="AJ182" s="173">
        <f t="shared" si="115"/>
        <v>0</v>
      </c>
      <c r="AK182" s="173">
        <f t="shared" si="116"/>
        <v>178230.20107267983</v>
      </c>
      <c r="AL182" s="173">
        <f t="shared" si="117"/>
        <v>0</v>
      </c>
      <c r="AM182" s="173">
        <f t="shared" si="118"/>
        <v>181536.53753531317</v>
      </c>
      <c r="AN182" s="173">
        <f t="shared" si="119"/>
        <v>0</v>
      </c>
      <c r="AO182" s="173">
        <f t="shared" si="120"/>
        <v>184888.69812398782</v>
      </c>
      <c r="AQ182" s="87" t="s">
        <v>579</v>
      </c>
      <c r="AR182" s="87" t="s">
        <v>580</v>
      </c>
      <c r="AS182" s="173">
        <f t="shared" si="121"/>
        <v>0</v>
      </c>
      <c r="AT182" s="173">
        <f t="shared" si="122"/>
        <v>175051.28276503447</v>
      </c>
      <c r="AU182" s="173">
        <f t="shared" si="123"/>
        <v>0</v>
      </c>
      <c r="AV182" s="173">
        <f t="shared" si="124"/>
        <v>185421.12697257299</v>
      </c>
      <c r="AW182" s="173">
        <f t="shared" si="125"/>
        <v>0</v>
      </c>
      <c r="AX182" s="173">
        <f t="shared" si="126"/>
        <v>188686.31908923667</v>
      </c>
      <c r="AY182" s="173">
        <f t="shared" si="127"/>
        <v>0</v>
      </c>
      <c r="AZ182" s="173">
        <f t="shared" si="128"/>
        <v>192183.32051191386</v>
      </c>
      <c r="BB182" s="87" t="s">
        <v>579</v>
      </c>
      <c r="BC182" s="87" t="s">
        <v>580</v>
      </c>
      <c r="BD182" s="173">
        <f t="shared" si="129"/>
        <v>0</v>
      </c>
      <c r="BE182" s="173">
        <f t="shared" si="130"/>
        <v>175051.28276503447</v>
      </c>
      <c r="BF182" s="173">
        <f t="shared" si="131"/>
        <v>0</v>
      </c>
      <c r="BG182" s="173">
        <f t="shared" si="132"/>
        <v>186332.44739216412</v>
      </c>
      <c r="BH182" s="173">
        <f t="shared" si="133"/>
        <v>0</v>
      </c>
      <c r="BI182" s="173">
        <f t="shared" si="134"/>
        <v>189768.89522863645</v>
      </c>
      <c r="BJ182" s="173">
        <f t="shared" si="135"/>
        <v>0</v>
      </c>
      <c r="BK182" s="173">
        <f t="shared" si="136"/>
        <v>193598.22124819434</v>
      </c>
      <c r="BM182" s="87" t="s">
        <v>579</v>
      </c>
      <c r="BN182" s="87" t="s">
        <v>580</v>
      </c>
      <c r="BO182" s="173">
        <f t="shared" si="137"/>
        <v>0</v>
      </c>
      <c r="BP182" s="173">
        <f t="shared" si="138"/>
        <v>175051.28276503447</v>
      </c>
      <c r="BQ182" s="173">
        <f t="shared" si="139"/>
        <v>0</v>
      </c>
      <c r="BR182" s="173">
        <f t="shared" si="140"/>
        <v>182631.73540419189</v>
      </c>
      <c r="BS182" s="173">
        <f t="shared" si="141"/>
        <v>0</v>
      </c>
      <c r="BT182" s="173">
        <f t="shared" si="142"/>
        <v>185848.64737825337</v>
      </c>
      <c r="BU182" s="173">
        <f t="shared" si="143"/>
        <v>0</v>
      </c>
      <c r="BV182" s="173">
        <f t="shared" si="144"/>
        <v>189293.94441100827</v>
      </c>
    </row>
    <row r="183" spans="5:74">
      <c r="E183" s="87" t="s">
        <v>165</v>
      </c>
      <c r="F183" s="87" t="s">
        <v>166</v>
      </c>
      <c r="G183" s="173">
        <f>IFERROR(IF(VLOOKUP(E183,A:C,3,FALSE)="YES",VLOOKUP(E183,'School Year 2021-22 SPED coop'!A:P,16,FALSE),0),0)</f>
        <v>0</v>
      </c>
      <c r="H183" s="173">
        <f t="shared" si="145"/>
        <v>432925.66</v>
      </c>
      <c r="J183" s="87" t="s">
        <v>165</v>
      </c>
      <c r="K183" s="87" t="s">
        <v>166</v>
      </c>
      <c r="L183" s="173">
        <f t="shared" si="104"/>
        <v>0</v>
      </c>
      <c r="M183" s="173">
        <f t="shared" si="105"/>
        <v>437668.49279422534</v>
      </c>
      <c r="N183" s="173">
        <f t="shared" si="106"/>
        <v>0</v>
      </c>
      <c r="O183" s="173">
        <f t="shared" si="107"/>
        <v>452492.18823602324</v>
      </c>
      <c r="P183" s="173">
        <f t="shared" si="108"/>
        <v>0</v>
      </c>
      <c r="Q183" s="173">
        <f t="shared" si="109"/>
        <v>460873.62938544637</v>
      </c>
      <c r="R183" s="173">
        <f t="shared" si="110"/>
        <v>0</v>
      </c>
      <c r="S183" s="173">
        <f t="shared" si="111"/>
        <v>469360.53224238736</v>
      </c>
      <c r="U183" s="87" t="s">
        <v>165</v>
      </c>
      <c r="V183" s="87" t="s">
        <v>166</v>
      </c>
      <c r="W183" s="173">
        <f t="shared" si="112"/>
        <v>0</v>
      </c>
      <c r="X183" s="173">
        <f t="shared" si="146"/>
        <v>437668.49279422534</v>
      </c>
      <c r="Y183" s="173">
        <f t="shared" si="147"/>
        <v>0</v>
      </c>
      <c r="Z183" s="173">
        <f t="shared" si="148"/>
        <v>454705.08818864153</v>
      </c>
      <c r="AA183" s="173">
        <f t="shared" si="149"/>
        <v>0</v>
      </c>
      <c r="AB183" s="173">
        <f t="shared" si="150"/>
        <v>463480.68477850826</v>
      </c>
      <c r="AC183" s="173">
        <f t="shared" si="151"/>
        <v>0</v>
      </c>
      <c r="AD183" s="173">
        <f t="shared" si="152"/>
        <v>472816.86738389026</v>
      </c>
      <c r="AF183" s="87" t="s">
        <v>165</v>
      </c>
      <c r="AG183" s="87" t="s">
        <v>166</v>
      </c>
      <c r="AH183" s="173">
        <f t="shared" si="113"/>
        <v>0</v>
      </c>
      <c r="AI183" s="173">
        <f t="shared" si="114"/>
        <v>437668.49279422534</v>
      </c>
      <c r="AJ183" s="173">
        <f t="shared" si="115"/>
        <v>0</v>
      </c>
      <c r="AK183" s="173">
        <f t="shared" si="116"/>
        <v>455328.9311291842</v>
      </c>
      <c r="AL183" s="173">
        <f t="shared" si="117"/>
        <v>0</v>
      </c>
      <c r="AM183" s="173">
        <f t="shared" si="118"/>
        <v>469536.86162710434</v>
      </c>
      <c r="AN183" s="173">
        <f t="shared" si="119"/>
        <v>0</v>
      </c>
      <c r="AO183" s="173">
        <f t="shared" si="120"/>
        <v>479583.40642280877</v>
      </c>
      <c r="AQ183" s="87" t="s">
        <v>165</v>
      </c>
      <c r="AR183" s="87" t="s">
        <v>166</v>
      </c>
      <c r="AS183" s="173">
        <f t="shared" si="121"/>
        <v>0</v>
      </c>
      <c r="AT183" s="173">
        <f t="shared" si="122"/>
        <v>437668.49279422534</v>
      </c>
      <c r="AU183" s="173">
        <f t="shared" si="123"/>
        <v>0</v>
      </c>
      <c r="AV183" s="173">
        <f t="shared" si="124"/>
        <v>463630.85601554991</v>
      </c>
      <c r="AW183" s="173">
        <f t="shared" si="125"/>
        <v>0</v>
      </c>
      <c r="AX183" s="173">
        <f t="shared" si="126"/>
        <v>471775.17602312914</v>
      </c>
      <c r="AY183" s="173">
        <f t="shared" si="127"/>
        <v>0</v>
      </c>
      <c r="AZ183" s="173">
        <f t="shared" si="128"/>
        <v>480497.70973195345</v>
      </c>
      <c r="BB183" s="87" t="s">
        <v>165</v>
      </c>
      <c r="BC183" s="87" t="s">
        <v>166</v>
      </c>
      <c r="BD183" s="173">
        <f t="shared" si="129"/>
        <v>0</v>
      </c>
      <c r="BE183" s="173">
        <f t="shared" si="130"/>
        <v>437668.49279422534</v>
      </c>
      <c r="BF183" s="173">
        <f t="shared" si="131"/>
        <v>0</v>
      </c>
      <c r="BG183" s="173">
        <f t="shared" si="132"/>
        <v>465898.22632682405</v>
      </c>
      <c r="BH183" s="173">
        <f t="shared" si="133"/>
        <v>0</v>
      </c>
      <c r="BI183" s="173">
        <f t="shared" si="134"/>
        <v>474443.89998367324</v>
      </c>
      <c r="BJ183" s="173">
        <f t="shared" si="135"/>
        <v>0</v>
      </c>
      <c r="BK183" s="173">
        <f t="shared" si="136"/>
        <v>484036.05321336869</v>
      </c>
      <c r="BM183" s="87" t="s">
        <v>165</v>
      </c>
      <c r="BN183" s="87" t="s">
        <v>166</v>
      </c>
      <c r="BO183" s="173">
        <f t="shared" si="137"/>
        <v>0</v>
      </c>
      <c r="BP183" s="173">
        <f t="shared" si="138"/>
        <v>437668.49279422534</v>
      </c>
      <c r="BQ183" s="173">
        <f t="shared" si="139"/>
        <v>0</v>
      </c>
      <c r="BR183" s="173">
        <f t="shared" si="140"/>
        <v>466539.5183490637</v>
      </c>
      <c r="BS183" s="173">
        <f t="shared" si="141"/>
        <v>0</v>
      </c>
      <c r="BT183" s="173">
        <f t="shared" si="142"/>
        <v>480646.46099711966</v>
      </c>
      <c r="BU183" s="173">
        <f t="shared" si="143"/>
        <v>0</v>
      </c>
      <c r="BV183" s="173">
        <f t="shared" si="144"/>
        <v>490966.25743326207</v>
      </c>
    </row>
    <row r="184" spans="5:74">
      <c r="E184" s="87" t="s">
        <v>343</v>
      </c>
      <c r="F184" s="87" t="s">
        <v>344</v>
      </c>
      <c r="G184" s="173">
        <f>IFERROR(IF(VLOOKUP(E184,A:C,3,FALSE)="YES",VLOOKUP(E184,'School Year 2021-22 SPED coop'!A:P,16,FALSE),0),0)</f>
        <v>1860537.5899999999</v>
      </c>
      <c r="H184" s="173">
        <f t="shared" si="145"/>
        <v>0</v>
      </c>
      <c r="J184" s="87" t="s">
        <v>343</v>
      </c>
      <c r="K184" s="87" t="s">
        <v>344</v>
      </c>
      <c r="L184" s="173">
        <f t="shared" si="104"/>
        <v>1297826.7210932132</v>
      </c>
      <c r="M184" s="173">
        <f t="shared" si="105"/>
        <v>0</v>
      </c>
      <c r="N184" s="173">
        <f t="shared" si="106"/>
        <v>1341819.7677298135</v>
      </c>
      <c r="O184" s="173">
        <f t="shared" si="107"/>
        <v>0</v>
      </c>
      <c r="P184" s="173">
        <f t="shared" si="108"/>
        <v>1366676.9603897179</v>
      </c>
      <c r="Q184" s="173">
        <f t="shared" si="109"/>
        <v>0</v>
      </c>
      <c r="R184" s="173">
        <f t="shared" si="110"/>
        <v>1391849.3087838299</v>
      </c>
      <c r="S184" s="173">
        <f t="shared" si="111"/>
        <v>0</v>
      </c>
      <c r="U184" s="87" t="s">
        <v>343</v>
      </c>
      <c r="V184" s="87" t="s">
        <v>344</v>
      </c>
      <c r="W184" s="173">
        <f t="shared" si="112"/>
        <v>1297826.7210932132</v>
      </c>
      <c r="X184" s="173">
        <f t="shared" si="146"/>
        <v>0</v>
      </c>
      <c r="Y184" s="173">
        <f t="shared" si="147"/>
        <v>1348417.1349174578</v>
      </c>
      <c r="Z184" s="173">
        <f t="shared" si="148"/>
        <v>0</v>
      </c>
      <c r="AA184" s="173">
        <f t="shared" si="149"/>
        <v>1374420.4140045238</v>
      </c>
      <c r="AB184" s="173">
        <f t="shared" si="150"/>
        <v>0</v>
      </c>
      <c r="AC184" s="173">
        <f t="shared" si="151"/>
        <v>1402130.5682836582</v>
      </c>
      <c r="AD184" s="173">
        <f t="shared" si="152"/>
        <v>0</v>
      </c>
      <c r="AF184" s="87" t="s">
        <v>343</v>
      </c>
      <c r="AG184" s="87" t="s">
        <v>344</v>
      </c>
      <c r="AH184" s="173">
        <f t="shared" si="113"/>
        <v>1297826.7210932132</v>
      </c>
      <c r="AI184" s="173">
        <f t="shared" si="114"/>
        <v>0</v>
      </c>
      <c r="AJ184" s="173">
        <f t="shared" si="115"/>
        <v>1343911.9564803184</v>
      </c>
      <c r="AK184" s="173">
        <f t="shared" si="116"/>
        <v>0</v>
      </c>
      <c r="AL184" s="173">
        <f t="shared" si="117"/>
        <v>1371862.4571138863</v>
      </c>
      <c r="AM184" s="173">
        <f t="shared" si="118"/>
        <v>0</v>
      </c>
      <c r="AN184" s="173">
        <f t="shared" si="119"/>
        <v>1398654.9527849844</v>
      </c>
      <c r="AO184" s="173">
        <f t="shared" si="120"/>
        <v>0</v>
      </c>
      <c r="AQ184" s="87" t="s">
        <v>343</v>
      </c>
      <c r="AR184" s="87" t="s">
        <v>344</v>
      </c>
      <c r="AS184" s="173">
        <f t="shared" si="121"/>
        <v>1297826.7210932132</v>
      </c>
      <c r="AT184" s="173">
        <f t="shared" si="122"/>
        <v>0</v>
      </c>
      <c r="AU184" s="173">
        <f t="shared" si="123"/>
        <v>1374845.7162355792</v>
      </c>
      <c r="AV184" s="173">
        <f t="shared" si="124"/>
        <v>0</v>
      </c>
      <c r="AW184" s="173">
        <f t="shared" si="125"/>
        <v>1399001.7467916328</v>
      </c>
      <c r="AX184" s="173">
        <f t="shared" si="126"/>
        <v>0</v>
      </c>
      <c r="AY184" s="173">
        <f t="shared" si="127"/>
        <v>1424872.7725220765</v>
      </c>
      <c r="AZ184" s="173">
        <f t="shared" si="128"/>
        <v>0</v>
      </c>
      <c r="BB184" s="87" t="s">
        <v>343</v>
      </c>
      <c r="BC184" s="87" t="s">
        <v>344</v>
      </c>
      <c r="BD184" s="173">
        <f t="shared" si="129"/>
        <v>1297826.7210932132</v>
      </c>
      <c r="BE184" s="173">
        <f t="shared" si="130"/>
        <v>0</v>
      </c>
      <c r="BF184" s="173">
        <f t="shared" si="131"/>
        <v>1381605.4730327728</v>
      </c>
      <c r="BG184" s="173">
        <f t="shared" si="132"/>
        <v>0</v>
      </c>
      <c r="BH184" s="173">
        <f t="shared" si="133"/>
        <v>1406928.3584004678</v>
      </c>
      <c r="BI184" s="173">
        <f t="shared" si="134"/>
        <v>0</v>
      </c>
      <c r="BJ184" s="173">
        <f t="shared" si="135"/>
        <v>1435397.9688599797</v>
      </c>
      <c r="BK184" s="173">
        <f t="shared" si="136"/>
        <v>0</v>
      </c>
      <c r="BM184" s="87" t="s">
        <v>343</v>
      </c>
      <c r="BN184" s="87" t="s">
        <v>344</v>
      </c>
      <c r="BO184" s="173">
        <f t="shared" si="137"/>
        <v>1297826.7210932132</v>
      </c>
      <c r="BP184" s="173">
        <f t="shared" si="138"/>
        <v>0</v>
      </c>
      <c r="BQ184" s="173">
        <f t="shared" si="139"/>
        <v>1376991.3989280791</v>
      </c>
      <c r="BR184" s="173">
        <f t="shared" si="140"/>
        <v>0</v>
      </c>
      <c r="BS184" s="173">
        <f t="shared" si="141"/>
        <v>1404313.1969428868</v>
      </c>
      <c r="BT184" s="173">
        <f t="shared" si="142"/>
        <v>0</v>
      </c>
      <c r="BU184" s="173">
        <f t="shared" si="143"/>
        <v>1431843.9444067616</v>
      </c>
      <c r="BV184" s="173">
        <f t="shared" si="144"/>
        <v>0</v>
      </c>
    </row>
    <row r="185" spans="5:74">
      <c r="E185" s="87" t="s">
        <v>163</v>
      </c>
      <c r="F185" s="87" t="s">
        <v>164</v>
      </c>
      <c r="G185" s="173">
        <f>IFERROR(IF(VLOOKUP(E185,A:C,3,FALSE)="YES",VLOOKUP(E185,'School Year 2021-22 SPED coop'!A:P,16,FALSE),0),0)</f>
        <v>0</v>
      </c>
      <c r="H185" s="173">
        <f t="shared" si="145"/>
        <v>624358.77</v>
      </c>
      <c r="J185" s="87" t="s">
        <v>163</v>
      </c>
      <c r="K185" s="87" t="s">
        <v>164</v>
      </c>
      <c r="L185" s="173">
        <f t="shared" si="104"/>
        <v>0</v>
      </c>
      <c r="M185" s="173">
        <f t="shared" si="105"/>
        <v>631518.47884935793</v>
      </c>
      <c r="N185" s="173">
        <f t="shared" si="106"/>
        <v>0</v>
      </c>
      <c r="O185" s="173">
        <f t="shared" si="107"/>
        <v>652908.64660365565</v>
      </c>
      <c r="P185" s="173">
        <f t="shared" si="108"/>
        <v>0</v>
      </c>
      <c r="Q185" s="173">
        <f t="shared" si="109"/>
        <v>665002.05586842087</v>
      </c>
      <c r="R185" s="173">
        <f t="shared" si="110"/>
        <v>0</v>
      </c>
      <c r="S185" s="173">
        <f t="shared" si="111"/>
        <v>677247.3753044433</v>
      </c>
      <c r="U185" s="87" t="s">
        <v>163</v>
      </c>
      <c r="V185" s="87" t="s">
        <v>164</v>
      </c>
      <c r="W185" s="173">
        <f t="shared" si="112"/>
        <v>0</v>
      </c>
      <c r="X185" s="173">
        <f t="shared" si="146"/>
        <v>631518.47884935793</v>
      </c>
      <c r="Y185" s="173">
        <f t="shared" si="147"/>
        <v>0</v>
      </c>
      <c r="Z185" s="173">
        <f t="shared" si="148"/>
        <v>656116.00686047121</v>
      </c>
      <c r="AA185" s="173">
        <f t="shared" si="149"/>
        <v>0</v>
      </c>
      <c r="AB185" s="173">
        <f t="shared" si="150"/>
        <v>668759.05711471115</v>
      </c>
      <c r="AC185" s="173">
        <f t="shared" si="151"/>
        <v>0</v>
      </c>
      <c r="AD185" s="173">
        <f t="shared" si="152"/>
        <v>682257.2677608201</v>
      </c>
      <c r="AF185" s="87" t="s">
        <v>163</v>
      </c>
      <c r="AG185" s="87" t="s">
        <v>164</v>
      </c>
      <c r="AH185" s="173">
        <f t="shared" si="113"/>
        <v>0</v>
      </c>
      <c r="AI185" s="173">
        <f t="shared" si="114"/>
        <v>631518.47884935793</v>
      </c>
      <c r="AJ185" s="173">
        <f t="shared" si="115"/>
        <v>0</v>
      </c>
      <c r="AK185" s="173">
        <f t="shared" si="116"/>
        <v>647317.94425321289</v>
      </c>
      <c r="AL185" s="173">
        <f t="shared" si="117"/>
        <v>0</v>
      </c>
      <c r="AM185" s="173">
        <f t="shared" si="118"/>
        <v>654060.85405666812</v>
      </c>
      <c r="AN185" s="173">
        <f t="shared" si="119"/>
        <v>0</v>
      </c>
      <c r="AO185" s="173">
        <f t="shared" si="120"/>
        <v>666572.9887054367</v>
      </c>
      <c r="AQ185" s="87" t="s">
        <v>163</v>
      </c>
      <c r="AR185" s="87" t="s">
        <v>164</v>
      </c>
      <c r="AS185" s="173">
        <f t="shared" si="121"/>
        <v>0</v>
      </c>
      <c r="AT185" s="173">
        <f t="shared" si="122"/>
        <v>631518.47884935793</v>
      </c>
      <c r="AU185" s="173">
        <f t="shared" si="123"/>
        <v>0</v>
      </c>
      <c r="AV185" s="173">
        <f t="shared" si="124"/>
        <v>668980.68566875532</v>
      </c>
      <c r="AW185" s="173">
        <f t="shared" si="125"/>
        <v>0</v>
      </c>
      <c r="AX185" s="173">
        <f t="shared" si="126"/>
        <v>680731.72179535485</v>
      </c>
      <c r="AY185" s="173">
        <f t="shared" si="127"/>
        <v>0</v>
      </c>
      <c r="AZ185" s="173">
        <f t="shared" si="128"/>
        <v>693317.02803948452</v>
      </c>
      <c r="BB185" s="87" t="s">
        <v>163</v>
      </c>
      <c r="BC185" s="87" t="s">
        <v>164</v>
      </c>
      <c r="BD185" s="173">
        <f t="shared" si="129"/>
        <v>0</v>
      </c>
      <c r="BE185" s="173">
        <f t="shared" si="130"/>
        <v>631518.47884935793</v>
      </c>
      <c r="BF185" s="173">
        <f t="shared" si="131"/>
        <v>0</v>
      </c>
      <c r="BG185" s="173">
        <f t="shared" si="132"/>
        <v>672267.00179613393</v>
      </c>
      <c r="BH185" s="173">
        <f t="shared" si="133"/>
        <v>0</v>
      </c>
      <c r="BI185" s="173">
        <f t="shared" si="134"/>
        <v>684577.58875198965</v>
      </c>
      <c r="BJ185" s="173">
        <f t="shared" si="135"/>
        <v>0</v>
      </c>
      <c r="BK185" s="173">
        <f t="shared" si="136"/>
        <v>698445.79831440491</v>
      </c>
      <c r="BM185" s="87" t="s">
        <v>163</v>
      </c>
      <c r="BN185" s="87" t="s">
        <v>164</v>
      </c>
      <c r="BO185" s="173">
        <f t="shared" si="137"/>
        <v>0</v>
      </c>
      <c r="BP185" s="173">
        <f t="shared" si="138"/>
        <v>631518.47884935793</v>
      </c>
      <c r="BQ185" s="173">
        <f t="shared" si="139"/>
        <v>0</v>
      </c>
      <c r="BR185" s="173">
        <f t="shared" si="140"/>
        <v>663250.77504776022</v>
      </c>
      <c r="BS185" s="173">
        <f t="shared" si="141"/>
        <v>0</v>
      </c>
      <c r="BT185" s="173">
        <f t="shared" si="142"/>
        <v>669530.22709047934</v>
      </c>
      <c r="BU185" s="173">
        <f t="shared" si="143"/>
        <v>0</v>
      </c>
      <c r="BV185" s="173">
        <f t="shared" si="144"/>
        <v>682387.4665493659</v>
      </c>
    </row>
    <row r="186" spans="5:74">
      <c r="E186" s="87" t="s">
        <v>305</v>
      </c>
      <c r="F186" s="87" t="s">
        <v>306</v>
      </c>
      <c r="G186" s="173">
        <f>IFERROR(IF(VLOOKUP(E186,A:C,3,FALSE)="YES",VLOOKUP(E186,'School Year 2021-22 SPED coop'!A:P,16,FALSE),0),0)</f>
        <v>0</v>
      </c>
      <c r="H186" s="173">
        <f t="shared" si="145"/>
        <v>254027.71</v>
      </c>
      <c r="J186" s="87" t="s">
        <v>305</v>
      </c>
      <c r="K186" s="87" t="s">
        <v>306</v>
      </c>
      <c r="L186" s="173">
        <f t="shared" si="104"/>
        <v>0</v>
      </c>
      <c r="M186" s="173">
        <f t="shared" si="105"/>
        <v>256865.7716030709</v>
      </c>
      <c r="N186" s="173">
        <f t="shared" si="106"/>
        <v>0</v>
      </c>
      <c r="O186" s="173">
        <f t="shared" si="107"/>
        <v>263682.52602490707</v>
      </c>
      <c r="P186" s="173">
        <f t="shared" si="108"/>
        <v>0</v>
      </c>
      <c r="Q186" s="173">
        <f t="shared" si="109"/>
        <v>268581.36263231345</v>
      </c>
      <c r="R186" s="173">
        <f t="shared" si="110"/>
        <v>0</v>
      </c>
      <c r="S186" s="173">
        <f t="shared" si="111"/>
        <v>273554.53659751377</v>
      </c>
      <c r="U186" s="87" t="s">
        <v>305</v>
      </c>
      <c r="V186" s="87" t="s">
        <v>306</v>
      </c>
      <c r="W186" s="173">
        <f t="shared" si="112"/>
        <v>0</v>
      </c>
      <c r="X186" s="173">
        <f t="shared" si="146"/>
        <v>256865.7716030709</v>
      </c>
      <c r="Y186" s="173">
        <f t="shared" si="147"/>
        <v>0</v>
      </c>
      <c r="Z186" s="173">
        <f t="shared" si="148"/>
        <v>264982.00520663662</v>
      </c>
      <c r="AA186" s="173">
        <f t="shared" si="149"/>
        <v>0</v>
      </c>
      <c r="AB186" s="173">
        <f t="shared" si="150"/>
        <v>270097.4427971312</v>
      </c>
      <c r="AC186" s="173">
        <f t="shared" si="151"/>
        <v>0</v>
      </c>
      <c r="AD186" s="173">
        <f t="shared" si="152"/>
        <v>275577.13910296437</v>
      </c>
      <c r="AF186" s="87" t="s">
        <v>305</v>
      </c>
      <c r="AG186" s="87" t="s">
        <v>306</v>
      </c>
      <c r="AH186" s="173">
        <f t="shared" si="113"/>
        <v>0</v>
      </c>
      <c r="AI186" s="173">
        <f t="shared" si="114"/>
        <v>256865.7716030709</v>
      </c>
      <c r="AJ186" s="173">
        <f t="shared" si="115"/>
        <v>0</v>
      </c>
      <c r="AK186" s="173">
        <f t="shared" si="116"/>
        <v>264920.45386297291</v>
      </c>
      <c r="AL186" s="173">
        <f t="shared" si="117"/>
        <v>0</v>
      </c>
      <c r="AM186" s="173">
        <f t="shared" si="118"/>
        <v>269240.74225218612</v>
      </c>
      <c r="AN186" s="173">
        <f t="shared" si="119"/>
        <v>0</v>
      </c>
      <c r="AO186" s="173">
        <f t="shared" si="120"/>
        <v>276102.88166816864</v>
      </c>
      <c r="AQ186" s="87" t="s">
        <v>305</v>
      </c>
      <c r="AR186" s="87" t="s">
        <v>306</v>
      </c>
      <c r="AS186" s="173">
        <f t="shared" si="121"/>
        <v>0</v>
      </c>
      <c r="AT186" s="173">
        <f t="shared" si="122"/>
        <v>256865.7716030709</v>
      </c>
      <c r="AU186" s="173">
        <f t="shared" si="123"/>
        <v>0</v>
      </c>
      <c r="AV186" s="173">
        <f t="shared" si="124"/>
        <v>270210.85627214599</v>
      </c>
      <c r="AW186" s="173">
        <f t="shared" si="125"/>
        <v>0</v>
      </c>
      <c r="AX186" s="173">
        <f t="shared" si="126"/>
        <v>274983.3854733294</v>
      </c>
      <c r="AY186" s="173">
        <f t="shared" si="127"/>
        <v>0</v>
      </c>
      <c r="AZ186" s="173">
        <f t="shared" si="128"/>
        <v>280094.74241747521</v>
      </c>
      <c r="BB186" s="87" t="s">
        <v>305</v>
      </c>
      <c r="BC186" s="87" t="s">
        <v>306</v>
      </c>
      <c r="BD186" s="173">
        <f t="shared" si="129"/>
        <v>0</v>
      </c>
      <c r="BE186" s="173">
        <f t="shared" si="130"/>
        <v>256865.7716030709</v>
      </c>
      <c r="BF186" s="173">
        <f t="shared" si="131"/>
        <v>0</v>
      </c>
      <c r="BG186" s="173">
        <f t="shared" si="132"/>
        <v>271542.51217914419</v>
      </c>
      <c r="BH186" s="173">
        <f t="shared" si="133"/>
        <v>0</v>
      </c>
      <c r="BI186" s="173">
        <f t="shared" si="134"/>
        <v>276535.60255089169</v>
      </c>
      <c r="BJ186" s="173">
        <f t="shared" si="135"/>
        <v>0</v>
      </c>
      <c r="BK186" s="173">
        <f t="shared" si="136"/>
        <v>282165.7028952206</v>
      </c>
      <c r="BM186" s="87" t="s">
        <v>305</v>
      </c>
      <c r="BN186" s="87" t="s">
        <v>306</v>
      </c>
      <c r="BO186" s="173">
        <f t="shared" si="137"/>
        <v>0</v>
      </c>
      <c r="BP186" s="173">
        <f t="shared" si="138"/>
        <v>256865.7716030709</v>
      </c>
      <c r="BQ186" s="173">
        <f t="shared" si="139"/>
        <v>0</v>
      </c>
      <c r="BR186" s="173">
        <f t="shared" si="140"/>
        <v>271480.19991950801</v>
      </c>
      <c r="BS186" s="173">
        <f t="shared" si="141"/>
        <v>0</v>
      </c>
      <c r="BT186" s="173">
        <f t="shared" si="142"/>
        <v>275659.22603378684</v>
      </c>
      <c r="BU186" s="173">
        <f t="shared" si="143"/>
        <v>0</v>
      </c>
      <c r="BV186" s="173">
        <f t="shared" si="144"/>
        <v>282705.20581017045</v>
      </c>
    </row>
    <row r="187" spans="5:74">
      <c r="E187" s="87" t="s">
        <v>331</v>
      </c>
      <c r="F187" s="87" t="s">
        <v>332</v>
      </c>
      <c r="G187" s="173">
        <f>IFERROR(IF(VLOOKUP(E187,A:C,3,FALSE)="YES",VLOOKUP(E187,'School Year 2021-22 SPED coop'!A:P,16,FALSE),0),0)</f>
        <v>0</v>
      </c>
      <c r="H187" s="173">
        <f t="shared" si="145"/>
        <v>1285436.6699999997</v>
      </c>
      <c r="J187" s="87" t="s">
        <v>331</v>
      </c>
      <c r="K187" s="87" t="s">
        <v>332</v>
      </c>
      <c r="L187" s="173">
        <f t="shared" si="104"/>
        <v>0</v>
      </c>
      <c r="M187" s="173">
        <f t="shared" si="105"/>
        <v>1332909.2424992614</v>
      </c>
      <c r="N187" s="173">
        <f t="shared" si="106"/>
        <v>0</v>
      </c>
      <c r="O187" s="173">
        <f t="shared" si="107"/>
        <v>1377923.3765047325</v>
      </c>
      <c r="P187" s="173">
        <f t="shared" si="108"/>
        <v>0</v>
      </c>
      <c r="Q187" s="173">
        <f t="shared" si="109"/>
        <v>1403489.5347641273</v>
      </c>
      <c r="R187" s="173">
        <f t="shared" si="110"/>
        <v>0</v>
      </c>
      <c r="S187" s="173">
        <f t="shared" si="111"/>
        <v>1429413.6334104068</v>
      </c>
      <c r="U187" s="87" t="s">
        <v>331</v>
      </c>
      <c r="V187" s="87" t="s">
        <v>332</v>
      </c>
      <c r="W187" s="173">
        <f t="shared" si="112"/>
        <v>0</v>
      </c>
      <c r="X187" s="173">
        <f t="shared" si="146"/>
        <v>1332909.2424992614</v>
      </c>
      <c r="Y187" s="173">
        <f t="shared" si="147"/>
        <v>0</v>
      </c>
      <c r="Z187" s="173">
        <f t="shared" si="148"/>
        <v>1384687.4145396096</v>
      </c>
      <c r="AA187" s="173">
        <f t="shared" si="149"/>
        <v>0</v>
      </c>
      <c r="AB187" s="173">
        <f t="shared" si="150"/>
        <v>1411415.440277878</v>
      </c>
      <c r="AC187" s="173">
        <f t="shared" si="151"/>
        <v>0</v>
      </c>
      <c r="AD187" s="173">
        <f t="shared" si="152"/>
        <v>1439979.6254403119</v>
      </c>
      <c r="AF187" s="87" t="s">
        <v>331</v>
      </c>
      <c r="AG187" s="87" t="s">
        <v>332</v>
      </c>
      <c r="AH187" s="173">
        <f t="shared" si="113"/>
        <v>0</v>
      </c>
      <c r="AI187" s="173">
        <f t="shared" si="114"/>
        <v>1332909.2424992614</v>
      </c>
      <c r="AJ187" s="173">
        <f t="shared" si="115"/>
        <v>0</v>
      </c>
      <c r="AK187" s="173">
        <f t="shared" si="116"/>
        <v>1378472.302420439</v>
      </c>
      <c r="AL187" s="173">
        <f t="shared" si="117"/>
        <v>0</v>
      </c>
      <c r="AM187" s="173">
        <f t="shared" si="118"/>
        <v>1404048.8163833101</v>
      </c>
      <c r="AN187" s="173">
        <f t="shared" si="119"/>
        <v>0</v>
      </c>
      <c r="AO187" s="173">
        <f t="shared" si="120"/>
        <v>1429983.5516178976</v>
      </c>
      <c r="AQ187" s="87" t="s">
        <v>331</v>
      </c>
      <c r="AR187" s="87" t="s">
        <v>332</v>
      </c>
      <c r="AS187" s="173">
        <f t="shared" si="121"/>
        <v>0</v>
      </c>
      <c r="AT187" s="173">
        <f t="shared" si="122"/>
        <v>1332909.2424992614</v>
      </c>
      <c r="AU187" s="173">
        <f t="shared" si="123"/>
        <v>0</v>
      </c>
      <c r="AV187" s="173">
        <f t="shared" si="124"/>
        <v>1411947.2932128464</v>
      </c>
      <c r="AW187" s="173">
        <f t="shared" si="125"/>
        <v>0</v>
      </c>
      <c r="AX187" s="173">
        <f t="shared" si="126"/>
        <v>1436825.1556490981</v>
      </c>
      <c r="AY187" s="173">
        <f t="shared" si="127"/>
        <v>0</v>
      </c>
      <c r="AZ187" s="173">
        <f t="shared" si="128"/>
        <v>1463469.2648731444</v>
      </c>
      <c r="BB187" s="87" t="s">
        <v>331</v>
      </c>
      <c r="BC187" s="87" t="s">
        <v>332</v>
      </c>
      <c r="BD187" s="173">
        <f t="shared" si="129"/>
        <v>0</v>
      </c>
      <c r="BE187" s="173">
        <f t="shared" si="130"/>
        <v>1332909.2424992614</v>
      </c>
      <c r="BF187" s="173">
        <f t="shared" si="131"/>
        <v>0</v>
      </c>
      <c r="BG187" s="173">
        <f t="shared" si="132"/>
        <v>1418878.3546540844</v>
      </c>
      <c r="BH187" s="173">
        <f t="shared" si="133"/>
        <v>0</v>
      </c>
      <c r="BI187" s="173">
        <f t="shared" si="134"/>
        <v>1444939.3135048058</v>
      </c>
      <c r="BJ187" s="173">
        <f t="shared" si="135"/>
        <v>0</v>
      </c>
      <c r="BK187" s="173">
        <f t="shared" si="136"/>
        <v>1474286.9947741139</v>
      </c>
      <c r="BM187" s="87" t="s">
        <v>331</v>
      </c>
      <c r="BN187" s="87" t="s">
        <v>332</v>
      </c>
      <c r="BO187" s="173">
        <f t="shared" si="137"/>
        <v>0</v>
      </c>
      <c r="BP187" s="173">
        <f t="shared" si="138"/>
        <v>1332909.2424992614</v>
      </c>
      <c r="BQ187" s="173">
        <f t="shared" si="139"/>
        <v>0</v>
      </c>
      <c r="BR187" s="173">
        <f t="shared" si="140"/>
        <v>1412510.2115246146</v>
      </c>
      <c r="BS187" s="173">
        <f t="shared" si="141"/>
        <v>0</v>
      </c>
      <c r="BT187" s="173">
        <f t="shared" si="142"/>
        <v>1437398.2817572614</v>
      </c>
      <c r="BU187" s="173">
        <f t="shared" si="143"/>
        <v>0</v>
      </c>
      <c r="BV187" s="173">
        <f t="shared" si="144"/>
        <v>1464053.3268535908</v>
      </c>
    </row>
    <row r="188" spans="5:74">
      <c r="E188" s="87" t="s">
        <v>513</v>
      </c>
      <c r="F188" s="87" t="s">
        <v>514</v>
      </c>
      <c r="G188" s="173">
        <f>IFERROR(IF(VLOOKUP(E188,A:C,3,FALSE)="YES",VLOOKUP(E188,'School Year 2021-22 SPED coop'!A:P,16,FALSE),0),0)</f>
        <v>0</v>
      </c>
      <c r="H188" s="173">
        <f t="shared" si="145"/>
        <v>12391564.01</v>
      </c>
      <c r="J188" s="87" t="s">
        <v>513</v>
      </c>
      <c r="K188" s="87" t="s">
        <v>514</v>
      </c>
      <c r="L188" s="173">
        <f t="shared" si="104"/>
        <v>0</v>
      </c>
      <c r="M188" s="173">
        <f t="shared" si="105"/>
        <v>12530872.880928913</v>
      </c>
      <c r="N188" s="173">
        <f t="shared" si="106"/>
        <v>0</v>
      </c>
      <c r="O188" s="173">
        <f t="shared" si="107"/>
        <v>12954103.887994627</v>
      </c>
      <c r="P188" s="173">
        <f t="shared" si="108"/>
        <v>0</v>
      </c>
      <c r="Q188" s="173">
        <f t="shared" si="109"/>
        <v>13194471.709149512</v>
      </c>
      <c r="R188" s="173">
        <f t="shared" si="110"/>
        <v>0</v>
      </c>
      <c r="S188" s="173">
        <f t="shared" si="111"/>
        <v>13438217.662553331</v>
      </c>
      <c r="U188" s="87" t="s">
        <v>513</v>
      </c>
      <c r="V188" s="87" t="s">
        <v>514</v>
      </c>
      <c r="W188" s="173">
        <f t="shared" si="112"/>
        <v>0</v>
      </c>
      <c r="X188" s="173">
        <f t="shared" si="146"/>
        <v>12530872.880928913</v>
      </c>
      <c r="Y188" s="173">
        <f t="shared" si="147"/>
        <v>0</v>
      </c>
      <c r="Z188" s="173">
        <f t="shared" si="148"/>
        <v>13017618.303089263</v>
      </c>
      <c r="AA188" s="173">
        <f t="shared" si="149"/>
        <v>0</v>
      </c>
      <c r="AB188" s="173">
        <f t="shared" si="150"/>
        <v>13269035.816420902</v>
      </c>
      <c r="AC188" s="173">
        <f t="shared" si="151"/>
        <v>0</v>
      </c>
      <c r="AD188" s="173">
        <f t="shared" si="152"/>
        <v>13537468.450876148</v>
      </c>
      <c r="AF188" s="87" t="s">
        <v>513</v>
      </c>
      <c r="AG188" s="87" t="s">
        <v>514</v>
      </c>
      <c r="AH188" s="173">
        <f t="shared" si="113"/>
        <v>0</v>
      </c>
      <c r="AI188" s="173">
        <f t="shared" si="114"/>
        <v>12530872.880928913</v>
      </c>
      <c r="AJ188" s="173">
        <f t="shared" si="115"/>
        <v>0</v>
      </c>
      <c r="AK188" s="173">
        <f t="shared" si="116"/>
        <v>13026231.478231082</v>
      </c>
      <c r="AL188" s="173">
        <f t="shared" si="117"/>
        <v>0</v>
      </c>
      <c r="AM188" s="173">
        <f t="shared" si="118"/>
        <v>13276684.3285861</v>
      </c>
      <c r="AN188" s="173">
        <f t="shared" si="119"/>
        <v>0</v>
      </c>
      <c r="AO188" s="173">
        <f t="shared" si="120"/>
        <v>13540799.035947923</v>
      </c>
      <c r="AQ188" s="87" t="s">
        <v>513</v>
      </c>
      <c r="AR188" s="87" t="s">
        <v>514</v>
      </c>
      <c r="AS188" s="173">
        <f t="shared" si="121"/>
        <v>0</v>
      </c>
      <c r="AT188" s="173">
        <f t="shared" si="122"/>
        <v>12530872.880928913</v>
      </c>
      <c r="AU188" s="173">
        <f t="shared" si="123"/>
        <v>0</v>
      </c>
      <c r="AV188" s="173">
        <f t="shared" si="124"/>
        <v>13273968.125444205</v>
      </c>
      <c r="AW188" s="173">
        <f t="shared" si="125"/>
        <v>0</v>
      </c>
      <c r="AX188" s="173">
        <f t="shared" si="126"/>
        <v>13507876.351587355</v>
      </c>
      <c r="AY188" s="173">
        <f t="shared" si="127"/>
        <v>0</v>
      </c>
      <c r="AZ188" s="173">
        <f t="shared" si="128"/>
        <v>13758391.490366654</v>
      </c>
      <c r="BB188" s="87" t="s">
        <v>513</v>
      </c>
      <c r="BC188" s="87" t="s">
        <v>514</v>
      </c>
      <c r="BD188" s="173">
        <f t="shared" si="129"/>
        <v>0</v>
      </c>
      <c r="BE188" s="173">
        <f t="shared" si="130"/>
        <v>12530872.880928913</v>
      </c>
      <c r="BF188" s="173">
        <f t="shared" si="131"/>
        <v>0</v>
      </c>
      <c r="BG188" s="173">
        <f t="shared" si="132"/>
        <v>13339050.846921807</v>
      </c>
      <c r="BH188" s="173">
        <f t="shared" si="133"/>
        <v>0</v>
      </c>
      <c r="BI188" s="173">
        <f t="shared" si="134"/>
        <v>13584211.553959403</v>
      </c>
      <c r="BJ188" s="173">
        <f t="shared" si="135"/>
        <v>0</v>
      </c>
      <c r="BK188" s="173">
        <f t="shared" si="136"/>
        <v>13860006.986517642</v>
      </c>
      <c r="BM188" s="87" t="s">
        <v>513</v>
      </c>
      <c r="BN188" s="87" t="s">
        <v>514</v>
      </c>
      <c r="BO188" s="173">
        <f t="shared" si="137"/>
        <v>0</v>
      </c>
      <c r="BP188" s="173">
        <f t="shared" si="138"/>
        <v>12530872.880928913</v>
      </c>
      <c r="BQ188" s="173">
        <f t="shared" si="139"/>
        <v>0</v>
      </c>
      <c r="BR188" s="173">
        <f t="shared" si="140"/>
        <v>13347904.248028068</v>
      </c>
      <c r="BS188" s="173">
        <f t="shared" si="141"/>
        <v>0</v>
      </c>
      <c r="BT188" s="173">
        <f t="shared" si="142"/>
        <v>13592066.517705452</v>
      </c>
      <c r="BU188" s="173">
        <f t="shared" si="143"/>
        <v>0</v>
      </c>
      <c r="BV188" s="173">
        <f t="shared" si="144"/>
        <v>13863446.716574669</v>
      </c>
    </row>
    <row r="189" spans="5:74">
      <c r="E189" s="87" t="s">
        <v>329</v>
      </c>
      <c r="F189" s="87" t="s">
        <v>330</v>
      </c>
      <c r="G189" s="173">
        <f>IFERROR(IF(VLOOKUP(E189,A:C,3,FALSE)="YES",VLOOKUP(E189,'School Year 2021-22 SPED coop'!A:P,16,FALSE),0),0)</f>
        <v>0</v>
      </c>
      <c r="H189" s="173">
        <f t="shared" si="145"/>
        <v>7703363.3099999996</v>
      </c>
      <c r="J189" s="87" t="s">
        <v>329</v>
      </c>
      <c r="K189" s="87" t="s">
        <v>330</v>
      </c>
      <c r="L189" s="173">
        <f t="shared" si="104"/>
        <v>0</v>
      </c>
      <c r="M189" s="173">
        <f t="shared" si="105"/>
        <v>7789237.5685768183</v>
      </c>
      <c r="N189" s="173">
        <f t="shared" si="106"/>
        <v>0</v>
      </c>
      <c r="O189" s="173">
        <f t="shared" si="107"/>
        <v>8053700.7940492528</v>
      </c>
      <c r="P189" s="173">
        <f t="shared" si="108"/>
        <v>0</v>
      </c>
      <c r="Q189" s="173">
        <f t="shared" si="109"/>
        <v>8203050.6828130241</v>
      </c>
      <c r="R189" s="173">
        <f t="shared" si="110"/>
        <v>0</v>
      </c>
      <c r="S189" s="173">
        <f t="shared" si="111"/>
        <v>8354420.8101151343</v>
      </c>
      <c r="U189" s="87" t="s">
        <v>329</v>
      </c>
      <c r="V189" s="87" t="s">
        <v>330</v>
      </c>
      <c r="W189" s="173">
        <f t="shared" si="112"/>
        <v>0</v>
      </c>
      <c r="X189" s="173">
        <f t="shared" si="146"/>
        <v>7789237.5685768183</v>
      </c>
      <c r="Y189" s="173">
        <f t="shared" si="147"/>
        <v>0</v>
      </c>
      <c r="Z189" s="173">
        <f t="shared" si="148"/>
        <v>8093183.546357465</v>
      </c>
      <c r="AA189" s="173">
        <f t="shared" si="149"/>
        <v>0</v>
      </c>
      <c r="AB189" s="173">
        <f t="shared" si="150"/>
        <v>8249397.5506528178</v>
      </c>
      <c r="AC189" s="173">
        <f t="shared" si="151"/>
        <v>0</v>
      </c>
      <c r="AD189" s="173">
        <f t="shared" si="152"/>
        <v>8416129.385470584</v>
      </c>
      <c r="AF189" s="87" t="s">
        <v>329</v>
      </c>
      <c r="AG189" s="87" t="s">
        <v>330</v>
      </c>
      <c r="AH189" s="173">
        <f t="shared" si="113"/>
        <v>0</v>
      </c>
      <c r="AI189" s="173">
        <f t="shared" si="114"/>
        <v>7789237.5685768183</v>
      </c>
      <c r="AJ189" s="173">
        <f t="shared" si="115"/>
        <v>0</v>
      </c>
      <c r="AK189" s="173">
        <f t="shared" si="116"/>
        <v>8052259.7499980209</v>
      </c>
      <c r="AL189" s="173">
        <f t="shared" si="117"/>
        <v>0</v>
      </c>
      <c r="AM189" s="173">
        <f t="shared" si="118"/>
        <v>8199831.0198472999</v>
      </c>
      <c r="AN189" s="173">
        <f t="shared" si="119"/>
        <v>0</v>
      </c>
      <c r="AO189" s="173">
        <f t="shared" si="120"/>
        <v>8349577.9048900492</v>
      </c>
      <c r="AQ189" s="87" t="s">
        <v>329</v>
      </c>
      <c r="AR189" s="87" t="s">
        <v>330</v>
      </c>
      <c r="AS189" s="173">
        <f t="shared" si="121"/>
        <v>0</v>
      </c>
      <c r="AT189" s="173">
        <f t="shared" si="122"/>
        <v>7789237.5685768183</v>
      </c>
      <c r="AU189" s="173">
        <f t="shared" si="123"/>
        <v>0</v>
      </c>
      <c r="AV189" s="173">
        <f t="shared" si="124"/>
        <v>8251933.2754125232</v>
      </c>
      <c r="AW189" s="173">
        <f t="shared" si="125"/>
        <v>0</v>
      </c>
      <c r="AX189" s="173">
        <f t="shared" si="126"/>
        <v>8397185.2805735022</v>
      </c>
      <c r="AY189" s="173">
        <f t="shared" si="127"/>
        <v>0</v>
      </c>
      <c r="AZ189" s="173">
        <f t="shared" si="128"/>
        <v>8552751.4929007459</v>
      </c>
      <c r="BB189" s="87" t="s">
        <v>329</v>
      </c>
      <c r="BC189" s="87" t="s">
        <v>330</v>
      </c>
      <c r="BD189" s="173">
        <f t="shared" si="129"/>
        <v>0</v>
      </c>
      <c r="BE189" s="173">
        <f t="shared" si="130"/>
        <v>7789237.5685768183</v>
      </c>
      <c r="BF189" s="173">
        <f t="shared" si="131"/>
        <v>0</v>
      </c>
      <c r="BG189" s="173">
        <f t="shared" si="132"/>
        <v>8292387.8478299454</v>
      </c>
      <c r="BH189" s="173">
        <f t="shared" si="133"/>
        <v>0</v>
      </c>
      <c r="BI189" s="173">
        <f t="shared" si="134"/>
        <v>8444628.9925500564</v>
      </c>
      <c r="BJ189" s="173">
        <f t="shared" si="135"/>
        <v>0</v>
      </c>
      <c r="BK189" s="173">
        <f t="shared" si="136"/>
        <v>8615925.0062298998</v>
      </c>
      <c r="BM189" s="87" t="s">
        <v>329</v>
      </c>
      <c r="BN189" s="87" t="s">
        <v>330</v>
      </c>
      <c r="BO189" s="173">
        <f t="shared" si="137"/>
        <v>0</v>
      </c>
      <c r="BP189" s="173">
        <f t="shared" si="138"/>
        <v>7789237.5685768183</v>
      </c>
      <c r="BQ189" s="173">
        <f t="shared" si="139"/>
        <v>0</v>
      </c>
      <c r="BR189" s="173">
        <f t="shared" si="140"/>
        <v>8250458.5828866661</v>
      </c>
      <c r="BS189" s="173">
        <f t="shared" si="141"/>
        <v>0</v>
      </c>
      <c r="BT189" s="173">
        <f t="shared" si="142"/>
        <v>8393893.7075407803</v>
      </c>
      <c r="BU189" s="173">
        <f t="shared" si="143"/>
        <v>0</v>
      </c>
      <c r="BV189" s="173">
        <f t="shared" si="144"/>
        <v>8547798.5417071525</v>
      </c>
    </row>
    <row r="190" spans="5:74">
      <c r="E190" s="87" t="s">
        <v>287</v>
      </c>
      <c r="F190" s="87" t="s">
        <v>288</v>
      </c>
      <c r="G190" s="173">
        <f>IFERROR(IF(VLOOKUP(E190,A:C,3,FALSE)="YES",VLOOKUP(E190,'School Year 2021-22 SPED coop'!A:P,16,FALSE),0),0)</f>
        <v>0</v>
      </c>
      <c r="H190" s="173">
        <f t="shared" si="145"/>
        <v>965223.19000000006</v>
      </c>
      <c r="J190" s="87" t="s">
        <v>287</v>
      </c>
      <c r="K190" s="87" t="s">
        <v>288</v>
      </c>
      <c r="L190" s="173">
        <f t="shared" si="104"/>
        <v>0</v>
      </c>
      <c r="M190" s="173">
        <f t="shared" si="105"/>
        <v>1006932.7795235945</v>
      </c>
      <c r="N190" s="173">
        <f t="shared" si="106"/>
        <v>0</v>
      </c>
      <c r="O190" s="173">
        <f t="shared" si="107"/>
        <v>1041055.542874419</v>
      </c>
      <c r="P190" s="173">
        <f t="shared" si="108"/>
        <v>0</v>
      </c>
      <c r="Q190" s="173">
        <f t="shared" si="109"/>
        <v>1060338.9740609562</v>
      </c>
      <c r="R190" s="173">
        <f t="shared" si="110"/>
        <v>0</v>
      </c>
      <c r="S190" s="173">
        <f t="shared" si="111"/>
        <v>1079865.1682768231</v>
      </c>
      <c r="U190" s="87" t="s">
        <v>287</v>
      </c>
      <c r="V190" s="87" t="s">
        <v>288</v>
      </c>
      <c r="W190" s="173">
        <f t="shared" si="112"/>
        <v>0</v>
      </c>
      <c r="X190" s="173">
        <f t="shared" si="146"/>
        <v>1006932.7795235945</v>
      </c>
      <c r="Y190" s="173">
        <f t="shared" si="147"/>
        <v>0</v>
      </c>
      <c r="Z190" s="173">
        <f t="shared" si="148"/>
        <v>1046170.8353255114</v>
      </c>
      <c r="AA190" s="173">
        <f t="shared" si="149"/>
        <v>0</v>
      </c>
      <c r="AB190" s="173">
        <f t="shared" si="150"/>
        <v>1066327.9779990562</v>
      </c>
      <c r="AC190" s="173">
        <f t="shared" si="151"/>
        <v>0</v>
      </c>
      <c r="AD190" s="173">
        <f t="shared" si="152"/>
        <v>1087838.9472927433</v>
      </c>
      <c r="AF190" s="87" t="s">
        <v>287</v>
      </c>
      <c r="AG190" s="87" t="s">
        <v>288</v>
      </c>
      <c r="AH190" s="173">
        <f t="shared" si="113"/>
        <v>0</v>
      </c>
      <c r="AI190" s="173">
        <f t="shared" si="114"/>
        <v>1006932.7795235945</v>
      </c>
      <c r="AJ190" s="173">
        <f t="shared" si="115"/>
        <v>0</v>
      </c>
      <c r="AK190" s="173">
        <f t="shared" si="116"/>
        <v>1039453.0850565922</v>
      </c>
      <c r="AL190" s="173">
        <f t="shared" si="117"/>
        <v>0</v>
      </c>
      <c r="AM190" s="173">
        <f t="shared" si="118"/>
        <v>1055011.7495576972</v>
      </c>
      <c r="AN190" s="173">
        <f t="shared" si="119"/>
        <v>0</v>
      </c>
      <c r="AO190" s="173">
        <f t="shared" si="120"/>
        <v>1074785.0766445072</v>
      </c>
      <c r="AQ190" s="87" t="s">
        <v>287</v>
      </c>
      <c r="AR190" s="87" t="s">
        <v>288</v>
      </c>
      <c r="AS190" s="173">
        <f t="shared" si="121"/>
        <v>0</v>
      </c>
      <c r="AT190" s="173">
        <f t="shared" si="122"/>
        <v>1006932.7795235945</v>
      </c>
      <c r="AU190" s="173">
        <f t="shared" si="123"/>
        <v>0</v>
      </c>
      <c r="AV190" s="173">
        <f t="shared" si="124"/>
        <v>1066679.3534492403</v>
      </c>
      <c r="AW190" s="173">
        <f t="shared" si="125"/>
        <v>0</v>
      </c>
      <c r="AX190" s="173">
        <f t="shared" si="126"/>
        <v>1085417.2911628159</v>
      </c>
      <c r="AY190" s="173">
        <f t="shared" si="127"/>
        <v>0</v>
      </c>
      <c r="AZ190" s="173">
        <f t="shared" si="128"/>
        <v>1105485.5362531585</v>
      </c>
      <c r="BB190" s="87" t="s">
        <v>287</v>
      </c>
      <c r="BC190" s="87" t="s">
        <v>288</v>
      </c>
      <c r="BD190" s="173">
        <f t="shared" si="129"/>
        <v>0</v>
      </c>
      <c r="BE190" s="173">
        <f t="shared" si="130"/>
        <v>1006932.7795235945</v>
      </c>
      <c r="BF190" s="173">
        <f t="shared" si="131"/>
        <v>0</v>
      </c>
      <c r="BG190" s="173">
        <f t="shared" si="132"/>
        <v>1071920.5560347717</v>
      </c>
      <c r="BH190" s="173">
        <f t="shared" si="133"/>
        <v>0</v>
      </c>
      <c r="BI190" s="173">
        <f t="shared" si="134"/>
        <v>1091547.9404870523</v>
      </c>
      <c r="BJ190" s="173">
        <f t="shared" si="135"/>
        <v>0</v>
      </c>
      <c r="BK190" s="173">
        <f t="shared" si="136"/>
        <v>1113648.496247516</v>
      </c>
      <c r="BM190" s="87" t="s">
        <v>287</v>
      </c>
      <c r="BN190" s="87" t="s">
        <v>288</v>
      </c>
      <c r="BO190" s="173">
        <f t="shared" si="137"/>
        <v>0</v>
      </c>
      <c r="BP190" s="173">
        <f t="shared" si="138"/>
        <v>1006932.7795235945</v>
      </c>
      <c r="BQ190" s="173">
        <f t="shared" si="139"/>
        <v>0</v>
      </c>
      <c r="BR190" s="173">
        <f t="shared" si="140"/>
        <v>1065037.0615923537</v>
      </c>
      <c r="BS190" s="173">
        <f t="shared" si="141"/>
        <v>0</v>
      </c>
      <c r="BT190" s="173">
        <f t="shared" si="142"/>
        <v>1079962.7632117006</v>
      </c>
      <c r="BU190" s="173">
        <f t="shared" si="143"/>
        <v>0</v>
      </c>
      <c r="BV190" s="173">
        <f t="shared" si="144"/>
        <v>1100283.6350132783</v>
      </c>
    </row>
    <row r="191" spans="5:74">
      <c r="E191" s="87" t="s">
        <v>483</v>
      </c>
      <c r="F191" s="87" t="s">
        <v>484</v>
      </c>
      <c r="G191" s="173">
        <f>IFERROR(IF(VLOOKUP(E191,A:C,3,FALSE)="YES",VLOOKUP(E191,'School Year 2021-22 SPED coop'!A:P,16,FALSE),0),0)</f>
        <v>0</v>
      </c>
      <c r="H191" s="173">
        <f t="shared" si="145"/>
        <v>50217.79</v>
      </c>
      <c r="J191" s="87" t="s">
        <v>483</v>
      </c>
      <c r="K191" s="87" t="s">
        <v>484</v>
      </c>
      <c r="L191" s="173">
        <f t="shared" si="104"/>
        <v>0</v>
      </c>
      <c r="M191" s="173">
        <f t="shared" si="105"/>
        <v>50799.773471523069</v>
      </c>
      <c r="N191" s="173">
        <f t="shared" si="106"/>
        <v>0</v>
      </c>
      <c r="O191" s="173">
        <f t="shared" si="107"/>
        <v>52511.671086222545</v>
      </c>
      <c r="P191" s="173">
        <f t="shared" si="108"/>
        <v>0</v>
      </c>
      <c r="Q191" s="173">
        <f t="shared" si="109"/>
        <v>53485.134890427486</v>
      </c>
      <c r="R191" s="173">
        <f t="shared" si="110"/>
        <v>0</v>
      </c>
      <c r="S191" s="173">
        <f t="shared" si="111"/>
        <v>54471.53984506477</v>
      </c>
      <c r="U191" s="87" t="s">
        <v>483</v>
      </c>
      <c r="V191" s="87" t="s">
        <v>484</v>
      </c>
      <c r="W191" s="173">
        <f t="shared" si="112"/>
        <v>0</v>
      </c>
      <c r="X191" s="173">
        <f t="shared" si="146"/>
        <v>50799.773471523069</v>
      </c>
      <c r="Y191" s="173">
        <f t="shared" si="147"/>
        <v>0</v>
      </c>
      <c r="Z191" s="173">
        <f t="shared" si="148"/>
        <v>52511.671086222545</v>
      </c>
      <c r="AA191" s="173">
        <f t="shared" si="149"/>
        <v>0</v>
      </c>
      <c r="AB191" s="173">
        <f t="shared" si="150"/>
        <v>53485.134890427486</v>
      </c>
      <c r="AC191" s="173">
        <f t="shared" si="151"/>
        <v>0</v>
      </c>
      <c r="AD191" s="173">
        <f t="shared" si="152"/>
        <v>54471.53984506477</v>
      </c>
      <c r="AF191" s="87" t="s">
        <v>483</v>
      </c>
      <c r="AG191" s="87" t="s">
        <v>484</v>
      </c>
      <c r="AH191" s="173">
        <f t="shared" si="113"/>
        <v>0</v>
      </c>
      <c r="AI191" s="173">
        <f t="shared" si="114"/>
        <v>50799.773471523069</v>
      </c>
      <c r="AJ191" s="173">
        <f t="shared" si="115"/>
        <v>0</v>
      </c>
      <c r="AK191" s="173">
        <f t="shared" si="116"/>
        <v>50764.554887243627</v>
      </c>
      <c r="AL191" s="173">
        <f t="shared" si="117"/>
        <v>0</v>
      </c>
      <c r="AM191" s="173">
        <f t="shared" si="118"/>
        <v>51969.37518524046</v>
      </c>
      <c r="AN191" s="173">
        <f t="shared" si="119"/>
        <v>0</v>
      </c>
      <c r="AO191" s="173">
        <f t="shared" si="120"/>
        <v>53088.38583298881</v>
      </c>
      <c r="AQ191" s="87" t="s">
        <v>483</v>
      </c>
      <c r="AR191" s="87" t="s">
        <v>484</v>
      </c>
      <c r="AS191" s="173">
        <f t="shared" si="121"/>
        <v>0</v>
      </c>
      <c r="AT191" s="173">
        <f t="shared" si="122"/>
        <v>50799.773471523069</v>
      </c>
      <c r="AU191" s="173">
        <f t="shared" si="123"/>
        <v>0</v>
      </c>
      <c r="AV191" s="173">
        <f t="shared" si="124"/>
        <v>53808.547862762338</v>
      </c>
      <c r="AW191" s="173">
        <f t="shared" si="125"/>
        <v>0</v>
      </c>
      <c r="AX191" s="173">
        <f t="shared" si="126"/>
        <v>54755.18553269015</v>
      </c>
      <c r="AY191" s="173">
        <f t="shared" si="127"/>
        <v>0</v>
      </c>
      <c r="AZ191" s="173">
        <f t="shared" si="128"/>
        <v>55769.021682436556</v>
      </c>
      <c r="BB191" s="87" t="s">
        <v>483</v>
      </c>
      <c r="BC191" s="87" t="s">
        <v>484</v>
      </c>
      <c r="BD191" s="173">
        <f t="shared" si="129"/>
        <v>0</v>
      </c>
      <c r="BE191" s="173">
        <f t="shared" si="130"/>
        <v>50799.773471523069</v>
      </c>
      <c r="BF191" s="173">
        <f t="shared" si="131"/>
        <v>0</v>
      </c>
      <c r="BG191" s="173">
        <f t="shared" si="132"/>
        <v>53808.547862762338</v>
      </c>
      <c r="BH191" s="173">
        <f t="shared" si="133"/>
        <v>0</v>
      </c>
      <c r="BI191" s="173">
        <f t="shared" si="134"/>
        <v>54755.18553269015</v>
      </c>
      <c r="BJ191" s="173">
        <f t="shared" si="135"/>
        <v>0</v>
      </c>
      <c r="BK191" s="173">
        <f t="shared" si="136"/>
        <v>55769.021682436556</v>
      </c>
      <c r="BM191" s="87" t="s">
        <v>483</v>
      </c>
      <c r="BN191" s="87" t="s">
        <v>484</v>
      </c>
      <c r="BO191" s="173">
        <f t="shared" si="137"/>
        <v>0</v>
      </c>
      <c r="BP191" s="173">
        <f t="shared" si="138"/>
        <v>50799.773471523069</v>
      </c>
      <c r="BQ191" s="173">
        <f t="shared" si="139"/>
        <v>0</v>
      </c>
      <c r="BR191" s="173">
        <f t="shared" si="140"/>
        <v>52017.583373320434</v>
      </c>
      <c r="BS191" s="173">
        <f t="shared" si="141"/>
        <v>0</v>
      </c>
      <c r="BT191" s="173">
        <f t="shared" si="142"/>
        <v>53202.968764095531</v>
      </c>
      <c r="BU191" s="173">
        <f t="shared" si="143"/>
        <v>0</v>
      </c>
      <c r="BV191" s="173">
        <f t="shared" si="144"/>
        <v>54352.451374034201</v>
      </c>
    </row>
    <row r="192" spans="5:74">
      <c r="E192" s="87" t="s">
        <v>395</v>
      </c>
      <c r="F192" s="87" t="s">
        <v>396</v>
      </c>
      <c r="G192" s="173">
        <f>IFERROR(IF(VLOOKUP(E192,A:C,3,FALSE)="YES",VLOOKUP(E192,'School Year 2021-22 SPED coop'!A:P,16,FALSE),0),0)</f>
        <v>0</v>
      </c>
      <c r="H192" s="173">
        <f t="shared" si="145"/>
        <v>800099.87</v>
      </c>
      <c r="J192" s="87" t="s">
        <v>395</v>
      </c>
      <c r="K192" s="87" t="s">
        <v>396</v>
      </c>
      <c r="L192" s="173">
        <f t="shared" si="104"/>
        <v>0</v>
      </c>
      <c r="M192" s="173">
        <f t="shared" si="105"/>
        <v>813462.92168334324</v>
      </c>
      <c r="N192" s="173">
        <f t="shared" si="106"/>
        <v>0</v>
      </c>
      <c r="O192" s="173">
        <f t="shared" si="107"/>
        <v>840674.51912135014</v>
      </c>
      <c r="P192" s="173">
        <f t="shared" si="108"/>
        <v>0</v>
      </c>
      <c r="Q192" s="173">
        <f t="shared" si="109"/>
        <v>856341.74136718526</v>
      </c>
      <c r="R192" s="173">
        <f t="shared" si="110"/>
        <v>0</v>
      </c>
      <c r="S192" s="173">
        <f t="shared" si="111"/>
        <v>872290.3516707716</v>
      </c>
      <c r="U192" s="87" t="s">
        <v>395</v>
      </c>
      <c r="V192" s="87" t="s">
        <v>396</v>
      </c>
      <c r="W192" s="173">
        <f t="shared" si="112"/>
        <v>0</v>
      </c>
      <c r="X192" s="173">
        <f t="shared" si="146"/>
        <v>813462.92168334324</v>
      </c>
      <c r="Y192" s="173">
        <f t="shared" si="147"/>
        <v>0</v>
      </c>
      <c r="Z192" s="173">
        <f t="shared" si="148"/>
        <v>844780.88085608359</v>
      </c>
      <c r="AA192" s="173">
        <f t="shared" si="149"/>
        <v>0</v>
      </c>
      <c r="AB192" s="173">
        <f t="shared" si="150"/>
        <v>861181.39892442222</v>
      </c>
      <c r="AC192" s="173">
        <f t="shared" si="151"/>
        <v>0</v>
      </c>
      <c r="AD192" s="173">
        <f t="shared" si="152"/>
        <v>878721.96596771781</v>
      </c>
      <c r="AF192" s="87" t="s">
        <v>395</v>
      </c>
      <c r="AG192" s="87" t="s">
        <v>396</v>
      </c>
      <c r="AH192" s="173">
        <f t="shared" si="113"/>
        <v>0</v>
      </c>
      <c r="AI192" s="173">
        <f t="shared" si="114"/>
        <v>813462.92168334324</v>
      </c>
      <c r="AJ192" s="173">
        <f t="shared" si="115"/>
        <v>0</v>
      </c>
      <c r="AK192" s="173">
        <f t="shared" si="116"/>
        <v>826776.95158641506</v>
      </c>
      <c r="AL192" s="173">
        <f t="shared" si="117"/>
        <v>0</v>
      </c>
      <c r="AM192" s="173">
        <f t="shared" si="118"/>
        <v>840501.59705914953</v>
      </c>
      <c r="AN192" s="173">
        <f t="shared" si="119"/>
        <v>0</v>
      </c>
      <c r="AO192" s="173">
        <f t="shared" si="120"/>
        <v>860081.58009365515</v>
      </c>
      <c r="AQ192" s="87" t="s">
        <v>395</v>
      </c>
      <c r="AR192" s="87" t="s">
        <v>396</v>
      </c>
      <c r="AS192" s="173">
        <f t="shared" si="121"/>
        <v>0</v>
      </c>
      <c r="AT192" s="173">
        <f t="shared" si="122"/>
        <v>813462.92168334324</v>
      </c>
      <c r="AU192" s="173">
        <f t="shared" si="123"/>
        <v>0</v>
      </c>
      <c r="AV192" s="173">
        <f t="shared" si="124"/>
        <v>861582.50752315391</v>
      </c>
      <c r="AW192" s="173">
        <f t="shared" si="125"/>
        <v>0</v>
      </c>
      <c r="AX192" s="173">
        <f t="shared" si="126"/>
        <v>876887.35731959925</v>
      </c>
      <c r="AY192" s="173">
        <f t="shared" si="127"/>
        <v>0</v>
      </c>
      <c r="AZ192" s="173">
        <f t="shared" si="128"/>
        <v>893278.89213215269</v>
      </c>
      <c r="BB192" s="87" t="s">
        <v>395</v>
      </c>
      <c r="BC192" s="87" t="s">
        <v>396</v>
      </c>
      <c r="BD192" s="173">
        <f t="shared" si="129"/>
        <v>0</v>
      </c>
      <c r="BE192" s="173">
        <f t="shared" si="130"/>
        <v>813462.92168334324</v>
      </c>
      <c r="BF192" s="173">
        <f t="shared" si="131"/>
        <v>0</v>
      </c>
      <c r="BG192" s="173">
        <f t="shared" si="132"/>
        <v>865790.98752492806</v>
      </c>
      <c r="BH192" s="173">
        <f t="shared" si="133"/>
        <v>0</v>
      </c>
      <c r="BI192" s="173">
        <f t="shared" si="134"/>
        <v>881843.12924148294</v>
      </c>
      <c r="BJ192" s="173">
        <f t="shared" si="135"/>
        <v>0</v>
      </c>
      <c r="BK192" s="173">
        <f t="shared" si="136"/>
        <v>899865.25403481524</v>
      </c>
      <c r="BM192" s="87" t="s">
        <v>395</v>
      </c>
      <c r="BN192" s="87" t="s">
        <v>396</v>
      </c>
      <c r="BO192" s="173">
        <f t="shared" si="137"/>
        <v>0</v>
      </c>
      <c r="BP192" s="173">
        <f t="shared" si="138"/>
        <v>813462.92168334324</v>
      </c>
      <c r="BQ192" s="173">
        <f t="shared" si="139"/>
        <v>0</v>
      </c>
      <c r="BR192" s="173">
        <f t="shared" si="140"/>
        <v>847334.47805205802</v>
      </c>
      <c r="BS192" s="173">
        <f t="shared" si="141"/>
        <v>0</v>
      </c>
      <c r="BT192" s="173">
        <f t="shared" si="142"/>
        <v>860664.7832410573</v>
      </c>
      <c r="BU192" s="173">
        <f t="shared" si="143"/>
        <v>0</v>
      </c>
      <c r="BV192" s="173">
        <f t="shared" si="144"/>
        <v>880776.15128240478</v>
      </c>
    </row>
    <row r="193" spans="5:74">
      <c r="E193" s="87" t="s">
        <v>453</v>
      </c>
      <c r="F193" s="87" t="s">
        <v>454</v>
      </c>
      <c r="G193" s="173">
        <f>IFERROR(IF(VLOOKUP(E193,A:C,3,FALSE)="YES",VLOOKUP(E193,'School Year 2021-22 SPED coop'!A:P,16,FALSE),0),0)</f>
        <v>0</v>
      </c>
      <c r="H193" s="173">
        <f t="shared" si="145"/>
        <v>34771.199999999997</v>
      </c>
      <c r="J193" s="87" t="s">
        <v>453</v>
      </c>
      <c r="K193" s="87" t="s">
        <v>454</v>
      </c>
      <c r="L193" s="173">
        <f t="shared" si="104"/>
        <v>0</v>
      </c>
      <c r="M193" s="173">
        <f t="shared" si="105"/>
        <v>38147.509277400262</v>
      </c>
      <c r="N193" s="173">
        <f t="shared" si="106"/>
        <v>0</v>
      </c>
      <c r="O193" s="173">
        <f t="shared" si="107"/>
        <v>39431.58149740722</v>
      </c>
      <c r="P193" s="173">
        <f t="shared" si="108"/>
        <v>0</v>
      </c>
      <c r="Q193" s="173">
        <f t="shared" si="109"/>
        <v>40161.129508845661</v>
      </c>
      <c r="R193" s="173">
        <f t="shared" si="110"/>
        <v>0</v>
      </c>
      <c r="S193" s="173">
        <f t="shared" si="111"/>
        <v>40899.165913064513</v>
      </c>
      <c r="U193" s="87" t="s">
        <v>453</v>
      </c>
      <c r="V193" s="87" t="s">
        <v>454</v>
      </c>
      <c r="W193" s="173">
        <f t="shared" si="112"/>
        <v>0</v>
      </c>
      <c r="X193" s="173">
        <f t="shared" si="146"/>
        <v>38147.509277400262</v>
      </c>
      <c r="Y193" s="173">
        <f t="shared" si="147"/>
        <v>0</v>
      </c>
      <c r="Z193" s="173">
        <f t="shared" si="148"/>
        <v>39431.58149740722</v>
      </c>
      <c r="AA193" s="173">
        <f t="shared" si="149"/>
        <v>0</v>
      </c>
      <c r="AB193" s="173">
        <f t="shared" si="150"/>
        <v>40161.129508845661</v>
      </c>
      <c r="AC193" s="173">
        <f t="shared" si="151"/>
        <v>0</v>
      </c>
      <c r="AD193" s="173">
        <f t="shared" si="152"/>
        <v>40899.165913064513</v>
      </c>
      <c r="AF193" s="87" t="s">
        <v>453</v>
      </c>
      <c r="AG193" s="87" t="s">
        <v>454</v>
      </c>
      <c r="AH193" s="173">
        <f t="shared" si="113"/>
        <v>0</v>
      </c>
      <c r="AI193" s="173">
        <f t="shared" si="114"/>
        <v>38147.509277400262</v>
      </c>
      <c r="AJ193" s="173">
        <f t="shared" si="115"/>
        <v>0</v>
      </c>
      <c r="AK193" s="173">
        <f t="shared" si="116"/>
        <v>38721.413556993211</v>
      </c>
      <c r="AL193" s="173">
        <f t="shared" si="117"/>
        <v>0</v>
      </c>
      <c r="AM193" s="173">
        <f t="shared" si="118"/>
        <v>38257.950004794999</v>
      </c>
      <c r="AN193" s="173">
        <f t="shared" si="119"/>
        <v>0</v>
      </c>
      <c r="AO193" s="173">
        <f t="shared" si="120"/>
        <v>38159.368393757031</v>
      </c>
      <c r="AQ193" s="87" t="s">
        <v>453</v>
      </c>
      <c r="AR193" s="87" t="s">
        <v>454</v>
      </c>
      <c r="AS193" s="173">
        <f t="shared" si="121"/>
        <v>0</v>
      </c>
      <c r="AT193" s="173">
        <f t="shared" si="122"/>
        <v>38147.509277400262</v>
      </c>
      <c r="AU193" s="173">
        <f t="shared" si="123"/>
        <v>0</v>
      </c>
      <c r="AV193" s="173">
        <f t="shared" si="124"/>
        <v>40403.213072558399</v>
      </c>
      <c r="AW193" s="173">
        <f t="shared" si="125"/>
        <v>0</v>
      </c>
      <c r="AX193" s="173">
        <f t="shared" si="126"/>
        <v>41111.512150749608</v>
      </c>
      <c r="AY193" s="173">
        <f t="shared" si="127"/>
        <v>0</v>
      </c>
      <c r="AZ193" s="173">
        <f t="shared" si="128"/>
        <v>41870.091273672384</v>
      </c>
      <c r="BB193" s="87" t="s">
        <v>453</v>
      </c>
      <c r="BC193" s="87" t="s">
        <v>454</v>
      </c>
      <c r="BD193" s="173">
        <f t="shared" si="129"/>
        <v>0</v>
      </c>
      <c r="BE193" s="173">
        <f t="shared" si="130"/>
        <v>38147.509277400262</v>
      </c>
      <c r="BF193" s="173">
        <f t="shared" si="131"/>
        <v>0</v>
      </c>
      <c r="BG193" s="173">
        <f t="shared" si="132"/>
        <v>40403.213072558399</v>
      </c>
      <c r="BH193" s="173">
        <f t="shared" si="133"/>
        <v>0</v>
      </c>
      <c r="BI193" s="173">
        <f t="shared" si="134"/>
        <v>41111.512150749608</v>
      </c>
      <c r="BJ193" s="173">
        <f t="shared" si="135"/>
        <v>0</v>
      </c>
      <c r="BK193" s="173">
        <f t="shared" si="136"/>
        <v>41870.091273672384</v>
      </c>
      <c r="BM193" s="87" t="s">
        <v>453</v>
      </c>
      <c r="BN193" s="87" t="s">
        <v>454</v>
      </c>
      <c r="BO193" s="173">
        <f t="shared" si="137"/>
        <v>0</v>
      </c>
      <c r="BP193" s="173">
        <f t="shared" si="138"/>
        <v>38147.509277400262</v>
      </c>
      <c r="BQ193" s="173">
        <f t="shared" si="139"/>
        <v>0</v>
      </c>
      <c r="BR193" s="173">
        <f t="shared" si="140"/>
        <v>39675.264571161264</v>
      </c>
      <c r="BS193" s="173">
        <f t="shared" si="141"/>
        <v>0</v>
      </c>
      <c r="BT193" s="173">
        <f t="shared" si="142"/>
        <v>39162.680047677168</v>
      </c>
      <c r="BU193" s="173">
        <f t="shared" si="143"/>
        <v>0</v>
      </c>
      <c r="BV193" s="173">
        <f t="shared" si="144"/>
        <v>39064.3499165557</v>
      </c>
    </row>
    <row r="194" spans="5:74">
      <c r="E194" s="87" t="s">
        <v>105</v>
      </c>
      <c r="F194" s="87" t="s">
        <v>106</v>
      </c>
      <c r="G194" s="173">
        <f>IFERROR(IF(VLOOKUP(E194,A:C,3,FALSE)="YES",VLOOKUP(E194,'School Year 2021-22 SPED coop'!A:P,16,FALSE),0),0)</f>
        <v>0</v>
      </c>
      <c r="H194" s="173">
        <f t="shared" si="145"/>
        <v>37526.43</v>
      </c>
      <c r="J194" s="87" t="s">
        <v>105</v>
      </c>
      <c r="K194" s="87" t="s">
        <v>106</v>
      </c>
      <c r="L194" s="173">
        <f t="shared" si="104"/>
        <v>0</v>
      </c>
      <c r="M194" s="173">
        <f t="shared" si="105"/>
        <v>42434.749134771206</v>
      </c>
      <c r="N194" s="173">
        <f t="shared" si="106"/>
        <v>0</v>
      </c>
      <c r="O194" s="173">
        <f t="shared" si="107"/>
        <v>43862.705010693593</v>
      </c>
      <c r="P194" s="173">
        <f t="shared" si="108"/>
        <v>0</v>
      </c>
      <c r="Q194" s="173">
        <f t="shared" si="109"/>
        <v>44675.773403095198</v>
      </c>
      <c r="R194" s="173">
        <f t="shared" si="110"/>
        <v>0</v>
      </c>
      <c r="S194" s="173">
        <f t="shared" si="111"/>
        <v>45499.598840519728</v>
      </c>
      <c r="U194" s="87" t="s">
        <v>105</v>
      </c>
      <c r="V194" s="87" t="s">
        <v>106</v>
      </c>
      <c r="W194" s="173">
        <f t="shared" si="112"/>
        <v>0</v>
      </c>
      <c r="X194" s="173">
        <f t="shared" si="146"/>
        <v>42434.749134771206</v>
      </c>
      <c r="Y194" s="173">
        <f t="shared" si="147"/>
        <v>0</v>
      </c>
      <c r="Z194" s="173">
        <f t="shared" si="148"/>
        <v>43862.705010693593</v>
      </c>
      <c r="AA194" s="173">
        <f t="shared" si="149"/>
        <v>0</v>
      </c>
      <c r="AB194" s="173">
        <f t="shared" si="150"/>
        <v>44675.773403095198</v>
      </c>
      <c r="AC194" s="173">
        <f t="shared" si="151"/>
        <v>0</v>
      </c>
      <c r="AD194" s="173">
        <f t="shared" si="152"/>
        <v>45499.598840519728</v>
      </c>
      <c r="AF194" s="87" t="s">
        <v>105</v>
      </c>
      <c r="AG194" s="87" t="s">
        <v>106</v>
      </c>
      <c r="AH194" s="173">
        <f t="shared" si="113"/>
        <v>0</v>
      </c>
      <c r="AI194" s="173">
        <f t="shared" si="114"/>
        <v>42434.749134771206</v>
      </c>
      <c r="AJ194" s="173">
        <f t="shared" si="115"/>
        <v>0</v>
      </c>
      <c r="AK194" s="173">
        <f t="shared" si="116"/>
        <v>43496.32894162069</v>
      </c>
      <c r="AL194" s="173">
        <f t="shared" si="117"/>
        <v>0</v>
      </c>
      <c r="AM194" s="173">
        <f t="shared" si="118"/>
        <v>43283.745752635608</v>
      </c>
      <c r="AN194" s="173">
        <f t="shared" si="119"/>
        <v>0</v>
      </c>
      <c r="AO194" s="173">
        <f t="shared" si="120"/>
        <v>44427.300241907098</v>
      </c>
      <c r="AQ194" s="87" t="s">
        <v>105</v>
      </c>
      <c r="AR194" s="87" t="s">
        <v>106</v>
      </c>
      <c r="AS194" s="173">
        <f t="shared" si="121"/>
        <v>0</v>
      </c>
      <c r="AT194" s="173">
        <f t="shared" si="122"/>
        <v>42434.749134771206</v>
      </c>
      <c r="AU194" s="173">
        <f t="shared" si="123"/>
        <v>0</v>
      </c>
      <c r="AV194" s="173">
        <f t="shared" si="124"/>
        <v>44946.34102027303</v>
      </c>
      <c r="AW194" s="173">
        <f t="shared" si="125"/>
        <v>0</v>
      </c>
      <c r="AX194" s="173">
        <f t="shared" si="126"/>
        <v>45736.962937054035</v>
      </c>
      <c r="AY194" s="173">
        <f t="shared" si="127"/>
        <v>0</v>
      </c>
      <c r="AZ194" s="173">
        <f t="shared" si="128"/>
        <v>46583.708520560896</v>
      </c>
      <c r="BB194" s="87" t="s">
        <v>105</v>
      </c>
      <c r="BC194" s="87" t="s">
        <v>106</v>
      </c>
      <c r="BD194" s="173">
        <f t="shared" si="129"/>
        <v>0</v>
      </c>
      <c r="BE194" s="173">
        <f t="shared" si="130"/>
        <v>42434.749134771206</v>
      </c>
      <c r="BF194" s="173">
        <f t="shared" si="131"/>
        <v>0</v>
      </c>
      <c r="BG194" s="173">
        <f t="shared" si="132"/>
        <v>44946.34102027303</v>
      </c>
      <c r="BH194" s="173">
        <f t="shared" si="133"/>
        <v>0</v>
      </c>
      <c r="BI194" s="173">
        <f t="shared" si="134"/>
        <v>45736.962937054035</v>
      </c>
      <c r="BJ194" s="173">
        <f t="shared" si="135"/>
        <v>0</v>
      </c>
      <c r="BK194" s="173">
        <f t="shared" si="136"/>
        <v>46583.708520560896</v>
      </c>
      <c r="BM194" s="87" t="s">
        <v>105</v>
      </c>
      <c r="BN194" s="87" t="s">
        <v>106</v>
      </c>
      <c r="BO194" s="173">
        <f t="shared" si="137"/>
        <v>0</v>
      </c>
      <c r="BP194" s="173">
        <f t="shared" si="138"/>
        <v>42434.749134771206</v>
      </c>
      <c r="BQ194" s="173">
        <f t="shared" si="139"/>
        <v>0</v>
      </c>
      <c r="BR194" s="173">
        <f t="shared" si="140"/>
        <v>44570.760290062724</v>
      </c>
      <c r="BS194" s="173">
        <f t="shared" si="141"/>
        <v>0</v>
      </c>
      <c r="BT194" s="173">
        <f t="shared" si="142"/>
        <v>44311.359693714265</v>
      </c>
      <c r="BU194" s="173">
        <f t="shared" si="143"/>
        <v>0</v>
      </c>
      <c r="BV194" s="173">
        <f t="shared" si="144"/>
        <v>45485.466409157314</v>
      </c>
    </row>
    <row r="195" spans="5:74">
      <c r="E195" s="87" t="s">
        <v>89</v>
      </c>
      <c r="F195" s="87" t="s">
        <v>90</v>
      </c>
      <c r="G195" s="173">
        <f>IFERROR(IF(VLOOKUP(E195,A:C,3,FALSE)="YES",VLOOKUP(E195,'School Year 2021-22 SPED coop'!A:P,16,FALSE),0),0)</f>
        <v>130265.55</v>
      </c>
      <c r="H195" s="173">
        <f t="shared" si="145"/>
        <v>0</v>
      </c>
      <c r="J195" s="87" t="s">
        <v>89</v>
      </c>
      <c r="K195" s="87" t="s">
        <v>90</v>
      </c>
      <c r="L195" s="173">
        <f t="shared" si="104"/>
        <v>150004.61351045719</v>
      </c>
      <c r="M195" s="173">
        <f t="shared" si="105"/>
        <v>0</v>
      </c>
      <c r="N195" s="173">
        <f t="shared" si="106"/>
        <v>155081.68751211395</v>
      </c>
      <c r="O195" s="173">
        <f t="shared" si="107"/>
        <v>0</v>
      </c>
      <c r="P195" s="173">
        <f t="shared" si="108"/>
        <v>157952.02960292809</v>
      </c>
      <c r="Q195" s="173">
        <f t="shared" si="109"/>
        <v>0</v>
      </c>
      <c r="R195" s="173">
        <f t="shared" si="110"/>
        <v>160856.68613485733</v>
      </c>
      <c r="S195" s="173">
        <f t="shared" si="111"/>
        <v>0</v>
      </c>
      <c r="U195" s="87" t="s">
        <v>89</v>
      </c>
      <c r="V195" s="87" t="s">
        <v>90</v>
      </c>
      <c r="W195" s="173">
        <f t="shared" si="112"/>
        <v>150004.61351045719</v>
      </c>
      <c r="X195" s="173">
        <f t="shared" si="146"/>
        <v>0</v>
      </c>
      <c r="Y195" s="173">
        <f t="shared" si="147"/>
        <v>155841.51954124775</v>
      </c>
      <c r="Z195" s="173">
        <f t="shared" si="148"/>
        <v>0</v>
      </c>
      <c r="AA195" s="173">
        <f t="shared" si="149"/>
        <v>158850.20023578402</v>
      </c>
      <c r="AB195" s="173">
        <f t="shared" si="150"/>
        <v>0</v>
      </c>
      <c r="AC195" s="173">
        <f t="shared" si="151"/>
        <v>162043.1537670609</v>
      </c>
      <c r="AD195" s="173">
        <f t="shared" si="152"/>
        <v>0</v>
      </c>
      <c r="AF195" s="87" t="s">
        <v>89</v>
      </c>
      <c r="AG195" s="87" t="s">
        <v>90</v>
      </c>
      <c r="AH195" s="173">
        <f t="shared" si="113"/>
        <v>150004.61351045719</v>
      </c>
      <c r="AI195" s="173">
        <f t="shared" si="114"/>
        <v>0</v>
      </c>
      <c r="AJ195" s="173">
        <f t="shared" si="115"/>
        <v>154072.01934585592</v>
      </c>
      <c r="AK195" s="173">
        <f t="shared" si="116"/>
        <v>0</v>
      </c>
      <c r="AL195" s="173">
        <f t="shared" si="117"/>
        <v>156325.08029920381</v>
      </c>
      <c r="AM195" s="173">
        <f t="shared" si="118"/>
        <v>0</v>
      </c>
      <c r="AN195" s="173">
        <f t="shared" si="119"/>
        <v>161962.34739978809</v>
      </c>
      <c r="AO195" s="173">
        <f t="shared" si="120"/>
        <v>0</v>
      </c>
      <c r="AQ195" s="87" t="s">
        <v>89</v>
      </c>
      <c r="AR195" s="87" t="s">
        <v>90</v>
      </c>
      <c r="AS195" s="173">
        <f t="shared" si="121"/>
        <v>150004.61351045719</v>
      </c>
      <c r="AT195" s="173">
        <f t="shared" si="122"/>
        <v>0</v>
      </c>
      <c r="AU195" s="173">
        <f t="shared" si="123"/>
        <v>158898.66948603513</v>
      </c>
      <c r="AV195" s="173">
        <f t="shared" si="124"/>
        <v>0</v>
      </c>
      <c r="AW195" s="173">
        <f t="shared" si="125"/>
        <v>161686.16352142743</v>
      </c>
      <c r="AX195" s="173">
        <f t="shared" si="126"/>
        <v>0</v>
      </c>
      <c r="AY195" s="173">
        <f t="shared" si="127"/>
        <v>164671.53075265884</v>
      </c>
      <c r="AZ195" s="173">
        <f t="shared" si="128"/>
        <v>0</v>
      </c>
      <c r="BB195" s="87" t="s">
        <v>89</v>
      </c>
      <c r="BC195" s="87" t="s">
        <v>90</v>
      </c>
      <c r="BD195" s="173">
        <f t="shared" si="129"/>
        <v>150004.61351045719</v>
      </c>
      <c r="BE195" s="173">
        <f t="shared" si="130"/>
        <v>0</v>
      </c>
      <c r="BF195" s="173">
        <f t="shared" si="131"/>
        <v>159677.20277230302</v>
      </c>
      <c r="BG195" s="173">
        <f t="shared" si="132"/>
        <v>0</v>
      </c>
      <c r="BH195" s="173">
        <f t="shared" si="133"/>
        <v>162605.57038334559</v>
      </c>
      <c r="BI195" s="173">
        <f t="shared" si="134"/>
        <v>0</v>
      </c>
      <c r="BJ195" s="173">
        <f t="shared" si="135"/>
        <v>165886.13560252849</v>
      </c>
      <c r="BK195" s="173">
        <f t="shared" si="136"/>
        <v>0</v>
      </c>
      <c r="BM195" s="87" t="s">
        <v>89</v>
      </c>
      <c r="BN195" s="87" t="s">
        <v>90</v>
      </c>
      <c r="BO195" s="173">
        <f t="shared" si="137"/>
        <v>150004.61351045719</v>
      </c>
      <c r="BP195" s="173">
        <f t="shared" si="138"/>
        <v>0</v>
      </c>
      <c r="BQ195" s="173">
        <f t="shared" si="139"/>
        <v>157863.70707214891</v>
      </c>
      <c r="BR195" s="173">
        <f t="shared" si="140"/>
        <v>0</v>
      </c>
      <c r="BS195" s="173">
        <f t="shared" si="141"/>
        <v>160020.23374395128</v>
      </c>
      <c r="BT195" s="173">
        <f t="shared" si="142"/>
        <v>0</v>
      </c>
      <c r="BU195" s="173">
        <f t="shared" si="143"/>
        <v>165803.8201908292</v>
      </c>
      <c r="BV195" s="173">
        <f t="shared" si="144"/>
        <v>0</v>
      </c>
    </row>
    <row r="196" spans="5:74">
      <c r="E196" s="87" t="s">
        <v>341</v>
      </c>
      <c r="F196" s="87" t="s">
        <v>342</v>
      </c>
      <c r="G196" s="173">
        <f>IFERROR(IF(VLOOKUP(E196,A:C,3,FALSE)="YES",VLOOKUP(E196,'School Year 2021-22 SPED coop'!A:P,16,FALSE),0),0)</f>
        <v>0</v>
      </c>
      <c r="H196" s="173">
        <f t="shared" si="145"/>
        <v>582666.57000000007</v>
      </c>
      <c r="J196" s="87" t="s">
        <v>341</v>
      </c>
      <c r="K196" s="87" t="s">
        <v>342</v>
      </c>
      <c r="L196" s="173">
        <f t="shared" si="104"/>
        <v>0</v>
      </c>
      <c r="M196" s="173">
        <f t="shared" si="105"/>
        <v>597525.68906491285</v>
      </c>
      <c r="N196" s="173">
        <f t="shared" si="106"/>
        <v>0</v>
      </c>
      <c r="O196" s="173">
        <f t="shared" si="107"/>
        <v>617772.83203486982</v>
      </c>
      <c r="P196" s="173">
        <f t="shared" si="108"/>
        <v>0</v>
      </c>
      <c r="Q196" s="173">
        <f t="shared" si="109"/>
        <v>629215.85530641302</v>
      </c>
      <c r="R196" s="173">
        <f t="shared" si="110"/>
        <v>0</v>
      </c>
      <c r="S196" s="173">
        <f t="shared" si="111"/>
        <v>640802.96793658135</v>
      </c>
      <c r="U196" s="87" t="s">
        <v>341</v>
      </c>
      <c r="V196" s="87" t="s">
        <v>342</v>
      </c>
      <c r="W196" s="173">
        <f t="shared" si="112"/>
        <v>0</v>
      </c>
      <c r="X196" s="173">
        <f t="shared" si="146"/>
        <v>597525.68906491285</v>
      </c>
      <c r="Y196" s="173">
        <f t="shared" si="147"/>
        <v>0</v>
      </c>
      <c r="Z196" s="173">
        <f t="shared" si="148"/>
        <v>620802.44171216479</v>
      </c>
      <c r="AA196" s="173">
        <f t="shared" si="149"/>
        <v>0</v>
      </c>
      <c r="AB196" s="173">
        <f t="shared" si="150"/>
        <v>632775.54373095511</v>
      </c>
      <c r="AC196" s="173">
        <f t="shared" si="151"/>
        <v>0</v>
      </c>
      <c r="AD196" s="173">
        <f t="shared" si="152"/>
        <v>645542.00247990596</v>
      </c>
      <c r="AF196" s="87" t="s">
        <v>341</v>
      </c>
      <c r="AG196" s="87" t="s">
        <v>342</v>
      </c>
      <c r="AH196" s="173">
        <f t="shared" si="113"/>
        <v>0</v>
      </c>
      <c r="AI196" s="173">
        <f t="shared" si="114"/>
        <v>597525.68906491285</v>
      </c>
      <c r="AJ196" s="173">
        <f t="shared" si="115"/>
        <v>0</v>
      </c>
      <c r="AK196" s="173">
        <f t="shared" si="116"/>
        <v>617948.61142985197</v>
      </c>
      <c r="AL196" s="173">
        <f t="shared" si="117"/>
        <v>0</v>
      </c>
      <c r="AM196" s="173">
        <f t="shared" si="118"/>
        <v>629809.03243218607</v>
      </c>
      <c r="AN196" s="173">
        <f t="shared" si="119"/>
        <v>0</v>
      </c>
      <c r="AO196" s="173">
        <f t="shared" si="120"/>
        <v>642028.06499710772</v>
      </c>
      <c r="AQ196" s="87" t="s">
        <v>341</v>
      </c>
      <c r="AR196" s="87" t="s">
        <v>342</v>
      </c>
      <c r="AS196" s="173">
        <f t="shared" si="121"/>
        <v>0</v>
      </c>
      <c r="AT196" s="173">
        <f t="shared" si="122"/>
        <v>597525.68906491285</v>
      </c>
      <c r="AU196" s="173">
        <f t="shared" si="123"/>
        <v>0</v>
      </c>
      <c r="AV196" s="173">
        <f t="shared" si="124"/>
        <v>632978.59849671472</v>
      </c>
      <c r="AW196" s="173">
        <f t="shared" si="125"/>
        <v>0</v>
      </c>
      <c r="AX196" s="173">
        <f t="shared" si="126"/>
        <v>644097.95323823357</v>
      </c>
      <c r="AY196" s="173">
        <f t="shared" si="127"/>
        <v>0</v>
      </c>
      <c r="AZ196" s="173">
        <f t="shared" si="128"/>
        <v>656006.73254514777</v>
      </c>
      <c r="BB196" s="87" t="s">
        <v>341</v>
      </c>
      <c r="BC196" s="87" t="s">
        <v>342</v>
      </c>
      <c r="BD196" s="173">
        <f t="shared" si="129"/>
        <v>0</v>
      </c>
      <c r="BE196" s="173">
        <f t="shared" si="130"/>
        <v>597525.68906491285</v>
      </c>
      <c r="BF196" s="173">
        <f t="shared" si="131"/>
        <v>0</v>
      </c>
      <c r="BG196" s="173">
        <f t="shared" si="132"/>
        <v>636082.77891840064</v>
      </c>
      <c r="BH196" s="173">
        <f t="shared" si="133"/>
        <v>0</v>
      </c>
      <c r="BI196" s="173">
        <f t="shared" si="134"/>
        <v>647741.83636128646</v>
      </c>
      <c r="BJ196" s="173">
        <f t="shared" si="135"/>
        <v>0</v>
      </c>
      <c r="BK196" s="173">
        <f t="shared" si="136"/>
        <v>660858.20880755119</v>
      </c>
      <c r="BM196" s="87" t="s">
        <v>341</v>
      </c>
      <c r="BN196" s="87" t="s">
        <v>342</v>
      </c>
      <c r="BO196" s="173">
        <f t="shared" si="137"/>
        <v>0</v>
      </c>
      <c r="BP196" s="173">
        <f t="shared" si="138"/>
        <v>597525.68906491285</v>
      </c>
      <c r="BQ196" s="173">
        <f t="shared" si="139"/>
        <v>0</v>
      </c>
      <c r="BR196" s="173">
        <f t="shared" si="140"/>
        <v>633158.90758931579</v>
      </c>
      <c r="BS196" s="173">
        <f t="shared" si="141"/>
        <v>0</v>
      </c>
      <c r="BT196" s="173">
        <f t="shared" si="142"/>
        <v>644705.57958208967</v>
      </c>
      <c r="BU196" s="173">
        <f t="shared" si="143"/>
        <v>0</v>
      </c>
      <c r="BV196" s="173">
        <f t="shared" si="144"/>
        <v>657261.38489821774</v>
      </c>
    </row>
    <row r="197" spans="5:74">
      <c r="E197" s="87" t="s">
        <v>375</v>
      </c>
      <c r="F197" s="87" t="s">
        <v>376</v>
      </c>
      <c r="G197" s="173">
        <f>IFERROR(IF(VLOOKUP(E197,A:C,3,FALSE)="YES",VLOOKUP(E197,'School Year 2021-22 SPED coop'!A:P,16,FALSE),0),0)</f>
        <v>0</v>
      </c>
      <c r="H197" s="173">
        <f t="shared" si="145"/>
        <v>3426248.2199999997</v>
      </c>
      <c r="J197" s="87" t="s">
        <v>375</v>
      </c>
      <c r="K197" s="87" t="s">
        <v>376</v>
      </c>
      <c r="L197" s="173">
        <f t="shared" ref="L197:L260" si="153">IFERROR(IF(VLOOKUP(J197,A:C,3,FALSE)="YES",VLOOKUP(J197,MaintSY202122,9,FALSE),0),0)</f>
        <v>0</v>
      </c>
      <c r="M197" s="173">
        <f t="shared" ref="M197:M260" si="154">IF(L197=0,VLOOKUP(J197,MaintSY202122,9,FALSE),0)</f>
        <v>3551729.2492769272</v>
      </c>
      <c r="N197" s="173">
        <f t="shared" ref="N197:N260" si="155">IFERROR(IF(VLOOKUP(J197,A:C,3,FALSE)="YES",VLOOKUP(J197,MaintSY202223,9,FALSE),0),0)</f>
        <v>0</v>
      </c>
      <c r="O197" s="173">
        <f t="shared" ref="O197:O260" si="156">IF(N197=0,VLOOKUP(J197,MaintSY202223,9,FALSE),0)</f>
        <v>3671198.1306986609</v>
      </c>
      <c r="P197" s="173">
        <f t="shared" ref="P197:P260" si="157">IFERROR(IF(VLOOKUP(J197,A:C,3,FALSE)="YES",VLOOKUP(J197,MaintSY202324,9,FALSE),0),0)</f>
        <v>0</v>
      </c>
      <c r="Q197" s="173">
        <f t="shared" ref="Q197:Q260" si="158">IF(P197=0,VLOOKUP(J197,MaintSY202324,9,FALSE),0)</f>
        <v>3739396.3017868828</v>
      </c>
      <c r="R197" s="173">
        <f t="shared" ref="R197:R260" si="159">IFERROR(IF(VLOOKUP(J197,A:C,3,FALSE)="YES",VLOOKUP(J197,MaintSY202425,9,FALSE),0),0)</f>
        <v>0</v>
      </c>
      <c r="S197" s="173">
        <f t="shared" ref="S197:S260" si="160">IF(R197=0,VLOOKUP(J197,MaintSY202425,9,FALSE),0)</f>
        <v>3808627.6917476454</v>
      </c>
      <c r="U197" s="87" t="s">
        <v>375</v>
      </c>
      <c r="V197" s="87" t="s">
        <v>376</v>
      </c>
      <c r="W197" s="173">
        <f t="shared" ref="W197:W260" si="161">IFERROR(IF(VLOOKUP(U197,$A:$C,3,FALSE)="YES",VLOOKUP(U197,MaintSY202122CL,9,FALSE),0),0)</f>
        <v>0</v>
      </c>
      <c r="X197" s="173">
        <f t="shared" si="146"/>
        <v>3551729.2492769272</v>
      </c>
      <c r="Y197" s="173">
        <f t="shared" si="147"/>
        <v>0</v>
      </c>
      <c r="Z197" s="173">
        <f t="shared" si="148"/>
        <v>3689211.3736308669</v>
      </c>
      <c r="AA197" s="173">
        <f t="shared" si="149"/>
        <v>0</v>
      </c>
      <c r="AB197" s="173">
        <f t="shared" si="150"/>
        <v>3760539.3602857413</v>
      </c>
      <c r="AC197" s="173">
        <f t="shared" si="151"/>
        <v>0</v>
      </c>
      <c r="AD197" s="173">
        <f t="shared" si="152"/>
        <v>3836775.6611383026</v>
      </c>
      <c r="AF197" s="87" t="s">
        <v>375</v>
      </c>
      <c r="AG197" s="87" t="s">
        <v>376</v>
      </c>
      <c r="AH197" s="173">
        <f t="shared" ref="AH197:AH260" si="162">IFERROR(IF(VLOOKUP(AF197,$A:$C,3,FALSE)="YES",VLOOKUP(AF197,MaintSY202122F195F,9,FALSE),0),0)</f>
        <v>0</v>
      </c>
      <c r="AI197" s="173">
        <f t="shared" ref="AI197:AI260" si="163">IF(AH197=0,VLOOKUP(AF197,MaintSY202122F195F,9,FALSE),0)</f>
        <v>3551729.2492769272</v>
      </c>
      <c r="AJ197" s="173">
        <f t="shared" ref="AJ197:AJ260" si="164">IFERROR(IF(VLOOKUP(AF197,$A:$C,3,FALSE)="YES",VLOOKUP(AF197,MaintSY202223F195F,9,FALSE),0),0)</f>
        <v>0</v>
      </c>
      <c r="AK197" s="173">
        <f t="shared" ref="AK197:AK260" si="165">IF(AJ197=0,VLOOKUP(AF197,MaintSY202223F195F,9,FALSE),0)</f>
        <v>3680260.7662833333</v>
      </c>
      <c r="AL197" s="173">
        <f t="shared" ref="AL197:AL260" si="166">IFERROR(IF(VLOOKUP(AF197,$A:$C,3,FALSE)="YES",VLOOKUP(AF197,MaintSY202324F195F,9,FALSE),0),0)</f>
        <v>0</v>
      </c>
      <c r="AM197" s="173">
        <f t="shared" ref="AM197:AM260" si="167">IF(AL197=0,VLOOKUP(AF197,MaintSY202324F195F,9,FALSE),0)</f>
        <v>3748884.9824561398</v>
      </c>
      <c r="AN197" s="173">
        <f t="shared" ref="AN197:AN260" si="168">IFERROR(IF(VLOOKUP(AF197,$A:$C,3,FALSE)="YES",VLOOKUP(AF197,MaintSY202425F195F,9,FALSE),0),0)</f>
        <v>0</v>
      </c>
      <c r="AO197" s="173">
        <f t="shared" ref="AO197:AO260" si="169">IF(AN197=0,VLOOKUP(AF197,MaintSY202425F195F,9,FALSE),0)</f>
        <v>3818445.3024245552</v>
      </c>
      <c r="AQ197" s="87" t="s">
        <v>375</v>
      </c>
      <c r="AR197" s="87" t="s">
        <v>376</v>
      </c>
      <c r="AS197" s="173">
        <f t="shared" ref="AS197:AS260" si="170">IFERROR(IF(VLOOKUP(AQ197,$A:$C,3,FALSE)="YES",VLOOKUP(AQ197,EnacSY202122,9,FALSE),0),0)</f>
        <v>0</v>
      </c>
      <c r="AT197" s="173">
        <f t="shared" ref="AT197:AT260" si="171">IF(AS197=0,VLOOKUP(AQ197,EnacSY202122,9,FALSE),0)</f>
        <v>3551729.2492769272</v>
      </c>
      <c r="AU197" s="173">
        <f t="shared" ref="AU197:AU260" si="172">IFERROR(IF(VLOOKUP(AQ197,$A:$C,3,FALSE)="YES",VLOOKUP(AQ197,EnacSY202223,9,FALSE),0),0)</f>
        <v>0</v>
      </c>
      <c r="AV197" s="173">
        <f t="shared" ref="AV197:AV260" si="173">IF(AU197=0,VLOOKUP(AQ197,EnacSY202223,9,FALSE),0)</f>
        <v>3762058.8979358473</v>
      </c>
      <c r="AW197" s="173">
        <f t="shared" ref="AW197:AW260" si="174">IFERROR(IF(VLOOKUP(AQ197,$A:$C,3,FALSE)="YES",VLOOKUP(AQ197,EnacSY202324,9,FALSE),0),0)</f>
        <v>0</v>
      </c>
      <c r="AX197" s="173">
        <f t="shared" ref="AX197:AX260" si="175">IF(AW197=0,VLOOKUP(AQ197,EnacSY202324,9,FALSE),0)</f>
        <v>3828496.7052261033</v>
      </c>
      <c r="AY197" s="173">
        <f t="shared" ref="AY197:AY260" si="176">IFERROR(IF(VLOOKUP(AQ197,$A:$C,3,FALSE)="YES",VLOOKUP(AQ197,EnacSY202425,9,FALSE),0),0)</f>
        <v>0</v>
      </c>
      <c r="AZ197" s="173">
        <f t="shared" ref="AZ197:AZ260" si="177">IF(AY197=0,VLOOKUP(AQ197,EnacSY202425,9,FALSE),0)</f>
        <v>3899651.2820173712</v>
      </c>
      <c r="BB197" s="87" t="s">
        <v>375</v>
      </c>
      <c r="BC197" s="87" t="s">
        <v>376</v>
      </c>
      <c r="BD197" s="173">
        <f t="shared" ref="BD197:BD260" si="178">IFERROR(IF(VLOOKUP(BB197,$A:$C,3,FALSE)="YES",VLOOKUP(BB197,EnacSY202122CL,9,FALSE),0),0)</f>
        <v>0</v>
      </c>
      <c r="BE197" s="173">
        <f t="shared" ref="BE197:BE260" si="179">IF(BD197=0,VLOOKUP(BB197,EnacSY202122CL,9,FALSE),0)</f>
        <v>3551729.2492769272</v>
      </c>
      <c r="BF197" s="173">
        <f t="shared" ref="BF197:BF260" si="180">IFERROR(IF(VLOOKUP(BB197,$A:$C,3,FALSE)="YES",VLOOKUP(BB197,EnacSY202223CL,9,FALSE),0),0)</f>
        <v>0</v>
      </c>
      <c r="BG197" s="173">
        <f t="shared" ref="BG197:BG260" si="181">IF(BF197=0,VLOOKUP(BB197,EnacSY202223CL,9,FALSE),0)</f>
        <v>3780517.969508782</v>
      </c>
      <c r="BH197" s="173">
        <f t="shared" ref="BH197:BH260" si="182">IFERROR(IF(VLOOKUP(BB197,$A:$C,3,FALSE)="YES",VLOOKUP(BB197,EnacSY202324CL,9,FALSE),0),0)</f>
        <v>0</v>
      </c>
      <c r="BI197" s="173">
        <f t="shared" ref="BI197:BI260" si="183">IF(BH197=0,VLOOKUP(BB197,EnacSY202324CL,9,FALSE),0)</f>
        <v>3850143.5537372772</v>
      </c>
      <c r="BJ197" s="173">
        <f t="shared" ref="BJ197:BJ260" si="184">IFERROR(IF(VLOOKUP(BB197,$A:$C,3,FALSE)="YES",VLOOKUP(BB197,EnacSY202425CL,9,FALSE),0),0)</f>
        <v>0</v>
      </c>
      <c r="BK197" s="173">
        <f t="shared" ref="BK197:BK260" si="185">IF(BJ197=0,VLOOKUP(BB197,EnacSY202425CL,9,FALSE),0)</f>
        <v>3928471.9771721726</v>
      </c>
      <c r="BM197" s="87" t="s">
        <v>375</v>
      </c>
      <c r="BN197" s="87" t="s">
        <v>376</v>
      </c>
      <c r="BO197" s="173">
        <f t="shared" ref="BO197:BO260" si="186">IFERROR(IF(VLOOKUP(BM197,$A:$C,3,FALSE)="YES",VLOOKUP(BM197,EnacSY202122F195F,9,FALSE),0),0)</f>
        <v>0</v>
      </c>
      <c r="BP197" s="173">
        <f t="shared" ref="BP197:BP260" si="187">IF(BO197=0,VLOOKUP(BM197,EnacSY202122F195F,9,FALSE),0)</f>
        <v>3551729.2492769272</v>
      </c>
      <c r="BQ197" s="173">
        <f t="shared" ref="BQ197:BQ260" si="188">IFERROR(IF(VLOOKUP(BM197,$A:$C,3,FALSE)="YES",VLOOKUP(BM197,EnacSY202223F195F,9,FALSE),0),0)</f>
        <v>0</v>
      </c>
      <c r="BR197" s="173">
        <f t="shared" ref="BR197:BR260" si="189">IF(BQ197=0,VLOOKUP(BM197,EnacSY202223F195F,9,FALSE),0)</f>
        <v>3771347.0458030738</v>
      </c>
      <c r="BS197" s="173">
        <f t="shared" ref="BS197:BS260" si="190">IFERROR(IF(VLOOKUP(BM197,$A:$C,3,FALSE)="YES",VLOOKUP(BM197,EnacSY202324F195F,9,FALSE),0),0)</f>
        <v>0</v>
      </c>
      <c r="BT197" s="173">
        <f t="shared" ref="BT197:BT260" si="191">IF(BS197=0,VLOOKUP(BM197,EnacSY202324F195F,9,FALSE),0)</f>
        <v>3838210.1877958085</v>
      </c>
      <c r="BU197" s="173">
        <f t="shared" ref="BU197:BU260" si="192">IFERROR(IF(VLOOKUP(BM197,$A:$C,3,FALSE)="YES",VLOOKUP(BM197,EnacSY202425F195F,9,FALSE),0),0)</f>
        <v>0</v>
      </c>
      <c r="BV197" s="173">
        <f t="shared" ref="BV197:BV260" si="193">IF(BU197=0,VLOOKUP(BM197,EnacSY202425F195F,9,FALSE),0)</f>
        <v>3909702.282498132</v>
      </c>
    </row>
    <row r="198" spans="5:74">
      <c r="E198" s="87" t="s">
        <v>7</v>
      </c>
      <c r="F198" s="87" t="s">
        <v>8</v>
      </c>
      <c r="G198" s="173">
        <f>IFERROR(IF(VLOOKUP(E198,A:C,3,FALSE)="YES",VLOOKUP(E198,'School Year 2021-22 SPED coop'!A:P,16,FALSE),0),0)</f>
        <v>0</v>
      </c>
      <c r="H198" s="173">
        <f t="shared" ref="H198:H261" si="194">IF(G198=0,VLOOKUP(E198,SY202122Apport,9,FALSE),0)</f>
        <v>5408643.1300000008</v>
      </c>
      <c r="J198" s="87" t="s">
        <v>7</v>
      </c>
      <c r="K198" s="87" t="s">
        <v>8</v>
      </c>
      <c r="L198" s="173">
        <f t="shared" si="153"/>
        <v>0</v>
      </c>
      <c r="M198" s="173">
        <f t="shared" si="154"/>
        <v>5470856.796871393</v>
      </c>
      <c r="N198" s="173">
        <f t="shared" si="155"/>
        <v>0</v>
      </c>
      <c r="O198" s="173">
        <f t="shared" si="156"/>
        <v>5656230.3568504276</v>
      </c>
      <c r="P198" s="173">
        <f t="shared" si="157"/>
        <v>0</v>
      </c>
      <c r="Q198" s="173">
        <f t="shared" si="158"/>
        <v>5760990.3152016904</v>
      </c>
      <c r="R198" s="173">
        <f t="shared" si="159"/>
        <v>0</v>
      </c>
      <c r="S198" s="173">
        <f t="shared" si="160"/>
        <v>5867060.811623659</v>
      </c>
      <c r="U198" s="87" t="s">
        <v>7</v>
      </c>
      <c r="V198" s="87" t="s">
        <v>8</v>
      </c>
      <c r="W198" s="173">
        <f t="shared" si="161"/>
        <v>0</v>
      </c>
      <c r="X198" s="173">
        <f t="shared" ref="X198:X261" si="195">IF(W198=0,VLOOKUP(U198,MaintSY202122CL,9,FALSE),0)</f>
        <v>5470856.796871393</v>
      </c>
      <c r="Y198" s="173">
        <f t="shared" ref="Y198:Y261" si="196">IFERROR(IF(VLOOKUP(U198,A:C,3,FALSE)="YES",VLOOKUP(U198,MaintSY202223CL,9,FALSE),0),0)</f>
        <v>0</v>
      </c>
      <c r="Z198" s="173">
        <f t="shared" ref="Z198:Z261" si="197">IF(Y198=0,VLOOKUP(U198,MaintSY202223CL,9,FALSE),0)</f>
        <v>5683969.2654131157</v>
      </c>
      <c r="AA198" s="173">
        <f t="shared" ref="AA198:AA261" si="198">IFERROR(IF(VLOOKUP(U198,A:C,3,FALSE)="YES",VLOOKUP(U198,MaintSY202324CL,9,FALSE),0),0)</f>
        <v>0</v>
      </c>
      <c r="AB198" s="173">
        <f t="shared" ref="AB198:AB261" si="199">IF(AA198=0,VLOOKUP(U198,MaintSY202324CL,9,FALSE),0)</f>
        <v>5793561.995382417</v>
      </c>
      <c r="AC198" s="173">
        <f t="shared" ref="AC198:AC261" si="200">IFERROR(IF(VLOOKUP(U198,A:C,3,FALSE)="YES",VLOOKUP(U198,MaintSY202425CL,9,FALSE),0),0)</f>
        <v>0</v>
      </c>
      <c r="AD198" s="173">
        <f t="shared" ref="AD198:AD261" si="201">IF(AC198=0,VLOOKUP(U198,MaintSY202425CL,9,FALSE),0)</f>
        <v>5910399.8756513875</v>
      </c>
      <c r="AF198" s="87" t="s">
        <v>7</v>
      </c>
      <c r="AG198" s="87" t="s">
        <v>8</v>
      </c>
      <c r="AH198" s="173">
        <f t="shared" si="162"/>
        <v>0</v>
      </c>
      <c r="AI198" s="173">
        <f t="shared" si="163"/>
        <v>5470856.796871393</v>
      </c>
      <c r="AJ198" s="173">
        <f t="shared" si="164"/>
        <v>0</v>
      </c>
      <c r="AK198" s="173">
        <f t="shared" si="165"/>
        <v>5634148.9440036509</v>
      </c>
      <c r="AL198" s="173">
        <f t="shared" si="166"/>
        <v>0</v>
      </c>
      <c r="AM198" s="173">
        <f t="shared" si="167"/>
        <v>5740653.5095482673</v>
      </c>
      <c r="AN198" s="173">
        <f t="shared" si="168"/>
        <v>0</v>
      </c>
      <c r="AO198" s="173">
        <f t="shared" si="169"/>
        <v>5857007.537415673</v>
      </c>
      <c r="AQ198" s="87" t="s">
        <v>7</v>
      </c>
      <c r="AR198" s="87" t="s">
        <v>8</v>
      </c>
      <c r="AS198" s="173">
        <f t="shared" si="170"/>
        <v>0</v>
      </c>
      <c r="AT198" s="173">
        <f t="shared" si="171"/>
        <v>5470856.796871393</v>
      </c>
      <c r="AU198" s="173">
        <f t="shared" si="172"/>
        <v>0</v>
      </c>
      <c r="AV198" s="173">
        <f t="shared" si="173"/>
        <v>5795447.5328546856</v>
      </c>
      <c r="AW198" s="173">
        <f t="shared" si="174"/>
        <v>0</v>
      </c>
      <c r="AX198" s="173">
        <f t="shared" si="175"/>
        <v>5897236.4733915692</v>
      </c>
      <c r="AY198" s="173">
        <f t="shared" si="176"/>
        <v>0</v>
      </c>
      <c r="AZ198" s="173">
        <f t="shared" si="177"/>
        <v>6006251.8357355567</v>
      </c>
      <c r="BB198" s="87" t="s">
        <v>7</v>
      </c>
      <c r="BC198" s="87" t="s">
        <v>8</v>
      </c>
      <c r="BD198" s="173">
        <f t="shared" si="178"/>
        <v>0</v>
      </c>
      <c r="BE198" s="173">
        <f t="shared" si="179"/>
        <v>5470856.796871393</v>
      </c>
      <c r="BF198" s="173">
        <f t="shared" si="180"/>
        <v>0</v>
      </c>
      <c r="BG198" s="173">
        <f t="shared" si="181"/>
        <v>5823869.1847812524</v>
      </c>
      <c r="BH198" s="173">
        <f t="shared" si="182"/>
        <v>0</v>
      </c>
      <c r="BI198" s="173">
        <f t="shared" si="183"/>
        <v>5930578.4717694568</v>
      </c>
      <c r="BJ198" s="173">
        <f t="shared" si="184"/>
        <v>0</v>
      </c>
      <c r="BK198" s="173">
        <f t="shared" si="185"/>
        <v>6050619.0839816891</v>
      </c>
      <c r="BM198" s="87" t="s">
        <v>7</v>
      </c>
      <c r="BN198" s="87" t="s">
        <v>8</v>
      </c>
      <c r="BO198" s="173">
        <f t="shared" si="186"/>
        <v>0</v>
      </c>
      <c r="BP198" s="173">
        <f t="shared" si="187"/>
        <v>5470856.796871393</v>
      </c>
      <c r="BQ198" s="173">
        <f t="shared" si="188"/>
        <v>0</v>
      </c>
      <c r="BR198" s="173">
        <f t="shared" si="189"/>
        <v>5772820.7345333565</v>
      </c>
      <c r="BS198" s="173">
        <f t="shared" si="190"/>
        <v>0</v>
      </c>
      <c r="BT198" s="173">
        <f t="shared" si="191"/>
        <v>5876424.8687512577</v>
      </c>
      <c r="BU198" s="173">
        <f t="shared" si="192"/>
        <v>0</v>
      </c>
      <c r="BV198" s="173">
        <f t="shared" si="193"/>
        <v>5995971.2550575677</v>
      </c>
    </row>
    <row r="199" spans="5:74">
      <c r="E199" s="87" t="s">
        <v>93</v>
      </c>
      <c r="F199" s="87" t="s">
        <v>94</v>
      </c>
      <c r="G199" s="173">
        <f>IFERROR(IF(VLOOKUP(E199,A:C,3,FALSE)="YES",VLOOKUP(E199,'School Year 2021-22 SPED coop'!A:P,16,FALSE),0),0)</f>
        <v>0</v>
      </c>
      <c r="H199" s="173">
        <f t="shared" si="194"/>
        <v>48424.49</v>
      </c>
      <c r="J199" s="87" t="s">
        <v>93</v>
      </c>
      <c r="K199" s="87" t="s">
        <v>94</v>
      </c>
      <c r="L199" s="173">
        <f t="shared" si="153"/>
        <v>0</v>
      </c>
      <c r="M199" s="173">
        <f t="shared" si="154"/>
        <v>48951.989249271959</v>
      </c>
      <c r="N199" s="173">
        <f t="shared" si="155"/>
        <v>0</v>
      </c>
      <c r="O199" s="173">
        <f t="shared" si="156"/>
        <v>50604.115376220245</v>
      </c>
      <c r="P199" s="173">
        <f t="shared" si="157"/>
        <v>0</v>
      </c>
      <c r="Q199" s="173">
        <f t="shared" si="158"/>
        <v>51540.522685067983</v>
      </c>
      <c r="R199" s="173">
        <f t="shared" si="159"/>
        <v>0</v>
      </c>
      <c r="S199" s="173">
        <f t="shared" si="160"/>
        <v>52487.953911251185</v>
      </c>
      <c r="U199" s="87" t="s">
        <v>93</v>
      </c>
      <c r="V199" s="87" t="s">
        <v>94</v>
      </c>
      <c r="W199" s="173">
        <f t="shared" si="161"/>
        <v>0</v>
      </c>
      <c r="X199" s="173">
        <f t="shared" si="195"/>
        <v>48951.989249271959</v>
      </c>
      <c r="Y199" s="173">
        <f t="shared" si="196"/>
        <v>0</v>
      </c>
      <c r="Z199" s="173">
        <f t="shared" si="197"/>
        <v>50604.115376220245</v>
      </c>
      <c r="AA199" s="173">
        <f t="shared" si="198"/>
        <v>0</v>
      </c>
      <c r="AB199" s="173">
        <f t="shared" si="199"/>
        <v>51540.522685067983</v>
      </c>
      <c r="AC199" s="173">
        <f t="shared" si="200"/>
        <v>0</v>
      </c>
      <c r="AD199" s="173">
        <f t="shared" si="201"/>
        <v>52487.953911251185</v>
      </c>
      <c r="AF199" s="87" t="s">
        <v>93</v>
      </c>
      <c r="AG199" s="87" t="s">
        <v>94</v>
      </c>
      <c r="AH199" s="173">
        <f t="shared" si="162"/>
        <v>0</v>
      </c>
      <c r="AI199" s="173">
        <f t="shared" si="163"/>
        <v>48951.989249271959</v>
      </c>
      <c r="AJ199" s="173">
        <f t="shared" si="164"/>
        <v>0</v>
      </c>
      <c r="AK199" s="173">
        <f t="shared" si="165"/>
        <v>51958.34034335988</v>
      </c>
      <c r="AL199" s="173">
        <f t="shared" si="166"/>
        <v>0</v>
      </c>
      <c r="AM199" s="173">
        <f t="shared" si="167"/>
        <v>53305.122948473509</v>
      </c>
      <c r="AN199" s="173">
        <f t="shared" si="168"/>
        <v>0</v>
      </c>
      <c r="AO199" s="173">
        <f t="shared" si="169"/>
        <v>54284.70211274967</v>
      </c>
      <c r="AQ199" s="87" t="s">
        <v>93</v>
      </c>
      <c r="AR199" s="87" t="s">
        <v>94</v>
      </c>
      <c r="AS199" s="173">
        <f t="shared" si="170"/>
        <v>0</v>
      </c>
      <c r="AT199" s="173">
        <f t="shared" si="171"/>
        <v>48951.989249271959</v>
      </c>
      <c r="AU199" s="173">
        <f t="shared" si="172"/>
        <v>0</v>
      </c>
      <c r="AV199" s="173">
        <f t="shared" si="173"/>
        <v>51850.302781185994</v>
      </c>
      <c r="AW199" s="173">
        <f t="shared" si="174"/>
        <v>0</v>
      </c>
      <c r="AX199" s="173">
        <f t="shared" si="175"/>
        <v>52759.539418419838</v>
      </c>
      <c r="AY199" s="173">
        <f t="shared" si="176"/>
        <v>0</v>
      </c>
      <c r="AZ199" s="173">
        <f t="shared" si="177"/>
        <v>53733.319637034307</v>
      </c>
      <c r="BB199" s="87" t="s">
        <v>93</v>
      </c>
      <c r="BC199" s="87" t="s">
        <v>94</v>
      </c>
      <c r="BD199" s="173">
        <f t="shared" si="178"/>
        <v>0</v>
      </c>
      <c r="BE199" s="173">
        <f t="shared" si="179"/>
        <v>48951.989249271959</v>
      </c>
      <c r="BF199" s="173">
        <f t="shared" si="180"/>
        <v>0</v>
      </c>
      <c r="BG199" s="173">
        <f t="shared" si="181"/>
        <v>51850.302781185994</v>
      </c>
      <c r="BH199" s="173">
        <f t="shared" si="182"/>
        <v>0</v>
      </c>
      <c r="BI199" s="173">
        <f t="shared" si="183"/>
        <v>52759.539418419838</v>
      </c>
      <c r="BJ199" s="173">
        <f t="shared" si="184"/>
        <v>0</v>
      </c>
      <c r="BK199" s="173">
        <f t="shared" si="185"/>
        <v>53733.319637034307</v>
      </c>
      <c r="BM199" s="87" t="s">
        <v>93</v>
      </c>
      <c r="BN199" s="87" t="s">
        <v>94</v>
      </c>
      <c r="BO199" s="173">
        <f t="shared" si="186"/>
        <v>0</v>
      </c>
      <c r="BP199" s="173">
        <f t="shared" si="187"/>
        <v>48951.989249271959</v>
      </c>
      <c r="BQ199" s="173">
        <f t="shared" si="188"/>
        <v>0</v>
      </c>
      <c r="BR199" s="173">
        <f t="shared" si="189"/>
        <v>53238.423049336991</v>
      </c>
      <c r="BS199" s="173">
        <f t="shared" si="190"/>
        <v>0</v>
      </c>
      <c r="BT199" s="173">
        <f t="shared" si="191"/>
        <v>54566.472746539344</v>
      </c>
      <c r="BU199" s="173">
        <f t="shared" si="192"/>
        <v>0</v>
      </c>
      <c r="BV199" s="173">
        <f t="shared" si="193"/>
        <v>55573.316349285233</v>
      </c>
    </row>
    <row r="200" spans="5:74">
      <c r="E200" s="87" t="s">
        <v>565</v>
      </c>
      <c r="F200" s="87" t="s">
        <v>566</v>
      </c>
      <c r="G200" s="173">
        <f>IFERROR(IF(VLOOKUP(E200,A:C,3,FALSE)="YES",VLOOKUP(E200,'School Year 2021-22 SPED coop'!A:P,16,FALSE),0),0)</f>
        <v>0</v>
      </c>
      <c r="H200" s="173">
        <f t="shared" si="194"/>
        <v>161792.37</v>
      </c>
      <c r="J200" s="87" t="s">
        <v>565</v>
      </c>
      <c r="K200" s="87" t="s">
        <v>566</v>
      </c>
      <c r="L200" s="173">
        <f t="shared" si="153"/>
        <v>0</v>
      </c>
      <c r="M200" s="173">
        <f t="shared" si="154"/>
        <v>163641.20748194394</v>
      </c>
      <c r="N200" s="173">
        <f t="shared" si="155"/>
        <v>0</v>
      </c>
      <c r="O200" s="173">
        <f t="shared" si="156"/>
        <v>169181.13608330209</v>
      </c>
      <c r="P200" s="173">
        <f t="shared" si="157"/>
        <v>0</v>
      </c>
      <c r="Q200" s="173">
        <f t="shared" si="158"/>
        <v>172314.53420860539</v>
      </c>
      <c r="R200" s="173">
        <f t="shared" si="159"/>
        <v>0</v>
      </c>
      <c r="S200" s="173">
        <f t="shared" si="160"/>
        <v>175487.09739123302</v>
      </c>
      <c r="U200" s="87" t="s">
        <v>565</v>
      </c>
      <c r="V200" s="87" t="s">
        <v>566</v>
      </c>
      <c r="W200" s="173">
        <f t="shared" si="161"/>
        <v>0</v>
      </c>
      <c r="X200" s="173">
        <f t="shared" si="195"/>
        <v>163641.20748194394</v>
      </c>
      <c r="Y200" s="173">
        <f t="shared" si="196"/>
        <v>0</v>
      </c>
      <c r="Z200" s="173">
        <f t="shared" si="197"/>
        <v>170007.89600356901</v>
      </c>
      <c r="AA200" s="173">
        <f t="shared" si="198"/>
        <v>0</v>
      </c>
      <c r="AB200" s="173">
        <f t="shared" si="199"/>
        <v>173284.37698729621</v>
      </c>
      <c r="AC200" s="173">
        <f t="shared" si="200"/>
        <v>0</v>
      </c>
      <c r="AD200" s="173">
        <f t="shared" si="201"/>
        <v>176784.93537140047</v>
      </c>
      <c r="AF200" s="87" t="s">
        <v>565</v>
      </c>
      <c r="AG200" s="87" t="s">
        <v>566</v>
      </c>
      <c r="AH200" s="173">
        <f t="shared" si="162"/>
        <v>0</v>
      </c>
      <c r="AI200" s="173">
        <f t="shared" si="163"/>
        <v>163641.20748194394</v>
      </c>
      <c r="AJ200" s="173">
        <f t="shared" si="164"/>
        <v>0</v>
      </c>
      <c r="AK200" s="173">
        <f t="shared" si="165"/>
        <v>168221.53095493093</v>
      </c>
      <c r="AL200" s="173">
        <f t="shared" si="166"/>
        <v>0</v>
      </c>
      <c r="AM200" s="173">
        <f t="shared" si="167"/>
        <v>170163.95088664745</v>
      </c>
      <c r="AN200" s="173">
        <f t="shared" si="168"/>
        <v>0</v>
      </c>
      <c r="AO200" s="173">
        <f t="shared" si="169"/>
        <v>174048.48436950316</v>
      </c>
      <c r="AQ200" s="87" t="s">
        <v>565</v>
      </c>
      <c r="AR200" s="87" t="s">
        <v>566</v>
      </c>
      <c r="AS200" s="173">
        <f t="shared" si="170"/>
        <v>0</v>
      </c>
      <c r="AT200" s="173">
        <f t="shared" si="171"/>
        <v>163641.20748194394</v>
      </c>
      <c r="AU200" s="173">
        <f t="shared" si="172"/>
        <v>0</v>
      </c>
      <c r="AV200" s="173">
        <f t="shared" si="173"/>
        <v>173346.04340329772</v>
      </c>
      <c r="AW200" s="173">
        <f t="shared" si="174"/>
        <v>0</v>
      </c>
      <c r="AX200" s="173">
        <f t="shared" si="175"/>
        <v>176390.56208554568</v>
      </c>
      <c r="AY200" s="173">
        <f t="shared" si="176"/>
        <v>0</v>
      </c>
      <c r="AZ200" s="173">
        <f t="shared" si="177"/>
        <v>179651.22647469299</v>
      </c>
      <c r="BB200" s="87" t="s">
        <v>565</v>
      </c>
      <c r="BC200" s="87" t="s">
        <v>566</v>
      </c>
      <c r="BD200" s="173">
        <f t="shared" si="178"/>
        <v>0</v>
      </c>
      <c r="BE200" s="173">
        <f t="shared" si="179"/>
        <v>163641.20748194394</v>
      </c>
      <c r="BF200" s="173">
        <f t="shared" si="180"/>
        <v>0</v>
      </c>
      <c r="BG200" s="173">
        <f t="shared" si="181"/>
        <v>174193.15509629546</v>
      </c>
      <c r="BH200" s="173">
        <f t="shared" si="182"/>
        <v>0</v>
      </c>
      <c r="BI200" s="173">
        <f t="shared" si="183"/>
        <v>177383.34416643917</v>
      </c>
      <c r="BJ200" s="173">
        <f t="shared" si="184"/>
        <v>0</v>
      </c>
      <c r="BK200" s="173">
        <f t="shared" si="185"/>
        <v>180979.86160883406</v>
      </c>
      <c r="BM200" s="87" t="s">
        <v>565</v>
      </c>
      <c r="BN200" s="87" t="s">
        <v>566</v>
      </c>
      <c r="BO200" s="173">
        <f t="shared" si="186"/>
        <v>0</v>
      </c>
      <c r="BP200" s="173">
        <f t="shared" si="187"/>
        <v>163641.20748194394</v>
      </c>
      <c r="BQ200" s="173">
        <f t="shared" si="188"/>
        <v>0</v>
      </c>
      <c r="BR200" s="173">
        <f t="shared" si="189"/>
        <v>172362.47176142098</v>
      </c>
      <c r="BS200" s="173">
        <f t="shared" si="190"/>
        <v>0</v>
      </c>
      <c r="BT200" s="173">
        <f t="shared" si="191"/>
        <v>174188.24981236176</v>
      </c>
      <c r="BU200" s="173">
        <f t="shared" si="192"/>
        <v>0</v>
      </c>
      <c r="BV200" s="173">
        <f t="shared" si="193"/>
        <v>178178.11251598684</v>
      </c>
    </row>
    <row r="201" spans="5:74">
      <c r="E201" s="87" t="s">
        <v>111</v>
      </c>
      <c r="F201" s="87" t="s">
        <v>112</v>
      </c>
      <c r="G201" s="173">
        <f>IFERROR(IF(VLOOKUP(E201,A:C,3,FALSE)="YES",VLOOKUP(E201,'School Year 2021-22 SPED coop'!A:P,16,FALSE),0),0)</f>
        <v>0</v>
      </c>
      <c r="H201" s="173">
        <f t="shared" si="194"/>
        <v>19467589.790000003</v>
      </c>
      <c r="J201" s="87" t="s">
        <v>111</v>
      </c>
      <c r="K201" s="87" t="s">
        <v>112</v>
      </c>
      <c r="L201" s="173">
        <f t="shared" si="153"/>
        <v>0</v>
      </c>
      <c r="M201" s="173">
        <f t="shared" si="154"/>
        <v>20982185.700044595</v>
      </c>
      <c r="N201" s="173">
        <f t="shared" si="155"/>
        <v>0</v>
      </c>
      <c r="O201" s="173">
        <f t="shared" si="156"/>
        <v>21693049.577778589</v>
      </c>
      <c r="P201" s="173">
        <f t="shared" si="157"/>
        <v>0</v>
      </c>
      <c r="Q201" s="173">
        <f t="shared" si="158"/>
        <v>22094836.862528011</v>
      </c>
      <c r="R201" s="173">
        <f t="shared" si="159"/>
        <v>0</v>
      </c>
      <c r="S201" s="173">
        <f t="shared" si="160"/>
        <v>22501655.845847096</v>
      </c>
      <c r="U201" s="87" t="s">
        <v>111</v>
      </c>
      <c r="V201" s="87" t="s">
        <v>112</v>
      </c>
      <c r="W201" s="173">
        <f t="shared" si="161"/>
        <v>0</v>
      </c>
      <c r="X201" s="173">
        <f t="shared" si="195"/>
        <v>20982185.700044595</v>
      </c>
      <c r="Y201" s="173">
        <f t="shared" si="196"/>
        <v>0</v>
      </c>
      <c r="Z201" s="173">
        <f t="shared" si="197"/>
        <v>21799406.390019171</v>
      </c>
      <c r="AA201" s="173">
        <f t="shared" si="198"/>
        <v>0</v>
      </c>
      <c r="AB201" s="173">
        <f t="shared" si="199"/>
        <v>22219709.897281028</v>
      </c>
      <c r="AC201" s="173">
        <f t="shared" si="200"/>
        <v>0</v>
      </c>
      <c r="AD201" s="173">
        <f t="shared" si="201"/>
        <v>22667860.119802397</v>
      </c>
      <c r="AF201" s="87" t="s">
        <v>111</v>
      </c>
      <c r="AG201" s="87" t="s">
        <v>112</v>
      </c>
      <c r="AH201" s="173">
        <f t="shared" si="162"/>
        <v>0</v>
      </c>
      <c r="AI201" s="173">
        <f t="shared" si="163"/>
        <v>20982185.700044595</v>
      </c>
      <c r="AJ201" s="173">
        <f t="shared" si="164"/>
        <v>0</v>
      </c>
      <c r="AK201" s="173">
        <f t="shared" si="165"/>
        <v>21758660.334105551</v>
      </c>
      <c r="AL201" s="173">
        <f t="shared" si="166"/>
        <v>0</v>
      </c>
      <c r="AM201" s="173">
        <f t="shared" si="167"/>
        <v>22161917.34932851</v>
      </c>
      <c r="AN201" s="173">
        <f t="shared" si="168"/>
        <v>0</v>
      </c>
      <c r="AO201" s="173">
        <f t="shared" si="169"/>
        <v>22570068.045172725</v>
      </c>
      <c r="AQ201" s="87" t="s">
        <v>111</v>
      </c>
      <c r="AR201" s="87" t="s">
        <v>112</v>
      </c>
      <c r="AS201" s="173">
        <f t="shared" si="170"/>
        <v>0</v>
      </c>
      <c r="AT201" s="173">
        <f t="shared" si="171"/>
        <v>20982185.700044595</v>
      </c>
      <c r="AU201" s="173">
        <f t="shared" si="172"/>
        <v>0</v>
      </c>
      <c r="AV201" s="173">
        <f t="shared" si="173"/>
        <v>22227003.330223978</v>
      </c>
      <c r="AW201" s="173">
        <f t="shared" si="174"/>
        <v>0</v>
      </c>
      <c r="AX201" s="173">
        <f t="shared" si="175"/>
        <v>22617401.07756716</v>
      </c>
      <c r="AY201" s="173">
        <f t="shared" si="176"/>
        <v>0</v>
      </c>
      <c r="AZ201" s="173">
        <f t="shared" si="177"/>
        <v>23035514.933532607</v>
      </c>
      <c r="BB201" s="87" t="s">
        <v>111</v>
      </c>
      <c r="BC201" s="87" t="s">
        <v>112</v>
      </c>
      <c r="BD201" s="173">
        <f t="shared" si="178"/>
        <v>0</v>
      </c>
      <c r="BE201" s="173">
        <f t="shared" si="179"/>
        <v>20982185.700044595</v>
      </c>
      <c r="BF201" s="173">
        <f t="shared" si="180"/>
        <v>0</v>
      </c>
      <c r="BG201" s="173">
        <f t="shared" si="181"/>
        <v>22335978.013150342</v>
      </c>
      <c r="BH201" s="173">
        <f t="shared" si="182"/>
        <v>0</v>
      </c>
      <c r="BI201" s="173">
        <f t="shared" si="183"/>
        <v>22745227.477052629</v>
      </c>
      <c r="BJ201" s="173">
        <f t="shared" si="184"/>
        <v>0</v>
      </c>
      <c r="BK201" s="173">
        <f t="shared" si="185"/>
        <v>23205662.459024083</v>
      </c>
      <c r="BM201" s="87" t="s">
        <v>111</v>
      </c>
      <c r="BN201" s="87" t="s">
        <v>112</v>
      </c>
      <c r="BO201" s="173">
        <f t="shared" si="186"/>
        <v>0</v>
      </c>
      <c r="BP201" s="173">
        <f t="shared" si="187"/>
        <v>20982185.700044595</v>
      </c>
      <c r="BQ201" s="173">
        <f t="shared" si="188"/>
        <v>0</v>
      </c>
      <c r="BR201" s="173">
        <f t="shared" si="189"/>
        <v>22294235.829163998</v>
      </c>
      <c r="BS201" s="173">
        <f t="shared" si="190"/>
        <v>0</v>
      </c>
      <c r="BT201" s="173">
        <f t="shared" si="191"/>
        <v>22686056.138264492</v>
      </c>
      <c r="BU201" s="173">
        <f t="shared" si="192"/>
        <v>0</v>
      </c>
      <c r="BV201" s="173">
        <f t="shared" si="193"/>
        <v>23105539.095858555</v>
      </c>
    </row>
    <row r="202" spans="5:74">
      <c r="E202" s="87" t="s">
        <v>335</v>
      </c>
      <c r="F202" s="87" t="s">
        <v>336</v>
      </c>
      <c r="G202" s="173">
        <f>IFERROR(IF(VLOOKUP(E202,A:C,3,FALSE)="YES",VLOOKUP(E202,'School Year 2021-22 SPED coop'!A:P,16,FALSE),0),0)</f>
        <v>0</v>
      </c>
      <c r="H202" s="173">
        <f t="shared" si="194"/>
        <v>366268.85000000003</v>
      </c>
      <c r="J202" s="87" t="s">
        <v>335</v>
      </c>
      <c r="K202" s="87" t="s">
        <v>336</v>
      </c>
      <c r="L202" s="173">
        <f t="shared" si="153"/>
        <v>0</v>
      </c>
      <c r="M202" s="173">
        <f t="shared" si="154"/>
        <v>370516.36197021039</v>
      </c>
      <c r="N202" s="173">
        <f t="shared" si="155"/>
        <v>0</v>
      </c>
      <c r="O202" s="173">
        <f t="shared" si="156"/>
        <v>383031.40410838922</v>
      </c>
      <c r="P202" s="173">
        <f t="shared" si="157"/>
        <v>0</v>
      </c>
      <c r="Q202" s="173">
        <f t="shared" si="158"/>
        <v>390137.65883626987</v>
      </c>
      <c r="R202" s="173">
        <f t="shared" si="159"/>
        <v>0</v>
      </c>
      <c r="S202" s="173">
        <f t="shared" si="160"/>
        <v>397342.95609515801</v>
      </c>
      <c r="U202" s="87" t="s">
        <v>335</v>
      </c>
      <c r="V202" s="87" t="s">
        <v>336</v>
      </c>
      <c r="W202" s="173">
        <f t="shared" si="161"/>
        <v>0</v>
      </c>
      <c r="X202" s="173">
        <f t="shared" si="195"/>
        <v>370516.36197021039</v>
      </c>
      <c r="Y202" s="173">
        <f t="shared" si="196"/>
        <v>0</v>
      </c>
      <c r="Z202" s="173">
        <f t="shared" si="197"/>
        <v>384904.78980068048</v>
      </c>
      <c r="AA202" s="173">
        <f t="shared" si="198"/>
        <v>0</v>
      </c>
      <c r="AB202" s="173">
        <f t="shared" si="199"/>
        <v>392322.09917125391</v>
      </c>
      <c r="AC202" s="173">
        <f t="shared" si="200"/>
        <v>0</v>
      </c>
      <c r="AD202" s="173">
        <f t="shared" si="201"/>
        <v>400261.46752352302</v>
      </c>
      <c r="AF202" s="87" t="s">
        <v>335</v>
      </c>
      <c r="AG202" s="87" t="s">
        <v>336</v>
      </c>
      <c r="AH202" s="173">
        <f t="shared" si="162"/>
        <v>0</v>
      </c>
      <c r="AI202" s="173">
        <f t="shared" si="163"/>
        <v>370516.36197021039</v>
      </c>
      <c r="AJ202" s="173">
        <f t="shared" si="164"/>
        <v>0</v>
      </c>
      <c r="AK202" s="173">
        <f t="shared" si="165"/>
        <v>385727.22107638948</v>
      </c>
      <c r="AL202" s="173">
        <f t="shared" si="166"/>
        <v>0</v>
      </c>
      <c r="AM202" s="173">
        <f t="shared" si="167"/>
        <v>396301.15281854471</v>
      </c>
      <c r="AN202" s="173">
        <f t="shared" si="168"/>
        <v>0</v>
      </c>
      <c r="AO202" s="173">
        <f t="shared" si="169"/>
        <v>407622.60719784151</v>
      </c>
      <c r="AQ202" s="87" t="s">
        <v>335</v>
      </c>
      <c r="AR202" s="87" t="s">
        <v>336</v>
      </c>
      <c r="AS202" s="173">
        <f t="shared" si="170"/>
        <v>0</v>
      </c>
      <c r="AT202" s="173">
        <f t="shared" si="171"/>
        <v>370516.36197021039</v>
      </c>
      <c r="AU202" s="173">
        <f t="shared" si="172"/>
        <v>0</v>
      </c>
      <c r="AV202" s="173">
        <f t="shared" si="173"/>
        <v>392488.64071618556</v>
      </c>
      <c r="AW202" s="173">
        <f t="shared" si="174"/>
        <v>0</v>
      </c>
      <c r="AX202" s="173">
        <f t="shared" si="175"/>
        <v>399403.16201327898</v>
      </c>
      <c r="AY202" s="173">
        <f t="shared" si="176"/>
        <v>0</v>
      </c>
      <c r="AZ202" s="173">
        <f t="shared" si="177"/>
        <v>406808.58244735637</v>
      </c>
      <c r="BB202" s="87" t="s">
        <v>335</v>
      </c>
      <c r="BC202" s="87" t="s">
        <v>336</v>
      </c>
      <c r="BD202" s="173">
        <f t="shared" si="178"/>
        <v>0</v>
      </c>
      <c r="BE202" s="173">
        <f t="shared" si="179"/>
        <v>370516.36197021039</v>
      </c>
      <c r="BF202" s="173">
        <f t="shared" si="180"/>
        <v>0</v>
      </c>
      <c r="BG202" s="173">
        <f t="shared" si="181"/>
        <v>394408.27865318116</v>
      </c>
      <c r="BH202" s="173">
        <f t="shared" si="182"/>
        <v>0</v>
      </c>
      <c r="BI202" s="173">
        <f t="shared" si="183"/>
        <v>401639.47057625931</v>
      </c>
      <c r="BJ202" s="173">
        <f t="shared" si="184"/>
        <v>0</v>
      </c>
      <c r="BK202" s="173">
        <f t="shared" si="185"/>
        <v>409796.61097351642</v>
      </c>
      <c r="BM202" s="87" t="s">
        <v>335</v>
      </c>
      <c r="BN202" s="87" t="s">
        <v>336</v>
      </c>
      <c r="BO202" s="173">
        <f t="shared" si="186"/>
        <v>0</v>
      </c>
      <c r="BP202" s="173">
        <f t="shared" si="187"/>
        <v>370516.36197021039</v>
      </c>
      <c r="BQ202" s="173">
        <f t="shared" si="188"/>
        <v>0</v>
      </c>
      <c r="BR202" s="173">
        <f t="shared" si="189"/>
        <v>395252.01383993786</v>
      </c>
      <c r="BS202" s="173">
        <f t="shared" si="190"/>
        <v>0</v>
      </c>
      <c r="BT202" s="173">
        <f t="shared" si="191"/>
        <v>405716.01489369955</v>
      </c>
      <c r="BU202" s="173">
        <f t="shared" si="192"/>
        <v>0</v>
      </c>
      <c r="BV202" s="173">
        <f t="shared" si="193"/>
        <v>417337.25422386482</v>
      </c>
    </row>
    <row r="203" spans="5:74">
      <c r="E203" s="87" t="s">
        <v>19</v>
      </c>
      <c r="F203" s="87" t="s">
        <v>20</v>
      </c>
      <c r="G203" s="173">
        <f>IFERROR(IF(VLOOKUP(E203,A:C,3,FALSE)="YES",VLOOKUP(E203,'School Year 2021-22 SPED coop'!A:P,16,FALSE),0),0)</f>
        <v>0</v>
      </c>
      <c r="H203" s="173">
        <f t="shared" si="194"/>
        <v>179113.58</v>
      </c>
      <c r="J203" s="87" t="s">
        <v>19</v>
      </c>
      <c r="K203" s="87" t="s">
        <v>20</v>
      </c>
      <c r="L203" s="173">
        <f t="shared" si="153"/>
        <v>0</v>
      </c>
      <c r="M203" s="173">
        <f t="shared" si="154"/>
        <v>181282.11538752014</v>
      </c>
      <c r="N203" s="173">
        <f t="shared" si="155"/>
        <v>0</v>
      </c>
      <c r="O203" s="173">
        <f t="shared" si="156"/>
        <v>187418.54957979443</v>
      </c>
      <c r="P203" s="173">
        <f t="shared" si="157"/>
        <v>0</v>
      </c>
      <c r="Q203" s="173">
        <f t="shared" si="158"/>
        <v>190887.44013643512</v>
      </c>
      <c r="R203" s="173">
        <f t="shared" si="159"/>
        <v>0</v>
      </c>
      <c r="S203" s="173">
        <f t="shared" si="160"/>
        <v>194397.83288622918</v>
      </c>
      <c r="U203" s="87" t="s">
        <v>19</v>
      </c>
      <c r="V203" s="87" t="s">
        <v>20</v>
      </c>
      <c r="W203" s="173">
        <f t="shared" si="161"/>
        <v>0</v>
      </c>
      <c r="X203" s="173">
        <f t="shared" si="195"/>
        <v>181282.11538752014</v>
      </c>
      <c r="Y203" s="173">
        <f t="shared" si="196"/>
        <v>0</v>
      </c>
      <c r="Z203" s="173">
        <f t="shared" si="197"/>
        <v>188341.41434836393</v>
      </c>
      <c r="AA203" s="173">
        <f t="shared" si="198"/>
        <v>0</v>
      </c>
      <c r="AB203" s="173">
        <f t="shared" si="199"/>
        <v>191963.01946561245</v>
      </c>
      <c r="AC203" s="173">
        <f t="shared" si="200"/>
        <v>0</v>
      </c>
      <c r="AD203" s="173">
        <f t="shared" si="201"/>
        <v>195823.51501578864</v>
      </c>
      <c r="AF203" s="87" t="s">
        <v>19</v>
      </c>
      <c r="AG203" s="87" t="s">
        <v>20</v>
      </c>
      <c r="AH203" s="173">
        <f t="shared" si="162"/>
        <v>0</v>
      </c>
      <c r="AI203" s="173">
        <f t="shared" si="163"/>
        <v>181282.11538752014</v>
      </c>
      <c r="AJ203" s="173">
        <f t="shared" si="164"/>
        <v>0</v>
      </c>
      <c r="AK203" s="173">
        <f t="shared" si="165"/>
        <v>186288.71380043076</v>
      </c>
      <c r="AL203" s="173">
        <f t="shared" si="166"/>
        <v>0</v>
      </c>
      <c r="AM203" s="173">
        <f t="shared" si="167"/>
        <v>189631.26117461442</v>
      </c>
      <c r="AN203" s="173">
        <f t="shared" si="168"/>
        <v>0</v>
      </c>
      <c r="AO203" s="173">
        <f t="shared" si="169"/>
        <v>194958.87446827214</v>
      </c>
      <c r="AQ203" s="87" t="s">
        <v>19</v>
      </c>
      <c r="AR203" s="87" t="s">
        <v>20</v>
      </c>
      <c r="AS203" s="173">
        <f t="shared" si="170"/>
        <v>0</v>
      </c>
      <c r="AT203" s="173">
        <f t="shared" si="171"/>
        <v>181282.11538752014</v>
      </c>
      <c r="AU203" s="173">
        <f t="shared" si="172"/>
        <v>0</v>
      </c>
      <c r="AV203" s="173">
        <f t="shared" si="173"/>
        <v>192031.343448131</v>
      </c>
      <c r="AW203" s="173">
        <f t="shared" si="174"/>
        <v>0</v>
      </c>
      <c r="AX203" s="173">
        <f t="shared" si="175"/>
        <v>195400.13748451567</v>
      </c>
      <c r="AY203" s="173">
        <f t="shared" si="176"/>
        <v>0</v>
      </c>
      <c r="AZ203" s="173">
        <f t="shared" si="177"/>
        <v>199008.06883505883</v>
      </c>
      <c r="BB203" s="87" t="s">
        <v>19</v>
      </c>
      <c r="BC203" s="87" t="s">
        <v>20</v>
      </c>
      <c r="BD203" s="173">
        <f t="shared" si="178"/>
        <v>0</v>
      </c>
      <c r="BE203" s="173">
        <f t="shared" si="179"/>
        <v>181282.11538752014</v>
      </c>
      <c r="BF203" s="173">
        <f t="shared" si="180"/>
        <v>0</v>
      </c>
      <c r="BG203" s="173">
        <f t="shared" si="181"/>
        <v>192976.92412198635</v>
      </c>
      <c r="BH203" s="173">
        <f t="shared" si="182"/>
        <v>0</v>
      </c>
      <c r="BI203" s="173">
        <f t="shared" si="183"/>
        <v>196501.14256781837</v>
      </c>
      <c r="BJ203" s="173">
        <f t="shared" si="184"/>
        <v>0</v>
      </c>
      <c r="BK203" s="173">
        <f t="shared" si="185"/>
        <v>200467.55670140515</v>
      </c>
      <c r="BM203" s="87" t="s">
        <v>19</v>
      </c>
      <c r="BN203" s="87" t="s">
        <v>20</v>
      </c>
      <c r="BO203" s="173">
        <f t="shared" si="186"/>
        <v>0</v>
      </c>
      <c r="BP203" s="173">
        <f t="shared" si="187"/>
        <v>181282.11538752014</v>
      </c>
      <c r="BQ203" s="173">
        <f t="shared" si="188"/>
        <v>0</v>
      </c>
      <c r="BR203" s="173">
        <f t="shared" si="189"/>
        <v>190873.21661032145</v>
      </c>
      <c r="BS203" s="173">
        <f t="shared" si="190"/>
        <v>0</v>
      </c>
      <c r="BT203" s="173">
        <f t="shared" si="191"/>
        <v>194113.80584532235</v>
      </c>
      <c r="BU203" s="173">
        <f t="shared" si="192"/>
        <v>0</v>
      </c>
      <c r="BV203" s="173">
        <f t="shared" si="193"/>
        <v>199582.59810190508</v>
      </c>
    </row>
    <row r="204" spans="5:74">
      <c r="E204" s="87" t="s">
        <v>289</v>
      </c>
      <c r="F204" s="87" t="s">
        <v>290</v>
      </c>
      <c r="G204" s="173">
        <f>IFERROR(IF(VLOOKUP(E204,A:C,3,FALSE)="YES",VLOOKUP(E204,'School Year 2021-22 SPED coop'!A:P,16,FALSE),0),0)</f>
        <v>0</v>
      </c>
      <c r="H204" s="173">
        <f t="shared" si="194"/>
        <v>347496.13</v>
      </c>
      <c r="J204" s="87" t="s">
        <v>289</v>
      </c>
      <c r="K204" s="87" t="s">
        <v>290</v>
      </c>
      <c r="L204" s="173">
        <f t="shared" si="153"/>
        <v>0</v>
      </c>
      <c r="M204" s="173">
        <f t="shared" si="154"/>
        <v>351495.72769695142</v>
      </c>
      <c r="N204" s="173">
        <f t="shared" si="155"/>
        <v>0</v>
      </c>
      <c r="O204" s="173">
        <f t="shared" si="156"/>
        <v>363357.01746360108</v>
      </c>
      <c r="P204" s="173">
        <f t="shared" si="157"/>
        <v>0</v>
      </c>
      <c r="Q204" s="173">
        <f t="shared" si="158"/>
        <v>370097.11562645982</v>
      </c>
      <c r="R204" s="173">
        <f t="shared" si="159"/>
        <v>0</v>
      </c>
      <c r="S204" s="173">
        <f t="shared" si="160"/>
        <v>376930.21282965451</v>
      </c>
      <c r="U204" s="87" t="s">
        <v>289</v>
      </c>
      <c r="V204" s="87" t="s">
        <v>290</v>
      </c>
      <c r="W204" s="173">
        <f t="shared" si="161"/>
        <v>0</v>
      </c>
      <c r="X204" s="173">
        <f t="shared" si="195"/>
        <v>351495.72769695142</v>
      </c>
      <c r="Y204" s="173">
        <f t="shared" si="196"/>
        <v>0</v>
      </c>
      <c r="Z204" s="173">
        <f t="shared" si="197"/>
        <v>365139.30588009942</v>
      </c>
      <c r="AA204" s="173">
        <f t="shared" si="198"/>
        <v>0</v>
      </c>
      <c r="AB204" s="173">
        <f t="shared" si="199"/>
        <v>372192.68818496109</v>
      </c>
      <c r="AC204" s="173">
        <f t="shared" si="200"/>
        <v>0</v>
      </c>
      <c r="AD204" s="173">
        <f t="shared" si="201"/>
        <v>379714.16315161489</v>
      </c>
      <c r="AF204" s="87" t="s">
        <v>289</v>
      </c>
      <c r="AG204" s="87" t="s">
        <v>290</v>
      </c>
      <c r="AH204" s="173">
        <f t="shared" si="162"/>
        <v>0</v>
      </c>
      <c r="AI204" s="173">
        <f t="shared" si="163"/>
        <v>351495.72769695142</v>
      </c>
      <c r="AJ204" s="173">
        <f t="shared" si="164"/>
        <v>0</v>
      </c>
      <c r="AK204" s="173">
        <f t="shared" si="165"/>
        <v>363326.8545108533</v>
      </c>
      <c r="AL204" s="173">
        <f t="shared" si="166"/>
        <v>0</v>
      </c>
      <c r="AM204" s="173">
        <f t="shared" si="167"/>
        <v>370877.58428996743</v>
      </c>
      <c r="AN204" s="173">
        <f t="shared" si="168"/>
        <v>0</v>
      </c>
      <c r="AO204" s="173">
        <f t="shared" si="169"/>
        <v>377999.85680928722</v>
      </c>
      <c r="AQ204" s="87" t="s">
        <v>289</v>
      </c>
      <c r="AR204" s="87" t="s">
        <v>290</v>
      </c>
      <c r="AS204" s="173">
        <f t="shared" si="170"/>
        <v>0</v>
      </c>
      <c r="AT204" s="173">
        <f t="shared" si="171"/>
        <v>351495.72769695142</v>
      </c>
      <c r="AU204" s="173">
        <f t="shared" si="172"/>
        <v>0</v>
      </c>
      <c r="AV204" s="173">
        <f t="shared" si="173"/>
        <v>372329.98708497034</v>
      </c>
      <c r="AW204" s="173">
        <f t="shared" si="174"/>
        <v>0</v>
      </c>
      <c r="AX204" s="173">
        <f t="shared" si="175"/>
        <v>378887.40654881927</v>
      </c>
      <c r="AY204" s="173">
        <f t="shared" si="176"/>
        <v>0</v>
      </c>
      <c r="AZ204" s="173">
        <f t="shared" si="177"/>
        <v>385910.36286341946</v>
      </c>
      <c r="BB204" s="87" t="s">
        <v>289</v>
      </c>
      <c r="BC204" s="87" t="s">
        <v>290</v>
      </c>
      <c r="BD204" s="173">
        <f t="shared" si="178"/>
        <v>0</v>
      </c>
      <c r="BE204" s="173">
        <f t="shared" si="179"/>
        <v>351495.72769695142</v>
      </c>
      <c r="BF204" s="173">
        <f t="shared" si="180"/>
        <v>0</v>
      </c>
      <c r="BG204" s="173">
        <f t="shared" si="181"/>
        <v>374156.28890960896</v>
      </c>
      <c r="BH204" s="173">
        <f t="shared" si="182"/>
        <v>0</v>
      </c>
      <c r="BI204" s="173">
        <f t="shared" si="183"/>
        <v>381032.75366762624</v>
      </c>
      <c r="BJ204" s="173">
        <f t="shared" si="184"/>
        <v>0</v>
      </c>
      <c r="BK204" s="173">
        <f t="shared" si="185"/>
        <v>388760.63916461833</v>
      </c>
      <c r="BM204" s="87" t="s">
        <v>289</v>
      </c>
      <c r="BN204" s="87" t="s">
        <v>290</v>
      </c>
      <c r="BO204" s="173">
        <f t="shared" si="186"/>
        <v>0</v>
      </c>
      <c r="BP204" s="173">
        <f t="shared" si="187"/>
        <v>351495.72769695142</v>
      </c>
      <c r="BQ204" s="173">
        <f t="shared" si="188"/>
        <v>0</v>
      </c>
      <c r="BR204" s="173">
        <f t="shared" si="189"/>
        <v>372299.29831020255</v>
      </c>
      <c r="BS204" s="173">
        <f t="shared" si="190"/>
        <v>0</v>
      </c>
      <c r="BT204" s="173">
        <f t="shared" si="191"/>
        <v>379687.20778208267</v>
      </c>
      <c r="BU204" s="173">
        <f t="shared" si="192"/>
        <v>0</v>
      </c>
      <c r="BV204" s="173">
        <f t="shared" si="193"/>
        <v>387006.41268687363</v>
      </c>
    </row>
    <row r="205" spans="5:74">
      <c r="E205" s="87" t="s">
        <v>379</v>
      </c>
      <c r="F205" s="87" t="s">
        <v>380</v>
      </c>
      <c r="G205" s="173">
        <f>IFERROR(IF(VLOOKUP(E205,A:C,3,FALSE)="YES",VLOOKUP(E205,'School Year 2021-22 SPED coop'!A:P,16,FALSE),0),0)</f>
        <v>0</v>
      </c>
      <c r="H205" s="173">
        <f t="shared" si="194"/>
        <v>11440740.75</v>
      </c>
      <c r="J205" s="87" t="s">
        <v>379</v>
      </c>
      <c r="K205" s="87" t="s">
        <v>380</v>
      </c>
      <c r="L205" s="173">
        <f t="shared" si="153"/>
        <v>0</v>
      </c>
      <c r="M205" s="173">
        <f t="shared" si="154"/>
        <v>11568412.728672519</v>
      </c>
      <c r="N205" s="173">
        <f t="shared" si="155"/>
        <v>0</v>
      </c>
      <c r="O205" s="173">
        <f t="shared" si="156"/>
        <v>11953561.846130585</v>
      </c>
      <c r="P205" s="173">
        <f t="shared" si="157"/>
        <v>0</v>
      </c>
      <c r="Q205" s="173">
        <f t="shared" si="158"/>
        <v>12176517.74038705</v>
      </c>
      <c r="R205" s="173">
        <f t="shared" si="159"/>
        <v>0</v>
      </c>
      <c r="S205" s="173">
        <f t="shared" si="160"/>
        <v>12403632.438624915</v>
      </c>
      <c r="U205" s="87" t="s">
        <v>379</v>
      </c>
      <c r="V205" s="87" t="s">
        <v>380</v>
      </c>
      <c r="W205" s="173">
        <f t="shared" si="161"/>
        <v>0</v>
      </c>
      <c r="X205" s="173">
        <f t="shared" si="195"/>
        <v>11568412.728672519</v>
      </c>
      <c r="Y205" s="173">
        <f t="shared" si="196"/>
        <v>0</v>
      </c>
      <c r="Z205" s="173">
        <f t="shared" si="197"/>
        <v>12012167.687186953</v>
      </c>
      <c r="AA205" s="173">
        <f t="shared" si="198"/>
        <v>0</v>
      </c>
      <c r="AB205" s="173">
        <f t="shared" si="199"/>
        <v>12245342.13436069</v>
      </c>
      <c r="AC205" s="173">
        <f t="shared" si="200"/>
        <v>0</v>
      </c>
      <c r="AD205" s="173">
        <f t="shared" si="201"/>
        <v>12495245.705005068</v>
      </c>
      <c r="AF205" s="87" t="s">
        <v>379</v>
      </c>
      <c r="AG205" s="87" t="s">
        <v>380</v>
      </c>
      <c r="AH205" s="173">
        <f t="shared" si="162"/>
        <v>0</v>
      </c>
      <c r="AI205" s="173">
        <f t="shared" si="163"/>
        <v>11568412.728672519</v>
      </c>
      <c r="AJ205" s="173">
        <f t="shared" si="164"/>
        <v>0</v>
      </c>
      <c r="AK205" s="173">
        <f t="shared" si="165"/>
        <v>11954936.337420754</v>
      </c>
      <c r="AL205" s="173">
        <f t="shared" si="166"/>
        <v>0</v>
      </c>
      <c r="AM205" s="173">
        <f t="shared" si="167"/>
        <v>12146051.280640559</v>
      </c>
      <c r="AN205" s="173">
        <f t="shared" si="168"/>
        <v>0</v>
      </c>
      <c r="AO205" s="173">
        <f t="shared" si="169"/>
        <v>12372457.979219357</v>
      </c>
      <c r="AQ205" s="87" t="s">
        <v>379</v>
      </c>
      <c r="AR205" s="87" t="s">
        <v>380</v>
      </c>
      <c r="AS205" s="173">
        <f t="shared" si="170"/>
        <v>0</v>
      </c>
      <c r="AT205" s="173">
        <f t="shared" si="171"/>
        <v>11568412.728672519</v>
      </c>
      <c r="AU205" s="173">
        <f t="shared" si="172"/>
        <v>0</v>
      </c>
      <c r="AV205" s="173">
        <f t="shared" si="173"/>
        <v>12251741.962783724</v>
      </c>
      <c r="AW205" s="173">
        <f t="shared" si="174"/>
        <v>0</v>
      </c>
      <c r="AX205" s="173">
        <f t="shared" si="175"/>
        <v>12469699.027059395</v>
      </c>
      <c r="AY205" s="173">
        <f t="shared" si="176"/>
        <v>0</v>
      </c>
      <c r="AZ205" s="173">
        <f t="shared" si="177"/>
        <v>12703130.228373121</v>
      </c>
      <c r="BB205" s="87" t="s">
        <v>379</v>
      </c>
      <c r="BC205" s="87" t="s">
        <v>380</v>
      </c>
      <c r="BD205" s="173">
        <f t="shared" si="178"/>
        <v>0</v>
      </c>
      <c r="BE205" s="173">
        <f t="shared" si="179"/>
        <v>11568412.728672519</v>
      </c>
      <c r="BF205" s="173">
        <f t="shared" si="180"/>
        <v>0</v>
      </c>
      <c r="BG205" s="173">
        <f t="shared" si="181"/>
        <v>12311809.718595143</v>
      </c>
      <c r="BH205" s="173">
        <f t="shared" si="182"/>
        <v>0</v>
      </c>
      <c r="BI205" s="173">
        <f t="shared" si="183"/>
        <v>12540180.548785465</v>
      </c>
      <c r="BJ205" s="173">
        <f t="shared" si="184"/>
        <v>0</v>
      </c>
      <c r="BK205" s="173">
        <f t="shared" si="185"/>
        <v>12796955.584904272</v>
      </c>
      <c r="BM205" s="87" t="s">
        <v>379</v>
      </c>
      <c r="BN205" s="87" t="s">
        <v>380</v>
      </c>
      <c r="BO205" s="173">
        <f t="shared" si="186"/>
        <v>0</v>
      </c>
      <c r="BP205" s="173">
        <f t="shared" si="187"/>
        <v>11568412.728672519</v>
      </c>
      <c r="BQ205" s="173">
        <f t="shared" si="188"/>
        <v>0</v>
      </c>
      <c r="BR205" s="173">
        <f t="shared" si="189"/>
        <v>12253150.257218353</v>
      </c>
      <c r="BS205" s="173">
        <f t="shared" si="190"/>
        <v>0</v>
      </c>
      <c r="BT205" s="173">
        <f t="shared" si="191"/>
        <v>12438478.763589365</v>
      </c>
      <c r="BU205" s="173">
        <f t="shared" si="192"/>
        <v>0</v>
      </c>
      <c r="BV205" s="173">
        <f t="shared" si="193"/>
        <v>12671179.664904095</v>
      </c>
    </row>
    <row r="206" spans="5:74">
      <c r="E206" s="87" t="s">
        <v>1317</v>
      </c>
      <c r="F206" s="87" t="s">
        <v>1318</v>
      </c>
      <c r="G206" s="173">
        <f>IFERROR(IF(VLOOKUP(E206,A:C,3,FALSE)="YES",VLOOKUP(E206,'School Year 2021-22 SPED coop'!A:P,16,FALSE),0),0)</f>
        <v>0</v>
      </c>
      <c r="H206" s="173">
        <f t="shared" si="194"/>
        <v>129730.15</v>
      </c>
      <c r="J206" s="87" t="s">
        <v>1317</v>
      </c>
      <c r="K206" s="87" t="s">
        <v>1318</v>
      </c>
      <c r="L206" s="173">
        <f t="shared" si="153"/>
        <v>0</v>
      </c>
      <c r="M206" s="173">
        <f t="shared" si="154"/>
        <v>131187.9391513748</v>
      </c>
      <c r="N206" s="173">
        <f t="shared" si="155"/>
        <v>0</v>
      </c>
      <c r="O206" s="173">
        <f t="shared" si="156"/>
        <v>134718.53610254428</v>
      </c>
      <c r="P206" s="173">
        <f t="shared" si="157"/>
        <v>0</v>
      </c>
      <c r="Q206" s="173">
        <f t="shared" si="158"/>
        <v>137217.4752845864</v>
      </c>
      <c r="R206" s="173">
        <f t="shared" si="159"/>
        <v>0</v>
      </c>
      <c r="S206" s="173">
        <f t="shared" si="160"/>
        <v>139751.11069644088</v>
      </c>
      <c r="U206" s="87" t="s">
        <v>1317</v>
      </c>
      <c r="V206" s="87" t="s">
        <v>1318</v>
      </c>
      <c r="W206" s="173">
        <f t="shared" si="161"/>
        <v>0</v>
      </c>
      <c r="X206" s="173">
        <f t="shared" si="195"/>
        <v>131187.9391513748</v>
      </c>
      <c r="Y206" s="173">
        <f t="shared" si="196"/>
        <v>0</v>
      </c>
      <c r="Z206" s="173">
        <f t="shared" si="197"/>
        <v>135369.9246391773</v>
      </c>
      <c r="AA206" s="173">
        <f t="shared" si="198"/>
        <v>0</v>
      </c>
      <c r="AB206" s="173">
        <f t="shared" si="199"/>
        <v>137982.51760650077</v>
      </c>
      <c r="AC206" s="173">
        <f t="shared" si="200"/>
        <v>0</v>
      </c>
      <c r="AD206" s="173">
        <f t="shared" si="201"/>
        <v>140775.27952762801</v>
      </c>
      <c r="AF206" s="87" t="s">
        <v>1317</v>
      </c>
      <c r="AG206" s="87" t="s">
        <v>1318</v>
      </c>
      <c r="AH206" s="173">
        <f t="shared" si="162"/>
        <v>0</v>
      </c>
      <c r="AI206" s="173">
        <f t="shared" si="163"/>
        <v>131187.9391513748</v>
      </c>
      <c r="AJ206" s="173">
        <f t="shared" si="164"/>
        <v>0</v>
      </c>
      <c r="AK206" s="173">
        <f t="shared" si="165"/>
        <v>134739.69313391688</v>
      </c>
      <c r="AL206" s="173">
        <f t="shared" si="166"/>
        <v>0</v>
      </c>
      <c r="AM206" s="173">
        <f t="shared" si="167"/>
        <v>139116.98167649499</v>
      </c>
      <c r="AN206" s="173">
        <f t="shared" si="168"/>
        <v>0</v>
      </c>
      <c r="AO206" s="173">
        <f t="shared" si="169"/>
        <v>142835.63384433321</v>
      </c>
      <c r="AQ206" s="87" t="s">
        <v>1317</v>
      </c>
      <c r="AR206" s="87" t="s">
        <v>1318</v>
      </c>
      <c r="AS206" s="173">
        <f t="shared" si="170"/>
        <v>0</v>
      </c>
      <c r="AT206" s="173">
        <f t="shared" si="171"/>
        <v>131187.9391513748</v>
      </c>
      <c r="AU206" s="173">
        <f t="shared" si="172"/>
        <v>0</v>
      </c>
      <c r="AV206" s="173">
        <f t="shared" si="173"/>
        <v>138036.04601194037</v>
      </c>
      <c r="AW206" s="173">
        <f t="shared" si="174"/>
        <v>0</v>
      </c>
      <c r="AX206" s="173">
        <f t="shared" si="175"/>
        <v>140467.28874412665</v>
      </c>
      <c r="AY206" s="173">
        <f t="shared" si="176"/>
        <v>0</v>
      </c>
      <c r="AZ206" s="173">
        <f t="shared" si="177"/>
        <v>143071.1120239546</v>
      </c>
      <c r="BB206" s="87" t="s">
        <v>1317</v>
      </c>
      <c r="BC206" s="87" t="s">
        <v>1318</v>
      </c>
      <c r="BD206" s="173">
        <f t="shared" si="178"/>
        <v>0</v>
      </c>
      <c r="BE206" s="173">
        <f t="shared" si="179"/>
        <v>131187.9391513748</v>
      </c>
      <c r="BF206" s="173">
        <f t="shared" si="180"/>
        <v>0</v>
      </c>
      <c r="BG206" s="173">
        <f t="shared" si="181"/>
        <v>138703.46980957221</v>
      </c>
      <c r="BH206" s="173">
        <f t="shared" si="182"/>
        <v>0</v>
      </c>
      <c r="BI206" s="173">
        <f t="shared" si="183"/>
        <v>141250.4442803688</v>
      </c>
      <c r="BJ206" s="173">
        <f t="shared" si="184"/>
        <v>0</v>
      </c>
      <c r="BK206" s="173">
        <f t="shared" si="185"/>
        <v>144119.60706846585</v>
      </c>
      <c r="BM206" s="87" t="s">
        <v>1317</v>
      </c>
      <c r="BN206" s="87" t="s">
        <v>1318</v>
      </c>
      <c r="BO206" s="173">
        <f t="shared" si="186"/>
        <v>0</v>
      </c>
      <c r="BP206" s="173">
        <f t="shared" si="187"/>
        <v>131187.9391513748</v>
      </c>
      <c r="BQ206" s="173">
        <f t="shared" si="188"/>
        <v>0</v>
      </c>
      <c r="BR206" s="173">
        <f t="shared" si="189"/>
        <v>138057.98399265221</v>
      </c>
      <c r="BS206" s="173">
        <f t="shared" si="190"/>
        <v>0</v>
      </c>
      <c r="BT206" s="173">
        <f t="shared" si="191"/>
        <v>142414.72118840343</v>
      </c>
      <c r="BU206" s="173">
        <f t="shared" si="192"/>
        <v>0</v>
      </c>
      <c r="BV206" s="173">
        <f t="shared" si="193"/>
        <v>146233.44711644814</v>
      </c>
    </row>
    <row r="207" spans="5:74">
      <c r="E207" s="87" t="s">
        <v>321</v>
      </c>
      <c r="F207" s="87" t="s">
        <v>322</v>
      </c>
      <c r="G207" s="173">
        <f>IFERROR(IF(VLOOKUP(E207,A:C,3,FALSE)="YES",VLOOKUP(E207,'School Year 2021-22 SPED coop'!A:P,16,FALSE),0),0)</f>
        <v>0</v>
      </c>
      <c r="H207" s="173">
        <f t="shared" si="194"/>
        <v>892510.16</v>
      </c>
      <c r="J207" s="87" t="s">
        <v>321</v>
      </c>
      <c r="K207" s="87" t="s">
        <v>322</v>
      </c>
      <c r="L207" s="173">
        <f t="shared" si="153"/>
        <v>0</v>
      </c>
      <c r="M207" s="173">
        <f t="shared" si="154"/>
        <v>943840.28873090807</v>
      </c>
      <c r="N207" s="173">
        <f t="shared" si="155"/>
        <v>0</v>
      </c>
      <c r="O207" s="173">
        <f t="shared" si="156"/>
        <v>975763.42262629583</v>
      </c>
      <c r="P207" s="173">
        <f t="shared" si="157"/>
        <v>0</v>
      </c>
      <c r="Q207" s="173">
        <f t="shared" si="158"/>
        <v>993824.56710502377</v>
      </c>
      <c r="R207" s="173">
        <f t="shared" si="159"/>
        <v>0</v>
      </c>
      <c r="S207" s="173">
        <f t="shared" si="160"/>
        <v>1012102.5320299235</v>
      </c>
      <c r="U207" s="87" t="s">
        <v>321</v>
      </c>
      <c r="V207" s="87" t="s">
        <v>322</v>
      </c>
      <c r="W207" s="173">
        <f t="shared" si="161"/>
        <v>0</v>
      </c>
      <c r="X207" s="173">
        <f t="shared" si="195"/>
        <v>943840.28873090807</v>
      </c>
      <c r="Y207" s="173">
        <f t="shared" si="196"/>
        <v>0</v>
      </c>
      <c r="Z207" s="173">
        <f t="shared" si="197"/>
        <v>980537.95897974877</v>
      </c>
      <c r="AA207" s="173">
        <f t="shared" si="198"/>
        <v>0</v>
      </c>
      <c r="AB207" s="173">
        <f t="shared" si="199"/>
        <v>999432.45214144373</v>
      </c>
      <c r="AC207" s="173">
        <f t="shared" si="200"/>
        <v>0</v>
      </c>
      <c r="AD207" s="173">
        <f t="shared" si="201"/>
        <v>1019566.6268325836</v>
      </c>
      <c r="AF207" s="87" t="s">
        <v>321</v>
      </c>
      <c r="AG207" s="87" t="s">
        <v>322</v>
      </c>
      <c r="AH207" s="173">
        <f t="shared" si="162"/>
        <v>0</v>
      </c>
      <c r="AI207" s="173">
        <f t="shared" si="163"/>
        <v>943840.28873090807</v>
      </c>
      <c r="AJ207" s="173">
        <f t="shared" si="164"/>
        <v>0</v>
      </c>
      <c r="AK207" s="173">
        <f t="shared" si="165"/>
        <v>964575.73937540152</v>
      </c>
      <c r="AL207" s="173">
        <f t="shared" si="166"/>
        <v>0</v>
      </c>
      <c r="AM207" s="173">
        <f t="shared" si="167"/>
        <v>987035.6718944665</v>
      </c>
      <c r="AN207" s="173">
        <f t="shared" si="168"/>
        <v>0</v>
      </c>
      <c r="AO207" s="173">
        <f t="shared" si="169"/>
        <v>1012545.351072081</v>
      </c>
      <c r="AQ207" s="87" t="s">
        <v>321</v>
      </c>
      <c r="AR207" s="87" t="s">
        <v>322</v>
      </c>
      <c r="AS207" s="173">
        <f t="shared" si="170"/>
        <v>0</v>
      </c>
      <c r="AT207" s="173">
        <f t="shared" si="171"/>
        <v>943840.28873090807</v>
      </c>
      <c r="AU207" s="173">
        <f t="shared" si="172"/>
        <v>0</v>
      </c>
      <c r="AV207" s="173">
        <f t="shared" si="173"/>
        <v>999784.17453768093</v>
      </c>
      <c r="AW207" s="173">
        <f t="shared" si="174"/>
        <v>0</v>
      </c>
      <c r="AX207" s="173">
        <f t="shared" si="175"/>
        <v>1017324.9098029028</v>
      </c>
      <c r="AY207" s="173">
        <f t="shared" si="176"/>
        <v>0</v>
      </c>
      <c r="AZ207" s="173">
        <f t="shared" si="177"/>
        <v>1036110.8218847946</v>
      </c>
      <c r="BB207" s="87" t="s">
        <v>321</v>
      </c>
      <c r="BC207" s="87" t="s">
        <v>322</v>
      </c>
      <c r="BD207" s="173">
        <f t="shared" si="178"/>
        <v>0</v>
      </c>
      <c r="BE207" s="173">
        <f t="shared" si="179"/>
        <v>943840.28873090807</v>
      </c>
      <c r="BF207" s="173">
        <f t="shared" si="180"/>
        <v>0</v>
      </c>
      <c r="BG207" s="173">
        <f t="shared" si="181"/>
        <v>1004676.2425009783</v>
      </c>
      <c r="BH207" s="173">
        <f t="shared" si="182"/>
        <v>0</v>
      </c>
      <c r="BI207" s="173">
        <f t="shared" si="183"/>
        <v>1023065.3965531929</v>
      </c>
      <c r="BJ207" s="173">
        <f t="shared" si="184"/>
        <v>0</v>
      </c>
      <c r="BK207" s="173">
        <f t="shared" si="185"/>
        <v>1043751.9684321497</v>
      </c>
      <c r="BM207" s="87" t="s">
        <v>321</v>
      </c>
      <c r="BN207" s="87" t="s">
        <v>322</v>
      </c>
      <c r="BO207" s="173">
        <f t="shared" si="186"/>
        <v>0</v>
      </c>
      <c r="BP207" s="173">
        <f t="shared" si="187"/>
        <v>943840.28873090807</v>
      </c>
      <c r="BQ207" s="173">
        <f t="shared" si="188"/>
        <v>0</v>
      </c>
      <c r="BR207" s="173">
        <f t="shared" si="189"/>
        <v>988316.74227296782</v>
      </c>
      <c r="BS207" s="173">
        <f t="shared" si="190"/>
        <v>0</v>
      </c>
      <c r="BT207" s="173">
        <f t="shared" si="191"/>
        <v>1010373.2450847778</v>
      </c>
      <c r="BU207" s="173">
        <f t="shared" si="192"/>
        <v>0</v>
      </c>
      <c r="BV207" s="173">
        <f t="shared" si="193"/>
        <v>1036564.1847930825</v>
      </c>
    </row>
    <row r="208" spans="5:74">
      <c r="E208" s="87" t="s">
        <v>119</v>
      </c>
      <c r="F208" s="87" t="s">
        <v>120</v>
      </c>
      <c r="G208" s="173">
        <f>IFERROR(IF(VLOOKUP(E208,A:C,3,FALSE)="YES",VLOOKUP(E208,'School Year 2021-22 SPED coop'!A:P,16,FALSE),0),0)</f>
        <v>0</v>
      </c>
      <c r="H208" s="173">
        <f t="shared" si="194"/>
        <v>481575.72</v>
      </c>
      <c r="J208" s="87" t="s">
        <v>119</v>
      </c>
      <c r="K208" s="87" t="s">
        <v>120</v>
      </c>
      <c r="L208" s="173">
        <f t="shared" si="153"/>
        <v>0</v>
      </c>
      <c r="M208" s="173">
        <f t="shared" si="154"/>
        <v>487177.17231426295</v>
      </c>
      <c r="N208" s="173">
        <f t="shared" si="155"/>
        <v>0</v>
      </c>
      <c r="O208" s="173">
        <f t="shared" si="156"/>
        <v>503599.31641191215</v>
      </c>
      <c r="P208" s="173">
        <f t="shared" si="157"/>
        <v>0</v>
      </c>
      <c r="Q208" s="173">
        <f t="shared" si="158"/>
        <v>512939.90006401285</v>
      </c>
      <c r="R208" s="173">
        <f t="shared" si="159"/>
        <v>0</v>
      </c>
      <c r="S208" s="173">
        <f t="shared" si="160"/>
        <v>522408.57883769344</v>
      </c>
      <c r="U208" s="87" t="s">
        <v>119</v>
      </c>
      <c r="V208" s="87" t="s">
        <v>120</v>
      </c>
      <c r="W208" s="173">
        <f t="shared" si="161"/>
        <v>0</v>
      </c>
      <c r="X208" s="173">
        <f t="shared" si="195"/>
        <v>487177.17231426295</v>
      </c>
      <c r="Y208" s="173">
        <f t="shared" si="196"/>
        <v>0</v>
      </c>
      <c r="Z208" s="173">
        <f t="shared" si="197"/>
        <v>506068.67432573409</v>
      </c>
      <c r="AA208" s="173">
        <f t="shared" si="198"/>
        <v>0</v>
      </c>
      <c r="AB208" s="173">
        <f t="shared" si="199"/>
        <v>515832.04607869987</v>
      </c>
      <c r="AC208" s="173">
        <f t="shared" si="200"/>
        <v>0</v>
      </c>
      <c r="AD208" s="173">
        <f t="shared" si="201"/>
        <v>526265.87452052161</v>
      </c>
      <c r="AF208" s="87" t="s">
        <v>119</v>
      </c>
      <c r="AG208" s="87" t="s">
        <v>120</v>
      </c>
      <c r="AH208" s="173">
        <f t="shared" si="162"/>
        <v>0</v>
      </c>
      <c r="AI208" s="173">
        <f t="shared" si="163"/>
        <v>487177.17231426295</v>
      </c>
      <c r="AJ208" s="173">
        <f t="shared" si="164"/>
        <v>0</v>
      </c>
      <c r="AK208" s="173">
        <f t="shared" si="165"/>
        <v>497564.65293579339</v>
      </c>
      <c r="AL208" s="173">
        <f t="shared" si="166"/>
        <v>0</v>
      </c>
      <c r="AM208" s="173">
        <f t="shared" si="167"/>
        <v>508708.93220391177</v>
      </c>
      <c r="AN208" s="173">
        <f t="shared" si="168"/>
        <v>0</v>
      </c>
      <c r="AO208" s="173">
        <f t="shared" si="169"/>
        <v>519217.68539679126</v>
      </c>
      <c r="AQ208" s="87" t="s">
        <v>119</v>
      </c>
      <c r="AR208" s="87" t="s">
        <v>120</v>
      </c>
      <c r="AS208" s="173">
        <f t="shared" si="170"/>
        <v>0</v>
      </c>
      <c r="AT208" s="173">
        <f t="shared" si="171"/>
        <v>487177.17231426295</v>
      </c>
      <c r="AU208" s="173">
        <f t="shared" si="172"/>
        <v>0</v>
      </c>
      <c r="AV208" s="173">
        <f t="shared" si="173"/>
        <v>516038.35011456627</v>
      </c>
      <c r="AW208" s="173">
        <f t="shared" si="174"/>
        <v>0</v>
      </c>
      <c r="AX208" s="173">
        <f t="shared" si="175"/>
        <v>525125.11315234343</v>
      </c>
      <c r="AY208" s="173">
        <f t="shared" si="176"/>
        <v>0</v>
      </c>
      <c r="AZ208" s="173">
        <f t="shared" si="177"/>
        <v>534856.97747891117</v>
      </c>
      <c r="BB208" s="87" t="s">
        <v>119</v>
      </c>
      <c r="BC208" s="87" t="s">
        <v>120</v>
      </c>
      <c r="BD208" s="173">
        <f t="shared" si="178"/>
        <v>0</v>
      </c>
      <c r="BE208" s="173">
        <f t="shared" si="179"/>
        <v>487177.17231426295</v>
      </c>
      <c r="BF208" s="173">
        <f t="shared" si="180"/>
        <v>0</v>
      </c>
      <c r="BG208" s="173">
        <f t="shared" si="181"/>
        <v>518568.70195741841</v>
      </c>
      <c r="BH208" s="173">
        <f t="shared" si="182"/>
        <v>0</v>
      </c>
      <c r="BI208" s="173">
        <f t="shared" si="183"/>
        <v>528085.96034037683</v>
      </c>
      <c r="BJ208" s="173">
        <f t="shared" si="184"/>
        <v>0</v>
      </c>
      <c r="BK208" s="173">
        <f t="shared" si="185"/>
        <v>538806.18741971394</v>
      </c>
      <c r="BM208" s="87" t="s">
        <v>119</v>
      </c>
      <c r="BN208" s="87" t="s">
        <v>120</v>
      </c>
      <c r="BO208" s="173">
        <f t="shared" si="186"/>
        <v>0</v>
      </c>
      <c r="BP208" s="173">
        <f t="shared" si="187"/>
        <v>487177.17231426295</v>
      </c>
      <c r="BQ208" s="173">
        <f t="shared" si="188"/>
        <v>0</v>
      </c>
      <c r="BR208" s="173">
        <f t="shared" si="189"/>
        <v>509852.63968553371</v>
      </c>
      <c r="BS208" s="173">
        <f t="shared" si="190"/>
        <v>0</v>
      </c>
      <c r="BT208" s="173">
        <f t="shared" si="191"/>
        <v>520793.4125197056</v>
      </c>
      <c r="BU208" s="173">
        <f t="shared" si="192"/>
        <v>0</v>
      </c>
      <c r="BV208" s="173">
        <f t="shared" si="193"/>
        <v>531589.64512421063</v>
      </c>
    </row>
    <row r="209" spans="5:74">
      <c r="E209" s="87" t="s">
        <v>43</v>
      </c>
      <c r="F209" s="87" t="s">
        <v>44</v>
      </c>
      <c r="G209" s="173">
        <f>IFERROR(IF(VLOOKUP(E209,A:C,3,FALSE)="YES",VLOOKUP(E209,'School Year 2021-22 SPED coop'!A:P,16,FALSE),0),0)</f>
        <v>0</v>
      </c>
      <c r="H209" s="173">
        <f t="shared" si="194"/>
        <v>4414771.8800000008</v>
      </c>
      <c r="J209" s="87" t="s">
        <v>43</v>
      </c>
      <c r="K209" s="87" t="s">
        <v>44</v>
      </c>
      <c r="L209" s="173">
        <f t="shared" si="153"/>
        <v>0</v>
      </c>
      <c r="M209" s="173">
        <f t="shared" si="154"/>
        <v>4463521.7235988639</v>
      </c>
      <c r="N209" s="173">
        <f t="shared" si="155"/>
        <v>0</v>
      </c>
      <c r="O209" s="173">
        <f t="shared" si="156"/>
        <v>4581768.8925132221</v>
      </c>
      <c r="P209" s="173">
        <f t="shared" si="157"/>
        <v>0</v>
      </c>
      <c r="Q209" s="173">
        <f t="shared" si="158"/>
        <v>4666767.5531816892</v>
      </c>
      <c r="R209" s="173">
        <f t="shared" si="159"/>
        <v>0</v>
      </c>
      <c r="S209" s="173">
        <f t="shared" si="160"/>
        <v>4752951.8674619971</v>
      </c>
      <c r="U209" s="87" t="s">
        <v>43</v>
      </c>
      <c r="V209" s="87" t="s">
        <v>44</v>
      </c>
      <c r="W209" s="173">
        <f t="shared" si="161"/>
        <v>0</v>
      </c>
      <c r="X209" s="173">
        <f t="shared" si="195"/>
        <v>4463521.7235988639</v>
      </c>
      <c r="Y209" s="173">
        <f t="shared" si="196"/>
        <v>0</v>
      </c>
      <c r="Z209" s="173">
        <f t="shared" si="197"/>
        <v>4604230.2311697118</v>
      </c>
      <c r="AA209" s="173">
        <f t="shared" si="198"/>
        <v>0</v>
      </c>
      <c r="AB209" s="173">
        <f t="shared" si="199"/>
        <v>4693133.9564887499</v>
      </c>
      <c r="AC209" s="173">
        <f t="shared" si="200"/>
        <v>0</v>
      </c>
      <c r="AD209" s="173">
        <f t="shared" si="201"/>
        <v>4788047.0189967426</v>
      </c>
      <c r="AF209" s="87" t="s">
        <v>43</v>
      </c>
      <c r="AG209" s="87" t="s">
        <v>44</v>
      </c>
      <c r="AH209" s="173">
        <f t="shared" si="162"/>
        <v>0</v>
      </c>
      <c r="AI209" s="173">
        <f t="shared" si="163"/>
        <v>4463521.7235988639</v>
      </c>
      <c r="AJ209" s="173">
        <f t="shared" si="164"/>
        <v>0</v>
      </c>
      <c r="AK209" s="173">
        <f t="shared" si="165"/>
        <v>4559170.0498364279</v>
      </c>
      <c r="AL209" s="173">
        <f t="shared" si="166"/>
        <v>0</v>
      </c>
      <c r="AM209" s="173">
        <f t="shared" si="167"/>
        <v>4647133.8202305669</v>
      </c>
      <c r="AN209" s="173">
        <f t="shared" si="168"/>
        <v>0</v>
      </c>
      <c r="AO209" s="173">
        <f t="shared" si="169"/>
        <v>4732962.5501554273</v>
      </c>
      <c r="AQ209" s="87" t="s">
        <v>43</v>
      </c>
      <c r="AR209" s="87" t="s">
        <v>44</v>
      </c>
      <c r="AS209" s="173">
        <f t="shared" si="170"/>
        <v>0</v>
      </c>
      <c r="AT209" s="173">
        <f t="shared" si="171"/>
        <v>4463521.7235988639</v>
      </c>
      <c r="AU209" s="173">
        <f t="shared" si="172"/>
        <v>0</v>
      </c>
      <c r="AV209" s="173">
        <f t="shared" si="173"/>
        <v>4694871.2795723956</v>
      </c>
      <c r="AW209" s="173">
        <f t="shared" si="174"/>
        <v>0</v>
      </c>
      <c r="AX209" s="173">
        <f t="shared" si="175"/>
        <v>4777577.1524531487</v>
      </c>
      <c r="AY209" s="173">
        <f t="shared" si="176"/>
        <v>0</v>
      </c>
      <c r="AZ209" s="173">
        <f t="shared" si="177"/>
        <v>4866154.856593539</v>
      </c>
      <c r="BB209" s="87" t="s">
        <v>43</v>
      </c>
      <c r="BC209" s="87" t="s">
        <v>44</v>
      </c>
      <c r="BD209" s="173">
        <f t="shared" si="178"/>
        <v>0</v>
      </c>
      <c r="BE209" s="173">
        <f t="shared" si="179"/>
        <v>4463521.7235988639</v>
      </c>
      <c r="BF209" s="173">
        <f t="shared" si="180"/>
        <v>0</v>
      </c>
      <c r="BG209" s="173">
        <f t="shared" si="181"/>
        <v>4717887.0819542874</v>
      </c>
      <c r="BH209" s="173">
        <f t="shared" si="182"/>
        <v>0</v>
      </c>
      <c r="BI209" s="173">
        <f t="shared" si="183"/>
        <v>4804569.6052756682</v>
      </c>
      <c r="BJ209" s="173">
        <f t="shared" si="184"/>
        <v>0</v>
      </c>
      <c r="BK209" s="173">
        <f t="shared" si="185"/>
        <v>4902085.8781327782</v>
      </c>
      <c r="BM209" s="87" t="s">
        <v>43</v>
      </c>
      <c r="BN209" s="87" t="s">
        <v>44</v>
      </c>
      <c r="BO209" s="173">
        <f t="shared" si="186"/>
        <v>0</v>
      </c>
      <c r="BP209" s="173">
        <f t="shared" si="187"/>
        <v>4463521.7235988639</v>
      </c>
      <c r="BQ209" s="173">
        <f t="shared" si="188"/>
        <v>0</v>
      </c>
      <c r="BR209" s="173">
        <f t="shared" si="189"/>
        <v>4671707.4340262795</v>
      </c>
      <c r="BS209" s="173">
        <f t="shared" si="190"/>
        <v>0</v>
      </c>
      <c r="BT209" s="173">
        <f t="shared" si="191"/>
        <v>4757473.3317455081</v>
      </c>
      <c r="BU209" s="173">
        <f t="shared" si="192"/>
        <v>0</v>
      </c>
      <c r="BV209" s="173">
        <f t="shared" si="193"/>
        <v>4845685.2961999206</v>
      </c>
    </row>
    <row r="210" spans="5:74">
      <c r="E210" s="87" t="s">
        <v>181</v>
      </c>
      <c r="F210" s="87" t="s">
        <v>182</v>
      </c>
      <c r="G210" s="173">
        <f>IFERROR(IF(VLOOKUP(E210,A:C,3,FALSE)="YES",VLOOKUP(E210,'School Year 2021-22 SPED coop'!A:P,16,FALSE),0),0)</f>
        <v>0</v>
      </c>
      <c r="H210" s="173">
        <f t="shared" si="194"/>
        <v>1414446.49</v>
      </c>
      <c r="J210" s="87" t="s">
        <v>181</v>
      </c>
      <c r="K210" s="87" t="s">
        <v>182</v>
      </c>
      <c r="L210" s="173">
        <f t="shared" si="153"/>
        <v>0</v>
      </c>
      <c r="M210" s="173">
        <f t="shared" si="154"/>
        <v>1430360.7111772757</v>
      </c>
      <c r="N210" s="173">
        <f t="shared" si="155"/>
        <v>0</v>
      </c>
      <c r="O210" s="173">
        <f t="shared" si="156"/>
        <v>1478331.4605930364</v>
      </c>
      <c r="P210" s="173">
        <f t="shared" si="157"/>
        <v>0</v>
      </c>
      <c r="Q210" s="173">
        <f t="shared" si="158"/>
        <v>1505839.5294167502</v>
      </c>
      <c r="R210" s="173">
        <f t="shared" si="159"/>
        <v>0</v>
      </c>
      <c r="S210" s="173">
        <f t="shared" si="160"/>
        <v>1533802.5628604796</v>
      </c>
      <c r="U210" s="87" t="s">
        <v>181</v>
      </c>
      <c r="V210" s="87" t="s">
        <v>182</v>
      </c>
      <c r="W210" s="173">
        <f t="shared" si="161"/>
        <v>0</v>
      </c>
      <c r="X210" s="173">
        <f t="shared" si="195"/>
        <v>1430360.7111772757</v>
      </c>
      <c r="Y210" s="173">
        <f t="shared" si="196"/>
        <v>0</v>
      </c>
      <c r="Z210" s="173">
        <f t="shared" si="197"/>
        <v>1485573.1768717233</v>
      </c>
      <c r="AA210" s="173">
        <f t="shared" si="198"/>
        <v>0</v>
      </c>
      <c r="AB210" s="173">
        <f t="shared" si="199"/>
        <v>1514347.2002676518</v>
      </c>
      <c r="AC210" s="173">
        <f t="shared" si="200"/>
        <v>0</v>
      </c>
      <c r="AD210" s="173">
        <f t="shared" si="201"/>
        <v>1545132.5578266846</v>
      </c>
      <c r="AF210" s="87" t="s">
        <v>181</v>
      </c>
      <c r="AG210" s="87" t="s">
        <v>182</v>
      </c>
      <c r="AH210" s="173">
        <f t="shared" si="162"/>
        <v>0</v>
      </c>
      <c r="AI210" s="173">
        <f t="shared" si="163"/>
        <v>1430360.7111772757</v>
      </c>
      <c r="AJ210" s="173">
        <f t="shared" si="164"/>
        <v>0</v>
      </c>
      <c r="AK210" s="173">
        <f t="shared" si="165"/>
        <v>1482974.9155977874</v>
      </c>
      <c r="AL210" s="173">
        <f t="shared" si="166"/>
        <v>0</v>
      </c>
      <c r="AM210" s="173">
        <f t="shared" si="167"/>
        <v>1514188.6992517477</v>
      </c>
      <c r="AN210" s="173">
        <f t="shared" si="168"/>
        <v>0</v>
      </c>
      <c r="AO210" s="173">
        <f t="shared" si="169"/>
        <v>1545685.6811536844</v>
      </c>
      <c r="AQ210" s="87" t="s">
        <v>181</v>
      </c>
      <c r="AR210" s="87" t="s">
        <v>182</v>
      </c>
      <c r="AS210" s="173">
        <f t="shared" si="170"/>
        <v>0</v>
      </c>
      <c r="AT210" s="173">
        <f t="shared" si="171"/>
        <v>1430360.7111772757</v>
      </c>
      <c r="AU210" s="173">
        <f t="shared" si="172"/>
        <v>0</v>
      </c>
      <c r="AV210" s="173">
        <f t="shared" si="173"/>
        <v>1515026.2613951967</v>
      </c>
      <c r="AW210" s="173">
        <f t="shared" si="174"/>
        <v>0</v>
      </c>
      <c r="AX210" s="173">
        <f t="shared" si="175"/>
        <v>1541861.0793280657</v>
      </c>
      <c r="AY210" s="173">
        <f t="shared" si="176"/>
        <v>0</v>
      </c>
      <c r="AZ210" s="173">
        <f t="shared" si="177"/>
        <v>1570601.1215098472</v>
      </c>
      <c r="BB210" s="87" t="s">
        <v>181</v>
      </c>
      <c r="BC210" s="87" t="s">
        <v>182</v>
      </c>
      <c r="BD210" s="173">
        <f t="shared" si="178"/>
        <v>0</v>
      </c>
      <c r="BE210" s="173">
        <f t="shared" si="179"/>
        <v>1430360.7111772757</v>
      </c>
      <c r="BF210" s="173">
        <f t="shared" si="180"/>
        <v>0</v>
      </c>
      <c r="BG210" s="173">
        <f t="shared" si="181"/>
        <v>1522447.726147159</v>
      </c>
      <c r="BH210" s="173">
        <f t="shared" si="182"/>
        <v>0</v>
      </c>
      <c r="BI210" s="173">
        <f t="shared" si="183"/>
        <v>1550572.2624141113</v>
      </c>
      <c r="BJ210" s="173">
        <f t="shared" si="184"/>
        <v>0</v>
      </c>
      <c r="BK210" s="173">
        <f t="shared" si="185"/>
        <v>1582202.9430830888</v>
      </c>
      <c r="BM210" s="87" t="s">
        <v>181</v>
      </c>
      <c r="BN210" s="87" t="s">
        <v>182</v>
      </c>
      <c r="BO210" s="173">
        <f t="shared" si="186"/>
        <v>0</v>
      </c>
      <c r="BP210" s="173">
        <f t="shared" si="187"/>
        <v>1430360.7111772757</v>
      </c>
      <c r="BQ210" s="173">
        <f t="shared" si="188"/>
        <v>0</v>
      </c>
      <c r="BR210" s="173">
        <f t="shared" si="189"/>
        <v>1519787.4668199525</v>
      </c>
      <c r="BS210" s="173">
        <f t="shared" si="190"/>
        <v>0</v>
      </c>
      <c r="BT210" s="173">
        <f t="shared" si="191"/>
        <v>1550412.9975892878</v>
      </c>
      <c r="BU210" s="173">
        <f t="shared" si="192"/>
        <v>0</v>
      </c>
      <c r="BV210" s="173">
        <f t="shared" si="193"/>
        <v>1582773.2489774597</v>
      </c>
    </row>
    <row r="211" spans="5:74">
      <c r="E211" s="87" t="s">
        <v>537</v>
      </c>
      <c r="F211" s="87" t="s">
        <v>538</v>
      </c>
      <c r="G211" s="173">
        <f>IFERROR(IF(VLOOKUP(E211,A:C,3,FALSE)="YES",VLOOKUP(E211,'School Year 2021-22 SPED coop'!A:P,16,FALSE),0),0)</f>
        <v>0</v>
      </c>
      <c r="H211" s="173">
        <f t="shared" si="194"/>
        <v>293498.05</v>
      </c>
      <c r="J211" s="87" t="s">
        <v>537</v>
      </c>
      <c r="K211" s="87" t="s">
        <v>538</v>
      </c>
      <c r="L211" s="173">
        <f t="shared" si="153"/>
        <v>0</v>
      </c>
      <c r="M211" s="173">
        <f t="shared" si="154"/>
        <v>296926.65283394128</v>
      </c>
      <c r="N211" s="173">
        <f t="shared" si="155"/>
        <v>0</v>
      </c>
      <c r="O211" s="173">
        <f t="shared" si="156"/>
        <v>306978.10413017357</v>
      </c>
      <c r="P211" s="173">
        <f t="shared" si="157"/>
        <v>0</v>
      </c>
      <c r="Q211" s="173">
        <f t="shared" si="158"/>
        <v>312663.16629123793</v>
      </c>
      <c r="R211" s="173">
        <f t="shared" si="159"/>
        <v>0</v>
      </c>
      <c r="S211" s="173">
        <f t="shared" si="160"/>
        <v>318418.90450529399</v>
      </c>
      <c r="U211" s="87" t="s">
        <v>537</v>
      </c>
      <c r="V211" s="87" t="s">
        <v>538</v>
      </c>
      <c r="W211" s="173">
        <f t="shared" si="161"/>
        <v>0</v>
      </c>
      <c r="X211" s="173">
        <f t="shared" si="195"/>
        <v>296926.65283394128</v>
      </c>
      <c r="Y211" s="173">
        <f t="shared" si="196"/>
        <v>0</v>
      </c>
      <c r="Z211" s="173">
        <f t="shared" si="197"/>
        <v>308488.48770364298</v>
      </c>
      <c r="AA211" s="173">
        <f t="shared" si="198"/>
        <v>0</v>
      </c>
      <c r="AB211" s="173">
        <f t="shared" si="199"/>
        <v>314424.71480934223</v>
      </c>
      <c r="AC211" s="173">
        <f t="shared" si="200"/>
        <v>0</v>
      </c>
      <c r="AD211" s="173">
        <f t="shared" si="201"/>
        <v>320777.96941272682</v>
      </c>
      <c r="AF211" s="87" t="s">
        <v>537</v>
      </c>
      <c r="AG211" s="87" t="s">
        <v>538</v>
      </c>
      <c r="AH211" s="173">
        <f t="shared" si="162"/>
        <v>0</v>
      </c>
      <c r="AI211" s="173">
        <f t="shared" si="163"/>
        <v>296926.65283394128</v>
      </c>
      <c r="AJ211" s="173">
        <f t="shared" si="164"/>
        <v>0</v>
      </c>
      <c r="AK211" s="173">
        <f t="shared" si="165"/>
        <v>305449.48010136705</v>
      </c>
      <c r="AL211" s="173">
        <f t="shared" si="166"/>
        <v>0</v>
      </c>
      <c r="AM211" s="173">
        <f t="shared" si="167"/>
        <v>310793.89436344273</v>
      </c>
      <c r="AN211" s="173">
        <f t="shared" si="168"/>
        <v>0</v>
      </c>
      <c r="AO211" s="173">
        <f t="shared" si="169"/>
        <v>314372.91874242976</v>
      </c>
      <c r="AQ211" s="87" t="s">
        <v>537</v>
      </c>
      <c r="AR211" s="87" t="s">
        <v>538</v>
      </c>
      <c r="AS211" s="173">
        <f t="shared" si="170"/>
        <v>0</v>
      </c>
      <c r="AT211" s="173">
        <f t="shared" si="171"/>
        <v>296926.65283394128</v>
      </c>
      <c r="AU211" s="173">
        <f t="shared" si="172"/>
        <v>0</v>
      </c>
      <c r="AV211" s="173">
        <f t="shared" si="173"/>
        <v>314535.20932403463</v>
      </c>
      <c r="AW211" s="173">
        <f t="shared" si="174"/>
        <v>0</v>
      </c>
      <c r="AX211" s="173">
        <f t="shared" si="175"/>
        <v>320058.6652021592</v>
      </c>
      <c r="AY211" s="173">
        <f t="shared" si="176"/>
        <v>0</v>
      </c>
      <c r="AZ211" s="173">
        <f t="shared" si="177"/>
        <v>325974.25301120785</v>
      </c>
      <c r="BB211" s="87" t="s">
        <v>537</v>
      </c>
      <c r="BC211" s="87" t="s">
        <v>538</v>
      </c>
      <c r="BD211" s="173">
        <f t="shared" si="178"/>
        <v>0</v>
      </c>
      <c r="BE211" s="173">
        <f t="shared" si="179"/>
        <v>296926.65283394128</v>
      </c>
      <c r="BF211" s="173">
        <f t="shared" si="180"/>
        <v>0</v>
      </c>
      <c r="BG211" s="173">
        <f t="shared" si="181"/>
        <v>316082.77791782015</v>
      </c>
      <c r="BH211" s="173">
        <f t="shared" si="182"/>
        <v>0</v>
      </c>
      <c r="BI211" s="173">
        <f t="shared" si="183"/>
        <v>321861.87740621989</v>
      </c>
      <c r="BJ211" s="173">
        <f t="shared" si="184"/>
        <v>0</v>
      </c>
      <c r="BK211" s="173">
        <f t="shared" si="185"/>
        <v>328389.29652286746</v>
      </c>
      <c r="BM211" s="87" t="s">
        <v>537</v>
      </c>
      <c r="BN211" s="87" t="s">
        <v>538</v>
      </c>
      <c r="BO211" s="173">
        <f t="shared" si="186"/>
        <v>0</v>
      </c>
      <c r="BP211" s="173">
        <f t="shared" si="187"/>
        <v>296926.65283394128</v>
      </c>
      <c r="BQ211" s="173">
        <f t="shared" si="188"/>
        <v>0</v>
      </c>
      <c r="BR211" s="173">
        <f t="shared" si="189"/>
        <v>312968.61873855186</v>
      </c>
      <c r="BS211" s="173">
        <f t="shared" si="190"/>
        <v>0</v>
      </c>
      <c r="BT211" s="173">
        <f t="shared" si="191"/>
        <v>318144.84009405808</v>
      </c>
      <c r="BU211" s="173">
        <f t="shared" si="192"/>
        <v>0</v>
      </c>
      <c r="BV211" s="173">
        <f t="shared" si="193"/>
        <v>321831.32325978531</v>
      </c>
    </row>
    <row r="212" spans="5:74">
      <c r="E212" s="87" t="s">
        <v>481</v>
      </c>
      <c r="F212" s="87" t="s">
        <v>482</v>
      </c>
      <c r="G212" s="173">
        <f>IFERROR(IF(VLOOKUP(E212,A:C,3,FALSE)="YES",VLOOKUP(E212,'School Year 2021-22 SPED coop'!A:P,16,FALSE),0),0)</f>
        <v>0</v>
      </c>
      <c r="H212" s="173">
        <f t="shared" si="194"/>
        <v>722453.22</v>
      </c>
      <c r="J212" s="87" t="s">
        <v>481</v>
      </c>
      <c r="K212" s="87" t="s">
        <v>482</v>
      </c>
      <c r="L212" s="173">
        <f t="shared" si="153"/>
        <v>0</v>
      </c>
      <c r="M212" s="173">
        <f t="shared" si="154"/>
        <v>730340.6842751716</v>
      </c>
      <c r="N212" s="173">
        <f t="shared" si="155"/>
        <v>0</v>
      </c>
      <c r="O212" s="173">
        <f t="shared" si="156"/>
        <v>749946.83281361894</v>
      </c>
      <c r="P212" s="173">
        <f t="shared" si="157"/>
        <v>0</v>
      </c>
      <c r="Q212" s="173">
        <f t="shared" si="158"/>
        <v>763870.51166722609</v>
      </c>
      <c r="R212" s="173">
        <f t="shared" si="159"/>
        <v>0</v>
      </c>
      <c r="S212" s="173">
        <f t="shared" si="160"/>
        <v>777997.60454543424</v>
      </c>
      <c r="U212" s="87" t="s">
        <v>481</v>
      </c>
      <c r="V212" s="87" t="s">
        <v>482</v>
      </c>
      <c r="W212" s="173">
        <f t="shared" si="161"/>
        <v>0</v>
      </c>
      <c r="X212" s="173">
        <f t="shared" si="195"/>
        <v>730340.6842751716</v>
      </c>
      <c r="Y212" s="173">
        <f t="shared" si="196"/>
        <v>0</v>
      </c>
      <c r="Z212" s="173">
        <f t="shared" si="197"/>
        <v>753626.23480766197</v>
      </c>
      <c r="AA212" s="173">
        <f t="shared" si="198"/>
        <v>0</v>
      </c>
      <c r="AB212" s="173">
        <f t="shared" si="199"/>
        <v>768194.49117314944</v>
      </c>
      <c r="AC212" s="173">
        <f t="shared" si="200"/>
        <v>0</v>
      </c>
      <c r="AD212" s="173">
        <f t="shared" si="201"/>
        <v>783746.20313255512</v>
      </c>
      <c r="AF212" s="87" t="s">
        <v>481</v>
      </c>
      <c r="AG212" s="87" t="s">
        <v>482</v>
      </c>
      <c r="AH212" s="173">
        <f t="shared" si="162"/>
        <v>0</v>
      </c>
      <c r="AI212" s="173">
        <f t="shared" si="163"/>
        <v>730340.6842751716</v>
      </c>
      <c r="AJ212" s="173">
        <f t="shared" si="164"/>
        <v>0</v>
      </c>
      <c r="AK212" s="173">
        <f t="shared" si="165"/>
        <v>748496.49583464395</v>
      </c>
      <c r="AL212" s="173">
        <f t="shared" si="166"/>
        <v>0</v>
      </c>
      <c r="AM212" s="173">
        <f t="shared" si="167"/>
        <v>762392.46876433725</v>
      </c>
      <c r="AN212" s="173">
        <f t="shared" si="168"/>
        <v>0</v>
      </c>
      <c r="AO212" s="173">
        <f t="shared" si="169"/>
        <v>776490.82888755226</v>
      </c>
      <c r="AQ212" s="87" t="s">
        <v>481</v>
      </c>
      <c r="AR212" s="87" t="s">
        <v>482</v>
      </c>
      <c r="AS212" s="173">
        <f t="shared" si="170"/>
        <v>0</v>
      </c>
      <c r="AT212" s="173">
        <f t="shared" si="171"/>
        <v>730340.6842751716</v>
      </c>
      <c r="AU212" s="173">
        <f t="shared" si="172"/>
        <v>0</v>
      </c>
      <c r="AV212" s="173">
        <f t="shared" si="173"/>
        <v>768438.7621004082</v>
      </c>
      <c r="AW212" s="173">
        <f t="shared" si="174"/>
        <v>0</v>
      </c>
      <c r="AX212" s="173">
        <f t="shared" si="175"/>
        <v>781994.81658620201</v>
      </c>
      <c r="AY212" s="173">
        <f t="shared" si="176"/>
        <v>0</v>
      </c>
      <c r="AZ212" s="173">
        <f t="shared" si="177"/>
        <v>796513.36702153669</v>
      </c>
      <c r="BB212" s="87" t="s">
        <v>481</v>
      </c>
      <c r="BC212" s="87" t="s">
        <v>482</v>
      </c>
      <c r="BD212" s="173">
        <f t="shared" si="178"/>
        <v>0</v>
      </c>
      <c r="BE212" s="173">
        <f t="shared" si="179"/>
        <v>730340.6842751716</v>
      </c>
      <c r="BF212" s="173">
        <f t="shared" si="180"/>
        <v>0</v>
      </c>
      <c r="BG212" s="173">
        <f t="shared" si="181"/>
        <v>772208.89094009832</v>
      </c>
      <c r="BH212" s="173">
        <f t="shared" si="182"/>
        <v>0</v>
      </c>
      <c r="BI212" s="173">
        <f t="shared" si="183"/>
        <v>786421.39422322076</v>
      </c>
      <c r="BJ212" s="173">
        <f t="shared" si="184"/>
        <v>0</v>
      </c>
      <c r="BK212" s="173">
        <f t="shared" si="185"/>
        <v>802398.77907002054</v>
      </c>
      <c r="BM212" s="87" t="s">
        <v>481</v>
      </c>
      <c r="BN212" s="87" t="s">
        <v>482</v>
      </c>
      <c r="BO212" s="173">
        <f t="shared" si="186"/>
        <v>0</v>
      </c>
      <c r="BP212" s="173">
        <f t="shared" si="187"/>
        <v>730340.6842751716</v>
      </c>
      <c r="BQ212" s="173">
        <f t="shared" si="188"/>
        <v>0</v>
      </c>
      <c r="BR212" s="173">
        <f t="shared" si="189"/>
        <v>766951.25208635256</v>
      </c>
      <c r="BS212" s="173">
        <f t="shared" si="190"/>
        <v>0</v>
      </c>
      <c r="BT212" s="173">
        <f t="shared" si="191"/>
        <v>780479.7439751135</v>
      </c>
      <c r="BU212" s="173">
        <f t="shared" si="192"/>
        <v>0</v>
      </c>
      <c r="BV212" s="173">
        <f t="shared" si="193"/>
        <v>794968.76027171593</v>
      </c>
    </row>
    <row r="213" spans="5:74">
      <c r="E213" s="87" t="s">
        <v>25</v>
      </c>
      <c r="F213" s="87" t="s">
        <v>26</v>
      </c>
      <c r="G213" s="173">
        <f>IFERROR(IF(VLOOKUP(E213,A:C,3,FALSE)="YES",VLOOKUP(E213,'School Year 2021-22 SPED coop'!A:P,16,FALSE),0),0)</f>
        <v>0</v>
      </c>
      <c r="H213" s="173">
        <f t="shared" si="194"/>
        <v>2801354.2</v>
      </c>
      <c r="J213" s="87" t="s">
        <v>25</v>
      </c>
      <c r="K213" s="87" t="s">
        <v>26</v>
      </c>
      <c r="L213" s="173">
        <f t="shared" si="153"/>
        <v>0</v>
      </c>
      <c r="M213" s="173">
        <f t="shared" si="154"/>
        <v>2854087.2941376646</v>
      </c>
      <c r="N213" s="173">
        <f t="shared" si="155"/>
        <v>0</v>
      </c>
      <c r="O213" s="173">
        <f t="shared" si="156"/>
        <v>2950842.6597447675</v>
      </c>
      <c r="P213" s="173">
        <f t="shared" si="157"/>
        <v>0</v>
      </c>
      <c r="Q213" s="173">
        <f t="shared" si="158"/>
        <v>3005504.3863775176</v>
      </c>
      <c r="R213" s="173">
        <f t="shared" si="159"/>
        <v>0</v>
      </c>
      <c r="S213" s="173">
        <f t="shared" si="160"/>
        <v>3060857.0530060842</v>
      </c>
      <c r="U213" s="87" t="s">
        <v>25</v>
      </c>
      <c r="V213" s="87" t="s">
        <v>26</v>
      </c>
      <c r="W213" s="173">
        <f t="shared" si="161"/>
        <v>0</v>
      </c>
      <c r="X213" s="173">
        <f t="shared" si="195"/>
        <v>2854087.2941376646</v>
      </c>
      <c r="Y213" s="173">
        <f t="shared" si="196"/>
        <v>0</v>
      </c>
      <c r="Z213" s="173">
        <f t="shared" si="197"/>
        <v>2965288.305854674</v>
      </c>
      <c r="AA213" s="173">
        <f t="shared" si="198"/>
        <v>0</v>
      </c>
      <c r="AB213" s="173">
        <f t="shared" si="199"/>
        <v>3022480.2586576049</v>
      </c>
      <c r="AC213" s="173">
        <f t="shared" si="200"/>
        <v>0</v>
      </c>
      <c r="AD213" s="173">
        <f t="shared" si="201"/>
        <v>3083456.3104338702</v>
      </c>
      <c r="AF213" s="87" t="s">
        <v>25</v>
      </c>
      <c r="AG213" s="87" t="s">
        <v>26</v>
      </c>
      <c r="AH213" s="173">
        <f t="shared" si="162"/>
        <v>0</v>
      </c>
      <c r="AI213" s="173">
        <f t="shared" si="163"/>
        <v>2854087.2941376646</v>
      </c>
      <c r="AJ213" s="173">
        <f t="shared" si="164"/>
        <v>0</v>
      </c>
      <c r="AK213" s="173">
        <f t="shared" si="165"/>
        <v>2963873.3148454148</v>
      </c>
      <c r="AL213" s="173">
        <f t="shared" si="166"/>
        <v>0</v>
      </c>
      <c r="AM213" s="173">
        <f t="shared" si="167"/>
        <v>3024465.8529993929</v>
      </c>
      <c r="AN213" s="173">
        <f t="shared" si="168"/>
        <v>0</v>
      </c>
      <c r="AO213" s="173">
        <f t="shared" si="169"/>
        <v>3085343.3651710371</v>
      </c>
      <c r="AQ213" s="87" t="s">
        <v>25</v>
      </c>
      <c r="AR213" s="87" t="s">
        <v>26</v>
      </c>
      <c r="AS213" s="173">
        <f t="shared" si="170"/>
        <v>0</v>
      </c>
      <c r="AT213" s="173">
        <f t="shared" si="171"/>
        <v>2854087.2941376646</v>
      </c>
      <c r="AU213" s="173">
        <f t="shared" si="172"/>
        <v>0</v>
      </c>
      <c r="AV213" s="173">
        <f t="shared" si="173"/>
        <v>3023468.2916713622</v>
      </c>
      <c r="AW213" s="173">
        <f t="shared" si="174"/>
        <v>0</v>
      </c>
      <c r="AX213" s="173">
        <f t="shared" si="175"/>
        <v>3076586.1909083407</v>
      </c>
      <c r="AY213" s="173">
        <f t="shared" si="176"/>
        <v>0</v>
      </c>
      <c r="AZ213" s="173">
        <f t="shared" si="177"/>
        <v>3133475.2373741702</v>
      </c>
      <c r="BB213" s="87" t="s">
        <v>25</v>
      </c>
      <c r="BC213" s="87" t="s">
        <v>26</v>
      </c>
      <c r="BD213" s="173">
        <f t="shared" si="178"/>
        <v>0</v>
      </c>
      <c r="BE213" s="173">
        <f t="shared" si="179"/>
        <v>2854087.2941376646</v>
      </c>
      <c r="BF213" s="173">
        <f t="shared" si="180"/>
        <v>0</v>
      </c>
      <c r="BG213" s="173">
        <f t="shared" si="181"/>
        <v>3038269.4597941735</v>
      </c>
      <c r="BH213" s="173">
        <f t="shared" si="182"/>
        <v>0</v>
      </c>
      <c r="BI213" s="173">
        <f t="shared" si="183"/>
        <v>3093963.5464429096</v>
      </c>
      <c r="BJ213" s="173">
        <f t="shared" si="184"/>
        <v>0</v>
      </c>
      <c r="BK213" s="173">
        <f t="shared" si="185"/>
        <v>3156610.6531389505</v>
      </c>
      <c r="BM213" s="87" t="s">
        <v>25</v>
      </c>
      <c r="BN213" s="87" t="s">
        <v>26</v>
      </c>
      <c r="BO213" s="173">
        <f t="shared" si="186"/>
        <v>0</v>
      </c>
      <c r="BP213" s="173">
        <f t="shared" si="187"/>
        <v>2854087.2941376646</v>
      </c>
      <c r="BQ213" s="173">
        <f t="shared" si="188"/>
        <v>0</v>
      </c>
      <c r="BR213" s="173">
        <f t="shared" si="189"/>
        <v>3036825.5079920725</v>
      </c>
      <c r="BS213" s="173">
        <f t="shared" si="190"/>
        <v>0</v>
      </c>
      <c r="BT213" s="173">
        <f t="shared" si="191"/>
        <v>3096003.0987790609</v>
      </c>
      <c r="BU213" s="173">
        <f t="shared" si="192"/>
        <v>0</v>
      </c>
      <c r="BV213" s="173">
        <f t="shared" si="193"/>
        <v>3158550.9205882004</v>
      </c>
    </row>
    <row r="214" spans="5:74">
      <c r="E214" s="87" t="s">
        <v>1319</v>
      </c>
      <c r="F214" s="87" t="s">
        <v>1320</v>
      </c>
      <c r="G214" s="173">
        <f>IFERROR(IF(VLOOKUP(E214,A:C,3,FALSE)="YES",VLOOKUP(E214,'School Year 2021-22 SPED coop'!A:P,16,FALSE),0),0)</f>
        <v>0</v>
      </c>
      <c r="H214" s="173">
        <f t="shared" si="194"/>
        <v>99337.600000000006</v>
      </c>
      <c r="J214" s="87" t="s">
        <v>1319</v>
      </c>
      <c r="K214" s="87" t="s">
        <v>1320</v>
      </c>
      <c r="L214" s="173">
        <f t="shared" si="153"/>
        <v>0</v>
      </c>
      <c r="M214" s="173">
        <f t="shared" si="154"/>
        <v>100505.15417953405</v>
      </c>
      <c r="N214" s="173">
        <f t="shared" si="155"/>
        <v>0</v>
      </c>
      <c r="O214" s="173">
        <f t="shared" si="156"/>
        <v>103887.96716506101</v>
      </c>
      <c r="P214" s="173">
        <f t="shared" si="157"/>
        <v>0</v>
      </c>
      <c r="Q214" s="173">
        <f t="shared" si="158"/>
        <v>105810.03050115029</v>
      </c>
      <c r="R214" s="173">
        <f t="shared" si="159"/>
        <v>0</v>
      </c>
      <c r="S214" s="173">
        <f t="shared" si="160"/>
        <v>107754.43204538681</v>
      </c>
      <c r="U214" s="87" t="s">
        <v>1319</v>
      </c>
      <c r="V214" s="87" t="s">
        <v>1320</v>
      </c>
      <c r="W214" s="173">
        <f t="shared" si="161"/>
        <v>0</v>
      </c>
      <c r="X214" s="173">
        <f t="shared" si="195"/>
        <v>100505.15417953405</v>
      </c>
      <c r="Y214" s="173">
        <f t="shared" si="196"/>
        <v>0</v>
      </c>
      <c r="Z214" s="173">
        <f t="shared" si="197"/>
        <v>103887.96716506101</v>
      </c>
      <c r="AA214" s="173">
        <f t="shared" si="198"/>
        <v>0</v>
      </c>
      <c r="AB214" s="173">
        <f t="shared" si="199"/>
        <v>105810.03050115029</v>
      </c>
      <c r="AC214" s="173">
        <f t="shared" si="200"/>
        <v>0</v>
      </c>
      <c r="AD214" s="173">
        <f t="shared" si="201"/>
        <v>107754.43204538681</v>
      </c>
      <c r="AF214" s="87" t="s">
        <v>1319</v>
      </c>
      <c r="AG214" s="87" t="s">
        <v>1320</v>
      </c>
      <c r="AH214" s="173">
        <f t="shared" si="162"/>
        <v>0</v>
      </c>
      <c r="AI214" s="173">
        <f t="shared" si="163"/>
        <v>100505.15417953405</v>
      </c>
      <c r="AJ214" s="173">
        <f t="shared" si="164"/>
        <v>0</v>
      </c>
      <c r="AK214" s="173">
        <f t="shared" si="165"/>
        <v>105951.76441266821</v>
      </c>
      <c r="AL214" s="173">
        <f t="shared" si="166"/>
        <v>0</v>
      </c>
      <c r="AM214" s="173">
        <f t="shared" si="167"/>
        <v>103994.42873106847</v>
      </c>
      <c r="AN214" s="173">
        <f t="shared" si="168"/>
        <v>0</v>
      </c>
      <c r="AO214" s="173">
        <f t="shared" si="169"/>
        <v>103848.0512120026</v>
      </c>
      <c r="AQ214" s="87" t="s">
        <v>1319</v>
      </c>
      <c r="AR214" s="87" t="s">
        <v>1320</v>
      </c>
      <c r="AS214" s="173">
        <f t="shared" si="170"/>
        <v>0</v>
      </c>
      <c r="AT214" s="173">
        <f t="shared" si="171"/>
        <v>100505.15417953405</v>
      </c>
      <c r="AU214" s="173">
        <f t="shared" si="172"/>
        <v>0</v>
      </c>
      <c r="AV214" s="173">
        <f t="shared" si="173"/>
        <v>106447.84305232305</v>
      </c>
      <c r="AW214" s="173">
        <f t="shared" si="174"/>
        <v>0</v>
      </c>
      <c r="AX214" s="173">
        <f t="shared" si="175"/>
        <v>108313.90063727915</v>
      </c>
      <c r="AY214" s="173">
        <f t="shared" si="176"/>
        <v>0</v>
      </c>
      <c r="AZ214" s="173">
        <f t="shared" si="177"/>
        <v>110312.42412869672</v>
      </c>
      <c r="BB214" s="87" t="s">
        <v>1319</v>
      </c>
      <c r="BC214" s="87" t="s">
        <v>1320</v>
      </c>
      <c r="BD214" s="173">
        <f t="shared" si="178"/>
        <v>0</v>
      </c>
      <c r="BE214" s="173">
        <f t="shared" si="179"/>
        <v>100505.15417953405</v>
      </c>
      <c r="BF214" s="173">
        <f t="shared" si="180"/>
        <v>0</v>
      </c>
      <c r="BG214" s="173">
        <f t="shared" si="181"/>
        <v>106447.84305232305</v>
      </c>
      <c r="BH214" s="173">
        <f t="shared" si="182"/>
        <v>0</v>
      </c>
      <c r="BI214" s="173">
        <f t="shared" si="183"/>
        <v>108313.90063727915</v>
      </c>
      <c r="BJ214" s="173">
        <f t="shared" si="184"/>
        <v>0</v>
      </c>
      <c r="BK214" s="173">
        <f t="shared" si="185"/>
        <v>110312.42412869672</v>
      </c>
      <c r="BM214" s="87" t="s">
        <v>1319</v>
      </c>
      <c r="BN214" s="87" t="s">
        <v>1320</v>
      </c>
      <c r="BO214" s="173">
        <f t="shared" si="186"/>
        <v>0</v>
      </c>
      <c r="BP214" s="173">
        <f t="shared" si="187"/>
        <v>100505.15417953405</v>
      </c>
      <c r="BQ214" s="173">
        <f t="shared" si="188"/>
        <v>0</v>
      </c>
      <c r="BR214" s="173">
        <f t="shared" si="189"/>
        <v>108563.29810926538</v>
      </c>
      <c r="BS214" s="173">
        <f t="shared" si="190"/>
        <v>0</v>
      </c>
      <c r="BT214" s="173">
        <f t="shared" si="191"/>
        <v>106454.81236668392</v>
      </c>
      <c r="BU214" s="173">
        <f t="shared" si="192"/>
        <v>0</v>
      </c>
      <c r="BV214" s="173">
        <f t="shared" si="193"/>
        <v>106312.15150345195</v>
      </c>
    </row>
    <row r="215" spans="5:74">
      <c r="E215" s="87" t="s">
        <v>561</v>
      </c>
      <c r="F215" s="87" t="s">
        <v>562</v>
      </c>
      <c r="G215" s="173">
        <f>IFERROR(IF(VLOOKUP(E215,A:C,3,FALSE)="YES",VLOOKUP(E215,'School Year 2021-22 SPED coop'!A:P,16,FALSE),0),0)</f>
        <v>0</v>
      </c>
      <c r="H215" s="173">
        <f t="shared" si="194"/>
        <v>3150239.12</v>
      </c>
      <c r="J215" s="87" t="s">
        <v>561</v>
      </c>
      <c r="K215" s="87" t="s">
        <v>562</v>
      </c>
      <c r="L215" s="173">
        <f t="shared" si="153"/>
        <v>0</v>
      </c>
      <c r="M215" s="173">
        <f t="shared" si="154"/>
        <v>3185237.8556751674</v>
      </c>
      <c r="N215" s="173">
        <f t="shared" si="155"/>
        <v>0</v>
      </c>
      <c r="O215" s="173">
        <f t="shared" si="156"/>
        <v>3293129.9775066352</v>
      </c>
      <c r="P215" s="173">
        <f t="shared" si="157"/>
        <v>0</v>
      </c>
      <c r="Q215" s="173">
        <f t="shared" si="158"/>
        <v>3354124.7076102057</v>
      </c>
      <c r="R215" s="173">
        <f t="shared" si="159"/>
        <v>0</v>
      </c>
      <c r="S215" s="173">
        <f t="shared" si="160"/>
        <v>3415884.1604118822</v>
      </c>
      <c r="U215" s="87" t="s">
        <v>561</v>
      </c>
      <c r="V215" s="87" t="s">
        <v>562</v>
      </c>
      <c r="W215" s="173">
        <f t="shared" si="161"/>
        <v>0</v>
      </c>
      <c r="X215" s="173">
        <f t="shared" si="195"/>
        <v>3185237.8556751674</v>
      </c>
      <c r="Y215" s="173">
        <f t="shared" si="196"/>
        <v>0</v>
      </c>
      <c r="Z215" s="173">
        <f t="shared" si="197"/>
        <v>3309274.5822997135</v>
      </c>
      <c r="AA215" s="173">
        <f t="shared" si="198"/>
        <v>0</v>
      </c>
      <c r="AB215" s="173">
        <f t="shared" si="199"/>
        <v>3373073.5708482834</v>
      </c>
      <c r="AC215" s="173">
        <f t="shared" si="200"/>
        <v>0</v>
      </c>
      <c r="AD215" s="173">
        <f t="shared" si="201"/>
        <v>3441108.3737899652</v>
      </c>
      <c r="AF215" s="87" t="s">
        <v>561</v>
      </c>
      <c r="AG215" s="87" t="s">
        <v>562</v>
      </c>
      <c r="AH215" s="173">
        <f t="shared" si="162"/>
        <v>0</v>
      </c>
      <c r="AI215" s="173">
        <f t="shared" si="163"/>
        <v>3185237.8556751674</v>
      </c>
      <c r="AJ215" s="173">
        <f t="shared" si="164"/>
        <v>0</v>
      </c>
      <c r="AK215" s="173">
        <f t="shared" si="165"/>
        <v>3298055.3840262103</v>
      </c>
      <c r="AL215" s="173">
        <f t="shared" si="166"/>
        <v>0</v>
      </c>
      <c r="AM215" s="173">
        <f t="shared" si="167"/>
        <v>3361261.8833475155</v>
      </c>
      <c r="AN215" s="173">
        <f t="shared" si="168"/>
        <v>0</v>
      </c>
      <c r="AO215" s="173">
        <f t="shared" si="169"/>
        <v>3424055.3961668857</v>
      </c>
      <c r="AQ215" s="87" t="s">
        <v>561</v>
      </c>
      <c r="AR215" s="87" t="s">
        <v>562</v>
      </c>
      <c r="AS215" s="173">
        <f t="shared" si="170"/>
        <v>0</v>
      </c>
      <c r="AT215" s="173">
        <f t="shared" si="171"/>
        <v>3185237.8556751674</v>
      </c>
      <c r="AU215" s="173">
        <f t="shared" si="172"/>
        <v>0</v>
      </c>
      <c r="AV215" s="173">
        <f t="shared" si="173"/>
        <v>3374191.6745605124</v>
      </c>
      <c r="AW215" s="173">
        <f t="shared" si="174"/>
        <v>0</v>
      </c>
      <c r="AX215" s="173">
        <f t="shared" si="175"/>
        <v>3433458.2405930278</v>
      </c>
      <c r="AY215" s="173">
        <f t="shared" si="176"/>
        <v>0</v>
      </c>
      <c r="AZ215" s="173">
        <f t="shared" si="177"/>
        <v>3496932.4378733877</v>
      </c>
      <c r="BB215" s="87" t="s">
        <v>561</v>
      </c>
      <c r="BC215" s="87" t="s">
        <v>562</v>
      </c>
      <c r="BD215" s="173">
        <f t="shared" si="178"/>
        <v>0</v>
      </c>
      <c r="BE215" s="173">
        <f t="shared" si="179"/>
        <v>3185237.8556751674</v>
      </c>
      <c r="BF215" s="173">
        <f t="shared" si="180"/>
        <v>0</v>
      </c>
      <c r="BG215" s="173">
        <f t="shared" si="181"/>
        <v>3390733.6845287974</v>
      </c>
      <c r="BH215" s="173">
        <f t="shared" si="182"/>
        <v>0</v>
      </c>
      <c r="BI215" s="173">
        <f t="shared" si="183"/>
        <v>3452855.2883188273</v>
      </c>
      <c r="BJ215" s="173">
        <f t="shared" si="184"/>
        <v>0</v>
      </c>
      <c r="BK215" s="173">
        <f t="shared" si="185"/>
        <v>3522755.1401998485</v>
      </c>
      <c r="BM215" s="87" t="s">
        <v>561</v>
      </c>
      <c r="BN215" s="87" t="s">
        <v>562</v>
      </c>
      <c r="BO215" s="173">
        <f t="shared" si="186"/>
        <v>0</v>
      </c>
      <c r="BP215" s="173">
        <f t="shared" si="187"/>
        <v>3185237.8556751674</v>
      </c>
      <c r="BQ215" s="173">
        <f t="shared" si="188"/>
        <v>0</v>
      </c>
      <c r="BR215" s="173">
        <f t="shared" si="189"/>
        <v>3379239.5332353669</v>
      </c>
      <c r="BS215" s="173">
        <f t="shared" si="190"/>
        <v>0</v>
      </c>
      <c r="BT215" s="173">
        <f t="shared" si="191"/>
        <v>3440765.1133062844</v>
      </c>
      <c r="BU215" s="173">
        <f t="shared" si="192"/>
        <v>0</v>
      </c>
      <c r="BV215" s="173">
        <f t="shared" si="193"/>
        <v>3505297.2879737602</v>
      </c>
    </row>
    <row r="216" spans="5:74">
      <c r="E216" s="87" t="s">
        <v>363</v>
      </c>
      <c r="F216" s="87" t="s">
        <v>364</v>
      </c>
      <c r="G216" s="173">
        <f>IFERROR(IF(VLOOKUP(E216,A:C,3,FALSE)="YES",VLOOKUP(E216,'School Year 2021-22 SPED coop'!A:P,16,FALSE),0),0)</f>
        <v>0</v>
      </c>
      <c r="H216" s="173">
        <f t="shared" si="194"/>
        <v>24651298.530000001</v>
      </c>
      <c r="J216" s="87" t="s">
        <v>363</v>
      </c>
      <c r="K216" s="87" t="s">
        <v>364</v>
      </c>
      <c r="L216" s="173">
        <f t="shared" si="153"/>
        <v>0</v>
      </c>
      <c r="M216" s="173">
        <f t="shared" si="154"/>
        <v>24930759.718671951</v>
      </c>
      <c r="N216" s="173">
        <f t="shared" si="155"/>
        <v>0</v>
      </c>
      <c r="O216" s="173">
        <f t="shared" si="156"/>
        <v>25769157.67145085</v>
      </c>
      <c r="P216" s="173">
        <f t="shared" si="157"/>
        <v>0</v>
      </c>
      <c r="Q216" s="173">
        <f t="shared" si="158"/>
        <v>26247856.40021801</v>
      </c>
      <c r="R216" s="173">
        <f t="shared" si="159"/>
        <v>0</v>
      </c>
      <c r="S216" s="173">
        <f t="shared" si="160"/>
        <v>26733804.616730236</v>
      </c>
      <c r="U216" s="87" t="s">
        <v>363</v>
      </c>
      <c r="V216" s="87" t="s">
        <v>364</v>
      </c>
      <c r="W216" s="173">
        <f t="shared" si="161"/>
        <v>0</v>
      </c>
      <c r="X216" s="173">
        <f t="shared" si="195"/>
        <v>24930759.718671951</v>
      </c>
      <c r="Y216" s="173">
        <f t="shared" si="196"/>
        <v>0</v>
      </c>
      <c r="Z216" s="173">
        <f t="shared" si="197"/>
        <v>25895491.002382338</v>
      </c>
      <c r="AA216" s="173">
        <f t="shared" si="198"/>
        <v>0</v>
      </c>
      <c r="AB216" s="173">
        <f t="shared" si="199"/>
        <v>26396204.368202794</v>
      </c>
      <c r="AC216" s="173">
        <f t="shared" si="200"/>
        <v>0</v>
      </c>
      <c r="AD216" s="173">
        <f t="shared" si="201"/>
        <v>26931268.904102959</v>
      </c>
      <c r="AF216" s="87" t="s">
        <v>363</v>
      </c>
      <c r="AG216" s="87" t="s">
        <v>364</v>
      </c>
      <c r="AH216" s="173">
        <f t="shared" si="162"/>
        <v>0</v>
      </c>
      <c r="AI216" s="173">
        <f t="shared" si="163"/>
        <v>24930759.718671951</v>
      </c>
      <c r="AJ216" s="173">
        <f t="shared" si="164"/>
        <v>0</v>
      </c>
      <c r="AK216" s="173">
        <f t="shared" si="165"/>
        <v>25821156.520310923</v>
      </c>
      <c r="AL216" s="173">
        <f t="shared" si="166"/>
        <v>0</v>
      </c>
      <c r="AM216" s="173">
        <f t="shared" si="167"/>
        <v>26319402.899329014</v>
      </c>
      <c r="AN216" s="173">
        <f t="shared" si="168"/>
        <v>0</v>
      </c>
      <c r="AO216" s="173">
        <f t="shared" si="169"/>
        <v>26921159.561165702</v>
      </c>
      <c r="AQ216" s="87" t="s">
        <v>363</v>
      </c>
      <c r="AR216" s="87" t="s">
        <v>364</v>
      </c>
      <c r="AS216" s="173">
        <f t="shared" si="170"/>
        <v>0</v>
      </c>
      <c r="AT216" s="173">
        <f t="shared" si="171"/>
        <v>24930759.718671951</v>
      </c>
      <c r="AU216" s="173">
        <f t="shared" si="172"/>
        <v>0</v>
      </c>
      <c r="AV216" s="173">
        <f t="shared" si="173"/>
        <v>26406968.679487363</v>
      </c>
      <c r="AW216" s="173">
        <f t="shared" si="174"/>
        <v>0</v>
      </c>
      <c r="AX216" s="173">
        <f t="shared" si="175"/>
        <v>26873308.971232306</v>
      </c>
      <c r="AY216" s="173">
        <f t="shared" si="176"/>
        <v>0</v>
      </c>
      <c r="AZ216" s="173">
        <f t="shared" si="177"/>
        <v>27372757.28306102</v>
      </c>
      <c r="BB216" s="87" t="s">
        <v>363</v>
      </c>
      <c r="BC216" s="87" t="s">
        <v>364</v>
      </c>
      <c r="BD216" s="173">
        <f t="shared" si="178"/>
        <v>0</v>
      </c>
      <c r="BE216" s="173">
        <f t="shared" si="179"/>
        <v>24930759.718671951</v>
      </c>
      <c r="BF216" s="173">
        <f t="shared" si="180"/>
        <v>0</v>
      </c>
      <c r="BG216" s="173">
        <f t="shared" si="181"/>
        <v>26536428.874225367</v>
      </c>
      <c r="BH216" s="173">
        <f t="shared" si="182"/>
        <v>0</v>
      </c>
      <c r="BI216" s="173">
        <f t="shared" si="183"/>
        <v>27025191.877827622</v>
      </c>
      <c r="BJ216" s="173">
        <f t="shared" si="184"/>
        <v>0</v>
      </c>
      <c r="BK216" s="173">
        <f t="shared" si="185"/>
        <v>27574941.077289388</v>
      </c>
      <c r="BM216" s="87" t="s">
        <v>363</v>
      </c>
      <c r="BN216" s="87" t="s">
        <v>364</v>
      </c>
      <c r="BO216" s="173">
        <f t="shared" si="186"/>
        <v>0</v>
      </c>
      <c r="BP216" s="173">
        <f t="shared" si="187"/>
        <v>24930759.718671951</v>
      </c>
      <c r="BQ216" s="173">
        <f t="shared" si="188"/>
        <v>0</v>
      </c>
      <c r="BR216" s="173">
        <f t="shared" si="189"/>
        <v>26460275.783231273</v>
      </c>
      <c r="BS216" s="173">
        <f t="shared" si="190"/>
        <v>0</v>
      </c>
      <c r="BT216" s="173">
        <f t="shared" si="191"/>
        <v>26946590.062511921</v>
      </c>
      <c r="BU216" s="173">
        <f t="shared" si="192"/>
        <v>0</v>
      </c>
      <c r="BV216" s="173">
        <f t="shared" si="193"/>
        <v>27564661.627557963</v>
      </c>
    </row>
    <row r="217" spans="5:74">
      <c r="E217" s="87" t="s">
        <v>173</v>
      </c>
      <c r="F217" s="87" t="s">
        <v>174</v>
      </c>
      <c r="G217" s="173">
        <f>IFERROR(IF(VLOOKUP(E217,A:C,3,FALSE)="YES",VLOOKUP(E217,'School Year 2021-22 SPED coop'!A:P,16,FALSE),0),0)</f>
        <v>0</v>
      </c>
      <c r="H217" s="173">
        <f t="shared" si="194"/>
        <v>62692.79</v>
      </c>
      <c r="J217" s="87" t="s">
        <v>173</v>
      </c>
      <c r="K217" s="87" t="s">
        <v>174</v>
      </c>
      <c r="L217" s="173">
        <f t="shared" si="153"/>
        <v>0</v>
      </c>
      <c r="M217" s="173">
        <f t="shared" si="154"/>
        <v>70984.585869469636</v>
      </c>
      <c r="N217" s="173">
        <f t="shared" si="155"/>
        <v>0</v>
      </c>
      <c r="O217" s="173">
        <f t="shared" si="156"/>
        <v>73387.275509014609</v>
      </c>
      <c r="P217" s="173">
        <f t="shared" si="157"/>
        <v>0</v>
      </c>
      <c r="Q217" s="173">
        <f t="shared" si="158"/>
        <v>74745.568834299382</v>
      </c>
      <c r="R217" s="173">
        <f t="shared" si="159"/>
        <v>0</v>
      </c>
      <c r="S217" s="173">
        <f t="shared" si="160"/>
        <v>76120.099986379864</v>
      </c>
      <c r="U217" s="87" t="s">
        <v>173</v>
      </c>
      <c r="V217" s="87" t="s">
        <v>174</v>
      </c>
      <c r="W217" s="173">
        <f t="shared" si="161"/>
        <v>0</v>
      </c>
      <c r="X217" s="173">
        <f t="shared" si="195"/>
        <v>70984.585869469636</v>
      </c>
      <c r="Y217" s="173">
        <f t="shared" si="196"/>
        <v>0</v>
      </c>
      <c r="Z217" s="173">
        <f t="shared" si="197"/>
        <v>73387.275509014609</v>
      </c>
      <c r="AA217" s="173">
        <f t="shared" si="198"/>
        <v>0</v>
      </c>
      <c r="AB217" s="173">
        <f t="shared" si="199"/>
        <v>74745.568834299382</v>
      </c>
      <c r="AC217" s="173">
        <f t="shared" si="200"/>
        <v>0</v>
      </c>
      <c r="AD217" s="173">
        <f t="shared" si="201"/>
        <v>76120.099986379864</v>
      </c>
      <c r="AF217" s="87" t="s">
        <v>173</v>
      </c>
      <c r="AG217" s="87" t="s">
        <v>174</v>
      </c>
      <c r="AH217" s="173">
        <f t="shared" si="162"/>
        <v>0</v>
      </c>
      <c r="AI217" s="173">
        <f t="shared" si="163"/>
        <v>70984.585869469636</v>
      </c>
      <c r="AJ217" s="173">
        <f t="shared" si="164"/>
        <v>0</v>
      </c>
      <c r="AK217" s="173">
        <f t="shared" si="165"/>
        <v>73318.31651616712</v>
      </c>
      <c r="AL217" s="173">
        <f t="shared" si="166"/>
        <v>0</v>
      </c>
      <c r="AM217" s="173">
        <f t="shared" si="167"/>
        <v>74912.378205688816</v>
      </c>
      <c r="AN217" s="173">
        <f t="shared" si="168"/>
        <v>0</v>
      </c>
      <c r="AO217" s="173">
        <f t="shared" si="169"/>
        <v>75336.516979811815</v>
      </c>
      <c r="AQ217" s="87" t="s">
        <v>173</v>
      </c>
      <c r="AR217" s="87" t="s">
        <v>174</v>
      </c>
      <c r="AS217" s="173">
        <f t="shared" si="170"/>
        <v>0</v>
      </c>
      <c r="AT217" s="173">
        <f t="shared" si="171"/>
        <v>70984.585869469636</v>
      </c>
      <c r="AU217" s="173">
        <f t="shared" si="172"/>
        <v>0</v>
      </c>
      <c r="AV217" s="173">
        <f t="shared" si="173"/>
        <v>75193.495935464554</v>
      </c>
      <c r="AW217" s="173">
        <f t="shared" si="174"/>
        <v>0</v>
      </c>
      <c r="AX217" s="173">
        <f t="shared" si="175"/>
        <v>76512.583142113217</v>
      </c>
      <c r="AY217" s="173">
        <f t="shared" si="176"/>
        <v>0</v>
      </c>
      <c r="AZ217" s="173">
        <f t="shared" si="177"/>
        <v>77925.307129137553</v>
      </c>
      <c r="BB217" s="87" t="s">
        <v>173</v>
      </c>
      <c r="BC217" s="87" t="s">
        <v>174</v>
      </c>
      <c r="BD217" s="173">
        <f t="shared" si="178"/>
        <v>0</v>
      </c>
      <c r="BE217" s="173">
        <f t="shared" si="179"/>
        <v>70984.585869469636</v>
      </c>
      <c r="BF217" s="173">
        <f t="shared" si="180"/>
        <v>0</v>
      </c>
      <c r="BG217" s="173">
        <f t="shared" si="181"/>
        <v>75193.495935464554</v>
      </c>
      <c r="BH217" s="173">
        <f t="shared" si="182"/>
        <v>0</v>
      </c>
      <c r="BI217" s="173">
        <f t="shared" si="183"/>
        <v>76512.583142113217</v>
      </c>
      <c r="BJ217" s="173">
        <f t="shared" si="184"/>
        <v>0</v>
      </c>
      <c r="BK217" s="173">
        <f t="shared" si="185"/>
        <v>77925.307129137553</v>
      </c>
      <c r="BM217" s="87" t="s">
        <v>173</v>
      </c>
      <c r="BN217" s="87" t="s">
        <v>174</v>
      </c>
      <c r="BO217" s="173">
        <f t="shared" si="186"/>
        <v>0</v>
      </c>
      <c r="BP217" s="173">
        <f t="shared" si="187"/>
        <v>70984.585869469636</v>
      </c>
      <c r="BQ217" s="173">
        <f t="shared" si="188"/>
        <v>0</v>
      </c>
      <c r="BR217" s="173">
        <f t="shared" si="189"/>
        <v>75122.841666736087</v>
      </c>
      <c r="BS217" s="173">
        <f t="shared" si="190"/>
        <v>0</v>
      </c>
      <c r="BT217" s="173">
        <f t="shared" si="191"/>
        <v>76683.417207710329</v>
      </c>
      <c r="BU217" s="173">
        <f t="shared" si="192"/>
        <v>0</v>
      </c>
      <c r="BV217" s="173">
        <f t="shared" si="193"/>
        <v>77122.890636209777</v>
      </c>
    </row>
    <row r="218" spans="5:74">
      <c r="E218" s="87" t="s">
        <v>177</v>
      </c>
      <c r="F218" s="87" t="s">
        <v>178</v>
      </c>
      <c r="G218" s="173">
        <f>IFERROR(IF(VLOOKUP(E218,A:C,3,FALSE)="YES",VLOOKUP(E218,'School Year 2021-22 SPED coop'!A:P,16,FALSE),0),0)</f>
        <v>0</v>
      </c>
      <c r="H218" s="173">
        <f t="shared" si="194"/>
        <v>483106.05</v>
      </c>
      <c r="J218" s="87" t="s">
        <v>177</v>
      </c>
      <c r="K218" s="87" t="s">
        <v>178</v>
      </c>
      <c r="L218" s="173">
        <f t="shared" si="153"/>
        <v>0</v>
      </c>
      <c r="M218" s="173">
        <f t="shared" si="154"/>
        <v>488480.67727231595</v>
      </c>
      <c r="N218" s="173">
        <f t="shared" si="155"/>
        <v>0</v>
      </c>
      <c r="O218" s="173">
        <f t="shared" si="156"/>
        <v>504948.42515753803</v>
      </c>
      <c r="P218" s="173">
        <f t="shared" si="157"/>
        <v>0</v>
      </c>
      <c r="Q218" s="173">
        <f t="shared" si="158"/>
        <v>514338.40810927644</v>
      </c>
      <c r="R218" s="173">
        <f t="shared" si="159"/>
        <v>0</v>
      </c>
      <c r="S218" s="173">
        <f t="shared" si="160"/>
        <v>523878.64327991696</v>
      </c>
      <c r="U218" s="87" t="s">
        <v>177</v>
      </c>
      <c r="V218" s="87" t="s">
        <v>178</v>
      </c>
      <c r="W218" s="173">
        <f t="shared" si="161"/>
        <v>0</v>
      </c>
      <c r="X218" s="173">
        <f t="shared" si="195"/>
        <v>488480.67727231595</v>
      </c>
      <c r="Y218" s="173">
        <f t="shared" si="196"/>
        <v>0</v>
      </c>
      <c r="Z218" s="173">
        <f t="shared" si="197"/>
        <v>507428.58178214449</v>
      </c>
      <c r="AA218" s="173">
        <f t="shared" si="198"/>
        <v>0</v>
      </c>
      <c r="AB218" s="173">
        <f t="shared" si="199"/>
        <v>517244.14517079911</v>
      </c>
      <c r="AC218" s="173">
        <f t="shared" si="200"/>
        <v>0</v>
      </c>
      <c r="AD218" s="173">
        <f t="shared" si="201"/>
        <v>527749.49982064229</v>
      </c>
      <c r="AF218" s="87" t="s">
        <v>177</v>
      </c>
      <c r="AG218" s="87" t="s">
        <v>178</v>
      </c>
      <c r="AH218" s="173">
        <f t="shared" si="162"/>
        <v>0</v>
      </c>
      <c r="AI218" s="173">
        <f t="shared" si="163"/>
        <v>488480.67727231595</v>
      </c>
      <c r="AJ218" s="173">
        <f t="shared" si="164"/>
        <v>0</v>
      </c>
      <c r="AK218" s="173">
        <f t="shared" si="165"/>
        <v>506552.46034376393</v>
      </c>
      <c r="AL218" s="173">
        <f t="shared" si="166"/>
        <v>0</v>
      </c>
      <c r="AM218" s="173">
        <f t="shared" si="167"/>
        <v>516160.01529403392</v>
      </c>
      <c r="AN218" s="173">
        <f t="shared" si="168"/>
        <v>0</v>
      </c>
      <c r="AO218" s="173">
        <f t="shared" si="169"/>
        <v>526294.98554753489</v>
      </c>
      <c r="AQ218" s="87" t="s">
        <v>177</v>
      </c>
      <c r="AR218" s="87" t="s">
        <v>178</v>
      </c>
      <c r="AS218" s="173">
        <f t="shared" si="170"/>
        <v>0</v>
      </c>
      <c r="AT218" s="173">
        <f t="shared" si="171"/>
        <v>488480.67727231595</v>
      </c>
      <c r="AU218" s="173">
        <f t="shared" si="172"/>
        <v>0</v>
      </c>
      <c r="AV218" s="173">
        <f t="shared" si="173"/>
        <v>517443.32844336471</v>
      </c>
      <c r="AW218" s="173">
        <f t="shared" si="174"/>
        <v>0</v>
      </c>
      <c r="AX218" s="173">
        <f t="shared" si="175"/>
        <v>526598.1252074549</v>
      </c>
      <c r="AY218" s="173">
        <f t="shared" si="176"/>
        <v>0</v>
      </c>
      <c r="AZ218" s="173">
        <f t="shared" si="177"/>
        <v>536402.98765664548</v>
      </c>
      <c r="BB218" s="87" t="s">
        <v>177</v>
      </c>
      <c r="BC218" s="87" t="s">
        <v>178</v>
      </c>
      <c r="BD218" s="173">
        <f t="shared" si="178"/>
        <v>0</v>
      </c>
      <c r="BE218" s="173">
        <f t="shared" si="179"/>
        <v>488480.67727231595</v>
      </c>
      <c r="BF218" s="173">
        <f t="shared" si="180"/>
        <v>0</v>
      </c>
      <c r="BG218" s="173">
        <f t="shared" si="181"/>
        <v>519984.85882395355</v>
      </c>
      <c r="BH218" s="173">
        <f t="shared" si="182"/>
        <v>0</v>
      </c>
      <c r="BI218" s="173">
        <f t="shared" si="183"/>
        <v>529573.12246767886</v>
      </c>
      <c r="BJ218" s="173">
        <f t="shared" si="184"/>
        <v>0</v>
      </c>
      <c r="BK218" s="173">
        <f t="shared" si="185"/>
        <v>540366.38530195295</v>
      </c>
      <c r="BM218" s="87" t="s">
        <v>177</v>
      </c>
      <c r="BN218" s="87" t="s">
        <v>178</v>
      </c>
      <c r="BO218" s="173">
        <f t="shared" si="186"/>
        <v>0</v>
      </c>
      <c r="BP218" s="173">
        <f t="shared" si="187"/>
        <v>488480.67727231595</v>
      </c>
      <c r="BQ218" s="173">
        <f t="shared" si="188"/>
        <v>0</v>
      </c>
      <c r="BR218" s="173">
        <f t="shared" si="189"/>
        <v>519087.92590593838</v>
      </c>
      <c r="BS218" s="173">
        <f t="shared" si="190"/>
        <v>0</v>
      </c>
      <c r="BT218" s="173">
        <f t="shared" si="191"/>
        <v>528463.78207494586</v>
      </c>
      <c r="BU218" s="173">
        <f t="shared" si="192"/>
        <v>0</v>
      </c>
      <c r="BV218" s="173">
        <f t="shared" si="193"/>
        <v>538877.75547607662</v>
      </c>
    </row>
    <row r="219" spans="5:74">
      <c r="E219" s="87" t="s">
        <v>53</v>
      </c>
      <c r="F219" s="87" t="s">
        <v>54</v>
      </c>
      <c r="G219" s="173">
        <f>IFERROR(IF(VLOOKUP(E219,A:C,3,FALSE)="YES",VLOOKUP(E219,'School Year 2021-22 SPED coop'!A:P,16,FALSE),0),0)</f>
        <v>0</v>
      </c>
      <c r="H219" s="173">
        <f t="shared" si="194"/>
        <v>135790.22999999998</v>
      </c>
      <c r="J219" s="87" t="s">
        <v>53</v>
      </c>
      <c r="K219" s="87" t="s">
        <v>54</v>
      </c>
      <c r="L219" s="173">
        <f t="shared" si="153"/>
        <v>0</v>
      </c>
      <c r="M219" s="173">
        <f t="shared" si="154"/>
        <v>137305.83723815694</v>
      </c>
      <c r="N219" s="173">
        <f t="shared" si="155"/>
        <v>0</v>
      </c>
      <c r="O219" s="173">
        <f t="shared" si="156"/>
        <v>141959.11555423099</v>
      </c>
      <c r="P219" s="173">
        <f t="shared" si="157"/>
        <v>0</v>
      </c>
      <c r="Q219" s="173">
        <f t="shared" si="158"/>
        <v>144588.88136854107</v>
      </c>
      <c r="R219" s="173">
        <f t="shared" si="159"/>
        <v>0</v>
      </c>
      <c r="S219" s="173">
        <f t="shared" si="160"/>
        <v>147251.96734509719</v>
      </c>
      <c r="U219" s="87" t="s">
        <v>53</v>
      </c>
      <c r="V219" s="87" t="s">
        <v>54</v>
      </c>
      <c r="W219" s="173">
        <f t="shared" si="161"/>
        <v>0</v>
      </c>
      <c r="X219" s="173">
        <f t="shared" si="195"/>
        <v>137305.83723815694</v>
      </c>
      <c r="Y219" s="173">
        <f t="shared" si="196"/>
        <v>0</v>
      </c>
      <c r="Z219" s="173">
        <f t="shared" si="197"/>
        <v>142669.85802996589</v>
      </c>
      <c r="AA219" s="173">
        <f t="shared" si="198"/>
        <v>0</v>
      </c>
      <c r="AB219" s="173">
        <f t="shared" si="199"/>
        <v>145410.32844005758</v>
      </c>
      <c r="AC219" s="173">
        <f t="shared" si="200"/>
        <v>0</v>
      </c>
      <c r="AD219" s="173">
        <f t="shared" si="201"/>
        <v>148347.5417763727</v>
      </c>
      <c r="AF219" s="87" t="s">
        <v>53</v>
      </c>
      <c r="AG219" s="87" t="s">
        <v>54</v>
      </c>
      <c r="AH219" s="173">
        <f t="shared" si="162"/>
        <v>0</v>
      </c>
      <c r="AI219" s="173">
        <f t="shared" si="163"/>
        <v>137305.83723815694</v>
      </c>
      <c r="AJ219" s="173">
        <f t="shared" si="164"/>
        <v>0</v>
      </c>
      <c r="AK219" s="173">
        <f t="shared" si="165"/>
        <v>141959.11555423099</v>
      </c>
      <c r="AL219" s="173">
        <f t="shared" si="166"/>
        <v>0</v>
      </c>
      <c r="AM219" s="173">
        <f t="shared" si="167"/>
        <v>144588.88136854107</v>
      </c>
      <c r="AN219" s="173">
        <f t="shared" si="168"/>
        <v>0</v>
      </c>
      <c r="AO219" s="173">
        <f t="shared" si="169"/>
        <v>147251.96734509719</v>
      </c>
      <c r="AQ219" s="87" t="s">
        <v>53</v>
      </c>
      <c r="AR219" s="87" t="s">
        <v>54</v>
      </c>
      <c r="AS219" s="173">
        <f t="shared" si="170"/>
        <v>0</v>
      </c>
      <c r="AT219" s="173">
        <f t="shared" si="171"/>
        <v>137305.83723815694</v>
      </c>
      <c r="AU219" s="173">
        <f t="shared" si="172"/>
        <v>0</v>
      </c>
      <c r="AV219" s="173">
        <f t="shared" si="173"/>
        <v>145453.30389440083</v>
      </c>
      <c r="AW219" s="173">
        <f t="shared" si="174"/>
        <v>0</v>
      </c>
      <c r="AX219" s="173">
        <f t="shared" si="175"/>
        <v>148008.87372772751</v>
      </c>
      <c r="AY219" s="173">
        <f t="shared" si="176"/>
        <v>0</v>
      </c>
      <c r="AZ219" s="173">
        <f t="shared" si="177"/>
        <v>150745.88052900427</v>
      </c>
      <c r="BB219" s="87" t="s">
        <v>53</v>
      </c>
      <c r="BC219" s="87" t="s">
        <v>54</v>
      </c>
      <c r="BD219" s="173">
        <f t="shared" si="178"/>
        <v>0</v>
      </c>
      <c r="BE219" s="173">
        <f t="shared" si="179"/>
        <v>137305.83723815694</v>
      </c>
      <c r="BF219" s="173">
        <f t="shared" si="180"/>
        <v>0</v>
      </c>
      <c r="BG219" s="173">
        <f t="shared" si="181"/>
        <v>146181.54844960655</v>
      </c>
      <c r="BH219" s="173">
        <f t="shared" si="182"/>
        <v>0</v>
      </c>
      <c r="BI219" s="173">
        <f t="shared" si="183"/>
        <v>148849.75266822329</v>
      </c>
      <c r="BJ219" s="173">
        <f t="shared" si="184"/>
        <v>0</v>
      </c>
      <c r="BK219" s="173">
        <f t="shared" si="185"/>
        <v>151867.453937824</v>
      </c>
      <c r="BM219" s="87" t="s">
        <v>53</v>
      </c>
      <c r="BN219" s="87" t="s">
        <v>54</v>
      </c>
      <c r="BO219" s="173">
        <f t="shared" si="186"/>
        <v>0</v>
      </c>
      <c r="BP219" s="173">
        <f t="shared" si="187"/>
        <v>137305.83723815694</v>
      </c>
      <c r="BQ219" s="173">
        <f t="shared" si="188"/>
        <v>0</v>
      </c>
      <c r="BR219" s="173">
        <f t="shared" si="189"/>
        <v>145453.30389440083</v>
      </c>
      <c r="BS219" s="173">
        <f t="shared" si="190"/>
        <v>0</v>
      </c>
      <c r="BT219" s="173">
        <f t="shared" si="191"/>
        <v>148008.87372772751</v>
      </c>
      <c r="BU219" s="173">
        <f t="shared" si="192"/>
        <v>0</v>
      </c>
      <c r="BV219" s="173">
        <f t="shared" si="193"/>
        <v>150745.88052900427</v>
      </c>
    </row>
    <row r="220" spans="5:74">
      <c r="E220" s="87" t="s">
        <v>51</v>
      </c>
      <c r="F220" s="87" t="s">
        <v>52</v>
      </c>
      <c r="G220" s="173">
        <f>IFERROR(IF(VLOOKUP(E220,A:C,3,FALSE)="YES",VLOOKUP(E220,'School Year 2021-22 SPED coop'!A:P,16,FALSE),0),0)</f>
        <v>0</v>
      </c>
      <c r="H220" s="173">
        <f t="shared" si="194"/>
        <v>3779862.6099999994</v>
      </c>
      <c r="J220" s="87" t="s">
        <v>51</v>
      </c>
      <c r="K220" s="87" t="s">
        <v>52</v>
      </c>
      <c r="L220" s="173">
        <f t="shared" si="153"/>
        <v>0</v>
      </c>
      <c r="M220" s="173">
        <f t="shared" si="154"/>
        <v>3822528.207699785</v>
      </c>
      <c r="N220" s="173">
        <f t="shared" si="155"/>
        <v>0</v>
      </c>
      <c r="O220" s="173">
        <f t="shared" si="156"/>
        <v>3952299.9817814641</v>
      </c>
      <c r="P220" s="173">
        <f t="shared" si="157"/>
        <v>0</v>
      </c>
      <c r="Q220" s="173">
        <f t="shared" si="158"/>
        <v>4025589.7688960023</v>
      </c>
      <c r="R220" s="173">
        <f t="shared" si="159"/>
        <v>0</v>
      </c>
      <c r="S220" s="173">
        <f t="shared" si="160"/>
        <v>4099868.7495966181</v>
      </c>
      <c r="U220" s="87" t="s">
        <v>51</v>
      </c>
      <c r="V220" s="87" t="s">
        <v>52</v>
      </c>
      <c r="W220" s="173">
        <f t="shared" si="161"/>
        <v>0</v>
      </c>
      <c r="X220" s="173">
        <f t="shared" si="195"/>
        <v>3822528.207699785</v>
      </c>
      <c r="Y220" s="173">
        <f t="shared" si="196"/>
        <v>0</v>
      </c>
      <c r="Z220" s="173">
        <f t="shared" si="197"/>
        <v>3971667.4807304433</v>
      </c>
      <c r="AA220" s="173">
        <f t="shared" si="198"/>
        <v>0</v>
      </c>
      <c r="AB220" s="173">
        <f t="shared" si="199"/>
        <v>4048336.6359489607</v>
      </c>
      <c r="AC220" s="173">
        <f t="shared" si="200"/>
        <v>0</v>
      </c>
      <c r="AD220" s="173">
        <f t="shared" si="201"/>
        <v>4130138.5824822015</v>
      </c>
      <c r="AF220" s="87" t="s">
        <v>51</v>
      </c>
      <c r="AG220" s="87" t="s">
        <v>52</v>
      </c>
      <c r="AH220" s="173">
        <f t="shared" si="162"/>
        <v>0</v>
      </c>
      <c r="AI220" s="173">
        <f t="shared" si="163"/>
        <v>3822528.207699785</v>
      </c>
      <c r="AJ220" s="173">
        <f t="shared" si="164"/>
        <v>0</v>
      </c>
      <c r="AK220" s="173">
        <f t="shared" si="165"/>
        <v>3950707.5469898363</v>
      </c>
      <c r="AL220" s="173">
        <f t="shared" si="166"/>
        <v>0</v>
      </c>
      <c r="AM220" s="173">
        <f t="shared" si="167"/>
        <v>4023891.6692513064</v>
      </c>
      <c r="AN220" s="173">
        <f t="shared" si="168"/>
        <v>0</v>
      </c>
      <c r="AO220" s="173">
        <f t="shared" si="169"/>
        <v>4098804.422029363</v>
      </c>
      <c r="AQ220" s="87" t="s">
        <v>51</v>
      </c>
      <c r="AR220" s="87" t="s">
        <v>52</v>
      </c>
      <c r="AS220" s="173">
        <f t="shared" si="170"/>
        <v>0</v>
      </c>
      <c r="AT220" s="173">
        <f t="shared" si="171"/>
        <v>3822528.207699785</v>
      </c>
      <c r="AU220" s="173">
        <f t="shared" si="172"/>
        <v>0</v>
      </c>
      <c r="AV220" s="173">
        <f t="shared" si="173"/>
        <v>4049581.990757464</v>
      </c>
      <c r="AW220" s="173">
        <f t="shared" si="174"/>
        <v>0</v>
      </c>
      <c r="AX220" s="173">
        <f t="shared" si="175"/>
        <v>4120858.8723002071</v>
      </c>
      <c r="AY220" s="173">
        <f t="shared" si="176"/>
        <v>0</v>
      </c>
      <c r="AZ220" s="173">
        <f t="shared" si="177"/>
        <v>4197197.0292521818</v>
      </c>
      <c r="BB220" s="87" t="s">
        <v>51</v>
      </c>
      <c r="BC220" s="87" t="s">
        <v>52</v>
      </c>
      <c r="BD220" s="173">
        <f t="shared" si="178"/>
        <v>0</v>
      </c>
      <c r="BE220" s="173">
        <f t="shared" si="179"/>
        <v>3822528.207699785</v>
      </c>
      <c r="BF220" s="173">
        <f t="shared" si="180"/>
        <v>0</v>
      </c>
      <c r="BG220" s="173">
        <f t="shared" si="181"/>
        <v>4069426.1963890716</v>
      </c>
      <c r="BH220" s="173">
        <f t="shared" si="182"/>
        <v>0</v>
      </c>
      <c r="BI220" s="173">
        <f t="shared" si="183"/>
        <v>4144144.0612539761</v>
      </c>
      <c r="BJ220" s="173">
        <f t="shared" si="184"/>
        <v>0</v>
      </c>
      <c r="BK220" s="173">
        <f t="shared" si="185"/>
        <v>4228185.44285993</v>
      </c>
      <c r="BM220" s="87" t="s">
        <v>51</v>
      </c>
      <c r="BN220" s="87" t="s">
        <v>52</v>
      </c>
      <c r="BO220" s="173">
        <f t="shared" si="186"/>
        <v>0</v>
      </c>
      <c r="BP220" s="173">
        <f t="shared" si="187"/>
        <v>3822528.207699785</v>
      </c>
      <c r="BQ220" s="173">
        <f t="shared" si="188"/>
        <v>0</v>
      </c>
      <c r="BR220" s="173">
        <f t="shared" si="189"/>
        <v>4047950.1532856729</v>
      </c>
      <c r="BS220" s="173">
        <f t="shared" si="190"/>
        <v>0</v>
      </c>
      <c r="BT220" s="173">
        <f t="shared" si="191"/>
        <v>4119121.2049516323</v>
      </c>
      <c r="BU220" s="173">
        <f t="shared" si="192"/>
        <v>0</v>
      </c>
      <c r="BV220" s="173">
        <f t="shared" si="193"/>
        <v>4196109.2532867957</v>
      </c>
    </row>
    <row r="221" spans="5:74">
      <c r="E221" s="87" t="s">
        <v>123</v>
      </c>
      <c r="F221" s="87" t="s">
        <v>124</v>
      </c>
      <c r="G221" s="173">
        <f>IFERROR(IF(VLOOKUP(E221,A:C,3,FALSE)="YES",VLOOKUP(E221,'School Year 2021-22 SPED coop'!A:P,16,FALSE),0),0)</f>
        <v>0</v>
      </c>
      <c r="H221" s="173">
        <f t="shared" si="194"/>
        <v>3799334.06</v>
      </c>
      <c r="J221" s="87" t="s">
        <v>123</v>
      </c>
      <c r="K221" s="87" t="s">
        <v>124</v>
      </c>
      <c r="L221" s="173">
        <f t="shared" si="153"/>
        <v>0</v>
      </c>
      <c r="M221" s="173">
        <f t="shared" si="154"/>
        <v>3843999.8081878908</v>
      </c>
      <c r="N221" s="173">
        <f t="shared" si="155"/>
        <v>0</v>
      </c>
      <c r="O221" s="173">
        <f t="shared" si="156"/>
        <v>3974257.0108059794</v>
      </c>
      <c r="P221" s="173">
        <f t="shared" si="157"/>
        <v>0</v>
      </c>
      <c r="Q221" s="173">
        <f t="shared" si="158"/>
        <v>4047866.0645023161</v>
      </c>
      <c r="R221" s="173">
        <f t="shared" si="159"/>
        <v>0</v>
      </c>
      <c r="S221" s="173">
        <f t="shared" si="160"/>
        <v>4122396.9434595886</v>
      </c>
      <c r="U221" s="87" t="s">
        <v>123</v>
      </c>
      <c r="V221" s="87" t="s">
        <v>124</v>
      </c>
      <c r="W221" s="173">
        <f t="shared" si="161"/>
        <v>0</v>
      </c>
      <c r="X221" s="173">
        <f t="shared" si="195"/>
        <v>3843999.8081878908</v>
      </c>
      <c r="Y221" s="173">
        <f t="shared" si="196"/>
        <v>0</v>
      </c>
      <c r="Z221" s="173">
        <f t="shared" si="197"/>
        <v>3993743.4709333819</v>
      </c>
      <c r="AA221" s="173">
        <f t="shared" si="198"/>
        <v>0</v>
      </c>
      <c r="AB221" s="173">
        <f t="shared" si="199"/>
        <v>4070741.5103682168</v>
      </c>
      <c r="AC221" s="173">
        <f t="shared" si="200"/>
        <v>0</v>
      </c>
      <c r="AD221" s="173">
        <f t="shared" si="201"/>
        <v>4152839.5584665518</v>
      </c>
      <c r="AF221" s="87" t="s">
        <v>123</v>
      </c>
      <c r="AG221" s="87" t="s">
        <v>124</v>
      </c>
      <c r="AH221" s="173">
        <f t="shared" si="162"/>
        <v>0</v>
      </c>
      <c r="AI221" s="173">
        <f t="shared" si="163"/>
        <v>3843999.8081878908</v>
      </c>
      <c r="AJ221" s="173">
        <f t="shared" si="164"/>
        <v>0</v>
      </c>
      <c r="AK221" s="173">
        <f t="shared" si="165"/>
        <v>3979858.1255181213</v>
      </c>
      <c r="AL221" s="173">
        <f t="shared" si="166"/>
        <v>0</v>
      </c>
      <c r="AM221" s="173">
        <f t="shared" si="167"/>
        <v>4055782.284988421</v>
      </c>
      <c r="AN221" s="173">
        <f t="shared" si="168"/>
        <v>0</v>
      </c>
      <c r="AO221" s="173">
        <f t="shared" si="169"/>
        <v>4138506.4578390885</v>
      </c>
      <c r="AQ221" s="87" t="s">
        <v>123</v>
      </c>
      <c r="AR221" s="87" t="s">
        <v>124</v>
      </c>
      <c r="AS221" s="173">
        <f t="shared" si="170"/>
        <v>0</v>
      </c>
      <c r="AT221" s="173">
        <f t="shared" si="171"/>
        <v>3843999.8081878908</v>
      </c>
      <c r="AU221" s="173">
        <f t="shared" si="172"/>
        <v>0</v>
      </c>
      <c r="AV221" s="173">
        <f t="shared" si="173"/>
        <v>4072074.9489638382</v>
      </c>
      <c r="AW221" s="173">
        <f t="shared" si="174"/>
        <v>0</v>
      </c>
      <c r="AX221" s="173">
        <f t="shared" si="175"/>
        <v>4143597.3094566409</v>
      </c>
      <c r="AY221" s="173">
        <f t="shared" si="176"/>
        <v>0</v>
      </c>
      <c r="AZ221" s="173">
        <f t="shared" si="177"/>
        <v>4220197.3519790079</v>
      </c>
      <c r="BB221" s="87" t="s">
        <v>123</v>
      </c>
      <c r="BC221" s="87" t="s">
        <v>124</v>
      </c>
      <c r="BD221" s="173">
        <f t="shared" si="178"/>
        <v>0</v>
      </c>
      <c r="BE221" s="173">
        <f t="shared" si="179"/>
        <v>3843999.8081878908</v>
      </c>
      <c r="BF221" s="173">
        <f t="shared" si="180"/>
        <v>0</v>
      </c>
      <c r="BG221" s="173">
        <f t="shared" si="181"/>
        <v>4092041.0277288184</v>
      </c>
      <c r="BH221" s="173">
        <f t="shared" si="182"/>
        <v>0</v>
      </c>
      <c r="BI221" s="173">
        <f t="shared" si="183"/>
        <v>4167013.7537428299</v>
      </c>
      <c r="BJ221" s="173">
        <f t="shared" si="184"/>
        <v>0</v>
      </c>
      <c r="BK221" s="173">
        <f t="shared" si="185"/>
        <v>4251362.1894810032</v>
      </c>
      <c r="BM221" s="87" t="s">
        <v>123</v>
      </c>
      <c r="BN221" s="87" t="s">
        <v>124</v>
      </c>
      <c r="BO221" s="173">
        <f t="shared" si="186"/>
        <v>0</v>
      </c>
      <c r="BP221" s="173">
        <f t="shared" si="187"/>
        <v>3843999.8081878908</v>
      </c>
      <c r="BQ221" s="173">
        <f t="shared" si="188"/>
        <v>0</v>
      </c>
      <c r="BR221" s="173">
        <f t="shared" si="189"/>
        <v>4077816.9273911901</v>
      </c>
      <c r="BS221" s="173">
        <f t="shared" si="190"/>
        <v>0</v>
      </c>
      <c r="BT221" s="173">
        <f t="shared" si="191"/>
        <v>4151707.1020022468</v>
      </c>
      <c r="BU221" s="173">
        <f t="shared" si="192"/>
        <v>0</v>
      </c>
      <c r="BV221" s="173">
        <f t="shared" si="193"/>
        <v>4236699.1616959553</v>
      </c>
    </row>
    <row r="222" spans="5:74">
      <c r="E222" s="87" t="s">
        <v>225</v>
      </c>
      <c r="F222" s="87" t="s">
        <v>226</v>
      </c>
      <c r="G222" s="173">
        <f>IFERROR(IF(VLOOKUP(E222,A:C,3,FALSE)="YES",VLOOKUP(E222,'School Year 2021-22 SPED coop'!A:P,16,FALSE),0),0)</f>
        <v>0</v>
      </c>
      <c r="H222" s="173">
        <f t="shared" si="194"/>
        <v>217363.33</v>
      </c>
      <c r="J222" s="87" t="s">
        <v>225</v>
      </c>
      <c r="K222" s="87" t="s">
        <v>226</v>
      </c>
      <c r="L222" s="173">
        <f t="shared" si="153"/>
        <v>0</v>
      </c>
      <c r="M222" s="173">
        <f t="shared" si="154"/>
        <v>219875.19641365614</v>
      </c>
      <c r="N222" s="173">
        <f t="shared" si="155"/>
        <v>0</v>
      </c>
      <c r="O222" s="173">
        <f t="shared" si="156"/>
        <v>227237.92901735619</v>
      </c>
      <c r="P222" s="173">
        <f t="shared" si="157"/>
        <v>0</v>
      </c>
      <c r="Q222" s="173">
        <f t="shared" si="158"/>
        <v>231480.28792736836</v>
      </c>
      <c r="R222" s="173">
        <f t="shared" si="159"/>
        <v>0</v>
      </c>
      <c r="S222" s="173">
        <f t="shared" si="160"/>
        <v>235805.81896040236</v>
      </c>
      <c r="U222" s="87" t="s">
        <v>225</v>
      </c>
      <c r="V222" s="87" t="s">
        <v>226</v>
      </c>
      <c r="W222" s="173">
        <f t="shared" si="161"/>
        <v>0</v>
      </c>
      <c r="X222" s="173">
        <f t="shared" si="195"/>
        <v>219875.19641365614</v>
      </c>
      <c r="Y222" s="173">
        <f t="shared" si="196"/>
        <v>0</v>
      </c>
      <c r="Z222" s="173">
        <f t="shared" si="197"/>
        <v>228349.29503575154</v>
      </c>
      <c r="AA222" s="173">
        <f t="shared" si="198"/>
        <v>0</v>
      </c>
      <c r="AB222" s="173">
        <f t="shared" si="199"/>
        <v>232794.18208254725</v>
      </c>
      <c r="AC222" s="173">
        <f t="shared" si="200"/>
        <v>0</v>
      </c>
      <c r="AD222" s="173">
        <f t="shared" si="201"/>
        <v>237545.89427227798</v>
      </c>
      <c r="AF222" s="87" t="s">
        <v>225</v>
      </c>
      <c r="AG222" s="87" t="s">
        <v>226</v>
      </c>
      <c r="AH222" s="173">
        <f t="shared" si="162"/>
        <v>0</v>
      </c>
      <c r="AI222" s="173">
        <f t="shared" si="163"/>
        <v>219875.19641365614</v>
      </c>
      <c r="AJ222" s="173">
        <f t="shared" si="164"/>
        <v>0</v>
      </c>
      <c r="AK222" s="173">
        <f t="shared" si="165"/>
        <v>227237.92901735619</v>
      </c>
      <c r="AL222" s="173">
        <f t="shared" si="166"/>
        <v>0</v>
      </c>
      <c r="AM222" s="173">
        <f t="shared" si="167"/>
        <v>231475.45636776008</v>
      </c>
      <c r="AN222" s="173">
        <f t="shared" si="168"/>
        <v>0</v>
      </c>
      <c r="AO222" s="173">
        <f t="shared" si="169"/>
        <v>235800.88464145249</v>
      </c>
      <c r="AQ222" s="87" t="s">
        <v>225</v>
      </c>
      <c r="AR222" s="87" t="s">
        <v>226</v>
      </c>
      <c r="AS222" s="173">
        <f t="shared" si="170"/>
        <v>0</v>
      </c>
      <c r="AT222" s="173">
        <f t="shared" si="171"/>
        <v>219875.19641365614</v>
      </c>
      <c r="AU222" s="173">
        <f t="shared" si="172"/>
        <v>0</v>
      </c>
      <c r="AV222" s="173">
        <f t="shared" si="173"/>
        <v>232903.2997423879</v>
      </c>
      <c r="AW222" s="173">
        <f t="shared" si="174"/>
        <v>0</v>
      </c>
      <c r="AX222" s="173">
        <f t="shared" si="175"/>
        <v>237054.1932532645</v>
      </c>
      <c r="AY222" s="173">
        <f t="shared" si="176"/>
        <v>0</v>
      </c>
      <c r="AZ222" s="173">
        <f t="shared" si="177"/>
        <v>241499.74262705524</v>
      </c>
      <c r="BB222" s="87" t="s">
        <v>225</v>
      </c>
      <c r="BC222" s="87" t="s">
        <v>226</v>
      </c>
      <c r="BD222" s="173">
        <f t="shared" si="178"/>
        <v>0</v>
      </c>
      <c r="BE222" s="173">
        <f t="shared" si="179"/>
        <v>219875.19641365614</v>
      </c>
      <c r="BF222" s="173">
        <f t="shared" si="180"/>
        <v>0</v>
      </c>
      <c r="BG222" s="173">
        <f t="shared" si="181"/>
        <v>234042.3719184573</v>
      </c>
      <c r="BH222" s="173">
        <f t="shared" si="182"/>
        <v>0</v>
      </c>
      <c r="BI222" s="173">
        <f t="shared" si="183"/>
        <v>238399.72868356318</v>
      </c>
      <c r="BJ222" s="173">
        <f t="shared" si="184"/>
        <v>0</v>
      </c>
      <c r="BK222" s="173">
        <f t="shared" si="185"/>
        <v>243281.83392099902</v>
      </c>
      <c r="BM222" s="87" t="s">
        <v>225</v>
      </c>
      <c r="BN222" s="87" t="s">
        <v>226</v>
      </c>
      <c r="BO222" s="173">
        <f t="shared" si="186"/>
        <v>0</v>
      </c>
      <c r="BP222" s="173">
        <f t="shared" si="187"/>
        <v>219875.19641365614</v>
      </c>
      <c r="BQ222" s="173">
        <f t="shared" si="188"/>
        <v>0</v>
      </c>
      <c r="BR222" s="173">
        <f t="shared" si="189"/>
        <v>232903.2997423879</v>
      </c>
      <c r="BS222" s="173">
        <f t="shared" si="190"/>
        <v>0</v>
      </c>
      <c r="BT222" s="173">
        <f t="shared" si="191"/>
        <v>237049.2110354233</v>
      </c>
      <c r="BU222" s="173">
        <f t="shared" si="192"/>
        <v>0</v>
      </c>
      <c r="BV222" s="173">
        <f t="shared" si="193"/>
        <v>241494.65448925854</v>
      </c>
    </row>
    <row r="223" spans="5:74">
      <c r="E223" s="87" t="s">
        <v>515</v>
      </c>
      <c r="F223" s="87" t="s">
        <v>516</v>
      </c>
      <c r="G223" s="173">
        <f>IFERROR(IF(VLOOKUP(E223,A:C,3,FALSE)="YES",VLOOKUP(E223,'School Year 2021-22 SPED coop'!A:P,16,FALSE),0),0)</f>
        <v>0</v>
      </c>
      <c r="H223" s="173">
        <f t="shared" si="194"/>
        <v>1107896.8899999999</v>
      </c>
      <c r="J223" s="87" t="s">
        <v>515</v>
      </c>
      <c r="K223" s="87" t="s">
        <v>516</v>
      </c>
      <c r="L223" s="173">
        <f t="shared" si="153"/>
        <v>0</v>
      </c>
      <c r="M223" s="173">
        <f t="shared" si="154"/>
        <v>1120394.0227980902</v>
      </c>
      <c r="N223" s="173">
        <f t="shared" si="155"/>
        <v>0</v>
      </c>
      <c r="O223" s="173">
        <f t="shared" si="156"/>
        <v>1158336.3612130624</v>
      </c>
      <c r="P223" s="173">
        <f t="shared" si="157"/>
        <v>0</v>
      </c>
      <c r="Q223" s="173">
        <f t="shared" si="158"/>
        <v>1179788.2478825173</v>
      </c>
      <c r="R223" s="173">
        <f t="shared" si="159"/>
        <v>0</v>
      </c>
      <c r="S223" s="173">
        <f t="shared" si="160"/>
        <v>1201506.9623473079</v>
      </c>
      <c r="U223" s="87" t="s">
        <v>515</v>
      </c>
      <c r="V223" s="87" t="s">
        <v>516</v>
      </c>
      <c r="W223" s="173">
        <f t="shared" si="161"/>
        <v>0</v>
      </c>
      <c r="X223" s="173">
        <f t="shared" si="195"/>
        <v>1120394.0227980902</v>
      </c>
      <c r="Y223" s="173">
        <f t="shared" si="196"/>
        <v>0</v>
      </c>
      <c r="Z223" s="173">
        <f t="shared" si="197"/>
        <v>1164017.3947381617</v>
      </c>
      <c r="AA223" s="173">
        <f t="shared" si="198"/>
        <v>0</v>
      </c>
      <c r="AB223" s="173">
        <f t="shared" si="199"/>
        <v>1186465.0332529829</v>
      </c>
      <c r="AC223" s="173">
        <f t="shared" si="200"/>
        <v>0</v>
      </c>
      <c r="AD223" s="173">
        <f t="shared" si="201"/>
        <v>1210387.7985084769</v>
      </c>
      <c r="AF223" s="87" t="s">
        <v>515</v>
      </c>
      <c r="AG223" s="87" t="s">
        <v>516</v>
      </c>
      <c r="AH223" s="173">
        <f t="shared" si="162"/>
        <v>0</v>
      </c>
      <c r="AI223" s="173">
        <f t="shared" si="163"/>
        <v>1120394.0227980902</v>
      </c>
      <c r="AJ223" s="173">
        <f t="shared" si="164"/>
        <v>0</v>
      </c>
      <c r="AK223" s="173">
        <f t="shared" si="165"/>
        <v>1148793.654485299</v>
      </c>
      <c r="AL223" s="173">
        <f t="shared" si="166"/>
        <v>0</v>
      </c>
      <c r="AM223" s="173">
        <f t="shared" si="167"/>
        <v>1164964.1218778347</v>
      </c>
      <c r="AN223" s="173">
        <f t="shared" si="168"/>
        <v>0</v>
      </c>
      <c r="AO223" s="173">
        <f t="shared" si="169"/>
        <v>1181700.3709216507</v>
      </c>
      <c r="AQ223" s="87" t="s">
        <v>515</v>
      </c>
      <c r="AR223" s="87" t="s">
        <v>516</v>
      </c>
      <c r="AS223" s="173">
        <f t="shared" si="170"/>
        <v>0</v>
      </c>
      <c r="AT223" s="173">
        <f t="shared" si="171"/>
        <v>1120394.0227980902</v>
      </c>
      <c r="AU223" s="173">
        <f t="shared" si="172"/>
        <v>0</v>
      </c>
      <c r="AV223" s="173">
        <f t="shared" si="173"/>
        <v>1186849.3821806044</v>
      </c>
      <c r="AW223" s="173">
        <f t="shared" si="174"/>
        <v>0</v>
      </c>
      <c r="AX223" s="173">
        <f t="shared" si="175"/>
        <v>1207691.5487273161</v>
      </c>
      <c r="AY223" s="173">
        <f t="shared" si="176"/>
        <v>0</v>
      </c>
      <c r="AZ223" s="173">
        <f t="shared" si="177"/>
        <v>1230013.3753283045</v>
      </c>
      <c r="BB223" s="87" t="s">
        <v>515</v>
      </c>
      <c r="BC223" s="87" t="s">
        <v>516</v>
      </c>
      <c r="BD223" s="173">
        <f t="shared" si="178"/>
        <v>0</v>
      </c>
      <c r="BE223" s="173">
        <f t="shared" si="179"/>
        <v>1120394.0227980902</v>
      </c>
      <c r="BF223" s="173">
        <f t="shared" si="180"/>
        <v>0</v>
      </c>
      <c r="BG223" s="173">
        <f t="shared" si="181"/>
        <v>1192670.2581241552</v>
      </c>
      <c r="BH223" s="173">
        <f t="shared" si="182"/>
        <v>0</v>
      </c>
      <c r="BI223" s="173">
        <f t="shared" si="183"/>
        <v>1214526.251587854</v>
      </c>
      <c r="BJ223" s="173">
        <f t="shared" si="184"/>
        <v>0</v>
      </c>
      <c r="BK223" s="173">
        <f t="shared" si="185"/>
        <v>1239104.9172115957</v>
      </c>
      <c r="BM223" s="87" t="s">
        <v>515</v>
      </c>
      <c r="BN223" s="87" t="s">
        <v>516</v>
      </c>
      <c r="BO223" s="173">
        <f t="shared" si="186"/>
        <v>0</v>
      </c>
      <c r="BP223" s="173">
        <f t="shared" si="187"/>
        <v>1120394.0227980902</v>
      </c>
      <c r="BQ223" s="173">
        <f t="shared" si="188"/>
        <v>0</v>
      </c>
      <c r="BR223" s="173">
        <f t="shared" si="189"/>
        <v>1177069.2654766361</v>
      </c>
      <c r="BS223" s="173">
        <f t="shared" si="190"/>
        <v>0</v>
      </c>
      <c r="BT223" s="173">
        <f t="shared" si="191"/>
        <v>1192515.6425492857</v>
      </c>
      <c r="BU223" s="173">
        <f t="shared" si="192"/>
        <v>0</v>
      </c>
      <c r="BV223" s="173">
        <f t="shared" si="193"/>
        <v>1209734.1833793023</v>
      </c>
    </row>
    <row r="224" spans="5:74">
      <c r="E224" s="87" t="s">
        <v>345</v>
      </c>
      <c r="F224" s="87" t="s">
        <v>346</v>
      </c>
      <c r="G224" s="173">
        <f>IFERROR(IF(VLOOKUP(E224,A:C,3,FALSE)="YES",VLOOKUP(E224,'School Year 2021-22 SPED coop'!A:P,16,FALSE),0),0)</f>
        <v>635098.1</v>
      </c>
      <c r="H224" s="173">
        <f t="shared" si="194"/>
        <v>0</v>
      </c>
      <c r="J224" s="87" t="s">
        <v>345</v>
      </c>
      <c r="K224" s="87" t="s">
        <v>346</v>
      </c>
      <c r="L224" s="173">
        <f t="shared" si="153"/>
        <v>628242.97358206427</v>
      </c>
      <c r="M224" s="173">
        <f t="shared" si="154"/>
        <v>0</v>
      </c>
      <c r="N224" s="173">
        <f t="shared" si="155"/>
        <v>649530.73880068748</v>
      </c>
      <c r="O224" s="173">
        <f t="shared" si="156"/>
        <v>0</v>
      </c>
      <c r="P224" s="173">
        <f t="shared" si="157"/>
        <v>661562.03038117115</v>
      </c>
      <c r="Q224" s="173">
        <f t="shared" si="158"/>
        <v>0</v>
      </c>
      <c r="R224" s="173">
        <f t="shared" si="159"/>
        <v>673744.82970769797</v>
      </c>
      <c r="S224" s="173">
        <f t="shared" si="160"/>
        <v>0</v>
      </c>
      <c r="U224" s="87" t="s">
        <v>345</v>
      </c>
      <c r="V224" s="87" t="s">
        <v>346</v>
      </c>
      <c r="W224" s="173">
        <f t="shared" si="161"/>
        <v>628242.97358206427</v>
      </c>
      <c r="X224" s="173">
        <f t="shared" si="195"/>
        <v>0</v>
      </c>
      <c r="Y224" s="173">
        <f t="shared" si="196"/>
        <v>652723.82339048281</v>
      </c>
      <c r="Z224" s="173">
        <f t="shared" si="197"/>
        <v>0</v>
      </c>
      <c r="AA224" s="173">
        <f t="shared" si="198"/>
        <v>665301.49701811059</v>
      </c>
      <c r="AB224" s="173">
        <f t="shared" si="199"/>
        <v>0</v>
      </c>
      <c r="AC224" s="173">
        <f t="shared" si="200"/>
        <v>678717.49561625952</v>
      </c>
      <c r="AD224" s="173">
        <f t="shared" si="201"/>
        <v>0</v>
      </c>
      <c r="AF224" s="87" t="s">
        <v>345</v>
      </c>
      <c r="AG224" s="87" t="s">
        <v>346</v>
      </c>
      <c r="AH224" s="173">
        <f t="shared" si="162"/>
        <v>628242.97358206427</v>
      </c>
      <c r="AI224" s="173">
        <f t="shared" si="163"/>
        <v>0</v>
      </c>
      <c r="AJ224" s="173">
        <f t="shared" si="164"/>
        <v>645930.57068870799</v>
      </c>
      <c r="AK224" s="173">
        <f t="shared" si="165"/>
        <v>0</v>
      </c>
      <c r="AL224" s="173">
        <f t="shared" si="166"/>
        <v>660135.16786852502</v>
      </c>
      <c r="AM224" s="173">
        <f t="shared" si="167"/>
        <v>0</v>
      </c>
      <c r="AN224" s="173">
        <f t="shared" si="168"/>
        <v>671079.74863453186</v>
      </c>
      <c r="AO224" s="173">
        <f t="shared" si="169"/>
        <v>0</v>
      </c>
      <c r="AQ224" s="87" t="s">
        <v>345</v>
      </c>
      <c r="AR224" s="87" t="s">
        <v>346</v>
      </c>
      <c r="AS224" s="173">
        <f t="shared" si="170"/>
        <v>628242.97358206427</v>
      </c>
      <c r="AT224" s="173">
        <f t="shared" si="171"/>
        <v>0</v>
      </c>
      <c r="AU224" s="173">
        <f t="shared" si="172"/>
        <v>665518.30492124439</v>
      </c>
      <c r="AV224" s="173">
        <f t="shared" si="173"/>
        <v>0</v>
      </c>
      <c r="AW224" s="173">
        <f t="shared" si="174"/>
        <v>677209.30082802428</v>
      </c>
      <c r="AX224" s="173">
        <f t="shared" si="175"/>
        <v>0</v>
      </c>
      <c r="AY224" s="173">
        <f t="shared" si="176"/>
        <v>689730.30524783337</v>
      </c>
      <c r="AZ224" s="173">
        <f t="shared" si="177"/>
        <v>0</v>
      </c>
      <c r="BB224" s="87" t="s">
        <v>345</v>
      </c>
      <c r="BC224" s="87" t="s">
        <v>346</v>
      </c>
      <c r="BD224" s="173">
        <f t="shared" si="178"/>
        <v>628242.97358206427</v>
      </c>
      <c r="BE224" s="173">
        <f t="shared" si="179"/>
        <v>0</v>
      </c>
      <c r="BF224" s="173">
        <f t="shared" si="180"/>
        <v>668789.98869886657</v>
      </c>
      <c r="BG224" s="173">
        <f t="shared" si="181"/>
        <v>0</v>
      </c>
      <c r="BH224" s="173">
        <f t="shared" si="182"/>
        <v>681037.21351855458</v>
      </c>
      <c r="BI224" s="173">
        <f t="shared" si="183"/>
        <v>0</v>
      </c>
      <c r="BJ224" s="173">
        <f t="shared" si="184"/>
        <v>694820.95235048514</v>
      </c>
      <c r="BK224" s="173">
        <f t="shared" si="185"/>
        <v>0</v>
      </c>
      <c r="BM224" s="87" t="s">
        <v>345</v>
      </c>
      <c r="BN224" s="87" t="s">
        <v>346</v>
      </c>
      <c r="BO224" s="173">
        <f t="shared" si="186"/>
        <v>628242.97358206427</v>
      </c>
      <c r="BP224" s="173">
        <f t="shared" si="187"/>
        <v>0</v>
      </c>
      <c r="BQ224" s="173">
        <f t="shared" si="188"/>
        <v>661828.80574589805</v>
      </c>
      <c r="BR224" s="173">
        <f t="shared" si="189"/>
        <v>0</v>
      </c>
      <c r="BS224" s="173">
        <f t="shared" si="190"/>
        <v>675748.96468102501</v>
      </c>
      <c r="BT224" s="173">
        <f t="shared" si="191"/>
        <v>0</v>
      </c>
      <c r="BU224" s="173">
        <f t="shared" si="192"/>
        <v>687002.45902720036</v>
      </c>
      <c r="BV224" s="173">
        <f t="shared" si="193"/>
        <v>0</v>
      </c>
    </row>
    <row r="225" spans="5:74">
      <c r="E225" s="87" t="s">
        <v>299</v>
      </c>
      <c r="F225" s="87" t="s">
        <v>300</v>
      </c>
      <c r="G225" s="173">
        <f>IFERROR(IF(VLOOKUP(E225,A:C,3,FALSE)="YES",VLOOKUP(E225,'School Year 2021-22 SPED coop'!A:P,16,FALSE),0),0)</f>
        <v>0</v>
      </c>
      <c r="H225" s="173">
        <f t="shared" si="194"/>
        <v>676005.82000000007</v>
      </c>
      <c r="J225" s="87" t="s">
        <v>299</v>
      </c>
      <c r="K225" s="87" t="s">
        <v>300</v>
      </c>
      <c r="L225" s="173">
        <f t="shared" si="153"/>
        <v>0</v>
      </c>
      <c r="M225" s="173">
        <f t="shared" si="154"/>
        <v>696276.00938230043</v>
      </c>
      <c r="N225" s="173">
        <f t="shared" si="155"/>
        <v>0</v>
      </c>
      <c r="O225" s="173">
        <f t="shared" si="156"/>
        <v>719862.6836292888</v>
      </c>
      <c r="P225" s="173">
        <f t="shared" si="157"/>
        <v>0</v>
      </c>
      <c r="Q225" s="173">
        <f t="shared" si="158"/>
        <v>733196.59277857363</v>
      </c>
      <c r="R225" s="173">
        <f t="shared" si="159"/>
        <v>0</v>
      </c>
      <c r="S225" s="173">
        <f t="shared" si="160"/>
        <v>746698.28713101707</v>
      </c>
      <c r="U225" s="87" t="s">
        <v>299</v>
      </c>
      <c r="V225" s="87" t="s">
        <v>300</v>
      </c>
      <c r="W225" s="173">
        <f t="shared" si="161"/>
        <v>0</v>
      </c>
      <c r="X225" s="173">
        <f t="shared" si="195"/>
        <v>696276.00938230043</v>
      </c>
      <c r="Y225" s="173">
        <f t="shared" si="196"/>
        <v>0</v>
      </c>
      <c r="Z225" s="173">
        <f t="shared" si="197"/>
        <v>723384.25320870942</v>
      </c>
      <c r="AA225" s="173">
        <f t="shared" si="198"/>
        <v>0</v>
      </c>
      <c r="AB225" s="173">
        <f t="shared" si="199"/>
        <v>737334.46262116125</v>
      </c>
      <c r="AC225" s="173">
        <f t="shared" si="200"/>
        <v>0</v>
      </c>
      <c r="AD225" s="173">
        <f t="shared" si="201"/>
        <v>752204.83795888734</v>
      </c>
      <c r="AF225" s="87" t="s">
        <v>299</v>
      </c>
      <c r="AG225" s="87" t="s">
        <v>300</v>
      </c>
      <c r="AH225" s="173">
        <f t="shared" si="162"/>
        <v>0</v>
      </c>
      <c r="AI225" s="173">
        <f t="shared" si="163"/>
        <v>696276.00938230043</v>
      </c>
      <c r="AJ225" s="173">
        <f t="shared" si="164"/>
        <v>0</v>
      </c>
      <c r="AK225" s="173">
        <f t="shared" si="165"/>
        <v>717875.29704405169</v>
      </c>
      <c r="AL225" s="173">
        <f t="shared" si="166"/>
        <v>0</v>
      </c>
      <c r="AM225" s="173">
        <f t="shared" si="167"/>
        <v>729332.14327071828</v>
      </c>
      <c r="AN225" s="173">
        <f t="shared" si="168"/>
        <v>0</v>
      </c>
      <c r="AO225" s="173">
        <f t="shared" si="169"/>
        <v>744122.37385269976</v>
      </c>
      <c r="AQ225" s="87" t="s">
        <v>299</v>
      </c>
      <c r="AR225" s="87" t="s">
        <v>300</v>
      </c>
      <c r="AS225" s="173">
        <f t="shared" si="170"/>
        <v>0</v>
      </c>
      <c r="AT225" s="173">
        <f t="shared" si="171"/>
        <v>696276.00938230043</v>
      </c>
      <c r="AU225" s="173">
        <f t="shared" si="172"/>
        <v>0</v>
      </c>
      <c r="AV225" s="173">
        <f t="shared" si="173"/>
        <v>737582.44529036165</v>
      </c>
      <c r="AW225" s="173">
        <f t="shared" si="174"/>
        <v>0</v>
      </c>
      <c r="AX225" s="173">
        <f t="shared" si="175"/>
        <v>750539.11933880043</v>
      </c>
      <c r="AY225" s="173">
        <f t="shared" si="176"/>
        <v>0</v>
      </c>
      <c r="AZ225" s="173">
        <f t="shared" si="177"/>
        <v>764415.66147505201</v>
      </c>
      <c r="BB225" s="87" t="s">
        <v>299</v>
      </c>
      <c r="BC225" s="87" t="s">
        <v>300</v>
      </c>
      <c r="BD225" s="173">
        <f t="shared" si="178"/>
        <v>0</v>
      </c>
      <c r="BE225" s="173">
        <f t="shared" si="179"/>
        <v>696276.00938230043</v>
      </c>
      <c r="BF225" s="173">
        <f t="shared" si="180"/>
        <v>0</v>
      </c>
      <c r="BG225" s="173">
        <f t="shared" si="181"/>
        <v>741190.69582269678</v>
      </c>
      <c r="BH225" s="173">
        <f t="shared" si="182"/>
        <v>0</v>
      </c>
      <c r="BI225" s="173">
        <f t="shared" si="183"/>
        <v>754774.86059894366</v>
      </c>
      <c r="BJ225" s="173">
        <f t="shared" si="184"/>
        <v>0</v>
      </c>
      <c r="BK225" s="173">
        <f t="shared" si="185"/>
        <v>770052.86549571448</v>
      </c>
      <c r="BM225" s="87" t="s">
        <v>299</v>
      </c>
      <c r="BN225" s="87" t="s">
        <v>300</v>
      </c>
      <c r="BO225" s="173">
        <f t="shared" si="186"/>
        <v>0</v>
      </c>
      <c r="BP225" s="173">
        <f t="shared" si="187"/>
        <v>696276.00938230043</v>
      </c>
      <c r="BQ225" s="173">
        <f t="shared" si="188"/>
        <v>0</v>
      </c>
      <c r="BR225" s="173">
        <f t="shared" si="189"/>
        <v>735545.2361839459</v>
      </c>
      <c r="BS225" s="173">
        <f t="shared" si="190"/>
        <v>0</v>
      </c>
      <c r="BT225" s="173">
        <f t="shared" si="191"/>
        <v>746582.80852238112</v>
      </c>
      <c r="BU225" s="173">
        <f t="shared" si="192"/>
        <v>0</v>
      </c>
      <c r="BV225" s="173">
        <f t="shared" si="193"/>
        <v>761778.24671840668</v>
      </c>
    </row>
    <row r="226" spans="5:74">
      <c r="E226" s="87" t="s">
        <v>195</v>
      </c>
      <c r="F226" s="87" t="s">
        <v>196</v>
      </c>
      <c r="G226" s="173">
        <f>IFERROR(IF(VLOOKUP(E226,A:C,3,FALSE)="YES",VLOOKUP(E226,'School Year 2021-22 SPED coop'!A:P,16,FALSE),0),0)</f>
        <v>0</v>
      </c>
      <c r="H226" s="173">
        <f t="shared" si="194"/>
        <v>21077259.949999999</v>
      </c>
      <c r="J226" s="87" t="s">
        <v>195</v>
      </c>
      <c r="K226" s="87" t="s">
        <v>196</v>
      </c>
      <c r="L226" s="173">
        <f t="shared" si="153"/>
        <v>0</v>
      </c>
      <c r="M226" s="173">
        <f t="shared" si="154"/>
        <v>21486066.092669141</v>
      </c>
      <c r="N226" s="173">
        <f t="shared" si="155"/>
        <v>0</v>
      </c>
      <c r="O226" s="173">
        <f t="shared" si="156"/>
        <v>22198781.374363948</v>
      </c>
      <c r="P226" s="173">
        <f t="shared" si="157"/>
        <v>0</v>
      </c>
      <c r="Q226" s="173">
        <f t="shared" si="158"/>
        <v>22613264.066752277</v>
      </c>
      <c r="R226" s="173">
        <f t="shared" si="159"/>
        <v>0</v>
      </c>
      <c r="S226" s="173">
        <f t="shared" si="160"/>
        <v>23035889.65156531</v>
      </c>
      <c r="U226" s="87" t="s">
        <v>195</v>
      </c>
      <c r="V226" s="87" t="s">
        <v>196</v>
      </c>
      <c r="W226" s="173">
        <f t="shared" si="161"/>
        <v>0</v>
      </c>
      <c r="X226" s="173">
        <f t="shared" si="195"/>
        <v>21486066.092669141</v>
      </c>
      <c r="Y226" s="173">
        <f t="shared" si="196"/>
        <v>0</v>
      </c>
      <c r="Z226" s="173">
        <f t="shared" si="197"/>
        <v>22307627.535881154</v>
      </c>
      <c r="AA226" s="173">
        <f t="shared" si="198"/>
        <v>0</v>
      </c>
      <c r="AB226" s="173">
        <f t="shared" si="199"/>
        <v>22741067.190379161</v>
      </c>
      <c r="AC226" s="173">
        <f t="shared" si="200"/>
        <v>0</v>
      </c>
      <c r="AD226" s="173">
        <f t="shared" si="201"/>
        <v>23206042.328585565</v>
      </c>
      <c r="AF226" s="87" t="s">
        <v>195</v>
      </c>
      <c r="AG226" s="87" t="s">
        <v>196</v>
      </c>
      <c r="AH226" s="173">
        <f t="shared" si="162"/>
        <v>0</v>
      </c>
      <c r="AI226" s="173">
        <f t="shared" si="163"/>
        <v>21486066.092669141</v>
      </c>
      <c r="AJ226" s="173">
        <f t="shared" si="164"/>
        <v>0</v>
      </c>
      <c r="AK226" s="173">
        <f t="shared" si="165"/>
        <v>22174043.683500089</v>
      </c>
      <c r="AL226" s="173">
        <f t="shared" si="166"/>
        <v>0</v>
      </c>
      <c r="AM226" s="173">
        <f t="shared" si="167"/>
        <v>22598534.385580849</v>
      </c>
      <c r="AN226" s="173">
        <f t="shared" si="168"/>
        <v>0</v>
      </c>
      <c r="AO226" s="173">
        <f t="shared" si="169"/>
        <v>23030808.748499997</v>
      </c>
      <c r="AQ226" s="87" t="s">
        <v>195</v>
      </c>
      <c r="AR226" s="87" t="s">
        <v>196</v>
      </c>
      <c r="AS226" s="173">
        <f t="shared" si="170"/>
        <v>0</v>
      </c>
      <c r="AT226" s="173">
        <f t="shared" si="171"/>
        <v>21486066.092669141</v>
      </c>
      <c r="AU226" s="173">
        <f t="shared" si="172"/>
        <v>0</v>
      </c>
      <c r="AV226" s="173">
        <f t="shared" si="173"/>
        <v>22753643.5356001</v>
      </c>
      <c r="AW226" s="173">
        <f t="shared" si="174"/>
        <v>0</v>
      </c>
      <c r="AX226" s="173">
        <f t="shared" si="175"/>
        <v>23159230.425497111</v>
      </c>
      <c r="AY226" s="173">
        <f t="shared" si="176"/>
        <v>0</v>
      </c>
      <c r="AZ226" s="173">
        <f t="shared" si="177"/>
        <v>23593612.176660765</v>
      </c>
      <c r="BB226" s="87" t="s">
        <v>195</v>
      </c>
      <c r="BC226" s="87" t="s">
        <v>196</v>
      </c>
      <c r="BD226" s="173">
        <f t="shared" si="178"/>
        <v>0</v>
      </c>
      <c r="BE226" s="173">
        <f t="shared" si="179"/>
        <v>21486066.092669141</v>
      </c>
      <c r="BF226" s="173">
        <f t="shared" si="180"/>
        <v>0</v>
      </c>
      <c r="BG226" s="173">
        <f t="shared" si="181"/>
        <v>22865210.329432614</v>
      </c>
      <c r="BH226" s="173">
        <f t="shared" si="182"/>
        <v>0</v>
      </c>
      <c r="BI226" s="173">
        <f t="shared" si="183"/>
        <v>23290119.177247841</v>
      </c>
      <c r="BJ226" s="173">
        <f t="shared" si="184"/>
        <v>0</v>
      </c>
      <c r="BK226" s="173">
        <f t="shared" si="185"/>
        <v>23767884.427376542</v>
      </c>
      <c r="BM226" s="87" t="s">
        <v>195</v>
      </c>
      <c r="BN226" s="87" t="s">
        <v>196</v>
      </c>
      <c r="BO226" s="173">
        <f t="shared" si="186"/>
        <v>0</v>
      </c>
      <c r="BP226" s="173">
        <f t="shared" si="187"/>
        <v>21486066.092669141</v>
      </c>
      <c r="BQ226" s="173">
        <f t="shared" si="188"/>
        <v>0</v>
      </c>
      <c r="BR226" s="173">
        <f t="shared" si="189"/>
        <v>22728278.700889207</v>
      </c>
      <c r="BS226" s="173">
        <f t="shared" si="190"/>
        <v>0</v>
      </c>
      <c r="BT226" s="173">
        <f t="shared" si="191"/>
        <v>23144150.084271222</v>
      </c>
      <c r="BU226" s="173">
        <f t="shared" si="192"/>
        <v>0</v>
      </c>
      <c r="BV226" s="173">
        <f t="shared" si="193"/>
        <v>23588418.545031939</v>
      </c>
    </row>
    <row r="227" spans="5:74">
      <c r="E227" s="87" t="s">
        <v>109</v>
      </c>
      <c r="F227" s="87" t="s">
        <v>110</v>
      </c>
      <c r="G227" s="173">
        <f>IFERROR(IF(VLOOKUP(E227,A:C,3,FALSE)="YES",VLOOKUP(E227,'School Year 2021-22 SPED coop'!A:P,16,FALSE),0),0)</f>
        <v>0</v>
      </c>
      <c r="H227" s="173">
        <f t="shared" si="194"/>
        <v>437427.81999999995</v>
      </c>
      <c r="J227" s="87" t="s">
        <v>109</v>
      </c>
      <c r="K227" s="87" t="s">
        <v>110</v>
      </c>
      <c r="L227" s="173">
        <f t="shared" si="153"/>
        <v>0</v>
      </c>
      <c r="M227" s="173">
        <f t="shared" si="154"/>
        <v>456602.94927393354</v>
      </c>
      <c r="N227" s="173">
        <f t="shared" si="155"/>
        <v>0</v>
      </c>
      <c r="O227" s="173">
        <f t="shared" si="156"/>
        <v>472028.65376139147</v>
      </c>
      <c r="P227" s="173">
        <f t="shared" si="157"/>
        <v>0</v>
      </c>
      <c r="Q227" s="173">
        <f t="shared" si="158"/>
        <v>480787.70788125484</v>
      </c>
      <c r="R227" s="173">
        <f t="shared" si="159"/>
        <v>0</v>
      </c>
      <c r="S227" s="173">
        <f t="shared" si="160"/>
        <v>489670.19414657849</v>
      </c>
      <c r="U227" s="87" t="s">
        <v>109</v>
      </c>
      <c r="V227" s="87" t="s">
        <v>110</v>
      </c>
      <c r="W227" s="173">
        <f t="shared" si="161"/>
        <v>0</v>
      </c>
      <c r="X227" s="173">
        <f t="shared" si="195"/>
        <v>456602.94927393354</v>
      </c>
      <c r="Y227" s="173">
        <f t="shared" si="196"/>
        <v>0</v>
      </c>
      <c r="Z227" s="173">
        <f t="shared" si="197"/>
        <v>474345.58982287673</v>
      </c>
      <c r="AA227" s="173">
        <f t="shared" si="198"/>
        <v>0</v>
      </c>
      <c r="AB227" s="173">
        <f t="shared" si="199"/>
        <v>483512.06933935621</v>
      </c>
      <c r="AC227" s="173">
        <f t="shared" si="200"/>
        <v>0</v>
      </c>
      <c r="AD227" s="173">
        <f t="shared" si="201"/>
        <v>493289.26509613753</v>
      </c>
      <c r="AF227" s="87" t="s">
        <v>109</v>
      </c>
      <c r="AG227" s="87" t="s">
        <v>110</v>
      </c>
      <c r="AH227" s="173">
        <f t="shared" si="162"/>
        <v>0</v>
      </c>
      <c r="AI227" s="173">
        <f t="shared" si="163"/>
        <v>456602.94927393354</v>
      </c>
      <c r="AJ227" s="173">
        <f t="shared" si="164"/>
        <v>0</v>
      </c>
      <c r="AK227" s="173">
        <f t="shared" si="165"/>
        <v>469056.51996362582</v>
      </c>
      <c r="AL227" s="173">
        <f t="shared" si="166"/>
        <v>0</v>
      </c>
      <c r="AM227" s="173">
        <f t="shared" si="167"/>
        <v>477761.00622485421</v>
      </c>
      <c r="AN227" s="173">
        <f t="shared" si="168"/>
        <v>0</v>
      </c>
      <c r="AO227" s="173">
        <f t="shared" si="169"/>
        <v>486588.63670014596</v>
      </c>
      <c r="AQ227" s="87" t="s">
        <v>109</v>
      </c>
      <c r="AR227" s="87" t="s">
        <v>110</v>
      </c>
      <c r="AS227" s="173">
        <f t="shared" si="170"/>
        <v>0</v>
      </c>
      <c r="AT227" s="173">
        <f t="shared" si="171"/>
        <v>456602.94927393354</v>
      </c>
      <c r="AU227" s="173">
        <f t="shared" si="172"/>
        <v>0</v>
      </c>
      <c r="AV227" s="173">
        <f t="shared" si="173"/>
        <v>483683.39411164046</v>
      </c>
      <c r="AW227" s="173">
        <f t="shared" si="174"/>
        <v>0</v>
      </c>
      <c r="AX227" s="173">
        <f t="shared" si="175"/>
        <v>492207.34824076929</v>
      </c>
      <c r="AY227" s="173">
        <f t="shared" si="176"/>
        <v>0</v>
      </c>
      <c r="AZ227" s="173">
        <f t="shared" si="177"/>
        <v>501336.48647593235</v>
      </c>
      <c r="BB227" s="87" t="s">
        <v>109</v>
      </c>
      <c r="BC227" s="87" t="s">
        <v>110</v>
      </c>
      <c r="BD227" s="173">
        <f t="shared" si="178"/>
        <v>0</v>
      </c>
      <c r="BE227" s="173">
        <f t="shared" si="179"/>
        <v>456602.94927393354</v>
      </c>
      <c r="BF227" s="173">
        <f t="shared" si="180"/>
        <v>0</v>
      </c>
      <c r="BG227" s="173">
        <f t="shared" si="181"/>
        <v>486057.53854281153</v>
      </c>
      <c r="BH227" s="173">
        <f t="shared" si="182"/>
        <v>0</v>
      </c>
      <c r="BI227" s="173">
        <f t="shared" si="183"/>
        <v>494996.4221759229</v>
      </c>
      <c r="BJ227" s="173">
        <f t="shared" si="184"/>
        <v>0</v>
      </c>
      <c r="BK227" s="173">
        <f t="shared" si="185"/>
        <v>505041.78223646345</v>
      </c>
      <c r="BM227" s="87" t="s">
        <v>109</v>
      </c>
      <c r="BN227" s="87" t="s">
        <v>110</v>
      </c>
      <c r="BO227" s="173">
        <f t="shared" si="186"/>
        <v>0</v>
      </c>
      <c r="BP227" s="173">
        <f t="shared" si="187"/>
        <v>456602.94927393354</v>
      </c>
      <c r="BQ227" s="173">
        <f t="shared" si="188"/>
        <v>0</v>
      </c>
      <c r="BR227" s="173">
        <f t="shared" si="189"/>
        <v>480636.86424962326</v>
      </c>
      <c r="BS227" s="173">
        <f t="shared" si="190"/>
        <v>0</v>
      </c>
      <c r="BT227" s="173">
        <f t="shared" si="191"/>
        <v>489108.13268573314</v>
      </c>
      <c r="BU227" s="173">
        <f t="shared" si="192"/>
        <v>0</v>
      </c>
      <c r="BV227" s="173">
        <f t="shared" si="193"/>
        <v>498180.84880999551</v>
      </c>
    </row>
    <row r="228" spans="5:74">
      <c r="E228" s="87" t="s">
        <v>27</v>
      </c>
      <c r="F228" s="87" t="s">
        <v>28</v>
      </c>
      <c r="G228" s="173">
        <f>IFERROR(IF(VLOOKUP(E228,A:C,3,FALSE)="YES",VLOOKUP(E228,'School Year 2021-22 SPED coop'!A:P,16,FALSE),0),0)</f>
        <v>0</v>
      </c>
      <c r="H228" s="173">
        <f t="shared" si="194"/>
        <v>15299851.65</v>
      </c>
      <c r="J228" s="87" t="s">
        <v>27</v>
      </c>
      <c r="K228" s="87" t="s">
        <v>28</v>
      </c>
      <c r="L228" s="173">
        <f t="shared" si="153"/>
        <v>0</v>
      </c>
      <c r="M228" s="173">
        <f t="shared" si="154"/>
        <v>15588378.244572576</v>
      </c>
      <c r="N228" s="173">
        <f t="shared" si="155"/>
        <v>0</v>
      </c>
      <c r="O228" s="173">
        <f t="shared" si="156"/>
        <v>16001724.000129115</v>
      </c>
      <c r="P228" s="173">
        <f t="shared" si="157"/>
        <v>0</v>
      </c>
      <c r="Q228" s="173">
        <f t="shared" si="158"/>
        <v>16298591.138282703</v>
      </c>
      <c r="R228" s="173">
        <f t="shared" si="159"/>
        <v>0</v>
      </c>
      <c r="S228" s="173">
        <f t="shared" si="160"/>
        <v>16599608.825596783</v>
      </c>
      <c r="U228" s="87" t="s">
        <v>27</v>
      </c>
      <c r="V228" s="87" t="s">
        <v>28</v>
      </c>
      <c r="W228" s="173">
        <f t="shared" si="161"/>
        <v>0</v>
      </c>
      <c r="X228" s="173">
        <f t="shared" si="195"/>
        <v>15588378.244572576</v>
      </c>
      <c r="Y228" s="173">
        <f t="shared" si="196"/>
        <v>0</v>
      </c>
      <c r="Z228" s="173">
        <f t="shared" si="197"/>
        <v>16080185.818707088</v>
      </c>
      <c r="AA228" s="173">
        <f t="shared" si="198"/>
        <v>0</v>
      </c>
      <c r="AB228" s="173">
        <f t="shared" si="199"/>
        <v>16390726.503757162</v>
      </c>
      <c r="AC228" s="173">
        <f t="shared" si="200"/>
        <v>0</v>
      </c>
      <c r="AD228" s="173">
        <f t="shared" si="201"/>
        <v>16722215.979172092</v>
      </c>
      <c r="AF228" s="87" t="s">
        <v>27</v>
      </c>
      <c r="AG228" s="87" t="s">
        <v>28</v>
      </c>
      <c r="AH228" s="173">
        <f t="shared" si="162"/>
        <v>0</v>
      </c>
      <c r="AI228" s="173">
        <f t="shared" si="163"/>
        <v>15588378.244572576</v>
      </c>
      <c r="AJ228" s="173">
        <f t="shared" si="164"/>
        <v>0</v>
      </c>
      <c r="AK228" s="173">
        <f t="shared" si="165"/>
        <v>16025116.137904029</v>
      </c>
      <c r="AL228" s="173">
        <f t="shared" si="166"/>
        <v>0</v>
      </c>
      <c r="AM228" s="173">
        <f t="shared" si="167"/>
        <v>16328887.158685338</v>
      </c>
      <c r="AN228" s="173">
        <f t="shared" si="168"/>
        <v>0</v>
      </c>
      <c r="AO228" s="173">
        <f t="shared" si="169"/>
        <v>16630467.077620354</v>
      </c>
      <c r="AQ228" s="87" t="s">
        <v>27</v>
      </c>
      <c r="AR228" s="87" t="s">
        <v>28</v>
      </c>
      <c r="AS228" s="173">
        <f t="shared" si="170"/>
        <v>0</v>
      </c>
      <c r="AT228" s="173">
        <f t="shared" si="171"/>
        <v>15588378.244572576</v>
      </c>
      <c r="AU228" s="173">
        <f t="shared" si="172"/>
        <v>0</v>
      </c>
      <c r="AV228" s="173">
        <f t="shared" si="173"/>
        <v>16396693.61852232</v>
      </c>
      <c r="AW228" s="173">
        <f t="shared" si="174"/>
        <v>0</v>
      </c>
      <c r="AX228" s="173">
        <f t="shared" si="175"/>
        <v>16685560.898057232</v>
      </c>
      <c r="AY228" s="173">
        <f t="shared" si="176"/>
        <v>0</v>
      </c>
      <c r="AZ228" s="173">
        <f t="shared" si="177"/>
        <v>16994936.773272086</v>
      </c>
      <c r="BB228" s="87" t="s">
        <v>27</v>
      </c>
      <c r="BC228" s="87" t="s">
        <v>28</v>
      </c>
      <c r="BD228" s="173">
        <f t="shared" si="178"/>
        <v>0</v>
      </c>
      <c r="BE228" s="173">
        <f t="shared" si="179"/>
        <v>15588378.244572576</v>
      </c>
      <c r="BF228" s="173">
        <f t="shared" si="180"/>
        <v>0</v>
      </c>
      <c r="BG228" s="173">
        <f t="shared" si="181"/>
        <v>16477092.109492293</v>
      </c>
      <c r="BH228" s="173">
        <f t="shared" si="182"/>
        <v>0</v>
      </c>
      <c r="BI228" s="173">
        <f t="shared" si="183"/>
        <v>16779883.797998507</v>
      </c>
      <c r="BJ228" s="173">
        <f t="shared" si="184"/>
        <v>0</v>
      </c>
      <c r="BK228" s="173">
        <f t="shared" si="185"/>
        <v>17120463.876790542</v>
      </c>
      <c r="BM228" s="87" t="s">
        <v>27</v>
      </c>
      <c r="BN228" s="87" t="s">
        <v>28</v>
      </c>
      <c r="BO228" s="173">
        <f t="shared" si="186"/>
        <v>0</v>
      </c>
      <c r="BP228" s="173">
        <f t="shared" si="187"/>
        <v>15588378.244572576</v>
      </c>
      <c r="BQ228" s="173">
        <f t="shared" si="188"/>
        <v>0</v>
      </c>
      <c r="BR228" s="173">
        <f t="shared" si="189"/>
        <v>16420675.374739783</v>
      </c>
      <c r="BS228" s="173">
        <f t="shared" si="190"/>
        <v>0</v>
      </c>
      <c r="BT228" s="173">
        <f t="shared" si="191"/>
        <v>16716594.019279093</v>
      </c>
      <c r="BU228" s="173">
        <f t="shared" si="192"/>
        <v>0</v>
      </c>
      <c r="BV228" s="173">
        <f t="shared" si="193"/>
        <v>17026548.057645425</v>
      </c>
    </row>
    <row r="229" spans="5:74">
      <c r="E229" s="87" t="s">
        <v>71</v>
      </c>
      <c r="F229" s="87" t="s">
        <v>72</v>
      </c>
      <c r="G229" s="173">
        <f>IFERROR(IF(VLOOKUP(E229,A:C,3,FALSE)="YES",VLOOKUP(E229,'School Year 2021-22 SPED coop'!A:P,16,FALSE),0),0)</f>
        <v>0</v>
      </c>
      <c r="H229" s="173">
        <f t="shared" si="194"/>
        <v>3844681.72</v>
      </c>
      <c r="J229" s="87" t="s">
        <v>71</v>
      </c>
      <c r="K229" s="87" t="s">
        <v>72</v>
      </c>
      <c r="L229" s="173">
        <f t="shared" si="153"/>
        <v>0</v>
      </c>
      <c r="M229" s="173">
        <f t="shared" si="154"/>
        <v>3905861.3427862599</v>
      </c>
      <c r="N229" s="173">
        <f t="shared" si="155"/>
        <v>0</v>
      </c>
      <c r="O229" s="173">
        <f t="shared" si="156"/>
        <v>4037208.1822761223</v>
      </c>
      <c r="P229" s="173">
        <f t="shared" si="157"/>
        <v>0</v>
      </c>
      <c r="Q229" s="173">
        <f t="shared" si="158"/>
        <v>4112201.688580852</v>
      </c>
      <c r="R229" s="173">
        <f t="shared" si="159"/>
        <v>0</v>
      </c>
      <c r="S229" s="173">
        <f t="shared" si="160"/>
        <v>4188328.1725495281</v>
      </c>
      <c r="U229" s="87" t="s">
        <v>71</v>
      </c>
      <c r="V229" s="87" t="s">
        <v>72</v>
      </c>
      <c r="W229" s="173">
        <f t="shared" si="161"/>
        <v>0</v>
      </c>
      <c r="X229" s="173">
        <f t="shared" si="195"/>
        <v>3905861.3427862599</v>
      </c>
      <c r="Y229" s="173">
        <f t="shared" si="196"/>
        <v>0</v>
      </c>
      <c r="Z229" s="173">
        <f t="shared" si="197"/>
        <v>4057003.2677350189</v>
      </c>
      <c r="AA229" s="173">
        <f t="shared" si="198"/>
        <v>0</v>
      </c>
      <c r="AB229" s="173">
        <f t="shared" si="199"/>
        <v>4135440.6179392487</v>
      </c>
      <c r="AC229" s="173">
        <f t="shared" si="200"/>
        <v>0</v>
      </c>
      <c r="AD229" s="173">
        <f t="shared" si="201"/>
        <v>4219257.1500380253</v>
      </c>
      <c r="AF229" s="87" t="s">
        <v>71</v>
      </c>
      <c r="AG229" s="87" t="s">
        <v>72</v>
      </c>
      <c r="AH229" s="173">
        <f t="shared" si="162"/>
        <v>0</v>
      </c>
      <c r="AI229" s="173">
        <f t="shared" si="163"/>
        <v>3905861.3427862599</v>
      </c>
      <c r="AJ229" s="173">
        <f t="shared" si="164"/>
        <v>0</v>
      </c>
      <c r="AK229" s="173">
        <f t="shared" si="165"/>
        <v>4033430.9926272514</v>
      </c>
      <c r="AL229" s="173">
        <f t="shared" si="166"/>
        <v>0</v>
      </c>
      <c r="AM229" s="173">
        <f t="shared" si="167"/>
        <v>4104978.9618014679</v>
      </c>
      <c r="AN229" s="173">
        <f t="shared" si="168"/>
        <v>0</v>
      </c>
      <c r="AO229" s="173">
        <f t="shared" si="169"/>
        <v>4168945.1179370638</v>
      </c>
      <c r="AQ229" s="87" t="s">
        <v>71</v>
      </c>
      <c r="AR229" s="87" t="s">
        <v>72</v>
      </c>
      <c r="AS229" s="173">
        <f t="shared" si="170"/>
        <v>0</v>
      </c>
      <c r="AT229" s="173">
        <f t="shared" si="171"/>
        <v>3905861.3427862599</v>
      </c>
      <c r="AU229" s="173">
        <f t="shared" si="172"/>
        <v>0</v>
      </c>
      <c r="AV229" s="173">
        <f t="shared" si="173"/>
        <v>4137131.9737231256</v>
      </c>
      <c r="AW229" s="173">
        <f t="shared" si="174"/>
        <v>0</v>
      </c>
      <c r="AX229" s="173">
        <f t="shared" si="175"/>
        <v>4210186.8997281194</v>
      </c>
      <c r="AY229" s="173">
        <f t="shared" si="176"/>
        <v>0</v>
      </c>
      <c r="AZ229" s="173">
        <f t="shared" si="177"/>
        <v>4288428.3443894563</v>
      </c>
      <c r="BB229" s="87" t="s">
        <v>71</v>
      </c>
      <c r="BC229" s="87" t="s">
        <v>72</v>
      </c>
      <c r="BD229" s="173">
        <f t="shared" si="178"/>
        <v>0</v>
      </c>
      <c r="BE229" s="173">
        <f t="shared" si="179"/>
        <v>3905861.3427862599</v>
      </c>
      <c r="BF229" s="173">
        <f t="shared" si="180"/>
        <v>0</v>
      </c>
      <c r="BG229" s="173">
        <f t="shared" si="181"/>
        <v>4157417.0023286478</v>
      </c>
      <c r="BH229" s="173">
        <f t="shared" si="182"/>
        <v>0</v>
      </c>
      <c r="BI229" s="173">
        <f t="shared" si="183"/>
        <v>4233979.5628264491</v>
      </c>
      <c r="BJ229" s="173">
        <f t="shared" si="184"/>
        <v>0</v>
      </c>
      <c r="BK229" s="173">
        <f t="shared" si="185"/>
        <v>4320096.5144702978</v>
      </c>
      <c r="BM229" s="87" t="s">
        <v>71</v>
      </c>
      <c r="BN229" s="87" t="s">
        <v>72</v>
      </c>
      <c r="BO229" s="173">
        <f t="shared" si="186"/>
        <v>0</v>
      </c>
      <c r="BP229" s="173">
        <f t="shared" si="187"/>
        <v>3905861.3427862599</v>
      </c>
      <c r="BQ229" s="173">
        <f t="shared" si="188"/>
        <v>0</v>
      </c>
      <c r="BR229" s="173">
        <f t="shared" si="189"/>
        <v>4133262.1751824925</v>
      </c>
      <c r="BS229" s="173">
        <f t="shared" si="190"/>
        <v>0</v>
      </c>
      <c r="BT229" s="173">
        <f t="shared" si="191"/>
        <v>4202795.8402119707</v>
      </c>
      <c r="BU229" s="173">
        <f t="shared" si="192"/>
        <v>0</v>
      </c>
      <c r="BV229" s="173">
        <f t="shared" si="193"/>
        <v>4268582.3776253266</v>
      </c>
    </row>
    <row r="230" spans="5:74">
      <c r="E230" s="87" t="s">
        <v>11</v>
      </c>
      <c r="F230" s="87" t="s">
        <v>12</v>
      </c>
      <c r="G230" s="173">
        <f>IFERROR(IF(VLOOKUP(E230,A:C,3,FALSE)="YES",VLOOKUP(E230,'School Year 2021-22 SPED coop'!A:P,16,FALSE),0),0)</f>
        <v>0</v>
      </c>
      <c r="H230" s="173">
        <f t="shared" si="194"/>
        <v>272166.05</v>
      </c>
      <c r="J230" s="87" t="s">
        <v>11</v>
      </c>
      <c r="K230" s="87" t="s">
        <v>12</v>
      </c>
      <c r="L230" s="173">
        <f t="shared" si="153"/>
        <v>0</v>
      </c>
      <c r="M230" s="173">
        <f t="shared" si="154"/>
        <v>275232.47111144627</v>
      </c>
      <c r="N230" s="173">
        <f t="shared" si="155"/>
        <v>0</v>
      </c>
      <c r="O230" s="173">
        <f t="shared" si="156"/>
        <v>284526.46484445722</v>
      </c>
      <c r="P230" s="173">
        <f t="shared" si="157"/>
        <v>0</v>
      </c>
      <c r="Q230" s="173">
        <f t="shared" si="158"/>
        <v>289804.97126776935</v>
      </c>
      <c r="R230" s="173">
        <f t="shared" si="159"/>
        <v>0</v>
      </c>
      <c r="S230" s="173">
        <f t="shared" si="160"/>
        <v>295156.86719899945</v>
      </c>
      <c r="U230" s="87" t="s">
        <v>11</v>
      </c>
      <c r="V230" s="87" t="s">
        <v>12</v>
      </c>
      <c r="W230" s="173">
        <f t="shared" si="161"/>
        <v>0</v>
      </c>
      <c r="X230" s="173">
        <f t="shared" si="195"/>
        <v>275232.47111144627</v>
      </c>
      <c r="Y230" s="173">
        <f t="shared" si="196"/>
        <v>0</v>
      </c>
      <c r="Z230" s="173">
        <f t="shared" si="197"/>
        <v>285923.1612017742</v>
      </c>
      <c r="AA230" s="173">
        <f t="shared" si="198"/>
        <v>0</v>
      </c>
      <c r="AB230" s="173">
        <f t="shared" si="199"/>
        <v>291445.84918078408</v>
      </c>
      <c r="AC230" s="173">
        <f t="shared" si="200"/>
        <v>0</v>
      </c>
      <c r="AD230" s="173">
        <f t="shared" si="201"/>
        <v>297343.22680786892</v>
      </c>
      <c r="AF230" s="87" t="s">
        <v>11</v>
      </c>
      <c r="AG230" s="87" t="s">
        <v>12</v>
      </c>
      <c r="AH230" s="173">
        <f t="shared" si="162"/>
        <v>0</v>
      </c>
      <c r="AI230" s="173">
        <f t="shared" si="163"/>
        <v>275232.47111144627</v>
      </c>
      <c r="AJ230" s="173">
        <f t="shared" si="164"/>
        <v>0</v>
      </c>
      <c r="AK230" s="173">
        <f t="shared" si="165"/>
        <v>280871.81283884397</v>
      </c>
      <c r="AL230" s="173">
        <f t="shared" si="166"/>
        <v>0</v>
      </c>
      <c r="AM230" s="173">
        <f t="shared" si="167"/>
        <v>283750.78311708977</v>
      </c>
      <c r="AN230" s="173">
        <f t="shared" si="168"/>
        <v>0</v>
      </c>
      <c r="AO230" s="173">
        <f t="shared" si="169"/>
        <v>290421.91932813899</v>
      </c>
      <c r="AQ230" s="87" t="s">
        <v>11</v>
      </c>
      <c r="AR230" s="87" t="s">
        <v>12</v>
      </c>
      <c r="AS230" s="173">
        <f t="shared" si="170"/>
        <v>0</v>
      </c>
      <c r="AT230" s="173">
        <f t="shared" si="171"/>
        <v>275232.47111144627</v>
      </c>
      <c r="AU230" s="173">
        <f t="shared" si="172"/>
        <v>0</v>
      </c>
      <c r="AV230" s="173">
        <f t="shared" si="173"/>
        <v>291551.87260614021</v>
      </c>
      <c r="AW230" s="173">
        <f t="shared" si="174"/>
        <v>0</v>
      </c>
      <c r="AX230" s="173">
        <f t="shared" si="175"/>
        <v>296687.80318925634</v>
      </c>
      <c r="AY230" s="173">
        <f t="shared" si="176"/>
        <v>0</v>
      </c>
      <c r="AZ230" s="173">
        <f t="shared" si="177"/>
        <v>302188.35994897672</v>
      </c>
      <c r="BB230" s="87" t="s">
        <v>11</v>
      </c>
      <c r="BC230" s="87" t="s">
        <v>12</v>
      </c>
      <c r="BD230" s="173">
        <f t="shared" si="178"/>
        <v>0</v>
      </c>
      <c r="BE230" s="173">
        <f t="shared" si="179"/>
        <v>275232.47111144627</v>
      </c>
      <c r="BF230" s="173">
        <f t="shared" si="180"/>
        <v>0</v>
      </c>
      <c r="BG230" s="173">
        <f t="shared" si="181"/>
        <v>292983.0565577888</v>
      </c>
      <c r="BH230" s="173">
        <f t="shared" si="182"/>
        <v>0</v>
      </c>
      <c r="BI230" s="173">
        <f t="shared" si="183"/>
        <v>298367.65326163894</v>
      </c>
      <c r="BJ230" s="173">
        <f t="shared" si="184"/>
        <v>0</v>
      </c>
      <c r="BK230" s="173">
        <f t="shared" si="185"/>
        <v>304426.80827460595</v>
      </c>
      <c r="BM230" s="87" t="s">
        <v>11</v>
      </c>
      <c r="BN230" s="87" t="s">
        <v>12</v>
      </c>
      <c r="BO230" s="173">
        <f t="shared" si="186"/>
        <v>0</v>
      </c>
      <c r="BP230" s="173">
        <f t="shared" si="187"/>
        <v>275232.47111144627</v>
      </c>
      <c r="BQ230" s="173">
        <f t="shared" si="188"/>
        <v>0</v>
      </c>
      <c r="BR230" s="173">
        <f t="shared" si="189"/>
        <v>287806.13868658949</v>
      </c>
      <c r="BS230" s="173">
        <f t="shared" si="190"/>
        <v>0</v>
      </c>
      <c r="BT230" s="173">
        <f t="shared" si="191"/>
        <v>290489.12857310992</v>
      </c>
      <c r="BU230" s="173">
        <f t="shared" si="192"/>
        <v>0</v>
      </c>
      <c r="BV230" s="173">
        <f t="shared" si="193"/>
        <v>297340.22816412663</v>
      </c>
    </row>
    <row r="231" spans="5:74">
      <c r="E231" s="87" t="s">
        <v>477</v>
      </c>
      <c r="F231" s="87" t="s">
        <v>478</v>
      </c>
      <c r="G231" s="173">
        <f>IFERROR(IF(VLOOKUP(E231,A:C,3,FALSE)="YES",VLOOKUP(E231,'School Year 2021-22 SPED coop'!A:P,16,FALSE),0),0)</f>
        <v>0</v>
      </c>
      <c r="H231" s="173">
        <f t="shared" si="194"/>
        <v>1767228.2999999998</v>
      </c>
      <c r="J231" s="87" t="s">
        <v>477</v>
      </c>
      <c r="K231" s="87" t="s">
        <v>478</v>
      </c>
      <c r="L231" s="173">
        <f t="shared" si="153"/>
        <v>0</v>
      </c>
      <c r="M231" s="173">
        <f t="shared" si="154"/>
        <v>1786948.7830444805</v>
      </c>
      <c r="N231" s="173">
        <f t="shared" si="155"/>
        <v>0</v>
      </c>
      <c r="O231" s="173">
        <f t="shared" si="156"/>
        <v>1847511.3878700803</v>
      </c>
      <c r="P231" s="173">
        <f t="shared" si="157"/>
        <v>0</v>
      </c>
      <c r="Q231" s="173">
        <f t="shared" si="158"/>
        <v>1881735.9014793225</v>
      </c>
      <c r="R231" s="173">
        <f t="shared" si="159"/>
        <v>0</v>
      </c>
      <c r="S231" s="173">
        <f t="shared" si="160"/>
        <v>1916393.8262290421</v>
      </c>
      <c r="U231" s="87" t="s">
        <v>477</v>
      </c>
      <c r="V231" s="87" t="s">
        <v>478</v>
      </c>
      <c r="W231" s="173">
        <f t="shared" si="161"/>
        <v>0</v>
      </c>
      <c r="X231" s="173">
        <f t="shared" si="195"/>
        <v>1786948.7830444805</v>
      </c>
      <c r="Y231" s="173">
        <f t="shared" si="196"/>
        <v>0</v>
      </c>
      <c r="Z231" s="173">
        <f t="shared" si="197"/>
        <v>1856572.60044463</v>
      </c>
      <c r="AA231" s="173">
        <f t="shared" si="198"/>
        <v>0</v>
      </c>
      <c r="AB231" s="173">
        <f t="shared" si="199"/>
        <v>1892363.3557601345</v>
      </c>
      <c r="AC231" s="173">
        <f t="shared" si="200"/>
        <v>0</v>
      </c>
      <c r="AD231" s="173">
        <f t="shared" si="201"/>
        <v>1930547.1421947705</v>
      </c>
      <c r="AF231" s="87" t="s">
        <v>477</v>
      </c>
      <c r="AG231" s="87" t="s">
        <v>478</v>
      </c>
      <c r="AH231" s="173">
        <f t="shared" si="162"/>
        <v>0</v>
      </c>
      <c r="AI231" s="173">
        <f t="shared" si="163"/>
        <v>1786948.7830444805</v>
      </c>
      <c r="AJ231" s="173">
        <f t="shared" si="164"/>
        <v>0</v>
      </c>
      <c r="AK231" s="173">
        <f t="shared" si="165"/>
        <v>1847114.9804525529</v>
      </c>
      <c r="AL231" s="173">
        <f t="shared" si="166"/>
        <v>0</v>
      </c>
      <c r="AM231" s="173">
        <f t="shared" si="167"/>
        <v>1882524.2285127118</v>
      </c>
      <c r="AN231" s="173">
        <f t="shared" si="168"/>
        <v>0</v>
      </c>
      <c r="AO231" s="173">
        <f t="shared" si="169"/>
        <v>1919834.5491600619</v>
      </c>
      <c r="AQ231" s="87" t="s">
        <v>477</v>
      </c>
      <c r="AR231" s="87" t="s">
        <v>478</v>
      </c>
      <c r="AS231" s="173">
        <f t="shared" si="170"/>
        <v>0</v>
      </c>
      <c r="AT231" s="173">
        <f t="shared" si="171"/>
        <v>1786948.7830444805</v>
      </c>
      <c r="AU231" s="173">
        <f t="shared" si="172"/>
        <v>0</v>
      </c>
      <c r="AV231" s="173">
        <f t="shared" si="173"/>
        <v>1892985.3558318743</v>
      </c>
      <c r="AW231" s="173">
        <f t="shared" si="174"/>
        <v>0</v>
      </c>
      <c r="AX231" s="173">
        <f t="shared" si="175"/>
        <v>1926244.0428781989</v>
      </c>
      <c r="AY231" s="173">
        <f t="shared" si="176"/>
        <v>0</v>
      </c>
      <c r="AZ231" s="173">
        <f t="shared" si="177"/>
        <v>1961863.9807437502</v>
      </c>
      <c r="BB231" s="87" t="s">
        <v>477</v>
      </c>
      <c r="BC231" s="87" t="s">
        <v>478</v>
      </c>
      <c r="BD231" s="173">
        <f t="shared" si="178"/>
        <v>0</v>
      </c>
      <c r="BE231" s="173">
        <f t="shared" si="179"/>
        <v>1786948.7830444805</v>
      </c>
      <c r="BF231" s="173">
        <f t="shared" si="180"/>
        <v>0</v>
      </c>
      <c r="BG231" s="173">
        <f t="shared" si="181"/>
        <v>1902269.5994047546</v>
      </c>
      <c r="BH231" s="173">
        <f t="shared" si="182"/>
        <v>0</v>
      </c>
      <c r="BI231" s="173">
        <f t="shared" si="183"/>
        <v>1937122.86136476</v>
      </c>
      <c r="BJ231" s="173">
        <f t="shared" si="184"/>
        <v>0</v>
      </c>
      <c r="BK231" s="173">
        <f t="shared" si="185"/>
        <v>1976353.1107935468</v>
      </c>
      <c r="BM231" s="87" t="s">
        <v>477</v>
      </c>
      <c r="BN231" s="87" t="s">
        <v>478</v>
      </c>
      <c r="BO231" s="173">
        <f t="shared" si="186"/>
        <v>0</v>
      </c>
      <c r="BP231" s="173">
        <f t="shared" si="187"/>
        <v>1786948.7830444805</v>
      </c>
      <c r="BQ231" s="173">
        <f t="shared" si="188"/>
        <v>0</v>
      </c>
      <c r="BR231" s="173">
        <f t="shared" si="189"/>
        <v>1892579.9478818462</v>
      </c>
      <c r="BS231" s="173">
        <f t="shared" si="190"/>
        <v>0</v>
      </c>
      <c r="BT231" s="173">
        <f t="shared" si="191"/>
        <v>1927052.6908300978</v>
      </c>
      <c r="BU231" s="173">
        <f t="shared" si="192"/>
        <v>0</v>
      </c>
      <c r="BV231" s="173">
        <f t="shared" si="193"/>
        <v>1965388.4860630257</v>
      </c>
    </row>
    <row r="232" spans="5:74">
      <c r="E232" s="87" t="s">
        <v>203</v>
      </c>
      <c r="F232" s="87" t="s">
        <v>204</v>
      </c>
      <c r="G232" s="173">
        <f>IFERROR(IF(VLOOKUP(E232,A:C,3,FALSE)="YES",VLOOKUP(E232,'School Year 2021-22 SPED coop'!A:P,16,FALSE),0),0)</f>
        <v>0</v>
      </c>
      <c r="H232" s="173">
        <f t="shared" si="194"/>
        <v>3275878.3800000004</v>
      </c>
      <c r="J232" s="87" t="s">
        <v>203</v>
      </c>
      <c r="K232" s="87" t="s">
        <v>204</v>
      </c>
      <c r="L232" s="173">
        <f t="shared" si="153"/>
        <v>0</v>
      </c>
      <c r="M232" s="173">
        <f t="shared" si="154"/>
        <v>3313213.1274896837</v>
      </c>
      <c r="N232" s="173">
        <f t="shared" si="155"/>
        <v>0</v>
      </c>
      <c r="O232" s="173">
        <f t="shared" si="156"/>
        <v>3423155.9167968896</v>
      </c>
      <c r="P232" s="173">
        <f t="shared" si="157"/>
        <v>0</v>
      </c>
      <c r="Q232" s="173">
        <f t="shared" si="158"/>
        <v>3487076.4893783955</v>
      </c>
      <c r="R232" s="173">
        <f t="shared" si="159"/>
        <v>0</v>
      </c>
      <c r="S232" s="173">
        <f t="shared" si="160"/>
        <v>3552257.2995256502</v>
      </c>
      <c r="U232" s="87" t="s">
        <v>203</v>
      </c>
      <c r="V232" s="87" t="s">
        <v>204</v>
      </c>
      <c r="W232" s="173">
        <f t="shared" si="161"/>
        <v>0</v>
      </c>
      <c r="X232" s="173">
        <f t="shared" si="195"/>
        <v>3313213.1274896837</v>
      </c>
      <c r="Y232" s="173">
        <f t="shared" si="196"/>
        <v>0</v>
      </c>
      <c r="Z232" s="173">
        <f t="shared" si="197"/>
        <v>3439944.1685353522</v>
      </c>
      <c r="AA232" s="173">
        <f t="shared" si="198"/>
        <v>0</v>
      </c>
      <c r="AB232" s="173">
        <f t="shared" si="199"/>
        <v>3506785.6394566596</v>
      </c>
      <c r="AC232" s="173">
        <f t="shared" si="200"/>
        <v>0</v>
      </c>
      <c r="AD232" s="173">
        <f t="shared" si="201"/>
        <v>3578484.3399982797</v>
      </c>
      <c r="AF232" s="87" t="s">
        <v>203</v>
      </c>
      <c r="AG232" s="87" t="s">
        <v>204</v>
      </c>
      <c r="AH232" s="173">
        <f t="shared" si="162"/>
        <v>0</v>
      </c>
      <c r="AI232" s="173">
        <f t="shared" si="163"/>
        <v>3313213.1274896837</v>
      </c>
      <c r="AJ232" s="173">
        <f t="shared" si="164"/>
        <v>0</v>
      </c>
      <c r="AK232" s="173">
        <f t="shared" si="165"/>
        <v>3416637.1597722005</v>
      </c>
      <c r="AL232" s="173">
        <f t="shared" si="166"/>
        <v>0</v>
      </c>
      <c r="AM232" s="173">
        <f t="shared" si="167"/>
        <v>3480603.3677275362</v>
      </c>
      <c r="AN232" s="173">
        <f t="shared" si="168"/>
        <v>0</v>
      </c>
      <c r="AO232" s="173">
        <f t="shared" si="169"/>
        <v>3545950.8957713149</v>
      </c>
      <c r="AQ232" s="87" t="s">
        <v>203</v>
      </c>
      <c r="AR232" s="87" t="s">
        <v>204</v>
      </c>
      <c r="AS232" s="173">
        <f t="shared" si="170"/>
        <v>0</v>
      </c>
      <c r="AT232" s="173">
        <f t="shared" si="171"/>
        <v>3313213.1274896837</v>
      </c>
      <c r="AU232" s="173">
        <f t="shared" si="172"/>
        <v>0</v>
      </c>
      <c r="AV232" s="173">
        <f t="shared" si="173"/>
        <v>3508711.8291257741</v>
      </c>
      <c r="AW232" s="173">
        <f t="shared" si="174"/>
        <v>0</v>
      </c>
      <c r="AX232" s="173">
        <f t="shared" si="175"/>
        <v>3571264.4283703556</v>
      </c>
      <c r="AY232" s="173">
        <f t="shared" si="176"/>
        <v>0</v>
      </c>
      <c r="AZ232" s="173">
        <f t="shared" si="177"/>
        <v>3638258.0497252368</v>
      </c>
      <c r="BB232" s="87" t="s">
        <v>203</v>
      </c>
      <c r="BC232" s="87" t="s">
        <v>204</v>
      </c>
      <c r="BD232" s="173">
        <f t="shared" si="178"/>
        <v>0</v>
      </c>
      <c r="BE232" s="173">
        <f t="shared" si="179"/>
        <v>3313213.1274896837</v>
      </c>
      <c r="BF232" s="173">
        <f t="shared" si="180"/>
        <v>0</v>
      </c>
      <c r="BG232" s="173">
        <f t="shared" si="181"/>
        <v>3525919.6773405718</v>
      </c>
      <c r="BH232" s="173">
        <f t="shared" si="182"/>
        <v>0</v>
      </c>
      <c r="BI232" s="173">
        <f t="shared" si="183"/>
        <v>3591449.413516914</v>
      </c>
      <c r="BJ232" s="173">
        <f t="shared" si="184"/>
        <v>0</v>
      </c>
      <c r="BK232" s="173">
        <f t="shared" si="185"/>
        <v>3665120.0452467185</v>
      </c>
      <c r="BM232" s="87" t="s">
        <v>203</v>
      </c>
      <c r="BN232" s="87" t="s">
        <v>204</v>
      </c>
      <c r="BO232" s="173">
        <f t="shared" si="186"/>
        <v>0</v>
      </c>
      <c r="BP232" s="173">
        <f t="shared" si="187"/>
        <v>3313213.1274896837</v>
      </c>
      <c r="BQ232" s="173">
        <f t="shared" si="188"/>
        <v>0</v>
      </c>
      <c r="BR232" s="173">
        <f t="shared" si="189"/>
        <v>3502027.3774703736</v>
      </c>
      <c r="BS232" s="173">
        <f t="shared" si="190"/>
        <v>0</v>
      </c>
      <c r="BT232" s="173">
        <f t="shared" si="191"/>
        <v>3564632.9812531942</v>
      </c>
      <c r="BU232" s="173">
        <f t="shared" si="192"/>
        <v>0</v>
      </c>
      <c r="BV232" s="173">
        <f t="shared" si="193"/>
        <v>3631796.8995245118</v>
      </c>
    </row>
    <row r="233" spans="5:74">
      <c r="E233" s="87" t="s">
        <v>519</v>
      </c>
      <c r="F233" s="87" t="s">
        <v>520</v>
      </c>
      <c r="G233" s="173">
        <f>IFERROR(IF(VLOOKUP(E233,A:C,3,FALSE)="YES",VLOOKUP(E233,'School Year 2021-22 SPED coop'!A:P,16,FALSE),0),0)</f>
        <v>0</v>
      </c>
      <c r="H233" s="173">
        <f t="shared" si="194"/>
        <v>2549554.37</v>
      </c>
      <c r="J233" s="87" t="s">
        <v>519</v>
      </c>
      <c r="K233" s="87" t="s">
        <v>520</v>
      </c>
      <c r="L233" s="173">
        <f t="shared" si="153"/>
        <v>0</v>
      </c>
      <c r="M233" s="173">
        <f t="shared" si="154"/>
        <v>2577800.8213884346</v>
      </c>
      <c r="N233" s="173">
        <f t="shared" si="155"/>
        <v>0</v>
      </c>
      <c r="O233" s="173">
        <f t="shared" si="156"/>
        <v>2665094.7392296055</v>
      </c>
      <c r="P233" s="173">
        <f t="shared" si="157"/>
        <v>0</v>
      </c>
      <c r="Q233" s="173">
        <f t="shared" si="158"/>
        <v>2714454.2605275316</v>
      </c>
      <c r="R233" s="173">
        <f t="shared" si="159"/>
        <v>0</v>
      </c>
      <c r="S233" s="173">
        <f t="shared" si="160"/>
        <v>2764430.2733906629</v>
      </c>
      <c r="U233" s="87" t="s">
        <v>519</v>
      </c>
      <c r="V233" s="87" t="s">
        <v>520</v>
      </c>
      <c r="W233" s="173">
        <f t="shared" si="161"/>
        <v>0</v>
      </c>
      <c r="X233" s="173">
        <f t="shared" si="195"/>
        <v>2577800.8213884346</v>
      </c>
      <c r="Y233" s="173">
        <f t="shared" si="196"/>
        <v>0</v>
      </c>
      <c r="Z233" s="173">
        <f t="shared" si="197"/>
        <v>2678154.6590705956</v>
      </c>
      <c r="AA233" s="173">
        <f t="shared" si="198"/>
        <v>0</v>
      </c>
      <c r="AB233" s="173">
        <f t="shared" si="199"/>
        <v>2729788.7741602915</v>
      </c>
      <c r="AC233" s="173">
        <f t="shared" si="200"/>
        <v>0</v>
      </c>
      <c r="AD233" s="173">
        <f t="shared" si="201"/>
        <v>2784843.8439085493</v>
      </c>
      <c r="AF233" s="87" t="s">
        <v>519</v>
      </c>
      <c r="AG233" s="87" t="s">
        <v>520</v>
      </c>
      <c r="AH233" s="173">
        <f t="shared" si="162"/>
        <v>0</v>
      </c>
      <c r="AI233" s="173">
        <f t="shared" si="163"/>
        <v>2577800.8213884346</v>
      </c>
      <c r="AJ233" s="173">
        <f t="shared" si="164"/>
        <v>0</v>
      </c>
      <c r="AK233" s="173">
        <f t="shared" si="165"/>
        <v>2642171.5209655822</v>
      </c>
      <c r="AL233" s="173">
        <f t="shared" si="166"/>
        <v>0</v>
      </c>
      <c r="AM233" s="173">
        <f t="shared" si="167"/>
        <v>2699133.9027619893</v>
      </c>
      <c r="AN233" s="173">
        <f t="shared" si="168"/>
        <v>0</v>
      </c>
      <c r="AO233" s="173">
        <f t="shared" si="169"/>
        <v>2748985.4783707978</v>
      </c>
      <c r="AQ233" s="87" t="s">
        <v>519</v>
      </c>
      <c r="AR233" s="87" t="s">
        <v>520</v>
      </c>
      <c r="AS233" s="173">
        <f t="shared" si="170"/>
        <v>0</v>
      </c>
      <c r="AT233" s="173">
        <f t="shared" si="171"/>
        <v>2577800.8213884346</v>
      </c>
      <c r="AU233" s="173">
        <f t="shared" si="172"/>
        <v>0</v>
      </c>
      <c r="AV233" s="173">
        <f t="shared" si="173"/>
        <v>2730699.5798559813</v>
      </c>
      <c r="AW233" s="173">
        <f t="shared" si="174"/>
        <v>0</v>
      </c>
      <c r="AX233" s="173">
        <f t="shared" si="175"/>
        <v>2778658.5081384224</v>
      </c>
      <c r="AY233" s="173">
        <f t="shared" si="176"/>
        <v>0</v>
      </c>
      <c r="AZ233" s="173">
        <f t="shared" si="177"/>
        <v>2830022.257584733</v>
      </c>
      <c r="BB233" s="87" t="s">
        <v>519</v>
      </c>
      <c r="BC233" s="87" t="s">
        <v>520</v>
      </c>
      <c r="BD233" s="173">
        <f t="shared" si="178"/>
        <v>0</v>
      </c>
      <c r="BE233" s="173">
        <f t="shared" si="179"/>
        <v>2577800.8213884346</v>
      </c>
      <c r="BF233" s="173">
        <f t="shared" si="180"/>
        <v>0</v>
      </c>
      <c r="BG233" s="173">
        <f t="shared" si="181"/>
        <v>2744080.9833727838</v>
      </c>
      <c r="BH233" s="173">
        <f t="shared" si="182"/>
        <v>0</v>
      </c>
      <c r="BI233" s="173">
        <f t="shared" si="183"/>
        <v>2794355.7212911681</v>
      </c>
      <c r="BJ233" s="173">
        <f t="shared" si="184"/>
        <v>0</v>
      </c>
      <c r="BK233" s="173">
        <f t="shared" si="185"/>
        <v>2850920.1810295018</v>
      </c>
      <c r="BM233" s="87" t="s">
        <v>519</v>
      </c>
      <c r="BN233" s="87" t="s">
        <v>520</v>
      </c>
      <c r="BO233" s="173">
        <f t="shared" si="186"/>
        <v>0</v>
      </c>
      <c r="BP233" s="173">
        <f t="shared" si="187"/>
        <v>2577800.8213884346</v>
      </c>
      <c r="BQ233" s="173">
        <f t="shared" si="188"/>
        <v>0</v>
      </c>
      <c r="BR233" s="173">
        <f t="shared" si="189"/>
        <v>2707203.2059514509</v>
      </c>
      <c r="BS233" s="173">
        <f t="shared" si="190"/>
        <v>0</v>
      </c>
      <c r="BT233" s="173">
        <f t="shared" si="191"/>
        <v>2762972.6103843469</v>
      </c>
      <c r="BU233" s="173">
        <f t="shared" si="192"/>
        <v>0</v>
      </c>
      <c r="BV233" s="173">
        <f t="shared" si="193"/>
        <v>2814207.8705175314</v>
      </c>
    </row>
    <row r="234" spans="5:74">
      <c r="E234" s="87" t="s">
        <v>263</v>
      </c>
      <c r="F234" s="87" t="s">
        <v>264</v>
      </c>
      <c r="G234" s="173">
        <f>IFERROR(IF(VLOOKUP(E234,A:C,3,FALSE)="YES",VLOOKUP(E234,'School Year 2021-22 SPED coop'!A:P,16,FALSE),0),0)</f>
        <v>50088.73</v>
      </c>
      <c r="H234" s="173">
        <f t="shared" si="194"/>
        <v>0</v>
      </c>
      <c r="J234" s="87" t="s">
        <v>263</v>
      </c>
      <c r="K234" s="87" t="s">
        <v>264</v>
      </c>
      <c r="L234" s="173">
        <f t="shared" si="153"/>
        <v>52573.259702966912</v>
      </c>
      <c r="M234" s="173">
        <f t="shared" si="154"/>
        <v>0</v>
      </c>
      <c r="N234" s="173">
        <f t="shared" si="155"/>
        <v>54350.752664481566</v>
      </c>
      <c r="O234" s="173">
        <f t="shared" si="156"/>
        <v>0</v>
      </c>
      <c r="P234" s="173">
        <f t="shared" si="157"/>
        <v>55356.604914471078</v>
      </c>
      <c r="Q234" s="173">
        <f t="shared" si="158"/>
        <v>0</v>
      </c>
      <c r="R234" s="173">
        <f t="shared" si="159"/>
        <v>56374.396982002792</v>
      </c>
      <c r="S234" s="173">
        <f t="shared" si="160"/>
        <v>0</v>
      </c>
      <c r="U234" s="87" t="s">
        <v>263</v>
      </c>
      <c r="V234" s="87" t="s">
        <v>264</v>
      </c>
      <c r="W234" s="173">
        <f t="shared" si="161"/>
        <v>52573.259702966912</v>
      </c>
      <c r="X234" s="173">
        <f t="shared" si="195"/>
        <v>0</v>
      </c>
      <c r="Y234" s="173">
        <f t="shared" si="196"/>
        <v>54350.752664481566</v>
      </c>
      <c r="Z234" s="173">
        <f t="shared" si="197"/>
        <v>0</v>
      </c>
      <c r="AA234" s="173">
        <f t="shared" si="198"/>
        <v>55356.604914471078</v>
      </c>
      <c r="AB234" s="173">
        <f t="shared" si="199"/>
        <v>0</v>
      </c>
      <c r="AC234" s="173">
        <f t="shared" si="200"/>
        <v>56374.396982002792</v>
      </c>
      <c r="AD234" s="173">
        <f t="shared" si="201"/>
        <v>0</v>
      </c>
      <c r="AF234" s="87" t="s">
        <v>263</v>
      </c>
      <c r="AG234" s="87" t="s">
        <v>264</v>
      </c>
      <c r="AH234" s="173">
        <f t="shared" si="162"/>
        <v>52573.259702966912</v>
      </c>
      <c r="AI234" s="173">
        <f t="shared" si="163"/>
        <v>0</v>
      </c>
      <c r="AJ234" s="173">
        <f t="shared" si="164"/>
        <v>53765.416452718368</v>
      </c>
      <c r="AK234" s="173">
        <f t="shared" si="165"/>
        <v>0</v>
      </c>
      <c r="AL234" s="173">
        <f t="shared" si="166"/>
        <v>54527.552565409867</v>
      </c>
      <c r="AM234" s="173">
        <f t="shared" si="167"/>
        <v>0</v>
      </c>
      <c r="AN234" s="173">
        <f t="shared" si="168"/>
        <v>56320.400986136323</v>
      </c>
      <c r="AO234" s="173">
        <f t="shared" si="169"/>
        <v>0</v>
      </c>
      <c r="AQ234" s="87" t="s">
        <v>263</v>
      </c>
      <c r="AR234" s="87" t="s">
        <v>264</v>
      </c>
      <c r="AS234" s="173">
        <f t="shared" si="170"/>
        <v>52573.259702966912</v>
      </c>
      <c r="AT234" s="173">
        <f t="shared" si="171"/>
        <v>0</v>
      </c>
      <c r="AU234" s="173">
        <f t="shared" si="172"/>
        <v>55688.688811598906</v>
      </c>
      <c r="AV234" s="173">
        <f t="shared" si="173"/>
        <v>0</v>
      </c>
      <c r="AW234" s="173">
        <f t="shared" si="174"/>
        <v>56665.435318206823</v>
      </c>
      <c r="AX234" s="173">
        <f t="shared" si="175"/>
        <v>0</v>
      </c>
      <c r="AY234" s="173">
        <f t="shared" si="176"/>
        <v>57711.517393546375</v>
      </c>
      <c r="AZ234" s="173">
        <f t="shared" si="177"/>
        <v>0</v>
      </c>
      <c r="BB234" s="87" t="s">
        <v>263</v>
      </c>
      <c r="BC234" s="87" t="s">
        <v>264</v>
      </c>
      <c r="BD234" s="173">
        <f t="shared" si="178"/>
        <v>52573.259702966912</v>
      </c>
      <c r="BE234" s="173">
        <f t="shared" si="179"/>
        <v>0</v>
      </c>
      <c r="BF234" s="173">
        <f t="shared" si="180"/>
        <v>55688.688811598906</v>
      </c>
      <c r="BG234" s="173">
        <f t="shared" si="181"/>
        <v>0</v>
      </c>
      <c r="BH234" s="173">
        <f t="shared" si="182"/>
        <v>56665.435318206823</v>
      </c>
      <c r="BI234" s="173">
        <f t="shared" si="183"/>
        <v>0</v>
      </c>
      <c r="BJ234" s="173">
        <f t="shared" si="184"/>
        <v>57711.517393546375</v>
      </c>
      <c r="BK234" s="173">
        <f t="shared" si="185"/>
        <v>0</v>
      </c>
      <c r="BM234" s="87" t="s">
        <v>263</v>
      </c>
      <c r="BN234" s="87" t="s">
        <v>264</v>
      </c>
      <c r="BO234" s="173">
        <f t="shared" si="186"/>
        <v>52573.259702966912</v>
      </c>
      <c r="BP234" s="173">
        <f t="shared" si="187"/>
        <v>0</v>
      </c>
      <c r="BQ234" s="173">
        <f t="shared" si="188"/>
        <v>55088.700893013949</v>
      </c>
      <c r="BR234" s="173">
        <f t="shared" si="189"/>
        <v>0</v>
      </c>
      <c r="BS234" s="173">
        <f t="shared" si="190"/>
        <v>55816.492813651945</v>
      </c>
      <c r="BT234" s="173">
        <f t="shared" si="191"/>
        <v>0</v>
      </c>
      <c r="BU234" s="173">
        <f t="shared" si="192"/>
        <v>57656.222270507031</v>
      </c>
      <c r="BV234" s="173">
        <f t="shared" si="193"/>
        <v>0</v>
      </c>
    </row>
    <row r="235" spans="5:74">
      <c r="E235" s="87" t="s">
        <v>575</v>
      </c>
      <c r="F235" s="87" t="s">
        <v>576</v>
      </c>
      <c r="G235" s="173">
        <f>IFERROR(IF(VLOOKUP(E235,A:C,3,FALSE)="YES",VLOOKUP(E235,'School Year 2021-22 SPED coop'!A:P,16,FALSE),0),0)</f>
        <v>0</v>
      </c>
      <c r="H235" s="173">
        <f t="shared" si="194"/>
        <v>172023.87999999998</v>
      </c>
      <c r="J235" s="87" t="s">
        <v>575</v>
      </c>
      <c r="K235" s="87" t="s">
        <v>576</v>
      </c>
      <c r="L235" s="173">
        <f t="shared" si="153"/>
        <v>0</v>
      </c>
      <c r="M235" s="173">
        <f t="shared" si="154"/>
        <v>174010.49802843464</v>
      </c>
      <c r="N235" s="173">
        <f t="shared" si="155"/>
        <v>0</v>
      </c>
      <c r="O235" s="173">
        <f t="shared" si="156"/>
        <v>179882.9177877834</v>
      </c>
      <c r="P235" s="173">
        <f t="shared" si="157"/>
        <v>0</v>
      </c>
      <c r="Q235" s="173">
        <f t="shared" si="158"/>
        <v>183219.70452312424</v>
      </c>
      <c r="R235" s="173">
        <f t="shared" si="159"/>
        <v>0</v>
      </c>
      <c r="S235" s="173">
        <f t="shared" si="160"/>
        <v>186602.5691358514</v>
      </c>
      <c r="U235" s="87" t="s">
        <v>575</v>
      </c>
      <c r="V235" s="87" t="s">
        <v>576</v>
      </c>
      <c r="W235" s="173">
        <f t="shared" si="161"/>
        <v>0</v>
      </c>
      <c r="X235" s="173">
        <f t="shared" si="195"/>
        <v>174010.49802843464</v>
      </c>
      <c r="Y235" s="173">
        <f t="shared" si="196"/>
        <v>0</v>
      </c>
      <c r="Z235" s="173">
        <f t="shared" si="197"/>
        <v>180766.96597655036</v>
      </c>
      <c r="AA235" s="173">
        <f t="shared" si="198"/>
        <v>0</v>
      </c>
      <c r="AB235" s="173">
        <f t="shared" si="199"/>
        <v>184254.66285378294</v>
      </c>
      <c r="AC235" s="173">
        <f t="shared" si="200"/>
        <v>0</v>
      </c>
      <c r="AD235" s="173">
        <f t="shared" si="201"/>
        <v>187969.37437397212</v>
      </c>
      <c r="AF235" s="87" t="s">
        <v>575</v>
      </c>
      <c r="AG235" s="87" t="s">
        <v>576</v>
      </c>
      <c r="AH235" s="173">
        <f t="shared" si="162"/>
        <v>0</v>
      </c>
      <c r="AI235" s="173">
        <f t="shared" si="163"/>
        <v>174010.49802843464</v>
      </c>
      <c r="AJ235" s="173">
        <f t="shared" si="164"/>
        <v>0</v>
      </c>
      <c r="AK235" s="173">
        <f t="shared" si="165"/>
        <v>182078.28798466414</v>
      </c>
      <c r="AL235" s="173">
        <f t="shared" si="166"/>
        <v>0</v>
      </c>
      <c r="AM235" s="173">
        <f t="shared" si="167"/>
        <v>183951.52470184813</v>
      </c>
      <c r="AN235" s="173">
        <f t="shared" si="168"/>
        <v>0</v>
      </c>
      <c r="AO235" s="173">
        <f t="shared" si="169"/>
        <v>186115.69791161988</v>
      </c>
      <c r="AQ235" s="87" t="s">
        <v>575</v>
      </c>
      <c r="AR235" s="87" t="s">
        <v>576</v>
      </c>
      <c r="AS235" s="173">
        <f t="shared" si="170"/>
        <v>0</v>
      </c>
      <c r="AT235" s="173">
        <f t="shared" si="171"/>
        <v>174010.49802843464</v>
      </c>
      <c r="AU235" s="173">
        <f t="shared" si="172"/>
        <v>0</v>
      </c>
      <c r="AV235" s="173">
        <f t="shared" si="173"/>
        <v>184324.99205687316</v>
      </c>
      <c r="AW235" s="173">
        <f t="shared" si="174"/>
        <v>0</v>
      </c>
      <c r="AX235" s="173">
        <f t="shared" si="175"/>
        <v>187571.37346184181</v>
      </c>
      <c r="AY235" s="173">
        <f t="shared" si="176"/>
        <v>0</v>
      </c>
      <c r="AZ235" s="173">
        <f t="shared" si="177"/>
        <v>191048.22868724592</v>
      </c>
      <c r="BB235" s="87" t="s">
        <v>575</v>
      </c>
      <c r="BC235" s="87" t="s">
        <v>576</v>
      </c>
      <c r="BD235" s="173">
        <f t="shared" si="178"/>
        <v>0</v>
      </c>
      <c r="BE235" s="173">
        <f t="shared" si="179"/>
        <v>174010.49802843464</v>
      </c>
      <c r="BF235" s="173">
        <f t="shared" si="180"/>
        <v>0</v>
      </c>
      <c r="BG235" s="173">
        <f t="shared" si="181"/>
        <v>185230.87233473297</v>
      </c>
      <c r="BH235" s="173">
        <f t="shared" si="182"/>
        <v>0</v>
      </c>
      <c r="BI235" s="173">
        <f t="shared" si="183"/>
        <v>188630.91287909291</v>
      </c>
      <c r="BJ235" s="173">
        <f t="shared" si="184"/>
        <v>0</v>
      </c>
      <c r="BK235" s="173">
        <f t="shared" si="185"/>
        <v>192447.59098111361</v>
      </c>
      <c r="BM235" s="87" t="s">
        <v>575</v>
      </c>
      <c r="BN235" s="87" t="s">
        <v>576</v>
      </c>
      <c r="BO235" s="173">
        <f t="shared" si="186"/>
        <v>0</v>
      </c>
      <c r="BP235" s="173">
        <f t="shared" si="187"/>
        <v>174010.49802843464</v>
      </c>
      <c r="BQ235" s="173">
        <f t="shared" si="188"/>
        <v>0</v>
      </c>
      <c r="BR235" s="173">
        <f t="shared" si="189"/>
        <v>186575.46473199443</v>
      </c>
      <c r="BS235" s="173">
        <f t="shared" si="190"/>
        <v>0</v>
      </c>
      <c r="BT235" s="173">
        <f t="shared" si="191"/>
        <v>188320.52066420615</v>
      </c>
      <c r="BU235" s="173">
        <f t="shared" si="192"/>
        <v>0</v>
      </c>
      <c r="BV235" s="173">
        <f t="shared" si="193"/>
        <v>190549.30665922037</v>
      </c>
    </row>
    <row r="236" spans="5:74">
      <c r="E236" s="87" t="s">
        <v>131</v>
      </c>
      <c r="F236" s="87" t="s">
        <v>132</v>
      </c>
      <c r="G236" s="173">
        <f>IFERROR(IF(VLOOKUP(E236,A:C,3,FALSE)="YES",VLOOKUP(E236,'School Year 2021-22 SPED coop'!A:P,16,FALSE),0),0)</f>
        <v>0</v>
      </c>
      <c r="H236" s="173">
        <f t="shared" si="194"/>
        <v>2158291.2400000002</v>
      </c>
      <c r="J236" s="87" t="s">
        <v>131</v>
      </c>
      <c r="K236" s="87" t="s">
        <v>132</v>
      </c>
      <c r="L236" s="173">
        <f t="shared" si="153"/>
        <v>0</v>
      </c>
      <c r="M236" s="173">
        <f t="shared" si="154"/>
        <v>2182986.048056474</v>
      </c>
      <c r="N236" s="173">
        <f t="shared" si="155"/>
        <v>0</v>
      </c>
      <c r="O236" s="173">
        <f t="shared" si="156"/>
        <v>2256968.1803730456</v>
      </c>
      <c r="P236" s="173">
        <f t="shared" si="157"/>
        <v>0</v>
      </c>
      <c r="Q236" s="173">
        <f t="shared" si="158"/>
        <v>2298770.623510066</v>
      </c>
      <c r="R236" s="173">
        <f t="shared" si="159"/>
        <v>0</v>
      </c>
      <c r="S236" s="173">
        <f t="shared" si="160"/>
        <v>2341096.6535543296</v>
      </c>
      <c r="U236" s="87" t="s">
        <v>131</v>
      </c>
      <c r="V236" s="87" t="s">
        <v>132</v>
      </c>
      <c r="W236" s="173">
        <f t="shared" si="161"/>
        <v>0</v>
      </c>
      <c r="X236" s="173">
        <f t="shared" si="195"/>
        <v>2182986.048056474</v>
      </c>
      <c r="Y236" s="173">
        <f t="shared" si="196"/>
        <v>0</v>
      </c>
      <c r="Z236" s="173">
        <f t="shared" si="197"/>
        <v>2268027.1805648869</v>
      </c>
      <c r="AA236" s="173">
        <f t="shared" si="198"/>
        <v>0</v>
      </c>
      <c r="AB236" s="173">
        <f t="shared" si="199"/>
        <v>2311768.2937984336</v>
      </c>
      <c r="AC236" s="173">
        <f t="shared" si="200"/>
        <v>0</v>
      </c>
      <c r="AD236" s="173">
        <f t="shared" si="201"/>
        <v>2358384.7902171495</v>
      </c>
      <c r="AF236" s="87" t="s">
        <v>131</v>
      </c>
      <c r="AG236" s="87" t="s">
        <v>132</v>
      </c>
      <c r="AH236" s="173">
        <f t="shared" si="162"/>
        <v>0</v>
      </c>
      <c r="AI236" s="173">
        <f t="shared" si="163"/>
        <v>2182986.048056474</v>
      </c>
      <c r="AJ236" s="173">
        <f t="shared" si="164"/>
        <v>0</v>
      </c>
      <c r="AK236" s="173">
        <f t="shared" si="165"/>
        <v>2258077.9190528169</v>
      </c>
      <c r="AL236" s="173">
        <f t="shared" si="166"/>
        <v>0</v>
      </c>
      <c r="AM236" s="173">
        <f t="shared" si="167"/>
        <v>2304509.1127412408</v>
      </c>
      <c r="AN236" s="173">
        <f t="shared" si="168"/>
        <v>0</v>
      </c>
      <c r="AO236" s="173">
        <f t="shared" si="169"/>
        <v>2346630.0410733274</v>
      </c>
      <c r="AQ236" s="87" t="s">
        <v>131</v>
      </c>
      <c r="AR236" s="87" t="s">
        <v>132</v>
      </c>
      <c r="AS236" s="173">
        <f t="shared" si="170"/>
        <v>0</v>
      </c>
      <c r="AT236" s="173">
        <f t="shared" si="171"/>
        <v>2182986.048056474</v>
      </c>
      <c r="AU236" s="173">
        <f t="shared" si="172"/>
        <v>0</v>
      </c>
      <c r="AV236" s="173">
        <f t="shared" si="173"/>
        <v>2312517.1339348792</v>
      </c>
      <c r="AW236" s="173">
        <f t="shared" si="174"/>
        <v>0</v>
      </c>
      <c r="AX236" s="173">
        <f t="shared" si="175"/>
        <v>2353134.5971541302</v>
      </c>
      <c r="AY236" s="173">
        <f t="shared" si="176"/>
        <v>0</v>
      </c>
      <c r="AZ236" s="173">
        <f t="shared" si="177"/>
        <v>2396635.6642340212</v>
      </c>
      <c r="BB236" s="87" t="s">
        <v>131</v>
      </c>
      <c r="BC236" s="87" t="s">
        <v>132</v>
      </c>
      <c r="BD236" s="173">
        <f t="shared" si="178"/>
        <v>0</v>
      </c>
      <c r="BE236" s="173">
        <f t="shared" si="179"/>
        <v>2182986.048056474</v>
      </c>
      <c r="BF236" s="173">
        <f t="shared" si="180"/>
        <v>0</v>
      </c>
      <c r="BG236" s="173">
        <f t="shared" si="181"/>
        <v>2323848.3169049174</v>
      </c>
      <c r="BH236" s="173">
        <f t="shared" si="182"/>
        <v>0</v>
      </c>
      <c r="BI236" s="173">
        <f t="shared" si="183"/>
        <v>2366439.653731321</v>
      </c>
      <c r="BJ236" s="173">
        <f t="shared" si="184"/>
        <v>0</v>
      </c>
      <c r="BK236" s="173">
        <f t="shared" si="185"/>
        <v>2414333.9342672219</v>
      </c>
      <c r="BM236" s="87" t="s">
        <v>131</v>
      </c>
      <c r="BN236" s="87" t="s">
        <v>132</v>
      </c>
      <c r="BO236" s="173">
        <f t="shared" si="186"/>
        <v>0</v>
      </c>
      <c r="BP236" s="173">
        <f t="shared" si="187"/>
        <v>2182986.048056474</v>
      </c>
      <c r="BQ236" s="173">
        <f t="shared" si="188"/>
        <v>0</v>
      </c>
      <c r="BR236" s="173">
        <f t="shared" si="189"/>
        <v>2313656.2345116348</v>
      </c>
      <c r="BS236" s="173">
        <f t="shared" si="190"/>
        <v>0</v>
      </c>
      <c r="BT236" s="173">
        <f t="shared" si="191"/>
        <v>2359016.1403338588</v>
      </c>
      <c r="BU236" s="173">
        <f t="shared" si="192"/>
        <v>0</v>
      </c>
      <c r="BV236" s="173">
        <f t="shared" si="193"/>
        <v>2402308.6017287844</v>
      </c>
    </row>
    <row r="237" spans="5:74">
      <c r="E237" s="87" t="s">
        <v>399</v>
      </c>
      <c r="F237" s="87" t="s">
        <v>400</v>
      </c>
      <c r="G237" s="173">
        <f>IFERROR(IF(VLOOKUP(E237,A:C,3,FALSE)="YES",VLOOKUP(E237,'School Year 2021-22 SPED coop'!A:P,16,FALSE),0),0)</f>
        <v>0</v>
      </c>
      <c r="H237" s="173">
        <f t="shared" si="194"/>
        <v>1032316.3699999999</v>
      </c>
      <c r="J237" s="87" t="s">
        <v>399</v>
      </c>
      <c r="K237" s="87" t="s">
        <v>400</v>
      </c>
      <c r="L237" s="173">
        <f t="shared" si="153"/>
        <v>0</v>
      </c>
      <c r="M237" s="173">
        <f t="shared" si="154"/>
        <v>1044378.8546325611</v>
      </c>
      <c r="N237" s="173">
        <f t="shared" si="155"/>
        <v>0</v>
      </c>
      <c r="O237" s="173">
        <f t="shared" si="156"/>
        <v>1079273.4446419999</v>
      </c>
      <c r="P237" s="173">
        <f t="shared" si="157"/>
        <v>0</v>
      </c>
      <c r="Q237" s="173">
        <f t="shared" si="158"/>
        <v>1099378.1408339331</v>
      </c>
      <c r="R237" s="173">
        <f t="shared" si="159"/>
        <v>0</v>
      </c>
      <c r="S237" s="173">
        <f t="shared" si="160"/>
        <v>1119836.4356925238</v>
      </c>
      <c r="U237" s="87" t="s">
        <v>399</v>
      </c>
      <c r="V237" s="87" t="s">
        <v>400</v>
      </c>
      <c r="W237" s="173">
        <f t="shared" si="161"/>
        <v>0</v>
      </c>
      <c r="X237" s="173">
        <f t="shared" si="195"/>
        <v>1044378.8546325611</v>
      </c>
      <c r="Y237" s="173">
        <f t="shared" si="196"/>
        <v>0</v>
      </c>
      <c r="Z237" s="173">
        <f t="shared" si="197"/>
        <v>1084570.8580617579</v>
      </c>
      <c r="AA237" s="173">
        <f t="shared" si="198"/>
        <v>0</v>
      </c>
      <c r="AB237" s="173">
        <f t="shared" si="199"/>
        <v>1105604.4139385002</v>
      </c>
      <c r="AC237" s="173">
        <f t="shared" si="200"/>
        <v>0</v>
      </c>
      <c r="AD237" s="173">
        <f t="shared" si="201"/>
        <v>1128121.2992290049</v>
      </c>
      <c r="AF237" s="87" t="s">
        <v>399</v>
      </c>
      <c r="AG237" s="87" t="s">
        <v>400</v>
      </c>
      <c r="AH237" s="173">
        <f t="shared" si="162"/>
        <v>0</v>
      </c>
      <c r="AI237" s="173">
        <f t="shared" si="163"/>
        <v>1044378.8546325611</v>
      </c>
      <c r="AJ237" s="173">
        <f t="shared" si="164"/>
        <v>0</v>
      </c>
      <c r="AK237" s="173">
        <f t="shared" si="165"/>
        <v>1081583.7248405647</v>
      </c>
      <c r="AL237" s="173">
        <f t="shared" si="166"/>
        <v>0</v>
      </c>
      <c r="AM237" s="173">
        <f t="shared" si="167"/>
        <v>1101522.2576974863</v>
      </c>
      <c r="AN237" s="173">
        <f t="shared" si="168"/>
        <v>0</v>
      </c>
      <c r="AO237" s="173">
        <f t="shared" si="169"/>
        <v>1122612.7061933219</v>
      </c>
      <c r="AQ237" s="87" t="s">
        <v>399</v>
      </c>
      <c r="AR237" s="87" t="s">
        <v>400</v>
      </c>
      <c r="AS237" s="173">
        <f t="shared" si="170"/>
        <v>0</v>
      </c>
      <c r="AT237" s="173">
        <f t="shared" si="171"/>
        <v>1044378.8546325611</v>
      </c>
      <c r="AU237" s="173">
        <f t="shared" si="172"/>
        <v>0</v>
      </c>
      <c r="AV237" s="173">
        <f t="shared" si="173"/>
        <v>1106119.913951745</v>
      </c>
      <c r="AW237" s="173">
        <f t="shared" si="174"/>
        <v>0</v>
      </c>
      <c r="AX237" s="173">
        <f t="shared" si="175"/>
        <v>1125752.9060817112</v>
      </c>
      <c r="AY237" s="173">
        <f t="shared" si="176"/>
        <v>0</v>
      </c>
      <c r="AZ237" s="173">
        <f t="shared" si="177"/>
        <v>1146779.7775369582</v>
      </c>
      <c r="BB237" s="87" t="s">
        <v>399</v>
      </c>
      <c r="BC237" s="87" t="s">
        <v>400</v>
      </c>
      <c r="BD237" s="173">
        <f t="shared" si="178"/>
        <v>0</v>
      </c>
      <c r="BE237" s="173">
        <f t="shared" si="179"/>
        <v>1044378.8546325611</v>
      </c>
      <c r="BF237" s="173">
        <f t="shared" si="180"/>
        <v>0</v>
      </c>
      <c r="BG237" s="173">
        <f t="shared" si="181"/>
        <v>1111549.1016771568</v>
      </c>
      <c r="BH237" s="173">
        <f t="shared" si="182"/>
        <v>0</v>
      </c>
      <c r="BI237" s="173">
        <f t="shared" si="183"/>
        <v>1132128.5581774255</v>
      </c>
      <c r="BJ237" s="173">
        <f t="shared" si="184"/>
        <v>0</v>
      </c>
      <c r="BK237" s="173">
        <f t="shared" si="185"/>
        <v>1155263.9828261777</v>
      </c>
      <c r="BM237" s="87" t="s">
        <v>399</v>
      </c>
      <c r="BN237" s="87" t="s">
        <v>400</v>
      </c>
      <c r="BO237" s="173">
        <f t="shared" si="186"/>
        <v>0</v>
      </c>
      <c r="BP237" s="173">
        <f t="shared" si="187"/>
        <v>1044378.8546325611</v>
      </c>
      <c r="BQ237" s="173">
        <f t="shared" si="188"/>
        <v>0</v>
      </c>
      <c r="BR237" s="173">
        <f t="shared" si="189"/>
        <v>1108488.98690821</v>
      </c>
      <c r="BS237" s="173">
        <f t="shared" si="190"/>
        <v>0</v>
      </c>
      <c r="BT237" s="173">
        <f t="shared" si="191"/>
        <v>1127949.4568697009</v>
      </c>
      <c r="BU237" s="173">
        <f t="shared" si="192"/>
        <v>0</v>
      </c>
      <c r="BV237" s="173">
        <f t="shared" si="193"/>
        <v>1149623.9519317427</v>
      </c>
    </row>
    <row r="238" spans="5:74">
      <c r="E238" s="87" t="s">
        <v>159</v>
      </c>
      <c r="F238" s="87" t="s">
        <v>160</v>
      </c>
      <c r="G238" s="173">
        <f>IFERROR(IF(VLOOKUP(E238,A:C,3,FALSE)="YES",VLOOKUP(E238,'School Year 2021-22 SPED coop'!A:P,16,FALSE),0),0)</f>
        <v>0</v>
      </c>
      <c r="H238" s="173">
        <f t="shared" si="194"/>
        <v>67364.820000000007</v>
      </c>
      <c r="J238" s="87" t="s">
        <v>159</v>
      </c>
      <c r="K238" s="87" t="s">
        <v>160</v>
      </c>
      <c r="L238" s="173">
        <f t="shared" si="153"/>
        <v>0</v>
      </c>
      <c r="M238" s="173">
        <f t="shared" si="154"/>
        <v>68115.135744228697</v>
      </c>
      <c r="N238" s="173">
        <f t="shared" si="155"/>
        <v>0</v>
      </c>
      <c r="O238" s="173">
        <f t="shared" si="156"/>
        <v>70413.562918420532</v>
      </c>
      <c r="P238" s="173">
        <f t="shared" si="157"/>
        <v>0</v>
      </c>
      <c r="Q238" s="173">
        <f t="shared" si="158"/>
        <v>71716.518330977211</v>
      </c>
      <c r="R238" s="173">
        <f t="shared" si="159"/>
        <v>0</v>
      </c>
      <c r="S238" s="173">
        <f t="shared" si="160"/>
        <v>73034.798242595076</v>
      </c>
      <c r="U238" s="87" t="s">
        <v>159</v>
      </c>
      <c r="V238" s="87" t="s">
        <v>160</v>
      </c>
      <c r="W238" s="173">
        <f t="shared" si="161"/>
        <v>0</v>
      </c>
      <c r="X238" s="173">
        <f t="shared" si="195"/>
        <v>68115.135744228697</v>
      </c>
      <c r="Y238" s="173">
        <f t="shared" si="196"/>
        <v>0</v>
      </c>
      <c r="Z238" s="173">
        <f t="shared" si="197"/>
        <v>70413.562918420532</v>
      </c>
      <c r="AA238" s="173">
        <f t="shared" si="198"/>
        <v>0</v>
      </c>
      <c r="AB238" s="173">
        <f t="shared" si="199"/>
        <v>71716.518330977211</v>
      </c>
      <c r="AC238" s="173">
        <f t="shared" si="200"/>
        <v>0</v>
      </c>
      <c r="AD238" s="173">
        <f t="shared" si="201"/>
        <v>73034.798242595076</v>
      </c>
      <c r="AF238" s="87" t="s">
        <v>159</v>
      </c>
      <c r="AG238" s="87" t="s">
        <v>160</v>
      </c>
      <c r="AH238" s="173">
        <f t="shared" si="162"/>
        <v>0</v>
      </c>
      <c r="AI238" s="173">
        <f t="shared" si="163"/>
        <v>68115.135744228697</v>
      </c>
      <c r="AJ238" s="173">
        <f t="shared" si="164"/>
        <v>0</v>
      </c>
      <c r="AK238" s="173">
        <f t="shared" si="165"/>
        <v>72249.219989824138</v>
      </c>
      <c r="AL238" s="173">
        <f t="shared" si="166"/>
        <v>0</v>
      </c>
      <c r="AM238" s="173">
        <f t="shared" si="167"/>
        <v>73585.978161922685</v>
      </c>
      <c r="AN238" s="173">
        <f t="shared" si="168"/>
        <v>0</v>
      </c>
      <c r="AO238" s="173">
        <f t="shared" si="169"/>
        <v>74938.317468707464</v>
      </c>
      <c r="AQ238" s="87" t="s">
        <v>159</v>
      </c>
      <c r="AR238" s="87" t="s">
        <v>160</v>
      </c>
      <c r="AS238" s="173">
        <f t="shared" si="170"/>
        <v>0</v>
      </c>
      <c r="AT238" s="173">
        <f t="shared" si="171"/>
        <v>68115.135744228697</v>
      </c>
      <c r="AU238" s="173">
        <f t="shared" si="172"/>
        <v>0</v>
      </c>
      <c r="AV238" s="173">
        <f t="shared" si="173"/>
        <v>72147.654421352461</v>
      </c>
      <c r="AW238" s="173">
        <f t="shared" si="174"/>
        <v>0</v>
      </c>
      <c r="AX238" s="173">
        <f t="shared" si="175"/>
        <v>73412.791479701147</v>
      </c>
      <c r="AY238" s="173">
        <f t="shared" si="176"/>
        <v>0</v>
      </c>
      <c r="AZ238" s="173">
        <f t="shared" si="177"/>
        <v>74767.736310338019</v>
      </c>
      <c r="BB238" s="87" t="s">
        <v>159</v>
      </c>
      <c r="BC238" s="87" t="s">
        <v>160</v>
      </c>
      <c r="BD238" s="173">
        <f t="shared" si="178"/>
        <v>0</v>
      </c>
      <c r="BE238" s="173">
        <f t="shared" si="179"/>
        <v>68115.135744228697</v>
      </c>
      <c r="BF238" s="173">
        <f t="shared" si="180"/>
        <v>0</v>
      </c>
      <c r="BG238" s="173">
        <f t="shared" si="181"/>
        <v>72147.654421352461</v>
      </c>
      <c r="BH238" s="173">
        <f t="shared" si="182"/>
        <v>0</v>
      </c>
      <c r="BI238" s="173">
        <f t="shared" si="183"/>
        <v>73412.791479701147</v>
      </c>
      <c r="BJ238" s="173">
        <f t="shared" si="184"/>
        <v>0</v>
      </c>
      <c r="BK238" s="173">
        <f t="shared" si="185"/>
        <v>74767.736310338019</v>
      </c>
      <c r="BM238" s="87" t="s">
        <v>159</v>
      </c>
      <c r="BN238" s="87" t="s">
        <v>160</v>
      </c>
      <c r="BO238" s="173">
        <f t="shared" si="186"/>
        <v>0</v>
      </c>
      <c r="BP238" s="173">
        <f t="shared" si="187"/>
        <v>68115.135744228697</v>
      </c>
      <c r="BQ238" s="173">
        <f t="shared" si="188"/>
        <v>0</v>
      </c>
      <c r="BR238" s="173">
        <f t="shared" si="189"/>
        <v>74029.258645946247</v>
      </c>
      <c r="BS238" s="173">
        <f t="shared" si="190"/>
        <v>0</v>
      </c>
      <c r="BT238" s="173">
        <f t="shared" si="191"/>
        <v>75327.102794976134</v>
      </c>
      <c r="BU238" s="173">
        <f t="shared" si="192"/>
        <v>0</v>
      </c>
      <c r="BV238" s="173">
        <f t="shared" si="193"/>
        <v>76717.076919732572</v>
      </c>
    </row>
    <row r="239" spans="5:74">
      <c r="E239" s="87" t="s">
        <v>183</v>
      </c>
      <c r="F239" s="87" t="s">
        <v>184</v>
      </c>
      <c r="G239" s="173">
        <f>IFERROR(IF(VLOOKUP(E239,A:C,3,FALSE)="YES",VLOOKUP(E239,'School Year 2021-22 SPED coop'!A:P,16,FALSE),0),0)</f>
        <v>0</v>
      </c>
      <c r="H239" s="173">
        <f t="shared" si="194"/>
        <v>70181165.799999997</v>
      </c>
      <c r="J239" s="87" t="s">
        <v>183</v>
      </c>
      <c r="K239" s="87" t="s">
        <v>184</v>
      </c>
      <c r="L239" s="173">
        <f t="shared" si="153"/>
        <v>0</v>
      </c>
      <c r="M239" s="173">
        <f t="shared" si="154"/>
        <v>70992859.906978413</v>
      </c>
      <c r="N239" s="173">
        <f t="shared" si="155"/>
        <v>0</v>
      </c>
      <c r="O239" s="173">
        <f t="shared" si="156"/>
        <v>73347496.80710578</v>
      </c>
      <c r="P239" s="173">
        <f t="shared" si="157"/>
        <v>0</v>
      </c>
      <c r="Q239" s="173">
        <f t="shared" si="158"/>
        <v>74716960.411858678</v>
      </c>
      <c r="R239" s="173">
        <f t="shared" si="159"/>
        <v>0</v>
      </c>
      <c r="S239" s="173">
        <f t="shared" si="160"/>
        <v>76113297.042621985</v>
      </c>
      <c r="U239" s="87" t="s">
        <v>183</v>
      </c>
      <c r="V239" s="87" t="s">
        <v>184</v>
      </c>
      <c r="W239" s="173">
        <f t="shared" si="161"/>
        <v>0</v>
      </c>
      <c r="X239" s="173">
        <f t="shared" si="195"/>
        <v>70992859.906978413</v>
      </c>
      <c r="Y239" s="173">
        <f t="shared" si="196"/>
        <v>0</v>
      </c>
      <c r="Z239" s="173">
        <f t="shared" si="197"/>
        <v>73707116.378633082</v>
      </c>
      <c r="AA239" s="173">
        <f t="shared" si="198"/>
        <v>0</v>
      </c>
      <c r="AB239" s="173">
        <f t="shared" si="199"/>
        <v>75139272.990835324</v>
      </c>
      <c r="AC239" s="173">
        <f t="shared" si="200"/>
        <v>0</v>
      </c>
      <c r="AD239" s="173">
        <f t="shared" si="201"/>
        <v>76675481.249808326</v>
      </c>
      <c r="AF239" s="87" t="s">
        <v>183</v>
      </c>
      <c r="AG239" s="87" t="s">
        <v>184</v>
      </c>
      <c r="AH239" s="173">
        <f t="shared" si="162"/>
        <v>0</v>
      </c>
      <c r="AI239" s="173">
        <f t="shared" si="163"/>
        <v>70992859.906978413</v>
      </c>
      <c r="AJ239" s="173">
        <f t="shared" si="164"/>
        <v>0</v>
      </c>
      <c r="AK239" s="173">
        <f t="shared" si="165"/>
        <v>73609963.770173162</v>
      </c>
      <c r="AL239" s="173">
        <f t="shared" si="166"/>
        <v>0</v>
      </c>
      <c r="AM239" s="173">
        <f t="shared" si="167"/>
        <v>75045903.126990169</v>
      </c>
      <c r="AN239" s="173">
        <f t="shared" si="168"/>
        <v>0</v>
      </c>
      <c r="AO239" s="173">
        <f t="shared" si="169"/>
        <v>76694319.611886233</v>
      </c>
      <c r="AQ239" s="87" t="s">
        <v>183</v>
      </c>
      <c r="AR239" s="87" t="s">
        <v>184</v>
      </c>
      <c r="AS239" s="173">
        <f t="shared" si="170"/>
        <v>0</v>
      </c>
      <c r="AT239" s="173">
        <f t="shared" si="171"/>
        <v>70992859.906978413</v>
      </c>
      <c r="AU239" s="173">
        <f t="shared" si="172"/>
        <v>0</v>
      </c>
      <c r="AV239" s="173">
        <f t="shared" si="173"/>
        <v>75180871.235891253</v>
      </c>
      <c r="AW239" s="173">
        <f t="shared" si="174"/>
        <v>0</v>
      </c>
      <c r="AX239" s="173">
        <f t="shared" si="175"/>
        <v>76520915.241668642</v>
      </c>
      <c r="AY239" s="173">
        <f t="shared" si="176"/>
        <v>0</v>
      </c>
      <c r="AZ239" s="173">
        <f t="shared" si="177"/>
        <v>77956095.932167724</v>
      </c>
      <c r="BB239" s="87" t="s">
        <v>183</v>
      </c>
      <c r="BC239" s="87" t="s">
        <v>184</v>
      </c>
      <c r="BD239" s="173">
        <f t="shared" si="178"/>
        <v>0</v>
      </c>
      <c r="BE239" s="173">
        <f t="shared" si="179"/>
        <v>70992859.906978413</v>
      </c>
      <c r="BF239" s="173">
        <f t="shared" si="180"/>
        <v>0</v>
      </c>
      <c r="BG239" s="173">
        <f t="shared" si="181"/>
        <v>75549479.765104741</v>
      </c>
      <c r="BH239" s="173">
        <f t="shared" si="182"/>
        <v>0</v>
      </c>
      <c r="BI239" s="173">
        <f t="shared" si="183"/>
        <v>76953424.078769907</v>
      </c>
      <c r="BJ239" s="173">
        <f t="shared" si="184"/>
        <v>0</v>
      </c>
      <c r="BK239" s="173">
        <f t="shared" si="185"/>
        <v>78531891.325582728</v>
      </c>
      <c r="BM239" s="87" t="s">
        <v>183</v>
      </c>
      <c r="BN239" s="87" t="s">
        <v>184</v>
      </c>
      <c r="BO239" s="173">
        <f t="shared" si="186"/>
        <v>0</v>
      </c>
      <c r="BP239" s="173">
        <f t="shared" si="187"/>
        <v>70992859.906978413</v>
      </c>
      <c r="BQ239" s="173">
        <f t="shared" si="188"/>
        <v>0</v>
      </c>
      <c r="BR239" s="173">
        <f t="shared" si="189"/>
        <v>75450013.718757182</v>
      </c>
      <c r="BS239" s="173">
        <f t="shared" si="190"/>
        <v>0</v>
      </c>
      <c r="BT239" s="173">
        <f t="shared" si="191"/>
        <v>76857930.012430429</v>
      </c>
      <c r="BU239" s="173">
        <f t="shared" si="192"/>
        <v>0</v>
      </c>
      <c r="BV239" s="173">
        <f t="shared" si="193"/>
        <v>78551428.133409262</v>
      </c>
    </row>
    <row r="240" spans="5:74">
      <c r="E240" s="87" t="s">
        <v>405</v>
      </c>
      <c r="F240" s="87" t="s">
        <v>406</v>
      </c>
      <c r="G240" s="173">
        <f>IFERROR(IF(VLOOKUP(E240,A:C,3,FALSE)="YES",VLOOKUP(E240,'School Year 2021-22 SPED coop'!A:P,16,FALSE),0),0)</f>
        <v>0</v>
      </c>
      <c r="H240" s="173">
        <f t="shared" si="194"/>
        <v>6038656.3600000003</v>
      </c>
      <c r="J240" s="87" t="s">
        <v>405</v>
      </c>
      <c r="K240" s="87" t="s">
        <v>406</v>
      </c>
      <c r="L240" s="173">
        <f t="shared" si="153"/>
        <v>0</v>
      </c>
      <c r="M240" s="173">
        <f t="shared" si="154"/>
        <v>6108029.4582347209</v>
      </c>
      <c r="N240" s="173">
        <f t="shared" si="155"/>
        <v>0</v>
      </c>
      <c r="O240" s="173">
        <f t="shared" si="156"/>
        <v>6312030.9816194437</v>
      </c>
      <c r="P240" s="173">
        <f t="shared" si="157"/>
        <v>0</v>
      </c>
      <c r="Q240" s="173">
        <f t="shared" si="158"/>
        <v>6429599.4095515069</v>
      </c>
      <c r="R240" s="173">
        <f t="shared" si="159"/>
        <v>0</v>
      </c>
      <c r="S240" s="173">
        <f t="shared" si="160"/>
        <v>6549225.7006156668</v>
      </c>
      <c r="U240" s="87" t="s">
        <v>405</v>
      </c>
      <c r="V240" s="87" t="s">
        <v>406</v>
      </c>
      <c r="W240" s="173">
        <f t="shared" si="161"/>
        <v>0</v>
      </c>
      <c r="X240" s="173">
        <f t="shared" si="195"/>
        <v>6108029.4582347209</v>
      </c>
      <c r="Y240" s="173">
        <f t="shared" si="196"/>
        <v>0</v>
      </c>
      <c r="Z240" s="173">
        <f t="shared" si="197"/>
        <v>6342986.7520651491</v>
      </c>
      <c r="AA240" s="173">
        <f t="shared" si="198"/>
        <v>0</v>
      </c>
      <c r="AB240" s="173">
        <f t="shared" si="199"/>
        <v>6465942.3805612326</v>
      </c>
      <c r="AC240" s="173">
        <f t="shared" si="200"/>
        <v>0</v>
      </c>
      <c r="AD240" s="173">
        <f t="shared" si="201"/>
        <v>6597598.9348472524</v>
      </c>
      <c r="AF240" s="87" t="s">
        <v>405</v>
      </c>
      <c r="AG240" s="87" t="s">
        <v>406</v>
      </c>
      <c r="AH240" s="173">
        <f t="shared" si="162"/>
        <v>0</v>
      </c>
      <c r="AI240" s="173">
        <f t="shared" si="163"/>
        <v>6108029.4582347209</v>
      </c>
      <c r="AJ240" s="173">
        <f t="shared" si="164"/>
        <v>0</v>
      </c>
      <c r="AK240" s="173">
        <f t="shared" si="165"/>
        <v>6308004.3440031735</v>
      </c>
      <c r="AL240" s="173">
        <f t="shared" si="166"/>
        <v>0</v>
      </c>
      <c r="AM240" s="173">
        <f t="shared" si="167"/>
        <v>6442593.8951660413</v>
      </c>
      <c r="AN240" s="173">
        <f t="shared" si="168"/>
        <v>0</v>
      </c>
      <c r="AO240" s="173">
        <f t="shared" si="169"/>
        <v>6568450.7372380635</v>
      </c>
      <c r="AQ240" s="87" t="s">
        <v>405</v>
      </c>
      <c r="AR240" s="87" t="s">
        <v>406</v>
      </c>
      <c r="AS240" s="173">
        <f t="shared" si="170"/>
        <v>0</v>
      </c>
      <c r="AT240" s="173">
        <f t="shared" si="171"/>
        <v>6108029.4582347209</v>
      </c>
      <c r="AU240" s="173">
        <f t="shared" si="172"/>
        <v>0</v>
      </c>
      <c r="AV240" s="173">
        <f t="shared" si="173"/>
        <v>6469051.643260912</v>
      </c>
      <c r="AW240" s="173">
        <f t="shared" si="174"/>
        <v>0</v>
      </c>
      <c r="AX240" s="173">
        <f t="shared" si="175"/>
        <v>6583852.8743267134</v>
      </c>
      <c r="AY240" s="173">
        <f t="shared" si="176"/>
        <v>0</v>
      </c>
      <c r="AZ240" s="173">
        <f t="shared" si="177"/>
        <v>6706804.4790961975</v>
      </c>
      <c r="BB240" s="87" t="s">
        <v>405</v>
      </c>
      <c r="BC240" s="87" t="s">
        <v>406</v>
      </c>
      <c r="BD240" s="173">
        <f t="shared" si="178"/>
        <v>0</v>
      </c>
      <c r="BE240" s="173">
        <f t="shared" si="179"/>
        <v>6108029.4582347209</v>
      </c>
      <c r="BF240" s="173">
        <f t="shared" si="180"/>
        <v>0</v>
      </c>
      <c r="BG240" s="173">
        <f t="shared" si="181"/>
        <v>6500777.4870617297</v>
      </c>
      <c r="BH240" s="173">
        <f t="shared" si="182"/>
        <v>0</v>
      </c>
      <c r="BI240" s="173">
        <f t="shared" si="183"/>
        <v>6621067.7565400023</v>
      </c>
      <c r="BJ240" s="173">
        <f t="shared" si="184"/>
        <v>0</v>
      </c>
      <c r="BK240" s="173">
        <f t="shared" si="185"/>
        <v>6756341.6055370774</v>
      </c>
      <c r="BM240" s="87" t="s">
        <v>405</v>
      </c>
      <c r="BN240" s="87" t="s">
        <v>406</v>
      </c>
      <c r="BO240" s="173">
        <f t="shared" si="186"/>
        <v>0</v>
      </c>
      <c r="BP240" s="173">
        <f t="shared" si="187"/>
        <v>6108029.4582347209</v>
      </c>
      <c r="BQ240" s="173">
        <f t="shared" si="188"/>
        <v>0</v>
      </c>
      <c r="BR240" s="173">
        <f t="shared" si="189"/>
        <v>6464922.1562642911</v>
      </c>
      <c r="BS240" s="173">
        <f t="shared" si="190"/>
        <v>0</v>
      </c>
      <c r="BT240" s="173">
        <f t="shared" si="191"/>
        <v>6597161.1173478598</v>
      </c>
      <c r="BU240" s="173">
        <f t="shared" si="192"/>
        <v>0</v>
      </c>
      <c r="BV240" s="173">
        <f t="shared" si="193"/>
        <v>6726497.1537939776</v>
      </c>
    </row>
    <row r="241" spans="5:74">
      <c r="E241" s="87" t="s">
        <v>589</v>
      </c>
      <c r="F241" s="87" t="s">
        <v>590</v>
      </c>
      <c r="G241" s="173">
        <f>IFERROR(IF(VLOOKUP(E241,A:C,3,FALSE)="YES",VLOOKUP(E241,'School Year 2021-22 SPED coop'!A:P,16,FALSE),0),0)</f>
        <v>0</v>
      </c>
      <c r="H241" s="173">
        <f t="shared" si="194"/>
        <v>4118299.65</v>
      </c>
      <c r="J241" s="87" t="s">
        <v>589</v>
      </c>
      <c r="K241" s="87" t="s">
        <v>590</v>
      </c>
      <c r="L241" s="173">
        <f t="shared" si="153"/>
        <v>0</v>
      </c>
      <c r="M241" s="173">
        <f t="shared" si="154"/>
        <v>4164286.8609550134</v>
      </c>
      <c r="N241" s="173">
        <f t="shared" si="155"/>
        <v>0</v>
      </c>
      <c r="O241" s="173">
        <f t="shared" si="156"/>
        <v>4305371.9455571622</v>
      </c>
      <c r="P241" s="173">
        <f t="shared" si="157"/>
        <v>0</v>
      </c>
      <c r="Q241" s="173">
        <f t="shared" si="158"/>
        <v>4385116.2219193969</v>
      </c>
      <c r="R241" s="173">
        <f t="shared" si="159"/>
        <v>0</v>
      </c>
      <c r="S241" s="173">
        <f t="shared" si="160"/>
        <v>4465861.144710199</v>
      </c>
      <c r="U241" s="87" t="s">
        <v>589</v>
      </c>
      <c r="V241" s="87" t="s">
        <v>590</v>
      </c>
      <c r="W241" s="173">
        <f t="shared" si="161"/>
        <v>0</v>
      </c>
      <c r="X241" s="173">
        <f t="shared" si="195"/>
        <v>4164286.8609550134</v>
      </c>
      <c r="Y241" s="173">
        <f t="shared" si="196"/>
        <v>0</v>
      </c>
      <c r="Z241" s="173">
        <f t="shared" si="197"/>
        <v>4326478.854478485</v>
      </c>
      <c r="AA241" s="173">
        <f t="shared" si="198"/>
        <v>0</v>
      </c>
      <c r="AB241" s="173">
        <f t="shared" si="199"/>
        <v>4409904.3686675485</v>
      </c>
      <c r="AC241" s="173">
        <f t="shared" si="200"/>
        <v>0</v>
      </c>
      <c r="AD241" s="173">
        <f t="shared" si="201"/>
        <v>4498842.1680896888</v>
      </c>
      <c r="AF241" s="87" t="s">
        <v>589</v>
      </c>
      <c r="AG241" s="87" t="s">
        <v>590</v>
      </c>
      <c r="AH241" s="173">
        <f t="shared" si="162"/>
        <v>0</v>
      </c>
      <c r="AI241" s="173">
        <f t="shared" si="163"/>
        <v>4164286.8609550134</v>
      </c>
      <c r="AJ241" s="173">
        <f t="shared" si="164"/>
        <v>0</v>
      </c>
      <c r="AK241" s="173">
        <f t="shared" si="165"/>
        <v>4305504.8071694123</v>
      </c>
      <c r="AL241" s="173">
        <f t="shared" si="166"/>
        <v>0</v>
      </c>
      <c r="AM241" s="173">
        <f t="shared" si="167"/>
        <v>4385001.9795313906</v>
      </c>
      <c r="AN241" s="173">
        <f t="shared" si="168"/>
        <v>0</v>
      </c>
      <c r="AO241" s="173">
        <f t="shared" si="169"/>
        <v>4465508.8897748226</v>
      </c>
      <c r="AQ241" s="87" t="s">
        <v>589</v>
      </c>
      <c r="AR241" s="87" t="s">
        <v>590</v>
      </c>
      <c r="AS241" s="173">
        <f t="shared" si="170"/>
        <v>0</v>
      </c>
      <c r="AT241" s="173">
        <f t="shared" si="171"/>
        <v>4164286.8609550134</v>
      </c>
      <c r="AU241" s="173">
        <f t="shared" si="172"/>
        <v>0</v>
      </c>
      <c r="AV241" s="173">
        <f t="shared" si="173"/>
        <v>4411345.434067742</v>
      </c>
      <c r="AW241" s="173">
        <f t="shared" si="174"/>
        <v>0</v>
      </c>
      <c r="AX241" s="173">
        <f t="shared" si="175"/>
        <v>4488830.9985964755</v>
      </c>
      <c r="AY241" s="173">
        <f t="shared" si="176"/>
        <v>0</v>
      </c>
      <c r="AZ241" s="173">
        <f t="shared" si="177"/>
        <v>4571817.6479631877</v>
      </c>
      <c r="BB241" s="87" t="s">
        <v>589</v>
      </c>
      <c r="BC241" s="87" t="s">
        <v>590</v>
      </c>
      <c r="BD241" s="173">
        <f t="shared" si="178"/>
        <v>0</v>
      </c>
      <c r="BE241" s="173">
        <f t="shared" si="179"/>
        <v>4164286.8609550134</v>
      </c>
      <c r="BF241" s="173">
        <f t="shared" si="180"/>
        <v>0</v>
      </c>
      <c r="BG241" s="173">
        <f t="shared" si="181"/>
        <v>4432971.8726780964</v>
      </c>
      <c r="BH241" s="173">
        <f t="shared" si="182"/>
        <v>0</v>
      </c>
      <c r="BI241" s="173">
        <f t="shared" si="183"/>
        <v>4514205.4250291977</v>
      </c>
      <c r="BJ241" s="173">
        <f t="shared" si="184"/>
        <v>0</v>
      </c>
      <c r="BK241" s="173">
        <f t="shared" si="185"/>
        <v>4605581.1730088377</v>
      </c>
      <c r="BM241" s="87" t="s">
        <v>589</v>
      </c>
      <c r="BN241" s="87" t="s">
        <v>590</v>
      </c>
      <c r="BO241" s="173">
        <f t="shared" si="186"/>
        <v>0</v>
      </c>
      <c r="BP241" s="173">
        <f t="shared" si="187"/>
        <v>4164286.8609550134</v>
      </c>
      <c r="BQ241" s="173">
        <f t="shared" si="188"/>
        <v>0</v>
      </c>
      <c r="BR241" s="173">
        <f t="shared" si="189"/>
        <v>4411482.3979079816</v>
      </c>
      <c r="BS241" s="173">
        <f t="shared" si="190"/>
        <v>0</v>
      </c>
      <c r="BT241" s="173">
        <f t="shared" si="191"/>
        <v>4488715.3411090905</v>
      </c>
      <c r="BU241" s="173">
        <f t="shared" si="192"/>
        <v>0</v>
      </c>
      <c r="BV241" s="173">
        <f t="shared" si="193"/>
        <v>4571458.2766105365</v>
      </c>
    </row>
    <row r="242" spans="5:74">
      <c r="E242" s="87" t="s">
        <v>359</v>
      </c>
      <c r="F242" s="87" t="s">
        <v>360</v>
      </c>
      <c r="G242" s="173">
        <f>IFERROR(IF(VLOOKUP(E242,A:C,3,FALSE)="YES",VLOOKUP(E242,'School Year 2021-22 SPED coop'!A:P,16,FALSE),0),0)</f>
        <v>0</v>
      </c>
      <c r="H242" s="173">
        <f t="shared" si="194"/>
        <v>336015.37</v>
      </c>
      <c r="J242" s="87" t="s">
        <v>359</v>
      </c>
      <c r="K242" s="87" t="s">
        <v>360</v>
      </c>
      <c r="L242" s="173">
        <f t="shared" si="153"/>
        <v>0</v>
      </c>
      <c r="M242" s="173">
        <f t="shared" si="154"/>
        <v>339634.73523737455</v>
      </c>
      <c r="N242" s="173">
        <f t="shared" si="155"/>
        <v>0</v>
      </c>
      <c r="O242" s="173">
        <f t="shared" si="156"/>
        <v>351136.38267677091</v>
      </c>
      <c r="P242" s="173">
        <f t="shared" si="157"/>
        <v>0</v>
      </c>
      <c r="Q242" s="173">
        <f t="shared" si="158"/>
        <v>357639.04090556502</v>
      </c>
      <c r="R242" s="173">
        <f t="shared" si="159"/>
        <v>0</v>
      </c>
      <c r="S242" s="173">
        <f t="shared" si="160"/>
        <v>364222.39112970722</v>
      </c>
      <c r="U242" s="87" t="s">
        <v>359</v>
      </c>
      <c r="V242" s="87" t="s">
        <v>360</v>
      </c>
      <c r="W242" s="173">
        <f t="shared" si="161"/>
        <v>0</v>
      </c>
      <c r="X242" s="173">
        <f t="shared" si="195"/>
        <v>339634.73523737455</v>
      </c>
      <c r="Y242" s="173">
        <f t="shared" si="196"/>
        <v>0</v>
      </c>
      <c r="Z242" s="173">
        <f t="shared" si="197"/>
        <v>352855.09819028043</v>
      </c>
      <c r="AA242" s="173">
        <f t="shared" si="198"/>
        <v>0</v>
      </c>
      <c r="AB242" s="173">
        <f t="shared" si="199"/>
        <v>359642.64148470655</v>
      </c>
      <c r="AC242" s="173">
        <f t="shared" si="200"/>
        <v>0</v>
      </c>
      <c r="AD242" s="173">
        <f t="shared" si="201"/>
        <v>366906.76020505244</v>
      </c>
      <c r="AF242" s="87" t="s">
        <v>359</v>
      </c>
      <c r="AG242" s="87" t="s">
        <v>360</v>
      </c>
      <c r="AH242" s="173">
        <f t="shared" si="162"/>
        <v>0</v>
      </c>
      <c r="AI242" s="173">
        <f t="shared" si="163"/>
        <v>339634.73523737455</v>
      </c>
      <c r="AJ242" s="173">
        <f t="shared" si="164"/>
        <v>0</v>
      </c>
      <c r="AK242" s="173">
        <f t="shared" si="165"/>
        <v>349652.33433013229</v>
      </c>
      <c r="AL242" s="173">
        <f t="shared" si="166"/>
        <v>0</v>
      </c>
      <c r="AM242" s="173">
        <f t="shared" si="167"/>
        <v>357748.30266973772</v>
      </c>
      <c r="AN242" s="173">
        <f t="shared" si="168"/>
        <v>0</v>
      </c>
      <c r="AO242" s="173">
        <f t="shared" si="169"/>
        <v>363136.41920988559</v>
      </c>
      <c r="AQ242" s="87" t="s">
        <v>359</v>
      </c>
      <c r="AR242" s="87" t="s">
        <v>360</v>
      </c>
      <c r="AS242" s="173">
        <f t="shared" si="170"/>
        <v>0</v>
      </c>
      <c r="AT242" s="173">
        <f t="shared" si="171"/>
        <v>339634.73523737455</v>
      </c>
      <c r="AU242" s="173">
        <f t="shared" si="172"/>
        <v>0</v>
      </c>
      <c r="AV242" s="173">
        <f t="shared" si="173"/>
        <v>359779.6550588698</v>
      </c>
      <c r="AW242" s="173">
        <f t="shared" si="174"/>
        <v>0</v>
      </c>
      <c r="AX242" s="173">
        <f t="shared" si="175"/>
        <v>366097.31516295334</v>
      </c>
      <c r="AY242" s="173">
        <f t="shared" si="176"/>
        <v>0</v>
      </c>
      <c r="AZ242" s="173">
        <f t="shared" si="177"/>
        <v>372863.48563921562</v>
      </c>
      <c r="BB242" s="87" t="s">
        <v>359</v>
      </c>
      <c r="BC242" s="87" t="s">
        <v>360</v>
      </c>
      <c r="BD242" s="173">
        <f t="shared" si="178"/>
        <v>0</v>
      </c>
      <c r="BE242" s="173">
        <f t="shared" si="179"/>
        <v>339634.73523737455</v>
      </c>
      <c r="BF242" s="173">
        <f t="shared" si="180"/>
        <v>0</v>
      </c>
      <c r="BG242" s="173">
        <f t="shared" si="181"/>
        <v>361540.67548050656</v>
      </c>
      <c r="BH242" s="173">
        <f t="shared" si="182"/>
        <v>0</v>
      </c>
      <c r="BI242" s="173">
        <f t="shared" si="183"/>
        <v>368148.29306515021</v>
      </c>
      <c r="BJ242" s="173">
        <f t="shared" si="184"/>
        <v>0</v>
      </c>
      <c r="BK242" s="173">
        <f t="shared" si="185"/>
        <v>375611.53795779741</v>
      </c>
      <c r="BM242" s="87" t="s">
        <v>359</v>
      </c>
      <c r="BN242" s="87" t="s">
        <v>360</v>
      </c>
      <c r="BO242" s="173">
        <f t="shared" si="186"/>
        <v>0</v>
      </c>
      <c r="BP242" s="173">
        <f t="shared" si="187"/>
        <v>339634.73523737455</v>
      </c>
      <c r="BQ242" s="173">
        <f t="shared" si="188"/>
        <v>0</v>
      </c>
      <c r="BR242" s="173">
        <f t="shared" si="189"/>
        <v>358259.37233483553</v>
      </c>
      <c r="BS242" s="173">
        <f t="shared" si="190"/>
        <v>0</v>
      </c>
      <c r="BT242" s="173">
        <f t="shared" si="191"/>
        <v>366210.56754521572</v>
      </c>
      <c r="BU242" s="173">
        <f t="shared" si="192"/>
        <v>0</v>
      </c>
      <c r="BV242" s="173">
        <f t="shared" si="193"/>
        <v>371753.01228862535</v>
      </c>
    </row>
    <row r="243" spans="5:74">
      <c r="E243" s="87" t="s">
        <v>47</v>
      </c>
      <c r="F243" s="87" t="s">
        <v>48</v>
      </c>
      <c r="G243" s="173">
        <f>IFERROR(IF(VLOOKUP(E243,A:C,3,FALSE)="YES",VLOOKUP(E243,'School Year 2021-22 SPED coop'!A:P,16,FALSE),0),0)</f>
        <v>0</v>
      </c>
      <c r="H243" s="173">
        <f t="shared" si="194"/>
        <v>3428675.73</v>
      </c>
      <c r="J243" s="87" t="s">
        <v>47</v>
      </c>
      <c r="K243" s="87" t="s">
        <v>48</v>
      </c>
      <c r="L243" s="173">
        <f t="shared" si="153"/>
        <v>0</v>
      </c>
      <c r="M243" s="173">
        <f t="shared" si="154"/>
        <v>3468020.9466406424</v>
      </c>
      <c r="N243" s="173">
        <f t="shared" si="155"/>
        <v>0</v>
      </c>
      <c r="O243" s="173">
        <f t="shared" si="156"/>
        <v>3584690.9706485998</v>
      </c>
      <c r="P243" s="173">
        <f t="shared" si="157"/>
        <v>0</v>
      </c>
      <c r="Q243" s="173">
        <f t="shared" si="158"/>
        <v>3651289.2459208523</v>
      </c>
      <c r="R243" s="173">
        <f t="shared" si="159"/>
        <v>0</v>
      </c>
      <c r="S243" s="173">
        <f t="shared" si="160"/>
        <v>3718902.2899888395</v>
      </c>
      <c r="U243" s="87" t="s">
        <v>47</v>
      </c>
      <c r="V243" s="87" t="s">
        <v>48</v>
      </c>
      <c r="W243" s="173">
        <f t="shared" si="161"/>
        <v>0</v>
      </c>
      <c r="X243" s="173">
        <f t="shared" si="195"/>
        <v>3468020.9466406424</v>
      </c>
      <c r="Y243" s="173">
        <f t="shared" si="196"/>
        <v>0</v>
      </c>
      <c r="Z243" s="173">
        <f t="shared" si="197"/>
        <v>3602266.2019850845</v>
      </c>
      <c r="AA243" s="173">
        <f t="shared" si="198"/>
        <v>0</v>
      </c>
      <c r="AB243" s="173">
        <f t="shared" si="199"/>
        <v>3671940.8694873773</v>
      </c>
      <c r="AC243" s="173">
        <f t="shared" si="200"/>
        <v>0</v>
      </c>
      <c r="AD243" s="173">
        <f t="shared" si="201"/>
        <v>3746375.2904410828</v>
      </c>
      <c r="AF243" s="87" t="s">
        <v>47</v>
      </c>
      <c r="AG243" s="87" t="s">
        <v>48</v>
      </c>
      <c r="AH243" s="173">
        <f t="shared" si="162"/>
        <v>0</v>
      </c>
      <c r="AI243" s="173">
        <f t="shared" si="163"/>
        <v>3468020.9466406424</v>
      </c>
      <c r="AJ243" s="173">
        <f t="shared" si="164"/>
        <v>0</v>
      </c>
      <c r="AK243" s="173">
        <f t="shared" si="165"/>
        <v>3581720.4509553039</v>
      </c>
      <c r="AL243" s="173">
        <f t="shared" si="166"/>
        <v>0</v>
      </c>
      <c r="AM243" s="173">
        <f t="shared" si="167"/>
        <v>3650567.2126447419</v>
      </c>
      <c r="AN243" s="173">
        <f t="shared" si="168"/>
        <v>0</v>
      </c>
      <c r="AO243" s="173">
        <f t="shared" si="169"/>
        <v>3723464.5679125218</v>
      </c>
      <c r="AQ243" s="87" t="s">
        <v>47</v>
      </c>
      <c r="AR243" s="87" t="s">
        <v>48</v>
      </c>
      <c r="AS243" s="173">
        <f t="shared" si="170"/>
        <v>0</v>
      </c>
      <c r="AT243" s="173">
        <f t="shared" si="171"/>
        <v>3468020.9466406424</v>
      </c>
      <c r="AU243" s="173">
        <f t="shared" si="172"/>
        <v>0</v>
      </c>
      <c r="AV243" s="173">
        <f t="shared" si="173"/>
        <v>3673410.6805865373</v>
      </c>
      <c r="AW243" s="173">
        <f t="shared" si="174"/>
        <v>0</v>
      </c>
      <c r="AX243" s="173">
        <f t="shared" si="175"/>
        <v>3738295.1286264174</v>
      </c>
      <c r="AY243" s="173">
        <f t="shared" si="176"/>
        <v>0</v>
      </c>
      <c r="AZ243" s="173">
        <f t="shared" si="177"/>
        <v>3807786.1576729645</v>
      </c>
      <c r="BB243" s="87" t="s">
        <v>47</v>
      </c>
      <c r="BC243" s="87" t="s">
        <v>48</v>
      </c>
      <c r="BD243" s="173">
        <f t="shared" si="178"/>
        <v>0</v>
      </c>
      <c r="BE243" s="173">
        <f t="shared" si="179"/>
        <v>3468020.9466406424</v>
      </c>
      <c r="BF243" s="173">
        <f t="shared" si="180"/>
        <v>0</v>
      </c>
      <c r="BG243" s="173">
        <f t="shared" si="181"/>
        <v>3691420.8920170246</v>
      </c>
      <c r="BH243" s="173">
        <f t="shared" si="182"/>
        <v>0</v>
      </c>
      <c r="BI243" s="173">
        <f t="shared" si="183"/>
        <v>3759438.8632997898</v>
      </c>
      <c r="BJ243" s="173">
        <f t="shared" si="184"/>
        <v>0</v>
      </c>
      <c r="BK243" s="173">
        <f t="shared" si="185"/>
        <v>3835915.7806527675</v>
      </c>
      <c r="BM243" s="87" t="s">
        <v>47</v>
      </c>
      <c r="BN243" s="87" t="s">
        <v>48</v>
      </c>
      <c r="BO243" s="173">
        <f t="shared" si="186"/>
        <v>0</v>
      </c>
      <c r="BP243" s="173">
        <f t="shared" si="187"/>
        <v>3468020.9466406424</v>
      </c>
      <c r="BQ243" s="173">
        <f t="shared" si="188"/>
        <v>0</v>
      </c>
      <c r="BR243" s="173">
        <f t="shared" si="189"/>
        <v>3670367.4418532867</v>
      </c>
      <c r="BS243" s="173">
        <f t="shared" si="190"/>
        <v>0</v>
      </c>
      <c r="BT243" s="173">
        <f t="shared" si="191"/>
        <v>3737558.9087186274</v>
      </c>
      <c r="BU243" s="173">
        <f t="shared" si="192"/>
        <v>0</v>
      </c>
      <c r="BV243" s="173">
        <f t="shared" si="193"/>
        <v>3812461.9252869887</v>
      </c>
    </row>
    <row r="244" spans="5:74">
      <c r="E244" s="87" t="s">
        <v>393</v>
      </c>
      <c r="F244" s="87" t="s">
        <v>394</v>
      </c>
      <c r="G244" s="173">
        <f>IFERROR(IF(VLOOKUP(E244,A:C,3,FALSE)="YES",VLOOKUP(E244,'School Year 2021-22 SPED coop'!A:P,16,FALSE),0),0)</f>
        <v>0</v>
      </c>
      <c r="H244" s="173">
        <f t="shared" si="194"/>
        <v>0</v>
      </c>
      <c r="J244" s="87" t="s">
        <v>393</v>
      </c>
      <c r="K244" s="87" t="s">
        <v>394</v>
      </c>
      <c r="L244" s="173">
        <f t="shared" si="153"/>
        <v>0</v>
      </c>
      <c r="M244" s="173">
        <f t="shared" si="154"/>
        <v>0</v>
      </c>
      <c r="N244" s="173">
        <f t="shared" si="155"/>
        <v>0</v>
      </c>
      <c r="O244" s="173">
        <f t="shared" si="156"/>
        <v>0</v>
      </c>
      <c r="P244" s="173">
        <f t="shared" si="157"/>
        <v>0</v>
      </c>
      <c r="Q244" s="173">
        <f t="shared" si="158"/>
        <v>0</v>
      </c>
      <c r="R244" s="173">
        <f t="shared" si="159"/>
        <v>0</v>
      </c>
      <c r="S244" s="173">
        <f t="shared" si="160"/>
        <v>0</v>
      </c>
      <c r="U244" s="87" t="s">
        <v>393</v>
      </c>
      <c r="V244" s="87" t="s">
        <v>394</v>
      </c>
      <c r="W244" s="173">
        <f t="shared" si="161"/>
        <v>0</v>
      </c>
      <c r="X244" s="173">
        <f t="shared" si="195"/>
        <v>0</v>
      </c>
      <c r="Y244" s="173">
        <f t="shared" si="196"/>
        <v>0</v>
      </c>
      <c r="Z244" s="173">
        <f t="shared" si="197"/>
        <v>0</v>
      </c>
      <c r="AA244" s="173">
        <f t="shared" si="198"/>
        <v>0</v>
      </c>
      <c r="AB244" s="173">
        <f t="shared" si="199"/>
        <v>0</v>
      </c>
      <c r="AC244" s="173">
        <f t="shared" si="200"/>
        <v>0</v>
      </c>
      <c r="AD244" s="173">
        <f t="shared" si="201"/>
        <v>0</v>
      </c>
      <c r="AF244" s="87" t="s">
        <v>393</v>
      </c>
      <c r="AG244" s="87" t="s">
        <v>394</v>
      </c>
      <c r="AH244" s="173">
        <f t="shared" si="162"/>
        <v>0</v>
      </c>
      <c r="AI244" s="173">
        <f t="shared" si="163"/>
        <v>0</v>
      </c>
      <c r="AJ244" s="173">
        <f t="shared" si="164"/>
        <v>0</v>
      </c>
      <c r="AK244" s="173">
        <f t="shared" si="165"/>
        <v>0</v>
      </c>
      <c r="AL244" s="173">
        <f t="shared" si="166"/>
        <v>0</v>
      </c>
      <c r="AM244" s="173">
        <f t="shared" si="167"/>
        <v>0</v>
      </c>
      <c r="AN244" s="173">
        <f t="shared" si="168"/>
        <v>0</v>
      </c>
      <c r="AO244" s="173">
        <f t="shared" si="169"/>
        <v>0</v>
      </c>
      <c r="AQ244" s="87" t="s">
        <v>393</v>
      </c>
      <c r="AR244" s="87" t="s">
        <v>394</v>
      </c>
      <c r="AS244" s="173">
        <f t="shared" si="170"/>
        <v>0</v>
      </c>
      <c r="AT244" s="173">
        <f t="shared" si="171"/>
        <v>0</v>
      </c>
      <c r="AU244" s="173">
        <f t="shared" si="172"/>
        <v>0</v>
      </c>
      <c r="AV244" s="173">
        <f t="shared" si="173"/>
        <v>0</v>
      </c>
      <c r="AW244" s="173">
        <f t="shared" si="174"/>
        <v>0</v>
      </c>
      <c r="AX244" s="173">
        <f t="shared" si="175"/>
        <v>0</v>
      </c>
      <c r="AY244" s="173">
        <f t="shared" si="176"/>
        <v>0</v>
      </c>
      <c r="AZ244" s="173">
        <f t="shared" si="177"/>
        <v>0</v>
      </c>
      <c r="BB244" s="87" t="s">
        <v>393</v>
      </c>
      <c r="BC244" s="87" t="s">
        <v>394</v>
      </c>
      <c r="BD244" s="173">
        <f t="shared" si="178"/>
        <v>0</v>
      </c>
      <c r="BE244" s="173">
        <f t="shared" si="179"/>
        <v>0</v>
      </c>
      <c r="BF244" s="173">
        <f t="shared" si="180"/>
        <v>0</v>
      </c>
      <c r="BG244" s="173">
        <f t="shared" si="181"/>
        <v>0</v>
      </c>
      <c r="BH244" s="173">
        <f t="shared" si="182"/>
        <v>0</v>
      </c>
      <c r="BI244" s="173">
        <f t="shared" si="183"/>
        <v>0</v>
      </c>
      <c r="BJ244" s="173">
        <f t="shared" si="184"/>
        <v>0</v>
      </c>
      <c r="BK244" s="173">
        <f t="shared" si="185"/>
        <v>0</v>
      </c>
      <c r="BM244" s="87" t="s">
        <v>393</v>
      </c>
      <c r="BN244" s="87" t="s">
        <v>394</v>
      </c>
      <c r="BO244" s="173">
        <f t="shared" si="186"/>
        <v>0</v>
      </c>
      <c r="BP244" s="173">
        <f t="shared" si="187"/>
        <v>0</v>
      </c>
      <c r="BQ244" s="173">
        <f t="shared" si="188"/>
        <v>0</v>
      </c>
      <c r="BR244" s="173">
        <f t="shared" si="189"/>
        <v>0</v>
      </c>
      <c r="BS244" s="173">
        <f t="shared" si="190"/>
        <v>0</v>
      </c>
      <c r="BT244" s="173">
        <f t="shared" si="191"/>
        <v>0</v>
      </c>
      <c r="BU244" s="173">
        <f t="shared" si="192"/>
        <v>0</v>
      </c>
      <c r="BV244" s="173">
        <f t="shared" si="193"/>
        <v>0</v>
      </c>
    </row>
    <row r="245" spans="5:74">
      <c r="E245" s="87" t="s">
        <v>317</v>
      </c>
      <c r="F245" s="87" t="s">
        <v>318</v>
      </c>
      <c r="G245" s="173">
        <f>IFERROR(IF(VLOOKUP(E245,A:C,3,FALSE)="YES",VLOOKUP(E245,'School Year 2021-22 SPED coop'!A:P,16,FALSE),0),0)</f>
        <v>0</v>
      </c>
      <c r="H245" s="173">
        <f t="shared" si="194"/>
        <v>5405846.1899999995</v>
      </c>
      <c r="J245" s="87" t="s">
        <v>317</v>
      </c>
      <c r="K245" s="87" t="s">
        <v>318</v>
      </c>
      <c r="L245" s="173">
        <f t="shared" si="153"/>
        <v>0</v>
      </c>
      <c r="M245" s="173">
        <f t="shared" si="154"/>
        <v>5465182.0350810001</v>
      </c>
      <c r="N245" s="173">
        <f t="shared" si="155"/>
        <v>0</v>
      </c>
      <c r="O245" s="173">
        <f t="shared" si="156"/>
        <v>5650392.92626209</v>
      </c>
      <c r="P245" s="173">
        <f t="shared" si="157"/>
        <v>0</v>
      </c>
      <c r="Q245" s="173">
        <f t="shared" si="158"/>
        <v>5755070.8526838962</v>
      </c>
      <c r="R245" s="173">
        <f t="shared" si="159"/>
        <v>0</v>
      </c>
      <c r="S245" s="173">
        <f t="shared" si="160"/>
        <v>5861079.5221320577</v>
      </c>
      <c r="U245" s="87" t="s">
        <v>317</v>
      </c>
      <c r="V245" s="87" t="s">
        <v>318</v>
      </c>
      <c r="W245" s="173">
        <f t="shared" si="161"/>
        <v>0</v>
      </c>
      <c r="X245" s="173">
        <f t="shared" si="195"/>
        <v>5465182.0350810001</v>
      </c>
      <c r="Y245" s="173">
        <f t="shared" si="196"/>
        <v>0</v>
      </c>
      <c r="Z245" s="173">
        <f t="shared" si="197"/>
        <v>5678090.027866344</v>
      </c>
      <c r="AA245" s="173">
        <f t="shared" si="198"/>
        <v>0</v>
      </c>
      <c r="AB245" s="173">
        <f t="shared" si="199"/>
        <v>5787591.5695596747</v>
      </c>
      <c r="AC245" s="173">
        <f t="shared" si="200"/>
        <v>0</v>
      </c>
      <c r="AD245" s="173">
        <f t="shared" si="201"/>
        <v>5904375.1265192283</v>
      </c>
      <c r="AF245" s="87" t="s">
        <v>317</v>
      </c>
      <c r="AG245" s="87" t="s">
        <v>318</v>
      </c>
      <c r="AH245" s="173">
        <f t="shared" si="162"/>
        <v>0</v>
      </c>
      <c r="AI245" s="173">
        <f t="shared" si="163"/>
        <v>5465182.0350810001</v>
      </c>
      <c r="AJ245" s="173">
        <f t="shared" si="164"/>
        <v>0</v>
      </c>
      <c r="AK245" s="173">
        <f t="shared" si="165"/>
        <v>5646113.0349592809</v>
      </c>
      <c r="AL245" s="173">
        <f t="shared" si="166"/>
        <v>0</v>
      </c>
      <c r="AM245" s="173">
        <f t="shared" si="167"/>
        <v>5750714.5509917149</v>
      </c>
      <c r="AN245" s="173">
        <f t="shared" si="168"/>
        <v>0</v>
      </c>
      <c r="AO245" s="173">
        <f t="shared" si="169"/>
        <v>5856648.1889890665</v>
      </c>
      <c r="AQ245" s="87" t="s">
        <v>317</v>
      </c>
      <c r="AR245" s="87" t="s">
        <v>318</v>
      </c>
      <c r="AS245" s="173">
        <f t="shared" si="170"/>
        <v>0</v>
      </c>
      <c r="AT245" s="173">
        <f t="shared" si="171"/>
        <v>5465182.0350810001</v>
      </c>
      <c r="AU245" s="173">
        <f t="shared" si="172"/>
        <v>0</v>
      </c>
      <c r="AV245" s="173">
        <f t="shared" si="173"/>
        <v>5789475.651710202</v>
      </c>
      <c r="AW245" s="173">
        <f t="shared" si="174"/>
        <v>0</v>
      </c>
      <c r="AX245" s="173">
        <f t="shared" si="175"/>
        <v>5891204.2857270166</v>
      </c>
      <c r="AY245" s="173">
        <f t="shared" si="176"/>
        <v>0</v>
      </c>
      <c r="AZ245" s="173">
        <f t="shared" si="177"/>
        <v>6000155.3896270422</v>
      </c>
      <c r="BB245" s="87" t="s">
        <v>317</v>
      </c>
      <c r="BC245" s="87" t="s">
        <v>318</v>
      </c>
      <c r="BD245" s="173">
        <f t="shared" si="178"/>
        <v>0</v>
      </c>
      <c r="BE245" s="173">
        <f t="shared" si="179"/>
        <v>5465182.0350810001</v>
      </c>
      <c r="BF245" s="173">
        <f t="shared" si="180"/>
        <v>0</v>
      </c>
      <c r="BG245" s="173">
        <f t="shared" si="181"/>
        <v>5817854.505895555</v>
      </c>
      <c r="BH245" s="173">
        <f t="shared" si="182"/>
        <v>0</v>
      </c>
      <c r="BI245" s="173">
        <f t="shared" si="183"/>
        <v>5924494.2613138407</v>
      </c>
      <c r="BJ245" s="173">
        <f t="shared" si="184"/>
        <v>0</v>
      </c>
      <c r="BK245" s="173">
        <f t="shared" si="185"/>
        <v>6044478.3450750969</v>
      </c>
      <c r="BM245" s="87" t="s">
        <v>317</v>
      </c>
      <c r="BN245" s="87" t="s">
        <v>318</v>
      </c>
      <c r="BO245" s="173">
        <f t="shared" si="186"/>
        <v>0</v>
      </c>
      <c r="BP245" s="173">
        <f t="shared" si="187"/>
        <v>5465182.0350810001</v>
      </c>
      <c r="BQ245" s="173">
        <f t="shared" si="188"/>
        <v>0</v>
      </c>
      <c r="BR245" s="173">
        <f t="shared" si="189"/>
        <v>5785090.7078649886</v>
      </c>
      <c r="BS245" s="173">
        <f t="shared" si="190"/>
        <v>0</v>
      </c>
      <c r="BT245" s="173">
        <f t="shared" si="191"/>
        <v>5886747.2185100168</v>
      </c>
      <c r="BU245" s="173">
        <f t="shared" si="192"/>
        <v>0</v>
      </c>
      <c r="BV245" s="173">
        <f t="shared" si="193"/>
        <v>5995621.1140263919</v>
      </c>
    </row>
    <row r="246" spans="5:74">
      <c r="E246" s="87" t="s">
        <v>213</v>
      </c>
      <c r="F246" s="87" t="s">
        <v>214</v>
      </c>
      <c r="G246" s="173">
        <f>IFERROR(IF(VLOOKUP(E246,A:C,3,FALSE)="YES",VLOOKUP(E246,'School Year 2021-22 SPED coop'!A:P,16,FALSE),0),0)</f>
        <v>0</v>
      </c>
      <c r="H246" s="173">
        <f t="shared" si="194"/>
        <v>10918998.890000001</v>
      </c>
      <c r="J246" s="87" t="s">
        <v>213</v>
      </c>
      <c r="K246" s="87" t="s">
        <v>214</v>
      </c>
      <c r="L246" s="173">
        <f t="shared" si="153"/>
        <v>0</v>
      </c>
      <c r="M246" s="173">
        <f t="shared" si="154"/>
        <v>11196260.081652844</v>
      </c>
      <c r="N246" s="173">
        <f t="shared" si="155"/>
        <v>0</v>
      </c>
      <c r="O246" s="173">
        <f t="shared" si="156"/>
        <v>11421700.885756204</v>
      </c>
      <c r="P246" s="173">
        <f t="shared" si="157"/>
        <v>0</v>
      </c>
      <c r="Q246" s="173">
        <f t="shared" si="158"/>
        <v>11634970.031406946</v>
      </c>
      <c r="R246" s="173">
        <f t="shared" si="159"/>
        <v>0</v>
      </c>
      <c r="S246" s="173">
        <f t="shared" si="160"/>
        <v>11852437.461726099</v>
      </c>
      <c r="U246" s="87" t="s">
        <v>213</v>
      </c>
      <c r="V246" s="87" t="s">
        <v>214</v>
      </c>
      <c r="W246" s="173">
        <f t="shared" si="161"/>
        <v>0</v>
      </c>
      <c r="X246" s="173">
        <f t="shared" si="195"/>
        <v>11196260.081652844</v>
      </c>
      <c r="Y246" s="173">
        <f t="shared" si="196"/>
        <v>0</v>
      </c>
      <c r="Z246" s="173">
        <f t="shared" si="197"/>
        <v>11477687.189997312</v>
      </c>
      <c r="AA246" s="173">
        <f t="shared" si="198"/>
        <v>0</v>
      </c>
      <c r="AB246" s="173">
        <f t="shared" si="199"/>
        <v>11700730.060414001</v>
      </c>
      <c r="AC246" s="173">
        <f t="shared" si="200"/>
        <v>0</v>
      </c>
      <c r="AD246" s="173">
        <f t="shared" si="201"/>
        <v>11939973.488871858</v>
      </c>
      <c r="AF246" s="87" t="s">
        <v>213</v>
      </c>
      <c r="AG246" s="87" t="s">
        <v>214</v>
      </c>
      <c r="AH246" s="173">
        <f t="shared" si="162"/>
        <v>0</v>
      </c>
      <c r="AI246" s="173">
        <f t="shared" si="163"/>
        <v>11196260.081652844</v>
      </c>
      <c r="AJ246" s="173">
        <f t="shared" si="164"/>
        <v>0</v>
      </c>
      <c r="AK246" s="173">
        <f t="shared" si="165"/>
        <v>11418167.734889984</v>
      </c>
      <c r="AL246" s="173">
        <f t="shared" si="166"/>
        <v>0</v>
      </c>
      <c r="AM246" s="173">
        <f t="shared" si="167"/>
        <v>11618242.582182044</v>
      </c>
      <c r="AN246" s="173">
        <f t="shared" si="168"/>
        <v>0</v>
      </c>
      <c r="AO246" s="173">
        <f t="shared" si="169"/>
        <v>11841699.025749214</v>
      </c>
      <c r="AQ246" s="87" t="s">
        <v>213</v>
      </c>
      <c r="AR246" s="87" t="s">
        <v>214</v>
      </c>
      <c r="AS246" s="173">
        <f t="shared" si="170"/>
        <v>0</v>
      </c>
      <c r="AT246" s="173">
        <f t="shared" si="171"/>
        <v>11196260.081652844</v>
      </c>
      <c r="AU246" s="173">
        <f t="shared" si="172"/>
        <v>0</v>
      </c>
      <c r="AV246" s="173">
        <f t="shared" si="173"/>
        <v>11707156.392878586</v>
      </c>
      <c r="AW246" s="173">
        <f t="shared" si="174"/>
        <v>0</v>
      </c>
      <c r="AX246" s="173">
        <f t="shared" si="175"/>
        <v>11915855.308820173</v>
      </c>
      <c r="AY246" s="173">
        <f t="shared" si="176"/>
        <v>0</v>
      </c>
      <c r="AZ246" s="173">
        <f t="shared" si="177"/>
        <v>12139370.996795073</v>
      </c>
      <c r="BB246" s="87" t="s">
        <v>213</v>
      </c>
      <c r="BC246" s="87" t="s">
        <v>214</v>
      </c>
      <c r="BD246" s="173">
        <f t="shared" si="178"/>
        <v>0</v>
      </c>
      <c r="BE246" s="173">
        <f t="shared" si="179"/>
        <v>11196260.081652844</v>
      </c>
      <c r="BF246" s="173">
        <f t="shared" si="180"/>
        <v>0</v>
      </c>
      <c r="BG246" s="173">
        <f t="shared" si="181"/>
        <v>11764541.920462029</v>
      </c>
      <c r="BH246" s="173">
        <f t="shared" si="182"/>
        <v>0</v>
      </c>
      <c r="BI246" s="173">
        <f t="shared" si="183"/>
        <v>11983202.881282285</v>
      </c>
      <c r="BJ246" s="173">
        <f t="shared" si="184"/>
        <v>0</v>
      </c>
      <c r="BK246" s="173">
        <f t="shared" si="185"/>
        <v>12229026.163124207</v>
      </c>
      <c r="BM246" s="87" t="s">
        <v>213</v>
      </c>
      <c r="BN246" s="87" t="s">
        <v>214</v>
      </c>
      <c r="BO246" s="173">
        <f t="shared" si="186"/>
        <v>0</v>
      </c>
      <c r="BP246" s="173">
        <f t="shared" si="187"/>
        <v>11196260.081652844</v>
      </c>
      <c r="BQ246" s="173">
        <f t="shared" si="188"/>
        <v>0</v>
      </c>
      <c r="BR246" s="173">
        <f t="shared" si="189"/>
        <v>11703534.528971016</v>
      </c>
      <c r="BS246" s="173">
        <f t="shared" si="190"/>
        <v>0</v>
      </c>
      <c r="BT246" s="173">
        <f t="shared" si="191"/>
        <v>11898721.828608729</v>
      </c>
      <c r="BU246" s="173">
        <f t="shared" si="192"/>
        <v>0</v>
      </c>
      <c r="BV246" s="173">
        <f t="shared" si="193"/>
        <v>12128372.509923216</v>
      </c>
    </row>
    <row r="247" spans="5:74">
      <c r="E247" s="87" t="s">
        <v>415</v>
      </c>
      <c r="F247" s="87" t="s">
        <v>416</v>
      </c>
      <c r="G247" s="173">
        <f>IFERROR(IF(VLOOKUP(E247,A:C,3,FALSE)="YES",VLOOKUP(E247,'School Year 2021-22 SPED coop'!A:P,16,FALSE),0),0)</f>
        <v>71566.34</v>
      </c>
      <c r="H247" s="173">
        <f t="shared" si="194"/>
        <v>0</v>
      </c>
      <c r="J247" s="87" t="s">
        <v>415</v>
      </c>
      <c r="K247" s="87" t="s">
        <v>416</v>
      </c>
      <c r="L247" s="173">
        <f t="shared" si="153"/>
        <v>86245.725569289018</v>
      </c>
      <c r="M247" s="173">
        <f t="shared" si="154"/>
        <v>0</v>
      </c>
      <c r="N247" s="173">
        <f t="shared" si="155"/>
        <v>89152.512193572547</v>
      </c>
      <c r="O247" s="173">
        <f t="shared" si="156"/>
        <v>0</v>
      </c>
      <c r="P247" s="173">
        <f t="shared" si="157"/>
        <v>90802.114644308822</v>
      </c>
      <c r="Q247" s="173">
        <f t="shared" si="158"/>
        <v>0</v>
      </c>
      <c r="R247" s="173">
        <f t="shared" si="159"/>
        <v>92471.027281268209</v>
      </c>
      <c r="S247" s="173">
        <f t="shared" si="160"/>
        <v>0</v>
      </c>
      <c r="U247" s="87" t="s">
        <v>415</v>
      </c>
      <c r="V247" s="87" t="s">
        <v>416</v>
      </c>
      <c r="W247" s="173">
        <f t="shared" si="161"/>
        <v>86245.725569289018</v>
      </c>
      <c r="X247" s="173">
        <f t="shared" si="195"/>
        <v>0</v>
      </c>
      <c r="Y247" s="173">
        <f t="shared" si="196"/>
        <v>89152.512193572547</v>
      </c>
      <c r="Z247" s="173">
        <f t="shared" si="197"/>
        <v>0</v>
      </c>
      <c r="AA247" s="173">
        <f t="shared" si="198"/>
        <v>90802.114644308822</v>
      </c>
      <c r="AB247" s="173">
        <f t="shared" si="199"/>
        <v>0</v>
      </c>
      <c r="AC247" s="173">
        <f t="shared" si="200"/>
        <v>92471.027281268209</v>
      </c>
      <c r="AD247" s="173">
        <f t="shared" si="201"/>
        <v>0</v>
      </c>
      <c r="AF247" s="87" t="s">
        <v>415</v>
      </c>
      <c r="AG247" s="87" t="s">
        <v>416</v>
      </c>
      <c r="AH247" s="173">
        <f t="shared" si="162"/>
        <v>86245.725569289018</v>
      </c>
      <c r="AI247" s="173">
        <f t="shared" si="163"/>
        <v>0</v>
      </c>
      <c r="AJ247" s="173">
        <f t="shared" si="164"/>
        <v>88086.354938579374</v>
      </c>
      <c r="AK247" s="173">
        <f t="shared" si="165"/>
        <v>0</v>
      </c>
      <c r="AL247" s="173">
        <f t="shared" si="166"/>
        <v>89297.165230992701</v>
      </c>
      <c r="AM247" s="173">
        <f t="shared" si="167"/>
        <v>0</v>
      </c>
      <c r="AN247" s="173">
        <f t="shared" si="168"/>
        <v>89811.376443765024</v>
      </c>
      <c r="AO247" s="173">
        <f t="shared" si="169"/>
        <v>0</v>
      </c>
      <c r="AQ247" s="87" t="s">
        <v>415</v>
      </c>
      <c r="AR247" s="87" t="s">
        <v>416</v>
      </c>
      <c r="AS247" s="173">
        <f t="shared" si="170"/>
        <v>86245.725569289018</v>
      </c>
      <c r="AT247" s="173">
        <f t="shared" si="171"/>
        <v>0</v>
      </c>
      <c r="AU247" s="173">
        <f t="shared" si="172"/>
        <v>91348.713849279127</v>
      </c>
      <c r="AV247" s="173">
        <f t="shared" si="173"/>
        <v>0</v>
      </c>
      <c r="AW247" s="173">
        <f t="shared" si="174"/>
        <v>92950.364902137255</v>
      </c>
      <c r="AX247" s="173">
        <f t="shared" si="175"/>
        <v>0</v>
      </c>
      <c r="AY247" s="173">
        <f t="shared" si="176"/>
        <v>94665.712039664155</v>
      </c>
      <c r="AZ247" s="173">
        <f t="shared" si="177"/>
        <v>0</v>
      </c>
      <c r="BB247" s="87" t="s">
        <v>415</v>
      </c>
      <c r="BC247" s="87" t="s">
        <v>416</v>
      </c>
      <c r="BD247" s="173">
        <f t="shared" si="178"/>
        <v>86245.725569289018</v>
      </c>
      <c r="BE247" s="173">
        <f t="shared" si="179"/>
        <v>0</v>
      </c>
      <c r="BF247" s="173">
        <f t="shared" si="180"/>
        <v>91348.713849279127</v>
      </c>
      <c r="BG247" s="173">
        <f t="shared" si="181"/>
        <v>0</v>
      </c>
      <c r="BH247" s="173">
        <f t="shared" si="182"/>
        <v>92950.364902137255</v>
      </c>
      <c r="BI247" s="173">
        <f t="shared" si="183"/>
        <v>0</v>
      </c>
      <c r="BJ247" s="173">
        <f t="shared" si="184"/>
        <v>94665.712039664155</v>
      </c>
      <c r="BK247" s="173">
        <f t="shared" si="185"/>
        <v>0</v>
      </c>
      <c r="BM247" s="87" t="s">
        <v>415</v>
      </c>
      <c r="BN247" s="87" t="s">
        <v>416</v>
      </c>
      <c r="BO247" s="173">
        <f t="shared" si="186"/>
        <v>86245.725569289018</v>
      </c>
      <c r="BP247" s="173">
        <f t="shared" si="187"/>
        <v>0</v>
      </c>
      <c r="BQ247" s="173">
        <f t="shared" si="188"/>
        <v>90255.847833507331</v>
      </c>
      <c r="BR247" s="173">
        <f t="shared" si="189"/>
        <v>0</v>
      </c>
      <c r="BS247" s="173">
        <f t="shared" si="190"/>
        <v>91409.328530807252</v>
      </c>
      <c r="BT247" s="173">
        <f t="shared" si="191"/>
        <v>0</v>
      </c>
      <c r="BU247" s="173">
        <f t="shared" si="192"/>
        <v>91942.142239954701</v>
      </c>
      <c r="BV247" s="173">
        <f t="shared" si="193"/>
        <v>0</v>
      </c>
    </row>
    <row r="248" spans="5:74">
      <c r="E248" s="87" t="s">
        <v>197</v>
      </c>
      <c r="F248" s="87" t="s">
        <v>198</v>
      </c>
      <c r="G248" s="173">
        <f>IFERROR(IF(VLOOKUP(E248,A:C,3,FALSE)="YES",VLOOKUP(E248,'School Year 2021-22 SPED coop'!A:P,16,FALSE),0),0)</f>
        <v>0</v>
      </c>
      <c r="H248" s="173">
        <f t="shared" si="194"/>
        <v>56019.53</v>
      </c>
      <c r="J248" s="87" t="s">
        <v>197</v>
      </c>
      <c r="K248" s="87" t="s">
        <v>198</v>
      </c>
      <c r="L248" s="173">
        <f t="shared" si="153"/>
        <v>0</v>
      </c>
      <c r="M248" s="173">
        <f t="shared" si="154"/>
        <v>56634.450937427348</v>
      </c>
      <c r="N248" s="173">
        <f t="shared" si="155"/>
        <v>0</v>
      </c>
      <c r="O248" s="173">
        <f t="shared" si="156"/>
        <v>58514.501477729136</v>
      </c>
      <c r="P248" s="173">
        <f t="shared" si="157"/>
        <v>0</v>
      </c>
      <c r="Q248" s="173">
        <f t="shared" si="158"/>
        <v>59607.127914687429</v>
      </c>
      <c r="R248" s="173">
        <f t="shared" si="159"/>
        <v>0</v>
      </c>
      <c r="S248" s="173">
        <f t="shared" si="160"/>
        <v>60721.286650756818</v>
      </c>
      <c r="U248" s="87" t="s">
        <v>197</v>
      </c>
      <c r="V248" s="87" t="s">
        <v>198</v>
      </c>
      <c r="W248" s="173">
        <f t="shared" si="161"/>
        <v>0</v>
      </c>
      <c r="X248" s="173">
        <f t="shared" si="195"/>
        <v>56634.450937427348</v>
      </c>
      <c r="Y248" s="173">
        <f t="shared" si="196"/>
        <v>0</v>
      </c>
      <c r="Z248" s="173">
        <f t="shared" si="197"/>
        <v>58514.501477729136</v>
      </c>
      <c r="AA248" s="173">
        <f t="shared" si="198"/>
        <v>0</v>
      </c>
      <c r="AB248" s="173">
        <f t="shared" si="199"/>
        <v>59607.127914687429</v>
      </c>
      <c r="AC248" s="173">
        <f t="shared" si="200"/>
        <v>0</v>
      </c>
      <c r="AD248" s="173">
        <f t="shared" si="201"/>
        <v>60721.286650756818</v>
      </c>
      <c r="AF248" s="87" t="s">
        <v>197</v>
      </c>
      <c r="AG248" s="87" t="s">
        <v>198</v>
      </c>
      <c r="AH248" s="173">
        <f t="shared" si="162"/>
        <v>0</v>
      </c>
      <c r="AI248" s="173">
        <f t="shared" si="163"/>
        <v>56634.450937427348</v>
      </c>
      <c r="AJ248" s="173">
        <f t="shared" si="164"/>
        <v>0</v>
      </c>
      <c r="AK248" s="173">
        <f t="shared" si="165"/>
        <v>57957.201070887488</v>
      </c>
      <c r="AL248" s="173">
        <f t="shared" si="166"/>
        <v>0</v>
      </c>
      <c r="AM248" s="173">
        <f t="shared" si="167"/>
        <v>58266.432253288061</v>
      </c>
      <c r="AN248" s="173">
        <f t="shared" si="168"/>
        <v>0</v>
      </c>
      <c r="AO248" s="173">
        <f t="shared" si="169"/>
        <v>59657.494556605918</v>
      </c>
      <c r="AQ248" s="87" t="s">
        <v>197</v>
      </c>
      <c r="AR248" s="87" t="s">
        <v>198</v>
      </c>
      <c r="AS248" s="173">
        <f t="shared" si="170"/>
        <v>0</v>
      </c>
      <c r="AT248" s="173">
        <f t="shared" si="171"/>
        <v>56634.450937427348</v>
      </c>
      <c r="AU248" s="173">
        <f t="shared" si="172"/>
        <v>0</v>
      </c>
      <c r="AV248" s="173">
        <f t="shared" si="173"/>
        <v>59976.824114112693</v>
      </c>
      <c r="AW248" s="173">
        <f t="shared" si="174"/>
        <v>0</v>
      </c>
      <c r="AX248" s="173">
        <f t="shared" si="175"/>
        <v>61046.055850196273</v>
      </c>
      <c r="AY248" s="173">
        <f t="shared" si="176"/>
        <v>0</v>
      </c>
      <c r="AZ248" s="173">
        <f t="shared" si="177"/>
        <v>62191.198778726495</v>
      </c>
      <c r="BB248" s="87" t="s">
        <v>197</v>
      </c>
      <c r="BC248" s="87" t="s">
        <v>198</v>
      </c>
      <c r="BD248" s="173">
        <f t="shared" si="178"/>
        <v>0</v>
      </c>
      <c r="BE248" s="173">
        <f t="shared" si="179"/>
        <v>56634.450937427348</v>
      </c>
      <c r="BF248" s="173">
        <f t="shared" si="180"/>
        <v>0</v>
      </c>
      <c r="BG248" s="173">
        <f t="shared" si="181"/>
        <v>59976.824114112693</v>
      </c>
      <c r="BH248" s="173">
        <f t="shared" si="182"/>
        <v>0</v>
      </c>
      <c r="BI248" s="173">
        <f t="shared" si="183"/>
        <v>61046.055850196273</v>
      </c>
      <c r="BJ248" s="173">
        <f t="shared" si="184"/>
        <v>0</v>
      </c>
      <c r="BK248" s="173">
        <f t="shared" si="185"/>
        <v>62191.198778726495</v>
      </c>
      <c r="BM248" s="87" t="s">
        <v>197</v>
      </c>
      <c r="BN248" s="87" t="s">
        <v>198</v>
      </c>
      <c r="BO248" s="173">
        <f t="shared" si="186"/>
        <v>0</v>
      </c>
      <c r="BP248" s="173">
        <f t="shared" si="187"/>
        <v>56634.450937427348</v>
      </c>
      <c r="BQ248" s="173">
        <f t="shared" si="188"/>
        <v>0</v>
      </c>
      <c r="BR248" s="173">
        <f t="shared" si="189"/>
        <v>59405.254588222655</v>
      </c>
      <c r="BS248" s="173">
        <f t="shared" si="190"/>
        <v>0</v>
      </c>
      <c r="BT248" s="173">
        <f t="shared" si="191"/>
        <v>59672.488657840528</v>
      </c>
      <c r="BU248" s="173">
        <f t="shared" si="192"/>
        <v>0</v>
      </c>
      <c r="BV248" s="173">
        <f t="shared" si="193"/>
        <v>61101.073289521344</v>
      </c>
    </row>
    <row r="249" spans="5:74">
      <c r="E249" s="87" t="s">
        <v>439</v>
      </c>
      <c r="F249" s="87" t="s">
        <v>440</v>
      </c>
      <c r="G249" s="173">
        <f>IFERROR(IF(VLOOKUP(E249,A:C,3,FALSE)="YES",VLOOKUP(E249,'School Year 2021-22 SPED coop'!A:P,16,FALSE),0),0)</f>
        <v>0</v>
      </c>
      <c r="H249" s="173">
        <f t="shared" si="194"/>
        <v>11946898.08</v>
      </c>
      <c r="J249" s="87" t="s">
        <v>439</v>
      </c>
      <c r="K249" s="87" t="s">
        <v>440</v>
      </c>
      <c r="L249" s="173">
        <f t="shared" si="153"/>
        <v>0</v>
      </c>
      <c r="M249" s="173">
        <f t="shared" si="154"/>
        <v>12091594.498744344</v>
      </c>
      <c r="N249" s="173">
        <f t="shared" si="155"/>
        <v>0</v>
      </c>
      <c r="O249" s="173">
        <f t="shared" si="156"/>
        <v>12335174.320142569</v>
      </c>
      <c r="P249" s="173">
        <f t="shared" si="157"/>
        <v>0</v>
      </c>
      <c r="Q249" s="173">
        <f t="shared" si="158"/>
        <v>12565510.216538718</v>
      </c>
      <c r="R249" s="173">
        <f t="shared" si="159"/>
        <v>0</v>
      </c>
      <c r="S249" s="173">
        <f t="shared" si="160"/>
        <v>12800388.4572237</v>
      </c>
      <c r="U249" s="87" t="s">
        <v>439</v>
      </c>
      <c r="V249" s="87" t="s">
        <v>440</v>
      </c>
      <c r="W249" s="173">
        <f t="shared" si="161"/>
        <v>0</v>
      </c>
      <c r="X249" s="173">
        <f t="shared" si="195"/>
        <v>12091594.498744344</v>
      </c>
      <c r="Y249" s="173">
        <f t="shared" si="196"/>
        <v>0</v>
      </c>
      <c r="Z249" s="173">
        <f t="shared" si="197"/>
        <v>12395653.587123759</v>
      </c>
      <c r="AA249" s="173">
        <f t="shared" si="198"/>
        <v>0</v>
      </c>
      <c r="AB249" s="173">
        <f t="shared" si="199"/>
        <v>12636533.406657379</v>
      </c>
      <c r="AC249" s="173">
        <f t="shared" si="200"/>
        <v>0</v>
      </c>
      <c r="AD249" s="173">
        <f t="shared" si="201"/>
        <v>12894944.067478314</v>
      </c>
      <c r="AF249" s="87" t="s">
        <v>439</v>
      </c>
      <c r="AG249" s="87" t="s">
        <v>440</v>
      </c>
      <c r="AH249" s="173">
        <f t="shared" si="162"/>
        <v>0</v>
      </c>
      <c r="AI249" s="173">
        <f t="shared" si="163"/>
        <v>12091594.498744344</v>
      </c>
      <c r="AJ249" s="173">
        <f t="shared" si="164"/>
        <v>0</v>
      </c>
      <c r="AK249" s="173">
        <f t="shared" si="165"/>
        <v>12295629.613513244</v>
      </c>
      <c r="AL249" s="173">
        <f t="shared" si="166"/>
        <v>0</v>
      </c>
      <c r="AM249" s="173">
        <f t="shared" si="167"/>
        <v>12525230.548620265</v>
      </c>
      <c r="AN249" s="173">
        <f t="shared" si="168"/>
        <v>0</v>
      </c>
      <c r="AO249" s="173">
        <f t="shared" si="169"/>
        <v>12759362.414852448</v>
      </c>
      <c r="AQ249" s="87" t="s">
        <v>439</v>
      </c>
      <c r="AR249" s="87" t="s">
        <v>440</v>
      </c>
      <c r="AS249" s="173">
        <f t="shared" si="170"/>
        <v>0</v>
      </c>
      <c r="AT249" s="173">
        <f t="shared" si="171"/>
        <v>12091594.498744344</v>
      </c>
      <c r="AU249" s="173">
        <f t="shared" si="172"/>
        <v>0</v>
      </c>
      <c r="AV249" s="173">
        <f t="shared" si="173"/>
        <v>12643464.102543332</v>
      </c>
      <c r="AW249" s="173">
        <f t="shared" si="174"/>
        <v>0</v>
      </c>
      <c r="AX249" s="173">
        <f t="shared" si="175"/>
        <v>12868871.435462534</v>
      </c>
      <c r="AY249" s="173">
        <f t="shared" si="176"/>
        <v>0</v>
      </c>
      <c r="AZ249" s="173">
        <f t="shared" si="177"/>
        <v>13110281.92797423</v>
      </c>
      <c r="BB249" s="87" t="s">
        <v>439</v>
      </c>
      <c r="BC249" s="87" t="s">
        <v>440</v>
      </c>
      <c r="BD249" s="173">
        <f t="shared" si="178"/>
        <v>0</v>
      </c>
      <c r="BE249" s="173">
        <f t="shared" si="179"/>
        <v>12091594.498744344</v>
      </c>
      <c r="BF249" s="173">
        <f t="shared" si="180"/>
        <v>0</v>
      </c>
      <c r="BG249" s="173">
        <f t="shared" si="181"/>
        <v>12705454.912779724</v>
      </c>
      <c r="BH249" s="173">
        <f t="shared" si="182"/>
        <v>0</v>
      </c>
      <c r="BI249" s="173">
        <f t="shared" si="183"/>
        <v>12941609.295672629</v>
      </c>
      <c r="BJ249" s="173">
        <f t="shared" si="184"/>
        <v>0</v>
      </c>
      <c r="BK249" s="173">
        <f t="shared" si="185"/>
        <v>13207126.705801062</v>
      </c>
      <c r="BM249" s="87" t="s">
        <v>439</v>
      </c>
      <c r="BN249" s="87" t="s">
        <v>440</v>
      </c>
      <c r="BO249" s="173">
        <f t="shared" si="186"/>
        <v>0</v>
      </c>
      <c r="BP249" s="173">
        <f t="shared" si="187"/>
        <v>12091594.498744344</v>
      </c>
      <c r="BQ249" s="173">
        <f t="shared" si="188"/>
        <v>0</v>
      </c>
      <c r="BR249" s="173">
        <f t="shared" si="189"/>
        <v>12602912.973108016</v>
      </c>
      <c r="BS249" s="173">
        <f t="shared" si="190"/>
        <v>0</v>
      </c>
      <c r="BT249" s="173">
        <f t="shared" si="191"/>
        <v>12827603.532744976</v>
      </c>
      <c r="BU249" s="173">
        <f t="shared" si="192"/>
        <v>0</v>
      </c>
      <c r="BV249" s="173">
        <f t="shared" si="193"/>
        <v>13068246.379138134</v>
      </c>
    </row>
    <row r="250" spans="5:74">
      <c r="E250" s="87" t="s">
        <v>209</v>
      </c>
      <c r="F250" s="87" t="s">
        <v>210</v>
      </c>
      <c r="G250" s="173">
        <f>IFERROR(IF(VLOOKUP(E250,A:C,3,FALSE)="YES",VLOOKUP(E250,'School Year 2021-22 SPED coop'!A:P,16,FALSE),0),0)</f>
        <v>0</v>
      </c>
      <c r="H250" s="173">
        <f t="shared" si="194"/>
        <v>7122816.6100000013</v>
      </c>
      <c r="J250" s="87" t="s">
        <v>209</v>
      </c>
      <c r="K250" s="87" t="s">
        <v>210</v>
      </c>
      <c r="L250" s="173">
        <f t="shared" si="153"/>
        <v>0</v>
      </c>
      <c r="M250" s="173">
        <f t="shared" si="154"/>
        <v>7205361.7576231575</v>
      </c>
      <c r="N250" s="173">
        <f t="shared" si="155"/>
        <v>0</v>
      </c>
      <c r="O250" s="173">
        <f t="shared" si="156"/>
        <v>7444433.2439655503</v>
      </c>
      <c r="P250" s="173">
        <f t="shared" si="157"/>
        <v>0</v>
      </c>
      <c r="Q250" s="173">
        <f t="shared" si="158"/>
        <v>7583434.4717598613</v>
      </c>
      <c r="R250" s="173">
        <f t="shared" si="159"/>
        <v>0</v>
      </c>
      <c r="S250" s="173">
        <f t="shared" si="160"/>
        <v>7725169.20151316</v>
      </c>
      <c r="U250" s="87" t="s">
        <v>209</v>
      </c>
      <c r="V250" s="87" t="s">
        <v>210</v>
      </c>
      <c r="W250" s="173">
        <f t="shared" si="161"/>
        <v>0</v>
      </c>
      <c r="X250" s="173">
        <f t="shared" si="195"/>
        <v>7205361.7576231575</v>
      </c>
      <c r="Y250" s="173">
        <f t="shared" si="196"/>
        <v>0</v>
      </c>
      <c r="Z250" s="173">
        <f t="shared" si="197"/>
        <v>7480933.9967792779</v>
      </c>
      <c r="AA250" s="173">
        <f t="shared" si="198"/>
        <v>0</v>
      </c>
      <c r="AB250" s="173">
        <f t="shared" si="199"/>
        <v>7626291.3772921311</v>
      </c>
      <c r="AC250" s="173">
        <f t="shared" si="200"/>
        <v>0</v>
      </c>
      <c r="AD250" s="173">
        <f t="shared" si="201"/>
        <v>7782229.9102539979</v>
      </c>
      <c r="AF250" s="87" t="s">
        <v>209</v>
      </c>
      <c r="AG250" s="87" t="s">
        <v>210</v>
      </c>
      <c r="AH250" s="173">
        <f t="shared" si="162"/>
        <v>0</v>
      </c>
      <c r="AI250" s="173">
        <f t="shared" si="163"/>
        <v>7205361.7576231575</v>
      </c>
      <c r="AJ250" s="173">
        <f t="shared" si="164"/>
        <v>0</v>
      </c>
      <c r="AK250" s="173">
        <f t="shared" si="165"/>
        <v>7431029.6085569169</v>
      </c>
      <c r="AL250" s="173">
        <f t="shared" si="166"/>
        <v>0</v>
      </c>
      <c r="AM250" s="173">
        <f t="shared" si="167"/>
        <v>7559315.0731401984</v>
      </c>
      <c r="AN250" s="173">
        <f t="shared" si="168"/>
        <v>0</v>
      </c>
      <c r="AO250" s="173">
        <f t="shared" si="169"/>
        <v>7732238.6582836099</v>
      </c>
      <c r="AQ250" s="87" t="s">
        <v>209</v>
      </c>
      <c r="AR250" s="87" t="s">
        <v>210</v>
      </c>
      <c r="AS250" s="173">
        <f t="shared" si="170"/>
        <v>0</v>
      </c>
      <c r="AT250" s="173">
        <f t="shared" si="171"/>
        <v>7205361.7576231575</v>
      </c>
      <c r="AU250" s="173">
        <f t="shared" si="172"/>
        <v>0</v>
      </c>
      <c r="AV250" s="173">
        <f t="shared" si="173"/>
        <v>7630496.3391891047</v>
      </c>
      <c r="AW250" s="173">
        <f t="shared" si="174"/>
        <v>0</v>
      </c>
      <c r="AX250" s="173">
        <f t="shared" si="175"/>
        <v>7766516.4920247504</v>
      </c>
      <c r="AY250" s="173">
        <f t="shared" si="176"/>
        <v>0</v>
      </c>
      <c r="AZ250" s="173">
        <f t="shared" si="177"/>
        <v>7912193.4897746369</v>
      </c>
      <c r="BB250" s="87" t="s">
        <v>209</v>
      </c>
      <c r="BC250" s="87" t="s">
        <v>210</v>
      </c>
      <c r="BD250" s="173">
        <f t="shared" si="178"/>
        <v>0</v>
      </c>
      <c r="BE250" s="173">
        <f t="shared" si="179"/>
        <v>7205361.7576231575</v>
      </c>
      <c r="BF250" s="173">
        <f t="shared" si="180"/>
        <v>0</v>
      </c>
      <c r="BG250" s="173">
        <f t="shared" si="181"/>
        <v>7667909.377679918</v>
      </c>
      <c r="BH250" s="173">
        <f t="shared" si="182"/>
        <v>0</v>
      </c>
      <c r="BI250" s="173">
        <f t="shared" si="183"/>
        <v>7810408.0619581491</v>
      </c>
      <c r="BJ250" s="173">
        <f t="shared" si="184"/>
        <v>0</v>
      </c>
      <c r="BK250" s="173">
        <f t="shared" si="185"/>
        <v>7970635.6236660592</v>
      </c>
      <c r="BM250" s="87" t="s">
        <v>209</v>
      </c>
      <c r="BN250" s="87" t="s">
        <v>210</v>
      </c>
      <c r="BO250" s="173">
        <f t="shared" si="186"/>
        <v>0</v>
      </c>
      <c r="BP250" s="173">
        <f t="shared" si="187"/>
        <v>7205361.7576231575</v>
      </c>
      <c r="BQ250" s="173">
        <f t="shared" si="188"/>
        <v>0</v>
      </c>
      <c r="BR250" s="173">
        <f t="shared" si="189"/>
        <v>7616751.215122303</v>
      </c>
      <c r="BS250" s="173">
        <f t="shared" si="190"/>
        <v>0</v>
      </c>
      <c r="BT250" s="173">
        <f t="shared" si="191"/>
        <v>7741806.3843017351</v>
      </c>
      <c r="BU250" s="173">
        <f t="shared" si="192"/>
        <v>0</v>
      </c>
      <c r="BV250" s="173">
        <f t="shared" si="193"/>
        <v>7919438.9833817696</v>
      </c>
    </row>
    <row r="251" spans="5:74">
      <c r="E251" s="87" t="s">
        <v>129</v>
      </c>
      <c r="F251" s="87" t="s">
        <v>130</v>
      </c>
      <c r="G251" s="173">
        <f>IFERROR(IF(VLOOKUP(E251,A:C,3,FALSE)="YES",VLOOKUP(E251,'School Year 2021-22 SPED coop'!A:P,16,FALSE),0),0)</f>
        <v>0</v>
      </c>
      <c r="H251" s="173">
        <f t="shared" si="194"/>
        <v>679359.17</v>
      </c>
      <c r="J251" s="87" t="s">
        <v>129</v>
      </c>
      <c r="K251" s="87" t="s">
        <v>130</v>
      </c>
      <c r="L251" s="173">
        <f t="shared" si="153"/>
        <v>0</v>
      </c>
      <c r="M251" s="173">
        <f t="shared" si="154"/>
        <v>691724.8891853739</v>
      </c>
      <c r="N251" s="173">
        <f t="shared" si="155"/>
        <v>0</v>
      </c>
      <c r="O251" s="173">
        <f t="shared" si="156"/>
        <v>715156.54766642291</v>
      </c>
      <c r="P251" s="173">
        <f t="shared" si="157"/>
        <v>0</v>
      </c>
      <c r="Q251" s="173">
        <f t="shared" si="158"/>
        <v>728403.35740430024</v>
      </c>
      <c r="R251" s="173">
        <f t="shared" si="159"/>
        <v>0</v>
      </c>
      <c r="S251" s="173">
        <f t="shared" si="160"/>
        <v>741816.91470584716</v>
      </c>
      <c r="U251" s="87" t="s">
        <v>129</v>
      </c>
      <c r="V251" s="87" t="s">
        <v>130</v>
      </c>
      <c r="W251" s="173">
        <f t="shared" si="161"/>
        <v>0</v>
      </c>
      <c r="X251" s="173">
        <f t="shared" si="195"/>
        <v>691724.8891853739</v>
      </c>
      <c r="Y251" s="173">
        <f t="shared" si="196"/>
        <v>0</v>
      </c>
      <c r="Z251" s="173">
        <f t="shared" si="197"/>
        <v>718654.64612326387</v>
      </c>
      <c r="AA251" s="173">
        <f t="shared" si="198"/>
        <v>0</v>
      </c>
      <c r="AB251" s="173">
        <f t="shared" si="199"/>
        <v>732528.32266263198</v>
      </c>
      <c r="AC251" s="173">
        <f t="shared" si="200"/>
        <v>0</v>
      </c>
      <c r="AD251" s="173">
        <f t="shared" si="201"/>
        <v>747288.41825456568</v>
      </c>
      <c r="AF251" s="87" t="s">
        <v>129</v>
      </c>
      <c r="AG251" s="87" t="s">
        <v>130</v>
      </c>
      <c r="AH251" s="173">
        <f t="shared" si="162"/>
        <v>0</v>
      </c>
      <c r="AI251" s="173">
        <f t="shared" si="163"/>
        <v>691724.8891853739</v>
      </c>
      <c r="AJ251" s="173">
        <f t="shared" si="164"/>
        <v>0</v>
      </c>
      <c r="AK251" s="173">
        <f t="shared" si="165"/>
        <v>714054.90404272266</v>
      </c>
      <c r="AL251" s="173">
        <f t="shared" si="166"/>
        <v>0</v>
      </c>
      <c r="AM251" s="173">
        <f t="shared" si="167"/>
        <v>727281.76172467601</v>
      </c>
      <c r="AN251" s="173">
        <f t="shared" si="168"/>
        <v>0</v>
      </c>
      <c r="AO251" s="173">
        <f t="shared" si="169"/>
        <v>740675.48817458283</v>
      </c>
      <c r="AQ251" s="87" t="s">
        <v>129</v>
      </c>
      <c r="AR251" s="87" t="s">
        <v>130</v>
      </c>
      <c r="AS251" s="173">
        <f t="shared" si="170"/>
        <v>0</v>
      </c>
      <c r="AT251" s="173">
        <f t="shared" si="171"/>
        <v>691724.8891853739</v>
      </c>
      <c r="AU251" s="173">
        <f t="shared" si="172"/>
        <v>0</v>
      </c>
      <c r="AV251" s="173">
        <f t="shared" si="173"/>
        <v>732760.59628473897</v>
      </c>
      <c r="AW251" s="173">
        <f t="shared" si="174"/>
        <v>0</v>
      </c>
      <c r="AX251" s="173">
        <f t="shared" si="175"/>
        <v>745632.69010898122</v>
      </c>
      <c r="AY251" s="173">
        <f t="shared" si="176"/>
        <v>0</v>
      </c>
      <c r="AZ251" s="173">
        <f t="shared" si="177"/>
        <v>759418.64901269739</v>
      </c>
      <c r="BB251" s="87" t="s">
        <v>129</v>
      </c>
      <c r="BC251" s="87" t="s">
        <v>130</v>
      </c>
      <c r="BD251" s="173">
        <f t="shared" si="178"/>
        <v>0</v>
      </c>
      <c r="BE251" s="173">
        <f t="shared" si="179"/>
        <v>691724.8891853739</v>
      </c>
      <c r="BF251" s="173">
        <f t="shared" si="180"/>
        <v>0</v>
      </c>
      <c r="BG251" s="173">
        <f t="shared" si="181"/>
        <v>736344.79837192246</v>
      </c>
      <c r="BH251" s="173">
        <f t="shared" si="182"/>
        <v>0</v>
      </c>
      <c r="BI251" s="173">
        <f t="shared" si="183"/>
        <v>749855.22928419942</v>
      </c>
      <c r="BJ251" s="173">
        <f t="shared" si="184"/>
        <v>0</v>
      </c>
      <c r="BK251" s="173">
        <f t="shared" si="185"/>
        <v>765019.97600080166</v>
      </c>
      <c r="BM251" s="87" t="s">
        <v>129</v>
      </c>
      <c r="BN251" s="87" t="s">
        <v>130</v>
      </c>
      <c r="BO251" s="173">
        <f t="shared" si="186"/>
        <v>0</v>
      </c>
      <c r="BP251" s="173">
        <f t="shared" si="187"/>
        <v>691724.8891853739</v>
      </c>
      <c r="BQ251" s="173">
        <f t="shared" si="188"/>
        <v>0</v>
      </c>
      <c r="BR251" s="173">
        <f t="shared" si="189"/>
        <v>731631.66249562928</v>
      </c>
      <c r="BS251" s="173">
        <f t="shared" si="190"/>
        <v>0</v>
      </c>
      <c r="BT251" s="173">
        <f t="shared" si="191"/>
        <v>744484.70286718966</v>
      </c>
      <c r="BU251" s="173">
        <f t="shared" si="192"/>
        <v>0</v>
      </c>
      <c r="BV251" s="173">
        <f t="shared" si="193"/>
        <v>758250.26052170817</v>
      </c>
    </row>
    <row r="252" spans="5:74">
      <c r="E252" s="87" t="s">
        <v>347</v>
      </c>
      <c r="F252" s="87" t="s">
        <v>348</v>
      </c>
      <c r="G252" s="173">
        <f>IFERROR(IF(VLOOKUP(E252,A:C,3,FALSE)="YES",VLOOKUP(E252,'School Year 2021-22 SPED coop'!A:P,16,FALSE),0),0)</f>
        <v>0</v>
      </c>
      <c r="H252" s="173">
        <f t="shared" si="194"/>
        <v>688658.09</v>
      </c>
      <c r="J252" s="87" t="s">
        <v>347</v>
      </c>
      <c r="K252" s="87" t="s">
        <v>348</v>
      </c>
      <c r="L252" s="173">
        <f t="shared" si="153"/>
        <v>0</v>
      </c>
      <c r="M252" s="173">
        <f t="shared" si="154"/>
        <v>696289.58867765113</v>
      </c>
      <c r="N252" s="173">
        <f t="shared" si="155"/>
        <v>0</v>
      </c>
      <c r="O252" s="173">
        <f t="shared" si="156"/>
        <v>719873.46147980972</v>
      </c>
      <c r="P252" s="173">
        <f t="shared" si="157"/>
        <v>0</v>
      </c>
      <c r="Q252" s="173">
        <f t="shared" si="158"/>
        <v>733207.45485377917</v>
      </c>
      <c r="R252" s="173">
        <f t="shared" si="159"/>
        <v>0</v>
      </c>
      <c r="S252" s="173">
        <f t="shared" si="160"/>
        <v>746709.13467886741</v>
      </c>
      <c r="U252" s="87" t="s">
        <v>347</v>
      </c>
      <c r="V252" s="87" t="s">
        <v>348</v>
      </c>
      <c r="W252" s="173">
        <f t="shared" si="161"/>
        <v>0</v>
      </c>
      <c r="X252" s="173">
        <f t="shared" si="195"/>
        <v>696289.58867765113</v>
      </c>
      <c r="Y252" s="173">
        <f t="shared" si="196"/>
        <v>0</v>
      </c>
      <c r="Z252" s="173">
        <f t="shared" si="197"/>
        <v>723398.85014450026</v>
      </c>
      <c r="AA252" s="173">
        <f t="shared" si="198"/>
        <v>0</v>
      </c>
      <c r="AB252" s="173">
        <f t="shared" si="199"/>
        <v>737356.41557422106</v>
      </c>
      <c r="AC252" s="173">
        <f t="shared" si="200"/>
        <v>0</v>
      </c>
      <c r="AD252" s="173">
        <f t="shared" si="201"/>
        <v>752215.91631790169</v>
      </c>
      <c r="AF252" s="87" t="s">
        <v>347</v>
      </c>
      <c r="AG252" s="87" t="s">
        <v>348</v>
      </c>
      <c r="AH252" s="173">
        <f t="shared" si="162"/>
        <v>0</v>
      </c>
      <c r="AI252" s="173">
        <f t="shared" si="163"/>
        <v>696289.58867765113</v>
      </c>
      <c r="AJ252" s="173">
        <f t="shared" si="164"/>
        <v>0</v>
      </c>
      <c r="AK252" s="173">
        <f t="shared" si="165"/>
        <v>717854.10620910046</v>
      </c>
      <c r="AL252" s="173">
        <f t="shared" si="166"/>
        <v>0</v>
      </c>
      <c r="AM252" s="173">
        <f t="shared" si="167"/>
        <v>732260.82751516625</v>
      </c>
      <c r="AN252" s="173">
        <f t="shared" si="168"/>
        <v>0</v>
      </c>
      <c r="AO252" s="173">
        <f t="shared" si="169"/>
        <v>744004.64985854935</v>
      </c>
      <c r="AQ252" s="87" t="s">
        <v>347</v>
      </c>
      <c r="AR252" s="87" t="s">
        <v>348</v>
      </c>
      <c r="AS252" s="173">
        <f t="shared" si="170"/>
        <v>0</v>
      </c>
      <c r="AT252" s="173">
        <f t="shared" si="171"/>
        <v>696289.58867765113</v>
      </c>
      <c r="AU252" s="173">
        <f t="shared" si="172"/>
        <v>0</v>
      </c>
      <c r="AV252" s="173">
        <f t="shared" si="173"/>
        <v>737594.07279947726</v>
      </c>
      <c r="AW252" s="173">
        <f t="shared" si="174"/>
        <v>0</v>
      </c>
      <c r="AX252" s="173">
        <f t="shared" si="175"/>
        <v>750550.7487613858</v>
      </c>
      <c r="AY252" s="173">
        <f t="shared" si="176"/>
        <v>0</v>
      </c>
      <c r="AZ252" s="173">
        <f t="shared" si="177"/>
        <v>764427.29304107139</v>
      </c>
      <c r="BB252" s="87" t="s">
        <v>347</v>
      </c>
      <c r="BC252" s="87" t="s">
        <v>348</v>
      </c>
      <c r="BD252" s="173">
        <f t="shared" si="178"/>
        <v>0</v>
      </c>
      <c r="BE252" s="173">
        <f t="shared" si="179"/>
        <v>696289.58867765113</v>
      </c>
      <c r="BF252" s="173">
        <f t="shared" si="180"/>
        <v>0</v>
      </c>
      <c r="BG252" s="173">
        <f t="shared" si="181"/>
        <v>741206.24128715857</v>
      </c>
      <c r="BH252" s="173">
        <f t="shared" si="182"/>
        <v>0</v>
      </c>
      <c r="BI252" s="173">
        <f t="shared" si="183"/>
        <v>754797.85133437335</v>
      </c>
      <c r="BJ252" s="173">
        <f t="shared" si="184"/>
        <v>0</v>
      </c>
      <c r="BK252" s="173">
        <f t="shared" si="185"/>
        <v>770064.73731126531</v>
      </c>
      <c r="BM252" s="87" t="s">
        <v>347</v>
      </c>
      <c r="BN252" s="87" t="s">
        <v>348</v>
      </c>
      <c r="BO252" s="173">
        <f t="shared" si="186"/>
        <v>0</v>
      </c>
      <c r="BP252" s="173">
        <f t="shared" si="187"/>
        <v>696289.58867765113</v>
      </c>
      <c r="BQ252" s="173">
        <f t="shared" si="188"/>
        <v>0</v>
      </c>
      <c r="BR252" s="173">
        <f t="shared" si="189"/>
        <v>735525.14227959223</v>
      </c>
      <c r="BS252" s="173">
        <f t="shared" si="190"/>
        <v>0</v>
      </c>
      <c r="BT252" s="173">
        <f t="shared" si="191"/>
        <v>749582.47836192162</v>
      </c>
      <c r="BU252" s="173">
        <f t="shared" si="192"/>
        <v>0</v>
      </c>
      <c r="BV252" s="173">
        <f t="shared" si="193"/>
        <v>761658.53229539667</v>
      </c>
    </row>
    <row r="253" spans="5:74">
      <c r="E253" s="87" t="s">
        <v>235</v>
      </c>
      <c r="F253" s="87" t="s">
        <v>236</v>
      </c>
      <c r="G253" s="173">
        <f>IFERROR(IF(VLOOKUP(E253,A:C,3,FALSE)="YES",VLOOKUP(E253,'School Year 2021-22 SPED coop'!A:P,16,FALSE),0),0)</f>
        <v>0</v>
      </c>
      <c r="H253" s="173">
        <f t="shared" si="194"/>
        <v>13999150.260000002</v>
      </c>
      <c r="J253" s="87" t="s">
        <v>235</v>
      </c>
      <c r="K253" s="87" t="s">
        <v>236</v>
      </c>
      <c r="L253" s="173">
        <f t="shared" si="153"/>
        <v>0</v>
      </c>
      <c r="M253" s="173">
        <f t="shared" si="154"/>
        <v>14160153.424608892</v>
      </c>
      <c r="N253" s="173">
        <f t="shared" si="155"/>
        <v>0</v>
      </c>
      <c r="O253" s="173">
        <f t="shared" si="156"/>
        <v>14630026.759568095</v>
      </c>
      <c r="P253" s="173">
        <f t="shared" si="157"/>
        <v>0</v>
      </c>
      <c r="Q253" s="173">
        <f t="shared" si="158"/>
        <v>14903216.238033742</v>
      </c>
      <c r="R253" s="173">
        <f t="shared" si="159"/>
        <v>0</v>
      </c>
      <c r="S253" s="173">
        <f t="shared" si="160"/>
        <v>15181794.29728712</v>
      </c>
      <c r="U253" s="87" t="s">
        <v>235</v>
      </c>
      <c r="V253" s="87" t="s">
        <v>236</v>
      </c>
      <c r="W253" s="173">
        <f t="shared" si="161"/>
        <v>0</v>
      </c>
      <c r="X253" s="173">
        <f t="shared" si="195"/>
        <v>14160153.424608892</v>
      </c>
      <c r="Y253" s="173">
        <f t="shared" si="196"/>
        <v>0</v>
      </c>
      <c r="Z253" s="173">
        <f t="shared" si="197"/>
        <v>14701735.164051972</v>
      </c>
      <c r="AA253" s="173">
        <f t="shared" si="198"/>
        <v>0</v>
      </c>
      <c r="AB253" s="173">
        <f t="shared" si="199"/>
        <v>14987437.720403677</v>
      </c>
      <c r="AC253" s="173">
        <f t="shared" si="200"/>
        <v>0</v>
      </c>
      <c r="AD253" s="173">
        <f t="shared" si="201"/>
        <v>15293921.425111394</v>
      </c>
      <c r="AF253" s="87" t="s">
        <v>235</v>
      </c>
      <c r="AG253" s="87" t="s">
        <v>236</v>
      </c>
      <c r="AH253" s="173">
        <f t="shared" si="162"/>
        <v>0</v>
      </c>
      <c r="AI253" s="173">
        <f t="shared" si="163"/>
        <v>14160153.424608892</v>
      </c>
      <c r="AJ253" s="173">
        <f t="shared" si="164"/>
        <v>0</v>
      </c>
      <c r="AK253" s="173">
        <f t="shared" si="165"/>
        <v>14623339.451071138</v>
      </c>
      <c r="AL253" s="173">
        <f t="shared" si="166"/>
        <v>0</v>
      </c>
      <c r="AM253" s="173">
        <f t="shared" si="167"/>
        <v>14902058.758967381</v>
      </c>
      <c r="AN253" s="173">
        <f t="shared" si="168"/>
        <v>0</v>
      </c>
      <c r="AO253" s="173">
        <f t="shared" si="169"/>
        <v>15182551.863902522</v>
      </c>
      <c r="AQ253" s="87" t="s">
        <v>235</v>
      </c>
      <c r="AR253" s="87" t="s">
        <v>236</v>
      </c>
      <c r="AS253" s="173">
        <f t="shared" si="170"/>
        <v>0</v>
      </c>
      <c r="AT253" s="173">
        <f t="shared" si="171"/>
        <v>14160153.424608892</v>
      </c>
      <c r="AU253" s="173">
        <f t="shared" si="172"/>
        <v>0</v>
      </c>
      <c r="AV253" s="173">
        <f t="shared" si="173"/>
        <v>14995680.399673477</v>
      </c>
      <c r="AW253" s="173">
        <f t="shared" si="174"/>
        <v>0</v>
      </c>
      <c r="AX253" s="173">
        <f t="shared" si="175"/>
        <v>15263025.558360213</v>
      </c>
      <c r="AY253" s="173">
        <f t="shared" si="176"/>
        <v>0</v>
      </c>
      <c r="AZ253" s="173">
        <f t="shared" si="177"/>
        <v>15549351.370552259</v>
      </c>
      <c r="BB253" s="87" t="s">
        <v>235</v>
      </c>
      <c r="BC253" s="87" t="s">
        <v>236</v>
      </c>
      <c r="BD253" s="173">
        <f t="shared" si="178"/>
        <v>0</v>
      </c>
      <c r="BE253" s="173">
        <f t="shared" si="179"/>
        <v>14160153.424608892</v>
      </c>
      <c r="BF253" s="173">
        <f t="shared" si="180"/>
        <v>0</v>
      </c>
      <c r="BG253" s="173">
        <f t="shared" si="181"/>
        <v>15069181.026235109</v>
      </c>
      <c r="BH253" s="173">
        <f t="shared" si="182"/>
        <v>0</v>
      </c>
      <c r="BI253" s="173">
        <f t="shared" si="183"/>
        <v>15349280.399193378</v>
      </c>
      <c r="BJ253" s="173">
        <f t="shared" si="184"/>
        <v>0</v>
      </c>
      <c r="BK253" s="173">
        <f t="shared" si="185"/>
        <v>15664193.134307446</v>
      </c>
      <c r="BM253" s="87" t="s">
        <v>235</v>
      </c>
      <c r="BN253" s="87" t="s">
        <v>236</v>
      </c>
      <c r="BO253" s="173">
        <f t="shared" si="186"/>
        <v>0</v>
      </c>
      <c r="BP253" s="173">
        <f t="shared" si="187"/>
        <v>14160153.424608892</v>
      </c>
      <c r="BQ253" s="173">
        <f t="shared" si="188"/>
        <v>0</v>
      </c>
      <c r="BR253" s="173">
        <f t="shared" si="189"/>
        <v>14988822.803193342</v>
      </c>
      <c r="BS253" s="173">
        <f t="shared" si="190"/>
        <v>0</v>
      </c>
      <c r="BT253" s="173">
        <f t="shared" si="191"/>
        <v>15261840.679739414</v>
      </c>
      <c r="BU253" s="173">
        <f t="shared" si="192"/>
        <v>0</v>
      </c>
      <c r="BV253" s="173">
        <f t="shared" si="193"/>
        <v>15550127.7611578</v>
      </c>
    </row>
    <row r="254" spans="5:74">
      <c r="E254" s="87" t="s">
        <v>171</v>
      </c>
      <c r="F254" s="87" t="s">
        <v>172</v>
      </c>
      <c r="G254" s="173">
        <f>IFERROR(IF(VLOOKUP(E254,A:C,3,FALSE)="YES",VLOOKUP(E254,'School Year 2021-22 SPED coop'!A:P,16,FALSE),0),0)</f>
        <v>0</v>
      </c>
      <c r="H254" s="173">
        <f t="shared" si="194"/>
        <v>1657362.0999999999</v>
      </c>
      <c r="J254" s="87" t="s">
        <v>171</v>
      </c>
      <c r="K254" s="87" t="s">
        <v>172</v>
      </c>
      <c r="L254" s="173">
        <f t="shared" si="153"/>
        <v>0</v>
      </c>
      <c r="M254" s="173">
        <f t="shared" si="154"/>
        <v>1694261.9335738861</v>
      </c>
      <c r="N254" s="173">
        <f t="shared" si="155"/>
        <v>0</v>
      </c>
      <c r="O254" s="173">
        <f t="shared" si="156"/>
        <v>1728742.3036267608</v>
      </c>
      <c r="P254" s="173">
        <f t="shared" si="157"/>
        <v>0</v>
      </c>
      <c r="Q254" s="173">
        <f t="shared" si="158"/>
        <v>1761066.3498922666</v>
      </c>
      <c r="R254" s="173">
        <f t="shared" si="159"/>
        <v>0</v>
      </c>
      <c r="S254" s="173">
        <f t="shared" si="160"/>
        <v>1794063.6064584965</v>
      </c>
      <c r="U254" s="87" t="s">
        <v>171</v>
      </c>
      <c r="V254" s="87" t="s">
        <v>172</v>
      </c>
      <c r="W254" s="173">
        <f t="shared" si="161"/>
        <v>0</v>
      </c>
      <c r="X254" s="173">
        <f t="shared" si="195"/>
        <v>1694261.9335738861</v>
      </c>
      <c r="Y254" s="173">
        <f t="shared" si="196"/>
        <v>0</v>
      </c>
      <c r="Z254" s="173">
        <f t="shared" si="197"/>
        <v>1737230.3975640943</v>
      </c>
      <c r="AA254" s="173">
        <f t="shared" si="198"/>
        <v>0</v>
      </c>
      <c r="AB254" s="173">
        <f t="shared" si="199"/>
        <v>1771020.1443201364</v>
      </c>
      <c r="AC254" s="173">
        <f t="shared" si="200"/>
        <v>0</v>
      </c>
      <c r="AD254" s="173">
        <f t="shared" si="201"/>
        <v>1807300.8567336514</v>
      </c>
      <c r="AF254" s="87" t="s">
        <v>171</v>
      </c>
      <c r="AG254" s="87" t="s">
        <v>172</v>
      </c>
      <c r="AH254" s="173">
        <f t="shared" si="162"/>
        <v>0</v>
      </c>
      <c r="AI254" s="173">
        <f t="shared" si="163"/>
        <v>1694261.9335738861</v>
      </c>
      <c r="AJ254" s="173">
        <f t="shared" si="164"/>
        <v>0</v>
      </c>
      <c r="AK254" s="173">
        <f t="shared" si="165"/>
        <v>1726860.4035568584</v>
      </c>
      <c r="AL254" s="173">
        <f t="shared" si="166"/>
        <v>0</v>
      </c>
      <c r="AM254" s="173">
        <f t="shared" si="167"/>
        <v>1757949.2649836061</v>
      </c>
      <c r="AN254" s="173">
        <f t="shared" si="168"/>
        <v>0</v>
      </c>
      <c r="AO254" s="173">
        <f t="shared" si="169"/>
        <v>1798840.7796957127</v>
      </c>
      <c r="AQ254" s="87" t="s">
        <v>171</v>
      </c>
      <c r="AR254" s="87" t="s">
        <v>172</v>
      </c>
      <c r="AS254" s="173">
        <f t="shared" si="170"/>
        <v>0</v>
      </c>
      <c r="AT254" s="173">
        <f t="shared" si="171"/>
        <v>1694261.9335738861</v>
      </c>
      <c r="AU254" s="173">
        <f t="shared" si="172"/>
        <v>0</v>
      </c>
      <c r="AV254" s="173">
        <f t="shared" si="173"/>
        <v>1772050.3293531206</v>
      </c>
      <c r="AW254" s="173">
        <f t="shared" si="174"/>
        <v>0</v>
      </c>
      <c r="AX254" s="173">
        <f t="shared" si="175"/>
        <v>1803717.2135796049</v>
      </c>
      <c r="AY254" s="173">
        <f t="shared" si="176"/>
        <v>0</v>
      </c>
      <c r="AZ254" s="173">
        <f t="shared" si="177"/>
        <v>1837632.3799956248</v>
      </c>
      <c r="BB254" s="87" t="s">
        <v>171</v>
      </c>
      <c r="BC254" s="87" t="s">
        <v>172</v>
      </c>
      <c r="BD254" s="173">
        <f t="shared" si="178"/>
        <v>0</v>
      </c>
      <c r="BE254" s="173">
        <f t="shared" si="179"/>
        <v>1694261.9335738861</v>
      </c>
      <c r="BF254" s="173">
        <f t="shared" si="180"/>
        <v>0</v>
      </c>
      <c r="BG254" s="173">
        <f t="shared" si="181"/>
        <v>1780751.0725013148</v>
      </c>
      <c r="BH254" s="173">
        <f t="shared" si="182"/>
        <v>0</v>
      </c>
      <c r="BI254" s="173">
        <f t="shared" si="183"/>
        <v>1813912.0768554432</v>
      </c>
      <c r="BJ254" s="173">
        <f t="shared" si="184"/>
        <v>0</v>
      </c>
      <c r="BK254" s="173">
        <f t="shared" si="185"/>
        <v>1851191.0880210262</v>
      </c>
      <c r="BM254" s="87" t="s">
        <v>171</v>
      </c>
      <c r="BN254" s="87" t="s">
        <v>172</v>
      </c>
      <c r="BO254" s="173">
        <f t="shared" si="186"/>
        <v>0</v>
      </c>
      <c r="BP254" s="173">
        <f t="shared" si="187"/>
        <v>1694261.9335738861</v>
      </c>
      <c r="BQ254" s="173">
        <f t="shared" si="188"/>
        <v>0</v>
      </c>
      <c r="BR254" s="173">
        <f t="shared" si="189"/>
        <v>1770119.541934232</v>
      </c>
      <c r="BS254" s="173">
        <f t="shared" si="190"/>
        <v>0</v>
      </c>
      <c r="BT254" s="173">
        <f t="shared" si="191"/>
        <v>1800521.0305501695</v>
      </c>
      <c r="BU254" s="173">
        <f t="shared" si="192"/>
        <v>0</v>
      </c>
      <c r="BV254" s="173">
        <f t="shared" si="193"/>
        <v>1842525.0998352517</v>
      </c>
    </row>
    <row r="255" spans="5:74">
      <c r="E255" s="87" t="s">
        <v>313</v>
      </c>
      <c r="F255" s="87" t="s">
        <v>314</v>
      </c>
      <c r="G255" s="173">
        <f>IFERROR(IF(VLOOKUP(E255,A:C,3,FALSE)="YES",VLOOKUP(E255,'School Year 2021-22 SPED coop'!A:P,16,FALSE),0),0)</f>
        <v>0</v>
      </c>
      <c r="H255" s="173">
        <f t="shared" si="194"/>
        <v>246270.46000000002</v>
      </c>
      <c r="J255" s="87" t="s">
        <v>313</v>
      </c>
      <c r="K255" s="87" t="s">
        <v>314</v>
      </c>
      <c r="L255" s="173">
        <f t="shared" si="153"/>
        <v>0</v>
      </c>
      <c r="M255" s="173">
        <f t="shared" si="154"/>
        <v>249207.61886518804</v>
      </c>
      <c r="N255" s="173">
        <f t="shared" si="155"/>
        <v>0</v>
      </c>
      <c r="O255" s="173">
        <f t="shared" si="156"/>
        <v>257621.80780136006</v>
      </c>
      <c r="P255" s="173">
        <f t="shared" si="157"/>
        <v>0</v>
      </c>
      <c r="Q255" s="173">
        <f t="shared" si="158"/>
        <v>262389.19792290305</v>
      </c>
      <c r="R255" s="173">
        <f t="shared" si="159"/>
        <v>0</v>
      </c>
      <c r="S255" s="173">
        <f t="shared" si="160"/>
        <v>267212.88389997504</v>
      </c>
      <c r="U255" s="87" t="s">
        <v>313</v>
      </c>
      <c r="V255" s="87" t="s">
        <v>314</v>
      </c>
      <c r="W255" s="173">
        <f t="shared" si="161"/>
        <v>0</v>
      </c>
      <c r="X255" s="173">
        <f t="shared" si="195"/>
        <v>249207.61886518804</v>
      </c>
      <c r="Y255" s="173">
        <f t="shared" si="196"/>
        <v>0</v>
      </c>
      <c r="Z255" s="173">
        <f t="shared" si="197"/>
        <v>258879.45521632832</v>
      </c>
      <c r="AA255" s="173">
        <f t="shared" si="198"/>
        <v>0</v>
      </c>
      <c r="AB255" s="173">
        <f t="shared" si="199"/>
        <v>263863.84846576391</v>
      </c>
      <c r="AC255" s="173">
        <f t="shared" si="200"/>
        <v>0</v>
      </c>
      <c r="AD255" s="173">
        <f t="shared" si="201"/>
        <v>269191.22608602158</v>
      </c>
      <c r="AF255" s="87" t="s">
        <v>313</v>
      </c>
      <c r="AG255" s="87" t="s">
        <v>314</v>
      </c>
      <c r="AH255" s="173">
        <f t="shared" si="162"/>
        <v>0</v>
      </c>
      <c r="AI255" s="173">
        <f t="shared" si="163"/>
        <v>249207.61886518804</v>
      </c>
      <c r="AJ255" s="173">
        <f t="shared" si="164"/>
        <v>0</v>
      </c>
      <c r="AK255" s="173">
        <f t="shared" si="165"/>
        <v>255356.14097017705</v>
      </c>
      <c r="AL255" s="173">
        <f t="shared" si="166"/>
        <v>0</v>
      </c>
      <c r="AM255" s="173">
        <f t="shared" si="167"/>
        <v>260081.80177357412</v>
      </c>
      <c r="AN255" s="173">
        <f t="shared" si="168"/>
        <v>0</v>
      </c>
      <c r="AO255" s="173">
        <f t="shared" si="169"/>
        <v>264863.4354573774</v>
      </c>
      <c r="AQ255" s="87" t="s">
        <v>313</v>
      </c>
      <c r="AR255" s="87" t="s">
        <v>314</v>
      </c>
      <c r="AS255" s="173">
        <f t="shared" si="170"/>
        <v>0</v>
      </c>
      <c r="AT255" s="173">
        <f t="shared" si="171"/>
        <v>249207.61886518804</v>
      </c>
      <c r="AU255" s="173">
        <f t="shared" si="172"/>
        <v>0</v>
      </c>
      <c r="AV255" s="173">
        <f t="shared" si="173"/>
        <v>263965.73171539605</v>
      </c>
      <c r="AW255" s="173">
        <f t="shared" si="174"/>
        <v>0</v>
      </c>
      <c r="AX255" s="173">
        <f t="shared" si="175"/>
        <v>268594.94195566478</v>
      </c>
      <c r="AY255" s="173">
        <f t="shared" si="176"/>
        <v>0</v>
      </c>
      <c r="AZ255" s="173">
        <f t="shared" si="177"/>
        <v>273552.7635591302</v>
      </c>
      <c r="BB255" s="87" t="s">
        <v>313</v>
      </c>
      <c r="BC255" s="87" t="s">
        <v>314</v>
      </c>
      <c r="BD255" s="173">
        <f t="shared" si="178"/>
        <v>0</v>
      </c>
      <c r="BE255" s="173">
        <f t="shared" si="179"/>
        <v>249207.61886518804</v>
      </c>
      <c r="BF255" s="173">
        <f t="shared" si="180"/>
        <v>0</v>
      </c>
      <c r="BG255" s="173">
        <f t="shared" si="181"/>
        <v>265254.34580010723</v>
      </c>
      <c r="BH255" s="173">
        <f t="shared" si="182"/>
        <v>0</v>
      </c>
      <c r="BI255" s="173">
        <f t="shared" si="183"/>
        <v>270104.4653545944</v>
      </c>
      <c r="BJ255" s="173">
        <f t="shared" si="184"/>
        <v>0</v>
      </c>
      <c r="BK255" s="173">
        <f t="shared" si="185"/>
        <v>275578.04602409562</v>
      </c>
      <c r="BM255" s="87" t="s">
        <v>313</v>
      </c>
      <c r="BN255" s="87" t="s">
        <v>314</v>
      </c>
      <c r="BO255" s="173">
        <f t="shared" si="186"/>
        <v>0</v>
      </c>
      <c r="BP255" s="173">
        <f t="shared" si="187"/>
        <v>249207.61886518804</v>
      </c>
      <c r="BQ255" s="173">
        <f t="shared" si="188"/>
        <v>0</v>
      </c>
      <c r="BR255" s="173">
        <f t="shared" si="189"/>
        <v>261643.32656273516</v>
      </c>
      <c r="BS255" s="173">
        <f t="shared" si="190"/>
        <v>0</v>
      </c>
      <c r="BT255" s="173">
        <f t="shared" si="191"/>
        <v>266232.15395575372</v>
      </c>
      <c r="BU255" s="173">
        <f t="shared" si="192"/>
        <v>0</v>
      </c>
      <c r="BV255" s="173">
        <f t="shared" si="193"/>
        <v>271146.72552981414</v>
      </c>
    </row>
    <row r="256" spans="5:74">
      <c r="E256" s="87" t="s">
        <v>479</v>
      </c>
      <c r="F256" s="87" t="s">
        <v>480</v>
      </c>
      <c r="G256" s="173">
        <f>IFERROR(IF(VLOOKUP(E256,A:C,3,FALSE)="YES",VLOOKUP(E256,'School Year 2021-22 SPED coop'!A:P,16,FALSE),0),0)</f>
        <v>0</v>
      </c>
      <c r="H256" s="173">
        <f t="shared" si="194"/>
        <v>748659.7</v>
      </c>
      <c r="J256" s="87" t="s">
        <v>479</v>
      </c>
      <c r="K256" s="87" t="s">
        <v>480</v>
      </c>
      <c r="L256" s="173">
        <f t="shared" si="153"/>
        <v>0</v>
      </c>
      <c r="M256" s="173">
        <f t="shared" si="154"/>
        <v>757414.07313052251</v>
      </c>
      <c r="N256" s="173">
        <f t="shared" si="155"/>
        <v>0</v>
      </c>
      <c r="O256" s="173">
        <f t="shared" si="156"/>
        <v>777289.41368157079</v>
      </c>
      <c r="P256" s="173">
        <f t="shared" si="157"/>
        <v>0</v>
      </c>
      <c r="Q256" s="173">
        <f t="shared" si="158"/>
        <v>791696.31240905379</v>
      </c>
      <c r="R256" s="173">
        <f t="shared" si="159"/>
        <v>0</v>
      </c>
      <c r="S256" s="173">
        <f t="shared" si="160"/>
        <v>806293.50610712147</v>
      </c>
      <c r="U256" s="87" t="s">
        <v>479</v>
      </c>
      <c r="V256" s="87" t="s">
        <v>480</v>
      </c>
      <c r="W256" s="173">
        <f t="shared" si="161"/>
        <v>0</v>
      </c>
      <c r="X256" s="173">
        <f t="shared" si="195"/>
        <v>757414.07313052251</v>
      </c>
      <c r="Y256" s="173">
        <f t="shared" si="196"/>
        <v>0</v>
      </c>
      <c r="Z256" s="173">
        <f t="shared" si="197"/>
        <v>781094.77513894346</v>
      </c>
      <c r="AA256" s="173">
        <f t="shared" si="198"/>
        <v>0</v>
      </c>
      <c r="AB256" s="173">
        <f t="shared" si="199"/>
        <v>796184.48756807239</v>
      </c>
      <c r="AC256" s="173">
        <f t="shared" si="200"/>
        <v>0</v>
      </c>
      <c r="AD256" s="173">
        <f t="shared" si="201"/>
        <v>812249.60301117599</v>
      </c>
      <c r="AF256" s="87" t="s">
        <v>479</v>
      </c>
      <c r="AG256" s="87" t="s">
        <v>480</v>
      </c>
      <c r="AH256" s="173">
        <f t="shared" si="162"/>
        <v>0</v>
      </c>
      <c r="AI256" s="173">
        <f t="shared" si="163"/>
        <v>757414.07313052251</v>
      </c>
      <c r="AJ256" s="173">
        <f t="shared" si="164"/>
        <v>0</v>
      </c>
      <c r="AK256" s="173">
        <f t="shared" si="165"/>
        <v>770652.5174199586</v>
      </c>
      <c r="AL256" s="173">
        <f t="shared" si="166"/>
        <v>0</v>
      </c>
      <c r="AM256" s="173">
        <f t="shared" si="167"/>
        <v>775321.30334345938</v>
      </c>
      <c r="AN256" s="173">
        <f t="shared" si="168"/>
        <v>0</v>
      </c>
      <c r="AO256" s="173">
        <f t="shared" si="169"/>
        <v>781704.80334313703</v>
      </c>
      <c r="AQ256" s="87" t="s">
        <v>479</v>
      </c>
      <c r="AR256" s="87" t="s">
        <v>480</v>
      </c>
      <c r="AS256" s="173">
        <f t="shared" si="170"/>
        <v>0</v>
      </c>
      <c r="AT256" s="173">
        <f t="shared" si="171"/>
        <v>757414.07313052251</v>
      </c>
      <c r="AU256" s="173">
        <f t="shared" si="172"/>
        <v>0</v>
      </c>
      <c r="AV256" s="173">
        <f t="shared" si="173"/>
        <v>796486.06936080626</v>
      </c>
      <c r="AW256" s="173">
        <f t="shared" si="174"/>
        <v>0</v>
      </c>
      <c r="AX256" s="173">
        <f t="shared" si="175"/>
        <v>810494.84876785963</v>
      </c>
      <c r="AY256" s="173">
        <f t="shared" si="176"/>
        <v>0</v>
      </c>
      <c r="AZ256" s="173">
        <f t="shared" si="177"/>
        <v>825498.07486031123</v>
      </c>
      <c r="BB256" s="87" t="s">
        <v>479</v>
      </c>
      <c r="BC256" s="87" t="s">
        <v>480</v>
      </c>
      <c r="BD256" s="173">
        <f t="shared" si="178"/>
        <v>0</v>
      </c>
      <c r="BE256" s="173">
        <f t="shared" si="179"/>
        <v>757414.07313052251</v>
      </c>
      <c r="BF256" s="173">
        <f t="shared" si="180"/>
        <v>0</v>
      </c>
      <c r="BG256" s="173">
        <f t="shared" si="181"/>
        <v>800385.40855390741</v>
      </c>
      <c r="BH256" s="173">
        <f t="shared" si="182"/>
        <v>0</v>
      </c>
      <c r="BI256" s="173">
        <f t="shared" si="183"/>
        <v>815089.60062460264</v>
      </c>
      <c r="BJ256" s="173">
        <f t="shared" si="184"/>
        <v>0</v>
      </c>
      <c r="BK256" s="173">
        <f t="shared" si="185"/>
        <v>831596.0363964343</v>
      </c>
      <c r="BM256" s="87" t="s">
        <v>479</v>
      </c>
      <c r="BN256" s="87" t="s">
        <v>480</v>
      </c>
      <c r="BO256" s="173">
        <f t="shared" si="186"/>
        <v>0</v>
      </c>
      <c r="BP256" s="173">
        <f t="shared" si="187"/>
        <v>757414.07313052251</v>
      </c>
      <c r="BQ256" s="173">
        <f t="shared" si="188"/>
        <v>0</v>
      </c>
      <c r="BR256" s="173">
        <f t="shared" si="189"/>
        <v>789684.46482311597</v>
      </c>
      <c r="BS256" s="173">
        <f t="shared" si="190"/>
        <v>0</v>
      </c>
      <c r="BT256" s="173">
        <f t="shared" si="191"/>
        <v>793730.84899084421</v>
      </c>
      <c r="BU256" s="173">
        <f t="shared" si="192"/>
        <v>0</v>
      </c>
      <c r="BV256" s="173">
        <f t="shared" si="193"/>
        <v>800322.24934225401</v>
      </c>
    </row>
    <row r="257" spans="5:74">
      <c r="E257" s="87" t="s">
        <v>451</v>
      </c>
      <c r="F257" s="87" t="s">
        <v>452</v>
      </c>
      <c r="G257" s="173">
        <f>IFERROR(IF(VLOOKUP(E257,A:C,3,FALSE)="YES",VLOOKUP(E257,'School Year 2021-22 SPED coop'!A:P,16,FALSE),0),0)</f>
        <v>0</v>
      </c>
      <c r="H257" s="173">
        <f t="shared" si="194"/>
        <v>36550079.200000003</v>
      </c>
      <c r="J257" s="87" t="s">
        <v>451</v>
      </c>
      <c r="K257" s="87" t="s">
        <v>452</v>
      </c>
      <c r="L257" s="173">
        <f t="shared" si="153"/>
        <v>0</v>
      </c>
      <c r="M257" s="173">
        <f t="shared" si="154"/>
        <v>36969188.307959579</v>
      </c>
      <c r="N257" s="173">
        <f t="shared" si="155"/>
        <v>0</v>
      </c>
      <c r="O257" s="173">
        <f t="shared" si="156"/>
        <v>37947805.428446487</v>
      </c>
      <c r="P257" s="173">
        <f t="shared" si="157"/>
        <v>0</v>
      </c>
      <c r="Q257" s="173">
        <f t="shared" si="158"/>
        <v>38651726.141369246</v>
      </c>
      <c r="R257" s="173">
        <f t="shared" si="159"/>
        <v>0</v>
      </c>
      <c r="S257" s="173">
        <f t="shared" si="160"/>
        <v>39365410.499141723</v>
      </c>
      <c r="U257" s="87" t="s">
        <v>451</v>
      </c>
      <c r="V257" s="87" t="s">
        <v>452</v>
      </c>
      <c r="W257" s="173">
        <f t="shared" si="161"/>
        <v>0</v>
      </c>
      <c r="X257" s="173">
        <f t="shared" si="195"/>
        <v>36969188.307959579</v>
      </c>
      <c r="Y257" s="173">
        <f t="shared" si="196"/>
        <v>0</v>
      </c>
      <c r="Z257" s="173">
        <f t="shared" si="197"/>
        <v>38133865.236745171</v>
      </c>
      <c r="AA257" s="173">
        <f t="shared" si="198"/>
        <v>0</v>
      </c>
      <c r="AB257" s="173">
        <f t="shared" si="199"/>
        <v>38870177.318559721</v>
      </c>
      <c r="AC257" s="173">
        <f t="shared" si="200"/>
        <v>0</v>
      </c>
      <c r="AD257" s="173">
        <f t="shared" si="201"/>
        <v>39656157.512235977</v>
      </c>
      <c r="AF257" s="87" t="s">
        <v>451</v>
      </c>
      <c r="AG257" s="87" t="s">
        <v>452</v>
      </c>
      <c r="AH257" s="173">
        <f t="shared" si="162"/>
        <v>0</v>
      </c>
      <c r="AI257" s="173">
        <f t="shared" si="163"/>
        <v>36969188.307959579</v>
      </c>
      <c r="AJ257" s="173">
        <f t="shared" si="164"/>
        <v>0</v>
      </c>
      <c r="AK257" s="173">
        <f t="shared" si="165"/>
        <v>38143249.159121811</v>
      </c>
      <c r="AL257" s="173">
        <f t="shared" si="166"/>
        <v>0</v>
      </c>
      <c r="AM257" s="173">
        <f t="shared" si="167"/>
        <v>38916241.99732051</v>
      </c>
      <c r="AN257" s="173">
        <f t="shared" si="168"/>
        <v>0</v>
      </c>
      <c r="AO257" s="173">
        <f t="shared" si="169"/>
        <v>39670949.901268207</v>
      </c>
      <c r="AQ257" s="87" t="s">
        <v>451</v>
      </c>
      <c r="AR257" s="87" t="s">
        <v>452</v>
      </c>
      <c r="AS257" s="173">
        <f t="shared" si="170"/>
        <v>0</v>
      </c>
      <c r="AT257" s="173">
        <f t="shared" si="171"/>
        <v>36969188.307959579</v>
      </c>
      <c r="AU257" s="173">
        <f t="shared" si="172"/>
        <v>0</v>
      </c>
      <c r="AV257" s="173">
        <f t="shared" si="173"/>
        <v>38884574.243667521</v>
      </c>
      <c r="AW257" s="173">
        <f t="shared" si="174"/>
        <v>0</v>
      </c>
      <c r="AX257" s="173">
        <f t="shared" si="175"/>
        <v>39569457.212253287</v>
      </c>
      <c r="AY257" s="173">
        <f t="shared" si="176"/>
        <v>0</v>
      </c>
      <c r="AZ257" s="173">
        <f t="shared" si="177"/>
        <v>40302963.739524014</v>
      </c>
      <c r="BB257" s="87" t="s">
        <v>451</v>
      </c>
      <c r="BC257" s="87" t="s">
        <v>452</v>
      </c>
      <c r="BD257" s="173">
        <f t="shared" si="178"/>
        <v>0</v>
      </c>
      <c r="BE257" s="173">
        <f t="shared" si="179"/>
        <v>36969188.307959579</v>
      </c>
      <c r="BF257" s="173">
        <f t="shared" si="180"/>
        <v>0</v>
      </c>
      <c r="BG257" s="173">
        <f t="shared" si="181"/>
        <v>39075227.075132929</v>
      </c>
      <c r="BH257" s="173">
        <f t="shared" si="182"/>
        <v>0</v>
      </c>
      <c r="BI257" s="173">
        <f t="shared" si="183"/>
        <v>39793095.202871516</v>
      </c>
      <c r="BJ257" s="173">
        <f t="shared" si="184"/>
        <v>0</v>
      </c>
      <c r="BK257" s="173">
        <f t="shared" si="185"/>
        <v>40600635.373242624</v>
      </c>
      <c r="BM257" s="87" t="s">
        <v>451</v>
      </c>
      <c r="BN257" s="87" t="s">
        <v>452</v>
      </c>
      <c r="BO257" s="173">
        <f t="shared" si="186"/>
        <v>0</v>
      </c>
      <c r="BP257" s="173">
        <f t="shared" si="187"/>
        <v>36969188.307959579</v>
      </c>
      <c r="BQ257" s="173">
        <f t="shared" si="188"/>
        <v>0</v>
      </c>
      <c r="BR257" s="173">
        <f t="shared" si="189"/>
        <v>39084907.874329135</v>
      </c>
      <c r="BS257" s="173">
        <f t="shared" si="190"/>
        <v>0</v>
      </c>
      <c r="BT257" s="173">
        <f t="shared" si="191"/>
        <v>39840305.206959479</v>
      </c>
      <c r="BU257" s="173">
        <f t="shared" si="192"/>
        <v>0</v>
      </c>
      <c r="BV257" s="173">
        <f t="shared" si="193"/>
        <v>40615847.052972876</v>
      </c>
    </row>
    <row r="258" spans="5:74">
      <c r="E258" s="87" t="s">
        <v>297</v>
      </c>
      <c r="F258" s="87" t="s">
        <v>298</v>
      </c>
      <c r="G258" s="173">
        <f>IFERROR(IF(VLOOKUP(E258,A:C,3,FALSE)="YES",VLOOKUP(E258,'School Year 2021-22 SPED coop'!A:P,16,FALSE),0),0)</f>
        <v>0</v>
      </c>
      <c r="H258" s="173">
        <f t="shared" si="194"/>
        <v>86880.099999999977</v>
      </c>
      <c r="J258" s="87" t="s">
        <v>297</v>
      </c>
      <c r="K258" s="87" t="s">
        <v>298</v>
      </c>
      <c r="L258" s="173">
        <f t="shared" si="153"/>
        <v>0</v>
      </c>
      <c r="M258" s="173">
        <f t="shared" si="154"/>
        <v>87831.785072903673</v>
      </c>
      <c r="N258" s="173">
        <f t="shared" si="155"/>
        <v>0</v>
      </c>
      <c r="O258" s="173">
        <f t="shared" si="156"/>
        <v>90798.36654610507</v>
      </c>
      <c r="P258" s="173">
        <f t="shared" si="157"/>
        <v>0</v>
      </c>
      <c r="Q258" s="173">
        <f t="shared" si="158"/>
        <v>92480.300044385716</v>
      </c>
      <c r="R258" s="173">
        <f t="shared" si="159"/>
        <v>0</v>
      </c>
      <c r="S258" s="173">
        <f t="shared" si="160"/>
        <v>94183.45814788522</v>
      </c>
      <c r="U258" s="87" t="s">
        <v>297</v>
      </c>
      <c r="V258" s="87" t="s">
        <v>298</v>
      </c>
      <c r="W258" s="173">
        <f t="shared" si="161"/>
        <v>0</v>
      </c>
      <c r="X258" s="173">
        <f t="shared" si="195"/>
        <v>87831.785072903673</v>
      </c>
      <c r="Y258" s="173">
        <f t="shared" si="196"/>
        <v>0</v>
      </c>
      <c r="Z258" s="173">
        <f t="shared" si="197"/>
        <v>90798.36654610507</v>
      </c>
      <c r="AA258" s="173">
        <f t="shared" si="198"/>
        <v>0</v>
      </c>
      <c r="AB258" s="173">
        <f t="shared" si="199"/>
        <v>92480.300044385716</v>
      </c>
      <c r="AC258" s="173">
        <f t="shared" si="200"/>
        <v>0</v>
      </c>
      <c r="AD258" s="173">
        <f t="shared" si="201"/>
        <v>94183.45814788522</v>
      </c>
      <c r="AF258" s="87" t="s">
        <v>297</v>
      </c>
      <c r="AG258" s="87" t="s">
        <v>298</v>
      </c>
      <c r="AH258" s="173">
        <f t="shared" si="162"/>
        <v>0</v>
      </c>
      <c r="AI258" s="173">
        <f t="shared" si="163"/>
        <v>87831.785072903673</v>
      </c>
      <c r="AJ258" s="173">
        <f t="shared" si="164"/>
        <v>0</v>
      </c>
      <c r="AK258" s="173">
        <f t="shared" si="165"/>
        <v>90407.031581439194</v>
      </c>
      <c r="AL258" s="173">
        <f t="shared" si="166"/>
        <v>0</v>
      </c>
      <c r="AM258" s="173">
        <f t="shared" si="167"/>
        <v>91626.457545894576</v>
      </c>
      <c r="AN258" s="173">
        <f t="shared" si="168"/>
        <v>0</v>
      </c>
      <c r="AO258" s="173">
        <f t="shared" si="169"/>
        <v>92410.019797415909</v>
      </c>
      <c r="AQ258" s="87" t="s">
        <v>297</v>
      </c>
      <c r="AR258" s="87" t="s">
        <v>298</v>
      </c>
      <c r="AS258" s="173">
        <f t="shared" si="170"/>
        <v>0</v>
      </c>
      <c r="AT258" s="173">
        <f t="shared" si="171"/>
        <v>87831.785072903673</v>
      </c>
      <c r="AU258" s="173">
        <f t="shared" si="172"/>
        <v>0</v>
      </c>
      <c r="AV258" s="173">
        <f t="shared" si="173"/>
        <v>93035.011349828681</v>
      </c>
      <c r="AW258" s="173">
        <f t="shared" si="174"/>
        <v>0</v>
      </c>
      <c r="AX258" s="173">
        <f t="shared" si="175"/>
        <v>94669.443387431311</v>
      </c>
      <c r="AY258" s="173">
        <f t="shared" si="176"/>
        <v>0</v>
      </c>
      <c r="AZ258" s="173">
        <f t="shared" si="177"/>
        <v>96419.919745961117</v>
      </c>
      <c r="BB258" s="87" t="s">
        <v>297</v>
      </c>
      <c r="BC258" s="87" t="s">
        <v>298</v>
      </c>
      <c r="BD258" s="173">
        <f t="shared" si="178"/>
        <v>0</v>
      </c>
      <c r="BE258" s="173">
        <f t="shared" si="179"/>
        <v>87831.785072903673</v>
      </c>
      <c r="BF258" s="173">
        <f t="shared" si="180"/>
        <v>0</v>
      </c>
      <c r="BG258" s="173">
        <f t="shared" si="181"/>
        <v>93035.011349828681</v>
      </c>
      <c r="BH258" s="173">
        <f t="shared" si="182"/>
        <v>0</v>
      </c>
      <c r="BI258" s="173">
        <f t="shared" si="183"/>
        <v>94669.443387431311</v>
      </c>
      <c r="BJ258" s="173">
        <f t="shared" si="184"/>
        <v>0</v>
      </c>
      <c r="BK258" s="173">
        <f t="shared" si="185"/>
        <v>96419.919745961117</v>
      </c>
      <c r="BM258" s="87" t="s">
        <v>297</v>
      </c>
      <c r="BN258" s="87" t="s">
        <v>298</v>
      </c>
      <c r="BO258" s="173">
        <f t="shared" si="186"/>
        <v>0</v>
      </c>
      <c r="BP258" s="173">
        <f t="shared" si="187"/>
        <v>87831.785072903673</v>
      </c>
      <c r="BQ258" s="173">
        <f t="shared" si="188"/>
        <v>0</v>
      </c>
      <c r="BR258" s="173">
        <f t="shared" si="189"/>
        <v>92634.081840438332</v>
      </c>
      <c r="BS258" s="173">
        <f t="shared" si="190"/>
        <v>0</v>
      </c>
      <c r="BT258" s="173">
        <f t="shared" si="191"/>
        <v>93795.571772393741</v>
      </c>
      <c r="BU258" s="173">
        <f t="shared" si="192"/>
        <v>0</v>
      </c>
      <c r="BV258" s="173">
        <f t="shared" si="193"/>
        <v>94604.167522799456</v>
      </c>
    </row>
    <row r="259" spans="5:74">
      <c r="E259" s="87" t="s">
        <v>577</v>
      </c>
      <c r="F259" s="87" t="s">
        <v>578</v>
      </c>
      <c r="G259" s="173">
        <f>IFERROR(IF(VLOOKUP(E259,A:C,3,FALSE)="YES",VLOOKUP(E259,'School Year 2021-22 SPED coop'!A:P,16,FALSE),0),0)</f>
        <v>0</v>
      </c>
      <c r="H259" s="173">
        <f t="shared" si="194"/>
        <v>144909.78</v>
      </c>
      <c r="J259" s="87" t="s">
        <v>577</v>
      </c>
      <c r="K259" s="87" t="s">
        <v>578</v>
      </c>
      <c r="L259" s="173">
        <f t="shared" si="153"/>
        <v>0</v>
      </c>
      <c r="M259" s="173">
        <f t="shared" si="154"/>
        <v>146621.51902277383</v>
      </c>
      <c r="N259" s="173">
        <f t="shared" si="155"/>
        <v>0</v>
      </c>
      <c r="O259" s="173">
        <f t="shared" si="156"/>
        <v>151589.31392633353</v>
      </c>
      <c r="P259" s="173">
        <f t="shared" si="157"/>
        <v>0</v>
      </c>
      <c r="Q259" s="173">
        <f t="shared" si="158"/>
        <v>154397.24938217466</v>
      </c>
      <c r="R259" s="173">
        <f t="shared" si="159"/>
        <v>0</v>
      </c>
      <c r="S259" s="173">
        <f t="shared" si="160"/>
        <v>157240.57606233636</v>
      </c>
      <c r="U259" s="87" t="s">
        <v>577</v>
      </c>
      <c r="V259" s="87" t="s">
        <v>578</v>
      </c>
      <c r="W259" s="173">
        <f t="shared" si="161"/>
        <v>0</v>
      </c>
      <c r="X259" s="173">
        <f t="shared" si="195"/>
        <v>146621.51902277383</v>
      </c>
      <c r="Y259" s="173">
        <f t="shared" si="196"/>
        <v>0</v>
      </c>
      <c r="Z259" s="173">
        <f t="shared" si="197"/>
        <v>152317.41424451719</v>
      </c>
      <c r="AA259" s="173">
        <f t="shared" si="198"/>
        <v>0</v>
      </c>
      <c r="AB259" s="173">
        <f t="shared" si="199"/>
        <v>155269.69843921732</v>
      </c>
      <c r="AC259" s="173">
        <f t="shared" si="200"/>
        <v>0</v>
      </c>
      <c r="AD259" s="173">
        <f t="shared" si="201"/>
        <v>158399.58180365304</v>
      </c>
      <c r="AF259" s="87" t="s">
        <v>577</v>
      </c>
      <c r="AG259" s="87" t="s">
        <v>578</v>
      </c>
      <c r="AH259" s="173">
        <f t="shared" si="162"/>
        <v>0</v>
      </c>
      <c r="AI259" s="173">
        <f t="shared" si="163"/>
        <v>146621.51902277383</v>
      </c>
      <c r="AJ259" s="173">
        <f t="shared" si="164"/>
        <v>0</v>
      </c>
      <c r="AK259" s="173">
        <f t="shared" si="165"/>
        <v>150757.87152082898</v>
      </c>
      <c r="AL259" s="173">
        <f t="shared" si="166"/>
        <v>0</v>
      </c>
      <c r="AM259" s="173">
        <f t="shared" si="167"/>
        <v>154901.36913867388</v>
      </c>
      <c r="AN259" s="173">
        <f t="shared" si="168"/>
        <v>0</v>
      </c>
      <c r="AO259" s="173">
        <f t="shared" si="169"/>
        <v>158161.44768958123</v>
      </c>
      <c r="AQ259" s="87" t="s">
        <v>577</v>
      </c>
      <c r="AR259" s="87" t="s">
        <v>578</v>
      </c>
      <c r="AS259" s="173">
        <f t="shared" si="170"/>
        <v>0</v>
      </c>
      <c r="AT259" s="173">
        <f t="shared" si="171"/>
        <v>146621.51902277383</v>
      </c>
      <c r="AU259" s="173">
        <f t="shared" si="172"/>
        <v>0</v>
      </c>
      <c r="AV259" s="173">
        <f t="shared" si="173"/>
        <v>155320.60863356199</v>
      </c>
      <c r="AW259" s="173">
        <f t="shared" si="174"/>
        <v>0</v>
      </c>
      <c r="AX259" s="173">
        <f t="shared" si="175"/>
        <v>158049.15350391879</v>
      </c>
      <c r="AY259" s="173">
        <f t="shared" si="176"/>
        <v>0</v>
      </c>
      <c r="AZ259" s="173">
        <f t="shared" si="177"/>
        <v>160971.41379508656</v>
      </c>
      <c r="BB259" s="87" t="s">
        <v>577</v>
      </c>
      <c r="BC259" s="87" t="s">
        <v>578</v>
      </c>
      <c r="BD259" s="173">
        <f t="shared" si="178"/>
        <v>0</v>
      </c>
      <c r="BE259" s="173">
        <f t="shared" si="179"/>
        <v>146621.51902277383</v>
      </c>
      <c r="BF259" s="173">
        <f t="shared" si="180"/>
        <v>0</v>
      </c>
      <c r="BG259" s="173">
        <f t="shared" si="181"/>
        <v>156066.62274240749</v>
      </c>
      <c r="BH259" s="173">
        <f t="shared" si="182"/>
        <v>0</v>
      </c>
      <c r="BI259" s="173">
        <f t="shared" si="183"/>
        <v>158942.23819845461</v>
      </c>
      <c r="BJ259" s="173">
        <f t="shared" si="184"/>
        <v>0</v>
      </c>
      <c r="BK259" s="173">
        <f t="shared" si="185"/>
        <v>162157.9180461386</v>
      </c>
      <c r="BM259" s="87" t="s">
        <v>577</v>
      </c>
      <c r="BN259" s="87" t="s">
        <v>578</v>
      </c>
      <c r="BO259" s="173">
        <f t="shared" si="186"/>
        <v>0</v>
      </c>
      <c r="BP259" s="173">
        <f t="shared" si="187"/>
        <v>146621.51902277383</v>
      </c>
      <c r="BQ259" s="173">
        <f t="shared" si="188"/>
        <v>0</v>
      </c>
      <c r="BR259" s="173">
        <f t="shared" si="189"/>
        <v>154468.36130705292</v>
      </c>
      <c r="BS259" s="173">
        <f t="shared" si="190"/>
        <v>0</v>
      </c>
      <c r="BT259" s="173">
        <f t="shared" si="191"/>
        <v>158565.1565381313</v>
      </c>
      <c r="BU259" s="173">
        <f t="shared" si="192"/>
        <v>0</v>
      </c>
      <c r="BV259" s="173">
        <f t="shared" si="193"/>
        <v>161914.15319495785</v>
      </c>
    </row>
    <row r="260" spans="5:74">
      <c r="E260" s="87" t="s">
        <v>449</v>
      </c>
      <c r="F260" s="87" t="s">
        <v>450</v>
      </c>
      <c r="G260" s="173">
        <f>IFERROR(IF(VLOOKUP(E260,A:C,3,FALSE)="YES",VLOOKUP(E260,'School Year 2021-22 SPED coop'!A:P,16,FALSE),0),0)</f>
        <v>0</v>
      </c>
      <c r="H260" s="173">
        <f t="shared" si="194"/>
        <v>6729775.7199999997</v>
      </c>
      <c r="J260" s="87" t="s">
        <v>449</v>
      </c>
      <c r="K260" s="87" t="s">
        <v>450</v>
      </c>
      <c r="L260" s="173">
        <f t="shared" si="153"/>
        <v>0</v>
      </c>
      <c r="M260" s="173">
        <f t="shared" si="154"/>
        <v>6807800.027756081</v>
      </c>
      <c r="N260" s="173">
        <f t="shared" si="155"/>
        <v>0</v>
      </c>
      <c r="O260" s="173">
        <f t="shared" si="156"/>
        <v>6988933.3434068989</v>
      </c>
      <c r="P260" s="173">
        <f t="shared" si="157"/>
        <v>0</v>
      </c>
      <c r="Q260" s="173">
        <f t="shared" si="158"/>
        <v>7119443.8029581169</v>
      </c>
      <c r="R260" s="173">
        <f t="shared" si="159"/>
        <v>0</v>
      </c>
      <c r="S260" s="173">
        <f t="shared" si="160"/>
        <v>7252524.5972142369</v>
      </c>
      <c r="U260" s="87" t="s">
        <v>449</v>
      </c>
      <c r="V260" s="87" t="s">
        <v>450</v>
      </c>
      <c r="W260" s="173">
        <f t="shared" si="161"/>
        <v>0</v>
      </c>
      <c r="X260" s="173">
        <f t="shared" si="195"/>
        <v>6807800.027756081</v>
      </c>
      <c r="Y260" s="173">
        <f t="shared" si="196"/>
        <v>0</v>
      </c>
      <c r="Z260" s="173">
        <f t="shared" si="197"/>
        <v>7023186.2560919868</v>
      </c>
      <c r="AA260" s="173">
        <f t="shared" si="198"/>
        <v>0</v>
      </c>
      <c r="AB260" s="173">
        <f t="shared" si="199"/>
        <v>7159686.7619341407</v>
      </c>
      <c r="AC260" s="173">
        <f t="shared" si="200"/>
        <v>0</v>
      </c>
      <c r="AD260" s="173">
        <f t="shared" si="201"/>
        <v>7306086.4022593033</v>
      </c>
      <c r="AF260" s="87" t="s">
        <v>449</v>
      </c>
      <c r="AG260" s="87" t="s">
        <v>450</v>
      </c>
      <c r="AH260" s="173">
        <f t="shared" si="162"/>
        <v>0</v>
      </c>
      <c r="AI260" s="173">
        <f t="shared" si="163"/>
        <v>6807800.027756081</v>
      </c>
      <c r="AJ260" s="173">
        <f t="shared" si="164"/>
        <v>0</v>
      </c>
      <c r="AK260" s="173">
        <f t="shared" si="165"/>
        <v>6999493.1638470292</v>
      </c>
      <c r="AL260" s="173">
        <f t="shared" si="166"/>
        <v>0</v>
      </c>
      <c r="AM260" s="173">
        <f t="shared" si="167"/>
        <v>7133005.5328065809</v>
      </c>
      <c r="AN260" s="173">
        <f t="shared" si="168"/>
        <v>0</v>
      </c>
      <c r="AO260" s="173">
        <f t="shared" si="169"/>
        <v>7252055.3780742334</v>
      </c>
      <c r="AQ260" s="87" t="s">
        <v>449</v>
      </c>
      <c r="AR260" s="87" t="s">
        <v>450</v>
      </c>
      <c r="AS260" s="173">
        <f t="shared" si="170"/>
        <v>0</v>
      </c>
      <c r="AT260" s="173">
        <f t="shared" si="171"/>
        <v>6807800.027756081</v>
      </c>
      <c r="AU260" s="173">
        <f t="shared" si="172"/>
        <v>0</v>
      </c>
      <c r="AV260" s="173">
        <f t="shared" si="173"/>
        <v>7163683.1417590389</v>
      </c>
      <c r="AW260" s="173">
        <f t="shared" si="174"/>
        <v>0</v>
      </c>
      <c r="AX260" s="173">
        <f t="shared" si="175"/>
        <v>7291399.223729589</v>
      </c>
      <c r="AY260" s="173">
        <f t="shared" si="176"/>
        <v>0</v>
      </c>
      <c r="AZ260" s="173">
        <f t="shared" si="177"/>
        <v>7428182.6725095753</v>
      </c>
      <c r="BB260" s="87" t="s">
        <v>449</v>
      </c>
      <c r="BC260" s="87" t="s">
        <v>450</v>
      </c>
      <c r="BD260" s="173">
        <f t="shared" si="178"/>
        <v>0</v>
      </c>
      <c r="BE260" s="173">
        <f t="shared" si="179"/>
        <v>6807800.027756081</v>
      </c>
      <c r="BF260" s="173">
        <f t="shared" si="180"/>
        <v>0</v>
      </c>
      <c r="BG260" s="173">
        <f t="shared" si="181"/>
        <v>7198792.4990838002</v>
      </c>
      <c r="BH260" s="173">
        <f t="shared" si="182"/>
        <v>0</v>
      </c>
      <c r="BI260" s="173">
        <f t="shared" si="183"/>
        <v>7332614.1703894446</v>
      </c>
      <c r="BJ260" s="173">
        <f t="shared" si="184"/>
        <v>0</v>
      </c>
      <c r="BK260" s="173">
        <f t="shared" si="185"/>
        <v>7483041.7547463924</v>
      </c>
      <c r="BM260" s="87" t="s">
        <v>449</v>
      </c>
      <c r="BN260" s="87" t="s">
        <v>450</v>
      </c>
      <c r="BO260" s="173">
        <f t="shared" si="186"/>
        <v>0</v>
      </c>
      <c r="BP260" s="173">
        <f t="shared" si="187"/>
        <v>6807800.027756081</v>
      </c>
      <c r="BQ260" s="173">
        <f t="shared" si="188"/>
        <v>0</v>
      </c>
      <c r="BR260" s="173">
        <f t="shared" si="189"/>
        <v>7174512.0080110468</v>
      </c>
      <c r="BS260" s="173">
        <f t="shared" si="190"/>
        <v>0</v>
      </c>
      <c r="BT260" s="173">
        <f t="shared" si="191"/>
        <v>7305293.0238552727</v>
      </c>
      <c r="BU260" s="173">
        <f t="shared" si="192"/>
        <v>0</v>
      </c>
      <c r="BV260" s="173">
        <f t="shared" si="193"/>
        <v>7427699.1210080497</v>
      </c>
    </row>
    <row r="261" spans="5:74">
      <c r="E261" s="87" t="s">
        <v>115</v>
      </c>
      <c r="F261" s="87" t="s">
        <v>116</v>
      </c>
      <c r="G261" s="173">
        <f>IFERROR(IF(VLOOKUP(E261,A:C,3,FALSE)="YES",VLOOKUP(E261,'School Year 2021-22 SPED coop'!A:P,16,FALSE),0),0)</f>
        <v>0</v>
      </c>
      <c r="H261" s="173">
        <f t="shared" si="194"/>
        <v>0</v>
      </c>
      <c r="J261" s="87" t="s">
        <v>115</v>
      </c>
      <c r="K261" s="87" t="s">
        <v>116</v>
      </c>
      <c r="L261" s="173">
        <f t="shared" ref="L261:L318" si="202">IFERROR(IF(VLOOKUP(J261,A:C,3,FALSE)="YES",VLOOKUP(J261,MaintSY202122,9,FALSE),0),0)</f>
        <v>0</v>
      </c>
      <c r="M261" s="173">
        <f t="shared" ref="M261:M318" si="203">IF(L261=0,VLOOKUP(J261,MaintSY202122,9,FALSE),0)</f>
        <v>0</v>
      </c>
      <c r="N261" s="173">
        <f t="shared" ref="N261:N318" si="204">IFERROR(IF(VLOOKUP(J261,A:C,3,FALSE)="YES",VLOOKUP(J261,MaintSY202223,9,FALSE),0),0)</f>
        <v>0</v>
      </c>
      <c r="O261" s="173">
        <f t="shared" ref="O261:O318" si="205">IF(N261=0,VLOOKUP(J261,MaintSY202223,9,FALSE),0)</f>
        <v>0</v>
      </c>
      <c r="P261" s="173">
        <f t="shared" ref="P261:P318" si="206">IFERROR(IF(VLOOKUP(J261,A:C,3,FALSE)="YES",VLOOKUP(J261,MaintSY202324,9,FALSE),0),0)</f>
        <v>0</v>
      </c>
      <c r="Q261" s="173">
        <f t="shared" ref="Q261:Q318" si="207">IF(P261=0,VLOOKUP(J261,MaintSY202324,9,FALSE),0)</f>
        <v>0</v>
      </c>
      <c r="R261" s="173">
        <f t="shared" ref="R261:R318" si="208">IFERROR(IF(VLOOKUP(J261,A:C,3,FALSE)="YES",VLOOKUP(J261,MaintSY202425,9,FALSE),0),0)</f>
        <v>0</v>
      </c>
      <c r="S261" s="173">
        <f t="shared" ref="S261:S318" si="209">IF(R261=0,VLOOKUP(J261,MaintSY202425,9,FALSE),0)</f>
        <v>0</v>
      </c>
      <c r="U261" s="87" t="s">
        <v>115</v>
      </c>
      <c r="V261" s="87" t="s">
        <v>116</v>
      </c>
      <c r="W261" s="173">
        <f t="shared" ref="W261:W318" si="210">IFERROR(IF(VLOOKUP(U261,$A:$C,3,FALSE)="YES",VLOOKUP(U261,MaintSY202122CL,9,FALSE),0),0)</f>
        <v>0</v>
      </c>
      <c r="X261" s="173">
        <f t="shared" si="195"/>
        <v>0</v>
      </c>
      <c r="Y261" s="173">
        <f t="shared" si="196"/>
        <v>0</v>
      </c>
      <c r="Z261" s="173">
        <f t="shared" si="197"/>
        <v>0</v>
      </c>
      <c r="AA261" s="173">
        <f t="shared" si="198"/>
        <v>0</v>
      </c>
      <c r="AB261" s="173">
        <f t="shared" si="199"/>
        <v>0</v>
      </c>
      <c r="AC261" s="173">
        <f t="shared" si="200"/>
        <v>0</v>
      </c>
      <c r="AD261" s="173">
        <f t="shared" si="201"/>
        <v>0</v>
      </c>
      <c r="AF261" s="87" t="s">
        <v>115</v>
      </c>
      <c r="AG261" s="87" t="s">
        <v>116</v>
      </c>
      <c r="AH261" s="173">
        <f t="shared" ref="AH261:AH318" si="211">IFERROR(IF(VLOOKUP(AF261,$A:$C,3,FALSE)="YES",VLOOKUP(AF261,MaintSY202122F195F,9,FALSE),0),0)</f>
        <v>0</v>
      </c>
      <c r="AI261" s="173">
        <f t="shared" ref="AI261:AI318" si="212">IF(AH261=0,VLOOKUP(AF261,MaintSY202122F195F,9,FALSE),0)</f>
        <v>0</v>
      </c>
      <c r="AJ261" s="173">
        <f t="shared" ref="AJ261:AJ318" si="213">IFERROR(IF(VLOOKUP(AF261,$A:$C,3,FALSE)="YES",VLOOKUP(AF261,MaintSY202223F195F,9,FALSE),0),0)</f>
        <v>0</v>
      </c>
      <c r="AK261" s="173">
        <f t="shared" ref="AK261:AK318" si="214">IF(AJ261=0,VLOOKUP(AF261,MaintSY202223F195F,9,FALSE),0)</f>
        <v>0</v>
      </c>
      <c r="AL261" s="173">
        <f t="shared" ref="AL261:AL318" si="215">IFERROR(IF(VLOOKUP(AF261,$A:$C,3,FALSE)="YES",VLOOKUP(AF261,MaintSY202324F195F,9,FALSE),0),0)</f>
        <v>0</v>
      </c>
      <c r="AM261" s="173">
        <f t="shared" ref="AM261:AM318" si="216">IF(AL261=0,VLOOKUP(AF261,MaintSY202324F195F,9,FALSE),0)</f>
        <v>0</v>
      </c>
      <c r="AN261" s="173">
        <f t="shared" ref="AN261:AN318" si="217">IFERROR(IF(VLOOKUP(AF261,$A:$C,3,FALSE)="YES",VLOOKUP(AF261,MaintSY202425F195F,9,FALSE),0),0)</f>
        <v>0</v>
      </c>
      <c r="AO261" s="173">
        <f t="shared" ref="AO261:AO318" si="218">IF(AN261=0,VLOOKUP(AF261,MaintSY202425F195F,9,FALSE),0)</f>
        <v>0</v>
      </c>
      <c r="AQ261" s="87" t="s">
        <v>115</v>
      </c>
      <c r="AR261" s="87" t="s">
        <v>116</v>
      </c>
      <c r="AS261" s="173">
        <f t="shared" ref="AS261:AS318" si="219">IFERROR(IF(VLOOKUP(AQ261,$A:$C,3,FALSE)="YES",VLOOKUP(AQ261,EnacSY202122,9,FALSE),0),0)</f>
        <v>0</v>
      </c>
      <c r="AT261" s="173">
        <f t="shared" ref="AT261:AT318" si="220">IF(AS261=0,VLOOKUP(AQ261,EnacSY202122,9,FALSE),0)</f>
        <v>0</v>
      </c>
      <c r="AU261" s="173">
        <f t="shared" ref="AU261:AU318" si="221">IFERROR(IF(VLOOKUP(AQ261,$A:$C,3,FALSE)="YES",VLOOKUP(AQ261,EnacSY202223,9,FALSE),0),0)</f>
        <v>0</v>
      </c>
      <c r="AV261" s="173">
        <f t="shared" ref="AV261:AV318" si="222">IF(AU261=0,VLOOKUP(AQ261,EnacSY202223,9,FALSE),0)</f>
        <v>0</v>
      </c>
      <c r="AW261" s="173">
        <f t="shared" ref="AW261:AW318" si="223">IFERROR(IF(VLOOKUP(AQ261,$A:$C,3,FALSE)="YES",VLOOKUP(AQ261,EnacSY202324,9,FALSE),0),0)</f>
        <v>0</v>
      </c>
      <c r="AX261" s="173">
        <f t="shared" ref="AX261:AX318" si="224">IF(AW261=0,VLOOKUP(AQ261,EnacSY202324,9,FALSE),0)</f>
        <v>0</v>
      </c>
      <c r="AY261" s="173">
        <f t="shared" ref="AY261:AY318" si="225">IFERROR(IF(VLOOKUP(AQ261,$A:$C,3,FALSE)="YES",VLOOKUP(AQ261,EnacSY202425,9,FALSE),0),0)</f>
        <v>0</v>
      </c>
      <c r="AZ261" s="173">
        <f t="shared" ref="AZ261:AZ318" si="226">IF(AY261=0,VLOOKUP(AQ261,EnacSY202425,9,FALSE),0)</f>
        <v>0</v>
      </c>
      <c r="BB261" s="87" t="s">
        <v>115</v>
      </c>
      <c r="BC261" s="87" t="s">
        <v>116</v>
      </c>
      <c r="BD261" s="173">
        <f t="shared" ref="BD261:BD318" si="227">IFERROR(IF(VLOOKUP(BB261,$A:$C,3,FALSE)="YES",VLOOKUP(BB261,EnacSY202122CL,9,FALSE),0),0)</f>
        <v>0</v>
      </c>
      <c r="BE261" s="173">
        <f t="shared" ref="BE261:BE318" si="228">IF(BD261=0,VLOOKUP(BB261,EnacSY202122CL,9,FALSE),0)</f>
        <v>0</v>
      </c>
      <c r="BF261" s="173">
        <f t="shared" ref="BF261:BF318" si="229">IFERROR(IF(VLOOKUP(BB261,$A:$C,3,FALSE)="YES",VLOOKUP(BB261,EnacSY202223CL,9,FALSE),0),0)</f>
        <v>0</v>
      </c>
      <c r="BG261" s="173">
        <f t="shared" ref="BG261:BG318" si="230">IF(BF261=0,VLOOKUP(BB261,EnacSY202223CL,9,FALSE),0)</f>
        <v>0</v>
      </c>
      <c r="BH261" s="173">
        <f t="shared" ref="BH261:BH318" si="231">IFERROR(IF(VLOOKUP(BB261,$A:$C,3,FALSE)="YES",VLOOKUP(BB261,EnacSY202324CL,9,FALSE),0),0)</f>
        <v>0</v>
      </c>
      <c r="BI261" s="173">
        <f t="shared" ref="BI261:BI318" si="232">IF(BH261=0,VLOOKUP(BB261,EnacSY202324CL,9,FALSE),0)</f>
        <v>0</v>
      </c>
      <c r="BJ261" s="173">
        <f t="shared" ref="BJ261:BJ318" si="233">IFERROR(IF(VLOOKUP(BB261,$A:$C,3,FALSE)="YES",VLOOKUP(BB261,EnacSY202425CL,9,FALSE),0),0)</f>
        <v>0</v>
      </c>
      <c r="BK261" s="173">
        <f t="shared" ref="BK261:BK318" si="234">IF(BJ261=0,VLOOKUP(BB261,EnacSY202425CL,9,FALSE),0)</f>
        <v>0</v>
      </c>
      <c r="BM261" s="87" t="s">
        <v>115</v>
      </c>
      <c r="BN261" s="87" t="s">
        <v>116</v>
      </c>
      <c r="BO261" s="173">
        <f t="shared" ref="BO261:BO318" si="235">IFERROR(IF(VLOOKUP(BM261,$A:$C,3,FALSE)="YES",VLOOKUP(BM261,EnacSY202122F195F,9,FALSE),0),0)</f>
        <v>0</v>
      </c>
      <c r="BP261" s="173">
        <f t="shared" ref="BP261:BP318" si="236">IF(BO261=0,VLOOKUP(BM261,EnacSY202122F195F,9,FALSE),0)</f>
        <v>0</v>
      </c>
      <c r="BQ261" s="173">
        <f t="shared" ref="BQ261:BQ318" si="237">IFERROR(IF(VLOOKUP(BM261,$A:$C,3,FALSE)="YES",VLOOKUP(BM261,EnacSY202223F195F,9,FALSE),0),0)</f>
        <v>0</v>
      </c>
      <c r="BR261" s="173">
        <f t="shared" ref="BR261:BR318" si="238">IF(BQ261=0,VLOOKUP(BM261,EnacSY202223F195F,9,FALSE),0)</f>
        <v>0</v>
      </c>
      <c r="BS261" s="173">
        <f t="shared" ref="BS261:BS318" si="239">IFERROR(IF(VLOOKUP(BM261,$A:$C,3,FALSE)="YES",VLOOKUP(BM261,EnacSY202324F195F,9,FALSE),0),0)</f>
        <v>0</v>
      </c>
      <c r="BT261" s="173">
        <f t="shared" ref="BT261:BT318" si="240">IF(BS261=0,VLOOKUP(BM261,EnacSY202324F195F,9,FALSE),0)</f>
        <v>0</v>
      </c>
      <c r="BU261" s="173">
        <f t="shared" ref="BU261:BU318" si="241">IFERROR(IF(VLOOKUP(BM261,$A:$C,3,FALSE)="YES",VLOOKUP(BM261,EnacSY202425F195F,9,FALSE),0),0)</f>
        <v>0</v>
      </c>
      <c r="BV261" s="173">
        <f t="shared" ref="BV261:BV318" si="242">IF(BU261=0,VLOOKUP(BM261,EnacSY202425F195F,9,FALSE),0)</f>
        <v>0</v>
      </c>
    </row>
    <row r="262" spans="5:74">
      <c r="E262" s="87" t="s">
        <v>75</v>
      </c>
      <c r="F262" s="87" t="s">
        <v>76</v>
      </c>
      <c r="G262" s="173">
        <f>IFERROR(IF(VLOOKUP(E262,A:C,3,FALSE)="YES",VLOOKUP(E262,'School Year 2021-22 SPED coop'!A:P,16,FALSE),0),0)</f>
        <v>0</v>
      </c>
      <c r="H262" s="173">
        <f t="shared" ref="H262:H318" si="243">IF(G262=0,VLOOKUP(E262,SY202122Apport,9,FALSE),0)</f>
        <v>221140.09</v>
      </c>
      <c r="J262" s="87" t="s">
        <v>75</v>
      </c>
      <c r="K262" s="87" t="s">
        <v>76</v>
      </c>
      <c r="L262" s="173">
        <f t="shared" si="202"/>
        <v>0</v>
      </c>
      <c r="M262" s="173">
        <f t="shared" si="203"/>
        <v>226726.93169041289</v>
      </c>
      <c r="N262" s="173">
        <f t="shared" si="204"/>
        <v>0</v>
      </c>
      <c r="O262" s="173">
        <f t="shared" si="205"/>
        <v>234426.61836101217</v>
      </c>
      <c r="P262" s="173">
        <f t="shared" si="206"/>
        <v>0</v>
      </c>
      <c r="Q262" s="173">
        <f t="shared" si="207"/>
        <v>238774.61748158574</v>
      </c>
      <c r="R262" s="173">
        <f t="shared" si="208"/>
        <v>0</v>
      </c>
      <c r="S262" s="173">
        <f t="shared" si="209"/>
        <v>243182.02776890274</v>
      </c>
      <c r="U262" s="87" t="s">
        <v>75</v>
      </c>
      <c r="V262" s="87" t="s">
        <v>76</v>
      </c>
      <c r="W262" s="173">
        <f t="shared" si="210"/>
        <v>0</v>
      </c>
      <c r="X262" s="173">
        <f t="shared" ref="X262:X318" si="244">IF(W262=0,VLOOKUP(U262,MaintSY202122CL,9,FALSE),0)</f>
        <v>226726.93169041289</v>
      </c>
      <c r="Y262" s="173">
        <f t="shared" ref="Y262:Y318" si="245">IFERROR(IF(VLOOKUP(U262,A:C,3,FALSE)="YES",VLOOKUP(U262,MaintSY202223CL,9,FALSE),0),0)</f>
        <v>0</v>
      </c>
      <c r="Z262" s="173">
        <f t="shared" ref="Z262:Z318" si="246">IF(Y262=0,VLOOKUP(U262,MaintSY202223CL,9,FALSE),0)</f>
        <v>234426.61836101217</v>
      </c>
      <c r="AA262" s="173">
        <f t="shared" ref="AA262:AA318" si="247">IFERROR(IF(VLOOKUP(U262,A:C,3,FALSE)="YES",VLOOKUP(U262,MaintSY202324CL,9,FALSE),0),0)</f>
        <v>0</v>
      </c>
      <c r="AB262" s="173">
        <f t="shared" ref="AB262:AB318" si="248">IF(AA262=0,VLOOKUP(U262,MaintSY202324CL,9,FALSE),0)</f>
        <v>238774.61748158574</v>
      </c>
      <c r="AC262" s="173">
        <f t="shared" ref="AC262:AC318" si="249">IFERROR(IF(VLOOKUP(U262,A:C,3,FALSE)="YES",VLOOKUP(U262,MaintSY202425CL,9,FALSE),0),0)</f>
        <v>0</v>
      </c>
      <c r="AD262" s="173">
        <f t="shared" ref="AD262:AD318" si="250">IF(AC262=0,VLOOKUP(U262,MaintSY202425CL,9,FALSE),0)</f>
        <v>243182.02776890274</v>
      </c>
      <c r="AF262" s="87" t="s">
        <v>75</v>
      </c>
      <c r="AG262" s="87" t="s">
        <v>76</v>
      </c>
      <c r="AH262" s="173">
        <f t="shared" si="211"/>
        <v>0</v>
      </c>
      <c r="AI262" s="173">
        <f t="shared" si="212"/>
        <v>226726.93169041289</v>
      </c>
      <c r="AJ262" s="173">
        <f t="shared" si="213"/>
        <v>0</v>
      </c>
      <c r="AK262" s="173">
        <f t="shared" si="214"/>
        <v>236416.82976193007</v>
      </c>
      <c r="AL262" s="173">
        <f t="shared" si="215"/>
        <v>0</v>
      </c>
      <c r="AM262" s="173">
        <f t="shared" si="216"/>
        <v>240737.9823749591</v>
      </c>
      <c r="AN262" s="173">
        <f t="shared" si="217"/>
        <v>0</v>
      </c>
      <c r="AO262" s="173">
        <f t="shared" si="218"/>
        <v>244998.09215601391</v>
      </c>
      <c r="AQ262" s="87" t="s">
        <v>75</v>
      </c>
      <c r="AR262" s="87" t="s">
        <v>76</v>
      </c>
      <c r="AS262" s="173">
        <f t="shared" si="219"/>
        <v>0</v>
      </c>
      <c r="AT262" s="173">
        <f t="shared" si="220"/>
        <v>226726.93169041289</v>
      </c>
      <c r="AU262" s="173">
        <f t="shared" si="221"/>
        <v>0</v>
      </c>
      <c r="AV262" s="173">
        <f t="shared" si="222"/>
        <v>240196.84964136651</v>
      </c>
      <c r="AW262" s="173">
        <f t="shared" si="223"/>
        <v>0</v>
      </c>
      <c r="AX262" s="173">
        <f t="shared" si="224"/>
        <v>244426.08963149009</v>
      </c>
      <c r="AY262" s="173">
        <f t="shared" si="225"/>
        <v>0</v>
      </c>
      <c r="AZ262" s="173">
        <f t="shared" si="226"/>
        <v>248955.65258864328</v>
      </c>
      <c r="BB262" s="87" t="s">
        <v>75</v>
      </c>
      <c r="BC262" s="87" t="s">
        <v>76</v>
      </c>
      <c r="BD262" s="173">
        <f t="shared" si="227"/>
        <v>0</v>
      </c>
      <c r="BE262" s="173">
        <f t="shared" si="228"/>
        <v>226726.93169041289</v>
      </c>
      <c r="BF262" s="173">
        <f t="shared" si="229"/>
        <v>0</v>
      </c>
      <c r="BG262" s="173">
        <f t="shared" si="230"/>
        <v>240196.84964136651</v>
      </c>
      <c r="BH262" s="173">
        <f t="shared" si="231"/>
        <v>0</v>
      </c>
      <c r="BI262" s="173">
        <f t="shared" si="232"/>
        <v>244426.08963149009</v>
      </c>
      <c r="BJ262" s="173">
        <f t="shared" si="233"/>
        <v>0</v>
      </c>
      <c r="BK262" s="173">
        <f t="shared" si="234"/>
        <v>248955.65258864328</v>
      </c>
      <c r="BM262" s="87" t="s">
        <v>75</v>
      </c>
      <c r="BN262" s="87" t="s">
        <v>76</v>
      </c>
      <c r="BO262" s="173">
        <f t="shared" si="235"/>
        <v>0</v>
      </c>
      <c r="BP262" s="173">
        <f t="shared" si="236"/>
        <v>226726.93169041289</v>
      </c>
      <c r="BQ262" s="173">
        <f t="shared" si="237"/>
        <v>0</v>
      </c>
      <c r="BR262" s="173">
        <f t="shared" si="238"/>
        <v>242236.66875245952</v>
      </c>
      <c r="BS262" s="173">
        <f t="shared" si="239"/>
        <v>0</v>
      </c>
      <c r="BT262" s="173">
        <f t="shared" si="240"/>
        <v>246436.18655855971</v>
      </c>
      <c r="BU262" s="173">
        <f t="shared" si="241"/>
        <v>0</v>
      </c>
      <c r="BV262" s="173">
        <f t="shared" si="242"/>
        <v>250814.9353076159</v>
      </c>
    </row>
    <row r="263" spans="5:74">
      <c r="E263" s="87" t="s">
        <v>31</v>
      </c>
      <c r="F263" s="87" t="s">
        <v>32</v>
      </c>
      <c r="G263" s="173">
        <f>IFERROR(IF(VLOOKUP(E263,A:C,3,FALSE)="YES",VLOOKUP(E263,'School Year 2021-22 SPED coop'!A:P,16,FALSE),0),0)</f>
        <v>0</v>
      </c>
      <c r="H263" s="173">
        <f t="shared" si="243"/>
        <v>0</v>
      </c>
      <c r="J263" s="87" t="s">
        <v>31</v>
      </c>
      <c r="K263" s="87" t="s">
        <v>32</v>
      </c>
      <c r="L263" s="173">
        <f t="shared" si="202"/>
        <v>0</v>
      </c>
      <c r="M263" s="173">
        <f t="shared" si="203"/>
        <v>0</v>
      </c>
      <c r="N263" s="173">
        <f t="shared" si="204"/>
        <v>0</v>
      </c>
      <c r="O263" s="173">
        <f t="shared" si="205"/>
        <v>0</v>
      </c>
      <c r="P263" s="173">
        <f t="shared" si="206"/>
        <v>0</v>
      </c>
      <c r="Q263" s="173">
        <f t="shared" si="207"/>
        <v>0</v>
      </c>
      <c r="R263" s="173">
        <f t="shared" si="208"/>
        <v>0</v>
      </c>
      <c r="S263" s="173">
        <f t="shared" si="209"/>
        <v>0</v>
      </c>
      <c r="U263" s="87" t="s">
        <v>31</v>
      </c>
      <c r="V263" s="87" t="s">
        <v>32</v>
      </c>
      <c r="W263" s="173">
        <f t="shared" si="210"/>
        <v>0</v>
      </c>
      <c r="X263" s="173">
        <f t="shared" si="244"/>
        <v>0</v>
      </c>
      <c r="Y263" s="173">
        <f t="shared" si="245"/>
        <v>0</v>
      </c>
      <c r="Z263" s="173">
        <f t="shared" si="246"/>
        <v>0</v>
      </c>
      <c r="AA263" s="173">
        <f t="shared" si="247"/>
        <v>0</v>
      </c>
      <c r="AB263" s="173">
        <f t="shared" si="248"/>
        <v>0</v>
      </c>
      <c r="AC263" s="173">
        <f t="shared" si="249"/>
        <v>0</v>
      </c>
      <c r="AD263" s="173">
        <f t="shared" si="250"/>
        <v>0</v>
      </c>
      <c r="AF263" s="87" t="s">
        <v>31</v>
      </c>
      <c r="AG263" s="87" t="s">
        <v>32</v>
      </c>
      <c r="AH263" s="173">
        <f t="shared" si="211"/>
        <v>0</v>
      </c>
      <c r="AI263" s="173">
        <f t="shared" si="212"/>
        <v>0</v>
      </c>
      <c r="AJ263" s="173">
        <f t="shared" si="213"/>
        <v>0</v>
      </c>
      <c r="AK263" s="173">
        <f t="shared" si="214"/>
        <v>0</v>
      </c>
      <c r="AL263" s="173">
        <f t="shared" si="215"/>
        <v>0</v>
      </c>
      <c r="AM263" s="173">
        <f t="shared" si="216"/>
        <v>0</v>
      </c>
      <c r="AN263" s="173">
        <f t="shared" si="217"/>
        <v>0</v>
      </c>
      <c r="AO263" s="173">
        <f t="shared" si="218"/>
        <v>0</v>
      </c>
      <c r="AQ263" s="87" t="s">
        <v>31</v>
      </c>
      <c r="AR263" s="87" t="s">
        <v>32</v>
      </c>
      <c r="AS263" s="173">
        <f t="shared" si="219"/>
        <v>0</v>
      </c>
      <c r="AT263" s="173">
        <f t="shared" si="220"/>
        <v>0</v>
      </c>
      <c r="AU263" s="173">
        <f t="shared" si="221"/>
        <v>0</v>
      </c>
      <c r="AV263" s="173">
        <f t="shared" si="222"/>
        <v>0</v>
      </c>
      <c r="AW263" s="173">
        <f t="shared" si="223"/>
        <v>0</v>
      </c>
      <c r="AX263" s="173">
        <f t="shared" si="224"/>
        <v>0</v>
      </c>
      <c r="AY263" s="173">
        <f t="shared" si="225"/>
        <v>0</v>
      </c>
      <c r="AZ263" s="173">
        <f t="shared" si="226"/>
        <v>0</v>
      </c>
      <c r="BB263" s="87" t="s">
        <v>31</v>
      </c>
      <c r="BC263" s="87" t="s">
        <v>32</v>
      </c>
      <c r="BD263" s="173">
        <f t="shared" si="227"/>
        <v>0</v>
      </c>
      <c r="BE263" s="173">
        <f t="shared" si="228"/>
        <v>0</v>
      </c>
      <c r="BF263" s="173">
        <f t="shared" si="229"/>
        <v>0</v>
      </c>
      <c r="BG263" s="173">
        <f t="shared" si="230"/>
        <v>0</v>
      </c>
      <c r="BH263" s="173">
        <f t="shared" si="231"/>
        <v>0</v>
      </c>
      <c r="BI263" s="173">
        <f t="shared" si="232"/>
        <v>0</v>
      </c>
      <c r="BJ263" s="173">
        <f t="shared" si="233"/>
        <v>0</v>
      </c>
      <c r="BK263" s="173">
        <f t="shared" si="234"/>
        <v>0</v>
      </c>
      <c r="BM263" s="87" t="s">
        <v>31</v>
      </c>
      <c r="BN263" s="87" t="s">
        <v>32</v>
      </c>
      <c r="BO263" s="173">
        <f t="shared" si="235"/>
        <v>0</v>
      </c>
      <c r="BP263" s="173">
        <f t="shared" si="236"/>
        <v>0</v>
      </c>
      <c r="BQ263" s="173">
        <f t="shared" si="237"/>
        <v>0</v>
      </c>
      <c r="BR263" s="173">
        <f t="shared" si="238"/>
        <v>0</v>
      </c>
      <c r="BS263" s="173">
        <f t="shared" si="239"/>
        <v>0</v>
      </c>
      <c r="BT263" s="173">
        <f t="shared" si="240"/>
        <v>0</v>
      </c>
      <c r="BU263" s="173">
        <f t="shared" si="241"/>
        <v>0</v>
      </c>
      <c r="BV263" s="173">
        <f t="shared" si="242"/>
        <v>0</v>
      </c>
    </row>
    <row r="264" spans="5:74">
      <c r="E264" s="87" t="s">
        <v>361</v>
      </c>
      <c r="F264" s="87" t="s">
        <v>362</v>
      </c>
      <c r="G264" s="173">
        <f>IFERROR(IF(VLOOKUP(E264,A:C,3,FALSE)="YES",VLOOKUP(E264,'School Year 2021-22 SPED coop'!A:P,16,FALSE),0),0)</f>
        <v>0</v>
      </c>
      <c r="H264" s="173">
        <f t="shared" si="243"/>
        <v>3760796.07</v>
      </c>
      <c r="J264" s="87" t="s">
        <v>361</v>
      </c>
      <c r="K264" s="87" t="s">
        <v>362</v>
      </c>
      <c r="L264" s="173">
        <f t="shared" si="202"/>
        <v>0</v>
      </c>
      <c r="M264" s="173">
        <f t="shared" si="203"/>
        <v>3829186.6494214335</v>
      </c>
      <c r="N264" s="173">
        <f t="shared" si="204"/>
        <v>0</v>
      </c>
      <c r="O264" s="173">
        <f t="shared" si="205"/>
        <v>3930551.3714543805</v>
      </c>
      <c r="P264" s="173">
        <f t="shared" si="206"/>
        <v>0</v>
      </c>
      <c r="Q264" s="173">
        <f t="shared" si="207"/>
        <v>4003460.7103960146</v>
      </c>
      <c r="R264" s="173">
        <f t="shared" si="208"/>
        <v>0</v>
      </c>
      <c r="S264" s="173">
        <f t="shared" si="209"/>
        <v>4077380.3306764234</v>
      </c>
      <c r="U264" s="87" t="s">
        <v>361</v>
      </c>
      <c r="V264" s="87" t="s">
        <v>362</v>
      </c>
      <c r="W264" s="173">
        <f t="shared" si="210"/>
        <v>0</v>
      </c>
      <c r="X264" s="173">
        <f t="shared" si="244"/>
        <v>3829186.6494214335</v>
      </c>
      <c r="Y264" s="173">
        <f t="shared" si="245"/>
        <v>0</v>
      </c>
      <c r="Z264" s="173">
        <f t="shared" si="246"/>
        <v>3949808.8594154259</v>
      </c>
      <c r="AA264" s="173">
        <f t="shared" si="247"/>
        <v>0</v>
      </c>
      <c r="AB264" s="173">
        <f t="shared" si="248"/>
        <v>4026078.9401157056</v>
      </c>
      <c r="AC264" s="173">
        <f t="shared" si="249"/>
        <v>0</v>
      </c>
      <c r="AD264" s="173">
        <f t="shared" si="250"/>
        <v>4107484.1927567176</v>
      </c>
      <c r="AF264" s="87" t="s">
        <v>361</v>
      </c>
      <c r="AG264" s="87" t="s">
        <v>362</v>
      </c>
      <c r="AH264" s="173">
        <f t="shared" si="211"/>
        <v>0</v>
      </c>
      <c r="AI264" s="173">
        <f t="shared" si="212"/>
        <v>3829186.6494214335</v>
      </c>
      <c r="AJ264" s="173">
        <f t="shared" si="213"/>
        <v>0</v>
      </c>
      <c r="AK264" s="173">
        <f t="shared" si="214"/>
        <v>3940471.2245056494</v>
      </c>
      <c r="AL264" s="173">
        <f t="shared" si="215"/>
        <v>0</v>
      </c>
      <c r="AM264" s="173">
        <f t="shared" si="216"/>
        <v>4012721.7077310146</v>
      </c>
      <c r="AN264" s="173">
        <f t="shared" si="217"/>
        <v>0</v>
      </c>
      <c r="AO264" s="173">
        <f t="shared" si="218"/>
        <v>4081425.5036156261</v>
      </c>
      <c r="AQ264" s="87" t="s">
        <v>361</v>
      </c>
      <c r="AR264" s="87" t="s">
        <v>362</v>
      </c>
      <c r="AS264" s="173">
        <f t="shared" si="219"/>
        <v>0</v>
      </c>
      <c r="AT264" s="173">
        <f t="shared" si="220"/>
        <v>3829186.6494214335</v>
      </c>
      <c r="AU264" s="173">
        <f t="shared" si="221"/>
        <v>0</v>
      </c>
      <c r="AV264" s="173">
        <f t="shared" si="222"/>
        <v>4027578.0815800321</v>
      </c>
      <c r="AW264" s="173">
        <f t="shared" si="223"/>
        <v>0</v>
      </c>
      <c r="AX264" s="173">
        <f t="shared" si="224"/>
        <v>4098514.6306149843</v>
      </c>
      <c r="AY264" s="173">
        <f t="shared" si="225"/>
        <v>0</v>
      </c>
      <c r="AZ264" s="173">
        <f t="shared" si="226"/>
        <v>4174487.3277739394</v>
      </c>
      <c r="BB264" s="87" t="s">
        <v>361</v>
      </c>
      <c r="BC264" s="87" t="s">
        <v>362</v>
      </c>
      <c r="BD264" s="173">
        <f t="shared" si="227"/>
        <v>0</v>
      </c>
      <c r="BE264" s="173">
        <f t="shared" si="228"/>
        <v>3829186.6494214335</v>
      </c>
      <c r="BF264" s="173">
        <f t="shared" si="229"/>
        <v>0</v>
      </c>
      <c r="BG264" s="173">
        <f t="shared" si="230"/>
        <v>4047310.9384047273</v>
      </c>
      <c r="BH264" s="173">
        <f t="shared" si="231"/>
        <v>0</v>
      </c>
      <c r="BI264" s="173">
        <f t="shared" si="232"/>
        <v>4121669.8790213885</v>
      </c>
      <c r="BJ264" s="173">
        <f t="shared" si="233"/>
        <v>0</v>
      </c>
      <c r="BK264" s="173">
        <f t="shared" si="234"/>
        <v>4205308.1380193923</v>
      </c>
      <c r="BM264" s="87" t="s">
        <v>361</v>
      </c>
      <c r="BN264" s="87" t="s">
        <v>362</v>
      </c>
      <c r="BO264" s="173">
        <f t="shared" si="235"/>
        <v>0</v>
      </c>
      <c r="BP264" s="173">
        <f t="shared" si="236"/>
        <v>3829186.6494214335</v>
      </c>
      <c r="BQ264" s="173">
        <f t="shared" si="237"/>
        <v>0</v>
      </c>
      <c r="BR264" s="173">
        <f t="shared" si="238"/>
        <v>4037748.2663085959</v>
      </c>
      <c r="BS264" s="173">
        <f t="shared" si="239"/>
        <v>0</v>
      </c>
      <c r="BT264" s="173">
        <f t="shared" si="240"/>
        <v>4108001.6149442517</v>
      </c>
      <c r="BU264" s="173">
        <f t="shared" si="241"/>
        <v>0</v>
      </c>
      <c r="BV264" s="173">
        <f t="shared" si="242"/>
        <v>4178633.044857685</v>
      </c>
    </row>
    <row r="265" spans="5:74">
      <c r="E265" s="87" t="s">
        <v>569</v>
      </c>
      <c r="F265" s="87" t="s">
        <v>570</v>
      </c>
      <c r="G265" s="173">
        <f>IFERROR(IF(VLOOKUP(E265,A:C,3,FALSE)="YES",VLOOKUP(E265,'School Year 2021-22 SPED coop'!A:P,16,FALSE),0),0)</f>
        <v>0</v>
      </c>
      <c r="H265" s="173">
        <f t="shared" si="243"/>
        <v>57633.590000000004</v>
      </c>
      <c r="J265" s="87" t="s">
        <v>569</v>
      </c>
      <c r="K265" s="87" t="s">
        <v>570</v>
      </c>
      <c r="L265" s="173">
        <f t="shared" si="202"/>
        <v>0</v>
      </c>
      <c r="M265" s="173">
        <f t="shared" si="203"/>
        <v>58279.029089469484</v>
      </c>
      <c r="N265" s="173">
        <f t="shared" si="204"/>
        <v>0</v>
      </c>
      <c r="O265" s="173">
        <f t="shared" si="205"/>
        <v>60248.138203762828</v>
      </c>
      <c r="P265" s="173">
        <f t="shared" si="206"/>
        <v>0</v>
      </c>
      <c r="Q265" s="173">
        <f t="shared" si="207"/>
        <v>61363.124176834135</v>
      </c>
      <c r="R265" s="173">
        <f t="shared" si="208"/>
        <v>0</v>
      </c>
      <c r="S265" s="173">
        <f t="shared" si="209"/>
        <v>62491.33537324475</v>
      </c>
      <c r="U265" s="87" t="s">
        <v>569</v>
      </c>
      <c r="V265" s="87" t="s">
        <v>570</v>
      </c>
      <c r="W265" s="173">
        <f t="shared" si="210"/>
        <v>0</v>
      </c>
      <c r="X265" s="173">
        <f t="shared" si="244"/>
        <v>58279.029089469484</v>
      </c>
      <c r="Y265" s="173">
        <f t="shared" si="245"/>
        <v>0</v>
      </c>
      <c r="Z265" s="173">
        <f t="shared" si="246"/>
        <v>60248.138203762828</v>
      </c>
      <c r="AA265" s="173">
        <f t="shared" si="247"/>
        <v>0</v>
      </c>
      <c r="AB265" s="173">
        <f t="shared" si="248"/>
        <v>61363.124176834135</v>
      </c>
      <c r="AC265" s="173">
        <f t="shared" si="249"/>
        <v>0</v>
      </c>
      <c r="AD265" s="173">
        <f t="shared" si="250"/>
        <v>62491.33537324475</v>
      </c>
      <c r="AF265" s="87" t="s">
        <v>569</v>
      </c>
      <c r="AG265" s="87" t="s">
        <v>570</v>
      </c>
      <c r="AH265" s="173">
        <f t="shared" si="211"/>
        <v>0</v>
      </c>
      <c r="AI265" s="173">
        <f t="shared" si="212"/>
        <v>58279.029089469484</v>
      </c>
      <c r="AJ265" s="173">
        <f t="shared" si="213"/>
        <v>0</v>
      </c>
      <c r="AK265" s="173">
        <f t="shared" si="214"/>
        <v>59363.991868685465</v>
      </c>
      <c r="AL265" s="173">
        <f t="shared" si="215"/>
        <v>0</v>
      </c>
      <c r="AM265" s="173">
        <f t="shared" si="216"/>
        <v>60067.645731901321</v>
      </c>
      <c r="AN265" s="173">
        <f t="shared" si="217"/>
        <v>0</v>
      </c>
      <c r="AO265" s="173">
        <f t="shared" si="218"/>
        <v>61156.362146160456</v>
      </c>
      <c r="AQ265" s="87" t="s">
        <v>569</v>
      </c>
      <c r="AR265" s="87" t="s">
        <v>570</v>
      </c>
      <c r="AS265" s="173">
        <f t="shared" si="219"/>
        <v>0</v>
      </c>
      <c r="AT265" s="173">
        <f t="shared" si="220"/>
        <v>58279.029089469484</v>
      </c>
      <c r="AU265" s="173">
        <f t="shared" si="221"/>
        <v>0</v>
      </c>
      <c r="AV265" s="173">
        <f t="shared" si="222"/>
        <v>61731.576486961203</v>
      </c>
      <c r="AW265" s="173">
        <f t="shared" si="223"/>
        <v>0</v>
      </c>
      <c r="AX265" s="173">
        <f t="shared" si="224"/>
        <v>62814.295744614035</v>
      </c>
      <c r="AY265" s="173">
        <f t="shared" si="225"/>
        <v>0</v>
      </c>
      <c r="AZ265" s="173">
        <f t="shared" si="226"/>
        <v>63973.873298308965</v>
      </c>
      <c r="BB265" s="87" t="s">
        <v>569</v>
      </c>
      <c r="BC265" s="87" t="s">
        <v>570</v>
      </c>
      <c r="BD265" s="173">
        <f t="shared" si="227"/>
        <v>0</v>
      </c>
      <c r="BE265" s="173">
        <f t="shared" si="228"/>
        <v>58279.029089469484</v>
      </c>
      <c r="BF265" s="173">
        <f t="shared" si="229"/>
        <v>0</v>
      </c>
      <c r="BG265" s="173">
        <f t="shared" si="230"/>
        <v>61731.576486961203</v>
      </c>
      <c r="BH265" s="173">
        <f t="shared" si="231"/>
        <v>0</v>
      </c>
      <c r="BI265" s="173">
        <f t="shared" si="232"/>
        <v>62814.295744614035</v>
      </c>
      <c r="BJ265" s="173">
        <f t="shared" si="233"/>
        <v>0</v>
      </c>
      <c r="BK265" s="173">
        <f t="shared" si="234"/>
        <v>63973.873298308965</v>
      </c>
      <c r="BM265" s="87" t="s">
        <v>569</v>
      </c>
      <c r="BN265" s="87" t="s">
        <v>570</v>
      </c>
      <c r="BO265" s="173">
        <f t="shared" si="235"/>
        <v>0</v>
      </c>
      <c r="BP265" s="173">
        <f t="shared" si="236"/>
        <v>58279.029089469484</v>
      </c>
      <c r="BQ265" s="173">
        <f t="shared" si="237"/>
        <v>0</v>
      </c>
      <c r="BR265" s="173">
        <f t="shared" si="238"/>
        <v>60825.261694418448</v>
      </c>
      <c r="BS265" s="173">
        <f t="shared" si="239"/>
        <v>0</v>
      </c>
      <c r="BT265" s="173">
        <f t="shared" si="240"/>
        <v>61487.706867310553</v>
      </c>
      <c r="BU265" s="173">
        <f t="shared" si="241"/>
        <v>0</v>
      </c>
      <c r="BV265" s="173">
        <f t="shared" si="242"/>
        <v>62606.732591973428</v>
      </c>
    </row>
    <row r="266" spans="5:74">
      <c r="E266" s="87" t="s">
        <v>421</v>
      </c>
      <c r="F266" s="87" t="s">
        <v>422</v>
      </c>
      <c r="G266" s="173">
        <f>IFERROR(IF(VLOOKUP(E266,A:C,3,FALSE)="YES",VLOOKUP(E266,'School Year 2021-22 SPED coop'!A:P,16,FALSE),0),0)</f>
        <v>1132746.6000000001</v>
      </c>
      <c r="H266" s="173">
        <f t="shared" si="243"/>
        <v>0</v>
      </c>
      <c r="J266" s="87" t="s">
        <v>421</v>
      </c>
      <c r="K266" s="87" t="s">
        <v>422</v>
      </c>
      <c r="L266" s="173">
        <f t="shared" si="202"/>
        <v>1036368.1797604333</v>
      </c>
      <c r="M266" s="173">
        <f t="shared" si="203"/>
        <v>0</v>
      </c>
      <c r="N266" s="173">
        <f t="shared" si="204"/>
        <v>1071507.6187966871</v>
      </c>
      <c r="O266" s="173">
        <f t="shared" si="205"/>
        <v>0</v>
      </c>
      <c r="P266" s="173">
        <f t="shared" si="206"/>
        <v>1091354.5765076915</v>
      </c>
      <c r="Q266" s="173">
        <f t="shared" si="207"/>
        <v>0</v>
      </c>
      <c r="R266" s="173">
        <f t="shared" si="208"/>
        <v>1111450.9813424186</v>
      </c>
      <c r="S266" s="173">
        <f t="shared" si="209"/>
        <v>0</v>
      </c>
      <c r="U266" s="87" t="s">
        <v>421</v>
      </c>
      <c r="V266" s="87" t="s">
        <v>422</v>
      </c>
      <c r="W266" s="173">
        <f t="shared" si="210"/>
        <v>1036368.1797604333</v>
      </c>
      <c r="X266" s="173">
        <f t="shared" si="244"/>
        <v>0</v>
      </c>
      <c r="Y266" s="173">
        <f t="shared" si="245"/>
        <v>1076758.5057972793</v>
      </c>
      <c r="Z266" s="173">
        <f t="shared" si="246"/>
        <v>0</v>
      </c>
      <c r="AA266" s="173">
        <f t="shared" si="247"/>
        <v>1097515.5993767511</v>
      </c>
      <c r="AB266" s="173">
        <f t="shared" si="248"/>
        <v>0</v>
      </c>
      <c r="AC266" s="173">
        <f t="shared" si="249"/>
        <v>1119660.1452416822</v>
      </c>
      <c r="AD266" s="173">
        <f t="shared" si="250"/>
        <v>0</v>
      </c>
      <c r="AF266" s="87" t="s">
        <v>421</v>
      </c>
      <c r="AG266" s="87" t="s">
        <v>422</v>
      </c>
      <c r="AH266" s="173">
        <f t="shared" si="211"/>
        <v>1036368.1797604333</v>
      </c>
      <c r="AI266" s="173">
        <f t="shared" si="212"/>
        <v>0</v>
      </c>
      <c r="AJ266" s="173">
        <f t="shared" si="213"/>
        <v>1078670.2751007148</v>
      </c>
      <c r="AK266" s="173">
        <f t="shared" si="214"/>
        <v>0</v>
      </c>
      <c r="AL266" s="173">
        <f t="shared" si="215"/>
        <v>1100840.1895974143</v>
      </c>
      <c r="AM266" s="173">
        <f t="shared" si="216"/>
        <v>0</v>
      </c>
      <c r="AN266" s="173">
        <f t="shared" si="217"/>
        <v>1121968.0258293399</v>
      </c>
      <c r="AO266" s="173">
        <f t="shared" si="218"/>
        <v>0</v>
      </c>
      <c r="AQ266" s="87" t="s">
        <v>421</v>
      </c>
      <c r="AR266" s="87" t="s">
        <v>422</v>
      </c>
      <c r="AS266" s="173">
        <f t="shared" si="219"/>
        <v>1036368.1797604333</v>
      </c>
      <c r="AT266" s="173">
        <f t="shared" si="220"/>
        <v>0</v>
      </c>
      <c r="AU266" s="173">
        <f t="shared" si="221"/>
        <v>1097877.3063175378</v>
      </c>
      <c r="AV266" s="173">
        <f t="shared" si="222"/>
        <v>0</v>
      </c>
      <c r="AW266" s="173">
        <f t="shared" si="223"/>
        <v>1117162.3934525549</v>
      </c>
      <c r="AX266" s="173">
        <f t="shared" si="224"/>
        <v>0</v>
      </c>
      <c r="AY266" s="173">
        <f t="shared" si="225"/>
        <v>1137816.6136348897</v>
      </c>
      <c r="AZ266" s="173">
        <f t="shared" si="226"/>
        <v>0</v>
      </c>
      <c r="BB266" s="87" t="s">
        <v>421</v>
      </c>
      <c r="BC266" s="87" t="s">
        <v>422</v>
      </c>
      <c r="BD266" s="173">
        <f t="shared" si="227"/>
        <v>1036368.1797604333</v>
      </c>
      <c r="BE266" s="173">
        <f t="shared" si="228"/>
        <v>0</v>
      </c>
      <c r="BF266" s="173">
        <f t="shared" si="229"/>
        <v>1103257.4156940321</v>
      </c>
      <c r="BG266" s="173">
        <f t="shared" si="230"/>
        <v>0</v>
      </c>
      <c r="BH266" s="173">
        <f t="shared" si="231"/>
        <v>1123469.105677628</v>
      </c>
      <c r="BI266" s="173">
        <f t="shared" si="232"/>
        <v>0</v>
      </c>
      <c r="BJ266" s="173">
        <f t="shared" si="233"/>
        <v>1146220.5136697663</v>
      </c>
      <c r="BK266" s="173">
        <f t="shared" si="234"/>
        <v>0</v>
      </c>
      <c r="BM266" s="87" t="s">
        <v>421</v>
      </c>
      <c r="BN266" s="87" t="s">
        <v>422</v>
      </c>
      <c r="BO266" s="173">
        <f t="shared" si="235"/>
        <v>1036368.1797604333</v>
      </c>
      <c r="BP266" s="173">
        <f t="shared" si="236"/>
        <v>0</v>
      </c>
      <c r="BQ266" s="173">
        <f t="shared" si="237"/>
        <v>1105219.1299597961</v>
      </c>
      <c r="BR266" s="173">
        <f t="shared" si="238"/>
        <v>0</v>
      </c>
      <c r="BS266" s="173">
        <f t="shared" si="239"/>
        <v>1126875.7061751299</v>
      </c>
      <c r="BT266" s="173">
        <f t="shared" si="240"/>
        <v>0</v>
      </c>
      <c r="BU266" s="173">
        <f t="shared" si="241"/>
        <v>1148586.8575614793</v>
      </c>
      <c r="BV266" s="173">
        <f t="shared" si="242"/>
        <v>0</v>
      </c>
    </row>
    <row r="267" spans="5:74">
      <c r="E267" s="87" t="s">
        <v>443</v>
      </c>
      <c r="F267" s="87" t="s">
        <v>444</v>
      </c>
      <c r="G267" s="173">
        <f>IFERROR(IF(VLOOKUP(E267,A:C,3,FALSE)="YES",VLOOKUP(E267,'School Year 2021-22 SPED coop'!A:P,16,FALSE),0),0)</f>
        <v>0</v>
      </c>
      <c r="H267" s="173">
        <f t="shared" si="243"/>
        <v>2770706.46</v>
      </c>
      <c r="J267" s="87" t="s">
        <v>443</v>
      </c>
      <c r="K267" s="87" t="s">
        <v>444</v>
      </c>
      <c r="L267" s="173">
        <f t="shared" si="202"/>
        <v>0</v>
      </c>
      <c r="M267" s="173">
        <f t="shared" si="203"/>
        <v>2801962.5131838545</v>
      </c>
      <c r="N267" s="173">
        <f t="shared" si="204"/>
        <v>0</v>
      </c>
      <c r="O267" s="173">
        <f t="shared" si="205"/>
        <v>2894900.2124167243</v>
      </c>
      <c r="P267" s="173">
        <f t="shared" si="206"/>
        <v>0</v>
      </c>
      <c r="Q267" s="173">
        <f t="shared" si="207"/>
        <v>2948951.7082121512</v>
      </c>
      <c r="R267" s="173">
        <f t="shared" si="208"/>
        <v>0</v>
      </c>
      <c r="S267" s="173">
        <f t="shared" si="209"/>
        <v>3004064.7575787241</v>
      </c>
      <c r="U267" s="87" t="s">
        <v>443</v>
      </c>
      <c r="V267" s="87" t="s">
        <v>444</v>
      </c>
      <c r="W267" s="173">
        <f t="shared" si="210"/>
        <v>0</v>
      </c>
      <c r="X267" s="173">
        <f t="shared" si="244"/>
        <v>2801962.5131838545</v>
      </c>
      <c r="Y267" s="173">
        <f t="shared" si="245"/>
        <v>0</v>
      </c>
      <c r="Z267" s="173">
        <f t="shared" si="246"/>
        <v>2909099.8748168917</v>
      </c>
      <c r="AA267" s="173">
        <f t="shared" si="247"/>
        <v>0</v>
      </c>
      <c r="AB267" s="173">
        <f t="shared" si="248"/>
        <v>2965621.3088936559</v>
      </c>
      <c r="AC267" s="173">
        <f t="shared" si="249"/>
        <v>0</v>
      </c>
      <c r="AD267" s="173">
        <f t="shared" si="250"/>
        <v>3026243.956374825</v>
      </c>
      <c r="AF267" s="87" t="s">
        <v>443</v>
      </c>
      <c r="AG267" s="87" t="s">
        <v>444</v>
      </c>
      <c r="AH267" s="173">
        <f t="shared" si="211"/>
        <v>0</v>
      </c>
      <c r="AI267" s="173">
        <f t="shared" si="212"/>
        <v>2801962.5131838545</v>
      </c>
      <c r="AJ267" s="173">
        <f t="shared" si="213"/>
        <v>0</v>
      </c>
      <c r="AK267" s="173">
        <f t="shared" si="214"/>
        <v>2902147.3730444</v>
      </c>
      <c r="AL267" s="173">
        <f t="shared" si="215"/>
        <v>0</v>
      </c>
      <c r="AM267" s="173">
        <f t="shared" si="216"/>
        <v>2956151.388394983</v>
      </c>
      <c r="AN267" s="173">
        <f t="shared" si="217"/>
        <v>0</v>
      </c>
      <c r="AO267" s="173">
        <f t="shared" si="218"/>
        <v>3011491.5840625772</v>
      </c>
      <c r="AQ267" s="87" t="s">
        <v>443</v>
      </c>
      <c r="AR267" s="87" t="s">
        <v>444</v>
      </c>
      <c r="AS267" s="173">
        <f t="shared" si="219"/>
        <v>0</v>
      </c>
      <c r="AT267" s="173">
        <f t="shared" si="220"/>
        <v>2801962.5131838545</v>
      </c>
      <c r="AU267" s="173">
        <f t="shared" si="221"/>
        <v>0</v>
      </c>
      <c r="AV267" s="173">
        <f t="shared" si="222"/>
        <v>2967260.0028341739</v>
      </c>
      <c r="AW267" s="173">
        <f t="shared" si="223"/>
        <v>0</v>
      </c>
      <c r="AX267" s="173">
        <f t="shared" si="224"/>
        <v>3020151.1405911455</v>
      </c>
      <c r="AY267" s="173">
        <f t="shared" si="225"/>
        <v>0</v>
      </c>
      <c r="AZ267" s="173">
        <f t="shared" si="226"/>
        <v>3076797.3094325881</v>
      </c>
      <c r="BB267" s="87" t="s">
        <v>443</v>
      </c>
      <c r="BC267" s="87" t="s">
        <v>444</v>
      </c>
      <c r="BD267" s="173">
        <f t="shared" si="227"/>
        <v>0</v>
      </c>
      <c r="BE267" s="173">
        <f t="shared" si="228"/>
        <v>2801962.5131838545</v>
      </c>
      <c r="BF267" s="173">
        <f t="shared" si="229"/>
        <v>0</v>
      </c>
      <c r="BG267" s="173">
        <f t="shared" si="230"/>
        <v>2981814.5981487753</v>
      </c>
      <c r="BH267" s="173">
        <f t="shared" si="231"/>
        <v>0</v>
      </c>
      <c r="BI267" s="173">
        <f t="shared" si="232"/>
        <v>3037223.2130246335</v>
      </c>
      <c r="BJ267" s="173">
        <f t="shared" si="233"/>
        <v>0</v>
      </c>
      <c r="BK267" s="173">
        <f t="shared" si="234"/>
        <v>3099513.4918920519</v>
      </c>
      <c r="BM267" s="87" t="s">
        <v>443</v>
      </c>
      <c r="BN267" s="87" t="s">
        <v>444</v>
      </c>
      <c r="BO267" s="173">
        <f t="shared" si="235"/>
        <v>0</v>
      </c>
      <c r="BP267" s="173">
        <f t="shared" si="236"/>
        <v>2801962.5131838545</v>
      </c>
      <c r="BQ267" s="173">
        <f t="shared" si="237"/>
        <v>0</v>
      </c>
      <c r="BR267" s="173">
        <f t="shared" si="238"/>
        <v>2974691.6436188463</v>
      </c>
      <c r="BS267" s="173">
        <f t="shared" si="239"/>
        <v>0</v>
      </c>
      <c r="BT267" s="173">
        <f t="shared" si="240"/>
        <v>3027527.5090772808</v>
      </c>
      <c r="BU267" s="173">
        <f t="shared" si="241"/>
        <v>0</v>
      </c>
      <c r="BV267" s="173">
        <f t="shared" si="242"/>
        <v>3084406.886697771</v>
      </c>
    </row>
    <row r="268" spans="5:74">
      <c r="E268" s="87" t="s">
        <v>1022</v>
      </c>
      <c r="F268" s="87" t="s">
        <v>1040</v>
      </c>
      <c r="G268" s="173">
        <f>IFERROR(IF(VLOOKUP(E268,A:C,3,FALSE)="YES",VLOOKUP(E268,'School Year 2021-22 SPED coop'!A:P,16,FALSE),0),0)</f>
        <v>0</v>
      </c>
      <c r="H268" s="173">
        <f t="shared" si="243"/>
        <v>569472.46000000008</v>
      </c>
      <c r="J268" s="87" t="s">
        <v>1022</v>
      </c>
      <c r="K268" s="87" t="s">
        <v>1040</v>
      </c>
      <c r="L268" s="173">
        <f t="shared" si="202"/>
        <v>0</v>
      </c>
      <c r="M268" s="173">
        <f t="shared" si="203"/>
        <v>575890.58804156969</v>
      </c>
      <c r="N268" s="173">
        <f t="shared" si="204"/>
        <v>0</v>
      </c>
      <c r="O268" s="173">
        <f t="shared" si="205"/>
        <v>595115.1583298085</v>
      </c>
      <c r="P268" s="173">
        <f t="shared" si="206"/>
        <v>0</v>
      </c>
      <c r="Q268" s="173">
        <f t="shared" si="207"/>
        <v>606233.51906388067</v>
      </c>
      <c r="R268" s="173">
        <f t="shared" si="208"/>
        <v>0</v>
      </c>
      <c r="S268" s="173">
        <f t="shared" si="209"/>
        <v>617576.08082819823</v>
      </c>
      <c r="U268" s="87" t="s">
        <v>1022</v>
      </c>
      <c r="V268" s="87" t="s">
        <v>1040</v>
      </c>
      <c r="W268" s="173">
        <f t="shared" si="210"/>
        <v>0</v>
      </c>
      <c r="X268" s="173">
        <f t="shared" si="244"/>
        <v>575890.58804156969</v>
      </c>
      <c r="Y268" s="173">
        <f t="shared" si="245"/>
        <v>0</v>
      </c>
      <c r="Z268" s="173">
        <f t="shared" si="246"/>
        <v>598040.28276891599</v>
      </c>
      <c r="AA268" s="173">
        <f t="shared" si="247"/>
        <v>0</v>
      </c>
      <c r="AB268" s="173">
        <f t="shared" si="248"/>
        <v>609666.26383145188</v>
      </c>
      <c r="AC268" s="173">
        <f t="shared" si="249"/>
        <v>0</v>
      </c>
      <c r="AD268" s="173">
        <f t="shared" si="250"/>
        <v>622147.56972818845</v>
      </c>
      <c r="AF268" s="87" t="s">
        <v>1022</v>
      </c>
      <c r="AG268" s="87" t="s">
        <v>1040</v>
      </c>
      <c r="AH268" s="173">
        <f t="shared" si="211"/>
        <v>0</v>
      </c>
      <c r="AI268" s="173">
        <f t="shared" si="212"/>
        <v>575890.58804156969</v>
      </c>
      <c r="AJ268" s="173">
        <f t="shared" si="213"/>
        <v>0</v>
      </c>
      <c r="AK268" s="173">
        <f t="shared" si="214"/>
        <v>596009.83546158473</v>
      </c>
      <c r="AL268" s="173">
        <f t="shared" si="215"/>
        <v>0</v>
      </c>
      <c r="AM268" s="173">
        <f t="shared" si="216"/>
        <v>608025.54262311384</v>
      </c>
      <c r="AN268" s="173">
        <f t="shared" si="217"/>
        <v>0</v>
      </c>
      <c r="AO268" s="173">
        <f t="shared" si="218"/>
        <v>619571.27006967564</v>
      </c>
      <c r="AQ268" s="87" t="s">
        <v>1022</v>
      </c>
      <c r="AR268" s="87" t="s">
        <v>1040</v>
      </c>
      <c r="AS268" s="173">
        <f t="shared" si="219"/>
        <v>0</v>
      </c>
      <c r="AT268" s="173">
        <f t="shared" si="220"/>
        <v>575890.58804156969</v>
      </c>
      <c r="AU268" s="173">
        <f t="shared" si="221"/>
        <v>0</v>
      </c>
      <c r="AV268" s="173">
        <f t="shared" si="222"/>
        <v>609967.53951326618</v>
      </c>
      <c r="AW268" s="173">
        <f t="shared" si="223"/>
        <v>0</v>
      </c>
      <c r="AX268" s="173">
        <f t="shared" si="224"/>
        <v>620852.08801722003</v>
      </c>
      <c r="AY268" s="173">
        <f t="shared" si="225"/>
        <v>0</v>
      </c>
      <c r="AZ268" s="173">
        <f t="shared" si="226"/>
        <v>632509.43963251845</v>
      </c>
      <c r="BB268" s="87" t="s">
        <v>1022</v>
      </c>
      <c r="BC268" s="87" t="s">
        <v>1040</v>
      </c>
      <c r="BD268" s="173">
        <f t="shared" si="227"/>
        <v>0</v>
      </c>
      <c r="BE268" s="173">
        <f t="shared" si="228"/>
        <v>575890.58804156969</v>
      </c>
      <c r="BF268" s="173">
        <f t="shared" si="229"/>
        <v>0</v>
      </c>
      <c r="BG268" s="173">
        <f t="shared" si="230"/>
        <v>612965.67136096954</v>
      </c>
      <c r="BH268" s="173">
        <f t="shared" si="231"/>
        <v>0</v>
      </c>
      <c r="BI268" s="173">
        <f t="shared" si="232"/>
        <v>624367.61291961372</v>
      </c>
      <c r="BJ268" s="173">
        <f t="shared" si="233"/>
        <v>0</v>
      </c>
      <c r="BK268" s="173">
        <f t="shared" si="234"/>
        <v>637191.47580037173</v>
      </c>
      <c r="BM268" s="87" t="s">
        <v>1022</v>
      </c>
      <c r="BN268" s="87" t="s">
        <v>1040</v>
      </c>
      <c r="BO268" s="173">
        <f t="shared" si="235"/>
        <v>0</v>
      </c>
      <c r="BP268" s="173">
        <f t="shared" si="236"/>
        <v>575890.58804156969</v>
      </c>
      <c r="BQ268" s="173">
        <f t="shared" si="237"/>
        <v>0</v>
      </c>
      <c r="BR268" s="173">
        <f t="shared" si="238"/>
        <v>610885.12876822776</v>
      </c>
      <c r="BS268" s="173">
        <f t="shared" si="239"/>
        <v>0</v>
      </c>
      <c r="BT268" s="173">
        <f t="shared" si="240"/>
        <v>622689.26595693291</v>
      </c>
      <c r="BU268" s="173">
        <f t="shared" si="241"/>
        <v>0</v>
      </c>
      <c r="BV268" s="173">
        <f t="shared" si="242"/>
        <v>634555.02430516854</v>
      </c>
    </row>
    <row r="269" spans="5:74">
      <c r="E269" s="87" t="s">
        <v>391</v>
      </c>
      <c r="F269" s="87" t="s">
        <v>392</v>
      </c>
      <c r="G269" s="173">
        <f>IFERROR(IF(VLOOKUP(E269,A:C,3,FALSE)="YES",VLOOKUP(E269,'School Year 2021-22 SPED coop'!A:P,16,FALSE),0),0)</f>
        <v>0</v>
      </c>
      <c r="H269" s="173">
        <f t="shared" si="243"/>
        <v>214612.97</v>
      </c>
      <c r="J269" s="87" t="s">
        <v>391</v>
      </c>
      <c r="K269" s="87" t="s">
        <v>392</v>
      </c>
      <c r="L269" s="173">
        <f t="shared" si="202"/>
        <v>0</v>
      </c>
      <c r="M269" s="173">
        <f t="shared" si="203"/>
        <v>217034.57474780016</v>
      </c>
      <c r="N269" s="173">
        <f t="shared" si="204"/>
        <v>0</v>
      </c>
      <c r="O269" s="173">
        <f t="shared" si="205"/>
        <v>224305.71029107145</v>
      </c>
      <c r="P269" s="173">
        <f t="shared" si="206"/>
        <v>0</v>
      </c>
      <c r="Q269" s="173">
        <f t="shared" si="207"/>
        <v>228489.20494617856</v>
      </c>
      <c r="R269" s="173">
        <f t="shared" si="208"/>
        <v>0</v>
      </c>
      <c r="S269" s="173">
        <f t="shared" si="209"/>
        <v>232750.46045378273</v>
      </c>
      <c r="U269" s="87" t="s">
        <v>391</v>
      </c>
      <c r="V269" s="87" t="s">
        <v>392</v>
      </c>
      <c r="W269" s="173">
        <f t="shared" si="210"/>
        <v>0</v>
      </c>
      <c r="X269" s="173">
        <f t="shared" si="244"/>
        <v>217034.57474780016</v>
      </c>
      <c r="Y269" s="173">
        <f t="shared" si="245"/>
        <v>0</v>
      </c>
      <c r="Z269" s="173">
        <f t="shared" si="246"/>
        <v>225405.45597021084</v>
      </c>
      <c r="AA269" s="173">
        <f t="shared" si="247"/>
        <v>0</v>
      </c>
      <c r="AB269" s="173">
        <f t="shared" si="248"/>
        <v>229780.62014344457</v>
      </c>
      <c r="AC269" s="173">
        <f t="shared" si="249"/>
        <v>0</v>
      </c>
      <c r="AD269" s="173">
        <f t="shared" si="250"/>
        <v>234469.60242715897</v>
      </c>
      <c r="AF269" s="87" t="s">
        <v>391</v>
      </c>
      <c r="AG269" s="87" t="s">
        <v>392</v>
      </c>
      <c r="AH269" s="173">
        <f t="shared" si="211"/>
        <v>0</v>
      </c>
      <c r="AI269" s="173">
        <f t="shared" si="212"/>
        <v>217034.57474780016</v>
      </c>
      <c r="AJ269" s="173">
        <f t="shared" si="213"/>
        <v>0</v>
      </c>
      <c r="AK269" s="173">
        <f t="shared" si="214"/>
        <v>224305.71029107145</v>
      </c>
      <c r="AL269" s="173">
        <f t="shared" si="215"/>
        <v>0</v>
      </c>
      <c r="AM269" s="173">
        <f t="shared" si="216"/>
        <v>228489.20494617856</v>
      </c>
      <c r="AN269" s="173">
        <f t="shared" si="217"/>
        <v>0</v>
      </c>
      <c r="AO269" s="173">
        <f t="shared" si="218"/>
        <v>232750.46045378273</v>
      </c>
      <c r="AQ269" s="87" t="s">
        <v>391</v>
      </c>
      <c r="AR269" s="87" t="s">
        <v>392</v>
      </c>
      <c r="AS269" s="173">
        <f t="shared" si="219"/>
        <v>0</v>
      </c>
      <c r="AT269" s="173">
        <f t="shared" si="220"/>
        <v>217034.57474780016</v>
      </c>
      <c r="AU269" s="173">
        <f t="shared" si="221"/>
        <v>0</v>
      </c>
      <c r="AV269" s="173">
        <f t="shared" si="222"/>
        <v>229883.38710128705</v>
      </c>
      <c r="AW269" s="173">
        <f t="shared" si="223"/>
        <v>0</v>
      </c>
      <c r="AX269" s="173">
        <f t="shared" si="224"/>
        <v>233972.4777552317</v>
      </c>
      <c r="AY269" s="173">
        <f t="shared" si="225"/>
        <v>0</v>
      </c>
      <c r="AZ269" s="173">
        <f t="shared" si="226"/>
        <v>238351.94750548757</v>
      </c>
      <c r="BB269" s="87" t="s">
        <v>391</v>
      </c>
      <c r="BC269" s="87" t="s">
        <v>392</v>
      </c>
      <c r="BD269" s="173">
        <f t="shared" si="227"/>
        <v>0</v>
      </c>
      <c r="BE269" s="173">
        <f t="shared" si="228"/>
        <v>217034.57474780016</v>
      </c>
      <c r="BF269" s="173">
        <f t="shared" si="229"/>
        <v>0</v>
      </c>
      <c r="BG269" s="173">
        <f t="shared" si="230"/>
        <v>231010.4795027356</v>
      </c>
      <c r="BH269" s="173">
        <f t="shared" si="231"/>
        <v>0</v>
      </c>
      <c r="BI269" s="173">
        <f t="shared" si="232"/>
        <v>235294.88427148823</v>
      </c>
      <c r="BJ269" s="173">
        <f t="shared" si="233"/>
        <v>0</v>
      </c>
      <c r="BK269" s="173">
        <f t="shared" si="234"/>
        <v>240112.46319509682</v>
      </c>
      <c r="BM269" s="87" t="s">
        <v>391</v>
      </c>
      <c r="BN269" s="87" t="s">
        <v>392</v>
      </c>
      <c r="BO269" s="173">
        <f t="shared" si="235"/>
        <v>0</v>
      </c>
      <c r="BP269" s="173">
        <f t="shared" si="236"/>
        <v>217034.57474780016</v>
      </c>
      <c r="BQ269" s="173">
        <f t="shared" si="237"/>
        <v>0</v>
      </c>
      <c r="BR269" s="173">
        <f t="shared" si="238"/>
        <v>229883.38710128705</v>
      </c>
      <c r="BS269" s="173">
        <f t="shared" si="239"/>
        <v>0</v>
      </c>
      <c r="BT269" s="173">
        <f t="shared" si="240"/>
        <v>233972.4777552317</v>
      </c>
      <c r="BU269" s="173">
        <f t="shared" si="241"/>
        <v>0</v>
      </c>
      <c r="BV269" s="173">
        <f t="shared" si="242"/>
        <v>238351.94750548757</v>
      </c>
    </row>
    <row r="270" spans="5:74">
      <c r="E270" s="87" t="s">
        <v>221</v>
      </c>
      <c r="F270" s="87" t="s">
        <v>222</v>
      </c>
      <c r="G270" s="173">
        <f>IFERROR(IF(VLOOKUP(E270,A:C,3,FALSE)="YES",VLOOKUP(E270,'School Year 2021-22 SPED coop'!A:P,16,FALSE),0),0)</f>
        <v>0</v>
      </c>
      <c r="H270" s="173">
        <f t="shared" si="243"/>
        <v>384330.45</v>
      </c>
      <c r="J270" s="87" t="s">
        <v>221</v>
      </c>
      <c r="K270" s="87" t="s">
        <v>222</v>
      </c>
      <c r="L270" s="173">
        <f t="shared" si="202"/>
        <v>0</v>
      </c>
      <c r="M270" s="173">
        <f t="shared" si="203"/>
        <v>388656.25018119102</v>
      </c>
      <c r="N270" s="173">
        <f t="shared" si="204"/>
        <v>0</v>
      </c>
      <c r="O270" s="173">
        <f t="shared" si="205"/>
        <v>401594.49262898962</v>
      </c>
      <c r="P270" s="173">
        <f t="shared" si="206"/>
        <v>0</v>
      </c>
      <c r="Q270" s="173">
        <f t="shared" si="207"/>
        <v>409102.08570557914</v>
      </c>
      <c r="R270" s="173">
        <f t="shared" si="208"/>
        <v>0</v>
      </c>
      <c r="S270" s="173">
        <f t="shared" si="209"/>
        <v>416764.74507342943</v>
      </c>
      <c r="U270" s="87" t="s">
        <v>221</v>
      </c>
      <c r="V270" s="87" t="s">
        <v>222</v>
      </c>
      <c r="W270" s="173">
        <f t="shared" si="210"/>
        <v>0</v>
      </c>
      <c r="X270" s="173">
        <f t="shared" si="244"/>
        <v>388656.25018119102</v>
      </c>
      <c r="Y270" s="173">
        <f t="shared" si="245"/>
        <v>0</v>
      </c>
      <c r="Z270" s="173">
        <f t="shared" si="246"/>
        <v>403563.46527557005</v>
      </c>
      <c r="AA270" s="173">
        <f t="shared" si="247"/>
        <v>0</v>
      </c>
      <c r="AB270" s="173">
        <f t="shared" si="248"/>
        <v>411414.32032882038</v>
      </c>
      <c r="AC270" s="173">
        <f t="shared" si="249"/>
        <v>0</v>
      </c>
      <c r="AD270" s="173">
        <f t="shared" si="250"/>
        <v>419843.05376885517</v>
      </c>
      <c r="AF270" s="87" t="s">
        <v>221</v>
      </c>
      <c r="AG270" s="87" t="s">
        <v>222</v>
      </c>
      <c r="AH270" s="173">
        <f t="shared" si="211"/>
        <v>0</v>
      </c>
      <c r="AI270" s="173">
        <f t="shared" si="212"/>
        <v>388656.25018119102</v>
      </c>
      <c r="AJ270" s="173">
        <f t="shared" si="213"/>
        <v>0</v>
      </c>
      <c r="AK270" s="173">
        <f t="shared" si="214"/>
        <v>401594.49262898962</v>
      </c>
      <c r="AL270" s="173">
        <f t="shared" si="215"/>
        <v>0</v>
      </c>
      <c r="AM270" s="173">
        <f t="shared" si="216"/>
        <v>409102.08570557914</v>
      </c>
      <c r="AN270" s="173">
        <f t="shared" si="217"/>
        <v>0</v>
      </c>
      <c r="AO270" s="173">
        <f t="shared" si="218"/>
        <v>416764.74507342943</v>
      </c>
      <c r="AQ270" s="87" t="s">
        <v>221</v>
      </c>
      <c r="AR270" s="87" t="s">
        <v>222</v>
      </c>
      <c r="AS270" s="173">
        <f t="shared" si="219"/>
        <v>0</v>
      </c>
      <c r="AT270" s="173">
        <f t="shared" si="220"/>
        <v>388656.25018119102</v>
      </c>
      <c r="AU270" s="173">
        <f t="shared" si="221"/>
        <v>0</v>
      </c>
      <c r="AV270" s="173">
        <f t="shared" si="222"/>
        <v>411625.81556096178</v>
      </c>
      <c r="AW270" s="173">
        <f t="shared" si="223"/>
        <v>0</v>
      </c>
      <c r="AX270" s="173">
        <f t="shared" si="224"/>
        <v>418979.00558667083</v>
      </c>
      <c r="AY270" s="173">
        <f t="shared" si="225"/>
        <v>0</v>
      </c>
      <c r="AZ270" s="173">
        <f t="shared" si="226"/>
        <v>426854.36460308393</v>
      </c>
      <c r="BB270" s="87" t="s">
        <v>221</v>
      </c>
      <c r="BC270" s="87" t="s">
        <v>222</v>
      </c>
      <c r="BD270" s="173">
        <f t="shared" si="227"/>
        <v>0</v>
      </c>
      <c r="BE270" s="173">
        <f t="shared" si="228"/>
        <v>388656.25018119102</v>
      </c>
      <c r="BF270" s="173">
        <f t="shared" si="229"/>
        <v>0</v>
      </c>
      <c r="BG270" s="173">
        <f t="shared" si="230"/>
        <v>413643.9706560683</v>
      </c>
      <c r="BH270" s="173">
        <f t="shared" si="231"/>
        <v>0</v>
      </c>
      <c r="BI270" s="173">
        <f t="shared" si="232"/>
        <v>421347.0643108348</v>
      </c>
      <c r="BJ270" s="173">
        <f t="shared" si="233"/>
        <v>0</v>
      </c>
      <c r="BK270" s="173">
        <f t="shared" si="234"/>
        <v>430007.19726892398</v>
      </c>
      <c r="BM270" s="87" t="s">
        <v>221</v>
      </c>
      <c r="BN270" s="87" t="s">
        <v>222</v>
      </c>
      <c r="BO270" s="173">
        <f t="shared" si="235"/>
        <v>0</v>
      </c>
      <c r="BP270" s="173">
        <f t="shared" si="236"/>
        <v>388656.25018119102</v>
      </c>
      <c r="BQ270" s="173">
        <f t="shared" si="237"/>
        <v>0</v>
      </c>
      <c r="BR270" s="173">
        <f t="shared" si="238"/>
        <v>411625.81556096178</v>
      </c>
      <c r="BS270" s="173">
        <f t="shared" si="239"/>
        <v>0</v>
      </c>
      <c r="BT270" s="173">
        <f t="shared" si="240"/>
        <v>418979.00558667083</v>
      </c>
      <c r="BU270" s="173">
        <f t="shared" si="241"/>
        <v>0</v>
      </c>
      <c r="BV270" s="173">
        <f t="shared" si="242"/>
        <v>426854.36460308393</v>
      </c>
    </row>
    <row r="271" spans="5:74">
      <c r="E271" s="87" t="s">
        <v>495</v>
      </c>
      <c r="F271" s="87" t="s">
        <v>496</v>
      </c>
      <c r="G271" s="173">
        <f>IFERROR(IF(VLOOKUP(E271,A:C,3,FALSE)="YES",VLOOKUP(E271,'School Year 2021-22 SPED coop'!A:P,16,FALSE),0),0)</f>
        <v>0</v>
      </c>
      <c r="H271" s="173">
        <f t="shared" si="243"/>
        <v>76846.710000000006</v>
      </c>
      <c r="J271" s="87" t="s">
        <v>495</v>
      </c>
      <c r="K271" s="87" t="s">
        <v>496</v>
      </c>
      <c r="L271" s="173">
        <f t="shared" si="202"/>
        <v>0</v>
      </c>
      <c r="M271" s="173">
        <f t="shared" si="203"/>
        <v>77745.358989579487</v>
      </c>
      <c r="N271" s="173">
        <f t="shared" si="204"/>
        <v>0</v>
      </c>
      <c r="O271" s="173">
        <f t="shared" si="205"/>
        <v>80371.938997039804</v>
      </c>
      <c r="P271" s="173">
        <f t="shared" si="206"/>
        <v>0</v>
      </c>
      <c r="Q271" s="173">
        <f t="shared" si="207"/>
        <v>81859.334455844859</v>
      </c>
      <c r="R271" s="173">
        <f t="shared" si="208"/>
        <v>0</v>
      </c>
      <c r="S271" s="173">
        <f t="shared" si="209"/>
        <v>83364.361738224659</v>
      </c>
      <c r="U271" s="87" t="s">
        <v>495</v>
      </c>
      <c r="V271" s="87" t="s">
        <v>496</v>
      </c>
      <c r="W271" s="173">
        <f t="shared" si="210"/>
        <v>0</v>
      </c>
      <c r="X271" s="173">
        <f t="shared" si="244"/>
        <v>77745.358989579487</v>
      </c>
      <c r="Y271" s="173">
        <f t="shared" si="245"/>
        <v>0</v>
      </c>
      <c r="Z271" s="173">
        <f t="shared" si="246"/>
        <v>80371.938997039804</v>
      </c>
      <c r="AA271" s="173">
        <f t="shared" si="247"/>
        <v>0</v>
      </c>
      <c r="AB271" s="173">
        <f t="shared" si="248"/>
        <v>81859.334455844859</v>
      </c>
      <c r="AC271" s="173">
        <f t="shared" si="249"/>
        <v>0</v>
      </c>
      <c r="AD271" s="173">
        <f t="shared" si="250"/>
        <v>83364.361738224659</v>
      </c>
      <c r="AF271" s="87" t="s">
        <v>495</v>
      </c>
      <c r="AG271" s="87" t="s">
        <v>496</v>
      </c>
      <c r="AH271" s="173">
        <f t="shared" si="211"/>
        <v>0</v>
      </c>
      <c r="AI271" s="173">
        <f t="shared" si="212"/>
        <v>77745.358989579487</v>
      </c>
      <c r="AJ271" s="173">
        <f t="shared" si="213"/>
        <v>0</v>
      </c>
      <c r="AK271" s="173">
        <f t="shared" si="214"/>
        <v>78126.605967831754</v>
      </c>
      <c r="AL271" s="173">
        <f t="shared" si="215"/>
        <v>0</v>
      </c>
      <c r="AM271" s="173">
        <f t="shared" si="216"/>
        <v>79220.301626386354</v>
      </c>
      <c r="AN271" s="173">
        <f t="shared" si="217"/>
        <v>0</v>
      </c>
      <c r="AO271" s="173">
        <f t="shared" si="218"/>
        <v>80976.254489091487</v>
      </c>
      <c r="AQ271" s="87" t="s">
        <v>495</v>
      </c>
      <c r="AR271" s="87" t="s">
        <v>496</v>
      </c>
      <c r="AS271" s="173">
        <f t="shared" si="219"/>
        <v>0</v>
      </c>
      <c r="AT271" s="173">
        <f t="shared" si="220"/>
        <v>77745.358989579487</v>
      </c>
      <c r="AU271" s="173">
        <f t="shared" si="221"/>
        <v>0</v>
      </c>
      <c r="AV271" s="173">
        <f t="shared" si="222"/>
        <v>82350.89848717417</v>
      </c>
      <c r="AW271" s="173">
        <f t="shared" si="223"/>
        <v>0</v>
      </c>
      <c r="AX271" s="173">
        <f t="shared" si="224"/>
        <v>83795.240867787594</v>
      </c>
      <c r="AY271" s="173">
        <f t="shared" si="225"/>
        <v>0</v>
      </c>
      <c r="AZ271" s="173">
        <f t="shared" si="226"/>
        <v>85342.111877528921</v>
      </c>
      <c r="BB271" s="87" t="s">
        <v>495</v>
      </c>
      <c r="BC271" s="87" t="s">
        <v>496</v>
      </c>
      <c r="BD271" s="173">
        <f t="shared" si="227"/>
        <v>0</v>
      </c>
      <c r="BE271" s="173">
        <f t="shared" si="228"/>
        <v>77745.358989579487</v>
      </c>
      <c r="BF271" s="173">
        <f t="shared" si="229"/>
        <v>0</v>
      </c>
      <c r="BG271" s="173">
        <f t="shared" si="230"/>
        <v>82350.89848717417</v>
      </c>
      <c r="BH271" s="173">
        <f t="shared" si="231"/>
        <v>0</v>
      </c>
      <c r="BI271" s="173">
        <f t="shared" si="232"/>
        <v>83795.240867787594</v>
      </c>
      <c r="BJ271" s="173">
        <f t="shared" si="233"/>
        <v>0</v>
      </c>
      <c r="BK271" s="173">
        <f t="shared" si="234"/>
        <v>85342.111877528921</v>
      </c>
      <c r="BM271" s="87" t="s">
        <v>495</v>
      </c>
      <c r="BN271" s="87" t="s">
        <v>496</v>
      </c>
      <c r="BO271" s="173">
        <f t="shared" si="235"/>
        <v>0</v>
      </c>
      <c r="BP271" s="173">
        <f t="shared" si="236"/>
        <v>77745.358989579487</v>
      </c>
      <c r="BQ271" s="173">
        <f t="shared" si="237"/>
        <v>0</v>
      </c>
      <c r="BR271" s="173">
        <f t="shared" si="238"/>
        <v>80049.345089666167</v>
      </c>
      <c r="BS271" s="173">
        <f t="shared" si="239"/>
        <v>0</v>
      </c>
      <c r="BT271" s="173">
        <f t="shared" si="240"/>
        <v>81092.907618587342</v>
      </c>
      <c r="BU271" s="173">
        <f t="shared" si="241"/>
        <v>0</v>
      </c>
      <c r="BV271" s="173">
        <f t="shared" si="242"/>
        <v>82896.535086135031</v>
      </c>
    </row>
    <row r="272" spans="5:74">
      <c r="E272" s="87" t="s">
        <v>371</v>
      </c>
      <c r="F272" s="87" t="s">
        <v>372</v>
      </c>
      <c r="G272" s="173">
        <f>IFERROR(IF(VLOOKUP(E272,A:C,3,FALSE)="YES",VLOOKUP(E272,'School Year 2021-22 SPED coop'!A:P,16,FALSE),0),0)</f>
        <v>0</v>
      </c>
      <c r="H272" s="173">
        <f t="shared" si="243"/>
        <v>11908769.91</v>
      </c>
      <c r="J272" s="87" t="s">
        <v>371</v>
      </c>
      <c r="K272" s="87" t="s">
        <v>372</v>
      </c>
      <c r="L272" s="173">
        <f t="shared" si="202"/>
        <v>0</v>
      </c>
      <c r="M272" s="173">
        <f t="shared" si="203"/>
        <v>12044673.861620503</v>
      </c>
      <c r="N272" s="173">
        <f t="shared" si="204"/>
        <v>0</v>
      </c>
      <c r="O272" s="173">
        <f t="shared" si="205"/>
        <v>12446915.849321231</v>
      </c>
      <c r="P272" s="173">
        <f t="shared" si="206"/>
        <v>0</v>
      </c>
      <c r="Q272" s="173">
        <f t="shared" si="207"/>
        <v>12678754.12892138</v>
      </c>
      <c r="R272" s="173">
        <f t="shared" si="208"/>
        <v>0</v>
      </c>
      <c r="S272" s="173">
        <f t="shared" si="209"/>
        <v>12914651.073323073</v>
      </c>
      <c r="U272" s="87" t="s">
        <v>371</v>
      </c>
      <c r="V272" s="87" t="s">
        <v>372</v>
      </c>
      <c r="W272" s="173">
        <f t="shared" si="210"/>
        <v>0</v>
      </c>
      <c r="X272" s="173">
        <f t="shared" si="244"/>
        <v>12044673.861620503</v>
      </c>
      <c r="Y272" s="173">
        <f t="shared" si="245"/>
        <v>0</v>
      </c>
      <c r="Z272" s="173">
        <f t="shared" si="246"/>
        <v>12507938.430981271</v>
      </c>
      <c r="AA272" s="173">
        <f t="shared" si="247"/>
        <v>0</v>
      </c>
      <c r="AB272" s="173">
        <f t="shared" si="248"/>
        <v>12750405.915834194</v>
      </c>
      <c r="AC272" s="173">
        <f t="shared" si="249"/>
        <v>0</v>
      </c>
      <c r="AD272" s="173">
        <f t="shared" si="250"/>
        <v>13010045.250063464</v>
      </c>
      <c r="AF272" s="87" t="s">
        <v>371</v>
      </c>
      <c r="AG272" s="87" t="s">
        <v>372</v>
      </c>
      <c r="AH272" s="173">
        <f t="shared" si="211"/>
        <v>0</v>
      </c>
      <c r="AI272" s="173">
        <f t="shared" si="212"/>
        <v>12044673.861620503</v>
      </c>
      <c r="AJ272" s="173">
        <f t="shared" si="213"/>
        <v>0</v>
      </c>
      <c r="AK272" s="173">
        <f t="shared" si="214"/>
        <v>12422913.326396804</v>
      </c>
      <c r="AL272" s="173">
        <f t="shared" si="215"/>
        <v>0</v>
      </c>
      <c r="AM272" s="173">
        <f t="shared" si="216"/>
        <v>12648230.889689341</v>
      </c>
      <c r="AN272" s="173">
        <f t="shared" si="217"/>
        <v>0</v>
      </c>
      <c r="AO272" s="173">
        <f t="shared" si="218"/>
        <v>12895267.70501985</v>
      </c>
      <c r="AQ272" s="87" t="s">
        <v>371</v>
      </c>
      <c r="AR272" s="87" t="s">
        <v>372</v>
      </c>
      <c r="AS272" s="173">
        <f t="shared" si="219"/>
        <v>0</v>
      </c>
      <c r="AT272" s="173">
        <f t="shared" si="220"/>
        <v>12044673.861620503</v>
      </c>
      <c r="AU272" s="173">
        <f t="shared" si="221"/>
        <v>0</v>
      </c>
      <c r="AV272" s="173">
        <f t="shared" si="222"/>
        <v>12756558.184984831</v>
      </c>
      <c r="AW272" s="173">
        <f t="shared" si="223"/>
        <v>0</v>
      </c>
      <c r="AX272" s="173">
        <f t="shared" si="224"/>
        <v>12982940.458290529</v>
      </c>
      <c r="AY272" s="173">
        <f t="shared" si="225"/>
        <v>0</v>
      </c>
      <c r="AZ272" s="173">
        <f t="shared" si="226"/>
        <v>13225394.892669585</v>
      </c>
      <c r="BB272" s="87" t="s">
        <v>371</v>
      </c>
      <c r="BC272" s="87" t="s">
        <v>372</v>
      </c>
      <c r="BD272" s="173">
        <f t="shared" si="227"/>
        <v>0</v>
      </c>
      <c r="BE272" s="173">
        <f t="shared" si="228"/>
        <v>12044673.861620503</v>
      </c>
      <c r="BF272" s="173">
        <f t="shared" si="229"/>
        <v>0</v>
      </c>
      <c r="BG272" s="173">
        <f t="shared" si="230"/>
        <v>12819098.825546075</v>
      </c>
      <c r="BH272" s="173">
        <f t="shared" si="231"/>
        <v>0</v>
      </c>
      <c r="BI272" s="173">
        <f t="shared" si="232"/>
        <v>13056311.297219075</v>
      </c>
      <c r="BJ272" s="173">
        <f t="shared" si="233"/>
        <v>0</v>
      </c>
      <c r="BK272" s="173">
        <f t="shared" si="234"/>
        <v>13323084.383343177</v>
      </c>
      <c r="BM272" s="87" t="s">
        <v>371</v>
      </c>
      <c r="BN272" s="87" t="s">
        <v>372</v>
      </c>
      <c r="BO272" s="173">
        <f t="shared" si="235"/>
        <v>0</v>
      </c>
      <c r="BP272" s="173">
        <f t="shared" si="236"/>
        <v>12044673.861620503</v>
      </c>
      <c r="BQ272" s="173">
        <f t="shared" si="237"/>
        <v>0</v>
      </c>
      <c r="BR272" s="173">
        <f t="shared" si="238"/>
        <v>12731950.532128662</v>
      </c>
      <c r="BS272" s="173">
        <f t="shared" si="239"/>
        <v>0</v>
      </c>
      <c r="BT272" s="173">
        <f t="shared" si="240"/>
        <v>12951682.249290546</v>
      </c>
      <c r="BU272" s="173">
        <f t="shared" si="241"/>
        <v>0</v>
      </c>
      <c r="BV272" s="173">
        <f t="shared" si="242"/>
        <v>13205546.945937125</v>
      </c>
    </row>
    <row r="273" spans="5:74">
      <c r="E273" s="87" t="s">
        <v>595</v>
      </c>
      <c r="F273" s="87" t="s">
        <v>596</v>
      </c>
      <c r="G273" s="173">
        <f>IFERROR(IF(VLOOKUP(E273,A:C,3,FALSE)="YES",VLOOKUP(E273,'School Year 2021-22 SPED coop'!A:P,16,FALSE),0),0)</f>
        <v>0</v>
      </c>
      <c r="H273" s="173">
        <f t="shared" si="243"/>
        <v>7761747.3700000001</v>
      </c>
      <c r="J273" s="87" t="s">
        <v>595</v>
      </c>
      <c r="K273" s="87" t="s">
        <v>596</v>
      </c>
      <c r="L273" s="173">
        <f t="shared" si="202"/>
        <v>0</v>
      </c>
      <c r="M273" s="173">
        <f t="shared" si="203"/>
        <v>7850638.4012261145</v>
      </c>
      <c r="N273" s="173">
        <f t="shared" si="204"/>
        <v>0</v>
      </c>
      <c r="O273" s="173">
        <f t="shared" si="205"/>
        <v>8116684.6477957591</v>
      </c>
      <c r="P273" s="173">
        <f t="shared" si="206"/>
        <v>0</v>
      </c>
      <c r="Q273" s="173">
        <f t="shared" si="207"/>
        <v>8267026.42831631</v>
      </c>
      <c r="R273" s="173">
        <f t="shared" si="208"/>
        <v>0</v>
      </c>
      <c r="S273" s="173">
        <f t="shared" si="209"/>
        <v>8419258.233220946</v>
      </c>
      <c r="U273" s="87" t="s">
        <v>595</v>
      </c>
      <c r="V273" s="87" t="s">
        <v>596</v>
      </c>
      <c r="W273" s="173">
        <f t="shared" si="210"/>
        <v>0</v>
      </c>
      <c r="X273" s="173">
        <f t="shared" si="244"/>
        <v>7850638.4012261145</v>
      </c>
      <c r="Y273" s="173">
        <f t="shared" si="245"/>
        <v>0</v>
      </c>
      <c r="Z273" s="173">
        <f t="shared" si="246"/>
        <v>8156471.8757010764</v>
      </c>
      <c r="AA273" s="173">
        <f t="shared" si="247"/>
        <v>0</v>
      </c>
      <c r="AB273" s="173">
        <f t="shared" si="248"/>
        <v>8313746.7668446284</v>
      </c>
      <c r="AC273" s="173">
        <f t="shared" si="249"/>
        <v>0</v>
      </c>
      <c r="AD273" s="173">
        <f t="shared" si="250"/>
        <v>8481440.4634448793</v>
      </c>
      <c r="AF273" s="87" t="s">
        <v>595</v>
      </c>
      <c r="AG273" s="87" t="s">
        <v>596</v>
      </c>
      <c r="AH273" s="173">
        <f t="shared" si="211"/>
        <v>0</v>
      </c>
      <c r="AI273" s="173">
        <f t="shared" si="212"/>
        <v>7850638.4012261145</v>
      </c>
      <c r="AJ273" s="173">
        <f t="shared" si="213"/>
        <v>0</v>
      </c>
      <c r="AK273" s="173">
        <f t="shared" si="214"/>
        <v>8109452.825768088</v>
      </c>
      <c r="AL273" s="173">
        <f t="shared" si="215"/>
        <v>0</v>
      </c>
      <c r="AM273" s="173">
        <f t="shared" si="216"/>
        <v>8259661.6491469201</v>
      </c>
      <c r="AN273" s="173">
        <f t="shared" si="217"/>
        <v>0</v>
      </c>
      <c r="AO273" s="173">
        <f t="shared" si="218"/>
        <v>8422327.2661531903</v>
      </c>
      <c r="AQ273" s="87" t="s">
        <v>595</v>
      </c>
      <c r="AR273" s="87" t="s">
        <v>596</v>
      </c>
      <c r="AS273" s="173">
        <f t="shared" si="219"/>
        <v>0</v>
      </c>
      <c r="AT273" s="173">
        <f t="shared" si="220"/>
        <v>7850638.4012261145</v>
      </c>
      <c r="AU273" s="173">
        <f t="shared" si="221"/>
        <v>0</v>
      </c>
      <c r="AV273" s="173">
        <f t="shared" si="222"/>
        <v>8316461.3657090636</v>
      </c>
      <c r="AW273" s="173">
        <f t="shared" si="223"/>
        <v>0</v>
      </c>
      <c r="AX273" s="173">
        <f t="shared" si="224"/>
        <v>8462547.8131796774</v>
      </c>
      <c r="AY273" s="173">
        <f t="shared" si="225"/>
        <v>0</v>
      </c>
      <c r="AZ273" s="173">
        <f t="shared" si="226"/>
        <v>8619005.6736157201</v>
      </c>
      <c r="BB273" s="87" t="s">
        <v>595</v>
      </c>
      <c r="BC273" s="87" t="s">
        <v>596</v>
      </c>
      <c r="BD273" s="173">
        <f t="shared" si="227"/>
        <v>0</v>
      </c>
      <c r="BE273" s="173">
        <f t="shared" si="228"/>
        <v>7850638.4012261145</v>
      </c>
      <c r="BF273" s="173">
        <f t="shared" si="229"/>
        <v>0</v>
      </c>
      <c r="BG273" s="173">
        <f t="shared" si="230"/>
        <v>8357227.8761329865</v>
      </c>
      <c r="BH273" s="173">
        <f t="shared" si="231"/>
        <v>0</v>
      </c>
      <c r="BI273" s="173">
        <f t="shared" si="232"/>
        <v>8510373.1205815207</v>
      </c>
      <c r="BJ273" s="173">
        <f t="shared" si="233"/>
        <v>0</v>
      </c>
      <c r="BK273" s="173">
        <f t="shared" si="234"/>
        <v>8682663.1792562064</v>
      </c>
      <c r="BM273" s="87" t="s">
        <v>595</v>
      </c>
      <c r="BN273" s="87" t="s">
        <v>596</v>
      </c>
      <c r="BO273" s="173">
        <f t="shared" si="235"/>
        <v>0</v>
      </c>
      <c r="BP273" s="173">
        <f t="shared" si="236"/>
        <v>7850638.4012261145</v>
      </c>
      <c r="BQ273" s="173">
        <f t="shared" si="237"/>
        <v>0</v>
      </c>
      <c r="BR273" s="173">
        <f t="shared" si="238"/>
        <v>8309053.6883450048</v>
      </c>
      <c r="BS273" s="173">
        <f t="shared" si="239"/>
        <v>0</v>
      </c>
      <c r="BT273" s="173">
        <f t="shared" si="240"/>
        <v>8455020.4140943307</v>
      </c>
      <c r="BU273" s="173">
        <f t="shared" si="241"/>
        <v>0</v>
      </c>
      <c r="BV273" s="173">
        <f t="shared" si="242"/>
        <v>8622162.4425072856</v>
      </c>
    </row>
    <row r="274" spans="5:74">
      <c r="E274" s="87" t="s">
        <v>237</v>
      </c>
      <c r="F274" s="87" t="s">
        <v>238</v>
      </c>
      <c r="G274" s="173">
        <f>IFERROR(IF(VLOOKUP(E274,A:C,3,FALSE)="YES",VLOOKUP(E274,'School Year 2021-22 SPED coop'!A:P,16,FALSE),0),0)</f>
        <v>0</v>
      </c>
      <c r="H274" s="173">
        <f t="shared" si="243"/>
        <v>105334.84</v>
      </c>
      <c r="J274" s="87" t="s">
        <v>237</v>
      </c>
      <c r="K274" s="87" t="s">
        <v>238</v>
      </c>
      <c r="L274" s="173">
        <f t="shared" si="202"/>
        <v>0</v>
      </c>
      <c r="M274" s="173">
        <f t="shared" si="203"/>
        <v>106546.04957334505</v>
      </c>
      <c r="N274" s="173">
        <f t="shared" si="204"/>
        <v>0</v>
      </c>
      <c r="O274" s="173">
        <f t="shared" si="205"/>
        <v>110101.34771019369</v>
      </c>
      <c r="P274" s="173">
        <f t="shared" si="206"/>
        <v>0</v>
      </c>
      <c r="Q274" s="173">
        <f t="shared" si="207"/>
        <v>112158.53526606073</v>
      </c>
      <c r="R274" s="173">
        <f t="shared" si="208"/>
        <v>0</v>
      </c>
      <c r="S274" s="173">
        <f t="shared" si="209"/>
        <v>114257.35816839349</v>
      </c>
      <c r="U274" s="87" t="s">
        <v>237</v>
      </c>
      <c r="V274" s="87" t="s">
        <v>238</v>
      </c>
      <c r="W274" s="173">
        <f t="shared" si="210"/>
        <v>0</v>
      </c>
      <c r="X274" s="173">
        <f t="shared" si="244"/>
        <v>106546.04957334505</v>
      </c>
      <c r="Y274" s="173">
        <f t="shared" si="245"/>
        <v>0</v>
      </c>
      <c r="Z274" s="173">
        <f t="shared" si="246"/>
        <v>110101.34771019369</v>
      </c>
      <c r="AA274" s="173">
        <f t="shared" si="247"/>
        <v>0</v>
      </c>
      <c r="AB274" s="173">
        <f t="shared" si="248"/>
        <v>112158.53526606073</v>
      </c>
      <c r="AC274" s="173">
        <f t="shared" si="249"/>
        <v>0</v>
      </c>
      <c r="AD274" s="173">
        <f t="shared" si="250"/>
        <v>114257.35816839349</v>
      </c>
      <c r="AF274" s="87" t="s">
        <v>237</v>
      </c>
      <c r="AG274" s="87" t="s">
        <v>238</v>
      </c>
      <c r="AH274" s="173">
        <f t="shared" si="211"/>
        <v>0</v>
      </c>
      <c r="AI274" s="173">
        <f t="shared" si="212"/>
        <v>106546.04957334505</v>
      </c>
      <c r="AJ274" s="173">
        <f t="shared" si="213"/>
        <v>0</v>
      </c>
      <c r="AK274" s="173">
        <f t="shared" si="214"/>
        <v>110101.34771019369</v>
      </c>
      <c r="AL274" s="173">
        <f t="shared" si="215"/>
        <v>0</v>
      </c>
      <c r="AM274" s="173">
        <f t="shared" si="216"/>
        <v>112158.53526606073</v>
      </c>
      <c r="AN274" s="173">
        <f t="shared" si="217"/>
        <v>0</v>
      </c>
      <c r="AO274" s="173">
        <f t="shared" si="218"/>
        <v>114257.35816839349</v>
      </c>
      <c r="AQ274" s="87" t="s">
        <v>237</v>
      </c>
      <c r="AR274" s="87" t="s">
        <v>238</v>
      </c>
      <c r="AS274" s="173">
        <f t="shared" si="219"/>
        <v>0</v>
      </c>
      <c r="AT274" s="173">
        <f t="shared" si="220"/>
        <v>106546.04957334505</v>
      </c>
      <c r="AU274" s="173">
        <f t="shared" si="221"/>
        <v>0</v>
      </c>
      <c r="AV274" s="173">
        <f t="shared" si="222"/>
        <v>112849.54838593493</v>
      </c>
      <c r="AW274" s="173">
        <f t="shared" si="223"/>
        <v>0</v>
      </c>
      <c r="AX274" s="173">
        <f t="shared" si="224"/>
        <v>114863.6191288445</v>
      </c>
      <c r="AY274" s="173">
        <f t="shared" si="225"/>
        <v>0</v>
      </c>
      <c r="AZ274" s="173">
        <f t="shared" si="226"/>
        <v>117020.69256498985</v>
      </c>
      <c r="BB274" s="87" t="s">
        <v>237</v>
      </c>
      <c r="BC274" s="87" t="s">
        <v>238</v>
      </c>
      <c r="BD274" s="173">
        <f t="shared" si="227"/>
        <v>0</v>
      </c>
      <c r="BE274" s="173">
        <f t="shared" si="228"/>
        <v>106546.04957334505</v>
      </c>
      <c r="BF274" s="173">
        <f t="shared" si="229"/>
        <v>0</v>
      </c>
      <c r="BG274" s="173">
        <f t="shared" si="230"/>
        <v>112849.54838593493</v>
      </c>
      <c r="BH274" s="173">
        <f t="shared" si="231"/>
        <v>0</v>
      </c>
      <c r="BI274" s="173">
        <f t="shared" si="232"/>
        <v>114863.6191288445</v>
      </c>
      <c r="BJ274" s="173">
        <f t="shared" si="233"/>
        <v>0</v>
      </c>
      <c r="BK274" s="173">
        <f t="shared" si="234"/>
        <v>117020.69256498985</v>
      </c>
      <c r="BM274" s="87" t="s">
        <v>237</v>
      </c>
      <c r="BN274" s="87" t="s">
        <v>238</v>
      </c>
      <c r="BO274" s="173">
        <f t="shared" si="235"/>
        <v>0</v>
      </c>
      <c r="BP274" s="173">
        <f t="shared" si="236"/>
        <v>106546.04957334505</v>
      </c>
      <c r="BQ274" s="173">
        <f t="shared" si="237"/>
        <v>0</v>
      </c>
      <c r="BR274" s="173">
        <f t="shared" si="238"/>
        <v>112849.54838593493</v>
      </c>
      <c r="BS274" s="173">
        <f t="shared" si="239"/>
        <v>0</v>
      </c>
      <c r="BT274" s="173">
        <f t="shared" si="240"/>
        <v>114863.6191288445</v>
      </c>
      <c r="BU274" s="173">
        <f t="shared" si="241"/>
        <v>0</v>
      </c>
      <c r="BV274" s="173">
        <f t="shared" si="242"/>
        <v>117020.69256498985</v>
      </c>
    </row>
    <row r="275" spans="5:74">
      <c r="E275" s="87" t="s">
        <v>365</v>
      </c>
      <c r="F275" s="87" t="s">
        <v>366</v>
      </c>
      <c r="G275" s="173">
        <f>IFERROR(IF(VLOOKUP(E275,A:C,3,FALSE)="YES",VLOOKUP(E275,'School Year 2021-22 SPED coop'!A:P,16,FALSE),0),0)</f>
        <v>0</v>
      </c>
      <c r="H275" s="173">
        <f t="shared" si="243"/>
        <v>37644065.280000001</v>
      </c>
      <c r="J275" s="87" t="s">
        <v>365</v>
      </c>
      <c r="K275" s="87" t="s">
        <v>366</v>
      </c>
      <c r="L275" s="173">
        <f t="shared" si="202"/>
        <v>0</v>
      </c>
      <c r="M275" s="173">
        <f t="shared" si="203"/>
        <v>38062383.343127437</v>
      </c>
      <c r="N275" s="173">
        <f t="shared" si="204"/>
        <v>0</v>
      </c>
      <c r="O275" s="173">
        <f t="shared" si="205"/>
        <v>39333434.25901781</v>
      </c>
      <c r="P275" s="173">
        <f t="shared" si="206"/>
        <v>0</v>
      </c>
      <c r="Q275" s="173">
        <f t="shared" si="207"/>
        <v>40066086.790967628</v>
      </c>
      <c r="R275" s="173">
        <f t="shared" si="208"/>
        <v>0</v>
      </c>
      <c r="S275" s="173">
        <f t="shared" si="209"/>
        <v>40811582.481544696</v>
      </c>
      <c r="U275" s="87" t="s">
        <v>365</v>
      </c>
      <c r="V275" s="87" t="s">
        <v>366</v>
      </c>
      <c r="W275" s="173">
        <f t="shared" si="210"/>
        <v>0</v>
      </c>
      <c r="X275" s="173">
        <f t="shared" si="244"/>
        <v>38062383.343127437</v>
      </c>
      <c r="Y275" s="173">
        <f t="shared" si="245"/>
        <v>0</v>
      </c>
      <c r="Z275" s="173">
        <f t="shared" si="246"/>
        <v>39526283.284620315</v>
      </c>
      <c r="AA275" s="173">
        <f t="shared" si="247"/>
        <v>0</v>
      </c>
      <c r="AB275" s="173">
        <f t="shared" si="248"/>
        <v>40292552.426821724</v>
      </c>
      <c r="AC275" s="173">
        <f t="shared" si="249"/>
        <v>0</v>
      </c>
      <c r="AD275" s="173">
        <f t="shared" si="250"/>
        <v>41113031.080818221</v>
      </c>
      <c r="AF275" s="87" t="s">
        <v>365</v>
      </c>
      <c r="AG275" s="87" t="s">
        <v>366</v>
      </c>
      <c r="AH275" s="173">
        <f t="shared" si="211"/>
        <v>0</v>
      </c>
      <c r="AI275" s="173">
        <f t="shared" si="212"/>
        <v>38062383.343127437</v>
      </c>
      <c r="AJ275" s="173">
        <f t="shared" si="213"/>
        <v>0</v>
      </c>
      <c r="AK275" s="173">
        <f t="shared" si="214"/>
        <v>39481797.374236308</v>
      </c>
      <c r="AL275" s="173">
        <f t="shared" si="215"/>
        <v>0</v>
      </c>
      <c r="AM275" s="173">
        <f t="shared" si="216"/>
        <v>40238406.039170623</v>
      </c>
      <c r="AN275" s="173">
        <f t="shared" si="217"/>
        <v>0</v>
      </c>
      <c r="AO275" s="173">
        <f t="shared" si="218"/>
        <v>40991972.350748509</v>
      </c>
      <c r="AQ275" s="87" t="s">
        <v>365</v>
      </c>
      <c r="AR275" s="87" t="s">
        <v>366</v>
      </c>
      <c r="AS275" s="173">
        <f t="shared" si="219"/>
        <v>0</v>
      </c>
      <c r="AT275" s="173">
        <f t="shared" si="220"/>
        <v>38062383.343127437</v>
      </c>
      <c r="AU275" s="173">
        <f t="shared" si="221"/>
        <v>0</v>
      </c>
      <c r="AV275" s="173">
        <f t="shared" si="222"/>
        <v>40311963.877562746</v>
      </c>
      <c r="AW275" s="173">
        <f t="shared" si="223"/>
        <v>0</v>
      </c>
      <c r="AX275" s="173">
        <f t="shared" si="224"/>
        <v>41027390.356272869</v>
      </c>
      <c r="AY275" s="173">
        <f t="shared" si="225"/>
        <v>0</v>
      </c>
      <c r="AZ275" s="173">
        <f t="shared" si="226"/>
        <v>41793609.338654347</v>
      </c>
      <c r="BB275" s="87" t="s">
        <v>365</v>
      </c>
      <c r="BC275" s="87" t="s">
        <v>366</v>
      </c>
      <c r="BD275" s="173">
        <f t="shared" si="227"/>
        <v>0</v>
      </c>
      <c r="BE275" s="173">
        <f t="shared" si="228"/>
        <v>38062383.343127437</v>
      </c>
      <c r="BF275" s="173">
        <f t="shared" si="229"/>
        <v>0</v>
      </c>
      <c r="BG275" s="173">
        <f t="shared" si="230"/>
        <v>40509610.565096222</v>
      </c>
      <c r="BH275" s="173">
        <f t="shared" si="231"/>
        <v>0</v>
      </c>
      <c r="BI275" s="173">
        <f t="shared" si="232"/>
        <v>41259289.577586636</v>
      </c>
      <c r="BJ275" s="173">
        <f t="shared" si="233"/>
        <v>0</v>
      </c>
      <c r="BK275" s="173">
        <f t="shared" si="234"/>
        <v>42102311.534461439</v>
      </c>
      <c r="BM275" s="87" t="s">
        <v>365</v>
      </c>
      <c r="BN275" s="87" t="s">
        <v>366</v>
      </c>
      <c r="BO275" s="173">
        <f t="shared" si="235"/>
        <v>0</v>
      </c>
      <c r="BP275" s="173">
        <f t="shared" si="236"/>
        <v>38062383.343127437</v>
      </c>
      <c r="BQ275" s="173">
        <f t="shared" si="237"/>
        <v>0</v>
      </c>
      <c r="BR275" s="173">
        <f t="shared" si="238"/>
        <v>40464083.703524835</v>
      </c>
      <c r="BS275" s="173">
        <f t="shared" si="239"/>
        <v>0</v>
      </c>
      <c r="BT275" s="173">
        <f t="shared" si="240"/>
        <v>41203920.066108651</v>
      </c>
      <c r="BU275" s="173">
        <f t="shared" si="241"/>
        <v>0</v>
      </c>
      <c r="BV275" s="173">
        <f t="shared" si="242"/>
        <v>41978425.125816062</v>
      </c>
    </row>
    <row r="276" spans="5:74">
      <c r="E276" s="87" t="s">
        <v>153</v>
      </c>
      <c r="F276" s="87" t="s">
        <v>154</v>
      </c>
      <c r="G276" s="173">
        <f>IFERROR(IF(VLOOKUP(E276,A:C,3,FALSE)="YES",VLOOKUP(E276,'School Year 2021-22 SPED coop'!A:P,16,FALSE),0),0)</f>
        <v>0</v>
      </c>
      <c r="H276" s="173">
        <f t="shared" si="243"/>
        <v>193761.30999999997</v>
      </c>
      <c r="J276" s="87" t="s">
        <v>153</v>
      </c>
      <c r="K276" s="87" t="s">
        <v>154</v>
      </c>
      <c r="L276" s="173">
        <f t="shared" si="202"/>
        <v>0</v>
      </c>
      <c r="M276" s="173">
        <f t="shared" si="203"/>
        <v>195989.93451589323</v>
      </c>
      <c r="N276" s="173">
        <f t="shared" si="204"/>
        <v>0</v>
      </c>
      <c r="O276" s="173">
        <f t="shared" si="205"/>
        <v>202634.93901011359</v>
      </c>
      <c r="P276" s="173">
        <f t="shared" si="206"/>
        <v>0</v>
      </c>
      <c r="Q276" s="173">
        <f t="shared" si="207"/>
        <v>206388.7876736793</v>
      </c>
      <c r="R276" s="173">
        <f t="shared" si="208"/>
        <v>0</v>
      </c>
      <c r="S276" s="173">
        <f t="shared" si="209"/>
        <v>210190.26346399661</v>
      </c>
      <c r="U276" s="87" t="s">
        <v>153</v>
      </c>
      <c r="V276" s="87" t="s">
        <v>154</v>
      </c>
      <c r="W276" s="173">
        <f t="shared" si="210"/>
        <v>0</v>
      </c>
      <c r="X276" s="173">
        <f t="shared" si="244"/>
        <v>195989.93451589323</v>
      </c>
      <c r="Y276" s="173">
        <f t="shared" si="245"/>
        <v>0</v>
      </c>
      <c r="Z276" s="173">
        <f t="shared" si="246"/>
        <v>203632.67743921181</v>
      </c>
      <c r="AA276" s="173">
        <f t="shared" si="247"/>
        <v>0</v>
      </c>
      <c r="AB276" s="173">
        <f t="shared" si="248"/>
        <v>207544.22563597007</v>
      </c>
      <c r="AC276" s="173">
        <f t="shared" si="249"/>
        <v>0</v>
      </c>
      <c r="AD276" s="173">
        <f t="shared" si="250"/>
        <v>211741.06452735767</v>
      </c>
      <c r="AF276" s="87" t="s">
        <v>153</v>
      </c>
      <c r="AG276" s="87" t="s">
        <v>154</v>
      </c>
      <c r="AH276" s="173">
        <f t="shared" si="211"/>
        <v>0</v>
      </c>
      <c r="AI276" s="173">
        <f t="shared" si="212"/>
        <v>195989.93451589323</v>
      </c>
      <c r="AJ276" s="173">
        <f t="shared" si="213"/>
        <v>0</v>
      </c>
      <c r="AK276" s="173">
        <f t="shared" si="214"/>
        <v>203783.82574697843</v>
      </c>
      <c r="AL276" s="173">
        <f t="shared" si="215"/>
        <v>0</v>
      </c>
      <c r="AM276" s="173">
        <f t="shared" si="216"/>
        <v>210987.55792772144</v>
      </c>
      <c r="AN276" s="173">
        <f t="shared" si="217"/>
        <v>0</v>
      </c>
      <c r="AO276" s="173">
        <f t="shared" si="218"/>
        <v>217778.95413696792</v>
      </c>
      <c r="AQ276" s="87" t="s">
        <v>153</v>
      </c>
      <c r="AR276" s="87" t="s">
        <v>154</v>
      </c>
      <c r="AS276" s="173">
        <f t="shared" si="219"/>
        <v>0</v>
      </c>
      <c r="AT276" s="173">
        <f t="shared" si="220"/>
        <v>195989.93451589323</v>
      </c>
      <c r="AU276" s="173">
        <f t="shared" si="221"/>
        <v>0</v>
      </c>
      <c r="AV276" s="173">
        <f t="shared" si="222"/>
        <v>207622.13958099179</v>
      </c>
      <c r="AW276" s="173">
        <f t="shared" si="223"/>
        <v>0</v>
      </c>
      <c r="AX276" s="173">
        <f t="shared" si="224"/>
        <v>211270.1276577306</v>
      </c>
      <c r="AY276" s="173">
        <f t="shared" si="225"/>
        <v>0</v>
      </c>
      <c r="AZ276" s="173">
        <f t="shared" si="226"/>
        <v>215177.10986046228</v>
      </c>
      <c r="BB276" s="87" t="s">
        <v>153</v>
      </c>
      <c r="BC276" s="87" t="s">
        <v>154</v>
      </c>
      <c r="BD276" s="173">
        <f t="shared" si="227"/>
        <v>0</v>
      </c>
      <c r="BE276" s="173">
        <f t="shared" si="228"/>
        <v>195989.93451589323</v>
      </c>
      <c r="BF276" s="173">
        <f t="shared" si="229"/>
        <v>0</v>
      </c>
      <c r="BG276" s="173">
        <f t="shared" si="230"/>
        <v>208644.43636390904</v>
      </c>
      <c r="BH276" s="173">
        <f t="shared" si="231"/>
        <v>0</v>
      </c>
      <c r="BI276" s="173">
        <f t="shared" si="232"/>
        <v>212452.88784532159</v>
      </c>
      <c r="BJ276" s="173">
        <f t="shared" si="233"/>
        <v>0</v>
      </c>
      <c r="BK276" s="173">
        <f t="shared" si="234"/>
        <v>216764.70346814513</v>
      </c>
      <c r="BM276" s="87" t="s">
        <v>153</v>
      </c>
      <c r="BN276" s="87" t="s">
        <v>154</v>
      </c>
      <c r="BO276" s="173">
        <f t="shared" si="235"/>
        <v>0</v>
      </c>
      <c r="BP276" s="173">
        <f t="shared" si="236"/>
        <v>195989.93451589323</v>
      </c>
      <c r="BQ276" s="173">
        <f t="shared" si="237"/>
        <v>0</v>
      </c>
      <c r="BR276" s="173">
        <f t="shared" si="238"/>
        <v>208799.78431954782</v>
      </c>
      <c r="BS276" s="173">
        <f t="shared" si="239"/>
        <v>0</v>
      </c>
      <c r="BT276" s="173">
        <f t="shared" si="240"/>
        <v>215979.32499147064</v>
      </c>
      <c r="BU276" s="173">
        <f t="shared" si="241"/>
        <v>0</v>
      </c>
      <c r="BV276" s="173">
        <f t="shared" si="242"/>
        <v>222947.64958171878</v>
      </c>
    </row>
    <row r="277" spans="5:74">
      <c r="E277" s="87" t="s">
        <v>207</v>
      </c>
      <c r="F277" s="87" t="s">
        <v>208</v>
      </c>
      <c r="G277" s="173">
        <f>IFERROR(IF(VLOOKUP(E277,A:C,3,FALSE)="YES",VLOOKUP(E277,'School Year 2021-22 SPED coop'!A:P,16,FALSE),0),0)</f>
        <v>0</v>
      </c>
      <c r="H277" s="173">
        <f t="shared" si="243"/>
        <v>11189136.759999998</v>
      </c>
      <c r="J277" s="87" t="s">
        <v>207</v>
      </c>
      <c r="K277" s="87" t="s">
        <v>208</v>
      </c>
      <c r="L277" s="173">
        <f t="shared" si="202"/>
        <v>0</v>
      </c>
      <c r="M277" s="173">
        <f t="shared" si="203"/>
        <v>11316501.292153418</v>
      </c>
      <c r="N277" s="173">
        <f t="shared" si="204"/>
        <v>0</v>
      </c>
      <c r="O277" s="173">
        <f t="shared" si="205"/>
        <v>11690827.980854392</v>
      </c>
      <c r="P277" s="173">
        <f t="shared" si="206"/>
        <v>0</v>
      </c>
      <c r="Q277" s="173">
        <f t="shared" si="207"/>
        <v>11909380.17678038</v>
      </c>
      <c r="R277" s="173">
        <f t="shared" si="208"/>
        <v>0</v>
      </c>
      <c r="S277" s="173">
        <f t="shared" si="209"/>
        <v>12132448.538780726</v>
      </c>
      <c r="U277" s="87" t="s">
        <v>207</v>
      </c>
      <c r="V277" s="87" t="s">
        <v>208</v>
      </c>
      <c r="W277" s="173">
        <f t="shared" si="210"/>
        <v>0</v>
      </c>
      <c r="X277" s="173">
        <f t="shared" si="244"/>
        <v>11316501.292153418</v>
      </c>
      <c r="Y277" s="173">
        <f t="shared" si="245"/>
        <v>0</v>
      </c>
      <c r="Z277" s="173">
        <f t="shared" si="246"/>
        <v>11748142.049785705</v>
      </c>
      <c r="AA277" s="173">
        <f t="shared" si="247"/>
        <v>0</v>
      </c>
      <c r="AB277" s="173">
        <f t="shared" si="248"/>
        <v>11976708.143586148</v>
      </c>
      <c r="AC277" s="173">
        <f t="shared" si="249"/>
        <v>0</v>
      </c>
      <c r="AD277" s="173">
        <f t="shared" si="250"/>
        <v>12222075.888434259</v>
      </c>
      <c r="AF277" s="87" t="s">
        <v>207</v>
      </c>
      <c r="AG277" s="87" t="s">
        <v>208</v>
      </c>
      <c r="AH277" s="173">
        <f t="shared" si="211"/>
        <v>0</v>
      </c>
      <c r="AI277" s="173">
        <f t="shared" si="212"/>
        <v>11316501.292153418</v>
      </c>
      <c r="AJ277" s="173">
        <f t="shared" si="213"/>
        <v>0</v>
      </c>
      <c r="AK277" s="173">
        <f t="shared" si="214"/>
        <v>11695240.855159551</v>
      </c>
      <c r="AL277" s="173">
        <f t="shared" si="215"/>
        <v>0</v>
      </c>
      <c r="AM277" s="173">
        <f t="shared" si="216"/>
        <v>11892764.434497368</v>
      </c>
      <c r="AN277" s="173">
        <f t="shared" si="217"/>
        <v>0</v>
      </c>
      <c r="AO277" s="173">
        <f t="shared" si="218"/>
        <v>12091247.951589715</v>
      </c>
      <c r="AQ277" s="87" t="s">
        <v>207</v>
      </c>
      <c r="AR277" s="87" t="s">
        <v>208</v>
      </c>
      <c r="AS277" s="173">
        <f t="shared" si="219"/>
        <v>0</v>
      </c>
      <c r="AT277" s="173">
        <f t="shared" si="220"/>
        <v>11316501.292153418</v>
      </c>
      <c r="AU277" s="173">
        <f t="shared" si="221"/>
        <v>0</v>
      </c>
      <c r="AV277" s="173">
        <f t="shared" si="222"/>
        <v>11983772.661503937</v>
      </c>
      <c r="AW277" s="173">
        <f t="shared" si="223"/>
        <v>0</v>
      </c>
      <c r="AX277" s="173">
        <f t="shared" si="224"/>
        <v>12197850.66974644</v>
      </c>
      <c r="AY277" s="173">
        <f t="shared" si="225"/>
        <v>0</v>
      </c>
      <c r="AZ277" s="173">
        <f t="shared" si="226"/>
        <v>12427127.196125003</v>
      </c>
      <c r="BB277" s="87" t="s">
        <v>207</v>
      </c>
      <c r="BC277" s="87" t="s">
        <v>208</v>
      </c>
      <c r="BD277" s="173">
        <f t="shared" si="227"/>
        <v>0</v>
      </c>
      <c r="BE277" s="173">
        <f t="shared" si="228"/>
        <v>11316501.292153418</v>
      </c>
      <c r="BF277" s="173">
        <f t="shared" si="229"/>
        <v>0</v>
      </c>
      <c r="BG277" s="173">
        <f t="shared" si="230"/>
        <v>12042522.883435011</v>
      </c>
      <c r="BH277" s="173">
        <f t="shared" si="231"/>
        <v>0</v>
      </c>
      <c r="BI277" s="173">
        <f t="shared" si="232"/>
        <v>12266809.472727524</v>
      </c>
      <c r="BJ277" s="173">
        <f t="shared" si="233"/>
        <v>0</v>
      </c>
      <c r="BK277" s="173">
        <f t="shared" si="234"/>
        <v>12518931.466012353</v>
      </c>
      <c r="BM277" s="87" t="s">
        <v>207</v>
      </c>
      <c r="BN277" s="87" t="s">
        <v>208</v>
      </c>
      <c r="BO277" s="173">
        <f t="shared" si="235"/>
        <v>0</v>
      </c>
      <c r="BP277" s="173">
        <f t="shared" si="236"/>
        <v>11316501.292153418</v>
      </c>
      <c r="BQ277" s="173">
        <f t="shared" si="237"/>
        <v>0</v>
      </c>
      <c r="BR277" s="173">
        <f t="shared" si="238"/>
        <v>11988298.546300465</v>
      </c>
      <c r="BS277" s="173">
        <f t="shared" si="239"/>
        <v>0</v>
      </c>
      <c r="BT277" s="173">
        <f t="shared" si="240"/>
        <v>12180827.971733896</v>
      </c>
      <c r="BU277" s="173">
        <f t="shared" si="241"/>
        <v>0</v>
      </c>
      <c r="BV277" s="173">
        <f t="shared" si="242"/>
        <v>12384909.099984709</v>
      </c>
    </row>
    <row r="278" spans="5:74">
      <c r="E278" s="87" t="s">
        <v>559</v>
      </c>
      <c r="F278" s="87" t="s">
        <v>560</v>
      </c>
      <c r="G278" s="173">
        <f>IFERROR(IF(VLOOKUP(E278,A:C,3,FALSE)="YES",VLOOKUP(E278,'School Year 2021-22 SPED coop'!A:P,16,FALSE),0),0)</f>
        <v>0</v>
      </c>
      <c r="H278" s="173">
        <f t="shared" si="243"/>
        <v>260296.46000000002</v>
      </c>
      <c r="J278" s="87" t="s">
        <v>559</v>
      </c>
      <c r="K278" s="87" t="s">
        <v>560</v>
      </c>
      <c r="L278" s="173">
        <f t="shared" si="202"/>
        <v>0</v>
      </c>
      <c r="M278" s="173">
        <f t="shared" si="203"/>
        <v>263188.72508553398</v>
      </c>
      <c r="N278" s="173">
        <f t="shared" si="204"/>
        <v>0</v>
      </c>
      <c r="O278" s="173">
        <f t="shared" si="205"/>
        <v>272070.00237414427</v>
      </c>
      <c r="P278" s="173">
        <f t="shared" si="206"/>
        <v>0</v>
      </c>
      <c r="Q278" s="173">
        <f t="shared" si="207"/>
        <v>277117.51416196424</v>
      </c>
      <c r="R278" s="173">
        <f t="shared" si="208"/>
        <v>0</v>
      </c>
      <c r="S278" s="173">
        <f t="shared" si="209"/>
        <v>282235.27490233065</v>
      </c>
      <c r="U278" s="87" t="s">
        <v>559</v>
      </c>
      <c r="V278" s="87" t="s">
        <v>560</v>
      </c>
      <c r="W278" s="173">
        <f t="shared" si="210"/>
        <v>0</v>
      </c>
      <c r="X278" s="173">
        <f t="shared" si="244"/>
        <v>263188.72508553398</v>
      </c>
      <c r="Y278" s="173">
        <f t="shared" si="245"/>
        <v>0</v>
      </c>
      <c r="Z278" s="173">
        <f t="shared" si="246"/>
        <v>273411.35916944925</v>
      </c>
      <c r="AA278" s="173">
        <f t="shared" si="247"/>
        <v>0</v>
      </c>
      <c r="AB278" s="173">
        <f t="shared" si="248"/>
        <v>278700.36343464477</v>
      </c>
      <c r="AC278" s="173">
        <f t="shared" si="249"/>
        <v>0</v>
      </c>
      <c r="AD278" s="173">
        <f t="shared" si="250"/>
        <v>284330.42552675062</v>
      </c>
      <c r="AF278" s="87" t="s">
        <v>559</v>
      </c>
      <c r="AG278" s="87" t="s">
        <v>560</v>
      </c>
      <c r="AH278" s="173">
        <f t="shared" si="211"/>
        <v>0</v>
      </c>
      <c r="AI278" s="173">
        <f t="shared" si="212"/>
        <v>263188.72508553398</v>
      </c>
      <c r="AJ278" s="173">
        <f t="shared" si="213"/>
        <v>0</v>
      </c>
      <c r="AK278" s="173">
        <f t="shared" si="214"/>
        <v>270830.06762851914</v>
      </c>
      <c r="AL278" s="173">
        <f t="shared" si="215"/>
        <v>0</v>
      </c>
      <c r="AM278" s="173">
        <f t="shared" si="216"/>
        <v>277320.69289682311</v>
      </c>
      <c r="AN278" s="173">
        <f t="shared" si="217"/>
        <v>0</v>
      </c>
      <c r="AO278" s="173">
        <f t="shared" si="218"/>
        <v>282651.90943844622</v>
      </c>
      <c r="AQ278" s="87" t="s">
        <v>559</v>
      </c>
      <c r="AR278" s="87" t="s">
        <v>560</v>
      </c>
      <c r="AS278" s="173">
        <f t="shared" si="219"/>
        <v>0</v>
      </c>
      <c r="AT278" s="173">
        <f t="shared" si="220"/>
        <v>263188.72508553398</v>
      </c>
      <c r="AU278" s="173">
        <f t="shared" si="221"/>
        <v>0</v>
      </c>
      <c r="AV278" s="173">
        <f t="shared" si="222"/>
        <v>278788.98255258403</v>
      </c>
      <c r="AW278" s="173">
        <f t="shared" si="223"/>
        <v>0</v>
      </c>
      <c r="AX278" s="173">
        <f t="shared" si="224"/>
        <v>283700.24249621114</v>
      </c>
      <c r="AY278" s="173">
        <f t="shared" si="225"/>
        <v>0</v>
      </c>
      <c r="AZ278" s="173">
        <f t="shared" si="226"/>
        <v>288960.18284668116</v>
      </c>
      <c r="BB278" s="87" t="s">
        <v>559</v>
      </c>
      <c r="BC278" s="87" t="s">
        <v>560</v>
      </c>
      <c r="BD278" s="173">
        <f t="shared" si="227"/>
        <v>0</v>
      </c>
      <c r="BE278" s="173">
        <f t="shared" si="228"/>
        <v>263188.72508553398</v>
      </c>
      <c r="BF278" s="173">
        <f t="shared" si="229"/>
        <v>0</v>
      </c>
      <c r="BG278" s="173">
        <f t="shared" si="230"/>
        <v>280163.46935253835</v>
      </c>
      <c r="BH278" s="173">
        <f t="shared" si="231"/>
        <v>0</v>
      </c>
      <c r="BI278" s="173">
        <f t="shared" si="232"/>
        <v>285320.6997833536</v>
      </c>
      <c r="BJ278" s="173">
        <f t="shared" si="233"/>
        <v>0</v>
      </c>
      <c r="BK278" s="173">
        <f t="shared" si="234"/>
        <v>291105.26074076549</v>
      </c>
      <c r="BM278" s="87" t="s">
        <v>559</v>
      </c>
      <c r="BN278" s="87" t="s">
        <v>560</v>
      </c>
      <c r="BO278" s="173">
        <f t="shared" si="235"/>
        <v>0</v>
      </c>
      <c r="BP278" s="173">
        <f t="shared" si="236"/>
        <v>263188.72508553398</v>
      </c>
      <c r="BQ278" s="173">
        <f t="shared" si="237"/>
        <v>0</v>
      </c>
      <c r="BR278" s="173">
        <f t="shared" si="238"/>
        <v>277517.60603369866</v>
      </c>
      <c r="BS278" s="173">
        <f t="shared" si="239"/>
        <v>0</v>
      </c>
      <c r="BT278" s="173">
        <f t="shared" si="240"/>
        <v>283907.24846471875</v>
      </c>
      <c r="BU278" s="173">
        <f t="shared" si="241"/>
        <v>0</v>
      </c>
      <c r="BV278" s="173">
        <f t="shared" si="242"/>
        <v>289385.59592152922</v>
      </c>
    </row>
    <row r="279" spans="5:74">
      <c r="E279" s="87" t="s">
        <v>521</v>
      </c>
      <c r="F279" s="87" t="s">
        <v>522</v>
      </c>
      <c r="G279" s="173">
        <f>IFERROR(IF(VLOOKUP(E279,A:C,3,FALSE)="YES",VLOOKUP(E279,'School Year 2021-22 SPED coop'!A:P,16,FALSE),0),0)</f>
        <v>0</v>
      </c>
      <c r="H279" s="173">
        <f t="shared" si="243"/>
        <v>1548221.15</v>
      </c>
      <c r="J279" s="87" t="s">
        <v>521</v>
      </c>
      <c r="K279" s="87" t="s">
        <v>522</v>
      </c>
      <c r="L279" s="173">
        <f t="shared" si="202"/>
        <v>0</v>
      </c>
      <c r="M279" s="173">
        <f t="shared" si="203"/>
        <v>1565830.9646135771</v>
      </c>
      <c r="N279" s="173">
        <f t="shared" si="204"/>
        <v>0</v>
      </c>
      <c r="O279" s="173">
        <f t="shared" si="205"/>
        <v>1618893.5240397668</v>
      </c>
      <c r="P279" s="173">
        <f t="shared" si="206"/>
        <v>0</v>
      </c>
      <c r="Q279" s="173">
        <f t="shared" si="207"/>
        <v>1648878.2644958892</v>
      </c>
      <c r="R279" s="173">
        <f t="shared" si="208"/>
        <v>0</v>
      </c>
      <c r="S279" s="173">
        <f t="shared" si="209"/>
        <v>1679238.8942275711</v>
      </c>
      <c r="U279" s="87" t="s">
        <v>521</v>
      </c>
      <c r="V279" s="87" t="s">
        <v>522</v>
      </c>
      <c r="W279" s="173">
        <f t="shared" si="210"/>
        <v>0</v>
      </c>
      <c r="X279" s="173">
        <f t="shared" si="244"/>
        <v>1565830.9646135771</v>
      </c>
      <c r="Y279" s="173">
        <f t="shared" si="245"/>
        <v>0</v>
      </c>
      <c r="Z279" s="173">
        <f t="shared" si="246"/>
        <v>1626839.3441545055</v>
      </c>
      <c r="AA279" s="173">
        <f t="shared" si="247"/>
        <v>0</v>
      </c>
      <c r="AB279" s="173">
        <f t="shared" si="248"/>
        <v>1658211.1276409954</v>
      </c>
      <c r="AC279" s="173">
        <f t="shared" si="249"/>
        <v>0</v>
      </c>
      <c r="AD279" s="173">
        <f t="shared" si="250"/>
        <v>1691633.4572069836</v>
      </c>
      <c r="AF279" s="87" t="s">
        <v>521</v>
      </c>
      <c r="AG279" s="87" t="s">
        <v>522</v>
      </c>
      <c r="AH279" s="173">
        <f t="shared" si="211"/>
        <v>0</v>
      </c>
      <c r="AI279" s="173">
        <f t="shared" si="212"/>
        <v>1565830.9646135771</v>
      </c>
      <c r="AJ279" s="173">
        <f t="shared" si="213"/>
        <v>0</v>
      </c>
      <c r="AK279" s="173">
        <f t="shared" si="214"/>
        <v>1616261.9315589392</v>
      </c>
      <c r="AL279" s="173">
        <f t="shared" si="215"/>
        <v>0</v>
      </c>
      <c r="AM279" s="173">
        <f t="shared" si="216"/>
        <v>1638476.0247210742</v>
      </c>
      <c r="AN279" s="173">
        <f t="shared" si="217"/>
        <v>0</v>
      </c>
      <c r="AO279" s="173">
        <f t="shared" si="218"/>
        <v>1679468.6537033012</v>
      </c>
      <c r="AQ279" s="87" t="s">
        <v>521</v>
      </c>
      <c r="AR279" s="87" t="s">
        <v>522</v>
      </c>
      <c r="AS279" s="173">
        <f t="shared" si="219"/>
        <v>0</v>
      </c>
      <c r="AT279" s="173">
        <f t="shared" si="220"/>
        <v>1565830.9646135771</v>
      </c>
      <c r="AU279" s="173">
        <f t="shared" si="221"/>
        <v>0</v>
      </c>
      <c r="AV279" s="173">
        <f t="shared" si="222"/>
        <v>1658738.8245927729</v>
      </c>
      <c r="AW279" s="173">
        <f t="shared" si="223"/>
        <v>0</v>
      </c>
      <c r="AX279" s="173">
        <f t="shared" si="224"/>
        <v>1687873.8883878575</v>
      </c>
      <c r="AY279" s="173">
        <f t="shared" si="225"/>
        <v>0</v>
      </c>
      <c r="AZ279" s="173">
        <f t="shared" si="226"/>
        <v>1719077.3811387052</v>
      </c>
      <c r="BB279" s="87" t="s">
        <v>521</v>
      </c>
      <c r="BC279" s="87" t="s">
        <v>522</v>
      </c>
      <c r="BD279" s="173">
        <f t="shared" si="227"/>
        <v>0</v>
      </c>
      <c r="BE279" s="173">
        <f t="shared" si="228"/>
        <v>1565830.9646135771</v>
      </c>
      <c r="BF279" s="173">
        <f t="shared" si="229"/>
        <v>0</v>
      </c>
      <c r="BG279" s="173">
        <f t="shared" si="230"/>
        <v>1666880.2171628498</v>
      </c>
      <c r="BH279" s="173">
        <f t="shared" si="231"/>
        <v>0</v>
      </c>
      <c r="BI279" s="173">
        <f t="shared" si="232"/>
        <v>1697427.4781852781</v>
      </c>
      <c r="BJ279" s="173">
        <f t="shared" si="233"/>
        <v>0</v>
      </c>
      <c r="BK279" s="173">
        <f t="shared" si="234"/>
        <v>1731765.9902253661</v>
      </c>
      <c r="BM279" s="87" t="s">
        <v>521</v>
      </c>
      <c r="BN279" s="87" t="s">
        <v>522</v>
      </c>
      <c r="BO279" s="173">
        <f t="shared" si="235"/>
        <v>0</v>
      </c>
      <c r="BP279" s="173">
        <f t="shared" si="236"/>
        <v>1565830.9646135771</v>
      </c>
      <c r="BQ279" s="173">
        <f t="shared" si="237"/>
        <v>0</v>
      </c>
      <c r="BR279" s="173">
        <f t="shared" si="238"/>
        <v>1656041.6968819415</v>
      </c>
      <c r="BS279" s="173">
        <f t="shared" si="239"/>
        <v>0</v>
      </c>
      <c r="BT279" s="173">
        <f t="shared" si="240"/>
        <v>1677224.3011770395</v>
      </c>
      <c r="BU279" s="173">
        <f t="shared" si="241"/>
        <v>0</v>
      </c>
      <c r="BV279" s="173">
        <f t="shared" si="242"/>
        <v>1719315.0144863355</v>
      </c>
    </row>
    <row r="280" spans="5:74">
      <c r="E280" s="87" t="s">
        <v>243</v>
      </c>
      <c r="F280" s="87" t="s">
        <v>244</v>
      </c>
      <c r="G280" s="173">
        <f>IFERROR(IF(VLOOKUP(E280,A:C,3,FALSE)="YES",VLOOKUP(E280,'School Year 2021-22 SPED coop'!A:P,16,FALSE),0),0)</f>
        <v>0</v>
      </c>
      <c r="H280" s="173">
        <f t="shared" si="243"/>
        <v>299769.79000000004</v>
      </c>
      <c r="J280" s="87" t="s">
        <v>243</v>
      </c>
      <c r="K280" s="87" t="s">
        <v>244</v>
      </c>
      <c r="L280" s="173">
        <f t="shared" si="202"/>
        <v>0</v>
      </c>
      <c r="M280" s="173">
        <f t="shared" si="203"/>
        <v>303046.64767776546</v>
      </c>
      <c r="N280" s="173">
        <f t="shared" si="204"/>
        <v>0</v>
      </c>
      <c r="O280" s="173">
        <f t="shared" si="205"/>
        <v>313309.63964335114</v>
      </c>
      <c r="P280" s="173">
        <f t="shared" si="206"/>
        <v>0</v>
      </c>
      <c r="Q280" s="173">
        <f t="shared" si="207"/>
        <v>319111.04103716323</v>
      </c>
      <c r="R280" s="173">
        <f t="shared" si="208"/>
        <v>0</v>
      </c>
      <c r="S280" s="173">
        <f t="shared" si="209"/>
        <v>324983.82605254371</v>
      </c>
      <c r="U280" s="87" t="s">
        <v>243</v>
      </c>
      <c r="V280" s="87" t="s">
        <v>244</v>
      </c>
      <c r="W280" s="173">
        <f t="shared" si="210"/>
        <v>0</v>
      </c>
      <c r="X280" s="173">
        <f t="shared" si="244"/>
        <v>303046.64767776546</v>
      </c>
      <c r="Y280" s="173">
        <f t="shared" si="245"/>
        <v>0</v>
      </c>
      <c r="Z280" s="173">
        <f t="shared" si="246"/>
        <v>314841.67124098254</v>
      </c>
      <c r="AA280" s="173">
        <f t="shared" si="247"/>
        <v>0</v>
      </c>
      <c r="AB280" s="173">
        <f t="shared" si="248"/>
        <v>320910.06957822264</v>
      </c>
      <c r="AC280" s="173">
        <f t="shared" si="249"/>
        <v>0</v>
      </c>
      <c r="AD280" s="173">
        <f t="shared" si="250"/>
        <v>327368.19965744973</v>
      </c>
      <c r="AF280" s="87" t="s">
        <v>243</v>
      </c>
      <c r="AG280" s="87" t="s">
        <v>244</v>
      </c>
      <c r="AH280" s="173">
        <f t="shared" si="211"/>
        <v>0</v>
      </c>
      <c r="AI280" s="173">
        <f t="shared" si="212"/>
        <v>303046.64767776546</v>
      </c>
      <c r="AJ280" s="173">
        <f t="shared" si="213"/>
        <v>0</v>
      </c>
      <c r="AK280" s="173">
        <f t="shared" si="214"/>
        <v>310848.9147344869</v>
      </c>
      <c r="AL280" s="173">
        <f t="shared" si="215"/>
        <v>0</v>
      </c>
      <c r="AM280" s="173">
        <f t="shared" si="216"/>
        <v>319006.08442218235</v>
      </c>
      <c r="AN280" s="173">
        <f t="shared" si="217"/>
        <v>0</v>
      </c>
      <c r="AO280" s="173">
        <f t="shared" si="218"/>
        <v>325012.4224714266</v>
      </c>
      <c r="AQ280" s="87" t="s">
        <v>243</v>
      </c>
      <c r="AR280" s="87" t="s">
        <v>244</v>
      </c>
      <c r="AS280" s="173">
        <f t="shared" si="219"/>
        <v>0</v>
      </c>
      <c r="AT280" s="173">
        <f t="shared" si="220"/>
        <v>303046.64767776546</v>
      </c>
      <c r="AU280" s="173">
        <f t="shared" si="221"/>
        <v>0</v>
      </c>
      <c r="AV280" s="173">
        <f t="shared" si="222"/>
        <v>321021.30715402204</v>
      </c>
      <c r="AW280" s="173">
        <f t="shared" si="223"/>
        <v>0</v>
      </c>
      <c r="AX280" s="173">
        <f t="shared" si="224"/>
        <v>326657.10272490251</v>
      </c>
      <c r="AY280" s="173">
        <f t="shared" si="225"/>
        <v>0</v>
      </c>
      <c r="AZ280" s="173">
        <f t="shared" si="226"/>
        <v>332692.99082181061</v>
      </c>
      <c r="BB280" s="87" t="s">
        <v>243</v>
      </c>
      <c r="BC280" s="87" t="s">
        <v>244</v>
      </c>
      <c r="BD280" s="173">
        <f t="shared" si="227"/>
        <v>0</v>
      </c>
      <c r="BE280" s="173">
        <f t="shared" si="228"/>
        <v>303046.64767776546</v>
      </c>
      <c r="BF280" s="173">
        <f t="shared" si="229"/>
        <v>0</v>
      </c>
      <c r="BG280" s="173">
        <f t="shared" si="230"/>
        <v>322591.0453365267</v>
      </c>
      <c r="BH280" s="173">
        <f t="shared" si="231"/>
        <v>0</v>
      </c>
      <c r="BI280" s="173">
        <f t="shared" si="232"/>
        <v>328498.67094276857</v>
      </c>
      <c r="BJ280" s="173">
        <f t="shared" si="233"/>
        <v>0</v>
      </c>
      <c r="BK280" s="173">
        <f t="shared" si="234"/>
        <v>335133.91804583615</v>
      </c>
      <c r="BM280" s="87" t="s">
        <v>243</v>
      </c>
      <c r="BN280" s="87" t="s">
        <v>244</v>
      </c>
      <c r="BO280" s="173">
        <f t="shared" si="235"/>
        <v>0</v>
      </c>
      <c r="BP280" s="173">
        <f t="shared" si="236"/>
        <v>303046.64767776546</v>
      </c>
      <c r="BQ280" s="173">
        <f t="shared" si="237"/>
        <v>0</v>
      </c>
      <c r="BR280" s="173">
        <f t="shared" si="238"/>
        <v>318499.84640095651</v>
      </c>
      <c r="BS280" s="173">
        <f t="shared" si="239"/>
        <v>0</v>
      </c>
      <c r="BT280" s="173">
        <f t="shared" si="240"/>
        <v>326550.99345997797</v>
      </c>
      <c r="BU280" s="173">
        <f t="shared" si="241"/>
        <v>0</v>
      </c>
      <c r="BV280" s="173">
        <f t="shared" si="242"/>
        <v>332723.49217443232</v>
      </c>
    </row>
    <row r="281" spans="5:74">
      <c r="E281" s="87" t="s">
        <v>285</v>
      </c>
      <c r="F281" s="87" t="s">
        <v>286</v>
      </c>
      <c r="G281" s="173">
        <f>IFERROR(IF(VLOOKUP(E281,A:C,3,FALSE)="YES",VLOOKUP(E281,'School Year 2021-22 SPED coop'!A:P,16,FALSE),0),0)</f>
        <v>0</v>
      </c>
      <c r="H281" s="173">
        <f t="shared" si="243"/>
        <v>1013228.0800000001</v>
      </c>
      <c r="J281" s="87" t="s">
        <v>285</v>
      </c>
      <c r="K281" s="87" t="s">
        <v>286</v>
      </c>
      <c r="L281" s="173">
        <f t="shared" si="202"/>
        <v>0</v>
      </c>
      <c r="M281" s="173">
        <f t="shared" si="203"/>
        <v>1046072.1492639848</v>
      </c>
      <c r="N281" s="173">
        <f t="shared" si="204"/>
        <v>0</v>
      </c>
      <c r="O281" s="173">
        <f t="shared" si="205"/>
        <v>1081348.0463826454</v>
      </c>
      <c r="P281" s="173">
        <f t="shared" si="206"/>
        <v>0</v>
      </c>
      <c r="Q281" s="173">
        <f t="shared" si="207"/>
        <v>1101406.8155542084</v>
      </c>
      <c r="R281" s="173">
        <f t="shared" si="208"/>
        <v>0</v>
      </c>
      <c r="S281" s="173">
        <f t="shared" si="209"/>
        <v>1121742.5525654575</v>
      </c>
      <c r="U281" s="87" t="s">
        <v>285</v>
      </c>
      <c r="V281" s="87" t="s">
        <v>286</v>
      </c>
      <c r="W281" s="173">
        <f t="shared" si="210"/>
        <v>0</v>
      </c>
      <c r="X281" s="173">
        <f t="shared" si="244"/>
        <v>1046072.1492639848</v>
      </c>
      <c r="Y281" s="173">
        <f t="shared" si="245"/>
        <v>0</v>
      </c>
      <c r="Z281" s="173">
        <f t="shared" si="246"/>
        <v>1086649.8992502992</v>
      </c>
      <c r="AA281" s="173">
        <f t="shared" si="247"/>
        <v>0</v>
      </c>
      <c r="AB281" s="173">
        <f t="shared" si="248"/>
        <v>1107626.619797426</v>
      </c>
      <c r="AC281" s="173">
        <f t="shared" si="249"/>
        <v>0</v>
      </c>
      <c r="AD281" s="173">
        <f t="shared" si="250"/>
        <v>1130032.5302256835</v>
      </c>
      <c r="AF281" s="87" t="s">
        <v>285</v>
      </c>
      <c r="AG281" s="87" t="s">
        <v>286</v>
      </c>
      <c r="AH281" s="173">
        <f t="shared" si="211"/>
        <v>0</v>
      </c>
      <c r="AI281" s="173">
        <f t="shared" si="212"/>
        <v>1046072.1492639848</v>
      </c>
      <c r="AJ281" s="173">
        <f t="shared" si="213"/>
        <v>0</v>
      </c>
      <c r="AK281" s="173">
        <f t="shared" si="214"/>
        <v>1065780.3827345045</v>
      </c>
      <c r="AL281" s="173">
        <f t="shared" si="215"/>
        <v>0</v>
      </c>
      <c r="AM281" s="173">
        <f t="shared" si="216"/>
        <v>1088685.1310134442</v>
      </c>
      <c r="AN281" s="173">
        <f t="shared" si="217"/>
        <v>0</v>
      </c>
      <c r="AO281" s="173">
        <f t="shared" si="218"/>
        <v>1114752.2926842212</v>
      </c>
      <c r="AQ281" s="87" t="s">
        <v>285</v>
      </c>
      <c r="AR281" s="87" t="s">
        <v>286</v>
      </c>
      <c r="AS281" s="173">
        <f t="shared" si="219"/>
        <v>0</v>
      </c>
      <c r="AT281" s="173">
        <f t="shared" si="220"/>
        <v>1046072.1492639848</v>
      </c>
      <c r="AU281" s="173">
        <f t="shared" si="221"/>
        <v>0</v>
      </c>
      <c r="AV281" s="173">
        <f t="shared" si="222"/>
        <v>1108056.105937182</v>
      </c>
      <c r="AW281" s="173">
        <f t="shared" si="223"/>
        <v>0</v>
      </c>
      <c r="AX281" s="173">
        <f t="shared" si="224"/>
        <v>1127571.4788303475</v>
      </c>
      <c r="AY281" s="173">
        <f t="shared" si="225"/>
        <v>0</v>
      </c>
      <c r="AZ281" s="173">
        <f t="shared" si="226"/>
        <v>1148472.3415207611</v>
      </c>
      <c r="BB281" s="87" t="s">
        <v>285</v>
      </c>
      <c r="BC281" s="87" t="s">
        <v>286</v>
      </c>
      <c r="BD281" s="173">
        <f t="shared" si="227"/>
        <v>0</v>
      </c>
      <c r="BE281" s="173">
        <f t="shared" si="228"/>
        <v>1046072.1492639848</v>
      </c>
      <c r="BF281" s="173">
        <f t="shared" si="229"/>
        <v>0</v>
      </c>
      <c r="BG281" s="173">
        <f t="shared" si="230"/>
        <v>1113488.9085742501</v>
      </c>
      <c r="BH281" s="173">
        <f t="shared" si="231"/>
        <v>0</v>
      </c>
      <c r="BI281" s="173">
        <f t="shared" si="232"/>
        <v>1133939.0359887851</v>
      </c>
      <c r="BJ281" s="173">
        <f t="shared" si="233"/>
        <v>0</v>
      </c>
      <c r="BK281" s="173">
        <f t="shared" si="234"/>
        <v>1156959.8618392856</v>
      </c>
      <c r="BM281" s="87" t="s">
        <v>285</v>
      </c>
      <c r="BN281" s="87" t="s">
        <v>286</v>
      </c>
      <c r="BO281" s="173">
        <f t="shared" si="235"/>
        <v>0</v>
      </c>
      <c r="BP281" s="173">
        <f t="shared" si="236"/>
        <v>1046072.1492639848</v>
      </c>
      <c r="BQ281" s="173">
        <f t="shared" si="237"/>
        <v>0</v>
      </c>
      <c r="BR281" s="173">
        <f t="shared" si="238"/>
        <v>1092098.4682396501</v>
      </c>
      <c r="BS281" s="173">
        <f t="shared" si="239"/>
        <v>0</v>
      </c>
      <c r="BT281" s="173">
        <f t="shared" si="240"/>
        <v>1114546.0870182072</v>
      </c>
      <c r="BU281" s="173">
        <f t="shared" si="241"/>
        <v>0</v>
      </c>
      <c r="BV281" s="173">
        <f t="shared" si="242"/>
        <v>1141316.5818177748</v>
      </c>
    </row>
    <row r="282" spans="5:74">
      <c r="E282" s="87" t="s">
        <v>339</v>
      </c>
      <c r="F282" s="87" t="s">
        <v>340</v>
      </c>
      <c r="G282" s="173">
        <f>IFERROR(IF(VLOOKUP(E282,A:C,3,FALSE)="YES",VLOOKUP(E282,'School Year 2021-22 SPED coop'!A:P,16,FALSE),0),0)</f>
        <v>0</v>
      </c>
      <c r="H282" s="173">
        <f t="shared" si="243"/>
        <v>1173290.75</v>
      </c>
      <c r="J282" s="87" t="s">
        <v>339</v>
      </c>
      <c r="K282" s="87" t="s">
        <v>340</v>
      </c>
      <c r="L282" s="173">
        <f t="shared" si="202"/>
        <v>0</v>
      </c>
      <c r="M282" s="173">
        <f t="shared" si="203"/>
        <v>1186237.0633407147</v>
      </c>
      <c r="N282" s="173">
        <f t="shared" si="204"/>
        <v>0</v>
      </c>
      <c r="O282" s="173">
        <f t="shared" si="205"/>
        <v>1226451.4863419728</v>
      </c>
      <c r="P282" s="173">
        <f t="shared" si="206"/>
        <v>0</v>
      </c>
      <c r="Q282" s="173">
        <f t="shared" si="207"/>
        <v>1249172.9462814075</v>
      </c>
      <c r="R282" s="173">
        <f t="shared" si="208"/>
        <v>0</v>
      </c>
      <c r="S282" s="173">
        <f t="shared" si="209"/>
        <v>1272183.6751911556</v>
      </c>
      <c r="U282" s="87" t="s">
        <v>339</v>
      </c>
      <c r="V282" s="87" t="s">
        <v>340</v>
      </c>
      <c r="W282" s="173">
        <f t="shared" si="210"/>
        <v>0</v>
      </c>
      <c r="X282" s="173">
        <f t="shared" si="244"/>
        <v>1186237.0633407147</v>
      </c>
      <c r="Y282" s="173">
        <f t="shared" si="245"/>
        <v>0</v>
      </c>
      <c r="Z282" s="173">
        <f t="shared" si="246"/>
        <v>1232465.5683072945</v>
      </c>
      <c r="AA282" s="173">
        <f t="shared" si="247"/>
        <v>0</v>
      </c>
      <c r="AB282" s="173">
        <f t="shared" si="248"/>
        <v>1256235.904762415</v>
      </c>
      <c r="AC282" s="173">
        <f t="shared" si="249"/>
        <v>0</v>
      </c>
      <c r="AD282" s="173">
        <f t="shared" si="250"/>
        <v>1281571.5378715212</v>
      </c>
      <c r="AF282" s="87" t="s">
        <v>339</v>
      </c>
      <c r="AG282" s="87" t="s">
        <v>340</v>
      </c>
      <c r="AH282" s="173">
        <f t="shared" si="211"/>
        <v>0</v>
      </c>
      <c r="AI282" s="173">
        <f t="shared" si="212"/>
        <v>1186237.0633407147</v>
      </c>
      <c r="AJ282" s="173">
        <f t="shared" si="213"/>
        <v>0</v>
      </c>
      <c r="AK282" s="173">
        <f t="shared" si="214"/>
        <v>1226140.1571331855</v>
      </c>
      <c r="AL282" s="173">
        <f t="shared" si="215"/>
        <v>0</v>
      </c>
      <c r="AM282" s="173">
        <f t="shared" si="216"/>
        <v>1247049.7059267678</v>
      </c>
      <c r="AN282" s="173">
        <f t="shared" si="217"/>
        <v>0</v>
      </c>
      <c r="AO282" s="173">
        <f t="shared" si="218"/>
        <v>1273084.5780628377</v>
      </c>
      <c r="AQ282" s="87" t="s">
        <v>339</v>
      </c>
      <c r="AR282" s="87" t="s">
        <v>340</v>
      </c>
      <c r="AS282" s="173">
        <f t="shared" si="219"/>
        <v>0</v>
      </c>
      <c r="AT282" s="173">
        <f t="shared" si="220"/>
        <v>1186237.0633407147</v>
      </c>
      <c r="AU282" s="173">
        <f t="shared" si="221"/>
        <v>0</v>
      </c>
      <c r="AV282" s="173">
        <f t="shared" si="222"/>
        <v>1256638.1090612805</v>
      </c>
      <c r="AW282" s="173">
        <f t="shared" si="223"/>
        <v>0</v>
      </c>
      <c r="AX282" s="173">
        <f t="shared" si="224"/>
        <v>1278719.734338128</v>
      </c>
      <c r="AY282" s="173">
        <f t="shared" si="225"/>
        <v>0</v>
      </c>
      <c r="AZ282" s="173">
        <f t="shared" si="226"/>
        <v>1302369.0955542978</v>
      </c>
      <c r="BB282" s="87" t="s">
        <v>339</v>
      </c>
      <c r="BC282" s="87" t="s">
        <v>340</v>
      </c>
      <c r="BD282" s="173">
        <f t="shared" si="227"/>
        <v>0</v>
      </c>
      <c r="BE282" s="173">
        <f t="shared" si="228"/>
        <v>1186237.0633407147</v>
      </c>
      <c r="BF282" s="173">
        <f t="shared" si="229"/>
        <v>0</v>
      </c>
      <c r="BG282" s="173">
        <f t="shared" si="230"/>
        <v>1262800.2159844697</v>
      </c>
      <c r="BH282" s="173">
        <f t="shared" si="231"/>
        <v>0</v>
      </c>
      <c r="BI282" s="173">
        <f t="shared" si="232"/>
        <v>1285949.7548038256</v>
      </c>
      <c r="BJ282" s="173">
        <f t="shared" si="233"/>
        <v>0</v>
      </c>
      <c r="BK282" s="173">
        <f t="shared" si="234"/>
        <v>1311979.7022228884</v>
      </c>
      <c r="BM282" s="87" t="s">
        <v>339</v>
      </c>
      <c r="BN282" s="87" t="s">
        <v>340</v>
      </c>
      <c r="BO282" s="173">
        <f t="shared" si="235"/>
        <v>0</v>
      </c>
      <c r="BP282" s="173">
        <f t="shared" si="236"/>
        <v>1186237.0633407147</v>
      </c>
      <c r="BQ282" s="173">
        <f t="shared" si="237"/>
        <v>0</v>
      </c>
      <c r="BR282" s="173">
        <f t="shared" si="238"/>
        <v>1256319.4982022257</v>
      </c>
      <c r="BS282" s="173">
        <f t="shared" si="239"/>
        <v>0</v>
      </c>
      <c r="BT282" s="173">
        <f t="shared" si="240"/>
        <v>1276547.1811979797</v>
      </c>
      <c r="BU282" s="173">
        <f t="shared" si="241"/>
        <v>0</v>
      </c>
      <c r="BV282" s="173">
        <f t="shared" si="242"/>
        <v>1303293.7359136769</v>
      </c>
    </row>
    <row r="283" spans="5:74">
      <c r="E283" s="87" t="s">
        <v>597</v>
      </c>
      <c r="F283" s="87" t="s">
        <v>598</v>
      </c>
      <c r="G283" s="173">
        <f>IFERROR(IF(VLOOKUP(E283,A:C,3,FALSE)="YES",VLOOKUP(E283,'School Year 2021-22 SPED coop'!A:P,16,FALSE),0),0)</f>
        <v>0</v>
      </c>
      <c r="H283" s="173">
        <f t="shared" si="243"/>
        <v>4800998.5599999996</v>
      </c>
      <c r="J283" s="87" t="s">
        <v>597</v>
      </c>
      <c r="K283" s="87" t="s">
        <v>598</v>
      </c>
      <c r="L283" s="173">
        <f t="shared" si="202"/>
        <v>0</v>
      </c>
      <c r="M283" s="173">
        <f t="shared" si="203"/>
        <v>4855135.2442948455</v>
      </c>
      <c r="N283" s="173">
        <f t="shared" si="204"/>
        <v>0</v>
      </c>
      <c r="O283" s="173">
        <f t="shared" si="205"/>
        <v>5019733.9994191378</v>
      </c>
      <c r="P283" s="173">
        <f t="shared" si="206"/>
        <v>0</v>
      </c>
      <c r="Q283" s="173">
        <f t="shared" si="207"/>
        <v>5112734.2452936266</v>
      </c>
      <c r="R283" s="173">
        <f t="shared" si="208"/>
        <v>0</v>
      </c>
      <c r="S283" s="173">
        <f t="shared" si="209"/>
        <v>5206921.5508253975</v>
      </c>
      <c r="U283" s="87" t="s">
        <v>597</v>
      </c>
      <c r="V283" s="87" t="s">
        <v>598</v>
      </c>
      <c r="W283" s="173">
        <f t="shared" si="210"/>
        <v>0</v>
      </c>
      <c r="X283" s="173">
        <f t="shared" si="244"/>
        <v>4855135.2442948455</v>
      </c>
      <c r="Y283" s="173">
        <f t="shared" si="245"/>
        <v>0</v>
      </c>
      <c r="Z283" s="173">
        <f t="shared" si="246"/>
        <v>5044341.6228180276</v>
      </c>
      <c r="AA283" s="173">
        <f t="shared" si="247"/>
        <v>0</v>
      </c>
      <c r="AB283" s="173">
        <f t="shared" si="248"/>
        <v>5141627.4683742141</v>
      </c>
      <c r="AC283" s="173">
        <f t="shared" si="249"/>
        <v>0</v>
      </c>
      <c r="AD283" s="173">
        <f t="shared" si="250"/>
        <v>5245387.9634023895</v>
      </c>
      <c r="AF283" s="87" t="s">
        <v>597</v>
      </c>
      <c r="AG283" s="87" t="s">
        <v>598</v>
      </c>
      <c r="AH283" s="173">
        <f t="shared" si="211"/>
        <v>0</v>
      </c>
      <c r="AI283" s="173">
        <f t="shared" si="212"/>
        <v>4855135.2442948455</v>
      </c>
      <c r="AJ283" s="173">
        <f t="shared" si="213"/>
        <v>0</v>
      </c>
      <c r="AK283" s="173">
        <f t="shared" si="214"/>
        <v>5029574.1265533315</v>
      </c>
      <c r="AL283" s="173">
        <f t="shared" si="215"/>
        <v>0</v>
      </c>
      <c r="AM283" s="173">
        <f t="shared" si="216"/>
        <v>5132268.1137522524</v>
      </c>
      <c r="AN283" s="173">
        <f t="shared" si="217"/>
        <v>0</v>
      </c>
      <c r="AO283" s="173">
        <f t="shared" si="218"/>
        <v>5246180.0125220902</v>
      </c>
      <c r="AQ283" s="87" t="s">
        <v>597</v>
      </c>
      <c r="AR283" s="87" t="s">
        <v>598</v>
      </c>
      <c r="AS283" s="173">
        <f t="shared" si="219"/>
        <v>0</v>
      </c>
      <c r="AT283" s="173">
        <f t="shared" si="220"/>
        <v>4855135.2442948455</v>
      </c>
      <c r="AU283" s="173">
        <f t="shared" si="221"/>
        <v>0</v>
      </c>
      <c r="AV283" s="173">
        <f t="shared" si="222"/>
        <v>5143285.3302875469</v>
      </c>
      <c r="AW283" s="173">
        <f t="shared" si="223"/>
        <v>0</v>
      </c>
      <c r="AX283" s="173">
        <f t="shared" si="224"/>
        <v>5233669.4849812556</v>
      </c>
      <c r="AY283" s="173">
        <f t="shared" si="225"/>
        <v>0</v>
      </c>
      <c r="AZ283" s="173">
        <f t="shared" si="226"/>
        <v>5330470.7198940143</v>
      </c>
      <c r="BB283" s="87" t="s">
        <v>597</v>
      </c>
      <c r="BC283" s="87" t="s">
        <v>598</v>
      </c>
      <c r="BD283" s="173">
        <f t="shared" si="227"/>
        <v>0</v>
      </c>
      <c r="BE283" s="173">
        <f t="shared" si="228"/>
        <v>4855135.2442948455</v>
      </c>
      <c r="BF283" s="173">
        <f t="shared" si="229"/>
        <v>0</v>
      </c>
      <c r="BG283" s="173">
        <f t="shared" si="230"/>
        <v>5168498.6222506398</v>
      </c>
      <c r="BH283" s="173">
        <f t="shared" si="231"/>
        <v>0</v>
      </c>
      <c r="BI283" s="173">
        <f t="shared" si="232"/>
        <v>5263246.1387787499</v>
      </c>
      <c r="BJ283" s="173">
        <f t="shared" si="233"/>
        <v>0</v>
      </c>
      <c r="BK283" s="173">
        <f t="shared" si="234"/>
        <v>5369849.8619509125</v>
      </c>
      <c r="BM283" s="87" t="s">
        <v>597</v>
      </c>
      <c r="BN283" s="87" t="s">
        <v>598</v>
      </c>
      <c r="BO283" s="173">
        <f t="shared" si="235"/>
        <v>0</v>
      </c>
      <c r="BP283" s="173">
        <f t="shared" si="236"/>
        <v>4855135.2442948455</v>
      </c>
      <c r="BQ283" s="173">
        <f t="shared" si="237"/>
        <v>0</v>
      </c>
      <c r="BR283" s="173">
        <f t="shared" si="238"/>
        <v>5153373.3322639186</v>
      </c>
      <c r="BS283" s="173">
        <f t="shared" si="239"/>
        <v>0</v>
      </c>
      <c r="BT283" s="173">
        <f t="shared" si="240"/>
        <v>5253676.9984687315</v>
      </c>
      <c r="BU283" s="173">
        <f t="shared" si="241"/>
        <v>0</v>
      </c>
      <c r="BV283" s="173">
        <f t="shared" si="242"/>
        <v>5370678.0338905081</v>
      </c>
    </row>
    <row r="284" spans="5:74">
      <c r="E284" s="87" t="s">
        <v>531</v>
      </c>
      <c r="F284" s="87" t="s">
        <v>532</v>
      </c>
      <c r="G284" s="173">
        <f>IFERROR(IF(VLOOKUP(E284,A:C,3,FALSE)="YES",VLOOKUP(E284,'School Year 2021-22 SPED coop'!A:P,16,FALSE),0),0)</f>
        <v>0</v>
      </c>
      <c r="H284" s="173">
        <f t="shared" si="243"/>
        <v>192975.38</v>
      </c>
      <c r="J284" s="87" t="s">
        <v>531</v>
      </c>
      <c r="K284" s="87" t="s">
        <v>532</v>
      </c>
      <c r="L284" s="173">
        <f t="shared" si="202"/>
        <v>0</v>
      </c>
      <c r="M284" s="173">
        <f t="shared" si="203"/>
        <v>195133.20777359622</v>
      </c>
      <c r="N284" s="173">
        <f t="shared" si="204"/>
        <v>0</v>
      </c>
      <c r="O284" s="173">
        <f t="shared" si="205"/>
        <v>201750.50651956027</v>
      </c>
      <c r="P284" s="173">
        <f t="shared" si="206"/>
        <v>0</v>
      </c>
      <c r="Q284" s="173">
        <f t="shared" si="207"/>
        <v>205487.76077458565</v>
      </c>
      <c r="R284" s="173">
        <f t="shared" si="208"/>
        <v>0</v>
      </c>
      <c r="S284" s="173">
        <f t="shared" si="209"/>
        <v>209272.26376554096</v>
      </c>
      <c r="U284" s="87" t="s">
        <v>531</v>
      </c>
      <c r="V284" s="87" t="s">
        <v>532</v>
      </c>
      <c r="W284" s="173">
        <f t="shared" si="210"/>
        <v>0</v>
      </c>
      <c r="X284" s="173">
        <f t="shared" si="244"/>
        <v>195133.20777359622</v>
      </c>
      <c r="Y284" s="173">
        <f t="shared" si="245"/>
        <v>0</v>
      </c>
      <c r="Z284" s="173">
        <f t="shared" si="246"/>
        <v>202753.69418112293</v>
      </c>
      <c r="AA284" s="173">
        <f t="shared" si="247"/>
        <v>0</v>
      </c>
      <c r="AB284" s="173">
        <f t="shared" si="248"/>
        <v>206655.9095911324</v>
      </c>
      <c r="AC284" s="173">
        <f t="shared" si="249"/>
        <v>0</v>
      </c>
      <c r="AD284" s="173">
        <f t="shared" si="250"/>
        <v>210827.08872016877</v>
      </c>
      <c r="AF284" s="87" t="s">
        <v>531</v>
      </c>
      <c r="AG284" s="87" t="s">
        <v>532</v>
      </c>
      <c r="AH284" s="173">
        <f t="shared" si="211"/>
        <v>0</v>
      </c>
      <c r="AI284" s="173">
        <f t="shared" si="212"/>
        <v>195133.20777359622</v>
      </c>
      <c r="AJ284" s="173">
        <f t="shared" si="213"/>
        <v>0</v>
      </c>
      <c r="AK284" s="173">
        <f t="shared" si="214"/>
        <v>201370.80520914221</v>
      </c>
      <c r="AL284" s="173">
        <f t="shared" si="215"/>
        <v>0</v>
      </c>
      <c r="AM284" s="173">
        <f t="shared" si="216"/>
        <v>204174.89088740671</v>
      </c>
      <c r="AN284" s="173">
        <f t="shared" si="217"/>
        <v>0</v>
      </c>
      <c r="AO284" s="173">
        <f t="shared" si="218"/>
        <v>208627.41098395619</v>
      </c>
      <c r="AQ284" s="87" t="s">
        <v>531</v>
      </c>
      <c r="AR284" s="87" t="s">
        <v>532</v>
      </c>
      <c r="AS284" s="173">
        <f t="shared" si="219"/>
        <v>0</v>
      </c>
      <c r="AT284" s="173">
        <f t="shared" si="220"/>
        <v>195133.20777359622</v>
      </c>
      <c r="AU284" s="173">
        <f t="shared" si="221"/>
        <v>0</v>
      </c>
      <c r="AV284" s="173">
        <f t="shared" si="222"/>
        <v>206715.54114598187</v>
      </c>
      <c r="AW284" s="173">
        <f t="shared" si="223"/>
        <v>0</v>
      </c>
      <c r="AX284" s="173">
        <f t="shared" si="224"/>
        <v>210347.24355547989</v>
      </c>
      <c r="AY284" s="173">
        <f t="shared" si="225"/>
        <v>0</v>
      </c>
      <c r="AZ284" s="173">
        <f t="shared" si="226"/>
        <v>214236.78047924346</v>
      </c>
      <c r="BB284" s="87" t="s">
        <v>531</v>
      </c>
      <c r="BC284" s="87" t="s">
        <v>532</v>
      </c>
      <c r="BD284" s="173">
        <f t="shared" si="227"/>
        <v>0</v>
      </c>
      <c r="BE284" s="173">
        <f t="shared" si="228"/>
        <v>195133.20777359622</v>
      </c>
      <c r="BF284" s="173">
        <f t="shared" si="229"/>
        <v>0</v>
      </c>
      <c r="BG284" s="173">
        <f t="shared" si="230"/>
        <v>207743.42454628297</v>
      </c>
      <c r="BH284" s="173">
        <f t="shared" si="231"/>
        <v>0</v>
      </c>
      <c r="BI284" s="173">
        <f t="shared" si="232"/>
        <v>211543.02058760545</v>
      </c>
      <c r="BJ284" s="173">
        <f t="shared" si="233"/>
        <v>0</v>
      </c>
      <c r="BK284" s="173">
        <f t="shared" si="234"/>
        <v>215828.49456938077</v>
      </c>
      <c r="BM284" s="87" t="s">
        <v>531</v>
      </c>
      <c r="BN284" s="87" t="s">
        <v>532</v>
      </c>
      <c r="BO284" s="173">
        <f t="shared" si="235"/>
        <v>0</v>
      </c>
      <c r="BP284" s="173">
        <f t="shared" si="236"/>
        <v>195133.20777359622</v>
      </c>
      <c r="BQ284" s="173">
        <f t="shared" si="237"/>
        <v>0</v>
      </c>
      <c r="BR284" s="173">
        <f t="shared" si="238"/>
        <v>206326.62667554046</v>
      </c>
      <c r="BS284" s="173">
        <f t="shared" si="239"/>
        <v>0</v>
      </c>
      <c r="BT284" s="173">
        <f t="shared" si="240"/>
        <v>209003.64610333063</v>
      </c>
      <c r="BU284" s="173">
        <f t="shared" si="241"/>
        <v>0</v>
      </c>
      <c r="BV284" s="173">
        <f t="shared" si="242"/>
        <v>213577.09852482946</v>
      </c>
    </row>
    <row r="285" spans="5:74">
      <c r="E285" s="87" t="s">
        <v>79</v>
      </c>
      <c r="F285" s="87" t="s">
        <v>80</v>
      </c>
      <c r="G285" s="173">
        <f>IFERROR(IF(VLOOKUP(E285,A:C,3,FALSE)="YES",VLOOKUP(E285,'School Year 2021-22 SPED coop'!A:P,16,FALSE),0),0)</f>
        <v>839523.90999999992</v>
      </c>
      <c r="H285" s="173">
        <f t="shared" si="243"/>
        <v>0</v>
      </c>
      <c r="J285" s="87" t="s">
        <v>79</v>
      </c>
      <c r="K285" s="87" t="s">
        <v>80</v>
      </c>
      <c r="L285" s="173">
        <f t="shared" si="202"/>
        <v>889542.50505094475</v>
      </c>
      <c r="M285" s="173">
        <f t="shared" si="203"/>
        <v>0</v>
      </c>
      <c r="N285" s="173">
        <f t="shared" si="204"/>
        <v>919560.34522809368</v>
      </c>
      <c r="O285" s="173">
        <f t="shared" si="205"/>
        <v>0</v>
      </c>
      <c r="P285" s="173">
        <f t="shared" si="206"/>
        <v>936618.04582805454</v>
      </c>
      <c r="Q285" s="173">
        <f t="shared" si="207"/>
        <v>0</v>
      </c>
      <c r="R285" s="173">
        <f t="shared" si="208"/>
        <v>953911.35065132659</v>
      </c>
      <c r="S285" s="173">
        <f t="shared" si="209"/>
        <v>0</v>
      </c>
      <c r="U285" s="87" t="s">
        <v>79</v>
      </c>
      <c r="V285" s="87" t="s">
        <v>80</v>
      </c>
      <c r="W285" s="173">
        <f t="shared" si="210"/>
        <v>889542.50505094475</v>
      </c>
      <c r="X285" s="173">
        <f t="shared" si="244"/>
        <v>0</v>
      </c>
      <c r="Y285" s="173">
        <f t="shared" si="245"/>
        <v>924062.5500923756</v>
      </c>
      <c r="Z285" s="173">
        <f t="shared" si="246"/>
        <v>0</v>
      </c>
      <c r="AA285" s="173">
        <f t="shared" si="247"/>
        <v>941912.14041980309</v>
      </c>
      <c r="AB285" s="173">
        <f t="shared" si="248"/>
        <v>0</v>
      </c>
      <c r="AC285" s="173">
        <f t="shared" si="249"/>
        <v>960943.60136129684</v>
      </c>
      <c r="AD285" s="173">
        <f t="shared" si="250"/>
        <v>0</v>
      </c>
      <c r="AF285" s="87" t="s">
        <v>79</v>
      </c>
      <c r="AG285" s="87" t="s">
        <v>80</v>
      </c>
      <c r="AH285" s="173">
        <f t="shared" si="211"/>
        <v>889542.50505094475</v>
      </c>
      <c r="AI285" s="173">
        <f t="shared" si="212"/>
        <v>0</v>
      </c>
      <c r="AJ285" s="173">
        <f t="shared" si="213"/>
        <v>915301.47262264055</v>
      </c>
      <c r="AK285" s="173">
        <f t="shared" si="214"/>
        <v>0</v>
      </c>
      <c r="AL285" s="173">
        <f t="shared" si="215"/>
        <v>932281.70919890434</v>
      </c>
      <c r="AM285" s="173">
        <f t="shared" si="216"/>
        <v>0</v>
      </c>
      <c r="AN285" s="173">
        <f t="shared" si="217"/>
        <v>949497.73459374893</v>
      </c>
      <c r="AO285" s="173">
        <f t="shared" si="218"/>
        <v>0</v>
      </c>
      <c r="AQ285" s="87" t="s">
        <v>79</v>
      </c>
      <c r="AR285" s="87" t="s">
        <v>80</v>
      </c>
      <c r="AS285" s="173">
        <f t="shared" si="219"/>
        <v>889542.50505094475</v>
      </c>
      <c r="AT285" s="173">
        <f t="shared" si="220"/>
        <v>0</v>
      </c>
      <c r="AU285" s="173">
        <f t="shared" si="221"/>
        <v>942268.55513312109</v>
      </c>
      <c r="AV285" s="173">
        <f t="shared" si="222"/>
        <v>0</v>
      </c>
      <c r="AW285" s="173">
        <f t="shared" si="223"/>
        <v>958864.1570193182</v>
      </c>
      <c r="AX285" s="173">
        <f t="shared" si="224"/>
        <v>0</v>
      </c>
      <c r="AY285" s="173">
        <f t="shared" si="225"/>
        <v>976637.95051525813</v>
      </c>
      <c r="AZ285" s="173">
        <f t="shared" si="226"/>
        <v>0</v>
      </c>
      <c r="BB285" s="87" t="s">
        <v>79</v>
      </c>
      <c r="BC285" s="87" t="s">
        <v>80</v>
      </c>
      <c r="BD285" s="173">
        <f t="shared" si="227"/>
        <v>889542.50505094475</v>
      </c>
      <c r="BE285" s="173">
        <f t="shared" si="228"/>
        <v>0</v>
      </c>
      <c r="BF285" s="173">
        <f t="shared" si="229"/>
        <v>946881.93678721623</v>
      </c>
      <c r="BG285" s="173">
        <f t="shared" si="230"/>
        <v>0</v>
      </c>
      <c r="BH285" s="173">
        <f t="shared" si="231"/>
        <v>964283.99463843985</v>
      </c>
      <c r="BI285" s="173">
        <f t="shared" si="232"/>
        <v>0</v>
      </c>
      <c r="BJ285" s="173">
        <f t="shared" si="233"/>
        <v>983837.73503356637</v>
      </c>
      <c r="BK285" s="173">
        <f t="shared" si="234"/>
        <v>0</v>
      </c>
      <c r="BM285" s="87" t="s">
        <v>79</v>
      </c>
      <c r="BN285" s="87" t="s">
        <v>80</v>
      </c>
      <c r="BO285" s="173">
        <f t="shared" si="235"/>
        <v>889542.50505094475</v>
      </c>
      <c r="BP285" s="173">
        <f t="shared" si="236"/>
        <v>0</v>
      </c>
      <c r="BQ285" s="173">
        <f t="shared" si="237"/>
        <v>937903.75125728489</v>
      </c>
      <c r="BR285" s="173">
        <f t="shared" si="238"/>
        <v>0</v>
      </c>
      <c r="BS285" s="173">
        <f t="shared" si="239"/>
        <v>954425.11013892095</v>
      </c>
      <c r="BT285" s="173">
        <f t="shared" si="240"/>
        <v>0</v>
      </c>
      <c r="BU285" s="173">
        <f t="shared" si="241"/>
        <v>972119.40620272711</v>
      </c>
      <c r="BV285" s="173">
        <f t="shared" si="242"/>
        <v>0</v>
      </c>
    </row>
    <row r="286" spans="5:74">
      <c r="E286" s="87" t="s">
        <v>257</v>
      </c>
      <c r="F286" s="87" t="s">
        <v>258</v>
      </c>
      <c r="G286" s="173">
        <f>IFERROR(IF(VLOOKUP(E286,A:C,3,FALSE)="YES",VLOOKUP(E286,'School Year 2021-22 SPED coop'!A:P,16,FALSE),0),0)</f>
        <v>136730.07999999999</v>
      </c>
      <c r="H286" s="173">
        <f t="shared" si="243"/>
        <v>0</v>
      </c>
      <c r="J286" s="87" t="s">
        <v>257</v>
      </c>
      <c r="K286" s="87" t="s">
        <v>258</v>
      </c>
      <c r="L286" s="173">
        <f t="shared" si="202"/>
        <v>154913.04096254066</v>
      </c>
      <c r="M286" s="173">
        <f t="shared" si="203"/>
        <v>0</v>
      </c>
      <c r="N286" s="173">
        <f t="shared" si="204"/>
        <v>160163.5813454435</v>
      </c>
      <c r="O286" s="173">
        <f t="shared" si="205"/>
        <v>0</v>
      </c>
      <c r="P286" s="173">
        <f t="shared" si="206"/>
        <v>163130.35527322072</v>
      </c>
      <c r="Q286" s="173">
        <f t="shared" si="207"/>
        <v>0</v>
      </c>
      <c r="R286" s="173">
        <f t="shared" si="208"/>
        <v>166134.53644087262</v>
      </c>
      <c r="S286" s="173">
        <f t="shared" si="209"/>
        <v>0</v>
      </c>
      <c r="U286" s="87" t="s">
        <v>257</v>
      </c>
      <c r="V286" s="87" t="s">
        <v>258</v>
      </c>
      <c r="W286" s="173">
        <f t="shared" si="210"/>
        <v>154913.04096254066</v>
      </c>
      <c r="X286" s="173">
        <f t="shared" si="244"/>
        <v>0</v>
      </c>
      <c r="Y286" s="173">
        <f t="shared" si="245"/>
        <v>160939.34732386994</v>
      </c>
      <c r="Z286" s="173">
        <f t="shared" si="246"/>
        <v>0</v>
      </c>
      <c r="AA286" s="173">
        <f t="shared" si="247"/>
        <v>164048.83496600785</v>
      </c>
      <c r="AB286" s="173">
        <f t="shared" si="248"/>
        <v>0</v>
      </c>
      <c r="AC286" s="173">
        <f t="shared" si="249"/>
        <v>167366.24132287782</v>
      </c>
      <c r="AD286" s="173">
        <f t="shared" si="250"/>
        <v>0</v>
      </c>
      <c r="AF286" s="87" t="s">
        <v>257</v>
      </c>
      <c r="AG286" s="87" t="s">
        <v>258</v>
      </c>
      <c r="AH286" s="173">
        <f t="shared" si="211"/>
        <v>154913.04096254066</v>
      </c>
      <c r="AI286" s="173">
        <f t="shared" si="212"/>
        <v>0</v>
      </c>
      <c r="AJ286" s="173">
        <f t="shared" si="213"/>
        <v>161379.13436530228</v>
      </c>
      <c r="AK286" s="173">
        <f t="shared" si="214"/>
        <v>0</v>
      </c>
      <c r="AL286" s="173">
        <f t="shared" si="215"/>
        <v>163975.466185164</v>
      </c>
      <c r="AM286" s="173">
        <f t="shared" si="216"/>
        <v>0</v>
      </c>
      <c r="AN286" s="173">
        <f t="shared" si="217"/>
        <v>167332.36249144762</v>
      </c>
      <c r="AO286" s="173">
        <f t="shared" si="218"/>
        <v>0</v>
      </c>
      <c r="AQ286" s="87" t="s">
        <v>257</v>
      </c>
      <c r="AR286" s="87" t="s">
        <v>258</v>
      </c>
      <c r="AS286" s="173">
        <f t="shared" si="219"/>
        <v>154913.04096254066</v>
      </c>
      <c r="AT286" s="173">
        <f t="shared" si="220"/>
        <v>0</v>
      </c>
      <c r="AU286" s="173">
        <f t="shared" si="221"/>
        <v>164105.63143868645</v>
      </c>
      <c r="AV286" s="173">
        <f t="shared" si="222"/>
        <v>0</v>
      </c>
      <c r="AW286" s="173">
        <f t="shared" si="223"/>
        <v>166988.53136395742</v>
      </c>
      <c r="AX286" s="173">
        <f t="shared" si="224"/>
        <v>0</v>
      </c>
      <c r="AY286" s="173">
        <f t="shared" si="225"/>
        <v>170076.10424082083</v>
      </c>
      <c r="AZ286" s="173">
        <f t="shared" si="226"/>
        <v>0</v>
      </c>
      <c r="BB286" s="87" t="s">
        <v>257</v>
      </c>
      <c r="BC286" s="87" t="s">
        <v>258</v>
      </c>
      <c r="BD286" s="173">
        <f t="shared" si="227"/>
        <v>154913.04096254066</v>
      </c>
      <c r="BE286" s="173">
        <f t="shared" si="228"/>
        <v>0</v>
      </c>
      <c r="BF286" s="173">
        <f t="shared" si="229"/>
        <v>164900.48601160012</v>
      </c>
      <c r="BG286" s="173">
        <f t="shared" si="230"/>
        <v>0</v>
      </c>
      <c r="BH286" s="173">
        <f t="shared" si="231"/>
        <v>167928.73223081155</v>
      </c>
      <c r="BI286" s="173">
        <f t="shared" si="232"/>
        <v>0</v>
      </c>
      <c r="BJ286" s="173">
        <f t="shared" si="233"/>
        <v>171337.03372210884</v>
      </c>
      <c r="BK286" s="173">
        <f t="shared" si="234"/>
        <v>0</v>
      </c>
      <c r="BM286" s="87" t="s">
        <v>257</v>
      </c>
      <c r="BN286" s="87" t="s">
        <v>258</v>
      </c>
      <c r="BO286" s="173">
        <f t="shared" si="235"/>
        <v>154913.04096254066</v>
      </c>
      <c r="BP286" s="173">
        <f t="shared" si="236"/>
        <v>0</v>
      </c>
      <c r="BQ286" s="173">
        <f t="shared" si="237"/>
        <v>165351.64927940248</v>
      </c>
      <c r="BR286" s="173">
        <f t="shared" si="238"/>
        <v>0</v>
      </c>
      <c r="BS286" s="173">
        <f t="shared" si="239"/>
        <v>167853.82446944312</v>
      </c>
      <c r="BT286" s="173">
        <f t="shared" si="240"/>
        <v>0</v>
      </c>
      <c r="BU286" s="173">
        <f t="shared" si="241"/>
        <v>171302.79435285073</v>
      </c>
      <c r="BV286" s="173">
        <f t="shared" si="242"/>
        <v>0</v>
      </c>
    </row>
    <row r="287" spans="5:74">
      <c r="E287" s="87" t="s">
        <v>201</v>
      </c>
      <c r="F287" s="87" t="s">
        <v>202</v>
      </c>
      <c r="G287" s="173">
        <f>IFERROR(IF(VLOOKUP(E287,A:C,3,FALSE)="YES",VLOOKUP(E287,'School Year 2021-22 SPED coop'!A:P,16,FALSE),0),0)</f>
        <v>0</v>
      </c>
      <c r="H287" s="173">
        <f t="shared" si="243"/>
        <v>3524104.6</v>
      </c>
      <c r="J287" s="87" t="s">
        <v>201</v>
      </c>
      <c r="K287" s="87" t="s">
        <v>202</v>
      </c>
      <c r="L287" s="173">
        <f t="shared" si="202"/>
        <v>0</v>
      </c>
      <c r="M287" s="173">
        <f t="shared" si="203"/>
        <v>3565386.1782605499</v>
      </c>
      <c r="N287" s="173">
        <f t="shared" si="204"/>
        <v>0</v>
      </c>
      <c r="O287" s="173">
        <f t="shared" si="205"/>
        <v>3683687.1400725339</v>
      </c>
      <c r="P287" s="173">
        <f t="shared" si="206"/>
        <v>0</v>
      </c>
      <c r="Q287" s="173">
        <f t="shared" si="207"/>
        <v>3752467.0569692547</v>
      </c>
      <c r="R287" s="173">
        <f t="shared" si="208"/>
        <v>0</v>
      </c>
      <c r="S287" s="173">
        <f t="shared" si="209"/>
        <v>3822598.5394417206</v>
      </c>
      <c r="U287" s="87" t="s">
        <v>201</v>
      </c>
      <c r="V287" s="87" t="s">
        <v>202</v>
      </c>
      <c r="W287" s="173">
        <f t="shared" si="210"/>
        <v>0</v>
      </c>
      <c r="X287" s="173">
        <f t="shared" si="244"/>
        <v>3565386.1782605499</v>
      </c>
      <c r="Y287" s="173">
        <f t="shared" si="245"/>
        <v>0</v>
      </c>
      <c r="Z287" s="173">
        <f t="shared" si="246"/>
        <v>3701744.4473933671</v>
      </c>
      <c r="AA287" s="173">
        <f t="shared" si="247"/>
        <v>0</v>
      </c>
      <c r="AB287" s="173">
        <f t="shared" si="248"/>
        <v>3773658.1900975029</v>
      </c>
      <c r="AC287" s="173">
        <f t="shared" si="249"/>
        <v>0</v>
      </c>
      <c r="AD287" s="173">
        <f t="shared" si="250"/>
        <v>3850822.4308956321</v>
      </c>
      <c r="AF287" s="87" t="s">
        <v>201</v>
      </c>
      <c r="AG287" s="87" t="s">
        <v>202</v>
      </c>
      <c r="AH287" s="173">
        <f t="shared" si="211"/>
        <v>0</v>
      </c>
      <c r="AI287" s="173">
        <f t="shared" si="212"/>
        <v>3565386.1782605499</v>
      </c>
      <c r="AJ287" s="173">
        <f t="shared" si="213"/>
        <v>0</v>
      </c>
      <c r="AK287" s="173">
        <f t="shared" si="214"/>
        <v>3682041.6187519999</v>
      </c>
      <c r="AL287" s="173">
        <f t="shared" si="215"/>
        <v>0</v>
      </c>
      <c r="AM287" s="173">
        <f t="shared" si="216"/>
        <v>3750397.7310791346</v>
      </c>
      <c r="AN287" s="173">
        <f t="shared" si="217"/>
        <v>0</v>
      </c>
      <c r="AO287" s="173">
        <f t="shared" si="218"/>
        <v>3820987.0467795352</v>
      </c>
      <c r="AQ287" s="87" t="s">
        <v>201</v>
      </c>
      <c r="AR287" s="87" t="s">
        <v>202</v>
      </c>
      <c r="AS287" s="173">
        <f t="shared" si="219"/>
        <v>0</v>
      </c>
      <c r="AT287" s="173">
        <f t="shared" si="220"/>
        <v>3565386.1782605499</v>
      </c>
      <c r="AU287" s="173">
        <f t="shared" si="221"/>
        <v>0</v>
      </c>
      <c r="AV287" s="173">
        <f t="shared" si="222"/>
        <v>3775754.5268035433</v>
      </c>
      <c r="AW287" s="173">
        <f t="shared" si="223"/>
        <v>0</v>
      </c>
      <c r="AX287" s="173">
        <f t="shared" si="224"/>
        <v>3843058.4257770851</v>
      </c>
      <c r="AY287" s="173">
        <f t="shared" si="225"/>
        <v>0</v>
      </c>
      <c r="AZ287" s="173">
        <f t="shared" si="226"/>
        <v>3915140.591513962</v>
      </c>
      <c r="BB287" s="87" t="s">
        <v>201</v>
      </c>
      <c r="BC287" s="87" t="s">
        <v>202</v>
      </c>
      <c r="BD287" s="173">
        <f t="shared" si="227"/>
        <v>0</v>
      </c>
      <c r="BE287" s="173">
        <f t="shared" si="228"/>
        <v>3565386.1782605499</v>
      </c>
      <c r="BF287" s="173">
        <f t="shared" si="229"/>
        <v>0</v>
      </c>
      <c r="BG287" s="173">
        <f t="shared" si="230"/>
        <v>3794263.1432619956</v>
      </c>
      <c r="BH287" s="173">
        <f t="shared" si="231"/>
        <v>0</v>
      </c>
      <c r="BI287" s="173">
        <f t="shared" si="232"/>
        <v>3864761.1413251227</v>
      </c>
      <c r="BJ287" s="173">
        <f t="shared" si="233"/>
        <v>0</v>
      </c>
      <c r="BK287" s="173">
        <f t="shared" si="234"/>
        <v>3944047.7547805449</v>
      </c>
      <c r="BM287" s="87" t="s">
        <v>201</v>
      </c>
      <c r="BN287" s="87" t="s">
        <v>202</v>
      </c>
      <c r="BO287" s="173">
        <f t="shared" si="235"/>
        <v>0</v>
      </c>
      <c r="BP287" s="173">
        <f t="shared" si="236"/>
        <v>3565386.1782605499</v>
      </c>
      <c r="BQ287" s="173">
        <f t="shared" si="237"/>
        <v>0</v>
      </c>
      <c r="BR287" s="173">
        <f t="shared" si="238"/>
        <v>3774068.5150630572</v>
      </c>
      <c r="BS287" s="173">
        <f t="shared" si="239"/>
        <v>0</v>
      </c>
      <c r="BT287" s="173">
        <f t="shared" si="240"/>
        <v>3840941.2330588922</v>
      </c>
      <c r="BU287" s="173">
        <f t="shared" si="241"/>
        <v>0</v>
      </c>
      <c r="BV287" s="173">
        <f t="shared" si="242"/>
        <v>3913492.114333516</v>
      </c>
    </row>
    <row r="288" spans="5:74">
      <c r="E288" s="87" t="s">
        <v>511</v>
      </c>
      <c r="F288" s="87" t="s">
        <v>512</v>
      </c>
      <c r="G288" s="173">
        <f>IFERROR(IF(VLOOKUP(E288,A:C,3,FALSE)="YES",VLOOKUP(E288,'School Year 2021-22 SPED coop'!A:P,16,FALSE),0),0)</f>
        <v>0</v>
      </c>
      <c r="H288" s="173">
        <f t="shared" si="243"/>
        <v>7631376.5800000001</v>
      </c>
      <c r="J288" s="87" t="s">
        <v>511</v>
      </c>
      <c r="K288" s="87" t="s">
        <v>512</v>
      </c>
      <c r="L288" s="173">
        <f t="shared" si="202"/>
        <v>0</v>
      </c>
      <c r="M288" s="173">
        <f t="shared" si="203"/>
        <v>7721549.9907863783</v>
      </c>
      <c r="N288" s="173">
        <f t="shared" si="204"/>
        <v>0</v>
      </c>
      <c r="O288" s="173">
        <f t="shared" si="205"/>
        <v>7983210.5127021754</v>
      </c>
      <c r="P288" s="173">
        <f t="shared" si="206"/>
        <v>0</v>
      </c>
      <c r="Q288" s="173">
        <f t="shared" si="207"/>
        <v>8131103.6024112422</v>
      </c>
      <c r="R288" s="173">
        <f t="shared" si="208"/>
        <v>0</v>
      </c>
      <c r="S288" s="173">
        <f t="shared" si="209"/>
        <v>8280875.1076746117</v>
      </c>
      <c r="U288" s="87" t="s">
        <v>511</v>
      </c>
      <c r="V288" s="87" t="s">
        <v>512</v>
      </c>
      <c r="W288" s="173">
        <f t="shared" si="210"/>
        <v>0</v>
      </c>
      <c r="X288" s="173">
        <f t="shared" si="244"/>
        <v>7721549.9907863783</v>
      </c>
      <c r="Y288" s="173">
        <f t="shared" si="245"/>
        <v>0</v>
      </c>
      <c r="Z288" s="173">
        <f t="shared" si="246"/>
        <v>8022348.2557652108</v>
      </c>
      <c r="AA288" s="173">
        <f t="shared" si="247"/>
        <v>0</v>
      </c>
      <c r="AB288" s="173">
        <f t="shared" si="248"/>
        <v>8177065.3822837062</v>
      </c>
      <c r="AC288" s="173">
        <f t="shared" si="249"/>
        <v>0</v>
      </c>
      <c r="AD288" s="173">
        <f t="shared" si="250"/>
        <v>8342051.0844359361</v>
      </c>
      <c r="AF288" s="87" t="s">
        <v>511</v>
      </c>
      <c r="AG288" s="87" t="s">
        <v>512</v>
      </c>
      <c r="AH288" s="173">
        <f t="shared" si="211"/>
        <v>0</v>
      </c>
      <c r="AI288" s="173">
        <f t="shared" si="212"/>
        <v>7721549.9907863783</v>
      </c>
      <c r="AJ288" s="173">
        <f t="shared" si="213"/>
        <v>0</v>
      </c>
      <c r="AK288" s="173">
        <f t="shared" si="214"/>
        <v>7980050.3502807235</v>
      </c>
      <c r="AL288" s="173">
        <f t="shared" si="215"/>
        <v>0</v>
      </c>
      <c r="AM288" s="173">
        <f t="shared" si="216"/>
        <v>8131040.1391963316</v>
      </c>
      <c r="AN288" s="173">
        <f t="shared" si="217"/>
        <v>0</v>
      </c>
      <c r="AO288" s="173">
        <f t="shared" si="218"/>
        <v>8283569.7612627577</v>
      </c>
      <c r="AQ288" s="87" t="s">
        <v>511</v>
      </c>
      <c r="AR288" s="87" t="s">
        <v>512</v>
      </c>
      <c r="AS288" s="173">
        <f t="shared" si="219"/>
        <v>0</v>
      </c>
      <c r="AT288" s="173">
        <f t="shared" si="220"/>
        <v>7721549.9907863783</v>
      </c>
      <c r="AU288" s="173">
        <f t="shared" si="221"/>
        <v>0</v>
      </c>
      <c r="AV288" s="173">
        <f t="shared" si="222"/>
        <v>8179715.9443092989</v>
      </c>
      <c r="AW288" s="173">
        <f t="shared" si="223"/>
        <v>0</v>
      </c>
      <c r="AX288" s="173">
        <f t="shared" si="224"/>
        <v>8323440.6253595315</v>
      </c>
      <c r="AY288" s="173">
        <f t="shared" si="225"/>
        <v>0</v>
      </c>
      <c r="AZ288" s="173">
        <f t="shared" si="226"/>
        <v>8477369.3739441447</v>
      </c>
      <c r="BB288" s="87" t="s">
        <v>511</v>
      </c>
      <c r="BC288" s="87" t="s">
        <v>512</v>
      </c>
      <c r="BD288" s="173">
        <f t="shared" si="227"/>
        <v>0</v>
      </c>
      <c r="BE288" s="173">
        <f t="shared" si="228"/>
        <v>7721549.9907863783</v>
      </c>
      <c r="BF288" s="173">
        <f t="shared" si="229"/>
        <v>0</v>
      </c>
      <c r="BG288" s="173">
        <f t="shared" si="230"/>
        <v>8219817.0549545931</v>
      </c>
      <c r="BH288" s="173">
        <f t="shared" si="231"/>
        <v>0</v>
      </c>
      <c r="BI288" s="173">
        <f t="shared" si="232"/>
        <v>8370489.6095611565</v>
      </c>
      <c r="BJ288" s="173">
        <f t="shared" si="233"/>
        <v>0</v>
      </c>
      <c r="BK288" s="173">
        <f t="shared" si="234"/>
        <v>8539996.9817112517</v>
      </c>
      <c r="BM288" s="87" t="s">
        <v>511</v>
      </c>
      <c r="BN288" s="87" t="s">
        <v>512</v>
      </c>
      <c r="BO288" s="173">
        <f t="shared" si="235"/>
        <v>0</v>
      </c>
      <c r="BP288" s="173">
        <f t="shared" si="236"/>
        <v>7721549.9907863783</v>
      </c>
      <c r="BQ288" s="173">
        <f t="shared" si="237"/>
        <v>0</v>
      </c>
      <c r="BR288" s="173">
        <f t="shared" si="238"/>
        <v>8176480.7770105517</v>
      </c>
      <c r="BS288" s="173">
        <f t="shared" si="239"/>
        <v>0</v>
      </c>
      <c r="BT288" s="173">
        <f t="shared" si="240"/>
        <v>8323381.8874484738</v>
      </c>
      <c r="BU288" s="173">
        <f t="shared" si="241"/>
        <v>0</v>
      </c>
      <c r="BV288" s="173">
        <f t="shared" si="242"/>
        <v>8480134.0924144071</v>
      </c>
    </row>
    <row r="289" spans="5:74">
      <c r="E289" s="87" t="s">
        <v>581</v>
      </c>
      <c r="F289" s="87" t="s">
        <v>582</v>
      </c>
      <c r="G289" s="173">
        <f>IFERROR(IF(VLOOKUP(E289,A:C,3,FALSE)="YES",VLOOKUP(E289,'School Year 2021-22 SPED coop'!A:P,16,FALSE),0),0)</f>
        <v>0</v>
      </c>
      <c r="H289" s="173">
        <f t="shared" si="243"/>
        <v>679384.48</v>
      </c>
      <c r="J289" s="87" t="s">
        <v>581</v>
      </c>
      <c r="K289" s="87" t="s">
        <v>582</v>
      </c>
      <c r="L289" s="173">
        <f t="shared" si="202"/>
        <v>0</v>
      </c>
      <c r="M289" s="173">
        <f t="shared" si="203"/>
        <v>687210.35708410887</v>
      </c>
      <c r="N289" s="173">
        <f t="shared" si="204"/>
        <v>0</v>
      </c>
      <c r="O289" s="173">
        <f t="shared" si="205"/>
        <v>710458.97795922472</v>
      </c>
      <c r="P289" s="173">
        <f t="shared" si="206"/>
        <v>0</v>
      </c>
      <c r="Q289" s="173">
        <f t="shared" si="207"/>
        <v>723608.19363916875</v>
      </c>
      <c r="R289" s="173">
        <f t="shared" si="208"/>
        <v>0</v>
      </c>
      <c r="S289" s="173">
        <f t="shared" si="209"/>
        <v>736914.28555323824</v>
      </c>
      <c r="U289" s="87" t="s">
        <v>581</v>
      </c>
      <c r="V289" s="87" t="s">
        <v>582</v>
      </c>
      <c r="W289" s="173">
        <f t="shared" si="210"/>
        <v>0</v>
      </c>
      <c r="X289" s="173">
        <f t="shared" si="244"/>
        <v>687210.35708410887</v>
      </c>
      <c r="Y289" s="173">
        <f t="shared" si="245"/>
        <v>0</v>
      </c>
      <c r="Z289" s="173">
        <f t="shared" si="246"/>
        <v>713925.95962529769</v>
      </c>
      <c r="AA289" s="173">
        <f t="shared" si="247"/>
        <v>0</v>
      </c>
      <c r="AB289" s="173">
        <f t="shared" si="248"/>
        <v>727685.95593461499</v>
      </c>
      <c r="AC289" s="173">
        <f t="shared" si="249"/>
        <v>0</v>
      </c>
      <c r="AD289" s="173">
        <f t="shared" si="250"/>
        <v>742342.87932061357</v>
      </c>
      <c r="AF289" s="87" t="s">
        <v>581</v>
      </c>
      <c r="AG289" s="87" t="s">
        <v>582</v>
      </c>
      <c r="AH289" s="173">
        <f t="shared" si="211"/>
        <v>0</v>
      </c>
      <c r="AI289" s="173">
        <f t="shared" si="212"/>
        <v>687210.35708410887</v>
      </c>
      <c r="AJ289" s="173">
        <f t="shared" si="213"/>
        <v>0</v>
      </c>
      <c r="AK289" s="173">
        <f t="shared" si="214"/>
        <v>709753.48323231936</v>
      </c>
      <c r="AL289" s="173">
        <f t="shared" si="215"/>
        <v>0</v>
      </c>
      <c r="AM289" s="173">
        <f t="shared" si="216"/>
        <v>726972.94580607861</v>
      </c>
      <c r="AN289" s="173">
        <f t="shared" si="217"/>
        <v>0</v>
      </c>
      <c r="AO289" s="173">
        <f t="shared" si="218"/>
        <v>741654.53727496625</v>
      </c>
      <c r="AQ289" s="87" t="s">
        <v>581</v>
      </c>
      <c r="AR289" s="87" t="s">
        <v>582</v>
      </c>
      <c r="AS289" s="173">
        <f t="shared" si="219"/>
        <v>0</v>
      </c>
      <c r="AT289" s="173">
        <f t="shared" si="220"/>
        <v>687210.35708410887</v>
      </c>
      <c r="AU289" s="173">
        <f t="shared" si="221"/>
        <v>0</v>
      </c>
      <c r="AV289" s="173">
        <f t="shared" si="222"/>
        <v>727947.13603543129</v>
      </c>
      <c r="AW289" s="173">
        <f t="shared" si="223"/>
        <v>0</v>
      </c>
      <c r="AX289" s="173">
        <f t="shared" si="224"/>
        <v>740716.56202016317</v>
      </c>
      <c r="AY289" s="173">
        <f t="shared" si="225"/>
        <v>0</v>
      </c>
      <c r="AZ289" s="173">
        <f t="shared" si="226"/>
        <v>754392.44018270262</v>
      </c>
      <c r="BB289" s="87" t="s">
        <v>581</v>
      </c>
      <c r="BC289" s="87" t="s">
        <v>582</v>
      </c>
      <c r="BD289" s="173">
        <f t="shared" si="227"/>
        <v>0</v>
      </c>
      <c r="BE289" s="173">
        <f t="shared" si="228"/>
        <v>687210.35708410887</v>
      </c>
      <c r="BF289" s="173">
        <f t="shared" si="229"/>
        <v>0</v>
      </c>
      <c r="BG289" s="173">
        <f t="shared" si="230"/>
        <v>731499.4498282799</v>
      </c>
      <c r="BH289" s="173">
        <f t="shared" si="231"/>
        <v>0</v>
      </c>
      <c r="BI289" s="173">
        <f t="shared" si="232"/>
        <v>744890.72959177312</v>
      </c>
      <c r="BJ289" s="173">
        <f t="shared" si="233"/>
        <v>0</v>
      </c>
      <c r="BK289" s="173">
        <f t="shared" si="234"/>
        <v>759949.78247954068</v>
      </c>
      <c r="BM289" s="87" t="s">
        <v>581</v>
      </c>
      <c r="BN289" s="87" t="s">
        <v>582</v>
      </c>
      <c r="BO289" s="173">
        <f t="shared" si="235"/>
        <v>0</v>
      </c>
      <c r="BP289" s="173">
        <f t="shared" si="236"/>
        <v>687210.35708410887</v>
      </c>
      <c r="BQ289" s="173">
        <f t="shared" si="237"/>
        <v>0</v>
      </c>
      <c r="BR289" s="173">
        <f t="shared" si="238"/>
        <v>727223.97131460416</v>
      </c>
      <c r="BS289" s="173">
        <f t="shared" si="239"/>
        <v>0</v>
      </c>
      <c r="BT289" s="173">
        <f t="shared" si="240"/>
        <v>744161.84476485616</v>
      </c>
      <c r="BU289" s="173">
        <f t="shared" si="241"/>
        <v>0</v>
      </c>
      <c r="BV289" s="173">
        <f t="shared" si="242"/>
        <v>759246.45820834511</v>
      </c>
    </row>
    <row r="290" spans="5:74">
      <c r="E290" s="87" t="s">
        <v>369</v>
      </c>
      <c r="F290" s="87" t="s">
        <v>370</v>
      </c>
      <c r="G290" s="173">
        <f>IFERROR(IF(VLOOKUP(E290,A:C,3,FALSE)="YES",VLOOKUP(E290,'School Year 2021-22 SPED coop'!A:P,16,FALSE),0),0)</f>
        <v>0</v>
      </c>
      <c r="H290" s="173">
        <f t="shared" si="243"/>
        <v>5404381.6900000004</v>
      </c>
      <c r="J290" s="87" t="s">
        <v>369</v>
      </c>
      <c r="K290" s="87" t="s">
        <v>370</v>
      </c>
      <c r="L290" s="173">
        <f t="shared" si="202"/>
        <v>0</v>
      </c>
      <c r="M290" s="173">
        <f t="shared" si="203"/>
        <v>5470475.5099328794</v>
      </c>
      <c r="N290" s="173">
        <f t="shared" si="204"/>
        <v>0</v>
      </c>
      <c r="O290" s="173">
        <f t="shared" si="205"/>
        <v>5653815.1919558719</v>
      </c>
      <c r="P290" s="173">
        <f t="shared" si="206"/>
        <v>0</v>
      </c>
      <c r="Q290" s="173">
        <f t="shared" si="207"/>
        <v>5758993.6214131834</v>
      </c>
      <c r="R290" s="173">
        <f t="shared" si="208"/>
        <v>0</v>
      </c>
      <c r="S290" s="173">
        <f t="shared" si="209"/>
        <v>5865891.2530106548</v>
      </c>
      <c r="U290" s="87" t="s">
        <v>369</v>
      </c>
      <c r="V290" s="87" t="s">
        <v>370</v>
      </c>
      <c r="W290" s="173">
        <f t="shared" si="210"/>
        <v>0</v>
      </c>
      <c r="X290" s="173">
        <f t="shared" si="244"/>
        <v>5470475.5099328794</v>
      </c>
      <c r="Y290" s="173">
        <f t="shared" si="245"/>
        <v>0</v>
      </c>
      <c r="Z290" s="173">
        <f t="shared" si="246"/>
        <v>5681533.6227020165</v>
      </c>
      <c r="AA290" s="173">
        <f t="shared" si="247"/>
        <v>0</v>
      </c>
      <c r="AB290" s="173">
        <f t="shared" si="248"/>
        <v>5791543.9384574583</v>
      </c>
      <c r="AC290" s="173">
        <f t="shared" si="249"/>
        <v>0</v>
      </c>
      <c r="AD290" s="173">
        <f t="shared" si="250"/>
        <v>5909212.5250313589</v>
      </c>
      <c r="AF290" s="87" t="s">
        <v>369</v>
      </c>
      <c r="AG290" s="87" t="s">
        <v>370</v>
      </c>
      <c r="AH290" s="173">
        <f t="shared" si="211"/>
        <v>0</v>
      </c>
      <c r="AI290" s="173">
        <f t="shared" si="212"/>
        <v>5470475.5099328794</v>
      </c>
      <c r="AJ290" s="173">
        <f t="shared" si="213"/>
        <v>0</v>
      </c>
      <c r="AK290" s="173">
        <f t="shared" si="214"/>
        <v>5639791.600744863</v>
      </c>
      <c r="AL290" s="173">
        <f t="shared" si="215"/>
        <v>0</v>
      </c>
      <c r="AM290" s="173">
        <f t="shared" si="216"/>
        <v>5744709.628725077</v>
      </c>
      <c r="AN290" s="173">
        <f t="shared" si="217"/>
        <v>0</v>
      </c>
      <c r="AO290" s="173">
        <f t="shared" si="218"/>
        <v>5851343.0568084102</v>
      </c>
      <c r="AQ290" s="87" t="s">
        <v>369</v>
      </c>
      <c r="AR290" s="87" t="s">
        <v>370</v>
      </c>
      <c r="AS290" s="173">
        <f t="shared" si="219"/>
        <v>0</v>
      </c>
      <c r="AT290" s="173">
        <f t="shared" si="220"/>
        <v>5470475.5099328794</v>
      </c>
      <c r="AU290" s="173">
        <f t="shared" si="221"/>
        <v>0</v>
      </c>
      <c r="AV290" s="173">
        <f t="shared" si="222"/>
        <v>5794166.5361948777</v>
      </c>
      <c r="AW290" s="173">
        <f t="shared" si="223"/>
        <v>0</v>
      </c>
      <c r="AX290" s="173">
        <f t="shared" si="224"/>
        <v>5896752.565162681</v>
      </c>
      <c r="AY290" s="173">
        <f t="shared" si="225"/>
        <v>0</v>
      </c>
      <c r="AZ290" s="173">
        <f t="shared" si="226"/>
        <v>6006621.7154836003</v>
      </c>
      <c r="BB290" s="87" t="s">
        <v>369</v>
      </c>
      <c r="BC290" s="87" t="s">
        <v>370</v>
      </c>
      <c r="BD290" s="173">
        <f t="shared" si="227"/>
        <v>0</v>
      </c>
      <c r="BE290" s="173">
        <f t="shared" si="228"/>
        <v>5470475.5099328794</v>
      </c>
      <c r="BF290" s="173">
        <f t="shared" si="229"/>
        <v>0</v>
      </c>
      <c r="BG290" s="173">
        <f t="shared" si="230"/>
        <v>5822573.0534187686</v>
      </c>
      <c r="BH290" s="173">
        <f t="shared" si="231"/>
        <v>0</v>
      </c>
      <c r="BI290" s="173">
        <f t="shared" si="232"/>
        <v>5930081.5077072466</v>
      </c>
      <c r="BJ290" s="173">
        <f t="shared" si="233"/>
        <v>0</v>
      </c>
      <c r="BK290" s="173">
        <f t="shared" si="234"/>
        <v>6050982.3189439327</v>
      </c>
      <c r="BM290" s="87" t="s">
        <v>369</v>
      </c>
      <c r="BN290" s="87" t="s">
        <v>370</v>
      </c>
      <c r="BO290" s="173">
        <f t="shared" si="235"/>
        <v>0</v>
      </c>
      <c r="BP290" s="173">
        <f t="shared" si="236"/>
        <v>5470475.5099328794</v>
      </c>
      <c r="BQ290" s="173">
        <f t="shared" si="237"/>
        <v>0</v>
      </c>
      <c r="BR290" s="173">
        <f t="shared" si="238"/>
        <v>5779788.0137368506</v>
      </c>
      <c r="BS290" s="173">
        <f t="shared" si="239"/>
        <v>0</v>
      </c>
      <c r="BT290" s="173">
        <f t="shared" si="240"/>
        <v>5882120.348785501</v>
      </c>
      <c r="BU290" s="173">
        <f t="shared" si="241"/>
        <v>0</v>
      </c>
      <c r="BV290" s="173">
        <f t="shared" si="242"/>
        <v>5991717.7835686477</v>
      </c>
    </row>
    <row r="291" spans="5:74">
      <c r="E291" s="87" t="s">
        <v>489</v>
      </c>
      <c r="F291" s="87" t="s">
        <v>490</v>
      </c>
      <c r="G291" s="173">
        <f>IFERROR(IF(VLOOKUP(E291,A:C,3,FALSE)="YES",VLOOKUP(E291,'School Year 2021-22 SPED coop'!A:P,16,FALSE),0),0)</f>
        <v>0</v>
      </c>
      <c r="H291" s="173">
        <f t="shared" si="243"/>
        <v>953433.27</v>
      </c>
      <c r="J291" s="87" t="s">
        <v>489</v>
      </c>
      <c r="K291" s="87" t="s">
        <v>490</v>
      </c>
      <c r="L291" s="173">
        <f t="shared" si="202"/>
        <v>0</v>
      </c>
      <c r="M291" s="173">
        <f t="shared" si="203"/>
        <v>964206.36550334364</v>
      </c>
      <c r="N291" s="173">
        <f t="shared" si="204"/>
        <v>0</v>
      </c>
      <c r="O291" s="173">
        <f t="shared" si="205"/>
        <v>996934.2569275503</v>
      </c>
      <c r="P291" s="173">
        <f t="shared" si="206"/>
        <v>0</v>
      </c>
      <c r="Q291" s="173">
        <f t="shared" si="207"/>
        <v>1015421.8729794584</v>
      </c>
      <c r="R291" s="173">
        <f t="shared" si="208"/>
        <v>0</v>
      </c>
      <c r="S291" s="173">
        <f t="shared" si="209"/>
        <v>1034159.727299715</v>
      </c>
      <c r="U291" s="87" t="s">
        <v>489</v>
      </c>
      <c r="V291" s="87" t="s">
        <v>490</v>
      </c>
      <c r="W291" s="173">
        <f t="shared" si="210"/>
        <v>0</v>
      </c>
      <c r="X291" s="173">
        <f t="shared" si="244"/>
        <v>964206.36550334364</v>
      </c>
      <c r="Y291" s="173">
        <f t="shared" si="245"/>
        <v>0</v>
      </c>
      <c r="Z291" s="173">
        <f t="shared" si="246"/>
        <v>1001815.4419806228</v>
      </c>
      <c r="AA291" s="173">
        <f t="shared" si="247"/>
        <v>0</v>
      </c>
      <c r="AB291" s="173">
        <f t="shared" si="248"/>
        <v>1021158.0844835074</v>
      </c>
      <c r="AC291" s="173">
        <f t="shared" si="249"/>
        <v>0</v>
      </c>
      <c r="AD291" s="173">
        <f t="shared" si="250"/>
        <v>1041797.7089227249</v>
      </c>
      <c r="AF291" s="87" t="s">
        <v>489</v>
      </c>
      <c r="AG291" s="87" t="s">
        <v>490</v>
      </c>
      <c r="AH291" s="173">
        <f t="shared" si="211"/>
        <v>0</v>
      </c>
      <c r="AI291" s="173">
        <f t="shared" si="212"/>
        <v>964206.36550334364</v>
      </c>
      <c r="AJ291" s="173">
        <f t="shared" si="213"/>
        <v>0</v>
      </c>
      <c r="AK291" s="173">
        <f t="shared" si="214"/>
        <v>996517.74747020891</v>
      </c>
      <c r="AL291" s="173">
        <f t="shared" si="215"/>
        <v>0</v>
      </c>
      <c r="AM291" s="173">
        <f t="shared" si="216"/>
        <v>1017318.4907685511</v>
      </c>
      <c r="AN291" s="173">
        <f t="shared" si="217"/>
        <v>0</v>
      </c>
      <c r="AO291" s="173">
        <f t="shared" si="218"/>
        <v>1037406.1694728888</v>
      </c>
      <c r="AQ291" s="87" t="s">
        <v>489</v>
      </c>
      <c r="AR291" s="87" t="s">
        <v>490</v>
      </c>
      <c r="AS291" s="173">
        <f t="shared" si="219"/>
        <v>0</v>
      </c>
      <c r="AT291" s="173">
        <f t="shared" si="220"/>
        <v>964206.36550334364</v>
      </c>
      <c r="AU291" s="173">
        <f t="shared" si="221"/>
        <v>0</v>
      </c>
      <c r="AV291" s="173">
        <f t="shared" si="222"/>
        <v>1021474.4290196993</v>
      </c>
      <c r="AW291" s="173">
        <f t="shared" si="223"/>
        <v>0</v>
      </c>
      <c r="AX291" s="173">
        <f t="shared" si="224"/>
        <v>1039454.9545493317</v>
      </c>
      <c r="AY291" s="173">
        <f t="shared" si="225"/>
        <v>0</v>
      </c>
      <c r="AZ291" s="173">
        <f t="shared" si="226"/>
        <v>1058712.2684915217</v>
      </c>
      <c r="BB291" s="87" t="s">
        <v>489</v>
      </c>
      <c r="BC291" s="87" t="s">
        <v>490</v>
      </c>
      <c r="BD291" s="173">
        <f t="shared" si="227"/>
        <v>0</v>
      </c>
      <c r="BE291" s="173">
        <f t="shared" si="228"/>
        <v>964206.36550334364</v>
      </c>
      <c r="BF291" s="173">
        <f t="shared" si="229"/>
        <v>0</v>
      </c>
      <c r="BG291" s="173">
        <f t="shared" si="230"/>
        <v>1026475.7640182729</v>
      </c>
      <c r="BH291" s="173">
        <f t="shared" si="231"/>
        <v>0</v>
      </c>
      <c r="BI291" s="173">
        <f t="shared" si="232"/>
        <v>1045326.9297998414</v>
      </c>
      <c r="BJ291" s="173">
        <f t="shared" si="233"/>
        <v>0</v>
      </c>
      <c r="BK291" s="173">
        <f t="shared" si="234"/>
        <v>1066531.5872897732</v>
      </c>
      <c r="BM291" s="87" t="s">
        <v>489</v>
      </c>
      <c r="BN291" s="87" t="s">
        <v>490</v>
      </c>
      <c r="BO291" s="173">
        <f t="shared" si="235"/>
        <v>0</v>
      </c>
      <c r="BP291" s="173">
        <f t="shared" si="236"/>
        <v>964206.36550334364</v>
      </c>
      <c r="BQ291" s="173">
        <f t="shared" si="237"/>
        <v>0</v>
      </c>
      <c r="BR291" s="173">
        <f t="shared" si="238"/>
        <v>1021047.0867573563</v>
      </c>
      <c r="BS291" s="173">
        <f t="shared" si="239"/>
        <v>0</v>
      </c>
      <c r="BT291" s="173">
        <f t="shared" si="240"/>
        <v>1041395.9244045744</v>
      </c>
      <c r="BU291" s="173">
        <f t="shared" si="241"/>
        <v>0</v>
      </c>
      <c r="BV291" s="173">
        <f t="shared" si="242"/>
        <v>1062035.3411448968</v>
      </c>
    </row>
    <row r="292" spans="5:74">
      <c r="E292" s="87" t="s">
        <v>55</v>
      </c>
      <c r="F292" s="87" t="s">
        <v>56</v>
      </c>
      <c r="G292" s="173">
        <f>IFERROR(IF(VLOOKUP(E292,A:C,3,FALSE)="YES",VLOOKUP(E292,'School Year 2021-22 SPED coop'!A:P,16,FALSE),0),0)</f>
        <v>0</v>
      </c>
      <c r="H292" s="173">
        <f t="shared" si="243"/>
        <v>27554802.770000003</v>
      </c>
      <c r="J292" s="87" t="s">
        <v>55</v>
      </c>
      <c r="K292" s="87" t="s">
        <v>56</v>
      </c>
      <c r="L292" s="173">
        <f t="shared" si="202"/>
        <v>0</v>
      </c>
      <c r="M292" s="173">
        <f t="shared" si="203"/>
        <v>27866759.31251619</v>
      </c>
      <c r="N292" s="173">
        <f t="shared" si="204"/>
        <v>0</v>
      </c>
      <c r="O292" s="173">
        <f t="shared" si="205"/>
        <v>28803995.590222139</v>
      </c>
      <c r="P292" s="173">
        <f t="shared" si="206"/>
        <v>0</v>
      </c>
      <c r="Q292" s="173">
        <f t="shared" si="207"/>
        <v>29339087.221246302</v>
      </c>
      <c r="R292" s="173">
        <f t="shared" si="208"/>
        <v>0</v>
      </c>
      <c r="S292" s="173">
        <f t="shared" si="209"/>
        <v>29882295.890252169</v>
      </c>
      <c r="U292" s="87" t="s">
        <v>55</v>
      </c>
      <c r="V292" s="87" t="s">
        <v>56</v>
      </c>
      <c r="W292" s="173">
        <f t="shared" si="210"/>
        <v>0</v>
      </c>
      <c r="X292" s="173">
        <f t="shared" si="244"/>
        <v>27866759.31251619</v>
      </c>
      <c r="Y292" s="173">
        <f t="shared" si="245"/>
        <v>0</v>
      </c>
      <c r="Z292" s="173">
        <f t="shared" si="246"/>
        <v>28945206.233460512</v>
      </c>
      <c r="AA292" s="173">
        <f t="shared" si="247"/>
        <v>0</v>
      </c>
      <c r="AB292" s="173">
        <f t="shared" si="248"/>
        <v>29504919.050232142</v>
      </c>
      <c r="AC292" s="173">
        <f t="shared" si="249"/>
        <v>0</v>
      </c>
      <c r="AD292" s="173">
        <f t="shared" si="250"/>
        <v>30103021.327330388</v>
      </c>
      <c r="AF292" s="87" t="s">
        <v>55</v>
      </c>
      <c r="AG292" s="87" t="s">
        <v>56</v>
      </c>
      <c r="AH292" s="173">
        <f t="shared" si="211"/>
        <v>0</v>
      </c>
      <c r="AI292" s="173">
        <f t="shared" si="212"/>
        <v>27866759.31251619</v>
      </c>
      <c r="AJ292" s="173">
        <f t="shared" si="213"/>
        <v>0</v>
      </c>
      <c r="AK292" s="173">
        <f t="shared" si="214"/>
        <v>28983242.464683544</v>
      </c>
      <c r="AL292" s="173">
        <f t="shared" si="215"/>
        <v>0</v>
      </c>
      <c r="AM292" s="173">
        <f t="shared" si="216"/>
        <v>29593295.387099095</v>
      </c>
      <c r="AN292" s="173">
        <f t="shared" si="217"/>
        <v>0</v>
      </c>
      <c r="AO292" s="173">
        <f t="shared" si="218"/>
        <v>30273330.115559854</v>
      </c>
      <c r="AQ292" s="87" t="s">
        <v>55</v>
      </c>
      <c r="AR292" s="87" t="s">
        <v>56</v>
      </c>
      <c r="AS292" s="173">
        <f t="shared" si="219"/>
        <v>0</v>
      </c>
      <c r="AT292" s="173">
        <f t="shared" si="220"/>
        <v>27866759.31251619</v>
      </c>
      <c r="AU292" s="173">
        <f t="shared" si="221"/>
        <v>0</v>
      </c>
      <c r="AV292" s="173">
        <f t="shared" si="222"/>
        <v>29516910.312657848</v>
      </c>
      <c r="AW292" s="173">
        <f t="shared" si="223"/>
        <v>0</v>
      </c>
      <c r="AX292" s="173">
        <f t="shared" si="224"/>
        <v>30038199.671428502</v>
      </c>
      <c r="AY292" s="173">
        <f t="shared" si="225"/>
        <v>0</v>
      </c>
      <c r="AZ292" s="173">
        <f t="shared" si="226"/>
        <v>30596498.355645724</v>
      </c>
      <c r="BB292" s="87" t="s">
        <v>55</v>
      </c>
      <c r="BC292" s="87" t="s">
        <v>56</v>
      </c>
      <c r="BD292" s="173">
        <f t="shared" si="227"/>
        <v>0</v>
      </c>
      <c r="BE292" s="173">
        <f t="shared" si="228"/>
        <v>27866759.31251619</v>
      </c>
      <c r="BF292" s="173">
        <f t="shared" si="229"/>
        <v>0</v>
      </c>
      <c r="BG292" s="173">
        <f t="shared" si="230"/>
        <v>29661615.990187477</v>
      </c>
      <c r="BH292" s="173">
        <f t="shared" si="231"/>
        <v>0</v>
      </c>
      <c r="BI292" s="173">
        <f t="shared" si="232"/>
        <v>30207983.062232155</v>
      </c>
      <c r="BJ292" s="173">
        <f t="shared" si="233"/>
        <v>0</v>
      </c>
      <c r="BK292" s="173">
        <f t="shared" si="234"/>
        <v>30822499.250355873</v>
      </c>
      <c r="BM292" s="87" t="s">
        <v>55</v>
      </c>
      <c r="BN292" s="87" t="s">
        <v>56</v>
      </c>
      <c r="BO292" s="173">
        <f t="shared" si="235"/>
        <v>0</v>
      </c>
      <c r="BP292" s="173">
        <f t="shared" si="236"/>
        <v>27866759.31251619</v>
      </c>
      <c r="BQ292" s="173">
        <f t="shared" si="237"/>
        <v>0</v>
      </c>
      <c r="BR292" s="173">
        <f t="shared" si="238"/>
        <v>29700660.917360291</v>
      </c>
      <c r="BS292" s="173">
        <f t="shared" si="239"/>
        <v>0</v>
      </c>
      <c r="BT292" s="173">
        <f t="shared" si="240"/>
        <v>30298536.034880087</v>
      </c>
      <c r="BU292" s="173">
        <f t="shared" si="241"/>
        <v>0</v>
      </c>
      <c r="BV292" s="173">
        <f t="shared" si="242"/>
        <v>30996994.894131377</v>
      </c>
    </row>
    <row r="293" spans="5:74">
      <c r="E293" s="87" t="s">
        <v>193</v>
      </c>
      <c r="F293" s="87" t="s">
        <v>194</v>
      </c>
      <c r="G293" s="173">
        <f>IFERROR(IF(VLOOKUP(E293,A:C,3,FALSE)="YES",VLOOKUP(E293,'School Year 2021-22 SPED coop'!A:P,16,FALSE),0),0)</f>
        <v>0</v>
      </c>
      <c r="H293" s="173">
        <f t="shared" si="243"/>
        <v>1644314.03</v>
      </c>
      <c r="J293" s="87" t="s">
        <v>193</v>
      </c>
      <c r="K293" s="87" t="s">
        <v>194</v>
      </c>
      <c r="L293" s="173">
        <f t="shared" si="202"/>
        <v>0</v>
      </c>
      <c r="M293" s="173">
        <f t="shared" si="203"/>
        <v>1662721.4245707518</v>
      </c>
      <c r="N293" s="173">
        <f t="shared" si="204"/>
        <v>0</v>
      </c>
      <c r="O293" s="173">
        <f t="shared" si="205"/>
        <v>1718347.6888335869</v>
      </c>
      <c r="P293" s="173">
        <f t="shared" si="206"/>
        <v>0</v>
      </c>
      <c r="Q293" s="173">
        <f t="shared" si="207"/>
        <v>1750363.0417805915</v>
      </c>
      <c r="R293" s="173">
        <f t="shared" si="208"/>
        <v>0</v>
      </c>
      <c r="S293" s="173">
        <f t="shared" si="209"/>
        <v>1782946.4809817399</v>
      </c>
      <c r="U293" s="87" t="s">
        <v>193</v>
      </c>
      <c r="V293" s="87" t="s">
        <v>194</v>
      </c>
      <c r="W293" s="173">
        <f t="shared" si="210"/>
        <v>0</v>
      </c>
      <c r="X293" s="173">
        <f t="shared" si="244"/>
        <v>1662721.4245707518</v>
      </c>
      <c r="Y293" s="173">
        <f t="shared" si="245"/>
        <v>0</v>
      </c>
      <c r="Z293" s="173">
        <f t="shared" si="246"/>
        <v>1726762.0223042737</v>
      </c>
      <c r="AA293" s="173">
        <f t="shared" si="247"/>
        <v>0</v>
      </c>
      <c r="AB293" s="173">
        <f t="shared" si="248"/>
        <v>1760253.261680932</v>
      </c>
      <c r="AC293" s="173">
        <f t="shared" si="249"/>
        <v>0</v>
      </c>
      <c r="AD293" s="173">
        <f t="shared" si="250"/>
        <v>1796115.0532354766</v>
      </c>
      <c r="AF293" s="87" t="s">
        <v>193</v>
      </c>
      <c r="AG293" s="87" t="s">
        <v>194</v>
      </c>
      <c r="AH293" s="173">
        <f t="shared" si="211"/>
        <v>0</v>
      </c>
      <c r="AI293" s="173">
        <f t="shared" si="212"/>
        <v>1662721.4245707518</v>
      </c>
      <c r="AJ293" s="173">
        <f t="shared" si="213"/>
        <v>0</v>
      </c>
      <c r="AK293" s="173">
        <f t="shared" si="214"/>
        <v>1721093.6463960772</v>
      </c>
      <c r="AL293" s="173">
        <f t="shared" si="215"/>
        <v>0</v>
      </c>
      <c r="AM293" s="173">
        <f t="shared" si="216"/>
        <v>1749643.3790752934</v>
      </c>
      <c r="AN293" s="173">
        <f t="shared" si="217"/>
        <v>0</v>
      </c>
      <c r="AO293" s="173">
        <f t="shared" si="218"/>
        <v>1781894.8661135857</v>
      </c>
      <c r="AQ293" s="87" t="s">
        <v>193</v>
      </c>
      <c r="AR293" s="87" t="s">
        <v>194</v>
      </c>
      <c r="AS293" s="173">
        <f t="shared" si="219"/>
        <v>0</v>
      </c>
      <c r="AT293" s="173">
        <f t="shared" si="220"/>
        <v>1662721.4245707518</v>
      </c>
      <c r="AU293" s="173">
        <f t="shared" si="221"/>
        <v>0</v>
      </c>
      <c r="AV293" s="173">
        <f t="shared" si="222"/>
        <v>1761079.2754505777</v>
      </c>
      <c r="AW293" s="173">
        <f t="shared" si="223"/>
        <v>0</v>
      </c>
      <c r="AX293" s="173">
        <f t="shared" si="224"/>
        <v>1792347.7939930088</v>
      </c>
      <c r="AY293" s="173">
        <f t="shared" si="225"/>
        <v>0</v>
      </c>
      <c r="AZ293" s="173">
        <f t="shared" si="226"/>
        <v>1825836.3288799217</v>
      </c>
      <c r="BB293" s="87" t="s">
        <v>193</v>
      </c>
      <c r="BC293" s="87" t="s">
        <v>194</v>
      </c>
      <c r="BD293" s="173">
        <f t="shared" si="227"/>
        <v>0</v>
      </c>
      <c r="BE293" s="173">
        <f t="shared" si="228"/>
        <v>1662721.4245707518</v>
      </c>
      <c r="BF293" s="173">
        <f t="shared" si="229"/>
        <v>0</v>
      </c>
      <c r="BG293" s="173">
        <f t="shared" si="230"/>
        <v>1769702.8490045201</v>
      </c>
      <c r="BH293" s="173">
        <f t="shared" si="231"/>
        <v>0</v>
      </c>
      <c r="BI293" s="173">
        <f t="shared" si="232"/>
        <v>1802475.2422626512</v>
      </c>
      <c r="BJ293" s="173">
        <f t="shared" si="233"/>
        <v>0</v>
      </c>
      <c r="BK293" s="173">
        <f t="shared" si="234"/>
        <v>1839321.6786978373</v>
      </c>
      <c r="BM293" s="87" t="s">
        <v>193</v>
      </c>
      <c r="BN293" s="87" t="s">
        <v>194</v>
      </c>
      <c r="BO293" s="173">
        <f t="shared" si="235"/>
        <v>0</v>
      </c>
      <c r="BP293" s="173">
        <f t="shared" si="236"/>
        <v>1662721.4245707518</v>
      </c>
      <c r="BQ293" s="173">
        <f t="shared" si="237"/>
        <v>0</v>
      </c>
      <c r="BR293" s="173">
        <f t="shared" si="238"/>
        <v>1763894.8010283601</v>
      </c>
      <c r="BS293" s="173">
        <f t="shared" si="239"/>
        <v>0</v>
      </c>
      <c r="BT293" s="173">
        <f t="shared" si="240"/>
        <v>1791610.6769625184</v>
      </c>
      <c r="BU293" s="173">
        <f t="shared" si="241"/>
        <v>0</v>
      </c>
      <c r="BV293" s="173">
        <f t="shared" si="242"/>
        <v>1824758.9394613295</v>
      </c>
    </row>
    <row r="294" spans="5:74">
      <c r="E294" s="87" t="s">
        <v>1024</v>
      </c>
      <c r="F294" s="87" t="s">
        <v>1044</v>
      </c>
      <c r="G294" s="173">
        <f>IFERROR(IF(VLOOKUP(E294,A:C,3,FALSE)="YES",VLOOKUP(E294,'School Year 2021-22 SPED coop'!A:P,16,FALSE),0),0)</f>
        <v>0</v>
      </c>
      <c r="H294" s="173">
        <f t="shared" si="243"/>
        <v>151672</v>
      </c>
      <c r="J294" s="87" t="s">
        <v>1024</v>
      </c>
      <c r="K294" s="87" t="s">
        <v>1044</v>
      </c>
      <c r="L294" s="173">
        <f t="shared" si="202"/>
        <v>0</v>
      </c>
      <c r="M294" s="173">
        <f t="shared" si="203"/>
        <v>153391.91466490593</v>
      </c>
      <c r="N294" s="173">
        <f t="shared" si="204"/>
        <v>0</v>
      </c>
      <c r="O294" s="173">
        <f t="shared" si="205"/>
        <v>157430.99622740204</v>
      </c>
      <c r="P294" s="173">
        <f t="shared" si="206"/>
        <v>0</v>
      </c>
      <c r="Q294" s="173">
        <f t="shared" si="207"/>
        <v>160349.1685761477</v>
      </c>
      <c r="R294" s="173">
        <f t="shared" si="208"/>
        <v>0</v>
      </c>
      <c r="S294" s="173">
        <f t="shared" si="209"/>
        <v>163306.08183512426</v>
      </c>
      <c r="U294" s="87" t="s">
        <v>1024</v>
      </c>
      <c r="V294" s="87" t="s">
        <v>1044</v>
      </c>
      <c r="W294" s="173">
        <f t="shared" si="210"/>
        <v>0</v>
      </c>
      <c r="X294" s="173">
        <f t="shared" si="244"/>
        <v>153391.91466490593</v>
      </c>
      <c r="Y294" s="173">
        <f t="shared" si="245"/>
        <v>0</v>
      </c>
      <c r="Z294" s="173">
        <f t="shared" si="246"/>
        <v>158202.01707310753</v>
      </c>
      <c r="AA294" s="173">
        <f t="shared" si="247"/>
        <v>0</v>
      </c>
      <c r="AB294" s="173">
        <f t="shared" si="248"/>
        <v>161249.12907838885</v>
      </c>
      <c r="AC294" s="173">
        <f t="shared" si="249"/>
        <v>0</v>
      </c>
      <c r="AD294" s="173">
        <f t="shared" si="250"/>
        <v>164517.36872285765</v>
      </c>
      <c r="AF294" s="87" t="s">
        <v>1024</v>
      </c>
      <c r="AG294" s="87" t="s">
        <v>1044</v>
      </c>
      <c r="AH294" s="173">
        <f t="shared" si="211"/>
        <v>0</v>
      </c>
      <c r="AI294" s="173">
        <f t="shared" si="212"/>
        <v>153391.91466490593</v>
      </c>
      <c r="AJ294" s="173">
        <f t="shared" si="213"/>
        <v>0</v>
      </c>
      <c r="AK294" s="173">
        <f t="shared" si="214"/>
        <v>157430.99622740204</v>
      </c>
      <c r="AL294" s="173">
        <f t="shared" si="215"/>
        <v>0</v>
      </c>
      <c r="AM294" s="173">
        <f t="shared" si="216"/>
        <v>160349.1685761477</v>
      </c>
      <c r="AN294" s="173">
        <f t="shared" si="217"/>
        <v>0</v>
      </c>
      <c r="AO294" s="173">
        <f t="shared" si="218"/>
        <v>163306.08183512426</v>
      </c>
      <c r="AQ294" s="87" t="s">
        <v>1024</v>
      </c>
      <c r="AR294" s="87" t="s">
        <v>1044</v>
      </c>
      <c r="AS294" s="173">
        <f t="shared" si="219"/>
        <v>0</v>
      </c>
      <c r="AT294" s="173">
        <f t="shared" si="220"/>
        <v>153391.91466490593</v>
      </c>
      <c r="AU294" s="173">
        <f t="shared" si="221"/>
        <v>0</v>
      </c>
      <c r="AV294" s="173">
        <f t="shared" si="222"/>
        <v>161317.42044659707</v>
      </c>
      <c r="AW294" s="173">
        <f t="shared" si="223"/>
        <v>0</v>
      </c>
      <c r="AX294" s="173">
        <f t="shared" si="224"/>
        <v>164155.1006939259</v>
      </c>
      <c r="AY294" s="173">
        <f t="shared" si="225"/>
        <v>0</v>
      </c>
      <c r="AZ294" s="173">
        <f t="shared" si="226"/>
        <v>167194.21788343875</v>
      </c>
      <c r="BB294" s="87" t="s">
        <v>1024</v>
      </c>
      <c r="BC294" s="87" t="s">
        <v>1044</v>
      </c>
      <c r="BD294" s="173">
        <f t="shared" si="227"/>
        <v>0</v>
      </c>
      <c r="BE294" s="173">
        <f t="shared" si="228"/>
        <v>153391.91466490593</v>
      </c>
      <c r="BF294" s="173">
        <f t="shared" si="229"/>
        <v>0</v>
      </c>
      <c r="BG294" s="173">
        <f t="shared" si="230"/>
        <v>162107.47465931487</v>
      </c>
      <c r="BH294" s="173">
        <f t="shared" si="231"/>
        <v>0</v>
      </c>
      <c r="BI294" s="173">
        <f t="shared" si="232"/>
        <v>165076.4188445895</v>
      </c>
      <c r="BJ294" s="173">
        <f t="shared" si="233"/>
        <v>0</v>
      </c>
      <c r="BK294" s="173">
        <f t="shared" si="234"/>
        <v>168434.34672068912</v>
      </c>
      <c r="BM294" s="87" t="s">
        <v>1024</v>
      </c>
      <c r="BN294" s="87" t="s">
        <v>1044</v>
      </c>
      <c r="BO294" s="173">
        <f t="shared" si="235"/>
        <v>0</v>
      </c>
      <c r="BP294" s="173">
        <f t="shared" si="236"/>
        <v>153391.91466490593</v>
      </c>
      <c r="BQ294" s="173">
        <f t="shared" si="237"/>
        <v>0</v>
      </c>
      <c r="BR294" s="173">
        <f t="shared" si="238"/>
        <v>161317.42044659707</v>
      </c>
      <c r="BS294" s="173">
        <f t="shared" si="239"/>
        <v>0</v>
      </c>
      <c r="BT294" s="173">
        <f t="shared" si="240"/>
        <v>164155.1006939259</v>
      </c>
      <c r="BU294" s="173">
        <f t="shared" si="241"/>
        <v>0</v>
      </c>
      <c r="BV294" s="173">
        <f t="shared" si="242"/>
        <v>167194.21788343875</v>
      </c>
    </row>
    <row r="295" spans="5:74">
      <c r="E295" s="87" t="s">
        <v>523</v>
      </c>
      <c r="F295" s="87" t="s">
        <v>524</v>
      </c>
      <c r="G295" s="173">
        <f>IFERROR(IF(VLOOKUP(E295,A:C,3,FALSE)="YES",VLOOKUP(E295,'School Year 2021-22 SPED coop'!A:P,16,FALSE),0),0)</f>
        <v>616873.13</v>
      </c>
      <c r="H295" s="173">
        <f t="shared" si="243"/>
        <v>0</v>
      </c>
      <c r="J295" s="87" t="s">
        <v>523</v>
      </c>
      <c r="K295" s="87" t="s">
        <v>524</v>
      </c>
      <c r="L295" s="173">
        <f t="shared" si="202"/>
        <v>577579.01062242058</v>
      </c>
      <c r="M295" s="173">
        <f t="shared" si="203"/>
        <v>0</v>
      </c>
      <c r="N295" s="173">
        <f t="shared" si="204"/>
        <v>597077.73854898161</v>
      </c>
      <c r="O295" s="173">
        <f t="shared" si="205"/>
        <v>0</v>
      </c>
      <c r="P295" s="173">
        <f t="shared" si="206"/>
        <v>608155.79247283447</v>
      </c>
      <c r="Q295" s="173">
        <f t="shared" si="207"/>
        <v>0</v>
      </c>
      <c r="R295" s="173">
        <f t="shared" si="208"/>
        <v>619388.77548938582</v>
      </c>
      <c r="S295" s="173">
        <f t="shared" si="209"/>
        <v>0</v>
      </c>
      <c r="U295" s="87" t="s">
        <v>523</v>
      </c>
      <c r="V295" s="87" t="s">
        <v>524</v>
      </c>
      <c r="W295" s="173">
        <f t="shared" si="210"/>
        <v>577579.01062242058</v>
      </c>
      <c r="X295" s="173">
        <f t="shared" si="244"/>
        <v>0</v>
      </c>
      <c r="Y295" s="173">
        <f t="shared" si="245"/>
        <v>600018.03905952792</v>
      </c>
      <c r="Z295" s="173">
        <f t="shared" si="246"/>
        <v>0</v>
      </c>
      <c r="AA295" s="173">
        <f t="shared" si="247"/>
        <v>611607.3428810616</v>
      </c>
      <c r="AB295" s="173">
        <f t="shared" si="248"/>
        <v>0</v>
      </c>
      <c r="AC295" s="173">
        <f t="shared" si="249"/>
        <v>623981.78458260861</v>
      </c>
      <c r="AD295" s="173">
        <f t="shared" si="250"/>
        <v>0</v>
      </c>
      <c r="AF295" s="87" t="s">
        <v>523</v>
      </c>
      <c r="AG295" s="87" t="s">
        <v>524</v>
      </c>
      <c r="AH295" s="173">
        <f t="shared" si="211"/>
        <v>577579.01062242058</v>
      </c>
      <c r="AI295" s="173">
        <f t="shared" si="212"/>
        <v>0</v>
      </c>
      <c r="AJ295" s="173">
        <f t="shared" si="213"/>
        <v>591841.4529116503</v>
      </c>
      <c r="AK295" s="173">
        <f t="shared" si="214"/>
        <v>0</v>
      </c>
      <c r="AL295" s="173">
        <f t="shared" si="215"/>
        <v>604113.30434401787</v>
      </c>
      <c r="AM295" s="173">
        <f t="shared" si="216"/>
        <v>0</v>
      </c>
      <c r="AN295" s="173">
        <f t="shared" si="217"/>
        <v>617308.8744158356</v>
      </c>
      <c r="AO295" s="173">
        <f t="shared" si="218"/>
        <v>0</v>
      </c>
      <c r="AQ295" s="87" t="s">
        <v>523</v>
      </c>
      <c r="AR295" s="87" t="s">
        <v>524</v>
      </c>
      <c r="AS295" s="173">
        <f t="shared" si="219"/>
        <v>577579.01062242058</v>
      </c>
      <c r="AT295" s="173">
        <f t="shared" si="220"/>
        <v>0</v>
      </c>
      <c r="AU295" s="173">
        <f t="shared" si="221"/>
        <v>611822.05784570135</v>
      </c>
      <c r="AV295" s="173">
        <f t="shared" si="222"/>
        <v>0</v>
      </c>
      <c r="AW295" s="173">
        <f t="shared" si="223"/>
        <v>622601.73402195622</v>
      </c>
      <c r="AX295" s="173">
        <f t="shared" si="224"/>
        <v>0</v>
      </c>
      <c r="AY295" s="173">
        <f t="shared" si="225"/>
        <v>634146.7329045441</v>
      </c>
      <c r="AZ295" s="173">
        <f t="shared" si="226"/>
        <v>0</v>
      </c>
      <c r="BB295" s="87" t="s">
        <v>523</v>
      </c>
      <c r="BC295" s="87" t="s">
        <v>524</v>
      </c>
      <c r="BD295" s="173">
        <f t="shared" si="227"/>
        <v>577579.01062242058</v>
      </c>
      <c r="BE295" s="173">
        <f t="shared" si="228"/>
        <v>0</v>
      </c>
      <c r="BF295" s="173">
        <f t="shared" si="229"/>
        <v>614834.9737750839</v>
      </c>
      <c r="BG295" s="173">
        <f t="shared" si="230"/>
        <v>0</v>
      </c>
      <c r="BH295" s="173">
        <f t="shared" si="231"/>
        <v>626135.27884756227</v>
      </c>
      <c r="BI295" s="173">
        <f t="shared" si="232"/>
        <v>0</v>
      </c>
      <c r="BJ295" s="173">
        <f t="shared" si="233"/>
        <v>638849.18741490622</v>
      </c>
      <c r="BK295" s="173">
        <f t="shared" si="234"/>
        <v>0</v>
      </c>
      <c r="BM295" s="87" t="s">
        <v>523</v>
      </c>
      <c r="BN295" s="87" t="s">
        <v>524</v>
      </c>
      <c r="BO295" s="173">
        <f t="shared" si="235"/>
        <v>577579.01062242058</v>
      </c>
      <c r="BP295" s="173">
        <f t="shared" si="236"/>
        <v>0</v>
      </c>
      <c r="BQ295" s="173">
        <f t="shared" si="237"/>
        <v>606454.47189005371</v>
      </c>
      <c r="BR295" s="173">
        <f t="shared" si="238"/>
        <v>0</v>
      </c>
      <c r="BS295" s="173">
        <f t="shared" si="239"/>
        <v>618461.71928447753</v>
      </c>
      <c r="BT295" s="173">
        <f t="shared" si="240"/>
        <v>0</v>
      </c>
      <c r="BU295" s="173">
        <f t="shared" si="241"/>
        <v>632015.8892650028</v>
      </c>
      <c r="BV295" s="173">
        <f t="shared" si="242"/>
        <v>0</v>
      </c>
    </row>
    <row r="296" spans="5:74">
      <c r="E296" s="87" t="s">
        <v>121</v>
      </c>
      <c r="F296" s="87" t="s">
        <v>122</v>
      </c>
      <c r="G296" s="173">
        <f>IFERROR(IF(VLOOKUP(E296,A:C,3,FALSE)="YES",VLOOKUP(E296,'School Year 2021-22 SPED coop'!A:P,16,FALSE),0),0)</f>
        <v>0</v>
      </c>
      <c r="H296" s="173">
        <f t="shared" si="243"/>
        <v>2725323.18</v>
      </c>
      <c r="J296" s="87" t="s">
        <v>121</v>
      </c>
      <c r="K296" s="87" t="s">
        <v>122</v>
      </c>
      <c r="L296" s="173">
        <f t="shared" si="202"/>
        <v>0</v>
      </c>
      <c r="M296" s="173">
        <f t="shared" si="203"/>
        <v>2756880.9249971621</v>
      </c>
      <c r="N296" s="173">
        <f t="shared" si="204"/>
        <v>0</v>
      </c>
      <c r="O296" s="173">
        <f t="shared" si="205"/>
        <v>2850338.6106821345</v>
      </c>
      <c r="P296" s="173">
        <f t="shared" si="206"/>
        <v>0</v>
      </c>
      <c r="Q296" s="173">
        <f t="shared" si="207"/>
        <v>2903133.4691670211</v>
      </c>
      <c r="R296" s="173">
        <f t="shared" si="208"/>
        <v>0</v>
      </c>
      <c r="S296" s="173">
        <f t="shared" si="209"/>
        <v>2956591.5127565828</v>
      </c>
      <c r="U296" s="87" t="s">
        <v>121</v>
      </c>
      <c r="V296" s="87" t="s">
        <v>122</v>
      </c>
      <c r="W296" s="173">
        <f t="shared" si="210"/>
        <v>0</v>
      </c>
      <c r="X296" s="173">
        <f t="shared" si="244"/>
        <v>2756880.9249971621</v>
      </c>
      <c r="Y296" s="173">
        <f t="shared" si="245"/>
        <v>0</v>
      </c>
      <c r="Z296" s="173">
        <f t="shared" si="246"/>
        <v>2864311.5659778393</v>
      </c>
      <c r="AA296" s="173">
        <f t="shared" si="247"/>
        <v>0</v>
      </c>
      <c r="AB296" s="173">
        <f t="shared" si="248"/>
        <v>2919547.9269489716</v>
      </c>
      <c r="AC296" s="173">
        <f t="shared" si="249"/>
        <v>0</v>
      </c>
      <c r="AD296" s="173">
        <f t="shared" si="250"/>
        <v>2978436.0232169605</v>
      </c>
      <c r="AF296" s="87" t="s">
        <v>121</v>
      </c>
      <c r="AG296" s="87" t="s">
        <v>122</v>
      </c>
      <c r="AH296" s="173">
        <f t="shared" si="211"/>
        <v>0</v>
      </c>
      <c r="AI296" s="173">
        <f t="shared" si="212"/>
        <v>2756880.9249971621</v>
      </c>
      <c r="AJ296" s="173">
        <f t="shared" si="213"/>
        <v>0</v>
      </c>
      <c r="AK296" s="173">
        <f t="shared" si="214"/>
        <v>2860054.422738323</v>
      </c>
      <c r="AL296" s="173">
        <f t="shared" si="215"/>
        <v>0</v>
      </c>
      <c r="AM296" s="173">
        <f t="shared" si="216"/>
        <v>2913450.6666958132</v>
      </c>
      <c r="AN296" s="173">
        <f t="shared" si="217"/>
        <v>0</v>
      </c>
      <c r="AO296" s="173">
        <f t="shared" si="218"/>
        <v>2967109.113109218</v>
      </c>
      <c r="AQ296" s="87" t="s">
        <v>121</v>
      </c>
      <c r="AR296" s="87" t="s">
        <v>122</v>
      </c>
      <c r="AS296" s="173">
        <f t="shared" si="219"/>
        <v>0</v>
      </c>
      <c r="AT296" s="173">
        <f t="shared" si="220"/>
        <v>2756880.9249971621</v>
      </c>
      <c r="AU296" s="173">
        <f t="shared" si="221"/>
        <v>0</v>
      </c>
      <c r="AV296" s="173">
        <f t="shared" si="222"/>
        <v>2920487.9973870134</v>
      </c>
      <c r="AW296" s="173">
        <f t="shared" si="223"/>
        <v>0</v>
      </c>
      <c r="AX296" s="173">
        <f t="shared" si="224"/>
        <v>2971787.9409650834</v>
      </c>
      <c r="AY296" s="173">
        <f t="shared" si="225"/>
        <v>0</v>
      </c>
      <c r="AZ296" s="173">
        <f t="shared" si="226"/>
        <v>3026729.8990369574</v>
      </c>
      <c r="BB296" s="87" t="s">
        <v>121</v>
      </c>
      <c r="BC296" s="87" t="s">
        <v>122</v>
      </c>
      <c r="BD296" s="173">
        <f t="shared" si="227"/>
        <v>0</v>
      </c>
      <c r="BE296" s="173">
        <f t="shared" si="228"/>
        <v>2756880.9249971621</v>
      </c>
      <c r="BF296" s="173">
        <f t="shared" si="229"/>
        <v>0</v>
      </c>
      <c r="BG296" s="173">
        <f t="shared" si="230"/>
        <v>2934804.8385960273</v>
      </c>
      <c r="BH296" s="173">
        <f t="shared" si="231"/>
        <v>0</v>
      </c>
      <c r="BI296" s="173">
        <f t="shared" si="232"/>
        <v>2988590.5773444031</v>
      </c>
      <c r="BJ296" s="173">
        <f t="shared" si="233"/>
        <v>0</v>
      </c>
      <c r="BK296" s="173">
        <f t="shared" si="234"/>
        <v>3049092.6238049096</v>
      </c>
      <c r="BM296" s="87" t="s">
        <v>121</v>
      </c>
      <c r="BN296" s="87" t="s">
        <v>122</v>
      </c>
      <c r="BO296" s="173">
        <f t="shared" si="235"/>
        <v>0</v>
      </c>
      <c r="BP296" s="173">
        <f t="shared" si="236"/>
        <v>2756880.9249971621</v>
      </c>
      <c r="BQ296" s="173">
        <f t="shared" si="237"/>
        <v>0</v>
      </c>
      <c r="BR296" s="173">
        <f t="shared" si="238"/>
        <v>2930446.7862299145</v>
      </c>
      <c r="BS296" s="173">
        <f t="shared" si="239"/>
        <v>0</v>
      </c>
      <c r="BT296" s="173">
        <f t="shared" si="240"/>
        <v>2982352.3260032632</v>
      </c>
      <c r="BU296" s="173">
        <f t="shared" si="241"/>
        <v>0</v>
      </c>
      <c r="BV296" s="173">
        <f t="shared" si="242"/>
        <v>3037500.3487359663</v>
      </c>
    </row>
    <row r="297" spans="5:74">
      <c r="E297" s="87" t="s">
        <v>535</v>
      </c>
      <c r="F297" s="87" t="s">
        <v>536</v>
      </c>
      <c r="G297" s="173">
        <f>IFERROR(IF(VLOOKUP(E297,A:C,3,FALSE)="YES",VLOOKUP(E297,'School Year 2021-22 SPED coop'!A:P,16,FALSE),0),0)</f>
        <v>0</v>
      </c>
      <c r="H297" s="173">
        <f t="shared" si="243"/>
        <v>219650.01</v>
      </c>
      <c r="J297" s="87" t="s">
        <v>535</v>
      </c>
      <c r="K297" s="87" t="s">
        <v>536</v>
      </c>
      <c r="L297" s="173">
        <f t="shared" si="202"/>
        <v>0</v>
      </c>
      <c r="M297" s="173">
        <f t="shared" si="203"/>
        <v>222056.15772976269</v>
      </c>
      <c r="N297" s="173">
        <f t="shared" si="204"/>
        <v>0</v>
      </c>
      <c r="O297" s="173">
        <f t="shared" si="205"/>
        <v>229583.78102487404</v>
      </c>
      <c r="P297" s="173">
        <f t="shared" si="206"/>
        <v>0</v>
      </c>
      <c r="Q297" s="173">
        <f t="shared" si="207"/>
        <v>233836.05923087965</v>
      </c>
      <c r="R297" s="173">
        <f t="shared" si="208"/>
        <v>0</v>
      </c>
      <c r="S297" s="173">
        <f t="shared" si="209"/>
        <v>238141.63463675012</v>
      </c>
      <c r="U297" s="87" t="s">
        <v>535</v>
      </c>
      <c r="V297" s="87" t="s">
        <v>536</v>
      </c>
      <c r="W297" s="173">
        <f t="shared" si="210"/>
        <v>0</v>
      </c>
      <c r="X297" s="173">
        <f t="shared" si="244"/>
        <v>222056.15772976269</v>
      </c>
      <c r="Y297" s="173">
        <f t="shared" si="245"/>
        <v>0</v>
      </c>
      <c r="Z297" s="173">
        <f t="shared" si="246"/>
        <v>230712.34216102536</v>
      </c>
      <c r="AA297" s="173">
        <f t="shared" si="247"/>
        <v>0</v>
      </c>
      <c r="AB297" s="173">
        <f t="shared" si="248"/>
        <v>235161.28517626441</v>
      </c>
      <c r="AC297" s="173">
        <f t="shared" si="249"/>
        <v>0</v>
      </c>
      <c r="AD297" s="173">
        <f t="shared" si="250"/>
        <v>239909.5256961112</v>
      </c>
      <c r="AF297" s="87" t="s">
        <v>535</v>
      </c>
      <c r="AG297" s="87" t="s">
        <v>536</v>
      </c>
      <c r="AH297" s="173">
        <f t="shared" si="211"/>
        <v>0</v>
      </c>
      <c r="AI297" s="173">
        <f t="shared" si="212"/>
        <v>222056.15772976269</v>
      </c>
      <c r="AJ297" s="173">
        <f t="shared" si="213"/>
        <v>0</v>
      </c>
      <c r="AK297" s="173">
        <f t="shared" si="214"/>
        <v>228248.5961615718</v>
      </c>
      <c r="AL297" s="173">
        <f t="shared" si="215"/>
        <v>0</v>
      </c>
      <c r="AM297" s="173">
        <f t="shared" si="216"/>
        <v>234426.76974147846</v>
      </c>
      <c r="AN297" s="173">
        <f t="shared" si="217"/>
        <v>0</v>
      </c>
      <c r="AO297" s="173">
        <f t="shared" si="218"/>
        <v>239302.12159646477</v>
      </c>
      <c r="AQ297" s="87" t="s">
        <v>535</v>
      </c>
      <c r="AR297" s="87" t="s">
        <v>536</v>
      </c>
      <c r="AS297" s="173">
        <f t="shared" si="219"/>
        <v>0</v>
      </c>
      <c r="AT297" s="173">
        <f t="shared" si="220"/>
        <v>222056.15772976269</v>
      </c>
      <c r="AU297" s="173">
        <f t="shared" si="221"/>
        <v>0</v>
      </c>
      <c r="AV297" s="173">
        <f t="shared" si="222"/>
        <v>235234.0121720453</v>
      </c>
      <c r="AW297" s="173">
        <f t="shared" si="223"/>
        <v>0</v>
      </c>
      <c r="AX297" s="173">
        <f t="shared" si="224"/>
        <v>239365.77748392298</v>
      </c>
      <c r="AY297" s="173">
        <f t="shared" si="225"/>
        <v>0</v>
      </c>
      <c r="AZ297" s="173">
        <f t="shared" si="226"/>
        <v>243790.87331417843</v>
      </c>
      <c r="BB297" s="87" t="s">
        <v>535</v>
      </c>
      <c r="BC297" s="87" t="s">
        <v>536</v>
      </c>
      <c r="BD297" s="173">
        <f t="shared" si="227"/>
        <v>0</v>
      </c>
      <c r="BE297" s="173">
        <f t="shared" si="228"/>
        <v>222056.15772976269</v>
      </c>
      <c r="BF297" s="173">
        <f t="shared" si="229"/>
        <v>0</v>
      </c>
      <c r="BG297" s="173">
        <f t="shared" si="230"/>
        <v>236390.34962562096</v>
      </c>
      <c r="BH297" s="173">
        <f t="shared" si="231"/>
        <v>0</v>
      </c>
      <c r="BI297" s="173">
        <f t="shared" si="232"/>
        <v>240722.34388047759</v>
      </c>
      <c r="BJ297" s="173">
        <f t="shared" si="233"/>
        <v>0</v>
      </c>
      <c r="BK297" s="173">
        <f t="shared" si="234"/>
        <v>245600.70691552921</v>
      </c>
      <c r="BM297" s="87" t="s">
        <v>535</v>
      </c>
      <c r="BN297" s="87" t="s">
        <v>536</v>
      </c>
      <c r="BO297" s="173">
        <f t="shared" si="235"/>
        <v>0</v>
      </c>
      <c r="BP297" s="173">
        <f t="shared" si="236"/>
        <v>222056.15772976269</v>
      </c>
      <c r="BQ297" s="173">
        <f t="shared" si="237"/>
        <v>0</v>
      </c>
      <c r="BR297" s="173">
        <f t="shared" si="238"/>
        <v>233865.65045988385</v>
      </c>
      <c r="BS297" s="173">
        <f t="shared" si="239"/>
        <v>0</v>
      </c>
      <c r="BT297" s="173">
        <f t="shared" si="240"/>
        <v>239971.06174999895</v>
      </c>
      <c r="BU297" s="173">
        <f t="shared" si="241"/>
        <v>0</v>
      </c>
      <c r="BV297" s="173">
        <f t="shared" si="242"/>
        <v>244979.4877491387</v>
      </c>
    </row>
    <row r="298" spans="5:74">
      <c r="E298" s="87" t="s">
        <v>527</v>
      </c>
      <c r="F298" s="87" t="s">
        <v>528</v>
      </c>
      <c r="G298" s="173">
        <f>IFERROR(IF(VLOOKUP(E298,A:C,3,FALSE)="YES",VLOOKUP(E298,'School Year 2021-22 SPED coop'!A:P,16,FALSE),0),0)</f>
        <v>0</v>
      </c>
      <c r="H298" s="173">
        <f t="shared" si="243"/>
        <v>6854927.4800000004</v>
      </c>
      <c r="J298" s="87" t="s">
        <v>527</v>
      </c>
      <c r="K298" s="87" t="s">
        <v>528</v>
      </c>
      <c r="L298" s="173">
        <f t="shared" si="202"/>
        <v>0</v>
      </c>
      <c r="M298" s="173">
        <f t="shared" si="203"/>
        <v>6935711.3390098158</v>
      </c>
      <c r="N298" s="173">
        <f t="shared" si="204"/>
        <v>0</v>
      </c>
      <c r="O298" s="173">
        <f t="shared" si="205"/>
        <v>7169812.5039745755</v>
      </c>
      <c r="P298" s="173">
        <f t="shared" si="206"/>
        <v>0</v>
      </c>
      <c r="Q298" s="173">
        <f t="shared" si="207"/>
        <v>7302835.2743933359</v>
      </c>
      <c r="R298" s="173">
        <f t="shared" si="208"/>
        <v>0</v>
      </c>
      <c r="S298" s="173">
        <f t="shared" si="209"/>
        <v>7437714.7651323061</v>
      </c>
      <c r="U298" s="87" t="s">
        <v>527</v>
      </c>
      <c r="V298" s="87" t="s">
        <v>528</v>
      </c>
      <c r="W298" s="173">
        <f t="shared" si="210"/>
        <v>0</v>
      </c>
      <c r="X298" s="173">
        <f t="shared" si="244"/>
        <v>6935711.3390098158</v>
      </c>
      <c r="Y298" s="173">
        <f t="shared" si="245"/>
        <v>0</v>
      </c>
      <c r="Z298" s="173">
        <f t="shared" si="246"/>
        <v>7204981.1283906093</v>
      </c>
      <c r="AA298" s="173">
        <f t="shared" si="247"/>
        <v>0</v>
      </c>
      <c r="AB298" s="173">
        <f t="shared" si="248"/>
        <v>7344109.3413476683</v>
      </c>
      <c r="AC298" s="173">
        <f t="shared" si="249"/>
        <v>0</v>
      </c>
      <c r="AD298" s="173">
        <f t="shared" si="250"/>
        <v>7492660.2306955028</v>
      </c>
      <c r="AF298" s="87" t="s">
        <v>527</v>
      </c>
      <c r="AG298" s="87" t="s">
        <v>528</v>
      </c>
      <c r="AH298" s="173">
        <f t="shared" si="211"/>
        <v>0</v>
      </c>
      <c r="AI298" s="173">
        <f t="shared" si="212"/>
        <v>6935711.3390098158</v>
      </c>
      <c r="AJ298" s="173">
        <f t="shared" si="213"/>
        <v>0</v>
      </c>
      <c r="AK298" s="173">
        <f t="shared" si="214"/>
        <v>7186905.9218813721</v>
      </c>
      <c r="AL298" s="173">
        <f t="shared" si="215"/>
        <v>0</v>
      </c>
      <c r="AM298" s="173">
        <f t="shared" si="216"/>
        <v>7328840.9486034298</v>
      </c>
      <c r="AN298" s="173">
        <f t="shared" si="217"/>
        <v>0</v>
      </c>
      <c r="AO298" s="173">
        <f t="shared" si="218"/>
        <v>7459856.7894695112</v>
      </c>
      <c r="AQ298" s="87" t="s">
        <v>527</v>
      </c>
      <c r="AR298" s="87" t="s">
        <v>528</v>
      </c>
      <c r="AS298" s="173">
        <f t="shared" si="219"/>
        <v>0</v>
      </c>
      <c r="AT298" s="173">
        <f t="shared" si="220"/>
        <v>6935711.3390098158</v>
      </c>
      <c r="AU298" s="173">
        <f t="shared" si="221"/>
        <v>0</v>
      </c>
      <c r="AV298" s="173">
        <f t="shared" si="222"/>
        <v>7346871.1220459631</v>
      </c>
      <c r="AW298" s="173">
        <f t="shared" si="223"/>
        <v>0</v>
      </c>
      <c r="AX298" s="173">
        <f t="shared" si="224"/>
        <v>7476307.8631754275</v>
      </c>
      <c r="AY298" s="173">
        <f t="shared" si="225"/>
        <v>0</v>
      </c>
      <c r="AZ298" s="173">
        <f t="shared" si="226"/>
        <v>7614934.1621567383</v>
      </c>
      <c r="BB298" s="87" t="s">
        <v>527</v>
      </c>
      <c r="BC298" s="87" t="s">
        <v>528</v>
      </c>
      <c r="BD298" s="173">
        <f t="shared" si="227"/>
        <v>0</v>
      </c>
      <c r="BE298" s="173">
        <f t="shared" si="228"/>
        <v>6935711.3390098158</v>
      </c>
      <c r="BF298" s="173">
        <f t="shared" si="229"/>
        <v>0</v>
      </c>
      <c r="BG298" s="173">
        <f t="shared" si="230"/>
        <v>7382908.2449984038</v>
      </c>
      <c r="BH298" s="173">
        <f t="shared" si="231"/>
        <v>0</v>
      </c>
      <c r="BI298" s="173">
        <f t="shared" si="232"/>
        <v>7518562.3594833268</v>
      </c>
      <c r="BJ298" s="173">
        <f t="shared" si="233"/>
        <v>0</v>
      </c>
      <c r="BK298" s="173">
        <f t="shared" si="234"/>
        <v>7671188.8251556586</v>
      </c>
      <c r="BM298" s="87" t="s">
        <v>527</v>
      </c>
      <c r="BN298" s="87" t="s">
        <v>528</v>
      </c>
      <c r="BO298" s="173">
        <f t="shared" si="235"/>
        <v>0</v>
      </c>
      <c r="BP298" s="173">
        <f t="shared" si="236"/>
        <v>6935711.3390098158</v>
      </c>
      <c r="BQ298" s="173">
        <f t="shared" si="237"/>
        <v>0</v>
      </c>
      <c r="BR298" s="173">
        <f t="shared" si="238"/>
        <v>7364394.0553361503</v>
      </c>
      <c r="BS298" s="173">
        <f t="shared" si="239"/>
        <v>0</v>
      </c>
      <c r="BT298" s="173">
        <f t="shared" si="240"/>
        <v>7502940.6840436375</v>
      </c>
      <c r="BU298" s="173">
        <f t="shared" si="241"/>
        <v>0</v>
      </c>
      <c r="BV298" s="173">
        <f t="shared" si="242"/>
        <v>7637610.7334434744</v>
      </c>
    </row>
    <row r="299" spans="5:74">
      <c r="E299" s="87" t="s">
        <v>605</v>
      </c>
      <c r="F299" s="87" t="s">
        <v>606</v>
      </c>
      <c r="G299" s="173">
        <f>IFERROR(IF(VLOOKUP(E299,A:C,3,FALSE)="YES",VLOOKUP(E299,'School Year 2021-22 SPED coop'!A:P,16,FALSE),0),0)</f>
        <v>0</v>
      </c>
      <c r="H299" s="173">
        <f t="shared" si="243"/>
        <v>3535248.1999999997</v>
      </c>
      <c r="J299" s="87" t="s">
        <v>605</v>
      </c>
      <c r="K299" s="87" t="s">
        <v>606</v>
      </c>
      <c r="L299" s="173">
        <f t="shared" si="202"/>
        <v>0</v>
      </c>
      <c r="M299" s="173">
        <f t="shared" si="203"/>
        <v>3575710.517867256</v>
      </c>
      <c r="N299" s="173">
        <f t="shared" si="204"/>
        <v>0</v>
      </c>
      <c r="O299" s="173">
        <f t="shared" si="205"/>
        <v>3696876.0242721275</v>
      </c>
      <c r="P299" s="173">
        <f t="shared" si="206"/>
        <v>0</v>
      </c>
      <c r="Q299" s="173">
        <f t="shared" si="207"/>
        <v>3765347.647354966</v>
      </c>
      <c r="R299" s="173">
        <f t="shared" si="208"/>
        <v>0</v>
      </c>
      <c r="S299" s="173">
        <f t="shared" si="209"/>
        <v>3834676.8124045674</v>
      </c>
      <c r="U299" s="87" t="s">
        <v>605</v>
      </c>
      <c r="V299" s="87" t="s">
        <v>606</v>
      </c>
      <c r="W299" s="173">
        <f t="shared" si="210"/>
        <v>0</v>
      </c>
      <c r="X299" s="173">
        <f t="shared" si="244"/>
        <v>3575710.517867256</v>
      </c>
      <c r="Y299" s="173">
        <f t="shared" si="245"/>
        <v>0</v>
      </c>
      <c r="Z299" s="173">
        <f t="shared" si="246"/>
        <v>3715003.8440593453</v>
      </c>
      <c r="AA299" s="173">
        <f t="shared" si="247"/>
        <v>0</v>
      </c>
      <c r="AB299" s="173">
        <f t="shared" si="248"/>
        <v>3786631.1830266649</v>
      </c>
      <c r="AC299" s="173">
        <f t="shared" si="249"/>
        <v>0</v>
      </c>
      <c r="AD299" s="173">
        <f t="shared" si="250"/>
        <v>3862997.4375163587</v>
      </c>
      <c r="AF299" s="87" t="s">
        <v>605</v>
      </c>
      <c r="AG299" s="87" t="s">
        <v>606</v>
      </c>
      <c r="AH299" s="173">
        <f t="shared" si="211"/>
        <v>0</v>
      </c>
      <c r="AI299" s="173">
        <f t="shared" si="212"/>
        <v>3575710.517867256</v>
      </c>
      <c r="AJ299" s="173">
        <f t="shared" si="213"/>
        <v>0</v>
      </c>
      <c r="AK299" s="173">
        <f t="shared" si="214"/>
        <v>3685476.4776472948</v>
      </c>
      <c r="AL299" s="173">
        <f t="shared" si="215"/>
        <v>0</v>
      </c>
      <c r="AM299" s="173">
        <f t="shared" si="216"/>
        <v>3753258.816533945</v>
      </c>
      <c r="AN299" s="173">
        <f t="shared" si="217"/>
        <v>0</v>
      </c>
      <c r="AO299" s="173">
        <f t="shared" si="218"/>
        <v>3839829.9839796182</v>
      </c>
      <c r="AQ299" s="87" t="s">
        <v>605</v>
      </c>
      <c r="AR299" s="87" t="s">
        <v>606</v>
      </c>
      <c r="AS299" s="173">
        <f t="shared" si="219"/>
        <v>0</v>
      </c>
      <c r="AT299" s="173">
        <f t="shared" si="220"/>
        <v>3575710.517867256</v>
      </c>
      <c r="AU299" s="173">
        <f t="shared" si="221"/>
        <v>0</v>
      </c>
      <c r="AV299" s="173">
        <f t="shared" si="222"/>
        <v>3787867.0721616908</v>
      </c>
      <c r="AW299" s="173">
        <f t="shared" si="223"/>
        <v>0</v>
      </c>
      <c r="AX299" s="173">
        <f t="shared" si="224"/>
        <v>3854397.6934710559</v>
      </c>
      <c r="AY299" s="173">
        <f t="shared" si="225"/>
        <v>0</v>
      </c>
      <c r="AZ299" s="173">
        <f t="shared" si="226"/>
        <v>3925651.6121264156</v>
      </c>
      <c r="BB299" s="87" t="s">
        <v>605</v>
      </c>
      <c r="BC299" s="87" t="s">
        <v>606</v>
      </c>
      <c r="BD299" s="173">
        <f t="shared" si="227"/>
        <v>0</v>
      </c>
      <c r="BE299" s="173">
        <f t="shared" si="228"/>
        <v>3575710.517867256</v>
      </c>
      <c r="BF299" s="173">
        <f t="shared" si="229"/>
        <v>0</v>
      </c>
      <c r="BG299" s="173">
        <f t="shared" si="230"/>
        <v>3806441.0724905478</v>
      </c>
      <c r="BH299" s="173">
        <f t="shared" si="231"/>
        <v>0</v>
      </c>
      <c r="BI299" s="173">
        <f t="shared" si="232"/>
        <v>3876184.5832530139</v>
      </c>
      <c r="BJ299" s="173">
        <f t="shared" si="233"/>
        <v>0</v>
      </c>
      <c r="BK299" s="173">
        <f t="shared" si="234"/>
        <v>3954644.1211167788</v>
      </c>
      <c r="BM299" s="87" t="s">
        <v>605</v>
      </c>
      <c r="BN299" s="87" t="s">
        <v>606</v>
      </c>
      <c r="BO299" s="173">
        <f t="shared" si="235"/>
        <v>0</v>
      </c>
      <c r="BP299" s="173">
        <f t="shared" si="236"/>
        <v>3575710.517867256</v>
      </c>
      <c r="BQ299" s="173">
        <f t="shared" si="237"/>
        <v>0</v>
      </c>
      <c r="BR299" s="173">
        <f t="shared" si="238"/>
        <v>3776185.2762213564</v>
      </c>
      <c r="BS299" s="173">
        <f t="shared" si="239"/>
        <v>0</v>
      </c>
      <c r="BT299" s="173">
        <f t="shared" si="240"/>
        <v>3842026.2757486776</v>
      </c>
      <c r="BU299" s="173">
        <f t="shared" si="241"/>
        <v>0</v>
      </c>
      <c r="BV299" s="173">
        <f t="shared" si="242"/>
        <v>3930936.1767673506</v>
      </c>
    </row>
    <row r="300" spans="5:74">
      <c r="E300" s="87" t="s">
        <v>125</v>
      </c>
      <c r="F300" s="87" t="s">
        <v>126</v>
      </c>
      <c r="G300" s="173">
        <f>IFERROR(IF(VLOOKUP(E300,A:C,3,FALSE)="YES",VLOOKUP(E300,'School Year 2021-22 SPED coop'!A:P,16,FALSE),0),0)</f>
        <v>0</v>
      </c>
      <c r="H300" s="173">
        <f t="shared" si="243"/>
        <v>1093988.5900000001</v>
      </c>
      <c r="J300" s="87" t="s">
        <v>125</v>
      </c>
      <c r="K300" s="87" t="s">
        <v>126</v>
      </c>
      <c r="L300" s="173">
        <f t="shared" si="202"/>
        <v>0</v>
      </c>
      <c r="M300" s="173">
        <f t="shared" si="203"/>
        <v>1106431.2426925588</v>
      </c>
      <c r="N300" s="173">
        <f t="shared" si="204"/>
        <v>0</v>
      </c>
      <c r="O300" s="173">
        <f t="shared" si="205"/>
        <v>1143942.8291921434</v>
      </c>
      <c r="P300" s="173">
        <f t="shared" si="206"/>
        <v>0</v>
      </c>
      <c r="Q300" s="173">
        <f t="shared" si="207"/>
        <v>1165132.1930644177</v>
      </c>
      <c r="R300" s="173">
        <f t="shared" si="208"/>
        <v>0</v>
      </c>
      <c r="S300" s="173">
        <f t="shared" si="209"/>
        <v>1186588.4628820103</v>
      </c>
      <c r="U300" s="87" t="s">
        <v>125</v>
      </c>
      <c r="V300" s="87" t="s">
        <v>126</v>
      </c>
      <c r="W300" s="173">
        <f t="shared" si="210"/>
        <v>0</v>
      </c>
      <c r="X300" s="173">
        <f t="shared" si="244"/>
        <v>1106431.2426925588</v>
      </c>
      <c r="Y300" s="173">
        <f t="shared" si="245"/>
        <v>0</v>
      </c>
      <c r="Z300" s="173">
        <f t="shared" si="246"/>
        <v>1149553.4396174452</v>
      </c>
      <c r="AA300" s="173">
        <f t="shared" si="247"/>
        <v>0</v>
      </c>
      <c r="AB300" s="173">
        <f t="shared" si="248"/>
        <v>1171721.7117393541</v>
      </c>
      <c r="AC300" s="173">
        <f t="shared" si="249"/>
        <v>0</v>
      </c>
      <c r="AD300" s="173">
        <f t="shared" si="250"/>
        <v>1195343.7312399899</v>
      </c>
      <c r="AF300" s="87" t="s">
        <v>125</v>
      </c>
      <c r="AG300" s="87" t="s">
        <v>126</v>
      </c>
      <c r="AH300" s="173">
        <f t="shared" si="211"/>
        <v>0</v>
      </c>
      <c r="AI300" s="173">
        <f t="shared" si="212"/>
        <v>1106431.2426925588</v>
      </c>
      <c r="AJ300" s="173">
        <f t="shared" si="213"/>
        <v>0</v>
      </c>
      <c r="AK300" s="173">
        <f t="shared" si="214"/>
        <v>1144925.2041306261</v>
      </c>
      <c r="AL300" s="173">
        <f t="shared" si="215"/>
        <v>0</v>
      </c>
      <c r="AM300" s="173">
        <f t="shared" si="216"/>
        <v>1169423.5702950188</v>
      </c>
      <c r="AN300" s="173">
        <f t="shared" si="217"/>
        <v>0</v>
      </c>
      <c r="AO300" s="173">
        <f t="shared" si="218"/>
        <v>1197777.4189640002</v>
      </c>
      <c r="AQ300" s="87" t="s">
        <v>125</v>
      </c>
      <c r="AR300" s="87" t="s">
        <v>126</v>
      </c>
      <c r="AS300" s="173">
        <f t="shared" si="219"/>
        <v>0</v>
      </c>
      <c r="AT300" s="173">
        <f t="shared" si="220"/>
        <v>1106431.2426925588</v>
      </c>
      <c r="AU300" s="173">
        <f t="shared" si="221"/>
        <v>0</v>
      </c>
      <c r="AV300" s="173">
        <f t="shared" si="222"/>
        <v>1172096.142571273</v>
      </c>
      <c r="AW300" s="173">
        <f t="shared" si="223"/>
        <v>0</v>
      </c>
      <c r="AX300" s="173">
        <f t="shared" si="224"/>
        <v>1192686.1814190436</v>
      </c>
      <c r="AY300" s="173">
        <f t="shared" si="225"/>
        <v>0</v>
      </c>
      <c r="AZ300" s="173">
        <f t="shared" si="226"/>
        <v>1214738.0094819216</v>
      </c>
      <c r="BB300" s="87" t="s">
        <v>125</v>
      </c>
      <c r="BC300" s="87" t="s">
        <v>126</v>
      </c>
      <c r="BD300" s="173">
        <f t="shared" si="227"/>
        <v>0</v>
      </c>
      <c r="BE300" s="173">
        <f t="shared" si="228"/>
        <v>1106431.2426925588</v>
      </c>
      <c r="BF300" s="173">
        <f t="shared" si="229"/>
        <v>0</v>
      </c>
      <c r="BG300" s="173">
        <f t="shared" si="230"/>
        <v>1177844.8354997619</v>
      </c>
      <c r="BH300" s="173">
        <f t="shared" si="231"/>
        <v>0</v>
      </c>
      <c r="BI300" s="173">
        <f t="shared" si="232"/>
        <v>1199431.5363750784</v>
      </c>
      <c r="BJ300" s="173">
        <f t="shared" si="233"/>
        <v>0</v>
      </c>
      <c r="BK300" s="173">
        <f t="shared" si="234"/>
        <v>1223700.9754781451</v>
      </c>
      <c r="BM300" s="87" t="s">
        <v>125</v>
      </c>
      <c r="BN300" s="87" t="s">
        <v>126</v>
      </c>
      <c r="BO300" s="173">
        <f t="shared" si="235"/>
        <v>0</v>
      </c>
      <c r="BP300" s="173">
        <f t="shared" si="236"/>
        <v>1106431.2426925588</v>
      </c>
      <c r="BQ300" s="173">
        <f t="shared" si="237"/>
        <v>0</v>
      </c>
      <c r="BR300" s="173">
        <f t="shared" si="238"/>
        <v>1173104.4317909251</v>
      </c>
      <c r="BS300" s="173">
        <f t="shared" si="239"/>
        <v>0</v>
      </c>
      <c r="BT300" s="173">
        <f t="shared" si="240"/>
        <v>1197083.1770100917</v>
      </c>
      <c r="BU300" s="173">
        <f t="shared" si="241"/>
        <v>0</v>
      </c>
      <c r="BV300" s="173">
        <f t="shared" si="242"/>
        <v>1226198.0637356688</v>
      </c>
    </row>
    <row r="301" spans="5:74">
      <c r="E301" s="87" t="s">
        <v>63</v>
      </c>
      <c r="F301" s="87" t="s">
        <v>64</v>
      </c>
      <c r="G301" s="173">
        <f>IFERROR(IF(VLOOKUP(E301,A:C,3,FALSE)="YES",VLOOKUP(E301,'School Year 2021-22 SPED coop'!A:P,16,FALSE),0),0)</f>
        <v>0</v>
      </c>
      <c r="H301" s="173">
        <f t="shared" si="243"/>
        <v>3917756.02</v>
      </c>
      <c r="J301" s="87" t="s">
        <v>63</v>
      </c>
      <c r="K301" s="87" t="s">
        <v>64</v>
      </c>
      <c r="L301" s="173">
        <f t="shared" si="202"/>
        <v>0</v>
      </c>
      <c r="M301" s="173">
        <f t="shared" si="203"/>
        <v>3961546.6971979942</v>
      </c>
      <c r="N301" s="173">
        <f t="shared" si="204"/>
        <v>0</v>
      </c>
      <c r="O301" s="173">
        <f t="shared" si="205"/>
        <v>4094822.7688228791</v>
      </c>
      <c r="P301" s="173">
        <f t="shared" si="206"/>
        <v>0</v>
      </c>
      <c r="Q301" s="173">
        <f t="shared" si="207"/>
        <v>4170896.0267001218</v>
      </c>
      <c r="R301" s="173">
        <f t="shared" si="208"/>
        <v>0</v>
      </c>
      <c r="S301" s="173">
        <f t="shared" si="209"/>
        <v>4248126.390739169</v>
      </c>
      <c r="U301" s="87" t="s">
        <v>63</v>
      </c>
      <c r="V301" s="87" t="s">
        <v>64</v>
      </c>
      <c r="W301" s="173">
        <f t="shared" si="210"/>
        <v>0</v>
      </c>
      <c r="X301" s="173">
        <f t="shared" si="244"/>
        <v>3961546.6971979942</v>
      </c>
      <c r="Y301" s="173">
        <f t="shared" si="245"/>
        <v>0</v>
      </c>
      <c r="Z301" s="173">
        <f t="shared" si="246"/>
        <v>4114916.014053171</v>
      </c>
      <c r="AA301" s="173">
        <f t="shared" si="247"/>
        <v>0</v>
      </c>
      <c r="AB301" s="173">
        <f t="shared" si="248"/>
        <v>4194482.8051436953</v>
      </c>
      <c r="AC301" s="173">
        <f t="shared" si="249"/>
        <v>0</v>
      </c>
      <c r="AD301" s="173">
        <f t="shared" si="250"/>
        <v>4279507.630200726</v>
      </c>
      <c r="AF301" s="87" t="s">
        <v>63</v>
      </c>
      <c r="AG301" s="87" t="s">
        <v>64</v>
      </c>
      <c r="AH301" s="173">
        <f t="shared" si="211"/>
        <v>0</v>
      </c>
      <c r="AI301" s="173">
        <f t="shared" si="212"/>
        <v>3961546.6971979942</v>
      </c>
      <c r="AJ301" s="173">
        <f t="shared" si="213"/>
        <v>0</v>
      </c>
      <c r="AK301" s="173">
        <f t="shared" si="214"/>
        <v>4099168.6888648476</v>
      </c>
      <c r="AL301" s="173">
        <f t="shared" si="215"/>
        <v>0</v>
      </c>
      <c r="AM301" s="173">
        <f t="shared" si="216"/>
        <v>4190752.8233090169</v>
      </c>
      <c r="AN301" s="173">
        <f t="shared" si="217"/>
        <v>0</v>
      </c>
      <c r="AO301" s="173">
        <f t="shared" si="218"/>
        <v>4296124.8692386132</v>
      </c>
      <c r="AQ301" s="87" t="s">
        <v>63</v>
      </c>
      <c r="AR301" s="87" t="s">
        <v>64</v>
      </c>
      <c r="AS301" s="173">
        <f t="shared" si="219"/>
        <v>0</v>
      </c>
      <c r="AT301" s="173">
        <f t="shared" si="220"/>
        <v>3961546.6971979942</v>
      </c>
      <c r="AU301" s="173">
        <f t="shared" si="221"/>
        <v>0</v>
      </c>
      <c r="AV301" s="173">
        <f t="shared" si="222"/>
        <v>4196166.5791613078</v>
      </c>
      <c r="AW301" s="173">
        <f t="shared" si="223"/>
        <v>0</v>
      </c>
      <c r="AX301" s="173">
        <f t="shared" si="224"/>
        <v>4270280.3154176986</v>
      </c>
      <c r="AY301" s="173">
        <f t="shared" si="225"/>
        <v>0</v>
      </c>
      <c r="AZ301" s="173">
        <f t="shared" si="226"/>
        <v>4349655.8425585879</v>
      </c>
      <c r="BB301" s="87" t="s">
        <v>63</v>
      </c>
      <c r="BC301" s="87" t="s">
        <v>64</v>
      </c>
      <c r="BD301" s="173">
        <f t="shared" si="227"/>
        <v>0</v>
      </c>
      <c r="BE301" s="173">
        <f t="shared" si="228"/>
        <v>3961546.6971979942</v>
      </c>
      <c r="BF301" s="173">
        <f t="shared" si="229"/>
        <v>0</v>
      </c>
      <c r="BG301" s="173">
        <f t="shared" si="230"/>
        <v>4216757.1265999936</v>
      </c>
      <c r="BH301" s="173">
        <f t="shared" si="231"/>
        <v>0</v>
      </c>
      <c r="BI301" s="173">
        <f t="shared" si="232"/>
        <v>4294429.1272584349</v>
      </c>
      <c r="BJ301" s="173">
        <f t="shared" si="233"/>
        <v>0</v>
      </c>
      <c r="BK301" s="173">
        <f t="shared" si="234"/>
        <v>4381787.0898785256</v>
      </c>
      <c r="BM301" s="87" t="s">
        <v>63</v>
      </c>
      <c r="BN301" s="87" t="s">
        <v>64</v>
      </c>
      <c r="BO301" s="173">
        <f t="shared" si="235"/>
        <v>0</v>
      </c>
      <c r="BP301" s="173">
        <f t="shared" si="236"/>
        <v>3961546.6971979942</v>
      </c>
      <c r="BQ301" s="173">
        <f t="shared" si="237"/>
        <v>0</v>
      </c>
      <c r="BR301" s="173">
        <f t="shared" si="238"/>
        <v>4200623.4298990471</v>
      </c>
      <c r="BS301" s="173">
        <f t="shared" si="239"/>
        <v>0</v>
      </c>
      <c r="BT301" s="173">
        <f t="shared" si="240"/>
        <v>4290619.4473833079</v>
      </c>
      <c r="BU301" s="173">
        <f t="shared" si="241"/>
        <v>0</v>
      </c>
      <c r="BV301" s="173">
        <f t="shared" si="242"/>
        <v>4398820.3582122969</v>
      </c>
    </row>
    <row r="302" spans="5:74">
      <c r="E302" s="87" t="s">
        <v>3</v>
      </c>
      <c r="F302" s="87" t="s">
        <v>4</v>
      </c>
      <c r="G302" s="173">
        <f>IFERROR(IF(VLOOKUP(E302,A:C,3,FALSE)="YES",VLOOKUP(E302,'School Year 2021-22 SPED coop'!A:P,16,FALSE),0),0)</f>
        <v>0</v>
      </c>
      <c r="H302" s="173">
        <f t="shared" si="243"/>
        <v>49991.839999999997</v>
      </c>
      <c r="J302" s="87" t="s">
        <v>3</v>
      </c>
      <c r="K302" s="87" t="s">
        <v>4</v>
      </c>
      <c r="L302" s="173">
        <f t="shared" si="202"/>
        <v>0</v>
      </c>
      <c r="M302" s="173">
        <f t="shared" si="203"/>
        <v>50541.099808965599</v>
      </c>
      <c r="N302" s="173">
        <f t="shared" si="204"/>
        <v>0</v>
      </c>
      <c r="O302" s="173">
        <f t="shared" si="205"/>
        <v>52254.211445595851</v>
      </c>
      <c r="P302" s="173">
        <f t="shared" si="206"/>
        <v>0</v>
      </c>
      <c r="Q302" s="173">
        <f t="shared" si="207"/>
        <v>53222.070465008495</v>
      </c>
      <c r="R302" s="173">
        <f t="shared" si="208"/>
        <v>0</v>
      </c>
      <c r="S302" s="173">
        <f t="shared" si="209"/>
        <v>54202.078658826293</v>
      </c>
      <c r="U302" s="87" t="s">
        <v>3</v>
      </c>
      <c r="V302" s="87" t="s">
        <v>4</v>
      </c>
      <c r="W302" s="173">
        <f t="shared" si="210"/>
        <v>0</v>
      </c>
      <c r="X302" s="173">
        <f t="shared" si="244"/>
        <v>50541.099808965599</v>
      </c>
      <c r="Y302" s="173">
        <f t="shared" si="245"/>
        <v>0</v>
      </c>
      <c r="Z302" s="173">
        <f t="shared" si="246"/>
        <v>52254.211445595851</v>
      </c>
      <c r="AA302" s="173">
        <f t="shared" si="247"/>
        <v>0</v>
      </c>
      <c r="AB302" s="173">
        <f t="shared" si="248"/>
        <v>53222.070465008495</v>
      </c>
      <c r="AC302" s="173">
        <f t="shared" si="249"/>
        <v>0</v>
      </c>
      <c r="AD302" s="173">
        <f t="shared" si="250"/>
        <v>54202.078658826293</v>
      </c>
      <c r="AF302" s="87" t="s">
        <v>3</v>
      </c>
      <c r="AG302" s="87" t="s">
        <v>4</v>
      </c>
      <c r="AH302" s="173">
        <f t="shared" si="211"/>
        <v>0</v>
      </c>
      <c r="AI302" s="173">
        <f t="shared" si="212"/>
        <v>50541.099808965599</v>
      </c>
      <c r="AJ302" s="173">
        <f t="shared" si="213"/>
        <v>0</v>
      </c>
      <c r="AK302" s="173">
        <f t="shared" si="214"/>
        <v>53506.900621468041</v>
      </c>
      <c r="AL302" s="173">
        <f t="shared" si="215"/>
        <v>0</v>
      </c>
      <c r="AM302" s="173">
        <f t="shared" si="216"/>
        <v>53092.117915507362</v>
      </c>
      <c r="AN302" s="173">
        <f t="shared" si="217"/>
        <v>0</v>
      </c>
      <c r="AO302" s="173">
        <f t="shared" si="218"/>
        <v>54036.497008263941</v>
      </c>
      <c r="AQ302" s="87" t="s">
        <v>3</v>
      </c>
      <c r="AR302" s="87" t="s">
        <v>4</v>
      </c>
      <c r="AS302" s="173">
        <f t="shared" si="219"/>
        <v>0</v>
      </c>
      <c r="AT302" s="173">
        <f t="shared" si="220"/>
        <v>50541.099808965599</v>
      </c>
      <c r="AU302" s="173">
        <f t="shared" si="221"/>
        <v>0</v>
      </c>
      <c r="AV302" s="173">
        <f t="shared" si="222"/>
        <v>53540.286652768031</v>
      </c>
      <c r="AW302" s="173">
        <f t="shared" si="223"/>
        <v>0</v>
      </c>
      <c r="AX302" s="173">
        <f t="shared" si="224"/>
        <v>54480.73337365358</v>
      </c>
      <c r="AY302" s="173">
        <f t="shared" si="225"/>
        <v>0</v>
      </c>
      <c r="AZ302" s="173">
        <f t="shared" si="226"/>
        <v>55487.946552729147</v>
      </c>
      <c r="BB302" s="87" t="s">
        <v>3</v>
      </c>
      <c r="BC302" s="87" t="s">
        <v>4</v>
      </c>
      <c r="BD302" s="173">
        <f t="shared" si="227"/>
        <v>0</v>
      </c>
      <c r="BE302" s="173">
        <f t="shared" si="228"/>
        <v>50541.099808965599</v>
      </c>
      <c r="BF302" s="173">
        <f t="shared" si="229"/>
        <v>0</v>
      </c>
      <c r="BG302" s="173">
        <f t="shared" si="230"/>
        <v>53540.286652768031</v>
      </c>
      <c r="BH302" s="173">
        <f t="shared" si="231"/>
        <v>0</v>
      </c>
      <c r="BI302" s="173">
        <f t="shared" si="232"/>
        <v>54480.73337365358</v>
      </c>
      <c r="BJ302" s="173">
        <f t="shared" si="233"/>
        <v>0</v>
      </c>
      <c r="BK302" s="173">
        <f t="shared" si="234"/>
        <v>55487.946552729147</v>
      </c>
      <c r="BM302" s="87" t="s">
        <v>3</v>
      </c>
      <c r="BN302" s="87" t="s">
        <v>4</v>
      </c>
      <c r="BO302" s="173">
        <f t="shared" si="235"/>
        <v>0</v>
      </c>
      <c r="BP302" s="173">
        <f t="shared" si="236"/>
        <v>50541.099808965599</v>
      </c>
      <c r="BQ302" s="173">
        <f t="shared" si="237"/>
        <v>0</v>
      </c>
      <c r="BR302" s="173">
        <f t="shared" si="238"/>
        <v>54824.207651368422</v>
      </c>
      <c r="BS302" s="173">
        <f t="shared" si="239"/>
        <v>0</v>
      </c>
      <c r="BT302" s="173">
        <f t="shared" si="240"/>
        <v>54347.729688658394</v>
      </c>
      <c r="BU302" s="173">
        <f t="shared" si="241"/>
        <v>0</v>
      </c>
      <c r="BV302" s="173">
        <f t="shared" si="242"/>
        <v>55318.533274245463</v>
      </c>
    </row>
    <row r="303" spans="5:74">
      <c r="E303" s="87" t="s">
        <v>99</v>
      </c>
      <c r="F303" s="87" t="s">
        <v>100</v>
      </c>
      <c r="G303" s="173">
        <f>IFERROR(IF(VLOOKUP(E303,A:C,3,FALSE)="YES",VLOOKUP(E303,'School Year 2021-22 SPED coop'!A:P,16,FALSE),0),0)</f>
        <v>334304.7</v>
      </c>
      <c r="H303" s="173">
        <f t="shared" si="243"/>
        <v>0</v>
      </c>
      <c r="J303" s="87" t="s">
        <v>99</v>
      </c>
      <c r="K303" s="87" t="s">
        <v>100</v>
      </c>
      <c r="L303" s="173">
        <f t="shared" si="202"/>
        <v>310099.22144629748</v>
      </c>
      <c r="M303" s="173">
        <f t="shared" si="203"/>
        <v>0</v>
      </c>
      <c r="N303" s="173">
        <f t="shared" si="204"/>
        <v>320607.82030598068</v>
      </c>
      <c r="O303" s="173">
        <f t="shared" si="205"/>
        <v>0</v>
      </c>
      <c r="P303" s="173">
        <f t="shared" si="206"/>
        <v>326546.38888014358</v>
      </c>
      <c r="Q303" s="173">
        <f t="shared" si="207"/>
        <v>0</v>
      </c>
      <c r="R303" s="173">
        <f t="shared" si="208"/>
        <v>332559.68932760612</v>
      </c>
      <c r="S303" s="173">
        <f t="shared" si="209"/>
        <v>0</v>
      </c>
      <c r="U303" s="87" t="s">
        <v>99</v>
      </c>
      <c r="V303" s="87" t="s">
        <v>100</v>
      </c>
      <c r="W303" s="173">
        <f t="shared" si="210"/>
        <v>310099.22144629748</v>
      </c>
      <c r="X303" s="173">
        <f t="shared" si="244"/>
        <v>0</v>
      </c>
      <c r="Y303" s="173">
        <f t="shared" si="245"/>
        <v>322186.73100222507</v>
      </c>
      <c r="Z303" s="173">
        <f t="shared" si="246"/>
        <v>0</v>
      </c>
      <c r="AA303" s="173">
        <f t="shared" si="247"/>
        <v>328383.74557098304</v>
      </c>
      <c r="AB303" s="173">
        <f t="shared" si="248"/>
        <v>0</v>
      </c>
      <c r="AC303" s="173">
        <f t="shared" si="249"/>
        <v>335010.89405429258</v>
      </c>
      <c r="AD303" s="173">
        <f t="shared" si="250"/>
        <v>0</v>
      </c>
      <c r="AF303" s="87" t="s">
        <v>99</v>
      </c>
      <c r="AG303" s="87" t="s">
        <v>100</v>
      </c>
      <c r="AH303" s="173">
        <f t="shared" si="211"/>
        <v>310099.22144629748</v>
      </c>
      <c r="AI303" s="173">
        <f t="shared" si="212"/>
        <v>0</v>
      </c>
      <c r="AJ303" s="173">
        <f t="shared" si="213"/>
        <v>321817.0469622346</v>
      </c>
      <c r="AK303" s="173">
        <f t="shared" si="214"/>
        <v>0</v>
      </c>
      <c r="AL303" s="173">
        <f t="shared" si="215"/>
        <v>327594.22679392959</v>
      </c>
      <c r="AM303" s="173">
        <f t="shared" si="216"/>
        <v>0</v>
      </c>
      <c r="AN303" s="173">
        <f t="shared" si="217"/>
        <v>332954.21728395473</v>
      </c>
      <c r="AO303" s="173">
        <f t="shared" si="218"/>
        <v>0</v>
      </c>
      <c r="AQ303" s="87" t="s">
        <v>99</v>
      </c>
      <c r="AR303" s="87" t="s">
        <v>100</v>
      </c>
      <c r="AS303" s="173">
        <f t="shared" si="219"/>
        <v>310099.22144629748</v>
      </c>
      <c r="AT303" s="173">
        <f t="shared" si="220"/>
        <v>0</v>
      </c>
      <c r="AU303" s="173">
        <f t="shared" si="221"/>
        <v>328498.99006582377</v>
      </c>
      <c r="AV303" s="173">
        <f t="shared" si="222"/>
        <v>0</v>
      </c>
      <c r="AW303" s="173">
        <f t="shared" si="223"/>
        <v>334269.53921591496</v>
      </c>
      <c r="AX303" s="173">
        <f t="shared" si="224"/>
        <v>0</v>
      </c>
      <c r="AY303" s="173">
        <f t="shared" si="225"/>
        <v>340449.77043756191</v>
      </c>
      <c r="AZ303" s="173">
        <f t="shared" si="226"/>
        <v>0</v>
      </c>
      <c r="BB303" s="87" t="s">
        <v>99</v>
      </c>
      <c r="BC303" s="87" t="s">
        <v>100</v>
      </c>
      <c r="BD303" s="173">
        <f t="shared" si="227"/>
        <v>310099.22144629748</v>
      </c>
      <c r="BE303" s="173">
        <f t="shared" si="228"/>
        <v>0</v>
      </c>
      <c r="BF303" s="173">
        <f t="shared" si="229"/>
        <v>330116.76646508329</v>
      </c>
      <c r="BG303" s="173">
        <f t="shared" si="230"/>
        <v>0</v>
      </c>
      <c r="BH303" s="173">
        <f t="shared" si="231"/>
        <v>336150.34730823949</v>
      </c>
      <c r="BI303" s="173">
        <f t="shared" si="232"/>
        <v>0</v>
      </c>
      <c r="BJ303" s="173">
        <f t="shared" si="233"/>
        <v>342959.12828129641</v>
      </c>
      <c r="BK303" s="173">
        <f t="shared" si="234"/>
        <v>0</v>
      </c>
      <c r="BM303" s="87" t="s">
        <v>99</v>
      </c>
      <c r="BN303" s="87" t="s">
        <v>100</v>
      </c>
      <c r="BO303" s="173">
        <f t="shared" si="235"/>
        <v>310099.22144629748</v>
      </c>
      <c r="BP303" s="173">
        <f t="shared" si="236"/>
        <v>0</v>
      </c>
      <c r="BQ303" s="173">
        <f t="shared" si="237"/>
        <v>329738.47313902405</v>
      </c>
      <c r="BR303" s="173">
        <f t="shared" si="238"/>
        <v>0</v>
      </c>
      <c r="BS303" s="173">
        <f t="shared" si="239"/>
        <v>335342.95117217436</v>
      </c>
      <c r="BT303" s="173">
        <f t="shared" si="240"/>
        <v>0</v>
      </c>
      <c r="BU303" s="173">
        <f t="shared" si="241"/>
        <v>340854.39907348267</v>
      </c>
      <c r="BV303" s="173">
        <f t="shared" si="242"/>
        <v>0</v>
      </c>
    </row>
    <row r="304" spans="5:74">
      <c r="E304" s="87" t="s">
        <v>487</v>
      </c>
      <c r="F304" s="87" t="s">
        <v>488</v>
      </c>
      <c r="G304" s="173">
        <f>IFERROR(IF(VLOOKUP(E304,A:C,3,FALSE)="YES",VLOOKUP(E304,'School Year 2021-22 SPED coop'!A:P,16,FALSE),0),0)</f>
        <v>0</v>
      </c>
      <c r="H304" s="173">
        <f t="shared" si="243"/>
        <v>497835.12999999995</v>
      </c>
      <c r="J304" s="87" t="s">
        <v>487</v>
      </c>
      <c r="K304" s="87" t="s">
        <v>488</v>
      </c>
      <c r="L304" s="173">
        <f t="shared" si="202"/>
        <v>0</v>
      </c>
      <c r="M304" s="173">
        <f t="shared" si="203"/>
        <v>503401.18296955025</v>
      </c>
      <c r="N304" s="173">
        <f t="shared" si="204"/>
        <v>0</v>
      </c>
      <c r="O304" s="173">
        <f t="shared" si="205"/>
        <v>520461.94095960405</v>
      </c>
      <c r="P304" s="173">
        <f t="shared" si="206"/>
        <v>0</v>
      </c>
      <c r="Q304" s="173">
        <f t="shared" si="207"/>
        <v>530101.92101547867</v>
      </c>
      <c r="R304" s="173">
        <f t="shared" si="208"/>
        <v>0</v>
      </c>
      <c r="S304" s="173">
        <f t="shared" si="209"/>
        <v>539862.84267235245</v>
      </c>
      <c r="U304" s="87" t="s">
        <v>487</v>
      </c>
      <c r="V304" s="87" t="s">
        <v>488</v>
      </c>
      <c r="W304" s="173">
        <f t="shared" si="210"/>
        <v>0</v>
      </c>
      <c r="X304" s="173">
        <f t="shared" si="244"/>
        <v>503401.18296955025</v>
      </c>
      <c r="Y304" s="173">
        <f t="shared" si="245"/>
        <v>0</v>
      </c>
      <c r="Z304" s="173">
        <f t="shared" si="246"/>
        <v>523004.67263349425</v>
      </c>
      <c r="AA304" s="173">
        <f t="shared" si="247"/>
        <v>0</v>
      </c>
      <c r="AB304" s="173">
        <f t="shared" si="248"/>
        <v>533088.94562938449</v>
      </c>
      <c r="AC304" s="173">
        <f t="shared" si="249"/>
        <v>0</v>
      </c>
      <c r="AD304" s="173">
        <f t="shared" si="250"/>
        <v>543842.22298043757</v>
      </c>
      <c r="AF304" s="87" t="s">
        <v>487</v>
      </c>
      <c r="AG304" s="87" t="s">
        <v>488</v>
      </c>
      <c r="AH304" s="173">
        <f t="shared" si="211"/>
        <v>0</v>
      </c>
      <c r="AI304" s="173">
        <f t="shared" si="212"/>
        <v>503401.18296955025</v>
      </c>
      <c r="AJ304" s="173">
        <f t="shared" si="213"/>
        <v>0</v>
      </c>
      <c r="AK304" s="173">
        <f t="shared" si="214"/>
        <v>523314.27229754161</v>
      </c>
      <c r="AL304" s="173">
        <f t="shared" si="215"/>
        <v>0</v>
      </c>
      <c r="AM304" s="173">
        <f t="shared" si="216"/>
        <v>536060.69665802189</v>
      </c>
      <c r="AN304" s="173">
        <f t="shared" si="217"/>
        <v>0</v>
      </c>
      <c r="AO304" s="173">
        <f t="shared" si="218"/>
        <v>544802.02090629574</v>
      </c>
      <c r="AQ304" s="87" t="s">
        <v>487</v>
      </c>
      <c r="AR304" s="87" t="s">
        <v>488</v>
      </c>
      <c r="AS304" s="173">
        <f t="shared" si="219"/>
        <v>0</v>
      </c>
      <c r="AT304" s="173">
        <f t="shared" si="220"/>
        <v>503401.18296955025</v>
      </c>
      <c r="AU304" s="173">
        <f t="shared" si="221"/>
        <v>0</v>
      </c>
      <c r="AV304" s="173">
        <f t="shared" si="222"/>
        <v>533271.70073026058</v>
      </c>
      <c r="AW304" s="173">
        <f t="shared" si="223"/>
        <v>0</v>
      </c>
      <c r="AX304" s="173">
        <f t="shared" si="224"/>
        <v>542638.59521514957</v>
      </c>
      <c r="AY304" s="173">
        <f t="shared" si="225"/>
        <v>0</v>
      </c>
      <c r="AZ304" s="173">
        <f t="shared" si="226"/>
        <v>552670.48799488263</v>
      </c>
      <c r="BB304" s="87" t="s">
        <v>487</v>
      </c>
      <c r="BC304" s="87" t="s">
        <v>488</v>
      </c>
      <c r="BD304" s="173">
        <f t="shared" si="227"/>
        <v>0</v>
      </c>
      <c r="BE304" s="173">
        <f t="shared" si="228"/>
        <v>503401.18296955025</v>
      </c>
      <c r="BF304" s="173">
        <f t="shared" si="229"/>
        <v>0</v>
      </c>
      <c r="BG304" s="173">
        <f t="shared" si="230"/>
        <v>535877.01003330143</v>
      </c>
      <c r="BH304" s="173">
        <f t="shared" si="231"/>
        <v>0</v>
      </c>
      <c r="BI304" s="173">
        <f t="shared" si="232"/>
        <v>545696.25729485403</v>
      </c>
      <c r="BJ304" s="173">
        <f t="shared" si="233"/>
        <v>0</v>
      </c>
      <c r="BK304" s="173">
        <f t="shared" si="234"/>
        <v>556744.27074840281</v>
      </c>
      <c r="BM304" s="87" t="s">
        <v>487</v>
      </c>
      <c r="BN304" s="87" t="s">
        <v>488</v>
      </c>
      <c r="BO304" s="173">
        <f t="shared" si="235"/>
        <v>0</v>
      </c>
      <c r="BP304" s="173">
        <f t="shared" si="236"/>
        <v>503401.18296955025</v>
      </c>
      <c r="BQ304" s="173">
        <f t="shared" si="237"/>
        <v>0</v>
      </c>
      <c r="BR304" s="173">
        <f t="shared" si="238"/>
        <v>536195.637971277</v>
      </c>
      <c r="BS304" s="173">
        <f t="shared" si="239"/>
        <v>0</v>
      </c>
      <c r="BT304" s="173">
        <f t="shared" si="240"/>
        <v>548741.18102800136</v>
      </c>
      <c r="BU304" s="173">
        <f t="shared" si="241"/>
        <v>0</v>
      </c>
      <c r="BV304" s="173">
        <f t="shared" si="242"/>
        <v>557729.73173173855</v>
      </c>
    </row>
    <row r="305" spans="5:74">
      <c r="E305" s="87" t="s">
        <v>41</v>
      </c>
      <c r="F305" s="87" t="s">
        <v>42</v>
      </c>
      <c r="G305" s="173">
        <f>IFERROR(IF(VLOOKUP(E305,A:C,3,FALSE)="YES",VLOOKUP(E305,'School Year 2021-22 SPED coop'!A:P,16,FALSE),0),0)</f>
        <v>0</v>
      </c>
      <c r="H305" s="173">
        <f t="shared" si="243"/>
        <v>9179921.0299999993</v>
      </c>
      <c r="J305" s="87" t="s">
        <v>41</v>
      </c>
      <c r="K305" s="87" t="s">
        <v>42</v>
      </c>
      <c r="L305" s="173">
        <f t="shared" si="202"/>
        <v>0</v>
      </c>
      <c r="M305" s="173">
        <f t="shared" si="203"/>
        <v>9285388.0489470139</v>
      </c>
      <c r="N305" s="173">
        <f t="shared" si="204"/>
        <v>0</v>
      </c>
      <c r="O305" s="173">
        <f t="shared" si="205"/>
        <v>9531670.0324823353</v>
      </c>
      <c r="P305" s="173">
        <f t="shared" si="206"/>
        <v>0</v>
      </c>
      <c r="Q305" s="173">
        <f t="shared" si="207"/>
        <v>9708507.8058550116</v>
      </c>
      <c r="R305" s="173">
        <f t="shared" si="208"/>
        <v>0</v>
      </c>
      <c r="S305" s="173">
        <f t="shared" si="209"/>
        <v>9887821.5709432773</v>
      </c>
      <c r="U305" s="87" t="s">
        <v>41</v>
      </c>
      <c r="V305" s="87" t="s">
        <v>42</v>
      </c>
      <c r="W305" s="173">
        <f t="shared" si="210"/>
        <v>0</v>
      </c>
      <c r="X305" s="173">
        <f t="shared" si="244"/>
        <v>9285388.0489470139</v>
      </c>
      <c r="Y305" s="173">
        <f t="shared" si="245"/>
        <v>0</v>
      </c>
      <c r="Z305" s="173">
        <f t="shared" si="246"/>
        <v>9578390.9785043485</v>
      </c>
      <c r="AA305" s="173">
        <f t="shared" si="247"/>
        <v>0</v>
      </c>
      <c r="AB305" s="173">
        <f t="shared" si="248"/>
        <v>9763377.5347245187</v>
      </c>
      <c r="AC305" s="173">
        <f t="shared" si="249"/>
        <v>0</v>
      </c>
      <c r="AD305" s="173">
        <f t="shared" si="250"/>
        <v>9960842.3104573488</v>
      </c>
      <c r="AF305" s="87" t="s">
        <v>41</v>
      </c>
      <c r="AG305" s="87" t="s">
        <v>42</v>
      </c>
      <c r="AH305" s="173">
        <f t="shared" si="211"/>
        <v>0</v>
      </c>
      <c r="AI305" s="173">
        <f t="shared" si="212"/>
        <v>9285388.0489470139</v>
      </c>
      <c r="AJ305" s="173">
        <f t="shared" si="213"/>
        <v>0</v>
      </c>
      <c r="AK305" s="173">
        <f t="shared" si="214"/>
        <v>9552840.2252745032</v>
      </c>
      <c r="AL305" s="173">
        <f t="shared" si="215"/>
        <v>0</v>
      </c>
      <c r="AM305" s="173">
        <f t="shared" si="216"/>
        <v>9734378.5604886934</v>
      </c>
      <c r="AN305" s="173">
        <f t="shared" si="217"/>
        <v>0</v>
      </c>
      <c r="AO305" s="173">
        <f t="shared" si="218"/>
        <v>9946500.0171699673</v>
      </c>
      <c r="AQ305" s="87" t="s">
        <v>41</v>
      </c>
      <c r="AR305" s="87" t="s">
        <v>42</v>
      </c>
      <c r="AS305" s="173">
        <f t="shared" si="219"/>
        <v>0</v>
      </c>
      <c r="AT305" s="173">
        <f t="shared" si="220"/>
        <v>9285388.0489470139</v>
      </c>
      <c r="AU305" s="173">
        <f t="shared" si="221"/>
        <v>0</v>
      </c>
      <c r="AV305" s="173">
        <f t="shared" si="222"/>
        <v>9766935.6827505138</v>
      </c>
      <c r="AW305" s="173">
        <f t="shared" si="223"/>
        <v>0</v>
      </c>
      <c r="AX305" s="173">
        <f t="shared" si="224"/>
        <v>9939011.2833935861</v>
      </c>
      <c r="AY305" s="173">
        <f t="shared" si="225"/>
        <v>0</v>
      </c>
      <c r="AZ305" s="173">
        <f t="shared" si="226"/>
        <v>10123303.712004419</v>
      </c>
      <c r="BB305" s="87" t="s">
        <v>41</v>
      </c>
      <c r="BC305" s="87" t="s">
        <v>42</v>
      </c>
      <c r="BD305" s="173">
        <f t="shared" si="227"/>
        <v>0</v>
      </c>
      <c r="BE305" s="173">
        <f t="shared" si="228"/>
        <v>9285388.0489470139</v>
      </c>
      <c r="BF305" s="173">
        <f t="shared" si="229"/>
        <v>0</v>
      </c>
      <c r="BG305" s="173">
        <f t="shared" si="230"/>
        <v>9814809.8131045438</v>
      </c>
      <c r="BH305" s="173">
        <f t="shared" si="231"/>
        <v>0</v>
      </c>
      <c r="BI305" s="173">
        <f t="shared" si="232"/>
        <v>9995183.7512166873</v>
      </c>
      <c r="BJ305" s="173">
        <f t="shared" si="233"/>
        <v>0</v>
      </c>
      <c r="BK305" s="173">
        <f t="shared" si="234"/>
        <v>10198063.461214101</v>
      </c>
      <c r="BM305" s="87" t="s">
        <v>41</v>
      </c>
      <c r="BN305" s="87" t="s">
        <v>42</v>
      </c>
      <c r="BO305" s="173">
        <f t="shared" si="235"/>
        <v>0</v>
      </c>
      <c r="BP305" s="173">
        <f t="shared" si="236"/>
        <v>9285388.0489470139</v>
      </c>
      <c r="BQ305" s="173">
        <f t="shared" si="237"/>
        <v>0</v>
      </c>
      <c r="BR305" s="173">
        <f t="shared" si="238"/>
        <v>9788638.9833310861</v>
      </c>
      <c r="BS305" s="173">
        <f t="shared" si="239"/>
        <v>0</v>
      </c>
      <c r="BT305" s="173">
        <f t="shared" si="240"/>
        <v>9965511.8293224089</v>
      </c>
      <c r="BU305" s="173">
        <f t="shared" si="241"/>
        <v>0</v>
      </c>
      <c r="BV305" s="173">
        <f t="shared" si="242"/>
        <v>10183406.847013239</v>
      </c>
    </row>
    <row r="306" spans="5:74">
      <c r="E306" s="87" t="s">
        <v>473</v>
      </c>
      <c r="F306" s="87" t="s">
        <v>474</v>
      </c>
      <c r="G306" s="173">
        <f>IFERROR(IF(VLOOKUP(E306,A:C,3,FALSE)="YES",VLOOKUP(E306,'School Year 2021-22 SPED coop'!A:P,16,FALSE),0),0)</f>
        <v>0</v>
      </c>
      <c r="H306" s="173">
        <f t="shared" si="243"/>
        <v>3748708.9399999995</v>
      </c>
      <c r="J306" s="87" t="s">
        <v>473</v>
      </c>
      <c r="K306" s="87" t="s">
        <v>474</v>
      </c>
      <c r="L306" s="173">
        <f t="shared" si="202"/>
        <v>0</v>
      </c>
      <c r="M306" s="173">
        <f t="shared" si="203"/>
        <v>3790502.1442183964</v>
      </c>
      <c r="N306" s="173">
        <f t="shared" si="204"/>
        <v>0</v>
      </c>
      <c r="O306" s="173">
        <f t="shared" si="205"/>
        <v>3918988.2208566684</v>
      </c>
      <c r="P306" s="173">
        <f t="shared" si="206"/>
        <v>0</v>
      </c>
      <c r="Q306" s="173">
        <f t="shared" si="207"/>
        <v>3991600.5867577423</v>
      </c>
      <c r="R306" s="173">
        <f t="shared" si="208"/>
        <v>0</v>
      </c>
      <c r="S306" s="173">
        <f t="shared" si="209"/>
        <v>4065144.2706073266</v>
      </c>
      <c r="U306" s="87" t="s">
        <v>473</v>
      </c>
      <c r="V306" s="87" t="s">
        <v>474</v>
      </c>
      <c r="W306" s="173">
        <f t="shared" si="210"/>
        <v>0</v>
      </c>
      <c r="X306" s="173">
        <f t="shared" si="244"/>
        <v>3790502.1442183964</v>
      </c>
      <c r="Y306" s="173">
        <f t="shared" si="245"/>
        <v>0</v>
      </c>
      <c r="Z306" s="173">
        <f t="shared" si="246"/>
        <v>3938207.8537285896</v>
      </c>
      <c r="AA306" s="173">
        <f t="shared" si="247"/>
        <v>0</v>
      </c>
      <c r="AB306" s="173">
        <f t="shared" si="248"/>
        <v>4014163.8167173499</v>
      </c>
      <c r="AC306" s="173">
        <f t="shared" si="249"/>
        <v>0</v>
      </c>
      <c r="AD306" s="173">
        <f t="shared" si="250"/>
        <v>4095167.2273168284</v>
      </c>
      <c r="AF306" s="87" t="s">
        <v>473</v>
      </c>
      <c r="AG306" s="87" t="s">
        <v>474</v>
      </c>
      <c r="AH306" s="173">
        <f t="shared" si="211"/>
        <v>0</v>
      </c>
      <c r="AI306" s="173">
        <f t="shared" si="212"/>
        <v>3790502.1442183964</v>
      </c>
      <c r="AJ306" s="173">
        <f t="shared" si="213"/>
        <v>0</v>
      </c>
      <c r="AK306" s="173">
        <f t="shared" si="214"/>
        <v>3911596.3849963956</v>
      </c>
      <c r="AL306" s="173">
        <f t="shared" si="215"/>
        <v>0</v>
      </c>
      <c r="AM306" s="173">
        <f t="shared" si="216"/>
        <v>3988808.6901424821</v>
      </c>
      <c r="AN306" s="173">
        <f t="shared" si="217"/>
        <v>0</v>
      </c>
      <c r="AO306" s="173">
        <f t="shared" si="218"/>
        <v>4062299.7016938254</v>
      </c>
      <c r="AQ306" s="87" t="s">
        <v>473</v>
      </c>
      <c r="AR306" s="87" t="s">
        <v>474</v>
      </c>
      <c r="AS306" s="173">
        <f t="shared" si="219"/>
        <v>0</v>
      </c>
      <c r="AT306" s="173">
        <f t="shared" si="220"/>
        <v>3790502.1442183964</v>
      </c>
      <c r="AU306" s="173">
        <f t="shared" si="221"/>
        <v>0</v>
      </c>
      <c r="AV306" s="173">
        <f t="shared" si="222"/>
        <v>4015453.123474204</v>
      </c>
      <c r="AW306" s="173">
        <f t="shared" si="223"/>
        <v>0</v>
      </c>
      <c r="AX306" s="173">
        <f t="shared" si="224"/>
        <v>4086027.0880356487</v>
      </c>
      <c r="AY306" s="173">
        <f t="shared" si="225"/>
        <v>0</v>
      </c>
      <c r="AZ306" s="173">
        <f t="shared" si="226"/>
        <v>4161611.7393286419</v>
      </c>
      <c r="BB306" s="87" t="s">
        <v>473</v>
      </c>
      <c r="BC306" s="87" t="s">
        <v>474</v>
      </c>
      <c r="BD306" s="173">
        <f t="shared" si="227"/>
        <v>0</v>
      </c>
      <c r="BE306" s="173">
        <f t="shared" si="228"/>
        <v>3790502.1442183964</v>
      </c>
      <c r="BF306" s="173">
        <f t="shared" si="229"/>
        <v>0</v>
      </c>
      <c r="BG306" s="173">
        <f t="shared" si="230"/>
        <v>4035145.8455417682</v>
      </c>
      <c r="BH306" s="173">
        <f t="shared" si="231"/>
        <v>0</v>
      </c>
      <c r="BI306" s="173">
        <f t="shared" si="232"/>
        <v>4109124.0818514018</v>
      </c>
      <c r="BJ306" s="173">
        <f t="shared" si="233"/>
        <v>0</v>
      </c>
      <c r="BK306" s="173">
        <f t="shared" si="234"/>
        <v>4192347.1511477213</v>
      </c>
      <c r="BM306" s="87" t="s">
        <v>473</v>
      </c>
      <c r="BN306" s="87" t="s">
        <v>474</v>
      </c>
      <c r="BO306" s="173">
        <f t="shared" si="235"/>
        <v>0</v>
      </c>
      <c r="BP306" s="173">
        <f t="shared" si="236"/>
        <v>3790502.1442183964</v>
      </c>
      <c r="BQ306" s="173">
        <f t="shared" si="237"/>
        <v>0</v>
      </c>
      <c r="BR306" s="173">
        <f t="shared" si="238"/>
        <v>4007876.3111031801</v>
      </c>
      <c r="BS306" s="173">
        <f t="shared" si="239"/>
        <v>0</v>
      </c>
      <c r="BT306" s="173">
        <f t="shared" si="240"/>
        <v>4083167.2444661264</v>
      </c>
      <c r="BU306" s="173">
        <f t="shared" si="241"/>
        <v>0</v>
      </c>
      <c r="BV306" s="173">
        <f t="shared" si="242"/>
        <v>4158697.5639841137</v>
      </c>
    </row>
    <row r="307" spans="5:74">
      <c r="E307" s="87" t="s">
        <v>607</v>
      </c>
      <c r="F307" s="87" t="s">
        <v>608</v>
      </c>
      <c r="G307" s="173">
        <f>IFERROR(IF(VLOOKUP(E307,A:C,3,FALSE)="YES",VLOOKUP(E307,'School Year 2021-22 SPED coop'!A:P,16,FALSE),0),0)</f>
        <v>0</v>
      </c>
      <c r="H307" s="173">
        <f t="shared" si="243"/>
        <v>6910531.8799999999</v>
      </c>
      <c r="J307" s="87" t="s">
        <v>607</v>
      </c>
      <c r="K307" s="87" t="s">
        <v>608</v>
      </c>
      <c r="L307" s="173">
        <f t="shared" si="202"/>
        <v>0</v>
      </c>
      <c r="M307" s="173">
        <f t="shared" si="203"/>
        <v>6987543.5982942274</v>
      </c>
      <c r="N307" s="173">
        <f t="shared" si="204"/>
        <v>0</v>
      </c>
      <c r="O307" s="173">
        <f t="shared" si="205"/>
        <v>7172643.9951886805</v>
      </c>
      <c r="P307" s="173">
        <f t="shared" si="206"/>
        <v>0</v>
      </c>
      <c r="Q307" s="173">
        <f t="shared" si="207"/>
        <v>7305693.7440114487</v>
      </c>
      <c r="R307" s="173">
        <f t="shared" si="208"/>
        <v>0</v>
      </c>
      <c r="S307" s="173">
        <f t="shared" si="209"/>
        <v>7440588.5439003417</v>
      </c>
      <c r="U307" s="87" t="s">
        <v>607</v>
      </c>
      <c r="V307" s="87" t="s">
        <v>608</v>
      </c>
      <c r="W307" s="173">
        <f t="shared" si="210"/>
        <v>0</v>
      </c>
      <c r="X307" s="173">
        <f t="shared" si="244"/>
        <v>6987543.5982942274</v>
      </c>
      <c r="Y307" s="173">
        <f t="shared" si="245"/>
        <v>0</v>
      </c>
      <c r="Z307" s="173">
        <f t="shared" si="246"/>
        <v>7207802.8772297017</v>
      </c>
      <c r="AA307" s="173">
        <f t="shared" si="247"/>
        <v>0</v>
      </c>
      <c r="AB307" s="173">
        <f t="shared" si="248"/>
        <v>7346989.1155793173</v>
      </c>
      <c r="AC307" s="173">
        <f t="shared" si="249"/>
        <v>0</v>
      </c>
      <c r="AD307" s="173">
        <f t="shared" si="250"/>
        <v>7495540.2063361388</v>
      </c>
      <c r="AF307" s="87" t="s">
        <v>607</v>
      </c>
      <c r="AG307" s="87" t="s">
        <v>608</v>
      </c>
      <c r="AH307" s="173">
        <f t="shared" si="211"/>
        <v>0</v>
      </c>
      <c r="AI307" s="173">
        <f t="shared" si="212"/>
        <v>6987543.5982942274</v>
      </c>
      <c r="AJ307" s="173">
        <f t="shared" si="213"/>
        <v>0</v>
      </c>
      <c r="AK307" s="173">
        <f t="shared" si="214"/>
        <v>7198161.1088208603</v>
      </c>
      <c r="AL307" s="173">
        <f t="shared" si="215"/>
        <v>0</v>
      </c>
      <c r="AM307" s="173">
        <f t="shared" si="216"/>
        <v>7331487.8230385967</v>
      </c>
      <c r="AN307" s="173">
        <f t="shared" si="217"/>
        <v>0</v>
      </c>
      <c r="AO307" s="173">
        <f t="shared" si="218"/>
        <v>7467356.956914939</v>
      </c>
      <c r="AQ307" s="87" t="s">
        <v>607</v>
      </c>
      <c r="AR307" s="87" t="s">
        <v>608</v>
      </c>
      <c r="AS307" s="173">
        <f t="shared" si="219"/>
        <v>0</v>
      </c>
      <c r="AT307" s="173">
        <f t="shared" si="220"/>
        <v>6987543.5982942274</v>
      </c>
      <c r="AU307" s="173">
        <f t="shared" si="221"/>
        <v>0</v>
      </c>
      <c r="AV307" s="173">
        <f t="shared" si="222"/>
        <v>7349686.7649934944</v>
      </c>
      <c r="AW307" s="173">
        <f t="shared" si="223"/>
        <v>0</v>
      </c>
      <c r="AX307" s="173">
        <f t="shared" si="224"/>
        <v>7479137.4454243528</v>
      </c>
      <c r="AY307" s="173">
        <f t="shared" si="225"/>
        <v>0</v>
      </c>
      <c r="AZ307" s="173">
        <f t="shared" si="226"/>
        <v>7617778.4599074228</v>
      </c>
      <c r="BB307" s="87" t="s">
        <v>607</v>
      </c>
      <c r="BC307" s="87" t="s">
        <v>608</v>
      </c>
      <c r="BD307" s="173">
        <f t="shared" si="227"/>
        <v>0</v>
      </c>
      <c r="BE307" s="173">
        <f t="shared" si="228"/>
        <v>6987543.5982942274</v>
      </c>
      <c r="BF307" s="173">
        <f t="shared" si="229"/>
        <v>0</v>
      </c>
      <c r="BG307" s="173">
        <f t="shared" si="230"/>
        <v>7385713.4714245498</v>
      </c>
      <c r="BH307" s="173">
        <f t="shared" si="231"/>
        <v>0</v>
      </c>
      <c r="BI307" s="173">
        <f t="shared" si="232"/>
        <v>7521413.2079015058</v>
      </c>
      <c r="BJ307" s="173">
        <f t="shared" si="233"/>
        <v>0</v>
      </c>
      <c r="BK307" s="173">
        <f t="shared" si="234"/>
        <v>7674038.7363083707</v>
      </c>
      <c r="BM307" s="87" t="s">
        <v>607</v>
      </c>
      <c r="BN307" s="87" t="s">
        <v>608</v>
      </c>
      <c r="BO307" s="173">
        <f t="shared" si="235"/>
        <v>0</v>
      </c>
      <c r="BP307" s="173">
        <f t="shared" si="236"/>
        <v>6987543.5982942274</v>
      </c>
      <c r="BQ307" s="173">
        <f t="shared" si="237"/>
        <v>0</v>
      </c>
      <c r="BR307" s="173">
        <f t="shared" si="238"/>
        <v>7375846.1458639745</v>
      </c>
      <c r="BS307" s="173">
        <f t="shared" si="239"/>
        <v>0</v>
      </c>
      <c r="BT307" s="173">
        <f t="shared" si="240"/>
        <v>7505555.8620903157</v>
      </c>
      <c r="BU307" s="173">
        <f t="shared" si="241"/>
        <v>0</v>
      </c>
      <c r="BV307" s="173">
        <f t="shared" si="242"/>
        <v>7645196.56967921</v>
      </c>
    </row>
    <row r="308" spans="5:74">
      <c r="E308" s="87" t="s">
        <v>1253</v>
      </c>
      <c r="F308" s="87" t="s">
        <v>1254</v>
      </c>
      <c r="G308" s="173">
        <f>IFERROR(IF(VLOOKUP(E308,A:C,3,FALSE)="YES",VLOOKUP(E308,'School Year 2021-22 SPED coop'!A:P,16,FALSE),0),0)</f>
        <v>0</v>
      </c>
      <c r="H308" s="173">
        <f t="shared" si="243"/>
        <v>59357.1</v>
      </c>
      <c r="J308" s="87" t="s">
        <v>1253</v>
      </c>
      <c r="K308" s="87" t="s">
        <v>1254</v>
      </c>
      <c r="L308" s="173">
        <f t="shared" si="202"/>
        <v>0</v>
      </c>
      <c r="M308" s="173">
        <f t="shared" si="203"/>
        <v>60028.425250620443</v>
      </c>
      <c r="N308" s="173">
        <f t="shared" si="204"/>
        <v>0</v>
      </c>
      <c r="O308" s="173">
        <f t="shared" si="205"/>
        <v>61639.319583651624</v>
      </c>
      <c r="P308" s="173">
        <f t="shared" si="206"/>
        <v>0</v>
      </c>
      <c r="Q308" s="173">
        <f t="shared" si="207"/>
        <v>62787.522805490538</v>
      </c>
      <c r="R308" s="173">
        <f t="shared" si="208"/>
        <v>0</v>
      </c>
      <c r="S308" s="173">
        <f t="shared" si="209"/>
        <v>63955.806975879037</v>
      </c>
      <c r="U308" s="87" t="s">
        <v>1253</v>
      </c>
      <c r="V308" s="87" t="s">
        <v>1254</v>
      </c>
      <c r="W308" s="173">
        <f t="shared" si="210"/>
        <v>0</v>
      </c>
      <c r="X308" s="173">
        <f t="shared" si="244"/>
        <v>60028.425250620443</v>
      </c>
      <c r="Y308" s="173">
        <f t="shared" si="245"/>
        <v>0</v>
      </c>
      <c r="Z308" s="173">
        <f t="shared" si="246"/>
        <v>61639.319583651624</v>
      </c>
      <c r="AA308" s="173">
        <f t="shared" si="247"/>
        <v>0</v>
      </c>
      <c r="AB308" s="173">
        <f t="shared" si="248"/>
        <v>62787.522805490538</v>
      </c>
      <c r="AC308" s="173">
        <f t="shared" si="249"/>
        <v>0</v>
      </c>
      <c r="AD308" s="173">
        <f t="shared" si="250"/>
        <v>63955.806975879037</v>
      </c>
      <c r="AF308" s="87" t="s">
        <v>1253</v>
      </c>
      <c r="AG308" s="87" t="s">
        <v>1254</v>
      </c>
      <c r="AH308" s="173">
        <f t="shared" si="211"/>
        <v>0</v>
      </c>
      <c r="AI308" s="173">
        <f t="shared" si="212"/>
        <v>60028.425250620443</v>
      </c>
      <c r="AJ308" s="173">
        <f t="shared" si="213"/>
        <v>0</v>
      </c>
      <c r="AK308" s="173">
        <f t="shared" si="214"/>
        <v>61639.319583651624</v>
      </c>
      <c r="AL308" s="173">
        <f t="shared" si="215"/>
        <v>0</v>
      </c>
      <c r="AM308" s="173">
        <f t="shared" si="216"/>
        <v>62787.522805490538</v>
      </c>
      <c r="AN308" s="173">
        <f t="shared" si="217"/>
        <v>0</v>
      </c>
      <c r="AO308" s="173">
        <f t="shared" si="218"/>
        <v>63955.806975879037</v>
      </c>
      <c r="AQ308" s="87" t="s">
        <v>1253</v>
      </c>
      <c r="AR308" s="87" t="s">
        <v>1254</v>
      </c>
      <c r="AS308" s="173">
        <f t="shared" si="219"/>
        <v>0</v>
      </c>
      <c r="AT308" s="173">
        <f t="shared" si="220"/>
        <v>60028.425250620443</v>
      </c>
      <c r="AU308" s="173">
        <f t="shared" si="221"/>
        <v>0</v>
      </c>
      <c r="AV308" s="173">
        <f t="shared" si="222"/>
        <v>63168.401374398221</v>
      </c>
      <c r="AW308" s="173">
        <f t="shared" si="223"/>
        <v>0</v>
      </c>
      <c r="AX308" s="173">
        <f t="shared" si="224"/>
        <v>64289.474307837903</v>
      </c>
      <c r="AY308" s="173">
        <f t="shared" si="225"/>
        <v>0</v>
      </c>
      <c r="AZ308" s="173">
        <f t="shared" si="226"/>
        <v>65490.158455733683</v>
      </c>
      <c r="BB308" s="87" t="s">
        <v>1253</v>
      </c>
      <c r="BC308" s="87" t="s">
        <v>1254</v>
      </c>
      <c r="BD308" s="173">
        <f t="shared" si="227"/>
        <v>0</v>
      </c>
      <c r="BE308" s="173">
        <f t="shared" si="228"/>
        <v>60028.425250620443</v>
      </c>
      <c r="BF308" s="173">
        <f t="shared" si="229"/>
        <v>0</v>
      </c>
      <c r="BG308" s="173">
        <f t="shared" si="230"/>
        <v>63168.401374398221</v>
      </c>
      <c r="BH308" s="173">
        <f t="shared" si="231"/>
        <v>0</v>
      </c>
      <c r="BI308" s="173">
        <f t="shared" si="232"/>
        <v>64289.474307837903</v>
      </c>
      <c r="BJ308" s="173">
        <f t="shared" si="233"/>
        <v>0</v>
      </c>
      <c r="BK308" s="173">
        <f t="shared" si="234"/>
        <v>65490.158455733683</v>
      </c>
      <c r="BM308" s="87" t="s">
        <v>1253</v>
      </c>
      <c r="BN308" s="87" t="s">
        <v>1254</v>
      </c>
      <c r="BO308" s="173">
        <f t="shared" si="235"/>
        <v>0</v>
      </c>
      <c r="BP308" s="173">
        <f t="shared" si="236"/>
        <v>60028.425250620443</v>
      </c>
      <c r="BQ308" s="173">
        <f t="shared" si="237"/>
        <v>0</v>
      </c>
      <c r="BR308" s="173">
        <f t="shared" si="238"/>
        <v>63168.401374398221</v>
      </c>
      <c r="BS308" s="173">
        <f t="shared" si="239"/>
        <v>0</v>
      </c>
      <c r="BT308" s="173">
        <f t="shared" si="240"/>
        <v>64289.474307837903</v>
      </c>
      <c r="BU308" s="173">
        <f t="shared" si="241"/>
        <v>0</v>
      </c>
      <c r="BV308" s="173">
        <f t="shared" si="242"/>
        <v>65490.158455733683</v>
      </c>
    </row>
    <row r="309" spans="5:74">
      <c r="E309" s="87" t="s">
        <v>293</v>
      </c>
      <c r="F309" s="87" t="s">
        <v>294</v>
      </c>
      <c r="G309" s="173">
        <f>IFERROR(IF(VLOOKUP(E309,A:C,3,FALSE)="YES",VLOOKUP(E309,'School Year 2021-22 SPED coop'!A:P,16,FALSE),0),0)</f>
        <v>0</v>
      </c>
      <c r="H309" s="173">
        <f t="shared" si="243"/>
        <v>387265.73000000004</v>
      </c>
      <c r="J309" s="87" t="s">
        <v>293</v>
      </c>
      <c r="K309" s="87" t="s">
        <v>294</v>
      </c>
      <c r="L309" s="173">
        <f t="shared" si="202"/>
        <v>0</v>
      </c>
      <c r="M309" s="173">
        <f t="shared" si="203"/>
        <v>394223.18565639714</v>
      </c>
      <c r="N309" s="173">
        <f t="shared" si="204"/>
        <v>0</v>
      </c>
      <c r="O309" s="173">
        <f t="shared" si="205"/>
        <v>407574.73968416918</v>
      </c>
      <c r="P309" s="173">
        <f t="shared" si="206"/>
        <v>0</v>
      </c>
      <c r="Q309" s="173">
        <f t="shared" si="207"/>
        <v>415124.03197383916</v>
      </c>
      <c r="R309" s="173">
        <f t="shared" si="208"/>
        <v>0</v>
      </c>
      <c r="S309" s="173">
        <f t="shared" si="209"/>
        <v>422768.18998736085</v>
      </c>
      <c r="U309" s="87" t="s">
        <v>293</v>
      </c>
      <c r="V309" s="87" t="s">
        <v>294</v>
      </c>
      <c r="W309" s="173">
        <f t="shared" si="210"/>
        <v>0</v>
      </c>
      <c r="X309" s="173">
        <f t="shared" si="244"/>
        <v>394223.18565639714</v>
      </c>
      <c r="Y309" s="173">
        <f t="shared" si="245"/>
        <v>0</v>
      </c>
      <c r="Z309" s="173">
        <f t="shared" si="246"/>
        <v>409581.69212665869</v>
      </c>
      <c r="AA309" s="173">
        <f t="shared" si="247"/>
        <v>0</v>
      </c>
      <c r="AB309" s="173">
        <f t="shared" si="248"/>
        <v>417478.44395698624</v>
      </c>
      <c r="AC309" s="173">
        <f t="shared" si="249"/>
        <v>0</v>
      </c>
      <c r="AD309" s="173">
        <f t="shared" si="250"/>
        <v>425903.01984113845</v>
      </c>
      <c r="AF309" s="87" t="s">
        <v>293</v>
      </c>
      <c r="AG309" s="87" t="s">
        <v>294</v>
      </c>
      <c r="AH309" s="173">
        <f t="shared" si="211"/>
        <v>0</v>
      </c>
      <c r="AI309" s="173">
        <f t="shared" si="212"/>
        <v>394223.18565639714</v>
      </c>
      <c r="AJ309" s="173">
        <f t="shared" si="213"/>
        <v>0</v>
      </c>
      <c r="AK309" s="173">
        <f t="shared" si="214"/>
        <v>401317.65633960086</v>
      </c>
      <c r="AL309" s="173">
        <f t="shared" si="215"/>
        <v>0</v>
      </c>
      <c r="AM309" s="173">
        <f t="shared" si="216"/>
        <v>410184.39782263443</v>
      </c>
      <c r="AN309" s="173">
        <f t="shared" si="217"/>
        <v>0</v>
      </c>
      <c r="AO309" s="173">
        <f t="shared" si="218"/>
        <v>417386.2618030234</v>
      </c>
      <c r="AQ309" s="87" t="s">
        <v>293</v>
      </c>
      <c r="AR309" s="87" t="s">
        <v>294</v>
      </c>
      <c r="AS309" s="173">
        <f t="shared" si="219"/>
        <v>0</v>
      </c>
      <c r="AT309" s="173">
        <f t="shared" si="220"/>
        <v>394223.18565639714</v>
      </c>
      <c r="AU309" s="173">
        <f t="shared" si="221"/>
        <v>0</v>
      </c>
      <c r="AV309" s="173">
        <f t="shared" si="222"/>
        <v>417607.84928995417</v>
      </c>
      <c r="AW309" s="173">
        <f t="shared" si="223"/>
        <v>0</v>
      </c>
      <c r="AX309" s="173">
        <f t="shared" si="224"/>
        <v>424943.45225590089</v>
      </c>
      <c r="AY309" s="173">
        <f t="shared" si="225"/>
        <v>0</v>
      </c>
      <c r="AZ309" s="173">
        <f t="shared" si="226"/>
        <v>432799.851081556</v>
      </c>
      <c r="BB309" s="87" t="s">
        <v>293</v>
      </c>
      <c r="BC309" s="87" t="s">
        <v>294</v>
      </c>
      <c r="BD309" s="173">
        <f t="shared" si="227"/>
        <v>0</v>
      </c>
      <c r="BE309" s="173">
        <f t="shared" si="228"/>
        <v>394223.18565639714</v>
      </c>
      <c r="BF309" s="173">
        <f t="shared" si="229"/>
        <v>0</v>
      </c>
      <c r="BG309" s="173">
        <f t="shared" si="230"/>
        <v>419664.21068423695</v>
      </c>
      <c r="BH309" s="173">
        <f t="shared" si="231"/>
        <v>0</v>
      </c>
      <c r="BI309" s="173">
        <f t="shared" si="232"/>
        <v>427353.55977528717</v>
      </c>
      <c r="BJ309" s="173">
        <f t="shared" si="233"/>
        <v>0</v>
      </c>
      <c r="BK309" s="173">
        <f t="shared" si="234"/>
        <v>436009.07159551984</v>
      </c>
      <c r="BM309" s="87" t="s">
        <v>293</v>
      </c>
      <c r="BN309" s="87" t="s">
        <v>294</v>
      </c>
      <c r="BO309" s="173">
        <f t="shared" si="235"/>
        <v>0</v>
      </c>
      <c r="BP309" s="173">
        <f t="shared" si="236"/>
        <v>394223.18565639714</v>
      </c>
      <c r="BQ309" s="173">
        <f t="shared" si="237"/>
        <v>0</v>
      </c>
      <c r="BR309" s="173">
        <f t="shared" si="238"/>
        <v>411194.84495101555</v>
      </c>
      <c r="BS309" s="173">
        <f t="shared" si="239"/>
        <v>0</v>
      </c>
      <c r="BT309" s="173">
        <f t="shared" si="240"/>
        <v>419885.98528226814</v>
      </c>
      <c r="BU309" s="173">
        <f t="shared" si="241"/>
        <v>0</v>
      </c>
      <c r="BV309" s="173">
        <f t="shared" si="242"/>
        <v>427288.91547783674</v>
      </c>
    </row>
    <row r="310" spans="5:74">
      <c r="E310" s="87" t="s">
        <v>387</v>
      </c>
      <c r="F310" s="87" t="s">
        <v>388</v>
      </c>
      <c r="G310" s="173">
        <f>IFERROR(IF(VLOOKUP(E310,A:C,3,FALSE)="YES",VLOOKUP(E310,'School Year 2021-22 SPED coop'!A:P,16,FALSE),0),0)</f>
        <v>0</v>
      </c>
      <c r="H310" s="173">
        <f t="shared" si="243"/>
        <v>5445236.6800000006</v>
      </c>
      <c r="J310" s="87" t="s">
        <v>387</v>
      </c>
      <c r="K310" s="87" t="s">
        <v>388</v>
      </c>
      <c r="L310" s="173">
        <f t="shared" si="202"/>
        <v>0</v>
      </c>
      <c r="M310" s="173">
        <f t="shared" si="203"/>
        <v>5597329.136728121</v>
      </c>
      <c r="N310" s="173">
        <f t="shared" si="204"/>
        <v>0</v>
      </c>
      <c r="O310" s="173">
        <f t="shared" si="205"/>
        <v>5785473.6097932905</v>
      </c>
      <c r="P310" s="173">
        <f t="shared" si="206"/>
        <v>0</v>
      </c>
      <c r="Q310" s="173">
        <f t="shared" si="207"/>
        <v>5892939.7905728938</v>
      </c>
      <c r="R310" s="173">
        <f t="shared" si="208"/>
        <v>0</v>
      </c>
      <c r="S310" s="173">
        <f t="shared" si="209"/>
        <v>6002027.4358848548</v>
      </c>
      <c r="U310" s="87" t="s">
        <v>387</v>
      </c>
      <c r="V310" s="87" t="s">
        <v>388</v>
      </c>
      <c r="W310" s="173">
        <f t="shared" si="210"/>
        <v>0</v>
      </c>
      <c r="X310" s="173">
        <f t="shared" si="244"/>
        <v>5597329.136728121</v>
      </c>
      <c r="Y310" s="173">
        <f t="shared" si="245"/>
        <v>0</v>
      </c>
      <c r="Z310" s="173">
        <f t="shared" si="246"/>
        <v>5813844.3022720609</v>
      </c>
      <c r="AA310" s="173">
        <f t="shared" si="247"/>
        <v>0</v>
      </c>
      <c r="AB310" s="173">
        <f t="shared" si="248"/>
        <v>5926248.2814342137</v>
      </c>
      <c r="AC310" s="173">
        <f t="shared" si="249"/>
        <v>0</v>
      </c>
      <c r="AD310" s="173">
        <f t="shared" si="250"/>
        <v>6046356.0390794119</v>
      </c>
      <c r="AF310" s="87" t="s">
        <v>387</v>
      </c>
      <c r="AG310" s="87" t="s">
        <v>388</v>
      </c>
      <c r="AH310" s="173">
        <f t="shared" si="211"/>
        <v>0</v>
      </c>
      <c r="AI310" s="173">
        <f t="shared" si="212"/>
        <v>5597329.136728121</v>
      </c>
      <c r="AJ310" s="173">
        <f t="shared" si="213"/>
        <v>0</v>
      </c>
      <c r="AK310" s="173">
        <f t="shared" si="214"/>
        <v>5766612.0172335552</v>
      </c>
      <c r="AL310" s="173">
        <f t="shared" si="215"/>
        <v>0</v>
      </c>
      <c r="AM310" s="173">
        <f t="shared" si="216"/>
        <v>5874130.9193173843</v>
      </c>
      <c r="AN310" s="173">
        <f t="shared" si="217"/>
        <v>0</v>
      </c>
      <c r="AO310" s="173">
        <f t="shared" si="218"/>
        <v>5982618.2360710287</v>
      </c>
      <c r="AQ310" s="87" t="s">
        <v>387</v>
      </c>
      <c r="AR310" s="87" t="s">
        <v>388</v>
      </c>
      <c r="AS310" s="173">
        <f t="shared" si="219"/>
        <v>0</v>
      </c>
      <c r="AT310" s="173">
        <f t="shared" si="220"/>
        <v>5597329.136728121</v>
      </c>
      <c r="AU310" s="173">
        <f t="shared" si="221"/>
        <v>0</v>
      </c>
      <c r="AV310" s="173">
        <f t="shared" si="222"/>
        <v>5928683.0299908742</v>
      </c>
      <c r="AW310" s="173">
        <f t="shared" si="223"/>
        <v>0</v>
      </c>
      <c r="AX310" s="173">
        <f t="shared" si="224"/>
        <v>6033369.5747618293</v>
      </c>
      <c r="AY310" s="173">
        <f t="shared" si="225"/>
        <v>0</v>
      </c>
      <c r="AZ310" s="173">
        <f t="shared" si="226"/>
        <v>6145488.3296595421</v>
      </c>
      <c r="BB310" s="87" t="s">
        <v>387</v>
      </c>
      <c r="BC310" s="87" t="s">
        <v>388</v>
      </c>
      <c r="BD310" s="173">
        <f t="shared" si="227"/>
        <v>0</v>
      </c>
      <c r="BE310" s="173">
        <f t="shared" si="228"/>
        <v>5597329.136728121</v>
      </c>
      <c r="BF310" s="173">
        <f t="shared" si="229"/>
        <v>0</v>
      </c>
      <c r="BG310" s="173">
        <f t="shared" si="230"/>
        <v>5957755.992889544</v>
      </c>
      <c r="BH310" s="173">
        <f t="shared" si="231"/>
        <v>0</v>
      </c>
      <c r="BI310" s="173">
        <f t="shared" si="232"/>
        <v>6067471.8136641579</v>
      </c>
      <c r="BJ310" s="173">
        <f t="shared" si="233"/>
        <v>0</v>
      </c>
      <c r="BK310" s="173">
        <f t="shared" si="234"/>
        <v>6190876.4764945246</v>
      </c>
      <c r="BM310" s="87" t="s">
        <v>387</v>
      </c>
      <c r="BN310" s="87" t="s">
        <v>388</v>
      </c>
      <c r="BO310" s="173">
        <f t="shared" si="235"/>
        <v>0</v>
      </c>
      <c r="BP310" s="173">
        <f t="shared" si="236"/>
        <v>5597329.136728121</v>
      </c>
      <c r="BQ310" s="173">
        <f t="shared" si="237"/>
        <v>0</v>
      </c>
      <c r="BR310" s="173">
        <f t="shared" si="238"/>
        <v>5909347.0429951902</v>
      </c>
      <c r="BS310" s="173">
        <f t="shared" si="239"/>
        <v>0</v>
      </c>
      <c r="BT310" s="173">
        <f t="shared" si="240"/>
        <v>6014106.6705231629</v>
      </c>
      <c r="BU310" s="173">
        <f t="shared" si="241"/>
        <v>0</v>
      </c>
      <c r="BV310" s="173">
        <f t="shared" si="242"/>
        <v>6125609.0403759303</v>
      </c>
    </row>
    <row r="311" spans="5:74">
      <c r="E311" s="87" t="s">
        <v>267</v>
      </c>
      <c r="F311" s="87" t="s">
        <v>268</v>
      </c>
      <c r="G311" s="173">
        <f>IFERROR(IF(VLOOKUP(E311,A:C,3,FALSE)="YES",VLOOKUP(E311,'School Year 2021-22 SPED coop'!A:P,16,FALSE),0),0)</f>
        <v>1140405.58</v>
      </c>
      <c r="H311" s="173">
        <f t="shared" si="243"/>
        <v>0</v>
      </c>
      <c r="J311" s="87" t="s">
        <v>267</v>
      </c>
      <c r="K311" s="87" t="s">
        <v>268</v>
      </c>
      <c r="L311" s="173">
        <f t="shared" si="202"/>
        <v>1292749.7461333645</v>
      </c>
      <c r="M311" s="173">
        <f t="shared" si="203"/>
        <v>0</v>
      </c>
      <c r="N311" s="173">
        <f t="shared" si="204"/>
        <v>1336567.193094118</v>
      </c>
      <c r="O311" s="173">
        <f t="shared" si="205"/>
        <v>0</v>
      </c>
      <c r="P311" s="173">
        <f t="shared" si="206"/>
        <v>1361323.9009933991</v>
      </c>
      <c r="Q311" s="173">
        <f t="shared" si="207"/>
        <v>0</v>
      </c>
      <c r="R311" s="173">
        <f t="shared" si="208"/>
        <v>1386391.9004513146</v>
      </c>
      <c r="S311" s="173">
        <f t="shared" si="209"/>
        <v>0</v>
      </c>
      <c r="U311" s="87" t="s">
        <v>267</v>
      </c>
      <c r="V311" s="87" t="s">
        <v>268</v>
      </c>
      <c r="W311" s="173">
        <f t="shared" si="210"/>
        <v>1292749.7461333645</v>
      </c>
      <c r="X311" s="173">
        <f t="shared" si="244"/>
        <v>0</v>
      </c>
      <c r="Y311" s="173">
        <f t="shared" si="245"/>
        <v>1343123.9650812796</v>
      </c>
      <c r="Z311" s="173">
        <f t="shared" si="246"/>
        <v>0</v>
      </c>
      <c r="AA311" s="173">
        <f t="shared" si="247"/>
        <v>1369033.0376545778</v>
      </c>
      <c r="AB311" s="173">
        <f t="shared" si="248"/>
        <v>0</v>
      </c>
      <c r="AC311" s="173">
        <f t="shared" si="249"/>
        <v>1396632.8566534088</v>
      </c>
      <c r="AD311" s="173">
        <f t="shared" si="250"/>
        <v>0</v>
      </c>
      <c r="AF311" s="87" t="s">
        <v>267</v>
      </c>
      <c r="AG311" s="87" t="s">
        <v>268</v>
      </c>
      <c r="AH311" s="173">
        <f t="shared" si="211"/>
        <v>1292749.7461333645</v>
      </c>
      <c r="AI311" s="173">
        <f t="shared" si="212"/>
        <v>0</v>
      </c>
      <c r="AJ311" s="173">
        <f t="shared" si="213"/>
        <v>1337642.370656118</v>
      </c>
      <c r="AK311" s="173">
        <f t="shared" si="214"/>
        <v>0</v>
      </c>
      <c r="AL311" s="173">
        <f t="shared" si="215"/>
        <v>1361953.5435598835</v>
      </c>
      <c r="AM311" s="173">
        <f t="shared" si="216"/>
        <v>0</v>
      </c>
      <c r="AN311" s="173">
        <f t="shared" si="217"/>
        <v>1392524.8348585004</v>
      </c>
      <c r="AO311" s="173">
        <f t="shared" si="218"/>
        <v>0</v>
      </c>
      <c r="AQ311" s="87" t="s">
        <v>267</v>
      </c>
      <c r="AR311" s="87" t="s">
        <v>268</v>
      </c>
      <c r="AS311" s="173">
        <f t="shared" si="219"/>
        <v>1292749.7461333645</v>
      </c>
      <c r="AT311" s="173">
        <f t="shared" si="220"/>
        <v>0</v>
      </c>
      <c r="AU311" s="173">
        <f t="shared" si="221"/>
        <v>1369462.7945907782</v>
      </c>
      <c r="AV311" s="173">
        <f t="shared" si="222"/>
        <v>0</v>
      </c>
      <c r="AW311" s="173">
        <f t="shared" si="223"/>
        <v>1393518.8094428291</v>
      </c>
      <c r="AX311" s="173">
        <f t="shared" si="224"/>
        <v>0</v>
      </c>
      <c r="AY311" s="173">
        <f t="shared" si="225"/>
        <v>1419282.67801184</v>
      </c>
      <c r="AZ311" s="173">
        <f t="shared" si="226"/>
        <v>0</v>
      </c>
      <c r="BB311" s="87" t="s">
        <v>267</v>
      </c>
      <c r="BC311" s="87" t="s">
        <v>268</v>
      </c>
      <c r="BD311" s="173">
        <f t="shared" si="227"/>
        <v>1292749.7461333645</v>
      </c>
      <c r="BE311" s="173">
        <f t="shared" si="228"/>
        <v>0</v>
      </c>
      <c r="BF311" s="173">
        <f t="shared" si="229"/>
        <v>1376180.9438898012</v>
      </c>
      <c r="BG311" s="173">
        <f t="shared" si="230"/>
        <v>0</v>
      </c>
      <c r="BH311" s="173">
        <f t="shared" si="231"/>
        <v>1401410.2720408202</v>
      </c>
      <c r="BI311" s="173">
        <f t="shared" si="232"/>
        <v>0</v>
      </c>
      <c r="BJ311" s="173">
        <f t="shared" si="233"/>
        <v>1429766.5911557162</v>
      </c>
      <c r="BK311" s="173">
        <f t="shared" si="234"/>
        <v>0</v>
      </c>
      <c r="BM311" s="87" t="s">
        <v>267</v>
      </c>
      <c r="BN311" s="87" t="s">
        <v>268</v>
      </c>
      <c r="BO311" s="173">
        <f t="shared" si="235"/>
        <v>1292749.7461333645</v>
      </c>
      <c r="BP311" s="173">
        <f t="shared" si="236"/>
        <v>0</v>
      </c>
      <c r="BQ311" s="173">
        <f t="shared" si="237"/>
        <v>1370565.7010994893</v>
      </c>
      <c r="BR311" s="173">
        <f t="shared" si="238"/>
        <v>0</v>
      </c>
      <c r="BS311" s="173">
        <f t="shared" si="239"/>
        <v>1394165.6353662715</v>
      </c>
      <c r="BT311" s="173">
        <f t="shared" si="240"/>
        <v>0</v>
      </c>
      <c r="BU311" s="173">
        <f t="shared" si="241"/>
        <v>1425565.6991696716</v>
      </c>
      <c r="BV311" s="173">
        <f t="shared" si="242"/>
        <v>0</v>
      </c>
    </row>
    <row r="312" spans="5:74">
      <c r="E312" s="87" t="s">
        <v>307</v>
      </c>
      <c r="F312" s="87" t="s">
        <v>308</v>
      </c>
      <c r="G312" s="173">
        <f>IFERROR(IF(VLOOKUP(E312,A:C,3,FALSE)="YES",VLOOKUP(E312,'School Year 2021-22 SPED coop'!A:P,16,FALSE),0),0)</f>
        <v>0</v>
      </c>
      <c r="H312" s="173">
        <f t="shared" si="243"/>
        <v>255174.09</v>
      </c>
      <c r="J312" s="87" t="s">
        <v>307</v>
      </c>
      <c r="K312" s="87" t="s">
        <v>308</v>
      </c>
      <c r="L312" s="173">
        <f t="shared" si="202"/>
        <v>0</v>
      </c>
      <c r="M312" s="173">
        <f t="shared" si="203"/>
        <v>258163.0520971418</v>
      </c>
      <c r="N312" s="173">
        <f t="shared" si="204"/>
        <v>0</v>
      </c>
      <c r="O312" s="173">
        <f t="shared" si="205"/>
        <v>266912.48669194995</v>
      </c>
      <c r="P312" s="173">
        <f t="shared" si="206"/>
        <v>0</v>
      </c>
      <c r="Q312" s="173">
        <f t="shared" si="207"/>
        <v>271857.69967413938</v>
      </c>
      <c r="R312" s="173">
        <f t="shared" si="208"/>
        <v>0</v>
      </c>
      <c r="S312" s="173">
        <f t="shared" si="209"/>
        <v>276866.14555589517</v>
      </c>
      <c r="U312" s="87" t="s">
        <v>307</v>
      </c>
      <c r="V312" s="87" t="s">
        <v>308</v>
      </c>
      <c r="W312" s="173">
        <f t="shared" si="210"/>
        <v>0</v>
      </c>
      <c r="X312" s="173">
        <f t="shared" si="244"/>
        <v>258163.0520971418</v>
      </c>
      <c r="Y312" s="173">
        <f t="shared" si="245"/>
        <v>0</v>
      </c>
      <c r="Z312" s="173">
        <f t="shared" si="246"/>
        <v>268221.72855271591</v>
      </c>
      <c r="AA312" s="173">
        <f t="shared" si="247"/>
        <v>0</v>
      </c>
      <c r="AB312" s="173">
        <f t="shared" si="248"/>
        <v>273396.12063108245</v>
      </c>
      <c r="AC312" s="173">
        <f t="shared" si="249"/>
        <v>0</v>
      </c>
      <c r="AD312" s="173">
        <f t="shared" si="250"/>
        <v>278911.50776370347</v>
      </c>
      <c r="AF312" s="87" t="s">
        <v>307</v>
      </c>
      <c r="AG312" s="87" t="s">
        <v>308</v>
      </c>
      <c r="AH312" s="173">
        <f t="shared" si="211"/>
        <v>0</v>
      </c>
      <c r="AI312" s="173">
        <f t="shared" si="212"/>
        <v>258163.0520971418</v>
      </c>
      <c r="AJ312" s="173">
        <f t="shared" si="213"/>
        <v>0</v>
      </c>
      <c r="AK312" s="173">
        <f t="shared" si="214"/>
        <v>269349.46499813418</v>
      </c>
      <c r="AL312" s="173">
        <f t="shared" si="215"/>
        <v>0</v>
      </c>
      <c r="AM312" s="173">
        <f t="shared" si="216"/>
        <v>274035.74808760307</v>
      </c>
      <c r="AN312" s="173">
        <f t="shared" si="217"/>
        <v>0</v>
      </c>
      <c r="AO312" s="173">
        <f t="shared" si="218"/>
        <v>281646.1693727838</v>
      </c>
      <c r="AQ312" s="87" t="s">
        <v>307</v>
      </c>
      <c r="AR312" s="87" t="s">
        <v>308</v>
      </c>
      <c r="AS312" s="173">
        <f t="shared" si="219"/>
        <v>0</v>
      </c>
      <c r="AT312" s="173">
        <f t="shared" si="220"/>
        <v>258163.0520971418</v>
      </c>
      <c r="AU312" s="173">
        <f t="shared" si="221"/>
        <v>0</v>
      </c>
      <c r="AV312" s="173">
        <f t="shared" si="222"/>
        <v>273482.69379229844</v>
      </c>
      <c r="AW312" s="173">
        <f t="shared" si="223"/>
        <v>0</v>
      </c>
      <c r="AX312" s="173">
        <f t="shared" si="224"/>
        <v>278288.91149336658</v>
      </c>
      <c r="AY312" s="173">
        <f t="shared" si="225"/>
        <v>0</v>
      </c>
      <c r="AZ312" s="173">
        <f t="shared" si="226"/>
        <v>283436.36352324631</v>
      </c>
      <c r="BB312" s="87" t="s">
        <v>307</v>
      </c>
      <c r="BC312" s="87" t="s">
        <v>308</v>
      </c>
      <c r="BD312" s="173">
        <f t="shared" si="227"/>
        <v>0</v>
      </c>
      <c r="BE312" s="173">
        <f t="shared" si="228"/>
        <v>258163.0520971418</v>
      </c>
      <c r="BF312" s="173">
        <f t="shared" si="229"/>
        <v>0</v>
      </c>
      <c r="BG312" s="173">
        <f t="shared" si="230"/>
        <v>274824.16372580663</v>
      </c>
      <c r="BH312" s="173">
        <f t="shared" si="231"/>
        <v>0</v>
      </c>
      <c r="BI312" s="173">
        <f t="shared" si="232"/>
        <v>279863.72704960388</v>
      </c>
      <c r="BJ312" s="173">
        <f t="shared" si="233"/>
        <v>0</v>
      </c>
      <c r="BK312" s="173">
        <f t="shared" si="234"/>
        <v>285530.26371493674</v>
      </c>
      <c r="BM312" s="87" t="s">
        <v>307</v>
      </c>
      <c r="BN312" s="87" t="s">
        <v>308</v>
      </c>
      <c r="BO312" s="173">
        <f t="shared" si="235"/>
        <v>0</v>
      </c>
      <c r="BP312" s="173">
        <f t="shared" si="236"/>
        <v>258163.0520971418</v>
      </c>
      <c r="BQ312" s="173">
        <f t="shared" si="237"/>
        <v>0</v>
      </c>
      <c r="BR312" s="173">
        <f t="shared" si="238"/>
        <v>275980.54742041451</v>
      </c>
      <c r="BS312" s="173">
        <f t="shared" si="239"/>
        <v>0</v>
      </c>
      <c r="BT312" s="173">
        <f t="shared" si="240"/>
        <v>280518.42431507411</v>
      </c>
      <c r="BU312" s="173">
        <f t="shared" si="241"/>
        <v>0</v>
      </c>
      <c r="BV312" s="173">
        <f t="shared" si="242"/>
        <v>288329.86963567103</v>
      </c>
    </row>
    <row r="313" spans="5:74">
      <c r="E313" s="87" t="s">
        <v>351</v>
      </c>
      <c r="F313" s="87" t="s">
        <v>352</v>
      </c>
      <c r="G313" s="173">
        <f>IFERROR(IF(VLOOKUP(E313,A:C,3,FALSE)="YES",VLOOKUP(E313,'School Year 2021-22 SPED coop'!A:P,16,FALSE),0),0)</f>
        <v>0</v>
      </c>
      <c r="H313" s="173">
        <f t="shared" si="243"/>
        <v>369767.98</v>
      </c>
      <c r="J313" s="87" t="s">
        <v>351</v>
      </c>
      <c r="K313" s="87" t="s">
        <v>352</v>
      </c>
      <c r="L313" s="173">
        <f t="shared" si="202"/>
        <v>0</v>
      </c>
      <c r="M313" s="173">
        <f t="shared" si="203"/>
        <v>373859.36491124833</v>
      </c>
      <c r="N313" s="173">
        <f t="shared" si="204"/>
        <v>0</v>
      </c>
      <c r="O313" s="173">
        <f t="shared" si="205"/>
        <v>386530.57055424957</v>
      </c>
      <c r="P313" s="173">
        <f t="shared" si="206"/>
        <v>0</v>
      </c>
      <c r="Q313" s="173">
        <f t="shared" si="207"/>
        <v>393690.16654709267</v>
      </c>
      <c r="R313" s="173">
        <f t="shared" si="208"/>
        <v>0</v>
      </c>
      <c r="S313" s="173">
        <f t="shared" si="209"/>
        <v>400939.8202966649</v>
      </c>
      <c r="U313" s="87" t="s">
        <v>351</v>
      </c>
      <c r="V313" s="87" t="s">
        <v>352</v>
      </c>
      <c r="W313" s="173">
        <f t="shared" si="210"/>
        <v>0</v>
      </c>
      <c r="X313" s="173">
        <f t="shared" si="244"/>
        <v>373859.36491124833</v>
      </c>
      <c r="Y313" s="173">
        <f t="shared" si="245"/>
        <v>0</v>
      </c>
      <c r="Z313" s="173">
        <f t="shared" si="246"/>
        <v>388435.71504888247</v>
      </c>
      <c r="AA313" s="173">
        <f t="shared" si="247"/>
        <v>0</v>
      </c>
      <c r="AB313" s="173">
        <f t="shared" si="248"/>
        <v>395919.54150726565</v>
      </c>
      <c r="AC313" s="173">
        <f t="shared" si="249"/>
        <v>0</v>
      </c>
      <c r="AD313" s="173">
        <f t="shared" si="250"/>
        <v>403909.07843699941</v>
      </c>
      <c r="AF313" s="87" t="s">
        <v>351</v>
      </c>
      <c r="AG313" s="87" t="s">
        <v>352</v>
      </c>
      <c r="AH313" s="173">
        <f t="shared" si="211"/>
        <v>0</v>
      </c>
      <c r="AI313" s="173">
        <f t="shared" si="212"/>
        <v>373859.36491124833</v>
      </c>
      <c r="AJ313" s="173">
        <f t="shared" si="213"/>
        <v>0</v>
      </c>
      <c r="AK313" s="173">
        <f t="shared" si="214"/>
        <v>387709.52593520127</v>
      </c>
      <c r="AL313" s="173">
        <f t="shared" si="215"/>
        <v>0</v>
      </c>
      <c r="AM313" s="173">
        <f t="shared" si="216"/>
        <v>397190.73620896856</v>
      </c>
      <c r="AN313" s="173">
        <f t="shared" si="217"/>
        <v>0</v>
      </c>
      <c r="AO313" s="173">
        <f t="shared" si="218"/>
        <v>404660.20213155769</v>
      </c>
      <c r="AQ313" s="87" t="s">
        <v>351</v>
      </c>
      <c r="AR313" s="87" t="s">
        <v>352</v>
      </c>
      <c r="AS313" s="173">
        <f t="shared" si="219"/>
        <v>0</v>
      </c>
      <c r="AT313" s="173">
        <f t="shared" si="220"/>
        <v>373859.36491124833</v>
      </c>
      <c r="AU313" s="173">
        <f t="shared" si="221"/>
        <v>0</v>
      </c>
      <c r="AV313" s="173">
        <f t="shared" si="222"/>
        <v>396044.03897105117</v>
      </c>
      <c r="AW313" s="173">
        <f t="shared" si="223"/>
        <v>0</v>
      </c>
      <c r="AX313" s="173">
        <f t="shared" si="224"/>
        <v>403001.02866986743</v>
      </c>
      <c r="AY313" s="173">
        <f t="shared" si="225"/>
        <v>0</v>
      </c>
      <c r="AZ313" s="173">
        <f t="shared" si="226"/>
        <v>410451.92976125306</v>
      </c>
      <c r="BB313" s="87" t="s">
        <v>351</v>
      </c>
      <c r="BC313" s="87" t="s">
        <v>352</v>
      </c>
      <c r="BD313" s="173">
        <f t="shared" si="227"/>
        <v>0</v>
      </c>
      <c r="BE313" s="173">
        <f t="shared" si="228"/>
        <v>373859.36491124833</v>
      </c>
      <c r="BF313" s="173">
        <f t="shared" si="229"/>
        <v>0</v>
      </c>
      <c r="BG313" s="173">
        <f t="shared" si="230"/>
        <v>397996.07910564833</v>
      </c>
      <c r="BH313" s="173">
        <f t="shared" si="231"/>
        <v>0</v>
      </c>
      <c r="BI313" s="173">
        <f t="shared" si="232"/>
        <v>405283.13087706937</v>
      </c>
      <c r="BJ313" s="173">
        <f t="shared" si="233"/>
        <v>0</v>
      </c>
      <c r="BK313" s="173">
        <f t="shared" si="234"/>
        <v>413491.63592632959</v>
      </c>
      <c r="BM313" s="87" t="s">
        <v>351</v>
      </c>
      <c r="BN313" s="87" t="s">
        <v>352</v>
      </c>
      <c r="BO313" s="173">
        <f t="shared" si="235"/>
        <v>0</v>
      </c>
      <c r="BP313" s="173">
        <f t="shared" si="236"/>
        <v>373859.36491124833</v>
      </c>
      <c r="BQ313" s="173">
        <f t="shared" si="237"/>
        <v>0</v>
      </c>
      <c r="BR313" s="173">
        <f t="shared" si="238"/>
        <v>397253.02867625345</v>
      </c>
      <c r="BS313" s="173">
        <f t="shared" si="239"/>
        <v>0</v>
      </c>
      <c r="BT313" s="173">
        <f t="shared" si="240"/>
        <v>406585.97582628083</v>
      </c>
      <c r="BU313" s="173">
        <f t="shared" si="241"/>
        <v>0</v>
      </c>
      <c r="BV313" s="173">
        <f t="shared" si="242"/>
        <v>414262.31908384437</v>
      </c>
    </row>
    <row r="314" spans="5:74">
      <c r="E314" s="87" t="s">
        <v>137</v>
      </c>
      <c r="F314" s="87" t="s">
        <v>138</v>
      </c>
      <c r="G314" s="173">
        <f>IFERROR(IF(VLOOKUP(E314,A:C,3,FALSE)="YES",VLOOKUP(E314,'School Year 2021-22 SPED coop'!A:P,16,FALSE),0),0)</f>
        <v>0</v>
      </c>
      <c r="H314" s="173">
        <f t="shared" si="243"/>
        <v>138125.93</v>
      </c>
      <c r="J314" s="87" t="s">
        <v>137</v>
      </c>
      <c r="K314" s="87" t="s">
        <v>138</v>
      </c>
      <c r="L314" s="173">
        <f t="shared" si="202"/>
        <v>0</v>
      </c>
      <c r="M314" s="173">
        <f t="shared" si="203"/>
        <v>139711.81558404976</v>
      </c>
      <c r="N314" s="173">
        <f t="shared" si="204"/>
        <v>0</v>
      </c>
      <c r="O314" s="173">
        <f t="shared" si="205"/>
        <v>144424.405892243</v>
      </c>
      <c r="P314" s="173">
        <f t="shared" si="206"/>
        <v>0</v>
      </c>
      <c r="Q314" s="173">
        <f t="shared" si="207"/>
        <v>147103.69111180879</v>
      </c>
      <c r="R314" s="173">
        <f t="shared" si="208"/>
        <v>0</v>
      </c>
      <c r="S314" s="173">
        <f t="shared" si="209"/>
        <v>149820.17048810408</v>
      </c>
      <c r="U314" s="87" t="s">
        <v>137</v>
      </c>
      <c r="V314" s="87" t="s">
        <v>138</v>
      </c>
      <c r="W314" s="173">
        <f t="shared" si="210"/>
        <v>0</v>
      </c>
      <c r="X314" s="173">
        <f t="shared" si="244"/>
        <v>139711.81558404976</v>
      </c>
      <c r="Y314" s="173">
        <f t="shared" si="245"/>
        <v>0</v>
      </c>
      <c r="Z314" s="173">
        <f t="shared" si="246"/>
        <v>145125.85911221674</v>
      </c>
      <c r="AA314" s="173">
        <f t="shared" si="247"/>
        <v>0</v>
      </c>
      <c r="AB314" s="173">
        <f t="shared" si="248"/>
        <v>147933.14078306482</v>
      </c>
      <c r="AC314" s="173">
        <f t="shared" si="249"/>
        <v>0</v>
      </c>
      <c r="AD314" s="173">
        <f t="shared" si="250"/>
        <v>150915.99549170295</v>
      </c>
      <c r="AF314" s="87" t="s">
        <v>137</v>
      </c>
      <c r="AG314" s="87" t="s">
        <v>138</v>
      </c>
      <c r="AH314" s="173">
        <f t="shared" si="211"/>
        <v>0</v>
      </c>
      <c r="AI314" s="173">
        <f t="shared" si="212"/>
        <v>139711.81558404976</v>
      </c>
      <c r="AJ314" s="173">
        <f t="shared" si="213"/>
        <v>0</v>
      </c>
      <c r="AK314" s="173">
        <f t="shared" si="214"/>
        <v>145140.34661007349</v>
      </c>
      <c r="AL314" s="173">
        <f t="shared" si="215"/>
        <v>0</v>
      </c>
      <c r="AM314" s="173">
        <f t="shared" si="216"/>
        <v>147832.64956098949</v>
      </c>
      <c r="AN314" s="173">
        <f t="shared" si="217"/>
        <v>0</v>
      </c>
      <c r="AO314" s="173">
        <f t="shared" si="218"/>
        <v>150562.11163638896</v>
      </c>
      <c r="AQ314" s="87" t="s">
        <v>137</v>
      </c>
      <c r="AR314" s="87" t="s">
        <v>138</v>
      </c>
      <c r="AS314" s="173">
        <f t="shared" si="219"/>
        <v>0</v>
      </c>
      <c r="AT314" s="173">
        <f t="shared" si="220"/>
        <v>139711.81558404976</v>
      </c>
      <c r="AU314" s="173">
        <f t="shared" si="221"/>
        <v>0</v>
      </c>
      <c r="AV314" s="173">
        <f t="shared" si="222"/>
        <v>147991.43186628117</v>
      </c>
      <c r="AW314" s="173">
        <f t="shared" si="223"/>
        <v>0</v>
      </c>
      <c r="AX314" s="173">
        <f t="shared" si="224"/>
        <v>150598.31331653069</v>
      </c>
      <c r="AY314" s="173">
        <f t="shared" si="225"/>
        <v>0</v>
      </c>
      <c r="AZ314" s="173">
        <f t="shared" si="226"/>
        <v>153390.27247299545</v>
      </c>
      <c r="BB314" s="87" t="s">
        <v>137</v>
      </c>
      <c r="BC314" s="87" t="s">
        <v>138</v>
      </c>
      <c r="BD314" s="173">
        <f t="shared" si="227"/>
        <v>0</v>
      </c>
      <c r="BE314" s="173">
        <f t="shared" si="228"/>
        <v>139711.81558404976</v>
      </c>
      <c r="BF314" s="173">
        <f t="shared" si="229"/>
        <v>0</v>
      </c>
      <c r="BG314" s="173">
        <f t="shared" si="230"/>
        <v>148710.20603259085</v>
      </c>
      <c r="BH314" s="173">
        <f t="shared" si="231"/>
        <v>0</v>
      </c>
      <c r="BI314" s="173">
        <f t="shared" si="232"/>
        <v>151447.46652943135</v>
      </c>
      <c r="BJ314" s="173">
        <f t="shared" si="233"/>
        <v>0</v>
      </c>
      <c r="BK314" s="173">
        <f t="shared" si="234"/>
        <v>154512.20457892286</v>
      </c>
      <c r="BM314" s="87" t="s">
        <v>137</v>
      </c>
      <c r="BN314" s="87" t="s">
        <v>138</v>
      </c>
      <c r="BO314" s="173">
        <f t="shared" si="235"/>
        <v>0</v>
      </c>
      <c r="BP314" s="173">
        <f t="shared" si="236"/>
        <v>139711.81558404976</v>
      </c>
      <c r="BQ314" s="173">
        <f t="shared" si="237"/>
        <v>0</v>
      </c>
      <c r="BR314" s="173">
        <f t="shared" si="238"/>
        <v>148725.19405893853</v>
      </c>
      <c r="BS314" s="173">
        <f t="shared" si="239"/>
        <v>0</v>
      </c>
      <c r="BT314" s="173">
        <f t="shared" si="240"/>
        <v>151344.5486146312</v>
      </c>
      <c r="BU314" s="173">
        <f t="shared" si="241"/>
        <v>0</v>
      </c>
      <c r="BV314" s="173">
        <f t="shared" si="242"/>
        <v>154149.86346599998</v>
      </c>
    </row>
    <row r="315" spans="5:74">
      <c r="E315" s="87" t="s">
        <v>281</v>
      </c>
      <c r="F315" s="87" t="s">
        <v>282</v>
      </c>
      <c r="G315" s="173">
        <f>IFERROR(IF(VLOOKUP(E315,A:C,3,FALSE)="YES",VLOOKUP(E315,'School Year 2021-22 SPED coop'!A:P,16,FALSE),0),0)</f>
        <v>0</v>
      </c>
      <c r="H315" s="173">
        <f t="shared" si="243"/>
        <v>937609.05999999994</v>
      </c>
      <c r="J315" s="87" t="s">
        <v>281</v>
      </c>
      <c r="K315" s="87" t="s">
        <v>282</v>
      </c>
      <c r="L315" s="173">
        <f t="shared" si="202"/>
        <v>0</v>
      </c>
      <c r="M315" s="173">
        <f t="shared" si="203"/>
        <v>948542.57391796773</v>
      </c>
      <c r="N315" s="173">
        <f t="shared" si="204"/>
        <v>0</v>
      </c>
      <c r="O315" s="173">
        <f t="shared" si="205"/>
        <v>980551.82068225928</v>
      </c>
      <c r="P315" s="173">
        <f t="shared" si="206"/>
        <v>0</v>
      </c>
      <c r="Q315" s="173">
        <f t="shared" si="207"/>
        <v>998740.30528652307</v>
      </c>
      <c r="R315" s="173">
        <f t="shared" si="208"/>
        <v>0</v>
      </c>
      <c r="S315" s="173">
        <f t="shared" si="209"/>
        <v>1017179.5260775144</v>
      </c>
      <c r="U315" s="87" t="s">
        <v>281</v>
      </c>
      <c r="V315" s="87" t="s">
        <v>282</v>
      </c>
      <c r="W315" s="173">
        <f t="shared" si="210"/>
        <v>0</v>
      </c>
      <c r="X315" s="173">
        <f t="shared" si="244"/>
        <v>948542.57391796773</v>
      </c>
      <c r="Y315" s="173">
        <f t="shared" si="245"/>
        <v>0</v>
      </c>
      <c r="Z315" s="173">
        <f t="shared" si="246"/>
        <v>985367.89240744826</v>
      </c>
      <c r="AA315" s="173">
        <f t="shared" si="247"/>
        <v>0</v>
      </c>
      <c r="AB315" s="173">
        <f t="shared" si="248"/>
        <v>1004384.8958683476</v>
      </c>
      <c r="AC315" s="173">
        <f t="shared" si="249"/>
        <v>0</v>
      </c>
      <c r="AD315" s="173">
        <f t="shared" si="250"/>
        <v>1024710.1206995148</v>
      </c>
      <c r="AF315" s="87" t="s">
        <v>281</v>
      </c>
      <c r="AG315" s="87" t="s">
        <v>282</v>
      </c>
      <c r="AH315" s="173">
        <f t="shared" si="211"/>
        <v>0</v>
      </c>
      <c r="AI315" s="173">
        <f t="shared" si="212"/>
        <v>948542.57391796773</v>
      </c>
      <c r="AJ315" s="173">
        <f t="shared" si="213"/>
        <v>0</v>
      </c>
      <c r="AK315" s="173">
        <f t="shared" si="214"/>
        <v>978976.14225776738</v>
      </c>
      <c r="AL315" s="173">
        <f t="shared" si="215"/>
        <v>0</v>
      </c>
      <c r="AM315" s="173">
        <f t="shared" si="216"/>
        <v>997479.7506237498</v>
      </c>
      <c r="AN315" s="173">
        <f t="shared" si="217"/>
        <v>0</v>
      </c>
      <c r="AO315" s="173">
        <f t="shared" si="218"/>
        <v>1015959.0831401</v>
      </c>
      <c r="AQ315" s="87" t="s">
        <v>281</v>
      </c>
      <c r="AR315" s="87" t="s">
        <v>282</v>
      </c>
      <c r="AS315" s="173">
        <f t="shared" si="219"/>
        <v>0</v>
      </c>
      <c r="AT315" s="173">
        <f t="shared" si="220"/>
        <v>948542.57391796773</v>
      </c>
      <c r="AU315" s="173">
        <f t="shared" si="221"/>
        <v>0</v>
      </c>
      <c r="AV315" s="173">
        <f t="shared" si="222"/>
        <v>1004765.9362008584</v>
      </c>
      <c r="AW315" s="173">
        <f t="shared" si="223"/>
        <v>0</v>
      </c>
      <c r="AX315" s="173">
        <f t="shared" si="224"/>
        <v>1022461.2438987112</v>
      </c>
      <c r="AY315" s="173">
        <f t="shared" si="225"/>
        <v>0</v>
      </c>
      <c r="AZ315" s="173">
        <f t="shared" si="226"/>
        <v>1041412.8066432676</v>
      </c>
      <c r="BB315" s="87" t="s">
        <v>281</v>
      </c>
      <c r="BC315" s="87" t="s">
        <v>282</v>
      </c>
      <c r="BD315" s="173">
        <f t="shared" si="227"/>
        <v>0</v>
      </c>
      <c r="BE315" s="173">
        <f t="shared" si="228"/>
        <v>948542.57391796773</v>
      </c>
      <c r="BF315" s="173">
        <f t="shared" si="229"/>
        <v>0</v>
      </c>
      <c r="BG315" s="173">
        <f t="shared" si="230"/>
        <v>1009700.9426009221</v>
      </c>
      <c r="BH315" s="173">
        <f t="shared" si="231"/>
        <v>0</v>
      </c>
      <c r="BI315" s="173">
        <f t="shared" si="232"/>
        <v>1028239.8982094243</v>
      </c>
      <c r="BJ315" s="173">
        <f t="shared" si="233"/>
        <v>0</v>
      </c>
      <c r="BK315" s="173">
        <f t="shared" si="234"/>
        <v>1049122.8192772369</v>
      </c>
      <c r="BM315" s="87" t="s">
        <v>281</v>
      </c>
      <c r="BN315" s="87" t="s">
        <v>282</v>
      </c>
      <c r="BO315" s="173">
        <f t="shared" si="235"/>
        <v>0</v>
      </c>
      <c r="BP315" s="173">
        <f t="shared" si="236"/>
        <v>948542.57391796773</v>
      </c>
      <c r="BQ315" s="173">
        <f t="shared" si="237"/>
        <v>0</v>
      </c>
      <c r="BR315" s="173">
        <f t="shared" si="238"/>
        <v>1003151.2420961887</v>
      </c>
      <c r="BS315" s="173">
        <f t="shared" si="239"/>
        <v>0</v>
      </c>
      <c r="BT315" s="173">
        <f t="shared" si="240"/>
        <v>1021171.3361621611</v>
      </c>
      <c r="BU315" s="173">
        <f t="shared" si="241"/>
        <v>0</v>
      </c>
      <c r="BV315" s="173">
        <f t="shared" si="242"/>
        <v>1040163.8862836218</v>
      </c>
    </row>
    <row r="316" spans="5:74">
      <c r="E316" s="87" t="s">
        <v>161</v>
      </c>
      <c r="F316" s="87" t="s">
        <v>162</v>
      </c>
      <c r="G316" s="173">
        <f>IFERROR(IF(VLOOKUP(E316,A:C,3,FALSE)="YES",VLOOKUP(E316,'School Year 2021-22 SPED coop'!A:P,16,FALSE),0),0)</f>
        <v>0</v>
      </c>
      <c r="H316" s="173">
        <f t="shared" si="243"/>
        <v>160979.95000000001</v>
      </c>
      <c r="J316" s="87" t="s">
        <v>161</v>
      </c>
      <c r="K316" s="87" t="s">
        <v>162</v>
      </c>
      <c r="L316" s="173">
        <f t="shared" si="202"/>
        <v>0</v>
      </c>
      <c r="M316" s="173">
        <f t="shared" si="203"/>
        <v>162800.5069257842</v>
      </c>
      <c r="N316" s="173">
        <f t="shared" si="204"/>
        <v>0</v>
      </c>
      <c r="O316" s="173">
        <f t="shared" si="205"/>
        <v>168314.9902042787</v>
      </c>
      <c r="P316" s="173">
        <f t="shared" si="206"/>
        <v>0</v>
      </c>
      <c r="Q316" s="173">
        <f t="shared" si="207"/>
        <v>171432.20222521023</v>
      </c>
      <c r="R316" s="173">
        <f t="shared" si="208"/>
        <v>0</v>
      </c>
      <c r="S316" s="173">
        <f t="shared" si="209"/>
        <v>174588.26357961833</v>
      </c>
      <c r="U316" s="87" t="s">
        <v>161</v>
      </c>
      <c r="V316" s="87" t="s">
        <v>162</v>
      </c>
      <c r="W316" s="173">
        <f t="shared" si="210"/>
        <v>0</v>
      </c>
      <c r="X316" s="173">
        <f t="shared" si="244"/>
        <v>162800.5069257842</v>
      </c>
      <c r="Y316" s="173">
        <f t="shared" si="245"/>
        <v>0</v>
      </c>
      <c r="Z316" s="173">
        <f t="shared" si="246"/>
        <v>169131.4453230167</v>
      </c>
      <c r="AA316" s="173">
        <f t="shared" si="247"/>
        <v>0</v>
      </c>
      <c r="AB316" s="173">
        <f t="shared" si="248"/>
        <v>172402.42601796793</v>
      </c>
      <c r="AC316" s="173">
        <f t="shared" si="249"/>
        <v>0</v>
      </c>
      <c r="AD316" s="173">
        <f t="shared" si="250"/>
        <v>175882.55478385484</v>
      </c>
      <c r="AF316" s="87" t="s">
        <v>161</v>
      </c>
      <c r="AG316" s="87" t="s">
        <v>162</v>
      </c>
      <c r="AH316" s="173">
        <f t="shared" si="211"/>
        <v>0</v>
      </c>
      <c r="AI316" s="173">
        <f t="shared" si="212"/>
        <v>162800.5069257842</v>
      </c>
      <c r="AJ316" s="173">
        <f t="shared" si="213"/>
        <v>0</v>
      </c>
      <c r="AK316" s="173">
        <f t="shared" si="214"/>
        <v>165686.59984995774</v>
      </c>
      <c r="AL316" s="173">
        <f t="shared" si="215"/>
        <v>0</v>
      </c>
      <c r="AM316" s="173">
        <f t="shared" si="216"/>
        <v>169104.72533400523</v>
      </c>
      <c r="AN316" s="173">
        <f t="shared" si="217"/>
        <v>0</v>
      </c>
      <c r="AO316" s="173">
        <f t="shared" si="218"/>
        <v>172470.53782757116</v>
      </c>
      <c r="AQ316" s="87" t="s">
        <v>161</v>
      </c>
      <c r="AR316" s="87" t="s">
        <v>162</v>
      </c>
      <c r="AS316" s="173">
        <f t="shared" si="219"/>
        <v>0</v>
      </c>
      <c r="AT316" s="173">
        <f t="shared" si="220"/>
        <v>162800.5069257842</v>
      </c>
      <c r="AU316" s="173">
        <f t="shared" si="221"/>
        <v>0</v>
      </c>
      <c r="AV316" s="173">
        <f t="shared" si="222"/>
        <v>172457.97573784643</v>
      </c>
      <c r="AW316" s="173">
        <f t="shared" si="223"/>
        <v>0</v>
      </c>
      <c r="AX316" s="173">
        <f t="shared" si="224"/>
        <v>175486.65416077495</v>
      </c>
      <c r="AY316" s="173">
        <f t="shared" si="225"/>
        <v>0</v>
      </c>
      <c r="AZ316" s="173">
        <f t="shared" si="226"/>
        <v>178730.34980827928</v>
      </c>
      <c r="BB316" s="87" t="s">
        <v>161</v>
      </c>
      <c r="BC316" s="87" t="s">
        <v>162</v>
      </c>
      <c r="BD316" s="173">
        <f t="shared" si="227"/>
        <v>0</v>
      </c>
      <c r="BE316" s="173">
        <f t="shared" si="228"/>
        <v>162800.5069257842</v>
      </c>
      <c r="BF316" s="173">
        <f t="shared" si="229"/>
        <v>0</v>
      </c>
      <c r="BG316" s="173">
        <f t="shared" si="230"/>
        <v>173294.52281276727</v>
      </c>
      <c r="BH316" s="173">
        <f t="shared" si="231"/>
        <v>0</v>
      </c>
      <c r="BI316" s="173">
        <f t="shared" si="232"/>
        <v>176479.82481607821</v>
      </c>
      <c r="BJ316" s="173">
        <f t="shared" si="233"/>
        <v>0</v>
      </c>
      <c r="BK316" s="173">
        <f t="shared" si="234"/>
        <v>180055.35020050593</v>
      </c>
      <c r="BM316" s="87" t="s">
        <v>161</v>
      </c>
      <c r="BN316" s="87" t="s">
        <v>162</v>
      </c>
      <c r="BO316" s="173">
        <f t="shared" si="235"/>
        <v>0</v>
      </c>
      <c r="BP316" s="173">
        <f t="shared" si="236"/>
        <v>162800.5069257842</v>
      </c>
      <c r="BQ316" s="173">
        <f t="shared" si="237"/>
        <v>0</v>
      </c>
      <c r="BR316" s="173">
        <f t="shared" si="238"/>
        <v>169764.06788675408</v>
      </c>
      <c r="BS316" s="173">
        <f t="shared" si="239"/>
        <v>0</v>
      </c>
      <c r="BT316" s="173">
        <f t="shared" si="240"/>
        <v>173104.06319089237</v>
      </c>
      <c r="BU316" s="173">
        <f t="shared" si="241"/>
        <v>0</v>
      </c>
      <c r="BV316" s="173">
        <f t="shared" si="242"/>
        <v>176562.52780517441</v>
      </c>
    </row>
    <row r="317" spans="5:74">
      <c r="E317" s="87" t="s">
        <v>251</v>
      </c>
      <c r="F317" s="87" t="s">
        <v>252</v>
      </c>
      <c r="G317" s="173">
        <f>IFERROR(IF(VLOOKUP(E317,A:C,3,FALSE)="YES",VLOOKUP(E317,'School Year 2021-22 SPED coop'!A:P,16,FALSE),0),0)</f>
        <v>52103.57</v>
      </c>
      <c r="H317" s="173">
        <f t="shared" si="243"/>
        <v>0</v>
      </c>
      <c r="J317" s="87" t="s">
        <v>251</v>
      </c>
      <c r="K317" s="87" t="s">
        <v>252</v>
      </c>
      <c r="L317" s="173">
        <f t="shared" si="202"/>
        <v>58152.173560458454</v>
      </c>
      <c r="M317" s="173">
        <f t="shared" si="203"/>
        <v>0</v>
      </c>
      <c r="N317" s="173">
        <f t="shared" si="204"/>
        <v>60122.694405913942</v>
      </c>
      <c r="O317" s="173">
        <f t="shared" si="205"/>
        <v>0</v>
      </c>
      <c r="P317" s="173">
        <f t="shared" si="206"/>
        <v>61236.386824439149</v>
      </c>
      <c r="Q317" s="173">
        <f t="shared" si="207"/>
        <v>0</v>
      </c>
      <c r="R317" s="173">
        <f t="shared" si="208"/>
        <v>62364.133391469339</v>
      </c>
      <c r="S317" s="173">
        <f t="shared" si="209"/>
        <v>0</v>
      </c>
      <c r="U317" s="87" t="s">
        <v>251</v>
      </c>
      <c r="V317" s="87" t="s">
        <v>252</v>
      </c>
      <c r="W317" s="173">
        <f t="shared" si="210"/>
        <v>58152.173560458454</v>
      </c>
      <c r="X317" s="173">
        <f t="shared" si="244"/>
        <v>0</v>
      </c>
      <c r="Y317" s="173">
        <f t="shared" si="245"/>
        <v>60122.694405913942</v>
      </c>
      <c r="Z317" s="173">
        <f t="shared" si="246"/>
        <v>0</v>
      </c>
      <c r="AA317" s="173">
        <f t="shared" si="247"/>
        <v>61236.386824439149</v>
      </c>
      <c r="AB317" s="173">
        <f t="shared" si="248"/>
        <v>0</v>
      </c>
      <c r="AC317" s="173">
        <f t="shared" si="249"/>
        <v>62364.133391469339</v>
      </c>
      <c r="AD317" s="173">
        <f t="shared" si="250"/>
        <v>0</v>
      </c>
      <c r="AF317" s="87" t="s">
        <v>251</v>
      </c>
      <c r="AG317" s="87" t="s">
        <v>252</v>
      </c>
      <c r="AH317" s="173">
        <f t="shared" si="211"/>
        <v>58152.173560458454</v>
      </c>
      <c r="AI317" s="173">
        <f t="shared" si="212"/>
        <v>0</v>
      </c>
      <c r="AJ317" s="173">
        <f t="shared" si="213"/>
        <v>59084.48325272803</v>
      </c>
      <c r="AK317" s="173">
        <f t="shared" si="214"/>
        <v>0</v>
      </c>
      <c r="AL317" s="173">
        <f t="shared" si="215"/>
        <v>61192.991039973545</v>
      </c>
      <c r="AM317" s="173">
        <f t="shared" si="216"/>
        <v>0</v>
      </c>
      <c r="AN317" s="173">
        <f t="shared" si="217"/>
        <v>62319.515962460056</v>
      </c>
      <c r="AO317" s="173">
        <f t="shared" si="218"/>
        <v>0</v>
      </c>
      <c r="AQ317" s="87" t="s">
        <v>251</v>
      </c>
      <c r="AR317" s="87" t="s">
        <v>252</v>
      </c>
      <c r="AS317" s="173">
        <f t="shared" si="219"/>
        <v>58152.173560458454</v>
      </c>
      <c r="AT317" s="173">
        <f t="shared" si="220"/>
        <v>0</v>
      </c>
      <c r="AU317" s="173">
        <f t="shared" si="221"/>
        <v>61602.575197897262</v>
      </c>
      <c r="AV317" s="173">
        <f t="shared" si="222"/>
        <v>0</v>
      </c>
      <c r="AW317" s="173">
        <f t="shared" si="223"/>
        <v>62684.794911505509</v>
      </c>
      <c r="AX317" s="173">
        <f t="shared" si="224"/>
        <v>0</v>
      </c>
      <c r="AY317" s="173">
        <f t="shared" si="225"/>
        <v>63843.847793667948</v>
      </c>
      <c r="AZ317" s="173">
        <f t="shared" si="226"/>
        <v>0</v>
      </c>
      <c r="BB317" s="87" t="s">
        <v>251</v>
      </c>
      <c r="BC317" s="87" t="s">
        <v>252</v>
      </c>
      <c r="BD317" s="173">
        <f t="shared" si="227"/>
        <v>58152.173560458454</v>
      </c>
      <c r="BE317" s="173">
        <f t="shared" si="228"/>
        <v>0</v>
      </c>
      <c r="BF317" s="173">
        <f t="shared" si="229"/>
        <v>61602.575197897262</v>
      </c>
      <c r="BG317" s="173">
        <f t="shared" si="230"/>
        <v>0</v>
      </c>
      <c r="BH317" s="173">
        <f t="shared" si="231"/>
        <v>62684.794911505509</v>
      </c>
      <c r="BI317" s="173">
        <f t="shared" si="232"/>
        <v>0</v>
      </c>
      <c r="BJ317" s="173">
        <f t="shared" si="233"/>
        <v>63843.847793667948</v>
      </c>
      <c r="BK317" s="173">
        <f t="shared" si="234"/>
        <v>0</v>
      </c>
      <c r="BM317" s="87" t="s">
        <v>251</v>
      </c>
      <c r="BN317" s="87" t="s">
        <v>252</v>
      </c>
      <c r="BO317" s="173">
        <f t="shared" si="235"/>
        <v>58152.173560458454</v>
      </c>
      <c r="BP317" s="173">
        <f t="shared" si="236"/>
        <v>0</v>
      </c>
      <c r="BQ317" s="173">
        <f t="shared" si="237"/>
        <v>60538.199998342927</v>
      </c>
      <c r="BR317" s="173">
        <f t="shared" si="238"/>
        <v>0</v>
      </c>
      <c r="BS317" s="173">
        <f t="shared" si="239"/>
        <v>62639.956934772708</v>
      </c>
      <c r="BT317" s="173">
        <f t="shared" si="240"/>
        <v>0</v>
      </c>
      <c r="BU317" s="173">
        <f t="shared" si="241"/>
        <v>63797.756912527359</v>
      </c>
      <c r="BV317" s="173">
        <f t="shared" si="242"/>
        <v>0</v>
      </c>
    </row>
    <row r="318" spans="5:74">
      <c r="E318" s="87" t="s">
        <v>85</v>
      </c>
      <c r="F318" s="87" t="s">
        <v>86</v>
      </c>
      <c r="G318" s="173">
        <f>IFERROR(IF(VLOOKUP(E318,A:C,3,FALSE)="YES",VLOOKUP(E318,'School Year 2021-22 SPED coop'!A:P,16,FALSE),0),0)</f>
        <v>0</v>
      </c>
      <c r="H318" s="173">
        <f t="shared" si="243"/>
        <v>2972269.8100000005</v>
      </c>
      <c r="J318" s="87" t="s">
        <v>85</v>
      </c>
      <c r="K318" s="87" t="s">
        <v>86</v>
      </c>
      <c r="L318" s="173">
        <f t="shared" si="202"/>
        <v>0</v>
      </c>
      <c r="M318" s="173">
        <f t="shared" si="203"/>
        <v>3006235.0527040982</v>
      </c>
      <c r="N318" s="173">
        <f t="shared" si="204"/>
        <v>0</v>
      </c>
      <c r="O318" s="173">
        <f t="shared" si="205"/>
        <v>3108064.9460454718</v>
      </c>
      <c r="P318" s="173">
        <f t="shared" si="206"/>
        <v>0</v>
      </c>
      <c r="Q318" s="173">
        <f t="shared" si="207"/>
        <v>3165635.3201528704</v>
      </c>
      <c r="R318" s="173">
        <f t="shared" si="208"/>
        <v>0</v>
      </c>
      <c r="S318" s="173">
        <f t="shared" si="209"/>
        <v>3223930.2362717823</v>
      </c>
      <c r="U318" s="87" t="s">
        <v>85</v>
      </c>
      <c r="V318" s="87" t="s">
        <v>86</v>
      </c>
      <c r="W318" s="173">
        <f t="shared" si="210"/>
        <v>0</v>
      </c>
      <c r="X318" s="173">
        <f t="shared" si="244"/>
        <v>3006235.0527040982</v>
      </c>
      <c r="Y318" s="173">
        <f t="shared" si="245"/>
        <v>0</v>
      </c>
      <c r="Z318" s="173">
        <f t="shared" si="246"/>
        <v>3123311.0497161252</v>
      </c>
      <c r="AA318" s="173">
        <f t="shared" si="247"/>
        <v>0</v>
      </c>
      <c r="AB318" s="173">
        <f t="shared" si="248"/>
        <v>3183520.3387832595</v>
      </c>
      <c r="AC318" s="173">
        <f t="shared" si="249"/>
        <v>0</v>
      </c>
      <c r="AD318" s="173">
        <f t="shared" si="250"/>
        <v>3247736.2363744541</v>
      </c>
      <c r="AF318" s="87" t="s">
        <v>85</v>
      </c>
      <c r="AG318" s="87" t="s">
        <v>86</v>
      </c>
      <c r="AH318" s="173">
        <f t="shared" si="211"/>
        <v>0</v>
      </c>
      <c r="AI318" s="173">
        <f t="shared" si="212"/>
        <v>3006235.0527040982</v>
      </c>
      <c r="AJ318" s="173">
        <f t="shared" si="213"/>
        <v>0</v>
      </c>
      <c r="AK318" s="173">
        <f t="shared" si="214"/>
        <v>3097329.6165952189</v>
      </c>
      <c r="AL318" s="173">
        <f t="shared" si="215"/>
        <v>0</v>
      </c>
      <c r="AM318" s="173">
        <f t="shared" si="216"/>
        <v>3153295.523653199</v>
      </c>
      <c r="AN318" s="173">
        <f t="shared" si="217"/>
        <v>0</v>
      </c>
      <c r="AO318" s="173">
        <f t="shared" si="218"/>
        <v>3214441.1268337471</v>
      </c>
      <c r="AQ318" s="87" t="s">
        <v>85</v>
      </c>
      <c r="AR318" s="87" t="s">
        <v>86</v>
      </c>
      <c r="AS318" s="173">
        <f t="shared" si="219"/>
        <v>0</v>
      </c>
      <c r="AT318" s="173">
        <f t="shared" si="220"/>
        <v>3006235.0527040982</v>
      </c>
      <c r="AU318" s="173">
        <f t="shared" si="221"/>
        <v>0</v>
      </c>
      <c r="AV318" s="173">
        <f t="shared" si="222"/>
        <v>3184572.7890452212</v>
      </c>
      <c r="AW318" s="173">
        <f t="shared" si="223"/>
        <v>0</v>
      </c>
      <c r="AX318" s="173">
        <f t="shared" si="224"/>
        <v>3240514.5428787288</v>
      </c>
      <c r="AY318" s="173">
        <f t="shared" si="225"/>
        <v>0</v>
      </c>
      <c r="AZ318" s="173">
        <f t="shared" si="226"/>
        <v>3300427.9278759621</v>
      </c>
      <c r="BB318" s="87" t="s">
        <v>85</v>
      </c>
      <c r="BC318" s="87" t="s">
        <v>86</v>
      </c>
      <c r="BD318" s="173">
        <f t="shared" si="227"/>
        <v>0</v>
      </c>
      <c r="BE318" s="173">
        <f t="shared" si="228"/>
        <v>3006235.0527040982</v>
      </c>
      <c r="BF318" s="173">
        <f t="shared" si="229"/>
        <v>0</v>
      </c>
      <c r="BG318" s="173">
        <f t="shared" si="230"/>
        <v>3200194.19344316</v>
      </c>
      <c r="BH318" s="173">
        <f t="shared" si="231"/>
        <v>0</v>
      </c>
      <c r="BI318" s="173">
        <f t="shared" si="232"/>
        <v>3258822.606359506</v>
      </c>
      <c r="BJ318" s="173">
        <f t="shared" si="233"/>
        <v>0</v>
      </c>
      <c r="BK318" s="173">
        <f t="shared" si="234"/>
        <v>3324798.7956304257</v>
      </c>
      <c r="BM318" s="87" t="s">
        <v>85</v>
      </c>
      <c r="BN318" s="87" t="s">
        <v>86</v>
      </c>
      <c r="BO318" s="173">
        <f t="shared" si="235"/>
        <v>0</v>
      </c>
      <c r="BP318" s="173">
        <f t="shared" si="236"/>
        <v>3006235.0527040982</v>
      </c>
      <c r="BQ318" s="173">
        <f t="shared" si="237"/>
        <v>0</v>
      </c>
      <c r="BR318" s="173">
        <f t="shared" si="238"/>
        <v>3173568.5458030659</v>
      </c>
      <c r="BS318" s="173">
        <f t="shared" si="239"/>
        <v>0</v>
      </c>
      <c r="BT318" s="173">
        <f t="shared" si="240"/>
        <v>3227877.5795149701</v>
      </c>
      <c r="BU318" s="173">
        <f t="shared" si="241"/>
        <v>0</v>
      </c>
      <c r="BV318" s="173">
        <f t="shared" si="242"/>
        <v>3290709.9021168188</v>
      </c>
    </row>
    <row r="319" spans="5:74">
      <c r="E319" s="87" t="s">
        <v>1039</v>
      </c>
      <c r="F319" s="87" t="s">
        <v>1045</v>
      </c>
      <c r="G319" s="173">
        <f>IFERROR(IF(VLOOKUP(E319,A:C,3,FALSE)="YES",VLOOKUP(E319,'School Year 2021-22 SPED coop'!A:P,16,FALSE),0),0)</f>
        <v>0</v>
      </c>
      <c r="H319" s="173">
        <f>IF(G319=0,VLOOKUP(E319,SY202122Apport,9,FALSE),0)</f>
        <v>142734.84</v>
      </c>
      <c r="J319" s="87" t="s">
        <v>1039</v>
      </c>
      <c r="K319" s="87" t="s">
        <v>1045</v>
      </c>
      <c r="L319" s="173">
        <f>IFERROR(IF(VLOOKUP(J319,A:C,3,FALSE)="YES",VLOOKUP(J319,MaintSY202122,9,FALSE),0),0)</f>
        <v>0</v>
      </c>
      <c r="M319" s="173">
        <f>IF(L319=0,VLOOKUP(J319,MaintSY202122,9,FALSE),0)</f>
        <v>144343.61016967293</v>
      </c>
      <c r="N319" s="173">
        <f>IFERROR(IF(VLOOKUP(J319,A:C,3,FALSE)="YES",VLOOKUP(J319,MaintSY202223,9,FALSE),0),0)</f>
        <v>0</v>
      </c>
      <c r="O319" s="173">
        <f>IF(N319=0,VLOOKUP(J319,MaintSY202223,9,FALSE),0)</f>
        <v>149252.59535946453</v>
      </c>
      <c r="P319" s="173">
        <f>IFERROR(IF(VLOOKUP(J319,A:C,3,FALSE)="YES",VLOOKUP(J319,MaintSY202324,9,FALSE),0),0)</f>
        <v>0</v>
      </c>
      <c r="Q319" s="173">
        <f>IF(P319=0,VLOOKUP(J319,MaintSY202324,9,FALSE),0)</f>
        <v>152021.1037439371</v>
      </c>
      <c r="R319" s="173">
        <f>IFERROR(IF(VLOOKUP(J319,A:C,3,FALSE)="YES",VLOOKUP(J319,MaintSY202425,9,FALSE),0),0)</f>
        <v>0</v>
      </c>
      <c r="S319" s="173">
        <f>IF(R319=0,VLOOKUP(J319,MaintSY202425,9,FALSE),0)</f>
        <v>154827.66384574439</v>
      </c>
      <c r="U319" s="87" t="s">
        <v>1039</v>
      </c>
      <c r="V319" s="87" t="s">
        <v>1045</v>
      </c>
      <c r="W319" s="173">
        <f>IFERROR(IF(VLOOKUP(U319,$A:$C,3,FALSE)="YES",VLOOKUP(U319,MaintSY202122CL,9,FALSE),0),0)</f>
        <v>0</v>
      </c>
      <c r="X319" s="173">
        <f>IF(W319=0,VLOOKUP(U319,MaintSY202122CL,9,FALSE),0)</f>
        <v>144343.61016967293</v>
      </c>
      <c r="Y319" s="173">
        <f>IFERROR(IF(VLOOKUP(U319,A:C,3,FALSE)="YES",VLOOKUP(U319,MaintSY202223CL,9,FALSE),0),0)</f>
        <v>0</v>
      </c>
      <c r="Z319" s="173">
        <f>IF(Y319=0,VLOOKUP(U319,MaintSY202223CL,9,FALSE),0)</f>
        <v>149984.3640542246</v>
      </c>
      <c r="AA319" s="173">
        <f>IFERROR(IF(VLOOKUP(U319,A:C,3,FALSE)="YES",VLOOKUP(U319,MaintSY202324CL,9,FALSE),0),0)</f>
        <v>0</v>
      </c>
      <c r="AB319" s="173">
        <f>IF(AA319=0,VLOOKUP(U319,MaintSY202324CL,9,FALSE),0)</f>
        <v>152880.32317063308</v>
      </c>
      <c r="AC319" s="173">
        <f>IFERROR(IF(VLOOKUP(U319,A:C,3,FALSE)="YES",VLOOKUP(U319,MaintSY202425CL,9,FALSE),0),0)</f>
        <v>0</v>
      </c>
      <c r="AD319" s="173">
        <f>IF(AC319=0,VLOOKUP(U319,MaintSY202425CL,9,FALSE),0)</f>
        <v>155971.25228392865</v>
      </c>
      <c r="AF319" s="87" t="s">
        <v>1039</v>
      </c>
      <c r="AG319" s="87" t="s">
        <v>1045</v>
      </c>
      <c r="AH319" s="173">
        <f>IFERROR(IF(VLOOKUP(AF319,$A:$C,3,FALSE)="YES",VLOOKUP(AF319,MaintSY202122F195F,9,FALSE),0),0)</f>
        <v>0</v>
      </c>
      <c r="AI319" s="173">
        <f>IF(AH319=0,VLOOKUP(AF319,MaintSY202122F195F,9,FALSE),0)</f>
        <v>144343.61016967293</v>
      </c>
      <c r="AJ319" s="173">
        <f>IFERROR(IF(VLOOKUP(AF319,$A:$C,3,FALSE)="YES",VLOOKUP(AF319,MaintSY202223F195F,9,FALSE),0),0)</f>
        <v>0</v>
      </c>
      <c r="AK319" s="173">
        <f>IF(AJ319=0,VLOOKUP(AF319,MaintSY202223F195F,9,FALSE),0)</f>
        <v>149252.59535946453</v>
      </c>
      <c r="AL319" s="173">
        <f>IFERROR(IF(VLOOKUP(AF319,$A:$C,3,FALSE)="YES",VLOOKUP(AF319,MaintSY202324F195F,9,FALSE),0),0)</f>
        <v>0</v>
      </c>
      <c r="AM319" s="173">
        <f>IF(AL319=0,VLOOKUP(AF319,MaintSY202324F195F,9,FALSE),0)</f>
        <v>152021.1037439371</v>
      </c>
      <c r="AN319" s="173">
        <f>IFERROR(IF(VLOOKUP(AF319,$A:$C,3,FALSE)="YES",VLOOKUP(AF319,MaintSY202425F195F,9,FALSE),0),0)</f>
        <v>0</v>
      </c>
      <c r="AO319" s="173">
        <f>IF(AN319=0,VLOOKUP(AF319,MaintSY202425F195F,9,FALSE),0)</f>
        <v>154827.66384574439</v>
      </c>
      <c r="AQ319" s="87" t="s">
        <v>1039</v>
      </c>
      <c r="AR319" s="87" t="s">
        <v>1045</v>
      </c>
      <c r="AS319" s="173">
        <f>IFERROR(IF(VLOOKUP(AQ319,$A:$C,3,FALSE)="YES",VLOOKUP(AQ319,EnacSY202122,9,FALSE),0),0)</f>
        <v>0</v>
      </c>
      <c r="AT319" s="173">
        <f>IF(AS319=0,VLOOKUP(AQ319,EnacSY202122,9,FALSE),0)</f>
        <v>144343.61016967293</v>
      </c>
      <c r="AU319" s="173">
        <f>IFERROR(IF(VLOOKUP(AQ319,$A:$C,3,FALSE)="YES",VLOOKUP(AQ319,EnacSY202223,9,FALSE),0),0)</f>
        <v>0</v>
      </c>
      <c r="AV319" s="173">
        <f>IF(AU319=0,VLOOKUP(AQ319,EnacSY202223,9,FALSE),0)</f>
        <v>152925.28074291779</v>
      </c>
      <c r="AW319" s="173">
        <f>IFERROR(IF(VLOOKUP(AQ319,$A:$C,3,FALSE)="YES",VLOOKUP(AQ319,EnacSY202324,9,FALSE),0),0)</f>
        <v>0</v>
      </c>
      <c r="AX319" s="173">
        <f>IF(AW319=0,VLOOKUP(AQ319,EnacSY202324,9,FALSE),0)</f>
        <v>155618.35482496544</v>
      </c>
      <c r="AY319" s="173">
        <f>IFERROR(IF(VLOOKUP(AQ319,$A:$C,3,FALSE)="YES",VLOOKUP(AQ319,EnacSY202425,9,FALSE),0),0)</f>
        <v>0</v>
      </c>
      <c r="AZ319" s="173">
        <f>IF(AY319=0,VLOOKUP(AQ319,EnacSY202425,9,FALSE),0)</f>
        <v>158502.66586194525</v>
      </c>
      <c r="BB319" s="87" t="s">
        <v>1039</v>
      </c>
      <c r="BC319" s="87" t="s">
        <v>1045</v>
      </c>
      <c r="BD319" s="173">
        <f>IFERROR(IF(VLOOKUP(BB319,$A:$C,3,FALSE)="YES",VLOOKUP(BB319,EnacSY202122CL,9,FALSE),0),0)</f>
        <v>0</v>
      </c>
      <c r="BE319" s="173">
        <f>IF(BD319=0,VLOOKUP(BB319,EnacSY202122CL,9,FALSE),0)</f>
        <v>144343.61016967293</v>
      </c>
      <c r="BF319" s="173">
        <f>IFERROR(IF(VLOOKUP(BB319,$A:$C,3,FALSE)="YES",VLOOKUP(BB319,EnacSY202223CL,9,FALSE),0),0)</f>
        <v>0</v>
      </c>
      <c r="BG319" s="173">
        <f>IF(BF319=0,VLOOKUP(BB319,EnacSY202223CL,9,FALSE),0)</f>
        <v>153675.05620119738</v>
      </c>
      <c r="BH319" s="173">
        <f>IFERROR(IF(VLOOKUP(BB319,$A:$C,3,FALSE)="YES",VLOOKUP(BB319,EnacSY202324CL,9,FALSE),0),0)</f>
        <v>0</v>
      </c>
      <c r="BI319" s="173">
        <f>IF(BH319=0,VLOOKUP(BB319,EnacSY202324CL,9,FALSE),0)</f>
        <v>156497.90582363011</v>
      </c>
      <c r="BJ319" s="173">
        <f>IFERROR(IF(VLOOKUP(BB319,$A:$C,3,FALSE)="YES",VLOOKUP(BB319,EnacSY202425CL,9,FALSE),0),0)</f>
        <v>0</v>
      </c>
      <c r="BK319" s="173">
        <f>IF(BJ319=0,VLOOKUP(BB319,EnacSY202425CL,9,FALSE),0)</f>
        <v>159673.39860826955</v>
      </c>
      <c r="BM319" s="87" t="s">
        <v>1039</v>
      </c>
      <c r="BN319" s="87" t="s">
        <v>1045</v>
      </c>
      <c r="BO319" s="173">
        <f>IFERROR(IF(VLOOKUP(BM319,$A:$C,3,FALSE)="YES",VLOOKUP(BM319,EnacSY202122F195F,9,FALSE),0),0)</f>
        <v>0</v>
      </c>
      <c r="BP319" s="173">
        <f>IF(BO319=0,VLOOKUP(BM319,EnacSY202122F195F,9,FALSE),0)</f>
        <v>144343.61016967293</v>
      </c>
      <c r="BQ319" s="173">
        <f>IFERROR(IF(VLOOKUP(BM319,$A:$C,3,FALSE)="YES",VLOOKUP(BM319,EnacSY202223F195F,9,FALSE),0),0)</f>
        <v>0</v>
      </c>
      <c r="BR319" s="173">
        <f>IF(BQ319=0,VLOOKUP(BM319,EnacSY202223F195F,9,FALSE),0)</f>
        <v>152925.28074291779</v>
      </c>
      <c r="BS319" s="173">
        <f>IFERROR(IF(VLOOKUP(BM319,$A:$C,3,FALSE)="YES",VLOOKUP(BM319,EnacSY202324F195F,9,FALSE),0),0)</f>
        <v>0</v>
      </c>
      <c r="BT319" s="173">
        <f>IF(BS319=0,VLOOKUP(BM319,EnacSY202324F195F,9,FALSE),0)</f>
        <v>155618.35482496544</v>
      </c>
      <c r="BU319" s="173">
        <f>IFERROR(IF(VLOOKUP(BM319,$A:$C,3,FALSE)="YES",VLOOKUP(BM319,EnacSY202425F195F,9,FALSE),0),0)</f>
        <v>0</v>
      </c>
      <c r="BV319" s="173">
        <f>IF(BU319=0,VLOOKUP(BM319,EnacSY202425F195F,9,FALSE),0)</f>
        <v>158502.66586194525</v>
      </c>
    </row>
    <row r="320" spans="5:74">
      <c r="E320" s="87" t="s">
        <v>585</v>
      </c>
      <c r="F320" s="87" t="s">
        <v>586</v>
      </c>
      <c r="G320" s="173">
        <f>IFERROR(IF(VLOOKUP(E320,A:C,3,FALSE)="YES",VLOOKUP(E320,'School Year 2021-22 SPED coop'!A:P,16,FALSE),0),0)</f>
        <v>0</v>
      </c>
      <c r="H320" s="173">
        <f>IF(G320=0,VLOOKUP(E320,SY202122Apport,9,FALSE),0)</f>
        <v>18353894.239999998</v>
      </c>
      <c r="J320" s="87" t="s">
        <v>585</v>
      </c>
      <c r="K320" s="87" t="s">
        <v>586</v>
      </c>
      <c r="L320" s="173">
        <f>IFERROR(IF(VLOOKUP(J320,A:C,3,FALSE)="YES",VLOOKUP(J320,MaintSY202122,9,FALSE),0),0)</f>
        <v>0</v>
      </c>
      <c r="M320" s="173">
        <f>IF(L320=0,VLOOKUP(J320,MaintSY202122,9,FALSE),0)</f>
        <v>18678756.946355462</v>
      </c>
      <c r="N320" s="173">
        <f>IFERROR(IF(VLOOKUP(J320,A:C,3,FALSE)="YES",VLOOKUP(J320,MaintSY202223,9,FALSE),0),0)</f>
        <v>0</v>
      </c>
      <c r="O320" s="173">
        <f>IF(N320=0,VLOOKUP(J320,MaintSY202223,9,FALSE),0)</f>
        <v>19311613.905337788</v>
      </c>
      <c r="P320" s="173">
        <f>IFERROR(IF(VLOOKUP(J320,A:C,3,FALSE)="YES",VLOOKUP(J320,MaintSY202324,9,FALSE),0),0)</f>
        <v>0</v>
      </c>
      <c r="Q320" s="173">
        <f>IF(P320=0,VLOOKUP(J320,MaintSY202324,9,FALSE),0)</f>
        <v>19669330.178352393</v>
      </c>
      <c r="R320" s="173">
        <f>IFERROR(IF(VLOOKUP(J320,A:C,3,FALSE)="YES",VLOOKUP(J320,MaintSY202425,9,FALSE),0),0)</f>
        <v>0</v>
      </c>
      <c r="S320" s="173">
        <f>IF(R320=0,VLOOKUP(J320,MaintSY202425,9,FALSE),0)</f>
        <v>20031556.120565988</v>
      </c>
      <c r="U320" s="87" t="s">
        <v>585</v>
      </c>
      <c r="V320" s="87" t="s">
        <v>586</v>
      </c>
      <c r="W320" s="173">
        <f>IFERROR(IF(VLOOKUP(U320,$A:$C,3,FALSE)="YES",VLOOKUP(U320,MaintSY202122CL,9,FALSE),0),0)</f>
        <v>0</v>
      </c>
      <c r="X320" s="173">
        <f>IF(W320=0,VLOOKUP(U320,MaintSY202122CL,9,FALSE),0)</f>
        <v>18678756.946355462</v>
      </c>
      <c r="Y320" s="173">
        <f>IFERROR(IF(VLOOKUP(U320,A:C,3,FALSE)="YES",VLOOKUP(U320,MaintSY202223CL,9,FALSE),0),0)</f>
        <v>0</v>
      </c>
      <c r="Z320" s="173">
        <f>IF(Y320=0,VLOOKUP(U320,MaintSY202223CL,9,FALSE),0)</f>
        <v>19406297.168772876</v>
      </c>
      <c r="AA320" s="173">
        <f>IFERROR(IF(VLOOKUP(U320,A:C,3,FALSE)="YES",VLOOKUP(U320,MaintSY202324CL,9,FALSE),0),0)</f>
        <v>0</v>
      </c>
      <c r="AB320" s="173">
        <f>IF(AA320=0,VLOOKUP(U320,MaintSY202324CL,9,FALSE),0)</f>
        <v>19780504.552510981</v>
      </c>
      <c r="AC320" s="173">
        <f>IFERROR(IF(VLOOKUP(U320,A:C,3,FALSE)="YES",VLOOKUP(U320,MaintSY202425CL,9,FALSE),0),0)</f>
        <v>0</v>
      </c>
      <c r="AD320" s="173">
        <f>IF(AC320=0,VLOOKUP(U320,MaintSY202425CL,9,FALSE),0)</f>
        <v>20179504.966886051</v>
      </c>
      <c r="AF320" s="87" t="s">
        <v>585</v>
      </c>
      <c r="AG320" s="87" t="s">
        <v>586</v>
      </c>
      <c r="AH320" s="173">
        <f>IFERROR(IF(VLOOKUP(AF320,$A:$C,3,FALSE)="YES",VLOOKUP(AF320,MaintSY202122F195F,9,FALSE),0),0)</f>
        <v>0</v>
      </c>
      <c r="AI320" s="173">
        <f>IF(AH320=0,VLOOKUP(AF320,MaintSY202122F195F,9,FALSE),0)</f>
        <v>18678756.946355462</v>
      </c>
      <c r="AJ320" s="173">
        <f>IFERROR(IF(VLOOKUP(AF320,$A:$C,3,FALSE)="YES",VLOOKUP(AF320,MaintSY202223F195F,9,FALSE),0),0)</f>
        <v>0</v>
      </c>
      <c r="AK320" s="173">
        <f>IF(AJ320=0,VLOOKUP(AF320,MaintSY202223F195F,9,FALSE),0)</f>
        <v>19290261.821154278</v>
      </c>
      <c r="AL320" s="173">
        <f>IFERROR(IF(VLOOKUP(AF320,$A:$C,3,FALSE)="YES",VLOOKUP(AF320,MaintSY202324F195F,9,FALSE),0),0)</f>
        <v>0</v>
      </c>
      <c r="AM320" s="173">
        <f>IF(AL320=0,VLOOKUP(AF320,MaintSY202324F195F,9,FALSE),0)</f>
        <v>19647582.568096682</v>
      </c>
      <c r="AN320" s="173">
        <f>IFERROR(IF(VLOOKUP(AF320,$A:$C,3,FALSE)="YES",VLOOKUP(AF320,MaintSY202425F195F,9,FALSE),0),0)</f>
        <v>0</v>
      </c>
      <c r="AO320" s="173">
        <f>IF(AN320=0,VLOOKUP(AF320,MaintSY202425F195F,9,FALSE),0)</f>
        <v>20009408.070516862</v>
      </c>
      <c r="AQ320" s="87" t="s">
        <v>585</v>
      </c>
      <c r="AR320" s="87" t="s">
        <v>586</v>
      </c>
      <c r="AS320" s="173">
        <f>IFERROR(IF(VLOOKUP(AQ320,$A:$C,3,FALSE)="YES",VLOOKUP(AQ320,EnacSY202122,9,FALSE),0),0)</f>
        <v>0</v>
      </c>
      <c r="AT320" s="173">
        <f>IF(AS320=0,VLOOKUP(AQ320,EnacSY202122,9,FALSE),0)</f>
        <v>18678756.946355462</v>
      </c>
      <c r="AU320" s="173">
        <f>IFERROR(IF(VLOOKUP(AQ320,$A:$C,3,FALSE)="YES",VLOOKUP(AQ320,EnacSY202223,9,FALSE),0),0)</f>
        <v>0</v>
      </c>
      <c r="AV320" s="173">
        <f>IF(AU320=0,VLOOKUP(AQ320,EnacSY202223,9,FALSE),0)</f>
        <v>19786964.082911957</v>
      </c>
      <c r="AW320" s="173">
        <f>IFERROR(IF(VLOOKUP(AQ320,$A:$C,3,FALSE)="YES",VLOOKUP(AQ320,EnacSY202324,9,FALSE),0),0)</f>
        <v>0</v>
      </c>
      <c r="AX320" s="173">
        <f>IF(AW320=0,VLOOKUP(AQ320,EnacSY202324,9,FALSE),0)</f>
        <v>20134567.412659585</v>
      </c>
      <c r="AY320" s="173">
        <f>IFERROR(IF(VLOOKUP(AQ320,$A:$C,3,FALSE)="YES",VLOOKUP(AQ320,EnacSY202425,9,FALSE),0),0)</f>
        <v>0</v>
      </c>
      <c r="AZ320" s="173">
        <f>IF(AY320=0,VLOOKUP(AQ320,EnacSY202425,9,FALSE),0)</f>
        <v>20506849.159371011</v>
      </c>
      <c r="BB320" s="87" t="s">
        <v>585</v>
      </c>
      <c r="BC320" s="87" t="s">
        <v>586</v>
      </c>
      <c r="BD320" s="173">
        <f>IFERROR(IF(VLOOKUP(BB320,$A:$C,3,FALSE)="YES",VLOOKUP(BB320,EnacSY202122CL,9,FALSE),0),0)</f>
        <v>0</v>
      </c>
      <c r="BE320" s="173">
        <f>IF(BD320=0,VLOOKUP(BB320,EnacSY202122CL,9,FALSE),0)</f>
        <v>18678756.946355462</v>
      </c>
      <c r="BF320" s="173">
        <f>IFERROR(IF(VLOOKUP(BB320,$A:$C,3,FALSE)="YES",VLOOKUP(BB320,EnacSY202223CL,9,FALSE),0),0)</f>
        <v>0</v>
      </c>
      <c r="BG320" s="173">
        <f>IF(BF320=0,VLOOKUP(BB320,EnacSY202223CL,9,FALSE),0)</f>
        <v>19883977.949701726</v>
      </c>
      <c r="BH320" s="173">
        <f>IFERROR(IF(VLOOKUP(BB320,$A:$C,3,FALSE)="YES",VLOOKUP(BB320,EnacSY202324CL,9,FALSE),0),0)</f>
        <v>0</v>
      </c>
      <c r="BI320" s="173">
        <f>IF(BH320=0,VLOOKUP(BB320,EnacSY202324CL,9,FALSE),0)</f>
        <v>20248371.388000526</v>
      </c>
      <c r="BJ320" s="173">
        <f>IFERROR(IF(VLOOKUP(BB320,$A:$C,3,FALSE)="YES",VLOOKUP(BB320,EnacSY202425CL,9,FALSE),0),0)</f>
        <v>0</v>
      </c>
      <c r="BK320" s="173">
        <f>IF(BJ320=0,VLOOKUP(BB320,EnacSY202425CL,9,FALSE),0)</f>
        <v>20658308.415819708</v>
      </c>
      <c r="BM320" s="87" t="s">
        <v>585</v>
      </c>
      <c r="BN320" s="87" t="s">
        <v>586</v>
      </c>
      <c r="BO320" s="173">
        <f>IFERROR(IF(VLOOKUP(BM320,$A:$C,3,FALSE)="YES",VLOOKUP(BM320,EnacSY202122F195F,9,FALSE),0),0)</f>
        <v>0</v>
      </c>
      <c r="BP320" s="173">
        <f>IF(BO320=0,VLOOKUP(BM320,EnacSY202122F195F,9,FALSE),0)</f>
        <v>18678756.946355462</v>
      </c>
      <c r="BQ320" s="173">
        <f>IFERROR(IF(VLOOKUP(BM320,$A:$C,3,FALSE)="YES",VLOOKUP(BM320,EnacSY202223F195F,9,FALSE),0),0)</f>
        <v>0</v>
      </c>
      <c r="BR320" s="173">
        <f>IF(BQ320=0,VLOOKUP(BM320,EnacSY202223F195F,9,FALSE),0)</f>
        <v>19765075.71865654</v>
      </c>
      <c r="BS320" s="173">
        <f>IFERROR(IF(VLOOKUP(BM320,$A:$C,3,FALSE)="YES",VLOOKUP(BM320,EnacSY202324F195F,9,FALSE),0),0)</f>
        <v>0</v>
      </c>
      <c r="BT320" s="173">
        <f>IF(BS320=0,VLOOKUP(BM320,EnacSY202324F195F,9,FALSE),0)</f>
        <v>20112294.580980424</v>
      </c>
      <c r="BU320" s="173">
        <f>IFERROR(IF(VLOOKUP(BM320,$A:$C,3,FALSE)="YES",VLOOKUP(BM320,EnacSY202425F195F,9,FALSE),0),0)</f>
        <v>0</v>
      </c>
      <c r="BV320" s="173">
        <f>IF(BU320=0,VLOOKUP(BM320,EnacSY202425F195F,9,FALSE),0)</f>
        <v>20484164.527201906</v>
      </c>
    </row>
    <row r="321" spans="5:74">
      <c r="E321" s="87" t="s">
        <v>507</v>
      </c>
      <c r="F321" s="87" t="s">
        <v>508</v>
      </c>
      <c r="G321" s="173">
        <f>IFERROR(IF(VLOOKUP(E321,A:C,3,FALSE)="YES",VLOOKUP(E321,'School Year 2021-22 SPED coop'!A:P,16,FALSE),0),0)</f>
        <v>0</v>
      </c>
      <c r="H321" s="173">
        <f>IF(G321=0,VLOOKUP(E321,SY202122Apport,9,FALSE),0)</f>
        <v>6845666.6600000001</v>
      </c>
      <c r="J321" s="87" t="s">
        <v>507</v>
      </c>
      <c r="K321" s="87" t="s">
        <v>508</v>
      </c>
      <c r="L321" s="173">
        <f>IFERROR(IF(VLOOKUP(J321,A:C,3,FALSE)="YES",VLOOKUP(J321,MaintSY202122,9,FALSE),0),0)</f>
        <v>0</v>
      </c>
      <c r="M321" s="173">
        <f>IF(L321=0,VLOOKUP(J321,MaintSY202122,9,FALSE),0)</f>
        <v>6923918.7120449366</v>
      </c>
      <c r="N321" s="173">
        <f>IFERROR(IF(VLOOKUP(J321,A:C,3,FALSE)="YES",VLOOKUP(J321,MaintSY202223,9,FALSE),0),0)</f>
        <v>0</v>
      </c>
      <c r="O321" s="173">
        <f>IF(N321=0,VLOOKUP(J321,MaintSY202223,9,FALSE),0)</f>
        <v>7158452.6227752697</v>
      </c>
      <c r="P321" s="173">
        <f>IFERROR(IF(VLOOKUP(J321,A:C,3,FALSE)="YES",VLOOKUP(J321,MaintSY202324,9,FALSE),0),0)</f>
        <v>0</v>
      </c>
      <c r="Q321" s="173">
        <f>IF(P321=0,VLOOKUP(J321,MaintSY202324,9,FALSE),0)</f>
        <v>7291035.8475531498</v>
      </c>
      <c r="R321" s="173">
        <f>IFERROR(IF(VLOOKUP(J321,A:C,3,FALSE)="YES",VLOOKUP(J321,MaintSY202425,9,FALSE),0),0)</f>
        <v>0</v>
      </c>
      <c r="S321" s="173">
        <f>IF(R321=0,VLOOKUP(J321,MaintSY202425,9,FALSE),0)</f>
        <v>7425277.8588400315</v>
      </c>
      <c r="U321" s="87" t="s">
        <v>507</v>
      </c>
      <c r="V321" s="87" t="s">
        <v>508</v>
      </c>
      <c r="W321" s="173">
        <f>IFERROR(IF(VLOOKUP(U321,$A:$C,3,FALSE)="YES",VLOOKUP(U321,MaintSY202122CL,9,FALSE),0),0)</f>
        <v>0</v>
      </c>
      <c r="X321" s="173">
        <f>IF(W321=0,VLOOKUP(U321,MaintSY202122CL,9,FALSE),0)</f>
        <v>6923918.7120449366</v>
      </c>
      <c r="Y321" s="173">
        <f>IFERROR(IF(VLOOKUP(U321,A:C,3,FALSE)="YES",VLOOKUP(U321,MaintSY202223CL,9,FALSE),0),0)</f>
        <v>0</v>
      </c>
      <c r="Z321" s="173">
        <f>IF(Y321=0,VLOOKUP(U321,MaintSY202223CL,9,FALSE),0)</f>
        <v>7193545.2653045785</v>
      </c>
      <c r="AA321" s="173">
        <f>IFERROR(IF(VLOOKUP(U321,A:C,3,FALSE)="YES",VLOOKUP(U321,MaintSY202324CL,9,FALSE),0),0)</f>
        <v>0</v>
      </c>
      <c r="AB321" s="173">
        <f>IF(AA321=0,VLOOKUP(U321,MaintSY202324CL,9,FALSE),0)</f>
        <v>7332251.8240083074</v>
      </c>
      <c r="AC321" s="173">
        <f>IFERROR(IF(VLOOKUP(U321,A:C,3,FALSE)="YES",VLOOKUP(U321,MaintSY202425CL,9,FALSE),0),0)</f>
        <v>0</v>
      </c>
      <c r="AD321" s="173">
        <f>IF(AC321=0,VLOOKUP(U321,MaintSY202425CL,9,FALSE),0)</f>
        <v>7480137.195636048</v>
      </c>
      <c r="AF321" s="87" t="s">
        <v>507</v>
      </c>
      <c r="AG321" s="87" t="s">
        <v>508</v>
      </c>
      <c r="AH321" s="173">
        <f>IFERROR(IF(VLOOKUP(AF321,$A:$C,3,FALSE)="YES",VLOOKUP(AF321,MaintSY202122F195F,9,FALSE),0),0)</f>
        <v>0</v>
      </c>
      <c r="AI321" s="173">
        <f>IF(AH321=0,VLOOKUP(AF321,MaintSY202122F195F,9,FALSE),0)</f>
        <v>6923918.7120449366</v>
      </c>
      <c r="AJ321" s="173">
        <f>IFERROR(IF(VLOOKUP(AF321,$A:$C,3,FALSE)="YES",VLOOKUP(AF321,MaintSY202223F195F,9,FALSE),0),0)</f>
        <v>0</v>
      </c>
      <c r="AK321" s="173">
        <f>IF(AJ321=0,VLOOKUP(AF321,MaintSY202223F195F,9,FALSE),0)</f>
        <v>7166941.172379937</v>
      </c>
      <c r="AL321" s="173">
        <f>IFERROR(IF(VLOOKUP(AF321,$A:$C,3,FALSE)="YES",VLOOKUP(AF321,MaintSY202324F195F,9,FALSE),0),0)</f>
        <v>0</v>
      </c>
      <c r="AM321" s="173">
        <f>IF(AL321=0,VLOOKUP(AF321,MaintSY202324F195F,9,FALSE),0)</f>
        <v>7299325.2396859583</v>
      </c>
      <c r="AN321" s="173">
        <f>IFERROR(IF(VLOOKUP(AF321,$A:$C,3,FALSE)="YES",VLOOKUP(AF321,MaintSY202425F195F,9,FALSE),0),0)</f>
        <v>0</v>
      </c>
      <c r="AO321" s="173">
        <f>IF(AN321=0,VLOOKUP(AF321,MaintSY202425F195F,9,FALSE),0)</f>
        <v>7433359.8542834902</v>
      </c>
      <c r="AQ321" s="87" t="s">
        <v>507</v>
      </c>
      <c r="AR321" s="87" t="s">
        <v>508</v>
      </c>
      <c r="AS321" s="173">
        <f>IFERROR(IF(VLOOKUP(AQ321,$A:$C,3,FALSE)="YES",VLOOKUP(AQ321,EnacSY202122,9,FALSE),0),0)</f>
        <v>0</v>
      </c>
      <c r="AT321" s="173">
        <f>IF(AS321=0,VLOOKUP(AQ321,EnacSY202122,9,FALSE),0)</f>
        <v>6923918.7120449366</v>
      </c>
      <c r="AU321" s="173">
        <f>IFERROR(IF(VLOOKUP(AQ321,$A:$C,3,FALSE)="YES",VLOOKUP(AQ321,EnacSY202223,9,FALSE),0),0)</f>
        <v>0</v>
      </c>
      <c r="AV321" s="173">
        <f>IF(AU321=0,VLOOKUP(AQ321,EnacSY202223,9,FALSE),0)</f>
        <v>7334658.1009716075</v>
      </c>
      <c r="AW321" s="173">
        <f>IFERROR(IF(VLOOKUP(AQ321,$A:$C,3,FALSE)="YES",VLOOKUP(AQ321,EnacSY202324,9,FALSE),0),0)</f>
        <v>0</v>
      </c>
      <c r="AX321" s="173">
        <f>IF(AW321=0,VLOOKUP(AQ321,EnacSY202324,9,FALSE),0)</f>
        <v>7463481.6465657298</v>
      </c>
      <c r="AY321" s="173">
        <f>IFERROR(IF(VLOOKUP(AQ321,$A:$C,3,FALSE)="YES",VLOOKUP(AQ321,EnacSY202425,9,FALSE),0),0)</f>
        <v>0</v>
      </c>
      <c r="AZ321" s="173">
        <f>IF(AY321=0,VLOOKUP(AQ321,EnacSY202425,9,FALSE),0)</f>
        <v>7601450.9621979296</v>
      </c>
      <c r="BB321" s="87" t="s">
        <v>507</v>
      </c>
      <c r="BC321" s="87" t="s">
        <v>508</v>
      </c>
      <c r="BD321" s="173">
        <f>IFERROR(IF(VLOOKUP(BB321,$A:$C,3,FALSE)="YES",VLOOKUP(BB321,EnacSY202122CL,9,FALSE),0),0)</f>
        <v>0</v>
      </c>
      <c r="BE321" s="173">
        <f>IF(BD321=0,VLOOKUP(BB321,EnacSY202122CL,9,FALSE),0)</f>
        <v>6923918.7120449366</v>
      </c>
      <c r="BF321" s="173">
        <f>IFERROR(IF(VLOOKUP(BB321,$A:$C,3,FALSE)="YES",VLOOKUP(BB321,EnacSY202223CL,9,FALSE),0),0)</f>
        <v>0</v>
      </c>
      <c r="BG321" s="173">
        <f>IF(BF321=0,VLOOKUP(BB321,EnacSY202223CL,9,FALSE),0)</f>
        <v>7370614.5473561892</v>
      </c>
      <c r="BH321" s="173">
        <f>IFERROR(IF(VLOOKUP(BB321,$A:$C,3,FALSE)="YES",VLOOKUP(BB321,EnacSY202324CL,9,FALSE),0),0)</f>
        <v>0</v>
      </c>
      <c r="BI321" s="173">
        <f>IF(BH321=0,VLOOKUP(BB321,EnacSY202324CL,9,FALSE),0)</f>
        <v>7505672.4566564476</v>
      </c>
      <c r="BJ321" s="173">
        <f>IFERROR(IF(VLOOKUP(BB321,$A:$C,3,FALSE)="YES",VLOOKUP(BB321,EnacSY202425CL,9,FALSE),0),0)</f>
        <v>0</v>
      </c>
      <c r="BK321" s="173">
        <f>IF(BJ321=0,VLOOKUP(BB321,EnacSY202425CL,9,FALSE),0)</f>
        <v>7657611.9057753356</v>
      </c>
      <c r="BM321" s="87" t="s">
        <v>507</v>
      </c>
      <c r="BN321" s="87" t="s">
        <v>508</v>
      </c>
      <c r="BO321" s="173">
        <f>IFERROR(IF(VLOOKUP(BM321,$A:$C,3,FALSE)="YES",VLOOKUP(BM321,EnacSY202122F195F,9,FALSE),0),0)</f>
        <v>0</v>
      </c>
      <c r="BP321" s="173">
        <f>IF(BO321=0,VLOOKUP(BM321,EnacSY202122F195F,9,FALSE),0)</f>
        <v>6923918.7120449366</v>
      </c>
      <c r="BQ321" s="173">
        <f>IFERROR(IF(VLOOKUP(BM321,$A:$C,3,FALSE)="YES",VLOOKUP(BM321,EnacSY202223F195F,9,FALSE),0),0)</f>
        <v>0</v>
      </c>
      <c r="BR321" s="173">
        <f>IF(BQ321=0,VLOOKUP(BM321,EnacSY202223F195F,9,FALSE),0)</f>
        <v>7343356.0701685417</v>
      </c>
      <c r="BS321" s="173">
        <f>IFERROR(IF(VLOOKUP(BM321,$A:$C,3,FALSE)="YES",VLOOKUP(BM321,EnacSY202324F195F,9,FALSE),0),0)</f>
        <v>0</v>
      </c>
      <c r="BT321" s="173">
        <f>IF(BS321=0,VLOOKUP(BM321,EnacSY202324F195F,9,FALSE),0)</f>
        <v>7471964.8582265377</v>
      </c>
      <c r="BU321" s="173">
        <f>IFERROR(IF(VLOOKUP(BM321,$A:$C,3,FALSE)="YES",VLOOKUP(BM321,EnacSY202425F195F,9,FALSE),0),0)</f>
        <v>0</v>
      </c>
      <c r="BV321" s="173">
        <f>IF(BU321=0,VLOOKUP(BM321,EnacSY202425F195F,9,FALSE),0)</f>
        <v>7609722.7276106616</v>
      </c>
    </row>
    <row r="322" spans="5:74">
      <c r="E322" s="87" t="s">
        <v>603</v>
      </c>
      <c r="F322" s="87" t="s">
        <v>604</v>
      </c>
      <c r="G322" s="173">
        <f>IFERROR(IF(VLOOKUP(E322,A:C,3,FALSE)="YES",VLOOKUP(E322,'School Year 2021-22 SPED coop'!A:P,16,FALSE),0),0)</f>
        <v>0</v>
      </c>
      <c r="H322" s="173">
        <f>IF(G322=0,VLOOKUP(E322,SY202122Apport,9,FALSE),0)</f>
        <v>1165506.04</v>
      </c>
      <c r="J322" s="87" t="s">
        <v>603</v>
      </c>
      <c r="K322" s="87" t="s">
        <v>604</v>
      </c>
      <c r="L322" s="173">
        <f>IFERROR(IF(VLOOKUP(J322,A:C,3,FALSE)="YES",VLOOKUP(J322,MaintSY202122,9,FALSE),0),0)</f>
        <v>0</v>
      </c>
      <c r="M322" s="173">
        <f>IF(L322=0,VLOOKUP(J322,MaintSY202122,9,FALSE),0)</f>
        <v>1178648.8546684843</v>
      </c>
      <c r="N322" s="173">
        <f>IFERROR(IF(VLOOKUP(J322,A:C,3,FALSE)="YES",VLOOKUP(J322,MaintSY202223,9,FALSE),0),0)</f>
        <v>0</v>
      </c>
      <c r="O322" s="173">
        <f>IF(N322=0,VLOOKUP(J322,MaintSY202223,9,FALSE),0)</f>
        <v>1218586.1954804822</v>
      </c>
      <c r="P322" s="173">
        <f>IFERROR(IF(VLOOKUP(J322,A:C,3,FALSE)="YES",VLOOKUP(J322,MaintSY202324,9,FALSE),0),0)</f>
        <v>0</v>
      </c>
      <c r="Q322" s="173">
        <f>IF(P322=0,VLOOKUP(J322,MaintSY202324,9,FALSE),0)</f>
        <v>1241157.6978184765</v>
      </c>
      <c r="R322" s="173">
        <f>IFERROR(IF(VLOOKUP(J322,A:C,3,FALSE)="YES",VLOOKUP(J322,MaintSY202425,9,FALSE),0),0)</f>
        <v>0</v>
      </c>
      <c r="S322" s="173">
        <f>IF(R322=0,VLOOKUP(J322,MaintSY202425,9,FALSE),0)</f>
        <v>1264013.0872900118</v>
      </c>
      <c r="U322" s="87" t="s">
        <v>603</v>
      </c>
      <c r="V322" s="87" t="s">
        <v>604</v>
      </c>
      <c r="W322" s="173">
        <f>IFERROR(IF(VLOOKUP(U322,$A:$C,3,FALSE)="YES",VLOOKUP(U322,MaintSY202122CL,9,FALSE),0),0)</f>
        <v>0</v>
      </c>
      <c r="X322" s="173">
        <f>IF(W322=0,VLOOKUP(U322,MaintSY202122CL,9,FALSE),0)</f>
        <v>1178648.8546684843</v>
      </c>
      <c r="Y322" s="173">
        <f>IFERROR(IF(VLOOKUP(U322,A:C,3,FALSE)="YES",VLOOKUP(U322,MaintSY202223CL,9,FALSE),0),0)</f>
        <v>0</v>
      </c>
      <c r="Z322" s="173">
        <f>IF(Y322=0,VLOOKUP(U322,MaintSY202223CL,9,FALSE),0)</f>
        <v>1224561.9181736568</v>
      </c>
      <c r="AA322" s="173">
        <f>IFERROR(IF(VLOOKUP(U322,A:C,3,FALSE)="YES",VLOOKUP(U322,MaintSY202324CL,9,FALSE),0),0)</f>
        <v>0</v>
      </c>
      <c r="AB322" s="173">
        <f>IF(AA322=0,VLOOKUP(U322,MaintSY202324CL,9,FALSE),0)</f>
        <v>1248173.8559330427</v>
      </c>
      <c r="AC322" s="173">
        <f>IFERROR(IF(VLOOKUP(U322,A:C,3,FALSE)="YES",VLOOKUP(U322,MaintSY202425CL,9,FALSE),0),0)</f>
        <v>0</v>
      </c>
      <c r="AD322" s="173">
        <f>IF(AC322=0,VLOOKUP(U322,MaintSY202425CL,9,FALSE),0)</f>
        <v>1273352.4566454035</v>
      </c>
      <c r="AF322" s="87" t="s">
        <v>603</v>
      </c>
      <c r="AG322" s="87" t="s">
        <v>604</v>
      </c>
      <c r="AH322" s="173">
        <f>IFERROR(IF(VLOOKUP(AF322,$A:$C,3,FALSE)="YES",VLOOKUP(AF322,MaintSY202122F195F,9,FALSE),0),0)</f>
        <v>0</v>
      </c>
      <c r="AI322" s="173">
        <f>IF(AH322=0,VLOOKUP(AF322,MaintSY202122F195F,9,FALSE),0)</f>
        <v>1178648.8546684843</v>
      </c>
      <c r="AJ322" s="173">
        <f>IFERROR(IF(VLOOKUP(AF322,$A:$C,3,FALSE)="YES",VLOOKUP(AF322,MaintSY202223F195F,9,FALSE),0),0)</f>
        <v>0</v>
      </c>
      <c r="AK322" s="173">
        <f>IF(AJ322=0,VLOOKUP(AF322,MaintSY202223F195F,9,FALSE),0)</f>
        <v>1220463.3970921943</v>
      </c>
      <c r="AL322" s="173">
        <f>IFERROR(IF(VLOOKUP(AF322,$A:$C,3,FALSE)="YES",VLOOKUP(AF322,MaintSY202324F195F,9,FALSE),0),0)</f>
        <v>0</v>
      </c>
      <c r="AM322" s="173">
        <f>IF(AL322=0,VLOOKUP(AF322,MaintSY202324F195F,9,FALSE),0)</f>
        <v>1246503.9998216298</v>
      </c>
      <c r="AN322" s="173">
        <f>IFERROR(IF(VLOOKUP(AF322,$A:$C,3,FALSE)="YES",VLOOKUP(AF322,MaintSY202425F195F,9,FALSE),0),0)</f>
        <v>0</v>
      </c>
      <c r="AO322" s="173">
        <f>IF(AN322=0,VLOOKUP(AF322,MaintSY202425F195F,9,FALSE),0)</f>
        <v>1271198.0307619884</v>
      </c>
      <c r="AQ322" s="87" t="s">
        <v>603</v>
      </c>
      <c r="AR322" s="87" t="s">
        <v>604</v>
      </c>
      <c r="AS322" s="173">
        <f>IFERROR(IF(VLOOKUP(AQ322,$A:$C,3,FALSE)="YES",VLOOKUP(AQ322,EnacSY202122,9,FALSE),0),0)</f>
        <v>0</v>
      </c>
      <c r="AT322" s="173">
        <f>IF(AS322=0,VLOOKUP(AQ322,EnacSY202122,9,FALSE),0)</f>
        <v>1178648.8546684843</v>
      </c>
      <c r="AU322" s="173">
        <f>IFERROR(IF(VLOOKUP(AQ322,$A:$C,3,FALSE)="YES",VLOOKUP(AQ322,EnacSY202223,9,FALSE),0),0)</f>
        <v>0</v>
      </c>
      <c r="AV322" s="173">
        <f>IF(AU322=0,VLOOKUP(AQ322,EnacSY202223,9,FALSE),0)</f>
        <v>1248580.3378769767</v>
      </c>
      <c r="AW322" s="173">
        <f>IFERROR(IF(VLOOKUP(AQ322,$A:$C,3,FALSE)="YES",VLOOKUP(AQ322,EnacSY202324,9,FALSE),0),0)</f>
        <v>0</v>
      </c>
      <c r="AX322" s="173">
        <f>IF(AW322=0,VLOOKUP(AQ322,EnacSY202324,9,FALSE),0)</f>
        <v>1270513.1013471319</v>
      </c>
      <c r="AY322" s="173">
        <f>IFERROR(IF(VLOOKUP(AQ322,$A:$C,3,FALSE)="YES",VLOOKUP(AQ322,EnacSY202425,9,FALSE),0),0)</f>
        <v>0</v>
      </c>
      <c r="AZ322" s="173">
        <f>IF(AY322=0,VLOOKUP(AQ322,EnacSY202425,9,FALSE),0)</f>
        <v>1294002.9880870928</v>
      </c>
      <c r="BB322" s="87" t="s">
        <v>603</v>
      </c>
      <c r="BC322" s="87" t="s">
        <v>604</v>
      </c>
      <c r="BD322" s="173">
        <f>IFERROR(IF(VLOOKUP(BB322,$A:$C,3,FALSE)="YES",VLOOKUP(BB322,EnacSY202122CL,9,FALSE),0),0)</f>
        <v>0</v>
      </c>
      <c r="BE322" s="173">
        <f>IF(BD322=0,VLOOKUP(BB322,EnacSY202122CL,9,FALSE),0)</f>
        <v>1178648.8546684843</v>
      </c>
      <c r="BF322" s="173">
        <f>IFERROR(IF(VLOOKUP(BB322,$A:$C,3,FALSE)="YES",VLOOKUP(BB322,EnacSY202223CL,9,FALSE),0),0)</f>
        <v>0</v>
      </c>
      <c r="BG322" s="173">
        <f>IF(BF322=0,VLOOKUP(BB322,EnacSY202223CL,9,FALSE),0)</f>
        <v>1254703.1469323563</v>
      </c>
      <c r="BH322" s="173">
        <f>IFERROR(IF(VLOOKUP(BB322,$A:$C,3,FALSE)="YES",VLOOKUP(BB322,EnacSY202324CL,9,FALSE),0),0)</f>
        <v>0</v>
      </c>
      <c r="BI322" s="173">
        <f>IF(BH322=0,VLOOKUP(BB322,EnacSY202324CL,9,FALSE),0)</f>
        <v>1277695.2035957635</v>
      </c>
      <c r="BJ322" s="173">
        <f>IFERROR(IF(VLOOKUP(BB322,$A:$C,3,FALSE)="YES",VLOOKUP(BB322,EnacSY202425CL,9,FALSE),0),0)</f>
        <v>0</v>
      </c>
      <c r="BK322" s="173">
        <f>IF(BJ322=0,VLOOKUP(BB322,EnacSY202425CL,9,FALSE),0)</f>
        <v>1303563.9442669982</v>
      </c>
      <c r="BM322" s="87" t="s">
        <v>603</v>
      </c>
      <c r="BN322" s="87" t="s">
        <v>604</v>
      </c>
      <c r="BO322" s="173">
        <f>IFERROR(IF(VLOOKUP(BM322,$A:$C,3,FALSE)="YES",VLOOKUP(BM322,EnacSY202122F195F,9,FALSE),0),0)</f>
        <v>0</v>
      </c>
      <c r="BP322" s="173">
        <f>IF(BO322=0,VLOOKUP(BM322,EnacSY202122F195F,9,FALSE),0)</f>
        <v>1178648.8546684843</v>
      </c>
      <c r="BQ322" s="173">
        <f>IFERROR(IF(VLOOKUP(BM322,$A:$C,3,FALSE)="YES",VLOOKUP(BM322,EnacSY202223F195F,9,FALSE),0),0)</f>
        <v>0</v>
      </c>
      <c r="BR322" s="173">
        <f>IF(BQ322=0,VLOOKUP(BM322,EnacSY202223F195F,9,FALSE),0)</f>
        <v>1250504.3472379288</v>
      </c>
      <c r="BS322" s="173">
        <f>IFERROR(IF(VLOOKUP(BM322,$A:$C,3,FALSE)="YES",VLOOKUP(BM322,EnacSY202324F195F,9,FALSE),0),0)</f>
        <v>0</v>
      </c>
      <c r="BT322" s="173">
        <f>IF(BS322=0,VLOOKUP(BM322,EnacSY202324F195F,9,FALSE),0)</f>
        <v>1275988.3952390603</v>
      </c>
      <c r="BU322" s="173">
        <f>IFERROR(IF(VLOOKUP(BM322,$A:$C,3,FALSE)="YES",VLOOKUP(BM322,EnacSY202425F195F,9,FALSE),0),0)</f>
        <v>0</v>
      </c>
      <c r="BV322" s="173">
        <f>IF(BU322=0,VLOOKUP(BM322,EnacSY202425F195F,9,FALSE),0)</f>
        <v>1301361.4183456113</v>
      </c>
    </row>
  </sheetData>
  <autoFilter ref="A3:AO29" xr:uid="{00000000-0009-0000-0000-000009000000}"/>
  <mergeCells count="8">
    <mergeCell ref="AQ1:AZ1"/>
    <mergeCell ref="BB1:BK1"/>
    <mergeCell ref="BM1:BV1"/>
    <mergeCell ref="A1:B1"/>
    <mergeCell ref="J1:S1"/>
    <mergeCell ref="U1:AD1"/>
    <mergeCell ref="E1:H1"/>
    <mergeCell ref="AF1:AO1"/>
  </mergeCells>
  <pageMargins left="0.7" right="0.7" top="0.75" bottom="0.75" header="0.3" footer="0.3"/>
  <pageSetup scale="73" orientation="landscape" r:id="rId1"/>
  <colBreaks count="4" manualBreakCount="4">
    <brk id="4" max="1048575" man="1"/>
    <brk id="9" max="1048575" man="1"/>
    <brk id="19" max="1048575" man="1"/>
    <brk id="30"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59999389629810485"/>
  </sheetPr>
  <dimension ref="C1:V322"/>
  <sheetViews>
    <sheetView topLeftCell="H1" zoomScaleNormal="100" workbookViewId="0">
      <pane ySplit="4" topLeftCell="A5" activePane="bottomLeft" state="frozen"/>
      <selection activeCell="C3" sqref="C3:E3"/>
      <selection pane="bottomLeft" activeCell="C3" sqref="C3:E3"/>
    </sheetView>
  </sheetViews>
  <sheetFormatPr defaultRowHeight="14.4"/>
  <cols>
    <col min="4" max="4" width="46.77734375" bestFit="1" customWidth="1"/>
    <col min="5" max="6" width="12.5546875" bestFit="1" customWidth="1"/>
    <col min="7" max="7" width="12.5546875" customWidth="1"/>
    <col min="8" max="8" width="12.5546875" bestFit="1" customWidth="1"/>
    <col min="11" max="11" width="46.77734375" bestFit="1" customWidth="1"/>
    <col min="12" max="13" width="12.5546875" bestFit="1" customWidth="1"/>
    <col min="14" max="14" width="12.5546875" customWidth="1"/>
    <col min="15" max="15" width="12.5546875" bestFit="1" customWidth="1"/>
    <col min="18" max="18" width="46.77734375" bestFit="1" customWidth="1"/>
    <col min="19" max="20" width="12.5546875" bestFit="1" customWidth="1"/>
    <col min="21" max="21" width="12.5546875" customWidth="1"/>
    <col min="22" max="22" width="12.5546875" bestFit="1" customWidth="1"/>
  </cols>
  <sheetData>
    <row r="1" spans="3:22">
      <c r="C1" s="479" t="s">
        <v>1222</v>
      </c>
      <c r="D1" s="479"/>
      <c r="E1" s="479"/>
      <c r="F1" s="479"/>
      <c r="G1" s="479"/>
      <c r="H1" s="479"/>
      <c r="J1" s="479" t="s">
        <v>1223</v>
      </c>
      <c r="K1" s="479"/>
      <c r="L1" s="479"/>
      <c r="M1" s="479"/>
      <c r="N1" s="479"/>
      <c r="O1" s="479"/>
      <c r="Q1" s="479" t="s">
        <v>1224</v>
      </c>
      <c r="R1" s="479"/>
      <c r="S1" s="479"/>
      <c r="T1" s="479"/>
      <c r="U1" s="479"/>
      <c r="V1" s="479"/>
    </row>
    <row r="2" spans="3:22" ht="15" thickBot="1">
      <c r="C2" s="85" t="s">
        <v>623</v>
      </c>
      <c r="D2" s="85" t="s">
        <v>911</v>
      </c>
      <c r="E2" s="86" t="s">
        <v>1049</v>
      </c>
      <c r="F2" s="86" t="s">
        <v>1050</v>
      </c>
      <c r="G2" s="86" t="s">
        <v>1275</v>
      </c>
      <c r="H2" s="86" t="s">
        <v>1276</v>
      </c>
      <c r="J2" s="85" t="s">
        <v>623</v>
      </c>
      <c r="K2" s="85" t="s">
        <v>911</v>
      </c>
      <c r="L2" s="86" t="s">
        <v>1049</v>
      </c>
      <c r="M2" s="86" t="s">
        <v>1050</v>
      </c>
      <c r="N2" s="86" t="s">
        <v>1275</v>
      </c>
      <c r="O2" s="86" t="s">
        <v>1276</v>
      </c>
      <c r="Q2" s="85" t="s">
        <v>623</v>
      </c>
      <c r="R2" s="85" t="s">
        <v>911</v>
      </c>
      <c r="S2" s="86" t="s">
        <v>1049</v>
      </c>
      <c r="T2" s="86" t="s">
        <v>1050</v>
      </c>
      <c r="U2" s="86" t="s">
        <v>1275</v>
      </c>
      <c r="V2" s="86" t="s">
        <v>1276</v>
      </c>
    </row>
    <row r="3" spans="3:22">
      <c r="C3" s="88"/>
      <c r="D3" s="88"/>
      <c r="J3" s="88"/>
      <c r="K3" s="88"/>
      <c r="Q3" s="88"/>
      <c r="R3" s="88"/>
    </row>
    <row r="4" spans="3:22">
      <c r="C4" s="89" t="s">
        <v>627</v>
      </c>
      <c r="D4" s="90" t="s">
        <v>871</v>
      </c>
      <c r="E4" s="91">
        <v>0</v>
      </c>
      <c r="F4" s="91">
        <v>114762068.48636889</v>
      </c>
      <c r="G4" s="91">
        <v>234179203.19974139</v>
      </c>
      <c r="H4" s="91">
        <v>356772278.163755</v>
      </c>
      <c r="J4" s="89" t="s">
        <v>627</v>
      </c>
      <c r="K4" s="90" t="s">
        <v>871</v>
      </c>
      <c r="L4" s="91">
        <v>0</v>
      </c>
      <c r="M4" s="91">
        <v>115331708.75077437</v>
      </c>
      <c r="N4" s="91">
        <v>235550506.30089179</v>
      </c>
      <c r="O4" s="91">
        <v>359481391.60934007</v>
      </c>
      <c r="Q4" s="89" t="s">
        <v>627</v>
      </c>
      <c r="R4" s="90" t="s">
        <v>871</v>
      </c>
      <c r="S4" s="91">
        <v>0</v>
      </c>
      <c r="T4" s="91">
        <v>117760970.13990012</v>
      </c>
      <c r="U4" s="91">
        <v>242355640.3096306</v>
      </c>
      <c r="V4" s="91">
        <v>370575896.65678072</v>
      </c>
    </row>
    <row r="5" spans="3:22">
      <c r="C5" s="87" t="s">
        <v>141</v>
      </c>
      <c r="D5" s="87" t="s">
        <v>142</v>
      </c>
      <c r="E5" s="173">
        <v>0</v>
      </c>
      <c r="F5" s="173">
        <v>259859.7155276835</v>
      </c>
      <c r="G5" s="173">
        <v>530527.53321100026</v>
      </c>
      <c r="H5" s="173">
        <v>807127.68081196398</v>
      </c>
      <c r="J5" s="87" t="s">
        <v>141</v>
      </c>
      <c r="K5" s="87" t="s">
        <v>142</v>
      </c>
      <c r="L5" s="173">
        <v>0</v>
      </c>
      <c r="M5" s="173">
        <v>261235.05848374963</v>
      </c>
      <c r="N5" s="173">
        <v>533735.00128050894</v>
      </c>
      <c r="O5" s="173">
        <v>812650.54537676275</v>
      </c>
      <c r="Q5" s="87" t="s">
        <v>141</v>
      </c>
      <c r="R5" s="87" t="s">
        <v>142</v>
      </c>
      <c r="S5" s="173">
        <v>0</v>
      </c>
      <c r="T5" s="173">
        <v>261777.42110089958</v>
      </c>
      <c r="U5" s="173">
        <v>534382.82152204961</v>
      </c>
      <c r="V5" s="173">
        <v>812971.57068471611</v>
      </c>
    </row>
    <row r="6" spans="3:22">
      <c r="C6" s="87" t="s">
        <v>279</v>
      </c>
      <c r="D6" s="87" t="s">
        <v>280</v>
      </c>
      <c r="E6" s="173">
        <v>0</v>
      </c>
      <c r="F6" s="173">
        <v>49319.154675881378</v>
      </c>
      <c r="G6" s="173">
        <v>100180.80771847535</v>
      </c>
      <c r="H6" s="173">
        <v>153581.29793755617</v>
      </c>
      <c r="J6" s="87" t="s">
        <v>279</v>
      </c>
      <c r="K6" s="87" t="s">
        <v>280</v>
      </c>
      <c r="L6" s="173">
        <v>0</v>
      </c>
      <c r="M6" s="173">
        <v>49458.464571881108</v>
      </c>
      <c r="N6" s="173">
        <v>101124.24846810754</v>
      </c>
      <c r="O6" s="173">
        <v>154382.42024583556</v>
      </c>
      <c r="Q6" s="87" t="s">
        <v>279</v>
      </c>
      <c r="R6" s="87" t="s">
        <v>280</v>
      </c>
      <c r="S6" s="173">
        <v>0</v>
      </c>
      <c r="T6" s="173">
        <v>46778.953102041967</v>
      </c>
      <c r="U6" s="173">
        <v>89736.278199186549</v>
      </c>
      <c r="V6" s="173">
        <v>140336.93795752712</v>
      </c>
    </row>
    <row r="7" spans="3:22">
      <c r="C7" s="87" t="s">
        <v>301</v>
      </c>
      <c r="D7" s="87" t="s">
        <v>302</v>
      </c>
      <c r="E7" s="173">
        <v>0</v>
      </c>
      <c r="F7" s="173">
        <v>7771.7046350282617</v>
      </c>
      <c r="G7" s="173">
        <v>15711.097025504801</v>
      </c>
      <c r="H7" s="173">
        <v>24077.044669368304</v>
      </c>
      <c r="J7" s="87" t="s">
        <v>301</v>
      </c>
      <c r="K7" s="87" t="s">
        <v>302</v>
      </c>
      <c r="L7" s="173">
        <v>0</v>
      </c>
      <c r="M7" s="173">
        <v>7771.7046350282617</v>
      </c>
      <c r="N7" s="173">
        <v>15711.097025504801</v>
      </c>
      <c r="O7" s="173">
        <v>24077.044669368304</v>
      </c>
      <c r="Q7" s="87" t="s">
        <v>301</v>
      </c>
      <c r="R7" s="87" t="s">
        <v>302</v>
      </c>
      <c r="S7" s="173">
        <v>0</v>
      </c>
      <c r="T7" s="173">
        <v>6318.0428348863497</v>
      </c>
      <c r="U7" s="173">
        <v>8459.8500750209205</v>
      </c>
      <c r="V7" s="173">
        <v>-8145.3113007298671</v>
      </c>
    </row>
    <row r="8" spans="3:22">
      <c r="C8" s="87" t="s">
        <v>407</v>
      </c>
      <c r="D8" s="87" t="s">
        <v>408</v>
      </c>
      <c r="E8" s="173">
        <v>0</v>
      </c>
      <c r="F8" s="173">
        <v>323479.87430784851</v>
      </c>
      <c r="G8" s="173">
        <v>659907.62255398929</v>
      </c>
      <c r="H8" s="173">
        <v>1005230.4366090372</v>
      </c>
      <c r="J8" s="87" t="s">
        <v>407</v>
      </c>
      <c r="K8" s="87" t="s">
        <v>408</v>
      </c>
      <c r="L8" s="173">
        <v>0</v>
      </c>
      <c r="M8" s="173">
        <v>325096.3023173362</v>
      </c>
      <c r="N8" s="173">
        <v>663534.14111733064</v>
      </c>
      <c r="O8" s="173">
        <v>1012471.2333121412</v>
      </c>
      <c r="Q8" s="87" t="s">
        <v>407</v>
      </c>
      <c r="R8" s="87" t="s">
        <v>408</v>
      </c>
      <c r="S8" s="173">
        <v>0</v>
      </c>
      <c r="T8" s="173">
        <v>321795.87349940836</v>
      </c>
      <c r="U8" s="173">
        <v>652418.45851285383</v>
      </c>
      <c r="V8" s="173">
        <v>986762.77465743572</v>
      </c>
    </row>
    <row r="9" spans="3:22">
      <c r="C9" s="87" t="s">
        <v>431</v>
      </c>
      <c r="D9" s="87" t="s">
        <v>432</v>
      </c>
      <c r="E9" s="173">
        <v>0</v>
      </c>
      <c r="F9" s="173">
        <v>703455.43771377206</v>
      </c>
      <c r="G9" s="173">
        <v>1435392.5707789958</v>
      </c>
      <c r="H9" s="173">
        <v>2185603.4915763587</v>
      </c>
      <c r="J9" s="87" t="s">
        <v>431</v>
      </c>
      <c r="K9" s="87" t="s">
        <v>432</v>
      </c>
      <c r="L9" s="173">
        <v>0</v>
      </c>
      <c r="M9" s="173">
        <v>706815.09298540652</v>
      </c>
      <c r="N9" s="173">
        <v>1443577.5231814384</v>
      </c>
      <c r="O9" s="173">
        <v>2201909.7017839849</v>
      </c>
      <c r="Q9" s="87" t="s">
        <v>431</v>
      </c>
      <c r="R9" s="87" t="s">
        <v>432</v>
      </c>
      <c r="S9" s="173">
        <v>0</v>
      </c>
      <c r="T9" s="173">
        <v>739566.88344137371</v>
      </c>
      <c r="U9" s="173">
        <v>1539191.4539028406</v>
      </c>
      <c r="V9" s="173">
        <v>2376984.0811369717</v>
      </c>
    </row>
    <row r="10" spans="3:22">
      <c r="C10" s="87" t="s">
        <v>15</v>
      </c>
      <c r="D10" s="87" t="s">
        <v>16</v>
      </c>
      <c r="E10" s="173">
        <v>0</v>
      </c>
      <c r="F10" s="173">
        <v>56367.739440153353</v>
      </c>
      <c r="G10" s="173">
        <v>114254.16553106252</v>
      </c>
      <c r="H10" s="173">
        <v>174665.71945349872</v>
      </c>
      <c r="J10" s="87" t="s">
        <v>15</v>
      </c>
      <c r="K10" s="87" t="s">
        <v>16</v>
      </c>
      <c r="L10" s="173">
        <v>0</v>
      </c>
      <c r="M10" s="173">
        <v>56518.481858545914</v>
      </c>
      <c r="N10" s="173">
        <v>114715.73033184744</v>
      </c>
      <c r="O10" s="173">
        <v>175766.49907453638</v>
      </c>
      <c r="Q10" s="87" t="s">
        <v>15</v>
      </c>
      <c r="R10" s="87" t="s">
        <v>16</v>
      </c>
      <c r="S10" s="173">
        <v>0</v>
      </c>
      <c r="T10" s="173">
        <v>57665.565242216922</v>
      </c>
      <c r="U10" s="173">
        <v>125309.50544619467</v>
      </c>
      <c r="V10" s="173">
        <v>204945.93349381723</v>
      </c>
    </row>
    <row r="11" spans="3:22">
      <c r="C11" s="87" t="s">
        <v>205</v>
      </c>
      <c r="D11" s="87" t="s">
        <v>206</v>
      </c>
      <c r="E11" s="173">
        <v>0</v>
      </c>
      <c r="F11" s="173">
        <v>1631121.6421582699</v>
      </c>
      <c r="G11" s="173">
        <v>3330020.6765042245</v>
      </c>
      <c r="H11" s="173">
        <v>5068191.1430609822</v>
      </c>
      <c r="J11" s="87" t="s">
        <v>205</v>
      </c>
      <c r="K11" s="87" t="s">
        <v>206</v>
      </c>
      <c r="L11" s="173">
        <v>0</v>
      </c>
      <c r="M11" s="173">
        <v>1639042.9760130942</v>
      </c>
      <c r="N11" s="173">
        <v>3349162.569616884</v>
      </c>
      <c r="O11" s="173">
        <v>5105937.0903382599</v>
      </c>
      <c r="Q11" s="87" t="s">
        <v>205</v>
      </c>
      <c r="R11" s="87" t="s">
        <v>206</v>
      </c>
      <c r="S11" s="173">
        <v>0</v>
      </c>
      <c r="T11" s="173">
        <v>1660862.7261706293</v>
      </c>
      <c r="U11" s="173">
        <v>3420650.1525942981</v>
      </c>
      <c r="V11" s="173">
        <v>5251357.573043108</v>
      </c>
    </row>
    <row r="12" spans="3:22">
      <c r="C12" s="87" t="s">
        <v>229</v>
      </c>
      <c r="D12" s="87" t="s">
        <v>230</v>
      </c>
      <c r="E12" s="173">
        <v>0</v>
      </c>
      <c r="F12" s="173">
        <v>466311.99109747261</v>
      </c>
      <c r="G12" s="173">
        <v>952907.62568317354</v>
      </c>
      <c r="H12" s="173">
        <v>1449950.5455356911</v>
      </c>
      <c r="J12" s="87" t="s">
        <v>229</v>
      </c>
      <c r="K12" s="87" t="s">
        <v>230</v>
      </c>
      <c r="L12" s="173">
        <v>0</v>
      </c>
      <c r="M12" s="173">
        <v>468627.60175491869</v>
      </c>
      <c r="N12" s="173">
        <v>958034.2801226601</v>
      </c>
      <c r="O12" s="173">
        <v>1460371.0038001686</v>
      </c>
      <c r="Q12" s="87" t="s">
        <v>229</v>
      </c>
      <c r="R12" s="87" t="s">
        <v>230</v>
      </c>
      <c r="S12" s="173">
        <v>0</v>
      </c>
      <c r="T12" s="173">
        <v>439465.54116699845</v>
      </c>
      <c r="U12" s="173">
        <v>887858.57028993219</v>
      </c>
      <c r="V12" s="173">
        <v>1332929.6917275712</v>
      </c>
    </row>
    <row r="13" spans="3:22">
      <c r="C13" s="87" t="s">
        <v>69</v>
      </c>
      <c r="D13" s="87" t="s">
        <v>70</v>
      </c>
      <c r="E13" s="173">
        <v>0</v>
      </c>
      <c r="F13" s="173">
        <v>1281747.5720617771</v>
      </c>
      <c r="G13" s="173">
        <v>2615826.160834223</v>
      </c>
      <c r="H13" s="173">
        <v>3982270.3921535611</v>
      </c>
      <c r="J13" s="87" t="s">
        <v>69</v>
      </c>
      <c r="K13" s="87" t="s">
        <v>70</v>
      </c>
      <c r="L13" s="173">
        <v>0</v>
      </c>
      <c r="M13" s="173">
        <v>1288328.9937691391</v>
      </c>
      <c r="N13" s="173">
        <v>2630613.7141211927</v>
      </c>
      <c r="O13" s="173">
        <v>4012139.9454850554</v>
      </c>
      <c r="Q13" s="87" t="s">
        <v>69</v>
      </c>
      <c r="R13" s="87" t="s">
        <v>70</v>
      </c>
      <c r="S13" s="173">
        <v>0</v>
      </c>
      <c r="T13" s="173">
        <v>1276024.1753973067</v>
      </c>
      <c r="U13" s="173">
        <v>2689147.6790480912</v>
      </c>
      <c r="V13" s="173">
        <v>4224357.888294965</v>
      </c>
    </row>
    <row r="14" spans="3:22">
      <c r="C14" s="87" t="s">
        <v>199</v>
      </c>
      <c r="D14" s="87" t="s">
        <v>200</v>
      </c>
      <c r="E14" s="173">
        <v>0</v>
      </c>
      <c r="F14" s="173">
        <v>2429541.2402610779</v>
      </c>
      <c r="G14" s="173">
        <v>4959327.1778619885</v>
      </c>
      <c r="H14" s="173">
        <v>7551280.4218837619</v>
      </c>
      <c r="J14" s="87" t="s">
        <v>199</v>
      </c>
      <c r="K14" s="87" t="s">
        <v>200</v>
      </c>
      <c r="L14" s="173">
        <v>0</v>
      </c>
      <c r="M14" s="173">
        <v>2441067.9275739193</v>
      </c>
      <c r="N14" s="173">
        <v>4987148.34478724</v>
      </c>
      <c r="O14" s="173">
        <v>7606637.4291421771</v>
      </c>
      <c r="Q14" s="87" t="s">
        <v>199</v>
      </c>
      <c r="R14" s="87" t="s">
        <v>200</v>
      </c>
      <c r="S14" s="173">
        <v>0</v>
      </c>
      <c r="T14" s="173">
        <v>2587413.9290430248</v>
      </c>
      <c r="U14" s="173">
        <v>5281753.4945307076</v>
      </c>
      <c r="V14" s="173">
        <v>8042737.578384459</v>
      </c>
    </row>
    <row r="15" spans="3:22">
      <c r="C15" s="87" t="s">
        <v>539</v>
      </c>
      <c r="D15" s="87" t="s">
        <v>540</v>
      </c>
      <c r="E15" s="173">
        <v>0</v>
      </c>
      <c r="F15" s="173">
        <v>1387805.2308300436</v>
      </c>
      <c r="G15" s="173">
        <v>2832640.2397834063</v>
      </c>
      <c r="H15" s="173">
        <v>4312811.8401987255</v>
      </c>
      <c r="J15" s="87" t="s">
        <v>539</v>
      </c>
      <c r="K15" s="87" t="s">
        <v>540</v>
      </c>
      <c r="L15" s="173">
        <v>0</v>
      </c>
      <c r="M15" s="173">
        <v>1394664.1646638513</v>
      </c>
      <c r="N15" s="173">
        <v>2848551.3397585154</v>
      </c>
      <c r="O15" s="173">
        <v>4344720.1463505924</v>
      </c>
      <c r="Q15" s="87" t="s">
        <v>539</v>
      </c>
      <c r="R15" s="87" t="s">
        <v>540</v>
      </c>
      <c r="S15" s="173">
        <v>0</v>
      </c>
      <c r="T15" s="173">
        <v>1408458.6680263281</v>
      </c>
      <c r="U15" s="173">
        <v>2874419.0462697148</v>
      </c>
      <c r="V15" s="173">
        <v>4377325.6004900336</v>
      </c>
    </row>
    <row r="16" spans="3:22">
      <c r="C16" s="87" t="s">
        <v>5</v>
      </c>
      <c r="D16" s="87" t="s">
        <v>6</v>
      </c>
      <c r="E16" s="173">
        <v>0</v>
      </c>
      <c r="F16" s="173">
        <v>-932.09463260119082</v>
      </c>
      <c r="G16" s="173">
        <v>-1370.1581383100129</v>
      </c>
      <c r="H16" s="173">
        <v>-2003.8331391437678</v>
      </c>
      <c r="J16" s="87" t="s">
        <v>5</v>
      </c>
      <c r="K16" s="87" t="s">
        <v>6</v>
      </c>
      <c r="L16" s="173">
        <v>0</v>
      </c>
      <c r="M16" s="173">
        <v>-932.09463260119082</v>
      </c>
      <c r="N16" s="173">
        <v>-1370.1581383100129</v>
      </c>
      <c r="O16" s="173">
        <v>-2003.8331391437678</v>
      </c>
      <c r="Q16" s="87" t="s">
        <v>5</v>
      </c>
      <c r="R16" s="87" t="s">
        <v>6</v>
      </c>
      <c r="S16" s="173">
        <v>0</v>
      </c>
      <c r="T16" s="173">
        <v>-166.19888491067104</v>
      </c>
      <c r="U16" s="173">
        <v>-873.45898944028886</v>
      </c>
      <c r="V16" s="173">
        <v>-1415.0785276585957</v>
      </c>
    </row>
    <row r="17" spans="3:22">
      <c r="C17" s="87" t="s">
        <v>383</v>
      </c>
      <c r="D17" s="87" t="s">
        <v>384</v>
      </c>
      <c r="E17" s="173">
        <v>0</v>
      </c>
      <c r="F17" s="173">
        <v>2293796.7740534842</v>
      </c>
      <c r="G17" s="173">
        <v>4678526.7581704259</v>
      </c>
      <c r="H17" s="173">
        <v>7123810.7595614493</v>
      </c>
      <c r="J17" s="87" t="s">
        <v>383</v>
      </c>
      <c r="K17" s="87" t="s">
        <v>384</v>
      </c>
      <c r="L17" s="173">
        <v>0</v>
      </c>
      <c r="M17" s="173">
        <v>2305039.7573060691</v>
      </c>
      <c r="N17" s="173">
        <v>4705065.7519953251</v>
      </c>
      <c r="O17" s="173">
        <v>7176105.8007763922</v>
      </c>
      <c r="Q17" s="87" t="s">
        <v>383</v>
      </c>
      <c r="R17" s="87" t="s">
        <v>384</v>
      </c>
      <c r="S17" s="173">
        <v>0</v>
      </c>
      <c r="T17" s="173">
        <v>2434184.2531552017</v>
      </c>
      <c r="U17" s="173">
        <v>5010319.6888754666</v>
      </c>
      <c r="V17" s="173">
        <v>7698937.7015190125</v>
      </c>
    </row>
    <row r="18" spans="3:22">
      <c r="C18" s="87" t="s">
        <v>253</v>
      </c>
      <c r="D18" s="87" t="s">
        <v>254</v>
      </c>
      <c r="E18" s="173">
        <v>0</v>
      </c>
      <c r="F18" s="173">
        <v>6675.2753428118303</v>
      </c>
      <c r="G18" s="173">
        <v>13845.755826797336</v>
      </c>
      <c r="H18" s="173">
        <v>21485.573391877115</v>
      </c>
      <c r="J18" s="87" t="s">
        <v>253</v>
      </c>
      <c r="K18" s="87" t="s">
        <v>254</v>
      </c>
      <c r="L18" s="173">
        <v>0</v>
      </c>
      <c r="M18" s="173">
        <v>7024.0966107719578</v>
      </c>
      <c r="N18" s="173">
        <v>14215.618294160813</v>
      </c>
      <c r="O18" s="173">
        <v>21826.045163296629</v>
      </c>
      <c r="Q18" s="87" t="s">
        <v>253</v>
      </c>
      <c r="R18" s="87" t="s">
        <v>254</v>
      </c>
      <c r="S18" s="173">
        <v>0</v>
      </c>
      <c r="T18" s="173">
        <v>7312.3234012494795</v>
      </c>
      <c r="U18" s="173">
        <v>16290.207949476317</v>
      </c>
      <c r="V18" s="173">
        <v>24256.143880386371</v>
      </c>
    </row>
    <row r="19" spans="3:22">
      <c r="C19" s="87" t="s">
        <v>543</v>
      </c>
      <c r="D19" s="87" t="s">
        <v>544</v>
      </c>
      <c r="E19" s="173">
        <v>0</v>
      </c>
      <c r="F19" s="173">
        <v>279379.0507539995</v>
      </c>
      <c r="G19" s="173">
        <v>569737.25460674986</v>
      </c>
      <c r="H19" s="173">
        <v>867584.74873644486</v>
      </c>
      <c r="J19" s="87" t="s">
        <v>543</v>
      </c>
      <c r="K19" s="87" t="s">
        <v>544</v>
      </c>
      <c r="L19" s="173">
        <v>0</v>
      </c>
      <c r="M19" s="173">
        <v>280478.44487491623</v>
      </c>
      <c r="N19" s="173">
        <v>572860.64577496797</v>
      </c>
      <c r="O19" s="173">
        <v>874003.89289422333</v>
      </c>
      <c r="Q19" s="87" t="s">
        <v>543</v>
      </c>
      <c r="R19" s="87" t="s">
        <v>544</v>
      </c>
      <c r="S19" s="173">
        <v>0</v>
      </c>
      <c r="T19" s="173">
        <v>283810.3134717755</v>
      </c>
      <c r="U19" s="173">
        <v>578749.37880767509</v>
      </c>
      <c r="V19" s="173">
        <v>881287.06793860719</v>
      </c>
    </row>
    <row r="20" spans="3:22">
      <c r="C20" s="87" t="s">
        <v>283</v>
      </c>
      <c r="D20" s="87" t="s">
        <v>284</v>
      </c>
      <c r="E20" s="173">
        <v>0</v>
      </c>
      <c r="F20" s="173">
        <v>5666.7020971733145</v>
      </c>
      <c r="G20" s="173">
        <v>11191.359404246323</v>
      </c>
      <c r="H20" s="173">
        <v>16886.194428453222</v>
      </c>
      <c r="J20" s="87" t="s">
        <v>283</v>
      </c>
      <c r="K20" s="87" t="s">
        <v>284</v>
      </c>
      <c r="L20" s="173">
        <v>0</v>
      </c>
      <c r="M20" s="173">
        <v>5666.7020971733145</v>
      </c>
      <c r="N20" s="173">
        <v>11191.359404246323</v>
      </c>
      <c r="O20" s="173">
        <v>16886.194428453222</v>
      </c>
      <c r="Q20" s="87" t="s">
        <v>283</v>
      </c>
      <c r="R20" s="87" t="s">
        <v>284</v>
      </c>
      <c r="S20" s="173">
        <v>0</v>
      </c>
      <c r="T20" s="173">
        <v>8063.5176366386004</v>
      </c>
      <c r="U20" s="173">
        <v>16245.186775209615</v>
      </c>
      <c r="V20" s="173">
        <v>24591.881384774344</v>
      </c>
    </row>
    <row r="21" spans="3:22">
      <c r="C21" s="87" t="s">
        <v>227</v>
      </c>
      <c r="D21" s="87" t="s">
        <v>228</v>
      </c>
      <c r="E21" s="173">
        <v>0</v>
      </c>
      <c r="F21" s="173">
        <v>412027.56218254566</v>
      </c>
      <c r="G21" s="173">
        <v>840005.76414299011</v>
      </c>
      <c r="H21" s="173">
        <v>1279125.1675340682</v>
      </c>
      <c r="J21" s="87" t="s">
        <v>227</v>
      </c>
      <c r="K21" s="87" t="s">
        <v>228</v>
      </c>
      <c r="L21" s="173">
        <v>0</v>
      </c>
      <c r="M21" s="173">
        <v>413461.92413353175</v>
      </c>
      <c r="N21" s="173">
        <v>844332.67949322611</v>
      </c>
      <c r="O21" s="173">
        <v>1288714.0118955076</v>
      </c>
      <c r="Q21" s="87" t="s">
        <v>227</v>
      </c>
      <c r="R21" s="87" t="s">
        <v>228</v>
      </c>
      <c r="S21" s="173">
        <v>0</v>
      </c>
      <c r="T21" s="173">
        <v>416600.60754685849</v>
      </c>
      <c r="U21" s="173">
        <v>841636.87935101986</v>
      </c>
      <c r="V21" s="173">
        <v>1255806.9161359221</v>
      </c>
    </row>
    <row r="22" spans="3:22">
      <c r="C22" s="87" t="s">
        <v>333</v>
      </c>
      <c r="D22" s="87" t="s">
        <v>334</v>
      </c>
      <c r="E22" s="173">
        <v>0</v>
      </c>
      <c r="F22" s="173">
        <v>81094.49044572562</v>
      </c>
      <c r="G22" s="173">
        <v>165791.65535566024</v>
      </c>
      <c r="H22" s="173">
        <v>253265.49960017949</v>
      </c>
      <c r="J22" s="87" t="s">
        <v>333</v>
      </c>
      <c r="K22" s="87" t="s">
        <v>334</v>
      </c>
      <c r="L22" s="173">
        <v>0</v>
      </c>
      <c r="M22" s="173">
        <v>81532.830765578896</v>
      </c>
      <c r="N22" s="173">
        <v>167315.29473248869</v>
      </c>
      <c r="O22" s="173">
        <v>255388.47332820296</v>
      </c>
      <c r="Q22" s="87" t="s">
        <v>333</v>
      </c>
      <c r="R22" s="87" t="s">
        <v>334</v>
      </c>
      <c r="S22" s="173">
        <v>0</v>
      </c>
      <c r="T22" s="173">
        <v>80727.690518477932</v>
      </c>
      <c r="U22" s="173">
        <v>170525.23042742908</v>
      </c>
      <c r="V22" s="173">
        <v>266159.65349687263</v>
      </c>
    </row>
    <row r="23" spans="3:22">
      <c r="C23" s="87" t="s">
        <v>91</v>
      </c>
      <c r="D23" s="87" t="s">
        <v>92</v>
      </c>
      <c r="E23" s="173">
        <v>0</v>
      </c>
      <c r="F23" s="173">
        <v>37354.287005309016</v>
      </c>
      <c r="G23" s="173">
        <v>74907.211528642103</v>
      </c>
      <c r="H23" s="173">
        <v>115125.05277099647</v>
      </c>
      <c r="J23" s="87" t="s">
        <v>91</v>
      </c>
      <c r="K23" s="87" t="s">
        <v>92</v>
      </c>
      <c r="L23" s="173">
        <v>0</v>
      </c>
      <c r="M23" s="173">
        <v>37381.978376084939</v>
      </c>
      <c r="N23" s="173">
        <v>75480.398400954902</v>
      </c>
      <c r="O23" s="173">
        <v>115658.95861641504</v>
      </c>
      <c r="Q23" s="87" t="s">
        <v>91</v>
      </c>
      <c r="R23" s="87" t="s">
        <v>92</v>
      </c>
      <c r="S23" s="173">
        <v>0</v>
      </c>
      <c r="T23" s="173">
        <v>36518.332316745073</v>
      </c>
      <c r="U23" s="173">
        <v>73831.147631715983</v>
      </c>
      <c r="V23" s="173">
        <v>115300.34109540842</v>
      </c>
    </row>
    <row r="24" spans="3:22">
      <c r="C24" s="87" t="s">
        <v>175</v>
      </c>
      <c r="D24" s="87" t="s">
        <v>176</v>
      </c>
      <c r="E24" s="173">
        <v>0</v>
      </c>
      <c r="F24" s="173">
        <v>4530.366435721633</v>
      </c>
      <c r="G24" s="173">
        <v>9311.7679443382658</v>
      </c>
      <c r="H24" s="173">
        <v>14325.511146728881</v>
      </c>
      <c r="J24" s="87" t="s">
        <v>175</v>
      </c>
      <c r="K24" s="87" t="s">
        <v>176</v>
      </c>
      <c r="L24" s="173">
        <v>0</v>
      </c>
      <c r="M24" s="173">
        <v>4530.366435721633</v>
      </c>
      <c r="N24" s="173">
        <v>9311.7679443382658</v>
      </c>
      <c r="O24" s="173">
        <v>14325.511146728881</v>
      </c>
      <c r="Q24" s="87" t="s">
        <v>175</v>
      </c>
      <c r="R24" s="87" t="s">
        <v>176</v>
      </c>
      <c r="S24" s="173">
        <v>0</v>
      </c>
      <c r="T24" s="173">
        <v>909.33665014279541</v>
      </c>
      <c r="U24" s="173">
        <v>-8894.6687137088738</v>
      </c>
      <c r="V24" s="173">
        <v>-3177.3232199703343</v>
      </c>
    </row>
    <row r="25" spans="3:22">
      <c r="C25" s="87" t="s">
        <v>403</v>
      </c>
      <c r="D25" s="87" t="s">
        <v>404</v>
      </c>
      <c r="E25" s="173">
        <v>0</v>
      </c>
      <c r="F25" s="173">
        <v>312732.27697428316</v>
      </c>
      <c r="G25" s="173">
        <v>638975.00610331446</v>
      </c>
      <c r="H25" s="173">
        <v>973172.64768126607</v>
      </c>
      <c r="J25" s="87" t="s">
        <v>403</v>
      </c>
      <c r="K25" s="87" t="s">
        <v>404</v>
      </c>
      <c r="L25" s="173">
        <v>0</v>
      </c>
      <c r="M25" s="173">
        <v>315326.93194147944</v>
      </c>
      <c r="N25" s="173">
        <v>643008.08821612597</v>
      </c>
      <c r="O25" s="173">
        <v>980654.69996768236</v>
      </c>
      <c r="Q25" s="87" t="s">
        <v>403</v>
      </c>
      <c r="R25" s="87" t="s">
        <v>404</v>
      </c>
      <c r="S25" s="173">
        <v>0</v>
      </c>
      <c r="T25" s="173">
        <v>304512.112832807</v>
      </c>
      <c r="U25" s="173">
        <v>621806.92738039792</v>
      </c>
      <c r="V25" s="173">
        <v>946995.25589179993</v>
      </c>
    </row>
    <row r="26" spans="3:22">
      <c r="C26" s="87" t="s">
        <v>67</v>
      </c>
      <c r="D26" s="87" t="s">
        <v>68</v>
      </c>
      <c r="E26" s="173">
        <v>0</v>
      </c>
      <c r="F26" s="173">
        <v>871167.39183139801</v>
      </c>
      <c r="G26" s="173">
        <v>1777731.5459821224</v>
      </c>
      <c r="H26" s="173">
        <v>2706863.6223674119</v>
      </c>
      <c r="J26" s="87" t="s">
        <v>67</v>
      </c>
      <c r="K26" s="87" t="s">
        <v>68</v>
      </c>
      <c r="L26" s="173">
        <v>0</v>
      </c>
      <c r="M26" s="173">
        <v>875233.35293471813</v>
      </c>
      <c r="N26" s="173">
        <v>1787127.092626363</v>
      </c>
      <c r="O26" s="173">
        <v>2726146.9583936781</v>
      </c>
      <c r="Q26" s="87" t="s">
        <v>67</v>
      </c>
      <c r="R26" s="87" t="s">
        <v>68</v>
      </c>
      <c r="S26" s="173">
        <v>0</v>
      </c>
      <c r="T26" s="173">
        <v>884579.53718577325</v>
      </c>
      <c r="U26" s="173">
        <v>1801960.6460195929</v>
      </c>
      <c r="V26" s="173">
        <v>2723103.5535092503</v>
      </c>
    </row>
    <row r="27" spans="3:22">
      <c r="C27" s="87" t="s">
        <v>49</v>
      </c>
      <c r="D27" s="87" t="s">
        <v>50</v>
      </c>
      <c r="E27" s="173">
        <v>0</v>
      </c>
      <c r="F27" s="173">
        <v>31905.881212897599</v>
      </c>
      <c r="G27" s="173">
        <v>65323.185271664523</v>
      </c>
      <c r="H27" s="173">
        <v>99716.734805626795</v>
      </c>
      <c r="J27" s="87" t="s">
        <v>49</v>
      </c>
      <c r="K27" s="87" t="s">
        <v>50</v>
      </c>
      <c r="L27" s="173">
        <v>0</v>
      </c>
      <c r="M27" s="173">
        <v>32079.709234058857</v>
      </c>
      <c r="N27" s="173">
        <v>65520.041733001359</v>
      </c>
      <c r="O27" s="173">
        <v>100368.80674031842</v>
      </c>
      <c r="Q27" s="87" t="s">
        <v>49</v>
      </c>
      <c r="R27" s="87" t="s">
        <v>50</v>
      </c>
      <c r="S27" s="173">
        <v>0</v>
      </c>
      <c r="T27" s="173">
        <v>32155.218212002888</v>
      </c>
      <c r="U27" s="173">
        <v>65616.573022803292</v>
      </c>
      <c r="V27" s="173">
        <v>98567.076295454055</v>
      </c>
    </row>
    <row r="28" spans="3:22">
      <c r="C28" s="87" t="s">
        <v>367</v>
      </c>
      <c r="D28" s="87" t="s">
        <v>368</v>
      </c>
      <c r="E28" s="173">
        <v>0</v>
      </c>
      <c r="F28" s="173">
        <v>27472.15237218421</v>
      </c>
      <c r="G28" s="173">
        <v>55754.373050488532</v>
      </c>
      <c r="H28" s="173">
        <v>85366.410145201255</v>
      </c>
      <c r="J28" s="87" t="s">
        <v>367</v>
      </c>
      <c r="K28" s="87" t="s">
        <v>368</v>
      </c>
      <c r="L28" s="173">
        <v>0</v>
      </c>
      <c r="M28" s="173">
        <v>27646.350841892418</v>
      </c>
      <c r="N28" s="173">
        <v>56370.641626093071</v>
      </c>
      <c r="O28" s="173">
        <v>85801.194555765949</v>
      </c>
      <c r="Q28" s="87" t="s">
        <v>367</v>
      </c>
      <c r="R28" s="87" t="s">
        <v>368</v>
      </c>
      <c r="S28" s="173">
        <v>0</v>
      </c>
      <c r="T28" s="173">
        <v>28684.008255980909</v>
      </c>
      <c r="U28" s="173">
        <v>58176.561583490111</v>
      </c>
      <c r="V28" s="173">
        <v>88885.647930165287</v>
      </c>
    </row>
    <row r="29" spans="3:22">
      <c r="C29" s="87" t="s">
        <v>1226</v>
      </c>
      <c r="D29" s="87" t="s">
        <v>1227</v>
      </c>
      <c r="E29" s="173">
        <v>0</v>
      </c>
      <c r="F29" s="173">
        <v>-1899.3453508624807</v>
      </c>
      <c r="G29" s="173">
        <v>-3814.6844429578632</v>
      </c>
      <c r="H29" s="173">
        <v>-5981.9047899511643</v>
      </c>
      <c r="J29" s="87" t="s">
        <v>1226</v>
      </c>
      <c r="K29" s="87" t="s">
        <v>1227</v>
      </c>
      <c r="L29" s="173">
        <v>0</v>
      </c>
      <c r="M29" s="173">
        <v>-1892.5220451913774</v>
      </c>
      <c r="N29" s="173">
        <v>-4149.9800964402966</v>
      </c>
      <c r="O29" s="173">
        <v>-6123.4919968917966</v>
      </c>
      <c r="Q29" s="87" t="s">
        <v>1226</v>
      </c>
      <c r="R29" s="87" t="s">
        <v>1227</v>
      </c>
      <c r="S29" s="173">
        <v>0</v>
      </c>
      <c r="T29" s="173">
        <v>-5148.6104910122231</v>
      </c>
      <c r="U29" s="173">
        <v>64967.319302204065</v>
      </c>
      <c r="V29" s="173">
        <v>129537.50636575092</v>
      </c>
    </row>
    <row r="30" spans="3:22">
      <c r="C30" s="87" t="s">
        <v>39</v>
      </c>
      <c r="D30" s="87" t="s">
        <v>40</v>
      </c>
      <c r="E30" s="173">
        <v>0</v>
      </c>
      <c r="F30" s="173">
        <v>124027.38396582566</v>
      </c>
      <c r="G30" s="173">
        <v>252640.19283105619</v>
      </c>
      <c r="H30" s="173">
        <v>384575.55378673971</v>
      </c>
      <c r="J30" s="87" t="s">
        <v>39</v>
      </c>
      <c r="K30" s="87" t="s">
        <v>40</v>
      </c>
      <c r="L30" s="173">
        <v>0</v>
      </c>
      <c r="M30" s="173">
        <v>124420.11370630562</v>
      </c>
      <c r="N30" s="173">
        <v>254329.20002172142</v>
      </c>
      <c r="O30" s="173">
        <v>387354.17364570685</v>
      </c>
      <c r="Q30" s="87" t="s">
        <v>39</v>
      </c>
      <c r="R30" s="87" t="s">
        <v>40</v>
      </c>
      <c r="S30" s="173">
        <v>0</v>
      </c>
      <c r="T30" s="173">
        <v>115001.9037438482</v>
      </c>
      <c r="U30" s="173">
        <v>241907.742595952</v>
      </c>
      <c r="V30" s="173">
        <v>379498.74951325357</v>
      </c>
    </row>
    <row r="31" spans="3:22">
      <c r="C31" s="87" t="s">
        <v>37</v>
      </c>
      <c r="D31" s="87" t="s">
        <v>38</v>
      </c>
      <c r="E31" s="173">
        <v>0</v>
      </c>
      <c r="F31" s="173">
        <v>189143.54006074741</v>
      </c>
      <c r="G31" s="173">
        <v>386103.46115197241</v>
      </c>
      <c r="H31" s="173">
        <v>587532.30643464252</v>
      </c>
      <c r="J31" s="87" t="s">
        <v>37</v>
      </c>
      <c r="K31" s="87" t="s">
        <v>38</v>
      </c>
      <c r="L31" s="173">
        <v>0</v>
      </c>
      <c r="M31" s="173">
        <v>190106.05765436217</v>
      </c>
      <c r="N31" s="173">
        <v>388239.42392370477</v>
      </c>
      <c r="O31" s="173">
        <v>592075.52218144014</v>
      </c>
      <c r="Q31" s="87" t="s">
        <v>37</v>
      </c>
      <c r="R31" s="87" t="s">
        <v>38</v>
      </c>
      <c r="S31" s="173">
        <v>0</v>
      </c>
      <c r="T31" s="173">
        <v>188240.14963526279</v>
      </c>
      <c r="U31" s="173">
        <v>383597.61456407234</v>
      </c>
      <c r="V31" s="173">
        <v>587299.1128899157</v>
      </c>
    </row>
    <row r="32" spans="3:22">
      <c r="C32" s="87" t="s">
        <v>81</v>
      </c>
      <c r="D32" s="87" t="s">
        <v>82</v>
      </c>
      <c r="E32" s="173">
        <v>0</v>
      </c>
      <c r="F32" s="173">
        <v>124136.18111879379</v>
      </c>
      <c r="G32" s="173">
        <v>252961.16776198149</v>
      </c>
      <c r="H32" s="173">
        <v>384608.96333444118</v>
      </c>
      <c r="J32" s="87" t="s">
        <v>81</v>
      </c>
      <c r="K32" s="87" t="s">
        <v>82</v>
      </c>
      <c r="L32" s="173">
        <v>0</v>
      </c>
      <c r="M32" s="173">
        <v>124913.91101592034</v>
      </c>
      <c r="N32" s="173">
        <v>253948.10163572431</v>
      </c>
      <c r="O32" s="173">
        <v>387181.90888328105</v>
      </c>
      <c r="Q32" s="87" t="s">
        <v>81</v>
      </c>
      <c r="R32" s="87" t="s">
        <v>82</v>
      </c>
      <c r="S32" s="173">
        <v>0</v>
      </c>
      <c r="T32" s="173">
        <v>128814.67445537448</v>
      </c>
      <c r="U32" s="173">
        <v>264425.23987184465</v>
      </c>
      <c r="V32" s="173">
        <v>404417.35248288512</v>
      </c>
    </row>
    <row r="33" spans="3:22">
      <c r="C33" s="87" t="s">
        <v>1228</v>
      </c>
      <c r="D33" s="87" t="s">
        <v>1229</v>
      </c>
      <c r="E33" s="173">
        <v>0</v>
      </c>
      <c r="F33" s="173">
        <v>31994.301308129914</v>
      </c>
      <c r="G33" s="173">
        <v>64727.592602106277</v>
      </c>
      <c r="H33" s="173">
        <v>98809.719948154408</v>
      </c>
      <c r="J33" s="87" t="s">
        <v>1228</v>
      </c>
      <c r="K33" s="87" t="s">
        <v>1229</v>
      </c>
      <c r="L33" s="173">
        <v>0</v>
      </c>
      <c r="M33" s="173">
        <v>31895.370026910212</v>
      </c>
      <c r="N33" s="173">
        <v>65115.11917332653</v>
      </c>
      <c r="O33" s="173">
        <v>99531.662005800288</v>
      </c>
      <c r="Q33" s="87" t="s">
        <v>1228</v>
      </c>
      <c r="R33" s="87" t="s">
        <v>1229</v>
      </c>
      <c r="S33" s="173">
        <v>0</v>
      </c>
      <c r="T33" s="173">
        <v>39972.099446616136</v>
      </c>
      <c r="U33" s="173">
        <v>91683.41409881413</v>
      </c>
      <c r="V33" s="173">
        <v>147763.04662611522</v>
      </c>
    </row>
    <row r="34" spans="3:22">
      <c r="C34" s="87" t="s">
        <v>255</v>
      </c>
      <c r="D34" s="87" t="s">
        <v>256</v>
      </c>
      <c r="E34" s="173">
        <v>0</v>
      </c>
      <c r="F34" s="173">
        <v>8741.2248985201586</v>
      </c>
      <c r="G34" s="173">
        <v>18210.592954338528</v>
      </c>
      <c r="H34" s="173">
        <v>27494.509892958682</v>
      </c>
      <c r="J34" s="87" t="s">
        <v>255</v>
      </c>
      <c r="K34" s="87" t="s">
        <v>256</v>
      </c>
      <c r="L34" s="173">
        <v>0</v>
      </c>
      <c r="M34" s="173">
        <v>8741.2248985201586</v>
      </c>
      <c r="N34" s="173">
        <v>18210.592954338528</v>
      </c>
      <c r="O34" s="173">
        <v>27494.509892958682</v>
      </c>
      <c r="Q34" s="87" t="s">
        <v>255</v>
      </c>
      <c r="R34" s="87" t="s">
        <v>256</v>
      </c>
      <c r="S34" s="173">
        <v>0</v>
      </c>
      <c r="T34" s="173">
        <v>8727.4239450444002</v>
      </c>
      <c r="U34" s="173">
        <v>17545.043043825543</v>
      </c>
      <c r="V34" s="173">
        <v>27243.498300432693</v>
      </c>
    </row>
    <row r="35" spans="3:22">
      <c r="C35" s="87" t="s">
        <v>233</v>
      </c>
      <c r="D35" s="87" t="s">
        <v>234</v>
      </c>
      <c r="E35" s="173">
        <v>0</v>
      </c>
      <c r="F35" s="173">
        <v>1471738.2701158524</v>
      </c>
      <c r="G35" s="173">
        <v>3002964.8435421288</v>
      </c>
      <c r="H35" s="173">
        <v>4573721.0891875923</v>
      </c>
      <c r="J35" s="87" t="s">
        <v>233</v>
      </c>
      <c r="K35" s="87" t="s">
        <v>234</v>
      </c>
      <c r="L35" s="173">
        <v>0</v>
      </c>
      <c r="M35" s="173">
        <v>1478661.6303904057</v>
      </c>
      <c r="N35" s="173">
        <v>3020039.8870510161</v>
      </c>
      <c r="O35" s="173">
        <v>4607901.1714587808</v>
      </c>
      <c r="Q35" s="87" t="s">
        <v>233</v>
      </c>
      <c r="R35" s="87" t="s">
        <v>234</v>
      </c>
      <c r="S35" s="173">
        <v>0</v>
      </c>
      <c r="T35" s="173">
        <v>1464968.582511127</v>
      </c>
      <c r="U35" s="173">
        <v>2970003.1784403026</v>
      </c>
      <c r="V35" s="173">
        <v>4598742.9874809682</v>
      </c>
    </row>
    <row r="36" spans="3:22">
      <c r="C36" s="87" t="s">
        <v>463</v>
      </c>
      <c r="D36" s="87" t="s">
        <v>464</v>
      </c>
      <c r="E36" s="173">
        <v>0</v>
      </c>
      <c r="F36" s="173">
        <v>1699235.6770404577</v>
      </c>
      <c r="G36" s="173">
        <v>3465805.7852375507</v>
      </c>
      <c r="H36" s="173">
        <v>5278085.9946957827</v>
      </c>
      <c r="J36" s="87" t="s">
        <v>463</v>
      </c>
      <c r="K36" s="87" t="s">
        <v>464</v>
      </c>
      <c r="L36" s="173">
        <v>0</v>
      </c>
      <c r="M36" s="173">
        <v>1707526.2480534017</v>
      </c>
      <c r="N36" s="173">
        <v>3486035.8890994191</v>
      </c>
      <c r="O36" s="173">
        <v>5317235.3801046014</v>
      </c>
      <c r="Q36" s="87" t="s">
        <v>463</v>
      </c>
      <c r="R36" s="87" t="s">
        <v>464</v>
      </c>
      <c r="S36" s="173">
        <v>0</v>
      </c>
      <c r="T36" s="173">
        <v>1736098.542508781</v>
      </c>
      <c r="U36" s="173">
        <v>3635065.3468579352</v>
      </c>
      <c r="V36" s="173">
        <v>5683045.2751694024</v>
      </c>
    </row>
    <row r="37" spans="3:22">
      <c r="C37" s="87" t="s">
        <v>295</v>
      </c>
      <c r="D37" s="87" t="s">
        <v>296</v>
      </c>
      <c r="E37" s="173">
        <v>0</v>
      </c>
      <c r="F37" s="173">
        <v>293300.61667609215</v>
      </c>
      <c r="G37" s="173">
        <v>598415.10883146524</v>
      </c>
      <c r="H37" s="173">
        <v>911228.95752160251</v>
      </c>
      <c r="J37" s="87" t="s">
        <v>295</v>
      </c>
      <c r="K37" s="87" t="s">
        <v>296</v>
      </c>
      <c r="L37" s="173">
        <v>0</v>
      </c>
      <c r="M37" s="173">
        <v>295186.31879494339</v>
      </c>
      <c r="N37" s="173">
        <v>602236.00153817981</v>
      </c>
      <c r="O37" s="173">
        <v>918088.4662886858</v>
      </c>
      <c r="Q37" s="87" t="s">
        <v>295</v>
      </c>
      <c r="R37" s="87" t="s">
        <v>296</v>
      </c>
      <c r="S37" s="173">
        <v>0</v>
      </c>
      <c r="T37" s="173">
        <v>283867.7981979996</v>
      </c>
      <c r="U37" s="173">
        <v>589792.29260002077</v>
      </c>
      <c r="V37" s="173">
        <v>914127.68940328807</v>
      </c>
    </row>
    <row r="38" spans="3:22">
      <c r="C38" s="87" t="s">
        <v>291</v>
      </c>
      <c r="D38" s="87" t="s">
        <v>292</v>
      </c>
      <c r="E38" s="173">
        <v>0</v>
      </c>
      <c r="F38" s="173">
        <v>350358.79415528476</v>
      </c>
      <c r="G38" s="173">
        <v>714577.33023163676</v>
      </c>
      <c r="H38" s="173">
        <v>1088393.2422027066</v>
      </c>
      <c r="J38" s="87" t="s">
        <v>291</v>
      </c>
      <c r="K38" s="87" t="s">
        <v>292</v>
      </c>
      <c r="L38" s="173">
        <v>0</v>
      </c>
      <c r="M38" s="173">
        <v>352173.94792576134</v>
      </c>
      <c r="N38" s="173">
        <v>719011.16831926256</v>
      </c>
      <c r="O38" s="173">
        <v>1096290.682226561</v>
      </c>
      <c r="Q38" s="87" t="s">
        <v>291</v>
      </c>
      <c r="R38" s="87" t="s">
        <v>292</v>
      </c>
      <c r="S38" s="173">
        <v>0</v>
      </c>
      <c r="T38" s="173">
        <v>361152.83572666347</v>
      </c>
      <c r="U38" s="173">
        <v>730375.80223365873</v>
      </c>
      <c r="V38" s="173">
        <v>1102430.7016373724</v>
      </c>
    </row>
    <row r="39" spans="3:22">
      <c r="C39" s="87" t="s">
        <v>467</v>
      </c>
      <c r="D39" s="87" t="s">
        <v>468</v>
      </c>
      <c r="E39" s="173">
        <v>0</v>
      </c>
      <c r="F39" s="173">
        <v>589476.72223256528</v>
      </c>
      <c r="G39" s="173">
        <v>1201634.3891727775</v>
      </c>
      <c r="H39" s="173">
        <v>1829718.1165124699</v>
      </c>
      <c r="J39" s="87" t="s">
        <v>467</v>
      </c>
      <c r="K39" s="87" t="s">
        <v>468</v>
      </c>
      <c r="L39" s="173">
        <v>0</v>
      </c>
      <c r="M39" s="173">
        <v>591831.39126430452</v>
      </c>
      <c r="N39" s="173">
        <v>1208223.8708740249</v>
      </c>
      <c r="O39" s="173">
        <v>1843066.7796569839</v>
      </c>
      <c r="Q39" s="87" t="s">
        <v>467</v>
      </c>
      <c r="R39" s="87" t="s">
        <v>468</v>
      </c>
      <c r="S39" s="173">
        <v>0</v>
      </c>
      <c r="T39" s="173">
        <v>587622.2273189649</v>
      </c>
      <c r="U39" s="173">
        <v>1211353.410526745</v>
      </c>
      <c r="V39" s="173">
        <v>1852636.8127942458</v>
      </c>
    </row>
    <row r="40" spans="3:22">
      <c r="C40" s="87" t="s">
        <v>485</v>
      </c>
      <c r="D40" s="87" t="s">
        <v>486</v>
      </c>
      <c r="E40" s="173">
        <v>0</v>
      </c>
      <c r="F40" s="173">
        <v>25775.130054386333</v>
      </c>
      <c r="G40" s="173">
        <v>53438.497925344855</v>
      </c>
      <c r="H40" s="173">
        <v>110177.23451929912</v>
      </c>
      <c r="J40" s="87" t="s">
        <v>485</v>
      </c>
      <c r="K40" s="87" t="s">
        <v>486</v>
      </c>
      <c r="L40" s="173">
        <v>0</v>
      </c>
      <c r="M40" s="173">
        <v>25524.464061735198</v>
      </c>
      <c r="N40" s="173">
        <v>60448.499388679862</v>
      </c>
      <c r="O40" s="173">
        <v>120397.54122923315</v>
      </c>
      <c r="Q40" s="87" t="s">
        <v>485</v>
      </c>
      <c r="R40" s="87" t="s">
        <v>486</v>
      </c>
      <c r="S40" s="173">
        <v>0</v>
      </c>
      <c r="T40" s="173">
        <v>21399.104667112231</v>
      </c>
      <c r="U40" s="173">
        <v>43524.888058071956</v>
      </c>
      <c r="V40" s="173">
        <v>64849.255449170247</v>
      </c>
    </row>
    <row r="41" spans="3:22">
      <c r="C41" s="87" t="s">
        <v>1038</v>
      </c>
      <c r="D41" s="87" t="s">
        <v>1043</v>
      </c>
      <c r="E41" s="173">
        <v>0</v>
      </c>
      <c r="F41" s="173">
        <v>25274.758574736305</v>
      </c>
      <c r="G41" s="173">
        <v>51010.953725864179</v>
      </c>
      <c r="H41" s="173">
        <v>77840.412824625149</v>
      </c>
      <c r="J41" s="87" t="s">
        <v>1038</v>
      </c>
      <c r="K41" s="87" t="s">
        <v>1043</v>
      </c>
      <c r="L41" s="173">
        <v>0</v>
      </c>
      <c r="M41" s="173">
        <v>25121.204486089759</v>
      </c>
      <c r="N41" s="173">
        <v>51356.384072477929</v>
      </c>
      <c r="O41" s="173">
        <v>78777.612045045942</v>
      </c>
      <c r="Q41" s="87" t="s">
        <v>1038</v>
      </c>
      <c r="R41" s="87" t="s">
        <v>1043</v>
      </c>
      <c r="S41" s="173">
        <v>0</v>
      </c>
      <c r="T41" s="173">
        <v>25274.758574736305</v>
      </c>
      <c r="U41" s="173">
        <v>51010.953725864179</v>
      </c>
      <c r="V41" s="173">
        <v>77840.412824625149</v>
      </c>
    </row>
    <row r="42" spans="3:22">
      <c r="C42" s="87" t="s">
        <v>179</v>
      </c>
      <c r="D42" s="87" t="s">
        <v>180</v>
      </c>
      <c r="E42" s="173">
        <v>0</v>
      </c>
      <c r="F42" s="173">
        <v>39073.140830393881</v>
      </c>
      <c r="G42" s="173">
        <v>79804.056980190799</v>
      </c>
      <c r="H42" s="173">
        <v>122281.03192200698</v>
      </c>
      <c r="J42" s="87" t="s">
        <v>179</v>
      </c>
      <c r="K42" s="87" t="s">
        <v>180</v>
      </c>
      <c r="L42" s="173">
        <v>0</v>
      </c>
      <c r="M42" s="173">
        <v>39526.932264942676</v>
      </c>
      <c r="N42" s="173">
        <v>80308.408795157447</v>
      </c>
      <c r="O42" s="173">
        <v>123128.1539348755</v>
      </c>
      <c r="Q42" s="87" t="s">
        <v>179</v>
      </c>
      <c r="R42" s="87" t="s">
        <v>180</v>
      </c>
      <c r="S42" s="173">
        <v>0</v>
      </c>
      <c r="T42" s="173">
        <v>38359.069482810795</v>
      </c>
      <c r="U42" s="173">
        <v>75155.26491872035</v>
      </c>
      <c r="V42" s="173">
        <v>122221.95159465075</v>
      </c>
    </row>
    <row r="43" spans="3:22">
      <c r="C43" s="87" t="s">
        <v>13</v>
      </c>
      <c r="D43" s="87" t="s">
        <v>14</v>
      </c>
      <c r="E43" s="173">
        <v>0</v>
      </c>
      <c r="F43" s="173">
        <v>206045.50867980719</v>
      </c>
      <c r="G43" s="173">
        <v>420612.55883985758</v>
      </c>
      <c r="H43" s="173">
        <v>639605.56878393516</v>
      </c>
      <c r="J43" s="87" t="s">
        <v>13</v>
      </c>
      <c r="K43" s="87" t="s">
        <v>14</v>
      </c>
      <c r="L43" s="173">
        <v>0</v>
      </c>
      <c r="M43" s="173">
        <v>206570.78652053699</v>
      </c>
      <c r="N43" s="173">
        <v>422652.29650453478</v>
      </c>
      <c r="O43" s="173">
        <v>644118.85047483444</v>
      </c>
      <c r="Q43" s="87" t="s">
        <v>13</v>
      </c>
      <c r="R43" s="87" t="s">
        <v>14</v>
      </c>
      <c r="S43" s="173">
        <v>0</v>
      </c>
      <c r="T43" s="173">
        <v>205999.48587210104</v>
      </c>
      <c r="U43" s="173">
        <v>426408.31112107635</v>
      </c>
      <c r="V43" s="173">
        <v>655241.29939338565</v>
      </c>
    </row>
    <row r="44" spans="3:22">
      <c r="C44" s="87" t="s">
        <v>249</v>
      </c>
      <c r="D44" s="87" t="s">
        <v>250</v>
      </c>
      <c r="E44" s="173">
        <v>0</v>
      </c>
      <c r="F44" s="173">
        <v>78476.3201543428</v>
      </c>
      <c r="G44" s="173">
        <v>159257.18736438453</v>
      </c>
      <c r="H44" s="173">
        <v>243619.75029549003</v>
      </c>
      <c r="J44" s="87" t="s">
        <v>249</v>
      </c>
      <c r="K44" s="87" t="s">
        <v>250</v>
      </c>
      <c r="L44" s="173">
        <v>0</v>
      </c>
      <c r="M44" s="173">
        <v>78861.850929209962</v>
      </c>
      <c r="N44" s="173">
        <v>160287.43829420023</v>
      </c>
      <c r="O44" s="173">
        <v>245915.66325311363</v>
      </c>
      <c r="Q44" s="87" t="s">
        <v>249</v>
      </c>
      <c r="R44" s="87" t="s">
        <v>250</v>
      </c>
      <c r="S44" s="173">
        <v>0</v>
      </c>
      <c r="T44" s="173">
        <v>77418.408877432346</v>
      </c>
      <c r="U44" s="173">
        <v>208486.58739468269</v>
      </c>
      <c r="V44" s="173">
        <v>315416.60242451541</v>
      </c>
    </row>
    <row r="45" spans="3:22">
      <c r="C45" s="87" t="s">
        <v>377</v>
      </c>
      <c r="D45" s="87" t="s">
        <v>378</v>
      </c>
      <c r="E45" s="173">
        <v>0</v>
      </c>
      <c r="F45" s="173">
        <v>1073582.1570899785</v>
      </c>
      <c r="G45" s="173">
        <v>2189536.0047535896</v>
      </c>
      <c r="H45" s="173">
        <v>3333549.9930695891</v>
      </c>
      <c r="J45" s="87" t="s">
        <v>377</v>
      </c>
      <c r="K45" s="87" t="s">
        <v>378</v>
      </c>
      <c r="L45" s="173">
        <v>0</v>
      </c>
      <c r="M45" s="173">
        <v>1078735.2250290811</v>
      </c>
      <c r="N45" s="173">
        <v>2201335.3947556317</v>
      </c>
      <c r="O45" s="173">
        <v>3357836.3051260412</v>
      </c>
      <c r="Q45" s="87" t="s">
        <v>377</v>
      </c>
      <c r="R45" s="87" t="s">
        <v>378</v>
      </c>
      <c r="S45" s="173">
        <v>0</v>
      </c>
      <c r="T45" s="173">
        <v>1098636.8906466067</v>
      </c>
      <c r="U45" s="173">
        <v>2260168.9284826219</v>
      </c>
      <c r="V45" s="173">
        <v>3471227.909863919</v>
      </c>
    </row>
    <row r="46" spans="3:22">
      <c r="C46" s="87" t="s">
        <v>563</v>
      </c>
      <c r="D46" s="87" t="s">
        <v>564</v>
      </c>
      <c r="E46" s="173">
        <v>0</v>
      </c>
      <c r="F46" s="173">
        <v>42838.351703012362</v>
      </c>
      <c r="G46" s="173">
        <v>86891.089450991713</v>
      </c>
      <c r="H46" s="173">
        <v>132562.11761882529</v>
      </c>
      <c r="J46" s="87" t="s">
        <v>563</v>
      </c>
      <c r="K46" s="87" t="s">
        <v>564</v>
      </c>
      <c r="L46" s="173">
        <v>0</v>
      </c>
      <c r="M46" s="173">
        <v>42905.539872571826</v>
      </c>
      <c r="N46" s="173">
        <v>87480.412600618787</v>
      </c>
      <c r="O46" s="173">
        <v>132993.88617965207</v>
      </c>
      <c r="Q46" s="87" t="s">
        <v>563</v>
      </c>
      <c r="R46" s="87" t="s">
        <v>564</v>
      </c>
      <c r="S46" s="173">
        <v>0</v>
      </c>
      <c r="T46" s="173">
        <v>42795.620092684403</v>
      </c>
      <c r="U46" s="173">
        <v>90358.873232349753</v>
      </c>
      <c r="V46" s="173">
        <v>132889.83831150364</v>
      </c>
    </row>
    <row r="47" spans="3:22">
      <c r="C47" s="87" t="s">
        <v>529</v>
      </c>
      <c r="D47" s="87" t="s">
        <v>530</v>
      </c>
      <c r="E47" s="173">
        <v>0</v>
      </c>
      <c r="F47" s="173">
        <v>134108.24264699593</v>
      </c>
      <c r="G47" s="173">
        <v>273313.67063506693</v>
      </c>
      <c r="H47" s="173">
        <v>416567.85234317183</v>
      </c>
      <c r="J47" s="87" t="s">
        <v>529</v>
      </c>
      <c r="K47" s="87" t="s">
        <v>530</v>
      </c>
      <c r="L47" s="173">
        <v>0</v>
      </c>
      <c r="M47" s="173">
        <v>134693.048795145</v>
      </c>
      <c r="N47" s="173">
        <v>274822.60672328621</v>
      </c>
      <c r="O47" s="173">
        <v>419928.21563700959</v>
      </c>
      <c r="Q47" s="87" t="s">
        <v>529</v>
      </c>
      <c r="R47" s="87" t="s">
        <v>530</v>
      </c>
      <c r="S47" s="173">
        <v>0</v>
      </c>
      <c r="T47" s="173">
        <v>135739.17686938122</v>
      </c>
      <c r="U47" s="173">
        <v>277272.57850373909</v>
      </c>
      <c r="V47" s="173">
        <v>423979.01140819117</v>
      </c>
    </row>
    <row r="48" spans="3:22">
      <c r="C48" s="87" t="s">
        <v>571</v>
      </c>
      <c r="D48" s="87" t="s">
        <v>572</v>
      </c>
      <c r="E48" s="173">
        <v>0</v>
      </c>
      <c r="F48" s="173">
        <v>16311.637698844075</v>
      </c>
      <c r="G48" s="173">
        <v>33735.216442688368</v>
      </c>
      <c r="H48" s="173">
        <v>51512.44202245865</v>
      </c>
      <c r="J48" s="87" t="s">
        <v>571</v>
      </c>
      <c r="K48" s="87" t="s">
        <v>572</v>
      </c>
      <c r="L48" s="173">
        <v>0</v>
      </c>
      <c r="M48" s="173">
        <v>16461.240821409971</v>
      </c>
      <c r="N48" s="173">
        <v>34041.50807929365</v>
      </c>
      <c r="O48" s="173">
        <v>51519.488711168058</v>
      </c>
      <c r="Q48" s="87" t="s">
        <v>571</v>
      </c>
      <c r="R48" s="87" t="s">
        <v>572</v>
      </c>
      <c r="S48" s="173">
        <v>0</v>
      </c>
      <c r="T48" s="173">
        <v>14096.199240914546</v>
      </c>
      <c r="U48" s="173">
        <v>27159.714429626241</v>
      </c>
      <c r="V48" s="173">
        <v>41469.24036673829</v>
      </c>
    </row>
    <row r="49" spans="3:22">
      <c r="C49" s="87" t="s">
        <v>499</v>
      </c>
      <c r="D49" s="87" t="s">
        <v>500</v>
      </c>
      <c r="E49" s="173">
        <v>0</v>
      </c>
      <c r="F49" s="173">
        <v>1820.5604961686768</v>
      </c>
      <c r="G49" s="173">
        <v>4062.1676950817928</v>
      </c>
      <c r="H49" s="173">
        <v>6234.1705792760476</v>
      </c>
      <c r="J49" s="87" t="s">
        <v>499</v>
      </c>
      <c r="K49" s="87" t="s">
        <v>500</v>
      </c>
      <c r="L49" s="173">
        <v>0</v>
      </c>
      <c r="M49" s="173">
        <v>2049.6101831225678</v>
      </c>
      <c r="N49" s="173">
        <v>3623.3472485109232</v>
      </c>
      <c r="O49" s="173">
        <v>6526.3099329639226</v>
      </c>
      <c r="Q49" s="87" t="s">
        <v>499</v>
      </c>
      <c r="R49" s="87" t="s">
        <v>500</v>
      </c>
      <c r="S49" s="173">
        <v>0</v>
      </c>
      <c r="T49" s="173">
        <v>2723.2275132029317</v>
      </c>
      <c r="U49" s="173">
        <v>-278.25328274164349</v>
      </c>
      <c r="V49" s="173">
        <v>7704.0944503741339</v>
      </c>
    </row>
    <row r="50" spans="3:22">
      <c r="C50" s="87" t="s">
        <v>533</v>
      </c>
      <c r="D50" s="87" t="s">
        <v>534</v>
      </c>
      <c r="E50" s="173">
        <v>0</v>
      </c>
      <c r="F50" s="173">
        <v>43853.464803501964</v>
      </c>
      <c r="G50" s="173">
        <v>89779.691824467853</v>
      </c>
      <c r="H50" s="173">
        <v>137610.14331587404</v>
      </c>
      <c r="J50" s="87" t="s">
        <v>533</v>
      </c>
      <c r="K50" s="87" t="s">
        <v>534</v>
      </c>
      <c r="L50" s="173">
        <v>0</v>
      </c>
      <c r="M50" s="173">
        <v>44155.447479097173</v>
      </c>
      <c r="N50" s="173">
        <v>90456.704920206219</v>
      </c>
      <c r="O50" s="173">
        <v>138832.45046993159</v>
      </c>
      <c r="Q50" s="87" t="s">
        <v>533</v>
      </c>
      <c r="R50" s="87" t="s">
        <v>534</v>
      </c>
      <c r="S50" s="173">
        <v>0</v>
      </c>
      <c r="T50" s="173">
        <v>39444.228194622323</v>
      </c>
      <c r="U50" s="173">
        <v>80732.495181949809</v>
      </c>
      <c r="V50" s="173">
        <v>120623.15961438604</v>
      </c>
    </row>
    <row r="51" spans="3:22">
      <c r="C51" s="87" t="s">
        <v>491</v>
      </c>
      <c r="D51" s="87" t="s">
        <v>492</v>
      </c>
      <c r="E51" s="173">
        <v>0</v>
      </c>
      <c r="F51" s="173">
        <v>143183.83073937148</v>
      </c>
      <c r="G51" s="173">
        <v>292263.79614366964</v>
      </c>
      <c r="H51" s="173">
        <v>444753.61176738888</v>
      </c>
      <c r="J51" s="87" t="s">
        <v>491</v>
      </c>
      <c r="K51" s="87" t="s">
        <v>492</v>
      </c>
      <c r="L51" s="173">
        <v>0</v>
      </c>
      <c r="M51" s="173">
        <v>143679.38488421589</v>
      </c>
      <c r="N51" s="173">
        <v>293795.12461014464</v>
      </c>
      <c r="O51" s="173">
        <v>448097.15408795327</v>
      </c>
      <c r="Q51" s="87" t="s">
        <v>491</v>
      </c>
      <c r="R51" s="87" t="s">
        <v>492</v>
      </c>
      <c r="S51" s="173">
        <v>0</v>
      </c>
      <c r="T51" s="173">
        <v>144921.64579922333</v>
      </c>
      <c r="U51" s="173">
        <v>300024.21590143815</v>
      </c>
      <c r="V51" s="173">
        <v>464236.11089539528</v>
      </c>
    </row>
    <row r="52" spans="3:22">
      <c r="C52" s="87" t="s">
        <v>401</v>
      </c>
      <c r="D52" s="87" t="s">
        <v>402</v>
      </c>
      <c r="E52" s="173">
        <v>0</v>
      </c>
      <c r="F52" s="173">
        <v>31217.36811370682</v>
      </c>
      <c r="G52" s="173">
        <v>63633.549283595756</v>
      </c>
      <c r="H52" s="173">
        <v>97583.847288830206</v>
      </c>
      <c r="J52" s="87" t="s">
        <v>401</v>
      </c>
      <c r="K52" s="87" t="s">
        <v>402</v>
      </c>
      <c r="L52" s="173">
        <v>0</v>
      </c>
      <c r="M52" s="173">
        <v>31239.869784518145</v>
      </c>
      <c r="N52" s="173">
        <v>64234.658162084408</v>
      </c>
      <c r="O52" s="173">
        <v>98301.079743703827</v>
      </c>
      <c r="Q52" s="87" t="s">
        <v>401</v>
      </c>
      <c r="R52" s="87" t="s">
        <v>402</v>
      </c>
      <c r="S52" s="173">
        <v>0</v>
      </c>
      <c r="T52" s="173">
        <v>32062.661875030026</v>
      </c>
      <c r="U52" s="173">
        <v>64111.060459340923</v>
      </c>
      <c r="V52" s="173">
        <v>100350.74694669992</v>
      </c>
    </row>
    <row r="53" spans="3:22">
      <c r="C53" s="87" t="s">
        <v>411</v>
      </c>
      <c r="D53" s="87" t="s">
        <v>412</v>
      </c>
      <c r="E53" s="173">
        <v>0</v>
      </c>
      <c r="F53" s="173">
        <v>68028.335685770027</v>
      </c>
      <c r="G53" s="173">
        <v>138574.82363992743</v>
      </c>
      <c r="H53" s="173">
        <v>211526.37867467012</v>
      </c>
      <c r="J53" s="87" t="s">
        <v>411</v>
      </c>
      <c r="K53" s="87" t="s">
        <v>412</v>
      </c>
      <c r="L53" s="173">
        <v>0</v>
      </c>
      <c r="M53" s="173">
        <v>68290.747678172775</v>
      </c>
      <c r="N53" s="173">
        <v>139236.2709133802</v>
      </c>
      <c r="O53" s="173">
        <v>213199.29012230784</v>
      </c>
      <c r="Q53" s="87" t="s">
        <v>411</v>
      </c>
      <c r="R53" s="87" t="s">
        <v>412</v>
      </c>
      <c r="S53" s="173">
        <v>0</v>
      </c>
      <c r="T53" s="173">
        <v>68026.458836262114</v>
      </c>
      <c r="U53" s="173">
        <v>135560.00259920489</v>
      </c>
      <c r="V53" s="173">
        <v>208274.62888503447</v>
      </c>
    </row>
    <row r="54" spans="3:22">
      <c r="C54" s="87" t="s">
        <v>157</v>
      </c>
      <c r="D54" s="87" t="s">
        <v>158</v>
      </c>
      <c r="E54" s="173">
        <v>0</v>
      </c>
      <c r="F54" s="173">
        <v>15757.968513569329</v>
      </c>
      <c r="G54" s="173">
        <v>31934.668587005232</v>
      </c>
      <c r="H54" s="173">
        <v>48764.286118508317</v>
      </c>
      <c r="J54" s="87" t="s">
        <v>157</v>
      </c>
      <c r="K54" s="87" t="s">
        <v>158</v>
      </c>
      <c r="L54" s="173">
        <v>0</v>
      </c>
      <c r="M54" s="173">
        <v>15644.434073662153</v>
      </c>
      <c r="N54" s="173">
        <v>32177.992312619695</v>
      </c>
      <c r="O54" s="173">
        <v>49150.95093980548</v>
      </c>
      <c r="Q54" s="87" t="s">
        <v>157</v>
      </c>
      <c r="R54" s="87" t="s">
        <v>158</v>
      </c>
      <c r="S54" s="173">
        <v>0</v>
      </c>
      <c r="T54" s="173">
        <v>15716.144963319879</v>
      </c>
      <c r="U54" s="173">
        <v>33158.934686029796</v>
      </c>
      <c r="V54" s="173">
        <v>52072.583784786984</v>
      </c>
    </row>
    <row r="55" spans="3:22">
      <c r="C55" s="87" t="s">
        <v>127</v>
      </c>
      <c r="D55" s="87" t="s">
        <v>128</v>
      </c>
      <c r="E55" s="173">
        <v>0</v>
      </c>
      <c r="F55" s="173">
        <v>16444.311430756934</v>
      </c>
      <c r="G55" s="173">
        <v>33972.439937994815</v>
      </c>
      <c r="H55" s="173">
        <v>52190.087819060311</v>
      </c>
      <c r="J55" s="87" t="s">
        <v>127</v>
      </c>
      <c r="K55" s="87" t="s">
        <v>128</v>
      </c>
      <c r="L55" s="173">
        <v>0</v>
      </c>
      <c r="M55" s="173">
        <v>16871.570234940853</v>
      </c>
      <c r="N55" s="173">
        <v>34370.302151923068</v>
      </c>
      <c r="O55" s="173">
        <v>52623.361336005852</v>
      </c>
      <c r="Q55" s="87" t="s">
        <v>127</v>
      </c>
      <c r="R55" s="87" t="s">
        <v>128</v>
      </c>
      <c r="S55" s="173">
        <v>0</v>
      </c>
      <c r="T55" s="173">
        <v>14413.23487369949</v>
      </c>
      <c r="U55" s="173">
        <v>29562.826403676532</v>
      </c>
      <c r="V55" s="173">
        <v>45206.211202539038</v>
      </c>
    </row>
    <row r="56" spans="3:22">
      <c r="C56" s="87" t="s">
        <v>169</v>
      </c>
      <c r="D56" s="87" t="s">
        <v>170</v>
      </c>
      <c r="E56" s="173">
        <v>0</v>
      </c>
      <c r="F56" s="173">
        <v>96592.356175122783</v>
      </c>
      <c r="G56" s="173">
        <v>196096.81263742223</v>
      </c>
      <c r="H56" s="173">
        <v>307729.72123210691</v>
      </c>
      <c r="J56" s="87" t="s">
        <v>169</v>
      </c>
      <c r="K56" s="87" t="s">
        <v>170</v>
      </c>
      <c r="L56" s="173">
        <v>0</v>
      </c>
      <c r="M56" s="173">
        <v>96859.365107255057</v>
      </c>
      <c r="N56" s="173">
        <v>197118.47307822295</v>
      </c>
      <c r="O56" s="173">
        <v>319327.68826111406</v>
      </c>
      <c r="Q56" s="87" t="s">
        <v>169</v>
      </c>
      <c r="R56" s="87" t="s">
        <v>170</v>
      </c>
      <c r="S56" s="173">
        <v>0</v>
      </c>
      <c r="T56" s="173">
        <v>138807.91640528105</v>
      </c>
      <c r="U56" s="173">
        <v>280302.35074402206</v>
      </c>
      <c r="V56" s="173">
        <v>429857.50222897343</v>
      </c>
    </row>
    <row r="57" spans="3:22">
      <c r="C57" s="87" t="s">
        <v>45</v>
      </c>
      <c r="D57" s="87" t="s">
        <v>46</v>
      </c>
      <c r="E57" s="173">
        <v>0</v>
      </c>
      <c r="F57" s="173">
        <v>11978.788954494521</v>
      </c>
      <c r="G57" s="173">
        <v>24171.716393067501</v>
      </c>
      <c r="H57" s="173">
        <v>36888.229806452058</v>
      </c>
      <c r="J57" s="87" t="s">
        <v>45</v>
      </c>
      <c r="K57" s="87" t="s">
        <v>46</v>
      </c>
      <c r="L57" s="173">
        <v>0</v>
      </c>
      <c r="M57" s="173">
        <v>12036.525792189874</v>
      </c>
      <c r="N57" s="173">
        <v>24228.583641932346</v>
      </c>
      <c r="O57" s="173">
        <v>37242.230424742214</v>
      </c>
      <c r="Q57" s="87" t="s">
        <v>45</v>
      </c>
      <c r="R57" s="87" t="s">
        <v>46</v>
      </c>
      <c r="S57" s="173">
        <v>0</v>
      </c>
      <c r="T57" s="173">
        <v>9575.7600380475633</v>
      </c>
      <c r="U57" s="173">
        <v>20269.874964242801</v>
      </c>
      <c r="V57" s="173">
        <v>31208.258225818165</v>
      </c>
    </row>
    <row r="58" spans="3:22">
      <c r="C58" s="87" t="s">
        <v>303</v>
      </c>
      <c r="D58" s="87" t="s">
        <v>304</v>
      </c>
      <c r="E58" s="173">
        <v>0</v>
      </c>
      <c r="F58" s="173">
        <v>-2324.3023217404261</v>
      </c>
      <c r="G58" s="173">
        <v>-5043.13423562143</v>
      </c>
      <c r="H58" s="173">
        <v>-7677.0985172064975</v>
      </c>
      <c r="J58" s="87" t="s">
        <v>303</v>
      </c>
      <c r="K58" s="87" t="s">
        <v>304</v>
      </c>
      <c r="L58" s="173">
        <v>0</v>
      </c>
      <c r="M58" s="173">
        <v>-2324.3023217404261</v>
      </c>
      <c r="N58" s="173">
        <v>-5043.13423562143</v>
      </c>
      <c r="O58" s="173">
        <v>-7677.0985172064975</v>
      </c>
      <c r="Q58" s="87" t="s">
        <v>303</v>
      </c>
      <c r="R58" s="87" t="s">
        <v>304</v>
      </c>
      <c r="S58" s="173">
        <v>0</v>
      </c>
      <c r="T58" s="173">
        <v>-1908.4993489990011</v>
      </c>
      <c r="U58" s="173">
        <v>-4701.570888670627</v>
      </c>
      <c r="V58" s="173">
        <v>-6536.1600696374662</v>
      </c>
    </row>
    <row r="59" spans="3:22">
      <c r="C59" s="87" t="s">
        <v>103</v>
      </c>
      <c r="D59" s="87" t="s">
        <v>104</v>
      </c>
      <c r="E59" s="173">
        <v>0</v>
      </c>
      <c r="F59" s="173">
        <v>8370.7528616730124</v>
      </c>
      <c r="G59" s="173">
        <v>17121.570407293737</v>
      </c>
      <c r="H59" s="173">
        <v>25842.316849865485</v>
      </c>
      <c r="J59" s="87" t="s">
        <v>103</v>
      </c>
      <c r="K59" s="87" t="s">
        <v>104</v>
      </c>
      <c r="L59" s="173">
        <v>0</v>
      </c>
      <c r="M59" s="173">
        <v>8133.272020900622</v>
      </c>
      <c r="N59" s="173">
        <v>16695.164253085852</v>
      </c>
      <c r="O59" s="173">
        <v>25858.59688336635</v>
      </c>
      <c r="Q59" s="87" t="s">
        <v>103</v>
      </c>
      <c r="R59" s="87" t="s">
        <v>104</v>
      </c>
      <c r="S59" s="173">
        <v>0</v>
      </c>
      <c r="T59" s="173">
        <v>6255.8880540737882</v>
      </c>
      <c r="U59" s="173">
        <v>15369.531527561136</v>
      </c>
      <c r="V59" s="173">
        <v>22103.270509057213</v>
      </c>
    </row>
    <row r="60" spans="3:22">
      <c r="C60" s="87" t="s">
        <v>357</v>
      </c>
      <c r="D60" s="87" t="s">
        <v>358</v>
      </c>
      <c r="E60" s="173">
        <v>0</v>
      </c>
      <c r="F60" s="173">
        <v>10337.630745845847</v>
      </c>
      <c r="G60" s="173">
        <v>21034.913819196634</v>
      </c>
      <c r="H60" s="173">
        <v>32127.943502356298</v>
      </c>
      <c r="J60" s="87" t="s">
        <v>357</v>
      </c>
      <c r="K60" s="87" t="s">
        <v>358</v>
      </c>
      <c r="L60" s="173">
        <v>0</v>
      </c>
      <c r="M60" s="173">
        <v>10360.401526241563</v>
      </c>
      <c r="N60" s="173">
        <v>21007.064901962876</v>
      </c>
      <c r="O60" s="173">
        <v>32137.709185284562</v>
      </c>
      <c r="Q60" s="87" t="s">
        <v>357</v>
      </c>
      <c r="R60" s="87" t="s">
        <v>358</v>
      </c>
      <c r="S60" s="173">
        <v>0</v>
      </c>
      <c r="T60" s="173">
        <v>11470.782358222641</v>
      </c>
      <c r="U60" s="173">
        <v>23809.752415931784</v>
      </c>
      <c r="V60" s="173">
        <v>36891.934386985376</v>
      </c>
    </row>
    <row r="61" spans="3:22">
      <c r="C61" s="87" t="s">
        <v>239</v>
      </c>
      <c r="D61" s="87" t="s">
        <v>240</v>
      </c>
      <c r="E61" s="173">
        <v>0</v>
      </c>
      <c r="F61" s="173">
        <v>-1085.0965082700714</v>
      </c>
      <c r="G61" s="173">
        <v>-1937.8460835495498</v>
      </c>
      <c r="H61" s="173">
        <v>-3327.8691590449307</v>
      </c>
      <c r="J61" s="87" t="s">
        <v>239</v>
      </c>
      <c r="K61" s="87" t="s">
        <v>240</v>
      </c>
      <c r="L61" s="173">
        <v>0</v>
      </c>
      <c r="M61" s="173">
        <v>-1085.0965082700714</v>
      </c>
      <c r="N61" s="173">
        <v>-1937.8460835495498</v>
      </c>
      <c r="O61" s="173">
        <v>-3327.8691590449307</v>
      </c>
      <c r="Q61" s="87" t="s">
        <v>239</v>
      </c>
      <c r="R61" s="87" t="s">
        <v>240</v>
      </c>
      <c r="S61" s="173">
        <v>0</v>
      </c>
      <c r="T61" s="173">
        <v>-964.49516187986592</v>
      </c>
      <c r="U61" s="173">
        <v>-2203.1643899376504</v>
      </c>
      <c r="V61" s="173">
        <v>18718.459544513491</v>
      </c>
    </row>
    <row r="62" spans="3:22">
      <c r="C62" s="87" t="s">
        <v>445</v>
      </c>
      <c r="D62" s="87" t="s">
        <v>446</v>
      </c>
      <c r="E62" s="173">
        <v>0</v>
      </c>
      <c r="F62" s="173">
        <v>41219.359322231263</v>
      </c>
      <c r="G62" s="173">
        <v>83741.903008637019</v>
      </c>
      <c r="H62" s="173">
        <v>127470.80474644993</v>
      </c>
      <c r="J62" s="87" t="s">
        <v>445</v>
      </c>
      <c r="K62" s="87" t="s">
        <v>446</v>
      </c>
      <c r="L62" s="173">
        <v>0</v>
      </c>
      <c r="M62" s="173">
        <v>40906.307557363063</v>
      </c>
      <c r="N62" s="173">
        <v>83395.823510433547</v>
      </c>
      <c r="O62" s="173">
        <v>128144.37361613009</v>
      </c>
      <c r="Q62" s="87" t="s">
        <v>445</v>
      </c>
      <c r="R62" s="87" t="s">
        <v>446</v>
      </c>
      <c r="S62" s="173">
        <v>0</v>
      </c>
      <c r="T62" s="173">
        <v>41090.852044637315</v>
      </c>
      <c r="U62" s="173">
        <v>85649.074736910872</v>
      </c>
      <c r="V62" s="173">
        <v>130355.24580256734</v>
      </c>
    </row>
    <row r="63" spans="3:22">
      <c r="C63" s="87" t="s">
        <v>311</v>
      </c>
      <c r="D63" s="87" t="s">
        <v>312</v>
      </c>
      <c r="E63" s="173">
        <v>0</v>
      </c>
      <c r="F63" s="173">
        <v>25939.830078797415</v>
      </c>
      <c r="G63" s="173">
        <v>52854.039267775603</v>
      </c>
      <c r="H63" s="173">
        <v>80781.18168964237</v>
      </c>
      <c r="J63" s="87" t="s">
        <v>311</v>
      </c>
      <c r="K63" s="87" t="s">
        <v>312</v>
      </c>
      <c r="L63" s="173">
        <v>0</v>
      </c>
      <c r="M63" s="173">
        <v>26104.627370057628</v>
      </c>
      <c r="N63" s="173">
        <v>53075.297914859839</v>
      </c>
      <c r="O63" s="173">
        <v>81781.478443217464</v>
      </c>
      <c r="Q63" s="87" t="s">
        <v>311</v>
      </c>
      <c r="R63" s="87" t="s">
        <v>312</v>
      </c>
      <c r="S63" s="173">
        <v>0</v>
      </c>
      <c r="T63" s="173">
        <v>25046.294978101738</v>
      </c>
      <c r="U63" s="173">
        <v>50685.069485493936</v>
      </c>
      <c r="V63" s="173">
        <v>78826.060909697786</v>
      </c>
    </row>
    <row r="64" spans="3:22">
      <c r="C64" s="87" t="s">
        <v>73</v>
      </c>
      <c r="D64" s="87" t="s">
        <v>74</v>
      </c>
      <c r="E64" s="173">
        <v>0</v>
      </c>
      <c r="F64" s="173">
        <v>19244.59860191308</v>
      </c>
      <c r="G64" s="173">
        <v>39438.620698448271</v>
      </c>
      <c r="H64" s="173">
        <v>60120.719024292193</v>
      </c>
      <c r="J64" s="87" t="s">
        <v>73</v>
      </c>
      <c r="K64" s="87" t="s">
        <v>74</v>
      </c>
      <c r="L64" s="173">
        <v>0</v>
      </c>
      <c r="M64" s="173">
        <v>19681.509457577951</v>
      </c>
      <c r="N64" s="173">
        <v>39587.204446329735</v>
      </c>
      <c r="O64" s="173">
        <v>60538.119378379546</v>
      </c>
      <c r="Q64" s="87" t="s">
        <v>73</v>
      </c>
      <c r="R64" s="87" t="s">
        <v>74</v>
      </c>
      <c r="S64" s="173">
        <v>0</v>
      </c>
      <c r="T64" s="173">
        <v>18409.240130607039</v>
      </c>
      <c r="U64" s="173">
        <v>35660.404335184954</v>
      </c>
      <c r="V64" s="173">
        <v>53352.239487880841</v>
      </c>
    </row>
    <row r="65" spans="3:22">
      <c r="C65" s="87" t="s">
        <v>475</v>
      </c>
      <c r="D65" s="87" t="s">
        <v>476</v>
      </c>
      <c r="E65" s="173">
        <v>0</v>
      </c>
      <c r="F65" s="173">
        <v>235269.2146014832</v>
      </c>
      <c r="G65" s="173">
        <v>479931.85926137492</v>
      </c>
      <c r="H65" s="173">
        <v>730619.65541934967</v>
      </c>
      <c r="J65" s="87" t="s">
        <v>475</v>
      </c>
      <c r="K65" s="87" t="s">
        <v>476</v>
      </c>
      <c r="L65" s="173">
        <v>0</v>
      </c>
      <c r="M65" s="173">
        <v>236546.92211669683</v>
      </c>
      <c r="N65" s="173">
        <v>482673.38592926413</v>
      </c>
      <c r="O65" s="173">
        <v>736160.3279229179</v>
      </c>
      <c r="Q65" s="87" t="s">
        <v>475</v>
      </c>
      <c r="R65" s="87" t="s">
        <v>476</v>
      </c>
      <c r="S65" s="173">
        <v>0</v>
      </c>
      <c r="T65" s="173">
        <v>234536.32778565958</v>
      </c>
      <c r="U65" s="173">
        <v>481048.4659630172</v>
      </c>
      <c r="V65" s="173">
        <v>737205.75114924461</v>
      </c>
    </row>
    <row r="66" spans="3:22">
      <c r="C66" s="87" t="s">
        <v>373</v>
      </c>
      <c r="D66" s="87" t="s">
        <v>374</v>
      </c>
      <c r="E66" s="173">
        <v>0</v>
      </c>
      <c r="F66" s="173">
        <v>213364.56168894097</v>
      </c>
      <c r="G66" s="173">
        <v>434759.99151428416</v>
      </c>
      <c r="H66" s="173">
        <v>663242.40733924508</v>
      </c>
      <c r="J66" s="87" t="s">
        <v>373</v>
      </c>
      <c r="K66" s="87" t="s">
        <v>374</v>
      </c>
      <c r="L66" s="173">
        <v>0</v>
      </c>
      <c r="M66" s="173">
        <v>214832.02529852465</v>
      </c>
      <c r="N66" s="173">
        <v>437064.12211139128</v>
      </c>
      <c r="O66" s="173">
        <v>668201.31662241742</v>
      </c>
      <c r="Q66" s="87" t="s">
        <v>373</v>
      </c>
      <c r="R66" s="87" t="s">
        <v>374</v>
      </c>
      <c r="S66" s="173">
        <v>0</v>
      </c>
      <c r="T66" s="173">
        <v>220449.79059613869</v>
      </c>
      <c r="U66" s="173">
        <v>449561.64432727173</v>
      </c>
      <c r="V66" s="173">
        <v>696554.03386611864</v>
      </c>
    </row>
    <row r="67" spans="3:22">
      <c r="C67" s="87" t="s">
        <v>525</v>
      </c>
      <c r="D67" s="87" t="s">
        <v>526</v>
      </c>
      <c r="E67" s="173">
        <v>0</v>
      </c>
      <c r="F67" s="173">
        <v>-1303.0483657104196</v>
      </c>
      <c r="G67" s="173">
        <v>-2779.4300646412885</v>
      </c>
      <c r="H67" s="173">
        <v>-4070.7633468136191</v>
      </c>
      <c r="J67" s="87" t="s">
        <v>525</v>
      </c>
      <c r="K67" s="87" t="s">
        <v>526</v>
      </c>
      <c r="L67" s="173">
        <v>0</v>
      </c>
      <c r="M67" s="173">
        <v>-1303.0483657104196</v>
      </c>
      <c r="N67" s="173">
        <v>-2779.4300646412885</v>
      </c>
      <c r="O67" s="173">
        <v>-4070.7633468136191</v>
      </c>
      <c r="Q67" s="87" t="s">
        <v>525</v>
      </c>
      <c r="R67" s="87" t="s">
        <v>526</v>
      </c>
      <c r="S67" s="173">
        <v>0</v>
      </c>
      <c r="T67" s="173">
        <v>-1405.3077496733749</v>
      </c>
      <c r="U67" s="173">
        <v>-2767.4608161142096</v>
      </c>
      <c r="V67" s="173">
        <v>-4166.2951035212027</v>
      </c>
    </row>
    <row r="68" spans="3:22">
      <c r="C68" s="87" t="s">
        <v>469</v>
      </c>
      <c r="D68" s="87" t="s">
        <v>470</v>
      </c>
      <c r="E68" s="173">
        <v>0</v>
      </c>
      <c r="F68" s="173">
        <v>301308.76946572214</v>
      </c>
      <c r="G68" s="173">
        <v>613925.27418236434</v>
      </c>
      <c r="H68" s="173">
        <v>934859.71365110576</v>
      </c>
      <c r="J68" s="87" t="s">
        <v>469</v>
      </c>
      <c r="K68" s="87" t="s">
        <v>470</v>
      </c>
      <c r="L68" s="173">
        <v>0</v>
      </c>
      <c r="M68" s="173">
        <v>302449.37623472512</v>
      </c>
      <c r="N68" s="173">
        <v>617324.00516337901</v>
      </c>
      <c r="O68" s="173">
        <v>941438.00367686152</v>
      </c>
      <c r="Q68" s="87" t="s">
        <v>469</v>
      </c>
      <c r="R68" s="87" t="s">
        <v>470</v>
      </c>
      <c r="S68" s="173">
        <v>0</v>
      </c>
      <c r="T68" s="173">
        <v>316427.47511722893</v>
      </c>
      <c r="U68" s="173">
        <v>647361.03358885646</v>
      </c>
      <c r="V68" s="173">
        <v>988630.87802437693</v>
      </c>
    </row>
    <row r="69" spans="3:22">
      <c r="C69" s="87" t="s">
        <v>587</v>
      </c>
      <c r="D69" s="87" t="s">
        <v>588</v>
      </c>
      <c r="E69" s="173">
        <v>0</v>
      </c>
      <c r="F69" s="173">
        <v>286412.37578970939</v>
      </c>
      <c r="G69" s="173">
        <v>583780.0821115002</v>
      </c>
      <c r="H69" s="173">
        <v>888402.66338054091</v>
      </c>
      <c r="J69" s="87" t="s">
        <v>587</v>
      </c>
      <c r="K69" s="87" t="s">
        <v>588</v>
      </c>
      <c r="L69" s="173">
        <v>0</v>
      </c>
      <c r="M69" s="173">
        <v>287787.36812669784</v>
      </c>
      <c r="N69" s="173">
        <v>587198.36841548234</v>
      </c>
      <c r="O69" s="173">
        <v>894978.74140012264</v>
      </c>
      <c r="Q69" s="87" t="s">
        <v>587</v>
      </c>
      <c r="R69" s="87" t="s">
        <v>588</v>
      </c>
      <c r="S69" s="173">
        <v>0</v>
      </c>
      <c r="T69" s="173">
        <v>283234.52314630896</v>
      </c>
      <c r="U69" s="173">
        <v>580485.49867805094</v>
      </c>
      <c r="V69" s="173">
        <v>889032.73962767422</v>
      </c>
    </row>
    <row r="70" spans="3:22">
      <c r="C70" s="87" t="s">
        <v>95</v>
      </c>
      <c r="D70" s="87" t="s">
        <v>96</v>
      </c>
      <c r="E70" s="173">
        <v>0</v>
      </c>
      <c r="F70" s="173">
        <v>481946.95047694445</v>
      </c>
      <c r="G70" s="173">
        <v>982612.61803244054</v>
      </c>
      <c r="H70" s="173">
        <v>1495818.1713723093</v>
      </c>
      <c r="J70" s="87" t="s">
        <v>95</v>
      </c>
      <c r="K70" s="87" t="s">
        <v>96</v>
      </c>
      <c r="L70" s="173">
        <v>0</v>
      </c>
      <c r="M70" s="173">
        <v>484079.86820070446</v>
      </c>
      <c r="N70" s="173">
        <v>988059.03807142377</v>
      </c>
      <c r="O70" s="173">
        <v>1506553.2494035363</v>
      </c>
      <c r="Q70" s="87" t="s">
        <v>95</v>
      </c>
      <c r="R70" s="87" t="s">
        <v>96</v>
      </c>
      <c r="S70" s="173">
        <v>0</v>
      </c>
      <c r="T70" s="173">
        <v>481124.85116256773</v>
      </c>
      <c r="U70" s="173">
        <v>984704.98961007595</v>
      </c>
      <c r="V70" s="173">
        <v>1490318.4597901851</v>
      </c>
    </row>
    <row r="71" spans="3:22">
      <c r="C71" s="87" t="s">
        <v>241</v>
      </c>
      <c r="D71" s="87" t="s">
        <v>242</v>
      </c>
      <c r="E71" s="173">
        <v>0</v>
      </c>
      <c r="F71" s="173">
        <v>-4061.3710871851072</v>
      </c>
      <c r="G71" s="173">
        <v>-8733.1180976037867</v>
      </c>
      <c r="H71" s="173">
        <v>-13650.966049187351</v>
      </c>
      <c r="J71" s="87" t="s">
        <v>241</v>
      </c>
      <c r="K71" s="87" t="s">
        <v>242</v>
      </c>
      <c r="L71" s="173">
        <v>0</v>
      </c>
      <c r="M71" s="173">
        <v>-4061.3710871851072</v>
      </c>
      <c r="N71" s="173">
        <v>-8733.1180976037867</v>
      </c>
      <c r="O71" s="173">
        <v>-13650.966049187351</v>
      </c>
      <c r="Q71" s="87" t="s">
        <v>241</v>
      </c>
      <c r="R71" s="87" t="s">
        <v>242</v>
      </c>
      <c r="S71" s="173">
        <v>0</v>
      </c>
      <c r="T71" s="173">
        <v>-4490.4278151164763</v>
      </c>
      <c r="U71" s="173">
        <v>1571.2383291311562</v>
      </c>
      <c r="V71" s="173">
        <v>7694.900050974451</v>
      </c>
    </row>
    <row r="72" spans="3:22">
      <c r="C72" s="87" t="s">
        <v>385</v>
      </c>
      <c r="D72" s="87" t="s">
        <v>386</v>
      </c>
      <c r="E72" s="173">
        <v>0</v>
      </c>
      <c r="F72" s="173">
        <v>216720.71915834025</v>
      </c>
      <c r="G72" s="173">
        <v>442151.77785589173</v>
      </c>
      <c r="H72" s="173">
        <v>673076.20859497041</v>
      </c>
      <c r="J72" s="87" t="s">
        <v>385</v>
      </c>
      <c r="K72" s="87" t="s">
        <v>386</v>
      </c>
      <c r="L72" s="173">
        <v>0</v>
      </c>
      <c r="M72" s="173">
        <v>217680.96875337139</v>
      </c>
      <c r="N72" s="173">
        <v>444421.07007753104</v>
      </c>
      <c r="O72" s="173">
        <v>678000.27104882151</v>
      </c>
      <c r="Q72" s="87" t="s">
        <v>385</v>
      </c>
      <c r="R72" s="87" t="s">
        <v>386</v>
      </c>
      <c r="S72" s="173">
        <v>0</v>
      </c>
      <c r="T72" s="173">
        <v>211069.3751077503</v>
      </c>
      <c r="U72" s="173">
        <v>436306.31908428296</v>
      </c>
      <c r="V72" s="173">
        <v>674696.1896253787</v>
      </c>
    </row>
    <row r="73" spans="3:22">
      <c r="C73" s="87" t="s">
        <v>429</v>
      </c>
      <c r="D73" s="87" t="s">
        <v>430</v>
      </c>
      <c r="E73" s="173">
        <v>0</v>
      </c>
      <c r="F73" s="173">
        <v>2730777.6813133955</v>
      </c>
      <c r="G73" s="173">
        <v>5571948.6210260391</v>
      </c>
      <c r="H73" s="173">
        <v>8487474.1935720444</v>
      </c>
      <c r="J73" s="87" t="s">
        <v>429</v>
      </c>
      <c r="K73" s="87" t="s">
        <v>430</v>
      </c>
      <c r="L73" s="173">
        <v>0</v>
      </c>
      <c r="M73" s="173">
        <v>2744186.1311510801</v>
      </c>
      <c r="N73" s="173">
        <v>5603386.6886131763</v>
      </c>
      <c r="O73" s="173">
        <v>8549884.9401862621</v>
      </c>
      <c r="Q73" s="87" t="s">
        <v>429</v>
      </c>
      <c r="R73" s="87" t="s">
        <v>430</v>
      </c>
      <c r="S73" s="173">
        <v>0</v>
      </c>
      <c r="T73" s="173">
        <v>2788341.0217791796</v>
      </c>
      <c r="U73" s="173">
        <v>5776916.6038289666</v>
      </c>
      <c r="V73" s="173">
        <v>8857872.6041557193</v>
      </c>
    </row>
    <row r="74" spans="3:22">
      <c r="C74" s="87" t="s">
        <v>245</v>
      </c>
      <c r="D74" s="87" t="s">
        <v>246</v>
      </c>
      <c r="E74" s="173">
        <v>0</v>
      </c>
      <c r="F74" s="173">
        <v>375818.70391262323</v>
      </c>
      <c r="G74" s="173">
        <v>766408.69442211092</v>
      </c>
      <c r="H74" s="173">
        <v>1167152.1714153066</v>
      </c>
      <c r="J74" s="87" t="s">
        <v>245</v>
      </c>
      <c r="K74" s="87" t="s">
        <v>246</v>
      </c>
      <c r="L74" s="173">
        <v>0</v>
      </c>
      <c r="M74" s="173">
        <v>377583.03941438347</v>
      </c>
      <c r="N74" s="173">
        <v>770412.63299318403</v>
      </c>
      <c r="O74" s="173">
        <v>1175597.951479882</v>
      </c>
      <c r="Q74" s="87" t="s">
        <v>245</v>
      </c>
      <c r="R74" s="87" t="s">
        <v>246</v>
      </c>
      <c r="S74" s="173">
        <v>0</v>
      </c>
      <c r="T74" s="173">
        <v>368093.5411869511</v>
      </c>
      <c r="U74" s="173">
        <v>748344.48359879851</v>
      </c>
      <c r="V74" s="173">
        <v>1136395.1416997463</v>
      </c>
    </row>
    <row r="75" spans="3:22">
      <c r="C75" s="87" t="s">
        <v>151</v>
      </c>
      <c r="D75" s="87" t="s">
        <v>152</v>
      </c>
      <c r="E75" s="173">
        <v>0</v>
      </c>
      <c r="F75" s="173">
        <v>122038.47308019176</v>
      </c>
      <c r="G75" s="173">
        <v>248479.51307069138</v>
      </c>
      <c r="H75" s="173">
        <v>378566.72499850765</v>
      </c>
      <c r="J75" s="87" t="s">
        <v>151</v>
      </c>
      <c r="K75" s="87" t="s">
        <v>152</v>
      </c>
      <c r="L75" s="173">
        <v>0</v>
      </c>
      <c r="M75" s="173">
        <v>122622.84021540731</v>
      </c>
      <c r="N75" s="173">
        <v>249735.65469118208</v>
      </c>
      <c r="O75" s="173">
        <v>381401.43073774502</v>
      </c>
      <c r="Q75" s="87" t="s">
        <v>151</v>
      </c>
      <c r="R75" s="87" t="s">
        <v>152</v>
      </c>
      <c r="S75" s="173">
        <v>0</v>
      </c>
      <c r="T75" s="173">
        <v>126703.79713561386</v>
      </c>
      <c r="U75" s="173">
        <v>261045.71453556418</v>
      </c>
      <c r="V75" s="173">
        <v>401241.61781912297</v>
      </c>
    </row>
    <row r="76" spans="3:22">
      <c r="C76" s="87" t="s">
        <v>573</v>
      </c>
      <c r="D76" s="87" t="s">
        <v>574</v>
      </c>
      <c r="E76" s="173">
        <v>0</v>
      </c>
      <c r="F76" s="173">
        <v>-4039.6165750208311</v>
      </c>
      <c r="G76" s="173">
        <v>-8688.5554607994854</v>
      </c>
      <c r="H76" s="173">
        <v>-13018.275397066493</v>
      </c>
      <c r="J76" s="87" t="s">
        <v>573</v>
      </c>
      <c r="K76" s="87" t="s">
        <v>574</v>
      </c>
      <c r="L76" s="173">
        <v>0</v>
      </c>
      <c r="M76" s="173">
        <v>-4039.6165750208311</v>
      </c>
      <c r="N76" s="173">
        <v>-8688.5554607994854</v>
      </c>
      <c r="O76" s="173">
        <v>-13018.275397066493</v>
      </c>
      <c r="Q76" s="87" t="s">
        <v>573</v>
      </c>
      <c r="R76" s="87" t="s">
        <v>574</v>
      </c>
      <c r="S76" s="173">
        <v>0</v>
      </c>
      <c r="T76" s="173">
        <v>-4268.3709732443094</v>
      </c>
      <c r="U76" s="173">
        <v>957.16116218548268</v>
      </c>
      <c r="V76" s="173">
        <v>-13603.032097617164</v>
      </c>
    </row>
    <row r="77" spans="3:22">
      <c r="C77" s="87" t="s">
        <v>33</v>
      </c>
      <c r="D77" s="87" t="s">
        <v>34</v>
      </c>
      <c r="E77" s="173">
        <v>0</v>
      </c>
      <c r="F77" s="173">
        <v>21212.291685658507</v>
      </c>
      <c r="G77" s="173">
        <v>43597.818491357379</v>
      </c>
      <c r="H77" s="173">
        <v>66540.08238145709</v>
      </c>
      <c r="J77" s="87" t="s">
        <v>33</v>
      </c>
      <c r="K77" s="87" t="s">
        <v>34</v>
      </c>
      <c r="L77" s="173">
        <v>0</v>
      </c>
      <c r="M77" s="173">
        <v>21422.566015121527</v>
      </c>
      <c r="N77" s="173">
        <v>44126.432418464683</v>
      </c>
      <c r="O77" s="173">
        <v>67295.910711809061</v>
      </c>
      <c r="Q77" s="87" t="s">
        <v>33</v>
      </c>
      <c r="R77" s="87" t="s">
        <v>34</v>
      </c>
      <c r="S77" s="173">
        <v>0</v>
      </c>
      <c r="T77" s="173">
        <v>20213.853113219142</v>
      </c>
      <c r="U77" s="173">
        <v>38603.936525017023</v>
      </c>
      <c r="V77" s="173">
        <v>58647.91200577002</v>
      </c>
    </row>
    <row r="78" spans="3:22">
      <c r="C78" s="87" t="s">
        <v>187</v>
      </c>
      <c r="D78" s="87" t="s">
        <v>188</v>
      </c>
      <c r="E78" s="173">
        <v>0</v>
      </c>
      <c r="F78" s="173">
        <v>557952.27255488187</v>
      </c>
      <c r="G78" s="173">
        <v>1138222.1734542921</v>
      </c>
      <c r="H78" s="173">
        <v>1733285.0785132349</v>
      </c>
      <c r="J78" s="87" t="s">
        <v>187</v>
      </c>
      <c r="K78" s="87" t="s">
        <v>188</v>
      </c>
      <c r="L78" s="173">
        <v>0</v>
      </c>
      <c r="M78" s="173">
        <v>560192.69947883487</v>
      </c>
      <c r="N78" s="173">
        <v>1144528.4573470056</v>
      </c>
      <c r="O78" s="173">
        <v>1746238.764133431</v>
      </c>
      <c r="Q78" s="87" t="s">
        <v>187</v>
      </c>
      <c r="R78" s="87" t="s">
        <v>188</v>
      </c>
      <c r="S78" s="173">
        <v>0</v>
      </c>
      <c r="T78" s="173">
        <v>591871.37513934821</v>
      </c>
      <c r="U78" s="173">
        <v>1264292.3461669385</v>
      </c>
      <c r="V78" s="173">
        <v>2009645.2259809673</v>
      </c>
    </row>
    <row r="79" spans="3:22">
      <c r="C79" s="87" t="s">
        <v>135</v>
      </c>
      <c r="D79" s="87" t="s">
        <v>136</v>
      </c>
      <c r="E79" s="173">
        <v>0</v>
      </c>
      <c r="F79" s="173">
        <v>229373.47089990601</v>
      </c>
      <c r="G79" s="173">
        <v>468046.05890796334</v>
      </c>
      <c r="H79" s="173">
        <v>712375.90202855319</v>
      </c>
      <c r="J79" s="87" t="s">
        <v>135</v>
      </c>
      <c r="K79" s="87" t="s">
        <v>136</v>
      </c>
      <c r="L79" s="173">
        <v>0</v>
      </c>
      <c r="M79" s="173">
        <v>230600.93759756535</v>
      </c>
      <c r="N79" s="173">
        <v>470860.34380756691</v>
      </c>
      <c r="O79" s="173">
        <v>717651.49665525556</v>
      </c>
      <c r="Q79" s="87" t="s">
        <v>135</v>
      </c>
      <c r="R79" s="87" t="s">
        <v>136</v>
      </c>
      <c r="S79" s="173">
        <v>0</v>
      </c>
      <c r="T79" s="173">
        <v>229084.86057503894</v>
      </c>
      <c r="U79" s="173">
        <v>467146.9685944356</v>
      </c>
      <c r="V79" s="173">
        <v>710818.54720402136</v>
      </c>
    </row>
    <row r="80" spans="3:22">
      <c r="C80" s="87" t="s">
        <v>273</v>
      </c>
      <c r="D80" s="87" t="s">
        <v>274</v>
      </c>
      <c r="E80" s="173">
        <v>0</v>
      </c>
      <c r="F80" s="173">
        <v>-3311.4708878120873</v>
      </c>
      <c r="G80" s="173">
        <v>-6520.4998420749325</v>
      </c>
      <c r="H80" s="173">
        <v>-3008.5243040128844</v>
      </c>
      <c r="J80" s="87" t="s">
        <v>273</v>
      </c>
      <c r="K80" s="87" t="s">
        <v>274</v>
      </c>
      <c r="L80" s="173">
        <v>0</v>
      </c>
      <c r="M80" s="173">
        <v>-3311.4708878120873</v>
      </c>
      <c r="N80" s="173">
        <v>-6520.4998420749325</v>
      </c>
      <c r="O80" s="173">
        <v>-3008.5243040128844</v>
      </c>
      <c r="Q80" s="87" t="s">
        <v>273</v>
      </c>
      <c r="R80" s="87" t="s">
        <v>274</v>
      </c>
      <c r="S80" s="173">
        <v>0</v>
      </c>
      <c r="T80" s="173">
        <v>4851.000477839727</v>
      </c>
      <c r="U80" s="173">
        <v>10781.508839784772</v>
      </c>
      <c r="V80" s="173">
        <v>17719.238639509538</v>
      </c>
    </row>
    <row r="81" spans="3:22">
      <c r="C81" s="87" t="s">
        <v>423</v>
      </c>
      <c r="D81" s="87" t="s">
        <v>424</v>
      </c>
      <c r="E81" s="173">
        <v>0</v>
      </c>
      <c r="F81" s="173">
        <v>2720164.4844874442</v>
      </c>
      <c r="G81" s="173">
        <v>5550018.1549959481</v>
      </c>
      <c r="H81" s="173">
        <v>8454067.6920542717</v>
      </c>
      <c r="J81" s="87" t="s">
        <v>423</v>
      </c>
      <c r="K81" s="87" t="s">
        <v>424</v>
      </c>
      <c r="L81" s="173">
        <v>0</v>
      </c>
      <c r="M81" s="173">
        <v>2733492.2342634797</v>
      </c>
      <c r="N81" s="173">
        <v>5581614.700021863</v>
      </c>
      <c r="O81" s="173">
        <v>8516937.4208075404</v>
      </c>
      <c r="Q81" s="87" t="s">
        <v>423</v>
      </c>
      <c r="R81" s="87" t="s">
        <v>424</v>
      </c>
      <c r="S81" s="173">
        <v>0</v>
      </c>
      <c r="T81" s="173">
        <v>2749441.6283930838</v>
      </c>
      <c r="U81" s="173">
        <v>5614761.0297795534</v>
      </c>
      <c r="V81" s="173">
        <v>8544704.8551399708</v>
      </c>
    </row>
    <row r="82" spans="3:22">
      <c r="C82" s="87" t="s">
        <v>65</v>
      </c>
      <c r="D82" s="87" t="s">
        <v>66</v>
      </c>
      <c r="E82" s="173">
        <v>0</v>
      </c>
      <c r="F82" s="173">
        <v>1975671.0193203688</v>
      </c>
      <c r="G82" s="173">
        <v>4031668.7543795705</v>
      </c>
      <c r="H82" s="173">
        <v>6136388.3694844246</v>
      </c>
      <c r="J82" s="87" t="s">
        <v>65</v>
      </c>
      <c r="K82" s="87" t="s">
        <v>66</v>
      </c>
      <c r="L82" s="173">
        <v>0</v>
      </c>
      <c r="M82" s="173">
        <v>1985469.3326168656</v>
      </c>
      <c r="N82" s="173">
        <v>4054029.1461014152</v>
      </c>
      <c r="O82" s="173">
        <v>6181384.8850593567</v>
      </c>
      <c r="Q82" s="87" t="s">
        <v>65</v>
      </c>
      <c r="R82" s="87" t="s">
        <v>66</v>
      </c>
      <c r="S82" s="173">
        <v>0</v>
      </c>
      <c r="T82" s="173">
        <v>2119611.9968700409</v>
      </c>
      <c r="U82" s="173">
        <v>4249765.0671782494</v>
      </c>
      <c r="V82" s="173">
        <v>6369054.8456402421</v>
      </c>
    </row>
    <row r="83" spans="3:22">
      <c r="C83" s="87" t="s">
        <v>497</v>
      </c>
      <c r="D83" s="87" t="s">
        <v>498</v>
      </c>
      <c r="E83" s="173">
        <v>0</v>
      </c>
      <c r="F83" s="173">
        <v>-2022.9174108778243</v>
      </c>
      <c r="G83" s="173">
        <v>-4190.8052890478284</v>
      </c>
      <c r="H83" s="173">
        <v>-6524.1102091653156</v>
      </c>
      <c r="J83" s="87" t="s">
        <v>497</v>
      </c>
      <c r="K83" s="87" t="s">
        <v>498</v>
      </c>
      <c r="L83" s="173">
        <v>0</v>
      </c>
      <c r="M83" s="173">
        <v>-2022.9174108778243</v>
      </c>
      <c r="N83" s="173">
        <v>-4190.8052890478284</v>
      </c>
      <c r="O83" s="173">
        <v>-6524.1102091653156</v>
      </c>
      <c r="Q83" s="87" t="s">
        <v>497</v>
      </c>
      <c r="R83" s="87" t="s">
        <v>498</v>
      </c>
      <c r="S83" s="173">
        <v>0</v>
      </c>
      <c r="T83" s="173">
        <v>-2841.0585934089031</v>
      </c>
      <c r="U83" s="173">
        <v>-5627.4991351580247</v>
      </c>
      <c r="V83" s="173">
        <v>-8339.9969746175921</v>
      </c>
    </row>
    <row r="84" spans="3:22">
      <c r="C84" s="87" t="s">
        <v>185</v>
      </c>
      <c r="D84" s="87" t="s">
        <v>186</v>
      </c>
      <c r="E84" s="173">
        <v>0</v>
      </c>
      <c r="F84" s="173">
        <v>1910356.8050042391</v>
      </c>
      <c r="G84" s="173">
        <v>3898974.1586371064</v>
      </c>
      <c r="H84" s="173">
        <v>5935412.6038611531</v>
      </c>
      <c r="J84" s="87" t="s">
        <v>185</v>
      </c>
      <c r="K84" s="87" t="s">
        <v>186</v>
      </c>
      <c r="L84" s="173">
        <v>0</v>
      </c>
      <c r="M84" s="173">
        <v>1920215.3366337419</v>
      </c>
      <c r="N84" s="173">
        <v>3920866.2003974915</v>
      </c>
      <c r="O84" s="173">
        <v>5979694.5345272422</v>
      </c>
      <c r="Q84" s="87" t="s">
        <v>185</v>
      </c>
      <c r="R84" s="87" t="s">
        <v>186</v>
      </c>
      <c r="S84" s="173">
        <v>0</v>
      </c>
      <c r="T84" s="173">
        <v>2069565.1002231836</v>
      </c>
      <c r="U84" s="173">
        <v>4222764.5544348359</v>
      </c>
      <c r="V84" s="173">
        <v>6429623.8370754719</v>
      </c>
    </row>
    <row r="85" spans="3:22">
      <c r="C85" s="87" t="s">
        <v>541</v>
      </c>
      <c r="D85" s="87" t="s">
        <v>542</v>
      </c>
      <c r="E85" s="173">
        <v>0</v>
      </c>
      <c r="F85" s="173">
        <v>552689.78975456208</v>
      </c>
      <c r="G85" s="173">
        <v>1127904.2399911806</v>
      </c>
      <c r="H85" s="173">
        <v>1717688.751775302</v>
      </c>
      <c r="J85" s="87" t="s">
        <v>541</v>
      </c>
      <c r="K85" s="87" t="s">
        <v>542</v>
      </c>
      <c r="L85" s="173">
        <v>0</v>
      </c>
      <c r="M85" s="173">
        <v>555724.39950786531</v>
      </c>
      <c r="N85" s="173">
        <v>1134420.0710348561</v>
      </c>
      <c r="O85" s="173">
        <v>1730824.8420718461</v>
      </c>
      <c r="Q85" s="87" t="s">
        <v>541</v>
      </c>
      <c r="R85" s="87" t="s">
        <v>542</v>
      </c>
      <c r="S85" s="173">
        <v>0</v>
      </c>
      <c r="T85" s="173">
        <v>591508.09152553976</v>
      </c>
      <c r="U85" s="173">
        <v>1224082.7902611494</v>
      </c>
      <c r="V85" s="173">
        <v>1864310.9343921095</v>
      </c>
    </row>
    <row r="86" spans="3:22">
      <c r="C86" s="87" t="s">
        <v>389</v>
      </c>
      <c r="D86" s="87" t="s">
        <v>390</v>
      </c>
      <c r="E86" s="173">
        <v>0</v>
      </c>
      <c r="F86" s="173">
        <v>478241.38454192132</v>
      </c>
      <c r="G86" s="173">
        <v>976005.96114582568</v>
      </c>
      <c r="H86" s="173">
        <v>1486415.7427558079</v>
      </c>
      <c r="J86" s="87" t="s">
        <v>389</v>
      </c>
      <c r="K86" s="87" t="s">
        <v>390</v>
      </c>
      <c r="L86" s="173">
        <v>0</v>
      </c>
      <c r="M86" s="173">
        <v>481138.68630618602</v>
      </c>
      <c r="N86" s="173">
        <v>981616.3107239306</v>
      </c>
      <c r="O86" s="173">
        <v>1497556.5678824112</v>
      </c>
      <c r="Q86" s="87" t="s">
        <v>389</v>
      </c>
      <c r="R86" s="87" t="s">
        <v>390</v>
      </c>
      <c r="S86" s="173">
        <v>0</v>
      </c>
      <c r="T86" s="173">
        <v>484932.8107246384</v>
      </c>
      <c r="U86" s="173">
        <v>994993.96239922941</v>
      </c>
      <c r="V86" s="173">
        <v>1518086.2058437914</v>
      </c>
    </row>
    <row r="87" spans="3:22">
      <c r="C87" s="87" t="s">
        <v>23</v>
      </c>
      <c r="D87" s="87" t="s">
        <v>24</v>
      </c>
      <c r="E87" s="173">
        <v>0</v>
      </c>
      <c r="F87" s="173">
        <v>42915.084792746231</v>
      </c>
      <c r="G87" s="173">
        <v>87675.398386096582</v>
      </c>
      <c r="H87" s="173">
        <v>163554.18050097302</v>
      </c>
      <c r="J87" s="87" t="s">
        <v>23</v>
      </c>
      <c r="K87" s="87" t="s">
        <v>24</v>
      </c>
      <c r="L87" s="173">
        <v>0</v>
      </c>
      <c r="M87" s="173">
        <v>43454.684645628557</v>
      </c>
      <c r="N87" s="173">
        <v>94500.82370066829</v>
      </c>
      <c r="O87" s="173">
        <v>173309.09247198701</v>
      </c>
      <c r="Q87" s="87" t="s">
        <v>23</v>
      </c>
      <c r="R87" s="87" t="s">
        <v>24</v>
      </c>
      <c r="S87" s="173">
        <v>0</v>
      </c>
      <c r="T87" s="173">
        <v>72494.379034217447</v>
      </c>
      <c r="U87" s="173">
        <v>144329.05045017786</v>
      </c>
      <c r="V87" s="173">
        <v>213322.38734737225</v>
      </c>
    </row>
    <row r="88" spans="3:22">
      <c r="C88" s="87" t="s">
        <v>381</v>
      </c>
      <c r="D88" s="87" t="s">
        <v>382</v>
      </c>
      <c r="E88" s="173">
        <v>0</v>
      </c>
      <c r="F88" s="173">
        <v>665975.96119605005</v>
      </c>
      <c r="G88" s="173">
        <v>1358215.6092347503</v>
      </c>
      <c r="H88" s="173">
        <v>2067611.3586501628</v>
      </c>
      <c r="J88" s="87" t="s">
        <v>381</v>
      </c>
      <c r="K88" s="87" t="s">
        <v>382</v>
      </c>
      <c r="L88" s="173">
        <v>0</v>
      </c>
      <c r="M88" s="173">
        <v>669139.09712766111</v>
      </c>
      <c r="N88" s="173">
        <v>1365855.0936374664</v>
      </c>
      <c r="O88" s="173">
        <v>2082929.9128636271</v>
      </c>
      <c r="Q88" s="87" t="s">
        <v>381</v>
      </c>
      <c r="R88" s="87" t="s">
        <v>382</v>
      </c>
      <c r="S88" s="173">
        <v>0</v>
      </c>
      <c r="T88" s="173">
        <v>712209.75033551455</v>
      </c>
      <c r="U88" s="173">
        <v>1455108.2932069153</v>
      </c>
      <c r="V88" s="173">
        <v>2218611.0254493207</v>
      </c>
    </row>
    <row r="89" spans="3:22">
      <c r="C89" s="87" t="s">
        <v>465</v>
      </c>
      <c r="D89" s="87" t="s">
        <v>466</v>
      </c>
      <c r="E89" s="173">
        <v>0</v>
      </c>
      <c r="F89" s="173">
        <v>100048.79135645181</v>
      </c>
      <c r="G89" s="173">
        <v>204013.31631488912</v>
      </c>
      <c r="H89" s="173">
        <v>310199.39833672531</v>
      </c>
      <c r="J89" s="87" t="s">
        <v>465</v>
      </c>
      <c r="K89" s="87" t="s">
        <v>466</v>
      </c>
      <c r="L89" s="173">
        <v>0</v>
      </c>
      <c r="M89" s="173">
        <v>100426.95191536844</v>
      </c>
      <c r="N89" s="173">
        <v>204730.71911738813</v>
      </c>
      <c r="O89" s="173">
        <v>312327.17988315597</v>
      </c>
      <c r="Q89" s="87" t="s">
        <v>465</v>
      </c>
      <c r="R89" s="87" t="s">
        <v>466</v>
      </c>
      <c r="S89" s="173">
        <v>0</v>
      </c>
      <c r="T89" s="173">
        <v>99635.96416448243</v>
      </c>
      <c r="U89" s="173">
        <v>203170.01662068255</v>
      </c>
      <c r="V89" s="173">
        <v>309406.57602526806</v>
      </c>
    </row>
    <row r="90" spans="3:22">
      <c r="C90" s="87" t="s">
        <v>567</v>
      </c>
      <c r="D90" s="87" t="s">
        <v>568</v>
      </c>
      <c r="E90" s="173">
        <v>0</v>
      </c>
      <c r="F90" s="173">
        <v>7187.1705040354282</v>
      </c>
      <c r="G90" s="173">
        <v>14259.411722118035</v>
      </c>
      <c r="H90" s="173">
        <v>21281.751225206535</v>
      </c>
      <c r="J90" s="87" t="s">
        <v>567</v>
      </c>
      <c r="K90" s="87" t="s">
        <v>568</v>
      </c>
      <c r="L90" s="173">
        <v>0</v>
      </c>
      <c r="M90" s="173">
        <v>7299.2725876844488</v>
      </c>
      <c r="N90" s="173">
        <v>14078.206458769739</v>
      </c>
      <c r="O90" s="173">
        <v>21750.251106663607</v>
      </c>
      <c r="Q90" s="87" t="s">
        <v>567</v>
      </c>
      <c r="R90" s="87" t="s">
        <v>568</v>
      </c>
      <c r="S90" s="173">
        <v>0</v>
      </c>
      <c r="T90" s="173">
        <v>4009.6446840385906</v>
      </c>
      <c r="U90" s="173">
        <v>8917.270457695704</v>
      </c>
      <c r="V90" s="173">
        <v>15017.427596078254</v>
      </c>
    </row>
    <row r="91" spans="3:22">
      <c r="C91" s="87" t="s">
        <v>259</v>
      </c>
      <c r="D91" s="87" t="s">
        <v>260</v>
      </c>
      <c r="E91" s="173">
        <v>0</v>
      </c>
      <c r="F91" s="173">
        <v>-2716.8259490551427</v>
      </c>
      <c r="G91" s="173">
        <v>-4827.9033237751573</v>
      </c>
      <c r="H91" s="173">
        <v>-7717.0206463090144</v>
      </c>
      <c r="J91" s="87" t="s">
        <v>259</v>
      </c>
      <c r="K91" s="87" t="s">
        <v>260</v>
      </c>
      <c r="L91" s="173">
        <v>0</v>
      </c>
      <c r="M91" s="173">
        <v>-2716.8259490551427</v>
      </c>
      <c r="N91" s="173">
        <v>-4827.9033237751573</v>
      </c>
      <c r="O91" s="173">
        <v>-7717.0206463090144</v>
      </c>
      <c r="Q91" s="87" t="s">
        <v>259</v>
      </c>
      <c r="R91" s="87" t="s">
        <v>260</v>
      </c>
      <c r="S91" s="173">
        <v>0</v>
      </c>
      <c r="T91" s="173">
        <v>-2699.2988661434501</v>
      </c>
      <c r="U91" s="173">
        <v>-5810.0843339874409</v>
      </c>
      <c r="V91" s="173">
        <v>-7389.9908514521085</v>
      </c>
    </row>
    <row r="92" spans="3:22">
      <c r="C92" s="87" t="s">
        <v>265</v>
      </c>
      <c r="D92" s="87" t="s">
        <v>266</v>
      </c>
      <c r="E92" s="173">
        <v>0</v>
      </c>
      <c r="F92" s="173">
        <v>89885.994040187448</v>
      </c>
      <c r="G92" s="173">
        <v>183328.88495085016</v>
      </c>
      <c r="H92" s="173">
        <v>278153.50951184332</v>
      </c>
      <c r="J92" s="87" t="s">
        <v>265</v>
      </c>
      <c r="K92" s="87" t="s">
        <v>266</v>
      </c>
      <c r="L92" s="173">
        <v>0</v>
      </c>
      <c r="M92" s="173">
        <v>90095.916276469827</v>
      </c>
      <c r="N92" s="173">
        <v>184303.97503456473</v>
      </c>
      <c r="O92" s="173">
        <v>280480.97462892532</v>
      </c>
      <c r="Q92" s="87" t="s">
        <v>265</v>
      </c>
      <c r="R92" s="87" t="s">
        <v>266</v>
      </c>
      <c r="S92" s="173">
        <v>0</v>
      </c>
      <c r="T92" s="173">
        <v>89766.545284718275</v>
      </c>
      <c r="U92" s="173">
        <v>179436.38731485978</v>
      </c>
      <c r="V92" s="173">
        <v>271012.89211512357</v>
      </c>
    </row>
    <row r="93" spans="3:22">
      <c r="C93" s="87" t="s">
        <v>139</v>
      </c>
      <c r="D93" s="87" t="s">
        <v>140</v>
      </c>
      <c r="E93" s="173">
        <v>0</v>
      </c>
      <c r="F93" s="173">
        <v>33224.044923933223</v>
      </c>
      <c r="G93" s="173">
        <v>67519.839944127947</v>
      </c>
      <c r="H93" s="173">
        <v>130574.72623688355</v>
      </c>
      <c r="J93" s="87" t="s">
        <v>139</v>
      </c>
      <c r="K93" s="87" t="s">
        <v>140</v>
      </c>
      <c r="L93" s="173">
        <v>0</v>
      </c>
      <c r="M93" s="173">
        <v>33453.839289119467</v>
      </c>
      <c r="N93" s="173">
        <v>72763.838885998353</v>
      </c>
      <c r="O93" s="173">
        <v>140226.39523873478</v>
      </c>
      <c r="Q93" s="87" t="s">
        <v>139</v>
      </c>
      <c r="R93" s="87" t="s">
        <v>140</v>
      </c>
      <c r="S93" s="173">
        <v>0</v>
      </c>
      <c r="T93" s="173">
        <v>31418.103938506916</v>
      </c>
      <c r="U93" s="173">
        <v>65406.994043789804</v>
      </c>
      <c r="V93" s="173">
        <v>102364.15274780244</v>
      </c>
    </row>
    <row r="94" spans="3:22">
      <c r="C94" s="87" t="s">
        <v>593</v>
      </c>
      <c r="D94" s="87" t="s">
        <v>594</v>
      </c>
      <c r="E94" s="173">
        <v>0</v>
      </c>
      <c r="F94" s="173">
        <v>304232.22602747381</v>
      </c>
      <c r="G94" s="173">
        <v>621150.10964420438</v>
      </c>
      <c r="H94" s="173">
        <v>945674.98210635781</v>
      </c>
      <c r="J94" s="87" t="s">
        <v>593</v>
      </c>
      <c r="K94" s="87" t="s">
        <v>594</v>
      </c>
      <c r="L94" s="173">
        <v>0</v>
      </c>
      <c r="M94" s="173">
        <v>306390.56635481119</v>
      </c>
      <c r="N94" s="173">
        <v>625112.3410994783</v>
      </c>
      <c r="O94" s="173">
        <v>953246.31639999151</v>
      </c>
      <c r="Q94" s="87" t="s">
        <v>593</v>
      </c>
      <c r="R94" s="87" t="s">
        <v>594</v>
      </c>
      <c r="S94" s="173">
        <v>0</v>
      </c>
      <c r="T94" s="173">
        <v>293035.40562332422</v>
      </c>
      <c r="U94" s="173">
        <v>589050.90192729235</v>
      </c>
      <c r="V94" s="173">
        <v>875841.55876695365</v>
      </c>
    </row>
    <row r="95" spans="3:22">
      <c r="C95" s="87" t="s">
        <v>601</v>
      </c>
      <c r="D95" s="87" t="s">
        <v>602</v>
      </c>
      <c r="E95" s="173">
        <v>0</v>
      </c>
      <c r="F95" s="173">
        <v>123804.69185244665</v>
      </c>
      <c r="G95" s="173">
        <v>252676.31281688809</v>
      </c>
      <c r="H95" s="173">
        <v>384386.77547513321</v>
      </c>
      <c r="J95" s="87" t="s">
        <v>601</v>
      </c>
      <c r="K95" s="87" t="s">
        <v>602</v>
      </c>
      <c r="L95" s="173">
        <v>0</v>
      </c>
      <c r="M95" s="173">
        <v>124419.68006451055</v>
      </c>
      <c r="N95" s="173">
        <v>254316.79223201424</v>
      </c>
      <c r="O95" s="173">
        <v>387403.67518805712</v>
      </c>
      <c r="Q95" s="87" t="s">
        <v>601</v>
      </c>
      <c r="R95" s="87" t="s">
        <v>602</v>
      </c>
      <c r="S95" s="173">
        <v>0</v>
      </c>
      <c r="T95" s="173">
        <v>123650.05086693168</v>
      </c>
      <c r="U95" s="173">
        <v>256822.04082527012</v>
      </c>
      <c r="V95" s="173">
        <v>394007.49731300771</v>
      </c>
    </row>
    <row r="96" spans="3:22">
      <c r="C96" s="87" t="s">
        <v>447</v>
      </c>
      <c r="D96" s="87" t="s">
        <v>448</v>
      </c>
      <c r="E96" s="173">
        <v>0</v>
      </c>
      <c r="F96" s="173">
        <v>268988.63914339617</v>
      </c>
      <c r="G96" s="173">
        <v>549562.15724359453</v>
      </c>
      <c r="H96" s="173">
        <v>836587.78831523657</v>
      </c>
      <c r="J96" s="87" t="s">
        <v>447</v>
      </c>
      <c r="K96" s="87" t="s">
        <v>448</v>
      </c>
      <c r="L96" s="173">
        <v>0</v>
      </c>
      <c r="M96" s="173">
        <v>270702.06438943744</v>
      </c>
      <c r="N96" s="173">
        <v>552791.0200971961</v>
      </c>
      <c r="O96" s="173">
        <v>843234.51912934333</v>
      </c>
      <c r="Q96" s="87" t="s">
        <v>447</v>
      </c>
      <c r="R96" s="87" t="s">
        <v>448</v>
      </c>
      <c r="S96" s="173">
        <v>0</v>
      </c>
      <c r="T96" s="173">
        <v>261052.2667054534</v>
      </c>
      <c r="U96" s="173">
        <v>542954.04097181186</v>
      </c>
      <c r="V96" s="173">
        <v>830855.08951245993</v>
      </c>
    </row>
    <row r="97" spans="3:22">
      <c r="C97" s="87" t="s">
        <v>315</v>
      </c>
      <c r="D97" s="87" t="s">
        <v>316</v>
      </c>
      <c r="E97" s="173">
        <v>0</v>
      </c>
      <c r="F97" s="173">
        <v>29442.678534370381</v>
      </c>
      <c r="G97" s="173">
        <v>60038.831676098052</v>
      </c>
      <c r="H97" s="173">
        <v>91783.674056949094</v>
      </c>
      <c r="J97" s="87" t="s">
        <v>315</v>
      </c>
      <c r="K97" s="87" t="s">
        <v>316</v>
      </c>
      <c r="L97" s="173">
        <v>0</v>
      </c>
      <c r="M97" s="173">
        <v>29665.370002063923</v>
      </c>
      <c r="N97" s="173">
        <v>60433.768968941178</v>
      </c>
      <c r="O97" s="173">
        <v>92499.664445850998</v>
      </c>
      <c r="Q97" s="87" t="s">
        <v>315</v>
      </c>
      <c r="R97" s="87" t="s">
        <v>316</v>
      </c>
      <c r="S97" s="173">
        <v>0</v>
      </c>
      <c r="T97" s="173">
        <v>29648.995051529258</v>
      </c>
      <c r="U97" s="173">
        <v>60143.7700650841</v>
      </c>
      <c r="V97" s="173">
        <v>92107.616249755025</v>
      </c>
    </row>
    <row r="98" spans="3:22">
      <c r="C98" s="87" t="s">
        <v>455</v>
      </c>
      <c r="D98" s="87" t="s">
        <v>456</v>
      </c>
      <c r="E98" s="173">
        <v>0</v>
      </c>
      <c r="F98" s="173">
        <v>-883.50801868992858</v>
      </c>
      <c r="G98" s="173">
        <v>-1808.5535432765028</v>
      </c>
      <c r="H98" s="173">
        <v>-2670.9381919379812</v>
      </c>
      <c r="J98" s="87" t="s">
        <v>455</v>
      </c>
      <c r="K98" s="87" t="s">
        <v>456</v>
      </c>
      <c r="L98" s="173">
        <v>0</v>
      </c>
      <c r="M98" s="173">
        <v>-883.50801868992858</v>
      </c>
      <c r="N98" s="173">
        <v>-1808.5535432765028</v>
      </c>
      <c r="O98" s="173">
        <v>-2670.9381919379812</v>
      </c>
      <c r="Q98" s="87" t="s">
        <v>455</v>
      </c>
      <c r="R98" s="87" t="s">
        <v>456</v>
      </c>
      <c r="S98" s="173">
        <v>0</v>
      </c>
      <c r="T98" s="173">
        <v>-1311.9471636263188</v>
      </c>
      <c r="U98" s="173">
        <v>-2830.2451912689721</v>
      </c>
      <c r="V98" s="173">
        <v>-4276.3952958693262</v>
      </c>
    </row>
    <row r="99" spans="3:22">
      <c r="C99" s="87" t="s">
        <v>1023</v>
      </c>
      <c r="D99" s="87" t="s">
        <v>1041</v>
      </c>
      <c r="E99" s="173">
        <v>0</v>
      </c>
      <c r="F99" s="173">
        <v>3092.6140879113227</v>
      </c>
      <c r="G99" s="173">
        <v>6221.0678705116734</v>
      </c>
      <c r="H99" s="173">
        <v>9645.8742387490347</v>
      </c>
      <c r="J99" s="87" t="s">
        <v>1023</v>
      </c>
      <c r="K99" s="87" t="s">
        <v>1041</v>
      </c>
      <c r="L99" s="173">
        <v>0</v>
      </c>
      <c r="M99" s="173">
        <v>3079.0018110587262</v>
      </c>
      <c r="N99" s="173">
        <v>7183.4342032689601</v>
      </c>
      <c r="O99" s="173">
        <v>9991.4184956871904</v>
      </c>
      <c r="Q99" s="87" t="s">
        <v>1023</v>
      </c>
      <c r="R99" s="87" t="s">
        <v>1041</v>
      </c>
      <c r="S99" s="173">
        <v>0</v>
      </c>
      <c r="T99" s="173">
        <v>12485.874935165513</v>
      </c>
      <c r="U99" s="173">
        <v>35180.189628455788</v>
      </c>
      <c r="V99" s="173">
        <v>79292.559414505027</v>
      </c>
    </row>
    <row r="100" spans="3:22">
      <c r="C100" s="87" t="s">
        <v>61</v>
      </c>
      <c r="D100" s="87" t="s">
        <v>62</v>
      </c>
      <c r="E100" s="173">
        <v>0</v>
      </c>
      <c r="F100" s="173">
        <v>14689.846814696677</v>
      </c>
      <c r="G100" s="173">
        <v>29660.751975677209</v>
      </c>
      <c r="H100" s="173">
        <v>45332.528679318493</v>
      </c>
      <c r="J100" s="87" t="s">
        <v>61</v>
      </c>
      <c r="K100" s="87" t="s">
        <v>62</v>
      </c>
      <c r="L100" s="173">
        <v>0</v>
      </c>
      <c r="M100" s="173">
        <v>14829.75919635687</v>
      </c>
      <c r="N100" s="173">
        <v>30007.185697819339</v>
      </c>
      <c r="O100" s="173">
        <v>45455.734877814539</v>
      </c>
      <c r="Q100" s="87" t="s">
        <v>61</v>
      </c>
      <c r="R100" s="87" t="s">
        <v>62</v>
      </c>
      <c r="S100" s="173">
        <v>0</v>
      </c>
      <c r="T100" s="173">
        <v>13945.322013169061</v>
      </c>
      <c r="U100" s="173">
        <v>28948.854218151886</v>
      </c>
      <c r="V100" s="173">
        <v>45079.404445241671</v>
      </c>
    </row>
    <row r="101" spans="3:22">
      <c r="C101" s="87" t="s">
        <v>517</v>
      </c>
      <c r="D101" s="87" t="s">
        <v>518</v>
      </c>
      <c r="E101" s="173">
        <v>0</v>
      </c>
      <c r="F101" s="173">
        <v>85375.822005483322</v>
      </c>
      <c r="G101" s="173">
        <v>173974.79017988313</v>
      </c>
      <c r="H101" s="173">
        <v>265370.71651945356</v>
      </c>
      <c r="J101" s="87" t="s">
        <v>517</v>
      </c>
      <c r="K101" s="87" t="s">
        <v>518</v>
      </c>
      <c r="L101" s="173">
        <v>0</v>
      </c>
      <c r="M101" s="173">
        <v>85742.194224772975</v>
      </c>
      <c r="N101" s="173">
        <v>174843.00094229449</v>
      </c>
      <c r="O101" s="173">
        <v>267090.0355062969</v>
      </c>
      <c r="Q101" s="87" t="s">
        <v>517</v>
      </c>
      <c r="R101" s="87" t="s">
        <v>518</v>
      </c>
      <c r="S101" s="173">
        <v>0</v>
      </c>
      <c r="T101" s="173">
        <v>86252.942314498127</v>
      </c>
      <c r="U101" s="173">
        <v>175682.81611764152</v>
      </c>
      <c r="V101" s="173">
        <v>268195.52667205036</v>
      </c>
    </row>
    <row r="102" spans="3:22">
      <c r="C102" s="87" t="s">
        <v>309</v>
      </c>
      <c r="D102" s="87" t="s">
        <v>310</v>
      </c>
      <c r="E102" s="173">
        <v>0</v>
      </c>
      <c r="F102" s="173">
        <v>6230.5409658737481</v>
      </c>
      <c r="G102" s="173">
        <v>11982.521628048737</v>
      </c>
      <c r="H102" s="173">
        <v>18070.421656696126</v>
      </c>
      <c r="J102" s="87" t="s">
        <v>309</v>
      </c>
      <c r="K102" s="87" t="s">
        <v>310</v>
      </c>
      <c r="L102" s="173">
        <v>0</v>
      </c>
      <c r="M102" s="173">
        <v>6280.8574858661741</v>
      </c>
      <c r="N102" s="173">
        <v>11948.630960838404</v>
      </c>
      <c r="O102" s="173">
        <v>18037.669825622346</v>
      </c>
      <c r="Q102" s="87" t="s">
        <v>309</v>
      </c>
      <c r="R102" s="87" t="s">
        <v>310</v>
      </c>
      <c r="S102" s="173">
        <v>0</v>
      </c>
      <c r="T102" s="173">
        <v>4870.8309478275478</v>
      </c>
      <c r="U102" s="173">
        <v>8321.1391785959713</v>
      </c>
      <c r="V102" s="173">
        <v>12376.272874786053</v>
      </c>
    </row>
    <row r="103" spans="3:22">
      <c r="C103" s="87" t="s">
        <v>599</v>
      </c>
      <c r="D103" s="87" t="s">
        <v>600</v>
      </c>
      <c r="E103" s="173">
        <v>0</v>
      </c>
      <c r="F103" s="173">
        <v>92367.985540788621</v>
      </c>
      <c r="G103" s="173">
        <v>189271.36638413928</v>
      </c>
      <c r="H103" s="173">
        <v>288062.86423835903</v>
      </c>
      <c r="J103" s="87" t="s">
        <v>599</v>
      </c>
      <c r="K103" s="87" t="s">
        <v>600</v>
      </c>
      <c r="L103" s="173">
        <v>0</v>
      </c>
      <c r="M103" s="173">
        <v>93002.038238894194</v>
      </c>
      <c r="N103" s="173">
        <v>190183.01625404134</v>
      </c>
      <c r="O103" s="173">
        <v>290101.899740858</v>
      </c>
      <c r="Q103" s="87" t="s">
        <v>599</v>
      </c>
      <c r="R103" s="87" t="s">
        <v>600</v>
      </c>
      <c r="S103" s="173">
        <v>0</v>
      </c>
      <c r="T103" s="173">
        <v>93230.068907676265</v>
      </c>
      <c r="U103" s="173">
        <v>191028.88315089792</v>
      </c>
      <c r="V103" s="173">
        <v>290933.10521622375</v>
      </c>
    </row>
    <row r="104" spans="3:22">
      <c r="C104" s="87" t="s">
        <v>191</v>
      </c>
      <c r="D104" s="87" t="s">
        <v>192</v>
      </c>
      <c r="E104" s="173">
        <v>0</v>
      </c>
      <c r="F104" s="173">
        <v>1744543.8471037745</v>
      </c>
      <c r="G104" s="173">
        <v>3560454.5742021501</v>
      </c>
      <c r="H104" s="173">
        <v>5420619.053802073</v>
      </c>
      <c r="J104" s="87" t="s">
        <v>191</v>
      </c>
      <c r="K104" s="87" t="s">
        <v>192</v>
      </c>
      <c r="L104" s="173">
        <v>0</v>
      </c>
      <c r="M104" s="173">
        <v>1752706.2209712863</v>
      </c>
      <c r="N104" s="173">
        <v>3580644.4609955549</v>
      </c>
      <c r="O104" s="173">
        <v>5461330.2749560475</v>
      </c>
      <c r="Q104" s="87" t="s">
        <v>191</v>
      </c>
      <c r="R104" s="87" t="s">
        <v>192</v>
      </c>
      <c r="S104" s="173">
        <v>0</v>
      </c>
      <c r="T104" s="173">
        <v>1822881.1537938118</v>
      </c>
      <c r="U104" s="173">
        <v>3708063.192352891</v>
      </c>
      <c r="V104" s="173">
        <v>5642690.9861870408</v>
      </c>
    </row>
    <row r="105" spans="3:22">
      <c r="C105" s="87" t="s">
        <v>57</v>
      </c>
      <c r="D105" s="87" t="s">
        <v>58</v>
      </c>
      <c r="E105" s="173">
        <v>0</v>
      </c>
      <c r="F105" s="173">
        <v>235007.34899073467</v>
      </c>
      <c r="G105" s="173">
        <v>478976.55402534828</v>
      </c>
      <c r="H105" s="173">
        <v>729661.14580649137</v>
      </c>
      <c r="J105" s="87" t="s">
        <v>57</v>
      </c>
      <c r="K105" s="87" t="s">
        <v>58</v>
      </c>
      <c r="L105" s="173">
        <v>0</v>
      </c>
      <c r="M105" s="173">
        <v>236015.86172114313</v>
      </c>
      <c r="N105" s="173">
        <v>482077.67311805487</v>
      </c>
      <c r="O105" s="173">
        <v>735035.13265009597</v>
      </c>
      <c r="Q105" s="87" t="s">
        <v>57</v>
      </c>
      <c r="R105" s="87" t="s">
        <v>58</v>
      </c>
      <c r="S105" s="173">
        <v>0</v>
      </c>
      <c r="T105" s="173">
        <v>239032.00195961446</v>
      </c>
      <c r="U105" s="173">
        <v>494845.89470323548</v>
      </c>
      <c r="V105" s="173">
        <v>757933.16601762176</v>
      </c>
    </row>
    <row r="106" spans="3:22">
      <c r="C106" s="87" t="s">
        <v>325</v>
      </c>
      <c r="D106" s="87" t="s">
        <v>326</v>
      </c>
      <c r="E106" s="173">
        <v>0</v>
      </c>
      <c r="F106" s="173">
        <v>28300.374272854067</v>
      </c>
      <c r="G106" s="173">
        <v>57397.809762268327</v>
      </c>
      <c r="H106" s="173">
        <v>87757.057494050823</v>
      </c>
      <c r="J106" s="87" t="s">
        <v>325</v>
      </c>
      <c r="K106" s="87" t="s">
        <v>326</v>
      </c>
      <c r="L106" s="173">
        <v>0</v>
      </c>
      <c r="M106" s="173">
        <v>28281.218953352887</v>
      </c>
      <c r="N106" s="173">
        <v>57767.711886701174</v>
      </c>
      <c r="O106" s="173">
        <v>88210.307008100674</v>
      </c>
      <c r="Q106" s="87" t="s">
        <v>325</v>
      </c>
      <c r="R106" s="87" t="s">
        <v>326</v>
      </c>
      <c r="S106" s="173">
        <v>0</v>
      </c>
      <c r="T106" s="173">
        <v>27781.210686760489</v>
      </c>
      <c r="U106" s="173">
        <v>56024.649072053842</v>
      </c>
      <c r="V106" s="173">
        <v>85371.922344645485</v>
      </c>
    </row>
    <row r="107" spans="3:22">
      <c r="C107" s="87" t="s">
        <v>143</v>
      </c>
      <c r="D107" s="87" t="s">
        <v>144</v>
      </c>
      <c r="E107" s="173">
        <v>0</v>
      </c>
      <c r="F107" s="173">
        <v>125901.61485910416</v>
      </c>
      <c r="G107" s="173">
        <v>256966.21571744606</v>
      </c>
      <c r="H107" s="173">
        <v>391456.04443790764</v>
      </c>
      <c r="J107" s="87" t="s">
        <v>143</v>
      </c>
      <c r="K107" s="87" t="s">
        <v>144</v>
      </c>
      <c r="L107" s="173">
        <v>0</v>
      </c>
      <c r="M107" s="173">
        <v>126583.30523076653</v>
      </c>
      <c r="N107" s="173">
        <v>258603.19498437271</v>
      </c>
      <c r="O107" s="173">
        <v>394421.27943592146</v>
      </c>
      <c r="Q107" s="87" t="s">
        <v>143</v>
      </c>
      <c r="R107" s="87" t="s">
        <v>144</v>
      </c>
      <c r="S107" s="173">
        <v>0</v>
      </c>
      <c r="T107" s="173">
        <v>129727.7380454354</v>
      </c>
      <c r="U107" s="173">
        <v>263248.25434942171</v>
      </c>
      <c r="V107" s="173">
        <v>397331.72140525281</v>
      </c>
    </row>
    <row r="108" spans="3:22">
      <c r="C108" s="87" t="s">
        <v>1315</v>
      </c>
      <c r="D108" s="87" t="s">
        <v>1316</v>
      </c>
      <c r="E108" s="173">
        <v>0</v>
      </c>
      <c r="F108" s="173">
        <v>22412.725581881125</v>
      </c>
      <c r="G108" s="173">
        <v>45361.71028222004</v>
      </c>
      <c r="H108" s="173">
        <v>69055.123143858742</v>
      </c>
      <c r="J108" s="87" t="s">
        <v>1315</v>
      </c>
      <c r="K108" s="87" t="s">
        <v>1316</v>
      </c>
      <c r="L108" s="173">
        <v>0</v>
      </c>
      <c r="M108" s="173">
        <v>22279.658777674194</v>
      </c>
      <c r="N108" s="173">
        <v>45715.881875512656</v>
      </c>
      <c r="O108" s="173">
        <v>69706.363328981213</v>
      </c>
      <c r="Q108" s="87" t="s">
        <v>1315</v>
      </c>
      <c r="R108" s="87" t="s">
        <v>1316</v>
      </c>
      <c r="S108" s="173">
        <v>0</v>
      </c>
      <c r="T108" s="173">
        <v>30042.491751387715</v>
      </c>
      <c r="U108" s="173">
        <v>75951.231081347913</v>
      </c>
      <c r="V108" s="173">
        <v>138606.04073770996</v>
      </c>
    </row>
    <row r="109" spans="3:22">
      <c r="C109" s="92" t="s">
        <v>1230</v>
      </c>
      <c r="D109" s="92" t="s">
        <v>1231</v>
      </c>
      <c r="E109" s="173">
        <v>0</v>
      </c>
      <c r="F109" s="173">
        <v>27973.921702430584</v>
      </c>
      <c r="G109" s="173">
        <v>56817.754420557525</v>
      </c>
      <c r="H109" s="173">
        <v>86500.004773018882</v>
      </c>
      <c r="J109" s="92" t="s">
        <v>1230</v>
      </c>
      <c r="K109" s="92" t="s">
        <v>1231</v>
      </c>
      <c r="L109" s="173">
        <v>0</v>
      </c>
      <c r="M109" s="173">
        <v>27980.118813607842</v>
      </c>
      <c r="N109" s="173">
        <v>57170.085260121152</v>
      </c>
      <c r="O109" s="173">
        <v>87070.646794414148</v>
      </c>
      <c r="Q109" s="92" t="s">
        <v>1230</v>
      </c>
      <c r="R109" s="92" t="s">
        <v>1231</v>
      </c>
      <c r="S109" s="173">
        <v>0</v>
      </c>
      <c r="T109" s="173">
        <v>32361.994114722125</v>
      </c>
      <c r="U109" s="173">
        <v>81383.534473625012</v>
      </c>
      <c r="V109" s="173">
        <v>147990.52227905951</v>
      </c>
    </row>
    <row r="110" spans="3:22">
      <c r="C110" s="87" t="s">
        <v>1032</v>
      </c>
      <c r="D110" s="87" t="s">
        <v>1042</v>
      </c>
      <c r="E110" s="173">
        <v>0</v>
      </c>
      <c r="F110" s="173">
        <v>57938.289561264217</v>
      </c>
      <c r="G110" s="173">
        <v>117931.25845308788</v>
      </c>
      <c r="H110" s="173">
        <v>179808.31284506433</v>
      </c>
      <c r="J110" s="87" t="s">
        <v>1032</v>
      </c>
      <c r="K110" s="87" t="s">
        <v>1042</v>
      </c>
      <c r="L110" s="173">
        <v>0</v>
      </c>
      <c r="M110" s="173">
        <v>58315.66506042704</v>
      </c>
      <c r="N110" s="173">
        <v>118582.44185243361</v>
      </c>
      <c r="O110" s="173">
        <v>181052.20232722908</v>
      </c>
      <c r="Q110" s="87" t="s">
        <v>1032</v>
      </c>
      <c r="R110" s="87" t="s">
        <v>1042</v>
      </c>
      <c r="S110" s="173">
        <v>0</v>
      </c>
      <c r="T110" s="173">
        <v>57698.033428528346</v>
      </c>
      <c r="U110" s="173">
        <v>122447.32139090262</v>
      </c>
      <c r="V110" s="173">
        <v>178635.98356855474</v>
      </c>
    </row>
    <row r="111" spans="3:22">
      <c r="C111" s="87" t="s">
        <v>107</v>
      </c>
      <c r="D111" s="87" t="s">
        <v>108</v>
      </c>
      <c r="E111" s="173">
        <v>0</v>
      </c>
      <c r="F111" s="173">
        <v>13325.65194450831</v>
      </c>
      <c r="G111" s="173">
        <v>27030.399679452181</v>
      </c>
      <c r="H111" s="173">
        <v>41566.798739410937</v>
      </c>
      <c r="J111" s="87" t="s">
        <v>107</v>
      </c>
      <c r="K111" s="87" t="s">
        <v>108</v>
      </c>
      <c r="L111" s="173">
        <v>0</v>
      </c>
      <c r="M111" s="173">
        <v>13533.417357833125</v>
      </c>
      <c r="N111" s="173">
        <v>27577.294750760309</v>
      </c>
      <c r="O111" s="173">
        <v>42193.701107637025</v>
      </c>
      <c r="Q111" s="87" t="s">
        <v>107</v>
      </c>
      <c r="R111" s="87" t="s">
        <v>108</v>
      </c>
      <c r="S111" s="173">
        <v>0</v>
      </c>
      <c r="T111" s="173">
        <v>12235.149782900233</v>
      </c>
      <c r="U111" s="173">
        <v>24712.933901532553</v>
      </c>
      <c r="V111" s="173">
        <v>37874.266723988112</v>
      </c>
    </row>
    <row r="112" spans="3:22">
      <c r="C112" s="87" t="s">
        <v>435</v>
      </c>
      <c r="D112" s="87" t="s">
        <v>436</v>
      </c>
      <c r="E112" s="173">
        <v>0</v>
      </c>
      <c r="F112" s="173">
        <v>-458.83872048149351</v>
      </c>
      <c r="G112" s="173">
        <v>-1096.0342286092928</v>
      </c>
      <c r="H112" s="173">
        <v>-1895.7270213327138</v>
      </c>
      <c r="J112" s="87" t="s">
        <v>435</v>
      </c>
      <c r="K112" s="87" t="s">
        <v>436</v>
      </c>
      <c r="L112" s="173">
        <v>0</v>
      </c>
      <c r="M112" s="173">
        <v>-458.83872048149351</v>
      </c>
      <c r="N112" s="173">
        <v>-1096.0342286092928</v>
      </c>
      <c r="O112" s="173">
        <v>-1895.7270213327138</v>
      </c>
      <c r="Q112" s="87" t="s">
        <v>435</v>
      </c>
      <c r="R112" s="87" t="s">
        <v>436</v>
      </c>
      <c r="S112" s="173">
        <v>0</v>
      </c>
      <c r="T112" s="173">
        <v>-331.38591582351364</v>
      </c>
      <c r="U112" s="173">
        <v>-1763.0437715875451</v>
      </c>
      <c r="V112" s="173">
        <v>-1938.8433713789564</v>
      </c>
    </row>
    <row r="113" spans="3:22">
      <c r="C113" s="87" t="s">
        <v>211</v>
      </c>
      <c r="D113" s="87" t="s">
        <v>212</v>
      </c>
      <c r="E113" s="173">
        <v>0</v>
      </c>
      <c r="F113" s="173">
        <v>2539654.6599499583</v>
      </c>
      <c r="G113" s="173">
        <v>5182340.3915635347</v>
      </c>
      <c r="H113" s="173">
        <v>7893902.511800617</v>
      </c>
      <c r="J113" s="87" t="s">
        <v>211</v>
      </c>
      <c r="K113" s="87" t="s">
        <v>212</v>
      </c>
      <c r="L113" s="173">
        <v>0</v>
      </c>
      <c r="M113" s="173">
        <v>2551590.6088373661</v>
      </c>
      <c r="N113" s="173">
        <v>5211640.4983272552</v>
      </c>
      <c r="O113" s="173">
        <v>7951718.2951335311</v>
      </c>
      <c r="Q113" s="87" t="s">
        <v>211</v>
      </c>
      <c r="R113" s="87" t="s">
        <v>212</v>
      </c>
      <c r="S113" s="173">
        <v>0</v>
      </c>
      <c r="T113" s="173">
        <v>2570446.5163289905</v>
      </c>
      <c r="U113" s="173">
        <v>5628662.5262510777</v>
      </c>
      <c r="V113" s="173">
        <v>8444303.3968364596</v>
      </c>
    </row>
    <row r="114" spans="3:22">
      <c r="C114" s="87" t="s">
        <v>117</v>
      </c>
      <c r="D114" s="87" t="s">
        <v>118</v>
      </c>
      <c r="E114" s="173">
        <v>0</v>
      </c>
      <c r="F114" s="173">
        <v>-2123.176359100733</v>
      </c>
      <c r="G114" s="173">
        <v>-4229.9266880862415</v>
      </c>
      <c r="H114" s="173">
        <v>-6257.9908011988737</v>
      </c>
      <c r="J114" s="87" t="s">
        <v>117</v>
      </c>
      <c r="K114" s="87" t="s">
        <v>118</v>
      </c>
      <c r="L114" s="173">
        <v>0</v>
      </c>
      <c r="M114" s="173">
        <v>-2123.176359100733</v>
      </c>
      <c r="N114" s="173">
        <v>-4229.9266880862415</v>
      </c>
      <c r="O114" s="173">
        <v>-6257.9908011988737</v>
      </c>
      <c r="Q114" s="87" t="s">
        <v>117</v>
      </c>
      <c r="R114" s="87" t="s">
        <v>118</v>
      </c>
      <c r="S114" s="173">
        <v>0</v>
      </c>
      <c r="T114" s="173">
        <v>-2124.6193718840368</v>
      </c>
      <c r="U114" s="173">
        <v>-4454.2434658380225</v>
      </c>
      <c r="V114" s="173">
        <v>-6630.2333685471676</v>
      </c>
    </row>
    <row r="115" spans="3:22">
      <c r="C115" s="87" t="s">
        <v>83</v>
      </c>
      <c r="D115" s="87" t="s">
        <v>84</v>
      </c>
      <c r="E115" s="173">
        <v>0</v>
      </c>
      <c r="F115" s="173">
        <v>94840.471869664267</v>
      </c>
      <c r="G115" s="173">
        <v>200932.98943577893</v>
      </c>
      <c r="H115" s="173">
        <v>332638.61255442537</v>
      </c>
      <c r="J115" s="87" t="s">
        <v>83</v>
      </c>
      <c r="K115" s="87" t="s">
        <v>84</v>
      </c>
      <c r="L115" s="173">
        <v>0</v>
      </c>
      <c r="M115" s="173">
        <v>95502.312224036083</v>
      </c>
      <c r="N115" s="173">
        <v>208589.58204763755</v>
      </c>
      <c r="O115" s="173">
        <v>343399.84497924522</v>
      </c>
      <c r="Q115" s="87" t="s">
        <v>83</v>
      </c>
      <c r="R115" s="87" t="s">
        <v>84</v>
      </c>
      <c r="S115" s="173">
        <v>0</v>
      </c>
      <c r="T115" s="173">
        <v>125294.90541672893</v>
      </c>
      <c r="U115" s="173">
        <v>250521.16500859708</v>
      </c>
      <c r="V115" s="173">
        <v>386699.08966439962</v>
      </c>
    </row>
    <row r="116" spans="3:22">
      <c r="C116" s="87" t="s">
        <v>101</v>
      </c>
      <c r="D116" s="87" t="s">
        <v>102</v>
      </c>
      <c r="E116" s="173">
        <v>0</v>
      </c>
      <c r="F116" s="173">
        <v>-2482.171798605239</v>
      </c>
      <c r="G116" s="173">
        <v>-4955.5642745894147</v>
      </c>
      <c r="H116" s="173">
        <v>-7861.6997282912489</v>
      </c>
      <c r="J116" s="87" t="s">
        <v>101</v>
      </c>
      <c r="K116" s="87" t="s">
        <v>102</v>
      </c>
      <c r="L116" s="173">
        <v>0</v>
      </c>
      <c r="M116" s="173">
        <v>-2482.171798605239</v>
      </c>
      <c r="N116" s="173">
        <v>-4955.5642745894147</v>
      </c>
      <c r="O116" s="173">
        <v>-7861.6997282912489</v>
      </c>
      <c r="Q116" s="87" t="s">
        <v>101</v>
      </c>
      <c r="R116" s="87" t="s">
        <v>102</v>
      </c>
      <c r="S116" s="173">
        <v>0</v>
      </c>
      <c r="T116" s="173">
        <v>-2361.5704522150336</v>
      </c>
      <c r="U116" s="173">
        <v>-4538.5855538207106</v>
      </c>
      <c r="V116" s="173">
        <v>-6793.0379772299202</v>
      </c>
    </row>
    <row r="117" spans="3:22">
      <c r="C117" s="87" t="s">
        <v>87</v>
      </c>
      <c r="D117" s="87" t="s">
        <v>88</v>
      </c>
      <c r="E117" s="173">
        <v>0</v>
      </c>
      <c r="F117" s="173">
        <v>399333.01342511922</v>
      </c>
      <c r="G117" s="173">
        <v>815182.65182473511</v>
      </c>
      <c r="H117" s="173">
        <v>1240224.1952295229</v>
      </c>
      <c r="J117" s="87" t="s">
        <v>87</v>
      </c>
      <c r="K117" s="87" t="s">
        <v>88</v>
      </c>
      <c r="L117" s="173">
        <v>0</v>
      </c>
      <c r="M117" s="173">
        <v>401724.07232924551</v>
      </c>
      <c r="N117" s="173">
        <v>819742.09718947858</v>
      </c>
      <c r="O117" s="173">
        <v>1249340.1526325271</v>
      </c>
      <c r="Q117" s="87" t="s">
        <v>87</v>
      </c>
      <c r="R117" s="87" t="s">
        <v>88</v>
      </c>
      <c r="S117" s="173">
        <v>0</v>
      </c>
      <c r="T117" s="173">
        <v>375397.75736813992</v>
      </c>
      <c r="U117" s="173">
        <v>765637.35317447037</v>
      </c>
      <c r="V117" s="173">
        <v>1165206.3604601845</v>
      </c>
    </row>
    <row r="118" spans="3:22">
      <c r="C118" s="87" t="s">
        <v>17</v>
      </c>
      <c r="D118" s="87" t="s">
        <v>18</v>
      </c>
      <c r="E118" s="173">
        <v>0</v>
      </c>
      <c r="F118" s="173">
        <v>1517356.7117082477</v>
      </c>
      <c r="G118" s="173">
        <v>3096037.9618181586</v>
      </c>
      <c r="H118" s="173">
        <v>4711678.3964234591</v>
      </c>
      <c r="J118" s="87" t="s">
        <v>17</v>
      </c>
      <c r="K118" s="87" t="s">
        <v>18</v>
      </c>
      <c r="L118" s="173">
        <v>0</v>
      </c>
      <c r="M118" s="173">
        <v>1525008.0844323635</v>
      </c>
      <c r="N118" s="173">
        <v>3113919.6181111336</v>
      </c>
      <c r="O118" s="173">
        <v>4746687.6942157447</v>
      </c>
      <c r="Q118" s="87" t="s">
        <v>17</v>
      </c>
      <c r="R118" s="87" t="s">
        <v>18</v>
      </c>
      <c r="S118" s="173">
        <v>0</v>
      </c>
      <c r="T118" s="173">
        <v>1545979.9242536426</v>
      </c>
      <c r="U118" s="173">
        <v>3178088.2748333514</v>
      </c>
      <c r="V118" s="173">
        <v>4856386.8184430003</v>
      </c>
    </row>
    <row r="119" spans="3:22">
      <c r="C119" s="87" t="s">
        <v>217</v>
      </c>
      <c r="D119" s="87" t="s">
        <v>218</v>
      </c>
      <c r="E119" s="173">
        <v>0</v>
      </c>
      <c r="F119" s="173">
        <v>2419842.044703126</v>
      </c>
      <c r="G119" s="173">
        <v>4938613.2155240178</v>
      </c>
      <c r="H119" s="173">
        <v>7518941.7239746451</v>
      </c>
      <c r="J119" s="87" t="s">
        <v>217</v>
      </c>
      <c r="K119" s="87" t="s">
        <v>218</v>
      </c>
      <c r="L119" s="173">
        <v>0</v>
      </c>
      <c r="M119" s="173">
        <v>2431970.2228573561</v>
      </c>
      <c r="N119" s="173">
        <v>4966578.8915554881</v>
      </c>
      <c r="O119" s="173">
        <v>7574920.9707553387</v>
      </c>
      <c r="Q119" s="87" t="s">
        <v>217</v>
      </c>
      <c r="R119" s="87" t="s">
        <v>218</v>
      </c>
      <c r="S119" s="173">
        <v>0</v>
      </c>
      <c r="T119" s="173">
        <v>2646527.9854692221</v>
      </c>
      <c r="U119" s="173">
        <v>5428160.4003151655</v>
      </c>
      <c r="V119" s="173">
        <v>8254139.2727418542</v>
      </c>
    </row>
    <row r="120" spans="3:22">
      <c r="C120" s="87" t="s">
        <v>505</v>
      </c>
      <c r="D120" s="87" t="s">
        <v>506</v>
      </c>
      <c r="E120" s="173">
        <v>0</v>
      </c>
      <c r="F120" s="173">
        <v>69447.112611811608</v>
      </c>
      <c r="G120" s="173">
        <v>142624.87706601061</v>
      </c>
      <c r="H120" s="173">
        <v>217073.30332753807</v>
      </c>
      <c r="J120" s="87" t="s">
        <v>505</v>
      </c>
      <c r="K120" s="87" t="s">
        <v>506</v>
      </c>
      <c r="L120" s="173">
        <v>0</v>
      </c>
      <c r="M120" s="173">
        <v>69928.396760182455</v>
      </c>
      <c r="N120" s="173">
        <v>143318.0266061835</v>
      </c>
      <c r="O120" s="173">
        <v>218677.74105640687</v>
      </c>
      <c r="Q120" s="87" t="s">
        <v>505</v>
      </c>
      <c r="R120" s="87" t="s">
        <v>506</v>
      </c>
      <c r="S120" s="173">
        <v>0</v>
      </c>
      <c r="T120" s="173">
        <v>71301.566089499742</v>
      </c>
      <c r="U120" s="173">
        <v>145025.42002251558</v>
      </c>
      <c r="V120" s="173">
        <v>222407.13967110403</v>
      </c>
    </row>
    <row r="121" spans="3:22">
      <c r="C121" s="87" t="s">
        <v>21</v>
      </c>
      <c r="D121" s="87" t="s">
        <v>22</v>
      </c>
      <c r="E121" s="173">
        <v>0</v>
      </c>
      <c r="F121" s="173">
        <v>123326.47104450688</v>
      </c>
      <c r="G121" s="173">
        <v>251399.62098652124</v>
      </c>
      <c r="H121" s="173">
        <v>383198.45263870806</v>
      </c>
      <c r="J121" s="87" t="s">
        <v>21</v>
      </c>
      <c r="K121" s="87" t="s">
        <v>22</v>
      </c>
      <c r="L121" s="173">
        <v>0</v>
      </c>
      <c r="M121" s="173">
        <v>124237.76721797884</v>
      </c>
      <c r="N121" s="173">
        <v>253012.6706334427</v>
      </c>
      <c r="O121" s="173">
        <v>385863.01045196876</v>
      </c>
      <c r="Q121" s="87" t="s">
        <v>21</v>
      </c>
      <c r="R121" s="87" t="s">
        <v>22</v>
      </c>
      <c r="S121" s="173">
        <v>0</v>
      </c>
      <c r="T121" s="173">
        <v>117906.89393450506</v>
      </c>
      <c r="U121" s="173">
        <v>243210.27092583105</v>
      </c>
      <c r="V121" s="173">
        <v>368947.27512471005</v>
      </c>
    </row>
    <row r="122" spans="3:22">
      <c r="C122" s="87" t="s">
        <v>247</v>
      </c>
      <c r="D122" s="87" t="s">
        <v>248</v>
      </c>
      <c r="E122" s="173">
        <v>0</v>
      </c>
      <c r="F122" s="173">
        <v>47926.022092392668</v>
      </c>
      <c r="G122" s="173">
        <v>98073.372506385669</v>
      </c>
      <c r="H122" s="173">
        <v>149952.49882896896</v>
      </c>
      <c r="J122" s="87" t="s">
        <v>247</v>
      </c>
      <c r="K122" s="87" t="s">
        <v>248</v>
      </c>
      <c r="L122" s="173">
        <v>0</v>
      </c>
      <c r="M122" s="173">
        <v>48324.97788084764</v>
      </c>
      <c r="N122" s="173">
        <v>98743.446799214929</v>
      </c>
      <c r="O122" s="173">
        <v>151117.96046218555</v>
      </c>
      <c r="Q122" s="87" t="s">
        <v>247</v>
      </c>
      <c r="R122" s="87" t="s">
        <v>248</v>
      </c>
      <c r="S122" s="173">
        <v>0</v>
      </c>
      <c r="T122" s="173">
        <v>44798.437579073012</v>
      </c>
      <c r="U122" s="173">
        <v>88893.440807038918</v>
      </c>
      <c r="V122" s="173">
        <v>137161.88305262104</v>
      </c>
    </row>
    <row r="123" spans="3:22">
      <c r="C123" s="87" t="s">
        <v>261</v>
      </c>
      <c r="D123" s="87" t="s">
        <v>262</v>
      </c>
      <c r="E123" s="173">
        <v>0</v>
      </c>
      <c r="F123" s="173">
        <v>3051.0734783876687</v>
      </c>
      <c r="G123" s="173">
        <v>6190.4403458684683</v>
      </c>
      <c r="H123" s="173">
        <v>9108.5664359969087</v>
      </c>
      <c r="J123" s="87" t="s">
        <v>261</v>
      </c>
      <c r="K123" s="87" t="s">
        <v>262</v>
      </c>
      <c r="L123" s="173">
        <v>0</v>
      </c>
      <c r="M123" s="173">
        <v>3051.0734783876687</v>
      </c>
      <c r="N123" s="173">
        <v>6190.4403458684683</v>
      </c>
      <c r="O123" s="173">
        <v>9108.5664359969087</v>
      </c>
      <c r="Q123" s="87" t="s">
        <v>261</v>
      </c>
      <c r="R123" s="87" t="s">
        <v>262</v>
      </c>
      <c r="S123" s="173">
        <v>0</v>
      </c>
      <c r="T123" s="173">
        <v>-3691.4390621217899</v>
      </c>
      <c r="U123" s="173">
        <v>-6559.2172829774208</v>
      </c>
      <c r="V123" s="173">
        <v>-9687.7040496692061</v>
      </c>
    </row>
    <row r="124" spans="3:22">
      <c r="C124" s="87" t="s">
        <v>59</v>
      </c>
      <c r="D124" s="87" t="s">
        <v>60</v>
      </c>
      <c r="E124" s="173">
        <v>0</v>
      </c>
      <c r="F124" s="173">
        <v>212198.96908269078</v>
      </c>
      <c r="G124" s="173">
        <v>432865.70227754489</v>
      </c>
      <c r="H124" s="173">
        <v>659664.81435025856</v>
      </c>
      <c r="J124" s="87" t="s">
        <v>59</v>
      </c>
      <c r="K124" s="87" t="s">
        <v>60</v>
      </c>
      <c r="L124" s="173">
        <v>0</v>
      </c>
      <c r="M124" s="173">
        <v>213465.37124213576</v>
      </c>
      <c r="N124" s="173">
        <v>435486.89174046367</v>
      </c>
      <c r="O124" s="173">
        <v>664578.03261905536</v>
      </c>
      <c r="Q124" s="87" t="s">
        <v>59</v>
      </c>
      <c r="R124" s="87" t="s">
        <v>60</v>
      </c>
      <c r="S124" s="173">
        <v>0</v>
      </c>
      <c r="T124" s="173">
        <v>212782.5599295944</v>
      </c>
      <c r="U124" s="173">
        <v>442509.80795682967</v>
      </c>
      <c r="V124" s="173">
        <v>679032.75837420672</v>
      </c>
    </row>
    <row r="125" spans="3:22">
      <c r="C125" s="87" t="s">
        <v>409</v>
      </c>
      <c r="D125" s="87" t="s">
        <v>410</v>
      </c>
      <c r="E125" s="173">
        <v>0</v>
      </c>
      <c r="F125" s="173">
        <v>35338.82087272685</v>
      </c>
      <c r="G125" s="173">
        <v>72037.668649745174</v>
      </c>
      <c r="H125" s="173">
        <v>110605.23143085092</v>
      </c>
      <c r="J125" s="87" t="s">
        <v>409</v>
      </c>
      <c r="K125" s="87" t="s">
        <v>410</v>
      </c>
      <c r="L125" s="173">
        <v>0</v>
      </c>
      <c r="M125" s="173">
        <v>35861.428263454698</v>
      </c>
      <c r="N125" s="173">
        <v>72701.980665931478</v>
      </c>
      <c r="O125" s="173">
        <v>111539.66481991857</v>
      </c>
      <c r="Q125" s="87" t="s">
        <v>409</v>
      </c>
      <c r="R125" s="87" t="s">
        <v>410</v>
      </c>
      <c r="S125" s="173">
        <v>0</v>
      </c>
      <c r="T125" s="173">
        <v>35404.859806744382</v>
      </c>
      <c r="U125" s="173">
        <v>76864.275398883969</v>
      </c>
      <c r="V125" s="173">
        <v>118887.91383477673</v>
      </c>
    </row>
    <row r="126" spans="3:22">
      <c r="C126" s="87" t="s">
        <v>555</v>
      </c>
      <c r="D126" s="87" t="s">
        <v>556</v>
      </c>
      <c r="E126" s="173">
        <v>0</v>
      </c>
      <c r="F126" s="173">
        <v>-1599.7091749538668</v>
      </c>
      <c r="G126" s="173">
        <v>-3522.452865332365</v>
      </c>
      <c r="H126" s="173">
        <v>-5268.662909603212</v>
      </c>
      <c r="J126" s="87" t="s">
        <v>555</v>
      </c>
      <c r="K126" s="87" t="s">
        <v>556</v>
      </c>
      <c r="L126" s="173">
        <v>0</v>
      </c>
      <c r="M126" s="173">
        <v>-1599.7091749538668</v>
      </c>
      <c r="N126" s="173">
        <v>-3522.452865332365</v>
      </c>
      <c r="O126" s="173">
        <v>-5268.662909603212</v>
      </c>
      <c r="Q126" s="87" t="s">
        <v>555</v>
      </c>
      <c r="R126" s="87" t="s">
        <v>556</v>
      </c>
      <c r="S126" s="173">
        <v>0</v>
      </c>
      <c r="T126" s="173">
        <v>-1840.0139056206681</v>
      </c>
      <c r="U126" s="173">
        <v>-2970.8797217248939</v>
      </c>
      <c r="V126" s="173">
        <v>-4558.0571813886054</v>
      </c>
    </row>
    <row r="127" spans="3:22">
      <c r="C127" s="87" t="s">
        <v>35</v>
      </c>
      <c r="D127" s="87" t="s">
        <v>36</v>
      </c>
      <c r="E127" s="173">
        <v>0</v>
      </c>
      <c r="F127" s="173">
        <v>104938.91485637426</v>
      </c>
      <c r="G127" s="173">
        <v>214231.86279590614</v>
      </c>
      <c r="H127" s="173">
        <v>325731.8660929352</v>
      </c>
      <c r="J127" s="87" t="s">
        <v>35</v>
      </c>
      <c r="K127" s="87" t="s">
        <v>36</v>
      </c>
      <c r="L127" s="173">
        <v>0</v>
      </c>
      <c r="M127" s="173">
        <v>105465.151877895</v>
      </c>
      <c r="N127" s="173">
        <v>215516.15108060651</v>
      </c>
      <c r="O127" s="173">
        <v>328046.66911027953</v>
      </c>
      <c r="Q127" s="87" t="s">
        <v>35</v>
      </c>
      <c r="R127" s="87" t="s">
        <v>36</v>
      </c>
      <c r="S127" s="173">
        <v>0</v>
      </c>
      <c r="T127" s="173">
        <v>103001.48396525159</v>
      </c>
      <c r="U127" s="173">
        <v>211529.90511509031</v>
      </c>
      <c r="V127" s="173">
        <v>320274.27730733901</v>
      </c>
    </row>
    <row r="128" spans="3:22">
      <c r="C128" s="87" t="s">
        <v>155</v>
      </c>
      <c r="D128" s="87" t="s">
        <v>156</v>
      </c>
      <c r="E128" s="173">
        <v>0</v>
      </c>
      <c r="F128" s="173">
        <v>10288.152900589164</v>
      </c>
      <c r="G128" s="173">
        <v>20810.986891836859</v>
      </c>
      <c r="H128" s="173">
        <v>31703.929132020567</v>
      </c>
      <c r="J128" s="87" t="s">
        <v>155</v>
      </c>
      <c r="K128" s="87" t="s">
        <v>156</v>
      </c>
      <c r="L128" s="173">
        <v>0</v>
      </c>
      <c r="M128" s="173">
        <v>10264.843118600082</v>
      </c>
      <c r="N128" s="173">
        <v>21016.418838062789</v>
      </c>
      <c r="O128" s="173">
        <v>32050.286330712959</v>
      </c>
      <c r="Q128" s="87" t="s">
        <v>155</v>
      </c>
      <c r="R128" s="87" t="s">
        <v>156</v>
      </c>
      <c r="S128" s="173">
        <v>0</v>
      </c>
      <c r="T128" s="173">
        <v>10586.540257481858</v>
      </c>
      <c r="U128" s="173">
        <v>20901.137789004948</v>
      </c>
      <c r="V128" s="173">
        <v>33081.44167381525</v>
      </c>
    </row>
    <row r="129" spans="3:22">
      <c r="C129" s="87" t="s">
        <v>425</v>
      </c>
      <c r="D129" s="87" t="s">
        <v>426</v>
      </c>
      <c r="E129" s="173">
        <v>0</v>
      </c>
      <c r="F129" s="173">
        <v>1313367.1702370048</v>
      </c>
      <c r="G129" s="173">
        <v>2679667.2002990097</v>
      </c>
      <c r="H129" s="173">
        <v>4081677.8765391111</v>
      </c>
      <c r="J129" s="87" t="s">
        <v>425</v>
      </c>
      <c r="K129" s="87" t="s">
        <v>426</v>
      </c>
      <c r="L129" s="173">
        <v>0</v>
      </c>
      <c r="M129" s="173">
        <v>1319440.62542063</v>
      </c>
      <c r="N129" s="173">
        <v>2695080.8857374191</v>
      </c>
      <c r="O129" s="173">
        <v>4111956.7658487558</v>
      </c>
      <c r="Q129" s="87" t="s">
        <v>425</v>
      </c>
      <c r="R129" s="87" t="s">
        <v>426</v>
      </c>
      <c r="S129" s="173">
        <v>0</v>
      </c>
      <c r="T129" s="173">
        <v>1267670.980335936</v>
      </c>
      <c r="U129" s="173">
        <v>2632970.882530272</v>
      </c>
      <c r="V129" s="173">
        <v>4081537.8049392849</v>
      </c>
    </row>
    <row r="130" spans="3:22">
      <c r="C130" s="87" t="s">
        <v>215</v>
      </c>
      <c r="D130" s="87" t="s">
        <v>216</v>
      </c>
      <c r="E130" s="173">
        <v>0</v>
      </c>
      <c r="F130" s="173">
        <v>4099393.0466088653</v>
      </c>
      <c r="G130" s="173">
        <v>8364473.8373146653</v>
      </c>
      <c r="H130" s="173">
        <v>12741005.443028927</v>
      </c>
      <c r="J130" s="87" t="s">
        <v>215</v>
      </c>
      <c r="K130" s="87" t="s">
        <v>216</v>
      </c>
      <c r="L130" s="173">
        <v>0</v>
      </c>
      <c r="M130" s="173">
        <v>4119914.8330773115</v>
      </c>
      <c r="N130" s="173">
        <v>8411902.3971525431</v>
      </c>
      <c r="O130" s="173">
        <v>12835334.11696136</v>
      </c>
      <c r="Q130" s="87" t="s">
        <v>215</v>
      </c>
      <c r="R130" s="87" t="s">
        <v>216</v>
      </c>
      <c r="S130" s="173">
        <v>0</v>
      </c>
      <c r="T130" s="173">
        <v>4190736.8990103006</v>
      </c>
      <c r="U130" s="173">
        <v>8590424.1839561462</v>
      </c>
      <c r="V130" s="173">
        <v>13146768.34427321</v>
      </c>
    </row>
    <row r="131" spans="3:22">
      <c r="C131" s="87" t="s">
        <v>441</v>
      </c>
      <c r="D131" s="87" t="s">
        <v>442</v>
      </c>
      <c r="E131" s="173">
        <v>0</v>
      </c>
      <c r="F131" s="173">
        <v>344473.34378048033</v>
      </c>
      <c r="G131" s="173">
        <v>702588.03489937261</v>
      </c>
      <c r="H131" s="173">
        <v>1070464.7982186899</v>
      </c>
      <c r="J131" s="87" t="s">
        <v>441</v>
      </c>
      <c r="K131" s="87" t="s">
        <v>442</v>
      </c>
      <c r="L131" s="173">
        <v>0</v>
      </c>
      <c r="M131" s="173">
        <v>346282.85538027808</v>
      </c>
      <c r="N131" s="173">
        <v>706943.43534451723</v>
      </c>
      <c r="O131" s="173">
        <v>1078617.5380140617</v>
      </c>
      <c r="Q131" s="87" t="s">
        <v>441</v>
      </c>
      <c r="R131" s="87" t="s">
        <v>442</v>
      </c>
      <c r="S131" s="173">
        <v>0</v>
      </c>
      <c r="T131" s="173">
        <v>340207.17503182963</v>
      </c>
      <c r="U131" s="173">
        <v>712762.66021643579</v>
      </c>
      <c r="V131" s="173">
        <v>1097449.835468404</v>
      </c>
    </row>
    <row r="132" spans="3:22">
      <c r="C132" s="87" t="s">
        <v>557</v>
      </c>
      <c r="D132" s="87" t="s">
        <v>558</v>
      </c>
      <c r="E132" s="173">
        <v>0</v>
      </c>
      <c r="F132" s="173">
        <v>-2075.7537344142329</v>
      </c>
      <c r="G132" s="173">
        <v>-5195.360222718562</v>
      </c>
      <c r="H132" s="173">
        <v>-7815.2759212228702</v>
      </c>
      <c r="J132" s="87" t="s">
        <v>557</v>
      </c>
      <c r="K132" s="87" t="s">
        <v>558</v>
      </c>
      <c r="L132" s="173">
        <v>0</v>
      </c>
      <c r="M132" s="173">
        <v>-2075.7537344142329</v>
      </c>
      <c r="N132" s="173">
        <v>-5195.360222718562</v>
      </c>
      <c r="O132" s="173">
        <v>-7815.2759212228702</v>
      </c>
      <c r="Q132" s="87" t="s">
        <v>557</v>
      </c>
      <c r="R132" s="87" t="s">
        <v>558</v>
      </c>
      <c r="S132" s="173">
        <v>0</v>
      </c>
      <c r="T132" s="173">
        <v>-2623.2743736059638</v>
      </c>
      <c r="U132" s="173">
        <v>-4205.1206083185971</v>
      </c>
      <c r="V132" s="173">
        <v>-6373.8279114967445</v>
      </c>
    </row>
    <row r="133" spans="3:22">
      <c r="C133" s="87" t="s">
        <v>471</v>
      </c>
      <c r="D133" s="87" t="s">
        <v>472</v>
      </c>
      <c r="E133" s="173">
        <v>0</v>
      </c>
      <c r="F133" s="173">
        <v>49252.49807357043</v>
      </c>
      <c r="G133" s="173">
        <v>99471.366589676589</v>
      </c>
      <c r="H133" s="173">
        <v>152066.93518541194</v>
      </c>
      <c r="J133" s="87" t="s">
        <v>471</v>
      </c>
      <c r="K133" s="87" t="s">
        <v>472</v>
      </c>
      <c r="L133" s="173">
        <v>0</v>
      </c>
      <c r="M133" s="173">
        <v>49050.399566694163</v>
      </c>
      <c r="N133" s="173">
        <v>99685.181260501035</v>
      </c>
      <c r="O133" s="173">
        <v>153316.66096135974</v>
      </c>
      <c r="Q133" s="87" t="s">
        <v>471</v>
      </c>
      <c r="R133" s="87" t="s">
        <v>472</v>
      </c>
      <c r="S133" s="173">
        <v>0</v>
      </c>
      <c r="T133" s="173">
        <v>44958.562115893699</v>
      </c>
      <c r="U133" s="173">
        <v>91064.070668546483</v>
      </c>
      <c r="V133" s="173">
        <v>144519.96612475626</v>
      </c>
    </row>
    <row r="134" spans="3:22">
      <c r="C134" s="87" t="s">
        <v>9</v>
      </c>
      <c r="D134" s="87" t="s">
        <v>10</v>
      </c>
      <c r="E134" s="173">
        <v>0</v>
      </c>
      <c r="F134" s="173">
        <v>10251.980265374295</v>
      </c>
      <c r="G134" s="173">
        <v>20522.581411373336</v>
      </c>
      <c r="H134" s="173">
        <v>31616.216202552896</v>
      </c>
      <c r="J134" s="87" t="s">
        <v>9</v>
      </c>
      <c r="K134" s="87" t="s">
        <v>10</v>
      </c>
      <c r="L134" s="173">
        <v>0</v>
      </c>
      <c r="M134" s="173">
        <v>10562.172965676524</v>
      </c>
      <c r="N134" s="173">
        <v>21203.632572695147</v>
      </c>
      <c r="O134" s="173">
        <v>32115.940582199953</v>
      </c>
      <c r="Q134" s="87" t="s">
        <v>9</v>
      </c>
      <c r="R134" s="87" t="s">
        <v>10</v>
      </c>
      <c r="S134" s="173">
        <v>0</v>
      </c>
      <c r="T134" s="173">
        <v>9818.8859791867435</v>
      </c>
      <c r="U134" s="173">
        <v>19386.910367062781</v>
      </c>
      <c r="V134" s="173">
        <v>27597.54634319758</v>
      </c>
    </row>
    <row r="135" spans="3:22">
      <c r="C135" s="87" t="s">
        <v>77</v>
      </c>
      <c r="D135" s="87" t="s">
        <v>78</v>
      </c>
      <c r="E135" s="173">
        <v>0</v>
      </c>
      <c r="F135" s="173">
        <v>543411.49135452509</v>
      </c>
      <c r="G135" s="173">
        <v>1108217.4822959155</v>
      </c>
      <c r="H135" s="173">
        <v>1687312.6057118326</v>
      </c>
      <c r="J135" s="87" t="s">
        <v>77</v>
      </c>
      <c r="K135" s="87" t="s">
        <v>78</v>
      </c>
      <c r="L135" s="173">
        <v>0</v>
      </c>
      <c r="M135" s="173">
        <v>545960.03881727159</v>
      </c>
      <c r="N135" s="173">
        <v>1114436.2885524035</v>
      </c>
      <c r="O135" s="173">
        <v>1699588.5979195386</v>
      </c>
      <c r="Q135" s="87" t="s">
        <v>77</v>
      </c>
      <c r="R135" s="87" t="s">
        <v>78</v>
      </c>
      <c r="S135" s="173">
        <v>0</v>
      </c>
      <c r="T135" s="173">
        <v>566295.84849105775</v>
      </c>
      <c r="U135" s="173">
        <v>1161541.764173463</v>
      </c>
      <c r="V135" s="173">
        <v>1768409.5163017809</v>
      </c>
    </row>
    <row r="136" spans="3:22">
      <c r="C136" s="87" t="s">
        <v>493</v>
      </c>
      <c r="D136" s="87" t="s">
        <v>494</v>
      </c>
      <c r="E136" s="173">
        <v>0</v>
      </c>
      <c r="F136" s="173">
        <v>10299.425449741539</v>
      </c>
      <c r="G136" s="173">
        <v>20976.307923377026</v>
      </c>
      <c r="H136" s="173">
        <v>31898.429833337665</v>
      </c>
      <c r="J136" s="87" t="s">
        <v>493</v>
      </c>
      <c r="K136" s="87" t="s">
        <v>494</v>
      </c>
      <c r="L136" s="173">
        <v>0</v>
      </c>
      <c r="M136" s="173">
        <v>10309.361809724942</v>
      </c>
      <c r="N136" s="173">
        <v>20999.723937976174</v>
      </c>
      <c r="O136" s="173">
        <v>32052.430731834844</v>
      </c>
      <c r="Q136" s="87" t="s">
        <v>493</v>
      </c>
      <c r="R136" s="87" t="s">
        <v>494</v>
      </c>
      <c r="S136" s="173">
        <v>0</v>
      </c>
      <c r="T136" s="173">
        <v>9982.7375986478291</v>
      </c>
      <c r="U136" s="173">
        <v>19569.205761607736</v>
      </c>
      <c r="V136" s="173">
        <v>29940.367843973916</v>
      </c>
    </row>
    <row r="137" spans="3:22">
      <c r="C137" s="87" t="s">
        <v>397</v>
      </c>
      <c r="D137" s="87" t="s">
        <v>398</v>
      </c>
      <c r="E137" s="173">
        <v>0</v>
      </c>
      <c r="F137" s="173">
        <v>20565.011675850488</v>
      </c>
      <c r="G137" s="173">
        <v>42040.590486166999</v>
      </c>
      <c r="H137" s="173">
        <v>64373.473515937105</v>
      </c>
      <c r="J137" s="87" t="s">
        <v>397</v>
      </c>
      <c r="K137" s="87" t="s">
        <v>398</v>
      </c>
      <c r="L137" s="173">
        <v>0</v>
      </c>
      <c r="M137" s="173">
        <v>20644.469378726557</v>
      </c>
      <c r="N137" s="173">
        <v>41928.184662930667</v>
      </c>
      <c r="O137" s="173">
        <v>64235.533206772991</v>
      </c>
      <c r="Q137" s="87" t="s">
        <v>397</v>
      </c>
      <c r="R137" s="87" t="s">
        <v>398</v>
      </c>
      <c r="S137" s="173">
        <v>0</v>
      </c>
      <c r="T137" s="173">
        <v>18241.91292420635</v>
      </c>
      <c r="U137" s="173">
        <v>36614.100516330451</v>
      </c>
      <c r="V137" s="173">
        <v>55601.598358360119</v>
      </c>
    </row>
    <row r="138" spans="3:22">
      <c r="C138" s="87" t="s">
        <v>1232</v>
      </c>
      <c r="D138" s="87" t="s">
        <v>1233</v>
      </c>
      <c r="E138" s="173">
        <v>0</v>
      </c>
      <c r="F138" s="173">
        <v>-553.57186324312352</v>
      </c>
      <c r="G138" s="173">
        <v>-1216.6473838298116</v>
      </c>
      <c r="H138" s="173">
        <v>-1972.5003060086165</v>
      </c>
      <c r="J138" s="87" t="s">
        <v>1232</v>
      </c>
      <c r="K138" s="87" t="s">
        <v>1233</v>
      </c>
      <c r="L138" s="173">
        <v>0</v>
      </c>
      <c r="M138" s="173">
        <v>-553.57186324312352</v>
      </c>
      <c r="N138" s="173">
        <v>-1216.6473838298116</v>
      </c>
      <c r="O138" s="173">
        <v>-1972.5003060086165</v>
      </c>
      <c r="Q138" s="87" t="s">
        <v>1232</v>
      </c>
      <c r="R138" s="87" t="s">
        <v>1233</v>
      </c>
      <c r="S138" s="173">
        <v>0</v>
      </c>
      <c r="T138" s="173">
        <v>-1861.6034661848098</v>
      </c>
      <c r="U138" s="173">
        <v>-4712.8931687979493</v>
      </c>
      <c r="V138" s="173">
        <v>-8418.9881302868016</v>
      </c>
    </row>
    <row r="139" spans="3:22">
      <c r="C139" s="87" t="s">
        <v>553</v>
      </c>
      <c r="D139" s="87" t="s">
        <v>554</v>
      </c>
      <c r="E139" s="173">
        <v>0</v>
      </c>
      <c r="F139" s="173">
        <v>26832.355282273144</v>
      </c>
      <c r="G139" s="173">
        <v>55187.810944784433</v>
      </c>
      <c r="H139" s="173">
        <v>83921.949181727134</v>
      </c>
      <c r="J139" s="87" t="s">
        <v>553</v>
      </c>
      <c r="K139" s="87" t="s">
        <v>554</v>
      </c>
      <c r="L139" s="173">
        <v>0</v>
      </c>
      <c r="M139" s="173">
        <v>27392.806718231179</v>
      </c>
      <c r="N139" s="173">
        <v>55439.233009998687</v>
      </c>
      <c r="O139" s="173">
        <v>84498.154300398193</v>
      </c>
      <c r="Q139" s="87" t="s">
        <v>553</v>
      </c>
      <c r="R139" s="87" t="s">
        <v>554</v>
      </c>
      <c r="S139" s="173">
        <v>0</v>
      </c>
      <c r="T139" s="173">
        <v>26832.355282273144</v>
      </c>
      <c r="U139" s="173">
        <v>55187.810944784433</v>
      </c>
      <c r="V139" s="173">
        <v>83921.949181727134</v>
      </c>
    </row>
    <row r="140" spans="3:22">
      <c r="C140" s="87" t="s">
        <v>269</v>
      </c>
      <c r="D140" s="87" t="s">
        <v>270</v>
      </c>
      <c r="E140" s="173">
        <v>0</v>
      </c>
      <c r="F140" s="173">
        <v>13759.028618996497</v>
      </c>
      <c r="G140" s="173">
        <v>27965.442805522121</v>
      </c>
      <c r="H140" s="173">
        <v>42616.946425846312</v>
      </c>
      <c r="J140" s="87" t="s">
        <v>269</v>
      </c>
      <c r="K140" s="87" t="s">
        <v>270</v>
      </c>
      <c r="L140" s="173">
        <v>0</v>
      </c>
      <c r="M140" s="173">
        <v>13697.472619001754</v>
      </c>
      <c r="N140" s="173">
        <v>27872.173368922435</v>
      </c>
      <c r="O140" s="173">
        <v>43094.773269458674</v>
      </c>
      <c r="Q140" s="87" t="s">
        <v>269</v>
      </c>
      <c r="R140" s="87" t="s">
        <v>270</v>
      </c>
      <c r="S140" s="173">
        <v>0</v>
      </c>
      <c r="T140" s="173">
        <v>15379.760534892324</v>
      </c>
      <c r="U140" s="173">
        <v>32814.536065838765</v>
      </c>
      <c r="V140" s="173">
        <v>50584.899436395615</v>
      </c>
    </row>
    <row r="141" spans="3:22">
      <c r="C141" s="87" t="s">
        <v>545</v>
      </c>
      <c r="D141" s="87" t="s">
        <v>546</v>
      </c>
      <c r="E141" s="173">
        <v>0</v>
      </c>
      <c r="F141" s="173">
        <v>373309.0671345517</v>
      </c>
      <c r="G141" s="173">
        <v>762030.28371004015</v>
      </c>
      <c r="H141" s="173">
        <v>1160627.2323724926</v>
      </c>
      <c r="J141" s="87" t="s">
        <v>545</v>
      </c>
      <c r="K141" s="87" t="s">
        <v>546</v>
      </c>
      <c r="L141" s="173">
        <v>0</v>
      </c>
      <c r="M141" s="173">
        <v>375471.01865402609</v>
      </c>
      <c r="N141" s="173">
        <v>766920.4414017573</v>
      </c>
      <c r="O141" s="173">
        <v>1169403.5469227582</v>
      </c>
      <c r="Q141" s="87" t="s">
        <v>545</v>
      </c>
      <c r="R141" s="87" t="s">
        <v>546</v>
      </c>
      <c r="S141" s="173">
        <v>0</v>
      </c>
      <c r="T141" s="173">
        <v>376792.85595649481</v>
      </c>
      <c r="U141" s="173">
        <v>852830.97856234759</v>
      </c>
      <c r="V141" s="173">
        <v>1326082.4048580974</v>
      </c>
    </row>
    <row r="142" spans="3:22">
      <c r="C142" s="87" t="s">
        <v>591</v>
      </c>
      <c r="D142" s="87" t="s">
        <v>592</v>
      </c>
      <c r="E142" s="173">
        <v>0</v>
      </c>
      <c r="F142" s="173">
        <v>40583.61644375883</v>
      </c>
      <c r="G142" s="173">
        <v>81569.996820380911</v>
      </c>
      <c r="H142" s="173">
        <v>125162.47492621839</v>
      </c>
      <c r="J142" s="87" t="s">
        <v>591</v>
      </c>
      <c r="K142" s="87" t="s">
        <v>592</v>
      </c>
      <c r="L142" s="173">
        <v>0</v>
      </c>
      <c r="M142" s="173">
        <v>40562.884569268674</v>
      </c>
      <c r="N142" s="173">
        <v>82406.832181239501</v>
      </c>
      <c r="O142" s="173">
        <v>126256.86164868064</v>
      </c>
      <c r="Q142" s="87" t="s">
        <v>591</v>
      </c>
      <c r="R142" s="87" t="s">
        <v>592</v>
      </c>
      <c r="S142" s="173">
        <v>0</v>
      </c>
      <c r="T142" s="173">
        <v>42122.081602968276</v>
      </c>
      <c r="U142" s="173">
        <v>98722.001777293161</v>
      </c>
      <c r="V142" s="173">
        <v>202111.43151726574</v>
      </c>
    </row>
    <row r="143" spans="3:22">
      <c r="C143" s="87" t="s">
        <v>97</v>
      </c>
      <c r="D143" s="87" t="s">
        <v>98</v>
      </c>
      <c r="E143" s="173">
        <v>0</v>
      </c>
      <c r="F143" s="173">
        <v>2799.2499637110159</v>
      </c>
      <c r="G143" s="173">
        <v>5471.2433371902443</v>
      </c>
      <c r="H143" s="173">
        <v>8736.0647749248892</v>
      </c>
      <c r="J143" s="87" t="s">
        <v>97</v>
      </c>
      <c r="K143" s="87" t="s">
        <v>98</v>
      </c>
      <c r="L143" s="173">
        <v>0</v>
      </c>
      <c r="M143" s="173">
        <v>2799.2499637110159</v>
      </c>
      <c r="N143" s="173">
        <v>5471.2433371902443</v>
      </c>
      <c r="O143" s="173">
        <v>8736.0647749248892</v>
      </c>
      <c r="Q143" s="87" t="s">
        <v>97</v>
      </c>
      <c r="R143" s="87" t="s">
        <v>98</v>
      </c>
      <c r="S143" s="173">
        <v>0</v>
      </c>
      <c r="T143" s="173">
        <v>-4674.7373533872887</v>
      </c>
      <c r="U143" s="173">
        <v>-9529.5398233449087</v>
      </c>
      <c r="V143" s="173">
        <v>-4060.0809576604515</v>
      </c>
    </row>
    <row r="144" spans="3:22">
      <c r="C144" s="87" t="s">
        <v>29</v>
      </c>
      <c r="D144" s="87" t="s">
        <v>30</v>
      </c>
      <c r="E144" s="173">
        <v>0</v>
      </c>
      <c r="F144" s="173">
        <v>32955.231224431656</v>
      </c>
      <c r="G144" s="173">
        <v>66643.899102380499</v>
      </c>
      <c r="H144" s="173">
        <v>101497.50158510357</v>
      </c>
      <c r="J144" s="87" t="s">
        <v>29</v>
      </c>
      <c r="K144" s="87" t="s">
        <v>30</v>
      </c>
      <c r="L144" s="173">
        <v>0</v>
      </c>
      <c r="M144" s="173">
        <v>33160.071221887134</v>
      </c>
      <c r="N144" s="173">
        <v>66809.889330325648</v>
      </c>
      <c r="O144" s="173">
        <v>102633.078671569</v>
      </c>
      <c r="Q144" s="87" t="s">
        <v>29</v>
      </c>
      <c r="R144" s="87" t="s">
        <v>30</v>
      </c>
      <c r="S144" s="173">
        <v>0</v>
      </c>
      <c r="T144" s="173">
        <v>28352.697833606042</v>
      </c>
      <c r="U144" s="173">
        <v>56384.071905544959</v>
      </c>
      <c r="V144" s="173">
        <v>87831.150976077653</v>
      </c>
    </row>
    <row r="145" spans="3:22">
      <c r="C145" s="87" t="s">
        <v>319</v>
      </c>
      <c r="D145" s="87" t="s">
        <v>320</v>
      </c>
      <c r="E145" s="173">
        <v>0</v>
      </c>
      <c r="F145" s="173">
        <v>29837.226649664342</v>
      </c>
      <c r="G145" s="173">
        <v>61582.084163933992</v>
      </c>
      <c r="H145" s="173">
        <v>93602.383374068886</v>
      </c>
      <c r="J145" s="87" t="s">
        <v>319</v>
      </c>
      <c r="K145" s="87" t="s">
        <v>320</v>
      </c>
      <c r="L145" s="173">
        <v>0</v>
      </c>
      <c r="M145" s="173">
        <v>30129.715334434062</v>
      </c>
      <c r="N145" s="173">
        <v>62224.093416795135</v>
      </c>
      <c r="O145" s="173">
        <v>94516.703045405447</v>
      </c>
      <c r="Q145" s="87" t="s">
        <v>319</v>
      </c>
      <c r="R145" s="87" t="s">
        <v>320</v>
      </c>
      <c r="S145" s="173">
        <v>0</v>
      </c>
      <c r="T145" s="173">
        <v>27523.883397048339</v>
      </c>
      <c r="U145" s="173">
        <v>57156.907758541405</v>
      </c>
      <c r="V145" s="173">
        <v>85834.781407158822</v>
      </c>
    </row>
    <row r="146" spans="3:22">
      <c r="C146" s="87" t="s">
        <v>501</v>
      </c>
      <c r="D146" s="87" t="s">
        <v>502</v>
      </c>
      <c r="E146" s="173">
        <v>0</v>
      </c>
      <c r="F146" s="173">
        <v>17578.897196647711</v>
      </c>
      <c r="G146" s="173">
        <v>35942.423747991212</v>
      </c>
      <c r="H146" s="173">
        <v>55354.813515053131</v>
      </c>
      <c r="J146" s="87" t="s">
        <v>501</v>
      </c>
      <c r="K146" s="87" t="s">
        <v>502</v>
      </c>
      <c r="L146" s="173">
        <v>0</v>
      </c>
      <c r="M146" s="173">
        <v>17989.365482324734</v>
      </c>
      <c r="N146" s="173">
        <v>36135.284684796818</v>
      </c>
      <c r="O146" s="173">
        <v>55686.462344194762</v>
      </c>
      <c r="Q146" s="87" t="s">
        <v>501</v>
      </c>
      <c r="R146" s="87" t="s">
        <v>502</v>
      </c>
      <c r="S146" s="173">
        <v>0</v>
      </c>
      <c r="T146" s="173">
        <v>17814.626335985027</v>
      </c>
      <c r="U146" s="173">
        <v>31114.397830125876</v>
      </c>
      <c r="V146" s="173">
        <v>47385.38378471788</v>
      </c>
    </row>
    <row r="147" spans="3:22">
      <c r="C147" s="87" t="s">
        <v>433</v>
      </c>
      <c r="D147" s="87" t="s">
        <v>434</v>
      </c>
      <c r="E147" s="173">
        <v>0</v>
      </c>
      <c r="F147" s="173">
        <v>965223.33631823957</v>
      </c>
      <c r="G147" s="173">
        <v>1969504.6433379948</v>
      </c>
      <c r="H147" s="173">
        <v>2998257.5852908194</v>
      </c>
      <c r="J147" s="87" t="s">
        <v>433</v>
      </c>
      <c r="K147" s="87" t="s">
        <v>434</v>
      </c>
      <c r="L147" s="173">
        <v>0</v>
      </c>
      <c r="M147" s="173">
        <v>969620.47674009204</v>
      </c>
      <c r="N147" s="173">
        <v>1981025.9888197184</v>
      </c>
      <c r="O147" s="173">
        <v>3020309.2102205157</v>
      </c>
      <c r="Q147" s="87" t="s">
        <v>433</v>
      </c>
      <c r="R147" s="87" t="s">
        <v>434</v>
      </c>
      <c r="S147" s="173">
        <v>0</v>
      </c>
      <c r="T147" s="173">
        <v>918507.94345961511</v>
      </c>
      <c r="U147" s="173">
        <v>1833226.6792225987</v>
      </c>
      <c r="V147" s="173">
        <v>2731283.7771527022</v>
      </c>
    </row>
    <row r="148" spans="3:22">
      <c r="C148" s="87" t="s">
        <v>147</v>
      </c>
      <c r="D148" s="87" t="s">
        <v>148</v>
      </c>
      <c r="E148" s="173">
        <v>0</v>
      </c>
      <c r="F148" s="173">
        <v>28407.754276133142</v>
      </c>
      <c r="G148" s="173">
        <v>57803.635638101026</v>
      </c>
      <c r="H148" s="173">
        <v>88126.634978293441</v>
      </c>
      <c r="J148" s="87" t="s">
        <v>147</v>
      </c>
      <c r="K148" s="87" t="s">
        <v>148</v>
      </c>
      <c r="L148" s="173">
        <v>0</v>
      </c>
      <c r="M148" s="173">
        <v>28434.903940542601</v>
      </c>
      <c r="N148" s="173">
        <v>58222.924692124128</v>
      </c>
      <c r="O148" s="173">
        <v>89025.140966660343</v>
      </c>
      <c r="Q148" s="87" t="s">
        <v>147</v>
      </c>
      <c r="R148" s="87" t="s">
        <v>148</v>
      </c>
      <c r="S148" s="173">
        <v>0</v>
      </c>
      <c r="T148" s="173">
        <v>27431.315013799816</v>
      </c>
      <c r="U148" s="173">
        <v>57443.482587009668</v>
      </c>
      <c r="V148" s="173">
        <v>88575.5900665964</v>
      </c>
    </row>
    <row r="149" spans="3:22">
      <c r="C149" s="87" t="s">
        <v>461</v>
      </c>
      <c r="D149" s="87" t="s">
        <v>462</v>
      </c>
      <c r="E149" s="173">
        <v>0</v>
      </c>
      <c r="F149" s="173">
        <v>1166959.7541131377</v>
      </c>
      <c r="G149" s="173">
        <v>2381578.5800482482</v>
      </c>
      <c r="H149" s="173">
        <v>3624743.0654082745</v>
      </c>
      <c r="J149" s="87" t="s">
        <v>461</v>
      </c>
      <c r="K149" s="87" t="s">
        <v>462</v>
      </c>
      <c r="L149" s="173">
        <v>0</v>
      </c>
      <c r="M149" s="173">
        <v>1172507.8730918169</v>
      </c>
      <c r="N149" s="173">
        <v>2395236.6231160015</v>
      </c>
      <c r="O149" s="173">
        <v>3651048.8342879713</v>
      </c>
      <c r="Q149" s="87" t="s">
        <v>461</v>
      </c>
      <c r="R149" s="87" t="s">
        <v>462</v>
      </c>
      <c r="S149" s="173">
        <v>0</v>
      </c>
      <c r="T149" s="173">
        <v>1189767.6067502201</v>
      </c>
      <c r="U149" s="173">
        <v>2493636.6523699313</v>
      </c>
      <c r="V149" s="173">
        <v>3865412.2833591402</v>
      </c>
    </row>
    <row r="150" spans="3:22">
      <c r="C150" s="87" t="s">
        <v>459</v>
      </c>
      <c r="D150" s="87" t="s">
        <v>460</v>
      </c>
      <c r="E150" s="173">
        <v>0</v>
      </c>
      <c r="F150" s="173">
        <v>208054.47191333398</v>
      </c>
      <c r="G150" s="173">
        <v>424124.04978494346</v>
      </c>
      <c r="H150" s="173">
        <v>646085.92491335049</v>
      </c>
      <c r="J150" s="87" t="s">
        <v>459</v>
      </c>
      <c r="K150" s="87" t="s">
        <v>460</v>
      </c>
      <c r="L150" s="173">
        <v>0</v>
      </c>
      <c r="M150" s="173">
        <v>209211.5750336647</v>
      </c>
      <c r="N150" s="173">
        <v>426695.80981742963</v>
      </c>
      <c r="O150" s="173">
        <v>650981.22418300062</v>
      </c>
      <c r="Q150" s="87" t="s">
        <v>459</v>
      </c>
      <c r="R150" s="87" t="s">
        <v>460</v>
      </c>
      <c r="S150" s="173">
        <v>0</v>
      </c>
      <c r="T150" s="173">
        <v>215562.32640681043</v>
      </c>
      <c r="U150" s="173">
        <v>439828.0953971073</v>
      </c>
      <c r="V150" s="173">
        <v>669480.89126387611</v>
      </c>
    </row>
    <row r="151" spans="3:22">
      <c r="C151" s="87" t="s">
        <v>189</v>
      </c>
      <c r="D151" s="87" t="s">
        <v>190</v>
      </c>
      <c r="E151" s="173">
        <v>0</v>
      </c>
      <c r="F151" s="173">
        <v>527571.71400254965</v>
      </c>
      <c r="G151" s="173">
        <v>1077671.1826010942</v>
      </c>
      <c r="H151" s="173">
        <v>1640232.3780657947</v>
      </c>
      <c r="J151" s="87" t="s">
        <v>189</v>
      </c>
      <c r="K151" s="87" t="s">
        <v>190</v>
      </c>
      <c r="L151" s="173">
        <v>0</v>
      </c>
      <c r="M151" s="173">
        <v>530663.311850667</v>
      </c>
      <c r="N151" s="173">
        <v>1083212.510226585</v>
      </c>
      <c r="O151" s="173">
        <v>1652085.6845502332</v>
      </c>
      <c r="Q151" s="87" t="s">
        <v>189</v>
      </c>
      <c r="R151" s="87" t="s">
        <v>190</v>
      </c>
      <c r="S151" s="173">
        <v>0</v>
      </c>
      <c r="T151" s="173">
        <v>538519.59241653979</v>
      </c>
      <c r="U151" s="173">
        <v>1074407.0166285709</v>
      </c>
      <c r="V151" s="173">
        <v>1586324.0245001167</v>
      </c>
    </row>
    <row r="152" spans="3:22">
      <c r="C152" s="87" t="s">
        <v>547</v>
      </c>
      <c r="D152" s="87" t="s">
        <v>548</v>
      </c>
      <c r="E152" s="173">
        <v>0</v>
      </c>
      <c r="F152" s="173">
        <v>191594.26063451171</v>
      </c>
      <c r="G152" s="173">
        <v>390639.5095914118</v>
      </c>
      <c r="H152" s="173">
        <v>594959.22043115646</v>
      </c>
      <c r="J152" s="87" t="s">
        <v>547</v>
      </c>
      <c r="K152" s="87" t="s">
        <v>548</v>
      </c>
      <c r="L152" s="173">
        <v>0</v>
      </c>
      <c r="M152" s="173">
        <v>192321.57601108402</v>
      </c>
      <c r="N152" s="173">
        <v>392933.33193171397</v>
      </c>
      <c r="O152" s="173">
        <v>599658.97458042204</v>
      </c>
      <c r="Q152" s="87" t="s">
        <v>547</v>
      </c>
      <c r="R152" s="87" t="s">
        <v>548</v>
      </c>
      <c r="S152" s="173">
        <v>0</v>
      </c>
      <c r="T152" s="173">
        <v>191038.58976426721</v>
      </c>
      <c r="U152" s="173">
        <v>388325.50901532173</v>
      </c>
      <c r="V152" s="173">
        <v>592453.18684942275</v>
      </c>
    </row>
    <row r="153" spans="3:22">
      <c r="C153" s="87" t="s">
        <v>337</v>
      </c>
      <c r="D153" s="87" t="s">
        <v>338</v>
      </c>
      <c r="E153" s="173">
        <v>0</v>
      </c>
      <c r="F153" s="173">
        <v>60385.616095822304</v>
      </c>
      <c r="G153" s="173">
        <v>122358.07812960446</v>
      </c>
      <c r="H153" s="173">
        <v>187163.40985743701</v>
      </c>
      <c r="J153" s="87" t="s">
        <v>337</v>
      </c>
      <c r="K153" s="87" t="s">
        <v>338</v>
      </c>
      <c r="L153" s="173">
        <v>0</v>
      </c>
      <c r="M153" s="173">
        <v>60354.475198257715</v>
      </c>
      <c r="N153" s="173">
        <v>122836.00397812016</v>
      </c>
      <c r="O153" s="173">
        <v>187792.10505440831</v>
      </c>
      <c r="Q153" s="87" t="s">
        <v>337</v>
      </c>
      <c r="R153" s="87" t="s">
        <v>338</v>
      </c>
      <c r="S153" s="173">
        <v>0</v>
      </c>
      <c r="T153" s="173">
        <v>53958.578257855959</v>
      </c>
      <c r="U153" s="173">
        <v>109492.86420767382</v>
      </c>
      <c r="V153" s="173">
        <v>166505.48382360954</v>
      </c>
    </row>
    <row r="154" spans="3:22">
      <c r="C154" s="87" t="s">
        <v>419</v>
      </c>
      <c r="D154" s="87" t="s">
        <v>420</v>
      </c>
      <c r="E154" s="173">
        <v>0</v>
      </c>
      <c r="F154" s="173">
        <v>-1606.7159669096582</v>
      </c>
      <c r="G154" s="173">
        <v>-3390.6483235517517</v>
      </c>
      <c r="H154" s="173">
        <v>-5042.0294408844784</v>
      </c>
      <c r="J154" s="87" t="s">
        <v>419</v>
      </c>
      <c r="K154" s="87" t="s">
        <v>420</v>
      </c>
      <c r="L154" s="173">
        <v>0</v>
      </c>
      <c r="M154" s="173">
        <v>-1606.7159669096582</v>
      </c>
      <c r="N154" s="173">
        <v>-3390.6483235517517</v>
      </c>
      <c r="O154" s="173">
        <v>-5042.0294408844784</v>
      </c>
      <c r="Q154" s="87" t="s">
        <v>419</v>
      </c>
      <c r="R154" s="87" t="s">
        <v>420</v>
      </c>
      <c r="S154" s="173">
        <v>0</v>
      </c>
      <c r="T154" s="173">
        <v>-4432.065597591456</v>
      </c>
      <c r="U154" s="173">
        <v>-8625.2362210755236</v>
      </c>
      <c r="V154" s="173">
        <v>-13008.297377354465</v>
      </c>
    </row>
    <row r="155" spans="3:22">
      <c r="C155" s="87" t="s">
        <v>437</v>
      </c>
      <c r="D155" s="87" t="s">
        <v>438</v>
      </c>
      <c r="E155" s="173">
        <v>0</v>
      </c>
      <c r="F155" s="173">
        <v>676552.88050186634</v>
      </c>
      <c r="G155" s="173">
        <v>1381518.0332974494</v>
      </c>
      <c r="H155" s="173">
        <v>2102798.5906857103</v>
      </c>
      <c r="J155" s="87" t="s">
        <v>437</v>
      </c>
      <c r="K155" s="87" t="s">
        <v>438</v>
      </c>
      <c r="L155" s="173">
        <v>0</v>
      </c>
      <c r="M155" s="173">
        <v>680057.23628775775</v>
      </c>
      <c r="N155" s="173">
        <v>1389493.1284366399</v>
      </c>
      <c r="O155" s="173">
        <v>2118744.9604245573</v>
      </c>
      <c r="Q155" s="87" t="s">
        <v>437</v>
      </c>
      <c r="R155" s="87" t="s">
        <v>438</v>
      </c>
      <c r="S155" s="173">
        <v>0</v>
      </c>
      <c r="T155" s="173">
        <v>668052.55724215508</v>
      </c>
      <c r="U155" s="173">
        <v>1365046.2495828867</v>
      </c>
      <c r="V155" s="173">
        <v>2076954.5867078304</v>
      </c>
    </row>
    <row r="156" spans="3:22">
      <c r="C156" s="87" t="s">
        <v>149</v>
      </c>
      <c r="D156" s="87" t="s">
        <v>150</v>
      </c>
      <c r="E156" s="173">
        <v>0</v>
      </c>
      <c r="F156" s="173">
        <v>164003.11822426319</v>
      </c>
      <c r="G156" s="173">
        <v>334547.22486474365</v>
      </c>
      <c r="H156" s="173">
        <v>509375.06322991103</v>
      </c>
      <c r="J156" s="87" t="s">
        <v>149</v>
      </c>
      <c r="K156" s="87" t="s">
        <v>150</v>
      </c>
      <c r="L156" s="173">
        <v>0</v>
      </c>
      <c r="M156" s="173">
        <v>164407.18368867971</v>
      </c>
      <c r="N156" s="173">
        <v>336289.20052674413</v>
      </c>
      <c r="O156" s="173">
        <v>512953.31439537182</v>
      </c>
      <c r="Q156" s="87" t="s">
        <v>149</v>
      </c>
      <c r="R156" s="87" t="s">
        <v>150</v>
      </c>
      <c r="S156" s="173">
        <v>0</v>
      </c>
      <c r="T156" s="173">
        <v>164251.43299946189</v>
      </c>
      <c r="U156" s="173">
        <v>335474.9865340814</v>
      </c>
      <c r="V156" s="173">
        <v>510816.83268622309</v>
      </c>
    </row>
    <row r="157" spans="3:22">
      <c r="C157" s="87" t="s">
        <v>277</v>
      </c>
      <c r="D157" s="87" t="s">
        <v>278</v>
      </c>
      <c r="E157" s="173">
        <v>0</v>
      </c>
      <c r="F157" s="173">
        <v>15846.621367074549</v>
      </c>
      <c r="G157" s="173">
        <v>32395.103714678437</v>
      </c>
      <c r="H157" s="173">
        <v>49503.42962099053</v>
      </c>
      <c r="J157" s="87" t="s">
        <v>277</v>
      </c>
      <c r="K157" s="87" t="s">
        <v>278</v>
      </c>
      <c r="L157" s="173">
        <v>0</v>
      </c>
      <c r="M157" s="173">
        <v>15662.827679082751</v>
      </c>
      <c r="N157" s="173">
        <v>32393.283318378963</v>
      </c>
      <c r="O157" s="173">
        <v>49881.35304127261</v>
      </c>
      <c r="Q157" s="87" t="s">
        <v>277</v>
      </c>
      <c r="R157" s="87" t="s">
        <v>278</v>
      </c>
      <c r="S157" s="173">
        <v>0</v>
      </c>
      <c r="T157" s="173">
        <v>11557.980785996653</v>
      </c>
      <c r="U157" s="173">
        <v>24359.493051333353</v>
      </c>
      <c r="V157" s="173">
        <v>40219.971714895219</v>
      </c>
    </row>
    <row r="158" spans="3:22">
      <c r="C158" s="87" t="s">
        <v>133</v>
      </c>
      <c r="D158" s="87" t="s">
        <v>134</v>
      </c>
      <c r="E158" s="173">
        <v>0</v>
      </c>
      <c r="F158" s="173">
        <v>733032.24405324459</v>
      </c>
      <c r="G158" s="173">
        <v>1494992.4315881282</v>
      </c>
      <c r="H158" s="173">
        <v>2276024.9633827806</v>
      </c>
      <c r="J158" s="87" t="s">
        <v>133</v>
      </c>
      <c r="K158" s="87" t="s">
        <v>134</v>
      </c>
      <c r="L158" s="173">
        <v>0</v>
      </c>
      <c r="M158" s="173">
        <v>736372.55718268454</v>
      </c>
      <c r="N158" s="173">
        <v>1503375.2468610555</v>
      </c>
      <c r="O158" s="173">
        <v>2292978.0464613289</v>
      </c>
      <c r="Q158" s="87" t="s">
        <v>133</v>
      </c>
      <c r="R158" s="87" t="s">
        <v>134</v>
      </c>
      <c r="S158" s="173">
        <v>0</v>
      </c>
      <c r="T158" s="173">
        <v>750850.93102054298</v>
      </c>
      <c r="U158" s="173">
        <v>1533963.3863282055</v>
      </c>
      <c r="V158" s="173">
        <v>2339501.1581938118</v>
      </c>
    </row>
    <row r="159" spans="3:22">
      <c r="C159" s="87" t="s">
        <v>275</v>
      </c>
      <c r="D159" s="87" t="s">
        <v>276</v>
      </c>
      <c r="E159" s="173">
        <v>0</v>
      </c>
      <c r="F159" s="173">
        <v>30984.955363733694</v>
      </c>
      <c r="G159" s="173">
        <v>62861.51256143488</v>
      </c>
      <c r="H159" s="173">
        <v>95898.029807515442</v>
      </c>
      <c r="J159" s="87" t="s">
        <v>275</v>
      </c>
      <c r="K159" s="87" t="s">
        <v>276</v>
      </c>
      <c r="L159" s="173">
        <v>0</v>
      </c>
      <c r="M159" s="173">
        <v>30559.077890648507</v>
      </c>
      <c r="N159" s="173">
        <v>62560.672445714474</v>
      </c>
      <c r="O159" s="173">
        <v>96546.986781630665</v>
      </c>
      <c r="Q159" s="87" t="s">
        <v>275</v>
      </c>
      <c r="R159" s="87" t="s">
        <v>276</v>
      </c>
      <c r="S159" s="173">
        <v>0</v>
      </c>
      <c r="T159" s="173">
        <v>26340.653783960268</v>
      </c>
      <c r="U159" s="173">
        <v>53196.9481277382</v>
      </c>
      <c r="V159" s="173">
        <v>82718.639204910956</v>
      </c>
    </row>
    <row r="160" spans="3:22">
      <c r="C160" s="87" t="s">
        <v>609</v>
      </c>
      <c r="D160" s="87" t="s">
        <v>610</v>
      </c>
      <c r="E160" s="173">
        <v>0</v>
      </c>
      <c r="F160" s="173">
        <v>46686.691753750667</v>
      </c>
      <c r="G160" s="173">
        <v>95388.291332731023</v>
      </c>
      <c r="H160" s="173">
        <v>145416.34150551818</v>
      </c>
      <c r="J160" s="87" t="s">
        <v>609</v>
      </c>
      <c r="K160" s="87" t="s">
        <v>610</v>
      </c>
      <c r="L160" s="173">
        <v>0</v>
      </c>
      <c r="M160" s="173">
        <v>47368.699416317046</v>
      </c>
      <c r="N160" s="173">
        <v>96320.904475821182</v>
      </c>
      <c r="O160" s="173">
        <v>146740.32283267379</v>
      </c>
      <c r="Q160" s="87" t="s">
        <v>609</v>
      </c>
      <c r="R160" s="87" t="s">
        <v>610</v>
      </c>
      <c r="S160" s="173">
        <v>0</v>
      </c>
      <c r="T160" s="173">
        <v>49688.10352197662</v>
      </c>
      <c r="U160" s="173">
        <v>101000.88162024505</v>
      </c>
      <c r="V160" s="173">
        <v>152567.15170858614</v>
      </c>
    </row>
    <row r="161" spans="3:22">
      <c r="C161" s="87" t="s">
        <v>551</v>
      </c>
      <c r="D161" s="87" t="s">
        <v>552</v>
      </c>
      <c r="E161" s="173">
        <v>0</v>
      </c>
      <c r="F161" s="173">
        <v>154944.34442264214</v>
      </c>
      <c r="G161" s="173">
        <v>316059.95464538783</v>
      </c>
      <c r="H161" s="173">
        <v>481253.74655989558</v>
      </c>
      <c r="J161" s="87" t="s">
        <v>551</v>
      </c>
      <c r="K161" s="87" t="s">
        <v>552</v>
      </c>
      <c r="L161" s="173">
        <v>0</v>
      </c>
      <c r="M161" s="173">
        <v>155552.62920278311</v>
      </c>
      <c r="N161" s="173">
        <v>317578.90285826847</v>
      </c>
      <c r="O161" s="173">
        <v>484660.10588942841</v>
      </c>
      <c r="Q161" s="87" t="s">
        <v>551</v>
      </c>
      <c r="R161" s="87" t="s">
        <v>552</v>
      </c>
      <c r="S161" s="173">
        <v>0</v>
      </c>
      <c r="T161" s="173">
        <v>166007.89218159392</v>
      </c>
      <c r="U161" s="173">
        <v>334425.83550526202</v>
      </c>
      <c r="V161" s="173">
        <v>506009.53267930448</v>
      </c>
    </row>
    <row r="162" spans="3:22">
      <c r="C162" s="87" t="s">
        <v>417</v>
      </c>
      <c r="D162" s="87" t="s">
        <v>418</v>
      </c>
      <c r="E162" s="173">
        <v>0</v>
      </c>
      <c r="F162" s="173">
        <v>6276.8039231137373</v>
      </c>
      <c r="G162" s="173">
        <v>13095.211791608948</v>
      </c>
      <c r="H162" s="173">
        <v>19894.58222809725</v>
      </c>
      <c r="J162" s="87" t="s">
        <v>417</v>
      </c>
      <c r="K162" s="87" t="s">
        <v>418</v>
      </c>
      <c r="L162" s="173">
        <v>0</v>
      </c>
      <c r="M162" s="173">
        <v>6276.8039231137373</v>
      </c>
      <c r="N162" s="173">
        <v>13095.211791608948</v>
      </c>
      <c r="O162" s="173">
        <v>19894.58222809725</v>
      </c>
      <c r="Q162" s="87" t="s">
        <v>417</v>
      </c>
      <c r="R162" s="87" t="s">
        <v>418</v>
      </c>
      <c r="S162" s="173">
        <v>0</v>
      </c>
      <c r="T162" s="173">
        <v>6615.9249949221266</v>
      </c>
      <c r="U162" s="173">
        <v>13635.698293448891</v>
      </c>
      <c r="V162" s="173">
        <v>19605.482597968774</v>
      </c>
    </row>
    <row r="163" spans="3:22">
      <c r="C163" s="87" t="s">
        <v>413</v>
      </c>
      <c r="D163" s="87" t="s">
        <v>414</v>
      </c>
      <c r="E163" s="173">
        <v>0</v>
      </c>
      <c r="F163" s="173">
        <v>595926.27772036195</v>
      </c>
      <c r="G163" s="173">
        <v>1216167.598647207</v>
      </c>
      <c r="H163" s="173">
        <v>1850811.7556895614</v>
      </c>
      <c r="J163" s="87" t="s">
        <v>413</v>
      </c>
      <c r="K163" s="87" t="s">
        <v>414</v>
      </c>
      <c r="L163" s="173">
        <v>0</v>
      </c>
      <c r="M163" s="173">
        <v>598987.41924656928</v>
      </c>
      <c r="N163" s="173">
        <v>1223208.8813237399</v>
      </c>
      <c r="O163" s="173">
        <v>1864406.6304207593</v>
      </c>
      <c r="Q163" s="87" t="s">
        <v>413</v>
      </c>
      <c r="R163" s="87" t="s">
        <v>414</v>
      </c>
      <c r="S163" s="173">
        <v>0</v>
      </c>
      <c r="T163" s="173">
        <v>617894.4824334681</v>
      </c>
      <c r="U163" s="173">
        <v>1260729.8319877982</v>
      </c>
      <c r="V163" s="173">
        <v>1919127.7313494384</v>
      </c>
    </row>
    <row r="164" spans="3:22">
      <c r="C164" s="87" t="s">
        <v>223</v>
      </c>
      <c r="D164" s="87" t="s">
        <v>224</v>
      </c>
      <c r="E164" s="173">
        <v>0</v>
      </c>
      <c r="F164" s="173">
        <v>30600.325522627681</v>
      </c>
      <c r="G164" s="173">
        <v>62038.335930735804</v>
      </c>
      <c r="H164" s="173">
        <v>94746.273811618797</v>
      </c>
      <c r="J164" s="87" t="s">
        <v>223</v>
      </c>
      <c r="K164" s="87" t="s">
        <v>224</v>
      </c>
      <c r="L164" s="173">
        <v>0</v>
      </c>
      <c r="M164" s="173">
        <v>30868.914677023888</v>
      </c>
      <c r="N164" s="173">
        <v>62492.369421351701</v>
      </c>
      <c r="O164" s="173">
        <v>95590.227562328801</v>
      </c>
      <c r="Q164" s="87" t="s">
        <v>223</v>
      </c>
      <c r="R164" s="87" t="s">
        <v>224</v>
      </c>
      <c r="S164" s="173">
        <v>0</v>
      </c>
      <c r="T164" s="173">
        <v>30600.325522627681</v>
      </c>
      <c r="U164" s="173">
        <v>62038.335930735804</v>
      </c>
      <c r="V164" s="173">
        <v>94746.273811618797</v>
      </c>
    </row>
    <row r="165" spans="3:22">
      <c r="C165" s="87" t="s">
        <v>427</v>
      </c>
      <c r="D165" s="87" t="s">
        <v>428</v>
      </c>
      <c r="E165" s="173">
        <v>0</v>
      </c>
      <c r="F165" s="173">
        <v>2081247.1790940762</v>
      </c>
      <c r="G165" s="173">
        <v>4247838.5990793705</v>
      </c>
      <c r="H165" s="173">
        <v>6468402.11564219</v>
      </c>
      <c r="J165" s="87" t="s">
        <v>427</v>
      </c>
      <c r="K165" s="87" t="s">
        <v>428</v>
      </c>
      <c r="L165" s="173">
        <v>0</v>
      </c>
      <c r="M165" s="173">
        <v>2091062.3659926057</v>
      </c>
      <c r="N165" s="173">
        <v>4271222.3466930687</v>
      </c>
      <c r="O165" s="173">
        <v>6515897.1451177597</v>
      </c>
      <c r="Q165" s="87" t="s">
        <v>427</v>
      </c>
      <c r="R165" s="87" t="s">
        <v>428</v>
      </c>
      <c r="S165" s="173">
        <v>0</v>
      </c>
      <c r="T165" s="173">
        <v>2143189.3672721982</v>
      </c>
      <c r="U165" s="173">
        <v>4381082.6262271702</v>
      </c>
      <c r="V165" s="173">
        <v>6682488.6274700463</v>
      </c>
    </row>
    <row r="166" spans="3:22">
      <c r="C166" s="87" t="s">
        <v>583</v>
      </c>
      <c r="D166" s="87" t="s">
        <v>584</v>
      </c>
      <c r="E166" s="173">
        <v>0</v>
      </c>
      <c r="F166" s="173">
        <v>105108.44281882606</v>
      </c>
      <c r="G166" s="173">
        <v>214849.58285995945</v>
      </c>
      <c r="H166" s="173">
        <v>327083.79319660738</v>
      </c>
      <c r="J166" s="87" t="s">
        <v>583</v>
      </c>
      <c r="K166" s="87" t="s">
        <v>584</v>
      </c>
      <c r="L166" s="173">
        <v>0</v>
      </c>
      <c r="M166" s="173">
        <v>105699.19349226914</v>
      </c>
      <c r="N166" s="173">
        <v>216316.77851677872</v>
      </c>
      <c r="O166" s="173">
        <v>329674.70908930525</v>
      </c>
      <c r="Q166" s="87" t="s">
        <v>583</v>
      </c>
      <c r="R166" s="87" t="s">
        <v>584</v>
      </c>
      <c r="S166" s="173">
        <v>0</v>
      </c>
      <c r="T166" s="173">
        <v>106360.07931596972</v>
      </c>
      <c r="U166" s="173">
        <v>217014.92480387911</v>
      </c>
      <c r="V166" s="173">
        <v>329629.51458210126</v>
      </c>
    </row>
    <row r="167" spans="3:22">
      <c r="C167" s="87" t="s">
        <v>271</v>
      </c>
      <c r="D167" s="87" t="s">
        <v>272</v>
      </c>
      <c r="E167" s="173">
        <v>0</v>
      </c>
      <c r="F167" s="173">
        <v>59299.043732568622</v>
      </c>
      <c r="G167" s="173">
        <v>121307.07934990339</v>
      </c>
      <c r="H167" s="173">
        <v>185200.56878427044</v>
      </c>
      <c r="J167" s="87" t="s">
        <v>271</v>
      </c>
      <c r="K167" s="87" t="s">
        <v>272</v>
      </c>
      <c r="L167" s="173">
        <v>0</v>
      </c>
      <c r="M167" s="173">
        <v>59841.984715504572</v>
      </c>
      <c r="N167" s="173">
        <v>122143.77375497855</v>
      </c>
      <c r="O167" s="173">
        <v>186628.05403371714</v>
      </c>
      <c r="Q167" s="87" t="s">
        <v>271</v>
      </c>
      <c r="R167" s="87" t="s">
        <v>272</v>
      </c>
      <c r="S167" s="173">
        <v>0</v>
      </c>
      <c r="T167" s="173">
        <v>57997.814350038767</v>
      </c>
      <c r="U167" s="173">
        <v>118439.49857390858</v>
      </c>
      <c r="V167" s="173">
        <v>182100.9527133517</v>
      </c>
    </row>
    <row r="168" spans="3:22">
      <c r="C168" s="87" t="s">
        <v>349</v>
      </c>
      <c r="D168" s="87" t="s">
        <v>350</v>
      </c>
      <c r="E168" s="173">
        <v>0</v>
      </c>
      <c r="F168" s="173">
        <v>18603.684446189553</v>
      </c>
      <c r="G168" s="173">
        <v>37817.774953978136</v>
      </c>
      <c r="H168" s="173">
        <v>58111.409991220571</v>
      </c>
      <c r="J168" s="87" t="s">
        <v>349</v>
      </c>
      <c r="K168" s="87" t="s">
        <v>350</v>
      </c>
      <c r="L168" s="173">
        <v>0</v>
      </c>
      <c r="M168" s="173">
        <v>18773.932460695505</v>
      </c>
      <c r="N168" s="173">
        <v>38214.807563942857</v>
      </c>
      <c r="O168" s="173">
        <v>58421.526955847628</v>
      </c>
      <c r="Q168" s="87" t="s">
        <v>349</v>
      </c>
      <c r="R168" s="87" t="s">
        <v>350</v>
      </c>
      <c r="S168" s="173">
        <v>0</v>
      </c>
      <c r="T168" s="173">
        <v>15599.486165961251</v>
      </c>
      <c r="U168" s="173">
        <v>30528.866898953915</v>
      </c>
      <c r="V168" s="173">
        <v>46185.417564732023</v>
      </c>
    </row>
    <row r="169" spans="3:22">
      <c r="C169" s="87" t="s">
        <v>327</v>
      </c>
      <c r="D169" s="87" t="s">
        <v>328</v>
      </c>
      <c r="E169" s="173">
        <v>0</v>
      </c>
      <c r="F169" s="173">
        <v>12337.170090920292</v>
      </c>
      <c r="G169" s="173">
        <v>25333.320901880274</v>
      </c>
      <c r="H169" s="173">
        <v>38654.88666604273</v>
      </c>
      <c r="J169" s="87" t="s">
        <v>327</v>
      </c>
      <c r="K169" s="87" t="s">
        <v>328</v>
      </c>
      <c r="L169" s="173">
        <v>0</v>
      </c>
      <c r="M169" s="173">
        <v>12556.49241522653</v>
      </c>
      <c r="N169" s="173">
        <v>25677.699546393473</v>
      </c>
      <c r="O169" s="173">
        <v>39032.569098991808</v>
      </c>
      <c r="Q169" s="87" t="s">
        <v>327</v>
      </c>
      <c r="R169" s="87" t="s">
        <v>328</v>
      </c>
      <c r="S169" s="173">
        <v>0</v>
      </c>
      <c r="T169" s="173">
        <v>11477.55461149849</v>
      </c>
      <c r="U169" s="173">
        <v>23179.032211082289</v>
      </c>
      <c r="V169" s="173">
        <v>35627.320126226172</v>
      </c>
    </row>
    <row r="170" spans="3:22">
      <c r="C170" s="87" t="s">
        <v>355</v>
      </c>
      <c r="D170" s="87" t="s">
        <v>356</v>
      </c>
      <c r="E170" s="173">
        <v>0</v>
      </c>
      <c r="F170" s="173">
        <v>77539.379139710218</v>
      </c>
      <c r="G170" s="173">
        <v>157444.05970567092</v>
      </c>
      <c r="H170" s="173">
        <v>239810.16266891733</v>
      </c>
      <c r="J170" s="87" t="s">
        <v>355</v>
      </c>
      <c r="K170" s="87" t="s">
        <v>356</v>
      </c>
      <c r="L170" s="173">
        <v>0</v>
      </c>
      <c r="M170" s="173">
        <v>77575.02472803928</v>
      </c>
      <c r="N170" s="173">
        <v>158341.38843794726</v>
      </c>
      <c r="O170" s="173">
        <v>241287.15950914845</v>
      </c>
      <c r="Q170" s="87" t="s">
        <v>355</v>
      </c>
      <c r="R170" s="87" t="s">
        <v>356</v>
      </c>
      <c r="S170" s="173">
        <v>0</v>
      </c>
      <c r="T170" s="173">
        <v>83237.201476026326</v>
      </c>
      <c r="U170" s="173">
        <v>168646.2552876398</v>
      </c>
      <c r="V170" s="173">
        <v>247720.5909857098</v>
      </c>
    </row>
    <row r="171" spans="3:22">
      <c r="C171" s="87" t="s">
        <v>457</v>
      </c>
      <c r="D171" s="87" t="s">
        <v>458</v>
      </c>
      <c r="E171" s="173">
        <v>0</v>
      </c>
      <c r="F171" s="173">
        <v>156508.06651428342</v>
      </c>
      <c r="G171" s="173">
        <v>319290.91743802652</v>
      </c>
      <c r="H171" s="173">
        <v>486272.6178254839</v>
      </c>
      <c r="J171" s="87" t="s">
        <v>457</v>
      </c>
      <c r="K171" s="87" t="s">
        <v>458</v>
      </c>
      <c r="L171" s="173">
        <v>0</v>
      </c>
      <c r="M171" s="173">
        <v>157234.73481535539</v>
      </c>
      <c r="N171" s="173">
        <v>321119.42825193703</v>
      </c>
      <c r="O171" s="173">
        <v>489809.32848720625</v>
      </c>
      <c r="Q171" s="87" t="s">
        <v>457</v>
      </c>
      <c r="R171" s="87" t="s">
        <v>458</v>
      </c>
      <c r="S171" s="173">
        <v>0</v>
      </c>
      <c r="T171" s="173">
        <v>150345.4358086288</v>
      </c>
      <c r="U171" s="173">
        <v>306499.74386845902</v>
      </c>
      <c r="V171" s="173">
        <v>471271.07641473413</v>
      </c>
    </row>
    <row r="172" spans="3:22">
      <c r="C172" s="87" t="s">
        <v>549</v>
      </c>
      <c r="D172" s="87" t="s">
        <v>550</v>
      </c>
      <c r="E172" s="173">
        <v>0</v>
      </c>
      <c r="F172" s="173">
        <v>174961.47703753784</v>
      </c>
      <c r="G172" s="173">
        <v>356695.03416894004</v>
      </c>
      <c r="H172" s="173">
        <v>542789.91210789233</v>
      </c>
      <c r="J172" s="87" t="s">
        <v>549</v>
      </c>
      <c r="K172" s="87" t="s">
        <v>550</v>
      </c>
      <c r="L172" s="173">
        <v>0</v>
      </c>
      <c r="M172" s="173">
        <v>175337.80053944886</v>
      </c>
      <c r="N172" s="173">
        <v>358208.92234652489</v>
      </c>
      <c r="O172" s="173">
        <v>546394.23827613518</v>
      </c>
      <c r="Q172" s="87" t="s">
        <v>549</v>
      </c>
      <c r="R172" s="87" t="s">
        <v>550</v>
      </c>
      <c r="S172" s="173">
        <v>0</v>
      </c>
      <c r="T172" s="173">
        <v>192766.14052837342</v>
      </c>
      <c r="U172" s="173">
        <v>397287.84871196374</v>
      </c>
      <c r="V172" s="173">
        <v>614297.9483782053</v>
      </c>
    </row>
    <row r="173" spans="3:22">
      <c r="C173" s="87" t="s">
        <v>145</v>
      </c>
      <c r="D173" s="87" t="s">
        <v>146</v>
      </c>
      <c r="E173" s="173">
        <v>0</v>
      </c>
      <c r="F173" s="173">
        <v>45442.200736224651</v>
      </c>
      <c r="G173" s="173">
        <v>91413.594085033983</v>
      </c>
      <c r="H173" s="173">
        <v>139638.00974778272</v>
      </c>
      <c r="J173" s="87" t="s">
        <v>145</v>
      </c>
      <c r="K173" s="87" t="s">
        <v>146</v>
      </c>
      <c r="L173" s="173">
        <v>0</v>
      </c>
      <c r="M173" s="173">
        <v>45189.683240883052</v>
      </c>
      <c r="N173" s="173">
        <v>91665.229560334235</v>
      </c>
      <c r="O173" s="173">
        <v>140548.39849128202</v>
      </c>
      <c r="Q173" s="87" t="s">
        <v>145</v>
      </c>
      <c r="R173" s="87" t="s">
        <v>146</v>
      </c>
      <c r="S173" s="173">
        <v>0</v>
      </c>
      <c r="T173" s="173">
        <v>44018.208965526894</v>
      </c>
      <c r="U173" s="173">
        <v>88449.26835299097</v>
      </c>
      <c r="V173" s="173">
        <v>128455.93745126203</v>
      </c>
    </row>
    <row r="174" spans="3:22">
      <c r="C174" s="87" t="s">
        <v>113</v>
      </c>
      <c r="D174" s="87" t="s">
        <v>114</v>
      </c>
      <c r="E174" s="173">
        <v>0</v>
      </c>
      <c r="F174" s="173">
        <v>183337.73669104278</v>
      </c>
      <c r="G174" s="173">
        <v>373698.02029910311</v>
      </c>
      <c r="H174" s="173">
        <v>568700.42513791099</v>
      </c>
      <c r="J174" s="87" t="s">
        <v>113</v>
      </c>
      <c r="K174" s="87" t="s">
        <v>114</v>
      </c>
      <c r="L174" s="173">
        <v>0</v>
      </c>
      <c r="M174" s="173">
        <v>184025.69800921157</v>
      </c>
      <c r="N174" s="173">
        <v>375616.50173710659</v>
      </c>
      <c r="O174" s="173">
        <v>572907.62218680605</v>
      </c>
      <c r="Q174" s="87" t="s">
        <v>113</v>
      </c>
      <c r="R174" s="87" t="s">
        <v>114</v>
      </c>
      <c r="S174" s="173">
        <v>0</v>
      </c>
      <c r="T174" s="173">
        <v>183857.84594616666</v>
      </c>
      <c r="U174" s="173">
        <v>376320.55634428933</v>
      </c>
      <c r="V174" s="173">
        <v>573477.37012058869</v>
      </c>
    </row>
    <row r="175" spans="3:22">
      <c r="C175" s="87" t="s">
        <v>231</v>
      </c>
      <c r="D175" s="87" t="s">
        <v>232</v>
      </c>
      <c r="E175" s="173">
        <v>0</v>
      </c>
      <c r="F175" s="173">
        <v>720312.73446656764</v>
      </c>
      <c r="G175" s="173">
        <v>1469852.8037239015</v>
      </c>
      <c r="H175" s="173">
        <v>2237976.0774821788</v>
      </c>
      <c r="J175" s="87" t="s">
        <v>231</v>
      </c>
      <c r="K175" s="87" t="s">
        <v>232</v>
      </c>
      <c r="L175" s="173">
        <v>0</v>
      </c>
      <c r="M175" s="173">
        <v>723399.8977227062</v>
      </c>
      <c r="N175" s="173">
        <v>1477787.0197262615</v>
      </c>
      <c r="O175" s="173">
        <v>2254730.618159309</v>
      </c>
      <c r="Q175" s="87" t="s">
        <v>231</v>
      </c>
      <c r="R175" s="87" t="s">
        <v>232</v>
      </c>
      <c r="S175" s="173">
        <v>0</v>
      </c>
      <c r="T175" s="173">
        <v>740490.62370939553</v>
      </c>
      <c r="U175" s="173">
        <v>1523659.0807192475</v>
      </c>
      <c r="V175" s="173">
        <v>2321805.4204418361</v>
      </c>
    </row>
    <row r="176" spans="3:22">
      <c r="C176" s="87" t="s">
        <v>323</v>
      </c>
      <c r="D176" s="87" t="s">
        <v>324</v>
      </c>
      <c r="E176" s="173">
        <v>0</v>
      </c>
      <c r="F176" s="173">
        <v>192705.57064627111</v>
      </c>
      <c r="G176" s="173">
        <v>393711.57655459642</v>
      </c>
      <c r="H176" s="173">
        <v>598421.57083506882</v>
      </c>
      <c r="J176" s="87" t="s">
        <v>323</v>
      </c>
      <c r="K176" s="87" t="s">
        <v>324</v>
      </c>
      <c r="L176" s="173">
        <v>0</v>
      </c>
      <c r="M176" s="173">
        <v>193664.56478043273</v>
      </c>
      <c r="N176" s="173">
        <v>395679.87099411339</v>
      </c>
      <c r="O176" s="173">
        <v>603101.25385607779</v>
      </c>
      <c r="Q176" s="87" t="s">
        <v>323</v>
      </c>
      <c r="R176" s="87" t="s">
        <v>324</v>
      </c>
      <c r="S176" s="173">
        <v>0</v>
      </c>
      <c r="T176" s="173">
        <v>196813.44967572391</v>
      </c>
      <c r="U176" s="173">
        <v>401949.76874618232</v>
      </c>
      <c r="V176" s="173">
        <v>611076.60487222299</v>
      </c>
    </row>
    <row r="177" spans="3:22">
      <c r="C177" s="87" t="s">
        <v>353</v>
      </c>
      <c r="D177" s="87" t="s">
        <v>354</v>
      </c>
      <c r="E177" s="173">
        <v>0</v>
      </c>
      <c r="F177" s="173">
        <v>-1799.3192214919254</v>
      </c>
      <c r="G177" s="173">
        <v>302.29367826366797</v>
      </c>
      <c r="H177" s="173">
        <v>2974.8807239620946</v>
      </c>
      <c r="J177" s="87" t="s">
        <v>353</v>
      </c>
      <c r="K177" s="87" t="s">
        <v>354</v>
      </c>
      <c r="L177" s="173">
        <v>0</v>
      </c>
      <c r="M177" s="173">
        <v>-1799.3192214919254</v>
      </c>
      <c r="N177" s="173">
        <v>302.29367826366797</v>
      </c>
      <c r="O177" s="173">
        <v>2974.8807239620946</v>
      </c>
      <c r="Q177" s="87" t="s">
        <v>353</v>
      </c>
      <c r="R177" s="87" t="s">
        <v>354</v>
      </c>
      <c r="S177" s="173">
        <v>0</v>
      </c>
      <c r="T177" s="173">
        <v>-4172.3738155537285</v>
      </c>
      <c r="U177" s="173">
        <v>-7949.8083440377377</v>
      </c>
      <c r="V177" s="173">
        <v>-11089.359722943045</v>
      </c>
    </row>
    <row r="178" spans="3:22">
      <c r="C178" s="87" t="s">
        <v>509</v>
      </c>
      <c r="D178" s="87" t="s">
        <v>510</v>
      </c>
      <c r="E178" s="173">
        <v>0</v>
      </c>
      <c r="F178" s="173">
        <v>1771567.4968544245</v>
      </c>
      <c r="G178" s="173">
        <v>3614477.9699923992</v>
      </c>
      <c r="H178" s="173">
        <v>5503482.5826553702</v>
      </c>
      <c r="J178" s="87" t="s">
        <v>509</v>
      </c>
      <c r="K178" s="87" t="s">
        <v>510</v>
      </c>
      <c r="L178" s="173">
        <v>0</v>
      </c>
      <c r="M178" s="173">
        <v>1780570.1518378854</v>
      </c>
      <c r="N178" s="173">
        <v>3635249.7423226535</v>
      </c>
      <c r="O178" s="173">
        <v>5544552.1304081678</v>
      </c>
      <c r="Q178" s="87" t="s">
        <v>509</v>
      </c>
      <c r="R178" s="87" t="s">
        <v>510</v>
      </c>
      <c r="S178" s="173">
        <v>0</v>
      </c>
      <c r="T178" s="173">
        <v>1833280.1658237576</v>
      </c>
      <c r="U178" s="173">
        <v>3748699.884929955</v>
      </c>
      <c r="V178" s="173">
        <v>5721101.0023871064</v>
      </c>
    </row>
    <row r="179" spans="3:22">
      <c r="C179" s="87" t="s">
        <v>503</v>
      </c>
      <c r="D179" s="87" t="s">
        <v>504</v>
      </c>
      <c r="E179" s="173">
        <v>0</v>
      </c>
      <c r="F179" s="173">
        <v>8430.712451106403</v>
      </c>
      <c r="G179" s="173">
        <v>16877.197815919761</v>
      </c>
      <c r="H179" s="173">
        <v>25826.239350138232</v>
      </c>
      <c r="J179" s="87" t="s">
        <v>503</v>
      </c>
      <c r="K179" s="87" t="s">
        <v>504</v>
      </c>
      <c r="L179" s="173">
        <v>0</v>
      </c>
      <c r="M179" s="173">
        <v>8142.1139398580417</v>
      </c>
      <c r="N179" s="173">
        <v>16594.443862139713</v>
      </c>
      <c r="O179" s="173">
        <v>25800.026144769043</v>
      </c>
      <c r="Q179" s="87" t="s">
        <v>503</v>
      </c>
      <c r="R179" s="87" t="s">
        <v>504</v>
      </c>
      <c r="S179" s="173">
        <v>0</v>
      </c>
      <c r="T179" s="173">
        <v>6950.9270998723805</v>
      </c>
      <c r="U179" s="173">
        <v>14439.042216109578</v>
      </c>
      <c r="V179" s="173">
        <v>20331.055694061331</v>
      </c>
    </row>
    <row r="180" spans="3:22">
      <c r="C180" s="87" t="s">
        <v>219</v>
      </c>
      <c r="D180" s="87" t="s">
        <v>220</v>
      </c>
      <c r="E180" s="173">
        <v>0</v>
      </c>
      <c r="F180" s="173">
        <v>3061158.5240318775</v>
      </c>
      <c r="G180" s="173">
        <v>6246567.5732364058</v>
      </c>
      <c r="H180" s="173">
        <v>9514374.8495545983</v>
      </c>
      <c r="J180" s="87" t="s">
        <v>219</v>
      </c>
      <c r="K180" s="87" t="s">
        <v>220</v>
      </c>
      <c r="L180" s="173">
        <v>0</v>
      </c>
      <c r="M180" s="173">
        <v>3076037.1983315945</v>
      </c>
      <c r="N180" s="173">
        <v>6282255.8233924508</v>
      </c>
      <c r="O180" s="173">
        <v>9585016.236453414</v>
      </c>
      <c r="Q180" s="87" t="s">
        <v>219</v>
      </c>
      <c r="R180" s="87" t="s">
        <v>220</v>
      </c>
      <c r="S180" s="173">
        <v>0</v>
      </c>
      <c r="T180" s="173">
        <v>3153168.4549227953</v>
      </c>
      <c r="U180" s="173">
        <v>6522781.8732047081</v>
      </c>
      <c r="V180" s="173">
        <v>10071739.955511093</v>
      </c>
    </row>
    <row r="181" spans="3:22">
      <c r="C181" s="87" t="s">
        <v>167</v>
      </c>
      <c r="D181" s="87" t="s">
        <v>168</v>
      </c>
      <c r="E181" s="173">
        <v>0</v>
      </c>
      <c r="F181" s="173">
        <v>712000.5400878489</v>
      </c>
      <c r="G181" s="173">
        <v>1452859.1195050329</v>
      </c>
      <c r="H181" s="173">
        <v>2212504.9314995259</v>
      </c>
      <c r="J181" s="87" t="s">
        <v>167</v>
      </c>
      <c r="K181" s="87" t="s">
        <v>168</v>
      </c>
      <c r="L181" s="173">
        <v>0</v>
      </c>
      <c r="M181" s="173">
        <v>715406.08425012231</v>
      </c>
      <c r="N181" s="173">
        <v>1461046.4085054249</v>
      </c>
      <c r="O181" s="173">
        <v>2228752.4437816441</v>
      </c>
      <c r="Q181" s="87" t="s">
        <v>167</v>
      </c>
      <c r="R181" s="87" t="s">
        <v>168</v>
      </c>
      <c r="S181" s="173">
        <v>0</v>
      </c>
      <c r="T181" s="173">
        <v>691957.53487792611</v>
      </c>
      <c r="U181" s="173">
        <v>1411052.6515941322</v>
      </c>
      <c r="V181" s="173">
        <v>2149181.339230299</v>
      </c>
    </row>
    <row r="182" spans="3:22">
      <c r="C182" s="87" t="s">
        <v>579</v>
      </c>
      <c r="D182" s="87" t="s">
        <v>580</v>
      </c>
      <c r="E182" s="173">
        <v>0</v>
      </c>
      <c r="F182" s="173">
        <v>14023.723736181855</v>
      </c>
      <c r="G182" s="173">
        <v>28891.426364392042</v>
      </c>
      <c r="H182" s="173">
        <v>44123.109564890619</v>
      </c>
      <c r="J182" s="87" t="s">
        <v>579</v>
      </c>
      <c r="K182" s="87" t="s">
        <v>580</v>
      </c>
      <c r="L182" s="173">
        <v>0</v>
      </c>
      <c r="M182" s="173">
        <v>14195.405964583624</v>
      </c>
      <c r="N182" s="173">
        <v>29013.149184365291</v>
      </c>
      <c r="O182" s="173">
        <v>44383.75338373147</v>
      </c>
      <c r="Q182" s="87" t="s">
        <v>579</v>
      </c>
      <c r="R182" s="87" t="s">
        <v>580</v>
      </c>
      <c r="S182" s="173">
        <v>0</v>
      </c>
      <c r="T182" s="173">
        <v>8530.767591197975</v>
      </c>
      <c r="U182" s="173">
        <v>18228.790550401434</v>
      </c>
      <c r="V182" s="173">
        <v>27545.875295634847</v>
      </c>
    </row>
    <row r="183" spans="3:22">
      <c r="C183" s="87" t="s">
        <v>165</v>
      </c>
      <c r="D183" s="87" t="s">
        <v>166</v>
      </c>
      <c r="E183" s="173">
        <v>0</v>
      </c>
      <c r="F183" s="173">
        <v>16041.85924874898</v>
      </c>
      <c r="G183" s="173">
        <v>31485.374495686032</v>
      </c>
      <c r="H183" s="173">
        <v>47928.70897262916</v>
      </c>
      <c r="J183" s="87" t="s">
        <v>165</v>
      </c>
      <c r="K183" s="87" t="s">
        <v>166</v>
      </c>
      <c r="L183" s="173">
        <v>0</v>
      </c>
      <c r="M183" s="173">
        <v>15635.611020064913</v>
      </c>
      <c r="N183" s="173">
        <v>31884.06183079537</v>
      </c>
      <c r="O183" s="173">
        <v>48129.921549385414</v>
      </c>
      <c r="Q183" s="87" t="s">
        <v>165</v>
      </c>
      <c r="R183" s="87" t="s">
        <v>166</v>
      </c>
      <c r="S183" s="173">
        <v>0</v>
      </c>
      <c r="T183" s="173">
        <v>12455.964999360032</v>
      </c>
      <c r="U183" s="173">
        <v>28890.899628621526</v>
      </c>
      <c r="V183" s="173">
        <v>46990.134348388761</v>
      </c>
    </row>
    <row r="184" spans="3:22">
      <c r="C184" s="87" t="s">
        <v>343</v>
      </c>
      <c r="D184" s="87" t="s">
        <v>344</v>
      </c>
      <c r="E184" s="173">
        <v>0</v>
      </c>
      <c r="F184" s="173">
        <v>83036.077844135463</v>
      </c>
      <c r="G184" s="173">
        <v>169655.54241704382</v>
      </c>
      <c r="H184" s="173">
        <v>258397.05528847128</v>
      </c>
      <c r="J184" s="87" t="s">
        <v>343</v>
      </c>
      <c r="K184" s="87" t="s">
        <v>344</v>
      </c>
      <c r="L184" s="173">
        <v>0</v>
      </c>
      <c r="M184" s="173">
        <v>83508.289063951001</v>
      </c>
      <c r="N184" s="173">
        <v>170626.94098972157</v>
      </c>
      <c r="O184" s="173">
        <v>260254.88631176576</v>
      </c>
      <c r="Q184" s="87" t="s">
        <v>343</v>
      </c>
      <c r="R184" s="87" t="s">
        <v>344</v>
      </c>
      <c r="S184" s="173">
        <v>0</v>
      </c>
      <c r="T184" s="173">
        <v>82887.408873332664</v>
      </c>
      <c r="U184" s="173">
        <v>166488.47077893652</v>
      </c>
      <c r="V184" s="173">
        <v>249701.06679806486</v>
      </c>
    </row>
    <row r="185" spans="3:22">
      <c r="C185" s="87" t="s">
        <v>163</v>
      </c>
      <c r="D185" s="87" t="s">
        <v>164</v>
      </c>
      <c r="E185" s="173">
        <v>0</v>
      </c>
      <c r="F185" s="173">
        <v>28355.553556242026</v>
      </c>
      <c r="G185" s="173">
        <v>57803.22901084926</v>
      </c>
      <c r="H185" s="173">
        <v>87793.092426245101</v>
      </c>
      <c r="J185" s="87" t="s">
        <v>163</v>
      </c>
      <c r="K185" s="87" t="s">
        <v>164</v>
      </c>
      <c r="L185" s="173">
        <v>0</v>
      </c>
      <c r="M185" s="173">
        <v>28291.169189814478</v>
      </c>
      <c r="N185" s="173">
        <v>57519.473862283863</v>
      </c>
      <c r="O185" s="173">
        <v>88199.880003982224</v>
      </c>
      <c r="Q185" s="87" t="s">
        <v>163</v>
      </c>
      <c r="R185" s="87" t="s">
        <v>164</v>
      </c>
      <c r="S185" s="173">
        <v>0</v>
      </c>
      <c r="T185" s="173">
        <v>27389.086181128398</v>
      </c>
      <c r="U185" s="173">
        <v>53457.259362302721</v>
      </c>
      <c r="V185" s="173">
        <v>81588.329838013276</v>
      </c>
    </row>
    <row r="186" spans="3:22">
      <c r="C186" s="87" t="s">
        <v>305</v>
      </c>
      <c r="D186" s="87" t="s">
        <v>306</v>
      </c>
      <c r="E186" s="173">
        <v>0</v>
      </c>
      <c r="F186" s="173">
        <v>12083.684308126569</v>
      </c>
      <c r="G186" s="173">
        <v>24320.217826423701</v>
      </c>
      <c r="H186" s="173">
        <v>37273.999822436366</v>
      </c>
      <c r="J186" s="87" t="s">
        <v>305</v>
      </c>
      <c r="K186" s="87" t="s">
        <v>306</v>
      </c>
      <c r="L186" s="173">
        <v>0</v>
      </c>
      <c r="M186" s="173">
        <v>12114.521942057647</v>
      </c>
      <c r="N186" s="173">
        <v>24846.612456812058</v>
      </c>
      <c r="O186" s="173">
        <v>37804.375560528599</v>
      </c>
      <c r="Q186" s="87" t="s">
        <v>305</v>
      </c>
      <c r="R186" s="87" t="s">
        <v>306</v>
      </c>
      <c r="S186" s="173">
        <v>0</v>
      </c>
      <c r="T186" s="173">
        <v>10578.303776123561</v>
      </c>
      <c r="U186" s="173">
        <v>21878.004209853243</v>
      </c>
      <c r="V186" s="173">
        <v>34343.339218834881</v>
      </c>
    </row>
    <row r="187" spans="3:22">
      <c r="C187" s="87" t="s">
        <v>331</v>
      </c>
      <c r="D187" s="87" t="s">
        <v>332</v>
      </c>
      <c r="E187" s="173">
        <v>0</v>
      </c>
      <c r="F187" s="173">
        <v>88011.055748693645</v>
      </c>
      <c r="G187" s="173">
        <v>178774.94862073287</v>
      </c>
      <c r="H187" s="173">
        <v>272131.50330705009</v>
      </c>
      <c r="J187" s="87" t="s">
        <v>331</v>
      </c>
      <c r="K187" s="87" t="s">
        <v>332</v>
      </c>
      <c r="L187" s="173">
        <v>0</v>
      </c>
      <c r="M187" s="173">
        <v>88229.281651454046</v>
      </c>
      <c r="N187" s="173">
        <v>179955.49321236275</v>
      </c>
      <c r="O187" s="173">
        <v>274300.73900986649</v>
      </c>
      <c r="Q187" s="87" t="s">
        <v>331</v>
      </c>
      <c r="R187" s="87" t="s">
        <v>332</v>
      </c>
      <c r="S187" s="173">
        <v>0</v>
      </c>
      <c r="T187" s="173">
        <v>91498.112270714715</v>
      </c>
      <c r="U187" s="173">
        <v>186429.90421626717</v>
      </c>
      <c r="V187" s="173">
        <v>283427.87937788479</v>
      </c>
    </row>
    <row r="188" spans="3:22">
      <c r="C188" s="87" t="s">
        <v>513</v>
      </c>
      <c r="D188" s="87" t="s">
        <v>514</v>
      </c>
      <c r="E188" s="173">
        <v>0</v>
      </c>
      <c r="F188" s="173">
        <v>1067874.8845270723</v>
      </c>
      <c r="G188" s="173">
        <v>2179068.5535751581</v>
      </c>
      <c r="H188" s="173">
        <v>3316762.0761773437</v>
      </c>
      <c r="J188" s="87" t="s">
        <v>513</v>
      </c>
      <c r="K188" s="87" t="s">
        <v>514</v>
      </c>
      <c r="L188" s="173">
        <v>0</v>
      </c>
      <c r="M188" s="173">
        <v>1072854.4795704931</v>
      </c>
      <c r="N188" s="173">
        <v>2191093.6556239575</v>
      </c>
      <c r="O188" s="173">
        <v>3341342.7816228569</v>
      </c>
      <c r="Q188" s="87" t="s">
        <v>513</v>
      </c>
      <c r="R188" s="87" t="s">
        <v>514</v>
      </c>
      <c r="S188" s="173">
        <v>0</v>
      </c>
      <c r="T188" s="173">
        <v>1128541.0425213128</v>
      </c>
      <c r="U188" s="173">
        <v>2313052.1086284369</v>
      </c>
      <c r="V188" s="173">
        <v>3484568.6476771384</v>
      </c>
    </row>
    <row r="189" spans="3:22">
      <c r="C189" s="87" t="s">
        <v>329</v>
      </c>
      <c r="D189" s="87" t="s">
        <v>330</v>
      </c>
      <c r="E189" s="173">
        <v>0</v>
      </c>
      <c r="F189" s="173">
        <v>199764.09740838408</v>
      </c>
      <c r="G189" s="173">
        <v>408702.58876182139</v>
      </c>
      <c r="H189" s="173">
        <v>620862.28096333146</v>
      </c>
      <c r="J189" s="87" t="s">
        <v>329</v>
      </c>
      <c r="K189" s="87" t="s">
        <v>330</v>
      </c>
      <c r="L189" s="173">
        <v>0</v>
      </c>
      <c r="M189" s="173">
        <v>200744.81779386103</v>
      </c>
      <c r="N189" s="173">
        <v>411153.509503901</v>
      </c>
      <c r="O189" s="173">
        <v>625491.88695256412</v>
      </c>
      <c r="Q189" s="87" t="s">
        <v>329</v>
      </c>
      <c r="R189" s="87" t="s">
        <v>330</v>
      </c>
      <c r="S189" s="173">
        <v>0</v>
      </c>
      <c r="T189" s="173">
        <v>191744.74897888303</v>
      </c>
      <c r="U189" s="173">
        <v>387796.08348309994</v>
      </c>
      <c r="V189" s="173">
        <v>581431.38536626101</v>
      </c>
    </row>
    <row r="190" spans="3:22">
      <c r="C190" s="87" t="s">
        <v>287</v>
      </c>
      <c r="D190" s="87" t="s">
        <v>288</v>
      </c>
      <c r="E190" s="173">
        <v>0</v>
      </c>
      <c r="F190" s="173">
        <v>37550.699032533914</v>
      </c>
      <c r="G190" s="173">
        <v>75805.26404943876</v>
      </c>
      <c r="H190" s="173">
        <v>144989.06980468147</v>
      </c>
      <c r="J190" s="87" t="s">
        <v>287</v>
      </c>
      <c r="K190" s="87" t="s">
        <v>288</v>
      </c>
      <c r="L190" s="173">
        <v>0</v>
      </c>
      <c r="M190" s="173">
        <v>37608.486959235743</v>
      </c>
      <c r="N190" s="173">
        <v>82459.430586107075</v>
      </c>
      <c r="O190" s="173">
        <v>154284.71392245777</v>
      </c>
      <c r="Q190" s="87" t="s">
        <v>287</v>
      </c>
      <c r="R190" s="87" t="s">
        <v>288</v>
      </c>
      <c r="S190" s="173">
        <v>0</v>
      </c>
      <c r="T190" s="173">
        <v>48126.878206837922</v>
      </c>
      <c r="U190" s="173">
        <v>109921.95915432833</v>
      </c>
      <c r="V190" s="173">
        <v>200782.9657059703</v>
      </c>
    </row>
    <row r="191" spans="3:22">
      <c r="C191" s="87" t="s">
        <v>483</v>
      </c>
      <c r="D191" s="87" t="s">
        <v>484</v>
      </c>
      <c r="E191" s="173">
        <v>0</v>
      </c>
      <c r="F191" s="173">
        <v>-3412.4903872516006</v>
      </c>
      <c r="G191" s="173">
        <v>-7254.5901011534734</v>
      </c>
      <c r="H191" s="173">
        <v>-10834.185060415184</v>
      </c>
      <c r="J191" s="87" t="s">
        <v>483</v>
      </c>
      <c r="K191" s="87" t="s">
        <v>484</v>
      </c>
      <c r="L191" s="173">
        <v>0</v>
      </c>
      <c r="M191" s="173">
        <v>-3412.4903872516006</v>
      </c>
      <c r="N191" s="173">
        <v>-7254.5901011534734</v>
      </c>
      <c r="O191" s="173">
        <v>-10834.185060415184</v>
      </c>
      <c r="Q191" s="87" t="s">
        <v>483</v>
      </c>
      <c r="R191" s="87" t="s">
        <v>484</v>
      </c>
      <c r="S191" s="173">
        <v>0</v>
      </c>
      <c r="T191" s="173">
        <v>-2773.3171334095532</v>
      </c>
      <c r="U191" s="173">
        <v>-5682.1757780325133</v>
      </c>
      <c r="V191" s="173">
        <v>-7137.1144758210285</v>
      </c>
    </row>
    <row r="192" spans="3:22">
      <c r="C192" s="87" t="s">
        <v>395</v>
      </c>
      <c r="D192" s="87" t="s">
        <v>396</v>
      </c>
      <c r="E192" s="173">
        <v>0</v>
      </c>
      <c r="F192" s="173">
        <v>33621.128211930394</v>
      </c>
      <c r="G192" s="173">
        <v>67938.835089620203</v>
      </c>
      <c r="H192" s="173">
        <v>104366.31844546832</v>
      </c>
      <c r="J192" s="87" t="s">
        <v>395</v>
      </c>
      <c r="K192" s="87" t="s">
        <v>396</v>
      </c>
      <c r="L192" s="173">
        <v>0</v>
      </c>
      <c r="M192" s="173">
        <v>33838.857403112575</v>
      </c>
      <c r="N192" s="173">
        <v>68683.027163032442</v>
      </c>
      <c r="O192" s="173">
        <v>105562.87710111588</v>
      </c>
      <c r="Q192" s="87" t="s">
        <v>395</v>
      </c>
      <c r="R192" s="87" t="s">
        <v>396</v>
      </c>
      <c r="S192" s="173">
        <v>0</v>
      </c>
      <c r="T192" s="173">
        <v>23246.812458623201</v>
      </c>
      <c r="U192" s="173">
        <v>39256.125866032206</v>
      </c>
      <c r="V192" s="173">
        <v>51401.900685450062</v>
      </c>
    </row>
    <row r="193" spans="3:22">
      <c r="C193" s="87" t="s">
        <v>453</v>
      </c>
      <c r="D193" s="87" t="s">
        <v>454</v>
      </c>
      <c r="E193" s="173">
        <v>0</v>
      </c>
      <c r="F193" s="173">
        <v>7896.0489859845256</v>
      </c>
      <c r="G193" s="173">
        <v>16278.282428875449</v>
      </c>
      <c r="H193" s="173">
        <v>24877.113553252537</v>
      </c>
      <c r="J193" s="87" t="s">
        <v>453</v>
      </c>
      <c r="K193" s="87" t="s">
        <v>454</v>
      </c>
      <c r="L193" s="173">
        <v>0</v>
      </c>
      <c r="M193" s="173">
        <v>7896.0489859845256</v>
      </c>
      <c r="N193" s="173">
        <v>16278.282428875449</v>
      </c>
      <c r="O193" s="173">
        <v>24877.113553252537</v>
      </c>
      <c r="Q193" s="87" t="s">
        <v>453</v>
      </c>
      <c r="R193" s="87" t="s">
        <v>454</v>
      </c>
      <c r="S193" s="173">
        <v>0</v>
      </c>
      <c r="T193" s="173">
        <v>6740.4718538332963</v>
      </c>
      <c r="U193" s="173">
        <v>12730.152231357875</v>
      </c>
      <c r="V193" s="173">
        <v>19758.497348329169</v>
      </c>
    </row>
    <row r="194" spans="3:22">
      <c r="C194" s="87" t="s">
        <v>105</v>
      </c>
      <c r="D194" s="87" t="s">
        <v>106</v>
      </c>
      <c r="E194" s="173">
        <v>0</v>
      </c>
      <c r="F194" s="173">
        <v>-2563.6769396526506</v>
      </c>
      <c r="G194" s="173">
        <v>-5197.0066276714206</v>
      </c>
      <c r="H194" s="173">
        <v>-7667.1602805689909</v>
      </c>
      <c r="J194" s="87" t="s">
        <v>105</v>
      </c>
      <c r="K194" s="87" t="s">
        <v>106</v>
      </c>
      <c r="L194" s="173">
        <v>0</v>
      </c>
      <c r="M194" s="173">
        <v>-2563.6769396526506</v>
      </c>
      <c r="N194" s="173">
        <v>-5197.0066276714206</v>
      </c>
      <c r="O194" s="173">
        <v>-7667.1602805689909</v>
      </c>
      <c r="Q194" s="87" t="s">
        <v>105</v>
      </c>
      <c r="R194" s="87" t="s">
        <v>106</v>
      </c>
      <c r="S194" s="173">
        <v>0</v>
      </c>
      <c r="T194" s="173">
        <v>-2751.9510022840695</v>
      </c>
      <c r="U194" s="173">
        <v>-5664.8797306958586</v>
      </c>
      <c r="V194" s="173">
        <v>-8640.5747100329027</v>
      </c>
    </row>
    <row r="195" spans="3:22">
      <c r="C195" s="87" t="s">
        <v>89</v>
      </c>
      <c r="D195" s="87" t="s">
        <v>90</v>
      </c>
      <c r="E195" s="173">
        <v>0</v>
      </c>
      <c r="F195" s="173">
        <v>12847.300118820043</v>
      </c>
      <c r="G195" s="173">
        <v>25930.173095340841</v>
      </c>
      <c r="H195" s="173">
        <v>39967.965274877613</v>
      </c>
      <c r="J195" s="87" t="s">
        <v>89</v>
      </c>
      <c r="K195" s="87" t="s">
        <v>90</v>
      </c>
      <c r="L195" s="173">
        <v>0</v>
      </c>
      <c r="M195" s="173">
        <v>13106.992141971132</v>
      </c>
      <c r="N195" s="173">
        <v>26232.2664460917</v>
      </c>
      <c r="O195" s="173">
        <v>40167.370152187999</v>
      </c>
      <c r="Q195" s="87" t="s">
        <v>89</v>
      </c>
      <c r="R195" s="87" t="s">
        <v>90</v>
      </c>
      <c r="S195" s="173">
        <v>0</v>
      </c>
      <c r="T195" s="173">
        <v>14174.010829412378</v>
      </c>
      <c r="U195" s="173">
        <v>28900.399348584004</v>
      </c>
      <c r="V195" s="173">
        <v>44286.003178939689</v>
      </c>
    </row>
    <row r="196" spans="3:22">
      <c r="C196" s="87" t="s">
        <v>341</v>
      </c>
      <c r="D196" s="87" t="s">
        <v>342</v>
      </c>
      <c r="E196" s="173">
        <v>0</v>
      </c>
      <c r="F196" s="173">
        <v>26270.675256412476</v>
      </c>
      <c r="G196" s="173">
        <v>52880.052319065668</v>
      </c>
      <c r="H196" s="173">
        <v>81451.28379177209</v>
      </c>
      <c r="J196" s="87" t="s">
        <v>341</v>
      </c>
      <c r="K196" s="87" t="s">
        <v>342</v>
      </c>
      <c r="L196" s="173">
        <v>0</v>
      </c>
      <c r="M196" s="173">
        <v>26384.997686486691</v>
      </c>
      <c r="N196" s="173">
        <v>53843.389695724472</v>
      </c>
      <c r="O196" s="173">
        <v>82063.958317253739</v>
      </c>
      <c r="Q196" s="87" t="s">
        <v>341</v>
      </c>
      <c r="R196" s="87" t="s">
        <v>342</v>
      </c>
      <c r="S196" s="173">
        <v>0</v>
      </c>
      <c r="T196" s="173">
        <v>25475.961297627538</v>
      </c>
      <c r="U196" s="173">
        <v>52947.330449481495</v>
      </c>
      <c r="V196" s="173">
        <v>82018.340116637759</v>
      </c>
    </row>
    <row r="197" spans="3:22">
      <c r="C197" s="87" t="s">
        <v>375</v>
      </c>
      <c r="D197" s="87" t="s">
        <v>376</v>
      </c>
      <c r="E197" s="173">
        <v>0</v>
      </c>
      <c r="F197" s="173">
        <v>323175.74529142678</v>
      </c>
      <c r="G197" s="173">
        <v>659671.09877794608</v>
      </c>
      <c r="H197" s="173">
        <v>1003912.1504362412</v>
      </c>
      <c r="J197" s="87" t="s">
        <v>375</v>
      </c>
      <c r="K197" s="87" t="s">
        <v>376</v>
      </c>
      <c r="L197" s="173">
        <v>0</v>
      </c>
      <c r="M197" s="173">
        <v>324687.23531267419</v>
      </c>
      <c r="N197" s="173">
        <v>663333.93325741217</v>
      </c>
      <c r="O197" s="173">
        <v>1011055.7659531422</v>
      </c>
      <c r="Q197" s="87" t="s">
        <v>375</v>
      </c>
      <c r="R197" s="87" t="s">
        <v>376</v>
      </c>
      <c r="S197" s="173">
        <v>0</v>
      </c>
      <c r="T197" s="173">
        <v>344613.41719276831</v>
      </c>
      <c r="U197" s="173">
        <v>727976.08072078228</v>
      </c>
      <c r="V197" s="173">
        <v>1148166.6356498078</v>
      </c>
    </row>
    <row r="198" spans="3:22">
      <c r="C198" s="87" t="s">
        <v>7</v>
      </c>
      <c r="D198" s="87" t="s">
        <v>8</v>
      </c>
      <c r="E198" s="173">
        <v>0</v>
      </c>
      <c r="F198" s="173">
        <v>399054.34806974232</v>
      </c>
      <c r="G198" s="173">
        <v>813528.77990072221</v>
      </c>
      <c r="H198" s="173">
        <v>1238754.7802118361</v>
      </c>
      <c r="J198" s="87" t="s">
        <v>7</v>
      </c>
      <c r="K198" s="87" t="s">
        <v>8</v>
      </c>
      <c r="L198" s="173">
        <v>0</v>
      </c>
      <c r="M198" s="173">
        <v>400478.55866337568</v>
      </c>
      <c r="N198" s="173">
        <v>818310.99117144197</v>
      </c>
      <c r="O198" s="173">
        <v>1247947.3071470857</v>
      </c>
      <c r="Q198" s="87" t="s">
        <v>7</v>
      </c>
      <c r="R198" s="87" t="s">
        <v>8</v>
      </c>
      <c r="S198" s="173">
        <v>0</v>
      </c>
      <c r="T198" s="173">
        <v>417901.7128444761</v>
      </c>
      <c r="U198" s="173">
        <v>845755.22504135221</v>
      </c>
      <c r="V198" s="173">
        <v>1272578.4182025865</v>
      </c>
    </row>
    <row r="199" spans="3:22">
      <c r="C199" s="87" t="s">
        <v>93</v>
      </c>
      <c r="D199" s="87" t="s">
        <v>94</v>
      </c>
      <c r="E199" s="173">
        <v>0</v>
      </c>
      <c r="F199" s="173">
        <v>-1122.6802083617076</v>
      </c>
      <c r="G199" s="173">
        <v>-2568.2683819303056</v>
      </c>
      <c r="H199" s="173">
        <v>-3879.7963432306424</v>
      </c>
      <c r="J199" s="87" t="s">
        <v>93</v>
      </c>
      <c r="K199" s="87" t="s">
        <v>94</v>
      </c>
      <c r="L199" s="173">
        <v>0</v>
      </c>
      <c r="M199" s="173">
        <v>-1122.6802083617076</v>
      </c>
      <c r="N199" s="173">
        <v>-2568.2683819303056</v>
      </c>
      <c r="O199" s="173">
        <v>-3879.7963432306424</v>
      </c>
      <c r="Q199" s="87" t="s">
        <v>93</v>
      </c>
      <c r="R199" s="87" t="s">
        <v>94</v>
      </c>
      <c r="S199" s="173">
        <v>0</v>
      </c>
      <c r="T199" s="173">
        <v>-1297.9865050013177</v>
      </c>
      <c r="U199" s="173">
        <v>-2934.2953547667712</v>
      </c>
      <c r="V199" s="173">
        <v>-4616.7489874053281</v>
      </c>
    </row>
    <row r="200" spans="3:22">
      <c r="C200" s="87" t="s">
        <v>565</v>
      </c>
      <c r="D200" s="87" t="s">
        <v>566</v>
      </c>
      <c r="E200" s="173">
        <v>0</v>
      </c>
      <c r="F200" s="173">
        <v>12993.05314495042</v>
      </c>
      <c r="G200" s="173">
        <v>25844.484191820491</v>
      </c>
      <c r="H200" s="173">
        <v>39899.76750315167</v>
      </c>
      <c r="J200" s="87" t="s">
        <v>565</v>
      </c>
      <c r="K200" s="87" t="s">
        <v>566</v>
      </c>
      <c r="L200" s="173">
        <v>0</v>
      </c>
      <c r="M200" s="173">
        <v>12829.251931667794</v>
      </c>
      <c r="N200" s="173">
        <v>26171.541704744101</v>
      </c>
      <c r="O200" s="173">
        <v>39901.304547953419</v>
      </c>
      <c r="Q200" s="87" t="s">
        <v>565</v>
      </c>
      <c r="R200" s="87" t="s">
        <v>566</v>
      </c>
      <c r="S200" s="173">
        <v>0</v>
      </c>
      <c r="T200" s="173">
        <v>12967.948481648229</v>
      </c>
      <c r="U200" s="173">
        <v>28070.774137238041</v>
      </c>
      <c r="V200" s="173">
        <v>41061.44804411009</v>
      </c>
    </row>
    <row r="201" spans="3:22">
      <c r="C201" s="87" t="s">
        <v>111</v>
      </c>
      <c r="D201" s="87" t="s">
        <v>112</v>
      </c>
      <c r="E201" s="173">
        <v>0</v>
      </c>
      <c r="F201" s="173">
        <v>1574273.763964653</v>
      </c>
      <c r="G201" s="173">
        <v>3211501.3252034485</v>
      </c>
      <c r="H201" s="173">
        <v>4888184.8923607469</v>
      </c>
      <c r="J201" s="87" t="s">
        <v>111</v>
      </c>
      <c r="K201" s="87" t="s">
        <v>112</v>
      </c>
      <c r="L201" s="173">
        <v>0</v>
      </c>
      <c r="M201" s="173">
        <v>1581943.7775506377</v>
      </c>
      <c r="N201" s="173">
        <v>3229699.0697249472</v>
      </c>
      <c r="O201" s="173">
        <v>4923927.8001843393</v>
      </c>
      <c r="Q201" s="87" t="s">
        <v>111</v>
      </c>
      <c r="R201" s="87" t="s">
        <v>112</v>
      </c>
      <c r="S201" s="173">
        <v>0</v>
      </c>
      <c r="T201" s="173">
        <v>1617349.7792483568</v>
      </c>
      <c r="U201" s="173">
        <v>3328371.6510703564</v>
      </c>
      <c r="V201" s="173">
        <v>5157154.6091008186</v>
      </c>
    </row>
    <row r="202" spans="3:22">
      <c r="C202" s="87" t="s">
        <v>335</v>
      </c>
      <c r="D202" s="87" t="s">
        <v>336</v>
      </c>
      <c r="E202" s="173">
        <v>0</v>
      </c>
      <c r="F202" s="173">
        <v>16764.728728237562</v>
      </c>
      <c r="G202" s="173">
        <v>34473.427723232657</v>
      </c>
      <c r="H202" s="173">
        <v>52455.088201744482</v>
      </c>
      <c r="J202" s="87" t="s">
        <v>335</v>
      </c>
      <c r="K202" s="87" t="s">
        <v>336</v>
      </c>
      <c r="L202" s="173">
        <v>0</v>
      </c>
      <c r="M202" s="173">
        <v>16789.209972631186</v>
      </c>
      <c r="N202" s="173">
        <v>34611.613347740844</v>
      </c>
      <c r="O202" s="173">
        <v>52707.502771387808</v>
      </c>
      <c r="Q202" s="87" t="s">
        <v>335</v>
      </c>
      <c r="R202" s="87" t="s">
        <v>336</v>
      </c>
      <c r="S202" s="173">
        <v>0</v>
      </c>
      <c r="T202" s="173">
        <v>17852.65431702137</v>
      </c>
      <c r="U202" s="173">
        <v>32787.640496876091</v>
      </c>
      <c r="V202" s="173">
        <v>52778.555905514397</v>
      </c>
    </row>
    <row r="203" spans="3:22">
      <c r="C203" s="87" t="s">
        <v>19</v>
      </c>
      <c r="D203" s="87" t="s">
        <v>20</v>
      </c>
      <c r="E203" s="173">
        <v>0</v>
      </c>
      <c r="F203" s="173">
        <v>13496.388473450206</v>
      </c>
      <c r="G203" s="173">
        <v>27821.476881321054</v>
      </c>
      <c r="H203" s="173">
        <v>42307.381299355999</v>
      </c>
      <c r="J203" s="87" t="s">
        <v>19</v>
      </c>
      <c r="K203" s="87" t="s">
        <v>20</v>
      </c>
      <c r="L203" s="173">
        <v>0</v>
      </c>
      <c r="M203" s="173">
        <v>13716.421831286978</v>
      </c>
      <c r="N203" s="173">
        <v>28037.900607949123</v>
      </c>
      <c r="O203" s="173">
        <v>42688.400164196733</v>
      </c>
      <c r="Q203" s="87" t="s">
        <v>19</v>
      </c>
      <c r="R203" s="87" t="s">
        <v>20</v>
      </c>
      <c r="S203" s="173">
        <v>0</v>
      </c>
      <c r="T203" s="173">
        <v>13704.436278488953</v>
      </c>
      <c r="U203" s="173">
        <v>26767.012170612812</v>
      </c>
      <c r="V203" s="173">
        <v>39753.913494220003</v>
      </c>
    </row>
    <row r="204" spans="3:22">
      <c r="C204" s="87" t="s">
        <v>289</v>
      </c>
      <c r="D204" s="87" t="s">
        <v>290</v>
      </c>
      <c r="E204" s="173">
        <v>0</v>
      </c>
      <c r="F204" s="173">
        <v>15235.668322031852</v>
      </c>
      <c r="G204" s="173">
        <v>31138.183594148606</v>
      </c>
      <c r="H204" s="173">
        <v>47378.462401334196</v>
      </c>
      <c r="J204" s="87" t="s">
        <v>289</v>
      </c>
      <c r="K204" s="87" t="s">
        <v>290</v>
      </c>
      <c r="L204" s="173">
        <v>0</v>
      </c>
      <c r="M204" s="173">
        <v>15139.833659208845</v>
      </c>
      <c r="N204" s="173">
        <v>31380.522760197055</v>
      </c>
      <c r="O204" s="173">
        <v>47968.821360561065</v>
      </c>
      <c r="Q204" s="87" t="s">
        <v>289</v>
      </c>
      <c r="R204" s="87" t="s">
        <v>290</v>
      </c>
      <c r="S204" s="173">
        <v>0</v>
      </c>
      <c r="T204" s="173">
        <v>14490.061191673391</v>
      </c>
      <c r="U204" s="173">
        <v>29979.425905921496</v>
      </c>
      <c r="V204" s="173">
        <v>46438.106166791171</v>
      </c>
    </row>
    <row r="205" spans="3:22">
      <c r="C205" s="87" t="s">
        <v>379</v>
      </c>
      <c r="D205" s="87" t="s">
        <v>380</v>
      </c>
      <c r="E205" s="173">
        <v>0</v>
      </c>
      <c r="F205" s="173">
        <v>1129999.9657721668</v>
      </c>
      <c r="G205" s="173">
        <v>2306377.9122876674</v>
      </c>
      <c r="H205" s="173">
        <v>3512251.687629953</v>
      </c>
      <c r="J205" s="87" t="s">
        <v>379</v>
      </c>
      <c r="K205" s="87" t="s">
        <v>380</v>
      </c>
      <c r="L205" s="173">
        <v>0</v>
      </c>
      <c r="M205" s="173">
        <v>1135131.8146180063</v>
      </c>
      <c r="N205" s="173">
        <v>2319315.7741770446</v>
      </c>
      <c r="O205" s="173">
        <v>3537927.6351546645</v>
      </c>
      <c r="Q205" s="87" t="s">
        <v>379</v>
      </c>
      <c r="R205" s="87" t="s">
        <v>380</v>
      </c>
      <c r="S205" s="173">
        <v>0</v>
      </c>
      <c r="T205" s="173">
        <v>1217172.053127259</v>
      </c>
      <c r="U205" s="173">
        <v>2522137.6760387719</v>
      </c>
      <c r="V205" s="173">
        <v>3901048.3063667417</v>
      </c>
    </row>
    <row r="206" spans="3:22">
      <c r="C206" s="87" t="s">
        <v>1317</v>
      </c>
      <c r="D206" s="87" t="s">
        <v>1318</v>
      </c>
      <c r="E206" s="173">
        <v>0</v>
      </c>
      <c r="F206" s="173">
        <v>17062.14288696018</v>
      </c>
      <c r="G206" s="173">
        <v>34828.3898862442</v>
      </c>
      <c r="H206" s="173">
        <v>53231.201117433375</v>
      </c>
      <c r="J206" s="87" t="s">
        <v>1317</v>
      </c>
      <c r="K206" s="87" t="s">
        <v>1318</v>
      </c>
      <c r="L206" s="173">
        <v>0</v>
      </c>
      <c r="M206" s="173">
        <v>17072.349366107257</v>
      </c>
      <c r="N206" s="173">
        <v>35044.176432360662</v>
      </c>
      <c r="O206" s="173">
        <v>53720.402042417554</v>
      </c>
      <c r="Q206" s="87" t="s">
        <v>1317</v>
      </c>
      <c r="R206" s="87" t="s">
        <v>1318</v>
      </c>
      <c r="S206" s="173">
        <v>0</v>
      </c>
      <c r="T206" s="173">
        <v>24047.794556857552</v>
      </c>
      <c r="U206" s="173">
        <v>45965.682751164772</v>
      </c>
      <c r="V206" s="173">
        <v>64210.431434324011</v>
      </c>
    </row>
    <row r="207" spans="3:22">
      <c r="C207" s="87" t="s">
        <v>321</v>
      </c>
      <c r="D207" s="87" t="s">
        <v>322</v>
      </c>
      <c r="E207" s="173">
        <v>0</v>
      </c>
      <c r="F207" s="173">
        <v>63812.44420517236</v>
      </c>
      <c r="G207" s="173">
        <v>130296.1625739336</v>
      </c>
      <c r="H207" s="173">
        <v>198639.28256765008</v>
      </c>
      <c r="J207" s="87" t="s">
        <v>321</v>
      </c>
      <c r="K207" s="87" t="s">
        <v>322</v>
      </c>
      <c r="L207" s="173">
        <v>0</v>
      </c>
      <c r="M207" s="173">
        <v>64620.556467382237</v>
      </c>
      <c r="N207" s="173">
        <v>130972.81476893649</v>
      </c>
      <c r="O207" s="173">
        <v>200093.87514675409</v>
      </c>
      <c r="Q207" s="87" t="s">
        <v>321</v>
      </c>
      <c r="R207" s="87" t="s">
        <v>322</v>
      </c>
      <c r="S207" s="173">
        <v>0</v>
      </c>
      <c r="T207" s="173">
        <v>63382.055927725509</v>
      </c>
      <c r="U207" s="173">
        <v>133859.93122207001</v>
      </c>
      <c r="V207" s="173">
        <v>212192.23195365258</v>
      </c>
    </row>
    <row r="208" spans="3:22">
      <c r="C208" s="87" t="s">
        <v>119</v>
      </c>
      <c r="D208" s="87" t="s">
        <v>120</v>
      </c>
      <c r="E208" s="173">
        <v>0</v>
      </c>
      <c r="F208" s="173">
        <v>20234.153539159335</v>
      </c>
      <c r="G208" s="173">
        <v>41274.018598405644</v>
      </c>
      <c r="H208" s="173">
        <v>63356.308079517446</v>
      </c>
      <c r="J208" s="87" t="s">
        <v>119</v>
      </c>
      <c r="K208" s="87" t="s">
        <v>120</v>
      </c>
      <c r="L208" s="173">
        <v>0</v>
      </c>
      <c r="M208" s="173">
        <v>20560.394763016142</v>
      </c>
      <c r="N208" s="173">
        <v>41837.397620189004</v>
      </c>
      <c r="O208" s="173">
        <v>64030.683964964002</v>
      </c>
      <c r="Q208" s="87" t="s">
        <v>119</v>
      </c>
      <c r="R208" s="87" t="s">
        <v>120</v>
      </c>
      <c r="S208" s="173">
        <v>0</v>
      </c>
      <c r="T208" s="173">
        <v>16601.994992868043</v>
      </c>
      <c r="U208" s="173">
        <v>33521.470391763374</v>
      </c>
      <c r="V208" s="173">
        <v>53421.079984551296</v>
      </c>
    </row>
    <row r="209" spans="3:22">
      <c r="C209" s="87" t="s">
        <v>43</v>
      </c>
      <c r="D209" s="87" t="s">
        <v>44</v>
      </c>
      <c r="E209" s="173">
        <v>0</v>
      </c>
      <c r="F209" s="173">
        <v>280243.17445006967</v>
      </c>
      <c r="G209" s="173">
        <v>571906.07463608682</v>
      </c>
      <c r="H209" s="173">
        <v>870363.68388401717</v>
      </c>
      <c r="J209" s="87" t="s">
        <v>43</v>
      </c>
      <c r="K209" s="87" t="s">
        <v>44</v>
      </c>
      <c r="L209" s="173">
        <v>0</v>
      </c>
      <c r="M209" s="173">
        <v>281626.26473472267</v>
      </c>
      <c r="N209" s="173">
        <v>574808.35373683274</v>
      </c>
      <c r="O209" s="173">
        <v>876806.00303363055</v>
      </c>
      <c r="Q209" s="87" t="s">
        <v>43</v>
      </c>
      <c r="R209" s="87" t="s">
        <v>44</v>
      </c>
      <c r="S209" s="173">
        <v>0</v>
      </c>
      <c r="T209" s="173">
        <v>283256.37853007019</v>
      </c>
      <c r="U209" s="173">
        <v>601912.93307789415</v>
      </c>
      <c r="V209" s="173">
        <v>915970.98879308999</v>
      </c>
    </row>
    <row r="210" spans="3:22">
      <c r="C210" s="87" t="s">
        <v>181</v>
      </c>
      <c r="D210" s="87" t="s">
        <v>182</v>
      </c>
      <c r="E210" s="173">
        <v>0</v>
      </c>
      <c r="F210" s="173">
        <v>101728.55682065152</v>
      </c>
      <c r="G210" s="173">
        <v>207515.15639042482</v>
      </c>
      <c r="H210" s="173">
        <v>315924.06259427406</v>
      </c>
      <c r="J210" s="87" t="s">
        <v>181</v>
      </c>
      <c r="K210" s="87" t="s">
        <v>182</v>
      </c>
      <c r="L210" s="173">
        <v>0</v>
      </c>
      <c r="M210" s="173">
        <v>101539.36381196789</v>
      </c>
      <c r="N210" s="173">
        <v>208602.41661629267</v>
      </c>
      <c r="O210" s="173">
        <v>318096.27111176774</v>
      </c>
      <c r="Q210" s="87" t="s">
        <v>181</v>
      </c>
      <c r="R210" s="87" t="s">
        <v>182</v>
      </c>
      <c r="S210" s="173">
        <v>0</v>
      </c>
      <c r="T210" s="173">
        <v>101161.77912322059</v>
      </c>
      <c r="U210" s="173">
        <v>198313.45335938968</v>
      </c>
      <c r="V210" s="173">
        <v>293712.61093216762</v>
      </c>
    </row>
    <row r="211" spans="3:22">
      <c r="C211" s="87" t="s">
        <v>537</v>
      </c>
      <c r="D211" s="87" t="s">
        <v>538</v>
      </c>
      <c r="E211" s="173">
        <v>0</v>
      </c>
      <c r="F211" s="173">
        <v>14925.392816412263</v>
      </c>
      <c r="G211" s="173">
        <v>30736.948582540266</v>
      </c>
      <c r="H211" s="173">
        <v>46790.51717733033</v>
      </c>
      <c r="J211" s="87" t="s">
        <v>537</v>
      </c>
      <c r="K211" s="87" t="s">
        <v>538</v>
      </c>
      <c r="L211" s="173">
        <v>0</v>
      </c>
      <c r="M211" s="173">
        <v>15297.258839061949</v>
      </c>
      <c r="N211" s="173">
        <v>30872.898328068666</v>
      </c>
      <c r="O211" s="173">
        <v>47509.340846539475</v>
      </c>
      <c r="Q211" s="87" t="s">
        <v>537</v>
      </c>
      <c r="R211" s="87" t="s">
        <v>538</v>
      </c>
      <c r="S211" s="173">
        <v>0</v>
      </c>
      <c r="T211" s="173">
        <v>14880.108631904237</v>
      </c>
      <c r="U211" s="173">
        <v>30933.286406599917</v>
      </c>
      <c r="V211" s="173">
        <v>46738.328905594535</v>
      </c>
    </row>
    <row r="212" spans="3:22">
      <c r="C212" s="87" t="s">
        <v>481</v>
      </c>
      <c r="D212" s="87" t="s">
        <v>482</v>
      </c>
      <c r="E212" s="173">
        <v>0</v>
      </c>
      <c r="F212" s="173">
        <v>60826.277591340244</v>
      </c>
      <c r="G212" s="173">
        <v>124599.42500884831</v>
      </c>
      <c r="H212" s="173">
        <v>189433.84712495375</v>
      </c>
      <c r="J212" s="87" t="s">
        <v>481</v>
      </c>
      <c r="K212" s="87" t="s">
        <v>482</v>
      </c>
      <c r="L212" s="173">
        <v>0</v>
      </c>
      <c r="M212" s="173">
        <v>61379.804999236017</v>
      </c>
      <c r="N212" s="173">
        <v>125592.23130246252</v>
      </c>
      <c r="O212" s="173">
        <v>191074.71599820442</v>
      </c>
      <c r="Q212" s="87" t="s">
        <v>481</v>
      </c>
      <c r="R212" s="87" t="s">
        <v>482</v>
      </c>
      <c r="S212" s="173">
        <v>0</v>
      </c>
      <c r="T212" s="173">
        <v>66672.755932239816</v>
      </c>
      <c r="U212" s="173">
        <v>136298.42608060595</v>
      </c>
      <c r="V212" s="173">
        <v>206906.78970488347</v>
      </c>
    </row>
    <row r="213" spans="3:22">
      <c r="C213" s="87" t="s">
        <v>25</v>
      </c>
      <c r="D213" s="87" t="s">
        <v>26</v>
      </c>
      <c r="E213" s="173">
        <v>0</v>
      </c>
      <c r="F213" s="173">
        <v>208584.58859034255</v>
      </c>
      <c r="G213" s="173">
        <v>426013.69093643129</v>
      </c>
      <c r="H213" s="173">
        <v>647839.18065426126</v>
      </c>
      <c r="J213" s="87" t="s">
        <v>25</v>
      </c>
      <c r="K213" s="87" t="s">
        <v>26</v>
      </c>
      <c r="L213" s="173">
        <v>0</v>
      </c>
      <c r="M213" s="173">
        <v>209409.76160482317</v>
      </c>
      <c r="N213" s="173">
        <v>428374.2341812402</v>
      </c>
      <c r="O213" s="173">
        <v>652630.62945019081</v>
      </c>
      <c r="Q213" s="87" t="s">
        <v>25</v>
      </c>
      <c r="R213" s="87" t="s">
        <v>26</v>
      </c>
      <c r="S213" s="173">
        <v>0</v>
      </c>
      <c r="T213" s="173">
        <v>201278.54015484452</v>
      </c>
      <c r="U213" s="173">
        <v>402859.49291743338</v>
      </c>
      <c r="V213" s="173">
        <v>603282.59789896011</v>
      </c>
    </row>
    <row r="214" spans="3:22">
      <c r="C214" s="87" t="s">
        <v>1319</v>
      </c>
      <c r="D214" s="87" t="s">
        <v>1320</v>
      </c>
      <c r="E214" s="173">
        <v>0</v>
      </c>
      <c r="F214" s="173">
        <v>10838.668123289011</v>
      </c>
      <c r="G214" s="173">
        <v>22030.369035572279</v>
      </c>
      <c r="H214" s="173">
        <v>33807.80541872303</v>
      </c>
      <c r="J214" s="87" t="s">
        <v>1319</v>
      </c>
      <c r="K214" s="87" t="s">
        <v>1320</v>
      </c>
      <c r="L214" s="173">
        <v>0</v>
      </c>
      <c r="M214" s="173">
        <v>10838.668123289011</v>
      </c>
      <c r="N214" s="173">
        <v>22030.369035572279</v>
      </c>
      <c r="O214" s="173">
        <v>33807.80541872303</v>
      </c>
      <c r="Q214" s="87" t="s">
        <v>1319</v>
      </c>
      <c r="R214" s="87" t="s">
        <v>1320</v>
      </c>
      <c r="S214" s="173">
        <v>0</v>
      </c>
      <c r="T214" s="173">
        <v>19191.745368187083</v>
      </c>
      <c r="U214" s="173">
        <v>51026.882794079371</v>
      </c>
      <c r="V214" s="173">
        <v>89896.893812153488</v>
      </c>
    </row>
    <row r="215" spans="3:22">
      <c r="C215" s="87" t="s">
        <v>561</v>
      </c>
      <c r="D215" s="87" t="s">
        <v>562</v>
      </c>
      <c r="E215" s="173">
        <v>0</v>
      </c>
      <c r="F215" s="173">
        <v>314548.79332568869</v>
      </c>
      <c r="G215" s="173">
        <v>641748.06737250462</v>
      </c>
      <c r="H215" s="173">
        <v>976838.14949894324</v>
      </c>
      <c r="J215" s="87" t="s">
        <v>561</v>
      </c>
      <c r="K215" s="87" t="s">
        <v>562</v>
      </c>
      <c r="L215" s="173">
        <v>0</v>
      </c>
      <c r="M215" s="173">
        <v>315928.56765536591</v>
      </c>
      <c r="N215" s="173">
        <v>645533.65464305505</v>
      </c>
      <c r="O215" s="173">
        <v>984067.43558977172</v>
      </c>
      <c r="Q215" s="87" t="s">
        <v>561</v>
      </c>
      <c r="R215" s="87" t="s">
        <v>562</v>
      </c>
      <c r="S215" s="173">
        <v>0</v>
      </c>
      <c r="T215" s="173">
        <v>321466.66576584056</v>
      </c>
      <c r="U215" s="173">
        <v>661314.4001727961</v>
      </c>
      <c r="V215" s="173">
        <v>1018878.6435904093</v>
      </c>
    </row>
    <row r="216" spans="3:22">
      <c r="C216" s="87" t="s">
        <v>363</v>
      </c>
      <c r="D216" s="87" t="s">
        <v>364</v>
      </c>
      <c r="E216" s="173">
        <v>0</v>
      </c>
      <c r="F216" s="173">
        <v>2673130.6462006569</v>
      </c>
      <c r="G216" s="173">
        <v>5454289.8456632793</v>
      </c>
      <c r="H216" s="173">
        <v>8304866.0697618723</v>
      </c>
      <c r="J216" s="87" t="s">
        <v>363</v>
      </c>
      <c r="K216" s="87" t="s">
        <v>364</v>
      </c>
      <c r="L216" s="173">
        <v>0</v>
      </c>
      <c r="M216" s="173">
        <v>2686384.6802085042</v>
      </c>
      <c r="N216" s="173">
        <v>5485071.7261642814</v>
      </c>
      <c r="O216" s="173">
        <v>8366046.5074566007</v>
      </c>
      <c r="Q216" s="87" t="s">
        <v>363</v>
      </c>
      <c r="R216" s="87" t="s">
        <v>364</v>
      </c>
      <c r="S216" s="173">
        <v>0</v>
      </c>
      <c r="T216" s="173">
        <v>2734085.2693861723</v>
      </c>
      <c r="U216" s="173">
        <v>5566199.4723860025</v>
      </c>
      <c r="V216" s="173">
        <v>8480857.8529543281</v>
      </c>
    </row>
    <row r="217" spans="3:22">
      <c r="C217" s="87" t="s">
        <v>173</v>
      </c>
      <c r="D217" s="87" t="s">
        <v>174</v>
      </c>
      <c r="E217" s="173">
        <v>0</v>
      </c>
      <c r="F217" s="173">
        <v>-3391.2208157757996</v>
      </c>
      <c r="G217" s="173">
        <v>-7191.8534699280281</v>
      </c>
      <c r="H217" s="173">
        <v>-10748.246695106965</v>
      </c>
      <c r="J217" s="87" t="s">
        <v>173</v>
      </c>
      <c r="K217" s="87" t="s">
        <v>174</v>
      </c>
      <c r="L217" s="173">
        <v>0</v>
      </c>
      <c r="M217" s="173">
        <v>-3391.2208157757996</v>
      </c>
      <c r="N217" s="173">
        <v>-7191.8534699280281</v>
      </c>
      <c r="O217" s="173">
        <v>-10748.246695106965</v>
      </c>
      <c r="Q217" s="87" t="s">
        <v>173</v>
      </c>
      <c r="R217" s="87" t="s">
        <v>174</v>
      </c>
      <c r="S217" s="173">
        <v>0</v>
      </c>
      <c r="T217" s="173">
        <v>-2616.9293497736799</v>
      </c>
      <c r="U217" s="173">
        <v>-4714.8752773641609</v>
      </c>
      <c r="V217" s="173">
        <v>-6716.9377615872072</v>
      </c>
    </row>
    <row r="218" spans="3:22">
      <c r="C218" s="87" t="s">
        <v>177</v>
      </c>
      <c r="D218" s="87" t="s">
        <v>178</v>
      </c>
      <c r="E218" s="173">
        <v>0</v>
      </c>
      <c r="F218" s="173">
        <v>19157.513586573303</v>
      </c>
      <c r="G218" s="173">
        <v>38579.70178590063</v>
      </c>
      <c r="H218" s="173">
        <v>58702.655716568232</v>
      </c>
      <c r="J218" s="87" t="s">
        <v>177</v>
      </c>
      <c r="K218" s="87" t="s">
        <v>178</v>
      </c>
      <c r="L218" s="173">
        <v>0</v>
      </c>
      <c r="M218" s="173">
        <v>19017.948008483276</v>
      </c>
      <c r="N218" s="173">
        <v>38530.971223831177</v>
      </c>
      <c r="O218" s="173">
        <v>58668.121758658439</v>
      </c>
      <c r="Q218" s="87" t="s">
        <v>177</v>
      </c>
      <c r="R218" s="87" t="s">
        <v>178</v>
      </c>
      <c r="S218" s="173">
        <v>0</v>
      </c>
      <c r="T218" s="173">
        <v>17776.429507398978</v>
      </c>
      <c r="U218" s="173">
        <v>38490.566152922809</v>
      </c>
      <c r="V218" s="173">
        <v>61795.632336266339</v>
      </c>
    </row>
    <row r="219" spans="3:22">
      <c r="C219" s="87" t="s">
        <v>53</v>
      </c>
      <c r="D219" s="87" t="s">
        <v>54</v>
      </c>
      <c r="E219" s="173">
        <v>0</v>
      </c>
      <c r="F219" s="173">
        <v>2491.1527996072546</v>
      </c>
      <c r="G219" s="173">
        <v>4369.4607468033209</v>
      </c>
      <c r="H219" s="173">
        <v>6915.3088312027976</v>
      </c>
      <c r="J219" s="87" t="s">
        <v>53</v>
      </c>
      <c r="K219" s="87" t="s">
        <v>54</v>
      </c>
      <c r="L219" s="173">
        <v>0</v>
      </c>
      <c r="M219" s="173">
        <v>2680.8632511920296</v>
      </c>
      <c r="N219" s="173">
        <v>4805.7644581659697</v>
      </c>
      <c r="O219" s="173">
        <v>7457.154351674486</v>
      </c>
      <c r="Q219" s="87" t="s">
        <v>53</v>
      </c>
      <c r="R219" s="87" t="s">
        <v>54</v>
      </c>
      <c r="S219" s="173">
        <v>0</v>
      </c>
      <c r="T219" s="173">
        <v>2491.1527996072546</v>
      </c>
      <c r="U219" s="173">
        <v>4369.4607468033209</v>
      </c>
      <c r="V219" s="173">
        <v>6915.3088312027976</v>
      </c>
    </row>
    <row r="220" spans="3:22">
      <c r="C220" s="87" t="s">
        <v>51</v>
      </c>
      <c r="D220" s="87" t="s">
        <v>52</v>
      </c>
      <c r="E220" s="173">
        <v>0</v>
      </c>
      <c r="F220" s="173">
        <v>109331.97676519305</v>
      </c>
      <c r="G220" s="173">
        <v>224045.49265044183</v>
      </c>
      <c r="H220" s="173">
        <v>340521.62686954439</v>
      </c>
      <c r="J220" s="87" t="s">
        <v>51</v>
      </c>
      <c r="K220" s="87" t="s">
        <v>52</v>
      </c>
      <c r="L220" s="173">
        <v>0</v>
      </c>
      <c r="M220" s="173">
        <v>109939.08715288341</v>
      </c>
      <c r="N220" s="173">
        <v>225210.96768806875</v>
      </c>
      <c r="O220" s="173">
        <v>342888.41576516628</v>
      </c>
      <c r="Q220" s="87" t="s">
        <v>51</v>
      </c>
      <c r="R220" s="87" t="s">
        <v>52</v>
      </c>
      <c r="S220" s="173">
        <v>0</v>
      </c>
      <c r="T220" s="173">
        <v>108574.51150044799</v>
      </c>
      <c r="U220" s="173">
        <v>218484.84655291587</v>
      </c>
      <c r="V220" s="173">
        <v>330777.38257212192</v>
      </c>
    </row>
    <row r="221" spans="3:22">
      <c r="C221" s="87" t="s">
        <v>123</v>
      </c>
      <c r="D221" s="87" t="s">
        <v>124</v>
      </c>
      <c r="E221" s="173">
        <v>0</v>
      </c>
      <c r="F221" s="173">
        <v>269919.37413787097</v>
      </c>
      <c r="G221" s="173">
        <v>550568.2316576913</v>
      </c>
      <c r="H221" s="173">
        <v>838287.7228372097</v>
      </c>
      <c r="J221" s="87" t="s">
        <v>123</v>
      </c>
      <c r="K221" s="87" t="s">
        <v>124</v>
      </c>
      <c r="L221" s="173">
        <v>0</v>
      </c>
      <c r="M221" s="173">
        <v>271385.38054686785</v>
      </c>
      <c r="N221" s="173">
        <v>554117.36198034137</v>
      </c>
      <c r="O221" s="173">
        <v>845034.66305404156</v>
      </c>
      <c r="Q221" s="87" t="s">
        <v>123</v>
      </c>
      <c r="R221" s="87" t="s">
        <v>124</v>
      </c>
      <c r="S221" s="173">
        <v>0</v>
      </c>
      <c r="T221" s="173">
        <v>267434.60635122657</v>
      </c>
      <c r="U221" s="173">
        <v>547727.8927359432</v>
      </c>
      <c r="V221" s="173">
        <v>831021.33206661046</v>
      </c>
    </row>
    <row r="222" spans="3:22">
      <c r="C222" s="87" t="s">
        <v>225</v>
      </c>
      <c r="D222" s="87" t="s">
        <v>226</v>
      </c>
      <c r="E222" s="173">
        <v>0</v>
      </c>
      <c r="F222" s="173">
        <v>33236.329352448229</v>
      </c>
      <c r="G222" s="173">
        <v>67802.263848249801</v>
      </c>
      <c r="H222" s="173">
        <v>103853.90862592775</v>
      </c>
      <c r="J222" s="87" t="s">
        <v>225</v>
      </c>
      <c r="K222" s="87" t="s">
        <v>226</v>
      </c>
      <c r="L222" s="173">
        <v>0</v>
      </c>
      <c r="M222" s="173">
        <v>33783.744978604373</v>
      </c>
      <c r="N222" s="173">
        <v>68454.761886788532</v>
      </c>
      <c r="O222" s="173">
        <v>104807.98920140788</v>
      </c>
      <c r="Q222" s="87" t="s">
        <v>225</v>
      </c>
      <c r="R222" s="87" t="s">
        <v>226</v>
      </c>
      <c r="S222" s="173">
        <v>0</v>
      </c>
      <c r="T222" s="173">
        <v>33236.329352448229</v>
      </c>
      <c r="U222" s="173">
        <v>69200.471471404657</v>
      </c>
      <c r="V222" s="173">
        <v>105447.48471529875</v>
      </c>
    </row>
    <row r="223" spans="3:22">
      <c r="C223" s="87" t="s">
        <v>515</v>
      </c>
      <c r="D223" s="87" t="s">
        <v>516</v>
      </c>
      <c r="E223" s="173">
        <v>0</v>
      </c>
      <c r="F223" s="173">
        <v>82364.968555368483</v>
      </c>
      <c r="G223" s="173">
        <v>167414.97795868665</v>
      </c>
      <c r="H223" s="173">
        <v>255271.99418912083</v>
      </c>
      <c r="J223" s="87" t="s">
        <v>515</v>
      </c>
      <c r="K223" s="87" t="s">
        <v>516</v>
      </c>
      <c r="L223" s="173">
        <v>0</v>
      </c>
      <c r="M223" s="173">
        <v>82461.30898834765</v>
      </c>
      <c r="N223" s="173">
        <v>168238.51306533627</v>
      </c>
      <c r="O223" s="173">
        <v>257206.18033163808</v>
      </c>
      <c r="Q223" s="87" t="s">
        <v>515</v>
      </c>
      <c r="R223" s="87" t="s">
        <v>516</v>
      </c>
      <c r="S223" s="173">
        <v>0</v>
      </c>
      <c r="T223" s="173">
        <v>77180.134299587458</v>
      </c>
      <c r="U223" s="173">
        <v>213060.7302094698</v>
      </c>
      <c r="V223" s="173">
        <v>322839.07555497997</v>
      </c>
    </row>
    <row r="224" spans="3:22">
      <c r="C224" s="87" t="s">
        <v>345</v>
      </c>
      <c r="D224" s="87" t="s">
        <v>346</v>
      </c>
      <c r="E224" s="173">
        <v>0</v>
      </c>
      <c r="F224" s="173">
        <v>27005.36970833037</v>
      </c>
      <c r="G224" s="173">
        <v>54274.241032921709</v>
      </c>
      <c r="H224" s="173">
        <v>83050.123078446835</v>
      </c>
      <c r="J224" s="87" t="s">
        <v>345</v>
      </c>
      <c r="K224" s="87" t="s">
        <v>346</v>
      </c>
      <c r="L224" s="173">
        <v>0</v>
      </c>
      <c r="M224" s="173">
        <v>27051.939205524512</v>
      </c>
      <c r="N224" s="173">
        <v>54693.847559420392</v>
      </c>
      <c r="O224" s="173">
        <v>84013.131831130944</v>
      </c>
      <c r="Q224" s="87" t="s">
        <v>345</v>
      </c>
      <c r="R224" s="87" t="s">
        <v>346</v>
      </c>
      <c r="S224" s="173">
        <v>0</v>
      </c>
      <c r="T224" s="173">
        <v>24441.15055943653</v>
      </c>
      <c r="U224" s="173">
        <v>50792.060215319507</v>
      </c>
      <c r="V224" s="173">
        <v>72403.468934055418</v>
      </c>
    </row>
    <row r="225" spans="3:22">
      <c r="C225" s="87" t="s">
        <v>299</v>
      </c>
      <c r="D225" s="87" t="s">
        <v>300</v>
      </c>
      <c r="E225" s="173">
        <v>0</v>
      </c>
      <c r="F225" s="173">
        <v>55982.611139694229</v>
      </c>
      <c r="G225" s="173">
        <v>113814.97336822189</v>
      </c>
      <c r="H225" s="173">
        <v>173636.17196950689</v>
      </c>
      <c r="J225" s="87" t="s">
        <v>299</v>
      </c>
      <c r="K225" s="87" t="s">
        <v>300</v>
      </c>
      <c r="L225" s="173">
        <v>0</v>
      </c>
      <c r="M225" s="173">
        <v>56074.496511917561</v>
      </c>
      <c r="N225" s="173">
        <v>114026.41179485619</v>
      </c>
      <c r="O225" s="173">
        <v>174543.01203495823</v>
      </c>
      <c r="Q225" s="87" t="s">
        <v>299</v>
      </c>
      <c r="R225" s="87" t="s">
        <v>300</v>
      </c>
      <c r="S225" s="173">
        <v>0</v>
      </c>
      <c r="T225" s="173">
        <v>54295.348172707483</v>
      </c>
      <c r="U225" s="173">
        <v>107118.35271774605</v>
      </c>
      <c r="V225" s="173">
        <v>162951.57627694868</v>
      </c>
    </row>
    <row r="226" spans="3:22">
      <c r="C226" s="87" t="s">
        <v>195</v>
      </c>
      <c r="D226" s="87" t="s">
        <v>196</v>
      </c>
      <c r="E226" s="173">
        <v>0</v>
      </c>
      <c r="F226" s="173">
        <v>1424721.4383531511</v>
      </c>
      <c r="G226" s="173">
        <v>2905815.979457438</v>
      </c>
      <c r="H226" s="173">
        <v>4424922.7052064836</v>
      </c>
      <c r="J226" s="87" t="s">
        <v>195</v>
      </c>
      <c r="K226" s="87" t="s">
        <v>196</v>
      </c>
      <c r="L226" s="173">
        <v>0</v>
      </c>
      <c r="M226" s="173">
        <v>1431048.2705481052</v>
      </c>
      <c r="N226" s="173">
        <v>2922051.2042106986</v>
      </c>
      <c r="O226" s="173">
        <v>4456703.6768259108</v>
      </c>
      <c r="Q226" s="87" t="s">
        <v>195</v>
      </c>
      <c r="R226" s="87" t="s">
        <v>196</v>
      </c>
      <c r="S226" s="173">
        <v>0</v>
      </c>
      <c r="T226" s="173">
        <v>1481330.755728811</v>
      </c>
      <c r="U226" s="173">
        <v>3015558.1636227667</v>
      </c>
      <c r="V226" s="173">
        <v>4554118.7944602668</v>
      </c>
    </row>
    <row r="227" spans="3:22">
      <c r="C227" s="87" t="s">
        <v>109</v>
      </c>
      <c r="D227" s="87" t="s">
        <v>110</v>
      </c>
      <c r="E227" s="173">
        <v>0</v>
      </c>
      <c r="F227" s="173">
        <v>16203.811676117592</v>
      </c>
      <c r="G227" s="173">
        <v>32846.111038788222</v>
      </c>
      <c r="H227" s="173">
        <v>50116.444294064306</v>
      </c>
      <c r="J227" s="87" t="s">
        <v>109</v>
      </c>
      <c r="K227" s="87" t="s">
        <v>110</v>
      </c>
      <c r="L227" s="173">
        <v>0</v>
      </c>
      <c r="M227" s="173">
        <v>16301.389601016417</v>
      </c>
      <c r="N227" s="173">
        <v>33199.30323352851</v>
      </c>
      <c r="O227" s="173">
        <v>50691.205724807456</v>
      </c>
      <c r="Q227" s="87" t="s">
        <v>109</v>
      </c>
      <c r="R227" s="87" t="s">
        <v>110</v>
      </c>
      <c r="S227" s="173">
        <v>0</v>
      </c>
      <c r="T227" s="173">
        <v>15036.517602444626</v>
      </c>
      <c r="U227" s="173">
        <v>30756.58555897139</v>
      </c>
      <c r="V227" s="173">
        <v>47191.976895794272</v>
      </c>
    </row>
    <row r="228" spans="3:22">
      <c r="C228" s="87" t="s">
        <v>27</v>
      </c>
      <c r="D228" s="87" t="s">
        <v>28</v>
      </c>
      <c r="E228" s="173">
        <v>0</v>
      </c>
      <c r="F228" s="173">
        <v>1520640.4151178896</v>
      </c>
      <c r="G228" s="173">
        <v>3103018.3533655703</v>
      </c>
      <c r="H228" s="173">
        <v>4724183.4616579413</v>
      </c>
      <c r="J228" s="87" t="s">
        <v>27</v>
      </c>
      <c r="K228" s="87" t="s">
        <v>28</v>
      </c>
      <c r="L228" s="173">
        <v>0</v>
      </c>
      <c r="M228" s="173">
        <v>1528221.3854513764</v>
      </c>
      <c r="N228" s="173">
        <v>3120078.6654137969</v>
      </c>
      <c r="O228" s="173">
        <v>4759037.190367043</v>
      </c>
      <c r="Q228" s="87" t="s">
        <v>27</v>
      </c>
      <c r="R228" s="87" t="s">
        <v>28</v>
      </c>
      <c r="S228" s="173">
        <v>0</v>
      </c>
      <c r="T228" s="173">
        <v>1616161.3358393013</v>
      </c>
      <c r="U228" s="173">
        <v>3283856.4740174711</v>
      </c>
      <c r="V228" s="173">
        <v>4999265.4477792084</v>
      </c>
    </row>
    <row r="229" spans="3:22">
      <c r="C229" s="87" t="s">
        <v>71</v>
      </c>
      <c r="D229" s="87" t="s">
        <v>72</v>
      </c>
      <c r="E229" s="173">
        <v>0</v>
      </c>
      <c r="F229" s="173">
        <v>449852.28892741352</v>
      </c>
      <c r="G229" s="173">
        <v>917738.04626001418</v>
      </c>
      <c r="H229" s="173">
        <v>1397279.7602665946</v>
      </c>
      <c r="J229" s="87" t="s">
        <v>71</v>
      </c>
      <c r="K229" s="87" t="s">
        <v>72</v>
      </c>
      <c r="L229" s="173">
        <v>0</v>
      </c>
      <c r="M229" s="173">
        <v>451670.43372030556</v>
      </c>
      <c r="N229" s="173">
        <v>922143.18744861335</v>
      </c>
      <c r="O229" s="173">
        <v>1407582.1865257397</v>
      </c>
      <c r="Q229" s="87" t="s">
        <v>71</v>
      </c>
      <c r="R229" s="87" t="s">
        <v>72</v>
      </c>
      <c r="S229" s="173">
        <v>0</v>
      </c>
      <c r="T229" s="173">
        <v>471030.7806347236</v>
      </c>
      <c r="U229" s="173">
        <v>1028417.4782628715</v>
      </c>
      <c r="V229" s="173">
        <v>1664008.5543340817</v>
      </c>
    </row>
    <row r="230" spans="3:22">
      <c r="C230" s="87" t="s">
        <v>11</v>
      </c>
      <c r="D230" s="87" t="s">
        <v>12</v>
      </c>
      <c r="E230" s="173">
        <v>0</v>
      </c>
      <c r="F230" s="173">
        <v>27754.750389751047</v>
      </c>
      <c r="G230" s="173">
        <v>56681.621480247006</v>
      </c>
      <c r="H230" s="173">
        <v>86730.026307105087</v>
      </c>
      <c r="J230" s="87" t="s">
        <v>11</v>
      </c>
      <c r="K230" s="87" t="s">
        <v>12</v>
      </c>
      <c r="L230" s="173">
        <v>0</v>
      </c>
      <c r="M230" s="173">
        <v>28174.857474655844</v>
      </c>
      <c r="N230" s="173">
        <v>57715.311607589945</v>
      </c>
      <c r="O230" s="173">
        <v>88020.180385331623</v>
      </c>
      <c r="Q230" s="87" t="s">
        <v>11</v>
      </c>
      <c r="R230" s="87" t="s">
        <v>12</v>
      </c>
      <c r="S230" s="173">
        <v>0</v>
      </c>
      <c r="T230" s="173">
        <v>21341.26001165621</v>
      </c>
      <c r="U230" s="173">
        <v>41842.885714088567</v>
      </c>
      <c r="V230" s="173">
        <v>64541.508531942964</v>
      </c>
    </row>
    <row r="231" spans="3:22">
      <c r="C231" s="87" t="s">
        <v>477</v>
      </c>
      <c r="D231" s="87" t="s">
        <v>478</v>
      </c>
      <c r="E231" s="173">
        <v>0</v>
      </c>
      <c r="F231" s="173">
        <v>110804.94627102464</v>
      </c>
      <c r="G231" s="173">
        <v>226282.56398579851</v>
      </c>
      <c r="H231" s="173">
        <v>344304.68121188506</v>
      </c>
      <c r="J231" s="87" t="s">
        <v>477</v>
      </c>
      <c r="K231" s="87" t="s">
        <v>478</v>
      </c>
      <c r="L231" s="173">
        <v>0</v>
      </c>
      <c r="M231" s="173">
        <v>111203.62737620249</v>
      </c>
      <c r="N231" s="173">
        <v>227360.20103508234</v>
      </c>
      <c r="O231" s="173">
        <v>347031.95470588654</v>
      </c>
      <c r="Q231" s="87" t="s">
        <v>477</v>
      </c>
      <c r="R231" s="87" t="s">
        <v>478</v>
      </c>
      <c r="S231" s="173">
        <v>0</v>
      </c>
      <c r="T231" s="173">
        <v>105692.43595964462</v>
      </c>
      <c r="U231" s="173">
        <v>214934.96658114344</v>
      </c>
      <c r="V231" s="173">
        <v>321711.87128913775</v>
      </c>
    </row>
    <row r="232" spans="3:22">
      <c r="C232" s="87" t="s">
        <v>203</v>
      </c>
      <c r="D232" s="87" t="s">
        <v>204</v>
      </c>
      <c r="E232" s="173">
        <v>0</v>
      </c>
      <c r="F232" s="173">
        <v>383009.60627295077</v>
      </c>
      <c r="G232" s="173">
        <v>781299.46446335316</v>
      </c>
      <c r="H232" s="173">
        <v>1189721.882927604</v>
      </c>
      <c r="J232" s="87" t="s">
        <v>203</v>
      </c>
      <c r="K232" s="87" t="s">
        <v>204</v>
      </c>
      <c r="L232" s="173">
        <v>0</v>
      </c>
      <c r="M232" s="173">
        <v>384343.86466318369</v>
      </c>
      <c r="N232" s="173">
        <v>785800.92057803273</v>
      </c>
      <c r="O232" s="173">
        <v>1198517.2146368325</v>
      </c>
      <c r="Q232" s="87" t="s">
        <v>203</v>
      </c>
      <c r="R232" s="87" t="s">
        <v>204</v>
      </c>
      <c r="S232" s="173">
        <v>0</v>
      </c>
      <c r="T232" s="173">
        <v>406666.43863926083</v>
      </c>
      <c r="U232" s="173">
        <v>837082.01692181826</v>
      </c>
      <c r="V232" s="173">
        <v>1287696.6688765436</v>
      </c>
    </row>
    <row r="233" spans="3:22">
      <c r="C233" s="87" t="s">
        <v>519</v>
      </c>
      <c r="D233" s="87" t="s">
        <v>520</v>
      </c>
      <c r="E233" s="173">
        <v>0</v>
      </c>
      <c r="F233" s="173">
        <v>183158.49528308213</v>
      </c>
      <c r="G233" s="173">
        <v>373467.16215853393</v>
      </c>
      <c r="H233" s="173">
        <v>568663.39570486173</v>
      </c>
      <c r="J233" s="87" t="s">
        <v>519</v>
      </c>
      <c r="K233" s="87" t="s">
        <v>520</v>
      </c>
      <c r="L233" s="173">
        <v>0</v>
      </c>
      <c r="M233" s="173">
        <v>183966.83703733608</v>
      </c>
      <c r="N233" s="173">
        <v>375284.10919123515</v>
      </c>
      <c r="O233" s="173">
        <v>572838.41473141685</v>
      </c>
      <c r="Q233" s="87" t="s">
        <v>519</v>
      </c>
      <c r="R233" s="87" t="s">
        <v>520</v>
      </c>
      <c r="S233" s="173">
        <v>0</v>
      </c>
      <c r="T233" s="173">
        <v>181931.77194689959</v>
      </c>
      <c r="U233" s="173">
        <v>370245.92631043494</v>
      </c>
      <c r="V233" s="173">
        <v>561824.39398863912</v>
      </c>
    </row>
    <row r="234" spans="3:22">
      <c r="C234" s="87" t="s">
        <v>263</v>
      </c>
      <c r="D234" s="87" t="s">
        <v>264</v>
      </c>
      <c r="E234" s="173">
        <v>0</v>
      </c>
      <c r="F234" s="173">
        <v>-688.591522163013</v>
      </c>
      <c r="G234" s="173">
        <v>-1745.1684473186033</v>
      </c>
      <c r="H234" s="173">
        <v>-2404.599774251692</v>
      </c>
      <c r="J234" s="87" t="s">
        <v>263</v>
      </c>
      <c r="K234" s="87" t="s">
        <v>264</v>
      </c>
      <c r="L234" s="173">
        <v>0</v>
      </c>
      <c r="M234" s="173">
        <v>-688.591522163013</v>
      </c>
      <c r="N234" s="173">
        <v>-1745.1684473186033</v>
      </c>
      <c r="O234" s="173">
        <v>-2404.599774251692</v>
      </c>
      <c r="Q234" s="87" t="s">
        <v>263</v>
      </c>
      <c r="R234" s="87" t="s">
        <v>264</v>
      </c>
      <c r="S234" s="173">
        <v>0</v>
      </c>
      <c r="T234" s="173">
        <v>-353.66433587530628</v>
      </c>
      <c r="U234" s="173">
        <v>-1054.0564547777176</v>
      </c>
      <c r="V234" s="173">
        <v>-981.15678224468138</v>
      </c>
    </row>
    <row r="235" spans="3:22">
      <c r="C235" s="87" t="s">
        <v>575</v>
      </c>
      <c r="D235" s="87" t="s">
        <v>576</v>
      </c>
      <c r="E235" s="173">
        <v>0</v>
      </c>
      <c r="F235" s="173">
        <v>9517.8397089671344</v>
      </c>
      <c r="G235" s="173">
        <v>19085.713404522277</v>
      </c>
      <c r="H235" s="173">
        <v>29065.782295897137</v>
      </c>
      <c r="J235" s="87" t="s">
        <v>575</v>
      </c>
      <c r="K235" s="87" t="s">
        <v>576</v>
      </c>
      <c r="L235" s="173">
        <v>0</v>
      </c>
      <c r="M235" s="173">
        <v>9303.1632005167194</v>
      </c>
      <c r="N235" s="173">
        <v>18907.549576148391</v>
      </c>
      <c r="O235" s="173">
        <v>29201.609694177285</v>
      </c>
      <c r="Q235" s="87" t="s">
        <v>575</v>
      </c>
      <c r="R235" s="87" t="s">
        <v>576</v>
      </c>
      <c r="S235" s="173">
        <v>0</v>
      </c>
      <c r="T235" s="173">
        <v>9498.5686150216497</v>
      </c>
      <c r="U235" s="173">
        <v>20233.751433983911</v>
      </c>
      <c r="V235" s="173">
        <v>31626.161880143918</v>
      </c>
    </row>
    <row r="236" spans="3:22">
      <c r="C236" s="87" t="s">
        <v>131</v>
      </c>
      <c r="D236" s="87" t="s">
        <v>132</v>
      </c>
      <c r="E236" s="173">
        <v>0</v>
      </c>
      <c r="F236" s="173">
        <v>155566.51460526139</v>
      </c>
      <c r="G236" s="173">
        <v>317083.76277922839</v>
      </c>
      <c r="H236" s="173">
        <v>482966.54279121757</v>
      </c>
      <c r="J236" s="87" t="s">
        <v>131</v>
      </c>
      <c r="K236" s="87" t="s">
        <v>132</v>
      </c>
      <c r="L236" s="173">
        <v>0</v>
      </c>
      <c r="M236" s="173">
        <v>156200.97551080957</v>
      </c>
      <c r="N236" s="173">
        <v>318572.17223662138</v>
      </c>
      <c r="O236" s="173">
        <v>485982.80066427961</v>
      </c>
      <c r="Q236" s="87" t="s">
        <v>131</v>
      </c>
      <c r="R236" s="87" t="s">
        <v>132</v>
      </c>
      <c r="S236" s="173">
        <v>0</v>
      </c>
      <c r="T236" s="173">
        <v>155468.69010410085</v>
      </c>
      <c r="U236" s="173">
        <v>321278.71616671607</v>
      </c>
      <c r="V236" s="173">
        <v>492400.99095103145</v>
      </c>
    </row>
    <row r="237" spans="3:22">
      <c r="C237" s="87" t="s">
        <v>399</v>
      </c>
      <c r="D237" s="87" t="s">
        <v>400</v>
      </c>
      <c r="E237" s="173">
        <v>0</v>
      </c>
      <c r="F237" s="173">
        <v>88468.875369973481</v>
      </c>
      <c r="G237" s="173">
        <v>191836.93252659589</v>
      </c>
      <c r="H237" s="173">
        <v>298153.32929338329</v>
      </c>
      <c r="J237" s="87" t="s">
        <v>399</v>
      </c>
      <c r="K237" s="87" t="s">
        <v>400</v>
      </c>
      <c r="L237" s="173">
        <v>0</v>
      </c>
      <c r="M237" s="173">
        <v>94876.852922042832</v>
      </c>
      <c r="N237" s="173">
        <v>200037.22159400582</v>
      </c>
      <c r="O237" s="173">
        <v>309514.12277689204</v>
      </c>
      <c r="Q237" s="87" t="s">
        <v>399</v>
      </c>
      <c r="R237" s="87" t="s">
        <v>400</v>
      </c>
      <c r="S237" s="173">
        <v>0</v>
      </c>
      <c r="T237" s="173">
        <v>79982.070532331243</v>
      </c>
      <c r="U237" s="173">
        <v>132910.99260757677</v>
      </c>
      <c r="V237" s="173">
        <v>201268.46461369097</v>
      </c>
    </row>
    <row r="238" spans="3:22">
      <c r="C238" s="87" t="s">
        <v>159</v>
      </c>
      <c r="D238" s="87" t="s">
        <v>160</v>
      </c>
      <c r="E238" s="173">
        <v>0</v>
      </c>
      <c r="F238" s="173">
        <v>4710.8789908339968</v>
      </c>
      <c r="G238" s="173">
        <v>10108.129223433905</v>
      </c>
      <c r="H238" s="173">
        <v>15416.784543991205</v>
      </c>
      <c r="J238" s="87" t="s">
        <v>159</v>
      </c>
      <c r="K238" s="87" t="s">
        <v>160</v>
      </c>
      <c r="L238" s="173">
        <v>0</v>
      </c>
      <c r="M238" s="173">
        <v>4710.8789908339968</v>
      </c>
      <c r="N238" s="173">
        <v>10108.129223433905</v>
      </c>
      <c r="O238" s="173">
        <v>15416.784543991205</v>
      </c>
      <c r="Q238" s="87" t="s">
        <v>159</v>
      </c>
      <c r="R238" s="87" t="s">
        <v>160</v>
      </c>
      <c r="S238" s="173">
        <v>0</v>
      </c>
      <c r="T238" s="173">
        <v>4752.7025410833303</v>
      </c>
      <c r="U238" s="173">
        <v>9580.245085904724</v>
      </c>
      <c r="V238" s="173">
        <v>15030.273942253203</v>
      </c>
    </row>
    <row r="239" spans="3:22">
      <c r="C239" s="87" t="s">
        <v>183</v>
      </c>
      <c r="D239" s="87" t="s">
        <v>184</v>
      </c>
      <c r="E239" s="173">
        <v>0</v>
      </c>
      <c r="F239" s="173">
        <v>7148602.7822085619</v>
      </c>
      <c r="G239" s="173">
        <v>14585243.654346704</v>
      </c>
      <c r="H239" s="173">
        <v>22218268.840037704</v>
      </c>
      <c r="J239" s="87" t="s">
        <v>183</v>
      </c>
      <c r="K239" s="87" t="s">
        <v>184</v>
      </c>
      <c r="L239" s="173">
        <v>0</v>
      </c>
      <c r="M239" s="173">
        <v>7183756.6005318165</v>
      </c>
      <c r="N239" s="173">
        <v>14667682.857846498</v>
      </c>
      <c r="O239" s="173">
        <v>22382308.251084447</v>
      </c>
      <c r="Q239" s="87" t="s">
        <v>183</v>
      </c>
      <c r="R239" s="87" t="s">
        <v>184</v>
      </c>
      <c r="S239" s="173">
        <v>0</v>
      </c>
      <c r="T239" s="173">
        <v>7466690.8083466291</v>
      </c>
      <c r="U239" s="173">
        <v>15219534.287826657</v>
      </c>
      <c r="V239" s="173">
        <v>23176168.618485451</v>
      </c>
    </row>
    <row r="240" spans="3:22">
      <c r="C240" s="87" t="s">
        <v>405</v>
      </c>
      <c r="D240" s="87" t="s">
        <v>406</v>
      </c>
      <c r="E240" s="173">
        <v>0</v>
      </c>
      <c r="F240" s="173">
        <v>407157.00315117836</v>
      </c>
      <c r="G240" s="173">
        <v>830360.42329794168</v>
      </c>
      <c r="H240" s="173">
        <v>1264087.7264579311</v>
      </c>
      <c r="J240" s="87" t="s">
        <v>405</v>
      </c>
      <c r="K240" s="87" t="s">
        <v>406</v>
      </c>
      <c r="L240" s="173">
        <v>0</v>
      </c>
      <c r="M240" s="173">
        <v>409099.63627544791</v>
      </c>
      <c r="N240" s="173">
        <v>834869.70670560747</v>
      </c>
      <c r="O240" s="173">
        <v>1273181.6644449234</v>
      </c>
      <c r="Q240" s="87" t="s">
        <v>405</v>
      </c>
      <c r="R240" s="87" t="s">
        <v>406</v>
      </c>
      <c r="S240" s="173">
        <v>0</v>
      </c>
      <c r="T240" s="173">
        <v>410527.06077110022</v>
      </c>
      <c r="U240" s="173">
        <v>897208.79032380879</v>
      </c>
      <c r="V240" s="173">
        <v>1367510.1295248419</v>
      </c>
    </row>
    <row r="241" spans="3:22">
      <c r="C241" s="87" t="s">
        <v>589</v>
      </c>
      <c r="D241" s="87" t="s">
        <v>590</v>
      </c>
      <c r="E241" s="173">
        <v>0</v>
      </c>
      <c r="F241" s="173">
        <v>299890.41217954457</v>
      </c>
      <c r="G241" s="173">
        <v>611424.92247879505</v>
      </c>
      <c r="H241" s="173">
        <v>930527.99867887795</v>
      </c>
      <c r="J241" s="87" t="s">
        <v>589</v>
      </c>
      <c r="K241" s="87" t="s">
        <v>590</v>
      </c>
      <c r="L241" s="173">
        <v>0</v>
      </c>
      <c r="M241" s="173">
        <v>301374.28908152133</v>
      </c>
      <c r="N241" s="173">
        <v>614421.60654735565</v>
      </c>
      <c r="O241" s="173">
        <v>937422.5176988095</v>
      </c>
      <c r="Q241" s="87" t="s">
        <v>589</v>
      </c>
      <c r="R241" s="87" t="s">
        <v>590</v>
      </c>
      <c r="S241" s="173">
        <v>0</v>
      </c>
      <c r="T241" s="173">
        <v>302310.6918322444</v>
      </c>
      <c r="U241" s="173">
        <v>620769.88795112073</v>
      </c>
      <c r="V241" s="173">
        <v>948129.29749511182</v>
      </c>
    </row>
    <row r="242" spans="3:22">
      <c r="C242" s="87" t="s">
        <v>359</v>
      </c>
      <c r="D242" s="87" t="s">
        <v>360</v>
      </c>
      <c r="E242" s="173">
        <v>0</v>
      </c>
      <c r="F242" s="173">
        <v>14906.341344167478</v>
      </c>
      <c r="G242" s="173">
        <v>30363.144117599353</v>
      </c>
      <c r="H242" s="173">
        <v>46609.175967941526</v>
      </c>
      <c r="J242" s="87" t="s">
        <v>359</v>
      </c>
      <c r="K242" s="87" t="s">
        <v>360</v>
      </c>
      <c r="L242" s="173">
        <v>0</v>
      </c>
      <c r="M242" s="173">
        <v>14910.297263887711</v>
      </c>
      <c r="N242" s="173">
        <v>30755.020033101551</v>
      </c>
      <c r="O242" s="173">
        <v>47023.173337822314</v>
      </c>
      <c r="Q242" s="87" t="s">
        <v>359</v>
      </c>
      <c r="R242" s="87" t="s">
        <v>360</v>
      </c>
      <c r="S242" s="173">
        <v>0</v>
      </c>
      <c r="T242" s="173">
        <v>12934.332026259974</v>
      </c>
      <c r="U242" s="173">
        <v>26496.512220073491</v>
      </c>
      <c r="V242" s="173">
        <v>40132.633567354176</v>
      </c>
    </row>
    <row r="243" spans="3:22">
      <c r="C243" s="87" t="s">
        <v>47</v>
      </c>
      <c r="D243" s="87" t="s">
        <v>48</v>
      </c>
      <c r="E243" s="173">
        <v>0</v>
      </c>
      <c r="F243" s="173">
        <v>295959.08775431663</v>
      </c>
      <c r="G243" s="173">
        <v>604238.08908070624</v>
      </c>
      <c r="H243" s="173">
        <v>920141.04712298885</v>
      </c>
      <c r="J243" s="87" t="s">
        <v>47</v>
      </c>
      <c r="K243" s="87" t="s">
        <v>48</v>
      </c>
      <c r="L243" s="173">
        <v>0</v>
      </c>
      <c r="M243" s="173">
        <v>297615.31913055107</v>
      </c>
      <c r="N243" s="173">
        <v>607829.04898476973</v>
      </c>
      <c r="O243" s="173">
        <v>926969.81815273687</v>
      </c>
      <c r="Q243" s="87" t="s">
        <v>47</v>
      </c>
      <c r="R243" s="87" t="s">
        <v>48</v>
      </c>
      <c r="S243" s="173">
        <v>0</v>
      </c>
      <c r="T243" s="173">
        <v>305157.37521865964</v>
      </c>
      <c r="U243" s="173">
        <v>629042.96313687041</v>
      </c>
      <c r="V243" s="173">
        <v>959502.35647721216</v>
      </c>
    </row>
    <row r="244" spans="3:22">
      <c r="C244" s="87" t="s">
        <v>393</v>
      </c>
      <c r="D244" s="87" t="s">
        <v>394</v>
      </c>
      <c r="E244" s="173">
        <v>0</v>
      </c>
      <c r="F244" s="173">
        <v>-250.18187517917249</v>
      </c>
      <c r="G244" s="173">
        <v>-645.32306790282018</v>
      </c>
      <c r="H244" s="173">
        <v>-1382.0557084920001</v>
      </c>
      <c r="J244" s="87" t="s">
        <v>393</v>
      </c>
      <c r="K244" s="87" t="s">
        <v>394</v>
      </c>
      <c r="L244" s="173">
        <v>0</v>
      </c>
      <c r="M244" s="173">
        <v>-250.18187517917249</v>
      </c>
      <c r="N244" s="173">
        <v>-645.32306790282018</v>
      </c>
      <c r="O244" s="173">
        <v>-1382.0557084920001</v>
      </c>
      <c r="Q244" s="87" t="s">
        <v>393</v>
      </c>
      <c r="R244" s="87" t="s">
        <v>394</v>
      </c>
      <c r="S244" s="173">
        <v>0</v>
      </c>
      <c r="T244" s="173">
        <v>-654.48646552406717</v>
      </c>
      <c r="U244" s="173">
        <v>-940.20078368799295</v>
      </c>
      <c r="V244" s="173">
        <v>-1292.0029873755993</v>
      </c>
    </row>
    <row r="245" spans="3:22">
      <c r="C245" s="87" t="s">
        <v>317</v>
      </c>
      <c r="D245" s="87" t="s">
        <v>318</v>
      </c>
      <c r="E245" s="173">
        <v>0</v>
      </c>
      <c r="F245" s="173">
        <v>329561.69704572111</v>
      </c>
      <c r="G245" s="173">
        <v>672387.0824906081</v>
      </c>
      <c r="H245" s="173">
        <v>1022841.4478974938</v>
      </c>
      <c r="J245" s="87" t="s">
        <v>317</v>
      </c>
      <c r="K245" s="87" t="s">
        <v>318</v>
      </c>
      <c r="L245" s="173">
        <v>0</v>
      </c>
      <c r="M245" s="173">
        <v>331141.94533833861</v>
      </c>
      <c r="N245" s="173">
        <v>675857.72371995449</v>
      </c>
      <c r="O245" s="173">
        <v>1030507.2248534039</v>
      </c>
      <c r="Q245" s="87" t="s">
        <v>317</v>
      </c>
      <c r="R245" s="87" t="s">
        <v>318</v>
      </c>
      <c r="S245" s="173">
        <v>0</v>
      </c>
      <c r="T245" s="173">
        <v>329775.12791166455</v>
      </c>
      <c r="U245" s="173">
        <v>673469.13062153012</v>
      </c>
      <c r="V245" s="173">
        <v>1024662.0538288429</v>
      </c>
    </row>
    <row r="246" spans="3:22">
      <c r="C246" s="87" t="s">
        <v>213</v>
      </c>
      <c r="D246" s="87" t="s">
        <v>214</v>
      </c>
      <c r="E246" s="173">
        <v>0</v>
      </c>
      <c r="F246" s="173">
        <v>1239706.5033646375</v>
      </c>
      <c r="G246" s="173">
        <v>2530333.8884528279</v>
      </c>
      <c r="H246" s="173">
        <v>3853971.7369797081</v>
      </c>
      <c r="J246" s="87" t="s">
        <v>213</v>
      </c>
      <c r="K246" s="87" t="s">
        <v>214</v>
      </c>
      <c r="L246" s="173">
        <v>0</v>
      </c>
      <c r="M246" s="173">
        <v>1246027.3906739205</v>
      </c>
      <c r="N246" s="173">
        <v>2544655.2962678671</v>
      </c>
      <c r="O246" s="173">
        <v>3882249.6888287365</v>
      </c>
      <c r="Q246" s="87" t="s">
        <v>213</v>
      </c>
      <c r="R246" s="87" t="s">
        <v>214</v>
      </c>
      <c r="S246" s="173">
        <v>0</v>
      </c>
      <c r="T246" s="173">
        <v>1264377.9586985856</v>
      </c>
      <c r="U246" s="173">
        <v>2621268.9679005742</v>
      </c>
      <c r="V246" s="173">
        <v>4066405.8463432789</v>
      </c>
    </row>
    <row r="247" spans="3:22">
      <c r="C247" s="87" t="s">
        <v>415</v>
      </c>
      <c r="D247" s="87" t="s">
        <v>416</v>
      </c>
      <c r="E247" s="173">
        <v>0</v>
      </c>
      <c r="F247" s="173">
        <v>5086.1690172572853</v>
      </c>
      <c r="G247" s="173">
        <v>10460.012412486714</v>
      </c>
      <c r="H247" s="173">
        <v>15946.657971964101</v>
      </c>
      <c r="J247" s="87" t="s">
        <v>415</v>
      </c>
      <c r="K247" s="87" t="s">
        <v>416</v>
      </c>
      <c r="L247" s="173">
        <v>0</v>
      </c>
      <c r="M247" s="173">
        <v>5086.1690172572853</v>
      </c>
      <c r="N247" s="173">
        <v>10460.012412486714</v>
      </c>
      <c r="O247" s="173">
        <v>15946.657971964101</v>
      </c>
      <c r="Q247" s="87" t="s">
        <v>415</v>
      </c>
      <c r="R247" s="87" t="s">
        <v>416</v>
      </c>
      <c r="S247" s="173">
        <v>0</v>
      </c>
      <c r="T247" s="173">
        <v>5848.4442807178712</v>
      </c>
      <c r="U247" s="173">
        <v>10736.822145993472</v>
      </c>
      <c r="V247" s="173">
        <v>12633.624813891482</v>
      </c>
    </row>
    <row r="248" spans="3:22">
      <c r="C248" s="87" t="s">
        <v>197</v>
      </c>
      <c r="D248" s="87" t="s">
        <v>198</v>
      </c>
      <c r="E248" s="173">
        <v>0</v>
      </c>
      <c r="F248" s="173">
        <v>-1782.0944921514019</v>
      </c>
      <c r="G248" s="173">
        <v>-3534.4300143043511</v>
      </c>
      <c r="H248" s="173">
        <v>-5812.0610137474723</v>
      </c>
      <c r="J248" s="87" t="s">
        <v>197</v>
      </c>
      <c r="K248" s="87" t="s">
        <v>198</v>
      </c>
      <c r="L248" s="173">
        <v>0</v>
      </c>
      <c r="M248" s="173">
        <v>-1782.0944921514019</v>
      </c>
      <c r="N248" s="173">
        <v>-3534.4300143043511</v>
      </c>
      <c r="O248" s="173">
        <v>-5812.0610137474723</v>
      </c>
      <c r="Q248" s="87" t="s">
        <v>197</v>
      </c>
      <c r="R248" s="87" t="s">
        <v>198</v>
      </c>
      <c r="S248" s="173">
        <v>0</v>
      </c>
      <c r="T248" s="173">
        <v>-2524.4135158220306</v>
      </c>
      <c r="U248" s="173">
        <v>-4903.5653114584275</v>
      </c>
      <c r="V248" s="173">
        <v>-7656.3597602243535</v>
      </c>
    </row>
    <row r="249" spans="3:22">
      <c r="C249" s="87" t="s">
        <v>439</v>
      </c>
      <c r="D249" s="87" t="s">
        <v>440</v>
      </c>
      <c r="E249" s="173">
        <v>0</v>
      </c>
      <c r="F249" s="173">
        <v>1239118.9203609973</v>
      </c>
      <c r="G249" s="173">
        <v>2530209.9054949135</v>
      </c>
      <c r="H249" s="173">
        <v>3852078.6147672534</v>
      </c>
      <c r="J249" s="87" t="s">
        <v>439</v>
      </c>
      <c r="K249" s="87" t="s">
        <v>440</v>
      </c>
      <c r="L249" s="173">
        <v>0</v>
      </c>
      <c r="M249" s="173">
        <v>1245573.9975955933</v>
      </c>
      <c r="N249" s="173">
        <v>2544575.5876584947</v>
      </c>
      <c r="O249" s="173">
        <v>3880990.3704843372</v>
      </c>
      <c r="Q249" s="87" t="s">
        <v>439</v>
      </c>
      <c r="R249" s="87" t="s">
        <v>440</v>
      </c>
      <c r="S249" s="173">
        <v>0</v>
      </c>
      <c r="T249" s="173">
        <v>1217351.1712561548</v>
      </c>
      <c r="U249" s="173">
        <v>2485838.7986986041</v>
      </c>
      <c r="V249" s="173">
        <v>3784703.2793651819</v>
      </c>
    </row>
    <row r="250" spans="3:22">
      <c r="C250" s="87" t="s">
        <v>209</v>
      </c>
      <c r="D250" s="87" t="s">
        <v>210</v>
      </c>
      <c r="E250" s="173">
        <v>0</v>
      </c>
      <c r="F250" s="173">
        <v>920257.03546977043</v>
      </c>
      <c r="G250" s="173">
        <v>1877630.7969665676</v>
      </c>
      <c r="H250" s="173">
        <v>2859797.3342275769</v>
      </c>
      <c r="J250" s="87" t="s">
        <v>209</v>
      </c>
      <c r="K250" s="87" t="s">
        <v>210</v>
      </c>
      <c r="L250" s="173">
        <v>0</v>
      </c>
      <c r="M250" s="173">
        <v>924945.94797094166</v>
      </c>
      <c r="N250" s="173">
        <v>1887854.0870911777</v>
      </c>
      <c r="O250" s="173">
        <v>2881218.6118693352</v>
      </c>
      <c r="Q250" s="87" t="s">
        <v>209</v>
      </c>
      <c r="R250" s="87" t="s">
        <v>210</v>
      </c>
      <c r="S250" s="173">
        <v>0</v>
      </c>
      <c r="T250" s="173">
        <v>933781.28376688063</v>
      </c>
      <c r="U250" s="173">
        <v>1912151.9331592917</v>
      </c>
      <c r="V250" s="173">
        <v>2926304.9691907167</v>
      </c>
    </row>
    <row r="251" spans="3:22">
      <c r="C251" s="87" t="s">
        <v>129</v>
      </c>
      <c r="D251" s="87" t="s">
        <v>130</v>
      </c>
      <c r="E251" s="173">
        <v>0</v>
      </c>
      <c r="F251" s="173">
        <v>26808.525605922565</v>
      </c>
      <c r="G251" s="173">
        <v>54382.560371616855</v>
      </c>
      <c r="H251" s="173">
        <v>83188.265379856341</v>
      </c>
      <c r="J251" s="87" t="s">
        <v>129</v>
      </c>
      <c r="K251" s="87" t="s">
        <v>130</v>
      </c>
      <c r="L251" s="173">
        <v>0</v>
      </c>
      <c r="M251" s="173">
        <v>27333.468988171779</v>
      </c>
      <c r="N251" s="173">
        <v>55121.60432605911</v>
      </c>
      <c r="O251" s="173">
        <v>84276.784666857682</v>
      </c>
      <c r="Q251" s="87" t="s">
        <v>129</v>
      </c>
      <c r="R251" s="87" t="s">
        <v>130</v>
      </c>
      <c r="S251" s="173">
        <v>0</v>
      </c>
      <c r="T251" s="173">
        <v>25244.639941653237</v>
      </c>
      <c r="U251" s="173">
        <v>51268.708005769178</v>
      </c>
      <c r="V251" s="173">
        <v>79076.043172867969</v>
      </c>
    </row>
    <row r="252" spans="3:22">
      <c r="C252" s="87" t="s">
        <v>347</v>
      </c>
      <c r="D252" s="87" t="s">
        <v>348</v>
      </c>
      <c r="E252" s="173">
        <v>0</v>
      </c>
      <c r="F252" s="173">
        <v>28971.166739132255</v>
      </c>
      <c r="G252" s="173">
        <v>58978.591668155044</v>
      </c>
      <c r="H252" s="173">
        <v>90189.408075744286</v>
      </c>
      <c r="J252" s="87" t="s">
        <v>347</v>
      </c>
      <c r="K252" s="87" t="s">
        <v>348</v>
      </c>
      <c r="L252" s="173">
        <v>0</v>
      </c>
      <c r="M252" s="173">
        <v>29063.517105273902</v>
      </c>
      <c r="N252" s="173">
        <v>59402.075419295579</v>
      </c>
      <c r="O252" s="173">
        <v>90691.578108072281</v>
      </c>
      <c r="Q252" s="87" t="s">
        <v>347</v>
      </c>
      <c r="R252" s="87" t="s">
        <v>348</v>
      </c>
      <c r="S252" s="173">
        <v>0</v>
      </c>
      <c r="T252" s="173">
        <v>25791.687091956846</v>
      </c>
      <c r="U252" s="173">
        <v>53628.349541972391</v>
      </c>
      <c r="V252" s="173">
        <v>82117.48737979494</v>
      </c>
    </row>
    <row r="253" spans="3:22">
      <c r="C253" s="87" t="s">
        <v>235</v>
      </c>
      <c r="D253" s="87" t="s">
        <v>236</v>
      </c>
      <c r="E253" s="173">
        <v>0</v>
      </c>
      <c r="F253" s="173">
        <v>1178616.9696898758</v>
      </c>
      <c r="G253" s="173">
        <v>2404954.1611926854</v>
      </c>
      <c r="H253" s="173">
        <v>3662392.3601907194</v>
      </c>
      <c r="J253" s="87" t="s">
        <v>235</v>
      </c>
      <c r="K253" s="87" t="s">
        <v>236</v>
      </c>
      <c r="L253" s="173">
        <v>0</v>
      </c>
      <c r="M253" s="173">
        <v>1184312.6758856624</v>
      </c>
      <c r="N253" s="173">
        <v>2418544.8463338166</v>
      </c>
      <c r="O253" s="173">
        <v>3689005.3703964949</v>
      </c>
      <c r="Q253" s="87" t="s">
        <v>235</v>
      </c>
      <c r="R253" s="87" t="s">
        <v>236</v>
      </c>
      <c r="S253" s="173">
        <v>0</v>
      </c>
      <c r="T253" s="173">
        <v>1182642.8967244923</v>
      </c>
      <c r="U253" s="173">
        <v>2597818.883885473</v>
      </c>
      <c r="V253" s="173">
        <v>4029710.7631927729</v>
      </c>
    </row>
    <row r="254" spans="3:22">
      <c r="C254" s="87" t="s">
        <v>171</v>
      </c>
      <c r="D254" s="87" t="s">
        <v>172</v>
      </c>
      <c r="E254" s="173">
        <v>0</v>
      </c>
      <c r="F254" s="173">
        <v>157904.44497610629</v>
      </c>
      <c r="G254" s="173">
        <v>322919.76664247923</v>
      </c>
      <c r="H254" s="173">
        <v>491773.77767256647</v>
      </c>
      <c r="J254" s="87" t="s">
        <v>171</v>
      </c>
      <c r="K254" s="87" t="s">
        <v>172</v>
      </c>
      <c r="L254" s="173">
        <v>0</v>
      </c>
      <c r="M254" s="173">
        <v>158707.61756035127</v>
      </c>
      <c r="N254" s="173">
        <v>324556.62236787565</v>
      </c>
      <c r="O254" s="173">
        <v>495225.07239055447</v>
      </c>
      <c r="Q254" s="87" t="s">
        <v>171</v>
      </c>
      <c r="R254" s="87" t="s">
        <v>172</v>
      </c>
      <c r="S254" s="173">
        <v>0</v>
      </c>
      <c r="T254" s="173">
        <v>152762.33461714722</v>
      </c>
      <c r="U254" s="173">
        <v>299866.94833666272</v>
      </c>
      <c r="V254" s="173">
        <v>440664.30640852638</v>
      </c>
    </row>
    <row r="255" spans="3:22">
      <c r="C255" s="87" t="s">
        <v>313</v>
      </c>
      <c r="D255" s="87" t="s">
        <v>314</v>
      </c>
      <c r="E255" s="173">
        <v>0</v>
      </c>
      <c r="F255" s="173">
        <v>28013.59393571876</v>
      </c>
      <c r="G255" s="173">
        <v>57107.061974104028</v>
      </c>
      <c r="H255" s="173">
        <v>87163.337660241406</v>
      </c>
      <c r="J255" s="87" t="s">
        <v>313</v>
      </c>
      <c r="K255" s="87" t="s">
        <v>314</v>
      </c>
      <c r="L255" s="173">
        <v>0</v>
      </c>
      <c r="M255" s="173">
        <v>28237.812574183568</v>
      </c>
      <c r="N255" s="173">
        <v>57462.925637716893</v>
      </c>
      <c r="O255" s="173">
        <v>87930.00043878844</v>
      </c>
      <c r="Q255" s="87" t="s">
        <v>313</v>
      </c>
      <c r="R255" s="87" t="s">
        <v>314</v>
      </c>
      <c r="S255" s="173">
        <v>0</v>
      </c>
      <c r="T255" s="173">
        <v>27519.716205087025</v>
      </c>
      <c r="U255" s="173">
        <v>56078.348949586973</v>
      </c>
      <c r="V255" s="173">
        <v>85686.969793462195</v>
      </c>
    </row>
    <row r="256" spans="3:22">
      <c r="C256" s="87" t="s">
        <v>479</v>
      </c>
      <c r="D256" s="87" t="s">
        <v>480</v>
      </c>
      <c r="E256" s="173">
        <v>0</v>
      </c>
      <c r="F256" s="173">
        <v>63188.028362058103</v>
      </c>
      <c r="G256" s="173">
        <v>128654.52132061496</v>
      </c>
      <c r="H256" s="173">
        <v>196306.39695203863</v>
      </c>
      <c r="J256" s="87" t="s">
        <v>479</v>
      </c>
      <c r="K256" s="87" t="s">
        <v>480</v>
      </c>
      <c r="L256" s="173">
        <v>0</v>
      </c>
      <c r="M256" s="173">
        <v>63625.04760617204</v>
      </c>
      <c r="N256" s="173">
        <v>129148.59304897487</v>
      </c>
      <c r="O256" s="173">
        <v>197736.17603896372</v>
      </c>
      <c r="Q256" s="87" t="s">
        <v>479</v>
      </c>
      <c r="R256" s="87" t="s">
        <v>480</v>
      </c>
      <c r="S256" s="173">
        <v>0</v>
      </c>
      <c r="T256" s="173">
        <v>64520.498149832711</v>
      </c>
      <c r="U256" s="173">
        <v>134433.72855424508</v>
      </c>
      <c r="V256" s="173">
        <v>212598.7047824543</v>
      </c>
    </row>
    <row r="257" spans="3:22">
      <c r="C257" s="87" t="s">
        <v>451</v>
      </c>
      <c r="D257" s="87" t="s">
        <v>452</v>
      </c>
      <c r="E257" s="173">
        <v>0</v>
      </c>
      <c r="F257" s="173">
        <v>2494908.3988246918</v>
      </c>
      <c r="G257" s="173">
        <v>5090535.5840748549</v>
      </c>
      <c r="H257" s="173">
        <v>7747791.1238407493</v>
      </c>
      <c r="J257" s="87" t="s">
        <v>451</v>
      </c>
      <c r="K257" s="87" t="s">
        <v>452</v>
      </c>
      <c r="L257" s="173">
        <v>0</v>
      </c>
      <c r="M257" s="173">
        <v>2507221.2789560556</v>
      </c>
      <c r="N257" s="173">
        <v>5118805.6507908106</v>
      </c>
      <c r="O257" s="173">
        <v>7804807.6373326182</v>
      </c>
      <c r="Q257" s="87" t="s">
        <v>451</v>
      </c>
      <c r="R257" s="87" t="s">
        <v>452</v>
      </c>
      <c r="S257" s="173">
        <v>0</v>
      </c>
      <c r="T257" s="173">
        <v>2645210.7057592869</v>
      </c>
      <c r="U257" s="173">
        <v>5394325.3597831726</v>
      </c>
      <c r="V257" s="173">
        <v>8219042.1015437245</v>
      </c>
    </row>
    <row r="258" spans="3:22">
      <c r="C258" s="87" t="s">
        <v>297</v>
      </c>
      <c r="D258" s="87" t="s">
        <v>298</v>
      </c>
      <c r="E258" s="173">
        <v>0</v>
      </c>
      <c r="F258" s="173">
        <v>-3558.8364530885592</v>
      </c>
      <c r="G258" s="173">
        <v>-8012.4698213064112</v>
      </c>
      <c r="H258" s="173">
        <v>-12240.363754044753</v>
      </c>
      <c r="J258" s="87" t="s">
        <v>297</v>
      </c>
      <c r="K258" s="87" t="s">
        <v>298</v>
      </c>
      <c r="L258" s="173">
        <v>0</v>
      </c>
      <c r="M258" s="173">
        <v>-3558.8364530885592</v>
      </c>
      <c r="N258" s="173">
        <v>-8012.4698213064112</v>
      </c>
      <c r="O258" s="173">
        <v>-12240.363754044753</v>
      </c>
      <c r="Q258" s="87" t="s">
        <v>297</v>
      </c>
      <c r="R258" s="87" t="s">
        <v>298</v>
      </c>
      <c r="S258" s="173">
        <v>0</v>
      </c>
      <c r="T258" s="173">
        <v>-3172.2694377121516</v>
      </c>
      <c r="U258" s="173">
        <v>-6679.772961832583</v>
      </c>
      <c r="V258" s="173">
        <v>-10325.582078481559</v>
      </c>
    </row>
    <row r="259" spans="3:22">
      <c r="C259" s="87" t="s">
        <v>577</v>
      </c>
      <c r="D259" s="87" t="s">
        <v>578</v>
      </c>
      <c r="E259" s="173">
        <v>0</v>
      </c>
      <c r="F259" s="173">
        <v>7846.6638041804545</v>
      </c>
      <c r="G259" s="173">
        <v>15568.677222112194</v>
      </c>
      <c r="H259" s="173">
        <v>23665.863187555224</v>
      </c>
      <c r="J259" s="87" t="s">
        <v>577</v>
      </c>
      <c r="K259" s="87" t="s">
        <v>578</v>
      </c>
      <c r="L259" s="173">
        <v>0</v>
      </c>
      <c r="M259" s="173">
        <v>7830.224604407791</v>
      </c>
      <c r="N259" s="173">
        <v>15484.049321388826</v>
      </c>
      <c r="O259" s="173">
        <v>23885.072189963423</v>
      </c>
      <c r="Q259" s="87" t="s">
        <v>577</v>
      </c>
      <c r="R259" s="87" t="s">
        <v>578</v>
      </c>
      <c r="S259" s="173">
        <v>0</v>
      </c>
      <c r="T259" s="173">
        <v>8549.013016613666</v>
      </c>
      <c r="U259" s="173">
        <v>24615.61964986613</v>
      </c>
      <c r="V259" s="173">
        <v>38162.747446220834</v>
      </c>
    </row>
    <row r="260" spans="3:22">
      <c r="C260" s="87" t="s">
        <v>449</v>
      </c>
      <c r="D260" s="87" t="s">
        <v>450</v>
      </c>
      <c r="E260" s="173">
        <v>0</v>
      </c>
      <c r="F260" s="173">
        <v>606140.42285849154</v>
      </c>
      <c r="G260" s="173">
        <v>1237200.1515832096</v>
      </c>
      <c r="H260" s="173">
        <v>1883886.0742607564</v>
      </c>
      <c r="J260" s="87" t="s">
        <v>449</v>
      </c>
      <c r="K260" s="87" t="s">
        <v>450</v>
      </c>
      <c r="L260" s="173">
        <v>0</v>
      </c>
      <c r="M260" s="173">
        <v>608739.35452381521</v>
      </c>
      <c r="N260" s="173">
        <v>1244023.7975474</v>
      </c>
      <c r="O260" s="173">
        <v>1898037.7524573654</v>
      </c>
      <c r="Q260" s="87" t="s">
        <v>449</v>
      </c>
      <c r="R260" s="87" t="s">
        <v>450</v>
      </c>
      <c r="S260" s="173">
        <v>0</v>
      </c>
      <c r="T260" s="173">
        <v>621305.8973602429</v>
      </c>
      <c r="U260" s="173">
        <v>1278268.3993155137</v>
      </c>
      <c r="V260" s="173">
        <v>1969299.5708807185</v>
      </c>
    </row>
    <row r="261" spans="3:22">
      <c r="C261" s="87" t="s">
        <v>115</v>
      </c>
      <c r="D261" s="87" t="s">
        <v>116</v>
      </c>
      <c r="E261" s="173">
        <v>0</v>
      </c>
      <c r="F261" s="173">
        <v>-485.80065062147332</v>
      </c>
      <c r="G261" s="173">
        <v>-876.77931907656603</v>
      </c>
      <c r="H261" s="173">
        <v>-1679.5794605494593</v>
      </c>
      <c r="J261" s="87" t="s">
        <v>115</v>
      </c>
      <c r="K261" s="87" t="s">
        <v>116</v>
      </c>
      <c r="L261" s="173">
        <v>0</v>
      </c>
      <c r="M261" s="173">
        <v>-485.80065062147332</v>
      </c>
      <c r="N261" s="173">
        <v>-876.77931907656603</v>
      </c>
      <c r="O261" s="173">
        <v>-1679.5794605494593</v>
      </c>
      <c r="Q261" s="87" t="s">
        <v>115</v>
      </c>
      <c r="R261" s="87" t="s">
        <v>116</v>
      </c>
      <c r="S261" s="173">
        <v>0</v>
      </c>
      <c r="T261" s="173">
        <v>-606.40199701179517</v>
      </c>
      <c r="U261" s="173">
        <v>-1296.9817712373915</v>
      </c>
      <c r="V261" s="173">
        <v>-2149.3389265227597</v>
      </c>
    </row>
    <row r="262" spans="3:22">
      <c r="C262" s="87" t="s">
        <v>75</v>
      </c>
      <c r="D262" s="87" t="s">
        <v>76</v>
      </c>
      <c r="E262" s="173">
        <v>0</v>
      </c>
      <c r="F262" s="173">
        <v>1590.6120898174122</v>
      </c>
      <c r="G262" s="173">
        <v>3157.6021214025095</v>
      </c>
      <c r="H262" s="173">
        <v>4734.4791378108785</v>
      </c>
      <c r="J262" s="87" t="s">
        <v>75</v>
      </c>
      <c r="K262" s="87" t="s">
        <v>76</v>
      </c>
      <c r="L262" s="173">
        <v>0</v>
      </c>
      <c r="M262" s="173">
        <v>1590.6120898174122</v>
      </c>
      <c r="N262" s="173">
        <v>3157.6021214025095</v>
      </c>
      <c r="O262" s="173">
        <v>4734.4791378108785</v>
      </c>
      <c r="Q262" s="87" t="s">
        <v>75</v>
      </c>
      <c r="R262" s="87" t="s">
        <v>76</v>
      </c>
      <c r="S262" s="173">
        <v>0</v>
      </c>
      <c r="T262" s="173">
        <v>2238.7928508343175</v>
      </c>
      <c r="U262" s="173">
        <v>4375.4475704776123</v>
      </c>
      <c r="V262" s="173">
        <v>7219.1613550176844</v>
      </c>
    </row>
    <row r="263" spans="3:22">
      <c r="C263" s="87" t="s">
        <v>31</v>
      </c>
      <c r="D263" s="87" t="s">
        <v>32</v>
      </c>
      <c r="E263" s="173">
        <v>0</v>
      </c>
      <c r="F263" s="173">
        <v>-585.72069376823492</v>
      </c>
      <c r="G263" s="173">
        <v>-1226.6851354181417</v>
      </c>
      <c r="H263" s="173">
        <v>-1379.0965227357228</v>
      </c>
      <c r="J263" s="87" t="s">
        <v>31</v>
      </c>
      <c r="K263" s="87" t="s">
        <v>32</v>
      </c>
      <c r="L263" s="173">
        <v>0</v>
      </c>
      <c r="M263" s="173">
        <v>-585.72069376823492</v>
      </c>
      <c r="N263" s="173">
        <v>-1226.6851354181417</v>
      </c>
      <c r="O263" s="173">
        <v>-1379.0965227357228</v>
      </c>
      <c r="Q263" s="87" t="s">
        <v>31</v>
      </c>
      <c r="R263" s="87" t="s">
        <v>32</v>
      </c>
      <c r="S263" s="173">
        <v>0</v>
      </c>
      <c r="T263" s="173">
        <v>-367.55852799065178</v>
      </c>
      <c r="U263" s="173">
        <v>-555.37049958994612</v>
      </c>
      <c r="V263" s="173">
        <v>-945.0553599424893</v>
      </c>
    </row>
    <row r="264" spans="3:22">
      <c r="C264" s="87" t="s">
        <v>361</v>
      </c>
      <c r="D264" s="87" t="s">
        <v>362</v>
      </c>
      <c r="E264" s="173">
        <v>0</v>
      </c>
      <c r="F264" s="173">
        <v>362218.40767364949</v>
      </c>
      <c r="G264" s="173">
        <v>738526.33892101049</v>
      </c>
      <c r="H264" s="173">
        <v>1125275.4429616556</v>
      </c>
      <c r="J264" s="87" t="s">
        <v>361</v>
      </c>
      <c r="K264" s="87" t="s">
        <v>362</v>
      </c>
      <c r="L264" s="173">
        <v>0</v>
      </c>
      <c r="M264" s="173">
        <v>363967.80150167644</v>
      </c>
      <c r="N264" s="173">
        <v>743285.33656842262</v>
      </c>
      <c r="O264" s="173">
        <v>1133468.157452397</v>
      </c>
      <c r="Q264" s="87" t="s">
        <v>361</v>
      </c>
      <c r="R264" s="87" t="s">
        <v>362</v>
      </c>
      <c r="S264" s="173">
        <v>0</v>
      </c>
      <c r="T264" s="173">
        <v>385472.23086853325</v>
      </c>
      <c r="U264" s="173">
        <v>797332.14898266643</v>
      </c>
      <c r="V264" s="173">
        <v>1221417.1125379056</v>
      </c>
    </row>
    <row r="265" spans="3:22">
      <c r="C265" s="87" t="s">
        <v>569</v>
      </c>
      <c r="D265" s="87" t="s">
        <v>570</v>
      </c>
      <c r="E265" s="173">
        <v>0</v>
      </c>
      <c r="F265" s="173">
        <v>-821.55687417695299</v>
      </c>
      <c r="G265" s="173">
        <v>-1576.2608046595706</v>
      </c>
      <c r="H265" s="173">
        <v>-2397.6687651606044</v>
      </c>
      <c r="J265" s="87" t="s">
        <v>569</v>
      </c>
      <c r="K265" s="87" t="s">
        <v>570</v>
      </c>
      <c r="L265" s="173">
        <v>0</v>
      </c>
      <c r="M265" s="173">
        <v>-821.55687417695299</v>
      </c>
      <c r="N265" s="173">
        <v>-1576.2608046595706</v>
      </c>
      <c r="O265" s="173">
        <v>-2397.6687651606044</v>
      </c>
      <c r="Q265" s="87" t="s">
        <v>569</v>
      </c>
      <c r="R265" s="87" t="s">
        <v>570</v>
      </c>
      <c r="S265" s="173">
        <v>0</v>
      </c>
      <c r="T265" s="173">
        <v>-1219.2511624481995</v>
      </c>
      <c r="U265" s="173">
        <v>-2021.093927560607</v>
      </c>
      <c r="V265" s="173">
        <v>-3112.7677194608841</v>
      </c>
    </row>
    <row r="266" spans="3:22">
      <c r="C266" s="87" t="s">
        <v>421</v>
      </c>
      <c r="D266" s="87" t="s">
        <v>422</v>
      </c>
      <c r="E266" s="173">
        <v>0</v>
      </c>
      <c r="F266" s="173">
        <v>44390.593754157424</v>
      </c>
      <c r="G266" s="173">
        <v>89709.275767534971</v>
      </c>
      <c r="H266" s="173">
        <v>137583.3841680754</v>
      </c>
      <c r="J266" s="87" t="s">
        <v>421</v>
      </c>
      <c r="K266" s="87" t="s">
        <v>422</v>
      </c>
      <c r="L266" s="173">
        <v>0</v>
      </c>
      <c r="M266" s="173">
        <v>44425.619537947699</v>
      </c>
      <c r="N266" s="173">
        <v>90595.334900783375</v>
      </c>
      <c r="O266" s="173">
        <v>138508.07463777252</v>
      </c>
      <c r="Q266" s="87" t="s">
        <v>421</v>
      </c>
      <c r="R266" s="87" t="s">
        <v>422</v>
      </c>
      <c r="S266" s="173">
        <v>0</v>
      </c>
      <c r="T266" s="173">
        <v>47809.114885361865</v>
      </c>
      <c r="U266" s="173">
        <v>96308.28796634078</v>
      </c>
      <c r="V266" s="173">
        <v>169913.74659465626</v>
      </c>
    </row>
    <row r="267" spans="3:22">
      <c r="C267" s="87" t="s">
        <v>443</v>
      </c>
      <c r="D267" s="87" t="s">
        <v>444</v>
      </c>
      <c r="E267" s="173">
        <v>0</v>
      </c>
      <c r="F267" s="173">
        <v>191080.73194084689</v>
      </c>
      <c r="G267" s="173">
        <v>389522.98682904616</v>
      </c>
      <c r="H267" s="173">
        <v>593727.45396983251</v>
      </c>
      <c r="J267" s="87" t="s">
        <v>443</v>
      </c>
      <c r="K267" s="87" t="s">
        <v>444</v>
      </c>
      <c r="L267" s="173">
        <v>0</v>
      </c>
      <c r="M267" s="173">
        <v>191649.49069471657</v>
      </c>
      <c r="N267" s="173">
        <v>391679.5356818065</v>
      </c>
      <c r="O267" s="173">
        <v>598152.71205883101</v>
      </c>
      <c r="Q267" s="87" t="s">
        <v>443</v>
      </c>
      <c r="R267" s="87" t="s">
        <v>444</v>
      </c>
      <c r="S267" s="173">
        <v>0</v>
      </c>
      <c r="T267" s="173">
        <v>201972.03998687491</v>
      </c>
      <c r="U267" s="173">
        <v>419054.73872397095</v>
      </c>
      <c r="V267" s="173">
        <v>650000.33236614242</v>
      </c>
    </row>
    <row r="268" spans="3:22">
      <c r="C268" s="87" t="s">
        <v>1022</v>
      </c>
      <c r="D268" s="87" t="s">
        <v>1040</v>
      </c>
      <c r="E268" s="173">
        <v>0</v>
      </c>
      <c r="F268" s="173">
        <v>20773.599275756627</v>
      </c>
      <c r="G268" s="173">
        <v>42104.905228676274</v>
      </c>
      <c r="H268" s="173">
        <v>64936.789211396128</v>
      </c>
      <c r="J268" s="87" t="s">
        <v>1022</v>
      </c>
      <c r="K268" s="87" t="s">
        <v>1040</v>
      </c>
      <c r="L268" s="173">
        <v>0</v>
      </c>
      <c r="M268" s="173">
        <v>21095.712937876582</v>
      </c>
      <c r="N268" s="173">
        <v>42691.383696101606</v>
      </c>
      <c r="O268" s="173">
        <v>65773.887123620138</v>
      </c>
      <c r="Q268" s="87" t="s">
        <v>1022</v>
      </c>
      <c r="R268" s="87" t="s">
        <v>1040</v>
      </c>
      <c r="S268" s="173">
        <v>0</v>
      </c>
      <c r="T268" s="173">
        <v>68749.634952381253</v>
      </c>
      <c r="U268" s="173">
        <v>155402.24199725501</v>
      </c>
      <c r="V268" s="173">
        <v>238625.46007550322</v>
      </c>
    </row>
    <row r="269" spans="3:22">
      <c r="C269" s="87" t="s">
        <v>391</v>
      </c>
      <c r="D269" s="87" t="s">
        <v>392</v>
      </c>
      <c r="E269" s="173">
        <v>0</v>
      </c>
      <c r="F269" s="173">
        <v>-3409.6028601136059</v>
      </c>
      <c r="G269" s="173">
        <v>-7044.717098548077</v>
      </c>
      <c r="H269" s="173">
        <v>-10351.811316716485</v>
      </c>
      <c r="J269" s="87" t="s">
        <v>391</v>
      </c>
      <c r="K269" s="87" t="s">
        <v>392</v>
      </c>
      <c r="L269" s="173">
        <v>0</v>
      </c>
      <c r="M269" s="173">
        <v>-3195.7929053762928</v>
      </c>
      <c r="N269" s="173">
        <v>-6737.6021202118136</v>
      </c>
      <c r="O269" s="173">
        <v>-10432.138158358168</v>
      </c>
      <c r="Q269" s="87" t="s">
        <v>391</v>
      </c>
      <c r="R269" s="87" t="s">
        <v>392</v>
      </c>
      <c r="S269" s="173">
        <v>0</v>
      </c>
      <c r="T269" s="173">
        <v>-5029.6823723977432</v>
      </c>
      <c r="U269" s="173">
        <v>-10434.360720556695</v>
      </c>
      <c r="V269" s="173">
        <v>-15728.006980271544</v>
      </c>
    </row>
    <row r="270" spans="3:22">
      <c r="C270" s="87" t="s">
        <v>221</v>
      </c>
      <c r="D270" s="87" t="s">
        <v>222</v>
      </c>
      <c r="E270" s="173">
        <v>0</v>
      </c>
      <c r="F270" s="173">
        <v>33320.335647402331</v>
      </c>
      <c r="G270" s="173">
        <v>68520.859176011756</v>
      </c>
      <c r="H270" s="173">
        <v>103756.2059425246</v>
      </c>
      <c r="J270" s="87" t="s">
        <v>221</v>
      </c>
      <c r="K270" s="87" t="s">
        <v>222</v>
      </c>
      <c r="L270" s="173">
        <v>0</v>
      </c>
      <c r="M270" s="173">
        <v>33460.644142572768</v>
      </c>
      <c r="N270" s="173">
        <v>69201.353846075013</v>
      </c>
      <c r="O270" s="173">
        <v>104473.50562616345</v>
      </c>
      <c r="Q270" s="87" t="s">
        <v>221</v>
      </c>
      <c r="R270" s="87" t="s">
        <v>222</v>
      </c>
      <c r="S270" s="173">
        <v>0</v>
      </c>
      <c r="T270" s="173">
        <v>41933.909150202759</v>
      </c>
      <c r="U270" s="173">
        <v>88642.245115068741</v>
      </c>
      <c r="V270" s="173">
        <v>136545.638975651</v>
      </c>
    </row>
    <row r="271" spans="3:22">
      <c r="C271" s="87" t="s">
        <v>495</v>
      </c>
      <c r="D271" s="87" t="s">
        <v>496</v>
      </c>
      <c r="E271" s="173">
        <v>0</v>
      </c>
      <c r="F271" s="173">
        <v>3455.1832097406732</v>
      </c>
      <c r="G271" s="173">
        <v>7390.4321947470307</v>
      </c>
      <c r="H271" s="173">
        <v>11226.004037036677</v>
      </c>
      <c r="J271" s="87" t="s">
        <v>495</v>
      </c>
      <c r="K271" s="87" t="s">
        <v>496</v>
      </c>
      <c r="L271" s="173">
        <v>0</v>
      </c>
      <c r="M271" s="173">
        <v>3455.1832097406732</v>
      </c>
      <c r="N271" s="173">
        <v>7390.4321947470307</v>
      </c>
      <c r="O271" s="173">
        <v>11226.004037036677</v>
      </c>
      <c r="Q271" s="87" t="s">
        <v>495</v>
      </c>
      <c r="R271" s="87" t="s">
        <v>496</v>
      </c>
      <c r="S271" s="173">
        <v>0</v>
      </c>
      <c r="T271" s="173">
        <v>3997.5138635203475</v>
      </c>
      <c r="U271" s="173">
        <v>6571.5254891107325</v>
      </c>
      <c r="V271" s="173">
        <v>10119.856594596873</v>
      </c>
    </row>
    <row r="272" spans="3:22">
      <c r="C272" s="87" t="s">
        <v>371</v>
      </c>
      <c r="D272" s="87" t="s">
        <v>372</v>
      </c>
      <c r="E272" s="173">
        <v>0</v>
      </c>
      <c r="F272" s="173">
        <v>1278422.7241636664</v>
      </c>
      <c r="G272" s="173">
        <v>2609235.1504331529</v>
      </c>
      <c r="H272" s="173">
        <v>3972881.5853784978</v>
      </c>
      <c r="J272" s="87" t="s">
        <v>371</v>
      </c>
      <c r="K272" s="87" t="s">
        <v>372</v>
      </c>
      <c r="L272" s="173">
        <v>0</v>
      </c>
      <c r="M272" s="173">
        <v>1284803.1625158936</v>
      </c>
      <c r="N272" s="173">
        <v>2623844.6600306481</v>
      </c>
      <c r="O272" s="173">
        <v>4002173.3538987339</v>
      </c>
      <c r="Q272" s="87" t="s">
        <v>371</v>
      </c>
      <c r="R272" s="87" t="s">
        <v>372</v>
      </c>
      <c r="S272" s="173">
        <v>0</v>
      </c>
      <c r="T272" s="173">
        <v>1254890.0155217648</v>
      </c>
      <c r="U272" s="173">
        <v>2576338.8791652769</v>
      </c>
      <c r="V272" s="173">
        <v>3945596.1413011849</v>
      </c>
    </row>
    <row r="273" spans="3:22">
      <c r="C273" s="87" t="s">
        <v>595</v>
      </c>
      <c r="D273" s="87" t="s">
        <v>596</v>
      </c>
      <c r="E273" s="173">
        <v>0</v>
      </c>
      <c r="F273" s="173">
        <v>586223.2217913568</v>
      </c>
      <c r="G273" s="173">
        <v>1196160.767855525</v>
      </c>
      <c r="H273" s="173">
        <v>1819809.3143846691</v>
      </c>
      <c r="J273" s="87" t="s">
        <v>595</v>
      </c>
      <c r="K273" s="87" t="s">
        <v>596</v>
      </c>
      <c r="L273" s="173">
        <v>0</v>
      </c>
      <c r="M273" s="173">
        <v>588832.03621412814</v>
      </c>
      <c r="N273" s="173">
        <v>1202891.0172391981</v>
      </c>
      <c r="O273" s="173">
        <v>1833378.5407858342</v>
      </c>
      <c r="Q273" s="87" t="s">
        <v>595</v>
      </c>
      <c r="R273" s="87" t="s">
        <v>596</v>
      </c>
      <c r="S273" s="173">
        <v>0</v>
      </c>
      <c r="T273" s="173">
        <v>589805.05926667154</v>
      </c>
      <c r="U273" s="173">
        <v>1196371.8503652364</v>
      </c>
      <c r="V273" s="173">
        <v>1790428.0658475012</v>
      </c>
    </row>
    <row r="274" spans="3:22">
      <c r="C274" s="87" t="s">
        <v>237</v>
      </c>
      <c r="D274" s="87" t="s">
        <v>238</v>
      </c>
      <c r="E274" s="173">
        <v>0</v>
      </c>
      <c r="F274" s="173">
        <v>1613.107518853154</v>
      </c>
      <c r="G274" s="173">
        <v>3242.4696282651275</v>
      </c>
      <c r="H274" s="173">
        <v>4954.6812760275789</v>
      </c>
      <c r="J274" s="87" t="s">
        <v>237</v>
      </c>
      <c r="K274" s="87" t="s">
        <v>238</v>
      </c>
      <c r="L274" s="173">
        <v>0</v>
      </c>
      <c r="M274" s="173">
        <v>1613.107518853154</v>
      </c>
      <c r="N274" s="173">
        <v>3242.4696282651275</v>
      </c>
      <c r="O274" s="173">
        <v>4954.6812760275789</v>
      </c>
      <c r="Q274" s="87" t="s">
        <v>237</v>
      </c>
      <c r="R274" s="87" t="s">
        <v>238</v>
      </c>
      <c r="S274" s="173">
        <v>0</v>
      </c>
      <c r="T274" s="173">
        <v>1613.107518853154</v>
      </c>
      <c r="U274" s="173">
        <v>3242.4696282651275</v>
      </c>
      <c r="V274" s="173">
        <v>4954.6812760275789</v>
      </c>
    </row>
    <row r="275" spans="3:22">
      <c r="C275" s="87" t="s">
        <v>365</v>
      </c>
      <c r="D275" s="87" t="s">
        <v>366</v>
      </c>
      <c r="E275" s="173">
        <v>0</v>
      </c>
      <c r="F275" s="173">
        <v>2532756.275827527</v>
      </c>
      <c r="G275" s="173">
        <v>5168145.4923363924</v>
      </c>
      <c r="H275" s="173">
        <v>7867117.2213442326</v>
      </c>
      <c r="J275" s="87" t="s">
        <v>365</v>
      </c>
      <c r="K275" s="87" t="s">
        <v>366</v>
      </c>
      <c r="L275" s="173">
        <v>0</v>
      </c>
      <c r="M275" s="173">
        <v>2544792.7151803374</v>
      </c>
      <c r="N275" s="173">
        <v>5197918.880756557</v>
      </c>
      <c r="O275" s="173">
        <v>7925437.646028161</v>
      </c>
      <c r="Q275" s="87" t="s">
        <v>365</v>
      </c>
      <c r="R275" s="87" t="s">
        <v>366</v>
      </c>
      <c r="S275" s="173">
        <v>0</v>
      </c>
      <c r="T275" s="173">
        <v>2592951.9733716846</v>
      </c>
      <c r="U275" s="173">
        <v>5285674.8716944456</v>
      </c>
      <c r="V275" s="173">
        <v>7996838.5191959143</v>
      </c>
    </row>
    <row r="276" spans="3:22">
      <c r="C276" s="87" t="s">
        <v>153</v>
      </c>
      <c r="D276" s="87" t="s">
        <v>154</v>
      </c>
      <c r="E276" s="173">
        <v>0</v>
      </c>
      <c r="F276" s="173">
        <v>8324.4970082533546</v>
      </c>
      <c r="G276" s="173">
        <v>16619.469514206983</v>
      </c>
      <c r="H276" s="173">
        <v>25233.731937069446</v>
      </c>
      <c r="J276" s="87" t="s">
        <v>153</v>
      </c>
      <c r="K276" s="87" t="s">
        <v>154</v>
      </c>
      <c r="L276" s="173">
        <v>0</v>
      </c>
      <c r="M276" s="173">
        <v>8282.0094009921886</v>
      </c>
      <c r="N276" s="173">
        <v>16605.560122611001</v>
      </c>
      <c r="O276" s="173">
        <v>25125.900905723218</v>
      </c>
      <c r="Q276" s="87" t="s">
        <v>153</v>
      </c>
      <c r="R276" s="87" t="s">
        <v>154</v>
      </c>
      <c r="S276" s="173">
        <v>0</v>
      </c>
      <c r="T276" s="173">
        <v>7909.588008695282</v>
      </c>
      <c r="U276" s="173">
        <v>9869.5901458510198</v>
      </c>
      <c r="V276" s="173">
        <v>28450.944762387313</v>
      </c>
    </row>
    <row r="277" spans="3:22">
      <c r="C277" s="87" t="s">
        <v>207</v>
      </c>
      <c r="D277" s="87" t="s">
        <v>208</v>
      </c>
      <c r="E277" s="173">
        <v>0</v>
      </c>
      <c r="F277" s="173">
        <v>1237341.6813860387</v>
      </c>
      <c r="G277" s="173">
        <v>2524449.6247459203</v>
      </c>
      <c r="H277" s="173">
        <v>3845992.5142915398</v>
      </c>
      <c r="J277" s="87" t="s">
        <v>207</v>
      </c>
      <c r="K277" s="87" t="s">
        <v>208</v>
      </c>
      <c r="L277" s="173">
        <v>0</v>
      </c>
      <c r="M277" s="173">
        <v>1243339.4942655712</v>
      </c>
      <c r="N277" s="173">
        <v>2539094.8291311711</v>
      </c>
      <c r="O277" s="173">
        <v>3874214.9127340466</v>
      </c>
      <c r="Q277" s="87" t="s">
        <v>207</v>
      </c>
      <c r="R277" s="87" t="s">
        <v>208</v>
      </c>
      <c r="S277" s="173">
        <v>0</v>
      </c>
      <c r="T277" s="173">
        <v>1294808.5930639207</v>
      </c>
      <c r="U277" s="173">
        <v>2660713.9330721349</v>
      </c>
      <c r="V277" s="173">
        <v>4082127.8224407881</v>
      </c>
    </row>
    <row r="278" spans="3:22">
      <c r="C278" s="87" t="s">
        <v>559</v>
      </c>
      <c r="D278" s="87" t="s">
        <v>560</v>
      </c>
      <c r="E278" s="173">
        <v>0</v>
      </c>
      <c r="F278" s="173">
        <v>9052.0848752027377</v>
      </c>
      <c r="G278" s="173">
        <v>18330.643615331035</v>
      </c>
      <c r="H278" s="173">
        <v>28109.112637889106</v>
      </c>
      <c r="J278" s="87" t="s">
        <v>559</v>
      </c>
      <c r="K278" s="87" t="s">
        <v>560</v>
      </c>
      <c r="L278" s="173">
        <v>0</v>
      </c>
      <c r="M278" s="173">
        <v>9026.5095357634127</v>
      </c>
      <c r="N278" s="173">
        <v>18589.790383208077</v>
      </c>
      <c r="O278" s="173">
        <v>28338.03943387419</v>
      </c>
      <c r="Q278" s="87" t="s">
        <v>559</v>
      </c>
      <c r="R278" s="87" t="s">
        <v>560</v>
      </c>
      <c r="S278" s="173">
        <v>0</v>
      </c>
      <c r="T278" s="173">
        <v>9520.6247302200645</v>
      </c>
      <c r="U278" s="173">
        <v>21001.629784260876</v>
      </c>
      <c r="V278" s="173">
        <v>33709.815569274127</v>
      </c>
    </row>
    <row r="279" spans="3:22">
      <c r="C279" s="87" t="s">
        <v>521</v>
      </c>
      <c r="D279" s="87" t="s">
        <v>522</v>
      </c>
      <c r="E279" s="173">
        <v>0</v>
      </c>
      <c r="F279" s="173">
        <v>147784.60253334604</v>
      </c>
      <c r="G279" s="173">
        <v>301798.15593642741</v>
      </c>
      <c r="H279" s="173">
        <v>459484.75589977019</v>
      </c>
      <c r="J279" s="87" t="s">
        <v>521</v>
      </c>
      <c r="K279" s="87" t="s">
        <v>522</v>
      </c>
      <c r="L279" s="173">
        <v>0</v>
      </c>
      <c r="M279" s="173">
        <v>148851.23321526684</v>
      </c>
      <c r="N279" s="173">
        <v>303673.02293254249</v>
      </c>
      <c r="O279" s="173">
        <v>463208.86730149947</v>
      </c>
      <c r="Q279" s="87" t="s">
        <v>521</v>
      </c>
      <c r="R279" s="87" t="s">
        <v>522</v>
      </c>
      <c r="S279" s="173">
        <v>0</v>
      </c>
      <c r="T279" s="173">
        <v>148724.98017683253</v>
      </c>
      <c r="U279" s="173">
        <v>301975.19887701608</v>
      </c>
      <c r="V279" s="173">
        <v>462677.59545752592</v>
      </c>
    </row>
    <row r="280" spans="3:22">
      <c r="C280" s="87" t="s">
        <v>243</v>
      </c>
      <c r="D280" s="87" t="s">
        <v>244</v>
      </c>
      <c r="E280" s="173">
        <v>0</v>
      </c>
      <c r="F280" s="173">
        <v>24267.785101962276</v>
      </c>
      <c r="G280" s="173">
        <v>49475.143754737452</v>
      </c>
      <c r="H280" s="173">
        <v>75320.251843461767</v>
      </c>
      <c r="J280" s="87" t="s">
        <v>243</v>
      </c>
      <c r="K280" s="87" t="s">
        <v>244</v>
      </c>
      <c r="L280" s="173">
        <v>0</v>
      </c>
      <c r="M280" s="173">
        <v>24222.298811218701</v>
      </c>
      <c r="N280" s="173">
        <v>49465.361742815003</v>
      </c>
      <c r="O280" s="173">
        <v>75897.29067843454</v>
      </c>
      <c r="Q280" s="87" t="s">
        <v>243</v>
      </c>
      <c r="R280" s="87" t="s">
        <v>244</v>
      </c>
      <c r="S280" s="173">
        <v>0</v>
      </c>
      <c r="T280" s="173">
        <v>22641.623976831324</v>
      </c>
      <c r="U280" s="173">
        <v>47557.131723983679</v>
      </c>
      <c r="V280" s="173">
        <v>74047.614407975227</v>
      </c>
    </row>
    <row r="281" spans="3:22">
      <c r="C281" s="87" t="s">
        <v>285</v>
      </c>
      <c r="D281" s="87" t="s">
        <v>286</v>
      </c>
      <c r="E281" s="173">
        <v>0</v>
      </c>
      <c r="F281" s="173">
        <v>41057.174688933417</v>
      </c>
      <c r="G281" s="173">
        <v>83022.085062526166</v>
      </c>
      <c r="H281" s="173">
        <v>127894.42363235727</v>
      </c>
      <c r="J281" s="87" t="s">
        <v>285</v>
      </c>
      <c r="K281" s="87" t="s">
        <v>286</v>
      </c>
      <c r="L281" s="173">
        <v>0</v>
      </c>
      <c r="M281" s="173">
        <v>41646.918755985796</v>
      </c>
      <c r="N281" s="173">
        <v>83898.75442923978</v>
      </c>
      <c r="O281" s="173">
        <v>128804.76288974658</v>
      </c>
      <c r="Q281" s="87" t="s">
        <v>285</v>
      </c>
      <c r="R281" s="87" t="s">
        <v>286</v>
      </c>
      <c r="S281" s="173">
        <v>0</v>
      </c>
      <c r="T281" s="173">
        <v>36768.244011003524</v>
      </c>
      <c r="U281" s="173">
        <v>138354.47639008611</v>
      </c>
      <c r="V281" s="173">
        <v>215718.56793906167</v>
      </c>
    </row>
    <row r="282" spans="3:22">
      <c r="C282" s="87" t="s">
        <v>339</v>
      </c>
      <c r="D282" s="87" t="s">
        <v>340</v>
      </c>
      <c r="E282" s="173">
        <v>0</v>
      </c>
      <c r="F282" s="173">
        <v>89727.517509451136</v>
      </c>
      <c r="G282" s="173">
        <v>182874.25998329557</v>
      </c>
      <c r="H282" s="173">
        <v>278412.0968347583</v>
      </c>
      <c r="J282" s="87" t="s">
        <v>339</v>
      </c>
      <c r="K282" s="87" t="s">
        <v>340</v>
      </c>
      <c r="L282" s="173">
        <v>0</v>
      </c>
      <c r="M282" s="173">
        <v>89904.359219918028</v>
      </c>
      <c r="N282" s="173">
        <v>183976.1732988432</v>
      </c>
      <c r="O282" s="173">
        <v>280044.25146292336</v>
      </c>
      <c r="Q282" s="87" t="s">
        <v>339</v>
      </c>
      <c r="R282" s="87" t="s">
        <v>340</v>
      </c>
      <c r="S282" s="173">
        <v>0</v>
      </c>
      <c r="T282" s="173">
        <v>84471.190355958417</v>
      </c>
      <c r="U282" s="173">
        <v>176892.24044146389</v>
      </c>
      <c r="V282" s="173">
        <v>268868.77351671271</v>
      </c>
    </row>
    <row r="283" spans="3:22">
      <c r="C283" s="87" t="s">
        <v>597</v>
      </c>
      <c r="D283" s="87" t="s">
        <v>598</v>
      </c>
      <c r="E283" s="173">
        <v>0</v>
      </c>
      <c r="F283" s="173">
        <v>281721.08835679293</v>
      </c>
      <c r="G283" s="173">
        <v>574253.5867068246</v>
      </c>
      <c r="H283" s="173">
        <v>874303.48092464358</v>
      </c>
      <c r="J283" s="87" t="s">
        <v>597</v>
      </c>
      <c r="K283" s="87" t="s">
        <v>598</v>
      </c>
      <c r="L283" s="173">
        <v>0</v>
      </c>
      <c r="M283" s="173">
        <v>283017.65924571455</v>
      </c>
      <c r="N283" s="173">
        <v>577717.1788866818</v>
      </c>
      <c r="O283" s="173">
        <v>881240.74003177881</v>
      </c>
      <c r="Q283" s="87" t="s">
        <v>597</v>
      </c>
      <c r="R283" s="87" t="s">
        <v>598</v>
      </c>
      <c r="S283" s="173">
        <v>0</v>
      </c>
      <c r="T283" s="173">
        <v>296509.29663925618</v>
      </c>
      <c r="U283" s="173">
        <v>599276.6021444425</v>
      </c>
      <c r="V283" s="173">
        <v>904332.69184789062</v>
      </c>
    </row>
    <row r="284" spans="3:22">
      <c r="C284" s="87" t="s">
        <v>531</v>
      </c>
      <c r="D284" s="87" t="s">
        <v>532</v>
      </c>
      <c r="E284" s="173">
        <v>0</v>
      </c>
      <c r="F284" s="173">
        <v>9748.8543517058715</v>
      </c>
      <c r="G284" s="173">
        <v>19991.245484637097</v>
      </c>
      <c r="H284" s="173">
        <v>30332.916615399066</v>
      </c>
      <c r="J284" s="87" t="s">
        <v>531</v>
      </c>
      <c r="K284" s="87" t="s">
        <v>532</v>
      </c>
      <c r="L284" s="173">
        <v>0</v>
      </c>
      <c r="M284" s="173">
        <v>9833.7403434105217</v>
      </c>
      <c r="N284" s="173">
        <v>19801.432051004376</v>
      </c>
      <c r="O284" s="173">
        <v>30874.978309345432</v>
      </c>
      <c r="Q284" s="87" t="s">
        <v>531</v>
      </c>
      <c r="R284" s="87" t="s">
        <v>532</v>
      </c>
      <c r="S284" s="173">
        <v>0</v>
      </c>
      <c r="T284" s="173">
        <v>8681.3246749602258</v>
      </c>
      <c r="U284" s="173">
        <v>16480.664713912643</v>
      </c>
      <c r="V284" s="173">
        <v>24489.705398394261</v>
      </c>
    </row>
    <row r="285" spans="3:22">
      <c r="C285" s="87" t="s">
        <v>79</v>
      </c>
      <c r="D285" s="87" t="s">
        <v>80</v>
      </c>
      <c r="E285" s="173">
        <v>0</v>
      </c>
      <c r="F285" s="173">
        <v>64606.311174886301</v>
      </c>
      <c r="G285" s="173">
        <v>130959.45657655597</v>
      </c>
      <c r="H285" s="173">
        <v>199987.3933048062</v>
      </c>
      <c r="J285" s="87" t="s">
        <v>79</v>
      </c>
      <c r="K285" s="87" t="s">
        <v>80</v>
      </c>
      <c r="L285" s="173">
        <v>0</v>
      </c>
      <c r="M285" s="173">
        <v>64835.598568750545</v>
      </c>
      <c r="N285" s="173">
        <v>132074.87372317538</v>
      </c>
      <c r="O285" s="173">
        <v>201603.34871294349</v>
      </c>
      <c r="Q285" s="87" t="s">
        <v>79</v>
      </c>
      <c r="R285" s="87" t="s">
        <v>80</v>
      </c>
      <c r="S285" s="173">
        <v>0</v>
      </c>
      <c r="T285" s="173">
        <v>56742.664826288819</v>
      </c>
      <c r="U285" s="173">
        <v>115170.09511832707</v>
      </c>
      <c r="V285" s="173">
        <v>175910.41132859886</v>
      </c>
    </row>
    <row r="286" spans="3:22">
      <c r="C286" s="87" t="s">
        <v>257</v>
      </c>
      <c r="D286" s="87" t="s">
        <v>258</v>
      </c>
      <c r="E286" s="173">
        <v>0</v>
      </c>
      <c r="F286" s="173">
        <v>15056.408250205219</v>
      </c>
      <c r="G286" s="173">
        <v>30795.75729643926</v>
      </c>
      <c r="H286" s="173">
        <v>47045.300021691713</v>
      </c>
      <c r="J286" s="87" t="s">
        <v>257</v>
      </c>
      <c r="K286" s="87" t="s">
        <v>258</v>
      </c>
      <c r="L286" s="173">
        <v>0</v>
      </c>
      <c r="M286" s="173">
        <v>15380.246569061186</v>
      </c>
      <c r="N286" s="173">
        <v>30980.006157457363</v>
      </c>
      <c r="O286" s="173">
        <v>47633.361563653685</v>
      </c>
      <c r="Q286" s="87" t="s">
        <v>257</v>
      </c>
      <c r="R286" s="87" t="s">
        <v>258</v>
      </c>
      <c r="S286" s="173">
        <v>0</v>
      </c>
      <c r="T286" s="173">
        <v>16077.781719087157</v>
      </c>
      <c r="U286" s="173">
        <v>34643.953910827637</v>
      </c>
      <c r="V286" s="173">
        <v>52048.226693368051</v>
      </c>
    </row>
    <row r="287" spans="3:22">
      <c r="C287" s="87" t="s">
        <v>201</v>
      </c>
      <c r="D287" s="87" t="s">
        <v>202</v>
      </c>
      <c r="E287" s="173">
        <v>0</v>
      </c>
      <c r="F287" s="173">
        <v>264434.04514087737</v>
      </c>
      <c r="G287" s="173">
        <v>539860.33056440204</v>
      </c>
      <c r="H287" s="173">
        <v>821898.62356831878</v>
      </c>
      <c r="J287" s="87" t="s">
        <v>201</v>
      </c>
      <c r="K287" s="87" t="s">
        <v>202</v>
      </c>
      <c r="L287" s="173">
        <v>0</v>
      </c>
      <c r="M287" s="173">
        <v>266112.87004967779</v>
      </c>
      <c r="N287" s="173">
        <v>543235.65111858398</v>
      </c>
      <c r="O287" s="173">
        <v>828200.39620576799</v>
      </c>
      <c r="Q287" s="87" t="s">
        <v>201</v>
      </c>
      <c r="R287" s="87" t="s">
        <v>202</v>
      </c>
      <c r="S287" s="173">
        <v>0</v>
      </c>
      <c r="T287" s="173">
        <v>283837.64843594283</v>
      </c>
      <c r="U287" s="173">
        <v>574913.98722156137</v>
      </c>
      <c r="V287" s="173">
        <v>867646.44609416276</v>
      </c>
    </row>
    <row r="288" spans="3:22">
      <c r="C288" s="87" t="s">
        <v>511</v>
      </c>
      <c r="D288" s="87" t="s">
        <v>512</v>
      </c>
      <c r="E288" s="173">
        <v>0</v>
      </c>
      <c r="F288" s="173">
        <v>707610.77325415611</v>
      </c>
      <c r="G288" s="173">
        <v>1444413.3033326417</v>
      </c>
      <c r="H288" s="173">
        <v>2197455.743689701</v>
      </c>
      <c r="J288" s="87" t="s">
        <v>511</v>
      </c>
      <c r="K288" s="87" t="s">
        <v>512</v>
      </c>
      <c r="L288" s="173">
        <v>0</v>
      </c>
      <c r="M288" s="173">
        <v>711011.42946465313</v>
      </c>
      <c r="N288" s="173">
        <v>1452368.3603075445</v>
      </c>
      <c r="O288" s="173">
        <v>2213412.7361190319</v>
      </c>
      <c r="Q288" s="87" t="s">
        <v>511</v>
      </c>
      <c r="R288" s="87" t="s">
        <v>512</v>
      </c>
      <c r="S288" s="173">
        <v>0</v>
      </c>
      <c r="T288" s="173">
        <v>679431.41528624296</v>
      </c>
      <c r="U288" s="173">
        <v>1421012.5175798386</v>
      </c>
      <c r="V288" s="173">
        <v>2213872.7778683156</v>
      </c>
    </row>
    <row r="289" spans="3:22">
      <c r="C289" s="87" t="s">
        <v>581</v>
      </c>
      <c r="D289" s="87" t="s">
        <v>582</v>
      </c>
      <c r="E289" s="173">
        <v>0</v>
      </c>
      <c r="F289" s="173">
        <v>54089.395393986255</v>
      </c>
      <c r="G289" s="173">
        <v>110017.48603542242</v>
      </c>
      <c r="H289" s="173">
        <v>167723.78308684938</v>
      </c>
      <c r="J289" s="87" t="s">
        <v>581</v>
      </c>
      <c r="K289" s="87" t="s">
        <v>582</v>
      </c>
      <c r="L289" s="173">
        <v>0</v>
      </c>
      <c r="M289" s="173">
        <v>54343.969340004027</v>
      </c>
      <c r="N289" s="173">
        <v>110526.08340520132</v>
      </c>
      <c r="O289" s="173">
        <v>168950.8063785322</v>
      </c>
      <c r="Q289" s="87" t="s">
        <v>581</v>
      </c>
      <c r="R289" s="87" t="s">
        <v>582</v>
      </c>
      <c r="S289" s="173">
        <v>0</v>
      </c>
      <c r="T289" s="173">
        <v>54608.821938375011</v>
      </c>
      <c r="U289" s="173">
        <v>115706.14595497958</v>
      </c>
      <c r="V289" s="173">
        <v>177449.82935465313</v>
      </c>
    </row>
    <row r="290" spans="3:22">
      <c r="C290" s="87" t="s">
        <v>369</v>
      </c>
      <c r="D290" s="87" t="s">
        <v>370</v>
      </c>
      <c r="E290" s="173">
        <v>0</v>
      </c>
      <c r="F290" s="173">
        <v>695601.02043174952</v>
      </c>
      <c r="G290" s="173">
        <v>1419276.9281218126</v>
      </c>
      <c r="H290" s="173">
        <v>2161814.6495951787</v>
      </c>
      <c r="J290" s="87" t="s">
        <v>369</v>
      </c>
      <c r="K290" s="87" t="s">
        <v>370</v>
      </c>
      <c r="L290" s="173">
        <v>0</v>
      </c>
      <c r="M290" s="173">
        <v>699084.04338002205</v>
      </c>
      <c r="N290" s="173">
        <v>1427407.8464079648</v>
      </c>
      <c r="O290" s="173">
        <v>2177870.6689224541</v>
      </c>
      <c r="Q290" s="87" t="s">
        <v>369</v>
      </c>
      <c r="R290" s="87" t="s">
        <v>370</v>
      </c>
      <c r="S290" s="173">
        <v>0</v>
      </c>
      <c r="T290" s="173">
        <v>692433.47880747169</v>
      </c>
      <c r="U290" s="173">
        <v>1412396.4224157631</v>
      </c>
      <c r="V290" s="173">
        <v>2151341.8176110983</v>
      </c>
    </row>
    <row r="291" spans="3:22">
      <c r="C291" s="87" t="s">
        <v>489</v>
      </c>
      <c r="D291" s="87" t="s">
        <v>490</v>
      </c>
      <c r="E291" s="173">
        <v>0</v>
      </c>
      <c r="F291" s="173">
        <v>31398.13703421317</v>
      </c>
      <c r="G291" s="173">
        <v>63809.496820036322</v>
      </c>
      <c r="H291" s="173">
        <v>96908.046998277307</v>
      </c>
      <c r="J291" s="87" t="s">
        <v>489</v>
      </c>
      <c r="K291" s="87" t="s">
        <v>490</v>
      </c>
      <c r="L291" s="173">
        <v>0</v>
      </c>
      <c r="M291" s="173">
        <v>31155.578544061631</v>
      </c>
      <c r="N291" s="173">
        <v>63723.856639113277</v>
      </c>
      <c r="O291" s="173">
        <v>97482.203151354566</v>
      </c>
      <c r="Q291" s="87" t="s">
        <v>489</v>
      </c>
      <c r="R291" s="87" t="s">
        <v>490</v>
      </c>
      <c r="S291" s="173">
        <v>0</v>
      </c>
      <c r="T291" s="173">
        <v>33147.535390662029</v>
      </c>
      <c r="U291" s="173">
        <v>70580.617977192625</v>
      </c>
      <c r="V291" s="173">
        <v>110751.75431017391</v>
      </c>
    </row>
    <row r="292" spans="3:22">
      <c r="C292" s="87" t="s">
        <v>55</v>
      </c>
      <c r="D292" s="87" t="s">
        <v>56</v>
      </c>
      <c r="E292" s="173">
        <v>0</v>
      </c>
      <c r="F292" s="173">
        <v>2584503.7433688343</v>
      </c>
      <c r="G292" s="173">
        <v>5272686.5041406751</v>
      </c>
      <c r="H292" s="173">
        <v>8028840.5733805299</v>
      </c>
      <c r="J292" s="87" t="s">
        <v>55</v>
      </c>
      <c r="K292" s="87" t="s">
        <v>56</v>
      </c>
      <c r="L292" s="173">
        <v>0</v>
      </c>
      <c r="M292" s="173">
        <v>2596852.2077839971</v>
      </c>
      <c r="N292" s="173">
        <v>5302520.1949641705</v>
      </c>
      <c r="O292" s="173">
        <v>8088070.3167204261</v>
      </c>
      <c r="Q292" s="87" t="s">
        <v>55</v>
      </c>
      <c r="R292" s="87" t="s">
        <v>56</v>
      </c>
      <c r="S292" s="173">
        <v>0</v>
      </c>
      <c r="T292" s="173">
        <v>2685776.0690270662</v>
      </c>
      <c r="U292" s="173">
        <v>5493860.4737038612</v>
      </c>
      <c r="V292" s="173">
        <v>8424316.391114831</v>
      </c>
    </row>
    <row r="293" spans="3:22">
      <c r="C293" s="87" t="s">
        <v>193</v>
      </c>
      <c r="D293" s="87" t="s">
        <v>194</v>
      </c>
      <c r="E293" s="173">
        <v>0</v>
      </c>
      <c r="F293" s="173">
        <v>171072.28292751685</v>
      </c>
      <c r="G293" s="173">
        <v>349345.86040874943</v>
      </c>
      <c r="H293" s="173">
        <v>531714.91921879724</v>
      </c>
      <c r="J293" s="87" t="s">
        <v>193</v>
      </c>
      <c r="K293" s="87" t="s">
        <v>194</v>
      </c>
      <c r="L293" s="173">
        <v>0</v>
      </c>
      <c r="M293" s="173">
        <v>171979.33830380067</v>
      </c>
      <c r="N293" s="173">
        <v>351191.82977107167</v>
      </c>
      <c r="O293" s="173">
        <v>535797.62068004906</v>
      </c>
      <c r="Q293" s="87" t="s">
        <v>193</v>
      </c>
      <c r="R293" s="87" t="s">
        <v>194</v>
      </c>
      <c r="S293" s="173">
        <v>0</v>
      </c>
      <c r="T293" s="173">
        <v>169263.23794069141</v>
      </c>
      <c r="U293" s="173">
        <v>347801.45690027624</v>
      </c>
      <c r="V293" s="173">
        <v>530557.82779894024</v>
      </c>
    </row>
    <row r="294" spans="3:22">
      <c r="C294" s="87" t="s">
        <v>1024</v>
      </c>
      <c r="D294" s="87" t="s">
        <v>1044</v>
      </c>
      <c r="E294" s="173">
        <v>0</v>
      </c>
      <c r="F294" s="173">
        <v>12222.179237622768</v>
      </c>
      <c r="G294" s="173">
        <v>24998.558999562403</v>
      </c>
      <c r="H294" s="173">
        <v>38116.340088234982</v>
      </c>
      <c r="J294" s="87" t="s">
        <v>1024</v>
      </c>
      <c r="K294" s="87" t="s">
        <v>1044</v>
      </c>
      <c r="L294" s="173">
        <v>0</v>
      </c>
      <c r="M294" s="173">
        <v>12126.152534017339</v>
      </c>
      <c r="N294" s="173">
        <v>24979.178528122604</v>
      </c>
      <c r="O294" s="173">
        <v>38470.88287317357</v>
      </c>
      <c r="Q294" s="87" t="s">
        <v>1024</v>
      </c>
      <c r="R294" s="87" t="s">
        <v>1044</v>
      </c>
      <c r="S294" s="173">
        <v>0</v>
      </c>
      <c r="T294" s="173">
        <v>12222.179237622768</v>
      </c>
      <c r="U294" s="173">
        <v>24998.558999562403</v>
      </c>
      <c r="V294" s="173">
        <v>38116.340088234982</v>
      </c>
    </row>
    <row r="295" spans="3:22">
      <c r="C295" s="87" t="s">
        <v>523</v>
      </c>
      <c r="D295" s="87" t="s">
        <v>524</v>
      </c>
      <c r="E295" s="173">
        <v>0</v>
      </c>
      <c r="F295" s="173">
        <v>22209.30734503828</v>
      </c>
      <c r="G295" s="173">
        <v>44790.657461252064</v>
      </c>
      <c r="H295" s="173">
        <v>68570.935680990107</v>
      </c>
      <c r="J295" s="87" t="s">
        <v>523</v>
      </c>
      <c r="K295" s="87" t="s">
        <v>524</v>
      </c>
      <c r="L295" s="173">
        <v>0</v>
      </c>
      <c r="M295" s="173">
        <v>22204.837511134334</v>
      </c>
      <c r="N295" s="173">
        <v>45039.028647874482</v>
      </c>
      <c r="O295" s="173">
        <v>69114.755260500126</v>
      </c>
      <c r="Q295" s="87" t="s">
        <v>523</v>
      </c>
      <c r="R295" s="87" t="s">
        <v>524</v>
      </c>
      <c r="S295" s="173">
        <v>0</v>
      </c>
      <c r="T295" s="173">
        <v>21534.047597439028</v>
      </c>
      <c r="U295" s="173">
        <v>43305.325949974358</v>
      </c>
      <c r="V295" s="173">
        <v>66190.048885438591</v>
      </c>
    </row>
    <row r="296" spans="3:22">
      <c r="C296" s="87" t="s">
        <v>121</v>
      </c>
      <c r="D296" s="87" t="s">
        <v>122</v>
      </c>
      <c r="E296" s="173">
        <v>0</v>
      </c>
      <c r="F296" s="173">
        <v>203591.85492498428</v>
      </c>
      <c r="G296" s="173">
        <v>415074.22954941541</v>
      </c>
      <c r="H296" s="173">
        <v>631926.24811274186</v>
      </c>
      <c r="J296" s="87" t="s">
        <v>121</v>
      </c>
      <c r="K296" s="87" t="s">
        <v>122</v>
      </c>
      <c r="L296" s="173">
        <v>0</v>
      </c>
      <c r="M296" s="173">
        <v>204597.65063394979</v>
      </c>
      <c r="N296" s="173">
        <v>417302.34654198959</v>
      </c>
      <c r="O296" s="173">
        <v>636120.46454721689</v>
      </c>
      <c r="Q296" s="87" t="s">
        <v>121</v>
      </c>
      <c r="R296" s="87" t="s">
        <v>122</v>
      </c>
      <c r="S296" s="173">
        <v>0</v>
      </c>
      <c r="T296" s="173">
        <v>207942.78476276249</v>
      </c>
      <c r="U296" s="173">
        <v>428362.60068035498</v>
      </c>
      <c r="V296" s="173">
        <v>658447.06223343313</v>
      </c>
    </row>
    <row r="297" spans="3:22">
      <c r="C297" s="87" t="s">
        <v>535</v>
      </c>
      <c r="D297" s="87" t="s">
        <v>536</v>
      </c>
      <c r="E297" s="173">
        <v>0</v>
      </c>
      <c r="F297" s="173">
        <v>13859.463703884277</v>
      </c>
      <c r="G297" s="173">
        <v>28208.399656947702</v>
      </c>
      <c r="H297" s="173">
        <v>43194.092427535448</v>
      </c>
      <c r="J297" s="87" t="s">
        <v>535</v>
      </c>
      <c r="K297" s="87" t="s">
        <v>536</v>
      </c>
      <c r="L297" s="173">
        <v>0</v>
      </c>
      <c r="M297" s="173">
        <v>13860.245077007916</v>
      </c>
      <c r="N297" s="173">
        <v>28357.771360062994</v>
      </c>
      <c r="O297" s="173">
        <v>43719.739984924905</v>
      </c>
      <c r="Q297" s="87" t="s">
        <v>535</v>
      </c>
      <c r="R297" s="87" t="s">
        <v>536</v>
      </c>
      <c r="S297" s="173">
        <v>0</v>
      </c>
      <c r="T297" s="173">
        <v>11237.074368437286</v>
      </c>
      <c r="U297" s="173">
        <v>23743.182900004555</v>
      </c>
      <c r="V297" s="173">
        <v>37573.278755085077</v>
      </c>
    </row>
    <row r="298" spans="3:22">
      <c r="C298" s="87" t="s">
        <v>527</v>
      </c>
      <c r="D298" s="87" t="s">
        <v>528</v>
      </c>
      <c r="E298" s="173">
        <v>0</v>
      </c>
      <c r="F298" s="173">
        <v>460449.63772358</v>
      </c>
      <c r="G298" s="173">
        <v>939663.53759327531</v>
      </c>
      <c r="H298" s="173">
        <v>1430220.1219863743</v>
      </c>
      <c r="J298" s="87" t="s">
        <v>527</v>
      </c>
      <c r="K298" s="87" t="s">
        <v>528</v>
      </c>
      <c r="L298" s="173">
        <v>0</v>
      </c>
      <c r="M298" s="173">
        <v>462683.27603280544</v>
      </c>
      <c r="N298" s="173">
        <v>944854.48365916312</v>
      </c>
      <c r="O298" s="173">
        <v>1440283.8491772413</v>
      </c>
      <c r="Q298" s="87" t="s">
        <v>527</v>
      </c>
      <c r="R298" s="87" t="s">
        <v>528</v>
      </c>
      <c r="S298" s="173">
        <v>0</v>
      </c>
      <c r="T298" s="173">
        <v>470702.31515564024</v>
      </c>
      <c r="U298" s="173">
        <v>960652.0005800724</v>
      </c>
      <c r="V298" s="173">
        <v>1462068.7540388107</v>
      </c>
    </row>
    <row r="299" spans="3:22">
      <c r="C299" s="87" t="s">
        <v>605</v>
      </c>
      <c r="D299" s="87" t="s">
        <v>606</v>
      </c>
      <c r="E299" s="173">
        <v>0</v>
      </c>
      <c r="F299" s="173">
        <v>261988.564156726</v>
      </c>
      <c r="G299" s="173">
        <v>534600.94551080465</v>
      </c>
      <c r="H299" s="173">
        <v>813705.75644335151</v>
      </c>
      <c r="J299" s="87" t="s">
        <v>605</v>
      </c>
      <c r="K299" s="87" t="s">
        <v>606</v>
      </c>
      <c r="L299" s="173">
        <v>0</v>
      </c>
      <c r="M299" s="173">
        <v>263601.38146527112</v>
      </c>
      <c r="N299" s="173">
        <v>537793.08702177554</v>
      </c>
      <c r="O299" s="173">
        <v>819782.56241214275</v>
      </c>
      <c r="Q299" s="87" t="s">
        <v>605</v>
      </c>
      <c r="R299" s="87" t="s">
        <v>606</v>
      </c>
      <c r="S299" s="173">
        <v>0</v>
      </c>
      <c r="T299" s="173">
        <v>269152.41526568681</v>
      </c>
      <c r="U299" s="173">
        <v>548797.45731943101</v>
      </c>
      <c r="V299" s="173">
        <v>820570.83433969319</v>
      </c>
    </row>
    <row r="300" spans="3:22">
      <c r="C300" s="87" t="s">
        <v>125</v>
      </c>
      <c r="D300" s="87" t="s">
        <v>126</v>
      </c>
      <c r="E300" s="173">
        <v>0</v>
      </c>
      <c r="F300" s="173">
        <v>65834.363558551297</v>
      </c>
      <c r="G300" s="173">
        <v>147407.86873967387</v>
      </c>
      <c r="H300" s="173">
        <v>230376.63613518514</v>
      </c>
      <c r="J300" s="87" t="s">
        <v>125</v>
      </c>
      <c r="K300" s="87" t="s">
        <v>126</v>
      </c>
      <c r="L300" s="173">
        <v>0</v>
      </c>
      <c r="M300" s="173">
        <v>71505.863401697949</v>
      </c>
      <c r="N300" s="173">
        <v>154290.59115685709</v>
      </c>
      <c r="O300" s="173">
        <v>240917.1759453658</v>
      </c>
      <c r="Q300" s="87" t="s">
        <v>125</v>
      </c>
      <c r="R300" s="87" t="s">
        <v>126</v>
      </c>
      <c r="S300" s="173">
        <v>0</v>
      </c>
      <c r="T300" s="173">
        <v>77260.132678609341</v>
      </c>
      <c r="U300" s="173">
        <v>158046.4887978062</v>
      </c>
      <c r="V300" s="173">
        <v>237006.07095758058</v>
      </c>
    </row>
    <row r="301" spans="3:22">
      <c r="C301" s="87" t="s">
        <v>63</v>
      </c>
      <c r="D301" s="87" t="s">
        <v>64</v>
      </c>
      <c r="E301" s="173">
        <v>0</v>
      </c>
      <c r="F301" s="173">
        <v>350949.36698007584</v>
      </c>
      <c r="G301" s="173">
        <v>715472.86544947326</v>
      </c>
      <c r="H301" s="173">
        <v>1089522.7376895025</v>
      </c>
      <c r="J301" s="87" t="s">
        <v>63</v>
      </c>
      <c r="K301" s="87" t="s">
        <v>64</v>
      </c>
      <c r="L301" s="173">
        <v>0</v>
      </c>
      <c r="M301" s="173">
        <v>352459.46640057862</v>
      </c>
      <c r="N301" s="173">
        <v>719473.66737578064</v>
      </c>
      <c r="O301" s="173">
        <v>1097450.0025345758</v>
      </c>
      <c r="Q301" s="87" t="s">
        <v>63</v>
      </c>
      <c r="R301" s="87" t="s">
        <v>64</v>
      </c>
      <c r="S301" s="173">
        <v>0</v>
      </c>
      <c r="T301" s="173">
        <v>354552.06249476969</v>
      </c>
      <c r="U301" s="173">
        <v>716854.50393362343</v>
      </c>
      <c r="V301" s="173">
        <v>1084144.2924951985</v>
      </c>
    </row>
    <row r="302" spans="3:22">
      <c r="C302" s="87" t="s">
        <v>3</v>
      </c>
      <c r="D302" s="87" t="s">
        <v>4</v>
      </c>
      <c r="E302" s="173">
        <v>0</v>
      </c>
      <c r="F302" s="173">
        <v>-4906.5883509973064</v>
      </c>
      <c r="G302" s="173">
        <v>-10154.13354026759</v>
      </c>
      <c r="H302" s="173">
        <v>-16039.041940720286</v>
      </c>
      <c r="J302" s="87" t="s">
        <v>3</v>
      </c>
      <c r="K302" s="87" t="s">
        <v>4</v>
      </c>
      <c r="L302" s="173">
        <v>0</v>
      </c>
      <c r="M302" s="173">
        <v>-4906.5883509973064</v>
      </c>
      <c r="N302" s="173">
        <v>-10154.13354026759</v>
      </c>
      <c r="O302" s="173">
        <v>-16039.041940720286</v>
      </c>
      <c r="Q302" s="87" t="s">
        <v>3</v>
      </c>
      <c r="R302" s="87" t="s">
        <v>4</v>
      </c>
      <c r="S302" s="173">
        <v>0</v>
      </c>
      <c r="T302" s="173">
        <v>-4224.5953752379864</v>
      </c>
      <c r="U302" s="173">
        <v>-8084.7871643649414</v>
      </c>
      <c r="V302" s="173">
        <v>-12733.303443245124</v>
      </c>
    </row>
    <row r="303" spans="3:22">
      <c r="C303" s="87" t="s">
        <v>99</v>
      </c>
      <c r="D303" s="87" t="s">
        <v>100</v>
      </c>
      <c r="E303" s="173">
        <v>0</v>
      </c>
      <c r="F303" s="173">
        <v>13460.315118010156</v>
      </c>
      <c r="G303" s="173">
        <v>27387.80556249572</v>
      </c>
      <c r="H303" s="173">
        <v>41977.289402078837</v>
      </c>
      <c r="J303" s="87" t="s">
        <v>99</v>
      </c>
      <c r="K303" s="87" t="s">
        <v>100</v>
      </c>
      <c r="L303" s="173">
        <v>0</v>
      </c>
      <c r="M303" s="173">
        <v>13607.065662584733</v>
      </c>
      <c r="N303" s="173">
        <v>28271.149287732784</v>
      </c>
      <c r="O303" s="173">
        <v>42731.963856572285</v>
      </c>
      <c r="Q303" s="87" t="s">
        <v>99</v>
      </c>
      <c r="R303" s="87" t="s">
        <v>100</v>
      </c>
      <c r="S303" s="173">
        <v>0</v>
      </c>
      <c r="T303" s="173">
        <v>14296.847662108485</v>
      </c>
      <c r="U303" s="173">
        <v>28295.060103712138</v>
      </c>
      <c r="V303" s="173">
        <v>42497.481311025098</v>
      </c>
    </row>
    <row r="304" spans="3:22">
      <c r="C304" s="87" t="s">
        <v>487</v>
      </c>
      <c r="D304" s="87" t="s">
        <v>488</v>
      </c>
      <c r="E304" s="173">
        <v>0</v>
      </c>
      <c r="F304" s="173">
        <v>24405.446267864667</v>
      </c>
      <c r="G304" s="173">
        <v>49021.957362685353</v>
      </c>
      <c r="H304" s="173">
        <v>75025.21248920355</v>
      </c>
      <c r="J304" s="87" t="s">
        <v>487</v>
      </c>
      <c r="K304" s="87" t="s">
        <v>488</v>
      </c>
      <c r="L304" s="173">
        <v>0</v>
      </c>
      <c r="M304" s="173">
        <v>24216.437868933193</v>
      </c>
      <c r="N304" s="173">
        <v>49389.807438522577</v>
      </c>
      <c r="O304" s="173">
        <v>75221.572009776719</v>
      </c>
      <c r="Q304" s="87" t="s">
        <v>487</v>
      </c>
      <c r="R304" s="87" t="s">
        <v>488</v>
      </c>
      <c r="S304" s="173">
        <v>0</v>
      </c>
      <c r="T304" s="173">
        <v>26501.0215476593</v>
      </c>
      <c r="U304" s="173">
        <v>51510.656052228995</v>
      </c>
      <c r="V304" s="173">
        <v>77231.5964029897</v>
      </c>
    </row>
    <row r="305" spans="3:22">
      <c r="C305" s="87" t="s">
        <v>41</v>
      </c>
      <c r="D305" s="87" t="s">
        <v>42</v>
      </c>
      <c r="E305" s="173">
        <v>0</v>
      </c>
      <c r="F305" s="173">
        <v>582315.41810145974</v>
      </c>
      <c r="G305" s="173">
        <v>1188751.5440276563</v>
      </c>
      <c r="H305" s="173">
        <v>1809299.1143381149</v>
      </c>
      <c r="J305" s="87" t="s">
        <v>41</v>
      </c>
      <c r="K305" s="87" t="s">
        <v>42</v>
      </c>
      <c r="L305" s="173">
        <v>0</v>
      </c>
      <c r="M305" s="173">
        <v>585331.25178769231</v>
      </c>
      <c r="N305" s="173">
        <v>1195819.0204295963</v>
      </c>
      <c r="O305" s="173">
        <v>1822661.0458861142</v>
      </c>
      <c r="Q305" s="87" t="s">
        <v>41</v>
      </c>
      <c r="R305" s="87" t="s">
        <v>42</v>
      </c>
      <c r="S305" s="173">
        <v>0</v>
      </c>
      <c r="T305" s="173">
        <v>565442.03517402709</v>
      </c>
      <c r="U305" s="173">
        <v>1140540.9627504945</v>
      </c>
      <c r="V305" s="173">
        <v>1681499.9445049167</v>
      </c>
    </row>
    <row r="306" spans="3:22">
      <c r="C306" s="87" t="s">
        <v>473</v>
      </c>
      <c r="D306" s="87" t="s">
        <v>474</v>
      </c>
      <c r="E306" s="173">
        <v>0</v>
      </c>
      <c r="F306" s="173">
        <v>233795.83048327267</v>
      </c>
      <c r="G306" s="173">
        <v>477137.10869535804</v>
      </c>
      <c r="H306" s="173">
        <v>725565.95636478066</v>
      </c>
      <c r="J306" s="87" t="s">
        <v>473</v>
      </c>
      <c r="K306" s="87" t="s">
        <v>474</v>
      </c>
      <c r="L306" s="173">
        <v>0</v>
      </c>
      <c r="M306" s="173">
        <v>235103.63185664266</v>
      </c>
      <c r="N306" s="173">
        <v>479617.80104168504</v>
      </c>
      <c r="O306" s="173">
        <v>730953.82674819231</v>
      </c>
      <c r="Q306" s="87" t="s">
        <v>473</v>
      </c>
      <c r="R306" s="87" t="s">
        <v>474</v>
      </c>
      <c r="S306" s="173">
        <v>0</v>
      </c>
      <c r="T306" s="173">
        <v>241425.29893041402</v>
      </c>
      <c r="U306" s="173">
        <v>501142.21769857407</v>
      </c>
      <c r="V306" s="173">
        <v>763228.11999785155</v>
      </c>
    </row>
    <row r="307" spans="3:22">
      <c r="C307" s="87" t="s">
        <v>607</v>
      </c>
      <c r="D307" s="87" t="s">
        <v>608</v>
      </c>
      <c r="E307" s="173">
        <v>0</v>
      </c>
      <c r="F307" s="173">
        <v>617287.52166211605</v>
      </c>
      <c r="G307" s="173">
        <v>1259570.8409471363</v>
      </c>
      <c r="H307" s="173">
        <v>1917305.8124024123</v>
      </c>
      <c r="J307" s="87" t="s">
        <v>607</v>
      </c>
      <c r="K307" s="87" t="s">
        <v>608</v>
      </c>
      <c r="L307" s="173">
        <v>0</v>
      </c>
      <c r="M307" s="173">
        <v>620341.90518002212</v>
      </c>
      <c r="N307" s="173">
        <v>1266885.9860146344</v>
      </c>
      <c r="O307" s="173">
        <v>1931449.6267682463</v>
      </c>
      <c r="Q307" s="87" t="s">
        <v>607</v>
      </c>
      <c r="R307" s="87" t="s">
        <v>608</v>
      </c>
      <c r="S307" s="173">
        <v>0</v>
      </c>
      <c r="T307" s="173">
        <v>626782.59001643956</v>
      </c>
      <c r="U307" s="173">
        <v>1302732.9125834629</v>
      </c>
      <c r="V307" s="173">
        <v>2018303.5558738708</v>
      </c>
    </row>
    <row r="308" spans="3:22">
      <c r="C308" s="87" t="s">
        <v>1253</v>
      </c>
      <c r="D308" s="87" t="s">
        <v>1254</v>
      </c>
      <c r="E308" s="173">
        <v>0</v>
      </c>
      <c r="F308" s="173">
        <v>-1287.9324666811153</v>
      </c>
      <c r="G308" s="173">
        <v>-2009.4999484864529</v>
      </c>
      <c r="H308" s="173">
        <v>-3169.7598646800034</v>
      </c>
      <c r="J308" s="87" t="s">
        <v>1253</v>
      </c>
      <c r="K308" s="87" t="s">
        <v>1254</v>
      </c>
      <c r="L308" s="173">
        <v>0</v>
      </c>
      <c r="M308" s="173">
        <v>-1287.9324666811153</v>
      </c>
      <c r="N308" s="173">
        <v>-2009.4999484864529</v>
      </c>
      <c r="O308" s="173">
        <v>-3169.7598646800034</v>
      </c>
      <c r="Q308" s="87" t="s">
        <v>1253</v>
      </c>
      <c r="R308" s="87" t="s">
        <v>1254</v>
      </c>
      <c r="S308" s="173">
        <v>0</v>
      </c>
      <c r="T308" s="173">
        <v>-1915.2711936351843</v>
      </c>
      <c r="U308" s="173">
        <v>-5499.9181369510479</v>
      </c>
      <c r="V308" s="173">
        <v>-8074.7188379666768</v>
      </c>
    </row>
    <row r="309" spans="3:22">
      <c r="C309" s="87" t="s">
        <v>293</v>
      </c>
      <c r="D309" s="87" t="s">
        <v>294</v>
      </c>
      <c r="E309" s="173">
        <v>0</v>
      </c>
      <c r="F309" s="173">
        <v>15424.832825585268</v>
      </c>
      <c r="G309" s="173">
        <v>31765.862388703972</v>
      </c>
      <c r="H309" s="173">
        <v>48884.731180291623</v>
      </c>
      <c r="J309" s="87" t="s">
        <v>293</v>
      </c>
      <c r="K309" s="87" t="s">
        <v>294</v>
      </c>
      <c r="L309" s="173">
        <v>0</v>
      </c>
      <c r="M309" s="173">
        <v>15802.466749335639</v>
      </c>
      <c r="N309" s="173">
        <v>31770.95226736553</v>
      </c>
      <c r="O309" s="173">
        <v>49337.611338792369</v>
      </c>
      <c r="Q309" s="87" t="s">
        <v>293</v>
      </c>
      <c r="R309" s="87" t="s">
        <v>294</v>
      </c>
      <c r="S309" s="173">
        <v>0</v>
      </c>
      <c r="T309" s="173">
        <v>14028.792110705748</v>
      </c>
      <c r="U309" s="173">
        <v>28874.937996258959</v>
      </c>
      <c r="V309" s="173">
        <v>44955.574416543357</v>
      </c>
    </row>
    <row r="310" spans="3:22">
      <c r="C310" s="87" t="s">
        <v>387</v>
      </c>
      <c r="D310" s="87" t="s">
        <v>388</v>
      </c>
      <c r="E310" s="173">
        <v>0</v>
      </c>
      <c r="F310" s="173">
        <v>519694.49805060029</v>
      </c>
      <c r="G310" s="173">
        <v>1060536.4841888621</v>
      </c>
      <c r="H310" s="173">
        <v>1614814.614508383</v>
      </c>
      <c r="J310" s="87" t="s">
        <v>387</v>
      </c>
      <c r="K310" s="87" t="s">
        <v>388</v>
      </c>
      <c r="L310" s="173">
        <v>0</v>
      </c>
      <c r="M310" s="173">
        <v>522252.9922407046</v>
      </c>
      <c r="N310" s="173">
        <v>1066517.4264751747</v>
      </c>
      <c r="O310" s="173">
        <v>1626762.932730183</v>
      </c>
      <c r="Q310" s="87" t="s">
        <v>387</v>
      </c>
      <c r="R310" s="87" t="s">
        <v>388</v>
      </c>
      <c r="S310" s="173">
        <v>0</v>
      </c>
      <c r="T310" s="173">
        <v>512298.43456083536</v>
      </c>
      <c r="U310" s="173">
        <v>1064322.4363659695</v>
      </c>
      <c r="V310" s="173">
        <v>1649204.7965066954</v>
      </c>
    </row>
    <row r="311" spans="3:22">
      <c r="C311" s="87" t="s">
        <v>267</v>
      </c>
      <c r="D311" s="87" t="s">
        <v>268</v>
      </c>
      <c r="E311" s="173">
        <v>0</v>
      </c>
      <c r="F311" s="173">
        <v>132508.06690197065</v>
      </c>
      <c r="G311" s="173">
        <v>270225.49102468416</v>
      </c>
      <c r="H311" s="173">
        <v>411346.47021042928</v>
      </c>
      <c r="J311" s="87" t="s">
        <v>267</v>
      </c>
      <c r="K311" s="87" t="s">
        <v>268</v>
      </c>
      <c r="L311" s="173">
        <v>0</v>
      </c>
      <c r="M311" s="173">
        <v>132882.87734688073</v>
      </c>
      <c r="N311" s="173">
        <v>271494.01212007739</v>
      </c>
      <c r="O311" s="173">
        <v>414158.77247332036</v>
      </c>
      <c r="Q311" s="87" t="s">
        <v>267</v>
      </c>
      <c r="R311" s="87" t="s">
        <v>268</v>
      </c>
      <c r="S311" s="173">
        <v>0</v>
      </c>
      <c r="T311" s="173">
        <v>136194.28477284871</v>
      </c>
      <c r="U311" s="173">
        <v>279530.31648044288</v>
      </c>
      <c r="V311" s="173">
        <v>422828.24539337493</v>
      </c>
    </row>
    <row r="312" spans="3:22">
      <c r="C312" s="87" t="s">
        <v>307</v>
      </c>
      <c r="D312" s="87" t="s">
        <v>308</v>
      </c>
      <c r="E312" s="173">
        <v>0</v>
      </c>
      <c r="F312" s="173">
        <v>13378.621447096113</v>
      </c>
      <c r="G312" s="173">
        <v>27814.068453790154</v>
      </c>
      <c r="H312" s="173">
        <v>42125.719398165122</v>
      </c>
      <c r="J312" s="87" t="s">
        <v>307</v>
      </c>
      <c r="K312" s="87" t="s">
        <v>308</v>
      </c>
      <c r="L312" s="173">
        <v>0</v>
      </c>
      <c r="M312" s="173">
        <v>14128.892462849151</v>
      </c>
      <c r="N312" s="173">
        <v>27900.03438997129</v>
      </c>
      <c r="O312" s="173">
        <v>42639.490852218587</v>
      </c>
      <c r="Q312" s="87" t="s">
        <v>307</v>
      </c>
      <c r="R312" s="87" t="s">
        <v>308</v>
      </c>
      <c r="S312" s="173">
        <v>0</v>
      </c>
      <c r="T312" s="173">
        <v>12189.144521973096</v>
      </c>
      <c r="U312" s="173">
        <v>26550.801237368491</v>
      </c>
      <c r="V312" s="173">
        <v>43493.842739314772</v>
      </c>
    </row>
    <row r="313" spans="3:22">
      <c r="C313" s="87" t="s">
        <v>351</v>
      </c>
      <c r="D313" s="87" t="s">
        <v>352</v>
      </c>
      <c r="E313" s="173">
        <v>0</v>
      </c>
      <c r="F313" s="173">
        <v>29428.445038559847</v>
      </c>
      <c r="G313" s="173">
        <v>60214.846086386591</v>
      </c>
      <c r="H313" s="173">
        <v>91761.09653637372</v>
      </c>
      <c r="J313" s="87" t="s">
        <v>351</v>
      </c>
      <c r="K313" s="87" t="s">
        <v>352</v>
      </c>
      <c r="L313" s="173">
        <v>0</v>
      </c>
      <c r="M313" s="173">
        <v>29726.442136135884</v>
      </c>
      <c r="N313" s="173">
        <v>60831.705350524746</v>
      </c>
      <c r="O313" s="173">
        <v>92698.075112030841</v>
      </c>
      <c r="Q313" s="87" t="s">
        <v>351</v>
      </c>
      <c r="R313" s="87" t="s">
        <v>352</v>
      </c>
      <c r="S313" s="173">
        <v>0</v>
      </c>
      <c r="T313" s="173">
        <v>26195.178256926127</v>
      </c>
      <c r="U313" s="173">
        <v>53189.20793068409</v>
      </c>
      <c r="V313" s="173">
        <v>81554.521277656779</v>
      </c>
    </row>
    <row r="314" spans="3:22">
      <c r="C314" s="87" t="s">
        <v>137</v>
      </c>
      <c r="D314" s="87" t="s">
        <v>138</v>
      </c>
      <c r="E314" s="173">
        <v>0</v>
      </c>
      <c r="F314" s="173">
        <v>2458.7723300107755</v>
      </c>
      <c r="G314" s="173">
        <v>5183.6170923262835</v>
      </c>
      <c r="H314" s="173">
        <v>7750.7033027275465</v>
      </c>
      <c r="J314" s="87" t="s">
        <v>137</v>
      </c>
      <c r="K314" s="87" t="s">
        <v>138</v>
      </c>
      <c r="L314" s="173">
        <v>0</v>
      </c>
      <c r="M314" s="173">
        <v>3004.5361105781049</v>
      </c>
      <c r="N314" s="173">
        <v>5122.6642246777192</v>
      </c>
      <c r="O314" s="173">
        <v>7613.2459944514558</v>
      </c>
      <c r="Q314" s="87" t="s">
        <v>137</v>
      </c>
      <c r="R314" s="87" t="s">
        <v>138</v>
      </c>
      <c r="S314" s="173">
        <v>0</v>
      </c>
      <c r="T314" s="173">
        <v>7113.7520748917013</v>
      </c>
      <c r="U314" s="173">
        <v>14489.236155399587</v>
      </c>
      <c r="V314" s="173">
        <v>22021.220680507831</v>
      </c>
    </row>
    <row r="315" spans="3:22">
      <c r="C315" s="87" t="s">
        <v>281</v>
      </c>
      <c r="D315" s="87" t="s">
        <v>282</v>
      </c>
      <c r="E315" s="173">
        <v>0</v>
      </c>
      <c r="F315" s="173">
        <v>44935.655664181337</v>
      </c>
      <c r="G315" s="173">
        <v>91105.612252440304</v>
      </c>
      <c r="H315" s="173">
        <v>139463.02415737696</v>
      </c>
      <c r="J315" s="87" t="s">
        <v>281</v>
      </c>
      <c r="K315" s="87" t="s">
        <v>282</v>
      </c>
      <c r="L315" s="173">
        <v>0</v>
      </c>
      <c r="M315" s="173">
        <v>45478.416560398415</v>
      </c>
      <c r="N315" s="173">
        <v>91700.88755020313</v>
      </c>
      <c r="O315" s="173">
        <v>140609.71028677002</v>
      </c>
      <c r="Q315" s="87" t="s">
        <v>281</v>
      </c>
      <c r="R315" s="87" t="s">
        <v>282</v>
      </c>
      <c r="S315" s="173">
        <v>0</v>
      </c>
      <c r="T315" s="173">
        <v>44168.621218552813</v>
      </c>
      <c r="U315" s="173">
        <v>91932.128123903647</v>
      </c>
      <c r="V315" s="173">
        <v>144533.59344925359</v>
      </c>
    </row>
    <row r="316" spans="3:22">
      <c r="C316" s="87" t="s">
        <v>161</v>
      </c>
      <c r="D316" s="87" t="s">
        <v>162</v>
      </c>
      <c r="E316" s="173">
        <v>0</v>
      </c>
      <c r="F316" s="173">
        <v>8492.4534474732354</v>
      </c>
      <c r="G316" s="173">
        <v>17890.507255706936</v>
      </c>
      <c r="H316" s="173">
        <v>27273.666274487507</v>
      </c>
      <c r="J316" s="87" t="s">
        <v>161</v>
      </c>
      <c r="K316" s="87" t="s">
        <v>162</v>
      </c>
      <c r="L316" s="173">
        <v>0</v>
      </c>
      <c r="M316" s="173">
        <v>8515.7040466121398</v>
      </c>
      <c r="N316" s="173">
        <v>17949.292537388857</v>
      </c>
      <c r="O316" s="173">
        <v>27168.44086456392</v>
      </c>
      <c r="Q316" s="87" t="s">
        <v>161</v>
      </c>
      <c r="R316" s="87" t="s">
        <v>162</v>
      </c>
      <c r="S316" s="173">
        <v>0</v>
      </c>
      <c r="T316" s="173">
        <v>7181.4089854476042</v>
      </c>
      <c r="U316" s="173">
        <v>13668.260525510646</v>
      </c>
      <c r="V316" s="173">
        <v>19731.85243247496</v>
      </c>
    </row>
    <row r="317" spans="3:22">
      <c r="C317" s="87" t="s">
        <v>251</v>
      </c>
      <c r="D317" s="87" t="s">
        <v>252</v>
      </c>
      <c r="E317" s="173">
        <v>0</v>
      </c>
      <c r="F317" s="173">
        <v>-3378.499752830714</v>
      </c>
      <c r="G317" s="173">
        <v>-6639.0438576000743</v>
      </c>
      <c r="H317" s="173">
        <v>-10357.894130266737</v>
      </c>
      <c r="J317" s="87" t="s">
        <v>251</v>
      </c>
      <c r="K317" s="87" t="s">
        <v>252</v>
      </c>
      <c r="L317" s="173">
        <v>0</v>
      </c>
      <c r="M317" s="173">
        <v>-3378.499752830714</v>
      </c>
      <c r="N317" s="173">
        <v>-6639.0438576000743</v>
      </c>
      <c r="O317" s="173">
        <v>-10357.894130266737</v>
      </c>
      <c r="Q317" s="87" t="s">
        <v>251</v>
      </c>
      <c r="R317" s="87" t="s">
        <v>252</v>
      </c>
      <c r="S317" s="173">
        <v>0</v>
      </c>
      <c r="T317" s="173">
        <v>-4501.3963908459991</v>
      </c>
      <c r="U317" s="173">
        <v>17688.136708100326</v>
      </c>
      <c r="V317" s="173">
        <v>27335.44861223083</v>
      </c>
    </row>
    <row r="318" spans="3:22">
      <c r="C318" s="87" t="s">
        <v>85</v>
      </c>
      <c r="D318" s="87" t="s">
        <v>86</v>
      </c>
      <c r="E318" s="173">
        <v>0</v>
      </c>
      <c r="F318" s="173">
        <v>269717.01521341503</v>
      </c>
      <c r="G318" s="173">
        <v>550547.99299022928</v>
      </c>
      <c r="H318" s="173">
        <v>838274.00351816788</v>
      </c>
      <c r="J318" s="87" t="s">
        <v>85</v>
      </c>
      <c r="K318" s="87" t="s">
        <v>86</v>
      </c>
      <c r="L318" s="173">
        <v>0</v>
      </c>
      <c r="M318" s="173">
        <v>271087.1576314494</v>
      </c>
      <c r="N318" s="173">
        <v>553832.73810177296</v>
      </c>
      <c r="O318" s="173">
        <v>844752.33604348451</v>
      </c>
      <c r="Q318" s="87" t="s">
        <v>85</v>
      </c>
      <c r="R318" s="87" t="s">
        <v>86</v>
      </c>
      <c r="S318" s="173">
        <v>0</v>
      </c>
      <c r="T318" s="173">
        <v>284303.03420506045</v>
      </c>
      <c r="U318" s="173">
        <v>588375.14435000718</v>
      </c>
      <c r="V318" s="173">
        <v>901557.86279584467</v>
      </c>
    </row>
    <row r="319" spans="3:22">
      <c r="C319" s="87" t="s">
        <v>1039</v>
      </c>
      <c r="D319" s="87" t="s">
        <v>1045</v>
      </c>
      <c r="E319" s="173">
        <v>0</v>
      </c>
      <c r="F319" s="173">
        <v>-2226.8781451513059</v>
      </c>
      <c r="G319" s="173">
        <v>-5062.2379209222272</v>
      </c>
      <c r="H319" s="173">
        <v>-7553.7785951225087</v>
      </c>
      <c r="J319" s="87" t="s">
        <v>1039</v>
      </c>
      <c r="K319" s="87" t="s">
        <v>1045</v>
      </c>
      <c r="L319" s="173">
        <v>0</v>
      </c>
      <c r="M319" s="173">
        <v>-2655.3719187825918</v>
      </c>
      <c r="N319" s="173">
        <v>-4653.3210202343762</v>
      </c>
      <c r="O319" s="173">
        <v>-7585.2148665236309</v>
      </c>
      <c r="Q319" s="87" t="s">
        <v>1039</v>
      </c>
      <c r="R319" s="87" t="s">
        <v>1045</v>
      </c>
      <c r="S319" s="173">
        <v>0</v>
      </c>
      <c r="T319" s="173">
        <v>-2226.8781451513059</v>
      </c>
      <c r="U319" s="173">
        <v>-5062.2379209222272</v>
      </c>
      <c r="V319" s="173">
        <v>-7553.7785951225087</v>
      </c>
    </row>
    <row r="320" spans="3:22">
      <c r="C320" s="87" t="s">
        <v>585</v>
      </c>
      <c r="D320" s="87" t="s">
        <v>586</v>
      </c>
      <c r="E320" s="173">
        <v>0</v>
      </c>
      <c r="F320" s="173">
        <v>1304643.3340319097</v>
      </c>
      <c r="G320" s="173">
        <v>2662035.0100134611</v>
      </c>
      <c r="H320" s="173">
        <v>4051030.8067486584</v>
      </c>
      <c r="J320" s="87" t="s">
        <v>585</v>
      </c>
      <c r="K320" s="87" t="s">
        <v>586</v>
      </c>
      <c r="L320" s="173">
        <v>0</v>
      </c>
      <c r="M320" s="173">
        <v>1310928.5408267975</v>
      </c>
      <c r="N320" s="173">
        <v>2677285.4235525131</v>
      </c>
      <c r="O320" s="173">
        <v>4081130.0427459478</v>
      </c>
      <c r="Q320" s="87" t="s">
        <v>585</v>
      </c>
      <c r="R320" s="87" t="s">
        <v>586</v>
      </c>
      <c r="S320" s="173">
        <v>0</v>
      </c>
      <c r="T320" s="173">
        <v>1325252.9312230051</v>
      </c>
      <c r="U320" s="173">
        <v>2703813.1010008752</v>
      </c>
      <c r="V320" s="173">
        <v>4114752.4058321714</v>
      </c>
    </row>
    <row r="321" spans="3:22">
      <c r="C321" s="87" t="s">
        <v>507</v>
      </c>
      <c r="D321" s="87" t="s">
        <v>508</v>
      </c>
      <c r="E321" s="173">
        <v>0</v>
      </c>
      <c r="F321" s="173">
        <v>641456.39617695659</v>
      </c>
      <c r="G321" s="173">
        <v>1308391.3087471873</v>
      </c>
      <c r="H321" s="173">
        <v>1992424.977698788</v>
      </c>
      <c r="J321" s="87" t="s">
        <v>507</v>
      </c>
      <c r="K321" s="87" t="s">
        <v>508</v>
      </c>
      <c r="L321" s="173">
        <v>0</v>
      </c>
      <c r="M321" s="173">
        <v>644294.91097669303</v>
      </c>
      <c r="N321" s="173">
        <v>1315575.5030421466</v>
      </c>
      <c r="O321" s="173">
        <v>2006729.0764228031</v>
      </c>
      <c r="Q321" s="87" t="s">
        <v>507</v>
      </c>
      <c r="R321" s="87" t="s">
        <v>508</v>
      </c>
      <c r="S321" s="173">
        <v>0</v>
      </c>
      <c r="T321" s="173">
        <v>674508.66917128861</v>
      </c>
      <c r="U321" s="173">
        <v>1384509.7795779407</v>
      </c>
      <c r="V321" s="173">
        <v>2122130.16593799</v>
      </c>
    </row>
    <row r="322" spans="3:22">
      <c r="C322" s="87" t="s">
        <v>603</v>
      </c>
      <c r="D322" s="87" t="s">
        <v>604</v>
      </c>
      <c r="E322" s="173">
        <v>0</v>
      </c>
      <c r="F322" s="173">
        <v>110403.85464463383</v>
      </c>
      <c r="G322" s="173">
        <v>225742.39844570868</v>
      </c>
      <c r="H322" s="173">
        <v>342958.38048191182</v>
      </c>
      <c r="J322" s="87" t="s">
        <v>603</v>
      </c>
      <c r="K322" s="87" t="s">
        <v>604</v>
      </c>
      <c r="L322" s="173">
        <v>0</v>
      </c>
      <c r="M322" s="173">
        <v>110851.09547225572</v>
      </c>
      <c r="N322" s="173">
        <v>226655.47216811404</v>
      </c>
      <c r="O322" s="173">
        <v>345972.06634530611</v>
      </c>
      <c r="Q322" s="87" t="s">
        <v>603</v>
      </c>
      <c r="R322" s="87" t="s">
        <v>604</v>
      </c>
      <c r="S322" s="173">
        <v>0</v>
      </c>
      <c r="T322" s="173">
        <v>107980.69291862659</v>
      </c>
      <c r="U322" s="173">
        <v>221095.02564989775</v>
      </c>
      <c r="V322" s="173">
        <v>337704.20923400111</v>
      </c>
    </row>
  </sheetData>
  <autoFilter ref="B3:V322" xr:uid="{749A4528-0709-4629-88F2-8E12F5793140}"/>
  <mergeCells count="3">
    <mergeCell ref="C1:H1"/>
    <mergeCell ref="J1:O1"/>
    <mergeCell ref="Q1:V1"/>
  </mergeCells>
  <pageMargins left="0.7" right="0.7" top="0.75" bottom="0.75" header="0.3" footer="0.3"/>
  <pageSetup scale="9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70</vt:i4>
      </vt:variant>
    </vt:vector>
  </HeadingPairs>
  <TitlesOfParts>
    <vt:vector size="100" baseType="lpstr">
      <vt:lpstr>District List</vt:lpstr>
      <vt:lpstr>Totals Disclaimer</vt:lpstr>
      <vt:lpstr>Notes and Budget Drivers</vt:lpstr>
      <vt:lpstr>summary</vt:lpstr>
      <vt:lpstr>stabilization</vt:lpstr>
      <vt:lpstr>ESSER Funding</vt:lpstr>
      <vt:lpstr>Per Pupil Rate</vt:lpstr>
      <vt:lpstr>SpED</vt:lpstr>
      <vt:lpstr>Proto Model Changes</vt:lpstr>
      <vt:lpstr>Jan 2022 Apport Enroll</vt:lpstr>
      <vt:lpstr>Maintenance</vt:lpstr>
      <vt:lpstr>Enacted</vt:lpstr>
      <vt:lpstr>ExcessLevy</vt:lpstr>
      <vt:lpstr>Maintenance CL </vt:lpstr>
      <vt:lpstr>Enacted CL</vt:lpstr>
      <vt:lpstr>ExcessLevy CL</vt:lpstr>
      <vt:lpstr>2021-22 enroll CL</vt:lpstr>
      <vt:lpstr>2022-23 enroll CL</vt:lpstr>
      <vt:lpstr>2023-24 enroll CL</vt:lpstr>
      <vt:lpstr>2024-25 enroll CL</vt:lpstr>
      <vt:lpstr>Maintenance F195F</vt:lpstr>
      <vt:lpstr>Enacted F195F</vt:lpstr>
      <vt:lpstr>ExcessLevy F195F</vt:lpstr>
      <vt:lpstr>2021-22 enroll F195F</vt:lpstr>
      <vt:lpstr>2022-23 enroll F195F</vt:lpstr>
      <vt:lpstr>2023-24 enroll F195F</vt:lpstr>
      <vt:lpstr>2024-25 enroll F195F</vt:lpstr>
      <vt:lpstr>Jan 2022 Apport</vt:lpstr>
      <vt:lpstr>School Year 2021-22</vt:lpstr>
      <vt:lpstr>School Year 2021-22 SPED coop</vt:lpstr>
      <vt:lpstr>_ESD112</vt:lpstr>
      <vt:lpstr>CertInc</vt:lpstr>
      <vt:lpstr>Certinsfactor</vt:lpstr>
      <vt:lpstr>CertMaint</vt:lpstr>
      <vt:lpstr>ClassInc</vt:lpstr>
      <vt:lpstr>Classinsfactor</vt:lpstr>
      <vt:lpstr>ClassMaint</vt:lpstr>
      <vt:lpstr>EnacProto_CL</vt:lpstr>
      <vt:lpstr>EnacProto_F195F</vt:lpstr>
      <vt:lpstr>EnacProto_Flat</vt:lpstr>
      <vt:lpstr>EnacSY202122</vt:lpstr>
      <vt:lpstr>EnacSY202122CL</vt:lpstr>
      <vt:lpstr>EnacSY202122F195F</vt:lpstr>
      <vt:lpstr>EnacSY202223</vt:lpstr>
      <vt:lpstr>EnacSY202223CL</vt:lpstr>
      <vt:lpstr>EnacSY202223F195F</vt:lpstr>
      <vt:lpstr>EnacSY202324</vt:lpstr>
      <vt:lpstr>EnacSY202324CL</vt:lpstr>
      <vt:lpstr>EnacSY202324F195F</vt:lpstr>
      <vt:lpstr>EnacSY202425</vt:lpstr>
      <vt:lpstr>EnacSY202425CL</vt:lpstr>
      <vt:lpstr>EnacSY202425F195F</vt:lpstr>
      <vt:lpstr>ESSER</vt:lpstr>
      <vt:lpstr>Insrate</vt:lpstr>
      <vt:lpstr>JanApport</vt:lpstr>
      <vt:lpstr>levy</vt:lpstr>
      <vt:lpstr>levyCL</vt:lpstr>
      <vt:lpstr>levyF195F</vt:lpstr>
      <vt:lpstr>MaintSY202122</vt:lpstr>
      <vt:lpstr>MaintSY202122CL</vt:lpstr>
      <vt:lpstr>MaintSY202122F195F</vt:lpstr>
      <vt:lpstr>MaintSY202223</vt:lpstr>
      <vt:lpstr>MaintSY202223CL</vt:lpstr>
      <vt:lpstr>MaintSY202223F195F</vt:lpstr>
      <vt:lpstr>MaintSY202324</vt:lpstr>
      <vt:lpstr>MaintSY202324CL</vt:lpstr>
      <vt:lpstr>MaintSY202324F195F</vt:lpstr>
      <vt:lpstr>MaintSY202425</vt:lpstr>
      <vt:lpstr>MaintSY202425CL</vt:lpstr>
      <vt:lpstr>MaintSY202425F195F</vt:lpstr>
      <vt:lpstr>MSOC</vt:lpstr>
      <vt:lpstr>MSOC912ehc</vt:lpstr>
      <vt:lpstr>MSOCcte</vt:lpstr>
      <vt:lpstr>MSOCsc</vt:lpstr>
      <vt:lpstr>'Notes and Budget Drivers'!Print_Area</vt:lpstr>
      <vt:lpstr>'Proto Model Changes'!Print_Area</vt:lpstr>
      <vt:lpstr>summary!Print_Area</vt:lpstr>
      <vt:lpstr>'ESSER Funding'!Print_Titles</vt:lpstr>
      <vt:lpstr>'Jan 2022 Apport Enroll'!Print_Titles</vt:lpstr>
      <vt:lpstr>'Per Pupil Rate'!Print_Titles</vt:lpstr>
      <vt:lpstr>SpED!Print_Titles</vt:lpstr>
      <vt:lpstr>stabilization!Print_Titles</vt:lpstr>
      <vt:lpstr>SpEd_Apport</vt:lpstr>
      <vt:lpstr>SpEd_Enac_CL</vt:lpstr>
      <vt:lpstr>SpEd_Enac_F195F</vt:lpstr>
      <vt:lpstr>SpEd_Enac_Flat</vt:lpstr>
      <vt:lpstr>SpEd_Maint_CL</vt:lpstr>
      <vt:lpstr>SpEd_Maint_F195F</vt:lpstr>
      <vt:lpstr>SpEd_Maint_Flat</vt:lpstr>
      <vt:lpstr>Stabilization</vt:lpstr>
      <vt:lpstr>SY202021enrollapport</vt:lpstr>
      <vt:lpstr>SY202122Apport</vt:lpstr>
      <vt:lpstr>SY202122enroll</vt:lpstr>
      <vt:lpstr>SY202122F195Fenroll</vt:lpstr>
      <vt:lpstr>SY202223enroll</vt:lpstr>
      <vt:lpstr>SY202223F195Fenroll</vt:lpstr>
      <vt:lpstr>SY202324enroll</vt:lpstr>
      <vt:lpstr>SY202324F195Fenroll</vt:lpstr>
      <vt:lpstr>SY202425enroll</vt:lpstr>
      <vt:lpstr>SY202425F195Fenroll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Michelle Matakas</dc:creator>
  <cp:lastModifiedBy>Melissa Jarmon</cp:lastModifiedBy>
  <cp:lastPrinted>2022-02-16T18:09:35Z</cp:lastPrinted>
  <dcterms:created xsi:type="dcterms:W3CDTF">2018-04-11T14:13:34Z</dcterms:created>
  <dcterms:modified xsi:type="dcterms:W3CDTF">2022-04-21T16:54:17Z</dcterms:modified>
</cp:coreProperties>
</file>